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mc:AlternateContent xmlns:mc="http://schemas.openxmlformats.org/markup-compatibility/2006">
    <mc:Choice Requires="x15">
      <x15ac:absPath xmlns:x15ac="http://schemas.microsoft.com/office/spreadsheetml/2010/11/ac" url="C:\Users\Angela.Pilant\Downloads\"/>
    </mc:Choice>
  </mc:AlternateContent>
  <xr:revisionPtr revIDLastSave="0" documentId="13_ncr:1_{0F27A965-1F5D-40D2-A4C0-46591843EF85}" xr6:coauthVersionLast="47" xr6:coauthVersionMax="47" xr10:uidLastSave="{00000000-0000-0000-0000-000000000000}"/>
  <workbookProtection workbookAlgorithmName="SHA-512" workbookHashValue="hh5sxWMaQwWX5q5UKrUej3T1Sig/st1RLXQMSNpTKFOCAV8YA+VD3LoJ9p4Pp29rpaA3ZzzS4QUhxHFnNatf8Q==" workbookSaltValue="tCLwp+rRCC455ZBXfhTBBA==" workbookSpinCount="100000" lockStructure="1"/>
  <bookViews>
    <workbookView xWindow="-28920" yWindow="2835" windowWidth="29040" windowHeight="15840" xr2:uid="{04121B32-389C-47C3-A3F5-857AE27E54F6}"/>
  </bookViews>
  <sheets>
    <sheet name="Welcome" sheetId="7" r:id="rId1"/>
    <sheet name="Data Entry" sheetId="8" r:id="rId2"/>
    <sheet name="Product Type" sheetId="24" r:id="rId3"/>
    <sheet name="Proposed Lighting" sheetId="3" r:id="rId4"/>
    <sheet name="Lighting Controls" sheetId="5" state="hidden" r:id="rId5"/>
    <sheet name="Pre-Approval Application" sheetId="9" r:id="rId6"/>
    <sheet name="Payment Application" sheetId="14" r:id="rId7"/>
    <sheet name="LEDs" sheetId="32" r:id="rId8"/>
    <sheet name="Controls" sheetId="34" r:id="rId9"/>
    <sheet name="Sign &amp; Case Lighting" sheetId="28" r:id="rId10"/>
    <sheet name="Project Summary" sheetId="1" r:id="rId11"/>
    <sheet name="TLEDs" sheetId="26" state="hidden" r:id="rId12"/>
    <sheet name="CLU" sheetId="27" state="hidden" r:id="rId13"/>
    <sheet name="Standard Incentives" sheetId="16" r:id="rId14"/>
    <sheet name="Inspection Sheet" sheetId="20" r:id="rId15"/>
    <sheet name="Controls Inspection" sheetId="31" r:id="rId16"/>
    <sheet name="Summary" sheetId="13" state="hidden" r:id="rId17"/>
    <sheet name="Lists" sheetId="11" state="hidden" r:id="rId18"/>
    <sheet name="Alternative Costs" sheetId="22" state="hidden" r:id="rId19"/>
    <sheet name="Analyst Notes" sheetId="33" state="hidden" r:id="rId20"/>
  </sheets>
  <externalReferences>
    <externalReference r:id="rId21"/>
  </externalReferences>
  <definedNames>
    <definedName name="_xlnm._FilterDatabase" localSheetId="3" hidden="1">'Proposed Lighting'!$A$1:$DP$636</definedName>
    <definedName name="_Key1" localSheetId="12" hidden="1">#REF!</definedName>
    <definedName name="_Key1" hidden="1">#REF!</definedName>
    <definedName name="_Order1" hidden="1">255</definedName>
    <definedName name="_Sort" localSheetId="12" hidden="1">#REF!</definedName>
    <definedName name="_Sort" hidden="1">#REF!</definedName>
    <definedName name="appstatuslist" localSheetId="12">[1]Lists!$A$10:$A$12</definedName>
    <definedName name="appstatuslist">Lists!$A$10:$A$12</definedName>
    <definedName name="atest">"a15:c19"</definedName>
    <definedName name="bottompage1">'Proposed Lighting'!$AL$322</definedName>
    <definedName name="buildingtypelist3" localSheetId="12">[1]Lists!$A$20:$A$51</definedName>
    <definedName name="buildingtypelist3">Lists!$A$20:$A$41</definedName>
    <definedName name="check">Lists!$B$8:$B$9</definedName>
    <definedName name="controllist3" localSheetId="12">'[1]Lighting Controls'!$AW$9:$AW$13</definedName>
    <definedName name="controllist3">'Lighting Controls'!$AW$9:$AW$15</definedName>
    <definedName name="Cum_Disc_AltCosts">'Alternative Costs'!$AK$12:$AP$64</definedName>
    <definedName name="existcontrol">Lists!$A$113:$A$120</definedName>
    <definedName name="existinglist">'Proposed Lighting'!$DK$8:$DK$164</definedName>
    <definedName name="existlist">'Proposed Lighting'!$DK$8:$DK$38</definedName>
    <definedName name="existlist1">'Proposed Lighting'!$DK$7:$DK$38</definedName>
    <definedName name="extlist">Lists!$A$122:$A$127</definedName>
    <definedName name="fixttypelist" localSheetId="12">'[1]Project Information'!$A$8:$A$59</definedName>
    <definedName name="fixttypelist">'Product Type'!$A$10:$A$61</definedName>
    <definedName name="Fixturetypelist">'Product Type'!$A$10:$A$109</definedName>
    <definedName name="LEDLIST" localSheetId="12">[1]Lists!$A$53:$A$57</definedName>
    <definedName name="LEDLIST">Lists!$A$43:$A$50</definedName>
    <definedName name="loadshapeac" localSheetId="12">'[1]2013 Alternative Costs'!$AS$10:$CQ$14</definedName>
    <definedName name="loadshapeac">'Alternative Costs'!$BB$10:$CU$18</definedName>
    <definedName name="loadshapes" localSheetId="12">'[1]2013 Alternative Costs'!$AJ$11:$AP$14</definedName>
    <definedName name="loadshapes">'Alternative Costs'!$AS$11:$AY$18</definedName>
    <definedName name="locationlist" localSheetId="12">[1]Lists!$A$63:$A$65</definedName>
    <definedName name="locationlist">Lists!$A$55:$A$57</definedName>
    <definedName name="meterlist">Lists!$A$3:$A$4</definedName>
    <definedName name="meterlist1">Lists!$A$2:$A$4</definedName>
    <definedName name="multstrategy" localSheetId="7">LEDs!$A$47</definedName>
    <definedName name="netstrategy" localSheetId="7">LEDs!$A$60</definedName>
    <definedName name="newcaselist">'Proposed Lighting'!$DO$208:$DP$212</definedName>
    <definedName name="newcaselist1">'Proposed Lighting'!$DO$203:$DO$207</definedName>
    <definedName name="NEWFIXTTYPE">Lists!$A$59:$A$111</definedName>
    <definedName name="newlist">'Proposed Lighting'!$DO$7:$DO$110</definedName>
    <definedName name="newlist1">'Proposed Lighting'!$DO$7:$DO$120</definedName>
    <definedName name="nonslist">'Proposed Lighting'!$DS$67:$DS$70</definedName>
    <definedName name="ORcontrol">'Proposed Lighting'!$DO$40:$DO$46</definedName>
    <definedName name="Ownerlist2">Lists!$A$6:$A$9</definedName>
    <definedName name="PC_Main" localSheetId="12">CLU!PC_Main</definedName>
    <definedName name="PC_Main">CLU!PC_Main</definedName>
    <definedName name="_xlnm.Print_Area" localSheetId="12">CLU!$B$1:$F$64</definedName>
    <definedName name="_xlnm.Print_Area" localSheetId="8">Controls!$A$1:$U$117</definedName>
    <definedName name="_xlnm.Print_Area" localSheetId="15">'Controls Inspection'!$A$1:$I$303</definedName>
    <definedName name="_xlnm.Print_Area" localSheetId="1">'Data Entry'!$A$1:$AO$71</definedName>
    <definedName name="_xlnm.Print_Area" localSheetId="14">'Inspection Sheet'!$A$1:$Y$390</definedName>
    <definedName name="_xlnm.Print_Area" localSheetId="7">LEDs!$A$1:$T$27</definedName>
    <definedName name="_xlnm.Print_Area" localSheetId="4">'Lighting Controls'!$A$1:$AR$414</definedName>
    <definedName name="_xlnm.Print_Area" localSheetId="6">'Payment Application'!$A$1:$AB$77</definedName>
    <definedName name="_xlnm.Print_Area" localSheetId="5">'Pre-Approval Application'!$A$1:$AB$63</definedName>
    <definedName name="_xlnm.Print_Area" localSheetId="2">'Product Type'!$A$1:$T$66</definedName>
    <definedName name="_xlnm.Print_Area" localSheetId="10">'Project Summary'!$A$1:$L$52</definedName>
    <definedName name="_xlnm.Print_Area" localSheetId="3">'Proposed Lighting'!$A$1:$EQ$327</definedName>
    <definedName name="_xlnm.Print_Area" localSheetId="9">'Sign &amp; Case Lighting'!$A$1:$O$60</definedName>
    <definedName name="_xlnm.Print_Area" localSheetId="13">'Standard Incentives'!$A$1:$AA$141</definedName>
    <definedName name="_xlnm.Print_Area" localSheetId="11">TLEDs!$A$1:$L$37</definedName>
    <definedName name="_xlnm.Print_Area" localSheetId="0">Welcome!$A$1:$AN$79</definedName>
    <definedName name="_xlnm.Print_Titles" localSheetId="15">'Controls Inspection'!$1:$3</definedName>
    <definedName name="_xlnm.Print_Titles" localSheetId="14">'Inspection Sheet'!$21:$22</definedName>
    <definedName name="_xlnm.Print_Titles" localSheetId="3">'Proposed Lighting'!$7:$8</definedName>
    <definedName name="Proposedlist" localSheetId="12">'[1]Proposed Lighting'!$DO$8:$DO$188</definedName>
    <definedName name="Proposedlist">'Proposed Lighting'!$DO$8:$DO$26</definedName>
    <definedName name="reducedwattage">'Proposed Lighting'!$DK$138:$DK$165</definedName>
    <definedName name="relamplist" localSheetId="12">'[1]Proposed Lighting'!$DQ$190:$DQ$238</definedName>
    <definedName name="relamplist">'Proposed Lighting'!$DQ$180:$DQ$189</definedName>
    <definedName name="relamplist2">'Proposed Lighting'!$DS$8:$DS$56</definedName>
    <definedName name="standcontrols">'Proposed Lighting'!$DO$28:$DO$38</definedName>
    <definedName name="statelist">'Data Entry'!$AO$17:$AO$18</definedName>
    <definedName name="tenantlist">Lists!$A$6:$A$8</definedName>
    <definedName name="TestMeasure" localSheetId="12">CLU!TestMeasure</definedName>
    <definedName name="TestMeasure">CLU!TestMeasure</definedName>
    <definedName name="Yesnolist" localSheetId="12">[1]Lists!$A$60:$A$61</definedName>
    <definedName name="Yesnolist">Lists!$A$52:$A$53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0" i="20" l="1"/>
  <c r="K9" i="20"/>
  <c r="J4" i="20"/>
  <c r="R13" i="3"/>
  <c r="Q13" i="3"/>
  <c r="O13" i="3"/>
  <c r="AO13" i="3" s="1"/>
  <c r="CC308" i="3"/>
  <c r="CC307" i="3"/>
  <c r="CC306" i="3"/>
  <c r="CC305" i="3"/>
  <c r="CC304" i="3"/>
  <c r="CC303" i="3"/>
  <c r="CC302" i="3"/>
  <c r="CC301" i="3"/>
  <c r="CC300" i="3"/>
  <c r="CC299" i="3"/>
  <c r="CC298" i="3"/>
  <c r="CC297" i="3"/>
  <c r="CC296" i="3"/>
  <c r="CC295" i="3"/>
  <c r="CC294" i="3"/>
  <c r="CC293" i="3"/>
  <c r="CC292" i="3"/>
  <c r="CC291" i="3"/>
  <c r="CC290" i="3"/>
  <c r="CC289" i="3"/>
  <c r="CC288" i="3"/>
  <c r="CC287" i="3"/>
  <c r="CC286" i="3"/>
  <c r="CC285" i="3"/>
  <c r="CC284" i="3"/>
  <c r="CC283" i="3"/>
  <c r="CC282" i="3"/>
  <c r="CC281" i="3"/>
  <c r="CC280" i="3"/>
  <c r="CC279" i="3"/>
  <c r="CC278" i="3"/>
  <c r="CC277" i="3"/>
  <c r="CC276" i="3"/>
  <c r="CC275" i="3"/>
  <c r="CC274" i="3"/>
  <c r="CC273" i="3"/>
  <c r="CC272" i="3"/>
  <c r="CC271" i="3"/>
  <c r="CC270" i="3"/>
  <c r="CC269" i="3"/>
  <c r="CC268" i="3"/>
  <c r="CC267" i="3"/>
  <c r="CC266" i="3"/>
  <c r="CC265" i="3"/>
  <c r="CC264" i="3"/>
  <c r="CC263" i="3"/>
  <c r="CC262" i="3"/>
  <c r="CC261" i="3"/>
  <c r="CC260" i="3"/>
  <c r="CC259" i="3"/>
  <c r="CC258" i="3"/>
  <c r="CC257" i="3"/>
  <c r="CC256" i="3"/>
  <c r="CC255" i="3"/>
  <c r="CC254" i="3"/>
  <c r="CC253" i="3"/>
  <c r="CC252" i="3"/>
  <c r="CC251" i="3"/>
  <c r="CC250" i="3"/>
  <c r="CC249" i="3"/>
  <c r="CC248" i="3"/>
  <c r="CC247" i="3"/>
  <c r="CC246" i="3"/>
  <c r="CC245" i="3"/>
  <c r="CC244" i="3"/>
  <c r="CC243" i="3"/>
  <c r="CC242" i="3"/>
  <c r="CC241" i="3"/>
  <c r="CC240" i="3"/>
  <c r="CC239" i="3"/>
  <c r="CC238" i="3"/>
  <c r="CC237" i="3"/>
  <c r="CC236" i="3"/>
  <c r="CC235" i="3"/>
  <c r="CC234" i="3"/>
  <c r="CC233" i="3"/>
  <c r="CC232" i="3"/>
  <c r="CC231" i="3"/>
  <c r="CC230" i="3"/>
  <c r="CC229" i="3"/>
  <c r="CC228" i="3"/>
  <c r="CC227" i="3"/>
  <c r="CC226" i="3"/>
  <c r="CC225" i="3"/>
  <c r="CC224" i="3"/>
  <c r="CC223" i="3"/>
  <c r="CC222" i="3"/>
  <c r="CC221" i="3"/>
  <c r="CC220" i="3"/>
  <c r="CC219" i="3"/>
  <c r="CC218" i="3"/>
  <c r="CC217" i="3"/>
  <c r="CC216" i="3"/>
  <c r="CC215" i="3"/>
  <c r="CC214" i="3"/>
  <c r="CC213" i="3"/>
  <c r="CC212" i="3"/>
  <c r="CC211" i="3"/>
  <c r="CC210" i="3"/>
  <c r="CC209" i="3"/>
  <c r="CC208" i="3"/>
  <c r="CC207" i="3"/>
  <c r="CC206" i="3"/>
  <c r="CC205" i="3"/>
  <c r="CC204" i="3"/>
  <c r="CC203" i="3"/>
  <c r="CC202" i="3"/>
  <c r="CC201" i="3"/>
  <c r="CC200" i="3"/>
  <c r="CC199" i="3"/>
  <c r="CC198" i="3"/>
  <c r="CC197" i="3"/>
  <c r="CC196" i="3"/>
  <c r="CC195" i="3"/>
  <c r="CC194" i="3"/>
  <c r="CC193" i="3"/>
  <c r="CC192" i="3"/>
  <c r="CC191" i="3"/>
  <c r="CC190" i="3"/>
  <c r="CC189" i="3"/>
  <c r="CC188" i="3"/>
  <c r="CC187" i="3"/>
  <c r="CC186" i="3"/>
  <c r="CC185" i="3"/>
  <c r="CC184" i="3"/>
  <c r="CC183" i="3"/>
  <c r="CC182" i="3"/>
  <c r="CC181" i="3"/>
  <c r="CC180" i="3"/>
  <c r="CC179" i="3"/>
  <c r="CC178" i="3"/>
  <c r="CC177" i="3"/>
  <c r="CC176" i="3"/>
  <c r="CC175" i="3"/>
  <c r="CC174" i="3"/>
  <c r="CC173" i="3"/>
  <c r="CC172" i="3"/>
  <c r="CC171" i="3"/>
  <c r="CC170" i="3"/>
  <c r="CC169" i="3"/>
  <c r="CC168" i="3"/>
  <c r="CC167" i="3"/>
  <c r="CC166" i="3"/>
  <c r="CC165" i="3"/>
  <c r="CC164" i="3"/>
  <c r="CC163" i="3"/>
  <c r="CC162" i="3"/>
  <c r="CC161" i="3"/>
  <c r="CC160" i="3"/>
  <c r="CC159" i="3"/>
  <c r="CC158" i="3"/>
  <c r="CC157" i="3"/>
  <c r="CC156" i="3"/>
  <c r="CC155" i="3"/>
  <c r="CC154" i="3"/>
  <c r="CC153" i="3"/>
  <c r="CC152" i="3"/>
  <c r="CC151" i="3"/>
  <c r="CC150" i="3"/>
  <c r="CC149" i="3"/>
  <c r="CC148" i="3"/>
  <c r="CC147" i="3"/>
  <c r="CC146" i="3"/>
  <c r="CC145" i="3"/>
  <c r="CC144" i="3"/>
  <c r="CC143" i="3"/>
  <c r="CC142" i="3"/>
  <c r="CC141" i="3"/>
  <c r="CC140" i="3"/>
  <c r="CC139" i="3"/>
  <c r="CC138" i="3"/>
  <c r="CC137" i="3"/>
  <c r="CC136" i="3"/>
  <c r="CC135" i="3"/>
  <c r="CC134" i="3"/>
  <c r="CC133" i="3"/>
  <c r="CC132" i="3"/>
  <c r="CC131" i="3"/>
  <c r="CC130" i="3"/>
  <c r="CC129" i="3"/>
  <c r="CC128" i="3"/>
  <c r="CC127" i="3"/>
  <c r="CC126" i="3"/>
  <c r="CC125" i="3"/>
  <c r="CC124" i="3"/>
  <c r="CC123" i="3"/>
  <c r="CC122" i="3"/>
  <c r="CC121" i="3"/>
  <c r="CC120" i="3"/>
  <c r="CC119" i="3"/>
  <c r="CC118" i="3"/>
  <c r="CC117" i="3"/>
  <c r="CC116" i="3"/>
  <c r="CC115" i="3"/>
  <c r="CC114" i="3"/>
  <c r="CC113" i="3"/>
  <c r="CC112" i="3"/>
  <c r="CC111" i="3"/>
  <c r="CC110" i="3"/>
  <c r="CC109" i="3"/>
  <c r="CC108" i="3"/>
  <c r="CC107" i="3"/>
  <c r="CC106" i="3"/>
  <c r="CC105" i="3"/>
  <c r="CC104" i="3"/>
  <c r="CC103" i="3"/>
  <c r="CC102" i="3"/>
  <c r="CC101" i="3"/>
  <c r="CC100" i="3"/>
  <c r="CC99" i="3"/>
  <c r="CC98" i="3"/>
  <c r="CC97" i="3"/>
  <c r="CC96" i="3"/>
  <c r="CC95" i="3"/>
  <c r="CC94" i="3"/>
  <c r="CC93" i="3"/>
  <c r="CC92" i="3"/>
  <c r="CC91" i="3"/>
  <c r="CC90" i="3"/>
  <c r="CC89" i="3"/>
  <c r="CC88" i="3"/>
  <c r="CC87" i="3"/>
  <c r="CC86" i="3"/>
  <c r="CC85" i="3"/>
  <c r="CC84" i="3"/>
  <c r="CC83" i="3"/>
  <c r="CC82" i="3"/>
  <c r="CC81" i="3"/>
  <c r="CC80" i="3"/>
  <c r="CC79" i="3"/>
  <c r="CC78" i="3"/>
  <c r="CC77" i="3"/>
  <c r="CC76" i="3"/>
  <c r="CC75" i="3"/>
  <c r="CC74" i="3"/>
  <c r="CC73" i="3"/>
  <c r="CC72" i="3"/>
  <c r="CC71" i="3"/>
  <c r="CC70" i="3"/>
  <c r="CC69" i="3"/>
  <c r="CC68" i="3"/>
  <c r="CC67" i="3"/>
  <c r="CC66" i="3"/>
  <c r="CC65" i="3"/>
  <c r="CC64" i="3"/>
  <c r="CC63" i="3"/>
  <c r="CC62" i="3"/>
  <c r="CC61" i="3"/>
  <c r="CC60" i="3"/>
  <c r="CC59" i="3"/>
  <c r="CC58" i="3"/>
  <c r="CC57" i="3"/>
  <c r="CC56" i="3"/>
  <c r="CC55" i="3"/>
  <c r="CC54" i="3"/>
  <c r="CC53" i="3"/>
  <c r="CC52" i="3"/>
  <c r="CC51" i="3"/>
  <c r="CC50" i="3"/>
  <c r="CC49" i="3"/>
  <c r="CC48" i="3"/>
  <c r="CC47" i="3"/>
  <c r="CC46" i="3"/>
  <c r="CC45" i="3"/>
  <c r="CC44" i="3"/>
  <c r="CC43" i="3"/>
  <c r="CC42" i="3"/>
  <c r="CC41" i="3"/>
  <c r="CC40" i="3"/>
  <c r="CC39" i="3"/>
  <c r="CC37" i="3"/>
  <c r="CC36" i="3"/>
  <c r="CC35" i="3"/>
  <c r="CC34" i="3"/>
  <c r="CC33" i="3"/>
  <c r="CC32" i="3"/>
  <c r="CC31" i="3"/>
  <c r="CC29" i="3"/>
  <c r="CC28" i="3"/>
  <c r="CC27" i="3"/>
  <c r="CC23" i="3"/>
  <c r="CC22" i="3"/>
  <c r="CC19" i="3"/>
  <c r="CC18" i="3"/>
  <c r="CC17" i="3"/>
  <c r="CC16" i="3"/>
  <c r="CC15" i="3"/>
  <c r="CC14" i="3"/>
  <c r="CC11" i="3"/>
  <c r="J314" i="13" l="1"/>
  <c r="J315" i="13"/>
  <c r="J316" i="13"/>
  <c r="J317" i="13"/>
  <c r="J318" i="13"/>
  <c r="J319" i="13"/>
  <c r="J320" i="13"/>
  <c r="J321" i="13"/>
  <c r="J322" i="13"/>
  <c r="J323" i="13"/>
  <c r="J324" i="13"/>
  <c r="J325" i="13"/>
  <c r="J326" i="13"/>
  <c r="J327" i="13"/>
  <c r="J328" i="13"/>
  <c r="J329" i="13"/>
  <c r="J330" i="13"/>
  <c r="J331" i="13"/>
  <c r="J332" i="13"/>
  <c r="J333" i="13"/>
  <c r="J334" i="13"/>
  <c r="J335" i="13"/>
  <c r="J336" i="13"/>
  <c r="J337" i="13"/>
  <c r="J338" i="13"/>
  <c r="J339" i="13"/>
  <c r="J340" i="13"/>
  <c r="J341" i="13"/>
  <c r="J342" i="13"/>
  <c r="J343" i="13"/>
  <c r="J344" i="13"/>
  <c r="J345" i="13"/>
  <c r="J346" i="13"/>
  <c r="J347" i="13"/>
  <c r="J348" i="13"/>
  <c r="J349" i="13"/>
  <c r="J350" i="13"/>
  <c r="J351" i="13"/>
  <c r="J352" i="13"/>
  <c r="J353" i="13"/>
  <c r="J354" i="13"/>
  <c r="J355" i="13"/>
  <c r="J356" i="13"/>
  <c r="J357" i="13"/>
  <c r="J358" i="13"/>
  <c r="J359" i="13"/>
  <c r="J360" i="13"/>
  <c r="J361" i="13"/>
  <c r="J362" i="13"/>
  <c r="J363" i="13"/>
  <c r="J364" i="13"/>
  <c r="J365" i="13"/>
  <c r="J366" i="13"/>
  <c r="J367" i="13"/>
  <c r="J368" i="13"/>
  <c r="J369" i="13"/>
  <c r="J370" i="13"/>
  <c r="J371" i="13"/>
  <c r="J372" i="13"/>
  <c r="J373" i="13"/>
  <c r="J374" i="13"/>
  <c r="J375" i="13"/>
  <c r="J376" i="13"/>
  <c r="J377" i="13"/>
  <c r="J378" i="13"/>
  <c r="J379" i="13"/>
  <c r="J380" i="13"/>
  <c r="J381" i="13"/>
  <c r="J382" i="13"/>
  <c r="J383" i="13"/>
  <c r="J384" i="13"/>
  <c r="J385" i="13"/>
  <c r="J386" i="13"/>
  <c r="J387" i="13"/>
  <c r="J388" i="13"/>
  <c r="J389" i="13"/>
  <c r="J390" i="13"/>
  <c r="J391" i="13"/>
  <c r="J392" i="13"/>
  <c r="J393" i="13"/>
  <c r="J394" i="13"/>
  <c r="J395" i="13"/>
  <c r="J396" i="13"/>
  <c r="J397" i="13"/>
  <c r="J398" i="13"/>
  <c r="J399" i="13"/>
  <c r="J400" i="13"/>
  <c r="J401" i="13"/>
  <c r="J402" i="13"/>
  <c r="J403" i="13"/>
  <c r="J404" i="13"/>
  <c r="J405" i="13"/>
  <c r="J406" i="13"/>
  <c r="J407" i="13"/>
  <c r="J408" i="13"/>
  <c r="J409" i="13"/>
  <c r="J410" i="13"/>
  <c r="J411" i="13"/>
  <c r="J412" i="13"/>
  <c r="J413" i="13"/>
  <c r="J414" i="13"/>
  <c r="J415" i="13"/>
  <c r="J416" i="13"/>
  <c r="J417" i="13"/>
  <c r="J418" i="13"/>
  <c r="J419" i="13"/>
  <c r="J420" i="13"/>
  <c r="J421" i="13"/>
  <c r="J422" i="13"/>
  <c r="J423" i="13"/>
  <c r="J424" i="13"/>
  <c r="J425" i="13"/>
  <c r="J426" i="13"/>
  <c r="J427" i="13"/>
  <c r="J428" i="13"/>
  <c r="J429" i="13"/>
  <c r="J430" i="13"/>
  <c r="J431" i="13"/>
  <c r="J432" i="13"/>
  <c r="J433" i="13"/>
  <c r="J434" i="13"/>
  <c r="J435" i="13"/>
  <c r="J436" i="13"/>
  <c r="J437" i="13"/>
  <c r="J438" i="13"/>
  <c r="J439" i="13"/>
  <c r="J440" i="13"/>
  <c r="J441" i="13"/>
  <c r="J442" i="13"/>
  <c r="J443" i="13"/>
  <c r="J444" i="13"/>
  <c r="J445" i="13"/>
  <c r="J446" i="13"/>
  <c r="J447" i="13"/>
  <c r="J448" i="13"/>
  <c r="J449" i="13"/>
  <c r="J450" i="13"/>
  <c r="J451" i="13"/>
  <c r="J452" i="13"/>
  <c r="J453" i="13"/>
  <c r="J454" i="13"/>
  <c r="J455" i="13"/>
  <c r="J456" i="13"/>
  <c r="J457" i="13"/>
  <c r="J458" i="13"/>
  <c r="J459" i="13"/>
  <c r="J460" i="13"/>
  <c r="J461" i="13"/>
  <c r="J462" i="13"/>
  <c r="J463" i="13"/>
  <c r="J464" i="13"/>
  <c r="J465" i="13"/>
  <c r="J466" i="13"/>
  <c r="J467" i="13"/>
  <c r="J468" i="13"/>
  <c r="J469" i="13"/>
  <c r="J470" i="13"/>
  <c r="J471" i="13"/>
  <c r="J472" i="13"/>
  <c r="J473" i="13"/>
  <c r="J474" i="13"/>
  <c r="J475" i="13"/>
  <c r="J476" i="13"/>
  <c r="J477" i="13"/>
  <c r="J478" i="13"/>
  <c r="J479" i="13"/>
  <c r="J480" i="13"/>
  <c r="J481" i="13"/>
  <c r="J482" i="13"/>
  <c r="J483" i="13"/>
  <c r="J484" i="13"/>
  <c r="J485" i="13"/>
  <c r="J486" i="13"/>
  <c r="J487" i="13"/>
  <c r="J488" i="13"/>
  <c r="J489" i="13"/>
  <c r="J490" i="13"/>
  <c r="J491" i="13"/>
  <c r="J492" i="13"/>
  <c r="J493" i="13"/>
  <c r="J494" i="13"/>
  <c r="J495" i="13"/>
  <c r="J496" i="13"/>
  <c r="J497" i="13"/>
  <c r="J498" i="13"/>
  <c r="J499" i="13"/>
  <c r="J500" i="13"/>
  <c r="J501" i="13"/>
  <c r="J502" i="13"/>
  <c r="J503" i="13"/>
  <c r="J504" i="13"/>
  <c r="J505" i="13"/>
  <c r="J506" i="13"/>
  <c r="J507" i="13"/>
  <c r="J508" i="13"/>
  <c r="J509" i="13"/>
  <c r="J510" i="13"/>
  <c r="J511" i="13"/>
  <c r="J512" i="13"/>
  <c r="J513" i="13"/>
  <c r="J514" i="13"/>
  <c r="J515" i="13"/>
  <c r="J516" i="13"/>
  <c r="J517" i="13"/>
  <c r="J518" i="13"/>
  <c r="J519" i="13"/>
  <c r="J520" i="13"/>
  <c r="J521" i="13"/>
  <c r="J522" i="13"/>
  <c r="J523" i="13"/>
  <c r="J524" i="13"/>
  <c r="J525" i="13"/>
  <c r="J526" i="13"/>
  <c r="J527" i="13"/>
  <c r="J528" i="13"/>
  <c r="J529" i="13"/>
  <c r="J530" i="13"/>
  <c r="J531" i="13"/>
  <c r="J532" i="13"/>
  <c r="J533" i="13"/>
  <c r="J534" i="13"/>
  <c r="J535" i="13"/>
  <c r="J536" i="13"/>
  <c r="J537" i="13"/>
  <c r="J538" i="13"/>
  <c r="J539" i="13"/>
  <c r="J540" i="13"/>
  <c r="J541" i="13"/>
  <c r="J542" i="13"/>
  <c r="J543" i="13"/>
  <c r="J544" i="13"/>
  <c r="J545" i="13"/>
  <c r="J546" i="13"/>
  <c r="J547" i="13"/>
  <c r="J548" i="13"/>
  <c r="J549" i="13"/>
  <c r="J550" i="13"/>
  <c r="J551" i="13"/>
  <c r="J552" i="13"/>
  <c r="J553" i="13"/>
  <c r="J554" i="13"/>
  <c r="J555" i="13"/>
  <c r="J556" i="13"/>
  <c r="J557" i="13"/>
  <c r="J558" i="13"/>
  <c r="J559" i="13"/>
  <c r="J560" i="13"/>
  <c r="J561" i="13"/>
  <c r="J562" i="13"/>
  <c r="J563" i="13"/>
  <c r="J564" i="13"/>
  <c r="J565" i="13"/>
  <c r="J566" i="13"/>
  <c r="J567" i="13"/>
  <c r="J568" i="13"/>
  <c r="J569" i="13"/>
  <c r="J570" i="13"/>
  <c r="J571" i="13"/>
  <c r="J572" i="13"/>
  <c r="J573" i="13"/>
  <c r="J574" i="13"/>
  <c r="J575" i="13"/>
  <c r="J576" i="13"/>
  <c r="J577" i="13"/>
  <c r="J578" i="13"/>
  <c r="J579" i="13"/>
  <c r="J580" i="13"/>
  <c r="J581" i="13"/>
  <c r="J582" i="13"/>
  <c r="J583" i="13"/>
  <c r="J584" i="13"/>
  <c r="J585" i="13"/>
  <c r="J586" i="13"/>
  <c r="J587" i="13"/>
  <c r="J588" i="13"/>
  <c r="J589" i="13"/>
  <c r="J590" i="13"/>
  <c r="J591" i="13"/>
  <c r="J592" i="13"/>
  <c r="J593" i="13"/>
  <c r="J594" i="13"/>
  <c r="J595" i="13"/>
  <c r="J596" i="13"/>
  <c r="J597" i="13"/>
  <c r="J598" i="13"/>
  <c r="J599" i="13"/>
  <c r="J600" i="13"/>
  <c r="J601" i="13"/>
  <c r="J602" i="13"/>
  <c r="J603" i="13"/>
  <c r="J604" i="13"/>
  <c r="J605" i="13"/>
  <c r="J606" i="13"/>
  <c r="J607" i="13"/>
  <c r="J608" i="13"/>
  <c r="J609" i="13"/>
  <c r="J610" i="13"/>
  <c r="J611" i="13"/>
  <c r="J312" i="13"/>
  <c r="J313" i="13"/>
  <c r="AY13" i="22" l="1"/>
  <c r="AY14" i="22"/>
  <c r="M40" i="22" l="1"/>
  <c r="M41" i="22"/>
  <c r="M39" i="22"/>
  <c r="M22" i="22"/>
  <c r="J26" i="22"/>
  <c r="J25" i="22"/>
  <c r="J24" i="22"/>
  <c r="J27" i="22"/>
  <c r="A8" i="22" l="1"/>
  <c r="AZ308" i="3" l="1"/>
  <c r="AZ307" i="3"/>
  <c r="AZ306" i="3"/>
  <c r="AZ305" i="3"/>
  <c r="AZ304" i="3"/>
  <c r="AZ303" i="3"/>
  <c r="AZ302" i="3"/>
  <c r="AZ301" i="3"/>
  <c r="AZ300" i="3"/>
  <c r="AZ299" i="3"/>
  <c r="AZ298" i="3"/>
  <c r="AZ297" i="3"/>
  <c r="AZ296" i="3"/>
  <c r="AZ295" i="3"/>
  <c r="AZ294" i="3"/>
  <c r="AZ293" i="3"/>
  <c r="AZ292" i="3"/>
  <c r="AZ291" i="3"/>
  <c r="AZ290" i="3"/>
  <c r="AZ289" i="3"/>
  <c r="AZ288" i="3"/>
  <c r="AZ287" i="3"/>
  <c r="AZ286" i="3"/>
  <c r="AZ285" i="3"/>
  <c r="AZ284" i="3"/>
  <c r="AZ283" i="3"/>
  <c r="AZ282" i="3"/>
  <c r="AZ281" i="3"/>
  <c r="AZ280" i="3"/>
  <c r="AZ279" i="3"/>
  <c r="AZ278" i="3"/>
  <c r="AZ277" i="3"/>
  <c r="AZ276" i="3"/>
  <c r="AZ275" i="3"/>
  <c r="AZ274" i="3"/>
  <c r="AZ273" i="3"/>
  <c r="AZ272" i="3"/>
  <c r="AZ271" i="3"/>
  <c r="AZ270" i="3"/>
  <c r="AZ269" i="3"/>
  <c r="AZ268" i="3"/>
  <c r="AZ267" i="3"/>
  <c r="AZ266" i="3"/>
  <c r="AZ265" i="3"/>
  <c r="AZ264" i="3"/>
  <c r="AZ263" i="3"/>
  <c r="AZ262" i="3"/>
  <c r="AZ261" i="3"/>
  <c r="AZ260" i="3"/>
  <c r="AZ259" i="3"/>
  <c r="AZ258" i="3"/>
  <c r="AZ257" i="3"/>
  <c r="AZ256" i="3"/>
  <c r="AZ255" i="3"/>
  <c r="AZ254" i="3"/>
  <c r="AZ253" i="3"/>
  <c r="AZ252" i="3"/>
  <c r="AZ251" i="3"/>
  <c r="AZ250" i="3"/>
  <c r="AZ249" i="3"/>
  <c r="AZ248" i="3"/>
  <c r="AZ247" i="3"/>
  <c r="AZ246" i="3"/>
  <c r="AZ245" i="3"/>
  <c r="AZ244" i="3"/>
  <c r="AZ243" i="3"/>
  <c r="AZ242" i="3"/>
  <c r="AZ241" i="3"/>
  <c r="AZ240" i="3"/>
  <c r="AZ239" i="3"/>
  <c r="AZ238" i="3"/>
  <c r="AZ237" i="3"/>
  <c r="AZ236" i="3"/>
  <c r="AZ235" i="3"/>
  <c r="AZ234" i="3"/>
  <c r="AZ233" i="3"/>
  <c r="AZ232" i="3"/>
  <c r="AZ231" i="3"/>
  <c r="AZ230" i="3"/>
  <c r="AZ229" i="3"/>
  <c r="AZ228" i="3"/>
  <c r="AZ227" i="3"/>
  <c r="AZ226" i="3"/>
  <c r="AZ225" i="3"/>
  <c r="AZ224" i="3"/>
  <c r="AZ223" i="3"/>
  <c r="AZ222" i="3"/>
  <c r="AZ221" i="3"/>
  <c r="AZ220" i="3"/>
  <c r="AZ219" i="3"/>
  <c r="AZ218" i="3"/>
  <c r="AZ217" i="3"/>
  <c r="AZ216" i="3"/>
  <c r="AZ215" i="3"/>
  <c r="AZ214" i="3"/>
  <c r="AZ213" i="3"/>
  <c r="AZ212" i="3"/>
  <c r="AZ211" i="3"/>
  <c r="AZ210" i="3"/>
  <c r="AZ209" i="3"/>
  <c r="AZ208" i="3"/>
  <c r="AZ207" i="3"/>
  <c r="AZ206" i="3"/>
  <c r="AZ205" i="3"/>
  <c r="AZ204" i="3"/>
  <c r="AZ203" i="3"/>
  <c r="AZ202" i="3"/>
  <c r="AZ201" i="3"/>
  <c r="AZ200" i="3"/>
  <c r="AZ199" i="3"/>
  <c r="AZ198" i="3"/>
  <c r="AZ197" i="3"/>
  <c r="AZ196" i="3"/>
  <c r="AZ195" i="3"/>
  <c r="AZ194" i="3"/>
  <c r="AZ193" i="3"/>
  <c r="AZ192" i="3"/>
  <c r="AZ191" i="3"/>
  <c r="AZ190" i="3"/>
  <c r="AZ189" i="3"/>
  <c r="AZ188" i="3"/>
  <c r="AZ187" i="3"/>
  <c r="AZ186" i="3"/>
  <c r="AZ185" i="3"/>
  <c r="AZ184" i="3"/>
  <c r="AZ183" i="3"/>
  <c r="AZ182" i="3"/>
  <c r="AZ181" i="3"/>
  <c r="AZ180" i="3"/>
  <c r="AZ179" i="3"/>
  <c r="AZ178" i="3"/>
  <c r="AZ177" i="3"/>
  <c r="AZ176" i="3"/>
  <c r="AZ175" i="3"/>
  <c r="AZ174" i="3"/>
  <c r="AZ173" i="3"/>
  <c r="AZ172" i="3"/>
  <c r="AZ171" i="3"/>
  <c r="AZ170" i="3"/>
  <c r="AZ169" i="3"/>
  <c r="AZ168" i="3"/>
  <c r="AZ167" i="3"/>
  <c r="AZ166" i="3"/>
  <c r="AZ165" i="3"/>
  <c r="AZ164" i="3"/>
  <c r="AZ163" i="3"/>
  <c r="AZ162" i="3"/>
  <c r="AZ161" i="3"/>
  <c r="AZ160" i="3"/>
  <c r="AZ159" i="3"/>
  <c r="AZ158" i="3"/>
  <c r="AZ157" i="3"/>
  <c r="AZ156" i="3"/>
  <c r="AZ155" i="3"/>
  <c r="AZ154" i="3"/>
  <c r="AZ153" i="3"/>
  <c r="AZ152" i="3"/>
  <c r="AZ151" i="3"/>
  <c r="AZ150" i="3"/>
  <c r="AZ149" i="3"/>
  <c r="AZ148" i="3"/>
  <c r="AZ147" i="3"/>
  <c r="AZ146" i="3"/>
  <c r="AZ145" i="3"/>
  <c r="AZ144" i="3"/>
  <c r="AZ143" i="3"/>
  <c r="AZ142" i="3"/>
  <c r="AZ141" i="3"/>
  <c r="AZ140" i="3"/>
  <c r="AZ139" i="3"/>
  <c r="AZ138" i="3"/>
  <c r="AZ137" i="3"/>
  <c r="AZ136" i="3"/>
  <c r="AZ135" i="3"/>
  <c r="AZ134" i="3"/>
  <c r="AZ133" i="3"/>
  <c r="AZ132" i="3"/>
  <c r="AZ131" i="3"/>
  <c r="AZ130" i="3"/>
  <c r="AZ129" i="3"/>
  <c r="AZ128" i="3"/>
  <c r="AZ127" i="3"/>
  <c r="AZ126" i="3"/>
  <c r="AZ125" i="3"/>
  <c r="AZ124" i="3"/>
  <c r="AZ123" i="3"/>
  <c r="AZ122" i="3"/>
  <c r="AZ121" i="3"/>
  <c r="AZ120" i="3"/>
  <c r="AZ119" i="3"/>
  <c r="AZ118" i="3"/>
  <c r="AZ117" i="3"/>
  <c r="AZ116" i="3"/>
  <c r="AZ115" i="3"/>
  <c r="AZ114" i="3"/>
  <c r="AZ113" i="3"/>
  <c r="AZ112" i="3"/>
  <c r="AZ111" i="3"/>
  <c r="AZ110" i="3"/>
  <c r="AZ109" i="3"/>
  <c r="AZ108" i="3"/>
  <c r="AZ107" i="3"/>
  <c r="AZ106" i="3"/>
  <c r="AZ105" i="3"/>
  <c r="AZ104" i="3"/>
  <c r="AZ103" i="3"/>
  <c r="AZ102" i="3"/>
  <c r="AZ101" i="3"/>
  <c r="AZ100" i="3"/>
  <c r="AZ99" i="3"/>
  <c r="AZ98" i="3"/>
  <c r="AZ97" i="3"/>
  <c r="AZ96" i="3"/>
  <c r="AZ95" i="3"/>
  <c r="AZ94" i="3"/>
  <c r="AZ93" i="3"/>
  <c r="AZ92" i="3"/>
  <c r="AZ91" i="3"/>
  <c r="AZ90" i="3"/>
  <c r="AZ89" i="3"/>
  <c r="AZ88" i="3"/>
  <c r="AZ87" i="3"/>
  <c r="AZ86" i="3"/>
  <c r="AZ85" i="3"/>
  <c r="AZ84" i="3"/>
  <c r="AZ83" i="3"/>
  <c r="AZ82" i="3"/>
  <c r="AZ81" i="3"/>
  <c r="AZ80" i="3"/>
  <c r="AZ79" i="3"/>
  <c r="AZ78" i="3"/>
  <c r="AZ77" i="3"/>
  <c r="AZ76" i="3"/>
  <c r="AZ75" i="3"/>
  <c r="AZ74" i="3"/>
  <c r="AZ73" i="3"/>
  <c r="AZ72" i="3"/>
  <c r="AZ71" i="3"/>
  <c r="AZ70" i="3"/>
  <c r="AZ69" i="3"/>
  <c r="AZ68" i="3"/>
  <c r="AZ67" i="3"/>
  <c r="AZ66" i="3"/>
  <c r="AZ65" i="3"/>
  <c r="AZ64" i="3"/>
  <c r="AZ63" i="3"/>
  <c r="AZ62" i="3"/>
  <c r="AZ61" i="3"/>
  <c r="AZ60" i="3"/>
  <c r="AZ59" i="3"/>
  <c r="AZ58" i="3"/>
  <c r="AZ57" i="3"/>
  <c r="AZ56" i="3"/>
  <c r="AZ55" i="3"/>
  <c r="AZ54" i="3"/>
  <c r="AZ53" i="3"/>
  <c r="AZ52" i="3"/>
  <c r="AZ51" i="3"/>
  <c r="AZ50" i="3"/>
  <c r="AZ49" i="3"/>
  <c r="AZ48" i="3"/>
  <c r="AZ44" i="3"/>
  <c r="AZ43" i="3"/>
  <c r="AZ42" i="3"/>
  <c r="AZ41" i="3"/>
  <c r="AZ40" i="3"/>
  <c r="AZ39" i="3"/>
  <c r="AZ37" i="3"/>
  <c r="AZ36" i="3"/>
  <c r="AZ35" i="3"/>
  <c r="AZ34" i="3"/>
  <c r="AZ33" i="3"/>
  <c r="AZ32" i="3"/>
  <c r="AZ31" i="3"/>
  <c r="AZ29" i="3"/>
  <c r="AZ28" i="3"/>
  <c r="AZ27" i="3"/>
  <c r="AZ23" i="3"/>
  <c r="AZ22" i="3"/>
  <c r="AZ19" i="3"/>
  <c r="AZ18" i="3"/>
  <c r="AZ17" i="3"/>
  <c r="AZ16" i="3"/>
  <c r="AZ15" i="3"/>
  <c r="AZ14" i="3"/>
  <c r="AZ11" i="3"/>
  <c r="CT308" i="3"/>
  <c r="CT307" i="3"/>
  <c r="CT306" i="3"/>
  <c r="CT305" i="3"/>
  <c r="CT304" i="3"/>
  <c r="CT303" i="3"/>
  <c r="CT302" i="3"/>
  <c r="CT301" i="3"/>
  <c r="CT300" i="3"/>
  <c r="CT299" i="3"/>
  <c r="CT298" i="3"/>
  <c r="CT297" i="3"/>
  <c r="CT296" i="3"/>
  <c r="CT295" i="3"/>
  <c r="CT294" i="3"/>
  <c r="CT293" i="3"/>
  <c r="CT292" i="3"/>
  <c r="CT291" i="3"/>
  <c r="CT290" i="3"/>
  <c r="CT289" i="3"/>
  <c r="CT288" i="3"/>
  <c r="CT287" i="3"/>
  <c r="CT286" i="3"/>
  <c r="CT285" i="3"/>
  <c r="CT284" i="3"/>
  <c r="CT283" i="3"/>
  <c r="CT282" i="3"/>
  <c r="CT281" i="3"/>
  <c r="CT280" i="3"/>
  <c r="CT279" i="3"/>
  <c r="CT278" i="3"/>
  <c r="CT277" i="3"/>
  <c r="CT276" i="3"/>
  <c r="CT275" i="3"/>
  <c r="CT274" i="3"/>
  <c r="CT273" i="3"/>
  <c r="CT272" i="3"/>
  <c r="CT271" i="3"/>
  <c r="CT270" i="3"/>
  <c r="CT269" i="3"/>
  <c r="CT268" i="3"/>
  <c r="CT267" i="3"/>
  <c r="CT266" i="3"/>
  <c r="CT265" i="3"/>
  <c r="CT264" i="3"/>
  <c r="CT263" i="3"/>
  <c r="CT262" i="3"/>
  <c r="CT261" i="3"/>
  <c r="CT260" i="3"/>
  <c r="CT259" i="3"/>
  <c r="CT258" i="3"/>
  <c r="CT257" i="3"/>
  <c r="CT256" i="3"/>
  <c r="CT255" i="3"/>
  <c r="CT254" i="3"/>
  <c r="CT253" i="3"/>
  <c r="CT252" i="3"/>
  <c r="CT251" i="3"/>
  <c r="CT250" i="3"/>
  <c r="CT249" i="3"/>
  <c r="CT248" i="3"/>
  <c r="CT247" i="3"/>
  <c r="CT246" i="3"/>
  <c r="CT245" i="3"/>
  <c r="CT244" i="3"/>
  <c r="CT243" i="3"/>
  <c r="CT242" i="3"/>
  <c r="CT241" i="3"/>
  <c r="CT240" i="3"/>
  <c r="CT239" i="3"/>
  <c r="CT238" i="3"/>
  <c r="CT237" i="3"/>
  <c r="CT236" i="3"/>
  <c r="CT235" i="3"/>
  <c r="CT234" i="3"/>
  <c r="CT233" i="3"/>
  <c r="CT232" i="3"/>
  <c r="CT231" i="3"/>
  <c r="CT230" i="3"/>
  <c r="CT229" i="3"/>
  <c r="CT228" i="3"/>
  <c r="CT227" i="3"/>
  <c r="CT226" i="3"/>
  <c r="CT225" i="3"/>
  <c r="CT224" i="3"/>
  <c r="CT223" i="3"/>
  <c r="CT222" i="3"/>
  <c r="CT221" i="3"/>
  <c r="CT220" i="3"/>
  <c r="CT219" i="3"/>
  <c r="CT218" i="3"/>
  <c r="CT217" i="3"/>
  <c r="CT216" i="3"/>
  <c r="CT215" i="3"/>
  <c r="CT214" i="3"/>
  <c r="CT213" i="3"/>
  <c r="CT212" i="3"/>
  <c r="CT211" i="3"/>
  <c r="CT210" i="3"/>
  <c r="CT209" i="3"/>
  <c r="CT208" i="3"/>
  <c r="CT207" i="3"/>
  <c r="CT206" i="3"/>
  <c r="CT205" i="3"/>
  <c r="CT204" i="3"/>
  <c r="CT203" i="3"/>
  <c r="CT202" i="3"/>
  <c r="CT201" i="3"/>
  <c r="CT200" i="3"/>
  <c r="CT199" i="3"/>
  <c r="CT198" i="3"/>
  <c r="CT197" i="3"/>
  <c r="CT196" i="3"/>
  <c r="CT195" i="3"/>
  <c r="CT194" i="3"/>
  <c r="CT193" i="3"/>
  <c r="CT192" i="3"/>
  <c r="CT191" i="3"/>
  <c r="CT190" i="3"/>
  <c r="CT189" i="3"/>
  <c r="CT188" i="3"/>
  <c r="CT187" i="3"/>
  <c r="CT186" i="3"/>
  <c r="CT185" i="3"/>
  <c r="CT184" i="3"/>
  <c r="CT183" i="3"/>
  <c r="CT182" i="3"/>
  <c r="CT181" i="3"/>
  <c r="CT180" i="3"/>
  <c r="CT179" i="3"/>
  <c r="CT178" i="3"/>
  <c r="CT177" i="3"/>
  <c r="CT176" i="3"/>
  <c r="CT175" i="3"/>
  <c r="CT174" i="3"/>
  <c r="CT173" i="3"/>
  <c r="CT172" i="3"/>
  <c r="CT171" i="3"/>
  <c r="CT170" i="3"/>
  <c r="CT169" i="3"/>
  <c r="CT168" i="3"/>
  <c r="CT167" i="3"/>
  <c r="CT166" i="3"/>
  <c r="CT165" i="3"/>
  <c r="CT164" i="3"/>
  <c r="CT163" i="3"/>
  <c r="CT162" i="3"/>
  <c r="CT161" i="3"/>
  <c r="CT160" i="3"/>
  <c r="CT159" i="3"/>
  <c r="CT158" i="3"/>
  <c r="CT157" i="3"/>
  <c r="CT156" i="3"/>
  <c r="CT155" i="3"/>
  <c r="CT154" i="3"/>
  <c r="CT153" i="3"/>
  <c r="CT152" i="3"/>
  <c r="CT151" i="3"/>
  <c r="CT150" i="3"/>
  <c r="CT149" i="3"/>
  <c r="CT148" i="3"/>
  <c r="CT147" i="3"/>
  <c r="CT146" i="3"/>
  <c r="CT145" i="3"/>
  <c r="CT144" i="3"/>
  <c r="CT143" i="3"/>
  <c r="CT142" i="3"/>
  <c r="CT141" i="3"/>
  <c r="CT140" i="3"/>
  <c r="CT139" i="3"/>
  <c r="CT138" i="3"/>
  <c r="CT137" i="3"/>
  <c r="CT136" i="3"/>
  <c r="CT135" i="3"/>
  <c r="CT134" i="3"/>
  <c r="CT133" i="3"/>
  <c r="CT132" i="3"/>
  <c r="CT131" i="3"/>
  <c r="CT130" i="3"/>
  <c r="CT129" i="3"/>
  <c r="CT128" i="3"/>
  <c r="CT127" i="3"/>
  <c r="CT126" i="3"/>
  <c r="CT125" i="3"/>
  <c r="CT124" i="3"/>
  <c r="CT123" i="3"/>
  <c r="CT122" i="3"/>
  <c r="CT121" i="3"/>
  <c r="CT120" i="3"/>
  <c r="CT119" i="3"/>
  <c r="CT118" i="3"/>
  <c r="CT117" i="3"/>
  <c r="CT116" i="3"/>
  <c r="CT115" i="3"/>
  <c r="CT114" i="3"/>
  <c r="CT113" i="3"/>
  <c r="CT112" i="3"/>
  <c r="CT111" i="3"/>
  <c r="CT110" i="3"/>
  <c r="CT109" i="3"/>
  <c r="CT108" i="3"/>
  <c r="CT107" i="3"/>
  <c r="CT106" i="3"/>
  <c r="CT105" i="3"/>
  <c r="CT104" i="3"/>
  <c r="CT103" i="3"/>
  <c r="CT102" i="3"/>
  <c r="CT101" i="3"/>
  <c r="CT100" i="3"/>
  <c r="CT99" i="3"/>
  <c r="CT98" i="3"/>
  <c r="CT97" i="3"/>
  <c r="CT96" i="3"/>
  <c r="CT95" i="3"/>
  <c r="CT94" i="3"/>
  <c r="CT93" i="3"/>
  <c r="CT92" i="3"/>
  <c r="CT91" i="3"/>
  <c r="CT90" i="3"/>
  <c r="CT89" i="3"/>
  <c r="CT88" i="3"/>
  <c r="CT87" i="3"/>
  <c r="CT86" i="3"/>
  <c r="CT85" i="3"/>
  <c r="CT84" i="3"/>
  <c r="CT83" i="3"/>
  <c r="CT82" i="3"/>
  <c r="CT81" i="3"/>
  <c r="CT80" i="3"/>
  <c r="CT79" i="3"/>
  <c r="CT78" i="3"/>
  <c r="CT77" i="3"/>
  <c r="CT76" i="3"/>
  <c r="CT75" i="3"/>
  <c r="CT74" i="3"/>
  <c r="CT73" i="3"/>
  <c r="CT72" i="3"/>
  <c r="CT71" i="3"/>
  <c r="CT70" i="3"/>
  <c r="CT69" i="3"/>
  <c r="CT68" i="3"/>
  <c r="CT67" i="3"/>
  <c r="CT66" i="3"/>
  <c r="CT65" i="3"/>
  <c r="CT64" i="3"/>
  <c r="CT63" i="3"/>
  <c r="CT62" i="3"/>
  <c r="CT61" i="3"/>
  <c r="CT60" i="3"/>
  <c r="CT59" i="3"/>
  <c r="CT58" i="3"/>
  <c r="CT57" i="3"/>
  <c r="CT56" i="3"/>
  <c r="CT55" i="3"/>
  <c r="CT54" i="3"/>
  <c r="CT53" i="3"/>
  <c r="CT52" i="3"/>
  <c r="CT51" i="3"/>
  <c r="CT50" i="3"/>
  <c r="CT49" i="3"/>
  <c r="CT48" i="3"/>
  <c r="CT47" i="3"/>
  <c r="CT46" i="3"/>
  <c r="CT45" i="3"/>
  <c r="CT44" i="3"/>
  <c r="CT43" i="3"/>
  <c r="CT42" i="3"/>
  <c r="CT41" i="3"/>
  <c r="CT40" i="3"/>
  <c r="CT39" i="3"/>
  <c r="CT38" i="3"/>
  <c r="CT37" i="3"/>
  <c r="CT36" i="3"/>
  <c r="CT35" i="3"/>
  <c r="CT34" i="3"/>
  <c r="CT33" i="3"/>
  <c r="CT32" i="3"/>
  <c r="CT31" i="3"/>
  <c r="CT30" i="3"/>
  <c r="CT29" i="3"/>
  <c r="CT28" i="3"/>
  <c r="CT27" i="3"/>
  <c r="CT26" i="3"/>
  <c r="CT25" i="3"/>
  <c r="CT24" i="3"/>
  <c r="CT23" i="3"/>
  <c r="CT22" i="3"/>
  <c r="CT21" i="3"/>
  <c r="CT20" i="3"/>
  <c r="CT19" i="3"/>
  <c r="CT18" i="3"/>
  <c r="CT17" i="3"/>
  <c r="CT16" i="3"/>
  <c r="CT15" i="3"/>
  <c r="CT14" i="3"/>
  <c r="CT13" i="3"/>
  <c r="CT12" i="3"/>
  <c r="CT11" i="3"/>
  <c r="CT10" i="3"/>
  <c r="CT9" i="3"/>
  <c r="D12" i="1" l="1"/>
  <c r="T71" i="8"/>
  <c r="B52" i="1"/>
  <c r="DY308" i="3" l="1"/>
  <c r="DY307" i="3"/>
  <c r="DY306" i="3"/>
  <c r="DY305" i="3"/>
  <c r="DY304" i="3"/>
  <c r="DY303" i="3"/>
  <c r="DY302" i="3"/>
  <c r="DY301" i="3"/>
  <c r="DY300" i="3"/>
  <c r="DY299" i="3"/>
  <c r="DY298" i="3"/>
  <c r="DY297" i="3"/>
  <c r="DY296" i="3"/>
  <c r="DY295" i="3"/>
  <c r="DY294" i="3"/>
  <c r="DY293" i="3"/>
  <c r="DY292" i="3"/>
  <c r="DY291" i="3"/>
  <c r="DY290" i="3"/>
  <c r="DY289" i="3"/>
  <c r="DY288" i="3"/>
  <c r="DY287" i="3"/>
  <c r="DY286" i="3"/>
  <c r="DY285" i="3"/>
  <c r="DY284" i="3"/>
  <c r="DY283" i="3"/>
  <c r="DY282" i="3"/>
  <c r="DY281" i="3"/>
  <c r="DY280" i="3"/>
  <c r="DY279" i="3"/>
  <c r="DY278" i="3"/>
  <c r="DY277" i="3"/>
  <c r="DY276" i="3"/>
  <c r="DY275" i="3"/>
  <c r="DY274" i="3"/>
  <c r="DY273" i="3"/>
  <c r="DY272" i="3"/>
  <c r="DY271" i="3"/>
  <c r="DY270" i="3"/>
  <c r="DY269" i="3"/>
  <c r="DY268" i="3"/>
  <c r="DY267" i="3"/>
  <c r="DY266" i="3"/>
  <c r="DY265" i="3"/>
  <c r="DY264" i="3"/>
  <c r="DY263" i="3"/>
  <c r="DY262" i="3"/>
  <c r="DY261" i="3"/>
  <c r="DY260" i="3"/>
  <c r="DY259" i="3"/>
  <c r="DY258" i="3"/>
  <c r="DY257" i="3"/>
  <c r="DY256" i="3"/>
  <c r="DY255" i="3"/>
  <c r="DY254" i="3"/>
  <c r="DY253" i="3"/>
  <c r="DY252" i="3"/>
  <c r="DY251" i="3"/>
  <c r="DY250" i="3"/>
  <c r="DY249" i="3"/>
  <c r="DY248" i="3"/>
  <c r="DY247" i="3"/>
  <c r="DY246" i="3"/>
  <c r="DY245" i="3"/>
  <c r="DY244" i="3"/>
  <c r="DY243" i="3"/>
  <c r="DY242" i="3"/>
  <c r="DY241" i="3"/>
  <c r="DY240" i="3"/>
  <c r="DY239" i="3"/>
  <c r="DY238" i="3"/>
  <c r="DY237" i="3"/>
  <c r="DY236" i="3"/>
  <c r="DY235" i="3"/>
  <c r="DY234" i="3"/>
  <c r="DY233" i="3"/>
  <c r="DY232" i="3"/>
  <c r="DY231" i="3"/>
  <c r="DY230" i="3"/>
  <c r="DY229" i="3"/>
  <c r="DY228" i="3"/>
  <c r="DY227" i="3"/>
  <c r="DY226" i="3"/>
  <c r="DY225" i="3"/>
  <c r="DY224" i="3"/>
  <c r="DY223" i="3"/>
  <c r="DY222" i="3"/>
  <c r="DY221" i="3"/>
  <c r="DY220" i="3"/>
  <c r="DY219" i="3"/>
  <c r="DY218" i="3"/>
  <c r="DY217" i="3"/>
  <c r="DY216" i="3"/>
  <c r="DY215" i="3"/>
  <c r="DY214" i="3"/>
  <c r="DY213" i="3"/>
  <c r="DY212" i="3"/>
  <c r="DY211" i="3"/>
  <c r="DY210" i="3"/>
  <c r="DY209" i="3"/>
  <c r="DY208" i="3"/>
  <c r="DY207" i="3"/>
  <c r="DY206" i="3"/>
  <c r="DY205" i="3"/>
  <c r="DY204" i="3"/>
  <c r="DY203" i="3"/>
  <c r="DY202" i="3"/>
  <c r="DY201" i="3"/>
  <c r="DY200" i="3"/>
  <c r="DY199" i="3"/>
  <c r="DY198" i="3"/>
  <c r="DY197" i="3"/>
  <c r="DY196" i="3"/>
  <c r="DY195" i="3"/>
  <c r="DY194" i="3"/>
  <c r="DY193" i="3"/>
  <c r="DY192" i="3"/>
  <c r="DY191" i="3"/>
  <c r="DY190" i="3"/>
  <c r="DY189" i="3"/>
  <c r="DY188" i="3"/>
  <c r="DY187" i="3"/>
  <c r="DY186" i="3"/>
  <c r="DY185" i="3"/>
  <c r="DY184" i="3"/>
  <c r="DY183" i="3"/>
  <c r="DY182" i="3"/>
  <c r="DY181" i="3"/>
  <c r="DY180" i="3"/>
  <c r="DY179" i="3"/>
  <c r="DY178" i="3"/>
  <c r="DY177" i="3"/>
  <c r="DY176" i="3"/>
  <c r="DY175" i="3"/>
  <c r="DY174" i="3"/>
  <c r="DY173" i="3"/>
  <c r="DY172" i="3"/>
  <c r="DY171" i="3"/>
  <c r="DY170" i="3"/>
  <c r="DY169" i="3"/>
  <c r="DY168" i="3"/>
  <c r="DY167" i="3"/>
  <c r="DY166" i="3"/>
  <c r="DY165" i="3"/>
  <c r="DY164" i="3"/>
  <c r="DY163" i="3"/>
  <c r="DY162" i="3"/>
  <c r="DY161" i="3"/>
  <c r="DY160" i="3"/>
  <c r="DY159" i="3"/>
  <c r="DY158" i="3"/>
  <c r="DY157" i="3"/>
  <c r="DY156" i="3"/>
  <c r="DY155" i="3"/>
  <c r="DY154" i="3"/>
  <c r="DY153" i="3"/>
  <c r="DY152" i="3"/>
  <c r="DY151" i="3"/>
  <c r="DY150" i="3"/>
  <c r="DY149" i="3"/>
  <c r="DY148" i="3"/>
  <c r="DY147" i="3"/>
  <c r="DY146" i="3"/>
  <c r="DY145" i="3"/>
  <c r="DY144" i="3"/>
  <c r="DY143" i="3"/>
  <c r="DY142" i="3"/>
  <c r="DY141" i="3"/>
  <c r="DY140" i="3"/>
  <c r="DY139" i="3"/>
  <c r="DY138" i="3"/>
  <c r="DY137" i="3"/>
  <c r="DY136" i="3"/>
  <c r="DY135" i="3"/>
  <c r="DY134" i="3"/>
  <c r="DY133" i="3"/>
  <c r="DY132" i="3"/>
  <c r="DY131" i="3"/>
  <c r="DY130" i="3"/>
  <c r="DY129" i="3"/>
  <c r="DY128" i="3"/>
  <c r="DY127" i="3"/>
  <c r="DY126" i="3"/>
  <c r="DY125" i="3"/>
  <c r="DY124" i="3"/>
  <c r="DY123" i="3"/>
  <c r="DY122" i="3"/>
  <c r="DY121" i="3"/>
  <c r="DY120" i="3"/>
  <c r="DY119" i="3"/>
  <c r="DY118" i="3"/>
  <c r="DY117" i="3"/>
  <c r="DY116" i="3"/>
  <c r="DY115" i="3"/>
  <c r="DY114" i="3"/>
  <c r="DY113" i="3"/>
  <c r="DY112" i="3"/>
  <c r="DY111" i="3"/>
  <c r="DY110" i="3"/>
  <c r="DY109" i="3"/>
  <c r="DY108" i="3"/>
  <c r="DY107" i="3"/>
  <c r="DY106" i="3"/>
  <c r="DY105" i="3"/>
  <c r="DY104" i="3"/>
  <c r="DY103" i="3"/>
  <c r="DY102" i="3"/>
  <c r="DY101" i="3"/>
  <c r="DY100" i="3"/>
  <c r="DY99" i="3"/>
  <c r="DY98" i="3"/>
  <c r="DY97" i="3"/>
  <c r="DY96" i="3"/>
  <c r="DY95" i="3"/>
  <c r="DY94" i="3"/>
  <c r="DY93" i="3"/>
  <c r="DY92" i="3"/>
  <c r="DY91" i="3"/>
  <c r="DY90" i="3"/>
  <c r="DY89" i="3"/>
  <c r="DY88" i="3"/>
  <c r="DY87" i="3"/>
  <c r="DY86" i="3"/>
  <c r="DY85" i="3"/>
  <c r="DY84" i="3"/>
  <c r="DY83" i="3"/>
  <c r="DY82" i="3"/>
  <c r="DY81" i="3"/>
  <c r="DY80" i="3"/>
  <c r="DY79" i="3"/>
  <c r="DY78" i="3"/>
  <c r="DY77" i="3"/>
  <c r="DY76" i="3"/>
  <c r="DY75" i="3"/>
  <c r="DY74" i="3"/>
  <c r="DY73" i="3"/>
  <c r="DY72" i="3"/>
  <c r="DY71" i="3"/>
  <c r="DY70" i="3"/>
  <c r="DY69" i="3"/>
  <c r="DY68" i="3"/>
  <c r="DY67" i="3"/>
  <c r="DY66" i="3"/>
  <c r="DY65" i="3"/>
  <c r="DY64" i="3"/>
  <c r="DY63" i="3"/>
  <c r="DY62" i="3"/>
  <c r="DY61" i="3"/>
  <c r="DY60" i="3"/>
  <c r="DY59" i="3"/>
  <c r="DY58" i="3"/>
  <c r="DY57" i="3"/>
  <c r="DY56" i="3"/>
  <c r="DY55" i="3"/>
  <c r="DY54" i="3"/>
  <c r="DY53" i="3"/>
  <c r="DY52" i="3"/>
  <c r="DY51" i="3"/>
  <c r="DY50" i="3"/>
  <c r="DY49" i="3"/>
  <c r="DY48" i="3"/>
  <c r="DY47" i="3"/>
  <c r="DY46" i="3"/>
  <c r="DY45" i="3"/>
  <c r="DY44" i="3"/>
  <c r="DY43" i="3"/>
  <c r="DY42" i="3"/>
  <c r="DY41" i="3"/>
  <c r="DY40" i="3"/>
  <c r="DY39" i="3"/>
  <c r="DY38" i="3"/>
  <c r="DY37" i="3"/>
  <c r="DY36" i="3"/>
  <c r="DY35" i="3"/>
  <c r="DY34" i="3"/>
  <c r="DY33" i="3"/>
  <c r="DY32" i="3"/>
  <c r="DY31" i="3"/>
  <c r="DY30" i="3"/>
  <c r="DY29" i="3"/>
  <c r="DY28" i="3"/>
  <c r="DY27" i="3"/>
  <c r="DY26" i="3"/>
  <c r="DY25" i="3"/>
  <c r="DY24" i="3"/>
  <c r="DY23" i="3"/>
  <c r="DY22" i="3"/>
  <c r="DY21" i="3"/>
  <c r="DY20" i="3"/>
  <c r="DY19" i="3"/>
  <c r="DY18" i="3"/>
  <c r="DY17" i="3"/>
  <c r="DY16" i="3"/>
  <c r="DY15" i="3"/>
  <c r="DY14" i="3"/>
  <c r="DY13" i="3"/>
  <c r="DY12" i="3"/>
  <c r="DY11" i="3"/>
  <c r="DY10" i="3"/>
  <c r="DY9" i="3"/>
  <c r="AV308" i="3" l="1"/>
  <c r="AV307" i="3"/>
  <c r="AV306" i="3"/>
  <c r="AV305" i="3"/>
  <c r="AV304" i="3"/>
  <c r="AV303" i="3"/>
  <c r="AV302" i="3"/>
  <c r="AV301" i="3"/>
  <c r="AV300" i="3"/>
  <c r="AV299" i="3"/>
  <c r="AV298" i="3"/>
  <c r="AV297" i="3"/>
  <c r="AV296" i="3"/>
  <c r="AV295" i="3"/>
  <c r="AV294" i="3"/>
  <c r="AV293" i="3"/>
  <c r="AV292" i="3"/>
  <c r="AV291" i="3"/>
  <c r="AV290" i="3"/>
  <c r="AV289" i="3"/>
  <c r="AV288" i="3"/>
  <c r="AV287" i="3"/>
  <c r="AV286" i="3"/>
  <c r="AV285" i="3"/>
  <c r="AV284" i="3"/>
  <c r="AV283" i="3"/>
  <c r="AV282" i="3"/>
  <c r="AV281" i="3"/>
  <c r="AV280" i="3"/>
  <c r="AV279" i="3"/>
  <c r="AV278" i="3"/>
  <c r="AV277" i="3"/>
  <c r="AV276" i="3"/>
  <c r="AV275" i="3"/>
  <c r="AV274" i="3"/>
  <c r="AV273" i="3"/>
  <c r="AV272" i="3"/>
  <c r="AV271" i="3"/>
  <c r="AV270" i="3"/>
  <c r="AV269" i="3"/>
  <c r="AV268" i="3"/>
  <c r="AV267" i="3"/>
  <c r="AV266" i="3"/>
  <c r="AV265" i="3"/>
  <c r="AV264" i="3"/>
  <c r="AV263" i="3"/>
  <c r="AV262" i="3"/>
  <c r="AV261" i="3"/>
  <c r="AV260" i="3"/>
  <c r="AV259" i="3"/>
  <c r="AV258" i="3"/>
  <c r="AV257" i="3"/>
  <c r="AV256" i="3"/>
  <c r="AV255" i="3"/>
  <c r="AV254" i="3"/>
  <c r="AV253" i="3"/>
  <c r="AV252" i="3"/>
  <c r="AV251" i="3"/>
  <c r="AV250" i="3"/>
  <c r="AV249" i="3"/>
  <c r="AV248" i="3"/>
  <c r="AV247" i="3"/>
  <c r="AV246" i="3"/>
  <c r="AV245" i="3"/>
  <c r="AV244" i="3"/>
  <c r="AV243" i="3"/>
  <c r="AV242" i="3"/>
  <c r="AV241" i="3"/>
  <c r="AV240" i="3"/>
  <c r="AV239" i="3"/>
  <c r="AV238" i="3"/>
  <c r="AV237" i="3"/>
  <c r="AV236" i="3"/>
  <c r="AV235" i="3"/>
  <c r="AV234" i="3"/>
  <c r="AV233" i="3"/>
  <c r="AV232" i="3"/>
  <c r="AV231" i="3"/>
  <c r="AV230" i="3"/>
  <c r="AV229" i="3"/>
  <c r="AV228" i="3"/>
  <c r="AV227" i="3"/>
  <c r="AV226" i="3"/>
  <c r="AV225" i="3"/>
  <c r="AV224" i="3"/>
  <c r="AV223" i="3"/>
  <c r="AV222" i="3"/>
  <c r="AV221" i="3"/>
  <c r="AV220" i="3"/>
  <c r="AV219" i="3"/>
  <c r="AV218" i="3"/>
  <c r="AV217" i="3"/>
  <c r="AV216" i="3"/>
  <c r="AV215" i="3"/>
  <c r="AV214" i="3"/>
  <c r="AV213" i="3"/>
  <c r="AV212" i="3"/>
  <c r="AV211" i="3"/>
  <c r="AV210" i="3"/>
  <c r="AV209" i="3"/>
  <c r="AV208" i="3"/>
  <c r="AV207" i="3"/>
  <c r="AV206" i="3"/>
  <c r="AV205" i="3"/>
  <c r="AV204" i="3"/>
  <c r="AV203" i="3"/>
  <c r="AV202" i="3"/>
  <c r="AV201" i="3"/>
  <c r="AV200" i="3"/>
  <c r="AV199" i="3"/>
  <c r="AV198" i="3"/>
  <c r="AV197" i="3"/>
  <c r="AV196" i="3"/>
  <c r="AV195" i="3"/>
  <c r="AV194" i="3"/>
  <c r="AV193" i="3"/>
  <c r="AV192" i="3"/>
  <c r="AV191" i="3"/>
  <c r="AV190" i="3"/>
  <c r="AV189" i="3"/>
  <c r="AV188" i="3"/>
  <c r="AV187" i="3"/>
  <c r="AV186" i="3"/>
  <c r="AV185" i="3"/>
  <c r="AV184" i="3"/>
  <c r="AV183" i="3"/>
  <c r="AV182" i="3"/>
  <c r="AV181" i="3"/>
  <c r="AV180" i="3"/>
  <c r="AV179" i="3"/>
  <c r="AV178" i="3"/>
  <c r="AV177" i="3"/>
  <c r="AV176" i="3"/>
  <c r="AV175" i="3"/>
  <c r="AV174" i="3"/>
  <c r="AV173" i="3"/>
  <c r="AV172" i="3"/>
  <c r="AV171" i="3"/>
  <c r="AV170" i="3"/>
  <c r="AV169" i="3"/>
  <c r="AV168" i="3"/>
  <c r="AV167" i="3"/>
  <c r="AV166" i="3"/>
  <c r="AV165" i="3"/>
  <c r="AV164" i="3"/>
  <c r="AV163" i="3"/>
  <c r="AV162" i="3"/>
  <c r="AV161" i="3"/>
  <c r="AV160" i="3"/>
  <c r="AV159" i="3"/>
  <c r="AV158" i="3"/>
  <c r="AV157" i="3"/>
  <c r="AV156" i="3"/>
  <c r="AV155" i="3"/>
  <c r="AV154" i="3"/>
  <c r="AV153" i="3"/>
  <c r="AV152" i="3"/>
  <c r="AV151" i="3"/>
  <c r="AV150" i="3"/>
  <c r="AV149" i="3"/>
  <c r="AV148" i="3"/>
  <c r="AV147" i="3"/>
  <c r="AV146" i="3"/>
  <c r="AV145" i="3"/>
  <c r="AV144" i="3"/>
  <c r="AV143" i="3"/>
  <c r="AV142" i="3"/>
  <c r="AV141" i="3"/>
  <c r="AV140" i="3"/>
  <c r="AV139" i="3"/>
  <c r="AV138" i="3"/>
  <c r="AV137" i="3"/>
  <c r="AV136" i="3"/>
  <c r="AV135" i="3"/>
  <c r="AV134" i="3"/>
  <c r="AV133" i="3"/>
  <c r="AV132" i="3"/>
  <c r="AV131" i="3"/>
  <c r="AV130" i="3"/>
  <c r="AV129" i="3"/>
  <c r="AV128" i="3"/>
  <c r="AV127" i="3"/>
  <c r="AV126" i="3"/>
  <c r="AV125" i="3"/>
  <c r="AV124" i="3"/>
  <c r="AV123" i="3"/>
  <c r="AV122" i="3"/>
  <c r="AV121" i="3"/>
  <c r="AV120" i="3"/>
  <c r="AV119" i="3"/>
  <c r="AV118" i="3"/>
  <c r="AV117" i="3"/>
  <c r="AV116" i="3"/>
  <c r="AV115" i="3"/>
  <c r="AV114" i="3"/>
  <c r="AV113" i="3"/>
  <c r="AV112" i="3"/>
  <c r="AV111" i="3"/>
  <c r="AV110" i="3"/>
  <c r="AV109" i="3"/>
  <c r="AV108" i="3"/>
  <c r="AV107" i="3"/>
  <c r="AV106" i="3"/>
  <c r="AV105" i="3"/>
  <c r="AV104" i="3"/>
  <c r="AV103" i="3"/>
  <c r="AV102" i="3"/>
  <c r="AV101" i="3"/>
  <c r="AV100" i="3"/>
  <c r="AV99" i="3"/>
  <c r="AV98" i="3"/>
  <c r="AV97" i="3"/>
  <c r="AV96" i="3"/>
  <c r="AV95" i="3"/>
  <c r="AV94" i="3"/>
  <c r="AV93" i="3"/>
  <c r="AV92" i="3"/>
  <c r="AV91" i="3"/>
  <c r="AV90" i="3"/>
  <c r="AV89" i="3"/>
  <c r="AV88" i="3"/>
  <c r="AV87" i="3"/>
  <c r="AV86" i="3"/>
  <c r="AV85" i="3"/>
  <c r="AV84" i="3"/>
  <c r="AV83" i="3"/>
  <c r="AV82" i="3"/>
  <c r="AV81" i="3"/>
  <c r="AV80" i="3"/>
  <c r="AV79" i="3"/>
  <c r="AV78" i="3"/>
  <c r="AV77" i="3"/>
  <c r="AV76" i="3"/>
  <c r="AV75" i="3"/>
  <c r="AV74" i="3"/>
  <c r="AV73" i="3"/>
  <c r="AV72" i="3"/>
  <c r="AV71" i="3"/>
  <c r="AV70" i="3"/>
  <c r="AV69" i="3"/>
  <c r="AV68" i="3"/>
  <c r="AV67" i="3"/>
  <c r="AV66" i="3"/>
  <c r="AV65" i="3"/>
  <c r="AV64" i="3"/>
  <c r="AV63" i="3"/>
  <c r="AV62" i="3"/>
  <c r="AV61" i="3"/>
  <c r="AV60" i="3"/>
  <c r="AV59" i="3"/>
  <c r="AV58" i="3"/>
  <c r="AV57" i="3"/>
  <c r="AV56" i="3"/>
  <c r="AV55" i="3"/>
  <c r="AV54" i="3"/>
  <c r="AV53" i="3"/>
  <c r="AV52" i="3"/>
  <c r="AV51" i="3"/>
  <c r="AV50" i="3"/>
  <c r="AV49" i="3"/>
  <c r="AV48" i="3"/>
  <c r="AV44" i="3"/>
  <c r="AV43" i="3"/>
  <c r="AV39" i="3"/>
  <c r="BE9" i="3" a="1"/>
  <c r="BE9" i="3" s="1"/>
  <c r="DG308" i="3"/>
  <c r="DG307" i="3"/>
  <c r="DG306" i="3"/>
  <c r="DG305" i="3"/>
  <c r="DG304" i="3"/>
  <c r="DG303" i="3"/>
  <c r="DG302" i="3"/>
  <c r="DG301" i="3"/>
  <c r="DG300" i="3"/>
  <c r="DG299" i="3"/>
  <c r="DG298" i="3"/>
  <c r="DG297" i="3"/>
  <c r="DG296" i="3"/>
  <c r="DG295" i="3"/>
  <c r="DG294" i="3"/>
  <c r="DG293" i="3"/>
  <c r="DG292" i="3"/>
  <c r="DG291" i="3"/>
  <c r="DG290" i="3"/>
  <c r="DG289" i="3"/>
  <c r="DG288" i="3"/>
  <c r="DG287" i="3"/>
  <c r="DG286" i="3"/>
  <c r="DG285" i="3"/>
  <c r="DG284" i="3"/>
  <c r="DG283" i="3"/>
  <c r="DG282" i="3"/>
  <c r="DG281" i="3"/>
  <c r="DG280" i="3"/>
  <c r="DG279" i="3"/>
  <c r="DG278" i="3"/>
  <c r="DG277" i="3"/>
  <c r="DG276" i="3"/>
  <c r="DG275" i="3"/>
  <c r="DG274" i="3"/>
  <c r="DG273" i="3"/>
  <c r="DG272" i="3"/>
  <c r="DG271" i="3"/>
  <c r="DG270" i="3"/>
  <c r="DG269" i="3"/>
  <c r="DG268" i="3"/>
  <c r="DG267" i="3"/>
  <c r="DG266" i="3"/>
  <c r="DG265" i="3"/>
  <c r="DG264" i="3"/>
  <c r="DG263" i="3"/>
  <c r="DG262" i="3"/>
  <c r="DG261" i="3"/>
  <c r="DG260" i="3"/>
  <c r="DG259" i="3"/>
  <c r="DG258" i="3"/>
  <c r="DG257" i="3"/>
  <c r="DG256" i="3"/>
  <c r="DG255" i="3"/>
  <c r="DG254" i="3"/>
  <c r="DG253" i="3"/>
  <c r="DG252" i="3"/>
  <c r="DG251" i="3"/>
  <c r="DG250" i="3"/>
  <c r="DG249" i="3"/>
  <c r="DG248" i="3"/>
  <c r="DG247" i="3"/>
  <c r="DG246" i="3"/>
  <c r="DG245" i="3"/>
  <c r="DG244" i="3"/>
  <c r="DG243" i="3"/>
  <c r="DG242" i="3"/>
  <c r="DG241" i="3"/>
  <c r="DG240" i="3"/>
  <c r="DG239" i="3"/>
  <c r="DG238" i="3"/>
  <c r="DG237" i="3"/>
  <c r="DG236" i="3"/>
  <c r="DG235" i="3"/>
  <c r="DG234" i="3"/>
  <c r="DG233" i="3"/>
  <c r="DG232" i="3"/>
  <c r="DG231" i="3"/>
  <c r="DG230" i="3"/>
  <c r="DG229" i="3"/>
  <c r="DG228" i="3"/>
  <c r="DG227" i="3"/>
  <c r="DG226" i="3"/>
  <c r="DG225" i="3"/>
  <c r="DG224" i="3"/>
  <c r="DG223" i="3"/>
  <c r="DG222" i="3"/>
  <c r="DG221" i="3"/>
  <c r="DG220" i="3"/>
  <c r="DG219" i="3"/>
  <c r="DG218" i="3"/>
  <c r="DG217" i="3"/>
  <c r="DG216" i="3"/>
  <c r="DG215" i="3"/>
  <c r="DG214" i="3"/>
  <c r="DG213" i="3"/>
  <c r="DG212" i="3"/>
  <c r="DG211" i="3"/>
  <c r="DG210" i="3"/>
  <c r="DG209" i="3"/>
  <c r="DG208" i="3"/>
  <c r="DG207" i="3"/>
  <c r="DG206" i="3"/>
  <c r="DG205" i="3"/>
  <c r="DG204" i="3"/>
  <c r="DG203" i="3"/>
  <c r="DG202" i="3"/>
  <c r="DG201" i="3"/>
  <c r="DG200" i="3"/>
  <c r="DG199" i="3"/>
  <c r="DG198" i="3"/>
  <c r="DG197" i="3"/>
  <c r="DG196" i="3"/>
  <c r="DG195" i="3"/>
  <c r="DG194" i="3"/>
  <c r="DG193" i="3"/>
  <c r="DG192" i="3"/>
  <c r="DG191" i="3"/>
  <c r="DG190" i="3"/>
  <c r="DG189" i="3"/>
  <c r="DG188" i="3"/>
  <c r="DG187" i="3"/>
  <c r="DG186" i="3"/>
  <c r="DG185" i="3"/>
  <c r="DG184" i="3"/>
  <c r="DG183" i="3"/>
  <c r="DG182" i="3"/>
  <c r="DG181" i="3"/>
  <c r="DG180" i="3"/>
  <c r="DG179" i="3"/>
  <c r="DG178" i="3"/>
  <c r="DG177" i="3"/>
  <c r="DG176" i="3"/>
  <c r="DG175" i="3"/>
  <c r="DG174" i="3"/>
  <c r="DG173" i="3"/>
  <c r="DG172" i="3"/>
  <c r="DG171" i="3"/>
  <c r="DG170" i="3"/>
  <c r="DG169" i="3"/>
  <c r="DG168" i="3"/>
  <c r="DG167" i="3"/>
  <c r="DG166" i="3"/>
  <c r="DG165" i="3"/>
  <c r="DG164" i="3"/>
  <c r="DG163" i="3"/>
  <c r="DG162" i="3"/>
  <c r="DG161" i="3"/>
  <c r="DG160" i="3"/>
  <c r="DG159" i="3"/>
  <c r="DG158" i="3"/>
  <c r="DG157" i="3"/>
  <c r="DG156" i="3"/>
  <c r="DG155" i="3"/>
  <c r="DG154" i="3"/>
  <c r="DG153" i="3"/>
  <c r="DG152" i="3"/>
  <c r="DG151" i="3"/>
  <c r="DG150" i="3"/>
  <c r="DG149" i="3"/>
  <c r="DG148" i="3"/>
  <c r="DG147" i="3"/>
  <c r="DG146" i="3"/>
  <c r="DG145" i="3"/>
  <c r="DG144" i="3"/>
  <c r="DG143" i="3"/>
  <c r="DG142" i="3"/>
  <c r="DG141" i="3"/>
  <c r="DG140" i="3"/>
  <c r="DG139" i="3"/>
  <c r="DG138" i="3"/>
  <c r="DG137" i="3"/>
  <c r="DG136" i="3"/>
  <c r="DG135" i="3"/>
  <c r="DG134" i="3"/>
  <c r="DG133" i="3"/>
  <c r="DG132" i="3"/>
  <c r="DG131" i="3"/>
  <c r="DG130" i="3"/>
  <c r="DG129" i="3"/>
  <c r="DG128" i="3"/>
  <c r="DG127" i="3"/>
  <c r="DG126" i="3"/>
  <c r="DG125" i="3"/>
  <c r="DG124" i="3"/>
  <c r="DG123" i="3"/>
  <c r="DG122" i="3"/>
  <c r="DG121" i="3"/>
  <c r="DG120" i="3"/>
  <c r="DG119" i="3"/>
  <c r="DG118" i="3"/>
  <c r="DG117" i="3"/>
  <c r="DG116" i="3"/>
  <c r="DG115" i="3"/>
  <c r="DG114" i="3"/>
  <c r="DG113" i="3"/>
  <c r="DG112" i="3"/>
  <c r="DG111" i="3"/>
  <c r="DG110" i="3"/>
  <c r="DG109" i="3"/>
  <c r="DG108" i="3"/>
  <c r="DG107" i="3"/>
  <c r="DG106" i="3"/>
  <c r="DG105" i="3"/>
  <c r="DG104" i="3"/>
  <c r="DG103" i="3"/>
  <c r="DG102" i="3"/>
  <c r="DG101" i="3"/>
  <c r="DG100" i="3"/>
  <c r="DG99" i="3"/>
  <c r="DG98" i="3"/>
  <c r="DG97" i="3"/>
  <c r="DG96" i="3"/>
  <c r="DG95" i="3"/>
  <c r="DG94" i="3"/>
  <c r="DG93" i="3"/>
  <c r="DG92" i="3"/>
  <c r="DG91" i="3"/>
  <c r="DG90" i="3"/>
  <c r="DG89" i="3"/>
  <c r="DG88" i="3"/>
  <c r="DG87" i="3"/>
  <c r="DG86" i="3"/>
  <c r="DG85" i="3"/>
  <c r="DG84" i="3"/>
  <c r="DG83" i="3"/>
  <c r="DG82" i="3"/>
  <c r="DG81" i="3"/>
  <c r="DG80" i="3"/>
  <c r="DG79" i="3"/>
  <c r="DG78" i="3"/>
  <c r="DG77" i="3"/>
  <c r="DG76" i="3"/>
  <c r="DG75" i="3"/>
  <c r="DG74" i="3"/>
  <c r="DG73" i="3"/>
  <c r="DG72" i="3"/>
  <c r="DG71" i="3"/>
  <c r="DG70" i="3"/>
  <c r="DG69" i="3"/>
  <c r="DG68" i="3"/>
  <c r="DG67" i="3"/>
  <c r="DG66" i="3"/>
  <c r="DG65" i="3"/>
  <c r="DG64" i="3"/>
  <c r="DG63" i="3"/>
  <c r="DG62" i="3"/>
  <c r="DG61" i="3"/>
  <c r="DG60" i="3"/>
  <c r="DG59" i="3"/>
  <c r="DG58" i="3"/>
  <c r="DG57" i="3"/>
  <c r="DG56" i="3"/>
  <c r="DG55" i="3"/>
  <c r="DG54" i="3"/>
  <c r="DG53" i="3"/>
  <c r="DG52" i="3"/>
  <c r="DG51" i="3"/>
  <c r="DG50" i="3"/>
  <c r="DG49" i="3"/>
  <c r="DG48" i="3"/>
  <c r="DG47" i="3"/>
  <c r="DG46" i="3"/>
  <c r="DG45" i="3"/>
  <c r="DG44" i="3"/>
  <c r="DG43" i="3"/>
  <c r="DG42" i="3"/>
  <c r="DG41" i="3"/>
  <c r="DG40" i="3"/>
  <c r="DG39" i="3"/>
  <c r="DG38" i="3"/>
  <c r="DG37" i="3"/>
  <c r="DG36" i="3"/>
  <c r="DG35" i="3"/>
  <c r="DG34" i="3"/>
  <c r="DG33" i="3"/>
  <c r="DG32" i="3"/>
  <c r="DG31" i="3"/>
  <c r="DG30" i="3"/>
  <c r="DG29" i="3"/>
  <c r="DG28" i="3"/>
  <c r="DG27" i="3"/>
  <c r="DG26" i="3"/>
  <c r="DG25" i="3"/>
  <c r="DG24" i="3"/>
  <c r="DG23" i="3"/>
  <c r="DG22" i="3"/>
  <c r="DG21" i="3"/>
  <c r="DG20" i="3"/>
  <c r="DG19" i="3"/>
  <c r="DG18" i="3"/>
  <c r="DG17" i="3"/>
  <c r="DG16" i="3"/>
  <c r="DG15" i="3"/>
  <c r="DG14" i="3"/>
  <c r="DG13" i="3"/>
  <c r="DG12" i="3"/>
  <c r="DG11" i="3"/>
  <c r="DG10" i="3"/>
  <c r="AH308" i="3"/>
  <c r="AH307" i="3"/>
  <c r="AH306" i="3"/>
  <c r="AH305" i="3"/>
  <c r="AH304" i="3"/>
  <c r="AH303" i="3"/>
  <c r="AH302" i="3"/>
  <c r="AH301" i="3"/>
  <c r="AH300" i="3"/>
  <c r="AH299" i="3"/>
  <c r="AH298" i="3"/>
  <c r="AH297" i="3"/>
  <c r="AH296" i="3"/>
  <c r="AH295" i="3"/>
  <c r="AH294" i="3"/>
  <c r="AH293" i="3"/>
  <c r="AH292" i="3"/>
  <c r="AH291" i="3"/>
  <c r="AH290" i="3"/>
  <c r="AH289" i="3"/>
  <c r="AH288" i="3"/>
  <c r="AH287" i="3"/>
  <c r="AH286" i="3"/>
  <c r="AH285" i="3"/>
  <c r="AH284" i="3"/>
  <c r="AH283" i="3"/>
  <c r="AH282" i="3"/>
  <c r="AH281" i="3"/>
  <c r="AH280" i="3"/>
  <c r="AH279" i="3"/>
  <c r="AH278" i="3"/>
  <c r="AH277" i="3"/>
  <c r="AH276" i="3"/>
  <c r="AH275" i="3"/>
  <c r="AH274" i="3"/>
  <c r="AH273" i="3"/>
  <c r="AH272" i="3"/>
  <c r="AH271" i="3"/>
  <c r="AH270" i="3"/>
  <c r="AH269" i="3"/>
  <c r="AH268" i="3"/>
  <c r="AH267" i="3"/>
  <c r="AH266" i="3"/>
  <c r="AH265" i="3"/>
  <c r="AH264" i="3"/>
  <c r="AH263" i="3"/>
  <c r="AH262" i="3"/>
  <c r="AH261" i="3"/>
  <c r="AH260" i="3"/>
  <c r="AH259" i="3"/>
  <c r="AH258" i="3"/>
  <c r="AH257" i="3"/>
  <c r="AH256" i="3"/>
  <c r="AH255" i="3"/>
  <c r="AH254" i="3"/>
  <c r="AH253" i="3"/>
  <c r="AH252" i="3"/>
  <c r="AH251" i="3"/>
  <c r="AH250" i="3"/>
  <c r="AH249" i="3"/>
  <c r="AH248" i="3"/>
  <c r="AH247" i="3"/>
  <c r="AH246" i="3"/>
  <c r="AH245" i="3"/>
  <c r="AH244" i="3"/>
  <c r="AH243" i="3"/>
  <c r="AH242"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H217" i="3"/>
  <c r="AH216" i="3"/>
  <c r="AH215"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H175" i="3"/>
  <c r="AH174" i="3"/>
  <c r="AH173" i="3"/>
  <c r="AH172" i="3"/>
  <c r="AH171" i="3"/>
  <c r="AH170" i="3"/>
  <c r="AH169" i="3"/>
  <c r="AH168" i="3"/>
  <c r="AH167" i="3"/>
  <c r="AH166" i="3"/>
  <c r="AH165" i="3"/>
  <c r="AH164" i="3"/>
  <c r="AH163" i="3"/>
  <c r="AH162" i="3"/>
  <c r="AH161" i="3"/>
  <c r="AH160" i="3"/>
  <c r="AH159" i="3"/>
  <c r="AH158" i="3"/>
  <c r="AH157" i="3"/>
  <c r="AH156" i="3"/>
  <c r="AH155" i="3"/>
  <c r="AH154" i="3"/>
  <c r="AH153" i="3"/>
  <c r="AH152" i="3"/>
  <c r="AH151" i="3"/>
  <c r="AH150" i="3"/>
  <c r="AH149" i="3"/>
  <c r="AH148" i="3"/>
  <c r="AH147" i="3"/>
  <c r="AH146" i="3"/>
  <c r="AH145" i="3"/>
  <c r="AH144" i="3"/>
  <c r="AH143" i="3"/>
  <c r="AH142" i="3"/>
  <c r="AH141" i="3"/>
  <c r="AH140" i="3"/>
  <c r="AH139" i="3"/>
  <c r="AH138" i="3"/>
  <c r="AH137" i="3"/>
  <c r="AH136" i="3"/>
  <c r="AH135" i="3"/>
  <c r="AH134" i="3"/>
  <c r="AH133" i="3"/>
  <c r="AH132" i="3"/>
  <c r="AH131" i="3"/>
  <c r="AH130" i="3"/>
  <c r="AH129" i="3"/>
  <c r="AH128" i="3"/>
  <c r="AH127" i="3"/>
  <c r="AH126" i="3"/>
  <c r="AH125" i="3"/>
  <c r="AH124" i="3"/>
  <c r="AH123" i="3"/>
  <c r="AH122" i="3"/>
  <c r="AH121" i="3"/>
  <c r="AH120" i="3"/>
  <c r="AH119" i="3"/>
  <c r="AH118" i="3"/>
  <c r="AH117" i="3"/>
  <c r="AH116" i="3"/>
  <c r="AH115" i="3"/>
  <c r="AH114" i="3"/>
  <c r="AH113" i="3"/>
  <c r="AH112" i="3"/>
  <c r="AH111" i="3"/>
  <c r="AH110" i="3"/>
  <c r="AH109" i="3"/>
  <c r="AH108" i="3"/>
  <c r="AH107" i="3"/>
  <c r="AH106" i="3"/>
  <c r="AH105" i="3"/>
  <c r="AH104" i="3"/>
  <c r="AH103" i="3"/>
  <c r="AH102" i="3"/>
  <c r="AH101" i="3"/>
  <c r="AH100" i="3"/>
  <c r="AH99" i="3"/>
  <c r="AH98" i="3"/>
  <c r="AH97" i="3"/>
  <c r="AH96" i="3"/>
  <c r="AH95" i="3"/>
  <c r="AH94" i="3"/>
  <c r="AH93" i="3"/>
  <c r="AH92" i="3"/>
  <c r="AH91" i="3"/>
  <c r="AH90" i="3"/>
  <c r="AH89" i="3"/>
  <c r="AH88" i="3"/>
  <c r="AH87" i="3"/>
  <c r="AH86" i="3"/>
  <c r="AH85" i="3"/>
  <c r="AH84" i="3"/>
  <c r="AH83" i="3"/>
  <c r="AH82" i="3"/>
  <c r="AH81" i="3"/>
  <c r="AH80" i="3"/>
  <c r="AH79" i="3"/>
  <c r="AH78" i="3"/>
  <c r="AH77" i="3"/>
  <c r="AH76" i="3"/>
  <c r="AH75" i="3"/>
  <c r="AH74" i="3"/>
  <c r="AH73" i="3"/>
  <c r="AH72" i="3"/>
  <c r="AH71" i="3"/>
  <c r="AH70" i="3"/>
  <c r="AH69" i="3"/>
  <c r="AH68" i="3"/>
  <c r="AH67" i="3"/>
  <c r="AH66" i="3"/>
  <c r="AH65" i="3"/>
  <c r="AH64" i="3"/>
  <c r="AH63" i="3"/>
  <c r="AH62" i="3"/>
  <c r="AH61" i="3"/>
  <c r="AH60" i="3"/>
  <c r="AH59" i="3"/>
  <c r="AH58" i="3"/>
  <c r="AH57" i="3"/>
  <c r="AH56" i="3"/>
  <c r="AH55" i="3"/>
  <c r="AH54" i="3"/>
  <c r="AH53" i="3"/>
  <c r="AH52" i="3"/>
  <c r="AH51" i="3"/>
  <c r="AH50" i="3"/>
  <c r="CI308" i="3" l="1"/>
  <c r="CI307" i="3"/>
  <c r="CI306" i="3"/>
  <c r="CI305" i="3"/>
  <c r="CI304" i="3"/>
  <c r="CI303" i="3"/>
  <c r="CI302" i="3"/>
  <c r="CI301" i="3"/>
  <c r="CI300" i="3"/>
  <c r="CI299" i="3"/>
  <c r="CI298" i="3"/>
  <c r="CI297" i="3"/>
  <c r="CI296" i="3"/>
  <c r="CI295" i="3"/>
  <c r="CI294" i="3"/>
  <c r="CI293" i="3"/>
  <c r="CI292" i="3"/>
  <c r="CI291" i="3"/>
  <c r="CI290" i="3"/>
  <c r="CI289" i="3"/>
  <c r="CI288" i="3"/>
  <c r="CI287" i="3"/>
  <c r="CI286" i="3"/>
  <c r="CI285" i="3"/>
  <c r="CI284" i="3"/>
  <c r="CI283" i="3"/>
  <c r="CI282" i="3"/>
  <c r="CI281" i="3"/>
  <c r="CI280" i="3"/>
  <c r="CI279" i="3"/>
  <c r="CI278" i="3"/>
  <c r="CI277" i="3"/>
  <c r="CI276" i="3"/>
  <c r="CI275" i="3"/>
  <c r="CI274" i="3"/>
  <c r="CI273" i="3"/>
  <c r="CI272" i="3"/>
  <c r="CI271" i="3"/>
  <c r="CI270" i="3"/>
  <c r="CI269" i="3"/>
  <c r="CI268" i="3"/>
  <c r="CI267" i="3"/>
  <c r="CI266" i="3"/>
  <c r="CI265" i="3"/>
  <c r="CI264" i="3"/>
  <c r="CI263" i="3"/>
  <c r="CI262" i="3"/>
  <c r="CI261" i="3"/>
  <c r="CI260" i="3"/>
  <c r="CI259" i="3"/>
  <c r="CI258" i="3"/>
  <c r="CI257" i="3"/>
  <c r="CI256" i="3"/>
  <c r="CI255" i="3"/>
  <c r="CI254" i="3"/>
  <c r="CI253" i="3"/>
  <c r="CI252" i="3"/>
  <c r="CI251" i="3"/>
  <c r="CI250" i="3"/>
  <c r="CI249" i="3"/>
  <c r="CI248" i="3"/>
  <c r="CI247" i="3"/>
  <c r="CI246" i="3"/>
  <c r="CI245" i="3"/>
  <c r="CI244" i="3"/>
  <c r="CI243" i="3"/>
  <c r="CI242" i="3"/>
  <c r="CI241" i="3"/>
  <c r="CI240" i="3"/>
  <c r="CI239" i="3"/>
  <c r="CI238" i="3"/>
  <c r="CI237" i="3"/>
  <c r="CI236" i="3"/>
  <c r="CI235" i="3"/>
  <c r="CI234" i="3"/>
  <c r="CI233" i="3"/>
  <c r="CI232" i="3"/>
  <c r="CI231" i="3"/>
  <c r="CI230" i="3"/>
  <c r="CI229" i="3"/>
  <c r="CI228" i="3"/>
  <c r="CI227" i="3"/>
  <c r="CI226" i="3"/>
  <c r="CI225" i="3"/>
  <c r="CI224" i="3"/>
  <c r="CI223" i="3"/>
  <c r="CI222" i="3"/>
  <c r="CI221" i="3"/>
  <c r="CI220" i="3"/>
  <c r="CI219" i="3"/>
  <c r="CI218" i="3"/>
  <c r="CI217" i="3"/>
  <c r="CI216" i="3"/>
  <c r="CI215" i="3"/>
  <c r="CI214" i="3"/>
  <c r="CI213" i="3"/>
  <c r="CI212" i="3"/>
  <c r="CI211" i="3"/>
  <c r="CI210" i="3"/>
  <c r="CI209" i="3"/>
  <c r="CI208" i="3"/>
  <c r="CI207" i="3"/>
  <c r="CI206" i="3"/>
  <c r="CI205" i="3"/>
  <c r="CI204" i="3"/>
  <c r="CI203" i="3"/>
  <c r="CI202" i="3"/>
  <c r="CI201" i="3"/>
  <c r="CI200" i="3"/>
  <c r="CI199" i="3"/>
  <c r="CI198" i="3"/>
  <c r="CI197" i="3"/>
  <c r="CI196" i="3"/>
  <c r="CI195" i="3"/>
  <c r="CI194" i="3"/>
  <c r="CI193" i="3"/>
  <c r="CI192" i="3"/>
  <c r="CI191" i="3"/>
  <c r="CI190" i="3"/>
  <c r="CI189" i="3"/>
  <c r="CI188" i="3"/>
  <c r="CI187" i="3"/>
  <c r="CI186" i="3"/>
  <c r="CI185" i="3"/>
  <c r="CI184" i="3"/>
  <c r="CI183" i="3"/>
  <c r="CI182" i="3"/>
  <c r="CI181" i="3"/>
  <c r="CI180" i="3"/>
  <c r="CI179" i="3"/>
  <c r="CI178" i="3"/>
  <c r="CI177" i="3"/>
  <c r="CI176" i="3"/>
  <c r="CI175" i="3"/>
  <c r="CI174" i="3"/>
  <c r="CI173" i="3"/>
  <c r="CI172" i="3"/>
  <c r="CI171" i="3"/>
  <c r="CI170" i="3"/>
  <c r="CI169" i="3"/>
  <c r="CI168" i="3"/>
  <c r="CI167" i="3"/>
  <c r="CI166" i="3"/>
  <c r="CI165" i="3"/>
  <c r="CI164" i="3"/>
  <c r="CI163" i="3"/>
  <c r="CI162" i="3"/>
  <c r="CI161" i="3"/>
  <c r="CI160" i="3"/>
  <c r="CI159" i="3"/>
  <c r="CI158" i="3"/>
  <c r="CI157" i="3"/>
  <c r="CI156" i="3"/>
  <c r="CI155" i="3"/>
  <c r="CI154" i="3"/>
  <c r="CI153" i="3"/>
  <c r="CI152" i="3"/>
  <c r="CI151" i="3"/>
  <c r="CI150" i="3"/>
  <c r="CI149" i="3"/>
  <c r="CI148" i="3"/>
  <c r="CI147" i="3"/>
  <c r="CI146" i="3"/>
  <c r="CI145" i="3"/>
  <c r="CI144" i="3"/>
  <c r="CI143" i="3"/>
  <c r="CI142" i="3"/>
  <c r="CI141" i="3"/>
  <c r="CI140" i="3"/>
  <c r="CI139" i="3"/>
  <c r="CI138" i="3"/>
  <c r="CI137" i="3"/>
  <c r="CI136" i="3"/>
  <c r="CI135" i="3"/>
  <c r="CI134" i="3"/>
  <c r="CI133" i="3"/>
  <c r="CI132" i="3"/>
  <c r="CI131" i="3"/>
  <c r="CI130" i="3"/>
  <c r="CI129" i="3"/>
  <c r="CI128" i="3"/>
  <c r="CI127" i="3"/>
  <c r="CI126" i="3"/>
  <c r="CI125" i="3"/>
  <c r="CI124" i="3"/>
  <c r="CI123" i="3"/>
  <c r="CI122" i="3"/>
  <c r="CI121" i="3"/>
  <c r="CI120" i="3"/>
  <c r="CI119" i="3"/>
  <c r="CI118" i="3"/>
  <c r="CI117" i="3"/>
  <c r="CI116" i="3"/>
  <c r="CI115" i="3"/>
  <c r="CI114" i="3"/>
  <c r="CI113" i="3"/>
  <c r="CI112" i="3"/>
  <c r="CI111" i="3"/>
  <c r="CI110" i="3"/>
  <c r="CI109" i="3"/>
  <c r="CI108" i="3"/>
  <c r="CI107" i="3"/>
  <c r="CI106" i="3"/>
  <c r="CI105" i="3"/>
  <c r="CI104" i="3"/>
  <c r="CI103" i="3"/>
  <c r="CI102" i="3"/>
  <c r="CI101" i="3"/>
  <c r="CI100" i="3"/>
  <c r="CI99" i="3"/>
  <c r="CI98" i="3"/>
  <c r="CI97" i="3"/>
  <c r="CI96" i="3"/>
  <c r="CI95" i="3"/>
  <c r="CI94" i="3"/>
  <c r="CI93" i="3"/>
  <c r="CI92" i="3"/>
  <c r="CI91" i="3"/>
  <c r="CI90" i="3"/>
  <c r="CI89" i="3"/>
  <c r="CI88" i="3"/>
  <c r="CI87" i="3"/>
  <c r="CI86" i="3"/>
  <c r="CI85" i="3"/>
  <c r="CI84" i="3"/>
  <c r="CI83" i="3"/>
  <c r="CI82" i="3"/>
  <c r="CI81" i="3"/>
  <c r="CI80" i="3"/>
  <c r="CI79" i="3"/>
  <c r="CI78" i="3"/>
  <c r="CI77" i="3"/>
  <c r="CI76" i="3"/>
  <c r="CI75" i="3"/>
  <c r="CI74" i="3"/>
  <c r="CI73" i="3"/>
  <c r="CI72" i="3"/>
  <c r="CI71" i="3"/>
  <c r="CI70" i="3"/>
  <c r="CI69" i="3"/>
  <c r="CI68" i="3"/>
  <c r="CI67" i="3"/>
  <c r="CI66" i="3"/>
  <c r="CI65" i="3"/>
  <c r="CI64" i="3"/>
  <c r="CI63" i="3"/>
  <c r="CI62" i="3"/>
  <c r="CI61" i="3"/>
  <c r="CI60" i="3"/>
  <c r="CI59" i="3"/>
  <c r="CI58" i="3"/>
  <c r="CI57" i="3"/>
  <c r="CI56" i="3"/>
  <c r="CI55" i="3"/>
  <c r="CI54" i="3"/>
  <c r="CI53" i="3"/>
  <c r="CI52" i="3"/>
  <c r="CI51" i="3"/>
  <c r="CI50" i="3"/>
  <c r="CI49" i="3"/>
  <c r="CI48" i="3"/>
  <c r="CI47" i="3"/>
  <c r="CI46" i="3"/>
  <c r="CI45" i="3"/>
  <c r="CI44" i="3"/>
  <c r="CI43" i="3"/>
  <c r="CI42" i="3"/>
  <c r="CI41" i="3"/>
  <c r="CI40" i="3"/>
  <c r="CI39" i="3"/>
  <c r="CI38" i="3"/>
  <c r="CI37" i="3"/>
  <c r="CI36" i="3"/>
  <c r="CI35" i="3"/>
  <c r="CI34" i="3"/>
  <c r="CI33" i="3"/>
  <c r="CI32" i="3"/>
  <c r="CI31" i="3"/>
  <c r="CI30" i="3"/>
  <c r="CI29" i="3"/>
  <c r="CI28" i="3"/>
  <c r="CI27" i="3"/>
  <c r="CI26" i="3"/>
  <c r="CI25" i="3"/>
  <c r="CI24" i="3"/>
  <c r="CI23" i="3"/>
  <c r="CI22" i="3"/>
  <c r="CI21" i="3"/>
  <c r="CI20" i="3"/>
  <c r="CI19" i="3"/>
  <c r="CI18" i="3"/>
  <c r="CI17" i="3"/>
  <c r="CI16" i="3"/>
  <c r="CI15" i="3"/>
  <c r="CI14" i="3"/>
  <c r="CI13" i="3"/>
  <c r="CI12" i="3"/>
  <c r="CI11" i="3"/>
  <c r="CI10" i="3"/>
  <c r="CI9" i="3"/>
  <c r="A111" i="11" l="1"/>
  <c r="F61" i="24" s="1" a="1"/>
  <c r="F61" i="24" s="1"/>
  <c r="A110" i="11"/>
  <c r="F60" i="24" s="1" a="1"/>
  <c r="F60" i="24" s="1"/>
  <c r="A109" i="11"/>
  <c r="F59" i="24" s="1" a="1"/>
  <c r="F59" i="24" s="1"/>
  <c r="A108" i="11"/>
  <c r="F58" i="24" s="1" a="1"/>
  <c r="F58" i="24" s="1"/>
  <c r="A107" i="11"/>
  <c r="F57" i="24" s="1" a="1"/>
  <c r="F57" i="24" s="1"/>
  <c r="A106" i="11"/>
  <c r="F56" i="24" s="1" a="1"/>
  <c r="F56" i="24" s="1"/>
  <c r="A105" i="11"/>
  <c r="F55" i="24" s="1" a="1"/>
  <c r="F55" i="24" s="1"/>
  <c r="A104" i="11"/>
  <c r="F54" i="24" s="1" a="1"/>
  <c r="F54" i="24" s="1"/>
  <c r="A103" i="11"/>
  <c r="F53" i="24" s="1" a="1"/>
  <c r="F53" i="24" s="1"/>
  <c r="A102" i="11"/>
  <c r="F52" i="24" s="1" a="1"/>
  <c r="F52" i="24" s="1"/>
  <c r="A101" i="11"/>
  <c r="F51" i="24" s="1" a="1"/>
  <c r="F51" i="24" s="1"/>
  <c r="A100" i="11"/>
  <c r="F50" i="24" s="1" a="1"/>
  <c r="F50" i="24" s="1"/>
  <c r="A99" i="11"/>
  <c r="F49" i="24" s="1" a="1"/>
  <c r="F49" i="24" s="1"/>
  <c r="A98" i="11"/>
  <c r="F48" i="24" s="1" a="1"/>
  <c r="F48" i="24" s="1"/>
  <c r="A97" i="11"/>
  <c r="F47" i="24" s="1" a="1"/>
  <c r="F47" i="24" s="1"/>
  <c r="A96" i="11"/>
  <c r="F46" i="24" s="1" a="1"/>
  <c r="F46" i="24" s="1"/>
  <c r="A95" i="11"/>
  <c r="F45" i="24" s="1" a="1"/>
  <c r="F45" i="24" s="1"/>
  <c r="A94" i="11"/>
  <c r="F44" i="24" s="1" a="1"/>
  <c r="F44" i="24" s="1"/>
  <c r="A93" i="11"/>
  <c r="F43" i="24" s="1" a="1"/>
  <c r="F43" i="24" s="1"/>
  <c r="A92" i="11"/>
  <c r="F42" i="24" s="1" a="1"/>
  <c r="F42" i="24" s="1"/>
  <c r="A91" i="11"/>
  <c r="F41" i="24" s="1" a="1"/>
  <c r="F41" i="24" s="1"/>
  <c r="A90" i="11"/>
  <c r="F40" i="24" s="1" a="1"/>
  <c r="F40" i="24" s="1"/>
  <c r="A89" i="11"/>
  <c r="F39" i="24" s="1" a="1"/>
  <c r="F39" i="24" s="1"/>
  <c r="A88" i="11"/>
  <c r="F38" i="24" s="1" a="1"/>
  <c r="F38" i="24" s="1"/>
  <c r="A87" i="11"/>
  <c r="F37" i="24" s="1" a="1"/>
  <c r="F37" i="24" s="1"/>
  <c r="A86" i="11"/>
  <c r="F36" i="24" s="1" a="1"/>
  <c r="F36" i="24" s="1"/>
  <c r="A85" i="11"/>
  <c r="F35" i="24" s="1" a="1"/>
  <c r="F35" i="24" s="1"/>
  <c r="A84" i="11"/>
  <c r="A83" i="11"/>
  <c r="A82" i="11"/>
  <c r="A81" i="11"/>
  <c r="A80" i="11"/>
  <c r="A79" i="11"/>
  <c r="A78" i="11"/>
  <c r="A77" i="11"/>
  <c r="A76" i="11"/>
  <c r="A75" i="11"/>
  <c r="A74" i="11"/>
  <c r="A73" i="11"/>
  <c r="A72" i="11"/>
  <c r="A71" i="11"/>
  <c r="A70" i="11"/>
  <c r="A69" i="11"/>
  <c r="F19" i="24" s="1" a="1"/>
  <c r="F19" i="24" s="1"/>
  <c r="A68" i="11"/>
  <c r="F18" i="24" s="1" a="1"/>
  <c r="F18" i="24" s="1"/>
  <c r="A67" i="11"/>
  <c r="F17" i="24" s="1" a="1"/>
  <c r="F17" i="24" s="1"/>
  <c r="A66" i="11"/>
  <c r="F16" i="24" s="1" a="1"/>
  <c r="F16" i="24" s="1"/>
  <c r="A65" i="11"/>
  <c r="F15" i="24" s="1" a="1"/>
  <c r="F15" i="24" s="1"/>
  <c r="A64" i="11"/>
  <c r="F14" i="24" s="1" a="1"/>
  <c r="F14" i="24" s="1"/>
  <c r="A63" i="11"/>
  <c r="F13" i="24" s="1" a="1"/>
  <c r="F13" i="24" s="1"/>
  <c r="A62" i="11"/>
  <c r="F12" i="24" s="1" a="1"/>
  <c r="F12" i="24" s="1"/>
  <c r="A61" i="11"/>
  <c r="F11" i="24" s="1" a="1"/>
  <c r="F11" i="24" s="1"/>
  <c r="A60" i="11"/>
  <c r="F10" i="24" s="1" a="1"/>
  <c r="F10" i="24" s="1"/>
  <c r="BG308" i="3" a="1"/>
  <c r="BG308" i="3" s="1"/>
  <c r="BH308" i="3" s="1"/>
  <c r="BG307" i="3" a="1"/>
  <c r="BG307" i="3" s="1"/>
  <c r="BH307" i="3" s="1"/>
  <c r="BG306" i="3" a="1"/>
  <c r="BG306" i="3" s="1"/>
  <c r="BH306" i="3" s="1"/>
  <c r="BG305" i="3" a="1"/>
  <c r="BG305" i="3" s="1"/>
  <c r="BH305" i="3" s="1"/>
  <c r="BG304" i="3" a="1"/>
  <c r="BG304" i="3" s="1"/>
  <c r="BH304" i="3" s="1"/>
  <c r="BG303" i="3" a="1"/>
  <c r="BG303" i="3" s="1"/>
  <c r="BH303" i="3" s="1"/>
  <c r="BG302" i="3" a="1"/>
  <c r="BG302" i="3" s="1"/>
  <c r="BH302" i="3" s="1"/>
  <c r="BG301" i="3" a="1"/>
  <c r="BG301" i="3" s="1"/>
  <c r="BH301" i="3" s="1"/>
  <c r="BG300" i="3" a="1"/>
  <c r="BG300" i="3" s="1"/>
  <c r="BH300" i="3" s="1"/>
  <c r="BG299" i="3" a="1"/>
  <c r="BG299" i="3" s="1"/>
  <c r="BH299" i="3" s="1"/>
  <c r="BG298" i="3" a="1"/>
  <c r="BG298" i="3" s="1"/>
  <c r="BH298" i="3" s="1"/>
  <c r="BG297" i="3" a="1"/>
  <c r="BG297" i="3" s="1"/>
  <c r="BH297" i="3" s="1"/>
  <c r="BG296" i="3" a="1"/>
  <c r="BG296" i="3" s="1"/>
  <c r="BH296" i="3" s="1"/>
  <c r="BG295" i="3" a="1"/>
  <c r="BG295" i="3" s="1"/>
  <c r="BH295" i="3" s="1"/>
  <c r="BG294" i="3" a="1"/>
  <c r="BG294" i="3" s="1"/>
  <c r="BH294" i="3" s="1"/>
  <c r="BG293" i="3" a="1"/>
  <c r="BG293" i="3" s="1"/>
  <c r="BH293" i="3" s="1"/>
  <c r="BG292" i="3" a="1"/>
  <c r="BG292" i="3" s="1"/>
  <c r="BH292" i="3" s="1"/>
  <c r="BG291" i="3" a="1"/>
  <c r="BG291" i="3" s="1"/>
  <c r="BH291" i="3" s="1"/>
  <c r="BG290" i="3" a="1"/>
  <c r="BG290" i="3" s="1"/>
  <c r="BH290" i="3" s="1"/>
  <c r="BG289" i="3" a="1"/>
  <c r="BG289" i="3" s="1"/>
  <c r="BH289" i="3" s="1"/>
  <c r="BG288" i="3" a="1"/>
  <c r="BG288" i="3" s="1"/>
  <c r="BH288" i="3" s="1"/>
  <c r="BG287" i="3" a="1"/>
  <c r="BG287" i="3" s="1"/>
  <c r="BH287" i="3" s="1"/>
  <c r="BG286" i="3" a="1"/>
  <c r="BG286" i="3" s="1"/>
  <c r="BH286" i="3" s="1"/>
  <c r="BG285" i="3" a="1"/>
  <c r="BG285" i="3" s="1"/>
  <c r="BH285" i="3" s="1"/>
  <c r="BG284" i="3" a="1"/>
  <c r="BG284" i="3" s="1"/>
  <c r="BH284" i="3" s="1"/>
  <c r="BG283" i="3" a="1"/>
  <c r="BG283" i="3" s="1"/>
  <c r="BH283" i="3" s="1"/>
  <c r="BG282" i="3" a="1"/>
  <c r="BG282" i="3" s="1"/>
  <c r="BH282" i="3" s="1"/>
  <c r="BG281" i="3" a="1"/>
  <c r="BG281" i="3" s="1"/>
  <c r="BH281" i="3" s="1"/>
  <c r="BG280" i="3" a="1"/>
  <c r="BG280" i="3" s="1"/>
  <c r="BH280" i="3" s="1"/>
  <c r="BG279" i="3" a="1"/>
  <c r="BG279" i="3" s="1"/>
  <c r="BH279" i="3" s="1"/>
  <c r="BG278" i="3" a="1"/>
  <c r="BG278" i="3" s="1"/>
  <c r="BH278" i="3" s="1"/>
  <c r="BG277" i="3" a="1"/>
  <c r="BG277" i="3" s="1"/>
  <c r="BH277" i="3" s="1"/>
  <c r="BG276" i="3" a="1"/>
  <c r="BG276" i="3" s="1"/>
  <c r="BH276" i="3" s="1"/>
  <c r="BG275" i="3" a="1"/>
  <c r="BG275" i="3" s="1"/>
  <c r="BH275" i="3" s="1"/>
  <c r="BG274" i="3" a="1"/>
  <c r="BG274" i="3" s="1"/>
  <c r="BH274" i="3" s="1"/>
  <c r="BG273" i="3" a="1"/>
  <c r="BG273" i="3" s="1"/>
  <c r="BH273" i="3" s="1"/>
  <c r="BG272" i="3" a="1"/>
  <c r="BG272" i="3" s="1"/>
  <c r="BH272" i="3" s="1"/>
  <c r="BG271" i="3" a="1"/>
  <c r="BG271" i="3" s="1"/>
  <c r="BH271" i="3" s="1"/>
  <c r="BG270" i="3" a="1"/>
  <c r="BG270" i="3" s="1"/>
  <c r="BH270" i="3" s="1"/>
  <c r="BG269" i="3" a="1"/>
  <c r="BG269" i="3" s="1"/>
  <c r="BH269" i="3" s="1"/>
  <c r="BG268" i="3" a="1"/>
  <c r="BG268" i="3" s="1"/>
  <c r="BH268" i="3" s="1"/>
  <c r="BG267" i="3" a="1"/>
  <c r="BG267" i="3" s="1"/>
  <c r="BH267" i="3" s="1"/>
  <c r="BG266" i="3" a="1"/>
  <c r="BG266" i="3" s="1"/>
  <c r="BH266" i="3" s="1"/>
  <c r="BG265" i="3" a="1"/>
  <c r="BG265" i="3" s="1"/>
  <c r="BH265" i="3" s="1"/>
  <c r="BG264" i="3" a="1"/>
  <c r="BG264" i="3" s="1"/>
  <c r="BH264" i="3" s="1"/>
  <c r="BG263" i="3" a="1"/>
  <c r="BG263" i="3" s="1"/>
  <c r="BH263" i="3" s="1"/>
  <c r="BG262" i="3" a="1"/>
  <c r="BG262" i="3" s="1"/>
  <c r="BH262" i="3" s="1"/>
  <c r="BG261" i="3" a="1"/>
  <c r="BG261" i="3" s="1"/>
  <c r="BH261" i="3" s="1"/>
  <c r="BG260" i="3" a="1"/>
  <c r="BG260" i="3" s="1"/>
  <c r="BH260" i="3" s="1"/>
  <c r="BG259" i="3" a="1"/>
  <c r="BG259" i="3" s="1"/>
  <c r="BH259" i="3" s="1"/>
  <c r="BG258" i="3" a="1"/>
  <c r="BG258" i="3" s="1"/>
  <c r="BH258" i="3" s="1"/>
  <c r="BG257" i="3" a="1"/>
  <c r="BG257" i="3" s="1"/>
  <c r="BH257" i="3" s="1"/>
  <c r="BG256" i="3" a="1"/>
  <c r="BG256" i="3" s="1"/>
  <c r="BH256" i="3" s="1"/>
  <c r="BG255" i="3" a="1"/>
  <c r="BG255" i="3" s="1"/>
  <c r="BH255" i="3" s="1"/>
  <c r="BG254" i="3" a="1"/>
  <c r="BG254" i="3" s="1"/>
  <c r="BH254" i="3" s="1"/>
  <c r="BG253" i="3" a="1"/>
  <c r="BG253" i="3" s="1"/>
  <c r="BH253" i="3" s="1"/>
  <c r="BG252" i="3" a="1"/>
  <c r="BG252" i="3" s="1"/>
  <c r="BH252" i="3" s="1"/>
  <c r="BG251" i="3" a="1"/>
  <c r="BG251" i="3" s="1"/>
  <c r="BH251" i="3" s="1"/>
  <c r="BG250" i="3" a="1"/>
  <c r="BG250" i="3" s="1"/>
  <c r="BH250" i="3" s="1"/>
  <c r="BG249" i="3" a="1"/>
  <c r="BG249" i="3" s="1"/>
  <c r="BH249" i="3" s="1"/>
  <c r="BG248" i="3" a="1"/>
  <c r="BG248" i="3" s="1"/>
  <c r="BH248" i="3" s="1"/>
  <c r="BG247" i="3" a="1"/>
  <c r="BG247" i="3" s="1"/>
  <c r="BH247" i="3" s="1"/>
  <c r="BG246" i="3" a="1"/>
  <c r="BG246" i="3" s="1"/>
  <c r="BH246" i="3" s="1"/>
  <c r="BG245" i="3" a="1"/>
  <c r="BG245" i="3" s="1"/>
  <c r="BH245" i="3" s="1"/>
  <c r="BG244" i="3" a="1"/>
  <c r="BG244" i="3" s="1"/>
  <c r="BH244" i="3" s="1"/>
  <c r="BG243" i="3" a="1"/>
  <c r="BG243" i="3" s="1"/>
  <c r="BH243" i="3" s="1"/>
  <c r="BG242" i="3" a="1"/>
  <c r="BG242" i="3" s="1"/>
  <c r="BH242" i="3" s="1"/>
  <c r="BG241" i="3" a="1"/>
  <c r="BG241" i="3" s="1"/>
  <c r="BH241" i="3" s="1"/>
  <c r="BG240" i="3" a="1"/>
  <c r="BG240" i="3" s="1"/>
  <c r="BH240" i="3" s="1"/>
  <c r="BG239" i="3" a="1"/>
  <c r="BG239" i="3" s="1"/>
  <c r="BH239" i="3" s="1"/>
  <c r="BG238" i="3" a="1"/>
  <c r="BG238" i="3" s="1"/>
  <c r="BH238" i="3" s="1"/>
  <c r="BG237" i="3" a="1"/>
  <c r="BG237" i="3" s="1"/>
  <c r="BH237" i="3" s="1"/>
  <c r="BG236" i="3" a="1"/>
  <c r="BG236" i="3" s="1"/>
  <c r="BH236" i="3" s="1"/>
  <c r="BG235" i="3" a="1"/>
  <c r="BG235" i="3" s="1"/>
  <c r="BH235" i="3" s="1"/>
  <c r="BG234" i="3" a="1"/>
  <c r="BG234" i="3" s="1"/>
  <c r="BH234" i="3" s="1"/>
  <c r="BG233" i="3" a="1"/>
  <c r="BG233" i="3" s="1"/>
  <c r="BH233" i="3" s="1"/>
  <c r="BG232" i="3" a="1"/>
  <c r="BG232" i="3" s="1"/>
  <c r="BH232" i="3" s="1"/>
  <c r="BG231" i="3" a="1"/>
  <c r="BG231" i="3" s="1"/>
  <c r="BH231" i="3" s="1"/>
  <c r="BG230" i="3" a="1"/>
  <c r="BG230" i="3" s="1"/>
  <c r="BH230" i="3" s="1"/>
  <c r="BG229" i="3" a="1"/>
  <c r="BG229" i="3" s="1"/>
  <c r="BH229" i="3" s="1"/>
  <c r="BG228" i="3" a="1"/>
  <c r="BG228" i="3" s="1"/>
  <c r="BH228" i="3" s="1"/>
  <c r="BG227" i="3" a="1"/>
  <c r="BG227" i="3" s="1"/>
  <c r="BH227" i="3" s="1"/>
  <c r="BG226" i="3" a="1"/>
  <c r="BG226" i="3" s="1"/>
  <c r="BH226" i="3" s="1"/>
  <c r="BG225" i="3" a="1"/>
  <c r="BG225" i="3" s="1"/>
  <c r="BH225" i="3" s="1"/>
  <c r="BG224" i="3" a="1"/>
  <c r="BG224" i="3" s="1"/>
  <c r="BH224" i="3" s="1"/>
  <c r="BG223" i="3" a="1"/>
  <c r="BG223" i="3" s="1"/>
  <c r="BH223" i="3" s="1"/>
  <c r="BG222" i="3" a="1"/>
  <c r="BG222" i="3" s="1"/>
  <c r="BH222" i="3" s="1"/>
  <c r="BG221" i="3" a="1"/>
  <c r="BG221" i="3" s="1"/>
  <c r="BH221" i="3" s="1"/>
  <c r="BG220" i="3" a="1"/>
  <c r="BG220" i="3" s="1"/>
  <c r="BH220" i="3" s="1"/>
  <c r="BG219" i="3" a="1"/>
  <c r="BG219" i="3" s="1"/>
  <c r="BH219" i="3" s="1"/>
  <c r="BG218" i="3" a="1"/>
  <c r="BG218" i="3" s="1"/>
  <c r="BH218" i="3" s="1"/>
  <c r="BG217" i="3" a="1"/>
  <c r="BG217" i="3" s="1"/>
  <c r="BH217" i="3" s="1"/>
  <c r="BG216" i="3" a="1"/>
  <c r="BG216" i="3" s="1"/>
  <c r="BH216" i="3" s="1"/>
  <c r="BG215" i="3" a="1"/>
  <c r="BG215" i="3" s="1"/>
  <c r="BH215" i="3" s="1"/>
  <c r="BG214" i="3" a="1"/>
  <c r="BG214" i="3" s="1"/>
  <c r="BH214" i="3" s="1"/>
  <c r="BG213" i="3" a="1"/>
  <c r="BG213" i="3" s="1"/>
  <c r="BH213" i="3" s="1"/>
  <c r="BG212" i="3" a="1"/>
  <c r="BG212" i="3" s="1"/>
  <c r="BH212" i="3" s="1"/>
  <c r="BG211" i="3" a="1"/>
  <c r="BG211" i="3" s="1"/>
  <c r="BH211" i="3" s="1"/>
  <c r="BG210" i="3" a="1"/>
  <c r="BG210" i="3" s="1"/>
  <c r="BH210" i="3" s="1"/>
  <c r="BG209" i="3" a="1"/>
  <c r="BG209" i="3" s="1"/>
  <c r="BH209" i="3" s="1"/>
  <c r="BG208" i="3" a="1"/>
  <c r="BG208" i="3" s="1"/>
  <c r="BH208" i="3" s="1"/>
  <c r="BG207" i="3" a="1"/>
  <c r="BG207" i="3" s="1"/>
  <c r="BH207" i="3" s="1"/>
  <c r="BG206" i="3" a="1"/>
  <c r="BG206" i="3" s="1"/>
  <c r="BH206" i="3" s="1"/>
  <c r="BG205" i="3" a="1"/>
  <c r="BG205" i="3" s="1"/>
  <c r="BH205" i="3" s="1"/>
  <c r="BG204" i="3" a="1"/>
  <c r="BG204" i="3" s="1"/>
  <c r="BH204" i="3" s="1"/>
  <c r="BG203" i="3" a="1"/>
  <c r="BG203" i="3" s="1"/>
  <c r="BH203" i="3" s="1"/>
  <c r="BG202" i="3" a="1"/>
  <c r="BG202" i="3" s="1"/>
  <c r="BH202" i="3" s="1"/>
  <c r="BG201" i="3" a="1"/>
  <c r="BG201" i="3" s="1"/>
  <c r="BH201" i="3" s="1"/>
  <c r="BG200" i="3" a="1"/>
  <c r="BG200" i="3" s="1"/>
  <c r="BH200" i="3" s="1"/>
  <c r="BG199" i="3" a="1"/>
  <c r="BG199" i="3" s="1"/>
  <c r="BH199" i="3" s="1"/>
  <c r="BG198" i="3" a="1"/>
  <c r="BG198" i="3" s="1"/>
  <c r="BH198" i="3" s="1"/>
  <c r="BG197" i="3" a="1"/>
  <c r="BG197" i="3" s="1"/>
  <c r="BH197" i="3" s="1"/>
  <c r="BG196" i="3" a="1"/>
  <c r="BG196" i="3" s="1"/>
  <c r="BH196" i="3" s="1"/>
  <c r="BG195" i="3" a="1"/>
  <c r="BG195" i="3" s="1"/>
  <c r="BH195" i="3" s="1"/>
  <c r="BG194" i="3" a="1"/>
  <c r="BG194" i="3" s="1"/>
  <c r="BH194" i="3" s="1"/>
  <c r="BG193" i="3" a="1"/>
  <c r="BG193" i="3" s="1"/>
  <c r="BH193" i="3" s="1"/>
  <c r="BG192" i="3" a="1"/>
  <c r="BG192" i="3" s="1"/>
  <c r="BH192" i="3" s="1"/>
  <c r="BG191" i="3" a="1"/>
  <c r="BG191" i="3" s="1"/>
  <c r="BH191" i="3" s="1"/>
  <c r="BG190" i="3" a="1"/>
  <c r="BG190" i="3" s="1"/>
  <c r="BH190" i="3" s="1"/>
  <c r="BG189" i="3" a="1"/>
  <c r="BG189" i="3" s="1"/>
  <c r="BH189" i="3" s="1"/>
  <c r="BG188" i="3" a="1"/>
  <c r="BG188" i="3" s="1"/>
  <c r="BH188" i="3" s="1"/>
  <c r="BG187" i="3" a="1"/>
  <c r="BG187" i="3" s="1"/>
  <c r="BH187" i="3" s="1"/>
  <c r="BG186" i="3" a="1"/>
  <c r="BG186" i="3" s="1"/>
  <c r="BH186" i="3" s="1"/>
  <c r="BG185" i="3" a="1"/>
  <c r="BG185" i="3" s="1"/>
  <c r="BH185" i="3" s="1"/>
  <c r="BG184" i="3" a="1"/>
  <c r="BG184" i="3" s="1"/>
  <c r="BH184" i="3" s="1"/>
  <c r="BG183" i="3" a="1"/>
  <c r="BG183" i="3" s="1"/>
  <c r="BH183" i="3" s="1"/>
  <c r="BG182" i="3" a="1"/>
  <c r="BG182" i="3" s="1"/>
  <c r="BH182" i="3" s="1"/>
  <c r="BG181" i="3" a="1"/>
  <c r="BG181" i="3" s="1"/>
  <c r="BH181" i="3" s="1"/>
  <c r="BG180" i="3" a="1"/>
  <c r="BG180" i="3" s="1"/>
  <c r="BH180" i="3" s="1"/>
  <c r="BG179" i="3" a="1"/>
  <c r="BG179" i="3" s="1"/>
  <c r="BH179" i="3" s="1"/>
  <c r="BG178" i="3" a="1"/>
  <c r="BG178" i="3" s="1"/>
  <c r="BH178" i="3" s="1"/>
  <c r="BG177" i="3" a="1"/>
  <c r="BG177" i="3" s="1"/>
  <c r="BH177" i="3" s="1"/>
  <c r="BG176" i="3" a="1"/>
  <c r="BG176" i="3" s="1"/>
  <c r="BH176" i="3" s="1"/>
  <c r="BG175" i="3" a="1"/>
  <c r="BG175" i="3" s="1"/>
  <c r="BH175" i="3" s="1"/>
  <c r="BG174" i="3" a="1"/>
  <c r="BG174" i="3" s="1"/>
  <c r="BH174" i="3" s="1"/>
  <c r="BG173" i="3" a="1"/>
  <c r="BG173" i="3" s="1"/>
  <c r="BH173" i="3" s="1"/>
  <c r="BG172" i="3" a="1"/>
  <c r="BG172" i="3" s="1"/>
  <c r="BH172" i="3" s="1"/>
  <c r="BG171" i="3" a="1"/>
  <c r="BG171" i="3" s="1"/>
  <c r="BH171" i="3" s="1"/>
  <c r="BG170" i="3" a="1"/>
  <c r="BG170" i="3" s="1"/>
  <c r="BH170" i="3" s="1"/>
  <c r="BG169" i="3" a="1"/>
  <c r="BG169" i="3" s="1"/>
  <c r="BH169" i="3" s="1"/>
  <c r="BG168" i="3" a="1"/>
  <c r="BG168" i="3" s="1"/>
  <c r="BH168" i="3" s="1"/>
  <c r="BG167" i="3" a="1"/>
  <c r="BG167" i="3" s="1"/>
  <c r="BH167" i="3" s="1"/>
  <c r="BG166" i="3" a="1"/>
  <c r="BG166" i="3" s="1"/>
  <c r="BH166" i="3" s="1"/>
  <c r="BG165" i="3" a="1"/>
  <c r="BG165" i="3" s="1"/>
  <c r="BH165" i="3" s="1"/>
  <c r="BG164" i="3" a="1"/>
  <c r="BG164" i="3" s="1"/>
  <c r="BH164" i="3" s="1"/>
  <c r="BG163" i="3" a="1"/>
  <c r="BG163" i="3" s="1"/>
  <c r="BH163" i="3" s="1"/>
  <c r="BG162" i="3" a="1"/>
  <c r="BG162" i="3" s="1"/>
  <c r="BH162" i="3" s="1"/>
  <c r="BG161" i="3" a="1"/>
  <c r="BG161" i="3" s="1"/>
  <c r="BH161" i="3" s="1"/>
  <c r="BG160" i="3" a="1"/>
  <c r="BG160" i="3" s="1"/>
  <c r="BH160" i="3" s="1"/>
  <c r="BG159" i="3" a="1"/>
  <c r="BG159" i="3" s="1"/>
  <c r="BH159" i="3" s="1"/>
  <c r="BG158" i="3" a="1"/>
  <c r="BG158" i="3" s="1"/>
  <c r="BH158" i="3" s="1"/>
  <c r="BG157" i="3" a="1"/>
  <c r="BG157" i="3" s="1"/>
  <c r="BH157" i="3" s="1"/>
  <c r="BG156" i="3" a="1"/>
  <c r="BG156" i="3" s="1"/>
  <c r="BH156" i="3" s="1"/>
  <c r="BG155" i="3" a="1"/>
  <c r="BG155" i="3" s="1"/>
  <c r="BH155" i="3" s="1"/>
  <c r="BG154" i="3" a="1"/>
  <c r="BG154" i="3" s="1"/>
  <c r="BH154" i="3" s="1"/>
  <c r="BG153" i="3" a="1"/>
  <c r="BG153" i="3" s="1"/>
  <c r="BH153" i="3" s="1"/>
  <c r="BG152" i="3" a="1"/>
  <c r="BG152" i="3" s="1"/>
  <c r="BH152" i="3" s="1"/>
  <c r="BG151" i="3" a="1"/>
  <c r="BG151" i="3" s="1"/>
  <c r="BH151" i="3" s="1"/>
  <c r="BG150" i="3" a="1"/>
  <c r="BG150" i="3" s="1"/>
  <c r="BH150" i="3" s="1"/>
  <c r="BG149" i="3" a="1"/>
  <c r="BG149" i="3" s="1"/>
  <c r="BH149" i="3" s="1"/>
  <c r="BG148" i="3" a="1"/>
  <c r="BG148" i="3" s="1"/>
  <c r="BH148" i="3" s="1"/>
  <c r="BG147" i="3" a="1"/>
  <c r="BG147" i="3" s="1"/>
  <c r="BH147" i="3" s="1"/>
  <c r="BG146" i="3" a="1"/>
  <c r="BG146" i="3" s="1"/>
  <c r="BH146" i="3" s="1"/>
  <c r="BG145" i="3" a="1"/>
  <c r="BG145" i="3" s="1"/>
  <c r="BH145" i="3" s="1"/>
  <c r="BG144" i="3" a="1"/>
  <c r="BG144" i="3" s="1"/>
  <c r="BH144" i="3" s="1"/>
  <c r="BG143" i="3" a="1"/>
  <c r="BG143" i="3" s="1"/>
  <c r="BH143" i="3" s="1"/>
  <c r="BG142" i="3" a="1"/>
  <c r="BG142" i="3" s="1"/>
  <c r="BH142" i="3" s="1"/>
  <c r="BG141" i="3" a="1"/>
  <c r="BG141" i="3" s="1"/>
  <c r="BH141" i="3" s="1"/>
  <c r="BG140" i="3" a="1"/>
  <c r="BG140" i="3" s="1"/>
  <c r="BH140" i="3" s="1"/>
  <c r="BG139" i="3" a="1"/>
  <c r="BG139" i="3" s="1"/>
  <c r="BH139" i="3" s="1"/>
  <c r="BG138" i="3" a="1"/>
  <c r="BG138" i="3" s="1"/>
  <c r="BH138" i="3" s="1"/>
  <c r="BG137" i="3" a="1"/>
  <c r="BG137" i="3" s="1"/>
  <c r="BH137" i="3" s="1"/>
  <c r="BG136" i="3" a="1"/>
  <c r="BG136" i="3" s="1"/>
  <c r="BH136" i="3" s="1"/>
  <c r="BG135" i="3" a="1"/>
  <c r="BG135" i="3" s="1"/>
  <c r="BH135" i="3" s="1"/>
  <c r="BG134" i="3" a="1"/>
  <c r="BG134" i="3" s="1"/>
  <c r="BH134" i="3" s="1"/>
  <c r="BG133" i="3" a="1"/>
  <c r="BG133" i="3" s="1"/>
  <c r="BH133" i="3" s="1"/>
  <c r="BG132" i="3" a="1"/>
  <c r="BG132" i="3" s="1"/>
  <c r="BH132" i="3" s="1"/>
  <c r="BG131" i="3" a="1"/>
  <c r="BG131" i="3" s="1"/>
  <c r="BH131" i="3" s="1"/>
  <c r="BG130" i="3" a="1"/>
  <c r="BG130" i="3" s="1"/>
  <c r="BH130" i="3" s="1"/>
  <c r="BG129" i="3" a="1"/>
  <c r="BG129" i="3" s="1"/>
  <c r="BH129" i="3" s="1"/>
  <c r="BG128" i="3" a="1"/>
  <c r="BG128" i="3" s="1"/>
  <c r="BH128" i="3" s="1"/>
  <c r="BG127" i="3" a="1"/>
  <c r="BG127" i="3" s="1"/>
  <c r="BH127" i="3" s="1"/>
  <c r="BG126" i="3" a="1"/>
  <c r="BG126" i="3" s="1"/>
  <c r="BH126" i="3" s="1"/>
  <c r="BG125" i="3" a="1"/>
  <c r="BG125" i="3" s="1"/>
  <c r="BH125" i="3" s="1"/>
  <c r="BG124" i="3" a="1"/>
  <c r="BG124" i="3" s="1"/>
  <c r="BH124" i="3" s="1"/>
  <c r="BG123" i="3" a="1"/>
  <c r="BG123" i="3" s="1"/>
  <c r="BH123" i="3" s="1"/>
  <c r="BG122" i="3" a="1"/>
  <c r="BG122" i="3" s="1"/>
  <c r="BH122" i="3" s="1"/>
  <c r="BG121" i="3" a="1"/>
  <c r="BG121" i="3" s="1"/>
  <c r="BH121" i="3" s="1"/>
  <c r="BG120" i="3" a="1"/>
  <c r="BG120" i="3" s="1"/>
  <c r="BH120" i="3" s="1"/>
  <c r="BG119" i="3" a="1"/>
  <c r="BG119" i="3" s="1"/>
  <c r="BH119" i="3" s="1"/>
  <c r="BG118" i="3" a="1"/>
  <c r="BG118" i="3" s="1"/>
  <c r="BH118" i="3" s="1"/>
  <c r="BG117" i="3" a="1"/>
  <c r="BG117" i="3" s="1"/>
  <c r="BH117" i="3" s="1"/>
  <c r="BG116" i="3" a="1"/>
  <c r="BG116" i="3" s="1"/>
  <c r="BH116" i="3" s="1"/>
  <c r="BG115" i="3" a="1"/>
  <c r="BG115" i="3" s="1"/>
  <c r="BH115" i="3" s="1"/>
  <c r="BG114" i="3" a="1"/>
  <c r="BG114" i="3" s="1"/>
  <c r="BH114" i="3" s="1"/>
  <c r="BG113" i="3" a="1"/>
  <c r="BG113" i="3" s="1"/>
  <c r="BH113" i="3" s="1"/>
  <c r="BG112" i="3" a="1"/>
  <c r="BG112" i="3" s="1"/>
  <c r="BH112" i="3" s="1"/>
  <c r="BG111" i="3" a="1"/>
  <c r="BG111" i="3" s="1"/>
  <c r="BH111" i="3" s="1"/>
  <c r="BG110" i="3" a="1"/>
  <c r="BG110" i="3" s="1"/>
  <c r="BH110" i="3" s="1"/>
  <c r="BG109" i="3" a="1"/>
  <c r="BG109" i="3" s="1"/>
  <c r="BH109" i="3" s="1"/>
  <c r="BG108" i="3" a="1"/>
  <c r="BG108" i="3" s="1"/>
  <c r="BH108" i="3" s="1"/>
  <c r="BG107" i="3" a="1"/>
  <c r="BG107" i="3" s="1"/>
  <c r="BH107" i="3" s="1"/>
  <c r="BG106" i="3" a="1"/>
  <c r="BG106" i="3" s="1"/>
  <c r="BH106" i="3" s="1"/>
  <c r="BG105" i="3" a="1"/>
  <c r="BG105" i="3" s="1"/>
  <c r="BH105" i="3" s="1"/>
  <c r="BG104" i="3" a="1"/>
  <c r="BG104" i="3" s="1"/>
  <c r="BH104" i="3" s="1"/>
  <c r="BG103" i="3" a="1"/>
  <c r="BG103" i="3" s="1"/>
  <c r="BH103" i="3" s="1"/>
  <c r="BG102" i="3" a="1"/>
  <c r="BG102" i="3" s="1"/>
  <c r="BH102" i="3" s="1"/>
  <c r="BG101" i="3" a="1"/>
  <c r="BG101" i="3" s="1"/>
  <c r="BH101" i="3" s="1"/>
  <c r="BG100" i="3" a="1"/>
  <c r="BG100" i="3" s="1"/>
  <c r="BH100" i="3" s="1"/>
  <c r="BG99" i="3" a="1"/>
  <c r="BG99" i="3" s="1"/>
  <c r="BH99" i="3" s="1"/>
  <c r="BG98" i="3" a="1"/>
  <c r="BG98" i="3" s="1"/>
  <c r="BH98" i="3" s="1"/>
  <c r="BG97" i="3" a="1"/>
  <c r="BG97" i="3" s="1"/>
  <c r="BH97" i="3" s="1"/>
  <c r="BG96" i="3" a="1"/>
  <c r="BG96" i="3" s="1"/>
  <c r="BH96" i="3" s="1"/>
  <c r="BG95" i="3" a="1"/>
  <c r="BG95" i="3" s="1"/>
  <c r="BH95" i="3" s="1"/>
  <c r="BG94" i="3" a="1"/>
  <c r="BG94" i="3" s="1"/>
  <c r="BH94" i="3" s="1"/>
  <c r="BG93" i="3" a="1"/>
  <c r="BG93" i="3" s="1"/>
  <c r="BH93" i="3" s="1"/>
  <c r="BG92" i="3" a="1"/>
  <c r="BG92" i="3" s="1"/>
  <c r="BH92" i="3" s="1"/>
  <c r="BG91" i="3" a="1"/>
  <c r="BG91" i="3" s="1"/>
  <c r="BH91" i="3" s="1"/>
  <c r="BG90" i="3" a="1"/>
  <c r="BG90" i="3" s="1"/>
  <c r="BH90" i="3" s="1"/>
  <c r="BG89" i="3" a="1"/>
  <c r="BG89" i="3" s="1"/>
  <c r="BH89" i="3" s="1"/>
  <c r="BG88" i="3" a="1"/>
  <c r="BG88" i="3" s="1"/>
  <c r="BH88" i="3" s="1"/>
  <c r="BG87" i="3" a="1"/>
  <c r="BG87" i="3" s="1"/>
  <c r="BH87" i="3" s="1"/>
  <c r="BG86" i="3" a="1"/>
  <c r="BG86" i="3" s="1"/>
  <c r="BH86" i="3" s="1"/>
  <c r="BG85" i="3" a="1"/>
  <c r="BG85" i="3" s="1"/>
  <c r="BH85" i="3" s="1"/>
  <c r="BG84" i="3" a="1"/>
  <c r="BG84" i="3" s="1"/>
  <c r="BH84" i="3" s="1"/>
  <c r="BG83" i="3" a="1"/>
  <c r="BG83" i="3" s="1"/>
  <c r="BH83" i="3" s="1"/>
  <c r="BG82" i="3" a="1"/>
  <c r="BG82" i="3" s="1"/>
  <c r="BH82" i="3" s="1"/>
  <c r="BG81" i="3" a="1"/>
  <c r="BG81" i="3" s="1"/>
  <c r="BH81" i="3" s="1"/>
  <c r="BG80" i="3" a="1"/>
  <c r="BG80" i="3" s="1"/>
  <c r="BH80" i="3" s="1"/>
  <c r="BG79" i="3" a="1"/>
  <c r="BG79" i="3" s="1"/>
  <c r="BH79" i="3" s="1"/>
  <c r="BG78" i="3" a="1"/>
  <c r="BG78" i="3" s="1"/>
  <c r="BH78" i="3" s="1"/>
  <c r="BG77" i="3" a="1"/>
  <c r="BG77" i="3" s="1"/>
  <c r="BH77" i="3" s="1"/>
  <c r="BG76" i="3" a="1"/>
  <c r="BG76" i="3" s="1"/>
  <c r="BH76" i="3" s="1"/>
  <c r="BG75" i="3" a="1"/>
  <c r="BG75" i="3" s="1"/>
  <c r="BH75" i="3" s="1"/>
  <c r="BG74" i="3" a="1"/>
  <c r="BG74" i="3" s="1"/>
  <c r="BH74" i="3" s="1"/>
  <c r="BG73" i="3" a="1"/>
  <c r="BG73" i="3" s="1"/>
  <c r="BH73" i="3" s="1"/>
  <c r="BG72" i="3" a="1"/>
  <c r="BG72" i="3" s="1"/>
  <c r="BH72" i="3" s="1"/>
  <c r="BG71" i="3" a="1"/>
  <c r="BG71" i="3" s="1"/>
  <c r="BH71" i="3" s="1"/>
  <c r="BG70" i="3" a="1"/>
  <c r="BG70" i="3" s="1"/>
  <c r="BH70" i="3" s="1"/>
  <c r="BG69" i="3" a="1"/>
  <c r="BG69" i="3" s="1"/>
  <c r="BH69" i="3" s="1"/>
  <c r="BG68" i="3" a="1"/>
  <c r="BG68" i="3" s="1"/>
  <c r="BH68" i="3" s="1"/>
  <c r="BG67" i="3" a="1"/>
  <c r="BG67" i="3" s="1"/>
  <c r="BH67" i="3" s="1"/>
  <c r="BG66" i="3" a="1"/>
  <c r="BG66" i="3" s="1"/>
  <c r="BH66" i="3" s="1"/>
  <c r="BG65" i="3" a="1"/>
  <c r="BG65" i="3" s="1"/>
  <c r="BH65" i="3" s="1"/>
  <c r="BG64" i="3" a="1"/>
  <c r="BG64" i="3" s="1"/>
  <c r="BH64" i="3" s="1"/>
  <c r="BG63" i="3" a="1"/>
  <c r="BG63" i="3" s="1"/>
  <c r="BH63" i="3" s="1"/>
  <c r="BG62" i="3" a="1"/>
  <c r="BG62" i="3" s="1"/>
  <c r="BH62" i="3" s="1"/>
  <c r="BG61" i="3" a="1"/>
  <c r="BG61" i="3" s="1"/>
  <c r="BH61" i="3" s="1"/>
  <c r="BG60" i="3" a="1"/>
  <c r="BG60" i="3" s="1"/>
  <c r="BH60" i="3" s="1"/>
  <c r="BG59" i="3" a="1"/>
  <c r="BG59" i="3" s="1"/>
  <c r="BH59" i="3" s="1"/>
  <c r="BG58" i="3" a="1"/>
  <c r="BG58" i="3" s="1"/>
  <c r="BH58" i="3" s="1"/>
  <c r="BG57" i="3" a="1"/>
  <c r="BG57" i="3" s="1"/>
  <c r="BH57" i="3" s="1"/>
  <c r="BG56" i="3" a="1"/>
  <c r="BG56" i="3" s="1"/>
  <c r="BH56" i="3" s="1"/>
  <c r="BG55" i="3" a="1"/>
  <c r="BG55" i="3" s="1"/>
  <c r="BH55" i="3" s="1"/>
  <c r="BG54" i="3" a="1"/>
  <c r="BG54" i="3" s="1"/>
  <c r="BH54" i="3" s="1"/>
  <c r="BG53" i="3" a="1"/>
  <c r="BG53" i="3" s="1"/>
  <c r="BH53" i="3" s="1"/>
  <c r="BG52" i="3" a="1"/>
  <c r="BG52" i="3" s="1"/>
  <c r="BH52" i="3" s="1"/>
  <c r="BG51" i="3" a="1"/>
  <c r="BG51" i="3" s="1"/>
  <c r="BH51" i="3" s="1"/>
  <c r="BG50" i="3" a="1"/>
  <c r="BG50" i="3" s="1"/>
  <c r="BH50" i="3" s="1"/>
  <c r="BG49" i="3" a="1"/>
  <c r="BG49" i="3" s="1"/>
  <c r="BH49" i="3" s="1"/>
  <c r="BG48" i="3" a="1"/>
  <c r="BG48" i="3" s="1"/>
  <c r="BH48" i="3" s="1"/>
  <c r="BG47" i="3" a="1"/>
  <c r="BG47" i="3" s="1"/>
  <c r="BH47" i="3" s="1"/>
  <c r="BG46" i="3" a="1"/>
  <c r="BG46" i="3" s="1"/>
  <c r="BH46" i="3" s="1"/>
  <c r="BG45" i="3" a="1"/>
  <c r="BG45" i="3" s="1"/>
  <c r="BH45" i="3" s="1"/>
  <c r="BG44" i="3" a="1"/>
  <c r="BG44" i="3" s="1"/>
  <c r="BH44" i="3" s="1"/>
  <c r="BG43" i="3" a="1"/>
  <c r="BG43" i="3" s="1"/>
  <c r="BH43" i="3" s="1"/>
  <c r="BG42" i="3" a="1"/>
  <c r="BG42" i="3" s="1"/>
  <c r="BH42" i="3" s="1"/>
  <c r="BG41" i="3" a="1"/>
  <c r="BG41" i="3" s="1"/>
  <c r="BH41" i="3" s="1"/>
  <c r="BG40" i="3" a="1"/>
  <c r="BG40" i="3" s="1"/>
  <c r="BH40" i="3" s="1"/>
  <c r="BG39" i="3" a="1"/>
  <c r="BG39" i="3" s="1"/>
  <c r="BH39" i="3" s="1"/>
  <c r="BG38" i="3" a="1"/>
  <c r="BG38" i="3" s="1"/>
  <c r="BH38" i="3" s="1"/>
  <c r="BG37" i="3" a="1"/>
  <c r="BG37" i="3" s="1"/>
  <c r="BH37" i="3" s="1"/>
  <c r="BG36" i="3" a="1"/>
  <c r="BG36" i="3" s="1"/>
  <c r="BH36" i="3" s="1"/>
  <c r="BG35" i="3" a="1"/>
  <c r="BG35" i="3" s="1"/>
  <c r="BH35" i="3" s="1"/>
  <c r="BG34" i="3" a="1"/>
  <c r="BG34" i="3" s="1"/>
  <c r="BH34" i="3" s="1"/>
  <c r="BG33" i="3" a="1"/>
  <c r="BG33" i="3" s="1"/>
  <c r="BH33" i="3" s="1"/>
  <c r="BG32" i="3" a="1"/>
  <c r="BG32" i="3" s="1"/>
  <c r="BH32" i="3" s="1"/>
  <c r="BG31" i="3" a="1"/>
  <c r="BG31" i="3" s="1"/>
  <c r="BH31" i="3" s="1"/>
  <c r="BG30" i="3" a="1"/>
  <c r="BG30" i="3" s="1"/>
  <c r="BH30" i="3" s="1"/>
  <c r="BG29" i="3" a="1"/>
  <c r="BG29" i="3" s="1"/>
  <c r="BH29" i="3" s="1"/>
  <c r="BG28" i="3" a="1"/>
  <c r="BG28" i="3" s="1"/>
  <c r="BH28" i="3" s="1"/>
  <c r="BG27" i="3" a="1"/>
  <c r="BG27" i="3" s="1"/>
  <c r="BH27" i="3" s="1"/>
  <c r="BG26" i="3" a="1"/>
  <c r="BG26" i="3" s="1"/>
  <c r="BH26" i="3" s="1"/>
  <c r="BG25" i="3" a="1"/>
  <c r="BG25" i="3" s="1"/>
  <c r="BH25" i="3" s="1"/>
  <c r="BG24" i="3" a="1"/>
  <c r="BG24" i="3" s="1"/>
  <c r="BH24" i="3" s="1"/>
  <c r="BG23" i="3" a="1"/>
  <c r="BG23" i="3" s="1"/>
  <c r="BH23" i="3" s="1"/>
  <c r="BG22" i="3" a="1"/>
  <c r="BG22" i="3" s="1"/>
  <c r="BH22" i="3" s="1"/>
  <c r="BG21" i="3" a="1"/>
  <c r="BG21" i="3" s="1"/>
  <c r="BH21" i="3" s="1"/>
  <c r="BG20" i="3" a="1"/>
  <c r="BG20" i="3" s="1"/>
  <c r="BH20" i="3" s="1"/>
  <c r="BG19" i="3" a="1"/>
  <c r="BG19" i="3" s="1"/>
  <c r="BH19" i="3" s="1"/>
  <c r="BG18" i="3" a="1"/>
  <c r="BG18" i="3" s="1"/>
  <c r="BH18" i="3" s="1"/>
  <c r="BG17" i="3" a="1"/>
  <c r="BG17" i="3" s="1"/>
  <c r="BH17" i="3" s="1"/>
  <c r="BG16" i="3" a="1"/>
  <c r="BG16" i="3" s="1"/>
  <c r="BH16" i="3" s="1"/>
  <c r="BG15" i="3" a="1"/>
  <c r="BG15" i="3" s="1"/>
  <c r="BH15" i="3" s="1"/>
  <c r="BG14" i="3" a="1"/>
  <c r="BG14" i="3" s="1"/>
  <c r="BH14" i="3" s="1"/>
  <c r="BG13" i="3" a="1"/>
  <c r="BG13" i="3" s="1"/>
  <c r="BH13" i="3" s="1"/>
  <c r="BG12" i="3" a="1"/>
  <c r="BG12" i="3" s="1"/>
  <c r="BH12" i="3" s="1"/>
  <c r="BG11" i="3" a="1"/>
  <c r="BG11" i="3" s="1"/>
  <c r="BH11" i="3" s="1"/>
  <c r="BG10" i="3" a="1"/>
  <c r="BG10" i="3" s="1"/>
  <c r="BH10" i="3" s="1"/>
  <c r="BG9" i="3" a="1"/>
  <c r="BG9" i="3" s="1"/>
  <c r="BH9" i="3" s="1"/>
  <c r="BF9" i="3"/>
  <c r="DZ33" i="3" l="1"/>
  <c r="DZ28" i="3"/>
  <c r="F30" i="24" a="1"/>
  <c r="F30" i="24" s="1"/>
  <c r="DZ21" i="3"/>
  <c r="F23" i="24" a="1"/>
  <c r="F23" i="24" s="1"/>
  <c r="DZ29" i="3"/>
  <c r="F31" i="24" a="1"/>
  <c r="F31" i="24" s="1"/>
  <c r="DZ20" i="3"/>
  <c r="F22" i="24" a="1"/>
  <c r="F22" i="24" s="1"/>
  <c r="DZ22" i="3"/>
  <c r="F24" i="24" a="1"/>
  <c r="F24" i="24" s="1"/>
  <c r="DZ30" i="3"/>
  <c r="F32" i="24" a="1"/>
  <c r="F32" i="24" s="1"/>
  <c r="DZ23" i="3"/>
  <c r="F25" i="24" a="1"/>
  <c r="F25" i="24" s="1"/>
  <c r="DZ31" i="3"/>
  <c r="F33" i="24" a="1"/>
  <c r="F33" i="24" s="1"/>
  <c r="DZ24" i="3"/>
  <c r="F26" i="24" a="1"/>
  <c r="F26" i="24" s="1"/>
  <c r="DZ32" i="3"/>
  <c r="F34" i="24" a="1"/>
  <c r="F34" i="24" s="1"/>
  <c r="DZ19" i="3"/>
  <c r="F21" i="24" a="1"/>
  <c r="F21" i="24" s="1"/>
  <c r="DZ27" i="3"/>
  <c r="F29" i="24" a="1"/>
  <c r="F29" i="24" s="1"/>
  <c r="DZ25" i="3"/>
  <c r="F27" i="24" a="1"/>
  <c r="F27" i="24" s="1"/>
  <c r="DZ18" i="3"/>
  <c r="F20" i="24" a="1"/>
  <c r="F20" i="24" s="1"/>
  <c r="DZ26" i="3"/>
  <c r="F28" i="24" a="1"/>
  <c r="F28" i="24" s="1"/>
  <c r="AW39" i="3" l="1"/>
  <c r="AW53" i="3"/>
  <c r="AW69" i="3"/>
  <c r="AW93" i="3"/>
  <c r="AW54" i="3"/>
  <c r="AW62" i="3"/>
  <c r="AW70" i="3"/>
  <c r="AW78" i="3"/>
  <c r="AW86" i="3"/>
  <c r="AW94" i="3"/>
  <c r="AW102" i="3"/>
  <c r="AW110" i="3"/>
  <c r="AW118" i="3"/>
  <c r="AW126" i="3"/>
  <c r="AW134" i="3"/>
  <c r="AW142" i="3"/>
  <c r="AW150" i="3"/>
  <c r="AW158" i="3"/>
  <c r="AW166" i="3"/>
  <c r="AW174" i="3"/>
  <c r="AW182" i="3"/>
  <c r="AW190" i="3"/>
  <c r="AW198" i="3"/>
  <c r="AW206" i="3"/>
  <c r="AW214" i="3"/>
  <c r="AW222" i="3"/>
  <c r="AW230" i="3"/>
  <c r="AW238" i="3"/>
  <c r="AW246" i="3"/>
  <c r="AW254" i="3"/>
  <c r="AW262" i="3"/>
  <c r="AW270" i="3"/>
  <c r="AW278" i="3"/>
  <c r="AW286" i="3"/>
  <c r="AW294" i="3"/>
  <c r="AW302" i="3"/>
  <c r="AW63" i="3"/>
  <c r="AW103" i="3"/>
  <c r="AW143" i="3"/>
  <c r="AW183" i="3"/>
  <c r="AW215" i="3"/>
  <c r="AW247" i="3"/>
  <c r="AW271" i="3"/>
  <c r="AW303" i="3"/>
  <c r="AW48" i="3"/>
  <c r="AW56" i="3"/>
  <c r="AW64" i="3"/>
  <c r="AW72" i="3"/>
  <c r="AW80" i="3"/>
  <c r="AW88" i="3"/>
  <c r="AW96" i="3"/>
  <c r="AW104" i="3"/>
  <c r="AW112" i="3"/>
  <c r="AW120" i="3"/>
  <c r="AW128" i="3"/>
  <c r="AW136" i="3"/>
  <c r="AW144" i="3"/>
  <c r="AW152" i="3"/>
  <c r="AW160" i="3"/>
  <c r="AW168" i="3"/>
  <c r="AW176" i="3"/>
  <c r="AW184" i="3"/>
  <c r="AW192" i="3"/>
  <c r="AW200" i="3"/>
  <c r="AW208" i="3"/>
  <c r="AW216" i="3"/>
  <c r="AW224" i="3"/>
  <c r="AW232" i="3"/>
  <c r="AW240" i="3"/>
  <c r="AW248" i="3"/>
  <c r="AW256" i="3"/>
  <c r="AW264" i="3"/>
  <c r="AW272" i="3"/>
  <c r="AW280" i="3"/>
  <c r="AW288" i="3"/>
  <c r="AW296" i="3"/>
  <c r="AW304" i="3"/>
  <c r="AW87" i="3"/>
  <c r="AW135" i="3"/>
  <c r="AW199" i="3"/>
  <c r="AW279" i="3"/>
  <c r="AW41" i="3"/>
  <c r="AW49" i="3"/>
  <c r="AW57" i="3"/>
  <c r="AW65" i="3"/>
  <c r="AW73" i="3"/>
  <c r="AW81" i="3"/>
  <c r="AW89" i="3"/>
  <c r="AW97" i="3"/>
  <c r="AW105" i="3"/>
  <c r="AW113" i="3"/>
  <c r="AW121" i="3"/>
  <c r="AW129" i="3"/>
  <c r="AW137" i="3"/>
  <c r="AW145" i="3"/>
  <c r="AW153" i="3"/>
  <c r="AW161" i="3"/>
  <c r="AW169" i="3"/>
  <c r="AW177" i="3"/>
  <c r="AW185" i="3"/>
  <c r="AW193" i="3"/>
  <c r="AW201" i="3"/>
  <c r="AW209" i="3"/>
  <c r="AW217" i="3"/>
  <c r="AW225" i="3"/>
  <c r="AW233" i="3"/>
  <c r="AW241" i="3"/>
  <c r="AW249" i="3"/>
  <c r="AW257" i="3"/>
  <c r="AW265" i="3"/>
  <c r="AW273" i="3"/>
  <c r="AW281" i="3"/>
  <c r="AW289" i="3"/>
  <c r="AW297" i="3"/>
  <c r="AW305" i="3"/>
  <c r="AW95" i="3"/>
  <c r="AW127" i="3"/>
  <c r="AW167" i="3"/>
  <c r="AW239" i="3"/>
  <c r="AW50" i="3"/>
  <c r="AW58" i="3"/>
  <c r="AW66" i="3"/>
  <c r="AW74" i="3"/>
  <c r="AW82" i="3"/>
  <c r="AW90" i="3"/>
  <c r="AW98" i="3"/>
  <c r="AW106" i="3"/>
  <c r="AW114" i="3"/>
  <c r="AW122" i="3"/>
  <c r="AW130" i="3"/>
  <c r="AW138" i="3"/>
  <c r="AW146" i="3"/>
  <c r="AW154" i="3"/>
  <c r="AW162" i="3"/>
  <c r="AW170" i="3"/>
  <c r="AW178" i="3"/>
  <c r="AW186" i="3"/>
  <c r="AW194" i="3"/>
  <c r="AW202" i="3"/>
  <c r="AW210" i="3"/>
  <c r="AW218" i="3"/>
  <c r="AW226" i="3"/>
  <c r="AW234" i="3"/>
  <c r="AW242" i="3"/>
  <c r="AW250" i="3"/>
  <c r="AW258" i="3"/>
  <c r="AW266" i="3"/>
  <c r="AW274" i="3"/>
  <c r="AW282" i="3"/>
  <c r="AW290" i="3"/>
  <c r="AW298" i="3"/>
  <c r="AW306" i="3"/>
  <c r="AW71" i="3"/>
  <c r="AW119" i="3"/>
  <c r="AW159" i="3"/>
  <c r="AW191" i="3"/>
  <c r="AW223" i="3"/>
  <c r="AW255" i="3"/>
  <c r="AW287" i="3"/>
  <c r="AW43" i="3"/>
  <c r="AW51" i="3"/>
  <c r="AW59" i="3"/>
  <c r="AW67" i="3"/>
  <c r="AW75" i="3"/>
  <c r="AW83" i="3"/>
  <c r="AW91" i="3"/>
  <c r="AW99" i="3"/>
  <c r="AW107" i="3"/>
  <c r="AW115" i="3"/>
  <c r="AW123" i="3"/>
  <c r="AW131" i="3"/>
  <c r="AW139" i="3"/>
  <c r="AW147" i="3"/>
  <c r="AW155" i="3"/>
  <c r="AW163" i="3"/>
  <c r="AW171" i="3"/>
  <c r="AW179" i="3"/>
  <c r="AW187" i="3"/>
  <c r="AW195" i="3"/>
  <c r="AW203" i="3"/>
  <c r="AW211" i="3"/>
  <c r="AW219" i="3"/>
  <c r="AW227" i="3"/>
  <c r="AW235" i="3"/>
  <c r="AW243" i="3"/>
  <c r="AW251" i="3"/>
  <c r="AW259" i="3"/>
  <c r="AW267" i="3"/>
  <c r="AW275" i="3"/>
  <c r="AW283" i="3"/>
  <c r="AW291" i="3"/>
  <c r="AW299" i="3"/>
  <c r="AW307" i="3"/>
  <c r="AW79" i="3"/>
  <c r="AW111" i="3"/>
  <c r="AW151" i="3"/>
  <c r="AW175" i="3"/>
  <c r="AW207" i="3"/>
  <c r="AW231" i="3"/>
  <c r="AW263" i="3"/>
  <c r="AW295" i="3"/>
  <c r="AW44" i="3"/>
  <c r="AW52" i="3"/>
  <c r="AW60" i="3"/>
  <c r="AW68" i="3"/>
  <c r="AW76" i="3"/>
  <c r="AW84" i="3"/>
  <c r="AW92" i="3"/>
  <c r="AW100" i="3"/>
  <c r="AW108" i="3"/>
  <c r="AW116" i="3"/>
  <c r="AW124" i="3"/>
  <c r="AW132" i="3"/>
  <c r="AW140" i="3"/>
  <c r="AW148" i="3"/>
  <c r="AW156" i="3"/>
  <c r="AW164" i="3"/>
  <c r="AW172" i="3"/>
  <c r="AW180" i="3"/>
  <c r="AW188" i="3"/>
  <c r="AW196" i="3"/>
  <c r="AW204" i="3"/>
  <c r="AW212" i="3"/>
  <c r="AW220" i="3"/>
  <c r="AW228" i="3"/>
  <c r="AW236" i="3"/>
  <c r="AW244" i="3"/>
  <c r="AW252" i="3"/>
  <c r="AW260" i="3"/>
  <c r="AW268" i="3"/>
  <c r="AW276" i="3"/>
  <c r="AW284" i="3"/>
  <c r="AW292" i="3"/>
  <c r="AW300" i="3"/>
  <c r="AW308" i="3"/>
  <c r="AW55" i="3"/>
  <c r="AW61" i="3"/>
  <c r="AW77" i="3"/>
  <c r="AW85" i="3"/>
  <c r="AW101" i="3"/>
  <c r="AW109" i="3"/>
  <c r="AW117" i="3"/>
  <c r="AW125" i="3"/>
  <c r="AW133" i="3"/>
  <c r="AW141" i="3"/>
  <c r="AW149" i="3"/>
  <c r="AW157" i="3"/>
  <c r="AW165" i="3"/>
  <c r="AW173" i="3"/>
  <c r="AW181" i="3"/>
  <c r="AW189" i="3"/>
  <c r="AW197" i="3"/>
  <c r="AW205" i="3"/>
  <c r="AW213" i="3"/>
  <c r="AW221" i="3"/>
  <c r="AW229" i="3"/>
  <c r="AW237" i="3"/>
  <c r="AW245" i="3"/>
  <c r="AW253" i="3"/>
  <c r="AW261" i="3"/>
  <c r="AW269" i="3"/>
  <c r="AW277" i="3"/>
  <c r="AW285" i="3"/>
  <c r="AW293" i="3"/>
  <c r="AW301" i="3"/>
  <c r="CT7" i="3"/>
  <c r="AC308" i="3"/>
  <c r="O611" i="13" s="1"/>
  <c r="AC307" i="3"/>
  <c r="O610" i="13" s="1"/>
  <c r="AC306" i="3"/>
  <c r="O609" i="13" s="1"/>
  <c r="AC305" i="3"/>
  <c r="O608" i="13" s="1"/>
  <c r="AC304" i="3"/>
  <c r="O607" i="13" s="1"/>
  <c r="AC303" i="3"/>
  <c r="O606" i="13" s="1"/>
  <c r="AC302" i="3"/>
  <c r="O605" i="13" s="1"/>
  <c r="AC301" i="3"/>
  <c r="O604" i="13" s="1"/>
  <c r="AC300" i="3"/>
  <c r="O603" i="13" s="1"/>
  <c r="AC299" i="3"/>
  <c r="O602" i="13" s="1"/>
  <c r="AC298" i="3"/>
  <c r="O601" i="13" s="1"/>
  <c r="AC297" i="3"/>
  <c r="O600" i="13" s="1"/>
  <c r="AC296" i="3"/>
  <c r="O599" i="13" s="1"/>
  <c r="AC295" i="3"/>
  <c r="O598" i="13" s="1"/>
  <c r="AC294" i="3"/>
  <c r="O597" i="13" s="1"/>
  <c r="AC293" i="3"/>
  <c r="O596" i="13" s="1"/>
  <c r="AC292" i="3"/>
  <c r="O595" i="13" s="1"/>
  <c r="AC291" i="3"/>
  <c r="O594" i="13" s="1"/>
  <c r="AC290" i="3"/>
  <c r="O593" i="13" s="1"/>
  <c r="AC289" i="3"/>
  <c r="O592" i="13" s="1"/>
  <c r="AC288" i="3"/>
  <c r="O591" i="13" s="1"/>
  <c r="AC287" i="3"/>
  <c r="O590" i="13" s="1"/>
  <c r="AC286" i="3"/>
  <c r="O589" i="13" s="1"/>
  <c r="AC285" i="3"/>
  <c r="O588" i="13" s="1"/>
  <c r="AC284" i="3"/>
  <c r="O587" i="13" s="1"/>
  <c r="AC283" i="3"/>
  <c r="O586" i="13" s="1"/>
  <c r="AC282" i="3"/>
  <c r="O585" i="13" s="1"/>
  <c r="AC281" i="3"/>
  <c r="O584" i="13" s="1"/>
  <c r="AC280" i="3"/>
  <c r="O583" i="13" s="1"/>
  <c r="AC279" i="3"/>
  <c r="O582" i="13" s="1"/>
  <c r="AC278" i="3"/>
  <c r="O581" i="13" s="1"/>
  <c r="AC277" i="3"/>
  <c r="O580" i="13" s="1"/>
  <c r="AC276" i="3"/>
  <c r="O579" i="13" s="1"/>
  <c r="AC275" i="3"/>
  <c r="O578" i="13" s="1"/>
  <c r="AC274" i="3"/>
  <c r="O577" i="13" s="1"/>
  <c r="AC273" i="3"/>
  <c r="O576" i="13" s="1"/>
  <c r="AC272" i="3"/>
  <c r="O575" i="13" s="1"/>
  <c r="AC271" i="3"/>
  <c r="O574" i="13" s="1"/>
  <c r="AC270" i="3"/>
  <c r="O573" i="13" s="1"/>
  <c r="AC269" i="3"/>
  <c r="O572" i="13" s="1"/>
  <c r="AC268" i="3"/>
  <c r="O571" i="13" s="1"/>
  <c r="AC267" i="3"/>
  <c r="O570" i="13" s="1"/>
  <c r="AC266" i="3"/>
  <c r="O569" i="13" s="1"/>
  <c r="AC265" i="3"/>
  <c r="O568" i="13" s="1"/>
  <c r="AC264" i="3"/>
  <c r="O567" i="13" s="1"/>
  <c r="AC263" i="3"/>
  <c r="O566" i="13" s="1"/>
  <c r="AC262" i="3"/>
  <c r="O565" i="13" s="1"/>
  <c r="AC261" i="3"/>
  <c r="O564" i="13" s="1"/>
  <c r="AC260" i="3"/>
  <c r="O563" i="13" s="1"/>
  <c r="AC259" i="3"/>
  <c r="O562" i="13" s="1"/>
  <c r="AC258" i="3"/>
  <c r="O561" i="13" s="1"/>
  <c r="AC257" i="3"/>
  <c r="O560" i="13" s="1"/>
  <c r="AC256" i="3"/>
  <c r="O559" i="13" s="1"/>
  <c r="AC255" i="3"/>
  <c r="O558" i="13" s="1"/>
  <c r="AC254" i="3"/>
  <c r="O557" i="13" s="1"/>
  <c r="AC253" i="3"/>
  <c r="O556" i="13" s="1"/>
  <c r="AC252" i="3"/>
  <c r="O555" i="13" s="1"/>
  <c r="AC251" i="3"/>
  <c r="O554" i="13" s="1"/>
  <c r="AC250" i="3"/>
  <c r="O553" i="13" s="1"/>
  <c r="AC249" i="3"/>
  <c r="O552" i="13" s="1"/>
  <c r="AC248" i="3"/>
  <c r="O551" i="13" s="1"/>
  <c r="AC247" i="3"/>
  <c r="O550" i="13" s="1"/>
  <c r="AC246" i="3"/>
  <c r="O549" i="13" s="1"/>
  <c r="AC245" i="3"/>
  <c r="O548" i="13" s="1"/>
  <c r="AC244" i="3"/>
  <c r="O547" i="13" s="1"/>
  <c r="AC243" i="3"/>
  <c r="O546" i="13" s="1"/>
  <c r="AC242" i="3"/>
  <c r="O545" i="13" s="1"/>
  <c r="AC241" i="3"/>
  <c r="O544" i="13" s="1"/>
  <c r="AC240" i="3"/>
  <c r="O543" i="13" s="1"/>
  <c r="AC239" i="3"/>
  <c r="O542" i="13" s="1"/>
  <c r="AC238" i="3"/>
  <c r="O541" i="13" s="1"/>
  <c r="AC237" i="3"/>
  <c r="O540" i="13" s="1"/>
  <c r="AC236" i="3"/>
  <c r="O539" i="13" s="1"/>
  <c r="AC235" i="3"/>
  <c r="O538" i="13" s="1"/>
  <c r="AC234" i="3"/>
  <c r="O537" i="13" s="1"/>
  <c r="AC233" i="3"/>
  <c r="O536" i="13" s="1"/>
  <c r="AC232" i="3"/>
  <c r="O535" i="13" s="1"/>
  <c r="AC231" i="3"/>
  <c r="O534" i="13" s="1"/>
  <c r="AC230" i="3"/>
  <c r="O533" i="13" s="1"/>
  <c r="AC229" i="3"/>
  <c r="O532" i="13" s="1"/>
  <c r="AC228" i="3"/>
  <c r="O531" i="13" s="1"/>
  <c r="AC227" i="3"/>
  <c r="O530" i="13" s="1"/>
  <c r="AC226" i="3"/>
  <c r="O529" i="13" s="1"/>
  <c r="AC225" i="3"/>
  <c r="O528" i="13" s="1"/>
  <c r="AC224" i="3"/>
  <c r="O527" i="13" s="1"/>
  <c r="AC223" i="3"/>
  <c r="O526" i="13" s="1"/>
  <c r="AC222" i="3"/>
  <c r="O525" i="13" s="1"/>
  <c r="AC221" i="3"/>
  <c r="O524" i="13" s="1"/>
  <c r="AC220" i="3"/>
  <c r="O523" i="13" s="1"/>
  <c r="AC219" i="3"/>
  <c r="O522" i="13" s="1"/>
  <c r="AC218" i="3"/>
  <c r="O521" i="13" s="1"/>
  <c r="AC217" i="3"/>
  <c r="O520" i="13" s="1"/>
  <c r="AC216" i="3"/>
  <c r="O519" i="13" s="1"/>
  <c r="AC215" i="3"/>
  <c r="O518" i="13" s="1"/>
  <c r="AC214" i="3"/>
  <c r="O517" i="13" s="1"/>
  <c r="AC213" i="3"/>
  <c r="O516" i="13" s="1"/>
  <c r="AC212" i="3"/>
  <c r="O515" i="13" s="1"/>
  <c r="AC211" i="3"/>
  <c r="O514" i="13" s="1"/>
  <c r="AC210" i="3"/>
  <c r="O513" i="13" s="1"/>
  <c r="AC209" i="3"/>
  <c r="O512" i="13" s="1"/>
  <c r="AC208" i="3"/>
  <c r="O511" i="13" s="1"/>
  <c r="AC207" i="3"/>
  <c r="O510" i="13" s="1"/>
  <c r="AC206" i="3"/>
  <c r="O509" i="13" s="1"/>
  <c r="AC205" i="3"/>
  <c r="O508" i="13" s="1"/>
  <c r="AC204" i="3"/>
  <c r="O507" i="13" s="1"/>
  <c r="AC203" i="3"/>
  <c r="O506" i="13" s="1"/>
  <c r="AC202" i="3"/>
  <c r="O505" i="13" s="1"/>
  <c r="AC201" i="3"/>
  <c r="O504" i="13" s="1"/>
  <c r="AC200" i="3"/>
  <c r="O503" i="13" s="1"/>
  <c r="AC199" i="3"/>
  <c r="O502" i="13" s="1"/>
  <c r="AC198" i="3"/>
  <c r="O501" i="13" s="1"/>
  <c r="AC197" i="3"/>
  <c r="O500" i="13" s="1"/>
  <c r="AC196" i="3"/>
  <c r="O499" i="13" s="1"/>
  <c r="AC195" i="3"/>
  <c r="O498" i="13" s="1"/>
  <c r="AC194" i="3"/>
  <c r="O497" i="13" s="1"/>
  <c r="AC193" i="3"/>
  <c r="O496" i="13" s="1"/>
  <c r="AC192" i="3"/>
  <c r="O495" i="13" s="1"/>
  <c r="AC191" i="3"/>
  <c r="O494" i="13" s="1"/>
  <c r="AC190" i="3"/>
  <c r="O493" i="13" s="1"/>
  <c r="AC189" i="3"/>
  <c r="O492" i="13" s="1"/>
  <c r="AC188" i="3"/>
  <c r="O491" i="13" s="1"/>
  <c r="AC187" i="3"/>
  <c r="O490" i="13" s="1"/>
  <c r="AC186" i="3"/>
  <c r="O489" i="13" s="1"/>
  <c r="AC185" i="3"/>
  <c r="O488" i="13" s="1"/>
  <c r="AC184" i="3"/>
  <c r="O487" i="13" s="1"/>
  <c r="AC183" i="3"/>
  <c r="O486" i="13" s="1"/>
  <c r="AC182" i="3"/>
  <c r="O485" i="13" s="1"/>
  <c r="AC181" i="3"/>
  <c r="O484" i="13" s="1"/>
  <c r="AC180" i="3"/>
  <c r="O483" i="13" s="1"/>
  <c r="AC179" i="3"/>
  <c r="O482" i="13" s="1"/>
  <c r="AC178" i="3"/>
  <c r="O481" i="13" s="1"/>
  <c r="AC177" i="3"/>
  <c r="O480" i="13" s="1"/>
  <c r="AC176" i="3"/>
  <c r="O479" i="13" s="1"/>
  <c r="AC175" i="3"/>
  <c r="O478" i="13" s="1"/>
  <c r="AC174" i="3"/>
  <c r="O477" i="13" s="1"/>
  <c r="AC173" i="3"/>
  <c r="O476" i="13" s="1"/>
  <c r="AC172" i="3"/>
  <c r="O475" i="13" s="1"/>
  <c r="AC171" i="3"/>
  <c r="O474" i="13" s="1"/>
  <c r="AC170" i="3"/>
  <c r="O473" i="13" s="1"/>
  <c r="AC169" i="3"/>
  <c r="O472" i="13" s="1"/>
  <c r="AC168" i="3"/>
  <c r="O471" i="13" s="1"/>
  <c r="AC167" i="3"/>
  <c r="O470" i="13" s="1"/>
  <c r="AC166" i="3"/>
  <c r="O469" i="13" s="1"/>
  <c r="AC165" i="3"/>
  <c r="O468" i="13" s="1"/>
  <c r="AC164" i="3"/>
  <c r="O467" i="13" s="1"/>
  <c r="AC163" i="3"/>
  <c r="O466" i="13" s="1"/>
  <c r="AC162" i="3"/>
  <c r="O465" i="13" s="1"/>
  <c r="AC161" i="3"/>
  <c r="O464" i="13" s="1"/>
  <c r="AC160" i="3"/>
  <c r="O463" i="13" s="1"/>
  <c r="AC159" i="3"/>
  <c r="O462" i="13" s="1"/>
  <c r="AC158" i="3"/>
  <c r="O461" i="13" s="1"/>
  <c r="AC157" i="3"/>
  <c r="O460" i="13" s="1"/>
  <c r="AC156" i="3"/>
  <c r="O459" i="13" s="1"/>
  <c r="AC155" i="3"/>
  <c r="O458" i="13" s="1"/>
  <c r="AC154" i="3"/>
  <c r="O457" i="13" s="1"/>
  <c r="AC153" i="3"/>
  <c r="O456" i="13" s="1"/>
  <c r="AC152" i="3"/>
  <c r="O455" i="13" s="1"/>
  <c r="AC151" i="3"/>
  <c r="O454" i="13" s="1"/>
  <c r="AC150" i="3"/>
  <c r="O453" i="13" s="1"/>
  <c r="AC149" i="3"/>
  <c r="O452" i="13" s="1"/>
  <c r="AC148" i="3"/>
  <c r="O451" i="13" s="1"/>
  <c r="AC147" i="3"/>
  <c r="O450" i="13" s="1"/>
  <c r="AC146" i="3"/>
  <c r="O449" i="13" s="1"/>
  <c r="AC145" i="3"/>
  <c r="O448" i="13" s="1"/>
  <c r="AC144" i="3"/>
  <c r="O447" i="13" s="1"/>
  <c r="AC143" i="3"/>
  <c r="O446" i="13" s="1"/>
  <c r="AC142" i="3"/>
  <c r="O445" i="13" s="1"/>
  <c r="AC141" i="3"/>
  <c r="O444" i="13" s="1"/>
  <c r="AC140" i="3"/>
  <c r="O443" i="13" s="1"/>
  <c r="AC139" i="3"/>
  <c r="O442" i="13" s="1"/>
  <c r="AC138" i="3"/>
  <c r="O441" i="13" s="1"/>
  <c r="AC137" i="3"/>
  <c r="O440" i="13" s="1"/>
  <c r="AC136" i="3"/>
  <c r="O439" i="13" s="1"/>
  <c r="AC135" i="3"/>
  <c r="O438" i="13" s="1"/>
  <c r="AC134" i="3"/>
  <c r="O437" i="13" s="1"/>
  <c r="AC133" i="3"/>
  <c r="O436" i="13" s="1"/>
  <c r="AC132" i="3"/>
  <c r="O435" i="13" s="1"/>
  <c r="AC131" i="3"/>
  <c r="O434" i="13" s="1"/>
  <c r="AC130" i="3"/>
  <c r="O433" i="13" s="1"/>
  <c r="AC129" i="3"/>
  <c r="O432" i="13" s="1"/>
  <c r="AC128" i="3"/>
  <c r="O431" i="13" s="1"/>
  <c r="AC127" i="3"/>
  <c r="O430" i="13" s="1"/>
  <c r="AC126" i="3"/>
  <c r="O429" i="13" s="1"/>
  <c r="AC125" i="3"/>
  <c r="O428" i="13" s="1"/>
  <c r="AC124" i="3"/>
  <c r="O427" i="13" s="1"/>
  <c r="AC123" i="3"/>
  <c r="O426" i="13" s="1"/>
  <c r="AC122" i="3"/>
  <c r="O425" i="13" s="1"/>
  <c r="AC121" i="3"/>
  <c r="O424" i="13" s="1"/>
  <c r="AC120" i="3"/>
  <c r="O423" i="13" s="1"/>
  <c r="AC119" i="3"/>
  <c r="O422" i="13" s="1"/>
  <c r="AC118" i="3"/>
  <c r="O421" i="13" s="1"/>
  <c r="AC117" i="3"/>
  <c r="O420" i="13" s="1"/>
  <c r="AC116" i="3"/>
  <c r="O419" i="13" s="1"/>
  <c r="AC115" i="3"/>
  <c r="O418" i="13" s="1"/>
  <c r="AC114" i="3"/>
  <c r="O417" i="13" s="1"/>
  <c r="AC113" i="3"/>
  <c r="O416" i="13" s="1"/>
  <c r="AC112" i="3"/>
  <c r="O415" i="13" s="1"/>
  <c r="AC111" i="3"/>
  <c r="O414" i="13" s="1"/>
  <c r="AC110" i="3"/>
  <c r="O413" i="13" s="1"/>
  <c r="AC109" i="3"/>
  <c r="O412" i="13" s="1"/>
  <c r="AC108" i="3"/>
  <c r="O411" i="13" s="1"/>
  <c r="AC107" i="3"/>
  <c r="O410" i="13" s="1"/>
  <c r="AC106" i="3"/>
  <c r="O409" i="13" s="1"/>
  <c r="AC105" i="3"/>
  <c r="O408" i="13" s="1"/>
  <c r="AC104" i="3"/>
  <c r="O407" i="13" s="1"/>
  <c r="AC103" i="3"/>
  <c r="O406" i="13" s="1"/>
  <c r="AC102" i="3"/>
  <c r="O405" i="13" s="1"/>
  <c r="AC101" i="3"/>
  <c r="O404" i="13" s="1"/>
  <c r="AC100" i="3"/>
  <c r="O403" i="13" s="1"/>
  <c r="AC99" i="3"/>
  <c r="O402" i="13" s="1"/>
  <c r="AC98" i="3"/>
  <c r="O401" i="13" s="1"/>
  <c r="AC97" i="3"/>
  <c r="O400" i="13" s="1"/>
  <c r="AC96" i="3"/>
  <c r="O399" i="13" s="1"/>
  <c r="AC95" i="3"/>
  <c r="O398" i="13" s="1"/>
  <c r="AC94" i="3"/>
  <c r="O397" i="13" s="1"/>
  <c r="AC93" i="3"/>
  <c r="O396" i="13" s="1"/>
  <c r="AC92" i="3"/>
  <c r="O395" i="13" s="1"/>
  <c r="AC91" i="3"/>
  <c r="O394" i="13" s="1"/>
  <c r="AC90" i="3"/>
  <c r="O393" i="13" s="1"/>
  <c r="AC89" i="3"/>
  <c r="O392" i="13" s="1"/>
  <c r="AC88" i="3"/>
  <c r="O391" i="13" s="1"/>
  <c r="AC87" i="3"/>
  <c r="O390" i="13" s="1"/>
  <c r="AC86" i="3"/>
  <c r="O389" i="13" s="1"/>
  <c r="AC85" i="3"/>
  <c r="O388" i="13" s="1"/>
  <c r="AC84" i="3"/>
  <c r="O387" i="13" s="1"/>
  <c r="AC83" i="3"/>
  <c r="O386" i="13" s="1"/>
  <c r="AC82" i="3"/>
  <c r="O385" i="13" s="1"/>
  <c r="AC81" i="3"/>
  <c r="O384" i="13" s="1"/>
  <c r="AC80" i="3"/>
  <c r="O383" i="13" s="1"/>
  <c r="AC79" i="3"/>
  <c r="O382" i="13" s="1"/>
  <c r="AC78" i="3"/>
  <c r="O381" i="13" s="1"/>
  <c r="AC77" i="3"/>
  <c r="O380" i="13" s="1"/>
  <c r="AC76" i="3"/>
  <c r="O379" i="13" s="1"/>
  <c r="AC75" i="3"/>
  <c r="O378" i="13" s="1"/>
  <c r="AC74" i="3"/>
  <c r="O377" i="13" s="1"/>
  <c r="AC73" i="3"/>
  <c r="O376" i="13" s="1"/>
  <c r="AC72" i="3"/>
  <c r="O375" i="13" s="1"/>
  <c r="AC71" i="3"/>
  <c r="O374" i="13" s="1"/>
  <c r="AC70" i="3"/>
  <c r="O373" i="13" s="1"/>
  <c r="AC69" i="3"/>
  <c r="O372" i="13" s="1"/>
  <c r="AC68" i="3"/>
  <c r="O371" i="13" s="1"/>
  <c r="AC67" i="3"/>
  <c r="O370" i="13" s="1"/>
  <c r="AC66" i="3"/>
  <c r="O369" i="13" s="1"/>
  <c r="AC65" i="3"/>
  <c r="O368" i="13" s="1"/>
  <c r="AC64" i="3"/>
  <c r="O367" i="13" s="1"/>
  <c r="AC63" i="3"/>
  <c r="O366" i="13" s="1"/>
  <c r="AC62" i="3"/>
  <c r="O365" i="13" s="1"/>
  <c r="AC61" i="3"/>
  <c r="O364" i="13" s="1"/>
  <c r="AC60" i="3"/>
  <c r="O363" i="13" s="1"/>
  <c r="AC59" i="3"/>
  <c r="O362" i="13" s="1"/>
  <c r="AC58" i="3"/>
  <c r="O361" i="13" s="1"/>
  <c r="AC57" i="3"/>
  <c r="O360" i="13" s="1"/>
  <c r="AC56" i="3"/>
  <c r="O359" i="13" s="1"/>
  <c r="AC55" i="3"/>
  <c r="O358" i="13" s="1"/>
  <c r="AC54" i="3"/>
  <c r="O357" i="13" s="1"/>
  <c r="AC53" i="3"/>
  <c r="O356" i="13" s="1"/>
  <c r="AC52" i="3"/>
  <c r="O355" i="13" s="1"/>
  <c r="AC51" i="3"/>
  <c r="O354" i="13" s="1"/>
  <c r="AC50" i="3"/>
  <c r="O353" i="13" s="1"/>
  <c r="AC48" i="3"/>
  <c r="O351" i="13" s="1"/>
  <c r="B61" i="11"/>
  <c r="B62" i="11"/>
  <c r="AC44" i="3" s="1"/>
  <c r="O347" i="13" s="1"/>
  <c r="B63" i="11"/>
  <c r="AC34" i="3" s="1"/>
  <c r="O337" i="13" s="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60" i="11"/>
  <c r="DZ17" i="3"/>
  <c r="DZ16" i="3"/>
  <c r="DZ15" i="3"/>
  <c r="DZ14" i="3"/>
  <c r="DZ13" i="3"/>
  <c r="DZ12" i="3"/>
  <c r="DZ11" i="3"/>
  <c r="DZ10" i="3"/>
  <c r="DZ9" i="3"/>
  <c r="DZ8"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AD60" i="3"/>
  <c r="AD59" i="3"/>
  <c r="AD58" i="3"/>
  <c r="AD57" i="3"/>
  <c r="AD56" i="3"/>
  <c r="AD55" i="3"/>
  <c r="AD54" i="3"/>
  <c r="AD53" i="3"/>
  <c r="AD52" i="3"/>
  <c r="AD51" i="3"/>
  <c r="AD50" i="3"/>
  <c r="AD49" i="3"/>
  <c r="AD48" i="3"/>
  <c r="AD47" i="3"/>
  <c r="AD46" i="3"/>
  <c r="AD45" i="3"/>
  <c r="AD44" i="3"/>
  <c r="AD43" i="3"/>
  <c r="AD42" i="3"/>
  <c r="AD41" i="3"/>
  <c r="AD40" i="3"/>
  <c r="AD39" i="3"/>
  <c r="AD38" i="3"/>
  <c r="AD37" i="3"/>
  <c r="AD36" i="3"/>
  <c r="AD35" i="3"/>
  <c r="AD34" i="3"/>
  <c r="AD33" i="3"/>
  <c r="AD32" i="3"/>
  <c r="AD31" i="3"/>
  <c r="AD30" i="3"/>
  <c r="AD29" i="3"/>
  <c r="AD28" i="3"/>
  <c r="AD27" i="3"/>
  <c r="AD26" i="3"/>
  <c r="AD25" i="3"/>
  <c r="AD24" i="3"/>
  <c r="AD23" i="3"/>
  <c r="AD22" i="3"/>
  <c r="AD21" i="3"/>
  <c r="AD20" i="3"/>
  <c r="AD19" i="3"/>
  <c r="AD18" i="3"/>
  <c r="AD17" i="3"/>
  <c r="AD16" i="3"/>
  <c r="AD15" i="3"/>
  <c r="AD14" i="3"/>
  <c r="AD13" i="3"/>
  <c r="AD12" i="3"/>
  <c r="AD11" i="3"/>
  <c r="AD10" i="3"/>
  <c r="AD9" i="3"/>
  <c r="BN308" i="3"/>
  <c r="BN307" i="3"/>
  <c r="BN306" i="3"/>
  <c r="BN305" i="3"/>
  <c r="BN304" i="3"/>
  <c r="BN303" i="3"/>
  <c r="BN302" i="3"/>
  <c r="BN301" i="3"/>
  <c r="BN300" i="3"/>
  <c r="BN299" i="3"/>
  <c r="BN298" i="3"/>
  <c r="BN297" i="3"/>
  <c r="BN296" i="3"/>
  <c r="BN295" i="3"/>
  <c r="BN294" i="3"/>
  <c r="BN293" i="3"/>
  <c r="BN292" i="3"/>
  <c r="BN291" i="3"/>
  <c r="BN290" i="3"/>
  <c r="BN289" i="3"/>
  <c r="BN288" i="3"/>
  <c r="BN287" i="3"/>
  <c r="BN286" i="3"/>
  <c r="BN285" i="3"/>
  <c r="BN284" i="3"/>
  <c r="BN283" i="3"/>
  <c r="BN282" i="3"/>
  <c r="BN281" i="3"/>
  <c r="BN280" i="3"/>
  <c r="BN279" i="3"/>
  <c r="BN278" i="3"/>
  <c r="BN277" i="3"/>
  <c r="BN276" i="3"/>
  <c r="BN275" i="3"/>
  <c r="BN274" i="3"/>
  <c r="BN273" i="3"/>
  <c r="BN272" i="3"/>
  <c r="BN271" i="3"/>
  <c r="BN270" i="3"/>
  <c r="BN269" i="3"/>
  <c r="BN268" i="3"/>
  <c r="BN267" i="3"/>
  <c r="BN266" i="3"/>
  <c r="BN265" i="3"/>
  <c r="BN264" i="3"/>
  <c r="BN263" i="3"/>
  <c r="BN262" i="3"/>
  <c r="BN261" i="3"/>
  <c r="BN260" i="3"/>
  <c r="BN259" i="3"/>
  <c r="BN258" i="3"/>
  <c r="BN257" i="3"/>
  <c r="BN256" i="3"/>
  <c r="BN255" i="3"/>
  <c r="BN254" i="3"/>
  <c r="BN253" i="3"/>
  <c r="BN252" i="3"/>
  <c r="BN251" i="3"/>
  <c r="BN250" i="3"/>
  <c r="BN249" i="3"/>
  <c r="BN248" i="3"/>
  <c r="BN247" i="3"/>
  <c r="BN246" i="3"/>
  <c r="BN245" i="3"/>
  <c r="BN244" i="3"/>
  <c r="BN243" i="3"/>
  <c r="BN242" i="3"/>
  <c r="BN241" i="3"/>
  <c r="BN240" i="3"/>
  <c r="BN239" i="3"/>
  <c r="BN238" i="3"/>
  <c r="BN237" i="3"/>
  <c r="BN236" i="3"/>
  <c r="BN235" i="3"/>
  <c r="BN234" i="3"/>
  <c r="BN233" i="3"/>
  <c r="BN232" i="3"/>
  <c r="BN231" i="3"/>
  <c r="BN230" i="3"/>
  <c r="BN229" i="3"/>
  <c r="BN228" i="3"/>
  <c r="BN227" i="3"/>
  <c r="BN226" i="3"/>
  <c r="BN225" i="3"/>
  <c r="BN224" i="3"/>
  <c r="BN223" i="3"/>
  <c r="BN222" i="3"/>
  <c r="BN221" i="3"/>
  <c r="BN220" i="3"/>
  <c r="BN219" i="3"/>
  <c r="BN218" i="3"/>
  <c r="BN217" i="3"/>
  <c r="BN216" i="3"/>
  <c r="BN215" i="3"/>
  <c r="BN214" i="3"/>
  <c r="BN213" i="3"/>
  <c r="BN212" i="3"/>
  <c r="BN211" i="3"/>
  <c r="BN210" i="3"/>
  <c r="BN209" i="3"/>
  <c r="BN208" i="3"/>
  <c r="BN207" i="3"/>
  <c r="BN206" i="3"/>
  <c r="BN205" i="3"/>
  <c r="BN204" i="3"/>
  <c r="BN203" i="3"/>
  <c r="BN202" i="3"/>
  <c r="BN201" i="3"/>
  <c r="BN200" i="3"/>
  <c r="BN199" i="3"/>
  <c r="BN198" i="3"/>
  <c r="BN197" i="3"/>
  <c r="BN196" i="3"/>
  <c r="BN195" i="3"/>
  <c r="BN194" i="3"/>
  <c r="BN193" i="3"/>
  <c r="BN192" i="3"/>
  <c r="BN191" i="3"/>
  <c r="BN190" i="3"/>
  <c r="BN189" i="3"/>
  <c r="BN188" i="3"/>
  <c r="BN187" i="3"/>
  <c r="BN186" i="3"/>
  <c r="BN185" i="3"/>
  <c r="BN184" i="3"/>
  <c r="BN183" i="3"/>
  <c r="BN182" i="3"/>
  <c r="BN181" i="3"/>
  <c r="BN180" i="3"/>
  <c r="BN179" i="3"/>
  <c r="BN178" i="3"/>
  <c r="BN177" i="3"/>
  <c r="BN176" i="3"/>
  <c r="BN175" i="3"/>
  <c r="BN174" i="3"/>
  <c r="BN173" i="3"/>
  <c r="BN172" i="3"/>
  <c r="BN171" i="3"/>
  <c r="BN170" i="3"/>
  <c r="BN169" i="3"/>
  <c r="BN168" i="3"/>
  <c r="BN167" i="3"/>
  <c r="BN166" i="3"/>
  <c r="BN165" i="3"/>
  <c r="BN164" i="3"/>
  <c r="BN163" i="3"/>
  <c r="BN162" i="3"/>
  <c r="BN161" i="3"/>
  <c r="BN160" i="3"/>
  <c r="BN159" i="3"/>
  <c r="BN158" i="3"/>
  <c r="BN157" i="3"/>
  <c r="BN156" i="3"/>
  <c r="BN155" i="3"/>
  <c r="BN154" i="3"/>
  <c r="BN153" i="3"/>
  <c r="BN152" i="3"/>
  <c r="BN151" i="3"/>
  <c r="BN150" i="3"/>
  <c r="BN149" i="3"/>
  <c r="BN148" i="3"/>
  <c r="BN147" i="3"/>
  <c r="BN146" i="3"/>
  <c r="BN145" i="3"/>
  <c r="BN144" i="3"/>
  <c r="BN143" i="3"/>
  <c r="BN142" i="3"/>
  <c r="BN141" i="3"/>
  <c r="BN140" i="3"/>
  <c r="BN139" i="3"/>
  <c r="BN138" i="3"/>
  <c r="BN137" i="3"/>
  <c r="BN136" i="3"/>
  <c r="BN135" i="3"/>
  <c r="BN134" i="3"/>
  <c r="BN133" i="3"/>
  <c r="BN132" i="3"/>
  <c r="BN131" i="3"/>
  <c r="BN130" i="3"/>
  <c r="BN129" i="3"/>
  <c r="BN128" i="3"/>
  <c r="BN127" i="3"/>
  <c r="BN126" i="3"/>
  <c r="BN125" i="3"/>
  <c r="BN124" i="3"/>
  <c r="BN123" i="3"/>
  <c r="BN122" i="3"/>
  <c r="BN121" i="3"/>
  <c r="BN120" i="3"/>
  <c r="BN119" i="3"/>
  <c r="BN118" i="3"/>
  <c r="BN117" i="3"/>
  <c r="BN116" i="3"/>
  <c r="BN115" i="3"/>
  <c r="BN114" i="3"/>
  <c r="BN113" i="3"/>
  <c r="BN112" i="3"/>
  <c r="BN111" i="3"/>
  <c r="BN110" i="3"/>
  <c r="BN109" i="3"/>
  <c r="BN108" i="3"/>
  <c r="BN107" i="3"/>
  <c r="BN106" i="3"/>
  <c r="BN105" i="3"/>
  <c r="BN104" i="3"/>
  <c r="BN103" i="3"/>
  <c r="BN102" i="3"/>
  <c r="BN101" i="3"/>
  <c r="BN100" i="3"/>
  <c r="BN99" i="3"/>
  <c r="BN98" i="3"/>
  <c r="BN97" i="3"/>
  <c r="BN96" i="3"/>
  <c r="BN95" i="3"/>
  <c r="BN94" i="3"/>
  <c r="BN93" i="3"/>
  <c r="BN92" i="3"/>
  <c r="BN91" i="3"/>
  <c r="BN90" i="3"/>
  <c r="BN89" i="3"/>
  <c r="BN88" i="3"/>
  <c r="BN87" i="3"/>
  <c r="BN86" i="3"/>
  <c r="BN85" i="3"/>
  <c r="BN84" i="3"/>
  <c r="BN83" i="3"/>
  <c r="BN82" i="3"/>
  <c r="BN81" i="3"/>
  <c r="BN80" i="3"/>
  <c r="BN79" i="3"/>
  <c r="BN78" i="3"/>
  <c r="BN77" i="3"/>
  <c r="BN76" i="3"/>
  <c r="BN75" i="3"/>
  <c r="BN74" i="3"/>
  <c r="BN73" i="3"/>
  <c r="BN72" i="3"/>
  <c r="BN71" i="3"/>
  <c r="BN70" i="3"/>
  <c r="BN69" i="3"/>
  <c r="BN68" i="3"/>
  <c r="BN67" i="3"/>
  <c r="BN66" i="3"/>
  <c r="BN65" i="3"/>
  <c r="BN64" i="3"/>
  <c r="BN63" i="3"/>
  <c r="BN62" i="3"/>
  <c r="BN61" i="3"/>
  <c r="BN60" i="3"/>
  <c r="BN59" i="3"/>
  <c r="BN58" i="3"/>
  <c r="BN57" i="3"/>
  <c r="BN56" i="3"/>
  <c r="BN55" i="3"/>
  <c r="BN54" i="3"/>
  <c r="BN53" i="3"/>
  <c r="BN52" i="3"/>
  <c r="BN51" i="3"/>
  <c r="BN50" i="3"/>
  <c r="BN49" i="3"/>
  <c r="BN48" i="3"/>
  <c r="BN47" i="3"/>
  <c r="BN43" i="3"/>
  <c r="BN42" i="3"/>
  <c r="BN41" i="3"/>
  <c r="BN40" i="3"/>
  <c r="BN39" i="3"/>
  <c r="BN38" i="3"/>
  <c r="BN37" i="3"/>
  <c r="BN36" i="3"/>
  <c r="BN35" i="3"/>
  <c r="BN34" i="3"/>
  <c r="BN33" i="3"/>
  <c r="BN32" i="3"/>
  <c r="BN31" i="3"/>
  <c r="BN30" i="3"/>
  <c r="BN29" i="3"/>
  <c r="BN28" i="3"/>
  <c r="BN27" i="3"/>
  <c r="BN26" i="3"/>
  <c r="BN25" i="3"/>
  <c r="BN24" i="3"/>
  <c r="BN23" i="3"/>
  <c r="BN22" i="3"/>
  <c r="BN21" i="3"/>
  <c r="BN20" i="3"/>
  <c r="BN19" i="3"/>
  <c r="BN18" i="3"/>
  <c r="BN17" i="3"/>
  <c r="BN16" i="3"/>
  <c r="BN15" i="3"/>
  <c r="BN14" i="3"/>
  <c r="BN13" i="3"/>
  <c r="BN12" i="3"/>
  <c r="BN11" i="3"/>
  <c r="BN10" i="3"/>
  <c r="BM308" i="3"/>
  <c r="BM307" i="3"/>
  <c r="BM306" i="3"/>
  <c r="BM305" i="3"/>
  <c r="BM304" i="3"/>
  <c r="BM303" i="3"/>
  <c r="BM302" i="3"/>
  <c r="BM301" i="3"/>
  <c r="BM300" i="3"/>
  <c r="BM299" i="3"/>
  <c r="BM298" i="3"/>
  <c r="BM297" i="3"/>
  <c r="BM296" i="3"/>
  <c r="BM295" i="3"/>
  <c r="BM294" i="3"/>
  <c r="BM293" i="3"/>
  <c r="BM292" i="3"/>
  <c r="BM291" i="3"/>
  <c r="BM290" i="3"/>
  <c r="BM289" i="3"/>
  <c r="BM288" i="3"/>
  <c r="BM287" i="3"/>
  <c r="BM286" i="3"/>
  <c r="BM285" i="3"/>
  <c r="BM284" i="3"/>
  <c r="BM283" i="3"/>
  <c r="BM282" i="3"/>
  <c r="BM281" i="3"/>
  <c r="BM280" i="3"/>
  <c r="BM279" i="3"/>
  <c r="BM278" i="3"/>
  <c r="BM277" i="3"/>
  <c r="BM276" i="3"/>
  <c r="BM275" i="3"/>
  <c r="BM274" i="3"/>
  <c r="BM273" i="3"/>
  <c r="BM272" i="3"/>
  <c r="BM271" i="3"/>
  <c r="BM270" i="3"/>
  <c r="BM269" i="3"/>
  <c r="BM268" i="3"/>
  <c r="BM267" i="3"/>
  <c r="BM266" i="3"/>
  <c r="BM265" i="3"/>
  <c r="BM264" i="3"/>
  <c r="BM263" i="3"/>
  <c r="BM262" i="3"/>
  <c r="BM261" i="3"/>
  <c r="BM260" i="3"/>
  <c r="BM259" i="3"/>
  <c r="BM258" i="3"/>
  <c r="BM257" i="3"/>
  <c r="BM256" i="3"/>
  <c r="BM255" i="3"/>
  <c r="BM254" i="3"/>
  <c r="BM253" i="3"/>
  <c r="BM252" i="3"/>
  <c r="BM251" i="3"/>
  <c r="BM250" i="3"/>
  <c r="BM249" i="3"/>
  <c r="BM248" i="3"/>
  <c r="BM247" i="3"/>
  <c r="BM246" i="3"/>
  <c r="BM245" i="3"/>
  <c r="BM244" i="3"/>
  <c r="BM243" i="3"/>
  <c r="BM242" i="3"/>
  <c r="BM241" i="3"/>
  <c r="BM240" i="3"/>
  <c r="BM239" i="3"/>
  <c r="BM238" i="3"/>
  <c r="BM237" i="3"/>
  <c r="BM236" i="3"/>
  <c r="BM235" i="3"/>
  <c r="BM234" i="3"/>
  <c r="BM233" i="3"/>
  <c r="BM232" i="3"/>
  <c r="BM231" i="3"/>
  <c r="BM230" i="3"/>
  <c r="BM229" i="3"/>
  <c r="BM228" i="3"/>
  <c r="BM227" i="3"/>
  <c r="BM226" i="3"/>
  <c r="BM225" i="3"/>
  <c r="BM224" i="3"/>
  <c r="BM223" i="3"/>
  <c r="BM222" i="3"/>
  <c r="BM221" i="3"/>
  <c r="BM220" i="3"/>
  <c r="BM219" i="3"/>
  <c r="BM218" i="3"/>
  <c r="BM217" i="3"/>
  <c r="BM216" i="3"/>
  <c r="BM215" i="3"/>
  <c r="BM214" i="3"/>
  <c r="BM213" i="3"/>
  <c r="BM212" i="3"/>
  <c r="BM211" i="3"/>
  <c r="BM210" i="3"/>
  <c r="BM209" i="3"/>
  <c r="BM208" i="3"/>
  <c r="BM207" i="3"/>
  <c r="BM206" i="3"/>
  <c r="BM205" i="3"/>
  <c r="BM204" i="3"/>
  <c r="BM203" i="3"/>
  <c r="BM202" i="3"/>
  <c r="BM201" i="3"/>
  <c r="BM200" i="3"/>
  <c r="BM199" i="3"/>
  <c r="BM198" i="3"/>
  <c r="BM197" i="3"/>
  <c r="BM196" i="3"/>
  <c r="BM195" i="3"/>
  <c r="BM194" i="3"/>
  <c r="BM193" i="3"/>
  <c r="BM192" i="3"/>
  <c r="BM191" i="3"/>
  <c r="BM190" i="3"/>
  <c r="BM189" i="3"/>
  <c r="BM188" i="3"/>
  <c r="BM187" i="3"/>
  <c r="BM186" i="3"/>
  <c r="BM185" i="3"/>
  <c r="BM184" i="3"/>
  <c r="BM183" i="3"/>
  <c r="BM182" i="3"/>
  <c r="BM181" i="3"/>
  <c r="BM180" i="3"/>
  <c r="BM179" i="3"/>
  <c r="BM178" i="3"/>
  <c r="BM177" i="3"/>
  <c r="BM176" i="3"/>
  <c r="BM175" i="3"/>
  <c r="BM174" i="3"/>
  <c r="BM173" i="3"/>
  <c r="BM172" i="3"/>
  <c r="BM171" i="3"/>
  <c r="BM170" i="3"/>
  <c r="BM169" i="3"/>
  <c r="BM168" i="3"/>
  <c r="BM167" i="3"/>
  <c r="BM166" i="3"/>
  <c r="BM165" i="3"/>
  <c r="BM164" i="3"/>
  <c r="BM163" i="3"/>
  <c r="BM162" i="3"/>
  <c r="BM161" i="3"/>
  <c r="BM160" i="3"/>
  <c r="BM159" i="3"/>
  <c r="BM158" i="3"/>
  <c r="BM157" i="3"/>
  <c r="BM156" i="3"/>
  <c r="BM155" i="3"/>
  <c r="BM154" i="3"/>
  <c r="BM153" i="3"/>
  <c r="BM152" i="3"/>
  <c r="BM151" i="3"/>
  <c r="BM150" i="3"/>
  <c r="BM149" i="3"/>
  <c r="BM148" i="3"/>
  <c r="BM147" i="3"/>
  <c r="BM146" i="3"/>
  <c r="BM145" i="3"/>
  <c r="BM144" i="3"/>
  <c r="BM143" i="3"/>
  <c r="BM142" i="3"/>
  <c r="BM141" i="3"/>
  <c r="BM140" i="3"/>
  <c r="BM139" i="3"/>
  <c r="BM138" i="3"/>
  <c r="BM137" i="3"/>
  <c r="BM136" i="3"/>
  <c r="BM135" i="3"/>
  <c r="BM134" i="3"/>
  <c r="BM133" i="3"/>
  <c r="BM132" i="3"/>
  <c r="BM131" i="3"/>
  <c r="BM130" i="3"/>
  <c r="BM129" i="3"/>
  <c r="BM128" i="3"/>
  <c r="BM127" i="3"/>
  <c r="BM126" i="3"/>
  <c r="BM125" i="3"/>
  <c r="BM124" i="3"/>
  <c r="BM123" i="3"/>
  <c r="BM122" i="3"/>
  <c r="BM121" i="3"/>
  <c r="BM120" i="3"/>
  <c r="BM119" i="3"/>
  <c r="BM118" i="3"/>
  <c r="BM117" i="3"/>
  <c r="BM116" i="3"/>
  <c r="BM115" i="3"/>
  <c r="BM114" i="3"/>
  <c r="BM113" i="3"/>
  <c r="BM112" i="3"/>
  <c r="BM111" i="3"/>
  <c r="BM110" i="3"/>
  <c r="BM109" i="3"/>
  <c r="BM108" i="3"/>
  <c r="BM107" i="3"/>
  <c r="BM106" i="3"/>
  <c r="BM105" i="3"/>
  <c r="BM104" i="3"/>
  <c r="BM103" i="3"/>
  <c r="BM102" i="3"/>
  <c r="BM101" i="3"/>
  <c r="BM100" i="3"/>
  <c r="BM99" i="3"/>
  <c r="BM98" i="3"/>
  <c r="BM97" i="3"/>
  <c r="BM96" i="3"/>
  <c r="BM95" i="3"/>
  <c r="BM94" i="3"/>
  <c r="BM93" i="3"/>
  <c r="BM92" i="3"/>
  <c r="BM91" i="3"/>
  <c r="BM90" i="3"/>
  <c r="BM89" i="3"/>
  <c r="BM88" i="3"/>
  <c r="BM87" i="3"/>
  <c r="BM86" i="3"/>
  <c r="BM85" i="3"/>
  <c r="BM84" i="3"/>
  <c r="BM83" i="3"/>
  <c r="BM82" i="3"/>
  <c r="BM81" i="3"/>
  <c r="BM80" i="3"/>
  <c r="BM79" i="3"/>
  <c r="BM78" i="3"/>
  <c r="BM77" i="3"/>
  <c r="BM76" i="3"/>
  <c r="BM75" i="3"/>
  <c r="BM74" i="3"/>
  <c r="BM73" i="3"/>
  <c r="BM72" i="3"/>
  <c r="BM71" i="3"/>
  <c r="BM70" i="3"/>
  <c r="BM69" i="3"/>
  <c r="BM68" i="3"/>
  <c r="BM67" i="3"/>
  <c r="BM66" i="3"/>
  <c r="BM65" i="3"/>
  <c r="BM64" i="3"/>
  <c r="BM63" i="3"/>
  <c r="BM62" i="3"/>
  <c r="BM61" i="3"/>
  <c r="BM60" i="3"/>
  <c r="BM59" i="3"/>
  <c r="BM58" i="3"/>
  <c r="BM57" i="3"/>
  <c r="BM56" i="3"/>
  <c r="BM55" i="3"/>
  <c r="BM54" i="3"/>
  <c r="BM53" i="3"/>
  <c r="BM52" i="3"/>
  <c r="BM51" i="3"/>
  <c r="BM50" i="3"/>
  <c r="BM49" i="3"/>
  <c r="BM48" i="3"/>
  <c r="BM47" i="3"/>
  <c r="BM43" i="3"/>
  <c r="BM42" i="3"/>
  <c r="BM41" i="3"/>
  <c r="BM40" i="3"/>
  <c r="BM39" i="3"/>
  <c r="BM38" i="3"/>
  <c r="BM37" i="3"/>
  <c r="BM36" i="3"/>
  <c r="BM35" i="3"/>
  <c r="BM34" i="3"/>
  <c r="BM33" i="3"/>
  <c r="BM32" i="3"/>
  <c r="BM31" i="3"/>
  <c r="BM30" i="3"/>
  <c r="BM29" i="3"/>
  <c r="BM28" i="3"/>
  <c r="BM27" i="3"/>
  <c r="BM26" i="3"/>
  <c r="BM25" i="3"/>
  <c r="BM24" i="3"/>
  <c r="BM23" i="3"/>
  <c r="BM22" i="3"/>
  <c r="BM21" i="3"/>
  <c r="BM20" i="3"/>
  <c r="BM19" i="3"/>
  <c r="BM18" i="3"/>
  <c r="BM17" i="3"/>
  <c r="BM16" i="3"/>
  <c r="BM15" i="3"/>
  <c r="BM14" i="3"/>
  <c r="BM13" i="3"/>
  <c r="BM12" i="3"/>
  <c r="BM11" i="3"/>
  <c r="BM10" i="3"/>
  <c r="BN9" i="3"/>
  <c r="BM9" i="3"/>
  <c r="CP308" i="3"/>
  <c r="CP307" i="3"/>
  <c r="CP306" i="3"/>
  <c r="CP305" i="3"/>
  <c r="CP304" i="3"/>
  <c r="CP303" i="3"/>
  <c r="CP302" i="3"/>
  <c r="CP301" i="3"/>
  <c r="CP300" i="3"/>
  <c r="CP299" i="3"/>
  <c r="CP298" i="3"/>
  <c r="CP297" i="3"/>
  <c r="CP296" i="3"/>
  <c r="CP295" i="3"/>
  <c r="CP294" i="3"/>
  <c r="CP293" i="3"/>
  <c r="CP292" i="3"/>
  <c r="CP291" i="3"/>
  <c r="CP290" i="3"/>
  <c r="CP289" i="3"/>
  <c r="CP288" i="3"/>
  <c r="CP287" i="3"/>
  <c r="CP286" i="3"/>
  <c r="CP285" i="3"/>
  <c r="CP284" i="3"/>
  <c r="CP283" i="3"/>
  <c r="CP282" i="3"/>
  <c r="CP281" i="3"/>
  <c r="CP280" i="3"/>
  <c r="CP279" i="3"/>
  <c r="CP278" i="3"/>
  <c r="CP277" i="3"/>
  <c r="CP276" i="3"/>
  <c r="CP275" i="3"/>
  <c r="CP274" i="3"/>
  <c r="CP273" i="3"/>
  <c r="CP272" i="3"/>
  <c r="CP271" i="3"/>
  <c r="CP270" i="3"/>
  <c r="CP269" i="3"/>
  <c r="CP268" i="3"/>
  <c r="CP267" i="3"/>
  <c r="CP266" i="3"/>
  <c r="CP265" i="3"/>
  <c r="CP264" i="3"/>
  <c r="CP263" i="3"/>
  <c r="CP262" i="3"/>
  <c r="CP261" i="3"/>
  <c r="CP260" i="3"/>
  <c r="CP259" i="3"/>
  <c r="CP258" i="3"/>
  <c r="CP257" i="3"/>
  <c r="CP256" i="3"/>
  <c r="CP255" i="3"/>
  <c r="CP254" i="3"/>
  <c r="CP253" i="3"/>
  <c r="CP252" i="3"/>
  <c r="CP251" i="3"/>
  <c r="CP250" i="3"/>
  <c r="CP249" i="3"/>
  <c r="CP248" i="3"/>
  <c r="CP247" i="3"/>
  <c r="CP246" i="3"/>
  <c r="CP245" i="3"/>
  <c r="CP244" i="3"/>
  <c r="CP243" i="3"/>
  <c r="CP242" i="3"/>
  <c r="CP241" i="3"/>
  <c r="CP240" i="3"/>
  <c r="CP239" i="3"/>
  <c r="CP238" i="3"/>
  <c r="CP237" i="3"/>
  <c r="CP236" i="3"/>
  <c r="CP235" i="3"/>
  <c r="CP234" i="3"/>
  <c r="CP233" i="3"/>
  <c r="CP232" i="3"/>
  <c r="CP231" i="3"/>
  <c r="CP230" i="3"/>
  <c r="CP229" i="3"/>
  <c r="CP228" i="3"/>
  <c r="CP227" i="3"/>
  <c r="CP226" i="3"/>
  <c r="CP225" i="3"/>
  <c r="CP224" i="3"/>
  <c r="CP223" i="3"/>
  <c r="CP222" i="3"/>
  <c r="CP221" i="3"/>
  <c r="CP220" i="3"/>
  <c r="CP219" i="3"/>
  <c r="CP218" i="3"/>
  <c r="CP217" i="3"/>
  <c r="CP216" i="3"/>
  <c r="CP215" i="3"/>
  <c r="CP214" i="3"/>
  <c r="CP213" i="3"/>
  <c r="CP212" i="3"/>
  <c r="CP211" i="3"/>
  <c r="CP210" i="3"/>
  <c r="CP209" i="3"/>
  <c r="CP208" i="3"/>
  <c r="CP207" i="3"/>
  <c r="CP206" i="3"/>
  <c r="CP205" i="3"/>
  <c r="CP204" i="3"/>
  <c r="CP203" i="3"/>
  <c r="CP202" i="3"/>
  <c r="CP201" i="3"/>
  <c r="CP200" i="3"/>
  <c r="CP199" i="3"/>
  <c r="CP198" i="3"/>
  <c r="CP197" i="3"/>
  <c r="CP196" i="3"/>
  <c r="CP195" i="3"/>
  <c r="CP194" i="3"/>
  <c r="CP193" i="3"/>
  <c r="CP192" i="3"/>
  <c r="CP191" i="3"/>
  <c r="CP190" i="3"/>
  <c r="CP189" i="3"/>
  <c r="CP188" i="3"/>
  <c r="CP187" i="3"/>
  <c r="CP186" i="3"/>
  <c r="CP185" i="3"/>
  <c r="CP184" i="3"/>
  <c r="CP183" i="3"/>
  <c r="CP182" i="3"/>
  <c r="CP181" i="3"/>
  <c r="CP180" i="3"/>
  <c r="CP179" i="3"/>
  <c r="CP178" i="3"/>
  <c r="CP177" i="3"/>
  <c r="CP176" i="3"/>
  <c r="CP175" i="3"/>
  <c r="CP174" i="3"/>
  <c r="CP173" i="3"/>
  <c r="CP172" i="3"/>
  <c r="CP171" i="3"/>
  <c r="CP170" i="3"/>
  <c r="CP169" i="3"/>
  <c r="CP168" i="3"/>
  <c r="CP167" i="3"/>
  <c r="CP166" i="3"/>
  <c r="CP165" i="3"/>
  <c r="CP164" i="3"/>
  <c r="CP163" i="3"/>
  <c r="CP162" i="3"/>
  <c r="CP161" i="3"/>
  <c r="CP160" i="3"/>
  <c r="CP159" i="3"/>
  <c r="CP158" i="3"/>
  <c r="CP157" i="3"/>
  <c r="CP156" i="3"/>
  <c r="CP155" i="3"/>
  <c r="CP154" i="3"/>
  <c r="CP153" i="3"/>
  <c r="CP152" i="3"/>
  <c r="CP151" i="3"/>
  <c r="CP150" i="3"/>
  <c r="CP149" i="3"/>
  <c r="CP148" i="3"/>
  <c r="CP147" i="3"/>
  <c r="CP146" i="3"/>
  <c r="CP145" i="3"/>
  <c r="CP144" i="3"/>
  <c r="CP143" i="3"/>
  <c r="CP142" i="3"/>
  <c r="CP141" i="3"/>
  <c r="CP140" i="3"/>
  <c r="CP139" i="3"/>
  <c r="CP138" i="3"/>
  <c r="CP137" i="3"/>
  <c r="CP136" i="3"/>
  <c r="CP135" i="3"/>
  <c r="CP134" i="3"/>
  <c r="CP133" i="3"/>
  <c r="CP132" i="3"/>
  <c r="CP131" i="3"/>
  <c r="CP130" i="3"/>
  <c r="CP129" i="3"/>
  <c r="CP128" i="3"/>
  <c r="CP127" i="3"/>
  <c r="CP126" i="3"/>
  <c r="CP125" i="3"/>
  <c r="CP124" i="3"/>
  <c r="CP123" i="3"/>
  <c r="CP122" i="3"/>
  <c r="CP121" i="3"/>
  <c r="CP120" i="3"/>
  <c r="CP119" i="3"/>
  <c r="CP118" i="3"/>
  <c r="CP117" i="3"/>
  <c r="CP116" i="3"/>
  <c r="CP115" i="3"/>
  <c r="CP114" i="3"/>
  <c r="CP113" i="3"/>
  <c r="CP112" i="3"/>
  <c r="CP111" i="3"/>
  <c r="CP110" i="3"/>
  <c r="CP109" i="3"/>
  <c r="CP108" i="3"/>
  <c r="CP107" i="3"/>
  <c r="CP106" i="3"/>
  <c r="CP105" i="3"/>
  <c r="CP104" i="3"/>
  <c r="CP103" i="3"/>
  <c r="CP102" i="3"/>
  <c r="CP101" i="3"/>
  <c r="CP100" i="3"/>
  <c r="CP99" i="3"/>
  <c r="CP98" i="3"/>
  <c r="CP97" i="3"/>
  <c r="CP96" i="3"/>
  <c r="CP95" i="3"/>
  <c r="CP94" i="3"/>
  <c r="CP93" i="3"/>
  <c r="CP92" i="3"/>
  <c r="CP91" i="3"/>
  <c r="CP90" i="3"/>
  <c r="CP89" i="3"/>
  <c r="CP88" i="3"/>
  <c r="CP87" i="3"/>
  <c r="CP86" i="3"/>
  <c r="CP85" i="3"/>
  <c r="CP84" i="3"/>
  <c r="CP83" i="3"/>
  <c r="CP82" i="3"/>
  <c r="CP81" i="3"/>
  <c r="CP80" i="3"/>
  <c r="CP79" i="3"/>
  <c r="CP78" i="3"/>
  <c r="CP77" i="3"/>
  <c r="CP76" i="3"/>
  <c r="CP75" i="3"/>
  <c r="CP74" i="3"/>
  <c r="CP73" i="3"/>
  <c r="CP72" i="3"/>
  <c r="CP71" i="3"/>
  <c r="CP70" i="3"/>
  <c r="CP69" i="3"/>
  <c r="CP68" i="3"/>
  <c r="CP67" i="3"/>
  <c r="CP66" i="3"/>
  <c r="CP65" i="3"/>
  <c r="CP64" i="3"/>
  <c r="CP63" i="3"/>
  <c r="CP62" i="3"/>
  <c r="CP61" i="3"/>
  <c r="CP60" i="3"/>
  <c r="CP59" i="3"/>
  <c r="CP58" i="3"/>
  <c r="CP57" i="3"/>
  <c r="CP56" i="3"/>
  <c r="CP55" i="3"/>
  <c r="CP54" i="3"/>
  <c r="CP53" i="3"/>
  <c r="CP52" i="3"/>
  <c r="CP51" i="3"/>
  <c r="CP50" i="3"/>
  <c r="CP49" i="3"/>
  <c r="CP48" i="3"/>
  <c r="CP47" i="3"/>
  <c r="CP46" i="3"/>
  <c r="CP45" i="3"/>
  <c r="CP44" i="3"/>
  <c r="CP43" i="3"/>
  <c r="CP42" i="3"/>
  <c r="CP41" i="3"/>
  <c r="CP40" i="3"/>
  <c r="CP39" i="3"/>
  <c r="CP38" i="3"/>
  <c r="CP37" i="3"/>
  <c r="CP36" i="3"/>
  <c r="CP35" i="3"/>
  <c r="CP34" i="3"/>
  <c r="CP33" i="3"/>
  <c r="CP32" i="3"/>
  <c r="CP31" i="3"/>
  <c r="CP30" i="3"/>
  <c r="CP29" i="3"/>
  <c r="CP28" i="3"/>
  <c r="CP27" i="3"/>
  <c r="CP26" i="3"/>
  <c r="CP25" i="3"/>
  <c r="CP24" i="3"/>
  <c r="CP23" i="3"/>
  <c r="CP22" i="3"/>
  <c r="CP21" i="3"/>
  <c r="CP20" i="3"/>
  <c r="CP19" i="3"/>
  <c r="CP18" i="3"/>
  <c r="CP17" i="3"/>
  <c r="CP16" i="3"/>
  <c r="CP15" i="3"/>
  <c r="CP14" i="3"/>
  <c r="CP13" i="3"/>
  <c r="CP12" i="3"/>
  <c r="CP11" i="3"/>
  <c r="CP10" i="3"/>
  <c r="CP9" i="3"/>
  <c r="AC49" i="3" l="1"/>
  <c r="O352" i="13" s="1"/>
  <c r="AC25" i="3"/>
  <c r="O328" i="13" s="1"/>
  <c r="AC27" i="3"/>
  <c r="O330" i="13" s="1"/>
  <c r="AC37" i="3"/>
  <c r="O340" i="13" s="1"/>
  <c r="AC15" i="3"/>
  <c r="O318" i="13" s="1"/>
  <c r="AC16" i="3"/>
  <c r="O319" i="13" s="1"/>
  <c r="AC36" i="3"/>
  <c r="O339" i="13" s="1"/>
  <c r="AC17" i="3"/>
  <c r="O320" i="13" s="1"/>
  <c r="AC28" i="3"/>
  <c r="O331" i="13" s="1"/>
  <c r="AC45" i="3"/>
  <c r="O348" i="13" s="1"/>
  <c r="AC19" i="3"/>
  <c r="O322" i="13" s="1"/>
  <c r="AC29" i="3"/>
  <c r="O332" i="13" s="1"/>
  <c r="AC20" i="3"/>
  <c r="O323" i="13" s="1"/>
  <c r="AC31" i="3"/>
  <c r="O334" i="13" s="1"/>
  <c r="AC21" i="3"/>
  <c r="O324" i="13" s="1"/>
  <c r="AC32" i="3"/>
  <c r="O335" i="13" s="1"/>
  <c r="AC12" i="3"/>
  <c r="O315" i="13" s="1"/>
  <c r="AC23" i="3"/>
  <c r="O326" i="13" s="1"/>
  <c r="AC33" i="3"/>
  <c r="O336" i="13" s="1"/>
  <c r="AC13" i="3"/>
  <c r="O316" i="13" s="1"/>
  <c r="AC24" i="3"/>
  <c r="O327" i="13" s="1"/>
  <c r="AC35" i="3"/>
  <c r="O338" i="13" s="1"/>
  <c r="AC14" i="3"/>
  <c r="O317" i="13" s="1"/>
  <c r="AC22" i="3"/>
  <c r="O325" i="13" s="1"/>
  <c r="AC30" i="3"/>
  <c r="O333" i="13" s="1"/>
  <c r="AC38" i="3"/>
  <c r="O341" i="13" s="1"/>
  <c r="AC46" i="3"/>
  <c r="O349" i="13" s="1"/>
  <c r="AC39" i="3"/>
  <c r="O342" i="13" s="1"/>
  <c r="AC47" i="3"/>
  <c r="O350" i="13" s="1"/>
  <c r="AC40" i="3"/>
  <c r="O343" i="13" s="1"/>
  <c r="AC41" i="3"/>
  <c r="O344" i="13" s="1"/>
  <c r="AC18" i="3"/>
  <c r="O321" i="13" s="1"/>
  <c r="AC26" i="3"/>
  <c r="O329" i="13" s="1"/>
  <c r="AC42" i="3"/>
  <c r="O345" i="13" s="1"/>
  <c r="AC43" i="3"/>
  <c r="O346" i="13" s="1"/>
  <c r="AC9" i="3"/>
  <c r="O312" i="13" s="1"/>
  <c r="AC10" i="3"/>
  <c r="O313" i="13" s="1"/>
  <c r="AC11" i="3"/>
  <c r="O314" i="13" s="1"/>
  <c r="D10" i="1"/>
  <c r="D8" i="1"/>
  <c r="AQ332" i="3"/>
  <c r="AQ328" i="3" s="1"/>
  <c r="AK331" i="3"/>
  <c r="AQ329" i="3"/>
  <c r="AK329" i="3"/>
  <c r="R615" i="13" l="1"/>
  <c r="E611" i="13"/>
  <c r="E610" i="13"/>
  <c r="E609" i="13"/>
  <c r="E608" i="13"/>
  <c r="E607" i="13"/>
  <c r="E606" i="13"/>
  <c r="E605" i="13"/>
  <c r="E604" i="13"/>
  <c r="E603" i="13"/>
  <c r="E602" i="13"/>
  <c r="E601" i="13"/>
  <c r="E600" i="13"/>
  <c r="E599" i="13"/>
  <c r="E598" i="13"/>
  <c r="E597" i="13"/>
  <c r="E596" i="13"/>
  <c r="E595" i="13"/>
  <c r="E594" i="13"/>
  <c r="E593" i="13"/>
  <c r="E592" i="13"/>
  <c r="E591" i="13"/>
  <c r="E590" i="13"/>
  <c r="E589" i="13"/>
  <c r="E588" i="13"/>
  <c r="E587" i="13"/>
  <c r="E586" i="13"/>
  <c r="E585" i="13"/>
  <c r="E584" i="13"/>
  <c r="E583" i="13"/>
  <c r="E582" i="13"/>
  <c r="E581" i="13"/>
  <c r="E580" i="13"/>
  <c r="E579" i="13"/>
  <c r="E578" i="13"/>
  <c r="E577" i="13"/>
  <c r="E576" i="13"/>
  <c r="E575" i="13"/>
  <c r="E574" i="13"/>
  <c r="E573" i="13"/>
  <c r="E572" i="13"/>
  <c r="E571" i="13"/>
  <c r="E570" i="13"/>
  <c r="E569" i="13"/>
  <c r="E568" i="13"/>
  <c r="E567" i="13"/>
  <c r="E566" i="13"/>
  <c r="E565" i="13"/>
  <c r="E564" i="13"/>
  <c r="E563" i="13"/>
  <c r="E562" i="13"/>
  <c r="E561" i="13"/>
  <c r="E560" i="13"/>
  <c r="E559" i="13"/>
  <c r="E558" i="13"/>
  <c r="E557" i="13"/>
  <c r="E556" i="13"/>
  <c r="E555" i="13"/>
  <c r="E554" i="13"/>
  <c r="E553" i="13"/>
  <c r="E552" i="13"/>
  <c r="E551" i="13"/>
  <c r="E550" i="13"/>
  <c r="E549" i="13"/>
  <c r="E548" i="13"/>
  <c r="E547" i="13"/>
  <c r="E546" i="13"/>
  <c r="E545" i="13"/>
  <c r="E544" i="13"/>
  <c r="E543" i="13"/>
  <c r="E542" i="13"/>
  <c r="E541" i="13"/>
  <c r="E540" i="13"/>
  <c r="E539" i="13"/>
  <c r="E538" i="13"/>
  <c r="E537" i="13"/>
  <c r="E536" i="13"/>
  <c r="E535" i="13"/>
  <c r="E534" i="13"/>
  <c r="E533" i="13"/>
  <c r="E532" i="13"/>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6" i="13"/>
  <c r="E495" i="13"/>
  <c r="E494" i="13"/>
  <c r="E493" i="13"/>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1"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J311" i="13"/>
  <c r="F311" i="13"/>
  <c r="E311" i="13"/>
  <c r="J310" i="13"/>
  <c r="F310" i="13"/>
  <c r="E310" i="13"/>
  <c r="J309" i="13"/>
  <c r="F309" i="13"/>
  <c r="E309" i="13"/>
  <c r="J308" i="13"/>
  <c r="F308" i="13"/>
  <c r="E308" i="13"/>
  <c r="J307" i="13"/>
  <c r="F307" i="13"/>
  <c r="E307" i="13"/>
  <c r="J306" i="13"/>
  <c r="F306" i="13"/>
  <c r="E306" i="13"/>
  <c r="J305" i="13"/>
  <c r="F305" i="13"/>
  <c r="E305" i="13"/>
  <c r="J304" i="13"/>
  <c r="F304" i="13"/>
  <c r="E304" i="13"/>
  <c r="J303" i="13"/>
  <c r="F303" i="13"/>
  <c r="E303" i="13"/>
  <c r="J302" i="13"/>
  <c r="F302" i="13"/>
  <c r="E302" i="13"/>
  <c r="J301" i="13"/>
  <c r="F301" i="13"/>
  <c r="E301" i="13"/>
  <c r="J300" i="13"/>
  <c r="F300" i="13"/>
  <c r="E300" i="13"/>
  <c r="J299" i="13"/>
  <c r="F299" i="13"/>
  <c r="E299" i="13"/>
  <c r="J298" i="13"/>
  <c r="F298" i="13"/>
  <c r="E298" i="13"/>
  <c r="J297" i="13"/>
  <c r="F297" i="13"/>
  <c r="E297" i="13"/>
  <c r="J296" i="13"/>
  <c r="F296" i="13"/>
  <c r="E296" i="13"/>
  <c r="J295" i="13"/>
  <c r="F295" i="13"/>
  <c r="E295" i="13"/>
  <c r="J294" i="13"/>
  <c r="F294" i="13"/>
  <c r="E294" i="13"/>
  <c r="J293" i="13"/>
  <c r="F293" i="13"/>
  <c r="E293" i="13"/>
  <c r="J292" i="13"/>
  <c r="F292" i="13"/>
  <c r="E292" i="13"/>
  <c r="J291" i="13"/>
  <c r="F291" i="13"/>
  <c r="E291" i="13"/>
  <c r="J290" i="13"/>
  <c r="F290" i="13"/>
  <c r="E290" i="13"/>
  <c r="J289" i="13"/>
  <c r="F289" i="13"/>
  <c r="E289" i="13"/>
  <c r="J288" i="13"/>
  <c r="F288" i="13"/>
  <c r="E288" i="13"/>
  <c r="J287" i="13"/>
  <c r="F287" i="13"/>
  <c r="E287" i="13"/>
  <c r="J286" i="13"/>
  <c r="F286" i="13"/>
  <c r="E286" i="13"/>
  <c r="J285" i="13"/>
  <c r="F285" i="13"/>
  <c r="E285" i="13"/>
  <c r="J284" i="13"/>
  <c r="F284" i="13"/>
  <c r="E284" i="13"/>
  <c r="J283" i="13"/>
  <c r="F283" i="13"/>
  <c r="E283" i="13"/>
  <c r="J282" i="13"/>
  <c r="F282" i="13"/>
  <c r="E282" i="13"/>
  <c r="J281" i="13"/>
  <c r="F281" i="13"/>
  <c r="E281" i="13"/>
  <c r="J280" i="13"/>
  <c r="F280" i="13"/>
  <c r="E280" i="13"/>
  <c r="J279" i="13"/>
  <c r="F279" i="13"/>
  <c r="E279" i="13"/>
  <c r="J278" i="13"/>
  <c r="F278" i="13"/>
  <c r="E278" i="13"/>
  <c r="J277" i="13"/>
  <c r="F277" i="13"/>
  <c r="E277" i="13"/>
  <c r="J276" i="13"/>
  <c r="F276" i="13"/>
  <c r="E276" i="13"/>
  <c r="J275" i="13"/>
  <c r="F275" i="13"/>
  <c r="E275" i="13"/>
  <c r="J274" i="13"/>
  <c r="F274" i="13"/>
  <c r="E274" i="13"/>
  <c r="J273" i="13"/>
  <c r="F273" i="13"/>
  <c r="E273" i="13"/>
  <c r="J272" i="13"/>
  <c r="F272" i="13"/>
  <c r="E272" i="13"/>
  <c r="J271" i="13"/>
  <c r="F271" i="13"/>
  <c r="E271" i="13"/>
  <c r="J270" i="13"/>
  <c r="F270" i="13"/>
  <c r="E270" i="13"/>
  <c r="J269" i="13"/>
  <c r="F269" i="13"/>
  <c r="E269" i="13"/>
  <c r="J268" i="13"/>
  <c r="F268" i="13"/>
  <c r="E268" i="13"/>
  <c r="J267" i="13"/>
  <c r="F267" i="13"/>
  <c r="E267" i="13"/>
  <c r="J266" i="13"/>
  <c r="F266" i="13"/>
  <c r="E266" i="13"/>
  <c r="J265" i="13"/>
  <c r="F265" i="13"/>
  <c r="E265" i="13"/>
  <c r="J264" i="13"/>
  <c r="F264" i="13"/>
  <c r="E264" i="13"/>
  <c r="J263" i="13"/>
  <c r="F263" i="13"/>
  <c r="E263" i="13"/>
  <c r="J262" i="13"/>
  <c r="F262" i="13"/>
  <c r="E262" i="13"/>
  <c r="J261" i="13"/>
  <c r="F261" i="13"/>
  <c r="E261" i="13"/>
  <c r="J260" i="13"/>
  <c r="F260" i="13"/>
  <c r="E260" i="13"/>
  <c r="J259" i="13"/>
  <c r="F259" i="13"/>
  <c r="E259" i="13"/>
  <c r="J258" i="13"/>
  <c r="F258" i="13"/>
  <c r="E258" i="13"/>
  <c r="J257" i="13"/>
  <c r="F257" i="13"/>
  <c r="E257" i="13"/>
  <c r="J256" i="13"/>
  <c r="F256" i="13"/>
  <c r="E256" i="13"/>
  <c r="J255" i="13"/>
  <c r="F255" i="13"/>
  <c r="E255" i="13"/>
  <c r="J254" i="13"/>
  <c r="F254" i="13"/>
  <c r="E254" i="13"/>
  <c r="J253" i="13"/>
  <c r="F253" i="13"/>
  <c r="E253" i="13"/>
  <c r="J252" i="13"/>
  <c r="F252" i="13"/>
  <c r="E252" i="13"/>
  <c r="J251" i="13"/>
  <c r="F251" i="13"/>
  <c r="E251" i="13"/>
  <c r="J250" i="13"/>
  <c r="F250" i="13"/>
  <c r="E250" i="13"/>
  <c r="J249" i="13"/>
  <c r="F249" i="13"/>
  <c r="E249" i="13"/>
  <c r="J248" i="13"/>
  <c r="F248" i="13"/>
  <c r="E248" i="13"/>
  <c r="J247" i="13"/>
  <c r="F247" i="13"/>
  <c r="E247" i="13"/>
  <c r="J246" i="13"/>
  <c r="F246" i="13"/>
  <c r="E246" i="13"/>
  <c r="J245" i="13"/>
  <c r="F245" i="13"/>
  <c r="E245" i="13"/>
  <c r="J244" i="13"/>
  <c r="F244" i="13"/>
  <c r="E244" i="13"/>
  <c r="J243" i="13"/>
  <c r="F243" i="13"/>
  <c r="E243" i="13"/>
  <c r="J242" i="13"/>
  <c r="F242" i="13"/>
  <c r="E242" i="13"/>
  <c r="J241" i="13"/>
  <c r="F241" i="13"/>
  <c r="E241" i="13"/>
  <c r="J240" i="13"/>
  <c r="F240" i="13"/>
  <c r="E240" i="13"/>
  <c r="J239" i="13"/>
  <c r="F239" i="13"/>
  <c r="E239" i="13"/>
  <c r="J238" i="13"/>
  <c r="F238" i="13"/>
  <c r="E238" i="13"/>
  <c r="J237" i="13"/>
  <c r="F237" i="13"/>
  <c r="E237" i="13"/>
  <c r="J236" i="13"/>
  <c r="F236" i="13"/>
  <c r="E236" i="13"/>
  <c r="J235" i="13"/>
  <c r="F235" i="13"/>
  <c r="E235" i="13"/>
  <c r="J234" i="13"/>
  <c r="F234" i="13"/>
  <c r="E234" i="13"/>
  <c r="J233" i="13"/>
  <c r="F233" i="13"/>
  <c r="E233" i="13"/>
  <c r="J232" i="13"/>
  <c r="F232" i="13"/>
  <c r="E232" i="13"/>
  <c r="J231" i="13"/>
  <c r="F231" i="13"/>
  <c r="E231" i="13"/>
  <c r="J230" i="13"/>
  <c r="F230" i="13"/>
  <c r="E230" i="13"/>
  <c r="J229" i="13"/>
  <c r="F229" i="13"/>
  <c r="E229" i="13"/>
  <c r="J228" i="13"/>
  <c r="F228" i="13"/>
  <c r="E228" i="13"/>
  <c r="J227" i="13"/>
  <c r="F227" i="13"/>
  <c r="E227" i="13"/>
  <c r="J226" i="13"/>
  <c r="F226" i="13"/>
  <c r="E226" i="13"/>
  <c r="J225" i="13"/>
  <c r="F225" i="13"/>
  <c r="E225" i="13"/>
  <c r="J224" i="13"/>
  <c r="F224" i="13"/>
  <c r="E224" i="13"/>
  <c r="J223" i="13"/>
  <c r="F223" i="13"/>
  <c r="E223" i="13"/>
  <c r="J222" i="13"/>
  <c r="F222" i="13"/>
  <c r="E222" i="13"/>
  <c r="J221" i="13"/>
  <c r="F221" i="13"/>
  <c r="E221" i="13"/>
  <c r="J220" i="13"/>
  <c r="F220" i="13"/>
  <c r="E220" i="13"/>
  <c r="J219" i="13"/>
  <c r="F219" i="13"/>
  <c r="E219" i="13"/>
  <c r="J218" i="13"/>
  <c r="F218" i="13"/>
  <c r="E218" i="13"/>
  <c r="J217" i="13"/>
  <c r="F217" i="13"/>
  <c r="E217" i="13"/>
  <c r="J216" i="13"/>
  <c r="F216" i="13"/>
  <c r="E216" i="13"/>
  <c r="J215" i="13"/>
  <c r="F215" i="13"/>
  <c r="E215" i="13"/>
  <c r="J214" i="13"/>
  <c r="F214" i="13"/>
  <c r="E214" i="13"/>
  <c r="J213" i="13"/>
  <c r="F213" i="13"/>
  <c r="E213" i="13"/>
  <c r="J212" i="13"/>
  <c r="F212" i="13"/>
  <c r="E212" i="13"/>
  <c r="J211" i="13"/>
  <c r="F211" i="13"/>
  <c r="E211" i="13"/>
  <c r="J210" i="13"/>
  <c r="F210" i="13"/>
  <c r="E210" i="13"/>
  <c r="J209" i="13"/>
  <c r="F209" i="13"/>
  <c r="E209" i="13"/>
  <c r="J208" i="13"/>
  <c r="F208" i="13"/>
  <c r="E208" i="13"/>
  <c r="J207" i="13"/>
  <c r="F207" i="13"/>
  <c r="E207" i="13"/>
  <c r="J206" i="13"/>
  <c r="F206" i="13"/>
  <c r="E206" i="13"/>
  <c r="J205" i="13"/>
  <c r="F205" i="13"/>
  <c r="E205" i="13"/>
  <c r="J204" i="13"/>
  <c r="F204" i="13"/>
  <c r="E204" i="13"/>
  <c r="J203" i="13"/>
  <c r="F203" i="13"/>
  <c r="E203" i="13"/>
  <c r="J202" i="13"/>
  <c r="F202" i="13"/>
  <c r="E202" i="13"/>
  <c r="J201" i="13"/>
  <c r="F201" i="13"/>
  <c r="E201" i="13"/>
  <c r="J200" i="13"/>
  <c r="F200" i="13"/>
  <c r="E200" i="13"/>
  <c r="J199" i="13"/>
  <c r="F199" i="13"/>
  <c r="E199" i="13"/>
  <c r="J198" i="13"/>
  <c r="F198" i="13"/>
  <c r="E198" i="13"/>
  <c r="J197" i="13"/>
  <c r="F197" i="13"/>
  <c r="E197" i="13"/>
  <c r="J196" i="13"/>
  <c r="F196" i="13"/>
  <c r="E196" i="13"/>
  <c r="J195" i="13"/>
  <c r="F195" i="13"/>
  <c r="E195" i="13"/>
  <c r="J194" i="13"/>
  <c r="F194" i="13"/>
  <c r="E194" i="13"/>
  <c r="J193" i="13"/>
  <c r="F193" i="13"/>
  <c r="E193" i="13"/>
  <c r="J192" i="13"/>
  <c r="F192" i="13"/>
  <c r="E192" i="13"/>
  <c r="J191" i="13"/>
  <c r="F191" i="13"/>
  <c r="E191" i="13"/>
  <c r="J190" i="13"/>
  <c r="F190" i="13"/>
  <c r="E190" i="13"/>
  <c r="J189" i="13"/>
  <c r="F189" i="13"/>
  <c r="E189" i="13"/>
  <c r="J188" i="13"/>
  <c r="F188" i="13"/>
  <c r="E188" i="13"/>
  <c r="J187" i="13"/>
  <c r="F187" i="13"/>
  <c r="E187" i="13"/>
  <c r="J186" i="13"/>
  <c r="F186" i="13"/>
  <c r="E186" i="13"/>
  <c r="J185" i="13"/>
  <c r="F185" i="13"/>
  <c r="E185" i="13"/>
  <c r="J184" i="13"/>
  <c r="F184" i="13"/>
  <c r="E184" i="13"/>
  <c r="J183" i="13"/>
  <c r="F183" i="13"/>
  <c r="E183" i="13"/>
  <c r="J182" i="13"/>
  <c r="F182" i="13"/>
  <c r="E182" i="13"/>
  <c r="J181" i="13"/>
  <c r="F181" i="13"/>
  <c r="E181" i="13"/>
  <c r="J180" i="13"/>
  <c r="F180" i="13"/>
  <c r="E180" i="13"/>
  <c r="J179" i="13"/>
  <c r="F179" i="13"/>
  <c r="E179" i="13"/>
  <c r="J178" i="13"/>
  <c r="F178" i="13"/>
  <c r="E178" i="13"/>
  <c r="J177" i="13"/>
  <c r="F177" i="13"/>
  <c r="E177" i="13"/>
  <c r="J176" i="13"/>
  <c r="F176" i="13"/>
  <c r="E176" i="13"/>
  <c r="J175" i="13"/>
  <c r="F175" i="13"/>
  <c r="E175" i="13"/>
  <c r="J174" i="13"/>
  <c r="F174" i="13"/>
  <c r="E174" i="13"/>
  <c r="J173" i="13"/>
  <c r="F173" i="13"/>
  <c r="E173" i="13"/>
  <c r="J172" i="13"/>
  <c r="F172" i="13"/>
  <c r="E172" i="13"/>
  <c r="J171" i="13"/>
  <c r="F171" i="13"/>
  <c r="E171" i="13"/>
  <c r="J170" i="13"/>
  <c r="F170" i="13"/>
  <c r="E170" i="13"/>
  <c r="J169" i="13"/>
  <c r="F169" i="13"/>
  <c r="E169" i="13"/>
  <c r="J168" i="13"/>
  <c r="F168" i="13"/>
  <c r="E168" i="13"/>
  <c r="J167" i="13"/>
  <c r="F167" i="13"/>
  <c r="E167" i="13"/>
  <c r="J166" i="13"/>
  <c r="F166" i="13"/>
  <c r="E166" i="13"/>
  <c r="J165" i="13"/>
  <c r="F165" i="13"/>
  <c r="E165" i="13"/>
  <c r="J164" i="13"/>
  <c r="F164" i="13"/>
  <c r="E164" i="13"/>
  <c r="J163" i="13"/>
  <c r="F163" i="13"/>
  <c r="E163" i="13"/>
  <c r="J162" i="13"/>
  <c r="F162" i="13"/>
  <c r="E162" i="13"/>
  <c r="J161" i="13"/>
  <c r="F161" i="13"/>
  <c r="E161" i="13"/>
  <c r="J160" i="13"/>
  <c r="F160" i="13"/>
  <c r="E160" i="13"/>
  <c r="J159" i="13"/>
  <c r="F159" i="13"/>
  <c r="E159" i="13"/>
  <c r="J158" i="13"/>
  <c r="F158" i="13"/>
  <c r="E158" i="13"/>
  <c r="J157" i="13"/>
  <c r="F157" i="13"/>
  <c r="E157" i="13"/>
  <c r="J156" i="13"/>
  <c r="F156" i="13"/>
  <c r="E156" i="13"/>
  <c r="J155" i="13"/>
  <c r="F155" i="13"/>
  <c r="E155" i="13"/>
  <c r="J154" i="13"/>
  <c r="F154" i="13"/>
  <c r="E154" i="13"/>
  <c r="J153" i="13"/>
  <c r="F153" i="13"/>
  <c r="E153" i="13"/>
  <c r="J152" i="13"/>
  <c r="F152" i="13"/>
  <c r="E152" i="13"/>
  <c r="J151" i="13"/>
  <c r="F151" i="13"/>
  <c r="E151" i="13"/>
  <c r="J150" i="13"/>
  <c r="F150" i="13"/>
  <c r="E150" i="13"/>
  <c r="J149" i="13"/>
  <c r="F149" i="13"/>
  <c r="E149" i="13"/>
  <c r="J148" i="13"/>
  <c r="F148" i="13"/>
  <c r="E148" i="13"/>
  <c r="J147" i="13"/>
  <c r="F147" i="13"/>
  <c r="E147" i="13"/>
  <c r="J146" i="13"/>
  <c r="F146" i="13"/>
  <c r="E146" i="13"/>
  <c r="J145" i="13"/>
  <c r="F145" i="13"/>
  <c r="E145" i="13"/>
  <c r="J144" i="13"/>
  <c r="F144" i="13"/>
  <c r="E144" i="13"/>
  <c r="J143" i="13"/>
  <c r="F143" i="13"/>
  <c r="E143" i="13"/>
  <c r="J142" i="13"/>
  <c r="F142" i="13"/>
  <c r="E142" i="13"/>
  <c r="J141" i="13"/>
  <c r="F141" i="13"/>
  <c r="E141" i="13"/>
  <c r="J140" i="13"/>
  <c r="F140" i="13"/>
  <c r="E140" i="13"/>
  <c r="J139" i="13"/>
  <c r="F139" i="13"/>
  <c r="E139" i="13"/>
  <c r="J138" i="13"/>
  <c r="F138" i="13"/>
  <c r="E138" i="13"/>
  <c r="J137" i="13"/>
  <c r="F137" i="13"/>
  <c r="E137" i="13"/>
  <c r="J136" i="13"/>
  <c r="F136" i="13"/>
  <c r="E136" i="13"/>
  <c r="J135" i="13"/>
  <c r="F135" i="13"/>
  <c r="E135" i="13"/>
  <c r="J134" i="13"/>
  <c r="F134" i="13"/>
  <c r="E134" i="13"/>
  <c r="J133" i="13"/>
  <c r="F133" i="13"/>
  <c r="E133" i="13"/>
  <c r="J132" i="13"/>
  <c r="F132" i="13"/>
  <c r="E132" i="13"/>
  <c r="J131" i="13"/>
  <c r="F131" i="13"/>
  <c r="E131" i="13"/>
  <c r="J130" i="13"/>
  <c r="F130" i="13"/>
  <c r="E130" i="13"/>
  <c r="J129" i="13"/>
  <c r="F129" i="13"/>
  <c r="E129" i="13"/>
  <c r="J128" i="13"/>
  <c r="F128" i="13"/>
  <c r="E128" i="13"/>
  <c r="J127" i="13"/>
  <c r="F127" i="13"/>
  <c r="E127" i="13"/>
  <c r="J126" i="13"/>
  <c r="F126" i="13"/>
  <c r="E126" i="13"/>
  <c r="J125" i="13"/>
  <c r="F125" i="13"/>
  <c r="E125" i="13"/>
  <c r="J124" i="13"/>
  <c r="F124" i="13"/>
  <c r="E124" i="13"/>
  <c r="J123" i="13"/>
  <c r="F123" i="13"/>
  <c r="E123" i="13"/>
  <c r="J122" i="13"/>
  <c r="F122" i="13"/>
  <c r="E122" i="13"/>
  <c r="J121" i="13"/>
  <c r="F121" i="13"/>
  <c r="E121" i="13"/>
  <c r="J120" i="13"/>
  <c r="F120" i="13"/>
  <c r="E120" i="13"/>
  <c r="J119" i="13"/>
  <c r="F119" i="13"/>
  <c r="E119" i="13"/>
  <c r="J118" i="13"/>
  <c r="F118" i="13"/>
  <c r="E118" i="13"/>
  <c r="J117" i="13"/>
  <c r="F117" i="13"/>
  <c r="E117" i="13"/>
  <c r="J116" i="13"/>
  <c r="F116" i="13"/>
  <c r="E116" i="13"/>
  <c r="J115" i="13"/>
  <c r="F115" i="13"/>
  <c r="E115" i="13"/>
  <c r="J114" i="13"/>
  <c r="F114" i="13"/>
  <c r="E114" i="13"/>
  <c r="J113" i="13"/>
  <c r="F113" i="13"/>
  <c r="E113" i="13"/>
  <c r="J112" i="13"/>
  <c r="F112" i="13"/>
  <c r="E112" i="13"/>
  <c r="J111" i="13"/>
  <c r="F111" i="13"/>
  <c r="E111" i="13"/>
  <c r="J110" i="13"/>
  <c r="F110" i="13"/>
  <c r="E110" i="13"/>
  <c r="J109" i="13"/>
  <c r="F109" i="13"/>
  <c r="E109" i="13"/>
  <c r="J108" i="13"/>
  <c r="F108" i="13"/>
  <c r="E108" i="13"/>
  <c r="J107" i="13"/>
  <c r="F107" i="13"/>
  <c r="E107" i="13"/>
  <c r="J106" i="13"/>
  <c r="F106" i="13"/>
  <c r="E106" i="13"/>
  <c r="J105" i="13"/>
  <c r="F105" i="13"/>
  <c r="E105" i="13"/>
  <c r="J104" i="13"/>
  <c r="F104" i="13"/>
  <c r="E104" i="13"/>
  <c r="J103" i="13"/>
  <c r="F103" i="13"/>
  <c r="E103" i="13"/>
  <c r="J102" i="13"/>
  <c r="F102" i="13"/>
  <c r="E102" i="13"/>
  <c r="J101" i="13"/>
  <c r="F101" i="13"/>
  <c r="E101" i="13"/>
  <c r="J100" i="13"/>
  <c r="F100" i="13"/>
  <c r="E100" i="13"/>
  <c r="J99" i="13"/>
  <c r="F99" i="13"/>
  <c r="E99" i="13"/>
  <c r="J98" i="13"/>
  <c r="F98" i="13"/>
  <c r="E98" i="13"/>
  <c r="J97" i="13"/>
  <c r="F97" i="13"/>
  <c r="E97" i="13"/>
  <c r="J96" i="13"/>
  <c r="F96" i="13"/>
  <c r="E96" i="13"/>
  <c r="J95" i="13"/>
  <c r="F95" i="13"/>
  <c r="E95" i="13"/>
  <c r="J94" i="13"/>
  <c r="F94" i="13"/>
  <c r="E94" i="13"/>
  <c r="J93" i="13"/>
  <c r="F93" i="13"/>
  <c r="E93" i="13"/>
  <c r="J92" i="13"/>
  <c r="F92" i="13"/>
  <c r="E92" i="13"/>
  <c r="J91" i="13"/>
  <c r="F91" i="13"/>
  <c r="E91" i="13"/>
  <c r="J90" i="13"/>
  <c r="F90" i="13"/>
  <c r="E90" i="13"/>
  <c r="J89" i="13"/>
  <c r="F89" i="13"/>
  <c r="E89" i="13"/>
  <c r="J88" i="13"/>
  <c r="F88" i="13"/>
  <c r="E88" i="13"/>
  <c r="J87" i="13"/>
  <c r="F87" i="13"/>
  <c r="E87" i="13"/>
  <c r="J86" i="13"/>
  <c r="F86" i="13"/>
  <c r="E86" i="13"/>
  <c r="J85" i="13"/>
  <c r="F85" i="13"/>
  <c r="E85" i="13"/>
  <c r="J84" i="13"/>
  <c r="F84" i="13"/>
  <c r="E84" i="13"/>
  <c r="J83" i="13"/>
  <c r="F83" i="13"/>
  <c r="E83" i="13"/>
  <c r="J82" i="13"/>
  <c r="F82" i="13"/>
  <c r="E82" i="13"/>
  <c r="J81" i="13"/>
  <c r="F81" i="13"/>
  <c r="E81" i="13"/>
  <c r="J80" i="13"/>
  <c r="F80" i="13"/>
  <c r="E80" i="13"/>
  <c r="J79" i="13"/>
  <c r="F79" i="13"/>
  <c r="E79" i="13"/>
  <c r="J78" i="13"/>
  <c r="F78" i="13"/>
  <c r="E78" i="13"/>
  <c r="J77" i="13"/>
  <c r="F77" i="13"/>
  <c r="E77" i="13"/>
  <c r="J76" i="13"/>
  <c r="F76" i="13"/>
  <c r="E76" i="13"/>
  <c r="J75" i="13"/>
  <c r="F75" i="13"/>
  <c r="E75" i="13"/>
  <c r="J74" i="13"/>
  <c r="F74" i="13"/>
  <c r="E74" i="13"/>
  <c r="J73" i="13"/>
  <c r="F73" i="13"/>
  <c r="E73" i="13"/>
  <c r="J72" i="13"/>
  <c r="F72" i="13"/>
  <c r="E72" i="13"/>
  <c r="J71" i="13"/>
  <c r="F71" i="13"/>
  <c r="E71" i="13"/>
  <c r="J70" i="13"/>
  <c r="F70" i="13"/>
  <c r="E70" i="13"/>
  <c r="J69" i="13"/>
  <c r="F69" i="13"/>
  <c r="E69" i="13"/>
  <c r="J68" i="13"/>
  <c r="F68" i="13"/>
  <c r="E68" i="13"/>
  <c r="J67" i="13"/>
  <c r="F67" i="13"/>
  <c r="E67" i="13"/>
  <c r="J66" i="13"/>
  <c r="F66" i="13"/>
  <c r="E66" i="13"/>
  <c r="J65" i="13"/>
  <c r="F65" i="13"/>
  <c r="E65" i="13"/>
  <c r="J64" i="13"/>
  <c r="F64" i="13"/>
  <c r="E64" i="13"/>
  <c r="J63" i="13"/>
  <c r="F63" i="13"/>
  <c r="E63" i="13"/>
  <c r="J62" i="13"/>
  <c r="F62" i="13"/>
  <c r="E62" i="13"/>
  <c r="J61" i="13"/>
  <c r="F61" i="13"/>
  <c r="E61" i="13"/>
  <c r="J60" i="13"/>
  <c r="F60" i="13"/>
  <c r="E60" i="13"/>
  <c r="J59" i="13"/>
  <c r="F59" i="13"/>
  <c r="E59" i="13"/>
  <c r="J58" i="13"/>
  <c r="F58" i="13"/>
  <c r="E58" i="13"/>
  <c r="J57" i="13"/>
  <c r="F57" i="13"/>
  <c r="E57" i="13"/>
  <c r="J56" i="13"/>
  <c r="F56" i="13"/>
  <c r="E56" i="13"/>
  <c r="J55" i="13"/>
  <c r="F55" i="13"/>
  <c r="E55" i="13"/>
  <c r="J54" i="13"/>
  <c r="F54" i="13"/>
  <c r="E54" i="13"/>
  <c r="J53" i="13"/>
  <c r="F53" i="13"/>
  <c r="E53" i="13"/>
  <c r="J52" i="13"/>
  <c r="F52" i="13"/>
  <c r="E52" i="13"/>
  <c r="J51" i="13"/>
  <c r="F51" i="13"/>
  <c r="E51" i="13"/>
  <c r="J50" i="13"/>
  <c r="F50" i="13"/>
  <c r="E50" i="13"/>
  <c r="J49" i="13"/>
  <c r="F49" i="13"/>
  <c r="E49" i="13"/>
  <c r="J48" i="13"/>
  <c r="F48" i="13"/>
  <c r="E48" i="13"/>
  <c r="J47" i="13"/>
  <c r="F47" i="13"/>
  <c r="E47" i="13"/>
  <c r="J46" i="13"/>
  <c r="F46" i="13"/>
  <c r="E46" i="13"/>
  <c r="J45" i="13"/>
  <c r="F45" i="13"/>
  <c r="E45" i="13"/>
  <c r="J44" i="13"/>
  <c r="F44" i="13"/>
  <c r="E44" i="13"/>
  <c r="J43" i="13"/>
  <c r="F43" i="13"/>
  <c r="E43" i="13"/>
  <c r="J42" i="13"/>
  <c r="F42" i="13"/>
  <c r="E42" i="13"/>
  <c r="J41" i="13"/>
  <c r="F41" i="13"/>
  <c r="E41" i="13"/>
  <c r="J40" i="13"/>
  <c r="F40" i="13"/>
  <c r="E40" i="13"/>
  <c r="J39" i="13"/>
  <c r="F39" i="13"/>
  <c r="E39" i="13"/>
  <c r="J38" i="13"/>
  <c r="F38" i="13"/>
  <c r="E38" i="13"/>
  <c r="J37" i="13"/>
  <c r="F37" i="13"/>
  <c r="E37" i="13"/>
  <c r="J36" i="13"/>
  <c r="F36" i="13"/>
  <c r="E36" i="13"/>
  <c r="J35" i="13"/>
  <c r="F35" i="13"/>
  <c r="E35" i="13"/>
  <c r="J34" i="13"/>
  <c r="F34" i="13"/>
  <c r="E34" i="13"/>
  <c r="J33" i="13"/>
  <c r="F33" i="13"/>
  <c r="E33" i="13"/>
  <c r="J32" i="13"/>
  <c r="F32" i="13"/>
  <c r="E32" i="13"/>
  <c r="J31" i="13"/>
  <c r="F31" i="13"/>
  <c r="E31" i="13"/>
  <c r="J30" i="13"/>
  <c r="F30" i="13"/>
  <c r="E30" i="13"/>
  <c r="J29" i="13"/>
  <c r="F29" i="13"/>
  <c r="E29" i="13"/>
  <c r="J28" i="13"/>
  <c r="F28" i="13"/>
  <c r="E28" i="13"/>
  <c r="J27" i="13"/>
  <c r="F27" i="13"/>
  <c r="E27" i="13"/>
  <c r="J26" i="13"/>
  <c r="F26" i="13"/>
  <c r="E26" i="13"/>
  <c r="J25" i="13"/>
  <c r="F25" i="13"/>
  <c r="E25" i="13"/>
  <c r="J24" i="13"/>
  <c r="F24" i="13"/>
  <c r="E24" i="13"/>
  <c r="J23" i="13"/>
  <c r="F23" i="13"/>
  <c r="E23" i="13"/>
  <c r="J22" i="13"/>
  <c r="F22" i="13"/>
  <c r="E22" i="13"/>
  <c r="J21" i="13"/>
  <c r="F21" i="13"/>
  <c r="E21" i="13"/>
  <c r="J20" i="13"/>
  <c r="F20" i="13"/>
  <c r="E20" i="13"/>
  <c r="J19" i="13"/>
  <c r="F19" i="13"/>
  <c r="E19" i="13"/>
  <c r="J18" i="13"/>
  <c r="F18" i="13"/>
  <c r="E18" i="13"/>
  <c r="J17" i="13"/>
  <c r="F17" i="13"/>
  <c r="E17" i="13"/>
  <c r="J16" i="13"/>
  <c r="F16" i="13"/>
  <c r="E16" i="13"/>
  <c r="J15" i="13"/>
  <c r="F15" i="13"/>
  <c r="E15" i="13"/>
  <c r="J14" i="13"/>
  <c r="F14" i="13"/>
  <c r="E14" i="13"/>
  <c r="J13" i="13"/>
  <c r="F13" i="13"/>
  <c r="E13" i="13"/>
  <c r="J12" i="13"/>
  <c r="F12" i="13"/>
  <c r="E12" i="13"/>
  <c r="AA613" i="13"/>
  <c r="Z612" i="13"/>
  <c r="Y612" i="13"/>
  <c r="T611" i="13"/>
  <c r="T610" i="13"/>
  <c r="T609" i="13"/>
  <c r="T608" i="13"/>
  <c r="T607" i="13"/>
  <c r="T606" i="13"/>
  <c r="T605" i="13"/>
  <c r="T604" i="13"/>
  <c r="T603" i="13"/>
  <c r="T602" i="13"/>
  <c r="T601" i="13"/>
  <c r="T600" i="13"/>
  <c r="T599" i="13"/>
  <c r="T598" i="13"/>
  <c r="T597" i="13"/>
  <c r="T596" i="13"/>
  <c r="T595" i="13"/>
  <c r="T594" i="13"/>
  <c r="T593" i="13"/>
  <c r="T592" i="13"/>
  <c r="T591" i="13"/>
  <c r="T590" i="13"/>
  <c r="T589" i="13"/>
  <c r="T588" i="13"/>
  <c r="T587" i="13"/>
  <c r="T586" i="13"/>
  <c r="T585" i="13"/>
  <c r="T584" i="13"/>
  <c r="T583" i="13"/>
  <c r="T582" i="13"/>
  <c r="T581" i="13"/>
  <c r="T580" i="13"/>
  <c r="T579" i="13"/>
  <c r="T578" i="13"/>
  <c r="T577" i="13"/>
  <c r="T576" i="13"/>
  <c r="T575" i="13"/>
  <c r="T574" i="13"/>
  <c r="T573" i="13"/>
  <c r="T572" i="13"/>
  <c r="T571" i="13"/>
  <c r="T570" i="13"/>
  <c r="T569" i="13"/>
  <c r="T568" i="13"/>
  <c r="T567" i="13"/>
  <c r="T566" i="13"/>
  <c r="T565" i="13"/>
  <c r="T564" i="13"/>
  <c r="T563" i="13"/>
  <c r="T562" i="13"/>
  <c r="T561" i="13"/>
  <c r="T560" i="13"/>
  <c r="T559" i="13"/>
  <c r="T558" i="13"/>
  <c r="T557" i="13"/>
  <c r="T556" i="13"/>
  <c r="T555" i="13"/>
  <c r="T554" i="13"/>
  <c r="T553" i="13"/>
  <c r="T552" i="13"/>
  <c r="T551" i="13"/>
  <c r="T550" i="13"/>
  <c r="T549" i="13"/>
  <c r="T548" i="13"/>
  <c r="T547" i="13"/>
  <c r="T546" i="13"/>
  <c r="T545" i="13"/>
  <c r="T544" i="13"/>
  <c r="T543" i="13"/>
  <c r="T542" i="13"/>
  <c r="T541" i="13"/>
  <c r="T540" i="13"/>
  <c r="T539" i="13"/>
  <c r="T538" i="13"/>
  <c r="T537" i="13"/>
  <c r="T536" i="13"/>
  <c r="T535" i="13"/>
  <c r="T534" i="13"/>
  <c r="T533" i="13"/>
  <c r="T532" i="13"/>
  <c r="T531" i="13"/>
  <c r="T530" i="13"/>
  <c r="T529" i="13"/>
  <c r="T528" i="13"/>
  <c r="T527" i="13"/>
  <c r="T526" i="13"/>
  <c r="T525" i="13"/>
  <c r="T524" i="13"/>
  <c r="T523" i="13"/>
  <c r="T522" i="13"/>
  <c r="T521" i="13"/>
  <c r="T520" i="13"/>
  <c r="T519" i="13"/>
  <c r="T518" i="13"/>
  <c r="T517" i="13"/>
  <c r="T516" i="13"/>
  <c r="T515" i="13"/>
  <c r="T514" i="13"/>
  <c r="T513" i="13"/>
  <c r="T512" i="13"/>
  <c r="T511" i="13"/>
  <c r="T510" i="13"/>
  <c r="T509" i="13"/>
  <c r="T508" i="13"/>
  <c r="T507" i="13"/>
  <c r="T506" i="13"/>
  <c r="T505" i="13"/>
  <c r="T504" i="13"/>
  <c r="T503" i="13"/>
  <c r="T502" i="13"/>
  <c r="T501" i="13"/>
  <c r="T500" i="13"/>
  <c r="T499" i="13"/>
  <c r="T498" i="13"/>
  <c r="T497" i="13"/>
  <c r="T496" i="13"/>
  <c r="T495" i="13"/>
  <c r="T494" i="13"/>
  <c r="T493" i="13"/>
  <c r="T492" i="13"/>
  <c r="T491" i="13"/>
  <c r="T490" i="13"/>
  <c r="T489" i="13"/>
  <c r="T488" i="13"/>
  <c r="T487" i="13"/>
  <c r="T486" i="13"/>
  <c r="T485" i="13"/>
  <c r="T484" i="13"/>
  <c r="T483" i="13"/>
  <c r="T482" i="13"/>
  <c r="T481" i="13"/>
  <c r="T480" i="13"/>
  <c r="T479" i="13"/>
  <c r="T478" i="13"/>
  <c r="T477" i="13"/>
  <c r="T476" i="13"/>
  <c r="T475" i="13"/>
  <c r="T474" i="13"/>
  <c r="T473" i="13"/>
  <c r="T472" i="13"/>
  <c r="T471" i="13"/>
  <c r="T470" i="13"/>
  <c r="T469" i="13"/>
  <c r="T468" i="13"/>
  <c r="T467" i="13"/>
  <c r="T466" i="13"/>
  <c r="T465" i="13"/>
  <c r="T464" i="13"/>
  <c r="T463" i="13"/>
  <c r="T462" i="13"/>
  <c r="T461" i="13"/>
  <c r="T460" i="13"/>
  <c r="T459" i="13"/>
  <c r="T458" i="13"/>
  <c r="T457" i="13"/>
  <c r="T456" i="13"/>
  <c r="T455" i="13"/>
  <c r="T454" i="13"/>
  <c r="T453" i="13"/>
  <c r="T452" i="13"/>
  <c r="T451" i="13"/>
  <c r="T450" i="13"/>
  <c r="T449" i="13"/>
  <c r="T448" i="13"/>
  <c r="T447" i="13"/>
  <c r="T446" i="13"/>
  <c r="T445" i="13"/>
  <c r="T444" i="13"/>
  <c r="T443" i="13"/>
  <c r="T442" i="13"/>
  <c r="T441" i="13"/>
  <c r="T440" i="13"/>
  <c r="T439" i="13"/>
  <c r="T438" i="13"/>
  <c r="T437" i="13"/>
  <c r="T436" i="13"/>
  <c r="T435" i="13"/>
  <c r="T434" i="13"/>
  <c r="T433" i="13"/>
  <c r="T432" i="13"/>
  <c r="T431" i="13"/>
  <c r="T430" i="13"/>
  <c r="T429" i="13"/>
  <c r="T428" i="13"/>
  <c r="T427" i="13"/>
  <c r="T426" i="13"/>
  <c r="T425" i="13"/>
  <c r="T424" i="13"/>
  <c r="T423" i="13"/>
  <c r="T422" i="13"/>
  <c r="T421" i="13"/>
  <c r="T420" i="13"/>
  <c r="T419" i="13"/>
  <c r="T418" i="13"/>
  <c r="T417" i="13"/>
  <c r="T416" i="13"/>
  <c r="T415" i="13"/>
  <c r="T414" i="13"/>
  <c r="T413" i="13"/>
  <c r="T412" i="13"/>
  <c r="T411" i="13"/>
  <c r="T410" i="13"/>
  <c r="T409" i="13"/>
  <c r="T408" i="13"/>
  <c r="T407" i="13"/>
  <c r="T406" i="13"/>
  <c r="T405" i="13"/>
  <c r="T404" i="13"/>
  <c r="T403" i="13"/>
  <c r="T402" i="13"/>
  <c r="T401" i="13"/>
  <c r="T400" i="13"/>
  <c r="T399" i="13"/>
  <c r="T398" i="13"/>
  <c r="T397" i="13"/>
  <c r="T396" i="13"/>
  <c r="T395" i="13"/>
  <c r="T394" i="13"/>
  <c r="T393" i="13"/>
  <c r="T392" i="13"/>
  <c r="T391" i="13"/>
  <c r="T390" i="13"/>
  <c r="T389" i="13"/>
  <c r="T388" i="13"/>
  <c r="T387" i="13"/>
  <c r="T386" i="13"/>
  <c r="T385" i="13"/>
  <c r="T384" i="13"/>
  <c r="T383" i="13"/>
  <c r="T382" i="13"/>
  <c r="T381" i="13"/>
  <c r="T380" i="13"/>
  <c r="T379" i="13"/>
  <c r="T378" i="13"/>
  <c r="T377" i="13"/>
  <c r="T376" i="13"/>
  <c r="T375" i="13"/>
  <c r="T374" i="13"/>
  <c r="T373" i="13"/>
  <c r="T372" i="13"/>
  <c r="T371" i="13"/>
  <c r="T370" i="13"/>
  <c r="T369" i="13"/>
  <c r="T368" i="13"/>
  <c r="T367" i="13"/>
  <c r="T366" i="13"/>
  <c r="T365" i="13"/>
  <c r="T364" i="13"/>
  <c r="T363" i="13"/>
  <c r="T362" i="13"/>
  <c r="T361" i="13"/>
  <c r="T360" i="13"/>
  <c r="T359" i="13"/>
  <c r="T358" i="13"/>
  <c r="T357" i="13"/>
  <c r="T356" i="13"/>
  <c r="T355" i="13"/>
  <c r="T354" i="13"/>
  <c r="T353" i="13"/>
  <c r="T352" i="13"/>
  <c r="T351" i="13"/>
  <c r="T350" i="13"/>
  <c r="T349" i="13"/>
  <c r="T348" i="13"/>
  <c r="T347" i="13"/>
  <c r="T346" i="13"/>
  <c r="T345" i="13"/>
  <c r="T344" i="13"/>
  <c r="T343" i="13"/>
  <c r="T342" i="13"/>
  <c r="T341" i="13"/>
  <c r="T340" i="13"/>
  <c r="T339" i="13"/>
  <c r="T338" i="13"/>
  <c r="T337" i="13"/>
  <c r="T336" i="13"/>
  <c r="T335" i="13"/>
  <c r="T334" i="13"/>
  <c r="T333" i="13"/>
  <c r="T332" i="13"/>
  <c r="T331" i="13"/>
  <c r="T330" i="13"/>
  <c r="T329" i="13"/>
  <c r="T328" i="13"/>
  <c r="T327" i="13"/>
  <c r="T326" i="13"/>
  <c r="T325" i="13"/>
  <c r="T324" i="13"/>
  <c r="T323" i="13"/>
  <c r="T322" i="13"/>
  <c r="T321" i="13"/>
  <c r="T320" i="13"/>
  <c r="T319" i="13"/>
  <c r="T318" i="13"/>
  <c r="T317" i="13"/>
  <c r="T316" i="13"/>
  <c r="T315" i="13"/>
  <c r="T314" i="13"/>
  <c r="T313" i="13"/>
  <c r="T312" i="13"/>
  <c r="C357" i="13" l="1"/>
  <c r="C381" i="13"/>
  <c r="C501" i="13"/>
  <c r="C517" i="13"/>
  <c r="C533" i="13"/>
  <c r="C549" i="13"/>
  <c r="C605" i="13"/>
  <c r="C342" i="13"/>
  <c r="C358" i="13"/>
  <c r="C366" i="13"/>
  <c r="C374" i="13"/>
  <c r="C382" i="13"/>
  <c r="C390" i="13"/>
  <c r="C398" i="13"/>
  <c r="C406" i="13"/>
  <c r="C414" i="13"/>
  <c r="C422" i="13"/>
  <c r="C430" i="13"/>
  <c r="C438" i="13"/>
  <c r="C446" i="13"/>
  <c r="C454" i="13"/>
  <c r="C461" i="13"/>
  <c r="C597" i="13"/>
  <c r="C359" i="13"/>
  <c r="C367" i="13"/>
  <c r="C375" i="13"/>
  <c r="C383" i="13"/>
  <c r="C391" i="13"/>
  <c r="C399" i="13"/>
  <c r="C407" i="13"/>
  <c r="C415" i="13"/>
  <c r="C423" i="13"/>
  <c r="C431" i="13"/>
  <c r="C439" i="13"/>
  <c r="C447" i="13"/>
  <c r="C463" i="13"/>
  <c r="C479" i="13"/>
  <c r="C487" i="13"/>
  <c r="C495" i="13"/>
  <c r="C503" i="13"/>
  <c r="C511" i="13"/>
  <c r="C519" i="13"/>
  <c r="C527" i="13"/>
  <c r="C535" i="13"/>
  <c r="C543" i="13"/>
  <c r="C551" i="13"/>
  <c r="C559" i="13"/>
  <c r="C567" i="13"/>
  <c r="C575" i="13"/>
  <c r="C583" i="13"/>
  <c r="C591" i="13"/>
  <c r="C599" i="13"/>
  <c r="C485" i="13"/>
  <c r="C589" i="13"/>
  <c r="C352" i="13"/>
  <c r="C368" i="13"/>
  <c r="C384" i="13"/>
  <c r="C400" i="13"/>
  <c r="C416" i="13"/>
  <c r="C432" i="13"/>
  <c r="C456" i="13"/>
  <c r="C472" i="13"/>
  <c r="C480" i="13"/>
  <c r="C488" i="13"/>
  <c r="C496" i="13"/>
  <c r="C504" i="13"/>
  <c r="C512" i="13"/>
  <c r="C520" i="13"/>
  <c r="C528" i="13"/>
  <c r="C536" i="13"/>
  <c r="C544" i="13"/>
  <c r="C552" i="13"/>
  <c r="C560" i="13"/>
  <c r="C568" i="13"/>
  <c r="C576" i="13"/>
  <c r="C584" i="13"/>
  <c r="C592" i="13"/>
  <c r="C600" i="13"/>
  <c r="C608" i="13"/>
  <c r="C573" i="13"/>
  <c r="C449" i="13"/>
  <c r="C457" i="13"/>
  <c r="C465" i="13"/>
  <c r="C473" i="13"/>
  <c r="C481" i="13"/>
  <c r="C497" i="13"/>
  <c r="C513" i="13"/>
  <c r="C529" i="13"/>
  <c r="C545" i="13"/>
  <c r="C561" i="13"/>
  <c r="C577" i="13"/>
  <c r="C593" i="13"/>
  <c r="C601" i="13"/>
  <c r="C609" i="13"/>
  <c r="C397" i="13"/>
  <c r="C413" i="13"/>
  <c r="C429" i="13"/>
  <c r="C445" i="13"/>
  <c r="C469" i="13"/>
  <c r="C493" i="13"/>
  <c r="C509" i="13"/>
  <c r="C525" i="13"/>
  <c r="C541" i="13"/>
  <c r="C557" i="13"/>
  <c r="C581" i="13"/>
  <c r="C354" i="13"/>
  <c r="C362" i="13"/>
  <c r="C370" i="13"/>
  <c r="C378" i="13"/>
  <c r="C386" i="13"/>
  <c r="C394" i="13"/>
  <c r="C402" i="13"/>
  <c r="C410" i="13"/>
  <c r="C418" i="13"/>
  <c r="C426" i="13"/>
  <c r="C434" i="13"/>
  <c r="C442" i="13"/>
  <c r="C450" i="13"/>
  <c r="C458" i="13"/>
  <c r="C466" i="13"/>
  <c r="C474" i="13"/>
  <c r="C490" i="13"/>
  <c r="C506" i="13"/>
  <c r="C522" i="13"/>
  <c r="C538" i="13"/>
  <c r="C554" i="13"/>
  <c r="C570" i="13"/>
  <c r="C586" i="13"/>
  <c r="C594" i="13"/>
  <c r="C602" i="13"/>
  <c r="C610" i="13"/>
  <c r="C395" i="13"/>
  <c r="C403" i="13"/>
  <c r="C411" i="13"/>
  <c r="C419" i="13"/>
  <c r="C427" i="13"/>
  <c r="C435" i="13"/>
  <c r="C443" i="13"/>
  <c r="C451" i="13"/>
  <c r="C459" i="13"/>
  <c r="C467" i="13"/>
  <c r="C475" i="13"/>
  <c r="C483" i="13"/>
  <c r="C491" i="13"/>
  <c r="C499" i="13"/>
  <c r="C507" i="13"/>
  <c r="C515" i="13"/>
  <c r="C523" i="13"/>
  <c r="C531" i="13"/>
  <c r="C539" i="13"/>
  <c r="C547" i="13"/>
  <c r="C555" i="13"/>
  <c r="C563" i="13"/>
  <c r="C571" i="13"/>
  <c r="C579" i="13"/>
  <c r="C587" i="13"/>
  <c r="C595" i="13"/>
  <c r="C603" i="13"/>
  <c r="C611" i="13"/>
  <c r="C565" i="13"/>
  <c r="C372" i="13"/>
  <c r="C388" i="13"/>
  <c r="C404" i="13"/>
  <c r="C420" i="13"/>
  <c r="C436" i="13"/>
  <c r="C428" i="13"/>
  <c r="C585" i="13"/>
  <c r="C365" i="13"/>
  <c r="C373" i="13"/>
  <c r="C405" i="13"/>
  <c r="C371" i="13"/>
  <c r="C569" i="13"/>
  <c r="C351" i="13"/>
  <c r="C498" i="13"/>
  <c r="C521" i="13"/>
  <c r="C562" i="13"/>
  <c r="C598" i="13"/>
  <c r="C385" i="13"/>
  <c r="C408" i="13"/>
  <c r="C537" i="13"/>
  <c r="C578" i="13"/>
  <c r="C356" i="13"/>
  <c r="C530" i="13"/>
  <c r="C364" i="13"/>
  <c r="C421" i="13"/>
  <c r="C514" i="13"/>
  <c r="C392" i="13"/>
  <c r="C553" i="13"/>
  <c r="C412" i="13"/>
  <c r="C505" i="13"/>
  <c r="C546" i="13"/>
  <c r="C360" i="13"/>
  <c r="C401" i="13"/>
  <c r="C464" i="13"/>
  <c r="C596" i="13"/>
  <c r="C369" i="13"/>
  <c r="C417" i="13"/>
  <c r="C448" i="13"/>
  <c r="C462" i="13"/>
  <c r="C380" i="13"/>
  <c r="C424" i="13"/>
  <c r="C437" i="13"/>
  <c r="C444" i="13"/>
  <c r="C477" i="13"/>
  <c r="C355" i="13"/>
  <c r="C433" i="13"/>
  <c r="C453" i="13"/>
  <c r="C455" i="13"/>
  <c r="C460" i="13"/>
  <c r="C482" i="13"/>
  <c r="C489" i="13"/>
  <c r="C607" i="13"/>
  <c r="C353" i="13"/>
  <c r="C376" i="13"/>
  <c r="C387" i="13"/>
  <c r="C389" i="13"/>
  <c r="C396" i="13"/>
  <c r="C440" i="13"/>
  <c r="C484" i="13"/>
  <c r="C500" i="13"/>
  <c r="C502" i="13"/>
  <c r="C516" i="13"/>
  <c r="C518" i="13"/>
  <c r="C532" i="13"/>
  <c r="C534" i="13"/>
  <c r="C548" i="13"/>
  <c r="C550" i="13"/>
  <c r="C564" i="13"/>
  <c r="C566" i="13"/>
  <c r="C580" i="13"/>
  <c r="C582" i="13"/>
  <c r="C468" i="13"/>
  <c r="C470" i="13"/>
  <c r="C486" i="13"/>
  <c r="C361" i="13"/>
  <c r="C363" i="13"/>
  <c r="C377" i="13"/>
  <c r="C379" i="13"/>
  <c r="C393" i="13"/>
  <c r="C409" i="13"/>
  <c r="C425" i="13"/>
  <c r="C441" i="13"/>
  <c r="C452" i="13"/>
  <c r="C604" i="13"/>
  <c r="C606" i="13"/>
  <c r="C476" i="13"/>
  <c r="C478" i="13"/>
  <c r="C508" i="13"/>
  <c r="C510" i="13"/>
  <c r="C524" i="13"/>
  <c r="C526" i="13"/>
  <c r="C540" i="13"/>
  <c r="C542" i="13"/>
  <c r="C556" i="13"/>
  <c r="C558" i="13"/>
  <c r="C572" i="13"/>
  <c r="C574" i="13"/>
  <c r="C588" i="13"/>
  <c r="C590" i="13"/>
  <c r="C471" i="13"/>
  <c r="C492" i="13"/>
  <c r="C494" i="13"/>
  <c r="W64" i="8" l="1" a="1"/>
  <c r="W64" i="8" s="1"/>
  <c r="S64" i="8" a="1"/>
  <c r="S64" i="8" s="1"/>
  <c r="O64" i="8" a="1"/>
  <c r="O64" i="8" s="1"/>
  <c r="K64" i="8" a="1"/>
  <c r="K64" i="8" s="1"/>
  <c r="P23" i="20"/>
  <c r="R308" i="3"/>
  <c r="R307" i="3"/>
  <c r="R306" i="3"/>
  <c r="R305" i="3"/>
  <c r="R304" i="3"/>
  <c r="R303" i="3"/>
  <c r="R302" i="3"/>
  <c r="R301" i="3"/>
  <c r="R300" i="3"/>
  <c r="R299" i="3"/>
  <c r="R298" i="3"/>
  <c r="R297" i="3"/>
  <c r="R296" i="3"/>
  <c r="R295" i="3"/>
  <c r="R294" i="3"/>
  <c r="R293" i="3"/>
  <c r="R292" i="3"/>
  <c r="R291" i="3"/>
  <c r="R290" i="3"/>
  <c r="R289" i="3"/>
  <c r="R288" i="3"/>
  <c r="R287" i="3"/>
  <c r="R286" i="3"/>
  <c r="R285" i="3"/>
  <c r="R284" i="3"/>
  <c r="R283" i="3"/>
  <c r="R282" i="3"/>
  <c r="R281" i="3"/>
  <c r="R280" i="3"/>
  <c r="R279" i="3"/>
  <c r="R278" i="3"/>
  <c r="R277" i="3"/>
  <c r="R276" i="3"/>
  <c r="R275" i="3"/>
  <c r="R274" i="3"/>
  <c r="R273" i="3"/>
  <c r="R272" i="3"/>
  <c r="R271" i="3"/>
  <c r="R270" i="3"/>
  <c r="R269" i="3"/>
  <c r="R268" i="3"/>
  <c r="R267" i="3"/>
  <c r="R266" i="3"/>
  <c r="R265" i="3"/>
  <c r="R264" i="3"/>
  <c r="R263" i="3"/>
  <c r="R262" i="3"/>
  <c r="R261" i="3"/>
  <c r="R260" i="3"/>
  <c r="R259" i="3"/>
  <c r="R258" i="3"/>
  <c r="R257" i="3"/>
  <c r="R256" i="3"/>
  <c r="R255" i="3"/>
  <c r="R254" i="3"/>
  <c r="R253" i="3"/>
  <c r="R252" i="3"/>
  <c r="R251" i="3"/>
  <c r="R250" i="3"/>
  <c r="R249" i="3"/>
  <c r="R248" i="3"/>
  <c r="R247" i="3"/>
  <c r="R246" i="3"/>
  <c r="R245" i="3"/>
  <c r="R244" i="3"/>
  <c r="R243" i="3"/>
  <c r="R242" i="3"/>
  <c r="R241" i="3"/>
  <c r="R240" i="3"/>
  <c r="R239" i="3"/>
  <c r="R238" i="3"/>
  <c r="R237" i="3"/>
  <c r="R236" i="3"/>
  <c r="R235" i="3"/>
  <c r="R234" i="3"/>
  <c r="R233" i="3"/>
  <c r="R232" i="3"/>
  <c r="R231" i="3"/>
  <c r="R230" i="3"/>
  <c r="R229" i="3"/>
  <c r="R228" i="3"/>
  <c r="R227" i="3"/>
  <c r="R226" i="3"/>
  <c r="R225" i="3"/>
  <c r="R224" i="3"/>
  <c r="R223" i="3"/>
  <c r="R222" i="3"/>
  <c r="R221" i="3"/>
  <c r="R220" i="3"/>
  <c r="R219" i="3"/>
  <c r="R218" i="3"/>
  <c r="R217" i="3"/>
  <c r="R216" i="3"/>
  <c r="R215" i="3"/>
  <c r="R214" i="3"/>
  <c r="R213" i="3"/>
  <c r="R212" i="3"/>
  <c r="R211" i="3"/>
  <c r="R210" i="3"/>
  <c r="R209" i="3"/>
  <c r="R208" i="3"/>
  <c r="R207" i="3"/>
  <c r="R206" i="3"/>
  <c r="R205" i="3"/>
  <c r="R204" i="3"/>
  <c r="R203" i="3"/>
  <c r="R202" i="3"/>
  <c r="R201" i="3"/>
  <c r="R200" i="3"/>
  <c r="R199" i="3"/>
  <c r="R198" i="3"/>
  <c r="R197" i="3"/>
  <c r="R196" i="3"/>
  <c r="R195" i="3"/>
  <c r="R194" i="3"/>
  <c r="R193" i="3"/>
  <c r="R192" i="3"/>
  <c r="R191" i="3"/>
  <c r="R190" i="3"/>
  <c r="R189" i="3"/>
  <c r="R188" i="3"/>
  <c r="R187" i="3"/>
  <c r="R186" i="3"/>
  <c r="R185" i="3"/>
  <c r="R184" i="3"/>
  <c r="R183" i="3"/>
  <c r="R182" i="3"/>
  <c r="R181" i="3"/>
  <c r="R180" i="3"/>
  <c r="R179" i="3"/>
  <c r="R178" i="3"/>
  <c r="R177" i="3"/>
  <c r="R176" i="3"/>
  <c r="R175" i="3"/>
  <c r="R174" i="3"/>
  <c r="R173" i="3"/>
  <c r="R172" i="3"/>
  <c r="R171" i="3"/>
  <c r="R170" i="3"/>
  <c r="R169" i="3"/>
  <c r="R168" i="3"/>
  <c r="R167" i="3"/>
  <c r="R166" i="3"/>
  <c r="R165" i="3"/>
  <c r="R164" i="3"/>
  <c r="R163" i="3"/>
  <c r="R162" i="3"/>
  <c r="R161" i="3"/>
  <c r="R160" i="3"/>
  <c r="R159" i="3"/>
  <c r="R158" i="3"/>
  <c r="R157" i="3"/>
  <c r="R156" i="3"/>
  <c r="R155" i="3"/>
  <c r="R154" i="3"/>
  <c r="R153" i="3"/>
  <c r="R152" i="3"/>
  <c r="R151" i="3"/>
  <c r="R150" i="3"/>
  <c r="R149" i="3"/>
  <c r="R148" i="3"/>
  <c r="R147" i="3"/>
  <c r="R146" i="3"/>
  <c r="R145" i="3"/>
  <c r="R144" i="3"/>
  <c r="R143" i="3"/>
  <c r="R142" i="3"/>
  <c r="R141" i="3"/>
  <c r="R140" i="3"/>
  <c r="R139" i="3"/>
  <c r="R138" i="3"/>
  <c r="R137" i="3"/>
  <c r="R136" i="3"/>
  <c r="R135" i="3"/>
  <c r="R134" i="3"/>
  <c r="R133" i="3"/>
  <c r="R132" i="3"/>
  <c r="R131" i="3"/>
  <c r="R130" i="3"/>
  <c r="R129" i="3"/>
  <c r="R128" i="3"/>
  <c r="R127" i="3"/>
  <c r="R126" i="3"/>
  <c r="R125" i="3"/>
  <c r="R124" i="3"/>
  <c r="R123" i="3"/>
  <c r="R122" i="3"/>
  <c r="R121" i="3"/>
  <c r="R120" i="3"/>
  <c r="R119" i="3"/>
  <c r="R118" i="3"/>
  <c r="R117" i="3"/>
  <c r="R116" i="3"/>
  <c r="R115" i="3"/>
  <c r="R114" i="3"/>
  <c r="R113" i="3"/>
  <c r="R112" i="3"/>
  <c r="R111" i="3"/>
  <c r="R110" i="3"/>
  <c r="R109" i="3"/>
  <c r="R108" i="3"/>
  <c r="R107" i="3"/>
  <c r="R106" i="3"/>
  <c r="R105" i="3"/>
  <c r="R104" i="3"/>
  <c r="R103" i="3"/>
  <c r="R102" i="3"/>
  <c r="R101" i="3"/>
  <c r="R100" i="3"/>
  <c r="R99" i="3"/>
  <c r="R98" i="3"/>
  <c r="R97" i="3"/>
  <c r="R96" i="3"/>
  <c r="R95" i="3"/>
  <c r="R94" i="3"/>
  <c r="R93" i="3"/>
  <c r="R92" i="3"/>
  <c r="R91" i="3"/>
  <c r="R90" i="3"/>
  <c r="R89" i="3"/>
  <c r="R88" i="3"/>
  <c r="R87" i="3"/>
  <c r="R86" i="3"/>
  <c r="R85" i="3"/>
  <c r="R84" i="3"/>
  <c r="R83" i="3"/>
  <c r="R82" i="3"/>
  <c r="R81" i="3"/>
  <c r="R80" i="3"/>
  <c r="R79" i="3"/>
  <c r="R78" i="3"/>
  <c r="R77" i="3"/>
  <c r="R76" i="3"/>
  <c r="R75" i="3"/>
  <c r="R74" i="3"/>
  <c r="R73" i="3"/>
  <c r="R72" i="3"/>
  <c r="R71" i="3"/>
  <c r="R70" i="3"/>
  <c r="R69" i="3"/>
  <c r="R68" i="3"/>
  <c r="R67" i="3"/>
  <c r="R66" i="3"/>
  <c r="R65" i="3"/>
  <c r="R64" i="3"/>
  <c r="R63" i="3"/>
  <c r="R62" i="3"/>
  <c r="R61" i="3"/>
  <c r="R60" i="3"/>
  <c r="R59" i="3"/>
  <c r="R58" i="3"/>
  <c r="R57" i="3"/>
  <c r="R56" i="3"/>
  <c r="R55" i="3"/>
  <c r="R54" i="3"/>
  <c r="R53" i="3"/>
  <c r="R52" i="3"/>
  <c r="R51" i="3"/>
  <c r="R50" i="3"/>
  <c r="R49" i="3"/>
  <c r="R48" i="3"/>
  <c r="R47" i="3"/>
  <c r="R46" i="3"/>
  <c r="R45" i="3"/>
  <c r="R44" i="3"/>
  <c r="R43" i="3"/>
  <c r="R42" i="3"/>
  <c r="R41" i="3"/>
  <c r="R40" i="3"/>
  <c r="R39" i="3"/>
  <c r="R38" i="3"/>
  <c r="R37" i="3"/>
  <c r="R36" i="3"/>
  <c r="R35" i="3"/>
  <c r="R34" i="3"/>
  <c r="R33" i="3"/>
  <c r="R32" i="3"/>
  <c r="R31" i="3"/>
  <c r="R30" i="3"/>
  <c r="R29" i="3"/>
  <c r="R28" i="3"/>
  <c r="R27" i="3"/>
  <c r="R26" i="3"/>
  <c r="R25" i="3"/>
  <c r="R24" i="3"/>
  <c r="R23" i="3"/>
  <c r="R22" i="3"/>
  <c r="R21" i="3"/>
  <c r="R20" i="3"/>
  <c r="R19" i="3"/>
  <c r="R18" i="3"/>
  <c r="R17" i="3"/>
  <c r="R16" i="3"/>
  <c r="R15" i="3"/>
  <c r="R14" i="3"/>
  <c r="R12" i="3"/>
  <c r="R11" i="3"/>
  <c r="R10" i="3"/>
  <c r="R9" i="3"/>
  <c r="CM308" i="3" l="1"/>
  <c r="CM307" i="3"/>
  <c r="CM306" i="3"/>
  <c r="CM305" i="3"/>
  <c r="CM304" i="3"/>
  <c r="CM303" i="3"/>
  <c r="CM302" i="3"/>
  <c r="CM301" i="3"/>
  <c r="CM300" i="3"/>
  <c r="CM299" i="3"/>
  <c r="CM298" i="3"/>
  <c r="CM297" i="3"/>
  <c r="CM296" i="3"/>
  <c r="CM295" i="3"/>
  <c r="CM294" i="3"/>
  <c r="CM293" i="3"/>
  <c r="CM292" i="3"/>
  <c r="CM291" i="3"/>
  <c r="CM290" i="3"/>
  <c r="CM289" i="3"/>
  <c r="CM288" i="3"/>
  <c r="CM287" i="3"/>
  <c r="CM286" i="3"/>
  <c r="CM285" i="3"/>
  <c r="CM284" i="3"/>
  <c r="CM283" i="3"/>
  <c r="CM282" i="3"/>
  <c r="CM281" i="3"/>
  <c r="CM280" i="3"/>
  <c r="CM279" i="3"/>
  <c r="CM278" i="3"/>
  <c r="CM277" i="3"/>
  <c r="CM276" i="3"/>
  <c r="CM275" i="3"/>
  <c r="CM274" i="3"/>
  <c r="CM273" i="3"/>
  <c r="CM272" i="3"/>
  <c r="CM271" i="3"/>
  <c r="CM270" i="3"/>
  <c r="CM269" i="3"/>
  <c r="CM268" i="3"/>
  <c r="CM267" i="3"/>
  <c r="CM266" i="3"/>
  <c r="CM265" i="3"/>
  <c r="CM264" i="3"/>
  <c r="CM263" i="3"/>
  <c r="CM262" i="3"/>
  <c r="CM261" i="3"/>
  <c r="CM260" i="3"/>
  <c r="CM259" i="3"/>
  <c r="CM258" i="3"/>
  <c r="CM257" i="3"/>
  <c r="CM256" i="3"/>
  <c r="CM255" i="3"/>
  <c r="CM254" i="3"/>
  <c r="CM253" i="3"/>
  <c r="CM252" i="3"/>
  <c r="CM251" i="3"/>
  <c r="CM250" i="3"/>
  <c r="CM249" i="3"/>
  <c r="CM248" i="3"/>
  <c r="CM247" i="3"/>
  <c r="CM246" i="3"/>
  <c r="CM245" i="3"/>
  <c r="CM244" i="3"/>
  <c r="CM243" i="3"/>
  <c r="CM242" i="3"/>
  <c r="CM241" i="3"/>
  <c r="CM240" i="3"/>
  <c r="CM239" i="3"/>
  <c r="CM238" i="3"/>
  <c r="CM237" i="3"/>
  <c r="CM236" i="3"/>
  <c r="CM235" i="3"/>
  <c r="CM234" i="3"/>
  <c r="CM233" i="3"/>
  <c r="CM232" i="3"/>
  <c r="CM231" i="3"/>
  <c r="CM230" i="3"/>
  <c r="CM229" i="3"/>
  <c r="CM228" i="3"/>
  <c r="CM227" i="3"/>
  <c r="CM226" i="3"/>
  <c r="CM225" i="3"/>
  <c r="CM224" i="3"/>
  <c r="CM223" i="3"/>
  <c r="CM222" i="3"/>
  <c r="CM221" i="3"/>
  <c r="CM220" i="3"/>
  <c r="CM219" i="3"/>
  <c r="CM218" i="3"/>
  <c r="CM217" i="3"/>
  <c r="CM216" i="3"/>
  <c r="CM215" i="3"/>
  <c r="CM214" i="3"/>
  <c r="CM213" i="3"/>
  <c r="CM212" i="3"/>
  <c r="CM211" i="3"/>
  <c r="CM210" i="3"/>
  <c r="CM209" i="3"/>
  <c r="CM208" i="3"/>
  <c r="CM207" i="3"/>
  <c r="CM206" i="3"/>
  <c r="CM205" i="3"/>
  <c r="CM204" i="3"/>
  <c r="CM203" i="3"/>
  <c r="CM202" i="3"/>
  <c r="CN243" i="3" l="1"/>
  <c r="DC243" i="3" s="1"/>
  <c r="CN291" i="3"/>
  <c r="DC291" i="3" s="1"/>
  <c r="CN205" i="3"/>
  <c r="DC205" i="3" s="1"/>
  <c r="CN213" i="3"/>
  <c r="DC213" i="3" s="1"/>
  <c r="CN221" i="3"/>
  <c r="DC221" i="3" s="1"/>
  <c r="CN229" i="3"/>
  <c r="DC229" i="3" s="1"/>
  <c r="CN237" i="3"/>
  <c r="DC237" i="3" s="1"/>
  <c r="CN245" i="3"/>
  <c r="DC245" i="3" s="1"/>
  <c r="CN253" i="3"/>
  <c r="DC253" i="3" s="1"/>
  <c r="CN261" i="3"/>
  <c r="DC261" i="3" s="1"/>
  <c r="CN269" i="3"/>
  <c r="DC269" i="3" s="1"/>
  <c r="CN277" i="3"/>
  <c r="DC277" i="3" s="1"/>
  <c r="CN285" i="3"/>
  <c r="DC285" i="3" s="1"/>
  <c r="CN293" i="3"/>
  <c r="DC293" i="3" s="1"/>
  <c r="CN301" i="3"/>
  <c r="DC301" i="3" s="1"/>
  <c r="CN203" i="3"/>
  <c r="DC203" i="3" s="1"/>
  <c r="CN235" i="3"/>
  <c r="DC235" i="3" s="1"/>
  <c r="CN259" i="3"/>
  <c r="DC259" i="3" s="1"/>
  <c r="CN283" i="3"/>
  <c r="DC283" i="3" s="1"/>
  <c r="CN206" i="3"/>
  <c r="DC206" i="3" s="1"/>
  <c r="CN214" i="3"/>
  <c r="DC214" i="3" s="1"/>
  <c r="CN222" i="3"/>
  <c r="DC222" i="3" s="1"/>
  <c r="CN230" i="3"/>
  <c r="DC230" i="3" s="1"/>
  <c r="CN238" i="3"/>
  <c r="DC238" i="3" s="1"/>
  <c r="CN246" i="3"/>
  <c r="DC246" i="3" s="1"/>
  <c r="CN254" i="3"/>
  <c r="DC254" i="3" s="1"/>
  <c r="CN262" i="3"/>
  <c r="DC262" i="3" s="1"/>
  <c r="CN270" i="3"/>
  <c r="DC270" i="3" s="1"/>
  <c r="CN278" i="3"/>
  <c r="DC278" i="3" s="1"/>
  <c r="CN286" i="3"/>
  <c r="DC286" i="3" s="1"/>
  <c r="CN294" i="3"/>
  <c r="DC294" i="3" s="1"/>
  <c r="CN302" i="3"/>
  <c r="DC302" i="3" s="1"/>
  <c r="CN219" i="3"/>
  <c r="DC219" i="3" s="1"/>
  <c r="CN215" i="3"/>
  <c r="DC215" i="3" s="1"/>
  <c r="CN239" i="3"/>
  <c r="DC239" i="3" s="1"/>
  <c r="CN263" i="3"/>
  <c r="DC263" i="3" s="1"/>
  <c r="CN303" i="3"/>
  <c r="DC303" i="3" s="1"/>
  <c r="CN208" i="3"/>
  <c r="DC208" i="3" s="1"/>
  <c r="CN216" i="3"/>
  <c r="DC216" i="3" s="1"/>
  <c r="CN224" i="3"/>
  <c r="CN232" i="3"/>
  <c r="DC232" i="3" s="1"/>
  <c r="CN240" i="3"/>
  <c r="DC240" i="3" s="1"/>
  <c r="CN248" i="3"/>
  <c r="DC248" i="3" s="1"/>
  <c r="CN256" i="3"/>
  <c r="DC256" i="3" s="1"/>
  <c r="CN264" i="3"/>
  <c r="DC264" i="3" s="1"/>
  <c r="CN272" i="3"/>
  <c r="DC272" i="3" s="1"/>
  <c r="CN280" i="3"/>
  <c r="DC280" i="3" s="1"/>
  <c r="CN288" i="3"/>
  <c r="DC288" i="3" s="1"/>
  <c r="CN296" i="3"/>
  <c r="DC296" i="3" s="1"/>
  <c r="CN304" i="3"/>
  <c r="DC304" i="3" s="1"/>
  <c r="CN211" i="3"/>
  <c r="DC211" i="3" s="1"/>
  <c r="CN223" i="3"/>
  <c r="DC223" i="3" s="1"/>
  <c r="CN247" i="3"/>
  <c r="DC247" i="3" s="1"/>
  <c r="CN271" i="3"/>
  <c r="DC271" i="3" s="1"/>
  <c r="CN295" i="3"/>
  <c r="DC295" i="3" s="1"/>
  <c r="CN209" i="3"/>
  <c r="DC209" i="3" s="1"/>
  <c r="CN217" i="3"/>
  <c r="DC217" i="3" s="1"/>
  <c r="CN225" i="3"/>
  <c r="DC225" i="3" s="1"/>
  <c r="CN233" i="3"/>
  <c r="DC233" i="3" s="1"/>
  <c r="CN241" i="3"/>
  <c r="DC241" i="3" s="1"/>
  <c r="CN249" i="3"/>
  <c r="DC249" i="3" s="1"/>
  <c r="CN257" i="3"/>
  <c r="DC257" i="3" s="1"/>
  <c r="CN265" i="3"/>
  <c r="DC265" i="3" s="1"/>
  <c r="CN273" i="3"/>
  <c r="DC273" i="3" s="1"/>
  <c r="CN281" i="3"/>
  <c r="DC281" i="3" s="1"/>
  <c r="CN289" i="3"/>
  <c r="DC289" i="3" s="1"/>
  <c r="CN297" i="3"/>
  <c r="DC297" i="3" s="1"/>
  <c r="CN305" i="3"/>
  <c r="DC305" i="3" s="1"/>
  <c r="CN207" i="3"/>
  <c r="DC207" i="3" s="1"/>
  <c r="CN231" i="3"/>
  <c r="DC231" i="3" s="1"/>
  <c r="CN255" i="3"/>
  <c r="DC255" i="3" s="1"/>
  <c r="CN279" i="3"/>
  <c r="DC279" i="3" s="1"/>
  <c r="CN287" i="3"/>
  <c r="DC287" i="3" s="1"/>
  <c r="CN202" i="3"/>
  <c r="DC202" i="3" s="1"/>
  <c r="CN210" i="3"/>
  <c r="DC210" i="3" s="1"/>
  <c r="CN218" i="3"/>
  <c r="DC218" i="3" s="1"/>
  <c r="CN226" i="3"/>
  <c r="DC226" i="3" s="1"/>
  <c r="CN234" i="3"/>
  <c r="DC234" i="3" s="1"/>
  <c r="CN242" i="3"/>
  <c r="DC242" i="3" s="1"/>
  <c r="CN250" i="3"/>
  <c r="DC250" i="3" s="1"/>
  <c r="CN258" i="3"/>
  <c r="DC258" i="3" s="1"/>
  <c r="CN266" i="3"/>
  <c r="DC266" i="3" s="1"/>
  <c r="CN274" i="3"/>
  <c r="DC274" i="3" s="1"/>
  <c r="CN282" i="3"/>
  <c r="DC282" i="3" s="1"/>
  <c r="CN290" i="3"/>
  <c r="DC290" i="3" s="1"/>
  <c r="CN298" i="3"/>
  <c r="DC298" i="3" s="1"/>
  <c r="CN306" i="3"/>
  <c r="DC306" i="3" s="1"/>
  <c r="CN227" i="3"/>
  <c r="DC227" i="3" s="1"/>
  <c r="CN251" i="3"/>
  <c r="DC251" i="3" s="1"/>
  <c r="CN267" i="3"/>
  <c r="DC267" i="3" s="1"/>
  <c r="CN275" i="3"/>
  <c r="DC275" i="3" s="1"/>
  <c r="CN299" i="3"/>
  <c r="DC299" i="3" s="1"/>
  <c r="CN307" i="3"/>
  <c r="DC307" i="3" s="1"/>
  <c r="CN204" i="3"/>
  <c r="DC204" i="3" s="1"/>
  <c r="CN212" i="3"/>
  <c r="CN220" i="3"/>
  <c r="DC220" i="3" s="1"/>
  <c r="CN228" i="3"/>
  <c r="DC228" i="3" s="1"/>
  <c r="CN236" i="3"/>
  <c r="DC236" i="3" s="1"/>
  <c r="CN244" i="3"/>
  <c r="DC244" i="3" s="1"/>
  <c r="CN252" i="3"/>
  <c r="DC252" i="3" s="1"/>
  <c r="CN260" i="3"/>
  <c r="DC260" i="3" s="1"/>
  <c r="CN268" i="3"/>
  <c r="DC268" i="3" s="1"/>
  <c r="CN276" i="3"/>
  <c r="DC276" i="3" s="1"/>
  <c r="CN284" i="3"/>
  <c r="DC284" i="3" s="1"/>
  <c r="CN292" i="3"/>
  <c r="DC292" i="3" s="1"/>
  <c r="CN300" i="3"/>
  <c r="DC300" i="3" s="1"/>
  <c r="CN308" i="3"/>
  <c r="DC308" i="3" s="1"/>
  <c r="CW217" i="3"/>
  <c r="CW281" i="3"/>
  <c r="CW202" i="3"/>
  <c r="CW266" i="3"/>
  <c r="CW211" i="3"/>
  <c r="CW243" i="3"/>
  <c r="CW212" i="3"/>
  <c r="CW244" i="3"/>
  <c r="CW205" i="3"/>
  <c r="CW214" i="3"/>
  <c r="CW238" i="3"/>
  <c r="CW262" i="3"/>
  <c r="CW294" i="3"/>
  <c r="CW207" i="3"/>
  <c r="CW223" i="3"/>
  <c r="CW231" i="3"/>
  <c r="CW239" i="3"/>
  <c r="CW255" i="3"/>
  <c r="CW263" i="3"/>
  <c r="CW271" i="3"/>
  <c r="CW287" i="3"/>
  <c r="CW295" i="3"/>
  <c r="CW208" i="3"/>
  <c r="CW216" i="3"/>
  <c r="CW224" i="3"/>
  <c r="CW232" i="3"/>
  <c r="CW240" i="3"/>
  <c r="CW248" i="3"/>
  <c r="CW256" i="3"/>
  <c r="CW264" i="3"/>
  <c r="CW272" i="3"/>
  <c r="CW280" i="3"/>
  <c r="CW288" i="3"/>
  <c r="CW296" i="3"/>
  <c r="CW304" i="3"/>
  <c r="CW249" i="3"/>
  <c r="CW250" i="3"/>
  <c r="CW306" i="3"/>
  <c r="CW209" i="3"/>
  <c r="CW257" i="3"/>
  <c r="CW305" i="3"/>
  <c r="CW234" i="3"/>
  <c r="CW274" i="3"/>
  <c r="CW235" i="3"/>
  <c r="CW259" i="3"/>
  <c r="CW267" i="3"/>
  <c r="CW275" i="3"/>
  <c r="CW283" i="3"/>
  <c r="CW291" i="3"/>
  <c r="CW299" i="3"/>
  <c r="CW307" i="3"/>
  <c r="CW265" i="3"/>
  <c r="CW226" i="3"/>
  <c r="CW298" i="3"/>
  <c r="CW204" i="3"/>
  <c r="CW252" i="3"/>
  <c r="CW284" i="3"/>
  <c r="CW292" i="3"/>
  <c r="CW300" i="3"/>
  <c r="CW308" i="3"/>
  <c r="CW225" i="3"/>
  <c r="CW289" i="3"/>
  <c r="CW210" i="3"/>
  <c r="CW258" i="3"/>
  <c r="CW203" i="3"/>
  <c r="CW251" i="3"/>
  <c r="CW236" i="3"/>
  <c r="CW268" i="3"/>
  <c r="CW221" i="3"/>
  <c r="CW229" i="3"/>
  <c r="CW237" i="3"/>
  <c r="CW245" i="3"/>
  <c r="CW253" i="3"/>
  <c r="CW261" i="3"/>
  <c r="CW269" i="3"/>
  <c r="CW277" i="3"/>
  <c r="CW285" i="3"/>
  <c r="CW293" i="3"/>
  <c r="CW301" i="3"/>
  <c r="CW241" i="3"/>
  <c r="CW297" i="3"/>
  <c r="CW218" i="3"/>
  <c r="CW290" i="3"/>
  <c r="CW219" i="3"/>
  <c r="CW220" i="3"/>
  <c r="CW276" i="3"/>
  <c r="CW206" i="3"/>
  <c r="CW230" i="3"/>
  <c r="CW254" i="3"/>
  <c r="CW270" i="3"/>
  <c r="CW286" i="3"/>
  <c r="CW302" i="3"/>
  <c r="CW233" i="3"/>
  <c r="CW273" i="3"/>
  <c r="CW242" i="3"/>
  <c r="CW282" i="3"/>
  <c r="CW227" i="3"/>
  <c r="CW228" i="3"/>
  <c r="CW260" i="3"/>
  <c r="CW213" i="3"/>
  <c r="CW222" i="3"/>
  <c r="CW246" i="3"/>
  <c r="CW278" i="3"/>
  <c r="CW215" i="3"/>
  <c r="CW247" i="3"/>
  <c r="CW279" i="3"/>
  <c r="CW303" i="3"/>
  <c r="DC212" i="3"/>
  <c r="DC224" i="3"/>
  <c r="C74" i="8" l="1"/>
  <c r="CV308" i="3" l="1"/>
  <c r="CV300" i="3"/>
  <c r="CX300" i="3" s="1"/>
  <c r="CV292" i="3"/>
  <c r="CV284" i="3"/>
  <c r="CV276" i="3"/>
  <c r="CV268" i="3"/>
  <c r="CV260" i="3"/>
  <c r="CV252" i="3"/>
  <c r="CV244" i="3"/>
  <c r="CV236" i="3"/>
  <c r="CV228" i="3"/>
  <c r="CV220" i="3"/>
  <c r="CV212" i="3"/>
  <c r="CV204" i="3"/>
  <c r="CV196" i="3"/>
  <c r="CV188" i="3"/>
  <c r="CV180" i="3"/>
  <c r="CV172" i="3"/>
  <c r="CX172" i="3" s="1"/>
  <c r="CV164" i="3"/>
  <c r="CV156" i="3"/>
  <c r="CV148" i="3"/>
  <c r="CV140" i="3"/>
  <c r="CV132" i="3"/>
  <c r="CV124" i="3"/>
  <c r="CV116" i="3"/>
  <c r="CV108" i="3"/>
  <c r="CX108" i="3" s="1"/>
  <c r="CV100" i="3"/>
  <c r="CV92" i="3"/>
  <c r="CV84" i="3"/>
  <c r="CV76" i="3"/>
  <c r="CV68" i="3"/>
  <c r="CV60" i="3"/>
  <c r="CV52" i="3"/>
  <c r="CV270" i="3"/>
  <c r="CV246" i="3"/>
  <c r="CV230" i="3"/>
  <c r="CV206" i="3"/>
  <c r="CV174" i="3"/>
  <c r="CV126" i="3"/>
  <c r="CV102" i="3"/>
  <c r="CV54" i="3"/>
  <c r="CV307" i="3"/>
  <c r="CV299" i="3"/>
  <c r="CV291" i="3"/>
  <c r="CV283" i="3"/>
  <c r="CV275" i="3"/>
  <c r="CV267" i="3"/>
  <c r="CV259" i="3"/>
  <c r="CV251" i="3"/>
  <c r="CV243" i="3"/>
  <c r="CV235" i="3"/>
  <c r="CV227" i="3"/>
  <c r="CV219" i="3"/>
  <c r="CV211" i="3"/>
  <c r="CV203" i="3"/>
  <c r="CV195" i="3"/>
  <c r="CV187" i="3"/>
  <c r="CV179" i="3"/>
  <c r="CV171" i="3"/>
  <c r="CV163" i="3"/>
  <c r="CV155" i="3"/>
  <c r="CV147" i="3"/>
  <c r="CV139" i="3"/>
  <c r="CV131" i="3"/>
  <c r="CV123" i="3"/>
  <c r="CV115" i="3"/>
  <c r="CV107" i="3"/>
  <c r="CV99" i="3"/>
  <c r="CV91" i="3"/>
  <c r="CV83" i="3"/>
  <c r="CV75" i="3"/>
  <c r="CV67" i="3"/>
  <c r="CV59" i="3"/>
  <c r="CV51" i="3"/>
  <c r="CV278" i="3"/>
  <c r="CV238" i="3"/>
  <c r="CV222" i="3"/>
  <c r="CV214" i="3"/>
  <c r="CV190" i="3"/>
  <c r="CV158" i="3"/>
  <c r="CV110" i="3"/>
  <c r="CV62" i="3"/>
  <c r="CV306" i="3"/>
  <c r="CV298" i="3"/>
  <c r="CV290" i="3"/>
  <c r="CV282" i="3"/>
  <c r="CV274" i="3"/>
  <c r="CV266" i="3"/>
  <c r="CV258" i="3"/>
  <c r="CV250" i="3"/>
  <c r="CV242" i="3"/>
  <c r="CV234" i="3"/>
  <c r="CV226" i="3"/>
  <c r="CV218" i="3"/>
  <c r="CV210" i="3"/>
  <c r="CV202" i="3"/>
  <c r="CV194" i="3"/>
  <c r="CV186" i="3"/>
  <c r="CV178" i="3"/>
  <c r="CV170" i="3"/>
  <c r="CV162" i="3"/>
  <c r="CV154" i="3"/>
  <c r="CV146" i="3"/>
  <c r="CV138" i="3"/>
  <c r="CV130" i="3"/>
  <c r="CV122" i="3"/>
  <c r="CV114" i="3"/>
  <c r="CV106" i="3"/>
  <c r="CV98" i="3"/>
  <c r="CV90" i="3"/>
  <c r="CV82" i="3"/>
  <c r="CV74" i="3"/>
  <c r="CV66" i="3"/>
  <c r="CV58" i="3"/>
  <c r="CV50" i="3"/>
  <c r="CV262" i="3"/>
  <c r="CV182" i="3"/>
  <c r="CV118" i="3"/>
  <c r="CV78" i="3"/>
  <c r="CV305" i="3"/>
  <c r="CV297" i="3"/>
  <c r="CV289" i="3"/>
  <c r="CV281" i="3"/>
  <c r="CV273" i="3"/>
  <c r="CV265" i="3"/>
  <c r="CV257" i="3"/>
  <c r="CV249" i="3"/>
  <c r="CV241" i="3"/>
  <c r="CV233" i="3"/>
  <c r="CV225" i="3"/>
  <c r="CV217" i="3"/>
  <c r="CV209" i="3"/>
  <c r="CV201" i="3"/>
  <c r="CV193" i="3"/>
  <c r="CV185" i="3"/>
  <c r="CV177" i="3"/>
  <c r="CV169" i="3"/>
  <c r="CV161" i="3"/>
  <c r="CV153" i="3"/>
  <c r="CV145" i="3"/>
  <c r="CV137" i="3"/>
  <c r="CV129" i="3"/>
  <c r="CV121" i="3"/>
  <c r="CV113" i="3"/>
  <c r="CV105" i="3"/>
  <c r="CV97" i="3"/>
  <c r="CV89" i="3"/>
  <c r="CV81" i="3"/>
  <c r="CV73" i="3"/>
  <c r="CV65" i="3"/>
  <c r="CV57" i="3"/>
  <c r="CV286" i="3"/>
  <c r="CV166" i="3"/>
  <c r="CV86" i="3"/>
  <c r="CV304" i="3"/>
  <c r="CV296" i="3"/>
  <c r="CV288" i="3"/>
  <c r="CV280" i="3"/>
  <c r="CV272" i="3"/>
  <c r="CV264" i="3"/>
  <c r="CV256" i="3"/>
  <c r="CV248" i="3"/>
  <c r="CV240" i="3"/>
  <c r="CV232" i="3"/>
  <c r="CV224" i="3"/>
  <c r="CV216" i="3"/>
  <c r="CV208" i="3"/>
  <c r="CV200" i="3"/>
  <c r="CV192" i="3"/>
  <c r="CV184" i="3"/>
  <c r="CV176" i="3"/>
  <c r="CV168" i="3"/>
  <c r="CV160" i="3"/>
  <c r="CV152" i="3"/>
  <c r="CV144" i="3"/>
  <c r="CV136" i="3"/>
  <c r="CV128" i="3"/>
  <c r="CV120" i="3"/>
  <c r="CV112" i="3"/>
  <c r="CV104" i="3"/>
  <c r="CV96" i="3"/>
  <c r="CV88" i="3"/>
  <c r="CV80" i="3"/>
  <c r="CV72" i="3"/>
  <c r="CV64" i="3"/>
  <c r="CV56" i="3"/>
  <c r="CV294" i="3"/>
  <c r="CV150" i="3"/>
  <c r="CV70" i="3"/>
  <c r="CV303" i="3"/>
  <c r="CV295" i="3"/>
  <c r="CV287" i="3"/>
  <c r="CV279" i="3"/>
  <c r="CV271" i="3"/>
  <c r="CV263" i="3"/>
  <c r="CV255" i="3"/>
  <c r="CV247" i="3"/>
  <c r="CV239" i="3"/>
  <c r="CV231" i="3"/>
  <c r="CV223" i="3"/>
  <c r="CV215" i="3"/>
  <c r="CV207" i="3"/>
  <c r="CV199" i="3"/>
  <c r="CV191" i="3"/>
  <c r="CV183" i="3"/>
  <c r="CV175" i="3"/>
  <c r="CV167" i="3"/>
  <c r="CV159" i="3"/>
  <c r="CV151" i="3"/>
  <c r="CV143" i="3"/>
  <c r="CV135" i="3"/>
  <c r="CV127" i="3"/>
  <c r="CV119" i="3"/>
  <c r="CV111" i="3"/>
  <c r="CV103" i="3"/>
  <c r="CV95" i="3"/>
  <c r="CV87" i="3"/>
  <c r="CV79" i="3"/>
  <c r="CV71" i="3"/>
  <c r="CV63" i="3"/>
  <c r="CV55" i="3"/>
  <c r="CV302" i="3"/>
  <c r="CV134" i="3"/>
  <c r="CV301" i="3"/>
  <c r="CX301" i="3" s="1"/>
  <c r="CV293" i="3"/>
  <c r="CV285" i="3"/>
  <c r="CV277" i="3"/>
  <c r="CV269" i="3"/>
  <c r="CV261" i="3"/>
  <c r="CX261" i="3" s="1"/>
  <c r="CV253" i="3"/>
  <c r="CV245" i="3"/>
  <c r="CV237" i="3"/>
  <c r="CV229" i="3"/>
  <c r="CV221" i="3"/>
  <c r="CV213" i="3"/>
  <c r="CV205" i="3"/>
  <c r="CV197" i="3"/>
  <c r="CV189" i="3"/>
  <c r="CV181" i="3"/>
  <c r="CV173" i="3"/>
  <c r="CV165" i="3"/>
  <c r="CV157" i="3"/>
  <c r="CV149" i="3"/>
  <c r="CV141" i="3"/>
  <c r="CV133" i="3"/>
  <c r="CV125" i="3"/>
  <c r="CV117" i="3"/>
  <c r="CV109" i="3"/>
  <c r="CV101" i="3"/>
  <c r="CV93" i="3"/>
  <c r="CV85" i="3"/>
  <c r="CV77" i="3"/>
  <c r="CV69" i="3"/>
  <c r="CV61" i="3"/>
  <c r="CV53" i="3"/>
  <c r="CV254" i="3"/>
  <c r="CV198" i="3"/>
  <c r="CV142" i="3"/>
  <c r="CV94" i="3"/>
  <c r="DA308" i="3"/>
  <c r="DA300" i="3"/>
  <c r="DA292" i="3"/>
  <c r="DA284" i="3"/>
  <c r="DA276" i="3"/>
  <c r="DA268" i="3"/>
  <c r="DA260" i="3"/>
  <c r="DA252" i="3"/>
  <c r="DA244" i="3"/>
  <c r="DA236" i="3"/>
  <c r="DA228" i="3"/>
  <c r="DA220" i="3"/>
  <c r="DA212" i="3"/>
  <c r="DA204" i="3"/>
  <c r="DA196" i="3"/>
  <c r="DA188" i="3"/>
  <c r="DA180" i="3"/>
  <c r="DA172" i="3"/>
  <c r="DA164" i="3"/>
  <c r="DA156" i="3"/>
  <c r="DA148" i="3"/>
  <c r="DA140" i="3"/>
  <c r="DA132" i="3"/>
  <c r="DA124" i="3"/>
  <c r="DA116" i="3"/>
  <c r="DA108" i="3"/>
  <c r="DA100" i="3"/>
  <c r="DA92" i="3"/>
  <c r="DA84" i="3"/>
  <c r="DA76" i="3"/>
  <c r="DA68" i="3"/>
  <c r="DA60" i="3"/>
  <c r="DA52" i="3"/>
  <c r="DA307" i="3"/>
  <c r="DA299" i="3"/>
  <c r="DA291" i="3"/>
  <c r="DA283" i="3"/>
  <c r="DA275" i="3"/>
  <c r="DA267" i="3"/>
  <c r="DA259" i="3"/>
  <c r="DA251" i="3"/>
  <c r="DA243" i="3"/>
  <c r="DA235" i="3"/>
  <c r="DA227" i="3"/>
  <c r="DA219" i="3"/>
  <c r="DA211" i="3"/>
  <c r="DA203" i="3"/>
  <c r="DA195" i="3"/>
  <c r="DA187" i="3"/>
  <c r="DA179" i="3"/>
  <c r="DA171" i="3"/>
  <c r="DA163" i="3"/>
  <c r="DA155" i="3"/>
  <c r="DA147" i="3"/>
  <c r="DA139" i="3"/>
  <c r="DA131" i="3"/>
  <c r="DA123" i="3"/>
  <c r="DA115" i="3"/>
  <c r="DA107" i="3"/>
  <c r="DA99" i="3"/>
  <c r="DA91" i="3"/>
  <c r="DA83" i="3"/>
  <c r="DA75" i="3"/>
  <c r="DA67" i="3"/>
  <c r="DA59" i="3"/>
  <c r="DA51" i="3"/>
  <c r="DA306" i="3"/>
  <c r="DA298" i="3"/>
  <c r="DA290" i="3"/>
  <c r="DA282" i="3"/>
  <c r="DA274" i="3"/>
  <c r="DA266" i="3"/>
  <c r="DA258" i="3"/>
  <c r="DA250" i="3"/>
  <c r="DA242" i="3"/>
  <c r="DA234" i="3"/>
  <c r="DA226" i="3"/>
  <c r="DA218" i="3"/>
  <c r="DA210" i="3"/>
  <c r="DA202" i="3"/>
  <c r="DA194" i="3"/>
  <c r="DA186" i="3"/>
  <c r="DA178" i="3"/>
  <c r="DA170" i="3"/>
  <c r="DA162" i="3"/>
  <c r="DA154" i="3"/>
  <c r="DA146" i="3"/>
  <c r="DA138" i="3"/>
  <c r="DA130" i="3"/>
  <c r="DA122" i="3"/>
  <c r="DA114" i="3"/>
  <c r="DA106" i="3"/>
  <c r="DA98" i="3"/>
  <c r="DA90" i="3"/>
  <c r="DA82" i="3"/>
  <c r="DA74" i="3"/>
  <c r="DA66" i="3"/>
  <c r="DA58" i="3"/>
  <c r="DA50" i="3"/>
  <c r="DA305" i="3"/>
  <c r="DA304" i="3"/>
  <c r="DA296" i="3"/>
  <c r="DA288" i="3"/>
  <c r="DA280" i="3"/>
  <c r="DA272" i="3"/>
  <c r="DA264" i="3"/>
  <c r="DA256" i="3"/>
  <c r="DA248" i="3"/>
  <c r="DA240" i="3"/>
  <c r="DA232" i="3"/>
  <c r="DA224" i="3"/>
  <c r="DA216" i="3"/>
  <c r="DA208" i="3"/>
  <c r="DA200" i="3"/>
  <c r="DA192" i="3"/>
  <c r="DA184" i="3"/>
  <c r="DA176" i="3"/>
  <c r="DA168" i="3"/>
  <c r="DA160" i="3"/>
  <c r="DA152" i="3"/>
  <c r="DA144" i="3"/>
  <c r="DA136" i="3"/>
  <c r="DA128" i="3"/>
  <c r="DA120" i="3"/>
  <c r="DA112" i="3"/>
  <c r="DA104" i="3"/>
  <c r="DA96" i="3"/>
  <c r="DA88" i="3"/>
  <c r="DA80" i="3"/>
  <c r="DA72" i="3"/>
  <c r="DA64" i="3"/>
  <c r="DA56" i="3"/>
  <c r="DA303" i="3"/>
  <c r="DA295" i="3"/>
  <c r="DA287" i="3"/>
  <c r="DA279" i="3"/>
  <c r="DA271" i="3"/>
  <c r="DA263" i="3"/>
  <c r="DA255" i="3"/>
  <c r="DA247" i="3"/>
  <c r="DA239" i="3"/>
  <c r="DA231" i="3"/>
  <c r="DA223" i="3"/>
  <c r="DA215" i="3"/>
  <c r="DA207" i="3"/>
  <c r="DA199" i="3"/>
  <c r="DA191" i="3"/>
  <c r="DA183" i="3"/>
  <c r="DA175" i="3"/>
  <c r="DA167" i="3"/>
  <c r="DA159" i="3"/>
  <c r="DA151" i="3"/>
  <c r="DA143" i="3"/>
  <c r="DA135" i="3"/>
  <c r="DA127" i="3"/>
  <c r="DA119" i="3"/>
  <c r="DA111" i="3"/>
  <c r="DA103" i="3"/>
  <c r="DA95" i="3"/>
  <c r="DA87" i="3"/>
  <c r="DA79" i="3"/>
  <c r="DA71" i="3"/>
  <c r="DA63" i="3"/>
  <c r="DA55" i="3"/>
  <c r="DA302" i="3"/>
  <c r="DA294" i="3"/>
  <c r="DA286" i="3"/>
  <c r="DA278" i="3"/>
  <c r="DA270" i="3"/>
  <c r="DA262" i="3"/>
  <c r="DA254" i="3"/>
  <c r="DA246" i="3"/>
  <c r="DA238" i="3"/>
  <c r="DA230" i="3"/>
  <c r="DA222" i="3"/>
  <c r="DA214" i="3"/>
  <c r="DA206" i="3"/>
  <c r="DA198" i="3"/>
  <c r="DA190" i="3"/>
  <c r="DA182" i="3"/>
  <c r="DA174" i="3"/>
  <c r="DA166" i="3"/>
  <c r="DA158" i="3"/>
  <c r="DA150" i="3"/>
  <c r="DA142" i="3"/>
  <c r="DA134" i="3"/>
  <c r="DA126" i="3"/>
  <c r="DA118" i="3"/>
  <c r="DA110" i="3"/>
  <c r="DA102" i="3"/>
  <c r="DA94" i="3"/>
  <c r="DA86" i="3"/>
  <c r="DA78" i="3"/>
  <c r="DA70" i="3"/>
  <c r="DA62" i="3"/>
  <c r="DA54" i="3"/>
  <c r="DA301" i="3"/>
  <c r="DA269" i="3"/>
  <c r="DA237" i="3"/>
  <c r="DA205" i="3"/>
  <c r="DA173" i="3"/>
  <c r="DA141" i="3"/>
  <c r="DA109" i="3"/>
  <c r="DA77" i="3"/>
  <c r="DA297" i="3"/>
  <c r="DA265" i="3"/>
  <c r="DA233" i="3"/>
  <c r="DA201" i="3"/>
  <c r="DA169" i="3"/>
  <c r="DA137" i="3"/>
  <c r="DA105" i="3"/>
  <c r="DA73" i="3"/>
  <c r="DA293" i="3"/>
  <c r="DA261" i="3"/>
  <c r="DA229" i="3"/>
  <c r="DA197" i="3"/>
  <c r="DA165" i="3"/>
  <c r="DA133" i="3"/>
  <c r="DA101" i="3"/>
  <c r="DA69" i="3"/>
  <c r="DA289" i="3"/>
  <c r="DA257" i="3"/>
  <c r="DA225" i="3"/>
  <c r="DA193" i="3"/>
  <c r="DA161" i="3"/>
  <c r="DA129" i="3"/>
  <c r="DA97" i="3"/>
  <c r="DA65" i="3"/>
  <c r="DA285" i="3"/>
  <c r="DA253" i="3"/>
  <c r="DA221" i="3"/>
  <c r="DA189" i="3"/>
  <c r="DA157" i="3"/>
  <c r="DA125" i="3"/>
  <c r="DA93" i="3"/>
  <c r="DA61" i="3"/>
  <c r="DA281" i="3"/>
  <c r="DA249" i="3"/>
  <c r="DA217" i="3"/>
  <c r="DA185" i="3"/>
  <c r="DA153" i="3"/>
  <c r="DA121" i="3"/>
  <c r="DA89" i="3"/>
  <c r="DA57" i="3"/>
  <c r="DA277" i="3"/>
  <c r="DA245" i="3"/>
  <c r="DA213" i="3"/>
  <c r="DA181" i="3"/>
  <c r="DA149" i="3"/>
  <c r="DA117" i="3"/>
  <c r="DA85" i="3"/>
  <c r="DA53" i="3"/>
  <c r="DA273" i="3"/>
  <c r="DA241" i="3"/>
  <c r="DA209" i="3"/>
  <c r="DA177" i="3"/>
  <c r="DA145" i="3"/>
  <c r="DA113" i="3"/>
  <c r="DA81" i="3"/>
  <c r="CX308" i="3"/>
  <c r="CX244" i="3"/>
  <c r="CX52" i="3"/>
  <c r="CX236" i="3"/>
  <c r="CX116" i="3"/>
  <c r="EG308" i="3"/>
  <c r="EG307" i="3"/>
  <c r="EG306" i="3"/>
  <c r="EG305" i="3"/>
  <c r="EG304" i="3"/>
  <c r="EG303" i="3"/>
  <c r="EG302" i="3"/>
  <c r="EG301" i="3"/>
  <c r="EG300" i="3"/>
  <c r="EG299" i="3"/>
  <c r="EG298" i="3"/>
  <c r="EG297" i="3"/>
  <c r="EG296" i="3"/>
  <c r="EG295" i="3"/>
  <c r="EG294" i="3"/>
  <c r="EG293" i="3"/>
  <c r="EG292" i="3"/>
  <c r="EG291" i="3"/>
  <c r="EG290" i="3"/>
  <c r="EG289" i="3"/>
  <c r="EG288" i="3"/>
  <c r="EG287" i="3"/>
  <c r="EG286" i="3"/>
  <c r="EG285" i="3"/>
  <c r="EG284" i="3"/>
  <c r="EG283" i="3"/>
  <c r="EG282" i="3"/>
  <c r="EG281" i="3"/>
  <c r="EG280" i="3"/>
  <c r="EG279" i="3"/>
  <c r="EG278" i="3"/>
  <c r="EG277" i="3"/>
  <c r="EG276" i="3"/>
  <c r="EG275" i="3"/>
  <c r="EG274" i="3"/>
  <c r="EG273" i="3"/>
  <c r="EG272" i="3"/>
  <c r="EG271" i="3"/>
  <c r="EG270" i="3"/>
  <c r="EG269" i="3"/>
  <c r="EG268" i="3"/>
  <c r="EG267" i="3"/>
  <c r="EG266" i="3"/>
  <c r="EG265" i="3"/>
  <c r="EG264" i="3"/>
  <c r="EG263" i="3"/>
  <c r="EG262" i="3"/>
  <c r="EG261" i="3"/>
  <c r="EG260" i="3"/>
  <c r="EG259" i="3"/>
  <c r="EG258" i="3"/>
  <c r="EG257" i="3"/>
  <c r="EG256" i="3"/>
  <c r="EG255" i="3"/>
  <c r="EG254" i="3"/>
  <c r="EG253" i="3"/>
  <c r="EG252" i="3"/>
  <c r="EG251" i="3"/>
  <c r="EG250" i="3"/>
  <c r="EG249" i="3"/>
  <c r="EG248" i="3"/>
  <c r="EG247" i="3"/>
  <c r="EG246" i="3"/>
  <c r="EG245" i="3"/>
  <c r="EG244" i="3"/>
  <c r="EG243" i="3"/>
  <c r="EG242" i="3"/>
  <c r="EG241" i="3"/>
  <c r="EG240" i="3"/>
  <c r="EG239" i="3"/>
  <c r="EG238" i="3"/>
  <c r="EG237" i="3"/>
  <c r="EG236" i="3"/>
  <c r="EG235" i="3"/>
  <c r="EG234" i="3"/>
  <c r="EG233" i="3"/>
  <c r="EG232" i="3"/>
  <c r="EG231" i="3"/>
  <c r="EG230" i="3"/>
  <c r="EG229" i="3"/>
  <c r="EG228" i="3"/>
  <c r="EG227" i="3"/>
  <c r="EG226" i="3"/>
  <c r="EG225" i="3"/>
  <c r="EG224" i="3"/>
  <c r="EG223" i="3"/>
  <c r="EG222" i="3"/>
  <c r="EG221" i="3"/>
  <c r="EG220" i="3"/>
  <c r="EG219" i="3"/>
  <c r="EG218" i="3"/>
  <c r="EG217" i="3"/>
  <c r="EG216" i="3"/>
  <c r="EG215" i="3"/>
  <c r="EG214" i="3"/>
  <c r="EG213" i="3"/>
  <c r="EG212" i="3"/>
  <c r="EG211" i="3"/>
  <c r="EG210" i="3"/>
  <c r="EG209" i="3"/>
  <c r="EG208" i="3"/>
  <c r="EG207" i="3"/>
  <c r="EG206" i="3"/>
  <c r="EG205" i="3"/>
  <c r="EG204" i="3"/>
  <c r="EG203" i="3"/>
  <c r="EG202" i="3"/>
  <c r="EG201" i="3"/>
  <c r="EG200" i="3"/>
  <c r="EG199" i="3"/>
  <c r="EG198" i="3"/>
  <c r="EG197" i="3"/>
  <c r="EG196" i="3"/>
  <c r="EG195" i="3"/>
  <c r="EG194" i="3"/>
  <c r="EG193" i="3"/>
  <c r="EG192" i="3"/>
  <c r="EG191" i="3"/>
  <c r="EG190" i="3"/>
  <c r="EG189" i="3"/>
  <c r="EG188" i="3"/>
  <c r="EG187" i="3"/>
  <c r="EG186" i="3"/>
  <c r="EG185" i="3"/>
  <c r="EG184" i="3"/>
  <c r="EG183" i="3"/>
  <c r="EG182" i="3"/>
  <c r="EG181" i="3"/>
  <c r="EG180" i="3"/>
  <c r="EG179" i="3"/>
  <c r="EG178" i="3"/>
  <c r="EG177" i="3"/>
  <c r="EG176" i="3"/>
  <c r="EG175" i="3"/>
  <c r="EG174" i="3"/>
  <c r="EG173" i="3"/>
  <c r="EG172" i="3"/>
  <c r="EG171" i="3"/>
  <c r="EG170" i="3"/>
  <c r="EG169" i="3"/>
  <c r="EG168" i="3"/>
  <c r="EG167" i="3"/>
  <c r="EG166" i="3"/>
  <c r="EG165" i="3"/>
  <c r="EG164" i="3"/>
  <c r="EG163" i="3"/>
  <c r="EG162" i="3"/>
  <c r="EG161" i="3"/>
  <c r="EG160" i="3"/>
  <c r="EG159" i="3"/>
  <c r="EG158" i="3"/>
  <c r="EG157" i="3"/>
  <c r="EG156" i="3"/>
  <c r="EG155" i="3"/>
  <c r="EG154" i="3"/>
  <c r="EG153" i="3"/>
  <c r="EG152" i="3"/>
  <c r="EG151" i="3"/>
  <c r="EG150" i="3"/>
  <c r="EG149" i="3"/>
  <c r="EG148" i="3"/>
  <c r="EG147" i="3"/>
  <c r="EG146" i="3"/>
  <c r="EG145" i="3"/>
  <c r="EG144" i="3"/>
  <c r="EG143" i="3"/>
  <c r="EG142" i="3"/>
  <c r="EG141" i="3"/>
  <c r="EG140" i="3"/>
  <c r="EG139" i="3"/>
  <c r="EG138" i="3"/>
  <c r="EG137" i="3"/>
  <c r="EG136" i="3"/>
  <c r="EG135" i="3"/>
  <c r="EG134" i="3"/>
  <c r="EG133" i="3"/>
  <c r="EG132" i="3"/>
  <c r="EG131" i="3"/>
  <c r="EG130" i="3"/>
  <c r="EG129" i="3"/>
  <c r="EG128" i="3"/>
  <c r="EG127" i="3"/>
  <c r="EG126" i="3"/>
  <c r="EG125" i="3"/>
  <c r="EG124" i="3"/>
  <c r="EG123" i="3"/>
  <c r="EG122" i="3"/>
  <c r="EG121" i="3"/>
  <c r="EG120" i="3"/>
  <c r="EG119" i="3"/>
  <c r="EG118" i="3"/>
  <c r="EG117" i="3"/>
  <c r="EG116" i="3"/>
  <c r="EG115" i="3"/>
  <c r="EG114" i="3"/>
  <c r="EG113" i="3"/>
  <c r="EG112" i="3"/>
  <c r="EG111" i="3"/>
  <c r="EG110" i="3"/>
  <c r="EG109" i="3"/>
  <c r="EG108" i="3"/>
  <c r="EG107" i="3"/>
  <c r="EG106" i="3"/>
  <c r="EG105" i="3"/>
  <c r="EG104" i="3"/>
  <c r="EG103" i="3"/>
  <c r="EG102" i="3"/>
  <c r="EG101" i="3"/>
  <c r="EG100" i="3"/>
  <c r="EG99" i="3"/>
  <c r="EG98" i="3"/>
  <c r="EG97" i="3"/>
  <c r="EG96" i="3"/>
  <c r="EG95" i="3"/>
  <c r="EG94" i="3"/>
  <c r="EG93" i="3"/>
  <c r="EG92" i="3"/>
  <c r="EG91" i="3"/>
  <c r="EG90" i="3"/>
  <c r="EG89" i="3"/>
  <c r="EG88" i="3"/>
  <c r="EG87" i="3"/>
  <c r="EG86" i="3"/>
  <c r="EG85" i="3"/>
  <c r="EG84" i="3"/>
  <c r="EG83" i="3"/>
  <c r="EG82" i="3"/>
  <c r="EG81" i="3"/>
  <c r="EG80" i="3"/>
  <c r="EG79" i="3"/>
  <c r="EG78" i="3"/>
  <c r="EG77" i="3"/>
  <c r="EG76" i="3"/>
  <c r="EG75" i="3"/>
  <c r="EG74" i="3"/>
  <c r="EG73" i="3"/>
  <c r="EG72" i="3"/>
  <c r="EG71" i="3"/>
  <c r="EG70" i="3"/>
  <c r="EG69" i="3"/>
  <c r="EG68" i="3"/>
  <c r="EG67" i="3"/>
  <c r="EG66" i="3"/>
  <c r="EG65" i="3"/>
  <c r="EG64" i="3"/>
  <c r="EG63" i="3"/>
  <c r="EG62" i="3"/>
  <c r="EG61" i="3"/>
  <c r="EG60" i="3"/>
  <c r="EG59" i="3"/>
  <c r="EG58" i="3"/>
  <c r="EG57" i="3"/>
  <c r="EG56" i="3"/>
  <c r="EG55" i="3"/>
  <c r="EG54" i="3"/>
  <c r="EG53" i="3"/>
  <c r="EG52" i="3"/>
  <c r="EG51" i="3"/>
  <c r="EG50" i="3"/>
  <c r="DN207" i="3"/>
  <c r="DN206" i="3"/>
  <c r="DN200" i="3"/>
  <c r="CX190" i="3" l="1"/>
  <c r="CX255" i="3"/>
  <c r="CX256" i="3"/>
  <c r="CX241" i="3"/>
  <c r="CX130" i="3"/>
  <c r="CX139" i="3"/>
  <c r="CX165" i="3"/>
  <c r="CX54" i="3"/>
  <c r="CX118" i="3"/>
  <c r="CX182" i="3"/>
  <c r="CX246" i="3"/>
  <c r="CX55" i="3"/>
  <c r="CX119" i="3"/>
  <c r="CX183" i="3"/>
  <c r="CX247" i="3"/>
  <c r="CX69" i="3"/>
  <c r="CX56" i="3"/>
  <c r="CX120" i="3"/>
  <c r="CX184" i="3"/>
  <c r="CX248" i="3"/>
  <c r="CX105" i="3"/>
  <c r="CX169" i="3"/>
  <c r="CX233" i="3"/>
  <c r="CX297" i="3"/>
  <c r="CX221" i="3"/>
  <c r="CX58" i="3"/>
  <c r="CX122" i="3"/>
  <c r="CX186" i="3"/>
  <c r="CX250" i="3"/>
  <c r="CX237" i="3"/>
  <c r="CX67" i="3"/>
  <c r="CX131" i="3"/>
  <c r="CX195" i="3"/>
  <c r="CX259" i="3"/>
  <c r="CX85" i="3"/>
  <c r="CX60" i="3"/>
  <c r="CX124" i="3"/>
  <c r="CX188" i="3"/>
  <c r="CX252" i="3"/>
  <c r="CX133" i="3"/>
  <c r="CX127" i="3"/>
  <c r="CX77" i="3"/>
  <c r="CX194" i="3"/>
  <c r="CX260" i="3"/>
  <c r="CX70" i="3"/>
  <c r="CX134" i="3"/>
  <c r="CX198" i="3"/>
  <c r="CX262" i="3"/>
  <c r="CX293" i="3"/>
  <c r="CX71" i="3"/>
  <c r="CX135" i="3"/>
  <c r="CX199" i="3"/>
  <c r="CX263" i="3"/>
  <c r="CX285" i="3"/>
  <c r="CX72" i="3"/>
  <c r="CX136" i="3"/>
  <c r="CX200" i="3"/>
  <c r="CX264" i="3"/>
  <c r="CX109" i="3"/>
  <c r="CX57" i="3"/>
  <c r="CX121" i="3"/>
  <c r="CX185" i="3"/>
  <c r="CX249" i="3"/>
  <c r="CX53" i="3"/>
  <c r="CX269" i="3"/>
  <c r="CX74" i="3"/>
  <c r="CX138" i="3"/>
  <c r="CX202" i="3"/>
  <c r="CX266" i="3"/>
  <c r="CX101" i="3"/>
  <c r="CX83" i="3"/>
  <c r="CX147" i="3"/>
  <c r="CX211" i="3"/>
  <c r="CX275" i="3"/>
  <c r="CX277" i="3"/>
  <c r="CX76" i="3"/>
  <c r="CX140" i="3"/>
  <c r="CX204" i="3"/>
  <c r="CX268" i="3"/>
  <c r="CX141" i="3"/>
  <c r="CX128" i="3"/>
  <c r="CX66" i="3"/>
  <c r="CX196" i="3"/>
  <c r="CX78" i="3"/>
  <c r="CX142" i="3"/>
  <c r="CX206" i="3"/>
  <c r="CX270" i="3"/>
  <c r="CX79" i="3"/>
  <c r="CX143" i="3"/>
  <c r="CX207" i="3"/>
  <c r="CX271" i="3"/>
  <c r="CX80" i="3"/>
  <c r="CX144" i="3"/>
  <c r="CX208" i="3"/>
  <c r="CX272" i="3"/>
  <c r="CX181" i="3"/>
  <c r="CX65" i="3"/>
  <c r="CX129" i="3"/>
  <c r="CX193" i="3"/>
  <c r="CX257" i="3"/>
  <c r="CX93" i="3"/>
  <c r="CX82" i="3"/>
  <c r="CX146" i="3"/>
  <c r="CX210" i="3"/>
  <c r="CX274" i="3"/>
  <c r="CX125" i="3"/>
  <c r="CX91" i="3"/>
  <c r="CX155" i="3"/>
  <c r="CX219" i="3"/>
  <c r="CX283" i="3"/>
  <c r="CX84" i="3"/>
  <c r="CX148" i="3"/>
  <c r="CX212" i="3"/>
  <c r="CX276" i="3"/>
  <c r="CX254" i="3"/>
  <c r="CX64" i="3"/>
  <c r="CX113" i="3"/>
  <c r="CX245" i="3"/>
  <c r="CX75" i="3"/>
  <c r="CX68" i="3"/>
  <c r="CX86" i="3"/>
  <c r="CX150" i="3"/>
  <c r="CX214" i="3"/>
  <c r="CX278" i="3"/>
  <c r="CX87" i="3"/>
  <c r="CX151" i="3"/>
  <c r="CX215" i="3"/>
  <c r="CX279" i="3"/>
  <c r="CX88" i="3"/>
  <c r="CX152" i="3"/>
  <c r="CX216" i="3"/>
  <c r="CX280" i="3"/>
  <c r="CX253" i="3"/>
  <c r="CX73" i="3"/>
  <c r="CX137" i="3"/>
  <c r="CX201" i="3"/>
  <c r="CX265" i="3"/>
  <c r="CX117" i="3"/>
  <c r="CX90" i="3"/>
  <c r="CX154" i="3"/>
  <c r="CX218" i="3"/>
  <c r="CX282" i="3"/>
  <c r="CX173" i="3"/>
  <c r="CX99" i="3"/>
  <c r="CX163" i="3"/>
  <c r="CX227" i="3"/>
  <c r="CX291" i="3"/>
  <c r="CX92" i="3"/>
  <c r="CX156" i="3"/>
  <c r="CX220" i="3"/>
  <c r="CX284" i="3"/>
  <c r="CX126" i="3"/>
  <c r="CX191" i="3"/>
  <c r="CX258" i="3"/>
  <c r="CX132" i="3"/>
  <c r="CX94" i="3"/>
  <c r="CX158" i="3"/>
  <c r="CX222" i="3"/>
  <c r="CX286" i="3"/>
  <c r="CX95" i="3"/>
  <c r="CX159" i="3"/>
  <c r="CX223" i="3"/>
  <c r="CX287" i="3"/>
  <c r="CX96" i="3"/>
  <c r="CX160" i="3"/>
  <c r="CX224" i="3"/>
  <c r="CX288" i="3"/>
  <c r="CX81" i="3"/>
  <c r="CX145" i="3"/>
  <c r="CX209" i="3"/>
  <c r="CX273" i="3"/>
  <c r="CX157" i="3"/>
  <c r="CX98" i="3"/>
  <c r="CX162" i="3"/>
  <c r="CX226" i="3"/>
  <c r="CX290" i="3"/>
  <c r="CX197" i="3"/>
  <c r="CX107" i="3"/>
  <c r="CX171" i="3"/>
  <c r="CX235" i="3"/>
  <c r="CX299" i="3"/>
  <c r="CX100" i="3"/>
  <c r="CX164" i="3"/>
  <c r="CX228" i="3"/>
  <c r="CX292" i="3"/>
  <c r="CX62" i="3"/>
  <c r="CX149" i="3"/>
  <c r="CX177" i="3"/>
  <c r="CX267" i="3"/>
  <c r="CX102" i="3"/>
  <c r="CX166" i="3"/>
  <c r="CX230" i="3"/>
  <c r="CX294" i="3"/>
  <c r="CX103" i="3"/>
  <c r="CX167" i="3"/>
  <c r="CX231" i="3"/>
  <c r="CX295" i="3"/>
  <c r="CX104" i="3"/>
  <c r="CX168" i="3"/>
  <c r="CX232" i="3"/>
  <c r="CX296" i="3"/>
  <c r="CX89" i="3"/>
  <c r="CX153" i="3"/>
  <c r="CX217" i="3"/>
  <c r="CX281" i="3"/>
  <c r="CX189" i="3"/>
  <c r="CX106" i="3"/>
  <c r="CX170" i="3"/>
  <c r="CX234" i="3"/>
  <c r="CX298" i="3"/>
  <c r="CX213" i="3"/>
  <c r="CX51" i="3"/>
  <c r="CX115" i="3"/>
  <c r="CX179" i="3"/>
  <c r="CX243" i="3"/>
  <c r="CX307" i="3"/>
  <c r="CX63" i="3"/>
  <c r="CX192" i="3"/>
  <c r="CX305" i="3"/>
  <c r="CX61" i="3"/>
  <c r="CX203" i="3"/>
  <c r="CX110" i="3"/>
  <c r="CX174" i="3"/>
  <c r="CX238" i="3"/>
  <c r="CX302" i="3"/>
  <c r="CX111" i="3"/>
  <c r="CX175" i="3"/>
  <c r="CX239" i="3"/>
  <c r="CX303" i="3"/>
  <c r="CX112" i="3"/>
  <c r="CX176" i="3"/>
  <c r="CX240" i="3"/>
  <c r="CX304" i="3"/>
  <c r="CX97" i="3"/>
  <c r="CX161" i="3"/>
  <c r="CX225" i="3"/>
  <c r="CX289" i="3"/>
  <c r="CX205" i="3"/>
  <c r="CX50" i="3"/>
  <c r="CX114" i="3"/>
  <c r="CX178" i="3"/>
  <c r="CX242" i="3"/>
  <c r="CX306" i="3"/>
  <c r="CX229" i="3"/>
  <c r="CX59" i="3"/>
  <c r="CX123" i="3"/>
  <c r="CX187" i="3"/>
  <c r="CX251" i="3"/>
  <c r="CX180" i="3"/>
  <c r="K311" i="13"/>
  <c r="K310" i="13"/>
  <c r="K309" i="13"/>
  <c r="K308" i="13"/>
  <c r="K307" i="13"/>
  <c r="K306" i="13"/>
  <c r="K305" i="13"/>
  <c r="K304" i="13"/>
  <c r="K303" i="13"/>
  <c r="K302" i="13"/>
  <c r="K301" i="13"/>
  <c r="K300" i="13"/>
  <c r="K299" i="13"/>
  <c r="K298" i="13"/>
  <c r="K297" i="13"/>
  <c r="K296" i="13"/>
  <c r="K295" i="13"/>
  <c r="K294" i="13"/>
  <c r="K293" i="13"/>
  <c r="K292" i="13"/>
  <c r="K291" i="13"/>
  <c r="K290" i="13"/>
  <c r="K289" i="13"/>
  <c r="K288" i="13"/>
  <c r="K287" i="13"/>
  <c r="K286" i="13"/>
  <c r="K285" i="13"/>
  <c r="K284" i="13"/>
  <c r="K283" i="13"/>
  <c r="K282" i="13"/>
  <c r="K281" i="13"/>
  <c r="K280" i="13"/>
  <c r="K279" i="13"/>
  <c r="K278" i="13"/>
  <c r="K277" i="13"/>
  <c r="K276" i="13"/>
  <c r="K275" i="13"/>
  <c r="K274" i="13"/>
  <c r="K273" i="13"/>
  <c r="K272" i="13"/>
  <c r="K271" i="13"/>
  <c r="K270" i="13"/>
  <c r="K269" i="13"/>
  <c r="K268" i="13"/>
  <c r="K267" i="13"/>
  <c r="K266" i="13"/>
  <c r="K265" i="13"/>
  <c r="K264" i="13"/>
  <c r="K263" i="13"/>
  <c r="K262" i="13"/>
  <c r="K261" i="13"/>
  <c r="K260" i="13"/>
  <c r="K259" i="13"/>
  <c r="K258" i="13"/>
  <c r="K257" i="13"/>
  <c r="K256" i="13"/>
  <c r="K255" i="13"/>
  <c r="K254" i="13"/>
  <c r="K253" i="13"/>
  <c r="K252" i="13"/>
  <c r="K251" i="13"/>
  <c r="K250" i="13"/>
  <c r="K249" i="13"/>
  <c r="K248" i="13"/>
  <c r="K247" i="13"/>
  <c r="K246" i="13"/>
  <c r="K245" i="13"/>
  <c r="K244" i="13"/>
  <c r="K243" i="13"/>
  <c r="K242" i="13"/>
  <c r="K241" i="13"/>
  <c r="K240" i="13"/>
  <c r="K239" i="13"/>
  <c r="K238" i="13"/>
  <c r="K237" i="13"/>
  <c r="K236" i="13"/>
  <c r="K235" i="13"/>
  <c r="K234" i="13"/>
  <c r="K233" i="13"/>
  <c r="K232" i="13"/>
  <c r="K231" i="13"/>
  <c r="K230" i="13"/>
  <c r="K229" i="13"/>
  <c r="K228" i="13"/>
  <c r="K227" i="13"/>
  <c r="K226" i="13"/>
  <c r="K225" i="13"/>
  <c r="K224" i="13"/>
  <c r="K223" i="13"/>
  <c r="K222" i="13"/>
  <c r="K221" i="13"/>
  <c r="K220" i="13"/>
  <c r="K219" i="13"/>
  <c r="K218" i="13"/>
  <c r="K217" i="13"/>
  <c r="K216" i="13"/>
  <c r="K215" i="13"/>
  <c r="K214" i="13"/>
  <c r="K213" i="13"/>
  <c r="K212" i="13"/>
  <c r="K211" i="13"/>
  <c r="K210" i="13"/>
  <c r="K209" i="13"/>
  <c r="K208" i="13"/>
  <c r="K207" i="13"/>
  <c r="K206" i="13"/>
  <c r="K205" i="13"/>
  <c r="AY12" i="22" l="1"/>
  <c r="AY15" i="22"/>
  <c r="AY11" i="22"/>
  <c r="M20" i="22"/>
  <c r="P20" i="22" s="1"/>
  <c r="M18" i="22"/>
  <c r="T18" i="22" s="1"/>
  <c r="T37" i="22"/>
  <c r="S37" i="22"/>
  <c r="R37" i="22"/>
  <c r="Q37" i="22"/>
  <c r="T36" i="22"/>
  <c r="S36" i="22"/>
  <c r="R36" i="22"/>
  <c r="Q36" i="22"/>
  <c r="T35" i="22"/>
  <c r="S35" i="22"/>
  <c r="R35" i="22"/>
  <c r="Q35" i="22"/>
  <c r="T34" i="22"/>
  <c r="S34" i="22"/>
  <c r="R34" i="22"/>
  <c r="Q34" i="22"/>
  <c r="T33" i="22"/>
  <c r="S33" i="22"/>
  <c r="R33" i="22"/>
  <c r="Q33" i="22"/>
  <c r="T32" i="22"/>
  <c r="S32" i="22"/>
  <c r="R32" i="22"/>
  <c r="Q32" i="22"/>
  <c r="T31" i="22"/>
  <c r="S31" i="22"/>
  <c r="R31" i="22"/>
  <c r="Q31" i="22"/>
  <c r="T30" i="22"/>
  <c r="S30" i="22"/>
  <c r="R30" i="22"/>
  <c r="Q30" i="22"/>
  <c r="T29" i="22"/>
  <c r="S29" i="22"/>
  <c r="R29" i="22"/>
  <c r="Q29" i="22"/>
  <c r="T28" i="22"/>
  <c r="S28" i="22"/>
  <c r="R28" i="22"/>
  <c r="Q28" i="22"/>
  <c r="T27" i="22"/>
  <c r="S27" i="22"/>
  <c r="R27" i="22"/>
  <c r="Q27" i="22"/>
  <c r="T26" i="22"/>
  <c r="S26" i="22"/>
  <c r="R26" i="22"/>
  <c r="Q26" i="22"/>
  <c r="T25" i="22"/>
  <c r="S25" i="22"/>
  <c r="R25" i="22"/>
  <c r="Q25" i="22"/>
  <c r="T24" i="22"/>
  <c r="S24" i="22"/>
  <c r="R24" i="22"/>
  <c r="Q24" i="22"/>
  <c r="T23" i="22"/>
  <c r="S23" i="22"/>
  <c r="R23" i="22"/>
  <c r="Q23" i="22"/>
  <c r="T22" i="22"/>
  <c r="S22" i="22"/>
  <c r="R22" i="22"/>
  <c r="Q22" i="22"/>
  <c r="T21" i="22"/>
  <c r="S21" i="22"/>
  <c r="R21" i="22"/>
  <c r="Q21" i="22"/>
  <c r="T20" i="22"/>
  <c r="S20" i="22"/>
  <c r="R20" i="22"/>
  <c r="Q20" i="22"/>
  <c r="M42" i="22"/>
  <c r="M43" i="22" s="1"/>
  <c r="M44" i="22" s="1"/>
  <c r="M45" i="22" s="1"/>
  <c r="M46" i="22" s="1"/>
  <c r="M47" i="22" s="1"/>
  <c r="M48" i="22" s="1"/>
  <c r="M49" i="22" s="1"/>
  <c r="M50" i="22" s="1"/>
  <c r="M51" i="22" s="1"/>
  <c r="M52" i="22" s="1"/>
  <c r="M53" i="22" s="1"/>
  <c r="M54" i="22" s="1"/>
  <c r="M55" i="22" s="1"/>
  <c r="M56" i="22" s="1"/>
  <c r="M57" i="22" s="1"/>
  <c r="M58" i="22" s="1"/>
  <c r="M59" i="22" s="1"/>
  <c r="M60" i="22" s="1"/>
  <c r="M61" i="22" s="1"/>
  <c r="M62" i="22" s="1"/>
  <c r="M63" i="22" s="1"/>
  <c r="M64" i="22" s="1"/>
  <c r="M38" i="22"/>
  <c r="M37" i="22"/>
  <c r="P37" i="22" s="1"/>
  <c r="M36" i="22"/>
  <c r="P36" i="22" s="1"/>
  <c r="M35" i="22"/>
  <c r="P35" i="22" s="1"/>
  <c r="M34" i="22"/>
  <c r="P34" i="22" s="1"/>
  <c r="M33" i="22"/>
  <c r="P33" i="22" s="1"/>
  <c r="M32" i="22"/>
  <c r="P32" i="22" s="1"/>
  <c r="M31" i="22"/>
  <c r="P31" i="22" s="1"/>
  <c r="M30" i="22"/>
  <c r="P30" i="22" s="1"/>
  <c r="M29" i="22"/>
  <c r="P29" i="22" s="1"/>
  <c r="M28" i="22"/>
  <c r="P28" i="22" s="1"/>
  <c r="M27" i="22"/>
  <c r="P27" i="22" s="1"/>
  <c r="M26" i="22"/>
  <c r="P26" i="22" s="1"/>
  <c r="M25" i="22"/>
  <c r="P25" i="22" s="1"/>
  <c r="M24" i="22"/>
  <c r="P24" i="22" s="1"/>
  <c r="M23" i="22"/>
  <c r="P23" i="22" s="1"/>
  <c r="P22" i="22"/>
  <c r="M21" i="22"/>
  <c r="P21" i="22" s="1"/>
  <c r="L19" i="22"/>
  <c r="M19" i="22" s="1"/>
  <c r="R18" i="22" l="1"/>
  <c r="S18" i="22"/>
  <c r="P18" i="22"/>
  <c r="Q19" i="22"/>
  <c r="P19" i="22"/>
  <c r="T19" i="22"/>
  <c r="S19" i="22"/>
  <c r="R19" i="22"/>
  <c r="Q18" i="22"/>
  <c r="CH308" i="3" l="1"/>
  <c r="CH307" i="3"/>
  <c r="CH306" i="3"/>
  <c r="CH305" i="3"/>
  <c r="CH304" i="3"/>
  <c r="CH303" i="3"/>
  <c r="CH302" i="3"/>
  <c r="CH301" i="3"/>
  <c r="CH300" i="3"/>
  <c r="CH299" i="3"/>
  <c r="CH298" i="3"/>
  <c r="CH297" i="3"/>
  <c r="CH296" i="3"/>
  <c r="CH295" i="3"/>
  <c r="CH294" i="3"/>
  <c r="CH293" i="3"/>
  <c r="CH292" i="3"/>
  <c r="CH291" i="3"/>
  <c r="CH290" i="3"/>
  <c r="CH289" i="3"/>
  <c r="CH288" i="3"/>
  <c r="CH287" i="3"/>
  <c r="CH286" i="3"/>
  <c r="CH285" i="3"/>
  <c r="CH284" i="3"/>
  <c r="CH283" i="3"/>
  <c r="CH282" i="3"/>
  <c r="CH281" i="3"/>
  <c r="CH280" i="3"/>
  <c r="CH279" i="3"/>
  <c r="CH278" i="3"/>
  <c r="CH277" i="3"/>
  <c r="CH276" i="3"/>
  <c r="CH275" i="3"/>
  <c r="CH274" i="3"/>
  <c r="CH273" i="3"/>
  <c r="CH272" i="3"/>
  <c r="CH271" i="3"/>
  <c r="CH270" i="3"/>
  <c r="CH269" i="3"/>
  <c r="CH268" i="3"/>
  <c r="CH267" i="3"/>
  <c r="CH266" i="3"/>
  <c r="CH265" i="3"/>
  <c r="CH264" i="3"/>
  <c r="CH263" i="3"/>
  <c r="CH262" i="3"/>
  <c r="CH261" i="3"/>
  <c r="CH260" i="3"/>
  <c r="CH259" i="3"/>
  <c r="CH258" i="3"/>
  <c r="CH257" i="3"/>
  <c r="CH256" i="3"/>
  <c r="CH255" i="3"/>
  <c r="CH254" i="3"/>
  <c r="CH253" i="3"/>
  <c r="CH252" i="3"/>
  <c r="CH251" i="3"/>
  <c r="CH250" i="3"/>
  <c r="CH249" i="3"/>
  <c r="CH248" i="3"/>
  <c r="CH247" i="3"/>
  <c r="CH246" i="3"/>
  <c r="CH245" i="3"/>
  <c r="CH244" i="3"/>
  <c r="CH243" i="3"/>
  <c r="CH242" i="3"/>
  <c r="CH241" i="3"/>
  <c r="CH240" i="3"/>
  <c r="CH239" i="3"/>
  <c r="CH238" i="3"/>
  <c r="CH237" i="3"/>
  <c r="CH236" i="3"/>
  <c r="CH235" i="3"/>
  <c r="CH234" i="3"/>
  <c r="CH233" i="3"/>
  <c r="CH232" i="3"/>
  <c r="CH231" i="3"/>
  <c r="CH230" i="3"/>
  <c r="CH229" i="3"/>
  <c r="CH228" i="3"/>
  <c r="CH227" i="3"/>
  <c r="CH226" i="3"/>
  <c r="CH225" i="3"/>
  <c r="CH224" i="3"/>
  <c r="CH223" i="3"/>
  <c r="CH222" i="3"/>
  <c r="CH221" i="3"/>
  <c r="CH220" i="3"/>
  <c r="CH219" i="3"/>
  <c r="CH218" i="3"/>
  <c r="CH217" i="3"/>
  <c r="CH216" i="3"/>
  <c r="CH215" i="3"/>
  <c r="CH214" i="3"/>
  <c r="CH213" i="3"/>
  <c r="CH212" i="3"/>
  <c r="CH211" i="3"/>
  <c r="CH210" i="3"/>
  <c r="CH209" i="3"/>
  <c r="CH208" i="3"/>
  <c r="CH207" i="3"/>
  <c r="CH206" i="3"/>
  <c r="CH205" i="3"/>
  <c r="CH204" i="3"/>
  <c r="CH203" i="3"/>
  <c r="CH202" i="3"/>
  <c r="CH201" i="3"/>
  <c r="CH200" i="3"/>
  <c r="CH199" i="3"/>
  <c r="CH198" i="3"/>
  <c r="CH197" i="3"/>
  <c r="CH196" i="3"/>
  <c r="CH195" i="3"/>
  <c r="CH194" i="3"/>
  <c r="CH193" i="3"/>
  <c r="CH192" i="3"/>
  <c r="CH191" i="3"/>
  <c r="CH190" i="3"/>
  <c r="CH189" i="3"/>
  <c r="CH188" i="3"/>
  <c r="CH187" i="3"/>
  <c r="CH186" i="3"/>
  <c r="CH185" i="3"/>
  <c r="CH184" i="3"/>
  <c r="CH183" i="3"/>
  <c r="CH182" i="3"/>
  <c r="CH181" i="3"/>
  <c r="CH180" i="3"/>
  <c r="CH179" i="3"/>
  <c r="CH178" i="3"/>
  <c r="CH177" i="3"/>
  <c r="CH176" i="3"/>
  <c r="CH175" i="3"/>
  <c r="CH174" i="3"/>
  <c r="CH173" i="3"/>
  <c r="CH172" i="3"/>
  <c r="CH171" i="3"/>
  <c r="CH170" i="3"/>
  <c r="CH169" i="3"/>
  <c r="CH168" i="3"/>
  <c r="CH167" i="3"/>
  <c r="CH166" i="3"/>
  <c r="CH165" i="3"/>
  <c r="CH164" i="3"/>
  <c r="CH163" i="3"/>
  <c r="CH162" i="3"/>
  <c r="CH161" i="3"/>
  <c r="CH160" i="3"/>
  <c r="CH159" i="3"/>
  <c r="CH158" i="3"/>
  <c r="CH157" i="3"/>
  <c r="CH156" i="3"/>
  <c r="CH155" i="3"/>
  <c r="CH154" i="3"/>
  <c r="CH153" i="3"/>
  <c r="CH152" i="3"/>
  <c r="CH151" i="3"/>
  <c r="CH150" i="3"/>
  <c r="CH149" i="3"/>
  <c r="CH148" i="3"/>
  <c r="CH147" i="3"/>
  <c r="CH146" i="3"/>
  <c r="CH145" i="3"/>
  <c r="CH144" i="3"/>
  <c r="CH143" i="3"/>
  <c r="CH142" i="3"/>
  <c r="CH141" i="3"/>
  <c r="CH140" i="3"/>
  <c r="CH139" i="3"/>
  <c r="CH138" i="3"/>
  <c r="CH137" i="3"/>
  <c r="CH136" i="3"/>
  <c r="CH135" i="3"/>
  <c r="CH134" i="3"/>
  <c r="CH133" i="3"/>
  <c r="CH132" i="3"/>
  <c r="CH131" i="3"/>
  <c r="CH130" i="3"/>
  <c r="CH129" i="3"/>
  <c r="CH128" i="3"/>
  <c r="CH127" i="3"/>
  <c r="CH126" i="3"/>
  <c r="CH125" i="3"/>
  <c r="CH124" i="3"/>
  <c r="CH123" i="3"/>
  <c r="CH122" i="3"/>
  <c r="CH121" i="3"/>
  <c r="CH120" i="3"/>
  <c r="CH119" i="3"/>
  <c r="CH118" i="3"/>
  <c r="CH117" i="3"/>
  <c r="CH116" i="3"/>
  <c r="CH115" i="3"/>
  <c r="CH114" i="3"/>
  <c r="CH113" i="3"/>
  <c r="CH112" i="3"/>
  <c r="CH111" i="3"/>
  <c r="CH110" i="3"/>
  <c r="CH109" i="3"/>
  <c r="CH108" i="3"/>
  <c r="CH107" i="3"/>
  <c r="CH106" i="3"/>
  <c r="CH105" i="3"/>
  <c r="CH104" i="3"/>
  <c r="CH103" i="3"/>
  <c r="CH102" i="3"/>
  <c r="CH101" i="3"/>
  <c r="CH100" i="3"/>
  <c r="CH99" i="3"/>
  <c r="CH98" i="3"/>
  <c r="CH97" i="3"/>
  <c r="CH96" i="3"/>
  <c r="CH95" i="3"/>
  <c r="CH94" i="3"/>
  <c r="CH93" i="3"/>
  <c r="CH92" i="3"/>
  <c r="CH91" i="3"/>
  <c r="CH90" i="3"/>
  <c r="CH89" i="3"/>
  <c r="CH88" i="3"/>
  <c r="CH87" i="3"/>
  <c r="CH86" i="3"/>
  <c r="CH85" i="3"/>
  <c r="CH84" i="3"/>
  <c r="CH83" i="3"/>
  <c r="CH82" i="3"/>
  <c r="CH81" i="3"/>
  <c r="CH80" i="3"/>
  <c r="CH79" i="3"/>
  <c r="CH78" i="3"/>
  <c r="CH77" i="3"/>
  <c r="CH76" i="3"/>
  <c r="CH75" i="3"/>
  <c r="CH74" i="3"/>
  <c r="CH73" i="3"/>
  <c r="CH72" i="3"/>
  <c r="CH71" i="3"/>
  <c r="CH70" i="3"/>
  <c r="CH69" i="3"/>
  <c r="CH68" i="3"/>
  <c r="CH67" i="3"/>
  <c r="CH66" i="3"/>
  <c r="CH65" i="3"/>
  <c r="CH64" i="3"/>
  <c r="CH63" i="3"/>
  <c r="CH62" i="3"/>
  <c r="CH61" i="3"/>
  <c r="CH60" i="3"/>
  <c r="CH59" i="3"/>
  <c r="CH58" i="3"/>
  <c r="CH57" i="3"/>
  <c r="CH56" i="3"/>
  <c r="CH55" i="3"/>
  <c r="CH54" i="3"/>
  <c r="CH53" i="3"/>
  <c r="CH52" i="3"/>
  <c r="CH51" i="3"/>
  <c r="CH50" i="3"/>
  <c r="CH49" i="3"/>
  <c r="CH48" i="3"/>
  <c r="CH47" i="3"/>
  <c r="CH46" i="3"/>
  <c r="CH45" i="3"/>
  <c r="CH44" i="3"/>
  <c r="CH43" i="3"/>
  <c r="CH42" i="3"/>
  <c r="CH41" i="3"/>
  <c r="CH40" i="3"/>
  <c r="CH39" i="3"/>
  <c r="CH38" i="3"/>
  <c r="CH37" i="3"/>
  <c r="CH36" i="3"/>
  <c r="CH35" i="3"/>
  <c r="CH34" i="3"/>
  <c r="CH33" i="3"/>
  <c r="CH32" i="3"/>
  <c r="CH31" i="3"/>
  <c r="CH30" i="3"/>
  <c r="CH29" i="3"/>
  <c r="CH28" i="3"/>
  <c r="CH27" i="3"/>
  <c r="CH26" i="3"/>
  <c r="CH25" i="3"/>
  <c r="CH24" i="3"/>
  <c r="CH23" i="3"/>
  <c r="CH22" i="3"/>
  <c r="CH21" i="3"/>
  <c r="CH20" i="3"/>
  <c r="CH19" i="3"/>
  <c r="CH18" i="3"/>
  <c r="CH17" i="3"/>
  <c r="CH16" i="3"/>
  <c r="CH15" i="3"/>
  <c r="CH14" i="3"/>
  <c r="CH13" i="3"/>
  <c r="CH12" i="3"/>
  <c r="CH11" i="3"/>
  <c r="CH10" i="3"/>
  <c r="CH9" i="3"/>
  <c r="BE308" i="3" l="1" a="1"/>
  <c r="BE308" i="3" s="1"/>
  <c r="BE307" i="3" a="1"/>
  <c r="BE307" i="3" s="1"/>
  <c r="BE306" i="3" a="1"/>
  <c r="BE306" i="3" s="1"/>
  <c r="BE305" i="3" a="1"/>
  <c r="BE305" i="3" s="1"/>
  <c r="BE304" i="3" a="1"/>
  <c r="BE304" i="3" s="1"/>
  <c r="BE303" i="3" a="1"/>
  <c r="BE303" i="3" s="1"/>
  <c r="BE302" i="3" a="1"/>
  <c r="BE302" i="3" s="1"/>
  <c r="BE301" i="3" a="1"/>
  <c r="BE301" i="3" s="1"/>
  <c r="BE300" i="3" a="1"/>
  <c r="BE300" i="3" s="1"/>
  <c r="BE299" i="3" a="1"/>
  <c r="BE299" i="3" s="1"/>
  <c r="BE298" i="3" a="1"/>
  <c r="BE298" i="3" s="1"/>
  <c r="BE297" i="3" a="1"/>
  <c r="BE297" i="3" s="1"/>
  <c r="BE296" i="3" a="1"/>
  <c r="BE296" i="3" s="1"/>
  <c r="BE295" i="3" a="1"/>
  <c r="BE295" i="3" s="1"/>
  <c r="BE294" i="3" a="1"/>
  <c r="BE294" i="3" s="1"/>
  <c r="BE293" i="3" a="1"/>
  <c r="BE293" i="3" s="1"/>
  <c r="BE292" i="3" a="1"/>
  <c r="BE292" i="3" s="1"/>
  <c r="BE291" i="3" a="1"/>
  <c r="BE291" i="3" s="1"/>
  <c r="BE290" i="3" a="1"/>
  <c r="BE290" i="3" s="1"/>
  <c r="BE289" i="3" a="1"/>
  <c r="BE289" i="3" s="1"/>
  <c r="BE288" i="3" a="1"/>
  <c r="BE288" i="3" s="1"/>
  <c r="BE287" i="3" a="1"/>
  <c r="BE287" i="3" s="1"/>
  <c r="BE286" i="3" a="1"/>
  <c r="BE286" i="3" s="1"/>
  <c r="BE285" i="3" a="1"/>
  <c r="BE285" i="3" s="1"/>
  <c r="BE284" i="3" a="1"/>
  <c r="BE284" i="3" s="1"/>
  <c r="BE283" i="3" a="1"/>
  <c r="BE283" i="3" s="1"/>
  <c r="BE282" i="3" a="1"/>
  <c r="BE282" i="3" s="1"/>
  <c r="BE281" i="3" a="1"/>
  <c r="BE281" i="3" s="1"/>
  <c r="BE280" i="3" a="1"/>
  <c r="BE280" i="3" s="1"/>
  <c r="BE279" i="3" a="1"/>
  <c r="BE279" i="3" s="1"/>
  <c r="BE278" i="3" a="1"/>
  <c r="BE278" i="3" s="1"/>
  <c r="BE277" i="3" a="1"/>
  <c r="BE277" i="3" s="1"/>
  <c r="BE276" i="3" a="1"/>
  <c r="BE276" i="3" s="1"/>
  <c r="BE275" i="3" a="1"/>
  <c r="BE275" i="3" s="1"/>
  <c r="BE274" i="3" a="1"/>
  <c r="BE274" i="3" s="1"/>
  <c r="BE273" i="3" a="1"/>
  <c r="BE273" i="3" s="1"/>
  <c r="BE272" i="3" a="1"/>
  <c r="BE272" i="3" s="1"/>
  <c r="BE271" i="3" a="1"/>
  <c r="BE271" i="3" s="1"/>
  <c r="BE270" i="3" a="1"/>
  <c r="BE270" i="3" s="1"/>
  <c r="BE269" i="3" a="1"/>
  <c r="BE269" i="3" s="1"/>
  <c r="BE268" i="3" a="1"/>
  <c r="BE268" i="3" s="1"/>
  <c r="BE267" i="3" a="1"/>
  <c r="BE267" i="3" s="1"/>
  <c r="BE266" i="3" a="1"/>
  <c r="BE266" i="3" s="1"/>
  <c r="BE265" i="3" a="1"/>
  <c r="BE265" i="3" s="1"/>
  <c r="BE264" i="3" a="1"/>
  <c r="BE264" i="3" s="1"/>
  <c r="BE263" i="3" a="1"/>
  <c r="BE263" i="3" s="1"/>
  <c r="BE262" i="3" a="1"/>
  <c r="BE262" i="3" s="1"/>
  <c r="BE261" i="3" a="1"/>
  <c r="BE261" i="3" s="1"/>
  <c r="BE260" i="3" a="1"/>
  <c r="BE260" i="3" s="1"/>
  <c r="BE259" i="3" a="1"/>
  <c r="BE259" i="3" s="1"/>
  <c r="BE258" i="3" a="1"/>
  <c r="BE258" i="3" s="1"/>
  <c r="BE257" i="3" a="1"/>
  <c r="BE257" i="3" s="1"/>
  <c r="BE256" i="3" a="1"/>
  <c r="BE256" i="3" s="1"/>
  <c r="BE255" i="3" a="1"/>
  <c r="BE255" i="3" s="1"/>
  <c r="BE254" i="3" a="1"/>
  <c r="BE254" i="3" s="1"/>
  <c r="BE253" i="3" a="1"/>
  <c r="BE253" i="3" s="1"/>
  <c r="BE252" i="3" a="1"/>
  <c r="BE252" i="3" s="1"/>
  <c r="BE251" i="3" a="1"/>
  <c r="BE251" i="3" s="1"/>
  <c r="BE250" i="3" a="1"/>
  <c r="BE250" i="3" s="1"/>
  <c r="BE249" i="3" a="1"/>
  <c r="BE249" i="3" s="1"/>
  <c r="BE248" i="3" a="1"/>
  <c r="BE248" i="3" s="1"/>
  <c r="BE247" i="3" a="1"/>
  <c r="BE247" i="3" s="1"/>
  <c r="BE246" i="3" a="1"/>
  <c r="BE246" i="3" s="1"/>
  <c r="BE245" i="3" a="1"/>
  <c r="BE245" i="3" s="1"/>
  <c r="BE244" i="3" a="1"/>
  <c r="BE244" i="3" s="1"/>
  <c r="BE243" i="3" a="1"/>
  <c r="BE243" i="3" s="1"/>
  <c r="BE242" i="3" a="1"/>
  <c r="BE242" i="3" s="1"/>
  <c r="BE241" i="3" a="1"/>
  <c r="BE241" i="3" s="1"/>
  <c r="BE240" i="3" a="1"/>
  <c r="BE240" i="3" s="1"/>
  <c r="BE239" i="3" a="1"/>
  <c r="BE239" i="3" s="1"/>
  <c r="BE238" i="3" a="1"/>
  <c r="BE238" i="3" s="1"/>
  <c r="BE237" i="3" a="1"/>
  <c r="BE237" i="3" s="1"/>
  <c r="BE236" i="3" a="1"/>
  <c r="BE236" i="3" s="1"/>
  <c r="BE235" i="3" a="1"/>
  <c r="BE235" i="3" s="1"/>
  <c r="BE234" i="3" a="1"/>
  <c r="BE234" i="3" s="1"/>
  <c r="BE233" i="3" a="1"/>
  <c r="BE233" i="3" s="1"/>
  <c r="BE232" i="3" a="1"/>
  <c r="BE232" i="3" s="1"/>
  <c r="BE231" i="3" a="1"/>
  <c r="BE231" i="3" s="1"/>
  <c r="BE230" i="3" a="1"/>
  <c r="BE230" i="3" s="1"/>
  <c r="BE229" i="3" a="1"/>
  <c r="BE229" i="3" s="1"/>
  <c r="BE228" i="3" a="1"/>
  <c r="BE228" i="3" s="1"/>
  <c r="BE227" i="3" a="1"/>
  <c r="BE227" i="3" s="1"/>
  <c r="BE226" i="3" a="1"/>
  <c r="BE226" i="3" s="1"/>
  <c r="BE225" i="3" a="1"/>
  <c r="BE225" i="3" s="1"/>
  <c r="BE224" i="3" a="1"/>
  <c r="BE224" i="3" s="1"/>
  <c r="BE223" i="3" a="1"/>
  <c r="BE223" i="3" s="1"/>
  <c r="BE222" i="3" a="1"/>
  <c r="BE222" i="3" s="1"/>
  <c r="BE221" i="3" a="1"/>
  <c r="BE221" i="3" s="1"/>
  <c r="BE220" i="3" a="1"/>
  <c r="BE220" i="3" s="1"/>
  <c r="BE219" i="3" a="1"/>
  <c r="BE219" i="3" s="1"/>
  <c r="BE218" i="3" a="1"/>
  <c r="BE218" i="3" s="1"/>
  <c r="BE217" i="3" a="1"/>
  <c r="BE217" i="3" s="1"/>
  <c r="BE216" i="3" a="1"/>
  <c r="BE216" i="3" s="1"/>
  <c r="BE215" i="3" a="1"/>
  <c r="BE215" i="3" s="1"/>
  <c r="BE214" i="3" a="1"/>
  <c r="BE214" i="3" s="1"/>
  <c r="BE213" i="3" a="1"/>
  <c r="BE213" i="3" s="1"/>
  <c r="BE212" i="3" a="1"/>
  <c r="BE212" i="3" s="1"/>
  <c r="BE211" i="3" a="1"/>
  <c r="BE211" i="3" s="1"/>
  <c r="BE210" i="3" a="1"/>
  <c r="BE210" i="3" s="1"/>
  <c r="BE209" i="3" a="1"/>
  <c r="BE209" i="3" s="1"/>
  <c r="BE208" i="3" a="1"/>
  <c r="BE208" i="3" s="1"/>
  <c r="BE207" i="3" a="1"/>
  <c r="BE207" i="3" s="1"/>
  <c r="BE206" i="3" a="1"/>
  <c r="BE206" i="3" s="1"/>
  <c r="BE205" i="3" a="1"/>
  <c r="BE205" i="3" s="1"/>
  <c r="BE204" i="3" a="1"/>
  <c r="BE204" i="3" s="1"/>
  <c r="BE203" i="3" a="1"/>
  <c r="BE203" i="3" s="1"/>
  <c r="BE202" i="3" a="1"/>
  <c r="BE202" i="3" s="1"/>
  <c r="BE201" i="3" a="1"/>
  <c r="BE201" i="3" s="1"/>
  <c r="BE200" i="3" a="1"/>
  <c r="BE200" i="3" s="1"/>
  <c r="BE199" i="3" a="1"/>
  <c r="BE199" i="3" s="1"/>
  <c r="BE198" i="3" a="1"/>
  <c r="BE198" i="3" s="1"/>
  <c r="BE197" i="3" a="1"/>
  <c r="BE197" i="3" s="1"/>
  <c r="BE196" i="3" a="1"/>
  <c r="BE196" i="3" s="1"/>
  <c r="BE195" i="3" a="1"/>
  <c r="BE195" i="3" s="1"/>
  <c r="BE194" i="3" a="1"/>
  <c r="BE194" i="3" s="1"/>
  <c r="BE193" i="3" a="1"/>
  <c r="BE193" i="3" s="1"/>
  <c r="BE192" i="3" a="1"/>
  <c r="BE192" i="3" s="1"/>
  <c r="BE191" i="3" a="1"/>
  <c r="BE191" i="3" s="1"/>
  <c r="BE190" i="3" a="1"/>
  <c r="BE190" i="3" s="1"/>
  <c r="BE189" i="3" a="1"/>
  <c r="BE189" i="3" s="1"/>
  <c r="BE188" i="3" a="1"/>
  <c r="BE188" i="3" s="1"/>
  <c r="BE187" i="3" a="1"/>
  <c r="BE187" i="3" s="1"/>
  <c r="BE186" i="3" a="1"/>
  <c r="BE186" i="3" s="1"/>
  <c r="BE185" i="3" a="1"/>
  <c r="BE185" i="3" s="1"/>
  <c r="BE184" i="3" a="1"/>
  <c r="BE184" i="3" s="1"/>
  <c r="BE183" i="3" a="1"/>
  <c r="BE183" i="3" s="1"/>
  <c r="BE182" i="3" a="1"/>
  <c r="BE182" i="3" s="1"/>
  <c r="BE181" i="3" a="1"/>
  <c r="BE181" i="3" s="1"/>
  <c r="BE180" i="3" a="1"/>
  <c r="BE180" i="3" s="1"/>
  <c r="BE179" i="3" a="1"/>
  <c r="BE179" i="3" s="1"/>
  <c r="BE178" i="3" a="1"/>
  <c r="BE178" i="3" s="1"/>
  <c r="BE177" i="3" a="1"/>
  <c r="BE177" i="3" s="1"/>
  <c r="BE176" i="3" a="1"/>
  <c r="BE176" i="3" s="1"/>
  <c r="BE175" i="3" a="1"/>
  <c r="BE175" i="3" s="1"/>
  <c r="BE174" i="3" a="1"/>
  <c r="BE174" i="3" s="1"/>
  <c r="BE173" i="3" a="1"/>
  <c r="BE173" i="3" s="1"/>
  <c r="BE172" i="3" a="1"/>
  <c r="BE172" i="3" s="1"/>
  <c r="BE171" i="3" a="1"/>
  <c r="BE171" i="3" s="1"/>
  <c r="BE170" i="3" a="1"/>
  <c r="BE170" i="3" s="1"/>
  <c r="BE169" i="3" a="1"/>
  <c r="BE169" i="3" s="1"/>
  <c r="BE168" i="3" a="1"/>
  <c r="BE168" i="3" s="1"/>
  <c r="BE167" i="3" a="1"/>
  <c r="BE167" i="3" s="1"/>
  <c r="BE166" i="3" a="1"/>
  <c r="BE166" i="3" s="1"/>
  <c r="BE165" i="3" a="1"/>
  <c r="BE165" i="3" s="1"/>
  <c r="BE164" i="3" a="1"/>
  <c r="BE164" i="3" s="1"/>
  <c r="BE163" i="3" a="1"/>
  <c r="BE163" i="3" s="1"/>
  <c r="BE162" i="3" a="1"/>
  <c r="BE162" i="3" s="1"/>
  <c r="BE161" i="3" a="1"/>
  <c r="BE161" i="3" s="1"/>
  <c r="BE160" i="3" a="1"/>
  <c r="BE160" i="3" s="1"/>
  <c r="BE159" i="3" a="1"/>
  <c r="BE159" i="3" s="1"/>
  <c r="BE158" i="3" a="1"/>
  <c r="BE158" i="3" s="1"/>
  <c r="BE157" i="3" a="1"/>
  <c r="BE157" i="3" s="1"/>
  <c r="BE156" i="3" a="1"/>
  <c r="BE156" i="3" s="1"/>
  <c r="BE155" i="3" a="1"/>
  <c r="BE155" i="3" s="1"/>
  <c r="BE154" i="3" a="1"/>
  <c r="BE154" i="3" s="1"/>
  <c r="BE153" i="3" a="1"/>
  <c r="BE153" i="3" s="1"/>
  <c r="BE152" i="3" a="1"/>
  <c r="BE152" i="3" s="1"/>
  <c r="BE151" i="3" a="1"/>
  <c r="BE151" i="3" s="1"/>
  <c r="BE150" i="3" a="1"/>
  <c r="BE150" i="3" s="1"/>
  <c r="BE149" i="3" a="1"/>
  <c r="BE149" i="3" s="1"/>
  <c r="BE148" i="3" a="1"/>
  <c r="BE148" i="3" s="1"/>
  <c r="BE147" i="3" a="1"/>
  <c r="BE147" i="3" s="1"/>
  <c r="BE146" i="3" a="1"/>
  <c r="BE146" i="3" s="1"/>
  <c r="BE145" i="3" a="1"/>
  <c r="BE145" i="3" s="1"/>
  <c r="BE144" i="3" a="1"/>
  <c r="BE144" i="3" s="1"/>
  <c r="BE143" i="3" a="1"/>
  <c r="BE143" i="3" s="1"/>
  <c r="BE142" i="3" a="1"/>
  <c r="BE142" i="3" s="1"/>
  <c r="BE141" i="3" a="1"/>
  <c r="BE141" i="3" s="1"/>
  <c r="BE140" i="3" a="1"/>
  <c r="BE140" i="3" s="1"/>
  <c r="BE139" i="3" a="1"/>
  <c r="BE139" i="3" s="1"/>
  <c r="BE138" i="3" a="1"/>
  <c r="BE138" i="3" s="1"/>
  <c r="BE137" i="3" a="1"/>
  <c r="BE137" i="3" s="1"/>
  <c r="BE136" i="3" a="1"/>
  <c r="BE136" i="3" s="1"/>
  <c r="BE135" i="3" a="1"/>
  <c r="BE135" i="3" s="1"/>
  <c r="BE134" i="3" a="1"/>
  <c r="BE134" i="3" s="1"/>
  <c r="BE133" i="3" a="1"/>
  <c r="BE133" i="3" s="1"/>
  <c r="BE132" i="3" a="1"/>
  <c r="BE132" i="3" s="1"/>
  <c r="BE131" i="3" a="1"/>
  <c r="BE131" i="3" s="1"/>
  <c r="BE130" i="3" a="1"/>
  <c r="BE130" i="3" s="1"/>
  <c r="BE129" i="3" a="1"/>
  <c r="BE129" i="3" s="1"/>
  <c r="BE128" i="3" a="1"/>
  <c r="BE128" i="3" s="1"/>
  <c r="BE127" i="3" a="1"/>
  <c r="BE127" i="3" s="1"/>
  <c r="BE126" i="3" a="1"/>
  <c r="BE126" i="3" s="1"/>
  <c r="BE125" i="3" a="1"/>
  <c r="BE125" i="3" s="1"/>
  <c r="BE124" i="3" a="1"/>
  <c r="BE124" i="3" s="1"/>
  <c r="BE123" i="3" a="1"/>
  <c r="BE123" i="3" s="1"/>
  <c r="BE122" i="3" a="1"/>
  <c r="BE122" i="3" s="1"/>
  <c r="BE121" i="3" a="1"/>
  <c r="BE121" i="3" s="1"/>
  <c r="BE120" i="3" a="1"/>
  <c r="BE120" i="3" s="1"/>
  <c r="BE119" i="3" a="1"/>
  <c r="BE119" i="3" s="1"/>
  <c r="BE118" i="3" a="1"/>
  <c r="BE118" i="3" s="1"/>
  <c r="BE117" i="3" a="1"/>
  <c r="BE117" i="3" s="1"/>
  <c r="BE116" i="3" a="1"/>
  <c r="BE116" i="3" s="1"/>
  <c r="BE115" i="3" a="1"/>
  <c r="BE115" i="3" s="1"/>
  <c r="BE114" i="3" a="1"/>
  <c r="BE114" i="3" s="1"/>
  <c r="BE113" i="3" a="1"/>
  <c r="BE113" i="3" s="1"/>
  <c r="BE112" i="3" a="1"/>
  <c r="BE112" i="3" s="1"/>
  <c r="BE111" i="3" a="1"/>
  <c r="BE111" i="3" s="1"/>
  <c r="BE110" i="3" a="1"/>
  <c r="BE110" i="3" s="1"/>
  <c r="BE109" i="3" a="1"/>
  <c r="BE109" i="3" s="1"/>
  <c r="BE108" i="3" a="1"/>
  <c r="BE108" i="3" s="1"/>
  <c r="BE107" i="3" a="1"/>
  <c r="BE107" i="3" s="1"/>
  <c r="BE106" i="3" a="1"/>
  <c r="BE106" i="3" s="1"/>
  <c r="BE105" i="3" a="1"/>
  <c r="BE105" i="3" s="1"/>
  <c r="BE104" i="3" a="1"/>
  <c r="BE104" i="3" s="1"/>
  <c r="BE103" i="3" a="1"/>
  <c r="BE103" i="3" s="1"/>
  <c r="BE102" i="3" a="1"/>
  <c r="BE102" i="3" s="1"/>
  <c r="BE101" i="3" a="1"/>
  <c r="BE101" i="3" s="1"/>
  <c r="BE100" i="3" a="1"/>
  <c r="BE100" i="3" s="1"/>
  <c r="BE99" i="3" a="1"/>
  <c r="BE99" i="3" s="1"/>
  <c r="BE98" i="3" a="1"/>
  <c r="BE98" i="3" s="1"/>
  <c r="BE97" i="3" a="1"/>
  <c r="BE97" i="3" s="1"/>
  <c r="BE96" i="3" a="1"/>
  <c r="BE96" i="3" s="1"/>
  <c r="BE95" i="3" a="1"/>
  <c r="BE95" i="3" s="1"/>
  <c r="BE94" i="3" a="1"/>
  <c r="BE94" i="3" s="1"/>
  <c r="BE93" i="3" a="1"/>
  <c r="BE93" i="3" s="1"/>
  <c r="BE92" i="3" a="1"/>
  <c r="BE92" i="3" s="1"/>
  <c r="BE91" i="3" a="1"/>
  <c r="BE91" i="3" s="1"/>
  <c r="BE90" i="3" a="1"/>
  <c r="BE90" i="3" s="1"/>
  <c r="BE89" i="3" a="1"/>
  <c r="BE89" i="3" s="1"/>
  <c r="BE88" i="3" a="1"/>
  <c r="BE88" i="3" s="1"/>
  <c r="BE87" i="3" a="1"/>
  <c r="BE87" i="3" s="1"/>
  <c r="BE86" i="3" a="1"/>
  <c r="BE86" i="3" s="1"/>
  <c r="BE85" i="3" a="1"/>
  <c r="BE85" i="3" s="1"/>
  <c r="BE84" i="3" a="1"/>
  <c r="BE84" i="3" s="1"/>
  <c r="BE83" i="3" a="1"/>
  <c r="BE83" i="3" s="1"/>
  <c r="BE82" i="3" a="1"/>
  <c r="BE82" i="3" s="1"/>
  <c r="BE81" i="3" a="1"/>
  <c r="BE81" i="3" s="1"/>
  <c r="BE80" i="3" a="1"/>
  <c r="BE80" i="3" s="1"/>
  <c r="BE79" i="3" a="1"/>
  <c r="BE79" i="3" s="1"/>
  <c r="BE78" i="3" a="1"/>
  <c r="BE78" i="3" s="1"/>
  <c r="BE77" i="3" a="1"/>
  <c r="BE77" i="3" s="1"/>
  <c r="BE76" i="3" a="1"/>
  <c r="BE76" i="3" s="1"/>
  <c r="BE75" i="3" a="1"/>
  <c r="BE75" i="3" s="1"/>
  <c r="BE74" i="3" a="1"/>
  <c r="BE74" i="3" s="1"/>
  <c r="BE73" i="3" a="1"/>
  <c r="BE73" i="3" s="1"/>
  <c r="BE72" i="3" a="1"/>
  <c r="BE72" i="3" s="1"/>
  <c r="BE71" i="3" a="1"/>
  <c r="BE71" i="3" s="1"/>
  <c r="BE70" i="3" a="1"/>
  <c r="BE70" i="3" s="1"/>
  <c r="BE69" i="3" a="1"/>
  <c r="BE69" i="3" s="1"/>
  <c r="BE68" i="3" a="1"/>
  <c r="BE68" i="3" s="1"/>
  <c r="BE67" i="3" a="1"/>
  <c r="BE67" i="3" s="1"/>
  <c r="BE66" i="3" a="1"/>
  <c r="BE66" i="3" s="1"/>
  <c r="BE65" i="3" a="1"/>
  <c r="BE65" i="3" s="1"/>
  <c r="BE64" i="3" a="1"/>
  <c r="BE64" i="3" s="1"/>
  <c r="BE63" i="3" a="1"/>
  <c r="BE63" i="3" s="1"/>
  <c r="BE62" i="3" a="1"/>
  <c r="BE62" i="3" s="1"/>
  <c r="BE61" i="3" a="1"/>
  <c r="BE61" i="3" s="1"/>
  <c r="BE60" i="3" a="1"/>
  <c r="BE60" i="3" s="1"/>
  <c r="BE59" i="3" a="1"/>
  <c r="BE59" i="3" s="1"/>
  <c r="BE58" i="3" a="1"/>
  <c r="BE58" i="3" s="1"/>
  <c r="BE57" i="3" a="1"/>
  <c r="BE57" i="3" s="1"/>
  <c r="BE56" i="3" a="1"/>
  <c r="BE56" i="3" s="1"/>
  <c r="BE55" i="3" a="1"/>
  <c r="BE55" i="3" s="1"/>
  <c r="BE54" i="3" a="1"/>
  <c r="BE54" i="3" s="1"/>
  <c r="BE53" i="3" a="1"/>
  <c r="BE53" i="3" s="1"/>
  <c r="BE52" i="3" a="1"/>
  <c r="BE52" i="3" s="1"/>
  <c r="BE51" i="3" a="1"/>
  <c r="BE51" i="3" s="1"/>
  <c r="BE50" i="3" a="1"/>
  <c r="BE50" i="3" s="1"/>
  <c r="BE49" i="3" a="1"/>
  <c r="BE49" i="3" s="1"/>
  <c r="BE48" i="3" a="1"/>
  <c r="BE48" i="3" s="1"/>
  <c r="BE47" i="3" a="1"/>
  <c r="BE47" i="3" s="1"/>
  <c r="BE46" i="3" a="1"/>
  <c r="BE46" i="3" s="1"/>
  <c r="BE45" i="3" a="1"/>
  <c r="BE45" i="3" s="1"/>
  <c r="BE44" i="3" a="1"/>
  <c r="BE44" i="3" s="1"/>
  <c r="BE43" i="3" a="1"/>
  <c r="BE43" i="3" s="1"/>
  <c r="BE42" i="3" a="1"/>
  <c r="BE42" i="3" s="1"/>
  <c r="BE41" i="3" a="1"/>
  <c r="BE41" i="3" s="1"/>
  <c r="BE40" i="3" a="1"/>
  <c r="BE40" i="3" s="1"/>
  <c r="BE39" i="3" a="1"/>
  <c r="BE39" i="3" s="1"/>
  <c r="BE38" i="3" a="1"/>
  <c r="BE38" i="3" s="1"/>
  <c r="BE37" i="3" a="1"/>
  <c r="BE37" i="3" s="1"/>
  <c r="BE36" i="3" a="1"/>
  <c r="BE36" i="3" s="1"/>
  <c r="BE35" i="3" a="1"/>
  <c r="BE35" i="3" s="1"/>
  <c r="BE34" i="3" a="1"/>
  <c r="BE34" i="3" s="1"/>
  <c r="BE33" i="3" a="1"/>
  <c r="BE33" i="3" s="1"/>
  <c r="BE32" i="3" a="1"/>
  <c r="BE32" i="3" s="1"/>
  <c r="BE31" i="3" a="1"/>
  <c r="BE31" i="3" s="1"/>
  <c r="BE30" i="3" a="1"/>
  <c r="BE30" i="3" s="1"/>
  <c r="BE29" i="3" a="1"/>
  <c r="BE29" i="3" s="1"/>
  <c r="BE28" i="3" a="1"/>
  <c r="BE28" i="3" s="1"/>
  <c r="BE27" i="3" a="1"/>
  <c r="BE27" i="3" s="1"/>
  <c r="BE26" i="3" a="1"/>
  <c r="BE26" i="3" s="1"/>
  <c r="BE25" i="3" a="1"/>
  <c r="BE25" i="3" s="1"/>
  <c r="BE24" i="3" a="1"/>
  <c r="BE24" i="3" s="1"/>
  <c r="BE23" i="3" a="1"/>
  <c r="BE23" i="3" s="1"/>
  <c r="BE22" i="3" a="1"/>
  <c r="BE22" i="3" s="1"/>
  <c r="BE21" i="3" a="1"/>
  <c r="BE21" i="3" s="1"/>
  <c r="BE20" i="3" a="1"/>
  <c r="BE20" i="3" s="1"/>
  <c r="BE19" i="3" a="1"/>
  <c r="BE19" i="3" s="1"/>
  <c r="BE18" i="3" a="1"/>
  <c r="BE18" i="3" s="1"/>
  <c r="BE17" i="3" a="1"/>
  <c r="BE17" i="3" s="1"/>
  <c r="BE16" i="3" a="1"/>
  <c r="BE16" i="3" s="1"/>
  <c r="BE15" i="3" a="1"/>
  <c r="BE15" i="3" s="1"/>
  <c r="BE14" i="3" a="1"/>
  <c r="BE14" i="3" s="1"/>
  <c r="BE13" i="3" a="1"/>
  <c r="BE13" i="3" s="1"/>
  <c r="BE12" i="3" a="1"/>
  <c r="BE12" i="3" s="1"/>
  <c r="BE11" i="3" a="1"/>
  <c r="BE11" i="3" s="1"/>
  <c r="BE10" i="3" a="1"/>
  <c r="BE10" i="3" s="1"/>
  <c r="AV611" i="13" l="1"/>
  <c r="AV610" i="13"/>
  <c r="AV609" i="13"/>
  <c r="AV608" i="13"/>
  <c r="AV607" i="13"/>
  <c r="AV606" i="13"/>
  <c r="AV605" i="13"/>
  <c r="AV604" i="13"/>
  <c r="AV603" i="13"/>
  <c r="AV602" i="13"/>
  <c r="AV601" i="13"/>
  <c r="AV600" i="13"/>
  <c r="AV599" i="13"/>
  <c r="AV598" i="13"/>
  <c r="AV597" i="13"/>
  <c r="AV596" i="13"/>
  <c r="AV595" i="13"/>
  <c r="AV594" i="13"/>
  <c r="AV593" i="13"/>
  <c r="AV592" i="13"/>
  <c r="AV591" i="13"/>
  <c r="AV590" i="13"/>
  <c r="AV589" i="13"/>
  <c r="AV588" i="13"/>
  <c r="AV587" i="13"/>
  <c r="AV586" i="13"/>
  <c r="AV585" i="13"/>
  <c r="AV584" i="13"/>
  <c r="AV583" i="13"/>
  <c r="AV582" i="13"/>
  <c r="AV581" i="13"/>
  <c r="AV580" i="13"/>
  <c r="AV579" i="13"/>
  <c r="AV578" i="13"/>
  <c r="AV577" i="13"/>
  <c r="AV576" i="13"/>
  <c r="AV575" i="13"/>
  <c r="AV574" i="13"/>
  <c r="AV573" i="13"/>
  <c r="AV572" i="13"/>
  <c r="AV571" i="13"/>
  <c r="AV570" i="13"/>
  <c r="AV569" i="13"/>
  <c r="AV568" i="13"/>
  <c r="AV567" i="13"/>
  <c r="AV566" i="13"/>
  <c r="AV565" i="13"/>
  <c r="AV564" i="13"/>
  <c r="AV563" i="13"/>
  <c r="AV562" i="13"/>
  <c r="AV561" i="13"/>
  <c r="AV560" i="13"/>
  <c r="AV559" i="13"/>
  <c r="AV558" i="13"/>
  <c r="AV557" i="13"/>
  <c r="AV556" i="13"/>
  <c r="AV555" i="13"/>
  <c r="AV554" i="13"/>
  <c r="AV553" i="13"/>
  <c r="AV552" i="13"/>
  <c r="AV551" i="13"/>
  <c r="AV550" i="13"/>
  <c r="AV549" i="13"/>
  <c r="AV548" i="13"/>
  <c r="AV547" i="13"/>
  <c r="AV546" i="13"/>
  <c r="AV545" i="13"/>
  <c r="AV544" i="13"/>
  <c r="AV543" i="13"/>
  <c r="AV542" i="13"/>
  <c r="AV541" i="13"/>
  <c r="AV540" i="13"/>
  <c r="AV539" i="13"/>
  <c r="AV538" i="13"/>
  <c r="AV537" i="13"/>
  <c r="AV536" i="13"/>
  <c r="AV535" i="13"/>
  <c r="AV534" i="13"/>
  <c r="AV533" i="13"/>
  <c r="AV532" i="13"/>
  <c r="AV531" i="13"/>
  <c r="AV530" i="13"/>
  <c r="AV529" i="13"/>
  <c r="AV528" i="13"/>
  <c r="AV527" i="13"/>
  <c r="AV526" i="13"/>
  <c r="AV525" i="13"/>
  <c r="AV524" i="13"/>
  <c r="AV523" i="13"/>
  <c r="AV522" i="13"/>
  <c r="AV521" i="13"/>
  <c r="AV520" i="13"/>
  <c r="AV519" i="13"/>
  <c r="AV518" i="13"/>
  <c r="AV517" i="13"/>
  <c r="AV516" i="13"/>
  <c r="AV515" i="13"/>
  <c r="AV514" i="13"/>
  <c r="AV513" i="13"/>
  <c r="AV512" i="13"/>
  <c r="AV511" i="13"/>
  <c r="AV510" i="13"/>
  <c r="AV509" i="13"/>
  <c r="AV508" i="13"/>
  <c r="AV507" i="13"/>
  <c r="AV506" i="13"/>
  <c r="AV505" i="13"/>
  <c r="AV504" i="13"/>
  <c r="AV503" i="13"/>
  <c r="AV502" i="13"/>
  <c r="AV501" i="13"/>
  <c r="AV500" i="13"/>
  <c r="AV499" i="13"/>
  <c r="AV498" i="13"/>
  <c r="AV497" i="13"/>
  <c r="AV496" i="13"/>
  <c r="AV495" i="13"/>
  <c r="AV494" i="13"/>
  <c r="AV493" i="13"/>
  <c r="AV492" i="13"/>
  <c r="AV491" i="13"/>
  <c r="AV490" i="13"/>
  <c r="AV489" i="13"/>
  <c r="AV488" i="13"/>
  <c r="AV487" i="13"/>
  <c r="AV486" i="13"/>
  <c r="AV485" i="13"/>
  <c r="AV484" i="13"/>
  <c r="AV483" i="13"/>
  <c r="AV482" i="13"/>
  <c r="AV481" i="13"/>
  <c r="AV480" i="13"/>
  <c r="AV479" i="13"/>
  <c r="AV478" i="13"/>
  <c r="AV477" i="13"/>
  <c r="AV476" i="13"/>
  <c r="AV475" i="13"/>
  <c r="AV474" i="13"/>
  <c r="AV473" i="13"/>
  <c r="AV472" i="13"/>
  <c r="AV471" i="13"/>
  <c r="AV470" i="13"/>
  <c r="AV469" i="13"/>
  <c r="AV468" i="13"/>
  <c r="AV467" i="13"/>
  <c r="AV466" i="13"/>
  <c r="AV465" i="13"/>
  <c r="AV464" i="13"/>
  <c r="AV463" i="13"/>
  <c r="AV462" i="13"/>
  <c r="AV461" i="13"/>
  <c r="AV460" i="13"/>
  <c r="AV459" i="13"/>
  <c r="AV458" i="13"/>
  <c r="AV457" i="13"/>
  <c r="AV456" i="13"/>
  <c r="AV455" i="13"/>
  <c r="AV454" i="13"/>
  <c r="AV453" i="13"/>
  <c r="AV452" i="13"/>
  <c r="AV451" i="13"/>
  <c r="AV450" i="13"/>
  <c r="AV449" i="13"/>
  <c r="AV448" i="13"/>
  <c r="AV447" i="13"/>
  <c r="AV446" i="13"/>
  <c r="AV445" i="13"/>
  <c r="AV444" i="13"/>
  <c r="AV443" i="13"/>
  <c r="AV442" i="13"/>
  <c r="AV441" i="13"/>
  <c r="AV440" i="13"/>
  <c r="AV439" i="13"/>
  <c r="AV438" i="13"/>
  <c r="AV437" i="13"/>
  <c r="AV436" i="13"/>
  <c r="AV435" i="13"/>
  <c r="AV434" i="13"/>
  <c r="AV433" i="13"/>
  <c r="AV432" i="13"/>
  <c r="AV431" i="13"/>
  <c r="AV430" i="13"/>
  <c r="AV429" i="13"/>
  <c r="AV428" i="13"/>
  <c r="AV427" i="13"/>
  <c r="AV426" i="13"/>
  <c r="AV425" i="13"/>
  <c r="AV424" i="13"/>
  <c r="AV423" i="13"/>
  <c r="AV422" i="13"/>
  <c r="AV421" i="13"/>
  <c r="AV420" i="13"/>
  <c r="AV419" i="13"/>
  <c r="AV418" i="13"/>
  <c r="AV417" i="13"/>
  <c r="AV416" i="13"/>
  <c r="AV415" i="13"/>
  <c r="AV414" i="13"/>
  <c r="AV413" i="13"/>
  <c r="AV412" i="13"/>
  <c r="AV411" i="13"/>
  <c r="AV410" i="13"/>
  <c r="AV409" i="13"/>
  <c r="AV408" i="13"/>
  <c r="AV407" i="13"/>
  <c r="AV406" i="13"/>
  <c r="AV405" i="13"/>
  <c r="AV404" i="13"/>
  <c r="AV403" i="13"/>
  <c r="AV402" i="13"/>
  <c r="AV401" i="13"/>
  <c r="AV400" i="13"/>
  <c r="AV399" i="13"/>
  <c r="AV398" i="13"/>
  <c r="AV397" i="13"/>
  <c r="AV396" i="13"/>
  <c r="AV395" i="13"/>
  <c r="AV394" i="13"/>
  <c r="AV393" i="13"/>
  <c r="AV392" i="13"/>
  <c r="AV391" i="13"/>
  <c r="AV390" i="13"/>
  <c r="AV389" i="13"/>
  <c r="AV388" i="13"/>
  <c r="AV387" i="13"/>
  <c r="AV386" i="13"/>
  <c r="AV385" i="13"/>
  <c r="AV384" i="13"/>
  <c r="AV383" i="13"/>
  <c r="AV382" i="13"/>
  <c r="AV381" i="13"/>
  <c r="AV380" i="13"/>
  <c r="AV379" i="13"/>
  <c r="AV378" i="13"/>
  <c r="AV377" i="13"/>
  <c r="AV376" i="13"/>
  <c r="AV375" i="13"/>
  <c r="AV374" i="13"/>
  <c r="AV373" i="13"/>
  <c r="AV372" i="13"/>
  <c r="AV371" i="13"/>
  <c r="AV370" i="13"/>
  <c r="AV369" i="13"/>
  <c r="AV368" i="13"/>
  <c r="AV367" i="13"/>
  <c r="AV366" i="13"/>
  <c r="AV365" i="13"/>
  <c r="AV364" i="13"/>
  <c r="AV363" i="13"/>
  <c r="AV362" i="13"/>
  <c r="AV361" i="13"/>
  <c r="AV360" i="13"/>
  <c r="AV359" i="13"/>
  <c r="AV358" i="13"/>
  <c r="AV357" i="13"/>
  <c r="AV356" i="13"/>
  <c r="AV355" i="13"/>
  <c r="AV354" i="13"/>
  <c r="AV353" i="13"/>
  <c r="AV352" i="13"/>
  <c r="AV351" i="13"/>
  <c r="AV350" i="13"/>
  <c r="AV349" i="13"/>
  <c r="AV348" i="13"/>
  <c r="AV347" i="13"/>
  <c r="AV346" i="13"/>
  <c r="AV345" i="13"/>
  <c r="AV344" i="13"/>
  <c r="AV343" i="13"/>
  <c r="AV342" i="13"/>
  <c r="AV341" i="13"/>
  <c r="AV340" i="13"/>
  <c r="AV339" i="13"/>
  <c r="AV338" i="13"/>
  <c r="AV337" i="13"/>
  <c r="AV336" i="13"/>
  <c r="AV335" i="13"/>
  <c r="AV334" i="13"/>
  <c r="AV333" i="13"/>
  <c r="AV332" i="13"/>
  <c r="AV331" i="13"/>
  <c r="AV330" i="13"/>
  <c r="AV329" i="13"/>
  <c r="AV328" i="13"/>
  <c r="AV327" i="13"/>
  <c r="AV326" i="13"/>
  <c r="AV325" i="13"/>
  <c r="AV324" i="13"/>
  <c r="AV323" i="13"/>
  <c r="AV322" i="13"/>
  <c r="AV321" i="13"/>
  <c r="AV320" i="13"/>
  <c r="AV319" i="13"/>
  <c r="AV318" i="13"/>
  <c r="AV317" i="13"/>
  <c r="AV316" i="13"/>
  <c r="AV315" i="13"/>
  <c r="AV314" i="13"/>
  <c r="AV313" i="13"/>
  <c r="AV312" i="13"/>
  <c r="DT9" i="3" l="1"/>
  <c r="DU308" i="3" l="1" a="1"/>
  <c r="DU308" i="3" s="1"/>
  <c r="DU307" i="3" a="1"/>
  <c r="DU307" i="3" s="1"/>
  <c r="DU306" i="3" a="1"/>
  <c r="DU306" i="3" s="1"/>
  <c r="DU305" i="3" a="1"/>
  <c r="DU305" i="3" s="1"/>
  <c r="DU304" i="3" a="1"/>
  <c r="DU304" i="3" s="1"/>
  <c r="DU303" i="3" a="1"/>
  <c r="DU303" i="3" s="1"/>
  <c r="DU302" i="3" a="1"/>
  <c r="DU302" i="3" s="1"/>
  <c r="DU301" i="3" a="1"/>
  <c r="DU301" i="3" s="1"/>
  <c r="DU300" i="3" a="1"/>
  <c r="DU300" i="3" s="1"/>
  <c r="DU299" i="3" a="1"/>
  <c r="DU299" i="3" s="1"/>
  <c r="DU298" i="3" a="1"/>
  <c r="DU298" i="3" s="1"/>
  <c r="DU297" i="3" a="1"/>
  <c r="DU297" i="3" s="1"/>
  <c r="DU296" i="3" a="1"/>
  <c r="DU296" i="3" s="1"/>
  <c r="DU295" i="3" a="1"/>
  <c r="DU295" i="3" s="1"/>
  <c r="DU294" i="3" a="1"/>
  <c r="DU294" i="3" s="1"/>
  <c r="DU293" i="3" a="1"/>
  <c r="DU293" i="3" s="1"/>
  <c r="DU292" i="3" a="1"/>
  <c r="DU292" i="3" s="1"/>
  <c r="DU291" i="3" a="1"/>
  <c r="DU291" i="3" s="1"/>
  <c r="DU290" i="3" a="1"/>
  <c r="DU290" i="3" s="1"/>
  <c r="DU289" i="3" a="1"/>
  <c r="DU289" i="3" s="1"/>
  <c r="DU288" i="3" a="1"/>
  <c r="DU288" i="3" s="1"/>
  <c r="DU287" i="3" a="1"/>
  <c r="DU287" i="3" s="1"/>
  <c r="DU286" i="3" a="1"/>
  <c r="DU286" i="3" s="1"/>
  <c r="DU285" i="3" a="1"/>
  <c r="DU285" i="3" s="1"/>
  <c r="DU284" i="3" a="1"/>
  <c r="DU284" i="3" s="1"/>
  <c r="DU283" i="3" a="1"/>
  <c r="DU283" i="3" s="1"/>
  <c r="DU282" i="3" a="1"/>
  <c r="DU282" i="3" s="1"/>
  <c r="DU281" i="3" a="1"/>
  <c r="DU281" i="3" s="1"/>
  <c r="DU280" i="3" a="1"/>
  <c r="DU280" i="3" s="1"/>
  <c r="DU279" i="3" a="1"/>
  <c r="DU279" i="3" s="1"/>
  <c r="DU278" i="3" a="1"/>
  <c r="DU278" i="3" s="1"/>
  <c r="DU277" i="3" a="1"/>
  <c r="DU277" i="3" s="1"/>
  <c r="DU276" i="3" a="1"/>
  <c r="DU276" i="3" s="1"/>
  <c r="DU275" i="3" a="1"/>
  <c r="DU275" i="3" s="1"/>
  <c r="DU274" i="3" a="1"/>
  <c r="DU274" i="3" s="1"/>
  <c r="DU273" i="3" a="1"/>
  <c r="DU273" i="3" s="1"/>
  <c r="DU272" i="3" a="1"/>
  <c r="DU272" i="3" s="1"/>
  <c r="DU271" i="3" a="1"/>
  <c r="DU271" i="3" s="1"/>
  <c r="DU270" i="3" a="1"/>
  <c r="DU270" i="3" s="1"/>
  <c r="DU269" i="3" a="1"/>
  <c r="DU269" i="3" s="1"/>
  <c r="DU268" i="3" a="1"/>
  <c r="DU268" i="3" s="1"/>
  <c r="DU267" i="3" a="1"/>
  <c r="DU267" i="3" s="1"/>
  <c r="DU266" i="3" a="1"/>
  <c r="DU266" i="3" s="1"/>
  <c r="DU265" i="3" a="1"/>
  <c r="DU265" i="3" s="1"/>
  <c r="DU264" i="3" a="1"/>
  <c r="DU264" i="3" s="1"/>
  <c r="DU263" i="3" a="1"/>
  <c r="DU263" i="3" s="1"/>
  <c r="DU262" i="3" a="1"/>
  <c r="DU262" i="3" s="1"/>
  <c r="DU261" i="3" a="1"/>
  <c r="DU261" i="3" s="1"/>
  <c r="DU260" i="3" a="1"/>
  <c r="DU260" i="3" s="1"/>
  <c r="DU259" i="3" a="1"/>
  <c r="DU259" i="3" s="1"/>
  <c r="DU258" i="3" a="1"/>
  <c r="DU258" i="3" s="1"/>
  <c r="DU257" i="3" a="1"/>
  <c r="DU257" i="3" s="1"/>
  <c r="DU256" i="3" a="1"/>
  <c r="DU256" i="3" s="1"/>
  <c r="DU255" i="3" a="1"/>
  <c r="DU255" i="3" s="1"/>
  <c r="DU254" i="3" a="1"/>
  <c r="DU254" i="3" s="1"/>
  <c r="DU253" i="3" a="1"/>
  <c r="DU253" i="3" s="1"/>
  <c r="DU252" i="3" a="1"/>
  <c r="DU252" i="3" s="1"/>
  <c r="DU251" i="3" a="1"/>
  <c r="DU251" i="3" s="1"/>
  <c r="DU250" i="3" a="1"/>
  <c r="DU250" i="3" s="1"/>
  <c r="DU249" i="3" a="1"/>
  <c r="DU249" i="3" s="1"/>
  <c r="DU248" i="3" a="1"/>
  <c r="DU248" i="3" s="1"/>
  <c r="DU247" i="3" a="1"/>
  <c r="DU247" i="3" s="1"/>
  <c r="DU246" i="3" a="1"/>
  <c r="DU246" i="3" s="1"/>
  <c r="DU245" i="3" a="1"/>
  <c r="DU245" i="3" s="1"/>
  <c r="DU244" i="3" a="1"/>
  <c r="DU244" i="3" s="1"/>
  <c r="DU243" i="3" a="1"/>
  <c r="DU243" i="3" s="1"/>
  <c r="DU242" i="3" a="1"/>
  <c r="DU242" i="3" s="1"/>
  <c r="DU241" i="3" a="1"/>
  <c r="DU241" i="3" s="1"/>
  <c r="DU240" i="3" a="1"/>
  <c r="DU240" i="3" s="1"/>
  <c r="DU239" i="3" a="1"/>
  <c r="DU239" i="3" s="1"/>
  <c r="DU238" i="3" a="1"/>
  <c r="DU238" i="3" s="1"/>
  <c r="DU237" i="3" a="1"/>
  <c r="DU237" i="3" s="1"/>
  <c r="DU236" i="3" a="1"/>
  <c r="DU236" i="3" s="1"/>
  <c r="DU235" i="3" a="1"/>
  <c r="DU235" i="3" s="1"/>
  <c r="DU234" i="3" a="1"/>
  <c r="DU234" i="3" s="1"/>
  <c r="DU233" i="3" a="1"/>
  <c r="DU233" i="3" s="1"/>
  <c r="DU232" i="3" a="1"/>
  <c r="DU232" i="3" s="1"/>
  <c r="DU231" i="3" a="1"/>
  <c r="DU231" i="3" s="1"/>
  <c r="DU230" i="3" a="1"/>
  <c r="DU230" i="3" s="1"/>
  <c r="DU229" i="3" a="1"/>
  <c r="DU229" i="3" s="1"/>
  <c r="DU228" i="3" a="1"/>
  <c r="DU228" i="3" s="1"/>
  <c r="DU227" i="3" a="1"/>
  <c r="DU227" i="3" s="1"/>
  <c r="DU226" i="3" a="1"/>
  <c r="DU226" i="3" s="1"/>
  <c r="DU225" i="3" a="1"/>
  <c r="DU225" i="3" s="1"/>
  <c r="DU224" i="3" a="1"/>
  <c r="DU224" i="3" s="1"/>
  <c r="DU223" i="3" a="1"/>
  <c r="DU223" i="3" s="1"/>
  <c r="DU222" i="3" a="1"/>
  <c r="DU222" i="3" s="1"/>
  <c r="DU221" i="3" a="1"/>
  <c r="DU221" i="3" s="1"/>
  <c r="DU220" i="3" a="1"/>
  <c r="DU220" i="3" s="1"/>
  <c r="DU219" i="3" a="1"/>
  <c r="DU219" i="3" s="1"/>
  <c r="DU218" i="3" a="1"/>
  <c r="DU218" i="3" s="1"/>
  <c r="DU217" i="3" a="1"/>
  <c r="DU217" i="3" s="1"/>
  <c r="DU216" i="3" a="1"/>
  <c r="DU216" i="3" s="1"/>
  <c r="DU215" i="3" a="1"/>
  <c r="DU215" i="3" s="1"/>
  <c r="DU214" i="3" a="1"/>
  <c r="DU214" i="3" s="1"/>
  <c r="DU213" i="3" a="1"/>
  <c r="DU213" i="3" s="1"/>
  <c r="DU212" i="3" a="1"/>
  <c r="DU212" i="3" s="1"/>
  <c r="DU211" i="3" a="1"/>
  <c r="DU211" i="3" s="1"/>
  <c r="DU210" i="3" a="1"/>
  <c r="DU210" i="3" s="1"/>
  <c r="DU209" i="3" a="1"/>
  <c r="DU209" i="3" s="1"/>
  <c r="DU208" i="3" a="1"/>
  <c r="DU208" i="3" s="1"/>
  <c r="DU207" i="3" a="1"/>
  <c r="DU207" i="3" s="1"/>
  <c r="DU206" i="3" a="1"/>
  <c r="DU206" i="3" s="1"/>
  <c r="DU205" i="3" a="1"/>
  <c r="DU205" i="3" s="1"/>
  <c r="DU204" i="3" a="1"/>
  <c r="DU204" i="3" s="1"/>
  <c r="DU203" i="3" a="1"/>
  <c r="DU203" i="3" s="1"/>
  <c r="DU202" i="3" a="1"/>
  <c r="DU202" i="3" s="1"/>
  <c r="DU201" i="3" a="1"/>
  <c r="DU201" i="3" s="1"/>
  <c r="DU200" i="3" a="1"/>
  <c r="DU200" i="3" s="1"/>
  <c r="DU199" i="3" a="1"/>
  <c r="DU199" i="3" s="1"/>
  <c r="DU198" i="3" a="1"/>
  <c r="DU198" i="3" s="1"/>
  <c r="DU197" i="3" a="1"/>
  <c r="DU197" i="3" s="1"/>
  <c r="DU196" i="3" a="1"/>
  <c r="DU196" i="3" s="1"/>
  <c r="DU195" i="3" a="1"/>
  <c r="DU195" i="3" s="1"/>
  <c r="DU194" i="3" a="1"/>
  <c r="DU194" i="3" s="1"/>
  <c r="DU193" i="3" a="1"/>
  <c r="DU193" i="3" s="1"/>
  <c r="DU192" i="3" a="1"/>
  <c r="DU192" i="3" s="1"/>
  <c r="DU191" i="3" a="1"/>
  <c r="DU191" i="3" s="1"/>
  <c r="DU190" i="3" a="1"/>
  <c r="DU190" i="3" s="1"/>
  <c r="DU189" i="3" a="1"/>
  <c r="DU189" i="3" s="1"/>
  <c r="DU188" i="3" a="1"/>
  <c r="DU188" i="3" s="1"/>
  <c r="DU187" i="3" a="1"/>
  <c r="DU187" i="3" s="1"/>
  <c r="DU186" i="3" a="1"/>
  <c r="DU186" i="3" s="1"/>
  <c r="DU185" i="3" a="1"/>
  <c r="DU185" i="3" s="1"/>
  <c r="DU184" i="3" a="1"/>
  <c r="DU184" i="3" s="1"/>
  <c r="DU183" i="3" a="1"/>
  <c r="DU183" i="3" s="1"/>
  <c r="DU182" i="3" a="1"/>
  <c r="DU182" i="3" s="1"/>
  <c r="DU181" i="3" a="1"/>
  <c r="DU181" i="3" s="1"/>
  <c r="DU180" i="3" a="1"/>
  <c r="DU180" i="3" s="1"/>
  <c r="DU179" i="3" a="1"/>
  <c r="DU179" i="3" s="1"/>
  <c r="DU178" i="3" a="1"/>
  <c r="DU178" i="3" s="1"/>
  <c r="DU177" i="3" a="1"/>
  <c r="DU177" i="3" s="1"/>
  <c r="DU176" i="3" a="1"/>
  <c r="DU176" i="3" s="1"/>
  <c r="DU175" i="3" a="1"/>
  <c r="DU175" i="3" s="1"/>
  <c r="DU174" i="3" a="1"/>
  <c r="DU174" i="3" s="1"/>
  <c r="DU173" i="3" a="1"/>
  <c r="DU173" i="3" s="1"/>
  <c r="DU172" i="3" a="1"/>
  <c r="DU172" i="3" s="1"/>
  <c r="DU171" i="3" a="1"/>
  <c r="DU171" i="3" s="1"/>
  <c r="DU170" i="3" a="1"/>
  <c r="DU170" i="3" s="1"/>
  <c r="DU169" i="3" a="1"/>
  <c r="DU169" i="3" s="1"/>
  <c r="DU168" i="3" a="1"/>
  <c r="DU168" i="3" s="1"/>
  <c r="DU167" i="3" a="1"/>
  <c r="DU167" i="3" s="1"/>
  <c r="DU166" i="3" a="1"/>
  <c r="DU166" i="3" s="1"/>
  <c r="DU165" i="3" a="1"/>
  <c r="DU165" i="3" s="1"/>
  <c r="DU164" i="3" a="1"/>
  <c r="DU164" i="3" s="1"/>
  <c r="DU163" i="3" a="1"/>
  <c r="DU163" i="3" s="1"/>
  <c r="DU162" i="3" a="1"/>
  <c r="DU162" i="3" s="1"/>
  <c r="DU161" i="3" a="1"/>
  <c r="DU161" i="3" s="1"/>
  <c r="DU160" i="3" a="1"/>
  <c r="DU160" i="3" s="1"/>
  <c r="DU159" i="3" a="1"/>
  <c r="DU159" i="3" s="1"/>
  <c r="DU158" i="3" a="1"/>
  <c r="DU158" i="3" s="1"/>
  <c r="DU157" i="3" a="1"/>
  <c r="DU157" i="3" s="1"/>
  <c r="DU156" i="3" a="1"/>
  <c r="DU156" i="3" s="1"/>
  <c r="DU155" i="3" a="1"/>
  <c r="DU155" i="3" s="1"/>
  <c r="DU154" i="3" a="1"/>
  <c r="DU154" i="3" s="1"/>
  <c r="DU153" i="3" a="1"/>
  <c r="DU153" i="3" s="1"/>
  <c r="DU152" i="3" a="1"/>
  <c r="DU152" i="3" s="1"/>
  <c r="DU151" i="3" a="1"/>
  <c r="DU151" i="3" s="1"/>
  <c r="DU150" i="3" a="1"/>
  <c r="DU150" i="3" s="1"/>
  <c r="DU149" i="3" a="1"/>
  <c r="DU149" i="3" s="1"/>
  <c r="DU148" i="3" a="1"/>
  <c r="DU148" i="3" s="1"/>
  <c r="DU147" i="3" a="1"/>
  <c r="DU147" i="3" s="1"/>
  <c r="DU146" i="3" a="1"/>
  <c r="DU146" i="3" s="1"/>
  <c r="DU145" i="3" a="1"/>
  <c r="DU145" i="3" s="1"/>
  <c r="DU144" i="3" a="1"/>
  <c r="DU144" i="3" s="1"/>
  <c r="DU143" i="3" a="1"/>
  <c r="DU143" i="3" s="1"/>
  <c r="DU142" i="3" a="1"/>
  <c r="DU142" i="3" s="1"/>
  <c r="DU141" i="3" a="1"/>
  <c r="DU141" i="3" s="1"/>
  <c r="DU140" i="3" a="1"/>
  <c r="DU140" i="3" s="1"/>
  <c r="DU139" i="3" a="1"/>
  <c r="DU139" i="3" s="1"/>
  <c r="DU138" i="3" a="1"/>
  <c r="DU138" i="3" s="1"/>
  <c r="DU137" i="3" a="1"/>
  <c r="DU137" i="3" s="1"/>
  <c r="DU136" i="3" a="1"/>
  <c r="DU136" i="3" s="1"/>
  <c r="DU135" i="3" a="1"/>
  <c r="DU135" i="3" s="1"/>
  <c r="DU134" i="3" a="1"/>
  <c r="DU134" i="3" s="1"/>
  <c r="DU133" i="3" a="1"/>
  <c r="DU133" i="3" s="1"/>
  <c r="DU132" i="3" a="1"/>
  <c r="DU132" i="3" s="1"/>
  <c r="DU131" i="3" a="1"/>
  <c r="DU131" i="3" s="1"/>
  <c r="DU130" i="3" a="1"/>
  <c r="DU130" i="3" s="1"/>
  <c r="DU129" i="3" a="1"/>
  <c r="DU129" i="3" s="1"/>
  <c r="DU128" i="3" a="1"/>
  <c r="DU128" i="3" s="1"/>
  <c r="DU127" i="3" a="1"/>
  <c r="DU127" i="3" s="1"/>
  <c r="DU126" i="3" a="1"/>
  <c r="DU126" i="3" s="1"/>
  <c r="DU125" i="3" a="1"/>
  <c r="DU125" i="3" s="1"/>
  <c r="DU124" i="3" a="1"/>
  <c r="DU124" i="3" s="1"/>
  <c r="DU123" i="3" a="1"/>
  <c r="DU123" i="3" s="1"/>
  <c r="DU122" i="3" a="1"/>
  <c r="DU122" i="3" s="1"/>
  <c r="DU121" i="3" a="1"/>
  <c r="DU121" i="3" s="1"/>
  <c r="DU120" i="3" a="1"/>
  <c r="DU120" i="3" s="1"/>
  <c r="DU119" i="3" a="1"/>
  <c r="DU119" i="3" s="1"/>
  <c r="DU118" i="3" a="1"/>
  <c r="DU118" i="3" s="1"/>
  <c r="DU117" i="3" a="1"/>
  <c r="DU117" i="3" s="1"/>
  <c r="DU116" i="3" a="1"/>
  <c r="DU116" i="3" s="1"/>
  <c r="DU115" i="3" a="1"/>
  <c r="DU115" i="3" s="1"/>
  <c r="DU114" i="3" a="1"/>
  <c r="DU114" i="3" s="1"/>
  <c r="DU113" i="3" a="1"/>
  <c r="DU113" i="3" s="1"/>
  <c r="DU112" i="3" a="1"/>
  <c r="DU112" i="3" s="1"/>
  <c r="DU111" i="3" a="1"/>
  <c r="DU111" i="3" s="1"/>
  <c r="DU110" i="3" a="1"/>
  <c r="DU110" i="3" s="1"/>
  <c r="DU109" i="3" a="1"/>
  <c r="DU109" i="3" s="1"/>
  <c r="DU108" i="3" a="1"/>
  <c r="DU108" i="3" s="1"/>
  <c r="DU107" i="3" a="1"/>
  <c r="DU107" i="3" s="1"/>
  <c r="DU106" i="3" a="1"/>
  <c r="DU106" i="3" s="1"/>
  <c r="DU105" i="3" a="1"/>
  <c r="DU105" i="3" s="1"/>
  <c r="DU104" i="3" a="1"/>
  <c r="DU104" i="3" s="1"/>
  <c r="DU103" i="3" a="1"/>
  <c r="DU103" i="3" s="1"/>
  <c r="DU102" i="3" a="1"/>
  <c r="DU102" i="3" s="1"/>
  <c r="DU101" i="3" a="1"/>
  <c r="DU101" i="3" s="1"/>
  <c r="DU100" i="3" a="1"/>
  <c r="DU100" i="3" s="1"/>
  <c r="DU99" i="3" a="1"/>
  <c r="DU99" i="3" s="1"/>
  <c r="DU98" i="3" a="1"/>
  <c r="DU98" i="3" s="1"/>
  <c r="DU97" i="3" a="1"/>
  <c r="DU97" i="3" s="1"/>
  <c r="DU96" i="3" a="1"/>
  <c r="DU96" i="3" s="1"/>
  <c r="DU95" i="3" a="1"/>
  <c r="DU95" i="3" s="1"/>
  <c r="DU94" i="3" a="1"/>
  <c r="DU94" i="3" s="1"/>
  <c r="DU93" i="3" a="1"/>
  <c r="DU93" i="3" s="1"/>
  <c r="DU92" i="3" a="1"/>
  <c r="DU92" i="3" s="1"/>
  <c r="DU91" i="3" a="1"/>
  <c r="DU91" i="3" s="1"/>
  <c r="DU90" i="3" a="1"/>
  <c r="DU90" i="3" s="1"/>
  <c r="DU89" i="3" a="1"/>
  <c r="DU89" i="3" s="1"/>
  <c r="DU88" i="3" a="1"/>
  <c r="DU88" i="3" s="1"/>
  <c r="DU87" i="3" a="1"/>
  <c r="DU87" i="3" s="1"/>
  <c r="DU86" i="3" a="1"/>
  <c r="DU86" i="3" s="1"/>
  <c r="DU85" i="3" a="1"/>
  <c r="DU85" i="3" s="1"/>
  <c r="DU84" i="3" a="1"/>
  <c r="DU84" i="3" s="1"/>
  <c r="DU83" i="3" a="1"/>
  <c r="DU83" i="3" s="1"/>
  <c r="DU82" i="3" a="1"/>
  <c r="DU82" i="3" s="1"/>
  <c r="DU81" i="3" a="1"/>
  <c r="DU81" i="3" s="1"/>
  <c r="DU80" i="3" a="1"/>
  <c r="DU80" i="3" s="1"/>
  <c r="DU79" i="3" a="1"/>
  <c r="DU79" i="3" s="1"/>
  <c r="DU78" i="3" a="1"/>
  <c r="DU78" i="3" s="1"/>
  <c r="DU77" i="3" a="1"/>
  <c r="DU77" i="3" s="1"/>
  <c r="DU76" i="3" a="1"/>
  <c r="DU76" i="3" s="1"/>
  <c r="DU75" i="3" a="1"/>
  <c r="DU75" i="3" s="1"/>
  <c r="DU74" i="3" a="1"/>
  <c r="DU74" i="3" s="1"/>
  <c r="DU73" i="3" a="1"/>
  <c r="DU73" i="3" s="1"/>
  <c r="DU72" i="3" a="1"/>
  <c r="DU72" i="3" s="1"/>
  <c r="DU71" i="3" a="1"/>
  <c r="DU71" i="3" s="1"/>
  <c r="DU70" i="3" a="1"/>
  <c r="DU70" i="3" s="1"/>
  <c r="DU69" i="3" a="1"/>
  <c r="DU69" i="3" s="1"/>
  <c r="DU68" i="3" a="1"/>
  <c r="DU68" i="3" s="1"/>
  <c r="DU67" i="3" a="1"/>
  <c r="DU67" i="3" s="1"/>
  <c r="DU66" i="3" a="1"/>
  <c r="DU66" i="3" s="1"/>
  <c r="DU65" i="3" a="1"/>
  <c r="DU65" i="3" s="1"/>
  <c r="DU64" i="3" a="1"/>
  <c r="DU64" i="3" s="1"/>
  <c r="DU63" i="3" a="1"/>
  <c r="DU63" i="3" s="1"/>
  <c r="DU62" i="3" a="1"/>
  <c r="DU62" i="3" s="1"/>
  <c r="DU61" i="3" a="1"/>
  <c r="DU61" i="3" s="1"/>
  <c r="DU60" i="3" a="1"/>
  <c r="DU60" i="3" s="1"/>
  <c r="DU59" i="3" a="1"/>
  <c r="DU59" i="3" s="1"/>
  <c r="DU58" i="3" a="1"/>
  <c r="DU58" i="3" s="1"/>
  <c r="DU57" i="3" a="1"/>
  <c r="DU57" i="3" s="1"/>
  <c r="DU56" i="3" a="1"/>
  <c r="DU56" i="3" s="1"/>
  <c r="DU55" i="3" a="1"/>
  <c r="DU55" i="3" s="1"/>
  <c r="DU54" i="3" a="1"/>
  <c r="DU54" i="3" s="1"/>
  <c r="DU53" i="3" a="1"/>
  <c r="DU53" i="3" s="1"/>
  <c r="DU52" i="3" a="1"/>
  <c r="DU52" i="3" s="1"/>
  <c r="DU51" i="3" a="1"/>
  <c r="DU51" i="3" s="1"/>
  <c r="DU50" i="3" a="1"/>
  <c r="DU50" i="3" s="1"/>
  <c r="DU49" i="3" a="1"/>
  <c r="DU49" i="3" s="1"/>
  <c r="DU48" i="3" a="1"/>
  <c r="DU48" i="3" s="1"/>
  <c r="DU47" i="3" a="1"/>
  <c r="DU47" i="3" s="1"/>
  <c r="DU46" i="3" a="1"/>
  <c r="DU46" i="3" s="1"/>
  <c r="DU45" i="3" a="1"/>
  <c r="DU45" i="3" s="1"/>
  <c r="DU44" i="3" a="1"/>
  <c r="DU44" i="3" s="1"/>
  <c r="DU43" i="3" a="1"/>
  <c r="DU43" i="3" s="1"/>
  <c r="DU42" i="3" a="1"/>
  <c r="DU42" i="3" s="1"/>
  <c r="DU41" i="3" a="1"/>
  <c r="DU41" i="3" s="1"/>
  <c r="DU40" i="3" a="1"/>
  <c r="DU40" i="3" s="1"/>
  <c r="DU39" i="3" a="1"/>
  <c r="DU39" i="3" s="1"/>
  <c r="DU38" i="3" a="1"/>
  <c r="DU38" i="3" s="1"/>
  <c r="DU37" i="3" a="1"/>
  <c r="DU37" i="3" s="1"/>
  <c r="DU36" i="3" a="1"/>
  <c r="DU36" i="3" s="1"/>
  <c r="DU35" i="3" a="1"/>
  <c r="DU35" i="3" s="1"/>
  <c r="DU34" i="3" a="1"/>
  <c r="DU34" i="3" s="1"/>
  <c r="DU33" i="3" a="1"/>
  <c r="DU33" i="3" s="1"/>
  <c r="DU32" i="3" a="1"/>
  <c r="DU32" i="3" s="1"/>
  <c r="DU31" i="3" a="1"/>
  <c r="DU31" i="3" s="1"/>
  <c r="DU30" i="3" a="1"/>
  <c r="DU30" i="3" s="1"/>
  <c r="DU29" i="3" a="1"/>
  <c r="DU29" i="3" s="1"/>
  <c r="DU28" i="3" a="1"/>
  <c r="DU28" i="3" s="1"/>
  <c r="DU27" i="3" a="1"/>
  <c r="DU27" i="3" s="1"/>
  <c r="DU26" i="3" a="1"/>
  <c r="DU26" i="3" s="1"/>
  <c r="DU25" i="3" a="1"/>
  <c r="DU25" i="3" s="1"/>
  <c r="DU24" i="3" a="1"/>
  <c r="DU24" i="3" s="1"/>
  <c r="DU23" i="3" a="1"/>
  <c r="DU23" i="3" s="1"/>
  <c r="DU22" i="3" a="1"/>
  <c r="DU22" i="3" s="1"/>
  <c r="DU21" i="3" a="1"/>
  <c r="DU21" i="3" s="1"/>
  <c r="DU20" i="3" a="1"/>
  <c r="DU20" i="3" s="1"/>
  <c r="DU19" i="3" a="1"/>
  <c r="DU19" i="3" s="1"/>
  <c r="DU18" i="3" a="1"/>
  <c r="DU18" i="3" s="1"/>
  <c r="DU17" i="3" a="1"/>
  <c r="DU17" i="3" s="1"/>
  <c r="DU16" i="3" a="1"/>
  <c r="DU16" i="3" s="1"/>
  <c r="DU15" i="3" a="1"/>
  <c r="DU15" i="3" s="1"/>
  <c r="DU14" i="3" a="1"/>
  <c r="DU14" i="3" s="1"/>
  <c r="DU13" i="3" a="1"/>
  <c r="DU13" i="3" s="1"/>
  <c r="DU12" i="3" a="1"/>
  <c r="DU12" i="3" s="1"/>
  <c r="DU11" i="3" a="1"/>
  <c r="DU11" i="3" s="1"/>
  <c r="DU10" i="3" a="1"/>
  <c r="DU10" i="3" s="1"/>
  <c r="DU9" i="3" a="1"/>
  <c r="DU9" i="3" s="1"/>
  <c r="DV9" i="3" s="1"/>
  <c r="DT308" i="3" l="1"/>
  <c r="DV308" i="3" s="1"/>
  <c r="DT307" i="3"/>
  <c r="DV307" i="3" s="1"/>
  <c r="DT306" i="3"/>
  <c r="DV306" i="3" s="1"/>
  <c r="DT305" i="3"/>
  <c r="DV305" i="3" s="1"/>
  <c r="DT304" i="3"/>
  <c r="DV304" i="3" s="1"/>
  <c r="DT303" i="3"/>
  <c r="DV303" i="3" s="1"/>
  <c r="DT302" i="3"/>
  <c r="DV302" i="3" s="1"/>
  <c r="DT301" i="3"/>
  <c r="DV301" i="3" s="1"/>
  <c r="DT300" i="3"/>
  <c r="DV300" i="3" s="1"/>
  <c r="DT299" i="3"/>
  <c r="DV299" i="3" s="1"/>
  <c r="DT298" i="3"/>
  <c r="DV298" i="3" s="1"/>
  <c r="DT297" i="3"/>
  <c r="DV297" i="3" s="1"/>
  <c r="DT296" i="3"/>
  <c r="DV296" i="3" s="1"/>
  <c r="DT295" i="3"/>
  <c r="DV295" i="3" s="1"/>
  <c r="DT294" i="3"/>
  <c r="DV294" i="3" s="1"/>
  <c r="DT293" i="3"/>
  <c r="DV293" i="3" s="1"/>
  <c r="DT292" i="3"/>
  <c r="DV292" i="3" s="1"/>
  <c r="DT291" i="3"/>
  <c r="DV291" i="3" s="1"/>
  <c r="DT290" i="3"/>
  <c r="DV290" i="3" s="1"/>
  <c r="DT289" i="3"/>
  <c r="DV289" i="3" s="1"/>
  <c r="DT288" i="3"/>
  <c r="DV288" i="3" s="1"/>
  <c r="DT287" i="3"/>
  <c r="DV287" i="3" s="1"/>
  <c r="DT286" i="3"/>
  <c r="DV286" i="3" s="1"/>
  <c r="DT285" i="3"/>
  <c r="DV285" i="3" s="1"/>
  <c r="DT284" i="3"/>
  <c r="DV284" i="3" s="1"/>
  <c r="DT283" i="3"/>
  <c r="DV283" i="3" s="1"/>
  <c r="DT282" i="3"/>
  <c r="DV282" i="3" s="1"/>
  <c r="DT281" i="3"/>
  <c r="DV281" i="3" s="1"/>
  <c r="DT280" i="3"/>
  <c r="DV280" i="3" s="1"/>
  <c r="DT279" i="3"/>
  <c r="DV279" i="3" s="1"/>
  <c r="DT278" i="3"/>
  <c r="DV278" i="3" s="1"/>
  <c r="DT277" i="3"/>
  <c r="DV277" i="3" s="1"/>
  <c r="DT276" i="3"/>
  <c r="DV276" i="3" s="1"/>
  <c r="DT275" i="3"/>
  <c r="DV275" i="3" s="1"/>
  <c r="DT274" i="3"/>
  <c r="DV274" i="3" s="1"/>
  <c r="DT273" i="3"/>
  <c r="DV273" i="3" s="1"/>
  <c r="DT272" i="3"/>
  <c r="DV272" i="3" s="1"/>
  <c r="DT271" i="3"/>
  <c r="DV271" i="3" s="1"/>
  <c r="DT270" i="3"/>
  <c r="DV270" i="3" s="1"/>
  <c r="DT269" i="3"/>
  <c r="DV269" i="3" s="1"/>
  <c r="DT268" i="3"/>
  <c r="DV268" i="3" s="1"/>
  <c r="DT267" i="3"/>
  <c r="DV267" i="3" s="1"/>
  <c r="DT266" i="3"/>
  <c r="DV266" i="3" s="1"/>
  <c r="DT265" i="3"/>
  <c r="DV265" i="3" s="1"/>
  <c r="DT264" i="3"/>
  <c r="DV264" i="3" s="1"/>
  <c r="DT263" i="3"/>
  <c r="DV263" i="3" s="1"/>
  <c r="DT262" i="3"/>
  <c r="DV262" i="3" s="1"/>
  <c r="DT261" i="3"/>
  <c r="DV261" i="3" s="1"/>
  <c r="DT260" i="3"/>
  <c r="DV260" i="3" s="1"/>
  <c r="DT259" i="3"/>
  <c r="DV259" i="3" s="1"/>
  <c r="DT258" i="3"/>
  <c r="DV258" i="3" s="1"/>
  <c r="DT257" i="3"/>
  <c r="DV257" i="3" s="1"/>
  <c r="DT256" i="3"/>
  <c r="DV256" i="3" s="1"/>
  <c r="DT255" i="3"/>
  <c r="DV255" i="3" s="1"/>
  <c r="DT254" i="3"/>
  <c r="DV254" i="3" s="1"/>
  <c r="DT253" i="3"/>
  <c r="DV253" i="3" s="1"/>
  <c r="DT252" i="3"/>
  <c r="DV252" i="3" s="1"/>
  <c r="DT251" i="3"/>
  <c r="DV251" i="3" s="1"/>
  <c r="DT250" i="3"/>
  <c r="DV250" i="3" s="1"/>
  <c r="DT249" i="3"/>
  <c r="DV249" i="3" s="1"/>
  <c r="DT248" i="3"/>
  <c r="DV248" i="3" s="1"/>
  <c r="DT247" i="3"/>
  <c r="DV247" i="3" s="1"/>
  <c r="DT246" i="3"/>
  <c r="DV246" i="3" s="1"/>
  <c r="DT245" i="3"/>
  <c r="DV245" i="3" s="1"/>
  <c r="DT244" i="3"/>
  <c r="DV244" i="3" s="1"/>
  <c r="DT243" i="3"/>
  <c r="DV243" i="3" s="1"/>
  <c r="DT242" i="3"/>
  <c r="DV242" i="3" s="1"/>
  <c r="DT241" i="3"/>
  <c r="DV241" i="3" s="1"/>
  <c r="DT240" i="3"/>
  <c r="DV240" i="3" s="1"/>
  <c r="DT239" i="3"/>
  <c r="DV239" i="3" s="1"/>
  <c r="DT238" i="3"/>
  <c r="DV238" i="3" s="1"/>
  <c r="DT237" i="3"/>
  <c r="DV237" i="3" s="1"/>
  <c r="DT236" i="3"/>
  <c r="DV236" i="3" s="1"/>
  <c r="DT235" i="3"/>
  <c r="DV235" i="3" s="1"/>
  <c r="DT234" i="3"/>
  <c r="DV234" i="3" s="1"/>
  <c r="DT233" i="3"/>
  <c r="DV233" i="3" s="1"/>
  <c r="DT232" i="3"/>
  <c r="DV232" i="3" s="1"/>
  <c r="DT231" i="3"/>
  <c r="DV231" i="3" s="1"/>
  <c r="DT230" i="3"/>
  <c r="DV230" i="3" s="1"/>
  <c r="DT229" i="3"/>
  <c r="DV229" i="3" s="1"/>
  <c r="DT228" i="3"/>
  <c r="DV228" i="3" s="1"/>
  <c r="DT227" i="3"/>
  <c r="DV227" i="3" s="1"/>
  <c r="DT226" i="3"/>
  <c r="DV226" i="3" s="1"/>
  <c r="DT225" i="3"/>
  <c r="DV225" i="3" s="1"/>
  <c r="DT224" i="3"/>
  <c r="DV224" i="3" s="1"/>
  <c r="DT223" i="3"/>
  <c r="DV223" i="3" s="1"/>
  <c r="DT222" i="3"/>
  <c r="DV222" i="3" s="1"/>
  <c r="DT221" i="3"/>
  <c r="DV221" i="3" s="1"/>
  <c r="DT220" i="3"/>
  <c r="DV220" i="3" s="1"/>
  <c r="DT219" i="3"/>
  <c r="DV219" i="3" s="1"/>
  <c r="DT218" i="3"/>
  <c r="DV218" i="3" s="1"/>
  <c r="DT217" i="3"/>
  <c r="DV217" i="3" s="1"/>
  <c r="DT216" i="3"/>
  <c r="DV216" i="3" s="1"/>
  <c r="DT215" i="3"/>
  <c r="DV215" i="3" s="1"/>
  <c r="DT214" i="3"/>
  <c r="DV214" i="3" s="1"/>
  <c r="DT213" i="3"/>
  <c r="DV213" i="3" s="1"/>
  <c r="DT212" i="3"/>
  <c r="DV212" i="3" s="1"/>
  <c r="DT211" i="3"/>
  <c r="DV211" i="3" s="1"/>
  <c r="DT210" i="3"/>
  <c r="DV210" i="3" s="1"/>
  <c r="DT209" i="3"/>
  <c r="DV209" i="3" s="1"/>
  <c r="DT208" i="3"/>
  <c r="DV208" i="3" s="1"/>
  <c r="DT207" i="3"/>
  <c r="DV207" i="3" s="1"/>
  <c r="DT206" i="3"/>
  <c r="DV206" i="3" s="1"/>
  <c r="DT205" i="3"/>
  <c r="DV205" i="3" s="1"/>
  <c r="DT204" i="3"/>
  <c r="DV204" i="3" s="1"/>
  <c r="DT203" i="3"/>
  <c r="DV203" i="3" s="1"/>
  <c r="DT202" i="3"/>
  <c r="DV202" i="3" s="1"/>
  <c r="DT201" i="3"/>
  <c r="DV201" i="3" s="1"/>
  <c r="DT200" i="3"/>
  <c r="DV200" i="3" s="1"/>
  <c r="DT199" i="3"/>
  <c r="DV199" i="3" s="1"/>
  <c r="DT198" i="3"/>
  <c r="DV198" i="3" s="1"/>
  <c r="DT197" i="3"/>
  <c r="DV197" i="3" s="1"/>
  <c r="DT196" i="3"/>
  <c r="DV196" i="3" s="1"/>
  <c r="DT195" i="3"/>
  <c r="DV195" i="3" s="1"/>
  <c r="DT194" i="3"/>
  <c r="DV194" i="3" s="1"/>
  <c r="DT193" i="3"/>
  <c r="DV193" i="3" s="1"/>
  <c r="DT192" i="3"/>
  <c r="DV192" i="3" s="1"/>
  <c r="DT191" i="3"/>
  <c r="DV191" i="3" s="1"/>
  <c r="DT190" i="3"/>
  <c r="DV190" i="3" s="1"/>
  <c r="DT189" i="3"/>
  <c r="DV189" i="3" s="1"/>
  <c r="DT188" i="3"/>
  <c r="DV188" i="3" s="1"/>
  <c r="DT187" i="3"/>
  <c r="DV187" i="3" s="1"/>
  <c r="DT186" i="3"/>
  <c r="DV186" i="3" s="1"/>
  <c r="DT185" i="3"/>
  <c r="DV185" i="3" s="1"/>
  <c r="DT184" i="3"/>
  <c r="DV184" i="3" s="1"/>
  <c r="DT183" i="3"/>
  <c r="DV183" i="3" s="1"/>
  <c r="DT182" i="3"/>
  <c r="DV182" i="3" s="1"/>
  <c r="DT181" i="3"/>
  <c r="DV181" i="3" s="1"/>
  <c r="DT180" i="3"/>
  <c r="DV180" i="3" s="1"/>
  <c r="DT179" i="3"/>
  <c r="DV179" i="3" s="1"/>
  <c r="DT178" i="3"/>
  <c r="DV178" i="3" s="1"/>
  <c r="DT177" i="3"/>
  <c r="DV177" i="3" s="1"/>
  <c r="DT176" i="3"/>
  <c r="DV176" i="3" s="1"/>
  <c r="DT175" i="3"/>
  <c r="DV175" i="3" s="1"/>
  <c r="DT174" i="3"/>
  <c r="DV174" i="3" s="1"/>
  <c r="DT173" i="3"/>
  <c r="DV173" i="3" s="1"/>
  <c r="DT172" i="3"/>
  <c r="DV172" i="3" s="1"/>
  <c r="DT171" i="3"/>
  <c r="DV171" i="3" s="1"/>
  <c r="DT170" i="3"/>
  <c r="DV170" i="3" s="1"/>
  <c r="DT169" i="3"/>
  <c r="DV169" i="3" s="1"/>
  <c r="DT168" i="3"/>
  <c r="DV168" i="3" s="1"/>
  <c r="DT167" i="3"/>
  <c r="DV167" i="3" s="1"/>
  <c r="DT166" i="3"/>
  <c r="DV166" i="3" s="1"/>
  <c r="DT165" i="3"/>
  <c r="DV165" i="3" s="1"/>
  <c r="DT164" i="3"/>
  <c r="DV164" i="3" s="1"/>
  <c r="DT163" i="3"/>
  <c r="DV163" i="3" s="1"/>
  <c r="DT162" i="3"/>
  <c r="DV162" i="3" s="1"/>
  <c r="DT161" i="3"/>
  <c r="DV161" i="3" s="1"/>
  <c r="DT160" i="3"/>
  <c r="DV160" i="3" s="1"/>
  <c r="DT159" i="3"/>
  <c r="DV159" i="3" s="1"/>
  <c r="DT158" i="3"/>
  <c r="DV158" i="3" s="1"/>
  <c r="DT157" i="3"/>
  <c r="DV157" i="3" s="1"/>
  <c r="DT156" i="3"/>
  <c r="DV156" i="3" s="1"/>
  <c r="DT155" i="3"/>
  <c r="DV155" i="3" s="1"/>
  <c r="DT154" i="3"/>
  <c r="DV154" i="3" s="1"/>
  <c r="DT153" i="3"/>
  <c r="DV153" i="3" s="1"/>
  <c r="DT152" i="3"/>
  <c r="DV152" i="3" s="1"/>
  <c r="DT151" i="3"/>
  <c r="DV151" i="3" s="1"/>
  <c r="DT150" i="3"/>
  <c r="DV150" i="3" s="1"/>
  <c r="DT149" i="3"/>
  <c r="DV149" i="3" s="1"/>
  <c r="DT148" i="3"/>
  <c r="DV148" i="3" s="1"/>
  <c r="DT147" i="3"/>
  <c r="DV147" i="3" s="1"/>
  <c r="DT146" i="3"/>
  <c r="DV146" i="3" s="1"/>
  <c r="DT145" i="3"/>
  <c r="DV145" i="3" s="1"/>
  <c r="DT144" i="3"/>
  <c r="DV144" i="3" s="1"/>
  <c r="DT143" i="3"/>
  <c r="DV143" i="3" s="1"/>
  <c r="DT142" i="3"/>
  <c r="DV142" i="3" s="1"/>
  <c r="DT141" i="3"/>
  <c r="DV141" i="3" s="1"/>
  <c r="DT140" i="3"/>
  <c r="DV140" i="3" s="1"/>
  <c r="DT139" i="3"/>
  <c r="DV139" i="3" s="1"/>
  <c r="DT138" i="3"/>
  <c r="DV138" i="3" s="1"/>
  <c r="DT137" i="3"/>
  <c r="DV137" i="3" s="1"/>
  <c r="DT136" i="3"/>
  <c r="DV136" i="3" s="1"/>
  <c r="DT135" i="3"/>
  <c r="DV135" i="3" s="1"/>
  <c r="DT134" i="3"/>
  <c r="DV134" i="3" s="1"/>
  <c r="DT133" i="3"/>
  <c r="DV133" i="3" s="1"/>
  <c r="DT132" i="3"/>
  <c r="DV132" i="3" s="1"/>
  <c r="DT131" i="3"/>
  <c r="DV131" i="3" s="1"/>
  <c r="DT130" i="3"/>
  <c r="DV130" i="3" s="1"/>
  <c r="DT129" i="3"/>
  <c r="DV129" i="3" s="1"/>
  <c r="DT128" i="3"/>
  <c r="DV128" i="3" s="1"/>
  <c r="DT127" i="3"/>
  <c r="DV127" i="3" s="1"/>
  <c r="DT126" i="3"/>
  <c r="DV126" i="3" s="1"/>
  <c r="DT125" i="3"/>
  <c r="DV125" i="3" s="1"/>
  <c r="DT124" i="3"/>
  <c r="DV124" i="3" s="1"/>
  <c r="DT123" i="3"/>
  <c r="DV123" i="3" s="1"/>
  <c r="DT122" i="3"/>
  <c r="DV122" i="3" s="1"/>
  <c r="DT121" i="3"/>
  <c r="DV121" i="3" s="1"/>
  <c r="DT120" i="3"/>
  <c r="DV120" i="3" s="1"/>
  <c r="DT119" i="3"/>
  <c r="DV119" i="3" s="1"/>
  <c r="DT118" i="3"/>
  <c r="DV118" i="3" s="1"/>
  <c r="DT117" i="3"/>
  <c r="DV117" i="3" s="1"/>
  <c r="DT116" i="3"/>
  <c r="DV116" i="3" s="1"/>
  <c r="DT115" i="3"/>
  <c r="DV115" i="3" s="1"/>
  <c r="DT114" i="3"/>
  <c r="DV114" i="3" s="1"/>
  <c r="DT113" i="3"/>
  <c r="DV113" i="3" s="1"/>
  <c r="DT112" i="3"/>
  <c r="DV112" i="3" s="1"/>
  <c r="DT111" i="3"/>
  <c r="DV111" i="3" s="1"/>
  <c r="DT110" i="3"/>
  <c r="DV110" i="3" s="1"/>
  <c r="DT109" i="3"/>
  <c r="DV109" i="3" s="1"/>
  <c r="DT108" i="3"/>
  <c r="DV108" i="3" s="1"/>
  <c r="DT107" i="3"/>
  <c r="DV107" i="3" s="1"/>
  <c r="DT106" i="3"/>
  <c r="DV106" i="3" s="1"/>
  <c r="DT105" i="3"/>
  <c r="DV105" i="3" s="1"/>
  <c r="DT104" i="3"/>
  <c r="DV104" i="3" s="1"/>
  <c r="DT103" i="3"/>
  <c r="DV103" i="3" s="1"/>
  <c r="DT102" i="3"/>
  <c r="DV102" i="3" s="1"/>
  <c r="DT101" i="3"/>
  <c r="DV101" i="3" s="1"/>
  <c r="DT100" i="3"/>
  <c r="DV100" i="3" s="1"/>
  <c r="DT99" i="3"/>
  <c r="DV99" i="3" s="1"/>
  <c r="DT98" i="3"/>
  <c r="DV98" i="3" s="1"/>
  <c r="DT97" i="3"/>
  <c r="DV97" i="3" s="1"/>
  <c r="DT96" i="3"/>
  <c r="DV96" i="3" s="1"/>
  <c r="DT95" i="3"/>
  <c r="DV95" i="3" s="1"/>
  <c r="DT94" i="3"/>
  <c r="DV94" i="3" s="1"/>
  <c r="DT93" i="3"/>
  <c r="DV93" i="3" s="1"/>
  <c r="DT92" i="3"/>
  <c r="DV92" i="3" s="1"/>
  <c r="DT91" i="3"/>
  <c r="DV91" i="3" s="1"/>
  <c r="DT90" i="3"/>
  <c r="DV90" i="3" s="1"/>
  <c r="DT89" i="3"/>
  <c r="DV89" i="3" s="1"/>
  <c r="DT88" i="3"/>
  <c r="DV88" i="3" s="1"/>
  <c r="DT87" i="3"/>
  <c r="DV87" i="3" s="1"/>
  <c r="DT86" i="3"/>
  <c r="DV86" i="3" s="1"/>
  <c r="DT85" i="3"/>
  <c r="DV85" i="3" s="1"/>
  <c r="DT84" i="3"/>
  <c r="DV84" i="3" s="1"/>
  <c r="DT83" i="3"/>
  <c r="DV83" i="3" s="1"/>
  <c r="DT82" i="3"/>
  <c r="DV82" i="3" s="1"/>
  <c r="DT81" i="3"/>
  <c r="DV81" i="3" s="1"/>
  <c r="DT80" i="3"/>
  <c r="DV80" i="3" s="1"/>
  <c r="DT79" i="3"/>
  <c r="DV79" i="3" s="1"/>
  <c r="DT78" i="3"/>
  <c r="DV78" i="3" s="1"/>
  <c r="DT77" i="3"/>
  <c r="DV77" i="3" s="1"/>
  <c r="DT76" i="3"/>
  <c r="DV76" i="3" s="1"/>
  <c r="DT75" i="3"/>
  <c r="DV75" i="3" s="1"/>
  <c r="DT74" i="3"/>
  <c r="DV74" i="3" s="1"/>
  <c r="DT73" i="3"/>
  <c r="DV73" i="3" s="1"/>
  <c r="DT72" i="3"/>
  <c r="DV72" i="3" s="1"/>
  <c r="DT71" i="3"/>
  <c r="DV71" i="3" s="1"/>
  <c r="DT70" i="3"/>
  <c r="DV70" i="3" s="1"/>
  <c r="DT69" i="3"/>
  <c r="DV69" i="3" s="1"/>
  <c r="DT68" i="3"/>
  <c r="DV68" i="3" s="1"/>
  <c r="DT67" i="3"/>
  <c r="DV67" i="3" s="1"/>
  <c r="DT66" i="3"/>
  <c r="DV66" i="3" s="1"/>
  <c r="DT65" i="3"/>
  <c r="DV65" i="3" s="1"/>
  <c r="DT64" i="3"/>
  <c r="DV64" i="3" s="1"/>
  <c r="DT63" i="3"/>
  <c r="DV63" i="3" s="1"/>
  <c r="DT62" i="3"/>
  <c r="DV62" i="3" s="1"/>
  <c r="DT61" i="3"/>
  <c r="DV61" i="3" s="1"/>
  <c r="DT60" i="3"/>
  <c r="DV60" i="3" s="1"/>
  <c r="DT59" i="3"/>
  <c r="DV59" i="3" s="1"/>
  <c r="DT58" i="3"/>
  <c r="DV58" i="3" s="1"/>
  <c r="DT57" i="3"/>
  <c r="DV57" i="3" s="1"/>
  <c r="DT56" i="3"/>
  <c r="DV56" i="3" s="1"/>
  <c r="DT55" i="3"/>
  <c r="DV55" i="3" s="1"/>
  <c r="DT54" i="3"/>
  <c r="DV54" i="3" s="1"/>
  <c r="DT53" i="3"/>
  <c r="DV53" i="3" s="1"/>
  <c r="DT52" i="3"/>
  <c r="DV52" i="3" s="1"/>
  <c r="DT51" i="3"/>
  <c r="DV51" i="3" s="1"/>
  <c r="DT50" i="3"/>
  <c r="DV50" i="3" s="1"/>
  <c r="DT49" i="3"/>
  <c r="DV49" i="3" s="1"/>
  <c r="DT48" i="3"/>
  <c r="DV48" i="3" s="1"/>
  <c r="DT47" i="3"/>
  <c r="DV47" i="3" s="1"/>
  <c r="DT46" i="3"/>
  <c r="DV46" i="3" s="1"/>
  <c r="DT45" i="3"/>
  <c r="DV45" i="3" s="1"/>
  <c r="DT44" i="3"/>
  <c r="DV44" i="3" s="1"/>
  <c r="DT43" i="3"/>
  <c r="DV43" i="3" s="1"/>
  <c r="DT42" i="3"/>
  <c r="DV42" i="3" s="1"/>
  <c r="DT41" i="3"/>
  <c r="DV41" i="3" s="1"/>
  <c r="DT40" i="3"/>
  <c r="DV40" i="3" s="1"/>
  <c r="DT39" i="3"/>
  <c r="DV39" i="3" s="1"/>
  <c r="DT38" i="3"/>
  <c r="DV38" i="3" s="1"/>
  <c r="DT37" i="3"/>
  <c r="DV37" i="3" s="1"/>
  <c r="DT36" i="3"/>
  <c r="DV36" i="3" s="1"/>
  <c r="DT35" i="3"/>
  <c r="DV35" i="3" s="1"/>
  <c r="DT34" i="3"/>
  <c r="DV34" i="3" s="1"/>
  <c r="DT33" i="3"/>
  <c r="DV33" i="3" s="1"/>
  <c r="DT32" i="3"/>
  <c r="DV32" i="3" s="1"/>
  <c r="DT31" i="3"/>
  <c r="DV31" i="3" s="1"/>
  <c r="DT30" i="3"/>
  <c r="DV30" i="3" s="1"/>
  <c r="DT29" i="3"/>
  <c r="DV29" i="3" s="1"/>
  <c r="DT28" i="3"/>
  <c r="DV28" i="3" s="1"/>
  <c r="DT27" i="3"/>
  <c r="DV27" i="3" s="1"/>
  <c r="DT26" i="3"/>
  <c r="DV26" i="3" s="1"/>
  <c r="DT25" i="3"/>
  <c r="DV25" i="3" s="1"/>
  <c r="DT24" i="3"/>
  <c r="DV24" i="3" s="1"/>
  <c r="DT23" i="3"/>
  <c r="DV23" i="3" s="1"/>
  <c r="DT22" i="3"/>
  <c r="DV22" i="3" s="1"/>
  <c r="DT21" i="3"/>
  <c r="DV21" i="3" s="1"/>
  <c r="DT20" i="3"/>
  <c r="DV20" i="3" s="1"/>
  <c r="DT19" i="3"/>
  <c r="DV19" i="3" s="1"/>
  <c r="DT18" i="3"/>
  <c r="DV18" i="3" s="1"/>
  <c r="DT17" i="3"/>
  <c r="DV17" i="3" s="1"/>
  <c r="DT16" i="3"/>
  <c r="DV16" i="3" s="1"/>
  <c r="DT15" i="3"/>
  <c r="DV15" i="3" s="1"/>
  <c r="DT14" i="3"/>
  <c r="DV14" i="3" s="1"/>
  <c r="DT13" i="3"/>
  <c r="DV13" i="3" s="1"/>
  <c r="DT12" i="3"/>
  <c r="DV12" i="3" s="1"/>
  <c r="DT11" i="3"/>
  <c r="DV11" i="3" s="1"/>
  <c r="DT10" i="3"/>
  <c r="DV10" i="3" s="1"/>
  <c r="C322" i="20" l="1"/>
  <c r="C321" i="20"/>
  <c r="C320" i="20"/>
  <c r="C319" i="20"/>
  <c r="C318" i="20"/>
  <c r="C317" i="20"/>
  <c r="C316" i="20"/>
  <c r="C315" i="20"/>
  <c r="C314" i="20"/>
  <c r="C313" i="20"/>
  <c r="C312" i="20"/>
  <c r="C311" i="20"/>
  <c r="C310" i="20"/>
  <c r="C309" i="20"/>
  <c r="C308" i="20"/>
  <c r="C307" i="20"/>
  <c r="C306" i="20"/>
  <c r="C305" i="20"/>
  <c r="C304" i="20"/>
  <c r="C303" i="20"/>
  <c r="C302" i="20"/>
  <c r="C301" i="20"/>
  <c r="C300" i="20"/>
  <c r="C299" i="20"/>
  <c r="C298" i="20"/>
  <c r="C297" i="20"/>
  <c r="C296" i="20"/>
  <c r="C295" i="20"/>
  <c r="C294" i="20"/>
  <c r="C293" i="20"/>
  <c r="C292" i="20"/>
  <c r="C291" i="20"/>
  <c r="C290" i="20"/>
  <c r="C289" i="20"/>
  <c r="C288" i="20"/>
  <c r="C287" i="20"/>
  <c r="C286" i="20"/>
  <c r="C285" i="20"/>
  <c r="C284" i="20"/>
  <c r="C283" i="20"/>
  <c r="C282" i="20"/>
  <c r="C281" i="20"/>
  <c r="C280" i="20"/>
  <c r="C279" i="20"/>
  <c r="C278" i="20"/>
  <c r="C277" i="20"/>
  <c r="C276" i="20"/>
  <c r="C275" i="20"/>
  <c r="C274" i="20"/>
  <c r="C273" i="20"/>
  <c r="C272" i="20"/>
  <c r="C271" i="20"/>
  <c r="C270" i="20"/>
  <c r="C269" i="20"/>
  <c r="C268" i="20"/>
  <c r="C267" i="20"/>
  <c r="C266" i="20"/>
  <c r="C265" i="20"/>
  <c r="C264" i="20"/>
  <c r="C263" i="20"/>
  <c r="C262" i="20"/>
  <c r="C261" i="20"/>
  <c r="C260" i="20"/>
  <c r="C259" i="20"/>
  <c r="C258" i="20"/>
  <c r="C257" i="20"/>
  <c r="C256" i="20"/>
  <c r="C255" i="20"/>
  <c r="C254" i="20"/>
  <c r="C253" i="20"/>
  <c r="C252" i="20"/>
  <c r="C251" i="20"/>
  <c r="C250" i="20"/>
  <c r="C249" i="20"/>
  <c r="C248" i="20"/>
  <c r="C247" i="20"/>
  <c r="C246" i="20"/>
  <c r="C245" i="20"/>
  <c r="C244" i="20"/>
  <c r="C243" i="20"/>
  <c r="C242" i="20"/>
  <c r="C241" i="20"/>
  <c r="C240" i="20"/>
  <c r="C239" i="20"/>
  <c r="C238" i="20"/>
  <c r="C237" i="20"/>
  <c r="C236" i="20"/>
  <c r="C235" i="20"/>
  <c r="C234" i="20"/>
  <c r="C233" i="20"/>
  <c r="C232" i="20"/>
  <c r="C231" i="20"/>
  <c r="C230" i="20"/>
  <c r="C229" i="20"/>
  <c r="C228" i="20"/>
  <c r="C227" i="20"/>
  <c r="C226" i="20"/>
  <c r="C225" i="20"/>
  <c r="C224" i="20"/>
  <c r="C223" i="20"/>
  <c r="C222" i="20"/>
  <c r="C221" i="20"/>
  <c r="C220" i="20"/>
  <c r="C219" i="20"/>
  <c r="C218" i="20"/>
  <c r="C217" i="20"/>
  <c r="C216" i="20"/>
  <c r="C215" i="20"/>
  <c r="C214" i="20"/>
  <c r="C213" i="20"/>
  <c r="C212" i="20"/>
  <c r="C211" i="20"/>
  <c r="C210" i="20"/>
  <c r="C209" i="20"/>
  <c r="C208" i="20"/>
  <c r="C207" i="20"/>
  <c r="C206" i="20"/>
  <c r="C205" i="20"/>
  <c r="C204" i="20"/>
  <c r="C203" i="20"/>
  <c r="C202" i="20"/>
  <c r="C201" i="20"/>
  <c r="C200" i="20"/>
  <c r="C199" i="20"/>
  <c r="C198" i="20"/>
  <c r="C197" i="20"/>
  <c r="C196" i="20"/>
  <c r="C195" i="20"/>
  <c r="C194" i="20"/>
  <c r="C193" i="20"/>
  <c r="C192" i="20"/>
  <c r="C191" i="20"/>
  <c r="C190" i="20"/>
  <c r="C189" i="20"/>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AU9" i="3" l="1"/>
  <c r="R312" i="13" s="1"/>
  <c r="AF9" i="3" l="1"/>
  <c r="EQ9" i="3"/>
  <c r="AV9" i="3"/>
  <c r="CB9" i="3"/>
  <c r="C6" i="20"/>
  <c r="O9" i="3"/>
  <c r="W23" i="20" l="1"/>
  <c r="CT6" i="3"/>
  <c r="EP8" i="3" s="1"/>
  <c r="EF309" i="3" l="1"/>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9" i="3"/>
  <c r="DS118" i="3"/>
  <c r="DS117" i="3"/>
  <c r="DS116" i="3"/>
  <c r="DS115" i="3"/>
  <c r="DS114" i="3"/>
  <c r="DS113"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AX308" i="3" l="1"/>
  <c r="AY308" i="3" s="1"/>
  <c r="AX307" i="3"/>
  <c r="AY307" i="3" s="1"/>
  <c r="AX306" i="3"/>
  <c r="AY306" i="3" s="1"/>
  <c r="AX305" i="3"/>
  <c r="AY305" i="3" s="1"/>
  <c r="AX304" i="3"/>
  <c r="AY304" i="3" s="1"/>
  <c r="AX303" i="3"/>
  <c r="AY303" i="3" s="1"/>
  <c r="AX302" i="3"/>
  <c r="AY302" i="3" s="1"/>
  <c r="AX301" i="3"/>
  <c r="AY301" i="3" s="1"/>
  <c r="AX300" i="3"/>
  <c r="AY300" i="3" s="1"/>
  <c r="AX299" i="3"/>
  <c r="AY299" i="3" s="1"/>
  <c r="AX298" i="3"/>
  <c r="AY298" i="3" s="1"/>
  <c r="AX297" i="3"/>
  <c r="AY297" i="3" s="1"/>
  <c r="AX296" i="3"/>
  <c r="AY296" i="3" s="1"/>
  <c r="AX295" i="3"/>
  <c r="AY295" i="3" s="1"/>
  <c r="AX294" i="3"/>
  <c r="AY294" i="3" s="1"/>
  <c r="AX293" i="3"/>
  <c r="AY293" i="3" s="1"/>
  <c r="AX292" i="3"/>
  <c r="AY292" i="3" s="1"/>
  <c r="AX291" i="3"/>
  <c r="AY291" i="3" s="1"/>
  <c r="AX290" i="3"/>
  <c r="AY290" i="3" s="1"/>
  <c r="AX289" i="3"/>
  <c r="AY289" i="3" s="1"/>
  <c r="AX288" i="3"/>
  <c r="AY288" i="3" s="1"/>
  <c r="AX287" i="3"/>
  <c r="AY287" i="3" s="1"/>
  <c r="AX286" i="3"/>
  <c r="AY286" i="3" s="1"/>
  <c r="AX285" i="3"/>
  <c r="AY285" i="3" s="1"/>
  <c r="AX284" i="3"/>
  <c r="AY284" i="3" s="1"/>
  <c r="AX283" i="3"/>
  <c r="AY283" i="3" s="1"/>
  <c r="AX282" i="3"/>
  <c r="AY282" i="3" s="1"/>
  <c r="AX281" i="3"/>
  <c r="AY281" i="3" s="1"/>
  <c r="AX280" i="3"/>
  <c r="AY280" i="3" s="1"/>
  <c r="AX279" i="3"/>
  <c r="AY279" i="3" s="1"/>
  <c r="AX278" i="3"/>
  <c r="AY278" i="3" s="1"/>
  <c r="AX277" i="3"/>
  <c r="AY277" i="3" s="1"/>
  <c r="AX276" i="3"/>
  <c r="AY276" i="3" s="1"/>
  <c r="AX275" i="3"/>
  <c r="AY275" i="3" s="1"/>
  <c r="AX274" i="3"/>
  <c r="AY274" i="3" s="1"/>
  <c r="AX273" i="3"/>
  <c r="AY273" i="3" s="1"/>
  <c r="AX272" i="3"/>
  <c r="AY272" i="3" s="1"/>
  <c r="AX271" i="3"/>
  <c r="AY271" i="3" s="1"/>
  <c r="AX270" i="3"/>
  <c r="AY270" i="3" s="1"/>
  <c r="AX269" i="3"/>
  <c r="AY269" i="3" s="1"/>
  <c r="AX268" i="3"/>
  <c r="AY268" i="3" s="1"/>
  <c r="AX267" i="3"/>
  <c r="AY267" i="3" s="1"/>
  <c r="AX266" i="3"/>
  <c r="AY266" i="3" s="1"/>
  <c r="AX265" i="3"/>
  <c r="AY265" i="3" s="1"/>
  <c r="AX264" i="3"/>
  <c r="AY264" i="3" s="1"/>
  <c r="AX263" i="3"/>
  <c r="AY263" i="3" s="1"/>
  <c r="AX262" i="3"/>
  <c r="AY262" i="3" s="1"/>
  <c r="AX261" i="3"/>
  <c r="AY261" i="3" s="1"/>
  <c r="AX260" i="3"/>
  <c r="AY260" i="3" s="1"/>
  <c r="AX259" i="3"/>
  <c r="AY259" i="3" s="1"/>
  <c r="AX258" i="3"/>
  <c r="AY258" i="3" s="1"/>
  <c r="AX257" i="3"/>
  <c r="AY257" i="3" s="1"/>
  <c r="AX256" i="3"/>
  <c r="AY256" i="3" s="1"/>
  <c r="AX255" i="3"/>
  <c r="AY255" i="3" s="1"/>
  <c r="AX254" i="3"/>
  <c r="AY254" i="3" s="1"/>
  <c r="AX253" i="3"/>
  <c r="AY253" i="3" s="1"/>
  <c r="AX252" i="3"/>
  <c r="AY252" i="3" s="1"/>
  <c r="AX251" i="3"/>
  <c r="AY251" i="3" s="1"/>
  <c r="AX250" i="3"/>
  <c r="AY250" i="3" s="1"/>
  <c r="AX249" i="3"/>
  <c r="AY249" i="3" s="1"/>
  <c r="AX248" i="3"/>
  <c r="AY248" i="3" s="1"/>
  <c r="AX247" i="3"/>
  <c r="AY247" i="3" s="1"/>
  <c r="AX246" i="3"/>
  <c r="AY246" i="3" s="1"/>
  <c r="AX245" i="3"/>
  <c r="AY245" i="3" s="1"/>
  <c r="AX244" i="3"/>
  <c r="AY244" i="3" s="1"/>
  <c r="AX243" i="3"/>
  <c r="AY243" i="3" s="1"/>
  <c r="AX242" i="3"/>
  <c r="AY242" i="3" s="1"/>
  <c r="AX241" i="3"/>
  <c r="AY241" i="3" s="1"/>
  <c r="AX240" i="3"/>
  <c r="AY240" i="3" s="1"/>
  <c r="AX239" i="3"/>
  <c r="AY239" i="3" s="1"/>
  <c r="AX238" i="3"/>
  <c r="AY238" i="3" s="1"/>
  <c r="AX237" i="3"/>
  <c r="AY237" i="3" s="1"/>
  <c r="AX236" i="3"/>
  <c r="AY236" i="3" s="1"/>
  <c r="AX235" i="3"/>
  <c r="AY235" i="3" s="1"/>
  <c r="AX234" i="3"/>
  <c r="AY234" i="3" s="1"/>
  <c r="AX231" i="3"/>
  <c r="AY231" i="3" s="1"/>
  <c r="AX230" i="3"/>
  <c r="AY230" i="3" s="1"/>
  <c r="AX229" i="3"/>
  <c r="AY229" i="3" s="1"/>
  <c r="AX228" i="3"/>
  <c r="AY228" i="3" s="1"/>
  <c r="AX225" i="3"/>
  <c r="AY225" i="3" s="1"/>
  <c r="AX224" i="3"/>
  <c r="AY224" i="3" s="1"/>
  <c r="AX223" i="3"/>
  <c r="AY223" i="3" s="1"/>
  <c r="AX222" i="3"/>
  <c r="AY222" i="3" s="1"/>
  <c r="AX219" i="3"/>
  <c r="AY219" i="3" s="1"/>
  <c r="AX218" i="3"/>
  <c r="AY218" i="3" s="1"/>
  <c r="AX217" i="3"/>
  <c r="AY217" i="3" s="1"/>
  <c r="AX216" i="3"/>
  <c r="AY216" i="3" s="1"/>
  <c r="AX211" i="3"/>
  <c r="AY211" i="3" s="1"/>
  <c r="AX210" i="3"/>
  <c r="AY210" i="3" s="1"/>
  <c r="AX209" i="3"/>
  <c r="AY209" i="3" s="1"/>
  <c r="AX208" i="3"/>
  <c r="AY208" i="3" s="1"/>
  <c r="AX207" i="3"/>
  <c r="AY207" i="3" s="1"/>
  <c r="AX206" i="3"/>
  <c r="AY206" i="3" s="1"/>
  <c r="AX205" i="3"/>
  <c r="AY205" i="3" s="1"/>
  <c r="AX204" i="3"/>
  <c r="AY204" i="3" s="1"/>
  <c r="AX203" i="3"/>
  <c r="AY203" i="3" s="1"/>
  <c r="AX202" i="3"/>
  <c r="AY202" i="3" s="1"/>
  <c r="AX201" i="3"/>
  <c r="AY201" i="3" s="1"/>
  <c r="AX200" i="3"/>
  <c r="AY200" i="3" s="1"/>
  <c r="AX199" i="3"/>
  <c r="AY199" i="3" s="1"/>
  <c r="AX198" i="3"/>
  <c r="AY198" i="3" s="1"/>
  <c r="AX197" i="3"/>
  <c r="AY197" i="3" s="1"/>
  <c r="AX196" i="3"/>
  <c r="AY196" i="3" s="1"/>
  <c r="AX195" i="3"/>
  <c r="AY195" i="3" s="1"/>
  <c r="AX194" i="3"/>
  <c r="AY194" i="3" s="1"/>
  <c r="AX193" i="3"/>
  <c r="AY193" i="3" s="1"/>
  <c r="AX192" i="3"/>
  <c r="AY192" i="3" s="1"/>
  <c r="AX191" i="3"/>
  <c r="AY191" i="3" s="1"/>
  <c r="AX190" i="3"/>
  <c r="AY190" i="3" s="1"/>
  <c r="AX189" i="3"/>
  <c r="AY189" i="3" s="1"/>
  <c r="AX188" i="3"/>
  <c r="AY188" i="3" s="1"/>
  <c r="AX187" i="3"/>
  <c r="AY187" i="3" s="1"/>
  <c r="AX186" i="3"/>
  <c r="AY186" i="3" s="1"/>
  <c r="AX185" i="3"/>
  <c r="AY185" i="3" s="1"/>
  <c r="AX184" i="3"/>
  <c r="AY184" i="3" s="1"/>
  <c r="AX183" i="3"/>
  <c r="AY183" i="3" s="1"/>
  <c r="AX182" i="3"/>
  <c r="AY182" i="3" s="1"/>
  <c r="AX181" i="3"/>
  <c r="AY181" i="3" s="1"/>
  <c r="AX180" i="3"/>
  <c r="AY180" i="3" s="1"/>
  <c r="AX179" i="3"/>
  <c r="AY179" i="3" s="1"/>
  <c r="AX178" i="3"/>
  <c r="AY178" i="3" s="1"/>
  <c r="AX177" i="3"/>
  <c r="AY177" i="3" s="1"/>
  <c r="AX176" i="3"/>
  <c r="AY176" i="3" s="1"/>
  <c r="AX175" i="3"/>
  <c r="AY175" i="3" s="1"/>
  <c r="AX174" i="3"/>
  <c r="AY174" i="3" s="1"/>
  <c r="AX173" i="3"/>
  <c r="AY173" i="3" s="1"/>
  <c r="AX172" i="3"/>
  <c r="AY172" i="3" s="1"/>
  <c r="AX171" i="3"/>
  <c r="AY171" i="3" s="1"/>
  <c r="AX170" i="3"/>
  <c r="AY170" i="3" s="1"/>
  <c r="AX169" i="3"/>
  <c r="AY169" i="3" s="1"/>
  <c r="AX168" i="3"/>
  <c r="AY168" i="3" s="1"/>
  <c r="AX167" i="3"/>
  <c r="AY167" i="3" s="1"/>
  <c r="AX166" i="3"/>
  <c r="AY166" i="3" s="1"/>
  <c r="AX165" i="3"/>
  <c r="AY165" i="3" s="1"/>
  <c r="AX164" i="3"/>
  <c r="AY164" i="3" s="1"/>
  <c r="AX163" i="3"/>
  <c r="AY163" i="3" s="1"/>
  <c r="AX162" i="3"/>
  <c r="AY162" i="3" s="1"/>
  <c r="AX161" i="3"/>
  <c r="AY161" i="3" s="1"/>
  <c r="AX160" i="3"/>
  <c r="AY160" i="3" s="1"/>
  <c r="AX159" i="3"/>
  <c r="AY159" i="3" s="1"/>
  <c r="AX158" i="3"/>
  <c r="AY158" i="3" s="1"/>
  <c r="AX157" i="3"/>
  <c r="AY157" i="3" s="1"/>
  <c r="AX156" i="3"/>
  <c r="AY156" i="3" s="1"/>
  <c r="AX155" i="3"/>
  <c r="AY155" i="3" s="1"/>
  <c r="AX154" i="3"/>
  <c r="AY154" i="3" s="1"/>
  <c r="AX153" i="3"/>
  <c r="AY153" i="3" s="1"/>
  <c r="AX152" i="3"/>
  <c r="AY152" i="3" s="1"/>
  <c r="AX151" i="3"/>
  <c r="AY151" i="3" s="1"/>
  <c r="AX150" i="3"/>
  <c r="AY150" i="3" s="1"/>
  <c r="AX149" i="3"/>
  <c r="AY149" i="3" s="1"/>
  <c r="AX148" i="3"/>
  <c r="AY148" i="3" s="1"/>
  <c r="AX147" i="3"/>
  <c r="AY147" i="3" s="1"/>
  <c r="AX146" i="3"/>
  <c r="AY146" i="3" s="1"/>
  <c r="AX145" i="3"/>
  <c r="AY145" i="3" s="1"/>
  <c r="AX144" i="3"/>
  <c r="AY144" i="3" s="1"/>
  <c r="AX143" i="3"/>
  <c r="AY143" i="3" s="1"/>
  <c r="AX142" i="3"/>
  <c r="AY142" i="3" s="1"/>
  <c r="AX141" i="3"/>
  <c r="AY141" i="3" s="1"/>
  <c r="AX140" i="3"/>
  <c r="AY140" i="3" s="1"/>
  <c r="AX139" i="3"/>
  <c r="AY139" i="3" s="1"/>
  <c r="AX138" i="3"/>
  <c r="AY138" i="3" s="1"/>
  <c r="AX137" i="3"/>
  <c r="AY137" i="3" s="1"/>
  <c r="AX136" i="3"/>
  <c r="AY136" i="3" s="1"/>
  <c r="AX135" i="3"/>
  <c r="AY135" i="3" s="1"/>
  <c r="AX134" i="3"/>
  <c r="AY134" i="3" s="1"/>
  <c r="AX133" i="3"/>
  <c r="AY133" i="3" s="1"/>
  <c r="AX132" i="3"/>
  <c r="AY132" i="3" s="1"/>
  <c r="AX131" i="3"/>
  <c r="AY131" i="3" s="1"/>
  <c r="AX130" i="3"/>
  <c r="AY130" i="3" s="1"/>
  <c r="AX129" i="3"/>
  <c r="AY129" i="3" s="1"/>
  <c r="AX128" i="3"/>
  <c r="AY128" i="3" s="1"/>
  <c r="AX127" i="3"/>
  <c r="AY127" i="3" s="1"/>
  <c r="AX126" i="3"/>
  <c r="AY126" i="3" s="1"/>
  <c r="AX125" i="3"/>
  <c r="AY125" i="3" s="1"/>
  <c r="AX113" i="3"/>
  <c r="AY113" i="3" s="1"/>
  <c r="AX112" i="3"/>
  <c r="AY112" i="3" s="1"/>
  <c r="AX111" i="3"/>
  <c r="AY111" i="3" s="1"/>
  <c r="AX110" i="3"/>
  <c r="AY110" i="3" s="1"/>
  <c r="AX109" i="3"/>
  <c r="AY109" i="3" s="1"/>
  <c r="AX108" i="3"/>
  <c r="AY108" i="3" s="1"/>
  <c r="AX107" i="3"/>
  <c r="AY107" i="3" s="1"/>
  <c r="AX106" i="3"/>
  <c r="AY106" i="3" s="1"/>
  <c r="AX105" i="3"/>
  <c r="AY105" i="3" s="1"/>
  <c r="AX104" i="3"/>
  <c r="AY104" i="3" s="1"/>
  <c r="AX103" i="3"/>
  <c r="AY103" i="3" s="1"/>
  <c r="AX102" i="3"/>
  <c r="AY102" i="3" s="1"/>
  <c r="AX101" i="3"/>
  <c r="AY101" i="3" s="1"/>
  <c r="AX100" i="3"/>
  <c r="AY100" i="3" s="1"/>
  <c r="AX99" i="3"/>
  <c r="AY99" i="3" s="1"/>
  <c r="AX98" i="3"/>
  <c r="AY98" i="3" s="1"/>
  <c r="AX97" i="3"/>
  <c r="AY97" i="3" s="1"/>
  <c r="AX96" i="3"/>
  <c r="AY96" i="3" s="1"/>
  <c r="AX95" i="3"/>
  <c r="AY95" i="3" s="1"/>
  <c r="AX94" i="3"/>
  <c r="AY94" i="3" s="1"/>
  <c r="AX93" i="3"/>
  <c r="AY93" i="3" s="1"/>
  <c r="AX92" i="3"/>
  <c r="AY92" i="3" s="1"/>
  <c r="AX91" i="3"/>
  <c r="AY91" i="3" s="1"/>
  <c r="AX90" i="3"/>
  <c r="AY90" i="3" s="1"/>
  <c r="AX89" i="3"/>
  <c r="AY89" i="3" s="1"/>
  <c r="AX88" i="3"/>
  <c r="AY88" i="3" s="1"/>
  <c r="AX87" i="3"/>
  <c r="AY87" i="3" s="1"/>
  <c r="AX86" i="3"/>
  <c r="AY86" i="3" s="1"/>
  <c r="AX85" i="3"/>
  <c r="AY85" i="3" s="1"/>
  <c r="AX84" i="3"/>
  <c r="AY84" i="3" s="1"/>
  <c r="AX82" i="3"/>
  <c r="AY82" i="3" s="1"/>
  <c r="AX81" i="3"/>
  <c r="AY81" i="3" s="1"/>
  <c r="AX80" i="3"/>
  <c r="AY80" i="3" s="1"/>
  <c r="AX79" i="3"/>
  <c r="AY79" i="3" s="1"/>
  <c r="AX71" i="3"/>
  <c r="AY71" i="3" s="1"/>
  <c r="AX70" i="3"/>
  <c r="AY70" i="3" s="1"/>
  <c r="AX69" i="3"/>
  <c r="AY69" i="3" s="1"/>
  <c r="AX68" i="3"/>
  <c r="AY68" i="3" s="1"/>
  <c r="AX67" i="3"/>
  <c r="AY67" i="3" s="1"/>
  <c r="AX64" i="3"/>
  <c r="AY64" i="3" s="1"/>
  <c r="AX63" i="3"/>
  <c r="AY63" i="3" s="1"/>
  <c r="AX62" i="3"/>
  <c r="AY62" i="3" s="1"/>
  <c r="AX61" i="3"/>
  <c r="AY61" i="3" s="1"/>
  <c r="AX60" i="3"/>
  <c r="AY60" i="3" s="1"/>
  <c r="AX59" i="3"/>
  <c r="AY59" i="3" s="1"/>
  <c r="AX58" i="3"/>
  <c r="AY58" i="3" s="1"/>
  <c r="AX57" i="3"/>
  <c r="AY57" i="3" s="1"/>
  <c r="AX56" i="3"/>
  <c r="AY56" i="3" s="1"/>
  <c r="AX55" i="3"/>
  <c r="AY55" i="3" s="1"/>
  <c r="AX54" i="3"/>
  <c r="AY54" i="3" s="1"/>
  <c r="AX53" i="3"/>
  <c r="AY53" i="3" s="1"/>
  <c r="AX52" i="3"/>
  <c r="AY52" i="3" s="1"/>
  <c r="AX51" i="3"/>
  <c r="AY51" i="3" s="1"/>
  <c r="AX50" i="3"/>
  <c r="AY50" i="3" s="1"/>
  <c r="AX49" i="3"/>
  <c r="AY49" i="3" s="1"/>
  <c r="AX48" i="3"/>
  <c r="AY48" i="3" s="1"/>
  <c r="AX43" i="3"/>
  <c r="AY43" i="3" s="1"/>
  <c r="AX41" i="3"/>
  <c r="AY41" i="3" s="1"/>
  <c r="AX39" i="3"/>
  <c r="AY39" i="3" s="1"/>
  <c r="AX14" i="3"/>
  <c r="AY14" i="3" l="1"/>
  <c r="Y322" i="20"/>
  <c r="Y321" i="20"/>
  <c r="Y320" i="20"/>
  <c r="Y319" i="20"/>
  <c r="Y318" i="20"/>
  <c r="Y317" i="20"/>
  <c r="Y316" i="20"/>
  <c r="Y315" i="20"/>
  <c r="Y314" i="20"/>
  <c r="Y313" i="20"/>
  <c r="Y312" i="20"/>
  <c r="Y311" i="20"/>
  <c r="Y310" i="20"/>
  <c r="Y309" i="20"/>
  <c r="Y308" i="20"/>
  <c r="Y307" i="20"/>
  <c r="Y306" i="20"/>
  <c r="Y305" i="20"/>
  <c r="Y304" i="20"/>
  <c r="Y303" i="20"/>
  <c r="Y302" i="20"/>
  <c r="Y301" i="20"/>
  <c r="Y300" i="20"/>
  <c r="Y299" i="20"/>
  <c r="Y298" i="20"/>
  <c r="Y297" i="20"/>
  <c r="Y296" i="20"/>
  <c r="Y295" i="20"/>
  <c r="Y294" i="20"/>
  <c r="Y293" i="20"/>
  <c r="Y292" i="20"/>
  <c r="Y291" i="20"/>
  <c r="Y290" i="20"/>
  <c r="Y289" i="20"/>
  <c r="Y288" i="20"/>
  <c r="Y287" i="20"/>
  <c r="Y286" i="20"/>
  <c r="Y285" i="20"/>
  <c r="Y284" i="20"/>
  <c r="Y283" i="20"/>
  <c r="Y282" i="20"/>
  <c r="Y281" i="20"/>
  <c r="Y280" i="20"/>
  <c r="Y279" i="20"/>
  <c r="Y278" i="20"/>
  <c r="Y277" i="20"/>
  <c r="Y276" i="20"/>
  <c r="Y275" i="20"/>
  <c r="Y274" i="20"/>
  <c r="Y273" i="20"/>
  <c r="Y272" i="20"/>
  <c r="Y271" i="20"/>
  <c r="Y270" i="20"/>
  <c r="Y269" i="20"/>
  <c r="Y268" i="20"/>
  <c r="Y267" i="20"/>
  <c r="Y266" i="20"/>
  <c r="Y265" i="20"/>
  <c r="Y264" i="20"/>
  <c r="Y263" i="20"/>
  <c r="Y262" i="20"/>
  <c r="Y261" i="20"/>
  <c r="Y260" i="20"/>
  <c r="Y259" i="20"/>
  <c r="Y258" i="20"/>
  <c r="Y257" i="20"/>
  <c r="Y256" i="20"/>
  <c r="Y255" i="20"/>
  <c r="Y254" i="20"/>
  <c r="Y253" i="20"/>
  <c r="Y252" i="20"/>
  <c r="Y251" i="20"/>
  <c r="Y250" i="20"/>
  <c r="Y249" i="20"/>
  <c r="Y248" i="20"/>
  <c r="Y247" i="20"/>
  <c r="Y246" i="20"/>
  <c r="Y245" i="20"/>
  <c r="Y244" i="20"/>
  <c r="Y243" i="20"/>
  <c r="Y242" i="20"/>
  <c r="Y241" i="20"/>
  <c r="Y240" i="20"/>
  <c r="Y239" i="20"/>
  <c r="Y238" i="20"/>
  <c r="Y237" i="20"/>
  <c r="Y236" i="20"/>
  <c r="Y235" i="20"/>
  <c r="Y234" i="20"/>
  <c r="Y233" i="20"/>
  <c r="Y232" i="20"/>
  <c r="Y231" i="20"/>
  <c r="Y230" i="20"/>
  <c r="Y229" i="20"/>
  <c r="Y228" i="20"/>
  <c r="Y227" i="20"/>
  <c r="Y226" i="20"/>
  <c r="Y225" i="20"/>
  <c r="Y224" i="20"/>
  <c r="Y223" i="20"/>
  <c r="Y222" i="20"/>
  <c r="Y221" i="20"/>
  <c r="Y220" i="20"/>
  <c r="Y219" i="20"/>
  <c r="Y218" i="20"/>
  <c r="Y217" i="20"/>
  <c r="Y216" i="20"/>
  <c r="Y215" i="20"/>
  <c r="Y214" i="20"/>
  <c r="Y213" i="20"/>
  <c r="Y212" i="20"/>
  <c r="Y211" i="20"/>
  <c r="Y210" i="20"/>
  <c r="Y209" i="20"/>
  <c r="Y208" i="20"/>
  <c r="Y207" i="20"/>
  <c r="Y206" i="20"/>
  <c r="Y205" i="20"/>
  <c r="Y204" i="20"/>
  <c r="Y203" i="20"/>
  <c r="Y202" i="20"/>
  <c r="Y201" i="20"/>
  <c r="Y200" i="20"/>
  <c r="Y199" i="20"/>
  <c r="Y198" i="20"/>
  <c r="Y197" i="20"/>
  <c r="Y196" i="20"/>
  <c r="Y195" i="20"/>
  <c r="Y194" i="20"/>
  <c r="Y193" i="20"/>
  <c r="Y192" i="20"/>
  <c r="Y191" i="20"/>
  <c r="Y190" i="20"/>
  <c r="Y189" i="20"/>
  <c r="Y188" i="20"/>
  <c r="Y187" i="20"/>
  <c r="Y186" i="20"/>
  <c r="Y185" i="20"/>
  <c r="Y184" i="20"/>
  <c r="Y183" i="20"/>
  <c r="Y182" i="20"/>
  <c r="Y181" i="20"/>
  <c r="Y180" i="20"/>
  <c r="Y179" i="20"/>
  <c r="Y178" i="20"/>
  <c r="Y177" i="20"/>
  <c r="Y176" i="20"/>
  <c r="Y175" i="20"/>
  <c r="Y174" i="20"/>
  <c r="Y173" i="20"/>
  <c r="Y172" i="20"/>
  <c r="Y171" i="20"/>
  <c r="Y170" i="20"/>
  <c r="Y169" i="20"/>
  <c r="Y168" i="20"/>
  <c r="Y167" i="20"/>
  <c r="Y166" i="20"/>
  <c r="Y165" i="20"/>
  <c r="Y164" i="20"/>
  <c r="Y163" i="20"/>
  <c r="Y162" i="20"/>
  <c r="Y161" i="20"/>
  <c r="Y160" i="20"/>
  <c r="Y159" i="20"/>
  <c r="Y158" i="20"/>
  <c r="Y157" i="20"/>
  <c r="Y156" i="20"/>
  <c r="Y155" i="20"/>
  <c r="Y154" i="20"/>
  <c r="Y153" i="20"/>
  <c r="Y152" i="20"/>
  <c r="Y151" i="20"/>
  <c r="Y150" i="20"/>
  <c r="Y149" i="20"/>
  <c r="Y148" i="20"/>
  <c r="Y147" i="20"/>
  <c r="Y146" i="20"/>
  <c r="Y145" i="20"/>
  <c r="Y144" i="20"/>
  <c r="Y143" i="20"/>
  <c r="Y142" i="20"/>
  <c r="Y141" i="20"/>
  <c r="Y140" i="20"/>
  <c r="Y139" i="20"/>
  <c r="Y138" i="20"/>
  <c r="Y137" i="20"/>
  <c r="Y136" i="20"/>
  <c r="Y135" i="20"/>
  <c r="Y134" i="20"/>
  <c r="Y133" i="20"/>
  <c r="Y132" i="20"/>
  <c r="Y131" i="20"/>
  <c r="Y130" i="20"/>
  <c r="Y129" i="20"/>
  <c r="Y128" i="20"/>
  <c r="Y127" i="20"/>
  <c r="Y126" i="20"/>
  <c r="Y125" i="20"/>
  <c r="Y124" i="20"/>
  <c r="Y123" i="20"/>
  <c r="Y122" i="20"/>
  <c r="Y121" i="20"/>
  <c r="Y120" i="20"/>
  <c r="Y119" i="20"/>
  <c r="Y118" i="20"/>
  <c r="Y117" i="20"/>
  <c r="Y116" i="20"/>
  <c r="Y115" i="20"/>
  <c r="Y114" i="20"/>
  <c r="Y113" i="20"/>
  <c r="Y112" i="20"/>
  <c r="Y111" i="20"/>
  <c r="Y110" i="20"/>
  <c r="Y109" i="20"/>
  <c r="Y108" i="20"/>
  <c r="Y107" i="20"/>
  <c r="Y106" i="20"/>
  <c r="Y105" i="20"/>
  <c r="Y104" i="20"/>
  <c r="Y103" i="20"/>
  <c r="Y102" i="20"/>
  <c r="Y101" i="20"/>
  <c r="Y100" i="20"/>
  <c r="Y99" i="20"/>
  <c r="Y98" i="20"/>
  <c r="Y97" i="20"/>
  <c r="Y96" i="20"/>
  <c r="Y95" i="20"/>
  <c r="Y94" i="20"/>
  <c r="Y93" i="20"/>
  <c r="Y92" i="20"/>
  <c r="Y91" i="20"/>
  <c r="Y90" i="20"/>
  <c r="Y89" i="20"/>
  <c r="Y88" i="20"/>
  <c r="Y87" i="20"/>
  <c r="Y86" i="20"/>
  <c r="Y85" i="20"/>
  <c r="Y84" i="20"/>
  <c r="Y83" i="20"/>
  <c r="Y82" i="20"/>
  <c r="Y81" i="20"/>
  <c r="Y80" i="20"/>
  <c r="Y79" i="20"/>
  <c r="Y78" i="20"/>
  <c r="Y77" i="20"/>
  <c r="Y76" i="20"/>
  <c r="Y75" i="20"/>
  <c r="Y74" i="20"/>
  <c r="Y73" i="20"/>
  <c r="Y72" i="20"/>
  <c r="Y71" i="20"/>
  <c r="Y70" i="20"/>
  <c r="Y69" i="20"/>
  <c r="Y68" i="20"/>
  <c r="Y67" i="20"/>
  <c r="Y66" i="20"/>
  <c r="Y65" i="20"/>
  <c r="Y64" i="20"/>
  <c r="Y63" i="20"/>
  <c r="Y62" i="20"/>
  <c r="Y61" i="20"/>
  <c r="Y60" i="20"/>
  <c r="Y59" i="20"/>
  <c r="Y58" i="20"/>
  <c r="Y57" i="20"/>
  <c r="Y56" i="20"/>
  <c r="Y55" i="20"/>
  <c r="Y54" i="20"/>
  <c r="Y53" i="20"/>
  <c r="Y52" i="20"/>
  <c r="Y51" i="20"/>
  <c r="Y50" i="20"/>
  <c r="Y49" i="20"/>
  <c r="Y48" i="20"/>
  <c r="Y47" i="20"/>
  <c r="Y46" i="20"/>
  <c r="Y45" i="20"/>
  <c r="Y44" i="20"/>
  <c r="Y43" i="20"/>
  <c r="Y42" i="20"/>
  <c r="Y41" i="20"/>
  <c r="Y40" i="20"/>
  <c r="Y39" i="20"/>
  <c r="Y38" i="20"/>
  <c r="Y37" i="20"/>
  <c r="Y36" i="20"/>
  <c r="Y35" i="20"/>
  <c r="Y34" i="20"/>
  <c r="Y33" i="20"/>
  <c r="Y32" i="20"/>
  <c r="Y31" i="20"/>
  <c r="Y30" i="20"/>
  <c r="Y29" i="20"/>
  <c r="Y28" i="20"/>
  <c r="Y27" i="20"/>
  <c r="Y26" i="20"/>
  <c r="Y25" i="20"/>
  <c r="Y24" i="20"/>
  <c r="Y23" i="20"/>
  <c r="X322" i="20"/>
  <c r="X321" i="20"/>
  <c r="X320" i="20"/>
  <c r="X319" i="20"/>
  <c r="X318" i="20"/>
  <c r="X317" i="20"/>
  <c r="X316" i="20"/>
  <c r="X315" i="20"/>
  <c r="X314" i="20"/>
  <c r="X313" i="20"/>
  <c r="X312" i="20"/>
  <c r="X311" i="20"/>
  <c r="X310" i="20"/>
  <c r="X309" i="20"/>
  <c r="X308" i="20"/>
  <c r="X307" i="20"/>
  <c r="X306" i="20"/>
  <c r="X305" i="20"/>
  <c r="X304" i="20"/>
  <c r="X303" i="20"/>
  <c r="X302" i="20"/>
  <c r="X301" i="20"/>
  <c r="X300" i="20"/>
  <c r="X299" i="20"/>
  <c r="X298" i="20"/>
  <c r="X297" i="20"/>
  <c r="X296" i="20"/>
  <c r="X295" i="20"/>
  <c r="X294" i="20"/>
  <c r="X293" i="20"/>
  <c r="X292" i="20"/>
  <c r="X291" i="20"/>
  <c r="X290" i="20"/>
  <c r="X289" i="20"/>
  <c r="X288" i="20"/>
  <c r="X287" i="20"/>
  <c r="X286" i="20"/>
  <c r="X285" i="20"/>
  <c r="X284" i="20"/>
  <c r="X283" i="20"/>
  <c r="X282" i="20"/>
  <c r="X281" i="20"/>
  <c r="X280" i="20"/>
  <c r="X279" i="20"/>
  <c r="X278" i="20"/>
  <c r="X277" i="20"/>
  <c r="X276" i="20"/>
  <c r="X275" i="20"/>
  <c r="X274" i="20"/>
  <c r="X273" i="20"/>
  <c r="X272" i="20"/>
  <c r="X271" i="20"/>
  <c r="X270" i="20"/>
  <c r="X269" i="20"/>
  <c r="X268" i="20"/>
  <c r="X267" i="20"/>
  <c r="X266" i="20"/>
  <c r="X265" i="20"/>
  <c r="X264" i="20"/>
  <c r="X263" i="20"/>
  <c r="X262" i="20"/>
  <c r="X261" i="20"/>
  <c r="X260" i="20"/>
  <c r="X259" i="20"/>
  <c r="X258" i="20"/>
  <c r="X257" i="20"/>
  <c r="X256" i="20"/>
  <c r="X255" i="20"/>
  <c r="X254" i="20"/>
  <c r="X253" i="20"/>
  <c r="X252" i="20"/>
  <c r="X251" i="20"/>
  <c r="X250" i="20"/>
  <c r="X249" i="20"/>
  <c r="X248" i="20"/>
  <c r="X247" i="20"/>
  <c r="X246" i="20"/>
  <c r="X245" i="20"/>
  <c r="X244" i="20"/>
  <c r="X243" i="20"/>
  <c r="X242" i="20"/>
  <c r="X241" i="20"/>
  <c r="X240" i="20"/>
  <c r="X239" i="20"/>
  <c r="X238" i="20"/>
  <c r="X237" i="20"/>
  <c r="X236" i="20"/>
  <c r="X235" i="20"/>
  <c r="X234" i="20"/>
  <c r="X233" i="20"/>
  <c r="X232" i="20"/>
  <c r="X231" i="20"/>
  <c r="X230" i="20"/>
  <c r="X229" i="20"/>
  <c r="X228" i="20"/>
  <c r="X227" i="20"/>
  <c r="X226" i="20"/>
  <c r="X225" i="20"/>
  <c r="X224" i="20"/>
  <c r="X223" i="20"/>
  <c r="X222" i="20"/>
  <c r="X221" i="20"/>
  <c r="X220" i="20"/>
  <c r="X219" i="20"/>
  <c r="X218" i="20"/>
  <c r="X217" i="20"/>
  <c r="X216" i="20"/>
  <c r="X215" i="20"/>
  <c r="X214" i="20"/>
  <c r="X213" i="20"/>
  <c r="X212" i="20"/>
  <c r="X211" i="20"/>
  <c r="X210" i="20"/>
  <c r="X209" i="20"/>
  <c r="X208" i="20"/>
  <c r="X207" i="20"/>
  <c r="X206" i="20"/>
  <c r="X205" i="20"/>
  <c r="X204" i="20"/>
  <c r="X203" i="20"/>
  <c r="X202" i="20"/>
  <c r="X201" i="20"/>
  <c r="X200" i="20"/>
  <c r="X199" i="20"/>
  <c r="X198" i="20"/>
  <c r="X197" i="20"/>
  <c r="X196" i="20"/>
  <c r="X195" i="20"/>
  <c r="X194" i="20"/>
  <c r="X193" i="20"/>
  <c r="X192" i="20"/>
  <c r="X191" i="20"/>
  <c r="X190" i="20"/>
  <c r="X189" i="20"/>
  <c r="X188" i="20"/>
  <c r="X187" i="20"/>
  <c r="X186" i="20"/>
  <c r="X185" i="20"/>
  <c r="X184" i="20"/>
  <c r="X183" i="20"/>
  <c r="X182" i="20"/>
  <c r="X181" i="20"/>
  <c r="X180" i="20"/>
  <c r="X179" i="20"/>
  <c r="X178" i="20"/>
  <c r="X177" i="20"/>
  <c r="X176" i="20"/>
  <c r="X175" i="20"/>
  <c r="X174" i="20"/>
  <c r="X173" i="20"/>
  <c r="X172" i="20"/>
  <c r="X171" i="20"/>
  <c r="X170" i="20"/>
  <c r="X169" i="20"/>
  <c r="X168" i="20"/>
  <c r="X167" i="20"/>
  <c r="X166" i="20"/>
  <c r="X165" i="20"/>
  <c r="X164" i="20"/>
  <c r="X163" i="20"/>
  <c r="X162" i="20"/>
  <c r="X161" i="20"/>
  <c r="X160" i="20"/>
  <c r="X159" i="20"/>
  <c r="X158" i="20"/>
  <c r="X157" i="20"/>
  <c r="X156" i="20"/>
  <c r="X155" i="20"/>
  <c r="X154" i="20"/>
  <c r="X153" i="20"/>
  <c r="X152" i="20"/>
  <c r="X151" i="20"/>
  <c r="X150" i="20"/>
  <c r="X149" i="20"/>
  <c r="X148" i="20"/>
  <c r="X147" i="20"/>
  <c r="X146" i="20"/>
  <c r="X145" i="20"/>
  <c r="X144" i="20"/>
  <c r="X143" i="20"/>
  <c r="X142" i="20"/>
  <c r="X141" i="20"/>
  <c r="X140" i="20"/>
  <c r="X139" i="20"/>
  <c r="X138" i="20"/>
  <c r="X137" i="20"/>
  <c r="X136" i="20"/>
  <c r="X135" i="20"/>
  <c r="X134" i="20"/>
  <c r="X133" i="20"/>
  <c r="X132" i="20"/>
  <c r="X131" i="20"/>
  <c r="X130" i="20"/>
  <c r="X129" i="20"/>
  <c r="X128" i="20"/>
  <c r="X127" i="20"/>
  <c r="X126" i="20"/>
  <c r="X125" i="20"/>
  <c r="X124" i="20"/>
  <c r="X123" i="20"/>
  <c r="X122" i="20"/>
  <c r="X121" i="20"/>
  <c r="X120" i="20"/>
  <c r="X119" i="20"/>
  <c r="X118" i="20"/>
  <c r="X117" i="20"/>
  <c r="X116" i="20"/>
  <c r="X115" i="20"/>
  <c r="X114" i="20"/>
  <c r="X113" i="20"/>
  <c r="X112" i="20"/>
  <c r="X111" i="20"/>
  <c r="X110" i="20"/>
  <c r="X109" i="20"/>
  <c r="X108" i="20"/>
  <c r="X107" i="20"/>
  <c r="X106" i="20"/>
  <c r="X105" i="20"/>
  <c r="X104" i="20"/>
  <c r="X103" i="20"/>
  <c r="X102" i="20"/>
  <c r="X101" i="20"/>
  <c r="X100" i="20"/>
  <c r="X99" i="20"/>
  <c r="X98" i="20"/>
  <c r="X97" i="20"/>
  <c r="X96" i="20"/>
  <c r="X95" i="20"/>
  <c r="X94" i="20"/>
  <c r="X93" i="20"/>
  <c r="X92" i="20"/>
  <c r="X91" i="20"/>
  <c r="X90" i="20"/>
  <c r="X89" i="20"/>
  <c r="X88" i="20"/>
  <c r="X87" i="20"/>
  <c r="X86" i="20"/>
  <c r="X85" i="20"/>
  <c r="X84" i="20"/>
  <c r="X83" i="20"/>
  <c r="X82" i="20"/>
  <c r="X81" i="20"/>
  <c r="X80" i="20"/>
  <c r="X79" i="20"/>
  <c r="X78" i="20"/>
  <c r="X77" i="20"/>
  <c r="X76" i="20"/>
  <c r="X75" i="20"/>
  <c r="X74" i="20"/>
  <c r="X73" i="20"/>
  <c r="X72" i="20"/>
  <c r="X71" i="20"/>
  <c r="X70" i="20"/>
  <c r="X69" i="20"/>
  <c r="X68" i="20"/>
  <c r="X67" i="20"/>
  <c r="X66" i="20"/>
  <c r="X65" i="20"/>
  <c r="X64" i="20"/>
  <c r="X63" i="20"/>
  <c r="X62" i="20"/>
  <c r="X61" i="20"/>
  <c r="X60" i="20"/>
  <c r="X59" i="20"/>
  <c r="X58" i="20"/>
  <c r="X57" i="20"/>
  <c r="X56" i="20"/>
  <c r="X55" i="20"/>
  <c r="X54" i="20"/>
  <c r="X53" i="20"/>
  <c r="X52" i="20"/>
  <c r="X51" i="20"/>
  <c r="X50" i="20"/>
  <c r="X49" i="20"/>
  <c r="X48" i="20"/>
  <c r="X47" i="20"/>
  <c r="X46" i="20"/>
  <c r="X45" i="20"/>
  <c r="X44" i="20"/>
  <c r="X43" i="20"/>
  <c r="X42" i="20"/>
  <c r="X41" i="20"/>
  <c r="X40" i="20"/>
  <c r="X39" i="20"/>
  <c r="X38" i="20"/>
  <c r="X37" i="20"/>
  <c r="X36" i="20"/>
  <c r="X35" i="20"/>
  <c r="X34" i="20"/>
  <c r="X33" i="20"/>
  <c r="X32" i="20"/>
  <c r="X31" i="20"/>
  <c r="X30" i="20"/>
  <c r="X29" i="20"/>
  <c r="X28" i="20"/>
  <c r="X27" i="20"/>
  <c r="X26" i="20"/>
  <c r="X25" i="20"/>
  <c r="X24" i="20"/>
  <c r="X23" i="20"/>
  <c r="O322" i="20"/>
  <c r="O321" i="20"/>
  <c r="O320" i="20"/>
  <c r="O319" i="20"/>
  <c r="O318" i="20"/>
  <c r="O317" i="20"/>
  <c r="O316" i="20"/>
  <c r="O315" i="20"/>
  <c r="O314" i="20"/>
  <c r="O313" i="20"/>
  <c r="O312" i="20"/>
  <c r="O311" i="20"/>
  <c r="O310" i="20"/>
  <c r="O309" i="20"/>
  <c r="O308" i="20"/>
  <c r="O307" i="20"/>
  <c r="O306" i="20"/>
  <c r="O305" i="20"/>
  <c r="O304" i="20"/>
  <c r="O303" i="20"/>
  <c r="O302" i="20"/>
  <c r="O301" i="20"/>
  <c r="O300" i="20"/>
  <c r="O299" i="20"/>
  <c r="O298" i="20"/>
  <c r="O297" i="20"/>
  <c r="O296" i="20"/>
  <c r="O295" i="20"/>
  <c r="O294" i="20"/>
  <c r="O293" i="20"/>
  <c r="O292" i="20"/>
  <c r="O291" i="20"/>
  <c r="O290" i="20"/>
  <c r="O289" i="20"/>
  <c r="O288" i="20"/>
  <c r="O287" i="20"/>
  <c r="O286" i="20"/>
  <c r="O285" i="20"/>
  <c r="O284" i="20"/>
  <c r="O283" i="20"/>
  <c r="O282" i="20"/>
  <c r="O281" i="20"/>
  <c r="O280" i="20"/>
  <c r="O279" i="20"/>
  <c r="O278" i="20"/>
  <c r="O277" i="20"/>
  <c r="O276" i="20"/>
  <c r="O275" i="20"/>
  <c r="O274" i="20"/>
  <c r="O273" i="20"/>
  <c r="O272" i="20"/>
  <c r="O271" i="20"/>
  <c r="O270" i="20"/>
  <c r="O269" i="20"/>
  <c r="O268" i="20"/>
  <c r="O267" i="20"/>
  <c r="O266" i="20"/>
  <c r="O265" i="20"/>
  <c r="O264" i="20"/>
  <c r="O263" i="20"/>
  <c r="O262" i="20"/>
  <c r="O261" i="20"/>
  <c r="O260" i="20"/>
  <c r="O259" i="20"/>
  <c r="O258" i="20"/>
  <c r="O257" i="20"/>
  <c r="O256" i="20"/>
  <c r="O255" i="20"/>
  <c r="O254" i="20"/>
  <c r="O253" i="20"/>
  <c r="O252" i="20"/>
  <c r="O251" i="20"/>
  <c r="O250" i="20"/>
  <c r="O249" i="20"/>
  <c r="O248" i="20"/>
  <c r="O247" i="20"/>
  <c r="O246" i="20"/>
  <c r="O245" i="20"/>
  <c r="O244" i="20"/>
  <c r="O243" i="20"/>
  <c r="O242" i="20"/>
  <c r="O241" i="20"/>
  <c r="O240" i="20"/>
  <c r="O239" i="20"/>
  <c r="O238" i="20"/>
  <c r="O237" i="20"/>
  <c r="O236" i="20"/>
  <c r="O235" i="20"/>
  <c r="O234" i="20"/>
  <c r="O233" i="20"/>
  <c r="O232" i="20"/>
  <c r="O231" i="20"/>
  <c r="O230" i="20"/>
  <c r="O229" i="20"/>
  <c r="O228" i="20"/>
  <c r="O227" i="20"/>
  <c r="O226" i="20"/>
  <c r="O225" i="20"/>
  <c r="O224" i="20"/>
  <c r="O223" i="20"/>
  <c r="O222" i="20"/>
  <c r="O221" i="20"/>
  <c r="O220" i="20"/>
  <c r="O219" i="20"/>
  <c r="O218" i="20"/>
  <c r="O217" i="20"/>
  <c r="O216" i="20"/>
  <c r="O215" i="20"/>
  <c r="O214" i="20"/>
  <c r="O213" i="20"/>
  <c r="O212" i="20"/>
  <c r="O211" i="20"/>
  <c r="O210" i="20"/>
  <c r="O209" i="20"/>
  <c r="O208" i="20"/>
  <c r="O207" i="20"/>
  <c r="O206" i="20"/>
  <c r="O205" i="20"/>
  <c r="O204" i="20"/>
  <c r="O203" i="20"/>
  <c r="O202" i="20"/>
  <c r="O201" i="20"/>
  <c r="O200" i="20"/>
  <c r="O199" i="20"/>
  <c r="O198" i="20"/>
  <c r="O197" i="20"/>
  <c r="O196" i="20"/>
  <c r="O195" i="20"/>
  <c r="O194" i="20"/>
  <c r="O193" i="20"/>
  <c r="O192" i="20"/>
  <c r="O191" i="20"/>
  <c r="O190" i="20"/>
  <c r="O189" i="20"/>
  <c r="O188" i="20"/>
  <c r="O187" i="20"/>
  <c r="O186" i="20"/>
  <c r="O185" i="20"/>
  <c r="O184" i="20"/>
  <c r="O183" i="20"/>
  <c r="O182" i="20"/>
  <c r="O181" i="20"/>
  <c r="O180" i="20"/>
  <c r="O179" i="20"/>
  <c r="O178" i="20"/>
  <c r="O177" i="20"/>
  <c r="O176" i="20"/>
  <c r="O175" i="20"/>
  <c r="O174" i="20"/>
  <c r="O173" i="20"/>
  <c r="O172" i="20"/>
  <c r="O171" i="20"/>
  <c r="O170" i="20"/>
  <c r="O169" i="20"/>
  <c r="O168" i="20"/>
  <c r="O167" i="20"/>
  <c r="O166" i="20"/>
  <c r="O165" i="20"/>
  <c r="O164" i="20"/>
  <c r="O163" i="20"/>
  <c r="O162" i="20"/>
  <c r="O161" i="20"/>
  <c r="O160" i="20"/>
  <c r="O159" i="20"/>
  <c r="O158" i="20"/>
  <c r="O157" i="20"/>
  <c r="O156" i="20"/>
  <c r="O155" i="20"/>
  <c r="O154" i="20"/>
  <c r="O153" i="20"/>
  <c r="O152" i="20"/>
  <c r="O151" i="20"/>
  <c r="O150" i="20"/>
  <c r="O149" i="20"/>
  <c r="O148" i="20"/>
  <c r="O147" i="20"/>
  <c r="O146" i="20"/>
  <c r="O145" i="20"/>
  <c r="O144" i="20"/>
  <c r="O143" i="20"/>
  <c r="O142" i="20"/>
  <c r="O141" i="20"/>
  <c r="O140" i="20"/>
  <c r="O139" i="20"/>
  <c r="O138" i="20"/>
  <c r="O137" i="20"/>
  <c r="O136" i="20"/>
  <c r="O135" i="20"/>
  <c r="O134" i="20"/>
  <c r="O133" i="20"/>
  <c r="O132" i="20"/>
  <c r="O131" i="20"/>
  <c r="O130" i="20"/>
  <c r="O129" i="20"/>
  <c r="O128" i="20"/>
  <c r="O127" i="20"/>
  <c r="O126" i="20"/>
  <c r="O125" i="20"/>
  <c r="O124" i="20"/>
  <c r="O123" i="20"/>
  <c r="O122" i="20"/>
  <c r="O121" i="20"/>
  <c r="O120" i="20"/>
  <c r="O119" i="20"/>
  <c r="O118" i="20"/>
  <c r="O117" i="20"/>
  <c r="O116" i="20"/>
  <c r="O115" i="20"/>
  <c r="O114" i="20"/>
  <c r="O113" i="20"/>
  <c r="O112" i="20"/>
  <c r="O111" i="20"/>
  <c r="O110" i="20"/>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G61" i="24" l="1" a="1"/>
  <c r="G61" i="24" s="1"/>
  <c r="G60" i="24" a="1"/>
  <c r="G60" i="24" s="1"/>
  <c r="G59" i="24" a="1"/>
  <c r="G59" i="24" s="1"/>
  <c r="G58" i="24" a="1"/>
  <c r="G58" i="24" s="1"/>
  <c r="G57" i="24" a="1"/>
  <c r="G57" i="24" s="1"/>
  <c r="G56" i="24" a="1"/>
  <c r="G56" i="24" s="1"/>
  <c r="G55" i="24" a="1"/>
  <c r="G55" i="24" s="1"/>
  <c r="G54" i="24" a="1"/>
  <c r="G54" i="24" s="1"/>
  <c r="G53" i="24" a="1"/>
  <c r="G53" i="24" s="1"/>
  <c r="G52" i="24" a="1"/>
  <c r="G52" i="24" s="1"/>
  <c r="G51" i="24" a="1"/>
  <c r="G51" i="24" s="1"/>
  <c r="G50" i="24" a="1"/>
  <c r="G50" i="24" s="1"/>
  <c r="G49" i="24" a="1"/>
  <c r="G49" i="24" s="1"/>
  <c r="G48" i="24" a="1"/>
  <c r="G48" i="24" s="1"/>
  <c r="G47" i="24" a="1"/>
  <c r="G47" i="24" s="1"/>
  <c r="G46" i="24" a="1"/>
  <c r="G46" i="24" s="1"/>
  <c r="G45" i="24" a="1"/>
  <c r="G45" i="24" s="1"/>
  <c r="G44" i="24" a="1"/>
  <c r="G44" i="24" s="1"/>
  <c r="G43" i="24" a="1"/>
  <c r="G43" i="24" s="1"/>
  <c r="G42" i="24" a="1"/>
  <c r="G42" i="24" s="1"/>
  <c r="G41" i="24" a="1"/>
  <c r="G41" i="24" s="1"/>
  <c r="G40" i="24" a="1"/>
  <c r="G40" i="24" s="1"/>
  <c r="G39" i="24" a="1"/>
  <c r="G39" i="24" s="1"/>
  <c r="G38" i="24" a="1"/>
  <c r="G38" i="24" s="1"/>
  <c r="G37" i="24" a="1"/>
  <c r="G37" i="24" s="1"/>
  <c r="G36" i="24" a="1"/>
  <c r="G36" i="24" s="1"/>
  <c r="G35" i="24" a="1"/>
  <c r="G35" i="24" s="1"/>
  <c r="G34" i="24" a="1"/>
  <c r="G34" i="24" s="1"/>
  <c r="G33" i="24" a="1"/>
  <c r="G33" i="24" s="1"/>
  <c r="G32" i="24" a="1"/>
  <c r="G32" i="24" s="1"/>
  <c r="G31" i="24" a="1"/>
  <c r="G31" i="24" s="1"/>
  <c r="G30" i="24" a="1"/>
  <c r="G30" i="24" s="1"/>
  <c r="G29" i="24" a="1"/>
  <c r="G29" i="24" s="1"/>
  <c r="G28" i="24" a="1"/>
  <c r="G28" i="24" s="1"/>
  <c r="G27" i="24" a="1"/>
  <c r="G27" i="24" s="1"/>
  <c r="G26" i="24" a="1"/>
  <c r="G26" i="24" s="1"/>
  <c r="G25" i="24" a="1"/>
  <c r="G25" i="24" s="1"/>
  <c r="G24" i="24" a="1"/>
  <c r="G24" i="24" s="1"/>
  <c r="G23" i="24" a="1"/>
  <c r="G23" i="24" s="1"/>
  <c r="G22" i="24" a="1"/>
  <c r="G22" i="24" s="1"/>
  <c r="G21" i="24" a="1"/>
  <c r="G21" i="24" s="1"/>
  <c r="G20" i="24" a="1"/>
  <c r="G20" i="24" s="1"/>
  <c r="G19" i="24" a="1"/>
  <c r="G19" i="24" s="1"/>
  <c r="G18" i="24" a="1"/>
  <c r="G18" i="24" s="1"/>
  <c r="G17" i="24" a="1"/>
  <c r="G17" i="24" s="1"/>
  <c r="G16" i="24" a="1"/>
  <c r="G16" i="24" s="1"/>
  <c r="G15" i="24" a="1"/>
  <c r="G15" i="24" s="1"/>
  <c r="G14" i="24" a="1"/>
  <c r="G14" i="24" s="1"/>
  <c r="G13" i="24" a="1"/>
  <c r="G13" i="24" s="1"/>
  <c r="G12" i="24" a="1"/>
  <c r="G12" i="24" s="1"/>
  <c r="G11" i="24" a="1"/>
  <c r="G11" i="24" s="1"/>
  <c r="G10" i="24" a="1"/>
  <c r="G10" i="24" s="1"/>
  <c r="CD308" i="3"/>
  <c r="CD307" i="3"/>
  <c r="CD306" i="3"/>
  <c r="CD305" i="3"/>
  <c r="CD304" i="3"/>
  <c r="CD303" i="3"/>
  <c r="CD302" i="3"/>
  <c r="CD301" i="3"/>
  <c r="CD300" i="3"/>
  <c r="CD299" i="3"/>
  <c r="CD298" i="3"/>
  <c r="CD297" i="3"/>
  <c r="CD296" i="3"/>
  <c r="CD295" i="3"/>
  <c r="CD294" i="3"/>
  <c r="CD293" i="3"/>
  <c r="CD292" i="3"/>
  <c r="CD291" i="3"/>
  <c r="CD290" i="3"/>
  <c r="CD289" i="3"/>
  <c r="CD288" i="3"/>
  <c r="CD287" i="3"/>
  <c r="CD286" i="3"/>
  <c r="CD285" i="3"/>
  <c r="CD284" i="3"/>
  <c r="CD283" i="3"/>
  <c r="CD282" i="3"/>
  <c r="CD281" i="3"/>
  <c r="CD280" i="3"/>
  <c r="CD279" i="3"/>
  <c r="CD278" i="3"/>
  <c r="CD277" i="3"/>
  <c r="CD276" i="3"/>
  <c r="CD275" i="3"/>
  <c r="CD274" i="3"/>
  <c r="CD273" i="3"/>
  <c r="CD272" i="3"/>
  <c r="CD271" i="3"/>
  <c r="CD270" i="3"/>
  <c r="CD269" i="3"/>
  <c r="CD268" i="3"/>
  <c r="CD267" i="3"/>
  <c r="CD266" i="3"/>
  <c r="CD265" i="3"/>
  <c r="CD264" i="3"/>
  <c r="CD263" i="3"/>
  <c r="CD262" i="3"/>
  <c r="CD261" i="3"/>
  <c r="CD260" i="3"/>
  <c r="CD259" i="3"/>
  <c r="CD258" i="3"/>
  <c r="CD257" i="3"/>
  <c r="CD256" i="3"/>
  <c r="CD255" i="3"/>
  <c r="CD254" i="3"/>
  <c r="CD253" i="3"/>
  <c r="CD252" i="3"/>
  <c r="CD251" i="3"/>
  <c r="CD250" i="3"/>
  <c r="CD249" i="3"/>
  <c r="CD248" i="3"/>
  <c r="CD247" i="3"/>
  <c r="CD246" i="3"/>
  <c r="CD245" i="3"/>
  <c r="CD244" i="3"/>
  <c r="CD243" i="3"/>
  <c r="CD242" i="3"/>
  <c r="CD241" i="3"/>
  <c r="CD240" i="3"/>
  <c r="CD239" i="3"/>
  <c r="CD238" i="3"/>
  <c r="CD237" i="3"/>
  <c r="CD236" i="3"/>
  <c r="CD235" i="3"/>
  <c r="CD234" i="3"/>
  <c r="CD231" i="3"/>
  <c r="CD230" i="3"/>
  <c r="CD229" i="3"/>
  <c r="CD228" i="3"/>
  <c r="CD225" i="3"/>
  <c r="CD224" i="3"/>
  <c r="CD223" i="3"/>
  <c r="CD222" i="3"/>
  <c r="CD219" i="3"/>
  <c r="CD218" i="3"/>
  <c r="CD217" i="3"/>
  <c r="CD216" i="3"/>
  <c r="CD211" i="3"/>
  <c r="CD210" i="3"/>
  <c r="CD209" i="3"/>
  <c r="CD208" i="3"/>
  <c r="CD207" i="3"/>
  <c r="CD206" i="3"/>
  <c r="CD205" i="3"/>
  <c r="CD204" i="3"/>
  <c r="CD203" i="3"/>
  <c r="CD202" i="3"/>
  <c r="CD201" i="3"/>
  <c r="CD200" i="3"/>
  <c r="CD199" i="3"/>
  <c r="CD198" i="3"/>
  <c r="CD197" i="3"/>
  <c r="CD196" i="3"/>
  <c r="CD195" i="3"/>
  <c r="CD194" i="3"/>
  <c r="CD193" i="3"/>
  <c r="CD192" i="3"/>
  <c r="CD191" i="3"/>
  <c r="CD190" i="3"/>
  <c r="CD189" i="3"/>
  <c r="CD188" i="3"/>
  <c r="CD187" i="3"/>
  <c r="CD186" i="3"/>
  <c r="CD185" i="3"/>
  <c r="CD184" i="3"/>
  <c r="CD183" i="3"/>
  <c r="CD182" i="3"/>
  <c r="CD181" i="3"/>
  <c r="CD180" i="3"/>
  <c r="CD179" i="3"/>
  <c r="CD178" i="3"/>
  <c r="CD177" i="3"/>
  <c r="CD176" i="3"/>
  <c r="CD175" i="3"/>
  <c r="CD174" i="3"/>
  <c r="CD173" i="3"/>
  <c r="CD172" i="3"/>
  <c r="CD171" i="3"/>
  <c r="CD170" i="3"/>
  <c r="CD169" i="3"/>
  <c r="CD168" i="3"/>
  <c r="CD167" i="3"/>
  <c r="CD166" i="3"/>
  <c r="CD165" i="3"/>
  <c r="CD164" i="3"/>
  <c r="CD163" i="3"/>
  <c r="CD162" i="3"/>
  <c r="CD161" i="3"/>
  <c r="CD160" i="3"/>
  <c r="CD159" i="3"/>
  <c r="CD158" i="3"/>
  <c r="CD157" i="3"/>
  <c r="CD156" i="3"/>
  <c r="CD155" i="3"/>
  <c r="CD154" i="3"/>
  <c r="CD153" i="3"/>
  <c r="CD152" i="3"/>
  <c r="CD151" i="3"/>
  <c r="CD150" i="3"/>
  <c r="CD149" i="3"/>
  <c r="CD148" i="3"/>
  <c r="CD147" i="3"/>
  <c r="CD146" i="3"/>
  <c r="CD145" i="3"/>
  <c r="CD144" i="3"/>
  <c r="CD143" i="3"/>
  <c r="CD142" i="3"/>
  <c r="CD141" i="3"/>
  <c r="CD140" i="3"/>
  <c r="CD139" i="3"/>
  <c r="CD138" i="3"/>
  <c r="CD137" i="3"/>
  <c r="CD136" i="3"/>
  <c r="CD135" i="3"/>
  <c r="CD134" i="3"/>
  <c r="CD133" i="3"/>
  <c r="CD132" i="3"/>
  <c r="CD131" i="3"/>
  <c r="CD130" i="3"/>
  <c r="CD129" i="3"/>
  <c r="CD128" i="3"/>
  <c r="CD127" i="3"/>
  <c r="CD126" i="3"/>
  <c r="CD125" i="3"/>
  <c r="CD113" i="3"/>
  <c r="CD112" i="3"/>
  <c r="CD111" i="3"/>
  <c r="CD110" i="3"/>
  <c r="CD109" i="3"/>
  <c r="CD108" i="3"/>
  <c r="CD107" i="3"/>
  <c r="CD106" i="3"/>
  <c r="CD105" i="3"/>
  <c r="CD104" i="3"/>
  <c r="CD103" i="3"/>
  <c r="CD102" i="3"/>
  <c r="CD101" i="3"/>
  <c r="CD100" i="3"/>
  <c r="CD99" i="3"/>
  <c r="CD98" i="3"/>
  <c r="CD97" i="3"/>
  <c r="CD96" i="3"/>
  <c r="CD95" i="3"/>
  <c r="CD94" i="3"/>
  <c r="CD93" i="3"/>
  <c r="CD92" i="3"/>
  <c r="CD91" i="3"/>
  <c r="CD90" i="3"/>
  <c r="CD89" i="3"/>
  <c r="CD88" i="3"/>
  <c r="CD87" i="3"/>
  <c r="CD86" i="3"/>
  <c r="CD85" i="3"/>
  <c r="CD84" i="3"/>
  <c r="CD82" i="3"/>
  <c r="CD81" i="3"/>
  <c r="CD80" i="3"/>
  <c r="CD79" i="3"/>
  <c r="CD71" i="3"/>
  <c r="CD70" i="3"/>
  <c r="CD69" i="3"/>
  <c r="CD68" i="3"/>
  <c r="CD67" i="3"/>
  <c r="CD64" i="3"/>
  <c r="CD63" i="3"/>
  <c r="CD62" i="3"/>
  <c r="CD61" i="3"/>
  <c r="CD60" i="3"/>
  <c r="CD59" i="3"/>
  <c r="CD58" i="3"/>
  <c r="CD57" i="3"/>
  <c r="CD56" i="3"/>
  <c r="CD55" i="3"/>
  <c r="CD54" i="3"/>
  <c r="CD53" i="3"/>
  <c r="CD52" i="3"/>
  <c r="CD51" i="3"/>
  <c r="CD50" i="3"/>
  <c r="CD49" i="3"/>
  <c r="CD48" i="3"/>
  <c r="CD43" i="3"/>
  <c r="CD41" i="3"/>
  <c r="CD39" i="3"/>
  <c r="CD15" i="3"/>
  <c r="CD14" i="3"/>
  <c r="AL215" i="3"/>
  <c r="AL214" i="3"/>
  <c r="AP9" i="5"/>
  <c r="AJ9" i="5"/>
  <c r="AM9" i="5"/>
  <c r="CE308" i="3"/>
  <c r="CE307" i="3"/>
  <c r="CE306" i="3"/>
  <c r="CE305" i="3"/>
  <c r="CE304" i="3"/>
  <c r="CE303" i="3"/>
  <c r="CE302" i="3"/>
  <c r="CE301" i="3"/>
  <c r="CE300" i="3"/>
  <c r="CE299" i="3"/>
  <c r="CE298" i="3"/>
  <c r="CE297" i="3"/>
  <c r="CE296" i="3"/>
  <c r="CE295" i="3"/>
  <c r="CE294" i="3"/>
  <c r="CE293" i="3"/>
  <c r="CE292" i="3"/>
  <c r="CE291" i="3"/>
  <c r="CE290" i="3"/>
  <c r="CE289" i="3"/>
  <c r="CE288" i="3"/>
  <c r="CE287" i="3"/>
  <c r="CE286" i="3"/>
  <c r="CE285" i="3"/>
  <c r="CE284" i="3"/>
  <c r="CE283" i="3"/>
  <c r="CE282" i="3"/>
  <c r="CE281" i="3"/>
  <c r="CE280" i="3"/>
  <c r="CE279" i="3"/>
  <c r="CE278" i="3"/>
  <c r="CE277" i="3"/>
  <c r="CE276" i="3"/>
  <c r="CE275" i="3"/>
  <c r="CE274" i="3"/>
  <c r="CE273" i="3"/>
  <c r="CE272" i="3"/>
  <c r="CE271" i="3"/>
  <c r="CE270" i="3"/>
  <c r="CE269" i="3"/>
  <c r="CE268" i="3"/>
  <c r="CE267" i="3"/>
  <c r="CE266" i="3"/>
  <c r="CE265" i="3"/>
  <c r="CE264" i="3"/>
  <c r="CE263" i="3"/>
  <c r="CE262" i="3"/>
  <c r="CE261" i="3"/>
  <c r="CE260" i="3"/>
  <c r="CE259" i="3"/>
  <c r="CE258" i="3"/>
  <c r="CE257" i="3"/>
  <c r="CE256" i="3"/>
  <c r="CE255" i="3"/>
  <c r="CE254" i="3"/>
  <c r="CE253" i="3"/>
  <c r="CE252" i="3"/>
  <c r="CE251" i="3"/>
  <c r="CE250" i="3"/>
  <c r="CE249" i="3"/>
  <c r="CE248" i="3"/>
  <c r="CE247" i="3"/>
  <c r="CE246" i="3"/>
  <c r="CE245" i="3"/>
  <c r="CE244" i="3"/>
  <c r="CE243" i="3"/>
  <c r="CE242" i="3"/>
  <c r="CE241" i="3"/>
  <c r="CE240" i="3"/>
  <c r="CE239" i="3"/>
  <c r="CE238" i="3"/>
  <c r="CE237" i="3"/>
  <c r="CE236" i="3"/>
  <c r="CE235" i="3"/>
  <c r="CE234" i="3"/>
  <c r="CE231" i="3"/>
  <c r="CE230" i="3"/>
  <c r="CE229" i="3"/>
  <c r="CE228" i="3"/>
  <c r="CE225" i="3"/>
  <c r="CE224" i="3"/>
  <c r="CE223" i="3"/>
  <c r="CE222" i="3"/>
  <c r="CE219" i="3"/>
  <c r="CE218" i="3"/>
  <c r="CE217" i="3"/>
  <c r="CE216" i="3"/>
  <c r="CE211" i="3"/>
  <c r="CE210" i="3"/>
  <c r="CE209" i="3"/>
  <c r="CE208" i="3"/>
  <c r="CE207" i="3"/>
  <c r="CE206" i="3"/>
  <c r="CE205" i="3"/>
  <c r="CE204" i="3"/>
  <c r="CE203" i="3"/>
  <c r="CE202" i="3"/>
  <c r="CE201" i="3"/>
  <c r="CE200" i="3"/>
  <c r="CE199" i="3"/>
  <c r="CE198" i="3"/>
  <c r="CE197" i="3"/>
  <c r="CE196" i="3"/>
  <c r="CE195" i="3"/>
  <c r="CE194" i="3"/>
  <c r="CE193" i="3"/>
  <c r="CE192" i="3"/>
  <c r="CE191" i="3"/>
  <c r="CE190" i="3"/>
  <c r="CE189" i="3"/>
  <c r="CE188" i="3"/>
  <c r="CE187" i="3"/>
  <c r="CE186" i="3"/>
  <c r="CE185" i="3"/>
  <c r="CE184" i="3"/>
  <c r="CE183" i="3"/>
  <c r="CE182" i="3"/>
  <c r="CE181" i="3"/>
  <c r="CE180" i="3"/>
  <c r="CE179" i="3"/>
  <c r="CE178" i="3"/>
  <c r="CE177" i="3"/>
  <c r="CE176" i="3"/>
  <c r="CE175" i="3"/>
  <c r="CE174" i="3"/>
  <c r="CE173" i="3"/>
  <c r="CE172" i="3"/>
  <c r="CE171" i="3"/>
  <c r="CE170" i="3"/>
  <c r="CE169" i="3"/>
  <c r="CE168" i="3"/>
  <c r="CE167" i="3"/>
  <c r="CE166" i="3"/>
  <c r="CE165" i="3"/>
  <c r="CE164" i="3"/>
  <c r="CE163" i="3"/>
  <c r="CE162" i="3"/>
  <c r="CE161" i="3"/>
  <c r="CE160" i="3"/>
  <c r="CE159" i="3"/>
  <c r="CE158" i="3"/>
  <c r="CE157" i="3"/>
  <c r="CE156" i="3"/>
  <c r="CE155" i="3"/>
  <c r="CE154" i="3"/>
  <c r="CE153" i="3"/>
  <c r="CE152" i="3"/>
  <c r="CE151" i="3"/>
  <c r="CE150" i="3"/>
  <c r="CE149" i="3"/>
  <c r="CE148" i="3"/>
  <c r="CE147" i="3"/>
  <c r="CE146" i="3"/>
  <c r="CE145" i="3"/>
  <c r="CE144" i="3"/>
  <c r="CE143" i="3"/>
  <c r="CE142" i="3"/>
  <c r="CE141" i="3"/>
  <c r="CE140" i="3"/>
  <c r="CE139" i="3"/>
  <c r="CE138" i="3"/>
  <c r="CE137" i="3"/>
  <c r="CE136" i="3"/>
  <c r="CE135" i="3"/>
  <c r="CE134" i="3"/>
  <c r="CE133" i="3"/>
  <c r="CE132" i="3"/>
  <c r="CE131" i="3"/>
  <c r="CE130" i="3"/>
  <c r="CE129" i="3"/>
  <c r="CE128" i="3"/>
  <c r="CE127" i="3"/>
  <c r="CE126" i="3"/>
  <c r="CE125" i="3"/>
  <c r="CE112" i="3"/>
  <c r="CE111" i="3"/>
  <c r="CE110" i="3"/>
  <c r="CE109" i="3"/>
  <c r="CE108" i="3"/>
  <c r="CE107" i="3"/>
  <c r="CE106" i="3"/>
  <c r="CE105" i="3"/>
  <c r="CE104" i="3"/>
  <c r="CE103" i="3"/>
  <c r="CE102" i="3"/>
  <c r="CE101" i="3"/>
  <c r="CE100" i="3"/>
  <c r="CE99" i="3"/>
  <c r="CE98" i="3"/>
  <c r="CE97" i="3"/>
  <c r="CE96" i="3"/>
  <c r="CE95" i="3"/>
  <c r="CE94" i="3"/>
  <c r="CE93" i="3"/>
  <c r="CE92" i="3"/>
  <c r="CE91" i="3"/>
  <c r="CE90" i="3"/>
  <c r="CE89" i="3"/>
  <c r="CE88" i="3"/>
  <c r="CE87" i="3"/>
  <c r="CE86" i="3"/>
  <c r="CE85" i="3"/>
  <c r="CE84" i="3"/>
  <c r="CE82" i="3"/>
  <c r="CE81" i="3"/>
  <c r="CE80" i="3"/>
  <c r="CE79" i="3"/>
  <c r="CE71" i="3"/>
  <c r="CE70" i="3"/>
  <c r="CE69" i="3"/>
  <c r="CE68" i="3"/>
  <c r="CE67" i="3"/>
  <c r="CE64" i="3"/>
  <c r="CE63" i="3"/>
  <c r="CE62" i="3"/>
  <c r="CE61" i="3"/>
  <c r="CE60" i="3"/>
  <c r="CE59" i="3"/>
  <c r="CE58" i="3"/>
  <c r="CE57" i="3"/>
  <c r="CE56" i="3"/>
  <c r="CE55" i="3"/>
  <c r="CE54" i="3"/>
  <c r="CE53" i="3"/>
  <c r="CE52" i="3"/>
  <c r="CE51" i="3"/>
  <c r="CE50" i="3"/>
  <c r="CE49" i="3"/>
  <c r="CE48" i="3"/>
  <c r="CE43" i="3"/>
  <c r="CE41" i="3"/>
  <c r="CE39" i="3"/>
  <c r="CE14" i="3"/>
  <c r="AN9" i="5"/>
  <c r="AF9" i="5"/>
  <c r="CE113" i="3"/>
  <c r="CE15" i="3"/>
  <c r="AE9" i="5"/>
  <c r="AE10" i="5"/>
  <c r="AD9" i="5"/>
  <c r="AB9" i="5"/>
  <c r="AA9" i="5"/>
  <c r="P312" i="13"/>
  <c r="Z9" i="5"/>
  <c r="AL216" i="3" l="1"/>
  <c r="AL218" i="3"/>
  <c r="AL219" i="3"/>
  <c r="AL222" i="3"/>
  <c r="AL223" i="3"/>
  <c r="AL186" i="3"/>
  <c r="AL202" i="3"/>
  <c r="AL203" i="3"/>
  <c r="AO9" i="3"/>
  <c r="N12" i="13" s="1"/>
  <c r="BC9" i="3"/>
  <c r="BT9" i="3"/>
  <c r="AE9" i="3"/>
  <c r="Q9" i="3"/>
  <c r="DI9" i="3" s="1"/>
  <c r="O27" i="3"/>
  <c r="AO27" i="3" s="1"/>
  <c r="O26" i="3"/>
  <c r="AS26" i="3" s="1"/>
  <c r="O25" i="3"/>
  <c r="AO25" i="3" s="1"/>
  <c r="O24" i="3"/>
  <c r="AS24" i="3" s="1"/>
  <c r="O23" i="3"/>
  <c r="AO23" i="3" s="1"/>
  <c r="BC23" i="3"/>
  <c r="O22" i="3"/>
  <c r="AS22" i="3" s="1"/>
  <c r="BC22" i="3"/>
  <c r="O21" i="3"/>
  <c r="AS21" i="3" s="1"/>
  <c r="O20" i="3"/>
  <c r="AO20" i="3" s="1"/>
  <c r="O19" i="3"/>
  <c r="AS19" i="3" s="1"/>
  <c r="O18" i="3"/>
  <c r="AS18" i="3" s="1"/>
  <c r="O17" i="3"/>
  <c r="AS17" i="3" s="1"/>
  <c r="O16" i="3"/>
  <c r="AS16" i="3" s="1"/>
  <c r="O15" i="3"/>
  <c r="O14" i="3"/>
  <c r="AS14" i="3" s="1"/>
  <c r="EA11" i="3"/>
  <c r="O12" i="3"/>
  <c r="AS12" i="3" s="1"/>
  <c r="O11" i="3"/>
  <c r="O10" i="3"/>
  <c r="AU29" i="3"/>
  <c r="O29" i="3"/>
  <c r="BK29" i="3"/>
  <c r="BL29" i="3"/>
  <c r="AU28" i="3"/>
  <c r="R331" i="13" s="1"/>
  <c r="O28" i="3"/>
  <c r="BK28" i="3"/>
  <c r="BL28" i="3"/>
  <c r="AU27" i="3"/>
  <c r="R330" i="13" s="1"/>
  <c r="EJ27" i="3"/>
  <c r="BK27" i="3"/>
  <c r="BL27" i="3"/>
  <c r="AU26" i="3"/>
  <c r="R329" i="13" s="1"/>
  <c r="EJ26" i="3"/>
  <c r="BK26" i="3"/>
  <c r="BL26" i="3"/>
  <c r="AU25" i="3"/>
  <c r="R328" i="13" s="1"/>
  <c r="EJ25" i="3"/>
  <c r="BK25" i="3"/>
  <c r="BL25" i="3"/>
  <c r="AU24" i="3"/>
  <c r="R327" i="13" s="1"/>
  <c r="BK24" i="3"/>
  <c r="BL24" i="3"/>
  <c r="AU23" i="3"/>
  <c r="R326" i="13" s="1"/>
  <c r="EJ23" i="3"/>
  <c r="BK23" i="3"/>
  <c r="BL23" i="3"/>
  <c r="BT23" i="3"/>
  <c r="BF23" i="3"/>
  <c r="G23" i="5"/>
  <c r="M23" i="5" s="1"/>
  <c r="AE23" i="3"/>
  <c r="AU22" i="3"/>
  <c r="R325" i="13" s="1"/>
  <c r="EJ22" i="3"/>
  <c r="BK22" i="3"/>
  <c r="BL22" i="3"/>
  <c r="BT22" i="3"/>
  <c r="BF22" i="3"/>
  <c r="G22" i="5"/>
  <c r="M22" i="5" s="1"/>
  <c r="AE22" i="3"/>
  <c r="AU21" i="3"/>
  <c r="R324" i="13" s="1"/>
  <c r="EJ21" i="3"/>
  <c r="BK21" i="3"/>
  <c r="BL21" i="3"/>
  <c r="AU20" i="3"/>
  <c r="EJ20" i="3"/>
  <c r="BK20" i="3"/>
  <c r="BL20" i="3"/>
  <c r="AU19" i="3"/>
  <c r="R322" i="13" s="1"/>
  <c r="EJ19" i="3"/>
  <c r="BK19" i="3"/>
  <c r="BL19" i="3"/>
  <c r="AU18" i="3"/>
  <c r="BK18" i="3"/>
  <c r="BL18" i="3"/>
  <c r="AU17" i="3"/>
  <c r="R320" i="13" s="1"/>
  <c r="EJ17" i="3"/>
  <c r="BK17" i="3"/>
  <c r="BL17" i="3"/>
  <c r="AU16" i="3"/>
  <c r="R319" i="13" s="1"/>
  <c r="BK16" i="3"/>
  <c r="BL16" i="3"/>
  <c r="AU15" i="3"/>
  <c r="R318" i="13" s="1"/>
  <c r="BK15" i="3"/>
  <c r="BL15" i="3"/>
  <c r="AU14" i="3"/>
  <c r="R317" i="13" s="1"/>
  <c r="BK14" i="3"/>
  <c r="BL14" i="3"/>
  <c r="AU13" i="3"/>
  <c r="EJ13" i="3"/>
  <c r="BK13" i="3"/>
  <c r="BL13" i="3"/>
  <c r="BT13" i="3"/>
  <c r="DI13" i="3"/>
  <c r="AU12" i="3"/>
  <c r="R315" i="13" s="1"/>
  <c r="EJ12" i="3"/>
  <c r="BK12" i="3"/>
  <c r="BL12" i="3"/>
  <c r="AU11" i="3"/>
  <c r="R314" i="13" s="1"/>
  <c r="EJ11" i="3"/>
  <c r="BK11" i="3"/>
  <c r="BL11" i="3"/>
  <c r="AU10" i="3"/>
  <c r="BK10" i="3"/>
  <c r="BL10" i="3"/>
  <c r="G9" i="5"/>
  <c r="M9" i="5" s="1"/>
  <c r="BC29" i="3"/>
  <c r="BC28" i="3"/>
  <c r="BC27" i="3"/>
  <c r="BC26" i="3"/>
  <c r="BC25" i="3"/>
  <c r="BC24" i="3"/>
  <c r="BC21" i="3"/>
  <c r="BC20" i="3"/>
  <c r="BC19" i="3"/>
  <c r="BC18" i="3"/>
  <c r="DX18" i="3" s="1"/>
  <c r="BC17" i="3"/>
  <c r="BC16" i="3"/>
  <c r="BC15" i="3"/>
  <c r="BC14" i="3"/>
  <c r="BC13" i="3"/>
  <c r="DX13" i="3" s="1"/>
  <c r="BC12" i="3"/>
  <c r="BC11" i="3"/>
  <c r="DX11" i="3" s="1"/>
  <c r="BC10" i="3"/>
  <c r="DX10" i="3" s="1"/>
  <c r="AS408" i="5"/>
  <c r="N408" i="5"/>
  <c r="G408" i="5"/>
  <c r="M408" i="5" s="1"/>
  <c r="AS407" i="5"/>
  <c r="N407" i="5"/>
  <c r="G407" i="5"/>
  <c r="M407" i="5" s="1"/>
  <c r="AS406" i="5"/>
  <c r="N406" i="5"/>
  <c r="G406" i="5"/>
  <c r="M406" i="5" s="1"/>
  <c r="AS405" i="5"/>
  <c r="N405" i="5"/>
  <c r="G405" i="5"/>
  <c r="M405" i="5" s="1"/>
  <c r="AS404" i="5"/>
  <c r="N404" i="5"/>
  <c r="G404" i="5"/>
  <c r="M404" i="5" s="1"/>
  <c r="AS403" i="5"/>
  <c r="N403" i="5"/>
  <c r="G403" i="5"/>
  <c r="M403" i="5" s="1"/>
  <c r="AS402" i="5"/>
  <c r="N402" i="5"/>
  <c r="G402" i="5"/>
  <c r="M402" i="5" s="1"/>
  <c r="AS401" i="5"/>
  <c r="N401" i="5"/>
  <c r="G401" i="5"/>
  <c r="M401" i="5" s="1"/>
  <c r="AS400" i="5"/>
  <c r="N400" i="5"/>
  <c r="G400" i="5"/>
  <c r="M400" i="5" s="1"/>
  <c r="AS399" i="5"/>
  <c r="N399" i="5"/>
  <c r="G399" i="5"/>
  <c r="M399" i="5" s="1"/>
  <c r="AS398" i="5"/>
  <c r="N398" i="5"/>
  <c r="G398" i="5"/>
  <c r="M398" i="5" s="1"/>
  <c r="AS397" i="5"/>
  <c r="N397" i="5"/>
  <c r="G397" i="5"/>
  <c r="M397" i="5" s="1"/>
  <c r="AS396" i="5"/>
  <c r="N396" i="5"/>
  <c r="G396" i="5"/>
  <c r="M396" i="5" s="1"/>
  <c r="AS395" i="5"/>
  <c r="N395" i="5"/>
  <c r="G395" i="5"/>
  <c r="M395" i="5" s="1"/>
  <c r="AS394" i="5"/>
  <c r="N394" i="5"/>
  <c r="G394" i="5"/>
  <c r="M394" i="5" s="1"/>
  <c r="AS393" i="5"/>
  <c r="N393" i="5"/>
  <c r="G393" i="5"/>
  <c r="M393" i="5" s="1"/>
  <c r="AS392" i="5"/>
  <c r="N392" i="5"/>
  <c r="G392" i="5"/>
  <c r="M392" i="5" s="1"/>
  <c r="AS391" i="5"/>
  <c r="N391" i="5"/>
  <c r="G391" i="5"/>
  <c r="M391" i="5" s="1"/>
  <c r="AS390" i="5"/>
  <c r="N390" i="5"/>
  <c r="G390" i="5"/>
  <c r="M390" i="5" s="1"/>
  <c r="AS389" i="5"/>
  <c r="N389" i="5"/>
  <c r="G389" i="5"/>
  <c r="M389" i="5" s="1"/>
  <c r="AS388" i="5"/>
  <c r="N388" i="5"/>
  <c r="G388" i="5"/>
  <c r="M388" i="5" s="1"/>
  <c r="AS387" i="5"/>
  <c r="N387" i="5"/>
  <c r="G387" i="5"/>
  <c r="M387" i="5" s="1"/>
  <c r="AS386" i="5"/>
  <c r="N386" i="5"/>
  <c r="G386" i="5"/>
  <c r="M386" i="5" s="1"/>
  <c r="AS385" i="5"/>
  <c r="BI385" i="5" s="1"/>
  <c r="N385" i="5"/>
  <c r="G385" i="5"/>
  <c r="M385" i="5" s="1"/>
  <c r="AS384" i="5"/>
  <c r="N384" i="5"/>
  <c r="G384" i="5"/>
  <c r="M384" i="5" s="1"/>
  <c r="AS383" i="5"/>
  <c r="N383" i="5"/>
  <c r="G383" i="5"/>
  <c r="M383" i="5" s="1"/>
  <c r="AS382" i="5"/>
  <c r="N382" i="5"/>
  <c r="G382" i="5"/>
  <c r="M382" i="5" s="1"/>
  <c r="AS381" i="5"/>
  <c r="N381" i="5"/>
  <c r="G381" i="5"/>
  <c r="AS380" i="5"/>
  <c r="N380" i="5"/>
  <c r="G380" i="5"/>
  <c r="M380" i="5" s="1"/>
  <c r="AS379" i="5"/>
  <c r="N379" i="5"/>
  <c r="G379" i="5"/>
  <c r="M379" i="5" s="1"/>
  <c r="AS378" i="5"/>
  <c r="N378" i="5"/>
  <c r="G378" i="5"/>
  <c r="M378" i="5" s="1"/>
  <c r="AS377" i="5"/>
  <c r="N377" i="5"/>
  <c r="G377" i="5"/>
  <c r="M377" i="5" s="1"/>
  <c r="AS376" i="5"/>
  <c r="N376" i="5"/>
  <c r="G376" i="5"/>
  <c r="M376" i="5" s="1"/>
  <c r="AS375" i="5"/>
  <c r="N375" i="5"/>
  <c r="G375" i="5"/>
  <c r="M375" i="5" s="1"/>
  <c r="AS374" i="5"/>
  <c r="N374" i="5"/>
  <c r="G374" i="5"/>
  <c r="M374" i="5" s="1"/>
  <c r="AS373" i="5"/>
  <c r="N373" i="5"/>
  <c r="G373" i="5"/>
  <c r="M373" i="5" s="1"/>
  <c r="AS372" i="5"/>
  <c r="N372" i="5"/>
  <c r="G372" i="5"/>
  <c r="M372" i="5" s="1"/>
  <c r="AS371" i="5"/>
  <c r="N371" i="5"/>
  <c r="G371" i="5"/>
  <c r="M371" i="5" s="1"/>
  <c r="AS370" i="5"/>
  <c r="N370" i="5"/>
  <c r="G370" i="5"/>
  <c r="M370" i="5" s="1"/>
  <c r="AS369" i="5"/>
  <c r="N369" i="5"/>
  <c r="G369" i="5"/>
  <c r="M369" i="5" s="1"/>
  <c r="AS368" i="5"/>
  <c r="N368" i="5"/>
  <c r="G368" i="5"/>
  <c r="M368" i="5" s="1"/>
  <c r="AS367" i="5"/>
  <c r="N367" i="5"/>
  <c r="G367" i="5"/>
  <c r="M367" i="5" s="1"/>
  <c r="AS366" i="5"/>
  <c r="N366" i="5"/>
  <c r="G366" i="5"/>
  <c r="M366" i="5" s="1"/>
  <c r="AS365" i="5"/>
  <c r="N365" i="5"/>
  <c r="G365" i="5"/>
  <c r="M365" i="5" s="1"/>
  <c r="AS364" i="5"/>
  <c r="N364" i="5"/>
  <c r="G364" i="5"/>
  <c r="M364" i="5" s="1"/>
  <c r="AS363" i="5"/>
  <c r="N363" i="5"/>
  <c r="G363" i="5"/>
  <c r="M363" i="5" s="1"/>
  <c r="AS362" i="5"/>
  <c r="N362" i="5"/>
  <c r="G362" i="5"/>
  <c r="M362" i="5" s="1"/>
  <c r="AS361" i="5"/>
  <c r="N361" i="5"/>
  <c r="G361" i="5"/>
  <c r="M361" i="5" s="1"/>
  <c r="AS360" i="5"/>
  <c r="N360" i="5"/>
  <c r="G360" i="5"/>
  <c r="M360" i="5" s="1"/>
  <c r="AS359" i="5"/>
  <c r="N359" i="5"/>
  <c r="G359" i="5"/>
  <c r="M359" i="5" s="1"/>
  <c r="AS358" i="5"/>
  <c r="N358" i="5"/>
  <c r="G358" i="5"/>
  <c r="M358" i="5" s="1"/>
  <c r="AS357" i="5"/>
  <c r="N357" i="5"/>
  <c r="G357" i="5"/>
  <c r="M357" i="5" s="1"/>
  <c r="AS356" i="5"/>
  <c r="N356" i="5"/>
  <c r="G356" i="5"/>
  <c r="M356" i="5" s="1"/>
  <c r="AS355" i="5"/>
  <c r="N355" i="5"/>
  <c r="G355" i="5"/>
  <c r="M355" i="5" s="1"/>
  <c r="AS354" i="5"/>
  <c r="N354" i="5"/>
  <c r="G354" i="5"/>
  <c r="M354" i="5" s="1"/>
  <c r="AS353" i="5"/>
  <c r="N353" i="5"/>
  <c r="G353" i="5"/>
  <c r="M353" i="5" s="1"/>
  <c r="AS352" i="5"/>
  <c r="N352" i="5"/>
  <c r="G352" i="5"/>
  <c r="M352" i="5" s="1"/>
  <c r="AS351" i="5"/>
  <c r="N351" i="5"/>
  <c r="G351" i="5"/>
  <c r="M351" i="5" s="1"/>
  <c r="AS350" i="5"/>
  <c r="N350" i="5"/>
  <c r="G350" i="5"/>
  <c r="M350" i="5" s="1"/>
  <c r="AS349" i="5"/>
  <c r="N349" i="5"/>
  <c r="G349" i="5"/>
  <c r="M349" i="5" s="1"/>
  <c r="AS348" i="5"/>
  <c r="N348" i="5"/>
  <c r="G348" i="5"/>
  <c r="M348" i="5" s="1"/>
  <c r="AS347" i="5"/>
  <c r="N347" i="5"/>
  <c r="G347" i="5"/>
  <c r="M347" i="5" s="1"/>
  <c r="AS346" i="5"/>
  <c r="N346" i="5"/>
  <c r="G346" i="5"/>
  <c r="M346" i="5" s="1"/>
  <c r="AS345" i="5"/>
  <c r="N345" i="5"/>
  <c r="G345" i="5"/>
  <c r="M345" i="5" s="1"/>
  <c r="AS344" i="5"/>
  <c r="N344" i="5"/>
  <c r="G344" i="5"/>
  <c r="M344" i="5" s="1"/>
  <c r="AS343" i="5"/>
  <c r="N343" i="5"/>
  <c r="G343" i="5"/>
  <c r="M343" i="5" s="1"/>
  <c r="AS342" i="5"/>
  <c r="N342" i="5"/>
  <c r="G342" i="5"/>
  <c r="M342" i="5" s="1"/>
  <c r="AS341" i="5"/>
  <c r="N341" i="5"/>
  <c r="G341" i="5"/>
  <c r="M341" i="5" s="1"/>
  <c r="AS340" i="5"/>
  <c r="N340" i="5"/>
  <c r="G340" i="5"/>
  <c r="M340" i="5" s="1"/>
  <c r="AS339" i="5"/>
  <c r="BI339" i="5" s="1"/>
  <c r="N339" i="5"/>
  <c r="G339" i="5"/>
  <c r="M339" i="5" s="1"/>
  <c r="AS338" i="5"/>
  <c r="N338" i="5"/>
  <c r="G338" i="5"/>
  <c r="M338" i="5" s="1"/>
  <c r="AS337" i="5"/>
  <c r="N337" i="5"/>
  <c r="G337" i="5"/>
  <c r="M337" i="5" s="1"/>
  <c r="AS336" i="5"/>
  <c r="N336" i="5"/>
  <c r="G336" i="5"/>
  <c r="M336" i="5" s="1"/>
  <c r="AS335" i="5"/>
  <c r="N335" i="5"/>
  <c r="G335" i="5"/>
  <c r="M335" i="5" s="1"/>
  <c r="AS334" i="5"/>
  <c r="N334" i="5"/>
  <c r="G334" i="5"/>
  <c r="M334" i="5" s="1"/>
  <c r="AS333" i="5"/>
  <c r="N333" i="5"/>
  <c r="G333" i="5"/>
  <c r="M333" i="5" s="1"/>
  <c r="AS332" i="5"/>
  <c r="N332" i="5"/>
  <c r="G332" i="5"/>
  <c r="M332" i="5" s="1"/>
  <c r="AS331" i="5"/>
  <c r="N331" i="5"/>
  <c r="G331" i="5"/>
  <c r="M331" i="5" s="1"/>
  <c r="AS330" i="5"/>
  <c r="N330" i="5"/>
  <c r="G330" i="5"/>
  <c r="M330" i="5" s="1"/>
  <c r="AS329" i="5"/>
  <c r="N329" i="5"/>
  <c r="G329" i="5"/>
  <c r="M329" i="5" s="1"/>
  <c r="AS328" i="5"/>
  <c r="N328" i="5"/>
  <c r="G328" i="5"/>
  <c r="M328" i="5" s="1"/>
  <c r="AS327" i="5"/>
  <c r="N327" i="5"/>
  <c r="G327" i="5"/>
  <c r="M327" i="5" s="1"/>
  <c r="AS326" i="5"/>
  <c r="N326" i="5"/>
  <c r="G326" i="5"/>
  <c r="M326" i="5" s="1"/>
  <c r="AS325" i="5"/>
  <c r="N325" i="5"/>
  <c r="G325" i="5"/>
  <c r="M325" i="5" s="1"/>
  <c r="AS324" i="5"/>
  <c r="N324" i="5"/>
  <c r="G324" i="5"/>
  <c r="AS323" i="5"/>
  <c r="BI323" i="5" s="1"/>
  <c r="N323" i="5"/>
  <c r="G323" i="5"/>
  <c r="M323" i="5" s="1"/>
  <c r="AS322" i="5"/>
  <c r="N322" i="5"/>
  <c r="G322" i="5"/>
  <c r="M322" i="5" s="1"/>
  <c r="AS321" i="5"/>
  <c r="N321" i="5"/>
  <c r="G321" i="5"/>
  <c r="M321" i="5" s="1"/>
  <c r="AS320" i="5"/>
  <c r="N320" i="5"/>
  <c r="G320" i="5"/>
  <c r="M320" i="5" s="1"/>
  <c r="AS319" i="5"/>
  <c r="N319" i="5"/>
  <c r="G319" i="5"/>
  <c r="M319" i="5" s="1"/>
  <c r="AS318" i="5"/>
  <c r="N318" i="5"/>
  <c r="G318" i="5"/>
  <c r="M318" i="5" s="1"/>
  <c r="AS317" i="5"/>
  <c r="N317" i="5"/>
  <c r="G317" i="5"/>
  <c r="M317" i="5" s="1"/>
  <c r="AS316" i="5"/>
  <c r="N316" i="5"/>
  <c r="G316" i="5"/>
  <c r="M316" i="5" s="1"/>
  <c r="AS315" i="5"/>
  <c r="N315" i="5"/>
  <c r="G315" i="5"/>
  <c r="M315" i="5" s="1"/>
  <c r="AS314" i="5"/>
  <c r="N314" i="5"/>
  <c r="G314" i="5"/>
  <c r="M314" i="5" s="1"/>
  <c r="AS313" i="5"/>
  <c r="N313" i="5"/>
  <c r="G313" i="5"/>
  <c r="M313" i="5" s="1"/>
  <c r="AS312" i="5"/>
  <c r="N312" i="5"/>
  <c r="G312" i="5"/>
  <c r="M312" i="5" s="1"/>
  <c r="AS311" i="5"/>
  <c r="N311" i="5"/>
  <c r="G311" i="5"/>
  <c r="M311" i="5" s="1"/>
  <c r="AS310" i="5"/>
  <c r="N310" i="5"/>
  <c r="G310" i="5"/>
  <c r="M310" i="5" s="1"/>
  <c r="AS309" i="5"/>
  <c r="N309" i="5"/>
  <c r="G309" i="5"/>
  <c r="M309" i="5" s="1"/>
  <c r="BF308" i="3"/>
  <c r="BT308" i="3"/>
  <c r="AU308" i="3"/>
  <c r="R611" i="13" s="1"/>
  <c r="BC308" i="3"/>
  <c r="DX308" i="3" s="1"/>
  <c r="AS308" i="5"/>
  <c r="N308" i="5"/>
  <c r="G308" i="5"/>
  <c r="M308" i="5" s="1"/>
  <c r="BF307" i="3"/>
  <c r="BT307" i="3"/>
  <c r="AU307" i="3"/>
  <c r="R610" i="13" s="1"/>
  <c r="BC307" i="3"/>
  <c r="DX307" i="3" s="1"/>
  <c r="AS307" i="5"/>
  <c r="N307" i="5"/>
  <c r="G307" i="5"/>
  <c r="M307" i="5" s="1"/>
  <c r="BF306" i="3"/>
  <c r="BT306" i="3"/>
  <c r="AU306" i="3"/>
  <c r="R609" i="13" s="1"/>
  <c r="BC306" i="3"/>
  <c r="DX306" i="3" s="1"/>
  <c r="AS306" i="5"/>
  <c r="N306" i="5"/>
  <c r="G306" i="5"/>
  <c r="M306" i="5" s="1"/>
  <c r="BF305" i="3"/>
  <c r="BT305" i="3"/>
  <c r="AU305" i="3"/>
  <c r="R608" i="13" s="1"/>
  <c r="BC305" i="3"/>
  <c r="DX305" i="3" s="1"/>
  <c r="AS305" i="5"/>
  <c r="N305" i="5"/>
  <c r="G305" i="5"/>
  <c r="M305" i="5" s="1"/>
  <c r="BF304" i="3"/>
  <c r="BT304" i="3"/>
  <c r="AU304" i="3"/>
  <c r="R607" i="13" s="1"/>
  <c r="BC304" i="3"/>
  <c r="DX304" i="3" s="1"/>
  <c r="AS304" i="5"/>
  <c r="N304" i="5"/>
  <c r="G304" i="5"/>
  <c r="M304" i="5" s="1"/>
  <c r="BF303" i="3"/>
  <c r="BT303" i="3"/>
  <c r="AU303" i="3"/>
  <c r="R606" i="13" s="1"/>
  <c r="BC303" i="3"/>
  <c r="DX303" i="3" s="1"/>
  <c r="AS303" i="5"/>
  <c r="N303" i="5"/>
  <c r="G303" i="5"/>
  <c r="M303" i="5" s="1"/>
  <c r="BF302" i="3"/>
  <c r="BT302" i="3"/>
  <c r="AU302" i="3"/>
  <c r="R605" i="13" s="1"/>
  <c r="BC302" i="3"/>
  <c r="DX302" i="3" s="1"/>
  <c r="AS302" i="5"/>
  <c r="N302" i="5"/>
  <c r="G302" i="5"/>
  <c r="M302" i="5" s="1"/>
  <c r="BF301" i="3"/>
  <c r="BT301" i="3"/>
  <c r="AU301" i="3"/>
  <c r="R604" i="13" s="1"/>
  <c r="BC301" i="3"/>
  <c r="DX301" i="3" s="1"/>
  <c r="AS301" i="5"/>
  <c r="N301" i="5"/>
  <c r="G301" i="5"/>
  <c r="M301" i="5" s="1"/>
  <c r="BF300" i="3"/>
  <c r="BT300" i="3"/>
  <c r="AU300" i="3"/>
  <c r="R603" i="13" s="1"/>
  <c r="BC300" i="3"/>
  <c r="DX300" i="3" s="1"/>
  <c r="AS300" i="5"/>
  <c r="N300" i="5"/>
  <c r="G300" i="5"/>
  <c r="M300" i="5" s="1"/>
  <c r="BF299" i="3"/>
  <c r="BT299" i="3"/>
  <c r="AU299" i="3"/>
  <c r="R602" i="13" s="1"/>
  <c r="BC299" i="3"/>
  <c r="DX299" i="3" s="1"/>
  <c r="AS299" i="5"/>
  <c r="N299" i="5"/>
  <c r="G299" i="5"/>
  <c r="M299" i="5" s="1"/>
  <c r="BF298" i="3"/>
  <c r="BT298" i="3"/>
  <c r="AU298" i="3"/>
  <c r="R601" i="13" s="1"/>
  <c r="BC298" i="3"/>
  <c r="DX298" i="3" s="1"/>
  <c r="AS298" i="5"/>
  <c r="N298" i="5"/>
  <c r="G298" i="5"/>
  <c r="M298" i="5" s="1"/>
  <c r="BF297" i="3"/>
  <c r="BT297" i="3"/>
  <c r="AU297" i="3"/>
  <c r="R600" i="13" s="1"/>
  <c r="BC297" i="3"/>
  <c r="DX297" i="3" s="1"/>
  <c r="AS297" i="5"/>
  <c r="N297" i="5"/>
  <c r="G297" i="5"/>
  <c r="M297" i="5" s="1"/>
  <c r="BF296" i="3"/>
  <c r="BT296" i="3"/>
  <c r="AU296" i="3"/>
  <c r="R599" i="13" s="1"/>
  <c r="BC296" i="3"/>
  <c r="DX296" i="3" s="1"/>
  <c r="AS296" i="5"/>
  <c r="N296" i="5"/>
  <c r="G296" i="5"/>
  <c r="M296" i="5" s="1"/>
  <c r="BF295" i="3"/>
  <c r="BT295" i="3"/>
  <c r="AU295" i="3"/>
  <c r="R598" i="13" s="1"/>
  <c r="BC295" i="3"/>
  <c r="DX295" i="3" s="1"/>
  <c r="AS295" i="5"/>
  <c r="N295" i="5"/>
  <c r="G295" i="5"/>
  <c r="M295" i="5" s="1"/>
  <c r="BF294" i="3"/>
  <c r="BT294" i="3"/>
  <c r="AU294" i="3"/>
  <c r="R597" i="13" s="1"/>
  <c r="BC294" i="3"/>
  <c r="DX294" i="3" s="1"/>
  <c r="AS294" i="5"/>
  <c r="N294" i="5"/>
  <c r="G294" i="5"/>
  <c r="M294" i="5" s="1"/>
  <c r="BF293" i="3"/>
  <c r="BT293" i="3"/>
  <c r="AU293" i="3"/>
  <c r="R596" i="13" s="1"/>
  <c r="BC293" i="3"/>
  <c r="DX293" i="3" s="1"/>
  <c r="AS293" i="5"/>
  <c r="N293" i="5"/>
  <c r="G293" i="5"/>
  <c r="M293" i="5" s="1"/>
  <c r="BF292" i="3"/>
  <c r="BT292" i="3"/>
  <c r="AU292" i="3"/>
  <c r="R595" i="13" s="1"/>
  <c r="BC292" i="3"/>
  <c r="DX292" i="3" s="1"/>
  <c r="AS292" i="5"/>
  <c r="N292" i="5"/>
  <c r="G292" i="5"/>
  <c r="M292" i="5" s="1"/>
  <c r="BF291" i="3"/>
  <c r="BT291" i="3"/>
  <c r="AU291" i="3"/>
  <c r="R594" i="13" s="1"/>
  <c r="BC291" i="3"/>
  <c r="DX291" i="3" s="1"/>
  <c r="AS291" i="5"/>
  <c r="N291" i="5"/>
  <c r="G291" i="5"/>
  <c r="M291" i="5" s="1"/>
  <c r="BF290" i="3"/>
  <c r="BT290" i="3"/>
  <c r="AU290" i="3"/>
  <c r="R593" i="13" s="1"/>
  <c r="BC290" i="3"/>
  <c r="DX290" i="3" s="1"/>
  <c r="AS290" i="5"/>
  <c r="N290" i="5"/>
  <c r="G290" i="5"/>
  <c r="M290" i="5" s="1"/>
  <c r="BF289" i="3"/>
  <c r="BT289" i="3"/>
  <c r="AU289" i="3"/>
  <c r="R592" i="13" s="1"/>
  <c r="BC289" i="3"/>
  <c r="DX289" i="3" s="1"/>
  <c r="AS289" i="5"/>
  <c r="N289" i="5"/>
  <c r="G289" i="5"/>
  <c r="M289" i="5" s="1"/>
  <c r="BF288" i="3"/>
  <c r="BT288" i="3"/>
  <c r="AU288" i="3"/>
  <c r="R591" i="13" s="1"/>
  <c r="BC288" i="3"/>
  <c r="DX288" i="3" s="1"/>
  <c r="AS288" i="5"/>
  <c r="N288" i="5"/>
  <c r="G288" i="5"/>
  <c r="M288" i="5" s="1"/>
  <c r="BF287" i="3"/>
  <c r="BT287" i="3"/>
  <c r="AU287" i="3"/>
  <c r="R590" i="13" s="1"/>
  <c r="BC287" i="3"/>
  <c r="DX287" i="3" s="1"/>
  <c r="AS287" i="5"/>
  <c r="N287" i="5"/>
  <c r="G287" i="5"/>
  <c r="M287" i="5" s="1"/>
  <c r="BF286" i="3"/>
  <c r="BT286" i="3"/>
  <c r="AU286" i="3"/>
  <c r="R589" i="13" s="1"/>
  <c r="BC286" i="3"/>
  <c r="DX286" i="3" s="1"/>
  <c r="AS286" i="5"/>
  <c r="N286" i="5"/>
  <c r="G286" i="5"/>
  <c r="M286" i="5" s="1"/>
  <c r="BF285" i="3"/>
  <c r="BT285" i="3"/>
  <c r="AU285" i="3"/>
  <c r="R588" i="13" s="1"/>
  <c r="BC285" i="3"/>
  <c r="DX285" i="3" s="1"/>
  <c r="AS285" i="5"/>
  <c r="N285" i="5"/>
  <c r="G285" i="5"/>
  <c r="M285" i="5" s="1"/>
  <c r="BF284" i="3"/>
  <c r="BT284" i="3"/>
  <c r="AU284" i="3"/>
  <c r="R587" i="13" s="1"/>
  <c r="BC284" i="3"/>
  <c r="DX284" i="3" s="1"/>
  <c r="AS284" i="5"/>
  <c r="N284" i="5"/>
  <c r="G284" i="5"/>
  <c r="M284" i="5" s="1"/>
  <c r="BF283" i="3"/>
  <c r="BT283" i="3"/>
  <c r="AU283" i="3"/>
  <c r="R586" i="13" s="1"/>
  <c r="BC283" i="3"/>
  <c r="DX283" i="3" s="1"/>
  <c r="AS283" i="5"/>
  <c r="N283" i="5"/>
  <c r="G283" i="5"/>
  <c r="M283" i="5" s="1"/>
  <c r="BF282" i="3"/>
  <c r="BT282" i="3"/>
  <c r="AU282" i="3"/>
  <c r="R585" i="13" s="1"/>
  <c r="BC282" i="3"/>
  <c r="DX282" i="3" s="1"/>
  <c r="AS282" i="5"/>
  <c r="N282" i="5"/>
  <c r="G282" i="5"/>
  <c r="M282" i="5" s="1"/>
  <c r="BF281" i="3"/>
  <c r="BT281" i="3"/>
  <c r="AU281" i="3"/>
  <c r="R584" i="13" s="1"/>
  <c r="BC281" i="3"/>
  <c r="DX281" i="3" s="1"/>
  <c r="AS281" i="5"/>
  <c r="N281" i="5"/>
  <c r="G281" i="5"/>
  <c r="M281" i="5" s="1"/>
  <c r="BF280" i="3"/>
  <c r="BT280" i="3"/>
  <c r="AU280" i="3"/>
  <c r="R583" i="13" s="1"/>
  <c r="BC280" i="3"/>
  <c r="DX280" i="3" s="1"/>
  <c r="AS280" i="5"/>
  <c r="N280" i="5"/>
  <c r="G280" i="5"/>
  <c r="M280" i="5" s="1"/>
  <c r="BF279" i="3"/>
  <c r="BT279" i="3"/>
  <c r="AU279" i="3"/>
  <c r="R582" i="13" s="1"/>
  <c r="BC279" i="3"/>
  <c r="DX279" i="3" s="1"/>
  <c r="AS279" i="5"/>
  <c r="N279" i="5"/>
  <c r="G279" i="5"/>
  <c r="M279" i="5" s="1"/>
  <c r="BF278" i="3"/>
  <c r="BT278" i="3"/>
  <c r="AU278" i="3"/>
  <c r="R581" i="13" s="1"/>
  <c r="BC278" i="3"/>
  <c r="DX278" i="3" s="1"/>
  <c r="AS278" i="5"/>
  <c r="N278" i="5"/>
  <c r="G278" i="5"/>
  <c r="M278" i="5" s="1"/>
  <c r="BF277" i="3"/>
  <c r="BT277" i="3"/>
  <c r="AU277" i="3"/>
  <c r="R580" i="13" s="1"/>
  <c r="BC277" i="3"/>
  <c r="DX277" i="3" s="1"/>
  <c r="AS277" i="5"/>
  <c r="N277" i="5"/>
  <c r="G277" i="5"/>
  <c r="M277" i="5" s="1"/>
  <c r="BF276" i="3"/>
  <c r="BT276" i="3"/>
  <c r="AU276" i="3"/>
  <c r="R579" i="13" s="1"/>
  <c r="BC276" i="3"/>
  <c r="DX276" i="3" s="1"/>
  <c r="AS276" i="5"/>
  <c r="N276" i="5"/>
  <c r="G276" i="5"/>
  <c r="M276" i="5" s="1"/>
  <c r="BF275" i="3"/>
  <c r="BT275" i="3"/>
  <c r="AU275" i="3"/>
  <c r="R578" i="13" s="1"/>
  <c r="BC275" i="3"/>
  <c r="DX275" i="3" s="1"/>
  <c r="AS275" i="5"/>
  <c r="N275" i="5"/>
  <c r="G275" i="5"/>
  <c r="M275" i="5" s="1"/>
  <c r="BF274" i="3"/>
  <c r="BT274" i="3"/>
  <c r="AU274" i="3"/>
  <c r="R577" i="13" s="1"/>
  <c r="BC274" i="3"/>
  <c r="DX274" i="3" s="1"/>
  <c r="AS274" i="5"/>
  <c r="N274" i="5"/>
  <c r="G274" i="5"/>
  <c r="M274" i="5" s="1"/>
  <c r="BF273" i="3"/>
  <c r="BT273" i="3"/>
  <c r="AU273" i="3"/>
  <c r="R576" i="13" s="1"/>
  <c r="BC273" i="3"/>
  <c r="DX273" i="3" s="1"/>
  <c r="AS273" i="5"/>
  <c r="N273" i="5"/>
  <c r="G273" i="5"/>
  <c r="M273" i="5" s="1"/>
  <c r="BF272" i="3"/>
  <c r="BT272" i="3"/>
  <c r="AU272" i="3"/>
  <c r="R575" i="13" s="1"/>
  <c r="BC272" i="3"/>
  <c r="DX272" i="3" s="1"/>
  <c r="AS272" i="5"/>
  <c r="N272" i="5"/>
  <c r="G272" i="5"/>
  <c r="M272" i="5" s="1"/>
  <c r="BF271" i="3"/>
  <c r="BT271" i="3"/>
  <c r="AU271" i="3"/>
  <c r="R574" i="13" s="1"/>
  <c r="BC271" i="3"/>
  <c r="DX271" i="3" s="1"/>
  <c r="AS271" i="5"/>
  <c r="N271" i="5"/>
  <c r="G271" i="5"/>
  <c r="M271" i="5" s="1"/>
  <c r="BF270" i="3"/>
  <c r="BT270" i="3"/>
  <c r="AU270" i="3"/>
  <c r="R573" i="13" s="1"/>
  <c r="BC270" i="3"/>
  <c r="DX270" i="3" s="1"/>
  <c r="AS270" i="5"/>
  <c r="N270" i="5"/>
  <c r="G270" i="5"/>
  <c r="M270" i="5" s="1"/>
  <c r="BF269" i="3"/>
  <c r="BT269" i="3"/>
  <c r="AU269" i="3"/>
  <c r="R572" i="13" s="1"/>
  <c r="BC269" i="3"/>
  <c r="DX269" i="3" s="1"/>
  <c r="AS269" i="5"/>
  <c r="N269" i="5"/>
  <c r="G269" i="5"/>
  <c r="M269" i="5" s="1"/>
  <c r="BF268" i="3"/>
  <c r="BT268" i="3"/>
  <c r="AU268" i="3"/>
  <c r="R571" i="13" s="1"/>
  <c r="BC268" i="3"/>
  <c r="DX268" i="3" s="1"/>
  <c r="AS268" i="5"/>
  <c r="N268" i="5"/>
  <c r="G268" i="5"/>
  <c r="M268" i="5" s="1"/>
  <c r="BF267" i="3"/>
  <c r="BT267" i="3"/>
  <c r="AU267" i="3"/>
  <c r="R570" i="13" s="1"/>
  <c r="BC267" i="3"/>
  <c r="DX267" i="3" s="1"/>
  <c r="AS267" i="5"/>
  <c r="N267" i="5"/>
  <c r="G267" i="5"/>
  <c r="M267" i="5" s="1"/>
  <c r="BF266" i="3"/>
  <c r="BT266" i="3"/>
  <c r="AU266" i="3"/>
  <c r="R569" i="13" s="1"/>
  <c r="BC266" i="3"/>
  <c r="DX266" i="3" s="1"/>
  <c r="AS266" i="5"/>
  <c r="N266" i="5"/>
  <c r="G266" i="5"/>
  <c r="M266" i="5" s="1"/>
  <c r="BF265" i="3"/>
  <c r="BT265" i="3"/>
  <c r="AU265" i="3"/>
  <c r="R568" i="13" s="1"/>
  <c r="BC265" i="3"/>
  <c r="DX265" i="3" s="1"/>
  <c r="AS265" i="5"/>
  <c r="N265" i="5"/>
  <c r="G265" i="5"/>
  <c r="M265" i="5" s="1"/>
  <c r="BF264" i="3"/>
  <c r="BT264" i="3"/>
  <c r="AU264" i="3"/>
  <c r="R567" i="13" s="1"/>
  <c r="BC264" i="3"/>
  <c r="DX264" i="3" s="1"/>
  <c r="AS264" i="5"/>
  <c r="N264" i="5"/>
  <c r="G264" i="5"/>
  <c r="M264" i="5" s="1"/>
  <c r="BF263" i="3"/>
  <c r="BT263" i="3"/>
  <c r="AU263" i="3"/>
  <c r="R566" i="13" s="1"/>
  <c r="BC263" i="3"/>
  <c r="DX263" i="3" s="1"/>
  <c r="AS263" i="5"/>
  <c r="N263" i="5"/>
  <c r="G263" i="5"/>
  <c r="M263" i="5" s="1"/>
  <c r="BF262" i="3"/>
  <c r="BT262" i="3"/>
  <c r="AU262" i="3"/>
  <c r="R565" i="13" s="1"/>
  <c r="BC262" i="3"/>
  <c r="DX262" i="3" s="1"/>
  <c r="AS262" i="5"/>
  <c r="N262" i="5"/>
  <c r="G262" i="5"/>
  <c r="M262" i="5" s="1"/>
  <c r="BF261" i="3"/>
  <c r="BT261" i="3"/>
  <c r="AU261" i="3"/>
  <c r="R564" i="13" s="1"/>
  <c r="BC261" i="3"/>
  <c r="DX261" i="3" s="1"/>
  <c r="AS261" i="5"/>
  <c r="N261" i="5"/>
  <c r="G261" i="5"/>
  <c r="M261" i="5" s="1"/>
  <c r="BF260" i="3"/>
  <c r="BT260" i="3"/>
  <c r="AU260" i="3"/>
  <c r="R563" i="13" s="1"/>
  <c r="BC260" i="3"/>
  <c r="DX260" i="3" s="1"/>
  <c r="AS260" i="5"/>
  <c r="N260" i="5"/>
  <c r="G260" i="5"/>
  <c r="M260" i="5" s="1"/>
  <c r="BF259" i="3"/>
  <c r="BT259" i="3"/>
  <c r="AU259" i="3"/>
  <c r="R562" i="13" s="1"/>
  <c r="BC259" i="3"/>
  <c r="DX259" i="3" s="1"/>
  <c r="AS259" i="5"/>
  <c r="N259" i="5"/>
  <c r="G259" i="5"/>
  <c r="M259" i="5" s="1"/>
  <c r="BF258" i="3"/>
  <c r="BT258" i="3"/>
  <c r="AU258" i="3"/>
  <c r="R561" i="13" s="1"/>
  <c r="BC258" i="3"/>
  <c r="DX258" i="3" s="1"/>
  <c r="AS258" i="5"/>
  <c r="N258" i="5"/>
  <c r="G258" i="5"/>
  <c r="M258" i="5" s="1"/>
  <c r="BF257" i="3"/>
  <c r="BT257" i="3"/>
  <c r="AU257" i="3"/>
  <c r="R560" i="13" s="1"/>
  <c r="BC257" i="3"/>
  <c r="DX257" i="3" s="1"/>
  <c r="AS257" i="5"/>
  <c r="N257" i="5"/>
  <c r="G257" i="5"/>
  <c r="M257" i="5" s="1"/>
  <c r="BF256" i="3"/>
  <c r="BT256" i="3"/>
  <c r="AU256" i="3"/>
  <c r="R559" i="13" s="1"/>
  <c r="BC256" i="3"/>
  <c r="DX256" i="3" s="1"/>
  <c r="AS256" i="5"/>
  <c r="N256" i="5"/>
  <c r="G256" i="5"/>
  <c r="M256" i="5" s="1"/>
  <c r="BF255" i="3"/>
  <c r="BT255" i="3"/>
  <c r="AU255" i="3"/>
  <c r="R558" i="13" s="1"/>
  <c r="BC255" i="3"/>
  <c r="DX255" i="3" s="1"/>
  <c r="AS255" i="5"/>
  <c r="N255" i="5"/>
  <c r="G255" i="5"/>
  <c r="BF254" i="3"/>
  <c r="BT254" i="3"/>
  <c r="AU254" i="3"/>
  <c r="R557" i="13" s="1"/>
  <c r="BC254" i="3"/>
  <c r="DX254" i="3" s="1"/>
  <c r="AS254" i="5"/>
  <c r="N254" i="5"/>
  <c r="G254" i="5"/>
  <c r="M254" i="5" s="1"/>
  <c r="BF253" i="3"/>
  <c r="BT253" i="3"/>
  <c r="AU253" i="3"/>
  <c r="R556" i="13" s="1"/>
  <c r="BC253" i="3"/>
  <c r="DX253" i="3" s="1"/>
  <c r="AS253" i="5"/>
  <c r="N253" i="5"/>
  <c r="G253" i="5"/>
  <c r="M253" i="5" s="1"/>
  <c r="BF252" i="3"/>
  <c r="BT252" i="3"/>
  <c r="AU252" i="3"/>
  <c r="R555" i="13" s="1"/>
  <c r="BC252" i="3"/>
  <c r="DX252" i="3" s="1"/>
  <c r="AS252" i="5"/>
  <c r="N252" i="5"/>
  <c r="G252" i="5"/>
  <c r="M252" i="5" s="1"/>
  <c r="BF251" i="3"/>
  <c r="BT251" i="3"/>
  <c r="AU251" i="3"/>
  <c r="R554" i="13" s="1"/>
  <c r="BC251" i="3"/>
  <c r="DX251" i="3" s="1"/>
  <c r="AS251" i="5"/>
  <c r="N251" i="5"/>
  <c r="G251" i="5"/>
  <c r="M251" i="5" s="1"/>
  <c r="BF250" i="3"/>
  <c r="BT250" i="3"/>
  <c r="AU250" i="3"/>
  <c r="R553" i="13" s="1"/>
  <c r="BC250" i="3"/>
  <c r="DX250" i="3" s="1"/>
  <c r="AS250" i="5"/>
  <c r="N250" i="5"/>
  <c r="G250" i="5"/>
  <c r="M250" i="5" s="1"/>
  <c r="BF249" i="3"/>
  <c r="BT249" i="3"/>
  <c r="AU249" i="3"/>
  <c r="R552" i="13" s="1"/>
  <c r="BC249" i="3"/>
  <c r="DX249" i="3" s="1"/>
  <c r="AS249" i="5"/>
  <c r="N249" i="5"/>
  <c r="G249" i="5"/>
  <c r="BF248" i="3"/>
  <c r="BT248" i="3"/>
  <c r="AU248" i="3"/>
  <c r="R551" i="13" s="1"/>
  <c r="BC248" i="3"/>
  <c r="DX248" i="3" s="1"/>
  <c r="AS248" i="5"/>
  <c r="N248" i="5"/>
  <c r="G248" i="5"/>
  <c r="M248" i="5" s="1"/>
  <c r="BF247" i="3"/>
  <c r="BT247" i="3"/>
  <c r="AU247" i="3"/>
  <c r="R550" i="13" s="1"/>
  <c r="BC247" i="3"/>
  <c r="DX247" i="3" s="1"/>
  <c r="AS247" i="5"/>
  <c r="N247" i="5"/>
  <c r="G247" i="5"/>
  <c r="M247" i="5" s="1"/>
  <c r="BF246" i="3"/>
  <c r="BT246" i="3"/>
  <c r="AU246" i="3"/>
  <c r="R549" i="13" s="1"/>
  <c r="BC246" i="3"/>
  <c r="DX246" i="3" s="1"/>
  <c r="AS246" i="5"/>
  <c r="N246" i="5"/>
  <c r="G246" i="5"/>
  <c r="M246" i="5" s="1"/>
  <c r="BF245" i="3"/>
  <c r="BT245" i="3"/>
  <c r="AU245" i="3"/>
  <c r="R548" i="13" s="1"/>
  <c r="BC245" i="3"/>
  <c r="DX245" i="3" s="1"/>
  <c r="AS245" i="5"/>
  <c r="N245" i="5"/>
  <c r="G245" i="5"/>
  <c r="M245" i="5" s="1"/>
  <c r="BF244" i="3"/>
  <c r="BT244" i="3"/>
  <c r="AU244" i="3"/>
  <c r="R547" i="13" s="1"/>
  <c r="BC244" i="3"/>
  <c r="DX244" i="3" s="1"/>
  <c r="AS244" i="5"/>
  <c r="N244" i="5"/>
  <c r="G244" i="5"/>
  <c r="M244" i="5" s="1"/>
  <c r="BF243" i="3"/>
  <c r="BT243" i="3"/>
  <c r="AU243" i="3"/>
  <c r="R546" i="13" s="1"/>
  <c r="BC243" i="3"/>
  <c r="DX243" i="3" s="1"/>
  <c r="AS243" i="5"/>
  <c r="N243" i="5"/>
  <c r="G243" i="5"/>
  <c r="M243" i="5" s="1"/>
  <c r="BF242" i="3"/>
  <c r="BT242" i="3"/>
  <c r="AU242" i="3"/>
  <c r="R545" i="13" s="1"/>
  <c r="BC242" i="3"/>
  <c r="DX242" i="3" s="1"/>
  <c r="AS242" i="5"/>
  <c r="N242" i="5"/>
  <c r="G242" i="5"/>
  <c r="M242" i="5" s="1"/>
  <c r="BF241" i="3"/>
  <c r="BT241" i="3"/>
  <c r="AU241" i="3"/>
  <c r="R544" i="13" s="1"/>
  <c r="BC241" i="3"/>
  <c r="DX241" i="3" s="1"/>
  <c r="AS241" i="5"/>
  <c r="N241" i="5"/>
  <c r="G241" i="5"/>
  <c r="M241" i="5" s="1"/>
  <c r="BF240" i="3"/>
  <c r="BT240" i="3"/>
  <c r="AU240" i="3"/>
  <c r="R543" i="13" s="1"/>
  <c r="BC240" i="3"/>
  <c r="DX240" i="3" s="1"/>
  <c r="AS240" i="5"/>
  <c r="N240" i="5"/>
  <c r="G240" i="5"/>
  <c r="M240" i="5" s="1"/>
  <c r="BF239" i="3"/>
  <c r="BT239" i="3"/>
  <c r="AU239" i="3"/>
  <c r="R542" i="13" s="1"/>
  <c r="BC239" i="3"/>
  <c r="DX239" i="3" s="1"/>
  <c r="AS239" i="5"/>
  <c r="N239" i="5"/>
  <c r="G239" i="5"/>
  <c r="M239" i="5" s="1"/>
  <c r="BF238" i="3"/>
  <c r="BT238" i="3"/>
  <c r="AU238" i="3"/>
  <c r="R541" i="13" s="1"/>
  <c r="BC238" i="3"/>
  <c r="DX238" i="3" s="1"/>
  <c r="AS238" i="5"/>
  <c r="N238" i="5"/>
  <c r="G238" i="5"/>
  <c r="M238" i="5" s="1"/>
  <c r="BF237" i="3"/>
  <c r="BT237" i="3"/>
  <c r="AU237" i="3"/>
  <c r="R540" i="13" s="1"/>
  <c r="BC237" i="3"/>
  <c r="DX237" i="3" s="1"/>
  <c r="AS237" i="5"/>
  <c r="N237" i="5"/>
  <c r="G237" i="5"/>
  <c r="M237" i="5" s="1"/>
  <c r="BF236" i="3"/>
  <c r="BT236" i="3"/>
  <c r="AU236" i="3"/>
  <c r="R539" i="13" s="1"/>
  <c r="BC236" i="3"/>
  <c r="DX236" i="3" s="1"/>
  <c r="AS236" i="5"/>
  <c r="N236" i="5"/>
  <c r="G236" i="5"/>
  <c r="M236" i="5" s="1"/>
  <c r="BF235" i="3"/>
  <c r="BT235" i="3"/>
  <c r="AU235" i="3"/>
  <c r="R538" i="13" s="1"/>
  <c r="BC235" i="3"/>
  <c r="DX235" i="3" s="1"/>
  <c r="AS235" i="5"/>
  <c r="N235" i="5"/>
  <c r="G235" i="5"/>
  <c r="M235" i="5" s="1"/>
  <c r="BF234" i="3"/>
  <c r="BT234" i="3"/>
  <c r="AU234" i="3"/>
  <c r="R537" i="13" s="1"/>
  <c r="BC234" i="3"/>
  <c r="DX234" i="3" s="1"/>
  <c r="AS234" i="5"/>
  <c r="N234" i="5"/>
  <c r="G234" i="5"/>
  <c r="M234" i="5" s="1"/>
  <c r="BF233" i="3"/>
  <c r="BT233" i="3"/>
  <c r="AU233" i="3"/>
  <c r="R536" i="13" s="1"/>
  <c r="BC233" i="3"/>
  <c r="DX233" i="3" s="1"/>
  <c r="AS233" i="5"/>
  <c r="N233" i="5"/>
  <c r="G233" i="5"/>
  <c r="M233" i="5" s="1"/>
  <c r="BF232" i="3"/>
  <c r="BT232" i="3"/>
  <c r="AU232" i="3"/>
  <c r="R535" i="13" s="1"/>
  <c r="BC232" i="3"/>
  <c r="DX232" i="3" s="1"/>
  <c r="AS232" i="5"/>
  <c r="N232" i="5"/>
  <c r="G232" i="5"/>
  <c r="M232" i="5" s="1"/>
  <c r="BF231" i="3"/>
  <c r="BT231" i="3"/>
  <c r="AU231" i="3"/>
  <c r="R534" i="13" s="1"/>
  <c r="BC231" i="3"/>
  <c r="DX231" i="3" s="1"/>
  <c r="AS231" i="5"/>
  <c r="N231" i="5"/>
  <c r="G231" i="5"/>
  <c r="M231" i="5" s="1"/>
  <c r="BF230" i="3"/>
  <c r="BT230" i="3"/>
  <c r="AU230" i="3"/>
  <c r="R533" i="13" s="1"/>
  <c r="BC230" i="3"/>
  <c r="DX230" i="3" s="1"/>
  <c r="AS230" i="5"/>
  <c r="N230" i="5"/>
  <c r="G230" i="5"/>
  <c r="M230" i="5" s="1"/>
  <c r="BF229" i="3"/>
  <c r="BT229" i="3"/>
  <c r="AU229" i="3"/>
  <c r="R532" i="13" s="1"/>
  <c r="BC229" i="3"/>
  <c r="DX229" i="3" s="1"/>
  <c r="AS229" i="5"/>
  <c r="N229" i="5"/>
  <c r="G229" i="5"/>
  <c r="M229" i="5" s="1"/>
  <c r="BF228" i="3"/>
  <c r="BT228" i="3"/>
  <c r="AU228" i="3"/>
  <c r="R531" i="13" s="1"/>
  <c r="BC228" i="3"/>
  <c r="DX228" i="3" s="1"/>
  <c r="AS228" i="5"/>
  <c r="N228" i="5"/>
  <c r="G228" i="5"/>
  <c r="M228" i="5" s="1"/>
  <c r="BF227" i="3"/>
  <c r="BT227" i="3"/>
  <c r="AU227" i="3"/>
  <c r="R530" i="13" s="1"/>
  <c r="BC227" i="3"/>
  <c r="DX227" i="3" s="1"/>
  <c r="AS227" i="5"/>
  <c r="N227" i="5"/>
  <c r="G227" i="5"/>
  <c r="M227" i="5" s="1"/>
  <c r="BF226" i="3"/>
  <c r="BT226" i="3"/>
  <c r="AU226" i="3"/>
  <c r="R529" i="13" s="1"/>
  <c r="BC226" i="3"/>
  <c r="DX226" i="3" s="1"/>
  <c r="AS226" i="5"/>
  <c r="N226" i="5"/>
  <c r="G226" i="5"/>
  <c r="M226" i="5" s="1"/>
  <c r="BF225" i="3"/>
  <c r="BT225" i="3"/>
  <c r="AU225" i="3"/>
  <c r="R528" i="13" s="1"/>
  <c r="BC225" i="3"/>
  <c r="DX225" i="3" s="1"/>
  <c r="AS225" i="5"/>
  <c r="N225" i="5"/>
  <c r="G225" i="5"/>
  <c r="M225" i="5" s="1"/>
  <c r="BF224" i="3"/>
  <c r="BT224" i="3"/>
  <c r="AU224" i="3"/>
  <c r="R527" i="13" s="1"/>
  <c r="BC224" i="3"/>
  <c r="DX224" i="3" s="1"/>
  <c r="AS224" i="5"/>
  <c r="N224" i="5"/>
  <c r="G224" i="5"/>
  <c r="M224" i="5" s="1"/>
  <c r="BF223" i="3"/>
  <c r="BT223" i="3"/>
  <c r="AU223" i="3"/>
  <c r="R526" i="13" s="1"/>
  <c r="BC223" i="3"/>
  <c r="DX223" i="3" s="1"/>
  <c r="AS223" i="5"/>
  <c r="N223" i="5"/>
  <c r="G223" i="5"/>
  <c r="M223" i="5" s="1"/>
  <c r="BF222" i="3"/>
  <c r="BT222" i="3"/>
  <c r="AU222" i="3"/>
  <c r="R525" i="13" s="1"/>
  <c r="BC222" i="3"/>
  <c r="DX222" i="3" s="1"/>
  <c r="AS222" i="5"/>
  <c r="N222" i="5"/>
  <c r="G222" i="5"/>
  <c r="M222" i="5" s="1"/>
  <c r="BF221" i="3"/>
  <c r="BT221" i="3"/>
  <c r="AU221" i="3"/>
  <c r="R524" i="13" s="1"/>
  <c r="BC221" i="3"/>
  <c r="DX221" i="3" s="1"/>
  <c r="AS221" i="5"/>
  <c r="N221" i="5"/>
  <c r="G221" i="5"/>
  <c r="M221" i="5" s="1"/>
  <c r="BF220" i="3"/>
  <c r="BT220" i="3"/>
  <c r="AU220" i="3"/>
  <c r="R523" i="13" s="1"/>
  <c r="BC220" i="3"/>
  <c r="DX220" i="3" s="1"/>
  <c r="AS220" i="5"/>
  <c r="N220" i="5"/>
  <c r="G220" i="5"/>
  <c r="M220" i="5" s="1"/>
  <c r="BF219" i="3"/>
  <c r="BT219" i="3"/>
  <c r="AU219" i="3"/>
  <c r="R522" i="13" s="1"/>
  <c r="BC219" i="3"/>
  <c r="DX219" i="3" s="1"/>
  <c r="AS219" i="5"/>
  <c r="N219" i="5"/>
  <c r="G219" i="5"/>
  <c r="M219" i="5" s="1"/>
  <c r="BF218" i="3"/>
  <c r="BT218" i="3"/>
  <c r="AU218" i="3"/>
  <c r="R521" i="13" s="1"/>
  <c r="BC218" i="3"/>
  <c r="DX218" i="3" s="1"/>
  <c r="AS218" i="5"/>
  <c r="N218" i="5"/>
  <c r="G218" i="5"/>
  <c r="M218" i="5" s="1"/>
  <c r="BF217" i="3"/>
  <c r="BT217" i="3"/>
  <c r="AU217" i="3"/>
  <c r="R520" i="13" s="1"/>
  <c r="BC217" i="3"/>
  <c r="DX217" i="3" s="1"/>
  <c r="AS217" i="5"/>
  <c r="N217" i="5"/>
  <c r="G217" i="5"/>
  <c r="M217" i="5" s="1"/>
  <c r="BF216" i="3"/>
  <c r="BT216" i="3"/>
  <c r="AU216" i="3"/>
  <c r="R519" i="13" s="1"/>
  <c r="BC216" i="3"/>
  <c r="DX216" i="3" s="1"/>
  <c r="AS216" i="5"/>
  <c r="N216" i="5"/>
  <c r="G216" i="5"/>
  <c r="M216" i="5" s="1"/>
  <c r="BF215" i="3"/>
  <c r="BT215" i="3"/>
  <c r="AU215" i="3"/>
  <c r="R518" i="13" s="1"/>
  <c r="BC215" i="3"/>
  <c r="DX215" i="3" s="1"/>
  <c r="AS215" i="5"/>
  <c r="N215" i="5"/>
  <c r="G215" i="5"/>
  <c r="M215" i="5" s="1"/>
  <c r="BF214" i="3"/>
  <c r="BT214" i="3"/>
  <c r="AU214" i="3"/>
  <c r="R517" i="13" s="1"/>
  <c r="BC214" i="3"/>
  <c r="DX214" i="3" s="1"/>
  <c r="AS214" i="5"/>
  <c r="N214" i="5"/>
  <c r="G214" i="5"/>
  <c r="M214" i="5" s="1"/>
  <c r="BF213" i="3"/>
  <c r="BT213" i="3"/>
  <c r="AU213" i="3"/>
  <c r="R516" i="13" s="1"/>
  <c r="BC213" i="3"/>
  <c r="DX213" i="3" s="1"/>
  <c r="AS213" i="5"/>
  <c r="N213" i="5"/>
  <c r="G213" i="5"/>
  <c r="M213" i="5" s="1"/>
  <c r="BF212" i="3"/>
  <c r="BT212" i="3"/>
  <c r="AU212" i="3"/>
  <c r="R515" i="13" s="1"/>
  <c r="BC212" i="3"/>
  <c r="DX212" i="3" s="1"/>
  <c r="AS212" i="5"/>
  <c r="N212" i="5"/>
  <c r="G212" i="5"/>
  <c r="M212" i="5" s="1"/>
  <c r="BF211" i="3"/>
  <c r="BT211" i="3"/>
  <c r="AU211" i="3"/>
  <c r="R514" i="13" s="1"/>
  <c r="BC211" i="3"/>
  <c r="DX211" i="3" s="1"/>
  <c r="AS211" i="5"/>
  <c r="N211" i="5"/>
  <c r="G211" i="5"/>
  <c r="M211" i="5" s="1"/>
  <c r="BF210" i="3"/>
  <c r="BT210" i="3"/>
  <c r="AU210" i="3"/>
  <c r="R513" i="13" s="1"/>
  <c r="BC210" i="3"/>
  <c r="DX210" i="3" s="1"/>
  <c r="AS210" i="5"/>
  <c r="N210" i="5"/>
  <c r="G210" i="5"/>
  <c r="M210" i="5" s="1"/>
  <c r="BF209" i="3"/>
  <c r="BT209" i="3"/>
  <c r="AU209" i="3"/>
  <c r="R512" i="13" s="1"/>
  <c r="BC209" i="3"/>
  <c r="DX209" i="3" s="1"/>
  <c r="AS209" i="5"/>
  <c r="N209" i="5"/>
  <c r="G209" i="5"/>
  <c r="M209" i="5" s="1"/>
  <c r="BF208" i="3"/>
  <c r="BT208" i="3"/>
  <c r="AU208" i="3"/>
  <c r="R511" i="13" s="1"/>
  <c r="BC208" i="3"/>
  <c r="DX208" i="3" s="1"/>
  <c r="AS208" i="5"/>
  <c r="N208" i="5"/>
  <c r="G208" i="5"/>
  <c r="M208" i="5" s="1"/>
  <c r="BF207" i="3"/>
  <c r="BT207" i="3"/>
  <c r="AU207" i="3"/>
  <c r="R510" i="13" s="1"/>
  <c r="BC207" i="3"/>
  <c r="DX207" i="3" s="1"/>
  <c r="AS207" i="5"/>
  <c r="N207" i="5"/>
  <c r="G207" i="5"/>
  <c r="M207" i="5" s="1"/>
  <c r="BF206" i="3"/>
  <c r="BT206" i="3"/>
  <c r="AU206" i="3"/>
  <c r="R509" i="13" s="1"/>
  <c r="BC206" i="3"/>
  <c r="DX206" i="3" s="1"/>
  <c r="AS206" i="5"/>
  <c r="N206" i="5"/>
  <c r="G206" i="5"/>
  <c r="M206" i="5" s="1"/>
  <c r="BF205" i="3"/>
  <c r="BT205" i="3"/>
  <c r="AU205" i="3"/>
  <c r="R508" i="13" s="1"/>
  <c r="BC205" i="3"/>
  <c r="DX205" i="3" s="1"/>
  <c r="AS205" i="5"/>
  <c r="N205" i="5"/>
  <c r="G205" i="5"/>
  <c r="M205" i="5" s="1"/>
  <c r="BF204" i="3"/>
  <c r="BT204" i="3"/>
  <c r="AU204" i="3"/>
  <c r="R507" i="13" s="1"/>
  <c r="BC204" i="3"/>
  <c r="DX204" i="3" s="1"/>
  <c r="AS204" i="5"/>
  <c r="N204" i="5"/>
  <c r="G204" i="5"/>
  <c r="M204" i="5" s="1"/>
  <c r="BF203" i="3"/>
  <c r="BT203" i="3"/>
  <c r="AU203" i="3"/>
  <c r="R506" i="13" s="1"/>
  <c r="BC203" i="3"/>
  <c r="DX203" i="3" s="1"/>
  <c r="AS203" i="5"/>
  <c r="N203" i="5"/>
  <c r="G203" i="5"/>
  <c r="M203" i="5" s="1"/>
  <c r="BF202" i="3"/>
  <c r="BT202" i="3"/>
  <c r="AU202" i="3"/>
  <c r="R505" i="13" s="1"/>
  <c r="BC202" i="3"/>
  <c r="DX202" i="3" s="1"/>
  <c r="AS202" i="5"/>
  <c r="N202" i="5"/>
  <c r="G202" i="5"/>
  <c r="M202" i="5" s="1"/>
  <c r="BF201" i="3"/>
  <c r="BT201" i="3"/>
  <c r="AU201" i="3"/>
  <c r="BC201" i="3"/>
  <c r="DX201" i="3" s="1"/>
  <c r="AS201" i="5"/>
  <c r="N201" i="5"/>
  <c r="G201" i="5"/>
  <c r="M201" i="5" s="1"/>
  <c r="BF200" i="3"/>
  <c r="BT200" i="3"/>
  <c r="AU200" i="3"/>
  <c r="BC200" i="3"/>
  <c r="DX200" i="3" s="1"/>
  <c r="AS200" i="5"/>
  <c r="N200" i="5"/>
  <c r="G200" i="5"/>
  <c r="M200" i="5" s="1"/>
  <c r="BF199" i="3"/>
  <c r="BT199" i="3"/>
  <c r="AU199" i="3"/>
  <c r="BC199" i="3"/>
  <c r="DX199" i="3" s="1"/>
  <c r="AS199" i="5"/>
  <c r="N199" i="5"/>
  <c r="G199" i="5"/>
  <c r="M199" i="5" s="1"/>
  <c r="BF198" i="3"/>
  <c r="BT198" i="3"/>
  <c r="AU198" i="3"/>
  <c r="BC198" i="3"/>
  <c r="DX198" i="3" s="1"/>
  <c r="AS198" i="5"/>
  <c r="N198" i="5"/>
  <c r="G198" i="5"/>
  <c r="M198" i="5" s="1"/>
  <c r="BF197" i="3"/>
  <c r="BT197" i="3"/>
  <c r="AU197" i="3"/>
  <c r="BC197" i="3"/>
  <c r="DX197" i="3" s="1"/>
  <c r="AS197" i="5"/>
  <c r="N197" i="5"/>
  <c r="G197" i="5"/>
  <c r="M197" i="5" s="1"/>
  <c r="BF196" i="3"/>
  <c r="BT196" i="3"/>
  <c r="AU196" i="3"/>
  <c r="BC196" i="3"/>
  <c r="DX196" i="3" s="1"/>
  <c r="AS196" i="5"/>
  <c r="N196" i="5"/>
  <c r="G196" i="5"/>
  <c r="M196" i="5" s="1"/>
  <c r="BF195" i="3"/>
  <c r="BT195" i="3"/>
  <c r="AU195" i="3"/>
  <c r="BC195" i="3"/>
  <c r="DX195" i="3" s="1"/>
  <c r="AS195" i="5"/>
  <c r="N195" i="5"/>
  <c r="G195" i="5"/>
  <c r="M195" i="5" s="1"/>
  <c r="BF194" i="3"/>
  <c r="BT194" i="3"/>
  <c r="AU194" i="3"/>
  <c r="BC194" i="3"/>
  <c r="DX194" i="3" s="1"/>
  <c r="AS194" i="5"/>
  <c r="N194" i="5"/>
  <c r="G194" i="5"/>
  <c r="BF193" i="3"/>
  <c r="BT193" i="3"/>
  <c r="AU193" i="3"/>
  <c r="BC193" i="3"/>
  <c r="DX193" i="3" s="1"/>
  <c r="AS193" i="5"/>
  <c r="N193" i="5"/>
  <c r="G193" i="5"/>
  <c r="M193" i="5" s="1"/>
  <c r="BF192" i="3"/>
  <c r="BT192" i="3"/>
  <c r="AU192" i="3"/>
  <c r="BC192" i="3"/>
  <c r="DX192" i="3" s="1"/>
  <c r="AS192" i="5"/>
  <c r="N192" i="5"/>
  <c r="G192" i="5"/>
  <c r="M192" i="5" s="1"/>
  <c r="BF191" i="3"/>
  <c r="BT191" i="3"/>
  <c r="AU191" i="3"/>
  <c r="BC191" i="3"/>
  <c r="DX191" i="3" s="1"/>
  <c r="AS191" i="5"/>
  <c r="N191" i="5"/>
  <c r="G191" i="5"/>
  <c r="M191" i="5" s="1"/>
  <c r="BF190" i="3"/>
  <c r="BT190" i="3"/>
  <c r="AU190" i="3"/>
  <c r="BC190" i="3"/>
  <c r="DX190" i="3" s="1"/>
  <c r="AS190" i="5"/>
  <c r="N190" i="5"/>
  <c r="G190" i="5"/>
  <c r="M190" i="5" s="1"/>
  <c r="BF189" i="3"/>
  <c r="BT189" i="3"/>
  <c r="AU189" i="3"/>
  <c r="BC189" i="3"/>
  <c r="DX189" i="3" s="1"/>
  <c r="AS189" i="5"/>
  <c r="N189" i="5"/>
  <c r="G189" i="5"/>
  <c r="M189" i="5" s="1"/>
  <c r="BF188" i="3"/>
  <c r="BT188" i="3"/>
  <c r="AU188" i="3"/>
  <c r="BC188" i="3"/>
  <c r="DX188" i="3" s="1"/>
  <c r="AS188" i="5"/>
  <c r="N188" i="5"/>
  <c r="G188" i="5"/>
  <c r="M188" i="5" s="1"/>
  <c r="BF187" i="3"/>
  <c r="BT187" i="3"/>
  <c r="AU187" i="3"/>
  <c r="BC187" i="3"/>
  <c r="DX187" i="3" s="1"/>
  <c r="AS187" i="5"/>
  <c r="N187" i="5"/>
  <c r="G187" i="5"/>
  <c r="M187" i="5" s="1"/>
  <c r="BF186" i="3"/>
  <c r="BT186" i="3"/>
  <c r="AU186" i="3"/>
  <c r="BC186" i="3"/>
  <c r="DX186" i="3" s="1"/>
  <c r="AS186" i="5"/>
  <c r="N186" i="5"/>
  <c r="G186" i="5"/>
  <c r="M186" i="5" s="1"/>
  <c r="BF185" i="3"/>
  <c r="BT185" i="3"/>
  <c r="AU185" i="3"/>
  <c r="BC185" i="3"/>
  <c r="DX185" i="3" s="1"/>
  <c r="AS185" i="5"/>
  <c r="N185" i="5"/>
  <c r="G185" i="5"/>
  <c r="M185" i="5" s="1"/>
  <c r="BF184" i="3"/>
  <c r="BT184" i="3"/>
  <c r="AU184" i="3"/>
  <c r="BC184" i="3"/>
  <c r="DX184" i="3" s="1"/>
  <c r="AS184" i="5"/>
  <c r="N184" i="5"/>
  <c r="G184" i="5"/>
  <c r="M184" i="5" s="1"/>
  <c r="BF183" i="3"/>
  <c r="BT183" i="3"/>
  <c r="AU183" i="3"/>
  <c r="BC183" i="3"/>
  <c r="DX183" i="3" s="1"/>
  <c r="AS183" i="5"/>
  <c r="N183" i="5"/>
  <c r="G183" i="5"/>
  <c r="M183" i="5" s="1"/>
  <c r="BF182" i="3"/>
  <c r="BT182" i="3"/>
  <c r="AU182" i="3"/>
  <c r="BC182" i="3"/>
  <c r="DX182" i="3" s="1"/>
  <c r="AS182" i="5"/>
  <c r="N182" i="5"/>
  <c r="G182" i="5"/>
  <c r="M182" i="5" s="1"/>
  <c r="BF181" i="3"/>
  <c r="BT181" i="3"/>
  <c r="AU181" i="3"/>
  <c r="BC181" i="3"/>
  <c r="DX181" i="3" s="1"/>
  <c r="AS181" i="5"/>
  <c r="N181" i="5"/>
  <c r="G181" i="5"/>
  <c r="M181" i="5" s="1"/>
  <c r="BF180" i="3"/>
  <c r="BT180" i="3"/>
  <c r="AU180" i="3"/>
  <c r="BC180" i="3"/>
  <c r="DX180" i="3" s="1"/>
  <c r="AS180" i="5"/>
  <c r="N180" i="5"/>
  <c r="G180" i="5"/>
  <c r="BF179" i="3"/>
  <c r="BT179" i="3"/>
  <c r="AU179" i="3"/>
  <c r="BC179" i="3"/>
  <c r="DX179" i="3" s="1"/>
  <c r="AS179" i="5"/>
  <c r="N179" i="5"/>
  <c r="G179" i="5"/>
  <c r="M179" i="5" s="1"/>
  <c r="BF178" i="3"/>
  <c r="BT178" i="3"/>
  <c r="AU178" i="3"/>
  <c r="BC178" i="3"/>
  <c r="DX178" i="3" s="1"/>
  <c r="AS178" i="5"/>
  <c r="N178" i="5"/>
  <c r="G178" i="5"/>
  <c r="M178" i="5" s="1"/>
  <c r="BF177" i="3"/>
  <c r="BT177" i="3"/>
  <c r="AU177" i="3"/>
  <c r="BC177" i="3"/>
  <c r="DX177" i="3" s="1"/>
  <c r="AS177" i="5"/>
  <c r="N177" i="5"/>
  <c r="G177" i="5"/>
  <c r="M177" i="5" s="1"/>
  <c r="BF176" i="3"/>
  <c r="BT176" i="3"/>
  <c r="AU176" i="3"/>
  <c r="BC176" i="3"/>
  <c r="DX176" i="3" s="1"/>
  <c r="AS176" i="5"/>
  <c r="N176" i="5"/>
  <c r="G176" i="5"/>
  <c r="M176" i="5" s="1"/>
  <c r="BF175" i="3"/>
  <c r="BT175" i="3"/>
  <c r="AU175" i="3"/>
  <c r="BC175" i="3"/>
  <c r="DX175" i="3" s="1"/>
  <c r="AS175" i="5"/>
  <c r="N175" i="5"/>
  <c r="G175" i="5"/>
  <c r="M175" i="5" s="1"/>
  <c r="BF174" i="3"/>
  <c r="BT174" i="3"/>
  <c r="AU174" i="3"/>
  <c r="BC174" i="3"/>
  <c r="DX174" i="3" s="1"/>
  <c r="AS174" i="5"/>
  <c r="N174" i="5"/>
  <c r="G174" i="5"/>
  <c r="M174" i="5" s="1"/>
  <c r="BF173" i="3"/>
  <c r="BT173" i="3"/>
  <c r="AU173" i="3"/>
  <c r="BC173" i="3"/>
  <c r="DX173" i="3" s="1"/>
  <c r="AS173" i="5"/>
  <c r="N173" i="5"/>
  <c r="G173" i="5"/>
  <c r="M173" i="5" s="1"/>
  <c r="BF172" i="3"/>
  <c r="BT172" i="3"/>
  <c r="AU172" i="3"/>
  <c r="BC172" i="3"/>
  <c r="DX172" i="3" s="1"/>
  <c r="AS172" i="5"/>
  <c r="N172" i="5"/>
  <c r="G172" i="5"/>
  <c r="BF171" i="3"/>
  <c r="BT171" i="3"/>
  <c r="AU171" i="3"/>
  <c r="BC171" i="3"/>
  <c r="DX171" i="3" s="1"/>
  <c r="AS171" i="5"/>
  <c r="N171" i="5"/>
  <c r="G171" i="5"/>
  <c r="M171" i="5" s="1"/>
  <c r="BF170" i="3"/>
  <c r="BT170" i="3"/>
  <c r="AU170" i="3"/>
  <c r="BC170" i="3"/>
  <c r="DX170" i="3" s="1"/>
  <c r="AS170" i="5"/>
  <c r="N170" i="5"/>
  <c r="G170" i="5"/>
  <c r="M170" i="5" s="1"/>
  <c r="BF169" i="3"/>
  <c r="BT169" i="3"/>
  <c r="AU169" i="3"/>
  <c r="BC169" i="3"/>
  <c r="DX169" i="3" s="1"/>
  <c r="AS169" i="5"/>
  <c r="N169" i="5"/>
  <c r="G169" i="5"/>
  <c r="M169" i="5" s="1"/>
  <c r="BF168" i="3"/>
  <c r="BT168" i="3"/>
  <c r="AU168" i="3"/>
  <c r="BC168" i="3"/>
  <c r="DX168" i="3" s="1"/>
  <c r="AS168" i="5"/>
  <c r="N168" i="5"/>
  <c r="G168" i="5"/>
  <c r="M168" i="5" s="1"/>
  <c r="BF167" i="3"/>
  <c r="BT167" i="3"/>
  <c r="AU167" i="3"/>
  <c r="BC167" i="3"/>
  <c r="DX167" i="3" s="1"/>
  <c r="AS167" i="5"/>
  <c r="N167" i="5"/>
  <c r="G167" i="5"/>
  <c r="M167" i="5" s="1"/>
  <c r="BF166" i="3"/>
  <c r="BT166" i="3"/>
  <c r="AU166" i="3"/>
  <c r="BC166" i="3"/>
  <c r="DX166" i="3" s="1"/>
  <c r="AS166" i="5"/>
  <c r="N166" i="5"/>
  <c r="G166" i="5"/>
  <c r="M166" i="5" s="1"/>
  <c r="BF165" i="3"/>
  <c r="BT165" i="3"/>
  <c r="AU165" i="3"/>
  <c r="BC165" i="3"/>
  <c r="DX165" i="3" s="1"/>
  <c r="AS165" i="5"/>
  <c r="N165" i="5"/>
  <c r="G165" i="5"/>
  <c r="M165" i="5" s="1"/>
  <c r="BF164" i="3"/>
  <c r="BT164" i="3"/>
  <c r="AU164" i="3"/>
  <c r="BC164" i="3"/>
  <c r="DX164" i="3" s="1"/>
  <c r="AS164" i="5"/>
  <c r="N164" i="5"/>
  <c r="G164" i="5"/>
  <c r="M164" i="5" s="1"/>
  <c r="BF163" i="3"/>
  <c r="BT163" i="3"/>
  <c r="AU163" i="3"/>
  <c r="BC163" i="3"/>
  <c r="DX163" i="3" s="1"/>
  <c r="AS163" i="5"/>
  <c r="N163" i="5"/>
  <c r="G163" i="5"/>
  <c r="M163" i="5" s="1"/>
  <c r="BF162" i="3"/>
  <c r="BT162" i="3"/>
  <c r="AU162" i="3"/>
  <c r="BC162" i="3"/>
  <c r="DX162" i="3" s="1"/>
  <c r="AS162" i="5"/>
  <c r="N162" i="5"/>
  <c r="G162" i="5"/>
  <c r="M162" i="5" s="1"/>
  <c r="BF161" i="3"/>
  <c r="BT161" i="3"/>
  <c r="AU161" i="3"/>
  <c r="BC161" i="3"/>
  <c r="DX161" i="3" s="1"/>
  <c r="AS161" i="5"/>
  <c r="N161" i="5"/>
  <c r="G161" i="5"/>
  <c r="M161" i="5" s="1"/>
  <c r="BF160" i="3"/>
  <c r="BT160" i="3"/>
  <c r="AU160" i="3"/>
  <c r="BC160" i="3"/>
  <c r="DX160" i="3" s="1"/>
  <c r="AS160" i="5"/>
  <c r="N160" i="5"/>
  <c r="G160" i="5"/>
  <c r="M160" i="5" s="1"/>
  <c r="BF159" i="3"/>
  <c r="BT159" i="3"/>
  <c r="AU159" i="3"/>
  <c r="BC159" i="3"/>
  <c r="DX159" i="3" s="1"/>
  <c r="AS159" i="5"/>
  <c r="N159" i="5"/>
  <c r="G159" i="5"/>
  <c r="M159" i="5" s="1"/>
  <c r="BF158" i="3"/>
  <c r="BT158" i="3"/>
  <c r="AU158" i="3"/>
  <c r="BC158" i="3"/>
  <c r="DX158" i="3" s="1"/>
  <c r="AS158" i="5"/>
  <c r="N158" i="5"/>
  <c r="G158" i="5"/>
  <c r="M158" i="5" s="1"/>
  <c r="BF157" i="3"/>
  <c r="BT157" i="3"/>
  <c r="AU157" i="3"/>
  <c r="BC157" i="3"/>
  <c r="DX157" i="3" s="1"/>
  <c r="AS157" i="5"/>
  <c r="N157" i="5"/>
  <c r="G157" i="5"/>
  <c r="M157" i="5" s="1"/>
  <c r="BF156" i="3"/>
  <c r="BT156" i="3"/>
  <c r="AU156" i="3"/>
  <c r="BC156" i="3"/>
  <c r="DX156" i="3" s="1"/>
  <c r="AS156" i="5"/>
  <c r="N156" i="5"/>
  <c r="G156" i="5"/>
  <c r="M156" i="5" s="1"/>
  <c r="BF155" i="3"/>
  <c r="BT155" i="3"/>
  <c r="AU155" i="3"/>
  <c r="BC155" i="3"/>
  <c r="DX155" i="3" s="1"/>
  <c r="AS155" i="5"/>
  <c r="N155" i="5"/>
  <c r="G155" i="5"/>
  <c r="M155" i="5" s="1"/>
  <c r="BF154" i="3"/>
  <c r="BT154" i="3"/>
  <c r="AU154" i="3"/>
  <c r="BC154" i="3"/>
  <c r="DX154" i="3" s="1"/>
  <c r="AS154" i="5"/>
  <c r="N154" i="5"/>
  <c r="G154" i="5"/>
  <c r="M154" i="5" s="1"/>
  <c r="BF153" i="3"/>
  <c r="BT153" i="3"/>
  <c r="AU153" i="3"/>
  <c r="BC153" i="3"/>
  <c r="DX153" i="3" s="1"/>
  <c r="AS153" i="5"/>
  <c r="N153" i="5"/>
  <c r="G153" i="5"/>
  <c r="M153" i="5" s="1"/>
  <c r="BF152" i="3"/>
  <c r="BT152" i="3"/>
  <c r="AU152" i="3"/>
  <c r="BC152" i="3"/>
  <c r="DX152" i="3" s="1"/>
  <c r="AS152" i="5"/>
  <c r="N152" i="5"/>
  <c r="G152" i="5"/>
  <c r="M152" i="5" s="1"/>
  <c r="BF151" i="3"/>
  <c r="BT151" i="3"/>
  <c r="AU151" i="3"/>
  <c r="BC151" i="3"/>
  <c r="DX151" i="3" s="1"/>
  <c r="AS151" i="5"/>
  <c r="N151" i="5"/>
  <c r="G151" i="5"/>
  <c r="M151" i="5" s="1"/>
  <c r="BF150" i="3"/>
  <c r="BT150" i="3"/>
  <c r="AU150" i="3"/>
  <c r="BC150" i="3"/>
  <c r="DX150" i="3" s="1"/>
  <c r="AS150" i="5"/>
  <c r="N150" i="5"/>
  <c r="G150" i="5"/>
  <c r="M150" i="5" s="1"/>
  <c r="BF149" i="3"/>
  <c r="BT149" i="3"/>
  <c r="AU149" i="3"/>
  <c r="BC149" i="3"/>
  <c r="DX149" i="3" s="1"/>
  <c r="AS149" i="5"/>
  <c r="N149" i="5"/>
  <c r="G149" i="5"/>
  <c r="M149" i="5" s="1"/>
  <c r="BF148" i="3"/>
  <c r="BT148" i="3"/>
  <c r="AU148" i="3"/>
  <c r="BC148" i="3"/>
  <c r="DX148" i="3" s="1"/>
  <c r="AS148" i="5"/>
  <c r="N148" i="5"/>
  <c r="G148" i="5"/>
  <c r="M148" i="5" s="1"/>
  <c r="BF147" i="3"/>
  <c r="BT147" i="3"/>
  <c r="AU147" i="3"/>
  <c r="BC147" i="3"/>
  <c r="DX147" i="3" s="1"/>
  <c r="AS147" i="5"/>
  <c r="N147" i="5"/>
  <c r="G147" i="5"/>
  <c r="M147" i="5" s="1"/>
  <c r="BF146" i="3"/>
  <c r="BT146" i="3"/>
  <c r="AU146" i="3"/>
  <c r="BC146" i="3"/>
  <c r="DX146" i="3" s="1"/>
  <c r="AS146" i="5"/>
  <c r="N146" i="5"/>
  <c r="G146" i="5"/>
  <c r="M146" i="5" s="1"/>
  <c r="BF145" i="3"/>
  <c r="BT145" i="3"/>
  <c r="AU145" i="3"/>
  <c r="BC145" i="3"/>
  <c r="DX145" i="3" s="1"/>
  <c r="AS145" i="5"/>
  <c r="N145" i="5"/>
  <c r="G145" i="5"/>
  <c r="M145" i="5" s="1"/>
  <c r="BF144" i="3"/>
  <c r="BT144" i="3"/>
  <c r="AU144" i="3"/>
  <c r="BC144" i="3"/>
  <c r="DX144" i="3" s="1"/>
  <c r="AS144" i="5"/>
  <c r="N144" i="5"/>
  <c r="G144" i="5"/>
  <c r="M144" i="5" s="1"/>
  <c r="BF143" i="3"/>
  <c r="BT143" i="3"/>
  <c r="AU143" i="3"/>
  <c r="BC143" i="3"/>
  <c r="DX143" i="3" s="1"/>
  <c r="AS143" i="5"/>
  <c r="N143" i="5"/>
  <c r="G143" i="5"/>
  <c r="M143" i="5" s="1"/>
  <c r="BF142" i="3"/>
  <c r="BT142" i="3"/>
  <c r="AU142" i="3"/>
  <c r="BC142" i="3"/>
  <c r="DX142" i="3" s="1"/>
  <c r="AS142" i="5"/>
  <c r="N142" i="5"/>
  <c r="G142" i="5"/>
  <c r="M142" i="5" s="1"/>
  <c r="BF141" i="3"/>
  <c r="BT141" i="3"/>
  <c r="AU141" i="3"/>
  <c r="BC141" i="3"/>
  <c r="DX141" i="3" s="1"/>
  <c r="AS141" i="5"/>
  <c r="N141" i="5"/>
  <c r="G141" i="5"/>
  <c r="M141" i="5" s="1"/>
  <c r="BF140" i="3"/>
  <c r="BT140" i="3"/>
  <c r="AU140" i="3"/>
  <c r="BC140" i="3"/>
  <c r="DX140" i="3" s="1"/>
  <c r="AS140" i="5"/>
  <c r="N140" i="5"/>
  <c r="G140" i="5"/>
  <c r="M140" i="5" s="1"/>
  <c r="BF139" i="3"/>
  <c r="BT139" i="3"/>
  <c r="AU139" i="3"/>
  <c r="BC139" i="3"/>
  <c r="DX139" i="3" s="1"/>
  <c r="AS139" i="5"/>
  <c r="N139" i="5"/>
  <c r="G139" i="5"/>
  <c r="M139" i="5" s="1"/>
  <c r="BF138" i="3"/>
  <c r="BT138" i="3"/>
  <c r="AU138" i="3"/>
  <c r="BC138" i="3"/>
  <c r="DX138" i="3" s="1"/>
  <c r="AS138" i="5"/>
  <c r="N138" i="5"/>
  <c r="G138" i="5"/>
  <c r="M138" i="5" s="1"/>
  <c r="BF137" i="3"/>
  <c r="BT137" i="3"/>
  <c r="AU137" i="3"/>
  <c r="BC137" i="3"/>
  <c r="DX137" i="3" s="1"/>
  <c r="AS137" i="5"/>
  <c r="N137" i="5"/>
  <c r="G137" i="5"/>
  <c r="M137" i="5" s="1"/>
  <c r="BF136" i="3"/>
  <c r="BT136" i="3"/>
  <c r="AU136" i="3"/>
  <c r="BC136" i="3"/>
  <c r="DX136" i="3" s="1"/>
  <c r="AS136" i="5"/>
  <c r="N136" i="5"/>
  <c r="G136" i="5"/>
  <c r="M136" i="5" s="1"/>
  <c r="BF135" i="3"/>
  <c r="BT135" i="3"/>
  <c r="AU135" i="3"/>
  <c r="BC135" i="3"/>
  <c r="DX135" i="3" s="1"/>
  <c r="AS135" i="5"/>
  <c r="N135" i="5"/>
  <c r="G135" i="5"/>
  <c r="M135" i="5" s="1"/>
  <c r="BF134" i="3"/>
  <c r="BT134" i="3"/>
  <c r="AU134" i="3"/>
  <c r="BC134" i="3"/>
  <c r="DX134" i="3" s="1"/>
  <c r="AS134" i="5"/>
  <c r="N134" i="5"/>
  <c r="G134" i="5"/>
  <c r="M134" i="5" s="1"/>
  <c r="BF133" i="3"/>
  <c r="BT133" i="3"/>
  <c r="AU133" i="3"/>
  <c r="BC133" i="3"/>
  <c r="DX133" i="3" s="1"/>
  <c r="AS133" i="5"/>
  <c r="N133" i="5"/>
  <c r="G133" i="5"/>
  <c r="M133" i="5" s="1"/>
  <c r="BF132" i="3"/>
  <c r="BT132" i="3"/>
  <c r="AU132" i="3"/>
  <c r="BC132" i="3"/>
  <c r="DX132" i="3" s="1"/>
  <c r="AS132" i="5"/>
  <c r="N132" i="5"/>
  <c r="G132" i="5"/>
  <c r="M132" i="5" s="1"/>
  <c r="BF131" i="3"/>
  <c r="BT131" i="3"/>
  <c r="AU131" i="3"/>
  <c r="BC131" i="3"/>
  <c r="DX131" i="3" s="1"/>
  <c r="AS131" i="5"/>
  <c r="N131" i="5"/>
  <c r="G131" i="5"/>
  <c r="M131" i="5" s="1"/>
  <c r="BF130" i="3"/>
  <c r="BT130" i="3"/>
  <c r="AU130" i="3"/>
  <c r="BC130" i="3"/>
  <c r="DX130" i="3" s="1"/>
  <c r="AS130" i="5"/>
  <c r="N130" i="5"/>
  <c r="G130" i="5"/>
  <c r="M130" i="5" s="1"/>
  <c r="BF129" i="3"/>
  <c r="BT129" i="3"/>
  <c r="AU129" i="3"/>
  <c r="BC129" i="3"/>
  <c r="DX129" i="3" s="1"/>
  <c r="AS129" i="5"/>
  <c r="N129" i="5"/>
  <c r="G129" i="5"/>
  <c r="M129" i="5" s="1"/>
  <c r="BF128" i="3"/>
  <c r="BT128" i="3"/>
  <c r="AU128" i="3"/>
  <c r="BC128" i="3"/>
  <c r="DX128" i="3" s="1"/>
  <c r="AS128" i="5"/>
  <c r="N128" i="5"/>
  <c r="G128" i="5"/>
  <c r="M128" i="5" s="1"/>
  <c r="BF127" i="3"/>
  <c r="BT127" i="3"/>
  <c r="AU127" i="3"/>
  <c r="BC127" i="3"/>
  <c r="DX127" i="3" s="1"/>
  <c r="AS127" i="5"/>
  <c r="N127" i="5"/>
  <c r="G127" i="5"/>
  <c r="M127" i="5" s="1"/>
  <c r="BF126" i="3"/>
  <c r="BT126" i="3"/>
  <c r="AU126" i="3"/>
  <c r="BC126" i="3"/>
  <c r="DX126" i="3" s="1"/>
  <c r="AS126" i="5"/>
  <c r="N126" i="5"/>
  <c r="G126" i="5"/>
  <c r="M126" i="5" s="1"/>
  <c r="BF125" i="3"/>
  <c r="BT125" i="3"/>
  <c r="AU125" i="3"/>
  <c r="BC125" i="3"/>
  <c r="DX125" i="3" s="1"/>
  <c r="AS125" i="5"/>
  <c r="N125" i="5"/>
  <c r="G125" i="5"/>
  <c r="M125" i="5" s="1"/>
  <c r="BF124" i="3"/>
  <c r="BT124" i="3"/>
  <c r="AU124" i="3"/>
  <c r="BC124" i="3"/>
  <c r="DX124" i="3" s="1"/>
  <c r="AS124" i="5"/>
  <c r="N124" i="5"/>
  <c r="G124" i="5"/>
  <c r="M124" i="5" s="1"/>
  <c r="BF123" i="3"/>
  <c r="BT123" i="3"/>
  <c r="AU123" i="3"/>
  <c r="BC123" i="3"/>
  <c r="DX123" i="3" s="1"/>
  <c r="AS123" i="5"/>
  <c r="N123" i="5"/>
  <c r="G123" i="5"/>
  <c r="M123" i="5" s="1"/>
  <c r="BF122" i="3"/>
  <c r="BT122" i="3"/>
  <c r="AU122" i="3"/>
  <c r="BC122" i="3"/>
  <c r="DX122" i="3" s="1"/>
  <c r="AS122" i="5"/>
  <c r="N122" i="5"/>
  <c r="G122" i="5"/>
  <c r="M122" i="5" s="1"/>
  <c r="BF121" i="3"/>
  <c r="BT121" i="3"/>
  <c r="AU121" i="3"/>
  <c r="BC121" i="3"/>
  <c r="DX121" i="3" s="1"/>
  <c r="AS121" i="5"/>
  <c r="N121" i="5"/>
  <c r="G121" i="5"/>
  <c r="M121" i="5" s="1"/>
  <c r="BF120" i="3"/>
  <c r="BT120" i="3"/>
  <c r="AU120" i="3"/>
  <c r="BC120" i="3"/>
  <c r="DX120" i="3" s="1"/>
  <c r="AS120" i="5"/>
  <c r="N120" i="5"/>
  <c r="G120" i="5"/>
  <c r="M120" i="5" s="1"/>
  <c r="BF119" i="3"/>
  <c r="BT119" i="3"/>
  <c r="AU119" i="3"/>
  <c r="BC119" i="3"/>
  <c r="DX119" i="3" s="1"/>
  <c r="AS119" i="5"/>
  <c r="N119" i="5"/>
  <c r="G119" i="5"/>
  <c r="M119" i="5" s="1"/>
  <c r="BF118" i="3"/>
  <c r="BT118" i="3"/>
  <c r="AU118" i="3"/>
  <c r="BC118" i="3"/>
  <c r="DX118" i="3" s="1"/>
  <c r="AS118" i="5"/>
  <c r="N118" i="5"/>
  <c r="G118" i="5"/>
  <c r="M118" i="5" s="1"/>
  <c r="BF117" i="3"/>
  <c r="BT117" i="3"/>
  <c r="AU117" i="3"/>
  <c r="BC117" i="3"/>
  <c r="DX117" i="3" s="1"/>
  <c r="AS117" i="5"/>
  <c r="N117" i="5"/>
  <c r="G117" i="5"/>
  <c r="M117" i="5" s="1"/>
  <c r="BF116" i="3"/>
  <c r="BT116" i="3"/>
  <c r="AU116" i="3"/>
  <c r="BC116" i="3"/>
  <c r="DX116" i="3" s="1"/>
  <c r="AS116" i="5"/>
  <c r="N116" i="5"/>
  <c r="G116" i="5"/>
  <c r="M116" i="5" s="1"/>
  <c r="BF115" i="3"/>
  <c r="BT115" i="3"/>
  <c r="AU115" i="3"/>
  <c r="BC115" i="3"/>
  <c r="DX115" i="3" s="1"/>
  <c r="AS115" i="5"/>
  <c r="N115" i="5"/>
  <c r="G115" i="5"/>
  <c r="M115" i="5" s="1"/>
  <c r="BF114" i="3"/>
  <c r="BT114" i="3"/>
  <c r="AU114" i="3"/>
  <c r="BC114" i="3"/>
  <c r="DX114" i="3" s="1"/>
  <c r="AS114" i="5"/>
  <c r="N114" i="5"/>
  <c r="G114" i="5"/>
  <c r="M114" i="5" s="1"/>
  <c r="BF113" i="3"/>
  <c r="BT113" i="3"/>
  <c r="AU113" i="3"/>
  <c r="BC113" i="3"/>
  <c r="DX113" i="3" s="1"/>
  <c r="AS113" i="5"/>
  <c r="N113" i="5"/>
  <c r="G113" i="5"/>
  <c r="M113" i="5" s="1"/>
  <c r="BF112" i="3"/>
  <c r="BT112" i="3"/>
  <c r="AU112" i="3"/>
  <c r="BC112" i="3"/>
  <c r="DX112" i="3" s="1"/>
  <c r="AS112" i="5"/>
  <c r="N112" i="5"/>
  <c r="G112" i="5"/>
  <c r="M112" i="5" s="1"/>
  <c r="BF111" i="3"/>
  <c r="BT111" i="3"/>
  <c r="AU111" i="3"/>
  <c r="BC111" i="3"/>
  <c r="DX111" i="3" s="1"/>
  <c r="AS111" i="5"/>
  <c r="N111" i="5"/>
  <c r="G111" i="5"/>
  <c r="M111" i="5" s="1"/>
  <c r="BF110" i="3"/>
  <c r="BT110" i="3"/>
  <c r="AU110" i="3"/>
  <c r="BC110" i="3"/>
  <c r="DX110" i="3" s="1"/>
  <c r="AS110" i="5"/>
  <c r="N110" i="5"/>
  <c r="G110" i="5"/>
  <c r="M110" i="5" s="1"/>
  <c r="BF109" i="3"/>
  <c r="BT109" i="3"/>
  <c r="AU109" i="3"/>
  <c r="BC109" i="3"/>
  <c r="DX109" i="3" s="1"/>
  <c r="AS109" i="5"/>
  <c r="N109" i="5"/>
  <c r="G109" i="5"/>
  <c r="M109" i="5" s="1"/>
  <c r="BF108" i="3"/>
  <c r="BT108" i="3"/>
  <c r="AU108" i="3"/>
  <c r="BC108" i="3"/>
  <c r="DX108" i="3" s="1"/>
  <c r="AS108" i="5"/>
  <c r="N108" i="5"/>
  <c r="G108" i="5"/>
  <c r="M108" i="5" s="1"/>
  <c r="BF107" i="3"/>
  <c r="BT107" i="3"/>
  <c r="AU107" i="3"/>
  <c r="BC107" i="3"/>
  <c r="DX107" i="3" s="1"/>
  <c r="AS107" i="5"/>
  <c r="N107" i="5"/>
  <c r="G107" i="5"/>
  <c r="M107" i="5" s="1"/>
  <c r="BF106" i="3"/>
  <c r="BT106" i="3"/>
  <c r="AU106" i="3"/>
  <c r="BC106" i="3"/>
  <c r="DX106" i="3" s="1"/>
  <c r="AS106" i="5"/>
  <c r="N106" i="5"/>
  <c r="G106" i="5"/>
  <c r="M106" i="5" s="1"/>
  <c r="BF105" i="3"/>
  <c r="BT105" i="3"/>
  <c r="AU105" i="3"/>
  <c r="BC105" i="3"/>
  <c r="DX105" i="3" s="1"/>
  <c r="AS105" i="5"/>
  <c r="N105" i="5"/>
  <c r="G105" i="5"/>
  <c r="M105" i="5" s="1"/>
  <c r="BF104" i="3"/>
  <c r="BT104" i="3"/>
  <c r="AU104" i="3"/>
  <c r="BC104" i="3"/>
  <c r="DX104" i="3" s="1"/>
  <c r="AS104" i="5"/>
  <c r="N104" i="5"/>
  <c r="G104" i="5"/>
  <c r="M104" i="5" s="1"/>
  <c r="BF103" i="3"/>
  <c r="BT103" i="3"/>
  <c r="AU103" i="3"/>
  <c r="BC103" i="3"/>
  <c r="DX103" i="3" s="1"/>
  <c r="AS103" i="5"/>
  <c r="N103" i="5"/>
  <c r="G103" i="5"/>
  <c r="M103" i="5" s="1"/>
  <c r="BF102" i="3"/>
  <c r="BT102" i="3"/>
  <c r="AU102" i="3"/>
  <c r="BC102" i="3"/>
  <c r="DX102" i="3" s="1"/>
  <c r="AS102" i="5"/>
  <c r="N102" i="5"/>
  <c r="G102" i="5"/>
  <c r="M102" i="5" s="1"/>
  <c r="BF101" i="3"/>
  <c r="BT101" i="3"/>
  <c r="AU101" i="3"/>
  <c r="BC101" i="3"/>
  <c r="DX101" i="3" s="1"/>
  <c r="AS101" i="5"/>
  <c r="N101" i="5"/>
  <c r="G101" i="5"/>
  <c r="M101" i="5" s="1"/>
  <c r="BF100" i="3"/>
  <c r="BT100" i="3"/>
  <c r="AU100" i="3"/>
  <c r="BC100" i="3"/>
  <c r="DX100" i="3" s="1"/>
  <c r="AS100" i="5"/>
  <c r="N100" i="5"/>
  <c r="G100" i="5"/>
  <c r="M100" i="5" s="1"/>
  <c r="BF99" i="3"/>
  <c r="BT99" i="3"/>
  <c r="AU99" i="3"/>
  <c r="BC99" i="3"/>
  <c r="DX99" i="3" s="1"/>
  <c r="AS99" i="5"/>
  <c r="N99" i="5"/>
  <c r="G99" i="5"/>
  <c r="M99" i="5" s="1"/>
  <c r="BF98" i="3"/>
  <c r="BT98" i="3"/>
  <c r="AU98" i="3"/>
  <c r="BC98" i="3"/>
  <c r="DX98" i="3" s="1"/>
  <c r="AS98" i="5"/>
  <c r="N98" i="5"/>
  <c r="G98" i="5"/>
  <c r="M98" i="5" s="1"/>
  <c r="BF97" i="3"/>
  <c r="BT97" i="3"/>
  <c r="AU97" i="3"/>
  <c r="BC97" i="3"/>
  <c r="DX97" i="3" s="1"/>
  <c r="AS97" i="5"/>
  <c r="N97" i="5"/>
  <c r="G97" i="5"/>
  <c r="M97" i="5" s="1"/>
  <c r="BF96" i="3"/>
  <c r="BT96" i="3"/>
  <c r="AU96" i="3"/>
  <c r="BC96" i="3"/>
  <c r="DX96" i="3" s="1"/>
  <c r="AS96" i="5"/>
  <c r="N96" i="5"/>
  <c r="G96" i="5"/>
  <c r="M96" i="5" s="1"/>
  <c r="BF95" i="3"/>
  <c r="BT95" i="3"/>
  <c r="AU95" i="3"/>
  <c r="BC95" i="3"/>
  <c r="DX95" i="3" s="1"/>
  <c r="AS95" i="5"/>
  <c r="N95" i="5"/>
  <c r="G95" i="5"/>
  <c r="M95" i="5" s="1"/>
  <c r="BF94" i="3"/>
  <c r="BT94" i="3"/>
  <c r="AU94" i="3"/>
  <c r="BC94" i="3"/>
  <c r="DX94" i="3" s="1"/>
  <c r="AS94" i="5"/>
  <c r="N94" i="5"/>
  <c r="G94" i="5"/>
  <c r="M94" i="5" s="1"/>
  <c r="BF93" i="3"/>
  <c r="BT93" i="3"/>
  <c r="AU93" i="3"/>
  <c r="BC93" i="3"/>
  <c r="DX93" i="3" s="1"/>
  <c r="AS93" i="5"/>
  <c r="N93" i="5"/>
  <c r="G93" i="5"/>
  <c r="M93" i="5" s="1"/>
  <c r="BF92" i="3"/>
  <c r="BT92" i="3"/>
  <c r="AU92" i="3"/>
  <c r="BC92" i="3"/>
  <c r="DX92" i="3" s="1"/>
  <c r="AS92" i="5"/>
  <c r="N92" i="5"/>
  <c r="G92" i="5"/>
  <c r="M92" i="5" s="1"/>
  <c r="BF91" i="3"/>
  <c r="BT91" i="3"/>
  <c r="AU91" i="3"/>
  <c r="BC91" i="3"/>
  <c r="DX91" i="3" s="1"/>
  <c r="AS91" i="5"/>
  <c r="N91" i="5"/>
  <c r="G91" i="5"/>
  <c r="M91" i="5" s="1"/>
  <c r="BF90" i="3"/>
  <c r="BT90" i="3"/>
  <c r="AU90" i="3"/>
  <c r="BC90" i="3"/>
  <c r="DX90" i="3" s="1"/>
  <c r="AS90" i="5"/>
  <c r="N90" i="5"/>
  <c r="G90" i="5"/>
  <c r="M90" i="5" s="1"/>
  <c r="BF89" i="3"/>
  <c r="BT89" i="3"/>
  <c r="AU89" i="3"/>
  <c r="BC89" i="3"/>
  <c r="DX89" i="3" s="1"/>
  <c r="AS89" i="5"/>
  <c r="N89" i="5"/>
  <c r="G89" i="5"/>
  <c r="M89" i="5" s="1"/>
  <c r="BF88" i="3"/>
  <c r="BT88" i="3"/>
  <c r="AU88" i="3"/>
  <c r="BC88" i="3"/>
  <c r="DX88" i="3" s="1"/>
  <c r="AS88" i="5"/>
  <c r="N88" i="5"/>
  <c r="G88" i="5"/>
  <c r="M88" i="5" s="1"/>
  <c r="BF87" i="3"/>
  <c r="BT87" i="3"/>
  <c r="AU87" i="3"/>
  <c r="BC87" i="3"/>
  <c r="DX87" i="3" s="1"/>
  <c r="AS87" i="5"/>
  <c r="N87" i="5"/>
  <c r="G87" i="5"/>
  <c r="M87" i="5" s="1"/>
  <c r="BF86" i="3"/>
  <c r="BT86" i="3"/>
  <c r="AU86" i="3"/>
  <c r="BC86" i="3"/>
  <c r="DX86" i="3" s="1"/>
  <c r="AS86" i="5"/>
  <c r="N86" i="5"/>
  <c r="G86" i="5"/>
  <c r="M86" i="5" s="1"/>
  <c r="BF85" i="3"/>
  <c r="BT85" i="3"/>
  <c r="AU85" i="3"/>
  <c r="BC85" i="3"/>
  <c r="DX85" i="3" s="1"/>
  <c r="AS85" i="5"/>
  <c r="N85" i="5"/>
  <c r="G85" i="5"/>
  <c r="M85" i="5" s="1"/>
  <c r="BF84" i="3"/>
  <c r="BT84" i="3"/>
  <c r="AU84" i="3"/>
  <c r="BC84" i="3"/>
  <c r="DX84" i="3" s="1"/>
  <c r="AS84" i="5"/>
  <c r="N84" i="5"/>
  <c r="G84" i="5"/>
  <c r="BF83" i="3"/>
  <c r="BT83" i="3"/>
  <c r="AU83" i="3"/>
  <c r="BC83" i="3"/>
  <c r="DX83" i="3" s="1"/>
  <c r="AS83" i="5"/>
  <c r="N83" i="5"/>
  <c r="G83" i="5"/>
  <c r="M83" i="5" s="1"/>
  <c r="BF82" i="3"/>
  <c r="BT82" i="3"/>
  <c r="AU82" i="3"/>
  <c r="BC82" i="3"/>
  <c r="DX82" i="3" s="1"/>
  <c r="AS82" i="5"/>
  <c r="N82" i="5"/>
  <c r="G82" i="5"/>
  <c r="M82" i="5" s="1"/>
  <c r="BF81" i="3"/>
  <c r="BT81" i="3"/>
  <c r="AU81" i="3"/>
  <c r="BC81" i="3"/>
  <c r="DX81" i="3" s="1"/>
  <c r="AS81" i="5"/>
  <c r="N81" i="5"/>
  <c r="G81" i="5"/>
  <c r="BF80" i="3"/>
  <c r="BT80" i="3"/>
  <c r="AU80" i="3"/>
  <c r="BC80" i="3"/>
  <c r="DX80" i="3" s="1"/>
  <c r="AS80" i="5"/>
  <c r="N80" i="5"/>
  <c r="G80" i="5"/>
  <c r="M80" i="5" s="1"/>
  <c r="BF79" i="3"/>
  <c r="BT79" i="3"/>
  <c r="AU79" i="3"/>
  <c r="BC79" i="3"/>
  <c r="DX79" i="3" s="1"/>
  <c r="AS79" i="5"/>
  <c r="N79" i="5"/>
  <c r="G79" i="5"/>
  <c r="BF78" i="3"/>
  <c r="BT78" i="3"/>
  <c r="AU78" i="3"/>
  <c r="BC78" i="3"/>
  <c r="DX78" i="3" s="1"/>
  <c r="AS78" i="5"/>
  <c r="N78" i="5"/>
  <c r="G78" i="5"/>
  <c r="M78" i="5" s="1"/>
  <c r="BF77" i="3"/>
  <c r="BT77" i="3"/>
  <c r="AU77" i="3"/>
  <c r="BC77" i="3"/>
  <c r="DX77" i="3" s="1"/>
  <c r="AS77" i="5"/>
  <c r="N77" i="5"/>
  <c r="G77" i="5"/>
  <c r="M77" i="5" s="1"/>
  <c r="BF76" i="3"/>
  <c r="BT76" i="3"/>
  <c r="AU76" i="3"/>
  <c r="BC76" i="3"/>
  <c r="DX76" i="3" s="1"/>
  <c r="AS76" i="5"/>
  <c r="N76" i="5"/>
  <c r="G76" i="5"/>
  <c r="M76" i="5" s="1"/>
  <c r="BF75" i="3"/>
  <c r="BT75" i="3"/>
  <c r="AU75" i="3"/>
  <c r="BC75" i="3"/>
  <c r="DX75" i="3" s="1"/>
  <c r="AS75" i="5"/>
  <c r="N75" i="5"/>
  <c r="G75" i="5"/>
  <c r="M75" i="5" s="1"/>
  <c r="BF74" i="3"/>
  <c r="BT74" i="3"/>
  <c r="AU74" i="3"/>
  <c r="BC74" i="3"/>
  <c r="DX74" i="3" s="1"/>
  <c r="AS74" i="5"/>
  <c r="N74" i="5"/>
  <c r="G74" i="5"/>
  <c r="M74" i="5" s="1"/>
  <c r="BF73" i="3"/>
  <c r="BT73" i="3"/>
  <c r="AU73" i="3"/>
  <c r="BC73" i="3"/>
  <c r="DX73" i="3" s="1"/>
  <c r="AS73" i="5"/>
  <c r="N73" i="5"/>
  <c r="G73" i="5"/>
  <c r="M73" i="5" s="1"/>
  <c r="BF72" i="3"/>
  <c r="BT72" i="3"/>
  <c r="AU72" i="3"/>
  <c r="BC72" i="3"/>
  <c r="DX72" i="3" s="1"/>
  <c r="AS72" i="5"/>
  <c r="N72" i="5"/>
  <c r="G72" i="5"/>
  <c r="M72" i="5" s="1"/>
  <c r="BF71" i="3"/>
  <c r="BT71" i="3"/>
  <c r="AU71" i="3"/>
  <c r="BC71" i="3"/>
  <c r="DX71" i="3" s="1"/>
  <c r="AS71" i="5"/>
  <c r="N71" i="5"/>
  <c r="G71" i="5"/>
  <c r="M71" i="5" s="1"/>
  <c r="BF70" i="3"/>
  <c r="BT70" i="3"/>
  <c r="AU70" i="3"/>
  <c r="BC70" i="3"/>
  <c r="DX70" i="3" s="1"/>
  <c r="AS70" i="5"/>
  <c r="N70" i="5"/>
  <c r="G70" i="5"/>
  <c r="M70" i="5" s="1"/>
  <c r="BF69" i="3"/>
  <c r="BT69" i="3"/>
  <c r="AU69" i="3"/>
  <c r="BC69" i="3"/>
  <c r="DX69" i="3" s="1"/>
  <c r="AS69" i="5"/>
  <c r="N69" i="5"/>
  <c r="G69" i="5"/>
  <c r="M69" i="5" s="1"/>
  <c r="BF68" i="3"/>
  <c r="BT68" i="3"/>
  <c r="AU68" i="3"/>
  <c r="BC68" i="3"/>
  <c r="DX68" i="3" s="1"/>
  <c r="AS68" i="5"/>
  <c r="N68" i="5"/>
  <c r="G68" i="5"/>
  <c r="BF67" i="3"/>
  <c r="BT67" i="3"/>
  <c r="AU67" i="3"/>
  <c r="BC67" i="3"/>
  <c r="DX67" i="3" s="1"/>
  <c r="AS67" i="5"/>
  <c r="N67" i="5"/>
  <c r="G67" i="5"/>
  <c r="M67" i="5" s="1"/>
  <c r="BF66" i="3"/>
  <c r="BT66" i="3"/>
  <c r="AU66" i="3"/>
  <c r="BC66" i="3"/>
  <c r="DX66" i="3" s="1"/>
  <c r="AS66" i="5"/>
  <c r="N66" i="5"/>
  <c r="G66" i="5"/>
  <c r="M66" i="5" s="1"/>
  <c r="BF65" i="3"/>
  <c r="BT65" i="3"/>
  <c r="AU65" i="3"/>
  <c r="BC65" i="3"/>
  <c r="DX65" i="3" s="1"/>
  <c r="AS65" i="5"/>
  <c r="N65" i="5"/>
  <c r="G65" i="5"/>
  <c r="M65" i="5" s="1"/>
  <c r="BF64" i="3"/>
  <c r="BT64" i="3"/>
  <c r="AU64" i="3"/>
  <c r="BC64" i="3"/>
  <c r="DX64" i="3" s="1"/>
  <c r="AS64" i="5"/>
  <c r="N64" i="5"/>
  <c r="G64" i="5"/>
  <c r="M64" i="5" s="1"/>
  <c r="BF63" i="3"/>
  <c r="BT63" i="3"/>
  <c r="AU63" i="3"/>
  <c r="BC63" i="3"/>
  <c r="DX63" i="3" s="1"/>
  <c r="AS63" i="5"/>
  <c r="N63" i="5"/>
  <c r="G63" i="5"/>
  <c r="M63" i="5" s="1"/>
  <c r="BF62" i="3"/>
  <c r="BT62" i="3"/>
  <c r="AU62" i="3"/>
  <c r="BC62" i="3"/>
  <c r="DX62" i="3" s="1"/>
  <c r="AS62" i="5"/>
  <c r="N62" i="5"/>
  <c r="G62" i="5"/>
  <c r="M62" i="5" s="1"/>
  <c r="BF61" i="3"/>
  <c r="BT61" i="3"/>
  <c r="AU61" i="3"/>
  <c r="BC61" i="3"/>
  <c r="DX61" i="3" s="1"/>
  <c r="AS61" i="5"/>
  <c r="N61" i="5"/>
  <c r="G61" i="5"/>
  <c r="M61" i="5" s="1"/>
  <c r="BF60" i="3"/>
  <c r="BT60" i="3"/>
  <c r="AU60" i="3"/>
  <c r="BC60" i="3"/>
  <c r="DX60" i="3" s="1"/>
  <c r="AS60" i="5"/>
  <c r="N60" i="5"/>
  <c r="G60" i="5"/>
  <c r="M60" i="5" s="1"/>
  <c r="BF59" i="3"/>
  <c r="BT59" i="3"/>
  <c r="AU59" i="3"/>
  <c r="BC59" i="3"/>
  <c r="DX59" i="3" s="1"/>
  <c r="AS59" i="5"/>
  <c r="N59" i="5"/>
  <c r="G59" i="5"/>
  <c r="M59" i="5" s="1"/>
  <c r="BF58" i="3"/>
  <c r="BT58" i="3"/>
  <c r="AU58" i="3"/>
  <c r="BC58" i="3"/>
  <c r="DX58" i="3" s="1"/>
  <c r="AS58" i="5"/>
  <c r="N58" i="5"/>
  <c r="G58" i="5"/>
  <c r="M58" i="5" s="1"/>
  <c r="BF57" i="3"/>
  <c r="BT57" i="3"/>
  <c r="AU57" i="3"/>
  <c r="BC57" i="3"/>
  <c r="DX57" i="3" s="1"/>
  <c r="AS57" i="5"/>
  <c r="N57" i="5"/>
  <c r="G57" i="5"/>
  <c r="M57" i="5" s="1"/>
  <c r="BF56" i="3"/>
  <c r="BT56" i="3"/>
  <c r="AU56" i="3"/>
  <c r="BC56" i="3"/>
  <c r="DX56" i="3" s="1"/>
  <c r="AS56" i="5"/>
  <c r="N56" i="5"/>
  <c r="G56" i="5"/>
  <c r="M56" i="5" s="1"/>
  <c r="BF55" i="3"/>
  <c r="BT55" i="3"/>
  <c r="AU55" i="3"/>
  <c r="BC55" i="3"/>
  <c r="DX55" i="3" s="1"/>
  <c r="AS55" i="5"/>
  <c r="N55" i="5"/>
  <c r="G55" i="5"/>
  <c r="M55" i="5" s="1"/>
  <c r="BF54" i="3"/>
  <c r="BT54" i="3"/>
  <c r="AU54" i="3"/>
  <c r="BC54" i="3"/>
  <c r="DX54" i="3" s="1"/>
  <c r="AS54" i="5"/>
  <c r="N54" i="5"/>
  <c r="G54" i="5"/>
  <c r="M54" i="5" s="1"/>
  <c r="BF53" i="3"/>
  <c r="BT53" i="3"/>
  <c r="AU53" i="3"/>
  <c r="BC53" i="3"/>
  <c r="DX53" i="3" s="1"/>
  <c r="AS53" i="5"/>
  <c r="N53" i="5"/>
  <c r="G53" i="5"/>
  <c r="M53" i="5" s="1"/>
  <c r="BF52" i="3"/>
  <c r="BT52" i="3"/>
  <c r="AU52" i="3"/>
  <c r="BC52" i="3"/>
  <c r="DX52" i="3" s="1"/>
  <c r="AS52" i="5"/>
  <c r="N52" i="5"/>
  <c r="G52" i="5"/>
  <c r="M52" i="5" s="1"/>
  <c r="BF51" i="3"/>
  <c r="BT51" i="3"/>
  <c r="AU51" i="3"/>
  <c r="BC51" i="3"/>
  <c r="DX51" i="3" s="1"/>
  <c r="AS51" i="5"/>
  <c r="N51" i="5"/>
  <c r="G51" i="5"/>
  <c r="M51" i="5" s="1"/>
  <c r="BF50" i="3"/>
  <c r="BT50" i="3"/>
  <c r="AU50" i="3"/>
  <c r="BC50" i="3"/>
  <c r="DX50" i="3" s="1"/>
  <c r="AS50" i="5"/>
  <c r="N50" i="5"/>
  <c r="G50" i="5"/>
  <c r="M50" i="5" s="1"/>
  <c r="BF49" i="3"/>
  <c r="BT49" i="3"/>
  <c r="AU49" i="3"/>
  <c r="R352" i="13" s="1"/>
  <c r="BC49" i="3"/>
  <c r="DX49" i="3" s="1"/>
  <c r="AS49" i="5"/>
  <c r="N49" i="5"/>
  <c r="G49" i="5"/>
  <c r="M49" i="5" s="1"/>
  <c r="BF48" i="3"/>
  <c r="BT48" i="3"/>
  <c r="AU48" i="3"/>
  <c r="R351" i="13" s="1"/>
  <c r="BC48" i="3"/>
  <c r="DX48" i="3" s="1"/>
  <c r="AS48" i="5"/>
  <c r="N48" i="5"/>
  <c r="G48" i="5"/>
  <c r="M48" i="5" s="1"/>
  <c r="BF47" i="3"/>
  <c r="BT47" i="3"/>
  <c r="AU47" i="3"/>
  <c r="R350" i="13" s="1"/>
  <c r="BC47" i="3"/>
  <c r="DX47" i="3" s="1"/>
  <c r="AS47" i="5"/>
  <c r="N47" i="5"/>
  <c r="G47" i="5"/>
  <c r="M47" i="5" s="1"/>
  <c r="BF46" i="3"/>
  <c r="BT46" i="3"/>
  <c r="AU46" i="3"/>
  <c r="R349" i="13" s="1"/>
  <c r="BC46" i="3"/>
  <c r="DX46" i="3" s="1"/>
  <c r="AS46" i="5"/>
  <c r="N46" i="5"/>
  <c r="G46" i="5"/>
  <c r="M46" i="5" s="1"/>
  <c r="BF45" i="3"/>
  <c r="BT45" i="3"/>
  <c r="AU45" i="3"/>
  <c r="R348" i="13" s="1"/>
  <c r="BC45" i="3"/>
  <c r="AS45" i="5"/>
  <c r="N45" i="5"/>
  <c r="G45" i="5"/>
  <c r="M45" i="5" s="1"/>
  <c r="BF44" i="3"/>
  <c r="BT44" i="3"/>
  <c r="AU44" i="3"/>
  <c r="R347" i="13" s="1"/>
  <c r="BC44" i="3"/>
  <c r="DX44" i="3" s="1"/>
  <c r="AS44" i="5"/>
  <c r="N44" i="5"/>
  <c r="G44" i="5"/>
  <c r="M44" i="5" s="1"/>
  <c r="BF43" i="3"/>
  <c r="BT43" i="3"/>
  <c r="AU43" i="3"/>
  <c r="R346" i="13" s="1"/>
  <c r="BC43" i="3"/>
  <c r="DX43" i="3" s="1"/>
  <c r="AS43" i="5"/>
  <c r="N43" i="5"/>
  <c r="G43" i="5"/>
  <c r="M43" i="5" s="1"/>
  <c r="BF42" i="3"/>
  <c r="BT42" i="3"/>
  <c r="AU42" i="3"/>
  <c r="R345" i="13" s="1"/>
  <c r="BC42" i="3"/>
  <c r="DX42" i="3" s="1"/>
  <c r="AS42" i="5"/>
  <c r="N42" i="5"/>
  <c r="G42" i="5"/>
  <c r="M42" i="5" s="1"/>
  <c r="BF41" i="3"/>
  <c r="BT41" i="3"/>
  <c r="AU41" i="3"/>
  <c r="R344" i="13" s="1"/>
  <c r="BC41" i="3"/>
  <c r="DX41" i="3" s="1"/>
  <c r="AS41" i="5"/>
  <c r="N41" i="5"/>
  <c r="G41" i="5"/>
  <c r="M41" i="5" s="1"/>
  <c r="BF40" i="3"/>
  <c r="BT40" i="3"/>
  <c r="AU40" i="3"/>
  <c r="R343" i="13" s="1"/>
  <c r="BC40" i="3"/>
  <c r="DX40" i="3" s="1"/>
  <c r="AS40" i="5"/>
  <c r="N40" i="5"/>
  <c r="G40" i="5"/>
  <c r="M40" i="5" s="1"/>
  <c r="BF39" i="3"/>
  <c r="BT39" i="3"/>
  <c r="AU39" i="3"/>
  <c r="R342" i="13" s="1"/>
  <c r="BC39" i="3"/>
  <c r="DX39" i="3" s="1"/>
  <c r="AS39" i="5"/>
  <c r="N39" i="5"/>
  <c r="G39" i="5"/>
  <c r="M39" i="5" s="1"/>
  <c r="BF38" i="3"/>
  <c r="BT38" i="3"/>
  <c r="AU38" i="3"/>
  <c r="R341" i="13" s="1"/>
  <c r="BC38" i="3"/>
  <c r="AS38" i="5"/>
  <c r="N38" i="5"/>
  <c r="G38" i="5"/>
  <c r="BF37" i="3"/>
  <c r="BT37" i="3"/>
  <c r="AU37" i="3"/>
  <c r="R340" i="13" s="1"/>
  <c r="BC37" i="3"/>
  <c r="DX37" i="3" s="1"/>
  <c r="AS37" i="5"/>
  <c r="N37" i="5"/>
  <c r="G37" i="5"/>
  <c r="M37" i="5" s="1"/>
  <c r="BF36" i="3"/>
  <c r="BT36" i="3"/>
  <c r="AU36" i="3"/>
  <c r="R339" i="13" s="1"/>
  <c r="BC36" i="3"/>
  <c r="DX36" i="3" s="1"/>
  <c r="AS36" i="5"/>
  <c r="N36" i="5"/>
  <c r="G36" i="5"/>
  <c r="BF35" i="3"/>
  <c r="BT35" i="3"/>
  <c r="AU35" i="3"/>
  <c r="R338" i="13" s="1"/>
  <c r="BC35" i="3"/>
  <c r="DX35" i="3" s="1"/>
  <c r="AS35" i="5"/>
  <c r="N35" i="5"/>
  <c r="G35" i="5"/>
  <c r="M35" i="5" s="1"/>
  <c r="BF34" i="3"/>
  <c r="BT34" i="3"/>
  <c r="AU34" i="3"/>
  <c r="R337" i="13" s="1"/>
  <c r="BC34" i="3"/>
  <c r="DX34" i="3" s="1"/>
  <c r="AS34" i="5"/>
  <c r="N34" i="5"/>
  <c r="G34" i="5"/>
  <c r="M34" i="5" s="1"/>
  <c r="BF33" i="3"/>
  <c r="BT33" i="3"/>
  <c r="AU33" i="3"/>
  <c r="R336" i="13" s="1"/>
  <c r="BC33" i="3"/>
  <c r="DX33" i="3" s="1"/>
  <c r="AS33" i="5"/>
  <c r="N33" i="5"/>
  <c r="G33" i="5"/>
  <c r="M33" i="5" s="1"/>
  <c r="BF32" i="3"/>
  <c r="BT32" i="3"/>
  <c r="AU32" i="3"/>
  <c r="R335" i="13" s="1"/>
  <c r="BC32" i="3"/>
  <c r="DX32" i="3" s="1"/>
  <c r="AS32" i="5"/>
  <c r="N32" i="5"/>
  <c r="G32" i="5"/>
  <c r="M32" i="5" s="1"/>
  <c r="BF31" i="3"/>
  <c r="BT31" i="3"/>
  <c r="AU31" i="3"/>
  <c r="R334" i="13" s="1"/>
  <c r="BC31" i="3"/>
  <c r="DX31" i="3" s="1"/>
  <c r="AS31" i="5"/>
  <c r="N31" i="5"/>
  <c r="G31" i="5"/>
  <c r="M31" i="5" s="1"/>
  <c r="BF30" i="3"/>
  <c r="BT30" i="3"/>
  <c r="AU30" i="3"/>
  <c r="AV30" i="3" s="1"/>
  <c r="BC30" i="3"/>
  <c r="AS30" i="5"/>
  <c r="N30" i="5"/>
  <c r="G30" i="5"/>
  <c r="BF29" i="3"/>
  <c r="BT29" i="3"/>
  <c r="G29" i="5"/>
  <c r="AS29" i="5"/>
  <c r="N29" i="5"/>
  <c r="BF28" i="3"/>
  <c r="BT28" i="3"/>
  <c r="G28" i="5"/>
  <c r="AS28" i="5"/>
  <c r="N28" i="5"/>
  <c r="BF27" i="3"/>
  <c r="BT27" i="3"/>
  <c r="G27" i="5"/>
  <c r="AS27" i="5"/>
  <c r="N27" i="5"/>
  <c r="BF26" i="3"/>
  <c r="BT26" i="3"/>
  <c r="G26" i="5"/>
  <c r="AS26" i="5"/>
  <c r="N26" i="5"/>
  <c r="BF25" i="3"/>
  <c r="BT25" i="3"/>
  <c r="G25" i="5"/>
  <c r="AS25" i="5"/>
  <c r="N25" i="5"/>
  <c r="BF24" i="3"/>
  <c r="BT24" i="3"/>
  <c r="G24" i="5"/>
  <c r="AS24" i="5"/>
  <c r="N24" i="5"/>
  <c r="AS23" i="5"/>
  <c r="N23" i="5"/>
  <c r="AS22" i="5"/>
  <c r="N22" i="5"/>
  <c r="BF21" i="3"/>
  <c r="BT21" i="3"/>
  <c r="G21" i="5"/>
  <c r="AS21" i="5"/>
  <c r="N21" i="5"/>
  <c r="BF20" i="3"/>
  <c r="BT20" i="3"/>
  <c r="G20" i="5"/>
  <c r="M20" i="5" s="1"/>
  <c r="AS20" i="5"/>
  <c r="N20" i="5"/>
  <c r="BF19" i="3"/>
  <c r="BT19" i="3"/>
  <c r="G19" i="5"/>
  <c r="AS19" i="5"/>
  <c r="N19" i="5"/>
  <c r="BF18" i="3"/>
  <c r="BT18" i="3"/>
  <c r="G18" i="5"/>
  <c r="AS18" i="5"/>
  <c r="N18" i="5"/>
  <c r="BF17" i="3"/>
  <c r="BT17" i="3"/>
  <c r="G17" i="5"/>
  <c r="AS17" i="5"/>
  <c r="N17" i="5"/>
  <c r="BF16" i="3"/>
  <c r="BT16" i="3"/>
  <c r="G16" i="5"/>
  <c r="AS16" i="5"/>
  <c r="N16" i="5"/>
  <c r="BF15" i="3"/>
  <c r="BT15" i="3"/>
  <c r="G15" i="5"/>
  <c r="AS15" i="5"/>
  <c r="N15" i="5"/>
  <c r="BF14" i="3"/>
  <c r="BT14" i="3"/>
  <c r="G14" i="5"/>
  <c r="AS14" i="5"/>
  <c r="N14" i="5"/>
  <c r="BF13" i="3"/>
  <c r="CF13" i="3" s="1"/>
  <c r="G13" i="5"/>
  <c r="AS13" i="5"/>
  <c r="N13" i="5"/>
  <c r="BF12" i="3"/>
  <c r="BT12" i="3"/>
  <c r="G12" i="5"/>
  <c r="AS12" i="5"/>
  <c r="N12" i="5"/>
  <c r="BF11" i="3"/>
  <c r="BT11" i="3"/>
  <c r="G11" i="5"/>
  <c r="AS11" i="5"/>
  <c r="N11" i="5"/>
  <c r="BF10" i="3"/>
  <c r="BT10" i="3"/>
  <c r="G10" i="5"/>
  <c r="AS10" i="5"/>
  <c r="N10" i="5"/>
  <c r="AS9" i="5"/>
  <c r="N9" i="5"/>
  <c r="DN182" i="3"/>
  <c r="EJ10" i="3" s="1"/>
  <c r="EJ308" i="3"/>
  <c r="EJ307" i="3"/>
  <c r="EJ306" i="3"/>
  <c r="EJ305" i="3"/>
  <c r="EJ304" i="3"/>
  <c r="EJ303" i="3"/>
  <c r="EJ302" i="3"/>
  <c r="EJ301" i="3"/>
  <c r="EJ300" i="3"/>
  <c r="EJ299" i="3"/>
  <c r="EJ298" i="3"/>
  <c r="EJ297" i="3"/>
  <c r="EJ296" i="3"/>
  <c r="EJ295" i="3"/>
  <c r="EJ294" i="3"/>
  <c r="EJ293" i="3"/>
  <c r="EJ292" i="3"/>
  <c r="EJ291" i="3"/>
  <c r="EJ290" i="3"/>
  <c r="EJ289" i="3"/>
  <c r="EJ288" i="3"/>
  <c r="EJ287" i="3"/>
  <c r="EJ286" i="3"/>
  <c r="EJ285" i="3"/>
  <c r="EJ284" i="3"/>
  <c r="EJ283" i="3"/>
  <c r="EJ282" i="3"/>
  <c r="EJ281" i="3"/>
  <c r="EJ280" i="3"/>
  <c r="EJ279" i="3"/>
  <c r="EJ278" i="3"/>
  <c r="EJ277" i="3"/>
  <c r="EJ276" i="3"/>
  <c r="EJ275" i="3"/>
  <c r="EJ274" i="3"/>
  <c r="EJ273" i="3"/>
  <c r="EJ272" i="3"/>
  <c r="EJ271" i="3"/>
  <c r="EJ270" i="3"/>
  <c r="EJ269" i="3"/>
  <c r="EJ268" i="3"/>
  <c r="EJ267" i="3"/>
  <c r="EJ266" i="3"/>
  <c r="EJ265" i="3"/>
  <c r="EJ264" i="3"/>
  <c r="EJ263" i="3"/>
  <c r="EJ262" i="3"/>
  <c r="EJ261" i="3"/>
  <c r="EJ260" i="3"/>
  <c r="EJ259" i="3"/>
  <c r="EJ258" i="3"/>
  <c r="EJ257" i="3"/>
  <c r="EJ256" i="3"/>
  <c r="EJ255" i="3"/>
  <c r="EJ254" i="3"/>
  <c r="EJ253" i="3"/>
  <c r="EJ252" i="3"/>
  <c r="EJ251" i="3"/>
  <c r="EJ250" i="3"/>
  <c r="EJ249" i="3"/>
  <c r="EJ248" i="3"/>
  <c r="EJ247" i="3"/>
  <c r="EJ246" i="3"/>
  <c r="EJ245" i="3"/>
  <c r="EJ244" i="3"/>
  <c r="EJ243" i="3"/>
  <c r="EJ242" i="3"/>
  <c r="EJ241" i="3"/>
  <c r="EJ240" i="3"/>
  <c r="EJ239" i="3"/>
  <c r="EJ238" i="3"/>
  <c r="EJ237" i="3"/>
  <c r="EJ236" i="3"/>
  <c r="EJ235" i="3"/>
  <c r="EJ234" i="3"/>
  <c r="EJ233" i="3"/>
  <c r="EJ232" i="3"/>
  <c r="EJ231" i="3"/>
  <c r="EJ230" i="3"/>
  <c r="EJ229" i="3"/>
  <c r="EJ228" i="3"/>
  <c r="EJ227" i="3"/>
  <c r="EJ226" i="3"/>
  <c r="EJ225" i="3"/>
  <c r="EJ224" i="3"/>
  <c r="EJ223" i="3"/>
  <c r="EJ222" i="3"/>
  <c r="EJ221" i="3"/>
  <c r="EJ220" i="3"/>
  <c r="EJ219" i="3"/>
  <c r="EJ218" i="3"/>
  <c r="EJ217" i="3"/>
  <c r="EJ216" i="3"/>
  <c r="EJ215" i="3"/>
  <c r="EJ214" i="3"/>
  <c r="EJ213" i="3"/>
  <c r="EJ212" i="3"/>
  <c r="EJ211" i="3"/>
  <c r="EJ210" i="3"/>
  <c r="EJ209" i="3"/>
  <c r="EJ208" i="3"/>
  <c r="EJ207" i="3"/>
  <c r="EJ206" i="3"/>
  <c r="EJ205" i="3"/>
  <c r="EJ204" i="3"/>
  <c r="EJ203" i="3"/>
  <c r="EJ202" i="3"/>
  <c r="EJ201" i="3"/>
  <c r="EJ200" i="3"/>
  <c r="EJ199" i="3"/>
  <c r="EJ198" i="3"/>
  <c r="EJ197" i="3"/>
  <c r="EJ196" i="3"/>
  <c r="EJ195" i="3"/>
  <c r="EJ194" i="3"/>
  <c r="EJ193" i="3"/>
  <c r="EJ192" i="3"/>
  <c r="EJ191" i="3"/>
  <c r="EJ190" i="3"/>
  <c r="EJ189" i="3"/>
  <c r="EJ188" i="3"/>
  <c r="EJ187" i="3"/>
  <c r="EJ186" i="3"/>
  <c r="EJ185" i="3"/>
  <c r="EJ184" i="3"/>
  <c r="EJ183" i="3"/>
  <c r="EJ182" i="3"/>
  <c r="EJ181" i="3"/>
  <c r="EJ180" i="3"/>
  <c r="EJ179" i="3"/>
  <c r="EJ178" i="3"/>
  <c r="EJ177" i="3"/>
  <c r="EJ176" i="3"/>
  <c r="EJ175" i="3"/>
  <c r="EJ174" i="3"/>
  <c r="EJ173" i="3"/>
  <c r="EJ172" i="3"/>
  <c r="EJ171" i="3"/>
  <c r="EJ170" i="3"/>
  <c r="EJ169" i="3"/>
  <c r="EJ168" i="3"/>
  <c r="EJ167" i="3"/>
  <c r="EJ166" i="3"/>
  <c r="EJ165" i="3"/>
  <c r="EJ164" i="3"/>
  <c r="EJ163" i="3"/>
  <c r="EJ162" i="3"/>
  <c r="EJ161" i="3"/>
  <c r="EJ160" i="3"/>
  <c r="EJ159" i="3"/>
  <c r="EJ158" i="3"/>
  <c r="EJ157" i="3"/>
  <c r="EJ156" i="3"/>
  <c r="EJ155" i="3"/>
  <c r="EJ154" i="3"/>
  <c r="EJ153" i="3"/>
  <c r="EJ152" i="3"/>
  <c r="EJ151" i="3"/>
  <c r="EJ150" i="3"/>
  <c r="EJ149" i="3"/>
  <c r="EJ148" i="3"/>
  <c r="EJ147" i="3"/>
  <c r="EJ146" i="3"/>
  <c r="EJ145" i="3"/>
  <c r="EJ144" i="3"/>
  <c r="EJ143" i="3"/>
  <c r="EJ142" i="3"/>
  <c r="EJ141" i="3"/>
  <c r="EJ140" i="3"/>
  <c r="EJ139" i="3"/>
  <c r="EJ138" i="3"/>
  <c r="EJ137" i="3"/>
  <c r="EJ136" i="3"/>
  <c r="EJ135" i="3"/>
  <c r="EJ134" i="3"/>
  <c r="EJ133" i="3"/>
  <c r="EJ132" i="3"/>
  <c r="EJ131" i="3"/>
  <c r="EJ130" i="3"/>
  <c r="EJ129" i="3"/>
  <c r="EJ128" i="3"/>
  <c r="EJ127" i="3"/>
  <c r="EJ126" i="3"/>
  <c r="EJ125" i="3"/>
  <c r="EJ124" i="3"/>
  <c r="EJ123" i="3"/>
  <c r="EJ122" i="3"/>
  <c r="EJ121" i="3"/>
  <c r="EJ120" i="3"/>
  <c r="EJ119" i="3"/>
  <c r="EJ118" i="3"/>
  <c r="EJ117" i="3"/>
  <c r="EJ116" i="3"/>
  <c r="EJ115" i="3"/>
  <c r="EJ114" i="3"/>
  <c r="EJ113" i="3"/>
  <c r="EJ112" i="3"/>
  <c r="EJ111" i="3"/>
  <c r="EJ110" i="3"/>
  <c r="EJ109" i="3"/>
  <c r="EJ108" i="3"/>
  <c r="EJ107" i="3"/>
  <c r="EJ106" i="3"/>
  <c r="EJ105" i="3"/>
  <c r="EJ104" i="3"/>
  <c r="EJ103" i="3"/>
  <c r="EJ102" i="3"/>
  <c r="EJ101" i="3"/>
  <c r="EJ100" i="3"/>
  <c r="EJ99" i="3"/>
  <c r="EJ98" i="3"/>
  <c r="EJ97" i="3"/>
  <c r="EJ96" i="3"/>
  <c r="EJ95" i="3"/>
  <c r="EJ94" i="3"/>
  <c r="EJ93" i="3"/>
  <c r="EJ92" i="3"/>
  <c r="EJ91" i="3"/>
  <c r="EJ90" i="3"/>
  <c r="EJ89" i="3"/>
  <c r="EJ88" i="3"/>
  <c r="EJ87" i="3"/>
  <c r="EJ86" i="3"/>
  <c r="EJ85" i="3"/>
  <c r="EJ84" i="3"/>
  <c r="EJ83" i="3"/>
  <c r="EJ82" i="3"/>
  <c r="EJ81" i="3"/>
  <c r="EJ80" i="3"/>
  <c r="EJ79" i="3"/>
  <c r="EJ78" i="3"/>
  <c r="EJ77" i="3"/>
  <c r="EJ76" i="3"/>
  <c r="EJ75" i="3"/>
  <c r="EJ74" i="3"/>
  <c r="EJ73" i="3"/>
  <c r="EJ72" i="3"/>
  <c r="EJ71" i="3"/>
  <c r="EJ70" i="3"/>
  <c r="EJ69" i="3"/>
  <c r="EJ68" i="3"/>
  <c r="EJ67" i="3"/>
  <c r="EJ66" i="3"/>
  <c r="EJ65" i="3"/>
  <c r="EJ64" i="3"/>
  <c r="EJ63" i="3"/>
  <c r="EJ62" i="3"/>
  <c r="EJ61" i="3"/>
  <c r="EJ60" i="3"/>
  <c r="EJ59" i="3"/>
  <c r="EJ58" i="3"/>
  <c r="EJ57" i="3"/>
  <c r="EJ56" i="3"/>
  <c r="EJ55" i="3"/>
  <c r="EJ54" i="3"/>
  <c r="EJ53" i="3"/>
  <c r="EJ52" i="3"/>
  <c r="EJ51" i="3"/>
  <c r="EJ50" i="3"/>
  <c r="EJ49" i="3"/>
  <c r="EJ48" i="3"/>
  <c r="EJ47" i="3"/>
  <c r="EJ46" i="3"/>
  <c r="EJ45" i="3"/>
  <c r="EJ44" i="3"/>
  <c r="EJ43" i="3"/>
  <c r="EJ42" i="3"/>
  <c r="EJ41" i="3"/>
  <c r="EJ40" i="3"/>
  <c r="EJ39" i="3"/>
  <c r="EJ38" i="3"/>
  <c r="EJ37" i="3"/>
  <c r="EJ36" i="3"/>
  <c r="EJ35" i="3"/>
  <c r="EJ34" i="3"/>
  <c r="EJ31" i="3"/>
  <c r="EJ30" i="3"/>
  <c r="DN202" i="3"/>
  <c r="DN201" i="3"/>
  <c r="DN198" i="3"/>
  <c r="DN183" i="3"/>
  <c r="AJ408" i="5"/>
  <c r="AJ407" i="5"/>
  <c r="AJ406" i="5"/>
  <c r="AJ405" i="5"/>
  <c r="AJ404" i="5"/>
  <c r="AJ403" i="5"/>
  <c r="AJ402" i="5"/>
  <c r="AJ401" i="5"/>
  <c r="AJ400" i="5"/>
  <c r="AJ399" i="5"/>
  <c r="AJ398" i="5"/>
  <c r="AJ397" i="5"/>
  <c r="AJ396" i="5"/>
  <c r="AJ395" i="5"/>
  <c r="AJ394" i="5"/>
  <c r="AJ393" i="5"/>
  <c r="AJ392" i="5"/>
  <c r="AJ391" i="5"/>
  <c r="AJ390" i="5"/>
  <c r="AJ389" i="5"/>
  <c r="AJ388" i="5"/>
  <c r="AJ387" i="5"/>
  <c r="AJ386" i="5"/>
  <c r="AJ385" i="5"/>
  <c r="AJ384" i="5"/>
  <c r="AJ383" i="5"/>
  <c r="AJ382" i="5"/>
  <c r="AJ381" i="5"/>
  <c r="AJ380" i="5"/>
  <c r="AJ379" i="5"/>
  <c r="AJ378" i="5"/>
  <c r="AJ377" i="5"/>
  <c r="AJ376" i="5"/>
  <c r="AJ375" i="5"/>
  <c r="AJ374" i="5"/>
  <c r="AJ373" i="5"/>
  <c r="AJ372" i="5"/>
  <c r="AJ371" i="5"/>
  <c r="AJ370" i="5"/>
  <c r="AJ369" i="5"/>
  <c r="AJ368" i="5"/>
  <c r="AJ367" i="5"/>
  <c r="AJ366" i="5"/>
  <c r="AJ365" i="5"/>
  <c r="AJ364" i="5"/>
  <c r="AJ363" i="5"/>
  <c r="AJ362" i="5"/>
  <c r="AJ361" i="5"/>
  <c r="AJ360" i="5"/>
  <c r="AJ359" i="5"/>
  <c r="AJ358" i="5"/>
  <c r="AJ357" i="5"/>
  <c r="AJ356" i="5"/>
  <c r="AJ355" i="5"/>
  <c r="AJ354" i="5"/>
  <c r="AJ353" i="5"/>
  <c r="AJ352" i="5"/>
  <c r="AJ351" i="5"/>
  <c r="AJ350" i="5"/>
  <c r="AJ349" i="5"/>
  <c r="AJ348" i="5"/>
  <c r="AJ347" i="5"/>
  <c r="AJ346" i="5"/>
  <c r="AJ345" i="5"/>
  <c r="AJ344" i="5"/>
  <c r="AJ343" i="5"/>
  <c r="AJ342" i="5"/>
  <c r="AJ341" i="5"/>
  <c r="AJ340" i="5"/>
  <c r="AJ339" i="5"/>
  <c r="AJ338" i="5"/>
  <c r="AJ337" i="5"/>
  <c r="AJ336" i="5"/>
  <c r="AJ335" i="5"/>
  <c r="AJ334" i="5"/>
  <c r="AJ333" i="5"/>
  <c r="AJ332" i="5"/>
  <c r="AJ331" i="5"/>
  <c r="AJ330" i="5"/>
  <c r="AJ329" i="5"/>
  <c r="AJ328" i="5"/>
  <c r="AJ327" i="5"/>
  <c r="AJ326" i="5"/>
  <c r="AJ325" i="5"/>
  <c r="AJ324" i="5"/>
  <c r="AJ323" i="5"/>
  <c r="AJ322" i="5"/>
  <c r="AJ321" i="5"/>
  <c r="AJ320" i="5"/>
  <c r="AJ319" i="5"/>
  <c r="AJ318" i="5"/>
  <c r="AJ317" i="5"/>
  <c r="AJ316" i="5"/>
  <c r="AJ315" i="5"/>
  <c r="AJ314" i="5"/>
  <c r="AJ313" i="5"/>
  <c r="AJ312" i="5"/>
  <c r="AJ311" i="5"/>
  <c r="AJ310" i="5"/>
  <c r="AJ309" i="5"/>
  <c r="AJ308" i="5"/>
  <c r="AJ307" i="5"/>
  <c r="AJ306" i="5"/>
  <c r="AJ305" i="5"/>
  <c r="AJ304" i="5"/>
  <c r="AJ303" i="5"/>
  <c r="AJ302" i="5"/>
  <c r="AJ301" i="5"/>
  <c r="AJ300" i="5"/>
  <c r="AJ299" i="5"/>
  <c r="AJ298" i="5"/>
  <c r="AJ297" i="5"/>
  <c r="AJ296" i="5"/>
  <c r="AJ295" i="5"/>
  <c r="AJ294" i="5"/>
  <c r="AJ293" i="5"/>
  <c r="AJ292" i="5"/>
  <c r="AJ291" i="5"/>
  <c r="AJ290" i="5"/>
  <c r="AJ289" i="5"/>
  <c r="AJ288" i="5"/>
  <c r="AJ287" i="5"/>
  <c r="AJ286" i="5"/>
  <c r="AJ285" i="5"/>
  <c r="AJ284" i="5"/>
  <c r="AJ283" i="5"/>
  <c r="AJ282" i="5"/>
  <c r="AJ281" i="5"/>
  <c r="AJ280" i="5"/>
  <c r="AJ279" i="5"/>
  <c r="AJ278" i="5"/>
  <c r="AJ277" i="5"/>
  <c r="AJ276" i="5"/>
  <c r="AJ275" i="5"/>
  <c r="AJ274" i="5"/>
  <c r="AJ273" i="5"/>
  <c r="AJ272" i="5"/>
  <c r="AJ271" i="5"/>
  <c r="AJ270" i="5"/>
  <c r="AJ269" i="5"/>
  <c r="AJ268" i="5"/>
  <c r="AJ267" i="5"/>
  <c r="AJ266" i="5"/>
  <c r="AJ265" i="5"/>
  <c r="AJ264" i="5"/>
  <c r="AJ263" i="5"/>
  <c r="AJ262" i="5"/>
  <c r="AJ261" i="5"/>
  <c r="AJ260" i="5"/>
  <c r="AJ259" i="5"/>
  <c r="AJ258" i="5"/>
  <c r="AJ257" i="5"/>
  <c r="AJ256" i="5"/>
  <c r="AJ255" i="5"/>
  <c r="AJ254" i="5"/>
  <c r="AJ253" i="5"/>
  <c r="AJ252" i="5"/>
  <c r="AJ251" i="5"/>
  <c r="AJ250" i="5"/>
  <c r="AJ249" i="5"/>
  <c r="AJ248" i="5"/>
  <c r="AJ247" i="5"/>
  <c r="AJ246" i="5"/>
  <c r="AJ245" i="5"/>
  <c r="AJ244" i="5"/>
  <c r="AJ243" i="5"/>
  <c r="AJ242" i="5"/>
  <c r="AJ241" i="5"/>
  <c r="AJ240" i="5"/>
  <c r="AJ239" i="5"/>
  <c r="AJ238" i="5"/>
  <c r="AJ237" i="5"/>
  <c r="AJ236" i="5"/>
  <c r="AJ235" i="5"/>
  <c r="AJ234" i="5"/>
  <c r="AJ233" i="5"/>
  <c r="AJ232" i="5"/>
  <c r="AJ231" i="5"/>
  <c r="AJ230" i="5"/>
  <c r="AJ229" i="5"/>
  <c r="AJ228" i="5"/>
  <c r="AJ227" i="5"/>
  <c r="AJ226" i="5"/>
  <c r="AJ225" i="5"/>
  <c r="AJ224" i="5"/>
  <c r="AJ223" i="5"/>
  <c r="AJ222" i="5"/>
  <c r="AJ221" i="5"/>
  <c r="AJ220" i="5"/>
  <c r="AJ219" i="5"/>
  <c r="AJ218" i="5"/>
  <c r="AJ217" i="5"/>
  <c r="AJ216" i="5"/>
  <c r="AJ215" i="5"/>
  <c r="AJ214" i="5"/>
  <c r="AJ213" i="5"/>
  <c r="AJ212" i="5"/>
  <c r="AJ211" i="5"/>
  <c r="AJ210" i="5"/>
  <c r="AJ209" i="5"/>
  <c r="AJ208" i="5"/>
  <c r="AJ207" i="5"/>
  <c r="AJ206" i="5"/>
  <c r="AJ205" i="5"/>
  <c r="AJ204" i="5"/>
  <c r="AJ203" i="5"/>
  <c r="AJ202" i="5"/>
  <c r="AJ201" i="5"/>
  <c r="AJ200" i="5"/>
  <c r="AJ199" i="5"/>
  <c r="AJ198" i="5"/>
  <c r="AJ197" i="5"/>
  <c r="AJ196" i="5"/>
  <c r="AJ195" i="5"/>
  <c r="AJ194" i="5"/>
  <c r="AJ193" i="5"/>
  <c r="AJ192" i="5"/>
  <c r="AJ191" i="5"/>
  <c r="AJ190" i="5"/>
  <c r="AJ189" i="5"/>
  <c r="AJ188" i="5"/>
  <c r="AJ187" i="5"/>
  <c r="AJ186" i="5"/>
  <c r="AJ185" i="5"/>
  <c r="AJ184" i="5"/>
  <c r="AJ183" i="5"/>
  <c r="AJ182" i="5"/>
  <c r="AJ181" i="5"/>
  <c r="AJ180" i="5"/>
  <c r="AJ179" i="5"/>
  <c r="AJ178" i="5"/>
  <c r="AJ177" i="5"/>
  <c r="AJ176" i="5"/>
  <c r="AJ175" i="5"/>
  <c r="AJ174" i="5"/>
  <c r="AJ173" i="5"/>
  <c r="AJ172" i="5"/>
  <c r="AJ171" i="5"/>
  <c r="AJ170" i="5"/>
  <c r="AJ169" i="5"/>
  <c r="AJ168" i="5"/>
  <c r="AJ167" i="5"/>
  <c r="AJ166" i="5"/>
  <c r="AJ165" i="5"/>
  <c r="AJ164" i="5"/>
  <c r="AJ163" i="5"/>
  <c r="AJ162" i="5"/>
  <c r="AJ161" i="5"/>
  <c r="AJ160" i="5"/>
  <c r="AJ159" i="5"/>
  <c r="AJ158" i="5"/>
  <c r="AJ157" i="5"/>
  <c r="AJ156" i="5"/>
  <c r="AJ155" i="5"/>
  <c r="AJ154" i="5"/>
  <c r="AJ153" i="5"/>
  <c r="AJ152" i="5"/>
  <c r="AJ151" i="5"/>
  <c r="AJ150" i="5"/>
  <c r="AJ149" i="5"/>
  <c r="AJ148" i="5"/>
  <c r="AJ147" i="5"/>
  <c r="AJ146" i="5"/>
  <c r="AJ145" i="5"/>
  <c r="AJ144" i="5"/>
  <c r="AJ143" i="5"/>
  <c r="AJ142" i="5"/>
  <c r="AJ141" i="5"/>
  <c r="AJ140" i="5"/>
  <c r="AJ139" i="5"/>
  <c r="AJ138" i="5"/>
  <c r="AJ137" i="5"/>
  <c r="AJ136" i="5"/>
  <c r="AJ135" i="5"/>
  <c r="AJ134" i="5"/>
  <c r="AJ133" i="5"/>
  <c r="AJ132" i="5"/>
  <c r="AJ131" i="5"/>
  <c r="AJ130" i="5"/>
  <c r="AJ129" i="5"/>
  <c r="AJ128" i="5"/>
  <c r="AJ127" i="5"/>
  <c r="AJ126" i="5"/>
  <c r="AJ125" i="5"/>
  <c r="AJ124" i="5"/>
  <c r="AJ123" i="5"/>
  <c r="AJ122" i="5"/>
  <c r="AJ121" i="5"/>
  <c r="AJ120" i="5"/>
  <c r="AJ119" i="5"/>
  <c r="AJ118" i="5"/>
  <c r="AJ117" i="5"/>
  <c r="AJ116" i="5"/>
  <c r="AJ115" i="5"/>
  <c r="AJ114" i="5"/>
  <c r="AJ113" i="5"/>
  <c r="AJ112" i="5"/>
  <c r="AJ111" i="5"/>
  <c r="AJ110" i="5"/>
  <c r="AJ109" i="5"/>
  <c r="AJ108" i="5"/>
  <c r="AJ107" i="5"/>
  <c r="AJ106" i="5"/>
  <c r="AJ105" i="5"/>
  <c r="AJ104" i="5"/>
  <c r="AJ103" i="5"/>
  <c r="AJ102" i="5"/>
  <c r="AJ101" i="5"/>
  <c r="AJ100" i="5"/>
  <c r="AJ99" i="5"/>
  <c r="AJ98" i="5"/>
  <c r="AJ97" i="5"/>
  <c r="AJ96" i="5"/>
  <c r="AJ95" i="5"/>
  <c r="AJ94" i="5"/>
  <c r="AJ93" i="5"/>
  <c r="AJ92" i="5"/>
  <c r="AJ91" i="5"/>
  <c r="AJ90" i="5"/>
  <c r="AJ89" i="5"/>
  <c r="AJ88" i="5"/>
  <c r="AJ87" i="5"/>
  <c r="AJ86" i="5"/>
  <c r="AJ85" i="5"/>
  <c r="AJ84" i="5"/>
  <c r="AJ83" i="5"/>
  <c r="AJ82" i="5"/>
  <c r="AJ81" i="5"/>
  <c r="AJ80" i="5"/>
  <c r="AJ79" i="5"/>
  <c r="AJ78" i="5"/>
  <c r="AJ77" i="5"/>
  <c r="AJ76" i="5"/>
  <c r="AJ75" i="5"/>
  <c r="AJ74" i="5"/>
  <c r="AJ73" i="5"/>
  <c r="AJ72" i="5"/>
  <c r="AJ71" i="5"/>
  <c r="AJ69" i="5"/>
  <c r="AJ68" i="5"/>
  <c r="AJ67" i="5"/>
  <c r="AJ66" i="5"/>
  <c r="AJ65" i="5"/>
  <c r="AJ64" i="5"/>
  <c r="AJ63" i="5"/>
  <c r="AJ62" i="5"/>
  <c r="AJ61" i="5"/>
  <c r="AJ60" i="5"/>
  <c r="AJ59" i="5"/>
  <c r="AJ58" i="5"/>
  <c r="AJ57" i="5"/>
  <c r="AJ56" i="5"/>
  <c r="AJ55" i="5"/>
  <c r="AJ54" i="5"/>
  <c r="AJ53" i="5"/>
  <c r="AJ52" i="5"/>
  <c r="AJ51" i="5"/>
  <c r="AJ50" i="5"/>
  <c r="AJ49" i="5"/>
  <c r="AJ48" i="5"/>
  <c r="AJ47" i="5"/>
  <c r="AJ46" i="5"/>
  <c r="AJ45" i="5"/>
  <c r="AJ44" i="5"/>
  <c r="AJ43" i="5"/>
  <c r="AJ42" i="5"/>
  <c r="AJ41" i="5"/>
  <c r="AJ40" i="5"/>
  <c r="AJ39" i="5"/>
  <c r="AJ38" i="5"/>
  <c r="AJ37" i="5"/>
  <c r="AJ36" i="5"/>
  <c r="AJ35" i="5"/>
  <c r="AJ34" i="5"/>
  <c r="AJ33" i="5"/>
  <c r="AJ32" i="5"/>
  <c r="AJ31" i="5"/>
  <c r="AJ30" i="5"/>
  <c r="AJ29" i="5"/>
  <c r="AJ28" i="5"/>
  <c r="AJ27" i="5"/>
  <c r="AJ26" i="5"/>
  <c r="AJ25" i="5"/>
  <c r="AJ24" i="5"/>
  <c r="AJ23" i="5"/>
  <c r="AJ22" i="5"/>
  <c r="AJ21" i="5"/>
  <c r="AJ20" i="5"/>
  <c r="AJ19" i="5"/>
  <c r="AJ18" i="5"/>
  <c r="AJ17" i="5"/>
  <c r="AJ16" i="5"/>
  <c r="AJ15" i="5"/>
  <c r="AJ14" i="5"/>
  <c r="AJ13" i="5"/>
  <c r="AJ12" i="5"/>
  <c r="AJ11" i="5"/>
  <c r="AJ10" i="5"/>
  <c r="EA8" i="3"/>
  <c r="U9" i="5"/>
  <c r="AR408" i="5"/>
  <c r="AR407" i="5"/>
  <c r="AR406" i="5"/>
  <c r="AR405" i="5"/>
  <c r="AR404" i="5"/>
  <c r="AR403" i="5"/>
  <c r="AR402" i="5"/>
  <c r="AR401" i="5"/>
  <c r="AR400" i="5"/>
  <c r="AR399" i="5"/>
  <c r="AR398" i="5"/>
  <c r="AR397" i="5"/>
  <c r="AR396" i="5"/>
  <c r="AR395" i="5"/>
  <c r="AR394" i="5"/>
  <c r="AR393" i="5"/>
  <c r="AR392" i="5"/>
  <c r="AR391" i="5"/>
  <c r="AR390" i="5"/>
  <c r="AR389" i="5"/>
  <c r="AR388" i="5"/>
  <c r="AR387" i="5"/>
  <c r="AR386" i="5"/>
  <c r="AR385" i="5"/>
  <c r="AR384" i="5"/>
  <c r="AR383" i="5"/>
  <c r="AR382" i="5"/>
  <c r="AR381" i="5"/>
  <c r="AR380" i="5"/>
  <c r="AR379" i="5"/>
  <c r="AR378" i="5"/>
  <c r="AR377" i="5"/>
  <c r="AR376" i="5"/>
  <c r="AR375" i="5"/>
  <c r="AR374" i="5"/>
  <c r="AR373" i="5"/>
  <c r="AR372" i="5"/>
  <c r="AR371" i="5"/>
  <c r="AR370" i="5"/>
  <c r="AR369" i="5"/>
  <c r="AR368" i="5"/>
  <c r="AR367" i="5"/>
  <c r="AR366" i="5"/>
  <c r="AR365" i="5"/>
  <c r="AR364" i="5"/>
  <c r="AR363" i="5"/>
  <c r="AR362" i="5"/>
  <c r="AR361" i="5"/>
  <c r="AR360" i="5"/>
  <c r="AR359" i="5"/>
  <c r="AR358" i="5"/>
  <c r="AR357" i="5"/>
  <c r="AR356" i="5"/>
  <c r="AR355" i="5"/>
  <c r="AR354" i="5"/>
  <c r="AR353" i="5"/>
  <c r="AR352" i="5"/>
  <c r="AR351" i="5"/>
  <c r="AR350" i="5"/>
  <c r="AR349" i="5"/>
  <c r="AR348" i="5"/>
  <c r="AR347" i="5"/>
  <c r="AR346" i="5"/>
  <c r="AR345" i="5"/>
  <c r="AR344" i="5"/>
  <c r="AR343" i="5"/>
  <c r="AR342" i="5"/>
  <c r="AR341" i="5"/>
  <c r="AR340" i="5"/>
  <c r="AR339" i="5"/>
  <c r="AR338" i="5"/>
  <c r="AR337" i="5"/>
  <c r="AR336" i="5"/>
  <c r="AR335" i="5"/>
  <c r="AR334" i="5"/>
  <c r="AR333" i="5"/>
  <c r="AR332" i="5"/>
  <c r="AR331" i="5"/>
  <c r="AR330" i="5"/>
  <c r="AR329" i="5"/>
  <c r="AR328" i="5"/>
  <c r="AR327" i="5"/>
  <c r="AR326" i="5"/>
  <c r="AR325" i="5"/>
  <c r="AR324" i="5"/>
  <c r="AR323" i="5"/>
  <c r="AR322" i="5"/>
  <c r="AR321" i="5"/>
  <c r="AR320" i="5"/>
  <c r="AR319" i="5"/>
  <c r="AR318" i="5"/>
  <c r="AR317" i="5"/>
  <c r="AR316" i="5"/>
  <c r="AR315" i="5"/>
  <c r="AR314" i="5"/>
  <c r="AR313" i="5"/>
  <c r="AR312" i="5"/>
  <c r="AR311" i="5"/>
  <c r="AR310" i="5"/>
  <c r="AR309" i="5"/>
  <c r="AR308" i="5"/>
  <c r="AR307" i="5"/>
  <c r="AR306" i="5"/>
  <c r="AR305" i="5"/>
  <c r="AR304" i="5"/>
  <c r="AR303" i="5"/>
  <c r="AR302" i="5"/>
  <c r="AR301" i="5"/>
  <c r="AR300" i="5"/>
  <c r="AR299" i="5"/>
  <c r="AR298" i="5"/>
  <c r="AR297" i="5"/>
  <c r="AR296" i="5"/>
  <c r="AR295" i="5"/>
  <c r="AR294" i="5"/>
  <c r="AR293" i="5"/>
  <c r="AR292" i="5"/>
  <c r="AR291" i="5"/>
  <c r="AR290" i="5"/>
  <c r="AR289" i="5"/>
  <c r="AR288" i="5"/>
  <c r="AR287" i="5"/>
  <c r="AR286" i="5"/>
  <c r="AR285" i="5"/>
  <c r="AR284" i="5"/>
  <c r="AR283" i="5"/>
  <c r="AR282" i="5"/>
  <c r="AR281" i="5"/>
  <c r="AR280" i="5"/>
  <c r="AR279" i="5"/>
  <c r="AR278" i="5"/>
  <c r="AR277" i="5"/>
  <c r="AR276" i="5"/>
  <c r="AR275" i="5"/>
  <c r="AR274" i="5"/>
  <c r="AR273" i="5"/>
  <c r="AR272" i="5"/>
  <c r="AR271" i="5"/>
  <c r="AR270" i="5"/>
  <c r="AR269" i="5"/>
  <c r="AR268" i="5"/>
  <c r="AR267" i="5"/>
  <c r="AR266" i="5"/>
  <c r="AR265" i="5"/>
  <c r="AR264" i="5"/>
  <c r="AR263" i="5"/>
  <c r="AR262" i="5"/>
  <c r="AR261" i="5"/>
  <c r="AR260" i="5"/>
  <c r="AR259" i="5"/>
  <c r="AR258" i="5"/>
  <c r="AR257" i="5"/>
  <c r="AR256" i="5"/>
  <c r="AR255" i="5"/>
  <c r="AR254" i="5"/>
  <c r="AR253" i="5"/>
  <c r="AR252" i="5"/>
  <c r="AR251" i="5"/>
  <c r="AR250" i="5"/>
  <c r="AR249" i="5"/>
  <c r="AR248" i="5"/>
  <c r="AR247" i="5"/>
  <c r="AR246" i="5"/>
  <c r="AR245" i="5"/>
  <c r="AR244" i="5"/>
  <c r="AR243" i="5"/>
  <c r="AR242" i="5"/>
  <c r="AR241" i="5"/>
  <c r="AR240" i="5"/>
  <c r="AR239" i="5"/>
  <c r="AR238" i="5"/>
  <c r="AR237" i="5"/>
  <c r="AR236" i="5"/>
  <c r="AR235" i="5"/>
  <c r="AR234" i="5"/>
  <c r="AR233" i="5"/>
  <c r="AR232" i="5"/>
  <c r="AR231" i="5"/>
  <c r="AR230" i="5"/>
  <c r="AR229" i="5"/>
  <c r="AR228" i="5"/>
  <c r="AR227" i="5"/>
  <c r="AR226" i="5"/>
  <c r="AR225" i="5"/>
  <c r="AR224" i="5"/>
  <c r="AR223" i="5"/>
  <c r="AR222" i="5"/>
  <c r="AR221" i="5"/>
  <c r="AR220" i="5"/>
  <c r="AR219" i="5"/>
  <c r="AR218" i="5"/>
  <c r="AR217" i="5"/>
  <c r="AR216" i="5"/>
  <c r="AR215" i="5"/>
  <c r="AR214" i="5"/>
  <c r="AR213" i="5"/>
  <c r="AR212" i="5"/>
  <c r="AR211" i="5"/>
  <c r="AR210" i="5"/>
  <c r="AR209" i="5"/>
  <c r="AR208" i="5"/>
  <c r="AR207" i="5"/>
  <c r="AR206" i="5"/>
  <c r="AR205" i="5"/>
  <c r="AR204" i="5"/>
  <c r="AR203" i="5"/>
  <c r="AR202" i="5"/>
  <c r="AR201" i="5"/>
  <c r="AR200" i="5"/>
  <c r="AR199" i="5"/>
  <c r="AR198" i="5"/>
  <c r="AR197" i="5"/>
  <c r="AR196" i="5"/>
  <c r="AR195" i="5"/>
  <c r="AR194" i="5"/>
  <c r="AR193" i="5"/>
  <c r="AR192" i="5"/>
  <c r="AR191" i="5"/>
  <c r="AR190" i="5"/>
  <c r="AR189" i="5"/>
  <c r="AR188" i="5"/>
  <c r="AR187" i="5"/>
  <c r="AR186" i="5"/>
  <c r="AR185" i="5"/>
  <c r="AR184" i="5"/>
  <c r="AR183" i="5"/>
  <c r="AR182" i="5"/>
  <c r="AR181" i="5"/>
  <c r="AR180" i="5"/>
  <c r="AR179" i="5"/>
  <c r="AR178" i="5"/>
  <c r="AR177" i="5"/>
  <c r="AR176" i="5"/>
  <c r="AR175" i="5"/>
  <c r="AR174" i="5"/>
  <c r="AR173" i="5"/>
  <c r="AR172" i="5"/>
  <c r="AR171" i="5"/>
  <c r="AR170" i="5"/>
  <c r="AR169" i="5"/>
  <c r="AR168" i="5"/>
  <c r="AR167" i="5"/>
  <c r="AR166" i="5"/>
  <c r="AR165" i="5"/>
  <c r="AR164" i="5"/>
  <c r="AR163" i="5"/>
  <c r="AR162" i="5"/>
  <c r="AR161" i="5"/>
  <c r="AR160" i="5"/>
  <c r="AR159" i="5"/>
  <c r="AR158" i="5"/>
  <c r="AR157" i="5"/>
  <c r="AR156" i="5"/>
  <c r="AR155" i="5"/>
  <c r="AR154" i="5"/>
  <c r="AR153" i="5"/>
  <c r="AR152" i="5"/>
  <c r="AR151" i="5"/>
  <c r="AR150" i="5"/>
  <c r="AR149" i="5"/>
  <c r="AR148" i="5"/>
  <c r="AR147" i="5"/>
  <c r="AR146" i="5"/>
  <c r="AR145" i="5"/>
  <c r="AR144" i="5"/>
  <c r="AR143" i="5"/>
  <c r="AR142" i="5"/>
  <c r="AR141" i="5"/>
  <c r="AR140" i="5"/>
  <c r="AR139" i="5"/>
  <c r="AR138" i="5"/>
  <c r="AR137" i="5"/>
  <c r="AR136" i="5"/>
  <c r="AR135" i="5"/>
  <c r="AR134" i="5"/>
  <c r="AR133" i="5"/>
  <c r="AR132" i="5"/>
  <c r="AR131" i="5"/>
  <c r="AR130" i="5"/>
  <c r="AR129" i="5"/>
  <c r="AR128" i="5"/>
  <c r="AR127" i="5"/>
  <c r="AR126" i="5"/>
  <c r="AR125" i="5"/>
  <c r="AR124" i="5"/>
  <c r="AR123" i="5"/>
  <c r="AR122" i="5"/>
  <c r="AR121" i="5"/>
  <c r="AR120" i="5"/>
  <c r="AR119" i="5"/>
  <c r="AR118" i="5"/>
  <c r="AR117" i="5"/>
  <c r="AR116" i="5"/>
  <c r="AR115" i="5"/>
  <c r="AR114" i="5"/>
  <c r="AR113" i="5"/>
  <c r="AR112" i="5"/>
  <c r="AR111" i="5"/>
  <c r="AR110" i="5"/>
  <c r="AR109" i="5"/>
  <c r="AR108" i="5"/>
  <c r="AR107" i="5"/>
  <c r="AR106" i="5"/>
  <c r="AR105" i="5"/>
  <c r="AR104" i="5"/>
  <c r="AR103" i="5"/>
  <c r="AR102" i="5"/>
  <c r="AR101" i="5"/>
  <c r="AR100" i="5"/>
  <c r="AR99" i="5"/>
  <c r="AR98" i="5"/>
  <c r="AR97" i="5"/>
  <c r="AR96" i="5"/>
  <c r="AR95" i="5"/>
  <c r="AR94" i="5"/>
  <c r="AR93" i="5"/>
  <c r="AR92" i="5"/>
  <c r="AR91" i="5"/>
  <c r="AR90" i="5"/>
  <c r="AR89" i="5"/>
  <c r="AR88" i="5"/>
  <c r="AR87" i="5"/>
  <c r="AR86" i="5"/>
  <c r="AR85" i="5"/>
  <c r="AR84" i="5"/>
  <c r="AR83" i="5"/>
  <c r="AR82" i="5"/>
  <c r="AR81" i="5"/>
  <c r="AR80" i="5"/>
  <c r="AR79" i="5"/>
  <c r="AR78" i="5"/>
  <c r="AR77" i="5"/>
  <c r="AR76" i="5"/>
  <c r="AR75" i="5"/>
  <c r="AR74" i="5"/>
  <c r="AR73" i="5"/>
  <c r="AR72" i="5"/>
  <c r="AR71" i="5"/>
  <c r="AR69" i="5"/>
  <c r="AR68" i="5"/>
  <c r="AR67" i="5"/>
  <c r="AR66" i="5"/>
  <c r="AR65" i="5"/>
  <c r="AR64" i="5"/>
  <c r="AR63" i="5"/>
  <c r="AR62" i="5"/>
  <c r="AR61" i="5"/>
  <c r="AR60" i="5"/>
  <c r="AR59" i="5"/>
  <c r="AR58" i="5"/>
  <c r="AR57" i="5"/>
  <c r="AR56" i="5"/>
  <c r="AR55" i="5"/>
  <c r="AR54" i="5"/>
  <c r="AR53" i="5"/>
  <c r="AR52" i="5"/>
  <c r="AR51" i="5"/>
  <c r="AR50" i="5"/>
  <c r="AR49" i="5"/>
  <c r="AR48" i="5"/>
  <c r="AR47" i="5"/>
  <c r="AR46" i="5"/>
  <c r="AR45" i="5"/>
  <c r="AR44" i="5"/>
  <c r="AR43" i="5"/>
  <c r="AR42" i="5"/>
  <c r="AR41" i="5"/>
  <c r="AR40" i="5"/>
  <c r="AR39" i="5"/>
  <c r="AR38" i="5"/>
  <c r="AR37" i="5"/>
  <c r="AR36" i="5"/>
  <c r="AR35" i="5"/>
  <c r="AR34" i="5"/>
  <c r="AR33" i="5"/>
  <c r="AR32" i="5"/>
  <c r="AR31" i="5"/>
  <c r="AR30" i="5"/>
  <c r="AR29" i="5"/>
  <c r="AR28" i="5"/>
  <c r="AR27" i="5"/>
  <c r="AR26" i="5"/>
  <c r="AR25" i="5"/>
  <c r="AR24" i="5"/>
  <c r="AR23" i="5"/>
  <c r="AR22" i="5"/>
  <c r="AR21" i="5"/>
  <c r="AR20" i="5"/>
  <c r="AR19" i="5"/>
  <c r="AR18" i="5"/>
  <c r="AR17" i="5"/>
  <c r="AR16" i="5"/>
  <c r="AR15" i="5"/>
  <c r="AR14" i="5"/>
  <c r="AR13" i="5"/>
  <c r="AR12" i="5"/>
  <c r="AR11" i="5"/>
  <c r="AR10" i="5"/>
  <c r="AQ9" i="5"/>
  <c r="AT9" i="5" s="1"/>
  <c r="F9" i="5"/>
  <c r="AR9" i="5"/>
  <c r="AP399" i="5"/>
  <c r="AU399" i="5" s="1"/>
  <c r="AP377" i="5"/>
  <c r="AU377" i="5" s="1"/>
  <c r="AP364" i="5"/>
  <c r="AU364" i="5" s="1"/>
  <c r="AP331" i="5"/>
  <c r="AU331" i="5" s="1"/>
  <c r="AP322" i="5"/>
  <c r="AU322" i="5" s="1"/>
  <c r="U408" i="5"/>
  <c r="U407" i="5"/>
  <c r="U406" i="5"/>
  <c r="U405" i="5"/>
  <c r="U404" i="5"/>
  <c r="U403" i="5"/>
  <c r="U402" i="5"/>
  <c r="U401" i="5"/>
  <c r="U400" i="5"/>
  <c r="U399" i="5"/>
  <c r="U398" i="5"/>
  <c r="U397" i="5"/>
  <c r="U396" i="5"/>
  <c r="U395" i="5"/>
  <c r="U394" i="5"/>
  <c r="U393" i="5"/>
  <c r="U392" i="5"/>
  <c r="U391" i="5"/>
  <c r="U390" i="5"/>
  <c r="U389" i="5"/>
  <c r="U388" i="5"/>
  <c r="U387" i="5"/>
  <c r="U386" i="5"/>
  <c r="U385" i="5"/>
  <c r="U384" i="5"/>
  <c r="U383" i="5"/>
  <c r="U382" i="5"/>
  <c r="U381" i="5"/>
  <c r="U380" i="5"/>
  <c r="U379" i="5"/>
  <c r="U378" i="5"/>
  <c r="U377" i="5"/>
  <c r="U376" i="5"/>
  <c r="U375" i="5"/>
  <c r="U374" i="5"/>
  <c r="U373" i="5"/>
  <c r="U372" i="5"/>
  <c r="U371" i="5"/>
  <c r="U370" i="5"/>
  <c r="U369" i="5"/>
  <c r="U368" i="5"/>
  <c r="U367" i="5"/>
  <c r="U366" i="5"/>
  <c r="U365" i="5"/>
  <c r="U364" i="5"/>
  <c r="U363" i="5"/>
  <c r="U362" i="5"/>
  <c r="U361" i="5"/>
  <c r="U360" i="5"/>
  <c r="U359" i="5"/>
  <c r="U358" i="5"/>
  <c r="U357" i="5"/>
  <c r="U356" i="5"/>
  <c r="U355" i="5"/>
  <c r="U354" i="5"/>
  <c r="U353" i="5"/>
  <c r="U352" i="5"/>
  <c r="U351" i="5"/>
  <c r="U350" i="5"/>
  <c r="U349" i="5"/>
  <c r="U348" i="5"/>
  <c r="U347" i="5"/>
  <c r="U346" i="5"/>
  <c r="U345" i="5"/>
  <c r="U344" i="5"/>
  <c r="U343" i="5"/>
  <c r="U342" i="5"/>
  <c r="U341" i="5"/>
  <c r="U340" i="5"/>
  <c r="U339" i="5"/>
  <c r="U338" i="5"/>
  <c r="U337" i="5"/>
  <c r="U336" i="5"/>
  <c r="U335" i="5"/>
  <c r="U334" i="5"/>
  <c r="U333" i="5"/>
  <c r="U332" i="5"/>
  <c r="U331" i="5"/>
  <c r="U330" i="5"/>
  <c r="U329" i="5"/>
  <c r="U328" i="5"/>
  <c r="U327" i="5"/>
  <c r="U326" i="5"/>
  <c r="U325" i="5"/>
  <c r="U324" i="5"/>
  <c r="U323" i="5"/>
  <c r="U322" i="5"/>
  <c r="U321" i="5"/>
  <c r="U320" i="5"/>
  <c r="U319" i="5"/>
  <c r="U318" i="5"/>
  <c r="U317" i="5"/>
  <c r="U316" i="5"/>
  <c r="U315" i="5"/>
  <c r="U314" i="5"/>
  <c r="U313" i="5"/>
  <c r="U312" i="5"/>
  <c r="U311" i="5"/>
  <c r="U310" i="5"/>
  <c r="U309" i="5"/>
  <c r="U308" i="5"/>
  <c r="U307" i="5"/>
  <c r="U306" i="5"/>
  <c r="U305" i="5"/>
  <c r="U304" i="5"/>
  <c r="U303" i="5"/>
  <c r="U302" i="5"/>
  <c r="U301" i="5"/>
  <c r="U300" i="5"/>
  <c r="U299" i="5"/>
  <c r="U298" i="5"/>
  <c r="U297" i="5"/>
  <c r="U296" i="5"/>
  <c r="U295" i="5"/>
  <c r="U294" i="5"/>
  <c r="U293" i="5"/>
  <c r="U292" i="5"/>
  <c r="U291" i="5"/>
  <c r="U290" i="5"/>
  <c r="U289" i="5"/>
  <c r="U288" i="5"/>
  <c r="U287" i="5"/>
  <c r="U286" i="5"/>
  <c r="U285" i="5"/>
  <c r="U284" i="5"/>
  <c r="U283" i="5"/>
  <c r="U282" i="5"/>
  <c r="U281" i="5"/>
  <c r="U280" i="5"/>
  <c r="U279" i="5"/>
  <c r="U278" i="5"/>
  <c r="U277" i="5"/>
  <c r="U276" i="5"/>
  <c r="U275" i="5"/>
  <c r="U274" i="5"/>
  <c r="U273" i="5"/>
  <c r="U272" i="5"/>
  <c r="U271" i="5"/>
  <c r="U270" i="5"/>
  <c r="U269" i="5"/>
  <c r="U268" i="5"/>
  <c r="U267" i="5"/>
  <c r="U266" i="5"/>
  <c r="U265" i="5"/>
  <c r="U264" i="5"/>
  <c r="U263" i="5"/>
  <c r="U262" i="5"/>
  <c r="U261" i="5"/>
  <c r="U260" i="5"/>
  <c r="U259" i="5"/>
  <c r="U258" i="5"/>
  <c r="U257" i="5"/>
  <c r="U256" i="5"/>
  <c r="U255" i="5"/>
  <c r="U254" i="5"/>
  <c r="U253" i="5"/>
  <c r="U252" i="5"/>
  <c r="U251" i="5"/>
  <c r="U250" i="5"/>
  <c r="U249" i="5"/>
  <c r="U248" i="5"/>
  <c r="U247" i="5"/>
  <c r="U246" i="5"/>
  <c r="U245" i="5"/>
  <c r="U244" i="5"/>
  <c r="U243" i="5"/>
  <c r="U242" i="5"/>
  <c r="U241" i="5"/>
  <c r="U240" i="5"/>
  <c r="U239" i="5"/>
  <c r="U238" i="5"/>
  <c r="U237" i="5"/>
  <c r="U236" i="5"/>
  <c r="U235" i="5"/>
  <c r="U234" i="5"/>
  <c r="U233" i="5"/>
  <c r="U232" i="5"/>
  <c r="U231" i="5"/>
  <c r="U230" i="5"/>
  <c r="U229" i="5"/>
  <c r="U228" i="5"/>
  <c r="U227" i="5"/>
  <c r="U226" i="5"/>
  <c r="U225" i="5"/>
  <c r="U224" i="5"/>
  <c r="U223" i="5"/>
  <c r="U222" i="5"/>
  <c r="U221" i="5"/>
  <c r="U220" i="5"/>
  <c r="U219" i="5"/>
  <c r="U218" i="5"/>
  <c r="U217" i="5"/>
  <c r="U216" i="5"/>
  <c r="U215" i="5"/>
  <c r="U214" i="5"/>
  <c r="U213" i="5"/>
  <c r="U212" i="5"/>
  <c r="U211" i="5"/>
  <c r="U210" i="5"/>
  <c r="U209" i="5"/>
  <c r="U208" i="5"/>
  <c r="U207" i="5"/>
  <c r="U206" i="5"/>
  <c r="U205" i="5"/>
  <c r="U204" i="5"/>
  <c r="U203" i="5"/>
  <c r="U202" i="5"/>
  <c r="U201" i="5"/>
  <c r="U200" i="5"/>
  <c r="U199" i="5"/>
  <c r="U198" i="5"/>
  <c r="U197" i="5"/>
  <c r="U196" i="5"/>
  <c r="U195" i="5"/>
  <c r="U194" i="5"/>
  <c r="U193" i="5"/>
  <c r="U192" i="5"/>
  <c r="U191" i="5"/>
  <c r="U190" i="5"/>
  <c r="U189" i="5"/>
  <c r="U188" i="5"/>
  <c r="U187" i="5"/>
  <c r="U186" i="5"/>
  <c r="U185" i="5"/>
  <c r="U184" i="5"/>
  <c r="U183" i="5"/>
  <c r="U182" i="5"/>
  <c r="U181" i="5"/>
  <c r="U180" i="5"/>
  <c r="U179" i="5"/>
  <c r="U178" i="5"/>
  <c r="U177" i="5"/>
  <c r="U176" i="5"/>
  <c r="U175" i="5"/>
  <c r="U174" i="5"/>
  <c r="U173" i="5"/>
  <c r="U172" i="5"/>
  <c r="U171" i="5"/>
  <c r="U170" i="5"/>
  <c r="U169" i="5"/>
  <c r="U168" i="5"/>
  <c r="U167" i="5"/>
  <c r="U166" i="5"/>
  <c r="U165" i="5"/>
  <c r="U164" i="5"/>
  <c r="U163" i="5"/>
  <c r="U162" i="5"/>
  <c r="U161" i="5"/>
  <c r="U160" i="5"/>
  <c r="U159" i="5"/>
  <c r="U158" i="5"/>
  <c r="U157" i="5"/>
  <c r="U156" i="5"/>
  <c r="U155" i="5"/>
  <c r="U154" i="5"/>
  <c r="U153" i="5"/>
  <c r="U152" i="5"/>
  <c r="U151" i="5"/>
  <c r="U150" i="5"/>
  <c r="U149" i="5"/>
  <c r="U148" i="5"/>
  <c r="U147" i="5"/>
  <c r="U146" i="5"/>
  <c r="U145" i="5"/>
  <c r="U144" i="5"/>
  <c r="U143" i="5"/>
  <c r="U142" i="5"/>
  <c r="U141" i="5"/>
  <c r="U140" i="5"/>
  <c r="U139" i="5"/>
  <c r="U138" i="5"/>
  <c r="U137" i="5"/>
  <c r="U136" i="5"/>
  <c r="U135" i="5"/>
  <c r="U134" i="5"/>
  <c r="U133" i="5"/>
  <c r="U132" i="5"/>
  <c r="U131" i="5"/>
  <c r="U130" i="5"/>
  <c r="U129" i="5"/>
  <c r="U128" i="5"/>
  <c r="U127" i="5"/>
  <c r="U126" i="5"/>
  <c r="U125" i="5"/>
  <c r="U124" i="5"/>
  <c r="U123" i="5"/>
  <c r="U122" i="5"/>
  <c r="U121" i="5"/>
  <c r="U120" i="5"/>
  <c r="U119" i="5"/>
  <c r="U118" i="5"/>
  <c r="U117" i="5"/>
  <c r="U116" i="5"/>
  <c r="U115" i="5"/>
  <c r="U114" i="5"/>
  <c r="U113" i="5"/>
  <c r="U112" i="5"/>
  <c r="U111" i="5"/>
  <c r="U110" i="5"/>
  <c r="U109" i="5"/>
  <c r="U108" i="5"/>
  <c r="U107" i="5"/>
  <c r="U106" i="5"/>
  <c r="U105" i="5"/>
  <c r="U104" i="5"/>
  <c r="U103" i="5"/>
  <c r="U102" i="5"/>
  <c r="U101" i="5"/>
  <c r="U100" i="5"/>
  <c r="U99" i="5"/>
  <c r="U98" i="5"/>
  <c r="U97" i="5"/>
  <c r="U96" i="5"/>
  <c r="U95" i="5"/>
  <c r="U94" i="5"/>
  <c r="U93" i="5"/>
  <c r="U92" i="5"/>
  <c r="U91" i="5"/>
  <c r="U90" i="5"/>
  <c r="U89" i="5"/>
  <c r="U88" i="5"/>
  <c r="U87" i="5"/>
  <c r="U86" i="5"/>
  <c r="U85" i="5"/>
  <c r="U84" i="5"/>
  <c r="U83" i="5"/>
  <c r="U82" i="5"/>
  <c r="U81" i="5"/>
  <c r="U80" i="5"/>
  <c r="U79" i="5"/>
  <c r="U78" i="5"/>
  <c r="U77" i="5"/>
  <c r="U76" i="5"/>
  <c r="U75" i="5"/>
  <c r="U74" i="5"/>
  <c r="U73" i="5"/>
  <c r="U72" i="5"/>
  <c r="U71" i="5"/>
  <c r="U69" i="5"/>
  <c r="U68" i="5"/>
  <c r="U67" i="5"/>
  <c r="U66" i="5"/>
  <c r="U65" i="5"/>
  <c r="U64" i="5"/>
  <c r="U63" i="5"/>
  <c r="U62" i="5"/>
  <c r="U61" i="5"/>
  <c r="U60" i="5"/>
  <c r="U59" i="5"/>
  <c r="U58" i="5"/>
  <c r="U57" i="5"/>
  <c r="U56" i="5"/>
  <c r="U55" i="5"/>
  <c r="U54" i="5"/>
  <c r="U53" i="5"/>
  <c r="U52" i="5"/>
  <c r="U51" i="5"/>
  <c r="U50" i="5"/>
  <c r="U49" i="5"/>
  <c r="U48" i="5"/>
  <c r="U47" i="5"/>
  <c r="U46" i="5"/>
  <c r="U45" i="5"/>
  <c r="U44" i="5"/>
  <c r="U43" i="5"/>
  <c r="U42" i="5"/>
  <c r="U41" i="5"/>
  <c r="U40" i="5"/>
  <c r="U39" i="5"/>
  <c r="U38" i="5"/>
  <c r="U37" i="5"/>
  <c r="U36" i="5"/>
  <c r="U35" i="5"/>
  <c r="U34" i="5"/>
  <c r="U33" i="5"/>
  <c r="U32" i="5"/>
  <c r="U31" i="5"/>
  <c r="U30" i="5"/>
  <c r="U29" i="5"/>
  <c r="U28" i="5"/>
  <c r="U27" i="5"/>
  <c r="U26" i="5"/>
  <c r="U25" i="5"/>
  <c r="U24" i="5"/>
  <c r="U23" i="5"/>
  <c r="U22" i="5"/>
  <c r="U21" i="5"/>
  <c r="U20" i="5"/>
  <c r="U19" i="5"/>
  <c r="U18" i="5"/>
  <c r="U17" i="5"/>
  <c r="U16" i="5"/>
  <c r="U15" i="5"/>
  <c r="U14" i="5"/>
  <c r="U13" i="5"/>
  <c r="U12" i="5"/>
  <c r="U11" i="5"/>
  <c r="U10"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F14" i="5"/>
  <c r="F13" i="5"/>
  <c r="F12" i="5"/>
  <c r="F11" i="5"/>
  <c r="F10" i="5"/>
  <c r="F1" i="31"/>
  <c r="I1" i="31"/>
  <c r="B303" i="31"/>
  <c r="B302" i="31"/>
  <c r="B301" i="31"/>
  <c r="B300" i="31"/>
  <c r="B299" i="31"/>
  <c r="B298" i="31"/>
  <c r="B297" i="31"/>
  <c r="B296" i="31"/>
  <c r="B295" i="31"/>
  <c r="B294" i="31"/>
  <c r="B293" i="31"/>
  <c r="B292" i="31"/>
  <c r="B291" i="31"/>
  <c r="B290" i="31"/>
  <c r="B289" i="31"/>
  <c r="B288" i="31"/>
  <c r="B287" i="31"/>
  <c r="B286" i="31"/>
  <c r="B285" i="31"/>
  <c r="B284" i="31"/>
  <c r="B283" i="31"/>
  <c r="B282" i="31"/>
  <c r="B281" i="31"/>
  <c r="B280" i="31"/>
  <c r="B279" i="31"/>
  <c r="B278" i="31"/>
  <c r="B277" i="31"/>
  <c r="B276" i="31"/>
  <c r="B275" i="31"/>
  <c r="B274" i="31"/>
  <c r="B273" i="31"/>
  <c r="B272" i="31"/>
  <c r="B271" i="31"/>
  <c r="B270" i="31"/>
  <c r="B269" i="31"/>
  <c r="B268" i="31"/>
  <c r="B267" i="31"/>
  <c r="B266" i="31"/>
  <c r="B265" i="31"/>
  <c r="B264" i="31"/>
  <c r="B263" i="31"/>
  <c r="B262" i="31"/>
  <c r="B261" i="31"/>
  <c r="B260" i="31"/>
  <c r="B259" i="31"/>
  <c r="B258" i="31"/>
  <c r="B257" i="31"/>
  <c r="B256" i="31"/>
  <c r="B255" i="31"/>
  <c r="B254" i="31"/>
  <c r="B253" i="31"/>
  <c r="B252" i="31"/>
  <c r="B251" i="31"/>
  <c r="B250" i="31"/>
  <c r="B249" i="31"/>
  <c r="B248" i="31"/>
  <c r="B247" i="31"/>
  <c r="B246" i="31"/>
  <c r="B245" i="31"/>
  <c r="B244" i="31"/>
  <c r="B243" i="31"/>
  <c r="B242" i="31"/>
  <c r="B241" i="31"/>
  <c r="B240" i="31"/>
  <c r="B239" i="31"/>
  <c r="B238" i="31"/>
  <c r="B237" i="31"/>
  <c r="B236" i="31"/>
  <c r="B235" i="31"/>
  <c r="B234" i="31"/>
  <c r="B233" i="31"/>
  <c r="B232" i="31"/>
  <c r="B231" i="31"/>
  <c r="B230" i="31"/>
  <c r="B229" i="31"/>
  <c r="B228" i="31"/>
  <c r="B227" i="31"/>
  <c r="B226" i="31"/>
  <c r="B225" i="31"/>
  <c r="B224" i="31"/>
  <c r="B223" i="31"/>
  <c r="B222" i="31"/>
  <c r="B221" i="31"/>
  <c r="B220" i="31"/>
  <c r="B219" i="31"/>
  <c r="B218" i="31"/>
  <c r="B217" i="31"/>
  <c r="B216" i="31"/>
  <c r="B215" i="31"/>
  <c r="B214" i="31"/>
  <c r="B213" i="31"/>
  <c r="B212" i="31"/>
  <c r="B211" i="31"/>
  <c r="B210" i="31"/>
  <c r="B209" i="31"/>
  <c r="B208" i="31"/>
  <c r="B207" i="31"/>
  <c r="B206" i="31"/>
  <c r="B205" i="31"/>
  <c r="B204" i="31"/>
  <c r="B203" i="31"/>
  <c r="B202" i="31"/>
  <c r="B201" i="31"/>
  <c r="B200" i="31"/>
  <c r="B199" i="31"/>
  <c r="B198" i="31"/>
  <c r="B197" i="31"/>
  <c r="B196" i="31"/>
  <c r="B195" i="31"/>
  <c r="B194" i="31"/>
  <c r="B193" i="31"/>
  <c r="B192" i="31"/>
  <c r="B191" i="31"/>
  <c r="B190" i="31"/>
  <c r="B189" i="31"/>
  <c r="B188" i="31"/>
  <c r="B187" i="31"/>
  <c r="B186" i="31"/>
  <c r="B185" i="31"/>
  <c r="B184" i="31"/>
  <c r="B183" i="31"/>
  <c r="B182" i="31"/>
  <c r="B181" i="31"/>
  <c r="B180" i="31"/>
  <c r="B179" i="31"/>
  <c r="B178" i="31"/>
  <c r="B177" i="31"/>
  <c r="B176" i="31"/>
  <c r="B175" i="31"/>
  <c r="B174" i="31"/>
  <c r="B173" i="31"/>
  <c r="B172" i="31"/>
  <c r="B171" i="31"/>
  <c r="B170" i="31"/>
  <c r="B169" i="31"/>
  <c r="B168" i="31"/>
  <c r="B167" i="31"/>
  <c r="B166" i="31"/>
  <c r="B165" i="31"/>
  <c r="B164" i="31"/>
  <c r="B163" i="31"/>
  <c r="B162" i="31"/>
  <c r="B161" i="31"/>
  <c r="B160" i="31"/>
  <c r="B159" i="31"/>
  <c r="B158" i="31"/>
  <c r="B157" i="31"/>
  <c r="B156" i="31"/>
  <c r="B155" i="31"/>
  <c r="B154" i="31"/>
  <c r="B153" i="31"/>
  <c r="B152" i="31"/>
  <c r="B151" i="31"/>
  <c r="B150" i="31"/>
  <c r="B149" i="31"/>
  <c r="B148" i="31"/>
  <c r="B147" i="31"/>
  <c r="B146" i="31"/>
  <c r="B145" i="31"/>
  <c r="B144" i="31"/>
  <c r="B143" i="31"/>
  <c r="B142" i="31"/>
  <c r="B141" i="31"/>
  <c r="B140" i="31"/>
  <c r="B139" i="31"/>
  <c r="B138" i="31"/>
  <c r="B137" i="31"/>
  <c r="B136" i="31"/>
  <c r="B135" i="31"/>
  <c r="B134" i="31"/>
  <c r="B133" i="31"/>
  <c r="B132" i="31"/>
  <c r="B131" i="31"/>
  <c r="B130" i="31"/>
  <c r="B129" i="31"/>
  <c r="B128" i="31"/>
  <c r="B127" i="31"/>
  <c r="B126" i="31"/>
  <c r="B125" i="31"/>
  <c r="B124" i="31"/>
  <c r="B123" i="31"/>
  <c r="B122" i="31"/>
  <c r="B121" i="31"/>
  <c r="B120" i="31"/>
  <c r="B119" i="31"/>
  <c r="B118" i="31"/>
  <c r="B117" i="31"/>
  <c r="B116" i="31"/>
  <c r="B115" i="31"/>
  <c r="B114" i="31"/>
  <c r="B113" i="31"/>
  <c r="B112" i="31"/>
  <c r="B111" i="31"/>
  <c r="B110" i="31"/>
  <c r="B109" i="31"/>
  <c r="B108" i="31"/>
  <c r="B107" i="31"/>
  <c r="B106" i="31"/>
  <c r="B105" i="31"/>
  <c r="B104" i="31"/>
  <c r="B103" i="31"/>
  <c r="B102" i="31"/>
  <c r="B101" i="31"/>
  <c r="B100" i="31"/>
  <c r="B99" i="31"/>
  <c r="B98" i="31"/>
  <c r="B97" i="31"/>
  <c r="B96" i="31"/>
  <c r="B95" i="31"/>
  <c r="B94" i="31"/>
  <c r="B93" i="31"/>
  <c r="B92" i="31"/>
  <c r="B91" i="31"/>
  <c r="B90" i="31"/>
  <c r="B89" i="31"/>
  <c r="B88" i="31"/>
  <c r="B87" i="31"/>
  <c r="B86" i="31"/>
  <c r="B85" i="31"/>
  <c r="B84" i="31"/>
  <c r="B83" i="31"/>
  <c r="B82" i="31"/>
  <c r="B81" i="31"/>
  <c r="B80" i="31"/>
  <c r="B79" i="31"/>
  <c r="B78" i="31"/>
  <c r="B77" i="31"/>
  <c r="B76" i="31"/>
  <c r="B75" i="31"/>
  <c r="B74" i="31"/>
  <c r="B73" i="31"/>
  <c r="B72" i="31"/>
  <c r="B71" i="31"/>
  <c r="B70" i="31"/>
  <c r="B69" i="3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B7" i="31"/>
  <c r="B6" i="31"/>
  <c r="B5" i="31"/>
  <c r="B4" i="31"/>
  <c r="A304" i="31"/>
  <c r="H34" i="24"/>
  <c r="I34" i="24"/>
  <c r="H33" i="24"/>
  <c r="I33" i="24"/>
  <c r="H32" i="24"/>
  <c r="I32" i="24"/>
  <c r="H31" i="24"/>
  <c r="I31" i="24"/>
  <c r="H30" i="24"/>
  <c r="I30" i="24"/>
  <c r="H29" i="24"/>
  <c r="I29" i="24"/>
  <c r="H28" i="24"/>
  <c r="I28" i="24"/>
  <c r="H27" i="24"/>
  <c r="I27" i="24"/>
  <c r="H26" i="24"/>
  <c r="I26" i="24"/>
  <c r="H25" i="24"/>
  <c r="I25" i="24"/>
  <c r="H24" i="24"/>
  <c r="I24" i="24"/>
  <c r="H23" i="24"/>
  <c r="I23" i="24"/>
  <c r="H22" i="24"/>
  <c r="I22" i="24"/>
  <c r="H21" i="24"/>
  <c r="I21" i="24"/>
  <c r="H20" i="24"/>
  <c r="I20" i="24"/>
  <c r="H19" i="24"/>
  <c r="I19" i="24"/>
  <c r="H18" i="24"/>
  <c r="I18" i="24"/>
  <c r="H17" i="24"/>
  <c r="I17" i="24"/>
  <c r="H16" i="24"/>
  <c r="I16" i="24"/>
  <c r="H15" i="24"/>
  <c r="I15" i="24"/>
  <c r="H14" i="24"/>
  <c r="I14" i="24"/>
  <c r="H13" i="24"/>
  <c r="I13" i="24"/>
  <c r="H12" i="24"/>
  <c r="I12" i="24"/>
  <c r="AQ408" i="5"/>
  <c r="AQ407" i="5"/>
  <c r="AT407" i="5" s="1"/>
  <c r="AQ406" i="5"/>
  <c r="AQ405" i="5"/>
  <c r="AT405" i="5" s="1"/>
  <c r="AQ404" i="5"/>
  <c r="AT404" i="5" s="1"/>
  <c r="AQ403" i="5"/>
  <c r="AT403" i="5" s="1"/>
  <c r="AQ402" i="5"/>
  <c r="AT402" i="5" s="1"/>
  <c r="AQ401" i="5"/>
  <c r="AT401" i="5" s="1"/>
  <c r="AQ400" i="5"/>
  <c r="AQ399" i="5"/>
  <c r="AT399" i="5" s="1"/>
  <c r="AQ398" i="5"/>
  <c r="AQ397" i="5"/>
  <c r="AT397" i="5" s="1"/>
  <c r="AQ396" i="5"/>
  <c r="AT396" i="5" s="1"/>
  <c r="AQ395" i="5"/>
  <c r="AT395" i="5" s="1"/>
  <c r="AQ394" i="5"/>
  <c r="AQ393" i="5"/>
  <c r="AT393" i="5" s="1"/>
  <c r="AQ392" i="5"/>
  <c r="AQ391" i="5"/>
  <c r="AT391" i="5" s="1"/>
  <c r="AQ390" i="5"/>
  <c r="AT390" i="5" s="1"/>
  <c r="AQ389" i="5"/>
  <c r="AT389" i="5" s="1"/>
  <c r="AQ388" i="5"/>
  <c r="AT388" i="5" s="1"/>
  <c r="AQ387" i="5"/>
  <c r="AT387" i="5" s="1"/>
  <c r="AQ386" i="5"/>
  <c r="AQ385" i="5"/>
  <c r="AQ384" i="5"/>
  <c r="AQ383" i="5"/>
  <c r="AT383" i="5" s="1"/>
  <c r="AQ382" i="5"/>
  <c r="AQ381" i="5"/>
  <c r="AT381" i="5" s="1"/>
  <c r="AQ380" i="5"/>
  <c r="AT380" i="5" s="1"/>
  <c r="AQ379" i="5"/>
  <c r="AT379" i="5" s="1"/>
  <c r="AQ378" i="5"/>
  <c r="AT378" i="5" s="1"/>
  <c r="AQ377" i="5"/>
  <c r="AQ376" i="5"/>
  <c r="AT376" i="5" s="1"/>
  <c r="AQ375" i="5"/>
  <c r="AT375" i="5" s="1"/>
  <c r="AQ374" i="5"/>
  <c r="AQ373" i="5"/>
  <c r="AT373" i="5" s="1"/>
  <c r="AQ372" i="5"/>
  <c r="AQ371" i="5"/>
  <c r="AT371" i="5" s="1"/>
  <c r="AQ370" i="5"/>
  <c r="AQ369" i="5"/>
  <c r="AQ368" i="5"/>
  <c r="AT368" i="5" s="1"/>
  <c r="AQ367" i="5"/>
  <c r="AT367" i="5" s="1"/>
  <c r="AQ366" i="5"/>
  <c r="AQ365" i="5"/>
  <c r="AT365" i="5" s="1"/>
  <c r="AQ364" i="5"/>
  <c r="AT364" i="5" s="1"/>
  <c r="AQ363" i="5"/>
  <c r="AT363" i="5" s="1"/>
  <c r="AQ362" i="5"/>
  <c r="AQ361" i="5"/>
  <c r="AT361" i="5" s="1"/>
  <c r="AQ360" i="5"/>
  <c r="AQ359" i="5"/>
  <c r="AT359" i="5" s="1"/>
  <c r="AQ358" i="5"/>
  <c r="AT358" i="5" s="1"/>
  <c r="AQ357" i="5"/>
  <c r="AT357" i="5" s="1"/>
  <c r="AQ356" i="5"/>
  <c r="AQ355" i="5"/>
  <c r="AT355" i="5" s="1"/>
  <c r="AQ354" i="5"/>
  <c r="AQ353" i="5"/>
  <c r="AT353" i="5" s="1"/>
  <c r="AQ352" i="5"/>
  <c r="AQ351" i="5"/>
  <c r="AQ350" i="5"/>
  <c r="AQ349" i="5"/>
  <c r="AT349" i="5" s="1"/>
  <c r="AQ348" i="5"/>
  <c r="AT348" i="5" s="1"/>
  <c r="AQ347" i="5"/>
  <c r="AT347" i="5" s="1"/>
  <c r="AQ346" i="5"/>
  <c r="AQ345" i="5"/>
  <c r="AT345" i="5" s="1"/>
  <c r="AQ344" i="5"/>
  <c r="AQ343" i="5"/>
  <c r="AT343" i="5" s="1"/>
  <c r="AQ342" i="5"/>
  <c r="AT342" i="5" s="1"/>
  <c r="AQ341" i="5"/>
  <c r="AT341" i="5" s="1"/>
  <c r="AQ340" i="5"/>
  <c r="AT340" i="5" s="1"/>
  <c r="AQ339" i="5"/>
  <c r="AT339" i="5" s="1"/>
  <c r="AQ338" i="5"/>
  <c r="AQ337" i="5"/>
  <c r="AT337" i="5" s="1"/>
  <c r="AQ336" i="5"/>
  <c r="AQ335" i="5"/>
  <c r="AT335" i="5" s="1"/>
  <c r="AQ334" i="5"/>
  <c r="AT334" i="5" s="1"/>
  <c r="AQ333" i="5"/>
  <c r="AQ332" i="5"/>
  <c r="AT332" i="5" s="1"/>
  <c r="AQ331" i="5"/>
  <c r="AT331" i="5" s="1"/>
  <c r="AQ330" i="5"/>
  <c r="AQ329" i="5"/>
  <c r="AQ328" i="5"/>
  <c r="AQ327" i="5"/>
  <c r="AT327" i="5" s="1"/>
  <c r="AQ326" i="5"/>
  <c r="AQ325" i="5"/>
  <c r="AT325" i="5" s="1"/>
  <c r="AQ324" i="5"/>
  <c r="AT324" i="5" s="1"/>
  <c r="AQ323" i="5"/>
  <c r="AT323" i="5" s="1"/>
  <c r="AQ322" i="5"/>
  <c r="AQ321" i="5"/>
  <c r="AT321" i="5" s="1"/>
  <c r="AQ320" i="5"/>
  <c r="AQ319" i="5"/>
  <c r="AT319" i="5" s="1"/>
  <c r="AQ318" i="5"/>
  <c r="AQ317" i="5"/>
  <c r="AT317" i="5" s="1"/>
  <c r="AQ316" i="5"/>
  <c r="AQ315" i="5"/>
  <c r="AT315" i="5" s="1"/>
  <c r="AQ314" i="5"/>
  <c r="AQ313" i="5"/>
  <c r="AQ312" i="5"/>
  <c r="AT312" i="5" s="1"/>
  <c r="AQ311" i="5"/>
  <c r="AT311" i="5" s="1"/>
  <c r="AQ310" i="5"/>
  <c r="AT310" i="5" s="1"/>
  <c r="AQ309" i="5"/>
  <c r="AT309" i="5" s="1"/>
  <c r="AQ308" i="5"/>
  <c r="AT308" i="5" s="1"/>
  <c r="AQ307" i="5"/>
  <c r="AT307" i="5" s="1"/>
  <c r="AQ306" i="5"/>
  <c r="AQ305" i="5"/>
  <c r="AQ304" i="5"/>
  <c r="AT304" i="5" s="1"/>
  <c r="AQ303" i="5"/>
  <c r="AT303" i="5" s="1"/>
  <c r="AQ302" i="5"/>
  <c r="AT302" i="5" s="1"/>
  <c r="AQ301" i="5"/>
  <c r="AT301" i="5" s="1"/>
  <c r="AQ300" i="5"/>
  <c r="AT300" i="5" s="1"/>
  <c r="AQ299" i="5"/>
  <c r="AT299" i="5" s="1"/>
  <c r="AQ298" i="5"/>
  <c r="AT298" i="5" s="1"/>
  <c r="AQ297" i="5"/>
  <c r="AT297" i="5" s="1"/>
  <c r="AQ296" i="5"/>
  <c r="AQ295" i="5"/>
  <c r="AQ294" i="5"/>
  <c r="AQ293" i="5"/>
  <c r="AT293" i="5" s="1"/>
  <c r="AQ292" i="5"/>
  <c r="AT292" i="5" s="1"/>
  <c r="AQ291" i="5"/>
  <c r="AT291" i="5" s="1"/>
  <c r="AQ290" i="5"/>
  <c r="AQ289" i="5"/>
  <c r="AT289" i="5" s="1"/>
  <c r="AQ288" i="5"/>
  <c r="AQ287" i="5"/>
  <c r="AT287" i="5" s="1"/>
  <c r="AQ286" i="5"/>
  <c r="AT286" i="5" s="1"/>
  <c r="AQ285" i="5"/>
  <c r="AT285" i="5" s="1"/>
  <c r="AQ284" i="5"/>
  <c r="AQ283" i="5"/>
  <c r="AT283" i="5" s="1"/>
  <c r="AQ282" i="5"/>
  <c r="AQ281" i="5"/>
  <c r="AT281" i="5" s="1"/>
  <c r="AQ280" i="5"/>
  <c r="AQ279" i="5"/>
  <c r="AT279" i="5" s="1"/>
  <c r="AQ278" i="5"/>
  <c r="AQ277" i="5"/>
  <c r="AT277" i="5" s="1"/>
  <c r="AQ276" i="5"/>
  <c r="AT276" i="5" s="1"/>
  <c r="AQ275" i="5"/>
  <c r="AT275" i="5" s="1"/>
  <c r="AQ274" i="5"/>
  <c r="AQ273" i="5"/>
  <c r="AT273" i="5" s="1"/>
  <c r="AQ272" i="5"/>
  <c r="AQ271" i="5"/>
  <c r="AQ270" i="5"/>
  <c r="AQ269" i="5"/>
  <c r="AT269" i="5" s="1"/>
  <c r="AQ268" i="5"/>
  <c r="AQ267" i="5"/>
  <c r="AT267" i="5" s="1"/>
  <c r="AQ266" i="5"/>
  <c r="AQ265" i="5"/>
  <c r="AQ264" i="5"/>
  <c r="AQ263" i="5"/>
  <c r="AT263" i="5" s="1"/>
  <c r="AQ262" i="5"/>
  <c r="AT262" i="5" s="1"/>
  <c r="AQ261" i="5"/>
  <c r="AT261" i="5" s="1"/>
  <c r="AQ260" i="5"/>
  <c r="AQ259" i="5"/>
  <c r="AT259" i="5" s="1"/>
  <c r="AQ258" i="5"/>
  <c r="AT258" i="5" s="1"/>
  <c r="AQ257" i="5"/>
  <c r="AQ256" i="5"/>
  <c r="AQ255" i="5"/>
  <c r="AT255" i="5" s="1"/>
  <c r="AQ254" i="5"/>
  <c r="AQ253" i="5"/>
  <c r="AT253" i="5" s="1"/>
  <c r="AQ252" i="5"/>
  <c r="AT252" i="5" s="1"/>
  <c r="AQ251" i="5"/>
  <c r="AT251" i="5" s="1"/>
  <c r="AQ250" i="5"/>
  <c r="AQ249" i="5"/>
  <c r="AT249" i="5" s="1"/>
  <c r="AQ248" i="5"/>
  <c r="AT248" i="5" s="1"/>
  <c r="AQ247" i="5"/>
  <c r="AT247" i="5" s="1"/>
  <c r="AQ246" i="5"/>
  <c r="AQ245" i="5"/>
  <c r="AT245" i="5" s="1"/>
  <c r="AQ244" i="5"/>
  <c r="AT244" i="5" s="1"/>
  <c r="AQ243" i="5"/>
  <c r="AT243" i="5" s="1"/>
  <c r="AQ242" i="5"/>
  <c r="AQ241" i="5"/>
  <c r="AQ240" i="5"/>
  <c r="AT240" i="5" s="1"/>
  <c r="AQ239" i="5"/>
  <c r="AT239" i="5" s="1"/>
  <c r="AQ238" i="5"/>
  <c r="AQ237" i="5"/>
  <c r="AT237" i="5" s="1"/>
  <c r="AQ236" i="5"/>
  <c r="AT236" i="5" s="1"/>
  <c r="AQ235" i="5"/>
  <c r="AT235" i="5" s="1"/>
  <c r="AQ234" i="5"/>
  <c r="AQ233" i="5"/>
  <c r="AT233" i="5" s="1"/>
  <c r="AQ232" i="5"/>
  <c r="AT232" i="5" s="1"/>
  <c r="AQ231" i="5"/>
  <c r="AT231" i="5" s="1"/>
  <c r="AQ230" i="5"/>
  <c r="AQ229" i="5"/>
  <c r="AT229" i="5" s="1"/>
  <c r="AQ228" i="5"/>
  <c r="AQ227" i="5"/>
  <c r="AT227" i="5" s="1"/>
  <c r="AQ226" i="5"/>
  <c r="AQ225" i="5"/>
  <c r="AT225" i="5" s="1"/>
  <c r="AQ224" i="5"/>
  <c r="AQ223" i="5"/>
  <c r="AQ222" i="5"/>
  <c r="AQ221" i="5"/>
  <c r="AT221" i="5" s="1"/>
  <c r="AQ220" i="5"/>
  <c r="AQ219" i="5"/>
  <c r="AT219" i="5" s="1"/>
  <c r="AQ218" i="5"/>
  <c r="AT218" i="5" s="1"/>
  <c r="AQ217" i="5"/>
  <c r="AT217" i="5" s="1"/>
  <c r="AQ216" i="5"/>
  <c r="AQ215" i="5"/>
  <c r="AT215" i="5" s="1"/>
  <c r="AQ214" i="5"/>
  <c r="AQ213" i="5"/>
  <c r="AT213" i="5" s="1"/>
  <c r="AQ212" i="5"/>
  <c r="AT212" i="5" s="1"/>
  <c r="AQ211" i="5"/>
  <c r="AT211" i="5" s="1"/>
  <c r="AQ210" i="5"/>
  <c r="AQ209" i="5"/>
  <c r="AT209" i="5" s="1"/>
  <c r="AQ208" i="5"/>
  <c r="AQ207" i="5"/>
  <c r="AT207" i="5" s="1"/>
  <c r="AQ206" i="5"/>
  <c r="AQ205" i="5"/>
  <c r="AT205" i="5" s="1"/>
  <c r="AQ204" i="5"/>
  <c r="AT204" i="5" s="1"/>
  <c r="AQ203" i="5"/>
  <c r="AT203" i="5" s="1"/>
  <c r="AQ202" i="5"/>
  <c r="AT202" i="5" s="1"/>
  <c r="AQ201" i="5"/>
  <c r="AT201" i="5" s="1"/>
  <c r="AQ200" i="5"/>
  <c r="AQ199" i="5"/>
  <c r="AT199" i="5" s="1"/>
  <c r="AQ198" i="5"/>
  <c r="AT198" i="5" s="1"/>
  <c r="AQ197" i="5"/>
  <c r="AT197" i="5" s="1"/>
  <c r="AQ196" i="5"/>
  <c r="AQ195" i="5"/>
  <c r="AT195" i="5" s="1"/>
  <c r="AQ194" i="5"/>
  <c r="AQ193" i="5"/>
  <c r="AT193" i="5" s="1"/>
  <c r="AQ192" i="5"/>
  <c r="AQ191" i="5"/>
  <c r="AT191" i="5" s="1"/>
  <c r="AQ190" i="5"/>
  <c r="AQ189" i="5"/>
  <c r="AT189" i="5" s="1"/>
  <c r="AQ188" i="5"/>
  <c r="AT188" i="5" s="1"/>
  <c r="AQ187" i="5"/>
  <c r="AT187" i="5" s="1"/>
  <c r="AQ186" i="5"/>
  <c r="AQ185" i="5"/>
  <c r="AT185" i="5" s="1"/>
  <c r="AQ184" i="5"/>
  <c r="AT184" i="5" s="1"/>
  <c r="AQ183" i="5"/>
  <c r="AQ182" i="5"/>
  <c r="AQ181" i="5"/>
  <c r="AT181" i="5" s="1"/>
  <c r="AQ180" i="5"/>
  <c r="AQ179" i="5"/>
  <c r="AT179" i="5" s="1"/>
  <c r="AQ178" i="5"/>
  <c r="AQ177" i="5"/>
  <c r="AT177" i="5" s="1"/>
  <c r="AQ176" i="5"/>
  <c r="AT176" i="5" s="1"/>
  <c r="AQ175" i="5"/>
  <c r="AT175" i="5" s="1"/>
  <c r="AQ174" i="5"/>
  <c r="AT174" i="5" s="1"/>
  <c r="AQ173" i="5"/>
  <c r="AT173" i="5" s="1"/>
  <c r="AQ172" i="5"/>
  <c r="AT172" i="5" s="1"/>
  <c r="AQ171" i="5"/>
  <c r="AT171" i="5" s="1"/>
  <c r="AQ170" i="5"/>
  <c r="AQ169" i="5"/>
  <c r="AT169" i="5" s="1"/>
  <c r="AQ168" i="5"/>
  <c r="AT168" i="5" s="1"/>
  <c r="AQ167" i="5"/>
  <c r="AT167" i="5" s="1"/>
  <c r="AQ166" i="5"/>
  <c r="AQ165" i="5"/>
  <c r="AT165" i="5" s="1"/>
  <c r="AQ164" i="5"/>
  <c r="AT164" i="5" s="1"/>
  <c r="AQ163" i="5"/>
  <c r="AT163" i="5" s="1"/>
  <c r="AQ162" i="5"/>
  <c r="AQ161" i="5"/>
  <c r="AT161" i="5" s="1"/>
  <c r="AQ160" i="5"/>
  <c r="AQ159" i="5"/>
  <c r="AT159" i="5" s="1"/>
  <c r="AQ158" i="5"/>
  <c r="AQ157" i="5"/>
  <c r="AT157" i="5" s="1"/>
  <c r="AQ156" i="5"/>
  <c r="AQ155" i="5"/>
  <c r="AT155" i="5" s="1"/>
  <c r="AQ154" i="5"/>
  <c r="AQ153" i="5"/>
  <c r="AT153" i="5" s="1"/>
  <c r="AQ152" i="5"/>
  <c r="AQ151" i="5"/>
  <c r="AT151" i="5" s="1"/>
  <c r="AQ150" i="5"/>
  <c r="AT150" i="5" s="1"/>
  <c r="AQ149" i="5"/>
  <c r="AT149" i="5" s="1"/>
  <c r="AQ148" i="5"/>
  <c r="AT148" i="5" s="1"/>
  <c r="AQ147" i="5"/>
  <c r="AT147" i="5" s="1"/>
  <c r="AQ146" i="5"/>
  <c r="AT146" i="5" s="1"/>
  <c r="AQ145" i="5"/>
  <c r="AT145" i="5" s="1"/>
  <c r="AQ144" i="5"/>
  <c r="AQ143" i="5"/>
  <c r="AT143" i="5" s="1"/>
  <c r="AQ142" i="5"/>
  <c r="AQ141" i="5"/>
  <c r="AT141" i="5" s="1"/>
  <c r="AQ140" i="5"/>
  <c r="AT140" i="5" s="1"/>
  <c r="AQ139" i="5"/>
  <c r="AT139" i="5" s="1"/>
  <c r="AQ138" i="5"/>
  <c r="AQ137" i="5"/>
  <c r="AT137" i="5" s="1"/>
  <c r="AQ136" i="5"/>
  <c r="AQ135" i="5"/>
  <c r="AT135" i="5" s="1"/>
  <c r="AQ134" i="5"/>
  <c r="AQ133" i="5"/>
  <c r="AT133" i="5" s="1"/>
  <c r="AQ132" i="5"/>
  <c r="AQ131" i="5"/>
  <c r="AT131" i="5" s="1"/>
  <c r="AQ130" i="5"/>
  <c r="AT130" i="5" s="1"/>
  <c r="AQ129" i="5"/>
  <c r="AT129" i="5" s="1"/>
  <c r="AQ128" i="5"/>
  <c r="AQ127" i="5"/>
  <c r="AQ126" i="5"/>
  <c r="AQ125" i="5"/>
  <c r="AT125" i="5" s="1"/>
  <c r="AQ124" i="5"/>
  <c r="AT124" i="5" s="1"/>
  <c r="AQ123" i="5"/>
  <c r="AT123" i="5" s="1"/>
  <c r="AQ122" i="5"/>
  <c r="AQ121" i="5"/>
  <c r="AQ120" i="5"/>
  <c r="AQ119" i="5"/>
  <c r="AQ118" i="5"/>
  <c r="AQ117" i="5"/>
  <c r="AT117" i="5" s="1"/>
  <c r="AQ116" i="5"/>
  <c r="AT116" i="5" s="1"/>
  <c r="AQ115" i="5"/>
  <c r="AT115" i="5" s="1"/>
  <c r="AQ114" i="5"/>
  <c r="AQ113" i="5"/>
  <c r="AT113" i="5" s="1"/>
  <c r="AQ112" i="5"/>
  <c r="AT112" i="5" s="1"/>
  <c r="AQ111" i="5"/>
  <c r="AT111" i="5" s="1"/>
  <c r="AQ110" i="5"/>
  <c r="AQ109" i="5"/>
  <c r="AT109" i="5" s="1"/>
  <c r="AQ108" i="5"/>
  <c r="AT108" i="5" s="1"/>
  <c r="AQ107" i="5"/>
  <c r="AT107" i="5" s="1"/>
  <c r="AQ106" i="5"/>
  <c r="AQ105" i="5"/>
  <c r="AT105" i="5" s="1"/>
  <c r="AQ104" i="5"/>
  <c r="AQ103" i="5"/>
  <c r="AT103" i="5" s="1"/>
  <c r="AQ102" i="5"/>
  <c r="AQ101" i="5"/>
  <c r="AT101" i="5" s="1"/>
  <c r="AQ100" i="5"/>
  <c r="AT100" i="5" s="1"/>
  <c r="AQ99" i="5"/>
  <c r="AT99" i="5" s="1"/>
  <c r="AQ98" i="5"/>
  <c r="AQ97" i="5"/>
  <c r="AT97" i="5" s="1"/>
  <c r="AQ96" i="5"/>
  <c r="AQ95" i="5"/>
  <c r="AQ94" i="5"/>
  <c r="AQ93" i="5"/>
  <c r="AT93" i="5" s="1"/>
  <c r="AQ92" i="5"/>
  <c r="AQ91" i="5"/>
  <c r="AT91" i="5" s="1"/>
  <c r="AQ90" i="5"/>
  <c r="AQ89" i="5"/>
  <c r="AT89" i="5" s="1"/>
  <c r="AQ88" i="5"/>
  <c r="AQ87" i="5"/>
  <c r="AT87" i="5" s="1"/>
  <c r="AQ86" i="5"/>
  <c r="AQ85" i="5"/>
  <c r="AT85" i="5" s="1"/>
  <c r="AQ84" i="5"/>
  <c r="AQ83" i="5"/>
  <c r="AT83" i="5" s="1"/>
  <c r="AQ82" i="5"/>
  <c r="AQ81" i="5"/>
  <c r="AQ80" i="5"/>
  <c r="AQ79" i="5"/>
  <c r="AT79" i="5" s="1"/>
  <c r="AQ78" i="5"/>
  <c r="AT78" i="5" s="1"/>
  <c r="AQ77" i="5"/>
  <c r="AT77" i="5" s="1"/>
  <c r="AQ76" i="5"/>
  <c r="AT76" i="5" s="1"/>
  <c r="AQ75" i="5"/>
  <c r="AT75" i="5" s="1"/>
  <c r="AQ74" i="5"/>
  <c r="AQ73" i="5"/>
  <c r="AT73" i="5" s="1"/>
  <c r="AQ72" i="5"/>
  <c r="AQ71" i="5"/>
  <c r="AT71" i="5" s="1"/>
  <c r="AQ69" i="5"/>
  <c r="AT69" i="5" s="1"/>
  <c r="AQ68" i="5"/>
  <c r="AT68" i="5" s="1"/>
  <c r="AQ67" i="5"/>
  <c r="AT67" i="5" s="1"/>
  <c r="AQ66" i="5"/>
  <c r="AQ65" i="5"/>
  <c r="AQ64" i="5"/>
  <c r="AQ63" i="5"/>
  <c r="AT63" i="5" s="1"/>
  <c r="AQ62" i="5"/>
  <c r="AQ61" i="5"/>
  <c r="AT61" i="5" s="1"/>
  <c r="AQ60" i="5"/>
  <c r="AT60" i="5" s="1"/>
  <c r="AQ59" i="5"/>
  <c r="AT59" i="5" s="1"/>
  <c r="AQ58" i="5"/>
  <c r="AT58" i="5" s="1"/>
  <c r="AQ57" i="5"/>
  <c r="AQ56" i="5"/>
  <c r="AT56" i="5" s="1"/>
  <c r="AQ55" i="5"/>
  <c r="AT55" i="5" s="1"/>
  <c r="AQ54" i="5"/>
  <c r="AQ53" i="5"/>
  <c r="AT53" i="5" s="1"/>
  <c r="AQ52" i="5"/>
  <c r="AT52" i="5" s="1"/>
  <c r="AQ51" i="5"/>
  <c r="AT51" i="5" s="1"/>
  <c r="AQ50" i="5"/>
  <c r="AQ49" i="5"/>
  <c r="AT49" i="5" s="1"/>
  <c r="AQ48" i="5"/>
  <c r="AQ47" i="5"/>
  <c r="AT47" i="5" s="1"/>
  <c r="AQ46" i="5"/>
  <c r="AT46" i="5" s="1"/>
  <c r="AQ45" i="5"/>
  <c r="AT45" i="5" s="1"/>
  <c r="AQ44" i="5"/>
  <c r="AT44" i="5" s="1"/>
  <c r="AQ43" i="5"/>
  <c r="AT43" i="5" s="1"/>
  <c r="AQ42" i="5"/>
  <c r="AT42" i="5" s="1"/>
  <c r="AQ41" i="5"/>
  <c r="AQ40" i="5"/>
  <c r="AQ39" i="5"/>
  <c r="AT39" i="5" s="1"/>
  <c r="AQ38" i="5"/>
  <c r="AQ37" i="5"/>
  <c r="AT37" i="5" s="1"/>
  <c r="AQ36" i="5"/>
  <c r="AT36" i="5" s="1"/>
  <c r="AQ35" i="5"/>
  <c r="AT35" i="5" s="1"/>
  <c r="AQ34" i="5"/>
  <c r="AQ33" i="5"/>
  <c r="AQ32" i="5"/>
  <c r="AQ31" i="5"/>
  <c r="AQ30" i="5"/>
  <c r="AT30" i="5" s="1"/>
  <c r="AQ29" i="5"/>
  <c r="AT29" i="5" s="1"/>
  <c r="AQ28" i="5"/>
  <c r="AQ27" i="5"/>
  <c r="AT27" i="5" s="1"/>
  <c r="AQ26" i="5"/>
  <c r="AT26" i="5" s="1"/>
  <c r="AQ25" i="5"/>
  <c r="AT25" i="5" s="1"/>
  <c r="AQ24" i="5"/>
  <c r="AT24" i="5" s="1"/>
  <c r="AQ23" i="5"/>
  <c r="AT23" i="5" s="1"/>
  <c r="AQ22" i="5"/>
  <c r="AQ21" i="5"/>
  <c r="AT21" i="5" s="1"/>
  <c r="AQ20" i="5"/>
  <c r="AT20" i="5" s="1"/>
  <c r="AQ19" i="5"/>
  <c r="AT19" i="5" s="1"/>
  <c r="AQ18" i="5"/>
  <c r="AQ17" i="5"/>
  <c r="AT17" i="5" s="1"/>
  <c r="AQ16" i="5"/>
  <c r="AT16" i="5" s="1"/>
  <c r="AQ15" i="5"/>
  <c r="AT15" i="5" s="1"/>
  <c r="AQ14" i="5"/>
  <c r="AT14" i="5" s="1"/>
  <c r="AQ13" i="5"/>
  <c r="AT13" i="5" s="1"/>
  <c r="AQ12" i="5"/>
  <c r="AT12" i="5" s="1"/>
  <c r="AQ11" i="5"/>
  <c r="AQ10" i="5"/>
  <c r="AM408" i="5"/>
  <c r="AM407" i="5"/>
  <c r="AM406" i="5"/>
  <c r="AM405" i="5"/>
  <c r="AM404" i="5"/>
  <c r="AM403" i="5"/>
  <c r="AM402" i="5"/>
  <c r="AM401" i="5"/>
  <c r="AM400" i="5"/>
  <c r="AM399" i="5"/>
  <c r="AM398" i="5"/>
  <c r="AM397" i="5"/>
  <c r="AM396" i="5"/>
  <c r="AM395" i="5"/>
  <c r="AM394" i="5"/>
  <c r="AM393" i="5"/>
  <c r="AM392" i="5"/>
  <c r="AM391" i="5"/>
  <c r="AM390" i="5"/>
  <c r="AM389" i="5"/>
  <c r="AM388" i="5"/>
  <c r="AM387" i="5"/>
  <c r="AM386" i="5"/>
  <c r="AM385" i="5"/>
  <c r="AM384" i="5"/>
  <c r="AM383" i="5"/>
  <c r="AM382" i="5"/>
  <c r="AM381" i="5"/>
  <c r="AM380" i="5"/>
  <c r="AM379" i="5"/>
  <c r="AM378" i="5"/>
  <c r="AM377" i="5"/>
  <c r="AM376" i="5"/>
  <c r="AM375" i="5"/>
  <c r="AM374" i="5"/>
  <c r="AM373" i="5"/>
  <c r="AM372" i="5"/>
  <c r="AM371" i="5"/>
  <c r="AM370" i="5"/>
  <c r="AM369" i="5"/>
  <c r="AM368" i="5"/>
  <c r="AM367" i="5"/>
  <c r="AM366" i="5"/>
  <c r="AM365" i="5"/>
  <c r="AM364" i="5"/>
  <c r="AM363" i="5"/>
  <c r="AM362" i="5"/>
  <c r="AM361" i="5"/>
  <c r="AM360" i="5"/>
  <c r="AM359" i="5"/>
  <c r="AM358" i="5"/>
  <c r="AM357" i="5"/>
  <c r="AM356" i="5"/>
  <c r="AM355" i="5"/>
  <c r="AM354" i="5"/>
  <c r="AM353" i="5"/>
  <c r="AM352" i="5"/>
  <c r="AM351" i="5"/>
  <c r="AM350" i="5"/>
  <c r="AM349" i="5"/>
  <c r="AM348" i="5"/>
  <c r="AM347" i="5"/>
  <c r="AM346" i="5"/>
  <c r="AM345" i="5"/>
  <c r="AM344" i="5"/>
  <c r="AM343" i="5"/>
  <c r="AM342" i="5"/>
  <c r="AM341" i="5"/>
  <c r="AM340" i="5"/>
  <c r="AM339" i="5"/>
  <c r="AM338" i="5"/>
  <c r="AM337" i="5"/>
  <c r="AM336" i="5"/>
  <c r="AM335" i="5"/>
  <c r="AM334" i="5"/>
  <c r="AM333" i="5"/>
  <c r="AM332" i="5"/>
  <c r="AM331" i="5"/>
  <c r="AM330" i="5"/>
  <c r="AM329" i="5"/>
  <c r="AM328" i="5"/>
  <c r="AM327" i="5"/>
  <c r="AM326" i="5"/>
  <c r="AM325" i="5"/>
  <c r="AM324" i="5"/>
  <c r="AM323" i="5"/>
  <c r="AM322" i="5"/>
  <c r="AM321" i="5"/>
  <c r="AM320" i="5"/>
  <c r="AM319" i="5"/>
  <c r="AM318" i="5"/>
  <c r="AM317" i="5"/>
  <c r="AM316" i="5"/>
  <c r="AM315" i="5"/>
  <c r="AM314" i="5"/>
  <c r="AM313" i="5"/>
  <c r="AM312" i="5"/>
  <c r="AM311" i="5"/>
  <c r="AM310" i="5"/>
  <c r="AM309" i="5"/>
  <c r="AM308" i="5"/>
  <c r="AM307" i="5"/>
  <c r="AM306" i="5"/>
  <c r="AM305" i="5"/>
  <c r="AM304" i="5"/>
  <c r="AM303" i="5"/>
  <c r="AM302" i="5"/>
  <c r="AM301" i="5"/>
  <c r="AM300" i="5"/>
  <c r="AM299" i="5"/>
  <c r="AM298" i="5"/>
  <c r="AM297" i="5"/>
  <c r="AM296" i="5"/>
  <c r="AM295" i="5"/>
  <c r="AM294" i="5"/>
  <c r="AM293" i="5"/>
  <c r="AM292" i="5"/>
  <c r="AM291" i="5"/>
  <c r="AM290" i="5"/>
  <c r="AM289" i="5"/>
  <c r="AM288" i="5"/>
  <c r="AM287" i="5"/>
  <c r="AM286" i="5"/>
  <c r="AM285" i="5"/>
  <c r="AM284" i="5"/>
  <c r="AM283" i="5"/>
  <c r="AM282" i="5"/>
  <c r="AM281" i="5"/>
  <c r="AM280" i="5"/>
  <c r="AM279" i="5"/>
  <c r="AM278" i="5"/>
  <c r="AM277" i="5"/>
  <c r="AM276" i="5"/>
  <c r="AM275" i="5"/>
  <c r="AM274" i="5"/>
  <c r="AM273" i="5"/>
  <c r="AM272" i="5"/>
  <c r="AM271" i="5"/>
  <c r="AM270" i="5"/>
  <c r="AM269" i="5"/>
  <c r="AM268" i="5"/>
  <c r="AM267" i="5"/>
  <c r="AM266" i="5"/>
  <c r="AM265" i="5"/>
  <c r="AM264" i="5"/>
  <c r="AM263" i="5"/>
  <c r="AM262" i="5"/>
  <c r="AM261" i="5"/>
  <c r="AM260" i="5"/>
  <c r="AM259" i="5"/>
  <c r="AM258" i="5"/>
  <c r="AM257" i="5"/>
  <c r="AM256" i="5"/>
  <c r="AM255" i="5"/>
  <c r="AM254" i="5"/>
  <c r="AM253" i="5"/>
  <c r="AM252" i="5"/>
  <c r="AM251" i="5"/>
  <c r="AM250" i="5"/>
  <c r="AM249" i="5"/>
  <c r="AM248" i="5"/>
  <c r="AM247" i="5"/>
  <c r="AM246" i="5"/>
  <c r="AM245" i="5"/>
  <c r="AM244" i="5"/>
  <c r="AM243" i="5"/>
  <c r="AM242" i="5"/>
  <c r="AM241" i="5"/>
  <c r="AM240" i="5"/>
  <c r="AM239" i="5"/>
  <c r="AM238" i="5"/>
  <c r="AM237" i="5"/>
  <c r="AM236" i="5"/>
  <c r="AM235" i="5"/>
  <c r="AM234" i="5"/>
  <c r="AM233" i="5"/>
  <c r="AM232" i="5"/>
  <c r="AM231" i="5"/>
  <c r="AM230" i="5"/>
  <c r="AM229" i="5"/>
  <c r="AM228" i="5"/>
  <c r="AM227" i="5"/>
  <c r="AM226" i="5"/>
  <c r="AM225" i="5"/>
  <c r="AM224" i="5"/>
  <c r="AM223" i="5"/>
  <c r="AM222" i="5"/>
  <c r="AM221" i="5"/>
  <c r="AM220" i="5"/>
  <c r="AM219" i="5"/>
  <c r="AM218" i="5"/>
  <c r="AM217" i="5"/>
  <c r="AM216" i="5"/>
  <c r="AM215" i="5"/>
  <c r="AM214" i="5"/>
  <c r="AM213" i="5"/>
  <c r="AM212" i="5"/>
  <c r="AM211" i="5"/>
  <c r="AM210" i="5"/>
  <c r="AM209" i="5"/>
  <c r="AM208" i="5"/>
  <c r="AM207" i="5"/>
  <c r="AM206" i="5"/>
  <c r="AM205" i="5"/>
  <c r="AM204" i="5"/>
  <c r="AM203" i="5"/>
  <c r="AM202" i="5"/>
  <c r="AM201" i="5"/>
  <c r="AM200" i="5"/>
  <c r="AM199" i="5"/>
  <c r="AM198" i="5"/>
  <c r="AM197" i="5"/>
  <c r="AM196" i="5"/>
  <c r="AM195" i="5"/>
  <c r="AM194" i="5"/>
  <c r="AM193" i="5"/>
  <c r="AM192" i="5"/>
  <c r="AM191" i="5"/>
  <c r="AM190" i="5"/>
  <c r="AM189" i="5"/>
  <c r="AM188" i="5"/>
  <c r="AM187" i="5"/>
  <c r="AM186" i="5"/>
  <c r="AM185" i="5"/>
  <c r="AM184" i="5"/>
  <c r="AM183" i="5"/>
  <c r="AM182" i="5"/>
  <c r="AM181" i="5"/>
  <c r="AM180" i="5"/>
  <c r="AM179" i="5"/>
  <c r="AM178" i="5"/>
  <c r="AM177" i="5"/>
  <c r="AM176" i="5"/>
  <c r="AM175" i="5"/>
  <c r="AM174" i="5"/>
  <c r="AM173" i="5"/>
  <c r="AM172" i="5"/>
  <c r="AM171" i="5"/>
  <c r="AM170" i="5"/>
  <c r="AM169" i="5"/>
  <c r="AM168" i="5"/>
  <c r="AM167" i="5"/>
  <c r="AM166" i="5"/>
  <c r="AM165" i="5"/>
  <c r="AM164" i="5"/>
  <c r="AM163" i="5"/>
  <c r="AM162" i="5"/>
  <c r="AM161" i="5"/>
  <c r="AM160" i="5"/>
  <c r="AM159" i="5"/>
  <c r="AM158" i="5"/>
  <c r="AM157" i="5"/>
  <c r="AM156" i="5"/>
  <c r="AM155" i="5"/>
  <c r="AM154" i="5"/>
  <c r="AM153" i="5"/>
  <c r="AM152" i="5"/>
  <c r="AM151" i="5"/>
  <c r="AM150" i="5"/>
  <c r="AM149" i="5"/>
  <c r="AM148" i="5"/>
  <c r="AM147" i="5"/>
  <c r="AM146" i="5"/>
  <c r="AM145" i="5"/>
  <c r="AM144" i="5"/>
  <c r="AM143" i="5"/>
  <c r="AM142" i="5"/>
  <c r="AM141" i="5"/>
  <c r="AM140" i="5"/>
  <c r="AM139" i="5"/>
  <c r="AM138" i="5"/>
  <c r="AM137" i="5"/>
  <c r="AM136" i="5"/>
  <c r="AM135" i="5"/>
  <c r="AM134" i="5"/>
  <c r="AM133" i="5"/>
  <c r="AM132" i="5"/>
  <c r="AM131" i="5"/>
  <c r="AM130" i="5"/>
  <c r="AM129" i="5"/>
  <c r="AM128" i="5"/>
  <c r="AM127" i="5"/>
  <c r="AM126" i="5"/>
  <c r="AM125" i="5"/>
  <c r="AM124" i="5"/>
  <c r="AM123" i="5"/>
  <c r="AM122" i="5"/>
  <c r="AM121" i="5"/>
  <c r="AM120" i="5"/>
  <c r="AM119" i="5"/>
  <c r="AM118" i="5"/>
  <c r="AM117" i="5"/>
  <c r="AM116" i="5"/>
  <c r="AM115" i="5"/>
  <c r="AM114" i="5"/>
  <c r="AM113" i="5"/>
  <c r="AM112" i="5"/>
  <c r="AM111" i="5"/>
  <c r="AM110" i="5"/>
  <c r="AM109" i="5"/>
  <c r="AM108" i="5"/>
  <c r="AM107" i="5"/>
  <c r="AM106" i="5"/>
  <c r="AM105" i="5"/>
  <c r="AM104" i="5"/>
  <c r="AM103" i="5"/>
  <c r="AM102" i="5"/>
  <c r="AM101" i="5"/>
  <c r="AM100" i="5"/>
  <c r="AM99" i="5"/>
  <c r="AM98" i="5"/>
  <c r="AM97" i="5"/>
  <c r="AM96" i="5"/>
  <c r="AM95" i="5"/>
  <c r="AM94" i="5"/>
  <c r="AM93" i="5"/>
  <c r="AM92" i="5"/>
  <c r="AM91" i="5"/>
  <c r="AM90" i="5"/>
  <c r="AM89" i="5"/>
  <c r="AM88" i="5"/>
  <c r="AM87" i="5"/>
  <c r="AM86" i="5"/>
  <c r="AM85" i="5"/>
  <c r="AM84" i="5"/>
  <c r="AM83" i="5"/>
  <c r="AM82" i="5"/>
  <c r="AM81" i="5"/>
  <c r="AM80" i="5"/>
  <c r="AM79" i="5"/>
  <c r="AM78" i="5"/>
  <c r="AM77" i="5"/>
  <c r="AM76" i="5"/>
  <c r="AM75" i="5"/>
  <c r="AM74" i="5"/>
  <c r="AM73" i="5"/>
  <c r="AM72" i="5"/>
  <c r="AM71" i="5"/>
  <c r="AM69" i="5"/>
  <c r="AM68" i="5"/>
  <c r="AM67" i="5"/>
  <c r="AM66" i="5"/>
  <c r="AM65" i="5"/>
  <c r="AM64" i="5"/>
  <c r="AM63" i="5"/>
  <c r="AM62" i="5"/>
  <c r="AM61" i="5"/>
  <c r="AM60" i="5"/>
  <c r="AM59" i="5"/>
  <c r="AM58" i="5"/>
  <c r="AM57" i="5"/>
  <c r="AM56" i="5"/>
  <c r="AM55" i="5"/>
  <c r="AM54" i="5"/>
  <c r="AM53" i="5"/>
  <c r="AM52" i="5"/>
  <c r="AM51" i="5"/>
  <c r="AM50" i="5"/>
  <c r="AM49" i="5"/>
  <c r="AM48" i="5"/>
  <c r="AM47" i="5"/>
  <c r="AM46" i="5"/>
  <c r="AM45" i="5"/>
  <c r="AM44" i="5"/>
  <c r="AM43" i="5"/>
  <c r="AM42" i="5"/>
  <c r="AM41" i="5"/>
  <c r="AM40" i="5"/>
  <c r="AM39" i="5"/>
  <c r="AM38" i="5"/>
  <c r="AM37" i="5"/>
  <c r="AM36" i="5"/>
  <c r="AM35" i="5"/>
  <c r="AM34" i="5"/>
  <c r="AM33" i="5"/>
  <c r="AM32" i="5"/>
  <c r="AM31" i="5"/>
  <c r="AM30" i="5"/>
  <c r="AM29" i="5"/>
  <c r="AM28" i="5"/>
  <c r="AM27" i="5"/>
  <c r="AM26" i="5"/>
  <c r="AM25" i="5"/>
  <c r="AM24" i="5"/>
  <c r="AM23" i="5"/>
  <c r="AM22" i="5"/>
  <c r="AM21" i="5"/>
  <c r="AM20" i="5"/>
  <c r="AM19" i="5"/>
  <c r="AM18" i="5"/>
  <c r="AM17" i="5"/>
  <c r="AM16" i="5"/>
  <c r="AM15" i="5"/>
  <c r="AM14" i="5"/>
  <c r="AM13" i="5"/>
  <c r="AM12" i="5"/>
  <c r="AM11" i="5"/>
  <c r="AM10" i="5"/>
  <c r="DN188" i="3"/>
  <c r="EJ9" i="3" s="1"/>
  <c r="DN187" i="3"/>
  <c r="J12" i="20"/>
  <c r="DN192" i="3"/>
  <c r="EJ15" i="3" s="1"/>
  <c r="M10" i="20"/>
  <c r="M9" i="20"/>
  <c r="M8" i="20"/>
  <c r="M7" i="20"/>
  <c r="M6" i="20"/>
  <c r="M5" i="20"/>
  <c r="M4" i="20"/>
  <c r="M11" i="20"/>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L10" i="20"/>
  <c r="L9" i="20"/>
  <c r="L8" i="20"/>
  <c r="L7" i="20"/>
  <c r="L6" i="20"/>
  <c r="L5" i="20"/>
  <c r="L4" i="20"/>
  <c r="O1" i="5"/>
  <c r="K8" i="20"/>
  <c r="K7" i="20"/>
  <c r="K6" i="20"/>
  <c r="K5" i="20"/>
  <c r="K4" i="20"/>
  <c r="J7" i="20"/>
  <c r="J10" i="20"/>
  <c r="J9" i="20"/>
  <c r="J8" i="20"/>
  <c r="J6" i="20"/>
  <c r="J5" i="20"/>
  <c r="A100" i="8"/>
  <c r="AA49" i="7" s="1"/>
  <c r="A99" i="8"/>
  <c r="Z46" i="7" s="1"/>
  <c r="A98" i="8"/>
  <c r="Z32" i="7" s="1"/>
  <c r="BS215" i="3"/>
  <c r="BS214" i="3"/>
  <c r="AO16" i="3"/>
  <c r="Z408" i="5"/>
  <c r="Z407" i="5"/>
  <c r="Z406" i="5"/>
  <c r="Z405" i="5"/>
  <c r="Z404" i="5"/>
  <c r="Z403" i="5"/>
  <c r="Z402" i="5"/>
  <c r="Z401" i="5"/>
  <c r="Z400" i="5"/>
  <c r="Z399" i="5"/>
  <c r="Z398" i="5"/>
  <c r="Z397" i="5"/>
  <c r="Z396" i="5"/>
  <c r="Z395" i="5"/>
  <c r="Z394" i="5"/>
  <c r="Z393" i="5"/>
  <c r="Z392" i="5"/>
  <c r="Z391" i="5"/>
  <c r="Z390" i="5"/>
  <c r="Z389" i="5"/>
  <c r="Z388" i="5"/>
  <c r="Z387" i="5"/>
  <c r="Z386" i="5"/>
  <c r="Z385" i="5"/>
  <c r="Z384" i="5"/>
  <c r="Z383" i="5"/>
  <c r="Z382" i="5"/>
  <c r="Z381" i="5"/>
  <c r="Z380" i="5"/>
  <c r="Z379" i="5"/>
  <c r="Z378" i="5"/>
  <c r="Z377" i="5"/>
  <c r="Z376" i="5"/>
  <c r="Z375" i="5"/>
  <c r="Z374" i="5"/>
  <c r="Z373" i="5"/>
  <c r="Z372" i="5"/>
  <c r="Z371" i="5"/>
  <c r="Z370" i="5"/>
  <c r="Z369" i="5"/>
  <c r="Z368" i="5"/>
  <c r="Z367" i="5"/>
  <c r="Z366" i="5"/>
  <c r="Z365" i="5"/>
  <c r="Z364" i="5"/>
  <c r="Z363" i="5"/>
  <c r="Z362" i="5"/>
  <c r="Z361" i="5"/>
  <c r="Z360" i="5"/>
  <c r="Z359" i="5"/>
  <c r="Z358" i="5"/>
  <c r="Z357" i="5"/>
  <c r="Z356" i="5"/>
  <c r="Z355" i="5"/>
  <c r="Z354" i="5"/>
  <c r="Z353" i="5"/>
  <c r="Z352" i="5"/>
  <c r="Z351" i="5"/>
  <c r="Z350" i="5"/>
  <c r="Z349" i="5"/>
  <c r="Z348" i="5"/>
  <c r="Z347" i="5"/>
  <c r="Z346" i="5"/>
  <c r="Z345" i="5"/>
  <c r="Z344" i="5"/>
  <c r="Z343" i="5"/>
  <c r="Z342" i="5"/>
  <c r="Z341" i="5"/>
  <c r="Z340" i="5"/>
  <c r="Z339" i="5"/>
  <c r="Z338" i="5"/>
  <c r="Z337" i="5"/>
  <c r="Z336" i="5"/>
  <c r="Z335" i="5"/>
  <c r="Z334" i="5"/>
  <c r="Z333" i="5"/>
  <c r="Z332" i="5"/>
  <c r="Z331" i="5"/>
  <c r="Z330" i="5"/>
  <c r="Z329" i="5"/>
  <c r="Z328" i="5"/>
  <c r="Z327" i="5"/>
  <c r="Z326" i="5"/>
  <c r="Z325" i="5"/>
  <c r="Z324" i="5"/>
  <c r="Z323" i="5"/>
  <c r="Z322" i="5"/>
  <c r="Z321" i="5"/>
  <c r="Z320" i="5"/>
  <c r="Z319" i="5"/>
  <c r="Z318" i="5"/>
  <c r="Z317" i="5"/>
  <c r="Z316" i="5"/>
  <c r="Z315" i="5"/>
  <c r="Z314" i="5"/>
  <c r="Z313" i="5"/>
  <c r="Z312" i="5"/>
  <c r="Z311" i="5"/>
  <c r="Z310" i="5"/>
  <c r="Z309" i="5"/>
  <c r="Z308" i="5"/>
  <c r="Z307" i="5"/>
  <c r="Z306" i="5"/>
  <c r="Z305" i="5"/>
  <c r="Z304" i="5"/>
  <c r="Z303" i="5"/>
  <c r="Z302" i="5"/>
  <c r="Z301" i="5"/>
  <c r="Z300" i="5"/>
  <c r="Z299" i="5"/>
  <c r="Z298" i="5"/>
  <c r="Z297" i="5"/>
  <c r="Z296" i="5"/>
  <c r="Z295" i="5"/>
  <c r="Z294" i="5"/>
  <c r="Z293" i="5"/>
  <c r="Z292" i="5"/>
  <c r="Z291" i="5"/>
  <c r="Z290" i="5"/>
  <c r="Z289" i="5"/>
  <c r="Z288" i="5"/>
  <c r="Z287" i="5"/>
  <c r="Z286" i="5"/>
  <c r="Z285" i="5"/>
  <c r="Z284" i="5"/>
  <c r="Z283" i="5"/>
  <c r="Z282" i="5"/>
  <c r="Z281" i="5"/>
  <c r="Z280" i="5"/>
  <c r="Z279" i="5"/>
  <c r="Z278" i="5"/>
  <c r="Z277" i="5"/>
  <c r="Z276" i="5"/>
  <c r="Z275" i="5"/>
  <c r="Z274" i="5"/>
  <c r="Z273" i="5"/>
  <c r="Z272" i="5"/>
  <c r="Z271" i="5"/>
  <c r="Z270" i="5"/>
  <c r="Z269" i="5"/>
  <c r="Z268" i="5"/>
  <c r="Z267" i="5"/>
  <c r="Z266" i="5"/>
  <c r="Z265" i="5"/>
  <c r="Z264" i="5"/>
  <c r="Z263" i="5"/>
  <c r="Z262" i="5"/>
  <c r="Z261" i="5"/>
  <c r="Z260" i="5"/>
  <c r="Z259" i="5"/>
  <c r="Z258" i="5"/>
  <c r="Z257" i="5"/>
  <c r="Z256" i="5"/>
  <c r="Z255" i="5"/>
  <c r="Z254" i="5"/>
  <c r="Z253" i="5"/>
  <c r="Z252" i="5"/>
  <c r="Z251" i="5"/>
  <c r="Z250" i="5"/>
  <c r="Z249" i="5"/>
  <c r="Z248" i="5"/>
  <c r="Z247" i="5"/>
  <c r="Z246" i="5"/>
  <c r="Z245" i="5"/>
  <c r="Z244" i="5"/>
  <c r="Z243" i="5"/>
  <c r="Z242" i="5"/>
  <c r="Z241" i="5"/>
  <c r="Z240" i="5"/>
  <c r="Z239" i="5"/>
  <c r="Z238" i="5"/>
  <c r="Z237" i="5"/>
  <c r="Z236" i="5"/>
  <c r="Z235" i="5"/>
  <c r="Z234" i="5"/>
  <c r="Z233" i="5"/>
  <c r="Z232" i="5"/>
  <c r="Z231" i="5"/>
  <c r="Z230" i="5"/>
  <c r="Z229" i="5"/>
  <c r="Z228" i="5"/>
  <c r="Z227" i="5"/>
  <c r="Z226" i="5"/>
  <c r="Z225" i="5"/>
  <c r="Z224" i="5"/>
  <c r="Z223" i="5"/>
  <c r="Z222" i="5"/>
  <c r="Z221" i="5"/>
  <c r="Z220" i="5"/>
  <c r="Z219" i="5"/>
  <c r="Z218" i="5"/>
  <c r="Z217" i="5"/>
  <c r="Z216" i="5"/>
  <c r="Z215" i="5"/>
  <c r="Z214" i="5"/>
  <c r="Z213" i="5"/>
  <c r="Z212" i="5"/>
  <c r="Z211" i="5"/>
  <c r="Z210" i="5"/>
  <c r="Z209" i="5"/>
  <c r="Z208" i="5"/>
  <c r="Z207" i="5"/>
  <c r="Z206" i="5"/>
  <c r="Z205" i="5"/>
  <c r="Z204" i="5"/>
  <c r="Z203" i="5"/>
  <c r="Z202" i="5"/>
  <c r="Z201" i="5"/>
  <c r="Z200" i="5"/>
  <c r="Z199" i="5"/>
  <c r="Z198" i="5"/>
  <c r="Z197" i="5"/>
  <c r="Z196" i="5"/>
  <c r="Z195" i="5"/>
  <c r="Z194" i="5"/>
  <c r="Z193" i="5"/>
  <c r="Z192" i="5"/>
  <c r="Z191" i="5"/>
  <c r="Z190" i="5"/>
  <c r="Z189" i="5"/>
  <c r="Z188" i="5"/>
  <c r="Z187" i="5"/>
  <c r="Z186" i="5"/>
  <c r="Z185" i="5"/>
  <c r="Z184" i="5"/>
  <c r="Z183" i="5"/>
  <c r="Z182" i="5"/>
  <c r="Z181" i="5"/>
  <c r="Z180" i="5"/>
  <c r="Z179" i="5"/>
  <c r="Z178" i="5"/>
  <c r="Z177" i="5"/>
  <c r="Z176" i="5"/>
  <c r="Z175" i="5"/>
  <c r="Z174" i="5"/>
  <c r="Z173" i="5"/>
  <c r="Z172" i="5"/>
  <c r="Z171" i="5"/>
  <c r="Z170" i="5"/>
  <c r="Z169" i="5"/>
  <c r="Z168" i="5"/>
  <c r="Z167" i="5"/>
  <c r="Z166" i="5"/>
  <c r="Z165" i="5"/>
  <c r="Z164" i="5"/>
  <c r="Z163" i="5"/>
  <c r="Z162" i="5"/>
  <c r="Z161" i="5"/>
  <c r="Z160" i="5"/>
  <c r="Z159" i="5"/>
  <c r="Z158" i="5"/>
  <c r="Z157" i="5"/>
  <c r="Z156" i="5"/>
  <c r="Z155" i="5"/>
  <c r="Z154" i="5"/>
  <c r="Z153" i="5"/>
  <c r="Z152" i="5"/>
  <c r="Z151" i="5"/>
  <c r="Z150" i="5"/>
  <c r="Z149" i="5"/>
  <c r="Z148" i="5"/>
  <c r="Z147" i="5"/>
  <c r="Z146" i="5"/>
  <c r="Z145" i="5"/>
  <c r="Z144" i="5"/>
  <c r="Z143" i="5"/>
  <c r="Z142" i="5"/>
  <c r="Z141" i="5"/>
  <c r="Z140" i="5"/>
  <c r="Z139" i="5"/>
  <c r="Z138" i="5"/>
  <c r="Z137" i="5"/>
  <c r="Z136" i="5"/>
  <c r="Z135" i="5"/>
  <c r="Z134" i="5"/>
  <c r="Z133" i="5"/>
  <c r="Z132" i="5"/>
  <c r="Z131" i="5"/>
  <c r="Z130" i="5"/>
  <c r="Z129" i="5"/>
  <c r="Z128" i="5"/>
  <c r="Z127" i="5"/>
  <c r="Z126" i="5"/>
  <c r="Z125" i="5"/>
  <c r="Z124" i="5"/>
  <c r="Z123" i="5"/>
  <c r="Z122" i="5"/>
  <c r="Z121" i="5"/>
  <c r="Z120" i="5"/>
  <c r="Z119" i="5"/>
  <c r="Z118" i="5"/>
  <c r="Z117" i="5"/>
  <c r="Z116" i="5"/>
  <c r="Z115" i="5"/>
  <c r="Z114" i="5"/>
  <c r="Z113" i="5"/>
  <c r="Z112" i="5"/>
  <c r="Z111" i="5"/>
  <c r="Z110" i="5"/>
  <c r="Z109" i="5"/>
  <c r="Z108" i="5"/>
  <c r="Z107" i="5"/>
  <c r="Z106" i="5"/>
  <c r="Z105" i="5"/>
  <c r="Z104" i="5"/>
  <c r="Z103" i="5"/>
  <c r="Z102" i="5"/>
  <c r="Z101" i="5"/>
  <c r="Z100" i="5"/>
  <c r="Z99" i="5"/>
  <c r="Z98" i="5"/>
  <c r="Z97" i="5"/>
  <c r="Z96" i="5"/>
  <c r="Z95" i="5"/>
  <c r="Z94" i="5"/>
  <c r="Z93" i="5"/>
  <c r="Z92" i="5"/>
  <c r="Z91" i="5"/>
  <c r="Z90" i="5"/>
  <c r="Z89" i="5"/>
  <c r="Z88" i="5"/>
  <c r="Z87" i="5"/>
  <c r="Z86" i="5"/>
  <c r="Z85" i="5"/>
  <c r="Z84" i="5"/>
  <c r="Z83" i="5"/>
  <c r="Z82" i="5"/>
  <c r="Z81" i="5"/>
  <c r="Z80" i="5"/>
  <c r="Z79" i="5"/>
  <c r="Z78" i="5"/>
  <c r="Z77" i="5"/>
  <c r="Z76" i="5"/>
  <c r="Z75" i="5"/>
  <c r="Z74" i="5"/>
  <c r="Z73" i="5"/>
  <c r="Z72" i="5"/>
  <c r="Z71" i="5"/>
  <c r="Z70" i="5"/>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AV408" i="5"/>
  <c r="AV407" i="5"/>
  <c r="AV406" i="5"/>
  <c r="AV405" i="5"/>
  <c r="AV404" i="5"/>
  <c r="AV403" i="5"/>
  <c r="AV402" i="5"/>
  <c r="AV401" i="5"/>
  <c r="AV400" i="5"/>
  <c r="AV399" i="5"/>
  <c r="AV398" i="5"/>
  <c r="AV397" i="5"/>
  <c r="AV396" i="5"/>
  <c r="AV395" i="5"/>
  <c r="AV394" i="5"/>
  <c r="AV393" i="5"/>
  <c r="AV392" i="5"/>
  <c r="AV391" i="5"/>
  <c r="AV390" i="5"/>
  <c r="AV389" i="5"/>
  <c r="AV388" i="5"/>
  <c r="AV387" i="5"/>
  <c r="AV386" i="5"/>
  <c r="AV385" i="5"/>
  <c r="AV384" i="5"/>
  <c r="AV383" i="5"/>
  <c r="AV382" i="5"/>
  <c r="AV381" i="5"/>
  <c r="AV380" i="5"/>
  <c r="AV379" i="5"/>
  <c r="AV378" i="5"/>
  <c r="AV377" i="5"/>
  <c r="AV376" i="5"/>
  <c r="AV375" i="5"/>
  <c r="AV374" i="5"/>
  <c r="AV373" i="5"/>
  <c r="AV372" i="5"/>
  <c r="AV371" i="5"/>
  <c r="AV370" i="5"/>
  <c r="AV369" i="5"/>
  <c r="AV368" i="5"/>
  <c r="AV367" i="5"/>
  <c r="AV366" i="5"/>
  <c r="AV365" i="5"/>
  <c r="AV364" i="5"/>
  <c r="AV363" i="5"/>
  <c r="AV362" i="5"/>
  <c r="AV361" i="5"/>
  <c r="AV360" i="5"/>
  <c r="AV359" i="5"/>
  <c r="AV358" i="5"/>
  <c r="AV357" i="5"/>
  <c r="AV356" i="5"/>
  <c r="AV355" i="5"/>
  <c r="AV354" i="5"/>
  <c r="AV353" i="5"/>
  <c r="AV352" i="5"/>
  <c r="AV351" i="5"/>
  <c r="AV350" i="5"/>
  <c r="AV349" i="5"/>
  <c r="AV348" i="5"/>
  <c r="AV347" i="5"/>
  <c r="AV346" i="5"/>
  <c r="AV345" i="5"/>
  <c r="AV344" i="5"/>
  <c r="AV343" i="5"/>
  <c r="AV342" i="5"/>
  <c r="AV341" i="5"/>
  <c r="AV340" i="5"/>
  <c r="AV339" i="5"/>
  <c r="AV338" i="5"/>
  <c r="AV337" i="5"/>
  <c r="AV336" i="5"/>
  <c r="AV335" i="5"/>
  <c r="AV334" i="5"/>
  <c r="AV333" i="5"/>
  <c r="AV332" i="5"/>
  <c r="AV331" i="5"/>
  <c r="AV330" i="5"/>
  <c r="AV329" i="5"/>
  <c r="AV328" i="5"/>
  <c r="AV327" i="5"/>
  <c r="AV326" i="5"/>
  <c r="AV325" i="5"/>
  <c r="AV324" i="5"/>
  <c r="AV323" i="5"/>
  <c r="AV322" i="5"/>
  <c r="AV321" i="5"/>
  <c r="AV320" i="5"/>
  <c r="AV319" i="5"/>
  <c r="AV318" i="5"/>
  <c r="AV317" i="5"/>
  <c r="AV316" i="5"/>
  <c r="AV315" i="5"/>
  <c r="AV314" i="5"/>
  <c r="AV313" i="5"/>
  <c r="AV312" i="5"/>
  <c r="AV311" i="5"/>
  <c r="AV310" i="5"/>
  <c r="AV309" i="5"/>
  <c r="AV308" i="5"/>
  <c r="AV307" i="5"/>
  <c r="AV306" i="5"/>
  <c r="AV305" i="5"/>
  <c r="AV304" i="5"/>
  <c r="AV303" i="5"/>
  <c r="AV302" i="5"/>
  <c r="AV301" i="5"/>
  <c r="AV300" i="5"/>
  <c r="AV299" i="5"/>
  <c r="AV298" i="5"/>
  <c r="AV297" i="5"/>
  <c r="AV296" i="5"/>
  <c r="AV295" i="5"/>
  <c r="AV294" i="5"/>
  <c r="AV293" i="5"/>
  <c r="AV292" i="5"/>
  <c r="AV291" i="5"/>
  <c r="AV290" i="5"/>
  <c r="AV289" i="5"/>
  <c r="AV288" i="5"/>
  <c r="AV287" i="5"/>
  <c r="AV286" i="5"/>
  <c r="AV285" i="5"/>
  <c r="AV284" i="5"/>
  <c r="AV283" i="5"/>
  <c r="AV282" i="5"/>
  <c r="AV281" i="5"/>
  <c r="AV280" i="5"/>
  <c r="AV279" i="5"/>
  <c r="AV278" i="5"/>
  <c r="AV277" i="5"/>
  <c r="AV276" i="5"/>
  <c r="AV275" i="5"/>
  <c r="AV274" i="5"/>
  <c r="AV273" i="5"/>
  <c r="AV272" i="5"/>
  <c r="AV271" i="5"/>
  <c r="AV270" i="5"/>
  <c r="AV269" i="5"/>
  <c r="AV268" i="5"/>
  <c r="AV267" i="5"/>
  <c r="AV266" i="5"/>
  <c r="AV265" i="5"/>
  <c r="AV264" i="5"/>
  <c r="AV263" i="5"/>
  <c r="AV262" i="5"/>
  <c r="AV261" i="5"/>
  <c r="AV260" i="5"/>
  <c r="AV259" i="5"/>
  <c r="AV258" i="5"/>
  <c r="AV257" i="5"/>
  <c r="AV256" i="5"/>
  <c r="AV255" i="5"/>
  <c r="AV254" i="5"/>
  <c r="AV253" i="5"/>
  <c r="AV252" i="5"/>
  <c r="AV251" i="5"/>
  <c r="AV250" i="5"/>
  <c r="AV249" i="5"/>
  <c r="AV248" i="5"/>
  <c r="AV247" i="5"/>
  <c r="AV246" i="5"/>
  <c r="AV245" i="5"/>
  <c r="AV244" i="5"/>
  <c r="AV243" i="5"/>
  <c r="AV242" i="5"/>
  <c r="AV241" i="5"/>
  <c r="AV240" i="5"/>
  <c r="AV239" i="5"/>
  <c r="AV238" i="5"/>
  <c r="AV237" i="5"/>
  <c r="AV236" i="5"/>
  <c r="AV235" i="5"/>
  <c r="AV234" i="5"/>
  <c r="AV233" i="5"/>
  <c r="AV232" i="5"/>
  <c r="AV231" i="5"/>
  <c r="AV230" i="5"/>
  <c r="AV229" i="5"/>
  <c r="AV228" i="5"/>
  <c r="AV227" i="5"/>
  <c r="AV226" i="5"/>
  <c r="AV225" i="5"/>
  <c r="AV224" i="5"/>
  <c r="AV223" i="5"/>
  <c r="AV222" i="5"/>
  <c r="AV221" i="5"/>
  <c r="AV220" i="5"/>
  <c r="AV219" i="5"/>
  <c r="AV218" i="5"/>
  <c r="AV217" i="5"/>
  <c r="AV216" i="5"/>
  <c r="AV215" i="5"/>
  <c r="AV214" i="5"/>
  <c r="AV213" i="5"/>
  <c r="AV212" i="5"/>
  <c r="AV211" i="5"/>
  <c r="AV210" i="5"/>
  <c r="AV209" i="5"/>
  <c r="AV208" i="5"/>
  <c r="AV207" i="5"/>
  <c r="AV206" i="5"/>
  <c r="AV205" i="5"/>
  <c r="AV204" i="5"/>
  <c r="AV203" i="5"/>
  <c r="AV202" i="5"/>
  <c r="AV201" i="5"/>
  <c r="AV200" i="5"/>
  <c r="AV199" i="5"/>
  <c r="AV198" i="5"/>
  <c r="AV197" i="5"/>
  <c r="AV196" i="5"/>
  <c r="AV195" i="5"/>
  <c r="AV194" i="5"/>
  <c r="AV193" i="5"/>
  <c r="AV192" i="5"/>
  <c r="AV191" i="5"/>
  <c r="AV190" i="5"/>
  <c r="AV189" i="5"/>
  <c r="AV188" i="5"/>
  <c r="AV187" i="5"/>
  <c r="AV186" i="5"/>
  <c r="AV185" i="5"/>
  <c r="AV184" i="5"/>
  <c r="AV183" i="5"/>
  <c r="AV182" i="5"/>
  <c r="AV181" i="5"/>
  <c r="AV180" i="5"/>
  <c r="AV179" i="5"/>
  <c r="AV178" i="5"/>
  <c r="AV177" i="5"/>
  <c r="AV176" i="5"/>
  <c r="AV175" i="5"/>
  <c r="AV174" i="5"/>
  <c r="AV173" i="5"/>
  <c r="AV172" i="5"/>
  <c r="AV171" i="5"/>
  <c r="AV170" i="5"/>
  <c r="AV169" i="5"/>
  <c r="AV168" i="5"/>
  <c r="AV167" i="5"/>
  <c r="AV166" i="5"/>
  <c r="AV165" i="5"/>
  <c r="AV164" i="5"/>
  <c r="AV163" i="5"/>
  <c r="AV162" i="5"/>
  <c r="AV161" i="5"/>
  <c r="AV160" i="5"/>
  <c r="AV159" i="5"/>
  <c r="AV158" i="5"/>
  <c r="AV157" i="5"/>
  <c r="AV156" i="5"/>
  <c r="AV155" i="5"/>
  <c r="AV154" i="5"/>
  <c r="AV153" i="5"/>
  <c r="AV152" i="5"/>
  <c r="AV151" i="5"/>
  <c r="AV150" i="5"/>
  <c r="AV149" i="5"/>
  <c r="AV148" i="5"/>
  <c r="AV147" i="5"/>
  <c r="AV146" i="5"/>
  <c r="AV145" i="5"/>
  <c r="AV144" i="5"/>
  <c r="AV143" i="5"/>
  <c r="AV142" i="5"/>
  <c r="AV141" i="5"/>
  <c r="AV140" i="5"/>
  <c r="AV139" i="5"/>
  <c r="AV138" i="5"/>
  <c r="AV137" i="5"/>
  <c r="AV136" i="5"/>
  <c r="AV135" i="5"/>
  <c r="AV134" i="5"/>
  <c r="AV133" i="5"/>
  <c r="AV132" i="5"/>
  <c r="AV131" i="5"/>
  <c r="AV130" i="5"/>
  <c r="AV129" i="5"/>
  <c r="AV128" i="5"/>
  <c r="AV127" i="5"/>
  <c r="AV126" i="5"/>
  <c r="AV125" i="5"/>
  <c r="AV124" i="5"/>
  <c r="AV123" i="5"/>
  <c r="AV122" i="5"/>
  <c r="AV121" i="5"/>
  <c r="AV120" i="5"/>
  <c r="AV119" i="5"/>
  <c r="AV118" i="5"/>
  <c r="AV117" i="5"/>
  <c r="AV116" i="5"/>
  <c r="AV115" i="5"/>
  <c r="AV114" i="5"/>
  <c r="AV113" i="5"/>
  <c r="AV112" i="5"/>
  <c r="AV111" i="5"/>
  <c r="AV110" i="5"/>
  <c r="AV109" i="5"/>
  <c r="AV108" i="5"/>
  <c r="AV107" i="5"/>
  <c r="AV106" i="5"/>
  <c r="AV105" i="5"/>
  <c r="AV104" i="5"/>
  <c r="AV103" i="5"/>
  <c r="AV102" i="5"/>
  <c r="AV101" i="5"/>
  <c r="AV100" i="5"/>
  <c r="AV99" i="5"/>
  <c r="AV98" i="5"/>
  <c r="AV97" i="5"/>
  <c r="AV96" i="5"/>
  <c r="AV95" i="5"/>
  <c r="AV94" i="5"/>
  <c r="AV93" i="5"/>
  <c r="AV92" i="5"/>
  <c r="AV91" i="5"/>
  <c r="AV90" i="5"/>
  <c r="AV89" i="5"/>
  <c r="AV88" i="5"/>
  <c r="AV87" i="5"/>
  <c r="AV86" i="5"/>
  <c r="AV85" i="5"/>
  <c r="AV84" i="5"/>
  <c r="AV83" i="5"/>
  <c r="AV82" i="5"/>
  <c r="AV81" i="5"/>
  <c r="AV80" i="5"/>
  <c r="AV79" i="5"/>
  <c r="AV78" i="5"/>
  <c r="AV77" i="5"/>
  <c r="AV76" i="5"/>
  <c r="AV75" i="5"/>
  <c r="AV74" i="5"/>
  <c r="AV73" i="5"/>
  <c r="AV72" i="5"/>
  <c r="AV71" i="5"/>
  <c r="AV70" i="5"/>
  <c r="AV69" i="5"/>
  <c r="AV68" i="5"/>
  <c r="AV67" i="5"/>
  <c r="AV66" i="5"/>
  <c r="AV65" i="5"/>
  <c r="AV64" i="5"/>
  <c r="AV63" i="5"/>
  <c r="AV62" i="5"/>
  <c r="AV61" i="5"/>
  <c r="AV60" i="5"/>
  <c r="AV59" i="5"/>
  <c r="AV58" i="5"/>
  <c r="AV57" i="5"/>
  <c r="AV56" i="5"/>
  <c r="AV55" i="5"/>
  <c r="AV54" i="5"/>
  <c r="AV53" i="5"/>
  <c r="AV52" i="5"/>
  <c r="AV51" i="5"/>
  <c r="AV50" i="5"/>
  <c r="AV49" i="5"/>
  <c r="AV48" i="5"/>
  <c r="AV47" i="5"/>
  <c r="AV46" i="5"/>
  <c r="AV45" i="5"/>
  <c r="AV44" i="5"/>
  <c r="AV43" i="5"/>
  <c r="AV42" i="5"/>
  <c r="AV41" i="5"/>
  <c r="AV40" i="5"/>
  <c r="AV39" i="5"/>
  <c r="AV38" i="5"/>
  <c r="AV37" i="5"/>
  <c r="AV36" i="5"/>
  <c r="AV35" i="5"/>
  <c r="AV34" i="5"/>
  <c r="AV33" i="5"/>
  <c r="AV32" i="5"/>
  <c r="AV31" i="5"/>
  <c r="AV30" i="5"/>
  <c r="AV29" i="5"/>
  <c r="AV28" i="5"/>
  <c r="AV27" i="5"/>
  <c r="AV26" i="5"/>
  <c r="AV25" i="5"/>
  <c r="AV24" i="5"/>
  <c r="AV23" i="5"/>
  <c r="AV22" i="5"/>
  <c r="AV21" i="5"/>
  <c r="AV20" i="5"/>
  <c r="AV19" i="5"/>
  <c r="AV18" i="5"/>
  <c r="AV17" i="5"/>
  <c r="AV16" i="5"/>
  <c r="AV15" i="5"/>
  <c r="AV14" i="5"/>
  <c r="AV13" i="5"/>
  <c r="AV12" i="5"/>
  <c r="AV11" i="5"/>
  <c r="AV10" i="5"/>
  <c r="AV9" i="5"/>
  <c r="M381" i="5"/>
  <c r="D23" i="20"/>
  <c r="A327" i="3"/>
  <c r="S325" i="3"/>
  <c r="F47" i="9"/>
  <c r="G45" i="14"/>
  <c r="AB408" i="5"/>
  <c r="AB407" i="5"/>
  <c r="AB406" i="5"/>
  <c r="AB405" i="5"/>
  <c r="AB404" i="5"/>
  <c r="AB403" i="5"/>
  <c r="AB402" i="5"/>
  <c r="AB401" i="5"/>
  <c r="AB400" i="5"/>
  <c r="AB399" i="5"/>
  <c r="AB398" i="5"/>
  <c r="AB397" i="5"/>
  <c r="AB396" i="5"/>
  <c r="AB395" i="5"/>
  <c r="AB394" i="5"/>
  <c r="AB393" i="5"/>
  <c r="AB392" i="5"/>
  <c r="AB391" i="5"/>
  <c r="AB390" i="5"/>
  <c r="AB389" i="5"/>
  <c r="AB388" i="5"/>
  <c r="AB387" i="5"/>
  <c r="AB386" i="5"/>
  <c r="AB385" i="5"/>
  <c r="AB384" i="5"/>
  <c r="AB383" i="5"/>
  <c r="AB382" i="5"/>
  <c r="AB381" i="5"/>
  <c r="AB380" i="5"/>
  <c r="AB379" i="5"/>
  <c r="AB378" i="5"/>
  <c r="AB377" i="5"/>
  <c r="AB376" i="5"/>
  <c r="AB375" i="5"/>
  <c r="AB374" i="5"/>
  <c r="AB373" i="5"/>
  <c r="AB372" i="5"/>
  <c r="AB371" i="5"/>
  <c r="AB370" i="5"/>
  <c r="AB369" i="5"/>
  <c r="AB368" i="5"/>
  <c r="AB367" i="5"/>
  <c r="AB366" i="5"/>
  <c r="AB365" i="5"/>
  <c r="AB364" i="5"/>
  <c r="AB363" i="5"/>
  <c r="AB362" i="5"/>
  <c r="AB361" i="5"/>
  <c r="AB360" i="5"/>
  <c r="AB359" i="5"/>
  <c r="AB358" i="5"/>
  <c r="AB357" i="5"/>
  <c r="AB356" i="5"/>
  <c r="AB355" i="5"/>
  <c r="AB354" i="5"/>
  <c r="AB353" i="5"/>
  <c r="AB352" i="5"/>
  <c r="AB351" i="5"/>
  <c r="AB350" i="5"/>
  <c r="AB349" i="5"/>
  <c r="AB348" i="5"/>
  <c r="AB347" i="5"/>
  <c r="AB346" i="5"/>
  <c r="AB345" i="5"/>
  <c r="AB344" i="5"/>
  <c r="AB343" i="5"/>
  <c r="AB342" i="5"/>
  <c r="AB341" i="5"/>
  <c r="AB340" i="5"/>
  <c r="AB339" i="5"/>
  <c r="AB338" i="5"/>
  <c r="AB337" i="5"/>
  <c r="AB336" i="5"/>
  <c r="AB335" i="5"/>
  <c r="AB334" i="5"/>
  <c r="AB333" i="5"/>
  <c r="AB332" i="5"/>
  <c r="AB331" i="5"/>
  <c r="AB330" i="5"/>
  <c r="AB329" i="5"/>
  <c r="AB328" i="5"/>
  <c r="AB327" i="5"/>
  <c r="AB326" i="5"/>
  <c r="AB325" i="5"/>
  <c r="AB324" i="5"/>
  <c r="AB323" i="5"/>
  <c r="AB322" i="5"/>
  <c r="AB321" i="5"/>
  <c r="AB320" i="5"/>
  <c r="AB319" i="5"/>
  <c r="AB318" i="5"/>
  <c r="AB317" i="5"/>
  <c r="AB316" i="5"/>
  <c r="AB315" i="5"/>
  <c r="AB314" i="5"/>
  <c r="AB313" i="5"/>
  <c r="AB312" i="5"/>
  <c r="AB311" i="5"/>
  <c r="AB310" i="5"/>
  <c r="AB309" i="5"/>
  <c r="AB308" i="5"/>
  <c r="AB307" i="5"/>
  <c r="AB306" i="5"/>
  <c r="AB305" i="5"/>
  <c r="AB304" i="5"/>
  <c r="AB303" i="5"/>
  <c r="AB302" i="5"/>
  <c r="AB301" i="5"/>
  <c r="AB300" i="5"/>
  <c r="AB299" i="5"/>
  <c r="AB298" i="5"/>
  <c r="AB297" i="5"/>
  <c r="AB296" i="5"/>
  <c r="AB295" i="5"/>
  <c r="AB294" i="5"/>
  <c r="AB293" i="5"/>
  <c r="AB292" i="5"/>
  <c r="AB291" i="5"/>
  <c r="AB290" i="5"/>
  <c r="AB289" i="5"/>
  <c r="AB288" i="5"/>
  <c r="AB287" i="5"/>
  <c r="AB286" i="5"/>
  <c r="AB285" i="5"/>
  <c r="AB284" i="5"/>
  <c r="AB283" i="5"/>
  <c r="AB282" i="5"/>
  <c r="AB281" i="5"/>
  <c r="AB280" i="5"/>
  <c r="AB279" i="5"/>
  <c r="AB278" i="5"/>
  <c r="AB277" i="5"/>
  <c r="AB276" i="5"/>
  <c r="AB275" i="5"/>
  <c r="AB274" i="5"/>
  <c r="AB273" i="5"/>
  <c r="AB272" i="5"/>
  <c r="AB271" i="5"/>
  <c r="AB270" i="5"/>
  <c r="AB269" i="5"/>
  <c r="AB268" i="5"/>
  <c r="AB267" i="5"/>
  <c r="AB266" i="5"/>
  <c r="AB265" i="5"/>
  <c r="AB264" i="5"/>
  <c r="AB263" i="5"/>
  <c r="AB262" i="5"/>
  <c r="AB261" i="5"/>
  <c r="AB260" i="5"/>
  <c r="AB259" i="5"/>
  <c r="AB258" i="5"/>
  <c r="AB257" i="5"/>
  <c r="AB256" i="5"/>
  <c r="AB255" i="5"/>
  <c r="AB254" i="5"/>
  <c r="AB253" i="5"/>
  <c r="AB252" i="5"/>
  <c r="AB251" i="5"/>
  <c r="AB250" i="5"/>
  <c r="AB249" i="5"/>
  <c r="AB248" i="5"/>
  <c r="AB247" i="5"/>
  <c r="AB246" i="5"/>
  <c r="AB245" i="5"/>
  <c r="AB244" i="5"/>
  <c r="AB243" i="5"/>
  <c r="AB242" i="5"/>
  <c r="AB241" i="5"/>
  <c r="AB240" i="5"/>
  <c r="AB239" i="5"/>
  <c r="AB238" i="5"/>
  <c r="AB237" i="5"/>
  <c r="AB236" i="5"/>
  <c r="AB235" i="5"/>
  <c r="AB234" i="5"/>
  <c r="AB233" i="5"/>
  <c r="AB232" i="5"/>
  <c r="AB231" i="5"/>
  <c r="AB230" i="5"/>
  <c r="AB229" i="5"/>
  <c r="AB228" i="5"/>
  <c r="AB227" i="5"/>
  <c r="AB226" i="5"/>
  <c r="AB225" i="5"/>
  <c r="AB224" i="5"/>
  <c r="AB223" i="5"/>
  <c r="AB222" i="5"/>
  <c r="AB221" i="5"/>
  <c r="AB220" i="5"/>
  <c r="AB219" i="5"/>
  <c r="AB218" i="5"/>
  <c r="AB217" i="5"/>
  <c r="AB216" i="5"/>
  <c r="AB215" i="5"/>
  <c r="AB214" i="5"/>
  <c r="AB213" i="5"/>
  <c r="AB212" i="5"/>
  <c r="AB211" i="5"/>
  <c r="AB210" i="5"/>
  <c r="AB209" i="5"/>
  <c r="AB208" i="5"/>
  <c r="AB207" i="5"/>
  <c r="AB206" i="5"/>
  <c r="AB205" i="5"/>
  <c r="AB204" i="5"/>
  <c r="AB203" i="5"/>
  <c r="AB202" i="5"/>
  <c r="AB201" i="5"/>
  <c r="AB200" i="5"/>
  <c r="AB199" i="5"/>
  <c r="AB198" i="5"/>
  <c r="AB197" i="5"/>
  <c r="AB196" i="5"/>
  <c r="AB195" i="5"/>
  <c r="AB194" i="5"/>
  <c r="AB193" i="5"/>
  <c r="AB192" i="5"/>
  <c r="AB191" i="5"/>
  <c r="AB190" i="5"/>
  <c r="AB189" i="5"/>
  <c r="AB188" i="5"/>
  <c r="AB187" i="5"/>
  <c r="AB186" i="5"/>
  <c r="AB185" i="5"/>
  <c r="AB184" i="5"/>
  <c r="AB183" i="5"/>
  <c r="AB182" i="5"/>
  <c r="AB181" i="5"/>
  <c r="AB180" i="5"/>
  <c r="AB179" i="5"/>
  <c r="AB178" i="5"/>
  <c r="AB177" i="5"/>
  <c r="AB176" i="5"/>
  <c r="AB175" i="5"/>
  <c r="AB174" i="5"/>
  <c r="AB173" i="5"/>
  <c r="AB172" i="5"/>
  <c r="AB171" i="5"/>
  <c r="AB170" i="5"/>
  <c r="AB169" i="5"/>
  <c r="AB168" i="5"/>
  <c r="AB167" i="5"/>
  <c r="AB166" i="5"/>
  <c r="AB165" i="5"/>
  <c r="AB164" i="5"/>
  <c r="AB163" i="5"/>
  <c r="AB162" i="5"/>
  <c r="AB161" i="5"/>
  <c r="AB160" i="5"/>
  <c r="AB159" i="5"/>
  <c r="AB158" i="5"/>
  <c r="AB157" i="5"/>
  <c r="AB156" i="5"/>
  <c r="AB155" i="5"/>
  <c r="AB154" i="5"/>
  <c r="AB153" i="5"/>
  <c r="AB152" i="5"/>
  <c r="AB151" i="5"/>
  <c r="AB150" i="5"/>
  <c r="AB149" i="5"/>
  <c r="AB148" i="5"/>
  <c r="AB147" i="5"/>
  <c r="AB146" i="5"/>
  <c r="AB145" i="5"/>
  <c r="AB144" i="5"/>
  <c r="AB143" i="5"/>
  <c r="AB142" i="5"/>
  <c r="AB141" i="5"/>
  <c r="AB140" i="5"/>
  <c r="AB139" i="5"/>
  <c r="AB138" i="5"/>
  <c r="AB137" i="5"/>
  <c r="AB136" i="5"/>
  <c r="AB135" i="5"/>
  <c r="AB134" i="5"/>
  <c r="AB133" i="5"/>
  <c r="AB132" i="5"/>
  <c r="AB131" i="5"/>
  <c r="AB130" i="5"/>
  <c r="AB129" i="5"/>
  <c r="AB128" i="5"/>
  <c r="AB127" i="5"/>
  <c r="AB126" i="5"/>
  <c r="AB125" i="5"/>
  <c r="AB124" i="5"/>
  <c r="AB123" i="5"/>
  <c r="AB122" i="5"/>
  <c r="AB121" i="5"/>
  <c r="AB120" i="5"/>
  <c r="AB119" i="5"/>
  <c r="AB118" i="5"/>
  <c r="AB117" i="5"/>
  <c r="AB116" i="5"/>
  <c r="AB115" i="5"/>
  <c r="AB114" i="5"/>
  <c r="AB113" i="5"/>
  <c r="AB112" i="5"/>
  <c r="AB111" i="5"/>
  <c r="AB110" i="5"/>
  <c r="AB109" i="5"/>
  <c r="AB108" i="5"/>
  <c r="AB107" i="5"/>
  <c r="AB106" i="5"/>
  <c r="AB105" i="5"/>
  <c r="AB104" i="5"/>
  <c r="AB103" i="5"/>
  <c r="AB102" i="5"/>
  <c r="AB101" i="5"/>
  <c r="AB100" i="5"/>
  <c r="AB99" i="5"/>
  <c r="AB98" i="5"/>
  <c r="AB97" i="5"/>
  <c r="AB96" i="5"/>
  <c r="AB95" i="5"/>
  <c r="AB94" i="5"/>
  <c r="AB93" i="5"/>
  <c r="AB92" i="5"/>
  <c r="AB91" i="5"/>
  <c r="AB90" i="5"/>
  <c r="AB89" i="5"/>
  <c r="AB88" i="5"/>
  <c r="AB87" i="5"/>
  <c r="AB86" i="5"/>
  <c r="AB85" i="5"/>
  <c r="AB84" i="5"/>
  <c r="AB83" i="5"/>
  <c r="AB82" i="5"/>
  <c r="AB81" i="5"/>
  <c r="AB80" i="5"/>
  <c r="AB79" i="5"/>
  <c r="AB78" i="5"/>
  <c r="AB77" i="5"/>
  <c r="AB76" i="5"/>
  <c r="AB75" i="5"/>
  <c r="AB74" i="5"/>
  <c r="AB73" i="5"/>
  <c r="AB72" i="5"/>
  <c r="AB71" i="5"/>
  <c r="AB69" i="5"/>
  <c r="AB68" i="5"/>
  <c r="AB67" i="5"/>
  <c r="AB66" i="5"/>
  <c r="AB65" i="5"/>
  <c r="AB64" i="5"/>
  <c r="AB63" i="5"/>
  <c r="AB62" i="5"/>
  <c r="AB61" i="5"/>
  <c r="AB60" i="5"/>
  <c r="AB59" i="5"/>
  <c r="AB58" i="5"/>
  <c r="AB57" i="5"/>
  <c r="AB56" i="5"/>
  <c r="AB55" i="5"/>
  <c r="AB54" i="5"/>
  <c r="AB53" i="5"/>
  <c r="AB52" i="5"/>
  <c r="AB51" i="5"/>
  <c r="AB50" i="5"/>
  <c r="AB49" i="5"/>
  <c r="AB48" i="5"/>
  <c r="AB47" i="5"/>
  <c r="AB46" i="5"/>
  <c r="AB45" i="5"/>
  <c r="AB44" i="5"/>
  <c r="AB43" i="5"/>
  <c r="AB42" i="5"/>
  <c r="AB41" i="5"/>
  <c r="AB40" i="5"/>
  <c r="AB39" i="5"/>
  <c r="AB38" i="5"/>
  <c r="AB37" i="5"/>
  <c r="AB36" i="5"/>
  <c r="AB35" i="5"/>
  <c r="AB34" i="5"/>
  <c r="AB33" i="5"/>
  <c r="AB32" i="5"/>
  <c r="AB31" i="5"/>
  <c r="AB30" i="5"/>
  <c r="AB29" i="5"/>
  <c r="AB28" i="5"/>
  <c r="AB27" i="5"/>
  <c r="AB26" i="5"/>
  <c r="AB25" i="5"/>
  <c r="AB24" i="5"/>
  <c r="AB23" i="5"/>
  <c r="AB22" i="5"/>
  <c r="AB21" i="5"/>
  <c r="AB20" i="5"/>
  <c r="AB17" i="5"/>
  <c r="AB16" i="5"/>
  <c r="AB15" i="5"/>
  <c r="AB14" i="5"/>
  <c r="AB13" i="5"/>
  <c r="AB12" i="5"/>
  <c r="AE408" i="5"/>
  <c r="AE407" i="5"/>
  <c r="AE406" i="5"/>
  <c r="AE405" i="5"/>
  <c r="AE404" i="5"/>
  <c r="AE403" i="5"/>
  <c r="AE402" i="5"/>
  <c r="AE401" i="5"/>
  <c r="AE400" i="5"/>
  <c r="AE399" i="5"/>
  <c r="AE398" i="5"/>
  <c r="AE397" i="5"/>
  <c r="AE396" i="5"/>
  <c r="AE395" i="5"/>
  <c r="AE394" i="5"/>
  <c r="AE393" i="5"/>
  <c r="AE392" i="5"/>
  <c r="AE391" i="5"/>
  <c r="AE390" i="5"/>
  <c r="AE389" i="5"/>
  <c r="AE388" i="5"/>
  <c r="AE387" i="5"/>
  <c r="AE386" i="5"/>
  <c r="AE385" i="5"/>
  <c r="AE384" i="5"/>
  <c r="AE383" i="5"/>
  <c r="AE382" i="5"/>
  <c r="AE381" i="5"/>
  <c r="AE380" i="5"/>
  <c r="AE379" i="5"/>
  <c r="AE378" i="5"/>
  <c r="AE377" i="5"/>
  <c r="AE376" i="5"/>
  <c r="AE375" i="5"/>
  <c r="AE374" i="5"/>
  <c r="AE373" i="5"/>
  <c r="AE372" i="5"/>
  <c r="AE371" i="5"/>
  <c r="AE370" i="5"/>
  <c r="AE369" i="5"/>
  <c r="AE368" i="5"/>
  <c r="AE367" i="5"/>
  <c r="AE366" i="5"/>
  <c r="AE365" i="5"/>
  <c r="AE364" i="5"/>
  <c r="AE363" i="5"/>
  <c r="AE362" i="5"/>
  <c r="AE361" i="5"/>
  <c r="AE360" i="5"/>
  <c r="AE359" i="5"/>
  <c r="AE358" i="5"/>
  <c r="AE357" i="5"/>
  <c r="AE356" i="5"/>
  <c r="AE355" i="5"/>
  <c r="AE354" i="5"/>
  <c r="AE353" i="5"/>
  <c r="AE352" i="5"/>
  <c r="AE351" i="5"/>
  <c r="AE350" i="5"/>
  <c r="AE349" i="5"/>
  <c r="AE348" i="5"/>
  <c r="AE347" i="5"/>
  <c r="AE346" i="5"/>
  <c r="AE345" i="5"/>
  <c r="AE344" i="5"/>
  <c r="AE343" i="5"/>
  <c r="AE342" i="5"/>
  <c r="AE341" i="5"/>
  <c r="AE340" i="5"/>
  <c r="AE339" i="5"/>
  <c r="AE338" i="5"/>
  <c r="AE337" i="5"/>
  <c r="AE336" i="5"/>
  <c r="AE335" i="5"/>
  <c r="AE334" i="5"/>
  <c r="AE333" i="5"/>
  <c r="AE332" i="5"/>
  <c r="AE331" i="5"/>
  <c r="AE330" i="5"/>
  <c r="AE329" i="5"/>
  <c r="AE328" i="5"/>
  <c r="AE327" i="5"/>
  <c r="AE326" i="5"/>
  <c r="AE325" i="5"/>
  <c r="AE324" i="5"/>
  <c r="AE323" i="5"/>
  <c r="AE322" i="5"/>
  <c r="AE321" i="5"/>
  <c r="AE320" i="5"/>
  <c r="AE319" i="5"/>
  <c r="AE318" i="5"/>
  <c r="AE317" i="5"/>
  <c r="AE316" i="5"/>
  <c r="AE315" i="5"/>
  <c r="AE314" i="5"/>
  <c r="AE313" i="5"/>
  <c r="AE312" i="5"/>
  <c r="AE311" i="5"/>
  <c r="AE310" i="5"/>
  <c r="AE309" i="5"/>
  <c r="AE308" i="5"/>
  <c r="AE307" i="5"/>
  <c r="AE306" i="5"/>
  <c r="AE305" i="5"/>
  <c r="AE304" i="5"/>
  <c r="AE303" i="5"/>
  <c r="AE302" i="5"/>
  <c r="AE301" i="5"/>
  <c r="AE300" i="5"/>
  <c r="AE299" i="5"/>
  <c r="AE298" i="5"/>
  <c r="AE297" i="5"/>
  <c r="AE296" i="5"/>
  <c r="AE295" i="5"/>
  <c r="AE294" i="5"/>
  <c r="AE293" i="5"/>
  <c r="AE292" i="5"/>
  <c r="AE291" i="5"/>
  <c r="AE290" i="5"/>
  <c r="AE289" i="5"/>
  <c r="AE288" i="5"/>
  <c r="AE287" i="5"/>
  <c r="AE286" i="5"/>
  <c r="AE285" i="5"/>
  <c r="AE284" i="5"/>
  <c r="AE283" i="5"/>
  <c r="AE282" i="5"/>
  <c r="AE281" i="5"/>
  <c r="AE280" i="5"/>
  <c r="AE279" i="5"/>
  <c r="AE278" i="5"/>
  <c r="AE277" i="5"/>
  <c r="AE276" i="5"/>
  <c r="AE275" i="5"/>
  <c r="AE274" i="5"/>
  <c r="AE273" i="5"/>
  <c r="AE272" i="5"/>
  <c r="AE271" i="5"/>
  <c r="AE270" i="5"/>
  <c r="AE269" i="5"/>
  <c r="AE268" i="5"/>
  <c r="AE267" i="5"/>
  <c r="AE266" i="5"/>
  <c r="AE265" i="5"/>
  <c r="AE264" i="5"/>
  <c r="AE263" i="5"/>
  <c r="AE262" i="5"/>
  <c r="AE261" i="5"/>
  <c r="AE260" i="5"/>
  <c r="AE259" i="5"/>
  <c r="AE258" i="5"/>
  <c r="AE257" i="5"/>
  <c r="AE256" i="5"/>
  <c r="AE255" i="5"/>
  <c r="AE254" i="5"/>
  <c r="AE253" i="5"/>
  <c r="AE252" i="5"/>
  <c r="AE251" i="5"/>
  <c r="AE250" i="5"/>
  <c r="AE249" i="5"/>
  <c r="AE248" i="5"/>
  <c r="AE247" i="5"/>
  <c r="AE246" i="5"/>
  <c r="AE245" i="5"/>
  <c r="AE244" i="5"/>
  <c r="AE243" i="5"/>
  <c r="AE242" i="5"/>
  <c r="AE241" i="5"/>
  <c r="AE240" i="5"/>
  <c r="AE239" i="5"/>
  <c r="AE238" i="5"/>
  <c r="AE237" i="5"/>
  <c r="AE236" i="5"/>
  <c r="AE235" i="5"/>
  <c r="AE234" i="5"/>
  <c r="AE233" i="5"/>
  <c r="AE232" i="5"/>
  <c r="AE231" i="5"/>
  <c r="AE230" i="5"/>
  <c r="AE229" i="5"/>
  <c r="AE228" i="5"/>
  <c r="AE227" i="5"/>
  <c r="AE226" i="5"/>
  <c r="AE225" i="5"/>
  <c r="AE224" i="5"/>
  <c r="AE223" i="5"/>
  <c r="AE222" i="5"/>
  <c r="AE221" i="5"/>
  <c r="AE220" i="5"/>
  <c r="AE219" i="5"/>
  <c r="AE218" i="5"/>
  <c r="AE217" i="5"/>
  <c r="AE216" i="5"/>
  <c r="AE215" i="5"/>
  <c r="AE214" i="5"/>
  <c r="AE213" i="5"/>
  <c r="AE212" i="5"/>
  <c r="AE211" i="5"/>
  <c r="AE210" i="5"/>
  <c r="AE209" i="5"/>
  <c r="AE208" i="5"/>
  <c r="AE207" i="5"/>
  <c r="AE206" i="5"/>
  <c r="AE205" i="5"/>
  <c r="AE204" i="5"/>
  <c r="AE203" i="5"/>
  <c r="AE202" i="5"/>
  <c r="AE201" i="5"/>
  <c r="AE200" i="5"/>
  <c r="AE199" i="5"/>
  <c r="AE198" i="5"/>
  <c r="AE197" i="5"/>
  <c r="AE196" i="5"/>
  <c r="AE195" i="5"/>
  <c r="AE194" i="5"/>
  <c r="AE193" i="5"/>
  <c r="AE192" i="5"/>
  <c r="AE191" i="5"/>
  <c r="AE190" i="5"/>
  <c r="AE189" i="5"/>
  <c r="AE188" i="5"/>
  <c r="AE187" i="5"/>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7" i="5"/>
  <c r="AE136" i="5"/>
  <c r="AE135" i="5"/>
  <c r="AE134" i="5"/>
  <c r="AE133" i="5"/>
  <c r="AE132" i="5"/>
  <c r="AE131" i="5"/>
  <c r="AE130" i="5"/>
  <c r="AE129" i="5"/>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75" i="5"/>
  <c r="AE74" i="5"/>
  <c r="AE73" i="5"/>
  <c r="AE72" i="5"/>
  <c r="AE71" i="5"/>
  <c r="AE69" i="5"/>
  <c r="AE68" i="5"/>
  <c r="AE67" i="5"/>
  <c r="AE66" i="5"/>
  <c r="AE65" i="5"/>
  <c r="AE64" i="5"/>
  <c r="AE63" i="5"/>
  <c r="AE62" i="5"/>
  <c r="AE61" i="5"/>
  <c r="AE60" i="5"/>
  <c r="AE59" i="5"/>
  <c r="AE58" i="5"/>
  <c r="AE57" i="5"/>
  <c r="AE56" i="5"/>
  <c r="AE55" i="5"/>
  <c r="AE54" i="5"/>
  <c r="AE53" i="5"/>
  <c r="AE52" i="5"/>
  <c r="AE51" i="5"/>
  <c r="AE50" i="5"/>
  <c r="AE49" i="5"/>
  <c r="AE48" i="5"/>
  <c r="AE47" i="5"/>
  <c r="AE46" i="5"/>
  <c r="AE45" i="5"/>
  <c r="AE44" i="5"/>
  <c r="AE43" i="5"/>
  <c r="AE42" i="5"/>
  <c r="AE41" i="5"/>
  <c r="AE40" i="5"/>
  <c r="AE39" i="5"/>
  <c r="AE38" i="5"/>
  <c r="AE37" i="5"/>
  <c r="AE36" i="5"/>
  <c r="AE35" i="5"/>
  <c r="AE34" i="5"/>
  <c r="AE33" i="5"/>
  <c r="AE32" i="5"/>
  <c r="AE31" i="5"/>
  <c r="AE30" i="5"/>
  <c r="AE29" i="5"/>
  <c r="AE28" i="5"/>
  <c r="AE27" i="5"/>
  <c r="AE26" i="5"/>
  <c r="AE25" i="5"/>
  <c r="AE24" i="5"/>
  <c r="AE23" i="5"/>
  <c r="AE22" i="5"/>
  <c r="AE21" i="5"/>
  <c r="AE20" i="5"/>
  <c r="AE17" i="5"/>
  <c r="AE16" i="5"/>
  <c r="AE15" i="5"/>
  <c r="AE14" i="5"/>
  <c r="AE13" i="5"/>
  <c r="AE12"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7" i="5"/>
  <c r="AN16" i="5"/>
  <c r="AN15" i="5"/>
  <c r="AN14" i="5"/>
  <c r="AN13" i="5"/>
  <c r="AN12" i="5"/>
  <c r="AK316" i="13"/>
  <c r="AO317" i="13"/>
  <c r="AK320" i="13"/>
  <c r="AO321" i="13"/>
  <c r="AK324" i="13"/>
  <c r="AO325" i="13"/>
  <c r="AK328" i="13"/>
  <c r="AO329" i="13"/>
  <c r="AK332" i="13"/>
  <c r="AO333" i="13"/>
  <c r="AK336" i="13"/>
  <c r="AO337" i="13"/>
  <c r="AK340" i="13"/>
  <c r="AO341" i="13"/>
  <c r="AK344" i="13"/>
  <c r="AO345" i="13"/>
  <c r="AK348" i="13"/>
  <c r="AO349" i="13"/>
  <c r="AK352" i="13"/>
  <c r="AO353" i="13"/>
  <c r="AK356" i="13"/>
  <c r="AO357" i="13"/>
  <c r="AK360" i="13"/>
  <c r="AO361" i="13"/>
  <c r="AK364" i="13"/>
  <c r="AO365" i="13"/>
  <c r="AK368" i="13"/>
  <c r="AO369" i="13"/>
  <c r="AK372" i="13"/>
  <c r="AO373" i="13"/>
  <c r="AK376" i="13"/>
  <c r="AO377" i="13"/>
  <c r="AK380" i="13"/>
  <c r="AO381" i="13"/>
  <c r="AK384" i="13"/>
  <c r="AO385" i="13"/>
  <c r="AK388" i="13"/>
  <c r="AO389" i="13"/>
  <c r="AK392" i="13"/>
  <c r="AO393" i="13"/>
  <c r="AK396" i="13"/>
  <c r="AO397" i="13"/>
  <c r="AK400" i="13"/>
  <c r="AO401" i="13"/>
  <c r="AK404" i="13"/>
  <c r="AO405" i="13"/>
  <c r="AK408" i="13"/>
  <c r="AO409" i="13"/>
  <c r="AK412" i="13"/>
  <c r="AO413" i="13"/>
  <c r="AK416" i="13"/>
  <c r="AO417" i="13"/>
  <c r="AK420" i="13"/>
  <c r="AO421" i="13"/>
  <c r="AK424" i="13"/>
  <c r="AO425" i="13"/>
  <c r="AK431" i="13"/>
  <c r="AK435" i="13"/>
  <c r="AO436" i="13"/>
  <c r="AO440" i="13"/>
  <c r="AK443" i="13"/>
  <c r="AK447" i="13"/>
  <c r="AK451" i="13"/>
  <c r="AO452" i="13"/>
  <c r="AO456" i="13"/>
  <c r="AK459" i="13"/>
  <c r="AK463" i="13"/>
  <c r="AK467" i="13"/>
  <c r="AO468" i="13"/>
  <c r="AO472" i="13"/>
  <c r="AK475" i="13"/>
  <c r="AK479" i="13"/>
  <c r="AK483" i="13"/>
  <c r="AO484" i="13"/>
  <c r="AO488" i="13"/>
  <c r="AK491" i="13"/>
  <c r="AK495" i="13"/>
  <c r="AK499" i="13"/>
  <c r="AO500" i="13"/>
  <c r="AO504" i="13"/>
  <c r="AK507" i="13"/>
  <c r="AK511" i="13"/>
  <c r="AO520" i="13"/>
  <c r="AK531" i="13"/>
  <c r="AK547" i="13"/>
  <c r="AK563" i="13"/>
  <c r="AO568" i="13"/>
  <c r="AO584" i="13"/>
  <c r="AK595" i="13"/>
  <c r="AO312" i="13"/>
  <c r="AY16" i="22"/>
  <c r="AK315" i="13"/>
  <c r="AO320" i="13"/>
  <c r="AK331" i="13"/>
  <c r="AO316" i="13"/>
  <c r="AK327" i="13"/>
  <c r="AO332" i="13"/>
  <c r="AK323" i="13"/>
  <c r="AO328" i="13"/>
  <c r="AK319" i="13"/>
  <c r="AO324" i="13"/>
  <c r="AK335" i="13"/>
  <c r="AK347" i="13"/>
  <c r="AK395" i="13"/>
  <c r="AK411" i="13"/>
  <c r="AO424" i="13"/>
  <c r="AO336" i="13"/>
  <c r="AO412" i="13"/>
  <c r="AK379" i="13"/>
  <c r="AK363" i="13"/>
  <c r="AO384" i="13"/>
  <c r="AK343" i="13"/>
  <c r="AO348" i="13"/>
  <c r="AK375" i="13"/>
  <c r="AO380" i="13"/>
  <c r="AK391" i="13"/>
  <c r="AO396" i="13"/>
  <c r="AK339" i="13"/>
  <c r="AO344" i="13"/>
  <c r="AK355" i="13"/>
  <c r="AO360" i="13"/>
  <c r="AK371" i="13"/>
  <c r="AO376" i="13"/>
  <c r="AK387" i="13"/>
  <c r="AO392" i="13"/>
  <c r="AK403" i="13"/>
  <c r="AO408" i="13"/>
  <c r="AO352" i="13"/>
  <c r="AO368" i="13"/>
  <c r="AO400" i="13"/>
  <c r="AK359" i="13"/>
  <c r="AO364" i="13"/>
  <c r="AK407" i="13"/>
  <c r="AO340" i="13"/>
  <c r="AK351" i="13"/>
  <c r="AO356" i="13"/>
  <c r="AK367" i="13"/>
  <c r="AO372" i="13"/>
  <c r="AK383" i="13"/>
  <c r="AO388" i="13"/>
  <c r="AK399" i="13"/>
  <c r="AO404" i="13"/>
  <c r="AK419" i="13"/>
  <c r="AK415" i="13"/>
  <c r="AO420" i="13"/>
  <c r="AK423" i="13"/>
  <c r="AO416" i="13"/>
  <c r="AK427" i="13"/>
  <c r="AO610" i="13"/>
  <c r="AK610" i="13"/>
  <c r="AO606" i="13"/>
  <c r="AK606" i="13"/>
  <c r="AO602" i="13"/>
  <c r="AK602" i="13"/>
  <c r="AO598" i="13"/>
  <c r="AK598" i="13"/>
  <c r="AO594" i="13"/>
  <c r="AK594" i="13"/>
  <c r="AO590" i="13"/>
  <c r="AK590" i="13"/>
  <c r="AO586" i="13"/>
  <c r="AK586" i="13"/>
  <c r="AO582" i="13"/>
  <c r="AK582" i="13"/>
  <c r="AO578" i="13"/>
  <c r="AK578" i="13"/>
  <c r="AO574" i="13"/>
  <c r="AK574" i="13"/>
  <c r="AO570" i="13"/>
  <c r="AK570" i="13"/>
  <c r="AO566" i="13"/>
  <c r="AK566" i="13"/>
  <c r="AO562" i="13"/>
  <c r="AK562" i="13"/>
  <c r="AO558" i="13"/>
  <c r="AK558" i="13"/>
  <c r="AO554" i="13"/>
  <c r="AK554" i="13"/>
  <c r="AO550" i="13"/>
  <c r="AK550" i="13"/>
  <c r="AO546" i="13"/>
  <c r="AK546" i="13"/>
  <c r="AO542" i="13"/>
  <c r="AK542" i="13"/>
  <c r="AO538" i="13"/>
  <c r="AK538" i="13"/>
  <c r="AO534" i="13"/>
  <c r="AK534" i="13"/>
  <c r="AO530" i="13"/>
  <c r="AK530" i="13"/>
  <c r="AO526" i="13"/>
  <c r="AK526" i="13"/>
  <c r="AO522" i="13"/>
  <c r="AK522" i="13"/>
  <c r="AO518" i="13"/>
  <c r="AK518" i="13"/>
  <c r="AO514" i="13"/>
  <c r="AK514" i="13"/>
  <c r="AO510" i="13"/>
  <c r="AK510" i="13"/>
  <c r="AO506" i="13"/>
  <c r="AK506" i="13"/>
  <c r="AO502" i="13"/>
  <c r="AK502" i="13"/>
  <c r="AO498" i="13"/>
  <c r="AK498" i="13"/>
  <c r="AO494" i="13"/>
  <c r="AK494" i="13"/>
  <c r="AO490" i="13"/>
  <c r="AK490" i="13"/>
  <c r="AO486" i="13"/>
  <c r="AK486" i="13"/>
  <c r="AO482" i="13"/>
  <c r="AK482" i="13"/>
  <c r="AO478" i="13"/>
  <c r="AK478" i="13"/>
  <c r="AO474" i="13"/>
  <c r="AK474" i="13"/>
  <c r="AO470" i="13"/>
  <c r="AK470" i="13"/>
  <c r="AO466" i="13"/>
  <c r="AK466" i="13"/>
  <c r="AO462" i="13"/>
  <c r="AK462" i="13"/>
  <c r="AO458" i="13"/>
  <c r="AK458" i="13"/>
  <c r="AO454" i="13"/>
  <c r="AK454" i="13"/>
  <c r="AO450" i="13"/>
  <c r="AK450" i="13"/>
  <c r="AO446" i="13"/>
  <c r="AK446" i="13"/>
  <c r="AO442" i="13"/>
  <c r="AK442" i="13"/>
  <c r="AO438" i="13"/>
  <c r="AK438" i="13"/>
  <c r="AO434" i="13"/>
  <c r="AK434" i="13"/>
  <c r="AO430" i="13"/>
  <c r="AK430" i="13"/>
  <c r="AO426" i="13"/>
  <c r="AK426" i="13"/>
  <c r="AO422" i="13"/>
  <c r="AK422" i="13"/>
  <c r="AO418" i="13"/>
  <c r="AK418" i="13"/>
  <c r="AO414" i="13"/>
  <c r="AK414" i="13"/>
  <c r="AO410" i="13"/>
  <c r="AK410" i="13"/>
  <c r="AO406" i="13"/>
  <c r="AK406" i="13"/>
  <c r="AO402" i="13"/>
  <c r="AK402" i="13"/>
  <c r="AO398" i="13"/>
  <c r="AK398" i="13"/>
  <c r="AO394" i="13"/>
  <c r="AK394" i="13"/>
  <c r="AO390" i="13"/>
  <c r="AK390" i="13"/>
  <c r="AO386" i="13"/>
  <c r="AK386" i="13"/>
  <c r="AO382" i="13"/>
  <c r="AK382" i="13"/>
  <c r="AO378" i="13"/>
  <c r="AK378" i="13"/>
  <c r="AO374" i="13"/>
  <c r="AK374" i="13"/>
  <c r="AO370" i="13"/>
  <c r="AK370" i="13"/>
  <c r="AO366" i="13"/>
  <c r="AK366" i="13"/>
  <c r="AO362" i="13"/>
  <c r="AK362" i="13"/>
  <c r="AO358" i="13"/>
  <c r="AK358" i="13"/>
  <c r="AO354" i="13"/>
  <c r="AK354" i="13"/>
  <c r="AO350" i="13"/>
  <c r="AK350" i="13"/>
  <c r="AO346" i="13"/>
  <c r="AK346" i="13"/>
  <c r="AO342" i="13"/>
  <c r="AK342" i="13"/>
  <c r="AO338" i="13"/>
  <c r="AK338" i="13"/>
  <c r="AO334" i="13"/>
  <c r="AK334" i="13"/>
  <c r="AO330" i="13"/>
  <c r="AK330" i="13"/>
  <c r="AO326" i="13"/>
  <c r="AK326" i="13"/>
  <c r="AO322" i="13"/>
  <c r="AK322" i="13"/>
  <c r="AO318" i="13"/>
  <c r="AK318" i="13"/>
  <c r="AO314" i="13"/>
  <c r="AK314" i="13"/>
  <c r="AK609" i="13"/>
  <c r="AO609" i="13"/>
  <c r="AK605" i="13"/>
  <c r="AK601" i="13"/>
  <c r="AO601" i="13"/>
  <c r="AO597" i="13"/>
  <c r="AK597" i="13"/>
  <c r="AO593" i="13"/>
  <c r="AK593" i="13"/>
  <c r="AO589" i="13"/>
  <c r="AK589" i="13"/>
  <c r="AO585" i="13"/>
  <c r="AK585" i="13"/>
  <c r="AO581" i="13"/>
  <c r="AK581" i="13"/>
  <c r="AO577" i="13"/>
  <c r="AK577" i="13"/>
  <c r="AO573" i="13"/>
  <c r="AK573" i="13"/>
  <c r="AO569" i="13"/>
  <c r="AK569" i="13"/>
  <c r="AO565" i="13"/>
  <c r="AK565" i="13"/>
  <c r="AO561" i="13"/>
  <c r="AK561" i="13"/>
  <c r="AO557" i="13"/>
  <c r="AK557" i="13"/>
  <c r="AO553" i="13"/>
  <c r="AK553" i="13"/>
  <c r="AO549" i="13"/>
  <c r="AK549" i="13"/>
  <c r="AO545" i="13"/>
  <c r="AK545" i="13"/>
  <c r="AO541" i="13"/>
  <c r="AK541" i="13"/>
  <c r="AO537" i="13"/>
  <c r="AK537" i="13"/>
  <c r="AO533" i="13"/>
  <c r="AK533" i="13"/>
  <c r="AO529" i="13"/>
  <c r="AK529" i="13"/>
  <c r="AO525" i="13"/>
  <c r="AK525" i="13"/>
  <c r="AO521" i="13"/>
  <c r="AK521" i="13"/>
  <c r="AO517" i="13"/>
  <c r="AK517" i="13"/>
  <c r="AO513" i="13"/>
  <c r="AK513" i="13"/>
  <c r="AO509" i="13"/>
  <c r="AK509" i="13"/>
  <c r="AO505" i="13"/>
  <c r="AK505" i="13"/>
  <c r="AO501" i="13"/>
  <c r="AK501" i="13"/>
  <c r="AO497" i="13"/>
  <c r="AK497" i="13"/>
  <c r="AO493" i="13"/>
  <c r="AK493" i="13"/>
  <c r="AO489" i="13"/>
  <c r="AK489" i="13"/>
  <c r="AO485" i="13"/>
  <c r="AK485" i="13"/>
  <c r="AO481" i="13"/>
  <c r="AK481" i="13"/>
  <c r="AO477" i="13"/>
  <c r="AK477" i="13"/>
  <c r="AO473" i="13"/>
  <c r="AK473" i="13"/>
  <c r="AO469" i="13"/>
  <c r="AK469" i="13"/>
  <c r="AO465" i="13"/>
  <c r="AK465" i="13"/>
  <c r="AO461" i="13"/>
  <c r="AK461" i="13"/>
  <c r="AO457" i="13"/>
  <c r="AK457" i="13"/>
  <c r="AO453" i="13"/>
  <c r="AK453" i="13"/>
  <c r="AO449" i="13"/>
  <c r="AK449" i="13"/>
  <c r="AO445" i="13"/>
  <c r="AK445" i="13"/>
  <c r="AO441" i="13"/>
  <c r="AK441" i="13"/>
  <c r="AO437" i="13"/>
  <c r="AK437" i="13"/>
  <c r="AO433" i="13"/>
  <c r="AK433" i="13"/>
  <c r="AO429" i="13"/>
  <c r="AK429" i="13"/>
  <c r="AO315" i="13"/>
  <c r="AO319" i="13"/>
  <c r="AO323" i="13"/>
  <c r="AO327" i="13"/>
  <c r="AO331" i="13"/>
  <c r="AO335" i="13"/>
  <c r="AO339" i="13"/>
  <c r="AO343" i="13"/>
  <c r="AO347" i="13"/>
  <c r="AO351" i="13"/>
  <c r="AO355" i="13"/>
  <c r="AO359" i="13"/>
  <c r="AO363" i="13"/>
  <c r="AO367" i="13"/>
  <c r="AO371" i="13"/>
  <c r="AO375" i="13"/>
  <c r="AO379" i="13"/>
  <c r="AO383" i="13"/>
  <c r="AO387" i="13"/>
  <c r="AO391" i="13"/>
  <c r="AO395" i="13"/>
  <c r="AO399" i="13"/>
  <c r="AO403" i="13"/>
  <c r="AO407" i="13"/>
  <c r="AO411" i="13"/>
  <c r="AO415" i="13"/>
  <c r="AO419" i="13"/>
  <c r="AO423" i="13"/>
  <c r="AO427" i="13"/>
  <c r="AO608" i="13"/>
  <c r="AK608" i="13"/>
  <c r="AO604" i="13"/>
  <c r="AK604" i="13"/>
  <c r="AO600" i="13"/>
  <c r="AK600" i="13"/>
  <c r="AK596" i="13"/>
  <c r="AO596" i="13"/>
  <c r="AK592" i="13"/>
  <c r="AO592" i="13"/>
  <c r="AK588" i="13"/>
  <c r="AO588" i="13"/>
  <c r="AK584" i="13"/>
  <c r="AK580" i="13"/>
  <c r="AO580" i="13"/>
  <c r="AK576" i="13"/>
  <c r="AO576" i="13"/>
  <c r="AK572" i="13"/>
  <c r="AO572" i="13"/>
  <c r="AK568" i="13"/>
  <c r="AK564" i="13"/>
  <c r="AO564" i="13"/>
  <c r="AK560" i="13"/>
  <c r="AO560" i="13"/>
  <c r="AK556" i="13"/>
  <c r="AO556" i="13"/>
  <c r="AK552" i="13"/>
  <c r="AK548" i="13"/>
  <c r="AO548" i="13"/>
  <c r="AK544" i="13"/>
  <c r="AO544" i="13"/>
  <c r="AK540" i="13"/>
  <c r="AO540" i="13"/>
  <c r="AK536" i="13"/>
  <c r="AK532" i="13"/>
  <c r="AO532" i="13"/>
  <c r="AK528" i="13"/>
  <c r="AO528" i="13"/>
  <c r="AK524" i="13"/>
  <c r="AO524" i="13"/>
  <c r="AK520" i="13"/>
  <c r="AK516" i="13"/>
  <c r="AO516" i="13"/>
  <c r="AK512" i="13"/>
  <c r="AK508" i="13"/>
  <c r="AK504" i="13"/>
  <c r="AK500" i="13"/>
  <c r="AK496" i="13"/>
  <c r="AK492" i="13"/>
  <c r="AK488" i="13"/>
  <c r="AK484" i="13"/>
  <c r="AK480" i="13"/>
  <c r="AK476" i="13"/>
  <c r="AK472" i="13"/>
  <c r="AK468" i="13"/>
  <c r="AK464" i="13"/>
  <c r="AK460" i="13"/>
  <c r="AK456" i="13"/>
  <c r="AK452" i="13"/>
  <c r="AK448" i="13"/>
  <c r="AK444" i="13"/>
  <c r="AK440" i="13"/>
  <c r="AK436" i="13"/>
  <c r="AK432" i="13"/>
  <c r="AK428" i="13"/>
  <c r="AK312" i="13"/>
  <c r="AK317" i="13"/>
  <c r="AK321" i="13"/>
  <c r="AK325" i="13"/>
  <c r="AK329" i="13"/>
  <c r="AK333" i="13"/>
  <c r="AK337" i="13"/>
  <c r="AK341" i="13"/>
  <c r="AK345" i="13"/>
  <c r="AK349" i="13"/>
  <c r="AK353" i="13"/>
  <c r="AK357" i="13"/>
  <c r="AK361" i="13"/>
  <c r="AK365" i="13"/>
  <c r="AK369" i="13"/>
  <c r="AK373" i="13"/>
  <c r="AK377" i="13"/>
  <c r="AK381" i="13"/>
  <c r="AK385" i="13"/>
  <c r="AK389" i="13"/>
  <c r="AK393" i="13"/>
  <c r="AK397" i="13"/>
  <c r="AK401" i="13"/>
  <c r="AK405" i="13"/>
  <c r="AK409" i="13"/>
  <c r="AK413" i="13"/>
  <c r="AK417" i="13"/>
  <c r="AK421" i="13"/>
  <c r="AK425" i="13"/>
  <c r="AO432" i="13"/>
  <c r="AO448" i="13"/>
  <c r="AO464" i="13"/>
  <c r="AO480" i="13"/>
  <c r="AO496" i="13"/>
  <c r="AO512" i="13"/>
  <c r="AO552" i="13"/>
  <c r="AO611" i="13"/>
  <c r="AK611" i="13"/>
  <c r="AO607" i="13"/>
  <c r="AK607" i="13"/>
  <c r="AO603" i="13"/>
  <c r="AK603" i="13"/>
  <c r="AO599" i="13"/>
  <c r="AK599" i="13"/>
  <c r="AO595" i="13"/>
  <c r="AO591" i="13"/>
  <c r="AK591" i="13"/>
  <c r="AO587" i="13"/>
  <c r="AK587" i="13"/>
  <c r="AO583" i="13"/>
  <c r="AK583" i="13"/>
  <c r="AO579" i="13"/>
  <c r="AO575" i="13"/>
  <c r="AK575" i="13"/>
  <c r="AO571" i="13"/>
  <c r="AK571" i="13"/>
  <c r="AO567" i="13"/>
  <c r="AK567" i="13"/>
  <c r="AO563" i="13"/>
  <c r="AO559" i="13"/>
  <c r="AK559" i="13"/>
  <c r="AO555" i="13"/>
  <c r="AK555" i="13"/>
  <c r="AO551" i="13"/>
  <c r="AK551" i="13"/>
  <c r="AO547" i="13"/>
  <c r="AO543" i="13"/>
  <c r="AK543" i="13"/>
  <c r="AO539" i="13"/>
  <c r="AK539" i="13"/>
  <c r="AO535" i="13"/>
  <c r="AK535" i="13"/>
  <c r="AO531" i="13"/>
  <c r="AO527" i="13"/>
  <c r="AK527" i="13"/>
  <c r="AO523" i="13"/>
  <c r="AK523" i="13"/>
  <c r="AO519" i="13"/>
  <c r="AK519" i="13"/>
  <c r="AO515" i="13"/>
  <c r="AO511" i="13"/>
  <c r="AO507" i="13"/>
  <c r="AO503" i="13"/>
  <c r="AO499" i="13"/>
  <c r="AO495" i="13"/>
  <c r="AO491" i="13"/>
  <c r="AO487" i="13"/>
  <c r="AO483" i="13"/>
  <c r="AO479" i="13"/>
  <c r="AO475" i="13"/>
  <c r="AO471" i="13"/>
  <c r="AO467" i="13"/>
  <c r="AO463" i="13"/>
  <c r="AO459" i="13"/>
  <c r="AO455" i="13"/>
  <c r="AO451" i="13"/>
  <c r="AO447" i="13"/>
  <c r="AO443" i="13"/>
  <c r="AO439" i="13"/>
  <c r="AO435" i="13"/>
  <c r="AO431" i="13"/>
  <c r="AO428" i="13"/>
  <c r="AK439" i="13"/>
  <c r="AO444" i="13"/>
  <c r="AK455" i="13"/>
  <c r="AO460" i="13"/>
  <c r="AK471" i="13"/>
  <c r="AO476" i="13"/>
  <c r="AK487" i="13"/>
  <c r="AO492" i="13"/>
  <c r="AK503" i="13"/>
  <c r="AO508" i="13"/>
  <c r="AK515" i="13"/>
  <c r="AO536" i="13"/>
  <c r="AK579" i="13"/>
  <c r="AO605" i="13"/>
  <c r="AK313" i="13"/>
  <c r="AO313" i="13"/>
  <c r="AK312" i="3"/>
  <c r="AQ331" i="3" s="1"/>
  <c r="B64" i="27"/>
  <c r="A37" i="26" s="1"/>
  <c r="AL314" i="3"/>
  <c r="AL318" i="3"/>
  <c r="J22" i="1" s="1"/>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7" i="5"/>
  <c r="AD16" i="5"/>
  <c r="AD15" i="5"/>
  <c r="AD14" i="5"/>
  <c r="AD12" i="5"/>
  <c r="H12" i="13"/>
  <c r="P13" i="22"/>
  <c r="W13" i="22" s="1"/>
  <c r="Q13" i="22"/>
  <c r="X13" i="22" s="1"/>
  <c r="R13" i="22"/>
  <c r="Y13" i="22" s="1"/>
  <c r="S13" i="22"/>
  <c r="Z13" i="22" s="1"/>
  <c r="T13" i="22"/>
  <c r="AA13" i="22" s="1"/>
  <c r="P14" i="22"/>
  <c r="W14" i="22" s="1"/>
  <c r="Q14" i="22"/>
  <c r="X14" i="22" s="1"/>
  <c r="R14" i="22"/>
  <c r="Y14" i="22" s="1"/>
  <c r="S14" i="22"/>
  <c r="Z14" i="22" s="1"/>
  <c r="T14" i="22"/>
  <c r="AA14" i="22" s="1"/>
  <c r="P15" i="22"/>
  <c r="W15" i="22" s="1"/>
  <c r="Q15" i="22"/>
  <c r="X15" i="22" s="1"/>
  <c r="R15" i="22"/>
  <c r="Y15" i="22" s="1"/>
  <c r="S15" i="22"/>
  <c r="Z15" i="22" s="1"/>
  <c r="T15" i="22"/>
  <c r="AA15" i="22" s="1"/>
  <c r="P16" i="22"/>
  <c r="W16" i="22" s="1"/>
  <c r="Q16" i="22"/>
  <c r="X16" i="22" s="1"/>
  <c r="R16" i="22"/>
  <c r="Y16" i="22" s="1"/>
  <c r="S16" i="22"/>
  <c r="Z16" i="22" s="1"/>
  <c r="T16" i="22"/>
  <c r="AA16" i="22" s="1"/>
  <c r="P17" i="22"/>
  <c r="W17" i="22" s="1"/>
  <c r="Q17" i="22"/>
  <c r="X17" i="22" s="1"/>
  <c r="R17" i="22"/>
  <c r="Y17" i="22" s="1"/>
  <c r="S17" i="22"/>
  <c r="Z17" i="22" s="1"/>
  <c r="T17" i="22"/>
  <c r="AA17" i="22" s="1"/>
  <c r="R12" i="22"/>
  <c r="Y12" i="22" s="1"/>
  <c r="Q12" i="22"/>
  <c r="X12" i="22" s="1"/>
  <c r="P12" i="22"/>
  <c r="W12" i="22" s="1"/>
  <c r="T12" i="22"/>
  <c r="AA12" i="22" s="1"/>
  <c r="S12" i="22"/>
  <c r="Z12" i="22" s="1"/>
  <c r="P38" i="22"/>
  <c r="F6" i="22"/>
  <c r="B12" i="22"/>
  <c r="X18" i="22"/>
  <c r="Y18" i="22"/>
  <c r="Z18" i="22"/>
  <c r="AA18" i="22"/>
  <c r="I49" i="14"/>
  <c r="I52" i="9"/>
  <c r="AO308" i="3"/>
  <c r="AO305" i="3"/>
  <c r="AO304" i="3"/>
  <c r="AO301" i="3"/>
  <c r="AO300" i="3"/>
  <c r="AO297" i="3"/>
  <c r="AO296" i="3"/>
  <c r="AO293" i="3"/>
  <c r="AO292" i="3"/>
  <c r="AO289" i="3"/>
  <c r="AO288" i="3"/>
  <c r="AO285" i="3"/>
  <c r="AO284" i="3"/>
  <c r="AO282" i="3"/>
  <c r="AO281" i="3"/>
  <c r="AO278" i="3"/>
  <c r="AO277" i="3"/>
  <c r="AO274" i="3"/>
  <c r="AO273" i="3"/>
  <c r="AO270" i="3"/>
  <c r="AO269" i="3"/>
  <c r="AO266" i="3"/>
  <c r="AO264" i="3"/>
  <c r="AO262" i="3"/>
  <c r="AO260" i="3"/>
  <c r="AO258" i="3"/>
  <c r="AO256" i="3"/>
  <c r="AO254" i="3"/>
  <c r="AO252" i="3"/>
  <c r="AO251" i="3"/>
  <c r="AO248" i="3"/>
  <c r="AO247" i="3"/>
  <c r="AO244" i="3"/>
  <c r="AO243" i="3"/>
  <c r="AO240" i="3"/>
  <c r="AO239" i="3"/>
  <c r="AO236" i="3"/>
  <c r="AO227" i="3"/>
  <c r="AO221" i="3"/>
  <c r="AO217" i="3"/>
  <c r="BS217" i="3" s="1"/>
  <c r="AO216" i="3"/>
  <c r="AO215" i="3"/>
  <c r="AO214" i="3"/>
  <c r="AO213" i="3"/>
  <c r="AO212" i="3"/>
  <c r="AO211" i="3"/>
  <c r="AO156" i="3"/>
  <c r="O308" i="3"/>
  <c r="AS308" i="3" s="1"/>
  <c r="O307" i="3"/>
  <c r="AS307" i="3" s="1"/>
  <c r="O306" i="3"/>
  <c r="AS306" i="3" s="1"/>
  <c r="O305" i="3"/>
  <c r="AS305" i="3" s="1"/>
  <c r="O304" i="3"/>
  <c r="AS304" i="3" s="1"/>
  <c r="O303" i="3"/>
  <c r="AS303" i="3" s="1"/>
  <c r="O302" i="3"/>
  <c r="AS302" i="3" s="1"/>
  <c r="O301" i="3"/>
  <c r="AS301" i="3" s="1"/>
  <c r="O300" i="3"/>
  <c r="AS300" i="3" s="1"/>
  <c r="O299" i="3"/>
  <c r="AS299" i="3" s="1"/>
  <c r="O298" i="3"/>
  <c r="AS298" i="3" s="1"/>
  <c r="O297" i="3"/>
  <c r="AS297" i="3" s="1"/>
  <c r="O296" i="3"/>
  <c r="AS296" i="3" s="1"/>
  <c r="O295" i="3"/>
  <c r="AS295" i="3" s="1"/>
  <c r="O294" i="3"/>
  <c r="AS294" i="3" s="1"/>
  <c r="O293" i="3"/>
  <c r="AS293" i="3" s="1"/>
  <c r="O292" i="3"/>
  <c r="AS292" i="3" s="1"/>
  <c r="O291" i="3"/>
  <c r="AS291" i="3" s="1"/>
  <c r="O290" i="3"/>
  <c r="AS290" i="3" s="1"/>
  <c r="O289" i="3"/>
  <c r="AS289" i="3" s="1"/>
  <c r="O288" i="3"/>
  <c r="AS288" i="3" s="1"/>
  <c r="O287" i="3"/>
  <c r="AS287" i="3" s="1"/>
  <c r="O286" i="3"/>
  <c r="AS286" i="3" s="1"/>
  <c r="O285" i="3"/>
  <c r="AS285" i="3" s="1"/>
  <c r="O284" i="3"/>
  <c r="AS284" i="3" s="1"/>
  <c r="O283" i="3"/>
  <c r="AS283" i="3" s="1"/>
  <c r="O282" i="3"/>
  <c r="AS282" i="3" s="1"/>
  <c r="O281" i="3"/>
  <c r="AS281" i="3" s="1"/>
  <c r="O280" i="3"/>
  <c r="AS280" i="3" s="1"/>
  <c r="O279" i="3"/>
  <c r="AS279" i="3" s="1"/>
  <c r="O278" i="3"/>
  <c r="AS278" i="3" s="1"/>
  <c r="O277" i="3"/>
  <c r="AS277" i="3" s="1"/>
  <c r="O276" i="3"/>
  <c r="AS276" i="3" s="1"/>
  <c r="O275" i="3"/>
  <c r="AS275" i="3" s="1"/>
  <c r="O274" i="3"/>
  <c r="AS274" i="3" s="1"/>
  <c r="O273" i="3"/>
  <c r="AS273" i="3" s="1"/>
  <c r="O272" i="3"/>
  <c r="AS272" i="3" s="1"/>
  <c r="O271" i="3"/>
  <c r="AS271" i="3" s="1"/>
  <c r="O270" i="3"/>
  <c r="AS270" i="3" s="1"/>
  <c r="O269" i="3"/>
  <c r="AS269" i="3" s="1"/>
  <c r="O268" i="3"/>
  <c r="AS268" i="3" s="1"/>
  <c r="O267" i="3"/>
  <c r="AS267" i="3" s="1"/>
  <c r="O266" i="3"/>
  <c r="AS266" i="3" s="1"/>
  <c r="O265" i="3"/>
  <c r="AS265" i="3" s="1"/>
  <c r="O264" i="3"/>
  <c r="AS264" i="3" s="1"/>
  <c r="O263" i="3"/>
  <c r="AS263" i="3" s="1"/>
  <c r="O262" i="3"/>
  <c r="AS262" i="3" s="1"/>
  <c r="O261" i="3"/>
  <c r="AS261" i="3" s="1"/>
  <c r="O260" i="3"/>
  <c r="AS260" i="3" s="1"/>
  <c r="O259" i="3"/>
  <c r="AS259" i="3" s="1"/>
  <c r="O258" i="3"/>
  <c r="AS258" i="3" s="1"/>
  <c r="O257" i="3"/>
  <c r="AS257" i="3" s="1"/>
  <c r="O256" i="3"/>
  <c r="AS256" i="3" s="1"/>
  <c r="O255" i="3"/>
  <c r="AS255" i="3" s="1"/>
  <c r="O254" i="3"/>
  <c r="AS254" i="3" s="1"/>
  <c r="O253" i="3"/>
  <c r="AS253" i="3" s="1"/>
  <c r="O252" i="3"/>
  <c r="AS252" i="3" s="1"/>
  <c r="O251" i="3"/>
  <c r="AS251" i="3" s="1"/>
  <c r="O250" i="3"/>
  <c r="AS250" i="3" s="1"/>
  <c r="O249" i="3"/>
  <c r="AS249" i="3" s="1"/>
  <c r="O248" i="3"/>
  <c r="AS248" i="3" s="1"/>
  <c r="O247" i="3"/>
  <c r="AS247" i="3" s="1"/>
  <c r="O246" i="3"/>
  <c r="AS246" i="3" s="1"/>
  <c r="O245" i="3"/>
  <c r="AS245" i="3" s="1"/>
  <c r="O244" i="3"/>
  <c r="AS244" i="3" s="1"/>
  <c r="O243" i="3"/>
  <c r="AS243" i="3" s="1"/>
  <c r="O242" i="3"/>
  <c r="AS242" i="3" s="1"/>
  <c r="O241" i="3"/>
  <c r="AS241" i="3" s="1"/>
  <c r="O240" i="3"/>
  <c r="AS240" i="3" s="1"/>
  <c r="O239" i="3"/>
  <c r="AS239" i="3" s="1"/>
  <c r="O238" i="3"/>
  <c r="AS238" i="3" s="1"/>
  <c r="O237" i="3"/>
  <c r="AS237" i="3" s="1"/>
  <c r="O236" i="3"/>
  <c r="AS236" i="3" s="1"/>
  <c r="O235" i="3"/>
  <c r="AS235" i="3" s="1"/>
  <c r="O234" i="3"/>
  <c r="AS234" i="3" s="1"/>
  <c r="O233" i="3"/>
  <c r="AS233" i="3" s="1"/>
  <c r="O232" i="3"/>
  <c r="AS232" i="3" s="1"/>
  <c r="O231" i="3"/>
  <c r="AS231" i="3" s="1"/>
  <c r="O230" i="3"/>
  <c r="AS230" i="3" s="1"/>
  <c r="O229" i="3"/>
  <c r="AS229" i="3" s="1"/>
  <c r="O228" i="3"/>
  <c r="AS228" i="3" s="1"/>
  <c r="O227" i="3"/>
  <c r="AS227" i="3" s="1"/>
  <c r="O226" i="3"/>
  <c r="AS226" i="3" s="1"/>
  <c r="O225" i="3"/>
  <c r="AS225" i="3" s="1"/>
  <c r="O224" i="3"/>
  <c r="AS224" i="3" s="1"/>
  <c r="O223" i="3"/>
  <c r="AS223" i="3" s="1"/>
  <c r="O222" i="3"/>
  <c r="AS222" i="3" s="1"/>
  <c r="O221" i="3"/>
  <c r="AS221" i="3" s="1"/>
  <c r="O220" i="3"/>
  <c r="AS220" i="3" s="1"/>
  <c r="O219" i="3"/>
  <c r="AS219" i="3" s="1"/>
  <c r="O218" i="3"/>
  <c r="AS218" i="3" s="1"/>
  <c r="O217" i="3"/>
  <c r="AS217" i="3" s="1"/>
  <c r="O216" i="3"/>
  <c r="AS216" i="3" s="1"/>
  <c r="O215" i="3"/>
  <c r="AS215" i="3" s="1"/>
  <c r="O214" i="3"/>
  <c r="AS214" i="3" s="1"/>
  <c r="O213" i="3"/>
  <c r="AS213" i="3" s="1"/>
  <c r="O212" i="3"/>
  <c r="AS212" i="3" s="1"/>
  <c r="O211" i="3"/>
  <c r="AS211" i="3" s="1"/>
  <c r="O210" i="3"/>
  <c r="AS210" i="3" s="1"/>
  <c r="O209" i="3"/>
  <c r="AS209" i="3" s="1"/>
  <c r="O208" i="3"/>
  <c r="AS208" i="3" s="1"/>
  <c r="O207" i="3"/>
  <c r="AS207" i="3" s="1"/>
  <c r="O206" i="3"/>
  <c r="AS206" i="3" s="1"/>
  <c r="O205" i="3"/>
  <c r="AS205" i="3" s="1"/>
  <c r="O204" i="3"/>
  <c r="AS204" i="3" s="1"/>
  <c r="O203" i="3"/>
  <c r="AS203" i="3" s="1"/>
  <c r="O202" i="3"/>
  <c r="AS202" i="3" s="1"/>
  <c r="AO202" i="3"/>
  <c r="O201" i="3"/>
  <c r="AS201" i="3" s="1"/>
  <c r="O200" i="3"/>
  <c r="AS200" i="3" s="1"/>
  <c r="O199" i="3"/>
  <c r="AS199" i="3" s="1"/>
  <c r="O198" i="3"/>
  <c r="AS198" i="3" s="1"/>
  <c r="O197" i="3"/>
  <c r="AS197" i="3" s="1"/>
  <c r="O196" i="3"/>
  <c r="AS196" i="3" s="1"/>
  <c r="O195" i="3"/>
  <c r="AS195" i="3" s="1"/>
  <c r="O194" i="3"/>
  <c r="AS194" i="3" s="1"/>
  <c r="AO194" i="3"/>
  <c r="O193" i="3"/>
  <c r="AS193" i="3" s="1"/>
  <c r="O192" i="3"/>
  <c r="AS192" i="3" s="1"/>
  <c r="O191" i="3"/>
  <c r="AS191" i="3" s="1"/>
  <c r="O190" i="3"/>
  <c r="AS190" i="3" s="1"/>
  <c r="AO190" i="3"/>
  <c r="O189" i="3"/>
  <c r="AS189" i="3" s="1"/>
  <c r="O188" i="3"/>
  <c r="AS188" i="3" s="1"/>
  <c r="O187" i="3"/>
  <c r="AS187" i="3" s="1"/>
  <c r="O186" i="3"/>
  <c r="AS186" i="3" s="1"/>
  <c r="O185" i="3"/>
  <c r="AS185" i="3" s="1"/>
  <c r="O184" i="3"/>
  <c r="AS184" i="3" s="1"/>
  <c r="O183" i="3"/>
  <c r="AS183" i="3" s="1"/>
  <c r="O182" i="3"/>
  <c r="AS182" i="3" s="1"/>
  <c r="O181" i="3"/>
  <c r="AS181" i="3" s="1"/>
  <c r="O180" i="3"/>
  <c r="AS180" i="3" s="1"/>
  <c r="O179" i="3"/>
  <c r="AS179" i="3" s="1"/>
  <c r="O178" i="3"/>
  <c r="AS178" i="3" s="1"/>
  <c r="O177" i="3"/>
  <c r="AS177" i="3" s="1"/>
  <c r="O176" i="3"/>
  <c r="AS176" i="3" s="1"/>
  <c r="O175" i="3"/>
  <c r="AS175" i="3" s="1"/>
  <c r="O174" i="3"/>
  <c r="AS174" i="3" s="1"/>
  <c r="O173" i="3"/>
  <c r="AS173" i="3" s="1"/>
  <c r="O172" i="3"/>
  <c r="AS172" i="3" s="1"/>
  <c r="O171" i="3"/>
  <c r="AS171" i="3" s="1"/>
  <c r="O170" i="3"/>
  <c r="AS170" i="3" s="1"/>
  <c r="O169" i="3"/>
  <c r="AS169" i="3" s="1"/>
  <c r="O168" i="3"/>
  <c r="AS168" i="3" s="1"/>
  <c r="O167" i="3"/>
  <c r="AS167" i="3" s="1"/>
  <c r="O166" i="3"/>
  <c r="AS166" i="3" s="1"/>
  <c r="O165" i="3"/>
  <c r="AS165" i="3" s="1"/>
  <c r="O164" i="3"/>
  <c r="AS164" i="3" s="1"/>
  <c r="O163" i="3"/>
  <c r="AS163" i="3" s="1"/>
  <c r="O162" i="3"/>
  <c r="AS162" i="3" s="1"/>
  <c r="O161" i="3"/>
  <c r="AS161" i="3" s="1"/>
  <c r="O160" i="3"/>
  <c r="AS160" i="3" s="1"/>
  <c r="O159" i="3"/>
  <c r="AS159" i="3" s="1"/>
  <c r="O158" i="3"/>
  <c r="AS158" i="3" s="1"/>
  <c r="O157" i="3"/>
  <c r="AS157" i="3" s="1"/>
  <c r="O156" i="3"/>
  <c r="AS156" i="3" s="1"/>
  <c r="O155" i="3"/>
  <c r="AS155" i="3" s="1"/>
  <c r="O154" i="3"/>
  <c r="AS154" i="3" s="1"/>
  <c r="AO154" i="3"/>
  <c r="O153" i="3"/>
  <c r="AS153" i="3" s="1"/>
  <c r="O152" i="3"/>
  <c r="AS152" i="3" s="1"/>
  <c r="O151" i="3"/>
  <c r="AS151" i="3" s="1"/>
  <c r="O150" i="3"/>
  <c r="AS150" i="3" s="1"/>
  <c r="O149" i="3"/>
  <c r="AS149" i="3" s="1"/>
  <c r="O148" i="3"/>
  <c r="AS148" i="3" s="1"/>
  <c r="O147" i="3"/>
  <c r="AS147" i="3" s="1"/>
  <c r="O146" i="3"/>
  <c r="AS146" i="3" s="1"/>
  <c r="O145" i="3"/>
  <c r="AS145" i="3" s="1"/>
  <c r="O144" i="3"/>
  <c r="AS144" i="3" s="1"/>
  <c r="O143" i="3"/>
  <c r="AS143" i="3" s="1"/>
  <c r="O142" i="3"/>
  <c r="AS142" i="3" s="1"/>
  <c r="O141" i="3"/>
  <c r="AS141" i="3" s="1"/>
  <c r="O140" i="3"/>
  <c r="AS140" i="3" s="1"/>
  <c r="O139" i="3"/>
  <c r="AS139" i="3" s="1"/>
  <c r="O138" i="3"/>
  <c r="AS138" i="3" s="1"/>
  <c r="O137" i="3"/>
  <c r="AS137" i="3" s="1"/>
  <c r="O136" i="3"/>
  <c r="AS136" i="3" s="1"/>
  <c r="O135" i="3"/>
  <c r="AS135" i="3" s="1"/>
  <c r="AO135" i="3"/>
  <c r="O134" i="3"/>
  <c r="AS134" i="3" s="1"/>
  <c r="O133" i="3"/>
  <c r="AS133" i="3" s="1"/>
  <c r="O132" i="3"/>
  <c r="AS132" i="3" s="1"/>
  <c r="O131" i="3"/>
  <c r="AS131" i="3" s="1"/>
  <c r="O130" i="3"/>
  <c r="AS130" i="3" s="1"/>
  <c r="O129" i="3"/>
  <c r="AS129" i="3" s="1"/>
  <c r="O128" i="3"/>
  <c r="AS128" i="3" s="1"/>
  <c r="O127" i="3"/>
  <c r="AS127" i="3" s="1"/>
  <c r="O126" i="3"/>
  <c r="AS126" i="3" s="1"/>
  <c r="O125" i="3"/>
  <c r="AS125" i="3" s="1"/>
  <c r="O124" i="3"/>
  <c r="AS124" i="3" s="1"/>
  <c r="O123" i="3"/>
  <c r="AS123" i="3" s="1"/>
  <c r="O122" i="3"/>
  <c r="AS122" i="3" s="1"/>
  <c r="O121" i="3"/>
  <c r="AS121" i="3" s="1"/>
  <c r="O120" i="3"/>
  <c r="AS120" i="3" s="1"/>
  <c r="O119" i="3"/>
  <c r="AS119" i="3" s="1"/>
  <c r="O118" i="3"/>
  <c r="AS118" i="3" s="1"/>
  <c r="O117" i="3"/>
  <c r="AS117" i="3" s="1"/>
  <c r="O116" i="3"/>
  <c r="AS116" i="3" s="1"/>
  <c r="O115" i="3"/>
  <c r="AS115" i="3" s="1"/>
  <c r="O114" i="3"/>
  <c r="AS114" i="3" s="1"/>
  <c r="O113" i="3"/>
  <c r="AS113" i="3" s="1"/>
  <c r="O112" i="3"/>
  <c r="AS112" i="3" s="1"/>
  <c r="O111" i="3"/>
  <c r="AS111" i="3" s="1"/>
  <c r="O110" i="3"/>
  <c r="AS110" i="3" s="1"/>
  <c r="O109" i="3"/>
  <c r="AS109" i="3" s="1"/>
  <c r="O108" i="3"/>
  <c r="AS108" i="3" s="1"/>
  <c r="O107" i="3"/>
  <c r="AS107" i="3" s="1"/>
  <c r="O106" i="3"/>
  <c r="AS106" i="3" s="1"/>
  <c r="O105" i="3"/>
  <c r="AS105" i="3" s="1"/>
  <c r="O104" i="3"/>
  <c r="AS104" i="3" s="1"/>
  <c r="O103" i="3"/>
  <c r="AS103" i="3" s="1"/>
  <c r="O102" i="3"/>
  <c r="AS102" i="3" s="1"/>
  <c r="O101" i="3"/>
  <c r="AS101" i="3" s="1"/>
  <c r="O100" i="3"/>
  <c r="AS100" i="3" s="1"/>
  <c r="O99" i="3"/>
  <c r="AS99" i="3" s="1"/>
  <c r="O98" i="3"/>
  <c r="AS98" i="3" s="1"/>
  <c r="O97" i="3"/>
  <c r="AS97" i="3" s="1"/>
  <c r="O96" i="3"/>
  <c r="AS96" i="3" s="1"/>
  <c r="O95" i="3"/>
  <c r="AS95" i="3" s="1"/>
  <c r="O94" i="3"/>
  <c r="AS94" i="3" s="1"/>
  <c r="O93" i="3"/>
  <c r="AS93" i="3" s="1"/>
  <c r="O92" i="3"/>
  <c r="AS92" i="3" s="1"/>
  <c r="O91" i="3"/>
  <c r="AS91" i="3" s="1"/>
  <c r="O90" i="3"/>
  <c r="AS90" i="3" s="1"/>
  <c r="O89" i="3"/>
  <c r="AS89" i="3" s="1"/>
  <c r="O88" i="3"/>
  <c r="AS88" i="3" s="1"/>
  <c r="O87" i="3"/>
  <c r="AS87" i="3" s="1"/>
  <c r="O86" i="3"/>
  <c r="AS86" i="3" s="1"/>
  <c r="O85" i="3"/>
  <c r="AS85" i="3" s="1"/>
  <c r="O84" i="3"/>
  <c r="AS84" i="3" s="1"/>
  <c r="O83" i="3"/>
  <c r="AS83" i="3" s="1"/>
  <c r="O82" i="3"/>
  <c r="AS82" i="3" s="1"/>
  <c r="O81" i="3"/>
  <c r="AS81" i="3" s="1"/>
  <c r="O80" i="3"/>
  <c r="AS80" i="3" s="1"/>
  <c r="O79" i="3"/>
  <c r="AS79" i="3" s="1"/>
  <c r="O78" i="3"/>
  <c r="AS78" i="3" s="1"/>
  <c r="O77" i="3"/>
  <c r="AS77" i="3" s="1"/>
  <c r="O76" i="3"/>
  <c r="AO76" i="3" s="1"/>
  <c r="O75" i="3"/>
  <c r="AS75" i="3" s="1"/>
  <c r="O74" i="3"/>
  <c r="AS74" i="3" s="1"/>
  <c r="O73" i="3"/>
  <c r="AS73" i="3" s="1"/>
  <c r="O72" i="3"/>
  <c r="AS72" i="3" s="1"/>
  <c r="O71" i="3"/>
  <c r="AS71" i="3" s="1"/>
  <c r="O70" i="3"/>
  <c r="AS70" i="3" s="1"/>
  <c r="O69" i="3"/>
  <c r="AS69" i="3" s="1"/>
  <c r="O68" i="3"/>
  <c r="AS68" i="3" s="1"/>
  <c r="O67" i="3"/>
  <c r="AS67" i="3" s="1"/>
  <c r="O66" i="3"/>
  <c r="AS66" i="3" s="1"/>
  <c r="O65" i="3"/>
  <c r="AS65" i="3" s="1"/>
  <c r="O64" i="3"/>
  <c r="AS64" i="3" s="1"/>
  <c r="O63" i="3"/>
  <c r="AS63" i="3" s="1"/>
  <c r="O62" i="3"/>
  <c r="AS62" i="3" s="1"/>
  <c r="O61" i="3"/>
  <c r="AS61" i="3" s="1"/>
  <c r="O60" i="3"/>
  <c r="AS60" i="3" s="1"/>
  <c r="O59" i="3"/>
  <c r="AS59" i="3" s="1"/>
  <c r="O58" i="3"/>
  <c r="AS58" i="3" s="1"/>
  <c r="O57" i="3"/>
  <c r="AS57" i="3" s="1"/>
  <c r="O56" i="3"/>
  <c r="AS56" i="3" s="1"/>
  <c r="O55" i="3"/>
  <c r="AS55" i="3" s="1"/>
  <c r="O54" i="3"/>
  <c r="AS54" i="3" s="1"/>
  <c r="O53" i="3"/>
  <c r="AS53" i="3" s="1"/>
  <c r="O52" i="3"/>
  <c r="AS52" i="3" s="1"/>
  <c r="O51" i="3"/>
  <c r="AS51" i="3" s="1"/>
  <c r="O50" i="3"/>
  <c r="AS50" i="3" s="1"/>
  <c r="O49" i="3"/>
  <c r="AS49" i="3" s="1"/>
  <c r="O48" i="3"/>
  <c r="AS48" i="3" s="1"/>
  <c r="O47" i="3"/>
  <c r="AS47" i="3" s="1"/>
  <c r="O46" i="3"/>
  <c r="AS46" i="3" s="1"/>
  <c r="O45" i="3"/>
  <c r="AS45" i="3" s="1"/>
  <c r="O44" i="3"/>
  <c r="AS44" i="3" s="1"/>
  <c r="O43" i="3"/>
  <c r="AS43" i="3" s="1"/>
  <c r="O42" i="3"/>
  <c r="AS42" i="3" s="1"/>
  <c r="O41" i="3"/>
  <c r="AS41" i="3" s="1"/>
  <c r="O40" i="3"/>
  <c r="AS40" i="3" s="1"/>
  <c r="O39" i="3"/>
  <c r="AS39" i="3" s="1"/>
  <c r="O38" i="3"/>
  <c r="AS38" i="3" s="1"/>
  <c r="O37" i="3"/>
  <c r="AS37" i="3" s="1"/>
  <c r="O36" i="3"/>
  <c r="AS36" i="3" s="1"/>
  <c r="O35" i="3"/>
  <c r="AS35" i="3" s="1"/>
  <c r="O34" i="3"/>
  <c r="AS34" i="3" s="1"/>
  <c r="O33" i="3"/>
  <c r="AS33" i="3" s="1"/>
  <c r="O32" i="3"/>
  <c r="AS32" i="3" s="1"/>
  <c r="O31" i="3"/>
  <c r="AS31" i="3" s="1"/>
  <c r="O30" i="3"/>
  <c r="AS30" i="3" s="1"/>
  <c r="W19" i="22"/>
  <c r="AA19" i="22"/>
  <c r="X19" i="22"/>
  <c r="Y19" i="22"/>
  <c r="Z19" i="22"/>
  <c r="Z20" i="22"/>
  <c r="AA20" i="22"/>
  <c r="X20" i="22"/>
  <c r="Y20" i="22"/>
  <c r="Y21" i="22"/>
  <c r="Z21" i="22"/>
  <c r="AA21" i="22"/>
  <c r="X21" i="22"/>
  <c r="X22" i="22"/>
  <c r="Y22" i="22"/>
  <c r="Z22" i="22"/>
  <c r="AA22" i="22"/>
  <c r="AA23" i="22"/>
  <c r="X23" i="22"/>
  <c r="Y23" i="22"/>
  <c r="Z23" i="22"/>
  <c r="AA408" i="5"/>
  <c r="AA407" i="5"/>
  <c r="AA406" i="5"/>
  <c r="AA405" i="5"/>
  <c r="AA404" i="5"/>
  <c r="AA403" i="5"/>
  <c r="AA402" i="5"/>
  <c r="AA401" i="5"/>
  <c r="AA400" i="5"/>
  <c r="AA399" i="5"/>
  <c r="AA398" i="5"/>
  <c r="AA397" i="5"/>
  <c r="AA396" i="5"/>
  <c r="AA395" i="5"/>
  <c r="AA394" i="5"/>
  <c r="AA393" i="5"/>
  <c r="AA392" i="5"/>
  <c r="AA391" i="5"/>
  <c r="AA390" i="5"/>
  <c r="AA389" i="5"/>
  <c r="AA388" i="5"/>
  <c r="AA387" i="5"/>
  <c r="AA386" i="5"/>
  <c r="AA385" i="5"/>
  <c r="AA384" i="5"/>
  <c r="AA383" i="5"/>
  <c r="AA382" i="5"/>
  <c r="AA381" i="5"/>
  <c r="AA380" i="5"/>
  <c r="AA379" i="5"/>
  <c r="AA378" i="5"/>
  <c r="AA377" i="5"/>
  <c r="AA376" i="5"/>
  <c r="AA375" i="5"/>
  <c r="AA374" i="5"/>
  <c r="AA373" i="5"/>
  <c r="AA372" i="5"/>
  <c r="AA371" i="5"/>
  <c r="AA370" i="5"/>
  <c r="AA369" i="5"/>
  <c r="AA368" i="5"/>
  <c r="AA367" i="5"/>
  <c r="AA366" i="5"/>
  <c r="AA365" i="5"/>
  <c r="AA364" i="5"/>
  <c r="AA363" i="5"/>
  <c r="AA362" i="5"/>
  <c r="AA361" i="5"/>
  <c r="AA360" i="5"/>
  <c r="AA359" i="5"/>
  <c r="AA358" i="5"/>
  <c r="AA357" i="5"/>
  <c r="AA356" i="5"/>
  <c r="AA355" i="5"/>
  <c r="AA354" i="5"/>
  <c r="AA353" i="5"/>
  <c r="AA352" i="5"/>
  <c r="AA351" i="5"/>
  <c r="AA350" i="5"/>
  <c r="AA349" i="5"/>
  <c r="AA348" i="5"/>
  <c r="AA347" i="5"/>
  <c r="AA346" i="5"/>
  <c r="AA345" i="5"/>
  <c r="AA344" i="5"/>
  <c r="AA343" i="5"/>
  <c r="AA342" i="5"/>
  <c r="AA341" i="5"/>
  <c r="AA340" i="5"/>
  <c r="AA339" i="5"/>
  <c r="AA338" i="5"/>
  <c r="AA337" i="5"/>
  <c r="AA336" i="5"/>
  <c r="AA335" i="5"/>
  <c r="AA334" i="5"/>
  <c r="AA333" i="5"/>
  <c r="AA332" i="5"/>
  <c r="AA331" i="5"/>
  <c r="AA330" i="5"/>
  <c r="AA329" i="5"/>
  <c r="AA328" i="5"/>
  <c r="AA327" i="5"/>
  <c r="AA326" i="5"/>
  <c r="AA325" i="5"/>
  <c r="AA324" i="5"/>
  <c r="AA323" i="5"/>
  <c r="AA322" i="5"/>
  <c r="AA321" i="5"/>
  <c r="AA320" i="5"/>
  <c r="AA319" i="5"/>
  <c r="AA318" i="5"/>
  <c r="AA317" i="5"/>
  <c r="AA316" i="5"/>
  <c r="AA315" i="5"/>
  <c r="AA314" i="5"/>
  <c r="AA313" i="5"/>
  <c r="AA312" i="5"/>
  <c r="AA311" i="5"/>
  <c r="AA310" i="5"/>
  <c r="AA309" i="5"/>
  <c r="AA308" i="5"/>
  <c r="AA307" i="5"/>
  <c r="AA306" i="5"/>
  <c r="AA305" i="5"/>
  <c r="AA304" i="5"/>
  <c r="AA303" i="5"/>
  <c r="AA302" i="5"/>
  <c r="AA301" i="5"/>
  <c r="AA300" i="5"/>
  <c r="AA299" i="5"/>
  <c r="AA298" i="5"/>
  <c r="AA297" i="5"/>
  <c r="AA296" i="5"/>
  <c r="AA295" i="5"/>
  <c r="AA294" i="5"/>
  <c r="AA293" i="5"/>
  <c r="AA292" i="5"/>
  <c r="AA291" i="5"/>
  <c r="AA290" i="5"/>
  <c r="AA289" i="5"/>
  <c r="AA288" i="5"/>
  <c r="AA287" i="5"/>
  <c r="AA286" i="5"/>
  <c r="AA285" i="5"/>
  <c r="AA284" i="5"/>
  <c r="AA283" i="5"/>
  <c r="AA282" i="5"/>
  <c r="AA281" i="5"/>
  <c r="AA280" i="5"/>
  <c r="AA279" i="5"/>
  <c r="AA278" i="5"/>
  <c r="AA277" i="5"/>
  <c r="AA276" i="5"/>
  <c r="AA275" i="5"/>
  <c r="AA274" i="5"/>
  <c r="AA273" i="5"/>
  <c r="AA272" i="5"/>
  <c r="AA271" i="5"/>
  <c r="AA270" i="5"/>
  <c r="AA269" i="5"/>
  <c r="AA268" i="5"/>
  <c r="AA267" i="5"/>
  <c r="AA266" i="5"/>
  <c r="AA265" i="5"/>
  <c r="AA264" i="5"/>
  <c r="AA263" i="5"/>
  <c r="AA262" i="5"/>
  <c r="AA261" i="5"/>
  <c r="AA260" i="5"/>
  <c r="AA259" i="5"/>
  <c r="AA258" i="5"/>
  <c r="AA257" i="5"/>
  <c r="AA256" i="5"/>
  <c r="AA255" i="5"/>
  <c r="AA254" i="5"/>
  <c r="AA253" i="5"/>
  <c r="AA252" i="5"/>
  <c r="AA251" i="5"/>
  <c r="AA250" i="5"/>
  <c r="AA249" i="5"/>
  <c r="AA248" i="5"/>
  <c r="AA247" i="5"/>
  <c r="AA246" i="5"/>
  <c r="AA245" i="5"/>
  <c r="AA244" i="5"/>
  <c r="AA243" i="5"/>
  <c r="AA242" i="5"/>
  <c r="AA241" i="5"/>
  <c r="AA240" i="5"/>
  <c r="AA239" i="5"/>
  <c r="AA238" i="5"/>
  <c r="AA237" i="5"/>
  <c r="AA236" i="5"/>
  <c r="AA235" i="5"/>
  <c r="AA234" i="5"/>
  <c r="AA233" i="5"/>
  <c r="AA232" i="5"/>
  <c r="AA231" i="5"/>
  <c r="AA230" i="5"/>
  <c r="AA229" i="5"/>
  <c r="AA228" i="5"/>
  <c r="AA227" i="5"/>
  <c r="AA226" i="5"/>
  <c r="AA225" i="5"/>
  <c r="AA224" i="5"/>
  <c r="AA223" i="5"/>
  <c r="AA222" i="5"/>
  <c r="AA221" i="5"/>
  <c r="AA220" i="5"/>
  <c r="AA219" i="5"/>
  <c r="AA218" i="5"/>
  <c r="AA217" i="5"/>
  <c r="AA216" i="5"/>
  <c r="AA215" i="5"/>
  <c r="AA214" i="5"/>
  <c r="AA213" i="5"/>
  <c r="AA212" i="5"/>
  <c r="AA211" i="5"/>
  <c r="AA210" i="5"/>
  <c r="AA209" i="5"/>
  <c r="AA208" i="5"/>
  <c r="AA207" i="5"/>
  <c r="AA206" i="5"/>
  <c r="AA205" i="5"/>
  <c r="AA204" i="5"/>
  <c r="AA203" i="5"/>
  <c r="AA202" i="5"/>
  <c r="AA201" i="5"/>
  <c r="AA200" i="5"/>
  <c r="AA199" i="5"/>
  <c r="AA198" i="5"/>
  <c r="AA197" i="5"/>
  <c r="AA196" i="5"/>
  <c r="AA195" i="5"/>
  <c r="AA194" i="5"/>
  <c r="AA193" i="5"/>
  <c r="AA192" i="5"/>
  <c r="AA191" i="5"/>
  <c r="AA190" i="5"/>
  <c r="AA189" i="5"/>
  <c r="AA188" i="5"/>
  <c r="AA187" i="5"/>
  <c r="AA186" i="5"/>
  <c r="AA185" i="5"/>
  <c r="AA184" i="5"/>
  <c r="AA183" i="5"/>
  <c r="AA182" i="5"/>
  <c r="AA181" i="5"/>
  <c r="AA180" i="5"/>
  <c r="AA179" i="5"/>
  <c r="AA178" i="5"/>
  <c r="AA177" i="5"/>
  <c r="AA176" i="5"/>
  <c r="AA175" i="5"/>
  <c r="AA174" i="5"/>
  <c r="AA173" i="5"/>
  <c r="AA172" i="5"/>
  <c r="AA171" i="5"/>
  <c r="AA170" i="5"/>
  <c r="AA169" i="5"/>
  <c r="AA168" i="5"/>
  <c r="AA167" i="5"/>
  <c r="AA166" i="5"/>
  <c r="AA165" i="5"/>
  <c r="AA164" i="5"/>
  <c r="AA163" i="5"/>
  <c r="AA162" i="5"/>
  <c r="AA161" i="5"/>
  <c r="AA160" i="5"/>
  <c r="AA159" i="5"/>
  <c r="AA158" i="5"/>
  <c r="AA157" i="5"/>
  <c r="AA156" i="5"/>
  <c r="AA155" i="5"/>
  <c r="AA154" i="5"/>
  <c r="AA153" i="5"/>
  <c r="AA152" i="5"/>
  <c r="AA151" i="5"/>
  <c r="AA150" i="5"/>
  <c r="AA149" i="5"/>
  <c r="AA148" i="5"/>
  <c r="AA147" i="5"/>
  <c r="AA146" i="5"/>
  <c r="AA145" i="5"/>
  <c r="AA144" i="5"/>
  <c r="AA143" i="5"/>
  <c r="AA142" i="5"/>
  <c r="AA141" i="5"/>
  <c r="AA140" i="5"/>
  <c r="AA139" i="5"/>
  <c r="AA138" i="5"/>
  <c r="AA137" i="5"/>
  <c r="AA136" i="5"/>
  <c r="AA135" i="5"/>
  <c r="AA134" i="5"/>
  <c r="AA133" i="5"/>
  <c r="AA132" i="5"/>
  <c r="AA131" i="5"/>
  <c r="AA130" i="5"/>
  <c r="AA129" i="5"/>
  <c r="AA128" i="5"/>
  <c r="AA127" i="5"/>
  <c r="AA126" i="5"/>
  <c r="AA125" i="5"/>
  <c r="AA124" i="5"/>
  <c r="AA123" i="5"/>
  <c r="AA122" i="5"/>
  <c r="AA121" i="5"/>
  <c r="AA120" i="5"/>
  <c r="AA119" i="5"/>
  <c r="AA118" i="5"/>
  <c r="AA117" i="5"/>
  <c r="AA116" i="5"/>
  <c r="AA115" i="5"/>
  <c r="AA114" i="5"/>
  <c r="AA113" i="5"/>
  <c r="AA112" i="5"/>
  <c r="AA111" i="5"/>
  <c r="AA110" i="5"/>
  <c r="AA109" i="5"/>
  <c r="AA108" i="5"/>
  <c r="AA107" i="5"/>
  <c r="AA106" i="5"/>
  <c r="AA105" i="5"/>
  <c r="AA104" i="5"/>
  <c r="AA103" i="5"/>
  <c r="AA102" i="5"/>
  <c r="AA101" i="5"/>
  <c r="AA100" i="5"/>
  <c r="AA99" i="5"/>
  <c r="AA98" i="5"/>
  <c r="AA97" i="5"/>
  <c r="AA96" i="5"/>
  <c r="AA95" i="5"/>
  <c r="AA94" i="5"/>
  <c r="AA93" i="5"/>
  <c r="AA92" i="5"/>
  <c r="AA91" i="5"/>
  <c r="AA90" i="5"/>
  <c r="AA89" i="5"/>
  <c r="AA88" i="5"/>
  <c r="AA87" i="5"/>
  <c r="AA86" i="5"/>
  <c r="AA85" i="5"/>
  <c r="AA84" i="5"/>
  <c r="AA83" i="5"/>
  <c r="AA82" i="5"/>
  <c r="AA81" i="5"/>
  <c r="AA80" i="5"/>
  <c r="AA79" i="5"/>
  <c r="AA78" i="5"/>
  <c r="AA77" i="5"/>
  <c r="AA76" i="5"/>
  <c r="AA75" i="5"/>
  <c r="AA74" i="5"/>
  <c r="AA73" i="5"/>
  <c r="AA72" i="5"/>
  <c r="AA71" i="5"/>
  <c r="AA69" i="5"/>
  <c r="AA68" i="5"/>
  <c r="AA67" i="5"/>
  <c r="AA66" i="5"/>
  <c r="AA65" i="5"/>
  <c r="AA64" i="5"/>
  <c r="AA63" i="5"/>
  <c r="AA62" i="5"/>
  <c r="AA61" i="5"/>
  <c r="AA60" i="5"/>
  <c r="AA59" i="5"/>
  <c r="AA58" i="5"/>
  <c r="AA57" i="5"/>
  <c r="AA56" i="5"/>
  <c r="AA55" i="5"/>
  <c r="AA54" i="5"/>
  <c r="AA53" i="5"/>
  <c r="AA52" i="5"/>
  <c r="AA51" i="5"/>
  <c r="AA50" i="5"/>
  <c r="AA49" i="5"/>
  <c r="AA48" i="5"/>
  <c r="AA47" i="5"/>
  <c r="AA46" i="5"/>
  <c r="AA45" i="5"/>
  <c r="AA44" i="5"/>
  <c r="AA43" i="5"/>
  <c r="AA42" i="5"/>
  <c r="AA41" i="5"/>
  <c r="AA40" i="5"/>
  <c r="AA39" i="5"/>
  <c r="AA38" i="5"/>
  <c r="AA37" i="5"/>
  <c r="AA36" i="5"/>
  <c r="AA35" i="5"/>
  <c r="AA34" i="5"/>
  <c r="AA33" i="5"/>
  <c r="AA32" i="5"/>
  <c r="AA31" i="5"/>
  <c r="AA30" i="5"/>
  <c r="AA29" i="5"/>
  <c r="AA28" i="5"/>
  <c r="AA27" i="5"/>
  <c r="AA26" i="5"/>
  <c r="AA25" i="5"/>
  <c r="AA24" i="5"/>
  <c r="AA23" i="5"/>
  <c r="AA22" i="5"/>
  <c r="AA21" i="5"/>
  <c r="AA20" i="5"/>
  <c r="AA19" i="5"/>
  <c r="AA16" i="5"/>
  <c r="AA15" i="5"/>
  <c r="AA14" i="5"/>
  <c r="AA12" i="5"/>
  <c r="AB19" i="5"/>
  <c r="AE19" i="5"/>
  <c r="AN19" i="5"/>
  <c r="Z24" i="22"/>
  <c r="AA24" i="22"/>
  <c r="X24" i="22"/>
  <c r="Y24" i="22"/>
  <c r="Y25" i="22"/>
  <c r="Z25" i="22"/>
  <c r="AA25" i="22"/>
  <c r="X25" i="22"/>
  <c r="AT233" i="3"/>
  <c r="AT226" i="3"/>
  <c r="AT123" i="3"/>
  <c r="AT122" i="3"/>
  <c r="AT119" i="3"/>
  <c r="AT103" i="3"/>
  <c r="AT40" i="3"/>
  <c r="X26" i="22"/>
  <c r="Y26" i="22"/>
  <c r="Z26" i="22"/>
  <c r="AA26" i="22"/>
  <c r="EA59" i="3"/>
  <c r="EA58" i="3"/>
  <c r="EA57" i="3"/>
  <c r="EA56" i="3"/>
  <c r="EA55" i="3"/>
  <c r="EA54" i="3"/>
  <c r="EA53" i="3"/>
  <c r="EA52" i="3"/>
  <c r="EA51" i="3"/>
  <c r="EA50" i="3"/>
  <c r="EA49" i="3"/>
  <c r="EA48" i="3"/>
  <c r="EA47" i="3"/>
  <c r="EA46" i="3"/>
  <c r="EA45" i="3"/>
  <c r="EA44" i="3"/>
  <c r="EA43" i="3"/>
  <c r="EA42" i="3"/>
  <c r="EA41" i="3"/>
  <c r="EA40" i="3"/>
  <c r="EA39" i="3"/>
  <c r="EA38" i="3"/>
  <c r="EA37" i="3"/>
  <c r="EA36" i="3"/>
  <c r="EA35" i="3"/>
  <c r="EA34" i="3"/>
  <c r="EA33" i="3"/>
  <c r="EA32" i="3"/>
  <c r="EA31" i="3"/>
  <c r="EA30" i="3"/>
  <c r="EA29" i="3"/>
  <c r="EA28" i="3"/>
  <c r="EA27" i="3"/>
  <c r="EA26" i="3"/>
  <c r="EA25" i="3"/>
  <c r="EA24" i="3"/>
  <c r="EA23" i="3"/>
  <c r="EA22" i="3"/>
  <c r="EA21" i="3"/>
  <c r="EA20" i="3"/>
  <c r="EA19" i="3"/>
  <c r="AT73" i="3" s="1"/>
  <c r="EA18" i="3"/>
  <c r="EA17" i="3"/>
  <c r="EA16" i="3"/>
  <c r="EA15" i="3"/>
  <c r="EA14" i="3"/>
  <c r="EA13" i="3"/>
  <c r="EA12" i="3"/>
  <c r="EA10" i="3"/>
  <c r="AT77" i="3" s="1"/>
  <c r="EA9" i="3"/>
  <c r="AA27" i="22"/>
  <c r="X27" i="22"/>
  <c r="Y27" i="22"/>
  <c r="Z27" i="22"/>
  <c r="Z28" i="22"/>
  <c r="AA28" i="22"/>
  <c r="X28" i="22"/>
  <c r="Y28" i="22"/>
  <c r="Y29" i="22"/>
  <c r="Z29" i="22"/>
  <c r="AA29" i="22"/>
  <c r="X29" i="22"/>
  <c r="Q322" i="20"/>
  <c r="Q321" i="20"/>
  <c r="Q320" i="20"/>
  <c r="Q319" i="20"/>
  <c r="Q318" i="20"/>
  <c r="Q317" i="20"/>
  <c r="Q316" i="20"/>
  <c r="Q315" i="20"/>
  <c r="Q314" i="20"/>
  <c r="Q313" i="20"/>
  <c r="Q312" i="20"/>
  <c r="Q311" i="20"/>
  <c r="Q310" i="20"/>
  <c r="Q309" i="20"/>
  <c r="Q308" i="20"/>
  <c r="Q307" i="20"/>
  <c r="Q306" i="20"/>
  <c r="Q305" i="20"/>
  <c r="Q304" i="20"/>
  <c r="Q303" i="20"/>
  <c r="Q302" i="20"/>
  <c r="Q301" i="20"/>
  <c r="Q300" i="20"/>
  <c r="Q299" i="20"/>
  <c r="Q298" i="20"/>
  <c r="Q297" i="20"/>
  <c r="Q296" i="20"/>
  <c r="Q295" i="20"/>
  <c r="Q294" i="20"/>
  <c r="Q293" i="20"/>
  <c r="Q292" i="20"/>
  <c r="Q291" i="20"/>
  <c r="Q290" i="20"/>
  <c r="Q289" i="20"/>
  <c r="Q288" i="20"/>
  <c r="Q287" i="20"/>
  <c r="Q286" i="20"/>
  <c r="Q285" i="20"/>
  <c r="Q284" i="20"/>
  <c r="Q283" i="20"/>
  <c r="Q282" i="20"/>
  <c r="Q281" i="20"/>
  <c r="Q280" i="20"/>
  <c r="Q279" i="20"/>
  <c r="Q278" i="20"/>
  <c r="Q277" i="20"/>
  <c r="Q276" i="20"/>
  <c r="Q275" i="20"/>
  <c r="Q274" i="20"/>
  <c r="Q273" i="20"/>
  <c r="Q272" i="20"/>
  <c r="Q271" i="20"/>
  <c r="Q270" i="20"/>
  <c r="Q269" i="20"/>
  <c r="Q268" i="20"/>
  <c r="Q267" i="20"/>
  <c r="Q266" i="20"/>
  <c r="Q265" i="20"/>
  <c r="Q264" i="20"/>
  <c r="Q263" i="20"/>
  <c r="Q262" i="20"/>
  <c r="Q261" i="20"/>
  <c r="Q260" i="20"/>
  <c r="Q259" i="20"/>
  <c r="Q258" i="20"/>
  <c r="Q257" i="20"/>
  <c r="Q256" i="20"/>
  <c r="Q255" i="20"/>
  <c r="Q254" i="20"/>
  <c r="Q253" i="20"/>
  <c r="Q252" i="20"/>
  <c r="Q251" i="20"/>
  <c r="Q250" i="20"/>
  <c r="Q249" i="20"/>
  <c r="Q248" i="20"/>
  <c r="Q247" i="20"/>
  <c r="Q246" i="20"/>
  <c r="Q245" i="20"/>
  <c r="Q244" i="20"/>
  <c r="Q243" i="20"/>
  <c r="Q242" i="20"/>
  <c r="Q241" i="20"/>
  <c r="Q240" i="20"/>
  <c r="Q239" i="20"/>
  <c r="Q238" i="20"/>
  <c r="Q237" i="20"/>
  <c r="Q236" i="20"/>
  <c r="Q235" i="20"/>
  <c r="Q234" i="20"/>
  <c r="Q233" i="20"/>
  <c r="Q232" i="20"/>
  <c r="Q231" i="20"/>
  <c r="Q230" i="20"/>
  <c r="Q229" i="20"/>
  <c r="Q228" i="20"/>
  <c r="Q227" i="20"/>
  <c r="Q226" i="20"/>
  <c r="Q225" i="20"/>
  <c r="Q224" i="20"/>
  <c r="Q223" i="20"/>
  <c r="Q222" i="20"/>
  <c r="Q221" i="20"/>
  <c r="Q220" i="20"/>
  <c r="Q219" i="20"/>
  <c r="Q218" i="20"/>
  <c r="Q217" i="20"/>
  <c r="Q216" i="20"/>
  <c r="Q215" i="20"/>
  <c r="Q214" i="20"/>
  <c r="Q213" i="20"/>
  <c r="Q212" i="20"/>
  <c r="Q211" i="20"/>
  <c r="Q210" i="20"/>
  <c r="Q209" i="20"/>
  <c r="Q208" i="20"/>
  <c r="Q207" i="20"/>
  <c r="Q206" i="20"/>
  <c r="Q205" i="20"/>
  <c r="Q204" i="20"/>
  <c r="Q203" i="20"/>
  <c r="Q202" i="20"/>
  <c r="Q201" i="20"/>
  <c r="Q200" i="20"/>
  <c r="Q199" i="20"/>
  <c r="Q198" i="20"/>
  <c r="Q197" i="20"/>
  <c r="Q196" i="20"/>
  <c r="Q195" i="20"/>
  <c r="Q194" i="20"/>
  <c r="Q193" i="20"/>
  <c r="Q192" i="20"/>
  <c r="Q191" i="20"/>
  <c r="Q190" i="20"/>
  <c r="Q189" i="20"/>
  <c r="Q188" i="20"/>
  <c r="Q187" i="20"/>
  <c r="Q186" i="20"/>
  <c r="Q185" i="20"/>
  <c r="Q184" i="20"/>
  <c r="Q183" i="20"/>
  <c r="Q182" i="20"/>
  <c r="Q181" i="20"/>
  <c r="Q180" i="20"/>
  <c r="Q179" i="20"/>
  <c r="Q178" i="20"/>
  <c r="Q177" i="20"/>
  <c r="Q176" i="20"/>
  <c r="Q175" i="20"/>
  <c r="Q174" i="20"/>
  <c r="Q173" i="20"/>
  <c r="Q172" i="20"/>
  <c r="Q171" i="20"/>
  <c r="Q170" i="20"/>
  <c r="Q169" i="20"/>
  <c r="Q168" i="20"/>
  <c r="Q167" i="20"/>
  <c r="Q166" i="20"/>
  <c r="Q165" i="20"/>
  <c r="Q164" i="20"/>
  <c r="Q163" i="20"/>
  <c r="Q162" i="20"/>
  <c r="Q161" i="20"/>
  <c r="Q160" i="20"/>
  <c r="Q159" i="20"/>
  <c r="Q158" i="20"/>
  <c r="Q157" i="20"/>
  <c r="Q156" i="20"/>
  <c r="Q155" i="20"/>
  <c r="Q154" i="20"/>
  <c r="Q153" i="20"/>
  <c r="Q152" i="20"/>
  <c r="Q151" i="20"/>
  <c r="Q150" i="20"/>
  <c r="Q149" i="20"/>
  <c r="Q148" i="20"/>
  <c r="Q147" i="20"/>
  <c r="Q146" i="20"/>
  <c r="Q145" i="20"/>
  <c r="Q144" i="20"/>
  <c r="Q143" i="20"/>
  <c r="Q142" i="20"/>
  <c r="Q141" i="20"/>
  <c r="Q140" i="20"/>
  <c r="Q139" i="20"/>
  <c r="Q138" i="20"/>
  <c r="Q137" i="20"/>
  <c r="Q136" i="20"/>
  <c r="Q135" i="20"/>
  <c r="Q134" i="20"/>
  <c r="Q133" i="20"/>
  <c r="Q132" i="20"/>
  <c r="Q131" i="20"/>
  <c r="Q130" i="20"/>
  <c r="Q129" i="20"/>
  <c r="Q128" i="20"/>
  <c r="Q127" i="20"/>
  <c r="Q126" i="20"/>
  <c r="Q125" i="20"/>
  <c r="Q124" i="20"/>
  <c r="Q123" i="20"/>
  <c r="Q122" i="20"/>
  <c r="Q121" i="20"/>
  <c r="Q120" i="20"/>
  <c r="Q119" i="20"/>
  <c r="Q118" i="20"/>
  <c r="Q117" i="20"/>
  <c r="Q116" i="20"/>
  <c r="Q115" i="20"/>
  <c r="Q114" i="20"/>
  <c r="Q113" i="20"/>
  <c r="Q112" i="20"/>
  <c r="Q111" i="20"/>
  <c r="Q110" i="20"/>
  <c r="Q109" i="20"/>
  <c r="Q108" i="20"/>
  <c r="Q107" i="20"/>
  <c r="Q106" i="20"/>
  <c r="Q105" i="20"/>
  <c r="Q104" i="20"/>
  <c r="Q103" i="20"/>
  <c r="Q102" i="20"/>
  <c r="Q101" i="20"/>
  <c r="Q100" i="20"/>
  <c r="Q99" i="20"/>
  <c r="Q98" i="20"/>
  <c r="Q97" i="20"/>
  <c r="Q96" i="20"/>
  <c r="Q95" i="20"/>
  <c r="Q94" i="20"/>
  <c r="Q93" i="20"/>
  <c r="Q92" i="20"/>
  <c r="Q91" i="20"/>
  <c r="Q90" i="20"/>
  <c r="Q89" i="20"/>
  <c r="Q88" i="20"/>
  <c r="Q87" i="20"/>
  <c r="Q86" i="20"/>
  <c r="Q85" i="20"/>
  <c r="Q84" i="20"/>
  <c r="Q83" i="20"/>
  <c r="Q82" i="20"/>
  <c r="Q81" i="20"/>
  <c r="Q80" i="20"/>
  <c r="Q79" i="20"/>
  <c r="Q78" i="20"/>
  <c r="Q77" i="20"/>
  <c r="Q76" i="20"/>
  <c r="Q75" i="20"/>
  <c r="Q74" i="20"/>
  <c r="Q73" i="20"/>
  <c r="Q72" i="20"/>
  <c r="Q71" i="20"/>
  <c r="Q70" i="20"/>
  <c r="Q69" i="20"/>
  <c r="Q68" i="20"/>
  <c r="Q67" i="20"/>
  <c r="Q66" i="20"/>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F342" i="20"/>
  <c r="C342" i="20"/>
  <c r="X30" i="22"/>
  <c r="Y30" i="22"/>
  <c r="Z30" i="22"/>
  <c r="AA30" i="22"/>
  <c r="AA31" i="22"/>
  <c r="X31" i="22"/>
  <c r="Y31" i="22"/>
  <c r="Z31" i="22"/>
  <c r="X32" i="22"/>
  <c r="Z32" i="22"/>
  <c r="AA32" i="22"/>
  <c r="Y32" i="22"/>
  <c r="DN185" i="3"/>
  <c r="Z33" i="22"/>
  <c r="AA33" i="22"/>
  <c r="X33" i="22"/>
  <c r="Y33" i="22"/>
  <c r="DN186" i="3"/>
  <c r="Y34" i="22"/>
  <c r="Z34" i="22"/>
  <c r="AA34" i="22"/>
  <c r="X34" i="22"/>
  <c r="AM615" i="13"/>
  <c r="AM613" i="13"/>
  <c r="X35" i="22"/>
  <c r="Y35" i="22"/>
  <c r="Z35" i="22"/>
  <c r="AA35" i="22"/>
  <c r="Q28" i="3"/>
  <c r="DI28" i="3" s="1"/>
  <c r="AE27" i="3"/>
  <c r="Q27" i="3"/>
  <c r="DI27" i="3" s="1"/>
  <c r="AE26" i="3"/>
  <c r="Q26" i="3"/>
  <c r="DI26" i="3" s="1"/>
  <c r="AE25" i="3"/>
  <c r="Q25" i="3"/>
  <c r="DI25" i="3" s="1"/>
  <c r="Q24" i="3"/>
  <c r="DI24" i="3" s="1"/>
  <c r="Q23" i="3"/>
  <c r="DI23" i="3" s="1"/>
  <c r="Q22" i="3"/>
  <c r="DI22" i="3" s="1"/>
  <c r="AE10" i="3"/>
  <c r="Q10" i="3"/>
  <c r="DI10" i="3" s="1"/>
  <c r="C7" i="22"/>
  <c r="C6" i="13" s="1"/>
  <c r="C7" i="13"/>
  <c r="Y3" i="13"/>
  <c r="W18" i="22"/>
  <c r="W20" i="22"/>
  <c r="W21" i="22"/>
  <c r="W22" i="22"/>
  <c r="W23" i="22"/>
  <c r="W24" i="22"/>
  <c r="W25" i="22"/>
  <c r="W26" i="22"/>
  <c r="J28" i="22"/>
  <c r="W28" i="22" s="1"/>
  <c r="J29" i="22"/>
  <c r="J30" i="22"/>
  <c r="W30" i="22" s="1"/>
  <c r="J31" i="22"/>
  <c r="W31" i="22" s="1"/>
  <c r="J32" i="22"/>
  <c r="J33" i="22"/>
  <c r="W33" i="22" s="1"/>
  <c r="J34" i="22"/>
  <c r="W34" i="22" s="1"/>
  <c r="J35" i="22"/>
  <c r="W35" i="22" s="1"/>
  <c r="J36" i="22"/>
  <c r="W36" i="22" s="1"/>
  <c r="J37" i="22"/>
  <c r="W37" i="22" s="1"/>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Q12" i="3"/>
  <c r="DI12" i="3" s="1"/>
  <c r="Q11" i="3"/>
  <c r="DI11" i="3" s="1"/>
  <c r="AF408" i="5"/>
  <c r="AF407" i="5"/>
  <c r="AF406" i="5"/>
  <c r="AF405" i="5"/>
  <c r="AF404" i="5"/>
  <c r="AF403" i="5"/>
  <c r="AF402" i="5"/>
  <c r="AF401" i="5"/>
  <c r="AF400" i="5"/>
  <c r="AF399" i="5"/>
  <c r="AF398" i="5"/>
  <c r="AF397" i="5"/>
  <c r="AF396" i="5"/>
  <c r="AF395" i="5"/>
  <c r="AF394" i="5"/>
  <c r="AF393" i="5"/>
  <c r="AF392" i="5"/>
  <c r="AF391" i="5"/>
  <c r="AF390" i="5"/>
  <c r="AF389" i="5"/>
  <c r="AF388" i="5"/>
  <c r="AF387" i="5"/>
  <c r="AF386" i="5"/>
  <c r="AF385" i="5"/>
  <c r="AF384" i="5"/>
  <c r="AF383" i="5"/>
  <c r="AF382" i="5"/>
  <c r="AF381" i="5"/>
  <c r="AF380" i="5"/>
  <c r="AF379" i="5"/>
  <c r="AF378" i="5"/>
  <c r="AF377" i="5"/>
  <c r="AF376" i="5"/>
  <c r="AF375" i="5"/>
  <c r="AF374" i="5"/>
  <c r="AF373" i="5"/>
  <c r="AF372" i="5"/>
  <c r="AF371" i="5"/>
  <c r="AF370" i="5"/>
  <c r="AF369" i="5"/>
  <c r="AF368" i="5"/>
  <c r="AF367" i="5"/>
  <c r="AF366" i="5"/>
  <c r="AF365" i="5"/>
  <c r="AF364" i="5"/>
  <c r="AF363" i="5"/>
  <c r="AF362" i="5"/>
  <c r="AF361" i="5"/>
  <c r="AF360" i="5"/>
  <c r="AF359" i="5"/>
  <c r="AF358" i="5"/>
  <c r="AF357" i="5"/>
  <c r="AF356" i="5"/>
  <c r="AF355" i="5"/>
  <c r="AF354" i="5"/>
  <c r="AF353" i="5"/>
  <c r="AF352" i="5"/>
  <c r="AF351" i="5"/>
  <c r="AF350" i="5"/>
  <c r="AF349" i="5"/>
  <c r="AF348" i="5"/>
  <c r="AF347" i="5"/>
  <c r="AF346" i="5"/>
  <c r="AF345" i="5"/>
  <c r="AF344" i="5"/>
  <c r="AF343" i="5"/>
  <c r="AF342" i="5"/>
  <c r="AF341" i="5"/>
  <c r="AF340" i="5"/>
  <c r="AF339" i="5"/>
  <c r="AF338" i="5"/>
  <c r="AF337" i="5"/>
  <c r="AF336" i="5"/>
  <c r="AF335" i="5"/>
  <c r="AF334" i="5"/>
  <c r="AF333" i="5"/>
  <c r="AF332" i="5"/>
  <c r="AF331" i="5"/>
  <c r="AF330" i="5"/>
  <c r="AF329" i="5"/>
  <c r="AF328" i="5"/>
  <c r="AF327" i="5"/>
  <c r="AF326" i="5"/>
  <c r="AF325" i="5"/>
  <c r="AF324" i="5"/>
  <c r="AF323" i="5"/>
  <c r="AF322" i="5"/>
  <c r="AF321" i="5"/>
  <c r="AF320" i="5"/>
  <c r="AF319" i="5"/>
  <c r="AF318" i="5"/>
  <c r="AF317" i="5"/>
  <c r="AF316" i="5"/>
  <c r="AF315" i="5"/>
  <c r="AF314" i="5"/>
  <c r="AF313" i="5"/>
  <c r="AF312" i="5"/>
  <c r="AF311" i="5"/>
  <c r="AF310" i="5"/>
  <c r="AF309" i="5"/>
  <c r="AF308" i="5"/>
  <c r="AF307" i="5"/>
  <c r="AF306" i="5"/>
  <c r="AF305" i="5"/>
  <c r="AF304" i="5"/>
  <c r="AF303" i="5"/>
  <c r="AF302" i="5"/>
  <c r="AF301" i="5"/>
  <c r="AF300" i="5"/>
  <c r="AF299" i="5"/>
  <c r="AF298" i="5"/>
  <c r="AF297" i="5"/>
  <c r="AF296" i="5"/>
  <c r="AF295" i="5"/>
  <c r="AF294" i="5"/>
  <c r="AF293" i="5"/>
  <c r="AF292" i="5"/>
  <c r="AF291" i="5"/>
  <c r="AF290" i="5"/>
  <c r="AF289" i="5"/>
  <c r="AF288" i="5"/>
  <c r="AF287" i="5"/>
  <c r="AF286" i="5"/>
  <c r="AF285" i="5"/>
  <c r="AF284" i="5"/>
  <c r="AF283" i="5"/>
  <c r="AF282" i="5"/>
  <c r="AF281" i="5"/>
  <c r="AF280" i="5"/>
  <c r="AF279" i="5"/>
  <c r="AF278" i="5"/>
  <c r="AF277" i="5"/>
  <c r="AF276" i="5"/>
  <c r="AF275" i="5"/>
  <c r="AF274" i="5"/>
  <c r="AF273" i="5"/>
  <c r="AF272" i="5"/>
  <c r="AF271" i="5"/>
  <c r="AF270" i="5"/>
  <c r="AF269" i="5"/>
  <c r="AF268" i="5"/>
  <c r="AF267" i="5"/>
  <c r="AF266" i="5"/>
  <c r="AF265" i="5"/>
  <c r="AF264" i="5"/>
  <c r="AF263" i="5"/>
  <c r="AF262" i="5"/>
  <c r="AF261" i="5"/>
  <c r="AF260" i="5"/>
  <c r="AF259" i="5"/>
  <c r="AF258" i="5"/>
  <c r="AF257" i="5"/>
  <c r="AF256" i="5"/>
  <c r="AF255" i="5"/>
  <c r="AF254" i="5"/>
  <c r="AF253" i="5"/>
  <c r="AF252" i="5"/>
  <c r="AF251" i="5"/>
  <c r="AF250" i="5"/>
  <c r="AF249" i="5"/>
  <c r="AF248" i="5"/>
  <c r="AF247" i="5"/>
  <c r="AF246" i="5"/>
  <c r="AF245" i="5"/>
  <c r="AF244" i="5"/>
  <c r="AF243" i="5"/>
  <c r="AF242" i="5"/>
  <c r="AF241" i="5"/>
  <c r="AF240" i="5"/>
  <c r="AF239" i="5"/>
  <c r="AF238" i="5"/>
  <c r="AF237" i="5"/>
  <c r="AF236" i="5"/>
  <c r="AF235" i="5"/>
  <c r="AF234" i="5"/>
  <c r="AF233" i="5"/>
  <c r="AF232" i="5"/>
  <c r="AF231" i="5"/>
  <c r="AF230" i="5"/>
  <c r="AF229" i="5"/>
  <c r="AF228" i="5"/>
  <c r="AF227" i="5"/>
  <c r="AF226" i="5"/>
  <c r="AF225" i="5"/>
  <c r="AF224" i="5"/>
  <c r="AF223" i="5"/>
  <c r="AF222" i="5"/>
  <c r="AF221" i="5"/>
  <c r="AF220" i="5"/>
  <c r="AF219" i="5"/>
  <c r="AF218" i="5"/>
  <c r="AF217" i="5"/>
  <c r="AF216" i="5"/>
  <c r="AF215" i="5"/>
  <c r="AF214" i="5"/>
  <c r="AF213" i="5"/>
  <c r="AF212" i="5"/>
  <c r="AF211" i="5"/>
  <c r="AF210" i="5"/>
  <c r="AF209" i="5"/>
  <c r="AF208" i="5"/>
  <c r="AF207" i="5"/>
  <c r="AF206" i="5"/>
  <c r="AF205" i="5"/>
  <c r="AF204" i="5"/>
  <c r="AF203" i="5"/>
  <c r="AF202" i="5"/>
  <c r="AF201" i="5"/>
  <c r="AF200" i="5"/>
  <c r="AF199" i="5"/>
  <c r="AF198" i="5"/>
  <c r="AF197" i="5"/>
  <c r="AF196" i="5"/>
  <c r="AF195" i="5"/>
  <c r="AF194" i="5"/>
  <c r="AF193" i="5"/>
  <c r="AF192" i="5"/>
  <c r="AF191" i="5"/>
  <c r="AF190" i="5"/>
  <c r="AF189" i="5"/>
  <c r="AF188" i="5"/>
  <c r="AF187" i="5"/>
  <c r="AF186" i="5"/>
  <c r="AF185" i="5"/>
  <c r="AF184" i="5"/>
  <c r="AF183" i="5"/>
  <c r="AF182" i="5"/>
  <c r="AF181" i="5"/>
  <c r="AF180" i="5"/>
  <c r="AF179" i="5"/>
  <c r="AF178" i="5"/>
  <c r="AF177" i="5"/>
  <c r="AF176" i="5"/>
  <c r="AF175" i="5"/>
  <c r="AF174" i="5"/>
  <c r="AF173" i="5"/>
  <c r="AF172" i="5"/>
  <c r="AF171" i="5"/>
  <c r="AF170" i="5"/>
  <c r="AF169" i="5"/>
  <c r="AF168" i="5"/>
  <c r="AF167" i="5"/>
  <c r="AF166" i="5"/>
  <c r="AF165" i="5"/>
  <c r="AF164" i="5"/>
  <c r="AF163" i="5"/>
  <c r="AF162" i="5"/>
  <c r="AF161" i="5"/>
  <c r="AF160" i="5"/>
  <c r="AF159" i="5"/>
  <c r="AF158" i="5"/>
  <c r="AF157" i="5"/>
  <c r="AF156" i="5"/>
  <c r="AF155" i="5"/>
  <c r="AF154" i="5"/>
  <c r="AF153" i="5"/>
  <c r="AF152" i="5"/>
  <c r="AF151" i="5"/>
  <c r="AF150" i="5"/>
  <c r="AF149" i="5"/>
  <c r="AF148" i="5"/>
  <c r="AF147" i="5"/>
  <c r="AF146" i="5"/>
  <c r="AF145" i="5"/>
  <c r="AF144" i="5"/>
  <c r="AF143" i="5"/>
  <c r="AF142" i="5"/>
  <c r="AF141" i="5"/>
  <c r="AF140" i="5"/>
  <c r="AF139" i="5"/>
  <c r="AF138" i="5"/>
  <c r="AF137" i="5"/>
  <c r="AF136" i="5"/>
  <c r="AF135" i="5"/>
  <c r="AF134" i="5"/>
  <c r="AF133" i="5"/>
  <c r="AF132" i="5"/>
  <c r="AF131" i="5"/>
  <c r="AF130" i="5"/>
  <c r="AF129" i="5"/>
  <c r="AF128" i="5"/>
  <c r="AF127" i="5"/>
  <c r="AF126" i="5"/>
  <c r="AF125" i="5"/>
  <c r="AF124" i="5"/>
  <c r="AF123" i="5"/>
  <c r="AF122" i="5"/>
  <c r="AF121" i="5"/>
  <c r="AF120" i="5"/>
  <c r="AF119" i="5"/>
  <c r="AF118" i="5"/>
  <c r="AF117" i="5"/>
  <c r="AF116" i="5"/>
  <c r="AF115" i="5"/>
  <c r="AF114" i="5"/>
  <c r="AF113" i="5"/>
  <c r="AF112" i="5"/>
  <c r="AF111" i="5"/>
  <c r="AF110" i="5"/>
  <c r="AF109" i="5"/>
  <c r="AF108" i="5"/>
  <c r="AF107" i="5"/>
  <c r="AF106" i="5"/>
  <c r="AF105" i="5"/>
  <c r="AF104" i="5"/>
  <c r="AF103" i="5"/>
  <c r="AF102" i="5"/>
  <c r="AF101" i="5"/>
  <c r="AF100" i="5"/>
  <c r="AF99" i="5"/>
  <c r="AF98" i="5"/>
  <c r="AF97" i="5"/>
  <c r="AF96" i="5"/>
  <c r="AF95" i="5"/>
  <c r="AF94" i="5"/>
  <c r="AF93" i="5"/>
  <c r="AF92" i="5"/>
  <c r="AF91" i="5"/>
  <c r="AF90" i="5"/>
  <c r="AF89" i="5"/>
  <c r="AF88" i="5"/>
  <c r="AF87" i="5"/>
  <c r="AF86" i="5"/>
  <c r="AF85" i="5"/>
  <c r="AF84" i="5"/>
  <c r="AF83" i="5"/>
  <c r="AF82" i="5"/>
  <c r="AF81" i="5"/>
  <c r="AF80" i="5"/>
  <c r="AF79" i="5"/>
  <c r="AF78" i="5"/>
  <c r="AF77" i="5"/>
  <c r="AF76" i="5"/>
  <c r="AF75" i="5"/>
  <c r="AF74" i="5"/>
  <c r="AF73" i="5"/>
  <c r="AF72" i="5"/>
  <c r="AF71" i="5"/>
  <c r="AF69" i="5"/>
  <c r="AF68" i="5"/>
  <c r="AF67" i="5"/>
  <c r="AF66" i="5"/>
  <c r="AF65" i="5"/>
  <c r="AF64" i="5"/>
  <c r="AF63" i="5"/>
  <c r="AF62" i="5"/>
  <c r="AF61" i="5"/>
  <c r="AF60" i="5"/>
  <c r="AF59" i="5"/>
  <c r="AF58" i="5"/>
  <c r="AF57" i="5"/>
  <c r="AF56" i="5"/>
  <c r="AF55" i="5"/>
  <c r="AF54" i="5"/>
  <c r="AF53" i="5"/>
  <c r="AF52" i="5"/>
  <c r="AF51" i="5"/>
  <c r="AF50" i="5"/>
  <c r="AF49" i="5"/>
  <c r="AF48" i="5"/>
  <c r="AF47" i="5"/>
  <c r="AF46" i="5"/>
  <c r="AF45" i="5"/>
  <c r="AF44" i="5"/>
  <c r="AF43" i="5"/>
  <c r="AF42" i="5"/>
  <c r="AF41" i="5"/>
  <c r="AF40" i="5"/>
  <c r="AF39" i="5"/>
  <c r="AF38" i="5"/>
  <c r="AF37" i="5"/>
  <c r="AF36" i="5"/>
  <c r="AF35" i="5"/>
  <c r="AF34" i="5"/>
  <c r="AF33" i="5"/>
  <c r="AF32" i="5"/>
  <c r="AF31" i="5"/>
  <c r="AF30" i="5"/>
  <c r="AF29" i="5"/>
  <c r="AF28" i="5"/>
  <c r="AF27" i="5"/>
  <c r="AF26" i="5"/>
  <c r="AF25" i="5"/>
  <c r="AF24" i="5"/>
  <c r="AF23" i="5"/>
  <c r="AF22" i="5"/>
  <c r="AF21" i="5"/>
  <c r="AF20" i="5"/>
  <c r="AF19" i="5"/>
  <c r="AF16" i="5"/>
  <c r="AF15" i="5"/>
  <c r="AF14" i="5"/>
  <c r="AF12" i="5"/>
  <c r="F378" i="20"/>
  <c r="F377" i="20"/>
  <c r="F376" i="20"/>
  <c r="F375" i="20"/>
  <c r="F374" i="20"/>
  <c r="F373" i="20"/>
  <c r="F372" i="20"/>
  <c r="F371" i="20"/>
  <c r="F370" i="20"/>
  <c r="F369" i="20"/>
  <c r="F368" i="20"/>
  <c r="F367" i="20"/>
  <c r="F366" i="20"/>
  <c r="F365" i="20"/>
  <c r="F364" i="20"/>
  <c r="F363" i="20"/>
  <c r="F362" i="20"/>
  <c r="F361" i="20"/>
  <c r="F360" i="20"/>
  <c r="F359" i="20"/>
  <c r="F358" i="20"/>
  <c r="F357" i="20"/>
  <c r="F356" i="20"/>
  <c r="F355" i="20"/>
  <c r="F354" i="20"/>
  <c r="F353" i="20"/>
  <c r="F352" i="20"/>
  <c r="F351" i="20"/>
  <c r="F350" i="20"/>
  <c r="F349" i="20"/>
  <c r="F348" i="20"/>
  <c r="F347" i="20"/>
  <c r="F346" i="20"/>
  <c r="F345" i="20"/>
  <c r="F344" i="20"/>
  <c r="F343" i="20"/>
  <c r="F341" i="20"/>
  <c r="F340" i="20"/>
  <c r="F339" i="20"/>
  <c r="F338" i="20"/>
  <c r="F337" i="20"/>
  <c r="F336" i="20"/>
  <c r="F335" i="20"/>
  <c r="F334" i="20"/>
  <c r="F333" i="20"/>
  <c r="F332" i="20"/>
  <c r="F331" i="20"/>
  <c r="F330" i="20"/>
  <c r="F329" i="20"/>
  <c r="F328" i="20"/>
  <c r="F327" i="20"/>
  <c r="C378" i="20"/>
  <c r="C377" i="20"/>
  <c r="C376" i="20"/>
  <c r="C375" i="20"/>
  <c r="C374" i="20"/>
  <c r="C373" i="20"/>
  <c r="C372" i="20"/>
  <c r="C371" i="20"/>
  <c r="C370" i="20"/>
  <c r="C369" i="20"/>
  <c r="C368" i="20"/>
  <c r="C367" i="20"/>
  <c r="C366" i="20"/>
  <c r="C365" i="20"/>
  <c r="C364" i="20"/>
  <c r="C363" i="20"/>
  <c r="C362" i="20"/>
  <c r="C361" i="20"/>
  <c r="C360" i="20"/>
  <c r="C359" i="20"/>
  <c r="C358" i="20"/>
  <c r="C357" i="20"/>
  <c r="C356" i="20"/>
  <c r="C355" i="20"/>
  <c r="C354" i="20"/>
  <c r="C353" i="20"/>
  <c r="C352" i="20"/>
  <c r="C351" i="20"/>
  <c r="C350" i="20"/>
  <c r="C349" i="20"/>
  <c r="C348" i="20"/>
  <c r="C347" i="20"/>
  <c r="C346" i="20"/>
  <c r="C345" i="20"/>
  <c r="C344" i="20"/>
  <c r="C343" i="20"/>
  <c r="C341" i="20"/>
  <c r="C340" i="20"/>
  <c r="C339" i="20"/>
  <c r="C338" i="20"/>
  <c r="C337" i="20"/>
  <c r="C336" i="20"/>
  <c r="C335" i="20"/>
  <c r="C334" i="20"/>
  <c r="C333" i="20"/>
  <c r="C332" i="20"/>
  <c r="C331" i="20"/>
  <c r="C330" i="20"/>
  <c r="C329" i="20"/>
  <c r="C328" i="20"/>
  <c r="C327" i="20"/>
  <c r="Q308" i="3"/>
  <c r="DI308" i="3" s="1"/>
  <c r="Q307" i="3"/>
  <c r="DI307" i="3" s="1"/>
  <c r="Q306" i="3"/>
  <c r="DI306" i="3" s="1"/>
  <c r="Q305" i="3"/>
  <c r="DI305" i="3" s="1"/>
  <c r="Q304" i="3"/>
  <c r="DI304" i="3" s="1"/>
  <c r="Q303" i="3"/>
  <c r="DI303" i="3" s="1"/>
  <c r="Q302" i="3"/>
  <c r="DI302" i="3" s="1"/>
  <c r="Q301" i="3"/>
  <c r="DI301" i="3" s="1"/>
  <c r="Q300" i="3"/>
  <c r="DI300" i="3" s="1"/>
  <c r="Q299" i="3"/>
  <c r="DI299" i="3" s="1"/>
  <c r="Q298" i="3"/>
  <c r="DI298" i="3" s="1"/>
  <c r="Q297" i="3"/>
  <c r="DI297" i="3" s="1"/>
  <c r="Q296" i="3"/>
  <c r="DI296" i="3" s="1"/>
  <c r="Q295" i="3"/>
  <c r="DI295" i="3" s="1"/>
  <c r="Q294" i="3"/>
  <c r="DI294" i="3" s="1"/>
  <c r="Q293" i="3"/>
  <c r="DI293" i="3" s="1"/>
  <c r="Q292" i="3"/>
  <c r="DI292" i="3" s="1"/>
  <c r="Q291" i="3"/>
  <c r="DI291" i="3" s="1"/>
  <c r="Q290" i="3"/>
  <c r="DI290" i="3" s="1"/>
  <c r="Q289" i="3"/>
  <c r="DI289" i="3" s="1"/>
  <c r="Q288" i="3"/>
  <c r="DI288" i="3" s="1"/>
  <c r="Q287" i="3"/>
  <c r="DI287" i="3" s="1"/>
  <c r="Q286" i="3"/>
  <c r="DI286" i="3" s="1"/>
  <c r="Q285" i="3"/>
  <c r="DI285" i="3" s="1"/>
  <c r="Q284" i="3"/>
  <c r="DI284" i="3" s="1"/>
  <c r="Q283" i="3"/>
  <c r="DI283" i="3" s="1"/>
  <c r="Q282" i="3"/>
  <c r="DI282" i="3" s="1"/>
  <c r="Q281" i="3"/>
  <c r="DI281" i="3" s="1"/>
  <c r="Q280" i="3"/>
  <c r="DI280" i="3" s="1"/>
  <c r="Q279" i="3"/>
  <c r="DI279" i="3" s="1"/>
  <c r="Q278" i="3"/>
  <c r="DI278" i="3" s="1"/>
  <c r="Q277" i="3"/>
  <c r="DI277" i="3" s="1"/>
  <c r="Q276" i="3"/>
  <c r="DI276" i="3" s="1"/>
  <c r="Q275" i="3"/>
  <c r="DI275" i="3" s="1"/>
  <c r="Q274" i="3"/>
  <c r="DI274" i="3" s="1"/>
  <c r="Q273" i="3"/>
  <c r="DI273" i="3" s="1"/>
  <c r="Q272" i="3"/>
  <c r="DI272" i="3" s="1"/>
  <c r="Q271" i="3"/>
  <c r="DI271" i="3" s="1"/>
  <c r="Q270" i="3"/>
  <c r="DI270" i="3" s="1"/>
  <c r="Q269" i="3"/>
  <c r="DI269" i="3" s="1"/>
  <c r="Q268" i="3"/>
  <c r="DI268" i="3" s="1"/>
  <c r="Q267" i="3"/>
  <c r="DI267" i="3" s="1"/>
  <c r="Q266" i="3"/>
  <c r="DI266" i="3" s="1"/>
  <c r="Q265" i="3"/>
  <c r="DI265" i="3" s="1"/>
  <c r="Q264" i="3"/>
  <c r="DI264" i="3" s="1"/>
  <c r="Q263" i="3"/>
  <c r="DI263" i="3" s="1"/>
  <c r="Q262" i="3"/>
  <c r="DI262" i="3" s="1"/>
  <c r="Q261" i="3"/>
  <c r="DI261" i="3" s="1"/>
  <c r="Q260" i="3"/>
  <c r="DI260" i="3" s="1"/>
  <c r="Q259" i="3"/>
  <c r="DI259" i="3" s="1"/>
  <c r="Q258" i="3"/>
  <c r="DI258" i="3" s="1"/>
  <c r="Q257" i="3"/>
  <c r="DI257" i="3" s="1"/>
  <c r="Q256" i="3"/>
  <c r="DI256" i="3" s="1"/>
  <c r="Q255" i="3"/>
  <c r="DI255" i="3" s="1"/>
  <c r="Q254" i="3"/>
  <c r="DI254" i="3" s="1"/>
  <c r="Q253" i="3"/>
  <c r="DI253" i="3" s="1"/>
  <c r="Q252" i="3"/>
  <c r="DI252" i="3" s="1"/>
  <c r="Q251" i="3"/>
  <c r="DI251" i="3" s="1"/>
  <c r="Q250" i="3"/>
  <c r="DI250" i="3" s="1"/>
  <c r="Q249" i="3"/>
  <c r="DI249" i="3" s="1"/>
  <c r="Q248" i="3"/>
  <c r="DI248" i="3" s="1"/>
  <c r="Q247" i="3"/>
  <c r="DI247" i="3" s="1"/>
  <c r="Q246" i="3"/>
  <c r="DI246" i="3" s="1"/>
  <c r="Q245" i="3"/>
  <c r="DI245" i="3" s="1"/>
  <c r="Q244" i="3"/>
  <c r="DI244" i="3" s="1"/>
  <c r="Q243" i="3"/>
  <c r="DI243" i="3" s="1"/>
  <c r="Q242" i="3"/>
  <c r="DI242" i="3" s="1"/>
  <c r="Q241" i="3"/>
  <c r="DI241" i="3" s="1"/>
  <c r="Q240" i="3"/>
  <c r="DI240" i="3" s="1"/>
  <c r="Q239" i="3"/>
  <c r="DI239" i="3" s="1"/>
  <c r="Q238" i="3"/>
  <c r="DI238" i="3" s="1"/>
  <c r="Q237" i="3"/>
  <c r="DI237" i="3" s="1"/>
  <c r="Q236" i="3"/>
  <c r="DI236" i="3" s="1"/>
  <c r="Q235" i="3"/>
  <c r="DI235" i="3" s="1"/>
  <c r="Q234" i="3"/>
  <c r="DI234" i="3" s="1"/>
  <c r="Q233" i="3"/>
  <c r="DI233" i="3" s="1"/>
  <c r="Q232" i="3"/>
  <c r="DI232" i="3" s="1"/>
  <c r="Q231" i="3"/>
  <c r="DI231" i="3" s="1"/>
  <c r="Q230" i="3"/>
  <c r="DI230" i="3" s="1"/>
  <c r="Q229" i="3"/>
  <c r="DI229" i="3" s="1"/>
  <c r="Q228" i="3"/>
  <c r="DI228" i="3" s="1"/>
  <c r="Q227" i="3"/>
  <c r="DI227" i="3" s="1"/>
  <c r="Q226" i="3"/>
  <c r="DI226" i="3" s="1"/>
  <c r="Q225" i="3"/>
  <c r="DI225" i="3" s="1"/>
  <c r="Q224" i="3"/>
  <c r="DI224" i="3" s="1"/>
  <c r="Q223" i="3"/>
  <c r="DI223" i="3" s="1"/>
  <c r="Q222" i="3"/>
  <c r="DI222" i="3" s="1"/>
  <c r="Q221" i="3"/>
  <c r="DI221" i="3" s="1"/>
  <c r="Q220" i="3"/>
  <c r="DI220" i="3" s="1"/>
  <c r="Q219" i="3"/>
  <c r="DI219" i="3" s="1"/>
  <c r="Q218" i="3"/>
  <c r="DI218" i="3" s="1"/>
  <c r="Q217" i="3"/>
  <c r="DI217" i="3" s="1"/>
  <c r="Q216" i="3"/>
  <c r="DI216" i="3" s="1"/>
  <c r="Q215" i="3"/>
  <c r="DI215" i="3" s="1"/>
  <c r="Q214" i="3"/>
  <c r="DI214" i="3" s="1"/>
  <c r="Q213" i="3"/>
  <c r="DI213" i="3" s="1"/>
  <c r="Q212" i="3"/>
  <c r="DI212" i="3" s="1"/>
  <c r="Q211" i="3"/>
  <c r="DI211" i="3" s="1"/>
  <c r="Q210" i="3"/>
  <c r="DI210" i="3" s="1"/>
  <c r="Q209" i="3"/>
  <c r="DI209" i="3" s="1"/>
  <c r="Q208" i="3"/>
  <c r="DI208" i="3" s="1"/>
  <c r="Q207" i="3"/>
  <c r="DI207" i="3" s="1"/>
  <c r="Q206" i="3"/>
  <c r="DI206" i="3" s="1"/>
  <c r="Q205" i="3"/>
  <c r="DI205" i="3" s="1"/>
  <c r="Q204" i="3"/>
  <c r="DI204" i="3" s="1"/>
  <c r="Q203" i="3"/>
  <c r="DI203" i="3" s="1"/>
  <c r="Q202" i="3"/>
  <c r="DI202" i="3" s="1"/>
  <c r="Q201" i="3"/>
  <c r="DI201" i="3" s="1"/>
  <c r="Q200" i="3"/>
  <c r="DI200" i="3" s="1"/>
  <c r="Q199" i="3"/>
  <c r="DI199" i="3" s="1"/>
  <c r="Q198" i="3"/>
  <c r="DI198" i="3" s="1"/>
  <c r="Q197" i="3"/>
  <c r="DI197" i="3" s="1"/>
  <c r="Q196" i="3"/>
  <c r="DI196" i="3" s="1"/>
  <c r="Q195" i="3"/>
  <c r="DI195" i="3" s="1"/>
  <c r="Q194" i="3"/>
  <c r="DI194" i="3" s="1"/>
  <c r="Q193" i="3"/>
  <c r="DI193" i="3" s="1"/>
  <c r="Q192" i="3"/>
  <c r="DI192" i="3" s="1"/>
  <c r="Q191" i="3"/>
  <c r="DI191" i="3" s="1"/>
  <c r="Q190" i="3"/>
  <c r="DI190" i="3" s="1"/>
  <c r="Q189" i="3"/>
  <c r="DI189" i="3" s="1"/>
  <c r="Q188" i="3"/>
  <c r="DI188" i="3" s="1"/>
  <c r="Q187" i="3"/>
  <c r="DI187" i="3" s="1"/>
  <c r="Q186" i="3"/>
  <c r="DI186" i="3" s="1"/>
  <c r="Q185" i="3"/>
  <c r="DI185" i="3" s="1"/>
  <c r="Q184" i="3"/>
  <c r="DI184" i="3" s="1"/>
  <c r="Q183" i="3"/>
  <c r="DI183" i="3" s="1"/>
  <c r="Q182" i="3"/>
  <c r="DI182" i="3" s="1"/>
  <c r="Q181" i="3"/>
  <c r="DI181" i="3" s="1"/>
  <c r="Q180" i="3"/>
  <c r="DI180" i="3" s="1"/>
  <c r="Q179" i="3"/>
  <c r="DI179" i="3" s="1"/>
  <c r="Q178" i="3"/>
  <c r="DI178" i="3" s="1"/>
  <c r="Q177" i="3"/>
  <c r="DI177" i="3" s="1"/>
  <c r="Q176" i="3"/>
  <c r="DI176" i="3" s="1"/>
  <c r="Q175" i="3"/>
  <c r="DI175" i="3" s="1"/>
  <c r="Q174" i="3"/>
  <c r="DI174" i="3" s="1"/>
  <c r="Q173" i="3"/>
  <c r="DI173" i="3" s="1"/>
  <c r="Q172" i="3"/>
  <c r="DI172" i="3" s="1"/>
  <c r="Q171" i="3"/>
  <c r="DI171" i="3" s="1"/>
  <c r="Q170" i="3"/>
  <c r="Q169" i="3"/>
  <c r="DI169" i="3" s="1"/>
  <c r="Q168" i="3"/>
  <c r="DI168" i="3" s="1"/>
  <c r="Q167" i="3"/>
  <c r="DI167" i="3" s="1"/>
  <c r="Q166" i="3"/>
  <c r="DI166" i="3" s="1"/>
  <c r="Q165" i="3"/>
  <c r="DI165" i="3" s="1"/>
  <c r="Q164" i="3"/>
  <c r="DI164" i="3" s="1"/>
  <c r="Q163" i="3"/>
  <c r="DI163" i="3" s="1"/>
  <c r="Q162" i="3"/>
  <c r="DI162" i="3" s="1"/>
  <c r="Q161" i="3"/>
  <c r="DI161" i="3" s="1"/>
  <c r="Q160" i="3"/>
  <c r="DI160" i="3" s="1"/>
  <c r="Q159" i="3"/>
  <c r="DI159" i="3" s="1"/>
  <c r="Q158" i="3"/>
  <c r="DI158" i="3" s="1"/>
  <c r="Q157" i="3"/>
  <c r="DI157" i="3" s="1"/>
  <c r="Q156" i="3"/>
  <c r="DI156" i="3" s="1"/>
  <c r="Q155" i="3"/>
  <c r="DI155" i="3" s="1"/>
  <c r="Q154" i="3"/>
  <c r="DI154" i="3" s="1"/>
  <c r="Q153" i="3"/>
  <c r="DI153" i="3" s="1"/>
  <c r="Q152" i="3"/>
  <c r="DI152" i="3" s="1"/>
  <c r="Q151" i="3"/>
  <c r="DI151" i="3" s="1"/>
  <c r="Q150" i="3"/>
  <c r="DI150" i="3" s="1"/>
  <c r="Q149" i="3"/>
  <c r="DI149" i="3" s="1"/>
  <c r="Q148" i="3"/>
  <c r="DI148" i="3" s="1"/>
  <c r="Q147" i="3"/>
  <c r="DI147" i="3" s="1"/>
  <c r="Q146" i="3"/>
  <c r="DI146" i="3" s="1"/>
  <c r="Q145" i="3"/>
  <c r="DI145" i="3" s="1"/>
  <c r="Q144" i="3"/>
  <c r="DI144" i="3" s="1"/>
  <c r="Q143" i="3"/>
  <c r="DI143" i="3" s="1"/>
  <c r="Q142" i="3"/>
  <c r="DI142" i="3" s="1"/>
  <c r="Q141" i="3"/>
  <c r="DI141" i="3" s="1"/>
  <c r="Q140" i="3"/>
  <c r="DI140" i="3" s="1"/>
  <c r="Q139" i="3"/>
  <c r="DI139" i="3" s="1"/>
  <c r="Q138" i="3"/>
  <c r="DI138" i="3" s="1"/>
  <c r="Q137" i="3"/>
  <c r="DI137" i="3" s="1"/>
  <c r="Q136" i="3"/>
  <c r="DI136" i="3" s="1"/>
  <c r="Q135" i="3"/>
  <c r="DI135" i="3" s="1"/>
  <c r="Q134" i="3"/>
  <c r="DI134" i="3" s="1"/>
  <c r="Q133" i="3"/>
  <c r="DI133" i="3" s="1"/>
  <c r="Q132" i="3"/>
  <c r="DI132" i="3" s="1"/>
  <c r="Q131" i="3"/>
  <c r="DI131" i="3" s="1"/>
  <c r="Q130" i="3"/>
  <c r="DI130" i="3" s="1"/>
  <c r="Q129" i="3"/>
  <c r="DI129" i="3" s="1"/>
  <c r="Q128" i="3"/>
  <c r="DI128" i="3" s="1"/>
  <c r="Q127" i="3"/>
  <c r="DI127" i="3" s="1"/>
  <c r="Q126" i="3"/>
  <c r="DI126" i="3" s="1"/>
  <c r="Q125" i="3"/>
  <c r="DI125" i="3" s="1"/>
  <c r="Q124" i="3"/>
  <c r="DI124" i="3" s="1"/>
  <c r="Q123" i="3"/>
  <c r="DI123" i="3" s="1"/>
  <c r="Q122" i="3"/>
  <c r="DI122" i="3" s="1"/>
  <c r="Q121" i="3"/>
  <c r="DI121" i="3" s="1"/>
  <c r="Q120" i="3"/>
  <c r="DI120" i="3" s="1"/>
  <c r="Q119" i="3"/>
  <c r="DI119" i="3" s="1"/>
  <c r="Q118" i="3"/>
  <c r="DI118" i="3" s="1"/>
  <c r="Q117" i="3"/>
  <c r="DI117" i="3" s="1"/>
  <c r="Q116" i="3"/>
  <c r="DI116" i="3" s="1"/>
  <c r="Q115" i="3"/>
  <c r="DI115" i="3" s="1"/>
  <c r="Q114" i="3"/>
  <c r="DI114" i="3" s="1"/>
  <c r="Q113" i="3"/>
  <c r="DI113" i="3" s="1"/>
  <c r="Q112" i="3"/>
  <c r="DI112" i="3" s="1"/>
  <c r="Q111" i="3"/>
  <c r="DI111" i="3" s="1"/>
  <c r="Q110" i="3"/>
  <c r="DI110" i="3" s="1"/>
  <c r="Q109" i="3"/>
  <c r="DI109" i="3" s="1"/>
  <c r="Q108" i="3"/>
  <c r="DI108" i="3" s="1"/>
  <c r="Q107" i="3"/>
  <c r="DI107" i="3" s="1"/>
  <c r="Q106" i="3"/>
  <c r="DI106" i="3" s="1"/>
  <c r="Q105" i="3"/>
  <c r="DI105" i="3" s="1"/>
  <c r="Q104" i="3"/>
  <c r="DI104" i="3" s="1"/>
  <c r="Q103" i="3"/>
  <c r="DI103" i="3" s="1"/>
  <c r="Q102" i="3"/>
  <c r="DI102" i="3" s="1"/>
  <c r="Q101" i="3"/>
  <c r="DI101" i="3" s="1"/>
  <c r="Q100" i="3"/>
  <c r="DI100" i="3" s="1"/>
  <c r="Q99" i="3"/>
  <c r="DI99" i="3" s="1"/>
  <c r="Q98" i="3"/>
  <c r="DI98" i="3" s="1"/>
  <c r="Q97" i="3"/>
  <c r="DI97" i="3" s="1"/>
  <c r="Q96" i="3"/>
  <c r="DI96" i="3" s="1"/>
  <c r="Q95" i="3"/>
  <c r="DI95" i="3" s="1"/>
  <c r="Q94" i="3"/>
  <c r="DI94" i="3" s="1"/>
  <c r="Q93" i="3"/>
  <c r="DI93" i="3" s="1"/>
  <c r="Q92" i="3"/>
  <c r="DI92" i="3" s="1"/>
  <c r="Q91" i="3"/>
  <c r="DI91" i="3" s="1"/>
  <c r="Q90" i="3"/>
  <c r="DI90" i="3" s="1"/>
  <c r="Q89" i="3"/>
  <c r="DI89" i="3" s="1"/>
  <c r="Q88" i="3"/>
  <c r="DI88" i="3" s="1"/>
  <c r="Q87" i="3"/>
  <c r="DI87" i="3" s="1"/>
  <c r="Q86" i="3"/>
  <c r="DI86" i="3" s="1"/>
  <c r="Q85" i="3"/>
  <c r="DI85" i="3" s="1"/>
  <c r="Q84" i="3"/>
  <c r="DI84" i="3" s="1"/>
  <c r="Q83" i="3"/>
  <c r="DI83" i="3" s="1"/>
  <c r="Q82" i="3"/>
  <c r="DI82" i="3" s="1"/>
  <c r="Q81" i="3"/>
  <c r="DI81" i="3" s="1"/>
  <c r="Q80" i="3"/>
  <c r="DI80" i="3" s="1"/>
  <c r="Q79" i="3"/>
  <c r="DI79" i="3" s="1"/>
  <c r="Q78" i="3"/>
  <c r="DI78" i="3" s="1"/>
  <c r="Q77" i="3"/>
  <c r="DI77" i="3" s="1"/>
  <c r="Q76" i="3"/>
  <c r="DI76" i="3" s="1"/>
  <c r="Q75" i="3"/>
  <c r="DI75" i="3" s="1"/>
  <c r="Q74" i="3"/>
  <c r="Q73" i="3"/>
  <c r="DI73" i="3" s="1"/>
  <c r="Q72" i="3"/>
  <c r="DI72" i="3" s="1"/>
  <c r="Q71" i="3"/>
  <c r="DI71" i="3" s="1"/>
  <c r="Q70" i="3"/>
  <c r="Q69" i="3"/>
  <c r="DI69" i="3" s="1"/>
  <c r="Q68" i="3"/>
  <c r="DI68" i="3" s="1"/>
  <c r="Q67" i="3"/>
  <c r="DI67" i="3" s="1"/>
  <c r="Q66" i="3"/>
  <c r="Q65" i="3"/>
  <c r="DI65" i="3" s="1"/>
  <c r="Q64" i="3"/>
  <c r="DI64" i="3" s="1"/>
  <c r="Q63" i="3"/>
  <c r="DI63" i="3" s="1"/>
  <c r="Q62" i="3"/>
  <c r="DI62" i="3" s="1"/>
  <c r="Q61" i="3"/>
  <c r="DI61" i="3" s="1"/>
  <c r="Q60" i="3"/>
  <c r="Q59" i="3"/>
  <c r="DI59" i="3" s="1"/>
  <c r="Q58" i="3"/>
  <c r="DI58" i="3" s="1"/>
  <c r="Q57" i="3"/>
  <c r="DI57" i="3" s="1"/>
  <c r="Q56" i="3"/>
  <c r="DI56" i="3" s="1"/>
  <c r="Q55" i="3"/>
  <c r="DI55" i="3" s="1"/>
  <c r="Q54" i="3"/>
  <c r="DI54" i="3" s="1"/>
  <c r="Q53" i="3"/>
  <c r="DI53" i="3" s="1"/>
  <c r="Q52" i="3"/>
  <c r="DI52" i="3" s="1"/>
  <c r="Q51" i="3"/>
  <c r="DI51" i="3" s="1"/>
  <c r="Q50" i="3"/>
  <c r="DI50" i="3" s="1"/>
  <c r="Q49" i="3"/>
  <c r="DI49" i="3" s="1"/>
  <c r="Q48" i="3"/>
  <c r="DI48" i="3" s="1"/>
  <c r="Q47" i="3"/>
  <c r="DI47" i="3" s="1"/>
  <c r="Q46" i="3"/>
  <c r="DI46" i="3" s="1"/>
  <c r="Q45" i="3"/>
  <c r="DI45" i="3" s="1"/>
  <c r="Q44" i="3"/>
  <c r="DI44" i="3" s="1"/>
  <c r="Q43" i="3"/>
  <c r="DI43" i="3" s="1"/>
  <c r="Q42" i="3"/>
  <c r="DI42" i="3" s="1"/>
  <c r="Q41" i="3"/>
  <c r="DI41" i="3" s="1"/>
  <c r="Q40" i="3"/>
  <c r="DI40" i="3" s="1"/>
  <c r="Q39" i="3"/>
  <c r="DI39" i="3" s="1"/>
  <c r="Q38" i="3"/>
  <c r="DI38" i="3" s="1"/>
  <c r="Q37" i="3"/>
  <c r="Q36" i="3"/>
  <c r="DI36" i="3" s="1"/>
  <c r="Q35" i="3"/>
  <c r="DI35" i="3" s="1"/>
  <c r="Q34" i="3"/>
  <c r="DI34" i="3" s="1"/>
  <c r="Q33" i="3"/>
  <c r="DI33" i="3" s="1"/>
  <c r="Q32" i="3"/>
  <c r="DI32" i="3" s="1"/>
  <c r="Q31" i="3"/>
  <c r="DI31" i="3" s="1"/>
  <c r="Q30" i="3"/>
  <c r="DI30" i="3" s="1"/>
  <c r="Q29" i="3"/>
  <c r="DI29" i="3" s="1"/>
  <c r="Q21" i="3"/>
  <c r="DI21" i="3" s="1"/>
  <c r="Q20" i="3"/>
  <c r="DI20" i="3" s="1"/>
  <c r="Q19" i="3"/>
  <c r="DI19" i="3" s="1"/>
  <c r="Q18" i="3"/>
  <c r="DI18" i="3" s="1"/>
  <c r="Q17" i="3"/>
  <c r="DI17" i="3" s="1"/>
  <c r="Q16" i="3"/>
  <c r="DI16" i="3" s="1"/>
  <c r="Q15" i="3"/>
  <c r="DI15" i="3" s="1"/>
  <c r="Q14" i="3"/>
  <c r="C65" i="24"/>
  <c r="C64" i="24"/>
  <c r="Z5" i="13"/>
  <c r="Z6" i="13"/>
  <c r="AA5" i="13"/>
  <c r="X6" i="13"/>
  <c r="X5" i="13"/>
  <c r="AE308" i="3"/>
  <c r="AE307" i="3"/>
  <c r="AE306" i="3"/>
  <c r="AE305" i="3"/>
  <c r="AE304" i="3"/>
  <c r="AE302"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0" i="3"/>
  <c r="AE268" i="3"/>
  <c r="AE267" i="3"/>
  <c r="AE266" i="3"/>
  <c r="AE265" i="3"/>
  <c r="AE264" i="3"/>
  <c r="AE263" i="3"/>
  <c r="AE262" i="3"/>
  <c r="AE261" i="3"/>
  <c r="AE260" i="3"/>
  <c r="AE259" i="3"/>
  <c r="AE258" i="3"/>
  <c r="AE256" i="3"/>
  <c r="AE255" i="3"/>
  <c r="AE254" i="3"/>
  <c r="AE253" i="3"/>
  <c r="AE252" i="3"/>
  <c r="AE251" i="3"/>
  <c r="AE250" i="3"/>
  <c r="AE248" i="3"/>
  <c r="AE247" i="3"/>
  <c r="AE246" i="3"/>
  <c r="AE245" i="3"/>
  <c r="AE244" i="3"/>
  <c r="AE243" i="3"/>
  <c r="AE242" i="3"/>
  <c r="AE240" i="3"/>
  <c r="AE239" i="3"/>
  <c r="AE238" i="3"/>
  <c r="AE237" i="3"/>
  <c r="AE236" i="3"/>
  <c r="AE234" i="3"/>
  <c r="AE232" i="3"/>
  <c r="AE230" i="3"/>
  <c r="AE229" i="3"/>
  <c r="AE228" i="3"/>
  <c r="AE227" i="3"/>
  <c r="AE226" i="3"/>
  <c r="AE224" i="3"/>
  <c r="AE223" i="3"/>
  <c r="AE222" i="3"/>
  <c r="AE220" i="3"/>
  <c r="AE218" i="3"/>
  <c r="AE216" i="3"/>
  <c r="AE215" i="3"/>
  <c r="AE214" i="3"/>
  <c r="AE213" i="3"/>
  <c r="AE212" i="3"/>
  <c r="AE210" i="3"/>
  <c r="AE208" i="3"/>
  <c r="AE207" i="3"/>
  <c r="AE206" i="3"/>
  <c r="AE205" i="3"/>
  <c r="AE204" i="3"/>
  <c r="AE203" i="3"/>
  <c r="AE202" i="3"/>
  <c r="AE200" i="3"/>
  <c r="AE199" i="3"/>
  <c r="AE198" i="3"/>
  <c r="AE197" i="3"/>
  <c r="AE196" i="3"/>
  <c r="AE195" i="3"/>
  <c r="AE194" i="3"/>
  <c r="AE193" i="3"/>
  <c r="AE192" i="3"/>
  <c r="AE191" i="3"/>
  <c r="AE190" i="3"/>
  <c r="AE189" i="3"/>
  <c r="AE188" i="3"/>
  <c r="AE187" i="3"/>
  <c r="AE186" i="3"/>
  <c r="AE185" i="3"/>
  <c r="AE184" i="3"/>
  <c r="AE183" i="3"/>
  <c r="AE182" i="3"/>
  <c r="AE180" i="3"/>
  <c r="AE179" i="3"/>
  <c r="AE178" i="3"/>
  <c r="AE177" i="3"/>
  <c r="AE176" i="3"/>
  <c r="AE175" i="3"/>
  <c r="AE174" i="3"/>
  <c r="AE172" i="3"/>
  <c r="AE170" i="3"/>
  <c r="AE169" i="3"/>
  <c r="AE168" i="3"/>
  <c r="AE166" i="3"/>
  <c r="AE164" i="3"/>
  <c r="AE163" i="3"/>
  <c r="AE162" i="3"/>
  <c r="AE161" i="3"/>
  <c r="AE160" i="3"/>
  <c r="AE159" i="3"/>
  <c r="AE158" i="3"/>
  <c r="AE157" i="3"/>
  <c r="AE156" i="3"/>
  <c r="AE155" i="3"/>
  <c r="AE154" i="3"/>
  <c r="AE153" i="3"/>
  <c r="AE152" i="3"/>
  <c r="AE151" i="3"/>
  <c r="AE150"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7" i="3"/>
  <c r="AE106" i="3"/>
  <c r="AE104" i="3"/>
  <c r="AE103" i="3"/>
  <c r="AE102" i="3"/>
  <c r="AE101" i="3"/>
  <c r="AE100" i="3"/>
  <c r="AE99" i="3"/>
  <c r="AE98" i="3"/>
  <c r="AE96" i="3"/>
  <c r="AE95" i="3"/>
  <c r="AE94" i="3"/>
  <c r="AE93" i="3"/>
  <c r="AE92" i="3"/>
  <c r="AE91" i="3"/>
  <c r="AE90" i="3"/>
  <c r="AE89" i="3"/>
  <c r="AE88" i="3"/>
  <c r="AE87" i="3"/>
  <c r="AE86" i="3"/>
  <c r="AE84" i="3"/>
  <c r="AE83" i="3"/>
  <c r="AE82" i="3"/>
  <c r="AE81" i="3"/>
  <c r="AE80" i="3"/>
  <c r="AE79" i="3"/>
  <c r="AE78" i="3"/>
  <c r="AE76" i="3"/>
  <c r="AE75" i="3"/>
  <c r="AE74" i="3"/>
  <c r="AE73" i="3"/>
  <c r="AE72" i="3"/>
  <c r="AE71" i="3"/>
  <c r="AE68" i="3"/>
  <c r="AE67" i="3"/>
  <c r="AE66" i="3"/>
  <c r="AE65" i="3"/>
  <c r="AE64" i="3"/>
  <c r="AE63" i="3"/>
  <c r="AE62" i="3"/>
  <c r="AE61" i="3"/>
  <c r="AE60" i="3"/>
  <c r="AE59" i="3"/>
  <c r="AE58" i="3"/>
  <c r="AE56" i="3"/>
  <c r="AE55" i="3"/>
  <c r="AE54" i="3"/>
  <c r="AE53" i="3"/>
  <c r="AE52" i="3"/>
  <c r="AE51" i="3"/>
  <c r="AE50" i="3"/>
  <c r="AE49" i="3"/>
  <c r="AE48" i="3"/>
  <c r="AE47" i="3"/>
  <c r="AE46" i="3"/>
  <c r="AE44" i="3"/>
  <c r="AE43" i="3"/>
  <c r="AE42" i="3"/>
  <c r="AE41" i="3"/>
  <c r="AE40" i="3"/>
  <c r="AE39" i="3"/>
  <c r="AE38" i="3"/>
  <c r="AE37" i="3"/>
  <c r="AE36" i="3"/>
  <c r="AE35" i="3"/>
  <c r="AE34" i="3"/>
  <c r="AE32" i="3"/>
  <c r="AE30" i="3"/>
  <c r="AE21" i="3"/>
  <c r="AE20" i="3"/>
  <c r="AE19" i="3"/>
  <c r="AE18" i="3"/>
  <c r="AE17" i="3"/>
  <c r="AE16" i="3"/>
  <c r="AE15" i="3"/>
  <c r="AE14" i="3"/>
  <c r="AE13" i="3"/>
  <c r="AE12" i="3"/>
  <c r="AE11" i="3"/>
  <c r="I322" i="20"/>
  <c r="I321" i="20"/>
  <c r="I320" i="20"/>
  <c r="I319" i="20"/>
  <c r="I318" i="20"/>
  <c r="I317" i="20"/>
  <c r="I316" i="20"/>
  <c r="I315" i="20"/>
  <c r="I314" i="20"/>
  <c r="I313" i="20"/>
  <c r="I312" i="20"/>
  <c r="I311" i="20"/>
  <c r="I310" i="20"/>
  <c r="I309" i="20"/>
  <c r="I308" i="20"/>
  <c r="I307" i="20"/>
  <c r="I306" i="20"/>
  <c r="I305" i="20"/>
  <c r="I304" i="20"/>
  <c r="I303" i="20"/>
  <c r="I302" i="20"/>
  <c r="I301" i="20"/>
  <c r="I300" i="20"/>
  <c r="I299" i="20"/>
  <c r="I298" i="20"/>
  <c r="I297" i="20"/>
  <c r="I296" i="20"/>
  <c r="I295" i="20"/>
  <c r="I294" i="20"/>
  <c r="I293" i="20"/>
  <c r="I292" i="20"/>
  <c r="I291" i="20"/>
  <c r="I290" i="20"/>
  <c r="I289" i="20"/>
  <c r="I288" i="20"/>
  <c r="I287" i="20"/>
  <c r="I286" i="20"/>
  <c r="I285" i="20"/>
  <c r="I284" i="20"/>
  <c r="I283" i="20"/>
  <c r="I282" i="20"/>
  <c r="I281" i="20"/>
  <c r="I280" i="20"/>
  <c r="I279" i="20"/>
  <c r="I278" i="20"/>
  <c r="I277" i="20"/>
  <c r="I276" i="20"/>
  <c r="I275" i="20"/>
  <c r="I274" i="20"/>
  <c r="I273" i="20"/>
  <c r="I272" i="20"/>
  <c r="I271" i="20"/>
  <c r="I270" i="20"/>
  <c r="I269" i="20"/>
  <c r="I268" i="20"/>
  <c r="I267" i="20"/>
  <c r="I266" i="20"/>
  <c r="I265" i="20"/>
  <c r="I264" i="20"/>
  <c r="I263" i="20"/>
  <c r="I262" i="20"/>
  <c r="I261" i="20"/>
  <c r="I260" i="20"/>
  <c r="I259" i="20"/>
  <c r="I258" i="20"/>
  <c r="I257" i="20"/>
  <c r="I256" i="20"/>
  <c r="I255" i="20"/>
  <c r="I254" i="20"/>
  <c r="I253" i="20"/>
  <c r="I252" i="20"/>
  <c r="I251" i="20"/>
  <c r="I250" i="20"/>
  <c r="I249" i="20"/>
  <c r="I248" i="20"/>
  <c r="I247" i="20"/>
  <c r="I246" i="20"/>
  <c r="I245" i="20"/>
  <c r="I244" i="20"/>
  <c r="I243" i="20"/>
  <c r="I242" i="20"/>
  <c r="I241" i="20"/>
  <c r="I240" i="20"/>
  <c r="I239" i="20"/>
  <c r="I238" i="20"/>
  <c r="I237" i="20"/>
  <c r="I236" i="20"/>
  <c r="I235" i="20"/>
  <c r="I234" i="20"/>
  <c r="I233" i="20"/>
  <c r="I232" i="20"/>
  <c r="I231" i="20"/>
  <c r="I230" i="20"/>
  <c r="I229" i="20"/>
  <c r="I228" i="20"/>
  <c r="I227" i="20"/>
  <c r="I226" i="20"/>
  <c r="I225" i="20"/>
  <c r="I224" i="20"/>
  <c r="I223" i="20"/>
  <c r="I222" i="20"/>
  <c r="I221" i="20"/>
  <c r="I220" i="20"/>
  <c r="I219" i="20"/>
  <c r="I218" i="20"/>
  <c r="I217" i="20"/>
  <c r="I216" i="20"/>
  <c r="I215" i="20"/>
  <c r="I214" i="20"/>
  <c r="I213" i="20"/>
  <c r="I212" i="20"/>
  <c r="I211" i="20"/>
  <c r="I210" i="20"/>
  <c r="I209" i="20"/>
  <c r="I208" i="20"/>
  <c r="I207" i="20"/>
  <c r="I206" i="20"/>
  <c r="I205" i="20"/>
  <c r="I204" i="20"/>
  <c r="I203" i="20"/>
  <c r="I202" i="20"/>
  <c r="I201" i="20"/>
  <c r="I200" i="20"/>
  <c r="I199" i="20"/>
  <c r="I198" i="20"/>
  <c r="I197" i="20"/>
  <c r="I196" i="20"/>
  <c r="I195" i="20"/>
  <c r="I194" i="20"/>
  <c r="I193" i="20"/>
  <c r="I192" i="20"/>
  <c r="I191" i="20"/>
  <c r="I190" i="20"/>
  <c r="I189" i="20"/>
  <c r="I188" i="20"/>
  <c r="I187" i="20"/>
  <c r="I186" i="20"/>
  <c r="I185" i="20"/>
  <c r="I184" i="20"/>
  <c r="I183" i="20"/>
  <c r="I182" i="20"/>
  <c r="I181" i="20"/>
  <c r="I180" i="20"/>
  <c r="I179" i="20"/>
  <c r="I178" i="20"/>
  <c r="I177" i="20"/>
  <c r="I176" i="20"/>
  <c r="I175" i="20"/>
  <c r="I174" i="20"/>
  <c r="I173" i="20"/>
  <c r="I172" i="20"/>
  <c r="I171" i="20"/>
  <c r="I170" i="20"/>
  <c r="I169" i="20"/>
  <c r="I168" i="20"/>
  <c r="I167" i="20"/>
  <c r="I166" i="20"/>
  <c r="I165" i="20"/>
  <c r="I164" i="20"/>
  <c r="I163" i="20"/>
  <c r="I162" i="20"/>
  <c r="I161" i="20"/>
  <c r="I160" i="20"/>
  <c r="I159" i="20"/>
  <c r="I158" i="20"/>
  <c r="I157" i="20"/>
  <c r="I156" i="20"/>
  <c r="I155" i="20"/>
  <c r="I154" i="20"/>
  <c r="I153" i="20"/>
  <c r="I152" i="20"/>
  <c r="I151" i="20"/>
  <c r="I150" i="20"/>
  <c r="I149" i="20"/>
  <c r="I148" i="20"/>
  <c r="I147" i="20"/>
  <c r="I146" i="20"/>
  <c r="I145" i="20"/>
  <c r="I144" i="20"/>
  <c r="I143" i="20"/>
  <c r="I142" i="20"/>
  <c r="I141" i="20"/>
  <c r="I140" i="20"/>
  <c r="I139" i="20"/>
  <c r="I138" i="20"/>
  <c r="I137" i="20"/>
  <c r="I136" i="20"/>
  <c r="I135" i="20"/>
  <c r="I134" i="20"/>
  <c r="I133" i="20"/>
  <c r="I132" i="20"/>
  <c r="I131" i="20"/>
  <c r="I130" i="20"/>
  <c r="I129" i="20"/>
  <c r="I128" i="20"/>
  <c r="I127" i="20"/>
  <c r="I126" i="20"/>
  <c r="I125" i="20"/>
  <c r="I124" i="20"/>
  <c r="I123" i="20"/>
  <c r="I122" i="20"/>
  <c r="I121" i="20"/>
  <c r="I120" i="20"/>
  <c r="I119" i="20"/>
  <c r="I118" i="20"/>
  <c r="I117" i="20"/>
  <c r="I116" i="20"/>
  <c r="I115" i="20"/>
  <c r="I114" i="20"/>
  <c r="I113" i="20"/>
  <c r="I112" i="20"/>
  <c r="I111" i="20"/>
  <c r="I110" i="20"/>
  <c r="I109" i="20"/>
  <c r="I108" i="20"/>
  <c r="I107" i="20"/>
  <c r="I106" i="20"/>
  <c r="I105" i="20"/>
  <c r="I104" i="20"/>
  <c r="I103" i="20"/>
  <c r="I102" i="20"/>
  <c r="I101" i="20"/>
  <c r="I100" i="20"/>
  <c r="I99" i="20"/>
  <c r="I98" i="20"/>
  <c r="I97" i="20"/>
  <c r="I96" i="20"/>
  <c r="I95" i="20"/>
  <c r="I94" i="20"/>
  <c r="I93" i="20"/>
  <c r="I92" i="20"/>
  <c r="I91" i="20"/>
  <c r="I90" i="20"/>
  <c r="I89" i="20"/>
  <c r="I88" i="20"/>
  <c r="I87" i="20"/>
  <c r="I86" i="20"/>
  <c r="I85" i="20"/>
  <c r="I84" i="20"/>
  <c r="I83" i="20"/>
  <c r="I82" i="20"/>
  <c r="I81" i="20"/>
  <c r="I80" i="20"/>
  <c r="I79" i="20"/>
  <c r="I78" i="20"/>
  <c r="I77" i="20"/>
  <c r="I76" i="20"/>
  <c r="I75" i="20"/>
  <c r="I74" i="20"/>
  <c r="I73" i="20"/>
  <c r="I72" i="20"/>
  <c r="I71" i="20"/>
  <c r="I70" i="20"/>
  <c r="I69" i="20"/>
  <c r="I68" i="20"/>
  <c r="I67" i="20"/>
  <c r="I66" i="20"/>
  <c r="I65" i="20"/>
  <c r="I64" i="20"/>
  <c r="I63" i="20"/>
  <c r="I62" i="20"/>
  <c r="I61" i="20"/>
  <c r="I60" i="20"/>
  <c r="I59" i="20"/>
  <c r="I58" i="20"/>
  <c r="I57" i="20"/>
  <c r="I56" i="20"/>
  <c r="I55" i="20"/>
  <c r="I54" i="20"/>
  <c r="I53" i="20"/>
  <c r="I52" i="20"/>
  <c r="I51" i="20"/>
  <c r="I50" i="20"/>
  <c r="I49" i="20"/>
  <c r="I48" i="20"/>
  <c r="I47" i="20"/>
  <c r="I46" i="20"/>
  <c r="I45" i="20"/>
  <c r="I44" i="20"/>
  <c r="I43" i="20"/>
  <c r="I42" i="20"/>
  <c r="I41" i="20"/>
  <c r="I40" i="20"/>
  <c r="I39" i="20"/>
  <c r="I38" i="20"/>
  <c r="I37" i="20"/>
  <c r="I36" i="20"/>
  <c r="I35" i="20"/>
  <c r="I34" i="20"/>
  <c r="I33" i="20"/>
  <c r="I32" i="20"/>
  <c r="I31" i="20"/>
  <c r="I30" i="20"/>
  <c r="I29" i="20"/>
  <c r="I28" i="20"/>
  <c r="I27" i="20"/>
  <c r="I26" i="20"/>
  <c r="I25" i="20"/>
  <c r="I24" i="20"/>
  <c r="I23" i="20"/>
  <c r="I61" i="24"/>
  <c r="I60" i="24"/>
  <c r="I59" i="24"/>
  <c r="I58" i="24"/>
  <c r="I57" i="24"/>
  <c r="I56" i="24"/>
  <c r="I55" i="24"/>
  <c r="I54" i="24"/>
  <c r="I53" i="24"/>
  <c r="I52" i="24"/>
  <c r="I51" i="24"/>
  <c r="I50" i="24"/>
  <c r="I49" i="24"/>
  <c r="I48" i="24"/>
  <c r="I47" i="24"/>
  <c r="I46" i="24"/>
  <c r="I45" i="24"/>
  <c r="I44" i="24"/>
  <c r="I43" i="24"/>
  <c r="I42" i="24"/>
  <c r="I41" i="24"/>
  <c r="I40" i="24"/>
  <c r="I39" i="24"/>
  <c r="I38" i="24"/>
  <c r="I37" i="24"/>
  <c r="I36" i="24"/>
  <c r="I35" i="24"/>
  <c r="I11" i="24"/>
  <c r="I10"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11" i="24"/>
  <c r="H10" i="24"/>
  <c r="AP615" i="13"/>
  <c r="AO615" i="13"/>
  <c r="AG613" i="13"/>
  <c r="AJ613" i="13"/>
  <c r="AK613" i="13"/>
  <c r="AL613" i="13"/>
  <c r="AN613" i="13"/>
  <c r="AO613" i="13"/>
  <c r="C63" i="24"/>
  <c r="A97" i="8"/>
  <c r="AA31" i="7" s="1"/>
  <c r="A96" i="8"/>
  <c r="AA30" i="7" s="1"/>
  <c r="A95" i="8"/>
  <c r="AA29" i="7" s="1"/>
  <c r="T322" i="20"/>
  <c r="T321" i="20"/>
  <c r="T320" i="20"/>
  <c r="T319" i="20"/>
  <c r="T318" i="20"/>
  <c r="T317" i="20"/>
  <c r="T316" i="20"/>
  <c r="T315" i="20"/>
  <c r="T314" i="20"/>
  <c r="T313" i="20"/>
  <c r="T312" i="20"/>
  <c r="T311" i="20"/>
  <c r="T310" i="20"/>
  <c r="T309" i="20"/>
  <c r="T308" i="20"/>
  <c r="T307" i="20"/>
  <c r="T306" i="20"/>
  <c r="T305" i="20"/>
  <c r="T304" i="20"/>
  <c r="T303" i="20"/>
  <c r="T302" i="20"/>
  <c r="T301" i="20"/>
  <c r="T300" i="20"/>
  <c r="T299" i="20"/>
  <c r="T298" i="20"/>
  <c r="T297" i="20"/>
  <c r="T296" i="20"/>
  <c r="T295" i="20"/>
  <c r="T294" i="20"/>
  <c r="T293" i="20"/>
  <c r="T292" i="20"/>
  <c r="T291" i="20"/>
  <c r="T290" i="20"/>
  <c r="T289" i="20"/>
  <c r="T288" i="20"/>
  <c r="T287" i="20"/>
  <c r="T286" i="20"/>
  <c r="T285" i="20"/>
  <c r="T284" i="20"/>
  <c r="T283" i="20"/>
  <c r="T282" i="20"/>
  <c r="T281" i="20"/>
  <c r="T280" i="20"/>
  <c r="T279" i="20"/>
  <c r="T278" i="20"/>
  <c r="T277" i="20"/>
  <c r="T276" i="20"/>
  <c r="T275" i="20"/>
  <c r="T274" i="20"/>
  <c r="T273" i="20"/>
  <c r="T272" i="20"/>
  <c r="T271" i="20"/>
  <c r="T270" i="20"/>
  <c r="T269" i="20"/>
  <c r="T268" i="20"/>
  <c r="T267" i="20"/>
  <c r="T266" i="20"/>
  <c r="T265" i="20"/>
  <c r="T264" i="20"/>
  <c r="T263" i="20"/>
  <c r="T262" i="20"/>
  <c r="T261" i="20"/>
  <c r="T260" i="20"/>
  <c r="T259" i="20"/>
  <c r="T258" i="20"/>
  <c r="T257" i="20"/>
  <c r="T256" i="20"/>
  <c r="T255" i="20"/>
  <c r="T254" i="20"/>
  <c r="T253" i="20"/>
  <c r="T252" i="20"/>
  <c r="T251" i="20"/>
  <c r="T250" i="20"/>
  <c r="T249" i="20"/>
  <c r="T248" i="20"/>
  <c r="T247" i="20"/>
  <c r="T246" i="20"/>
  <c r="T245" i="20"/>
  <c r="T244" i="20"/>
  <c r="T243" i="20"/>
  <c r="T242" i="20"/>
  <c r="T241" i="20"/>
  <c r="T240" i="20"/>
  <c r="T239" i="20"/>
  <c r="T238" i="20"/>
  <c r="T237" i="20"/>
  <c r="T236" i="20"/>
  <c r="T235" i="20"/>
  <c r="T234" i="20"/>
  <c r="T233" i="20"/>
  <c r="T232" i="20"/>
  <c r="T231" i="20"/>
  <c r="T230" i="20"/>
  <c r="T229" i="20"/>
  <c r="T228" i="20"/>
  <c r="T227" i="20"/>
  <c r="T226" i="20"/>
  <c r="T225" i="20"/>
  <c r="T224" i="20"/>
  <c r="T223" i="20"/>
  <c r="T222" i="20"/>
  <c r="T221" i="20"/>
  <c r="T220" i="20"/>
  <c r="T219" i="20"/>
  <c r="T218" i="20"/>
  <c r="T217" i="20"/>
  <c r="T216" i="20"/>
  <c r="T215" i="20"/>
  <c r="T214" i="20"/>
  <c r="T213" i="20"/>
  <c r="T212" i="20"/>
  <c r="T211" i="20"/>
  <c r="T210" i="20"/>
  <c r="T209" i="20"/>
  <c r="T208" i="20"/>
  <c r="T207" i="20"/>
  <c r="T206" i="20"/>
  <c r="T205" i="20"/>
  <c r="T204" i="20"/>
  <c r="T203" i="20"/>
  <c r="T202" i="20"/>
  <c r="T201" i="20"/>
  <c r="T200" i="20"/>
  <c r="T199" i="20"/>
  <c r="T198" i="20"/>
  <c r="T197" i="20"/>
  <c r="T196" i="20"/>
  <c r="T195" i="20"/>
  <c r="T194" i="20"/>
  <c r="T193" i="20"/>
  <c r="T192" i="20"/>
  <c r="T191" i="20"/>
  <c r="T190" i="20"/>
  <c r="T189" i="20"/>
  <c r="T188" i="20"/>
  <c r="T187" i="20"/>
  <c r="T186" i="20"/>
  <c r="T185" i="20"/>
  <c r="T184" i="20"/>
  <c r="T183" i="20"/>
  <c r="T182" i="20"/>
  <c r="T181" i="20"/>
  <c r="T180" i="20"/>
  <c r="T179" i="20"/>
  <c r="T178" i="20"/>
  <c r="T177" i="20"/>
  <c r="T176" i="20"/>
  <c r="T175" i="20"/>
  <c r="T174" i="20"/>
  <c r="T173" i="20"/>
  <c r="T172" i="20"/>
  <c r="T171" i="20"/>
  <c r="T170" i="20"/>
  <c r="T169" i="20"/>
  <c r="T168" i="20"/>
  <c r="T167" i="20"/>
  <c r="T166" i="20"/>
  <c r="T165" i="20"/>
  <c r="T164" i="20"/>
  <c r="T163" i="20"/>
  <c r="T162" i="20"/>
  <c r="T161" i="20"/>
  <c r="T160" i="20"/>
  <c r="T159" i="20"/>
  <c r="T158" i="20"/>
  <c r="T157" i="20"/>
  <c r="T156" i="20"/>
  <c r="T155" i="20"/>
  <c r="T154" i="20"/>
  <c r="T153" i="20"/>
  <c r="T152" i="20"/>
  <c r="T151" i="20"/>
  <c r="T150" i="20"/>
  <c r="T149" i="20"/>
  <c r="T148" i="20"/>
  <c r="T147" i="20"/>
  <c r="T146" i="20"/>
  <c r="T145" i="20"/>
  <c r="T144" i="20"/>
  <c r="T143" i="20"/>
  <c r="T142" i="20"/>
  <c r="T141" i="20"/>
  <c r="T140" i="20"/>
  <c r="T139" i="20"/>
  <c r="T138" i="20"/>
  <c r="T137" i="20"/>
  <c r="T136" i="20"/>
  <c r="T135" i="20"/>
  <c r="T134" i="20"/>
  <c r="T133" i="20"/>
  <c r="T132" i="20"/>
  <c r="T131" i="20"/>
  <c r="T130" i="20"/>
  <c r="T129" i="20"/>
  <c r="T128" i="20"/>
  <c r="T127" i="20"/>
  <c r="T126" i="20"/>
  <c r="T125" i="20"/>
  <c r="T124" i="20"/>
  <c r="T123" i="20"/>
  <c r="T122" i="20"/>
  <c r="T121" i="20"/>
  <c r="T120" i="20"/>
  <c r="T119" i="20"/>
  <c r="T118" i="20"/>
  <c r="T117" i="20"/>
  <c r="T116" i="20"/>
  <c r="T115" i="20"/>
  <c r="T114" i="20"/>
  <c r="T113" i="20"/>
  <c r="T112" i="20"/>
  <c r="T111" i="20"/>
  <c r="T110" i="20"/>
  <c r="T109" i="20"/>
  <c r="T108" i="20"/>
  <c r="T107" i="20"/>
  <c r="T106" i="20"/>
  <c r="T105" i="20"/>
  <c r="T104" i="20"/>
  <c r="T103" i="20"/>
  <c r="T102" i="20"/>
  <c r="T101" i="20"/>
  <c r="T100" i="20"/>
  <c r="T99" i="20"/>
  <c r="T98" i="20"/>
  <c r="T97" i="20"/>
  <c r="T96" i="20"/>
  <c r="T95" i="20"/>
  <c r="T94" i="20"/>
  <c r="T93" i="20"/>
  <c r="T92" i="20"/>
  <c r="T91" i="20"/>
  <c r="T90" i="20"/>
  <c r="T89" i="20"/>
  <c r="T88" i="20"/>
  <c r="T87" i="20"/>
  <c r="T86" i="20"/>
  <c r="T85" i="20"/>
  <c r="T84" i="20"/>
  <c r="T83" i="20"/>
  <c r="T82" i="20"/>
  <c r="T81" i="20"/>
  <c r="T80" i="20"/>
  <c r="T79" i="20"/>
  <c r="T78" i="20"/>
  <c r="T77" i="20"/>
  <c r="T76" i="20"/>
  <c r="T75" i="20"/>
  <c r="T74" i="20"/>
  <c r="T73" i="20"/>
  <c r="T72" i="20"/>
  <c r="T71" i="20"/>
  <c r="T70" i="20"/>
  <c r="T69" i="20"/>
  <c r="T68" i="20"/>
  <c r="T67" i="20"/>
  <c r="T66" i="20"/>
  <c r="T65" i="20"/>
  <c r="T64" i="20"/>
  <c r="T63" i="20"/>
  <c r="T62" i="20"/>
  <c r="T61" i="20"/>
  <c r="T60" i="20"/>
  <c r="T59" i="20"/>
  <c r="T58" i="20"/>
  <c r="T57" i="20"/>
  <c r="T56" i="20"/>
  <c r="T55" i="20"/>
  <c r="T54" i="20"/>
  <c r="T53" i="20"/>
  <c r="T52" i="20"/>
  <c r="T51" i="20"/>
  <c r="T50" i="20"/>
  <c r="T49" i="20"/>
  <c r="T48" i="20"/>
  <c r="T47" i="20"/>
  <c r="T46" i="20"/>
  <c r="T45" i="20"/>
  <c r="T44" i="20"/>
  <c r="T27" i="20"/>
  <c r="T26" i="20"/>
  <c r="T25" i="20"/>
  <c r="T24" i="20"/>
  <c r="AG411" i="5"/>
  <c r="I50" i="9"/>
  <c r="I47" i="14"/>
  <c r="BB4" i="8"/>
  <c r="B9" i="5"/>
  <c r="W1" i="20"/>
  <c r="AN615" i="13"/>
  <c r="AL615" i="13"/>
  <c r="AK615" i="13"/>
  <c r="AK616" i="13" s="1"/>
  <c r="AJ615" i="13"/>
  <c r="AI615" i="13"/>
  <c r="AG615" i="13"/>
  <c r="AQ414" i="5"/>
  <c r="C5" i="13"/>
  <c r="C4" i="13"/>
  <c r="C3" i="13"/>
  <c r="C2" i="13"/>
  <c r="AY17" i="22"/>
  <c r="AY18" i="22"/>
  <c r="A81" i="8"/>
  <c r="A94" i="8"/>
  <c r="AA48" i="7" s="1"/>
  <c r="A93" i="8"/>
  <c r="Z47" i="7" s="1"/>
  <c r="A92" i="8"/>
  <c r="AA45" i="7" s="1"/>
  <c r="A91" i="8"/>
  <c r="AA44" i="7" s="1"/>
  <c r="A90" i="8"/>
  <c r="AA43" i="7" s="1"/>
  <c r="A89" i="8"/>
  <c r="AA42" i="7" s="1"/>
  <c r="A88" i="8"/>
  <c r="AA41" i="7" s="1"/>
  <c r="A87" i="8"/>
  <c r="AA40" i="7" s="1"/>
  <c r="A86" i="8"/>
  <c r="AA39" i="7" s="1"/>
  <c r="A85" i="8"/>
  <c r="AA38" i="7" s="1"/>
  <c r="A84" i="8"/>
  <c r="AA37" i="7" s="1"/>
  <c r="A82" i="8"/>
  <c r="AA36" i="7" s="1"/>
  <c r="A83" i="8"/>
  <c r="AA35" i="7" s="1"/>
  <c r="A77" i="8"/>
  <c r="AA26" i="7" s="1"/>
  <c r="A80" i="8"/>
  <c r="AA33" i="7" s="1"/>
  <c r="A79" i="8"/>
  <c r="AA28" i="7" s="1"/>
  <c r="A78" i="8"/>
  <c r="AA27" i="7" s="1"/>
  <c r="G322" i="20"/>
  <c r="G321" i="20"/>
  <c r="G320" i="20"/>
  <c r="G319" i="20"/>
  <c r="G318" i="20"/>
  <c r="G317" i="20"/>
  <c r="G316" i="20"/>
  <c r="G315" i="20"/>
  <c r="G314" i="20"/>
  <c r="G313" i="20"/>
  <c r="G312" i="20"/>
  <c r="G311" i="20"/>
  <c r="G310" i="20"/>
  <c r="G309" i="20"/>
  <c r="G308" i="20"/>
  <c r="G307" i="20"/>
  <c r="G306" i="20"/>
  <c r="G305" i="20"/>
  <c r="G304" i="20"/>
  <c r="G303" i="20"/>
  <c r="G302" i="20"/>
  <c r="G301" i="20"/>
  <c r="G300" i="20"/>
  <c r="G299" i="20"/>
  <c r="G298" i="20"/>
  <c r="G297" i="20"/>
  <c r="G296" i="20"/>
  <c r="G295" i="20"/>
  <c r="G294" i="20"/>
  <c r="G293" i="20"/>
  <c r="G292" i="20"/>
  <c r="G291" i="20"/>
  <c r="G290" i="20"/>
  <c r="G289" i="20"/>
  <c r="G288" i="20"/>
  <c r="G287" i="20"/>
  <c r="G286" i="20"/>
  <c r="G285" i="20"/>
  <c r="G284" i="20"/>
  <c r="G283" i="20"/>
  <c r="G282" i="20"/>
  <c r="G281" i="20"/>
  <c r="G280" i="20"/>
  <c r="G279" i="20"/>
  <c r="G278" i="20"/>
  <c r="G277" i="20"/>
  <c r="G276" i="20"/>
  <c r="G275" i="20"/>
  <c r="G274" i="20"/>
  <c r="G273" i="20"/>
  <c r="G272" i="20"/>
  <c r="G271" i="20"/>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36" i="20"/>
  <c r="G235" i="20"/>
  <c r="G234" i="20"/>
  <c r="G233" i="20"/>
  <c r="G232" i="20"/>
  <c r="G231" i="20"/>
  <c r="G230" i="20"/>
  <c r="G229"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9" i="20"/>
  <c r="G118" i="20"/>
  <c r="G117" i="20"/>
  <c r="G116" i="20"/>
  <c r="G115" i="20"/>
  <c r="G114" i="20"/>
  <c r="G113" i="20"/>
  <c r="G112" i="20"/>
  <c r="G111" i="20"/>
  <c r="G110" i="20"/>
  <c r="G109" i="20"/>
  <c r="G108" i="20"/>
  <c r="G107" i="20"/>
  <c r="G106" i="20"/>
  <c r="G105" i="20"/>
  <c r="G104" i="20"/>
  <c r="G103" i="20"/>
  <c r="G102" i="20"/>
  <c r="G101" i="20"/>
  <c r="G100" i="20"/>
  <c r="G99" i="20"/>
  <c r="G98" i="20"/>
  <c r="G97" i="20"/>
  <c r="G96" i="20"/>
  <c r="G95" i="20"/>
  <c r="G94" i="20"/>
  <c r="G93" i="20"/>
  <c r="G92" i="20"/>
  <c r="G91"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G26" i="20"/>
  <c r="G25" i="20"/>
  <c r="G24" i="20"/>
  <c r="G23" i="20"/>
  <c r="P322" i="20"/>
  <c r="H322" i="20"/>
  <c r="E322" i="20"/>
  <c r="D322" i="20"/>
  <c r="B322" i="20"/>
  <c r="P321" i="20"/>
  <c r="H321" i="20"/>
  <c r="E321" i="20"/>
  <c r="D321" i="20"/>
  <c r="B321" i="20"/>
  <c r="P320" i="20"/>
  <c r="H320" i="20"/>
  <c r="E320" i="20"/>
  <c r="D320" i="20"/>
  <c r="B320" i="20"/>
  <c r="P319" i="20"/>
  <c r="H319" i="20"/>
  <c r="E319" i="20"/>
  <c r="D319" i="20"/>
  <c r="B319" i="20"/>
  <c r="P318" i="20"/>
  <c r="H318" i="20"/>
  <c r="E318" i="20"/>
  <c r="D318" i="20"/>
  <c r="B318" i="20"/>
  <c r="P317" i="20"/>
  <c r="H317" i="20"/>
  <c r="E317" i="20"/>
  <c r="D317" i="20"/>
  <c r="B317" i="20"/>
  <c r="P316" i="20"/>
  <c r="H316" i="20"/>
  <c r="E316" i="20"/>
  <c r="D316" i="20"/>
  <c r="B316" i="20"/>
  <c r="P315" i="20"/>
  <c r="H315" i="20"/>
  <c r="E315" i="20"/>
  <c r="D315" i="20"/>
  <c r="B315" i="20"/>
  <c r="P314" i="20"/>
  <c r="H314" i="20"/>
  <c r="E314" i="20"/>
  <c r="D314" i="20"/>
  <c r="B314" i="20"/>
  <c r="P313" i="20"/>
  <c r="H313" i="20"/>
  <c r="E313" i="20"/>
  <c r="D313" i="20"/>
  <c r="B313" i="20"/>
  <c r="P312" i="20"/>
  <c r="H312" i="20"/>
  <c r="E312" i="20"/>
  <c r="D312" i="20"/>
  <c r="B312" i="20"/>
  <c r="P311" i="20"/>
  <c r="H311" i="20"/>
  <c r="E311" i="20"/>
  <c r="D311" i="20"/>
  <c r="B311" i="20"/>
  <c r="P310" i="20"/>
  <c r="H310" i="20"/>
  <c r="E310" i="20"/>
  <c r="D310" i="20"/>
  <c r="B310" i="20"/>
  <c r="P309" i="20"/>
  <c r="H309" i="20"/>
  <c r="E309" i="20"/>
  <c r="D309" i="20"/>
  <c r="B309" i="20"/>
  <c r="P308" i="20"/>
  <c r="H308" i="20"/>
  <c r="E308" i="20"/>
  <c r="D308" i="20"/>
  <c r="B308" i="20"/>
  <c r="P307" i="20"/>
  <c r="H307" i="20"/>
  <c r="E307" i="20"/>
  <c r="D307" i="20"/>
  <c r="B307" i="20"/>
  <c r="P306" i="20"/>
  <c r="H306" i="20"/>
  <c r="E306" i="20"/>
  <c r="D306" i="20"/>
  <c r="B306" i="20"/>
  <c r="P305" i="20"/>
  <c r="H305" i="20"/>
  <c r="E305" i="20"/>
  <c r="D305" i="20"/>
  <c r="B305" i="20"/>
  <c r="P304" i="20"/>
  <c r="H304" i="20"/>
  <c r="E304" i="20"/>
  <c r="D304" i="20"/>
  <c r="B304" i="20"/>
  <c r="P303" i="20"/>
  <c r="H303" i="20"/>
  <c r="E303" i="20"/>
  <c r="D303" i="20"/>
  <c r="B303" i="20"/>
  <c r="P302" i="20"/>
  <c r="H302" i="20"/>
  <c r="E302" i="20"/>
  <c r="D302" i="20"/>
  <c r="B302" i="20"/>
  <c r="P301" i="20"/>
  <c r="H301" i="20"/>
  <c r="E301" i="20"/>
  <c r="D301" i="20"/>
  <c r="B301" i="20"/>
  <c r="P300" i="20"/>
  <c r="H300" i="20"/>
  <c r="E300" i="20"/>
  <c r="D300" i="20"/>
  <c r="B300" i="20"/>
  <c r="P299" i="20"/>
  <c r="H299" i="20"/>
  <c r="E299" i="20"/>
  <c r="D299" i="20"/>
  <c r="B299" i="20"/>
  <c r="P298" i="20"/>
  <c r="H298" i="20"/>
  <c r="E298" i="20"/>
  <c r="D298" i="20"/>
  <c r="B298" i="20"/>
  <c r="P297" i="20"/>
  <c r="H297" i="20"/>
  <c r="E297" i="20"/>
  <c r="D297" i="20"/>
  <c r="B297" i="20"/>
  <c r="P296" i="20"/>
  <c r="H296" i="20"/>
  <c r="E296" i="20"/>
  <c r="D296" i="20"/>
  <c r="B296" i="20"/>
  <c r="P295" i="20"/>
  <c r="H295" i="20"/>
  <c r="E295" i="20"/>
  <c r="D295" i="20"/>
  <c r="B295" i="20"/>
  <c r="P294" i="20"/>
  <c r="H294" i="20"/>
  <c r="E294" i="20"/>
  <c r="D294" i="20"/>
  <c r="B294" i="20"/>
  <c r="P293" i="20"/>
  <c r="H293" i="20"/>
  <c r="E293" i="20"/>
  <c r="D293" i="20"/>
  <c r="B293" i="20"/>
  <c r="P292" i="20"/>
  <c r="H292" i="20"/>
  <c r="E292" i="20"/>
  <c r="D292" i="20"/>
  <c r="B292" i="20"/>
  <c r="P291" i="20"/>
  <c r="H291" i="20"/>
  <c r="E291" i="20"/>
  <c r="D291" i="20"/>
  <c r="B291" i="20"/>
  <c r="P290" i="20"/>
  <c r="H290" i="20"/>
  <c r="E290" i="20"/>
  <c r="D290" i="20"/>
  <c r="B290" i="20"/>
  <c r="P289" i="20"/>
  <c r="H289" i="20"/>
  <c r="E289" i="20"/>
  <c r="D289" i="20"/>
  <c r="B289" i="20"/>
  <c r="P288" i="20"/>
  <c r="H288" i="20"/>
  <c r="E288" i="20"/>
  <c r="D288" i="20"/>
  <c r="B288" i="20"/>
  <c r="P287" i="20"/>
  <c r="H287" i="20"/>
  <c r="E287" i="20"/>
  <c r="D287" i="20"/>
  <c r="B287" i="20"/>
  <c r="P286" i="20"/>
  <c r="H286" i="20"/>
  <c r="E286" i="20"/>
  <c r="D286" i="20"/>
  <c r="B286" i="20"/>
  <c r="P285" i="20"/>
  <c r="H285" i="20"/>
  <c r="E285" i="20"/>
  <c r="D285" i="20"/>
  <c r="B285" i="20"/>
  <c r="P284" i="20"/>
  <c r="H284" i="20"/>
  <c r="E284" i="20"/>
  <c r="D284" i="20"/>
  <c r="B284" i="20"/>
  <c r="P283" i="20"/>
  <c r="H283" i="20"/>
  <c r="E283" i="20"/>
  <c r="D283" i="20"/>
  <c r="B283" i="20"/>
  <c r="P282" i="20"/>
  <c r="H282" i="20"/>
  <c r="E282" i="20"/>
  <c r="D282" i="20"/>
  <c r="B282" i="20"/>
  <c r="P281" i="20"/>
  <c r="H281" i="20"/>
  <c r="E281" i="20"/>
  <c r="D281" i="20"/>
  <c r="B281" i="20"/>
  <c r="P280" i="20"/>
  <c r="H280" i="20"/>
  <c r="E280" i="20"/>
  <c r="D280" i="20"/>
  <c r="B280" i="20"/>
  <c r="P279" i="20"/>
  <c r="H279" i="20"/>
  <c r="E279" i="20"/>
  <c r="D279" i="20"/>
  <c r="B279" i="20"/>
  <c r="P278" i="20"/>
  <c r="H278" i="20"/>
  <c r="E278" i="20"/>
  <c r="D278" i="20"/>
  <c r="B278" i="20"/>
  <c r="P277" i="20"/>
  <c r="H277" i="20"/>
  <c r="E277" i="20"/>
  <c r="D277" i="20"/>
  <c r="B277" i="20"/>
  <c r="P276" i="20"/>
  <c r="H276" i="20"/>
  <c r="E276" i="20"/>
  <c r="D276" i="20"/>
  <c r="B276" i="20"/>
  <c r="P275" i="20"/>
  <c r="H275" i="20"/>
  <c r="E275" i="20"/>
  <c r="D275" i="20"/>
  <c r="B275" i="20"/>
  <c r="P274" i="20"/>
  <c r="H274" i="20"/>
  <c r="E274" i="20"/>
  <c r="D274" i="20"/>
  <c r="B274" i="20"/>
  <c r="P273" i="20"/>
  <c r="H273" i="20"/>
  <c r="E273" i="20"/>
  <c r="D273" i="20"/>
  <c r="B273" i="20"/>
  <c r="P272" i="20"/>
  <c r="H272" i="20"/>
  <c r="E272" i="20"/>
  <c r="D272" i="20"/>
  <c r="B272" i="20"/>
  <c r="P271" i="20"/>
  <c r="H271" i="20"/>
  <c r="E271" i="20"/>
  <c r="D271" i="20"/>
  <c r="B271" i="20"/>
  <c r="P270" i="20"/>
  <c r="H270" i="20"/>
  <c r="E270" i="20"/>
  <c r="D270" i="20"/>
  <c r="B270" i="20"/>
  <c r="P269" i="20"/>
  <c r="H269" i="20"/>
  <c r="E269" i="20"/>
  <c r="D269" i="20"/>
  <c r="B269" i="20"/>
  <c r="P268" i="20"/>
  <c r="H268" i="20"/>
  <c r="E268" i="20"/>
  <c r="D268" i="20"/>
  <c r="B268" i="20"/>
  <c r="P267" i="20"/>
  <c r="H267" i="20"/>
  <c r="E267" i="20"/>
  <c r="D267" i="20"/>
  <c r="B267" i="20"/>
  <c r="P266" i="20"/>
  <c r="H266" i="20"/>
  <c r="E266" i="20"/>
  <c r="D266" i="20"/>
  <c r="B266" i="20"/>
  <c r="P265" i="20"/>
  <c r="H265" i="20"/>
  <c r="E265" i="20"/>
  <c r="D265" i="20"/>
  <c r="B265" i="20"/>
  <c r="P264" i="20"/>
  <c r="H264" i="20"/>
  <c r="E264" i="20"/>
  <c r="D264" i="20"/>
  <c r="B264" i="20"/>
  <c r="P263" i="20"/>
  <c r="H263" i="20"/>
  <c r="E263" i="20"/>
  <c r="D263" i="20"/>
  <c r="B263" i="20"/>
  <c r="P262" i="20"/>
  <c r="H262" i="20"/>
  <c r="E262" i="20"/>
  <c r="D262" i="20"/>
  <c r="B262" i="20"/>
  <c r="P261" i="20"/>
  <c r="H261" i="20"/>
  <c r="E261" i="20"/>
  <c r="D261" i="20"/>
  <c r="B261" i="20"/>
  <c r="P260" i="20"/>
  <c r="H260" i="20"/>
  <c r="E260" i="20"/>
  <c r="D260" i="20"/>
  <c r="B260" i="20"/>
  <c r="P259" i="20"/>
  <c r="H259" i="20"/>
  <c r="E259" i="20"/>
  <c r="D259" i="20"/>
  <c r="B259" i="20"/>
  <c r="P258" i="20"/>
  <c r="H258" i="20"/>
  <c r="E258" i="20"/>
  <c r="D258" i="20"/>
  <c r="B258" i="20"/>
  <c r="P257" i="20"/>
  <c r="H257" i="20"/>
  <c r="E257" i="20"/>
  <c r="D257" i="20"/>
  <c r="B257" i="20"/>
  <c r="P256" i="20"/>
  <c r="H256" i="20"/>
  <c r="E256" i="20"/>
  <c r="D256" i="20"/>
  <c r="B256" i="20"/>
  <c r="P255" i="20"/>
  <c r="H255" i="20"/>
  <c r="E255" i="20"/>
  <c r="D255" i="20"/>
  <c r="B255" i="20"/>
  <c r="P254" i="20"/>
  <c r="H254" i="20"/>
  <c r="E254" i="20"/>
  <c r="D254" i="20"/>
  <c r="B254" i="20"/>
  <c r="P253" i="20"/>
  <c r="H253" i="20"/>
  <c r="E253" i="20"/>
  <c r="D253" i="20"/>
  <c r="B253" i="20"/>
  <c r="P252" i="20"/>
  <c r="H252" i="20"/>
  <c r="E252" i="20"/>
  <c r="D252" i="20"/>
  <c r="B252" i="20"/>
  <c r="P251" i="20"/>
  <c r="H251" i="20"/>
  <c r="E251" i="20"/>
  <c r="D251" i="20"/>
  <c r="B251" i="20"/>
  <c r="P250" i="20"/>
  <c r="H250" i="20"/>
  <c r="E250" i="20"/>
  <c r="D250" i="20"/>
  <c r="B250" i="20"/>
  <c r="P249" i="20"/>
  <c r="H249" i="20"/>
  <c r="E249" i="20"/>
  <c r="D249" i="20"/>
  <c r="B249" i="20"/>
  <c r="P248" i="20"/>
  <c r="H248" i="20"/>
  <c r="E248" i="20"/>
  <c r="D248" i="20"/>
  <c r="B248" i="20"/>
  <c r="P247" i="20"/>
  <c r="H247" i="20"/>
  <c r="E247" i="20"/>
  <c r="D247" i="20"/>
  <c r="B247" i="20"/>
  <c r="P246" i="20"/>
  <c r="H246" i="20"/>
  <c r="E246" i="20"/>
  <c r="D246" i="20"/>
  <c r="B246" i="20"/>
  <c r="P245" i="20"/>
  <c r="H245" i="20"/>
  <c r="E245" i="20"/>
  <c r="D245" i="20"/>
  <c r="B245" i="20"/>
  <c r="P244" i="20"/>
  <c r="H244" i="20"/>
  <c r="E244" i="20"/>
  <c r="D244" i="20"/>
  <c r="B244" i="20"/>
  <c r="P243" i="20"/>
  <c r="H243" i="20"/>
  <c r="E243" i="20"/>
  <c r="D243" i="20"/>
  <c r="B243" i="20"/>
  <c r="P242" i="20"/>
  <c r="H242" i="20"/>
  <c r="E242" i="20"/>
  <c r="D242" i="20"/>
  <c r="B242" i="20"/>
  <c r="P241" i="20"/>
  <c r="H241" i="20"/>
  <c r="E241" i="20"/>
  <c r="D241" i="20"/>
  <c r="B241" i="20"/>
  <c r="P240" i="20"/>
  <c r="H240" i="20"/>
  <c r="E240" i="20"/>
  <c r="D240" i="20"/>
  <c r="B240" i="20"/>
  <c r="P239" i="20"/>
  <c r="H239" i="20"/>
  <c r="E239" i="20"/>
  <c r="D239" i="20"/>
  <c r="B239" i="20"/>
  <c r="P238" i="20"/>
  <c r="H238" i="20"/>
  <c r="E238" i="20"/>
  <c r="D238" i="20"/>
  <c r="B238" i="20"/>
  <c r="P237" i="20"/>
  <c r="H237" i="20"/>
  <c r="E237" i="20"/>
  <c r="D237" i="20"/>
  <c r="B237" i="20"/>
  <c r="P236" i="20"/>
  <c r="H236" i="20"/>
  <c r="E236" i="20"/>
  <c r="D236" i="20"/>
  <c r="B236" i="20"/>
  <c r="P235" i="20"/>
  <c r="H235" i="20"/>
  <c r="E235" i="20"/>
  <c r="D235" i="20"/>
  <c r="B235" i="20"/>
  <c r="P234" i="20"/>
  <c r="H234" i="20"/>
  <c r="E234" i="20"/>
  <c r="D234" i="20"/>
  <c r="B234" i="20"/>
  <c r="P233" i="20"/>
  <c r="H233" i="20"/>
  <c r="E233" i="20"/>
  <c r="D233" i="20"/>
  <c r="B233" i="20"/>
  <c r="P232" i="20"/>
  <c r="H232" i="20"/>
  <c r="E232" i="20"/>
  <c r="D232" i="20"/>
  <c r="B232" i="20"/>
  <c r="P231" i="20"/>
  <c r="H231" i="20"/>
  <c r="E231" i="20"/>
  <c r="D231" i="20"/>
  <c r="B231" i="20"/>
  <c r="P230" i="20"/>
  <c r="H230" i="20"/>
  <c r="E230" i="20"/>
  <c r="D230" i="20"/>
  <c r="B230" i="20"/>
  <c r="P229" i="20"/>
  <c r="H229" i="20"/>
  <c r="E229" i="20"/>
  <c r="D229" i="20"/>
  <c r="B229" i="20"/>
  <c r="P228" i="20"/>
  <c r="H228" i="20"/>
  <c r="E228" i="20"/>
  <c r="D228" i="20"/>
  <c r="B228" i="20"/>
  <c r="P227" i="20"/>
  <c r="H227" i="20"/>
  <c r="E227" i="20"/>
  <c r="D227" i="20"/>
  <c r="B227" i="20"/>
  <c r="P226" i="20"/>
  <c r="H226" i="20"/>
  <c r="E226" i="20"/>
  <c r="D226" i="20"/>
  <c r="B226" i="20"/>
  <c r="P225" i="20"/>
  <c r="H225" i="20"/>
  <c r="E225" i="20"/>
  <c r="D225" i="20"/>
  <c r="B225" i="20"/>
  <c r="P224" i="20"/>
  <c r="H224" i="20"/>
  <c r="E224" i="20"/>
  <c r="D224" i="20"/>
  <c r="B224" i="20"/>
  <c r="P223" i="20"/>
  <c r="H223" i="20"/>
  <c r="E223" i="20"/>
  <c r="D223" i="20"/>
  <c r="B223" i="20"/>
  <c r="P222" i="20"/>
  <c r="H222" i="20"/>
  <c r="E222" i="20"/>
  <c r="D222" i="20"/>
  <c r="B222" i="20"/>
  <c r="P221" i="20"/>
  <c r="H221" i="20"/>
  <c r="E221" i="20"/>
  <c r="D221" i="20"/>
  <c r="B221" i="20"/>
  <c r="P220" i="20"/>
  <c r="H220" i="20"/>
  <c r="E220" i="20"/>
  <c r="D220" i="20"/>
  <c r="B220" i="20"/>
  <c r="P219" i="20"/>
  <c r="H219" i="20"/>
  <c r="E219" i="20"/>
  <c r="D219" i="20"/>
  <c r="B219" i="20"/>
  <c r="P218" i="20"/>
  <c r="H218" i="20"/>
  <c r="E218" i="20"/>
  <c r="D218" i="20"/>
  <c r="B218" i="20"/>
  <c r="P217" i="20"/>
  <c r="H217" i="20"/>
  <c r="E217" i="20"/>
  <c r="D217" i="20"/>
  <c r="B217" i="20"/>
  <c r="P216" i="20"/>
  <c r="H216" i="20"/>
  <c r="E216" i="20"/>
  <c r="D216" i="20"/>
  <c r="B216" i="20"/>
  <c r="P215" i="20"/>
  <c r="H215" i="20"/>
  <c r="E215" i="20"/>
  <c r="D215" i="20"/>
  <c r="B215" i="20"/>
  <c r="P214" i="20"/>
  <c r="H214" i="20"/>
  <c r="E214" i="20"/>
  <c r="D214" i="20"/>
  <c r="B214" i="20"/>
  <c r="P213" i="20"/>
  <c r="H213" i="20"/>
  <c r="E213" i="20"/>
  <c r="D213" i="20"/>
  <c r="B213" i="20"/>
  <c r="P212" i="20"/>
  <c r="H212" i="20"/>
  <c r="E212" i="20"/>
  <c r="D212" i="20"/>
  <c r="B212" i="20"/>
  <c r="P211" i="20"/>
  <c r="H211" i="20"/>
  <c r="E211" i="20"/>
  <c r="D211" i="20"/>
  <c r="B211" i="20"/>
  <c r="P210" i="20"/>
  <c r="H210" i="20"/>
  <c r="E210" i="20"/>
  <c r="D210" i="20"/>
  <c r="B210" i="20"/>
  <c r="P209" i="20"/>
  <c r="H209" i="20"/>
  <c r="E209" i="20"/>
  <c r="D209" i="20"/>
  <c r="B209" i="20"/>
  <c r="P208" i="20"/>
  <c r="H208" i="20"/>
  <c r="E208" i="20"/>
  <c r="D208" i="20"/>
  <c r="B208" i="20"/>
  <c r="P207" i="20"/>
  <c r="H207" i="20"/>
  <c r="E207" i="20"/>
  <c r="D207" i="20"/>
  <c r="B207" i="20"/>
  <c r="P206" i="20"/>
  <c r="H206" i="20"/>
  <c r="E206" i="20"/>
  <c r="D206" i="20"/>
  <c r="B206" i="20"/>
  <c r="P205" i="20"/>
  <c r="H205" i="20"/>
  <c r="E205" i="20"/>
  <c r="D205" i="20"/>
  <c r="B205" i="20"/>
  <c r="P204" i="20"/>
  <c r="H204" i="20"/>
  <c r="E204" i="20"/>
  <c r="D204" i="20"/>
  <c r="B204" i="20"/>
  <c r="P203" i="20"/>
  <c r="H203" i="20"/>
  <c r="E203" i="20"/>
  <c r="D203" i="20"/>
  <c r="B203" i="20"/>
  <c r="P202" i="20"/>
  <c r="H202" i="20"/>
  <c r="E202" i="20"/>
  <c r="D202" i="20"/>
  <c r="B202" i="20"/>
  <c r="P201" i="20"/>
  <c r="H201" i="20"/>
  <c r="E201" i="20"/>
  <c r="D201" i="20"/>
  <c r="B201" i="20"/>
  <c r="P200" i="20"/>
  <c r="H200" i="20"/>
  <c r="E200" i="20"/>
  <c r="D200" i="20"/>
  <c r="B200" i="20"/>
  <c r="P199" i="20"/>
  <c r="H199" i="20"/>
  <c r="E199" i="20"/>
  <c r="D199" i="20"/>
  <c r="B199" i="20"/>
  <c r="P198" i="20"/>
  <c r="H198" i="20"/>
  <c r="E198" i="20"/>
  <c r="D198" i="20"/>
  <c r="B198" i="20"/>
  <c r="P197" i="20"/>
  <c r="H197" i="20"/>
  <c r="E197" i="20"/>
  <c r="D197" i="20"/>
  <c r="B197" i="20"/>
  <c r="P196" i="20"/>
  <c r="H196" i="20"/>
  <c r="E196" i="20"/>
  <c r="D196" i="20"/>
  <c r="B196" i="20"/>
  <c r="P195" i="20"/>
  <c r="H195" i="20"/>
  <c r="E195" i="20"/>
  <c r="D195" i="20"/>
  <c r="B195" i="20"/>
  <c r="P194" i="20"/>
  <c r="H194" i="20"/>
  <c r="E194" i="20"/>
  <c r="D194" i="20"/>
  <c r="B194" i="20"/>
  <c r="P193" i="20"/>
  <c r="H193" i="20"/>
  <c r="E193" i="20"/>
  <c r="D193" i="20"/>
  <c r="B193" i="20"/>
  <c r="P192" i="20"/>
  <c r="H192" i="20"/>
  <c r="E192" i="20"/>
  <c r="D192" i="20"/>
  <c r="B192" i="20"/>
  <c r="P191" i="20"/>
  <c r="H191" i="20"/>
  <c r="E191" i="20"/>
  <c r="D191" i="20"/>
  <c r="B191" i="20"/>
  <c r="P190" i="20"/>
  <c r="H190" i="20"/>
  <c r="E190" i="20"/>
  <c r="D190" i="20"/>
  <c r="B190" i="20"/>
  <c r="P189" i="20"/>
  <c r="H189" i="20"/>
  <c r="E189" i="20"/>
  <c r="D189" i="20"/>
  <c r="B189" i="20"/>
  <c r="P188" i="20"/>
  <c r="H188" i="20"/>
  <c r="E188" i="20"/>
  <c r="D188" i="20"/>
  <c r="B188" i="20"/>
  <c r="P187" i="20"/>
  <c r="H187" i="20"/>
  <c r="E187" i="20"/>
  <c r="D187" i="20"/>
  <c r="B187" i="20"/>
  <c r="P186" i="20"/>
  <c r="H186" i="20"/>
  <c r="E186" i="20"/>
  <c r="D186" i="20"/>
  <c r="B186" i="20"/>
  <c r="P185" i="20"/>
  <c r="H185" i="20"/>
  <c r="E185" i="20"/>
  <c r="D185" i="20"/>
  <c r="B185" i="20"/>
  <c r="P184" i="20"/>
  <c r="H184" i="20"/>
  <c r="E184" i="20"/>
  <c r="D184" i="20"/>
  <c r="B184" i="20"/>
  <c r="P183" i="20"/>
  <c r="H183" i="20"/>
  <c r="E183" i="20"/>
  <c r="D183" i="20"/>
  <c r="B183" i="20"/>
  <c r="P182" i="20"/>
  <c r="H182" i="20"/>
  <c r="E182" i="20"/>
  <c r="D182" i="20"/>
  <c r="B182" i="20"/>
  <c r="P181" i="20"/>
  <c r="H181" i="20"/>
  <c r="E181" i="20"/>
  <c r="D181" i="20"/>
  <c r="B181" i="20"/>
  <c r="P180" i="20"/>
  <c r="H180" i="20"/>
  <c r="E180" i="20"/>
  <c r="D180" i="20"/>
  <c r="B180" i="20"/>
  <c r="P179" i="20"/>
  <c r="H179" i="20"/>
  <c r="E179" i="20"/>
  <c r="D179" i="20"/>
  <c r="B179" i="20"/>
  <c r="P178" i="20"/>
  <c r="H178" i="20"/>
  <c r="E178" i="20"/>
  <c r="D178" i="20"/>
  <c r="B178" i="20"/>
  <c r="P177" i="20"/>
  <c r="H177" i="20"/>
  <c r="E177" i="20"/>
  <c r="D177" i="20"/>
  <c r="B177" i="20"/>
  <c r="P176" i="20"/>
  <c r="H176" i="20"/>
  <c r="E176" i="20"/>
  <c r="D176" i="20"/>
  <c r="B176" i="20"/>
  <c r="P175" i="20"/>
  <c r="H175" i="20"/>
  <c r="E175" i="20"/>
  <c r="D175" i="20"/>
  <c r="B175" i="20"/>
  <c r="P174" i="20"/>
  <c r="H174" i="20"/>
  <c r="E174" i="20"/>
  <c r="D174" i="20"/>
  <c r="B174" i="20"/>
  <c r="P173" i="20"/>
  <c r="H173" i="20"/>
  <c r="E173" i="20"/>
  <c r="D173" i="20"/>
  <c r="B173" i="20"/>
  <c r="P172" i="20"/>
  <c r="H172" i="20"/>
  <c r="E172" i="20"/>
  <c r="D172" i="20"/>
  <c r="B172" i="20"/>
  <c r="P171" i="20"/>
  <c r="H171" i="20"/>
  <c r="E171" i="20"/>
  <c r="D171" i="20"/>
  <c r="B171" i="20"/>
  <c r="P170" i="20"/>
  <c r="H170" i="20"/>
  <c r="E170" i="20"/>
  <c r="D170" i="20"/>
  <c r="B170" i="20"/>
  <c r="P169" i="20"/>
  <c r="H169" i="20"/>
  <c r="E169" i="20"/>
  <c r="D169" i="20"/>
  <c r="B169" i="20"/>
  <c r="P168" i="20"/>
  <c r="H168" i="20"/>
  <c r="E168" i="20"/>
  <c r="D168" i="20"/>
  <c r="B168" i="20"/>
  <c r="P167" i="20"/>
  <c r="H167" i="20"/>
  <c r="E167" i="20"/>
  <c r="D167" i="20"/>
  <c r="B167" i="20"/>
  <c r="P166" i="20"/>
  <c r="H166" i="20"/>
  <c r="E166" i="20"/>
  <c r="D166" i="20"/>
  <c r="B166" i="20"/>
  <c r="P165" i="20"/>
  <c r="H165" i="20"/>
  <c r="E165" i="20"/>
  <c r="D165" i="20"/>
  <c r="B165" i="20"/>
  <c r="P164" i="20"/>
  <c r="H164" i="20"/>
  <c r="E164" i="20"/>
  <c r="D164" i="20"/>
  <c r="B164" i="20"/>
  <c r="P163" i="20"/>
  <c r="H163" i="20"/>
  <c r="E163" i="20"/>
  <c r="D163" i="20"/>
  <c r="B163" i="20"/>
  <c r="P162" i="20"/>
  <c r="H162" i="20"/>
  <c r="E162" i="20"/>
  <c r="D162" i="20"/>
  <c r="B162" i="20"/>
  <c r="P161" i="20"/>
  <c r="H161" i="20"/>
  <c r="E161" i="20"/>
  <c r="D161" i="20"/>
  <c r="B161" i="20"/>
  <c r="P160" i="20"/>
  <c r="H160" i="20"/>
  <c r="E160" i="20"/>
  <c r="D160" i="20"/>
  <c r="B160" i="20"/>
  <c r="P159" i="20"/>
  <c r="H159" i="20"/>
  <c r="E159" i="20"/>
  <c r="D159" i="20"/>
  <c r="B159" i="20"/>
  <c r="P158" i="20"/>
  <c r="H158" i="20"/>
  <c r="E158" i="20"/>
  <c r="D158" i="20"/>
  <c r="B158" i="20"/>
  <c r="P157" i="20"/>
  <c r="H157" i="20"/>
  <c r="E157" i="20"/>
  <c r="D157" i="20"/>
  <c r="B157" i="20"/>
  <c r="P156" i="20"/>
  <c r="H156" i="20"/>
  <c r="E156" i="20"/>
  <c r="D156" i="20"/>
  <c r="B156" i="20"/>
  <c r="P155" i="20"/>
  <c r="H155" i="20"/>
  <c r="E155" i="20"/>
  <c r="D155" i="20"/>
  <c r="B155" i="20"/>
  <c r="P154" i="20"/>
  <c r="H154" i="20"/>
  <c r="E154" i="20"/>
  <c r="D154" i="20"/>
  <c r="B154" i="20"/>
  <c r="P153" i="20"/>
  <c r="H153" i="20"/>
  <c r="E153" i="20"/>
  <c r="D153" i="20"/>
  <c r="B153" i="20"/>
  <c r="P152" i="20"/>
  <c r="H152" i="20"/>
  <c r="E152" i="20"/>
  <c r="D152" i="20"/>
  <c r="B152" i="20"/>
  <c r="P151" i="20"/>
  <c r="H151" i="20"/>
  <c r="E151" i="20"/>
  <c r="D151" i="20"/>
  <c r="B151" i="20"/>
  <c r="P150" i="20"/>
  <c r="H150" i="20"/>
  <c r="E150" i="20"/>
  <c r="D150" i="20"/>
  <c r="B150" i="20"/>
  <c r="P149" i="20"/>
  <c r="H149" i="20"/>
  <c r="E149" i="20"/>
  <c r="D149" i="20"/>
  <c r="B149" i="20"/>
  <c r="P148" i="20"/>
  <c r="H148" i="20"/>
  <c r="E148" i="20"/>
  <c r="D148" i="20"/>
  <c r="B148" i="20"/>
  <c r="P147" i="20"/>
  <c r="H147" i="20"/>
  <c r="E147" i="20"/>
  <c r="D147" i="20"/>
  <c r="B147" i="20"/>
  <c r="P146" i="20"/>
  <c r="H146" i="20"/>
  <c r="E146" i="20"/>
  <c r="D146" i="20"/>
  <c r="B146" i="20"/>
  <c r="P145" i="20"/>
  <c r="H145" i="20"/>
  <c r="E145" i="20"/>
  <c r="D145" i="20"/>
  <c r="B145" i="20"/>
  <c r="P144" i="20"/>
  <c r="H144" i="20"/>
  <c r="E144" i="20"/>
  <c r="D144" i="20"/>
  <c r="B144" i="20"/>
  <c r="P143" i="20"/>
  <c r="H143" i="20"/>
  <c r="E143" i="20"/>
  <c r="D143" i="20"/>
  <c r="B143" i="20"/>
  <c r="P142" i="20"/>
  <c r="H142" i="20"/>
  <c r="E142" i="20"/>
  <c r="D142" i="20"/>
  <c r="B142" i="20"/>
  <c r="P141" i="20"/>
  <c r="H141" i="20"/>
  <c r="E141" i="20"/>
  <c r="D141" i="20"/>
  <c r="B141" i="20"/>
  <c r="P140" i="20"/>
  <c r="H140" i="20"/>
  <c r="E140" i="20"/>
  <c r="D140" i="20"/>
  <c r="B140" i="20"/>
  <c r="P139" i="20"/>
  <c r="H139" i="20"/>
  <c r="E139" i="20"/>
  <c r="D139" i="20"/>
  <c r="B139" i="20"/>
  <c r="P138" i="20"/>
  <c r="H138" i="20"/>
  <c r="E138" i="20"/>
  <c r="D138" i="20"/>
  <c r="B138" i="20"/>
  <c r="P137" i="20"/>
  <c r="H137" i="20"/>
  <c r="E137" i="20"/>
  <c r="D137" i="20"/>
  <c r="B137" i="20"/>
  <c r="P136" i="20"/>
  <c r="H136" i="20"/>
  <c r="E136" i="20"/>
  <c r="D136" i="20"/>
  <c r="B136" i="20"/>
  <c r="P135" i="20"/>
  <c r="H135" i="20"/>
  <c r="E135" i="20"/>
  <c r="D135" i="20"/>
  <c r="B135" i="20"/>
  <c r="P134" i="20"/>
  <c r="H134" i="20"/>
  <c r="E134" i="20"/>
  <c r="D134" i="20"/>
  <c r="B134" i="20"/>
  <c r="P133" i="20"/>
  <c r="H133" i="20"/>
  <c r="E133" i="20"/>
  <c r="D133" i="20"/>
  <c r="B133" i="20"/>
  <c r="P132" i="20"/>
  <c r="H132" i="20"/>
  <c r="E132" i="20"/>
  <c r="D132" i="20"/>
  <c r="B132" i="20"/>
  <c r="P131" i="20"/>
  <c r="H131" i="20"/>
  <c r="E131" i="20"/>
  <c r="D131" i="20"/>
  <c r="B131" i="20"/>
  <c r="P130" i="20"/>
  <c r="H130" i="20"/>
  <c r="E130" i="20"/>
  <c r="D130" i="20"/>
  <c r="B130" i="20"/>
  <c r="P129" i="20"/>
  <c r="H129" i="20"/>
  <c r="E129" i="20"/>
  <c r="D129" i="20"/>
  <c r="B129" i="20"/>
  <c r="P128" i="20"/>
  <c r="H128" i="20"/>
  <c r="E128" i="20"/>
  <c r="D128" i="20"/>
  <c r="B128" i="20"/>
  <c r="P127" i="20"/>
  <c r="H127" i="20"/>
  <c r="E127" i="20"/>
  <c r="D127" i="20"/>
  <c r="B127" i="20"/>
  <c r="P126" i="20"/>
  <c r="H126" i="20"/>
  <c r="E126" i="20"/>
  <c r="D126" i="20"/>
  <c r="B126" i="20"/>
  <c r="P125" i="20"/>
  <c r="H125" i="20"/>
  <c r="E125" i="20"/>
  <c r="D125" i="20"/>
  <c r="B125" i="20"/>
  <c r="P124" i="20"/>
  <c r="H124" i="20"/>
  <c r="E124" i="20"/>
  <c r="D124" i="20"/>
  <c r="B124" i="20"/>
  <c r="P123" i="20"/>
  <c r="H123" i="20"/>
  <c r="E123" i="20"/>
  <c r="D123" i="20"/>
  <c r="B123" i="20"/>
  <c r="P122" i="20"/>
  <c r="H122" i="20"/>
  <c r="E122" i="20"/>
  <c r="D122" i="20"/>
  <c r="B122" i="20"/>
  <c r="P121" i="20"/>
  <c r="H121" i="20"/>
  <c r="E121" i="20"/>
  <c r="D121" i="20"/>
  <c r="B121" i="20"/>
  <c r="P120" i="20"/>
  <c r="H120" i="20"/>
  <c r="E120" i="20"/>
  <c r="D120" i="20"/>
  <c r="B120" i="20"/>
  <c r="P119" i="20"/>
  <c r="H119" i="20"/>
  <c r="E119" i="20"/>
  <c r="D119" i="20"/>
  <c r="B119" i="20"/>
  <c r="P118" i="20"/>
  <c r="H118" i="20"/>
  <c r="E118" i="20"/>
  <c r="D118" i="20"/>
  <c r="B118" i="20"/>
  <c r="P117" i="20"/>
  <c r="H117" i="20"/>
  <c r="E117" i="20"/>
  <c r="D117" i="20"/>
  <c r="B117" i="20"/>
  <c r="P116" i="20"/>
  <c r="H116" i="20"/>
  <c r="E116" i="20"/>
  <c r="D116" i="20"/>
  <c r="B116" i="20"/>
  <c r="P115" i="20"/>
  <c r="H115" i="20"/>
  <c r="E115" i="20"/>
  <c r="D115" i="20"/>
  <c r="B115" i="20"/>
  <c r="P114" i="20"/>
  <c r="H114" i="20"/>
  <c r="E114" i="20"/>
  <c r="D114" i="20"/>
  <c r="B114" i="20"/>
  <c r="P113" i="20"/>
  <c r="H113" i="20"/>
  <c r="E113" i="20"/>
  <c r="D113" i="20"/>
  <c r="B113" i="20"/>
  <c r="P112" i="20"/>
  <c r="H112" i="20"/>
  <c r="E112" i="20"/>
  <c r="D112" i="20"/>
  <c r="B112" i="20"/>
  <c r="P111" i="20"/>
  <c r="H111" i="20"/>
  <c r="E111" i="20"/>
  <c r="D111" i="20"/>
  <c r="B111" i="20"/>
  <c r="P110" i="20"/>
  <c r="H110" i="20"/>
  <c r="E110" i="20"/>
  <c r="D110" i="20"/>
  <c r="B110" i="20"/>
  <c r="P109" i="20"/>
  <c r="H109" i="20"/>
  <c r="E109" i="20"/>
  <c r="D109" i="20"/>
  <c r="B109" i="20"/>
  <c r="P108" i="20"/>
  <c r="H108" i="20"/>
  <c r="E108" i="20"/>
  <c r="D108" i="20"/>
  <c r="B108" i="20"/>
  <c r="P107" i="20"/>
  <c r="H107" i="20"/>
  <c r="E107" i="20"/>
  <c r="D107" i="20"/>
  <c r="B107" i="20"/>
  <c r="P106" i="20"/>
  <c r="H106" i="20"/>
  <c r="E106" i="20"/>
  <c r="D106" i="20"/>
  <c r="B106" i="20"/>
  <c r="P105" i="20"/>
  <c r="H105" i="20"/>
  <c r="E105" i="20"/>
  <c r="D105" i="20"/>
  <c r="B105" i="20"/>
  <c r="P104" i="20"/>
  <c r="H104" i="20"/>
  <c r="E104" i="20"/>
  <c r="D104" i="20"/>
  <c r="B104" i="20"/>
  <c r="P103" i="20"/>
  <c r="H103" i="20"/>
  <c r="E103" i="20"/>
  <c r="D103" i="20"/>
  <c r="B103" i="20"/>
  <c r="P102" i="20"/>
  <c r="H102" i="20"/>
  <c r="E102" i="20"/>
  <c r="D102" i="20"/>
  <c r="B102" i="20"/>
  <c r="P101" i="20"/>
  <c r="H101" i="20"/>
  <c r="E101" i="20"/>
  <c r="D101" i="20"/>
  <c r="B101" i="20"/>
  <c r="P100" i="20"/>
  <c r="H100" i="20"/>
  <c r="E100" i="20"/>
  <c r="D100" i="20"/>
  <c r="B100" i="20"/>
  <c r="P99" i="20"/>
  <c r="H99" i="20"/>
  <c r="E99" i="20"/>
  <c r="D99" i="20"/>
  <c r="B99" i="20"/>
  <c r="P98" i="20"/>
  <c r="H98" i="20"/>
  <c r="E98" i="20"/>
  <c r="D98" i="20"/>
  <c r="B98" i="20"/>
  <c r="P97" i="20"/>
  <c r="H97" i="20"/>
  <c r="E97" i="20"/>
  <c r="D97" i="20"/>
  <c r="B97" i="20"/>
  <c r="P96" i="20"/>
  <c r="H96" i="20"/>
  <c r="E96" i="20"/>
  <c r="D96" i="20"/>
  <c r="B96" i="20"/>
  <c r="P95" i="20"/>
  <c r="H95" i="20"/>
  <c r="E95" i="20"/>
  <c r="D95" i="20"/>
  <c r="B95" i="20"/>
  <c r="P94" i="20"/>
  <c r="H94" i="20"/>
  <c r="E94" i="20"/>
  <c r="D94" i="20"/>
  <c r="B94" i="20"/>
  <c r="P93" i="20"/>
  <c r="H93" i="20"/>
  <c r="E93" i="20"/>
  <c r="D93" i="20"/>
  <c r="B93" i="20"/>
  <c r="P92" i="20"/>
  <c r="H92" i="20"/>
  <c r="E92" i="20"/>
  <c r="D92" i="20"/>
  <c r="B92" i="20"/>
  <c r="P91" i="20"/>
  <c r="H91" i="20"/>
  <c r="E91" i="20"/>
  <c r="D91" i="20"/>
  <c r="B91" i="20"/>
  <c r="P90" i="20"/>
  <c r="H90" i="20"/>
  <c r="E90" i="20"/>
  <c r="D90" i="20"/>
  <c r="B90" i="20"/>
  <c r="P89" i="20"/>
  <c r="H89" i="20"/>
  <c r="E89" i="20"/>
  <c r="D89" i="20"/>
  <c r="B89" i="20"/>
  <c r="P88" i="20"/>
  <c r="H88" i="20"/>
  <c r="E88" i="20"/>
  <c r="D88" i="20"/>
  <c r="B88" i="20"/>
  <c r="P87" i="20"/>
  <c r="H87" i="20"/>
  <c r="E87" i="20"/>
  <c r="D87" i="20"/>
  <c r="B87" i="20"/>
  <c r="P86" i="20"/>
  <c r="H86" i="20"/>
  <c r="E86" i="20"/>
  <c r="D86" i="20"/>
  <c r="B86" i="20"/>
  <c r="P85" i="20"/>
  <c r="H85" i="20"/>
  <c r="E85" i="20"/>
  <c r="D85" i="20"/>
  <c r="B85" i="20"/>
  <c r="P84" i="20"/>
  <c r="H84" i="20"/>
  <c r="E84" i="20"/>
  <c r="D84" i="20"/>
  <c r="B84" i="20"/>
  <c r="P83" i="20"/>
  <c r="H83" i="20"/>
  <c r="E83" i="20"/>
  <c r="D83" i="20"/>
  <c r="B83" i="20"/>
  <c r="P82" i="20"/>
  <c r="H82" i="20"/>
  <c r="E82" i="20"/>
  <c r="D82" i="20"/>
  <c r="B82" i="20"/>
  <c r="P81" i="20"/>
  <c r="H81" i="20"/>
  <c r="E81" i="20"/>
  <c r="D81" i="20"/>
  <c r="B81" i="20"/>
  <c r="P80" i="20"/>
  <c r="H80" i="20"/>
  <c r="E80" i="20"/>
  <c r="D80" i="20"/>
  <c r="B80" i="20"/>
  <c r="P79" i="20"/>
  <c r="H79" i="20"/>
  <c r="E79" i="20"/>
  <c r="D79" i="20"/>
  <c r="B79" i="20"/>
  <c r="P78" i="20"/>
  <c r="H78" i="20"/>
  <c r="E78" i="20"/>
  <c r="D78" i="20"/>
  <c r="B78" i="20"/>
  <c r="P77" i="20"/>
  <c r="H77" i="20"/>
  <c r="E77" i="20"/>
  <c r="D77" i="20"/>
  <c r="B77" i="20"/>
  <c r="P76" i="20"/>
  <c r="H76" i="20"/>
  <c r="E76" i="20"/>
  <c r="D76" i="20"/>
  <c r="B76" i="20"/>
  <c r="P75" i="20"/>
  <c r="H75" i="20"/>
  <c r="E75" i="20"/>
  <c r="D75" i="20"/>
  <c r="B75" i="20"/>
  <c r="P74" i="20"/>
  <c r="H74" i="20"/>
  <c r="E74" i="20"/>
  <c r="D74" i="20"/>
  <c r="B74" i="20"/>
  <c r="P73" i="20"/>
  <c r="H73" i="20"/>
  <c r="E73" i="20"/>
  <c r="D73" i="20"/>
  <c r="B73" i="20"/>
  <c r="P72" i="20"/>
  <c r="H72" i="20"/>
  <c r="E72" i="20"/>
  <c r="D72" i="20"/>
  <c r="B72" i="20"/>
  <c r="P71" i="20"/>
  <c r="H71" i="20"/>
  <c r="E71" i="20"/>
  <c r="D71" i="20"/>
  <c r="B71" i="20"/>
  <c r="P70" i="20"/>
  <c r="H70" i="20"/>
  <c r="E70" i="20"/>
  <c r="D70" i="20"/>
  <c r="B70" i="20"/>
  <c r="P69" i="20"/>
  <c r="H69" i="20"/>
  <c r="E69" i="20"/>
  <c r="D69" i="20"/>
  <c r="B69" i="20"/>
  <c r="P68" i="20"/>
  <c r="H68" i="20"/>
  <c r="E68" i="20"/>
  <c r="D68" i="20"/>
  <c r="B68" i="20"/>
  <c r="P67" i="20"/>
  <c r="H67" i="20"/>
  <c r="E67" i="20"/>
  <c r="D67" i="20"/>
  <c r="B67" i="20"/>
  <c r="P66" i="20"/>
  <c r="H66" i="20"/>
  <c r="E66" i="20"/>
  <c r="D66" i="20"/>
  <c r="B66" i="20"/>
  <c r="E408" i="5"/>
  <c r="B408" i="5"/>
  <c r="E407" i="5"/>
  <c r="B407" i="5"/>
  <c r="E406" i="5"/>
  <c r="B406" i="5"/>
  <c r="E405" i="5"/>
  <c r="B405" i="5"/>
  <c r="E404" i="5"/>
  <c r="B404" i="5"/>
  <c r="E403" i="5"/>
  <c r="B403" i="5"/>
  <c r="E402" i="5"/>
  <c r="B402" i="5"/>
  <c r="E401" i="5"/>
  <c r="B401" i="5"/>
  <c r="E400" i="5"/>
  <c r="B400" i="5"/>
  <c r="E399" i="5"/>
  <c r="B399" i="5"/>
  <c r="E398" i="5"/>
  <c r="B398" i="5"/>
  <c r="E397" i="5"/>
  <c r="B397" i="5"/>
  <c r="E396" i="5"/>
  <c r="B396" i="5"/>
  <c r="E395" i="5"/>
  <c r="B395" i="5"/>
  <c r="E394" i="5"/>
  <c r="B394" i="5"/>
  <c r="E393" i="5"/>
  <c r="B393" i="5"/>
  <c r="E392" i="5"/>
  <c r="B392" i="5"/>
  <c r="E391" i="5"/>
  <c r="B391" i="5"/>
  <c r="E390" i="5"/>
  <c r="B390" i="5"/>
  <c r="E389" i="5"/>
  <c r="B389" i="5"/>
  <c r="E388" i="5"/>
  <c r="B388" i="5"/>
  <c r="E387" i="5"/>
  <c r="B387" i="5"/>
  <c r="E386" i="5"/>
  <c r="B386" i="5"/>
  <c r="E385" i="5"/>
  <c r="B385" i="5"/>
  <c r="E384" i="5"/>
  <c r="B384" i="5"/>
  <c r="E383" i="5"/>
  <c r="B383" i="5"/>
  <c r="E382" i="5"/>
  <c r="B382" i="5"/>
  <c r="E381" i="5"/>
  <c r="B381" i="5"/>
  <c r="E380" i="5"/>
  <c r="B380" i="5"/>
  <c r="E379" i="5"/>
  <c r="B379" i="5"/>
  <c r="E378" i="5"/>
  <c r="B378" i="5"/>
  <c r="E377" i="5"/>
  <c r="B377" i="5"/>
  <c r="E376" i="5"/>
  <c r="B376" i="5"/>
  <c r="E375" i="5"/>
  <c r="B375" i="5"/>
  <c r="E374" i="5"/>
  <c r="B374" i="5"/>
  <c r="E373" i="5"/>
  <c r="B373" i="5"/>
  <c r="E372" i="5"/>
  <c r="B372" i="5"/>
  <c r="E371" i="5"/>
  <c r="B371" i="5"/>
  <c r="E370" i="5"/>
  <c r="B370" i="5"/>
  <c r="E369" i="5"/>
  <c r="B369" i="5"/>
  <c r="E368" i="5"/>
  <c r="B368" i="5"/>
  <c r="E367" i="5"/>
  <c r="B367" i="5"/>
  <c r="E366" i="5"/>
  <c r="B366" i="5"/>
  <c r="E365" i="5"/>
  <c r="B365" i="5"/>
  <c r="E364" i="5"/>
  <c r="B364" i="5"/>
  <c r="E363" i="5"/>
  <c r="B363" i="5"/>
  <c r="E362" i="5"/>
  <c r="B362" i="5"/>
  <c r="E361" i="5"/>
  <c r="B361" i="5"/>
  <c r="E360" i="5"/>
  <c r="B360" i="5"/>
  <c r="E359" i="5"/>
  <c r="B359" i="5"/>
  <c r="E358" i="5"/>
  <c r="B358" i="5"/>
  <c r="E357" i="5"/>
  <c r="B357" i="5"/>
  <c r="E356" i="5"/>
  <c r="B356" i="5"/>
  <c r="E355" i="5"/>
  <c r="B355" i="5"/>
  <c r="E354" i="5"/>
  <c r="B354" i="5"/>
  <c r="E353" i="5"/>
  <c r="B353" i="5"/>
  <c r="E352" i="5"/>
  <c r="B352" i="5"/>
  <c r="E351" i="5"/>
  <c r="B351" i="5"/>
  <c r="E350" i="5"/>
  <c r="B350" i="5"/>
  <c r="E349" i="5"/>
  <c r="B349" i="5"/>
  <c r="E348" i="5"/>
  <c r="B348" i="5"/>
  <c r="E347" i="5"/>
  <c r="B347" i="5"/>
  <c r="E346" i="5"/>
  <c r="B346" i="5"/>
  <c r="E345" i="5"/>
  <c r="B345" i="5"/>
  <c r="E344" i="5"/>
  <c r="B344" i="5"/>
  <c r="E343" i="5"/>
  <c r="B343" i="5"/>
  <c r="E342" i="5"/>
  <c r="B342" i="5"/>
  <c r="E341" i="5"/>
  <c r="B341" i="5"/>
  <c r="E340" i="5"/>
  <c r="B340" i="5"/>
  <c r="E339" i="5"/>
  <c r="B339" i="5"/>
  <c r="E338" i="5"/>
  <c r="B338" i="5"/>
  <c r="E337" i="5"/>
  <c r="B337" i="5"/>
  <c r="E336" i="5"/>
  <c r="B336" i="5"/>
  <c r="E335" i="5"/>
  <c r="B335" i="5"/>
  <c r="E334" i="5"/>
  <c r="B334" i="5"/>
  <c r="E333" i="5"/>
  <c r="B333" i="5"/>
  <c r="E332" i="5"/>
  <c r="B332" i="5"/>
  <c r="E331" i="5"/>
  <c r="B331" i="5"/>
  <c r="E330" i="5"/>
  <c r="B330" i="5"/>
  <c r="E329" i="5"/>
  <c r="B329" i="5"/>
  <c r="E328" i="5"/>
  <c r="B328" i="5"/>
  <c r="E327" i="5"/>
  <c r="B327" i="5"/>
  <c r="E326" i="5"/>
  <c r="B326" i="5"/>
  <c r="E325" i="5"/>
  <c r="B325" i="5"/>
  <c r="E324" i="5"/>
  <c r="B324" i="5"/>
  <c r="E323" i="5"/>
  <c r="B323" i="5"/>
  <c r="E322" i="5"/>
  <c r="B322" i="5"/>
  <c r="E321" i="5"/>
  <c r="B321" i="5"/>
  <c r="E320" i="5"/>
  <c r="B320" i="5"/>
  <c r="E319" i="5"/>
  <c r="B319" i="5"/>
  <c r="E318" i="5"/>
  <c r="B318" i="5"/>
  <c r="E317" i="5"/>
  <c r="B317" i="5"/>
  <c r="E316" i="5"/>
  <c r="B316" i="5"/>
  <c r="E315" i="5"/>
  <c r="B315" i="5"/>
  <c r="E314" i="5"/>
  <c r="B314" i="5"/>
  <c r="E313" i="5"/>
  <c r="B313" i="5"/>
  <c r="E312" i="5"/>
  <c r="B312" i="5"/>
  <c r="E311" i="5"/>
  <c r="B311" i="5"/>
  <c r="E310" i="5"/>
  <c r="B310" i="5"/>
  <c r="E309" i="5"/>
  <c r="B309" i="5"/>
  <c r="E308" i="5"/>
  <c r="B308" i="5"/>
  <c r="E307" i="5"/>
  <c r="B307" i="5"/>
  <c r="E306" i="5"/>
  <c r="B306" i="5"/>
  <c r="E305" i="5"/>
  <c r="B305" i="5"/>
  <c r="E304" i="5"/>
  <c r="B304" i="5"/>
  <c r="E303" i="5"/>
  <c r="B303" i="5"/>
  <c r="E302" i="5"/>
  <c r="B302" i="5"/>
  <c r="E301" i="5"/>
  <c r="B301" i="5"/>
  <c r="E300" i="5"/>
  <c r="B300" i="5"/>
  <c r="E299" i="5"/>
  <c r="B299" i="5"/>
  <c r="E298" i="5"/>
  <c r="B298" i="5"/>
  <c r="E297" i="5"/>
  <c r="B297" i="5"/>
  <c r="E296" i="5"/>
  <c r="B296" i="5"/>
  <c r="E295" i="5"/>
  <c r="B295" i="5"/>
  <c r="E294" i="5"/>
  <c r="B294" i="5"/>
  <c r="E293" i="5"/>
  <c r="B293" i="5"/>
  <c r="E292" i="5"/>
  <c r="B292" i="5"/>
  <c r="E291" i="5"/>
  <c r="B291" i="5"/>
  <c r="E290" i="5"/>
  <c r="B290" i="5"/>
  <c r="E289" i="5"/>
  <c r="B289" i="5"/>
  <c r="E288" i="5"/>
  <c r="B288" i="5"/>
  <c r="E287" i="5"/>
  <c r="B287" i="5"/>
  <c r="E286" i="5"/>
  <c r="B286" i="5"/>
  <c r="E285" i="5"/>
  <c r="B285" i="5"/>
  <c r="E284" i="5"/>
  <c r="B284" i="5"/>
  <c r="E283" i="5"/>
  <c r="B283" i="5"/>
  <c r="E282" i="5"/>
  <c r="B282" i="5"/>
  <c r="E281" i="5"/>
  <c r="B281" i="5"/>
  <c r="E280" i="5"/>
  <c r="B280" i="5"/>
  <c r="E279" i="5"/>
  <c r="B279" i="5"/>
  <c r="E278" i="5"/>
  <c r="B278" i="5"/>
  <c r="E277" i="5"/>
  <c r="B277" i="5"/>
  <c r="E276" i="5"/>
  <c r="B276" i="5"/>
  <c r="E275" i="5"/>
  <c r="B275" i="5"/>
  <c r="E274" i="5"/>
  <c r="B274" i="5"/>
  <c r="E273" i="5"/>
  <c r="B273" i="5"/>
  <c r="E272" i="5"/>
  <c r="B272" i="5"/>
  <c r="E271" i="5"/>
  <c r="B271" i="5"/>
  <c r="E270" i="5"/>
  <c r="B270" i="5"/>
  <c r="E269" i="5"/>
  <c r="B269" i="5"/>
  <c r="E268" i="5"/>
  <c r="B268" i="5"/>
  <c r="E267" i="5"/>
  <c r="B267" i="5"/>
  <c r="E266" i="5"/>
  <c r="B266" i="5"/>
  <c r="E265" i="5"/>
  <c r="B265" i="5"/>
  <c r="E264" i="5"/>
  <c r="B264" i="5"/>
  <c r="E263" i="5"/>
  <c r="B263" i="5"/>
  <c r="E262" i="5"/>
  <c r="B262" i="5"/>
  <c r="E261" i="5"/>
  <c r="B261" i="5"/>
  <c r="E260" i="5"/>
  <c r="B260" i="5"/>
  <c r="E259" i="5"/>
  <c r="B259" i="5"/>
  <c r="E258" i="5"/>
  <c r="B258" i="5"/>
  <c r="E257" i="5"/>
  <c r="B257" i="5"/>
  <c r="E256" i="5"/>
  <c r="B256" i="5"/>
  <c r="E255" i="5"/>
  <c r="B255" i="5"/>
  <c r="E254" i="5"/>
  <c r="B254" i="5"/>
  <c r="E253" i="5"/>
  <c r="B253" i="5"/>
  <c r="E252" i="5"/>
  <c r="B252" i="5"/>
  <c r="E251" i="5"/>
  <c r="B251" i="5"/>
  <c r="E250" i="5"/>
  <c r="B250" i="5"/>
  <c r="E249" i="5"/>
  <c r="B249" i="5"/>
  <c r="E248" i="5"/>
  <c r="B248" i="5"/>
  <c r="E247" i="5"/>
  <c r="B247" i="5"/>
  <c r="E246" i="5"/>
  <c r="B246" i="5"/>
  <c r="E245" i="5"/>
  <c r="B245" i="5"/>
  <c r="E244" i="5"/>
  <c r="B244" i="5"/>
  <c r="E243" i="5"/>
  <c r="B243" i="5"/>
  <c r="E242" i="5"/>
  <c r="B242" i="5"/>
  <c r="E241" i="5"/>
  <c r="B241" i="5"/>
  <c r="E240" i="5"/>
  <c r="B240" i="5"/>
  <c r="E239" i="5"/>
  <c r="B239" i="5"/>
  <c r="E238" i="5"/>
  <c r="B238" i="5"/>
  <c r="E237" i="5"/>
  <c r="B237" i="5"/>
  <c r="E236" i="5"/>
  <c r="B236" i="5"/>
  <c r="E235" i="5"/>
  <c r="B235" i="5"/>
  <c r="E234" i="5"/>
  <c r="B234" i="5"/>
  <c r="E233" i="5"/>
  <c r="B233" i="5"/>
  <c r="E232" i="5"/>
  <c r="B232" i="5"/>
  <c r="E231" i="5"/>
  <c r="B231" i="5"/>
  <c r="E230" i="5"/>
  <c r="B230" i="5"/>
  <c r="E229" i="5"/>
  <c r="B229" i="5"/>
  <c r="E228" i="5"/>
  <c r="B228" i="5"/>
  <c r="E227" i="5"/>
  <c r="B227" i="5"/>
  <c r="E226" i="5"/>
  <c r="B226" i="5"/>
  <c r="E225" i="5"/>
  <c r="B225" i="5"/>
  <c r="E224" i="5"/>
  <c r="B224" i="5"/>
  <c r="E223" i="5"/>
  <c r="B223" i="5"/>
  <c r="E222" i="5"/>
  <c r="B222" i="5"/>
  <c r="E221" i="5"/>
  <c r="B221" i="5"/>
  <c r="E220" i="5"/>
  <c r="B220" i="5"/>
  <c r="E219" i="5"/>
  <c r="B219" i="5"/>
  <c r="E218" i="5"/>
  <c r="B218" i="5"/>
  <c r="E217" i="5"/>
  <c r="B217" i="5"/>
  <c r="E216" i="5"/>
  <c r="B216" i="5"/>
  <c r="E215" i="5"/>
  <c r="B215" i="5"/>
  <c r="E214" i="5"/>
  <c r="B214" i="5"/>
  <c r="E213" i="5"/>
  <c r="B213" i="5"/>
  <c r="E212" i="5"/>
  <c r="B212" i="5"/>
  <c r="E211" i="5"/>
  <c r="B211" i="5"/>
  <c r="E210" i="5"/>
  <c r="B210" i="5"/>
  <c r="E209" i="5"/>
  <c r="B209" i="5"/>
  <c r="E208" i="5"/>
  <c r="B208" i="5"/>
  <c r="E207" i="5"/>
  <c r="B207" i="5"/>
  <c r="E206" i="5"/>
  <c r="B206" i="5"/>
  <c r="E205" i="5"/>
  <c r="B205" i="5"/>
  <c r="E204" i="5"/>
  <c r="B204" i="5"/>
  <c r="E203" i="5"/>
  <c r="B203" i="5"/>
  <c r="E202" i="5"/>
  <c r="B202" i="5"/>
  <c r="E201" i="5"/>
  <c r="B201" i="5"/>
  <c r="E200" i="5"/>
  <c r="B200" i="5"/>
  <c r="E199" i="5"/>
  <c r="B199" i="5"/>
  <c r="E198" i="5"/>
  <c r="B198" i="5"/>
  <c r="E197" i="5"/>
  <c r="B197" i="5"/>
  <c r="E196" i="5"/>
  <c r="B196" i="5"/>
  <c r="E195" i="5"/>
  <c r="B195" i="5"/>
  <c r="E194" i="5"/>
  <c r="B194" i="5"/>
  <c r="E193" i="5"/>
  <c r="B193" i="5"/>
  <c r="E192" i="5"/>
  <c r="B192" i="5"/>
  <c r="E191" i="5"/>
  <c r="B191" i="5"/>
  <c r="E190" i="5"/>
  <c r="B190" i="5"/>
  <c r="E189" i="5"/>
  <c r="B189" i="5"/>
  <c r="E188" i="5"/>
  <c r="B188" i="5"/>
  <c r="E187" i="5"/>
  <c r="B187" i="5"/>
  <c r="E186" i="5"/>
  <c r="B186" i="5"/>
  <c r="E185" i="5"/>
  <c r="B185" i="5"/>
  <c r="E184" i="5"/>
  <c r="B184" i="5"/>
  <c r="E183" i="5"/>
  <c r="B183" i="5"/>
  <c r="E182" i="5"/>
  <c r="B182" i="5"/>
  <c r="E181" i="5"/>
  <c r="B181" i="5"/>
  <c r="E180" i="5"/>
  <c r="B180" i="5"/>
  <c r="E179" i="5"/>
  <c r="B179" i="5"/>
  <c r="E178" i="5"/>
  <c r="B178" i="5"/>
  <c r="E177" i="5"/>
  <c r="B177" i="5"/>
  <c r="E176" i="5"/>
  <c r="B176" i="5"/>
  <c r="E175" i="5"/>
  <c r="B175" i="5"/>
  <c r="E174" i="5"/>
  <c r="B174" i="5"/>
  <c r="E173" i="5"/>
  <c r="B173" i="5"/>
  <c r="E172" i="5"/>
  <c r="B172" i="5"/>
  <c r="E171" i="5"/>
  <c r="B171" i="5"/>
  <c r="E170" i="5"/>
  <c r="B170" i="5"/>
  <c r="E169" i="5"/>
  <c r="B169" i="5"/>
  <c r="E168" i="5"/>
  <c r="B168" i="5"/>
  <c r="E167" i="5"/>
  <c r="B167" i="5"/>
  <c r="E166" i="5"/>
  <c r="B166" i="5"/>
  <c r="E165" i="5"/>
  <c r="B165" i="5"/>
  <c r="E164" i="5"/>
  <c r="B164" i="5"/>
  <c r="E163" i="5"/>
  <c r="B163" i="5"/>
  <c r="E162" i="5"/>
  <c r="B162" i="5"/>
  <c r="E161" i="5"/>
  <c r="B161" i="5"/>
  <c r="E160" i="5"/>
  <c r="B160" i="5"/>
  <c r="E159" i="5"/>
  <c r="B159" i="5"/>
  <c r="E158" i="5"/>
  <c r="B158" i="5"/>
  <c r="E157" i="5"/>
  <c r="B157" i="5"/>
  <c r="E156" i="5"/>
  <c r="B156" i="5"/>
  <c r="E155" i="5"/>
  <c r="B155" i="5"/>
  <c r="E154" i="5"/>
  <c r="B154" i="5"/>
  <c r="E153" i="5"/>
  <c r="B153" i="5"/>
  <c r="E152" i="5"/>
  <c r="B152" i="5"/>
  <c r="E151" i="5"/>
  <c r="B151" i="5"/>
  <c r="E150" i="5"/>
  <c r="B150" i="5"/>
  <c r="E149" i="5"/>
  <c r="B149" i="5"/>
  <c r="E148" i="5"/>
  <c r="B148" i="5"/>
  <c r="E147" i="5"/>
  <c r="B147" i="5"/>
  <c r="E146" i="5"/>
  <c r="B146" i="5"/>
  <c r="E145" i="5"/>
  <c r="B145" i="5"/>
  <c r="E144" i="5"/>
  <c r="B144" i="5"/>
  <c r="E143" i="5"/>
  <c r="B143" i="5"/>
  <c r="E142" i="5"/>
  <c r="B142" i="5"/>
  <c r="E141" i="5"/>
  <c r="B141" i="5"/>
  <c r="E140" i="5"/>
  <c r="B140" i="5"/>
  <c r="E139" i="5"/>
  <c r="B139" i="5"/>
  <c r="E138" i="5"/>
  <c r="B138" i="5"/>
  <c r="E137" i="5"/>
  <c r="B137" i="5"/>
  <c r="E136" i="5"/>
  <c r="B136" i="5"/>
  <c r="E135" i="5"/>
  <c r="B135" i="5"/>
  <c r="E134" i="5"/>
  <c r="B134" i="5"/>
  <c r="E133" i="5"/>
  <c r="B133" i="5"/>
  <c r="E132" i="5"/>
  <c r="B132" i="5"/>
  <c r="E131" i="5"/>
  <c r="B131" i="5"/>
  <c r="E130" i="5"/>
  <c r="B130" i="5"/>
  <c r="E129" i="5"/>
  <c r="B129" i="5"/>
  <c r="E128" i="5"/>
  <c r="B128" i="5"/>
  <c r="E127" i="5"/>
  <c r="B127" i="5"/>
  <c r="E126" i="5"/>
  <c r="B126" i="5"/>
  <c r="E125" i="5"/>
  <c r="B125" i="5"/>
  <c r="E124" i="5"/>
  <c r="B124" i="5"/>
  <c r="E123" i="5"/>
  <c r="B123" i="5"/>
  <c r="E122" i="5"/>
  <c r="B122" i="5"/>
  <c r="E121" i="5"/>
  <c r="B121" i="5"/>
  <c r="E120" i="5"/>
  <c r="B120" i="5"/>
  <c r="E119" i="5"/>
  <c r="B119" i="5"/>
  <c r="E118" i="5"/>
  <c r="B118" i="5"/>
  <c r="E117" i="5"/>
  <c r="B117" i="5"/>
  <c r="E116" i="5"/>
  <c r="B116" i="5"/>
  <c r="E115" i="5"/>
  <c r="B115" i="5"/>
  <c r="E114" i="5"/>
  <c r="B114" i="5"/>
  <c r="E113" i="5"/>
  <c r="B113" i="5"/>
  <c r="E112" i="5"/>
  <c r="B112" i="5"/>
  <c r="E111" i="5"/>
  <c r="B111" i="5"/>
  <c r="E110" i="5"/>
  <c r="B110" i="5"/>
  <c r="E109" i="5"/>
  <c r="B109" i="5"/>
  <c r="E108" i="5"/>
  <c r="B108" i="5"/>
  <c r="E107" i="5"/>
  <c r="B107" i="5"/>
  <c r="E106" i="5"/>
  <c r="B106" i="5"/>
  <c r="E105" i="5"/>
  <c r="B105" i="5"/>
  <c r="E104" i="5"/>
  <c r="B104" i="5"/>
  <c r="E103" i="5"/>
  <c r="B103" i="5"/>
  <c r="E102" i="5"/>
  <c r="B102" i="5"/>
  <c r="E101" i="5"/>
  <c r="B101" i="5"/>
  <c r="E100" i="5"/>
  <c r="B100" i="5"/>
  <c r="E99" i="5"/>
  <c r="B99" i="5"/>
  <c r="E98" i="5"/>
  <c r="B98" i="5"/>
  <c r="E97" i="5"/>
  <c r="B97" i="5"/>
  <c r="E96" i="5"/>
  <c r="B96" i="5"/>
  <c r="E95" i="5"/>
  <c r="B95" i="5"/>
  <c r="E94" i="5"/>
  <c r="B94" i="5"/>
  <c r="E93" i="5"/>
  <c r="B93" i="5"/>
  <c r="E92" i="5"/>
  <c r="B92" i="5"/>
  <c r="E91" i="5"/>
  <c r="B91" i="5"/>
  <c r="E90" i="5"/>
  <c r="B90" i="5"/>
  <c r="E89" i="5"/>
  <c r="B89" i="5"/>
  <c r="E88" i="5"/>
  <c r="B88" i="5"/>
  <c r="E87" i="5"/>
  <c r="B87" i="5"/>
  <c r="E86" i="5"/>
  <c r="B86" i="5"/>
  <c r="E85" i="5"/>
  <c r="B85" i="5"/>
  <c r="E84" i="5"/>
  <c r="B84" i="5"/>
  <c r="E83" i="5"/>
  <c r="B83" i="5"/>
  <c r="E82" i="5"/>
  <c r="B82" i="5"/>
  <c r="E81" i="5"/>
  <c r="B81" i="5"/>
  <c r="E80" i="5"/>
  <c r="B80" i="5"/>
  <c r="E79" i="5"/>
  <c r="B79" i="5"/>
  <c r="E78" i="5"/>
  <c r="B78" i="5"/>
  <c r="E77" i="5"/>
  <c r="B77" i="5"/>
  <c r="E76" i="5"/>
  <c r="B76" i="5"/>
  <c r="E75" i="5"/>
  <c r="B75" i="5"/>
  <c r="E74" i="5"/>
  <c r="B74" i="5"/>
  <c r="E73" i="5"/>
  <c r="B73" i="5"/>
  <c r="E72" i="5"/>
  <c r="B72" i="5"/>
  <c r="E71" i="5"/>
  <c r="B71" i="5"/>
  <c r="E70" i="5"/>
  <c r="B70" i="5"/>
  <c r="E69" i="5"/>
  <c r="B69" i="5"/>
  <c r="E68" i="5"/>
  <c r="B68" i="5"/>
  <c r="E67" i="5"/>
  <c r="B67" i="5"/>
  <c r="E66" i="5"/>
  <c r="B66" i="5"/>
  <c r="E65" i="5"/>
  <c r="B65" i="5"/>
  <c r="E64" i="5"/>
  <c r="B64" i="5"/>
  <c r="E63" i="5"/>
  <c r="B63" i="5"/>
  <c r="E62" i="5"/>
  <c r="B62" i="5"/>
  <c r="E61" i="5"/>
  <c r="B61" i="5"/>
  <c r="E60" i="5"/>
  <c r="B60" i="5"/>
  <c r="E59" i="5"/>
  <c r="B59" i="5"/>
  <c r="E58" i="5"/>
  <c r="B58" i="5"/>
  <c r="E57" i="5"/>
  <c r="B57" i="5"/>
  <c r="E56" i="5"/>
  <c r="B56" i="5"/>
  <c r="E55" i="5"/>
  <c r="B55" i="5"/>
  <c r="E54" i="5"/>
  <c r="B54" i="5"/>
  <c r="E53" i="5"/>
  <c r="B53" i="5"/>
  <c r="E52" i="5"/>
  <c r="B52" i="5"/>
  <c r="E51" i="5"/>
  <c r="B51" i="5"/>
  <c r="E50" i="5"/>
  <c r="B50" i="5"/>
  <c r="E49" i="5"/>
  <c r="B49" i="5"/>
  <c r="E48" i="5"/>
  <c r="B48" i="5"/>
  <c r="E47" i="5"/>
  <c r="B47" i="5"/>
  <c r="E46" i="5"/>
  <c r="B46" i="5"/>
  <c r="E45" i="5"/>
  <c r="B45" i="5"/>
  <c r="E44" i="5"/>
  <c r="B44" i="5"/>
  <c r="E43" i="5"/>
  <c r="B43" i="5"/>
  <c r="E42" i="5"/>
  <c r="B42" i="5"/>
  <c r="E41" i="5"/>
  <c r="B41" i="5"/>
  <c r="E40" i="5"/>
  <c r="B40" i="5"/>
  <c r="E39" i="5"/>
  <c r="B39" i="5"/>
  <c r="E38" i="5"/>
  <c r="B38" i="5"/>
  <c r="E37" i="5"/>
  <c r="B37" i="5"/>
  <c r="E36" i="5"/>
  <c r="B36" i="5"/>
  <c r="E35" i="5"/>
  <c r="B35" i="5"/>
  <c r="E34" i="5"/>
  <c r="B34" i="5"/>
  <c r="E33" i="5"/>
  <c r="B33" i="5"/>
  <c r="E32" i="5"/>
  <c r="B32" i="5"/>
  <c r="E31" i="5"/>
  <c r="B31" i="5"/>
  <c r="E30" i="5"/>
  <c r="B30" i="5"/>
  <c r="E29" i="5"/>
  <c r="B29" i="5"/>
  <c r="E28" i="5"/>
  <c r="B28" i="5"/>
  <c r="E27" i="5"/>
  <c r="B27" i="5"/>
  <c r="E26" i="5"/>
  <c r="B26" i="5"/>
  <c r="E25" i="5"/>
  <c r="B25" i="5"/>
  <c r="E24" i="5"/>
  <c r="B24" i="5"/>
  <c r="E23" i="5"/>
  <c r="B23" i="5"/>
  <c r="E22" i="5"/>
  <c r="B22" i="5"/>
  <c r="E21" i="5"/>
  <c r="B21" i="5"/>
  <c r="E20" i="5"/>
  <c r="B20" i="5"/>
  <c r="E19" i="5"/>
  <c r="B19" i="5"/>
  <c r="E18" i="5"/>
  <c r="B18" i="5"/>
  <c r="E17" i="5"/>
  <c r="B17" i="5"/>
  <c r="E16" i="5"/>
  <c r="B16" i="5"/>
  <c r="E15" i="5"/>
  <c r="B15" i="5"/>
  <c r="E14" i="5"/>
  <c r="B14" i="5"/>
  <c r="E13" i="5"/>
  <c r="B13" i="5"/>
  <c r="E12" i="5"/>
  <c r="B12" i="5"/>
  <c r="E11" i="5"/>
  <c r="B11" i="5"/>
  <c r="E10" i="5"/>
  <c r="B10" i="5"/>
  <c r="BL308" i="3"/>
  <c r="BK308" i="3"/>
  <c r="BL307" i="3"/>
  <c r="BK307" i="3"/>
  <c r="BL306" i="3"/>
  <c r="BK306" i="3"/>
  <c r="BL305" i="3"/>
  <c r="BK305" i="3"/>
  <c r="BL304" i="3"/>
  <c r="BK304" i="3"/>
  <c r="BL303" i="3"/>
  <c r="BK303" i="3"/>
  <c r="BL302" i="3"/>
  <c r="BK302" i="3"/>
  <c r="BL301" i="3"/>
  <c r="BK301" i="3"/>
  <c r="BL300" i="3"/>
  <c r="BK300" i="3"/>
  <c r="BL299" i="3"/>
  <c r="BK299" i="3"/>
  <c r="BL298" i="3"/>
  <c r="BK298" i="3"/>
  <c r="BL297" i="3"/>
  <c r="BK297" i="3"/>
  <c r="BL296" i="3"/>
  <c r="BK296" i="3"/>
  <c r="BL295" i="3"/>
  <c r="BK295" i="3"/>
  <c r="BL294" i="3"/>
  <c r="BK294" i="3"/>
  <c r="BL293" i="3"/>
  <c r="BK293" i="3"/>
  <c r="BL292" i="3"/>
  <c r="BK292" i="3"/>
  <c r="BL291" i="3"/>
  <c r="BK291" i="3"/>
  <c r="BL290" i="3"/>
  <c r="BK290" i="3"/>
  <c r="BL289" i="3"/>
  <c r="BK289" i="3"/>
  <c r="BL288" i="3"/>
  <c r="BK288" i="3"/>
  <c r="BL287" i="3"/>
  <c r="BK287" i="3"/>
  <c r="BL286" i="3"/>
  <c r="BK286" i="3"/>
  <c r="BL285" i="3"/>
  <c r="BK285" i="3"/>
  <c r="BL284" i="3"/>
  <c r="BK284" i="3"/>
  <c r="BL283" i="3"/>
  <c r="BK283" i="3"/>
  <c r="BL282" i="3"/>
  <c r="BK282" i="3"/>
  <c r="BL281" i="3"/>
  <c r="BK281" i="3"/>
  <c r="BL280" i="3"/>
  <c r="BK280" i="3"/>
  <c r="BL279" i="3"/>
  <c r="BK279" i="3"/>
  <c r="BL278" i="3"/>
  <c r="BK278" i="3"/>
  <c r="BL277" i="3"/>
  <c r="BK277" i="3"/>
  <c r="BL276" i="3"/>
  <c r="BK276" i="3"/>
  <c r="BL275" i="3"/>
  <c r="BK275" i="3"/>
  <c r="BL274" i="3"/>
  <c r="BK274" i="3"/>
  <c r="BL273" i="3"/>
  <c r="BK273" i="3"/>
  <c r="BL272" i="3"/>
  <c r="BK272" i="3"/>
  <c r="BL271" i="3"/>
  <c r="BK271" i="3"/>
  <c r="BL270" i="3"/>
  <c r="BK270" i="3"/>
  <c r="BL269" i="3"/>
  <c r="BK269" i="3"/>
  <c r="BL268" i="3"/>
  <c r="BK268" i="3"/>
  <c r="BL267" i="3"/>
  <c r="BK267" i="3"/>
  <c r="BL266" i="3"/>
  <c r="BK266" i="3"/>
  <c r="BL265" i="3"/>
  <c r="BK265" i="3"/>
  <c r="BL264" i="3"/>
  <c r="BK264" i="3"/>
  <c r="BL263" i="3"/>
  <c r="BK263" i="3"/>
  <c r="BL262" i="3"/>
  <c r="BK262" i="3"/>
  <c r="BL261" i="3"/>
  <c r="BK261" i="3"/>
  <c r="BL260" i="3"/>
  <c r="BK260" i="3"/>
  <c r="BL259" i="3"/>
  <c r="BK259" i="3"/>
  <c r="BL258" i="3"/>
  <c r="BK258" i="3"/>
  <c r="BL257" i="3"/>
  <c r="BK257" i="3"/>
  <c r="BL256" i="3"/>
  <c r="BK256" i="3"/>
  <c r="BL255" i="3"/>
  <c r="BK255" i="3"/>
  <c r="BL254" i="3"/>
  <c r="BK254" i="3"/>
  <c r="BL253" i="3"/>
  <c r="BK253" i="3"/>
  <c r="BL252" i="3"/>
  <c r="BK252" i="3"/>
  <c r="BL251" i="3"/>
  <c r="BK251" i="3"/>
  <c r="BL250" i="3"/>
  <c r="BK250" i="3"/>
  <c r="BL249" i="3"/>
  <c r="BK249" i="3"/>
  <c r="BL248" i="3"/>
  <c r="BK248" i="3"/>
  <c r="BL247" i="3"/>
  <c r="BK247" i="3"/>
  <c r="BL246" i="3"/>
  <c r="BK246" i="3"/>
  <c r="BL245" i="3"/>
  <c r="BK245" i="3"/>
  <c r="BL244" i="3"/>
  <c r="BK244" i="3"/>
  <c r="BL243" i="3"/>
  <c r="BK243" i="3"/>
  <c r="BL242" i="3"/>
  <c r="BK242" i="3"/>
  <c r="BL241" i="3"/>
  <c r="BK241" i="3"/>
  <c r="BL240" i="3"/>
  <c r="BK240" i="3"/>
  <c r="BL239" i="3"/>
  <c r="BK239" i="3"/>
  <c r="BL238" i="3"/>
  <c r="BK238" i="3"/>
  <c r="BL237" i="3"/>
  <c r="BK237" i="3"/>
  <c r="BL236" i="3"/>
  <c r="BK236" i="3"/>
  <c r="BL235" i="3"/>
  <c r="BK235" i="3"/>
  <c r="BL234" i="3"/>
  <c r="BK234" i="3"/>
  <c r="BL233" i="3"/>
  <c r="BK233" i="3"/>
  <c r="BL232" i="3"/>
  <c r="BK232" i="3"/>
  <c r="BL231" i="3"/>
  <c r="BK231" i="3"/>
  <c r="BL230" i="3"/>
  <c r="BK230" i="3"/>
  <c r="BL229" i="3"/>
  <c r="BK229" i="3"/>
  <c r="BL228" i="3"/>
  <c r="BK228" i="3"/>
  <c r="BL227" i="3"/>
  <c r="BK227" i="3"/>
  <c r="BL226" i="3"/>
  <c r="BK226" i="3"/>
  <c r="BL225" i="3"/>
  <c r="BK225" i="3"/>
  <c r="BL224" i="3"/>
  <c r="BK224" i="3"/>
  <c r="BL223" i="3"/>
  <c r="BK223" i="3"/>
  <c r="BL222" i="3"/>
  <c r="BK222" i="3"/>
  <c r="BL221" i="3"/>
  <c r="BK221" i="3"/>
  <c r="BL220" i="3"/>
  <c r="BK220" i="3"/>
  <c r="BL219" i="3"/>
  <c r="BK219" i="3"/>
  <c r="BL218" i="3"/>
  <c r="BK218" i="3"/>
  <c r="BL217" i="3"/>
  <c r="BK217" i="3"/>
  <c r="BL216" i="3"/>
  <c r="BK216" i="3"/>
  <c r="BL215" i="3"/>
  <c r="BK215" i="3"/>
  <c r="BL214" i="3"/>
  <c r="BK214" i="3"/>
  <c r="BL213" i="3"/>
  <c r="BK213" i="3"/>
  <c r="BL212" i="3"/>
  <c r="BK212" i="3"/>
  <c r="BL211" i="3"/>
  <c r="BK211" i="3"/>
  <c r="BL210" i="3"/>
  <c r="BK210" i="3"/>
  <c r="BL209" i="3"/>
  <c r="BK209" i="3"/>
  <c r="BL208" i="3"/>
  <c r="BK208" i="3"/>
  <c r="BL207" i="3"/>
  <c r="BK207" i="3"/>
  <c r="BL206" i="3"/>
  <c r="BK206" i="3"/>
  <c r="BL205" i="3"/>
  <c r="BK205" i="3"/>
  <c r="BL204" i="3"/>
  <c r="BK204" i="3"/>
  <c r="BL203" i="3"/>
  <c r="BK203" i="3"/>
  <c r="BL202" i="3"/>
  <c r="BK202" i="3"/>
  <c r="BL201" i="3"/>
  <c r="BK201" i="3"/>
  <c r="BL200" i="3"/>
  <c r="BK200" i="3"/>
  <c r="BL199" i="3"/>
  <c r="BK199" i="3"/>
  <c r="BL198" i="3"/>
  <c r="BK198" i="3"/>
  <c r="BL197" i="3"/>
  <c r="BK197" i="3"/>
  <c r="BL196" i="3"/>
  <c r="BK196" i="3"/>
  <c r="BL195" i="3"/>
  <c r="BK195" i="3"/>
  <c r="BL194" i="3"/>
  <c r="BK194" i="3"/>
  <c r="BL193" i="3"/>
  <c r="BK193" i="3"/>
  <c r="BL192" i="3"/>
  <c r="BK192" i="3"/>
  <c r="BL191" i="3"/>
  <c r="BK191" i="3"/>
  <c r="BL190" i="3"/>
  <c r="BK190" i="3"/>
  <c r="BL189" i="3"/>
  <c r="BK189" i="3"/>
  <c r="BL188" i="3"/>
  <c r="BK188" i="3"/>
  <c r="BL187" i="3"/>
  <c r="BK187" i="3"/>
  <c r="BL186" i="3"/>
  <c r="BK186" i="3"/>
  <c r="BL185" i="3"/>
  <c r="BK185" i="3"/>
  <c r="BL184" i="3"/>
  <c r="BK184" i="3"/>
  <c r="BL183" i="3"/>
  <c r="BK183" i="3"/>
  <c r="BL182" i="3"/>
  <c r="BK182" i="3"/>
  <c r="BL181" i="3"/>
  <c r="BK181" i="3"/>
  <c r="BL180" i="3"/>
  <c r="BK180" i="3"/>
  <c r="BL179" i="3"/>
  <c r="BK179" i="3"/>
  <c r="BL178" i="3"/>
  <c r="BK178" i="3"/>
  <c r="BL177" i="3"/>
  <c r="BK177" i="3"/>
  <c r="BL176" i="3"/>
  <c r="BK176" i="3"/>
  <c r="BL175" i="3"/>
  <c r="BK175" i="3"/>
  <c r="BL174" i="3"/>
  <c r="BK174" i="3"/>
  <c r="BL173" i="3"/>
  <c r="BK173" i="3"/>
  <c r="BL172" i="3"/>
  <c r="BK172" i="3"/>
  <c r="BL171" i="3"/>
  <c r="BK171" i="3"/>
  <c r="BL170" i="3"/>
  <c r="BK170" i="3"/>
  <c r="BL169" i="3"/>
  <c r="BK169" i="3"/>
  <c r="BL168" i="3"/>
  <c r="BK168" i="3"/>
  <c r="BL167" i="3"/>
  <c r="BK167" i="3"/>
  <c r="BL166" i="3"/>
  <c r="BK166" i="3"/>
  <c r="BL165" i="3"/>
  <c r="BK165" i="3"/>
  <c r="BL164" i="3"/>
  <c r="BK164" i="3"/>
  <c r="BL163" i="3"/>
  <c r="BK163" i="3"/>
  <c r="BL162" i="3"/>
  <c r="BK162" i="3"/>
  <c r="BL161" i="3"/>
  <c r="BK161" i="3"/>
  <c r="BL160" i="3"/>
  <c r="BK160" i="3"/>
  <c r="BL159" i="3"/>
  <c r="BK159" i="3"/>
  <c r="BL158" i="3"/>
  <c r="BK158" i="3"/>
  <c r="BL157" i="3"/>
  <c r="BK157" i="3"/>
  <c r="BL156" i="3"/>
  <c r="BK156" i="3"/>
  <c r="BL155" i="3"/>
  <c r="BK155" i="3"/>
  <c r="BL154" i="3"/>
  <c r="BK154" i="3"/>
  <c r="BL153" i="3"/>
  <c r="BK153" i="3"/>
  <c r="BL152" i="3"/>
  <c r="BK152" i="3"/>
  <c r="BL151" i="3"/>
  <c r="BK151" i="3"/>
  <c r="BL150" i="3"/>
  <c r="BK150" i="3"/>
  <c r="BL149" i="3"/>
  <c r="BK149" i="3"/>
  <c r="BL148" i="3"/>
  <c r="BK148" i="3"/>
  <c r="BL147" i="3"/>
  <c r="BK147" i="3"/>
  <c r="BL146" i="3"/>
  <c r="BK146" i="3"/>
  <c r="BL145" i="3"/>
  <c r="BK145" i="3"/>
  <c r="BL144" i="3"/>
  <c r="BK144" i="3"/>
  <c r="BL143" i="3"/>
  <c r="BK143" i="3"/>
  <c r="BL142" i="3"/>
  <c r="BK142" i="3"/>
  <c r="BL141" i="3"/>
  <c r="BK141" i="3"/>
  <c r="BL140" i="3"/>
  <c r="BK140" i="3"/>
  <c r="BL139" i="3"/>
  <c r="BK139" i="3"/>
  <c r="BL138" i="3"/>
  <c r="BK138" i="3"/>
  <c r="BL137" i="3"/>
  <c r="BK137" i="3"/>
  <c r="BL136" i="3"/>
  <c r="BK136" i="3"/>
  <c r="BL135" i="3"/>
  <c r="BK135" i="3"/>
  <c r="BL134" i="3"/>
  <c r="BK134" i="3"/>
  <c r="BL133" i="3"/>
  <c r="BK133" i="3"/>
  <c r="BL132" i="3"/>
  <c r="BK132" i="3"/>
  <c r="BL131" i="3"/>
  <c r="BK131" i="3"/>
  <c r="BL130" i="3"/>
  <c r="BK130" i="3"/>
  <c r="BL129" i="3"/>
  <c r="BK129" i="3"/>
  <c r="BL128" i="3"/>
  <c r="BK128" i="3"/>
  <c r="BL127" i="3"/>
  <c r="BK127" i="3"/>
  <c r="BL126" i="3"/>
  <c r="BK126" i="3"/>
  <c r="BL125" i="3"/>
  <c r="BK125" i="3"/>
  <c r="BL124" i="3"/>
  <c r="BK124" i="3"/>
  <c r="BL123" i="3"/>
  <c r="BK123" i="3"/>
  <c r="BL122" i="3"/>
  <c r="BK122" i="3"/>
  <c r="BL121" i="3"/>
  <c r="BK121" i="3"/>
  <c r="BL120" i="3"/>
  <c r="BK120" i="3"/>
  <c r="BL119" i="3"/>
  <c r="BK119" i="3"/>
  <c r="BL118" i="3"/>
  <c r="BK118" i="3"/>
  <c r="BL117" i="3"/>
  <c r="BK117" i="3"/>
  <c r="BL116" i="3"/>
  <c r="BK116" i="3"/>
  <c r="BL115" i="3"/>
  <c r="BK115" i="3"/>
  <c r="BL114" i="3"/>
  <c r="BK114" i="3"/>
  <c r="BL113" i="3"/>
  <c r="BK113" i="3"/>
  <c r="BL112" i="3"/>
  <c r="BK112" i="3"/>
  <c r="BL111" i="3"/>
  <c r="BK111" i="3"/>
  <c r="BL110" i="3"/>
  <c r="BK110" i="3"/>
  <c r="BL109" i="3"/>
  <c r="BK109" i="3"/>
  <c r="BL108" i="3"/>
  <c r="BK108" i="3"/>
  <c r="BL107" i="3"/>
  <c r="BK107" i="3"/>
  <c r="BL106" i="3"/>
  <c r="BL105" i="3"/>
  <c r="BL104" i="3"/>
  <c r="BL103" i="3"/>
  <c r="BL102" i="3"/>
  <c r="BL101" i="3"/>
  <c r="BL100" i="3"/>
  <c r="BL99" i="3"/>
  <c r="BL98" i="3"/>
  <c r="BL97" i="3"/>
  <c r="BL96" i="3"/>
  <c r="BL95" i="3"/>
  <c r="BL94" i="3"/>
  <c r="BL93" i="3"/>
  <c r="BL92" i="3"/>
  <c r="BL91" i="3"/>
  <c r="BL90" i="3"/>
  <c r="BL89" i="3"/>
  <c r="BL88" i="3"/>
  <c r="BL87" i="3"/>
  <c r="BL86" i="3"/>
  <c r="BL85" i="3"/>
  <c r="BL84" i="3"/>
  <c r="BL83" i="3"/>
  <c r="BL82" i="3"/>
  <c r="BL81" i="3"/>
  <c r="BL80" i="3"/>
  <c r="BL79" i="3"/>
  <c r="BL78" i="3"/>
  <c r="BL77" i="3"/>
  <c r="BL76" i="3"/>
  <c r="BL75" i="3"/>
  <c r="BL74" i="3"/>
  <c r="BL73" i="3"/>
  <c r="BL72" i="3"/>
  <c r="BL71" i="3"/>
  <c r="BL70" i="3"/>
  <c r="BL69" i="3"/>
  <c r="BL68" i="3"/>
  <c r="BL67" i="3"/>
  <c r="BL66" i="3"/>
  <c r="BL65" i="3"/>
  <c r="BL64" i="3"/>
  <c r="BL63" i="3"/>
  <c r="BL62" i="3"/>
  <c r="BL61" i="3"/>
  <c r="BL60" i="3"/>
  <c r="BL59" i="3"/>
  <c r="BL58" i="3"/>
  <c r="BL57" i="3"/>
  <c r="BL56" i="3"/>
  <c r="BL55" i="3"/>
  <c r="BL54" i="3"/>
  <c r="BL53" i="3"/>
  <c r="BL52" i="3"/>
  <c r="BL51" i="3"/>
  <c r="BL50" i="3"/>
  <c r="BL49" i="3"/>
  <c r="BL48" i="3"/>
  <c r="BL47" i="3"/>
  <c r="BL46" i="3"/>
  <c r="BL45" i="3"/>
  <c r="BL43" i="3"/>
  <c r="BL42" i="3"/>
  <c r="BL41" i="3"/>
  <c r="BL40" i="3"/>
  <c r="BL39" i="3"/>
  <c r="BL38" i="3"/>
  <c r="BL37" i="3"/>
  <c r="BL36" i="3"/>
  <c r="BL35" i="3"/>
  <c r="BL34" i="3"/>
  <c r="BL32" i="3"/>
  <c r="BL31" i="3"/>
  <c r="BL30"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3" i="3"/>
  <c r="BK42" i="3"/>
  <c r="BK41" i="3"/>
  <c r="BK40" i="3"/>
  <c r="BK39" i="3"/>
  <c r="BK38" i="3"/>
  <c r="BK37" i="3"/>
  <c r="BK36" i="3"/>
  <c r="BK35" i="3"/>
  <c r="BK34" i="3"/>
  <c r="BK32" i="3"/>
  <c r="BK31" i="3"/>
  <c r="BK30" i="3"/>
  <c r="C4" i="20"/>
  <c r="P26" i="20"/>
  <c r="P25" i="20"/>
  <c r="P24" i="20"/>
  <c r="C2" i="20"/>
  <c r="B23" i="20"/>
  <c r="E23" i="20"/>
  <c r="H23" i="20"/>
  <c r="B24" i="20"/>
  <c r="D24" i="20"/>
  <c r="E24" i="20"/>
  <c r="H24" i="20"/>
  <c r="B25" i="20"/>
  <c r="D25" i="20"/>
  <c r="E25" i="20"/>
  <c r="H25" i="20"/>
  <c r="B26" i="20"/>
  <c r="D26" i="20"/>
  <c r="E26" i="20"/>
  <c r="H26" i="20"/>
  <c r="B27" i="20"/>
  <c r="D27" i="20"/>
  <c r="E27" i="20"/>
  <c r="H27" i="20"/>
  <c r="P27" i="20"/>
  <c r="B28" i="20"/>
  <c r="D28" i="20"/>
  <c r="E28" i="20"/>
  <c r="H28" i="20"/>
  <c r="P28" i="20"/>
  <c r="B29" i="20"/>
  <c r="D29" i="20"/>
  <c r="E29" i="20"/>
  <c r="H29" i="20"/>
  <c r="P29" i="20"/>
  <c r="B30" i="20"/>
  <c r="D30" i="20"/>
  <c r="E30" i="20"/>
  <c r="H30" i="20"/>
  <c r="P30" i="20"/>
  <c r="B31" i="20"/>
  <c r="D31" i="20"/>
  <c r="E31" i="20"/>
  <c r="H31" i="20"/>
  <c r="P31" i="20"/>
  <c r="B32" i="20"/>
  <c r="D32" i="20"/>
  <c r="E32" i="20"/>
  <c r="H32" i="20"/>
  <c r="P32" i="20"/>
  <c r="B33" i="20"/>
  <c r="D33" i="20"/>
  <c r="E33" i="20"/>
  <c r="H33" i="20"/>
  <c r="P33" i="20"/>
  <c r="B34" i="20"/>
  <c r="D34" i="20"/>
  <c r="E34" i="20"/>
  <c r="H34" i="20"/>
  <c r="P34" i="20"/>
  <c r="B35" i="20"/>
  <c r="D35" i="20"/>
  <c r="E35" i="20"/>
  <c r="H35" i="20"/>
  <c r="P35" i="20"/>
  <c r="B36" i="20"/>
  <c r="D36" i="20"/>
  <c r="E36" i="20"/>
  <c r="H36" i="20"/>
  <c r="P36" i="20"/>
  <c r="B37" i="20"/>
  <c r="D37" i="20"/>
  <c r="E37" i="20"/>
  <c r="H37" i="20"/>
  <c r="P37" i="20"/>
  <c r="B38" i="20"/>
  <c r="D38" i="20"/>
  <c r="E38" i="20"/>
  <c r="H38" i="20"/>
  <c r="P38" i="20"/>
  <c r="B39" i="20"/>
  <c r="D39" i="20"/>
  <c r="E39" i="20"/>
  <c r="H39" i="20"/>
  <c r="P39" i="20"/>
  <c r="B40" i="20"/>
  <c r="D40" i="20"/>
  <c r="E40" i="20"/>
  <c r="H40" i="20"/>
  <c r="P40" i="20"/>
  <c r="B41" i="20"/>
  <c r="D41" i="20"/>
  <c r="E41" i="20"/>
  <c r="H41" i="20"/>
  <c r="P41" i="20"/>
  <c r="B42" i="20"/>
  <c r="D42" i="20"/>
  <c r="E42" i="20"/>
  <c r="H42" i="20"/>
  <c r="P42" i="20"/>
  <c r="B43" i="20"/>
  <c r="D43" i="20"/>
  <c r="E43" i="20"/>
  <c r="H43" i="20"/>
  <c r="P43" i="20"/>
  <c r="B44" i="20"/>
  <c r="D44" i="20"/>
  <c r="E44" i="20"/>
  <c r="H44" i="20"/>
  <c r="P44" i="20"/>
  <c r="B45" i="20"/>
  <c r="D45" i="20"/>
  <c r="E45" i="20"/>
  <c r="H45" i="20"/>
  <c r="P45" i="20"/>
  <c r="B46" i="20"/>
  <c r="D46" i="20"/>
  <c r="E46" i="20"/>
  <c r="H46" i="20"/>
  <c r="P46" i="20"/>
  <c r="B47" i="20"/>
  <c r="D47" i="20"/>
  <c r="E47" i="20"/>
  <c r="H47" i="20"/>
  <c r="P47" i="20"/>
  <c r="B48" i="20"/>
  <c r="D48" i="20"/>
  <c r="E48" i="20"/>
  <c r="H48" i="20"/>
  <c r="P48" i="20"/>
  <c r="B49" i="20"/>
  <c r="D49" i="20"/>
  <c r="E49" i="20"/>
  <c r="H49" i="20"/>
  <c r="P49" i="20"/>
  <c r="B50" i="20"/>
  <c r="D50" i="20"/>
  <c r="E50" i="20"/>
  <c r="H50" i="20"/>
  <c r="P50" i="20"/>
  <c r="B51" i="20"/>
  <c r="D51" i="20"/>
  <c r="E51" i="20"/>
  <c r="H51" i="20"/>
  <c r="P51" i="20"/>
  <c r="B52" i="20"/>
  <c r="D52" i="20"/>
  <c r="E52" i="20"/>
  <c r="H52" i="20"/>
  <c r="P52" i="20"/>
  <c r="B53" i="20"/>
  <c r="D53" i="20"/>
  <c r="E53" i="20"/>
  <c r="H53" i="20"/>
  <c r="P53" i="20"/>
  <c r="B54" i="20"/>
  <c r="D54" i="20"/>
  <c r="E54" i="20"/>
  <c r="H54" i="20"/>
  <c r="P54" i="20"/>
  <c r="B55" i="20"/>
  <c r="D55" i="20"/>
  <c r="E55" i="20"/>
  <c r="H55" i="20"/>
  <c r="P55" i="20"/>
  <c r="B56" i="20"/>
  <c r="D56" i="20"/>
  <c r="E56" i="20"/>
  <c r="H56" i="20"/>
  <c r="P56" i="20"/>
  <c r="B57" i="20"/>
  <c r="D57" i="20"/>
  <c r="E57" i="20"/>
  <c r="H57" i="20"/>
  <c r="P57" i="20"/>
  <c r="B58" i="20"/>
  <c r="D58" i="20"/>
  <c r="E58" i="20"/>
  <c r="H58" i="20"/>
  <c r="P58" i="20"/>
  <c r="B59" i="20"/>
  <c r="D59" i="20"/>
  <c r="E59" i="20"/>
  <c r="H59" i="20"/>
  <c r="P59" i="20"/>
  <c r="B60" i="20"/>
  <c r="D60" i="20"/>
  <c r="E60" i="20"/>
  <c r="H60" i="20"/>
  <c r="P60" i="20"/>
  <c r="B61" i="20"/>
  <c r="D61" i="20"/>
  <c r="E61" i="20"/>
  <c r="H61" i="20"/>
  <c r="P61" i="20"/>
  <c r="B62" i="20"/>
  <c r="D62" i="20"/>
  <c r="E62" i="20"/>
  <c r="H62" i="20"/>
  <c r="P62" i="20"/>
  <c r="B63" i="20"/>
  <c r="D63" i="20"/>
  <c r="E63" i="20"/>
  <c r="H63" i="20"/>
  <c r="P63" i="20"/>
  <c r="B64" i="20"/>
  <c r="D64" i="20"/>
  <c r="E64" i="20"/>
  <c r="H64" i="20"/>
  <c r="P64" i="20"/>
  <c r="B65" i="20"/>
  <c r="D65" i="20"/>
  <c r="E65" i="20"/>
  <c r="H65" i="20"/>
  <c r="P65" i="20"/>
  <c r="A3" i="14"/>
  <c r="U3" i="14"/>
  <c r="U4" i="14"/>
  <c r="U5" i="14"/>
  <c r="Z5" i="14"/>
  <c r="U6" i="14"/>
  <c r="Z6" i="14"/>
  <c r="A9" i="14"/>
  <c r="O9" i="14"/>
  <c r="A11" i="14"/>
  <c r="O11" i="14"/>
  <c r="A13" i="14"/>
  <c r="O13" i="14"/>
  <c r="V13" i="14"/>
  <c r="Y13" i="14"/>
  <c r="A15" i="14"/>
  <c r="O15" i="14"/>
  <c r="V15" i="14"/>
  <c r="Y15" i="14"/>
  <c r="A17" i="14"/>
  <c r="O17" i="14"/>
  <c r="A19" i="14"/>
  <c r="H19" i="14"/>
  <c r="O19" i="14"/>
  <c r="A23" i="14"/>
  <c r="O23" i="14"/>
  <c r="A25" i="14"/>
  <c r="O25" i="14"/>
  <c r="V25" i="14"/>
  <c r="Y25" i="14"/>
  <c r="A27" i="14"/>
  <c r="O27" i="14"/>
  <c r="A29" i="14"/>
  <c r="H29" i="14"/>
  <c r="O29" i="14"/>
  <c r="A33" i="14"/>
  <c r="O33" i="14"/>
  <c r="A35" i="14"/>
  <c r="O35" i="14"/>
  <c r="V35" i="14"/>
  <c r="Y35" i="14"/>
  <c r="A36" i="14"/>
  <c r="A37" i="14"/>
  <c r="H37" i="14"/>
  <c r="O37" i="14"/>
  <c r="A41" i="14"/>
  <c r="O41" i="14"/>
  <c r="A42" i="14"/>
  <c r="A43" i="14"/>
  <c r="H43" i="14"/>
  <c r="O43" i="14"/>
  <c r="A47" i="14"/>
  <c r="Y77" i="14"/>
  <c r="U3" i="9"/>
  <c r="U4" i="9"/>
  <c r="U5" i="9"/>
  <c r="Z5" i="9"/>
  <c r="U6" i="9"/>
  <c r="Z6" i="9"/>
  <c r="A9" i="9"/>
  <c r="O9" i="9"/>
  <c r="X9" i="9"/>
  <c r="X9" i="14" s="1"/>
  <c r="A11" i="9"/>
  <c r="O11" i="9"/>
  <c r="A13" i="9"/>
  <c r="O13" i="9"/>
  <c r="V13" i="9"/>
  <c r="Y13" i="9"/>
  <c r="A15" i="9"/>
  <c r="O15" i="9"/>
  <c r="V15" i="9"/>
  <c r="Y15" i="9"/>
  <c r="A17" i="9"/>
  <c r="O17" i="9"/>
  <c r="A19" i="9"/>
  <c r="H19" i="9"/>
  <c r="O19" i="9"/>
  <c r="A24" i="9"/>
  <c r="O24" i="9"/>
  <c r="A26" i="9"/>
  <c r="O26" i="9"/>
  <c r="V26" i="9"/>
  <c r="Y26" i="9"/>
  <c r="A28" i="9"/>
  <c r="O28" i="9"/>
  <c r="A30" i="9"/>
  <c r="H30" i="9"/>
  <c r="O30" i="9"/>
  <c r="A35" i="9"/>
  <c r="O35" i="9"/>
  <c r="A37" i="9"/>
  <c r="O37" i="9"/>
  <c r="V37" i="9"/>
  <c r="Y37" i="9"/>
  <c r="A38" i="9"/>
  <c r="A39" i="9"/>
  <c r="H39" i="9"/>
  <c r="O39" i="9"/>
  <c r="A44" i="9"/>
  <c r="O44" i="9"/>
  <c r="A46" i="9"/>
  <c r="H46" i="9"/>
  <c r="O46" i="9"/>
  <c r="A50" i="9"/>
  <c r="Y63" i="9"/>
  <c r="D14" i="1"/>
  <c r="K52" i="1"/>
  <c r="G3" i="5"/>
  <c r="G4" i="5"/>
  <c r="G5" i="5"/>
  <c r="E9" i="5"/>
  <c r="A414" i="5"/>
  <c r="D3" i="3"/>
  <c r="D4" i="3"/>
  <c r="N1" i="3"/>
  <c r="D5" i="3"/>
  <c r="DF313" i="3"/>
  <c r="DA325" i="3"/>
  <c r="AP1" i="8"/>
  <c r="U10" i="8"/>
  <c r="AE10" i="8"/>
  <c r="A74" i="8"/>
  <c r="A75" i="8" s="1"/>
  <c r="P6" i="5"/>
  <c r="O4" i="5"/>
  <c r="V6" i="3"/>
  <c r="O5" i="5"/>
  <c r="AA11" i="5"/>
  <c r="AC10" i="5"/>
  <c r="AA13" i="5"/>
  <c r="AA36" i="22"/>
  <c r="X36" i="22"/>
  <c r="Y36" i="22"/>
  <c r="Z36" i="22"/>
  <c r="B46" i="22"/>
  <c r="B40" i="22"/>
  <c r="AA17" i="5"/>
  <c r="AE70" i="3"/>
  <c r="AE33" i="3"/>
  <c r="AE57" i="3"/>
  <c r="AE69" i="3"/>
  <c r="AE77" i="3"/>
  <c r="AE149" i="3"/>
  <c r="AE165" i="3"/>
  <c r="AE173" i="3"/>
  <c r="AE181" i="3"/>
  <c r="AE209" i="3"/>
  <c r="AE217" i="3"/>
  <c r="AE233" i="3"/>
  <c r="AE45" i="3"/>
  <c r="AE85" i="3"/>
  <c r="AE97" i="3"/>
  <c r="AE105" i="3"/>
  <c r="AE201" i="3"/>
  <c r="AE221" i="3"/>
  <c r="AE225" i="3"/>
  <c r="AE241" i="3"/>
  <c r="AE249" i="3"/>
  <c r="AE257" i="3"/>
  <c r="AE167" i="3"/>
  <c r="AE231" i="3"/>
  <c r="AE271" i="3"/>
  <c r="AE303" i="3"/>
  <c r="AE108" i="3"/>
  <c r="AE24" i="3"/>
  <c r="AD10" i="5"/>
  <c r="AC11" i="5"/>
  <c r="AA18" i="5"/>
  <c r="AA10" i="5"/>
  <c r="AD13" i="5"/>
  <c r="Z37" i="22"/>
  <c r="AA37" i="22"/>
  <c r="X37" i="22"/>
  <c r="Y37" i="22"/>
  <c r="AI613" i="13"/>
  <c r="AD11" i="5"/>
  <c r="AE11" i="5"/>
  <c r="AB11" i="5"/>
  <c r="AD18" i="5"/>
  <c r="AB18" i="5"/>
  <c r="AB10" i="5"/>
  <c r="R39" i="22"/>
  <c r="Y39" i="22" s="1"/>
  <c r="AN11" i="5"/>
  <c r="AF11" i="5"/>
  <c r="AE18" i="5"/>
  <c r="T38" i="22"/>
  <c r="AA38" i="22" s="1"/>
  <c r="Q38" i="22"/>
  <c r="X38" i="22" s="1"/>
  <c r="AN18" i="5"/>
  <c r="AF18" i="5"/>
  <c r="AF17" i="5"/>
  <c r="AF13" i="5"/>
  <c r="AN10" i="5"/>
  <c r="AF10" i="5"/>
  <c r="H24" i="1"/>
  <c r="AH615" i="13"/>
  <c r="BK44" i="3" l="1"/>
  <c r="BL44" i="3"/>
  <c r="BQ53" i="3"/>
  <c r="R356" i="13"/>
  <c r="BQ61" i="3"/>
  <c r="R364" i="13"/>
  <c r="BQ69" i="3"/>
  <c r="R372" i="13"/>
  <c r="BQ77" i="3"/>
  <c r="R380" i="13"/>
  <c r="AH380" i="13" s="1"/>
  <c r="BQ85" i="3"/>
  <c r="R388" i="13"/>
  <c r="BQ93" i="3"/>
  <c r="R396" i="13"/>
  <c r="BQ101" i="3"/>
  <c r="R404" i="13"/>
  <c r="BQ109" i="3"/>
  <c r="R412" i="13"/>
  <c r="AH412" i="13" s="1"/>
  <c r="BQ117" i="3"/>
  <c r="R420" i="13"/>
  <c r="BQ125" i="3"/>
  <c r="R428" i="13"/>
  <c r="BQ133" i="3"/>
  <c r="R436" i="13"/>
  <c r="BQ141" i="3"/>
  <c r="R444" i="13"/>
  <c r="AH444" i="13" s="1"/>
  <c r="BQ149" i="3"/>
  <c r="R452" i="13"/>
  <c r="BQ157" i="3"/>
  <c r="R460" i="13"/>
  <c r="BQ165" i="3"/>
  <c r="R468" i="13"/>
  <c r="BQ173" i="3"/>
  <c r="R476" i="13"/>
  <c r="BQ181" i="3"/>
  <c r="R484" i="13"/>
  <c r="BQ189" i="3"/>
  <c r="R492" i="13"/>
  <c r="BQ197" i="3"/>
  <c r="R500" i="13"/>
  <c r="AH500" i="13" s="1"/>
  <c r="BQ52" i="3"/>
  <c r="R355" i="13"/>
  <c r="BQ60" i="3"/>
  <c r="R363" i="13"/>
  <c r="BQ68" i="3"/>
  <c r="R371" i="13"/>
  <c r="BQ76" i="3"/>
  <c r="R379" i="13"/>
  <c r="BQ84" i="3"/>
  <c r="R387" i="13"/>
  <c r="BQ92" i="3"/>
  <c r="R395" i="13"/>
  <c r="BQ100" i="3"/>
  <c r="R403" i="13"/>
  <c r="BQ108" i="3"/>
  <c r="R411" i="13"/>
  <c r="BQ116" i="3"/>
  <c r="R419" i="13"/>
  <c r="BQ124" i="3"/>
  <c r="R427" i="13"/>
  <c r="BQ132" i="3"/>
  <c r="R435" i="13"/>
  <c r="BQ140" i="3"/>
  <c r="R443" i="13"/>
  <c r="BQ148" i="3"/>
  <c r="R451" i="13"/>
  <c r="AH451" i="13" s="1"/>
  <c r="BQ156" i="3"/>
  <c r="R459" i="13"/>
  <c r="BQ164" i="3"/>
  <c r="R467" i="13"/>
  <c r="BQ172" i="3"/>
  <c r="R475" i="13"/>
  <c r="BQ180" i="3"/>
  <c r="R483" i="13"/>
  <c r="AH483" i="13" s="1"/>
  <c r="BQ188" i="3"/>
  <c r="R491" i="13"/>
  <c r="BQ196" i="3"/>
  <c r="R499" i="13"/>
  <c r="BQ51" i="3"/>
  <c r="R354" i="13"/>
  <c r="AH354" i="13" s="1"/>
  <c r="BQ59" i="3"/>
  <c r="R362" i="13"/>
  <c r="BQ67" i="3"/>
  <c r="R370" i="13"/>
  <c r="BQ75" i="3"/>
  <c r="R378" i="13"/>
  <c r="BQ83" i="3"/>
  <c r="R386" i="13"/>
  <c r="BQ91" i="3"/>
  <c r="R394" i="13"/>
  <c r="AH394" i="13" s="1"/>
  <c r="BQ99" i="3"/>
  <c r="R402" i="13"/>
  <c r="BQ107" i="3"/>
  <c r="R410" i="13"/>
  <c r="AH410" i="13" s="1"/>
  <c r="BQ115" i="3"/>
  <c r="R418" i="13"/>
  <c r="BQ123" i="3"/>
  <c r="R426" i="13"/>
  <c r="AH426" i="13" s="1"/>
  <c r="BQ131" i="3"/>
  <c r="R434" i="13"/>
  <c r="BQ139" i="3"/>
  <c r="R442" i="13"/>
  <c r="AH442" i="13" s="1"/>
  <c r="BQ147" i="3"/>
  <c r="R450" i="13"/>
  <c r="AH450" i="13" s="1"/>
  <c r="BQ155" i="3"/>
  <c r="R458" i="13"/>
  <c r="AH458" i="13" s="1"/>
  <c r="BQ163" i="3"/>
  <c r="R466" i="13"/>
  <c r="BQ171" i="3"/>
  <c r="R474" i="13"/>
  <c r="AH474" i="13" s="1"/>
  <c r="BQ179" i="3"/>
  <c r="R482" i="13"/>
  <c r="AH482" i="13" s="1"/>
  <c r="BQ187" i="3"/>
  <c r="R490" i="13"/>
  <c r="BQ195" i="3"/>
  <c r="R498" i="13"/>
  <c r="BQ50" i="3"/>
  <c r="R353" i="13"/>
  <c r="AH353" i="13" s="1"/>
  <c r="BQ58" i="3"/>
  <c r="R361" i="13"/>
  <c r="AH361" i="13" s="1"/>
  <c r="BQ66" i="3"/>
  <c r="R369" i="13"/>
  <c r="AH369" i="13" s="1"/>
  <c r="BQ74" i="3"/>
  <c r="R377" i="13"/>
  <c r="BQ82" i="3"/>
  <c r="R385" i="13"/>
  <c r="BQ90" i="3"/>
  <c r="R393" i="13"/>
  <c r="AH393" i="13" s="1"/>
  <c r="BQ98" i="3"/>
  <c r="R401" i="13"/>
  <c r="AH401" i="13" s="1"/>
  <c r="BQ106" i="3"/>
  <c r="R409" i="13"/>
  <c r="BQ114" i="3"/>
  <c r="R417" i="13"/>
  <c r="BQ122" i="3"/>
  <c r="R425" i="13"/>
  <c r="BQ130" i="3"/>
  <c r="R433" i="13"/>
  <c r="AH433" i="13" s="1"/>
  <c r="BQ138" i="3"/>
  <c r="R441" i="13"/>
  <c r="BQ146" i="3"/>
  <c r="R449" i="13"/>
  <c r="BQ154" i="3"/>
  <c r="R457" i="13"/>
  <c r="AH457" i="13" s="1"/>
  <c r="BQ162" i="3"/>
  <c r="R465" i="13"/>
  <c r="BQ170" i="3"/>
  <c r="R473" i="13"/>
  <c r="AH473" i="13" s="1"/>
  <c r="BQ178" i="3"/>
  <c r="R481" i="13"/>
  <c r="BQ186" i="3"/>
  <c r="R489" i="13"/>
  <c r="BQ194" i="3"/>
  <c r="R497" i="13"/>
  <c r="AF13" i="3"/>
  <c r="R316" i="13"/>
  <c r="AF18" i="3"/>
  <c r="R321" i="13"/>
  <c r="AH321" i="13" s="1"/>
  <c r="BQ57" i="3"/>
  <c r="R360" i="13"/>
  <c r="AH360" i="13" s="1"/>
  <c r="BQ65" i="3"/>
  <c r="R368" i="13"/>
  <c r="AH368" i="13" s="1"/>
  <c r="BQ73" i="3"/>
  <c r="R376" i="13"/>
  <c r="AH376" i="13" s="1"/>
  <c r="BQ81" i="3"/>
  <c r="R384" i="13"/>
  <c r="BQ89" i="3"/>
  <c r="R392" i="13"/>
  <c r="BQ97" i="3"/>
  <c r="R400" i="13"/>
  <c r="BQ105" i="3"/>
  <c r="R408" i="13"/>
  <c r="AH408" i="13" s="1"/>
  <c r="BQ113" i="3"/>
  <c r="R416" i="13"/>
  <c r="BQ121" i="3"/>
  <c r="R424" i="13"/>
  <c r="BQ129" i="3"/>
  <c r="R432" i="13"/>
  <c r="AH432" i="13" s="1"/>
  <c r="BQ137" i="3"/>
  <c r="R440" i="13"/>
  <c r="BQ145" i="3"/>
  <c r="R448" i="13"/>
  <c r="BQ153" i="3"/>
  <c r="R456" i="13"/>
  <c r="AH456" i="13" s="1"/>
  <c r="BQ161" i="3"/>
  <c r="R464" i="13"/>
  <c r="AH464" i="13" s="1"/>
  <c r="BQ169" i="3"/>
  <c r="R472" i="13"/>
  <c r="AH472" i="13" s="1"/>
  <c r="BQ177" i="3"/>
  <c r="R480" i="13"/>
  <c r="BQ185" i="3"/>
  <c r="R488" i="13"/>
  <c r="BQ193" i="3"/>
  <c r="R496" i="13"/>
  <c r="AH496" i="13" s="1"/>
  <c r="BQ201" i="3"/>
  <c r="R504" i="13"/>
  <c r="AH504" i="13" s="1"/>
  <c r="BQ56" i="3"/>
  <c r="R359" i="13"/>
  <c r="AH359" i="13" s="1"/>
  <c r="BQ64" i="3"/>
  <c r="R367" i="13"/>
  <c r="AH367" i="13" s="1"/>
  <c r="BQ72" i="3"/>
  <c r="R375" i="13"/>
  <c r="AH375" i="13" s="1"/>
  <c r="BQ80" i="3"/>
  <c r="R383" i="13"/>
  <c r="AH383" i="13" s="1"/>
  <c r="BQ88" i="3"/>
  <c r="R391" i="13"/>
  <c r="BQ96" i="3"/>
  <c r="R399" i="13"/>
  <c r="AH399" i="13" s="1"/>
  <c r="BQ104" i="3"/>
  <c r="R407" i="13"/>
  <c r="AH407" i="13" s="1"/>
  <c r="BQ112" i="3"/>
  <c r="R415" i="13"/>
  <c r="AH415" i="13" s="1"/>
  <c r="BQ120" i="3"/>
  <c r="R423" i="13"/>
  <c r="AH423" i="13" s="1"/>
  <c r="BQ128" i="3"/>
  <c r="R431" i="13"/>
  <c r="AH431" i="13" s="1"/>
  <c r="BQ136" i="3"/>
  <c r="R439" i="13"/>
  <c r="AH439" i="13" s="1"/>
  <c r="BQ144" i="3"/>
  <c r="R447" i="13"/>
  <c r="BQ152" i="3"/>
  <c r="R455" i="13"/>
  <c r="BQ160" i="3"/>
  <c r="R463" i="13"/>
  <c r="AH463" i="13" s="1"/>
  <c r="BQ168" i="3"/>
  <c r="R471" i="13"/>
  <c r="AH471" i="13" s="1"/>
  <c r="BQ176" i="3"/>
  <c r="R479" i="13"/>
  <c r="AH479" i="13" s="1"/>
  <c r="BQ184" i="3"/>
  <c r="R487" i="13"/>
  <c r="BQ192" i="3"/>
  <c r="R495" i="13"/>
  <c r="AH495" i="13" s="1"/>
  <c r="BQ200" i="3"/>
  <c r="R503" i="13"/>
  <c r="AH503" i="13" s="1"/>
  <c r="BQ55" i="3"/>
  <c r="R358" i="13"/>
  <c r="BQ63" i="3"/>
  <c r="R366" i="13"/>
  <c r="AH366" i="13" s="1"/>
  <c r="BQ71" i="3"/>
  <c r="R374" i="13"/>
  <c r="AH374" i="13" s="1"/>
  <c r="BQ79" i="3"/>
  <c r="R382" i="13"/>
  <c r="AH382" i="13" s="1"/>
  <c r="BQ87" i="3"/>
  <c r="R390" i="13"/>
  <c r="BQ95" i="3"/>
  <c r="R398" i="13"/>
  <c r="BQ103" i="3"/>
  <c r="R406" i="13"/>
  <c r="AH406" i="13" s="1"/>
  <c r="BQ111" i="3"/>
  <c r="R414" i="13"/>
  <c r="AH414" i="13" s="1"/>
  <c r="BQ119" i="3"/>
  <c r="R422" i="13"/>
  <c r="BQ127" i="3"/>
  <c r="R430" i="13"/>
  <c r="AH430" i="13" s="1"/>
  <c r="BQ135" i="3"/>
  <c r="R438" i="13"/>
  <c r="AH438" i="13" s="1"/>
  <c r="BQ143" i="3"/>
  <c r="R446" i="13"/>
  <c r="AH446" i="13" s="1"/>
  <c r="BQ151" i="3"/>
  <c r="R454" i="13"/>
  <c r="BQ159" i="3"/>
  <c r="R462" i="13"/>
  <c r="AH462" i="13" s="1"/>
  <c r="BQ167" i="3"/>
  <c r="R470" i="13"/>
  <c r="AH470" i="13" s="1"/>
  <c r="BQ175" i="3"/>
  <c r="R478" i="13"/>
  <c r="AH478" i="13" s="1"/>
  <c r="BQ183" i="3"/>
  <c r="R486" i="13"/>
  <c r="BQ191" i="3"/>
  <c r="R494" i="13"/>
  <c r="AH494" i="13" s="1"/>
  <c r="BQ199" i="3"/>
  <c r="R502" i="13"/>
  <c r="AH502" i="13" s="1"/>
  <c r="AV29" i="3"/>
  <c r="R332" i="13"/>
  <c r="AH332" i="13" s="1"/>
  <c r="BQ54" i="3"/>
  <c r="R357" i="13"/>
  <c r="AH357" i="13" s="1"/>
  <c r="BQ62" i="3"/>
  <c r="R365" i="13"/>
  <c r="AH365" i="13" s="1"/>
  <c r="BQ70" i="3"/>
  <c r="R373" i="13"/>
  <c r="BQ78" i="3"/>
  <c r="R381" i="13"/>
  <c r="AH381" i="13" s="1"/>
  <c r="BQ86" i="3"/>
  <c r="R389" i="13"/>
  <c r="AH389" i="13" s="1"/>
  <c r="BQ94" i="3"/>
  <c r="R397" i="13"/>
  <c r="AH397" i="13" s="1"/>
  <c r="BQ102" i="3"/>
  <c r="R405" i="13"/>
  <c r="AH405" i="13" s="1"/>
  <c r="BQ110" i="3"/>
  <c r="R413" i="13"/>
  <c r="AH413" i="13" s="1"/>
  <c r="BQ118" i="3"/>
  <c r="R421" i="13"/>
  <c r="AH421" i="13" s="1"/>
  <c r="BQ126" i="3"/>
  <c r="R429" i="13"/>
  <c r="AH429" i="13" s="1"/>
  <c r="BQ134" i="3"/>
  <c r="R437" i="13"/>
  <c r="AH437" i="13" s="1"/>
  <c r="BQ142" i="3"/>
  <c r="R445" i="13"/>
  <c r="BQ150" i="3"/>
  <c r="R453" i="13"/>
  <c r="AH453" i="13" s="1"/>
  <c r="BQ158" i="3"/>
  <c r="R461" i="13"/>
  <c r="AH461" i="13" s="1"/>
  <c r="BQ166" i="3"/>
  <c r="R469" i="13"/>
  <c r="BQ174" i="3"/>
  <c r="R477" i="13"/>
  <c r="AH477" i="13" s="1"/>
  <c r="BQ182" i="3"/>
  <c r="R485" i="13"/>
  <c r="AH485" i="13" s="1"/>
  <c r="BQ190" i="3"/>
  <c r="R493" i="13"/>
  <c r="AH493" i="13" s="1"/>
  <c r="BQ198" i="3"/>
  <c r="R501" i="13"/>
  <c r="DX30" i="3"/>
  <c r="BN44" i="3"/>
  <c r="BM44" i="3"/>
  <c r="BN45" i="3"/>
  <c r="BM45" i="3"/>
  <c r="BN46" i="3"/>
  <c r="BM46" i="3"/>
  <c r="DX38" i="3"/>
  <c r="DX26" i="3"/>
  <c r="BQ205" i="3"/>
  <c r="BV205" i="3" s="1"/>
  <c r="BQ213" i="3"/>
  <c r="BV213" i="3" s="1"/>
  <c r="BQ221" i="3"/>
  <c r="BV221" i="3" s="1"/>
  <c r="BQ229" i="3"/>
  <c r="BV229" i="3" s="1"/>
  <c r="BQ237" i="3"/>
  <c r="BV237" i="3" s="1"/>
  <c r="BQ245" i="3"/>
  <c r="BV245" i="3" s="1"/>
  <c r="BQ253" i="3"/>
  <c r="BV253" i="3" s="1"/>
  <c r="BQ261" i="3"/>
  <c r="BV261" i="3" s="1"/>
  <c r="BQ269" i="3"/>
  <c r="BV269" i="3" s="1"/>
  <c r="BQ277" i="3"/>
  <c r="BV277" i="3" s="1"/>
  <c r="BQ285" i="3"/>
  <c r="BV285" i="3" s="1"/>
  <c r="BQ293" i="3"/>
  <c r="BV293" i="3" s="1"/>
  <c r="BQ301" i="3"/>
  <c r="BV301" i="3" s="1"/>
  <c r="BQ204" i="3"/>
  <c r="BV204" i="3" s="1"/>
  <c r="BQ212" i="3"/>
  <c r="BV212" i="3" s="1"/>
  <c r="BQ220" i="3"/>
  <c r="BV220" i="3" s="1"/>
  <c r="BQ228" i="3"/>
  <c r="BV228" i="3" s="1"/>
  <c r="BQ236" i="3"/>
  <c r="BV236" i="3" s="1"/>
  <c r="BQ244" i="3"/>
  <c r="BV244" i="3" s="1"/>
  <c r="BQ252" i="3"/>
  <c r="BV252" i="3" s="1"/>
  <c r="BQ260" i="3"/>
  <c r="BV260" i="3" s="1"/>
  <c r="BQ268" i="3"/>
  <c r="BV268" i="3" s="1"/>
  <c r="BQ276" i="3"/>
  <c r="BV276" i="3" s="1"/>
  <c r="BQ284" i="3"/>
  <c r="BV284" i="3" s="1"/>
  <c r="BQ292" i="3"/>
  <c r="BV292" i="3" s="1"/>
  <c r="BQ300" i="3"/>
  <c r="BV300" i="3" s="1"/>
  <c r="BQ308" i="3"/>
  <c r="BV308" i="3" s="1"/>
  <c r="BQ203" i="3"/>
  <c r="BV203" i="3" s="1"/>
  <c r="BQ211" i="3"/>
  <c r="BV211" i="3" s="1"/>
  <c r="BQ219" i="3"/>
  <c r="BV219" i="3" s="1"/>
  <c r="BQ227" i="3"/>
  <c r="BV227" i="3" s="1"/>
  <c r="BQ235" i="3"/>
  <c r="BV235" i="3" s="1"/>
  <c r="BQ243" i="3"/>
  <c r="BV243" i="3" s="1"/>
  <c r="BQ251" i="3"/>
  <c r="BV251" i="3" s="1"/>
  <c r="BQ259" i="3"/>
  <c r="BV259" i="3" s="1"/>
  <c r="BQ267" i="3"/>
  <c r="BV267" i="3" s="1"/>
  <c r="BQ275" i="3"/>
  <c r="BV275" i="3" s="1"/>
  <c r="BQ283" i="3"/>
  <c r="BV283" i="3" s="1"/>
  <c r="BQ291" i="3"/>
  <c r="BV291" i="3" s="1"/>
  <c r="BQ299" i="3"/>
  <c r="BV299" i="3" s="1"/>
  <c r="BQ307" i="3"/>
  <c r="BV307" i="3" s="1"/>
  <c r="BQ202" i="3"/>
  <c r="BV202" i="3" s="1"/>
  <c r="BQ210" i="3"/>
  <c r="BV210" i="3" s="1"/>
  <c r="BQ218" i="3"/>
  <c r="BV218" i="3" s="1"/>
  <c r="BQ226" i="3"/>
  <c r="BV226" i="3" s="1"/>
  <c r="BQ234" i="3"/>
  <c r="BV234" i="3" s="1"/>
  <c r="BQ242" i="3"/>
  <c r="BV242" i="3" s="1"/>
  <c r="BQ250" i="3"/>
  <c r="BV250" i="3" s="1"/>
  <c r="BQ258" i="3"/>
  <c r="BV258" i="3" s="1"/>
  <c r="BQ266" i="3"/>
  <c r="BV266" i="3" s="1"/>
  <c r="BQ274" i="3"/>
  <c r="BV274" i="3" s="1"/>
  <c r="BQ282" i="3"/>
  <c r="BV282" i="3" s="1"/>
  <c r="BQ290" i="3"/>
  <c r="BV290" i="3" s="1"/>
  <c r="BQ298" i="3"/>
  <c r="BV298" i="3" s="1"/>
  <c r="BQ306" i="3"/>
  <c r="BV306" i="3" s="1"/>
  <c r="BQ209" i="3"/>
  <c r="BV209" i="3" s="1"/>
  <c r="BQ217" i="3"/>
  <c r="BV217" i="3" s="1"/>
  <c r="BQ225" i="3"/>
  <c r="BV225" i="3" s="1"/>
  <c r="BQ233" i="3"/>
  <c r="BV233" i="3" s="1"/>
  <c r="BQ241" i="3"/>
  <c r="BV241" i="3" s="1"/>
  <c r="BQ249" i="3"/>
  <c r="BV249" i="3" s="1"/>
  <c r="BQ257" i="3"/>
  <c r="BV257" i="3" s="1"/>
  <c r="BQ265" i="3"/>
  <c r="BV265" i="3" s="1"/>
  <c r="BQ273" i="3"/>
  <c r="BV273" i="3" s="1"/>
  <c r="BQ281" i="3"/>
  <c r="BV281" i="3" s="1"/>
  <c r="BQ289" i="3"/>
  <c r="BV289" i="3" s="1"/>
  <c r="BQ297" i="3"/>
  <c r="BV297" i="3" s="1"/>
  <c r="BQ305" i="3"/>
  <c r="BV305" i="3" s="1"/>
  <c r="BQ208" i="3"/>
  <c r="BV208" i="3" s="1"/>
  <c r="BQ216" i="3"/>
  <c r="BV216" i="3" s="1"/>
  <c r="BQ224" i="3"/>
  <c r="BV224" i="3" s="1"/>
  <c r="BQ232" i="3"/>
  <c r="BV232" i="3" s="1"/>
  <c r="BQ240" i="3"/>
  <c r="BV240" i="3" s="1"/>
  <c r="BQ248" i="3"/>
  <c r="BV248" i="3" s="1"/>
  <c r="BQ256" i="3"/>
  <c r="BV256" i="3" s="1"/>
  <c r="BQ264" i="3"/>
  <c r="BV264" i="3" s="1"/>
  <c r="BQ272" i="3"/>
  <c r="BV272" i="3" s="1"/>
  <c r="BQ280" i="3"/>
  <c r="BV280" i="3" s="1"/>
  <c r="BQ288" i="3"/>
  <c r="BV288" i="3" s="1"/>
  <c r="BQ296" i="3"/>
  <c r="BV296" i="3" s="1"/>
  <c r="BQ304" i="3"/>
  <c r="BV304" i="3" s="1"/>
  <c r="BQ207" i="3"/>
  <c r="BV207" i="3" s="1"/>
  <c r="BQ215" i="3"/>
  <c r="BV215" i="3" s="1"/>
  <c r="BQ223" i="3"/>
  <c r="BV223" i="3" s="1"/>
  <c r="BQ231" i="3"/>
  <c r="BV231" i="3" s="1"/>
  <c r="BQ239" i="3"/>
  <c r="BV239" i="3" s="1"/>
  <c r="BQ247" i="3"/>
  <c r="BV247" i="3" s="1"/>
  <c r="BQ255" i="3"/>
  <c r="BV255" i="3" s="1"/>
  <c r="BQ263" i="3"/>
  <c r="BV263" i="3" s="1"/>
  <c r="BQ271" i="3"/>
  <c r="BV271" i="3" s="1"/>
  <c r="BQ279" i="3"/>
  <c r="BV279" i="3" s="1"/>
  <c r="BQ287" i="3"/>
  <c r="BV287" i="3" s="1"/>
  <c r="BQ295" i="3"/>
  <c r="BV295" i="3" s="1"/>
  <c r="BQ303" i="3"/>
  <c r="BV303" i="3" s="1"/>
  <c r="BQ206" i="3"/>
  <c r="BV206" i="3" s="1"/>
  <c r="BQ214" i="3"/>
  <c r="BV214" i="3" s="1"/>
  <c r="BQ222" i="3"/>
  <c r="BV222" i="3" s="1"/>
  <c r="BQ230" i="3"/>
  <c r="BV230" i="3" s="1"/>
  <c r="BQ238" i="3"/>
  <c r="BV238" i="3" s="1"/>
  <c r="BQ246" i="3"/>
  <c r="BV246" i="3" s="1"/>
  <c r="BQ254" i="3"/>
  <c r="BV254" i="3" s="1"/>
  <c r="BQ262" i="3"/>
  <c r="BV262" i="3" s="1"/>
  <c r="BQ270" i="3"/>
  <c r="BV270" i="3" s="1"/>
  <c r="BQ278" i="3"/>
  <c r="BV278" i="3" s="1"/>
  <c r="BQ286" i="3"/>
  <c r="BV286" i="3" s="1"/>
  <c r="BQ294" i="3"/>
  <c r="BV294" i="3" s="1"/>
  <c r="BQ302" i="3"/>
  <c r="BV302" i="3" s="1"/>
  <c r="AF24" i="3"/>
  <c r="AH316" i="13"/>
  <c r="AF10" i="3"/>
  <c r="AF12" i="3"/>
  <c r="AF25" i="3"/>
  <c r="AF21" i="3"/>
  <c r="AF35" i="3"/>
  <c r="AH346" i="13"/>
  <c r="AF43" i="3"/>
  <c r="BQ43" i="3" s="1"/>
  <c r="AF51" i="3"/>
  <c r="AH362" i="13"/>
  <c r="AF59" i="3"/>
  <c r="AF67" i="3"/>
  <c r="AH378" i="13"/>
  <c r="AF75" i="3"/>
  <c r="AF83" i="3"/>
  <c r="AF91" i="3"/>
  <c r="AF99" i="3"/>
  <c r="AF107" i="3"/>
  <c r="AH418" i="13"/>
  <c r="AF115" i="3"/>
  <c r="AF123" i="3"/>
  <c r="AF131" i="3"/>
  <c r="AF139" i="3"/>
  <c r="AF147" i="3"/>
  <c r="AF155" i="3"/>
  <c r="AF163" i="3"/>
  <c r="AF171" i="3"/>
  <c r="AF179" i="3"/>
  <c r="AF187" i="3"/>
  <c r="AF195" i="3"/>
  <c r="AH506" i="13"/>
  <c r="AF203" i="3"/>
  <c r="AH514" i="13"/>
  <c r="AF211" i="3"/>
  <c r="AH522" i="13"/>
  <c r="AF219" i="3"/>
  <c r="AF227" i="3"/>
  <c r="AH538" i="13"/>
  <c r="AF235" i="3"/>
  <c r="AH546" i="13"/>
  <c r="AF243" i="3"/>
  <c r="AF251" i="3"/>
  <c r="AF259" i="3"/>
  <c r="AH570" i="13"/>
  <c r="AF267" i="3"/>
  <c r="AH578" i="13"/>
  <c r="AF275" i="3"/>
  <c r="AH586" i="13"/>
  <c r="AF283" i="3"/>
  <c r="AF291" i="3"/>
  <c r="AH602" i="13"/>
  <c r="AF299" i="3"/>
  <c r="AH610" i="13"/>
  <c r="AF307" i="3"/>
  <c r="AF26" i="3"/>
  <c r="AF28" i="3"/>
  <c r="AF34" i="3"/>
  <c r="AH345" i="13"/>
  <c r="AF42" i="3"/>
  <c r="AF50" i="3"/>
  <c r="AF58" i="3"/>
  <c r="AF66" i="3"/>
  <c r="AH377" i="13"/>
  <c r="AF74" i="3"/>
  <c r="AF82" i="3"/>
  <c r="AF90" i="3"/>
  <c r="AF98" i="3"/>
  <c r="AH409" i="13"/>
  <c r="AF106" i="3"/>
  <c r="AH417" i="13"/>
  <c r="AF114" i="3"/>
  <c r="AF122" i="3"/>
  <c r="AF130" i="3"/>
  <c r="AH441" i="13"/>
  <c r="AF138" i="3"/>
  <c r="AF146" i="3"/>
  <c r="AF154" i="3"/>
  <c r="AH465" i="13"/>
  <c r="AF162" i="3"/>
  <c r="AF170" i="3"/>
  <c r="AH481" i="13"/>
  <c r="AF178" i="3"/>
  <c r="AF186" i="3"/>
  <c r="AH497" i="13"/>
  <c r="AF194" i="3"/>
  <c r="AH505" i="13"/>
  <c r="AF202" i="3"/>
  <c r="AH513" i="13"/>
  <c r="AF210" i="3"/>
  <c r="AH521" i="13"/>
  <c r="AF218" i="3"/>
  <c r="AH529" i="13"/>
  <c r="AF226" i="3"/>
  <c r="AH537" i="13"/>
  <c r="AF234" i="3"/>
  <c r="AH545" i="13"/>
  <c r="AF242" i="3"/>
  <c r="AF250" i="3"/>
  <c r="AH561" i="13"/>
  <c r="AF258" i="3"/>
  <c r="AH569" i="13"/>
  <c r="AF266" i="3"/>
  <c r="AF274" i="3"/>
  <c r="AH585" i="13"/>
  <c r="AF282" i="3"/>
  <c r="AH593" i="13"/>
  <c r="AF290" i="3"/>
  <c r="AH601" i="13"/>
  <c r="AF298" i="3"/>
  <c r="AH609" i="13"/>
  <c r="AF306" i="3"/>
  <c r="AF20" i="3"/>
  <c r="AF33" i="3"/>
  <c r="AH344" i="13"/>
  <c r="AF41" i="3"/>
  <c r="BQ41" i="3" s="1"/>
  <c r="AF49" i="3"/>
  <c r="BQ49" i="3" s="1"/>
  <c r="AF57" i="3"/>
  <c r="AF65" i="3"/>
  <c r="AF73" i="3"/>
  <c r="AF81" i="3"/>
  <c r="AF89" i="3"/>
  <c r="AH400" i="13"/>
  <c r="AF97" i="3"/>
  <c r="AF105" i="3"/>
  <c r="AF113" i="3"/>
  <c r="AF121" i="3"/>
  <c r="AF129" i="3"/>
  <c r="AH440" i="13"/>
  <c r="AF137" i="3"/>
  <c r="AF145" i="3"/>
  <c r="AF153" i="3"/>
  <c r="AF161" i="3"/>
  <c r="AF169" i="3"/>
  <c r="AF177" i="3"/>
  <c r="AF185" i="3"/>
  <c r="AF193" i="3"/>
  <c r="AF201" i="3"/>
  <c r="AF209" i="3"/>
  <c r="AF217" i="3"/>
  <c r="AH528" i="13"/>
  <c r="AF225" i="3"/>
  <c r="AH536" i="13"/>
  <c r="AF233" i="3"/>
  <c r="AF241" i="3"/>
  <c r="AF249" i="3"/>
  <c r="AH560" i="13"/>
  <c r="AF257" i="3"/>
  <c r="AH568" i="13"/>
  <c r="AF265" i="3"/>
  <c r="AF273" i="3"/>
  <c r="AF281" i="3"/>
  <c r="AH592" i="13"/>
  <c r="AF289" i="3"/>
  <c r="AH600" i="13"/>
  <c r="AF297" i="3"/>
  <c r="AF305" i="3"/>
  <c r="AF16" i="3"/>
  <c r="AF32" i="3"/>
  <c r="AH343" i="13"/>
  <c r="AF40" i="3"/>
  <c r="AH351" i="13"/>
  <c r="AF48" i="3"/>
  <c r="BQ48" i="3" s="1"/>
  <c r="AF56" i="3"/>
  <c r="AF64" i="3"/>
  <c r="AF72" i="3"/>
  <c r="AF80" i="3"/>
  <c r="AF88" i="3"/>
  <c r="AF96" i="3"/>
  <c r="AF104" i="3"/>
  <c r="AF112" i="3"/>
  <c r="AF120" i="3"/>
  <c r="AF128" i="3"/>
  <c r="AF136" i="3"/>
  <c r="AF144" i="3"/>
  <c r="AF152" i="3"/>
  <c r="AF160" i="3"/>
  <c r="AF168" i="3"/>
  <c r="AF176" i="3"/>
  <c r="AF184" i="3"/>
  <c r="AF192" i="3"/>
  <c r="AF200" i="3"/>
  <c r="AH511" i="13"/>
  <c r="AF208" i="3"/>
  <c r="AF216" i="3"/>
  <c r="AH527" i="13"/>
  <c r="AF224" i="3"/>
  <c r="AH535" i="13"/>
  <c r="AF232" i="3"/>
  <c r="AH543" i="13"/>
  <c r="AF240" i="3"/>
  <c r="AF248" i="3"/>
  <c r="AH559" i="13"/>
  <c r="AF256" i="3"/>
  <c r="AH567" i="13"/>
  <c r="AF264" i="3"/>
  <c r="AH575" i="13"/>
  <c r="AF272" i="3"/>
  <c r="AF280" i="3"/>
  <c r="AH591" i="13"/>
  <c r="AF288" i="3"/>
  <c r="AH599" i="13"/>
  <c r="AF296" i="3"/>
  <c r="AH607" i="13"/>
  <c r="AF304" i="3"/>
  <c r="AF31" i="3"/>
  <c r="AH342" i="13"/>
  <c r="AF39" i="3"/>
  <c r="BQ39" i="3" s="1"/>
  <c r="AH350" i="13"/>
  <c r="AF47" i="3"/>
  <c r="AF55" i="3"/>
  <c r="AF63" i="3"/>
  <c r="AF71" i="3"/>
  <c r="AF79" i="3"/>
  <c r="AF87" i="3"/>
  <c r="AH398" i="13"/>
  <c r="AF95" i="3"/>
  <c r="AF103" i="3"/>
  <c r="AF111" i="3"/>
  <c r="AF119" i="3"/>
  <c r="AF127" i="3"/>
  <c r="AF135" i="3"/>
  <c r="AF143" i="3"/>
  <c r="AF151" i="3"/>
  <c r="AF159" i="3"/>
  <c r="AF167" i="3"/>
  <c r="AF175" i="3"/>
  <c r="AF183" i="3"/>
  <c r="AF191" i="3"/>
  <c r="AF199" i="3"/>
  <c r="AH510" i="13"/>
  <c r="AF207" i="3"/>
  <c r="AF215" i="3"/>
  <c r="AH526" i="13"/>
  <c r="AF223" i="3"/>
  <c r="AH534" i="13"/>
  <c r="AF231" i="3"/>
  <c r="AH542" i="13"/>
  <c r="AF239" i="3"/>
  <c r="AF247" i="3"/>
  <c r="AH558" i="13"/>
  <c r="AF255" i="3"/>
  <c r="AH566" i="13"/>
  <c r="AF263" i="3"/>
  <c r="AH574" i="13"/>
  <c r="AF271" i="3"/>
  <c r="AF279" i="3"/>
  <c r="AH590" i="13"/>
  <c r="AF287" i="3"/>
  <c r="AH598" i="13"/>
  <c r="AF295" i="3"/>
  <c r="AH606" i="13"/>
  <c r="AF303" i="3"/>
  <c r="AF14" i="3"/>
  <c r="AH330" i="13"/>
  <c r="AF27" i="3"/>
  <c r="AF29" i="3"/>
  <c r="AF30" i="3"/>
  <c r="AF38" i="3"/>
  <c r="AZ38" i="3" s="1"/>
  <c r="AH349" i="13"/>
  <c r="AF46" i="3"/>
  <c r="AF54" i="3"/>
  <c r="AF62" i="3"/>
  <c r="AF70" i="3"/>
  <c r="AF78" i="3"/>
  <c r="AF86" i="3"/>
  <c r="AF94" i="3"/>
  <c r="AF102" i="3"/>
  <c r="AF110" i="3"/>
  <c r="AF118" i="3"/>
  <c r="AF126" i="3"/>
  <c r="AF134" i="3"/>
  <c r="AF142" i="3"/>
  <c r="AF150" i="3"/>
  <c r="AF158" i="3"/>
  <c r="AF166" i="3"/>
  <c r="AF174" i="3"/>
  <c r="AF182" i="3"/>
  <c r="AF190" i="3"/>
  <c r="AF198" i="3"/>
  <c r="AH509" i="13"/>
  <c r="AF206" i="3"/>
  <c r="AH517" i="13"/>
  <c r="AF214" i="3"/>
  <c r="AH525" i="13"/>
  <c r="AF222" i="3"/>
  <c r="AH533" i="13"/>
  <c r="AF230" i="3"/>
  <c r="AH541" i="13"/>
  <c r="AF238" i="3"/>
  <c r="AH549" i="13"/>
  <c r="AF246" i="3"/>
  <c r="AH557" i="13"/>
  <c r="AF254" i="3"/>
  <c r="AF262" i="3"/>
  <c r="AH573" i="13"/>
  <c r="AF270" i="3"/>
  <c r="AH581" i="13"/>
  <c r="AF278" i="3"/>
  <c r="AH589" i="13"/>
  <c r="AF286" i="3"/>
  <c r="AF294" i="3"/>
  <c r="AF302" i="3"/>
  <c r="AH322" i="13"/>
  <c r="AF19" i="3"/>
  <c r="AH325" i="13"/>
  <c r="AF22" i="3"/>
  <c r="AH326" i="13"/>
  <c r="AF23" i="3"/>
  <c r="AF37" i="3"/>
  <c r="AH348" i="13"/>
  <c r="AF45" i="3"/>
  <c r="AH356" i="13"/>
  <c r="AF53" i="3"/>
  <c r="AF61" i="3"/>
  <c r="AH372" i="13"/>
  <c r="AF69" i="3"/>
  <c r="AF77" i="3"/>
  <c r="AH388" i="13"/>
  <c r="AF85" i="3"/>
  <c r="AF93" i="3"/>
  <c r="AF101" i="3"/>
  <c r="AF109" i="3"/>
  <c r="AH420" i="13"/>
  <c r="AF117" i="3"/>
  <c r="AF125" i="3"/>
  <c r="AH436" i="13"/>
  <c r="AF133" i="3"/>
  <c r="AF141" i="3"/>
  <c r="AH452" i="13"/>
  <c r="AF149" i="3"/>
  <c r="AF157" i="3"/>
  <c r="AF165" i="3"/>
  <c r="AH476" i="13"/>
  <c r="AF173" i="3"/>
  <c r="AH484" i="13"/>
  <c r="AF181" i="3"/>
  <c r="AF189" i="3"/>
  <c r="AF197" i="3"/>
  <c r="AH508" i="13"/>
  <c r="AF205" i="3"/>
  <c r="AH516" i="13"/>
  <c r="AF213" i="3"/>
  <c r="AF221" i="3"/>
  <c r="AF229" i="3"/>
  <c r="AH540" i="13"/>
  <c r="AF237" i="3"/>
  <c r="AH548" i="13"/>
  <c r="AF245" i="3"/>
  <c r="AF253" i="3"/>
  <c r="AH564" i="13"/>
  <c r="AF261" i="3"/>
  <c r="AH572" i="13"/>
  <c r="AF269" i="3"/>
  <c r="AH580" i="13"/>
  <c r="AF277" i="3"/>
  <c r="AF285" i="3"/>
  <c r="AF293" i="3"/>
  <c r="AH604" i="13"/>
  <c r="AF301" i="3"/>
  <c r="AH320" i="13"/>
  <c r="AF17" i="3"/>
  <c r="AF36" i="3"/>
  <c r="AF44" i="3"/>
  <c r="AH355" i="13"/>
  <c r="AF52" i="3"/>
  <c r="AH363" i="13"/>
  <c r="AF60" i="3"/>
  <c r="AH371" i="13"/>
  <c r="AF68" i="3"/>
  <c r="AH379" i="13"/>
  <c r="AF76" i="3"/>
  <c r="AH387" i="13"/>
  <c r="AF84" i="3"/>
  <c r="AH395" i="13"/>
  <c r="AF92" i="3"/>
  <c r="AH403" i="13"/>
  <c r="AF100" i="3"/>
  <c r="AF108" i="3"/>
  <c r="AH419" i="13"/>
  <c r="AF116" i="3"/>
  <c r="AH427" i="13"/>
  <c r="AF124" i="3"/>
  <c r="AH435" i="13"/>
  <c r="AF132" i="3"/>
  <c r="AF140" i="3"/>
  <c r="AF148" i="3"/>
  <c r="AH459" i="13"/>
  <c r="AF156" i="3"/>
  <c r="AH467" i="13"/>
  <c r="AF164" i="3"/>
  <c r="AF172" i="3"/>
  <c r="AF180" i="3"/>
  <c r="AH491" i="13"/>
  <c r="AF188" i="3"/>
  <c r="AH499" i="13"/>
  <c r="AF196" i="3"/>
  <c r="AH507" i="13"/>
  <c r="AF204" i="3"/>
  <c r="AH515" i="13"/>
  <c r="AF212" i="3"/>
  <c r="AH523" i="13"/>
  <c r="AF220" i="3"/>
  <c r="AH531" i="13"/>
  <c r="AF228" i="3"/>
  <c r="AF236" i="3"/>
  <c r="AH547" i="13"/>
  <c r="AF244" i="3"/>
  <c r="AH555" i="13"/>
  <c r="AF252" i="3"/>
  <c r="AH563" i="13"/>
  <c r="AF260" i="3"/>
  <c r="AF268" i="3"/>
  <c r="AH579" i="13"/>
  <c r="AF276" i="3"/>
  <c r="AH587" i="13"/>
  <c r="AF284" i="3"/>
  <c r="AH595" i="13"/>
  <c r="AF292" i="3"/>
  <c r="AF300" i="3"/>
  <c r="AH611" i="13"/>
  <c r="AF308" i="3"/>
  <c r="AH314" i="13"/>
  <c r="AF11" i="3"/>
  <c r="AF15" i="3"/>
  <c r="AB276" i="13"/>
  <c r="AB164" i="13"/>
  <c r="AB156" i="13"/>
  <c r="AB140" i="13"/>
  <c r="AB132" i="13"/>
  <c r="AB84" i="13"/>
  <c r="AB28" i="13"/>
  <c r="BI17" i="5"/>
  <c r="AV20" i="3"/>
  <c r="AV19" i="3"/>
  <c r="BB19" i="3" s="1"/>
  <c r="DX12" i="3"/>
  <c r="DX9" i="3"/>
  <c r="AZ9" i="3"/>
  <c r="B355" i="13"/>
  <c r="B55" i="13"/>
  <c r="B363" i="13"/>
  <c r="B63" i="13"/>
  <c r="B371" i="13"/>
  <c r="B71" i="13"/>
  <c r="B379" i="13"/>
  <c r="B79" i="13"/>
  <c r="B387" i="13"/>
  <c r="B87" i="13"/>
  <c r="B395" i="13"/>
  <c r="B95" i="13"/>
  <c r="B403" i="13"/>
  <c r="B103" i="13"/>
  <c r="B411" i="13"/>
  <c r="B111" i="13"/>
  <c r="B419" i="13"/>
  <c r="B119" i="13"/>
  <c r="B427" i="13"/>
  <c r="B127" i="13"/>
  <c r="B435" i="13"/>
  <c r="B135" i="13"/>
  <c r="B443" i="13"/>
  <c r="B143" i="13"/>
  <c r="B451" i="13"/>
  <c r="B151" i="13"/>
  <c r="B459" i="13"/>
  <c r="B159" i="13"/>
  <c r="B467" i="13"/>
  <c r="B167" i="13"/>
  <c r="B475" i="13"/>
  <c r="B175" i="13"/>
  <c r="B483" i="13"/>
  <c r="B183" i="13"/>
  <c r="B491" i="13"/>
  <c r="B191" i="13"/>
  <c r="B499" i="13"/>
  <c r="B199" i="13"/>
  <c r="B507" i="13"/>
  <c r="B207" i="13"/>
  <c r="B515" i="13"/>
  <c r="B215" i="13"/>
  <c r="B523" i="13"/>
  <c r="B223" i="13"/>
  <c r="B531" i="13"/>
  <c r="B231" i="13"/>
  <c r="B539" i="13"/>
  <c r="B239" i="13"/>
  <c r="B547" i="13"/>
  <c r="B247" i="13"/>
  <c r="B555" i="13"/>
  <c r="B255" i="13"/>
  <c r="B563" i="13"/>
  <c r="B263" i="13"/>
  <c r="B571" i="13"/>
  <c r="B271" i="13"/>
  <c r="B579" i="13"/>
  <c r="B279" i="13"/>
  <c r="B587" i="13"/>
  <c r="B287" i="13"/>
  <c r="B595" i="13"/>
  <c r="B295" i="13"/>
  <c r="B603" i="13"/>
  <c r="B303" i="13"/>
  <c r="B611" i="13"/>
  <c r="B311" i="13"/>
  <c r="B354" i="13"/>
  <c r="B54" i="13"/>
  <c r="B362" i="13"/>
  <c r="B62" i="13"/>
  <c r="B370" i="13"/>
  <c r="B70" i="13"/>
  <c r="B378" i="13"/>
  <c r="B78" i="13"/>
  <c r="B386" i="13"/>
  <c r="B86" i="13"/>
  <c r="B394" i="13"/>
  <c r="B94" i="13"/>
  <c r="B402" i="13"/>
  <c r="B102" i="13"/>
  <c r="B410" i="13"/>
  <c r="B110" i="13"/>
  <c r="B418" i="13"/>
  <c r="B118" i="13"/>
  <c r="B426" i="13"/>
  <c r="B126" i="13"/>
  <c r="B434" i="13"/>
  <c r="B134" i="13"/>
  <c r="B442" i="13"/>
  <c r="B142" i="13"/>
  <c r="B450" i="13"/>
  <c r="B150" i="13"/>
  <c r="B458" i="13"/>
  <c r="B158" i="13"/>
  <c r="B466" i="13"/>
  <c r="B166" i="13"/>
  <c r="B474" i="13"/>
  <c r="B174" i="13"/>
  <c r="B482" i="13"/>
  <c r="B182" i="13"/>
  <c r="B490" i="13"/>
  <c r="B190" i="13"/>
  <c r="B498" i="13"/>
  <c r="B198" i="13"/>
  <c r="B506" i="13"/>
  <c r="B206" i="13"/>
  <c r="B514" i="13"/>
  <c r="B214" i="13"/>
  <c r="B522" i="13"/>
  <c r="B222" i="13"/>
  <c r="B530" i="13"/>
  <c r="B230" i="13"/>
  <c r="B538" i="13"/>
  <c r="B238" i="13"/>
  <c r="B546" i="13"/>
  <c r="B246" i="13"/>
  <c r="B554" i="13"/>
  <c r="B254" i="13"/>
  <c r="B562" i="13"/>
  <c r="B262" i="13"/>
  <c r="B570" i="13"/>
  <c r="B270" i="13"/>
  <c r="B578" i="13"/>
  <c r="B278" i="13"/>
  <c r="B586" i="13"/>
  <c r="B286" i="13"/>
  <c r="B594" i="13"/>
  <c r="B294" i="13"/>
  <c r="B602" i="13"/>
  <c r="B302" i="13"/>
  <c r="B610" i="13"/>
  <c r="B310" i="13"/>
  <c r="AH329" i="13"/>
  <c r="B353" i="13"/>
  <c r="B53" i="13"/>
  <c r="B361" i="13"/>
  <c r="B61" i="13"/>
  <c r="B369" i="13"/>
  <c r="B69" i="13"/>
  <c r="B377" i="13"/>
  <c r="B77" i="13"/>
  <c r="B385" i="13"/>
  <c r="AH385" i="13"/>
  <c r="B85" i="13"/>
  <c r="B393" i="13"/>
  <c r="B93" i="13"/>
  <c r="B401" i="13"/>
  <c r="B101" i="13"/>
  <c r="B409" i="13"/>
  <c r="B109" i="13"/>
  <c r="B417" i="13"/>
  <c r="B117" i="13"/>
  <c r="B425" i="13"/>
  <c r="B125" i="13"/>
  <c r="B433" i="13"/>
  <c r="B133" i="13"/>
  <c r="B441" i="13"/>
  <c r="B141" i="13"/>
  <c r="B449" i="13"/>
  <c r="B149" i="13"/>
  <c r="B457" i="13"/>
  <c r="B157" i="13"/>
  <c r="B465" i="13"/>
  <c r="B165" i="13"/>
  <c r="B473" i="13"/>
  <c r="B173" i="13"/>
  <c r="B481" i="13"/>
  <c r="B181" i="13"/>
  <c r="B489" i="13"/>
  <c r="B189" i="13"/>
  <c r="B497" i="13"/>
  <c r="B197" i="13"/>
  <c r="B505" i="13"/>
  <c r="B205" i="13"/>
  <c r="B513" i="13"/>
  <c r="B213" i="13"/>
  <c r="B521" i="13"/>
  <c r="B221" i="13"/>
  <c r="B529" i="13"/>
  <c r="B229" i="13"/>
  <c r="B537" i="13"/>
  <c r="B237" i="13"/>
  <c r="B545" i="13"/>
  <c r="B245" i="13"/>
  <c r="B553" i="13"/>
  <c r="B253" i="13"/>
  <c r="B561" i="13"/>
  <c r="B261" i="13"/>
  <c r="B569" i="13"/>
  <c r="B269" i="13"/>
  <c r="B577" i="13"/>
  <c r="B277" i="13"/>
  <c r="B585" i="13"/>
  <c r="B285" i="13"/>
  <c r="B593" i="13"/>
  <c r="B293" i="13"/>
  <c r="B601" i="13"/>
  <c r="B301" i="13"/>
  <c r="B609" i="13"/>
  <c r="B309" i="13"/>
  <c r="B360" i="13"/>
  <c r="B60" i="13"/>
  <c r="B368" i="13"/>
  <c r="B68" i="13"/>
  <c r="B376" i="13"/>
  <c r="B76" i="13"/>
  <c r="B384" i="13"/>
  <c r="B84" i="13"/>
  <c r="B392" i="13"/>
  <c r="B92" i="13"/>
  <c r="B400" i="13"/>
  <c r="B100" i="13"/>
  <c r="B408" i="13"/>
  <c r="B108" i="13"/>
  <c r="B416" i="13"/>
  <c r="B116" i="13"/>
  <c r="B424" i="13"/>
  <c r="B124" i="13"/>
  <c r="B432" i="13"/>
  <c r="B132" i="13"/>
  <c r="B440" i="13"/>
  <c r="B140" i="13"/>
  <c r="B448" i="13"/>
  <c r="B148" i="13"/>
  <c r="B456" i="13"/>
  <c r="B156" i="13"/>
  <c r="B464" i="13"/>
  <c r="B164" i="13"/>
  <c r="B472" i="13"/>
  <c r="B172" i="13"/>
  <c r="B480" i="13"/>
  <c r="B180" i="13"/>
  <c r="B488" i="13"/>
  <c r="B188" i="13"/>
  <c r="B496" i="13"/>
  <c r="B196" i="13"/>
  <c r="B504" i="13"/>
  <c r="B204" i="13"/>
  <c r="B512" i="13"/>
  <c r="B212" i="13"/>
  <c r="B520" i="13"/>
  <c r="B220" i="13"/>
  <c r="B528" i="13"/>
  <c r="B228" i="13"/>
  <c r="B536" i="13"/>
  <c r="B236" i="13"/>
  <c r="B544" i="13"/>
  <c r="B244" i="13"/>
  <c r="B552" i="13"/>
  <c r="B252" i="13"/>
  <c r="B560" i="13"/>
  <c r="B260" i="13"/>
  <c r="B568" i="13"/>
  <c r="B268" i="13"/>
  <c r="B576" i="13"/>
  <c r="B276" i="13"/>
  <c r="B584" i="13"/>
  <c r="B284" i="13"/>
  <c r="B592" i="13"/>
  <c r="B292" i="13"/>
  <c r="B600" i="13"/>
  <c r="B300" i="13"/>
  <c r="B608" i="13"/>
  <c r="B308" i="13"/>
  <c r="B359" i="13"/>
  <c r="B59" i="13"/>
  <c r="B367" i="13"/>
  <c r="B67" i="13"/>
  <c r="B375" i="13"/>
  <c r="B75" i="13"/>
  <c r="B383" i="13"/>
  <c r="B83" i="13"/>
  <c r="B391" i="13"/>
  <c r="B91" i="13"/>
  <c r="B399" i="13"/>
  <c r="B99" i="13"/>
  <c r="B407" i="13"/>
  <c r="B107" i="13"/>
  <c r="B415" i="13"/>
  <c r="B115" i="13"/>
  <c r="B423" i="13"/>
  <c r="B123" i="13"/>
  <c r="B431" i="13"/>
  <c r="B131" i="13"/>
  <c r="B439" i="13"/>
  <c r="B139" i="13"/>
  <c r="B447" i="13"/>
  <c r="B147" i="13"/>
  <c r="B455" i="13"/>
  <c r="B155" i="13"/>
  <c r="B463" i="13"/>
  <c r="B163" i="13"/>
  <c r="B471" i="13"/>
  <c r="B171" i="13"/>
  <c r="B479" i="13"/>
  <c r="B179" i="13"/>
  <c r="B487" i="13"/>
  <c r="B187" i="13"/>
  <c r="B495" i="13"/>
  <c r="B195" i="13"/>
  <c r="B503" i="13"/>
  <c r="B203" i="13"/>
  <c r="B511" i="13"/>
  <c r="B211" i="13"/>
  <c r="B519" i="13"/>
  <c r="B219" i="13"/>
  <c r="B527" i="13"/>
  <c r="B227" i="13"/>
  <c r="B535" i="13"/>
  <c r="B235" i="13"/>
  <c r="B543" i="13"/>
  <c r="B243" i="13"/>
  <c r="B551" i="13"/>
  <c r="B251" i="13"/>
  <c r="B559" i="13"/>
  <c r="B259" i="13"/>
  <c r="B567" i="13"/>
  <c r="B267" i="13"/>
  <c r="B575" i="13"/>
  <c r="B275" i="13"/>
  <c r="B583" i="13"/>
  <c r="B283" i="13"/>
  <c r="B591" i="13"/>
  <c r="B291" i="13"/>
  <c r="B599" i="13"/>
  <c r="B299" i="13"/>
  <c r="B607" i="13"/>
  <c r="B307" i="13"/>
  <c r="B358" i="13"/>
  <c r="B58" i="13"/>
  <c r="B366" i="13"/>
  <c r="B66" i="13"/>
  <c r="B374" i="13"/>
  <c r="B74" i="13"/>
  <c r="B382" i="13"/>
  <c r="B82" i="13"/>
  <c r="B390" i="13"/>
  <c r="B90" i="13"/>
  <c r="B398" i="13"/>
  <c r="B98" i="13"/>
  <c r="B406" i="13"/>
  <c r="B106" i="13"/>
  <c r="B414" i="13"/>
  <c r="B114" i="13"/>
  <c r="B422" i="13"/>
  <c r="B122" i="13"/>
  <c r="B430" i="13"/>
  <c r="B130" i="13"/>
  <c r="B438" i="13"/>
  <c r="B138" i="13"/>
  <c r="B446" i="13"/>
  <c r="B146" i="13"/>
  <c r="B454" i="13"/>
  <c r="B154" i="13"/>
  <c r="B462" i="13"/>
  <c r="B162" i="13"/>
  <c r="B470" i="13"/>
  <c r="B170" i="13"/>
  <c r="B478" i="13"/>
  <c r="B178" i="13"/>
  <c r="B486" i="13"/>
  <c r="B186" i="13"/>
  <c r="B494" i="13"/>
  <c r="B194" i="13"/>
  <c r="B502" i="13"/>
  <c r="B202" i="13"/>
  <c r="B510" i="13"/>
  <c r="B210" i="13"/>
  <c r="B518" i="13"/>
  <c r="B218" i="13"/>
  <c r="B526" i="13"/>
  <c r="B226" i="13"/>
  <c r="B534" i="13"/>
  <c r="B234" i="13"/>
  <c r="B542" i="13"/>
  <c r="B242" i="13"/>
  <c r="B550" i="13"/>
  <c r="B250" i="13"/>
  <c r="B558" i="13"/>
  <c r="B258" i="13"/>
  <c r="B566" i="13"/>
  <c r="B266" i="13"/>
  <c r="B574" i="13"/>
  <c r="B274" i="13"/>
  <c r="B582" i="13"/>
  <c r="B282" i="13"/>
  <c r="B590" i="13"/>
  <c r="B290" i="13"/>
  <c r="B598" i="13"/>
  <c r="B298" i="13"/>
  <c r="B606" i="13"/>
  <c r="B306" i="13"/>
  <c r="B357" i="13"/>
  <c r="B57" i="13"/>
  <c r="B365" i="13"/>
  <c r="B65" i="13"/>
  <c r="B373" i="13"/>
  <c r="B73" i="13"/>
  <c r="B381" i="13"/>
  <c r="B81" i="13"/>
  <c r="B389" i="13"/>
  <c r="B89" i="13"/>
  <c r="B397" i="13"/>
  <c r="B97" i="13"/>
  <c r="B405" i="13"/>
  <c r="B105" i="13"/>
  <c r="B413" i="13"/>
  <c r="B113" i="13"/>
  <c r="B421" i="13"/>
  <c r="B121" i="13"/>
  <c r="B429" i="13"/>
  <c r="B129" i="13"/>
  <c r="B437" i="13"/>
  <c r="B137" i="13"/>
  <c r="B445" i="13"/>
  <c r="B145" i="13"/>
  <c r="B453" i="13"/>
  <c r="B153" i="13"/>
  <c r="B461" i="13"/>
  <c r="B161" i="13"/>
  <c r="B469" i="13"/>
  <c r="B169" i="13"/>
  <c r="B477" i="13"/>
  <c r="B177" i="13"/>
  <c r="B485" i="13"/>
  <c r="B185" i="13"/>
  <c r="B493" i="13"/>
  <c r="B193" i="13"/>
  <c r="B501" i="13"/>
  <c r="B201" i="13"/>
  <c r="B509" i="13"/>
  <c r="B209" i="13"/>
  <c r="B517" i="13"/>
  <c r="B217" i="13"/>
  <c r="B525" i="13"/>
  <c r="B225" i="13"/>
  <c r="B533" i="13"/>
  <c r="B233" i="13"/>
  <c r="B541" i="13"/>
  <c r="B241" i="13"/>
  <c r="B549" i="13"/>
  <c r="B249" i="13"/>
  <c r="B557" i="13"/>
  <c r="B257" i="13"/>
  <c r="B565" i="13"/>
  <c r="B265" i="13"/>
  <c r="B573" i="13"/>
  <c r="B273" i="13"/>
  <c r="B581" i="13"/>
  <c r="B281" i="13"/>
  <c r="B589" i="13"/>
  <c r="B289" i="13"/>
  <c r="B597" i="13"/>
  <c r="B297" i="13"/>
  <c r="B605" i="13"/>
  <c r="B305" i="13"/>
  <c r="B356" i="13"/>
  <c r="B56" i="13"/>
  <c r="B364" i="13"/>
  <c r="B64" i="13"/>
  <c r="B372" i="13"/>
  <c r="B72" i="13"/>
  <c r="B380" i="13"/>
  <c r="B80" i="13"/>
  <c r="B388" i="13"/>
  <c r="B88" i="13"/>
  <c r="B396" i="13"/>
  <c r="B96" i="13"/>
  <c r="B404" i="13"/>
  <c r="B104" i="13"/>
  <c r="B412" i="13"/>
  <c r="B112" i="13"/>
  <c r="B420" i="13"/>
  <c r="B120" i="13"/>
  <c r="B428" i="13"/>
  <c r="B128" i="13"/>
  <c r="B436" i="13"/>
  <c r="B136" i="13"/>
  <c r="B444" i="13"/>
  <c r="B144" i="13"/>
  <c r="B452" i="13"/>
  <c r="B152" i="13"/>
  <c r="B460" i="13"/>
  <c r="B160" i="13"/>
  <c r="B468" i="13"/>
  <c r="B168" i="13"/>
  <c r="B476" i="13"/>
  <c r="B176" i="13"/>
  <c r="B484" i="13"/>
  <c r="B184" i="13"/>
  <c r="B492" i="13"/>
  <c r="B192" i="13"/>
  <c r="B500" i="13"/>
  <c r="B200" i="13"/>
  <c r="B508" i="13"/>
  <c r="B208" i="13"/>
  <c r="B516" i="13"/>
  <c r="B216" i="13"/>
  <c r="B524" i="13"/>
  <c r="B224" i="13"/>
  <c r="B532" i="13"/>
  <c r="B232" i="13"/>
  <c r="B540" i="13"/>
  <c r="B240" i="13"/>
  <c r="B548" i="13"/>
  <c r="B248" i="13"/>
  <c r="B556" i="13"/>
  <c r="B256" i="13"/>
  <c r="B564" i="13"/>
  <c r="B264" i="13"/>
  <c r="B572" i="13"/>
  <c r="B272" i="13"/>
  <c r="B580" i="13"/>
  <c r="B280" i="13"/>
  <c r="B588" i="13"/>
  <c r="B288" i="13"/>
  <c r="B596" i="13"/>
  <c r="B296" i="13"/>
  <c r="B604" i="13"/>
  <c r="B304" i="13"/>
  <c r="CF18" i="3"/>
  <c r="CF17" i="3"/>
  <c r="EQ11" i="3"/>
  <c r="AV13" i="3"/>
  <c r="P316" i="13" s="1"/>
  <c r="EQ10" i="3"/>
  <c r="AZ45" i="3"/>
  <c r="DX45" i="3"/>
  <c r="AZ46" i="3"/>
  <c r="AV36" i="3"/>
  <c r="AV15" i="3"/>
  <c r="AV35" i="3"/>
  <c r="AV24" i="3"/>
  <c r="P327" i="13" s="1"/>
  <c r="AV26" i="3"/>
  <c r="AV28" i="3"/>
  <c r="AV34" i="3"/>
  <c r="P337" i="13" s="1"/>
  <c r="AV42" i="3"/>
  <c r="AV18" i="3"/>
  <c r="P321" i="13" s="1"/>
  <c r="AV33" i="3"/>
  <c r="AV41" i="3"/>
  <c r="AV16" i="3"/>
  <c r="AV32" i="3"/>
  <c r="AV40" i="3"/>
  <c r="AV31" i="3"/>
  <c r="AV47" i="3"/>
  <c r="AV14" i="3"/>
  <c r="AV25" i="3"/>
  <c r="AV27" i="3"/>
  <c r="AV38" i="3"/>
  <c r="AV46" i="3"/>
  <c r="AV21" i="3"/>
  <c r="AV22" i="3"/>
  <c r="P325" i="13" s="1"/>
  <c r="AV23" i="3"/>
  <c r="P326" i="13" s="1"/>
  <c r="AV37" i="3"/>
  <c r="AV45" i="3"/>
  <c r="AV17" i="3"/>
  <c r="P320" i="13" s="1"/>
  <c r="EQ93" i="3"/>
  <c r="EQ149" i="3"/>
  <c r="EQ221" i="3"/>
  <c r="EQ36" i="3"/>
  <c r="EQ44" i="3"/>
  <c r="EQ52" i="3"/>
  <c r="EQ60" i="3"/>
  <c r="EQ68" i="3"/>
  <c r="EQ76" i="3"/>
  <c r="EQ84" i="3"/>
  <c r="EQ92" i="3"/>
  <c r="EQ100" i="3"/>
  <c r="EQ108" i="3"/>
  <c r="EQ116" i="3"/>
  <c r="EQ124" i="3"/>
  <c r="EQ132" i="3"/>
  <c r="EQ140" i="3"/>
  <c r="EQ148" i="3"/>
  <c r="EQ156" i="3"/>
  <c r="EQ164" i="3"/>
  <c r="EQ172" i="3"/>
  <c r="EQ180" i="3"/>
  <c r="EQ188" i="3"/>
  <c r="EQ196" i="3"/>
  <c r="EQ204" i="3"/>
  <c r="EQ212" i="3"/>
  <c r="EQ220" i="3"/>
  <c r="EQ228" i="3"/>
  <c r="EQ236" i="3"/>
  <c r="EQ244" i="3"/>
  <c r="EQ252" i="3"/>
  <c r="EQ260" i="3"/>
  <c r="EQ268" i="3"/>
  <c r="EQ276" i="3"/>
  <c r="EQ284" i="3"/>
  <c r="EQ292" i="3"/>
  <c r="EQ300" i="3"/>
  <c r="EQ308" i="3"/>
  <c r="EQ15" i="3"/>
  <c r="EQ45" i="3"/>
  <c r="EQ53" i="3"/>
  <c r="EQ77" i="3"/>
  <c r="EQ85" i="3"/>
  <c r="EQ101" i="3"/>
  <c r="EQ109" i="3"/>
  <c r="EQ117" i="3"/>
  <c r="EQ133" i="3"/>
  <c r="EQ141" i="3"/>
  <c r="EQ173" i="3"/>
  <c r="EQ35" i="3"/>
  <c r="EQ43" i="3"/>
  <c r="EQ51" i="3"/>
  <c r="EQ59" i="3"/>
  <c r="EQ67" i="3"/>
  <c r="EQ75" i="3"/>
  <c r="EQ83" i="3"/>
  <c r="EQ91" i="3"/>
  <c r="EQ99" i="3"/>
  <c r="EQ107" i="3"/>
  <c r="EQ115" i="3"/>
  <c r="EQ123" i="3"/>
  <c r="EQ131" i="3"/>
  <c r="EQ139" i="3"/>
  <c r="EQ147" i="3"/>
  <c r="EQ155" i="3"/>
  <c r="EQ163" i="3"/>
  <c r="EQ171" i="3"/>
  <c r="EQ179" i="3"/>
  <c r="EQ187" i="3"/>
  <c r="EQ195" i="3"/>
  <c r="EQ203" i="3"/>
  <c r="EQ211" i="3"/>
  <c r="EQ219" i="3"/>
  <c r="EQ227" i="3"/>
  <c r="EQ235" i="3"/>
  <c r="EQ243" i="3"/>
  <c r="EQ251" i="3"/>
  <c r="EQ259" i="3"/>
  <c r="EQ267" i="3"/>
  <c r="EQ275" i="3"/>
  <c r="EQ283" i="3"/>
  <c r="EQ291" i="3"/>
  <c r="EQ299" i="3"/>
  <c r="EQ307" i="3"/>
  <c r="EQ24" i="3"/>
  <c r="EQ26" i="3"/>
  <c r="EQ28" i="3"/>
  <c r="EQ157" i="3"/>
  <c r="CF20" i="3"/>
  <c r="CF26" i="3"/>
  <c r="EQ34" i="3"/>
  <c r="EQ42" i="3"/>
  <c r="EQ50" i="3"/>
  <c r="EQ58" i="3"/>
  <c r="EQ66" i="3"/>
  <c r="EQ74" i="3"/>
  <c r="EQ82" i="3"/>
  <c r="EQ90" i="3"/>
  <c r="EQ98" i="3"/>
  <c r="EQ106" i="3"/>
  <c r="EQ114" i="3"/>
  <c r="EQ122" i="3"/>
  <c r="EQ130" i="3"/>
  <c r="EQ138" i="3"/>
  <c r="EQ146" i="3"/>
  <c r="EQ154" i="3"/>
  <c r="EQ162" i="3"/>
  <c r="EQ170" i="3"/>
  <c r="EQ178" i="3"/>
  <c r="EQ186" i="3"/>
  <c r="EQ194" i="3"/>
  <c r="EQ202" i="3"/>
  <c r="EQ210" i="3"/>
  <c r="EQ218" i="3"/>
  <c r="EQ226" i="3"/>
  <c r="EQ234" i="3"/>
  <c r="EQ242" i="3"/>
  <c r="EQ250" i="3"/>
  <c r="EQ258" i="3"/>
  <c r="EQ266" i="3"/>
  <c r="EQ274" i="3"/>
  <c r="EQ282" i="3"/>
  <c r="EQ290" i="3"/>
  <c r="EQ298" i="3"/>
  <c r="EQ306" i="3"/>
  <c r="EQ13" i="3"/>
  <c r="EQ18" i="3"/>
  <c r="EQ20" i="3"/>
  <c r="EQ197" i="3"/>
  <c r="EQ205" i="3"/>
  <c r="EQ213" i="3"/>
  <c r="EQ33" i="3"/>
  <c r="EQ41" i="3"/>
  <c r="EQ49" i="3"/>
  <c r="EQ57" i="3"/>
  <c r="EQ65" i="3"/>
  <c r="EQ73" i="3"/>
  <c r="EQ81" i="3"/>
  <c r="EQ89" i="3"/>
  <c r="EQ97" i="3"/>
  <c r="EQ105" i="3"/>
  <c r="EQ113" i="3"/>
  <c r="EQ121" i="3"/>
  <c r="EQ129" i="3"/>
  <c r="EQ137" i="3"/>
  <c r="EQ145" i="3"/>
  <c r="EQ153" i="3"/>
  <c r="EQ161" i="3"/>
  <c r="EQ169" i="3"/>
  <c r="EQ177" i="3"/>
  <c r="EQ185" i="3"/>
  <c r="EQ193" i="3"/>
  <c r="EQ201" i="3"/>
  <c r="EQ209" i="3"/>
  <c r="EQ217" i="3"/>
  <c r="EQ225" i="3"/>
  <c r="EQ233" i="3"/>
  <c r="EQ241" i="3"/>
  <c r="EQ249" i="3"/>
  <c r="EQ257" i="3"/>
  <c r="EQ265" i="3"/>
  <c r="EQ273" i="3"/>
  <c r="EQ281" i="3"/>
  <c r="EQ289" i="3"/>
  <c r="EQ297" i="3"/>
  <c r="EQ305" i="3"/>
  <c r="EQ16" i="3"/>
  <c r="CF28" i="3"/>
  <c r="EQ32" i="3"/>
  <c r="EQ40" i="3"/>
  <c r="EQ48" i="3"/>
  <c r="EQ56" i="3"/>
  <c r="EQ64" i="3"/>
  <c r="EQ72" i="3"/>
  <c r="EQ80" i="3"/>
  <c r="EQ88" i="3"/>
  <c r="EQ96" i="3"/>
  <c r="EQ104" i="3"/>
  <c r="EQ112" i="3"/>
  <c r="EQ120" i="3"/>
  <c r="EQ128" i="3"/>
  <c r="EQ136" i="3"/>
  <c r="EQ144" i="3"/>
  <c r="EQ152" i="3"/>
  <c r="EQ160" i="3"/>
  <c r="EQ168" i="3"/>
  <c r="EQ176" i="3"/>
  <c r="EQ184" i="3"/>
  <c r="EQ192" i="3"/>
  <c r="EQ200" i="3"/>
  <c r="EQ208" i="3"/>
  <c r="EQ216" i="3"/>
  <c r="EQ224" i="3"/>
  <c r="EQ232" i="3"/>
  <c r="EQ240" i="3"/>
  <c r="EQ248" i="3"/>
  <c r="EQ256" i="3"/>
  <c r="EQ264" i="3"/>
  <c r="EQ272" i="3"/>
  <c r="EQ280" i="3"/>
  <c r="EQ288" i="3"/>
  <c r="EQ296" i="3"/>
  <c r="EQ304" i="3"/>
  <c r="EQ12" i="3"/>
  <c r="EQ37" i="3"/>
  <c r="EQ69" i="3"/>
  <c r="EQ165" i="3"/>
  <c r="EQ181" i="3"/>
  <c r="EQ189" i="3"/>
  <c r="EQ229" i="3"/>
  <c r="EQ237" i="3"/>
  <c r="EQ253" i="3"/>
  <c r="EQ31" i="3"/>
  <c r="EQ39" i="3"/>
  <c r="EQ47" i="3"/>
  <c r="EQ55" i="3"/>
  <c r="EQ63" i="3"/>
  <c r="EQ71" i="3"/>
  <c r="EQ79" i="3"/>
  <c r="EQ87" i="3"/>
  <c r="EQ95" i="3"/>
  <c r="EQ103" i="3"/>
  <c r="EQ111" i="3"/>
  <c r="EQ119" i="3"/>
  <c r="EQ127" i="3"/>
  <c r="EQ135" i="3"/>
  <c r="EQ143" i="3"/>
  <c r="EQ151" i="3"/>
  <c r="EQ159" i="3"/>
  <c r="EQ167" i="3"/>
  <c r="EQ175" i="3"/>
  <c r="EQ183" i="3"/>
  <c r="EQ191" i="3"/>
  <c r="EQ199" i="3"/>
  <c r="EQ207" i="3"/>
  <c r="EQ215" i="3"/>
  <c r="EQ223" i="3"/>
  <c r="EQ231" i="3"/>
  <c r="EQ239" i="3"/>
  <c r="EQ247" i="3"/>
  <c r="EQ255" i="3"/>
  <c r="EQ263" i="3"/>
  <c r="EQ271" i="3"/>
  <c r="EQ279" i="3"/>
  <c r="EQ287" i="3"/>
  <c r="EQ295" i="3"/>
  <c r="EQ303" i="3"/>
  <c r="EQ14" i="3"/>
  <c r="EQ25" i="3"/>
  <c r="EQ27" i="3"/>
  <c r="EQ29" i="3"/>
  <c r="EQ61" i="3"/>
  <c r="EQ125" i="3"/>
  <c r="EQ245" i="3"/>
  <c r="EQ30" i="3"/>
  <c r="EQ38" i="3"/>
  <c r="EQ46" i="3"/>
  <c r="EQ54" i="3"/>
  <c r="EQ62" i="3"/>
  <c r="EQ70" i="3"/>
  <c r="EQ78" i="3"/>
  <c r="EQ86" i="3"/>
  <c r="EQ94" i="3"/>
  <c r="EQ102" i="3"/>
  <c r="EQ110" i="3"/>
  <c r="EQ118" i="3"/>
  <c r="EQ126" i="3"/>
  <c r="EQ134" i="3"/>
  <c r="EQ142" i="3"/>
  <c r="EQ150" i="3"/>
  <c r="EQ158" i="3"/>
  <c r="EQ166" i="3"/>
  <c r="EQ174" i="3"/>
  <c r="EQ182" i="3"/>
  <c r="EQ190" i="3"/>
  <c r="EQ198" i="3"/>
  <c r="EQ206" i="3"/>
  <c r="EQ214" i="3"/>
  <c r="EQ222" i="3"/>
  <c r="EQ230" i="3"/>
  <c r="EQ238" i="3"/>
  <c r="EQ246" i="3"/>
  <c r="EQ254" i="3"/>
  <c r="EQ262" i="3"/>
  <c r="EQ270" i="3"/>
  <c r="EQ278" i="3"/>
  <c r="EQ286" i="3"/>
  <c r="EQ294" i="3"/>
  <c r="EQ302" i="3"/>
  <c r="EQ19" i="3"/>
  <c r="EQ21" i="3"/>
  <c r="EQ22" i="3"/>
  <c r="EQ23" i="3"/>
  <c r="EQ261" i="3"/>
  <c r="EQ269" i="3"/>
  <c r="EQ277" i="3"/>
  <c r="EQ285" i="3"/>
  <c r="EQ293" i="3"/>
  <c r="EQ301" i="3"/>
  <c r="EQ17" i="3"/>
  <c r="AP19" i="5"/>
  <c r="AU19" i="5" s="1"/>
  <c r="CF25" i="3"/>
  <c r="CF10" i="3"/>
  <c r="CF9" i="3"/>
  <c r="CF24" i="3"/>
  <c r="CF14" i="3"/>
  <c r="CF16" i="3"/>
  <c r="CF32" i="3"/>
  <c r="CF40" i="3"/>
  <c r="CF48" i="3"/>
  <c r="CF56" i="3"/>
  <c r="DD56" i="3" s="1"/>
  <c r="CF64" i="3"/>
  <c r="DD64" i="3" s="1"/>
  <c r="CF72" i="3"/>
  <c r="DD72" i="3" s="1"/>
  <c r="CF80" i="3"/>
  <c r="DD80" i="3" s="1"/>
  <c r="CF88" i="3"/>
  <c r="DD88" i="3" s="1"/>
  <c r="CF96" i="3"/>
  <c r="DD96" i="3" s="1"/>
  <c r="CF104" i="3"/>
  <c r="DD104" i="3" s="1"/>
  <c r="CF112" i="3"/>
  <c r="DD112" i="3" s="1"/>
  <c r="CF120" i="3"/>
  <c r="DD120" i="3" s="1"/>
  <c r="CF128" i="3"/>
  <c r="DD128" i="3" s="1"/>
  <c r="CF136" i="3"/>
  <c r="DD136" i="3" s="1"/>
  <c r="CF144" i="3"/>
  <c r="DD144" i="3" s="1"/>
  <c r="CF152" i="3"/>
  <c r="DD152" i="3" s="1"/>
  <c r="CF160" i="3"/>
  <c r="DD160" i="3" s="1"/>
  <c r="CF168" i="3"/>
  <c r="DD168" i="3" s="1"/>
  <c r="CF176" i="3"/>
  <c r="DD176" i="3" s="1"/>
  <c r="CF184" i="3"/>
  <c r="DD184" i="3" s="1"/>
  <c r="CF192" i="3"/>
  <c r="DD192" i="3" s="1"/>
  <c r="CF200" i="3"/>
  <c r="DD200" i="3" s="1"/>
  <c r="CF208" i="3"/>
  <c r="DD208" i="3" s="1"/>
  <c r="CF216" i="3"/>
  <c r="DD216" i="3" s="1"/>
  <c r="CF224" i="3"/>
  <c r="DD224" i="3" s="1"/>
  <c r="CF232" i="3"/>
  <c r="DD232" i="3" s="1"/>
  <c r="CF240" i="3"/>
  <c r="DD240" i="3" s="1"/>
  <c r="CF248" i="3"/>
  <c r="DD248" i="3" s="1"/>
  <c r="CF256" i="3"/>
  <c r="DD256" i="3" s="1"/>
  <c r="CF264" i="3"/>
  <c r="DD264" i="3" s="1"/>
  <c r="CF272" i="3"/>
  <c r="DD272" i="3" s="1"/>
  <c r="CF280" i="3"/>
  <c r="DD280" i="3" s="1"/>
  <c r="CF288" i="3"/>
  <c r="DD288" i="3" s="1"/>
  <c r="CF296" i="3"/>
  <c r="DD296" i="3" s="1"/>
  <c r="CF304" i="3"/>
  <c r="DD304" i="3" s="1"/>
  <c r="CF21" i="3"/>
  <c r="CF27" i="3"/>
  <c r="CF15" i="3"/>
  <c r="CF29" i="3"/>
  <c r="CF36" i="3"/>
  <c r="CF44" i="3"/>
  <c r="CF52" i="3"/>
  <c r="DD52" i="3" s="1"/>
  <c r="CF60" i="3"/>
  <c r="DD60" i="3" s="1"/>
  <c r="CF68" i="3"/>
  <c r="DD68" i="3" s="1"/>
  <c r="CF19" i="3"/>
  <c r="CF11" i="3"/>
  <c r="BZ204" i="3"/>
  <c r="BY204" i="3"/>
  <c r="CA204" i="3"/>
  <c r="ET204" i="3" s="1"/>
  <c r="CA212" i="3"/>
  <c r="ET212" i="3" s="1"/>
  <c r="BZ212" i="3"/>
  <c r="BY212" i="3"/>
  <c r="BZ220" i="3"/>
  <c r="CA220" i="3"/>
  <c r="ET220" i="3" s="1"/>
  <c r="BY220" i="3"/>
  <c r="CA228" i="3"/>
  <c r="ET228" i="3" s="1"/>
  <c r="BZ228" i="3"/>
  <c r="BY228" i="3"/>
  <c r="CA236" i="3"/>
  <c r="ES236" i="3" s="1"/>
  <c r="BY236" i="3"/>
  <c r="BZ236" i="3"/>
  <c r="BZ244" i="3"/>
  <c r="BY244" i="3"/>
  <c r="CA244" i="3"/>
  <c r="ES244" i="3" s="1"/>
  <c r="CA252" i="3"/>
  <c r="ES252" i="3" s="1"/>
  <c r="BY252" i="3"/>
  <c r="BZ252" i="3"/>
  <c r="BZ260" i="3"/>
  <c r="CA260" i="3"/>
  <c r="ET260" i="3" s="1"/>
  <c r="BY260" i="3"/>
  <c r="BY268" i="3"/>
  <c r="BZ268" i="3"/>
  <c r="CA268" i="3"/>
  <c r="ES268" i="3" s="1"/>
  <c r="CA276" i="3"/>
  <c r="ES276" i="3" s="1"/>
  <c r="BY276" i="3"/>
  <c r="BZ276" i="3"/>
  <c r="CA284" i="3"/>
  <c r="ES284" i="3" s="1"/>
  <c r="BY284" i="3"/>
  <c r="BZ284" i="3"/>
  <c r="CA292" i="3"/>
  <c r="ES292" i="3" s="1"/>
  <c r="BY292" i="3"/>
  <c r="BZ292" i="3"/>
  <c r="CA300" i="3"/>
  <c r="ET300" i="3" s="1"/>
  <c r="BY300" i="3"/>
  <c r="BZ300" i="3"/>
  <c r="BZ308" i="3"/>
  <c r="CA308" i="3"/>
  <c r="ES308" i="3" s="1"/>
  <c r="BY308" i="3"/>
  <c r="CF37" i="3"/>
  <c r="CF45" i="3"/>
  <c r="CF53" i="3"/>
  <c r="DD53" i="3" s="1"/>
  <c r="CF61" i="3"/>
  <c r="DD61" i="3" s="1"/>
  <c r="CF69" i="3"/>
  <c r="DD69" i="3" s="1"/>
  <c r="CF77" i="3"/>
  <c r="DD77" i="3" s="1"/>
  <c r="CF85" i="3"/>
  <c r="DD85" i="3" s="1"/>
  <c r="CF93" i="3"/>
  <c r="DD93" i="3" s="1"/>
  <c r="CF101" i="3"/>
  <c r="DD101" i="3" s="1"/>
  <c r="CF109" i="3"/>
  <c r="DD109" i="3" s="1"/>
  <c r="CF117" i="3"/>
  <c r="DD117" i="3" s="1"/>
  <c r="CF125" i="3"/>
  <c r="DD125" i="3" s="1"/>
  <c r="CF133" i="3"/>
  <c r="DD133" i="3" s="1"/>
  <c r="CF141" i="3"/>
  <c r="DD141" i="3" s="1"/>
  <c r="CF149" i="3"/>
  <c r="DD149" i="3" s="1"/>
  <c r="CF157" i="3"/>
  <c r="DD157" i="3" s="1"/>
  <c r="CF165" i="3"/>
  <c r="DD165" i="3" s="1"/>
  <c r="CF173" i="3"/>
  <c r="DD173" i="3" s="1"/>
  <c r="CF181" i="3"/>
  <c r="DD181" i="3" s="1"/>
  <c r="CF189" i="3"/>
  <c r="DD189" i="3" s="1"/>
  <c r="CF197" i="3"/>
  <c r="DD197" i="3" s="1"/>
  <c r="BZ203" i="3"/>
  <c r="BY203" i="3"/>
  <c r="CA203" i="3"/>
  <c r="ET203" i="3" s="1"/>
  <c r="CF205" i="3"/>
  <c r="DD205" i="3" s="1"/>
  <c r="CA211" i="3"/>
  <c r="ET211" i="3" s="1"/>
  <c r="BZ211" i="3"/>
  <c r="BY211" i="3"/>
  <c r="CF213" i="3"/>
  <c r="DD213" i="3" s="1"/>
  <c r="BZ219" i="3"/>
  <c r="CA219" i="3"/>
  <c r="ET219" i="3" s="1"/>
  <c r="BY219" i="3"/>
  <c r="CF221" i="3"/>
  <c r="DD221" i="3" s="1"/>
  <c r="CA227" i="3"/>
  <c r="ET227" i="3" s="1"/>
  <c r="BZ227" i="3"/>
  <c r="BY227" i="3"/>
  <c r="CF229" i="3"/>
  <c r="DD229" i="3" s="1"/>
  <c r="CA235" i="3"/>
  <c r="ET235" i="3" s="1"/>
  <c r="BY235" i="3"/>
  <c r="BZ235" i="3"/>
  <c r="CF237" i="3"/>
  <c r="DD237" i="3" s="1"/>
  <c r="BZ243" i="3"/>
  <c r="CA243" i="3"/>
  <c r="ET243" i="3" s="1"/>
  <c r="BY243" i="3"/>
  <c r="CF245" i="3"/>
  <c r="DD245" i="3" s="1"/>
  <c r="CA251" i="3"/>
  <c r="ET251" i="3" s="1"/>
  <c r="BY251" i="3"/>
  <c r="BZ251" i="3"/>
  <c r="CF253" i="3"/>
  <c r="DD253" i="3" s="1"/>
  <c r="CA259" i="3"/>
  <c r="ET259" i="3" s="1"/>
  <c r="BZ259" i="3"/>
  <c r="BY259" i="3"/>
  <c r="CF261" i="3"/>
  <c r="DD261" i="3" s="1"/>
  <c r="BY267" i="3"/>
  <c r="BZ267" i="3"/>
  <c r="CA267" i="3"/>
  <c r="ET267" i="3" s="1"/>
  <c r="CF269" i="3"/>
  <c r="DD269" i="3" s="1"/>
  <c r="CA275" i="3"/>
  <c r="ET275" i="3" s="1"/>
  <c r="BY275" i="3"/>
  <c r="BZ275" i="3"/>
  <c r="CF277" i="3"/>
  <c r="DD277" i="3" s="1"/>
  <c r="BY283" i="3"/>
  <c r="CA283" i="3"/>
  <c r="ET283" i="3" s="1"/>
  <c r="BZ283" i="3"/>
  <c r="CF285" i="3"/>
  <c r="DD285" i="3" s="1"/>
  <c r="CA291" i="3"/>
  <c r="ET291" i="3" s="1"/>
  <c r="BY291" i="3"/>
  <c r="BZ291" i="3"/>
  <c r="CF293" i="3"/>
  <c r="DD293" i="3" s="1"/>
  <c r="CA299" i="3"/>
  <c r="ET299" i="3" s="1"/>
  <c r="BY299" i="3"/>
  <c r="BZ299" i="3"/>
  <c r="CF301" i="3"/>
  <c r="DD301" i="3" s="1"/>
  <c r="BZ307" i="3"/>
  <c r="CA307" i="3"/>
  <c r="ET307" i="3" s="1"/>
  <c r="BY307" i="3"/>
  <c r="CF22" i="3"/>
  <c r="CF23" i="3"/>
  <c r="BZ202" i="3"/>
  <c r="BY202" i="3"/>
  <c r="CA202" i="3"/>
  <c r="ES202" i="3" s="1"/>
  <c r="CA210" i="3"/>
  <c r="ET210" i="3" s="1"/>
  <c r="BZ210" i="3"/>
  <c r="BY210" i="3"/>
  <c r="BY218" i="3"/>
  <c r="BZ218" i="3"/>
  <c r="CA218" i="3"/>
  <c r="ES218" i="3" s="1"/>
  <c r="CA226" i="3"/>
  <c r="ET226" i="3" s="1"/>
  <c r="BZ226" i="3"/>
  <c r="BY226" i="3"/>
  <c r="BZ234" i="3"/>
  <c r="CA234" i="3"/>
  <c r="ES234" i="3" s="1"/>
  <c r="BY234" i="3"/>
  <c r="CA242" i="3"/>
  <c r="ES242" i="3" s="1"/>
  <c r="BY242" i="3"/>
  <c r="BZ242" i="3"/>
  <c r="BZ250" i="3"/>
  <c r="CA250" i="3"/>
  <c r="ET250" i="3" s="1"/>
  <c r="BY250" i="3"/>
  <c r="BY258" i="3"/>
  <c r="BZ258" i="3"/>
  <c r="CA258" i="3"/>
  <c r="ET258" i="3" s="1"/>
  <c r="CA266" i="3"/>
  <c r="ET266" i="3" s="1"/>
  <c r="BY266" i="3"/>
  <c r="BZ266" i="3"/>
  <c r="CA274" i="3"/>
  <c r="ET274" i="3" s="1"/>
  <c r="BY274" i="3"/>
  <c r="BZ274" i="3"/>
  <c r="CA282" i="3"/>
  <c r="ET282" i="3" s="1"/>
  <c r="BY282" i="3"/>
  <c r="BZ282" i="3"/>
  <c r="CA290" i="3"/>
  <c r="ET290" i="3" s="1"/>
  <c r="BY290" i="3"/>
  <c r="BZ290" i="3"/>
  <c r="BZ298" i="3"/>
  <c r="BY298" i="3"/>
  <c r="CA298" i="3"/>
  <c r="ES298" i="3" s="1"/>
  <c r="CA306" i="3"/>
  <c r="ET306" i="3" s="1"/>
  <c r="BY306" i="3"/>
  <c r="BZ306" i="3"/>
  <c r="BY209" i="3"/>
  <c r="CA209" i="3"/>
  <c r="ET209" i="3" s="1"/>
  <c r="BZ209" i="3"/>
  <c r="CA217" i="3"/>
  <c r="ES217" i="3" s="1"/>
  <c r="BZ217" i="3"/>
  <c r="BY217" i="3"/>
  <c r="CA225" i="3"/>
  <c r="ET225" i="3" s="1"/>
  <c r="BZ225" i="3"/>
  <c r="BY225" i="3"/>
  <c r="BY233" i="3"/>
  <c r="BZ233" i="3"/>
  <c r="CA233" i="3"/>
  <c r="ET233" i="3" s="1"/>
  <c r="CA241" i="3"/>
  <c r="ET241" i="3" s="1"/>
  <c r="BY241" i="3"/>
  <c r="BZ241" i="3"/>
  <c r="BY249" i="3"/>
  <c r="CA249" i="3"/>
  <c r="ET249" i="3" s="1"/>
  <c r="BZ249" i="3"/>
  <c r="CA257" i="3"/>
  <c r="ES257" i="3" s="1"/>
  <c r="BY257" i="3"/>
  <c r="BZ257" i="3"/>
  <c r="CA265" i="3"/>
  <c r="ET265" i="3" s="1"/>
  <c r="BY265" i="3"/>
  <c r="BZ265" i="3"/>
  <c r="BZ273" i="3"/>
  <c r="CA273" i="3"/>
  <c r="ET273" i="3" s="1"/>
  <c r="BY273" i="3"/>
  <c r="CA281" i="3"/>
  <c r="ES281" i="3" s="1"/>
  <c r="BY281" i="3"/>
  <c r="BZ281" i="3"/>
  <c r="CA289" i="3"/>
  <c r="ET289" i="3" s="1"/>
  <c r="BY289" i="3"/>
  <c r="BZ289" i="3"/>
  <c r="BY297" i="3"/>
  <c r="BZ297" i="3"/>
  <c r="CA297" i="3"/>
  <c r="ET297" i="3" s="1"/>
  <c r="CA305" i="3"/>
  <c r="ET305" i="3" s="1"/>
  <c r="BY305" i="3"/>
  <c r="BZ305" i="3"/>
  <c r="CA208" i="3"/>
  <c r="ET208" i="3" s="1"/>
  <c r="BY208" i="3"/>
  <c r="BZ208" i="3"/>
  <c r="BZ216" i="3"/>
  <c r="CA216" i="3"/>
  <c r="ET216" i="3" s="1"/>
  <c r="BY216" i="3"/>
  <c r="CA224" i="3"/>
  <c r="ET224" i="3" s="1"/>
  <c r="BZ224" i="3"/>
  <c r="BY224" i="3"/>
  <c r="BZ232" i="3"/>
  <c r="CA232" i="3"/>
  <c r="ET232" i="3" s="1"/>
  <c r="BY232" i="3"/>
  <c r="BZ240" i="3"/>
  <c r="CA240" i="3"/>
  <c r="ET240" i="3" s="1"/>
  <c r="BY240" i="3"/>
  <c r="BY248" i="3"/>
  <c r="BZ248" i="3"/>
  <c r="CA248" i="3"/>
  <c r="ES248" i="3" s="1"/>
  <c r="BZ256" i="3"/>
  <c r="CA256" i="3"/>
  <c r="ET256" i="3" s="1"/>
  <c r="BY256" i="3"/>
  <c r="BY264" i="3"/>
  <c r="BZ264" i="3"/>
  <c r="CA264" i="3"/>
  <c r="ES264" i="3" s="1"/>
  <c r="CA272" i="3"/>
  <c r="ET272" i="3" s="1"/>
  <c r="BY272" i="3"/>
  <c r="BZ272" i="3"/>
  <c r="BZ280" i="3"/>
  <c r="CA280" i="3"/>
  <c r="ET280" i="3" s="1"/>
  <c r="BY280" i="3"/>
  <c r="BZ288" i="3"/>
  <c r="BY288" i="3"/>
  <c r="CA288" i="3"/>
  <c r="ET288" i="3" s="1"/>
  <c r="BZ296" i="3"/>
  <c r="CA296" i="3"/>
  <c r="ET296" i="3" s="1"/>
  <c r="BY296" i="3"/>
  <c r="BZ304" i="3"/>
  <c r="CA304" i="3"/>
  <c r="ET304" i="3" s="1"/>
  <c r="BY304" i="3"/>
  <c r="BY207" i="3"/>
  <c r="CA207" i="3"/>
  <c r="ET207" i="3" s="1"/>
  <c r="BZ207" i="3"/>
  <c r="BZ215" i="3"/>
  <c r="CA215" i="3"/>
  <c r="ET215" i="3" s="1"/>
  <c r="BY215" i="3"/>
  <c r="CA223" i="3"/>
  <c r="ES223" i="3" s="1"/>
  <c r="BY223" i="3"/>
  <c r="BZ223" i="3"/>
  <c r="BZ231" i="3"/>
  <c r="CA231" i="3"/>
  <c r="ET231" i="3" s="1"/>
  <c r="BY231" i="3"/>
  <c r="BZ239" i="3"/>
  <c r="BY239" i="3"/>
  <c r="CA239" i="3"/>
  <c r="ET239" i="3" s="1"/>
  <c r="BZ247" i="3"/>
  <c r="CA247" i="3"/>
  <c r="ET247" i="3" s="1"/>
  <c r="BY247" i="3"/>
  <c r="BZ255" i="3"/>
  <c r="CA255" i="3"/>
  <c r="ET255" i="3" s="1"/>
  <c r="BY255" i="3"/>
  <c r="CA263" i="3"/>
  <c r="ET263" i="3" s="1"/>
  <c r="BZ263" i="3"/>
  <c r="BY263" i="3"/>
  <c r="BZ271" i="3"/>
  <c r="CA271" i="3"/>
  <c r="ET271" i="3" s="1"/>
  <c r="BY271" i="3"/>
  <c r="CA279" i="3"/>
  <c r="ES279" i="3" s="1"/>
  <c r="BZ279" i="3"/>
  <c r="BY279" i="3"/>
  <c r="BZ287" i="3"/>
  <c r="BY287" i="3"/>
  <c r="CA287" i="3"/>
  <c r="ET287" i="3" s="1"/>
  <c r="CA295" i="3"/>
  <c r="ET295" i="3" s="1"/>
  <c r="BY295" i="3"/>
  <c r="BZ295" i="3"/>
  <c r="BY303" i="3"/>
  <c r="BZ303" i="3"/>
  <c r="CA303" i="3"/>
  <c r="ET303" i="3" s="1"/>
  <c r="BY206" i="3"/>
  <c r="BZ206" i="3"/>
  <c r="CA206" i="3"/>
  <c r="ET206" i="3" s="1"/>
  <c r="BZ214" i="3"/>
  <c r="CA214" i="3"/>
  <c r="ES214" i="3" s="1"/>
  <c r="BY214" i="3"/>
  <c r="BZ222" i="3"/>
  <c r="CA222" i="3"/>
  <c r="ET222" i="3" s="1"/>
  <c r="BY222" i="3"/>
  <c r="BY230" i="3"/>
  <c r="BZ230" i="3"/>
  <c r="CA230" i="3"/>
  <c r="ET230" i="3" s="1"/>
  <c r="BZ238" i="3"/>
  <c r="BY238" i="3"/>
  <c r="CA238" i="3"/>
  <c r="ET238" i="3" s="1"/>
  <c r="CA246" i="3"/>
  <c r="ET246" i="3" s="1"/>
  <c r="BZ246" i="3"/>
  <c r="BY246" i="3"/>
  <c r="BY254" i="3"/>
  <c r="CA254" i="3"/>
  <c r="ET254" i="3" s="1"/>
  <c r="BZ254" i="3"/>
  <c r="BZ262" i="3"/>
  <c r="CA262" i="3"/>
  <c r="ET262" i="3" s="1"/>
  <c r="BY262" i="3"/>
  <c r="BZ270" i="3"/>
  <c r="CA270" i="3"/>
  <c r="ET270" i="3" s="1"/>
  <c r="BY270" i="3"/>
  <c r="BZ278" i="3"/>
  <c r="CA278" i="3"/>
  <c r="ET278" i="3" s="1"/>
  <c r="BY278" i="3"/>
  <c r="BZ286" i="3"/>
  <c r="CA286" i="3"/>
  <c r="ET286" i="3" s="1"/>
  <c r="BY286" i="3"/>
  <c r="BY294" i="3"/>
  <c r="CA294" i="3"/>
  <c r="ET294" i="3" s="1"/>
  <c r="BZ294" i="3"/>
  <c r="BZ302" i="3"/>
  <c r="CA302" i="3"/>
  <c r="ET302" i="3" s="1"/>
  <c r="BY302" i="3"/>
  <c r="CA205" i="3"/>
  <c r="ES205" i="3" s="1"/>
  <c r="BY205" i="3"/>
  <c r="BZ205" i="3"/>
  <c r="BZ213" i="3"/>
  <c r="CA213" i="3"/>
  <c r="ES213" i="3" s="1"/>
  <c r="BY213" i="3"/>
  <c r="BZ221" i="3"/>
  <c r="BY221" i="3"/>
  <c r="CA221" i="3"/>
  <c r="ET221" i="3" s="1"/>
  <c r="BZ229" i="3"/>
  <c r="CA229" i="3"/>
  <c r="ES229" i="3" s="1"/>
  <c r="BY229" i="3"/>
  <c r="BZ237" i="3"/>
  <c r="CA237" i="3"/>
  <c r="ES237" i="3" s="1"/>
  <c r="BY237" i="3"/>
  <c r="BY245" i="3"/>
  <c r="BZ245" i="3"/>
  <c r="CA245" i="3"/>
  <c r="ES245" i="3" s="1"/>
  <c r="BZ253" i="3"/>
  <c r="CA253" i="3"/>
  <c r="ET253" i="3" s="1"/>
  <c r="BY253" i="3"/>
  <c r="BZ261" i="3"/>
  <c r="BY261" i="3"/>
  <c r="CA261" i="3"/>
  <c r="ET261" i="3" s="1"/>
  <c r="CA269" i="3"/>
  <c r="ET269" i="3" s="1"/>
  <c r="BY269" i="3"/>
  <c r="BZ269" i="3"/>
  <c r="BZ277" i="3"/>
  <c r="CA277" i="3"/>
  <c r="ET277" i="3" s="1"/>
  <c r="BY277" i="3"/>
  <c r="CA285" i="3"/>
  <c r="ES285" i="3" s="1"/>
  <c r="BZ285" i="3"/>
  <c r="BY285" i="3"/>
  <c r="BZ293" i="3"/>
  <c r="CA293" i="3"/>
  <c r="ET293" i="3" s="1"/>
  <c r="BY293" i="3"/>
  <c r="BZ301" i="3"/>
  <c r="CA301" i="3"/>
  <c r="ES301" i="3" s="1"/>
  <c r="BY301" i="3"/>
  <c r="Z35" i="7"/>
  <c r="CF76" i="3"/>
  <c r="DD76" i="3" s="1"/>
  <c r="CF84" i="3"/>
  <c r="DD84" i="3" s="1"/>
  <c r="CF92" i="3"/>
  <c r="DD92" i="3" s="1"/>
  <c r="CF100" i="3"/>
  <c r="DD100" i="3" s="1"/>
  <c r="CF108" i="3"/>
  <c r="DD108" i="3" s="1"/>
  <c r="CF116" i="3"/>
  <c r="DD116" i="3" s="1"/>
  <c r="CF124" i="3"/>
  <c r="DD124" i="3" s="1"/>
  <c r="CF132" i="3"/>
  <c r="DD132" i="3" s="1"/>
  <c r="CF140" i="3"/>
  <c r="DD140" i="3" s="1"/>
  <c r="CF148" i="3"/>
  <c r="DD148" i="3" s="1"/>
  <c r="CF156" i="3"/>
  <c r="DD156" i="3" s="1"/>
  <c r="CF164" i="3"/>
  <c r="DD164" i="3" s="1"/>
  <c r="CF172" i="3"/>
  <c r="DD172" i="3" s="1"/>
  <c r="CF180" i="3"/>
  <c r="DD180" i="3" s="1"/>
  <c r="CF188" i="3"/>
  <c r="DD188" i="3" s="1"/>
  <c r="CF196" i="3"/>
  <c r="DD196" i="3" s="1"/>
  <c r="CF204" i="3"/>
  <c r="DD204" i="3" s="1"/>
  <c r="CF212" i="3"/>
  <c r="DD212" i="3" s="1"/>
  <c r="CF220" i="3"/>
  <c r="DD220" i="3" s="1"/>
  <c r="CF228" i="3"/>
  <c r="DD228" i="3" s="1"/>
  <c r="CF236" i="3"/>
  <c r="DD236" i="3" s="1"/>
  <c r="CF244" i="3"/>
  <c r="DD244" i="3" s="1"/>
  <c r="CF252" i="3"/>
  <c r="DD252" i="3" s="1"/>
  <c r="CF260" i="3"/>
  <c r="DD260" i="3" s="1"/>
  <c r="CF268" i="3"/>
  <c r="DD268" i="3" s="1"/>
  <c r="CF276" i="3"/>
  <c r="DD276" i="3" s="1"/>
  <c r="CF249" i="3"/>
  <c r="DD249" i="3" s="1"/>
  <c r="CF257" i="3"/>
  <c r="DD257" i="3" s="1"/>
  <c r="CF265" i="3"/>
  <c r="DD265" i="3" s="1"/>
  <c r="CF273" i="3"/>
  <c r="DD273" i="3" s="1"/>
  <c r="CF281" i="3"/>
  <c r="DD281" i="3" s="1"/>
  <c r="CF289" i="3"/>
  <c r="DD289" i="3" s="1"/>
  <c r="CF30" i="3"/>
  <c r="CF38" i="3"/>
  <c r="CF46" i="3"/>
  <c r="CF54" i="3"/>
  <c r="DD54" i="3" s="1"/>
  <c r="CF62" i="3"/>
  <c r="DD62" i="3" s="1"/>
  <c r="CF70" i="3"/>
  <c r="DD70" i="3" s="1"/>
  <c r="CF78" i="3"/>
  <c r="DD78" i="3" s="1"/>
  <c r="CF86" i="3"/>
  <c r="DD86" i="3" s="1"/>
  <c r="CF94" i="3"/>
  <c r="DD94" i="3" s="1"/>
  <c r="CF102" i="3"/>
  <c r="DD102" i="3" s="1"/>
  <c r="CF110" i="3"/>
  <c r="DD110" i="3" s="1"/>
  <c r="CF118" i="3"/>
  <c r="DD118" i="3" s="1"/>
  <c r="CF126" i="3"/>
  <c r="DD126" i="3" s="1"/>
  <c r="CF134" i="3"/>
  <c r="DD134" i="3" s="1"/>
  <c r="CF142" i="3"/>
  <c r="DD142" i="3" s="1"/>
  <c r="CF150" i="3"/>
  <c r="DD150" i="3" s="1"/>
  <c r="CF158" i="3"/>
  <c r="DD158" i="3" s="1"/>
  <c r="CF166" i="3"/>
  <c r="DD166" i="3" s="1"/>
  <c r="CF174" i="3"/>
  <c r="DD174" i="3" s="1"/>
  <c r="CF182" i="3"/>
  <c r="DD182" i="3" s="1"/>
  <c r="CF190" i="3"/>
  <c r="DD190" i="3" s="1"/>
  <c r="CF198" i="3"/>
  <c r="DD198" i="3" s="1"/>
  <c r="CF206" i="3"/>
  <c r="DD206" i="3" s="1"/>
  <c r="CF214" i="3"/>
  <c r="DD214" i="3" s="1"/>
  <c r="CF222" i="3"/>
  <c r="DD222" i="3" s="1"/>
  <c r="CF230" i="3"/>
  <c r="DD230" i="3" s="1"/>
  <c r="CF238" i="3"/>
  <c r="DD238" i="3" s="1"/>
  <c r="CF246" i="3"/>
  <c r="DD246" i="3" s="1"/>
  <c r="CF254" i="3"/>
  <c r="DD254" i="3" s="1"/>
  <c r="CF262" i="3"/>
  <c r="DD262" i="3" s="1"/>
  <c r="CF270" i="3"/>
  <c r="DD270" i="3" s="1"/>
  <c r="CF278" i="3"/>
  <c r="DD278" i="3" s="1"/>
  <c r="CF286" i="3"/>
  <c r="DD286" i="3" s="1"/>
  <c r="CF294" i="3"/>
  <c r="DD294" i="3" s="1"/>
  <c r="CF302" i="3"/>
  <c r="DD302" i="3" s="1"/>
  <c r="AV11" i="3"/>
  <c r="P314" i="13" s="1"/>
  <c r="CF284" i="3"/>
  <c r="DD284" i="3" s="1"/>
  <c r="CF292" i="3"/>
  <c r="DD292" i="3" s="1"/>
  <c r="CF300" i="3"/>
  <c r="DD300" i="3" s="1"/>
  <c r="CF308" i="3"/>
  <c r="DD308" i="3" s="1"/>
  <c r="CB13" i="3"/>
  <c r="W27" i="20" s="1"/>
  <c r="CF35" i="3"/>
  <c r="CF43" i="3"/>
  <c r="CF51" i="3"/>
  <c r="DD51" i="3" s="1"/>
  <c r="CF59" i="3"/>
  <c r="DD59" i="3" s="1"/>
  <c r="CF67" i="3"/>
  <c r="DD67" i="3" s="1"/>
  <c r="CF75" i="3"/>
  <c r="DD75" i="3" s="1"/>
  <c r="CF83" i="3"/>
  <c r="DD83" i="3" s="1"/>
  <c r="CF91" i="3"/>
  <c r="DD91" i="3" s="1"/>
  <c r="CF99" i="3"/>
  <c r="DD99" i="3" s="1"/>
  <c r="CF107" i="3"/>
  <c r="DD107" i="3" s="1"/>
  <c r="CF115" i="3"/>
  <c r="DD115" i="3" s="1"/>
  <c r="CF123" i="3"/>
  <c r="DD123" i="3" s="1"/>
  <c r="CF131" i="3"/>
  <c r="DD131" i="3" s="1"/>
  <c r="CF139" i="3"/>
  <c r="DD139" i="3" s="1"/>
  <c r="CF147" i="3"/>
  <c r="DD147" i="3" s="1"/>
  <c r="CF155" i="3"/>
  <c r="DD155" i="3" s="1"/>
  <c r="CF163" i="3"/>
  <c r="DD163" i="3" s="1"/>
  <c r="CF171" i="3"/>
  <c r="DD171" i="3" s="1"/>
  <c r="CF179" i="3"/>
  <c r="DD179" i="3" s="1"/>
  <c r="CF187" i="3"/>
  <c r="DD187" i="3" s="1"/>
  <c r="CF195" i="3"/>
  <c r="DD195" i="3" s="1"/>
  <c r="CF203" i="3"/>
  <c r="DD203" i="3" s="1"/>
  <c r="CF211" i="3"/>
  <c r="DD211" i="3" s="1"/>
  <c r="CF219" i="3"/>
  <c r="DD219" i="3" s="1"/>
  <c r="CF227" i="3"/>
  <c r="DD227" i="3" s="1"/>
  <c r="CF235" i="3"/>
  <c r="DD235" i="3" s="1"/>
  <c r="CF243" i="3"/>
  <c r="DD243" i="3" s="1"/>
  <c r="CF251" i="3"/>
  <c r="DD251" i="3" s="1"/>
  <c r="CF259" i="3"/>
  <c r="DD259" i="3" s="1"/>
  <c r="CF267" i="3"/>
  <c r="DD267" i="3" s="1"/>
  <c r="CF275" i="3"/>
  <c r="DD275" i="3" s="1"/>
  <c r="CF283" i="3"/>
  <c r="DD283" i="3" s="1"/>
  <c r="CF291" i="3"/>
  <c r="DD291" i="3" s="1"/>
  <c r="CF299" i="3"/>
  <c r="DD299" i="3" s="1"/>
  <c r="CF307" i="3"/>
  <c r="DD307" i="3" s="1"/>
  <c r="CB16" i="3"/>
  <c r="CF34" i="3"/>
  <c r="CF42" i="3"/>
  <c r="CF50" i="3"/>
  <c r="DD50" i="3" s="1"/>
  <c r="CF58" i="3"/>
  <c r="DD58" i="3" s="1"/>
  <c r="CF66" i="3"/>
  <c r="DD66" i="3" s="1"/>
  <c r="CF74" i="3"/>
  <c r="DD74" i="3" s="1"/>
  <c r="CF82" i="3"/>
  <c r="DD82" i="3" s="1"/>
  <c r="CF90" i="3"/>
  <c r="DD90" i="3" s="1"/>
  <c r="CF98" i="3"/>
  <c r="DD98" i="3" s="1"/>
  <c r="CF106" i="3"/>
  <c r="DD106" i="3" s="1"/>
  <c r="CF114" i="3"/>
  <c r="DD114" i="3" s="1"/>
  <c r="CF122" i="3"/>
  <c r="DD122" i="3" s="1"/>
  <c r="CF130" i="3"/>
  <c r="DD130" i="3" s="1"/>
  <c r="CF138" i="3"/>
  <c r="DD138" i="3" s="1"/>
  <c r="CF146" i="3"/>
  <c r="DD146" i="3" s="1"/>
  <c r="CF154" i="3"/>
  <c r="DD154" i="3" s="1"/>
  <c r="CF162" i="3"/>
  <c r="DD162" i="3" s="1"/>
  <c r="CF170" i="3"/>
  <c r="DD170" i="3" s="1"/>
  <c r="CF178" i="3"/>
  <c r="DD178" i="3" s="1"/>
  <c r="CF186" i="3"/>
  <c r="DD186" i="3" s="1"/>
  <c r="CF194" i="3"/>
  <c r="DD194" i="3" s="1"/>
  <c r="CF202" i="3"/>
  <c r="DD202" i="3" s="1"/>
  <c r="CF210" i="3"/>
  <c r="DD210" i="3" s="1"/>
  <c r="CF218" i="3"/>
  <c r="DD218" i="3" s="1"/>
  <c r="CF226" i="3"/>
  <c r="DD226" i="3" s="1"/>
  <c r="CF234" i="3"/>
  <c r="DD234" i="3" s="1"/>
  <c r="CF242" i="3"/>
  <c r="DD242" i="3" s="1"/>
  <c r="CF250" i="3"/>
  <c r="DD250" i="3" s="1"/>
  <c r="CF258" i="3"/>
  <c r="DD258" i="3" s="1"/>
  <c r="CF266" i="3"/>
  <c r="DD266" i="3" s="1"/>
  <c r="CF274" i="3"/>
  <c r="DD274" i="3" s="1"/>
  <c r="CF282" i="3"/>
  <c r="DD282" i="3" s="1"/>
  <c r="CF290" i="3"/>
  <c r="DD290" i="3" s="1"/>
  <c r="CF298" i="3"/>
  <c r="DD298" i="3" s="1"/>
  <c r="CF306" i="3"/>
  <c r="DD306" i="3" s="1"/>
  <c r="AV10" i="3"/>
  <c r="CF33" i="3"/>
  <c r="CF41" i="3"/>
  <c r="CF49" i="3"/>
  <c r="CF57" i="3"/>
  <c r="DD57" i="3" s="1"/>
  <c r="CF65" i="3"/>
  <c r="DD65" i="3" s="1"/>
  <c r="CF73" i="3"/>
  <c r="DD73" i="3" s="1"/>
  <c r="CF81" i="3"/>
  <c r="DD81" i="3" s="1"/>
  <c r="CF89" i="3"/>
  <c r="DD89" i="3" s="1"/>
  <c r="CF97" i="3"/>
  <c r="DD97" i="3" s="1"/>
  <c r="CF105" i="3"/>
  <c r="DD105" i="3" s="1"/>
  <c r="CF113" i="3"/>
  <c r="DD113" i="3" s="1"/>
  <c r="CF121" i="3"/>
  <c r="DD121" i="3" s="1"/>
  <c r="CF129" i="3"/>
  <c r="DD129" i="3" s="1"/>
  <c r="CF137" i="3"/>
  <c r="DD137" i="3" s="1"/>
  <c r="CF145" i="3"/>
  <c r="DD145" i="3" s="1"/>
  <c r="CF153" i="3"/>
  <c r="DD153" i="3" s="1"/>
  <c r="CF161" i="3"/>
  <c r="DD161" i="3" s="1"/>
  <c r="CF169" i="3"/>
  <c r="DD169" i="3" s="1"/>
  <c r="CF177" i="3"/>
  <c r="DD177" i="3" s="1"/>
  <c r="CF185" i="3"/>
  <c r="DD185" i="3" s="1"/>
  <c r="CF193" i="3"/>
  <c r="DD193" i="3" s="1"/>
  <c r="CF201" i="3"/>
  <c r="DD201" i="3" s="1"/>
  <c r="CF209" i="3"/>
  <c r="DD209" i="3" s="1"/>
  <c r="CF217" i="3"/>
  <c r="DD217" i="3" s="1"/>
  <c r="CF225" i="3"/>
  <c r="DD225" i="3" s="1"/>
  <c r="CF233" i="3"/>
  <c r="DD233" i="3" s="1"/>
  <c r="CF241" i="3"/>
  <c r="DD241" i="3" s="1"/>
  <c r="CF297" i="3"/>
  <c r="DD297" i="3" s="1"/>
  <c r="CF305" i="3"/>
  <c r="DD305" i="3" s="1"/>
  <c r="CB14" i="3"/>
  <c r="CF31" i="3"/>
  <c r="CF39" i="3"/>
  <c r="CF47" i="3"/>
  <c r="CF55" i="3"/>
  <c r="DD55" i="3" s="1"/>
  <c r="CF63" i="3"/>
  <c r="DD63" i="3" s="1"/>
  <c r="CF71" i="3"/>
  <c r="DD71" i="3" s="1"/>
  <c r="CF79" i="3"/>
  <c r="DD79" i="3" s="1"/>
  <c r="CF87" i="3"/>
  <c r="DD87" i="3" s="1"/>
  <c r="CF95" i="3"/>
  <c r="DD95" i="3" s="1"/>
  <c r="CF103" i="3"/>
  <c r="DD103" i="3" s="1"/>
  <c r="CF111" i="3"/>
  <c r="DD111" i="3" s="1"/>
  <c r="CF119" i="3"/>
  <c r="DD119" i="3" s="1"/>
  <c r="CF127" i="3"/>
  <c r="DD127" i="3" s="1"/>
  <c r="CF135" i="3"/>
  <c r="DD135" i="3" s="1"/>
  <c r="CF143" i="3"/>
  <c r="DD143" i="3" s="1"/>
  <c r="CF151" i="3"/>
  <c r="DD151" i="3" s="1"/>
  <c r="CF159" i="3"/>
  <c r="DD159" i="3" s="1"/>
  <c r="CF167" i="3"/>
  <c r="DD167" i="3" s="1"/>
  <c r="CF175" i="3"/>
  <c r="DD175" i="3" s="1"/>
  <c r="CF183" i="3"/>
  <c r="DD183" i="3" s="1"/>
  <c r="CF191" i="3"/>
  <c r="DD191" i="3" s="1"/>
  <c r="CF199" i="3"/>
  <c r="DD199" i="3" s="1"/>
  <c r="CF207" i="3"/>
  <c r="DD207" i="3" s="1"/>
  <c r="CF215" i="3"/>
  <c r="DD215" i="3" s="1"/>
  <c r="CF223" i="3"/>
  <c r="DD223" i="3" s="1"/>
  <c r="CF231" i="3"/>
  <c r="DD231" i="3" s="1"/>
  <c r="CF239" i="3"/>
  <c r="DD239" i="3" s="1"/>
  <c r="CF247" i="3"/>
  <c r="DD247" i="3" s="1"/>
  <c r="CF255" i="3"/>
  <c r="DD255" i="3" s="1"/>
  <c r="CF263" i="3"/>
  <c r="DD263" i="3" s="1"/>
  <c r="CF271" i="3"/>
  <c r="DD271" i="3" s="1"/>
  <c r="CF279" i="3"/>
  <c r="DD279" i="3" s="1"/>
  <c r="CF287" i="3"/>
  <c r="DD287" i="3" s="1"/>
  <c r="CF295" i="3"/>
  <c r="DD295" i="3" s="1"/>
  <c r="CF303" i="3"/>
  <c r="DD303" i="3" s="1"/>
  <c r="CB17" i="3"/>
  <c r="CF12" i="3"/>
  <c r="AV12" i="3"/>
  <c r="AB275" i="13"/>
  <c r="AB99" i="13"/>
  <c r="AB83" i="13"/>
  <c r="AB67" i="13"/>
  <c r="BJ35" i="3"/>
  <c r="BJ43" i="3"/>
  <c r="BJ51" i="3"/>
  <c r="BJ59" i="3"/>
  <c r="BJ67" i="3"/>
  <c r="BJ75" i="3"/>
  <c r="BJ83" i="3"/>
  <c r="BJ91" i="3"/>
  <c r="BJ99" i="3"/>
  <c r="BJ107" i="3"/>
  <c r="BJ115" i="3"/>
  <c r="BJ123" i="3"/>
  <c r="BJ131" i="3"/>
  <c r="BJ139" i="3"/>
  <c r="BJ147" i="3"/>
  <c r="BJ155" i="3"/>
  <c r="BJ163" i="3"/>
  <c r="BJ171" i="3"/>
  <c r="BJ179" i="3"/>
  <c r="BJ187" i="3"/>
  <c r="BJ195" i="3"/>
  <c r="BJ203" i="3"/>
  <c r="BW203" i="3"/>
  <c r="BJ211" i="3"/>
  <c r="BW211" i="3"/>
  <c r="BJ219" i="3"/>
  <c r="BW219" i="3"/>
  <c r="BJ227" i="3"/>
  <c r="BW227" i="3"/>
  <c r="BJ235" i="3"/>
  <c r="BW235" i="3"/>
  <c r="BJ243" i="3"/>
  <c r="BW243" i="3"/>
  <c r="BJ251" i="3"/>
  <c r="BW251" i="3"/>
  <c r="BJ259" i="3"/>
  <c r="BW259" i="3"/>
  <c r="BJ267" i="3"/>
  <c r="BW267" i="3"/>
  <c r="BJ275" i="3"/>
  <c r="BW275" i="3"/>
  <c r="BJ283" i="3"/>
  <c r="BW283" i="3"/>
  <c r="BJ291" i="3"/>
  <c r="BW291" i="3"/>
  <c r="BJ299" i="3"/>
  <c r="BW299" i="3"/>
  <c r="BJ307" i="3"/>
  <c r="BW307" i="3"/>
  <c r="BJ11" i="3"/>
  <c r="BJ19" i="3"/>
  <c r="BJ29" i="3"/>
  <c r="BJ34" i="3"/>
  <c r="BJ42" i="3"/>
  <c r="BJ50" i="3"/>
  <c r="BJ58" i="3"/>
  <c r="BJ66" i="3"/>
  <c r="BJ74" i="3"/>
  <c r="BJ82" i="3"/>
  <c r="BJ90" i="3"/>
  <c r="BJ98" i="3"/>
  <c r="BJ106" i="3"/>
  <c r="BJ114" i="3"/>
  <c r="BJ122" i="3"/>
  <c r="BJ130" i="3"/>
  <c r="BJ138" i="3"/>
  <c r="BJ146" i="3"/>
  <c r="BJ154" i="3"/>
  <c r="BJ162" i="3"/>
  <c r="BJ170" i="3"/>
  <c r="BJ178" i="3"/>
  <c r="BJ186" i="3"/>
  <c r="BJ194" i="3"/>
  <c r="BJ202" i="3"/>
  <c r="BW202" i="3"/>
  <c r="BJ210" i="3"/>
  <c r="BW210" i="3"/>
  <c r="BJ218" i="3"/>
  <c r="BW218" i="3"/>
  <c r="BJ226" i="3"/>
  <c r="BW226" i="3"/>
  <c r="BJ234" i="3"/>
  <c r="BW234" i="3"/>
  <c r="BJ242" i="3"/>
  <c r="BW242" i="3"/>
  <c r="BJ250" i="3"/>
  <c r="BW250" i="3"/>
  <c r="BJ258" i="3"/>
  <c r="BW258" i="3"/>
  <c r="BJ266" i="3"/>
  <c r="BW266" i="3"/>
  <c r="BJ274" i="3"/>
  <c r="BW274" i="3"/>
  <c r="BJ282" i="3"/>
  <c r="BW282" i="3"/>
  <c r="BJ290" i="3"/>
  <c r="BW290" i="3"/>
  <c r="BJ298" i="3"/>
  <c r="BW298" i="3"/>
  <c r="BJ306" i="3"/>
  <c r="BW306" i="3"/>
  <c r="BJ12" i="3"/>
  <c r="BJ20" i="3"/>
  <c r="BJ33" i="3"/>
  <c r="BJ41" i="3"/>
  <c r="BJ49" i="3"/>
  <c r="BJ57" i="3"/>
  <c r="BJ65" i="3"/>
  <c r="BJ73" i="3"/>
  <c r="BJ81" i="3"/>
  <c r="BJ89" i="3"/>
  <c r="BJ97" i="3"/>
  <c r="BJ105" i="3"/>
  <c r="BJ113" i="3"/>
  <c r="BJ121" i="3"/>
  <c r="BJ129" i="3"/>
  <c r="BJ137" i="3"/>
  <c r="BJ145" i="3"/>
  <c r="BJ153" i="3"/>
  <c r="BJ161" i="3"/>
  <c r="BJ169" i="3"/>
  <c r="BJ177" i="3"/>
  <c r="BJ185" i="3"/>
  <c r="BJ193" i="3"/>
  <c r="BJ201" i="3"/>
  <c r="BJ209" i="3"/>
  <c r="BW209" i="3"/>
  <c r="BJ217" i="3"/>
  <c r="BW217" i="3"/>
  <c r="BJ225" i="3"/>
  <c r="BW225" i="3"/>
  <c r="BJ233" i="3"/>
  <c r="BW233" i="3"/>
  <c r="BJ241" i="3"/>
  <c r="BW241" i="3"/>
  <c r="BJ249" i="3"/>
  <c r="BW249" i="3"/>
  <c r="BJ257" i="3"/>
  <c r="BW257" i="3"/>
  <c r="BJ265" i="3"/>
  <c r="BW265" i="3"/>
  <c r="BJ273" i="3"/>
  <c r="BW273" i="3"/>
  <c r="BJ281" i="3"/>
  <c r="BW281" i="3"/>
  <c r="BJ289" i="3"/>
  <c r="BW289" i="3"/>
  <c r="BJ297" i="3"/>
  <c r="BW297" i="3"/>
  <c r="BJ305" i="3"/>
  <c r="BW305" i="3"/>
  <c r="BJ13" i="3"/>
  <c r="BJ21" i="3"/>
  <c r="BJ40" i="3"/>
  <c r="BJ48" i="3"/>
  <c r="BJ56" i="3"/>
  <c r="BJ64" i="3"/>
  <c r="BJ72" i="3"/>
  <c r="BJ80" i="3"/>
  <c r="BJ88" i="3"/>
  <c r="BJ96" i="3"/>
  <c r="BJ104" i="3"/>
  <c r="BJ112" i="3"/>
  <c r="BJ120" i="3"/>
  <c r="BJ128" i="3"/>
  <c r="BJ136" i="3"/>
  <c r="BJ144" i="3"/>
  <c r="BJ152" i="3"/>
  <c r="BJ160" i="3"/>
  <c r="BJ168" i="3"/>
  <c r="BJ176" i="3"/>
  <c r="BJ184" i="3"/>
  <c r="BJ192" i="3"/>
  <c r="BJ200" i="3"/>
  <c r="BJ208" i="3"/>
  <c r="BW208" i="3"/>
  <c r="BJ216" i="3"/>
  <c r="BW216" i="3"/>
  <c r="BJ224" i="3"/>
  <c r="BW224" i="3"/>
  <c r="BJ232" i="3"/>
  <c r="BW232" i="3"/>
  <c r="BJ240" i="3"/>
  <c r="BW240" i="3"/>
  <c r="BJ248" i="3"/>
  <c r="BW248" i="3"/>
  <c r="BJ256" i="3"/>
  <c r="BW256" i="3"/>
  <c r="BJ264" i="3"/>
  <c r="BW264" i="3"/>
  <c r="BJ272" i="3"/>
  <c r="BW272" i="3"/>
  <c r="BJ280" i="3"/>
  <c r="BW280" i="3"/>
  <c r="BJ288" i="3"/>
  <c r="BW288" i="3"/>
  <c r="BJ296" i="3"/>
  <c r="BW296" i="3"/>
  <c r="BJ304" i="3"/>
  <c r="BW304" i="3"/>
  <c r="BJ14" i="3"/>
  <c r="BJ24" i="3"/>
  <c r="BJ22" i="3"/>
  <c r="BJ39" i="3"/>
  <c r="BJ47" i="3"/>
  <c r="BJ55" i="3"/>
  <c r="BJ63" i="3"/>
  <c r="BJ71" i="3"/>
  <c r="BJ79" i="3"/>
  <c r="BJ87" i="3"/>
  <c r="BJ95" i="3"/>
  <c r="BJ103" i="3"/>
  <c r="BJ111" i="3"/>
  <c r="BJ119" i="3"/>
  <c r="BJ127" i="3"/>
  <c r="BJ135" i="3"/>
  <c r="BJ143" i="3"/>
  <c r="BJ151" i="3"/>
  <c r="BJ159" i="3"/>
  <c r="BJ167" i="3"/>
  <c r="BJ175" i="3"/>
  <c r="BJ183" i="3"/>
  <c r="BJ191" i="3"/>
  <c r="BJ199" i="3"/>
  <c r="BJ207" i="3"/>
  <c r="BW207" i="3"/>
  <c r="BJ215" i="3"/>
  <c r="BW215" i="3"/>
  <c r="BJ223" i="3"/>
  <c r="BW223" i="3"/>
  <c r="BJ231" i="3"/>
  <c r="BW231" i="3"/>
  <c r="BJ239" i="3"/>
  <c r="BW239" i="3"/>
  <c r="BJ247" i="3"/>
  <c r="BW247" i="3"/>
  <c r="BJ255" i="3"/>
  <c r="BW255" i="3"/>
  <c r="BJ263" i="3"/>
  <c r="BW263" i="3"/>
  <c r="BJ271" i="3"/>
  <c r="BW271" i="3"/>
  <c r="BJ279" i="3"/>
  <c r="BW279" i="3"/>
  <c r="BJ287" i="3"/>
  <c r="BW287" i="3"/>
  <c r="BJ295" i="3"/>
  <c r="BW295" i="3"/>
  <c r="BJ303" i="3"/>
  <c r="BW303" i="3"/>
  <c r="BJ15" i="3"/>
  <c r="BJ25" i="3"/>
  <c r="BJ30" i="3"/>
  <c r="BJ38" i="3"/>
  <c r="BJ46" i="3"/>
  <c r="BJ54" i="3"/>
  <c r="BJ62" i="3"/>
  <c r="BJ70" i="3"/>
  <c r="BJ78" i="3"/>
  <c r="BJ86" i="3"/>
  <c r="BJ94" i="3"/>
  <c r="BJ102" i="3"/>
  <c r="BJ110" i="3"/>
  <c r="BJ118" i="3"/>
  <c r="BJ126" i="3"/>
  <c r="BJ134" i="3"/>
  <c r="BJ142" i="3"/>
  <c r="BJ150" i="3"/>
  <c r="BJ158" i="3"/>
  <c r="BJ166" i="3"/>
  <c r="BJ174" i="3"/>
  <c r="BJ182" i="3"/>
  <c r="BJ190" i="3"/>
  <c r="BJ198" i="3"/>
  <c r="BJ206" i="3"/>
  <c r="BW206" i="3"/>
  <c r="BJ214" i="3"/>
  <c r="BW214" i="3"/>
  <c r="BJ222" i="3"/>
  <c r="BW222" i="3"/>
  <c r="BJ230" i="3"/>
  <c r="BW230" i="3"/>
  <c r="BJ238" i="3"/>
  <c r="BW238" i="3"/>
  <c r="BJ246" i="3"/>
  <c r="BW246" i="3"/>
  <c r="BJ254" i="3"/>
  <c r="BW254" i="3"/>
  <c r="BJ262" i="3"/>
  <c r="BW262" i="3"/>
  <c r="BJ270" i="3"/>
  <c r="BW270" i="3"/>
  <c r="BJ278" i="3"/>
  <c r="BW278" i="3"/>
  <c r="BJ286" i="3"/>
  <c r="BW286" i="3"/>
  <c r="BJ294" i="3"/>
  <c r="BW294" i="3"/>
  <c r="BJ302" i="3"/>
  <c r="BW302" i="3"/>
  <c r="BJ16" i="3"/>
  <c r="BJ26" i="3"/>
  <c r="BJ23" i="3"/>
  <c r="BJ37" i="3"/>
  <c r="BJ45" i="3"/>
  <c r="BJ53" i="3"/>
  <c r="BJ61" i="3"/>
  <c r="BJ69" i="3"/>
  <c r="BJ77" i="3"/>
  <c r="BJ85" i="3"/>
  <c r="BJ93" i="3"/>
  <c r="BJ101" i="3"/>
  <c r="BJ109" i="3"/>
  <c r="BJ117" i="3"/>
  <c r="BJ125" i="3"/>
  <c r="BJ133" i="3"/>
  <c r="BJ141" i="3"/>
  <c r="BJ149" i="3"/>
  <c r="BJ157" i="3"/>
  <c r="BJ165" i="3"/>
  <c r="BJ173" i="3"/>
  <c r="BJ181" i="3"/>
  <c r="BJ189" i="3"/>
  <c r="BJ197" i="3"/>
  <c r="BJ205" i="3"/>
  <c r="BW205" i="3"/>
  <c r="BJ213" i="3"/>
  <c r="BW213" i="3"/>
  <c r="BJ221" i="3"/>
  <c r="BW221" i="3"/>
  <c r="BJ229" i="3"/>
  <c r="BW229" i="3"/>
  <c r="BJ237" i="3"/>
  <c r="BW237" i="3"/>
  <c r="BJ245" i="3"/>
  <c r="BW245" i="3"/>
  <c r="BJ253" i="3"/>
  <c r="BW253" i="3"/>
  <c r="BJ261" i="3"/>
  <c r="BW261" i="3"/>
  <c r="BJ269" i="3"/>
  <c r="BW269" i="3"/>
  <c r="BJ277" i="3"/>
  <c r="BW277" i="3"/>
  <c r="BJ285" i="3"/>
  <c r="BW285" i="3"/>
  <c r="BJ293" i="3"/>
  <c r="BW293" i="3"/>
  <c r="BJ301" i="3"/>
  <c r="BW301" i="3"/>
  <c r="BJ17" i="3"/>
  <c r="BJ27" i="3"/>
  <c r="BJ9" i="3"/>
  <c r="BJ36" i="3"/>
  <c r="BJ44" i="3"/>
  <c r="BJ52" i="3"/>
  <c r="BJ60" i="3"/>
  <c r="BJ68" i="3"/>
  <c r="BJ76" i="3"/>
  <c r="BJ84" i="3"/>
  <c r="BJ92" i="3"/>
  <c r="BJ100" i="3"/>
  <c r="BJ108" i="3"/>
  <c r="BJ116" i="3"/>
  <c r="BJ124" i="3"/>
  <c r="BJ132" i="3"/>
  <c r="BJ140" i="3"/>
  <c r="BJ148" i="3"/>
  <c r="BJ156" i="3"/>
  <c r="BJ164" i="3"/>
  <c r="BJ172" i="3"/>
  <c r="BJ180" i="3"/>
  <c r="BJ188" i="3"/>
  <c r="BJ196" i="3"/>
  <c r="BJ204" i="3"/>
  <c r="BW204" i="3"/>
  <c r="BJ212" i="3"/>
  <c r="BW212" i="3"/>
  <c r="BJ220" i="3"/>
  <c r="BW220" i="3"/>
  <c r="BJ228" i="3"/>
  <c r="BW228" i="3"/>
  <c r="BJ236" i="3"/>
  <c r="BW236" i="3"/>
  <c r="BJ244" i="3"/>
  <c r="BW244" i="3"/>
  <c r="BJ252" i="3"/>
  <c r="BW252" i="3"/>
  <c r="BJ260" i="3"/>
  <c r="BW260" i="3"/>
  <c r="BJ268" i="3"/>
  <c r="BW268" i="3"/>
  <c r="BJ276" i="3"/>
  <c r="BW276" i="3"/>
  <c r="BJ284" i="3"/>
  <c r="BW284" i="3"/>
  <c r="BJ292" i="3"/>
  <c r="BW292" i="3"/>
  <c r="BJ300" i="3"/>
  <c r="BW300" i="3"/>
  <c r="BJ308" i="3"/>
  <c r="BW308" i="3"/>
  <c r="BJ10" i="3"/>
  <c r="BJ18" i="3"/>
  <c r="BJ28" i="3"/>
  <c r="AP299" i="5"/>
  <c r="AU299" i="5" s="1"/>
  <c r="AB146" i="13"/>
  <c r="AB106" i="13"/>
  <c r="AB34" i="13"/>
  <c r="AB26" i="13"/>
  <c r="AB144" i="13"/>
  <c r="AB56" i="13"/>
  <c r="AB40" i="13"/>
  <c r="AB24" i="13"/>
  <c r="AB16" i="13"/>
  <c r="AB127" i="13"/>
  <c r="AB119" i="13"/>
  <c r="AB103" i="13"/>
  <c r="AB95" i="13"/>
  <c r="AB71" i="13"/>
  <c r="AB47" i="13"/>
  <c r="AB142" i="13"/>
  <c r="AB118" i="13"/>
  <c r="AB38" i="13"/>
  <c r="AB30" i="13"/>
  <c r="AB22" i="13"/>
  <c r="AB14" i="13"/>
  <c r="AB277" i="13"/>
  <c r="AB125" i="13"/>
  <c r="AB109" i="13"/>
  <c r="AB93" i="13"/>
  <c r="AB61" i="13"/>
  <c r="AB37" i="13"/>
  <c r="AB161" i="13"/>
  <c r="AB129" i="13"/>
  <c r="AB105" i="13"/>
  <c r="AB73" i="13"/>
  <c r="Z39" i="7"/>
  <c r="AB12" i="13"/>
  <c r="Z76" i="13"/>
  <c r="Z102" i="13"/>
  <c r="Z166" i="13"/>
  <c r="Z148" i="13"/>
  <c r="Z212" i="13"/>
  <c r="Z182" i="13"/>
  <c r="Z276" i="13"/>
  <c r="Z281" i="13"/>
  <c r="Z120" i="13"/>
  <c r="Z77" i="13"/>
  <c r="Z149" i="13"/>
  <c r="Z213" i="13"/>
  <c r="Z277" i="13"/>
  <c r="Z184" i="13"/>
  <c r="Z248" i="13"/>
  <c r="Z55" i="13"/>
  <c r="Z82" i="13"/>
  <c r="Z146" i="13"/>
  <c r="Z210" i="13"/>
  <c r="Z282" i="13"/>
  <c r="Z79" i="13"/>
  <c r="Z280" i="13"/>
  <c r="Z59" i="13"/>
  <c r="Z131" i="13"/>
  <c r="Z195" i="13"/>
  <c r="Z259" i="13"/>
  <c r="Z159" i="13"/>
  <c r="Z57" i="13"/>
  <c r="Z129" i="13"/>
  <c r="Z193" i="13"/>
  <c r="Z305" i="13"/>
  <c r="Z53" i="13"/>
  <c r="Z306" i="13"/>
  <c r="Z230" i="13"/>
  <c r="Z104" i="13"/>
  <c r="Z61" i="13"/>
  <c r="Z261" i="13"/>
  <c r="Z232" i="13"/>
  <c r="Z194" i="13"/>
  <c r="Z115" i="13"/>
  <c r="Z113" i="13"/>
  <c r="Z84" i="13"/>
  <c r="Z110" i="13"/>
  <c r="Z174" i="13"/>
  <c r="Z156" i="13"/>
  <c r="Z220" i="13"/>
  <c r="Z190" i="13"/>
  <c r="Z284" i="13"/>
  <c r="Z262" i="13"/>
  <c r="Z128" i="13"/>
  <c r="Z85" i="13"/>
  <c r="Z157" i="13"/>
  <c r="Z221" i="13"/>
  <c r="Z285" i="13"/>
  <c r="Z192" i="13"/>
  <c r="Z278" i="13"/>
  <c r="Z135" i="13"/>
  <c r="Z90" i="13"/>
  <c r="Z154" i="13"/>
  <c r="Z218" i="13"/>
  <c r="Z298" i="13"/>
  <c r="Z143" i="13"/>
  <c r="Z288" i="13"/>
  <c r="Z67" i="13"/>
  <c r="Z139" i="13"/>
  <c r="Z203" i="13"/>
  <c r="Z267" i="13"/>
  <c r="Z255" i="13"/>
  <c r="Z65" i="13"/>
  <c r="Z137" i="13"/>
  <c r="Z201" i="13"/>
  <c r="Z58" i="13"/>
  <c r="Z54" i="13"/>
  <c r="Z93" i="13"/>
  <c r="Z286" i="13"/>
  <c r="Z260" i="13"/>
  <c r="Z133" i="13"/>
  <c r="Z130" i="13"/>
  <c r="Z207" i="13"/>
  <c r="Z215" i="13"/>
  <c r="Z92" i="13"/>
  <c r="Z118" i="13"/>
  <c r="Z100" i="13"/>
  <c r="Z164" i="13"/>
  <c r="Z228" i="13"/>
  <c r="Z198" i="13"/>
  <c r="Z292" i="13"/>
  <c r="Z72" i="13"/>
  <c r="Z136" i="13"/>
  <c r="Z101" i="13"/>
  <c r="Z165" i="13"/>
  <c r="Z229" i="13"/>
  <c r="Z293" i="13"/>
  <c r="Z200" i="13"/>
  <c r="Z294" i="13"/>
  <c r="Z167" i="13"/>
  <c r="Z98" i="13"/>
  <c r="Z162" i="13"/>
  <c r="Z226" i="13"/>
  <c r="Z63" i="13"/>
  <c r="Z175" i="13"/>
  <c r="Z296" i="13"/>
  <c r="Z75" i="13"/>
  <c r="Z147" i="13"/>
  <c r="Z211" i="13"/>
  <c r="Z275" i="13"/>
  <c r="Z295" i="13"/>
  <c r="Z73" i="13"/>
  <c r="Z145" i="13"/>
  <c r="Z209" i="13"/>
  <c r="Z66" i="13"/>
  <c r="Z62" i="13"/>
  <c r="Z302" i="13"/>
  <c r="Z246" i="13"/>
  <c r="Z279" i="13"/>
  <c r="Z241" i="13"/>
  <c r="Z126" i="13"/>
  <c r="Z108" i="13"/>
  <c r="Z172" i="13"/>
  <c r="Z236" i="13"/>
  <c r="Z206" i="13"/>
  <c r="Z300" i="13"/>
  <c r="Z80" i="13"/>
  <c r="Z144" i="13"/>
  <c r="Z109" i="13"/>
  <c r="Z173" i="13"/>
  <c r="Z237" i="13"/>
  <c r="Z301" i="13"/>
  <c r="Z208" i="13"/>
  <c r="Z310" i="13"/>
  <c r="Z191" i="13"/>
  <c r="Z106" i="13"/>
  <c r="Z170" i="13"/>
  <c r="Z234" i="13"/>
  <c r="Z119" i="13"/>
  <c r="Z263" i="13"/>
  <c r="Z304" i="13"/>
  <c r="Z83" i="13"/>
  <c r="Z155" i="13"/>
  <c r="Z219" i="13"/>
  <c r="Z283" i="13"/>
  <c r="Z87" i="13"/>
  <c r="Z81" i="13"/>
  <c r="Z153" i="13"/>
  <c r="Z217" i="13"/>
  <c r="Z56" i="13"/>
  <c r="Z60" i="13"/>
  <c r="Z132" i="13"/>
  <c r="Z287" i="13"/>
  <c r="Z179" i="13"/>
  <c r="Z51" i="13"/>
  <c r="Z70" i="13"/>
  <c r="Z134" i="13"/>
  <c r="Z116" i="13"/>
  <c r="Z180" i="13"/>
  <c r="Z244" i="13"/>
  <c r="Z214" i="13"/>
  <c r="Z308" i="13"/>
  <c r="Z88" i="13"/>
  <c r="Z152" i="13"/>
  <c r="Z117" i="13"/>
  <c r="Z181" i="13"/>
  <c r="Z245" i="13"/>
  <c r="Z309" i="13"/>
  <c r="Z216" i="13"/>
  <c r="Z257" i="13"/>
  <c r="Z223" i="13"/>
  <c r="Z114" i="13"/>
  <c r="Z178" i="13"/>
  <c r="Z242" i="13"/>
  <c r="Z199" i="13"/>
  <c r="Z303" i="13"/>
  <c r="Z103" i="13"/>
  <c r="Z99" i="13"/>
  <c r="Z163" i="13"/>
  <c r="Z227" i="13"/>
  <c r="Z291" i="13"/>
  <c r="Z127" i="13"/>
  <c r="Z89" i="13"/>
  <c r="Z161" i="13"/>
  <c r="Z225" i="13"/>
  <c r="Z64" i="13"/>
  <c r="Z68" i="13"/>
  <c r="Z196" i="13"/>
  <c r="Z289" i="13"/>
  <c r="Z243" i="13"/>
  <c r="Z97" i="13"/>
  <c r="Z78" i="13"/>
  <c r="Z142" i="13"/>
  <c r="Z124" i="13"/>
  <c r="Z188" i="13"/>
  <c r="Z252" i="13"/>
  <c r="Z222" i="13"/>
  <c r="Z307" i="13"/>
  <c r="Z96" i="13"/>
  <c r="Z270" i="13"/>
  <c r="Z125" i="13"/>
  <c r="Z189" i="13"/>
  <c r="Z253" i="13"/>
  <c r="Z160" i="13"/>
  <c r="Z224" i="13"/>
  <c r="Z265" i="13"/>
  <c r="Z239" i="13"/>
  <c r="Z122" i="13"/>
  <c r="Z186" i="13"/>
  <c r="Z250" i="13"/>
  <c r="Z247" i="13"/>
  <c r="Z256" i="13"/>
  <c r="Z151" i="13"/>
  <c r="Z107" i="13"/>
  <c r="Z171" i="13"/>
  <c r="Z235" i="13"/>
  <c r="Z299" i="13"/>
  <c r="Z183" i="13"/>
  <c r="Z105" i="13"/>
  <c r="Z169" i="13"/>
  <c r="Z233" i="13"/>
  <c r="Z91" i="13"/>
  <c r="Z150" i="13"/>
  <c r="Z168" i="13"/>
  <c r="Z264" i="13"/>
  <c r="Z177" i="13"/>
  <c r="Z94" i="13"/>
  <c r="Z158" i="13"/>
  <c r="Z140" i="13"/>
  <c r="Z204" i="13"/>
  <c r="Z268" i="13"/>
  <c r="Z238" i="13"/>
  <c r="Z254" i="13"/>
  <c r="Z112" i="13"/>
  <c r="Z69" i="13"/>
  <c r="Z141" i="13"/>
  <c r="Z205" i="13"/>
  <c r="Z269" i="13"/>
  <c r="Z176" i="13"/>
  <c r="Z240" i="13"/>
  <c r="Z297" i="13"/>
  <c r="Z74" i="13"/>
  <c r="Z138" i="13"/>
  <c r="Z202" i="13"/>
  <c r="Z266" i="13"/>
  <c r="Z311" i="13"/>
  <c r="Z272" i="13"/>
  <c r="Z231" i="13"/>
  <c r="Z123" i="13"/>
  <c r="Z187" i="13"/>
  <c r="Z251" i="13"/>
  <c r="Z111" i="13"/>
  <c r="Z271" i="13"/>
  <c r="Z121" i="13"/>
  <c r="Z185" i="13"/>
  <c r="Z249" i="13"/>
  <c r="Z52" i="13"/>
  <c r="Z95" i="13"/>
  <c r="Z290" i="13"/>
  <c r="Z274" i="13"/>
  <c r="Z273" i="13"/>
  <c r="Z86" i="13"/>
  <c r="Z197" i="13"/>
  <c r="Z258" i="13"/>
  <c r="Z71" i="13"/>
  <c r="AB609" i="13"/>
  <c r="AP609" i="13" s="1"/>
  <c r="AB605" i="13"/>
  <c r="AP605" i="13" s="1"/>
  <c r="AB601" i="13"/>
  <c r="AP601" i="13" s="1"/>
  <c r="AB597" i="13"/>
  <c r="AP597" i="13" s="1"/>
  <c r="AB593" i="13"/>
  <c r="AP593" i="13" s="1"/>
  <c r="AB589" i="13"/>
  <c r="AP589" i="13" s="1"/>
  <c r="AB585" i="13"/>
  <c r="AP585" i="13" s="1"/>
  <c r="AB581" i="13"/>
  <c r="AP581" i="13" s="1"/>
  <c r="AB577" i="13"/>
  <c r="AP577" i="13" s="1"/>
  <c r="AB573" i="13"/>
  <c r="AP573" i="13" s="1"/>
  <c r="AB569" i="13"/>
  <c r="AP569" i="13" s="1"/>
  <c r="AB565" i="13"/>
  <c r="AP565" i="13" s="1"/>
  <c r="AB561" i="13"/>
  <c r="AP561" i="13" s="1"/>
  <c r="AB557" i="13"/>
  <c r="AP557" i="13" s="1"/>
  <c r="AB553" i="13"/>
  <c r="AP553" i="13" s="1"/>
  <c r="AB549" i="13"/>
  <c r="AP549" i="13" s="1"/>
  <c r="AB545" i="13"/>
  <c r="AP545" i="13" s="1"/>
  <c r="AB541" i="13"/>
  <c r="AP541" i="13" s="1"/>
  <c r="AB537" i="13"/>
  <c r="AB533" i="13"/>
  <c r="AP533" i="13" s="1"/>
  <c r="AB529" i="13"/>
  <c r="AP529" i="13" s="1"/>
  <c r="AB525" i="13"/>
  <c r="AP525" i="13" s="1"/>
  <c r="AB521" i="13"/>
  <c r="AP521" i="13" s="1"/>
  <c r="AB517" i="13"/>
  <c r="AP517" i="13" s="1"/>
  <c r="AB513" i="13"/>
  <c r="AP513" i="13" s="1"/>
  <c r="AB509" i="13"/>
  <c r="AP509" i="13" s="1"/>
  <c r="AB505" i="13"/>
  <c r="AB501" i="13"/>
  <c r="AP501" i="13" s="1"/>
  <c r="AB497" i="13"/>
  <c r="AP497" i="13" s="1"/>
  <c r="AB493" i="13"/>
  <c r="AP493" i="13" s="1"/>
  <c r="AB489" i="13"/>
  <c r="AP489" i="13" s="1"/>
  <c r="AB485" i="13"/>
  <c r="AP485" i="13" s="1"/>
  <c r="AB481" i="13"/>
  <c r="AP481" i="13" s="1"/>
  <c r="AB477" i="13"/>
  <c r="AP477" i="13" s="1"/>
  <c r="AB473" i="13"/>
  <c r="AP473" i="13" s="1"/>
  <c r="AB469" i="13"/>
  <c r="AP469" i="13" s="1"/>
  <c r="AB465" i="13"/>
  <c r="AP465" i="13" s="1"/>
  <c r="AB461" i="13"/>
  <c r="AP461" i="13" s="1"/>
  <c r="AB457" i="13"/>
  <c r="AP457" i="13" s="1"/>
  <c r="AB453" i="13"/>
  <c r="AP453" i="13" s="1"/>
  <c r="AB449" i="13"/>
  <c r="AP449" i="13" s="1"/>
  <c r="AB445" i="13"/>
  <c r="AP445" i="13" s="1"/>
  <c r="AB441" i="13"/>
  <c r="AP441" i="13" s="1"/>
  <c r="AB437" i="13"/>
  <c r="AP437" i="13" s="1"/>
  <c r="AB433" i="13"/>
  <c r="AP433" i="13" s="1"/>
  <c r="AB429" i="13"/>
  <c r="AP429" i="13" s="1"/>
  <c r="AB425" i="13"/>
  <c r="AP425" i="13" s="1"/>
  <c r="AB421" i="13"/>
  <c r="AP421" i="13" s="1"/>
  <c r="AB417" i="13"/>
  <c r="AP417" i="13" s="1"/>
  <c r="AB413" i="13"/>
  <c r="AP413" i="13" s="1"/>
  <c r="AB409" i="13"/>
  <c r="AP409" i="13" s="1"/>
  <c r="AB405" i="13"/>
  <c r="AP405" i="13" s="1"/>
  <c r="AB401" i="13"/>
  <c r="AP401" i="13" s="1"/>
  <c r="AB397" i="13"/>
  <c r="AP397" i="13" s="1"/>
  <c r="AB393" i="13"/>
  <c r="AP393" i="13" s="1"/>
  <c r="AB389" i="13"/>
  <c r="AP389" i="13" s="1"/>
  <c r="AB385" i="13"/>
  <c r="AP385" i="13" s="1"/>
  <c r="AB381" i="13"/>
  <c r="AP381" i="13" s="1"/>
  <c r="AB377" i="13"/>
  <c r="AP377" i="13" s="1"/>
  <c r="AB373" i="13"/>
  <c r="AP373" i="13" s="1"/>
  <c r="AB369" i="13"/>
  <c r="AP369" i="13" s="1"/>
  <c r="AB365" i="13"/>
  <c r="AP365" i="13" s="1"/>
  <c r="AB361" i="13"/>
  <c r="AP361" i="13" s="1"/>
  <c r="AB357" i="13"/>
  <c r="AP357" i="13" s="1"/>
  <c r="AB353" i="13"/>
  <c r="AP353" i="13" s="1"/>
  <c r="AB349" i="13"/>
  <c r="AP349" i="13" s="1"/>
  <c r="AB345" i="13"/>
  <c r="AP345" i="13" s="1"/>
  <c r="AB341" i="13"/>
  <c r="AP341" i="13" s="1"/>
  <c r="AB337" i="13"/>
  <c r="AP337" i="13" s="1"/>
  <c r="AB333" i="13"/>
  <c r="AP333" i="13" s="1"/>
  <c r="AB329" i="13"/>
  <c r="AP329" i="13" s="1"/>
  <c r="AB325" i="13"/>
  <c r="AP325" i="13" s="1"/>
  <c r="AB321" i="13"/>
  <c r="AP321" i="13" s="1"/>
  <c r="AB317" i="13"/>
  <c r="AP317" i="13" s="1"/>
  <c r="AB313" i="13"/>
  <c r="AP313" i="13" s="1"/>
  <c r="AB610" i="13"/>
  <c r="AP610" i="13" s="1"/>
  <c r="AB586" i="13"/>
  <c r="AP586" i="13" s="1"/>
  <c r="AB554" i="13"/>
  <c r="AP554" i="13" s="1"/>
  <c r="AB518" i="13"/>
  <c r="AP518" i="13" s="1"/>
  <c r="AB482" i="13"/>
  <c r="AP482" i="13" s="1"/>
  <c r="AB446" i="13"/>
  <c r="AP446" i="13" s="1"/>
  <c r="AB594" i="13"/>
  <c r="AP594" i="13" s="1"/>
  <c r="AB578" i="13"/>
  <c r="AP578" i="13" s="1"/>
  <c r="AB562" i="13"/>
  <c r="AP562" i="13" s="1"/>
  <c r="AB542" i="13"/>
  <c r="AP542" i="13" s="1"/>
  <c r="AB526" i="13"/>
  <c r="AP526" i="13" s="1"/>
  <c r="AB506" i="13"/>
  <c r="AP506" i="13" s="1"/>
  <c r="AB490" i="13"/>
  <c r="AP490" i="13" s="1"/>
  <c r="AB470" i="13"/>
  <c r="AP470" i="13" s="1"/>
  <c r="AB450" i="13"/>
  <c r="AP450" i="13" s="1"/>
  <c r="AB608" i="13"/>
  <c r="AB604" i="13"/>
  <c r="AP604" i="13" s="1"/>
  <c r="AB600" i="13"/>
  <c r="AP600" i="13" s="1"/>
  <c r="AB596" i="13"/>
  <c r="AP596" i="13" s="1"/>
  <c r="AB592" i="13"/>
  <c r="AP592" i="13" s="1"/>
  <c r="AB588" i="13"/>
  <c r="AP588" i="13" s="1"/>
  <c r="AB584" i="13"/>
  <c r="AP584" i="13" s="1"/>
  <c r="AB580" i="13"/>
  <c r="AP580" i="13" s="1"/>
  <c r="AB576" i="13"/>
  <c r="AB572" i="13"/>
  <c r="AP572" i="13" s="1"/>
  <c r="AB568" i="13"/>
  <c r="AP568" i="13" s="1"/>
  <c r="AB564" i="13"/>
  <c r="AP564" i="13" s="1"/>
  <c r="AB560" i="13"/>
  <c r="AP560" i="13" s="1"/>
  <c r="AB556" i="13"/>
  <c r="AP556" i="13" s="1"/>
  <c r="AB552" i="13"/>
  <c r="AP552" i="13" s="1"/>
  <c r="AB548" i="13"/>
  <c r="AP548" i="13" s="1"/>
  <c r="AB544" i="13"/>
  <c r="AP544" i="13" s="1"/>
  <c r="AB540" i="13"/>
  <c r="AP540" i="13" s="1"/>
  <c r="AB536" i="13"/>
  <c r="AP536" i="13" s="1"/>
  <c r="AB532" i="13"/>
  <c r="AP532" i="13" s="1"/>
  <c r="AB528" i="13"/>
  <c r="AP528" i="13" s="1"/>
  <c r="AB524" i="13"/>
  <c r="AP524" i="13" s="1"/>
  <c r="AB520" i="13"/>
  <c r="AP520" i="13" s="1"/>
  <c r="AB516" i="13"/>
  <c r="AP516" i="13" s="1"/>
  <c r="AB512" i="13"/>
  <c r="AP512" i="13" s="1"/>
  <c r="AB508" i="13"/>
  <c r="AP508" i="13" s="1"/>
  <c r="AB504" i="13"/>
  <c r="AP504" i="13" s="1"/>
  <c r="AB500" i="13"/>
  <c r="AP500" i="13" s="1"/>
  <c r="AB496" i="13"/>
  <c r="AP496" i="13" s="1"/>
  <c r="AB492" i="13"/>
  <c r="AP492" i="13" s="1"/>
  <c r="AB488" i="13"/>
  <c r="AP488" i="13" s="1"/>
  <c r="AB484" i="13"/>
  <c r="AP484" i="13" s="1"/>
  <c r="AB480" i="13"/>
  <c r="AP480" i="13" s="1"/>
  <c r="AB476" i="13"/>
  <c r="AP476" i="13" s="1"/>
  <c r="AB472" i="13"/>
  <c r="AP472" i="13" s="1"/>
  <c r="AB468" i="13"/>
  <c r="AP468" i="13" s="1"/>
  <c r="AB464" i="13"/>
  <c r="AB460" i="13"/>
  <c r="AP460" i="13" s="1"/>
  <c r="AB456" i="13"/>
  <c r="AP456" i="13" s="1"/>
  <c r="AB452" i="13"/>
  <c r="AP452" i="13" s="1"/>
  <c r="AB448" i="13"/>
  <c r="AB444" i="13"/>
  <c r="AP444" i="13" s="1"/>
  <c r="AB440" i="13"/>
  <c r="AP440" i="13" s="1"/>
  <c r="AB436" i="13"/>
  <c r="AP436" i="13" s="1"/>
  <c r="AB432" i="13"/>
  <c r="AP432" i="13" s="1"/>
  <c r="AB428" i="13"/>
  <c r="AP428" i="13" s="1"/>
  <c r="AB424" i="13"/>
  <c r="AP424" i="13" s="1"/>
  <c r="AB420" i="13"/>
  <c r="AP420" i="13" s="1"/>
  <c r="AB416" i="13"/>
  <c r="AP416" i="13" s="1"/>
  <c r="AB412" i="13"/>
  <c r="AP412" i="13" s="1"/>
  <c r="AB408" i="13"/>
  <c r="AP408" i="13" s="1"/>
  <c r="AB404" i="13"/>
  <c r="AP404" i="13" s="1"/>
  <c r="AB400" i="13"/>
  <c r="AP400" i="13" s="1"/>
  <c r="AB396" i="13"/>
  <c r="AP396" i="13" s="1"/>
  <c r="AB392" i="13"/>
  <c r="AP392" i="13" s="1"/>
  <c r="AB388" i="13"/>
  <c r="AP388" i="13" s="1"/>
  <c r="AB384" i="13"/>
  <c r="AP384" i="13" s="1"/>
  <c r="AB380" i="13"/>
  <c r="AP380" i="13" s="1"/>
  <c r="AB376" i="13"/>
  <c r="AP376" i="13" s="1"/>
  <c r="AB372" i="13"/>
  <c r="AP372" i="13" s="1"/>
  <c r="AB368" i="13"/>
  <c r="AP368" i="13" s="1"/>
  <c r="AB364" i="13"/>
  <c r="AP364" i="13" s="1"/>
  <c r="AB360" i="13"/>
  <c r="AP360" i="13" s="1"/>
  <c r="AB356" i="13"/>
  <c r="AP356" i="13" s="1"/>
  <c r="AB352" i="13"/>
  <c r="AP352" i="13" s="1"/>
  <c r="AB348" i="13"/>
  <c r="AP348" i="13" s="1"/>
  <c r="AB344" i="13"/>
  <c r="AP344" i="13" s="1"/>
  <c r="AB340" i="13"/>
  <c r="AP340" i="13" s="1"/>
  <c r="AB336" i="13"/>
  <c r="AP336" i="13" s="1"/>
  <c r="AB332" i="13"/>
  <c r="AP332" i="13" s="1"/>
  <c r="AB328" i="13"/>
  <c r="AP328" i="13" s="1"/>
  <c r="AB324" i="13"/>
  <c r="AP324" i="13" s="1"/>
  <c r="AB320" i="13"/>
  <c r="AP320" i="13" s="1"/>
  <c r="AB316" i="13"/>
  <c r="AP316" i="13" s="1"/>
  <c r="AB312" i="13"/>
  <c r="AP312" i="13" s="1"/>
  <c r="AB602" i="13"/>
  <c r="AP602" i="13" s="1"/>
  <c r="AB590" i="13"/>
  <c r="AP590" i="13" s="1"/>
  <c r="AB574" i="13"/>
  <c r="AP574" i="13" s="1"/>
  <c r="AB566" i="13"/>
  <c r="AP566" i="13" s="1"/>
  <c r="AB550" i="13"/>
  <c r="AP550" i="13" s="1"/>
  <c r="AB530" i="13"/>
  <c r="AP530" i="13" s="1"/>
  <c r="AB514" i="13"/>
  <c r="AP514" i="13" s="1"/>
  <c r="AB494" i="13"/>
  <c r="AP494" i="13" s="1"/>
  <c r="AB474" i="13"/>
  <c r="AP474" i="13" s="1"/>
  <c r="AB458" i="13"/>
  <c r="AP458" i="13" s="1"/>
  <c r="AB538" i="13"/>
  <c r="AP538" i="13" s="1"/>
  <c r="AB498" i="13"/>
  <c r="AP498" i="13" s="1"/>
  <c r="AB466" i="13"/>
  <c r="AP466" i="13" s="1"/>
  <c r="AB611" i="13"/>
  <c r="AP611" i="13" s="1"/>
  <c r="AB607" i="13"/>
  <c r="AP607" i="13" s="1"/>
  <c r="AB603" i="13"/>
  <c r="AP603" i="13" s="1"/>
  <c r="AB599" i="13"/>
  <c r="AP599" i="13" s="1"/>
  <c r="AB595" i="13"/>
  <c r="AP595" i="13" s="1"/>
  <c r="AB591" i="13"/>
  <c r="AP591" i="13" s="1"/>
  <c r="AB587" i="13"/>
  <c r="AP587" i="13" s="1"/>
  <c r="AB583" i="13"/>
  <c r="AP583" i="13" s="1"/>
  <c r="AB579" i="13"/>
  <c r="AP579" i="13" s="1"/>
  <c r="AB575" i="13"/>
  <c r="AP575" i="13" s="1"/>
  <c r="AB571" i="13"/>
  <c r="AP571" i="13" s="1"/>
  <c r="AB567" i="13"/>
  <c r="AP567" i="13" s="1"/>
  <c r="AB563" i="13"/>
  <c r="AP563" i="13" s="1"/>
  <c r="AB559" i="13"/>
  <c r="AP559" i="13" s="1"/>
  <c r="AB555" i="13"/>
  <c r="AP555" i="13" s="1"/>
  <c r="AB551" i="13"/>
  <c r="AP551" i="13" s="1"/>
  <c r="AB547" i="13"/>
  <c r="AP547" i="13" s="1"/>
  <c r="AB543" i="13"/>
  <c r="AP543" i="13" s="1"/>
  <c r="AB539" i="13"/>
  <c r="AP539" i="13" s="1"/>
  <c r="AB535" i="13"/>
  <c r="AP535" i="13" s="1"/>
  <c r="AB531" i="13"/>
  <c r="AP531" i="13" s="1"/>
  <c r="AB527" i="13"/>
  <c r="AP527" i="13" s="1"/>
  <c r="AB523" i="13"/>
  <c r="AP523" i="13" s="1"/>
  <c r="AB519" i="13"/>
  <c r="AP519" i="13" s="1"/>
  <c r="AB515" i="13"/>
  <c r="AP515" i="13" s="1"/>
  <c r="AB511" i="13"/>
  <c r="AP511" i="13" s="1"/>
  <c r="AB507" i="13"/>
  <c r="AP507" i="13" s="1"/>
  <c r="AB503" i="13"/>
  <c r="AP503" i="13" s="1"/>
  <c r="AB499" i="13"/>
  <c r="AP499" i="13" s="1"/>
  <c r="AB495" i="13"/>
  <c r="AP495" i="13" s="1"/>
  <c r="AB491" i="13"/>
  <c r="AP491" i="13" s="1"/>
  <c r="AB487" i="13"/>
  <c r="AP487" i="13" s="1"/>
  <c r="AB483" i="13"/>
  <c r="AP483" i="13" s="1"/>
  <c r="AB479" i="13"/>
  <c r="AP479" i="13" s="1"/>
  <c r="AB475" i="13"/>
  <c r="AP475" i="13" s="1"/>
  <c r="AB471" i="13"/>
  <c r="AP471" i="13" s="1"/>
  <c r="AB467" i="13"/>
  <c r="AP467" i="13" s="1"/>
  <c r="AB463" i="13"/>
  <c r="AP463" i="13" s="1"/>
  <c r="AB459" i="13"/>
  <c r="AP459" i="13" s="1"/>
  <c r="AB455" i="13"/>
  <c r="AP455" i="13" s="1"/>
  <c r="AB451" i="13"/>
  <c r="AP451" i="13" s="1"/>
  <c r="AB447" i="13"/>
  <c r="AP447" i="13" s="1"/>
  <c r="AB443" i="13"/>
  <c r="AP443" i="13" s="1"/>
  <c r="AB439" i="13"/>
  <c r="AP439" i="13" s="1"/>
  <c r="AB435" i="13"/>
  <c r="AP435" i="13" s="1"/>
  <c r="AB431" i="13"/>
  <c r="AP431" i="13" s="1"/>
  <c r="AB427" i="13"/>
  <c r="AP427" i="13" s="1"/>
  <c r="AB423" i="13"/>
  <c r="AP423" i="13" s="1"/>
  <c r="AB419" i="13"/>
  <c r="AP419" i="13" s="1"/>
  <c r="AB415" i="13"/>
  <c r="AP415" i="13" s="1"/>
  <c r="AB411" i="13"/>
  <c r="AP411" i="13" s="1"/>
  <c r="AB407" i="13"/>
  <c r="AP407" i="13" s="1"/>
  <c r="AB403" i="13"/>
  <c r="AP403" i="13" s="1"/>
  <c r="AB399" i="13"/>
  <c r="AP399" i="13" s="1"/>
  <c r="AB395" i="13"/>
  <c r="AP395" i="13" s="1"/>
  <c r="AB391" i="13"/>
  <c r="AP391" i="13" s="1"/>
  <c r="AB387" i="13"/>
  <c r="AP387" i="13" s="1"/>
  <c r="AB383" i="13"/>
  <c r="AP383" i="13" s="1"/>
  <c r="AB379" i="13"/>
  <c r="AP379" i="13" s="1"/>
  <c r="AB375" i="13"/>
  <c r="AP375" i="13" s="1"/>
  <c r="AB371" i="13"/>
  <c r="AP371" i="13" s="1"/>
  <c r="AB367" i="13"/>
  <c r="AP367" i="13" s="1"/>
  <c r="AB363" i="13"/>
  <c r="AP363" i="13" s="1"/>
  <c r="AB359" i="13"/>
  <c r="AP359" i="13" s="1"/>
  <c r="AB355" i="13"/>
  <c r="AP355" i="13" s="1"/>
  <c r="AB351" i="13"/>
  <c r="AP351" i="13" s="1"/>
  <c r="AB347" i="13"/>
  <c r="AP347" i="13" s="1"/>
  <c r="AB343" i="13"/>
  <c r="AP343" i="13" s="1"/>
  <c r="AB339" i="13"/>
  <c r="AP339" i="13" s="1"/>
  <c r="AB335" i="13"/>
  <c r="AP335" i="13" s="1"/>
  <c r="AB331" i="13"/>
  <c r="AP331" i="13" s="1"/>
  <c r="AB327" i="13"/>
  <c r="AP327" i="13" s="1"/>
  <c r="AB323" i="13"/>
  <c r="AP323" i="13" s="1"/>
  <c r="AB319" i="13"/>
  <c r="AP319" i="13" s="1"/>
  <c r="AB315" i="13"/>
  <c r="AP315" i="13" s="1"/>
  <c r="AB606" i="13"/>
  <c r="AP606" i="13" s="1"/>
  <c r="AB582" i="13"/>
  <c r="AP582" i="13" s="1"/>
  <c r="AB558" i="13"/>
  <c r="AP558" i="13" s="1"/>
  <c r="AB534" i="13"/>
  <c r="AP534" i="13" s="1"/>
  <c r="AB510" i="13"/>
  <c r="AP510" i="13" s="1"/>
  <c r="AB486" i="13"/>
  <c r="AP486" i="13" s="1"/>
  <c r="AB462" i="13"/>
  <c r="AP462" i="13" s="1"/>
  <c r="AB598" i="13"/>
  <c r="AP598" i="13" s="1"/>
  <c r="AB570" i="13"/>
  <c r="AP570" i="13" s="1"/>
  <c r="AB546" i="13"/>
  <c r="AP546" i="13" s="1"/>
  <c r="AB522" i="13"/>
  <c r="AP522" i="13" s="1"/>
  <c r="AB502" i="13"/>
  <c r="AP502" i="13" s="1"/>
  <c r="AB478" i="13"/>
  <c r="AP478" i="13" s="1"/>
  <c r="AB454" i="13"/>
  <c r="AP454" i="13" s="1"/>
  <c r="AB414" i="13"/>
  <c r="AP414" i="13" s="1"/>
  <c r="AB382" i="13"/>
  <c r="AP382" i="13" s="1"/>
  <c r="AB350" i="13"/>
  <c r="AP350" i="13" s="1"/>
  <c r="AB318" i="13"/>
  <c r="AP318" i="13" s="1"/>
  <c r="AB394" i="13"/>
  <c r="AP394" i="13" s="1"/>
  <c r="AB362" i="13"/>
  <c r="AP362" i="13" s="1"/>
  <c r="AB406" i="13"/>
  <c r="AP406" i="13" s="1"/>
  <c r="AB374" i="13"/>
  <c r="AP374" i="13" s="1"/>
  <c r="AB342" i="13"/>
  <c r="AP342" i="13" s="1"/>
  <c r="AB366" i="13"/>
  <c r="AP366" i="13" s="1"/>
  <c r="AB334" i="13"/>
  <c r="AP334" i="13" s="1"/>
  <c r="AB426" i="13"/>
  <c r="AP426" i="13" s="1"/>
  <c r="AB330" i="13"/>
  <c r="AP330" i="13" s="1"/>
  <c r="AB438" i="13"/>
  <c r="AP438" i="13" s="1"/>
  <c r="AB422" i="13"/>
  <c r="AP422" i="13" s="1"/>
  <c r="AB326" i="13"/>
  <c r="AP326" i="13" s="1"/>
  <c r="AB418" i="13"/>
  <c r="AP418" i="13" s="1"/>
  <c r="AB386" i="13"/>
  <c r="AP386" i="13" s="1"/>
  <c r="AB354" i="13"/>
  <c r="AP354" i="13" s="1"/>
  <c r="AB322" i="13"/>
  <c r="AP322" i="13" s="1"/>
  <c r="AB398" i="13"/>
  <c r="AP398" i="13" s="1"/>
  <c r="AB314" i="13"/>
  <c r="AP314" i="13" s="1"/>
  <c r="AB430" i="13"/>
  <c r="AP430" i="13" s="1"/>
  <c r="AB358" i="13"/>
  <c r="AP358" i="13" s="1"/>
  <c r="AB442" i="13"/>
  <c r="AP442" i="13" s="1"/>
  <c r="AB410" i="13"/>
  <c r="AP410" i="13" s="1"/>
  <c r="AB378" i="13"/>
  <c r="AP378" i="13" s="1"/>
  <c r="AB346" i="13"/>
  <c r="AP346" i="13" s="1"/>
  <c r="AB434" i="13"/>
  <c r="AP434" i="13" s="1"/>
  <c r="AB402" i="13"/>
  <c r="AP402" i="13" s="1"/>
  <c r="AB370" i="13"/>
  <c r="AP370" i="13" s="1"/>
  <c r="AB338" i="13"/>
  <c r="AP338" i="13" s="1"/>
  <c r="AB390" i="13"/>
  <c r="AP390" i="13" s="1"/>
  <c r="AB613" i="13"/>
  <c r="AP613" i="13" s="1"/>
  <c r="BX290" i="3"/>
  <c r="BX298" i="3"/>
  <c r="BX306" i="3"/>
  <c r="BI225" i="5"/>
  <c r="AO19" i="3"/>
  <c r="N22" i="13" s="1"/>
  <c r="CB35" i="3"/>
  <c r="CB43" i="3"/>
  <c r="CB51" i="3"/>
  <c r="CB59" i="3"/>
  <c r="CB67" i="3"/>
  <c r="CB75" i="3"/>
  <c r="CB83" i="3"/>
  <c r="CB91" i="3"/>
  <c r="CB99" i="3"/>
  <c r="CB107" i="3"/>
  <c r="CB115" i="3"/>
  <c r="CB123" i="3"/>
  <c r="CB131" i="3"/>
  <c r="CB139" i="3"/>
  <c r="CB147" i="3"/>
  <c r="CB155" i="3"/>
  <c r="CB163" i="3"/>
  <c r="CB171" i="3"/>
  <c r="CB179" i="3"/>
  <c r="CB187" i="3"/>
  <c r="CB195" i="3"/>
  <c r="CB203" i="3"/>
  <c r="CB211" i="3"/>
  <c r="CB219" i="3"/>
  <c r="CB227" i="3"/>
  <c r="CB235" i="3"/>
  <c r="CB243" i="3"/>
  <c r="CB251" i="3"/>
  <c r="CB259" i="3"/>
  <c r="CB267" i="3"/>
  <c r="CB275" i="3"/>
  <c r="CB283" i="3"/>
  <c r="CB291" i="3"/>
  <c r="CB299" i="3"/>
  <c r="CB307" i="3"/>
  <c r="CB24" i="3"/>
  <c r="CB26" i="3"/>
  <c r="CB28" i="3"/>
  <c r="CB34" i="3"/>
  <c r="CB42" i="3"/>
  <c r="CB50" i="3"/>
  <c r="CB58" i="3"/>
  <c r="CB66" i="3"/>
  <c r="CB74" i="3"/>
  <c r="CB82" i="3"/>
  <c r="CB90" i="3"/>
  <c r="CB98" i="3"/>
  <c r="CB106" i="3"/>
  <c r="CB114" i="3"/>
  <c r="CB122" i="3"/>
  <c r="CB130" i="3"/>
  <c r="CB138" i="3"/>
  <c r="CB146" i="3"/>
  <c r="CB154" i="3"/>
  <c r="CB162" i="3"/>
  <c r="CB170" i="3"/>
  <c r="CB178" i="3"/>
  <c r="CB186" i="3"/>
  <c r="CB194" i="3"/>
  <c r="CB202" i="3"/>
  <c r="CB210" i="3"/>
  <c r="CB218" i="3"/>
  <c r="CB226" i="3"/>
  <c r="CB234" i="3"/>
  <c r="CB242" i="3"/>
  <c r="CB250" i="3"/>
  <c r="CB258" i="3"/>
  <c r="CB266" i="3"/>
  <c r="CB274" i="3"/>
  <c r="CB282" i="3"/>
  <c r="CB290" i="3"/>
  <c r="CB298" i="3"/>
  <c r="CB306" i="3"/>
  <c r="CB18" i="3"/>
  <c r="W32" i="20" s="1"/>
  <c r="CB20" i="3"/>
  <c r="CB33" i="3"/>
  <c r="CB41" i="3"/>
  <c r="CB49" i="3"/>
  <c r="CB57" i="3"/>
  <c r="CB65" i="3"/>
  <c r="CB73" i="3"/>
  <c r="CB81" i="3"/>
  <c r="CB89" i="3"/>
  <c r="CB97" i="3"/>
  <c r="CB105" i="3"/>
  <c r="CB113" i="3"/>
  <c r="CB121" i="3"/>
  <c r="CB129" i="3"/>
  <c r="CB137" i="3"/>
  <c r="CB145" i="3"/>
  <c r="CB153" i="3"/>
  <c r="CB161" i="3"/>
  <c r="CB169" i="3"/>
  <c r="CB177" i="3"/>
  <c r="CB185" i="3"/>
  <c r="CB193" i="3"/>
  <c r="CB201" i="3"/>
  <c r="CB209" i="3"/>
  <c r="CB217" i="3"/>
  <c r="CB225" i="3"/>
  <c r="CB233" i="3"/>
  <c r="CB241" i="3"/>
  <c r="CB249" i="3"/>
  <c r="CB257" i="3"/>
  <c r="CB265" i="3"/>
  <c r="CB273" i="3"/>
  <c r="CB281" i="3"/>
  <c r="CB289" i="3"/>
  <c r="CB297" i="3"/>
  <c r="CB305" i="3"/>
  <c r="CB32" i="3"/>
  <c r="CB40" i="3"/>
  <c r="CB48" i="3"/>
  <c r="CB56" i="3"/>
  <c r="CB64" i="3"/>
  <c r="CB72" i="3"/>
  <c r="CB80" i="3"/>
  <c r="CB88" i="3"/>
  <c r="CB96" i="3"/>
  <c r="CB104" i="3"/>
  <c r="CB112" i="3"/>
  <c r="CB120" i="3"/>
  <c r="CB128" i="3"/>
  <c r="CB136" i="3"/>
  <c r="CB144" i="3"/>
  <c r="CB152" i="3"/>
  <c r="CB160" i="3"/>
  <c r="CB168" i="3"/>
  <c r="CB176" i="3"/>
  <c r="CB184" i="3"/>
  <c r="CB192" i="3"/>
  <c r="CB200" i="3"/>
  <c r="CB208" i="3"/>
  <c r="CB216" i="3"/>
  <c r="CB224" i="3"/>
  <c r="CB232" i="3"/>
  <c r="CB240" i="3"/>
  <c r="CB248" i="3"/>
  <c r="CB256" i="3"/>
  <c r="CB264" i="3"/>
  <c r="CB272" i="3"/>
  <c r="CB280" i="3"/>
  <c r="CB288" i="3"/>
  <c r="CB296" i="3"/>
  <c r="CB304" i="3"/>
  <c r="CB10" i="3"/>
  <c r="CB12" i="3"/>
  <c r="CB31" i="3"/>
  <c r="CB39" i="3"/>
  <c r="CB47" i="3"/>
  <c r="CB55" i="3"/>
  <c r="CB63" i="3"/>
  <c r="CB71" i="3"/>
  <c r="CB79" i="3"/>
  <c r="CB87" i="3"/>
  <c r="CB95" i="3"/>
  <c r="CB103" i="3"/>
  <c r="CB111" i="3"/>
  <c r="CB119" i="3"/>
  <c r="CB127" i="3"/>
  <c r="CB135" i="3"/>
  <c r="CB143" i="3"/>
  <c r="CB151" i="3"/>
  <c r="CB159" i="3"/>
  <c r="CB167" i="3"/>
  <c r="CB175" i="3"/>
  <c r="CB183" i="3"/>
  <c r="CB191" i="3"/>
  <c r="CB199" i="3"/>
  <c r="CB207" i="3"/>
  <c r="CB215" i="3"/>
  <c r="CB223" i="3"/>
  <c r="CB231" i="3"/>
  <c r="CB239" i="3"/>
  <c r="CB247" i="3"/>
  <c r="CB255" i="3"/>
  <c r="CB263" i="3"/>
  <c r="CB271" i="3"/>
  <c r="CB279" i="3"/>
  <c r="CB287" i="3"/>
  <c r="CB295" i="3"/>
  <c r="CB303" i="3"/>
  <c r="CB25" i="3"/>
  <c r="P328" i="13"/>
  <c r="CB27" i="3"/>
  <c r="CB29" i="3"/>
  <c r="CB30" i="3"/>
  <c r="CB38" i="3"/>
  <c r="CB46" i="3"/>
  <c r="CB54" i="3"/>
  <c r="CB62" i="3"/>
  <c r="CB70" i="3"/>
  <c r="CB78" i="3"/>
  <c r="CB86" i="3"/>
  <c r="CB94" i="3"/>
  <c r="CB102" i="3"/>
  <c r="CB110" i="3"/>
  <c r="CB118" i="3"/>
  <c r="CB126" i="3"/>
  <c r="CB134" i="3"/>
  <c r="CB142" i="3"/>
  <c r="CB150" i="3"/>
  <c r="CB158" i="3"/>
  <c r="CB166" i="3"/>
  <c r="CB174" i="3"/>
  <c r="CB182" i="3"/>
  <c r="CB190" i="3"/>
  <c r="CB198" i="3"/>
  <c r="CB206" i="3"/>
  <c r="CB214" i="3"/>
  <c r="CB222" i="3"/>
  <c r="CB230" i="3"/>
  <c r="CB238" i="3"/>
  <c r="CB246" i="3"/>
  <c r="CB254" i="3"/>
  <c r="CB262" i="3"/>
  <c r="CB270" i="3"/>
  <c r="CB278" i="3"/>
  <c r="CB286" i="3"/>
  <c r="CB294" i="3"/>
  <c r="CB302" i="3"/>
  <c r="CB19" i="3"/>
  <c r="CB21" i="3"/>
  <c r="CB22" i="3"/>
  <c r="CB23" i="3"/>
  <c r="CB37" i="3"/>
  <c r="CB45" i="3"/>
  <c r="CB53" i="3"/>
  <c r="CB61" i="3"/>
  <c r="CB69" i="3"/>
  <c r="CB77" i="3"/>
  <c r="CB85" i="3"/>
  <c r="CB93" i="3"/>
  <c r="CB101" i="3"/>
  <c r="CB109" i="3"/>
  <c r="CB117" i="3"/>
  <c r="CB125" i="3"/>
  <c r="CB133" i="3"/>
  <c r="CB141" i="3"/>
  <c r="CB149" i="3"/>
  <c r="CB157" i="3"/>
  <c r="CB165" i="3"/>
  <c r="CB173" i="3"/>
  <c r="CB181" i="3"/>
  <c r="CB189" i="3"/>
  <c r="CB197" i="3"/>
  <c r="CB205" i="3"/>
  <c r="CB213" i="3"/>
  <c r="CB221" i="3"/>
  <c r="CB229" i="3"/>
  <c r="CB237" i="3"/>
  <c r="CB245" i="3"/>
  <c r="CB253" i="3"/>
  <c r="CB261" i="3"/>
  <c r="CB269" i="3"/>
  <c r="CB277" i="3"/>
  <c r="CB285" i="3"/>
  <c r="CB293" i="3"/>
  <c r="CB301" i="3"/>
  <c r="CB36" i="3"/>
  <c r="CB44" i="3"/>
  <c r="CB52" i="3"/>
  <c r="CB60" i="3"/>
  <c r="CB68" i="3"/>
  <c r="CB76" i="3"/>
  <c r="CB84" i="3"/>
  <c r="CB92" i="3"/>
  <c r="CB100" i="3"/>
  <c r="CB108" i="3"/>
  <c r="CB116" i="3"/>
  <c r="CB124" i="3"/>
  <c r="CB132" i="3"/>
  <c r="CB140" i="3"/>
  <c r="CB148" i="3"/>
  <c r="CB156" i="3"/>
  <c r="CB164" i="3"/>
  <c r="CB172" i="3"/>
  <c r="CB180" i="3"/>
  <c r="CB188" i="3"/>
  <c r="CB196" i="3"/>
  <c r="CB204" i="3"/>
  <c r="CB212" i="3"/>
  <c r="CB220" i="3"/>
  <c r="CB228" i="3"/>
  <c r="CB236" i="3"/>
  <c r="CB244" i="3"/>
  <c r="CB252" i="3"/>
  <c r="CB260" i="3"/>
  <c r="CB268" i="3"/>
  <c r="CB276" i="3"/>
  <c r="CB284" i="3"/>
  <c r="CB292" i="3"/>
  <c r="CB300" i="3"/>
  <c r="CB308" i="3"/>
  <c r="CB11" i="3"/>
  <c r="CB15" i="3"/>
  <c r="AA34" i="7"/>
  <c r="Z34" i="7" s="1"/>
  <c r="BX291" i="3"/>
  <c r="BX299" i="3"/>
  <c r="BX307" i="3"/>
  <c r="BX294" i="3"/>
  <c r="BX302" i="3"/>
  <c r="BX289" i="3"/>
  <c r="BX297" i="3"/>
  <c r="BX305" i="3"/>
  <c r="BX207" i="3"/>
  <c r="BX215" i="3"/>
  <c r="BX223" i="3"/>
  <c r="BX231" i="3"/>
  <c r="BX239" i="3"/>
  <c r="BX247" i="3"/>
  <c r="BX255" i="3"/>
  <c r="BX263" i="3"/>
  <c r="BX271" i="3"/>
  <c r="BX279" i="3"/>
  <c r="BX287" i="3"/>
  <c r="BX295" i="3"/>
  <c r="BX303" i="3"/>
  <c r="P422" i="13"/>
  <c r="BX246" i="3"/>
  <c r="BX270" i="3"/>
  <c r="BX278" i="3"/>
  <c r="BX206" i="3"/>
  <c r="BX230" i="3"/>
  <c r="BX254" i="3"/>
  <c r="BX262" i="3"/>
  <c r="BX286" i="3"/>
  <c r="AP29" i="5"/>
  <c r="AU29" i="5" s="1"/>
  <c r="BI29" i="5"/>
  <c r="CK141" i="3"/>
  <c r="CK149" i="3"/>
  <c r="CK157" i="3"/>
  <c r="CK165" i="3"/>
  <c r="BX205" i="3"/>
  <c r="BX213" i="3"/>
  <c r="BX221" i="3"/>
  <c r="BX229" i="3"/>
  <c r="BX237" i="3"/>
  <c r="BX245" i="3"/>
  <c r="BX253" i="3"/>
  <c r="BX261" i="3"/>
  <c r="BX269" i="3"/>
  <c r="BX277" i="3"/>
  <c r="BX285" i="3"/>
  <c r="BX293" i="3"/>
  <c r="BX301" i="3"/>
  <c r="CK17" i="3"/>
  <c r="CK27" i="3"/>
  <c r="BX214" i="3"/>
  <c r="BX222" i="3"/>
  <c r="BX238" i="3"/>
  <c r="BX204" i="3"/>
  <c r="BX212" i="3"/>
  <c r="BX220" i="3"/>
  <c r="BX228" i="3"/>
  <c r="BX236" i="3"/>
  <c r="BX244" i="3"/>
  <c r="BX252" i="3"/>
  <c r="BX260" i="3"/>
  <c r="BX268" i="3"/>
  <c r="BX276" i="3"/>
  <c r="BX284" i="3"/>
  <c r="BX292" i="3"/>
  <c r="BX300" i="3"/>
  <c r="BX308" i="3"/>
  <c r="CK18" i="3"/>
  <c r="CK75" i="3"/>
  <c r="P379" i="13"/>
  <c r="CK83" i="3"/>
  <c r="CK91" i="3"/>
  <c r="CK107" i="3"/>
  <c r="CK115" i="3"/>
  <c r="CK123" i="3"/>
  <c r="CK139" i="3"/>
  <c r="CK163" i="3"/>
  <c r="CK171" i="3"/>
  <c r="CK187" i="3"/>
  <c r="CK195" i="3"/>
  <c r="BX203" i="3"/>
  <c r="BX211" i="3"/>
  <c r="BX219" i="3"/>
  <c r="BX227" i="3"/>
  <c r="BX235" i="3"/>
  <c r="BX243" i="3"/>
  <c r="BX251" i="3"/>
  <c r="BX259" i="3"/>
  <c r="BX267" i="3"/>
  <c r="BX275" i="3"/>
  <c r="BX283" i="3"/>
  <c r="P378" i="13"/>
  <c r="P386" i="13"/>
  <c r="P426" i="13"/>
  <c r="BX202" i="3"/>
  <c r="BX210" i="3"/>
  <c r="BX218" i="3"/>
  <c r="BX226" i="3"/>
  <c r="BX234" i="3"/>
  <c r="BX242" i="3"/>
  <c r="BX250" i="3"/>
  <c r="BX258" i="3"/>
  <c r="BX266" i="3"/>
  <c r="BX274" i="3"/>
  <c r="BX282" i="3"/>
  <c r="CK20" i="3"/>
  <c r="P377" i="13"/>
  <c r="P425" i="13"/>
  <c r="BX209" i="3"/>
  <c r="BX217" i="3"/>
  <c r="BX225" i="3"/>
  <c r="BX233" i="3"/>
  <c r="BX241" i="3"/>
  <c r="BX249" i="3"/>
  <c r="BX257" i="3"/>
  <c r="BX265" i="3"/>
  <c r="BX273" i="3"/>
  <c r="BX281" i="3"/>
  <c r="CK88" i="3"/>
  <c r="CK128" i="3"/>
  <c r="CK136" i="3"/>
  <c r="CK144" i="3"/>
  <c r="CK152" i="3"/>
  <c r="CK176" i="3"/>
  <c r="CK184" i="3"/>
  <c r="CK200" i="3"/>
  <c r="BX208" i="3"/>
  <c r="BX216" i="3"/>
  <c r="BX224" i="3"/>
  <c r="BX232" i="3"/>
  <c r="BX240" i="3"/>
  <c r="BX248" i="3"/>
  <c r="BX256" i="3"/>
  <c r="BX264" i="3"/>
  <c r="BX272" i="3"/>
  <c r="BX280" i="3"/>
  <c r="BX288" i="3"/>
  <c r="BX296" i="3"/>
  <c r="BX304" i="3"/>
  <c r="P319" i="13"/>
  <c r="CK11" i="3"/>
  <c r="CK30" i="3"/>
  <c r="CK38" i="3"/>
  <c r="CK46" i="3"/>
  <c r="CK54" i="3"/>
  <c r="CK62" i="3"/>
  <c r="CK70" i="3"/>
  <c r="CK78" i="3"/>
  <c r="CK86" i="3"/>
  <c r="CK94" i="3"/>
  <c r="CK102" i="3"/>
  <c r="CK110" i="3"/>
  <c r="CK118" i="3"/>
  <c r="CK126" i="3"/>
  <c r="CK142" i="3"/>
  <c r="CK150" i="3"/>
  <c r="CK158" i="3"/>
  <c r="CK166" i="3"/>
  <c r="CK174" i="3"/>
  <c r="CK182" i="3"/>
  <c r="CK190" i="3"/>
  <c r="CK198" i="3"/>
  <c r="CK36" i="3"/>
  <c r="CK44" i="3"/>
  <c r="CK52" i="3"/>
  <c r="CK60" i="3"/>
  <c r="CK68" i="3"/>
  <c r="CK76" i="3"/>
  <c r="CK84" i="3"/>
  <c r="CK92" i="3"/>
  <c r="CK100" i="3"/>
  <c r="CK108" i="3"/>
  <c r="CK116" i="3"/>
  <c r="CK124" i="3"/>
  <c r="CK132" i="3"/>
  <c r="CK140" i="3"/>
  <c r="CK148" i="3"/>
  <c r="CK156" i="3"/>
  <c r="CK172" i="3"/>
  <c r="CK180" i="3"/>
  <c r="CK188" i="3"/>
  <c r="CK196" i="3"/>
  <c r="CK10" i="3"/>
  <c r="CK29" i="3"/>
  <c r="CK12" i="3"/>
  <c r="CK33" i="3"/>
  <c r="CK41" i="3"/>
  <c r="CK49" i="3"/>
  <c r="CK57" i="3"/>
  <c r="CK65" i="3"/>
  <c r="CK73" i="3"/>
  <c r="CK81" i="3"/>
  <c r="CK89" i="3"/>
  <c r="CK97" i="3"/>
  <c r="CK105" i="3"/>
  <c r="CK113" i="3"/>
  <c r="CK121" i="3"/>
  <c r="CK129" i="3"/>
  <c r="CK137" i="3"/>
  <c r="CK145" i="3"/>
  <c r="CK153" i="3"/>
  <c r="CK161" i="3"/>
  <c r="CK169" i="3"/>
  <c r="CK177" i="3"/>
  <c r="CK185" i="3"/>
  <c r="CK193" i="3"/>
  <c r="CK201" i="3"/>
  <c r="CK13" i="3"/>
  <c r="CK21" i="3"/>
  <c r="CK14" i="3"/>
  <c r="CK31" i="3"/>
  <c r="CK39" i="3"/>
  <c r="CK47" i="3"/>
  <c r="CK55" i="3"/>
  <c r="CK63" i="3"/>
  <c r="CK71" i="3"/>
  <c r="CK87" i="3"/>
  <c r="CK103" i="3"/>
  <c r="CK111" i="3"/>
  <c r="CK127" i="3"/>
  <c r="CK135" i="3"/>
  <c r="CK143" i="3"/>
  <c r="CK159" i="3"/>
  <c r="CK167" i="3"/>
  <c r="CK183" i="3"/>
  <c r="CK199" i="3"/>
  <c r="CK15" i="3"/>
  <c r="CK25" i="3"/>
  <c r="CK134" i="3"/>
  <c r="CK206" i="3"/>
  <c r="CK214" i="3"/>
  <c r="CK222" i="3"/>
  <c r="CK230" i="3"/>
  <c r="CK238" i="3"/>
  <c r="CK246" i="3"/>
  <c r="CK254" i="3"/>
  <c r="CK262" i="3"/>
  <c r="CK270" i="3"/>
  <c r="CK278" i="3"/>
  <c r="CK286" i="3"/>
  <c r="CK294" i="3"/>
  <c r="CK302" i="3"/>
  <c r="CK16" i="3"/>
  <c r="CK26" i="3"/>
  <c r="CK37" i="3"/>
  <c r="CK45" i="3"/>
  <c r="CK53" i="3"/>
  <c r="CK61" i="3"/>
  <c r="CK69" i="3"/>
  <c r="CK77" i="3"/>
  <c r="CK85" i="3"/>
  <c r="CK93" i="3"/>
  <c r="CK101" i="3"/>
  <c r="CK109" i="3"/>
  <c r="CK117" i="3"/>
  <c r="CK125" i="3"/>
  <c r="CK133" i="3"/>
  <c r="CK173" i="3"/>
  <c r="CK181" i="3"/>
  <c r="CK189" i="3"/>
  <c r="CK197" i="3"/>
  <c r="CK205" i="3"/>
  <c r="CK213" i="3"/>
  <c r="CK221" i="3"/>
  <c r="CK229" i="3"/>
  <c r="CK237" i="3"/>
  <c r="CK245" i="3"/>
  <c r="CK253" i="3"/>
  <c r="CK261" i="3"/>
  <c r="CK269" i="3"/>
  <c r="CK277" i="3"/>
  <c r="CK285" i="3"/>
  <c r="CK293" i="3"/>
  <c r="CK301" i="3"/>
  <c r="CK23" i="3"/>
  <c r="CK164" i="3"/>
  <c r="CK204" i="3"/>
  <c r="CK212" i="3"/>
  <c r="CK220" i="3"/>
  <c r="CK228" i="3"/>
  <c r="CK236" i="3"/>
  <c r="CK244" i="3"/>
  <c r="CK252" i="3"/>
  <c r="CK260" i="3"/>
  <c r="CK268" i="3"/>
  <c r="CK276" i="3"/>
  <c r="CK284" i="3"/>
  <c r="L295" i="13"/>
  <c r="M295" i="13" s="1"/>
  <c r="CK292" i="3"/>
  <c r="L303" i="13"/>
  <c r="M303" i="13" s="1"/>
  <c r="CK300" i="3"/>
  <c r="CK308" i="3"/>
  <c r="CK28" i="3"/>
  <c r="CK35" i="3"/>
  <c r="CK43" i="3"/>
  <c r="CK51" i="3"/>
  <c r="CK59" i="3"/>
  <c r="CK67" i="3"/>
  <c r="CK99" i="3"/>
  <c r="CK131" i="3"/>
  <c r="CK147" i="3"/>
  <c r="CK155" i="3"/>
  <c r="CK179" i="3"/>
  <c r="CK203" i="3"/>
  <c r="CK211" i="3"/>
  <c r="CK219" i="3"/>
  <c r="CK227" i="3"/>
  <c r="CK235" i="3"/>
  <c r="CK243" i="3"/>
  <c r="CK251" i="3"/>
  <c r="CK259" i="3"/>
  <c r="CK267" i="3"/>
  <c r="CK275" i="3"/>
  <c r="CK283" i="3"/>
  <c r="CK291" i="3"/>
  <c r="CK299" i="3"/>
  <c r="CK307" i="3"/>
  <c r="CK19" i="3"/>
  <c r="CK34" i="3"/>
  <c r="CK42" i="3"/>
  <c r="CK50" i="3"/>
  <c r="CK58" i="3"/>
  <c r="CK66" i="3"/>
  <c r="CK74" i="3"/>
  <c r="CK82" i="3"/>
  <c r="CK90" i="3"/>
  <c r="CK98" i="3"/>
  <c r="CK106" i="3"/>
  <c r="CK114" i="3"/>
  <c r="CK122" i="3"/>
  <c r="CK130" i="3"/>
  <c r="CK138" i="3"/>
  <c r="CK146" i="3"/>
  <c r="CK154" i="3"/>
  <c r="CK162" i="3"/>
  <c r="CK170" i="3"/>
  <c r="CK178" i="3"/>
  <c r="CK186" i="3"/>
  <c r="CK194" i="3"/>
  <c r="CK202" i="3"/>
  <c r="CK210" i="3"/>
  <c r="CK218" i="3"/>
  <c r="CK226" i="3"/>
  <c r="CK234" i="3"/>
  <c r="CK242" i="3"/>
  <c r="CK250" i="3"/>
  <c r="CK258" i="3"/>
  <c r="CK266" i="3"/>
  <c r="CK274" i="3"/>
  <c r="CK282" i="3"/>
  <c r="CK290" i="3"/>
  <c r="CK298" i="3"/>
  <c r="CK306" i="3"/>
  <c r="CK209" i="3"/>
  <c r="CK217" i="3"/>
  <c r="CK225" i="3"/>
  <c r="CK233" i="3"/>
  <c r="CK241" i="3"/>
  <c r="CK249" i="3"/>
  <c r="CK257" i="3"/>
  <c r="CK265" i="3"/>
  <c r="CK273" i="3"/>
  <c r="CK281" i="3"/>
  <c r="CK289" i="3"/>
  <c r="CK297" i="3"/>
  <c r="CK305" i="3"/>
  <c r="CK32" i="3"/>
  <c r="CK40" i="3"/>
  <c r="CK48" i="3"/>
  <c r="CK56" i="3"/>
  <c r="CK64" i="3"/>
  <c r="CK72" i="3"/>
  <c r="CK80" i="3"/>
  <c r="CK96" i="3"/>
  <c r="CK104" i="3"/>
  <c r="CK112" i="3"/>
  <c r="CK120" i="3"/>
  <c r="CK160" i="3"/>
  <c r="CK168" i="3"/>
  <c r="CK192" i="3"/>
  <c r="CK208" i="3"/>
  <c r="CK216" i="3"/>
  <c r="CK224" i="3"/>
  <c r="CK232" i="3"/>
  <c r="CK240" i="3"/>
  <c r="CK248" i="3"/>
  <c r="CK256" i="3"/>
  <c r="CK264" i="3"/>
  <c r="CK272" i="3"/>
  <c r="CK280" i="3"/>
  <c r="CK288" i="3"/>
  <c r="CK296" i="3"/>
  <c r="CK304" i="3"/>
  <c r="CK24" i="3"/>
  <c r="CK79" i="3"/>
  <c r="CK95" i="3"/>
  <c r="CK119" i="3"/>
  <c r="CK151" i="3"/>
  <c r="CK175" i="3"/>
  <c r="CK191" i="3"/>
  <c r="CK207" i="3"/>
  <c r="CK215" i="3"/>
  <c r="CK223" i="3"/>
  <c r="CK231" i="3"/>
  <c r="CK239" i="3"/>
  <c r="CK247" i="3"/>
  <c r="CK255" i="3"/>
  <c r="CK263" i="3"/>
  <c r="CK271" i="3"/>
  <c r="CK279" i="3"/>
  <c r="CK287" i="3"/>
  <c r="CK295" i="3"/>
  <c r="CK303" i="3"/>
  <c r="CK22" i="3"/>
  <c r="L212" i="13"/>
  <c r="M212" i="13" s="1"/>
  <c r="L311" i="13"/>
  <c r="M311" i="13" s="1"/>
  <c r="L220" i="13"/>
  <c r="M220" i="13" s="1"/>
  <c r="L228" i="13"/>
  <c r="M228" i="13" s="1"/>
  <c r="L208" i="13"/>
  <c r="M208" i="13" s="1"/>
  <c r="L206" i="13"/>
  <c r="M206" i="13" s="1"/>
  <c r="L214" i="13"/>
  <c r="M214" i="13" s="1"/>
  <c r="L222" i="13"/>
  <c r="M222" i="13" s="1"/>
  <c r="L230" i="13"/>
  <c r="M230" i="13" s="1"/>
  <c r="L238" i="13"/>
  <c r="M238" i="13" s="1"/>
  <c r="L246" i="13"/>
  <c r="M246" i="13" s="1"/>
  <c r="L254" i="13"/>
  <c r="M254" i="13" s="1"/>
  <c r="L262" i="13"/>
  <c r="M262" i="13" s="1"/>
  <c r="L270" i="13"/>
  <c r="M270" i="13" s="1"/>
  <c r="L278" i="13"/>
  <c r="M278" i="13" s="1"/>
  <c r="L286" i="13"/>
  <c r="M286" i="13" s="1"/>
  <c r="L294" i="13"/>
  <c r="M294" i="13" s="1"/>
  <c r="L216" i="13"/>
  <c r="M216" i="13" s="1"/>
  <c r="L224" i="13"/>
  <c r="M224" i="13" s="1"/>
  <c r="L232" i="13"/>
  <c r="M232" i="13" s="1"/>
  <c r="L240" i="13"/>
  <c r="M240" i="13" s="1"/>
  <c r="L248" i="13"/>
  <c r="M248" i="13" s="1"/>
  <c r="L256" i="13"/>
  <c r="M256" i="13" s="1"/>
  <c r="L264" i="13"/>
  <c r="M264" i="13" s="1"/>
  <c r="L272" i="13"/>
  <c r="M272" i="13" s="1"/>
  <c r="L236" i="13"/>
  <c r="M236" i="13" s="1"/>
  <c r="L244" i="13"/>
  <c r="M244" i="13" s="1"/>
  <c r="L252" i="13"/>
  <c r="M252" i="13" s="1"/>
  <c r="L260" i="13"/>
  <c r="M260" i="13" s="1"/>
  <c r="L268" i="13"/>
  <c r="M268" i="13" s="1"/>
  <c r="L276" i="13"/>
  <c r="M276" i="13" s="1"/>
  <c r="L284" i="13"/>
  <c r="M284" i="13" s="1"/>
  <c r="L292" i="13"/>
  <c r="M292" i="13" s="1"/>
  <c r="L300" i="13"/>
  <c r="M300" i="13" s="1"/>
  <c r="L308" i="13"/>
  <c r="M308" i="13" s="1"/>
  <c r="L209" i="13"/>
  <c r="M209" i="13" s="1"/>
  <c r="L217" i="13"/>
  <c r="M217" i="13" s="1"/>
  <c r="L225" i="13"/>
  <c r="M225" i="13" s="1"/>
  <c r="L233" i="13"/>
  <c r="M233" i="13" s="1"/>
  <c r="L241" i="13"/>
  <c r="M241" i="13" s="1"/>
  <c r="L249" i="13"/>
  <c r="M249" i="13" s="1"/>
  <c r="L257" i="13"/>
  <c r="M257" i="13" s="1"/>
  <c r="L265" i="13"/>
  <c r="M265" i="13" s="1"/>
  <c r="L273" i="13"/>
  <c r="M273" i="13" s="1"/>
  <c r="L281" i="13"/>
  <c r="M281" i="13" s="1"/>
  <c r="L289" i="13"/>
  <c r="M289" i="13" s="1"/>
  <c r="L297" i="13"/>
  <c r="M297" i="13" s="1"/>
  <c r="L305" i="13"/>
  <c r="M305" i="13" s="1"/>
  <c r="L302" i="13"/>
  <c r="M302" i="13" s="1"/>
  <c r="L310" i="13"/>
  <c r="M310" i="13" s="1"/>
  <c r="AB305" i="13"/>
  <c r="AB297" i="13"/>
  <c r="AB289" i="13"/>
  <c r="AB281" i="13"/>
  <c r="AB209" i="13"/>
  <c r="AB169" i="13"/>
  <c r="AB145" i="13"/>
  <c r="AB89" i="13"/>
  <c r="AB41" i="13"/>
  <c r="O58" i="13"/>
  <c r="N58" i="13"/>
  <c r="AH358" i="13"/>
  <c r="O66" i="13"/>
  <c r="N66" i="13"/>
  <c r="O74" i="13"/>
  <c r="N74" i="13"/>
  <c r="O82" i="13"/>
  <c r="N82" i="13"/>
  <c r="O90" i="13"/>
  <c r="N90" i="13"/>
  <c r="AH390" i="13"/>
  <c r="O98" i="13"/>
  <c r="N98" i="13"/>
  <c r="O106" i="13"/>
  <c r="N106" i="13"/>
  <c r="O114" i="13"/>
  <c r="N114" i="13"/>
  <c r="O122" i="13"/>
  <c r="N122" i="13"/>
  <c r="AH422" i="13"/>
  <c r="O130" i="13"/>
  <c r="N130" i="13"/>
  <c r="O138" i="13"/>
  <c r="N138" i="13"/>
  <c r="O146" i="13"/>
  <c r="N146" i="13"/>
  <c r="AH454" i="13"/>
  <c r="O154" i="13"/>
  <c r="N154" i="13"/>
  <c r="O162" i="13"/>
  <c r="N162" i="13"/>
  <c r="N170" i="13"/>
  <c r="O170" i="13"/>
  <c r="N178" i="13"/>
  <c r="O178" i="13"/>
  <c r="N186" i="13"/>
  <c r="O186" i="13"/>
  <c r="AH486" i="13"/>
  <c r="N194" i="13"/>
  <c r="O194" i="13"/>
  <c r="N202" i="13"/>
  <c r="O202" i="13"/>
  <c r="N210" i="13"/>
  <c r="O210" i="13"/>
  <c r="N218" i="13"/>
  <c r="O218" i="13"/>
  <c r="AH518" i="13"/>
  <c r="N226" i="13"/>
  <c r="O226" i="13"/>
  <c r="N234" i="13"/>
  <c r="O234" i="13"/>
  <c r="N242" i="13"/>
  <c r="O242" i="13"/>
  <c r="N250" i="13"/>
  <c r="O250" i="13"/>
  <c r="AH550" i="13"/>
  <c r="N258" i="13"/>
  <c r="O258" i="13"/>
  <c r="N266" i="13"/>
  <c r="O266" i="13"/>
  <c r="N274" i="13"/>
  <c r="O274" i="13"/>
  <c r="N282" i="13"/>
  <c r="O282" i="13"/>
  <c r="AH582" i="13"/>
  <c r="N290" i="13"/>
  <c r="O290" i="13"/>
  <c r="N298" i="13"/>
  <c r="O298" i="13"/>
  <c r="N306" i="13"/>
  <c r="O306" i="13"/>
  <c r="AH318" i="13"/>
  <c r="AB225" i="13"/>
  <c r="AB177" i="13"/>
  <c r="AB121" i="13"/>
  <c r="AB49" i="13"/>
  <c r="AB304" i="13"/>
  <c r="AB296" i="13"/>
  <c r="AB288" i="13"/>
  <c r="AB280" i="13"/>
  <c r="AB272" i="13"/>
  <c r="AB264" i="13"/>
  <c r="AB256" i="13"/>
  <c r="AB248" i="13"/>
  <c r="AB240" i="13"/>
  <c r="AB232" i="13"/>
  <c r="AB224" i="13"/>
  <c r="AB216" i="13"/>
  <c r="AB208" i="13"/>
  <c r="AB200" i="13"/>
  <c r="AB192" i="13"/>
  <c r="AB184" i="13"/>
  <c r="AB176" i="13"/>
  <c r="AB168" i="13"/>
  <c r="AB160" i="13"/>
  <c r="AB152" i="13"/>
  <c r="AB136" i="13"/>
  <c r="AB128" i="13"/>
  <c r="AB120" i="13"/>
  <c r="AB112" i="13"/>
  <c r="AB104" i="13"/>
  <c r="AB96" i="13"/>
  <c r="AB88" i="13"/>
  <c r="AB80" i="13"/>
  <c r="AB72" i="13"/>
  <c r="AB64" i="13"/>
  <c r="AB48" i="13"/>
  <c r="AB32" i="13"/>
  <c r="BI15" i="5"/>
  <c r="AH341" i="13"/>
  <c r="O57" i="13"/>
  <c r="N57" i="13"/>
  <c r="O65" i="13"/>
  <c r="N65" i="13"/>
  <c r="O73" i="13"/>
  <c r="N73" i="13"/>
  <c r="O81" i="13"/>
  <c r="N81" i="13"/>
  <c r="N89" i="13"/>
  <c r="O89" i="13"/>
  <c r="N97" i="13"/>
  <c r="O97" i="13"/>
  <c r="N105" i="13"/>
  <c r="O105" i="13"/>
  <c r="N113" i="13"/>
  <c r="O113" i="13"/>
  <c r="N121" i="13"/>
  <c r="O121" i="13"/>
  <c r="N129" i="13"/>
  <c r="O129" i="13"/>
  <c r="N137" i="13"/>
  <c r="O137" i="13"/>
  <c r="N145" i="13"/>
  <c r="O145" i="13"/>
  <c r="AH445" i="13"/>
  <c r="N153" i="13"/>
  <c r="O153" i="13"/>
  <c r="O161" i="13"/>
  <c r="N161" i="13"/>
  <c r="N169" i="13"/>
  <c r="O169" i="13"/>
  <c r="AH469" i="13"/>
  <c r="N177" i="13"/>
  <c r="O177" i="13"/>
  <c r="N185" i="13"/>
  <c r="O185" i="13"/>
  <c r="N193" i="13"/>
  <c r="O193" i="13"/>
  <c r="N201" i="13"/>
  <c r="O201" i="13"/>
  <c r="AH501" i="13"/>
  <c r="N209" i="13"/>
  <c r="O209" i="13"/>
  <c r="O217" i="13"/>
  <c r="N217" i="13"/>
  <c r="O225" i="13"/>
  <c r="N225" i="13"/>
  <c r="O233" i="13"/>
  <c r="N233" i="13"/>
  <c r="O241" i="13"/>
  <c r="N241" i="13"/>
  <c r="O249" i="13"/>
  <c r="N249" i="13"/>
  <c r="O257" i="13"/>
  <c r="N257" i="13"/>
  <c r="O265" i="13"/>
  <c r="N265" i="13"/>
  <c r="AH565" i="13"/>
  <c r="N273" i="13"/>
  <c r="O273" i="13"/>
  <c r="L280" i="13"/>
  <c r="M280" i="13" s="1"/>
  <c r="N281" i="13"/>
  <c r="O281" i="13"/>
  <c r="L288" i="13"/>
  <c r="M288" i="13" s="1"/>
  <c r="N289" i="13"/>
  <c r="O289" i="13"/>
  <c r="L296" i="13"/>
  <c r="M296" i="13" s="1"/>
  <c r="N297" i="13"/>
  <c r="O297" i="13"/>
  <c r="AH597" i="13"/>
  <c r="L304" i="13"/>
  <c r="M304" i="13" s="1"/>
  <c r="N305" i="13"/>
  <c r="O305" i="13"/>
  <c r="AH605" i="13"/>
  <c r="N28" i="13"/>
  <c r="AB217" i="13"/>
  <c r="AB81" i="13"/>
  <c r="AB17" i="13"/>
  <c r="AB311" i="13"/>
  <c r="AB303" i="13"/>
  <c r="AB295" i="13"/>
  <c r="AB287" i="13"/>
  <c r="AB279" i="13"/>
  <c r="AB271" i="13"/>
  <c r="AB263" i="13"/>
  <c r="AB255" i="13"/>
  <c r="AB247" i="13"/>
  <c r="AB239" i="13"/>
  <c r="AB231" i="13"/>
  <c r="AB223" i="13"/>
  <c r="AB215" i="13"/>
  <c r="AB207" i="13"/>
  <c r="AB199" i="13"/>
  <c r="AB191" i="13"/>
  <c r="AB183" i="13"/>
  <c r="AB175" i="13"/>
  <c r="AB167" i="13"/>
  <c r="AB159" i="13"/>
  <c r="AB151" i="13"/>
  <c r="AB143" i="13"/>
  <c r="AB135" i="13"/>
  <c r="AB111" i="13"/>
  <c r="AB87" i="13"/>
  <c r="AB79" i="13"/>
  <c r="AB63" i="13"/>
  <c r="AB55" i="13"/>
  <c r="AB39" i="13"/>
  <c r="AB31" i="13"/>
  <c r="AB23" i="13"/>
  <c r="AB15" i="13"/>
  <c r="O56" i="13"/>
  <c r="N56" i="13"/>
  <c r="O64" i="13"/>
  <c r="N64" i="13"/>
  <c r="AH364" i="13"/>
  <c r="O72" i="13"/>
  <c r="N72" i="13"/>
  <c r="O80" i="13"/>
  <c r="N80" i="13"/>
  <c r="O88" i="13"/>
  <c r="N88" i="13"/>
  <c r="O96" i="13"/>
  <c r="N96" i="13"/>
  <c r="AH396" i="13"/>
  <c r="AH404" i="13"/>
  <c r="O104" i="13"/>
  <c r="N104" i="13"/>
  <c r="O112" i="13"/>
  <c r="N112" i="13"/>
  <c r="O120" i="13"/>
  <c r="N120" i="13"/>
  <c r="O128" i="13"/>
  <c r="N128" i="13"/>
  <c r="AH428" i="13"/>
  <c r="N136" i="13"/>
  <c r="O136" i="13"/>
  <c r="N144" i="13"/>
  <c r="O144" i="13"/>
  <c r="N152" i="13"/>
  <c r="O152" i="13"/>
  <c r="N160" i="13"/>
  <c r="O160" i="13"/>
  <c r="AH460" i="13"/>
  <c r="N168" i="13"/>
  <c r="O168" i="13"/>
  <c r="AH468" i="13"/>
  <c r="N176" i="13"/>
  <c r="O176" i="13"/>
  <c r="N184" i="13"/>
  <c r="O184" i="13"/>
  <c r="N192" i="13"/>
  <c r="O192" i="13"/>
  <c r="AH492" i="13"/>
  <c r="N200" i="13"/>
  <c r="O200" i="13"/>
  <c r="L207" i="13"/>
  <c r="M207" i="13" s="1"/>
  <c r="N208" i="13"/>
  <c r="O208" i="13"/>
  <c r="L215" i="13"/>
  <c r="M215" i="13" s="1"/>
  <c r="O216" i="13"/>
  <c r="N216" i="13"/>
  <c r="L223" i="13"/>
  <c r="M223" i="13" s="1"/>
  <c r="O224" i="13"/>
  <c r="N224" i="13"/>
  <c r="AH524" i="13"/>
  <c r="L231" i="13"/>
  <c r="M231" i="13" s="1"/>
  <c r="O232" i="13"/>
  <c r="N232" i="13"/>
  <c r="AH532" i="13"/>
  <c r="L239" i="13"/>
  <c r="M239" i="13" s="1"/>
  <c r="O240" i="13"/>
  <c r="N240" i="13"/>
  <c r="L247" i="13"/>
  <c r="M247" i="13" s="1"/>
  <c r="N248" i="13"/>
  <c r="O248" i="13"/>
  <c r="L255" i="13"/>
  <c r="M255" i="13" s="1"/>
  <c r="N256" i="13"/>
  <c r="O256" i="13"/>
  <c r="AH556" i="13"/>
  <c r="L263" i="13"/>
  <c r="M263" i="13" s="1"/>
  <c r="O264" i="13"/>
  <c r="N264" i="13"/>
  <c r="L271" i="13"/>
  <c r="M271" i="13" s="1"/>
  <c r="N272" i="13"/>
  <c r="O272" i="13"/>
  <c r="L279" i="13"/>
  <c r="M279" i="13" s="1"/>
  <c r="N280" i="13"/>
  <c r="O280" i="13"/>
  <c r="L287" i="13"/>
  <c r="M287" i="13" s="1"/>
  <c r="N288" i="13"/>
  <c r="O288" i="13"/>
  <c r="AH588" i="13"/>
  <c r="N296" i="13"/>
  <c r="O296" i="13"/>
  <c r="AH596" i="13"/>
  <c r="N304" i="13"/>
  <c r="O304" i="13"/>
  <c r="AB249" i="13"/>
  <c r="AB137" i="13"/>
  <c r="AB97" i="13"/>
  <c r="AB25" i="13"/>
  <c r="AB310" i="13"/>
  <c r="AB302" i="13"/>
  <c r="AB294" i="13"/>
  <c r="AB286" i="13"/>
  <c r="AB278" i="13"/>
  <c r="AB270" i="13"/>
  <c r="AB262" i="13"/>
  <c r="AB254" i="13"/>
  <c r="AB246" i="13"/>
  <c r="AB238" i="13"/>
  <c r="AB230" i="13"/>
  <c r="AB222" i="13"/>
  <c r="AB214" i="13"/>
  <c r="AB206" i="13"/>
  <c r="AB198" i="13"/>
  <c r="AB190" i="13"/>
  <c r="AB182" i="13"/>
  <c r="AB174" i="13"/>
  <c r="AB166" i="13"/>
  <c r="AB158" i="13"/>
  <c r="AB150" i="13"/>
  <c r="AB134" i="13"/>
  <c r="AB126" i="13"/>
  <c r="AB110" i="13"/>
  <c r="AB102" i="13"/>
  <c r="AB94" i="13"/>
  <c r="AB86" i="13"/>
  <c r="AB78" i="13"/>
  <c r="AB70" i="13"/>
  <c r="AB62" i="13"/>
  <c r="AB54" i="13"/>
  <c r="AB46" i="13"/>
  <c r="AH347" i="13"/>
  <c r="O55" i="13"/>
  <c r="N55" i="13"/>
  <c r="O63" i="13"/>
  <c r="N63" i="13"/>
  <c r="O71" i="13"/>
  <c r="N71" i="13"/>
  <c r="O79" i="13"/>
  <c r="N79" i="13"/>
  <c r="O87" i="13"/>
  <c r="N87" i="13"/>
  <c r="N95" i="13"/>
  <c r="O95" i="13"/>
  <c r="N103" i="13"/>
  <c r="O103" i="13"/>
  <c r="N111" i="13"/>
  <c r="O111" i="13"/>
  <c r="AH411" i="13"/>
  <c r="N119" i="13"/>
  <c r="O119" i="13"/>
  <c r="N127" i="13"/>
  <c r="O127" i="13"/>
  <c r="O135" i="13"/>
  <c r="N135" i="13"/>
  <c r="O143" i="13"/>
  <c r="N143" i="13"/>
  <c r="AH443" i="13"/>
  <c r="O151" i="13"/>
  <c r="N151" i="13"/>
  <c r="O159" i="13"/>
  <c r="N159" i="13"/>
  <c r="N167" i="13"/>
  <c r="O167" i="13"/>
  <c r="N175" i="13"/>
  <c r="O175" i="13"/>
  <c r="AH475" i="13"/>
  <c r="N183" i="13"/>
  <c r="O183" i="13"/>
  <c r="N191" i="13"/>
  <c r="O191" i="13"/>
  <c r="N199" i="13"/>
  <c r="O199" i="13"/>
  <c r="N207" i="13"/>
  <c r="O207" i="13"/>
  <c r="N215" i="13"/>
  <c r="O215" i="13"/>
  <c r="N223" i="13"/>
  <c r="O223" i="13"/>
  <c r="N231" i="13"/>
  <c r="O231" i="13"/>
  <c r="N239" i="13"/>
  <c r="O239" i="13"/>
  <c r="AH539" i="13"/>
  <c r="O247" i="13"/>
  <c r="N247" i="13"/>
  <c r="O255" i="13"/>
  <c r="N255" i="13"/>
  <c r="O263" i="13"/>
  <c r="N263" i="13"/>
  <c r="O271" i="13"/>
  <c r="N271" i="13"/>
  <c r="AH571" i="13"/>
  <c r="N279" i="13"/>
  <c r="O279" i="13"/>
  <c r="N287" i="13"/>
  <c r="O287" i="13"/>
  <c r="N295" i="13"/>
  <c r="O295" i="13"/>
  <c r="N303" i="13"/>
  <c r="O303" i="13"/>
  <c r="AH603" i="13"/>
  <c r="N311" i="13"/>
  <c r="O311" i="13"/>
  <c r="AH317" i="13"/>
  <c r="AH331" i="13"/>
  <c r="AB257" i="13"/>
  <c r="AB201" i="13"/>
  <c r="AB33" i="13"/>
  <c r="AB309" i="13"/>
  <c r="AB301" i="13"/>
  <c r="AB293" i="13"/>
  <c r="AB285" i="13"/>
  <c r="AB269" i="13"/>
  <c r="AB261" i="13"/>
  <c r="AB253" i="13"/>
  <c r="AB245" i="13"/>
  <c r="AB237" i="13"/>
  <c r="AB229" i="13"/>
  <c r="AB221" i="13"/>
  <c r="AB213" i="13"/>
  <c r="AB205" i="13"/>
  <c r="AB197" i="13"/>
  <c r="AB189" i="13"/>
  <c r="AB181" i="13"/>
  <c r="AB173" i="13"/>
  <c r="AB165" i="13"/>
  <c r="AB157" i="13"/>
  <c r="AB149" i="13"/>
  <c r="AB141" i="13"/>
  <c r="AB133" i="13"/>
  <c r="AB117" i="13"/>
  <c r="AB101" i="13"/>
  <c r="AB85" i="13"/>
  <c r="AB77" i="13"/>
  <c r="AB69" i="13"/>
  <c r="AB53" i="13"/>
  <c r="AB45" i="13"/>
  <c r="AB29" i="13"/>
  <c r="AB21" i="13"/>
  <c r="AB13" i="13"/>
  <c r="O54" i="13"/>
  <c r="N54" i="13"/>
  <c r="O62" i="13"/>
  <c r="N62" i="13"/>
  <c r="O70" i="13"/>
  <c r="N70" i="13"/>
  <c r="AH370" i="13"/>
  <c r="O78" i="13"/>
  <c r="N78" i="13"/>
  <c r="O86" i="13"/>
  <c r="N86" i="13"/>
  <c r="O94" i="13"/>
  <c r="N94" i="13"/>
  <c r="O102" i="13"/>
  <c r="N102" i="13"/>
  <c r="AH402" i="13"/>
  <c r="O110" i="13"/>
  <c r="N110" i="13"/>
  <c r="O118" i="13"/>
  <c r="N118" i="13"/>
  <c r="O126" i="13"/>
  <c r="N126" i="13"/>
  <c r="O134" i="13"/>
  <c r="N134" i="13"/>
  <c r="AH434" i="13"/>
  <c r="O142" i="13"/>
  <c r="N142" i="13"/>
  <c r="O150" i="13"/>
  <c r="N150" i="13"/>
  <c r="O158" i="13"/>
  <c r="N158" i="13"/>
  <c r="AH466" i="13"/>
  <c r="N166" i="13"/>
  <c r="O166" i="13"/>
  <c r="N174" i="13"/>
  <c r="O174" i="13"/>
  <c r="N182" i="13"/>
  <c r="O182" i="13"/>
  <c r="N190" i="13"/>
  <c r="O190" i="13"/>
  <c r="AH490" i="13"/>
  <c r="N198" i="13"/>
  <c r="O198" i="13"/>
  <c r="AH498" i="13"/>
  <c r="L205" i="13"/>
  <c r="M205" i="13" s="1"/>
  <c r="N206" i="13"/>
  <c r="O206" i="13"/>
  <c r="L213" i="13"/>
  <c r="M213" i="13" s="1"/>
  <c r="O214" i="13"/>
  <c r="N214" i="13"/>
  <c r="L221" i="13"/>
  <c r="M221" i="13" s="1"/>
  <c r="N222" i="13"/>
  <c r="O222" i="13"/>
  <c r="L229" i="13"/>
  <c r="M229" i="13" s="1"/>
  <c r="O230" i="13"/>
  <c r="N230" i="13"/>
  <c r="AH530" i="13"/>
  <c r="L237" i="13"/>
  <c r="M237" i="13" s="1"/>
  <c r="N238" i="13"/>
  <c r="O238" i="13"/>
  <c r="L245" i="13"/>
  <c r="M245" i="13" s="1"/>
  <c r="O246" i="13"/>
  <c r="N246" i="13"/>
  <c r="L253" i="13"/>
  <c r="M253" i="13" s="1"/>
  <c r="AH554" i="13"/>
  <c r="O254" i="13"/>
  <c r="N254" i="13"/>
  <c r="L261" i="13"/>
  <c r="M261" i="13" s="1"/>
  <c r="O262" i="13"/>
  <c r="N262" i="13"/>
  <c r="AH562" i="13"/>
  <c r="L269" i="13"/>
  <c r="M269" i="13" s="1"/>
  <c r="O270" i="13"/>
  <c r="N270" i="13"/>
  <c r="L277" i="13"/>
  <c r="M277" i="13" s="1"/>
  <c r="N278" i="13"/>
  <c r="O278" i="13"/>
  <c r="L285" i="13"/>
  <c r="M285" i="13" s="1"/>
  <c r="N286" i="13"/>
  <c r="O286" i="13"/>
  <c r="L293" i="13"/>
  <c r="M293" i="13" s="1"/>
  <c r="N294" i="13"/>
  <c r="O294" i="13"/>
  <c r="AH594" i="13"/>
  <c r="L301" i="13"/>
  <c r="M301" i="13" s="1"/>
  <c r="N302" i="13"/>
  <c r="O302" i="13"/>
  <c r="L309" i="13"/>
  <c r="M309" i="13" s="1"/>
  <c r="N310" i="13"/>
  <c r="O310" i="13"/>
  <c r="N23" i="13"/>
  <c r="AB265" i="13"/>
  <c r="AB241" i="13"/>
  <c r="AB193" i="13"/>
  <c r="AB65" i="13"/>
  <c r="AB308" i="13"/>
  <c r="AB300" i="13"/>
  <c r="AB292" i="13"/>
  <c r="AB284" i="13"/>
  <c r="AB268" i="13"/>
  <c r="AB260" i="13"/>
  <c r="AB252" i="13"/>
  <c r="AB244" i="13"/>
  <c r="AB236" i="13"/>
  <c r="AB228" i="13"/>
  <c r="AB220" i="13"/>
  <c r="AB212" i="13"/>
  <c r="AB204" i="13"/>
  <c r="AB196" i="13"/>
  <c r="AB188" i="13"/>
  <c r="AB180" i="13"/>
  <c r="AB172" i="13"/>
  <c r="AB148" i="13"/>
  <c r="AB124" i="13"/>
  <c r="AB116" i="13"/>
  <c r="AB108" i="13"/>
  <c r="AB100" i="13"/>
  <c r="AB92" i="13"/>
  <c r="AB76" i="13"/>
  <c r="AB68" i="13"/>
  <c r="AB60" i="13"/>
  <c r="AB52" i="13"/>
  <c r="AB44" i="13"/>
  <c r="AB36" i="13"/>
  <c r="AB20" i="13"/>
  <c r="O53" i="13"/>
  <c r="N53" i="13"/>
  <c r="O61" i="13"/>
  <c r="N61" i="13"/>
  <c r="O69" i="13"/>
  <c r="N69" i="13"/>
  <c r="O77" i="13"/>
  <c r="N77" i="13"/>
  <c r="O85" i="13"/>
  <c r="N85" i="13"/>
  <c r="O93" i="13"/>
  <c r="N93" i="13"/>
  <c r="N101" i="13"/>
  <c r="O101" i="13"/>
  <c r="N109" i="13"/>
  <c r="O109" i="13"/>
  <c r="N117" i="13"/>
  <c r="O117" i="13"/>
  <c r="N125" i="13"/>
  <c r="O125" i="13"/>
  <c r="AH425" i="13"/>
  <c r="O133" i="13"/>
  <c r="N133" i="13"/>
  <c r="O141" i="13"/>
  <c r="N141" i="13"/>
  <c r="O149" i="13"/>
  <c r="N149" i="13"/>
  <c r="AH449" i="13"/>
  <c r="O157" i="13"/>
  <c r="N157" i="13"/>
  <c r="N165" i="13"/>
  <c r="O165" i="13"/>
  <c r="N173" i="13"/>
  <c r="O173" i="13"/>
  <c r="N181" i="13"/>
  <c r="O181" i="13"/>
  <c r="N189" i="13"/>
  <c r="O189" i="13"/>
  <c r="AH489" i="13"/>
  <c r="N197" i="13"/>
  <c r="O197" i="13"/>
  <c r="N205" i="13"/>
  <c r="O205" i="13"/>
  <c r="O213" i="13"/>
  <c r="N213" i="13"/>
  <c r="O221" i="13"/>
  <c r="N221" i="13"/>
  <c r="O229" i="13"/>
  <c r="N229" i="13"/>
  <c r="O237" i="13"/>
  <c r="N237" i="13"/>
  <c r="O245" i="13"/>
  <c r="N245" i="13"/>
  <c r="O253" i="13"/>
  <c r="N253" i="13"/>
  <c r="AH553" i="13"/>
  <c r="O261" i="13"/>
  <c r="N261" i="13"/>
  <c r="O269" i="13"/>
  <c r="N269" i="13"/>
  <c r="N277" i="13"/>
  <c r="O277" i="13"/>
  <c r="AH577" i="13"/>
  <c r="N285" i="13"/>
  <c r="O285" i="13"/>
  <c r="N293" i="13"/>
  <c r="O293" i="13"/>
  <c r="N301" i="13"/>
  <c r="O301" i="13"/>
  <c r="N309" i="13"/>
  <c r="O309" i="13"/>
  <c r="N19" i="13"/>
  <c r="N30" i="13"/>
  <c r="AB307" i="13"/>
  <c r="AB299" i="13"/>
  <c r="AB291" i="13"/>
  <c r="AB283" i="13"/>
  <c r="AB267" i="13"/>
  <c r="AB259" i="13"/>
  <c r="AB251" i="13"/>
  <c r="AB243" i="13"/>
  <c r="AB235" i="13"/>
  <c r="AB227" i="13"/>
  <c r="AB219" i="13"/>
  <c r="AB211" i="13"/>
  <c r="AB203" i="13"/>
  <c r="AB195" i="13"/>
  <c r="AB187" i="13"/>
  <c r="AB179" i="13"/>
  <c r="AB171" i="13"/>
  <c r="AB163" i="13"/>
  <c r="AB155" i="13"/>
  <c r="AB147" i="13"/>
  <c r="AB139" i="13"/>
  <c r="AB131" i="13"/>
  <c r="AB123" i="13"/>
  <c r="AB115" i="13"/>
  <c r="AB107" i="13"/>
  <c r="AB91" i="13"/>
  <c r="AB75" i="13"/>
  <c r="AB59" i="13"/>
  <c r="AB51" i="13"/>
  <c r="AB43" i="13"/>
  <c r="AB35" i="13"/>
  <c r="AB27" i="13"/>
  <c r="AB19" i="13"/>
  <c r="AH352" i="13"/>
  <c r="O60" i="13"/>
  <c r="N60" i="13"/>
  <c r="O68" i="13"/>
  <c r="N68" i="13"/>
  <c r="O76" i="13"/>
  <c r="N76" i="13"/>
  <c r="AH384" i="13"/>
  <c r="O84" i="13"/>
  <c r="N84" i="13"/>
  <c r="O92" i="13"/>
  <c r="N92" i="13"/>
  <c r="AH392" i="13"/>
  <c r="O100" i="13"/>
  <c r="N100" i="13"/>
  <c r="O108" i="13"/>
  <c r="N108" i="13"/>
  <c r="AH416" i="13"/>
  <c r="O116" i="13"/>
  <c r="N116" i="13"/>
  <c r="O124" i="13"/>
  <c r="N124" i="13"/>
  <c r="AH424" i="13"/>
  <c r="N132" i="13"/>
  <c r="O132" i="13"/>
  <c r="N140" i="13"/>
  <c r="O140" i="13"/>
  <c r="N148" i="13"/>
  <c r="O148" i="13"/>
  <c r="AH448" i="13"/>
  <c r="N156" i="13"/>
  <c r="O156" i="13"/>
  <c r="N164" i="13"/>
  <c r="O164" i="13"/>
  <c r="N172" i="13"/>
  <c r="O172" i="13"/>
  <c r="AH480" i="13"/>
  <c r="N180" i="13"/>
  <c r="O180" i="13"/>
  <c r="AH488" i="13"/>
  <c r="N188" i="13"/>
  <c r="O188" i="13"/>
  <c r="N196" i="13"/>
  <c r="O196" i="13"/>
  <c r="N204" i="13"/>
  <c r="O204" i="13"/>
  <c r="L211" i="13"/>
  <c r="M211" i="13" s="1"/>
  <c r="AH512" i="13"/>
  <c r="O212" i="13"/>
  <c r="N212" i="13"/>
  <c r="L219" i="13"/>
  <c r="M219" i="13" s="1"/>
  <c r="O220" i="13"/>
  <c r="N220" i="13"/>
  <c r="AH520" i="13"/>
  <c r="L227" i="13"/>
  <c r="M227" i="13" s="1"/>
  <c r="O228" i="13"/>
  <c r="N228" i="13"/>
  <c r="L235" i="13"/>
  <c r="M235" i="13" s="1"/>
  <c r="O236" i="13"/>
  <c r="N236" i="13"/>
  <c r="L243" i="13"/>
  <c r="M243" i="13" s="1"/>
  <c r="AH544" i="13"/>
  <c r="O244" i="13"/>
  <c r="N244" i="13"/>
  <c r="L251" i="13"/>
  <c r="M251" i="13" s="1"/>
  <c r="N252" i="13"/>
  <c r="O252" i="13"/>
  <c r="AH552" i="13"/>
  <c r="L259" i="13"/>
  <c r="M259" i="13" s="1"/>
  <c r="O260" i="13"/>
  <c r="N260" i="13"/>
  <c r="L267" i="13"/>
  <c r="M267" i="13" s="1"/>
  <c r="O268" i="13"/>
  <c r="N268" i="13"/>
  <c r="L275" i="13"/>
  <c r="M275" i="13" s="1"/>
  <c r="N276" i="13"/>
  <c r="AH576" i="13"/>
  <c r="O276" i="13"/>
  <c r="L283" i="13"/>
  <c r="M283" i="13" s="1"/>
  <c r="N284" i="13"/>
  <c r="O284" i="13"/>
  <c r="AH584" i="13"/>
  <c r="L291" i="13"/>
  <c r="M291" i="13" s="1"/>
  <c r="N292" i="13"/>
  <c r="O292" i="13"/>
  <c r="L299" i="13"/>
  <c r="M299" i="13" s="1"/>
  <c r="N300" i="13"/>
  <c r="O300" i="13"/>
  <c r="L307" i="13"/>
  <c r="M307" i="13" s="1"/>
  <c r="N308" i="13"/>
  <c r="AH608" i="13"/>
  <c r="O308" i="13"/>
  <c r="N26" i="13"/>
  <c r="AB273" i="13"/>
  <c r="AB233" i="13"/>
  <c r="AB185" i="13"/>
  <c r="AB153" i="13"/>
  <c r="AB113" i="13"/>
  <c r="AB57" i="13"/>
  <c r="AB306" i="13"/>
  <c r="AB298" i="13"/>
  <c r="AB290" i="13"/>
  <c r="AB282" i="13"/>
  <c r="AB274" i="13"/>
  <c r="AB266" i="13"/>
  <c r="AB258" i="13"/>
  <c r="AB250" i="13"/>
  <c r="AB242" i="13"/>
  <c r="AB234" i="13"/>
  <c r="AB226" i="13"/>
  <c r="AB218" i="13"/>
  <c r="AB210" i="13"/>
  <c r="AB202" i="13"/>
  <c r="AB194" i="13"/>
  <c r="AB186" i="13"/>
  <c r="AB178" i="13"/>
  <c r="AB170" i="13"/>
  <c r="AB162" i="13"/>
  <c r="AB154" i="13"/>
  <c r="AB138" i="13"/>
  <c r="AB130" i="13"/>
  <c r="AB122" i="13"/>
  <c r="AB114" i="13"/>
  <c r="AB98" i="13"/>
  <c r="AB90" i="13"/>
  <c r="AB82" i="13"/>
  <c r="AB74" i="13"/>
  <c r="AB66" i="13"/>
  <c r="AB58" i="13"/>
  <c r="AB50" i="13"/>
  <c r="AB42" i="13"/>
  <c r="AB18" i="13"/>
  <c r="O59" i="13"/>
  <c r="N59" i="13"/>
  <c r="O67" i="13"/>
  <c r="N67" i="13"/>
  <c r="O75" i="13"/>
  <c r="N75" i="13"/>
  <c r="O83" i="13"/>
  <c r="N83" i="13"/>
  <c r="N91" i="13"/>
  <c r="O91" i="13"/>
  <c r="AH391" i="13"/>
  <c r="N99" i="13"/>
  <c r="O99" i="13"/>
  <c r="O107" i="13"/>
  <c r="N107" i="13"/>
  <c r="O115" i="13"/>
  <c r="N115" i="13"/>
  <c r="O123" i="13"/>
  <c r="N123" i="13"/>
  <c r="N131" i="13"/>
  <c r="O131" i="13"/>
  <c r="O139" i="13"/>
  <c r="N139" i="13"/>
  <c r="AH447" i="13"/>
  <c r="O147" i="13"/>
  <c r="N147" i="13"/>
  <c r="O155" i="13"/>
  <c r="N155" i="13"/>
  <c r="AH455" i="13"/>
  <c r="O163" i="13"/>
  <c r="N163" i="13"/>
  <c r="N171" i="13"/>
  <c r="O171" i="13"/>
  <c r="N179" i="13"/>
  <c r="O179" i="13"/>
  <c r="AH487" i="13"/>
  <c r="N187" i="13"/>
  <c r="O187" i="13"/>
  <c r="N195" i="13"/>
  <c r="O195" i="13"/>
  <c r="N203" i="13"/>
  <c r="O203" i="13"/>
  <c r="L210" i="13"/>
  <c r="M210" i="13" s="1"/>
  <c r="O211" i="13"/>
  <c r="N211" i="13"/>
  <c r="L218" i="13"/>
  <c r="M218" i="13" s="1"/>
  <c r="AH519" i="13"/>
  <c r="O219" i="13"/>
  <c r="N219" i="13"/>
  <c r="L226" i="13"/>
  <c r="M226" i="13" s="1"/>
  <c r="O227" i="13"/>
  <c r="N227" i="13"/>
  <c r="L234" i="13"/>
  <c r="M234" i="13" s="1"/>
  <c r="O235" i="13"/>
  <c r="N235" i="13"/>
  <c r="L242" i="13"/>
  <c r="M242" i="13" s="1"/>
  <c r="O243" i="13"/>
  <c r="N243" i="13"/>
  <c r="L250" i="13"/>
  <c r="M250" i="13" s="1"/>
  <c r="AH551" i="13"/>
  <c r="O251" i="13"/>
  <c r="N251" i="13"/>
  <c r="L258" i="13"/>
  <c r="M258" i="13" s="1"/>
  <c r="N259" i="13"/>
  <c r="O259" i="13"/>
  <c r="L266" i="13"/>
  <c r="M266" i="13" s="1"/>
  <c r="N267" i="13"/>
  <c r="O267" i="13"/>
  <c r="L274" i="13"/>
  <c r="M274" i="13" s="1"/>
  <c r="N275" i="13"/>
  <c r="O275" i="13"/>
  <c r="L282" i="13"/>
  <c r="M282" i="13" s="1"/>
  <c r="N283" i="13"/>
  <c r="AH583" i="13"/>
  <c r="O283" i="13"/>
  <c r="L290" i="13"/>
  <c r="M290" i="13" s="1"/>
  <c r="N291" i="13"/>
  <c r="O291" i="13"/>
  <c r="L298" i="13"/>
  <c r="M298" i="13" s="1"/>
  <c r="N299" i="13"/>
  <c r="O299" i="13"/>
  <c r="L306" i="13"/>
  <c r="M306" i="13" s="1"/>
  <c r="N307" i="13"/>
  <c r="O307" i="13"/>
  <c r="BI197" i="5"/>
  <c r="BI269" i="5"/>
  <c r="BI277" i="5"/>
  <c r="Q39" i="22"/>
  <c r="X39" i="22" s="1"/>
  <c r="BI19" i="5"/>
  <c r="BI227" i="5"/>
  <c r="BI275" i="5"/>
  <c r="W38" i="22"/>
  <c r="K33" i="24"/>
  <c r="Z42" i="7"/>
  <c r="AP17" i="5"/>
  <c r="AU17" i="5" s="1"/>
  <c r="K14" i="24"/>
  <c r="K18" i="24"/>
  <c r="K34" i="24"/>
  <c r="AP27" i="5"/>
  <c r="AU27" i="5" s="1"/>
  <c r="R40" i="22"/>
  <c r="Y40" i="22" s="1"/>
  <c r="AF40" i="22" s="1"/>
  <c r="K24" i="24"/>
  <c r="K28" i="24"/>
  <c r="K32" i="24"/>
  <c r="K29" i="24"/>
  <c r="AP21" i="5"/>
  <c r="AU21" i="5" s="1"/>
  <c r="K23" i="24"/>
  <c r="BI27" i="5"/>
  <c r="AL292" i="3"/>
  <c r="AL291" i="3"/>
  <c r="AL296" i="3"/>
  <c r="AL295" i="3"/>
  <c r="AL294" i="3"/>
  <c r="AL293" i="3"/>
  <c r="Z41" i="7"/>
  <c r="Z33" i="7"/>
  <c r="BI21" i="5"/>
  <c r="AT36" i="3"/>
  <c r="AT37" i="3"/>
  <c r="K55" i="13"/>
  <c r="K59" i="13"/>
  <c r="K63" i="13"/>
  <c r="K67" i="13"/>
  <c r="K71" i="13"/>
  <c r="K79" i="13"/>
  <c r="K83" i="13"/>
  <c r="K87" i="13"/>
  <c r="K91" i="13"/>
  <c r="K95" i="13"/>
  <c r="K99" i="13"/>
  <c r="K103" i="13"/>
  <c r="K107" i="13"/>
  <c r="K111" i="13"/>
  <c r="K115" i="13"/>
  <c r="K123" i="13"/>
  <c r="K127" i="13"/>
  <c r="K131" i="13"/>
  <c r="K135" i="13"/>
  <c r="K139" i="13"/>
  <c r="K143" i="13"/>
  <c r="K147" i="13"/>
  <c r="K151" i="13"/>
  <c r="K155" i="13"/>
  <c r="K159" i="13"/>
  <c r="K163" i="13"/>
  <c r="K167" i="13"/>
  <c r="K171" i="13"/>
  <c r="K175" i="13"/>
  <c r="K179" i="13"/>
  <c r="K183" i="13"/>
  <c r="K187" i="13"/>
  <c r="K191" i="13"/>
  <c r="K195" i="13"/>
  <c r="K199" i="13"/>
  <c r="K203" i="13"/>
  <c r="K54" i="13"/>
  <c r="K58" i="13"/>
  <c r="K62" i="13"/>
  <c r="K66" i="13"/>
  <c r="K70" i="13"/>
  <c r="K74" i="13"/>
  <c r="K78" i="13"/>
  <c r="K82" i="13"/>
  <c r="K86" i="13"/>
  <c r="K90" i="13"/>
  <c r="K94" i="13"/>
  <c r="K98" i="13"/>
  <c r="K102" i="13"/>
  <c r="K106" i="13"/>
  <c r="K110" i="13"/>
  <c r="K114" i="13"/>
  <c r="K118" i="13"/>
  <c r="K122" i="13"/>
  <c r="L126" i="13"/>
  <c r="K130" i="13"/>
  <c r="K134" i="13"/>
  <c r="K138" i="13"/>
  <c r="K146" i="13"/>
  <c r="K150" i="13"/>
  <c r="K154" i="13"/>
  <c r="K158" i="13"/>
  <c r="K162" i="13"/>
  <c r="K166" i="13"/>
  <c r="K170" i="13"/>
  <c r="K174" i="13"/>
  <c r="K178" i="13"/>
  <c r="K182" i="13"/>
  <c r="K186" i="13"/>
  <c r="K190" i="13"/>
  <c r="K194" i="13"/>
  <c r="K198" i="13"/>
  <c r="K202" i="13"/>
  <c r="AP15" i="5"/>
  <c r="AU15" i="5" s="1"/>
  <c r="AP18" i="5"/>
  <c r="AU18" i="5" s="1"/>
  <c r="K53" i="13"/>
  <c r="K57" i="13"/>
  <c r="K61" i="13"/>
  <c r="K65" i="13"/>
  <c r="K69" i="13"/>
  <c r="K73" i="13"/>
  <c r="K77" i="13"/>
  <c r="K81" i="13"/>
  <c r="K85" i="13"/>
  <c r="L89" i="13"/>
  <c r="K97" i="13"/>
  <c r="K105" i="13"/>
  <c r="K109" i="13"/>
  <c r="K113" i="13"/>
  <c r="L117" i="13"/>
  <c r="L121" i="13"/>
  <c r="K133" i="13"/>
  <c r="L141" i="13"/>
  <c r="K145" i="13"/>
  <c r="K153" i="13"/>
  <c r="K161" i="13"/>
  <c r="K165" i="13"/>
  <c r="K169" i="13"/>
  <c r="K173" i="13"/>
  <c r="K177" i="13"/>
  <c r="K181" i="13"/>
  <c r="K185" i="13"/>
  <c r="K189" i="13"/>
  <c r="K193" i="13"/>
  <c r="K197" i="13"/>
  <c r="K201" i="13"/>
  <c r="K56" i="13"/>
  <c r="K60" i="13"/>
  <c r="K64" i="13"/>
  <c r="K68" i="13"/>
  <c r="K72" i="13"/>
  <c r="K76" i="13"/>
  <c r="K80" i="13"/>
  <c r="K84" i="13"/>
  <c r="K88" i="13"/>
  <c r="K92" i="13"/>
  <c r="K96" i="13"/>
  <c r="K100" i="13"/>
  <c r="K104" i="13"/>
  <c r="K108" i="13"/>
  <c r="K112" i="13"/>
  <c r="K116" i="13"/>
  <c r="L120" i="13"/>
  <c r="K124" i="13"/>
  <c r="K128" i="13"/>
  <c r="K132" i="13"/>
  <c r="K136" i="13"/>
  <c r="K140" i="13"/>
  <c r="K144" i="13"/>
  <c r="K148" i="13"/>
  <c r="K152" i="13"/>
  <c r="K156" i="13"/>
  <c r="K160" i="13"/>
  <c r="K164" i="13"/>
  <c r="K168" i="13"/>
  <c r="K172" i="13"/>
  <c r="K176" i="13"/>
  <c r="K180" i="13"/>
  <c r="K184" i="13"/>
  <c r="K188" i="13"/>
  <c r="K192" i="13"/>
  <c r="K196" i="13"/>
  <c r="K200" i="13"/>
  <c r="L204" i="13"/>
  <c r="AL200" i="3"/>
  <c r="AL201" i="3"/>
  <c r="AL199" i="3"/>
  <c r="AO198" i="3"/>
  <c r="AL185" i="3"/>
  <c r="AO184" i="3"/>
  <c r="AO176" i="3"/>
  <c r="AO180" i="3"/>
  <c r="AO164" i="3"/>
  <c r="AO172" i="3"/>
  <c r="AO168" i="3"/>
  <c r="AO160" i="3"/>
  <c r="AO151" i="3"/>
  <c r="AO143" i="3"/>
  <c r="AO141" i="3"/>
  <c r="AO124" i="3"/>
  <c r="AO127" i="3"/>
  <c r="AO133" i="3"/>
  <c r="AO98" i="3"/>
  <c r="BB122" i="3"/>
  <c r="BB123" i="3"/>
  <c r="BB119" i="3"/>
  <c r="AO94" i="3"/>
  <c r="AO121" i="3"/>
  <c r="AO110" i="3"/>
  <c r="AO123" i="3"/>
  <c r="AO112" i="3"/>
  <c r="AO114" i="3"/>
  <c r="AO109" i="3"/>
  <c r="AO103" i="3"/>
  <c r="AO89" i="3"/>
  <c r="EJ29" i="3"/>
  <c r="EJ28" i="3"/>
  <c r="AS20" i="3"/>
  <c r="K22" i="24"/>
  <c r="K26" i="24"/>
  <c r="K30" i="24"/>
  <c r="K27" i="24"/>
  <c r="K31" i="24"/>
  <c r="AP505" i="13"/>
  <c r="AG12" i="22"/>
  <c r="AO12" i="22" s="1"/>
  <c r="AD12" i="22"/>
  <c r="AL12" i="22" s="1"/>
  <c r="AH12" i="22"/>
  <c r="AP12" i="22" s="1"/>
  <c r="AE12" i="22"/>
  <c r="AM12" i="22" s="1"/>
  <c r="AF12" i="22"/>
  <c r="AN12" i="22" s="1"/>
  <c r="S40" i="22"/>
  <c r="Z40" i="22" s="1"/>
  <c r="AG40" i="22" s="1"/>
  <c r="S39" i="22"/>
  <c r="Z39" i="22" s="1"/>
  <c r="T39" i="22"/>
  <c r="AA39" i="22" s="1"/>
  <c r="S38" i="22"/>
  <c r="Z38" i="22" s="1"/>
  <c r="R38" i="22"/>
  <c r="Y38" i="22" s="1"/>
  <c r="P40" i="22"/>
  <c r="W40" i="22" s="1"/>
  <c r="AD40" i="22" s="1"/>
  <c r="P39" i="22"/>
  <c r="W39" i="22" s="1"/>
  <c r="W27" i="22"/>
  <c r="W32" i="22"/>
  <c r="W29" i="22"/>
  <c r="K57" i="24"/>
  <c r="K39" i="24"/>
  <c r="K47" i="24"/>
  <c r="K60" i="24"/>
  <c r="BB83" i="3"/>
  <c r="AP448" i="13"/>
  <c r="AP464" i="13"/>
  <c r="AP537" i="13"/>
  <c r="AP576" i="13"/>
  <c r="AP608" i="13"/>
  <c r="AO18" i="3"/>
  <c r="N21" i="13" s="1"/>
  <c r="AO24" i="3"/>
  <c r="N27" i="13" s="1"/>
  <c r="BI18" i="5"/>
  <c r="AT80" i="3"/>
  <c r="AT31" i="3"/>
  <c r="AT76" i="3"/>
  <c r="AT64" i="3"/>
  <c r="AT32" i="3"/>
  <c r="AP32" i="3" s="1"/>
  <c r="AT68" i="3"/>
  <c r="AT72" i="3"/>
  <c r="BI378" i="5"/>
  <c r="BI370" i="5"/>
  <c r="AP354" i="5"/>
  <c r="AU354" i="5" s="1"/>
  <c r="BI362" i="5"/>
  <c r="AP274" i="5"/>
  <c r="AU274" i="5" s="1"/>
  <c r="AP378" i="5"/>
  <c r="AU378" i="5" s="1"/>
  <c r="AP298" i="5"/>
  <c r="AU298" i="5" s="1"/>
  <c r="Z48" i="7"/>
  <c r="Z30" i="7"/>
  <c r="AT66" i="3"/>
  <c r="AT70" i="3"/>
  <c r="AT78" i="3"/>
  <c r="AT67" i="3"/>
  <c r="AT71" i="3"/>
  <c r="AT79" i="3"/>
  <c r="K19" i="24"/>
  <c r="AT65" i="3"/>
  <c r="AT69" i="3"/>
  <c r="AP10" i="5"/>
  <c r="AU10" i="5" s="1"/>
  <c r="BI260" i="5"/>
  <c r="BI300" i="5"/>
  <c r="BI324" i="5"/>
  <c r="BI396" i="5"/>
  <c r="BI301" i="5"/>
  <c r="BI372" i="5"/>
  <c r="BI380" i="5"/>
  <c r="BI388" i="5"/>
  <c r="BB16" i="3"/>
  <c r="BI25" i="5"/>
  <c r="BI10" i="5"/>
  <c r="BI365" i="5"/>
  <c r="BI363" i="5"/>
  <c r="BI387" i="5"/>
  <c r="K10" i="24"/>
  <c r="Z45" i="7"/>
  <c r="B19" i="22"/>
  <c r="Z27" i="7"/>
  <c r="K58" i="24"/>
  <c r="K41" i="24"/>
  <c r="K49" i="24"/>
  <c r="K44" i="24"/>
  <c r="K25" i="24"/>
  <c r="K42" i="24"/>
  <c r="K50" i="24"/>
  <c r="K21" i="24"/>
  <c r="BI239" i="5"/>
  <c r="AO84" i="3"/>
  <c r="AO69" i="3"/>
  <c r="AO54" i="3"/>
  <c r="AS25" i="3"/>
  <c r="K16" i="24"/>
  <c r="K15" i="24"/>
  <c r="Z43" i="7"/>
  <c r="Z29" i="7"/>
  <c r="Z28" i="7"/>
  <c r="AK12" i="22"/>
  <c r="AK46" i="22"/>
  <c r="AK40" i="22"/>
  <c r="B15" i="22"/>
  <c r="B17" i="22"/>
  <c r="AK17" i="22" s="1"/>
  <c r="B44" i="22"/>
  <c r="AK44" i="22" s="1"/>
  <c r="B50" i="22"/>
  <c r="B56" i="22"/>
  <c r="B62" i="22"/>
  <c r="B30" i="22"/>
  <c r="AD30" i="22" s="1"/>
  <c r="B37" i="22"/>
  <c r="AG37" i="22" s="1"/>
  <c r="B38" i="22"/>
  <c r="AE38" i="22" s="1"/>
  <c r="B45" i="22"/>
  <c r="AK45" i="22" s="1"/>
  <c r="B51" i="22"/>
  <c r="B27" i="22"/>
  <c r="B31" i="22"/>
  <c r="AD31" i="22" s="1"/>
  <c r="B14" i="22"/>
  <c r="B36" i="22"/>
  <c r="AD36" i="22" s="1"/>
  <c r="B52" i="22"/>
  <c r="B58" i="22"/>
  <c r="B64" i="22"/>
  <c r="B23" i="22"/>
  <c r="AD23" i="22" s="1"/>
  <c r="B39" i="22"/>
  <c r="AF39" i="22" s="1"/>
  <c r="B41" i="22"/>
  <c r="AK41" i="22" s="1"/>
  <c r="B47" i="22"/>
  <c r="AK47" i="22" s="1"/>
  <c r="B53" i="22"/>
  <c r="AK53" i="22" s="1"/>
  <c r="B59" i="22"/>
  <c r="B24" i="22"/>
  <c r="AD24" i="22" s="1"/>
  <c r="B33" i="22"/>
  <c r="AD33" i="22" s="1"/>
  <c r="B29" i="22"/>
  <c r="B60" i="22"/>
  <c r="AK60" i="22" s="1"/>
  <c r="B18" i="22"/>
  <c r="B26" i="22"/>
  <c r="AD26" i="22" s="1"/>
  <c r="B32" i="22"/>
  <c r="B25" i="22"/>
  <c r="AD25" i="22" s="1"/>
  <c r="B49" i="22"/>
  <c r="AK49" i="22" s="1"/>
  <c r="B55" i="22"/>
  <c r="B61" i="22"/>
  <c r="AK61" i="22" s="1"/>
  <c r="B35" i="22"/>
  <c r="AD35" i="22" s="1"/>
  <c r="B22" i="22"/>
  <c r="AD22" i="22" s="1"/>
  <c r="B13" i="22"/>
  <c r="B16" i="22"/>
  <c r="B21" i="22"/>
  <c r="B42" i="22"/>
  <c r="B48" i="22"/>
  <c r="B54" i="22"/>
  <c r="B20" i="22"/>
  <c r="B28" i="22"/>
  <c r="AD28" i="22" s="1"/>
  <c r="B34" i="22"/>
  <c r="AD34" i="22" s="1"/>
  <c r="B43" i="22"/>
  <c r="B57" i="22"/>
  <c r="B63" i="22"/>
  <c r="A144" i="9"/>
  <c r="AS11" i="3"/>
  <c r="AO14" i="3"/>
  <c r="N17" i="13" s="1"/>
  <c r="AO12" i="3"/>
  <c r="N15" i="13" s="1"/>
  <c r="K36" i="24"/>
  <c r="K52" i="24"/>
  <c r="AT56" i="3"/>
  <c r="AP98" i="3"/>
  <c r="AR98" i="3" s="1"/>
  <c r="AT98" i="3"/>
  <c r="AT146" i="3"/>
  <c r="AP146" i="3" s="1"/>
  <c r="AR146" i="3" s="1"/>
  <c r="AT194" i="3"/>
  <c r="AP194" i="3" s="1"/>
  <c r="AR194" i="3" s="1"/>
  <c r="AP250" i="3"/>
  <c r="AR250" i="3" s="1"/>
  <c r="AT250" i="3"/>
  <c r="AP290" i="3"/>
  <c r="AR290" i="3" s="1"/>
  <c r="AT290" i="3"/>
  <c r="O338" i="5"/>
  <c r="O386" i="5"/>
  <c r="AT33" i="3"/>
  <c r="AT41" i="3"/>
  <c r="AT49" i="3"/>
  <c r="AT57" i="3"/>
  <c r="AT81" i="3"/>
  <c r="AT91" i="3"/>
  <c r="AP99" i="3"/>
  <c r="AR99" i="3" s="1"/>
  <c r="AT99" i="3"/>
  <c r="AT107" i="3"/>
  <c r="AP107" i="3" s="1"/>
  <c r="AR107" i="3" s="1"/>
  <c r="AP115" i="3"/>
  <c r="AR115" i="3" s="1"/>
  <c r="AT115" i="3"/>
  <c r="AT131" i="3"/>
  <c r="AP131" i="3" s="1"/>
  <c r="AR131" i="3" s="1"/>
  <c r="AT139" i="3"/>
  <c r="AP139" i="3" s="1"/>
  <c r="AR139" i="3" s="1"/>
  <c r="AT147" i="3"/>
  <c r="AP147" i="3" s="1"/>
  <c r="AR147" i="3" s="1"/>
  <c r="AT155" i="3"/>
  <c r="AP155" i="3" s="1"/>
  <c r="AR155" i="3" s="1"/>
  <c r="AP163" i="3"/>
  <c r="AR163" i="3" s="1"/>
  <c r="AT163" i="3"/>
  <c r="AT171" i="3"/>
  <c r="AP171" i="3" s="1"/>
  <c r="AR171" i="3" s="1"/>
  <c r="AT179" i="3"/>
  <c r="AP179" i="3" s="1"/>
  <c r="AR179" i="3" s="1"/>
  <c r="AT187" i="3"/>
  <c r="AP187" i="3" s="1"/>
  <c r="AR187" i="3" s="1"/>
  <c r="AP195" i="3"/>
  <c r="AR195" i="3" s="1"/>
  <c r="AT195" i="3"/>
  <c r="AP203" i="3"/>
  <c r="AR203" i="3" s="1"/>
  <c r="AT203" i="3"/>
  <c r="AP211" i="3"/>
  <c r="AR211" i="3" s="1"/>
  <c r="AT211" i="3"/>
  <c r="AP219" i="3"/>
  <c r="AR219" i="3" s="1"/>
  <c r="AT219" i="3"/>
  <c r="AP227" i="3"/>
  <c r="AR227" i="3" s="1"/>
  <c r="AT227" i="3"/>
  <c r="AP235" i="3"/>
  <c r="AR235" i="3" s="1"/>
  <c r="AT235" i="3"/>
  <c r="AP243" i="3"/>
  <c r="AR243" i="3" s="1"/>
  <c r="AT243" i="3"/>
  <c r="AP251" i="3"/>
  <c r="AR251" i="3" s="1"/>
  <c r="AT251" i="3"/>
  <c r="AP259" i="3"/>
  <c r="AR259" i="3" s="1"/>
  <c r="AT259" i="3"/>
  <c r="AP267" i="3"/>
  <c r="AR267" i="3" s="1"/>
  <c r="AT267" i="3"/>
  <c r="AP275" i="3"/>
  <c r="AR275" i="3" s="1"/>
  <c r="AT275" i="3"/>
  <c r="AP283" i="3"/>
  <c r="AR283" i="3" s="1"/>
  <c r="AT283" i="3"/>
  <c r="AP291" i="3"/>
  <c r="AR291" i="3" s="1"/>
  <c r="AT291" i="3"/>
  <c r="AP299" i="3"/>
  <c r="AR299" i="3" s="1"/>
  <c r="AT299" i="3"/>
  <c r="AP307" i="3"/>
  <c r="AR307" i="3" s="1"/>
  <c r="AT307" i="3"/>
  <c r="O331" i="5"/>
  <c r="O339" i="5"/>
  <c r="O347" i="5"/>
  <c r="O371" i="5"/>
  <c r="O379" i="5"/>
  <c r="O387" i="5"/>
  <c r="O395" i="5"/>
  <c r="O404" i="5"/>
  <c r="AT138" i="3"/>
  <c r="AP138" i="3" s="1"/>
  <c r="AR138" i="3" s="1"/>
  <c r="AT178" i="3"/>
  <c r="AP178" i="3" s="1"/>
  <c r="AR178" i="3" s="1"/>
  <c r="AP218" i="3"/>
  <c r="AR218" i="3" s="1"/>
  <c r="AT218" i="3"/>
  <c r="AP258" i="3"/>
  <c r="AR258" i="3" s="1"/>
  <c r="AT258" i="3"/>
  <c r="O322" i="5"/>
  <c r="AT42" i="3"/>
  <c r="AT50" i="3"/>
  <c r="AT58" i="3"/>
  <c r="AT82" i="3"/>
  <c r="AT92" i="3"/>
  <c r="AT100" i="3"/>
  <c r="AP100" i="3" s="1"/>
  <c r="AR100" i="3" s="1"/>
  <c r="AT108" i="3"/>
  <c r="AP108" i="3" s="1"/>
  <c r="AR108" i="3" s="1"/>
  <c r="AT116" i="3"/>
  <c r="AP116" i="3" s="1"/>
  <c r="AR116" i="3" s="1"/>
  <c r="AT124" i="3"/>
  <c r="AP124" i="3" s="1"/>
  <c r="AR124" i="3" s="1"/>
  <c r="AP132" i="3"/>
  <c r="AR132" i="3" s="1"/>
  <c r="AT132" i="3"/>
  <c r="AT140" i="3"/>
  <c r="AP140" i="3" s="1"/>
  <c r="AR140" i="3" s="1"/>
  <c r="AT148" i="3"/>
  <c r="AP148" i="3" s="1"/>
  <c r="AR148" i="3" s="1"/>
  <c r="AT156" i="3"/>
  <c r="AP156" i="3" s="1"/>
  <c r="AR156" i="3" s="1"/>
  <c r="AT164" i="3"/>
  <c r="AP164" i="3" s="1"/>
  <c r="AR164" i="3" s="1"/>
  <c r="AT172" i="3"/>
  <c r="AP172" i="3" s="1"/>
  <c r="AR172" i="3" s="1"/>
  <c r="AT180" i="3"/>
  <c r="AP180" i="3" s="1"/>
  <c r="AR180" i="3" s="1"/>
  <c r="AT188" i="3"/>
  <c r="AP188" i="3" s="1"/>
  <c r="AR188" i="3" s="1"/>
  <c r="AP196" i="3"/>
  <c r="AR196" i="3" s="1"/>
  <c r="AT196" i="3"/>
  <c r="AP204" i="3"/>
  <c r="AR204" i="3" s="1"/>
  <c r="AT204" i="3"/>
  <c r="AP212" i="3"/>
  <c r="AR212" i="3" s="1"/>
  <c r="AT212" i="3"/>
  <c r="AP220" i="3"/>
  <c r="AR220" i="3" s="1"/>
  <c r="AT220" i="3"/>
  <c r="AP228" i="3"/>
  <c r="AR228" i="3" s="1"/>
  <c r="AT228" i="3"/>
  <c r="AP236" i="3"/>
  <c r="AR236" i="3" s="1"/>
  <c r="AT236" i="3"/>
  <c r="AP244" i="3"/>
  <c r="AR244" i="3" s="1"/>
  <c r="AT244" i="3"/>
  <c r="AP252" i="3"/>
  <c r="AR252" i="3" s="1"/>
  <c r="AT252" i="3"/>
  <c r="AP260" i="3"/>
  <c r="AR260" i="3" s="1"/>
  <c r="AT260" i="3"/>
  <c r="AP268" i="3"/>
  <c r="AR268" i="3" s="1"/>
  <c r="AT268" i="3"/>
  <c r="AP276" i="3"/>
  <c r="AR276" i="3" s="1"/>
  <c r="AT276" i="3"/>
  <c r="AP284" i="3"/>
  <c r="AR284" i="3" s="1"/>
  <c r="AT284" i="3"/>
  <c r="AP292" i="3"/>
  <c r="AR292" i="3" s="1"/>
  <c r="AT292" i="3"/>
  <c r="AP300" i="3"/>
  <c r="AR300" i="3" s="1"/>
  <c r="AT300" i="3"/>
  <c r="AP308" i="3"/>
  <c r="AR308" i="3" s="1"/>
  <c r="AT308" i="3"/>
  <c r="O324" i="5"/>
  <c r="O332" i="5"/>
  <c r="O340" i="5"/>
  <c r="O356" i="5"/>
  <c r="O364" i="5"/>
  <c r="O372" i="5"/>
  <c r="O405" i="5"/>
  <c r="AT106" i="3"/>
  <c r="AP106" i="3" s="1"/>
  <c r="AR106" i="3" s="1"/>
  <c r="AP282" i="3"/>
  <c r="AR282" i="3" s="1"/>
  <c r="AT282" i="3"/>
  <c r="O378" i="5"/>
  <c r="AT43" i="3"/>
  <c r="AT51" i="3"/>
  <c r="AT59" i="3"/>
  <c r="AT85" i="3"/>
  <c r="AP93" i="3"/>
  <c r="AR93" i="3" s="1"/>
  <c r="AT93" i="3"/>
  <c r="AT101" i="3"/>
  <c r="AP101" i="3" s="1"/>
  <c r="AR101" i="3" s="1"/>
  <c r="AT109" i="3"/>
  <c r="AP109" i="3" s="1"/>
  <c r="AR109" i="3" s="1"/>
  <c r="AP117" i="3"/>
  <c r="AR117" i="3" s="1"/>
  <c r="AT117" i="3"/>
  <c r="AT125" i="3"/>
  <c r="AP125" i="3" s="1"/>
  <c r="AR125" i="3" s="1"/>
  <c r="AP133" i="3"/>
  <c r="AR133" i="3" s="1"/>
  <c r="AT133" i="3"/>
  <c r="AT141" i="3"/>
  <c r="AP141" i="3" s="1"/>
  <c r="AR141" i="3" s="1"/>
  <c r="AT149" i="3"/>
  <c r="AP149" i="3" s="1"/>
  <c r="AR149" i="3" s="1"/>
  <c r="AT157" i="3"/>
  <c r="AP157" i="3" s="1"/>
  <c r="AR157" i="3" s="1"/>
  <c r="AT165" i="3"/>
  <c r="AP165" i="3" s="1"/>
  <c r="AR165" i="3" s="1"/>
  <c r="AP173" i="3"/>
  <c r="AR173" i="3" s="1"/>
  <c r="AT173" i="3"/>
  <c r="AT181" i="3"/>
  <c r="AP181" i="3" s="1"/>
  <c r="AR181" i="3" s="1"/>
  <c r="AP189" i="3"/>
  <c r="AR189" i="3" s="1"/>
  <c r="AT189" i="3"/>
  <c r="AT197" i="3"/>
  <c r="AP197" i="3" s="1"/>
  <c r="AR197" i="3" s="1"/>
  <c r="AP205" i="3"/>
  <c r="AR205" i="3" s="1"/>
  <c r="AT205" i="3"/>
  <c r="AP213" i="3"/>
  <c r="AR213" i="3" s="1"/>
  <c r="AT213" i="3"/>
  <c r="AP221" i="3"/>
  <c r="AR221" i="3" s="1"/>
  <c r="AT221" i="3"/>
  <c r="AP229" i="3"/>
  <c r="AR229" i="3" s="1"/>
  <c r="AT229" i="3"/>
  <c r="AP237" i="3"/>
  <c r="AR237" i="3" s="1"/>
  <c r="AT237" i="3"/>
  <c r="AP245" i="3"/>
  <c r="AR245" i="3" s="1"/>
  <c r="AT245" i="3"/>
  <c r="AP253" i="3"/>
  <c r="AR253" i="3" s="1"/>
  <c r="AT253" i="3"/>
  <c r="AP261" i="3"/>
  <c r="AR261" i="3" s="1"/>
  <c r="AT261" i="3"/>
  <c r="AP269" i="3"/>
  <c r="AR269" i="3" s="1"/>
  <c r="AT269" i="3"/>
  <c r="AP277" i="3"/>
  <c r="AR277" i="3" s="1"/>
  <c r="AT277" i="3"/>
  <c r="AP285" i="3"/>
  <c r="AR285" i="3" s="1"/>
  <c r="AT285" i="3"/>
  <c r="AT293" i="3"/>
  <c r="AP301" i="3"/>
  <c r="AR301" i="3" s="1"/>
  <c r="AT301" i="3"/>
  <c r="O309" i="5"/>
  <c r="O317" i="5"/>
  <c r="O341" i="5"/>
  <c r="O373" i="5"/>
  <c r="O381" i="5"/>
  <c r="O389" i="5"/>
  <c r="AP154" i="3"/>
  <c r="AR154" i="3" s="1"/>
  <c r="AT154" i="3"/>
  <c r="AP234" i="3"/>
  <c r="AR234" i="3" s="1"/>
  <c r="AT234" i="3"/>
  <c r="AP306" i="3"/>
  <c r="AR306" i="3" s="1"/>
  <c r="AT306" i="3"/>
  <c r="AT44" i="3"/>
  <c r="AT52" i="3"/>
  <c r="AT60" i="3"/>
  <c r="AT86" i="3"/>
  <c r="AT94" i="3"/>
  <c r="AP94" i="3" s="1"/>
  <c r="AR94" i="3" s="1"/>
  <c r="AT102" i="3"/>
  <c r="AP102" i="3" s="1"/>
  <c r="AR102" i="3" s="1"/>
  <c r="AT110" i="3"/>
  <c r="AP110" i="3" s="1"/>
  <c r="AR110" i="3" s="1"/>
  <c r="AT118" i="3"/>
  <c r="AP118" i="3" s="1"/>
  <c r="AR118" i="3" s="1"/>
  <c r="AP126" i="3"/>
  <c r="AR126" i="3" s="1"/>
  <c r="AT126" i="3"/>
  <c r="AT134" i="3"/>
  <c r="AP134" i="3" s="1"/>
  <c r="AR134" i="3" s="1"/>
  <c r="AT142" i="3"/>
  <c r="AP142" i="3" s="1"/>
  <c r="AR142" i="3" s="1"/>
  <c r="AP150" i="3"/>
  <c r="AR150" i="3" s="1"/>
  <c r="AT150" i="3"/>
  <c r="AP158" i="3"/>
  <c r="AR158" i="3" s="1"/>
  <c r="AT158" i="3"/>
  <c r="AT166" i="3"/>
  <c r="AP166" i="3" s="1"/>
  <c r="AR166" i="3" s="1"/>
  <c r="AT174" i="3"/>
  <c r="AP174" i="3" s="1"/>
  <c r="AR174" i="3" s="1"/>
  <c r="AT182" i="3"/>
  <c r="AP182" i="3" s="1"/>
  <c r="AR182" i="3" s="1"/>
  <c r="AP190" i="3"/>
  <c r="AR190" i="3" s="1"/>
  <c r="AT190" i="3"/>
  <c r="AT198" i="3"/>
  <c r="AP198" i="3" s="1"/>
  <c r="AR198" i="3" s="1"/>
  <c r="AP206" i="3"/>
  <c r="AR206" i="3" s="1"/>
  <c r="AT206" i="3"/>
  <c r="AP214" i="3"/>
  <c r="AR214" i="3" s="1"/>
  <c r="AT214" i="3"/>
  <c r="AP222" i="3"/>
  <c r="AR222" i="3" s="1"/>
  <c r="AT222" i="3"/>
  <c r="AP230" i="3"/>
  <c r="AR230" i="3" s="1"/>
  <c r="AT230" i="3"/>
  <c r="AP238" i="3"/>
  <c r="AR238" i="3" s="1"/>
  <c r="AT238" i="3"/>
  <c r="AP246" i="3"/>
  <c r="AR246" i="3" s="1"/>
  <c r="AT246" i="3"/>
  <c r="AP254" i="3"/>
  <c r="AR254" i="3" s="1"/>
  <c r="AT254" i="3"/>
  <c r="AP262" i="3"/>
  <c r="AR262" i="3" s="1"/>
  <c r="AT262" i="3"/>
  <c r="AP270" i="3"/>
  <c r="AR270" i="3" s="1"/>
  <c r="AT270" i="3"/>
  <c r="AP278" i="3"/>
  <c r="AR278" i="3" s="1"/>
  <c r="AT278" i="3"/>
  <c r="AP286" i="3"/>
  <c r="AR286" i="3" s="1"/>
  <c r="AT286" i="3"/>
  <c r="AP294" i="3"/>
  <c r="AR294" i="3" s="1"/>
  <c r="AT294" i="3"/>
  <c r="AP302" i="3"/>
  <c r="AR302" i="3" s="1"/>
  <c r="AT302" i="3"/>
  <c r="O342" i="5"/>
  <c r="O358" i="5"/>
  <c r="O366" i="5"/>
  <c r="O382" i="5"/>
  <c r="O399" i="5"/>
  <c r="AT114" i="3"/>
  <c r="AP114" i="3" s="1"/>
  <c r="AR114" i="3" s="1"/>
  <c r="AP162" i="3"/>
  <c r="AR162" i="3" s="1"/>
  <c r="AT162" i="3"/>
  <c r="AP202" i="3"/>
  <c r="AR202" i="3" s="1"/>
  <c r="AT202" i="3"/>
  <c r="AP242" i="3"/>
  <c r="AR242" i="3" s="1"/>
  <c r="AT242" i="3"/>
  <c r="AP298" i="3"/>
  <c r="AR298" i="3" s="1"/>
  <c r="AT298" i="3"/>
  <c r="O403" i="5"/>
  <c r="AT45" i="3"/>
  <c r="AT53" i="3"/>
  <c r="AT61" i="3"/>
  <c r="AT87" i="3"/>
  <c r="AT95" i="3"/>
  <c r="AP95" i="3" s="1"/>
  <c r="AR95" i="3" s="1"/>
  <c r="AT111" i="3"/>
  <c r="AP111" i="3" s="1"/>
  <c r="AR111" i="3" s="1"/>
  <c r="AT127" i="3"/>
  <c r="AP127" i="3" s="1"/>
  <c r="AR127" i="3" s="1"/>
  <c r="AT135" i="3"/>
  <c r="AP135" i="3" s="1"/>
  <c r="AR135" i="3" s="1"/>
  <c r="AT143" i="3"/>
  <c r="AP143" i="3" s="1"/>
  <c r="AR143" i="3" s="1"/>
  <c r="AP151" i="3"/>
  <c r="AR151" i="3" s="1"/>
  <c r="AT151" i="3"/>
  <c r="AP159" i="3"/>
  <c r="AR159" i="3" s="1"/>
  <c r="AT159" i="3"/>
  <c r="AT167" i="3"/>
  <c r="AP167" i="3" s="1"/>
  <c r="AR167" i="3" s="1"/>
  <c r="AT175" i="3"/>
  <c r="AP175" i="3" s="1"/>
  <c r="AR175" i="3" s="1"/>
  <c r="AT183" i="3"/>
  <c r="AP183" i="3" s="1"/>
  <c r="AR183" i="3" s="1"/>
  <c r="AT191" i="3"/>
  <c r="AP191" i="3" s="1"/>
  <c r="AR191" i="3" s="1"/>
  <c r="AT199" i="3"/>
  <c r="AP199" i="3" s="1"/>
  <c r="AR199" i="3" s="1"/>
  <c r="AP207" i="3"/>
  <c r="AR207" i="3" s="1"/>
  <c r="AT207" i="3"/>
  <c r="AP215" i="3"/>
  <c r="AR215" i="3" s="1"/>
  <c r="AT215" i="3"/>
  <c r="AP223" i="3"/>
  <c r="AR223" i="3" s="1"/>
  <c r="AT223" i="3"/>
  <c r="AP231" i="3"/>
  <c r="AR231" i="3" s="1"/>
  <c r="AT231" i="3"/>
  <c r="AP239" i="3"/>
  <c r="AR239" i="3" s="1"/>
  <c r="AT239" i="3"/>
  <c r="AP247" i="3"/>
  <c r="AR247" i="3" s="1"/>
  <c r="AT247" i="3"/>
  <c r="AP255" i="3"/>
  <c r="AR255" i="3" s="1"/>
  <c r="AT255" i="3"/>
  <c r="AP263" i="3"/>
  <c r="AR263" i="3" s="1"/>
  <c r="AT263" i="3"/>
  <c r="AP271" i="3"/>
  <c r="AR271" i="3" s="1"/>
  <c r="AT271" i="3"/>
  <c r="AP279" i="3"/>
  <c r="AR279" i="3" s="1"/>
  <c r="AT279" i="3"/>
  <c r="AP287" i="3"/>
  <c r="AR287" i="3" s="1"/>
  <c r="AT287" i="3"/>
  <c r="AP295" i="3"/>
  <c r="AR295" i="3" s="1"/>
  <c r="AT295" i="3"/>
  <c r="AP303" i="3"/>
  <c r="AR303" i="3" s="1"/>
  <c r="AT303" i="3"/>
  <c r="O303" i="5" s="1"/>
  <c r="O311" i="5"/>
  <c r="O327" i="5"/>
  <c r="O343" i="5"/>
  <c r="O367" i="5"/>
  <c r="O375" i="5"/>
  <c r="O408" i="5"/>
  <c r="AT84" i="3"/>
  <c r="AT48" i="3"/>
  <c r="AT90" i="3"/>
  <c r="AT130" i="3"/>
  <c r="AP130" i="3" s="1"/>
  <c r="AR130" i="3" s="1"/>
  <c r="AT170" i="3"/>
  <c r="AP170" i="3" s="1"/>
  <c r="AR170" i="3" s="1"/>
  <c r="AP210" i="3"/>
  <c r="AR210" i="3" s="1"/>
  <c r="AT210" i="3"/>
  <c r="AP266" i="3"/>
  <c r="AR266" i="3" s="1"/>
  <c r="AT266" i="3"/>
  <c r="O314" i="5"/>
  <c r="O370" i="5"/>
  <c r="AT83" i="3"/>
  <c r="AT38" i="3"/>
  <c r="AT46" i="3"/>
  <c r="AT54" i="3"/>
  <c r="AT62" i="3"/>
  <c r="AT88" i="3"/>
  <c r="AT96" i="3"/>
  <c r="AP96" i="3" s="1"/>
  <c r="AR96" i="3" s="1"/>
  <c r="AT104" i="3"/>
  <c r="AP104" i="3" s="1"/>
  <c r="AR104" i="3" s="1"/>
  <c r="AT112" i="3"/>
  <c r="AP112" i="3" s="1"/>
  <c r="AR112" i="3" s="1"/>
  <c r="AT120" i="3"/>
  <c r="AP120" i="3" s="1"/>
  <c r="AR120" i="3" s="1"/>
  <c r="AT128" i="3"/>
  <c r="AP128" i="3" s="1"/>
  <c r="AR128" i="3" s="1"/>
  <c r="AT136" i="3"/>
  <c r="AP136" i="3" s="1"/>
  <c r="AR136" i="3" s="1"/>
  <c r="AT144" i="3"/>
  <c r="AP144" i="3" s="1"/>
  <c r="AR144" i="3" s="1"/>
  <c r="AT152" i="3"/>
  <c r="AP152" i="3" s="1"/>
  <c r="AR152" i="3" s="1"/>
  <c r="AT160" i="3"/>
  <c r="AP160" i="3" s="1"/>
  <c r="AR160" i="3" s="1"/>
  <c r="AT168" i="3"/>
  <c r="AP168" i="3" s="1"/>
  <c r="AR168" i="3" s="1"/>
  <c r="AT176" i="3"/>
  <c r="AP176" i="3" s="1"/>
  <c r="AR176" i="3" s="1"/>
  <c r="AT184" i="3"/>
  <c r="AP184" i="3" s="1"/>
  <c r="AR184" i="3" s="1"/>
  <c r="AP192" i="3"/>
  <c r="AR192" i="3" s="1"/>
  <c r="AT192" i="3"/>
  <c r="AT200" i="3"/>
  <c r="AP200" i="3" s="1"/>
  <c r="AR200" i="3" s="1"/>
  <c r="AP208" i="3"/>
  <c r="AR208" i="3" s="1"/>
  <c r="AT208" i="3"/>
  <c r="AP216" i="3"/>
  <c r="AR216" i="3" s="1"/>
  <c r="AT216" i="3"/>
  <c r="AP224" i="3"/>
  <c r="AR224" i="3" s="1"/>
  <c r="AT224" i="3"/>
  <c r="AP232" i="3"/>
  <c r="AR232" i="3" s="1"/>
  <c r="AT232" i="3"/>
  <c r="AP240" i="3"/>
  <c r="AR240" i="3" s="1"/>
  <c r="AT240" i="3"/>
  <c r="AP248" i="3"/>
  <c r="AR248" i="3" s="1"/>
  <c r="AT248" i="3"/>
  <c r="AP256" i="3"/>
  <c r="AR256" i="3" s="1"/>
  <c r="AT256" i="3"/>
  <c r="AP264" i="3"/>
  <c r="AR264" i="3" s="1"/>
  <c r="AT264" i="3"/>
  <c r="AP272" i="3"/>
  <c r="AR272" i="3" s="1"/>
  <c r="AT272" i="3"/>
  <c r="AP280" i="3"/>
  <c r="AR280" i="3" s="1"/>
  <c r="AT280" i="3"/>
  <c r="AP288" i="3"/>
  <c r="AR288" i="3" s="1"/>
  <c r="AT288" i="3"/>
  <c r="AP296" i="3"/>
  <c r="AR296" i="3" s="1"/>
  <c r="AT296" i="3"/>
  <c r="AP304" i="3"/>
  <c r="AR304" i="3" s="1"/>
  <c r="AT304" i="3"/>
  <c r="O320" i="5"/>
  <c r="O328" i="5"/>
  <c r="O336" i="5"/>
  <c r="O352" i="5"/>
  <c r="O368" i="5"/>
  <c r="O384" i="5"/>
  <c r="O401" i="5"/>
  <c r="AP186" i="3"/>
  <c r="AR186" i="3" s="1"/>
  <c r="AT186" i="3"/>
  <c r="AP274" i="3"/>
  <c r="AR274" i="3" s="1"/>
  <c r="AT274" i="3"/>
  <c r="AT39" i="3"/>
  <c r="AT47" i="3"/>
  <c r="AT55" i="3"/>
  <c r="AT63" i="3"/>
  <c r="AT89" i="3"/>
  <c r="AT97" i="3"/>
  <c r="AP97" i="3" s="1"/>
  <c r="AR97" i="3" s="1"/>
  <c r="AT105" i="3"/>
  <c r="AP105" i="3" s="1"/>
  <c r="AR105" i="3" s="1"/>
  <c r="AT113" i="3"/>
  <c r="AP113" i="3" s="1"/>
  <c r="AR113" i="3" s="1"/>
  <c r="AT121" i="3"/>
  <c r="AP121" i="3" s="1"/>
  <c r="AR121" i="3" s="1"/>
  <c r="AT129" i="3"/>
  <c r="AP129" i="3" s="1"/>
  <c r="AR129" i="3" s="1"/>
  <c r="AP137" i="3"/>
  <c r="AR137" i="3" s="1"/>
  <c r="AT137" i="3"/>
  <c r="AP145" i="3"/>
  <c r="AR145" i="3" s="1"/>
  <c r="AT145" i="3"/>
  <c r="AT153" i="3"/>
  <c r="AP153" i="3" s="1"/>
  <c r="AR153" i="3" s="1"/>
  <c r="AT161" i="3"/>
  <c r="AP161" i="3" s="1"/>
  <c r="AR161" i="3" s="1"/>
  <c r="AT169" i="3"/>
  <c r="AP169" i="3" s="1"/>
  <c r="AR169" i="3" s="1"/>
  <c r="AT177" i="3"/>
  <c r="AP177" i="3" s="1"/>
  <c r="AR177" i="3" s="1"/>
  <c r="AP185" i="3"/>
  <c r="AR185" i="3" s="1"/>
  <c r="AT185" i="3"/>
  <c r="AP193" i="3"/>
  <c r="AR193" i="3" s="1"/>
  <c r="AT193" i="3"/>
  <c r="AT201" i="3"/>
  <c r="AP201" i="3" s="1"/>
  <c r="AR201" i="3" s="1"/>
  <c r="AP209" i="3"/>
  <c r="AR209" i="3" s="1"/>
  <c r="AT209" i="3"/>
  <c r="AP217" i="3"/>
  <c r="AR217" i="3" s="1"/>
  <c r="AT217" i="3"/>
  <c r="AP225" i="3"/>
  <c r="AR225" i="3" s="1"/>
  <c r="AT225" i="3"/>
  <c r="AP241" i="3"/>
  <c r="AR241" i="3" s="1"/>
  <c r="AT241" i="3"/>
  <c r="AP249" i="3"/>
  <c r="AR249" i="3" s="1"/>
  <c r="AT249" i="3"/>
  <c r="AP257" i="3"/>
  <c r="AR257" i="3" s="1"/>
  <c r="AT257" i="3"/>
  <c r="AP265" i="3"/>
  <c r="AR265" i="3" s="1"/>
  <c r="AT265" i="3"/>
  <c r="AP273" i="3"/>
  <c r="AR273" i="3" s="1"/>
  <c r="AT273" i="3"/>
  <c r="AP281" i="3"/>
  <c r="AR281" i="3" s="1"/>
  <c r="AT281" i="3"/>
  <c r="AP289" i="3"/>
  <c r="AR289" i="3" s="1"/>
  <c r="AT289" i="3"/>
  <c r="AP297" i="3"/>
  <c r="AR297" i="3" s="1"/>
  <c r="AT297" i="3"/>
  <c r="AP305" i="3"/>
  <c r="AR305" i="3" s="1"/>
  <c r="AT305" i="3"/>
  <c r="O337" i="5"/>
  <c r="O369" i="5"/>
  <c r="O377" i="5"/>
  <c r="AS10" i="3"/>
  <c r="AS9" i="3"/>
  <c r="Z26" i="7"/>
  <c r="Z31" i="7"/>
  <c r="K17" i="24"/>
  <c r="Z49" i="7"/>
  <c r="AA47" i="7"/>
  <c r="AA46" i="7"/>
  <c r="AA32" i="7"/>
  <c r="DN181" i="3"/>
  <c r="AL57" i="3"/>
  <c r="AL69" i="3"/>
  <c r="AL85" i="3"/>
  <c r="AL93" i="3"/>
  <c r="AL101" i="3"/>
  <c r="AL125" i="3"/>
  <c r="AL133" i="3"/>
  <c r="AL63" i="3"/>
  <c r="AL61" i="3"/>
  <c r="AL81" i="3"/>
  <c r="AL97" i="3"/>
  <c r="AL55" i="3"/>
  <c r="AL50" i="3"/>
  <c r="AL89" i="3"/>
  <c r="AL113" i="3"/>
  <c r="AL137" i="3"/>
  <c r="AL153" i="3"/>
  <c r="AL193" i="3"/>
  <c r="AL209" i="3"/>
  <c r="AL105" i="3"/>
  <c r="AL129" i="3"/>
  <c r="AL145" i="3"/>
  <c r="AP201" i="5"/>
  <c r="AU201" i="5" s="1"/>
  <c r="AL71" i="3"/>
  <c r="AL79" i="3"/>
  <c r="AL87" i="3"/>
  <c r="AL95" i="3"/>
  <c r="AL103" i="3"/>
  <c r="AL111" i="3"/>
  <c r="AL127" i="3"/>
  <c r="AL135" i="3"/>
  <c r="AL143" i="3"/>
  <c r="AL151" i="3"/>
  <c r="AL141" i="3"/>
  <c r="AL149" i="3"/>
  <c r="AL189" i="3"/>
  <c r="AL197" i="3"/>
  <c r="AL205" i="3"/>
  <c r="AL60" i="3"/>
  <c r="AL68" i="3"/>
  <c r="AL84" i="3"/>
  <c r="AL92" i="3"/>
  <c r="AL100" i="3"/>
  <c r="AL108" i="3"/>
  <c r="AL132" i="3"/>
  <c r="AL140" i="3"/>
  <c r="AL148" i="3"/>
  <c r="AL188" i="3"/>
  <c r="AL196" i="3"/>
  <c r="AL204" i="3"/>
  <c r="BI242" i="5"/>
  <c r="BI298" i="5"/>
  <c r="BI330" i="5"/>
  <c r="AL51" i="3"/>
  <c r="AL59" i="3"/>
  <c r="AL67" i="3"/>
  <c r="AL91" i="3"/>
  <c r="AL99" i="3"/>
  <c r="AL107" i="3"/>
  <c r="AL131" i="3"/>
  <c r="AL139" i="3"/>
  <c r="AL147" i="3"/>
  <c r="AL187" i="3"/>
  <c r="AL195" i="3"/>
  <c r="AL211" i="3"/>
  <c r="BI233" i="5"/>
  <c r="AP25" i="5"/>
  <c r="AU25" i="5" s="1"/>
  <c r="AL58" i="3"/>
  <c r="AL90" i="3"/>
  <c r="AL98" i="3"/>
  <c r="AL106" i="3"/>
  <c r="AL130" i="3"/>
  <c r="AL138" i="3"/>
  <c r="AL146" i="3"/>
  <c r="AL154" i="3"/>
  <c r="AL194" i="3"/>
  <c r="AL210" i="3"/>
  <c r="AP24" i="5"/>
  <c r="AU24" i="5" s="1"/>
  <c r="AL56" i="3"/>
  <c r="AL80" i="3"/>
  <c r="AL88" i="3"/>
  <c r="AL96" i="3"/>
  <c r="AL104" i="3"/>
  <c r="AL112" i="3"/>
  <c r="AL128" i="3"/>
  <c r="AL136" i="3"/>
  <c r="AL192" i="3"/>
  <c r="AL208" i="3"/>
  <c r="AL191" i="3"/>
  <c r="AL207" i="3"/>
  <c r="AL54" i="3"/>
  <c r="AL62" i="3"/>
  <c r="AL70" i="3"/>
  <c r="AL94" i="3"/>
  <c r="AL102" i="3"/>
  <c r="AL110" i="3"/>
  <c r="AL126" i="3"/>
  <c r="AL134" i="3"/>
  <c r="AL142" i="3"/>
  <c r="AL150" i="3"/>
  <c r="AL190" i="3"/>
  <c r="AL198" i="3"/>
  <c r="AL206" i="3"/>
  <c r="K20" i="24"/>
  <c r="BS300" i="3"/>
  <c r="BS304" i="3"/>
  <c r="BS305" i="3"/>
  <c r="BS284" i="3"/>
  <c r="BS288" i="3"/>
  <c r="BS274" i="3"/>
  <c r="BS282" i="3"/>
  <c r="AP293" i="3"/>
  <c r="AR293" i="3" s="1"/>
  <c r="BS273" i="3"/>
  <c r="BS289" i="3"/>
  <c r="BS277" i="3"/>
  <c r="BS270" i="3"/>
  <c r="BS278" i="3"/>
  <c r="BS297" i="3"/>
  <c r="AP386" i="5"/>
  <c r="AU386" i="5" s="1"/>
  <c r="AP387" i="5"/>
  <c r="AU387" i="5" s="1"/>
  <c r="AP355" i="5"/>
  <c r="AU355" i="5" s="1"/>
  <c r="AO286" i="3"/>
  <c r="AO290" i="3"/>
  <c r="AO294" i="3"/>
  <c r="AO298" i="3"/>
  <c r="AO302" i="3"/>
  <c r="BS302" i="3" s="1"/>
  <c r="AO306" i="3"/>
  <c r="BS306" i="3" s="1"/>
  <c r="BS285" i="3"/>
  <c r="BS293" i="3"/>
  <c r="BS301" i="3"/>
  <c r="AL284" i="3"/>
  <c r="AL285" i="3"/>
  <c r="AL286" i="3"/>
  <c r="AL306" i="3"/>
  <c r="AL307" i="3"/>
  <c r="AL308" i="3"/>
  <c r="AL287" i="3"/>
  <c r="AL288" i="3"/>
  <c r="AL289" i="3"/>
  <c r="AL290" i="3"/>
  <c r="AO287" i="3"/>
  <c r="AO291" i="3"/>
  <c r="BS291" i="3" s="1"/>
  <c r="AO295" i="3"/>
  <c r="AO299" i="3"/>
  <c r="AO303" i="3"/>
  <c r="BS303" i="3" s="1"/>
  <c r="AO307" i="3"/>
  <c r="BS307" i="3" s="1"/>
  <c r="BS290" i="3"/>
  <c r="BS294" i="3"/>
  <c r="AL298" i="3"/>
  <c r="AL299" i="3"/>
  <c r="AL300" i="3"/>
  <c r="AL301" i="3"/>
  <c r="AL302" i="3"/>
  <c r="AL303" i="3"/>
  <c r="AL304" i="3"/>
  <c r="AL305" i="3"/>
  <c r="BS287" i="3"/>
  <c r="AP288" i="5"/>
  <c r="AU288" i="5" s="1"/>
  <c r="AL297" i="3"/>
  <c r="AL269" i="3"/>
  <c r="BS269" i="3"/>
  <c r="BS281" i="3"/>
  <c r="AL268" i="3"/>
  <c r="AL281" i="3"/>
  <c r="AL282" i="3"/>
  <c r="AL283" i="3"/>
  <c r="AO271" i="3"/>
  <c r="AO275" i="3"/>
  <c r="BS275" i="3" s="1"/>
  <c r="AO279" i="3"/>
  <c r="BS279" i="3" s="1"/>
  <c r="AO283" i="3"/>
  <c r="AL280" i="3"/>
  <c r="AO268" i="3"/>
  <c r="AO272" i="3"/>
  <c r="AO276" i="3"/>
  <c r="AO280" i="3"/>
  <c r="AL270" i="3"/>
  <c r="AL271" i="3"/>
  <c r="AL272" i="3"/>
  <c r="AL273" i="3"/>
  <c r="AL274" i="3"/>
  <c r="AL275" i="3"/>
  <c r="AL276" i="3"/>
  <c r="AL277" i="3"/>
  <c r="AL278" i="3"/>
  <c r="AL279" i="3"/>
  <c r="BS266" i="3"/>
  <c r="BS262" i="3"/>
  <c r="BS254" i="3"/>
  <c r="BS256" i="3"/>
  <c r="AO257" i="3"/>
  <c r="AO261" i="3"/>
  <c r="BS261" i="3" s="1"/>
  <c r="AO265" i="3"/>
  <c r="BS265" i="3" s="1"/>
  <c r="BS258" i="3"/>
  <c r="AL261" i="3"/>
  <c r="AL262" i="3"/>
  <c r="AL263" i="3"/>
  <c r="AL264" i="3"/>
  <c r="AL265" i="3"/>
  <c r="AL266" i="3"/>
  <c r="AL267" i="3"/>
  <c r="AO255" i="3"/>
  <c r="BS255" i="3" s="1"/>
  <c r="AO259" i="3"/>
  <c r="AO263" i="3"/>
  <c r="BS263" i="3" s="1"/>
  <c r="AO267" i="3"/>
  <c r="BS267" i="3" s="1"/>
  <c r="BS260" i="3"/>
  <c r="BS264" i="3"/>
  <c r="AL259" i="3"/>
  <c r="AL260" i="3"/>
  <c r="AL254" i="3"/>
  <c r="AL255" i="3"/>
  <c r="AL256" i="3"/>
  <c r="AL257" i="3"/>
  <c r="AL258" i="3"/>
  <c r="AL157" i="3"/>
  <c r="AL161" i="3"/>
  <c r="AL169" i="3"/>
  <c r="AL173" i="3"/>
  <c r="AL177" i="3"/>
  <c r="AL181" i="3"/>
  <c r="AL156" i="3"/>
  <c r="AL160" i="3"/>
  <c r="AL164" i="3"/>
  <c r="AL168" i="3"/>
  <c r="AL172" i="3"/>
  <c r="AL176" i="3"/>
  <c r="AL180" i="3"/>
  <c r="AL155" i="3"/>
  <c r="AL159" i="3"/>
  <c r="AL163" i="3"/>
  <c r="AL167" i="3"/>
  <c r="AL171" i="3"/>
  <c r="AL175" i="3"/>
  <c r="AL179" i="3"/>
  <c r="AL183" i="3"/>
  <c r="AL158" i="3"/>
  <c r="AL162" i="3"/>
  <c r="AL166" i="3"/>
  <c r="AL170" i="3"/>
  <c r="AL174" i="3"/>
  <c r="AL178" i="3"/>
  <c r="AL182" i="3"/>
  <c r="BS243" i="3"/>
  <c r="BS251" i="3"/>
  <c r="BS240" i="3"/>
  <c r="BS239" i="3"/>
  <c r="BS247" i="3"/>
  <c r="BS236" i="3"/>
  <c r="AO237" i="3"/>
  <c r="AO241" i="3"/>
  <c r="AO245" i="3"/>
  <c r="BS245" i="3" s="1"/>
  <c r="AO249" i="3"/>
  <c r="BS249" i="3" s="1"/>
  <c r="AO253" i="3"/>
  <c r="BS253" i="3" s="1"/>
  <c r="AL247" i="3"/>
  <c r="AL248" i="3"/>
  <c r="AL249" i="3"/>
  <c r="AL250" i="3"/>
  <c r="AL251" i="3"/>
  <c r="AL252" i="3"/>
  <c r="AL253" i="3"/>
  <c r="AO238" i="3"/>
  <c r="BS238" i="3" s="1"/>
  <c r="AO242" i="3"/>
  <c r="AO246" i="3"/>
  <c r="BS246" i="3" s="1"/>
  <c r="AO250" i="3"/>
  <c r="BS244" i="3"/>
  <c r="BS248" i="3"/>
  <c r="BS252" i="3"/>
  <c r="AL241" i="3"/>
  <c r="AL242" i="3"/>
  <c r="AL243" i="3"/>
  <c r="AL244" i="3"/>
  <c r="AL245" i="3"/>
  <c r="AL246" i="3"/>
  <c r="AL236" i="3"/>
  <c r="AL237" i="3"/>
  <c r="AL238" i="3"/>
  <c r="AL239" i="3"/>
  <c r="AL240" i="3"/>
  <c r="AP233" i="3"/>
  <c r="AR233" i="3" s="1"/>
  <c r="AO230" i="3"/>
  <c r="BS230" i="3" s="1"/>
  <c r="AO234" i="3"/>
  <c r="AO231" i="3"/>
  <c r="AO235" i="3"/>
  <c r="BS235" i="3" s="1"/>
  <c r="AL230" i="3"/>
  <c r="AL231" i="3"/>
  <c r="AL234" i="3"/>
  <c r="AL235" i="3"/>
  <c r="AO232" i="3"/>
  <c r="AO233" i="3"/>
  <c r="BS233" i="3" s="1"/>
  <c r="BS227" i="3"/>
  <c r="AP226" i="3"/>
  <c r="AR226" i="3" s="1"/>
  <c r="AL224" i="3"/>
  <c r="AO224" i="3"/>
  <c r="AO228" i="3"/>
  <c r="AO225" i="3"/>
  <c r="AO229" i="3"/>
  <c r="BS229" i="3" s="1"/>
  <c r="AL228" i="3"/>
  <c r="AL229" i="3"/>
  <c r="AO226" i="3"/>
  <c r="BS226" i="3" s="1"/>
  <c r="BS224" i="3"/>
  <c r="AL225" i="3"/>
  <c r="BS221" i="3"/>
  <c r="AO223" i="3"/>
  <c r="BS223" i="3" s="1"/>
  <c r="AO222" i="3"/>
  <c r="BS222" i="3" s="1"/>
  <c r="AO220" i="3"/>
  <c r="AO219" i="3"/>
  <c r="BS219" i="3" s="1"/>
  <c r="AO218" i="3"/>
  <c r="BS218" i="3" s="1"/>
  <c r="AP103" i="3"/>
  <c r="AR103" i="3" s="1"/>
  <c r="AL217" i="3"/>
  <c r="BS216" i="3"/>
  <c r="BS213" i="3"/>
  <c r="BS212" i="3"/>
  <c r="BS211" i="3"/>
  <c r="AO210" i="3"/>
  <c r="AO208" i="3"/>
  <c r="AO209" i="3"/>
  <c r="AO207" i="3"/>
  <c r="AO206" i="3"/>
  <c r="BS206" i="3" s="1"/>
  <c r="AO205" i="3"/>
  <c r="BS205" i="3" s="1"/>
  <c r="AO204" i="3"/>
  <c r="BS202" i="3"/>
  <c r="AO203" i="3"/>
  <c r="AP73" i="3"/>
  <c r="AR73" i="3" s="1"/>
  <c r="BS98" i="3"/>
  <c r="AP78" i="3"/>
  <c r="AR78" i="3" s="1"/>
  <c r="AO201" i="3"/>
  <c r="AQ201" i="3" s="1"/>
  <c r="AO200" i="3"/>
  <c r="AQ200" i="3" s="1"/>
  <c r="AO199" i="3"/>
  <c r="AO197" i="3"/>
  <c r="AO195" i="3"/>
  <c r="AO193" i="3"/>
  <c r="BS193" i="3" s="1"/>
  <c r="AO196" i="3"/>
  <c r="AO192" i="3"/>
  <c r="AO189" i="3"/>
  <c r="BS189" i="3" s="1"/>
  <c r="AO191" i="3"/>
  <c r="AO188" i="3"/>
  <c r="AO187" i="3"/>
  <c r="AO186" i="3"/>
  <c r="AO185" i="3"/>
  <c r="AL165" i="3"/>
  <c r="AO159" i="3"/>
  <c r="AO162" i="3"/>
  <c r="AO167" i="3"/>
  <c r="AO170" i="3"/>
  <c r="AO175" i="3"/>
  <c r="AO178" i="3"/>
  <c r="AO183" i="3"/>
  <c r="AQ183" i="3" s="1"/>
  <c r="AO161" i="3"/>
  <c r="AO169" i="3"/>
  <c r="AO177" i="3"/>
  <c r="AL184" i="3"/>
  <c r="AO158" i="3"/>
  <c r="AO163" i="3"/>
  <c r="AO166" i="3"/>
  <c r="AO171" i="3"/>
  <c r="AO174" i="3"/>
  <c r="AO179" i="3"/>
  <c r="AO182" i="3"/>
  <c r="AO157" i="3"/>
  <c r="AO165" i="3"/>
  <c r="AO173" i="3"/>
  <c r="BS173" i="3" s="1"/>
  <c r="AO181" i="3"/>
  <c r="AO155" i="3"/>
  <c r="AO153" i="3"/>
  <c r="AO152" i="3"/>
  <c r="AL152" i="3"/>
  <c r="AO149" i="3"/>
  <c r="AO150" i="3"/>
  <c r="AO148" i="3"/>
  <c r="AO147" i="3"/>
  <c r="AO146" i="3"/>
  <c r="AO145" i="3"/>
  <c r="AO144" i="3"/>
  <c r="AL144" i="3"/>
  <c r="AO142" i="3"/>
  <c r="AO139" i="3"/>
  <c r="AQ139" i="3" s="1"/>
  <c r="AO140" i="3"/>
  <c r="AO138" i="3"/>
  <c r="AO137" i="3"/>
  <c r="BS137" i="3" s="1"/>
  <c r="AO136" i="3"/>
  <c r="BS133" i="3"/>
  <c r="AO134" i="3"/>
  <c r="AO131" i="3"/>
  <c r="AO132" i="3"/>
  <c r="AO129" i="3"/>
  <c r="AO130" i="3"/>
  <c r="AO128" i="3"/>
  <c r="AO125" i="3"/>
  <c r="AO126" i="3"/>
  <c r="AP123" i="3"/>
  <c r="AR123" i="3" s="1"/>
  <c r="AP122" i="3"/>
  <c r="AR122" i="3" s="1"/>
  <c r="AO122" i="3"/>
  <c r="AP119" i="3"/>
  <c r="AR119" i="3" s="1"/>
  <c r="AO119" i="3"/>
  <c r="AO120" i="3"/>
  <c r="AQ120" i="3" s="1"/>
  <c r="AO118" i="3"/>
  <c r="AO117" i="3"/>
  <c r="BS117" i="3" s="1"/>
  <c r="AO116" i="3"/>
  <c r="AO115" i="3"/>
  <c r="BS115" i="3" s="1"/>
  <c r="AO113" i="3"/>
  <c r="AO111" i="3"/>
  <c r="AL109" i="3"/>
  <c r="AO108" i="3"/>
  <c r="AQ108" i="3" s="1"/>
  <c r="AO107" i="3"/>
  <c r="AO106" i="3"/>
  <c r="AO105" i="3"/>
  <c r="AO104" i="3"/>
  <c r="AO102" i="3"/>
  <c r="AO101" i="3"/>
  <c r="AO100" i="3"/>
  <c r="AO99" i="3"/>
  <c r="BS99" i="3" s="1"/>
  <c r="AO97" i="3"/>
  <c r="AO96" i="3"/>
  <c r="AO95" i="3"/>
  <c r="AQ95" i="3" s="1"/>
  <c r="AO93" i="3"/>
  <c r="AO92" i="3"/>
  <c r="AO91" i="3"/>
  <c r="AO90" i="3"/>
  <c r="AO87" i="3"/>
  <c r="AO88" i="3"/>
  <c r="AO86" i="3"/>
  <c r="AO85" i="3"/>
  <c r="AQ85" i="3" s="1"/>
  <c r="AL86" i="3"/>
  <c r="AO83" i="3"/>
  <c r="AO82" i="3"/>
  <c r="AO81" i="3"/>
  <c r="AL82" i="3"/>
  <c r="AO80" i="3"/>
  <c r="AO79" i="3"/>
  <c r="AP77" i="3"/>
  <c r="AR77" i="3" s="1"/>
  <c r="AO78" i="3"/>
  <c r="AO77" i="3"/>
  <c r="AP76" i="3"/>
  <c r="AR76" i="3" s="1"/>
  <c r="AO75" i="3"/>
  <c r="AO74" i="3"/>
  <c r="AQ74" i="3" s="1"/>
  <c r="AO73" i="3"/>
  <c r="AO72" i="3"/>
  <c r="AO71" i="3"/>
  <c r="AQ71" i="3" s="1"/>
  <c r="AO70" i="3"/>
  <c r="AO67" i="3"/>
  <c r="AO68" i="3"/>
  <c r="AO65" i="3"/>
  <c r="AO66" i="3"/>
  <c r="AO63" i="3"/>
  <c r="AL64" i="3"/>
  <c r="AO64" i="3"/>
  <c r="AO62" i="3"/>
  <c r="AO61" i="3"/>
  <c r="AO59" i="3"/>
  <c r="AO60" i="3"/>
  <c r="AO58" i="3"/>
  <c r="AO57" i="3"/>
  <c r="AO56" i="3"/>
  <c r="AO55" i="3"/>
  <c r="AL53" i="3"/>
  <c r="AO53" i="3"/>
  <c r="AO51" i="3"/>
  <c r="AO52" i="3"/>
  <c r="AL52" i="3"/>
  <c r="AO50" i="3"/>
  <c r="AO49" i="3"/>
  <c r="N52" i="13" s="1"/>
  <c r="AO48" i="3"/>
  <c r="N51" i="13" s="1"/>
  <c r="AO47" i="3"/>
  <c r="N50" i="13" s="1"/>
  <c r="AO46" i="3"/>
  <c r="N49" i="13" s="1"/>
  <c r="AO45" i="3"/>
  <c r="N48" i="13" s="1"/>
  <c r="AO44" i="3"/>
  <c r="N47" i="13" s="1"/>
  <c r="AO43" i="3"/>
  <c r="N46" i="13" s="1"/>
  <c r="AO42" i="3"/>
  <c r="N45" i="13" s="1"/>
  <c r="AO41" i="3"/>
  <c r="N44" i="13" s="1"/>
  <c r="AP40" i="3"/>
  <c r="O43" i="13" s="1"/>
  <c r="AO40" i="3"/>
  <c r="N43" i="13" s="1"/>
  <c r="AO39" i="3"/>
  <c r="N42" i="13" s="1"/>
  <c r="AO38" i="3"/>
  <c r="N41" i="13" s="1"/>
  <c r="AO37" i="3"/>
  <c r="N40" i="13" s="1"/>
  <c r="AO35" i="3"/>
  <c r="N38" i="13" s="1"/>
  <c r="AO36" i="3"/>
  <c r="N39" i="13" s="1"/>
  <c r="K13" i="24"/>
  <c r="K11" i="24"/>
  <c r="DN203" i="3"/>
  <c r="DN189" i="3"/>
  <c r="DN190" i="3" s="1"/>
  <c r="DN199" i="3"/>
  <c r="DN184" i="3"/>
  <c r="EJ14" i="3" s="1"/>
  <c r="Z44" i="7"/>
  <c r="A115" i="8"/>
  <c r="Z23" i="7" s="1"/>
  <c r="Z40" i="7"/>
  <c r="Z38" i="7"/>
  <c r="Z37" i="7"/>
  <c r="Z36" i="7"/>
  <c r="K40" i="24"/>
  <c r="K48" i="24"/>
  <c r="BK33" i="3"/>
  <c r="AO30" i="3"/>
  <c r="N33" i="13" s="1"/>
  <c r="BL33" i="3"/>
  <c r="AS13" i="3"/>
  <c r="AO34" i="3"/>
  <c r="N37" i="13" s="1"/>
  <c r="AO33" i="3"/>
  <c r="N36" i="13" s="1"/>
  <c r="BL9" i="3"/>
  <c r="BK9" i="3"/>
  <c r="K35" i="24"/>
  <c r="K43" i="24"/>
  <c r="K38" i="24"/>
  <c r="K46" i="24"/>
  <c r="Q323" i="20"/>
  <c r="BI213" i="5"/>
  <c r="BI220" i="5"/>
  <c r="BI292" i="5"/>
  <c r="BI293" i="5"/>
  <c r="BI395" i="5"/>
  <c r="BI407" i="5"/>
  <c r="BI364" i="5"/>
  <c r="AO15" i="3"/>
  <c r="N18" i="13" s="1"/>
  <c r="AS15" i="3"/>
  <c r="BI306" i="5"/>
  <c r="AP309" i="5"/>
  <c r="AU309" i="5" s="1"/>
  <c r="BI349" i="5"/>
  <c r="BI405" i="5"/>
  <c r="AP408" i="5"/>
  <c r="AU408" i="5" s="1"/>
  <c r="BI402" i="5"/>
  <c r="AP308" i="5"/>
  <c r="AU308" i="5" s="1"/>
  <c r="BI341" i="5"/>
  <c r="BI308" i="5"/>
  <c r="AP249" i="5"/>
  <c r="AU249" i="5" s="1"/>
  <c r="BI217" i="5"/>
  <c r="BI316" i="5"/>
  <c r="BI408" i="5"/>
  <c r="BI309" i="5"/>
  <c r="BI314" i="5"/>
  <c r="AP251" i="5"/>
  <c r="AU251" i="5" s="1"/>
  <c r="AP341" i="5"/>
  <c r="AU341" i="5" s="1"/>
  <c r="BI221" i="5"/>
  <c r="AP345" i="5"/>
  <c r="AU345" i="5" s="1"/>
  <c r="BI267" i="5"/>
  <c r="AP231" i="5"/>
  <c r="AU231" i="5" s="1"/>
  <c r="AP376" i="5"/>
  <c r="AU376" i="5" s="1"/>
  <c r="AO21" i="3"/>
  <c r="N24" i="13" s="1"/>
  <c r="BI23" i="5"/>
  <c r="BI12" i="5"/>
  <c r="AP12" i="5"/>
  <c r="AU12" i="5" s="1"/>
  <c r="BI24" i="5"/>
  <c r="AP13" i="5"/>
  <c r="AU13" i="5" s="1"/>
  <c r="AO31" i="3"/>
  <c r="N34" i="13" s="1"/>
  <c r="AO22" i="3"/>
  <c r="N25" i="13" s="1"/>
  <c r="AO32" i="3"/>
  <c r="N35" i="13" s="1"/>
  <c r="AO26" i="3"/>
  <c r="N29" i="13" s="1"/>
  <c r="AO17" i="3"/>
  <c r="N20" i="13" s="1"/>
  <c r="AP144" i="5"/>
  <c r="AU144" i="5" s="1"/>
  <c r="AP146" i="5"/>
  <c r="AU146" i="5" s="1"/>
  <c r="AP217" i="5"/>
  <c r="AU217" i="5" s="1"/>
  <c r="AP218" i="5"/>
  <c r="AU218" i="5" s="1"/>
  <c r="AP219" i="5"/>
  <c r="AU219" i="5" s="1"/>
  <c r="AP250" i="5"/>
  <c r="AU250" i="5" s="1"/>
  <c r="AP263" i="5"/>
  <c r="AU263" i="5" s="1"/>
  <c r="AP264" i="5"/>
  <c r="AU264" i="5" s="1"/>
  <c r="AP265" i="5"/>
  <c r="AU265" i="5" s="1"/>
  <c r="AP272" i="5"/>
  <c r="AU272" i="5" s="1"/>
  <c r="AP283" i="5"/>
  <c r="AU283" i="5" s="1"/>
  <c r="AP284" i="5"/>
  <c r="AU284" i="5" s="1"/>
  <c r="AP297" i="5"/>
  <c r="AU297" i="5" s="1"/>
  <c r="AP320" i="5"/>
  <c r="AU320" i="5" s="1"/>
  <c r="AP321" i="5"/>
  <c r="AU321" i="5" s="1"/>
  <c r="AP330" i="5"/>
  <c r="AU330" i="5" s="1"/>
  <c r="AP357" i="5"/>
  <c r="AU357" i="5" s="1"/>
  <c r="AP365" i="5"/>
  <c r="AU365" i="5" s="1"/>
  <c r="AP367" i="5"/>
  <c r="AU367" i="5" s="1"/>
  <c r="AP388" i="5"/>
  <c r="AU388" i="5" s="1"/>
  <c r="AP396" i="5"/>
  <c r="AU396" i="5" s="1"/>
  <c r="AP400" i="5"/>
  <c r="AU400" i="5" s="1"/>
  <c r="E323" i="20"/>
  <c r="AP61" i="5"/>
  <c r="AU61" i="5" s="1"/>
  <c r="AP20" i="5"/>
  <c r="AU20" i="5" s="1"/>
  <c r="BI28" i="5"/>
  <c r="AP22" i="5"/>
  <c r="AU22" i="5" s="1"/>
  <c r="AP16" i="5"/>
  <c r="AU16" i="5" s="1"/>
  <c r="BI20" i="5"/>
  <c r="AP28" i="5"/>
  <c r="AU28" i="5" s="1"/>
  <c r="BK27" i="5"/>
  <c r="AP173" i="5"/>
  <c r="AU173" i="5" s="1"/>
  <c r="AP178" i="5"/>
  <c r="AU178" i="5" s="1"/>
  <c r="AP202" i="5"/>
  <c r="AU202" i="5" s="1"/>
  <c r="AP205" i="5"/>
  <c r="AU205" i="5" s="1"/>
  <c r="AP170" i="5"/>
  <c r="AU170" i="5" s="1"/>
  <c r="AP232" i="5"/>
  <c r="AU232" i="5" s="1"/>
  <c r="AP233" i="5"/>
  <c r="AU233" i="5" s="1"/>
  <c r="AP273" i="5"/>
  <c r="AU273" i="5" s="1"/>
  <c r="AP307" i="5"/>
  <c r="AU307" i="5" s="1"/>
  <c r="AP333" i="5"/>
  <c r="AU333" i="5" s="1"/>
  <c r="AP344" i="5"/>
  <c r="AU344" i="5" s="1"/>
  <c r="AP349" i="5"/>
  <c r="AU349" i="5" s="1"/>
  <c r="O233" i="5"/>
  <c r="AP200" i="5"/>
  <c r="AU200" i="5" s="1"/>
  <c r="BI106" i="5"/>
  <c r="AP138" i="5"/>
  <c r="AU138" i="5" s="1"/>
  <c r="AP125" i="5"/>
  <c r="AU125" i="5" s="1"/>
  <c r="AP136" i="5"/>
  <c r="AU136" i="5" s="1"/>
  <c r="AP149" i="5"/>
  <c r="AU149" i="5" s="1"/>
  <c r="AP154" i="5"/>
  <c r="AU154" i="5" s="1"/>
  <c r="AP162" i="5"/>
  <c r="AU162" i="5" s="1"/>
  <c r="AP165" i="5"/>
  <c r="AU165" i="5" s="1"/>
  <c r="AP167" i="5"/>
  <c r="AU167" i="5" s="1"/>
  <c r="AP181" i="5"/>
  <c r="AU181" i="5" s="1"/>
  <c r="AP186" i="5"/>
  <c r="AU186" i="5" s="1"/>
  <c r="AP189" i="5"/>
  <c r="AU189" i="5" s="1"/>
  <c r="AP194" i="5"/>
  <c r="AU194" i="5" s="1"/>
  <c r="AP197" i="5"/>
  <c r="AU197" i="5" s="1"/>
  <c r="AP203" i="5"/>
  <c r="AU203" i="5" s="1"/>
  <c r="AP210" i="5"/>
  <c r="AU210" i="5" s="1"/>
  <c r="AP211" i="5"/>
  <c r="AU211" i="5" s="1"/>
  <c r="AP213" i="5"/>
  <c r="AU213" i="5" s="1"/>
  <c r="AP221" i="5"/>
  <c r="AU221" i="5" s="1"/>
  <c r="AP224" i="5"/>
  <c r="AU224" i="5" s="1"/>
  <c r="AP225" i="5"/>
  <c r="AU225" i="5" s="1"/>
  <c r="AP226" i="5"/>
  <c r="AU226" i="5" s="1"/>
  <c r="BI228" i="5"/>
  <c r="AP229" i="5"/>
  <c r="AU229" i="5" s="1"/>
  <c r="AP234" i="5"/>
  <c r="AU234" i="5" s="1"/>
  <c r="BI234" i="5"/>
  <c r="AP239" i="5"/>
  <c r="AU239" i="5" s="1"/>
  <c r="AP242" i="5"/>
  <c r="AU242" i="5" s="1"/>
  <c r="AP243" i="5"/>
  <c r="AU243" i="5" s="1"/>
  <c r="BI245" i="5"/>
  <c r="AP248" i="5"/>
  <c r="AU248" i="5" s="1"/>
  <c r="BI250" i="5"/>
  <c r="BI251" i="5"/>
  <c r="BI253" i="5"/>
  <c r="AP256" i="5"/>
  <c r="AU256" i="5" s="1"/>
  <c r="AP257" i="5"/>
  <c r="AU257" i="5" s="1"/>
  <c r="AP258" i="5"/>
  <c r="AU258" i="5" s="1"/>
  <c r="BI259" i="5"/>
  <c r="AP260" i="5"/>
  <c r="AU260" i="5" s="1"/>
  <c r="BI261" i="5"/>
  <c r="AP261" i="5"/>
  <c r="AU261" i="5" s="1"/>
  <c r="BI266" i="5"/>
  <c r="AP266" i="5"/>
  <c r="AU266" i="5" s="1"/>
  <c r="AP267" i="5"/>
  <c r="AU267" i="5" s="1"/>
  <c r="AP268" i="5"/>
  <c r="AU268" i="5" s="1"/>
  <c r="BI268" i="5"/>
  <c r="AP269" i="5"/>
  <c r="AU269" i="5" s="1"/>
  <c r="AP271" i="5"/>
  <c r="AU271" i="5" s="1"/>
  <c r="BI276" i="5"/>
  <c r="AP276" i="5"/>
  <c r="AU276" i="5" s="1"/>
  <c r="AP277" i="5"/>
  <c r="AU277" i="5" s="1"/>
  <c r="AP280" i="5"/>
  <c r="AU280" i="5" s="1"/>
  <c r="AP281" i="5"/>
  <c r="AU281" i="5" s="1"/>
  <c r="AP282" i="5"/>
  <c r="AU282" i="5" s="1"/>
  <c r="BI283" i="5"/>
  <c r="BI284" i="5"/>
  <c r="AP289" i="5"/>
  <c r="AU289" i="5" s="1"/>
  <c r="AP290" i="5"/>
  <c r="AU290" i="5" s="1"/>
  <c r="BI290" i="5"/>
  <c r="AP292" i="5"/>
  <c r="AU292" i="5" s="1"/>
  <c r="AP293" i="5"/>
  <c r="AU293" i="5" s="1"/>
  <c r="AP296" i="5"/>
  <c r="AU296" i="5" s="1"/>
  <c r="BI299" i="5"/>
  <c r="AP300" i="5"/>
  <c r="AU300" i="5" s="1"/>
  <c r="AP301" i="5"/>
  <c r="AU301" i="5" s="1"/>
  <c r="AP304" i="5"/>
  <c r="AU304" i="5" s="1"/>
  <c r="AP305" i="5"/>
  <c r="AU305" i="5" s="1"/>
  <c r="AP306" i="5"/>
  <c r="AU306" i="5" s="1"/>
  <c r="BI307" i="5"/>
  <c r="AP312" i="5"/>
  <c r="AU312" i="5" s="1"/>
  <c r="AP313" i="5"/>
  <c r="AU313" i="5" s="1"/>
  <c r="AP314" i="5"/>
  <c r="AU314" i="5" s="1"/>
  <c r="AP315" i="5"/>
  <c r="AU315" i="5" s="1"/>
  <c r="BI315" i="5"/>
  <c r="BI317" i="5"/>
  <c r="AP317" i="5"/>
  <c r="AU317" i="5" s="1"/>
  <c r="BI322" i="5"/>
  <c r="AP323" i="5"/>
  <c r="AU323" i="5" s="1"/>
  <c r="AP324" i="5"/>
  <c r="AU324" i="5" s="1"/>
  <c r="AP325" i="5"/>
  <c r="AU325" i="5" s="1"/>
  <c r="BI325" i="5"/>
  <c r="AP328" i="5"/>
  <c r="AU328" i="5" s="1"/>
  <c r="AP329" i="5"/>
  <c r="AU329" i="5" s="1"/>
  <c r="BI331" i="5"/>
  <c r="BI332" i="5"/>
  <c r="BI333" i="5"/>
  <c r="AP336" i="5"/>
  <c r="AU336" i="5" s="1"/>
  <c r="AP337" i="5"/>
  <c r="AU337" i="5" s="1"/>
  <c r="AP338" i="5"/>
  <c r="AU338" i="5" s="1"/>
  <c r="BI338" i="5"/>
  <c r="AP339" i="5"/>
  <c r="AU339" i="5" s="1"/>
  <c r="BI340" i="5"/>
  <c r="AP340" i="5"/>
  <c r="AU340" i="5" s="1"/>
  <c r="BI346" i="5"/>
  <c r="AP346" i="5"/>
  <c r="AU346" i="5" s="1"/>
  <c r="AP347" i="5"/>
  <c r="AU347" i="5" s="1"/>
  <c r="BI347" i="5"/>
  <c r="AP348" i="5"/>
  <c r="AU348" i="5" s="1"/>
  <c r="AP353" i="5"/>
  <c r="AU353" i="5" s="1"/>
  <c r="BI354" i="5"/>
  <c r="BI355" i="5"/>
  <c r="BI356" i="5"/>
  <c r="AP359" i="5"/>
  <c r="AU359" i="5" s="1"/>
  <c r="AP360" i="5"/>
  <c r="AU360" i="5" s="1"/>
  <c r="AP361" i="5"/>
  <c r="AU361" i="5" s="1"/>
  <c r="AP362" i="5"/>
  <c r="AU362" i="5" s="1"/>
  <c r="AP363" i="5"/>
  <c r="AU363" i="5" s="1"/>
  <c r="AP369" i="5"/>
  <c r="AU369" i="5" s="1"/>
  <c r="AP370" i="5"/>
  <c r="AU370" i="5" s="1"/>
  <c r="AP371" i="5"/>
  <c r="AU371" i="5" s="1"/>
  <c r="BI371" i="5"/>
  <c r="AP372" i="5"/>
  <c r="AU372" i="5" s="1"/>
  <c r="AP375" i="5"/>
  <c r="AU375" i="5" s="1"/>
  <c r="AP379" i="5"/>
  <c r="AU379" i="5" s="1"/>
  <c r="AP380" i="5"/>
  <c r="AU380" i="5" s="1"/>
  <c r="AP383" i="5"/>
  <c r="AU383" i="5" s="1"/>
  <c r="AP384" i="5"/>
  <c r="AU384" i="5" s="1"/>
  <c r="AP385" i="5"/>
  <c r="AU385" i="5" s="1"/>
  <c r="AP391" i="5"/>
  <c r="AU391" i="5" s="1"/>
  <c r="AP392" i="5"/>
  <c r="AU392" i="5" s="1"/>
  <c r="AP393" i="5"/>
  <c r="AU393" i="5" s="1"/>
  <c r="BI393" i="5"/>
  <c r="AP394" i="5"/>
  <c r="AU394" i="5" s="1"/>
  <c r="BI394" i="5"/>
  <c r="AP395" i="5"/>
  <c r="AU395" i="5" s="1"/>
  <c r="BI401" i="5"/>
  <c r="AP401" i="5"/>
  <c r="AU401" i="5" s="1"/>
  <c r="AP402" i="5"/>
  <c r="AU402" i="5" s="1"/>
  <c r="AP403" i="5"/>
  <c r="AU403" i="5" s="1"/>
  <c r="BI403" i="5"/>
  <c r="AP404" i="5"/>
  <c r="AU404" i="5" s="1"/>
  <c r="BI404" i="5"/>
  <c r="AP407" i="5"/>
  <c r="AU407" i="5" s="1"/>
  <c r="BI127" i="5"/>
  <c r="BI130" i="5"/>
  <c r="BI159" i="5"/>
  <c r="BI165" i="5"/>
  <c r="BI175" i="5"/>
  <c r="BI185" i="5"/>
  <c r="AO11" i="3"/>
  <c r="N14" i="13" s="1"/>
  <c r="BK10" i="5"/>
  <c r="BK9" i="5"/>
  <c r="BK17" i="5"/>
  <c r="BK12" i="5"/>
  <c r="AP115" i="5"/>
  <c r="AU115" i="5" s="1"/>
  <c r="AP123" i="5"/>
  <c r="AU123" i="5" s="1"/>
  <c r="AP139" i="5"/>
  <c r="AU139" i="5" s="1"/>
  <c r="AP147" i="5"/>
  <c r="AU147" i="5" s="1"/>
  <c r="AP155" i="5"/>
  <c r="AU155" i="5" s="1"/>
  <c r="AP179" i="5"/>
  <c r="AU179" i="5" s="1"/>
  <c r="AP187" i="5"/>
  <c r="AU187" i="5" s="1"/>
  <c r="AP195" i="5"/>
  <c r="AU195" i="5" s="1"/>
  <c r="AQ203" i="3"/>
  <c r="AP227" i="5"/>
  <c r="AU227" i="5" s="1"/>
  <c r="AP259" i="5"/>
  <c r="AU259" i="5" s="1"/>
  <c r="AQ267" i="3"/>
  <c r="AP275" i="5"/>
  <c r="AU275" i="5" s="1"/>
  <c r="AQ307" i="3"/>
  <c r="AP141" i="5"/>
  <c r="AU141" i="5" s="1"/>
  <c r="AP68" i="5"/>
  <c r="AU68" i="5" s="1"/>
  <c r="AP76" i="5"/>
  <c r="AU76" i="5" s="1"/>
  <c r="AP84" i="5"/>
  <c r="AU84" i="5" s="1"/>
  <c r="AP108" i="5"/>
  <c r="AU108" i="5" s="1"/>
  <c r="AP156" i="5"/>
  <c r="AU156" i="5" s="1"/>
  <c r="AP164" i="5"/>
  <c r="AU164" i="5" s="1"/>
  <c r="AQ180" i="3"/>
  <c r="AP188" i="5"/>
  <c r="AU188" i="5" s="1"/>
  <c r="AP196" i="5"/>
  <c r="AU196" i="5" s="1"/>
  <c r="AP204" i="5"/>
  <c r="AU204" i="5" s="1"/>
  <c r="AP212" i="5"/>
  <c r="AU212" i="5" s="1"/>
  <c r="AP220" i="5"/>
  <c r="AU220" i="5" s="1"/>
  <c r="AP244" i="5"/>
  <c r="AU244" i="5" s="1"/>
  <c r="AQ260" i="3"/>
  <c r="AQ268" i="3"/>
  <c r="AQ276" i="3"/>
  <c r="AQ284" i="3"/>
  <c r="AQ300" i="3"/>
  <c r="AQ308" i="3"/>
  <c r="AP316" i="5"/>
  <c r="AU316" i="5" s="1"/>
  <c r="AP332" i="5"/>
  <c r="AU332" i="5" s="1"/>
  <c r="AP356" i="5"/>
  <c r="AU356" i="5" s="1"/>
  <c r="AP14" i="5"/>
  <c r="AU14" i="5" s="1"/>
  <c r="AP93" i="5"/>
  <c r="AU93" i="5" s="1"/>
  <c r="AP101" i="5"/>
  <c r="AU101" i="5" s="1"/>
  <c r="AP133" i="5"/>
  <c r="AU133" i="5" s="1"/>
  <c r="AP157" i="5"/>
  <c r="AU157" i="5" s="1"/>
  <c r="AQ229" i="3"/>
  <c r="AP245" i="5"/>
  <c r="AU245" i="5" s="1"/>
  <c r="AP253" i="5"/>
  <c r="AU253" i="5" s="1"/>
  <c r="AQ261" i="3"/>
  <c r="AQ269" i="3"/>
  <c r="AQ277" i="3"/>
  <c r="AP285" i="5"/>
  <c r="AU285" i="5" s="1"/>
  <c r="AP405" i="5"/>
  <c r="AU405" i="5" s="1"/>
  <c r="AP26" i="5"/>
  <c r="AU26" i="5" s="1"/>
  <c r="AP86" i="5"/>
  <c r="AU86" i="5" s="1"/>
  <c r="AP382" i="5"/>
  <c r="AU382" i="5" s="1"/>
  <c r="AP119" i="5"/>
  <c r="AU119" i="5" s="1"/>
  <c r="AQ167" i="3"/>
  <c r="AQ207" i="3"/>
  <c r="AQ215" i="3"/>
  <c r="AQ223" i="3"/>
  <c r="AQ231" i="3"/>
  <c r="AQ256" i="3"/>
  <c r="AQ264" i="3"/>
  <c r="AQ272" i="3"/>
  <c r="AQ280" i="3"/>
  <c r="AQ288" i="3"/>
  <c r="AQ296" i="3"/>
  <c r="AQ304" i="3"/>
  <c r="AP105" i="5"/>
  <c r="AU105" i="5" s="1"/>
  <c r="AP177" i="5"/>
  <c r="AU177" i="5" s="1"/>
  <c r="AP185" i="5"/>
  <c r="AU185" i="5" s="1"/>
  <c r="AP193" i="5"/>
  <c r="AU193" i="5" s="1"/>
  <c r="AP209" i="5"/>
  <c r="AU209" i="5" s="1"/>
  <c r="AQ225" i="3"/>
  <c r="AQ233" i="3"/>
  <c r="AQ241" i="3"/>
  <c r="AQ249" i="3"/>
  <c r="AQ257" i="3"/>
  <c r="AQ265" i="3"/>
  <c r="AQ273" i="3"/>
  <c r="AQ289" i="3"/>
  <c r="AQ297" i="3"/>
  <c r="AQ305" i="3"/>
  <c r="AP106" i="5"/>
  <c r="AU106" i="5" s="1"/>
  <c r="AQ130" i="3"/>
  <c r="AQ146" i="3"/>
  <c r="AQ154" i="3"/>
  <c r="AQ162" i="3"/>
  <c r="AQ178" i="3"/>
  <c r="AQ186" i="3"/>
  <c r="AQ210" i="3"/>
  <c r="AQ218" i="3"/>
  <c r="AQ226" i="3"/>
  <c r="BK21" i="5"/>
  <c r="K54" i="24"/>
  <c r="H63" i="24"/>
  <c r="K56" i="24"/>
  <c r="K51" i="24"/>
  <c r="K59" i="24"/>
  <c r="K37" i="24"/>
  <c r="K53" i="24"/>
  <c r="BI195" i="5"/>
  <c r="BI211" i="5"/>
  <c r="BI219" i="5"/>
  <c r="BI209" i="5"/>
  <c r="BI236" i="5"/>
  <c r="BI252" i="5"/>
  <c r="BI173" i="5"/>
  <c r="BI181" i="5"/>
  <c r="BI189" i="5"/>
  <c r="BI204" i="5"/>
  <c r="BI188" i="5"/>
  <c r="AP180" i="5"/>
  <c r="AU180" i="5" s="1"/>
  <c r="AP236" i="5"/>
  <c r="AU236" i="5" s="1"/>
  <c r="AP252" i="5"/>
  <c r="AU252" i="5" s="1"/>
  <c r="BI172" i="5"/>
  <c r="AP228" i="5"/>
  <c r="AU228" i="5" s="1"/>
  <c r="AP130" i="5"/>
  <c r="AU130" i="5" s="1"/>
  <c r="O123" i="5"/>
  <c r="AP159" i="5"/>
  <c r="AU159" i="5" s="1"/>
  <c r="BI93" i="5"/>
  <c r="BI109" i="5"/>
  <c r="BI149" i="5"/>
  <c r="BI171" i="5"/>
  <c r="BI135" i="5"/>
  <c r="BI151" i="5"/>
  <c r="AP131" i="5"/>
  <c r="AU131" i="5" s="1"/>
  <c r="BI179" i="5"/>
  <c r="AP69" i="5"/>
  <c r="AU69" i="5" s="1"/>
  <c r="AP171" i="5"/>
  <c r="AU171" i="5" s="1"/>
  <c r="BI187" i="5"/>
  <c r="BI203" i="5"/>
  <c r="AP85" i="5"/>
  <c r="AU85" i="5" s="1"/>
  <c r="O40" i="5"/>
  <c r="BI108" i="5"/>
  <c r="AP107" i="5"/>
  <c r="AU107" i="5" s="1"/>
  <c r="BI76" i="5"/>
  <c r="BD123" i="3"/>
  <c r="BI125" i="5"/>
  <c r="BI360" i="5"/>
  <c r="BI368" i="5"/>
  <c r="BI97" i="5"/>
  <c r="BI369" i="5"/>
  <c r="K61" i="24"/>
  <c r="K55" i="24"/>
  <c r="I63" i="24"/>
  <c r="K45" i="24"/>
  <c r="AS76" i="3"/>
  <c r="BI86" i="5"/>
  <c r="BI375" i="5"/>
  <c r="BI383" i="5"/>
  <c r="BI391" i="5"/>
  <c r="BI399" i="5"/>
  <c r="BI146" i="5"/>
  <c r="BI170" i="5"/>
  <c r="BI202" i="5"/>
  <c r="BI210" i="5"/>
  <c r="BI218" i="5"/>
  <c r="BI226" i="5"/>
  <c r="BK13" i="5"/>
  <c r="BK14" i="5"/>
  <c r="BI256" i="5"/>
  <c r="BI264" i="5"/>
  <c r="BI272" i="5"/>
  <c r="BI280" i="5"/>
  <c r="BI288" i="5"/>
  <c r="BI296" i="5"/>
  <c r="BI304" i="5"/>
  <c r="BI320" i="5"/>
  <c r="BI328" i="5"/>
  <c r="BI336" i="5"/>
  <c r="BI344" i="5"/>
  <c r="AP77" i="5"/>
  <c r="AU77" i="5" s="1"/>
  <c r="AP72" i="5"/>
  <c r="AU72" i="5" s="1"/>
  <c r="AP80" i="5"/>
  <c r="AU80" i="5" s="1"/>
  <c r="BI95" i="5"/>
  <c r="AP103" i="5"/>
  <c r="AU103" i="5" s="1"/>
  <c r="AQ111" i="3"/>
  <c r="AQ119" i="3"/>
  <c r="AQ127" i="3"/>
  <c r="AP127" i="5"/>
  <c r="AU127" i="5" s="1"/>
  <c r="AQ135" i="3"/>
  <c r="AP135" i="5"/>
  <c r="AU135" i="5" s="1"/>
  <c r="AQ151" i="3"/>
  <c r="AP151" i="5"/>
  <c r="AU151" i="5" s="1"/>
  <c r="AP81" i="5"/>
  <c r="AU81" i="5" s="1"/>
  <c r="AP89" i="5"/>
  <c r="AU89" i="5" s="1"/>
  <c r="AQ96" i="3"/>
  <c r="AP96" i="5"/>
  <c r="AU96" i="5" s="1"/>
  <c r="AQ112" i="3"/>
  <c r="AP44" i="5"/>
  <c r="AU44" i="5" s="1"/>
  <c r="AP52" i="5"/>
  <c r="AU52" i="5" s="1"/>
  <c r="AP92" i="5"/>
  <c r="AU92" i="5" s="1"/>
  <c r="AP100" i="5"/>
  <c r="AU100" i="5" s="1"/>
  <c r="AP116" i="5"/>
  <c r="AU116" i="5" s="1"/>
  <c r="AQ132" i="3"/>
  <c r="BI132" i="5"/>
  <c r="AQ140" i="3"/>
  <c r="AP140" i="5"/>
  <c r="AU140" i="5" s="1"/>
  <c r="BI140" i="5"/>
  <c r="AP172" i="5"/>
  <c r="AU172" i="5" s="1"/>
  <c r="BI57" i="5"/>
  <c r="BI89" i="5"/>
  <c r="BI112" i="5"/>
  <c r="BI120" i="5"/>
  <c r="BI136" i="5"/>
  <c r="BI144" i="5"/>
  <c r="BI107" i="5"/>
  <c r="BI131" i="5"/>
  <c r="BI139" i="5"/>
  <c r="BI155" i="5"/>
  <c r="BI196" i="5"/>
  <c r="O103" i="5"/>
  <c r="BI72" i="5"/>
  <c r="DN195" i="3"/>
  <c r="DN194" i="3"/>
  <c r="G64" i="24"/>
  <c r="K12" i="24"/>
  <c r="BD103" i="3"/>
  <c r="AP102" i="5"/>
  <c r="AU102" i="5" s="1"/>
  <c r="AP150" i="5"/>
  <c r="AU150" i="5" s="1"/>
  <c r="BI150" i="5"/>
  <c r="AP158" i="5"/>
  <c r="AU158" i="5" s="1"/>
  <c r="BI158" i="5"/>
  <c r="BI214" i="5"/>
  <c r="AP214" i="5"/>
  <c r="AU214" i="5" s="1"/>
  <c r="AQ270" i="3"/>
  <c r="BI270" i="5"/>
  <c r="AP270" i="5"/>
  <c r="AU270" i="5" s="1"/>
  <c r="AP326" i="5"/>
  <c r="AU326" i="5" s="1"/>
  <c r="BI326" i="5"/>
  <c r="AP381" i="5"/>
  <c r="AU381" i="5" s="1"/>
  <c r="BI381" i="5"/>
  <c r="AP397" i="5"/>
  <c r="AU397" i="5" s="1"/>
  <c r="BI397" i="5"/>
  <c r="BI134" i="5"/>
  <c r="AP31" i="5"/>
  <c r="AU31" i="5" s="1"/>
  <c r="BI142" i="5"/>
  <c r="AP198" i="5"/>
  <c r="AU198" i="5" s="1"/>
  <c r="BI254" i="5"/>
  <c r="AP254" i="5"/>
  <c r="AU254" i="5" s="1"/>
  <c r="AQ302" i="3"/>
  <c r="AP302" i="5"/>
  <c r="AU302" i="5" s="1"/>
  <c r="AP389" i="5"/>
  <c r="AU389" i="5" s="1"/>
  <c r="BI71" i="5"/>
  <c r="AP71" i="5"/>
  <c r="AU71" i="5" s="1"/>
  <c r="AP79" i="5"/>
  <c r="AU79" i="5" s="1"/>
  <c r="BI79" i="5"/>
  <c r="AP134" i="5"/>
  <c r="AU134" i="5" s="1"/>
  <c r="AP190" i="5"/>
  <c r="AU190" i="5" s="1"/>
  <c r="BI190" i="5"/>
  <c r="AP230" i="5"/>
  <c r="AU230" i="5" s="1"/>
  <c r="BI230" i="5"/>
  <c r="BI286" i="5"/>
  <c r="AP286" i="5"/>
  <c r="AU286" i="5" s="1"/>
  <c r="AP373" i="5"/>
  <c r="AU373" i="5" s="1"/>
  <c r="AQ126" i="3"/>
  <c r="AP126" i="5"/>
  <c r="AU126" i="5" s="1"/>
  <c r="BI126" i="5"/>
  <c r="AP174" i="5"/>
  <c r="AU174" i="5" s="1"/>
  <c r="AQ222" i="3"/>
  <c r="AP222" i="5"/>
  <c r="AU222" i="5" s="1"/>
  <c r="AQ278" i="3"/>
  <c r="S278" i="3" s="1"/>
  <c r="BI278" i="5"/>
  <c r="AP278" i="5"/>
  <c r="AU278" i="5" s="1"/>
  <c r="AP334" i="5"/>
  <c r="AU334" i="5" s="1"/>
  <c r="BI334" i="5"/>
  <c r="AP342" i="5"/>
  <c r="AU342" i="5" s="1"/>
  <c r="BI342" i="5"/>
  <c r="AP182" i="5"/>
  <c r="AU182" i="5" s="1"/>
  <c r="AP63" i="5"/>
  <c r="AU63" i="5" s="1"/>
  <c r="AP94" i="5"/>
  <c r="AU94" i="5" s="1"/>
  <c r="BI94" i="5"/>
  <c r="AP206" i="5"/>
  <c r="AU206" i="5" s="1"/>
  <c r="BI206" i="5"/>
  <c r="BI262" i="5"/>
  <c r="AP262" i="5"/>
  <c r="AU262" i="5" s="1"/>
  <c r="AP318" i="5"/>
  <c r="AU318" i="5" s="1"/>
  <c r="BI358" i="5"/>
  <c r="AP358" i="5"/>
  <c r="AU358" i="5" s="1"/>
  <c r="AP39" i="5"/>
  <c r="AU39" i="5" s="1"/>
  <c r="AP110" i="5"/>
  <c r="AU110" i="5" s="1"/>
  <c r="BI182" i="5"/>
  <c r="AP246" i="5"/>
  <c r="AU246" i="5" s="1"/>
  <c r="BI366" i="5"/>
  <c r="AP366" i="5"/>
  <c r="AU366" i="5" s="1"/>
  <c r="AQ118" i="3"/>
  <c r="AP118" i="5"/>
  <c r="AU118" i="5" s="1"/>
  <c r="BI118" i="5"/>
  <c r="AP238" i="5"/>
  <c r="AU238" i="5" s="1"/>
  <c r="AP294" i="5"/>
  <c r="AU294" i="5" s="1"/>
  <c r="BI294" i="5"/>
  <c r="AP310" i="5"/>
  <c r="AU310" i="5" s="1"/>
  <c r="BI310" i="5"/>
  <c r="AP350" i="5"/>
  <c r="AU350" i="5" s="1"/>
  <c r="BI350" i="5"/>
  <c r="AP56" i="5"/>
  <c r="AU56" i="5" s="1"/>
  <c r="AS23" i="3"/>
  <c r="AP23" i="5"/>
  <c r="AU23" i="5" s="1"/>
  <c r="BI14" i="5"/>
  <c r="BI100" i="5"/>
  <c r="BK371" i="5"/>
  <c r="AP48" i="5"/>
  <c r="AU48" i="5" s="1"/>
  <c r="BI249" i="5"/>
  <c r="BI257" i="5"/>
  <c r="BI265" i="5"/>
  <c r="BI273" i="5"/>
  <c r="BI281" i="5"/>
  <c r="BI289" i="5"/>
  <c r="BI297" i="5"/>
  <c r="BI305" i="5"/>
  <c r="BI313" i="5"/>
  <c r="BI321" i="5"/>
  <c r="BI329" i="5"/>
  <c r="BI337" i="5"/>
  <c r="BI345" i="5"/>
  <c r="BI353" i="5"/>
  <c r="BI361" i="5"/>
  <c r="BI384" i="5"/>
  <c r="BI392" i="5"/>
  <c r="BI400" i="5"/>
  <c r="BI141" i="5"/>
  <c r="BI180" i="5"/>
  <c r="BI244" i="5"/>
  <c r="BI63" i="5"/>
  <c r="AP36" i="5"/>
  <c r="AU36" i="5" s="1"/>
  <c r="AQ255" i="3"/>
  <c r="AQ263" i="3"/>
  <c r="BI263" i="5"/>
  <c r="AQ303" i="3"/>
  <c r="AP303" i="5"/>
  <c r="AU303" i="5" s="1"/>
  <c r="AP319" i="5"/>
  <c r="AU319" i="5" s="1"/>
  <c r="BI319" i="5"/>
  <c r="BI367" i="5"/>
  <c r="BI66" i="5"/>
  <c r="AQ113" i="3"/>
  <c r="BI113" i="5"/>
  <c r="AP113" i="5"/>
  <c r="AU113" i="5" s="1"/>
  <c r="AQ145" i="3"/>
  <c r="AP145" i="5"/>
  <c r="AU145" i="5" s="1"/>
  <c r="BI145" i="5"/>
  <c r="AQ153" i="3"/>
  <c r="BI153" i="5"/>
  <c r="AP153" i="5"/>
  <c r="AU153" i="5" s="1"/>
  <c r="AQ161" i="3"/>
  <c r="BI161" i="5"/>
  <c r="AP161" i="5"/>
  <c r="AU161" i="5" s="1"/>
  <c r="AP168" i="5"/>
  <c r="AU168" i="5" s="1"/>
  <c r="BI168" i="5"/>
  <c r="M172" i="5"/>
  <c r="AQ176" i="3"/>
  <c r="AQ184" i="3"/>
  <c r="AP184" i="5"/>
  <c r="AU184" i="5" s="1"/>
  <c r="BI184" i="5"/>
  <c r="AQ271" i="3"/>
  <c r="BI271" i="5"/>
  <c r="BI359" i="5"/>
  <c r="BI50" i="5"/>
  <c r="AP35" i="5"/>
  <c r="AU35" i="5" s="1"/>
  <c r="AP255" i="5"/>
  <c r="AU255" i="5" s="1"/>
  <c r="AQ105" i="3"/>
  <c r="BI105" i="5"/>
  <c r="BI247" i="5"/>
  <c r="AQ295" i="3"/>
  <c r="AP295" i="5"/>
  <c r="AU295" i="5" s="1"/>
  <c r="BI295" i="5"/>
  <c r="AP311" i="5"/>
  <c r="AU311" i="5" s="1"/>
  <c r="BI311" i="5"/>
  <c r="AP335" i="5"/>
  <c r="AU335" i="5" s="1"/>
  <c r="BI343" i="5"/>
  <c r="AP343" i="5"/>
  <c r="AU343" i="5" s="1"/>
  <c r="BI351" i="5"/>
  <c r="AP351" i="5"/>
  <c r="AU351" i="5" s="1"/>
  <c r="AQ287" i="3"/>
  <c r="AP287" i="5"/>
  <c r="AU287" i="5" s="1"/>
  <c r="AQ279" i="3"/>
  <c r="AP327" i="5"/>
  <c r="AU327" i="5" s="1"/>
  <c r="BI327" i="5"/>
  <c r="AQ192" i="3"/>
  <c r="BI200" i="5"/>
  <c r="AQ208" i="3"/>
  <c r="AP208" i="5"/>
  <c r="AU208" i="5" s="1"/>
  <c r="BI208" i="5"/>
  <c r="BI216" i="5"/>
  <c r="AQ224" i="3"/>
  <c r="BI224" i="5"/>
  <c r="AQ232" i="3"/>
  <c r="BI232" i="5"/>
  <c r="AQ240" i="3"/>
  <c r="AP240" i="5"/>
  <c r="AU240" i="5" s="1"/>
  <c r="BI240" i="5"/>
  <c r="AP83" i="5"/>
  <c r="AU83" i="5" s="1"/>
  <c r="AQ90" i="3"/>
  <c r="AQ98" i="3"/>
  <c r="AP98" i="5"/>
  <c r="AU98" i="5" s="1"/>
  <c r="AP192" i="5"/>
  <c r="AU192" i="5" s="1"/>
  <c r="BI192" i="5"/>
  <c r="BI114" i="5"/>
  <c r="BI258" i="5"/>
  <c r="AS27" i="3"/>
  <c r="AP112" i="5"/>
  <c r="AU112" i="5" s="1"/>
  <c r="BK101" i="5"/>
  <c r="BI56" i="5"/>
  <c r="BI406" i="5"/>
  <c r="AP74" i="5"/>
  <c r="AU74" i="5" s="1"/>
  <c r="BI26" i="5"/>
  <c r="BI96" i="5"/>
  <c r="BK390" i="5"/>
  <c r="O355" i="5"/>
  <c r="O363" i="5"/>
  <c r="BI390" i="5"/>
  <c r="BI302" i="5"/>
  <c r="AP374" i="5"/>
  <c r="AU374" i="5" s="1"/>
  <c r="AP390" i="5"/>
  <c r="AU390" i="5" s="1"/>
  <c r="AP398" i="5"/>
  <c r="AU398" i="5" s="1"/>
  <c r="AP406" i="5"/>
  <c r="AU406" i="5" s="1"/>
  <c r="BI287" i="5"/>
  <c r="BI303" i="5"/>
  <c r="BI398" i="5"/>
  <c r="AP66" i="5"/>
  <c r="AU66" i="5" s="1"/>
  <c r="BI73" i="5"/>
  <c r="BI111" i="5"/>
  <c r="BI117" i="5"/>
  <c r="BI119" i="5"/>
  <c r="BD119" i="3"/>
  <c r="BK313" i="5"/>
  <c r="BK316" i="5"/>
  <c r="BK386" i="5"/>
  <c r="BK253" i="5"/>
  <c r="BK322" i="5"/>
  <c r="BJ322" i="5" s="1"/>
  <c r="AP95" i="5"/>
  <c r="AU95" i="5" s="1"/>
  <c r="BI138" i="5"/>
  <c r="BI162" i="5"/>
  <c r="BI199" i="5"/>
  <c r="BI201" i="5"/>
  <c r="BI64" i="5"/>
  <c r="BI80" i="5"/>
  <c r="BI116" i="5"/>
  <c r="BK123" i="5"/>
  <c r="BI124" i="5"/>
  <c r="BK218" i="5"/>
  <c r="BI102" i="5"/>
  <c r="BI373" i="5"/>
  <c r="BI389" i="5"/>
  <c r="BI110" i="5"/>
  <c r="BK244" i="5"/>
  <c r="BK22" i="5"/>
  <c r="BK260" i="5"/>
  <c r="BK26" i="5"/>
  <c r="BK11" i="5"/>
  <c r="M11" i="5"/>
  <c r="AQ144" i="3"/>
  <c r="AQ152" i="3"/>
  <c r="AP152" i="5"/>
  <c r="AU152" i="5" s="1"/>
  <c r="AQ160" i="3"/>
  <c r="AP160" i="5"/>
  <c r="AU160" i="5" s="1"/>
  <c r="AP175" i="5"/>
  <c r="AU175" i="5" s="1"/>
  <c r="BI49" i="5"/>
  <c r="AP73" i="5"/>
  <c r="AU73" i="5" s="1"/>
  <c r="BI129" i="5"/>
  <c r="AP129" i="5"/>
  <c r="AU129" i="5" s="1"/>
  <c r="AP137" i="5"/>
  <c r="AU137" i="5" s="1"/>
  <c r="AP38" i="5"/>
  <c r="AU38" i="5" s="1"/>
  <c r="AP46" i="5"/>
  <c r="AU46" i="5" s="1"/>
  <c r="AP54" i="5"/>
  <c r="AU54" i="5" s="1"/>
  <c r="BI70" i="5"/>
  <c r="AP78" i="5"/>
  <c r="AU78" i="5" s="1"/>
  <c r="BI85" i="5"/>
  <c r="AQ91" i="3"/>
  <c r="BI91" i="5"/>
  <c r="AP91" i="5"/>
  <c r="AU91" i="5" s="1"/>
  <c r="AQ122" i="3"/>
  <c r="BI122" i="5"/>
  <c r="BI160" i="5"/>
  <c r="AP33" i="5"/>
  <c r="AU33" i="5" s="1"/>
  <c r="AP49" i="5"/>
  <c r="AU49" i="5" s="1"/>
  <c r="AP57" i="5"/>
  <c r="AU57" i="5" s="1"/>
  <c r="AP65" i="5"/>
  <c r="AU65" i="5" s="1"/>
  <c r="AQ88" i="3"/>
  <c r="AP88" i="5"/>
  <c r="AU88" i="5" s="1"/>
  <c r="BK171" i="5"/>
  <c r="BK179" i="5"/>
  <c r="BK230" i="5"/>
  <c r="AP215" i="5"/>
  <c r="AU215" i="5" s="1"/>
  <c r="BI74" i="5"/>
  <c r="BI82" i="5"/>
  <c r="BI229" i="5"/>
  <c r="BI237" i="5"/>
  <c r="BI215" i="5"/>
  <c r="AP117" i="5"/>
  <c r="AU117" i="5" s="1"/>
  <c r="AP207" i="5"/>
  <c r="AU207" i="5" s="1"/>
  <c r="BI37" i="5"/>
  <c r="BK52" i="5"/>
  <c r="BK60" i="5"/>
  <c r="BI61" i="5"/>
  <c r="BI69" i="5"/>
  <c r="BK76" i="5"/>
  <c r="BI77" i="5"/>
  <c r="BI84" i="5"/>
  <c r="BK189" i="5"/>
  <c r="BI222" i="5"/>
  <c r="BI379" i="5"/>
  <c r="BI386" i="5"/>
  <c r="BI30" i="5"/>
  <c r="BI38" i="5"/>
  <c r="BK45" i="5"/>
  <c r="BI54" i="5"/>
  <c r="BI62" i="5"/>
  <c r="BK69" i="5"/>
  <c r="BI78" i="5"/>
  <c r="BK143" i="5"/>
  <c r="BK146" i="5"/>
  <c r="BI152" i="5"/>
  <c r="BK320" i="5"/>
  <c r="BI191" i="5"/>
  <c r="AP132" i="5"/>
  <c r="AU132" i="5" s="1"/>
  <c r="AP223" i="5"/>
  <c r="AU223" i="5" s="1"/>
  <c r="O359" i="5"/>
  <c r="BK15" i="5"/>
  <c r="M15" i="5"/>
  <c r="BK28" i="5"/>
  <c r="M28" i="5"/>
  <c r="AP50" i="5"/>
  <c r="AU50" i="5" s="1"/>
  <c r="AP58" i="5"/>
  <c r="AU58" i="5" s="1"/>
  <c r="BI60" i="5"/>
  <c r="AP60" i="5"/>
  <c r="AU60" i="5" s="1"/>
  <c r="BI166" i="5"/>
  <c r="AP166" i="5"/>
  <c r="AU166" i="5" s="1"/>
  <c r="AQ136" i="3"/>
  <c r="AQ143" i="3"/>
  <c r="AP143" i="5"/>
  <c r="AU143" i="5" s="1"/>
  <c r="BI143" i="5"/>
  <c r="AP99" i="5"/>
  <c r="AU99" i="5" s="1"/>
  <c r="AQ106" i="3"/>
  <c r="AP114" i="5"/>
  <c r="AU114" i="5" s="1"/>
  <c r="BI243" i="5"/>
  <c r="BK352" i="5"/>
  <c r="BK355" i="5"/>
  <c r="BI374" i="5"/>
  <c r="BK175" i="5"/>
  <c r="BK205" i="5"/>
  <c r="BK346" i="5"/>
  <c r="BI147" i="5"/>
  <c r="BI207" i="5"/>
  <c r="BK222" i="5"/>
  <c r="BI223" i="5"/>
  <c r="BK254" i="5"/>
  <c r="BI274" i="5"/>
  <c r="BI115" i="5"/>
  <c r="AP122" i="5"/>
  <c r="AU122" i="5" s="1"/>
  <c r="BK126" i="5"/>
  <c r="BI164" i="5"/>
  <c r="BI169" i="5"/>
  <c r="BI178" i="5"/>
  <c r="BK192" i="5"/>
  <c r="BI282" i="5"/>
  <c r="BI377" i="5"/>
  <c r="BK403" i="5"/>
  <c r="BI42" i="5"/>
  <c r="BI88" i="5"/>
  <c r="BI157" i="5"/>
  <c r="BK178" i="5"/>
  <c r="BI186" i="5"/>
  <c r="BI194" i="5"/>
  <c r="BI312" i="5"/>
  <c r="BI335" i="5"/>
  <c r="BI255" i="5"/>
  <c r="BK294" i="5"/>
  <c r="BI137" i="5"/>
  <c r="BI167" i="5"/>
  <c r="BI248" i="5"/>
  <c r="AP43" i="5"/>
  <c r="AU43" i="5" s="1"/>
  <c r="AP51" i="5"/>
  <c r="AU51" i="5" s="1"/>
  <c r="AP67" i="5"/>
  <c r="AU67" i="5" s="1"/>
  <c r="AP75" i="5"/>
  <c r="AU75" i="5" s="1"/>
  <c r="BI75" i="5"/>
  <c r="AP235" i="5"/>
  <c r="AU235" i="5" s="1"/>
  <c r="BI235" i="5"/>
  <c r="AQ121" i="3"/>
  <c r="BI128" i="5"/>
  <c r="BI212" i="5"/>
  <c r="AQ247" i="3"/>
  <c r="AP247" i="5"/>
  <c r="AU247" i="5" s="1"/>
  <c r="AP121" i="5"/>
  <c r="AU121" i="5" s="1"/>
  <c r="BI176" i="5"/>
  <c r="AP176" i="5"/>
  <c r="AU176" i="5" s="1"/>
  <c r="AP109" i="5"/>
  <c r="AU109" i="5" s="1"/>
  <c r="BK19" i="5"/>
  <c r="M19" i="5"/>
  <c r="AP169" i="5"/>
  <c r="AU169" i="5" s="1"/>
  <c r="BK180" i="5"/>
  <c r="M180" i="5"/>
  <c r="AP183" i="5"/>
  <c r="AU183" i="5" s="1"/>
  <c r="AQ191" i="3"/>
  <c r="AP191" i="5"/>
  <c r="AU191" i="5" s="1"/>
  <c r="AQ199" i="3"/>
  <c r="AP199" i="5"/>
  <c r="AU199" i="5" s="1"/>
  <c r="BK255" i="5"/>
  <c r="M255" i="5"/>
  <c r="BI121" i="5"/>
  <c r="BI163" i="5"/>
  <c r="AP163" i="5"/>
  <c r="AU163" i="5" s="1"/>
  <c r="BD122" i="3"/>
  <c r="BK249" i="5"/>
  <c r="M249" i="5"/>
  <c r="AP142" i="5"/>
  <c r="AU142" i="5" s="1"/>
  <c r="BK59" i="5"/>
  <c r="BI83" i="5"/>
  <c r="BI98" i="5"/>
  <c r="BK163" i="5"/>
  <c r="BK235" i="5"/>
  <c r="BI246" i="5"/>
  <c r="BK270" i="5"/>
  <c r="BK338" i="5"/>
  <c r="BI357" i="5"/>
  <c r="BK167" i="5"/>
  <c r="BK173" i="5"/>
  <c r="BK193" i="5"/>
  <c r="BI348" i="5"/>
  <c r="BK405" i="5"/>
  <c r="BJ405" i="5" s="1"/>
  <c r="BI31" i="5"/>
  <c r="BK46" i="5"/>
  <c r="BK105" i="5"/>
  <c r="BI193" i="5"/>
  <c r="BI231" i="5"/>
  <c r="BK279" i="5"/>
  <c r="BK293" i="5"/>
  <c r="BI48" i="5"/>
  <c r="BK66" i="5"/>
  <c r="BK100" i="5"/>
  <c r="BK106" i="5"/>
  <c r="BI133" i="5"/>
  <c r="BK159" i="5"/>
  <c r="BK166" i="5"/>
  <c r="BK190" i="5"/>
  <c r="BK209" i="5"/>
  <c r="BK216" i="5"/>
  <c r="BK234" i="5"/>
  <c r="BK341" i="5"/>
  <c r="BJ341" i="5" s="1"/>
  <c r="BK48" i="5"/>
  <c r="BK33" i="5"/>
  <c r="BK57" i="5"/>
  <c r="BK119" i="5"/>
  <c r="BI198" i="5"/>
  <c r="BK206" i="5"/>
  <c r="BK271" i="5"/>
  <c r="BK275" i="5"/>
  <c r="BK343" i="5"/>
  <c r="BI92" i="5"/>
  <c r="BK130" i="5"/>
  <c r="BI156" i="5"/>
  <c r="BI183" i="5"/>
  <c r="BI205" i="5"/>
  <c r="BK259" i="5"/>
  <c r="BK297" i="5"/>
  <c r="BI318" i="5"/>
  <c r="BK337" i="5"/>
  <c r="BK362" i="5"/>
  <c r="BJ362" i="5" s="1"/>
  <c r="BI376" i="5"/>
  <c r="O390" i="5"/>
  <c r="O397" i="5"/>
  <c r="O326" i="5"/>
  <c r="BD77" i="3"/>
  <c r="O357" i="5"/>
  <c r="BD73" i="3"/>
  <c r="O361" i="5"/>
  <c r="O122" i="5"/>
  <c r="O226" i="5"/>
  <c r="BD226" i="3"/>
  <c r="AE269" i="3"/>
  <c r="AE301" i="3"/>
  <c r="AE171" i="3"/>
  <c r="AE211" i="3"/>
  <c r="AE219" i="3"/>
  <c r="AE235" i="3"/>
  <c r="O73" i="5"/>
  <c r="BD233" i="3"/>
  <c r="O353" i="5"/>
  <c r="O77" i="5"/>
  <c r="M194" i="5"/>
  <c r="BK194" i="5"/>
  <c r="M26" i="5"/>
  <c r="BK29" i="5"/>
  <c r="M29" i="5"/>
  <c r="BK177" i="5"/>
  <c r="BK191" i="5"/>
  <c r="BK204" i="5"/>
  <c r="BK307" i="5"/>
  <c r="BK347" i="5"/>
  <c r="BK406" i="5"/>
  <c r="BK348" i="5"/>
  <c r="BK351" i="5"/>
  <c r="BK369" i="5"/>
  <c r="BK372" i="5"/>
  <c r="BJ372" i="5" s="1"/>
  <c r="BK377" i="5"/>
  <c r="BK400" i="5"/>
  <c r="BK407" i="5"/>
  <c r="BK35" i="5"/>
  <c r="BK63" i="5"/>
  <c r="BK134" i="5"/>
  <c r="BK147" i="5"/>
  <c r="BK154" i="5"/>
  <c r="BK161" i="5"/>
  <c r="BK202" i="5"/>
  <c r="BK245" i="5"/>
  <c r="BK344" i="5"/>
  <c r="BK367" i="5"/>
  <c r="BK401" i="5"/>
  <c r="BK71" i="5"/>
  <c r="BK148" i="5"/>
  <c r="BK155" i="5"/>
  <c r="BK162" i="5"/>
  <c r="BK187" i="5"/>
  <c r="BK317" i="5"/>
  <c r="BK342" i="5"/>
  <c r="BK373" i="5"/>
  <c r="BK67" i="5"/>
  <c r="BK122" i="5"/>
  <c r="BK142" i="5"/>
  <c r="BK149" i="5"/>
  <c r="BK188" i="5"/>
  <c r="BK208" i="5"/>
  <c r="BK215" i="5"/>
  <c r="BK266" i="5"/>
  <c r="BK284" i="5"/>
  <c r="BK318" i="5"/>
  <c r="BK41" i="5"/>
  <c r="BK184" i="5"/>
  <c r="BK288" i="5"/>
  <c r="M17" i="5"/>
  <c r="BK39" i="5"/>
  <c r="BK112" i="5"/>
  <c r="BK117" i="5"/>
  <c r="BK137" i="5"/>
  <c r="BK144" i="5"/>
  <c r="BK182" i="5"/>
  <c r="BK203" i="5"/>
  <c r="BK273" i="5"/>
  <c r="BK289" i="5"/>
  <c r="BK301" i="5"/>
  <c r="BK329" i="5"/>
  <c r="BK332" i="5"/>
  <c r="BK356" i="5"/>
  <c r="BJ356" i="5" s="1"/>
  <c r="DI170" i="3"/>
  <c r="BK79" i="5"/>
  <c r="M79" i="5"/>
  <c r="BD40" i="3"/>
  <c r="AP47" i="5"/>
  <c r="BK25" i="5"/>
  <c r="M25" i="5"/>
  <c r="BK38" i="5"/>
  <c r="M38" i="5"/>
  <c r="BK24" i="5"/>
  <c r="M24" i="5"/>
  <c r="BK84" i="5"/>
  <c r="M84" i="5"/>
  <c r="AQ87" i="3"/>
  <c r="BI87" i="5"/>
  <c r="AP87" i="5"/>
  <c r="AQ216" i="3"/>
  <c r="AP216" i="5"/>
  <c r="AP279" i="5"/>
  <c r="AP82" i="5"/>
  <c r="AQ237" i="3"/>
  <c r="AP237" i="5"/>
  <c r="AP352" i="5"/>
  <c r="BI352" i="5"/>
  <c r="BI382" i="5"/>
  <c r="BI241" i="5"/>
  <c r="AQ97" i="3"/>
  <c r="AP97" i="5"/>
  <c r="BK324" i="5"/>
  <c r="M324" i="5"/>
  <c r="BI279" i="5"/>
  <c r="BI285" i="5"/>
  <c r="AP241" i="5"/>
  <c r="AU241" i="5" s="1"/>
  <c r="BK18" i="5"/>
  <c r="M18" i="5"/>
  <c r="BI46" i="5"/>
  <c r="BI45" i="5"/>
  <c r="AP45" i="5"/>
  <c r="BK68" i="5"/>
  <c r="M68" i="5"/>
  <c r="AQ104" i="3"/>
  <c r="BI104" i="5"/>
  <c r="AP104" i="5"/>
  <c r="BI148" i="5"/>
  <c r="AP148" i="5"/>
  <c r="BI291" i="5"/>
  <c r="AP291" i="5"/>
  <c r="AP368" i="5"/>
  <c r="BI32" i="5"/>
  <c r="AP53" i="5"/>
  <c r="BI53" i="5"/>
  <c r="AQ128" i="3"/>
  <c r="AP128" i="5"/>
  <c r="BK323" i="5"/>
  <c r="BK339" i="5"/>
  <c r="BJ339" i="5" s="1"/>
  <c r="BK55" i="5"/>
  <c r="BK72" i="5"/>
  <c r="BK88" i="5"/>
  <c r="BI99" i="5"/>
  <c r="BK102" i="5"/>
  <c r="BK125" i="5"/>
  <c r="BK145" i="5"/>
  <c r="BK153" i="5"/>
  <c r="BK198" i="5"/>
  <c r="BK201" i="5"/>
  <c r="BK214" i="5"/>
  <c r="BK221" i="5"/>
  <c r="BK236" i="5"/>
  <c r="BK389" i="5"/>
  <c r="BK404" i="5"/>
  <c r="AP62" i="5"/>
  <c r="BK43" i="5"/>
  <c r="BK56" i="5"/>
  <c r="BI103" i="5"/>
  <c r="BK135" i="5"/>
  <c r="BK140" i="5"/>
  <c r="BK151" i="5"/>
  <c r="BK160" i="5"/>
  <c r="BK176" i="5"/>
  <c r="BK196" i="5"/>
  <c r="BK212" i="5"/>
  <c r="BK219" i="5"/>
  <c r="BK241" i="5"/>
  <c r="BK267" i="5"/>
  <c r="BK305" i="5"/>
  <c r="BK311" i="5"/>
  <c r="BK340" i="5"/>
  <c r="BK350" i="5"/>
  <c r="BK364" i="5"/>
  <c r="BJ364" i="5" s="1"/>
  <c r="BK381" i="5"/>
  <c r="AP90" i="5"/>
  <c r="BK64" i="5"/>
  <c r="BK70" i="5"/>
  <c r="BK85" i="5"/>
  <c r="BK103" i="5"/>
  <c r="BK121" i="5"/>
  <c r="BK132" i="5"/>
  <c r="BK141" i="5"/>
  <c r="BK152" i="5"/>
  <c r="BK158" i="5"/>
  <c r="BK174" i="5"/>
  <c r="BK197" i="5"/>
  <c r="BK233" i="5"/>
  <c r="BK240" i="5"/>
  <c r="BK258" i="5"/>
  <c r="BK262" i="5"/>
  <c r="BK282" i="5"/>
  <c r="BK302" i="5"/>
  <c r="BK304" i="5"/>
  <c r="BK306" i="5"/>
  <c r="BK314" i="5"/>
  <c r="BK325" i="5"/>
  <c r="BK336" i="5"/>
  <c r="BK359" i="5"/>
  <c r="BK365" i="5"/>
  <c r="BJ365" i="5" s="1"/>
  <c r="BK399" i="5"/>
  <c r="BK62" i="5"/>
  <c r="BK96" i="5"/>
  <c r="BK108" i="5"/>
  <c r="BK118" i="5"/>
  <c r="BK129" i="5"/>
  <c r="BK402" i="5"/>
  <c r="BK23" i="5"/>
  <c r="BI90" i="5"/>
  <c r="BI154" i="5"/>
  <c r="BK172" i="5"/>
  <c r="BK183" i="5"/>
  <c r="BK280" i="5"/>
  <c r="BK315" i="5"/>
  <c r="BK384" i="5"/>
  <c r="BI123" i="5"/>
  <c r="BK363" i="5"/>
  <c r="BK368" i="5"/>
  <c r="BK382" i="5"/>
  <c r="BK16" i="5"/>
  <c r="M16" i="5"/>
  <c r="BK97" i="5"/>
  <c r="BK120" i="5"/>
  <c r="M10" i="5"/>
  <c r="M27" i="5"/>
  <c r="BK111" i="5"/>
  <c r="BK131" i="5"/>
  <c r="BK139" i="5"/>
  <c r="BI34" i="5"/>
  <c r="M14" i="5"/>
  <c r="BK73" i="5"/>
  <c r="BK80" i="5"/>
  <c r="M12" i="5"/>
  <c r="BK86" i="5"/>
  <c r="AP32" i="5"/>
  <c r="BK50" i="5"/>
  <c r="BI51" i="5"/>
  <c r="BK124" i="5"/>
  <c r="BK53" i="5"/>
  <c r="BI238" i="5"/>
  <c r="BK298" i="5"/>
  <c r="BK376" i="5"/>
  <c r="BK385" i="5"/>
  <c r="BJ385" i="5" s="1"/>
  <c r="BK195" i="5"/>
  <c r="BK31" i="5"/>
  <c r="BK37" i="5"/>
  <c r="BI52" i="5"/>
  <c r="BK61" i="5"/>
  <c r="BI67" i="5"/>
  <c r="BK75" i="5"/>
  <c r="BK83" i="5"/>
  <c r="BK92" i="5"/>
  <c r="BI101" i="5"/>
  <c r="BK210" i="5"/>
  <c r="BK231" i="5"/>
  <c r="BK239" i="5"/>
  <c r="BK263" i="5"/>
  <c r="BK281" i="5"/>
  <c r="BK285" i="5"/>
  <c r="BK309" i="5"/>
  <c r="BK321" i="5"/>
  <c r="BK360" i="5"/>
  <c r="BK380" i="5"/>
  <c r="BJ380" i="5" s="1"/>
  <c r="BK32" i="5"/>
  <c r="BK107" i="5"/>
  <c r="BK157" i="5"/>
  <c r="BI177" i="5"/>
  <c r="BK185" i="5"/>
  <c r="BK225" i="5"/>
  <c r="BK292" i="5"/>
  <c r="BK170" i="5"/>
  <c r="BK276" i="5"/>
  <c r="BK366" i="5"/>
  <c r="BK44" i="5"/>
  <c r="BK49" i="5"/>
  <c r="BK51" i="5"/>
  <c r="BK65" i="5"/>
  <c r="BK116" i="5"/>
  <c r="BI174" i="5"/>
  <c r="BK357" i="5"/>
  <c r="AP40" i="5"/>
  <c r="BK74" i="5"/>
  <c r="BK93" i="5"/>
  <c r="BK98" i="5"/>
  <c r="AP120" i="5"/>
  <c r="BK30" i="5"/>
  <c r="M30" i="5"/>
  <c r="M81" i="5"/>
  <c r="BK81" i="5"/>
  <c r="BK91" i="5"/>
  <c r="AQ101" i="3"/>
  <c r="BK115" i="5"/>
  <c r="BI36" i="5"/>
  <c r="BK42" i="5"/>
  <c r="BI47" i="5"/>
  <c r="BK110" i="5"/>
  <c r="BK34" i="5"/>
  <c r="M36" i="5"/>
  <c r="BK36" i="5"/>
  <c r="BK47" i="5"/>
  <c r="BK89" i="5"/>
  <c r="BK113" i="5"/>
  <c r="M21" i="5"/>
  <c r="AP111" i="5"/>
  <c r="BI35" i="5"/>
  <c r="BK87" i="5"/>
  <c r="M13" i="5"/>
  <c r="AP30" i="5"/>
  <c r="BI40" i="5"/>
  <c r="BK54" i="5"/>
  <c r="BI58" i="5"/>
  <c r="BI65" i="5"/>
  <c r="BK40" i="5"/>
  <c r="AG40" i="5" s="1"/>
  <c r="L40" i="5" s="1"/>
  <c r="BK58" i="5"/>
  <c r="AP64" i="5"/>
  <c r="BK82" i="5"/>
  <c r="BK95" i="5"/>
  <c r="AQ102" i="3"/>
  <c r="AQ107" i="3"/>
  <c r="AQ116" i="3"/>
  <c r="AQ134" i="3"/>
  <c r="AQ157" i="3"/>
  <c r="AQ212" i="3"/>
  <c r="AQ239" i="3"/>
  <c r="BK243" i="5"/>
  <c r="BK283" i="5"/>
  <c r="BK287" i="5"/>
  <c r="AQ124" i="3"/>
  <c r="AQ147" i="3"/>
  <c r="AQ188" i="3"/>
  <c r="AQ196" i="3"/>
  <c r="AQ205" i="3"/>
  <c r="AQ217" i="3"/>
  <c r="BK220" i="5"/>
  <c r="AQ234" i="3"/>
  <c r="AQ262" i="3"/>
  <c r="BK274" i="5"/>
  <c r="AQ301" i="3"/>
  <c r="AP124" i="5"/>
  <c r="BK77" i="5"/>
  <c r="AQ110" i="3"/>
  <c r="AQ133" i="3"/>
  <c r="AQ138" i="3"/>
  <c r="AQ156" i="3"/>
  <c r="AQ165" i="3"/>
  <c r="AQ211" i="3"/>
  <c r="AQ214" i="3"/>
  <c r="AQ220" i="3"/>
  <c r="BK238" i="5"/>
  <c r="AQ86" i="3"/>
  <c r="AQ123" i="3"/>
  <c r="AQ137" i="3"/>
  <c r="AQ142" i="3"/>
  <c r="AQ155" i="3"/>
  <c r="AQ173" i="3"/>
  <c r="AQ177" i="3"/>
  <c r="AQ182" i="3"/>
  <c r="AQ187" i="3"/>
  <c r="AQ195" i="3"/>
  <c r="AQ204" i="3"/>
  <c r="BK207" i="5"/>
  <c r="BK228" i="5"/>
  <c r="BK229" i="5"/>
  <c r="BK232" i="5"/>
  <c r="AQ238" i="3"/>
  <c r="BK248" i="5"/>
  <c r="BK252" i="5"/>
  <c r="BK256" i="5"/>
  <c r="AQ94" i="3"/>
  <c r="AQ99" i="3"/>
  <c r="AQ109" i="3"/>
  <c r="AQ114" i="3"/>
  <c r="BK128" i="5"/>
  <c r="BK133" i="5"/>
  <c r="BK138" i="5"/>
  <c r="AQ150" i="3"/>
  <c r="BK156" i="5"/>
  <c r="AQ164" i="3"/>
  <c r="BK165" i="5"/>
  <c r="BK169" i="5"/>
  <c r="AQ181" i="3"/>
  <c r="BK200" i="5"/>
  <c r="BK211" i="5"/>
  <c r="AQ213" i="3"/>
  <c r="BK217" i="5"/>
  <c r="AQ228" i="3"/>
  <c r="AQ248" i="3"/>
  <c r="AQ252" i="3"/>
  <c r="AQ292" i="3"/>
  <c r="AQ141" i="3"/>
  <c r="AQ149" i="3"/>
  <c r="AQ172" i="3"/>
  <c r="AQ190" i="3"/>
  <c r="AQ194" i="3"/>
  <c r="BK223" i="5"/>
  <c r="BK226" i="5"/>
  <c r="AQ244" i="3"/>
  <c r="BK261" i="5"/>
  <c r="BI33" i="5"/>
  <c r="BK78" i="5"/>
  <c r="AQ89" i="3"/>
  <c r="BK90" i="5"/>
  <c r="AQ93" i="3"/>
  <c r="BK94" i="5"/>
  <c r="BK99" i="5"/>
  <c r="AQ103" i="3"/>
  <c r="BK104" i="5"/>
  <c r="BK109" i="5"/>
  <c r="BK114" i="5"/>
  <c r="AQ117" i="3"/>
  <c r="BK127" i="5"/>
  <c r="BK136" i="5"/>
  <c r="BK150" i="5"/>
  <c r="BK164" i="5"/>
  <c r="BK168" i="5"/>
  <c r="AQ171" i="3"/>
  <c r="BK181" i="5"/>
  <c r="AQ185" i="3"/>
  <c r="BK186" i="5"/>
  <c r="BK199" i="5"/>
  <c r="AQ202" i="3"/>
  <c r="BK242" i="5"/>
  <c r="BK257" i="5"/>
  <c r="BK296" i="5"/>
  <c r="AQ84" i="3"/>
  <c r="AQ125" i="3"/>
  <c r="AQ148" i="3"/>
  <c r="AQ197" i="3"/>
  <c r="AQ206" i="3"/>
  <c r="AQ209" i="3"/>
  <c r="BK213" i="5"/>
  <c r="AQ221" i="3"/>
  <c r="BK224" i="5"/>
  <c r="BK227" i="5"/>
  <c r="AQ230" i="3"/>
  <c r="BK265" i="5"/>
  <c r="AQ243" i="3"/>
  <c r="AQ274" i="3"/>
  <c r="AQ283" i="3"/>
  <c r="BK310" i="5"/>
  <c r="BK330" i="5"/>
  <c r="AQ251" i="3"/>
  <c r="AQ291" i="3"/>
  <c r="AQ242" i="3"/>
  <c r="AQ282" i="3"/>
  <c r="AQ286" i="3"/>
  <c r="AQ290" i="3"/>
  <c r="BK312" i="5"/>
  <c r="BK327" i="5"/>
  <c r="AQ227" i="3"/>
  <c r="AQ246" i="3"/>
  <c r="BK247" i="5"/>
  <c r="AQ250" i="3"/>
  <c r="BK251" i="5"/>
  <c r="BK269" i="5"/>
  <c r="BK278" i="5"/>
  <c r="BK291" i="5"/>
  <c r="AQ299" i="3"/>
  <c r="BK300" i="5"/>
  <c r="AQ236" i="3"/>
  <c r="AQ254" i="3"/>
  <c r="AQ259" i="3"/>
  <c r="BK264" i="5"/>
  <c r="BK277" i="5"/>
  <c r="AQ281" i="3"/>
  <c r="AQ285" i="3"/>
  <c r="BK286" i="5"/>
  <c r="BK290" i="5"/>
  <c r="AQ294" i="3"/>
  <c r="BK295" i="5"/>
  <c r="AQ298" i="3"/>
  <c r="AQ306" i="3"/>
  <c r="BK319" i="5"/>
  <c r="BK331" i="5"/>
  <c r="AQ235" i="3"/>
  <c r="BK237" i="5"/>
  <c r="AQ245" i="3"/>
  <c r="BK246" i="5"/>
  <c r="BK250" i="5"/>
  <c r="AQ253" i="3"/>
  <c r="AQ258" i="3"/>
  <c r="BK268" i="5"/>
  <c r="BK272" i="5"/>
  <c r="AQ293" i="3"/>
  <c r="BK299" i="5"/>
  <c r="BK303" i="5"/>
  <c r="BK333" i="5"/>
  <c r="BK334" i="5"/>
  <c r="AQ266" i="3"/>
  <c r="AQ275" i="3"/>
  <c r="BK308" i="5"/>
  <c r="BK326" i="5"/>
  <c r="BK328" i="5"/>
  <c r="BK335" i="5"/>
  <c r="BK393" i="5"/>
  <c r="BK397" i="5"/>
  <c r="BK375" i="5"/>
  <c r="BK379" i="5"/>
  <c r="BK388" i="5"/>
  <c r="BK392" i="5"/>
  <c r="BK396" i="5"/>
  <c r="BJ396" i="5" s="1"/>
  <c r="BK354" i="5"/>
  <c r="BK358" i="5"/>
  <c r="BK383" i="5"/>
  <c r="BK387" i="5"/>
  <c r="BK408" i="5"/>
  <c r="BK345" i="5"/>
  <c r="BK349" i="5"/>
  <c r="BK353" i="5"/>
  <c r="BK370" i="5"/>
  <c r="BK374" i="5"/>
  <c r="BK378" i="5"/>
  <c r="BK391" i="5"/>
  <c r="BK395" i="5"/>
  <c r="BK361" i="5"/>
  <c r="BK394" i="5"/>
  <c r="BK398" i="5"/>
  <c r="AO28" i="3"/>
  <c r="N31" i="13" s="1"/>
  <c r="AS28" i="3"/>
  <c r="AO29" i="3"/>
  <c r="N32" i="13" s="1"/>
  <c r="AS29" i="3"/>
  <c r="O119" i="5"/>
  <c r="AU9" i="5"/>
  <c r="AW228" i="5"/>
  <c r="AW21" i="5"/>
  <c r="AW37" i="5"/>
  <c r="AW309" i="5"/>
  <c r="AW341" i="5"/>
  <c r="AW332" i="5"/>
  <c r="AW300" i="5"/>
  <c r="AW180" i="5"/>
  <c r="AW93" i="5"/>
  <c r="AW141" i="5"/>
  <c r="AW165" i="5"/>
  <c r="AW213" i="5"/>
  <c r="AW285" i="5"/>
  <c r="AW333" i="5"/>
  <c r="AW60" i="5"/>
  <c r="AW148" i="5"/>
  <c r="AW156" i="5"/>
  <c r="AW380" i="5"/>
  <c r="AW84" i="5"/>
  <c r="AW20" i="5"/>
  <c r="AW52" i="5"/>
  <c r="AW404" i="5"/>
  <c r="AO10" i="3"/>
  <c r="N13" i="13" s="1"/>
  <c r="AW293" i="5"/>
  <c r="AW181" i="5"/>
  <c r="AW349" i="5"/>
  <c r="AW365" i="5"/>
  <c r="AW85" i="5"/>
  <c r="AW269" i="5"/>
  <c r="AW317" i="5"/>
  <c r="AW157" i="5"/>
  <c r="AW53" i="5"/>
  <c r="AW205" i="5"/>
  <c r="AW397" i="5"/>
  <c r="AW226" i="5"/>
  <c r="AW122" i="5"/>
  <c r="AW130" i="5"/>
  <c r="AW282" i="5"/>
  <c r="AW346" i="5"/>
  <c r="AW378" i="5"/>
  <c r="DI60" i="3"/>
  <c r="DI70" i="3"/>
  <c r="BI81" i="5"/>
  <c r="DI74" i="3"/>
  <c r="AP11" i="5"/>
  <c r="AU11" i="5" s="1"/>
  <c r="DI66" i="3"/>
  <c r="DI14" i="3"/>
  <c r="BI39" i="5"/>
  <c r="AP55" i="5"/>
  <c r="BI68" i="5"/>
  <c r="BI16" i="5"/>
  <c r="DI37" i="3"/>
  <c r="BI55" i="5"/>
  <c r="BI59" i="5"/>
  <c r="AW35" i="5"/>
  <c r="AW115" i="5"/>
  <c r="AT132" i="5"/>
  <c r="AP59" i="5"/>
  <c r="AP41" i="5"/>
  <c r="AP37" i="5"/>
  <c r="BI44" i="5"/>
  <c r="AO268" i="5"/>
  <c r="AP34" i="5"/>
  <c r="AP42" i="5"/>
  <c r="BI11" i="5"/>
  <c r="BI41" i="5"/>
  <c r="AQ70" i="3"/>
  <c r="AQ66" i="3"/>
  <c r="AQ69" i="3"/>
  <c r="AQ73" i="3"/>
  <c r="EM8" i="3"/>
  <c r="AE31" i="3"/>
  <c r="AT31" i="5"/>
  <c r="AT95" i="5"/>
  <c r="AW102" i="5"/>
  <c r="AT119" i="5"/>
  <c r="AT127" i="5"/>
  <c r="AW134" i="5"/>
  <c r="AT183" i="5"/>
  <c r="AW190" i="5"/>
  <c r="AT223" i="5"/>
  <c r="AW230" i="5"/>
  <c r="AT271" i="5"/>
  <c r="AW278" i="5"/>
  <c r="AT295" i="5"/>
  <c r="AW302" i="5"/>
  <c r="AT351" i="5"/>
  <c r="F64" i="24"/>
  <c r="AE29" i="3"/>
  <c r="AW73" i="5"/>
  <c r="AW89" i="5"/>
  <c r="AW121" i="5"/>
  <c r="AW129" i="5"/>
  <c r="AW161" i="5"/>
  <c r="AW177" i="5"/>
  <c r="AW193" i="5"/>
  <c r="AW201" i="5"/>
  <c r="AW217" i="5"/>
  <c r="AW273" i="5"/>
  <c r="AW313" i="5"/>
  <c r="AW377" i="5"/>
  <c r="AW401" i="5"/>
  <c r="BK20" i="5"/>
  <c r="AE28" i="3"/>
  <c r="BI13" i="5"/>
  <c r="BI9" i="5"/>
  <c r="AS409" i="5"/>
  <c r="AV409" i="5" s="1"/>
  <c r="BI22" i="5"/>
  <c r="AW47" i="5"/>
  <c r="AW55" i="5"/>
  <c r="AW71" i="5"/>
  <c r="AW79" i="5"/>
  <c r="AW87" i="5"/>
  <c r="AW95" i="5"/>
  <c r="AW103" i="5"/>
  <c r="AW135" i="5"/>
  <c r="AW143" i="5"/>
  <c r="AW151" i="5"/>
  <c r="AW159" i="5"/>
  <c r="AW167" i="5"/>
  <c r="AW199" i="5"/>
  <c r="AW207" i="5"/>
  <c r="AW215" i="5"/>
  <c r="AW223" i="5"/>
  <c r="AW231" i="5"/>
  <c r="AW263" i="5"/>
  <c r="AW271" i="5"/>
  <c r="AW279" i="5"/>
  <c r="AW287" i="5"/>
  <c r="AW295" i="5"/>
  <c r="AW327" i="5"/>
  <c r="AW335" i="5"/>
  <c r="AW343" i="5"/>
  <c r="AW351" i="5"/>
  <c r="AW359" i="5"/>
  <c r="AW391" i="5"/>
  <c r="AW399" i="5"/>
  <c r="AW415" i="5"/>
  <c r="BI43" i="5"/>
  <c r="AW26" i="5"/>
  <c r="AW82" i="5"/>
  <c r="AW402" i="5"/>
  <c r="AW322" i="5"/>
  <c r="AW266" i="5"/>
  <c r="AW202" i="5"/>
  <c r="AW90" i="5"/>
  <c r="AW194" i="5"/>
  <c r="AW66" i="5"/>
  <c r="AW394" i="5"/>
  <c r="AW314" i="5"/>
  <c r="AW258" i="5"/>
  <c r="AW186" i="5"/>
  <c r="AW74" i="5"/>
  <c r="AT11" i="5"/>
  <c r="AW50" i="5"/>
  <c r="AW370" i="5"/>
  <c r="AW306" i="5"/>
  <c r="AW242" i="5"/>
  <c r="AW170" i="5"/>
  <c r="AW58" i="5"/>
  <c r="AW18" i="5"/>
  <c r="AW178" i="5"/>
  <c r="AW362" i="5"/>
  <c r="AW298" i="5"/>
  <c r="AW234" i="5"/>
  <c r="AW154" i="5"/>
  <c r="AW42" i="5"/>
  <c r="AW250" i="5"/>
  <c r="AW34" i="5"/>
  <c r="AW162" i="5"/>
  <c r="AO17" i="5"/>
  <c r="AW146" i="5"/>
  <c r="AW386" i="5"/>
  <c r="AW354" i="5"/>
  <c r="AW290" i="5"/>
  <c r="AW138" i="5"/>
  <c r="AW114" i="5"/>
  <c r="AW338" i="5"/>
  <c r="AW218" i="5"/>
  <c r="AW106" i="5"/>
  <c r="AW98" i="5"/>
  <c r="AW410" i="5"/>
  <c r="AW330" i="5"/>
  <c r="AW274" i="5"/>
  <c r="AW210" i="5"/>
  <c r="AO124" i="5"/>
  <c r="AO83" i="5"/>
  <c r="AO339" i="5"/>
  <c r="AW24" i="5"/>
  <c r="AW100" i="5"/>
  <c r="AW28" i="5"/>
  <c r="AW268" i="5"/>
  <c r="AW364" i="5"/>
  <c r="AW68" i="5"/>
  <c r="AW204" i="5"/>
  <c r="AW356" i="5"/>
  <c r="AW316" i="5"/>
  <c r="AW220" i="5"/>
  <c r="AW260" i="5"/>
  <c r="AT22" i="5"/>
  <c r="AW29" i="5"/>
  <c r="AT38" i="5"/>
  <c r="AW45" i="5"/>
  <c r="AT54" i="5"/>
  <c r="AW61" i="5"/>
  <c r="AT62" i="5"/>
  <c r="AW69" i="5"/>
  <c r="AT86" i="5"/>
  <c r="AW101" i="5"/>
  <c r="AT102" i="5"/>
  <c r="AW109" i="5"/>
  <c r="AT110" i="5"/>
  <c r="AW117" i="5"/>
  <c r="AT118" i="5"/>
  <c r="AW125" i="5"/>
  <c r="AT126" i="5"/>
  <c r="AW133" i="5"/>
  <c r="AT134" i="5"/>
  <c r="AT142" i="5"/>
  <c r="AW149" i="5"/>
  <c r="AT158" i="5"/>
  <c r="AT166" i="5"/>
  <c r="AW173" i="5"/>
  <c r="AT182" i="5"/>
  <c r="AW189" i="5"/>
  <c r="AT190" i="5"/>
  <c r="AW197" i="5"/>
  <c r="AT206" i="5"/>
  <c r="AT214" i="5"/>
  <c r="AW221" i="5"/>
  <c r="AT222" i="5"/>
  <c r="AW229" i="5"/>
  <c r="AT230" i="5"/>
  <c r="AW237" i="5"/>
  <c r="AT238" i="5"/>
  <c r="AW245" i="5"/>
  <c r="AT246" i="5"/>
  <c r="AW253" i="5"/>
  <c r="AT254" i="5"/>
  <c r="AW261" i="5"/>
  <c r="AT270" i="5"/>
  <c r="AW277" i="5"/>
  <c r="AT278" i="5"/>
  <c r="AT294" i="5"/>
  <c r="AW301" i="5"/>
  <c r="AW325" i="5"/>
  <c r="AT326" i="5"/>
  <c r="AT350" i="5"/>
  <c r="AW357" i="5"/>
  <c r="AT366" i="5"/>
  <c r="AW373" i="5"/>
  <c r="AT374" i="5"/>
  <c r="AW381" i="5"/>
  <c r="AT382" i="5"/>
  <c r="AW389" i="5"/>
  <c r="AT398" i="5"/>
  <c r="AW405" i="5"/>
  <c r="AT406" i="5"/>
  <c r="AW413" i="5"/>
  <c r="AT104" i="5"/>
  <c r="AT120" i="5"/>
  <c r="AT296" i="5"/>
  <c r="AT360" i="5"/>
  <c r="AO20" i="5"/>
  <c r="AO52" i="5"/>
  <c r="AO60" i="5"/>
  <c r="AO84" i="5"/>
  <c r="AO116" i="5"/>
  <c r="AO148" i="5"/>
  <c r="AO180" i="5"/>
  <c r="AO188" i="5"/>
  <c r="AO212" i="5"/>
  <c r="AO244" i="5"/>
  <c r="AO252" i="5"/>
  <c r="AO260" i="5"/>
  <c r="AO292" i="5"/>
  <c r="AO316" i="5"/>
  <c r="AO324" i="5"/>
  <c r="AO348" i="5"/>
  <c r="AO380" i="5"/>
  <c r="AO388" i="5"/>
  <c r="AO404" i="5"/>
  <c r="AO27" i="5"/>
  <c r="AO35" i="5"/>
  <c r="AO43" i="5"/>
  <c r="AO51" i="5"/>
  <c r="AO59" i="5"/>
  <c r="AO67" i="5"/>
  <c r="AO75" i="5"/>
  <c r="AO91" i="5"/>
  <c r="AO99" i="5"/>
  <c r="AO107" i="5"/>
  <c r="AO115" i="5"/>
  <c r="AO123" i="5"/>
  <c r="AO131" i="5"/>
  <c r="AO139" i="5"/>
  <c r="AO147" i="5"/>
  <c r="AO155" i="5"/>
  <c r="AO163" i="5"/>
  <c r="AO171" i="5"/>
  <c r="AO179" i="5"/>
  <c r="AO187" i="5"/>
  <c r="AO195" i="5"/>
  <c r="AO203" i="5"/>
  <c r="AO211" i="5"/>
  <c r="AO219" i="5"/>
  <c r="AO227" i="5"/>
  <c r="AO235" i="5"/>
  <c r="AO243" i="5"/>
  <c r="AO251" i="5"/>
  <c r="AO259" i="5"/>
  <c r="AO267" i="5"/>
  <c r="AO275" i="5"/>
  <c r="AO283" i="5"/>
  <c r="AO291" i="5"/>
  <c r="AO299" i="5"/>
  <c r="AO307" i="5"/>
  <c r="AO315" i="5"/>
  <c r="AO323" i="5"/>
  <c r="AO331" i="5"/>
  <c r="AO347" i="5"/>
  <c r="AO355" i="5"/>
  <c r="AO363" i="5"/>
  <c r="AO371" i="5"/>
  <c r="AO379" i="5"/>
  <c r="AO387" i="5"/>
  <c r="AO395" i="5"/>
  <c r="AO403" i="5"/>
  <c r="AW334" i="5"/>
  <c r="AW206" i="5"/>
  <c r="AW374" i="5"/>
  <c r="AW118" i="5"/>
  <c r="AW54" i="5"/>
  <c r="AW318" i="5"/>
  <c r="AW126" i="5"/>
  <c r="AW62" i="5"/>
  <c r="AW326" i="5"/>
  <c r="AW182" i="5"/>
  <c r="AW214" i="5"/>
  <c r="AW22" i="5"/>
  <c r="AW414" i="5"/>
  <c r="AW286" i="5"/>
  <c r="AW110" i="5"/>
  <c r="AW46" i="5"/>
  <c r="AW358" i="5"/>
  <c r="AW166" i="5"/>
  <c r="AW398" i="5"/>
  <c r="AW270" i="5"/>
  <c r="AW174" i="5"/>
  <c r="AW30" i="5"/>
  <c r="AW406" i="5"/>
  <c r="AW310" i="5"/>
  <c r="AW86" i="5"/>
  <c r="AW38" i="5"/>
  <c r="AW382" i="5"/>
  <c r="AW254" i="5"/>
  <c r="AW158" i="5"/>
  <c r="AW94" i="5"/>
  <c r="AW262" i="5"/>
  <c r="AW150" i="5"/>
  <c r="AW366" i="5"/>
  <c r="AW238" i="5"/>
  <c r="AW342" i="5"/>
  <c r="AW70" i="5"/>
  <c r="AW350" i="5"/>
  <c r="AW222" i="5"/>
  <c r="AW142" i="5"/>
  <c r="AW78" i="5"/>
  <c r="AW390" i="5"/>
  <c r="AW294" i="5"/>
  <c r="AW246" i="5"/>
  <c r="AW198" i="5"/>
  <c r="AO54" i="5"/>
  <c r="AO214" i="5"/>
  <c r="AW383" i="5"/>
  <c r="AW319" i="5"/>
  <c r="AW375" i="5"/>
  <c r="AW311" i="5"/>
  <c r="AW272" i="5"/>
  <c r="AO385" i="5"/>
  <c r="AW367" i="5"/>
  <c r="AW303" i="5"/>
  <c r="AW255" i="5"/>
  <c r="AW191" i="5"/>
  <c r="AW127" i="5"/>
  <c r="AW63" i="5"/>
  <c r="AO113" i="5"/>
  <c r="AO193" i="5"/>
  <c r="AO241" i="5"/>
  <c r="AO257" i="5"/>
  <c r="AO377" i="5"/>
  <c r="AW247" i="5"/>
  <c r="AW183" i="5"/>
  <c r="AW119" i="5"/>
  <c r="AW239" i="5"/>
  <c r="AW175" i="5"/>
  <c r="AW111" i="5"/>
  <c r="AW23" i="5"/>
  <c r="AW407" i="5"/>
  <c r="AW31" i="5"/>
  <c r="AW288" i="5"/>
  <c r="AW48" i="5"/>
  <c r="AW72" i="5"/>
  <c r="AW56" i="5"/>
  <c r="AW408" i="5"/>
  <c r="AW104" i="5"/>
  <c r="AW280" i="5"/>
  <c r="AW144" i="5"/>
  <c r="AW264" i="5"/>
  <c r="AW232" i="5"/>
  <c r="AW40" i="5"/>
  <c r="AW344" i="5"/>
  <c r="AW352" i="5"/>
  <c r="AW256" i="5"/>
  <c r="AW128" i="5"/>
  <c r="AW208" i="5"/>
  <c r="AW216" i="5"/>
  <c r="AW32" i="5"/>
  <c r="AW88" i="5"/>
  <c r="AW400" i="5"/>
  <c r="AW336" i="5"/>
  <c r="AW240" i="5"/>
  <c r="AW176" i="5"/>
  <c r="AW392" i="5"/>
  <c r="AW96" i="5"/>
  <c r="AW248" i="5"/>
  <c r="AW112" i="5"/>
  <c r="AW168" i="5"/>
  <c r="AW384" i="5"/>
  <c r="AW328" i="5"/>
  <c r="AW224" i="5"/>
  <c r="AW80" i="5"/>
  <c r="AW184" i="5"/>
  <c r="AW312" i="5"/>
  <c r="AW136" i="5"/>
  <c r="AW360" i="5"/>
  <c r="AW376" i="5"/>
  <c r="AW320" i="5"/>
  <c r="AW200" i="5"/>
  <c r="AW152" i="5"/>
  <c r="AW296" i="5"/>
  <c r="AW120" i="5"/>
  <c r="AW192" i="5"/>
  <c r="AW368" i="5"/>
  <c r="AW304" i="5"/>
  <c r="AW160" i="5"/>
  <c r="AW64" i="5"/>
  <c r="AO46" i="5"/>
  <c r="AO62" i="5"/>
  <c r="AO94" i="5"/>
  <c r="AO102" i="5"/>
  <c r="AO110" i="5"/>
  <c r="AO158" i="5"/>
  <c r="AO166" i="5"/>
  <c r="AO222" i="5"/>
  <c r="AO230" i="5"/>
  <c r="AO278" i="5"/>
  <c r="AO286" i="5"/>
  <c r="AO294" i="5"/>
  <c r="AO334" i="5"/>
  <c r="AO342" i="5"/>
  <c r="AO350" i="5"/>
  <c r="AO398" i="5"/>
  <c r="AO406" i="5"/>
  <c r="AO9" i="5"/>
  <c r="AJ409" i="5"/>
  <c r="AT305" i="5"/>
  <c r="AT329" i="5"/>
  <c r="AT377" i="5"/>
  <c r="AT18" i="5"/>
  <c r="AW17" i="5"/>
  <c r="AW16" i="5"/>
  <c r="AW25" i="5"/>
  <c r="AO39" i="5"/>
  <c r="AO71" i="5"/>
  <c r="AO103" i="5"/>
  <c r="AO135" i="5"/>
  <c r="AO167" i="5"/>
  <c r="AO199" i="5"/>
  <c r="AO231" i="5"/>
  <c r="AO295" i="5"/>
  <c r="AO327" i="5"/>
  <c r="AO359" i="5"/>
  <c r="AO391" i="5"/>
  <c r="AT10" i="5"/>
  <c r="AO49" i="5"/>
  <c r="AO57" i="5"/>
  <c r="AO65" i="5"/>
  <c r="AO121" i="5"/>
  <c r="AO129" i="5"/>
  <c r="AO177" i="5"/>
  <c r="AO185" i="5"/>
  <c r="AO249" i="5"/>
  <c r="AO305" i="5"/>
  <c r="AO313" i="5"/>
  <c r="AO321" i="5"/>
  <c r="AO369" i="5"/>
  <c r="AT265" i="5"/>
  <c r="AO170" i="5"/>
  <c r="AO263" i="5"/>
  <c r="AO13" i="5"/>
  <c r="AW403" i="5"/>
  <c r="AW371" i="5"/>
  <c r="AW339" i="5"/>
  <c r="AW307" i="5"/>
  <c r="AW283" i="5"/>
  <c r="AW251" i="5"/>
  <c r="AW219" i="5"/>
  <c r="AW187" i="5"/>
  <c r="AW155" i="5"/>
  <c r="AW123" i="5"/>
  <c r="AW91" i="5"/>
  <c r="AW59" i="5"/>
  <c r="AT84" i="5"/>
  <c r="AT228" i="5"/>
  <c r="AW395" i="5"/>
  <c r="AW363" i="5"/>
  <c r="AW331" i="5"/>
  <c r="AW275" i="5"/>
  <c r="AW243" i="5"/>
  <c r="AW211" i="5"/>
  <c r="AW179" i="5"/>
  <c r="AW147" i="5"/>
  <c r="AW83" i="5"/>
  <c r="AW51" i="5"/>
  <c r="AT260" i="5"/>
  <c r="AT28" i="5"/>
  <c r="AW387" i="5"/>
  <c r="AW355" i="5"/>
  <c r="AW323" i="5"/>
  <c r="AW299" i="5"/>
  <c r="AW267" i="5"/>
  <c r="AW235" i="5"/>
  <c r="AW203" i="5"/>
  <c r="AW171" i="5"/>
  <c r="AW139" i="5"/>
  <c r="AW107" i="5"/>
  <c r="AW75" i="5"/>
  <c r="AW43" i="5"/>
  <c r="AW27" i="5"/>
  <c r="AT33" i="5"/>
  <c r="AT268" i="5"/>
  <c r="AW19" i="5"/>
  <c r="AT57" i="5"/>
  <c r="AW411" i="5"/>
  <c r="AW379" i="5"/>
  <c r="AW347" i="5"/>
  <c r="AW315" i="5"/>
  <c r="AW291" i="5"/>
  <c r="AW259" i="5"/>
  <c r="AW227" i="5"/>
  <c r="AW195" i="5"/>
  <c r="AW163" i="5"/>
  <c r="AW131" i="5"/>
  <c r="AW99" i="5"/>
  <c r="AW67" i="5"/>
  <c r="AT81" i="5"/>
  <c r="AT356" i="5"/>
  <c r="AO296" i="5"/>
  <c r="AO392" i="5"/>
  <c r="AT94" i="5"/>
  <c r="AT318" i="5"/>
  <c r="AT92" i="5"/>
  <c r="AT156" i="5"/>
  <c r="AT220" i="5"/>
  <c r="AT372" i="5"/>
  <c r="AT316" i="5"/>
  <c r="AT180" i="5"/>
  <c r="AO15" i="5"/>
  <c r="AO25" i="5"/>
  <c r="AO33" i="5"/>
  <c r="AO41" i="5"/>
  <c r="AO73" i="5"/>
  <c r="AO81" i="5"/>
  <c r="AO89" i="5"/>
  <c r="AO97" i="5"/>
  <c r="AO105" i="5"/>
  <c r="AO137" i="5"/>
  <c r="AO145" i="5"/>
  <c r="AO153" i="5"/>
  <c r="AO161" i="5"/>
  <c r="AO169" i="5"/>
  <c r="AO201" i="5"/>
  <c r="AO209" i="5"/>
  <c r="AO217" i="5"/>
  <c r="AO225" i="5"/>
  <c r="AO233" i="5"/>
  <c r="AO265" i="5"/>
  <c r="AO273" i="5"/>
  <c r="AO281" i="5"/>
  <c r="AO289" i="5"/>
  <c r="AO297" i="5"/>
  <c r="AO329" i="5"/>
  <c r="AO337" i="5"/>
  <c r="AO345" i="5"/>
  <c r="AO353" i="5"/>
  <c r="AO361" i="5"/>
  <c r="AO393" i="5"/>
  <c r="AO401" i="5"/>
  <c r="AT196" i="5"/>
  <c r="AT284" i="5"/>
  <c r="AO28" i="5"/>
  <c r="AO36" i="5"/>
  <c r="AO44" i="5"/>
  <c r="AO68" i="5"/>
  <c r="AO76" i="5"/>
  <c r="AO92" i="5"/>
  <c r="AO100" i="5"/>
  <c r="AO108" i="5"/>
  <c r="AO132" i="5"/>
  <c r="AO140" i="5"/>
  <c r="AO156" i="5"/>
  <c r="AO164" i="5"/>
  <c r="AO172" i="5"/>
  <c r="AO196" i="5"/>
  <c r="AO204" i="5"/>
  <c r="AO220" i="5"/>
  <c r="AO228" i="5"/>
  <c r="AO236" i="5"/>
  <c r="AO276" i="5"/>
  <c r="AO284" i="5"/>
  <c r="AO300" i="5"/>
  <c r="AO308" i="5"/>
  <c r="AO332" i="5"/>
  <c r="AO340" i="5"/>
  <c r="AO356" i="5"/>
  <c r="AO364" i="5"/>
  <c r="AO372" i="5"/>
  <c r="AO396" i="5"/>
  <c r="AT400" i="5"/>
  <c r="AW44" i="5"/>
  <c r="AW76" i="5"/>
  <c r="AW172" i="5"/>
  <c r="AW324" i="5"/>
  <c r="AW244" i="5"/>
  <c r="AO18" i="5"/>
  <c r="AW284" i="5"/>
  <c r="AW252" i="5"/>
  <c r="AW308" i="5"/>
  <c r="AW292" i="5"/>
  <c r="AW132" i="5"/>
  <c r="AO34" i="5"/>
  <c r="AO314" i="5"/>
  <c r="AW108" i="5"/>
  <c r="AW396" i="5"/>
  <c r="AW124" i="5"/>
  <c r="AW388" i="5"/>
  <c r="AW348" i="5"/>
  <c r="AW212" i="5"/>
  <c r="AW36" i="5"/>
  <c r="AW92" i="5"/>
  <c r="AW276" i="5"/>
  <c r="AW196" i="5"/>
  <c r="AW116" i="5"/>
  <c r="AW236" i="5"/>
  <c r="AO14" i="5"/>
  <c r="AO264" i="5"/>
  <c r="AO328" i="5"/>
  <c r="AO360" i="5"/>
  <c r="AW188" i="5"/>
  <c r="AW140" i="5"/>
  <c r="AW412" i="5"/>
  <c r="AW372" i="5"/>
  <c r="AW164" i="5"/>
  <c r="AO12" i="5"/>
  <c r="AO22" i="5"/>
  <c r="AO30" i="5"/>
  <c r="AO38" i="5"/>
  <c r="AO78" i="5"/>
  <c r="AO86" i="5"/>
  <c r="AO118" i="5"/>
  <c r="AO126" i="5"/>
  <c r="AO134" i="5"/>
  <c r="AO142" i="5"/>
  <c r="AO150" i="5"/>
  <c r="AO174" i="5"/>
  <c r="AO182" i="5"/>
  <c r="AO190" i="5"/>
  <c r="AO198" i="5"/>
  <c r="AO206" i="5"/>
  <c r="AO238" i="5"/>
  <c r="AO246" i="5"/>
  <c r="AO254" i="5"/>
  <c r="AO262" i="5"/>
  <c r="AO270" i="5"/>
  <c r="AO302" i="5"/>
  <c r="AO310" i="5"/>
  <c r="AO318" i="5"/>
  <c r="AO326" i="5"/>
  <c r="AO358" i="5"/>
  <c r="AO366" i="5"/>
  <c r="AO374" i="5"/>
  <c r="AO382" i="5"/>
  <c r="AO390" i="5"/>
  <c r="AO23" i="5"/>
  <c r="AO31" i="5"/>
  <c r="AO47" i="5"/>
  <c r="AO55" i="5"/>
  <c r="AO63" i="5"/>
  <c r="AO79" i="5"/>
  <c r="AO87" i="5"/>
  <c r="AO95" i="5"/>
  <c r="AO111" i="5"/>
  <c r="AO119" i="5"/>
  <c r="AO127" i="5"/>
  <c r="AO143" i="5"/>
  <c r="AO151" i="5"/>
  <c r="AO159" i="5"/>
  <c r="AO175" i="5"/>
  <c r="AO183" i="5"/>
  <c r="AO191" i="5"/>
  <c r="AO207" i="5"/>
  <c r="AO215" i="5"/>
  <c r="AO223" i="5"/>
  <c r="AO239" i="5"/>
  <c r="AO247" i="5"/>
  <c r="AO255" i="5"/>
  <c r="AO271" i="5"/>
  <c r="AO279" i="5"/>
  <c r="AO287" i="5"/>
  <c r="AO303" i="5"/>
  <c r="AO311" i="5"/>
  <c r="AO319" i="5"/>
  <c r="AO335" i="5"/>
  <c r="AO343" i="5"/>
  <c r="AO351" i="5"/>
  <c r="AO367" i="5"/>
  <c r="AO375" i="5"/>
  <c r="AO383" i="5"/>
  <c r="AO399" i="5"/>
  <c r="AO407" i="5"/>
  <c r="AT32" i="5"/>
  <c r="AW39" i="5"/>
  <c r="AT40" i="5"/>
  <c r="AT48" i="5"/>
  <c r="AT64" i="5"/>
  <c r="AT72" i="5"/>
  <c r="AT80" i="5"/>
  <c r="AT88" i="5"/>
  <c r="AT96" i="5"/>
  <c r="AT128" i="5"/>
  <c r="AT136" i="5"/>
  <c r="AT144" i="5"/>
  <c r="AT152" i="5"/>
  <c r="AT160" i="5"/>
  <c r="AT192" i="5"/>
  <c r="AT200" i="5"/>
  <c r="AT208" i="5"/>
  <c r="AT216" i="5"/>
  <c r="AT224" i="5"/>
  <c r="AT256" i="5"/>
  <c r="AT264" i="5"/>
  <c r="AT272" i="5"/>
  <c r="AT280" i="5"/>
  <c r="AT288" i="5"/>
  <c r="AT320" i="5"/>
  <c r="AT328" i="5"/>
  <c r="AT336" i="5"/>
  <c r="AT344" i="5"/>
  <c r="AT352" i="5"/>
  <c r="AT384" i="5"/>
  <c r="AT392" i="5"/>
  <c r="AT408" i="5"/>
  <c r="AT41" i="5"/>
  <c r="AT65" i="5"/>
  <c r="AT257" i="5"/>
  <c r="AT313" i="5"/>
  <c r="AO16" i="5"/>
  <c r="AO26" i="5"/>
  <c r="AO42" i="5"/>
  <c r="AO50" i="5"/>
  <c r="AO58" i="5"/>
  <c r="AO66" i="5"/>
  <c r="AO74" i="5"/>
  <c r="AO82" i="5"/>
  <c r="AO90" i="5"/>
  <c r="AO98" i="5"/>
  <c r="AO106" i="5"/>
  <c r="AO114" i="5"/>
  <c r="AO122" i="5"/>
  <c r="AO130" i="5"/>
  <c r="AO138" i="5"/>
  <c r="AO146" i="5"/>
  <c r="AO154" i="5"/>
  <c r="AO162" i="5"/>
  <c r="AO178" i="5"/>
  <c r="AO186" i="5"/>
  <c r="AO194" i="5"/>
  <c r="AO202" i="5"/>
  <c r="AO210" i="5"/>
  <c r="AO218" i="5"/>
  <c r="AO226" i="5"/>
  <c r="AO234" i="5"/>
  <c r="AO242" i="5"/>
  <c r="AO250" i="5"/>
  <c r="AO258" i="5"/>
  <c r="AO266" i="5"/>
  <c r="AO274" i="5"/>
  <c r="AO282" i="5"/>
  <c r="AO290" i="5"/>
  <c r="AO298" i="5"/>
  <c r="AO306" i="5"/>
  <c r="AO322" i="5"/>
  <c r="AO330" i="5"/>
  <c r="AO338" i="5"/>
  <c r="AO346" i="5"/>
  <c r="AO354" i="5"/>
  <c r="AO362" i="5"/>
  <c r="AO370" i="5"/>
  <c r="AO378" i="5"/>
  <c r="AO386" i="5"/>
  <c r="AO394" i="5"/>
  <c r="AO402" i="5"/>
  <c r="AT385" i="5"/>
  <c r="AT121" i="5"/>
  <c r="AT369" i="5"/>
  <c r="AT241" i="5"/>
  <c r="AO19" i="5"/>
  <c r="AO24" i="5"/>
  <c r="AO32" i="5"/>
  <c r="AO40" i="5"/>
  <c r="AO48" i="5"/>
  <c r="AO56" i="5"/>
  <c r="AO64" i="5"/>
  <c r="AO72" i="5"/>
  <c r="AO80" i="5"/>
  <c r="AO88" i="5"/>
  <c r="AO96" i="5"/>
  <c r="AO104" i="5"/>
  <c r="AO112" i="5"/>
  <c r="AO120" i="5"/>
  <c r="AO128" i="5"/>
  <c r="AO136" i="5"/>
  <c r="AO144" i="5"/>
  <c r="AO152" i="5"/>
  <c r="AO160" i="5"/>
  <c r="AO168" i="5"/>
  <c r="AO176" i="5"/>
  <c r="AO184" i="5"/>
  <c r="AO192" i="5"/>
  <c r="AO200" i="5"/>
  <c r="AO208" i="5"/>
  <c r="AO216" i="5"/>
  <c r="AO224" i="5"/>
  <c r="AO232" i="5"/>
  <c r="AO240" i="5"/>
  <c r="AO248" i="5"/>
  <c r="AO256" i="5"/>
  <c r="AO272" i="5"/>
  <c r="AO280" i="5"/>
  <c r="AO288" i="5"/>
  <c r="AO304" i="5"/>
  <c r="AO312" i="5"/>
  <c r="AO320" i="5"/>
  <c r="AO336" i="5"/>
  <c r="AO344" i="5"/>
  <c r="AO352" i="5"/>
  <c r="AO368" i="5"/>
  <c r="AO376" i="5"/>
  <c r="AO384" i="5"/>
  <c r="AO400" i="5"/>
  <c r="AO408" i="5"/>
  <c r="AO21" i="5"/>
  <c r="AO29" i="5"/>
  <c r="AO37" i="5"/>
  <c r="AO45" i="5"/>
  <c r="AO53" i="5"/>
  <c r="AO61" i="5"/>
  <c r="AO69" i="5"/>
  <c r="AO77" i="5"/>
  <c r="AO85" i="5"/>
  <c r="AO93" i="5"/>
  <c r="AO101" i="5"/>
  <c r="AO109" i="5"/>
  <c r="AO117" i="5"/>
  <c r="AO125" i="5"/>
  <c r="AO133" i="5"/>
  <c r="AO141" i="5"/>
  <c r="AO149" i="5"/>
  <c r="AO157" i="5"/>
  <c r="AO165" i="5"/>
  <c r="AO173" i="5"/>
  <c r="AO181" i="5"/>
  <c r="AO189" i="5"/>
  <c r="AO197" i="5"/>
  <c r="AO205" i="5"/>
  <c r="AO213" i="5"/>
  <c r="AO221" i="5"/>
  <c r="AO229" i="5"/>
  <c r="AO237" i="5"/>
  <c r="AO245" i="5"/>
  <c r="AO253" i="5"/>
  <c r="AO261" i="5"/>
  <c r="AO269" i="5"/>
  <c r="AO277" i="5"/>
  <c r="AO285" i="5"/>
  <c r="AO293" i="5"/>
  <c r="AO301" i="5"/>
  <c r="AO309" i="5"/>
  <c r="AO317" i="5"/>
  <c r="AO325" i="5"/>
  <c r="AO333" i="5"/>
  <c r="AO341" i="5"/>
  <c r="AO349" i="5"/>
  <c r="AO357" i="5"/>
  <c r="AO365" i="5"/>
  <c r="AO373" i="5"/>
  <c r="AO381" i="5"/>
  <c r="AO389" i="5"/>
  <c r="AO397" i="5"/>
  <c r="AO405" i="5"/>
  <c r="AO11" i="5"/>
  <c r="AW33" i="5"/>
  <c r="AT34" i="5"/>
  <c r="AW41" i="5"/>
  <c r="AW49" i="5"/>
  <c r="AT50" i="5"/>
  <c r="AW57" i="5"/>
  <c r="AW65" i="5"/>
  <c r="AT66" i="5"/>
  <c r="AT74" i="5"/>
  <c r="AW81" i="5"/>
  <c r="AT82" i="5"/>
  <c r="AW97" i="5"/>
  <c r="AT90" i="5"/>
  <c r="AT98" i="5"/>
  <c r="AW105" i="5"/>
  <c r="AW113" i="5"/>
  <c r="AT106" i="5"/>
  <c r="AT114" i="5"/>
  <c r="AT122" i="5"/>
  <c r="AW137" i="5"/>
  <c r="AT138" i="5"/>
  <c r="AW145" i="5"/>
  <c r="AW153" i="5"/>
  <c r="AT154" i="5"/>
  <c r="AW169" i="5"/>
  <c r="AT162" i="5"/>
  <c r="AT170" i="5"/>
  <c r="AT178" i="5"/>
  <c r="AW185" i="5"/>
  <c r="AT186" i="5"/>
  <c r="AT194" i="5"/>
  <c r="AW209" i="5"/>
  <c r="AT210" i="5"/>
  <c r="AW225" i="5"/>
  <c r="AT226" i="5"/>
  <c r="AW233" i="5"/>
  <c r="AW241" i="5"/>
  <c r="AT234" i="5"/>
  <c r="AT242" i="5"/>
  <c r="AW249" i="5"/>
  <c r="AT250" i="5"/>
  <c r="AW257" i="5"/>
  <c r="AW265" i="5"/>
  <c r="AT266" i="5"/>
  <c r="AT274" i="5"/>
  <c r="AW281" i="5"/>
  <c r="AT282" i="5"/>
  <c r="AW289" i="5"/>
  <c r="AT290" i="5"/>
  <c r="AW297" i="5"/>
  <c r="AW305" i="5"/>
  <c r="AT306" i="5"/>
  <c r="AW321" i="5"/>
  <c r="AT314" i="5"/>
  <c r="AT322" i="5"/>
  <c r="AW329" i="5"/>
  <c r="AT330" i="5"/>
  <c r="AW337" i="5"/>
  <c r="AT338" i="5"/>
  <c r="AW345" i="5"/>
  <c r="AT346" i="5"/>
  <c r="AW353" i="5"/>
  <c r="AW361" i="5"/>
  <c r="AT354" i="5"/>
  <c r="AT362" i="5"/>
  <c r="AW369" i="5"/>
  <c r="AT370" i="5"/>
  <c r="AW385" i="5"/>
  <c r="AW393" i="5"/>
  <c r="AT386" i="5"/>
  <c r="AT394" i="5"/>
  <c r="AW409" i="5"/>
  <c r="AO10" i="5"/>
  <c r="AT333" i="5"/>
  <c r="AW340" i="5"/>
  <c r="AT28" i="3"/>
  <c r="AT27" i="3"/>
  <c r="AT15" i="3"/>
  <c r="AT20" i="3"/>
  <c r="DN197" i="3"/>
  <c r="DN196" i="3"/>
  <c r="EJ24" i="3"/>
  <c r="EJ18" i="3"/>
  <c r="EJ16" i="3"/>
  <c r="BB17" i="3" l="1"/>
  <c r="AZ20" i="3"/>
  <c r="AZ30" i="3"/>
  <c r="AZ26" i="3"/>
  <c r="EG49" i="3"/>
  <c r="AH49" i="3" s="1"/>
  <c r="EG48" i="3"/>
  <c r="AH48" i="3" s="1"/>
  <c r="W322" i="20"/>
  <c r="W290" i="20"/>
  <c r="W258" i="20"/>
  <c r="W226" i="20"/>
  <c r="W194" i="20"/>
  <c r="W162" i="20"/>
  <c r="W130" i="20"/>
  <c r="W98" i="20"/>
  <c r="W66" i="20"/>
  <c r="W315" i="20"/>
  <c r="W283" i="20"/>
  <c r="W251" i="20"/>
  <c r="W219" i="20"/>
  <c r="W187" i="20"/>
  <c r="W155" i="20"/>
  <c r="W123" i="20"/>
  <c r="W91" i="20"/>
  <c r="W59" i="20"/>
  <c r="W33" i="20"/>
  <c r="W292" i="20"/>
  <c r="W260" i="20"/>
  <c r="W228" i="20"/>
  <c r="W196" i="20"/>
  <c r="W164" i="20"/>
  <c r="W132" i="20"/>
  <c r="W100" i="20"/>
  <c r="W68" i="20"/>
  <c r="W43" i="20"/>
  <c r="W309" i="20"/>
  <c r="W277" i="20"/>
  <c r="W245" i="20"/>
  <c r="W213" i="20"/>
  <c r="W181" i="20"/>
  <c r="W149" i="20"/>
  <c r="W117" i="20"/>
  <c r="W85" i="20"/>
  <c r="W53" i="20"/>
  <c r="W302" i="20"/>
  <c r="W270" i="20"/>
  <c r="W238" i="20"/>
  <c r="W206" i="20"/>
  <c r="W174" i="20"/>
  <c r="W142" i="20"/>
  <c r="W110" i="20"/>
  <c r="W78" i="20"/>
  <c r="W46" i="20"/>
  <c r="W303" i="20"/>
  <c r="W271" i="20"/>
  <c r="W239" i="20"/>
  <c r="W207" i="20"/>
  <c r="W175" i="20"/>
  <c r="W143" i="20"/>
  <c r="W111" i="20"/>
  <c r="W79" i="20"/>
  <c r="W47" i="20"/>
  <c r="W304" i="20"/>
  <c r="W272" i="20"/>
  <c r="W240" i="20"/>
  <c r="W208" i="20"/>
  <c r="W176" i="20"/>
  <c r="W144" i="20"/>
  <c r="W112" i="20"/>
  <c r="W80" i="20"/>
  <c r="W48" i="20"/>
  <c r="W313" i="20"/>
  <c r="W281" i="20"/>
  <c r="W249" i="20"/>
  <c r="W217" i="20"/>
  <c r="W185" i="20"/>
  <c r="W153" i="20"/>
  <c r="W121" i="20"/>
  <c r="W89" i="20"/>
  <c r="W57" i="20"/>
  <c r="W314" i="20"/>
  <c r="W282" i="20"/>
  <c r="W250" i="20"/>
  <c r="W218" i="20"/>
  <c r="W186" i="20"/>
  <c r="W154" i="20"/>
  <c r="W122" i="20"/>
  <c r="W90" i="20"/>
  <c r="W58" i="20"/>
  <c r="W307" i="20"/>
  <c r="W275" i="20"/>
  <c r="W243" i="20"/>
  <c r="W211" i="20"/>
  <c r="W179" i="20"/>
  <c r="W147" i="20"/>
  <c r="W115" i="20"/>
  <c r="W83" i="20"/>
  <c r="W51" i="20"/>
  <c r="W316" i="20"/>
  <c r="W284" i="20"/>
  <c r="W252" i="20"/>
  <c r="W220" i="20"/>
  <c r="W188" i="20"/>
  <c r="W156" i="20"/>
  <c r="W124" i="20"/>
  <c r="W92" i="20"/>
  <c r="W60" i="20"/>
  <c r="W41" i="20"/>
  <c r="W301" i="20"/>
  <c r="W269" i="20"/>
  <c r="W237" i="20"/>
  <c r="W205" i="20"/>
  <c r="W173" i="20"/>
  <c r="W141" i="20"/>
  <c r="W109" i="20"/>
  <c r="W77" i="20"/>
  <c r="W45" i="20"/>
  <c r="W294" i="20"/>
  <c r="W262" i="20"/>
  <c r="W230" i="20"/>
  <c r="W198" i="20"/>
  <c r="W166" i="20"/>
  <c r="W134" i="20"/>
  <c r="W102" i="20"/>
  <c r="W70" i="20"/>
  <c r="W30" i="20"/>
  <c r="W295" i="20"/>
  <c r="W263" i="20"/>
  <c r="W231" i="20"/>
  <c r="W199" i="20"/>
  <c r="W167" i="20"/>
  <c r="W135" i="20"/>
  <c r="W103" i="20"/>
  <c r="W71" i="20"/>
  <c r="W34" i="20"/>
  <c r="W296" i="20"/>
  <c r="W264" i="20"/>
  <c r="W232" i="20"/>
  <c r="W200" i="20"/>
  <c r="W168" i="20"/>
  <c r="W136" i="20"/>
  <c r="W104" i="20"/>
  <c r="W72" i="20"/>
  <c r="W42" i="20"/>
  <c r="W305" i="20"/>
  <c r="W273" i="20"/>
  <c r="W241" i="20"/>
  <c r="W209" i="20"/>
  <c r="W177" i="20"/>
  <c r="W145" i="20"/>
  <c r="W113" i="20"/>
  <c r="W81" i="20"/>
  <c r="W49" i="20"/>
  <c r="W38" i="20"/>
  <c r="W29" i="20"/>
  <c r="W306" i="20"/>
  <c r="W274" i="20"/>
  <c r="W242" i="20"/>
  <c r="W210" i="20"/>
  <c r="W178" i="20"/>
  <c r="W146" i="20"/>
  <c r="W114" i="20"/>
  <c r="W82" i="20"/>
  <c r="W50" i="20"/>
  <c r="W299" i="20"/>
  <c r="W267" i="20"/>
  <c r="W235" i="20"/>
  <c r="W203" i="20"/>
  <c r="W171" i="20"/>
  <c r="W139" i="20"/>
  <c r="W107" i="20"/>
  <c r="W75" i="20"/>
  <c r="W37" i="20"/>
  <c r="W308" i="20"/>
  <c r="W276" i="20"/>
  <c r="W244" i="20"/>
  <c r="W212" i="20"/>
  <c r="W180" i="20"/>
  <c r="W148" i="20"/>
  <c r="W116" i="20"/>
  <c r="W84" i="20"/>
  <c r="W52" i="20"/>
  <c r="W28" i="20"/>
  <c r="W293" i="20"/>
  <c r="W261" i="20"/>
  <c r="W229" i="20"/>
  <c r="W197" i="20"/>
  <c r="W165" i="20"/>
  <c r="W133" i="20"/>
  <c r="W101" i="20"/>
  <c r="W69" i="20"/>
  <c r="W318" i="20"/>
  <c r="W286" i="20"/>
  <c r="W254" i="20"/>
  <c r="W222" i="20"/>
  <c r="W190" i="20"/>
  <c r="W158" i="20"/>
  <c r="W126" i="20"/>
  <c r="W94" i="20"/>
  <c r="W62" i="20"/>
  <c r="W319" i="20"/>
  <c r="W287" i="20"/>
  <c r="W255" i="20"/>
  <c r="W223" i="20"/>
  <c r="W191" i="20"/>
  <c r="W159" i="20"/>
  <c r="W127" i="20"/>
  <c r="W95" i="20"/>
  <c r="W63" i="20"/>
  <c r="W320" i="20"/>
  <c r="W288" i="20"/>
  <c r="W256" i="20"/>
  <c r="W224" i="20"/>
  <c r="W192" i="20"/>
  <c r="W160" i="20"/>
  <c r="W128" i="20"/>
  <c r="W96" i="20"/>
  <c r="W64" i="20"/>
  <c r="W40" i="20"/>
  <c r="W297" i="20"/>
  <c r="W265" i="20"/>
  <c r="W233" i="20"/>
  <c r="W201" i="20"/>
  <c r="W169" i="20"/>
  <c r="W137" i="20"/>
  <c r="W105" i="20"/>
  <c r="W73" i="20"/>
  <c r="W35" i="20"/>
  <c r="W39" i="20"/>
  <c r="W25" i="20"/>
  <c r="W298" i="20"/>
  <c r="W266" i="20"/>
  <c r="W234" i="20"/>
  <c r="W202" i="20"/>
  <c r="W170" i="20"/>
  <c r="W138" i="20"/>
  <c r="W106" i="20"/>
  <c r="W74" i="20"/>
  <c r="W31" i="20"/>
  <c r="W291" i="20"/>
  <c r="W259" i="20"/>
  <c r="W227" i="20"/>
  <c r="W195" i="20"/>
  <c r="W163" i="20"/>
  <c r="W131" i="20"/>
  <c r="W99" i="20"/>
  <c r="W67" i="20"/>
  <c r="W36" i="20"/>
  <c r="W300" i="20"/>
  <c r="W268" i="20"/>
  <c r="W236" i="20"/>
  <c r="W204" i="20"/>
  <c r="W172" i="20"/>
  <c r="W140" i="20"/>
  <c r="W108" i="20"/>
  <c r="W76" i="20"/>
  <c r="W44" i="20"/>
  <c r="W317" i="20"/>
  <c r="W285" i="20"/>
  <c r="W253" i="20"/>
  <c r="W221" i="20"/>
  <c r="W189" i="20"/>
  <c r="W157" i="20"/>
  <c r="W125" i="20"/>
  <c r="W93" i="20"/>
  <c r="W61" i="20"/>
  <c r="W310" i="20"/>
  <c r="W278" i="20"/>
  <c r="W246" i="20"/>
  <c r="W214" i="20"/>
  <c r="W182" i="20"/>
  <c r="W150" i="20"/>
  <c r="W118" i="20"/>
  <c r="W86" i="20"/>
  <c r="W54" i="20"/>
  <c r="W311" i="20"/>
  <c r="W279" i="20"/>
  <c r="W247" i="20"/>
  <c r="W215" i="20"/>
  <c r="W183" i="20"/>
  <c r="W151" i="20"/>
  <c r="W119" i="20"/>
  <c r="W87" i="20"/>
  <c r="W55" i="20"/>
  <c r="W312" i="20"/>
  <c r="W280" i="20"/>
  <c r="W248" i="20"/>
  <c r="W216" i="20"/>
  <c r="W184" i="20"/>
  <c r="W152" i="20"/>
  <c r="W120" i="20"/>
  <c r="W88" i="20"/>
  <c r="W56" i="20"/>
  <c r="W321" i="20"/>
  <c r="W289" i="20"/>
  <c r="W257" i="20"/>
  <c r="W225" i="20"/>
  <c r="W193" i="20"/>
  <c r="W161" i="20"/>
  <c r="W129" i="20"/>
  <c r="W97" i="20"/>
  <c r="W65" i="20"/>
  <c r="W26" i="20"/>
  <c r="W24" i="20"/>
  <c r="BB23" i="3"/>
  <c r="Q379" i="13"/>
  <c r="D379" i="13" s="1"/>
  <c r="Q386" i="13"/>
  <c r="D386" i="13" s="1"/>
  <c r="Q426" i="13"/>
  <c r="D426" i="13" s="1"/>
  <c r="Q425" i="13"/>
  <c r="D425" i="13" s="1"/>
  <c r="Q337" i="13"/>
  <c r="Q378" i="13"/>
  <c r="D378" i="13" s="1"/>
  <c r="Q422" i="13"/>
  <c r="D422" i="13" s="1"/>
  <c r="Q377" i="13"/>
  <c r="D377" i="13" s="1"/>
  <c r="CB7" i="3"/>
  <c r="AZ25" i="3"/>
  <c r="AZ24" i="3"/>
  <c r="AZ10" i="3"/>
  <c r="AZ21" i="3"/>
  <c r="AZ12" i="3"/>
  <c r="N16" i="13"/>
  <c r="AZ13" i="3"/>
  <c r="AZ47" i="3"/>
  <c r="ES230" i="3"/>
  <c r="ET248" i="3"/>
  <c r="BB22" i="3"/>
  <c r="EG33" i="3"/>
  <c r="AH33" i="3" s="1"/>
  <c r="EG38" i="3"/>
  <c r="AH38" i="3" s="1"/>
  <c r="AW38" i="3" s="1"/>
  <c r="EG34" i="3"/>
  <c r="AH34" i="3" s="1"/>
  <c r="EG35" i="3"/>
  <c r="AH35" i="3" s="1"/>
  <c r="L38" i="13" s="1"/>
  <c r="EG36" i="3"/>
  <c r="AH36" i="3" s="1"/>
  <c r="EG37" i="3"/>
  <c r="AH37" i="3" s="1"/>
  <c r="L40" i="13" s="1"/>
  <c r="EG43" i="3"/>
  <c r="AH43" i="3" s="1"/>
  <c r="L46" i="13" s="1"/>
  <c r="EG42" i="3"/>
  <c r="AH42" i="3" s="1"/>
  <c r="EG41" i="3"/>
  <c r="AH41" i="3" s="1"/>
  <c r="EG40" i="3"/>
  <c r="AH40" i="3" s="1"/>
  <c r="L43" i="13" s="1"/>
  <c r="EG45" i="3"/>
  <c r="AH45" i="3" s="1"/>
  <c r="EG44" i="3"/>
  <c r="AH44" i="3" s="1"/>
  <c r="EG46" i="3"/>
  <c r="AH46" i="3" s="1"/>
  <c r="L49" i="13" s="1"/>
  <c r="EG47" i="3"/>
  <c r="AH47" i="3" s="1"/>
  <c r="EG39" i="3"/>
  <c r="AH39" i="3" s="1"/>
  <c r="L42" i="13" s="1"/>
  <c r="ES247" i="3"/>
  <c r="AP31" i="3"/>
  <c r="O34" i="13" s="1"/>
  <c r="P34" i="13" s="1"/>
  <c r="AW31" i="3"/>
  <c r="AW36" i="3"/>
  <c r="AW15" i="3"/>
  <c r="AW27" i="3"/>
  <c r="AW28" i="3"/>
  <c r="AW33" i="3"/>
  <c r="AW32" i="3"/>
  <c r="AP37" i="3"/>
  <c r="O40" i="13" s="1"/>
  <c r="P40" i="13" s="1"/>
  <c r="AW37" i="3"/>
  <c r="BB12" i="3"/>
  <c r="P315" i="13"/>
  <c r="ET285" i="3"/>
  <c r="ES288" i="3"/>
  <c r="ES261" i="3"/>
  <c r="ES224" i="3"/>
  <c r="ES262" i="3"/>
  <c r="ES221" i="3"/>
  <c r="ET214" i="3"/>
  <c r="ET223" i="3"/>
  <c r="ET279" i="3"/>
  <c r="ES278" i="3"/>
  <c r="ET301" i="3"/>
  <c r="ET237" i="3"/>
  <c r="ES294" i="3"/>
  <c r="ES246" i="3"/>
  <c r="ET264" i="3"/>
  <c r="ES305" i="3"/>
  <c r="ET257" i="3"/>
  <c r="ES241" i="3"/>
  <c r="ET217" i="3"/>
  <c r="ES306" i="3"/>
  <c r="ES282" i="3"/>
  <c r="ES266" i="3"/>
  <c r="ES250" i="3"/>
  <c r="ET234" i="3"/>
  <c r="ET218" i="3"/>
  <c r="ET202" i="3"/>
  <c r="ES307" i="3"/>
  <c r="ES291" i="3"/>
  <c r="ES275" i="3"/>
  <c r="ES259" i="3"/>
  <c r="ES243" i="3"/>
  <c r="ES227" i="3"/>
  <c r="ES211" i="3"/>
  <c r="ES300" i="3"/>
  <c r="ES260" i="3"/>
  <c r="ET236" i="3"/>
  <c r="ES295" i="3"/>
  <c r="ES263" i="3"/>
  <c r="ET281" i="3"/>
  <c r="ES265" i="3"/>
  <c r="ET284" i="3"/>
  <c r="ES220" i="3"/>
  <c r="ET245" i="3"/>
  <c r="ES207" i="3"/>
  <c r="ES272" i="3"/>
  <c r="ES208" i="3"/>
  <c r="ES289" i="3"/>
  <c r="ES225" i="3"/>
  <c r="ES290" i="3"/>
  <c r="ET308" i="3"/>
  <c r="ET244" i="3"/>
  <c r="ES269" i="3"/>
  <c r="ET205" i="3"/>
  <c r="ES231" i="3"/>
  <c r="ES296" i="3"/>
  <c r="ES232" i="3"/>
  <c r="ES249" i="3"/>
  <c r="ES274" i="3"/>
  <c r="ES258" i="3"/>
  <c r="ET242" i="3"/>
  <c r="ES226" i="3"/>
  <c r="ES210" i="3"/>
  <c r="ET268" i="3"/>
  <c r="ES204" i="3"/>
  <c r="ES293" i="3"/>
  <c r="ET229" i="3"/>
  <c r="ES302" i="3"/>
  <c r="ES286" i="3"/>
  <c r="ES270" i="3"/>
  <c r="ES254" i="3"/>
  <c r="ES238" i="3"/>
  <c r="ES222" i="3"/>
  <c r="ES206" i="3"/>
  <c r="ES303" i="3"/>
  <c r="ES256" i="3"/>
  <c r="ES273" i="3"/>
  <c r="ES209" i="3"/>
  <c r="ES299" i="3"/>
  <c r="ES283" i="3"/>
  <c r="ES267" i="3"/>
  <c r="ES251" i="3"/>
  <c r="ES235" i="3"/>
  <c r="ES219" i="3"/>
  <c r="ES203" i="3"/>
  <c r="ET292" i="3"/>
  <c r="ES228" i="3"/>
  <c r="ES253" i="3"/>
  <c r="ES287" i="3"/>
  <c r="ES271" i="3"/>
  <c r="ES255" i="3"/>
  <c r="ES215" i="3"/>
  <c r="ES280" i="3"/>
  <c r="ES216" i="3"/>
  <c r="ES297" i="3"/>
  <c r="ES233" i="3"/>
  <c r="ET298" i="3"/>
  <c r="ET252" i="3"/>
  <c r="ES277" i="3"/>
  <c r="ET213" i="3"/>
  <c r="ES239" i="3"/>
  <c r="ES304" i="3"/>
  <c r="ES240" i="3"/>
  <c r="ET276" i="3"/>
  <c r="ES212" i="3"/>
  <c r="O35" i="13"/>
  <c r="P35" i="13" s="1"/>
  <c r="BJ15" i="5"/>
  <c r="T40" i="22"/>
  <c r="AA40" i="22" s="1"/>
  <c r="AH40" i="22" s="1"/>
  <c r="R41" i="22"/>
  <c r="Y41" i="22" s="1"/>
  <c r="AF41" i="22" s="1"/>
  <c r="BJ225" i="5"/>
  <c r="BD31" i="3"/>
  <c r="BJ31" i="3"/>
  <c r="BD32" i="3"/>
  <c r="BJ32" i="3"/>
  <c r="P322" i="13"/>
  <c r="BB24" i="3"/>
  <c r="EG32" i="3"/>
  <c r="EG31" i="3"/>
  <c r="EG30" i="3"/>
  <c r="EG29" i="3"/>
  <c r="BD37" i="3"/>
  <c r="O36" i="5"/>
  <c r="AP36" i="3"/>
  <c r="BS36" i="3" s="1"/>
  <c r="BJ197" i="5"/>
  <c r="BJ19" i="5"/>
  <c r="BB11" i="3"/>
  <c r="BB76" i="3"/>
  <c r="BB34" i="3"/>
  <c r="P552" i="13"/>
  <c r="Q552" i="13" s="1"/>
  <c r="BB249" i="3"/>
  <c r="P464" i="13"/>
  <c r="Q464" i="13" s="1"/>
  <c r="BB161" i="3"/>
  <c r="P360" i="13"/>
  <c r="Q360" i="13" s="1"/>
  <c r="BB57" i="3"/>
  <c r="P537" i="13"/>
  <c r="Q537" i="13" s="1"/>
  <c r="BB234" i="3"/>
  <c r="P473" i="13"/>
  <c r="Q473" i="13" s="1"/>
  <c r="BB170" i="3"/>
  <c r="P409" i="13"/>
  <c r="Q409" i="13" s="1"/>
  <c r="BB106" i="3"/>
  <c r="P331" i="13"/>
  <c r="BB28" i="3"/>
  <c r="P610" i="13"/>
  <c r="Q610" i="13" s="1"/>
  <c r="BB307" i="3"/>
  <c r="DH307" i="3" s="1"/>
  <c r="P530" i="13"/>
  <c r="Q530" i="13" s="1"/>
  <c r="BB227" i="3"/>
  <c r="P458" i="13"/>
  <c r="Q458" i="13" s="1"/>
  <c r="BB155" i="3"/>
  <c r="P394" i="13"/>
  <c r="Q394" i="13" s="1"/>
  <c r="BB91" i="3"/>
  <c r="P488" i="13"/>
  <c r="Q488" i="13" s="1"/>
  <c r="BB185" i="3"/>
  <c r="P368" i="13"/>
  <c r="Q368" i="13" s="1"/>
  <c r="BB65" i="3"/>
  <c r="P593" i="13"/>
  <c r="Q593" i="13" s="1"/>
  <c r="BB290" i="3"/>
  <c r="P545" i="13"/>
  <c r="Q545" i="13" s="1"/>
  <c r="BB242" i="3"/>
  <c r="P481" i="13"/>
  <c r="Q481" i="13" s="1"/>
  <c r="BB178" i="3"/>
  <c r="DH178" i="3" s="1"/>
  <c r="P361" i="13"/>
  <c r="Q361" i="13" s="1"/>
  <c r="BB58" i="3"/>
  <c r="P398" i="13"/>
  <c r="Q398" i="13" s="1"/>
  <c r="BB95" i="3"/>
  <c r="P342" i="13"/>
  <c r="Q342" i="13" s="1"/>
  <c r="BB39" i="3"/>
  <c r="P568" i="13"/>
  <c r="Q568" i="13" s="1"/>
  <c r="BB265" i="3"/>
  <c r="P504" i="13"/>
  <c r="Q504" i="13" s="1"/>
  <c r="BB201" i="3"/>
  <c r="P496" i="13"/>
  <c r="Q496" i="13" s="1"/>
  <c r="BB193" i="3"/>
  <c r="P376" i="13"/>
  <c r="Q376" i="13" s="1"/>
  <c r="BB73" i="3"/>
  <c r="P553" i="13"/>
  <c r="Q553" i="13" s="1"/>
  <c r="BB250" i="3"/>
  <c r="DH250" i="3" s="1"/>
  <c r="P489" i="13"/>
  <c r="Q489" i="13" s="1"/>
  <c r="BB186" i="3"/>
  <c r="P355" i="13"/>
  <c r="Q355" i="13" s="1"/>
  <c r="BB52" i="3"/>
  <c r="P532" i="13"/>
  <c r="Q532" i="13" s="1"/>
  <c r="BB229" i="3"/>
  <c r="P597" i="13"/>
  <c r="Q597" i="13" s="1"/>
  <c r="BB294" i="3"/>
  <c r="P541" i="13"/>
  <c r="Q541" i="13" s="1"/>
  <c r="BB238" i="3"/>
  <c r="DH238" i="3" s="1"/>
  <c r="P480" i="13"/>
  <c r="Q480" i="13" s="1"/>
  <c r="BB177" i="3"/>
  <c r="P417" i="13"/>
  <c r="Q417" i="13" s="1"/>
  <c r="BB114" i="3"/>
  <c r="BB18" i="3"/>
  <c r="P576" i="13"/>
  <c r="Q576" i="13" s="1"/>
  <c r="BB273" i="3"/>
  <c r="P512" i="13"/>
  <c r="Q512" i="13" s="1"/>
  <c r="BB209" i="3"/>
  <c r="P392" i="13"/>
  <c r="Q392" i="13" s="1"/>
  <c r="BB89" i="3"/>
  <c r="P384" i="13"/>
  <c r="Q384" i="13" s="1"/>
  <c r="BB81" i="3"/>
  <c r="P561" i="13"/>
  <c r="Q561" i="13" s="1"/>
  <c r="BB258" i="3"/>
  <c r="P497" i="13"/>
  <c r="Q497" i="13" s="1"/>
  <c r="BB194" i="3"/>
  <c r="DH194" i="3" s="1"/>
  <c r="P433" i="13"/>
  <c r="Q433" i="13" s="1"/>
  <c r="BB130" i="3"/>
  <c r="P554" i="13"/>
  <c r="Q554" i="13" s="1"/>
  <c r="BB251" i="3"/>
  <c r="DH251" i="3" s="1"/>
  <c r="P468" i="13"/>
  <c r="Q468" i="13" s="1"/>
  <c r="BB165" i="3"/>
  <c r="DH165" i="3" s="1"/>
  <c r="P340" i="13"/>
  <c r="Q340" i="13" s="1"/>
  <c r="BB37" i="3"/>
  <c r="P472" i="13"/>
  <c r="Q472" i="13" s="1"/>
  <c r="BB169" i="3"/>
  <c r="P584" i="13"/>
  <c r="Q584" i="13" s="1"/>
  <c r="BB281" i="3"/>
  <c r="P520" i="13"/>
  <c r="Q520" i="13" s="1"/>
  <c r="BB217" i="3"/>
  <c r="P400" i="13"/>
  <c r="Q400" i="13" s="1"/>
  <c r="BB97" i="3"/>
  <c r="DH97" i="3" s="1"/>
  <c r="P323" i="13"/>
  <c r="BB20" i="3"/>
  <c r="P601" i="13"/>
  <c r="Q601" i="13" s="1"/>
  <c r="BB298" i="3"/>
  <c r="P569" i="13"/>
  <c r="Q569" i="13" s="1"/>
  <c r="BB266" i="3"/>
  <c r="P505" i="13"/>
  <c r="Q505" i="13" s="1"/>
  <c r="BB202" i="3"/>
  <c r="P441" i="13"/>
  <c r="Q441" i="13" s="1"/>
  <c r="BB138" i="3"/>
  <c r="P385" i="13"/>
  <c r="Q385" i="13" s="1"/>
  <c r="BB82" i="3"/>
  <c r="P562" i="13"/>
  <c r="Q562" i="13" s="1"/>
  <c r="BB259" i="3"/>
  <c r="P498" i="13"/>
  <c r="Q498" i="13" s="1"/>
  <c r="BB195" i="3"/>
  <c r="P434" i="13"/>
  <c r="Q434" i="13" s="1"/>
  <c r="BB131" i="3"/>
  <c r="P318" i="13"/>
  <c r="BB15" i="3"/>
  <c r="P608" i="13"/>
  <c r="Q608" i="13" s="1"/>
  <c r="BB305" i="3"/>
  <c r="P560" i="13"/>
  <c r="Q560" i="13" s="1"/>
  <c r="BB257" i="3"/>
  <c r="P399" i="13"/>
  <c r="Q399" i="13" s="1"/>
  <c r="BB96" i="3"/>
  <c r="P592" i="13"/>
  <c r="Q592" i="13" s="1"/>
  <c r="BB289" i="3"/>
  <c r="P528" i="13"/>
  <c r="Q528" i="13" s="1"/>
  <c r="BB225" i="3"/>
  <c r="P408" i="13"/>
  <c r="Q408" i="13" s="1"/>
  <c r="BB105" i="3"/>
  <c r="P336" i="13"/>
  <c r="Q336" i="13" s="1"/>
  <c r="BB33" i="3"/>
  <c r="P577" i="13"/>
  <c r="Q577" i="13" s="1"/>
  <c r="BB274" i="3"/>
  <c r="P513" i="13"/>
  <c r="Q513" i="13" s="1"/>
  <c r="BB210" i="3"/>
  <c r="P449" i="13"/>
  <c r="Q449" i="13" s="1"/>
  <c r="BB146" i="3"/>
  <c r="P602" i="13"/>
  <c r="Q602" i="13" s="1"/>
  <c r="BB299" i="3"/>
  <c r="P570" i="13"/>
  <c r="Q570" i="13" s="1"/>
  <c r="BB267" i="3"/>
  <c r="P486" i="13"/>
  <c r="Q486" i="13" s="1"/>
  <c r="BB183" i="3"/>
  <c r="DH183" i="3" s="1"/>
  <c r="P463" i="13"/>
  <c r="Q463" i="13" s="1"/>
  <c r="BB160" i="3"/>
  <c r="P335" i="13"/>
  <c r="Q335" i="13" s="1"/>
  <c r="BB32" i="3"/>
  <c r="P536" i="13"/>
  <c r="Q536" i="13" s="1"/>
  <c r="BB233" i="3"/>
  <c r="P416" i="13"/>
  <c r="Q416" i="13" s="1"/>
  <c r="BB113" i="3"/>
  <c r="P344" i="13"/>
  <c r="Q344" i="13" s="1"/>
  <c r="BB41" i="3"/>
  <c r="P585" i="13"/>
  <c r="Q585" i="13" s="1"/>
  <c r="BB282" i="3"/>
  <c r="P521" i="13"/>
  <c r="Q521" i="13" s="1"/>
  <c r="BB218" i="3"/>
  <c r="P457" i="13"/>
  <c r="Q457" i="13" s="1"/>
  <c r="BB154" i="3"/>
  <c r="P393" i="13"/>
  <c r="Q393" i="13" s="1"/>
  <c r="BB90" i="3"/>
  <c r="P600" i="13"/>
  <c r="Q600" i="13" s="1"/>
  <c r="BB297" i="3"/>
  <c r="DH297" i="3" s="1"/>
  <c r="P544" i="13"/>
  <c r="Q544" i="13" s="1"/>
  <c r="BB241" i="3"/>
  <c r="P456" i="13"/>
  <c r="Q456" i="13" s="1"/>
  <c r="BB153" i="3"/>
  <c r="P448" i="13"/>
  <c r="Q448" i="13" s="1"/>
  <c r="BB145" i="3"/>
  <c r="P440" i="13"/>
  <c r="Q440" i="13" s="1"/>
  <c r="BB137" i="3"/>
  <c r="P432" i="13"/>
  <c r="Q432" i="13" s="1"/>
  <c r="BB129" i="3"/>
  <c r="P424" i="13"/>
  <c r="Q424" i="13" s="1"/>
  <c r="BB121" i="3"/>
  <c r="P352" i="13"/>
  <c r="Q352" i="13" s="1"/>
  <c r="BB49" i="3"/>
  <c r="P609" i="13"/>
  <c r="Q609" i="13" s="1"/>
  <c r="BB306" i="3"/>
  <c r="P529" i="13"/>
  <c r="Q529" i="13" s="1"/>
  <c r="BB226" i="3"/>
  <c r="P465" i="13"/>
  <c r="Q465" i="13" s="1"/>
  <c r="BB162" i="3"/>
  <c r="DH162" i="3" s="1"/>
  <c r="P401" i="13"/>
  <c r="Q401" i="13" s="1"/>
  <c r="BB98" i="3"/>
  <c r="DH98" i="3" s="1"/>
  <c r="P353" i="13"/>
  <c r="Q353" i="13" s="1"/>
  <c r="BB50" i="3"/>
  <c r="P586" i="13"/>
  <c r="Q586" i="13" s="1"/>
  <c r="BB283" i="3"/>
  <c r="P522" i="13"/>
  <c r="Q522" i="13" s="1"/>
  <c r="BB219" i="3"/>
  <c r="P603" i="13"/>
  <c r="Q603" i="13" s="1"/>
  <c r="BB300" i="3"/>
  <c r="P571" i="13"/>
  <c r="Q571" i="13" s="1"/>
  <c r="BB268" i="3"/>
  <c r="DH268" i="3" s="1"/>
  <c r="P507" i="13"/>
  <c r="Q507" i="13" s="1"/>
  <c r="BB204" i="3"/>
  <c r="P404" i="13"/>
  <c r="Q404" i="13" s="1"/>
  <c r="BB101" i="3"/>
  <c r="P477" i="13"/>
  <c r="Q477" i="13" s="1"/>
  <c r="BB174" i="3"/>
  <c r="P381" i="13"/>
  <c r="Q381" i="13" s="1"/>
  <c r="BB78" i="3"/>
  <c r="P591" i="13"/>
  <c r="Q591" i="13" s="1"/>
  <c r="BB288" i="3"/>
  <c r="P527" i="13"/>
  <c r="Q527" i="13" s="1"/>
  <c r="BB224" i="3"/>
  <c r="DH224" i="3" s="1"/>
  <c r="P345" i="13"/>
  <c r="Q345" i="13" s="1"/>
  <c r="BB42" i="3"/>
  <c r="P578" i="13"/>
  <c r="Q578" i="13" s="1"/>
  <c r="BB275" i="3"/>
  <c r="DH275" i="3" s="1"/>
  <c r="P514" i="13"/>
  <c r="Q514" i="13" s="1"/>
  <c r="BB211" i="3"/>
  <c r="P450" i="13"/>
  <c r="Q450" i="13" s="1"/>
  <c r="BB147" i="3"/>
  <c r="P563" i="13"/>
  <c r="Q563" i="13" s="1"/>
  <c r="BB260" i="3"/>
  <c r="P499" i="13"/>
  <c r="Q499" i="13" s="1"/>
  <c r="BB196" i="3"/>
  <c r="P491" i="13"/>
  <c r="Q491" i="13" s="1"/>
  <c r="BB188" i="3"/>
  <c r="P483" i="13"/>
  <c r="Q483" i="13" s="1"/>
  <c r="BB180" i="3"/>
  <c r="P347" i="13"/>
  <c r="Q347" i="13" s="1"/>
  <c r="BB44" i="3"/>
  <c r="P588" i="13"/>
  <c r="Q588" i="13" s="1"/>
  <c r="BB285" i="3"/>
  <c r="P524" i="13"/>
  <c r="Q524" i="13" s="1"/>
  <c r="BB221" i="3"/>
  <c r="P460" i="13"/>
  <c r="Q460" i="13" s="1"/>
  <c r="BB157" i="3"/>
  <c r="P396" i="13"/>
  <c r="Q396" i="13" s="1"/>
  <c r="BB93" i="3"/>
  <c r="P582" i="13"/>
  <c r="Q582" i="13" s="1"/>
  <c r="BB279" i="3"/>
  <c r="P334" i="13"/>
  <c r="Q334" i="13" s="1"/>
  <c r="BB31" i="3"/>
  <c r="P533" i="13"/>
  <c r="Q533" i="13" s="1"/>
  <c r="BB230" i="3"/>
  <c r="P469" i="13"/>
  <c r="Q469" i="13" s="1"/>
  <c r="BB166" i="3"/>
  <c r="P461" i="13"/>
  <c r="Q461" i="13" s="1"/>
  <c r="BB158" i="3"/>
  <c r="P453" i="13"/>
  <c r="Q453" i="13" s="1"/>
  <c r="BB150" i="3"/>
  <c r="P445" i="13"/>
  <c r="Q445" i="13" s="1"/>
  <c r="BB142" i="3"/>
  <c r="P437" i="13"/>
  <c r="Q437" i="13" s="1"/>
  <c r="BB134" i="3"/>
  <c r="P373" i="13"/>
  <c r="Q373" i="13" s="1"/>
  <c r="BB70" i="3"/>
  <c r="P598" i="13"/>
  <c r="Q598" i="13" s="1"/>
  <c r="BB295" i="3"/>
  <c r="P510" i="13"/>
  <c r="Q510" i="13" s="1"/>
  <c r="BB207" i="3"/>
  <c r="DH207" i="3" s="1"/>
  <c r="P374" i="13"/>
  <c r="Q374" i="13" s="1"/>
  <c r="BB71" i="3"/>
  <c r="P583" i="13"/>
  <c r="Q583" i="13" s="1"/>
  <c r="BB280" i="3"/>
  <c r="P519" i="13"/>
  <c r="Q519" i="13" s="1"/>
  <c r="BB216" i="3"/>
  <c r="P455" i="13"/>
  <c r="Q455" i="13" s="1"/>
  <c r="BB152" i="3"/>
  <c r="P391" i="13"/>
  <c r="Q391" i="13" s="1"/>
  <c r="BB88" i="3"/>
  <c r="P466" i="13"/>
  <c r="Q466" i="13" s="1"/>
  <c r="BB163" i="3"/>
  <c r="P402" i="13"/>
  <c r="Q402" i="13" s="1"/>
  <c r="BB99" i="3"/>
  <c r="BB35" i="3"/>
  <c r="P338" i="13"/>
  <c r="Q338" i="13" s="1"/>
  <c r="P579" i="13"/>
  <c r="Q579" i="13" s="1"/>
  <c r="BB276" i="3"/>
  <c r="P515" i="13"/>
  <c r="Q515" i="13" s="1"/>
  <c r="BB212" i="3"/>
  <c r="P363" i="13"/>
  <c r="Q363" i="13" s="1"/>
  <c r="BB60" i="3"/>
  <c r="P596" i="13"/>
  <c r="Q596" i="13" s="1"/>
  <c r="BB293" i="3"/>
  <c r="P540" i="13"/>
  <c r="Q540" i="13" s="1"/>
  <c r="BB237" i="3"/>
  <c r="P476" i="13"/>
  <c r="Q476" i="13" s="1"/>
  <c r="BB173" i="3"/>
  <c r="P412" i="13"/>
  <c r="Q412" i="13" s="1"/>
  <c r="BB109" i="3"/>
  <c r="DH109" i="3" s="1"/>
  <c r="P348" i="13"/>
  <c r="Q348" i="13" s="1"/>
  <c r="BB45" i="3"/>
  <c r="P566" i="13"/>
  <c r="Q566" i="13" s="1"/>
  <c r="BB263" i="3"/>
  <c r="P438" i="13"/>
  <c r="Q438" i="13" s="1"/>
  <c r="BB135" i="3"/>
  <c r="P549" i="13"/>
  <c r="Q549" i="13" s="1"/>
  <c r="BB246" i="3"/>
  <c r="P485" i="13"/>
  <c r="Q485" i="13" s="1"/>
  <c r="BB182" i="3"/>
  <c r="P389" i="13"/>
  <c r="Q389" i="13" s="1"/>
  <c r="BB86" i="3"/>
  <c r="P526" i="13"/>
  <c r="Q526" i="13" s="1"/>
  <c r="BB223" i="3"/>
  <c r="P470" i="13"/>
  <c r="Q470" i="13" s="1"/>
  <c r="BB167" i="3"/>
  <c r="P414" i="13"/>
  <c r="Q414" i="13" s="1"/>
  <c r="BB111" i="3"/>
  <c r="P494" i="13"/>
  <c r="Q494" i="13" s="1"/>
  <c r="BB191" i="3"/>
  <c r="P535" i="13"/>
  <c r="Q535" i="13" s="1"/>
  <c r="BB232" i="3"/>
  <c r="P471" i="13"/>
  <c r="Q471" i="13" s="1"/>
  <c r="BB168" i="3"/>
  <c r="P407" i="13"/>
  <c r="Q407" i="13" s="1"/>
  <c r="BB104" i="3"/>
  <c r="P343" i="13"/>
  <c r="Q343" i="13" s="1"/>
  <c r="BB40" i="3"/>
  <c r="P369" i="13"/>
  <c r="Q369" i="13" s="1"/>
  <c r="BB66" i="3"/>
  <c r="P329" i="13"/>
  <c r="BB26" i="3"/>
  <c r="P538" i="13"/>
  <c r="Q538" i="13" s="1"/>
  <c r="BB235" i="3"/>
  <c r="P474" i="13"/>
  <c r="Q474" i="13" s="1"/>
  <c r="BB171" i="3"/>
  <c r="P410" i="13"/>
  <c r="Q410" i="13" s="1"/>
  <c r="BB107" i="3"/>
  <c r="P346" i="13"/>
  <c r="Q346" i="13" s="1"/>
  <c r="BB43" i="3"/>
  <c r="P587" i="13"/>
  <c r="Q587" i="13" s="1"/>
  <c r="BB284" i="3"/>
  <c r="P523" i="13"/>
  <c r="Q523" i="13" s="1"/>
  <c r="BB220" i="3"/>
  <c r="P395" i="13"/>
  <c r="Q395" i="13" s="1"/>
  <c r="BB92" i="3"/>
  <c r="P387" i="13"/>
  <c r="Q387" i="13" s="1"/>
  <c r="BB84" i="3"/>
  <c r="P371" i="13"/>
  <c r="Q371" i="13" s="1"/>
  <c r="BB68" i="3"/>
  <c r="P548" i="13"/>
  <c r="Q548" i="13" s="1"/>
  <c r="BB245" i="3"/>
  <c r="P484" i="13"/>
  <c r="Q484" i="13" s="1"/>
  <c r="BB181" i="3"/>
  <c r="P420" i="13"/>
  <c r="Q420" i="13" s="1"/>
  <c r="BB117" i="3"/>
  <c r="P356" i="13"/>
  <c r="Q356" i="13" s="1"/>
  <c r="BB53" i="3"/>
  <c r="P454" i="13"/>
  <c r="Q454" i="13" s="1"/>
  <c r="BB151" i="3"/>
  <c r="P324" i="13"/>
  <c r="Q324" i="13" s="1"/>
  <c r="BB21" i="3"/>
  <c r="P605" i="13"/>
  <c r="Q605" i="13" s="1"/>
  <c r="BB302" i="3"/>
  <c r="P557" i="13"/>
  <c r="Q557" i="13" s="1"/>
  <c r="BB254" i="3"/>
  <c r="P493" i="13"/>
  <c r="Q493" i="13" s="1"/>
  <c r="BB190" i="3"/>
  <c r="P397" i="13"/>
  <c r="Q397" i="13" s="1"/>
  <c r="BB94" i="3"/>
  <c r="DH94" i="3" s="1"/>
  <c r="P333" i="13"/>
  <c r="BB30" i="3"/>
  <c r="P332" i="13"/>
  <c r="BB29" i="3"/>
  <c r="P606" i="13"/>
  <c r="Q606" i="13" s="1"/>
  <c r="BB303" i="3"/>
  <c r="P550" i="13"/>
  <c r="Q550" i="13" s="1"/>
  <c r="BB247" i="3"/>
  <c r="P446" i="13"/>
  <c r="Q446" i="13" s="1"/>
  <c r="BB143" i="3"/>
  <c r="P534" i="13"/>
  <c r="Q534" i="13" s="1"/>
  <c r="BB231" i="3"/>
  <c r="P382" i="13"/>
  <c r="Q382" i="13" s="1"/>
  <c r="BB79" i="3"/>
  <c r="P599" i="13"/>
  <c r="Q599" i="13" s="1"/>
  <c r="BB296" i="3"/>
  <c r="P543" i="13"/>
  <c r="Q543" i="13" s="1"/>
  <c r="BB240" i="3"/>
  <c r="P479" i="13"/>
  <c r="Q479" i="13" s="1"/>
  <c r="BB176" i="3"/>
  <c r="P415" i="13"/>
  <c r="Q415" i="13" s="1"/>
  <c r="BB112" i="3"/>
  <c r="P351" i="13"/>
  <c r="Q351" i="13" s="1"/>
  <c r="BB48" i="3"/>
  <c r="P594" i="13"/>
  <c r="Q594" i="13" s="1"/>
  <c r="BB291" i="3"/>
  <c r="DH291" i="3" s="1"/>
  <c r="P546" i="13"/>
  <c r="Q546" i="13" s="1"/>
  <c r="BB243" i="3"/>
  <c r="P482" i="13"/>
  <c r="Q482" i="13" s="1"/>
  <c r="BB179" i="3"/>
  <c r="P418" i="13"/>
  <c r="Q418" i="13" s="1"/>
  <c r="BB115" i="3"/>
  <c r="P354" i="13"/>
  <c r="Q354" i="13" s="1"/>
  <c r="BB51" i="3"/>
  <c r="P611" i="13"/>
  <c r="Q611" i="13" s="1"/>
  <c r="BB308" i="3"/>
  <c r="P531" i="13"/>
  <c r="Q531" i="13" s="1"/>
  <c r="BB228" i="3"/>
  <c r="DH228" i="3" s="1"/>
  <c r="P427" i="13"/>
  <c r="Q427" i="13" s="1"/>
  <c r="BB124" i="3"/>
  <c r="P419" i="13"/>
  <c r="Q419" i="13" s="1"/>
  <c r="BB116" i="3"/>
  <c r="P411" i="13"/>
  <c r="Q411" i="13" s="1"/>
  <c r="BB108" i="3"/>
  <c r="P403" i="13"/>
  <c r="Q403" i="13" s="1"/>
  <c r="BB100" i="3"/>
  <c r="P604" i="13"/>
  <c r="Q604" i="13" s="1"/>
  <c r="BB301" i="3"/>
  <c r="P556" i="13"/>
  <c r="Q556" i="13" s="1"/>
  <c r="BB253" i="3"/>
  <c r="P492" i="13"/>
  <c r="Q492" i="13" s="1"/>
  <c r="BB189" i="3"/>
  <c r="P428" i="13"/>
  <c r="Q428" i="13" s="1"/>
  <c r="BB125" i="3"/>
  <c r="P364" i="13"/>
  <c r="Q364" i="13" s="1"/>
  <c r="BB61" i="3"/>
  <c r="P565" i="13"/>
  <c r="Q565" i="13" s="1"/>
  <c r="BB262" i="3"/>
  <c r="DH262" i="3" s="1"/>
  <c r="P501" i="13"/>
  <c r="Q501" i="13" s="1"/>
  <c r="BB198" i="3"/>
  <c r="P405" i="13"/>
  <c r="Q405" i="13" s="1"/>
  <c r="BB102" i="3"/>
  <c r="P341" i="13"/>
  <c r="BB38" i="3"/>
  <c r="P350" i="13"/>
  <c r="Q350" i="13" s="1"/>
  <c r="BB47" i="3"/>
  <c r="P551" i="13"/>
  <c r="Q551" i="13" s="1"/>
  <c r="BB248" i="3"/>
  <c r="P487" i="13"/>
  <c r="Q487" i="13" s="1"/>
  <c r="BB184" i="3"/>
  <c r="P423" i="13"/>
  <c r="Q423" i="13" s="1"/>
  <c r="BB120" i="3"/>
  <c r="P359" i="13"/>
  <c r="Q359" i="13" s="1"/>
  <c r="BB56" i="3"/>
  <c r="P490" i="13"/>
  <c r="Q490" i="13" s="1"/>
  <c r="BB187" i="3"/>
  <c r="P362" i="13"/>
  <c r="Q362" i="13" s="1"/>
  <c r="BB59" i="3"/>
  <c r="P539" i="13"/>
  <c r="Q539" i="13" s="1"/>
  <c r="BB236" i="3"/>
  <c r="P443" i="13"/>
  <c r="Q443" i="13" s="1"/>
  <c r="BB140" i="3"/>
  <c r="P435" i="13"/>
  <c r="Q435" i="13" s="1"/>
  <c r="BB132" i="3"/>
  <c r="P564" i="13"/>
  <c r="Q564" i="13" s="1"/>
  <c r="BB261" i="3"/>
  <c r="P500" i="13"/>
  <c r="Q500" i="13" s="1"/>
  <c r="BB197" i="3"/>
  <c r="P436" i="13"/>
  <c r="Q436" i="13" s="1"/>
  <c r="BB133" i="3"/>
  <c r="P372" i="13"/>
  <c r="Q372" i="13" s="1"/>
  <c r="BB69" i="3"/>
  <c r="P574" i="13"/>
  <c r="Q574" i="13" s="1"/>
  <c r="BB271" i="3"/>
  <c r="P573" i="13"/>
  <c r="Q573" i="13" s="1"/>
  <c r="BB270" i="3"/>
  <c r="P509" i="13"/>
  <c r="Q509" i="13" s="1"/>
  <c r="BB206" i="3"/>
  <c r="P413" i="13"/>
  <c r="Q413" i="13" s="1"/>
  <c r="BB110" i="3"/>
  <c r="P349" i="13"/>
  <c r="Q349" i="13" s="1"/>
  <c r="BB46" i="3"/>
  <c r="P330" i="13"/>
  <c r="BB27" i="3"/>
  <c r="P502" i="13"/>
  <c r="Q502" i="13" s="1"/>
  <c r="BB199" i="3"/>
  <c r="P313" i="13"/>
  <c r="AV6" i="3"/>
  <c r="P607" i="13"/>
  <c r="Q607" i="13" s="1"/>
  <c r="BB304" i="3"/>
  <c r="DH304" i="3" s="1"/>
  <c r="P559" i="13"/>
  <c r="Q559" i="13" s="1"/>
  <c r="BB256" i="3"/>
  <c r="P495" i="13"/>
  <c r="Q495" i="13" s="1"/>
  <c r="BB192" i="3"/>
  <c r="P431" i="13"/>
  <c r="Q431" i="13" s="1"/>
  <c r="BB128" i="3"/>
  <c r="P367" i="13"/>
  <c r="Q367" i="13" s="1"/>
  <c r="BB64" i="3"/>
  <c r="P370" i="13"/>
  <c r="Q370" i="13" s="1"/>
  <c r="BB67" i="3"/>
  <c r="P595" i="13"/>
  <c r="Q595" i="13" s="1"/>
  <c r="BB292" i="3"/>
  <c r="P547" i="13"/>
  <c r="Q547" i="13" s="1"/>
  <c r="BB244" i="3"/>
  <c r="P451" i="13"/>
  <c r="Q451" i="13" s="1"/>
  <c r="BB148" i="3"/>
  <c r="P572" i="13"/>
  <c r="Q572" i="13" s="1"/>
  <c r="BB269" i="3"/>
  <c r="P508" i="13"/>
  <c r="Q508" i="13" s="1"/>
  <c r="BB205" i="3"/>
  <c r="P444" i="13"/>
  <c r="Q444" i="13" s="1"/>
  <c r="BB141" i="3"/>
  <c r="P380" i="13"/>
  <c r="Q380" i="13" s="1"/>
  <c r="BB77" i="3"/>
  <c r="P462" i="13"/>
  <c r="Q462" i="13" s="1"/>
  <c r="BB159" i="3"/>
  <c r="P581" i="13"/>
  <c r="Q581" i="13" s="1"/>
  <c r="BB278" i="3"/>
  <c r="DH278" i="3" s="1"/>
  <c r="P517" i="13"/>
  <c r="Q517" i="13" s="1"/>
  <c r="BB214" i="3"/>
  <c r="DH214" i="3" s="1"/>
  <c r="P421" i="13"/>
  <c r="Q421" i="13" s="1"/>
  <c r="BB118" i="3"/>
  <c r="P357" i="13"/>
  <c r="Q357" i="13" s="1"/>
  <c r="BB54" i="3"/>
  <c r="P317" i="13"/>
  <c r="BB14" i="3"/>
  <c r="P366" i="13"/>
  <c r="Q366" i="13" s="1"/>
  <c r="BB63" i="3"/>
  <c r="P590" i="13"/>
  <c r="Q590" i="13" s="1"/>
  <c r="BB287" i="3"/>
  <c r="P542" i="13"/>
  <c r="Q542" i="13" s="1"/>
  <c r="BB239" i="3"/>
  <c r="DH239" i="3" s="1"/>
  <c r="P390" i="13"/>
  <c r="Q390" i="13" s="1"/>
  <c r="BB87" i="3"/>
  <c r="P567" i="13"/>
  <c r="Q567" i="13" s="1"/>
  <c r="BB264" i="3"/>
  <c r="DH264" i="3" s="1"/>
  <c r="P503" i="13"/>
  <c r="Q503" i="13" s="1"/>
  <c r="BB200" i="3"/>
  <c r="P439" i="13"/>
  <c r="Q439" i="13" s="1"/>
  <c r="BB136" i="3"/>
  <c r="P375" i="13"/>
  <c r="Q375" i="13" s="1"/>
  <c r="BB72" i="3"/>
  <c r="P506" i="13"/>
  <c r="Q506" i="13" s="1"/>
  <c r="BB203" i="3"/>
  <c r="P442" i="13"/>
  <c r="Q442" i="13" s="1"/>
  <c r="BB139" i="3"/>
  <c r="DH139" i="3" s="1"/>
  <c r="P555" i="13"/>
  <c r="Q555" i="13" s="1"/>
  <c r="BB252" i="3"/>
  <c r="P475" i="13"/>
  <c r="Q475" i="13" s="1"/>
  <c r="BB172" i="3"/>
  <c r="P467" i="13"/>
  <c r="Q467" i="13" s="1"/>
  <c r="BB164" i="3"/>
  <c r="P459" i="13"/>
  <c r="Q459" i="13" s="1"/>
  <c r="BB156" i="3"/>
  <c r="P339" i="13"/>
  <c r="Q339" i="13" s="1"/>
  <c r="BB36" i="3"/>
  <c r="P580" i="13"/>
  <c r="Q580" i="13" s="1"/>
  <c r="BB277" i="3"/>
  <c r="P516" i="13"/>
  <c r="Q516" i="13" s="1"/>
  <c r="BB213" i="3"/>
  <c r="P452" i="13"/>
  <c r="Q452" i="13" s="1"/>
  <c r="BB149" i="3"/>
  <c r="P388" i="13"/>
  <c r="Q388" i="13" s="1"/>
  <c r="BB85" i="3"/>
  <c r="P430" i="13"/>
  <c r="Q430" i="13" s="1"/>
  <c r="BB127" i="3"/>
  <c r="P589" i="13"/>
  <c r="Q589" i="13" s="1"/>
  <c r="BB286" i="3"/>
  <c r="P525" i="13"/>
  <c r="Q525" i="13" s="1"/>
  <c r="BB222" i="3"/>
  <c r="P429" i="13"/>
  <c r="Q429" i="13" s="1"/>
  <c r="BB126" i="3"/>
  <c r="P365" i="13"/>
  <c r="Q365" i="13" s="1"/>
  <c r="BB62" i="3"/>
  <c r="P518" i="13"/>
  <c r="Q518" i="13" s="1"/>
  <c r="BB215" i="3"/>
  <c r="P406" i="13"/>
  <c r="Q406" i="13" s="1"/>
  <c r="BB103" i="3"/>
  <c r="DH103" i="3" s="1"/>
  <c r="P558" i="13"/>
  <c r="Q558" i="13" s="1"/>
  <c r="BB255" i="3"/>
  <c r="DH255" i="3" s="1"/>
  <c r="P478" i="13"/>
  <c r="Q478" i="13" s="1"/>
  <c r="BB175" i="3"/>
  <c r="P358" i="13"/>
  <c r="Q358" i="13" s="1"/>
  <c r="BB55" i="3"/>
  <c r="P575" i="13"/>
  <c r="Q575" i="13" s="1"/>
  <c r="BB272" i="3"/>
  <c r="DH272" i="3" s="1"/>
  <c r="P511" i="13"/>
  <c r="Q511" i="13" s="1"/>
  <c r="BB208" i="3"/>
  <c r="P447" i="13"/>
  <c r="Q447" i="13" s="1"/>
  <c r="BB144" i="3"/>
  <c r="P383" i="13"/>
  <c r="Q383" i="13" s="1"/>
  <c r="BB80" i="3"/>
  <c r="BS308" i="3"/>
  <c r="S322" i="20"/>
  <c r="S226" i="20"/>
  <c r="BS76" i="3"/>
  <c r="AG213" i="3"/>
  <c r="BS190" i="3"/>
  <c r="BS292" i="3"/>
  <c r="BS154" i="3"/>
  <c r="BS296" i="3"/>
  <c r="S310" i="20"/>
  <c r="BS151" i="3"/>
  <c r="P91" i="13"/>
  <c r="P103" i="13"/>
  <c r="BJ21" i="5"/>
  <c r="O155" i="5"/>
  <c r="P124" i="13"/>
  <c r="P100" i="13"/>
  <c r="P189" i="13"/>
  <c r="P176" i="13"/>
  <c r="P144" i="13"/>
  <c r="P112" i="13"/>
  <c r="P165" i="13"/>
  <c r="P71" i="13"/>
  <c r="BJ275" i="5"/>
  <c r="P78" i="13"/>
  <c r="P79" i="13"/>
  <c r="P129" i="13"/>
  <c r="BJ227" i="5"/>
  <c r="P193" i="13"/>
  <c r="P164" i="13"/>
  <c r="P179" i="13"/>
  <c r="P163" i="13"/>
  <c r="P59" i="13"/>
  <c r="P196" i="13"/>
  <c r="P156" i="13"/>
  <c r="P92" i="13"/>
  <c r="P152" i="13"/>
  <c r="P162" i="13"/>
  <c r="P77" i="13"/>
  <c r="P62" i="13"/>
  <c r="P159" i="13"/>
  <c r="P104" i="13"/>
  <c r="P73" i="13"/>
  <c r="P173" i="13"/>
  <c r="P182" i="13"/>
  <c r="P109" i="13"/>
  <c r="P54" i="13"/>
  <c r="P161" i="13"/>
  <c r="P146" i="13"/>
  <c r="P75" i="13"/>
  <c r="P85" i="13"/>
  <c r="P150" i="13"/>
  <c r="P151" i="13"/>
  <c r="P155" i="13"/>
  <c r="P202" i="13"/>
  <c r="P67" i="13"/>
  <c r="P43" i="13"/>
  <c r="P204" i="13"/>
  <c r="P180" i="13"/>
  <c r="P140" i="13"/>
  <c r="P116" i="13"/>
  <c r="P181" i="13"/>
  <c r="P190" i="13"/>
  <c r="P126" i="13"/>
  <c r="P86" i="13"/>
  <c r="P87" i="13"/>
  <c r="P88" i="13"/>
  <c r="P137" i="13"/>
  <c r="P121" i="13"/>
  <c r="P57" i="13"/>
  <c r="P154" i="13"/>
  <c r="P53" i="13"/>
  <c r="P56" i="13"/>
  <c r="P187" i="13"/>
  <c r="P123" i="13"/>
  <c r="P197" i="13"/>
  <c r="P175" i="13"/>
  <c r="P89" i="13"/>
  <c r="P130" i="13"/>
  <c r="P114" i="13"/>
  <c r="P203" i="13"/>
  <c r="P172" i="13"/>
  <c r="P84" i="13"/>
  <c r="P148" i="13"/>
  <c r="P198" i="13"/>
  <c r="P134" i="13"/>
  <c r="P128" i="13"/>
  <c r="P96" i="13"/>
  <c r="P64" i="13"/>
  <c r="P177" i="13"/>
  <c r="P145" i="13"/>
  <c r="P106" i="13"/>
  <c r="P115" i="13"/>
  <c r="P70" i="13"/>
  <c r="P199" i="13"/>
  <c r="P186" i="13"/>
  <c r="K137" i="13"/>
  <c r="K119" i="13"/>
  <c r="P307" i="13"/>
  <c r="Q307" i="13"/>
  <c r="P291" i="13"/>
  <c r="Q291" i="13"/>
  <c r="P275" i="13"/>
  <c r="Q275" i="13"/>
  <c r="P259" i="13"/>
  <c r="Q259" i="13"/>
  <c r="P195" i="13"/>
  <c r="P131" i="13"/>
  <c r="P260" i="13"/>
  <c r="Q260" i="13"/>
  <c r="P244" i="13"/>
  <c r="Q244" i="13"/>
  <c r="P228" i="13"/>
  <c r="Q228" i="13"/>
  <c r="W228" i="13" s="1"/>
  <c r="P212" i="13"/>
  <c r="Q212" i="13"/>
  <c r="P132" i="13"/>
  <c r="P68" i="13"/>
  <c r="P309" i="13"/>
  <c r="Q309" i="13"/>
  <c r="W309" i="13" s="1"/>
  <c r="P261" i="13"/>
  <c r="Q261" i="13"/>
  <c r="P221" i="13"/>
  <c r="Q221" i="13"/>
  <c r="X221" i="13" s="1"/>
  <c r="L188" i="13"/>
  <c r="M188" i="13" s="1"/>
  <c r="L172" i="13"/>
  <c r="M172" i="13" s="1"/>
  <c r="L156" i="13"/>
  <c r="Q156" i="13" s="1"/>
  <c r="L140" i="13"/>
  <c r="M140" i="13" s="1"/>
  <c r="L124" i="13"/>
  <c r="Q124" i="13" s="1"/>
  <c r="P93" i="13"/>
  <c r="P61" i="13"/>
  <c r="P294" i="13"/>
  <c r="Q294" i="13"/>
  <c r="P102" i="13"/>
  <c r="L190" i="13"/>
  <c r="M190" i="13" s="1"/>
  <c r="L78" i="13"/>
  <c r="Q78" i="13" s="1"/>
  <c r="P63" i="13"/>
  <c r="P296" i="13"/>
  <c r="Q296" i="13"/>
  <c r="P256" i="13"/>
  <c r="Q256" i="13"/>
  <c r="P216" i="13"/>
  <c r="Q216" i="13"/>
  <c r="P192" i="13"/>
  <c r="L167" i="13"/>
  <c r="M167" i="13" s="1"/>
  <c r="L103" i="13"/>
  <c r="M103" i="13" s="1"/>
  <c r="P257" i="13"/>
  <c r="Q257" i="13"/>
  <c r="X257" i="13" s="1"/>
  <c r="P241" i="13"/>
  <c r="Q241" i="13"/>
  <c r="W241" i="13" s="1"/>
  <c r="P225" i="13"/>
  <c r="Q225" i="13"/>
  <c r="W225" i="13" s="1"/>
  <c r="L184" i="13"/>
  <c r="Q184" i="13" s="1"/>
  <c r="L96" i="13"/>
  <c r="M96" i="13" s="1"/>
  <c r="P306" i="13"/>
  <c r="Q306" i="13"/>
  <c r="P242" i="13"/>
  <c r="Q242" i="13"/>
  <c r="L201" i="13"/>
  <c r="Q201" i="13" s="1"/>
  <c r="L185" i="13"/>
  <c r="M185" i="13" s="1"/>
  <c r="L169" i="13"/>
  <c r="M169" i="13" s="1"/>
  <c r="L153" i="13"/>
  <c r="M153" i="13" s="1"/>
  <c r="L137" i="13"/>
  <c r="K204" i="13"/>
  <c r="K101" i="13"/>
  <c r="L194" i="13"/>
  <c r="Q194" i="13" s="1"/>
  <c r="L178" i="13"/>
  <c r="M178" i="13" s="1"/>
  <c r="L162" i="13"/>
  <c r="M162" i="13" s="1"/>
  <c r="L146" i="13"/>
  <c r="M146" i="13" s="1"/>
  <c r="L130" i="13"/>
  <c r="Q130" i="13" s="1"/>
  <c r="P99" i="13"/>
  <c r="P83" i="13"/>
  <c r="P285" i="13"/>
  <c r="Q285" i="13"/>
  <c r="W285" i="13" s="1"/>
  <c r="L108" i="13"/>
  <c r="M108" i="13" s="1"/>
  <c r="L92" i="13"/>
  <c r="Q92" i="13" s="1"/>
  <c r="L76" i="13"/>
  <c r="M76" i="13" s="1"/>
  <c r="L60" i="13"/>
  <c r="M60" i="13" s="1"/>
  <c r="P238" i="13"/>
  <c r="Q238" i="13"/>
  <c r="X238" i="13" s="1"/>
  <c r="P222" i="13"/>
  <c r="Q222" i="13"/>
  <c r="X222" i="13" s="1"/>
  <c r="P206" i="13"/>
  <c r="Q206" i="13"/>
  <c r="P174" i="13"/>
  <c r="P158" i="13"/>
  <c r="P142" i="13"/>
  <c r="L101" i="13"/>
  <c r="L85" i="13"/>
  <c r="Q85" i="13" s="1"/>
  <c r="L69" i="13"/>
  <c r="M69" i="13" s="1"/>
  <c r="L53" i="13"/>
  <c r="Q53" i="13" s="1"/>
  <c r="P263" i="13"/>
  <c r="Q263" i="13"/>
  <c r="P247" i="13"/>
  <c r="Q247" i="13"/>
  <c r="L150" i="13"/>
  <c r="Q150" i="13" s="1"/>
  <c r="P135" i="13"/>
  <c r="L102" i="13"/>
  <c r="Q102" i="13" s="1"/>
  <c r="P280" i="13"/>
  <c r="Q280" i="13"/>
  <c r="P240" i="13"/>
  <c r="Q240" i="13"/>
  <c r="L191" i="13"/>
  <c r="M191" i="13" s="1"/>
  <c r="P136" i="13"/>
  <c r="L127" i="13"/>
  <c r="Q127" i="13" s="1"/>
  <c r="P72" i="13"/>
  <c r="L63" i="13"/>
  <c r="Q63" i="13" s="1"/>
  <c r="P273" i="13"/>
  <c r="Q273" i="13"/>
  <c r="X273" i="13" s="1"/>
  <c r="P209" i="13"/>
  <c r="Q209" i="13"/>
  <c r="X209" i="13" s="1"/>
  <c r="P169" i="13"/>
  <c r="L144" i="13"/>
  <c r="M144" i="13" s="1"/>
  <c r="P105" i="13"/>
  <c r="L56" i="13"/>
  <c r="Q56" i="13" s="1"/>
  <c r="P282" i="13"/>
  <c r="Q282" i="13"/>
  <c r="P218" i="13"/>
  <c r="Q218" i="13"/>
  <c r="L105" i="13"/>
  <c r="Q105" i="13" s="1"/>
  <c r="L73" i="13"/>
  <c r="M73" i="13" s="1"/>
  <c r="L57" i="13"/>
  <c r="M57" i="13" s="1"/>
  <c r="K129" i="13"/>
  <c r="K142" i="13"/>
  <c r="P251" i="13"/>
  <c r="Q251" i="13"/>
  <c r="P235" i="13"/>
  <c r="Q235" i="13"/>
  <c r="W235" i="13" s="1"/>
  <c r="P219" i="13"/>
  <c r="Q219" i="13"/>
  <c r="P139" i="13"/>
  <c r="L114" i="13"/>
  <c r="M114" i="13" s="1"/>
  <c r="L98" i="13"/>
  <c r="M98" i="13" s="1"/>
  <c r="L82" i="13"/>
  <c r="M82" i="13" s="1"/>
  <c r="L66" i="13"/>
  <c r="Q66" i="13" s="1"/>
  <c r="P308" i="13"/>
  <c r="Q308" i="13"/>
  <c r="P292" i="13"/>
  <c r="Q292" i="13"/>
  <c r="P276" i="13"/>
  <c r="Q276" i="13"/>
  <c r="P237" i="13"/>
  <c r="Q237" i="13"/>
  <c r="W237" i="13" s="1"/>
  <c r="P213" i="13"/>
  <c r="Q213" i="13"/>
  <c r="X213" i="13" s="1"/>
  <c r="P149" i="13"/>
  <c r="P133" i="13"/>
  <c r="P278" i="13"/>
  <c r="Q278" i="13"/>
  <c r="X278" i="13" s="1"/>
  <c r="P311" i="13"/>
  <c r="Q311" i="13"/>
  <c r="P295" i="13"/>
  <c r="Q295" i="13"/>
  <c r="P279" i="13"/>
  <c r="Q279" i="13"/>
  <c r="P231" i="13"/>
  <c r="Q231" i="13"/>
  <c r="P215" i="13"/>
  <c r="Q215" i="13"/>
  <c r="L174" i="13"/>
  <c r="M174" i="13" s="1"/>
  <c r="L62" i="13"/>
  <c r="M62" i="13" s="1"/>
  <c r="P264" i="13"/>
  <c r="Q264" i="13"/>
  <c r="L151" i="13"/>
  <c r="Q151" i="13" s="1"/>
  <c r="L87" i="13"/>
  <c r="Q87" i="13" s="1"/>
  <c r="P297" i="13"/>
  <c r="Q297" i="13"/>
  <c r="L168" i="13"/>
  <c r="M168" i="13" s="1"/>
  <c r="L80" i="13"/>
  <c r="M80" i="13" s="1"/>
  <c r="P258" i="13"/>
  <c r="Q258" i="13"/>
  <c r="K157" i="13"/>
  <c r="K125" i="13"/>
  <c r="K93" i="13"/>
  <c r="P267" i="13"/>
  <c r="Q267" i="13"/>
  <c r="L195" i="13"/>
  <c r="M195" i="13" s="1"/>
  <c r="L179" i="13"/>
  <c r="M179" i="13" s="1"/>
  <c r="L163" i="13"/>
  <c r="Q163" i="13" s="1"/>
  <c r="L147" i="13"/>
  <c r="M147" i="13" s="1"/>
  <c r="L131" i="13"/>
  <c r="M131" i="13" s="1"/>
  <c r="L115" i="13"/>
  <c r="M115" i="13" s="1"/>
  <c r="L99" i="13"/>
  <c r="Q99" i="13" s="1"/>
  <c r="L83" i="13"/>
  <c r="M83" i="13" s="1"/>
  <c r="L67" i="13"/>
  <c r="Q67" i="13" s="1"/>
  <c r="L51" i="13"/>
  <c r="P301" i="13"/>
  <c r="Q301" i="13"/>
  <c r="X301" i="13" s="1"/>
  <c r="P302" i="13"/>
  <c r="Q302" i="13"/>
  <c r="W302" i="13" s="1"/>
  <c r="P262" i="13"/>
  <c r="Q262" i="13"/>
  <c r="W262" i="13" s="1"/>
  <c r="L189" i="13"/>
  <c r="M189" i="13" s="1"/>
  <c r="L173" i="13"/>
  <c r="M173" i="13" s="1"/>
  <c r="L157" i="13"/>
  <c r="L125" i="13"/>
  <c r="L198" i="13"/>
  <c r="Q198" i="13" s="1"/>
  <c r="L134" i="13"/>
  <c r="Q134" i="13" s="1"/>
  <c r="P111" i="13"/>
  <c r="L86" i="13"/>
  <c r="M86" i="13" s="1"/>
  <c r="P224" i="13"/>
  <c r="Q224" i="13"/>
  <c r="P200" i="13"/>
  <c r="L175" i="13"/>
  <c r="M175" i="13" s="1"/>
  <c r="P120" i="13"/>
  <c r="L111" i="13"/>
  <c r="M111" i="13" s="1"/>
  <c r="L192" i="13"/>
  <c r="M192" i="13" s="1"/>
  <c r="P153" i="13"/>
  <c r="L128" i="13"/>
  <c r="M128" i="13" s="1"/>
  <c r="P113" i="13"/>
  <c r="L104" i="13"/>
  <c r="M104" i="13" s="1"/>
  <c r="P65" i="13"/>
  <c r="P298" i="13"/>
  <c r="Q298" i="13"/>
  <c r="P234" i="13"/>
  <c r="Q234" i="13"/>
  <c r="X234" i="13" s="1"/>
  <c r="P194" i="13"/>
  <c r="P178" i="13"/>
  <c r="P98" i="13"/>
  <c r="P82" i="13"/>
  <c r="P66" i="13"/>
  <c r="K121" i="13"/>
  <c r="K89" i="13"/>
  <c r="M89" i="13" s="1"/>
  <c r="K75" i="13"/>
  <c r="P299" i="13"/>
  <c r="Q299" i="13"/>
  <c r="P283" i="13"/>
  <c r="Q283" i="13"/>
  <c r="P171" i="13"/>
  <c r="P277" i="13"/>
  <c r="Q277" i="13"/>
  <c r="X277" i="13" s="1"/>
  <c r="P253" i="13"/>
  <c r="Q253" i="13"/>
  <c r="X253" i="13" s="1"/>
  <c r="P229" i="13"/>
  <c r="Q229" i="13"/>
  <c r="L196" i="13"/>
  <c r="M196" i="13" s="1"/>
  <c r="L180" i="13"/>
  <c r="Q180" i="13" s="1"/>
  <c r="L164" i="13"/>
  <c r="Q164" i="13" s="1"/>
  <c r="L148" i="13"/>
  <c r="Q148" i="13" s="1"/>
  <c r="L132" i="13"/>
  <c r="M132" i="13" s="1"/>
  <c r="P117" i="13"/>
  <c r="P101" i="13"/>
  <c r="P69" i="13"/>
  <c r="P110" i="13"/>
  <c r="P94" i="13"/>
  <c r="P183" i="13"/>
  <c r="L158" i="13"/>
  <c r="Q158" i="13" s="1"/>
  <c r="P143" i="13"/>
  <c r="P119" i="13"/>
  <c r="L110" i="13"/>
  <c r="Q110" i="13" s="1"/>
  <c r="P95" i="13"/>
  <c r="P304" i="13"/>
  <c r="Q304" i="13"/>
  <c r="P288" i="13"/>
  <c r="Q288" i="13"/>
  <c r="L199" i="13"/>
  <c r="M199" i="13" s="1"/>
  <c r="P160" i="13"/>
  <c r="L135" i="13"/>
  <c r="M135" i="13" s="1"/>
  <c r="L71" i="13"/>
  <c r="Q71" i="13" s="1"/>
  <c r="P281" i="13"/>
  <c r="Q281" i="13"/>
  <c r="X281" i="13" s="1"/>
  <c r="P265" i="13"/>
  <c r="Q265" i="13"/>
  <c r="X265" i="13" s="1"/>
  <c r="P249" i="13"/>
  <c r="Q249" i="13"/>
  <c r="X249" i="13" s="1"/>
  <c r="P233" i="13"/>
  <c r="Q233" i="13"/>
  <c r="X233" i="13" s="1"/>
  <c r="P217" i="13"/>
  <c r="Q217" i="13"/>
  <c r="X217" i="13" s="1"/>
  <c r="L152" i="13"/>
  <c r="Q152" i="13" s="1"/>
  <c r="L64" i="13"/>
  <c r="Q64" i="13" s="1"/>
  <c r="P274" i="13"/>
  <c r="Q274" i="13"/>
  <c r="P210" i="13"/>
  <c r="Q210" i="13"/>
  <c r="L193" i="13"/>
  <c r="M193" i="13" s="1"/>
  <c r="L177" i="13"/>
  <c r="M177" i="13" s="1"/>
  <c r="L161" i="13"/>
  <c r="M161" i="13" s="1"/>
  <c r="L145" i="13"/>
  <c r="M145" i="13" s="1"/>
  <c r="L129" i="13"/>
  <c r="K149" i="13"/>
  <c r="K117" i="13"/>
  <c r="M117" i="13" s="1"/>
  <c r="L202" i="13"/>
  <c r="Q202" i="13" s="1"/>
  <c r="L186" i="13"/>
  <c r="M186" i="13" s="1"/>
  <c r="L170" i="13"/>
  <c r="M170" i="13" s="1"/>
  <c r="L154" i="13"/>
  <c r="M154" i="13" s="1"/>
  <c r="L138" i="13"/>
  <c r="Q138" i="13" s="1"/>
  <c r="L122" i="13"/>
  <c r="Q122" i="13" s="1"/>
  <c r="P107" i="13"/>
  <c r="P268" i="13"/>
  <c r="Q268" i="13"/>
  <c r="P236" i="13"/>
  <c r="Q236" i="13"/>
  <c r="X236" i="13" s="1"/>
  <c r="P220" i="13"/>
  <c r="Q220" i="13"/>
  <c r="P188" i="13"/>
  <c r="P108" i="13"/>
  <c r="P76" i="13"/>
  <c r="P60" i="13"/>
  <c r="L116" i="13"/>
  <c r="Q116" i="13" s="1"/>
  <c r="L100" i="13"/>
  <c r="Q100" i="13" s="1"/>
  <c r="L84" i="13"/>
  <c r="M84" i="13" s="1"/>
  <c r="L68" i="13"/>
  <c r="M68" i="13" s="1"/>
  <c r="L52" i="13"/>
  <c r="P286" i="13"/>
  <c r="Q286" i="13"/>
  <c r="W286" i="13" s="1"/>
  <c r="P270" i="13"/>
  <c r="Q270" i="13"/>
  <c r="W270" i="13" s="1"/>
  <c r="P246" i="13"/>
  <c r="Q246" i="13"/>
  <c r="X246" i="13" s="1"/>
  <c r="P230" i="13"/>
  <c r="Q230" i="13"/>
  <c r="P214" i="13"/>
  <c r="Q214" i="13"/>
  <c r="P166" i="13"/>
  <c r="L109" i="13"/>
  <c r="M109" i="13" s="1"/>
  <c r="L93" i="13"/>
  <c r="L77" i="13"/>
  <c r="Q77" i="13" s="1"/>
  <c r="L61" i="13"/>
  <c r="M61" i="13" s="1"/>
  <c r="L45" i="13"/>
  <c r="P271" i="13"/>
  <c r="Q271" i="13"/>
  <c r="P255" i="13"/>
  <c r="Q255" i="13"/>
  <c r="L182" i="13"/>
  <c r="M182" i="13" s="1"/>
  <c r="L70" i="13"/>
  <c r="M70" i="13" s="1"/>
  <c r="P55" i="13"/>
  <c r="P248" i="13"/>
  <c r="Q248" i="13"/>
  <c r="P184" i="13"/>
  <c r="L159" i="13"/>
  <c r="Q159" i="13" s="1"/>
  <c r="L95" i="13"/>
  <c r="M95" i="13" s="1"/>
  <c r="P80" i="13"/>
  <c r="P305" i="13"/>
  <c r="Q305" i="13"/>
  <c r="W305" i="13" s="1"/>
  <c r="P201" i="13"/>
  <c r="L176" i="13"/>
  <c r="M176" i="13" s="1"/>
  <c r="P97" i="13"/>
  <c r="L88" i="13"/>
  <c r="M88" i="13" s="1"/>
  <c r="P250" i="13"/>
  <c r="Q250" i="13"/>
  <c r="L113" i="13"/>
  <c r="M113" i="13" s="1"/>
  <c r="L97" i="13"/>
  <c r="M97" i="13" s="1"/>
  <c r="L81" i="13"/>
  <c r="M81" i="13" s="1"/>
  <c r="L65" i="13"/>
  <c r="Q65" i="13" s="1"/>
  <c r="K126" i="13"/>
  <c r="P147" i="13"/>
  <c r="L106" i="13"/>
  <c r="Q106" i="13" s="1"/>
  <c r="L90" i="13"/>
  <c r="Q90" i="13" s="1"/>
  <c r="L74" i="13"/>
  <c r="Q74" i="13" s="1"/>
  <c r="L58" i="13"/>
  <c r="Q58" i="13" s="1"/>
  <c r="P300" i="13"/>
  <c r="Q300" i="13"/>
  <c r="P284" i="13"/>
  <c r="Q284" i="13"/>
  <c r="P252" i="13"/>
  <c r="Q252" i="13"/>
  <c r="P293" i="13"/>
  <c r="Q293" i="13"/>
  <c r="W293" i="13" s="1"/>
  <c r="P269" i="13"/>
  <c r="Q269" i="13"/>
  <c r="X269" i="13" s="1"/>
  <c r="P245" i="13"/>
  <c r="Q245" i="13"/>
  <c r="W245" i="13" s="1"/>
  <c r="P157" i="13"/>
  <c r="P141" i="13"/>
  <c r="P125" i="13"/>
  <c r="P310" i="13"/>
  <c r="Q310" i="13"/>
  <c r="W310" i="13" s="1"/>
  <c r="P118" i="13"/>
  <c r="P303" i="13"/>
  <c r="Q303" i="13"/>
  <c r="P287" i="13"/>
  <c r="Q287" i="13"/>
  <c r="P239" i="13"/>
  <c r="Q239" i="13"/>
  <c r="P223" i="13"/>
  <c r="Q223" i="13"/>
  <c r="P207" i="13"/>
  <c r="Q207" i="13"/>
  <c r="P167" i="13"/>
  <c r="L142" i="13"/>
  <c r="L118" i="13"/>
  <c r="Q118" i="13" s="1"/>
  <c r="L94" i="13"/>
  <c r="Q94" i="13" s="1"/>
  <c r="P272" i="13"/>
  <c r="Q272" i="13"/>
  <c r="P232" i="13"/>
  <c r="Q232" i="13"/>
  <c r="P208" i="13"/>
  <c r="Q208" i="13"/>
  <c r="L183" i="13"/>
  <c r="M183" i="13" s="1"/>
  <c r="L119" i="13"/>
  <c r="L55" i="13"/>
  <c r="Q55" i="13" s="1"/>
  <c r="L200" i="13"/>
  <c r="M200" i="13" s="1"/>
  <c r="L136" i="13"/>
  <c r="Q136" i="13" s="1"/>
  <c r="L112" i="13"/>
  <c r="M112" i="13" s="1"/>
  <c r="P290" i="13"/>
  <c r="Q290" i="13"/>
  <c r="P226" i="13"/>
  <c r="Q226" i="13"/>
  <c r="K120" i="13"/>
  <c r="M120" i="13" s="1"/>
  <c r="K141" i="13"/>
  <c r="P243" i="13"/>
  <c r="Q243" i="13"/>
  <c r="P227" i="13"/>
  <c r="Q227" i="13"/>
  <c r="P211" i="13"/>
  <c r="Q211" i="13"/>
  <c r="L203" i="13"/>
  <c r="M203" i="13" s="1"/>
  <c r="L187" i="13"/>
  <c r="M187" i="13" s="1"/>
  <c r="L171" i="13"/>
  <c r="M171" i="13" s="1"/>
  <c r="L155" i="13"/>
  <c r="M155" i="13" s="1"/>
  <c r="L139" i="13"/>
  <c r="M139" i="13" s="1"/>
  <c r="L123" i="13"/>
  <c r="Q123" i="13" s="1"/>
  <c r="L107" i="13"/>
  <c r="Q107" i="13" s="1"/>
  <c r="L91" i="13"/>
  <c r="Q91" i="13" s="1"/>
  <c r="L75" i="13"/>
  <c r="L59" i="13"/>
  <c r="M59" i="13" s="1"/>
  <c r="P205" i="13"/>
  <c r="Q205" i="13"/>
  <c r="X205" i="13" s="1"/>
  <c r="P254" i="13"/>
  <c r="Q254" i="13"/>
  <c r="X254" i="13" s="1"/>
  <c r="L197" i="13"/>
  <c r="M197" i="13" s="1"/>
  <c r="L181" i="13"/>
  <c r="M181" i="13" s="1"/>
  <c r="L165" i="13"/>
  <c r="M165" i="13" s="1"/>
  <c r="L149" i="13"/>
  <c r="L133" i="13"/>
  <c r="Q133" i="13" s="1"/>
  <c r="P191" i="13"/>
  <c r="L166" i="13"/>
  <c r="M166" i="13" s="1"/>
  <c r="P127" i="13"/>
  <c r="L54" i="13"/>
  <c r="M54" i="13" s="1"/>
  <c r="P168" i="13"/>
  <c r="L143" i="13"/>
  <c r="M143" i="13" s="1"/>
  <c r="L79" i="13"/>
  <c r="M79" i="13" s="1"/>
  <c r="P289" i="13"/>
  <c r="Q289" i="13"/>
  <c r="W289" i="13" s="1"/>
  <c r="P185" i="13"/>
  <c r="L160" i="13"/>
  <c r="M160" i="13" s="1"/>
  <c r="P81" i="13"/>
  <c r="L72" i="13"/>
  <c r="Q72" i="13" s="1"/>
  <c r="P266" i="13"/>
  <c r="Q266" i="13"/>
  <c r="P170" i="13"/>
  <c r="P138" i="13"/>
  <c r="P122" i="13"/>
  <c r="P90" i="13"/>
  <c r="P74" i="13"/>
  <c r="P58" i="13"/>
  <c r="C274" i="13"/>
  <c r="C210" i="13"/>
  <c r="C146" i="13"/>
  <c r="C82" i="13"/>
  <c r="C299" i="13"/>
  <c r="C292" i="13"/>
  <c r="C228" i="13"/>
  <c r="C164" i="13"/>
  <c r="C100" i="13"/>
  <c r="C230" i="13"/>
  <c r="C166" i="13"/>
  <c r="C102" i="13"/>
  <c r="C144" i="13"/>
  <c r="C80" i="13"/>
  <c r="C280" i="13"/>
  <c r="C216" i="13"/>
  <c r="C265" i="13"/>
  <c r="C201" i="13"/>
  <c r="C137" i="13"/>
  <c r="C235" i="13"/>
  <c r="C171" i="13"/>
  <c r="C107" i="13"/>
  <c r="C293" i="13"/>
  <c r="C229" i="13"/>
  <c r="C165" i="13"/>
  <c r="C101" i="13"/>
  <c r="C255" i="13"/>
  <c r="C191" i="13"/>
  <c r="C127" i="13"/>
  <c r="C63" i="13"/>
  <c r="C73" i="13"/>
  <c r="C266" i="13"/>
  <c r="C202" i="13"/>
  <c r="C138" i="13"/>
  <c r="C74" i="13"/>
  <c r="C291" i="13"/>
  <c r="C284" i="13"/>
  <c r="C220" i="13"/>
  <c r="C156" i="13"/>
  <c r="C92" i="13"/>
  <c r="C286" i="13"/>
  <c r="C222" i="13"/>
  <c r="C158" i="13"/>
  <c r="C94" i="13"/>
  <c r="C304" i="13"/>
  <c r="C136" i="13"/>
  <c r="C72" i="13"/>
  <c r="C272" i="13"/>
  <c r="C208" i="13"/>
  <c r="C257" i="13"/>
  <c r="C193" i="13"/>
  <c r="C129" i="13"/>
  <c r="C227" i="13"/>
  <c r="C163" i="13"/>
  <c r="C99" i="13"/>
  <c r="C285" i="13"/>
  <c r="C221" i="13"/>
  <c r="C157" i="13"/>
  <c r="C93" i="13"/>
  <c r="C302" i="13"/>
  <c r="C311" i="13"/>
  <c r="C247" i="13"/>
  <c r="C183" i="13"/>
  <c r="C119" i="13"/>
  <c r="C55" i="13"/>
  <c r="C65" i="13"/>
  <c r="C305" i="13"/>
  <c r="C258" i="13"/>
  <c r="C194" i="13"/>
  <c r="C130" i="13"/>
  <c r="C66" i="13"/>
  <c r="C283" i="13"/>
  <c r="C276" i="13"/>
  <c r="C212" i="13"/>
  <c r="C148" i="13"/>
  <c r="C84" i="13"/>
  <c r="C278" i="13"/>
  <c r="C214" i="13"/>
  <c r="C150" i="13"/>
  <c r="C86" i="13"/>
  <c r="C296" i="13"/>
  <c r="C128" i="13"/>
  <c r="C64" i="13"/>
  <c r="C264" i="13"/>
  <c r="C200" i="13"/>
  <c r="C249" i="13"/>
  <c r="C185" i="13"/>
  <c r="C121" i="13"/>
  <c r="C219" i="13"/>
  <c r="C155" i="13"/>
  <c r="C91" i="13"/>
  <c r="C277" i="13"/>
  <c r="C213" i="13"/>
  <c r="C149" i="13"/>
  <c r="C85" i="13"/>
  <c r="C294" i="13"/>
  <c r="C303" i="13"/>
  <c r="C239" i="13"/>
  <c r="C175" i="13"/>
  <c r="C111" i="13"/>
  <c r="C57" i="13"/>
  <c r="C297" i="13"/>
  <c r="C250" i="13"/>
  <c r="C186" i="13"/>
  <c r="C122" i="13"/>
  <c r="C58" i="13"/>
  <c r="C275" i="13"/>
  <c r="C268" i="13"/>
  <c r="C204" i="13"/>
  <c r="C140" i="13"/>
  <c r="C76" i="13"/>
  <c r="C270" i="13"/>
  <c r="C206" i="13"/>
  <c r="C142" i="13"/>
  <c r="C78" i="13"/>
  <c r="C288" i="13"/>
  <c r="C120" i="13"/>
  <c r="C56" i="13"/>
  <c r="C256" i="13"/>
  <c r="C192" i="13"/>
  <c r="C241" i="13"/>
  <c r="C177" i="13"/>
  <c r="C113" i="13"/>
  <c r="C211" i="13"/>
  <c r="C147" i="13"/>
  <c r="C83" i="13"/>
  <c r="C269" i="13"/>
  <c r="C205" i="13"/>
  <c r="C141" i="13"/>
  <c r="C77" i="13"/>
  <c r="C295" i="13"/>
  <c r="C231" i="13"/>
  <c r="C167" i="13"/>
  <c r="C103" i="13"/>
  <c r="C306" i="13"/>
  <c r="C242" i="13"/>
  <c r="C178" i="13"/>
  <c r="C114" i="13"/>
  <c r="C267" i="13"/>
  <c r="C260" i="13"/>
  <c r="C196" i="13"/>
  <c r="C132" i="13"/>
  <c r="C68" i="13"/>
  <c r="C262" i="13"/>
  <c r="C198" i="13"/>
  <c r="C134" i="13"/>
  <c r="C70" i="13"/>
  <c r="C176" i="13"/>
  <c r="C112" i="13"/>
  <c r="C248" i="13"/>
  <c r="C184" i="13"/>
  <c r="C233" i="13"/>
  <c r="C169" i="13"/>
  <c r="C203" i="13"/>
  <c r="C139" i="13"/>
  <c r="C75" i="13"/>
  <c r="C261" i="13"/>
  <c r="C197" i="13"/>
  <c r="C133" i="13"/>
  <c r="C69" i="13"/>
  <c r="C287" i="13"/>
  <c r="C223" i="13"/>
  <c r="C159" i="13"/>
  <c r="C95" i="13"/>
  <c r="C105" i="13"/>
  <c r="C298" i="13"/>
  <c r="C234" i="13"/>
  <c r="C170" i="13"/>
  <c r="C106" i="13"/>
  <c r="C259" i="13"/>
  <c r="C252" i="13"/>
  <c r="C188" i="13"/>
  <c r="C124" i="13"/>
  <c r="C60" i="13"/>
  <c r="C254" i="13"/>
  <c r="C190" i="13"/>
  <c r="C126" i="13"/>
  <c r="C62" i="13"/>
  <c r="C168" i="13"/>
  <c r="C104" i="13"/>
  <c r="C240" i="13"/>
  <c r="C289" i="13"/>
  <c r="C225" i="13"/>
  <c r="C161" i="13"/>
  <c r="C195" i="13"/>
  <c r="C131" i="13"/>
  <c r="C67" i="13"/>
  <c r="C253" i="13"/>
  <c r="C189" i="13"/>
  <c r="C125" i="13"/>
  <c r="C61" i="13"/>
  <c r="C279" i="13"/>
  <c r="C215" i="13"/>
  <c r="C151" i="13"/>
  <c r="C87" i="13"/>
  <c r="C97" i="13"/>
  <c r="C290" i="13"/>
  <c r="C226" i="13"/>
  <c r="C162" i="13"/>
  <c r="C98" i="13"/>
  <c r="C308" i="13"/>
  <c r="C244" i="13"/>
  <c r="C180" i="13"/>
  <c r="C116" i="13"/>
  <c r="C246" i="13"/>
  <c r="C182" i="13"/>
  <c r="C118" i="13"/>
  <c r="C54" i="13"/>
  <c r="C160" i="13"/>
  <c r="C96" i="13"/>
  <c r="C232" i="13"/>
  <c r="C281" i="13"/>
  <c r="C217" i="13"/>
  <c r="C153" i="13"/>
  <c r="C251" i="13"/>
  <c r="C187" i="13"/>
  <c r="C123" i="13"/>
  <c r="C59" i="13"/>
  <c r="C309" i="13"/>
  <c r="C245" i="13"/>
  <c r="C181" i="13"/>
  <c r="C117" i="13"/>
  <c r="C53" i="13"/>
  <c r="C271" i="13"/>
  <c r="C207" i="13"/>
  <c r="C143" i="13"/>
  <c r="C79" i="13"/>
  <c r="C89" i="13"/>
  <c r="C282" i="13"/>
  <c r="C218" i="13"/>
  <c r="C154" i="13"/>
  <c r="C90" i="13"/>
  <c r="C307" i="13"/>
  <c r="C300" i="13"/>
  <c r="C236" i="13"/>
  <c r="C172" i="13"/>
  <c r="C108" i="13"/>
  <c r="C238" i="13"/>
  <c r="C174" i="13"/>
  <c r="C110" i="13"/>
  <c r="C152" i="13"/>
  <c r="C88" i="13"/>
  <c r="C310" i="13"/>
  <c r="C224" i="13"/>
  <c r="C273" i="13"/>
  <c r="C209" i="13"/>
  <c r="C145" i="13"/>
  <c r="C243" i="13"/>
  <c r="C179" i="13"/>
  <c r="C115" i="13"/>
  <c r="C301" i="13"/>
  <c r="C237" i="13"/>
  <c r="C173" i="13"/>
  <c r="C109" i="13"/>
  <c r="C263" i="13"/>
  <c r="C199" i="13"/>
  <c r="C135" i="13"/>
  <c r="C71" i="13"/>
  <c r="C81" i="13"/>
  <c r="Q41" i="22"/>
  <c r="X41" i="22" s="1"/>
  <c r="AE41" i="22" s="1"/>
  <c r="BJ27" i="5"/>
  <c r="P41" i="22"/>
  <c r="W41" i="22" s="1"/>
  <c r="AD41" i="22" s="1"/>
  <c r="BJ18" i="5"/>
  <c r="BA261" i="3"/>
  <c r="BA197" i="3"/>
  <c r="BR197" i="3" s="1"/>
  <c r="BA133" i="3"/>
  <c r="BA69" i="3"/>
  <c r="BA286" i="3"/>
  <c r="BA158" i="3"/>
  <c r="BR158" i="3" s="1"/>
  <c r="BA94" i="3"/>
  <c r="BA287" i="3"/>
  <c r="BA223" i="3"/>
  <c r="BA159" i="3"/>
  <c r="BR159" i="3" s="1"/>
  <c r="BA95" i="3"/>
  <c r="BA248" i="3"/>
  <c r="BA184" i="3"/>
  <c r="BA56" i="3"/>
  <c r="BA257" i="3"/>
  <c r="BR257" i="3" s="1"/>
  <c r="BA193" i="3"/>
  <c r="BR193" i="3" s="1"/>
  <c r="BA129" i="3"/>
  <c r="BA274" i="3"/>
  <c r="BA210" i="3"/>
  <c r="BA146" i="3"/>
  <c r="BA82" i="3"/>
  <c r="BA275" i="3"/>
  <c r="BR275" i="3" s="1"/>
  <c r="BA211" i="3"/>
  <c r="BA147" i="3"/>
  <c r="BA308" i="3"/>
  <c r="BA268" i="3"/>
  <c r="BR268" i="3" s="1"/>
  <c r="BA204" i="3"/>
  <c r="BA140" i="3"/>
  <c r="BA301" i="3"/>
  <c r="BR301" i="3" s="1"/>
  <c r="BA237" i="3"/>
  <c r="BA173" i="3"/>
  <c r="BA109" i="3"/>
  <c r="BA222" i="3"/>
  <c r="BA198" i="3"/>
  <c r="BA134" i="3"/>
  <c r="BA70" i="3"/>
  <c r="BR70" i="3" s="1"/>
  <c r="BA263" i="3"/>
  <c r="BA199" i="3"/>
  <c r="BA135" i="3"/>
  <c r="BA71" i="3"/>
  <c r="BA288" i="3"/>
  <c r="BA224" i="3"/>
  <c r="BA160" i="3"/>
  <c r="BA96" i="3"/>
  <c r="BR96" i="3" s="1"/>
  <c r="BA297" i="3"/>
  <c r="BR297" i="3" s="1"/>
  <c r="BA169" i="3"/>
  <c r="BR169" i="3" s="1"/>
  <c r="BA105" i="3"/>
  <c r="BR105" i="3" s="1"/>
  <c r="BA250" i="3"/>
  <c r="BA186" i="3"/>
  <c r="BA58" i="3"/>
  <c r="BA251" i="3"/>
  <c r="BA187" i="3"/>
  <c r="BA59" i="3"/>
  <c r="BA284" i="3"/>
  <c r="BA244" i="3"/>
  <c r="BA180" i="3"/>
  <c r="BA52" i="3"/>
  <c r="BA277" i="3"/>
  <c r="BA149" i="3"/>
  <c r="BA85" i="3"/>
  <c r="BR85" i="3" s="1"/>
  <c r="BA302" i="3"/>
  <c r="BA262" i="3"/>
  <c r="BA174" i="3"/>
  <c r="BR174" i="3" s="1"/>
  <c r="BA110" i="3"/>
  <c r="BA303" i="3"/>
  <c r="BA239" i="3"/>
  <c r="BR239" i="3" s="1"/>
  <c r="BA175" i="3"/>
  <c r="BA111" i="3"/>
  <c r="BA264" i="3"/>
  <c r="BA200" i="3"/>
  <c r="BA136" i="3"/>
  <c r="BR136" i="3" s="1"/>
  <c r="BA273" i="3"/>
  <c r="BA209" i="3"/>
  <c r="BA145" i="3"/>
  <c r="BA81" i="3"/>
  <c r="BA290" i="3"/>
  <c r="BA162" i="3"/>
  <c r="BA98" i="3"/>
  <c r="BA291" i="3"/>
  <c r="BA267" i="3"/>
  <c r="BA163" i="3"/>
  <c r="BA99" i="3"/>
  <c r="BA156" i="3"/>
  <c r="BA92" i="3"/>
  <c r="BR92" i="3" s="1"/>
  <c r="BA253" i="3"/>
  <c r="BA189" i="3"/>
  <c r="BA125" i="3"/>
  <c r="BR125" i="3" s="1"/>
  <c r="BA61" i="3"/>
  <c r="BR61" i="3" s="1"/>
  <c r="BA278" i="3"/>
  <c r="BA238" i="3"/>
  <c r="BA150" i="3"/>
  <c r="BA86" i="3"/>
  <c r="BA279" i="3"/>
  <c r="BR279" i="3" s="1"/>
  <c r="BA151" i="3"/>
  <c r="BA87" i="3"/>
  <c r="BA304" i="3"/>
  <c r="BA240" i="3"/>
  <c r="BA176" i="3"/>
  <c r="BA112" i="3"/>
  <c r="BA48" i="3"/>
  <c r="BA249" i="3"/>
  <c r="BA225" i="3"/>
  <c r="BA185" i="3"/>
  <c r="BA57" i="3"/>
  <c r="BA266" i="3"/>
  <c r="BA202" i="3"/>
  <c r="BA138" i="3"/>
  <c r="BA243" i="3"/>
  <c r="BA203" i="3"/>
  <c r="BA139" i="3"/>
  <c r="BA300" i="3"/>
  <c r="BR300" i="3" s="1"/>
  <c r="BA260" i="3"/>
  <c r="BA196" i="3"/>
  <c r="BA132" i="3"/>
  <c r="BA68" i="3"/>
  <c r="BA293" i="3"/>
  <c r="BA229" i="3"/>
  <c r="BA165" i="3"/>
  <c r="BA101" i="3"/>
  <c r="BA254" i="3"/>
  <c r="BA190" i="3"/>
  <c r="BA126" i="3"/>
  <c r="BR126" i="3" s="1"/>
  <c r="BA62" i="3"/>
  <c r="BA255" i="3"/>
  <c r="BR255" i="3" s="1"/>
  <c r="BA191" i="3"/>
  <c r="BA127" i="3"/>
  <c r="BA63" i="3"/>
  <c r="BA280" i="3"/>
  <c r="BR280" i="3" s="1"/>
  <c r="BA216" i="3"/>
  <c r="BA152" i="3"/>
  <c r="BA88" i="3"/>
  <c r="BA289" i="3"/>
  <c r="BA161" i="3"/>
  <c r="BA97" i="3"/>
  <c r="BA306" i="3"/>
  <c r="BR306" i="3" s="1"/>
  <c r="BA242" i="3"/>
  <c r="BA178" i="3"/>
  <c r="BA50" i="3"/>
  <c r="BR50" i="3" s="1"/>
  <c r="BA307" i="3"/>
  <c r="BA179" i="3"/>
  <c r="BA51" i="3"/>
  <c r="BA236" i="3"/>
  <c r="BR236" i="3" s="1"/>
  <c r="BA172" i="3"/>
  <c r="BA108" i="3"/>
  <c r="BA269" i="3"/>
  <c r="BA205" i="3"/>
  <c r="BA141" i="3"/>
  <c r="BA294" i="3"/>
  <c r="BR294" i="3" s="1"/>
  <c r="BA230" i="3"/>
  <c r="BA166" i="3"/>
  <c r="BA102" i="3"/>
  <c r="BR102" i="3" s="1"/>
  <c r="BA295" i="3"/>
  <c r="BA231" i="3"/>
  <c r="BA167" i="3"/>
  <c r="BA103" i="3"/>
  <c r="BA256" i="3"/>
  <c r="BR256" i="3" s="1"/>
  <c r="BA192" i="3"/>
  <c r="BA128" i="3"/>
  <c r="BA64" i="3"/>
  <c r="BR64" i="3" s="1"/>
  <c r="BA265" i="3"/>
  <c r="BA241" i="3"/>
  <c r="BA201" i="3"/>
  <c r="BA137" i="3"/>
  <c r="BA282" i="3"/>
  <c r="BR282" i="3" s="1"/>
  <c r="BA218" i="3"/>
  <c r="BA154" i="3"/>
  <c r="BA90" i="3"/>
  <c r="BR90" i="3" s="1"/>
  <c r="BA283" i="3"/>
  <c r="BA219" i="3"/>
  <c r="BA155" i="3"/>
  <c r="BA91" i="3"/>
  <c r="BA276" i="3"/>
  <c r="BA148" i="3"/>
  <c r="BA84" i="3"/>
  <c r="BA245" i="3"/>
  <c r="BR245" i="3" s="1"/>
  <c r="BA181" i="3"/>
  <c r="BR181" i="3" s="1"/>
  <c r="BA53" i="3"/>
  <c r="BA270" i="3"/>
  <c r="BR270" i="3" s="1"/>
  <c r="BA206" i="3"/>
  <c r="BA142" i="3"/>
  <c r="BA271" i="3"/>
  <c r="BA207" i="3"/>
  <c r="BA143" i="3"/>
  <c r="BA79" i="3"/>
  <c r="BA296" i="3"/>
  <c r="BA168" i="3"/>
  <c r="BA104" i="3"/>
  <c r="BA305" i="3"/>
  <c r="BA177" i="3"/>
  <c r="BA113" i="3"/>
  <c r="BA49" i="3"/>
  <c r="BA258" i="3"/>
  <c r="BA194" i="3"/>
  <c r="BA130" i="3"/>
  <c r="BR130" i="3" s="1"/>
  <c r="BA259" i="3"/>
  <c r="BA195" i="3"/>
  <c r="BA131" i="3"/>
  <c r="BR131" i="3" s="1"/>
  <c r="BA67" i="3"/>
  <c r="BR67" i="3" s="1"/>
  <c r="BA292" i="3"/>
  <c r="BA252" i="3"/>
  <c r="BR252" i="3" s="1"/>
  <c r="BA188" i="3"/>
  <c r="BA60" i="3"/>
  <c r="BA285" i="3"/>
  <c r="BA157" i="3"/>
  <c r="BA93" i="3"/>
  <c r="BA246" i="3"/>
  <c r="BA182" i="3"/>
  <c r="BA54" i="3"/>
  <c r="BR54" i="3" s="1"/>
  <c r="BA247" i="3"/>
  <c r="BA183" i="3"/>
  <c r="BA55" i="3"/>
  <c r="BA272" i="3"/>
  <c r="BA208" i="3"/>
  <c r="BR208" i="3" s="1"/>
  <c r="BA144" i="3"/>
  <c r="BA80" i="3"/>
  <c r="BA281" i="3"/>
  <c r="BA217" i="3"/>
  <c r="BA153" i="3"/>
  <c r="BA89" i="3"/>
  <c r="BA298" i="3"/>
  <c r="BA234" i="3"/>
  <c r="BR234" i="3" s="1"/>
  <c r="BA170" i="3"/>
  <c r="BA106" i="3"/>
  <c r="BA299" i="3"/>
  <c r="BR299" i="3" s="1"/>
  <c r="BA235" i="3"/>
  <c r="BA171" i="3"/>
  <c r="BA107" i="3"/>
  <c r="BA228" i="3"/>
  <c r="BA164" i="3"/>
  <c r="BA100" i="3"/>
  <c r="S114" i="3"/>
  <c r="BJ260" i="5"/>
  <c r="BD36" i="3"/>
  <c r="O32" i="5"/>
  <c r="O31" i="5"/>
  <c r="O37" i="5"/>
  <c r="AT16" i="3"/>
  <c r="EG28" i="3"/>
  <c r="AH28" i="3" s="1"/>
  <c r="EG20" i="3"/>
  <c r="AH20" i="3" s="1"/>
  <c r="AW20" i="3" s="1"/>
  <c r="EG26" i="3"/>
  <c r="AH26" i="3" s="1"/>
  <c r="EG27" i="3"/>
  <c r="AH27" i="3" s="1"/>
  <c r="EG19" i="3"/>
  <c r="AH19" i="3" s="1"/>
  <c r="EG25" i="3"/>
  <c r="AH25" i="3" s="1"/>
  <c r="EG17" i="3"/>
  <c r="AH17" i="3" s="1"/>
  <c r="EG15" i="3"/>
  <c r="AH15" i="3" s="1"/>
  <c r="EG24" i="3"/>
  <c r="EG16" i="3"/>
  <c r="EG22" i="3"/>
  <c r="AH22" i="3" s="1"/>
  <c r="EG14" i="3"/>
  <c r="AH14" i="3" s="1"/>
  <c r="EG13" i="3"/>
  <c r="AH13" i="3" s="1"/>
  <c r="EG18" i="3"/>
  <c r="AH18" i="3" s="1"/>
  <c r="EG23" i="3"/>
  <c r="AH23" i="3" s="1"/>
  <c r="EG21" i="3"/>
  <c r="AH21" i="3" s="1"/>
  <c r="AT35" i="3"/>
  <c r="BS147" i="3"/>
  <c r="AQ198" i="3"/>
  <c r="BS198" i="3"/>
  <c r="BS194" i="3"/>
  <c r="BS187" i="3"/>
  <c r="BS184" i="3"/>
  <c r="BS185" i="3"/>
  <c r="BS176" i="3"/>
  <c r="BS180" i="3"/>
  <c r="BS182" i="3"/>
  <c r="BS172" i="3"/>
  <c r="BS167" i="3"/>
  <c r="BS164" i="3"/>
  <c r="BS165" i="3"/>
  <c r="BS171" i="3"/>
  <c r="BS168" i="3"/>
  <c r="BS169" i="3"/>
  <c r="BS170" i="3"/>
  <c r="AQ168" i="3"/>
  <c r="BS160" i="3"/>
  <c r="BS156" i="3"/>
  <c r="BS155" i="3"/>
  <c r="BS161" i="3"/>
  <c r="BS162" i="3"/>
  <c r="BS163" i="3"/>
  <c r="BS145" i="3"/>
  <c r="BS150" i="3"/>
  <c r="BS146" i="3"/>
  <c r="BS149" i="3"/>
  <c r="BS153" i="3"/>
  <c r="CM153" i="3"/>
  <c r="BS141" i="3"/>
  <c r="BS143" i="3"/>
  <c r="BS135" i="3"/>
  <c r="BS134" i="3"/>
  <c r="BS127" i="3"/>
  <c r="BS124" i="3"/>
  <c r="BS131" i="3"/>
  <c r="BS129" i="3"/>
  <c r="S124" i="3"/>
  <c r="BJ127" i="5"/>
  <c r="AQ131" i="3"/>
  <c r="AQ100" i="3"/>
  <c r="BJ172" i="5"/>
  <c r="BJ217" i="5"/>
  <c r="BJ211" i="5"/>
  <c r="BS123" i="3"/>
  <c r="BS121" i="3"/>
  <c r="BS110" i="3"/>
  <c r="BS112" i="3"/>
  <c r="BS113" i="3"/>
  <c r="BS118" i="3"/>
  <c r="BS114" i="3"/>
  <c r="AQ115" i="3"/>
  <c r="BS109" i="3"/>
  <c r="BS107" i="3"/>
  <c r="BS94" i="3"/>
  <c r="S73" i="3"/>
  <c r="BS97" i="3"/>
  <c r="BS102" i="3"/>
  <c r="S98" i="3"/>
  <c r="EJ33" i="3"/>
  <c r="EJ32" i="3"/>
  <c r="BJ266" i="5"/>
  <c r="EG10" i="3"/>
  <c r="AH10" i="3" s="1"/>
  <c r="EG12" i="3"/>
  <c r="AH12" i="3" s="1"/>
  <c r="EG11" i="3"/>
  <c r="AH11" i="3" s="1"/>
  <c r="BJ20" i="5"/>
  <c r="AT34" i="3"/>
  <c r="BD193" i="3"/>
  <c r="O274" i="5"/>
  <c r="O261" i="5"/>
  <c r="O133" i="5"/>
  <c r="O292" i="5"/>
  <c r="O196" i="5"/>
  <c r="O132" i="5"/>
  <c r="BD65" i="3"/>
  <c r="BD184" i="3"/>
  <c r="O88" i="5"/>
  <c r="O215" i="5"/>
  <c r="O111" i="5"/>
  <c r="O270" i="5"/>
  <c r="BD206" i="3"/>
  <c r="BD110" i="3"/>
  <c r="O282" i="5"/>
  <c r="O258" i="5"/>
  <c r="O275" i="5"/>
  <c r="O211" i="5"/>
  <c r="BD147" i="3"/>
  <c r="O194" i="5"/>
  <c r="BD289" i="3"/>
  <c r="BD257" i="3"/>
  <c r="BD217" i="3"/>
  <c r="BD185" i="3"/>
  <c r="BD153" i="3"/>
  <c r="BD121" i="3"/>
  <c r="O89" i="5"/>
  <c r="O186" i="5"/>
  <c r="BD62" i="3"/>
  <c r="BD266" i="3"/>
  <c r="O90" i="5"/>
  <c r="O298" i="5"/>
  <c r="O114" i="5"/>
  <c r="O44" i="5"/>
  <c r="BD285" i="3"/>
  <c r="O253" i="5"/>
  <c r="BD221" i="3"/>
  <c r="O189" i="5"/>
  <c r="O157" i="5"/>
  <c r="O125" i="5"/>
  <c r="O93" i="5"/>
  <c r="O284" i="5"/>
  <c r="BD252" i="3"/>
  <c r="O220" i="5"/>
  <c r="O188" i="5"/>
  <c r="BD156" i="3"/>
  <c r="O124" i="5"/>
  <c r="O92" i="5"/>
  <c r="O33" i="5"/>
  <c r="BD79" i="3"/>
  <c r="BD265" i="3"/>
  <c r="O162" i="5"/>
  <c r="O197" i="5"/>
  <c r="BD216" i="3"/>
  <c r="O71" i="5"/>
  <c r="O304" i="5"/>
  <c r="BD272" i="3"/>
  <c r="O240" i="5"/>
  <c r="O176" i="5"/>
  <c r="O144" i="5"/>
  <c r="BD112" i="3"/>
  <c r="O54" i="5"/>
  <c r="BD48" i="3"/>
  <c r="BD303" i="3"/>
  <c r="O271" i="5"/>
  <c r="O239" i="5"/>
  <c r="O207" i="5"/>
  <c r="O175" i="5"/>
  <c r="O143" i="5"/>
  <c r="O95" i="5"/>
  <c r="O294" i="5"/>
  <c r="O262" i="5"/>
  <c r="O230" i="5"/>
  <c r="BD198" i="3"/>
  <c r="BD166" i="3"/>
  <c r="O134" i="5"/>
  <c r="O102" i="5"/>
  <c r="O306" i="5"/>
  <c r="BD106" i="3"/>
  <c r="BD82" i="3"/>
  <c r="BD218" i="3"/>
  <c r="O299" i="5"/>
  <c r="BD267" i="3"/>
  <c r="O235" i="5"/>
  <c r="BD203" i="3"/>
  <c r="O171" i="5"/>
  <c r="O139" i="5"/>
  <c r="O99" i="5"/>
  <c r="BD146" i="3"/>
  <c r="BD68" i="3"/>
  <c r="O76" i="5"/>
  <c r="BD297" i="3"/>
  <c r="BD129" i="3"/>
  <c r="O130" i="5"/>
  <c r="O229" i="5"/>
  <c r="O260" i="5"/>
  <c r="O49" i="5"/>
  <c r="O142" i="5"/>
  <c r="O281" i="5"/>
  <c r="O249" i="5"/>
  <c r="O209" i="5"/>
  <c r="BD177" i="3"/>
  <c r="O145" i="5"/>
  <c r="BD113" i="3"/>
  <c r="BD63" i="3"/>
  <c r="O46" i="5"/>
  <c r="O210" i="5"/>
  <c r="O84" i="5"/>
  <c r="BD242" i="3"/>
  <c r="O277" i="5"/>
  <c r="BD245" i="3"/>
  <c r="BD213" i="3"/>
  <c r="BD181" i="3"/>
  <c r="BD149" i="3"/>
  <c r="O117" i="5"/>
  <c r="O85" i="5"/>
  <c r="BD308" i="3"/>
  <c r="BD276" i="3"/>
  <c r="O244" i="5"/>
  <c r="O212" i="5"/>
  <c r="O180" i="5"/>
  <c r="BD148" i="3"/>
  <c r="BD116" i="3"/>
  <c r="O58" i="5"/>
  <c r="O67" i="5"/>
  <c r="BD161" i="3"/>
  <c r="BD164" i="3"/>
  <c r="O280" i="5"/>
  <c r="O152" i="5"/>
  <c r="O279" i="5"/>
  <c r="BD183" i="3"/>
  <c r="BD52" i="3"/>
  <c r="BD107" i="3"/>
  <c r="O55" i="5"/>
  <c r="O296" i="5"/>
  <c r="O264" i="5"/>
  <c r="BD232" i="3"/>
  <c r="BD200" i="3"/>
  <c r="O168" i="5"/>
  <c r="O136" i="5"/>
  <c r="O104" i="5"/>
  <c r="BD38" i="3"/>
  <c r="BD295" i="3"/>
  <c r="O263" i="5"/>
  <c r="BD231" i="3"/>
  <c r="O199" i="5"/>
  <c r="O167" i="5"/>
  <c r="BD135" i="3"/>
  <c r="O87" i="5"/>
  <c r="BD286" i="3"/>
  <c r="O254" i="5"/>
  <c r="O222" i="5"/>
  <c r="O190" i="5"/>
  <c r="BD158" i="3"/>
  <c r="O126" i="5"/>
  <c r="O94" i="5"/>
  <c r="BD234" i="3"/>
  <c r="BD59" i="3"/>
  <c r="O50" i="5"/>
  <c r="BD178" i="3"/>
  <c r="O291" i="5"/>
  <c r="O259" i="5"/>
  <c r="BD227" i="3"/>
  <c r="BD195" i="3"/>
  <c r="O163" i="5"/>
  <c r="O131" i="5"/>
  <c r="BD91" i="3"/>
  <c r="O290" i="5"/>
  <c r="O98" i="5"/>
  <c r="BD78" i="3"/>
  <c r="BD225" i="3"/>
  <c r="O97" i="5"/>
  <c r="BD45" i="3"/>
  <c r="BD60" i="3"/>
  <c r="O165" i="5"/>
  <c r="BD101" i="3"/>
  <c r="BD228" i="3"/>
  <c r="O100" i="5"/>
  <c r="O248" i="5"/>
  <c r="BD120" i="3"/>
  <c r="BD247" i="3"/>
  <c r="O151" i="5"/>
  <c r="BD302" i="3"/>
  <c r="BD238" i="3"/>
  <c r="BD174" i="3"/>
  <c r="O293" i="5"/>
  <c r="O307" i="5"/>
  <c r="O243" i="5"/>
  <c r="BD179" i="3"/>
  <c r="BD41" i="3"/>
  <c r="O72" i="5"/>
  <c r="O305" i="5"/>
  <c r="O273" i="5"/>
  <c r="BD241" i="3"/>
  <c r="BD201" i="3"/>
  <c r="O169" i="5"/>
  <c r="BD137" i="3"/>
  <c r="BD105" i="3"/>
  <c r="O47" i="5"/>
  <c r="BD170" i="3"/>
  <c r="BD61" i="3"/>
  <c r="O202" i="5"/>
  <c r="O269" i="5"/>
  <c r="BD237" i="3"/>
  <c r="O205" i="5"/>
  <c r="BD173" i="3"/>
  <c r="O141" i="5"/>
  <c r="BD109" i="3"/>
  <c r="O51" i="5"/>
  <c r="O300" i="5"/>
  <c r="O268" i="5"/>
  <c r="O236" i="5"/>
  <c r="O204" i="5"/>
  <c r="O172" i="5"/>
  <c r="BD140" i="3"/>
  <c r="BD108" i="3"/>
  <c r="BD42" i="3"/>
  <c r="BD81" i="3"/>
  <c r="BD70" i="3"/>
  <c r="BD64" i="3"/>
  <c r="AP80" i="3"/>
  <c r="AR80" i="3" s="1"/>
  <c r="O39" i="5"/>
  <c r="BD288" i="3"/>
  <c r="O256" i="5"/>
  <c r="BD224" i="3"/>
  <c r="BD192" i="3"/>
  <c r="BD160" i="3"/>
  <c r="O128" i="5"/>
  <c r="O96" i="5"/>
  <c r="BD287" i="3"/>
  <c r="O255" i="5"/>
  <c r="BD223" i="3"/>
  <c r="BD191" i="3"/>
  <c r="BD159" i="3"/>
  <c r="O127" i="5"/>
  <c r="BD53" i="3"/>
  <c r="O278" i="5"/>
  <c r="BD246" i="3"/>
  <c r="O214" i="5"/>
  <c r="O182" i="5"/>
  <c r="O150" i="5"/>
  <c r="BD118" i="3"/>
  <c r="O86" i="5"/>
  <c r="O154" i="5"/>
  <c r="O301" i="5"/>
  <c r="O43" i="5"/>
  <c r="O138" i="5"/>
  <c r="BD283" i="3"/>
  <c r="BD251" i="3"/>
  <c r="BD219" i="3"/>
  <c r="O187" i="5"/>
  <c r="BD155" i="3"/>
  <c r="O115" i="5"/>
  <c r="O57" i="5"/>
  <c r="O250" i="5"/>
  <c r="BD56" i="3"/>
  <c r="BD69" i="3"/>
  <c r="BD66" i="3"/>
  <c r="BJ267" i="5"/>
  <c r="BJ233" i="5"/>
  <c r="EG9" i="3"/>
  <c r="AH9" i="3" s="1"/>
  <c r="BD207" i="3"/>
  <c r="O78" i="5"/>
  <c r="BJ293" i="5"/>
  <c r="AT30" i="3"/>
  <c r="AP30" i="3" s="1"/>
  <c r="O65" i="5"/>
  <c r="S156" i="3"/>
  <c r="AF38" i="22"/>
  <c r="AD32" i="22"/>
  <c r="AG38" i="22"/>
  <c r="AD37" i="22"/>
  <c r="AD38" i="22"/>
  <c r="AH39" i="22"/>
  <c r="AE37" i="22"/>
  <c r="AD27" i="22"/>
  <c r="AG39" i="22"/>
  <c r="AH38" i="22"/>
  <c r="AD39" i="22"/>
  <c r="AE39" i="22"/>
  <c r="AH37" i="22"/>
  <c r="AD29" i="22"/>
  <c r="AF37" i="22"/>
  <c r="AE34" i="22"/>
  <c r="AF34" i="22"/>
  <c r="AG34" i="22"/>
  <c r="AH34" i="22"/>
  <c r="AE28" i="22"/>
  <c r="AF28" i="22"/>
  <c r="AG28" i="22"/>
  <c r="AH28" i="22"/>
  <c r="AK20" i="22"/>
  <c r="AD20" i="22"/>
  <c r="AE20" i="22"/>
  <c r="AF20" i="22"/>
  <c r="AG20" i="22"/>
  <c r="AH20" i="22"/>
  <c r="AG21" i="22"/>
  <c r="AH21" i="22"/>
  <c r="AD21" i="22"/>
  <c r="AE21" i="22"/>
  <c r="AF21" i="22"/>
  <c r="AH16" i="22"/>
  <c r="AD16" i="22"/>
  <c r="AE16" i="22"/>
  <c r="AF16" i="22"/>
  <c r="AG16" i="22"/>
  <c r="AG13" i="22"/>
  <c r="AO13" i="22" s="1"/>
  <c r="AH13" i="22"/>
  <c r="AP13" i="22" s="1"/>
  <c r="AD13" i="22"/>
  <c r="AL13" i="22" s="1"/>
  <c r="AE13" i="22"/>
  <c r="AM13" i="22" s="1"/>
  <c r="AF13" i="22"/>
  <c r="AN13" i="22" s="1"/>
  <c r="AE22" i="22"/>
  <c r="AF22" i="22"/>
  <c r="AG22" i="22"/>
  <c r="AH22" i="22"/>
  <c r="AH35" i="22"/>
  <c r="AE35" i="22"/>
  <c r="AF35" i="22"/>
  <c r="AG35" i="22"/>
  <c r="AH25" i="22"/>
  <c r="AE25" i="22"/>
  <c r="AF25" i="22"/>
  <c r="AG25" i="22"/>
  <c r="AE32" i="22"/>
  <c r="AF32" i="22"/>
  <c r="AG32" i="22"/>
  <c r="AH32" i="22"/>
  <c r="AE26" i="22"/>
  <c r="AF26" i="22"/>
  <c r="AG26" i="22"/>
  <c r="AH26" i="22"/>
  <c r="AG18" i="22"/>
  <c r="AH18" i="22"/>
  <c r="AD18" i="22"/>
  <c r="AE18" i="22"/>
  <c r="AF18" i="22"/>
  <c r="AH29" i="22"/>
  <c r="AE29" i="22"/>
  <c r="AF29" i="22"/>
  <c r="AG29" i="22"/>
  <c r="AG33" i="22"/>
  <c r="AH33" i="22"/>
  <c r="AE33" i="22"/>
  <c r="AF33" i="22"/>
  <c r="AE24" i="22"/>
  <c r="AF24" i="22"/>
  <c r="AG24" i="22"/>
  <c r="AH24" i="22"/>
  <c r="AG23" i="22"/>
  <c r="AH23" i="22"/>
  <c r="AE23" i="22"/>
  <c r="AF23" i="22"/>
  <c r="AE36" i="22"/>
  <c r="AF36" i="22"/>
  <c r="AG36" i="22"/>
  <c r="AH36" i="22"/>
  <c r="AD14" i="22"/>
  <c r="AE14" i="22"/>
  <c r="AF14" i="22"/>
  <c r="AG14" i="22"/>
  <c r="AH14" i="22"/>
  <c r="AH31" i="22"/>
  <c r="AE31" i="22"/>
  <c r="AF31" i="22"/>
  <c r="AG31" i="22"/>
  <c r="AG27" i="22"/>
  <c r="AH27" i="22"/>
  <c r="AE27" i="22"/>
  <c r="AF27" i="22"/>
  <c r="AE30" i="22"/>
  <c r="AF30" i="22"/>
  <c r="AG30" i="22"/>
  <c r="AH30" i="22"/>
  <c r="AD17" i="22"/>
  <c r="AE17" i="22"/>
  <c r="AF17" i="22"/>
  <c r="AG17" i="22"/>
  <c r="AH17" i="22"/>
  <c r="AE15" i="22"/>
  <c r="AF15" i="22"/>
  <c r="AG15" i="22"/>
  <c r="AH15" i="22"/>
  <c r="AD15" i="22"/>
  <c r="AK19" i="22"/>
  <c r="AD19" i="22"/>
  <c r="AE19" i="22"/>
  <c r="AF19" i="22"/>
  <c r="AG19" i="22"/>
  <c r="AH19" i="22"/>
  <c r="T41" i="22"/>
  <c r="AA41" i="22" s="1"/>
  <c r="AH41" i="22" s="1"/>
  <c r="G42" i="22"/>
  <c r="S41" i="22"/>
  <c r="Z41" i="22" s="1"/>
  <c r="AG41" i="22" s="1"/>
  <c r="F42" i="22"/>
  <c r="BD240" i="3"/>
  <c r="O272" i="5"/>
  <c r="O68" i="5"/>
  <c r="BD76" i="3"/>
  <c r="BD51" i="3"/>
  <c r="O66" i="5"/>
  <c r="AP66" i="3"/>
  <c r="AR66" i="3" s="1"/>
  <c r="AP68" i="3"/>
  <c r="AR68" i="3" s="1"/>
  <c r="AP38" i="3"/>
  <c r="O198" i="5"/>
  <c r="AQ68" i="3"/>
  <c r="BJ130" i="5"/>
  <c r="BJ404" i="5"/>
  <c r="BJ106" i="5"/>
  <c r="BS73" i="3"/>
  <c r="AP65" i="3"/>
  <c r="AR65" i="3" s="1"/>
  <c r="AP35" i="3"/>
  <c r="O80" i="5"/>
  <c r="BJ10" i="5"/>
  <c r="BD80" i="3"/>
  <c r="S246" i="3"/>
  <c r="AT74" i="3"/>
  <c r="BB74" i="3"/>
  <c r="AT75" i="3"/>
  <c r="BB75" i="3"/>
  <c r="AT25" i="3"/>
  <c r="BB25" i="3"/>
  <c r="S230" i="3"/>
  <c r="AQ81" i="3"/>
  <c r="AQ72" i="3"/>
  <c r="S296" i="3"/>
  <c r="S259" i="3"/>
  <c r="O83" i="5"/>
  <c r="AQ83" i="3"/>
  <c r="AQ75" i="3"/>
  <c r="BJ283" i="5"/>
  <c r="BJ292" i="5"/>
  <c r="BJ250" i="5"/>
  <c r="BJ276" i="5"/>
  <c r="BJ332" i="5"/>
  <c r="AQ65" i="3"/>
  <c r="AQ76" i="3"/>
  <c r="AQ82" i="3"/>
  <c r="AQ79" i="3"/>
  <c r="AQ67" i="3"/>
  <c r="BD71" i="3"/>
  <c r="AQ80" i="3"/>
  <c r="AQ48" i="3"/>
  <c r="BS66" i="3"/>
  <c r="BJ363" i="5"/>
  <c r="BJ317" i="5"/>
  <c r="BJ407" i="5"/>
  <c r="BJ402" i="5"/>
  <c r="BJ242" i="5"/>
  <c r="BJ89" i="5"/>
  <c r="BJ340" i="5"/>
  <c r="BJ25" i="5"/>
  <c r="S102" i="3"/>
  <c r="BJ301" i="5"/>
  <c r="BJ333" i="5"/>
  <c r="BJ97" i="5"/>
  <c r="BJ346" i="5"/>
  <c r="BJ234" i="5"/>
  <c r="BJ185" i="5"/>
  <c r="BJ213" i="5"/>
  <c r="BJ403" i="5"/>
  <c r="BJ316" i="5"/>
  <c r="BJ159" i="5"/>
  <c r="BJ245" i="5"/>
  <c r="BJ12" i="5"/>
  <c r="BJ94" i="5"/>
  <c r="BJ253" i="5"/>
  <c r="AT13" i="3"/>
  <c r="BB13" i="3"/>
  <c r="BB10" i="3"/>
  <c r="O208" i="5"/>
  <c r="O406" i="5"/>
  <c r="BD273" i="3"/>
  <c r="O241" i="5"/>
  <c r="BD298" i="3"/>
  <c r="O276" i="5"/>
  <c r="BJ373" i="5"/>
  <c r="S117" i="3"/>
  <c r="S118" i="3"/>
  <c r="S305" i="3"/>
  <c r="S139" i="3"/>
  <c r="S214" i="3"/>
  <c r="S254" i="3"/>
  <c r="AK31" i="22"/>
  <c r="O56" i="5"/>
  <c r="S237" i="3"/>
  <c r="O221" i="5"/>
  <c r="BD189" i="3"/>
  <c r="S215" i="3"/>
  <c r="AT29" i="3"/>
  <c r="S295" i="3"/>
  <c r="BD33" i="3"/>
  <c r="S263" i="3"/>
  <c r="S217" i="3"/>
  <c r="BJ256" i="5"/>
  <c r="S231" i="3"/>
  <c r="BJ298" i="5"/>
  <c r="BJ408" i="5"/>
  <c r="BJ220" i="5"/>
  <c r="AP92" i="3"/>
  <c r="AR92" i="3" s="1"/>
  <c r="AP91" i="3"/>
  <c r="AR91" i="3" s="1"/>
  <c r="AQ92" i="3"/>
  <c r="AP90" i="3"/>
  <c r="AR90" i="3" s="1"/>
  <c r="AP89" i="3"/>
  <c r="AR89" i="3" s="1"/>
  <c r="AP88" i="3"/>
  <c r="AR88" i="3" s="1"/>
  <c r="AP87" i="3"/>
  <c r="AR87" i="3" s="1"/>
  <c r="AP86" i="3"/>
  <c r="AR86" i="3" s="1"/>
  <c r="AP85" i="3"/>
  <c r="AR85" i="3" s="1"/>
  <c r="AP84" i="3"/>
  <c r="AR84" i="3" s="1"/>
  <c r="AP83" i="3"/>
  <c r="AR83" i="3" s="1"/>
  <c r="AP82" i="3"/>
  <c r="AR82" i="3" s="1"/>
  <c r="AP81" i="3"/>
  <c r="AR81" i="3" s="1"/>
  <c r="AP79" i="3"/>
  <c r="AR79" i="3" s="1"/>
  <c r="BS77" i="3"/>
  <c r="AQ77" i="3"/>
  <c r="AP72" i="3"/>
  <c r="AR72" i="3" s="1"/>
  <c r="AP71" i="3"/>
  <c r="AR71" i="3" s="1"/>
  <c r="AP70" i="3"/>
  <c r="AR70" i="3" s="1"/>
  <c r="AP69" i="3"/>
  <c r="AR69" i="3" s="1"/>
  <c r="AP67" i="3"/>
  <c r="AR67" i="3" s="1"/>
  <c r="AP64" i="3"/>
  <c r="AR64" i="3" s="1"/>
  <c r="AP63" i="3"/>
  <c r="AR63" i="3" s="1"/>
  <c r="AP62" i="3"/>
  <c r="AR62" i="3" s="1"/>
  <c r="AQ61" i="3"/>
  <c r="AP61" i="3"/>
  <c r="AR61" i="3" s="1"/>
  <c r="AP59" i="3"/>
  <c r="AR59" i="3" s="1"/>
  <c r="AP60" i="3"/>
  <c r="AR60" i="3" s="1"/>
  <c r="AP58" i="3"/>
  <c r="AR58" i="3" s="1"/>
  <c r="AQ57" i="3"/>
  <c r="AP57" i="3"/>
  <c r="AR57" i="3" s="1"/>
  <c r="AP56" i="3"/>
  <c r="AR56" i="3" s="1"/>
  <c r="AP55" i="3"/>
  <c r="AR55" i="3" s="1"/>
  <c r="AP54" i="3"/>
  <c r="AR54" i="3" s="1"/>
  <c r="AP53" i="3"/>
  <c r="AR53" i="3" s="1"/>
  <c r="AP52" i="3"/>
  <c r="AR52" i="3" s="1"/>
  <c r="AP51" i="3"/>
  <c r="AR51" i="3" s="1"/>
  <c r="AP49" i="3"/>
  <c r="O52" i="13" s="1"/>
  <c r="P52" i="13" s="1"/>
  <c r="AP50" i="3"/>
  <c r="AR50" i="3" s="1"/>
  <c r="AP48" i="3"/>
  <c r="BS48" i="3" s="1"/>
  <c r="AP47" i="3"/>
  <c r="O50" i="13" s="1"/>
  <c r="P50" i="13" s="1"/>
  <c r="AP45" i="3"/>
  <c r="O48" i="13" s="1"/>
  <c r="P48" i="13" s="1"/>
  <c r="AP46" i="3"/>
  <c r="O49" i="13" s="1"/>
  <c r="P49" i="13" s="1"/>
  <c r="AP44" i="3"/>
  <c r="O47" i="13" s="1"/>
  <c r="P47" i="13" s="1"/>
  <c r="AP43" i="3"/>
  <c r="O46" i="13" s="1"/>
  <c r="P46" i="13" s="1"/>
  <c r="AP42" i="3"/>
  <c r="O45" i="13" s="1"/>
  <c r="P45" i="13" s="1"/>
  <c r="AP41" i="3"/>
  <c r="O44" i="13" s="1"/>
  <c r="P44" i="13" s="1"/>
  <c r="AQ42" i="3"/>
  <c r="AP39" i="3"/>
  <c r="O42" i="13" s="1"/>
  <c r="P42" i="13" s="1"/>
  <c r="AP33" i="3"/>
  <c r="O325" i="5"/>
  <c r="O148" i="5"/>
  <c r="BD212" i="3"/>
  <c r="AG199" i="3"/>
  <c r="BD196" i="3"/>
  <c r="BD292" i="3"/>
  <c r="O116" i="5"/>
  <c r="O218" i="5"/>
  <c r="AG136" i="3"/>
  <c r="AG200" i="3"/>
  <c r="BD180" i="3"/>
  <c r="O82" i="5"/>
  <c r="CM190" i="3"/>
  <c r="CM135" i="3"/>
  <c r="O388" i="5"/>
  <c r="AG243" i="3"/>
  <c r="O365" i="5"/>
  <c r="BD244" i="3"/>
  <c r="O41" i="5"/>
  <c r="BD151" i="3"/>
  <c r="BD306" i="3"/>
  <c r="BD165" i="3"/>
  <c r="O60" i="5"/>
  <c r="O183" i="5"/>
  <c r="O383" i="5"/>
  <c r="BD44" i="3"/>
  <c r="O312" i="5"/>
  <c r="BD291" i="3"/>
  <c r="O181" i="5"/>
  <c r="BD254" i="3"/>
  <c r="O323" i="5"/>
  <c r="O393" i="5"/>
  <c r="BD197" i="3"/>
  <c r="O346" i="5"/>
  <c r="O45" i="5"/>
  <c r="O245" i="5"/>
  <c r="O318" i="5"/>
  <c r="BD133" i="3"/>
  <c r="BD229" i="3"/>
  <c r="BD43" i="3"/>
  <c r="BD85" i="3"/>
  <c r="O107" i="5"/>
  <c r="O147" i="5"/>
  <c r="O376" i="5"/>
  <c r="O59" i="5"/>
  <c r="O63" i="5"/>
  <c r="BD87" i="3"/>
  <c r="O101" i="5"/>
  <c r="BD209" i="3"/>
  <c r="BD57" i="3"/>
  <c r="O110" i="5"/>
  <c r="O120" i="5"/>
  <c r="BD290" i="3"/>
  <c r="BD281" i="3"/>
  <c r="O313" i="5"/>
  <c r="BD142" i="3"/>
  <c r="O62" i="5"/>
  <c r="BD270" i="3"/>
  <c r="O238" i="5"/>
  <c r="BD259" i="3"/>
  <c r="BD190" i="3"/>
  <c r="BD162" i="3"/>
  <c r="O206" i="5"/>
  <c r="BD280" i="3"/>
  <c r="O400" i="5"/>
  <c r="O344" i="5"/>
  <c r="BD279" i="3"/>
  <c r="BD131" i="3"/>
  <c r="O135" i="5"/>
  <c r="O158" i="5"/>
  <c r="O334" i="5"/>
  <c r="O79" i="5"/>
  <c r="BD98" i="3"/>
  <c r="O149" i="5"/>
  <c r="O227" i="5"/>
  <c r="O225" i="5"/>
  <c r="O184" i="5"/>
  <c r="BD186" i="3"/>
  <c r="BD163" i="3"/>
  <c r="BD261" i="3"/>
  <c r="BD47" i="3"/>
  <c r="O360" i="5"/>
  <c r="BD136" i="3"/>
  <c r="BD248" i="3"/>
  <c r="O179" i="5"/>
  <c r="O91" i="5"/>
  <c r="O195" i="5"/>
  <c r="BD145" i="3"/>
  <c r="O345" i="5"/>
  <c r="O170" i="5"/>
  <c r="O113" i="5"/>
  <c r="BD307" i="3"/>
  <c r="BD243" i="3"/>
  <c r="O177" i="5"/>
  <c r="O242" i="5"/>
  <c r="BD84" i="3"/>
  <c r="BD152" i="3"/>
  <c r="BD264" i="3"/>
  <c r="BD215" i="3"/>
  <c r="O380" i="5"/>
  <c r="CU187" i="3"/>
  <c r="K490" i="13" s="1"/>
  <c r="O42" i="5"/>
  <c r="BD124" i="3"/>
  <c r="O106" i="5"/>
  <c r="O316" i="5"/>
  <c r="BD220" i="3"/>
  <c r="BD258" i="3"/>
  <c r="CM134" i="3"/>
  <c r="BD92" i="3"/>
  <c r="O348" i="5"/>
  <c r="S119" i="20"/>
  <c r="O156" i="5"/>
  <c r="BD188" i="3"/>
  <c r="BD284" i="3"/>
  <c r="CM112" i="3"/>
  <c r="CM125" i="3"/>
  <c r="S215" i="20"/>
  <c r="O349" i="5"/>
  <c r="AG143" i="3"/>
  <c r="O252" i="5"/>
  <c r="CM144" i="3"/>
  <c r="S253" i="3"/>
  <c r="S289" i="3"/>
  <c r="S240" i="3"/>
  <c r="S255" i="3"/>
  <c r="S261" i="3"/>
  <c r="S226" i="3"/>
  <c r="S300" i="3"/>
  <c r="S260" i="3"/>
  <c r="S109" i="3"/>
  <c r="AK25" i="22"/>
  <c r="AK30" i="22"/>
  <c r="AK43" i="22"/>
  <c r="AK54" i="22"/>
  <c r="AK16" i="22"/>
  <c r="AK32" i="22"/>
  <c r="AK29" i="22"/>
  <c r="AK23" i="22"/>
  <c r="AK36" i="22"/>
  <c r="AK51" i="22"/>
  <c r="AK59" i="22"/>
  <c r="AK52" i="22"/>
  <c r="AK37" i="22"/>
  <c r="AK34" i="22"/>
  <c r="AK48" i="22"/>
  <c r="AK13" i="22"/>
  <c r="AK55" i="22"/>
  <c r="AK26" i="22"/>
  <c r="AK33" i="22"/>
  <c r="AK64" i="22"/>
  <c r="AK14" i="22"/>
  <c r="AK62" i="22"/>
  <c r="AK21" i="22"/>
  <c r="AK35" i="22"/>
  <c r="AK39" i="22"/>
  <c r="AK27" i="22"/>
  <c r="AK50" i="22"/>
  <c r="AK57" i="22"/>
  <c r="AK63" i="22"/>
  <c r="AK28" i="22"/>
  <c r="AK42" i="22"/>
  <c r="AK22" i="22"/>
  <c r="AK18" i="22"/>
  <c r="AK24" i="22"/>
  <c r="AK58" i="22"/>
  <c r="AK38" i="22"/>
  <c r="AK56" i="22"/>
  <c r="AK15" i="22"/>
  <c r="O219" i="5"/>
  <c r="O335" i="5"/>
  <c r="O52" i="5"/>
  <c r="BD39" i="3"/>
  <c r="O201" i="5"/>
  <c r="O285" i="5"/>
  <c r="BD157" i="3"/>
  <c r="BD144" i="3"/>
  <c r="O283" i="5"/>
  <c r="O38" i="5"/>
  <c r="BD271" i="3"/>
  <c r="BD125" i="3"/>
  <c r="BD187" i="3"/>
  <c r="O251" i="5"/>
  <c r="O53" i="5"/>
  <c r="O81" i="5"/>
  <c r="BD114" i="3"/>
  <c r="BD230" i="3"/>
  <c r="BD93" i="3"/>
  <c r="BD253" i="3"/>
  <c r="BD134" i="3"/>
  <c r="BD294" i="3"/>
  <c r="O234" i="5"/>
  <c r="BD239" i="3"/>
  <c r="CM132" i="3"/>
  <c r="BD176" i="3"/>
  <c r="O166" i="5"/>
  <c r="O315" i="5"/>
  <c r="BD169" i="3"/>
  <c r="BD305" i="3"/>
  <c r="O137" i="5"/>
  <c r="O105" i="5"/>
  <c r="BD262" i="3"/>
  <c r="BD102" i="3"/>
  <c r="BD208" i="3"/>
  <c r="BD115" i="3"/>
  <c r="BD95" i="3"/>
  <c r="O70" i="5"/>
  <c r="AA70" i="5" s="1"/>
  <c r="BD130" i="3"/>
  <c r="BD143" i="3"/>
  <c r="BD304" i="3"/>
  <c r="O385" i="5"/>
  <c r="O112" i="5"/>
  <c r="BD250" i="3"/>
  <c r="O398" i="5"/>
  <c r="BD175" i="3"/>
  <c r="O140" i="5"/>
  <c r="S113" i="20"/>
  <c r="O109" i="5"/>
  <c r="BD50" i="3"/>
  <c r="BD293" i="3"/>
  <c r="BD260" i="3"/>
  <c r="BD132" i="3"/>
  <c r="O228" i="5"/>
  <c r="O191" i="5"/>
  <c r="S211" i="20"/>
  <c r="AG248" i="3"/>
  <c r="BD138" i="3"/>
  <c r="O223" i="5"/>
  <c r="S156" i="20"/>
  <c r="BD282" i="3"/>
  <c r="BD202" i="3"/>
  <c r="BD67" i="3"/>
  <c r="AG111" i="3"/>
  <c r="BD274" i="3"/>
  <c r="O121" i="5"/>
  <c r="BD150" i="3"/>
  <c r="BD96" i="3"/>
  <c r="CU206" i="3"/>
  <c r="CY206" i="3" s="1"/>
  <c r="S147" i="20"/>
  <c r="O394" i="5"/>
  <c r="BD100" i="3"/>
  <c r="O164" i="5"/>
  <c r="AG186" i="3"/>
  <c r="S263" i="20"/>
  <c r="O153" i="5"/>
  <c r="CU215" i="3"/>
  <c r="CY215" i="3" s="1"/>
  <c r="S230" i="20"/>
  <c r="BD128" i="3"/>
  <c r="BD139" i="3"/>
  <c r="O288" i="5"/>
  <c r="O203" i="5"/>
  <c r="BD83" i="3"/>
  <c r="O69" i="5"/>
  <c r="S162" i="20"/>
  <c r="O289" i="5"/>
  <c r="O257" i="5"/>
  <c r="O237" i="5"/>
  <c r="O173" i="5"/>
  <c r="BD49" i="3"/>
  <c r="BD72" i="3"/>
  <c r="O267" i="5"/>
  <c r="BD256" i="3"/>
  <c r="O146" i="5"/>
  <c r="BD171" i="3"/>
  <c r="BD86" i="3"/>
  <c r="O48" i="5"/>
  <c r="S258" i="20"/>
  <c r="O246" i="5"/>
  <c r="BD214" i="3"/>
  <c r="O118" i="5"/>
  <c r="BD278" i="3"/>
  <c r="O232" i="5"/>
  <c r="O407" i="5"/>
  <c r="O287" i="5"/>
  <c r="BD182" i="3"/>
  <c r="O310" i="5"/>
  <c r="BD235" i="3"/>
  <c r="O224" i="5"/>
  <c r="O217" i="5"/>
  <c r="O374" i="5"/>
  <c r="BD255" i="3"/>
  <c r="O192" i="5"/>
  <c r="O391" i="5"/>
  <c r="O159" i="5"/>
  <c r="BD269" i="3"/>
  <c r="BD54" i="3"/>
  <c r="BD299" i="3"/>
  <c r="BD127" i="3"/>
  <c r="O160" i="5"/>
  <c r="BD210" i="3"/>
  <c r="O351" i="5"/>
  <c r="BD99" i="3"/>
  <c r="BD89" i="3"/>
  <c r="O321" i="5"/>
  <c r="BD55" i="3"/>
  <c r="O402" i="5"/>
  <c r="O319" i="5"/>
  <c r="O185" i="5"/>
  <c r="S232" i="20"/>
  <c r="CU191" i="3"/>
  <c r="K494" i="13" s="1"/>
  <c r="BD268" i="3"/>
  <c r="BD172" i="3"/>
  <c r="BD300" i="3"/>
  <c r="O178" i="5"/>
  <c r="S251" i="20"/>
  <c r="O362" i="5"/>
  <c r="O330" i="5"/>
  <c r="BD58" i="3"/>
  <c r="BD204" i="3"/>
  <c r="AG223" i="3"/>
  <c r="O64" i="5"/>
  <c r="O297" i="5"/>
  <c r="O329" i="5"/>
  <c r="O286" i="5"/>
  <c r="BD126" i="3"/>
  <c r="BD275" i="3"/>
  <c r="CM192" i="3"/>
  <c r="BD199" i="3"/>
  <c r="AG202" i="3"/>
  <c r="O129" i="5"/>
  <c r="O350" i="5"/>
  <c r="O354" i="5"/>
  <c r="BD154" i="3"/>
  <c r="O213" i="5"/>
  <c r="BD117" i="3"/>
  <c r="O231" i="5"/>
  <c r="BD104" i="3"/>
  <c r="BD167" i="3"/>
  <c r="S224" i="20"/>
  <c r="O200" i="5"/>
  <c r="O396" i="5"/>
  <c r="BD90" i="3"/>
  <c r="O266" i="5"/>
  <c r="BD97" i="3"/>
  <c r="BD277" i="3"/>
  <c r="BD222" i="3"/>
  <c r="CU106" i="3"/>
  <c r="K409" i="13" s="1"/>
  <c r="BD263" i="3"/>
  <c r="BD211" i="3"/>
  <c r="BD236" i="3"/>
  <c r="BD94" i="3"/>
  <c r="S199" i="20"/>
  <c r="O265" i="5"/>
  <c r="O193" i="5"/>
  <c r="BD194" i="3"/>
  <c r="O161" i="5"/>
  <c r="BD168" i="3"/>
  <c r="O108" i="5"/>
  <c r="BD296" i="3"/>
  <c r="O295" i="5"/>
  <c r="S231" i="20"/>
  <c r="CU188" i="3"/>
  <c r="K491" i="13" s="1"/>
  <c r="CM146" i="3"/>
  <c r="AG203" i="3"/>
  <c r="S258" i="3"/>
  <c r="S292" i="3"/>
  <c r="S281" i="3"/>
  <c r="S165" i="3"/>
  <c r="S244" i="3"/>
  <c r="S183" i="3"/>
  <c r="AT12" i="3"/>
  <c r="AT23" i="3"/>
  <c r="BD46" i="3"/>
  <c r="BD141" i="3"/>
  <c r="O61" i="5"/>
  <c r="O308" i="5"/>
  <c r="BD111" i="3"/>
  <c r="O333" i="5"/>
  <c r="AT21" i="3"/>
  <c r="AT11" i="3"/>
  <c r="AT22" i="3"/>
  <c r="O216" i="5"/>
  <c r="BD205" i="3"/>
  <c r="O302" i="5"/>
  <c r="O247" i="5"/>
  <c r="AT14" i="3"/>
  <c r="AT24" i="3"/>
  <c r="AT18" i="3"/>
  <c r="BD301" i="3"/>
  <c r="O174" i="5"/>
  <c r="O392" i="5"/>
  <c r="AT19" i="3"/>
  <c r="AT26" i="3"/>
  <c r="BD88" i="3"/>
  <c r="AT17" i="3"/>
  <c r="BD249" i="3"/>
  <c r="AT10" i="3"/>
  <c r="BB9" i="3"/>
  <c r="AT9" i="3"/>
  <c r="S66" i="3"/>
  <c r="S269" i="3"/>
  <c r="S76" i="3"/>
  <c r="S187" i="3"/>
  <c r="S133" i="3"/>
  <c r="S308" i="3"/>
  <c r="S171" i="3"/>
  <c r="S279" i="3"/>
  <c r="S97" i="3"/>
  <c r="S211" i="3"/>
  <c r="S227" i="3"/>
  <c r="S153" i="3"/>
  <c r="S221" i="3"/>
  <c r="S195" i="3"/>
  <c r="S273" i="3"/>
  <c r="BJ261" i="5"/>
  <c r="S138" i="3"/>
  <c r="BJ189" i="5"/>
  <c r="S302" i="3"/>
  <c r="S95" i="3"/>
  <c r="S167" i="3"/>
  <c r="BJ262" i="5"/>
  <c r="S145" i="3"/>
  <c r="AG398" i="5"/>
  <c r="L398" i="5" s="1"/>
  <c r="AG406" i="5"/>
  <c r="L406" i="5" s="1"/>
  <c r="AG397" i="5"/>
  <c r="L397" i="5" s="1"/>
  <c r="AG399" i="5"/>
  <c r="L399" i="5" s="1"/>
  <c r="AG401" i="5"/>
  <c r="L401" i="5" s="1"/>
  <c r="AG400" i="5"/>
  <c r="L400" i="5" s="1"/>
  <c r="V404" i="5"/>
  <c r="V405" i="5"/>
  <c r="AG391" i="5"/>
  <c r="L391" i="5" s="1"/>
  <c r="AG384" i="5"/>
  <c r="L384" i="5" s="1"/>
  <c r="AG381" i="5"/>
  <c r="L381" i="5" s="1"/>
  <c r="AG367" i="5"/>
  <c r="L367" i="5" s="1"/>
  <c r="AG377" i="5"/>
  <c r="L377" i="5" s="1"/>
  <c r="AG371" i="5"/>
  <c r="L371" i="5" s="1"/>
  <c r="AG374" i="5"/>
  <c r="L374" i="5" s="1"/>
  <c r="AG383" i="5"/>
  <c r="L383" i="5" s="1"/>
  <c r="AG375" i="5"/>
  <c r="L375" i="5" s="1"/>
  <c r="BJ395" i="5"/>
  <c r="AG392" i="5"/>
  <c r="L392" i="5" s="1"/>
  <c r="BJ393" i="5"/>
  <c r="V393" i="5"/>
  <c r="AG389" i="5"/>
  <c r="L389" i="5" s="1"/>
  <c r="AG369" i="5"/>
  <c r="L369" i="5" s="1"/>
  <c r="BJ394" i="5"/>
  <c r="BJ378" i="5"/>
  <c r="V378" i="5"/>
  <c r="BJ370" i="5"/>
  <c r="BJ387" i="5"/>
  <c r="BJ388" i="5"/>
  <c r="AG379" i="5"/>
  <c r="L379" i="5" s="1"/>
  <c r="AG366" i="5"/>
  <c r="L366" i="5" s="1"/>
  <c r="AG376" i="5"/>
  <c r="L376" i="5" s="1"/>
  <c r="AG368" i="5"/>
  <c r="L368" i="5" s="1"/>
  <c r="V385" i="5"/>
  <c r="V377" i="5"/>
  <c r="V382" i="5"/>
  <c r="BJ349" i="5"/>
  <c r="BJ354" i="5"/>
  <c r="V354" i="5"/>
  <c r="AG334" i="5"/>
  <c r="L334" i="5" s="1"/>
  <c r="AG359" i="5"/>
  <c r="L359" i="5" s="1"/>
  <c r="AG342" i="5"/>
  <c r="L342" i="5" s="1"/>
  <c r="AG348" i="5"/>
  <c r="L348" i="5" s="1"/>
  <c r="AG335" i="5"/>
  <c r="L335" i="5" s="1"/>
  <c r="AG336" i="5"/>
  <c r="L336" i="5" s="1"/>
  <c r="AG337" i="5"/>
  <c r="L337" i="5" s="1"/>
  <c r="AG338" i="5"/>
  <c r="L338" i="5" s="1"/>
  <c r="AG355" i="5"/>
  <c r="L355" i="5" s="1"/>
  <c r="AG345" i="5"/>
  <c r="L345" i="5" s="1"/>
  <c r="AG358" i="5"/>
  <c r="L358" i="5" s="1"/>
  <c r="AG360" i="5"/>
  <c r="L360" i="5" s="1"/>
  <c r="AG350" i="5"/>
  <c r="L350" i="5" s="1"/>
  <c r="AG347" i="5"/>
  <c r="L347" i="5" s="1"/>
  <c r="AG361" i="5"/>
  <c r="L361" i="5" s="1"/>
  <c r="AG353" i="5"/>
  <c r="L353" i="5" s="1"/>
  <c r="AG357" i="5"/>
  <c r="L357" i="5" s="1"/>
  <c r="AG351" i="5"/>
  <c r="L351" i="5" s="1"/>
  <c r="V343" i="5"/>
  <c r="V332" i="5"/>
  <c r="V339" i="5"/>
  <c r="V352" i="5"/>
  <c r="AG303" i="5"/>
  <c r="L303" i="5" s="1"/>
  <c r="AG327" i="5"/>
  <c r="L327" i="5" s="1"/>
  <c r="AG312" i="5"/>
  <c r="L312" i="5" s="1"/>
  <c r="BJ314" i="5"/>
  <c r="AG320" i="5"/>
  <c r="L320" i="5" s="1"/>
  <c r="AG313" i="5"/>
  <c r="L313" i="5" s="1"/>
  <c r="BJ331" i="5"/>
  <c r="AG321" i="5"/>
  <c r="L321" i="5" s="1"/>
  <c r="BJ306" i="5"/>
  <c r="AG311" i="5"/>
  <c r="L311" i="5" s="1"/>
  <c r="BJ324" i="5"/>
  <c r="BJ308" i="5"/>
  <c r="AG319" i="5"/>
  <c r="L319" i="5" s="1"/>
  <c r="CU306" i="3"/>
  <c r="CY306" i="3" s="1"/>
  <c r="S306" i="3"/>
  <c r="BJ300" i="5"/>
  <c r="V300" i="5"/>
  <c r="BJ330" i="5"/>
  <c r="AG310" i="5"/>
  <c r="L310" i="5" s="1"/>
  <c r="S315" i="20"/>
  <c r="S301" i="3"/>
  <c r="BJ309" i="5"/>
  <c r="V309" i="5"/>
  <c r="BJ315" i="5"/>
  <c r="AG304" i="5"/>
  <c r="L304" i="5" s="1"/>
  <c r="AG305" i="5"/>
  <c r="L305" i="5" s="1"/>
  <c r="BJ323" i="5"/>
  <c r="AG329" i="5"/>
  <c r="L329" i="5" s="1"/>
  <c r="AG328" i="5"/>
  <c r="L328" i="5" s="1"/>
  <c r="AG326" i="5"/>
  <c r="L326" i="5" s="1"/>
  <c r="BJ325" i="5"/>
  <c r="AG302" i="5"/>
  <c r="L302" i="5" s="1"/>
  <c r="AG307" i="5"/>
  <c r="L307" i="5" s="1"/>
  <c r="S317" i="20"/>
  <c r="S303" i="3"/>
  <c r="V329" i="5"/>
  <c r="S316" i="20"/>
  <c r="S307" i="3"/>
  <c r="S304" i="3"/>
  <c r="S307" i="20"/>
  <c r="S293" i="3"/>
  <c r="BJ272" i="5"/>
  <c r="AG298" i="3"/>
  <c r="S298" i="3"/>
  <c r="AG290" i="5"/>
  <c r="L290" i="5" s="1"/>
  <c r="S297" i="20"/>
  <c r="S283" i="3"/>
  <c r="S274" i="3"/>
  <c r="AG273" i="5"/>
  <c r="L273" i="5" s="1"/>
  <c r="AG297" i="5"/>
  <c r="L297" i="5" s="1"/>
  <c r="S275" i="3"/>
  <c r="BJ299" i="5"/>
  <c r="V299" i="5"/>
  <c r="BJ268" i="5"/>
  <c r="AG295" i="5"/>
  <c r="L295" i="5" s="1"/>
  <c r="AG286" i="5"/>
  <c r="L286" i="5" s="1"/>
  <c r="AG278" i="5"/>
  <c r="L278" i="5" s="1"/>
  <c r="BJ269" i="5"/>
  <c r="AG290" i="3"/>
  <c r="S290" i="3"/>
  <c r="AG274" i="5"/>
  <c r="L274" i="5" s="1"/>
  <c r="AG287" i="5"/>
  <c r="L287" i="5" s="1"/>
  <c r="AG285" i="5"/>
  <c r="L285" i="5" s="1"/>
  <c r="AG280" i="5"/>
  <c r="L280" i="5" s="1"/>
  <c r="AG288" i="5"/>
  <c r="L288" i="5" s="1"/>
  <c r="AG284" i="5"/>
  <c r="L284" i="5" s="1"/>
  <c r="AG271" i="5"/>
  <c r="L271" i="5" s="1"/>
  <c r="S294" i="3"/>
  <c r="S299" i="20"/>
  <c r="S285" i="3"/>
  <c r="AG291" i="5"/>
  <c r="L291" i="5" s="1"/>
  <c r="S286" i="3"/>
  <c r="S291" i="3"/>
  <c r="AG281" i="5"/>
  <c r="L281" i="5" s="1"/>
  <c r="AG282" i="5"/>
  <c r="L282" i="5" s="1"/>
  <c r="S295" i="20"/>
  <c r="BJ277" i="5"/>
  <c r="S299" i="3"/>
  <c r="S296" i="20"/>
  <c r="S282" i="3"/>
  <c r="AG296" i="5"/>
  <c r="L296" i="5" s="1"/>
  <c r="AG289" i="5"/>
  <c r="L289" i="5" s="1"/>
  <c r="AG270" i="5"/>
  <c r="L270" i="5" s="1"/>
  <c r="AG294" i="5"/>
  <c r="L294" i="5" s="1"/>
  <c r="S301" i="20"/>
  <c r="S285" i="20"/>
  <c r="CU270" i="3"/>
  <c r="CY270" i="3" s="1"/>
  <c r="S291" i="20"/>
  <c r="S293" i="20"/>
  <c r="S294" i="20"/>
  <c r="S270" i="3"/>
  <c r="V297" i="5"/>
  <c r="S283" i="20"/>
  <c r="S290" i="20"/>
  <c r="S287" i="3"/>
  <c r="V276" i="5"/>
  <c r="S284" i="3"/>
  <c r="V274" i="5"/>
  <c r="V285" i="5"/>
  <c r="S309" i="20"/>
  <c r="CU289" i="3"/>
  <c r="CY289" i="3" s="1"/>
  <c r="S297" i="3"/>
  <c r="S277" i="3"/>
  <c r="S288" i="3"/>
  <c r="BS286" i="3"/>
  <c r="BS299" i="3"/>
  <c r="BS298" i="3"/>
  <c r="BS295" i="3"/>
  <c r="S272" i="3"/>
  <c r="BS272" i="3"/>
  <c r="BS271" i="3"/>
  <c r="S268" i="3"/>
  <c r="BS268" i="3"/>
  <c r="BS283" i="3"/>
  <c r="S271" i="3"/>
  <c r="S280" i="3"/>
  <c r="BS280" i="3"/>
  <c r="S276" i="3"/>
  <c r="BS276" i="3"/>
  <c r="AG265" i="5"/>
  <c r="L265" i="5" s="1"/>
  <c r="AG258" i="5"/>
  <c r="L258" i="5" s="1"/>
  <c r="AG254" i="5"/>
  <c r="L254" i="5" s="1"/>
  <c r="AG252" i="5"/>
  <c r="L252" i="5" s="1"/>
  <c r="AG259" i="5"/>
  <c r="L259" i="5" s="1"/>
  <c r="AG264" i="5"/>
  <c r="L264" i="5" s="1"/>
  <c r="AG257" i="5"/>
  <c r="L257" i="5" s="1"/>
  <c r="AG263" i="5"/>
  <c r="L263" i="5" s="1"/>
  <c r="AG255" i="5"/>
  <c r="L255" i="5" s="1"/>
  <c r="S281" i="20"/>
  <c r="AG254" i="3"/>
  <c r="S267" i="3"/>
  <c r="S257" i="3"/>
  <c r="V254" i="5"/>
  <c r="S279" i="20"/>
  <c r="S275" i="20"/>
  <c r="V262" i="5"/>
  <c r="S264" i="3"/>
  <c r="S252" i="3"/>
  <c r="S280" i="20"/>
  <c r="AG259" i="3"/>
  <c r="S266" i="3"/>
  <c r="S262" i="3"/>
  <c r="S265" i="3"/>
  <c r="S256" i="3"/>
  <c r="BS259" i="3"/>
  <c r="BS257" i="3"/>
  <c r="AQ170" i="3"/>
  <c r="AG237" i="5"/>
  <c r="L237" i="5" s="1"/>
  <c r="AG247" i="5"/>
  <c r="L247" i="5" s="1"/>
  <c r="AG238" i="5"/>
  <c r="L238" i="5" s="1"/>
  <c r="AG243" i="5"/>
  <c r="L243" i="5" s="1"/>
  <c r="AG244" i="5"/>
  <c r="L244" i="5" s="1"/>
  <c r="AG239" i="5"/>
  <c r="L239" i="5" s="1"/>
  <c r="AG251" i="5"/>
  <c r="L251" i="5" s="1"/>
  <c r="AG248" i="5"/>
  <c r="L248" i="5" s="1"/>
  <c r="AG241" i="5"/>
  <c r="L241" i="5" s="1"/>
  <c r="AG249" i="5"/>
  <c r="L249" i="5" s="1"/>
  <c r="AG246" i="5"/>
  <c r="L246" i="5" s="1"/>
  <c r="S238" i="3"/>
  <c r="S251" i="3"/>
  <c r="AG250" i="5"/>
  <c r="L250" i="5" s="1"/>
  <c r="S249" i="3"/>
  <c r="AG240" i="5"/>
  <c r="L240" i="5" s="1"/>
  <c r="V240" i="5"/>
  <c r="S250" i="3"/>
  <c r="S243" i="3"/>
  <c r="S239" i="3"/>
  <c r="S247" i="3"/>
  <c r="S245" i="3"/>
  <c r="AG245" i="5"/>
  <c r="L245" i="5" s="1"/>
  <c r="V241" i="5"/>
  <c r="V245" i="5"/>
  <c r="S242" i="3"/>
  <c r="S241" i="3"/>
  <c r="S248" i="3"/>
  <c r="AG236" i="5"/>
  <c r="L236" i="5" s="1"/>
  <c r="S236" i="3"/>
  <c r="BS250" i="3"/>
  <c r="BS242" i="3"/>
  <c r="BS241" i="3"/>
  <c r="BS237" i="3"/>
  <c r="AG231" i="5"/>
  <c r="L231" i="5" s="1"/>
  <c r="AG235" i="5"/>
  <c r="L235" i="5" s="1"/>
  <c r="AG230" i="5"/>
  <c r="L230" i="5" s="1"/>
  <c r="AG232" i="5"/>
  <c r="L232" i="5" s="1"/>
  <c r="S248" i="20"/>
  <c r="S244" i="20"/>
  <c r="S247" i="20"/>
  <c r="S234" i="3"/>
  <c r="V235" i="5"/>
  <c r="S233" i="3"/>
  <c r="S246" i="20"/>
  <c r="BS231" i="3"/>
  <c r="S235" i="3"/>
  <c r="BS234" i="3"/>
  <c r="S232" i="3"/>
  <c r="BS232" i="3"/>
  <c r="AG224" i="5"/>
  <c r="L224" i="5" s="1"/>
  <c r="AG226" i="5"/>
  <c r="L226" i="5" s="1"/>
  <c r="AG229" i="5"/>
  <c r="L229" i="5" s="1"/>
  <c r="AG228" i="5"/>
  <c r="L228" i="5" s="1"/>
  <c r="S243" i="20"/>
  <c r="S229" i="3"/>
  <c r="S225" i="3"/>
  <c r="V225" i="5"/>
  <c r="S228" i="3"/>
  <c r="BS228" i="3"/>
  <c r="BS225" i="3"/>
  <c r="S224" i="3"/>
  <c r="AG223" i="5"/>
  <c r="L223" i="5" s="1"/>
  <c r="S222" i="3"/>
  <c r="S223" i="3"/>
  <c r="V222" i="5"/>
  <c r="AG221" i="5"/>
  <c r="L221" i="5" s="1"/>
  <c r="AG221" i="3"/>
  <c r="AG219" i="5"/>
  <c r="L219" i="5" s="1"/>
  <c r="AG218" i="5"/>
  <c r="L218" i="5" s="1"/>
  <c r="S218" i="3"/>
  <c r="S220" i="3"/>
  <c r="BS220" i="3"/>
  <c r="S219" i="3"/>
  <c r="AQ219" i="3"/>
  <c r="BJ221" i="5"/>
  <c r="BS103" i="3"/>
  <c r="S216" i="3"/>
  <c r="S213" i="3"/>
  <c r="S212" i="3"/>
  <c r="AG212" i="5"/>
  <c r="L212" i="5" s="1"/>
  <c r="S210" i="3"/>
  <c r="BS210" i="3"/>
  <c r="S209" i="3"/>
  <c r="BS209" i="3"/>
  <c r="S208" i="3"/>
  <c r="BS208" i="3"/>
  <c r="S207" i="3"/>
  <c r="S206" i="3"/>
  <c r="BS207" i="3"/>
  <c r="S205" i="3"/>
  <c r="S204" i="3"/>
  <c r="BS204" i="3"/>
  <c r="V205" i="5"/>
  <c r="AG205" i="5"/>
  <c r="L205" i="5" s="1"/>
  <c r="S203" i="3"/>
  <c r="S202" i="3"/>
  <c r="BS203" i="3"/>
  <c r="V203" i="5"/>
  <c r="AG203" i="5"/>
  <c r="L203" i="5" s="1"/>
  <c r="CE65" i="3"/>
  <c r="CD65" i="3"/>
  <c r="BA65" i="3"/>
  <c r="BS40" i="3"/>
  <c r="S201" i="3"/>
  <c r="S199" i="3"/>
  <c r="BS201" i="3"/>
  <c r="S200" i="3"/>
  <c r="BS200" i="3"/>
  <c r="BS199" i="3"/>
  <c r="S198" i="3"/>
  <c r="S197" i="3"/>
  <c r="BS197" i="3"/>
  <c r="V194" i="5"/>
  <c r="V193" i="5"/>
  <c r="CM196" i="3"/>
  <c r="S194" i="3"/>
  <c r="BS195" i="3"/>
  <c r="AQ193" i="3"/>
  <c r="AG193" i="5"/>
  <c r="L193" i="5" s="1"/>
  <c r="AG194" i="5"/>
  <c r="L194" i="5" s="1"/>
  <c r="S196" i="3"/>
  <c r="BS196" i="3"/>
  <c r="S191" i="3"/>
  <c r="S190" i="3"/>
  <c r="BS191" i="3"/>
  <c r="AQ189" i="3"/>
  <c r="S192" i="3"/>
  <c r="BS192" i="3"/>
  <c r="S188" i="3"/>
  <c r="BS188" i="3"/>
  <c r="S185" i="3"/>
  <c r="S186" i="3"/>
  <c r="BS186" i="3"/>
  <c r="AQ179" i="3"/>
  <c r="AQ163" i="3"/>
  <c r="AQ158" i="3"/>
  <c r="AQ174" i="3"/>
  <c r="V167" i="5"/>
  <c r="V180" i="5"/>
  <c r="S174" i="20"/>
  <c r="CU184" i="3"/>
  <c r="K487" i="13" s="1"/>
  <c r="S182" i="20"/>
  <c r="S163" i="3"/>
  <c r="S175" i="20"/>
  <c r="AG180" i="3"/>
  <c r="S191" i="20"/>
  <c r="S177" i="3"/>
  <c r="S173" i="3"/>
  <c r="AG180" i="5"/>
  <c r="L180" i="5" s="1"/>
  <c r="S176" i="3"/>
  <c r="S164" i="3"/>
  <c r="S195" i="20"/>
  <c r="AG182" i="3"/>
  <c r="AG155" i="3"/>
  <c r="AG179" i="3"/>
  <c r="V174" i="5"/>
  <c r="V177" i="5"/>
  <c r="V163" i="5"/>
  <c r="S178" i="3"/>
  <c r="AG167" i="5"/>
  <c r="L167" i="5" s="1"/>
  <c r="S160" i="3"/>
  <c r="S180" i="3"/>
  <c r="S184" i="3"/>
  <c r="S185" i="20"/>
  <c r="CM156" i="3"/>
  <c r="V162" i="5"/>
  <c r="S162" i="3"/>
  <c r="S155" i="3"/>
  <c r="S179" i="3"/>
  <c r="S161" i="3"/>
  <c r="S157" i="3"/>
  <c r="S172" i="3"/>
  <c r="S168" i="3"/>
  <c r="BS159" i="3"/>
  <c r="AQ166" i="3"/>
  <c r="AQ169" i="3"/>
  <c r="AG163" i="5"/>
  <c r="L163" i="5" s="1"/>
  <c r="BS179" i="3"/>
  <c r="BS166" i="3"/>
  <c r="S170" i="3"/>
  <c r="BS175" i="3"/>
  <c r="BJ165" i="5"/>
  <c r="V178" i="5"/>
  <c r="AG178" i="5"/>
  <c r="L178" i="5" s="1"/>
  <c r="AG174" i="5"/>
  <c r="L174" i="5" s="1"/>
  <c r="AQ159" i="3"/>
  <c r="S182" i="3"/>
  <c r="AG162" i="5"/>
  <c r="L162" i="5" s="1"/>
  <c r="S174" i="3"/>
  <c r="BS174" i="3"/>
  <c r="S158" i="3"/>
  <c r="BS158" i="3"/>
  <c r="BS183" i="3"/>
  <c r="BS181" i="3"/>
  <c r="V176" i="5"/>
  <c r="AG176" i="5"/>
  <c r="L176" i="5" s="1"/>
  <c r="AQ175" i="3"/>
  <c r="AG177" i="5"/>
  <c r="L177" i="5" s="1"/>
  <c r="S181" i="3"/>
  <c r="BS157" i="3"/>
  <c r="BS177" i="3"/>
  <c r="BS178" i="3"/>
  <c r="V154" i="5"/>
  <c r="S154" i="3"/>
  <c r="S166" i="20"/>
  <c r="CM151" i="3"/>
  <c r="S151" i="3"/>
  <c r="S163" i="20"/>
  <c r="S150" i="3"/>
  <c r="S149" i="3"/>
  <c r="AG154" i="5"/>
  <c r="L154" i="5" s="1"/>
  <c r="S152" i="3"/>
  <c r="BS152" i="3"/>
  <c r="S161" i="20"/>
  <c r="S147" i="3"/>
  <c r="V148" i="5"/>
  <c r="AG148" i="5"/>
  <c r="L148" i="5" s="1"/>
  <c r="S148" i="3"/>
  <c r="BS148" i="3"/>
  <c r="S146" i="3"/>
  <c r="S143" i="3"/>
  <c r="V143" i="5"/>
  <c r="AG143" i="5"/>
  <c r="L143" i="5" s="1"/>
  <c r="S144" i="3"/>
  <c r="BS144" i="3"/>
  <c r="S141" i="3"/>
  <c r="S142" i="3"/>
  <c r="BS142" i="3"/>
  <c r="S140" i="3"/>
  <c r="BS140" i="3"/>
  <c r="BS139" i="3"/>
  <c r="S151" i="20"/>
  <c r="V137" i="5"/>
  <c r="S137" i="3"/>
  <c r="AG137" i="5"/>
  <c r="L137" i="5" s="1"/>
  <c r="BS138" i="3"/>
  <c r="S136" i="3"/>
  <c r="S135" i="3"/>
  <c r="BS136" i="3"/>
  <c r="S134" i="3"/>
  <c r="S131" i="3"/>
  <c r="S132" i="3"/>
  <c r="BS132" i="3"/>
  <c r="S130" i="3"/>
  <c r="V129" i="5"/>
  <c r="AQ129" i="3"/>
  <c r="AG129" i="5"/>
  <c r="L129" i="5" s="1"/>
  <c r="BS130" i="3"/>
  <c r="S142" i="20"/>
  <c r="S141" i="20"/>
  <c r="S127" i="3"/>
  <c r="S128" i="3"/>
  <c r="BS128" i="3"/>
  <c r="V126" i="5"/>
  <c r="S125" i="3"/>
  <c r="AG126" i="5"/>
  <c r="L126" i="5" s="1"/>
  <c r="S126" i="3"/>
  <c r="BS126" i="3"/>
  <c r="BS125" i="3"/>
  <c r="S138" i="20"/>
  <c r="S123" i="3"/>
  <c r="AG123" i="5"/>
  <c r="L123" i="5" s="1"/>
  <c r="AG121" i="3"/>
  <c r="S136" i="20"/>
  <c r="S121" i="3"/>
  <c r="S122" i="3"/>
  <c r="BS122" i="3"/>
  <c r="S119" i="3"/>
  <c r="AG119" i="5"/>
  <c r="L119" i="5" s="1"/>
  <c r="S120" i="3"/>
  <c r="BS120" i="3"/>
  <c r="AG120" i="5"/>
  <c r="L120" i="5" s="1"/>
  <c r="BS119" i="3"/>
  <c r="S131" i="20"/>
  <c r="AG117" i="5"/>
  <c r="L117" i="5" s="1"/>
  <c r="S115" i="3"/>
  <c r="S116" i="3"/>
  <c r="BS116" i="3"/>
  <c r="S127" i="20"/>
  <c r="S113" i="3"/>
  <c r="S112" i="3"/>
  <c r="S111" i="3"/>
  <c r="BS111" i="3"/>
  <c r="V112" i="5"/>
  <c r="AG112" i="5"/>
  <c r="L112" i="5" s="1"/>
  <c r="S124" i="20"/>
  <c r="S110" i="3"/>
  <c r="CM107" i="3"/>
  <c r="S122" i="20"/>
  <c r="S107" i="3"/>
  <c r="S108" i="3"/>
  <c r="BS108" i="3"/>
  <c r="S105" i="3"/>
  <c r="BS105" i="3"/>
  <c r="S106" i="3"/>
  <c r="BS106" i="3"/>
  <c r="S118" i="20"/>
  <c r="S103" i="3"/>
  <c r="S104" i="3"/>
  <c r="BS104" i="3"/>
  <c r="V103" i="5"/>
  <c r="AG103" i="5"/>
  <c r="L103" i="5" s="1"/>
  <c r="S101" i="3"/>
  <c r="S116" i="20"/>
  <c r="V101" i="5"/>
  <c r="AG101" i="5"/>
  <c r="L101" i="5" s="1"/>
  <c r="BS101" i="3"/>
  <c r="S99" i="3"/>
  <c r="S100" i="3"/>
  <c r="BS100" i="3"/>
  <c r="CM96" i="3"/>
  <c r="S109" i="20"/>
  <c r="BS95" i="3"/>
  <c r="S96" i="3"/>
  <c r="BS96" i="3"/>
  <c r="AG93" i="3"/>
  <c r="S93" i="3"/>
  <c r="S94" i="3"/>
  <c r="BS93" i="3"/>
  <c r="S91" i="3"/>
  <c r="S92" i="3"/>
  <c r="BS92" i="3"/>
  <c r="S89" i="3"/>
  <c r="S90" i="3"/>
  <c r="BS90" i="3"/>
  <c r="S87" i="3"/>
  <c r="S88" i="3"/>
  <c r="BS88" i="3"/>
  <c r="S85" i="3"/>
  <c r="S86" i="3"/>
  <c r="V84" i="5"/>
  <c r="S84" i="3"/>
  <c r="AG84" i="5"/>
  <c r="L84" i="5" s="1"/>
  <c r="V81" i="5"/>
  <c r="S82" i="3"/>
  <c r="AG81" i="5"/>
  <c r="L81" i="5" s="1"/>
  <c r="BS81" i="3"/>
  <c r="BS80" i="3"/>
  <c r="BS79" i="3"/>
  <c r="BS78" i="3"/>
  <c r="S75" i="3"/>
  <c r="AG76" i="5"/>
  <c r="L76" i="5" s="1"/>
  <c r="S74" i="3"/>
  <c r="S87" i="20"/>
  <c r="S71" i="3"/>
  <c r="S72" i="3"/>
  <c r="BS72" i="3"/>
  <c r="S69" i="3"/>
  <c r="V69" i="5"/>
  <c r="S70" i="3"/>
  <c r="AG69" i="5"/>
  <c r="L69" i="5" s="1"/>
  <c r="V68" i="5"/>
  <c r="V67" i="5"/>
  <c r="AG68" i="5"/>
  <c r="L68" i="5" s="1"/>
  <c r="S68" i="3"/>
  <c r="BS68" i="3"/>
  <c r="AG67" i="5"/>
  <c r="L67" i="5" s="1"/>
  <c r="V65" i="5"/>
  <c r="AG65" i="5"/>
  <c r="L65" i="5" s="1"/>
  <c r="AQ64" i="3"/>
  <c r="V62" i="5"/>
  <c r="AG62" i="5"/>
  <c r="L62" i="5" s="1"/>
  <c r="V59" i="5"/>
  <c r="AG59" i="5"/>
  <c r="L59" i="5" s="1"/>
  <c r="V58" i="5"/>
  <c r="AG58" i="5"/>
  <c r="L58" i="5" s="1"/>
  <c r="V55" i="5"/>
  <c r="AG55" i="5"/>
  <c r="L55" i="5" s="1"/>
  <c r="AG54" i="5"/>
  <c r="L54" i="5" s="1"/>
  <c r="V52" i="5"/>
  <c r="V51" i="5"/>
  <c r="AG51" i="5"/>
  <c r="L51" i="5" s="1"/>
  <c r="AG52" i="5"/>
  <c r="L52" i="5" s="1"/>
  <c r="BS52" i="3"/>
  <c r="V48" i="5"/>
  <c r="V47" i="5"/>
  <c r="S48" i="3"/>
  <c r="AG48" i="5"/>
  <c r="L48" i="5" s="1"/>
  <c r="AG47" i="5"/>
  <c r="L47" i="5" s="1"/>
  <c r="V46" i="5"/>
  <c r="AG46" i="5"/>
  <c r="L46" i="5" s="1"/>
  <c r="V45" i="5"/>
  <c r="AG45" i="5"/>
  <c r="L45" i="5" s="1"/>
  <c r="V44" i="5"/>
  <c r="V43" i="5"/>
  <c r="AG44" i="5"/>
  <c r="L44" i="5" s="1"/>
  <c r="AG43" i="5"/>
  <c r="L43" i="5" s="1"/>
  <c r="V42" i="5"/>
  <c r="AG42" i="5"/>
  <c r="L42" i="5" s="1"/>
  <c r="V41" i="5"/>
  <c r="AG41" i="5"/>
  <c r="L41" i="5" s="1"/>
  <c r="V39" i="5"/>
  <c r="V40" i="5"/>
  <c r="AG39" i="5"/>
  <c r="L39" i="5" s="1"/>
  <c r="V37" i="5"/>
  <c r="AG37" i="5"/>
  <c r="L37" i="5" s="1"/>
  <c r="AG36" i="5"/>
  <c r="L36" i="5" s="1"/>
  <c r="AG35" i="5"/>
  <c r="L35" i="5" s="1"/>
  <c r="O28" i="5"/>
  <c r="BJ24" i="5"/>
  <c r="BJ50" i="5"/>
  <c r="AG34" i="5"/>
  <c r="L34" i="5" s="1"/>
  <c r="AG33" i="5"/>
  <c r="L33" i="5" s="1"/>
  <c r="BJ56" i="5"/>
  <c r="AG14" i="5"/>
  <c r="L14" i="5" s="1"/>
  <c r="BS32" i="3"/>
  <c r="BS31" i="3"/>
  <c r="AG30" i="5"/>
  <c r="L30" i="5" s="1"/>
  <c r="AG214" i="3"/>
  <c r="S228" i="20"/>
  <c r="V15" i="5"/>
  <c r="AG15" i="5"/>
  <c r="L15" i="5" s="1"/>
  <c r="V14" i="5"/>
  <c r="BJ9" i="5"/>
  <c r="BJ347" i="5"/>
  <c r="BJ257" i="5"/>
  <c r="BJ366" i="5"/>
  <c r="BJ337" i="5"/>
  <c r="BJ307" i="5"/>
  <c r="BJ284" i="5"/>
  <c r="BJ259" i="5"/>
  <c r="BJ401" i="5"/>
  <c r="BJ358" i="5"/>
  <c r="EN8" i="3"/>
  <c r="BJ290" i="5"/>
  <c r="BJ355" i="5"/>
  <c r="BJ251" i="5"/>
  <c r="BJ338" i="5"/>
  <c r="BJ228" i="5"/>
  <c r="BJ175" i="5"/>
  <c r="BJ226" i="5"/>
  <c r="BJ264" i="5"/>
  <c r="BJ328" i="5"/>
  <c r="BJ168" i="5"/>
  <c r="BJ381" i="5"/>
  <c r="BJ371" i="5"/>
  <c r="BJ195" i="5"/>
  <c r="BJ181" i="5"/>
  <c r="V362" i="5"/>
  <c r="BJ125" i="5"/>
  <c r="BJ252" i="5"/>
  <c r="BJ383" i="5"/>
  <c r="BJ201" i="5"/>
  <c r="BJ391" i="5"/>
  <c r="BJ150" i="5"/>
  <c r="BJ313" i="5"/>
  <c r="BJ281" i="5"/>
  <c r="BJ400" i="5"/>
  <c r="BJ204" i="5"/>
  <c r="BJ26" i="5"/>
  <c r="BJ270" i="5"/>
  <c r="BJ335" i="5"/>
  <c r="BJ71" i="5"/>
  <c r="BJ164" i="5"/>
  <c r="BJ232" i="5"/>
  <c r="BJ135" i="5"/>
  <c r="BJ86" i="5"/>
  <c r="BJ111" i="5"/>
  <c r="BJ161" i="5"/>
  <c r="BJ327" i="5"/>
  <c r="BJ236" i="5"/>
  <c r="BJ219" i="5"/>
  <c r="BJ224" i="5"/>
  <c r="BJ118" i="5"/>
  <c r="BJ13" i="5"/>
  <c r="BJ23" i="5"/>
  <c r="BJ22" i="5"/>
  <c r="BJ17" i="5"/>
  <c r="BJ29" i="5"/>
  <c r="K63" i="24"/>
  <c r="BJ209" i="5"/>
  <c r="BJ399" i="5"/>
  <c r="BJ173" i="5"/>
  <c r="BJ102" i="5"/>
  <c r="BJ141" i="5"/>
  <c r="BJ291" i="5"/>
  <c r="BJ200" i="5"/>
  <c r="BJ100" i="5"/>
  <c r="BJ82" i="5"/>
  <c r="BJ188" i="5"/>
  <c r="BJ81" i="5"/>
  <c r="BJ210" i="5"/>
  <c r="BJ80" i="5"/>
  <c r="BJ305" i="5"/>
  <c r="BJ149" i="5"/>
  <c r="BJ202" i="5"/>
  <c r="BJ43" i="5"/>
  <c r="BJ101" i="5"/>
  <c r="BJ398" i="5"/>
  <c r="BJ247" i="5"/>
  <c r="BJ109" i="5"/>
  <c r="BJ243" i="5"/>
  <c r="BJ353" i="5"/>
  <c r="BJ369" i="5"/>
  <c r="BJ258" i="5"/>
  <c r="BJ151" i="5"/>
  <c r="BJ110" i="5"/>
  <c r="BJ41" i="5"/>
  <c r="BJ336" i="5"/>
  <c r="BJ35" i="5"/>
  <c r="BJ123" i="5"/>
  <c r="BJ406" i="5"/>
  <c r="BJ108" i="5"/>
  <c r="BJ59" i="5"/>
  <c r="BJ230" i="5"/>
  <c r="BJ179" i="5"/>
  <c r="BJ93" i="5"/>
  <c r="BJ171" i="5"/>
  <c r="BJ74" i="5"/>
  <c r="V341" i="5"/>
  <c r="V347" i="5"/>
  <c r="BJ231" i="5"/>
  <c r="BJ351" i="5"/>
  <c r="BJ63" i="5"/>
  <c r="BJ76" i="5"/>
  <c r="BJ33" i="5"/>
  <c r="V301" i="5"/>
  <c r="BJ238" i="5"/>
  <c r="BJ218" i="5"/>
  <c r="BJ133" i="5"/>
  <c r="BJ134" i="5"/>
  <c r="BJ342" i="5"/>
  <c r="BJ397" i="5"/>
  <c r="BJ320" i="5"/>
  <c r="BJ95" i="5"/>
  <c r="BJ68" i="5"/>
  <c r="BJ121" i="5"/>
  <c r="BJ348" i="5"/>
  <c r="BJ140" i="5"/>
  <c r="BJ155" i="5"/>
  <c r="BJ192" i="5"/>
  <c r="V402" i="5"/>
  <c r="BJ88" i="5"/>
  <c r="BJ79" i="5"/>
  <c r="BJ72" i="5"/>
  <c r="BJ304" i="5"/>
  <c r="BJ70" i="5"/>
  <c r="BJ208" i="5"/>
  <c r="BJ91" i="5"/>
  <c r="V275" i="5"/>
  <c r="BJ345" i="5"/>
  <c r="BJ75" i="5"/>
  <c r="BJ190" i="5"/>
  <c r="BJ55" i="5"/>
  <c r="BJ61" i="5"/>
  <c r="BJ144" i="5"/>
  <c r="V305" i="5"/>
  <c r="BJ54" i="5"/>
  <c r="V338" i="5"/>
  <c r="BJ297" i="5"/>
  <c r="BJ73" i="5"/>
  <c r="BJ294" i="5"/>
  <c r="BJ374" i="5"/>
  <c r="BJ310" i="5"/>
  <c r="BJ296" i="5"/>
  <c r="BJ384" i="5"/>
  <c r="BJ203" i="5"/>
  <c r="BJ288" i="5"/>
  <c r="BJ265" i="5"/>
  <c r="BJ170" i="5"/>
  <c r="V407" i="5"/>
  <c r="BJ142" i="5"/>
  <c r="BJ216" i="5"/>
  <c r="BJ66" i="5"/>
  <c r="BJ295" i="5"/>
  <c r="V381" i="5"/>
  <c r="BJ263" i="5"/>
  <c r="BJ196" i="5"/>
  <c r="BJ375" i="5"/>
  <c r="BJ207" i="5"/>
  <c r="V259" i="5"/>
  <c r="BJ49" i="5"/>
  <c r="BJ139" i="5"/>
  <c r="BJ62" i="5"/>
  <c r="BJ85" i="5"/>
  <c r="BJ191" i="5"/>
  <c r="BJ126" i="5"/>
  <c r="BJ199" i="5"/>
  <c r="BJ360" i="5"/>
  <c r="BJ131" i="5"/>
  <c r="BJ146" i="5"/>
  <c r="BJ321" i="5"/>
  <c r="BJ368" i="5"/>
  <c r="BJ273" i="5"/>
  <c r="BJ215" i="5"/>
  <c r="BJ343" i="5"/>
  <c r="BJ180" i="5"/>
  <c r="BJ136" i="5"/>
  <c r="BJ53" i="5"/>
  <c r="BJ302" i="5"/>
  <c r="BJ158" i="5"/>
  <c r="BJ114" i="5"/>
  <c r="BJ78" i="5"/>
  <c r="BJ77" i="5"/>
  <c r="BJ187" i="5"/>
  <c r="BJ184" i="5"/>
  <c r="BJ254" i="5"/>
  <c r="BJ312" i="5"/>
  <c r="BJ128" i="5"/>
  <c r="BJ39" i="5"/>
  <c r="BJ122" i="5"/>
  <c r="BJ60" i="5"/>
  <c r="BJ386" i="5"/>
  <c r="V253" i="5"/>
  <c r="V294" i="5"/>
  <c r="V366" i="5"/>
  <c r="BJ246" i="5"/>
  <c r="V356" i="5"/>
  <c r="BJ229" i="5"/>
  <c r="BJ379" i="5"/>
  <c r="BJ334" i="5"/>
  <c r="BJ112" i="5"/>
  <c r="BJ278" i="5"/>
  <c r="BJ289" i="5"/>
  <c r="BJ206" i="5"/>
  <c r="BJ64" i="5"/>
  <c r="BJ45" i="5"/>
  <c r="V322" i="5"/>
  <c r="BJ280" i="5"/>
  <c r="BJ282" i="5"/>
  <c r="BJ344" i="5"/>
  <c r="BJ32" i="5"/>
  <c r="V320" i="5"/>
  <c r="BJ389" i="5"/>
  <c r="BJ182" i="5"/>
  <c r="V288" i="5"/>
  <c r="BJ14" i="5"/>
  <c r="V400" i="5"/>
  <c r="BJ16" i="5"/>
  <c r="V307" i="5"/>
  <c r="BJ255" i="5"/>
  <c r="V280" i="5"/>
  <c r="BJ120" i="5"/>
  <c r="BJ152" i="5"/>
  <c r="BJ145" i="5"/>
  <c r="BJ57" i="5"/>
  <c r="BJ249" i="5"/>
  <c r="V403" i="5"/>
  <c r="V282" i="5"/>
  <c r="BJ326" i="5"/>
  <c r="BJ116" i="5"/>
  <c r="BJ132" i="5"/>
  <c r="BJ361" i="5"/>
  <c r="BJ28" i="5"/>
  <c r="V355" i="5"/>
  <c r="BJ244" i="5"/>
  <c r="BJ52" i="5"/>
  <c r="BJ107" i="5"/>
  <c r="BJ147" i="5"/>
  <c r="EM7" i="3"/>
  <c r="EM6" i="3"/>
  <c r="BJ87" i="5"/>
  <c r="BJ160" i="5"/>
  <c r="BJ153" i="5"/>
  <c r="BJ156" i="5"/>
  <c r="BJ42" i="5"/>
  <c r="V346" i="5"/>
  <c r="BJ376" i="5"/>
  <c r="BJ367" i="5"/>
  <c r="BJ392" i="5"/>
  <c r="V371" i="5"/>
  <c r="BJ96" i="5"/>
  <c r="BJ350" i="5"/>
  <c r="BJ115" i="5"/>
  <c r="BJ357" i="5"/>
  <c r="BJ214" i="5"/>
  <c r="BJ286" i="5"/>
  <c r="BJ31" i="5"/>
  <c r="BJ329" i="5"/>
  <c r="V244" i="5"/>
  <c r="BJ198" i="5"/>
  <c r="BJ352" i="5"/>
  <c r="BJ38" i="5"/>
  <c r="BJ377" i="5"/>
  <c r="BJ271" i="5"/>
  <c r="BJ105" i="5"/>
  <c r="V364" i="5"/>
  <c r="BJ90" i="5"/>
  <c r="V401" i="5"/>
  <c r="V317" i="5"/>
  <c r="BJ46" i="5"/>
  <c r="V368" i="5"/>
  <c r="BJ205" i="5"/>
  <c r="V256" i="5"/>
  <c r="V263" i="5"/>
  <c r="BJ248" i="5"/>
  <c r="BJ113" i="5"/>
  <c r="BJ240" i="5"/>
  <c r="V292" i="5"/>
  <c r="BJ223" i="5"/>
  <c r="V271" i="5"/>
  <c r="BJ169" i="5"/>
  <c r="BJ287" i="5"/>
  <c r="V273" i="5"/>
  <c r="BJ67" i="5"/>
  <c r="BJ311" i="5"/>
  <c r="BJ167" i="5"/>
  <c r="V363" i="5"/>
  <c r="BJ319" i="5"/>
  <c r="BJ174" i="5"/>
  <c r="V350" i="5"/>
  <c r="V325" i="5"/>
  <c r="BJ183" i="5"/>
  <c r="BJ119" i="5"/>
  <c r="V316" i="5"/>
  <c r="BJ138" i="5"/>
  <c r="V369" i="5"/>
  <c r="V284" i="5"/>
  <c r="BJ44" i="5"/>
  <c r="BJ303" i="5"/>
  <c r="V389" i="5"/>
  <c r="BJ186" i="5"/>
  <c r="V313" i="5"/>
  <c r="BJ359" i="5"/>
  <c r="BJ84" i="5"/>
  <c r="BJ166" i="5"/>
  <c r="V376" i="5"/>
  <c r="BJ104" i="5"/>
  <c r="BJ98" i="5"/>
  <c r="BJ124" i="5"/>
  <c r="BJ117" i="5"/>
  <c r="BJ162" i="5"/>
  <c r="BJ390" i="5"/>
  <c r="V359" i="5"/>
  <c r="BJ157" i="5"/>
  <c r="V293" i="5"/>
  <c r="V267" i="5"/>
  <c r="BJ37" i="5"/>
  <c r="V372" i="5"/>
  <c r="BJ92" i="5"/>
  <c r="V218" i="5"/>
  <c r="V337" i="5"/>
  <c r="V230" i="5"/>
  <c r="BJ148" i="5"/>
  <c r="BJ137" i="5"/>
  <c r="BJ30" i="5"/>
  <c r="V289" i="5"/>
  <c r="BJ129" i="5"/>
  <c r="BJ178" i="5"/>
  <c r="V340" i="5"/>
  <c r="V342" i="5"/>
  <c r="BJ143" i="5"/>
  <c r="V324" i="5"/>
  <c r="V236" i="5"/>
  <c r="BJ237" i="5"/>
  <c r="BJ274" i="5"/>
  <c r="V365" i="5"/>
  <c r="BJ11" i="5"/>
  <c r="V323" i="5"/>
  <c r="V348" i="5"/>
  <c r="BJ69" i="5"/>
  <c r="V399" i="5"/>
  <c r="V302" i="5"/>
  <c r="BJ51" i="5"/>
  <c r="V311" i="5"/>
  <c r="V406" i="5"/>
  <c r="BJ154" i="5"/>
  <c r="BJ222" i="5"/>
  <c r="BJ177" i="5"/>
  <c r="V314" i="5"/>
  <c r="CU214" i="3"/>
  <c r="CY214" i="3" s="1"/>
  <c r="V298" i="5"/>
  <c r="V255" i="5"/>
  <c r="V367" i="5"/>
  <c r="BJ194" i="5"/>
  <c r="BJ212" i="5"/>
  <c r="BJ48" i="5"/>
  <c r="V238" i="5"/>
  <c r="V315" i="5"/>
  <c r="BJ103" i="5"/>
  <c r="V331" i="5"/>
  <c r="BJ235" i="5"/>
  <c r="V351" i="5"/>
  <c r="V373" i="5"/>
  <c r="V249" i="5"/>
  <c r="BJ382" i="5"/>
  <c r="BJ176" i="5"/>
  <c r="BJ279" i="5"/>
  <c r="BJ193" i="5"/>
  <c r="BJ163" i="5"/>
  <c r="V357" i="5"/>
  <c r="V306" i="5"/>
  <c r="V270" i="5"/>
  <c r="V281" i="5"/>
  <c r="V380" i="5"/>
  <c r="V266" i="5"/>
  <c r="BJ318" i="5"/>
  <c r="V219" i="5"/>
  <c r="BJ241" i="5"/>
  <c r="BJ65" i="5"/>
  <c r="EO7" i="3"/>
  <c r="BJ58" i="5"/>
  <c r="AU148" i="5"/>
  <c r="AU279" i="5"/>
  <c r="V252" i="5"/>
  <c r="V336" i="5"/>
  <c r="AU90" i="5"/>
  <c r="AU62" i="5"/>
  <c r="AU128" i="5"/>
  <c r="AU104" i="5"/>
  <c r="AU216" i="5"/>
  <c r="EO8" i="3"/>
  <c r="BJ99" i="5"/>
  <c r="V258" i="5"/>
  <c r="AU97" i="5"/>
  <c r="AU352" i="5"/>
  <c r="V384" i="5"/>
  <c r="BJ34" i="5"/>
  <c r="AU368" i="5"/>
  <c r="V283" i="5"/>
  <c r="BJ285" i="5"/>
  <c r="AU53" i="5"/>
  <c r="AU237" i="5"/>
  <c r="AU291" i="5"/>
  <c r="AU87" i="5"/>
  <c r="V349" i="5"/>
  <c r="AU45" i="5"/>
  <c r="AU82" i="5"/>
  <c r="AU47" i="5"/>
  <c r="V383" i="5"/>
  <c r="V231" i="5"/>
  <c r="V321" i="5"/>
  <c r="BJ83" i="5"/>
  <c r="V360" i="5"/>
  <c r="V239" i="5"/>
  <c r="BJ239" i="5"/>
  <c r="AU32" i="5"/>
  <c r="V358" i="5"/>
  <c r="V396" i="5"/>
  <c r="V319" i="5"/>
  <c r="V269" i="5"/>
  <c r="V237" i="5"/>
  <c r="AU40" i="5"/>
  <c r="V408" i="5"/>
  <c r="V379" i="5"/>
  <c r="V296" i="5"/>
  <c r="AU64" i="5"/>
  <c r="V250" i="5"/>
  <c r="BJ47" i="5"/>
  <c r="AU120" i="5"/>
  <c r="V374" i="5"/>
  <c r="V398" i="5"/>
  <c r="V395" i="5"/>
  <c r="V345" i="5"/>
  <c r="V268" i="5"/>
  <c r="V303" i="5"/>
  <c r="V264" i="5"/>
  <c r="V308" i="5"/>
  <c r="BJ36" i="5"/>
  <c r="V370" i="5"/>
  <c r="V335" i="5"/>
  <c r="AU124" i="5"/>
  <c r="V272" i="5"/>
  <c r="AU111" i="5"/>
  <c r="V246" i="5"/>
  <c r="V334" i="5"/>
  <c r="V290" i="5"/>
  <c r="V333" i="5"/>
  <c r="AU30" i="5"/>
  <c r="V228" i="5"/>
  <c r="V224" i="5"/>
  <c r="V388" i="5"/>
  <c r="V277" i="5"/>
  <c r="V327" i="5"/>
  <c r="V257" i="5"/>
  <c r="V295" i="5"/>
  <c r="V261" i="5"/>
  <c r="BJ40" i="5"/>
  <c r="V243" i="5"/>
  <c r="V353" i="5"/>
  <c r="V391" i="5"/>
  <c r="V330" i="5"/>
  <c r="V265" i="5"/>
  <c r="V326" i="5"/>
  <c r="V242" i="5"/>
  <c r="V229" i="5"/>
  <c r="V397" i="5"/>
  <c r="V375" i="5"/>
  <c r="V278" i="5"/>
  <c r="V312" i="5"/>
  <c r="V251" i="5"/>
  <c r="AO309" i="3"/>
  <c r="AU55" i="5"/>
  <c r="AU37" i="5"/>
  <c r="AU41" i="5"/>
  <c r="AU42" i="5"/>
  <c r="V54" i="5"/>
  <c r="AU34" i="5"/>
  <c r="AU59" i="5"/>
  <c r="M456" i="20" a="1"/>
  <c r="M456" i="20" s="1"/>
  <c r="M450" i="20" a="1"/>
  <c r="M450" i="20" s="1"/>
  <c r="M435" i="20" a="1"/>
  <c r="M435" i="20" s="1"/>
  <c r="S16" i="24" s="1"/>
  <c r="M442" i="20" a="1"/>
  <c r="M442" i="20" s="1"/>
  <c r="M444" i="20" a="1"/>
  <c r="M444" i="20" s="1"/>
  <c r="M433" i="20" a="1"/>
  <c r="M433" i="20" s="1"/>
  <c r="S14" i="24" s="1"/>
  <c r="M436" i="20" a="1"/>
  <c r="M436" i="20" s="1"/>
  <c r="S17" i="24" s="1"/>
  <c r="M428" i="20" a="1"/>
  <c r="M428" i="20" s="1"/>
  <c r="M429" i="20" a="1"/>
  <c r="M429" i="20" s="1"/>
  <c r="S10" i="24" s="1"/>
  <c r="M448" i="20" a="1"/>
  <c r="M448" i="20" s="1"/>
  <c r="M437" i="20" a="1"/>
  <c r="M437" i="20" s="1"/>
  <c r="S18" i="24" s="1"/>
  <c r="M447" i="20" a="1"/>
  <c r="M447" i="20" s="1"/>
  <c r="M453" i="20" a="1"/>
  <c r="M453" i="20" s="1"/>
  <c r="M454" i="20" a="1"/>
  <c r="M454" i="20" s="1"/>
  <c r="M446" i="20" a="1"/>
  <c r="M446" i="20" s="1"/>
  <c r="M430" i="20" a="1"/>
  <c r="M430" i="20" s="1"/>
  <c r="S11" i="24" s="1"/>
  <c r="M431" i="20" a="1"/>
  <c r="M431" i="20" s="1"/>
  <c r="S12" i="24" s="1"/>
  <c r="M434" i="20" a="1"/>
  <c r="M434" i="20" s="1"/>
  <c r="S15" i="24" s="1"/>
  <c r="M443" i="20" a="1"/>
  <c r="M443" i="20" s="1"/>
  <c r="M441" i="20" a="1"/>
  <c r="M441" i="20" s="1"/>
  <c r="M449" i="20" a="1"/>
  <c r="M449" i="20" s="1"/>
  <c r="M438" i="20" a="1"/>
  <c r="M438" i="20" s="1"/>
  <c r="S19" i="24" s="1"/>
  <c r="M452" i="20" a="1"/>
  <c r="M452" i="20" s="1"/>
  <c r="M432" i="20" a="1"/>
  <c r="M432" i="20" s="1"/>
  <c r="S13" i="24" s="1"/>
  <c r="M451" i="20" a="1"/>
  <c r="M451" i="20" s="1"/>
  <c r="M440" i="20" a="1"/>
  <c r="M440" i="20" s="1"/>
  <c r="S21" i="24" s="1"/>
  <c r="M439" i="20" a="1"/>
  <c r="M439" i="20" s="1"/>
  <c r="S20" i="24" s="1"/>
  <c r="M445" i="20" a="1"/>
  <c r="M445" i="20" s="1"/>
  <c r="M455" i="20" a="1"/>
  <c r="M455" i="20" s="1"/>
  <c r="AP15" i="3"/>
  <c r="BD15" i="3"/>
  <c r="O15" i="5"/>
  <c r="AP27" i="3"/>
  <c r="BD27" i="3"/>
  <c r="O27" i="5"/>
  <c r="AP28" i="3"/>
  <c r="BD28" i="3"/>
  <c r="AP20" i="3"/>
  <c r="BD20" i="3"/>
  <c r="O20" i="5"/>
  <c r="BR265" i="3" l="1"/>
  <c r="BR250" i="3"/>
  <c r="BR185" i="3"/>
  <c r="B351" i="13"/>
  <c r="K51" i="13"/>
  <c r="M51" i="13" s="1"/>
  <c r="B51" i="13"/>
  <c r="B352" i="13"/>
  <c r="B52" i="13"/>
  <c r="K52" i="13"/>
  <c r="Q52" i="13" s="1"/>
  <c r="V52" i="13" s="1"/>
  <c r="BS37" i="3"/>
  <c r="BR80" i="3"/>
  <c r="BI80" i="3" s="1"/>
  <c r="BR182" i="3"/>
  <c r="BR63" i="3"/>
  <c r="BI63" i="3" s="1"/>
  <c r="BR101" i="3"/>
  <c r="BI101" i="3" s="1"/>
  <c r="BR244" i="3"/>
  <c r="BR155" i="3"/>
  <c r="BR79" i="3"/>
  <c r="BI79" i="3" s="1"/>
  <c r="BR260" i="3"/>
  <c r="BI260" i="3" s="1"/>
  <c r="BR304" i="3"/>
  <c r="BI304" i="3" s="1"/>
  <c r="BR71" i="3"/>
  <c r="BR287" i="3"/>
  <c r="BR100" i="3"/>
  <c r="BI100" i="3" s="1"/>
  <c r="BR166" i="3"/>
  <c r="BI166" i="3" s="1"/>
  <c r="BR97" i="3"/>
  <c r="BR139" i="3"/>
  <c r="BI139" i="3" s="1"/>
  <c r="BR151" i="3"/>
  <c r="BI151" i="3" s="1"/>
  <c r="BR98" i="3"/>
  <c r="BI98" i="3" s="1"/>
  <c r="BR200" i="3"/>
  <c r="BR237" i="3"/>
  <c r="BR93" i="3"/>
  <c r="BI93" i="3" s="1"/>
  <c r="BR271" i="3"/>
  <c r="BR148" i="3"/>
  <c r="BR191" i="3"/>
  <c r="BI191" i="3" s="1"/>
  <c r="BR59" i="3"/>
  <c r="BI59" i="3" s="1"/>
  <c r="BR263" i="3"/>
  <c r="BI263" i="3" s="1"/>
  <c r="BR184" i="3"/>
  <c r="BR228" i="3"/>
  <c r="BR272" i="3"/>
  <c r="BR195" i="3"/>
  <c r="BR276" i="3"/>
  <c r="BR179" i="3"/>
  <c r="BI179" i="3" s="1"/>
  <c r="BR86" i="3"/>
  <c r="BI86" i="3" s="1"/>
  <c r="BR146" i="3"/>
  <c r="BI146" i="3" s="1"/>
  <c r="BR103" i="3"/>
  <c r="BR88" i="3"/>
  <c r="BI88" i="3" s="1"/>
  <c r="BR112" i="3"/>
  <c r="BI112" i="3" s="1"/>
  <c r="BR156" i="3"/>
  <c r="BI156" i="3" s="1"/>
  <c r="BR149" i="3"/>
  <c r="BR160" i="3"/>
  <c r="BI160" i="3" s="1"/>
  <c r="BR134" i="3"/>
  <c r="BI134" i="3" s="1"/>
  <c r="BR171" i="3"/>
  <c r="BI171" i="3" s="1"/>
  <c r="BR202" i="3"/>
  <c r="BR145" i="3"/>
  <c r="BI145" i="3" s="1"/>
  <c r="BR194" i="3"/>
  <c r="BI194" i="3" s="1"/>
  <c r="BR190" i="3"/>
  <c r="BI190" i="3" s="1"/>
  <c r="BR209" i="3"/>
  <c r="BR303" i="3"/>
  <c r="BI303" i="3" s="1"/>
  <c r="BR222" i="3"/>
  <c r="BI222" i="3" s="1"/>
  <c r="BR261" i="3"/>
  <c r="BI261" i="3" s="1"/>
  <c r="AW29" i="3"/>
  <c r="AR48" i="3"/>
  <c r="CM48" i="3" s="1"/>
  <c r="O51" i="13"/>
  <c r="P51" i="13" s="1"/>
  <c r="BR49" i="3"/>
  <c r="AL49" i="3"/>
  <c r="BR48" i="3"/>
  <c r="BI48" i="3" s="1"/>
  <c r="AL48" i="3"/>
  <c r="BR242" i="3"/>
  <c r="BI242" i="3" s="1"/>
  <c r="BR57" i="3"/>
  <c r="BI57" i="3" s="1"/>
  <c r="BR229" i="3"/>
  <c r="BI229" i="3" s="1"/>
  <c r="BR91" i="3"/>
  <c r="BI91" i="3" s="1"/>
  <c r="BR135" i="3"/>
  <c r="BR173" i="3"/>
  <c r="BI173" i="3" s="1"/>
  <c r="BR94" i="3"/>
  <c r="BI94" i="3" s="1"/>
  <c r="BR107" i="3"/>
  <c r="BI107" i="3" s="1"/>
  <c r="BR89" i="3"/>
  <c r="BI89" i="3" s="1"/>
  <c r="BR285" i="3"/>
  <c r="BI285" i="3" s="1"/>
  <c r="BR137" i="3"/>
  <c r="BI137" i="3" s="1"/>
  <c r="BR307" i="3"/>
  <c r="BI307" i="3" s="1"/>
  <c r="BR138" i="3"/>
  <c r="BR247" i="3"/>
  <c r="BI247" i="3" s="1"/>
  <c r="BR296" i="3"/>
  <c r="BR269" i="3"/>
  <c r="BI269" i="3" s="1"/>
  <c r="BR178" i="3"/>
  <c r="BI178" i="3" s="1"/>
  <c r="BR196" i="3"/>
  <c r="BI196" i="3" s="1"/>
  <c r="BR163" i="3"/>
  <c r="BI163" i="3" s="1"/>
  <c r="BR223" i="3"/>
  <c r="BI223" i="3" s="1"/>
  <c r="BR218" i="3"/>
  <c r="BR192" i="3"/>
  <c r="BI192" i="3" s="1"/>
  <c r="BR51" i="3"/>
  <c r="BI51" i="3" s="1"/>
  <c r="BR253" i="3"/>
  <c r="BI253" i="3" s="1"/>
  <c r="BR302" i="3"/>
  <c r="BI302" i="3" s="1"/>
  <c r="BR82" i="3"/>
  <c r="BI82" i="3" s="1"/>
  <c r="L455" i="20" a="1"/>
  <c r="L455" i="20" s="1"/>
  <c r="L36" i="24" s="1"/>
  <c r="S36" i="24"/>
  <c r="L449" i="20" a="1"/>
  <c r="L449" i="20" s="1"/>
  <c r="L30" i="24" s="1"/>
  <c r="S30" i="24"/>
  <c r="L453" i="20" a="1"/>
  <c r="L453" i="20" s="1"/>
  <c r="L34" i="24" s="1"/>
  <c r="S34" i="24"/>
  <c r="L444" i="20" a="1"/>
  <c r="L444" i="20" s="1"/>
  <c r="L25" i="24" s="1"/>
  <c r="S25" i="24"/>
  <c r="BR298" i="3"/>
  <c r="BI298" i="3" s="1"/>
  <c r="BR289" i="3"/>
  <c r="BI289" i="3" s="1"/>
  <c r="BR140" i="3"/>
  <c r="L445" i="20" a="1"/>
  <c r="L445" i="20" s="1"/>
  <c r="L26" i="24" s="1"/>
  <c r="S26" i="24"/>
  <c r="L441" i="20" a="1"/>
  <c r="L441" i="20" s="1"/>
  <c r="L22" i="24" s="1"/>
  <c r="S22" i="24"/>
  <c r="L447" i="20" a="1"/>
  <c r="L447" i="20" s="1"/>
  <c r="L28" i="24" s="1"/>
  <c r="S28" i="24"/>
  <c r="L442" i="20" a="1"/>
  <c r="L442" i="20" s="1"/>
  <c r="L23" i="24" s="1"/>
  <c r="S23" i="24"/>
  <c r="BR206" i="3"/>
  <c r="BI206" i="3" s="1"/>
  <c r="BR62" i="3"/>
  <c r="BI62" i="3" s="1"/>
  <c r="BR150" i="3"/>
  <c r="BI150" i="3" s="1"/>
  <c r="BR81" i="3"/>
  <c r="BI81" i="3" s="1"/>
  <c r="BR175" i="3"/>
  <c r="BI175" i="3" s="1"/>
  <c r="BR251" i="3"/>
  <c r="BI251" i="3" s="1"/>
  <c r="BR204" i="3"/>
  <c r="BI204" i="3" s="1"/>
  <c r="BR133" i="3"/>
  <c r="L443" i="20" a="1"/>
  <c r="L443" i="20" s="1"/>
  <c r="L24" i="24" s="1"/>
  <c r="S24" i="24"/>
  <c r="BR60" i="3"/>
  <c r="BI60" i="3" s="1"/>
  <c r="BR168" i="3"/>
  <c r="BI168" i="3" s="1"/>
  <c r="BR167" i="3"/>
  <c r="BI167" i="3" s="1"/>
  <c r="BR205" i="3"/>
  <c r="BI205" i="3" s="1"/>
  <c r="BR99" i="3"/>
  <c r="BI99" i="3" s="1"/>
  <c r="BR277" i="3"/>
  <c r="BR274" i="3"/>
  <c r="BI274" i="3" s="1"/>
  <c r="L448" i="20" a="1"/>
  <c r="L448" i="20" s="1"/>
  <c r="L29" i="24" s="1"/>
  <c r="S29" i="24"/>
  <c r="L450" i="20" a="1"/>
  <c r="L450" i="20" s="1"/>
  <c r="L31" i="24" s="1"/>
  <c r="S31" i="24"/>
  <c r="BR188" i="3"/>
  <c r="BI188" i="3" s="1"/>
  <c r="BR241" i="3"/>
  <c r="BI241" i="3" s="1"/>
  <c r="BR216" i="3"/>
  <c r="BR240" i="3"/>
  <c r="BI240" i="3" s="1"/>
  <c r="BR278" i="3"/>
  <c r="BI278" i="3" s="1"/>
  <c r="BR288" i="3"/>
  <c r="BI288" i="3" s="1"/>
  <c r="BR129" i="3"/>
  <c r="BI129" i="3" s="1"/>
  <c r="BR281" i="3"/>
  <c r="BI281" i="3" s="1"/>
  <c r="BR283" i="3"/>
  <c r="BI283" i="3" s="1"/>
  <c r="BR295" i="3"/>
  <c r="BI295" i="3" s="1"/>
  <c r="BR267" i="3"/>
  <c r="BR109" i="3"/>
  <c r="BI109" i="3" s="1"/>
  <c r="L454" i="20" a="1"/>
  <c r="L454" i="20" s="1"/>
  <c r="L35" i="24" s="1"/>
  <c r="S35" i="24"/>
  <c r="L451" i="20" a="1"/>
  <c r="L451" i="20" s="1"/>
  <c r="L32" i="24" s="1"/>
  <c r="S32" i="24"/>
  <c r="L456" i="20" a="1"/>
  <c r="L456" i="20" s="1"/>
  <c r="L37" i="24" s="1"/>
  <c r="S37" i="24"/>
  <c r="BR292" i="3"/>
  <c r="BR143" i="3"/>
  <c r="BI143" i="3" s="1"/>
  <c r="BR172" i="3"/>
  <c r="BI172" i="3" s="1"/>
  <c r="BR87" i="3"/>
  <c r="BI87" i="3" s="1"/>
  <c r="BR291" i="3"/>
  <c r="BI291" i="3" s="1"/>
  <c r="BR211" i="3"/>
  <c r="BI211" i="3" s="1"/>
  <c r="L452" i="20" a="1"/>
  <c r="L452" i="20" s="1"/>
  <c r="L33" i="24" s="1"/>
  <c r="S33" i="24"/>
  <c r="L446" i="20" a="1"/>
  <c r="L446" i="20" s="1"/>
  <c r="L27" i="24" s="1"/>
  <c r="S27" i="24"/>
  <c r="BR144" i="3"/>
  <c r="BI144" i="3" s="1"/>
  <c r="BR246" i="3"/>
  <c r="BI246" i="3" s="1"/>
  <c r="BR84" i="3"/>
  <c r="BI84" i="3" s="1"/>
  <c r="BR127" i="3"/>
  <c r="BI127" i="3" s="1"/>
  <c r="BR262" i="3"/>
  <c r="BI262" i="3" s="1"/>
  <c r="BR199" i="3"/>
  <c r="BI199" i="3" s="1"/>
  <c r="BR56" i="3"/>
  <c r="BR52" i="3"/>
  <c r="BI52" i="3" s="1"/>
  <c r="BR106" i="3"/>
  <c r="BI106" i="3" s="1"/>
  <c r="BR177" i="3"/>
  <c r="BI177" i="3" s="1"/>
  <c r="BR161" i="3"/>
  <c r="BI161" i="3" s="1"/>
  <c r="BR290" i="3"/>
  <c r="BI290" i="3" s="1"/>
  <c r="BR95" i="3"/>
  <c r="BI95" i="3" s="1"/>
  <c r="BR258" i="3"/>
  <c r="BI258" i="3" s="1"/>
  <c r="BR108" i="3"/>
  <c r="BR254" i="3"/>
  <c r="BI254" i="3" s="1"/>
  <c r="BR273" i="3"/>
  <c r="BI273" i="3" s="1"/>
  <c r="BR110" i="3"/>
  <c r="BI110" i="3" s="1"/>
  <c r="BR180" i="3"/>
  <c r="BI180" i="3" s="1"/>
  <c r="BR147" i="3"/>
  <c r="BI147" i="3" s="1"/>
  <c r="BR65" i="3"/>
  <c r="BI65" i="3" s="1"/>
  <c r="BR170" i="3"/>
  <c r="BI170" i="3" s="1"/>
  <c r="BR113" i="3"/>
  <c r="BR207" i="3"/>
  <c r="BI207" i="3" s="1"/>
  <c r="BR154" i="3"/>
  <c r="BI154" i="3" s="1"/>
  <c r="BR128" i="3"/>
  <c r="BI128" i="3" s="1"/>
  <c r="BR165" i="3"/>
  <c r="BI165" i="3" s="1"/>
  <c r="BR225" i="3"/>
  <c r="BI225" i="3" s="1"/>
  <c r="BR189" i="3"/>
  <c r="BI189" i="3" s="1"/>
  <c r="BR284" i="3"/>
  <c r="BI284" i="3" s="1"/>
  <c r="BR164" i="3"/>
  <c r="BR230" i="3"/>
  <c r="BI230" i="3" s="1"/>
  <c r="BR203" i="3"/>
  <c r="BR249" i="3"/>
  <c r="BI249" i="3" s="1"/>
  <c r="BR162" i="3"/>
  <c r="BI162" i="3" s="1"/>
  <c r="BR264" i="3"/>
  <c r="BI264" i="3" s="1"/>
  <c r="BR286" i="3"/>
  <c r="BI286" i="3" s="1"/>
  <c r="BR157" i="3"/>
  <c r="BI157" i="3" s="1"/>
  <c r="BR305" i="3"/>
  <c r="BR142" i="3"/>
  <c r="BI142" i="3" s="1"/>
  <c r="BR293" i="3"/>
  <c r="BI293" i="3" s="1"/>
  <c r="BR243" i="3"/>
  <c r="BI243" i="3" s="1"/>
  <c r="BR111" i="3"/>
  <c r="BI111" i="3" s="1"/>
  <c r="BR187" i="3"/>
  <c r="BI187" i="3" s="1"/>
  <c r="BR248" i="3"/>
  <c r="BI248" i="3" s="1"/>
  <c r="BR69" i="3"/>
  <c r="BI69" i="3" s="1"/>
  <c r="BR55" i="3"/>
  <c r="BR259" i="3"/>
  <c r="BI259" i="3" s="1"/>
  <c r="BR104" i="3"/>
  <c r="BR141" i="3"/>
  <c r="BI141" i="3" s="1"/>
  <c r="BR68" i="3"/>
  <c r="BI68" i="3" s="1"/>
  <c r="BR210" i="3"/>
  <c r="BI210" i="3" s="1"/>
  <c r="BR153" i="3"/>
  <c r="BI153" i="3" s="1"/>
  <c r="BR183" i="3"/>
  <c r="BR201" i="3"/>
  <c r="BR152" i="3"/>
  <c r="BI152" i="3" s="1"/>
  <c r="BR132" i="3"/>
  <c r="BI132" i="3" s="1"/>
  <c r="BR176" i="3"/>
  <c r="BI176" i="3" s="1"/>
  <c r="BR238" i="3"/>
  <c r="BI238" i="3" s="1"/>
  <c r="BR58" i="3"/>
  <c r="BI58" i="3" s="1"/>
  <c r="BR224" i="3"/>
  <c r="BI224" i="3" s="1"/>
  <c r="BR198" i="3"/>
  <c r="BI198" i="3" s="1"/>
  <c r="BR235" i="3"/>
  <c r="BR217" i="3"/>
  <c r="BI217" i="3" s="1"/>
  <c r="BR53" i="3"/>
  <c r="BI53" i="3" s="1"/>
  <c r="BR219" i="3"/>
  <c r="BI219" i="3" s="1"/>
  <c r="BR231" i="3"/>
  <c r="BI231" i="3" s="1"/>
  <c r="BR266" i="3"/>
  <c r="BI266" i="3" s="1"/>
  <c r="BR186" i="3"/>
  <c r="BI186" i="3" s="1"/>
  <c r="BR308" i="3"/>
  <c r="BI308" i="3" s="1"/>
  <c r="AW25" i="3"/>
  <c r="BV151" i="3"/>
  <c r="BV112" i="3"/>
  <c r="BV156" i="3"/>
  <c r="BV132" i="3"/>
  <c r="BV144" i="3"/>
  <c r="BV196" i="3"/>
  <c r="BV146" i="3"/>
  <c r="BV135" i="3"/>
  <c r="BV107" i="3"/>
  <c r="BV190" i="3"/>
  <c r="BV153" i="3"/>
  <c r="BV96" i="3"/>
  <c r="BV192" i="3"/>
  <c r="BV125" i="3"/>
  <c r="BV134" i="3"/>
  <c r="D556" i="13"/>
  <c r="AP19" i="3"/>
  <c r="O22" i="13" s="1"/>
  <c r="P22" i="13" s="1"/>
  <c r="AW19" i="3"/>
  <c r="AW9" i="3"/>
  <c r="D383" i="13"/>
  <c r="D358" i="13"/>
  <c r="D518" i="13"/>
  <c r="D589" i="13"/>
  <c r="D516" i="13"/>
  <c r="D467" i="13"/>
  <c r="D506" i="13"/>
  <c r="D567" i="13"/>
  <c r="D366" i="13"/>
  <c r="D517" i="13"/>
  <c r="D444" i="13"/>
  <c r="D547" i="13"/>
  <c r="D431" i="13"/>
  <c r="D413" i="13"/>
  <c r="D372" i="13"/>
  <c r="D435" i="13"/>
  <c r="D490" i="13"/>
  <c r="D551" i="13"/>
  <c r="D501" i="13"/>
  <c r="D492" i="13"/>
  <c r="D411" i="13"/>
  <c r="D611" i="13"/>
  <c r="D546" i="13"/>
  <c r="D479" i="13"/>
  <c r="D534" i="13"/>
  <c r="D557" i="13"/>
  <c r="D587" i="13"/>
  <c r="D407" i="13"/>
  <c r="D414" i="13"/>
  <c r="D485" i="13"/>
  <c r="D596" i="13"/>
  <c r="D455" i="13"/>
  <c r="D533" i="13"/>
  <c r="D460" i="13"/>
  <c r="D483" i="13"/>
  <c r="D450" i="13"/>
  <c r="D527" i="13"/>
  <c r="D404" i="13"/>
  <c r="D522" i="13"/>
  <c r="D465" i="13"/>
  <c r="D457" i="13"/>
  <c r="D416" i="13"/>
  <c r="D486" i="13"/>
  <c r="D513" i="13"/>
  <c r="D528" i="13"/>
  <c r="D562" i="13"/>
  <c r="D569" i="13"/>
  <c r="D520" i="13"/>
  <c r="D468" i="13"/>
  <c r="D561" i="13"/>
  <c r="D576" i="13"/>
  <c r="D356" i="13"/>
  <c r="D608" i="13"/>
  <c r="D447" i="13"/>
  <c r="D478" i="13"/>
  <c r="D365" i="13"/>
  <c r="D580" i="13"/>
  <c r="D475" i="13"/>
  <c r="D375" i="13"/>
  <c r="D390" i="13"/>
  <c r="D581" i="13"/>
  <c r="D538" i="13"/>
  <c r="D510" i="13"/>
  <c r="D424" i="13"/>
  <c r="D511" i="13"/>
  <c r="D558" i="13"/>
  <c r="D429" i="13"/>
  <c r="D388" i="13"/>
  <c r="D439" i="13"/>
  <c r="D542" i="13"/>
  <c r="D357" i="13"/>
  <c r="D462" i="13"/>
  <c r="D572" i="13"/>
  <c r="D370" i="13"/>
  <c r="D559" i="13"/>
  <c r="D573" i="13"/>
  <c r="D500" i="13"/>
  <c r="D539" i="13"/>
  <c r="D423" i="13"/>
  <c r="D364" i="13"/>
  <c r="D604" i="13"/>
  <c r="D427" i="13"/>
  <c r="D418" i="13"/>
  <c r="D351" i="13"/>
  <c r="D599" i="13"/>
  <c r="D550" i="13"/>
  <c r="D397" i="13"/>
  <c r="D484" i="13"/>
  <c r="D410" i="13"/>
  <c r="D369" i="13"/>
  <c r="D535" i="13"/>
  <c r="D555" i="13"/>
  <c r="D456" i="13"/>
  <c r="D406" i="13"/>
  <c r="D525" i="13"/>
  <c r="D452" i="13"/>
  <c r="D459" i="13"/>
  <c r="D442" i="13"/>
  <c r="D503" i="13"/>
  <c r="D590" i="13"/>
  <c r="D430" i="13"/>
  <c r="D395" i="13"/>
  <c r="D371" i="13"/>
  <c r="D575" i="13"/>
  <c r="D445" i="13"/>
  <c r="D488" i="13"/>
  <c r="D597" i="13"/>
  <c r="D509" i="13"/>
  <c r="D436" i="13"/>
  <c r="D443" i="13"/>
  <c r="D605" i="13"/>
  <c r="D387" i="13"/>
  <c r="D471" i="13"/>
  <c r="D549" i="13"/>
  <c r="D412" i="13"/>
  <c r="D524" i="13"/>
  <c r="D432" i="13"/>
  <c r="D570" i="13"/>
  <c r="D385" i="13"/>
  <c r="D601" i="13"/>
  <c r="D363" i="13"/>
  <c r="D536" i="13"/>
  <c r="D526" i="13"/>
  <c r="D553" i="13"/>
  <c r="D354" i="13"/>
  <c r="D610" i="13"/>
  <c r="D417" i="13"/>
  <c r="D419" i="13"/>
  <c r="D446" i="13"/>
  <c r="D565" i="13"/>
  <c r="D584" i="13"/>
  <c r="D394" i="13"/>
  <c r="D577" i="13"/>
  <c r="D592" i="13"/>
  <c r="D521" i="13"/>
  <c r="D438" i="13"/>
  <c r="D476" i="13"/>
  <c r="D515" i="13"/>
  <c r="D583" i="13"/>
  <c r="D373" i="13"/>
  <c r="D461" i="13"/>
  <c r="D582" i="13"/>
  <c r="D588" i="13"/>
  <c r="D499" i="13"/>
  <c r="D578" i="13"/>
  <c r="D571" i="13"/>
  <c r="D353" i="13"/>
  <c r="D600" i="13"/>
  <c r="D585" i="13"/>
  <c r="D602" i="13"/>
  <c r="D441" i="13"/>
  <c r="D472" i="13"/>
  <c r="D554" i="13"/>
  <c r="D491" i="13"/>
  <c r="D502" i="13"/>
  <c r="D433" i="13"/>
  <c r="D508" i="13"/>
  <c r="D470" i="13"/>
  <c r="D376" i="13"/>
  <c r="D591" i="13"/>
  <c r="D359" i="13"/>
  <c r="D420" i="13"/>
  <c r="D496" i="13"/>
  <c r="D593" i="13"/>
  <c r="D458" i="13"/>
  <c r="D464" i="13"/>
  <c r="D594" i="13"/>
  <c r="D545" i="13"/>
  <c r="D399" i="13"/>
  <c r="D381" i="13"/>
  <c r="D532" i="13"/>
  <c r="D440" i="13"/>
  <c r="D355" i="13"/>
  <c r="D481" i="13"/>
  <c r="D434" i="13"/>
  <c r="D421" i="13"/>
  <c r="D380" i="13"/>
  <c r="D451" i="13"/>
  <c r="D367" i="13"/>
  <c r="D607" i="13"/>
  <c r="D574" i="13"/>
  <c r="D362" i="13"/>
  <c r="D487" i="13"/>
  <c r="D428" i="13"/>
  <c r="D403" i="13"/>
  <c r="D531" i="13"/>
  <c r="D482" i="13"/>
  <c r="D415" i="13"/>
  <c r="D382" i="13"/>
  <c r="D606" i="13"/>
  <c r="D493" i="13"/>
  <c r="D523" i="13"/>
  <c r="D494" i="13"/>
  <c r="D566" i="13"/>
  <c r="D540" i="13"/>
  <c r="D579" i="13"/>
  <c r="D374" i="13"/>
  <c r="D469" i="13"/>
  <c r="D396" i="13"/>
  <c r="D477" i="13"/>
  <c r="D603" i="13"/>
  <c r="D401" i="13"/>
  <c r="D352" i="13"/>
  <c r="D393" i="13"/>
  <c r="D463" i="13"/>
  <c r="D408" i="13"/>
  <c r="D560" i="13"/>
  <c r="D498" i="13"/>
  <c r="D505" i="13"/>
  <c r="D400" i="13"/>
  <c r="D497" i="13"/>
  <c r="D512" i="13"/>
  <c r="D507" i="13"/>
  <c r="D409" i="13"/>
  <c r="D598" i="13"/>
  <c r="D495" i="13"/>
  <c r="D529" i="13"/>
  <c r="D466" i="13"/>
  <c r="D480" i="13"/>
  <c r="D398" i="13"/>
  <c r="D568" i="13"/>
  <c r="D537" i="13"/>
  <c r="D391" i="13"/>
  <c r="D474" i="13"/>
  <c r="D384" i="13"/>
  <c r="D543" i="13"/>
  <c r="D564" i="13"/>
  <c r="D541" i="13"/>
  <c r="D489" i="13"/>
  <c r="D504" i="13"/>
  <c r="D361" i="13"/>
  <c r="D530" i="13"/>
  <c r="D473" i="13"/>
  <c r="D552" i="13"/>
  <c r="D563" i="13"/>
  <c r="D449" i="13"/>
  <c r="D402" i="13"/>
  <c r="D368" i="13"/>
  <c r="D548" i="13"/>
  <c r="D392" i="13"/>
  <c r="D453" i="13"/>
  <c r="D609" i="13"/>
  <c r="D437" i="13"/>
  <c r="D586" i="13"/>
  <c r="D544" i="13"/>
  <c r="D454" i="13"/>
  <c r="D519" i="13"/>
  <c r="D595" i="13"/>
  <c r="D360" i="13"/>
  <c r="D405" i="13"/>
  <c r="D514" i="13"/>
  <c r="D448" i="13"/>
  <c r="D389" i="13"/>
  <c r="AW10" i="3"/>
  <c r="EF8" i="3"/>
  <c r="EK8" i="3"/>
  <c r="EE8" i="3"/>
  <c r="B318" i="13"/>
  <c r="B18" i="13"/>
  <c r="B331" i="13"/>
  <c r="B31" i="13"/>
  <c r="K42" i="13"/>
  <c r="M42" i="13" s="1"/>
  <c r="B342" i="13"/>
  <c r="B42" i="13"/>
  <c r="K46" i="13"/>
  <c r="M46" i="13" s="1"/>
  <c r="B346" i="13"/>
  <c r="B46" i="13"/>
  <c r="K50" i="13"/>
  <c r="B50" i="13"/>
  <c r="B350" i="13"/>
  <c r="CU14" i="22"/>
  <c r="CS14" i="22"/>
  <c r="B326" i="13"/>
  <c r="B26" i="13"/>
  <c r="B20" i="13"/>
  <c r="B320" i="13"/>
  <c r="K49" i="13"/>
  <c r="Q49" i="13" s="1"/>
  <c r="B349" i="13"/>
  <c r="B49" i="13"/>
  <c r="K39" i="13"/>
  <c r="B339" i="13"/>
  <c r="B39" i="13"/>
  <c r="CQ13" i="22"/>
  <c r="B321" i="13"/>
  <c r="B21" i="13"/>
  <c r="B28" i="13"/>
  <c r="B328" i="13"/>
  <c r="K47" i="13"/>
  <c r="B347" i="13"/>
  <c r="B47" i="13"/>
  <c r="K38" i="13"/>
  <c r="M38" i="13" s="1"/>
  <c r="B338" i="13"/>
  <c r="B38" i="13"/>
  <c r="CS13" i="22"/>
  <c r="B16" i="13"/>
  <c r="B316" i="13"/>
  <c r="B22" i="13"/>
  <c r="B322" i="13"/>
  <c r="L50" i="13"/>
  <c r="K48" i="13"/>
  <c r="B348" i="13"/>
  <c r="B48" i="13"/>
  <c r="K37" i="13"/>
  <c r="B337" i="13"/>
  <c r="B37" i="13"/>
  <c r="CT14" i="22"/>
  <c r="B324" i="13"/>
  <c r="B24" i="13"/>
  <c r="B312" i="13"/>
  <c r="B12" i="13"/>
  <c r="B314" i="13"/>
  <c r="B14" i="13"/>
  <c r="B317" i="13"/>
  <c r="B17" i="13"/>
  <c r="B330" i="13"/>
  <c r="B30" i="13"/>
  <c r="K43" i="13"/>
  <c r="M43" i="13" s="1"/>
  <c r="B343" i="13"/>
  <c r="B43" i="13"/>
  <c r="K41" i="13"/>
  <c r="B41" i="13"/>
  <c r="B341" i="13"/>
  <c r="CT13" i="22"/>
  <c r="B315" i="13"/>
  <c r="B15" i="13"/>
  <c r="B25" i="13"/>
  <c r="B325" i="13"/>
  <c r="B329" i="13"/>
  <c r="B29" i="13"/>
  <c r="K44" i="13"/>
  <c r="B344" i="13"/>
  <c r="B44" i="13"/>
  <c r="K36" i="13"/>
  <c r="B336" i="13"/>
  <c r="B36" i="13"/>
  <c r="K40" i="13"/>
  <c r="M40" i="13" s="1"/>
  <c r="B40" i="13"/>
  <c r="B340" i="13"/>
  <c r="CQ14" i="22"/>
  <c r="B13" i="13"/>
  <c r="B313" i="13"/>
  <c r="B23" i="13"/>
  <c r="B323" i="13"/>
  <c r="K45" i="13"/>
  <c r="Q45" i="13" s="1"/>
  <c r="V45" i="13" s="1"/>
  <c r="B345" i="13"/>
  <c r="B45" i="13"/>
  <c r="CR13" i="22"/>
  <c r="CU13" i="22"/>
  <c r="CR14" i="22"/>
  <c r="BA39" i="3"/>
  <c r="DW39" i="3" s="1"/>
  <c r="D342" i="13"/>
  <c r="BA41" i="3"/>
  <c r="D344" i="13"/>
  <c r="BA43" i="3"/>
  <c r="D346" i="13"/>
  <c r="L48" i="13"/>
  <c r="M48" i="13" s="1"/>
  <c r="L37" i="13"/>
  <c r="L47" i="13"/>
  <c r="L39" i="13"/>
  <c r="L41" i="13"/>
  <c r="L44" i="13"/>
  <c r="L36" i="13"/>
  <c r="CN132" i="3"/>
  <c r="CN144" i="3"/>
  <c r="CN196" i="3"/>
  <c r="CN146" i="3"/>
  <c r="CN135" i="3"/>
  <c r="CN107" i="3"/>
  <c r="CN190" i="3"/>
  <c r="CN153" i="3"/>
  <c r="CN96" i="3"/>
  <c r="CN192" i="3"/>
  <c r="CN125" i="3"/>
  <c r="CN134" i="3"/>
  <c r="CN151" i="3"/>
  <c r="CN112" i="3"/>
  <c r="CN156" i="3"/>
  <c r="AW47" i="3"/>
  <c r="CE47" i="3" s="1"/>
  <c r="AH16" i="3"/>
  <c r="AH29" i="3"/>
  <c r="AW45" i="3"/>
  <c r="AW42" i="3"/>
  <c r="CE42" i="3" s="1"/>
  <c r="AH24" i="3"/>
  <c r="AW24" i="3" s="1"/>
  <c r="AH30" i="3"/>
  <c r="AH31" i="3"/>
  <c r="AH32" i="3"/>
  <c r="AW46" i="3"/>
  <c r="CE46" i="3" s="1"/>
  <c r="AW40" i="3"/>
  <c r="CE40" i="3" s="1"/>
  <c r="AR42" i="3"/>
  <c r="AP34" i="3"/>
  <c r="BS34" i="3" s="1"/>
  <c r="AW34" i="3"/>
  <c r="AP16" i="3"/>
  <c r="O19" i="13" s="1"/>
  <c r="P19" i="13" s="1"/>
  <c r="AW16" i="3"/>
  <c r="AW22" i="3"/>
  <c r="AP18" i="3"/>
  <c r="O21" i="13" s="1"/>
  <c r="P21" i="13" s="1"/>
  <c r="AW18" i="3"/>
  <c r="AW23" i="3"/>
  <c r="AP17" i="3"/>
  <c r="O20" i="13" s="1"/>
  <c r="P20" i="13" s="1"/>
  <c r="AW17" i="3"/>
  <c r="AP21" i="3"/>
  <c r="O24" i="13" s="1"/>
  <c r="P24" i="13" s="1"/>
  <c r="AW21" i="3"/>
  <c r="AW14" i="3"/>
  <c r="AW26" i="3"/>
  <c r="AP13" i="3"/>
  <c r="O16" i="13" s="1"/>
  <c r="P16" i="13" s="1"/>
  <c r="AW13" i="3"/>
  <c r="AW35" i="3"/>
  <c r="AW11" i="3"/>
  <c r="BZ96" i="3"/>
  <c r="CA96" i="3"/>
  <c r="BY96" i="3"/>
  <c r="CA192" i="3"/>
  <c r="BY192" i="3"/>
  <c r="BZ192" i="3"/>
  <c r="BZ125" i="3"/>
  <c r="CA125" i="3"/>
  <c r="BY125" i="3"/>
  <c r="CA134" i="3"/>
  <c r="BZ134" i="3"/>
  <c r="BY134" i="3"/>
  <c r="BY151" i="3"/>
  <c r="BZ151" i="3"/>
  <c r="CA151" i="3"/>
  <c r="BZ112" i="3"/>
  <c r="CA112" i="3"/>
  <c r="BY112" i="3"/>
  <c r="BZ156" i="3"/>
  <c r="CA156" i="3"/>
  <c r="BY156" i="3"/>
  <c r="CA132" i="3"/>
  <c r="BZ132" i="3"/>
  <c r="BY132" i="3"/>
  <c r="CA144" i="3"/>
  <c r="BY144" i="3"/>
  <c r="BZ144" i="3"/>
  <c r="CA196" i="3"/>
  <c r="BZ196" i="3"/>
  <c r="BY196" i="3"/>
  <c r="BZ146" i="3"/>
  <c r="BY146" i="3"/>
  <c r="CA146" i="3"/>
  <c r="BZ135" i="3"/>
  <c r="CA135" i="3"/>
  <c r="BY135" i="3"/>
  <c r="CA107" i="3"/>
  <c r="BZ107" i="3"/>
  <c r="BY107" i="3"/>
  <c r="BY190" i="3"/>
  <c r="CA190" i="3"/>
  <c r="BZ190" i="3"/>
  <c r="CA153" i="3"/>
  <c r="BZ153" i="3"/>
  <c r="BY153" i="3"/>
  <c r="BW96" i="3"/>
  <c r="BW192" i="3"/>
  <c r="BW125" i="3"/>
  <c r="BW134" i="3"/>
  <c r="BW151" i="3"/>
  <c r="BW112" i="3"/>
  <c r="BW156" i="3"/>
  <c r="BW132" i="3"/>
  <c r="BW144" i="3"/>
  <c r="BW196" i="3"/>
  <c r="BW146" i="3"/>
  <c r="BW135" i="3"/>
  <c r="BW107" i="3"/>
  <c r="BW190" i="3"/>
  <c r="BW153" i="3"/>
  <c r="E42" i="22"/>
  <c r="R42" i="22" s="1"/>
  <c r="Y42" i="22" s="1"/>
  <c r="AF42" i="22" s="1"/>
  <c r="O36" i="13"/>
  <c r="P36" i="13" s="1"/>
  <c r="O39" i="13"/>
  <c r="P39" i="13" s="1"/>
  <c r="O38" i="13"/>
  <c r="P38" i="13" s="1"/>
  <c r="O41" i="13"/>
  <c r="P41" i="13" s="1"/>
  <c r="AW12" i="3"/>
  <c r="O30" i="13"/>
  <c r="P30" i="13" s="1"/>
  <c r="O31" i="13"/>
  <c r="P31" i="13" s="1"/>
  <c r="O33" i="13"/>
  <c r="P33" i="13" s="1"/>
  <c r="Q188" i="13"/>
  <c r="X188" i="13" s="1"/>
  <c r="CS12" i="22"/>
  <c r="CS17" i="22"/>
  <c r="CT12" i="22"/>
  <c r="CU17" i="22"/>
  <c r="CT15" i="22"/>
  <c r="CS15" i="22"/>
  <c r="CT16" i="22"/>
  <c r="CU11" i="22"/>
  <c r="CU18" i="22"/>
  <c r="CS11" i="22"/>
  <c r="CT17" i="22"/>
  <c r="CU12" i="22"/>
  <c r="CS16" i="22"/>
  <c r="CT11" i="22"/>
  <c r="CU16" i="22"/>
  <c r="CS18" i="22"/>
  <c r="CT18" i="22"/>
  <c r="CU15" i="22"/>
  <c r="BS38" i="3"/>
  <c r="W265" i="13"/>
  <c r="X225" i="13"/>
  <c r="M194" i="13"/>
  <c r="BD35" i="3"/>
  <c r="BS33" i="3"/>
  <c r="M127" i="13"/>
  <c r="M180" i="13"/>
  <c r="W253" i="13"/>
  <c r="O23" i="13"/>
  <c r="P23" i="13" s="1"/>
  <c r="O18" i="13"/>
  <c r="P18" i="13" s="1"/>
  <c r="DH154" i="3"/>
  <c r="AG212" i="3"/>
  <c r="X245" i="13"/>
  <c r="Q62" i="13"/>
  <c r="D62" i="13" s="1"/>
  <c r="Q60" i="13"/>
  <c r="T60" i="13" s="1"/>
  <c r="M78" i="13"/>
  <c r="Q131" i="13"/>
  <c r="T131" i="13" s="1"/>
  <c r="Q76" i="13"/>
  <c r="X76" i="13" s="1"/>
  <c r="M102" i="13"/>
  <c r="CU212" i="3"/>
  <c r="CY212" i="3" s="1"/>
  <c r="M53" i="13"/>
  <c r="DH212" i="3"/>
  <c r="Q167" i="13"/>
  <c r="T167" i="13" s="1"/>
  <c r="Q185" i="13"/>
  <c r="V185" i="13" s="1"/>
  <c r="Q73" i="13"/>
  <c r="X73" i="13" s="1"/>
  <c r="X302" i="13"/>
  <c r="M63" i="13"/>
  <c r="M184" i="13"/>
  <c r="BX151" i="3"/>
  <c r="BX125" i="3"/>
  <c r="BX134" i="3"/>
  <c r="BX156" i="3"/>
  <c r="BX146" i="3"/>
  <c r="BX132" i="3"/>
  <c r="BX112" i="3"/>
  <c r="BX135" i="3"/>
  <c r="BX96" i="3"/>
  <c r="BX144" i="3"/>
  <c r="BX190" i="3"/>
  <c r="W233" i="13"/>
  <c r="BX196" i="3"/>
  <c r="BX153" i="3"/>
  <c r="BX107" i="3"/>
  <c r="BX192" i="3"/>
  <c r="DH213" i="3"/>
  <c r="S227" i="20"/>
  <c r="S103" i="20"/>
  <c r="CM69" i="3"/>
  <c r="CU69" i="3"/>
  <c r="K372" i="13" s="1"/>
  <c r="DH70" i="3"/>
  <c r="CU213" i="3"/>
  <c r="CY213" i="3" s="1"/>
  <c r="CM84" i="3"/>
  <c r="S98" i="20"/>
  <c r="Q96" i="13"/>
  <c r="T96" i="13" s="1"/>
  <c r="M66" i="13"/>
  <c r="Q153" i="13"/>
  <c r="V153" i="13" s="1"/>
  <c r="W278" i="13"/>
  <c r="Q162" i="13"/>
  <c r="X162" i="13" s="1"/>
  <c r="X262" i="13"/>
  <c r="M156" i="13"/>
  <c r="X309" i="13"/>
  <c r="M152" i="13"/>
  <c r="CW144" i="3"/>
  <c r="CW151" i="3"/>
  <c r="CW192" i="3"/>
  <c r="W301" i="13"/>
  <c r="CW146" i="3"/>
  <c r="CW125" i="3"/>
  <c r="CW134" i="3"/>
  <c r="CW190" i="3"/>
  <c r="CW196" i="3"/>
  <c r="W213" i="13"/>
  <c r="CW107" i="3"/>
  <c r="CW156" i="3"/>
  <c r="CW112" i="3"/>
  <c r="CW153" i="3"/>
  <c r="X241" i="13"/>
  <c r="CW96" i="3"/>
  <c r="CW132" i="3"/>
  <c r="CW135" i="3"/>
  <c r="W221" i="13"/>
  <c r="X305" i="13"/>
  <c r="X270" i="13"/>
  <c r="W205" i="13"/>
  <c r="M130" i="13"/>
  <c r="X289" i="13"/>
  <c r="Q177" i="13"/>
  <c r="X177" i="13" s="1"/>
  <c r="M148" i="13"/>
  <c r="Q80" i="13"/>
  <c r="T80" i="13" s="1"/>
  <c r="M158" i="13"/>
  <c r="Q108" i="13"/>
  <c r="V108" i="13" s="1"/>
  <c r="W254" i="13"/>
  <c r="X237" i="13"/>
  <c r="Q191" i="13"/>
  <c r="T191" i="13" s="1"/>
  <c r="M85" i="13"/>
  <c r="Q75" i="13"/>
  <c r="D75" i="13" s="1"/>
  <c r="Q173" i="13"/>
  <c r="T173" i="13" s="1"/>
  <c r="M163" i="13"/>
  <c r="W277" i="13"/>
  <c r="W249" i="13"/>
  <c r="Q101" i="13"/>
  <c r="W101" i="13" s="1"/>
  <c r="Q57" i="13"/>
  <c r="T57" i="13" s="1"/>
  <c r="Q103" i="13"/>
  <c r="X103" i="13" s="1"/>
  <c r="W246" i="13"/>
  <c r="M56" i="13"/>
  <c r="X293" i="13"/>
  <c r="Q128" i="13"/>
  <c r="D128" i="13" s="1"/>
  <c r="Q186" i="13"/>
  <c r="T186" i="13" s="1"/>
  <c r="M77" i="13"/>
  <c r="M58" i="13"/>
  <c r="M134" i="13"/>
  <c r="M122" i="13"/>
  <c r="X235" i="13"/>
  <c r="Q195" i="13"/>
  <c r="W195" i="13" s="1"/>
  <c r="W236" i="13"/>
  <c r="M92" i="13"/>
  <c r="M67" i="13"/>
  <c r="Q109" i="13"/>
  <c r="V109" i="13" s="1"/>
  <c r="W209" i="13"/>
  <c r="W222" i="13"/>
  <c r="Q154" i="13"/>
  <c r="V154" i="13" s="1"/>
  <c r="M159" i="13"/>
  <c r="Q113" i="13"/>
  <c r="W113" i="13" s="1"/>
  <c r="W281" i="13"/>
  <c r="W217" i="13"/>
  <c r="X285" i="13"/>
  <c r="Q190" i="13"/>
  <c r="X190" i="13" s="1"/>
  <c r="X286" i="13"/>
  <c r="X228" i="13"/>
  <c r="W238" i="13"/>
  <c r="W269" i="13"/>
  <c r="W257" i="13"/>
  <c r="X310" i="13"/>
  <c r="Q98" i="13"/>
  <c r="V98" i="13" s="1"/>
  <c r="W234" i="13"/>
  <c r="M90" i="13"/>
  <c r="Q81" i="13"/>
  <c r="V81" i="13" s="1"/>
  <c r="M124" i="13"/>
  <c r="M198" i="13"/>
  <c r="W273" i="13"/>
  <c r="Q140" i="13"/>
  <c r="T140" i="13" s="1"/>
  <c r="Q79" i="13"/>
  <c r="T79" i="13" s="1"/>
  <c r="M91" i="13"/>
  <c r="Q145" i="13"/>
  <c r="X145" i="13" s="1"/>
  <c r="Q172" i="13"/>
  <c r="T172" i="13" s="1"/>
  <c r="Q155" i="13"/>
  <c r="T155" i="13" s="1"/>
  <c r="M99" i="13"/>
  <c r="Q146" i="13"/>
  <c r="V146" i="13" s="1"/>
  <c r="M101" i="13"/>
  <c r="M94" i="13"/>
  <c r="Q104" i="13"/>
  <c r="X104" i="13" s="1"/>
  <c r="T72" i="13"/>
  <c r="D72" i="13"/>
  <c r="V72" i="13"/>
  <c r="T74" i="13"/>
  <c r="D74" i="13"/>
  <c r="V74" i="13"/>
  <c r="T202" i="13"/>
  <c r="D202" i="13"/>
  <c r="V202" i="13"/>
  <c r="V71" i="13"/>
  <c r="T71" i="13"/>
  <c r="D71" i="13"/>
  <c r="T198" i="13"/>
  <c r="D198" i="13"/>
  <c r="V198" i="13"/>
  <c r="V99" i="13"/>
  <c r="T99" i="13"/>
  <c r="D99" i="13"/>
  <c r="T151" i="13"/>
  <c r="D151" i="13"/>
  <c r="V151" i="13"/>
  <c r="T150" i="13"/>
  <c r="D150" i="13"/>
  <c r="V150" i="13"/>
  <c r="T94" i="13"/>
  <c r="D94" i="13"/>
  <c r="V94" i="13"/>
  <c r="T90" i="13"/>
  <c r="D90" i="13"/>
  <c r="V90" i="13"/>
  <c r="T77" i="13"/>
  <c r="D77" i="13"/>
  <c r="V77" i="13"/>
  <c r="T91" i="13"/>
  <c r="D91" i="13"/>
  <c r="V91" i="13"/>
  <c r="V118" i="13"/>
  <c r="T118" i="13"/>
  <c r="D118" i="13"/>
  <c r="V106" i="13"/>
  <c r="T106" i="13"/>
  <c r="D106" i="13"/>
  <c r="T201" i="13"/>
  <c r="D201" i="13"/>
  <c r="V201" i="13"/>
  <c r="T107" i="13"/>
  <c r="D107" i="13"/>
  <c r="V107" i="13"/>
  <c r="T159" i="13"/>
  <c r="D159" i="13"/>
  <c r="V159" i="13"/>
  <c r="T110" i="13"/>
  <c r="D110" i="13"/>
  <c r="V110" i="13"/>
  <c r="T123" i="13"/>
  <c r="D123" i="13"/>
  <c r="V123" i="13"/>
  <c r="T65" i="13"/>
  <c r="D65" i="13"/>
  <c r="V65" i="13"/>
  <c r="T100" i="13"/>
  <c r="D100" i="13"/>
  <c r="V100" i="13"/>
  <c r="T138" i="13"/>
  <c r="D138" i="13"/>
  <c r="V138" i="13"/>
  <c r="T64" i="13"/>
  <c r="D64" i="13"/>
  <c r="V64" i="13"/>
  <c r="V164" i="13"/>
  <c r="T164" i="13"/>
  <c r="D164" i="13"/>
  <c r="T63" i="13"/>
  <c r="D63" i="13"/>
  <c r="V63" i="13"/>
  <c r="T136" i="13"/>
  <c r="D136" i="13"/>
  <c r="V136" i="13"/>
  <c r="T116" i="13"/>
  <c r="D116" i="13"/>
  <c r="V116" i="13"/>
  <c r="V105" i="13"/>
  <c r="T105" i="13"/>
  <c r="D105" i="13"/>
  <c r="T133" i="13"/>
  <c r="D133" i="13"/>
  <c r="V133" i="13"/>
  <c r="V67" i="13"/>
  <c r="T67" i="13"/>
  <c r="D67" i="13"/>
  <c r="T55" i="13"/>
  <c r="D55" i="13"/>
  <c r="V55" i="13"/>
  <c r="T58" i="13"/>
  <c r="D58" i="13"/>
  <c r="V58" i="13"/>
  <c r="T134" i="13"/>
  <c r="D134" i="13"/>
  <c r="V134" i="13"/>
  <c r="T87" i="13"/>
  <c r="D87" i="13"/>
  <c r="V87" i="13"/>
  <c r="K15" i="13"/>
  <c r="L15" i="13"/>
  <c r="K25" i="13"/>
  <c r="L25" i="13"/>
  <c r="K29" i="13"/>
  <c r="L29" i="13"/>
  <c r="T289" i="13"/>
  <c r="D289" i="13"/>
  <c r="V289" i="13"/>
  <c r="M123" i="13"/>
  <c r="V127" i="13"/>
  <c r="T127" i="13"/>
  <c r="D127" i="13"/>
  <c r="T270" i="13"/>
  <c r="D270" i="13"/>
  <c r="V270" i="13"/>
  <c r="T220" i="13"/>
  <c r="D220" i="13"/>
  <c r="V220" i="13"/>
  <c r="T194" i="13"/>
  <c r="D194" i="13"/>
  <c r="V194" i="13"/>
  <c r="Q181" i="13"/>
  <c r="X181" i="13" s="1"/>
  <c r="T265" i="13"/>
  <c r="D265" i="13"/>
  <c r="V265" i="13"/>
  <c r="T299" i="13"/>
  <c r="D299" i="13"/>
  <c r="V299" i="13"/>
  <c r="Q166" i="13"/>
  <c r="X166" i="13" s="1"/>
  <c r="Q121" i="13"/>
  <c r="M121" i="13"/>
  <c r="T298" i="13"/>
  <c r="D298" i="13"/>
  <c r="V298" i="13"/>
  <c r="T302" i="13"/>
  <c r="D302" i="13"/>
  <c r="V302" i="13"/>
  <c r="Q139" i="13"/>
  <c r="X139" i="13" s="1"/>
  <c r="M74" i="13"/>
  <c r="M202" i="13"/>
  <c r="Q132" i="13"/>
  <c r="X132" i="13" s="1"/>
  <c r="T278" i="13"/>
  <c r="D278" i="13"/>
  <c r="V278" i="13"/>
  <c r="T235" i="13"/>
  <c r="D235" i="13"/>
  <c r="V235" i="13"/>
  <c r="Q143" i="13"/>
  <c r="W143" i="13" s="1"/>
  <c r="M110" i="13"/>
  <c r="M65" i="13"/>
  <c r="V56" i="13"/>
  <c r="T56" i="13"/>
  <c r="D56" i="13"/>
  <c r="Q200" i="13"/>
  <c r="X200" i="13" s="1"/>
  <c r="T282" i="13"/>
  <c r="D282" i="13"/>
  <c r="V282" i="13"/>
  <c r="Q179" i="13"/>
  <c r="X179" i="13" s="1"/>
  <c r="Q84" i="13"/>
  <c r="X84" i="13" s="1"/>
  <c r="M204" i="13"/>
  <c r="Q204" i="13"/>
  <c r="X204" i="13" s="1"/>
  <c r="T225" i="13"/>
  <c r="D225" i="13"/>
  <c r="V225" i="13"/>
  <c r="Q88" i="13"/>
  <c r="X88" i="13" s="1"/>
  <c r="T296" i="13"/>
  <c r="D296" i="13"/>
  <c r="V296" i="13"/>
  <c r="T212" i="13"/>
  <c r="D212" i="13"/>
  <c r="V212" i="13"/>
  <c r="M118" i="13"/>
  <c r="M201" i="13"/>
  <c r="AQ10" i="3"/>
  <c r="K13" i="13"/>
  <c r="L13" i="13"/>
  <c r="K23" i="13"/>
  <c r="L23" i="13"/>
  <c r="T205" i="13"/>
  <c r="D205" i="13"/>
  <c r="V205" i="13"/>
  <c r="T227" i="13"/>
  <c r="D227" i="13"/>
  <c r="V227" i="13"/>
  <c r="T122" i="13"/>
  <c r="D122" i="13"/>
  <c r="V122" i="13"/>
  <c r="T226" i="13"/>
  <c r="D226" i="13"/>
  <c r="V226" i="13"/>
  <c r="T232" i="13"/>
  <c r="D232" i="13"/>
  <c r="V232" i="13"/>
  <c r="T287" i="13"/>
  <c r="D287" i="13"/>
  <c r="V287" i="13"/>
  <c r="T300" i="13"/>
  <c r="D300" i="13"/>
  <c r="V300" i="13"/>
  <c r="M72" i="13"/>
  <c r="T271" i="13"/>
  <c r="D271" i="13"/>
  <c r="V271" i="13"/>
  <c r="M71" i="13"/>
  <c r="V156" i="13"/>
  <c r="T156" i="13"/>
  <c r="D156" i="13"/>
  <c r="V277" i="13"/>
  <c r="T277" i="13"/>
  <c r="D277" i="13"/>
  <c r="Q199" i="13"/>
  <c r="W199" i="13" s="1"/>
  <c r="Q171" i="13"/>
  <c r="W171" i="13" s="1"/>
  <c r="M106" i="13"/>
  <c r="Q61" i="13"/>
  <c r="Q189" i="13"/>
  <c r="X189" i="13" s="1"/>
  <c r="M164" i="13"/>
  <c r="T297" i="13"/>
  <c r="D297" i="13"/>
  <c r="V297" i="13"/>
  <c r="T279" i="13"/>
  <c r="D279" i="13"/>
  <c r="V279" i="13"/>
  <c r="V276" i="13"/>
  <c r="T276" i="13"/>
  <c r="D276" i="13"/>
  <c r="M142" i="13"/>
  <c r="Q142" i="13"/>
  <c r="Q97" i="13"/>
  <c r="X97" i="13" s="1"/>
  <c r="T273" i="13"/>
  <c r="D273" i="13"/>
  <c r="V273" i="13"/>
  <c r="T240" i="13"/>
  <c r="D240" i="13"/>
  <c r="V240" i="13"/>
  <c r="T222" i="13"/>
  <c r="D222" i="13"/>
  <c r="V222" i="13"/>
  <c r="Q178" i="13"/>
  <c r="X178" i="13" s="1"/>
  <c r="M133" i="13"/>
  <c r="T242" i="13"/>
  <c r="D242" i="13"/>
  <c r="V242" i="13"/>
  <c r="Q54" i="13"/>
  <c r="T261" i="13"/>
  <c r="D261" i="13"/>
  <c r="V261" i="13"/>
  <c r="T307" i="13"/>
  <c r="D307" i="13"/>
  <c r="V307" i="13"/>
  <c r="M151" i="13"/>
  <c r="M105" i="13"/>
  <c r="K573" i="13"/>
  <c r="K31" i="13"/>
  <c r="L31" i="13"/>
  <c r="T266" i="13"/>
  <c r="D266" i="13"/>
  <c r="V266" i="13"/>
  <c r="T92" i="13"/>
  <c r="D92" i="13"/>
  <c r="V92" i="13"/>
  <c r="Q126" i="13"/>
  <c r="X126" i="13" s="1"/>
  <c r="M126" i="13"/>
  <c r="T248" i="13"/>
  <c r="D248" i="13"/>
  <c r="V248" i="13"/>
  <c r="T214" i="13"/>
  <c r="D214" i="13"/>
  <c r="V214" i="13"/>
  <c r="T286" i="13"/>
  <c r="D286" i="13"/>
  <c r="V286" i="13"/>
  <c r="T236" i="13"/>
  <c r="D236" i="13"/>
  <c r="V236" i="13"/>
  <c r="T217" i="13"/>
  <c r="D217" i="13"/>
  <c r="V217" i="13"/>
  <c r="T281" i="13"/>
  <c r="D281" i="13"/>
  <c r="V281" i="13"/>
  <c r="T288" i="13"/>
  <c r="D288" i="13"/>
  <c r="V288" i="13"/>
  <c r="M75" i="13"/>
  <c r="T224" i="13"/>
  <c r="D224" i="13"/>
  <c r="V224" i="13"/>
  <c r="T267" i="13"/>
  <c r="D267" i="13"/>
  <c r="V267" i="13"/>
  <c r="Q111" i="13"/>
  <c r="X111" i="13" s="1"/>
  <c r="T251" i="13"/>
  <c r="D251" i="13"/>
  <c r="V251" i="13"/>
  <c r="Q175" i="13"/>
  <c r="X175" i="13" s="1"/>
  <c r="Q129" i="13"/>
  <c r="M129" i="13"/>
  <c r="Q112" i="13"/>
  <c r="X112" i="13" s="1"/>
  <c r="T247" i="13"/>
  <c r="D247" i="13"/>
  <c r="V247" i="13"/>
  <c r="M55" i="13"/>
  <c r="Q165" i="13"/>
  <c r="X165" i="13" s="1"/>
  <c r="M116" i="13"/>
  <c r="T241" i="13"/>
  <c r="D241" i="13"/>
  <c r="V241" i="13"/>
  <c r="Q70" i="13"/>
  <c r="W70" i="13" s="1"/>
  <c r="T228" i="13"/>
  <c r="D228" i="13"/>
  <c r="V228" i="13"/>
  <c r="M150" i="13"/>
  <c r="M64" i="13"/>
  <c r="K517" i="13"/>
  <c r="K24" i="13"/>
  <c r="L24" i="13"/>
  <c r="K18" i="13"/>
  <c r="L18" i="13"/>
  <c r="T243" i="13"/>
  <c r="D243" i="13"/>
  <c r="V243" i="13"/>
  <c r="Q141" i="13"/>
  <c r="X141" i="13" s="1"/>
  <c r="M141" i="13"/>
  <c r="T290" i="13"/>
  <c r="D290" i="13"/>
  <c r="V290" i="13"/>
  <c r="T272" i="13"/>
  <c r="D272" i="13"/>
  <c r="V272" i="13"/>
  <c r="T207" i="13"/>
  <c r="D207" i="13"/>
  <c r="V207" i="13"/>
  <c r="T303" i="13"/>
  <c r="D303" i="13"/>
  <c r="V303" i="13"/>
  <c r="T245" i="13"/>
  <c r="D245" i="13"/>
  <c r="V245" i="13"/>
  <c r="T305" i="13"/>
  <c r="D305" i="13"/>
  <c r="V305" i="13"/>
  <c r="T66" i="13"/>
  <c r="D66" i="13"/>
  <c r="V66" i="13"/>
  <c r="T210" i="13"/>
  <c r="D210" i="13"/>
  <c r="V210" i="13"/>
  <c r="T53" i="13"/>
  <c r="D53" i="13"/>
  <c r="V53" i="13"/>
  <c r="Q160" i="13"/>
  <c r="X160" i="13" s="1"/>
  <c r="T130" i="13"/>
  <c r="D130" i="13"/>
  <c r="V130" i="13"/>
  <c r="Q117" i="13"/>
  <c r="X117" i="13" s="1"/>
  <c r="Q203" i="13"/>
  <c r="X203" i="13" s="1"/>
  <c r="M138" i="13"/>
  <c r="M93" i="13"/>
  <c r="Q93" i="13"/>
  <c r="Q196" i="13"/>
  <c r="X196" i="13" s="1"/>
  <c r="Q135" i="13"/>
  <c r="X135" i="13" s="1"/>
  <c r="T295" i="13"/>
  <c r="D295" i="13"/>
  <c r="V295" i="13"/>
  <c r="T292" i="13"/>
  <c r="D292" i="13"/>
  <c r="V292" i="13"/>
  <c r="Q174" i="13"/>
  <c r="W174" i="13" s="1"/>
  <c r="T280" i="13"/>
  <c r="D280" i="13"/>
  <c r="V280" i="13"/>
  <c r="T238" i="13"/>
  <c r="D238" i="13"/>
  <c r="V238" i="13"/>
  <c r="T285" i="13"/>
  <c r="D285" i="13"/>
  <c r="V285" i="13"/>
  <c r="Q83" i="13"/>
  <c r="Q82" i="13"/>
  <c r="T306" i="13"/>
  <c r="D306" i="13"/>
  <c r="V306" i="13"/>
  <c r="T309" i="13"/>
  <c r="D309" i="13"/>
  <c r="V309" i="13"/>
  <c r="T259" i="13"/>
  <c r="D259" i="13"/>
  <c r="V259" i="13"/>
  <c r="Q59" i="13"/>
  <c r="Q183" i="13"/>
  <c r="X183" i="13" s="1"/>
  <c r="Q137" i="13"/>
  <c r="X137" i="13" s="1"/>
  <c r="M137" i="13"/>
  <c r="K26" i="13"/>
  <c r="L26" i="13"/>
  <c r="K20" i="13"/>
  <c r="L20" i="13"/>
  <c r="Q187" i="13"/>
  <c r="X187" i="13" s="1"/>
  <c r="T152" i="13"/>
  <c r="D152" i="13"/>
  <c r="V152" i="13"/>
  <c r="T230" i="13"/>
  <c r="D230" i="13"/>
  <c r="V230" i="13"/>
  <c r="T268" i="13"/>
  <c r="D268" i="13"/>
  <c r="V268" i="13"/>
  <c r="M100" i="13"/>
  <c r="T233" i="13"/>
  <c r="D233" i="13"/>
  <c r="V233" i="13"/>
  <c r="T304" i="13"/>
  <c r="D304" i="13"/>
  <c r="V304" i="13"/>
  <c r="T213" i="13"/>
  <c r="D213" i="13"/>
  <c r="V213" i="13"/>
  <c r="Q161" i="13"/>
  <c r="X161" i="13" s="1"/>
  <c r="M136" i="13"/>
  <c r="T263" i="13"/>
  <c r="D263" i="13"/>
  <c r="V263" i="13"/>
  <c r="Q115" i="13"/>
  <c r="X115" i="13" s="1"/>
  <c r="Q197" i="13"/>
  <c r="W197" i="13" s="1"/>
  <c r="T257" i="13"/>
  <c r="D257" i="13"/>
  <c r="V257" i="13"/>
  <c r="T216" i="13"/>
  <c r="D216" i="13"/>
  <c r="V216" i="13"/>
  <c r="T294" i="13"/>
  <c r="D294" i="13"/>
  <c r="V294" i="13"/>
  <c r="T244" i="13"/>
  <c r="D244" i="13"/>
  <c r="V244" i="13"/>
  <c r="Q182" i="13"/>
  <c r="X182" i="13" s="1"/>
  <c r="Q144" i="13"/>
  <c r="X144" i="13" s="1"/>
  <c r="K592" i="13"/>
  <c r="K21" i="13"/>
  <c r="L21" i="13"/>
  <c r="K28" i="13"/>
  <c r="L28" i="13"/>
  <c r="T223" i="13"/>
  <c r="D223" i="13"/>
  <c r="V223" i="13"/>
  <c r="T269" i="13"/>
  <c r="D269" i="13"/>
  <c r="V269" i="13"/>
  <c r="T252" i="13"/>
  <c r="D252" i="13"/>
  <c r="V252" i="13"/>
  <c r="Q95" i="13"/>
  <c r="X95" i="13" s="1"/>
  <c r="T158" i="13"/>
  <c r="D158" i="13"/>
  <c r="V158" i="13"/>
  <c r="T184" i="13"/>
  <c r="D184" i="13"/>
  <c r="V184" i="13"/>
  <c r="T250" i="13"/>
  <c r="D250" i="13"/>
  <c r="V250" i="13"/>
  <c r="T163" i="13"/>
  <c r="D163" i="13"/>
  <c r="V163" i="13"/>
  <c r="T274" i="13"/>
  <c r="D274" i="13"/>
  <c r="V274" i="13"/>
  <c r="T85" i="13"/>
  <c r="D85" i="13"/>
  <c r="V85" i="13"/>
  <c r="T229" i="13"/>
  <c r="D229" i="13"/>
  <c r="V229" i="13"/>
  <c r="T102" i="13"/>
  <c r="D102" i="13"/>
  <c r="V102" i="13"/>
  <c r="Q192" i="13"/>
  <c r="W192" i="13" s="1"/>
  <c r="T301" i="13"/>
  <c r="D301" i="13"/>
  <c r="V301" i="13"/>
  <c r="M107" i="13"/>
  <c r="Q170" i="13"/>
  <c r="X170" i="13" s="1"/>
  <c r="Q125" i="13"/>
  <c r="M125" i="13"/>
  <c r="T258" i="13"/>
  <c r="D258" i="13"/>
  <c r="V258" i="13"/>
  <c r="T215" i="13"/>
  <c r="D215" i="13"/>
  <c r="V215" i="13"/>
  <c r="T311" i="13"/>
  <c r="D311" i="13"/>
  <c r="V311" i="13"/>
  <c r="T308" i="13"/>
  <c r="D308" i="13"/>
  <c r="V308" i="13"/>
  <c r="Q114" i="13"/>
  <c r="X114" i="13" s="1"/>
  <c r="Q69" i="13"/>
  <c r="X69" i="13" s="1"/>
  <c r="V275" i="13"/>
  <c r="T275" i="13"/>
  <c r="D275" i="13"/>
  <c r="M87" i="13"/>
  <c r="Q169" i="13"/>
  <c r="W169" i="13" s="1"/>
  <c r="K609" i="13"/>
  <c r="K518" i="13"/>
  <c r="K509" i="13"/>
  <c r="L509" i="13" s="1"/>
  <c r="M509" i="13" s="1"/>
  <c r="K16" i="13"/>
  <c r="L16" i="13"/>
  <c r="K22" i="13"/>
  <c r="L22" i="13"/>
  <c r="T148" i="13"/>
  <c r="D148" i="13"/>
  <c r="V148" i="13"/>
  <c r="T310" i="13"/>
  <c r="D310" i="13"/>
  <c r="V310" i="13"/>
  <c r="T246" i="13"/>
  <c r="D246" i="13"/>
  <c r="V246" i="13"/>
  <c r="Q149" i="13"/>
  <c r="M149" i="13"/>
  <c r="T249" i="13"/>
  <c r="D249" i="13"/>
  <c r="V249" i="13"/>
  <c r="Q120" i="13"/>
  <c r="X120" i="13" s="1"/>
  <c r="T283" i="13"/>
  <c r="D283" i="13"/>
  <c r="V283" i="13"/>
  <c r="T234" i="13"/>
  <c r="D234" i="13"/>
  <c r="V234" i="13"/>
  <c r="Q89" i="13"/>
  <c r="W89" i="13" s="1"/>
  <c r="T262" i="13"/>
  <c r="D262" i="13"/>
  <c r="V262" i="13"/>
  <c r="T237" i="13"/>
  <c r="D237" i="13"/>
  <c r="V237" i="13"/>
  <c r="T219" i="13"/>
  <c r="D219" i="13"/>
  <c r="V219" i="13"/>
  <c r="Q193" i="13"/>
  <c r="X193" i="13" s="1"/>
  <c r="Q168" i="13"/>
  <c r="W168" i="13" s="1"/>
  <c r="T218" i="13"/>
  <c r="D218" i="13"/>
  <c r="V218" i="13"/>
  <c r="Q147" i="13"/>
  <c r="X147" i="13" s="1"/>
  <c r="T256" i="13"/>
  <c r="D256" i="13"/>
  <c r="V256" i="13"/>
  <c r="T260" i="13"/>
  <c r="D260" i="13"/>
  <c r="V260" i="13"/>
  <c r="Q86" i="13"/>
  <c r="X86" i="13" s="1"/>
  <c r="Q176" i="13"/>
  <c r="X176" i="13" s="1"/>
  <c r="K12" i="13"/>
  <c r="L12" i="13"/>
  <c r="K14" i="13"/>
  <c r="L14" i="13"/>
  <c r="K17" i="13"/>
  <c r="L17" i="13"/>
  <c r="K30" i="13"/>
  <c r="L30" i="13"/>
  <c r="T254" i="13"/>
  <c r="D254" i="13"/>
  <c r="V254" i="13"/>
  <c r="T211" i="13"/>
  <c r="D211" i="13"/>
  <c r="V211" i="13"/>
  <c r="T180" i="13"/>
  <c r="D180" i="13"/>
  <c r="V180" i="13"/>
  <c r="T208" i="13"/>
  <c r="D208" i="13"/>
  <c r="V208" i="13"/>
  <c r="T239" i="13"/>
  <c r="D239" i="13"/>
  <c r="V239" i="13"/>
  <c r="T293" i="13"/>
  <c r="D293" i="13"/>
  <c r="V293" i="13"/>
  <c r="T284" i="13"/>
  <c r="D284" i="13"/>
  <c r="V284" i="13"/>
  <c r="T255" i="13"/>
  <c r="D255" i="13"/>
  <c r="V255" i="13"/>
  <c r="T124" i="13"/>
  <c r="D124" i="13"/>
  <c r="V124" i="13"/>
  <c r="T78" i="13"/>
  <c r="D78" i="13"/>
  <c r="V78" i="13"/>
  <c r="T253" i="13"/>
  <c r="D253" i="13"/>
  <c r="V253" i="13"/>
  <c r="M157" i="13"/>
  <c r="Q157" i="13"/>
  <c r="X157" i="13" s="1"/>
  <c r="T264" i="13"/>
  <c r="D264" i="13"/>
  <c r="V264" i="13"/>
  <c r="T231" i="13"/>
  <c r="D231" i="13"/>
  <c r="V231" i="13"/>
  <c r="T209" i="13"/>
  <c r="D209" i="13"/>
  <c r="V209" i="13"/>
  <c r="T206" i="13"/>
  <c r="D206" i="13"/>
  <c r="V206" i="13"/>
  <c r="Q68" i="13"/>
  <c r="W68" i="13" s="1"/>
  <c r="T221" i="13"/>
  <c r="D221" i="13"/>
  <c r="V221" i="13"/>
  <c r="T291" i="13"/>
  <c r="D291" i="13"/>
  <c r="V291" i="13"/>
  <c r="M119" i="13"/>
  <c r="Q119" i="13"/>
  <c r="L487" i="13"/>
  <c r="M487" i="13" s="1"/>
  <c r="L409" i="13"/>
  <c r="M409" i="13" s="1"/>
  <c r="L494" i="13"/>
  <c r="M494" i="13" s="1"/>
  <c r="L491" i="13"/>
  <c r="M491" i="13" s="1"/>
  <c r="L490" i="13"/>
  <c r="M490" i="13" s="1"/>
  <c r="X156" i="13"/>
  <c r="W156" i="13"/>
  <c r="W295" i="13"/>
  <c r="X295" i="13"/>
  <c r="X272" i="13"/>
  <c r="W272" i="13"/>
  <c r="X138" i="13"/>
  <c r="W138" i="13"/>
  <c r="X280" i="13"/>
  <c r="W280" i="13"/>
  <c r="X258" i="13"/>
  <c r="W258" i="13"/>
  <c r="W297" i="13"/>
  <c r="X297" i="13"/>
  <c r="W288" i="13"/>
  <c r="X288" i="13"/>
  <c r="X251" i="13"/>
  <c r="W251" i="13"/>
  <c r="X216" i="13"/>
  <c r="W216" i="13"/>
  <c r="X202" i="13"/>
  <c r="W202" i="13"/>
  <c r="X264" i="13"/>
  <c r="W264" i="13"/>
  <c r="W231" i="13"/>
  <c r="X231" i="13"/>
  <c r="X250" i="13"/>
  <c r="W250" i="13"/>
  <c r="W239" i="13"/>
  <c r="X239" i="13"/>
  <c r="X151" i="13"/>
  <c r="W151" i="13"/>
  <c r="X159" i="13"/>
  <c r="W159" i="13"/>
  <c r="W300" i="13"/>
  <c r="X300" i="13"/>
  <c r="X110" i="13"/>
  <c r="W110" i="13"/>
  <c r="X212" i="13"/>
  <c r="W212" i="13"/>
  <c r="X164" i="13"/>
  <c r="W164" i="13"/>
  <c r="X163" i="13"/>
  <c r="W163" i="13"/>
  <c r="W298" i="13"/>
  <c r="X298" i="13"/>
  <c r="X198" i="13"/>
  <c r="W198" i="13"/>
  <c r="X271" i="13"/>
  <c r="W271" i="13"/>
  <c r="X220" i="13"/>
  <c r="W220" i="13"/>
  <c r="X194" i="13"/>
  <c r="W194" i="13"/>
  <c r="X268" i="13"/>
  <c r="W268" i="13"/>
  <c r="X105" i="13"/>
  <c r="W105" i="13"/>
  <c r="W78" i="13"/>
  <c r="X78" i="13"/>
  <c r="X184" i="13"/>
  <c r="W184" i="13"/>
  <c r="X91" i="13"/>
  <c r="W91" i="13"/>
  <c r="X247" i="13"/>
  <c r="W247" i="13"/>
  <c r="W74" i="13"/>
  <c r="X74" i="13"/>
  <c r="X259" i="13"/>
  <c r="W259" i="13"/>
  <c r="W283" i="13"/>
  <c r="X283" i="13"/>
  <c r="X263" i="13"/>
  <c r="W263" i="13"/>
  <c r="X267" i="13"/>
  <c r="W267" i="13"/>
  <c r="X211" i="13"/>
  <c r="W211" i="13"/>
  <c r="X133" i="13"/>
  <c r="W133" i="13"/>
  <c r="X276" i="13"/>
  <c r="W276" i="13"/>
  <c r="X223" i="13"/>
  <c r="W223" i="13"/>
  <c r="X227" i="13"/>
  <c r="W227" i="13"/>
  <c r="W296" i="13"/>
  <c r="X296" i="13"/>
  <c r="W311" i="13"/>
  <c r="X311" i="13"/>
  <c r="X102" i="13"/>
  <c r="W102" i="13"/>
  <c r="X148" i="13"/>
  <c r="W148" i="13"/>
  <c r="W71" i="13"/>
  <c r="X71" i="13"/>
  <c r="X232" i="13"/>
  <c r="W232" i="13"/>
  <c r="W308" i="13"/>
  <c r="X308" i="13"/>
  <c r="X215" i="13"/>
  <c r="W215" i="13"/>
  <c r="W306" i="13"/>
  <c r="X306" i="13"/>
  <c r="X100" i="13"/>
  <c r="W100" i="13"/>
  <c r="X122" i="13"/>
  <c r="W122" i="13"/>
  <c r="X152" i="13"/>
  <c r="W152" i="13"/>
  <c r="X130" i="13"/>
  <c r="W130" i="13"/>
  <c r="X116" i="13"/>
  <c r="W116" i="13"/>
  <c r="W290" i="13"/>
  <c r="X290" i="13"/>
  <c r="W294" i="13"/>
  <c r="X294" i="13"/>
  <c r="X252" i="13"/>
  <c r="W252" i="13"/>
  <c r="X180" i="13"/>
  <c r="W180" i="13"/>
  <c r="X123" i="13"/>
  <c r="W123" i="13"/>
  <c r="X118" i="13"/>
  <c r="W118" i="13"/>
  <c r="W67" i="13"/>
  <c r="X67" i="13"/>
  <c r="X242" i="13"/>
  <c r="W242" i="13"/>
  <c r="X210" i="13"/>
  <c r="W210" i="13"/>
  <c r="W303" i="13"/>
  <c r="X303" i="13"/>
  <c r="W243" i="13"/>
  <c r="X243" i="13"/>
  <c r="W287" i="13"/>
  <c r="X287" i="13"/>
  <c r="W299" i="13"/>
  <c r="X299" i="13"/>
  <c r="W284" i="13"/>
  <c r="X284" i="13"/>
  <c r="X94" i="13"/>
  <c r="W94" i="13"/>
  <c r="X106" i="13"/>
  <c r="W106" i="13"/>
  <c r="X266" i="13"/>
  <c r="W266" i="13"/>
  <c r="W304" i="13"/>
  <c r="X304" i="13"/>
  <c r="X274" i="13"/>
  <c r="W274" i="13"/>
  <c r="X214" i="13"/>
  <c r="W214" i="13"/>
  <c r="X85" i="13"/>
  <c r="W85" i="13"/>
  <c r="X244" i="13"/>
  <c r="W244" i="13"/>
  <c r="X87" i="13"/>
  <c r="W87" i="13"/>
  <c r="X201" i="13"/>
  <c r="W201" i="13"/>
  <c r="W291" i="13"/>
  <c r="X291" i="13"/>
  <c r="X248" i="13"/>
  <c r="W248" i="13"/>
  <c r="X275" i="13"/>
  <c r="W275" i="13"/>
  <c r="W229" i="13"/>
  <c r="X229" i="13"/>
  <c r="X208" i="13"/>
  <c r="W208" i="13"/>
  <c r="X226" i="13"/>
  <c r="W226" i="13"/>
  <c r="X158" i="13"/>
  <c r="W158" i="13"/>
  <c r="X150" i="13"/>
  <c r="W150" i="13"/>
  <c r="X219" i="13"/>
  <c r="W219" i="13"/>
  <c r="X218" i="13"/>
  <c r="W218" i="13"/>
  <c r="X136" i="13"/>
  <c r="W136" i="13"/>
  <c r="X99" i="13"/>
  <c r="W99" i="13"/>
  <c r="X207" i="13"/>
  <c r="W207" i="13"/>
  <c r="X279" i="13"/>
  <c r="W279" i="13"/>
  <c r="X134" i="13"/>
  <c r="W134" i="13"/>
  <c r="X127" i="13"/>
  <c r="W127" i="13"/>
  <c r="W72" i="13"/>
  <c r="X72" i="13"/>
  <c r="W307" i="13"/>
  <c r="X307" i="13"/>
  <c r="X261" i="13"/>
  <c r="W261" i="13"/>
  <c r="W292" i="13"/>
  <c r="X292" i="13"/>
  <c r="X92" i="13"/>
  <c r="W92" i="13"/>
  <c r="X230" i="13"/>
  <c r="W230" i="13"/>
  <c r="W77" i="13"/>
  <c r="X77" i="13"/>
  <c r="X255" i="13"/>
  <c r="W255" i="13"/>
  <c r="X107" i="13"/>
  <c r="W107" i="13"/>
  <c r="X240" i="13"/>
  <c r="W240" i="13"/>
  <c r="W282" i="13"/>
  <c r="X282" i="13"/>
  <c r="X224" i="13"/>
  <c r="W224" i="13"/>
  <c r="X124" i="13"/>
  <c r="W124" i="13"/>
  <c r="X260" i="13"/>
  <c r="W260" i="13"/>
  <c r="X90" i="13"/>
  <c r="W90" i="13"/>
  <c r="X206" i="13"/>
  <c r="W206" i="13"/>
  <c r="X256" i="13"/>
  <c r="W256" i="13"/>
  <c r="C42" i="22"/>
  <c r="P42" i="22" s="1"/>
  <c r="W42" i="22" s="1"/>
  <c r="AD42" i="22" s="1"/>
  <c r="D42" i="22"/>
  <c r="Q42" i="22" s="1"/>
  <c r="X42" i="22" s="1"/>
  <c r="AE42" i="22" s="1"/>
  <c r="Q40" i="22"/>
  <c r="X40" i="22" s="1"/>
  <c r="AE40" i="22" s="1"/>
  <c r="DW164" i="3"/>
  <c r="BI164" i="3"/>
  <c r="DW171" i="3"/>
  <c r="DW106" i="3"/>
  <c r="DW89" i="3"/>
  <c r="DW80" i="3"/>
  <c r="DW55" i="3"/>
  <c r="BI55" i="3"/>
  <c r="BI54" i="3"/>
  <c r="DW54" i="3"/>
  <c r="DW157" i="3"/>
  <c r="BI270" i="3"/>
  <c r="DW270" i="3"/>
  <c r="BI108" i="3"/>
  <c r="DW108" i="3"/>
  <c r="DW51" i="3"/>
  <c r="DW178" i="3"/>
  <c r="DW161" i="3"/>
  <c r="BI216" i="3"/>
  <c r="DW216" i="3"/>
  <c r="DW191" i="3"/>
  <c r="DW190" i="3"/>
  <c r="DW229" i="3"/>
  <c r="DW180" i="3"/>
  <c r="DW187" i="3"/>
  <c r="BI250" i="3"/>
  <c r="DW250" i="3"/>
  <c r="DW297" i="3"/>
  <c r="BI297" i="3"/>
  <c r="DW288" i="3"/>
  <c r="DW263" i="3"/>
  <c r="DW222" i="3"/>
  <c r="BI301" i="3"/>
  <c r="DW301" i="3"/>
  <c r="DW308" i="3"/>
  <c r="DW82" i="3"/>
  <c r="DW129" i="3"/>
  <c r="DW184" i="3"/>
  <c r="BI184" i="3"/>
  <c r="DW223" i="3"/>
  <c r="DW286" i="3"/>
  <c r="DW261" i="3"/>
  <c r="DW252" i="3"/>
  <c r="BI252" i="3"/>
  <c r="BI195" i="3"/>
  <c r="DW195" i="3"/>
  <c r="DW258" i="3"/>
  <c r="BI305" i="3"/>
  <c r="DW305" i="3"/>
  <c r="BI296" i="3"/>
  <c r="DW296" i="3"/>
  <c r="BI271" i="3"/>
  <c r="DW271" i="3"/>
  <c r="DW91" i="3"/>
  <c r="BI90" i="3"/>
  <c r="DW90" i="3"/>
  <c r="DW137" i="3"/>
  <c r="BI64" i="3"/>
  <c r="DW64" i="3"/>
  <c r="DW295" i="3"/>
  <c r="BI294" i="3"/>
  <c r="DW294" i="3"/>
  <c r="DW132" i="3"/>
  <c r="DW139" i="3"/>
  <c r="BI202" i="3"/>
  <c r="DW202" i="3"/>
  <c r="DW225" i="3"/>
  <c r="DW176" i="3"/>
  <c r="DW151" i="3"/>
  <c r="DW238" i="3"/>
  <c r="DW189" i="3"/>
  <c r="DW99" i="3"/>
  <c r="DW98" i="3"/>
  <c r="DW145" i="3"/>
  <c r="DW200" i="3"/>
  <c r="BI200" i="3"/>
  <c r="DW175" i="3"/>
  <c r="DW110" i="3"/>
  <c r="DW85" i="3"/>
  <c r="BI85" i="3"/>
  <c r="BI228" i="3"/>
  <c r="DW228" i="3"/>
  <c r="DW235" i="3"/>
  <c r="BI235" i="3"/>
  <c r="DW170" i="3"/>
  <c r="DW153" i="3"/>
  <c r="DW144" i="3"/>
  <c r="BI183" i="3"/>
  <c r="DW183" i="3"/>
  <c r="BI182" i="3"/>
  <c r="DW182" i="3"/>
  <c r="DW285" i="3"/>
  <c r="DW53" i="3"/>
  <c r="DW172" i="3"/>
  <c r="DW179" i="3"/>
  <c r="DW242" i="3"/>
  <c r="DW289" i="3"/>
  <c r="DW280" i="3"/>
  <c r="BI280" i="3"/>
  <c r="BI255" i="3"/>
  <c r="DW255" i="3"/>
  <c r="DW254" i="3"/>
  <c r="DW293" i="3"/>
  <c r="BI244" i="3"/>
  <c r="DW244" i="3"/>
  <c r="DW251" i="3"/>
  <c r="BI96" i="3"/>
  <c r="DW96" i="3"/>
  <c r="BI71" i="3"/>
  <c r="DW71" i="3"/>
  <c r="DW70" i="3"/>
  <c r="BI70" i="3"/>
  <c r="DW109" i="3"/>
  <c r="BI140" i="3"/>
  <c r="DW140" i="3"/>
  <c r="DW147" i="3"/>
  <c r="DW146" i="3"/>
  <c r="DW193" i="3"/>
  <c r="BI193" i="3"/>
  <c r="DW248" i="3"/>
  <c r="BI287" i="3"/>
  <c r="DW287" i="3"/>
  <c r="DW69" i="3"/>
  <c r="BI292" i="3"/>
  <c r="DW292" i="3"/>
  <c r="DW259" i="3"/>
  <c r="BI49" i="3"/>
  <c r="DW49" i="3"/>
  <c r="DW79" i="3"/>
  <c r="DW84" i="3"/>
  <c r="DW155" i="3"/>
  <c r="BI155" i="3"/>
  <c r="DW154" i="3"/>
  <c r="BI201" i="3"/>
  <c r="DW201" i="3"/>
  <c r="DW128" i="3"/>
  <c r="BI103" i="3"/>
  <c r="DW103" i="3"/>
  <c r="BI102" i="3"/>
  <c r="DW102" i="3"/>
  <c r="DW141" i="3"/>
  <c r="DW196" i="3"/>
  <c r="DW203" i="3"/>
  <c r="BI203" i="3"/>
  <c r="DW266" i="3"/>
  <c r="DW249" i="3"/>
  <c r="DW240" i="3"/>
  <c r="BI279" i="3"/>
  <c r="DW279" i="3"/>
  <c r="DW278" i="3"/>
  <c r="DW253" i="3"/>
  <c r="DW163" i="3"/>
  <c r="DW162" i="3"/>
  <c r="DW209" i="3"/>
  <c r="BI209" i="3"/>
  <c r="DW264" i="3"/>
  <c r="BI239" i="3"/>
  <c r="DW239" i="3"/>
  <c r="DW174" i="3"/>
  <c r="BI174" i="3"/>
  <c r="BI149" i="3"/>
  <c r="DW149" i="3"/>
  <c r="DW299" i="3"/>
  <c r="BI299" i="3"/>
  <c r="BI234" i="3"/>
  <c r="DW234" i="3"/>
  <c r="DW217" i="3"/>
  <c r="BI208" i="3"/>
  <c r="DW208" i="3"/>
  <c r="DW247" i="3"/>
  <c r="DW246" i="3"/>
  <c r="DW142" i="3"/>
  <c r="BI181" i="3"/>
  <c r="DW181" i="3"/>
  <c r="BI236" i="3"/>
  <c r="DW236" i="3"/>
  <c r="DW307" i="3"/>
  <c r="BI306" i="3"/>
  <c r="DW306" i="3"/>
  <c r="DW88" i="3"/>
  <c r="DW63" i="3"/>
  <c r="DW62" i="3"/>
  <c r="DW101" i="3"/>
  <c r="DW284" i="3"/>
  <c r="DW58" i="3"/>
  <c r="BI105" i="3"/>
  <c r="DW105" i="3"/>
  <c r="DW160" i="3"/>
  <c r="DW135" i="3"/>
  <c r="BI135" i="3"/>
  <c r="DW134" i="3"/>
  <c r="DW173" i="3"/>
  <c r="DW204" i="3"/>
  <c r="DW211" i="3"/>
  <c r="DW210" i="3"/>
  <c r="BI257" i="3"/>
  <c r="DW257" i="3"/>
  <c r="DW95" i="3"/>
  <c r="DW94" i="3"/>
  <c r="BI133" i="3"/>
  <c r="DW133" i="3"/>
  <c r="DW60" i="3"/>
  <c r="DW67" i="3"/>
  <c r="BI67" i="3"/>
  <c r="DW130" i="3"/>
  <c r="BI130" i="3"/>
  <c r="BI113" i="3"/>
  <c r="DW113" i="3"/>
  <c r="DW104" i="3"/>
  <c r="BI104" i="3"/>
  <c r="DW143" i="3"/>
  <c r="DW148" i="3"/>
  <c r="BI148" i="3"/>
  <c r="DW219" i="3"/>
  <c r="BI218" i="3"/>
  <c r="DW218" i="3"/>
  <c r="DW241" i="3"/>
  <c r="DW192" i="3"/>
  <c r="DW167" i="3"/>
  <c r="DW166" i="3"/>
  <c r="DW205" i="3"/>
  <c r="DW260" i="3"/>
  <c r="DW243" i="3"/>
  <c r="DW57" i="3"/>
  <c r="DW48" i="3"/>
  <c r="DW304" i="3"/>
  <c r="DW86" i="3"/>
  <c r="DW61" i="3"/>
  <c r="BI61" i="3"/>
  <c r="BI92" i="3"/>
  <c r="DW92" i="3"/>
  <c r="DW267" i="3"/>
  <c r="BI267" i="3"/>
  <c r="DW290" i="3"/>
  <c r="DW273" i="3"/>
  <c r="DW303" i="3"/>
  <c r="DW262" i="3"/>
  <c r="BI277" i="3"/>
  <c r="DW277" i="3"/>
  <c r="DW100" i="3"/>
  <c r="DW107" i="3"/>
  <c r="DW298" i="3"/>
  <c r="DW281" i="3"/>
  <c r="DW272" i="3"/>
  <c r="BI272" i="3"/>
  <c r="DW93" i="3"/>
  <c r="DW206" i="3"/>
  <c r="DW245" i="3"/>
  <c r="BI245" i="3"/>
  <c r="DW50" i="3"/>
  <c r="BI50" i="3"/>
  <c r="BI97" i="3"/>
  <c r="DW97" i="3"/>
  <c r="DW152" i="3"/>
  <c r="DW127" i="3"/>
  <c r="DW126" i="3"/>
  <c r="BI126" i="3"/>
  <c r="DW165" i="3"/>
  <c r="DW52" i="3"/>
  <c r="DW59" i="3"/>
  <c r="DW186" i="3"/>
  <c r="BI169" i="3"/>
  <c r="DW169" i="3"/>
  <c r="DW224" i="3"/>
  <c r="DW199" i="3"/>
  <c r="DW198" i="3"/>
  <c r="BI237" i="3"/>
  <c r="DW237" i="3"/>
  <c r="BI268" i="3"/>
  <c r="DW268" i="3"/>
  <c r="BI275" i="3"/>
  <c r="DW275" i="3"/>
  <c r="DW274" i="3"/>
  <c r="DW56" i="3"/>
  <c r="BI56" i="3"/>
  <c r="BI159" i="3"/>
  <c r="DW159" i="3"/>
  <c r="DW158" i="3"/>
  <c r="BI158" i="3"/>
  <c r="BI197" i="3"/>
  <c r="DW197" i="3"/>
  <c r="DW188" i="3"/>
  <c r="BI131" i="3"/>
  <c r="DW131" i="3"/>
  <c r="DW194" i="3"/>
  <c r="DW177" i="3"/>
  <c r="DW168" i="3"/>
  <c r="DW207" i="3"/>
  <c r="BI276" i="3"/>
  <c r="DW276" i="3"/>
  <c r="DW283" i="3"/>
  <c r="BI282" i="3"/>
  <c r="DW282" i="3"/>
  <c r="BI265" i="3"/>
  <c r="DW265" i="3"/>
  <c r="DW256" i="3"/>
  <c r="BI256" i="3"/>
  <c r="DW231" i="3"/>
  <c r="DW230" i="3"/>
  <c r="DW269" i="3"/>
  <c r="DW68" i="3"/>
  <c r="BI300" i="3"/>
  <c r="DW300" i="3"/>
  <c r="BI138" i="3"/>
  <c r="DW138" i="3"/>
  <c r="BI185" i="3"/>
  <c r="DW185" i="3"/>
  <c r="DW112" i="3"/>
  <c r="DW87" i="3"/>
  <c r="DW150" i="3"/>
  <c r="BI125" i="3"/>
  <c r="DW125" i="3"/>
  <c r="DW156" i="3"/>
  <c r="DW291" i="3"/>
  <c r="DW81" i="3"/>
  <c r="DW136" i="3"/>
  <c r="BI136" i="3"/>
  <c r="DW111" i="3"/>
  <c r="DW302" i="3"/>
  <c r="CU153" i="3"/>
  <c r="K456" i="13" s="1"/>
  <c r="S82" i="20"/>
  <c r="CU115" i="3"/>
  <c r="K418" i="13" s="1"/>
  <c r="AG153" i="3"/>
  <c r="DH153" i="3"/>
  <c r="S167" i="20"/>
  <c r="O35" i="5"/>
  <c r="AG86" i="3"/>
  <c r="O16" i="5"/>
  <c r="DH198" i="3"/>
  <c r="BD16" i="3"/>
  <c r="CM186" i="3"/>
  <c r="CM149" i="3"/>
  <c r="CM185" i="3"/>
  <c r="CM198" i="3"/>
  <c r="CM199" i="3"/>
  <c r="CM201" i="3"/>
  <c r="CM200" i="3"/>
  <c r="CM187" i="3"/>
  <c r="CM194" i="3"/>
  <c r="CM195" i="3"/>
  <c r="CM191" i="3"/>
  <c r="CM188" i="3"/>
  <c r="CM197" i="3"/>
  <c r="CM184" i="3"/>
  <c r="CM181" i="3"/>
  <c r="CM182" i="3"/>
  <c r="CM180" i="3"/>
  <c r="CM183" i="3"/>
  <c r="CM178" i="3"/>
  <c r="CM179" i="3"/>
  <c r="CM177" i="3"/>
  <c r="CM176" i="3"/>
  <c r="CM164" i="3"/>
  <c r="CM171" i="3"/>
  <c r="AG170" i="3"/>
  <c r="CM167" i="3"/>
  <c r="CM172" i="3"/>
  <c r="CM168" i="3"/>
  <c r="CM173" i="3"/>
  <c r="CM165" i="3"/>
  <c r="CM162" i="3"/>
  <c r="CM157" i="3"/>
  <c r="CM155" i="3"/>
  <c r="CM158" i="3"/>
  <c r="CM161" i="3"/>
  <c r="CM154" i="3"/>
  <c r="CM160" i="3"/>
  <c r="CM148" i="3"/>
  <c r="CM147" i="3"/>
  <c r="CM145" i="3"/>
  <c r="CM152" i="3"/>
  <c r="CM150" i="3"/>
  <c r="CM137" i="3"/>
  <c r="CM138" i="3"/>
  <c r="CM136" i="3"/>
  <c r="CM143" i="3"/>
  <c r="CM141" i="3"/>
  <c r="CM142" i="3"/>
  <c r="CM140" i="3"/>
  <c r="CM139" i="3"/>
  <c r="CM133" i="3"/>
  <c r="CM128" i="3"/>
  <c r="CM124" i="3"/>
  <c r="CU131" i="3"/>
  <c r="K434" i="13" s="1"/>
  <c r="CM130" i="3"/>
  <c r="CM126" i="3"/>
  <c r="CM127" i="3"/>
  <c r="CM108" i="3"/>
  <c r="CM106" i="3"/>
  <c r="CM119" i="3"/>
  <c r="CM111" i="3"/>
  <c r="CM113" i="3"/>
  <c r="CM118" i="3"/>
  <c r="CM121" i="3"/>
  <c r="CM122" i="3"/>
  <c r="CM115" i="3"/>
  <c r="CM116" i="3"/>
  <c r="CM110" i="3"/>
  <c r="CM117" i="3"/>
  <c r="CM114" i="3"/>
  <c r="CM123" i="3"/>
  <c r="CM120" i="3"/>
  <c r="CM105" i="3"/>
  <c r="CM104" i="3"/>
  <c r="CM109" i="3"/>
  <c r="CM94" i="3"/>
  <c r="CM102" i="3"/>
  <c r="CM73" i="3"/>
  <c r="CM76" i="3"/>
  <c r="CM93" i="3"/>
  <c r="CM95" i="3"/>
  <c r="CM100" i="3"/>
  <c r="AG77" i="3"/>
  <c r="S67" i="3"/>
  <c r="S65" i="3"/>
  <c r="CM98" i="3"/>
  <c r="CM70" i="3"/>
  <c r="CM97" i="3"/>
  <c r="CM89" i="3"/>
  <c r="S79" i="3"/>
  <c r="S83" i="3"/>
  <c r="S81" i="3"/>
  <c r="CM68" i="3"/>
  <c r="CM86" i="3"/>
  <c r="CM99" i="3"/>
  <c r="CM101" i="3"/>
  <c r="CM103" i="3"/>
  <c r="BD34" i="3"/>
  <c r="O34" i="5"/>
  <c r="BU226" i="3"/>
  <c r="AV216" i="13"/>
  <c r="AK216" i="13" s="1"/>
  <c r="DJ212" i="3"/>
  <c r="BU231" i="3"/>
  <c r="BU251" i="3"/>
  <c r="BU232" i="3"/>
  <c r="BU291" i="3"/>
  <c r="BU294" i="3"/>
  <c r="BU210" i="3"/>
  <c r="BU272" i="3"/>
  <c r="BU217" i="3"/>
  <c r="BU190" i="3"/>
  <c r="BU289" i="3"/>
  <c r="BU304" i="3"/>
  <c r="BU238" i="3"/>
  <c r="CM80" i="3"/>
  <c r="O30" i="5"/>
  <c r="BU192" i="3"/>
  <c r="BU220" i="3"/>
  <c r="BU206" i="3"/>
  <c r="BU236" i="3"/>
  <c r="BU237" i="3"/>
  <c r="BU290" i="3"/>
  <c r="BU222" i="3"/>
  <c r="BU263" i="3"/>
  <c r="BU156" i="3"/>
  <c r="BU107" i="3"/>
  <c r="BU215" i="3"/>
  <c r="BU250" i="3"/>
  <c r="BU223" i="3"/>
  <c r="BU224" i="3"/>
  <c r="BU284" i="3"/>
  <c r="BU254" i="3"/>
  <c r="BU153" i="3"/>
  <c r="BU212" i="3"/>
  <c r="BU213" i="3"/>
  <c r="BU252" i="3"/>
  <c r="BU279" i="3"/>
  <c r="BU203" i="3"/>
  <c r="BU112" i="3"/>
  <c r="BU248" i="3"/>
  <c r="BU214" i="3"/>
  <c r="BU256" i="3"/>
  <c r="BU125" i="3"/>
  <c r="BU211" i="3"/>
  <c r="BU151" i="3"/>
  <c r="BU292" i="3"/>
  <c r="BU300" i="3"/>
  <c r="BU202" i="3"/>
  <c r="BU241" i="3"/>
  <c r="BU257" i="3"/>
  <c r="BU286" i="3"/>
  <c r="BU244" i="3"/>
  <c r="BU245" i="3"/>
  <c r="BU243" i="3"/>
  <c r="BU297" i="3"/>
  <c r="BU235" i="3"/>
  <c r="BU134" i="3"/>
  <c r="BU144" i="3"/>
  <c r="BU196" i="3"/>
  <c r="BU205" i="3"/>
  <c r="BU246" i="3"/>
  <c r="BU288" i="3"/>
  <c r="BU285" i="3"/>
  <c r="BU247" i="3"/>
  <c r="BU273" i="3"/>
  <c r="BU132" i="3"/>
  <c r="BU277" i="3"/>
  <c r="BU253" i="3"/>
  <c r="BU216" i="3"/>
  <c r="BU267" i="3"/>
  <c r="BU207" i="3"/>
  <c r="BU204" i="3"/>
  <c r="BD30" i="3"/>
  <c r="BU301" i="3"/>
  <c r="BU278" i="3"/>
  <c r="BU258" i="3"/>
  <c r="BU274" i="3"/>
  <c r="BU305" i="3"/>
  <c r="BU135" i="3"/>
  <c r="BU242" i="3"/>
  <c r="BU209" i="3"/>
  <c r="BU299" i="3"/>
  <c r="BU239" i="3"/>
  <c r="BU208" i="3"/>
  <c r="BU96" i="3"/>
  <c r="BU265" i="3"/>
  <c r="BU227" i="3"/>
  <c r="BU249" i="3"/>
  <c r="BU260" i="3"/>
  <c r="BU146" i="3"/>
  <c r="BU218" i="3"/>
  <c r="BU230" i="3"/>
  <c r="BU271" i="3"/>
  <c r="BU240" i="3"/>
  <c r="BU225" i="3"/>
  <c r="BD24" i="3"/>
  <c r="AP22" i="3"/>
  <c r="O25" i="5"/>
  <c r="AP23" i="3"/>
  <c r="AP29" i="3"/>
  <c r="BD17" i="3"/>
  <c r="AP26" i="3"/>
  <c r="O13" i="5"/>
  <c r="CM66" i="3"/>
  <c r="CM65" i="3"/>
  <c r="AQ22" i="3"/>
  <c r="AQ15" i="3"/>
  <c r="S15" i="3" s="1"/>
  <c r="AQ45" i="3"/>
  <c r="AQ9" i="3"/>
  <c r="S42" i="22"/>
  <c r="Z42" i="22" s="1"/>
  <c r="AG42" i="22" s="1"/>
  <c r="F43" i="22"/>
  <c r="T42" i="22"/>
  <c r="AA42" i="22" s="1"/>
  <c r="AH42" i="22" s="1"/>
  <c r="G43" i="22"/>
  <c r="AM14" i="22"/>
  <c r="AM15" i="22" s="1"/>
  <c r="AM16" i="22" s="1"/>
  <c r="AM17" i="22" s="1"/>
  <c r="AM18" i="22" s="1"/>
  <c r="AM19" i="22" s="1"/>
  <c r="AM20" i="22" s="1"/>
  <c r="AM21" i="22" s="1"/>
  <c r="AM22" i="22" s="1"/>
  <c r="AM23" i="22" s="1"/>
  <c r="AM24" i="22" s="1"/>
  <c r="AM25" i="22" s="1"/>
  <c r="AM26" i="22" s="1"/>
  <c r="AM27" i="22" s="1"/>
  <c r="AM28" i="22" s="1"/>
  <c r="AM29" i="22" s="1"/>
  <c r="AM30" i="22" s="1"/>
  <c r="AM31" i="22" s="1"/>
  <c r="AM32" i="22" s="1"/>
  <c r="AM33" i="22" s="1"/>
  <c r="AM34" i="22" s="1"/>
  <c r="AM35" i="22" s="1"/>
  <c r="AM36" i="22" s="1"/>
  <c r="AM37" i="22" s="1"/>
  <c r="AM38" i="22" s="1"/>
  <c r="AM39" i="22" s="1"/>
  <c r="S77" i="3"/>
  <c r="S61" i="3"/>
  <c r="S80" i="3"/>
  <c r="S106" i="20"/>
  <c r="S42" i="3"/>
  <c r="AG112" i="3"/>
  <c r="AP24" i="3"/>
  <c r="DW65" i="3"/>
  <c r="BS45" i="3"/>
  <c r="BS35" i="3"/>
  <c r="AQ56" i="3"/>
  <c r="CM82" i="3"/>
  <c r="CU90" i="3"/>
  <c r="K393" i="13" s="1"/>
  <c r="CM57" i="3"/>
  <c r="S57" i="3"/>
  <c r="BS64" i="3"/>
  <c r="BD25" i="3"/>
  <c r="BS65" i="3"/>
  <c r="AP25" i="3"/>
  <c r="AQ52" i="3"/>
  <c r="AQ54" i="3"/>
  <c r="AP75" i="3"/>
  <c r="AR75" i="3" s="1"/>
  <c r="O75" i="5"/>
  <c r="BD75" i="3"/>
  <c r="O74" i="5"/>
  <c r="AP74" i="3"/>
  <c r="AR74" i="3" s="1"/>
  <c r="BD74" i="3"/>
  <c r="AG245" i="3"/>
  <c r="S259" i="20"/>
  <c r="AQ38" i="3"/>
  <c r="CM83" i="3"/>
  <c r="CM61" i="3"/>
  <c r="AQ50" i="3"/>
  <c r="AQ35" i="3"/>
  <c r="AQ51" i="3"/>
  <c r="AQ36" i="3"/>
  <c r="AQ49" i="3"/>
  <c r="AR49" i="3" s="1"/>
  <c r="AQ39" i="3"/>
  <c r="AQ55" i="3"/>
  <c r="AQ40" i="3"/>
  <c r="AQ78" i="3"/>
  <c r="AQ37" i="3"/>
  <c r="AQ53" i="3"/>
  <c r="AQ58" i="3"/>
  <c r="AQ43" i="3"/>
  <c r="AQ59" i="3"/>
  <c r="AQ44" i="3"/>
  <c r="AQ60" i="3"/>
  <c r="AQ41" i="3"/>
  <c r="AQ46" i="3"/>
  <c r="AQ62" i="3"/>
  <c r="AQ47" i="3"/>
  <c r="AQ63" i="3"/>
  <c r="BD13" i="3"/>
  <c r="BS60" i="3"/>
  <c r="BS41" i="3"/>
  <c r="BS56" i="3"/>
  <c r="BS62" i="3"/>
  <c r="BD11" i="3"/>
  <c r="BS58" i="3"/>
  <c r="CU201" i="3"/>
  <c r="K504" i="13" s="1"/>
  <c r="S149" i="20"/>
  <c r="S70" i="20"/>
  <c r="AF309" i="3"/>
  <c r="AQ17" i="3"/>
  <c r="O18" i="5"/>
  <c r="BD14" i="3"/>
  <c r="S86" i="20"/>
  <c r="CU245" i="3"/>
  <c r="CY245" i="3" s="1"/>
  <c r="AG154" i="3"/>
  <c r="AG105" i="3"/>
  <c r="CU154" i="3"/>
  <c r="K457" i="13" s="1"/>
  <c r="AG204" i="3"/>
  <c r="S168" i="20"/>
  <c r="CU211" i="3"/>
  <c r="CY211" i="3" s="1"/>
  <c r="O12" i="5"/>
  <c r="CU236" i="3"/>
  <c r="CY236" i="3" s="1"/>
  <c r="DE235" i="3"/>
  <c r="DE244" i="3"/>
  <c r="DE263" i="3"/>
  <c r="DE254" i="3"/>
  <c r="DE290" i="3"/>
  <c r="DE274" i="3"/>
  <c r="DE208" i="3"/>
  <c r="DE96" i="3"/>
  <c r="DE215" i="3"/>
  <c r="DE248" i="3"/>
  <c r="DE256" i="3"/>
  <c r="DE284" i="3"/>
  <c r="DE286" i="3"/>
  <c r="DE144" i="3"/>
  <c r="DE190" i="3"/>
  <c r="DE206" i="3"/>
  <c r="DE231" i="3"/>
  <c r="DE237" i="3"/>
  <c r="DE249" i="3"/>
  <c r="DE273" i="3"/>
  <c r="DE277" i="3"/>
  <c r="DE300" i="3"/>
  <c r="DE214" i="3"/>
  <c r="DE204" i="3"/>
  <c r="DE212" i="3"/>
  <c r="DE107" i="3"/>
  <c r="DE151" i="3"/>
  <c r="DE207" i="3"/>
  <c r="DE217" i="3"/>
  <c r="DE218" i="3"/>
  <c r="DE224" i="3"/>
  <c r="DE232" i="3"/>
  <c r="DE239" i="3"/>
  <c r="DE250" i="3"/>
  <c r="DE253" i="3"/>
  <c r="DE260" i="3"/>
  <c r="DE258" i="3"/>
  <c r="DE267" i="3"/>
  <c r="DE278" i="3"/>
  <c r="DE297" i="3"/>
  <c r="DE304" i="3"/>
  <c r="DE135" i="3"/>
  <c r="DE223" i="3"/>
  <c r="DE230" i="3"/>
  <c r="DE238" i="3"/>
  <c r="DE251" i="3"/>
  <c r="DE272" i="3"/>
  <c r="DE285" i="3"/>
  <c r="DE301" i="3"/>
  <c r="DE132" i="3"/>
  <c r="DE125" i="3"/>
  <c r="DE211" i="3"/>
  <c r="DE213" i="3"/>
  <c r="DE210" i="3"/>
  <c r="DE220" i="3"/>
  <c r="DE225" i="3"/>
  <c r="DE243" i="3"/>
  <c r="DE265" i="3"/>
  <c r="DE257" i="3"/>
  <c r="DE279" i="3"/>
  <c r="DE271" i="3"/>
  <c r="DE241" i="3"/>
  <c r="DE134" i="3"/>
  <c r="DE156" i="3"/>
  <c r="DE196" i="3"/>
  <c r="DE202" i="3"/>
  <c r="DE226" i="3"/>
  <c r="DE252" i="3"/>
  <c r="DE288" i="3"/>
  <c r="DE292" i="3"/>
  <c r="DE291" i="3"/>
  <c r="DE305" i="3"/>
  <c r="DE209" i="3"/>
  <c r="DE112" i="3"/>
  <c r="DE245" i="3"/>
  <c r="DE153" i="3"/>
  <c r="DE203" i="3"/>
  <c r="DE227" i="3"/>
  <c r="DE289" i="3"/>
  <c r="DE299" i="3"/>
  <c r="DE294" i="3"/>
  <c r="DE242" i="3"/>
  <c r="CU126" i="3"/>
  <c r="K429" i="13" s="1"/>
  <c r="S140" i="20"/>
  <c r="S150" i="20"/>
  <c r="DH179" i="3"/>
  <c r="DH180" i="3"/>
  <c r="DH133" i="3"/>
  <c r="DH96" i="3"/>
  <c r="DH288" i="3"/>
  <c r="DH306" i="3"/>
  <c r="DH112" i="3"/>
  <c r="DH197" i="3"/>
  <c r="DH144" i="3"/>
  <c r="DH292" i="3"/>
  <c r="DH296" i="3"/>
  <c r="DH102" i="3"/>
  <c r="DH232" i="3"/>
  <c r="DH125" i="3"/>
  <c r="DH95" i="3"/>
  <c r="DH151" i="3"/>
  <c r="DH201" i="3"/>
  <c r="DH252" i="3"/>
  <c r="DH223" i="3"/>
  <c r="DH155" i="3"/>
  <c r="DH227" i="3"/>
  <c r="S175" i="3"/>
  <c r="DH100" i="3"/>
  <c r="DH132" i="3"/>
  <c r="DH240" i="3"/>
  <c r="DH107" i="3"/>
  <c r="DH196" i="3"/>
  <c r="DH302" i="3"/>
  <c r="DH225" i="3"/>
  <c r="DH143" i="3"/>
  <c r="DH244" i="3"/>
  <c r="DH260" i="3"/>
  <c r="DH148" i="3"/>
  <c r="DH152" i="3"/>
  <c r="DH284" i="3"/>
  <c r="DH147" i="3"/>
  <c r="DH270" i="3"/>
  <c r="DH188" i="3"/>
  <c r="DH301" i="3"/>
  <c r="DH187" i="3"/>
  <c r="DH199" i="3"/>
  <c r="DH285" i="3"/>
  <c r="DH174" i="3"/>
  <c r="DH241" i="3"/>
  <c r="DH149" i="3"/>
  <c r="DH176" i="3"/>
  <c r="DH209" i="3"/>
  <c r="DH160" i="3"/>
  <c r="DH146" i="3"/>
  <c r="DH308" i="3"/>
  <c r="DH138" i="3"/>
  <c r="DH282" i="3"/>
  <c r="DH261" i="3"/>
  <c r="DH145" i="3"/>
  <c r="DH101" i="3"/>
  <c r="DH236" i="3"/>
  <c r="DH186" i="3"/>
  <c r="DH246" i="3"/>
  <c r="DH263" i="3"/>
  <c r="DH217" i="3"/>
  <c r="DH248" i="3"/>
  <c r="DH136" i="3"/>
  <c r="DH104" i="3"/>
  <c r="DH189" i="3"/>
  <c r="DH210" i="3"/>
  <c r="DH206" i="3"/>
  <c r="DH242" i="3"/>
  <c r="DH106" i="3"/>
  <c r="DH293" i="3"/>
  <c r="DH134" i="3"/>
  <c r="DH245" i="3"/>
  <c r="DH277" i="3"/>
  <c r="DH127" i="3"/>
  <c r="DH298" i="3"/>
  <c r="DH137" i="3"/>
  <c r="DH280" i="3"/>
  <c r="DH168" i="3"/>
  <c r="DH211" i="3"/>
  <c r="DH190" i="3"/>
  <c r="DH286" i="3"/>
  <c r="DH290" i="3"/>
  <c r="DH231" i="3"/>
  <c r="DH163" i="3"/>
  <c r="DH126" i="3"/>
  <c r="DH254" i="3"/>
  <c r="DH182" i="3"/>
  <c r="DH259" i="3"/>
  <c r="DH204" i="3"/>
  <c r="DH215" i="3"/>
  <c r="DH108" i="3"/>
  <c r="DH266" i="3"/>
  <c r="DH256" i="3"/>
  <c r="DH157" i="3"/>
  <c r="DH142" i="3"/>
  <c r="DH167" i="3"/>
  <c r="DH243" i="3"/>
  <c r="DH184" i="3"/>
  <c r="DH185" i="3"/>
  <c r="DH191" i="3"/>
  <c r="DH294" i="3"/>
  <c r="DH281" i="3"/>
  <c r="DH233" i="3"/>
  <c r="DH195" i="3"/>
  <c r="DH299" i="3"/>
  <c r="DH229" i="3"/>
  <c r="DH99" i="3"/>
  <c r="DH140" i="3"/>
  <c r="DH273" i="3"/>
  <c r="DH181" i="3"/>
  <c r="DH113" i="3"/>
  <c r="DH234" i="3"/>
  <c r="DH205" i="3"/>
  <c r="DH249" i="3"/>
  <c r="DH150" i="3"/>
  <c r="DH93" i="3"/>
  <c r="DH237" i="3"/>
  <c r="DH200" i="3"/>
  <c r="DH221" i="3"/>
  <c r="DH222" i="3"/>
  <c r="DH129" i="3"/>
  <c r="S64" i="3"/>
  <c r="DH247" i="3"/>
  <c r="DH218" i="3"/>
  <c r="DH235" i="3"/>
  <c r="DH257" i="3"/>
  <c r="DH267" i="3"/>
  <c r="DH192" i="3"/>
  <c r="DH124" i="3"/>
  <c r="DH164" i="3"/>
  <c r="DH289" i="3"/>
  <c r="DH172" i="3"/>
  <c r="DH279" i="3"/>
  <c r="DH161" i="3"/>
  <c r="DH105" i="3"/>
  <c r="DH135" i="3"/>
  <c r="DH253" i="3"/>
  <c r="DH130" i="3"/>
  <c r="DH258" i="3"/>
  <c r="DH216" i="3"/>
  <c r="DH111" i="3"/>
  <c r="DH220" i="3"/>
  <c r="DH303" i="3"/>
  <c r="DH141" i="3"/>
  <c r="DH203" i="3"/>
  <c r="DH276" i="3"/>
  <c r="DH110" i="3"/>
  <c r="DH300" i="3"/>
  <c r="DH274" i="3"/>
  <c r="DH156" i="3"/>
  <c r="DH171" i="3"/>
  <c r="DH128" i="3"/>
  <c r="DH177" i="3"/>
  <c r="DH230" i="3"/>
  <c r="DH305" i="3"/>
  <c r="DH208" i="3"/>
  <c r="DH202" i="3"/>
  <c r="DH287" i="3"/>
  <c r="DH226" i="3"/>
  <c r="DH265" i="3"/>
  <c r="DH295" i="3"/>
  <c r="DH173" i="3"/>
  <c r="DH269" i="3"/>
  <c r="DH271" i="3"/>
  <c r="DH283" i="3"/>
  <c r="CU200" i="3"/>
  <c r="K503" i="13" s="1"/>
  <c r="CU190" i="3"/>
  <c r="K493" i="13" s="1"/>
  <c r="S214" i="20"/>
  <c r="AL14" i="22"/>
  <c r="AL15" i="22" s="1"/>
  <c r="AL16" i="22" s="1"/>
  <c r="AL17" i="22" s="1"/>
  <c r="AL18" i="22" s="1"/>
  <c r="AL19" i="22" s="1"/>
  <c r="AL20" i="22" s="1"/>
  <c r="CU136" i="3"/>
  <c r="K439" i="13" s="1"/>
  <c r="DH81" i="3"/>
  <c r="CU243" i="3"/>
  <c r="CY243" i="3" s="1"/>
  <c r="DE222" i="3"/>
  <c r="S257" i="20"/>
  <c r="AG222" i="3"/>
  <c r="S236" i="20"/>
  <c r="CU222" i="3"/>
  <c r="CY222" i="3" s="1"/>
  <c r="S74" i="20"/>
  <c r="DH79" i="3"/>
  <c r="CM67" i="3"/>
  <c r="AQ27" i="3"/>
  <c r="AQ25" i="3"/>
  <c r="BS91" i="3"/>
  <c r="BS89" i="3"/>
  <c r="BS87" i="3"/>
  <c r="BS86" i="3"/>
  <c r="BS85" i="3"/>
  <c r="BS84" i="3"/>
  <c r="BS83" i="3"/>
  <c r="BS82" i="3"/>
  <c r="BS71" i="3"/>
  <c r="BS69" i="3"/>
  <c r="BS70" i="3"/>
  <c r="BS67" i="3"/>
  <c r="BS63" i="3"/>
  <c r="BS61" i="3"/>
  <c r="BS59" i="3"/>
  <c r="BS57" i="3"/>
  <c r="BS55" i="3"/>
  <c r="BS54" i="3"/>
  <c r="BS53" i="3"/>
  <c r="BS51" i="3"/>
  <c r="BS49" i="3"/>
  <c r="BS50" i="3"/>
  <c r="BS47" i="3"/>
  <c r="BS46" i="3"/>
  <c r="BS44" i="3"/>
  <c r="BS43" i="3"/>
  <c r="BS42" i="3"/>
  <c r="BS39" i="3"/>
  <c r="BS30" i="3"/>
  <c r="BD26" i="3"/>
  <c r="AQ26" i="3"/>
  <c r="O23" i="5"/>
  <c r="BD21" i="3"/>
  <c r="O22" i="5"/>
  <c r="BD19" i="3"/>
  <c r="AG130" i="3"/>
  <c r="AG251" i="3"/>
  <c r="AG190" i="3"/>
  <c r="AP12" i="3"/>
  <c r="CU105" i="3"/>
  <c r="K408" i="13" s="1"/>
  <c r="S204" i="20"/>
  <c r="CU112" i="3"/>
  <c r="K415" i="13" s="1"/>
  <c r="AG126" i="3"/>
  <c r="AP14" i="3"/>
  <c r="S213" i="20"/>
  <c r="CU199" i="3"/>
  <c r="K502" i="13" s="1"/>
  <c r="AP11" i="3"/>
  <c r="S256" i="20"/>
  <c r="AG211" i="3"/>
  <c r="S225" i="20"/>
  <c r="CU242" i="3"/>
  <c r="CY242" i="3" s="1"/>
  <c r="AG242" i="3"/>
  <c r="AG236" i="3"/>
  <c r="O10" i="5"/>
  <c r="AG135" i="3"/>
  <c r="CU135" i="3"/>
  <c r="K438" i="13" s="1"/>
  <c r="AG144" i="3"/>
  <c r="BD10" i="3"/>
  <c r="CL144" i="3"/>
  <c r="CU125" i="3"/>
  <c r="K428" i="13" s="1"/>
  <c r="S158" i="20"/>
  <c r="CU144" i="3"/>
  <c r="K447" i="13" s="1"/>
  <c r="S139" i="20"/>
  <c r="AG125" i="3"/>
  <c r="CL125" i="3"/>
  <c r="CU208" i="3"/>
  <c r="CY208" i="3" s="1"/>
  <c r="S222" i="20"/>
  <c r="BD12" i="3"/>
  <c r="CU240" i="3"/>
  <c r="CY240" i="3" s="1"/>
  <c r="S254" i="20"/>
  <c r="AG201" i="3"/>
  <c r="DE236" i="3"/>
  <c r="S250" i="20"/>
  <c r="CU130" i="3"/>
  <c r="K433" i="13" s="1"/>
  <c r="CU251" i="3"/>
  <c r="CY251" i="3" s="1"/>
  <c r="S265" i="20"/>
  <c r="S126" i="20"/>
  <c r="S144" i="20"/>
  <c r="AG208" i="3"/>
  <c r="AG250" i="3"/>
  <c r="S264" i="20"/>
  <c r="DE240" i="3"/>
  <c r="AG240" i="3"/>
  <c r="CU250" i="3"/>
  <c r="CY250" i="3" s="1"/>
  <c r="CU204" i="3"/>
  <c r="CY204" i="3" s="1"/>
  <c r="S218" i="20"/>
  <c r="CU148" i="3"/>
  <c r="K451" i="13" s="1"/>
  <c r="CU241" i="3"/>
  <c r="CY241" i="3" s="1"/>
  <c r="AG148" i="3"/>
  <c r="AG187" i="3"/>
  <c r="O21" i="5"/>
  <c r="CU207" i="3"/>
  <c r="CY207" i="3" s="1"/>
  <c r="AG145" i="3"/>
  <c r="S201" i="20"/>
  <c r="AG249" i="3"/>
  <c r="S255" i="20"/>
  <c r="S221" i="20"/>
  <c r="AG207" i="3"/>
  <c r="S157" i="20"/>
  <c r="CU134" i="3"/>
  <c r="K437" i="13" s="1"/>
  <c r="BD18" i="3"/>
  <c r="CU239" i="3"/>
  <c r="CY239" i="3" s="1"/>
  <c r="AG134" i="3"/>
  <c r="S253" i="20"/>
  <c r="AG239" i="3"/>
  <c r="CU143" i="3"/>
  <c r="K446" i="13" s="1"/>
  <c r="S148" i="20"/>
  <c r="AG241" i="3"/>
  <c r="O17" i="5"/>
  <c r="CL134" i="3"/>
  <c r="S125" i="20"/>
  <c r="CU210" i="3"/>
  <c r="CY210" i="3" s="1"/>
  <c r="CU248" i="3"/>
  <c r="CY248" i="3" s="1"/>
  <c r="AG191" i="3"/>
  <c r="S262" i="20"/>
  <c r="CU111" i="3"/>
  <c r="K414" i="13" s="1"/>
  <c r="S205" i="20"/>
  <c r="AG216" i="3"/>
  <c r="AG142" i="3"/>
  <c r="AG277" i="3"/>
  <c r="CU277" i="3"/>
  <c r="CY277" i="3" s="1"/>
  <c r="AG185" i="3"/>
  <c r="CU223" i="3"/>
  <c r="CY223" i="3" s="1"/>
  <c r="S237" i="20"/>
  <c r="CU259" i="3"/>
  <c r="CY259" i="3" s="1"/>
  <c r="CU218" i="3"/>
  <c r="CY218" i="3" s="1"/>
  <c r="S155" i="20"/>
  <c r="CU142" i="3"/>
  <c r="K445" i="13" s="1"/>
  <c r="CU238" i="3"/>
  <c r="CY238" i="3" s="1"/>
  <c r="CU141" i="3"/>
  <c r="K444" i="13" s="1"/>
  <c r="CU217" i="3"/>
  <c r="CY217" i="3" s="1"/>
  <c r="AG141" i="3"/>
  <c r="AG209" i="3"/>
  <c r="CU209" i="3"/>
  <c r="CY209" i="3" s="1"/>
  <c r="AG288" i="3"/>
  <c r="S223" i="20"/>
  <c r="CU147" i="3"/>
  <c r="K450" i="13" s="1"/>
  <c r="CU133" i="3"/>
  <c r="K436" i="13" s="1"/>
  <c r="AG100" i="3"/>
  <c r="AG301" i="3"/>
  <c r="CU258" i="3"/>
  <c r="CY258" i="3" s="1"/>
  <c r="CU102" i="3"/>
  <c r="K405" i="13" s="1"/>
  <c r="CU145" i="3"/>
  <c r="K448" i="13" s="1"/>
  <c r="CU249" i="3"/>
  <c r="CY249" i="3" s="1"/>
  <c r="CU202" i="3"/>
  <c r="CY202" i="3" s="1"/>
  <c r="S216" i="20"/>
  <c r="S267" i="20"/>
  <c r="AG152" i="3"/>
  <c r="CU260" i="3"/>
  <c r="CY260" i="3" s="1"/>
  <c r="S159" i="20"/>
  <c r="CU152" i="3"/>
  <c r="K455" i="13" s="1"/>
  <c r="AG99" i="3"/>
  <c r="AG188" i="3"/>
  <c r="AG132" i="3"/>
  <c r="S200" i="20"/>
  <c r="S202" i="20"/>
  <c r="AG215" i="3"/>
  <c r="CU186" i="3"/>
  <c r="K489" i="13" s="1"/>
  <c r="CU244" i="3"/>
  <c r="CY244" i="3" s="1"/>
  <c r="CU99" i="3"/>
  <c r="K402" i="13" s="1"/>
  <c r="CU216" i="3"/>
  <c r="CY216" i="3" s="1"/>
  <c r="S261" i="20"/>
  <c r="CU246" i="3"/>
  <c r="CY246" i="3" s="1"/>
  <c r="S114" i="20"/>
  <c r="AG305" i="3"/>
  <c r="S229" i="20"/>
  <c r="CU253" i="3"/>
  <c r="CY253" i="3" s="1"/>
  <c r="AG253" i="3"/>
  <c r="AG210" i="3"/>
  <c r="CU271" i="3"/>
  <c r="CY271" i="3" s="1"/>
  <c r="CU132" i="3"/>
  <c r="K435" i="13" s="1"/>
  <c r="CU100" i="3"/>
  <c r="K403" i="13" s="1"/>
  <c r="CU247" i="3"/>
  <c r="CY247" i="3" s="1"/>
  <c r="AG157" i="3"/>
  <c r="S272" i="20"/>
  <c r="AG247" i="3"/>
  <c r="AG308" i="3"/>
  <c r="AG244" i="3"/>
  <c r="AG133" i="3"/>
  <c r="S146" i="20"/>
  <c r="AO14" i="22"/>
  <c r="AO15" i="22" s="1"/>
  <c r="AO16" i="22" s="1"/>
  <c r="AO17" i="22" s="1"/>
  <c r="AO18" i="22" s="1"/>
  <c r="AO19" i="22" s="1"/>
  <c r="AO20" i="22" s="1"/>
  <c r="AO21" i="22" s="1"/>
  <c r="AO22" i="22" s="1"/>
  <c r="AO23" i="22" s="1"/>
  <c r="AO24" i="22" s="1"/>
  <c r="AO25" i="22" s="1"/>
  <c r="AO26" i="22" s="1"/>
  <c r="AO27" i="22" s="1"/>
  <c r="AO28" i="22" s="1"/>
  <c r="AO29" i="22" s="1"/>
  <c r="AO30" i="22" s="1"/>
  <c r="AO31" i="22" s="1"/>
  <c r="AO32" i="22" s="1"/>
  <c r="AO33" i="22" s="1"/>
  <c r="AO34" i="22" s="1"/>
  <c r="AO35" i="22" s="1"/>
  <c r="AO36" i="22" s="1"/>
  <c r="AO37" i="22" s="1"/>
  <c r="AO38" i="22" s="1"/>
  <c r="AO39" i="22" s="1"/>
  <c r="AO40" i="22" s="1"/>
  <c r="AO41" i="22" s="1"/>
  <c r="AN14" i="22"/>
  <c r="AN15" i="22" s="1"/>
  <c r="AN16" i="22" s="1"/>
  <c r="AN17" i="22" s="1"/>
  <c r="AN18" i="22" s="1"/>
  <c r="AN19" i="22" s="1"/>
  <c r="AN20" i="22" s="1"/>
  <c r="AN21" i="22" s="1"/>
  <c r="AN22" i="22" s="1"/>
  <c r="AN23" i="22" s="1"/>
  <c r="AN24" i="22" s="1"/>
  <c r="AN25" i="22" s="1"/>
  <c r="AN26" i="22" s="1"/>
  <c r="AN27" i="22" s="1"/>
  <c r="AN28" i="22" s="1"/>
  <c r="AN29" i="22" s="1"/>
  <c r="AN30" i="22" s="1"/>
  <c r="AN31" i="22" s="1"/>
  <c r="AN32" i="22" s="1"/>
  <c r="AN33" i="22" s="1"/>
  <c r="AN34" i="22" s="1"/>
  <c r="AN35" i="22" s="1"/>
  <c r="AN36" i="22" s="1"/>
  <c r="AN37" i="22" s="1"/>
  <c r="AN38" i="22" s="1"/>
  <c r="AN39" i="22" s="1"/>
  <c r="AN40" i="22" s="1"/>
  <c r="AN41" i="22" s="1"/>
  <c r="AP14" i="22"/>
  <c r="AP15" i="22" s="1"/>
  <c r="AP16" i="22" s="1"/>
  <c r="AP17" i="22" s="1"/>
  <c r="AP18" i="22" s="1"/>
  <c r="AP19" i="22" s="1"/>
  <c r="AP20" i="22" s="1"/>
  <c r="AP21" i="22" s="1"/>
  <c r="AP22" i="22" s="1"/>
  <c r="AP23" i="22" s="1"/>
  <c r="AP24" i="22" s="1"/>
  <c r="AP25" i="22" s="1"/>
  <c r="AP26" i="22" s="1"/>
  <c r="AP27" i="22" s="1"/>
  <c r="AP28" i="22" s="1"/>
  <c r="AP29" i="22" s="1"/>
  <c r="AP30" i="22" s="1"/>
  <c r="AP31" i="22" s="1"/>
  <c r="AP32" i="22" s="1"/>
  <c r="AP33" i="22" s="1"/>
  <c r="AP34" i="22" s="1"/>
  <c r="AP35" i="22" s="1"/>
  <c r="AP36" i="22" s="1"/>
  <c r="AP37" i="22" s="1"/>
  <c r="AP38" i="22" s="1"/>
  <c r="AP39" i="22" s="1"/>
  <c r="AP40" i="22" s="1"/>
  <c r="AP41" i="22" s="1"/>
  <c r="DE146" i="3"/>
  <c r="AG265" i="3"/>
  <c r="DE216" i="3"/>
  <c r="DE205" i="3"/>
  <c r="DE192" i="3"/>
  <c r="DE246" i="3"/>
  <c r="DE247" i="3"/>
  <c r="CU252" i="3"/>
  <c r="CY252" i="3" s="1"/>
  <c r="AG252" i="3"/>
  <c r="CU265" i="3"/>
  <c r="CY265" i="3" s="1"/>
  <c r="CU146" i="3"/>
  <c r="CY146" i="3" s="1"/>
  <c r="CU196" i="3"/>
  <c r="K499" i="13" s="1"/>
  <c r="CU220" i="3"/>
  <c r="CY220" i="3" s="1"/>
  <c r="CU197" i="3"/>
  <c r="K500" i="13" s="1"/>
  <c r="AG197" i="3"/>
  <c r="AG238" i="3"/>
  <c r="AG218" i="3"/>
  <c r="S217" i="20"/>
  <c r="S314" i="20"/>
  <c r="S234" i="20"/>
  <c r="CU203" i="3"/>
  <c r="CY203" i="3" s="1"/>
  <c r="O26" i="5"/>
  <c r="AG107" i="3"/>
  <c r="AG220" i="3"/>
  <c r="S252" i="20"/>
  <c r="CU107" i="3"/>
  <c r="K410" i="13" s="1"/>
  <c r="S266" i="20"/>
  <c r="AG300" i="3"/>
  <c r="AG205" i="3"/>
  <c r="S287" i="20"/>
  <c r="AG206" i="3"/>
  <c r="CU300" i="3"/>
  <c r="CY300" i="3" s="1"/>
  <c r="O19" i="5"/>
  <c r="O14" i="5"/>
  <c r="CU283" i="3"/>
  <c r="CY283" i="3" s="1"/>
  <c r="S206" i="20"/>
  <c r="O11" i="5"/>
  <c r="CU281" i="3"/>
  <c r="CY281" i="3" s="1"/>
  <c r="CU273" i="3"/>
  <c r="CY273" i="3" s="1"/>
  <c r="AG283" i="3"/>
  <c r="AG296" i="3"/>
  <c r="BB309" i="3"/>
  <c r="CU296" i="3"/>
  <c r="CY296" i="3" s="1"/>
  <c r="AG281" i="3"/>
  <c r="S220" i="20"/>
  <c r="AG273" i="3"/>
  <c r="O24" i="5"/>
  <c r="AG146" i="3"/>
  <c r="AG237" i="3"/>
  <c r="CU109" i="3"/>
  <c r="K412" i="13" s="1"/>
  <c r="AG147" i="3"/>
  <c r="AG150" i="3"/>
  <c r="CU232" i="3"/>
  <c r="CY232" i="3" s="1"/>
  <c r="CU185" i="3"/>
  <c r="K488" i="13" s="1"/>
  <c r="CU237" i="3"/>
  <c r="CY237" i="3" s="1"/>
  <c r="AG234" i="3"/>
  <c r="CU234" i="3"/>
  <c r="CY234" i="3" s="1"/>
  <c r="S160" i="20"/>
  <c r="CU150" i="3"/>
  <c r="K453" i="13" s="1"/>
  <c r="CU226" i="3"/>
  <c r="CY226" i="3" s="1"/>
  <c r="S240" i="20"/>
  <c r="CU96" i="3"/>
  <c r="K399" i="13" s="1"/>
  <c r="AG226" i="3"/>
  <c r="BD22" i="3"/>
  <c r="AG106" i="3"/>
  <c r="CU235" i="3"/>
  <c r="CY235" i="3" s="1"/>
  <c r="S260" i="20"/>
  <c r="AG192" i="3"/>
  <c r="BD23" i="3"/>
  <c r="CU192" i="3"/>
  <c r="K495" i="13" s="1"/>
  <c r="CU205" i="3"/>
  <c r="CY205" i="3" s="1"/>
  <c r="AG246" i="3"/>
  <c r="CL192" i="3"/>
  <c r="AG269" i="3"/>
  <c r="CU254" i="3"/>
  <c r="CY254" i="3" s="1"/>
  <c r="AG217" i="3"/>
  <c r="S120" i="20"/>
  <c r="S219" i="20"/>
  <c r="CU176" i="3"/>
  <c r="K479" i="13" s="1"/>
  <c r="S123" i="20"/>
  <c r="AG230" i="3"/>
  <c r="CU181" i="3"/>
  <c r="K484" i="13" s="1"/>
  <c r="S115" i="20"/>
  <c r="S286" i="20"/>
  <c r="CU121" i="3"/>
  <c r="K424" i="13" s="1"/>
  <c r="AG272" i="3"/>
  <c r="CU272" i="3"/>
  <c r="CY272" i="3" s="1"/>
  <c r="CU114" i="3"/>
  <c r="K417" i="13" s="1"/>
  <c r="AG114" i="3"/>
  <c r="AG225" i="3"/>
  <c r="S128" i="20"/>
  <c r="S208" i="20"/>
  <c r="CU95" i="3"/>
  <c r="K398" i="13" s="1"/>
  <c r="S164" i="20"/>
  <c r="AG194" i="3"/>
  <c r="AG233" i="3"/>
  <c r="AG270" i="3"/>
  <c r="CU233" i="3"/>
  <c r="CY233" i="3" s="1"/>
  <c r="S171" i="20"/>
  <c r="CU179" i="3"/>
  <c r="K482" i="13" s="1"/>
  <c r="AG102" i="3"/>
  <c r="CU157" i="3"/>
  <c r="K460" i="13" s="1"/>
  <c r="CU156" i="3"/>
  <c r="K459" i="13" s="1"/>
  <c r="CU110" i="3"/>
  <c r="K413" i="13" s="1"/>
  <c r="S303" i="20"/>
  <c r="AG156" i="3"/>
  <c r="S270" i="20"/>
  <c r="AG181" i="3"/>
  <c r="CU256" i="3"/>
  <c r="CY256" i="3" s="1"/>
  <c r="AG256" i="3"/>
  <c r="AG176" i="3"/>
  <c r="CU180" i="3"/>
  <c r="K483" i="13" s="1"/>
  <c r="AG276" i="3"/>
  <c r="AP10" i="3"/>
  <c r="S302" i="20"/>
  <c r="S319" i="20"/>
  <c r="CU288" i="3"/>
  <c r="CY288" i="3" s="1"/>
  <c r="CU305" i="3"/>
  <c r="CY305" i="3" s="1"/>
  <c r="CU292" i="3"/>
  <c r="CY292" i="3" s="1"/>
  <c r="AG109" i="3"/>
  <c r="AG271" i="3"/>
  <c r="AG137" i="3"/>
  <c r="CU128" i="3"/>
  <c r="K431" i="13" s="1"/>
  <c r="S178" i="20"/>
  <c r="CU279" i="3"/>
  <c r="CY279" i="3" s="1"/>
  <c r="CU308" i="3"/>
  <c r="CY308" i="3" s="1"/>
  <c r="CU137" i="3"/>
  <c r="K440" i="13" s="1"/>
  <c r="AG128" i="3"/>
  <c r="AG279" i="3"/>
  <c r="CU164" i="3"/>
  <c r="K467" i="13" s="1"/>
  <c r="S245" i="20"/>
  <c r="CU299" i="3"/>
  <c r="CY299" i="3" s="1"/>
  <c r="S110" i="20"/>
  <c r="AG291" i="3"/>
  <c r="S268" i="20"/>
  <c r="S308" i="20"/>
  <c r="CU291" i="3"/>
  <c r="CY291" i="3" s="1"/>
  <c r="CU263" i="3"/>
  <c r="CY263" i="3" s="1"/>
  <c r="CU287" i="3"/>
  <c r="CY287" i="3" s="1"/>
  <c r="S277" i="20"/>
  <c r="S288" i="20"/>
  <c r="AG286" i="3"/>
  <c r="AG118" i="3"/>
  <c r="AG267" i="3"/>
  <c r="CU269" i="3"/>
  <c r="CY269" i="3" s="1"/>
  <c r="AG274" i="3"/>
  <c r="CU267" i="3"/>
  <c r="CY267" i="3" s="1"/>
  <c r="AG292" i="3"/>
  <c r="AG257" i="3"/>
  <c r="CU266" i="3"/>
  <c r="CY266" i="3" s="1"/>
  <c r="CU118" i="3"/>
  <c r="K421" i="13" s="1"/>
  <c r="CU276" i="3"/>
  <c r="CY276" i="3" s="1"/>
  <c r="AG229" i="3"/>
  <c r="AG127" i="3"/>
  <c r="CU286" i="3"/>
  <c r="CY286" i="3" s="1"/>
  <c r="CU160" i="3"/>
  <c r="K463" i="13" s="1"/>
  <c r="CU140" i="3"/>
  <c r="K443" i="13" s="1"/>
  <c r="AG266" i="3"/>
  <c r="AG295" i="3"/>
  <c r="AG261" i="3"/>
  <c r="AG289" i="3"/>
  <c r="AG293" i="3"/>
  <c r="CU101" i="3"/>
  <c r="K404" i="13" s="1"/>
  <c r="S304" i="20"/>
  <c r="S298" i="20"/>
  <c r="AG113" i="3"/>
  <c r="CU293" i="3"/>
  <c r="CY293" i="3" s="1"/>
  <c r="CU195" i="3"/>
  <c r="K498" i="13" s="1"/>
  <c r="AG161" i="3"/>
  <c r="CU290" i="3"/>
  <c r="CY290" i="3" s="1"/>
  <c r="CU284" i="3"/>
  <c r="CY284" i="3" s="1"/>
  <c r="AG284" i="3"/>
  <c r="AG160" i="3"/>
  <c r="CU104" i="3"/>
  <c r="K407" i="13" s="1"/>
  <c r="CU257" i="3"/>
  <c r="CY257" i="3" s="1"/>
  <c r="AG140" i="3"/>
  <c r="CU229" i="3"/>
  <c r="CY229" i="3" s="1"/>
  <c r="CU161" i="3"/>
  <c r="K464" i="13" s="1"/>
  <c r="CU295" i="3"/>
  <c r="CY295" i="3" s="1"/>
  <c r="CU171" i="3"/>
  <c r="K474" i="13" s="1"/>
  <c r="CU274" i="3"/>
  <c r="CY274" i="3" s="1"/>
  <c r="S209" i="20"/>
  <c r="S190" i="20"/>
  <c r="S271" i="20"/>
  <c r="AG177" i="3"/>
  <c r="S292" i="20"/>
  <c r="CU278" i="3"/>
  <c r="CY278" i="3" s="1"/>
  <c r="S321" i="20"/>
  <c r="CU307" i="3"/>
  <c r="CY307" i="3" s="1"/>
  <c r="S130" i="20"/>
  <c r="CU116" i="3"/>
  <c r="K419" i="13" s="1"/>
  <c r="S90" i="20"/>
  <c r="CU76" i="3"/>
  <c r="K379" i="13" s="1"/>
  <c r="CU97" i="3"/>
  <c r="K400" i="13" s="1"/>
  <c r="AG97" i="3"/>
  <c r="S111" i="20"/>
  <c r="AG115" i="3"/>
  <c r="S129" i="20"/>
  <c r="CU119" i="3"/>
  <c r="K422" i="13" s="1"/>
  <c r="AG119" i="3"/>
  <c r="S137" i="20"/>
  <c r="CU123" i="3"/>
  <c r="K426" i="13" s="1"/>
  <c r="AG198" i="3"/>
  <c r="CU198" i="3"/>
  <c r="K501" i="13" s="1"/>
  <c r="S212" i="20"/>
  <c r="S235" i="20"/>
  <c r="CU221" i="3"/>
  <c r="CY221" i="3" s="1"/>
  <c r="S273" i="20"/>
  <c r="CU262" i="3"/>
  <c r="CY262" i="3" s="1"/>
  <c r="AG262" i="3"/>
  <c r="S320" i="20"/>
  <c r="AG306" i="3"/>
  <c r="S176" i="20"/>
  <c r="CU162" i="3"/>
  <c r="K465" i="13" s="1"/>
  <c r="DH219" i="3"/>
  <c r="AG275" i="3"/>
  <c r="S289" i="20"/>
  <c r="AG307" i="3"/>
  <c r="S192" i="20"/>
  <c r="CU178" i="3"/>
  <c r="K481" i="13" s="1"/>
  <c r="AG103" i="3"/>
  <c r="S117" i="20"/>
  <c r="AG139" i="3"/>
  <c r="CU139" i="3"/>
  <c r="K442" i="13" s="1"/>
  <c r="S169" i="20"/>
  <c r="CU155" i="3"/>
  <c r="K458" i="13" s="1"/>
  <c r="S311" i="20"/>
  <c r="CU297" i="3"/>
  <c r="CY297" i="3" s="1"/>
  <c r="AG297" i="3"/>
  <c r="CU183" i="3"/>
  <c r="K486" i="13" s="1"/>
  <c r="AG183" i="3"/>
  <c r="S179" i="20"/>
  <c r="CU165" i="3"/>
  <c r="K468" i="13" s="1"/>
  <c r="CU275" i="3"/>
  <c r="CY275" i="3" s="1"/>
  <c r="CU177" i="3"/>
  <c r="K480" i="13" s="1"/>
  <c r="CU103" i="3"/>
  <c r="K406" i="13" s="1"/>
  <c r="S133" i="20"/>
  <c r="AG76" i="3"/>
  <c r="S284" i="20"/>
  <c r="S318" i="20"/>
  <c r="S112" i="20"/>
  <c r="AG98" i="3"/>
  <c r="S134" i="20"/>
  <c r="CU120" i="3"/>
  <c r="K423" i="13" s="1"/>
  <c r="AG304" i="3"/>
  <c r="S198" i="20"/>
  <c r="AQ21" i="3"/>
  <c r="CU124" i="3"/>
  <c r="K427" i="13" s="1"/>
  <c r="AG124" i="3"/>
  <c r="AG278" i="3"/>
  <c r="S197" i="20"/>
  <c r="AG123" i="3"/>
  <c r="CU304" i="3"/>
  <c r="CY304" i="3" s="1"/>
  <c r="S276" i="20"/>
  <c r="S242" i="20"/>
  <c r="AG228" i="3"/>
  <c r="CU228" i="3"/>
  <c r="CY228" i="3" s="1"/>
  <c r="S238" i="20"/>
  <c r="CU224" i="3"/>
  <c r="CY224" i="3" s="1"/>
  <c r="AG224" i="3"/>
  <c r="S269" i="20"/>
  <c r="CU255" i="3"/>
  <c r="CY255" i="3" s="1"/>
  <c r="S278" i="20"/>
  <c r="AG264" i="3"/>
  <c r="S313" i="20"/>
  <c r="AG96" i="3"/>
  <c r="S305" i="20"/>
  <c r="S154" i="20"/>
  <c r="CU225" i="3"/>
  <c r="CY225" i="3" s="1"/>
  <c r="CU298" i="3"/>
  <c r="CY298" i="3" s="1"/>
  <c r="CU301" i="3"/>
  <c r="CY301" i="3" s="1"/>
  <c r="CU294" i="3"/>
  <c r="CY294" i="3" s="1"/>
  <c r="AG263" i="3"/>
  <c r="AG294" i="3"/>
  <c r="AG282" i="3"/>
  <c r="AG285" i="3"/>
  <c r="AG110" i="3"/>
  <c r="S312" i="20"/>
  <c r="S210" i="20"/>
  <c r="CU285" i="3"/>
  <c r="CY285" i="3" s="1"/>
  <c r="CU230" i="3"/>
  <c r="CY230" i="3" s="1"/>
  <c r="CU282" i="3"/>
  <c r="CY282" i="3" s="1"/>
  <c r="AG303" i="3"/>
  <c r="AG287" i="3"/>
  <c r="CU303" i="3"/>
  <c r="CY303" i="3" s="1"/>
  <c r="S239" i="20"/>
  <c r="AG171" i="3"/>
  <c r="AG178" i="3"/>
  <c r="S132" i="20"/>
  <c r="AG101" i="3"/>
  <c r="AG165" i="3"/>
  <c r="AG260" i="3"/>
  <c r="AG299" i="3"/>
  <c r="AG104" i="3"/>
  <c r="S274" i="20"/>
  <c r="AG184" i="3"/>
  <c r="S300" i="20"/>
  <c r="CU127" i="3"/>
  <c r="K430" i="13" s="1"/>
  <c r="CU138" i="3"/>
  <c r="K441" i="13" s="1"/>
  <c r="S153" i="20"/>
  <c r="AG95" i="3"/>
  <c r="AG302" i="3"/>
  <c r="AX214" i="3"/>
  <c r="AY214" i="3" s="1"/>
  <c r="AX77" i="3"/>
  <c r="AY77" i="3" s="1"/>
  <c r="AG116" i="3"/>
  <c r="AG280" i="3"/>
  <c r="AX215" i="3"/>
  <c r="AY215" i="3" s="1"/>
  <c r="AX221" i="3"/>
  <c r="AY221" i="3" s="1"/>
  <c r="CU98" i="3"/>
  <c r="K401" i="13" s="1"/>
  <c r="CU280" i="3"/>
  <c r="CY280" i="3" s="1"/>
  <c r="AG195" i="3"/>
  <c r="S282" i="20"/>
  <c r="AG258" i="3"/>
  <c r="AX226" i="3"/>
  <c r="AY226" i="3" s="1"/>
  <c r="AX220" i="3"/>
  <c r="AY220" i="3" s="1"/>
  <c r="AG120" i="3"/>
  <c r="AG151" i="3"/>
  <c r="CU227" i="3"/>
  <c r="CY227" i="3" s="1"/>
  <c r="CU268" i="3"/>
  <c r="CY268" i="3" s="1"/>
  <c r="CU173" i="3"/>
  <c r="K476" i="13" s="1"/>
  <c r="S241" i="20"/>
  <c r="AG268" i="3"/>
  <c r="AX213" i="3"/>
  <c r="AY213" i="3" s="1"/>
  <c r="CU93" i="3"/>
  <c r="K396" i="13" s="1"/>
  <c r="CU302" i="3"/>
  <c r="CY302" i="3" s="1"/>
  <c r="AG227" i="3"/>
  <c r="S107" i="20"/>
  <c r="AX232" i="3"/>
  <c r="AY232" i="3" s="1"/>
  <c r="AX212" i="3"/>
  <c r="AY212" i="3" s="1"/>
  <c r="AG405" i="5"/>
  <c r="L405" i="5" s="1"/>
  <c r="AG396" i="5"/>
  <c r="L396" i="5" s="1"/>
  <c r="AG403" i="5"/>
  <c r="L403" i="5" s="1"/>
  <c r="AG404" i="5"/>
  <c r="L404" i="5" s="1"/>
  <c r="AG402" i="5"/>
  <c r="L402" i="5" s="1"/>
  <c r="AG407" i="5"/>
  <c r="L407" i="5" s="1"/>
  <c r="AG408" i="5"/>
  <c r="L408" i="5" s="1"/>
  <c r="AG386" i="5"/>
  <c r="L386" i="5" s="1"/>
  <c r="AG365" i="5"/>
  <c r="L365" i="5" s="1"/>
  <c r="V386" i="5"/>
  <c r="AG393" i="5"/>
  <c r="L393" i="5" s="1"/>
  <c r="AG390" i="5"/>
  <c r="L390" i="5" s="1"/>
  <c r="AG372" i="5"/>
  <c r="L372" i="5" s="1"/>
  <c r="AG380" i="5"/>
  <c r="L380" i="5" s="1"/>
  <c r="AG385" i="5"/>
  <c r="L385" i="5" s="1"/>
  <c r="AG387" i="5"/>
  <c r="L387" i="5" s="1"/>
  <c r="AG378" i="5"/>
  <c r="L378" i="5" s="1"/>
  <c r="AG395" i="5"/>
  <c r="L395" i="5" s="1"/>
  <c r="AG364" i="5"/>
  <c r="L364" i="5" s="1"/>
  <c r="AG373" i="5"/>
  <c r="L373" i="5" s="1"/>
  <c r="V390" i="5"/>
  <c r="AG394" i="5"/>
  <c r="L394" i="5" s="1"/>
  <c r="AG382" i="5"/>
  <c r="L382" i="5" s="1"/>
  <c r="AG388" i="5"/>
  <c r="L388" i="5" s="1"/>
  <c r="AG370" i="5"/>
  <c r="L370" i="5" s="1"/>
  <c r="AG341" i="5"/>
  <c r="L341" i="5" s="1"/>
  <c r="AG332" i="5"/>
  <c r="L332" i="5" s="1"/>
  <c r="AG352" i="5"/>
  <c r="L352" i="5" s="1"/>
  <c r="AG362" i="5"/>
  <c r="L362" i="5" s="1"/>
  <c r="AG346" i="5"/>
  <c r="L346" i="5" s="1"/>
  <c r="AG363" i="5"/>
  <c r="L363" i="5" s="1"/>
  <c r="AG354" i="5"/>
  <c r="L354" i="5" s="1"/>
  <c r="AG344" i="5"/>
  <c r="L344" i="5" s="1"/>
  <c r="AG356" i="5"/>
  <c r="L356" i="5" s="1"/>
  <c r="V344" i="5"/>
  <c r="AG333" i="5"/>
  <c r="L333" i="5" s="1"/>
  <c r="AG339" i="5"/>
  <c r="L339" i="5" s="1"/>
  <c r="AG340" i="5"/>
  <c r="L340" i="5" s="1"/>
  <c r="AG343" i="5"/>
  <c r="L343" i="5" s="1"/>
  <c r="AG349" i="5"/>
  <c r="L349" i="5" s="1"/>
  <c r="AG322" i="5"/>
  <c r="L322" i="5" s="1"/>
  <c r="AG317" i="5"/>
  <c r="L317" i="5" s="1"/>
  <c r="AG325" i="5"/>
  <c r="L325" i="5" s="1"/>
  <c r="AG315" i="5"/>
  <c r="L315" i="5" s="1"/>
  <c r="AG316" i="5"/>
  <c r="L316" i="5" s="1"/>
  <c r="AG330" i="5"/>
  <c r="L330" i="5" s="1"/>
  <c r="AG308" i="5"/>
  <c r="L308" i="5" s="1"/>
  <c r="AG301" i="5"/>
  <c r="L301" i="5" s="1"/>
  <c r="AG318" i="5"/>
  <c r="L318" i="5" s="1"/>
  <c r="AG323" i="5"/>
  <c r="L323" i="5" s="1"/>
  <c r="AG309" i="5"/>
  <c r="L309" i="5" s="1"/>
  <c r="V318" i="5"/>
  <c r="AG331" i="5"/>
  <c r="L331" i="5" s="1"/>
  <c r="AG300" i="5"/>
  <c r="L300" i="5" s="1"/>
  <c r="AG324" i="5"/>
  <c r="L324" i="5" s="1"/>
  <c r="AG306" i="5"/>
  <c r="L306" i="5" s="1"/>
  <c r="AG314" i="5"/>
  <c r="L314" i="5" s="1"/>
  <c r="CL299" i="3"/>
  <c r="CL288" i="3"/>
  <c r="CL274" i="3"/>
  <c r="AG279" i="5"/>
  <c r="L279" i="5" s="1"/>
  <c r="AG292" i="5"/>
  <c r="L292" i="5" s="1"/>
  <c r="S306" i="20"/>
  <c r="AG269" i="5"/>
  <c r="L269" i="5" s="1"/>
  <c r="AG268" i="5"/>
  <c r="L268" i="5" s="1"/>
  <c r="AG298" i="5"/>
  <c r="L298" i="5" s="1"/>
  <c r="AG276" i="5"/>
  <c r="L276" i="5" s="1"/>
  <c r="AG293" i="5"/>
  <c r="L293" i="5" s="1"/>
  <c r="AG277" i="5"/>
  <c r="L277" i="5" s="1"/>
  <c r="AG275" i="5"/>
  <c r="L275" i="5" s="1"/>
  <c r="AG283" i="5"/>
  <c r="L283" i="5" s="1"/>
  <c r="V279" i="5"/>
  <c r="AG299" i="5"/>
  <c r="L299" i="5" s="1"/>
  <c r="AG272" i="5"/>
  <c r="L272" i="5" s="1"/>
  <c r="CL286" i="3"/>
  <c r="CL291" i="3"/>
  <c r="CL300" i="3"/>
  <c r="CL289" i="3"/>
  <c r="CL302" i="3"/>
  <c r="CL305" i="3"/>
  <c r="CL292" i="3"/>
  <c r="CL294" i="3"/>
  <c r="CL297" i="3"/>
  <c r="CL284" i="3"/>
  <c r="CL285" i="3"/>
  <c r="CL290" i="3"/>
  <c r="CL306" i="3"/>
  <c r="CL301" i="3"/>
  <c r="CL304" i="3"/>
  <c r="CL273" i="3"/>
  <c r="CL278" i="3"/>
  <c r="CL272" i="3"/>
  <c r="CL271" i="3"/>
  <c r="CL275" i="3"/>
  <c r="CL279" i="3"/>
  <c r="CL269" i="3"/>
  <c r="CL277" i="3"/>
  <c r="CL268" i="3"/>
  <c r="CL260" i="3"/>
  <c r="CL252" i="3"/>
  <c r="CU264" i="3"/>
  <c r="CY264" i="3" s="1"/>
  <c r="AG255" i="3"/>
  <c r="AG256" i="5"/>
  <c r="L256" i="5" s="1"/>
  <c r="CL265" i="3"/>
  <c r="CU261" i="3"/>
  <c r="CY261" i="3" s="1"/>
  <c r="AG261" i="5"/>
  <c r="L261" i="5" s="1"/>
  <c r="AG262" i="5"/>
  <c r="L262" i="5" s="1"/>
  <c r="AG260" i="5"/>
  <c r="L260" i="5" s="1"/>
  <c r="AG267" i="5"/>
  <c r="L267" i="5" s="1"/>
  <c r="CL267" i="3"/>
  <c r="V260" i="5"/>
  <c r="AG266" i="5"/>
  <c r="L266" i="5" s="1"/>
  <c r="AG253" i="5"/>
  <c r="L253" i="5" s="1"/>
  <c r="CL254" i="3"/>
  <c r="CL256" i="3"/>
  <c r="CL258" i="3"/>
  <c r="CL257" i="3"/>
  <c r="CL263" i="3"/>
  <c r="AG173" i="3"/>
  <c r="S186" i="20"/>
  <c r="AG168" i="3"/>
  <c r="CU172" i="3"/>
  <c r="K475" i="13" s="1"/>
  <c r="CU168" i="3"/>
  <c r="K471" i="13" s="1"/>
  <c r="CU167" i="3"/>
  <c r="K470" i="13" s="1"/>
  <c r="AG172" i="3"/>
  <c r="S181" i="20"/>
  <c r="CU182" i="3"/>
  <c r="K485" i="13" s="1"/>
  <c r="AG167" i="3"/>
  <c r="S170" i="20"/>
  <c r="S187" i="20"/>
  <c r="CL239" i="3"/>
  <c r="AG242" i="5"/>
  <c r="L242" i="5" s="1"/>
  <c r="CL241" i="3"/>
  <c r="CL236" i="3"/>
  <c r="CL248" i="3"/>
  <c r="CL251" i="3"/>
  <c r="CL242" i="3"/>
  <c r="CL250" i="3"/>
  <c r="CL246" i="3"/>
  <c r="CL243" i="3"/>
  <c r="CL237" i="3"/>
  <c r="CL240" i="3"/>
  <c r="CL238" i="3"/>
  <c r="CL245" i="3"/>
  <c r="CL247" i="3"/>
  <c r="CL253" i="3"/>
  <c r="CL244" i="3"/>
  <c r="CL249" i="3"/>
  <c r="AG232" i="3"/>
  <c r="CL231" i="3"/>
  <c r="AG234" i="5"/>
  <c r="L234" i="5" s="1"/>
  <c r="V234" i="5"/>
  <c r="AG231" i="3"/>
  <c r="AG235" i="3"/>
  <c r="CU231" i="3"/>
  <c r="CY231" i="3" s="1"/>
  <c r="S249" i="20"/>
  <c r="AG233" i="5"/>
  <c r="L233" i="5" s="1"/>
  <c r="CL230" i="3"/>
  <c r="CL235" i="3"/>
  <c r="AG227" i="5"/>
  <c r="L227" i="5" s="1"/>
  <c r="AG225" i="5"/>
  <c r="L225" i="5" s="1"/>
  <c r="CL224" i="3"/>
  <c r="CL225" i="3"/>
  <c r="AG222" i="5"/>
  <c r="L222" i="5" s="1"/>
  <c r="AG220" i="5"/>
  <c r="L220" i="5" s="1"/>
  <c r="CL223" i="3"/>
  <c r="CL218" i="3"/>
  <c r="CL222" i="3"/>
  <c r="AG217" i="5"/>
  <c r="L217" i="5" s="1"/>
  <c r="V217" i="5"/>
  <c r="CL217" i="3"/>
  <c r="CL216" i="3"/>
  <c r="V216" i="5"/>
  <c r="AG216" i="5"/>
  <c r="L216" i="5" s="1"/>
  <c r="AG214" i="5"/>
  <c r="L214" i="5" s="1"/>
  <c r="AG215" i="5"/>
  <c r="L215" i="5" s="1"/>
  <c r="AV215" i="13"/>
  <c r="AP215" i="13" s="1"/>
  <c r="AG213" i="5"/>
  <c r="L213" i="5" s="1"/>
  <c r="CL210" i="3"/>
  <c r="V211" i="5"/>
  <c r="CL211" i="3"/>
  <c r="AG211" i="5"/>
  <c r="L211" i="5" s="1"/>
  <c r="V210" i="5"/>
  <c r="AG210" i="5"/>
  <c r="L210" i="5" s="1"/>
  <c r="V208" i="5"/>
  <c r="AG208" i="5"/>
  <c r="L208" i="5" s="1"/>
  <c r="CL208" i="3"/>
  <c r="V209" i="5"/>
  <c r="AG209" i="5"/>
  <c r="L209" i="5" s="1"/>
  <c r="CL209" i="3"/>
  <c r="V206" i="5"/>
  <c r="AG206" i="5"/>
  <c r="L206" i="5" s="1"/>
  <c r="CL206" i="3"/>
  <c r="V207" i="5"/>
  <c r="AG207" i="5"/>
  <c r="L207" i="5" s="1"/>
  <c r="CL207" i="3"/>
  <c r="CL205" i="3"/>
  <c r="V204" i="5"/>
  <c r="AG204" i="5"/>
  <c r="L204" i="5" s="1"/>
  <c r="CL204" i="3"/>
  <c r="CL203" i="3"/>
  <c r="CL202" i="3"/>
  <c r="V202" i="5"/>
  <c r="AG202" i="5"/>
  <c r="L202" i="5" s="1"/>
  <c r="AL65" i="3"/>
  <c r="S121" i="20"/>
  <c r="AG196" i="3"/>
  <c r="AX36" i="3"/>
  <c r="AY36" i="3" s="1"/>
  <c r="AX65" i="3"/>
  <c r="AY65" i="3" s="1"/>
  <c r="V201" i="5"/>
  <c r="AG201" i="5"/>
  <c r="L201" i="5" s="1"/>
  <c r="AG200" i="5"/>
  <c r="L200" i="5" s="1"/>
  <c r="V199" i="5"/>
  <c r="AG199" i="5"/>
  <c r="L199" i="5" s="1"/>
  <c r="CU194" i="3"/>
  <c r="K497" i="13" s="1"/>
  <c r="AG198" i="5"/>
  <c r="L198" i="5" s="1"/>
  <c r="AG197" i="5"/>
  <c r="L197" i="5" s="1"/>
  <c r="V198" i="5"/>
  <c r="CM193" i="3"/>
  <c r="S193" i="3"/>
  <c r="V197" i="5"/>
  <c r="V196" i="5"/>
  <c r="AG196" i="5"/>
  <c r="L196" i="5" s="1"/>
  <c r="AG195" i="5"/>
  <c r="L195" i="5" s="1"/>
  <c r="S189" i="3"/>
  <c r="V192" i="5"/>
  <c r="AG192" i="5"/>
  <c r="L192" i="5" s="1"/>
  <c r="V191" i="5"/>
  <c r="AG191" i="5"/>
  <c r="L191" i="5" s="1"/>
  <c r="V190" i="5"/>
  <c r="AG190" i="5"/>
  <c r="L190" i="5" s="1"/>
  <c r="CL190" i="3"/>
  <c r="V189" i="5"/>
  <c r="AG189" i="5"/>
  <c r="L189" i="5" s="1"/>
  <c r="V188" i="5"/>
  <c r="AG188" i="5"/>
  <c r="L188" i="5" s="1"/>
  <c r="V187" i="5"/>
  <c r="AG187" i="5"/>
  <c r="L187" i="5" s="1"/>
  <c r="V186" i="5"/>
  <c r="AG186" i="5"/>
  <c r="L186" i="5" s="1"/>
  <c r="V185" i="5"/>
  <c r="AG185" i="5"/>
  <c r="L185" i="5" s="1"/>
  <c r="CM169" i="3"/>
  <c r="S169" i="3"/>
  <c r="AG164" i="3"/>
  <c r="CM159" i="3"/>
  <c r="CM166" i="3"/>
  <c r="CL156" i="3"/>
  <c r="S196" i="20"/>
  <c r="S193" i="20"/>
  <c r="S159" i="3"/>
  <c r="AG162" i="3"/>
  <c r="S194" i="20"/>
  <c r="CM175" i="3"/>
  <c r="S166" i="3"/>
  <c r="V164" i="5"/>
  <c r="CL164" i="3"/>
  <c r="AG164" i="5"/>
  <c r="L164" i="5" s="1"/>
  <c r="V175" i="5"/>
  <c r="AG175" i="5"/>
  <c r="L175" i="5" s="1"/>
  <c r="V166" i="5"/>
  <c r="AG166" i="5"/>
  <c r="L166" i="5" s="1"/>
  <c r="V179" i="5"/>
  <c r="AG179" i="5"/>
  <c r="L179" i="5" s="1"/>
  <c r="V170" i="5"/>
  <c r="AG170" i="5"/>
  <c r="L170" i="5" s="1"/>
  <c r="V160" i="5"/>
  <c r="AG160" i="5"/>
  <c r="L160" i="5" s="1"/>
  <c r="V184" i="5"/>
  <c r="AG184" i="5"/>
  <c r="L184" i="5" s="1"/>
  <c r="V172" i="5"/>
  <c r="AG172" i="5"/>
  <c r="L172" i="5" s="1"/>
  <c r="V161" i="5"/>
  <c r="AG161" i="5"/>
  <c r="L161" i="5" s="1"/>
  <c r="V159" i="5"/>
  <c r="AG159" i="5"/>
  <c r="L159" i="5" s="1"/>
  <c r="AG181" i="5"/>
  <c r="L181" i="5" s="1"/>
  <c r="V165" i="5"/>
  <c r="AG165" i="5"/>
  <c r="L165" i="5" s="1"/>
  <c r="V169" i="5"/>
  <c r="AG169" i="5"/>
  <c r="L169" i="5" s="1"/>
  <c r="V168" i="5"/>
  <c r="AG168" i="5"/>
  <c r="L168" i="5" s="1"/>
  <c r="V157" i="5"/>
  <c r="AG157" i="5"/>
  <c r="L157" i="5" s="1"/>
  <c r="V183" i="5"/>
  <c r="AG183" i="5"/>
  <c r="L183" i="5" s="1"/>
  <c r="V182" i="5"/>
  <c r="AG182" i="5"/>
  <c r="L182" i="5" s="1"/>
  <c r="V173" i="5"/>
  <c r="AG173" i="5"/>
  <c r="L173" i="5" s="1"/>
  <c r="V158" i="5"/>
  <c r="AG158" i="5"/>
  <c r="L158" i="5" s="1"/>
  <c r="V171" i="5"/>
  <c r="AG171" i="5"/>
  <c r="L171" i="5" s="1"/>
  <c r="CL153" i="3"/>
  <c r="AG149" i="3"/>
  <c r="CU149" i="3"/>
  <c r="K452" i="13" s="1"/>
  <c r="S165" i="20"/>
  <c r="CU151" i="3"/>
  <c r="K454" i="13" s="1"/>
  <c r="V155" i="5"/>
  <c r="AG155" i="5"/>
  <c r="L155" i="5" s="1"/>
  <c r="AG156" i="5"/>
  <c r="L156" i="5" s="1"/>
  <c r="V153" i="5"/>
  <c r="AG153" i="5"/>
  <c r="L153" i="5" s="1"/>
  <c r="AG152" i="5"/>
  <c r="L152" i="5" s="1"/>
  <c r="V151" i="5"/>
  <c r="AG151" i="5"/>
  <c r="L151" i="5" s="1"/>
  <c r="V149" i="5"/>
  <c r="AG149" i="5"/>
  <c r="L149" i="5" s="1"/>
  <c r="V150" i="5"/>
  <c r="AG150" i="5"/>
  <c r="L150" i="5" s="1"/>
  <c r="V147" i="5"/>
  <c r="AG147" i="5"/>
  <c r="L147" i="5" s="1"/>
  <c r="V145" i="5"/>
  <c r="AG145" i="5"/>
  <c r="L145" i="5" s="1"/>
  <c r="CL145" i="3"/>
  <c r="V146" i="5"/>
  <c r="AG146" i="5"/>
  <c r="L146" i="5" s="1"/>
  <c r="V144" i="5"/>
  <c r="AG144" i="5"/>
  <c r="L144" i="5" s="1"/>
  <c r="V141" i="5"/>
  <c r="AG141" i="5"/>
  <c r="L141" i="5" s="1"/>
  <c r="V142" i="5"/>
  <c r="AG142" i="5"/>
  <c r="L142" i="5" s="1"/>
  <c r="V139" i="5"/>
  <c r="AG139" i="5"/>
  <c r="L139" i="5" s="1"/>
  <c r="V140" i="5"/>
  <c r="AG140" i="5"/>
  <c r="L140" i="5" s="1"/>
  <c r="S152" i="20"/>
  <c r="AG138" i="3"/>
  <c r="V138" i="5"/>
  <c r="AG138" i="5"/>
  <c r="L138" i="5" s="1"/>
  <c r="V136" i="5"/>
  <c r="AG136" i="5"/>
  <c r="L136" i="5" s="1"/>
  <c r="V135" i="5"/>
  <c r="AG135" i="5"/>
  <c r="L135" i="5" s="1"/>
  <c r="V133" i="5"/>
  <c r="AG133" i="5"/>
  <c r="L133" i="5" s="1"/>
  <c r="V134" i="5"/>
  <c r="AG134" i="5"/>
  <c r="L134" i="5" s="1"/>
  <c r="V132" i="5"/>
  <c r="AG132" i="5"/>
  <c r="L132" i="5" s="1"/>
  <c r="V131" i="5"/>
  <c r="AG131" i="5"/>
  <c r="L131" i="5" s="1"/>
  <c r="S129" i="3"/>
  <c r="V130" i="5"/>
  <c r="AG130" i="5"/>
  <c r="L130" i="5" s="1"/>
  <c r="AG128" i="5"/>
  <c r="L128" i="5" s="1"/>
  <c r="V127" i="5"/>
  <c r="AG127" i="5"/>
  <c r="L127" i="5" s="1"/>
  <c r="V125" i="5"/>
  <c r="AG125" i="5"/>
  <c r="L125" i="5" s="1"/>
  <c r="AG117" i="3"/>
  <c r="AG122" i="3"/>
  <c r="AX116" i="3"/>
  <c r="AY116" i="3" s="1"/>
  <c r="CU122" i="3"/>
  <c r="K425" i="13" s="1"/>
  <c r="CU117" i="3"/>
  <c r="K420" i="13" s="1"/>
  <c r="CU113" i="3"/>
  <c r="K416" i="13" s="1"/>
  <c r="S135" i="20"/>
  <c r="AX115" i="3"/>
  <c r="AY115" i="3" s="1"/>
  <c r="AG124" i="5"/>
  <c r="L124" i="5" s="1"/>
  <c r="AG121" i="5"/>
  <c r="L121" i="5" s="1"/>
  <c r="AG122" i="5"/>
  <c r="L122" i="5" s="1"/>
  <c r="AG118" i="5"/>
  <c r="L118" i="5" s="1"/>
  <c r="AG115" i="5"/>
  <c r="L115" i="5" s="1"/>
  <c r="AG116" i="5"/>
  <c r="L116" i="5" s="1"/>
  <c r="V114" i="5"/>
  <c r="AG114" i="5"/>
  <c r="L114" i="5" s="1"/>
  <c r="V113" i="5"/>
  <c r="AG113" i="5"/>
  <c r="L113" i="5" s="1"/>
  <c r="V111" i="5"/>
  <c r="AG111" i="5"/>
  <c r="L111" i="5" s="1"/>
  <c r="AG109" i="5"/>
  <c r="L109" i="5" s="1"/>
  <c r="V110" i="5"/>
  <c r="AG110" i="5"/>
  <c r="L110" i="5" s="1"/>
  <c r="CU108" i="3"/>
  <c r="K411" i="13" s="1"/>
  <c r="CL107" i="3"/>
  <c r="AG108" i="3"/>
  <c r="V108" i="5"/>
  <c r="AG108" i="5"/>
  <c r="L108" i="5" s="1"/>
  <c r="AG107" i="5"/>
  <c r="L107" i="5" s="1"/>
  <c r="V105" i="5"/>
  <c r="AG105" i="5"/>
  <c r="L105" i="5" s="1"/>
  <c r="V106" i="5"/>
  <c r="AG106" i="5"/>
  <c r="L106" i="5" s="1"/>
  <c r="AG104" i="5"/>
  <c r="L104" i="5" s="1"/>
  <c r="V102" i="5"/>
  <c r="AG102" i="5"/>
  <c r="L102" i="5" s="1"/>
  <c r="V99" i="5"/>
  <c r="AG99" i="5"/>
  <c r="L99" i="5" s="1"/>
  <c r="V100" i="5"/>
  <c r="CL100" i="3"/>
  <c r="AG100" i="5"/>
  <c r="L100" i="5" s="1"/>
  <c r="V97" i="5"/>
  <c r="AG97" i="5"/>
  <c r="L97" i="5" s="1"/>
  <c r="V98" i="5"/>
  <c r="AG98" i="5"/>
  <c r="L98" i="5" s="1"/>
  <c r="CL96" i="3"/>
  <c r="V96" i="5"/>
  <c r="AG96" i="5"/>
  <c r="L96" i="5" s="1"/>
  <c r="V95" i="5"/>
  <c r="AG95" i="5"/>
  <c r="L95" i="5" s="1"/>
  <c r="AG94" i="3"/>
  <c r="S108" i="20"/>
  <c r="CU94" i="3"/>
  <c r="K397" i="13" s="1"/>
  <c r="V94" i="5"/>
  <c r="AG94" i="5"/>
  <c r="L94" i="5" s="1"/>
  <c r="V93" i="5"/>
  <c r="AG93" i="5"/>
  <c r="L93" i="5" s="1"/>
  <c r="V91" i="5"/>
  <c r="AG91" i="5"/>
  <c r="L91" i="5" s="1"/>
  <c r="V92" i="5"/>
  <c r="AG92" i="5"/>
  <c r="L92" i="5" s="1"/>
  <c r="AG90" i="5"/>
  <c r="L90" i="5" s="1"/>
  <c r="V89" i="5"/>
  <c r="AG89" i="5"/>
  <c r="L89" i="5" s="1"/>
  <c r="AG87" i="5"/>
  <c r="L87" i="5" s="1"/>
  <c r="V88" i="5"/>
  <c r="AG88" i="5"/>
  <c r="L88" i="5" s="1"/>
  <c r="V85" i="5"/>
  <c r="AG85" i="5"/>
  <c r="L85" i="5" s="1"/>
  <c r="AG86" i="5"/>
  <c r="L86" i="5" s="1"/>
  <c r="CL84" i="3"/>
  <c r="AG83" i="5"/>
  <c r="L83" i="5" s="1"/>
  <c r="V82" i="5"/>
  <c r="AG82" i="5"/>
  <c r="L82" i="5" s="1"/>
  <c r="V79" i="5"/>
  <c r="AG79" i="5"/>
  <c r="L79" i="5" s="1"/>
  <c r="AG80" i="5"/>
  <c r="L80" i="5" s="1"/>
  <c r="AG77" i="5"/>
  <c r="L77" i="5" s="1"/>
  <c r="AG78" i="5"/>
  <c r="L78" i="5" s="1"/>
  <c r="AG75" i="5"/>
  <c r="L75" i="5" s="1"/>
  <c r="CU73" i="3"/>
  <c r="K376" i="13" s="1"/>
  <c r="AG73" i="3"/>
  <c r="AG74" i="5"/>
  <c r="L74" i="5" s="1"/>
  <c r="AG73" i="5"/>
  <c r="L73" i="5" s="1"/>
  <c r="V72" i="5"/>
  <c r="AG72" i="5"/>
  <c r="L72" i="5" s="1"/>
  <c r="V71" i="5"/>
  <c r="AG71" i="5"/>
  <c r="L71" i="5" s="1"/>
  <c r="V70" i="5"/>
  <c r="AG70" i="5"/>
  <c r="L70" i="5" s="1"/>
  <c r="AG66" i="5"/>
  <c r="L66" i="5" s="1"/>
  <c r="CM64" i="3"/>
  <c r="V64" i="5"/>
  <c r="AG64" i="5"/>
  <c r="L64" i="5" s="1"/>
  <c r="V63" i="5"/>
  <c r="AG63" i="5"/>
  <c r="L63" i="5" s="1"/>
  <c r="V61" i="5"/>
  <c r="AG61" i="5"/>
  <c r="L61" i="5" s="1"/>
  <c r="V60" i="5"/>
  <c r="AG60" i="5"/>
  <c r="L60" i="5" s="1"/>
  <c r="V57" i="5"/>
  <c r="AG57" i="5"/>
  <c r="L57" i="5" s="1"/>
  <c r="V56" i="5"/>
  <c r="AG56" i="5"/>
  <c r="L56" i="5" s="1"/>
  <c r="V53" i="5"/>
  <c r="AG53" i="5"/>
  <c r="L53" i="5" s="1"/>
  <c r="V50" i="5"/>
  <c r="AG50" i="5"/>
  <c r="L50" i="5" s="1"/>
  <c r="V49" i="5"/>
  <c r="AG49" i="5"/>
  <c r="L49" i="5" s="1"/>
  <c r="AG38" i="5"/>
  <c r="L38" i="5" s="1"/>
  <c r="BD29" i="3"/>
  <c r="AQ12" i="3"/>
  <c r="AQ34" i="3"/>
  <c r="AQ13" i="3"/>
  <c r="S13" i="3" s="1"/>
  <c r="AQ31" i="3"/>
  <c r="AQ28" i="3"/>
  <c r="AQ23" i="3"/>
  <c r="AQ19" i="3"/>
  <c r="AQ32" i="3"/>
  <c r="AQ20" i="3"/>
  <c r="AQ33" i="3"/>
  <c r="AQ29" i="3"/>
  <c r="AX15" i="3"/>
  <c r="L434" i="20" a="1"/>
  <c r="L434" i="20" s="1"/>
  <c r="L15" i="24" s="1"/>
  <c r="L437" i="20" a="1"/>
  <c r="L437" i="20" s="1"/>
  <c r="L18" i="24" s="1"/>
  <c r="L435" i="20" a="1"/>
  <c r="L435" i="20" s="1"/>
  <c r="L16" i="24" s="1"/>
  <c r="L429" i="20" a="1"/>
  <c r="L429" i="20" s="1"/>
  <c r="L10" i="24" s="1"/>
  <c r="L438" i="20" a="1"/>
  <c r="L438" i="20" s="1"/>
  <c r="L19" i="24" s="1"/>
  <c r="L430" i="20" a="1"/>
  <c r="L430" i="20" s="1"/>
  <c r="L11" i="24" s="1"/>
  <c r="L428" i="20" a="1"/>
  <c r="L428" i="20" s="1"/>
  <c r="L436" i="20" a="1"/>
  <c r="L436" i="20" s="1"/>
  <c r="L17" i="24" s="1"/>
  <c r="L431" i="20" a="1"/>
  <c r="L431" i="20" s="1"/>
  <c r="L12" i="24" s="1"/>
  <c r="L433" i="20" a="1"/>
  <c r="L433" i="20" s="1"/>
  <c r="L14" i="24" s="1"/>
  <c r="L432" i="20" a="1"/>
  <c r="L432" i="20" s="1"/>
  <c r="L13" i="24" s="1"/>
  <c r="L439" i="20" a="1"/>
  <c r="L439" i="20" s="1"/>
  <c r="L20" i="24" s="1"/>
  <c r="L440" i="20" a="1"/>
  <c r="L440" i="20" s="1"/>
  <c r="L21" i="24" s="1"/>
  <c r="O29" i="5"/>
  <c r="AQ18" i="3"/>
  <c r="AG32" i="5"/>
  <c r="L32" i="5" s="1"/>
  <c r="AG31" i="5"/>
  <c r="L31" i="5" s="1"/>
  <c r="V80" i="5"/>
  <c r="V304" i="5"/>
  <c r="V152" i="5"/>
  <c r="V195" i="5"/>
  <c r="V86" i="5"/>
  <c r="V83" i="5"/>
  <c r="V107" i="5"/>
  <c r="V287" i="5"/>
  <c r="V387" i="5"/>
  <c r="V247" i="5"/>
  <c r="V87" i="5"/>
  <c r="V392" i="5"/>
  <c r="V109" i="5"/>
  <c r="V90" i="5"/>
  <c r="V328" i="5"/>
  <c r="V128" i="5"/>
  <c r="V291" i="5"/>
  <c r="V181" i="5"/>
  <c r="V310" i="5"/>
  <c r="V361" i="5"/>
  <c r="V200" i="5"/>
  <c r="V286" i="5"/>
  <c r="V248" i="5"/>
  <c r="V104" i="5"/>
  <c r="V223" i="5"/>
  <c r="V394" i="5"/>
  <c r="V156" i="5"/>
  <c r="BS20" i="3"/>
  <c r="BS15" i="3"/>
  <c r="BS28" i="3"/>
  <c r="BS19" i="3"/>
  <c r="BS27" i="3"/>
  <c r="AQ14" i="3"/>
  <c r="AQ11" i="3"/>
  <c r="AQ30" i="3" l="1"/>
  <c r="AW30" i="3"/>
  <c r="M52" i="13"/>
  <c r="S39" i="24"/>
  <c r="O37" i="13"/>
  <c r="P37" i="13" s="1"/>
  <c r="BS18" i="3"/>
  <c r="Q51" i="13"/>
  <c r="V51" i="13" s="1"/>
  <c r="BS21" i="3"/>
  <c r="BV175" i="3"/>
  <c r="BV159" i="3"/>
  <c r="BV61" i="3"/>
  <c r="BV99" i="3"/>
  <c r="CY99" i="3"/>
  <c r="BV70" i="3"/>
  <c r="CY76" i="3"/>
  <c r="BV76" i="3"/>
  <c r="BV123" i="3"/>
  <c r="CY123" i="3"/>
  <c r="CY118" i="3"/>
  <c r="BV118" i="3"/>
  <c r="CY130" i="3"/>
  <c r="BV130" i="3"/>
  <c r="CY141" i="3"/>
  <c r="BV141" i="3"/>
  <c r="BV147" i="3"/>
  <c r="CY147" i="3"/>
  <c r="CY162" i="3"/>
  <c r="BV162" i="3"/>
  <c r="CY164" i="3"/>
  <c r="BV164" i="3"/>
  <c r="CY181" i="3"/>
  <c r="BV181" i="3"/>
  <c r="CY200" i="3"/>
  <c r="BV200" i="3"/>
  <c r="BV64" i="3"/>
  <c r="BV83" i="3"/>
  <c r="BV86" i="3"/>
  <c r="CY98" i="3"/>
  <c r="BV98" i="3"/>
  <c r="CY73" i="3"/>
  <c r="BV73" i="3"/>
  <c r="CY114" i="3"/>
  <c r="BV114" i="3"/>
  <c r="CY113" i="3"/>
  <c r="BV113" i="3"/>
  <c r="CY143" i="3"/>
  <c r="BV143" i="3"/>
  <c r="CY148" i="3"/>
  <c r="BV148" i="3"/>
  <c r="CY165" i="3"/>
  <c r="BV165" i="3"/>
  <c r="CY176" i="3"/>
  <c r="BV176" i="3"/>
  <c r="CY184" i="3"/>
  <c r="BV184" i="3"/>
  <c r="CY201" i="3"/>
  <c r="BV201" i="3"/>
  <c r="BV84" i="3"/>
  <c r="CY96" i="3"/>
  <c r="CY135" i="3"/>
  <c r="CY132" i="3"/>
  <c r="BV57" i="3"/>
  <c r="BV65" i="3"/>
  <c r="BV68" i="3"/>
  <c r="CY102" i="3"/>
  <c r="BV102" i="3"/>
  <c r="CY117" i="3"/>
  <c r="BV117" i="3"/>
  <c r="CY111" i="3"/>
  <c r="BV111" i="3"/>
  <c r="CY124" i="3"/>
  <c r="BV124" i="3"/>
  <c r="CY136" i="3"/>
  <c r="BV136" i="3"/>
  <c r="CY160" i="3"/>
  <c r="BV160" i="3"/>
  <c r="CY173" i="3"/>
  <c r="BV173" i="3"/>
  <c r="CY177" i="3"/>
  <c r="BV177" i="3"/>
  <c r="CY197" i="3"/>
  <c r="BV197" i="3"/>
  <c r="BV199" i="3"/>
  <c r="CY199" i="3"/>
  <c r="BV169" i="3"/>
  <c r="BV193" i="3"/>
  <c r="BV67" i="3"/>
  <c r="BV66" i="3"/>
  <c r="CY94" i="3"/>
  <c r="BV94" i="3"/>
  <c r="CY110" i="3"/>
  <c r="BV110" i="3"/>
  <c r="CY119" i="3"/>
  <c r="BV119" i="3"/>
  <c r="CY128" i="3"/>
  <c r="BV128" i="3"/>
  <c r="CY138" i="3"/>
  <c r="BV138" i="3"/>
  <c r="CY154" i="3"/>
  <c r="BV154" i="3"/>
  <c r="CY168" i="3"/>
  <c r="BV168" i="3"/>
  <c r="BV179" i="3"/>
  <c r="CY179" i="3"/>
  <c r="CY188" i="3"/>
  <c r="BV188" i="3"/>
  <c r="BV198" i="3"/>
  <c r="CY198" i="3"/>
  <c r="CY134" i="3"/>
  <c r="CY153" i="3"/>
  <c r="CY156" i="3"/>
  <c r="BV82" i="3"/>
  <c r="BV80" i="3"/>
  <c r="CY109" i="3"/>
  <c r="BV109" i="3"/>
  <c r="CY116" i="3"/>
  <c r="BV116" i="3"/>
  <c r="CY106" i="3"/>
  <c r="BV106" i="3"/>
  <c r="CY133" i="3"/>
  <c r="BV133" i="3"/>
  <c r="CY137" i="3"/>
  <c r="BV137" i="3"/>
  <c r="CY161" i="3"/>
  <c r="BV161" i="3"/>
  <c r="CY172" i="3"/>
  <c r="BV172" i="3"/>
  <c r="CY178" i="3"/>
  <c r="BV178" i="3"/>
  <c r="CY191" i="3"/>
  <c r="BV191" i="3"/>
  <c r="CY185" i="3"/>
  <c r="BV185" i="3"/>
  <c r="CY196" i="3"/>
  <c r="CY100" i="3"/>
  <c r="BV100" i="3"/>
  <c r="CY104" i="3"/>
  <c r="BV104" i="3"/>
  <c r="BV115" i="3"/>
  <c r="CY115" i="3"/>
  <c r="CY108" i="3"/>
  <c r="BV108" i="3"/>
  <c r="CY139" i="3"/>
  <c r="BV139" i="3"/>
  <c r="CY150" i="3"/>
  <c r="BV150" i="3"/>
  <c r="BV158" i="3"/>
  <c r="CY167" i="3"/>
  <c r="BV167" i="3"/>
  <c r="CY183" i="3"/>
  <c r="BV183" i="3"/>
  <c r="BV195" i="3"/>
  <c r="CY195" i="3"/>
  <c r="CY149" i="3"/>
  <c r="BV149" i="3"/>
  <c r="CY69" i="3"/>
  <c r="BV69" i="3"/>
  <c r="CY125" i="3"/>
  <c r="CY190" i="3"/>
  <c r="CY112" i="3"/>
  <c r="CY103" i="3"/>
  <c r="BV103" i="3"/>
  <c r="BV89" i="3"/>
  <c r="CY95" i="3"/>
  <c r="BV95" i="3"/>
  <c r="CY105" i="3"/>
  <c r="BV105" i="3"/>
  <c r="CY122" i="3"/>
  <c r="BV122" i="3"/>
  <c r="CY127" i="3"/>
  <c r="BV127" i="3"/>
  <c r="CY140" i="3"/>
  <c r="BV140" i="3"/>
  <c r="CY152" i="3"/>
  <c r="BV152" i="3"/>
  <c r="CY155" i="3"/>
  <c r="BV155" i="3"/>
  <c r="CY180" i="3"/>
  <c r="BV180" i="3"/>
  <c r="BV194" i="3"/>
  <c r="CY194" i="3"/>
  <c r="CY186" i="3"/>
  <c r="BV186" i="3"/>
  <c r="CY107" i="3"/>
  <c r="BV166" i="3"/>
  <c r="CY101" i="3"/>
  <c r="BV101" i="3"/>
  <c r="CY97" i="3"/>
  <c r="BV97" i="3"/>
  <c r="CY93" i="3"/>
  <c r="BV93" i="3"/>
  <c r="CY120" i="3"/>
  <c r="BV120" i="3"/>
  <c r="CY121" i="3"/>
  <c r="BV121" i="3"/>
  <c r="CY126" i="3"/>
  <c r="BV126" i="3"/>
  <c r="CY142" i="3"/>
  <c r="BV142" i="3"/>
  <c r="CY145" i="3"/>
  <c r="BV145" i="3"/>
  <c r="CY157" i="3"/>
  <c r="BV157" i="3"/>
  <c r="BV171" i="3"/>
  <c r="CY171" i="3"/>
  <c r="CY182" i="3"/>
  <c r="BV182" i="3"/>
  <c r="BV187" i="3"/>
  <c r="CY187" i="3"/>
  <c r="CY192" i="3"/>
  <c r="CY144" i="3"/>
  <c r="CY151" i="3"/>
  <c r="E43" i="22"/>
  <c r="Q42" i="13"/>
  <c r="V42" i="13" s="1"/>
  <c r="BS13" i="3"/>
  <c r="AL43" i="3"/>
  <c r="BR43" i="3"/>
  <c r="BI43" i="3" s="1"/>
  <c r="AL41" i="3"/>
  <c r="BR41" i="3"/>
  <c r="BI41" i="3" s="1"/>
  <c r="AL39" i="3"/>
  <c r="BR39" i="3"/>
  <c r="BI39" i="3" s="1"/>
  <c r="BS17" i="3"/>
  <c r="Q43" i="13"/>
  <c r="V43" i="13" s="1"/>
  <c r="M49" i="13"/>
  <c r="M37" i="13"/>
  <c r="M47" i="13"/>
  <c r="M45" i="13"/>
  <c r="Q48" i="13"/>
  <c r="V48" i="13" s="1"/>
  <c r="Q50" i="13"/>
  <c r="V50" i="13" s="1"/>
  <c r="M50" i="13"/>
  <c r="DW41" i="3"/>
  <c r="Q40" i="13"/>
  <c r="V40" i="13" s="1"/>
  <c r="M39" i="13"/>
  <c r="Q46" i="13"/>
  <c r="V46" i="13" s="1"/>
  <c r="M41" i="13"/>
  <c r="Q47" i="13"/>
  <c r="V47" i="13" s="1"/>
  <c r="M36" i="13"/>
  <c r="M44" i="13"/>
  <c r="L32" i="13"/>
  <c r="B32" i="13"/>
  <c r="B332" i="13"/>
  <c r="AQ16" i="3"/>
  <c r="S16" i="3" s="1"/>
  <c r="B319" i="13"/>
  <c r="B19" i="13"/>
  <c r="K35" i="13"/>
  <c r="B335" i="13"/>
  <c r="B35" i="13"/>
  <c r="K34" i="13"/>
  <c r="B34" i="13"/>
  <c r="B334" i="13"/>
  <c r="L33" i="13"/>
  <c r="B333" i="13"/>
  <c r="B33" i="13"/>
  <c r="AQ24" i="3"/>
  <c r="S24" i="3" s="1"/>
  <c r="B327" i="13"/>
  <c r="B27" i="13"/>
  <c r="DW43" i="3"/>
  <c r="L34" i="13"/>
  <c r="L35" i="13"/>
  <c r="Q44" i="13"/>
  <c r="V44" i="13" s="1"/>
  <c r="L19" i="13"/>
  <c r="BS16" i="3"/>
  <c r="Q39" i="13"/>
  <c r="V39" i="13" s="1"/>
  <c r="K19" i="13"/>
  <c r="Q37" i="13"/>
  <c r="V37" i="13" s="1"/>
  <c r="CN130" i="3"/>
  <c r="AR30" i="3"/>
  <c r="AR28" i="3"/>
  <c r="CU28" i="3" s="1"/>
  <c r="DX28" i="3" s="1"/>
  <c r="CN166" i="3"/>
  <c r="AR17" i="3"/>
  <c r="CM17" i="3" s="1"/>
  <c r="CN86" i="3"/>
  <c r="CN98" i="3"/>
  <c r="CN73" i="3"/>
  <c r="CN114" i="3"/>
  <c r="CN113" i="3"/>
  <c r="CN143" i="3"/>
  <c r="CN148" i="3"/>
  <c r="CN165" i="3"/>
  <c r="CN176" i="3"/>
  <c r="CN184" i="3"/>
  <c r="CN201" i="3"/>
  <c r="CN123" i="3"/>
  <c r="CN164" i="3"/>
  <c r="CN175" i="3"/>
  <c r="CN61" i="3"/>
  <c r="CN65" i="3"/>
  <c r="CN68" i="3"/>
  <c r="CN102" i="3"/>
  <c r="CN117" i="3"/>
  <c r="CN111" i="3"/>
  <c r="CN124" i="3"/>
  <c r="CN136" i="3"/>
  <c r="CN160" i="3"/>
  <c r="CN173" i="3"/>
  <c r="CN177" i="3"/>
  <c r="CN197" i="3"/>
  <c r="CN199" i="3"/>
  <c r="CN69" i="3"/>
  <c r="AR35" i="3"/>
  <c r="CM35" i="3" s="1"/>
  <c r="CN99" i="3"/>
  <c r="CN76" i="3"/>
  <c r="CN141" i="3"/>
  <c r="CN162" i="3"/>
  <c r="CN200" i="3"/>
  <c r="AR31" i="3"/>
  <c r="CN159" i="3"/>
  <c r="AR13" i="3"/>
  <c r="CM13" i="3" s="1"/>
  <c r="CN64" i="3"/>
  <c r="AR21" i="3"/>
  <c r="S35" i="20" s="1"/>
  <c r="AR27" i="3"/>
  <c r="CM27" i="3" s="1"/>
  <c r="CN83" i="3"/>
  <c r="CN66" i="3"/>
  <c r="CN94" i="3"/>
  <c r="CN110" i="3"/>
  <c r="CN119" i="3"/>
  <c r="CN128" i="3"/>
  <c r="CN138" i="3"/>
  <c r="CN154" i="3"/>
  <c r="CN168" i="3"/>
  <c r="CN179" i="3"/>
  <c r="CN188" i="3"/>
  <c r="CN198" i="3"/>
  <c r="CN70" i="3"/>
  <c r="CN118" i="3"/>
  <c r="CN147" i="3"/>
  <c r="CN181" i="3"/>
  <c r="AR33" i="3"/>
  <c r="AR34" i="3"/>
  <c r="CM34" i="3" s="1"/>
  <c r="AR38" i="3"/>
  <c r="CN57" i="3"/>
  <c r="CN80" i="3"/>
  <c r="CN109" i="3"/>
  <c r="CN116" i="3"/>
  <c r="CN106" i="3"/>
  <c r="CN133" i="3"/>
  <c r="CN137" i="3"/>
  <c r="CN161" i="3"/>
  <c r="CN172" i="3"/>
  <c r="CN178" i="3"/>
  <c r="CN191" i="3"/>
  <c r="CN185" i="3"/>
  <c r="AR37" i="3"/>
  <c r="CM37" i="3" s="1"/>
  <c r="AR18" i="3"/>
  <c r="S32" i="20" s="1"/>
  <c r="AR20" i="3"/>
  <c r="S34" i="20" s="1"/>
  <c r="CN169" i="3"/>
  <c r="CN193" i="3"/>
  <c r="CN67" i="3"/>
  <c r="CN100" i="3"/>
  <c r="CN104" i="3"/>
  <c r="CN115" i="3"/>
  <c r="CN108" i="3"/>
  <c r="CN139" i="3"/>
  <c r="CN150" i="3"/>
  <c r="CN158" i="3"/>
  <c r="CN167" i="3"/>
  <c r="CN183" i="3"/>
  <c r="CN195" i="3"/>
  <c r="CN149" i="3"/>
  <c r="L27" i="13"/>
  <c r="AR36" i="3"/>
  <c r="CM36" i="3" s="1"/>
  <c r="CN82" i="3"/>
  <c r="AR15" i="3"/>
  <c r="AG15" i="3" s="1"/>
  <c r="CN103" i="3"/>
  <c r="CN89" i="3"/>
  <c r="CN95" i="3"/>
  <c r="CN105" i="3"/>
  <c r="CN122" i="3"/>
  <c r="CN127" i="3"/>
  <c r="CN140" i="3"/>
  <c r="CN152" i="3"/>
  <c r="CN155" i="3"/>
  <c r="CN180" i="3"/>
  <c r="CN194" i="3"/>
  <c r="CN186" i="3"/>
  <c r="K27" i="13"/>
  <c r="CN84" i="3"/>
  <c r="AR32" i="3"/>
  <c r="AR19" i="3"/>
  <c r="CM19" i="3" s="1"/>
  <c r="CN101" i="3"/>
  <c r="CN97" i="3"/>
  <c r="CN93" i="3"/>
  <c r="CN120" i="3"/>
  <c r="CN121" i="3"/>
  <c r="CN126" i="3"/>
  <c r="CN142" i="3"/>
  <c r="CN145" i="3"/>
  <c r="CN157" i="3"/>
  <c r="CN171" i="3"/>
  <c r="CN182" i="3"/>
  <c r="CN187" i="3"/>
  <c r="K32" i="13"/>
  <c r="K33" i="13"/>
  <c r="AR47" i="3"/>
  <c r="CM47" i="3" s="1"/>
  <c r="AR45" i="3"/>
  <c r="AG45" i="3" s="1"/>
  <c r="AR46" i="3"/>
  <c r="CM46" i="3" s="1"/>
  <c r="V49" i="13"/>
  <c r="AR44" i="3"/>
  <c r="AR43" i="3"/>
  <c r="CU43" i="3" s="1"/>
  <c r="AR41" i="3"/>
  <c r="CU41" i="3" s="1"/>
  <c r="Q41" i="13"/>
  <c r="V41" i="13" s="1"/>
  <c r="AR40" i="3"/>
  <c r="CM40" i="3" s="1"/>
  <c r="AR39" i="3"/>
  <c r="DH39" i="3" s="1"/>
  <c r="AR14" i="3"/>
  <c r="AR26" i="3"/>
  <c r="CM26" i="3" s="1"/>
  <c r="AR25" i="3"/>
  <c r="AR23" i="3"/>
  <c r="CU23" i="3" s="1"/>
  <c r="C43" i="22"/>
  <c r="P43" i="22" s="1"/>
  <c r="AR12" i="3"/>
  <c r="S26" i="20" s="1"/>
  <c r="V188" i="13"/>
  <c r="D188" i="13"/>
  <c r="W188" i="13"/>
  <c r="T188" i="13"/>
  <c r="Q36" i="13"/>
  <c r="V36" i="13" s="1"/>
  <c r="BY166" i="3"/>
  <c r="BZ166" i="3"/>
  <c r="ER166" i="3" s="1"/>
  <c r="CA166" i="3"/>
  <c r="BZ103" i="3"/>
  <c r="ER103" i="3" s="1"/>
  <c r="CA103" i="3"/>
  <c r="BY103" i="3"/>
  <c r="CA89" i="3"/>
  <c r="BZ89" i="3"/>
  <c r="ER89" i="3" s="1"/>
  <c r="BY89" i="3"/>
  <c r="BY95" i="3"/>
  <c r="BZ95" i="3"/>
  <c r="ER95" i="3" s="1"/>
  <c r="CA95" i="3"/>
  <c r="BZ105" i="3"/>
  <c r="ER105" i="3" s="1"/>
  <c r="BY105" i="3"/>
  <c r="CA105" i="3"/>
  <c r="BY122" i="3"/>
  <c r="CA122" i="3"/>
  <c r="BZ122" i="3"/>
  <c r="BZ127" i="3"/>
  <c r="ER127" i="3" s="1"/>
  <c r="CA127" i="3"/>
  <c r="BY127" i="3"/>
  <c r="BY140" i="3"/>
  <c r="CA140" i="3"/>
  <c r="BZ140" i="3"/>
  <c r="ER140" i="3" s="1"/>
  <c r="BZ152" i="3"/>
  <c r="ER152" i="3" s="1"/>
  <c r="CA152" i="3"/>
  <c r="BY152" i="3"/>
  <c r="BZ155" i="3"/>
  <c r="ER155" i="3" s="1"/>
  <c r="CA155" i="3"/>
  <c r="BY155" i="3"/>
  <c r="BZ180" i="3"/>
  <c r="ER180" i="3" s="1"/>
  <c r="BY180" i="3"/>
  <c r="CA180" i="3"/>
  <c r="CA194" i="3"/>
  <c r="BZ194" i="3"/>
  <c r="ER194" i="3" s="1"/>
  <c r="BY194" i="3"/>
  <c r="BZ186" i="3"/>
  <c r="ER186" i="3" s="1"/>
  <c r="BY186" i="3"/>
  <c r="CA186" i="3"/>
  <c r="BZ175" i="3"/>
  <c r="ER175" i="3" s="1"/>
  <c r="CA175" i="3"/>
  <c r="BY175" i="3"/>
  <c r="BZ159" i="3"/>
  <c r="ER159" i="3" s="1"/>
  <c r="CA159" i="3"/>
  <c r="BY159" i="3"/>
  <c r="BZ101" i="3"/>
  <c r="ER101" i="3" s="1"/>
  <c r="CA101" i="3"/>
  <c r="BY101" i="3"/>
  <c r="BY97" i="3"/>
  <c r="BZ97" i="3"/>
  <c r="ER97" i="3" s="1"/>
  <c r="CA97" i="3"/>
  <c r="BZ93" i="3"/>
  <c r="ER93" i="3" s="1"/>
  <c r="CA93" i="3"/>
  <c r="BY93" i="3"/>
  <c r="BY120" i="3"/>
  <c r="BZ120" i="3"/>
  <c r="CA120" i="3"/>
  <c r="BZ121" i="3"/>
  <c r="CA121" i="3"/>
  <c r="BY121" i="3"/>
  <c r="BY126" i="3"/>
  <c r="CA126" i="3"/>
  <c r="BZ126" i="3"/>
  <c r="ER126" i="3" s="1"/>
  <c r="BY142" i="3"/>
  <c r="BZ142" i="3"/>
  <c r="ER142" i="3" s="1"/>
  <c r="CA142" i="3"/>
  <c r="BY145" i="3"/>
  <c r="CA145" i="3"/>
  <c r="BZ145" i="3"/>
  <c r="CA157" i="3"/>
  <c r="BZ157" i="3"/>
  <c r="ER157" i="3" s="1"/>
  <c r="BY157" i="3"/>
  <c r="CA171" i="3"/>
  <c r="BZ171" i="3"/>
  <c r="ER171" i="3" s="1"/>
  <c r="BY171" i="3"/>
  <c r="BZ182" i="3"/>
  <c r="ER182" i="3" s="1"/>
  <c r="BY182" i="3"/>
  <c r="CA182" i="3"/>
  <c r="CA187" i="3"/>
  <c r="BZ187" i="3"/>
  <c r="ER187" i="3" s="1"/>
  <c r="BY187" i="3"/>
  <c r="BZ99" i="3"/>
  <c r="ER99" i="3" s="1"/>
  <c r="BY99" i="3"/>
  <c r="CA99" i="3"/>
  <c r="CA70" i="3"/>
  <c r="BZ70" i="3"/>
  <c r="ER70" i="3" s="1"/>
  <c r="BY70" i="3"/>
  <c r="BY76" i="3"/>
  <c r="CA76" i="3"/>
  <c r="BZ76" i="3"/>
  <c r="CA123" i="3"/>
  <c r="BZ123" i="3"/>
  <c r="BY123" i="3"/>
  <c r="CA118" i="3"/>
  <c r="BZ118" i="3"/>
  <c r="BY118" i="3"/>
  <c r="CA130" i="3"/>
  <c r="BZ130" i="3"/>
  <c r="ER130" i="3" s="1"/>
  <c r="BY130" i="3"/>
  <c r="CA141" i="3"/>
  <c r="BY141" i="3"/>
  <c r="BZ141" i="3"/>
  <c r="ER141" i="3" s="1"/>
  <c r="BZ147" i="3"/>
  <c r="ER147" i="3" s="1"/>
  <c r="BY147" i="3"/>
  <c r="CA147" i="3"/>
  <c r="CA162" i="3"/>
  <c r="BZ162" i="3"/>
  <c r="ER162" i="3" s="1"/>
  <c r="BY162" i="3"/>
  <c r="CA164" i="3"/>
  <c r="BZ164" i="3"/>
  <c r="ER164" i="3" s="1"/>
  <c r="BY164" i="3"/>
  <c r="BY181" i="3"/>
  <c r="BZ181" i="3"/>
  <c r="ER181" i="3" s="1"/>
  <c r="CA181" i="3"/>
  <c r="BZ200" i="3"/>
  <c r="ER200" i="3" s="1"/>
  <c r="CA200" i="3"/>
  <c r="BY200" i="3"/>
  <c r="CA84" i="3"/>
  <c r="BZ84" i="3"/>
  <c r="ER84" i="3" s="1"/>
  <c r="BY84" i="3"/>
  <c r="BZ61" i="3"/>
  <c r="ER61" i="3" s="1"/>
  <c r="CA61" i="3"/>
  <c r="BY61" i="3"/>
  <c r="BZ86" i="3"/>
  <c r="ER86" i="3" s="1"/>
  <c r="CA86" i="3"/>
  <c r="BY86" i="3"/>
  <c r="BY98" i="3"/>
  <c r="CA98" i="3"/>
  <c r="BZ98" i="3"/>
  <c r="ER98" i="3" s="1"/>
  <c r="BY73" i="3"/>
  <c r="CA73" i="3"/>
  <c r="BZ73" i="3"/>
  <c r="BY114" i="3"/>
  <c r="CA114" i="3"/>
  <c r="BZ114" i="3"/>
  <c r="CA113" i="3"/>
  <c r="BZ113" i="3"/>
  <c r="ER113" i="3" s="1"/>
  <c r="BY113" i="3"/>
  <c r="BY143" i="3"/>
  <c r="BZ143" i="3"/>
  <c r="ER143" i="3" s="1"/>
  <c r="CA143" i="3"/>
  <c r="CA148" i="3"/>
  <c r="BZ148" i="3"/>
  <c r="ER148" i="3" s="1"/>
  <c r="BY148" i="3"/>
  <c r="BZ165" i="3"/>
  <c r="ER165" i="3" s="1"/>
  <c r="CA165" i="3"/>
  <c r="BY165" i="3"/>
  <c r="BZ176" i="3"/>
  <c r="ER176" i="3" s="1"/>
  <c r="CA176" i="3"/>
  <c r="BY176" i="3"/>
  <c r="BY184" i="3"/>
  <c r="BZ184" i="3"/>
  <c r="ER184" i="3" s="1"/>
  <c r="CA184" i="3"/>
  <c r="BY201" i="3"/>
  <c r="CA201" i="3"/>
  <c r="BZ201" i="3"/>
  <c r="ER201" i="3" s="1"/>
  <c r="CA193" i="3"/>
  <c r="BZ193" i="3"/>
  <c r="ER193" i="3" s="1"/>
  <c r="BY193" i="3"/>
  <c r="BZ48" i="3"/>
  <c r="ER48" i="3" s="1"/>
  <c r="CA48" i="3"/>
  <c r="BY48" i="3"/>
  <c r="BZ83" i="3"/>
  <c r="BY83" i="3"/>
  <c r="CA83" i="3"/>
  <c r="CA65" i="3"/>
  <c r="BZ65" i="3"/>
  <c r="ER65" i="3" s="1"/>
  <c r="BY65" i="3"/>
  <c r="CA68" i="3"/>
  <c r="BY68" i="3"/>
  <c r="BZ68" i="3"/>
  <c r="ER68" i="3" s="1"/>
  <c r="BY102" i="3"/>
  <c r="BZ102" i="3"/>
  <c r="ER102" i="3" s="1"/>
  <c r="CA102" i="3"/>
  <c r="BY117" i="3"/>
  <c r="CA117" i="3"/>
  <c r="BZ117" i="3"/>
  <c r="BZ111" i="3"/>
  <c r="ER111" i="3" s="1"/>
  <c r="CA111" i="3"/>
  <c r="BY111" i="3"/>
  <c r="CA124" i="3"/>
  <c r="BZ124" i="3"/>
  <c r="BY124" i="3"/>
  <c r="BY136" i="3"/>
  <c r="BZ136" i="3"/>
  <c r="ER136" i="3" s="1"/>
  <c r="CA136" i="3"/>
  <c r="BZ160" i="3"/>
  <c r="ER160" i="3" s="1"/>
  <c r="BY160" i="3"/>
  <c r="CA160" i="3"/>
  <c r="CA173" i="3"/>
  <c r="BY173" i="3"/>
  <c r="BZ173" i="3"/>
  <c r="ER173" i="3" s="1"/>
  <c r="CA177" i="3"/>
  <c r="BZ177" i="3"/>
  <c r="ER177" i="3" s="1"/>
  <c r="BY177" i="3"/>
  <c r="BZ197" i="3"/>
  <c r="ER197" i="3" s="1"/>
  <c r="CA197" i="3"/>
  <c r="BY197" i="3"/>
  <c r="BZ199" i="3"/>
  <c r="ER199" i="3" s="1"/>
  <c r="CA199" i="3"/>
  <c r="BY199" i="3"/>
  <c r="BZ169" i="3"/>
  <c r="ER169" i="3" s="1"/>
  <c r="BY169" i="3"/>
  <c r="CA169" i="3"/>
  <c r="BZ67" i="3"/>
  <c r="ER67" i="3" s="1"/>
  <c r="BY67" i="3"/>
  <c r="CA67" i="3"/>
  <c r="CA57" i="3"/>
  <c r="BY57" i="3"/>
  <c r="BZ57" i="3"/>
  <c r="ER57" i="3" s="1"/>
  <c r="BZ66" i="3"/>
  <c r="CA66" i="3"/>
  <c r="BY66" i="3"/>
  <c r="CA94" i="3"/>
  <c r="BY94" i="3"/>
  <c r="BZ94" i="3"/>
  <c r="ER94" i="3" s="1"/>
  <c r="BZ110" i="3"/>
  <c r="ER110" i="3" s="1"/>
  <c r="BY110" i="3"/>
  <c r="CA110" i="3"/>
  <c r="CA119" i="3"/>
  <c r="BY119" i="3"/>
  <c r="BZ119" i="3"/>
  <c r="CA128" i="3"/>
  <c r="BY128" i="3"/>
  <c r="BZ128" i="3"/>
  <c r="ER128" i="3" s="1"/>
  <c r="CA138" i="3"/>
  <c r="BZ138" i="3"/>
  <c r="ER138" i="3" s="1"/>
  <c r="BY138" i="3"/>
  <c r="CA154" i="3"/>
  <c r="BY154" i="3"/>
  <c r="BZ154" i="3"/>
  <c r="ER154" i="3" s="1"/>
  <c r="BY168" i="3"/>
  <c r="BZ168" i="3"/>
  <c r="ER168" i="3" s="1"/>
  <c r="CA168" i="3"/>
  <c r="CA179" i="3"/>
  <c r="BZ179" i="3"/>
  <c r="ER179" i="3" s="1"/>
  <c r="BY179" i="3"/>
  <c r="CA188" i="3"/>
  <c r="BZ188" i="3"/>
  <c r="ER188" i="3" s="1"/>
  <c r="BY188" i="3"/>
  <c r="CA198" i="3"/>
  <c r="BZ198" i="3"/>
  <c r="ER198" i="3" s="1"/>
  <c r="BY198" i="3"/>
  <c r="CA64" i="3"/>
  <c r="BY64" i="3"/>
  <c r="BZ64" i="3"/>
  <c r="ER64" i="3" s="1"/>
  <c r="CA80" i="3"/>
  <c r="BY80" i="3"/>
  <c r="BZ80" i="3"/>
  <c r="ER80" i="3" s="1"/>
  <c r="CA109" i="3"/>
  <c r="BY109" i="3"/>
  <c r="BZ109" i="3"/>
  <c r="ER109" i="3" s="1"/>
  <c r="BZ116" i="3"/>
  <c r="BY116" i="3"/>
  <c r="CA116" i="3"/>
  <c r="CA106" i="3"/>
  <c r="BZ106" i="3"/>
  <c r="ER106" i="3" s="1"/>
  <c r="BY106" i="3"/>
  <c r="BZ133" i="3"/>
  <c r="ER133" i="3" s="1"/>
  <c r="BY133" i="3"/>
  <c r="CA133" i="3"/>
  <c r="BY137" i="3"/>
  <c r="CA137" i="3"/>
  <c r="BZ137" i="3"/>
  <c r="ER137" i="3" s="1"/>
  <c r="BZ161" i="3"/>
  <c r="ER161" i="3" s="1"/>
  <c r="BY161" i="3"/>
  <c r="CA161" i="3"/>
  <c r="CA172" i="3"/>
  <c r="BZ172" i="3"/>
  <c r="ER172" i="3" s="1"/>
  <c r="BY172" i="3"/>
  <c r="BY178" i="3"/>
  <c r="CA178" i="3"/>
  <c r="BZ178" i="3"/>
  <c r="ER178" i="3" s="1"/>
  <c r="BY191" i="3"/>
  <c r="BZ191" i="3"/>
  <c r="ER191" i="3" s="1"/>
  <c r="CA191" i="3"/>
  <c r="BZ185" i="3"/>
  <c r="ER185" i="3" s="1"/>
  <c r="CA185" i="3"/>
  <c r="BY185" i="3"/>
  <c r="BY69" i="3"/>
  <c r="BZ69" i="3"/>
  <c r="ER69" i="3" s="1"/>
  <c r="CA69" i="3"/>
  <c r="CA82" i="3"/>
  <c r="BY82" i="3"/>
  <c r="BZ82" i="3"/>
  <c r="ER82" i="3" s="1"/>
  <c r="CA100" i="3"/>
  <c r="BZ100" i="3"/>
  <c r="ER100" i="3" s="1"/>
  <c r="BY100" i="3"/>
  <c r="BY104" i="3"/>
  <c r="BZ104" i="3"/>
  <c r="ER104" i="3" s="1"/>
  <c r="CA104" i="3"/>
  <c r="CA115" i="3"/>
  <c r="BZ115" i="3"/>
  <c r="BY115" i="3"/>
  <c r="CA108" i="3"/>
  <c r="BZ108" i="3"/>
  <c r="ER108" i="3" s="1"/>
  <c r="BY108" i="3"/>
  <c r="BZ139" i="3"/>
  <c r="ER139" i="3" s="1"/>
  <c r="BY139" i="3"/>
  <c r="CA139" i="3"/>
  <c r="BZ150" i="3"/>
  <c r="ER150" i="3" s="1"/>
  <c r="CA150" i="3"/>
  <c r="BY150" i="3"/>
  <c r="CA158" i="3"/>
  <c r="BY158" i="3"/>
  <c r="BZ158" i="3"/>
  <c r="ER158" i="3" s="1"/>
  <c r="BZ167" i="3"/>
  <c r="ER167" i="3" s="1"/>
  <c r="BY167" i="3"/>
  <c r="CA167" i="3"/>
  <c r="CA183" i="3"/>
  <c r="BY183" i="3"/>
  <c r="BZ183" i="3"/>
  <c r="ER183" i="3" s="1"/>
  <c r="BZ195" i="3"/>
  <c r="ER195" i="3" s="1"/>
  <c r="BY195" i="3"/>
  <c r="CA195" i="3"/>
  <c r="BY149" i="3"/>
  <c r="BZ149" i="3"/>
  <c r="ER149" i="3" s="1"/>
  <c r="CA149" i="3"/>
  <c r="BW103" i="3"/>
  <c r="BW89" i="3"/>
  <c r="BW95" i="3"/>
  <c r="BW105" i="3"/>
  <c r="BW122" i="3"/>
  <c r="BW127" i="3"/>
  <c r="BW140" i="3"/>
  <c r="BW152" i="3"/>
  <c r="BW155" i="3"/>
  <c r="BW180" i="3"/>
  <c r="BW194" i="3"/>
  <c r="BW186" i="3"/>
  <c r="BW175" i="3"/>
  <c r="BW159" i="3"/>
  <c r="BW101" i="3"/>
  <c r="BW97" i="3"/>
  <c r="BW93" i="3"/>
  <c r="BW120" i="3"/>
  <c r="BW121" i="3"/>
  <c r="BW126" i="3"/>
  <c r="BW142" i="3"/>
  <c r="BW145" i="3"/>
  <c r="ER145" i="3"/>
  <c r="BW157" i="3"/>
  <c r="BW171" i="3"/>
  <c r="BW182" i="3"/>
  <c r="BW187" i="3"/>
  <c r="BW67" i="3"/>
  <c r="BW166" i="3"/>
  <c r="BW64" i="3"/>
  <c r="BW99" i="3"/>
  <c r="BW70" i="3"/>
  <c r="BW76" i="3"/>
  <c r="BW123" i="3"/>
  <c r="BW118" i="3"/>
  <c r="BW130" i="3"/>
  <c r="BW141" i="3"/>
  <c r="BW147" i="3"/>
  <c r="BW162" i="3"/>
  <c r="BW164" i="3"/>
  <c r="BW181" i="3"/>
  <c r="BW200" i="3"/>
  <c r="BW84" i="3"/>
  <c r="BW61" i="3"/>
  <c r="BW86" i="3"/>
  <c r="BW98" i="3"/>
  <c r="BW73" i="3"/>
  <c r="BW114" i="3"/>
  <c r="BW113" i="3"/>
  <c r="BW143" i="3"/>
  <c r="BW148" i="3"/>
  <c r="BW165" i="3"/>
  <c r="BW176" i="3"/>
  <c r="BW184" i="3"/>
  <c r="BW201" i="3"/>
  <c r="BW169" i="3"/>
  <c r="BW193" i="3"/>
  <c r="BW48" i="3"/>
  <c r="BW83" i="3"/>
  <c r="BW65" i="3"/>
  <c r="BW68" i="3"/>
  <c r="BW102" i="3"/>
  <c r="BW117" i="3"/>
  <c r="BW111" i="3"/>
  <c r="BW124" i="3"/>
  <c r="BW136" i="3"/>
  <c r="BW160" i="3"/>
  <c r="BW173" i="3"/>
  <c r="BW177" i="3"/>
  <c r="BW197" i="3"/>
  <c r="BW199" i="3"/>
  <c r="BW57" i="3"/>
  <c r="BW66" i="3"/>
  <c r="BW94" i="3"/>
  <c r="BW110" i="3"/>
  <c r="BW119" i="3"/>
  <c r="BW128" i="3"/>
  <c r="BW138" i="3"/>
  <c r="BW154" i="3"/>
  <c r="BW168" i="3"/>
  <c r="BW179" i="3"/>
  <c r="BW188" i="3"/>
  <c r="BW198" i="3"/>
  <c r="BW80" i="3"/>
  <c r="BW109" i="3"/>
  <c r="BW116" i="3"/>
  <c r="BW106" i="3"/>
  <c r="BW133" i="3"/>
  <c r="BW137" i="3"/>
  <c r="BW161" i="3"/>
  <c r="BW172" i="3"/>
  <c r="BW178" i="3"/>
  <c r="BW191" i="3"/>
  <c r="BW185" i="3"/>
  <c r="BW69" i="3"/>
  <c r="BW82" i="3"/>
  <c r="BW100" i="3"/>
  <c r="BW104" i="3"/>
  <c r="BW115" i="3"/>
  <c r="BW108" i="3"/>
  <c r="BW139" i="3"/>
  <c r="BW150" i="3"/>
  <c r="BW158" i="3"/>
  <c r="BW167" i="3"/>
  <c r="BW183" i="3"/>
  <c r="BW195" i="3"/>
  <c r="BW149" i="3"/>
  <c r="ET132" i="3"/>
  <c r="ES132" i="3"/>
  <c r="BS22" i="3"/>
  <c r="AR22" i="3"/>
  <c r="S36" i="20" s="1"/>
  <c r="Q38" i="13"/>
  <c r="V38" i="13" s="1"/>
  <c r="ET107" i="3"/>
  <c r="ES107" i="3"/>
  <c r="ET144" i="3"/>
  <c r="ES144" i="3"/>
  <c r="ET156" i="3"/>
  <c r="ES156" i="3"/>
  <c r="AR10" i="3"/>
  <c r="CM10" i="3" s="1"/>
  <c r="ES135" i="3"/>
  <c r="ET135" i="3"/>
  <c r="ES125" i="3"/>
  <c r="ET125" i="3"/>
  <c r="ES153" i="3"/>
  <c r="ET153" i="3"/>
  <c r="ET134" i="3"/>
  <c r="ES134" i="3"/>
  <c r="AR11" i="3"/>
  <c r="CM11" i="3" s="1"/>
  <c r="ET190" i="3"/>
  <c r="ES190" i="3"/>
  <c r="ET112" i="3"/>
  <c r="ES112" i="3"/>
  <c r="ET146" i="3"/>
  <c r="ES146" i="3"/>
  <c r="ET151" i="3"/>
  <c r="ES151" i="3"/>
  <c r="BS29" i="3"/>
  <c r="AR29" i="3"/>
  <c r="AG29" i="3" s="1"/>
  <c r="ET192" i="3"/>
  <c r="ES192" i="3"/>
  <c r="ET96" i="3"/>
  <c r="ES96" i="3"/>
  <c r="ET196" i="3"/>
  <c r="ES196" i="3"/>
  <c r="AM40" i="22"/>
  <c r="AM41" i="22" s="1"/>
  <c r="AM42" i="22" s="1"/>
  <c r="AN42" i="22"/>
  <c r="K516" i="13"/>
  <c r="S516" i="13" s="1"/>
  <c r="K515" i="13"/>
  <c r="S515" i="13" s="1"/>
  <c r="D76" i="13"/>
  <c r="V76" i="13"/>
  <c r="T76" i="13"/>
  <c r="W76" i="13"/>
  <c r="D103" i="13"/>
  <c r="O32" i="13"/>
  <c r="BS24" i="3"/>
  <c r="O29" i="13"/>
  <c r="P29" i="13" s="1"/>
  <c r="O27" i="13"/>
  <c r="P27" i="13" s="1"/>
  <c r="O17" i="13"/>
  <c r="P17" i="13" s="1"/>
  <c r="O28" i="13"/>
  <c r="P28" i="13" s="1"/>
  <c r="BS23" i="3"/>
  <c r="O25" i="13"/>
  <c r="P25" i="13" s="1"/>
  <c r="O15" i="13"/>
  <c r="P15" i="13" s="1"/>
  <c r="W73" i="13"/>
  <c r="DE69" i="3"/>
  <c r="BU69" i="3"/>
  <c r="AY15" i="3"/>
  <c r="T185" i="13"/>
  <c r="BS26" i="3"/>
  <c r="T62" i="13"/>
  <c r="D190" i="13"/>
  <c r="V62" i="13"/>
  <c r="V60" i="13"/>
  <c r="CU84" i="3"/>
  <c r="K387" i="13" s="1"/>
  <c r="V167" i="13"/>
  <c r="DH84" i="3"/>
  <c r="W167" i="13"/>
  <c r="X167" i="13"/>
  <c r="D167" i="13"/>
  <c r="D60" i="13"/>
  <c r="AG84" i="3"/>
  <c r="BS14" i="3"/>
  <c r="D185" i="13"/>
  <c r="X171" i="13"/>
  <c r="W185" i="13"/>
  <c r="W97" i="13"/>
  <c r="X185" i="13"/>
  <c r="D73" i="13"/>
  <c r="V96" i="13"/>
  <c r="W131" i="13"/>
  <c r="CU89" i="3"/>
  <c r="K392" i="13" s="1"/>
  <c r="L392" i="13" s="1"/>
  <c r="M392" i="13" s="1"/>
  <c r="O26" i="13"/>
  <c r="P26" i="13" s="1"/>
  <c r="S17" i="3"/>
  <c r="X131" i="13"/>
  <c r="W96" i="13"/>
  <c r="D96" i="13"/>
  <c r="AG89" i="3"/>
  <c r="X96" i="13"/>
  <c r="S84" i="20"/>
  <c r="T73" i="13"/>
  <c r="V131" i="13"/>
  <c r="CU70" i="3"/>
  <c r="K373" i="13" s="1"/>
  <c r="L373" i="13" s="1"/>
  <c r="M373" i="13" s="1"/>
  <c r="V73" i="13"/>
  <c r="D131" i="13"/>
  <c r="AG70" i="3"/>
  <c r="DH89" i="3"/>
  <c r="V162" i="13"/>
  <c r="W79" i="13"/>
  <c r="T108" i="13"/>
  <c r="V190" i="13"/>
  <c r="V173" i="13"/>
  <c r="D98" i="13"/>
  <c r="X173" i="13"/>
  <c r="W98" i="13"/>
  <c r="T98" i="13"/>
  <c r="D173" i="13"/>
  <c r="CW84" i="3"/>
  <c r="DE84" i="3"/>
  <c r="W173" i="13"/>
  <c r="X98" i="13"/>
  <c r="DH69" i="3"/>
  <c r="AG69" i="3"/>
  <c r="BU84" i="3"/>
  <c r="V79" i="13"/>
  <c r="S83" i="20"/>
  <c r="D79" i="13"/>
  <c r="X89" i="13"/>
  <c r="X79" i="13"/>
  <c r="CW69" i="3"/>
  <c r="O14" i="13"/>
  <c r="P14" i="13" s="1"/>
  <c r="BX106" i="3"/>
  <c r="BX161" i="3"/>
  <c r="BX191" i="3"/>
  <c r="BX48" i="3"/>
  <c r="BX57" i="3"/>
  <c r="BX80" i="3"/>
  <c r="BX94" i="3"/>
  <c r="BX110" i="3"/>
  <c r="BX119" i="3"/>
  <c r="BX128" i="3"/>
  <c r="BX138" i="3"/>
  <c r="BX154" i="3"/>
  <c r="BX168" i="3"/>
  <c r="BX179" i="3"/>
  <c r="BX188" i="3"/>
  <c r="BX198" i="3"/>
  <c r="BX193" i="3"/>
  <c r="BX82" i="3"/>
  <c r="BX100" i="3"/>
  <c r="BX104" i="3"/>
  <c r="BX115" i="3"/>
  <c r="BX108" i="3"/>
  <c r="BX139" i="3"/>
  <c r="BX150" i="3"/>
  <c r="BX158" i="3"/>
  <c r="BX167" i="3"/>
  <c r="BX183" i="3"/>
  <c r="BX195" i="3"/>
  <c r="BX133" i="3"/>
  <c r="BX172" i="3"/>
  <c r="BX185" i="3"/>
  <c r="BX83" i="3"/>
  <c r="BX103" i="3"/>
  <c r="BX89" i="3"/>
  <c r="BX95" i="3"/>
  <c r="BX105" i="3"/>
  <c r="BX122" i="3"/>
  <c r="BX127" i="3"/>
  <c r="BX140" i="3"/>
  <c r="BX152" i="3"/>
  <c r="BX155" i="3"/>
  <c r="BX180" i="3"/>
  <c r="BX194" i="3"/>
  <c r="BX69" i="3"/>
  <c r="BX169" i="3"/>
  <c r="BX67" i="3"/>
  <c r="BX101" i="3"/>
  <c r="BX97" i="3"/>
  <c r="BX93" i="3"/>
  <c r="BX120" i="3"/>
  <c r="BX121" i="3"/>
  <c r="BX126" i="3"/>
  <c r="BX142" i="3"/>
  <c r="BX145" i="3"/>
  <c r="BX157" i="3"/>
  <c r="BX171" i="3"/>
  <c r="BX182" i="3"/>
  <c r="BX187" i="3"/>
  <c r="T153" i="13"/>
  <c r="BX109" i="3"/>
  <c r="BX137" i="3"/>
  <c r="BX178" i="3"/>
  <c r="BX166" i="3"/>
  <c r="BX65" i="3"/>
  <c r="BX99" i="3"/>
  <c r="BX70" i="3"/>
  <c r="BX76" i="3"/>
  <c r="BX123" i="3"/>
  <c r="BX118" i="3"/>
  <c r="BX130" i="3"/>
  <c r="BX141" i="3"/>
  <c r="BX147" i="3"/>
  <c r="BX162" i="3"/>
  <c r="BX164" i="3"/>
  <c r="BX181" i="3"/>
  <c r="BX200" i="3"/>
  <c r="BX149" i="3"/>
  <c r="BX159" i="3"/>
  <c r="BX66" i="3"/>
  <c r="BX86" i="3"/>
  <c r="BX98" i="3"/>
  <c r="BX73" i="3"/>
  <c r="BX114" i="3"/>
  <c r="BX113" i="3"/>
  <c r="BX143" i="3"/>
  <c r="BX148" i="3"/>
  <c r="BX165" i="3"/>
  <c r="BX176" i="3"/>
  <c r="BX184" i="3"/>
  <c r="BX201" i="3"/>
  <c r="BX84" i="3"/>
  <c r="BX61" i="3"/>
  <c r="BX116" i="3"/>
  <c r="BX175" i="3"/>
  <c r="BX64" i="3"/>
  <c r="BX68" i="3"/>
  <c r="BX102" i="3"/>
  <c r="BX117" i="3"/>
  <c r="BX111" i="3"/>
  <c r="BX124" i="3"/>
  <c r="BX136" i="3"/>
  <c r="BX160" i="3"/>
  <c r="BX173" i="3"/>
  <c r="BX177" i="3"/>
  <c r="BX197" i="3"/>
  <c r="BX199" i="3"/>
  <c r="BX186" i="3"/>
  <c r="D153" i="13"/>
  <c r="W178" i="13"/>
  <c r="W153" i="13"/>
  <c r="BS12" i="3"/>
  <c r="W140" i="13"/>
  <c r="X153" i="13"/>
  <c r="W84" i="13"/>
  <c r="O13" i="13"/>
  <c r="P13" i="13" s="1"/>
  <c r="W135" i="13"/>
  <c r="D145" i="13"/>
  <c r="D108" i="13"/>
  <c r="D162" i="13"/>
  <c r="T190" i="13"/>
  <c r="T162" i="13"/>
  <c r="W190" i="13"/>
  <c r="X174" i="13"/>
  <c r="W162" i="13"/>
  <c r="W108" i="13"/>
  <c r="W187" i="13"/>
  <c r="X108" i="13"/>
  <c r="X172" i="13"/>
  <c r="W186" i="13"/>
  <c r="W172" i="13"/>
  <c r="X195" i="13"/>
  <c r="X199" i="13"/>
  <c r="T128" i="13"/>
  <c r="X186" i="13"/>
  <c r="D172" i="13"/>
  <c r="T81" i="13"/>
  <c r="V172" i="13"/>
  <c r="D81" i="13"/>
  <c r="V195" i="13"/>
  <c r="V186" i="13"/>
  <c r="L592" i="13"/>
  <c r="M592" i="13" s="1"/>
  <c r="D195" i="13"/>
  <c r="D186" i="13"/>
  <c r="W128" i="13"/>
  <c r="T195" i="13"/>
  <c r="V128" i="13"/>
  <c r="X128" i="13"/>
  <c r="D104" i="13"/>
  <c r="W69" i="13"/>
  <c r="W112" i="13"/>
  <c r="V57" i="13"/>
  <c r="D57" i="13"/>
  <c r="CW97" i="3"/>
  <c r="CW121" i="3"/>
  <c r="CW157" i="3"/>
  <c r="CW48" i="3"/>
  <c r="CW103" i="3"/>
  <c r="CW89" i="3"/>
  <c r="CW95" i="3"/>
  <c r="CW105" i="3"/>
  <c r="CW122" i="3"/>
  <c r="CW127" i="3"/>
  <c r="CW140" i="3"/>
  <c r="CW152" i="3"/>
  <c r="CW155" i="3"/>
  <c r="CW180" i="3"/>
  <c r="CW194" i="3"/>
  <c r="X143" i="13"/>
  <c r="CW67" i="3"/>
  <c r="CW65" i="3"/>
  <c r="CW99" i="3"/>
  <c r="CW70" i="3"/>
  <c r="CW76" i="3"/>
  <c r="CW123" i="3"/>
  <c r="CW118" i="3"/>
  <c r="CW130" i="3"/>
  <c r="CW141" i="3"/>
  <c r="CW147" i="3"/>
  <c r="CW162" i="3"/>
  <c r="CW164" i="3"/>
  <c r="CW181" i="3"/>
  <c r="CW200" i="3"/>
  <c r="CW166" i="3"/>
  <c r="CW66" i="3"/>
  <c r="CW86" i="3"/>
  <c r="CW98" i="3"/>
  <c r="CW73" i="3"/>
  <c r="CW114" i="3"/>
  <c r="CW113" i="3"/>
  <c r="CW143" i="3"/>
  <c r="CW148" i="3"/>
  <c r="CW165" i="3"/>
  <c r="CW176" i="3"/>
  <c r="CW184" i="3"/>
  <c r="CW201" i="3"/>
  <c r="CW101" i="3"/>
  <c r="CW120" i="3"/>
  <c r="CW142" i="3"/>
  <c r="CW182" i="3"/>
  <c r="CW175" i="3"/>
  <c r="CW159" i="3"/>
  <c r="CW57" i="3"/>
  <c r="CW68" i="3"/>
  <c r="CW102" i="3"/>
  <c r="CW117" i="3"/>
  <c r="CW111" i="3"/>
  <c r="CW124" i="3"/>
  <c r="CW136" i="3"/>
  <c r="CW160" i="3"/>
  <c r="CW173" i="3"/>
  <c r="CW177" i="3"/>
  <c r="CW197" i="3"/>
  <c r="CW199" i="3"/>
  <c r="CW149" i="3"/>
  <c r="W132" i="13"/>
  <c r="CW61" i="3"/>
  <c r="CW80" i="3"/>
  <c r="CW94" i="3"/>
  <c r="CW110" i="3"/>
  <c r="CW119" i="3"/>
  <c r="CW128" i="3"/>
  <c r="CW138" i="3"/>
  <c r="CW154" i="3"/>
  <c r="CW168" i="3"/>
  <c r="CW179" i="3"/>
  <c r="CW188" i="3"/>
  <c r="CW198" i="3"/>
  <c r="CW186" i="3"/>
  <c r="CW82" i="3"/>
  <c r="CW109" i="3"/>
  <c r="CW116" i="3"/>
  <c r="CW106" i="3"/>
  <c r="CW133" i="3"/>
  <c r="CW137" i="3"/>
  <c r="CW161" i="3"/>
  <c r="CW172" i="3"/>
  <c r="CW178" i="3"/>
  <c r="CW191" i="3"/>
  <c r="CW185" i="3"/>
  <c r="V191" i="13"/>
  <c r="CW93" i="3"/>
  <c r="CW126" i="3"/>
  <c r="CW145" i="3"/>
  <c r="CW171" i="3"/>
  <c r="CW187" i="3"/>
  <c r="CW64" i="3"/>
  <c r="CW169" i="3"/>
  <c r="CW193" i="3"/>
  <c r="CW83" i="3"/>
  <c r="CW100" i="3"/>
  <c r="CW104" i="3"/>
  <c r="CW115" i="3"/>
  <c r="CW108" i="3"/>
  <c r="CW139" i="3"/>
  <c r="CW150" i="3"/>
  <c r="CW158" i="3"/>
  <c r="CW167" i="3"/>
  <c r="CW183" i="3"/>
  <c r="CW195" i="3"/>
  <c r="W137" i="13"/>
  <c r="D191" i="13"/>
  <c r="V177" i="13"/>
  <c r="W161" i="13"/>
  <c r="W191" i="13"/>
  <c r="S509" i="13"/>
  <c r="D177" i="13"/>
  <c r="W166" i="13"/>
  <c r="X191" i="13"/>
  <c r="T177" i="13"/>
  <c r="W177" i="13"/>
  <c r="W147" i="13"/>
  <c r="W75" i="13"/>
  <c r="X192" i="13"/>
  <c r="L518" i="13"/>
  <c r="M518" i="13" s="1"/>
  <c r="T103" i="13"/>
  <c r="W117" i="13"/>
  <c r="V80" i="13"/>
  <c r="W200" i="13"/>
  <c r="D80" i="13"/>
  <c r="V113" i="13"/>
  <c r="X197" i="13"/>
  <c r="X75" i="13"/>
  <c r="V140" i="13"/>
  <c r="X140" i="13"/>
  <c r="W193" i="13"/>
  <c r="W165" i="13"/>
  <c r="W179" i="13"/>
  <c r="V103" i="13"/>
  <c r="V75" i="13"/>
  <c r="W86" i="13"/>
  <c r="T75" i="13"/>
  <c r="W103" i="13"/>
  <c r="W109" i="13"/>
  <c r="W182" i="13"/>
  <c r="X109" i="13"/>
  <c r="W175" i="13"/>
  <c r="D146" i="13"/>
  <c r="D140" i="13"/>
  <c r="D109" i="13"/>
  <c r="W155" i="13"/>
  <c r="X113" i="13"/>
  <c r="W183" i="13"/>
  <c r="D113" i="13"/>
  <c r="X168" i="13"/>
  <c r="W126" i="13"/>
  <c r="T113" i="13"/>
  <c r="V101" i="13"/>
  <c r="W114" i="13"/>
  <c r="W176" i="13"/>
  <c r="X169" i="13"/>
  <c r="D101" i="13"/>
  <c r="T109" i="13"/>
  <c r="T101" i="13"/>
  <c r="X101" i="13"/>
  <c r="V104" i="13"/>
  <c r="V145" i="13"/>
  <c r="W139" i="13"/>
  <c r="W170" i="13"/>
  <c r="W196" i="13"/>
  <c r="W111" i="13"/>
  <c r="W204" i="13"/>
  <c r="T104" i="13"/>
  <c r="T145" i="13"/>
  <c r="W145" i="13"/>
  <c r="W144" i="13"/>
  <c r="W181" i="13"/>
  <c r="L517" i="13"/>
  <c r="M517" i="13" s="1"/>
  <c r="W120" i="13"/>
  <c r="W95" i="13"/>
  <c r="D154" i="13"/>
  <c r="W154" i="13"/>
  <c r="X68" i="13"/>
  <c r="W104" i="13"/>
  <c r="T154" i="13"/>
  <c r="X154" i="13"/>
  <c r="W88" i="13"/>
  <c r="W146" i="13"/>
  <c r="W189" i="13"/>
  <c r="T146" i="13"/>
  <c r="X146" i="13"/>
  <c r="L609" i="13"/>
  <c r="M609" i="13" s="1"/>
  <c r="W157" i="13"/>
  <c r="W203" i="13"/>
  <c r="W141" i="13"/>
  <c r="X155" i="13"/>
  <c r="X70" i="13"/>
  <c r="W160" i="13"/>
  <c r="W115" i="13"/>
  <c r="L573" i="13"/>
  <c r="M573" i="13" s="1"/>
  <c r="V155" i="13"/>
  <c r="D155" i="13"/>
  <c r="K567" i="13"/>
  <c r="K533" i="13"/>
  <c r="L533" i="13" s="1"/>
  <c r="M533" i="13" s="1"/>
  <c r="K610" i="13"/>
  <c r="L610" i="13" s="1"/>
  <c r="M610" i="13" s="1"/>
  <c r="K577" i="13"/>
  <c r="K584" i="13"/>
  <c r="K550" i="13"/>
  <c r="L550" i="13" s="1"/>
  <c r="M550" i="13" s="1"/>
  <c r="K519" i="13"/>
  <c r="L519" i="13" s="1"/>
  <c r="M519" i="13" s="1"/>
  <c r="K521" i="13"/>
  <c r="K510" i="13"/>
  <c r="K554" i="13"/>
  <c r="M14" i="13"/>
  <c r="T193" i="13"/>
  <c r="D193" i="13"/>
  <c r="V193" i="13"/>
  <c r="T192" i="13"/>
  <c r="D192" i="13"/>
  <c r="V192" i="13"/>
  <c r="M28" i="13"/>
  <c r="M26" i="13"/>
  <c r="T59" i="13"/>
  <c r="D59" i="13"/>
  <c r="V59" i="13"/>
  <c r="V129" i="13"/>
  <c r="T129" i="13"/>
  <c r="D129" i="13"/>
  <c r="X129" i="13"/>
  <c r="W129" i="13"/>
  <c r="M31" i="13"/>
  <c r="Q31" i="13"/>
  <c r="T200" i="13"/>
  <c r="D200" i="13"/>
  <c r="V200" i="13"/>
  <c r="K571" i="13"/>
  <c r="K588" i="13"/>
  <c r="K597" i="13"/>
  <c r="K531" i="13"/>
  <c r="K578" i="13"/>
  <c r="L578" i="13" s="1"/>
  <c r="M578" i="13" s="1"/>
  <c r="K602" i="13"/>
  <c r="L602" i="13" s="1"/>
  <c r="M602" i="13" s="1"/>
  <c r="K529" i="13"/>
  <c r="K535" i="13"/>
  <c r="K506" i="13"/>
  <c r="L506" i="13" s="1"/>
  <c r="M506" i="13" s="1"/>
  <c r="K523" i="13"/>
  <c r="K562" i="13"/>
  <c r="K525" i="13"/>
  <c r="V119" i="13"/>
  <c r="T119" i="13"/>
  <c r="D119" i="13"/>
  <c r="W119" i="13"/>
  <c r="X119" i="13"/>
  <c r="T157" i="13"/>
  <c r="D157" i="13"/>
  <c r="V157" i="13"/>
  <c r="T86" i="13"/>
  <c r="D86" i="13"/>
  <c r="V86" i="13"/>
  <c r="T120" i="13"/>
  <c r="D120" i="13"/>
  <c r="V120" i="13"/>
  <c r="M22" i="13"/>
  <c r="Q22" i="13"/>
  <c r="T69" i="13"/>
  <c r="D69" i="13"/>
  <c r="V69" i="13"/>
  <c r="V125" i="13"/>
  <c r="T125" i="13"/>
  <c r="D125" i="13"/>
  <c r="W125" i="13"/>
  <c r="X125" i="13"/>
  <c r="V93" i="13"/>
  <c r="T93" i="13"/>
  <c r="D93" i="13"/>
  <c r="X93" i="13"/>
  <c r="W93" i="13"/>
  <c r="T160" i="13"/>
  <c r="D160" i="13"/>
  <c r="V160" i="13"/>
  <c r="T165" i="13"/>
  <c r="D165" i="13"/>
  <c r="V165" i="13"/>
  <c r="T175" i="13"/>
  <c r="D175" i="13"/>
  <c r="V175" i="13"/>
  <c r="T204" i="13"/>
  <c r="D204" i="13"/>
  <c r="V204" i="13"/>
  <c r="T139" i="13"/>
  <c r="D139" i="13"/>
  <c r="V139" i="13"/>
  <c r="T121" i="13"/>
  <c r="D121" i="13"/>
  <c r="V121" i="13"/>
  <c r="X121" i="13"/>
  <c r="W121" i="13"/>
  <c r="T181" i="13"/>
  <c r="D181" i="13"/>
  <c r="V181" i="13"/>
  <c r="M29" i="13"/>
  <c r="K604" i="13"/>
  <c r="K565" i="13"/>
  <c r="L565" i="13" s="1"/>
  <c r="M565" i="13" s="1"/>
  <c r="K581" i="13"/>
  <c r="K598" i="13"/>
  <c r="K587" i="13"/>
  <c r="K589" i="13"/>
  <c r="L589" i="13" s="1"/>
  <c r="M589" i="13" s="1"/>
  <c r="K570" i="13"/>
  <c r="K590" i="13"/>
  <c r="K557" i="13"/>
  <c r="L557" i="13" s="1"/>
  <c r="M557" i="13" s="1"/>
  <c r="K520" i="13"/>
  <c r="K553" i="13"/>
  <c r="K543" i="13"/>
  <c r="M12" i="13"/>
  <c r="T89" i="13"/>
  <c r="D89" i="13"/>
  <c r="V89" i="13"/>
  <c r="T114" i="13"/>
  <c r="D114" i="13"/>
  <c r="V114" i="13"/>
  <c r="T170" i="13"/>
  <c r="D170" i="13"/>
  <c r="V170" i="13"/>
  <c r="V95" i="13"/>
  <c r="T95" i="13"/>
  <c r="D95" i="13"/>
  <c r="M21" i="13"/>
  <c r="Q21" i="13"/>
  <c r="T199" i="13"/>
  <c r="D199" i="13"/>
  <c r="V199" i="13"/>
  <c r="Q23" i="13"/>
  <c r="M23" i="13"/>
  <c r="T166" i="13"/>
  <c r="D166" i="13"/>
  <c r="V166" i="13"/>
  <c r="K605" i="13"/>
  <c r="K583" i="13"/>
  <c r="L583" i="13" s="1"/>
  <c r="M583" i="13" s="1"/>
  <c r="K601" i="13"/>
  <c r="L601" i="13" s="1"/>
  <c r="M601" i="13" s="1"/>
  <c r="K593" i="13"/>
  <c r="L593" i="13" s="1"/>
  <c r="M593" i="13" s="1"/>
  <c r="K566" i="13"/>
  <c r="L566" i="13" s="1"/>
  <c r="M566" i="13" s="1"/>
  <c r="K611" i="13"/>
  <c r="L611" i="13" s="1"/>
  <c r="M611" i="13" s="1"/>
  <c r="K595" i="13"/>
  <c r="K599" i="13"/>
  <c r="K586" i="13"/>
  <c r="K574" i="13"/>
  <c r="K547" i="13"/>
  <c r="K505" i="13"/>
  <c r="K546" i="13"/>
  <c r="T147" i="13"/>
  <c r="D147" i="13"/>
  <c r="V147" i="13"/>
  <c r="M16" i="13"/>
  <c r="Q16" i="13"/>
  <c r="T82" i="13"/>
  <c r="D82" i="13"/>
  <c r="V82" i="13"/>
  <c r="T189" i="13"/>
  <c r="D189" i="13"/>
  <c r="V189" i="13"/>
  <c r="V84" i="13"/>
  <c r="T84" i="13"/>
  <c r="D84" i="13"/>
  <c r="M25" i="13"/>
  <c r="K564" i="13"/>
  <c r="AG564" i="13" s="1"/>
  <c r="K606" i="13"/>
  <c r="K528" i="13"/>
  <c r="K558" i="13"/>
  <c r="K524" i="13"/>
  <c r="K532" i="13"/>
  <c r="K572" i="13"/>
  <c r="L572" i="13" s="1"/>
  <c r="M572" i="13" s="1"/>
  <c r="K594" i="13"/>
  <c r="K582" i="13"/>
  <c r="L582" i="13" s="1"/>
  <c r="M582" i="13" s="1"/>
  <c r="K608" i="13"/>
  <c r="K575" i="13"/>
  <c r="K537" i="13"/>
  <c r="K568" i="13"/>
  <c r="K552" i="13"/>
  <c r="K541" i="13"/>
  <c r="K526" i="13"/>
  <c r="K542" i="13"/>
  <c r="T68" i="13"/>
  <c r="D68" i="13"/>
  <c r="V68" i="13"/>
  <c r="M30" i="13"/>
  <c r="Q30" i="13"/>
  <c r="T169" i="13"/>
  <c r="D169" i="13"/>
  <c r="V169" i="13"/>
  <c r="V161" i="13"/>
  <c r="T161" i="13"/>
  <c r="D161" i="13"/>
  <c r="T187" i="13"/>
  <c r="D187" i="13"/>
  <c r="V187" i="13"/>
  <c r="V83" i="13"/>
  <c r="T83" i="13"/>
  <c r="D83" i="13"/>
  <c r="T203" i="13"/>
  <c r="D203" i="13"/>
  <c r="V203" i="13"/>
  <c r="T141" i="13"/>
  <c r="D141" i="13"/>
  <c r="V141" i="13"/>
  <c r="M18" i="13"/>
  <c r="Q18" i="13"/>
  <c r="T70" i="13"/>
  <c r="D70" i="13"/>
  <c r="V70" i="13"/>
  <c r="T178" i="13"/>
  <c r="D178" i="13"/>
  <c r="V178" i="13"/>
  <c r="V61" i="13"/>
  <c r="T61" i="13"/>
  <c r="D61" i="13"/>
  <c r="T179" i="13"/>
  <c r="D179" i="13"/>
  <c r="V179" i="13"/>
  <c r="K607" i="13"/>
  <c r="L607" i="13" s="1"/>
  <c r="M607" i="13" s="1"/>
  <c r="K579" i="13"/>
  <c r="K591" i="13"/>
  <c r="K559" i="13"/>
  <c r="K538" i="13"/>
  <c r="V144" i="13"/>
  <c r="T144" i="13"/>
  <c r="D144" i="13"/>
  <c r="T135" i="13"/>
  <c r="D135" i="13"/>
  <c r="V135" i="13"/>
  <c r="T117" i="13"/>
  <c r="D117" i="13"/>
  <c r="V117" i="13"/>
  <c r="T111" i="13"/>
  <c r="D111" i="13"/>
  <c r="V111" i="13"/>
  <c r="T88" i="13"/>
  <c r="D88" i="13"/>
  <c r="V88" i="13"/>
  <c r="M15" i="13"/>
  <c r="K560" i="13"/>
  <c r="K596" i="13"/>
  <c r="L596" i="13" s="1"/>
  <c r="M596" i="13" s="1"/>
  <c r="K603" i="13"/>
  <c r="L603" i="13" s="1"/>
  <c r="M603" i="13" s="1"/>
  <c r="K555" i="13"/>
  <c r="K556" i="13"/>
  <c r="K580" i="13"/>
  <c r="K551" i="13"/>
  <c r="K545" i="13"/>
  <c r="K539" i="13"/>
  <c r="M17" i="13"/>
  <c r="T149" i="13"/>
  <c r="D149" i="13"/>
  <c r="V149" i="13"/>
  <c r="W149" i="13"/>
  <c r="X149" i="13"/>
  <c r="T182" i="13"/>
  <c r="D182" i="13"/>
  <c r="V182" i="13"/>
  <c r="T197" i="13"/>
  <c r="D197" i="13"/>
  <c r="V197" i="13"/>
  <c r="M20" i="13"/>
  <c r="Q20" i="13"/>
  <c r="T137" i="13"/>
  <c r="D137" i="13"/>
  <c r="V137" i="13"/>
  <c r="T174" i="13"/>
  <c r="D174" i="13"/>
  <c r="V174" i="13"/>
  <c r="M24" i="13"/>
  <c r="Q24" i="13"/>
  <c r="T112" i="13"/>
  <c r="D112" i="13"/>
  <c r="V112" i="13"/>
  <c r="T97" i="13"/>
  <c r="D97" i="13"/>
  <c r="V97" i="13"/>
  <c r="T171" i="13"/>
  <c r="D171" i="13"/>
  <c r="V171" i="13"/>
  <c r="T143" i="13"/>
  <c r="D143" i="13"/>
  <c r="V143" i="13"/>
  <c r="V132" i="13"/>
  <c r="T132" i="13"/>
  <c r="D132" i="13"/>
  <c r="K534" i="13"/>
  <c r="L534" i="13" s="1"/>
  <c r="M534" i="13" s="1"/>
  <c r="K585" i="13"/>
  <c r="K527" i="13"/>
  <c r="K600" i="13"/>
  <c r="K569" i="13"/>
  <c r="K508" i="13"/>
  <c r="K540" i="13"/>
  <c r="K576" i="13"/>
  <c r="L576" i="13" s="1"/>
  <c r="M576" i="13" s="1"/>
  <c r="K563" i="13"/>
  <c r="K561" i="13"/>
  <c r="K512" i="13"/>
  <c r="K513" i="13"/>
  <c r="K511" i="13"/>
  <c r="T176" i="13"/>
  <c r="D176" i="13"/>
  <c r="V176" i="13"/>
  <c r="T168" i="13"/>
  <c r="D168" i="13"/>
  <c r="V168" i="13"/>
  <c r="T115" i="13"/>
  <c r="D115" i="13"/>
  <c r="V115" i="13"/>
  <c r="T183" i="13"/>
  <c r="D183" i="13"/>
  <c r="V183" i="13"/>
  <c r="T196" i="13"/>
  <c r="D196" i="13"/>
  <c r="V196" i="13"/>
  <c r="T126" i="13"/>
  <c r="D126" i="13"/>
  <c r="V126" i="13"/>
  <c r="T54" i="13"/>
  <c r="D54" i="13"/>
  <c r="V54" i="13"/>
  <c r="V142" i="13"/>
  <c r="T142" i="13"/>
  <c r="D142" i="13"/>
  <c r="X142" i="13"/>
  <c r="W142" i="13"/>
  <c r="M13" i="13"/>
  <c r="L464" i="13"/>
  <c r="M464" i="13" s="1"/>
  <c r="L417" i="13"/>
  <c r="M417" i="13" s="1"/>
  <c r="CL146" i="3"/>
  <c r="K449" i="13"/>
  <c r="L444" i="13"/>
  <c r="M444" i="13" s="1"/>
  <c r="L485" i="13"/>
  <c r="M485" i="13" s="1"/>
  <c r="L401" i="13"/>
  <c r="M401" i="13" s="1"/>
  <c r="L422" i="13"/>
  <c r="M422" i="13" s="1"/>
  <c r="L460" i="13"/>
  <c r="M460" i="13" s="1"/>
  <c r="L412" i="13"/>
  <c r="M412" i="13" s="1"/>
  <c r="L411" i="13"/>
  <c r="M411" i="13" s="1"/>
  <c r="L441" i="13"/>
  <c r="M441" i="13" s="1"/>
  <c r="L423" i="13"/>
  <c r="M423" i="13" s="1"/>
  <c r="L419" i="13"/>
  <c r="M419" i="13" s="1"/>
  <c r="L421" i="13"/>
  <c r="M421" i="13" s="1"/>
  <c r="L482" i="13"/>
  <c r="M482" i="13" s="1"/>
  <c r="L398" i="13"/>
  <c r="M398" i="13" s="1"/>
  <c r="L424" i="13"/>
  <c r="M424" i="13" s="1"/>
  <c r="L399" i="13"/>
  <c r="M399" i="13" s="1"/>
  <c r="K549" i="13"/>
  <c r="L405" i="13"/>
  <c r="M405" i="13" s="1"/>
  <c r="L446" i="13"/>
  <c r="M446" i="13" s="1"/>
  <c r="L437" i="13"/>
  <c r="M437" i="13" s="1"/>
  <c r="L438" i="13"/>
  <c r="M438" i="13" s="1"/>
  <c r="L457" i="13"/>
  <c r="M457" i="13" s="1"/>
  <c r="L504" i="13"/>
  <c r="M504" i="13" s="1"/>
  <c r="L434" i="13"/>
  <c r="M434" i="13" s="1"/>
  <c r="S491" i="13"/>
  <c r="V491" i="13"/>
  <c r="L470" i="13"/>
  <c r="M470" i="13" s="1"/>
  <c r="L430" i="13"/>
  <c r="M430" i="13" s="1"/>
  <c r="L406" i="13"/>
  <c r="M406" i="13" s="1"/>
  <c r="L481" i="13"/>
  <c r="M481" i="13" s="1"/>
  <c r="L501" i="13"/>
  <c r="M501" i="13" s="1"/>
  <c r="L407" i="13"/>
  <c r="M407" i="13" s="1"/>
  <c r="L467" i="13"/>
  <c r="M467" i="13" s="1"/>
  <c r="L431" i="13"/>
  <c r="M431" i="13" s="1"/>
  <c r="L428" i="13"/>
  <c r="M428" i="13" s="1"/>
  <c r="L408" i="13"/>
  <c r="M408" i="13" s="1"/>
  <c r="L439" i="13"/>
  <c r="M439" i="13" s="1"/>
  <c r="K548" i="13"/>
  <c r="S517" i="13"/>
  <c r="V517" i="13"/>
  <c r="S518" i="13"/>
  <c r="V518" i="13"/>
  <c r="S609" i="13"/>
  <c r="V609" i="13"/>
  <c r="L416" i="13"/>
  <c r="M416" i="13" s="1"/>
  <c r="L471" i="13"/>
  <c r="M471" i="13" s="1"/>
  <c r="L476" i="13"/>
  <c r="M476" i="13" s="1"/>
  <c r="L443" i="13"/>
  <c r="M443" i="13" s="1"/>
  <c r="AX233" i="3"/>
  <c r="AY233" i="3" s="1"/>
  <c r="K536" i="13"/>
  <c r="L500" i="13"/>
  <c r="M500" i="13" s="1"/>
  <c r="L429" i="13"/>
  <c r="M429" i="13" s="1"/>
  <c r="L420" i="13"/>
  <c r="M420" i="13" s="1"/>
  <c r="L475" i="13"/>
  <c r="M475" i="13" s="1"/>
  <c r="L458" i="13"/>
  <c r="M458" i="13" s="1"/>
  <c r="L426" i="13"/>
  <c r="M426" i="13" s="1"/>
  <c r="L400" i="13"/>
  <c r="M400" i="13" s="1"/>
  <c r="L474" i="13"/>
  <c r="M474" i="13" s="1"/>
  <c r="L463" i="13"/>
  <c r="M463" i="13" s="1"/>
  <c r="L484" i="13"/>
  <c r="M484" i="13" s="1"/>
  <c r="L403" i="13"/>
  <c r="M403" i="13" s="1"/>
  <c r="K507" i="13"/>
  <c r="L433" i="13"/>
  <c r="M433" i="13" s="1"/>
  <c r="L418" i="13"/>
  <c r="M418" i="13" s="1"/>
  <c r="S573" i="13"/>
  <c r="V573" i="13"/>
  <c r="L376" i="13"/>
  <c r="M376" i="13" s="1"/>
  <c r="L452" i="13"/>
  <c r="M452" i="13" s="1"/>
  <c r="L480" i="13"/>
  <c r="M480" i="13" s="1"/>
  <c r="L495" i="13"/>
  <c r="M495" i="13" s="1"/>
  <c r="L488" i="13"/>
  <c r="M488" i="13" s="1"/>
  <c r="L502" i="13"/>
  <c r="M502" i="13" s="1"/>
  <c r="L425" i="13"/>
  <c r="M425" i="13" s="1"/>
  <c r="L497" i="13"/>
  <c r="M497" i="13" s="1"/>
  <c r="AX227" i="3"/>
  <c r="AY227" i="3" s="1"/>
  <c r="K530" i="13"/>
  <c r="L427" i="13"/>
  <c r="M427" i="13" s="1"/>
  <c r="L468" i="13"/>
  <c r="M468" i="13" s="1"/>
  <c r="L379" i="13"/>
  <c r="M379" i="13" s="1"/>
  <c r="L404" i="13"/>
  <c r="M404" i="13" s="1"/>
  <c r="L440" i="13"/>
  <c r="M440" i="13" s="1"/>
  <c r="L483" i="13"/>
  <c r="M483" i="13" s="1"/>
  <c r="L413" i="13"/>
  <c r="M413" i="13" s="1"/>
  <c r="L453" i="13"/>
  <c r="M453" i="13" s="1"/>
  <c r="L499" i="13"/>
  <c r="M499" i="13" s="1"/>
  <c r="L435" i="13"/>
  <c r="M435" i="13" s="1"/>
  <c r="L402" i="13"/>
  <c r="M402" i="13" s="1"/>
  <c r="L436" i="13"/>
  <c r="M436" i="13" s="1"/>
  <c r="L493" i="13"/>
  <c r="M493" i="13" s="1"/>
  <c r="K514" i="13"/>
  <c r="S494" i="13"/>
  <c r="V494" i="13"/>
  <c r="S592" i="13"/>
  <c r="V592" i="13"/>
  <c r="L414" i="13"/>
  <c r="M414" i="13" s="1"/>
  <c r="L456" i="13"/>
  <c r="M456" i="13" s="1"/>
  <c r="L410" i="13"/>
  <c r="M410" i="13" s="1"/>
  <c r="L489" i="13"/>
  <c r="M489" i="13" s="1"/>
  <c r="K544" i="13"/>
  <c r="L415" i="13"/>
  <c r="M415" i="13" s="1"/>
  <c r="S490" i="13"/>
  <c r="V490" i="13"/>
  <c r="L454" i="13"/>
  <c r="M454" i="13" s="1"/>
  <c r="L442" i="13"/>
  <c r="M442" i="13" s="1"/>
  <c r="L459" i="13"/>
  <c r="M459" i="13" s="1"/>
  <c r="L450" i="13"/>
  <c r="M450" i="13" s="1"/>
  <c r="L503" i="13"/>
  <c r="M503" i="13" s="1"/>
  <c r="L396" i="13"/>
  <c r="M396" i="13" s="1"/>
  <c r="L372" i="13"/>
  <c r="M372" i="13" s="1"/>
  <c r="L479" i="13"/>
  <c r="M479" i="13" s="1"/>
  <c r="L397" i="13"/>
  <c r="M397" i="13" s="1"/>
  <c r="L486" i="13"/>
  <c r="M486" i="13" s="1"/>
  <c r="L465" i="13"/>
  <c r="M465" i="13" s="1"/>
  <c r="L498" i="13"/>
  <c r="M498" i="13" s="1"/>
  <c r="L455" i="13"/>
  <c r="M455" i="13" s="1"/>
  <c r="L448" i="13"/>
  <c r="M448" i="13" s="1"/>
  <c r="L445" i="13"/>
  <c r="M445" i="13" s="1"/>
  <c r="L451" i="13"/>
  <c r="M451" i="13" s="1"/>
  <c r="L447" i="13"/>
  <c r="M447" i="13" s="1"/>
  <c r="L393" i="13"/>
  <c r="M393" i="13" s="1"/>
  <c r="S409" i="13"/>
  <c r="V409" i="13"/>
  <c r="S487" i="13"/>
  <c r="V487" i="13"/>
  <c r="W65" i="13"/>
  <c r="X65" i="13"/>
  <c r="W58" i="13"/>
  <c r="X58" i="13"/>
  <c r="W53" i="13"/>
  <c r="X53" i="13"/>
  <c r="W62" i="13"/>
  <c r="X62" i="13"/>
  <c r="W57" i="13"/>
  <c r="X57" i="13"/>
  <c r="X83" i="13"/>
  <c r="W83" i="13"/>
  <c r="W61" i="13"/>
  <c r="X61" i="13"/>
  <c r="W80" i="13"/>
  <c r="X80" i="13"/>
  <c r="W55" i="13"/>
  <c r="X55" i="13"/>
  <c r="X82" i="13"/>
  <c r="W82" i="13"/>
  <c r="W56" i="13"/>
  <c r="X56" i="13"/>
  <c r="W60" i="13"/>
  <c r="X60" i="13"/>
  <c r="W66" i="13"/>
  <c r="X66" i="13"/>
  <c r="W59" i="13"/>
  <c r="X59" i="13"/>
  <c r="W54" i="13"/>
  <c r="X54" i="13"/>
  <c r="W64" i="13"/>
  <c r="X64" i="13"/>
  <c r="W63" i="13"/>
  <c r="X63" i="13"/>
  <c r="W81" i="13"/>
  <c r="X81" i="13"/>
  <c r="CO204" i="3"/>
  <c r="R207" i="13" s="1"/>
  <c r="CO209" i="3"/>
  <c r="R212" i="13" s="1"/>
  <c r="CO225" i="3"/>
  <c r="R228" i="13" s="1"/>
  <c r="CO249" i="3"/>
  <c r="R252" i="13" s="1"/>
  <c r="CO243" i="3"/>
  <c r="R246" i="13" s="1"/>
  <c r="CO263" i="3"/>
  <c r="R266" i="13" s="1"/>
  <c r="CO265" i="3"/>
  <c r="R268" i="13" s="1"/>
  <c r="CO301" i="3"/>
  <c r="R304" i="13" s="1"/>
  <c r="CO305" i="3"/>
  <c r="R308" i="13" s="1"/>
  <c r="CO211" i="3"/>
  <c r="R214" i="13" s="1"/>
  <c r="CO216" i="3"/>
  <c r="R219" i="13" s="1"/>
  <c r="CO222" i="3"/>
  <c r="R225" i="13" s="1"/>
  <c r="CO224" i="3"/>
  <c r="R227" i="13" s="1"/>
  <c r="CO244" i="3"/>
  <c r="R247" i="13" s="1"/>
  <c r="CO246" i="3"/>
  <c r="R249" i="13" s="1"/>
  <c r="CO257" i="3"/>
  <c r="R260" i="13" s="1"/>
  <c r="CO267" i="3"/>
  <c r="R270" i="13" s="1"/>
  <c r="CO260" i="3"/>
  <c r="R263" i="13" s="1"/>
  <c r="CO279" i="3"/>
  <c r="R282" i="13" s="1"/>
  <c r="CO299" i="3"/>
  <c r="R302" i="13" s="1"/>
  <c r="CO218" i="3"/>
  <c r="R221" i="13" s="1"/>
  <c r="CO231" i="3"/>
  <c r="R234" i="13" s="1"/>
  <c r="CO253" i="3"/>
  <c r="R256" i="13" s="1"/>
  <c r="CO250" i="3"/>
  <c r="R253" i="13" s="1"/>
  <c r="CO258" i="3"/>
  <c r="R261" i="13" s="1"/>
  <c r="CO290" i="3"/>
  <c r="R293" i="13" s="1"/>
  <c r="CO289" i="3"/>
  <c r="R292" i="13" s="1"/>
  <c r="CO205" i="3"/>
  <c r="R208" i="13" s="1"/>
  <c r="CO208" i="3"/>
  <c r="R211" i="13" s="1"/>
  <c r="CO223" i="3"/>
  <c r="R226" i="13" s="1"/>
  <c r="CO247" i="3"/>
  <c r="R250" i="13" s="1"/>
  <c r="CO242" i="3"/>
  <c r="R245" i="13" s="1"/>
  <c r="CO256" i="3"/>
  <c r="R259" i="13" s="1"/>
  <c r="CO271" i="3"/>
  <c r="R274" i="13" s="1"/>
  <c r="CO285" i="3"/>
  <c r="R288" i="13" s="1"/>
  <c r="CO300" i="3"/>
  <c r="R303" i="13" s="1"/>
  <c r="CO288" i="3"/>
  <c r="R291" i="13" s="1"/>
  <c r="CO202" i="3"/>
  <c r="R205" i="13" s="1"/>
  <c r="CO207" i="3"/>
  <c r="R210" i="13" s="1"/>
  <c r="CO245" i="3"/>
  <c r="R248" i="13" s="1"/>
  <c r="CO251" i="3"/>
  <c r="R254" i="13" s="1"/>
  <c r="CO254" i="3"/>
  <c r="R257" i="13" s="1"/>
  <c r="CO272" i="3"/>
  <c r="R275" i="13" s="1"/>
  <c r="CO284" i="3"/>
  <c r="R287" i="13" s="1"/>
  <c r="CO291" i="3"/>
  <c r="R294" i="13" s="1"/>
  <c r="CO217" i="3"/>
  <c r="R220" i="13" s="1"/>
  <c r="CO235" i="3"/>
  <c r="R238" i="13" s="1"/>
  <c r="CO238" i="3"/>
  <c r="R241" i="13" s="1"/>
  <c r="CO248" i="3"/>
  <c r="R251" i="13" s="1"/>
  <c r="CO278" i="3"/>
  <c r="R281" i="13" s="1"/>
  <c r="CO297" i="3"/>
  <c r="R300" i="13" s="1"/>
  <c r="CO286" i="3"/>
  <c r="R289" i="13" s="1"/>
  <c r="CO203" i="3"/>
  <c r="R206" i="13" s="1"/>
  <c r="CO210" i="3"/>
  <c r="R213" i="13" s="1"/>
  <c r="CO230" i="3"/>
  <c r="R233" i="13" s="1"/>
  <c r="CO240" i="3"/>
  <c r="R243" i="13" s="1"/>
  <c r="CO236" i="3"/>
  <c r="R239" i="13" s="1"/>
  <c r="CO252" i="3"/>
  <c r="R255" i="13" s="1"/>
  <c r="CO273" i="3"/>
  <c r="R276" i="13" s="1"/>
  <c r="CO294" i="3"/>
  <c r="R297" i="13" s="1"/>
  <c r="CO206" i="3"/>
  <c r="R209" i="13" s="1"/>
  <c r="CO237" i="3"/>
  <c r="R240" i="13" s="1"/>
  <c r="CO241" i="3"/>
  <c r="R244" i="13" s="1"/>
  <c r="CO239" i="3"/>
  <c r="R242" i="13" s="1"/>
  <c r="CO277" i="3"/>
  <c r="R280" i="13" s="1"/>
  <c r="CO304" i="3"/>
  <c r="R307" i="13" s="1"/>
  <c r="CO292" i="3"/>
  <c r="R295" i="13" s="1"/>
  <c r="CO274" i="3"/>
  <c r="R277" i="13" s="1"/>
  <c r="ER153" i="3"/>
  <c r="D43" i="22"/>
  <c r="AP42" i="22"/>
  <c r="CL142" i="3"/>
  <c r="ER146" i="3"/>
  <c r="ER151" i="3"/>
  <c r="ER144" i="3"/>
  <c r="ER107" i="3"/>
  <c r="ER112" i="3"/>
  <c r="ER192" i="3"/>
  <c r="CU68" i="3"/>
  <c r="K371" i="13" s="1"/>
  <c r="ER190" i="3"/>
  <c r="ER196" i="3"/>
  <c r="ER132" i="3"/>
  <c r="ER96" i="3"/>
  <c r="ER135" i="3"/>
  <c r="AO42" i="22"/>
  <c r="ER156" i="3"/>
  <c r="ER125" i="3"/>
  <c r="ER134" i="3"/>
  <c r="ER276" i="3"/>
  <c r="CJ276" i="3" s="1"/>
  <c r="BO276" i="3" s="1"/>
  <c r="ER275" i="3"/>
  <c r="CJ275" i="3" s="1"/>
  <c r="BO275" i="3" s="1"/>
  <c r="ER303" i="3"/>
  <c r="CJ303" i="3" s="1"/>
  <c r="BO303" i="3" s="1"/>
  <c r="ER304" i="3"/>
  <c r="CJ304" i="3" s="1"/>
  <c r="BO304" i="3" s="1"/>
  <c r="ER260" i="3"/>
  <c r="CJ260" i="3" s="1"/>
  <c r="BO260" i="3" s="1"/>
  <c r="ER208" i="3"/>
  <c r="CJ208" i="3" s="1"/>
  <c r="BO208" i="3" s="1"/>
  <c r="ER264" i="3"/>
  <c r="CJ264" i="3" s="1"/>
  <c r="BO264" i="3" s="1"/>
  <c r="ER253" i="3"/>
  <c r="CJ253" i="3" s="1"/>
  <c r="BO253" i="3" s="1"/>
  <c r="ER249" i="3"/>
  <c r="CJ249" i="3" s="1"/>
  <c r="BO249" i="3" s="1"/>
  <c r="ER285" i="3"/>
  <c r="CJ285" i="3" s="1"/>
  <c r="BO285" i="3" s="1"/>
  <c r="ER222" i="3"/>
  <c r="CJ222" i="3" s="1"/>
  <c r="BO222" i="3" s="1"/>
  <c r="ER224" i="3"/>
  <c r="CJ224" i="3" s="1"/>
  <c r="BO224" i="3" s="1"/>
  <c r="ER245" i="3"/>
  <c r="CJ245" i="3" s="1"/>
  <c r="BO245" i="3" s="1"/>
  <c r="ER281" i="3"/>
  <c r="CJ281" i="3" s="1"/>
  <c r="BO281" i="3" s="1"/>
  <c r="ER209" i="3"/>
  <c r="CJ209" i="3" s="1"/>
  <c r="BO209" i="3" s="1"/>
  <c r="ER292" i="3"/>
  <c r="CJ292" i="3" s="1"/>
  <c r="BO292" i="3" s="1"/>
  <c r="ER254" i="3"/>
  <c r="CJ254" i="3" s="1"/>
  <c r="BO254" i="3" s="1"/>
  <c r="ER242" i="3"/>
  <c r="CJ242" i="3" s="1"/>
  <c r="BO242" i="3" s="1"/>
  <c r="ER238" i="3"/>
  <c r="CJ238" i="3" s="1"/>
  <c r="BO238" i="3" s="1"/>
  <c r="ER202" i="3"/>
  <c r="CJ202" i="3" s="1"/>
  <c r="BO202" i="3" s="1"/>
  <c r="ER295" i="3"/>
  <c r="CJ295" i="3" s="1"/>
  <c r="BO295" i="3" s="1"/>
  <c r="ER305" i="3"/>
  <c r="CJ305" i="3" s="1"/>
  <c r="BO305" i="3" s="1"/>
  <c r="ER261" i="3"/>
  <c r="CJ261" i="3" s="1"/>
  <c r="BO261" i="3" s="1"/>
  <c r="ER250" i="3"/>
  <c r="CJ250" i="3" s="1"/>
  <c r="BO250" i="3" s="1"/>
  <c r="ER269" i="3"/>
  <c r="CJ269" i="3" s="1"/>
  <c r="BO269" i="3" s="1"/>
  <c r="ER265" i="3"/>
  <c r="CJ265" i="3" s="1"/>
  <c r="BO265" i="3" s="1"/>
  <c r="ER207" i="3"/>
  <c r="CJ207" i="3" s="1"/>
  <c r="BO207" i="3" s="1"/>
  <c r="ER268" i="3"/>
  <c r="CJ268" i="3" s="1"/>
  <c r="BO268" i="3" s="1"/>
  <c r="ER205" i="3"/>
  <c r="CJ205" i="3" s="1"/>
  <c r="BO205" i="3" s="1"/>
  <c r="ER241" i="3"/>
  <c r="CJ241" i="3" s="1"/>
  <c r="BO241" i="3" s="1"/>
  <c r="ER204" i="3"/>
  <c r="CJ204" i="3" s="1"/>
  <c r="BO204" i="3" s="1"/>
  <c r="ER306" i="3"/>
  <c r="CJ306" i="3" s="1"/>
  <c r="BO306" i="3" s="1"/>
  <c r="ER217" i="3"/>
  <c r="CJ217" i="3" s="1"/>
  <c r="BO217" i="3" s="1"/>
  <c r="ER278" i="3"/>
  <c r="CJ278" i="3" s="1"/>
  <c r="BO278" i="3" s="1"/>
  <c r="ER266" i="3"/>
  <c r="CJ266" i="3" s="1"/>
  <c r="BO266" i="3" s="1"/>
  <c r="ER251" i="3"/>
  <c r="CJ251" i="3" s="1"/>
  <c r="BO251" i="3" s="1"/>
  <c r="ER230" i="3"/>
  <c r="CJ230" i="3" s="1"/>
  <c r="BO230" i="3" s="1"/>
  <c r="ER206" i="3"/>
  <c r="CJ206" i="3" s="1"/>
  <c r="BO206" i="3" s="1"/>
  <c r="ER307" i="3"/>
  <c r="CJ307" i="3" s="1"/>
  <c r="BO307" i="3" s="1"/>
  <c r="ER203" i="3"/>
  <c r="CJ203" i="3" s="1"/>
  <c r="BO203" i="3" s="1"/>
  <c r="ER255" i="3"/>
  <c r="CJ255" i="3" s="1"/>
  <c r="BO255" i="3" s="1"/>
  <c r="ER258" i="3"/>
  <c r="CJ258" i="3" s="1"/>
  <c r="BO258" i="3" s="1"/>
  <c r="ER286" i="3"/>
  <c r="CJ286" i="3" s="1"/>
  <c r="BO286" i="3" s="1"/>
  <c r="ER263" i="3"/>
  <c r="CJ263" i="3" s="1"/>
  <c r="BO263" i="3" s="1"/>
  <c r="ER302" i="3"/>
  <c r="CJ302" i="3" s="1"/>
  <c r="BO302" i="3" s="1"/>
  <c r="ER282" i="3"/>
  <c r="CJ282" i="3" s="1"/>
  <c r="BO282" i="3" s="1"/>
  <c r="ER237" i="3"/>
  <c r="CJ237" i="3" s="1"/>
  <c r="BO237" i="3" s="1"/>
  <c r="ER298" i="3"/>
  <c r="CJ298" i="3" s="1"/>
  <c r="BO298" i="3" s="1"/>
  <c r="ER277" i="3"/>
  <c r="CJ277" i="3" s="1"/>
  <c r="BO277" i="3" s="1"/>
  <c r="ER273" i="3"/>
  <c r="CJ273" i="3" s="1"/>
  <c r="BO273" i="3" s="1"/>
  <c r="ER218" i="3"/>
  <c r="CJ218" i="3" s="1"/>
  <c r="BO218" i="3" s="1"/>
  <c r="ER257" i="3"/>
  <c r="CJ257" i="3" s="1"/>
  <c r="BO257" i="3" s="1"/>
  <c r="ER246" i="3"/>
  <c r="CJ246" i="3" s="1"/>
  <c r="BO246" i="3" s="1"/>
  <c r="ER234" i="3"/>
  <c r="CJ234" i="3" s="1"/>
  <c r="BO234" i="3" s="1"/>
  <c r="ER279" i="3"/>
  <c r="CJ279" i="3" s="1"/>
  <c r="BO279" i="3" s="1"/>
  <c r="ER280" i="3"/>
  <c r="CJ280" i="3" s="1"/>
  <c r="BO280" i="3" s="1"/>
  <c r="ER235" i="3"/>
  <c r="CJ235" i="3" s="1"/>
  <c r="BO235" i="3" s="1"/>
  <c r="ER223" i="3"/>
  <c r="CJ223" i="3" s="1"/>
  <c r="BO223" i="3" s="1"/>
  <c r="ER291" i="3"/>
  <c r="CJ291" i="3" s="1"/>
  <c r="BO291" i="3" s="1"/>
  <c r="ER283" i="3"/>
  <c r="CJ283" i="3" s="1"/>
  <c r="BO283" i="3" s="1"/>
  <c r="ER290" i="3"/>
  <c r="CJ290" i="3" s="1"/>
  <c r="BO290" i="3" s="1"/>
  <c r="ER299" i="3"/>
  <c r="CJ299" i="3" s="1"/>
  <c r="BO299" i="3" s="1"/>
  <c r="ER287" i="3"/>
  <c r="CJ287" i="3" s="1"/>
  <c r="BO287" i="3" s="1"/>
  <c r="ER244" i="3"/>
  <c r="CJ244" i="3" s="1"/>
  <c r="BO244" i="3" s="1"/>
  <c r="ER271" i="3"/>
  <c r="CJ271" i="3" s="1"/>
  <c r="BO271" i="3" s="1"/>
  <c r="ER308" i="3"/>
  <c r="CJ308" i="3" s="1"/>
  <c r="BO308" i="3" s="1"/>
  <c r="ER288" i="3"/>
  <c r="CJ288" i="3" s="1"/>
  <c r="BO288" i="3" s="1"/>
  <c r="ER216" i="3"/>
  <c r="CJ216" i="3" s="1"/>
  <c r="BO216" i="3" s="1"/>
  <c r="ER300" i="3"/>
  <c r="CJ300" i="3" s="1"/>
  <c r="BO300" i="3" s="1"/>
  <c r="ER231" i="3"/>
  <c r="CJ231" i="3" s="1"/>
  <c r="BO231" i="3" s="1"/>
  <c r="ER274" i="3"/>
  <c r="CJ274" i="3" s="1"/>
  <c r="BO274" i="3" s="1"/>
  <c r="ER262" i="3"/>
  <c r="CJ262" i="3" s="1"/>
  <c r="BO262" i="3" s="1"/>
  <c r="ER243" i="3"/>
  <c r="CJ243" i="3" s="1"/>
  <c r="BO243" i="3" s="1"/>
  <c r="ER219" i="3"/>
  <c r="CJ219" i="3" s="1"/>
  <c r="BO219" i="3" s="1"/>
  <c r="ER210" i="3"/>
  <c r="CJ210" i="3" s="1"/>
  <c r="BO210" i="3" s="1"/>
  <c r="ER236" i="3"/>
  <c r="CJ236" i="3" s="1"/>
  <c r="BO236" i="3" s="1"/>
  <c r="ER247" i="3"/>
  <c r="CJ247" i="3" s="1"/>
  <c r="BO247" i="3" s="1"/>
  <c r="ER239" i="3"/>
  <c r="CJ239" i="3" s="1"/>
  <c r="BO239" i="3" s="1"/>
  <c r="ER240" i="3"/>
  <c r="CJ240" i="3" s="1"/>
  <c r="BO240" i="3" s="1"/>
  <c r="ER248" i="3"/>
  <c r="CJ248" i="3" s="1"/>
  <c r="BO248" i="3" s="1"/>
  <c r="ER293" i="3"/>
  <c r="CJ293" i="3" s="1"/>
  <c r="BO293" i="3" s="1"/>
  <c r="ER289" i="3"/>
  <c r="CJ289" i="3" s="1"/>
  <c r="BO289" i="3" s="1"/>
  <c r="ER252" i="3"/>
  <c r="CJ252" i="3" s="1"/>
  <c r="BO252" i="3" s="1"/>
  <c r="ER297" i="3"/>
  <c r="CJ297" i="3" s="1"/>
  <c r="BO297" i="3" s="1"/>
  <c r="ER256" i="3"/>
  <c r="CJ256" i="3" s="1"/>
  <c r="BO256" i="3" s="1"/>
  <c r="ER272" i="3"/>
  <c r="CJ272" i="3" s="1"/>
  <c r="BO272" i="3" s="1"/>
  <c r="ER267" i="3"/>
  <c r="CJ267" i="3" s="1"/>
  <c r="BO267" i="3" s="1"/>
  <c r="ER211" i="3"/>
  <c r="CJ211" i="3" s="1"/>
  <c r="BO211" i="3" s="1"/>
  <c r="ER284" i="3"/>
  <c r="CJ284" i="3" s="1"/>
  <c r="BO284" i="3" s="1"/>
  <c r="ER259" i="3"/>
  <c r="CJ259" i="3" s="1"/>
  <c r="BO259" i="3" s="1"/>
  <c r="ER228" i="3"/>
  <c r="CJ228" i="3" s="1"/>
  <c r="BO228" i="3" s="1"/>
  <c r="ER225" i="3"/>
  <c r="CJ225" i="3" s="1"/>
  <c r="BO225" i="3" s="1"/>
  <c r="ER294" i="3"/>
  <c r="CJ294" i="3" s="1"/>
  <c r="BO294" i="3" s="1"/>
  <c r="ER296" i="3"/>
  <c r="CJ296" i="3" s="1"/>
  <c r="BO296" i="3" s="1"/>
  <c r="ER301" i="3"/>
  <c r="CJ301" i="3" s="1"/>
  <c r="BO301" i="3" s="1"/>
  <c r="ER229" i="3"/>
  <c r="CJ229" i="3" s="1"/>
  <c r="BO229" i="3" s="1"/>
  <c r="ER270" i="3"/>
  <c r="CJ270" i="3" s="1"/>
  <c r="BO270" i="3" s="1"/>
  <c r="CL143" i="3"/>
  <c r="CU170" i="3"/>
  <c r="K473" i="13" s="1"/>
  <c r="AG68" i="3"/>
  <c r="DH68" i="3"/>
  <c r="S100" i="20"/>
  <c r="CU86" i="3"/>
  <c r="K389" i="13" s="1"/>
  <c r="DH86" i="3"/>
  <c r="DE148" i="3"/>
  <c r="CL148" i="3"/>
  <c r="S184" i="20"/>
  <c r="CL195" i="3"/>
  <c r="AG80" i="3"/>
  <c r="BU164" i="3"/>
  <c r="AG90" i="3"/>
  <c r="DE130" i="3"/>
  <c r="DE188" i="3"/>
  <c r="DE142" i="3"/>
  <c r="DE101" i="3"/>
  <c r="CL186" i="3"/>
  <c r="DE86" i="3"/>
  <c r="CL86" i="3"/>
  <c r="CL139" i="3"/>
  <c r="BU186" i="3"/>
  <c r="CL150" i="3"/>
  <c r="CL201" i="3"/>
  <c r="CU158" i="3"/>
  <c r="K461" i="13" s="1"/>
  <c r="DE201" i="3"/>
  <c r="DE150" i="3"/>
  <c r="CL173" i="3"/>
  <c r="S172" i="20"/>
  <c r="DE186" i="3"/>
  <c r="DE173" i="3"/>
  <c r="AG158" i="3"/>
  <c r="DH158" i="3"/>
  <c r="DE145" i="3"/>
  <c r="DE157" i="3"/>
  <c r="BU145" i="3"/>
  <c r="DE114" i="3"/>
  <c r="CL157" i="3"/>
  <c r="CL172" i="3"/>
  <c r="CL188" i="3"/>
  <c r="DE172" i="3"/>
  <c r="CL99" i="3"/>
  <c r="CL176" i="3"/>
  <c r="DE99" i="3"/>
  <c r="BU176" i="3"/>
  <c r="CL133" i="3"/>
  <c r="DE176" i="3"/>
  <c r="DE133" i="3"/>
  <c r="DE136" i="3"/>
  <c r="BU136" i="3"/>
  <c r="CU80" i="3"/>
  <c r="K383" i="13" s="1"/>
  <c r="DH170" i="3"/>
  <c r="DE100" i="3"/>
  <c r="DE195" i="3"/>
  <c r="BU172" i="3"/>
  <c r="BU195" i="3"/>
  <c r="BU140" i="3"/>
  <c r="BU118" i="3"/>
  <c r="DE197" i="3"/>
  <c r="DE140" i="3"/>
  <c r="CL140" i="3"/>
  <c r="DE118" i="3"/>
  <c r="CL199" i="3"/>
  <c r="CL126" i="3"/>
  <c r="BU197" i="3"/>
  <c r="DE126" i="3"/>
  <c r="DE199" i="3"/>
  <c r="BU199" i="3"/>
  <c r="BU106" i="3"/>
  <c r="DE106" i="3"/>
  <c r="CL106" i="3"/>
  <c r="BU109" i="3"/>
  <c r="BU141" i="3"/>
  <c r="CU77" i="3"/>
  <c r="K380" i="13" s="1"/>
  <c r="DE141" i="3"/>
  <c r="CL185" i="3"/>
  <c r="S145" i="20"/>
  <c r="DH131" i="3"/>
  <c r="DE185" i="3"/>
  <c r="DE111" i="3"/>
  <c r="DE167" i="3"/>
  <c r="BU111" i="3"/>
  <c r="S91" i="20"/>
  <c r="BU201" i="3"/>
  <c r="CL109" i="3"/>
  <c r="BU167" i="3"/>
  <c r="BU185" i="3"/>
  <c r="DE109" i="3"/>
  <c r="DH80" i="3"/>
  <c r="DE154" i="3"/>
  <c r="BU154" i="3"/>
  <c r="BU100" i="3"/>
  <c r="DE187" i="3"/>
  <c r="CL101" i="3"/>
  <c r="S94" i="20"/>
  <c r="BU138" i="3"/>
  <c r="BU99" i="3"/>
  <c r="BU108" i="3"/>
  <c r="BU187" i="3"/>
  <c r="BU139" i="3"/>
  <c r="BU173" i="3"/>
  <c r="CL187" i="3"/>
  <c r="BU101" i="3"/>
  <c r="DE138" i="3"/>
  <c r="DE108" i="3"/>
  <c r="BU114" i="3"/>
  <c r="BU130" i="3"/>
  <c r="BU142" i="3"/>
  <c r="BU157" i="3"/>
  <c r="BU188" i="3"/>
  <c r="DE164" i="3"/>
  <c r="BU148" i="3"/>
  <c r="BS25" i="3"/>
  <c r="DE158" i="3"/>
  <c r="CL158" i="3"/>
  <c r="AX114" i="3"/>
  <c r="AY114" i="3" s="1"/>
  <c r="BU86" i="3"/>
  <c r="BU126" i="3"/>
  <c r="CL197" i="3"/>
  <c r="CL141" i="3"/>
  <c r="AP216" i="13"/>
  <c r="V35" i="5"/>
  <c r="BU200" i="3"/>
  <c r="DE200" i="3"/>
  <c r="CL200" i="3"/>
  <c r="DE191" i="3"/>
  <c r="CL191" i="3"/>
  <c r="CL196" i="3"/>
  <c r="BU191" i="3"/>
  <c r="CM189" i="3"/>
  <c r="CM174" i="3"/>
  <c r="CL167" i="3"/>
  <c r="CM170" i="3"/>
  <c r="CL154" i="3"/>
  <c r="BU158" i="3"/>
  <c r="CM163" i="3"/>
  <c r="BU150" i="3"/>
  <c r="CL151" i="3"/>
  <c r="CL135" i="3"/>
  <c r="CL136" i="3"/>
  <c r="CL138" i="3"/>
  <c r="DE143" i="3"/>
  <c r="DE139" i="3"/>
  <c r="BU143" i="3"/>
  <c r="CM129" i="3"/>
  <c r="AX124" i="3"/>
  <c r="AY124" i="3" s="1"/>
  <c r="AG131" i="3"/>
  <c r="BU133" i="3"/>
  <c r="CM131" i="3"/>
  <c r="CL130" i="3"/>
  <c r="CL132" i="3"/>
  <c r="CM77" i="3"/>
  <c r="AX119" i="3"/>
  <c r="AY119" i="3" s="1"/>
  <c r="AX121" i="3"/>
  <c r="AY121" i="3" s="1"/>
  <c r="AX123" i="3"/>
  <c r="AY123" i="3" s="1"/>
  <c r="AX120" i="3"/>
  <c r="AY120" i="3" s="1"/>
  <c r="AX118" i="3"/>
  <c r="AY118" i="3" s="1"/>
  <c r="CL112" i="3"/>
  <c r="CL111" i="3"/>
  <c r="BU105" i="3"/>
  <c r="CL105" i="3"/>
  <c r="DE105" i="3"/>
  <c r="DH88" i="3"/>
  <c r="CM88" i="3"/>
  <c r="DH87" i="3"/>
  <c r="CM87" i="3"/>
  <c r="S47" i="3"/>
  <c r="S46" i="3"/>
  <c r="S60" i="3"/>
  <c r="CM60" i="3"/>
  <c r="S58" i="3"/>
  <c r="CM58" i="3"/>
  <c r="S54" i="3"/>
  <c r="CM79" i="3"/>
  <c r="CM92" i="3"/>
  <c r="CM42" i="3"/>
  <c r="DH91" i="3"/>
  <c r="CM91" i="3"/>
  <c r="CU85" i="3"/>
  <c r="K388" i="13" s="1"/>
  <c r="CM85" i="3"/>
  <c r="S52" i="3"/>
  <c r="CM52" i="3"/>
  <c r="S56" i="3"/>
  <c r="CM56" i="3"/>
  <c r="DH71" i="3"/>
  <c r="CM71" i="3"/>
  <c r="CM72" i="3"/>
  <c r="S62" i="3"/>
  <c r="CM62" i="3"/>
  <c r="S41" i="3"/>
  <c r="S44" i="3"/>
  <c r="S53" i="3"/>
  <c r="CM53" i="3"/>
  <c r="S55" i="3"/>
  <c r="CM55" i="3"/>
  <c r="S49" i="3"/>
  <c r="S51" i="3"/>
  <c r="CM51" i="3"/>
  <c r="S50" i="3"/>
  <c r="S45" i="3"/>
  <c r="S104" i="20"/>
  <c r="CM90" i="3"/>
  <c r="CM81" i="3"/>
  <c r="S25" i="3"/>
  <c r="S20" i="3"/>
  <c r="S19" i="3"/>
  <c r="S39" i="3"/>
  <c r="S22" i="3"/>
  <c r="S9" i="3"/>
  <c r="BU122" i="3"/>
  <c r="BU182" i="3"/>
  <c r="BU194" i="3"/>
  <c r="BU221" i="3"/>
  <c r="BU280" i="3"/>
  <c r="BU270" i="3"/>
  <c r="BU76" i="3"/>
  <c r="BU259" i="3"/>
  <c r="BU124" i="3"/>
  <c r="BU97" i="3"/>
  <c r="BU177" i="3"/>
  <c r="BU48" i="3"/>
  <c r="BU82" i="3"/>
  <c r="BU117" i="3"/>
  <c r="BU89" i="3"/>
  <c r="BU94" i="3"/>
  <c r="BU102" i="3"/>
  <c r="BU166" i="3"/>
  <c r="BU179" i="3"/>
  <c r="BU181" i="3"/>
  <c r="BU168" i="3"/>
  <c r="BU184" i="3"/>
  <c r="BU229" i="3"/>
  <c r="BU155" i="3"/>
  <c r="BU276" i="3"/>
  <c r="BU296" i="3"/>
  <c r="BU228" i="3"/>
  <c r="BU98" i="3"/>
  <c r="BU306" i="3"/>
  <c r="BU119" i="3"/>
  <c r="BU80" i="3"/>
  <c r="BU65" i="3"/>
  <c r="BU121" i="3"/>
  <c r="BU152" i="3"/>
  <c r="BU159" i="3"/>
  <c r="BU165" i="3"/>
  <c r="BU234" i="3"/>
  <c r="BU264" i="3"/>
  <c r="BU293" i="3"/>
  <c r="BU295" i="3"/>
  <c r="BU303" i="3"/>
  <c r="BU67" i="3"/>
  <c r="BU66" i="3"/>
  <c r="BU73" i="3"/>
  <c r="BU233" i="3"/>
  <c r="BU255" i="3"/>
  <c r="BU298" i="3"/>
  <c r="BU275" i="3"/>
  <c r="BU123" i="3"/>
  <c r="BU137" i="3"/>
  <c r="BU147" i="3"/>
  <c r="BU175" i="3"/>
  <c r="BU160" i="3"/>
  <c r="BU169" i="3"/>
  <c r="BU116" i="3"/>
  <c r="BU261" i="3"/>
  <c r="BU283" i="3"/>
  <c r="BU308" i="3"/>
  <c r="BU103" i="3"/>
  <c r="BU262" i="3"/>
  <c r="BU198" i="3"/>
  <c r="BU115" i="3"/>
  <c r="BU61" i="3"/>
  <c r="BU64" i="3"/>
  <c r="BU113" i="3"/>
  <c r="BU128" i="3"/>
  <c r="BU162" i="3"/>
  <c r="BU193" i="3"/>
  <c r="BU281" i="3"/>
  <c r="BU307" i="3"/>
  <c r="BU266" i="3"/>
  <c r="BU302" i="3"/>
  <c r="BU57" i="3"/>
  <c r="BU93" i="3"/>
  <c r="BU110" i="3"/>
  <c r="BU127" i="3"/>
  <c r="BU149" i="3"/>
  <c r="BU161" i="3"/>
  <c r="BU104" i="3"/>
  <c r="BU219" i="3"/>
  <c r="BU282" i="3"/>
  <c r="BU268" i="3"/>
  <c r="BU183" i="3"/>
  <c r="BU70" i="3"/>
  <c r="BU68" i="3"/>
  <c r="BU95" i="3"/>
  <c r="BU120" i="3"/>
  <c r="BU180" i="3"/>
  <c r="BU171" i="3"/>
  <c r="BU287" i="3"/>
  <c r="BU269" i="3"/>
  <c r="BU178" i="3"/>
  <c r="BU83" i="3"/>
  <c r="CZ250" i="3"/>
  <c r="CZ292" i="3"/>
  <c r="CZ225" i="3"/>
  <c r="CZ257" i="3"/>
  <c r="CZ216" i="3"/>
  <c r="CZ211" i="3"/>
  <c r="CZ294" i="3"/>
  <c r="CZ224" i="3"/>
  <c r="CZ271" i="3"/>
  <c r="CZ230" i="3"/>
  <c r="CZ304" i="3"/>
  <c r="CZ301" i="3"/>
  <c r="CZ240" i="3"/>
  <c r="CZ285" i="3"/>
  <c r="CZ277" i="3"/>
  <c r="CZ237" i="3"/>
  <c r="CZ284" i="3"/>
  <c r="CZ202" i="3"/>
  <c r="CZ246" i="3"/>
  <c r="CZ252" i="3"/>
  <c r="CZ223" i="3"/>
  <c r="CZ247" i="3"/>
  <c r="CZ290" i="3"/>
  <c r="CZ258" i="3"/>
  <c r="CZ273" i="3"/>
  <c r="CZ208" i="3"/>
  <c r="CZ279" i="3"/>
  <c r="CZ217" i="3"/>
  <c r="CZ278" i="3"/>
  <c r="CZ231" i="3"/>
  <c r="CZ254" i="3"/>
  <c r="CZ204" i="3"/>
  <c r="CZ289" i="3"/>
  <c r="CZ235" i="3"/>
  <c r="CZ245" i="3"/>
  <c r="CZ205" i="3"/>
  <c r="CZ242" i="3"/>
  <c r="CZ300" i="3"/>
  <c r="CZ218" i="3"/>
  <c r="CZ238" i="3"/>
  <c r="CZ209" i="3"/>
  <c r="CZ299" i="3"/>
  <c r="CZ260" i="3"/>
  <c r="CZ244" i="3"/>
  <c r="CZ207" i="3"/>
  <c r="CZ274" i="3"/>
  <c r="CZ267" i="3"/>
  <c r="CZ206" i="3"/>
  <c r="CZ241" i="3"/>
  <c r="CZ239" i="3"/>
  <c r="CZ263" i="3"/>
  <c r="CZ297" i="3"/>
  <c r="CZ288" i="3"/>
  <c r="CZ256" i="3"/>
  <c r="CZ253" i="3"/>
  <c r="CZ236" i="3"/>
  <c r="CZ265" i="3"/>
  <c r="CZ286" i="3"/>
  <c r="CZ249" i="3"/>
  <c r="CZ210" i="3"/>
  <c r="CZ248" i="3"/>
  <c r="CZ222" i="3"/>
  <c r="CZ291" i="3"/>
  <c r="CZ243" i="3"/>
  <c r="CZ305" i="3"/>
  <c r="CZ251" i="3"/>
  <c r="CZ203" i="3"/>
  <c r="CZ272" i="3"/>
  <c r="CU82" i="3"/>
  <c r="CY82" i="3" s="1"/>
  <c r="DE80" i="3"/>
  <c r="DE57" i="3"/>
  <c r="S96" i="20"/>
  <c r="AG82" i="3"/>
  <c r="DH82" i="3"/>
  <c r="AG66" i="3"/>
  <c r="DH66" i="3"/>
  <c r="S71" i="20"/>
  <c r="DH62" i="3"/>
  <c r="CU57" i="3"/>
  <c r="K360" i="13" s="1"/>
  <c r="CL57" i="3"/>
  <c r="AG57" i="3"/>
  <c r="DH57" i="3"/>
  <c r="CU79" i="3"/>
  <c r="K382" i="13" s="1"/>
  <c r="S79" i="20"/>
  <c r="CU91" i="3"/>
  <c r="K394" i="13" s="1"/>
  <c r="CU65" i="3"/>
  <c r="K368" i="13" s="1"/>
  <c r="DH65" i="3"/>
  <c r="DE65" i="3"/>
  <c r="AG92" i="3"/>
  <c r="CU92" i="3"/>
  <c r="K395" i="13" s="1"/>
  <c r="AG65" i="3"/>
  <c r="DE66" i="3"/>
  <c r="S80" i="20"/>
  <c r="AL215" i="13"/>
  <c r="CU66" i="3"/>
  <c r="K369" i="13" s="1"/>
  <c r="S97" i="20"/>
  <c r="DH92" i="3"/>
  <c r="DH85" i="3"/>
  <c r="R43" i="22"/>
  <c r="Y43" i="22" s="1"/>
  <c r="AF43" i="22" s="1"/>
  <c r="E44" i="22"/>
  <c r="T43" i="22"/>
  <c r="AA43" i="22" s="1"/>
  <c r="AH43" i="22" s="1"/>
  <c r="G44" i="22"/>
  <c r="F44" i="22"/>
  <c r="S43" i="22"/>
  <c r="Z43" i="22" s="1"/>
  <c r="AG43" i="22" s="1"/>
  <c r="W43" i="22"/>
  <c r="AD43" i="22" s="1"/>
  <c r="CU55" i="3"/>
  <c r="K358" i="13" s="1"/>
  <c r="CU87" i="3"/>
  <c r="K390" i="13" s="1"/>
  <c r="S101" i="20"/>
  <c r="AG83" i="3"/>
  <c r="DH56" i="3"/>
  <c r="DE83" i="3"/>
  <c r="AG129" i="3"/>
  <c r="CU56" i="3"/>
  <c r="K359" i="13" s="1"/>
  <c r="AG58" i="3"/>
  <c r="AG56" i="3"/>
  <c r="AG87" i="3"/>
  <c r="CU83" i="3"/>
  <c r="K386" i="13" s="1"/>
  <c r="AG91" i="3"/>
  <c r="S105" i="20"/>
  <c r="AG61" i="3"/>
  <c r="CL80" i="3"/>
  <c r="AG85" i="3"/>
  <c r="S99" i="20"/>
  <c r="DH90" i="3"/>
  <c r="CU58" i="3"/>
  <c r="K361" i="13" s="1"/>
  <c r="CU163" i="3"/>
  <c r="K466" i="13" s="1"/>
  <c r="DE82" i="3"/>
  <c r="S85" i="20"/>
  <c r="DJ213" i="3"/>
  <c r="CU71" i="3"/>
  <c r="K374" i="13" s="1"/>
  <c r="AG71" i="3"/>
  <c r="AG49" i="3"/>
  <c r="S143" i="20"/>
  <c r="BS10" i="3"/>
  <c r="CL65" i="3"/>
  <c r="CM44" i="3"/>
  <c r="CM50" i="3"/>
  <c r="AN215" i="13"/>
  <c r="CL69" i="3"/>
  <c r="S27" i="3"/>
  <c r="CM54" i="3"/>
  <c r="BS75" i="3"/>
  <c r="CM75" i="3"/>
  <c r="CM74" i="3"/>
  <c r="BS74" i="3"/>
  <c r="DE61" i="3"/>
  <c r="CU61" i="3"/>
  <c r="K364" i="13" s="1"/>
  <c r="S75" i="20"/>
  <c r="DH61" i="3"/>
  <c r="S38" i="3"/>
  <c r="CM38" i="3"/>
  <c r="AX83" i="3"/>
  <c r="AY83" i="3" s="1"/>
  <c r="CM78" i="3"/>
  <c r="S78" i="3"/>
  <c r="CM59" i="3"/>
  <c r="S59" i="3"/>
  <c r="S37" i="3"/>
  <c r="S40" i="3"/>
  <c r="S43" i="3"/>
  <c r="S36" i="3"/>
  <c r="S35" i="3"/>
  <c r="CM63" i="3"/>
  <c r="S63" i="3"/>
  <c r="AG53" i="3"/>
  <c r="CL82" i="3"/>
  <c r="DH51" i="3"/>
  <c r="AG72" i="3"/>
  <c r="S177" i="20"/>
  <c r="CU72" i="3"/>
  <c r="K375" i="13" s="1"/>
  <c r="AG163" i="3"/>
  <c r="S21" i="3"/>
  <c r="BS11" i="3"/>
  <c r="AG79" i="3"/>
  <c r="CU129" i="3"/>
  <c r="K432" i="13" s="1"/>
  <c r="S93" i="20"/>
  <c r="A200" i="31"/>
  <c r="C200" i="31" s="1"/>
  <c r="AG52" i="3"/>
  <c r="CU174" i="3"/>
  <c r="K477" i="13" s="1"/>
  <c r="CU189" i="3"/>
  <c r="K492" i="13" s="1"/>
  <c r="CU52" i="3"/>
  <c r="K355" i="13" s="1"/>
  <c r="S66" i="20"/>
  <c r="S188" i="20"/>
  <c r="AG189" i="3"/>
  <c r="A208" i="31"/>
  <c r="C208" i="31" s="1"/>
  <c r="AG174" i="3"/>
  <c r="A240" i="31"/>
  <c r="C240" i="31" s="1"/>
  <c r="AG60" i="3"/>
  <c r="S203" i="20"/>
  <c r="A130" i="31"/>
  <c r="C130" i="31" s="1"/>
  <c r="AG81" i="3"/>
  <c r="AG55" i="3"/>
  <c r="A107" i="31"/>
  <c r="C107" i="31" s="1"/>
  <c r="CU81" i="3"/>
  <c r="K384" i="13" s="1"/>
  <c r="A207" i="31"/>
  <c r="C207" i="31" s="1"/>
  <c r="S95" i="20"/>
  <c r="V33" i="5"/>
  <c r="DE64" i="3"/>
  <c r="DE93" i="3"/>
  <c r="DE113" i="3"/>
  <c r="DE162" i="3"/>
  <c r="DE234" i="3"/>
  <c r="DE281" i="3"/>
  <c r="DE76" i="3"/>
  <c r="DE228" i="3"/>
  <c r="DE98" i="3"/>
  <c r="DE119" i="3"/>
  <c r="DE221" i="3"/>
  <c r="DE89" i="3"/>
  <c r="DE95" i="3"/>
  <c r="DE120" i="3"/>
  <c r="DE121" i="3"/>
  <c r="DE122" i="3"/>
  <c r="DE128" i="3"/>
  <c r="DE147" i="3"/>
  <c r="DE152" i="3"/>
  <c r="DE161" i="3"/>
  <c r="DE194" i="3"/>
  <c r="DE233" i="3"/>
  <c r="DE282" i="3"/>
  <c r="DE308" i="3"/>
  <c r="DE102" i="3"/>
  <c r="DE123" i="3"/>
  <c r="DE127" i="3"/>
  <c r="DE175" i="3"/>
  <c r="DE180" i="3"/>
  <c r="DE168" i="3"/>
  <c r="DE229" i="3"/>
  <c r="DE287" i="3"/>
  <c r="DE307" i="3"/>
  <c r="DE159" i="3"/>
  <c r="DE68" i="3"/>
  <c r="DE73" i="3"/>
  <c r="DE94" i="3"/>
  <c r="DE182" i="3"/>
  <c r="DE165" i="3"/>
  <c r="DE184" i="3"/>
  <c r="DE219" i="3"/>
  <c r="DE280" i="3"/>
  <c r="DE270" i="3"/>
  <c r="DE302" i="3"/>
  <c r="DE178" i="3"/>
  <c r="DE137" i="3"/>
  <c r="DE149" i="3"/>
  <c r="DE166" i="3"/>
  <c r="DE179" i="3"/>
  <c r="DE293" i="3"/>
  <c r="DE276" i="3"/>
  <c r="DE70" i="3"/>
  <c r="DE193" i="3"/>
  <c r="DE264" i="3"/>
  <c r="DE295" i="3"/>
  <c r="DE296" i="3"/>
  <c r="DE303" i="3"/>
  <c r="DE110" i="3"/>
  <c r="DE171" i="3"/>
  <c r="DE67" i="3"/>
  <c r="DE255" i="3"/>
  <c r="DE298" i="3"/>
  <c r="DE269" i="3"/>
  <c r="DE124" i="3"/>
  <c r="DE103" i="3"/>
  <c r="DE48" i="3"/>
  <c r="DE117" i="3"/>
  <c r="DE160" i="3"/>
  <c r="DE169" i="3"/>
  <c r="DE181" i="3"/>
  <c r="DE104" i="3"/>
  <c r="DE261" i="3"/>
  <c r="DE283" i="3"/>
  <c r="DE275" i="3"/>
  <c r="DH52" i="3"/>
  <c r="A231" i="31"/>
  <c r="C231" i="31" s="1"/>
  <c r="S72" i="20"/>
  <c r="DH58" i="3"/>
  <c r="DH159" i="3"/>
  <c r="S62" i="20"/>
  <c r="DH48" i="3"/>
  <c r="DH64" i="3"/>
  <c r="DH169" i="3"/>
  <c r="S32" i="3"/>
  <c r="S12" i="3"/>
  <c r="CU53" i="3"/>
  <c r="K356" i="13" s="1"/>
  <c r="DH53" i="3"/>
  <c r="S18" i="3"/>
  <c r="S23" i="3"/>
  <c r="S81" i="20"/>
  <c r="DH67" i="3"/>
  <c r="S69" i="20"/>
  <c r="DH55" i="3"/>
  <c r="S28" i="3"/>
  <c r="CU60" i="3"/>
  <c r="K363" i="13" s="1"/>
  <c r="DH60" i="3"/>
  <c r="DH193" i="3"/>
  <c r="DH175" i="3"/>
  <c r="S29" i="3"/>
  <c r="DH166" i="3"/>
  <c r="A237" i="31"/>
  <c r="C237" i="31" s="1"/>
  <c r="AM215" i="13"/>
  <c r="A217" i="31"/>
  <c r="C217" i="31" s="1"/>
  <c r="A206" i="31"/>
  <c r="C206" i="31" s="1"/>
  <c r="CU88" i="3"/>
  <c r="K391" i="13" s="1"/>
  <c r="A235" i="31"/>
  <c r="C235" i="31" s="1"/>
  <c r="AG48" i="3"/>
  <c r="AG88" i="3"/>
  <c r="S102" i="20"/>
  <c r="A185" i="31"/>
  <c r="C185" i="31" s="1"/>
  <c r="CU67" i="3"/>
  <c r="K370" i="13" s="1"/>
  <c r="CU48" i="3"/>
  <c r="AG67" i="3"/>
  <c r="S67" i="20"/>
  <c r="AG42" i="3"/>
  <c r="A236" i="31"/>
  <c r="C236" i="31" s="1"/>
  <c r="CU42" i="3"/>
  <c r="S56" i="20"/>
  <c r="S76" i="20"/>
  <c r="AG62" i="3"/>
  <c r="CU62" i="3"/>
  <c r="K365" i="13" s="1"/>
  <c r="S65" i="20"/>
  <c r="AG51" i="3"/>
  <c r="CU51" i="3"/>
  <c r="K354" i="13" s="1"/>
  <c r="AX78" i="3"/>
  <c r="AY78" i="3" s="1"/>
  <c r="AX22" i="3"/>
  <c r="AY22" i="3" s="1"/>
  <c r="AX76" i="3"/>
  <c r="AY76" i="3" s="1"/>
  <c r="S26" i="3"/>
  <c r="A120" i="31"/>
  <c r="C120" i="31" s="1"/>
  <c r="A139" i="31"/>
  <c r="C139" i="31" s="1"/>
  <c r="A203" i="31"/>
  <c r="C203" i="31" s="1"/>
  <c r="A199" i="31"/>
  <c r="C199" i="31" s="1"/>
  <c r="A129" i="31"/>
  <c r="C129" i="31" s="1"/>
  <c r="CL70" i="3"/>
  <c r="A242" i="31"/>
  <c r="C242" i="31" s="1"/>
  <c r="A187" i="31"/>
  <c r="C187" i="31" s="1"/>
  <c r="A204" i="31"/>
  <c r="C204" i="31" s="1"/>
  <c r="A241" i="31"/>
  <c r="C241" i="31" s="1"/>
  <c r="A127" i="31"/>
  <c r="C127" i="31" s="1"/>
  <c r="DE259" i="3"/>
  <c r="DE198" i="3"/>
  <c r="DE97" i="3"/>
  <c r="DE268" i="3"/>
  <c r="CL262" i="3"/>
  <c r="DE262" i="3"/>
  <c r="DE306" i="3"/>
  <c r="DE115" i="3"/>
  <c r="DE177" i="3"/>
  <c r="DE116" i="3"/>
  <c r="DE183" i="3"/>
  <c r="DE155" i="3"/>
  <c r="DE266" i="3"/>
  <c r="CL177" i="3"/>
  <c r="CL198" i="3"/>
  <c r="A141" i="31"/>
  <c r="C141" i="31" s="1"/>
  <c r="CL178" i="3"/>
  <c r="S233" i="20"/>
  <c r="CL168" i="3"/>
  <c r="CL97" i="3"/>
  <c r="CL266" i="3"/>
  <c r="CL181" i="3"/>
  <c r="CL155" i="3"/>
  <c r="CL103" i="3"/>
  <c r="CL104" i="3"/>
  <c r="CL183" i="3"/>
  <c r="AL21" i="22"/>
  <c r="CL259" i="3"/>
  <c r="AG219" i="3"/>
  <c r="CU219" i="3"/>
  <c r="CY219" i="3" s="1"/>
  <c r="CL184" i="3"/>
  <c r="AM216" i="13"/>
  <c r="AN216" i="13"/>
  <c r="AL216" i="13"/>
  <c r="CL98" i="3"/>
  <c r="AX117" i="3"/>
  <c r="AY117" i="3" s="1"/>
  <c r="AX122" i="3"/>
  <c r="AY122" i="3" s="1"/>
  <c r="AG64" i="3"/>
  <c r="CL165" i="3"/>
  <c r="CL228" i="3"/>
  <c r="AG216" i="13"/>
  <c r="A209" i="31"/>
  <c r="C209" i="31" s="1"/>
  <c r="AV217" i="13"/>
  <c r="AM217" i="13" s="1"/>
  <c r="A295" i="31"/>
  <c r="C295" i="31" s="1"/>
  <c r="A299" i="31"/>
  <c r="C299" i="31" s="1"/>
  <c r="CL303" i="3"/>
  <c r="CL308" i="3"/>
  <c r="A296" i="31"/>
  <c r="C296" i="31" s="1"/>
  <c r="A300" i="31"/>
  <c r="C300" i="31" s="1"/>
  <c r="CL307" i="3"/>
  <c r="A285" i="31"/>
  <c r="C285" i="31" s="1"/>
  <c r="CL280" i="3"/>
  <c r="CL282" i="3"/>
  <c r="CL295" i="3"/>
  <c r="A272" i="31"/>
  <c r="C272" i="31" s="1"/>
  <c r="A286" i="31"/>
  <c r="C286" i="31" s="1"/>
  <c r="A280" i="31"/>
  <c r="C280" i="31" s="1"/>
  <c r="A292" i="31"/>
  <c r="C292" i="31" s="1"/>
  <c r="A287" i="31"/>
  <c r="C287" i="31" s="1"/>
  <c r="CL293" i="3"/>
  <c r="CL287" i="3"/>
  <c r="CL283" i="3"/>
  <c r="CL296" i="3"/>
  <c r="A281" i="31"/>
  <c r="C281" i="31" s="1"/>
  <c r="A279" i="31"/>
  <c r="C279" i="31" s="1"/>
  <c r="A283" i="31"/>
  <c r="C283" i="31" s="1"/>
  <c r="A284" i="31"/>
  <c r="C284" i="31" s="1"/>
  <c r="CL270" i="3"/>
  <c r="CL281" i="3"/>
  <c r="A269" i="31"/>
  <c r="C269" i="31" s="1"/>
  <c r="A289" i="31"/>
  <c r="C289" i="31" s="1"/>
  <c r="A294" i="31"/>
  <c r="C294" i="31" s="1"/>
  <c r="A266" i="31"/>
  <c r="C266" i="31" s="1"/>
  <c r="A273" i="31"/>
  <c r="C273" i="31" s="1"/>
  <c r="A267" i="31"/>
  <c r="C267" i="31" s="1"/>
  <c r="CL298" i="3"/>
  <c r="CL276" i="3"/>
  <c r="A274" i="31"/>
  <c r="C274" i="31" s="1"/>
  <c r="A268" i="31"/>
  <c r="C268" i="31" s="1"/>
  <c r="CL255" i="3"/>
  <c r="A262" i="31"/>
  <c r="C262" i="31" s="1"/>
  <c r="A260" i="31"/>
  <c r="C260" i="31" s="1"/>
  <c r="A255" i="31"/>
  <c r="C255" i="31" s="1"/>
  <c r="CL261" i="3"/>
  <c r="A249" i="31"/>
  <c r="C249" i="31" s="1"/>
  <c r="A253" i="31"/>
  <c r="C253" i="31" s="1"/>
  <c r="CL264" i="3"/>
  <c r="A258" i="31"/>
  <c r="C258" i="31" s="1"/>
  <c r="A248" i="31"/>
  <c r="C248" i="31" s="1"/>
  <c r="A252" i="31"/>
  <c r="C252" i="31" s="1"/>
  <c r="A247" i="31"/>
  <c r="C247" i="31" s="1"/>
  <c r="A251" i="31"/>
  <c r="C251" i="31" s="1"/>
  <c r="AV250" i="13"/>
  <c r="A246" i="31"/>
  <c r="C246" i="31" s="1"/>
  <c r="A245" i="31"/>
  <c r="C245" i="31" s="1"/>
  <c r="A244" i="31"/>
  <c r="C244" i="31" s="1"/>
  <c r="A243" i="31"/>
  <c r="C243" i="31" s="1"/>
  <c r="AV249" i="13"/>
  <c r="AM249" i="13" s="1"/>
  <c r="AV248" i="13"/>
  <c r="A239" i="31"/>
  <c r="C239" i="31" s="1"/>
  <c r="A238" i="31"/>
  <c r="C238" i="31" s="1"/>
  <c r="AV244" i="13"/>
  <c r="AV243" i="13"/>
  <c r="A233" i="31"/>
  <c r="C233" i="31" s="1"/>
  <c r="A234" i="31"/>
  <c r="C234" i="31" s="1"/>
  <c r="A232" i="31"/>
  <c r="C232" i="31" s="1"/>
  <c r="A225" i="31"/>
  <c r="C225" i="31" s="1"/>
  <c r="CL234" i="3"/>
  <c r="A226" i="31"/>
  <c r="C226" i="31" s="1"/>
  <c r="A230" i="31"/>
  <c r="C230" i="31" s="1"/>
  <c r="A227" i="31"/>
  <c r="C227" i="31" s="1"/>
  <c r="A219" i="31"/>
  <c r="C219" i="31" s="1"/>
  <c r="CL229" i="3"/>
  <c r="A220" i="31"/>
  <c r="C220" i="31" s="1"/>
  <c r="A222" i="31"/>
  <c r="C222" i="31" s="1"/>
  <c r="A221" i="31"/>
  <c r="C221" i="31" s="1"/>
  <c r="A218" i="31"/>
  <c r="C218" i="31" s="1"/>
  <c r="A215" i="31"/>
  <c r="C215" i="31" s="1"/>
  <c r="CL219" i="3"/>
  <c r="A213" i="31"/>
  <c r="C213" i="31" s="1"/>
  <c r="AD70" i="5"/>
  <c r="AB70" i="5"/>
  <c r="D411" i="5" s="1"/>
  <c r="AK215" i="13"/>
  <c r="AG215" i="13"/>
  <c r="AV211" i="13"/>
  <c r="AV214" i="13"/>
  <c r="A212" i="31"/>
  <c r="C212" i="31" s="1"/>
  <c r="A211" i="31"/>
  <c r="C211" i="31" s="1"/>
  <c r="A210" i="31"/>
  <c r="C210" i="31" s="1"/>
  <c r="AV218" i="13"/>
  <c r="A205" i="31"/>
  <c r="C205" i="31" s="1"/>
  <c r="A202" i="31"/>
  <c r="C202" i="31" s="1"/>
  <c r="A201" i="31"/>
  <c r="C201" i="31" s="1"/>
  <c r="A198" i="31"/>
  <c r="C198" i="31" s="1"/>
  <c r="A197" i="31"/>
  <c r="C197" i="31" s="1"/>
  <c r="AX73" i="3"/>
  <c r="AY73" i="3" s="1"/>
  <c r="CL171" i="3"/>
  <c r="AX66" i="3"/>
  <c r="AY66" i="3" s="1"/>
  <c r="CL108" i="3"/>
  <c r="CL194" i="3"/>
  <c r="A191" i="31"/>
  <c r="C191" i="31" s="1"/>
  <c r="CU193" i="3"/>
  <c r="K496" i="13" s="1"/>
  <c r="AG193" i="3"/>
  <c r="S207" i="20"/>
  <c r="CL180" i="3"/>
  <c r="S173" i="20"/>
  <c r="AG159" i="3"/>
  <c r="CU159" i="3"/>
  <c r="K462" i="13" s="1"/>
  <c r="CL160" i="3"/>
  <c r="CL182" i="3"/>
  <c r="S189" i="20"/>
  <c r="AG175" i="3"/>
  <c r="CU175" i="3"/>
  <c r="K478" i="13" s="1"/>
  <c r="A151" i="31"/>
  <c r="C151" i="31" s="1"/>
  <c r="CL162" i="3"/>
  <c r="CL179" i="3"/>
  <c r="S183" i="20"/>
  <c r="AG169" i="3"/>
  <c r="CU169" i="3"/>
  <c r="K472" i="13" s="1"/>
  <c r="CU166" i="3"/>
  <c r="K469" i="13" s="1"/>
  <c r="AG166" i="3"/>
  <c r="S180" i="20"/>
  <c r="CL161" i="3"/>
  <c r="A148" i="31"/>
  <c r="C148" i="31" s="1"/>
  <c r="CL152" i="3"/>
  <c r="A146" i="31"/>
  <c r="C146" i="31" s="1"/>
  <c r="CL149" i="3"/>
  <c r="CL147" i="3"/>
  <c r="CL137" i="3"/>
  <c r="CL128" i="3"/>
  <c r="CL127" i="3"/>
  <c r="CL113" i="3"/>
  <c r="CL110" i="3"/>
  <c r="A102" i="31"/>
  <c r="C102" i="31" s="1"/>
  <c r="CL102" i="3"/>
  <c r="CL95" i="3"/>
  <c r="A91" i="31"/>
  <c r="C91" i="31" s="1"/>
  <c r="CL94" i="3"/>
  <c r="CL93" i="3"/>
  <c r="CL89" i="3"/>
  <c r="CL68" i="3"/>
  <c r="CU64" i="3"/>
  <c r="K367" i="13" s="1"/>
  <c r="S78" i="20"/>
  <c r="S30" i="3"/>
  <c r="S34" i="3"/>
  <c r="S33" i="3"/>
  <c r="CM31" i="3"/>
  <c r="S31" i="3"/>
  <c r="S10" i="3"/>
  <c r="S14" i="3"/>
  <c r="S11" i="3"/>
  <c r="C44" i="22" l="1"/>
  <c r="P44" i="22" s="1"/>
  <c r="CM41" i="3"/>
  <c r="AG41" i="3"/>
  <c r="DH41" i="3"/>
  <c r="S61" i="20"/>
  <c r="AX42" i="3"/>
  <c r="AY42" i="3" s="1"/>
  <c r="K351" i="13"/>
  <c r="L351" i="13" s="1"/>
  <c r="M351" i="13" s="1"/>
  <c r="S55" i="20"/>
  <c r="CY52" i="3"/>
  <c r="BV52" i="3"/>
  <c r="CY79" i="3"/>
  <c r="BV79" i="3"/>
  <c r="CY87" i="3"/>
  <c r="BV87" i="3"/>
  <c r="CY66" i="3"/>
  <c r="CY57" i="3"/>
  <c r="BV63" i="3"/>
  <c r="BV54" i="3"/>
  <c r="CY62" i="3"/>
  <c r="BV62" i="3"/>
  <c r="BV131" i="3"/>
  <c r="CY131" i="3"/>
  <c r="CY170" i="3"/>
  <c r="BV170" i="3"/>
  <c r="CY89" i="3"/>
  <c r="CY64" i="3"/>
  <c r="CY81" i="3"/>
  <c r="BV81" i="3"/>
  <c r="CY55" i="3"/>
  <c r="BV55" i="3"/>
  <c r="CY85" i="3"/>
  <c r="BV85" i="3"/>
  <c r="CY58" i="3"/>
  <c r="BV58" i="3"/>
  <c r="CY88" i="3"/>
  <c r="BV88" i="3"/>
  <c r="CY166" i="3"/>
  <c r="CY158" i="3"/>
  <c r="CY67" i="3"/>
  <c r="CY90" i="3"/>
  <c r="BV90" i="3"/>
  <c r="CY72" i="3"/>
  <c r="BV72" i="3"/>
  <c r="CY174" i="3"/>
  <c r="BV174" i="3"/>
  <c r="CY61" i="3"/>
  <c r="BV59" i="3"/>
  <c r="CY53" i="3"/>
  <c r="BV53" i="3"/>
  <c r="CY71" i="3"/>
  <c r="BV71" i="3"/>
  <c r="CY91" i="3"/>
  <c r="BV91" i="3"/>
  <c r="CY60" i="3"/>
  <c r="BV60" i="3"/>
  <c r="CY189" i="3"/>
  <c r="BV189" i="3"/>
  <c r="CY193" i="3"/>
  <c r="CY68" i="3"/>
  <c r="BV78" i="3"/>
  <c r="BV50" i="3"/>
  <c r="CY129" i="3"/>
  <c r="BV129" i="3"/>
  <c r="CY80" i="3"/>
  <c r="CY86" i="3"/>
  <c r="CY159" i="3"/>
  <c r="BV74" i="3"/>
  <c r="CY56" i="3"/>
  <c r="BV56" i="3"/>
  <c r="CY77" i="3"/>
  <c r="BV77" i="3"/>
  <c r="BV163" i="3"/>
  <c r="CY163" i="3"/>
  <c r="CY169" i="3"/>
  <c r="CY65" i="3"/>
  <c r="BV75" i="3"/>
  <c r="BV51" i="3"/>
  <c r="CY51" i="3"/>
  <c r="CY92" i="3"/>
  <c r="BV92" i="3"/>
  <c r="M35" i="13"/>
  <c r="CY84" i="3"/>
  <c r="CY83" i="3"/>
  <c r="CY70" i="3"/>
  <c r="CY175" i="3"/>
  <c r="AP43" i="22"/>
  <c r="CJ125" i="3"/>
  <c r="CJ167" i="3"/>
  <c r="BO167" i="3" s="1"/>
  <c r="CJ191" i="3"/>
  <c r="BO191" i="3" s="1"/>
  <c r="CJ133" i="3"/>
  <c r="BO133" i="3" s="1"/>
  <c r="CJ138" i="3"/>
  <c r="BO138" i="3" s="1"/>
  <c r="CJ160" i="3"/>
  <c r="BO160" i="3" s="1"/>
  <c r="CJ68" i="3"/>
  <c r="BO68" i="3" s="1"/>
  <c r="CJ200" i="3"/>
  <c r="BO200" i="3" s="1"/>
  <c r="CJ162" i="3"/>
  <c r="BO162" i="3" s="1"/>
  <c r="CJ159" i="3"/>
  <c r="BO159" i="3" s="1"/>
  <c r="CJ194" i="3"/>
  <c r="BO194" i="3" s="1"/>
  <c r="CJ127" i="3"/>
  <c r="BO127" i="3" s="1"/>
  <c r="CJ95" i="3"/>
  <c r="BO95" i="3" s="1"/>
  <c r="CJ156" i="3"/>
  <c r="CJ192" i="3"/>
  <c r="CJ158" i="3"/>
  <c r="BO158" i="3" s="1"/>
  <c r="CJ139" i="3"/>
  <c r="BO139" i="3" s="1"/>
  <c r="CJ104" i="3"/>
  <c r="BO104" i="3" s="1"/>
  <c r="CJ198" i="3"/>
  <c r="BO198" i="3" s="1"/>
  <c r="CJ57" i="3"/>
  <c r="BO57" i="3" s="1"/>
  <c r="CJ169" i="3"/>
  <c r="BO169" i="3" s="1"/>
  <c r="CJ177" i="3"/>
  <c r="BO177" i="3" s="1"/>
  <c r="CJ111" i="3"/>
  <c r="BO111" i="3" s="1"/>
  <c r="CJ130" i="3"/>
  <c r="BO130" i="3" s="1"/>
  <c r="CJ99" i="3"/>
  <c r="BO99" i="3" s="1"/>
  <c r="CJ171" i="3"/>
  <c r="BO171" i="3" s="1"/>
  <c r="CJ97" i="3"/>
  <c r="BO97" i="3" s="1"/>
  <c r="CJ166" i="3"/>
  <c r="BO166" i="3" s="1"/>
  <c r="CJ112" i="3"/>
  <c r="CJ153" i="3"/>
  <c r="CJ195" i="3"/>
  <c r="BO195" i="3" s="1"/>
  <c r="CJ69" i="3"/>
  <c r="BO69" i="3" s="1"/>
  <c r="CJ178" i="3"/>
  <c r="BO178" i="3" s="1"/>
  <c r="CJ161" i="3"/>
  <c r="BO161" i="3" s="1"/>
  <c r="CJ106" i="3"/>
  <c r="BO106" i="3" s="1"/>
  <c r="CJ80" i="3"/>
  <c r="BO80" i="3" s="1"/>
  <c r="CJ168" i="3"/>
  <c r="BO168" i="3" s="1"/>
  <c r="CJ128" i="3"/>
  <c r="BO128" i="3" s="1"/>
  <c r="CJ110" i="3"/>
  <c r="BO110" i="3" s="1"/>
  <c r="CJ136" i="3"/>
  <c r="BO136" i="3" s="1"/>
  <c r="CJ165" i="3"/>
  <c r="BO165" i="3" s="1"/>
  <c r="CJ113" i="3"/>
  <c r="BO113" i="3" s="1"/>
  <c r="CJ98" i="3"/>
  <c r="BO98" i="3" s="1"/>
  <c r="CJ61" i="3"/>
  <c r="BO61" i="3" s="1"/>
  <c r="CJ181" i="3"/>
  <c r="BO181" i="3" s="1"/>
  <c r="CJ142" i="3"/>
  <c r="BO142" i="3" s="1"/>
  <c r="CJ152" i="3"/>
  <c r="BO152" i="3" s="1"/>
  <c r="CJ135" i="3"/>
  <c r="CJ107" i="3"/>
  <c r="CJ183" i="3"/>
  <c r="BO183" i="3" s="1"/>
  <c r="CJ108" i="3"/>
  <c r="BO108" i="3" s="1"/>
  <c r="CJ137" i="3"/>
  <c r="BO137" i="3" s="1"/>
  <c r="CJ94" i="3"/>
  <c r="BO94" i="3" s="1"/>
  <c r="CJ173" i="3"/>
  <c r="BO173" i="3" s="1"/>
  <c r="CJ48" i="3"/>
  <c r="BO48" i="3" s="1"/>
  <c r="CJ184" i="3"/>
  <c r="BO184" i="3" s="1"/>
  <c r="CJ187" i="3"/>
  <c r="BO187" i="3" s="1"/>
  <c r="CJ175" i="3"/>
  <c r="BO175" i="3" s="1"/>
  <c r="CJ140" i="3"/>
  <c r="BO140" i="3" s="1"/>
  <c r="CJ89" i="3"/>
  <c r="BO89" i="3" s="1"/>
  <c r="CJ96" i="3"/>
  <c r="CJ144" i="3"/>
  <c r="CJ100" i="3"/>
  <c r="BO100" i="3" s="1"/>
  <c r="CJ188" i="3"/>
  <c r="BO188" i="3" s="1"/>
  <c r="CJ154" i="3"/>
  <c r="BO154" i="3" s="1"/>
  <c r="CJ199" i="3"/>
  <c r="BO199" i="3" s="1"/>
  <c r="CJ65" i="3"/>
  <c r="BO65" i="3" s="1"/>
  <c r="CJ148" i="3"/>
  <c r="BO148" i="3" s="1"/>
  <c r="CJ84" i="3"/>
  <c r="BO84" i="3" s="1"/>
  <c r="CJ147" i="3"/>
  <c r="BO147" i="3" s="1"/>
  <c r="CJ157" i="3"/>
  <c r="BO157" i="3" s="1"/>
  <c r="CJ126" i="3"/>
  <c r="BO126" i="3" s="1"/>
  <c r="CJ180" i="3"/>
  <c r="BO180" i="3" s="1"/>
  <c r="CJ132" i="3"/>
  <c r="CJ151" i="3"/>
  <c r="CJ64" i="3"/>
  <c r="BO64" i="3" s="1"/>
  <c r="CJ193" i="3"/>
  <c r="BO193" i="3" s="1"/>
  <c r="CJ164" i="3"/>
  <c r="BO164" i="3" s="1"/>
  <c r="CJ141" i="3"/>
  <c r="BO141" i="3" s="1"/>
  <c r="CJ70" i="3"/>
  <c r="BO70" i="3" s="1"/>
  <c r="CJ101" i="3"/>
  <c r="BO101" i="3" s="1"/>
  <c r="CJ196" i="3"/>
  <c r="CJ146" i="3"/>
  <c r="CJ145" i="3"/>
  <c r="BO145" i="3" s="1"/>
  <c r="CJ149" i="3"/>
  <c r="BO149" i="3" s="1"/>
  <c r="CJ150" i="3"/>
  <c r="BO150" i="3" s="1"/>
  <c r="CJ82" i="3"/>
  <c r="BO82" i="3" s="1"/>
  <c r="CJ185" i="3"/>
  <c r="BO185" i="3" s="1"/>
  <c r="CJ172" i="3"/>
  <c r="BO172" i="3" s="1"/>
  <c r="CJ67" i="3"/>
  <c r="BO67" i="3" s="1"/>
  <c r="CJ102" i="3"/>
  <c r="BO102" i="3" s="1"/>
  <c r="CJ186" i="3"/>
  <c r="BO186" i="3" s="1"/>
  <c r="CJ105" i="3"/>
  <c r="BO105" i="3" s="1"/>
  <c r="CJ134" i="3"/>
  <c r="CJ190" i="3"/>
  <c r="CJ109" i="3"/>
  <c r="BO109" i="3" s="1"/>
  <c r="CJ179" i="3"/>
  <c r="BO179" i="3" s="1"/>
  <c r="CJ197" i="3"/>
  <c r="BO197" i="3" s="1"/>
  <c r="CJ201" i="3"/>
  <c r="BO201" i="3" s="1"/>
  <c r="CJ176" i="3"/>
  <c r="BO176" i="3" s="1"/>
  <c r="CJ143" i="3"/>
  <c r="BO143" i="3" s="1"/>
  <c r="CJ86" i="3"/>
  <c r="BO86" i="3" s="1"/>
  <c r="CJ182" i="3"/>
  <c r="BO182" i="3" s="1"/>
  <c r="CJ93" i="3"/>
  <c r="BO93" i="3" s="1"/>
  <c r="CJ155" i="3"/>
  <c r="BO155" i="3" s="1"/>
  <c r="CJ103" i="3"/>
  <c r="BO103" i="3" s="1"/>
  <c r="AR16" i="3"/>
  <c r="CU16" i="3" s="1"/>
  <c r="K319" i="13" s="1"/>
  <c r="L319" i="13" s="1"/>
  <c r="Q319" i="13" s="1"/>
  <c r="AR24" i="3"/>
  <c r="CM24" i="3" s="1"/>
  <c r="M34" i="13"/>
  <c r="DX23" i="3"/>
  <c r="Q19" i="13"/>
  <c r="V19" i="13" s="1"/>
  <c r="M32" i="13"/>
  <c r="AQ309" i="3"/>
  <c r="Q34" i="13"/>
  <c r="V34" i="13" s="1"/>
  <c r="Q35" i="13"/>
  <c r="V35" i="13" s="1"/>
  <c r="CU46" i="3"/>
  <c r="M19" i="13"/>
  <c r="M27" i="13"/>
  <c r="AG47" i="3"/>
  <c r="CU47" i="3"/>
  <c r="S59" i="20"/>
  <c r="CU45" i="3"/>
  <c r="CM45" i="3"/>
  <c r="AG46" i="3"/>
  <c r="CN51" i="3"/>
  <c r="CN92" i="3"/>
  <c r="CN129" i="3"/>
  <c r="CN52" i="3"/>
  <c r="CN163" i="3"/>
  <c r="CN62" i="3"/>
  <c r="CN79" i="3"/>
  <c r="CN75" i="3"/>
  <c r="CN81" i="3"/>
  <c r="S60" i="20"/>
  <c r="CN90" i="3"/>
  <c r="CN55" i="3"/>
  <c r="CN85" i="3"/>
  <c r="CN58" i="3"/>
  <c r="CN87" i="3"/>
  <c r="CN63" i="3"/>
  <c r="CN50" i="3"/>
  <c r="CN54" i="3"/>
  <c r="CN72" i="3"/>
  <c r="CN131" i="3"/>
  <c r="CN170" i="3"/>
  <c r="DC170" i="3" s="1"/>
  <c r="CN77" i="3"/>
  <c r="CN53" i="3"/>
  <c r="CN71" i="3"/>
  <c r="CN91" i="3"/>
  <c r="CN60" i="3"/>
  <c r="CN88" i="3"/>
  <c r="CN74" i="3"/>
  <c r="CN59" i="3"/>
  <c r="CN174" i="3"/>
  <c r="CN78" i="3"/>
  <c r="CN56" i="3"/>
  <c r="CN189" i="3"/>
  <c r="AG25" i="3"/>
  <c r="Q33" i="13"/>
  <c r="M33" i="13"/>
  <c r="K346" i="13"/>
  <c r="K345" i="13"/>
  <c r="K344" i="13"/>
  <c r="BZ37" i="3"/>
  <c r="BY37" i="3"/>
  <c r="CA34" i="3"/>
  <c r="BY34" i="3"/>
  <c r="BY72" i="3"/>
  <c r="BZ72" i="3"/>
  <c r="CA72" i="3"/>
  <c r="CA131" i="3"/>
  <c r="BZ131" i="3"/>
  <c r="ER131" i="3" s="1"/>
  <c r="BY131" i="3"/>
  <c r="CA170" i="3"/>
  <c r="BZ170" i="3"/>
  <c r="ER170" i="3" s="1"/>
  <c r="BY170" i="3"/>
  <c r="BZ19" i="3"/>
  <c r="BY19" i="3"/>
  <c r="BZ36" i="3"/>
  <c r="BY36" i="3"/>
  <c r="CA59" i="3"/>
  <c r="BZ59" i="3"/>
  <c r="ER59" i="3" s="1"/>
  <c r="BY59" i="3"/>
  <c r="BY53" i="3"/>
  <c r="BZ53" i="3"/>
  <c r="ER53" i="3" s="1"/>
  <c r="CA53" i="3"/>
  <c r="BY71" i="3"/>
  <c r="BZ71" i="3"/>
  <c r="ER71" i="3" s="1"/>
  <c r="CA71" i="3"/>
  <c r="BZ91" i="3"/>
  <c r="ER91" i="3" s="1"/>
  <c r="CA91" i="3"/>
  <c r="BY91" i="3"/>
  <c r="CA60" i="3"/>
  <c r="BZ60" i="3"/>
  <c r="ER60" i="3" s="1"/>
  <c r="BY60" i="3"/>
  <c r="BZ88" i="3"/>
  <c r="ER88" i="3" s="1"/>
  <c r="CA88" i="3"/>
  <c r="BY88" i="3"/>
  <c r="BZ174" i="3"/>
  <c r="ER174" i="3" s="1"/>
  <c r="BY174" i="3"/>
  <c r="CA174" i="3"/>
  <c r="BY56" i="3"/>
  <c r="BZ56" i="3"/>
  <c r="ER56" i="3" s="1"/>
  <c r="CA56" i="3"/>
  <c r="CA42" i="3"/>
  <c r="BZ42" i="3"/>
  <c r="BY42" i="3"/>
  <c r="BZ46" i="3"/>
  <c r="BY46" i="3"/>
  <c r="CA46" i="3"/>
  <c r="BZ189" i="3"/>
  <c r="ER189" i="3" s="1"/>
  <c r="CA189" i="3"/>
  <c r="BY189" i="3"/>
  <c r="BY78" i="3"/>
  <c r="BZ78" i="3"/>
  <c r="CA78" i="3"/>
  <c r="BY40" i="3"/>
  <c r="BZ40" i="3"/>
  <c r="CA40" i="3"/>
  <c r="CA51" i="3"/>
  <c r="BZ51" i="3"/>
  <c r="ER51" i="3" s="1"/>
  <c r="BY51" i="3"/>
  <c r="BZ41" i="3"/>
  <c r="ER41" i="3" s="1"/>
  <c r="BY41" i="3"/>
  <c r="CA41" i="3"/>
  <c r="BZ92" i="3"/>
  <c r="ER92" i="3" s="1"/>
  <c r="CA92" i="3"/>
  <c r="BY92" i="3"/>
  <c r="CA129" i="3"/>
  <c r="BZ129" i="3"/>
  <c r="ER129" i="3" s="1"/>
  <c r="BY129" i="3"/>
  <c r="BY17" i="3"/>
  <c r="BY26" i="3"/>
  <c r="BZ26" i="3"/>
  <c r="BY13" i="3"/>
  <c r="CA13" i="3"/>
  <c r="BY63" i="3"/>
  <c r="CA63" i="3"/>
  <c r="BZ63" i="3"/>
  <c r="ER63" i="3" s="1"/>
  <c r="CA74" i="3"/>
  <c r="BZ74" i="3"/>
  <c r="BY74" i="3"/>
  <c r="CA50" i="3"/>
  <c r="BZ50" i="3"/>
  <c r="ER50" i="3" s="1"/>
  <c r="BY50" i="3"/>
  <c r="BZ31" i="3"/>
  <c r="CA31" i="3"/>
  <c r="BZ35" i="3"/>
  <c r="BY35" i="3"/>
  <c r="BY38" i="3"/>
  <c r="BZ38" i="3"/>
  <c r="BZ75" i="3"/>
  <c r="BY75" i="3"/>
  <c r="CA75" i="3"/>
  <c r="CA44" i="3"/>
  <c r="BZ44" i="3"/>
  <c r="BY44" i="3"/>
  <c r="CA52" i="3"/>
  <c r="BY52" i="3"/>
  <c r="BZ52" i="3"/>
  <c r="ER52" i="3" s="1"/>
  <c r="BZ79" i="3"/>
  <c r="ER79" i="3" s="1"/>
  <c r="CA79" i="3"/>
  <c r="BY79" i="3"/>
  <c r="BZ47" i="3"/>
  <c r="CA47" i="3"/>
  <c r="BY47" i="3"/>
  <c r="CA77" i="3"/>
  <c r="BY77" i="3"/>
  <c r="BZ77" i="3"/>
  <c r="BZ163" i="3"/>
  <c r="ER163" i="3" s="1"/>
  <c r="BY163" i="3"/>
  <c r="CA163" i="3"/>
  <c r="BY81" i="3"/>
  <c r="CA81" i="3"/>
  <c r="BZ81" i="3"/>
  <c r="ER81" i="3" s="1"/>
  <c r="BY62" i="3"/>
  <c r="CA62" i="3"/>
  <c r="BZ62" i="3"/>
  <c r="ER62" i="3" s="1"/>
  <c r="BZ27" i="3"/>
  <c r="BY27" i="3"/>
  <c r="BZ54" i="3"/>
  <c r="ER54" i="3" s="1"/>
  <c r="BY54" i="3"/>
  <c r="CA54" i="3"/>
  <c r="BZ90" i="3"/>
  <c r="ER90" i="3" s="1"/>
  <c r="CA90" i="3"/>
  <c r="BY90" i="3"/>
  <c r="BY55" i="3"/>
  <c r="BZ55" i="3"/>
  <c r="ER55" i="3" s="1"/>
  <c r="CA55" i="3"/>
  <c r="BY85" i="3"/>
  <c r="BZ85" i="3"/>
  <c r="ER85" i="3" s="1"/>
  <c r="CA85" i="3"/>
  <c r="BY58" i="3"/>
  <c r="CA58" i="3"/>
  <c r="BZ58" i="3"/>
  <c r="ER58" i="3" s="1"/>
  <c r="CA87" i="3"/>
  <c r="BY87" i="3"/>
  <c r="BZ87" i="3"/>
  <c r="ER87" i="3" s="1"/>
  <c r="BW59" i="3"/>
  <c r="BW131" i="3"/>
  <c r="BW26" i="3"/>
  <c r="BW53" i="3"/>
  <c r="BW71" i="3"/>
  <c r="BW91" i="3"/>
  <c r="BW60" i="3"/>
  <c r="BW88" i="3"/>
  <c r="BW170" i="3"/>
  <c r="BW13" i="3"/>
  <c r="BW78" i="3"/>
  <c r="BW174" i="3"/>
  <c r="BW27" i="3"/>
  <c r="BW72" i="3"/>
  <c r="BW11" i="3"/>
  <c r="BW36" i="3"/>
  <c r="BW56" i="3"/>
  <c r="BW46" i="3"/>
  <c r="BW63" i="3"/>
  <c r="BW40" i="3"/>
  <c r="BW74" i="3"/>
  <c r="BW50" i="3"/>
  <c r="BW51" i="3"/>
  <c r="BW41" i="3"/>
  <c r="BW92" i="3"/>
  <c r="BW129" i="3"/>
  <c r="BW19" i="3"/>
  <c r="BW189" i="3"/>
  <c r="BW31" i="3"/>
  <c r="BW35" i="3"/>
  <c r="BW38" i="3"/>
  <c r="BW75" i="3"/>
  <c r="BW44" i="3"/>
  <c r="BW52" i="3"/>
  <c r="BW79" i="3"/>
  <c r="BW47" i="3"/>
  <c r="BW77" i="3"/>
  <c r="BW163" i="3"/>
  <c r="BW37" i="3"/>
  <c r="BW81" i="3"/>
  <c r="BW62" i="3"/>
  <c r="BW10" i="3"/>
  <c r="BW34" i="3"/>
  <c r="BW17" i="3"/>
  <c r="BW42" i="3"/>
  <c r="BW54" i="3"/>
  <c r="BW90" i="3"/>
  <c r="BW55" i="3"/>
  <c r="BW85" i="3"/>
  <c r="BW58" i="3"/>
  <c r="BW87" i="3"/>
  <c r="ET143" i="3"/>
  <c r="ES143" i="3"/>
  <c r="ET162" i="3"/>
  <c r="ES162" i="3"/>
  <c r="ES141" i="3"/>
  <c r="ET141" i="3"/>
  <c r="ET118" i="3"/>
  <c r="ES118" i="3"/>
  <c r="ET142" i="3"/>
  <c r="ES142" i="3"/>
  <c r="ES93" i="3"/>
  <c r="ET93" i="3"/>
  <c r="ES101" i="3"/>
  <c r="ET101" i="3"/>
  <c r="ET140" i="3"/>
  <c r="ES140" i="3"/>
  <c r="ET115" i="3"/>
  <c r="ES115" i="3"/>
  <c r="ET100" i="3"/>
  <c r="ES100" i="3"/>
  <c r="ET193" i="3"/>
  <c r="ES193" i="3"/>
  <c r="ET119" i="3"/>
  <c r="ES119" i="3"/>
  <c r="ET111" i="3"/>
  <c r="ES111" i="3"/>
  <c r="ET102" i="3"/>
  <c r="ES102" i="3"/>
  <c r="ET184" i="3"/>
  <c r="ES184" i="3"/>
  <c r="ET114" i="3"/>
  <c r="ES114" i="3"/>
  <c r="ET98" i="3"/>
  <c r="ES98" i="3"/>
  <c r="ES149" i="3"/>
  <c r="ET149" i="3"/>
  <c r="ES181" i="3"/>
  <c r="ET181" i="3"/>
  <c r="ET99" i="3"/>
  <c r="ES99" i="3"/>
  <c r="ET137" i="3"/>
  <c r="ES137" i="3"/>
  <c r="ET171" i="3"/>
  <c r="ES171" i="3"/>
  <c r="ET67" i="3"/>
  <c r="ES67" i="3"/>
  <c r="ET105" i="3"/>
  <c r="ES105" i="3"/>
  <c r="ET195" i="3"/>
  <c r="ES195" i="3"/>
  <c r="ET167" i="3"/>
  <c r="ES167" i="3"/>
  <c r="ET179" i="3"/>
  <c r="ES179" i="3"/>
  <c r="ET110" i="3"/>
  <c r="ES110" i="3"/>
  <c r="ES186" i="3"/>
  <c r="ET186" i="3"/>
  <c r="ES197" i="3"/>
  <c r="ET197" i="3"/>
  <c r="ET173" i="3"/>
  <c r="ES173" i="3"/>
  <c r="ES136" i="3"/>
  <c r="ET136" i="3"/>
  <c r="ET116" i="3"/>
  <c r="ES116" i="3"/>
  <c r="ES165" i="3"/>
  <c r="ET165" i="3"/>
  <c r="ET66" i="3"/>
  <c r="ES66" i="3"/>
  <c r="ET76" i="3"/>
  <c r="ES76" i="3"/>
  <c r="ET166" i="3"/>
  <c r="ES166" i="3"/>
  <c r="ET187" i="3"/>
  <c r="ES187" i="3"/>
  <c r="ET126" i="3"/>
  <c r="ES126" i="3"/>
  <c r="ET97" i="3"/>
  <c r="ES97" i="3"/>
  <c r="ES89" i="3"/>
  <c r="ET89" i="3"/>
  <c r="ES172" i="3"/>
  <c r="ET172" i="3"/>
  <c r="ES108" i="3"/>
  <c r="ET108" i="3"/>
  <c r="ET64" i="3"/>
  <c r="ES64" i="3"/>
  <c r="ET84" i="3"/>
  <c r="ES84" i="3"/>
  <c r="ET145" i="3"/>
  <c r="ES145" i="3"/>
  <c r="ET127" i="3"/>
  <c r="ES127" i="3"/>
  <c r="ET83" i="3"/>
  <c r="ES83" i="3"/>
  <c r="ET82" i="3"/>
  <c r="ES82" i="3"/>
  <c r="ET161" i="3"/>
  <c r="ES161" i="3"/>
  <c r="ES199" i="3"/>
  <c r="ET199" i="3"/>
  <c r="ET159" i="3"/>
  <c r="ES159" i="3"/>
  <c r="ES200" i="3"/>
  <c r="ET200" i="3"/>
  <c r="ET178" i="3"/>
  <c r="ES178" i="3"/>
  <c r="ET120" i="3"/>
  <c r="ES120" i="3"/>
  <c r="ES69" i="3"/>
  <c r="ET69" i="3"/>
  <c r="ET180" i="3"/>
  <c r="ES180" i="3"/>
  <c r="ET152" i="3"/>
  <c r="ES152" i="3"/>
  <c r="ET150" i="3"/>
  <c r="ES150" i="3"/>
  <c r="ET104" i="3"/>
  <c r="ES104" i="3"/>
  <c r="ET198" i="3"/>
  <c r="ES198" i="3"/>
  <c r="ES154" i="3"/>
  <c r="ET154" i="3"/>
  <c r="ET128" i="3"/>
  <c r="ES128" i="3"/>
  <c r="ET80" i="3"/>
  <c r="ES80" i="3"/>
  <c r="ET48" i="3"/>
  <c r="ES48" i="3"/>
  <c r="ET124" i="3"/>
  <c r="ES124" i="3"/>
  <c r="ET201" i="3"/>
  <c r="ES201" i="3"/>
  <c r="ET148" i="3"/>
  <c r="ES148" i="3"/>
  <c r="ET113" i="3"/>
  <c r="ES113" i="3"/>
  <c r="ET164" i="3"/>
  <c r="ES164" i="3"/>
  <c r="ET147" i="3"/>
  <c r="ES147" i="3"/>
  <c r="ET109" i="3"/>
  <c r="ES109" i="3"/>
  <c r="ES157" i="3"/>
  <c r="ET157" i="3"/>
  <c r="ET103" i="3"/>
  <c r="ES103" i="3"/>
  <c r="ES133" i="3"/>
  <c r="ET133" i="3"/>
  <c r="ET94" i="3"/>
  <c r="ES94" i="3"/>
  <c r="ET177" i="3"/>
  <c r="ES177" i="3"/>
  <c r="ES117" i="3"/>
  <c r="ET117" i="3"/>
  <c r="ET68" i="3"/>
  <c r="ES68" i="3"/>
  <c r="ES61" i="3"/>
  <c r="ET61" i="3"/>
  <c r="ET130" i="3"/>
  <c r="ES130" i="3"/>
  <c r="ET123" i="3"/>
  <c r="ES123" i="3"/>
  <c r="ET70" i="3"/>
  <c r="ES70" i="3"/>
  <c r="ET65" i="3"/>
  <c r="ES65" i="3"/>
  <c r="ES122" i="3"/>
  <c r="ET122" i="3"/>
  <c r="ET183" i="3"/>
  <c r="ES183" i="3"/>
  <c r="ET168" i="3"/>
  <c r="ES168" i="3"/>
  <c r="ES138" i="3"/>
  <c r="ET138" i="3"/>
  <c r="ET191" i="3"/>
  <c r="ES191" i="3"/>
  <c r="ES106" i="3"/>
  <c r="ET106" i="3"/>
  <c r="ET160" i="3"/>
  <c r="ES160" i="3"/>
  <c r="ET175" i="3"/>
  <c r="ES175" i="3"/>
  <c r="ET176" i="3"/>
  <c r="ES176" i="3"/>
  <c r="ET73" i="3"/>
  <c r="ES73" i="3"/>
  <c r="ET86" i="3"/>
  <c r="ES86" i="3"/>
  <c r="ET182" i="3"/>
  <c r="ES182" i="3"/>
  <c r="ET121" i="3"/>
  <c r="ES121" i="3"/>
  <c r="ET169" i="3"/>
  <c r="ES169" i="3"/>
  <c r="ET194" i="3"/>
  <c r="ES194" i="3"/>
  <c r="ET155" i="3"/>
  <c r="ES155" i="3"/>
  <c r="ET95" i="3"/>
  <c r="ES95" i="3"/>
  <c r="ET185" i="3"/>
  <c r="ES185" i="3"/>
  <c r="ET158" i="3"/>
  <c r="ES158" i="3"/>
  <c r="ET139" i="3"/>
  <c r="ES139" i="3"/>
  <c r="ET188" i="3"/>
  <c r="ES188" i="3"/>
  <c r="ET57" i="3"/>
  <c r="ES57" i="3"/>
  <c r="Q29" i="13"/>
  <c r="AN43" i="22"/>
  <c r="Q25" i="13"/>
  <c r="V516" i="13"/>
  <c r="AL516" i="13" s="1"/>
  <c r="L516" i="13"/>
  <c r="M516" i="13" s="1"/>
  <c r="V515" i="13"/>
  <c r="AL515" i="13" s="1"/>
  <c r="L515" i="13"/>
  <c r="M515" i="13" s="1"/>
  <c r="Q27" i="13"/>
  <c r="Q17" i="13"/>
  <c r="P32" i="13"/>
  <c r="Q32" i="13"/>
  <c r="K331" i="13"/>
  <c r="L331" i="13" s="1"/>
  <c r="Q28" i="13"/>
  <c r="Q15" i="13"/>
  <c r="L387" i="13"/>
  <c r="M387" i="13" s="1"/>
  <c r="S392" i="13"/>
  <c r="CU15" i="3"/>
  <c r="AG24" i="3"/>
  <c r="CM15" i="3"/>
  <c r="S29" i="20"/>
  <c r="Q26" i="13"/>
  <c r="CM25" i="3"/>
  <c r="A79" i="31"/>
  <c r="C79" i="31" s="1"/>
  <c r="U70" i="5"/>
  <c r="AC70" i="5" s="1"/>
  <c r="J411" i="5" s="1"/>
  <c r="AG22" i="3"/>
  <c r="CU22" i="3"/>
  <c r="DX22" i="3" s="1"/>
  <c r="CM22" i="3"/>
  <c r="K326" i="13"/>
  <c r="L326" i="13" s="1"/>
  <c r="Q326" i="13" s="1"/>
  <c r="S602" i="13"/>
  <c r="AI602" i="13" s="1"/>
  <c r="Q13" i="13"/>
  <c r="L523" i="13"/>
  <c r="M523" i="13" s="1"/>
  <c r="L588" i="13"/>
  <c r="M588" i="13" s="1"/>
  <c r="A64" i="31"/>
  <c r="C64" i="31" s="1"/>
  <c r="CU24" i="3"/>
  <c r="L597" i="13"/>
  <c r="M597" i="13" s="1"/>
  <c r="L562" i="13"/>
  <c r="M562" i="13" s="1"/>
  <c r="L529" i="13"/>
  <c r="M529" i="13" s="1"/>
  <c r="L608" i="13"/>
  <c r="M608" i="13" s="1"/>
  <c r="L552" i="13"/>
  <c r="M552" i="13" s="1"/>
  <c r="Q14" i="13"/>
  <c r="BX11" i="3"/>
  <c r="L606" i="13"/>
  <c r="M606" i="13" s="1"/>
  <c r="BX72" i="3"/>
  <c r="BX131" i="3"/>
  <c r="BX10" i="3"/>
  <c r="BX90" i="3"/>
  <c r="BX55" i="3"/>
  <c r="BX85" i="3"/>
  <c r="BX58" i="3"/>
  <c r="BX87" i="3"/>
  <c r="BX34" i="3"/>
  <c r="BX13" i="3"/>
  <c r="BX50" i="3"/>
  <c r="BX31" i="3"/>
  <c r="BX35" i="3"/>
  <c r="BX38" i="3"/>
  <c r="BX75" i="3"/>
  <c r="BX44" i="3"/>
  <c r="BX53" i="3"/>
  <c r="BX71" i="3"/>
  <c r="BX91" i="3"/>
  <c r="BX60" i="3"/>
  <c r="BX88" i="3"/>
  <c r="L584" i="13"/>
  <c r="M584" i="13" s="1"/>
  <c r="L567" i="13"/>
  <c r="M567" i="13" s="1"/>
  <c r="BX37" i="3"/>
  <c r="BX174" i="3"/>
  <c r="BX63" i="3"/>
  <c r="BX74" i="3"/>
  <c r="BX170" i="3"/>
  <c r="BX54" i="3"/>
  <c r="BX27" i="3"/>
  <c r="BX56" i="3"/>
  <c r="BX42" i="3"/>
  <c r="BX46" i="3"/>
  <c r="BX189" i="3"/>
  <c r="BX40" i="3"/>
  <c r="BX19" i="3"/>
  <c r="BX36" i="3"/>
  <c r="BX59" i="3"/>
  <c r="BX17" i="3"/>
  <c r="BX51" i="3"/>
  <c r="BX41" i="3"/>
  <c r="BX92" i="3"/>
  <c r="BX129" i="3"/>
  <c r="L559" i="13"/>
  <c r="M559" i="13" s="1"/>
  <c r="BX26" i="3"/>
  <c r="BX52" i="3"/>
  <c r="BX79" i="3"/>
  <c r="BX47" i="3"/>
  <c r="BX77" i="3"/>
  <c r="BX163" i="3"/>
  <c r="BX78" i="3"/>
  <c r="BX24" i="3"/>
  <c r="BX81" i="3"/>
  <c r="BX62" i="3"/>
  <c r="L541" i="13"/>
  <c r="M541" i="13" s="1"/>
  <c r="AG572" i="13"/>
  <c r="L528" i="13"/>
  <c r="M528" i="13" s="1"/>
  <c r="L538" i="13"/>
  <c r="M538" i="13" s="1"/>
  <c r="AG607" i="13"/>
  <c r="L546" i="13"/>
  <c r="M546" i="13" s="1"/>
  <c r="AG593" i="13"/>
  <c r="AG550" i="13"/>
  <c r="S533" i="13"/>
  <c r="AI533" i="13" s="1"/>
  <c r="V509" i="13"/>
  <c r="AC509" i="13" s="1"/>
  <c r="L554" i="13"/>
  <c r="M554" i="13" s="1"/>
  <c r="L586" i="13"/>
  <c r="M586" i="13" s="1"/>
  <c r="CW53" i="3"/>
  <c r="CW174" i="3"/>
  <c r="CW54" i="3"/>
  <c r="CW56" i="3"/>
  <c r="CW189" i="3"/>
  <c r="CW59" i="3"/>
  <c r="CW51" i="3"/>
  <c r="CW41" i="3"/>
  <c r="CW92" i="3"/>
  <c r="CW129" i="3"/>
  <c r="CW60" i="3"/>
  <c r="CW52" i="3"/>
  <c r="CW79" i="3"/>
  <c r="CW77" i="3"/>
  <c r="CW163" i="3"/>
  <c r="S557" i="13"/>
  <c r="AI557" i="13" s="1"/>
  <c r="L604" i="13"/>
  <c r="M604" i="13" s="1"/>
  <c r="CW71" i="3"/>
  <c r="CW88" i="3"/>
  <c r="CW78" i="3"/>
  <c r="CW81" i="3"/>
  <c r="CW62" i="3"/>
  <c r="L510" i="13"/>
  <c r="M510" i="13" s="1"/>
  <c r="CW75" i="3"/>
  <c r="CW91" i="3"/>
  <c r="CW90" i="3"/>
  <c r="CW55" i="3"/>
  <c r="CW85" i="3"/>
  <c r="CW58" i="3"/>
  <c r="CW87" i="3"/>
  <c r="CW63" i="3"/>
  <c r="CW74" i="3"/>
  <c r="CW50" i="3"/>
  <c r="CW72" i="3"/>
  <c r="CW131" i="3"/>
  <c r="CW170" i="3"/>
  <c r="L532" i="13"/>
  <c r="M532" i="13" s="1"/>
  <c r="S519" i="13"/>
  <c r="AI519" i="13" s="1"/>
  <c r="L580" i="13"/>
  <c r="M580" i="13" s="1"/>
  <c r="L587" i="13"/>
  <c r="M587" i="13" s="1"/>
  <c r="L605" i="13"/>
  <c r="M605" i="13" s="1"/>
  <c r="L512" i="13"/>
  <c r="M512" i="13" s="1"/>
  <c r="AG583" i="13"/>
  <c r="L600" i="13"/>
  <c r="M600" i="13" s="1"/>
  <c r="S611" i="13"/>
  <c r="AI611" i="13" s="1"/>
  <c r="L520" i="13"/>
  <c r="M520" i="13" s="1"/>
  <c r="L575" i="13"/>
  <c r="M575" i="13" s="1"/>
  <c r="L574" i="13"/>
  <c r="M574" i="13" s="1"/>
  <c r="AG578" i="13"/>
  <c r="L545" i="13"/>
  <c r="M545" i="13" s="1"/>
  <c r="L564" i="13"/>
  <c r="M564" i="13" s="1"/>
  <c r="V576" i="13"/>
  <c r="L513" i="13"/>
  <c r="M513" i="13" s="1"/>
  <c r="AG506" i="13"/>
  <c r="L542" i="13"/>
  <c r="M542" i="13" s="1"/>
  <c r="L568" i="13"/>
  <c r="M568" i="13" s="1"/>
  <c r="L524" i="13"/>
  <c r="M524" i="13" s="1"/>
  <c r="L591" i="13"/>
  <c r="M591" i="13" s="1"/>
  <c r="L521" i="13"/>
  <c r="M521" i="13" s="1"/>
  <c r="L577" i="13"/>
  <c r="M577" i="13" s="1"/>
  <c r="L571" i="13"/>
  <c r="M571" i="13" s="1"/>
  <c r="L555" i="13"/>
  <c r="M555" i="13" s="1"/>
  <c r="L540" i="13"/>
  <c r="M540" i="13" s="1"/>
  <c r="L595" i="13"/>
  <c r="M595" i="13" s="1"/>
  <c r="L581" i="13"/>
  <c r="M581" i="13" s="1"/>
  <c r="L570" i="13"/>
  <c r="M570" i="13" s="1"/>
  <c r="L525" i="13"/>
  <c r="M525" i="13" s="1"/>
  <c r="L547" i="13"/>
  <c r="M547" i="13" s="1"/>
  <c r="L553" i="13"/>
  <c r="M553" i="13" s="1"/>
  <c r="L527" i="13"/>
  <c r="M527" i="13" s="1"/>
  <c r="L535" i="13"/>
  <c r="M535" i="13" s="1"/>
  <c r="AG610" i="13"/>
  <c r="AC409" i="13"/>
  <c r="L526" i="13"/>
  <c r="M526" i="13" s="1"/>
  <c r="L537" i="13"/>
  <c r="M537" i="13" s="1"/>
  <c r="L531" i="13"/>
  <c r="M531" i="13" s="1"/>
  <c r="AC487" i="13"/>
  <c r="L579" i="13"/>
  <c r="M579" i="13" s="1"/>
  <c r="L551" i="13"/>
  <c r="M551" i="13" s="1"/>
  <c r="S603" i="13"/>
  <c r="AI603" i="13" s="1"/>
  <c r="L543" i="13"/>
  <c r="M543" i="13" s="1"/>
  <c r="L590" i="13"/>
  <c r="M590" i="13" s="1"/>
  <c r="L505" i="13"/>
  <c r="M505" i="13" s="1"/>
  <c r="L598" i="13"/>
  <c r="M598" i="13" s="1"/>
  <c r="L508" i="13"/>
  <c r="M508" i="13" s="1"/>
  <c r="L599" i="13"/>
  <c r="M599" i="13" s="1"/>
  <c r="L561" i="13"/>
  <c r="M561" i="13" s="1"/>
  <c r="L585" i="13"/>
  <c r="M585" i="13" s="1"/>
  <c r="DE129" i="3"/>
  <c r="AC517" i="13"/>
  <c r="V23" i="13"/>
  <c r="V18" i="13"/>
  <c r="AC494" i="13"/>
  <c r="L569" i="13"/>
  <c r="M569" i="13" s="1"/>
  <c r="L560" i="13"/>
  <c r="M560" i="13" s="1"/>
  <c r="L558" i="13"/>
  <c r="M558" i="13" s="1"/>
  <c r="V24" i="13"/>
  <c r="V31" i="13"/>
  <c r="L539" i="13"/>
  <c r="M539" i="13" s="1"/>
  <c r="V16" i="13"/>
  <c r="V21" i="13"/>
  <c r="L511" i="13"/>
  <c r="M511" i="13" s="1"/>
  <c r="L594" i="13"/>
  <c r="M594" i="13" s="1"/>
  <c r="V30" i="13"/>
  <c r="AC573" i="13"/>
  <c r="L563" i="13"/>
  <c r="M563" i="13" s="1"/>
  <c r="L556" i="13"/>
  <c r="M556" i="13" s="1"/>
  <c r="V20" i="13"/>
  <c r="K522" i="13"/>
  <c r="L522" i="13" s="1"/>
  <c r="M522" i="13" s="1"/>
  <c r="V22" i="13"/>
  <c r="AC592" i="13"/>
  <c r="AC518" i="13"/>
  <c r="AC491" i="13"/>
  <c r="L367" i="13"/>
  <c r="M367" i="13" s="1"/>
  <c r="L472" i="13"/>
  <c r="M472" i="13" s="1"/>
  <c r="L356" i="13"/>
  <c r="M356" i="13" s="1"/>
  <c r="L355" i="13"/>
  <c r="M355" i="13" s="1"/>
  <c r="L386" i="13"/>
  <c r="M386" i="13" s="1"/>
  <c r="L388" i="13"/>
  <c r="M388" i="13" s="1"/>
  <c r="AG389" i="13"/>
  <c r="L389" i="13"/>
  <c r="M389" i="13" s="1"/>
  <c r="S455" i="13"/>
  <c r="AI455" i="13" s="1"/>
  <c r="V455" i="13"/>
  <c r="AL455" i="13" s="1"/>
  <c r="S397" i="13"/>
  <c r="V397" i="13"/>
  <c r="S503" i="13"/>
  <c r="V503" i="13"/>
  <c r="AL503" i="13" s="1"/>
  <c r="S586" i="13"/>
  <c r="AI586" i="13" s="1"/>
  <c r="V586" i="13"/>
  <c r="AL586" i="13" s="1"/>
  <c r="AG544" i="13"/>
  <c r="L544" i="13"/>
  <c r="M544" i="13" s="1"/>
  <c r="AG514" i="13"/>
  <c r="L514" i="13"/>
  <c r="M514" i="13" s="1"/>
  <c r="S590" i="13"/>
  <c r="AI590" i="13" s="1"/>
  <c r="V590" i="13"/>
  <c r="AL590" i="13" s="1"/>
  <c r="S404" i="13"/>
  <c r="AI404" i="13" s="1"/>
  <c r="V404" i="13"/>
  <c r="AL404" i="13" s="1"/>
  <c r="S425" i="13"/>
  <c r="AI425" i="13" s="1"/>
  <c r="V425" i="13"/>
  <c r="S480" i="13"/>
  <c r="V480" i="13"/>
  <c r="AG507" i="13"/>
  <c r="L507" i="13"/>
  <c r="M507" i="13" s="1"/>
  <c r="S597" i="13"/>
  <c r="AI597" i="13" s="1"/>
  <c r="V597" i="13"/>
  <c r="AL597" i="13" s="1"/>
  <c r="S475" i="13"/>
  <c r="AI475" i="13" s="1"/>
  <c r="V475" i="13"/>
  <c r="AL475" i="13" s="1"/>
  <c r="S554" i="13"/>
  <c r="AI554" i="13" s="1"/>
  <c r="V554" i="13"/>
  <c r="AL554" i="13" s="1"/>
  <c r="S416" i="13"/>
  <c r="AI416" i="13" s="1"/>
  <c r="V416" i="13"/>
  <c r="AL416" i="13" s="1"/>
  <c r="S545" i="13"/>
  <c r="AI545" i="13" s="1"/>
  <c r="V545" i="13"/>
  <c r="AL545" i="13" s="1"/>
  <c r="S405" i="13"/>
  <c r="V405" i="13"/>
  <c r="AL405" i="13" s="1"/>
  <c r="S594" i="13"/>
  <c r="AI594" i="13" s="1"/>
  <c r="V594" i="13"/>
  <c r="AL594" i="13" s="1"/>
  <c r="S606" i="13"/>
  <c r="V606" i="13"/>
  <c r="AL606" i="13" s="1"/>
  <c r="L384" i="13"/>
  <c r="M384" i="13" s="1"/>
  <c r="L492" i="13"/>
  <c r="M492" i="13" s="1"/>
  <c r="AG371" i="13"/>
  <c r="L371" i="13"/>
  <c r="M371" i="13" s="1"/>
  <c r="S451" i="13"/>
  <c r="AI451" i="13" s="1"/>
  <c r="V451" i="13"/>
  <c r="S579" i="13"/>
  <c r="AI579" i="13" s="1"/>
  <c r="V579" i="13"/>
  <c r="AL579" i="13" s="1"/>
  <c r="S465" i="13"/>
  <c r="V465" i="13"/>
  <c r="AL465" i="13" s="1"/>
  <c r="S528" i="13"/>
  <c r="AI528" i="13" s="1"/>
  <c r="V528" i="13"/>
  <c r="AL528" i="13" s="1"/>
  <c r="S505" i="13"/>
  <c r="AI505" i="13" s="1"/>
  <c r="V505" i="13"/>
  <c r="AL505" i="13" s="1"/>
  <c r="S553" i="13"/>
  <c r="AI553" i="13" s="1"/>
  <c r="V553" i="13"/>
  <c r="AL553" i="13" s="1"/>
  <c r="S435" i="13"/>
  <c r="AI435" i="13" s="1"/>
  <c r="V435" i="13"/>
  <c r="S413" i="13"/>
  <c r="AI413" i="13" s="1"/>
  <c r="V413" i="13"/>
  <c r="AL413" i="13" s="1"/>
  <c r="S379" i="13"/>
  <c r="AI379" i="13" s="1"/>
  <c r="V379" i="13"/>
  <c r="S604" i="13"/>
  <c r="AI604" i="13" s="1"/>
  <c r="V604" i="13"/>
  <c r="AL604" i="13" s="1"/>
  <c r="S403" i="13"/>
  <c r="AI403" i="13" s="1"/>
  <c r="V403" i="13"/>
  <c r="AL403" i="13" s="1"/>
  <c r="S529" i="13"/>
  <c r="AI529" i="13" s="1"/>
  <c r="V529" i="13"/>
  <c r="AL529" i="13" s="1"/>
  <c r="S474" i="13"/>
  <c r="AI474" i="13" s="1"/>
  <c r="V474" i="13"/>
  <c r="AL474" i="13" s="1"/>
  <c r="S458" i="13"/>
  <c r="AI458" i="13" s="1"/>
  <c r="V458" i="13"/>
  <c r="AL458" i="13" s="1"/>
  <c r="S584" i="13"/>
  <c r="AI584" i="13" s="1"/>
  <c r="V584" i="13"/>
  <c r="AL584" i="13" s="1"/>
  <c r="S476" i="13"/>
  <c r="AI476" i="13" s="1"/>
  <c r="V476" i="13"/>
  <c r="AL476" i="13" s="1"/>
  <c r="AC609" i="13"/>
  <c r="AG548" i="13"/>
  <c r="L548" i="13"/>
  <c r="M548" i="13" s="1"/>
  <c r="S431" i="13"/>
  <c r="AI431" i="13" s="1"/>
  <c r="V431" i="13"/>
  <c r="AL431" i="13" s="1"/>
  <c r="S407" i="13"/>
  <c r="V407" i="13"/>
  <c r="AL407" i="13" s="1"/>
  <c r="S406" i="13"/>
  <c r="AI406" i="13" s="1"/>
  <c r="V406" i="13"/>
  <c r="AL406" i="13" s="1"/>
  <c r="S430" i="13"/>
  <c r="AI430" i="13" s="1"/>
  <c r="V430" i="13"/>
  <c r="AL430" i="13" s="1"/>
  <c r="S504" i="13"/>
  <c r="AI504" i="13" s="1"/>
  <c r="V504" i="13"/>
  <c r="AL504" i="13" s="1"/>
  <c r="S446" i="13"/>
  <c r="AI446" i="13" s="1"/>
  <c r="V446" i="13"/>
  <c r="AL446" i="13" s="1"/>
  <c r="AG549" i="13"/>
  <c r="L549" i="13"/>
  <c r="M549" i="13" s="1"/>
  <c r="S398" i="13"/>
  <c r="V398" i="13"/>
  <c r="AL398" i="13" s="1"/>
  <c r="S441" i="13"/>
  <c r="AI441" i="13" s="1"/>
  <c r="V441" i="13"/>
  <c r="AL441" i="13" s="1"/>
  <c r="S575" i="13"/>
  <c r="AI575" i="13" s="1"/>
  <c r="V575" i="13"/>
  <c r="AL575" i="13" s="1"/>
  <c r="S599" i="13"/>
  <c r="AI599" i="13" s="1"/>
  <c r="V599" i="13"/>
  <c r="AL599" i="13" s="1"/>
  <c r="L478" i="13"/>
  <c r="M478" i="13" s="1"/>
  <c r="L365" i="13"/>
  <c r="M365" i="13" s="1"/>
  <c r="L477" i="13"/>
  <c r="M477" i="13" s="1"/>
  <c r="AG374" i="13"/>
  <c r="L374" i="13"/>
  <c r="M374" i="13" s="1"/>
  <c r="L390" i="13"/>
  <c r="M390" i="13" s="1"/>
  <c r="L369" i="13"/>
  <c r="M369" i="13" s="1"/>
  <c r="AG461" i="13"/>
  <c r="L461" i="13"/>
  <c r="M461" i="13" s="1"/>
  <c r="S538" i="13"/>
  <c r="AI538" i="13" s="1"/>
  <c r="V538" i="13"/>
  <c r="AL538" i="13" s="1"/>
  <c r="S537" i="13"/>
  <c r="AI537" i="13" s="1"/>
  <c r="V537" i="13"/>
  <c r="AL537" i="13" s="1"/>
  <c r="S372" i="13"/>
  <c r="V372" i="13"/>
  <c r="AL372" i="13" s="1"/>
  <c r="S442" i="13"/>
  <c r="V442" i="13"/>
  <c r="AL442" i="13" s="1"/>
  <c r="AC490" i="13"/>
  <c r="S541" i="13"/>
  <c r="AI541" i="13" s="1"/>
  <c r="V541" i="13"/>
  <c r="AL541" i="13" s="1"/>
  <c r="S568" i="13"/>
  <c r="AI568" i="13" s="1"/>
  <c r="V568" i="13"/>
  <c r="AL568" i="13" s="1"/>
  <c r="L530" i="13"/>
  <c r="M530" i="13" s="1"/>
  <c r="S502" i="13"/>
  <c r="AI502" i="13" s="1"/>
  <c r="V502" i="13"/>
  <c r="S488" i="13"/>
  <c r="AI488" i="13" s="1"/>
  <c r="V488" i="13"/>
  <c r="S588" i="13"/>
  <c r="AI588" i="13" s="1"/>
  <c r="V588" i="13"/>
  <c r="AL588" i="13" s="1"/>
  <c r="S420" i="13"/>
  <c r="AI420" i="13" s="1"/>
  <c r="V420" i="13"/>
  <c r="S510" i="13"/>
  <c r="AI510" i="13" s="1"/>
  <c r="V510" i="13"/>
  <c r="AL510" i="13" s="1"/>
  <c r="AG536" i="13"/>
  <c r="L536" i="13"/>
  <c r="M536" i="13" s="1"/>
  <c r="S428" i="13"/>
  <c r="V428" i="13"/>
  <c r="AL428" i="13" s="1"/>
  <c r="S512" i="13"/>
  <c r="AI512" i="13" s="1"/>
  <c r="V512" i="13"/>
  <c r="AL512" i="13" s="1"/>
  <c r="S532" i="13"/>
  <c r="AI532" i="13" s="1"/>
  <c r="V532" i="13"/>
  <c r="AL532" i="13" s="1"/>
  <c r="S444" i="13"/>
  <c r="AI444" i="13" s="1"/>
  <c r="V444" i="13"/>
  <c r="S464" i="13"/>
  <c r="AI464" i="13" s="1"/>
  <c r="V464" i="13"/>
  <c r="AL464" i="13" s="1"/>
  <c r="L462" i="13"/>
  <c r="M462" i="13" s="1"/>
  <c r="L358" i="13"/>
  <c r="M358" i="13" s="1"/>
  <c r="L368" i="13"/>
  <c r="M368" i="13" s="1"/>
  <c r="K385" i="13"/>
  <c r="AG383" i="13"/>
  <c r="L383" i="13"/>
  <c r="M383" i="13" s="1"/>
  <c r="S445" i="13"/>
  <c r="AI445" i="13" s="1"/>
  <c r="V445" i="13"/>
  <c r="AL445" i="13" s="1"/>
  <c r="S498" i="13"/>
  <c r="AI498" i="13" s="1"/>
  <c r="V498" i="13"/>
  <c r="AL498" i="13" s="1"/>
  <c r="S486" i="13"/>
  <c r="AI486" i="13" s="1"/>
  <c r="V486" i="13"/>
  <c r="S450" i="13"/>
  <c r="AI450" i="13" s="1"/>
  <c r="V450" i="13"/>
  <c r="AL450" i="13" s="1"/>
  <c r="S459" i="13"/>
  <c r="AI459" i="13" s="1"/>
  <c r="V459" i="13"/>
  <c r="AL459" i="13" s="1"/>
  <c r="S520" i="13"/>
  <c r="V520" i="13"/>
  <c r="AL520" i="13" s="1"/>
  <c r="S499" i="13"/>
  <c r="V499" i="13"/>
  <c r="AL499" i="13" s="1"/>
  <c r="S483" i="13"/>
  <c r="AI483" i="13" s="1"/>
  <c r="V483" i="13"/>
  <c r="AL483" i="13" s="1"/>
  <c r="S570" i="13"/>
  <c r="AI570" i="13" s="1"/>
  <c r="V570" i="13"/>
  <c r="AL570" i="13" s="1"/>
  <c r="S587" i="13"/>
  <c r="AI587" i="13" s="1"/>
  <c r="V587" i="13"/>
  <c r="AL587" i="13" s="1"/>
  <c r="S418" i="13"/>
  <c r="AI418" i="13" s="1"/>
  <c r="V418" i="13"/>
  <c r="AL418" i="13" s="1"/>
  <c r="S523" i="13"/>
  <c r="AI523" i="13" s="1"/>
  <c r="V523" i="13"/>
  <c r="AL523" i="13" s="1"/>
  <c r="S484" i="13"/>
  <c r="AI484" i="13" s="1"/>
  <c r="V484" i="13"/>
  <c r="AL484" i="13" s="1"/>
  <c r="S567" i="13"/>
  <c r="AI567" i="13" s="1"/>
  <c r="V567" i="13"/>
  <c r="AL567" i="13" s="1"/>
  <c r="S501" i="13"/>
  <c r="AI501" i="13" s="1"/>
  <c r="V501" i="13"/>
  <c r="AL501" i="13" s="1"/>
  <c r="S527" i="13"/>
  <c r="AI527" i="13" s="1"/>
  <c r="V527" i="13"/>
  <c r="AL527" i="13" s="1"/>
  <c r="S457" i="13"/>
  <c r="AI457" i="13" s="1"/>
  <c r="V457" i="13"/>
  <c r="AL457" i="13" s="1"/>
  <c r="S438" i="13"/>
  <c r="AI438" i="13" s="1"/>
  <c r="V438" i="13"/>
  <c r="AL438" i="13" s="1"/>
  <c r="S482" i="13"/>
  <c r="AI482" i="13" s="1"/>
  <c r="V482" i="13"/>
  <c r="S560" i="13"/>
  <c r="AI560" i="13" s="1"/>
  <c r="V560" i="13"/>
  <c r="AL560" i="13" s="1"/>
  <c r="S460" i="13"/>
  <c r="AI460" i="13" s="1"/>
  <c r="V460" i="13"/>
  <c r="AL460" i="13" s="1"/>
  <c r="S401" i="13"/>
  <c r="AI401" i="13" s="1"/>
  <c r="V401" i="13"/>
  <c r="AL401" i="13" s="1"/>
  <c r="L496" i="13"/>
  <c r="M496" i="13" s="1"/>
  <c r="L375" i="13"/>
  <c r="M375" i="13" s="1"/>
  <c r="L359" i="13"/>
  <c r="M359" i="13" s="1"/>
  <c r="L394" i="13"/>
  <c r="M394" i="13" s="1"/>
  <c r="S559" i="13"/>
  <c r="AI559" i="13" s="1"/>
  <c r="V559" i="13"/>
  <c r="AL559" i="13" s="1"/>
  <c r="S396" i="13"/>
  <c r="AI396" i="13" s="1"/>
  <c r="V396" i="13"/>
  <c r="S605" i="13"/>
  <c r="AI605" i="13" s="1"/>
  <c r="V605" i="13"/>
  <c r="S542" i="13"/>
  <c r="AI542" i="13" s="1"/>
  <c r="V542" i="13"/>
  <c r="AL542" i="13" s="1"/>
  <c r="S493" i="13"/>
  <c r="AI493" i="13" s="1"/>
  <c r="V493" i="13"/>
  <c r="S521" i="13"/>
  <c r="AI521" i="13" s="1"/>
  <c r="V521" i="13"/>
  <c r="AL521" i="13" s="1"/>
  <c r="S495" i="13"/>
  <c r="V495" i="13"/>
  <c r="S562" i="13"/>
  <c r="AI562" i="13" s="1"/>
  <c r="V562" i="13"/>
  <c r="AL562" i="13" s="1"/>
  <c r="S400" i="13"/>
  <c r="AI400" i="13" s="1"/>
  <c r="V400" i="13"/>
  <c r="AL400" i="13" s="1"/>
  <c r="S439" i="13"/>
  <c r="AI439" i="13" s="1"/>
  <c r="V439" i="13"/>
  <c r="S511" i="13"/>
  <c r="AI511" i="13" s="1"/>
  <c r="V511" i="13"/>
  <c r="AL511" i="13" s="1"/>
  <c r="S561" i="13"/>
  <c r="AI561" i="13" s="1"/>
  <c r="V561" i="13"/>
  <c r="AL561" i="13" s="1"/>
  <c r="S467" i="13"/>
  <c r="AI467" i="13" s="1"/>
  <c r="V467" i="13"/>
  <c r="AL467" i="13" s="1"/>
  <c r="S470" i="13"/>
  <c r="AI470" i="13" s="1"/>
  <c r="V470" i="13"/>
  <c r="AL470" i="13" s="1"/>
  <c r="S551" i="13"/>
  <c r="AI551" i="13" s="1"/>
  <c r="V551" i="13"/>
  <c r="AL551" i="13" s="1"/>
  <c r="S556" i="13"/>
  <c r="AI556" i="13" s="1"/>
  <c r="V556" i="13"/>
  <c r="AL556" i="13" s="1"/>
  <c r="S399" i="13"/>
  <c r="AI399" i="13" s="1"/>
  <c r="V399" i="13"/>
  <c r="S411" i="13"/>
  <c r="V411" i="13"/>
  <c r="S422" i="13"/>
  <c r="AI422" i="13" s="1"/>
  <c r="V422" i="13"/>
  <c r="S417" i="13"/>
  <c r="AI417" i="13" s="1"/>
  <c r="V417" i="13"/>
  <c r="AL417" i="13" s="1"/>
  <c r="L469" i="13"/>
  <c r="M469" i="13" s="1"/>
  <c r="L370" i="13"/>
  <c r="M370" i="13" s="1"/>
  <c r="L391" i="13"/>
  <c r="M391" i="13" s="1"/>
  <c r="BU60" i="3"/>
  <c r="S393" i="13"/>
  <c r="AI393" i="13" s="1"/>
  <c r="V393" i="13"/>
  <c r="AL393" i="13" s="1"/>
  <c r="S479" i="13"/>
  <c r="AI479" i="13" s="1"/>
  <c r="V479" i="13"/>
  <c r="S595" i="13"/>
  <c r="AI595" i="13" s="1"/>
  <c r="V595" i="13"/>
  <c r="AL595" i="13" s="1"/>
  <c r="S552" i="13"/>
  <c r="AI552" i="13" s="1"/>
  <c r="V552" i="13"/>
  <c r="AL552" i="13" s="1"/>
  <c r="S410" i="13"/>
  <c r="AI410" i="13" s="1"/>
  <c r="V410" i="13"/>
  <c r="AL410" i="13" s="1"/>
  <c r="S456" i="13"/>
  <c r="V456" i="13"/>
  <c r="AL456" i="13" s="1"/>
  <c r="S436" i="13"/>
  <c r="AI436" i="13" s="1"/>
  <c r="V436" i="13"/>
  <c r="S453" i="13"/>
  <c r="AI453" i="13" s="1"/>
  <c r="V453" i="13"/>
  <c r="AL453" i="13" s="1"/>
  <c r="S598" i="13"/>
  <c r="AI598" i="13" s="1"/>
  <c r="V598" i="13"/>
  <c r="S468" i="13"/>
  <c r="AI468" i="13" s="1"/>
  <c r="V468" i="13"/>
  <c r="S452" i="13"/>
  <c r="AI452" i="13" s="1"/>
  <c r="V452" i="13"/>
  <c r="S525" i="13"/>
  <c r="AI525" i="13" s="1"/>
  <c r="V525" i="13"/>
  <c r="AL525" i="13" s="1"/>
  <c r="S571" i="13"/>
  <c r="AI571" i="13" s="1"/>
  <c r="V571" i="13"/>
  <c r="AL571" i="13" s="1"/>
  <c r="S429" i="13"/>
  <c r="AI429" i="13" s="1"/>
  <c r="V429" i="13"/>
  <c r="AL429" i="13" s="1"/>
  <c r="S443" i="13"/>
  <c r="AI443" i="13" s="1"/>
  <c r="V443" i="13"/>
  <c r="S540" i="13"/>
  <c r="AI540" i="13" s="1"/>
  <c r="V540" i="13"/>
  <c r="AL540" i="13" s="1"/>
  <c r="S481" i="13"/>
  <c r="AI481" i="13" s="1"/>
  <c r="V481" i="13"/>
  <c r="AL481" i="13" s="1"/>
  <c r="S419" i="13"/>
  <c r="AI419" i="13" s="1"/>
  <c r="V419" i="13"/>
  <c r="AL419" i="13" s="1"/>
  <c r="S485" i="13"/>
  <c r="AI485" i="13" s="1"/>
  <c r="V485" i="13"/>
  <c r="AL485" i="13" s="1"/>
  <c r="S574" i="13"/>
  <c r="AI574" i="13" s="1"/>
  <c r="V574" i="13"/>
  <c r="AL574" i="13" s="1"/>
  <c r="L432" i="13"/>
  <c r="M432" i="13" s="1"/>
  <c r="AG364" i="13"/>
  <c r="L364" i="13"/>
  <c r="M364" i="13" s="1"/>
  <c r="L466" i="13"/>
  <c r="M466" i="13" s="1"/>
  <c r="AG395" i="13"/>
  <c r="L395" i="13"/>
  <c r="M395" i="13" s="1"/>
  <c r="AG382" i="13"/>
  <c r="L382" i="13"/>
  <c r="M382" i="13" s="1"/>
  <c r="L360" i="13"/>
  <c r="M360" i="13" s="1"/>
  <c r="S448" i="13"/>
  <c r="V448" i="13"/>
  <c r="AL448" i="13" s="1"/>
  <c r="S591" i="13"/>
  <c r="AI591" i="13" s="1"/>
  <c r="V591" i="13"/>
  <c r="AL591" i="13" s="1"/>
  <c r="S564" i="13"/>
  <c r="AI564" i="13" s="1"/>
  <c r="V564" i="13"/>
  <c r="AL564" i="13" s="1"/>
  <c r="S547" i="13"/>
  <c r="AI547" i="13" s="1"/>
  <c r="V547" i="13"/>
  <c r="AL547" i="13" s="1"/>
  <c r="S415" i="13"/>
  <c r="V415" i="13"/>
  <c r="S543" i="13"/>
  <c r="AI543" i="13" s="1"/>
  <c r="V543" i="13"/>
  <c r="AL543" i="13" s="1"/>
  <c r="S440" i="13"/>
  <c r="AI440" i="13" s="1"/>
  <c r="V440" i="13"/>
  <c r="AL440" i="13" s="1"/>
  <c r="S497" i="13"/>
  <c r="AI497" i="13" s="1"/>
  <c r="V497" i="13"/>
  <c r="AL497" i="13" s="1"/>
  <c r="S577" i="13"/>
  <c r="AI577" i="13" s="1"/>
  <c r="V577" i="13"/>
  <c r="AL577" i="13" s="1"/>
  <c r="S387" i="13"/>
  <c r="AI387" i="13" s="1"/>
  <c r="V387" i="13"/>
  <c r="AL387" i="13" s="1"/>
  <c r="S531" i="13"/>
  <c r="AI531" i="13" s="1"/>
  <c r="V531" i="13"/>
  <c r="AL531" i="13" s="1"/>
  <c r="S500" i="13"/>
  <c r="AI500" i="13" s="1"/>
  <c r="V500" i="13"/>
  <c r="S471" i="13"/>
  <c r="AI471" i="13" s="1"/>
  <c r="V471" i="13"/>
  <c r="AL471" i="13" s="1"/>
  <c r="S569" i="13"/>
  <c r="AI569" i="13" s="1"/>
  <c r="V569" i="13"/>
  <c r="AL569" i="13" s="1"/>
  <c r="S585" i="13"/>
  <c r="V585" i="13"/>
  <c r="AL585" i="13" s="1"/>
  <c r="S539" i="13"/>
  <c r="AI539" i="13" s="1"/>
  <c r="V539" i="13"/>
  <c r="AL539" i="13" s="1"/>
  <c r="S437" i="13"/>
  <c r="AI437" i="13" s="1"/>
  <c r="V437" i="13"/>
  <c r="AL437" i="13" s="1"/>
  <c r="S580" i="13"/>
  <c r="AI580" i="13" s="1"/>
  <c r="V580" i="13"/>
  <c r="AL580" i="13" s="1"/>
  <c r="S558" i="13"/>
  <c r="AI558" i="13" s="1"/>
  <c r="V558" i="13"/>
  <c r="AL558" i="13" s="1"/>
  <c r="AG449" i="13"/>
  <c r="L449" i="13"/>
  <c r="M449" i="13" s="1"/>
  <c r="L354" i="13"/>
  <c r="M354" i="13" s="1"/>
  <c r="L363" i="13"/>
  <c r="M363" i="13" s="1"/>
  <c r="L361" i="13"/>
  <c r="M361" i="13" s="1"/>
  <c r="L380" i="13"/>
  <c r="M380" i="13" s="1"/>
  <c r="AG473" i="13"/>
  <c r="L473" i="13"/>
  <c r="M473" i="13" s="1"/>
  <c r="S447" i="13"/>
  <c r="AI447" i="13" s="1"/>
  <c r="V447" i="13"/>
  <c r="AL447" i="13" s="1"/>
  <c r="S608" i="13"/>
  <c r="AI608" i="13" s="1"/>
  <c r="V608" i="13"/>
  <c r="AL608" i="13" s="1"/>
  <c r="S524" i="13"/>
  <c r="AI524" i="13" s="1"/>
  <c r="V524" i="13"/>
  <c r="AL524" i="13" s="1"/>
  <c r="S454" i="13"/>
  <c r="AI454" i="13" s="1"/>
  <c r="V454" i="13"/>
  <c r="AL454" i="13" s="1"/>
  <c r="S526" i="13"/>
  <c r="AI526" i="13" s="1"/>
  <c r="V526" i="13"/>
  <c r="AL526" i="13" s="1"/>
  <c r="S489" i="13"/>
  <c r="AI489" i="13" s="1"/>
  <c r="V489" i="13"/>
  <c r="S414" i="13"/>
  <c r="AI414" i="13" s="1"/>
  <c r="V414" i="13"/>
  <c r="AL414" i="13" s="1"/>
  <c r="S402" i="13"/>
  <c r="V402" i="13"/>
  <c r="AL402" i="13" s="1"/>
  <c r="S581" i="13"/>
  <c r="AI581" i="13" s="1"/>
  <c r="V581" i="13"/>
  <c r="S427" i="13"/>
  <c r="AI427" i="13" s="1"/>
  <c r="V427" i="13"/>
  <c r="S376" i="13"/>
  <c r="AI376" i="13" s="1"/>
  <c r="V376" i="13"/>
  <c r="S433" i="13"/>
  <c r="AI433" i="13" s="1"/>
  <c r="V433" i="13"/>
  <c r="AL433" i="13" s="1"/>
  <c r="S535" i="13"/>
  <c r="AI535" i="13" s="1"/>
  <c r="V535" i="13"/>
  <c r="AL535" i="13" s="1"/>
  <c r="S463" i="13"/>
  <c r="AI463" i="13" s="1"/>
  <c r="V463" i="13"/>
  <c r="AL463" i="13" s="1"/>
  <c r="S426" i="13"/>
  <c r="AI426" i="13" s="1"/>
  <c r="V426" i="13"/>
  <c r="AL426" i="13" s="1"/>
  <c r="S408" i="13"/>
  <c r="AI408" i="13" s="1"/>
  <c r="V408" i="13"/>
  <c r="AL408" i="13" s="1"/>
  <c r="S513" i="13"/>
  <c r="AI513" i="13" s="1"/>
  <c r="V513" i="13"/>
  <c r="AL513" i="13" s="1"/>
  <c r="S563" i="13"/>
  <c r="AI563" i="13" s="1"/>
  <c r="V563" i="13"/>
  <c r="AL563" i="13" s="1"/>
  <c r="S508" i="13"/>
  <c r="AI508" i="13" s="1"/>
  <c r="V508" i="13"/>
  <c r="S600" i="13"/>
  <c r="AI600" i="13" s="1"/>
  <c r="V600" i="13"/>
  <c r="AL600" i="13" s="1"/>
  <c r="S434" i="13"/>
  <c r="AI434" i="13" s="1"/>
  <c r="V434" i="13"/>
  <c r="AL434" i="13" s="1"/>
  <c r="S555" i="13"/>
  <c r="V555" i="13"/>
  <c r="AL555" i="13" s="1"/>
  <c r="S424" i="13"/>
  <c r="AI424" i="13" s="1"/>
  <c r="V424" i="13"/>
  <c r="S421" i="13"/>
  <c r="V421" i="13"/>
  <c r="S423" i="13"/>
  <c r="AI423" i="13" s="1"/>
  <c r="V423" i="13"/>
  <c r="AL423" i="13" s="1"/>
  <c r="S412" i="13"/>
  <c r="AI412" i="13" s="1"/>
  <c r="V412" i="13"/>
  <c r="AL412" i="13" s="1"/>
  <c r="S546" i="13"/>
  <c r="AI546" i="13" s="1"/>
  <c r="V546" i="13"/>
  <c r="AL546" i="13" s="1"/>
  <c r="AD280" i="13"/>
  <c r="AD239" i="13"/>
  <c r="AD251" i="13"/>
  <c r="AD254" i="13"/>
  <c r="AD259" i="13"/>
  <c r="AD261" i="13"/>
  <c r="AD270" i="13"/>
  <c r="AD242" i="13"/>
  <c r="AD243" i="13"/>
  <c r="CR240" i="3" s="1"/>
  <c r="AD241" i="13"/>
  <c r="AD248" i="13"/>
  <c r="CR245" i="3" s="1"/>
  <c r="AD245" i="13"/>
  <c r="AD253" i="13"/>
  <c r="AD260" i="13"/>
  <c r="AD304" i="13"/>
  <c r="AD244" i="13"/>
  <c r="CR241" i="3" s="1"/>
  <c r="AD233" i="13"/>
  <c r="AD238" i="13"/>
  <c r="AD210" i="13"/>
  <c r="AD250" i="13"/>
  <c r="AD256" i="13"/>
  <c r="AD249" i="13"/>
  <c r="CR246" i="3" s="1"/>
  <c r="AD268" i="13"/>
  <c r="AD240" i="13"/>
  <c r="AD213" i="13"/>
  <c r="AD220" i="13"/>
  <c r="AD205" i="13"/>
  <c r="AD226" i="13"/>
  <c r="AD234" i="13"/>
  <c r="AD209" i="13"/>
  <c r="AD206" i="13"/>
  <c r="AD294" i="13"/>
  <c r="AD291" i="13"/>
  <c r="AD211" i="13"/>
  <c r="AD221" i="13"/>
  <c r="AD227" i="13"/>
  <c r="AD246" i="13"/>
  <c r="AD277" i="13"/>
  <c r="AD297" i="13"/>
  <c r="AD289" i="13"/>
  <c r="AD287" i="13"/>
  <c r="AD303" i="13"/>
  <c r="AD208" i="13"/>
  <c r="AD302" i="13"/>
  <c r="AD225" i="13"/>
  <c r="AD252" i="13"/>
  <c r="AD295" i="13"/>
  <c r="AD276" i="13"/>
  <c r="AD300" i="13"/>
  <c r="AD275" i="13"/>
  <c r="AD288" i="13"/>
  <c r="AD292" i="13"/>
  <c r="AD282" i="13"/>
  <c r="AD219" i="13"/>
  <c r="AD228" i="13"/>
  <c r="AD307" i="13"/>
  <c r="AD255" i="13"/>
  <c r="AD281" i="13"/>
  <c r="AD257" i="13"/>
  <c r="AD214" i="13"/>
  <c r="AD212" i="13"/>
  <c r="AD274" i="13"/>
  <c r="AD293" i="13"/>
  <c r="AD308" i="13"/>
  <c r="AD263" i="13"/>
  <c r="AD207" i="13"/>
  <c r="CR204" i="3" s="1"/>
  <c r="AD266" i="13"/>
  <c r="AD247" i="13"/>
  <c r="CO296" i="3"/>
  <c r="R299" i="13" s="1"/>
  <c r="CO280" i="3"/>
  <c r="R283" i="13" s="1"/>
  <c r="Q43" i="22"/>
  <c r="X43" i="22" s="1"/>
  <c r="AE43" i="22" s="1"/>
  <c r="AM43" i="22" s="1"/>
  <c r="D44" i="22"/>
  <c r="AO43" i="22"/>
  <c r="AL250" i="13"/>
  <c r="A145" i="31"/>
  <c r="C145" i="31" s="1"/>
  <c r="A162" i="31"/>
  <c r="C162" i="31" s="1"/>
  <c r="DE88" i="3"/>
  <c r="S39" i="20"/>
  <c r="CU25" i="3"/>
  <c r="CL129" i="3"/>
  <c r="A136" i="31"/>
  <c r="C136" i="31" s="1"/>
  <c r="A113" i="31"/>
  <c r="C113" i="31" s="1"/>
  <c r="DE90" i="3"/>
  <c r="A134" i="31"/>
  <c r="C134" i="31" s="1"/>
  <c r="A181" i="31"/>
  <c r="C181" i="31" s="1"/>
  <c r="A81" i="31"/>
  <c r="C81" i="31" s="1"/>
  <c r="A103" i="31"/>
  <c r="C103" i="31" s="1"/>
  <c r="A104" i="31"/>
  <c r="C104" i="31" s="1"/>
  <c r="DE60" i="3"/>
  <c r="A128" i="31"/>
  <c r="C128" i="31" s="1"/>
  <c r="A152" i="31"/>
  <c r="C152" i="31" s="1"/>
  <c r="A195" i="31"/>
  <c r="C195" i="31" s="1"/>
  <c r="CL88" i="3"/>
  <c r="A192" i="31"/>
  <c r="C192" i="31" s="1"/>
  <c r="A121" i="31"/>
  <c r="C121" i="31" s="1"/>
  <c r="DE52" i="3"/>
  <c r="A133" i="31"/>
  <c r="C133" i="31" s="1"/>
  <c r="A153" i="31"/>
  <c r="C153" i="31" s="1"/>
  <c r="BU88" i="3"/>
  <c r="A182" i="31"/>
  <c r="C182" i="31" s="1"/>
  <c r="A159" i="31"/>
  <c r="C159" i="31" s="1"/>
  <c r="CL163" i="3"/>
  <c r="A196" i="31"/>
  <c r="C196" i="31" s="1"/>
  <c r="DE170" i="3"/>
  <c r="A149" i="31"/>
  <c r="C149" i="31" s="1"/>
  <c r="A194" i="31"/>
  <c r="C194" i="31" s="1"/>
  <c r="CL170" i="3"/>
  <c r="AG408" i="13"/>
  <c r="DE174" i="3"/>
  <c r="DE163" i="3"/>
  <c r="A186" i="31"/>
  <c r="C186" i="31" s="1"/>
  <c r="BU46" i="3"/>
  <c r="AG21" i="3"/>
  <c r="A138" i="31"/>
  <c r="C138" i="31" s="1"/>
  <c r="BU189" i="3"/>
  <c r="DE189" i="3"/>
  <c r="A131" i="31"/>
  <c r="C131" i="31" s="1"/>
  <c r="A106" i="31"/>
  <c r="C106" i="31" s="1"/>
  <c r="CL189" i="3"/>
  <c r="BU77" i="3"/>
  <c r="BU163" i="3"/>
  <c r="A180" i="31"/>
  <c r="C180" i="31" s="1"/>
  <c r="A94" i="31"/>
  <c r="C94" i="31" s="1"/>
  <c r="AG17" i="3"/>
  <c r="DE46" i="3"/>
  <c r="CL79" i="3"/>
  <c r="CL85" i="3"/>
  <c r="CL91" i="3"/>
  <c r="DE47" i="3"/>
  <c r="DE85" i="3"/>
  <c r="BU174" i="3"/>
  <c r="CL90" i="3"/>
  <c r="A171" i="31"/>
  <c r="C171" i="31" s="1"/>
  <c r="DE56" i="3"/>
  <c r="BU56" i="3"/>
  <c r="AG27" i="3"/>
  <c r="A143" i="31"/>
  <c r="C143" i="31" s="1"/>
  <c r="DE41" i="3"/>
  <c r="CU27" i="3"/>
  <c r="DX27" i="3" s="1"/>
  <c r="S41" i="20"/>
  <c r="A109" i="31"/>
  <c r="C109" i="31" s="1"/>
  <c r="A96" i="31"/>
  <c r="C96" i="31" s="1"/>
  <c r="CL58" i="3"/>
  <c r="DE58" i="3"/>
  <c r="BU58" i="3"/>
  <c r="A137" i="31"/>
  <c r="C137" i="31" s="1"/>
  <c r="CL56" i="3"/>
  <c r="CL87" i="3"/>
  <c r="DE87" i="3"/>
  <c r="BU170" i="3"/>
  <c r="BU87" i="3"/>
  <c r="A100" i="31"/>
  <c r="C100" i="31" s="1"/>
  <c r="DE77" i="3"/>
  <c r="BU79" i="3"/>
  <c r="DE92" i="3"/>
  <c r="A183" i="31"/>
  <c r="C183" i="31" s="1"/>
  <c r="A125" i="31"/>
  <c r="C125" i="31" s="1"/>
  <c r="A101" i="31"/>
  <c r="C101" i="31" s="1"/>
  <c r="A135" i="31"/>
  <c r="C135" i="31" s="1"/>
  <c r="A95" i="31"/>
  <c r="C95" i="31" s="1"/>
  <c r="DE91" i="3"/>
  <c r="BU91" i="3"/>
  <c r="BU41" i="3"/>
  <c r="CL92" i="3"/>
  <c r="BU129" i="3"/>
  <c r="A167" i="31"/>
  <c r="C167" i="31" s="1"/>
  <c r="A168" i="31"/>
  <c r="C168" i="31" s="1"/>
  <c r="A190" i="31"/>
  <c r="C190" i="31" s="1"/>
  <c r="A140" i="31"/>
  <c r="C140" i="31" s="1"/>
  <c r="DE79" i="3"/>
  <c r="BU47" i="3"/>
  <c r="BU52" i="3"/>
  <c r="AX72" i="3"/>
  <c r="AY72" i="3" s="1"/>
  <c r="BU10" i="3"/>
  <c r="BU90" i="3"/>
  <c r="BU85" i="3"/>
  <c r="BU92" i="3"/>
  <c r="DC135" i="3"/>
  <c r="DC144" i="3"/>
  <c r="CO269" i="3"/>
  <c r="R272" i="13" s="1"/>
  <c r="DC186" i="3"/>
  <c r="CO307" i="3"/>
  <c r="R310" i="13" s="1"/>
  <c r="CO308" i="3"/>
  <c r="R311" i="13" s="1"/>
  <c r="DC201" i="3"/>
  <c r="DC199" i="3"/>
  <c r="DC188" i="3"/>
  <c r="DC190" i="3"/>
  <c r="DC187" i="3"/>
  <c r="DC185" i="3"/>
  <c r="CL174" i="3"/>
  <c r="DC148" i="3"/>
  <c r="DC151" i="3"/>
  <c r="DC150" i="3"/>
  <c r="DC145" i="3"/>
  <c r="DC153" i="3"/>
  <c r="DC143" i="3"/>
  <c r="DC138" i="3"/>
  <c r="DC141" i="3"/>
  <c r="DC140" i="3"/>
  <c r="DC142" i="3"/>
  <c r="DC139" i="3"/>
  <c r="DC126" i="3"/>
  <c r="DC132" i="3"/>
  <c r="DC133" i="3"/>
  <c r="DC130" i="3"/>
  <c r="DC125" i="3"/>
  <c r="BU131" i="3"/>
  <c r="DE131" i="3"/>
  <c r="CL131" i="3"/>
  <c r="DC109" i="3"/>
  <c r="DC106" i="3"/>
  <c r="CM43" i="3"/>
  <c r="CM49" i="3"/>
  <c r="CU17" i="3"/>
  <c r="S31" i="20"/>
  <c r="CU21" i="3"/>
  <c r="AX21" i="3" s="1"/>
  <c r="A61" i="31"/>
  <c r="C61" i="31" s="1"/>
  <c r="DE10" i="3"/>
  <c r="CM21" i="3"/>
  <c r="CM28" i="3"/>
  <c r="CM14" i="3"/>
  <c r="CM20" i="3"/>
  <c r="CM32" i="3"/>
  <c r="CM29" i="3"/>
  <c r="CM23" i="3"/>
  <c r="CM39" i="3"/>
  <c r="CM33" i="3"/>
  <c r="CM30" i="3"/>
  <c r="CM18" i="3"/>
  <c r="CO266" i="3"/>
  <c r="R269" i="13" s="1"/>
  <c r="CO282" i="3"/>
  <c r="R285" i="13" s="1"/>
  <c r="CO303" i="3"/>
  <c r="R306" i="13" s="1"/>
  <c r="CM12" i="3"/>
  <c r="CO298" i="3"/>
  <c r="R301" i="13" s="1"/>
  <c r="CO281" i="3"/>
  <c r="R284" i="13" s="1"/>
  <c r="CO283" i="3"/>
  <c r="R286" i="13" s="1"/>
  <c r="CO259" i="3"/>
  <c r="R262" i="13" s="1"/>
  <c r="BU34" i="3"/>
  <c r="BU27" i="3"/>
  <c r="BU72" i="3"/>
  <c r="BU62" i="3"/>
  <c r="BU17" i="3"/>
  <c r="BU55" i="3"/>
  <c r="BU13" i="3"/>
  <c r="BU53" i="3"/>
  <c r="BU42" i="3"/>
  <c r="BU24" i="3"/>
  <c r="BU81" i="3"/>
  <c r="BU50" i="3"/>
  <c r="BU71" i="3"/>
  <c r="BU31" i="3"/>
  <c r="BU51" i="3"/>
  <c r="BU44" i="3"/>
  <c r="CO276" i="3"/>
  <c r="R279" i="13" s="1"/>
  <c r="CO261" i="3"/>
  <c r="R264" i="13" s="1"/>
  <c r="CO255" i="3"/>
  <c r="R258" i="13" s="1"/>
  <c r="CO295" i="3"/>
  <c r="R298" i="13" s="1"/>
  <c r="CZ293" i="3"/>
  <c r="CO302" i="3"/>
  <c r="R305" i="13" s="1"/>
  <c r="CZ302" i="3"/>
  <c r="CZ234" i="3"/>
  <c r="CZ264" i="3"/>
  <c r="CZ259" i="3"/>
  <c r="CO306" i="3"/>
  <c r="R309" i="13" s="1"/>
  <c r="CZ306" i="3"/>
  <c r="CZ266" i="3"/>
  <c r="CO268" i="3"/>
  <c r="R271" i="13" s="1"/>
  <c r="CZ268" i="3"/>
  <c r="CZ307" i="3"/>
  <c r="CZ269" i="3"/>
  <c r="CZ282" i="3"/>
  <c r="CZ280" i="3"/>
  <c r="CZ281" i="3"/>
  <c r="CZ287" i="3"/>
  <c r="CZ229" i="3"/>
  <c r="CZ219" i="3"/>
  <c r="CZ228" i="3"/>
  <c r="CZ270" i="3"/>
  <c r="CZ308" i="3"/>
  <c r="CZ262" i="3"/>
  <c r="CZ298" i="3"/>
  <c r="CZ303" i="3"/>
  <c r="CZ283" i="3"/>
  <c r="CZ296" i="3"/>
  <c r="CZ255" i="3"/>
  <c r="CZ295" i="3"/>
  <c r="CO275" i="3"/>
  <c r="R278" i="13" s="1"/>
  <c r="CZ275" i="3"/>
  <c r="CZ261" i="3"/>
  <c r="CZ276" i="3"/>
  <c r="CO234" i="3"/>
  <c r="R237" i="13" s="1"/>
  <c r="CO293" i="3"/>
  <c r="R296" i="13" s="1"/>
  <c r="CO229" i="3"/>
  <c r="R232" i="13" s="1"/>
  <c r="CO287" i="3"/>
  <c r="R290" i="13" s="1"/>
  <c r="CO219" i="3"/>
  <c r="R222" i="13" s="1"/>
  <c r="CO264" i="3"/>
  <c r="R267" i="13" s="1"/>
  <c r="CO270" i="3"/>
  <c r="R273" i="13" s="1"/>
  <c r="CO228" i="3"/>
  <c r="R231" i="13" s="1"/>
  <c r="CO262" i="3"/>
  <c r="R265" i="13" s="1"/>
  <c r="DE17" i="3"/>
  <c r="DE55" i="3"/>
  <c r="DE27" i="3"/>
  <c r="A60" i="31"/>
  <c r="C60" i="31" s="1"/>
  <c r="DC57" i="3"/>
  <c r="A78" i="31"/>
  <c r="C78" i="31" s="1"/>
  <c r="AM211" i="13"/>
  <c r="S44" i="22"/>
  <c r="Z44" i="22" s="1"/>
  <c r="AG44" i="22" s="1"/>
  <c r="F45" i="22"/>
  <c r="T44" i="22"/>
  <c r="AA44" i="22" s="1"/>
  <c r="AH44" i="22" s="1"/>
  <c r="G45" i="22"/>
  <c r="R44" i="22"/>
  <c r="Y44" i="22" s="1"/>
  <c r="AF44" i="22" s="1"/>
  <c r="AN44" i="22" s="1"/>
  <c r="E45" i="22"/>
  <c r="C45" i="22"/>
  <c r="P45" i="22" s="1"/>
  <c r="W44" i="22"/>
  <c r="AD44" i="22" s="1"/>
  <c r="A75" i="31"/>
  <c r="C75" i="31" s="1"/>
  <c r="A52" i="31"/>
  <c r="C52" i="31" s="1"/>
  <c r="CU44" i="3"/>
  <c r="CL55" i="3"/>
  <c r="AM248" i="13"/>
  <c r="S58" i="20"/>
  <c r="DE71" i="3"/>
  <c r="DE72" i="3"/>
  <c r="A56" i="31"/>
  <c r="C56" i="31" s="1"/>
  <c r="CL61" i="3"/>
  <c r="AG44" i="3"/>
  <c r="DE81" i="3"/>
  <c r="A77" i="31"/>
  <c r="C77" i="31" s="1"/>
  <c r="CL81" i="3"/>
  <c r="CU49" i="3"/>
  <c r="DH49" i="3"/>
  <c r="DJ205" i="3"/>
  <c r="DJ240" i="3"/>
  <c r="DJ214" i="3"/>
  <c r="DJ242" i="3"/>
  <c r="CL71" i="3"/>
  <c r="DJ215" i="3"/>
  <c r="DJ245" i="3"/>
  <c r="DJ241" i="3"/>
  <c r="DE42" i="3"/>
  <c r="DE44" i="3"/>
  <c r="S63" i="20"/>
  <c r="CU39" i="3"/>
  <c r="CU50" i="3"/>
  <c r="K353" i="13" s="1"/>
  <c r="AG50" i="3"/>
  <c r="DH50" i="3"/>
  <c r="DE50" i="3"/>
  <c r="S64" i="20"/>
  <c r="CL48" i="3"/>
  <c r="CL67" i="3"/>
  <c r="AG39" i="3"/>
  <c r="S53" i="20"/>
  <c r="S68" i="20"/>
  <c r="CU54" i="3"/>
  <c r="K357" i="13" s="1"/>
  <c r="AG54" i="3"/>
  <c r="DH54" i="3"/>
  <c r="S88" i="20"/>
  <c r="CU74" i="3"/>
  <c r="K377" i="13" s="1"/>
  <c r="AG74" i="3"/>
  <c r="S89" i="20"/>
  <c r="CU75" i="3"/>
  <c r="K378" i="13" s="1"/>
  <c r="AG75" i="3"/>
  <c r="AG38" i="3"/>
  <c r="S52" i="20"/>
  <c r="CU38" i="3"/>
  <c r="AX38" i="3" s="1"/>
  <c r="CL60" i="3"/>
  <c r="AX44" i="3"/>
  <c r="AY44" i="3" s="1"/>
  <c r="DH78" i="3"/>
  <c r="CU78" i="3"/>
  <c r="CY78" i="3" s="1"/>
  <c r="S92" i="20"/>
  <c r="AG78" i="3"/>
  <c r="S77" i="20"/>
  <c r="CU63" i="3"/>
  <c r="K366" i="13" s="1"/>
  <c r="AG63" i="3"/>
  <c r="DH63" i="3"/>
  <c r="S57" i="20"/>
  <c r="AG43" i="3"/>
  <c r="DH43" i="3"/>
  <c r="AG37" i="3"/>
  <c r="CU37" i="3"/>
  <c r="S51" i="20"/>
  <c r="S50" i="20"/>
  <c r="AG36" i="3"/>
  <c r="CU36" i="3"/>
  <c r="S49" i="20"/>
  <c r="CU35" i="3"/>
  <c r="AG35" i="3"/>
  <c r="S54" i="20"/>
  <c r="CU40" i="3"/>
  <c r="AG40" i="3"/>
  <c r="CU59" i="3"/>
  <c r="K362" i="13" s="1"/>
  <c r="S73" i="20"/>
  <c r="AG59" i="3"/>
  <c r="DH59" i="3"/>
  <c r="CL51" i="3"/>
  <c r="DE51" i="3"/>
  <c r="DE53" i="3"/>
  <c r="CL53" i="3"/>
  <c r="CL52" i="3"/>
  <c r="CL41" i="3"/>
  <c r="AG14" i="3"/>
  <c r="AX23" i="3"/>
  <c r="BU11" i="3"/>
  <c r="CU11" i="3"/>
  <c r="S25" i="20"/>
  <c r="AG423" i="13"/>
  <c r="S28" i="20"/>
  <c r="DE24" i="3"/>
  <c r="DE31" i="3"/>
  <c r="DE13" i="3"/>
  <c r="DE34" i="3"/>
  <c r="CU26" i="3"/>
  <c r="S40" i="20"/>
  <c r="AG26" i="3"/>
  <c r="DE62" i="3"/>
  <c r="CL62" i="3"/>
  <c r="AX28" i="3"/>
  <c r="AY28" i="3" s="1"/>
  <c r="AX27" i="3"/>
  <c r="AY27" i="3" s="1"/>
  <c r="DC80" i="3"/>
  <c r="DC69" i="3"/>
  <c r="AG570" i="13"/>
  <c r="A193" i="31"/>
  <c r="C193" i="31" s="1"/>
  <c r="AG430" i="13"/>
  <c r="A261" i="31"/>
  <c r="C261" i="31" s="1"/>
  <c r="A93" i="31"/>
  <c r="C93" i="31" s="1"/>
  <c r="A99" i="31"/>
  <c r="C99" i="31" s="1"/>
  <c r="A65" i="31"/>
  <c r="C65" i="31" s="1"/>
  <c r="A172" i="31"/>
  <c r="C172" i="31" s="1"/>
  <c r="DC70" i="3"/>
  <c r="A119" i="31"/>
  <c r="C119" i="31" s="1"/>
  <c r="A254" i="31"/>
  <c r="C254" i="31" s="1"/>
  <c r="A297" i="31"/>
  <c r="C297" i="31" s="1"/>
  <c r="A301" i="31"/>
  <c r="C301" i="31" s="1"/>
  <c r="A110" i="31"/>
  <c r="C110" i="31" s="1"/>
  <c r="A150" i="31"/>
  <c r="C150" i="31" s="1"/>
  <c r="A114" i="31"/>
  <c r="C114" i="31" s="1"/>
  <c r="A92" i="31"/>
  <c r="C92" i="31" s="1"/>
  <c r="A257" i="31"/>
  <c r="C257" i="31" s="1"/>
  <c r="A263" i="31"/>
  <c r="C263" i="31" s="1"/>
  <c r="A223" i="31"/>
  <c r="C223" i="31" s="1"/>
  <c r="A176" i="31"/>
  <c r="C176" i="31" s="1"/>
  <c r="A179" i="31"/>
  <c r="C179" i="31" s="1"/>
  <c r="A270" i="31"/>
  <c r="C270" i="31" s="1"/>
  <c r="A163" i="31"/>
  <c r="C163" i="31" s="1"/>
  <c r="A98" i="31"/>
  <c r="C98" i="31" s="1"/>
  <c r="AG605" i="13"/>
  <c r="A160" i="31"/>
  <c r="C160" i="31" s="1"/>
  <c r="DC165" i="3"/>
  <c r="A173" i="31"/>
  <c r="C173" i="31" s="1"/>
  <c r="A264" i="31"/>
  <c r="C264" i="31" s="1"/>
  <c r="AV245" i="13"/>
  <c r="AL245" i="13" s="1"/>
  <c r="A178" i="31"/>
  <c r="C178" i="31" s="1"/>
  <c r="A111" i="31"/>
  <c r="C111" i="31" s="1"/>
  <c r="A189" i="31"/>
  <c r="C189" i="31" s="1"/>
  <c r="CU29" i="3"/>
  <c r="DX29" i="3" s="1"/>
  <c r="A71" i="31"/>
  <c r="C71" i="31" s="1"/>
  <c r="CU13" i="3"/>
  <c r="A117" i="31"/>
  <c r="C117" i="31" s="1"/>
  <c r="AL22" i="22"/>
  <c r="AG12" i="3"/>
  <c r="CU12" i="3"/>
  <c r="AG20" i="3"/>
  <c r="AG13" i="3"/>
  <c r="AN218" i="13"/>
  <c r="S27" i="20"/>
  <c r="AK217" i="13"/>
  <c r="AG217" i="13"/>
  <c r="AO217" i="13"/>
  <c r="AP217" i="13"/>
  <c r="AN217" i="13"/>
  <c r="AL217" i="13"/>
  <c r="DC173" i="3"/>
  <c r="AV225" i="13"/>
  <c r="AK225" i="13" s="1"/>
  <c r="AN249" i="13"/>
  <c r="AL249" i="13"/>
  <c r="A298" i="31"/>
  <c r="C298" i="31" s="1"/>
  <c r="A302" i="31"/>
  <c r="C302" i="31" s="1"/>
  <c r="A303" i="31"/>
  <c r="C303" i="31" s="1"/>
  <c r="AV277" i="13"/>
  <c r="A276" i="31"/>
  <c r="C276" i="31" s="1"/>
  <c r="A265" i="31"/>
  <c r="C265" i="31" s="1"/>
  <c r="A288" i="31"/>
  <c r="C288" i="31" s="1"/>
  <c r="A293" i="31"/>
  <c r="C293" i="31" s="1"/>
  <c r="A277" i="31"/>
  <c r="C277" i="31" s="1"/>
  <c r="A271" i="31"/>
  <c r="C271" i="31" s="1"/>
  <c r="A278" i="31"/>
  <c r="C278" i="31" s="1"/>
  <c r="A290" i="31"/>
  <c r="C290" i="31" s="1"/>
  <c r="A275" i="31"/>
  <c r="C275" i="31" s="1"/>
  <c r="A291" i="31"/>
  <c r="C291" i="31" s="1"/>
  <c r="A282" i="31"/>
  <c r="C282" i="31" s="1"/>
  <c r="A259" i="31"/>
  <c r="C259" i="31" s="1"/>
  <c r="A256" i="31"/>
  <c r="C256" i="31" s="1"/>
  <c r="A250" i="31"/>
  <c r="C250" i="31" s="1"/>
  <c r="A166" i="31"/>
  <c r="C166" i="31" s="1"/>
  <c r="DC168" i="3"/>
  <c r="DC172" i="3"/>
  <c r="DC158" i="3"/>
  <c r="DC156" i="3"/>
  <c r="DC157" i="3"/>
  <c r="DC181" i="3"/>
  <c r="DC164" i="3"/>
  <c r="DC183" i="3"/>
  <c r="AP249" i="13"/>
  <c r="AG249" i="13"/>
  <c r="AK249" i="13"/>
  <c r="DJ246" i="3"/>
  <c r="AP250" i="13"/>
  <c r="AK250" i="13"/>
  <c r="AG250" i="13"/>
  <c r="AN250" i="13"/>
  <c r="AM250" i="13"/>
  <c r="AP248" i="13"/>
  <c r="AG248" i="13"/>
  <c r="AK248" i="13"/>
  <c r="AN248" i="13"/>
  <c r="AL248" i="13"/>
  <c r="AN243" i="13"/>
  <c r="AM243" i="13"/>
  <c r="AK243" i="13"/>
  <c r="AP243" i="13"/>
  <c r="AL243" i="13"/>
  <c r="AG243" i="13"/>
  <c r="AP244" i="13"/>
  <c r="AG244" i="13"/>
  <c r="AM244" i="13"/>
  <c r="AK244" i="13"/>
  <c r="AN244" i="13"/>
  <c r="AL244" i="13"/>
  <c r="AV239" i="13"/>
  <c r="AV238" i="13"/>
  <c r="A229" i="31"/>
  <c r="C229" i="31" s="1"/>
  <c r="A228" i="31"/>
  <c r="C228" i="31" s="1"/>
  <c r="A224" i="31"/>
  <c r="C224" i="31" s="1"/>
  <c r="A216" i="31"/>
  <c r="C216" i="31" s="1"/>
  <c r="A214" i="31"/>
  <c r="C214" i="31" s="1"/>
  <c r="DC65" i="3"/>
  <c r="AE70" i="5"/>
  <c r="AM70" i="5"/>
  <c r="AV208" i="13"/>
  <c r="AK208" i="13" s="1"/>
  <c r="AV212" i="13"/>
  <c r="AV207" i="13"/>
  <c r="AP207" i="13" s="1"/>
  <c r="AK218" i="13"/>
  <c r="AO218" i="13"/>
  <c r="AP218" i="13"/>
  <c r="AG218" i="13"/>
  <c r="AL218" i="13"/>
  <c r="AM218" i="13"/>
  <c r="AK214" i="13"/>
  <c r="AG214" i="13"/>
  <c r="AP214" i="13"/>
  <c r="AL214" i="13"/>
  <c r="AN214" i="13"/>
  <c r="AM214" i="13"/>
  <c r="AG211" i="13"/>
  <c r="AK211" i="13"/>
  <c r="AP211" i="13"/>
  <c r="AL211" i="13"/>
  <c r="AN211" i="13"/>
  <c r="CL64" i="3"/>
  <c r="A188" i="31"/>
  <c r="C188" i="31" s="1"/>
  <c r="CL193" i="3"/>
  <c r="CL159" i="3"/>
  <c r="A155" i="31"/>
  <c r="C155" i="31" s="1"/>
  <c r="A156" i="31"/>
  <c r="C156" i="31" s="1"/>
  <c r="CL166" i="3"/>
  <c r="A177" i="31"/>
  <c r="C177" i="31" s="1"/>
  <c r="DC180" i="3"/>
  <c r="A175" i="31"/>
  <c r="C175" i="31" s="1"/>
  <c r="A164" i="31"/>
  <c r="C164" i="31" s="1"/>
  <c r="A170" i="31"/>
  <c r="C170" i="31" s="1"/>
  <c r="CL169" i="3"/>
  <c r="A157" i="31"/>
  <c r="C157" i="31" s="1"/>
  <c r="A154" i="31"/>
  <c r="C154" i="31" s="1"/>
  <c r="A174" i="31"/>
  <c r="C174" i="31" s="1"/>
  <c r="CL175" i="3"/>
  <c r="A161" i="31"/>
  <c r="C161" i="31" s="1"/>
  <c r="A147" i="31"/>
  <c r="C147" i="31" s="1"/>
  <c r="A144" i="31"/>
  <c r="C144" i="31" s="1"/>
  <c r="A142" i="31"/>
  <c r="C142" i="31" s="1"/>
  <c r="A132" i="31"/>
  <c r="C132" i="31" s="1"/>
  <c r="A122" i="31"/>
  <c r="C122" i="31" s="1"/>
  <c r="A123" i="31"/>
  <c r="C123" i="31" s="1"/>
  <c r="A118" i="31"/>
  <c r="C118" i="31" s="1"/>
  <c r="A116" i="31"/>
  <c r="C116" i="31" s="1"/>
  <c r="A115" i="31"/>
  <c r="C115" i="31" s="1"/>
  <c r="A112" i="31"/>
  <c r="C112" i="31" s="1"/>
  <c r="A108" i="31"/>
  <c r="C108" i="31" s="1"/>
  <c r="A105" i="31"/>
  <c r="C105" i="31" s="1"/>
  <c r="A97" i="31"/>
  <c r="C97" i="31" s="1"/>
  <c r="A90" i="31"/>
  <c r="C90" i="31" s="1"/>
  <c r="A89" i="31"/>
  <c r="C89" i="31" s="1"/>
  <c r="A88" i="31"/>
  <c r="C88" i="31" s="1"/>
  <c r="A84" i="31"/>
  <c r="C84" i="31" s="1"/>
  <c r="A68" i="31"/>
  <c r="C68" i="31" s="1"/>
  <c r="A62" i="31"/>
  <c r="C62" i="31" s="1"/>
  <c r="A63" i="31"/>
  <c r="C63" i="31" s="1"/>
  <c r="A59" i="31"/>
  <c r="C59" i="31" s="1"/>
  <c r="A43" i="31"/>
  <c r="C43" i="31" s="1"/>
  <c r="AG23" i="3"/>
  <c r="AG28" i="3"/>
  <c r="S33" i="20"/>
  <c r="AG19" i="3"/>
  <c r="AX16" i="3"/>
  <c r="AX29" i="3"/>
  <c r="AY29" i="3" s="1"/>
  <c r="AG18" i="3"/>
  <c r="CU30" i="3"/>
  <c r="S42" i="20"/>
  <c r="CU20" i="3"/>
  <c r="S45" i="20"/>
  <c r="AG31" i="3"/>
  <c r="CU19" i="3"/>
  <c r="S43" i="20"/>
  <c r="S48" i="20"/>
  <c r="AG34" i="3"/>
  <c r="S37" i="20"/>
  <c r="CU32" i="3"/>
  <c r="CU33" i="3"/>
  <c r="AG32" i="3"/>
  <c r="S46" i="20"/>
  <c r="AG33" i="3"/>
  <c r="S47" i="20"/>
  <c r="S44" i="20"/>
  <c r="AG30" i="3"/>
  <c r="CU31" i="3"/>
  <c r="CU34" i="3"/>
  <c r="CU18" i="3"/>
  <c r="S24" i="20"/>
  <c r="AG10" i="3"/>
  <c r="CU10" i="3"/>
  <c r="AG429" i="13"/>
  <c r="AG446" i="13"/>
  <c r="AG512" i="13"/>
  <c r="AG460" i="13"/>
  <c r="AG476" i="13"/>
  <c r="AG454" i="13"/>
  <c r="AG567" i="13"/>
  <c r="AG433" i="13"/>
  <c r="AG545" i="13"/>
  <c r="AG515" i="13"/>
  <c r="AI515" i="13"/>
  <c r="AG571" i="13"/>
  <c r="AG561" i="13"/>
  <c r="AG600" i="13"/>
  <c r="AG595" i="13"/>
  <c r="AG447" i="13"/>
  <c r="AG597" i="13"/>
  <c r="AG491" i="13"/>
  <c r="AI491" i="13"/>
  <c r="AL491" i="13"/>
  <c r="AG414" i="13"/>
  <c r="AG434" i="13"/>
  <c r="AG510" i="13"/>
  <c r="AG410" i="13"/>
  <c r="AG529" i="13"/>
  <c r="AG417" i="13"/>
  <c r="AG546" i="13"/>
  <c r="AG547" i="13"/>
  <c r="AL592" i="13"/>
  <c r="AI592" i="13"/>
  <c r="AG592" i="13"/>
  <c r="AG554" i="13"/>
  <c r="AG471" i="13"/>
  <c r="AG448" i="13"/>
  <c r="AI490" i="13"/>
  <c r="AG490" i="13"/>
  <c r="AL490" i="13"/>
  <c r="AG403" i="13"/>
  <c r="AG475" i="13"/>
  <c r="AG483" i="13"/>
  <c r="AG464" i="13"/>
  <c r="AG525" i="13"/>
  <c r="AG426" i="13"/>
  <c r="AG393" i="13"/>
  <c r="AI573" i="13"/>
  <c r="AL573" i="13"/>
  <c r="AG573" i="13"/>
  <c r="AG541" i="13"/>
  <c r="AG560" i="13"/>
  <c r="AG511" i="13"/>
  <c r="AG577" i="13"/>
  <c r="AG419" i="13"/>
  <c r="AG599" i="13"/>
  <c r="AG558" i="13"/>
  <c r="AG524" i="13"/>
  <c r="AL494" i="13"/>
  <c r="AI494" i="13"/>
  <c r="AG494" i="13"/>
  <c r="AG455" i="13"/>
  <c r="AG440" i="13"/>
  <c r="AG474" i="13"/>
  <c r="AG531" i="13"/>
  <c r="AG552" i="13"/>
  <c r="AG584" i="13"/>
  <c r="AG453" i="13"/>
  <c r="AG518" i="13"/>
  <c r="AL518" i="13"/>
  <c r="AI518" i="13"/>
  <c r="AG458" i="13"/>
  <c r="AG401" i="13"/>
  <c r="AG431" i="13"/>
  <c r="AG409" i="13"/>
  <c r="AL409" i="13"/>
  <c r="AI409" i="13"/>
  <c r="AG438" i="13"/>
  <c r="AG499" i="13"/>
  <c r="AG543" i="13"/>
  <c r="AG470" i="13"/>
  <c r="AG451" i="13"/>
  <c r="AG532" i="13"/>
  <c r="AG579" i="13"/>
  <c r="AG505" i="13"/>
  <c r="AG498" i="13"/>
  <c r="AG563" i="13"/>
  <c r="AG402" i="13"/>
  <c r="AG398" i="13"/>
  <c r="AG598" i="13"/>
  <c r="AG539" i="13"/>
  <c r="AG405" i="13"/>
  <c r="AG437" i="13"/>
  <c r="AG500" i="13"/>
  <c r="AG428" i="13"/>
  <c r="AG503" i="13"/>
  <c r="AG581" i="13"/>
  <c r="AG467" i="13"/>
  <c r="AG521" i="13"/>
  <c r="AG540" i="13"/>
  <c r="AG407" i="13"/>
  <c r="AG523" i="13"/>
  <c r="AI517" i="13"/>
  <c r="AL517" i="13"/>
  <c r="AG517" i="13"/>
  <c r="AI509" i="13"/>
  <c r="AG509" i="13"/>
  <c r="AG445" i="13"/>
  <c r="AG591" i="13"/>
  <c r="AG537" i="13"/>
  <c r="AG580" i="13"/>
  <c r="AG508" i="13"/>
  <c r="AG413" i="13"/>
  <c r="AG406" i="13"/>
  <c r="AG520" i="13"/>
  <c r="AG480" i="13"/>
  <c r="AG442" i="13"/>
  <c r="AG606" i="13"/>
  <c r="AG456" i="13"/>
  <c r="AG441" i="13"/>
  <c r="AG586" i="13"/>
  <c r="AG604" i="13"/>
  <c r="AG551" i="13"/>
  <c r="AG568" i="13"/>
  <c r="AG585" i="13"/>
  <c r="AG463" i="13"/>
  <c r="AG465" i="13"/>
  <c r="AG459" i="13"/>
  <c r="AG485" i="13"/>
  <c r="AG387" i="13"/>
  <c r="AG516" i="13"/>
  <c r="AI516" i="13"/>
  <c r="AG608" i="13"/>
  <c r="AG372" i="13"/>
  <c r="AG569" i="13"/>
  <c r="AG404" i="13"/>
  <c r="AG484" i="13"/>
  <c r="AG590" i="13"/>
  <c r="AG535" i="13"/>
  <c r="AG526" i="13"/>
  <c r="AG588" i="13"/>
  <c r="AG400" i="13"/>
  <c r="AG527" i="13"/>
  <c r="AG574" i="13"/>
  <c r="AG553" i="13"/>
  <c r="AG450" i="13"/>
  <c r="AG562" i="13"/>
  <c r="AG501" i="13"/>
  <c r="AG497" i="13"/>
  <c r="AG594" i="13"/>
  <c r="AG504" i="13"/>
  <c r="AG457" i="13"/>
  <c r="AG418" i="13"/>
  <c r="AG416" i="13"/>
  <c r="AG587" i="13"/>
  <c r="AG481" i="13"/>
  <c r="AG443" i="13"/>
  <c r="AG575" i="13"/>
  <c r="AG528" i="13"/>
  <c r="AG513" i="13"/>
  <c r="AG556" i="13"/>
  <c r="AG412" i="13"/>
  <c r="AG555" i="13"/>
  <c r="AI609" i="13"/>
  <c r="AL609" i="13"/>
  <c r="AG609" i="13"/>
  <c r="AG542" i="13"/>
  <c r="AG538" i="13"/>
  <c r="AG559" i="13"/>
  <c r="AL487" i="13"/>
  <c r="AI487" i="13"/>
  <c r="AG487" i="13"/>
  <c r="AG11" i="3"/>
  <c r="CU14" i="3"/>
  <c r="BV48" i="3" l="1"/>
  <c r="CY48" i="3" s="1"/>
  <c r="AY38" i="3"/>
  <c r="Q341" i="13" s="1"/>
  <c r="AX26" i="3"/>
  <c r="AX25" i="3"/>
  <c r="DX25" i="3"/>
  <c r="M331" i="13"/>
  <c r="Q331" i="13"/>
  <c r="AX24" i="3"/>
  <c r="AY24" i="3" s="1"/>
  <c r="DX24" i="3"/>
  <c r="AY26" i="3"/>
  <c r="Q329" i="13" s="1"/>
  <c r="AX47" i="3"/>
  <c r="AY47" i="3" s="1"/>
  <c r="AX46" i="3"/>
  <c r="AY46" i="3" s="1"/>
  <c r="AX40" i="3"/>
  <c r="AY40" i="3" s="1"/>
  <c r="AX45" i="3"/>
  <c r="AY45" i="3" s="1"/>
  <c r="S38" i="20"/>
  <c r="BW24" i="3"/>
  <c r="BY24" i="3"/>
  <c r="AP44" i="22"/>
  <c r="CY59" i="3"/>
  <c r="CY54" i="3"/>
  <c r="BZ45" i="3"/>
  <c r="CY75" i="3"/>
  <c r="CY63" i="3"/>
  <c r="CY74" i="3"/>
  <c r="CY50" i="3"/>
  <c r="BO190" i="3"/>
  <c r="EU190" i="3" s="1"/>
  <c r="BO192" i="3"/>
  <c r="EU192" i="3" s="1"/>
  <c r="BO134" i="3"/>
  <c r="EU134" i="3" s="1"/>
  <c r="BO144" i="3"/>
  <c r="EU144" i="3" s="1"/>
  <c r="BO153" i="3"/>
  <c r="EU153" i="3" s="1"/>
  <c r="BO156" i="3"/>
  <c r="EU156" i="3" s="1"/>
  <c r="AY16" i="3"/>
  <c r="BO96" i="3"/>
  <c r="EU96" i="3" s="1"/>
  <c r="BO112" i="3"/>
  <c r="EU112" i="3" s="1"/>
  <c r="BO146" i="3"/>
  <c r="EU146" i="3" s="1"/>
  <c r="BO151" i="3"/>
  <c r="EU151" i="3" s="1"/>
  <c r="AY23" i="3"/>
  <c r="BO196" i="3"/>
  <c r="EU196" i="3" s="1"/>
  <c r="BO132" i="3"/>
  <c r="EU132" i="3" s="1"/>
  <c r="BO107" i="3"/>
  <c r="EU107" i="3" s="1"/>
  <c r="BO125" i="3"/>
  <c r="EU125" i="3" s="1"/>
  <c r="BO135" i="3"/>
  <c r="EU135" i="3" s="1"/>
  <c r="AY21" i="3"/>
  <c r="CJ85" i="3"/>
  <c r="BO85" i="3" s="1"/>
  <c r="CJ81" i="3"/>
  <c r="BO81" i="3" s="1"/>
  <c r="CJ189" i="3"/>
  <c r="BO189" i="3" s="1"/>
  <c r="CJ56" i="3"/>
  <c r="BO56" i="3" s="1"/>
  <c r="CJ87" i="3"/>
  <c r="BO87" i="3" s="1"/>
  <c r="CJ92" i="3"/>
  <c r="BO92" i="3" s="1"/>
  <c r="CJ88" i="3"/>
  <c r="BO88" i="3" s="1"/>
  <c r="CJ71" i="3"/>
  <c r="BO71" i="3" s="1"/>
  <c r="CJ131" i="3"/>
  <c r="BO131" i="3" s="1"/>
  <c r="CJ54" i="3"/>
  <c r="BO54" i="3" s="1"/>
  <c r="CJ55" i="3"/>
  <c r="BO55" i="3" s="1"/>
  <c r="CJ60" i="3"/>
  <c r="BO60" i="3" s="1"/>
  <c r="CJ58" i="3"/>
  <c r="BO58" i="3" s="1"/>
  <c r="CJ63" i="3"/>
  <c r="BO63" i="3" s="1"/>
  <c r="CJ41" i="3"/>
  <c r="BO41" i="3" s="1"/>
  <c r="CJ53" i="3"/>
  <c r="BO53" i="3" s="1"/>
  <c r="CJ62" i="3"/>
  <c r="BO62" i="3" s="1"/>
  <c r="CJ163" i="3"/>
  <c r="BO163" i="3" s="1"/>
  <c r="CJ129" i="3"/>
  <c r="BO129" i="3" s="1"/>
  <c r="CJ79" i="3"/>
  <c r="BO79" i="3" s="1"/>
  <c r="CJ51" i="3"/>
  <c r="BO51" i="3" s="1"/>
  <c r="CJ174" i="3"/>
  <c r="BO174" i="3" s="1"/>
  <c r="CJ170" i="3"/>
  <c r="BO170" i="3" s="1"/>
  <c r="CJ90" i="3"/>
  <c r="BO90" i="3" s="1"/>
  <c r="CJ52" i="3"/>
  <c r="BO52" i="3" s="1"/>
  <c r="CJ50" i="3"/>
  <c r="BO50" i="3" s="1"/>
  <c r="CJ91" i="3"/>
  <c r="BO91" i="3" s="1"/>
  <c r="CJ59" i="3"/>
  <c r="BO59" i="3" s="1"/>
  <c r="AG16" i="3"/>
  <c r="CM16" i="3"/>
  <c r="BX16" i="3" s="1"/>
  <c r="S30" i="20"/>
  <c r="EU222" i="3"/>
  <c r="EU210" i="3"/>
  <c r="EU225" i="3"/>
  <c r="EU246" i="3"/>
  <c r="EU239" i="3"/>
  <c r="EU267" i="3"/>
  <c r="EU258" i="3"/>
  <c r="EU238" i="3"/>
  <c r="EU252" i="3"/>
  <c r="EU251" i="3"/>
  <c r="EU271" i="3"/>
  <c r="EU290" i="3"/>
  <c r="EU204" i="3"/>
  <c r="EU301" i="3"/>
  <c r="EU203" i="3"/>
  <c r="EU249" i="3"/>
  <c r="EU273" i="3"/>
  <c r="EU207" i="3"/>
  <c r="EU263" i="3"/>
  <c r="EU260" i="3"/>
  <c r="EU300" i="3"/>
  <c r="EU231" i="3"/>
  <c r="EU284" i="3"/>
  <c r="EU223" i="3"/>
  <c r="EU257" i="3"/>
  <c r="EU245" i="3"/>
  <c r="EU247" i="3"/>
  <c r="EU272" i="3"/>
  <c r="EU237" i="3"/>
  <c r="EU254" i="3"/>
  <c r="EU286" i="3"/>
  <c r="EU277" i="3"/>
  <c r="EU256" i="3"/>
  <c r="EU208" i="3"/>
  <c r="EU217" i="3"/>
  <c r="EU279" i="3"/>
  <c r="EU235" i="3"/>
  <c r="EU244" i="3"/>
  <c r="EU285" i="3"/>
  <c r="EU218" i="3"/>
  <c r="EU304" i="3"/>
  <c r="EU216" i="3"/>
  <c r="EU205" i="3"/>
  <c r="EU294" i="3"/>
  <c r="EU243" i="3"/>
  <c r="EU253" i="3"/>
  <c r="EU242" i="3"/>
  <c r="EU289" i="3"/>
  <c r="EU291" i="3"/>
  <c r="EU224" i="3"/>
  <c r="EU236" i="3"/>
  <c r="EU230" i="3"/>
  <c r="EU206" i="3"/>
  <c r="EU305" i="3"/>
  <c r="EU274" i="3"/>
  <c r="EU292" i="3"/>
  <c r="EU248" i="3"/>
  <c r="EU265" i="3"/>
  <c r="EU288" i="3"/>
  <c r="EU202" i="3"/>
  <c r="EU297" i="3"/>
  <c r="EU299" i="3"/>
  <c r="EU241" i="3"/>
  <c r="EU209" i="3"/>
  <c r="EU240" i="3"/>
  <c r="EU250" i="3"/>
  <c r="EU211" i="3"/>
  <c r="EU278" i="3"/>
  <c r="M326" i="13"/>
  <c r="AY25" i="3"/>
  <c r="DX20" i="3"/>
  <c r="DX14" i="3"/>
  <c r="BQ14" i="3" s="1"/>
  <c r="DX16" i="3"/>
  <c r="DX21" i="3"/>
  <c r="DX15" i="3"/>
  <c r="BQ15" i="3" s="1"/>
  <c r="DX19" i="3"/>
  <c r="DX17" i="3"/>
  <c r="M319" i="13"/>
  <c r="S319" i="13"/>
  <c r="K349" i="13"/>
  <c r="L346" i="13"/>
  <c r="M346" i="13" s="1"/>
  <c r="BW45" i="3"/>
  <c r="BU45" i="3"/>
  <c r="BX45" i="3"/>
  <c r="BY45" i="3"/>
  <c r="DE45" i="3"/>
  <c r="CA45" i="3"/>
  <c r="ET45" i="3" s="1"/>
  <c r="K350" i="13"/>
  <c r="L344" i="13"/>
  <c r="M344" i="13" s="1"/>
  <c r="K348" i="13"/>
  <c r="EU199" i="3"/>
  <c r="L345" i="13"/>
  <c r="M345" i="13" s="1"/>
  <c r="V33" i="13"/>
  <c r="K347" i="13"/>
  <c r="K318" i="13"/>
  <c r="K315" i="13"/>
  <c r="L315" i="13" s="1"/>
  <c r="M315" i="13" s="1"/>
  <c r="K325" i="13"/>
  <c r="L325" i="13" s="1"/>
  <c r="Q325" i="13" s="1"/>
  <c r="EU186" i="3"/>
  <c r="EU200" i="3"/>
  <c r="EU157" i="3"/>
  <c r="EU139" i="3"/>
  <c r="EU65" i="3"/>
  <c r="EU109" i="3"/>
  <c r="EU148" i="3"/>
  <c r="EU80" i="3"/>
  <c r="EU105" i="3"/>
  <c r="EU99" i="3"/>
  <c r="EU140" i="3"/>
  <c r="EU138" i="3"/>
  <c r="EU61" i="3"/>
  <c r="EU69" i="3"/>
  <c r="EU136" i="3"/>
  <c r="EU158" i="3"/>
  <c r="EU86" i="3"/>
  <c r="EU201" i="3"/>
  <c r="EU150" i="3"/>
  <c r="EU126" i="3"/>
  <c r="EU173" i="3"/>
  <c r="EU133" i="3"/>
  <c r="EU108" i="3"/>
  <c r="EU101" i="3"/>
  <c r="EU141" i="3"/>
  <c r="EU57" i="3"/>
  <c r="EU185" i="3"/>
  <c r="EU164" i="3"/>
  <c r="EU145" i="3"/>
  <c r="EU187" i="3"/>
  <c r="EU167" i="3"/>
  <c r="EU100" i="3"/>
  <c r="EU106" i="3"/>
  <c r="EU154" i="3"/>
  <c r="EU172" i="3"/>
  <c r="EU197" i="3"/>
  <c r="EU188" i="3"/>
  <c r="EU176" i="3"/>
  <c r="EU191" i="3"/>
  <c r="EU130" i="3"/>
  <c r="EU84" i="3"/>
  <c r="EU195" i="3"/>
  <c r="EU111" i="3"/>
  <c r="EU142" i="3"/>
  <c r="EU143" i="3"/>
  <c r="V29" i="13"/>
  <c r="V25" i="13"/>
  <c r="BY33" i="3"/>
  <c r="CA33" i="3"/>
  <c r="BZ21" i="3"/>
  <c r="BZ39" i="3"/>
  <c r="ER39" i="3" s="1"/>
  <c r="BY39" i="3"/>
  <c r="CA39" i="3"/>
  <c r="BZ22" i="3"/>
  <c r="CA22" i="3"/>
  <c r="BZ15" i="3"/>
  <c r="CA12" i="3"/>
  <c r="BZ12" i="3"/>
  <c r="CA23" i="3"/>
  <c r="BZ29" i="3"/>
  <c r="BY29" i="3"/>
  <c r="BZ32" i="3"/>
  <c r="CA32" i="3"/>
  <c r="BZ20" i="3"/>
  <c r="BY20" i="3"/>
  <c r="CA49" i="3"/>
  <c r="BZ49" i="3"/>
  <c r="ER49" i="3" s="1"/>
  <c r="BY49" i="3"/>
  <c r="BY25" i="3"/>
  <c r="BZ18" i="3"/>
  <c r="BY18" i="3"/>
  <c r="CA14" i="3"/>
  <c r="CA30" i="3"/>
  <c r="BY30" i="3"/>
  <c r="BZ30" i="3"/>
  <c r="BZ28" i="3"/>
  <c r="BY28" i="3"/>
  <c r="CA43" i="3"/>
  <c r="BZ43" i="3"/>
  <c r="ER43" i="3" s="1"/>
  <c r="BY43" i="3"/>
  <c r="BW33" i="3"/>
  <c r="BW21" i="3"/>
  <c r="BW39" i="3"/>
  <c r="BW15" i="3"/>
  <c r="BW12" i="3"/>
  <c r="BW23" i="3"/>
  <c r="BW29" i="3"/>
  <c r="BW32" i="3"/>
  <c r="BW20" i="3"/>
  <c r="AO44" i="22"/>
  <c r="BW18" i="3"/>
  <c r="BW14" i="3"/>
  <c r="BW49" i="3"/>
  <c r="BW25" i="3"/>
  <c r="BW30" i="3"/>
  <c r="BW28" i="3"/>
  <c r="BW43" i="3"/>
  <c r="ET163" i="3"/>
  <c r="ES163" i="3"/>
  <c r="ET47" i="3"/>
  <c r="ES47" i="3"/>
  <c r="ES74" i="3"/>
  <c r="ET74" i="3"/>
  <c r="ET31" i="3"/>
  <c r="ES31" i="3"/>
  <c r="ET62" i="3"/>
  <c r="ES62" i="3"/>
  <c r="ET88" i="3"/>
  <c r="ES88" i="3"/>
  <c r="ET91" i="3"/>
  <c r="ES91" i="3"/>
  <c r="ES13" i="3"/>
  <c r="ET13" i="3"/>
  <c r="AX10" i="3"/>
  <c r="ET52" i="3"/>
  <c r="ES52" i="3"/>
  <c r="ET129" i="3"/>
  <c r="ES129" i="3"/>
  <c r="ET46" i="3"/>
  <c r="ES46" i="3"/>
  <c r="ET56" i="3"/>
  <c r="ES56" i="3"/>
  <c r="ET34" i="3"/>
  <c r="ES34" i="3"/>
  <c r="ES58" i="3"/>
  <c r="ET58" i="3"/>
  <c r="ES77" i="3"/>
  <c r="ET77" i="3"/>
  <c r="ET79" i="3"/>
  <c r="ES79" i="3"/>
  <c r="ET41" i="3"/>
  <c r="ES41" i="3"/>
  <c r="ET40" i="3"/>
  <c r="ES40" i="3"/>
  <c r="ET54" i="3"/>
  <c r="ES54" i="3"/>
  <c r="ET174" i="3"/>
  <c r="ES174" i="3"/>
  <c r="ET60" i="3"/>
  <c r="ES60" i="3"/>
  <c r="ET92" i="3"/>
  <c r="ES92" i="3"/>
  <c r="ET59" i="3"/>
  <c r="ES59" i="3"/>
  <c r="ES42" i="3"/>
  <c r="ET42" i="3"/>
  <c r="ES71" i="3"/>
  <c r="ET71" i="3"/>
  <c r="ES72" i="3"/>
  <c r="ET72" i="3"/>
  <c r="ES189" i="3"/>
  <c r="ET189" i="3"/>
  <c r="ES170" i="3"/>
  <c r="ET170" i="3"/>
  <c r="ET63" i="3"/>
  <c r="ES63" i="3"/>
  <c r="ET75" i="3"/>
  <c r="ES75" i="3"/>
  <c r="ET50" i="3"/>
  <c r="ES50" i="3"/>
  <c r="ET55" i="3"/>
  <c r="ES55" i="3"/>
  <c r="ET81" i="3"/>
  <c r="ES81" i="3"/>
  <c r="ET78" i="3"/>
  <c r="ES78" i="3"/>
  <c r="ET87" i="3"/>
  <c r="ES87" i="3"/>
  <c r="ES90" i="3"/>
  <c r="ET90" i="3"/>
  <c r="ET131" i="3"/>
  <c r="ES131" i="3"/>
  <c r="ET51" i="3"/>
  <c r="ES51" i="3"/>
  <c r="ET53" i="3"/>
  <c r="ES53" i="3"/>
  <c r="ES44" i="3"/>
  <c r="ET44" i="3"/>
  <c r="ES85" i="3"/>
  <c r="ET85" i="3"/>
  <c r="BW22" i="3"/>
  <c r="AC516" i="13"/>
  <c r="K313" i="13"/>
  <c r="L313" i="13" s="1"/>
  <c r="M313" i="13" s="1"/>
  <c r="K314" i="13"/>
  <c r="L314" i="13" s="1"/>
  <c r="AC515" i="13"/>
  <c r="V17" i="13"/>
  <c r="V27" i="13"/>
  <c r="S373" i="13"/>
  <c r="AI373" i="13" s="1"/>
  <c r="V373" i="13"/>
  <c r="AL373" i="13" s="1"/>
  <c r="AG373" i="13"/>
  <c r="K341" i="13"/>
  <c r="K340" i="13"/>
  <c r="L340" i="13" s="1"/>
  <c r="M340" i="13" s="1"/>
  <c r="K339" i="13"/>
  <c r="K338" i="13"/>
  <c r="L338" i="13" s="1"/>
  <c r="M338" i="13" s="1"/>
  <c r="K337" i="13"/>
  <c r="L337" i="13" s="1"/>
  <c r="M337" i="13" s="1"/>
  <c r="K336" i="13"/>
  <c r="L336" i="13" s="1"/>
  <c r="M336" i="13" s="1"/>
  <c r="V15" i="13"/>
  <c r="V28" i="13"/>
  <c r="K335" i="13"/>
  <c r="L335" i="13" s="1"/>
  <c r="M335" i="13" s="1"/>
  <c r="K334" i="13"/>
  <c r="L334" i="13" s="1"/>
  <c r="M334" i="13" s="1"/>
  <c r="K333" i="13"/>
  <c r="L333" i="13" s="1"/>
  <c r="M333" i="13" s="1"/>
  <c r="K332" i="13"/>
  <c r="V32" i="13"/>
  <c r="K330" i="13"/>
  <c r="L330" i="13" s="1"/>
  <c r="BU22" i="3"/>
  <c r="BX22" i="3"/>
  <c r="V26" i="13"/>
  <c r="BX15" i="3"/>
  <c r="BX25" i="3"/>
  <c r="DE15" i="3"/>
  <c r="AG533" i="13"/>
  <c r="BU25" i="3"/>
  <c r="BU15" i="3"/>
  <c r="AG392" i="13"/>
  <c r="V392" i="13"/>
  <c r="AL392" i="13" s="1"/>
  <c r="V13" i="13"/>
  <c r="AG602" i="13"/>
  <c r="V602" i="13"/>
  <c r="AL602" i="13" s="1"/>
  <c r="AG589" i="13"/>
  <c r="V550" i="13"/>
  <c r="AL550" i="13" s="1"/>
  <c r="V572" i="13"/>
  <c r="AL572" i="13" s="1"/>
  <c r="S572" i="13"/>
  <c r="AI572" i="13" s="1"/>
  <c r="S550" i="13"/>
  <c r="AI550" i="13" s="1"/>
  <c r="AG596" i="13"/>
  <c r="DE25" i="3"/>
  <c r="S582" i="13"/>
  <c r="AI582" i="13" s="1"/>
  <c r="V533" i="13"/>
  <c r="AL533" i="13" s="1"/>
  <c r="DE22" i="3"/>
  <c r="AG601" i="13"/>
  <c r="V601" i="13"/>
  <c r="AL601" i="13" s="1"/>
  <c r="S601" i="13"/>
  <c r="AI601" i="13" s="1"/>
  <c r="K329" i="13"/>
  <c r="K328" i="13"/>
  <c r="K327" i="13"/>
  <c r="S326" i="13"/>
  <c r="K324" i="13"/>
  <c r="K323" i="13"/>
  <c r="L323" i="13" s="1"/>
  <c r="K322" i="13"/>
  <c r="L322" i="13" s="1"/>
  <c r="Q322" i="13" s="1"/>
  <c r="K321" i="13"/>
  <c r="L321" i="13" s="1"/>
  <c r="M321" i="13" s="1"/>
  <c r="K317" i="13"/>
  <c r="K316" i="13"/>
  <c r="L316" i="13" s="1"/>
  <c r="M316" i="13" s="1"/>
  <c r="V583" i="13"/>
  <c r="AL583" i="13" s="1"/>
  <c r="S583" i="13"/>
  <c r="AI583" i="13" s="1"/>
  <c r="V593" i="13"/>
  <c r="AL593" i="13" s="1"/>
  <c r="V14" i="13"/>
  <c r="V519" i="13"/>
  <c r="AL519" i="13" s="1"/>
  <c r="S593" i="13"/>
  <c r="AI593" i="13" s="1"/>
  <c r="V565" i="13"/>
  <c r="AL565" i="13" s="1"/>
  <c r="AG565" i="13"/>
  <c r="BX20" i="3"/>
  <c r="BX14" i="3"/>
  <c r="BX30" i="3"/>
  <c r="BX28" i="3"/>
  <c r="BX33" i="3"/>
  <c r="BX21" i="3"/>
  <c r="BX49" i="3"/>
  <c r="BX18" i="3"/>
  <c r="BX39" i="3"/>
  <c r="BX43" i="3"/>
  <c r="BX12" i="3"/>
  <c r="BX23" i="3"/>
  <c r="BX29" i="3"/>
  <c r="BX32" i="3"/>
  <c r="S607" i="13"/>
  <c r="AI607" i="13" s="1"/>
  <c r="V557" i="13"/>
  <c r="AL557" i="13" s="1"/>
  <c r="AG557" i="13"/>
  <c r="V607" i="13"/>
  <c r="AL607" i="13" s="1"/>
  <c r="AG519" i="13"/>
  <c r="AL509" i="13"/>
  <c r="AQ509" i="13" s="1"/>
  <c r="AG576" i="13"/>
  <c r="S576" i="13"/>
  <c r="AI576" i="13" s="1"/>
  <c r="AG566" i="13"/>
  <c r="V578" i="13"/>
  <c r="AL578" i="13" s="1"/>
  <c r="S566" i="13"/>
  <c r="AI566" i="13" s="1"/>
  <c r="S578" i="13"/>
  <c r="AI578" i="13" s="1"/>
  <c r="V566" i="13"/>
  <c r="AL566" i="13" s="1"/>
  <c r="V589" i="13"/>
  <c r="AL589" i="13" s="1"/>
  <c r="AG582" i="13"/>
  <c r="S589" i="13"/>
  <c r="AG611" i="13"/>
  <c r="V611" i="13"/>
  <c r="AL611" i="13" s="1"/>
  <c r="V582" i="13"/>
  <c r="AL582" i="13" s="1"/>
  <c r="V596" i="13"/>
  <c r="AL596" i="13" s="1"/>
  <c r="S596" i="13"/>
  <c r="AI596" i="13" s="1"/>
  <c r="CW49" i="3"/>
  <c r="CL49" i="3" s="1"/>
  <c r="CW39" i="3"/>
  <c r="CW43" i="3"/>
  <c r="S565" i="13"/>
  <c r="AI565" i="13" s="1"/>
  <c r="AC488" i="13"/>
  <c r="V506" i="13"/>
  <c r="AL506" i="13" s="1"/>
  <c r="S506" i="13"/>
  <c r="AI506" i="13" s="1"/>
  <c r="V534" i="13"/>
  <c r="AL534" i="13" s="1"/>
  <c r="S534" i="13"/>
  <c r="AI534" i="13" s="1"/>
  <c r="S610" i="13"/>
  <c r="AI610" i="13" s="1"/>
  <c r="AG534" i="13"/>
  <c r="V610" i="13"/>
  <c r="AL610" i="13" s="1"/>
  <c r="AC555" i="13"/>
  <c r="V603" i="13"/>
  <c r="AL603" i="13" s="1"/>
  <c r="AC443" i="13"/>
  <c r="AC421" i="13"/>
  <c r="AC456" i="13"/>
  <c r="AC605" i="13"/>
  <c r="AC441" i="13"/>
  <c r="AC575" i="13"/>
  <c r="AG603" i="13"/>
  <c r="AC414" i="13"/>
  <c r="AC448" i="13"/>
  <c r="AL443" i="13"/>
  <c r="AQ443" i="13" s="1"/>
  <c r="AC580" i="13"/>
  <c r="AI456" i="13"/>
  <c r="AC467" i="13"/>
  <c r="AL605" i="13"/>
  <c r="AQ605" i="13" s="1"/>
  <c r="AC606" i="13"/>
  <c r="AI585" i="13"/>
  <c r="AQ585" i="13" s="1"/>
  <c r="AI555" i="13"/>
  <c r="AQ555" i="13" s="1"/>
  <c r="AC551" i="13"/>
  <c r="AI372" i="13"/>
  <c r="AI448" i="13"/>
  <c r="AQ448" i="13" s="1"/>
  <c r="AC513" i="13"/>
  <c r="AC417" i="13"/>
  <c r="AC372" i="13"/>
  <c r="AC442" i="13"/>
  <c r="AC604" i="13"/>
  <c r="AC545" i="13"/>
  <c r="AC455" i="13"/>
  <c r="AC402" i="13"/>
  <c r="AC564" i="13"/>
  <c r="AC493" i="13"/>
  <c r="AC420" i="13"/>
  <c r="AC423" i="13"/>
  <c r="AC399" i="13"/>
  <c r="AC433" i="13"/>
  <c r="AC608" i="13"/>
  <c r="AC387" i="13"/>
  <c r="AC415" i="13"/>
  <c r="AC504" i="13"/>
  <c r="AC413" i="13"/>
  <c r="AC404" i="13"/>
  <c r="AC416" i="13"/>
  <c r="AC546" i="13"/>
  <c r="AC577" i="13"/>
  <c r="AC547" i="13"/>
  <c r="AC574" i="13"/>
  <c r="AC460" i="13"/>
  <c r="AC418" i="13"/>
  <c r="AC512" i="13"/>
  <c r="AC541" i="13"/>
  <c r="AC430" i="13"/>
  <c r="AC499" i="13"/>
  <c r="AC459" i="13"/>
  <c r="AC435" i="13"/>
  <c r="AC553" i="13"/>
  <c r="AC454" i="13"/>
  <c r="AC510" i="13"/>
  <c r="AC403" i="13"/>
  <c r="AC505" i="13"/>
  <c r="BU12" i="3"/>
  <c r="AC569" i="13"/>
  <c r="AC497" i="13"/>
  <c r="AC410" i="13"/>
  <c r="AC503" i="13"/>
  <c r="AC412" i="13"/>
  <c r="AC562" i="13"/>
  <c r="AC587" i="13"/>
  <c r="AC520" i="13"/>
  <c r="AC444" i="13"/>
  <c r="AC458" i="13"/>
  <c r="AC579" i="13"/>
  <c r="AC475" i="13"/>
  <c r="AC511" i="13"/>
  <c r="AC398" i="13"/>
  <c r="AC429" i="13"/>
  <c r="AC590" i="13"/>
  <c r="AC427" i="13"/>
  <c r="AC581" i="13"/>
  <c r="AC485" i="13"/>
  <c r="AC540" i="13"/>
  <c r="AC552" i="13"/>
  <c r="AC400" i="13"/>
  <c r="AC532" i="13"/>
  <c r="AC502" i="13"/>
  <c r="AC529" i="13"/>
  <c r="AC554" i="13"/>
  <c r="AC406" i="13"/>
  <c r="AC451" i="13"/>
  <c r="AC597" i="13"/>
  <c r="AC600" i="13"/>
  <c r="AC535" i="13"/>
  <c r="AC447" i="13"/>
  <c r="AC543" i="13"/>
  <c r="AC419" i="13"/>
  <c r="AC481" i="13"/>
  <c r="AC479" i="13"/>
  <c r="AC393" i="13"/>
  <c r="AC561" i="13"/>
  <c r="AC542" i="13"/>
  <c r="AC484" i="13"/>
  <c r="AC450" i="13"/>
  <c r="AC498" i="13"/>
  <c r="AC538" i="13"/>
  <c r="AC405" i="13"/>
  <c r="AC563" i="13"/>
  <c r="AC471" i="13"/>
  <c r="AC439" i="13"/>
  <c r="AC495" i="13"/>
  <c r="AC446" i="13"/>
  <c r="AC474" i="13"/>
  <c r="AC528" i="13"/>
  <c r="AC594" i="13"/>
  <c r="AC558" i="13"/>
  <c r="AC440" i="13"/>
  <c r="AC476" i="13"/>
  <c r="AC424" i="13"/>
  <c r="AC434" i="13"/>
  <c r="AC376" i="13"/>
  <c r="AC539" i="13"/>
  <c r="AC531" i="13"/>
  <c r="AC452" i="13"/>
  <c r="AC585" i="13"/>
  <c r="AC500" i="13"/>
  <c r="AC598" i="13"/>
  <c r="AC436" i="13"/>
  <c r="AC595" i="13"/>
  <c r="AC396" i="13"/>
  <c r="AC401" i="13"/>
  <c r="AC438" i="13"/>
  <c r="AC464" i="13"/>
  <c r="AC397" i="13"/>
  <c r="L377" i="13"/>
  <c r="M377" i="13" s="1"/>
  <c r="AC426" i="13"/>
  <c r="S432" i="13"/>
  <c r="AI432" i="13" s="1"/>
  <c r="V432" i="13"/>
  <c r="AL432" i="13" s="1"/>
  <c r="S370" i="13"/>
  <c r="AI370" i="13" s="1"/>
  <c r="V370" i="13"/>
  <c r="S359" i="13"/>
  <c r="AI359" i="13" s="1"/>
  <c r="V359" i="13"/>
  <c r="AL359" i="13" s="1"/>
  <c r="AC527" i="13"/>
  <c r="S390" i="13"/>
  <c r="AI390" i="13" s="1"/>
  <c r="V390" i="13"/>
  <c r="S365" i="13"/>
  <c r="AI365" i="13" s="1"/>
  <c r="V365" i="13"/>
  <c r="AL365" i="13" s="1"/>
  <c r="S549" i="13"/>
  <c r="AI549" i="13" s="1"/>
  <c r="V549" i="13"/>
  <c r="AL549" i="13" s="1"/>
  <c r="S384" i="13"/>
  <c r="AI384" i="13" s="1"/>
  <c r="V384" i="13"/>
  <c r="AL384" i="13" s="1"/>
  <c r="S389" i="13"/>
  <c r="AI389" i="13" s="1"/>
  <c r="V389" i="13"/>
  <c r="S356" i="13"/>
  <c r="V356" i="13"/>
  <c r="S363" i="13"/>
  <c r="AI363" i="13" s="1"/>
  <c r="V363" i="13"/>
  <c r="AL363" i="13" s="1"/>
  <c r="S395" i="13"/>
  <c r="AI395" i="13" s="1"/>
  <c r="V395" i="13"/>
  <c r="AL395" i="13" s="1"/>
  <c r="S462" i="13"/>
  <c r="V462" i="13"/>
  <c r="S371" i="13"/>
  <c r="AI371" i="13" s="1"/>
  <c r="V371" i="13"/>
  <c r="S507" i="13"/>
  <c r="AI507" i="13" s="1"/>
  <c r="V507" i="13"/>
  <c r="L362" i="13"/>
  <c r="M362" i="13" s="1"/>
  <c r="S473" i="13"/>
  <c r="AI473" i="13" s="1"/>
  <c r="V473" i="13"/>
  <c r="AL473" i="13" s="1"/>
  <c r="S345" i="13"/>
  <c r="V345" i="13"/>
  <c r="AC571" i="13"/>
  <c r="S469" i="13"/>
  <c r="V469" i="13"/>
  <c r="AC521" i="13"/>
  <c r="AC559" i="13"/>
  <c r="S375" i="13"/>
  <c r="AI375" i="13" s="1"/>
  <c r="V375" i="13"/>
  <c r="AC523" i="13"/>
  <c r="AC483" i="13"/>
  <c r="S368" i="13"/>
  <c r="AI368" i="13" s="1"/>
  <c r="V368" i="13"/>
  <c r="AC428" i="13"/>
  <c r="AC568" i="13"/>
  <c r="AC537" i="13"/>
  <c r="S478" i="13"/>
  <c r="V478" i="13"/>
  <c r="AC425" i="13"/>
  <c r="S388" i="13"/>
  <c r="V388" i="13"/>
  <c r="S472" i="13"/>
  <c r="V472" i="13"/>
  <c r="K381" i="13"/>
  <c r="AC526" i="13"/>
  <c r="AC437" i="13"/>
  <c r="S360" i="13"/>
  <c r="AI360" i="13" s="1"/>
  <c r="V360" i="13"/>
  <c r="AL360" i="13" s="1"/>
  <c r="S466" i="13"/>
  <c r="V466" i="13"/>
  <c r="AC525" i="13"/>
  <c r="AC468" i="13"/>
  <c r="AC453" i="13"/>
  <c r="AC567" i="13"/>
  <c r="AC588" i="13"/>
  <c r="S461" i="13"/>
  <c r="AI461" i="13" s="1"/>
  <c r="V461" i="13"/>
  <c r="AL461" i="13" s="1"/>
  <c r="S374" i="13"/>
  <c r="AI374" i="13" s="1"/>
  <c r="V374" i="13"/>
  <c r="AC379" i="13"/>
  <c r="AC465" i="13"/>
  <c r="L357" i="13"/>
  <c r="M357" i="13" s="1"/>
  <c r="AG353" i="13"/>
  <c r="L353" i="13"/>
  <c r="M353" i="13" s="1"/>
  <c r="K352" i="13"/>
  <c r="AX17" i="3"/>
  <c r="K320" i="13"/>
  <c r="AC408" i="13"/>
  <c r="AC524" i="13"/>
  <c r="S346" i="13"/>
  <c r="AI346" i="13" s="1"/>
  <c r="V346" i="13"/>
  <c r="AL346" i="13" s="1"/>
  <c r="AC556" i="13"/>
  <c r="S344" i="13"/>
  <c r="AI344" i="13" s="1"/>
  <c r="V344" i="13"/>
  <c r="AL344" i="13" s="1"/>
  <c r="S496" i="13"/>
  <c r="V496" i="13"/>
  <c r="AC560" i="13"/>
  <c r="AC457" i="13"/>
  <c r="AC486" i="13"/>
  <c r="S383" i="13"/>
  <c r="AI383" i="13" s="1"/>
  <c r="V383" i="13"/>
  <c r="AL383" i="13" s="1"/>
  <c r="S358" i="13"/>
  <c r="AI358" i="13" s="1"/>
  <c r="V358" i="13"/>
  <c r="AL358" i="13" s="1"/>
  <c r="AC480" i="13"/>
  <c r="S514" i="13"/>
  <c r="AI514" i="13" s="1"/>
  <c r="V514" i="13"/>
  <c r="S386" i="13"/>
  <c r="V386" i="13"/>
  <c r="AL386" i="13" s="1"/>
  <c r="K343" i="13"/>
  <c r="L378" i="13"/>
  <c r="M378" i="13" s="1"/>
  <c r="K342" i="13"/>
  <c r="AC463" i="13"/>
  <c r="AC489" i="13"/>
  <c r="S380" i="13"/>
  <c r="AI380" i="13" s="1"/>
  <c r="V380" i="13"/>
  <c r="AL380" i="13" s="1"/>
  <c r="S449" i="13"/>
  <c r="AI449" i="13" s="1"/>
  <c r="V449" i="13"/>
  <c r="AL449" i="13" s="1"/>
  <c r="S364" i="13"/>
  <c r="AI364" i="13" s="1"/>
  <c r="V364" i="13"/>
  <c r="S394" i="13"/>
  <c r="AI394" i="13" s="1"/>
  <c r="V394" i="13"/>
  <c r="AL394" i="13" s="1"/>
  <c r="AC570" i="13"/>
  <c r="L385" i="13"/>
  <c r="M385" i="13" s="1"/>
  <c r="S530" i="13"/>
  <c r="AI530" i="13" s="1"/>
  <c r="V530" i="13"/>
  <c r="AL530" i="13" s="1"/>
  <c r="S477" i="13"/>
  <c r="AI477" i="13" s="1"/>
  <c r="V477" i="13"/>
  <c r="AL477" i="13" s="1"/>
  <c r="AC599" i="13"/>
  <c r="AC407" i="13"/>
  <c r="S548" i="13"/>
  <c r="AI548" i="13" s="1"/>
  <c r="V548" i="13"/>
  <c r="AL548" i="13" s="1"/>
  <c r="L366" i="13"/>
  <c r="M366" i="13" s="1"/>
  <c r="S354" i="13"/>
  <c r="V354" i="13"/>
  <c r="S382" i="13"/>
  <c r="AI382" i="13" s="1"/>
  <c r="V382" i="13"/>
  <c r="AL382" i="13" s="1"/>
  <c r="S391" i="13"/>
  <c r="AI391" i="13" s="1"/>
  <c r="V391" i="13"/>
  <c r="AC470" i="13"/>
  <c r="S351" i="13"/>
  <c r="V351" i="13"/>
  <c r="S536" i="13"/>
  <c r="AI536" i="13" s="1"/>
  <c r="V536" i="13"/>
  <c r="S369" i="13"/>
  <c r="AI369" i="13" s="1"/>
  <c r="V369" i="13"/>
  <c r="AL369" i="13" s="1"/>
  <c r="S492" i="13"/>
  <c r="V492" i="13"/>
  <c r="S544" i="13"/>
  <c r="AI544" i="13" s="1"/>
  <c r="V544" i="13"/>
  <c r="S355" i="13"/>
  <c r="V355" i="13"/>
  <c r="AC508" i="13"/>
  <c r="S361" i="13"/>
  <c r="AI361" i="13" s="1"/>
  <c r="V361" i="13"/>
  <c r="AL361" i="13" s="1"/>
  <c r="AC591" i="13"/>
  <c r="AC422" i="13"/>
  <c r="AC411" i="13"/>
  <c r="AC482" i="13"/>
  <c r="AC501" i="13"/>
  <c r="AC445" i="13"/>
  <c r="AC431" i="13"/>
  <c r="AC584" i="13"/>
  <c r="AC586" i="13"/>
  <c r="S367" i="13"/>
  <c r="V367" i="13"/>
  <c r="AD222" i="13"/>
  <c r="AD290" i="13"/>
  <c r="AD279" i="13"/>
  <c r="AD311" i="13"/>
  <c r="AD264" i="13"/>
  <c r="AD232" i="13"/>
  <c r="AD310" i="13"/>
  <c r="AD306" i="13"/>
  <c r="AD296" i="13"/>
  <c r="AD265" i="13"/>
  <c r="AD237" i="13"/>
  <c r="AD285" i="13"/>
  <c r="AD269" i="13"/>
  <c r="AD283" i="13"/>
  <c r="AD231" i="13"/>
  <c r="AD273" i="13"/>
  <c r="AD298" i="13"/>
  <c r="AD299" i="13"/>
  <c r="AD267" i="13"/>
  <c r="AD286" i="13"/>
  <c r="AD284" i="13"/>
  <c r="AD271" i="13"/>
  <c r="AD305" i="13"/>
  <c r="AD272" i="13"/>
  <c r="AD301" i="13"/>
  <c r="AD262" i="13"/>
  <c r="AD309" i="13"/>
  <c r="AD278" i="13"/>
  <c r="AD258" i="13"/>
  <c r="AL411" i="13"/>
  <c r="AG411" i="13"/>
  <c r="Q44" i="22"/>
  <c r="X44" i="22" s="1"/>
  <c r="AE44" i="22" s="1"/>
  <c r="AM44" i="22" s="1"/>
  <c r="D45" i="22"/>
  <c r="AG502" i="13"/>
  <c r="AG486" i="13"/>
  <c r="AG468" i="13"/>
  <c r="AG479" i="13"/>
  <c r="AL486" i="13"/>
  <c r="AL468" i="13"/>
  <c r="AL479" i="13"/>
  <c r="AG399" i="13"/>
  <c r="AL399" i="13"/>
  <c r="AG439" i="13"/>
  <c r="AL502" i="13"/>
  <c r="AL493" i="13"/>
  <c r="AG493" i="13"/>
  <c r="AG444" i="13"/>
  <c r="AL488" i="13"/>
  <c r="AL439" i="13"/>
  <c r="AL435" i="13"/>
  <c r="AG477" i="13"/>
  <c r="AG435" i="13"/>
  <c r="AG397" i="13"/>
  <c r="A47" i="31"/>
  <c r="C47" i="31" s="1"/>
  <c r="A42" i="31"/>
  <c r="C42" i="31" s="1"/>
  <c r="AL397" i="13"/>
  <c r="A51" i="31"/>
  <c r="C51" i="31" s="1"/>
  <c r="A158" i="31"/>
  <c r="C158" i="31" s="1"/>
  <c r="AG432" i="13"/>
  <c r="AG452" i="13"/>
  <c r="AL396" i="13"/>
  <c r="AL452" i="13"/>
  <c r="AG396" i="13"/>
  <c r="A72" i="31"/>
  <c r="C72" i="31" s="1"/>
  <c r="AG488" i="13"/>
  <c r="AX12" i="3"/>
  <c r="A184" i="31"/>
  <c r="C184" i="31" s="1"/>
  <c r="AG436" i="13"/>
  <c r="AL436" i="13"/>
  <c r="AG425" i="13"/>
  <c r="A53" i="31"/>
  <c r="C53" i="31" s="1"/>
  <c r="A87" i="31"/>
  <c r="C87" i="31" s="1"/>
  <c r="A41" i="31"/>
  <c r="C41" i="31" s="1"/>
  <c r="A83" i="31"/>
  <c r="C83" i="31" s="1"/>
  <c r="A86" i="31"/>
  <c r="C86" i="31" s="1"/>
  <c r="A74" i="31"/>
  <c r="C74" i="31" s="1"/>
  <c r="A85" i="31"/>
  <c r="C85" i="31" s="1"/>
  <c r="AG394" i="13"/>
  <c r="A82" i="31"/>
  <c r="C82" i="31" s="1"/>
  <c r="AG489" i="13"/>
  <c r="DC174" i="3"/>
  <c r="A80" i="31"/>
  <c r="C80" i="31" s="1"/>
  <c r="A169" i="31"/>
  <c r="C169" i="31" s="1"/>
  <c r="AL489" i="13"/>
  <c r="A165" i="31"/>
  <c r="C165" i="31" s="1"/>
  <c r="AG420" i="13"/>
  <c r="AL420" i="13"/>
  <c r="A124" i="31"/>
  <c r="C124" i="31" s="1"/>
  <c r="AL425" i="13"/>
  <c r="A55" i="31"/>
  <c r="C55" i="31" s="1"/>
  <c r="BP278" i="3"/>
  <c r="AG375" i="13"/>
  <c r="BU21" i="3"/>
  <c r="DE21" i="3"/>
  <c r="AG482" i="13"/>
  <c r="AL482" i="13"/>
  <c r="BP285" i="3"/>
  <c r="A36" i="31"/>
  <c r="C36" i="31" s="1"/>
  <c r="AX35" i="3"/>
  <c r="AY35" i="3" s="1"/>
  <c r="BP57" i="3"/>
  <c r="BP274" i="3"/>
  <c r="BP208" i="3"/>
  <c r="BP126" i="3"/>
  <c r="BP237" i="3"/>
  <c r="BP247" i="3"/>
  <c r="BP164" i="3"/>
  <c r="DC96" i="3"/>
  <c r="CO96" i="3"/>
  <c r="R99" i="13" s="1"/>
  <c r="DC84" i="3"/>
  <c r="CO84" i="3"/>
  <c r="R87" i="13" s="1"/>
  <c r="BP100" i="3"/>
  <c r="BP256" i="3"/>
  <c r="BP271" i="3"/>
  <c r="DC99" i="3"/>
  <c r="CO99" i="3"/>
  <c r="R102" i="13" s="1"/>
  <c r="DC100" i="3"/>
  <c r="DJ100" i="3" s="1"/>
  <c r="CO100" i="3"/>
  <c r="R103" i="13" s="1"/>
  <c r="AX37" i="3"/>
  <c r="AY37" i="3" s="1"/>
  <c r="BP141" i="3"/>
  <c r="BP273" i="3"/>
  <c r="BP258" i="3"/>
  <c r="DC61" i="3"/>
  <c r="AH338" i="13"/>
  <c r="DC177" i="3"/>
  <c r="DC105" i="3"/>
  <c r="DC108" i="3"/>
  <c r="DC197" i="3"/>
  <c r="DJ197" i="3" s="1"/>
  <c r="DC200" i="3"/>
  <c r="DC176" i="3"/>
  <c r="DC111" i="3"/>
  <c r="DC191" i="3"/>
  <c r="DC196" i="3"/>
  <c r="DC112" i="3"/>
  <c r="DC167" i="3"/>
  <c r="CZ186" i="3"/>
  <c r="DC154" i="3"/>
  <c r="DC107" i="3"/>
  <c r="DC136" i="3"/>
  <c r="DC195" i="3"/>
  <c r="DC134" i="3"/>
  <c r="DC192" i="3"/>
  <c r="DJ192" i="3" s="1"/>
  <c r="DC163" i="3"/>
  <c r="CO151" i="3"/>
  <c r="R154" i="13" s="1"/>
  <c r="AV129" i="13"/>
  <c r="AP129" i="13" s="1"/>
  <c r="CO138" i="3"/>
  <c r="R141" i="13" s="1"/>
  <c r="CO186" i="3"/>
  <c r="R189" i="13" s="1"/>
  <c r="DC171" i="3"/>
  <c r="DC189" i="3"/>
  <c r="DC193" i="3"/>
  <c r="CO181" i="3"/>
  <c r="R184" i="13" s="1"/>
  <c r="CZ181" i="3"/>
  <c r="CZ170" i="3"/>
  <c r="CO170" i="3"/>
  <c r="R173" i="13" s="1"/>
  <c r="CO168" i="3"/>
  <c r="R171" i="13" s="1"/>
  <c r="CZ168" i="3"/>
  <c r="CO148" i="3"/>
  <c r="R151" i="13" s="1"/>
  <c r="CZ148" i="3"/>
  <c r="DJ144" i="3"/>
  <c r="CO144" i="3"/>
  <c r="R147" i="13" s="1"/>
  <c r="AV147" i="13"/>
  <c r="CZ144" i="3"/>
  <c r="DC152" i="3"/>
  <c r="DC149" i="3"/>
  <c r="CZ151" i="3"/>
  <c r="CO146" i="3"/>
  <c r="R149" i="13" s="1"/>
  <c r="AV149" i="13"/>
  <c r="DC137" i="3"/>
  <c r="CZ138" i="3"/>
  <c r="DJ135" i="3"/>
  <c r="CZ135" i="3"/>
  <c r="AV138" i="13"/>
  <c r="CO135" i="3"/>
  <c r="R138" i="13" s="1"/>
  <c r="CO143" i="3"/>
  <c r="R146" i="13" s="1"/>
  <c r="CZ143" i="3"/>
  <c r="DJ130" i="3"/>
  <c r="CZ130" i="3"/>
  <c r="CO130" i="3"/>
  <c r="R133" i="13" s="1"/>
  <c r="AV133" i="13"/>
  <c r="AM133" i="13" s="1"/>
  <c r="DC129" i="3"/>
  <c r="DC128" i="3"/>
  <c r="A126" i="31"/>
  <c r="C126" i="31" s="1"/>
  <c r="CZ126" i="3"/>
  <c r="CO126" i="3"/>
  <c r="R129" i="13" s="1"/>
  <c r="DJ132" i="3"/>
  <c r="CZ132" i="3"/>
  <c r="AV135" i="13"/>
  <c r="CO132" i="3"/>
  <c r="R135" i="13" s="1"/>
  <c r="DC110" i="3"/>
  <c r="DC113" i="3"/>
  <c r="AG415" i="13"/>
  <c r="AL415" i="13"/>
  <c r="DC104" i="3"/>
  <c r="CZ109" i="3"/>
  <c r="CO109" i="3"/>
  <c r="R112" i="13" s="1"/>
  <c r="AV103" i="13"/>
  <c r="AX11" i="3"/>
  <c r="AY11" i="3" s="1"/>
  <c r="BP200" i="3"/>
  <c r="BP242" i="3"/>
  <c r="BP204" i="3"/>
  <c r="BP222" i="3"/>
  <c r="BP211" i="3"/>
  <c r="BU28" i="3"/>
  <c r="BU43" i="3"/>
  <c r="EU147" i="3"/>
  <c r="EU94" i="3"/>
  <c r="EU48" i="3"/>
  <c r="EU149" i="3"/>
  <c r="EU110" i="3"/>
  <c r="EU268" i="3"/>
  <c r="EU102" i="3"/>
  <c r="EU182" i="3"/>
  <c r="EU113" i="3"/>
  <c r="EU82" i="3"/>
  <c r="BU33" i="3"/>
  <c r="BU20" i="3"/>
  <c r="BU78" i="3"/>
  <c r="BU14" i="3"/>
  <c r="EU165" i="3"/>
  <c r="EU93" i="3"/>
  <c r="EU161" i="3"/>
  <c r="EU179" i="3"/>
  <c r="EU155" i="3"/>
  <c r="EU67" i="3"/>
  <c r="EU95" i="3"/>
  <c r="EU184" i="3"/>
  <c r="EU162" i="3"/>
  <c r="EU269" i="3"/>
  <c r="EU234" i="3"/>
  <c r="EU219" i="3"/>
  <c r="EU104" i="3"/>
  <c r="EU308" i="3"/>
  <c r="EU293" i="3"/>
  <c r="EU283" i="3"/>
  <c r="EU160" i="3"/>
  <c r="EU103" i="3"/>
  <c r="EU175" i="3"/>
  <c r="EU280" i="3"/>
  <c r="EU137" i="3"/>
  <c r="EU169" i="3"/>
  <c r="BU18" i="3"/>
  <c r="EU98" i="3"/>
  <c r="EU270" i="3"/>
  <c r="EU181" i="3"/>
  <c r="EU128" i="3"/>
  <c r="EU168" i="3"/>
  <c r="EU302" i="3"/>
  <c r="EU261" i="3"/>
  <c r="BU32" i="3"/>
  <c r="BU29" i="3"/>
  <c r="BU26" i="3"/>
  <c r="BU63" i="3"/>
  <c r="BU54" i="3"/>
  <c r="BU49" i="3"/>
  <c r="EU306" i="3"/>
  <c r="EU127" i="3"/>
  <c r="EU178" i="3"/>
  <c r="EU89" i="3"/>
  <c r="EU228" i="3"/>
  <c r="EU152" i="3"/>
  <c r="EU287" i="3"/>
  <c r="EU183" i="3"/>
  <c r="EU255" i="3"/>
  <c r="BU30" i="3"/>
  <c r="BU19" i="3"/>
  <c r="BU40" i="3"/>
  <c r="BU36" i="3"/>
  <c r="BU39" i="3"/>
  <c r="EU229" i="3"/>
  <c r="EU264" i="3"/>
  <c r="EU68" i="3"/>
  <c r="EU266" i="3"/>
  <c r="EU298" i="3"/>
  <c r="EU180" i="3"/>
  <c r="EU281" i="3"/>
  <c r="EU194" i="3"/>
  <c r="EU177" i="3"/>
  <c r="BU35" i="3"/>
  <c r="BU75" i="3"/>
  <c r="BU74" i="3"/>
  <c r="EU307" i="3"/>
  <c r="EU296" i="3"/>
  <c r="EU70" i="3"/>
  <c r="EU275" i="3"/>
  <c r="EU262" i="3"/>
  <c r="EU295" i="3"/>
  <c r="EU198" i="3"/>
  <c r="EU282" i="3"/>
  <c r="EU97" i="3"/>
  <c r="EU276" i="3"/>
  <c r="BU23" i="3"/>
  <c r="BU59" i="3"/>
  <c r="BU37" i="3"/>
  <c r="BU38" i="3"/>
  <c r="EU159" i="3"/>
  <c r="EU171" i="3"/>
  <c r="EU64" i="3"/>
  <c r="EU193" i="3"/>
  <c r="EU303" i="3"/>
  <c r="EU166" i="3"/>
  <c r="EU259" i="3"/>
  <c r="AG530" i="13"/>
  <c r="A67" i="31"/>
  <c r="C67" i="31" s="1"/>
  <c r="AG365" i="13"/>
  <c r="AG360" i="13"/>
  <c r="DC55" i="3"/>
  <c r="R45" i="22"/>
  <c r="Y45" i="22" s="1"/>
  <c r="AF45" i="22" s="1"/>
  <c r="AN45" i="22" s="1"/>
  <c r="E46" i="22"/>
  <c r="T45" i="22"/>
  <c r="AA45" i="22" s="1"/>
  <c r="AH45" i="22" s="1"/>
  <c r="AP45" i="22" s="1"/>
  <c r="G46" i="22"/>
  <c r="S45" i="22"/>
  <c r="Z45" i="22" s="1"/>
  <c r="AG45" i="22" s="1"/>
  <c r="F46" i="22"/>
  <c r="W45" i="22"/>
  <c r="AD45" i="22" s="1"/>
  <c r="C46" i="22"/>
  <c r="P46" i="22" s="1"/>
  <c r="AG370" i="13"/>
  <c r="DC71" i="3"/>
  <c r="A66" i="31"/>
  <c r="C66" i="31" s="1"/>
  <c r="A50" i="31"/>
  <c r="C50" i="31" s="1"/>
  <c r="AG427" i="13"/>
  <c r="CL50" i="3"/>
  <c r="DC82" i="3"/>
  <c r="AL427" i="13"/>
  <c r="A37" i="31"/>
  <c r="C37" i="31" s="1"/>
  <c r="A76" i="31"/>
  <c r="C76" i="31" s="1"/>
  <c r="DE14" i="3"/>
  <c r="AL379" i="13"/>
  <c r="AG379" i="13"/>
  <c r="DJ274" i="3"/>
  <c r="DJ222" i="3"/>
  <c r="DJ235" i="3"/>
  <c r="AG384" i="13"/>
  <c r="DE49" i="3"/>
  <c r="A45" i="31"/>
  <c r="C45" i="31" s="1"/>
  <c r="A39" i="31"/>
  <c r="C39" i="31" s="1"/>
  <c r="DE39" i="3"/>
  <c r="CL39" i="3"/>
  <c r="DE54" i="3"/>
  <c r="CL54" i="3"/>
  <c r="AX74" i="3"/>
  <c r="AY74" i="3" s="1"/>
  <c r="DE75" i="3"/>
  <c r="DE74" i="3"/>
  <c r="AX75" i="3"/>
  <c r="AY75" i="3" s="1"/>
  <c r="DE38" i="3"/>
  <c r="AG368" i="13"/>
  <c r="AG346" i="13"/>
  <c r="AG363" i="13"/>
  <c r="DE78" i="3"/>
  <c r="AG386" i="13"/>
  <c r="AG344" i="13"/>
  <c r="DE59" i="3"/>
  <c r="CL59" i="3"/>
  <c r="DE63" i="3"/>
  <c r="CL63" i="3"/>
  <c r="DE40" i="3"/>
  <c r="DE43" i="3"/>
  <c r="CL43" i="3"/>
  <c r="DC52" i="3"/>
  <c r="DE35" i="3"/>
  <c r="DE36" i="3"/>
  <c r="DE37" i="3"/>
  <c r="A48" i="31"/>
  <c r="C48" i="31" s="1"/>
  <c r="A46" i="31"/>
  <c r="C46" i="31" s="1"/>
  <c r="DE11" i="3"/>
  <c r="AL376" i="13"/>
  <c r="AG376" i="13"/>
  <c r="AG359" i="13"/>
  <c r="CD119" i="3"/>
  <c r="DH119" i="3" s="1"/>
  <c r="AG380" i="13"/>
  <c r="AX18" i="3"/>
  <c r="DE26" i="3"/>
  <c r="AX13" i="3"/>
  <c r="AL422" i="13"/>
  <c r="AG422" i="13"/>
  <c r="AG424" i="13"/>
  <c r="AL424" i="13"/>
  <c r="AG361" i="13"/>
  <c r="AG495" i="13"/>
  <c r="AI495" i="13"/>
  <c r="AI421" i="13"/>
  <c r="DE30" i="3"/>
  <c r="DE19" i="3"/>
  <c r="DE23" i="3"/>
  <c r="DE33" i="3"/>
  <c r="DE18" i="3"/>
  <c r="DE28" i="3"/>
  <c r="DE20" i="3"/>
  <c r="DE12" i="3"/>
  <c r="DE32" i="3"/>
  <c r="DE29" i="3"/>
  <c r="AG358" i="13"/>
  <c r="AG421" i="13"/>
  <c r="AG369" i="13"/>
  <c r="AL421" i="13"/>
  <c r="AQ570" i="13"/>
  <c r="A57" i="31"/>
  <c r="C57" i="31" s="1"/>
  <c r="AX33" i="3"/>
  <c r="AY33" i="3" s="1"/>
  <c r="AX30" i="3"/>
  <c r="AX19" i="3"/>
  <c r="AX20" i="3"/>
  <c r="AX34" i="3"/>
  <c r="AY34" i="3" s="1"/>
  <c r="DC79" i="3"/>
  <c r="DC68" i="3"/>
  <c r="DC67" i="3"/>
  <c r="DC64" i="3"/>
  <c r="DC60" i="3"/>
  <c r="DC58" i="3"/>
  <c r="DC56" i="3"/>
  <c r="CD120" i="3"/>
  <c r="AL495" i="13"/>
  <c r="AQ423" i="13"/>
  <c r="CE120" i="3"/>
  <c r="CR242" i="3"/>
  <c r="AN225" i="13"/>
  <c r="AK245" i="13"/>
  <c r="AG245" i="13"/>
  <c r="AP245" i="13"/>
  <c r="AN245" i="13"/>
  <c r="AM245" i="13"/>
  <c r="DC178" i="3"/>
  <c r="AH244" i="13"/>
  <c r="AR244" i="13" s="1"/>
  <c r="AG225" i="13"/>
  <c r="AP225" i="13"/>
  <c r="AL23" i="22"/>
  <c r="AH248" i="13"/>
  <c r="AR248" i="13" s="1"/>
  <c r="AH249" i="13"/>
  <c r="AR249" i="13" s="1"/>
  <c r="AH250" i="13"/>
  <c r="AR250" i="13" s="1"/>
  <c r="AH277" i="13"/>
  <c r="CR205" i="3"/>
  <c r="CR236" i="3"/>
  <c r="AH243" i="13"/>
  <c r="AR243" i="13" s="1"/>
  <c r="DJ247" i="3"/>
  <c r="DC162" i="3"/>
  <c r="EL242" i="3"/>
  <c r="AV233" i="13"/>
  <c r="AK233" i="13" s="1"/>
  <c r="CR230" i="3"/>
  <c r="AM225" i="13"/>
  <c r="AL225" i="13"/>
  <c r="AV307" i="13"/>
  <c r="CR304" i="3"/>
  <c r="AV303" i="13"/>
  <c r="CR300" i="3"/>
  <c r="AP277" i="13"/>
  <c r="AG277" i="13"/>
  <c r="AK277" i="13"/>
  <c r="AN277" i="13"/>
  <c r="AM277" i="13"/>
  <c r="AL277" i="13"/>
  <c r="AV291" i="13"/>
  <c r="CR288" i="3"/>
  <c r="AV288" i="13"/>
  <c r="CR285" i="3"/>
  <c r="AV300" i="13"/>
  <c r="CR297" i="3"/>
  <c r="AV256" i="13"/>
  <c r="AV260" i="13"/>
  <c r="CR257" i="3"/>
  <c r="AV265" i="13"/>
  <c r="AV269" i="13"/>
  <c r="EL240" i="3"/>
  <c r="DC169" i="3"/>
  <c r="DC161" i="3"/>
  <c r="DC179" i="3"/>
  <c r="DC159" i="3"/>
  <c r="DC182" i="3"/>
  <c r="DC160" i="3"/>
  <c r="AV252" i="13"/>
  <c r="EL245" i="3"/>
  <c r="CG245" i="3"/>
  <c r="AV246" i="13"/>
  <c r="CG240" i="3"/>
  <c r="AV240" i="13"/>
  <c r="AP239" i="13"/>
  <c r="AK239" i="13"/>
  <c r="AG239" i="13"/>
  <c r="AL239" i="13"/>
  <c r="AM239" i="13"/>
  <c r="AN239" i="13"/>
  <c r="DJ236" i="3"/>
  <c r="AH238" i="13"/>
  <c r="CR235" i="3"/>
  <c r="AK238" i="13"/>
  <c r="AM238" i="13"/>
  <c r="AG238" i="13"/>
  <c r="AL238" i="13"/>
  <c r="AP238" i="13"/>
  <c r="AN238" i="13"/>
  <c r="AV221" i="13"/>
  <c r="CR218" i="3"/>
  <c r="AP70" i="5"/>
  <c r="AU70" i="5" s="1"/>
  <c r="AU409" i="5" s="1"/>
  <c r="AF70" i="5"/>
  <c r="AN70" i="5"/>
  <c r="AM208" i="13"/>
  <c r="AG208" i="13"/>
  <c r="AP208" i="13"/>
  <c r="AG207" i="13"/>
  <c r="AK207" i="13"/>
  <c r="AN207" i="13"/>
  <c r="AM207" i="13"/>
  <c r="AM212" i="13"/>
  <c r="AL208" i="13"/>
  <c r="AN208" i="13"/>
  <c r="AN212" i="13"/>
  <c r="AL212" i="13"/>
  <c r="AG212" i="13"/>
  <c r="AK212" i="13"/>
  <c r="AP212" i="13"/>
  <c r="CR209" i="3"/>
  <c r="AL207" i="13"/>
  <c r="AH207" i="13"/>
  <c r="DJ204" i="3"/>
  <c r="DJ211" i="3"/>
  <c r="AV219" i="13"/>
  <c r="AO215" i="13"/>
  <c r="AO216" i="13"/>
  <c r="AV213" i="13"/>
  <c r="AV210" i="13"/>
  <c r="AV206" i="13"/>
  <c r="CR203" i="3"/>
  <c r="AV184" i="13"/>
  <c r="AP184" i="13" s="1"/>
  <c r="AV198" i="13"/>
  <c r="AV173" i="13"/>
  <c r="AV186" i="13"/>
  <c r="AV171" i="13"/>
  <c r="AV146" i="13"/>
  <c r="AV141" i="13"/>
  <c r="A26" i="31"/>
  <c r="C26" i="31" s="1"/>
  <c r="AX32" i="3"/>
  <c r="AY32" i="3" s="1"/>
  <c r="AX31" i="3"/>
  <c r="AY31" i="3" s="1"/>
  <c r="AH319" i="13"/>
  <c r="CD214" i="3"/>
  <c r="CD233" i="3"/>
  <c r="BA233" i="3" s="1"/>
  <c r="BR233" i="3" s="1"/>
  <c r="CD123" i="3"/>
  <c r="CD232" i="3"/>
  <c r="CD213" i="3"/>
  <c r="AQ426" i="13"/>
  <c r="AQ564" i="13"/>
  <c r="AQ494" i="13"/>
  <c r="AQ608" i="13"/>
  <c r="AQ573" i="13"/>
  <c r="AQ433" i="13"/>
  <c r="AQ447" i="13"/>
  <c r="AQ418" i="13"/>
  <c r="AQ512" i="13"/>
  <c r="AQ429" i="13"/>
  <c r="AQ529" i="13"/>
  <c r="CE232" i="3"/>
  <c r="AQ438" i="13"/>
  <c r="AQ431" i="13"/>
  <c r="AQ609" i="13"/>
  <c r="AQ587" i="13"/>
  <c r="AQ467" i="13"/>
  <c r="AQ401" i="13"/>
  <c r="AQ464" i="13"/>
  <c r="AQ404" i="13"/>
  <c r="CE213" i="3"/>
  <c r="AQ586" i="13"/>
  <c r="AQ517" i="13"/>
  <c r="AQ556" i="13"/>
  <c r="AQ594" i="13"/>
  <c r="AQ588" i="13"/>
  <c r="AQ526" i="13"/>
  <c r="AQ535" i="13"/>
  <c r="AQ568" i="13"/>
  <c r="AI407" i="13"/>
  <c r="AQ407" i="13" s="1"/>
  <c r="AI503" i="13"/>
  <c r="AQ575" i="13"/>
  <c r="AQ457" i="13"/>
  <c r="AQ504" i="13"/>
  <c r="AQ497" i="13"/>
  <c r="AQ501" i="13"/>
  <c r="AQ400" i="13"/>
  <c r="AQ484" i="13"/>
  <c r="AQ437" i="13"/>
  <c r="AI402" i="13"/>
  <c r="AQ528" i="13"/>
  <c r="AQ387" i="13"/>
  <c r="AQ485" i="13"/>
  <c r="AI465" i="13"/>
  <c r="AQ465" i="13" s="1"/>
  <c r="AL480" i="13"/>
  <c r="AQ523" i="13"/>
  <c r="AL576" i="13"/>
  <c r="AQ542" i="13"/>
  <c r="AQ412" i="13"/>
  <c r="AQ513" i="13"/>
  <c r="AQ590" i="13"/>
  <c r="AQ569" i="13"/>
  <c r="AQ516" i="13"/>
  <c r="AQ459" i="13"/>
  <c r="AI397" i="13"/>
  <c r="AI428" i="13"/>
  <c r="AI398" i="13"/>
  <c r="AQ398" i="13" s="1"/>
  <c r="AQ579" i="13"/>
  <c r="CD115" i="3"/>
  <c r="DH115" i="3" s="1"/>
  <c r="AQ574" i="13"/>
  <c r="AI480" i="13"/>
  <c r="AI405" i="13"/>
  <c r="AQ405" i="13" s="1"/>
  <c r="AQ481" i="13"/>
  <c r="AQ562" i="13"/>
  <c r="AQ450" i="13"/>
  <c r="AQ527" i="13"/>
  <c r="AI520" i="13"/>
  <c r="AL444" i="13"/>
  <c r="AQ580" i="13"/>
  <c r="AQ591" i="13"/>
  <c r="AQ445" i="13"/>
  <c r="AL581" i="13"/>
  <c r="AQ581" i="13" s="1"/>
  <c r="AL598" i="13"/>
  <c r="AQ598" i="13" s="1"/>
  <c r="AQ505" i="13"/>
  <c r="AQ416" i="13"/>
  <c r="AI606" i="13"/>
  <c r="AI411" i="13"/>
  <c r="AI442" i="13"/>
  <c r="AQ442" i="13" s="1"/>
  <c r="AQ521" i="13"/>
  <c r="AL500" i="13"/>
  <c r="AQ500" i="13" s="1"/>
  <c r="AL451" i="13"/>
  <c r="AQ451" i="13" s="1"/>
  <c r="AI499" i="13"/>
  <c r="AQ499" i="13" s="1"/>
  <c r="AQ487" i="13"/>
  <c r="AQ559" i="13"/>
  <c r="AQ538" i="13"/>
  <c r="AQ553" i="13"/>
  <c r="AQ463" i="13"/>
  <c r="AQ551" i="13"/>
  <c r="AQ604" i="13"/>
  <c r="AI392" i="13"/>
  <c r="CE233" i="3"/>
  <c r="AQ413" i="13"/>
  <c r="AQ539" i="13"/>
  <c r="AQ498" i="13"/>
  <c r="AQ532" i="13"/>
  <c r="CD215" i="3"/>
  <c r="AQ552" i="13"/>
  <c r="CD221" i="3"/>
  <c r="BA221" i="3" s="1"/>
  <c r="BR221" i="3" s="1"/>
  <c r="CD116" i="3"/>
  <c r="DH116" i="3" s="1"/>
  <c r="AQ511" i="13"/>
  <c r="AQ403" i="13"/>
  <c r="AQ490" i="13"/>
  <c r="CE114" i="3"/>
  <c r="CD226" i="3"/>
  <c r="AQ571" i="13"/>
  <c r="AQ406" i="13"/>
  <c r="AL508" i="13"/>
  <c r="AQ508" i="13" s="1"/>
  <c r="CD220" i="3"/>
  <c r="AQ419" i="13"/>
  <c r="AQ577" i="13"/>
  <c r="AQ483" i="13"/>
  <c r="AQ475" i="13"/>
  <c r="AQ410" i="13"/>
  <c r="AQ434" i="13"/>
  <c r="AQ515" i="13"/>
  <c r="AQ545" i="13"/>
  <c r="AQ440" i="13"/>
  <c r="AQ600" i="13"/>
  <c r="AQ460" i="13"/>
  <c r="AQ446" i="13"/>
  <c r="AQ537" i="13"/>
  <c r="AQ543" i="13"/>
  <c r="AQ524" i="13"/>
  <c r="AQ541" i="13"/>
  <c r="AQ393" i="13"/>
  <c r="AQ417" i="13"/>
  <c r="AQ414" i="13"/>
  <c r="AQ454" i="13"/>
  <c r="AQ453" i="13"/>
  <c r="AQ584" i="13"/>
  <c r="AQ531" i="13"/>
  <c r="AI415" i="13"/>
  <c r="AQ455" i="13"/>
  <c r="CE116" i="3"/>
  <c r="AQ408" i="13"/>
  <c r="AQ510" i="13"/>
  <c r="AQ561" i="13"/>
  <c r="AQ567" i="13"/>
  <c r="AQ476" i="13"/>
  <c r="AQ474" i="13"/>
  <c r="AQ595" i="13"/>
  <c r="CE212" i="3"/>
  <c r="AQ409" i="13"/>
  <c r="AQ458" i="13"/>
  <c r="AQ518" i="13"/>
  <c r="AQ558" i="13"/>
  <c r="AQ430" i="13"/>
  <c r="AQ592" i="13"/>
  <c r="AQ546" i="13"/>
  <c r="AQ491" i="13"/>
  <c r="CD212" i="3"/>
  <c r="AQ441" i="13"/>
  <c r="AQ540" i="13"/>
  <c r="AQ563" i="13"/>
  <c r="AQ470" i="13"/>
  <c r="AQ599" i="13"/>
  <c r="AQ560" i="13"/>
  <c r="AQ525" i="13"/>
  <c r="AQ471" i="13"/>
  <c r="AQ554" i="13"/>
  <c r="AQ547" i="13"/>
  <c r="CD114" i="3"/>
  <c r="AQ597" i="13"/>
  <c r="T32" i="20"/>
  <c r="T34" i="20"/>
  <c r="T40" i="20"/>
  <c r="AY30" i="3" l="1"/>
  <c r="Q333" i="13" s="1"/>
  <c r="CN48" i="3"/>
  <c r="DC48" i="3" s="1"/>
  <c r="CV48" i="3" s="1"/>
  <c r="DA48" i="3" s="1"/>
  <c r="BV41" i="3"/>
  <c r="CY41" i="3" s="1"/>
  <c r="AG329" i="13"/>
  <c r="M330" i="13"/>
  <c r="Q330" i="13"/>
  <c r="S330" i="13" s="1"/>
  <c r="AI330" i="13" s="1"/>
  <c r="M325" i="13"/>
  <c r="M314" i="13"/>
  <c r="Q314" i="13"/>
  <c r="S314" i="13" s="1"/>
  <c r="AI314" i="13" s="1"/>
  <c r="AY17" i="3"/>
  <c r="AY19" i="3"/>
  <c r="AY20" i="3"/>
  <c r="Q323" i="13" s="1"/>
  <c r="AH328" i="13"/>
  <c r="AH327" i="13"/>
  <c r="CJ49" i="3"/>
  <c r="BO49" i="3" s="1"/>
  <c r="CJ39" i="3"/>
  <c r="BO39" i="3" s="1"/>
  <c r="CJ43" i="3"/>
  <c r="BO43" i="3" s="1"/>
  <c r="BU16" i="3"/>
  <c r="BW16" i="3"/>
  <c r="BY16" i="3"/>
  <c r="DE16" i="3"/>
  <c r="M323" i="13"/>
  <c r="AY18" i="3"/>
  <c r="Q321" i="13" s="1"/>
  <c r="M322" i="13"/>
  <c r="S322" i="13"/>
  <c r="AY13" i="3"/>
  <c r="Q316" i="13" s="1"/>
  <c r="AY12" i="3"/>
  <c r="Q315" i="13" s="1"/>
  <c r="AY10" i="3"/>
  <c r="Q313" i="13" s="1"/>
  <c r="R313" i="13" s="1"/>
  <c r="A40" i="31"/>
  <c r="C40" i="31" s="1"/>
  <c r="ES45" i="3"/>
  <c r="L349" i="13"/>
  <c r="M349" i="13" s="1"/>
  <c r="AG350" i="13"/>
  <c r="L350" i="13"/>
  <c r="M350" i="13" s="1"/>
  <c r="L348" i="13"/>
  <c r="M348" i="13" s="1"/>
  <c r="L347" i="13"/>
  <c r="M347" i="13" s="1"/>
  <c r="BZ14" i="3"/>
  <c r="A9" i="31" s="1"/>
  <c r="C9" i="31" s="1"/>
  <c r="L318" i="13"/>
  <c r="Q318" i="13" s="1"/>
  <c r="CA15" i="3"/>
  <c r="ES15" i="3" s="1"/>
  <c r="EU71" i="3"/>
  <c r="EU58" i="3"/>
  <c r="EU88" i="3"/>
  <c r="EU60" i="3"/>
  <c r="EU41" i="3"/>
  <c r="EU90" i="3"/>
  <c r="EU189" i="3"/>
  <c r="EU53" i="3"/>
  <c r="EU87" i="3"/>
  <c r="EU174" i="3"/>
  <c r="EU79" i="3"/>
  <c r="EU163" i="3"/>
  <c r="EU170" i="3"/>
  <c r="EU51" i="3"/>
  <c r="EU129" i="3"/>
  <c r="EU85" i="3"/>
  <c r="EU91" i="3"/>
  <c r="EU131" i="3"/>
  <c r="EU55" i="3"/>
  <c r="EU92" i="3"/>
  <c r="EU56" i="3"/>
  <c r="EU52" i="3"/>
  <c r="AO45" i="22"/>
  <c r="ET43" i="3"/>
  <c r="ES43" i="3"/>
  <c r="ET32" i="3"/>
  <c r="ES32" i="3"/>
  <c r="ET23" i="3"/>
  <c r="ES23" i="3"/>
  <c r="ES14" i="3"/>
  <c r="ET14" i="3"/>
  <c r="ET22" i="3"/>
  <c r="ES22" i="3"/>
  <c r="ET49" i="3"/>
  <c r="ES49" i="3"/>
  <c r="ET33" i="3"/>
  <c r="ES33" i="3"/>
  <c r="ET39" i="3"/>
  <c r="ES39" i="3"/>
  <c r="ET30" i="3"/>
  <c r="ES30" i="3"/>
  <c r="ES12" i="3"/>
  <c r="ET12" i="3"/>
  <c r="AC373" i="13"/>
  <c r="S331" i="13"/>
  <c r="AI331" i="13" s="1"/>
  <c r="L339" i="13"/>
  <c r="M339" i="13" s="1"/>
  <c r="S337" i="13"/>
  <c r="L341" i="13"/>
  <c r="M341" i="13" s="1"/>
  <c r="V340" i="13"/>
  <c r="S336" i="13"/>
  <c r="AQ533" i="13"/>
  <c r="AC392" i="13"/>
  <c r="L332" i="13"/>
  <c r="S335" i="13"/>
  <c r="S334" i="13"/>
  <c r="V331" i="13"/>
  <c r="AL331" i="13" s="1"/>
  <c r="A17" i="31"/>
  <c r="C17" i="31" s="1"/>
  <c r="AQ572" i="13"/>
  <c r="AQ550" i="13"/>
  <c r="AQ602" i="13"/>
  <c r="AC602" i="13"/>
  <c r="L324" i="13"/>
  <c r="AC550" i="13"/>
  <c r="AC572" i="13"/>
  <c r="AQ582" i="13"/>
  <c r="AC533" i="13"/>
  <c r="AQ372" i="13"/>
  <c r="AC557" i="13"/>
  <c r="AQ601" i="13"/>
  <c r="AQ519" i="13"/>
  <c r="AC601" i="13"/>
  <c r="AC519" i="13"/>
  <c r="V326" i="13"/>
  <c r="AC326" i="13" s="1"/>
  <c r="AQ610" i="13"/>
  <c r="L317" i="13"/>
  <c r="Q317" i="13" s="1"/>
  <c r="L328" i="13"/>
  <c r="L329" i="13"/>
  <c r="M329" i="13" s="1"/>
  <c r="L327" i="13"/>
  <c r="V319" i="13"/>
  <c r="AL319" i="13" s="1"/>
  <c r="AQ456" i="13"/>
  <c r="AQ593" i="13"/>
  <c r="AC593" i="13"/>
  <c r="AQ583" i="13"/>
  <c r="AQ565" i="13"/>
  <c r="AC583" i="13"/>
  <c r="AQ557" i="13"/>
  <c r="AQ607" i="13"/>
  <c r="AQ611" i="13"/>
  <c r="AC611" i="13"/>
  <c r="AQ576" i="13"/>
  <c r="AC576" i="13"/>
  <c r="AC607" i="13"/>
  <c r="AC582" i="13"/>
  <c r="AC565" i="13"/>
  <c r="AQ578" i="13"/>
  <c r="AC578" i="13"/>
  <c r="AQ566" i="13"/>
  <c r="AC566" i="13"/>
  <c r="AQ596" i="13"/>
  <c r="AC596" i="13"/>
  <c r="S522" i="13"/>
  <c r="AI522" i="13" s="1"/>
  <c r="AG522" i="13"/>
  <c r="V522" i="13"/>
  <c r="AL522" i="13" s="1"/>
  <c r="AC589" i="13"/>
  <c r="AQ449" i="13"/>
  <c r="AI589" i="13"/>
  <c r="AQ534" i="13"/>
  <c r="AQ506" i="13"/>
  <c r="AC506" i="13"/>
  <c r="AQ395" i="13"/>
  <c r="AQ382" i="13"/>
  <c r="AQ548" i="13"/>
  <c r="AQ473" i="13"/>
  <c r="AC478" i="13"/>
  <c r="AQ461" i="13"/>
  <c r="AQ603" i="13"/>
  <c r="AC610" i="13"/>
  <c r="AQ549" i="13"/>
  <c r="AC603" i="13"/>
  <c r="AC534" i="13"/>
  <c r="AC375" i="13"/>
  <c r="AC363" i="13"/>
  <c r="AC469" i="13"/>
  <c r="AC370" i="13"/>
  <c r="AQ383" i="13"/>
  <c r="AL370" i="13"/>
  <c r="AQ370" i="13" s="1"/>
  <c r="AC390" i="13"/>
  <c r="AC346" i="13"/>
  <c r="AC432" i="13"/>
  <c r="AQ411" i="13"/>
  <c r="AC391" i="13"/>
  <c r="AC477" i="13"/>
  <c r="AC368" i="13"/>
  <c r="AC359" i="13"/>
  <c r="AC386" i="13"/>
  <c r="AC344" i="13"/>
  <c r="AC472" i="13"/>
  <c r="AC462" i="13"/>
  <c r="AC358" i="13"/>
  <c r="AC354" i="13"/>
  <c r="AC548" i="13"/>
  <c r="AC388" i="13"/>
  <c r="AC345" i="13"/>
  <c r="AC473" i="13"/>
  <c r="AC367" i="13"/>
  <c r="AC356" i="13"/>
  <c r="AC492" i="13"/>
  <c r="AC380" i="13"/>
  <c r="AL368" i="13"/>
  <c r="AQ368" i="13" s="1"/>
  <c r="AC360" i="13"/>
  <c r="AC466" i="13"/>
  <c r="AC361" i="13"/>
  <c r="AC530" i="13"/>
  <c r="AL375" i="13"/>
  <c r="AQ375" i="13" s="1"/>
  <c r="AC382" i="13"/>
  <c r="S385" i="13"/>
  <c r="AI385" i="13" s="1"/>
  <c r="V385" i="13"/>
  <c r="AG385" i="13"/>
  <c r="L381" i="13"/>
  <c r="M381" i="13" s="1"/>
  <c r="AC384" i="13"/>
  <c r="AC549" i="13"/>
  <c r="AC544" i="13"/>
  <c r="AL544" i="13"/>
  <c r="AQ544" i="13" s="1"/>
  <c r="AC374" i="13"/>
  <c r="AL374" i="13"/>
  <c r="AQ374" i="13" s="1"/>
  <c r="AC449" i="13"/>
  <c r="S353" i="13"/>
  <c r="AI353" i="13" s="1"/>
  <c r="V353" i="13"/>
  <c r="S339" i="13"/>
  <c r="AI339" i="13" s="1"/>
  <c r="V339" i="13"/>
  <c r="AL339" i="13" s="1"/>
  <c r="AC371" i="13"/>
  <c r="AL371" i="13"/>
  <c r="AQ371" i="13" s="1"/>
  <c r="S341" i="13"/>
  <c r="V341" i="13"/>
  <c r="AC355" i="13"/>
  <c r="AC369" i="13"/>
  <c r="AC351" i="13"/>
  <c r="L342" i="13"/>
  <c r="M342" i="13" s="1"/>
  <c r="AC496" i="13"/>
  <c r="S329" i="13"/>
  <c r="AI329" i="13" s="1"/>
  <c r="V329" i="13"/>
  <c r="AL329" i="13" s="1"/>
  <c r="S357" i="13"/>
  <c r="V357" i="13"/>
  <c r="S362" i="13"/>
  <c r="V362" i="13"/>
  <c r="AC507" i="13"/>
  <c r="AL507" i="13"/>
  <c r="AQ507" i="13" s="1"/>
  <c r="S347" i="13"/>
  <c r="AI347" i="13" s="1"/>
  <c r="V347" i="13"/>
  <c r="AL347" i="13" s="1"/>
  <c r="AC394" i="13"/>
  <c r="L320" i="13"/>
  <c r="Q320" i="13" s="1"/>
  <c r="AC389" i="13"/>
  <c r="AL389" i="13"/>
  <c r="AQ389" i="13" s="1"/>
  <c r="S366" i="13"/>
  <c r="AI366" i="13" s="1"/>
  <c r="V366" i="13"/>
  <c r="AL366" i="13" s="1"/>
  <c r="AC364" i="13"/>
  <c r="AL364" i="13"/>
  <c r="AQ364" i="13" s="1"/>
  <c r="S378" i="13"/>
  <c r="V378" i="13"/>
  <c r="AC514" i="13"/>
  <c r="AL514" i="13"/>
  <c r="AQ514" i="13" s="1"/>
  <c r="AC536" i="13"/>
  <c r="AL536" i="13"/>
  <c r="AQ536" i="13" s="1"/>
  <c r="L343" i="13"/>
  <c r="M343" i="13" s="1"/>
  <c r="AC383" i="13"/>
  <c r="L352" i="13"/>
  <c r="M352" i="13" s="1"/>
  <c r="AC461" i="13"/>
  <c r="AC395" i="13"/>
  <c r="AC365" i="13"/>
  <c r="S377" i="13"/>
  <c r="V377" i="13"/>
  <c r="AD173" i="13"/>
  <c r="CR170" i="3" s="1"/>
  <c r="AD112" i="13"/>
  <c r="CR109" i="3" s="1"/>
  <c r="AD133" i="13"/>
  <c r="CR130" i="3" s="1"/>
  <c r="AH171" i="13"/>
  <c r="AD154" i="13"/>
  <c r="AD135" i="13"/>
  <c r="CR132" i="3" s="1"/>
  <c r="AD147" i="13"/>
  <c r="CR144" i="3" s="1"/>
  <c r="AD87" i="13"/>
  <c r="AD146" i="13"/>
  <c r="AD149" i="13"/>
  <c r="CR146" i="3" s="1"/>
  <c r="AD184" i="13"/>
  <c r="CR181" i="3" s="1"/>
  <c r="AD138" i="13"/>
  <c r="CR135" i="3" s="1"/>
  <c r="AD151" i="13"/>
  <c r="CR148" i="3" s="1"/>
  <c r="AD189" i="13"/>
  <c r="CR186" i="3" s="1"/>
  <c r="AD103" i="13"/>
  <c r="AD129" i="13"/>
  <c r="CR126" i="3" s="1"/>
  <c r="AD141" i="13"/>
  <c r="CR138" i="3" s="1"/>
  <c r="AD99" i="13"/>
  <c r="AD102" i="13"/>
  <c r="AQ486" i="13"/>
  <c r="AQ502" i="13"/>
  <c r="Q45" i="22"/>
  <c r="X45" i="22" s="1"/>
  <c r="AE45" i="22" s="1"/>
  <c r="AM45" i="22" s="1"/>
  <c r="D46" i="22"/>
  <c r="AQ468" i="13"/>
  <c r="AQ479" i="13"/>
  <c r="AQ399" i="13"/>
  <c r="AL391" i="13"/>
  <c r="AQ439" i="13"/>
  <c r="AQ394" i="13"/>
  <c r="AQ493" i="13"/>
  <c r="AQ477" i="13"/>
  <c r="AQ444" i="13"/>
  <c r="AQ432" i="13"/>
  <c r="AQ396" i="13"/>
  <c r="AQ435" i="13"/>
  <c r="AQ488" i="13"/>
  <c r="CD72" i="3"/>
  <c r="BA72" i="3" s="1"/>
  <c r="BR72" i="3" s="1"/>
  <c r="AQ452" i="13"/>
  <c r="AQ436" i="13"/>
  <c r="CE122" i="3"/>
  <c r="CD122" i="3"/>
  <c r="DH122" i="3" s="1"/>
  <c r="AQ425" i="13"/>
  <c r="CD117" i="3"/>
  <c r="AG391" i="13"/>
  <c r="CE45" i="3"/>
  <c r="AQ489" i="13"/>
  <c r="AQ482" i="13"/>
  <c r="AQ420" i="13"/>
  <c r="DF285" i="3"/>
  <c r="BP299" i="3"/>
  <c r="AL390" i="13"/>
  <c r="AG390" i="13"/>
  <c r="BP292" i="3"/>
  <c r="CD78" i="3"/>
  <c r="CE227" i="3"/>
  <c r="BP300" i="3"/>
  <c r="AL466" i="13"/>
  <c r="DF300" i="3"/>
  <c r="BP306" i="3"/>
  <c r="BP298" i="3"/>
  <c r="AI466" i="13"/>
  <c r="AG466" i="13"/>
  <c r="DF208" i="3"/>
  <c r="DF247" i="3"/>
  <c r="BP206" i="3"/>
  <c r="CZ107" i="3"/>
  <c r="AK129" i="13"/>
  <c r="CO134" i="3"/>
  <c r="R137" i="13" s="1"/>
  <c r="BP112" i="3"/>
  <c r="BP154" i="3"/>
  <c r="DF237" i="3"/>
  <c r="DF274" i="3"/>
  <c r="BP252" i="3"/>
  <c r="BP267" i="3"/>
  <c r="BP263" i="3"/>
  <c r="BP244" i="3"/>
  <c r="BP142" i="3"/>
  <c r="DC88" i="3"/>
  <c r="CO88" i="3"/>
  <c r="R91" i="13" s="1"/>
  <c r="DC92" i="3"/>
  <c r="CO92" i="3"/>
  <c r="R95" i="13" s="1"/>
  <c r="DC97" i="3"/>
  <c r="CO97" i="3"/>
  <c r="R100" i="13" s="1"/>
  <c r="CO107" i="3"/>
  <c r="R110" i="13" s="1"/>
  <c r="BP131" i="3"/>
  <c r="DC89" i="3"/>
  <c r="CO89" i="3"/>
  <c r="R92" i="13" s="1"/>
  <c r="BP51" i="3"/>
  <c r="DC93" i="3"/>
  <c r="CO93" i="3"/>
  <c r="R96" i="13" s="1"/>
  <c r="DC90" i="3"/>
  <c r="CO90" i="3"/>
  <c r="R93" i="13" s="1"/>
  <c r="BP183" i="3"/>
  <c r="DC102" i="3"/>
  <c r="CO102" i="3"/>
  <c r="R105" i="13" s="1"/>
  <c r="DC103" i="3"/>
  <c r="CO103" i="3"/>
  <c r="R106" i="13" s="1"/>
  <c r="DC101" i="3"/>
  <c r="CO101" i="3"/>
  <c r="R104" i="13" s="1"/>
  <c r="CE72" i="3"/>
  <c r="DC87" i="3"/>
  <c r="CO87" i="3"/>
  <c r="R90" i="13" s="1"/>
  <c r="DC91" i="3"/>
  <c r="CO91" i="3"/>
  <c r="R94" i="13" s="1"/>
  <c r="BP53" i="3"/>
  <c r="DF170" i="3"/>
  <c r="DC94" i="3"/>
  <c r="CO94" i="3"/>
  <c r="R97" i="13" s="1"/>
  <c r="DC86" i="3"/>
  <c r="CO86" i="3"/>
  <c r="R89" i="13" s="1"/>
  <c r="CZ192" i="3"/>
  <c r="CO112" i="3"/>
  <c r="R115" i="13" s="1"/>
  <c r="AV115" i="13"/>
  <c r="AP115" i="13" s="1"/>
  <c r="CZ112" i="3"/>
  <c r="AV195" i="13"/>
  <c r="AN195" i="13" s="1"/>
  <c r="CZ154" i="3"/>
  <c r="AN129" i="13"/>
  <c r="AM129" i="13"/>
  <c r="AL129" i="13"/>
  <c r="AG129" i="13"/>
  <c r="CZ134" i="3"/>
  <c r="BP61" i="3"/>
  <c r="AH340" i="13"/>
  <c r="AH339" i="13"/>
  <c r="DC184" i="3"/>
  <c r="CZ105" i="3"/>
  <c r="DC127" i="3"/>
  <c r="DC194" i="3"/>
  <c r="DC175" i="3"/>
  <c r="DC155" i="3"/>
  <c r="DC166" i="3"/>
  <c r="CZ196" i="3"/>
  <c r="CO192" i="3"/>
  <c r="R195" i="13" s="1"/>
  <c r="AV104" i="13"/>
  <c r="AP104" i="13" s="1"/>
  <c r="AV199" i="13"/>
  <c r="AP199" i="13" s="1"/>
  <c r="CO108" i="3"/>
  <c r="R111" i="13" s="1"/>
  <c r="AV111" i="13"/>
  <c r="AM111" i="13" s="1"/>
  <c r="CZ108" i="3"/>
  <c r="AV192" i="13"/>
  <c r="AP192" i="13" s="1"/>
  <c r="AV174" i="13"/>
  <c r="AK174" i="13" s="1"/>
  <c r="DJ171" i="3"/>
  <c r="AV153" i="13"/>
  <c r="AK153" i="13" s="1"/>
  <c r="AV106" i="13"/>
  <c r="AN106" i="13" s="1"/>
  <c r="AV145" i="13"/>
  <c r="AG145" i="13" s="1"/>
  <c r="DJ142" i="3"/>
  <c r="CO200" i="3"/>
  <c r="R203" i="13" s="1"/>
  <c r="AV137" i="13"/>
  <c r="DJ134" i="3"/>
  <c r="AV179" i="13"/>
  <c r="AL179" i="13" s="1"/>
  <c r="CO196" i="3"/>
  <c r="R199" i="13" s="1"/>
  <c r="DJ196" i="3"/>
  <c r="AV200" i="13"/>
  <c r="CO105" i="3"/>
  <c r="R108" i="13" s="1"/>
  <c r="DF105" i="3"/>
  <c r="CO154" i="3"/>
  <c r="R157" i="13" s="1"/>
  <c r="CO197" i="3"/>
  <c r="R200" i="13" s="1"/>
  <c r="CO167" i="3"/>
  <c r="R170" i="13" s="1"/>
  <c r="DF167" i="3"/>
  <c r="AV180" i="13"/>
  <c r="AL180" i="13" s="1"/>
  <c r="AL133" i="13"/>
  <c r="DC50" i="3"/>
  <c r="CO111" i="3"/>
  <c r="R114" i="13" s="1"/>
  <c r="AV136" i="13"/>
  <c r="AM136" i="13" s="1"/>
  <c r="CZ197" i="3"/>
  <c r="CG112" i="3"/>
  <c r="DC81" i="3"/>
  <c r="CZ167" i="3"/>
  <c r="AV114" i="13"/>
  <c r="AG114" i="13" s="1"/>
  <c r="AK133" i="13"/>
  <c r="AN133" i="13"/>
  <c r="AG133" i="13"/>
  <c r="AH149" i="13"/>
  <c r="AP133" i="13"/>
  <c r="CZ200" i="3"/>
  <c r="DJ126" i="3"/>
  <c r="CZ193" i="3"/>
  <c r="CZ111" i="3"/>
  <c r="CO201" i="3"/>
  <c r="R204" i="13" s="1"/>
  <c r="CZ201" i="3"/>
  <c r="CZ199" i="3"/>
  <c r="CO199" i="3"/>
  <c r="R202" i="13" s="1"/>
  <c r="BP190" i="3"/>
  <c r="CO187" i="3"/>
  <c r="R190" i="13" s="1"/>
  <c r="CZ187" i="3"/>
  <c r="CZ191" i="3"/>
  <c r="CO191" i="3"/>
  <c r="R194" i="13" s="1"/>
  <c r="CZ195" i="3"/>
  <c r="CO195" i="3"/>
  <c r="R198" i="13" s="1"/>
  <c r="AG492" i="13"/>
  <c r="DJ190" i="3"/>
  <c r="CO190" i="3"/>
  <c r="R193" i="13" s="1"/>
  <c r="CZ190" i="3"/>
  <c r="AV193" i="13"/>
  <c r="CO188" i="3"/>
  <c r="R191" i="13" s="1"/>
  <c r="CZ188" i="3"/>
  <c r="CO193" i="3"/>
  <c r="R196" i="13" s="1"/>
  <c r="CZ189" i="3"/>
  <c r="DJ189" i="3"/>
  <c r="CO189" i="3"/>
  <c r="R192" i="13" s="1"/>
  <c r="CO184" i="3"/>
  <c r="R187" i="13" s="1"/>
  <c r="CZ184" i="3"/>
  <c r="CZ185" i="3"/>
  <c r="CO185" i="3"/>
  <c r="R188" i="13" s="1"/>
  <c r="CZ183" i="3"/>
  <c r="CO183" i="3"/>
  <c r="R186" i="13" s="1"/>
  <c r="CZ180" i="3"/>
  <c r="CO180" i="3"/>
  <c r="R183" i="13" s="1"/>
  <c r="DJ177" i="3"/>
  <c r="CO177" i="3"/>
  <c r="R180" i="13" s="1"/>
  <c r="CZ177" i="3"/>
  <c r="CO176" i="3"/>
  <c r="R179" i="13" s="1"/>
  <c r="CZ176" i="3"/>
  <c r="CZ174" i="3"/>
  <c r="CO174" i="3"/>
  <c r="R177" i="13" s="1"/>
  <c r="CZ164" i="3"/>
  <c r="CO164" i="3"/>
  <c r="R167" i="13" s="1"/>
  <c r="CZ165" i="3"/>
  <c r="CO165" i="3"/>
  <c r="R168" i="13" s="1"/>
  <c r="CO172" i="3"/>
  <c r="R175" i="13" s="1"/>
  <c r="CZ172" i="3"/>
  <c r="CZ173" i="3"/>
  <c r="CO173" i="3"/>
  <c r="R176" i="13" s="1"/>
  <c r="CZ171" i="3"/>
  <c r="CO171" i="3"/>
  <c r="R174" i="13" s="1"/>
  <c r="DF126" i="3"/>
  <c r="CO159" i="3"/>
  <c r="R162" i="13" s="1"/>
  <c r="CZ159" i="3"/>
  <c r="CO157" i="3"/>
  <c r="R160" i="13" s="1"/>
  <c r="CZ157" i="3"/>
  <c r="CO158" i="3"/>
  <c r="R161" i="13" s="1"/>
  <c r="CZ158" i="3"/>
  <c r="CZ155" i="3"/>
  <c r="CO155" i="3"/>
  <c r="R158" i="13" s="1"/>
  <c r="CZ156" i="3"/>
  <c r="CO156" i="3"/>
  <c r="R159" i="13" s="1"/>
  <c r="CO163" i="3"/>
  <c r="R166" i="13" s="1"/>
  <c r="CZ163" i="3"/>
  <c r="DF150" i="3"/>
  <c r="CO150" i="3"/>
  <c r="R153" i="13" s="1"/>
  <c r="CZ150" i="3"/>
  <c r="BP146" i="3"/>
  <c r="AN149" i="13"/>
  <c r="AK149" i="13"/>
  <c r="AM149" i="13"/>
  <c r="AP149" i="13"/>
  <c r="AL149" i="13"/>
  <c r="AG149" i="13"/>
  <c r="CZ153" i="3"/>
  <c r="CO153" i="3"/>
  <c r="R156" i="13" s="1"/>
  <c r="AN147" i="13"/>
  <c r="AG147" i="13"/>
  <c r="AL147" i="13"/>
  <c r="AP147" i="13"/>
  <c r="AM147" i="13"/>
  <c r="AK147" i="13"/>
  <c r="DJ145" i="3"/>
  <c r="CZ145" i="3"/>
  <c r="CO145" i="3"/>
  <c r="R148" i="13" s="1"/>
  <c r="AV148" i="13"/>
  <c r="AG138" i="13"/>
  <c r="AN138" i="13"/>
  <c r="AM138" i="13"/>
  <c r="AL138" i="13"/>
  <c r="AP138" i="13"/>
  <c r="AK138" i="13"/>
  <c r="CZ141" i="3"/>
  <c r="CO141" i="3"/>
  <c r="R144" i="13" s="1"/>
  <c r="AV144" i="13"/>
  <c r="DF139" i="3"/>
  <c r="CO139" i="3"/>
  <c r="R142" i="13" s="1"/>
  <c r="CZ139" i="3"/>
  <c r="CZ142" i="3"/>
  <c r="CO142" i="3"/>
  <c r="R145" i="13" s="1"/>
  <c r="CZ140" i="3"/>
  <c r="CO140" i="3"/>
  <c r="R143" i="13" s="1"/>
  <c r="CZ136" i="3"/>
  <c r="CO136" i="3"/>
  <c r="R139" i="13" s="1"/>
  <c r="DC131" i="3"/>
  <c r="AH135" i="13"/>
  <c r="AH133" i="13"/>
  <c r="BP125" i="3"/>
  <c r="DJ125" i="3"/>
  <c r="AV128" i="13"/>
  <c r="CO125" i="3"/>
  <c r="R128" i="13" s="1"/>
  <c r="CZ125" i="3"/>
  <c r="CO133" i="3"/>
  <c r="R136" i="13" s="1"/>
  <c r="CZ133" i="3"/>
  <c r="AP135" i="13"/>
  <c r="AM135" i="13"/>
  <c r="AG135" i="13"/>
  <c r="AN135" i="13"/>
  <c r="AL135" i="13"/>
  <c r="AK135" i="13"/>
  <c r="AQ415" i="13"/>
  <c r="DJ112" i="3"/>
  <c r="BA114" i="3"/>
  <c r="BR114" i="3" s="1"/>
  <c r="DH114" i="3"/>
  <c r="DF112" i="3"/>
  <c r="CZ113" i="3"/>
  <c r="CO113" i="3"/>
  <c r="R116" i="13" s="1"/>
  <c r="AH103" i="13"/>
  <c r="CZ110" i="3"/>
  <c r="CO110" i="3"/>
  <c r="R113" i="13" s="1"/>
  <c r="CZ106" i="3"/>
  <c r="CO106" i="3"/>
  <c r="R109" i="13" s="1"/>
  <c r="DJ99" i="3"/>
  <c r="AV102" i="13"/>
  <c r="AL103" i="13"/>
  <c r="AN103" i="13"/>
  <c r="AP103" i="13"/>
  <c r="AG103" i="13"/>
  <c r="AK103" i="13"/>
  <c r="AM103" i="13"/>
  <c r="AG388" i="13"/>
  <c r="DF100" i="3"/>
  <c r="CE76" i="3"/>
  <c r="AQ530" i="13"/>
  <c r="DF203" i="3"/>
  <c r="DF257" i="3"/>
  <c r="DF230" i="3"/>
  <c r="DF138" i="3"/>
  <c r="BP291" i="3"/>
  <c r="DF210" i="3"/>
  <c r="BP109" i="3"/>
  <c r="DF143" i="3"/>
  <c r="DF111" i="3"/>
  <c r="DF288" i="3"/>
  <c r="DF196" i="3"/>
  <c r="BP173" i="3"/>
  <c r="DF216" i="3"/>
  <c r="DF249" i="3"/>
  <c r="DF243" i="3"/>
  <c r="BP294" i="3"/>
  <c r="DF297" i="3"/>
  <c r="BP151" i="3"/>
  <c r="DF304" i="3"/>
  <c r="BP279" i="3"/>
  <c r="BP186" i="3"/>
  <c r="BP101" i="3"/>
  <c r="BP105" i="3"/>
  <c r="BP191" i="3"/>
  <c r="BP138" i="3"/>
  <c r="BP230" i="3"/>
  <c r="DF253" i="3"/>
  <c r="BP203" i="3"/>
  <c r="BP80" i="3"/>
  <c r="BP218" i="3"/>
  <c r="BP84" i="3"/>
  <c r="BP140" i="3"/>
  <c r="BP108" i="3"/>
  <c r="DF218" i="3"/>
  <c r="BP249" i="3"/>
  <c r="BP150" i="3"/>
  <c r="DF108" i="3"/>
  <c r="BP238" i="3"/>
  <c r="BP210" i="3"/>
  <c r="BP253" i="3"/>
  <c r="BP201" i="3"/>
  <c r="BP148" i="3"/>
  <c r="BP277" i="3"/>
  <c r="BP106" i="3"/>
  <c r="BP156" i="3"/>
  <c r="BP224" i="3"/>
  <c r="BP289" i="3"/>
  <c r="BP225" i="3"/>
  <c r="BP216" i="3"/>
  <c r="BP260" i="3"/>
  <c r="BP288" i="3"/>
  <c r="BP139" i="3"/>
  <c r="DF205" i="3"/>
  <c r="DF134" i="3"/>
  <c r="BP275" i="3"/>
  <c r="BP136" i="3"/>
  <c r="BP69" i="3"/>
  <c r="BP205" i="3"/>
  <c r="BP107" i="3"/>
  <c r="BP153" i="3"/>
  <c r="BP251" i="3"/>
  <c r="DF192" i="3"/>
  <c r="DF144" i="3"/>
  <c r="DF245" i="3"/>
  <c r="DF240" i="3"/>
  <c r="DF135" i="3"/>
  <c r="DF235" i="3"/>
  <c r="DF130" i="3"/>
  <c r="DF241" i="3"/>
  <c r="BP134" i="3"/>
  <c r="DF211" i="3"/>
  <c r="BP192" i="3"/>
  <c r="BP144" i="3"/>
  <c r="BP195" i="3"/>
  <c r="BP245" i="3"/>
  <c r="BP65" i="3"/>
  <c r="BP240" i="3"/>
  <c r="BP272" i="3"/>
  <c r="BP243" i="3"/>
  <c r="BP135" i="3"/>
  <c r="BP217" i="3"/>
  <c r="BP235" i="3"/>
  <c r="BP130" i="3"/>
  <c r="BP297" i="3"/>
  <c r="BP99" i="3"/>
  <c r="BP199" i="3"/>
  <c r="BP290" i="3"/>
  <c r="BP304" i="3"/>
  <c r="BP265" i="3"/>
  <c r="BP241" i="3"/>
  <c r="DF236" i="3"/>
  <c r="DF246" i="3"/>
  <c r="DF132" i="3"/>
  <c r="DF222" i="3"/>
  <c r="BP301" i="3"/>
  <c r="BP248" i="3"/>
  <c r="BP196" i="3"/>
  <c r="BP305" i="3"/>
  <c r="BP223" i="3"/>
  <c r="BP187" i="3"/>
  <c r="BP96" i="3"/>
  <c r="BP185" i="3"/>
  <c r="BP286" i="3"/>
  <c r="BP236" i="3"/>
  <c r="BP246" i="3"/>
  <c r="BP257" i="3"/>
  <c r="BP167" i="3"/>
  <c r="BP145" i="3"/>
  <c r="BP158" i="3"/>
  <c r="BP132" i="3"/>
  <c r="BP86" i="3"/>
  <c r="BP172" i="3"/>
  <c r="BP284" i="3"/>
  <c r="BP176" i="3"/>
  <c r="DF197" i="3"/>
  <c r="BP254" i="3"/>
  <c r="BP239" i="3"/>
  <c r="BP133" i="3"/>
  <c r="BP143" i="3"/>
  <c r="BP157" i="3"/>
  <c r="BP197" i="3"/>
  <c r="BP250" i="3"/>
  <c r="BP231" i="3"/>
  <c r="BP209" i="3"/>
  <c r="BP188" i="3"/>
  <c r="BP202" i="3"/>
  <c r="BP207" i="3"/>
  <c r="BP111" i="3"/>
  <c r="BP303" i="3"/>
  <c r="DF204" i="3"/>
  <c r="DF242" i="3"/>
  <c r="EU81" i="3"/>
  <c r="EU50" i="3"/>
  <c r="AQ365" i="13"/>
  <c r="EU62" i="3"/>
  <c r="CO69" i="3"/>
  <c r="R72" i="13" s="1"/>
  <c r="DF69" i="3"/>
  <c r="CO80" i="3"/>
  <c r="R83" i="13" s="1"/>
  <c r="DF80" i="3"/>
  <c r="CO70" i="3"/>
  <c r="R73" i="13" s="1"/>
  <c r="CO57" i="3"/>
  <c r="R60" i="13" s="1"/>
  <c r="DF57" i="3"/>
  <c r="CO65" i="3"/>
  <c r="R68" i="13" s="1"/>
  <c r="DF65" i="3"/>
  <c r="CO61" i="3"/>
  <c r="R64" i="13" s="1"/>
  <c r="DF61" i="3"/>
  <c r="CD121" i="3"/>
  <c r="CD77" i="3"/>
  <c r="DH77" i="3" s="1"/>
  <c r="CD227" i="3"/>
  <c r="AL345" i="13"/>
  <c r="AQ360" i="13"/>
  <c r="CD76" i="3"/>
  <c r="CE78" i="3"/>
  <c r="DJ230" i="3"/>
  <c r="S46" i="22"/>
  <c r="Z46" i="22" s="1"/>
  <c r="AG46" i="22" s="1"/>
  <c r="F47" i="22"/>
  <c r="T46" i="22"/>
  <c r="AA46" i="22" s="1"/>
  <c r="AH46" i="22" s="1"/>
  <c r="AP46" i="22" s="1"/>
  <c r="G47" i="22"/>
  <c r="R46" i="22"/>
  <c r="Y46" i="22" s="1"/>
  <c r="AF46" i="22" s="1"/>
  <c r="AN46" i="22" s="1"/>
  <c r="E47" i="22"/>
  <c r="C47" i="22"/>
  <c r="P47" i="22" s="1"/>
  <c r="W46" i="22"/>
  <c r="AD46" i="22" s="1"/>
  <c r="AI345" i="13"/>
  <c r="AQ427" i="13"/>
  <c r="AQ379" i="13"/>
  <c r="CD35" i="3"/>
  <c r="CD22" i="3"/>
  <c r="CE124" i="3"/>
  <c r="AG345" i="13"/>
  <c r="AI386" i="13"/>
  <c r="AH386" i="13"/>
  <c r="CD83" i="3"/>
  <c r="AG339" i="13"/>
  <c r="AQ384" i="13"/>
  <c r="BI221" i="3"/>
  <c r="DW221" i="3"/>
  <c r="CD124" i="3"/>
  <c r="AQ363" i="13"/>
  <c r="BI233" i="3"/>
  <c r="DW233" i="3"/>
  <c r="AQ346" i="13"/>
  <c r="AG341" i="13"/>
  <c r="A44" i="31"/>
  <c r="C44" i="31" s="1"/>
  <c r="AQ344" i="13"/>
  <c r="AQ424" i="13"/>
  <c r="A34" i="31"/>
  <c r="C34" i="31" s="1"/>
  <c r="A49" i="31"/>
  <c r="C49" i="31" s="1"/>
  <c r="A70" i="31"/>
  <c r="C70" i="31" s="1"/>
  <c r="A69" i="31"/>
  <c r="C69" i="31" s="1"/>
  <c r="AG354" i="13"/>
  <c r="A73" i="31"/>
  <c r="C73" i="31" s="1"/>
  <c r="DC62" i="3"/>
  <c r="AQ422" i="13"/>
  <c r="AQ380" i="13"/>
  <c r="AQ376" i="13"/>
  <c r="DC53" i="3"/>
  <c r="A38" i="31"/>
  <c r="C38" i="31" s="1"/>
  <c r="AQ495" i="13"/>
  <c r="DC51" i="3"/>
  <c r="AG366" i="13"/>
  <c r="A35" i="31"/>
  <c r="C35" i="31" s="1"/>
  <c r="EU63" i="3"/>
  <c r="A58" i="31"/>
  <c r="C58" i="31" s="1"/>
  <c r="AG362" i="13"/>
  <c r="EU59" i="3"/>
  <c r="A54" i="31"/>
  <c r="C54" i="31" s="1"/>
  <c r="AG347" i="13"/>
  <c r="AG351" i="13"/>
  <c r="AG331" i="13"/>
  <c r="AG356" i="13"/>
  <c r="AQ361" i="13"/>
  <c r="AQ359" i="13"/>
  <c r="AI355" i="13"/>
  <c r="AL355" i="13"/>
  <c r="AG355" i="13"/>
  <c r="CD73" i="3"/>
  <c r="CE119" i="3"/>
  <c r="AQ421" i="13"/>
  <c r="AI319" i="13"/>
  <c r="AG367" i="13"/>
  <c r="AI367" i="13"/>
  <c r="V75" i="5"/>
  <c r="V117" i="5"/>
  <c r="V233" i="5"/>
  <c r="V221" i="5"/>
  <c r="V123" i="5"/>
  <c r="V120" i="5"/>
  <c r="V73" i="5"/>
  <c r="V121" i="5"/>
  <c r="V74" i="5"/>
  <c r="CD118" i="3"/>
  <c r="BA118" i="3" s="1"/>
  <c r="BR118" i="3" s="1"/>
  <c r="A7" i="31"/>
  <c r="C7" i="31" s="1"/>
  <c r="AQ369" i="13"/>
  <c r="CD66" i="3"/>
  <c r="AL367" i="13"/>
  <c r="CE66" i="3"/>
  <c r="AV64" i="13"/>
  <c r="CE22" i="3"/>
  <c r="AP233" i="13"/>
  <c r="CR274" i="3"/>
  <c r="AH245" i="13"/>
  <c r="AR245" i="13" s="1"/>
  <c r="AH239" i="13"/>
  <c r="AR239" i="13" s="1"/>
  <c r="CG242" i="3"/>
  <c r="AL24" i="22"/>
  <c r="CR247" i="3"/>
  <c r="AH208" i="13"/>
  <c r="AR208" i="13" s="1"/>
  <c r="AH303" i="13"/>
  <c r="AN233" i="13"/>
  <c r="CR237" i="3"/>
  <c r="CE123" i="3"/>
  <c r="CR210" i="3"/>
  <c r="CE226" i="3"/>
  <c r="CE221" i="3"/>
  <c r="AH212" i="13"/>
  <c r="AR212" i="13" s="1"/>
  <c r="CR266" i="3"/>
  <c r="CR216" i="3"/>
  <c r="CR262" i="3"/>
  <c r="AH138" i="13"/>
  <c r="CE115" i="3"/>
  <c r="AH206" i="13"/>
  <c r="CR243" i="3"/>
  <c r="CE36" i="3"/>
  <c r="CE215" i="3"/>
  <c r="CE214" i="3"/>
  <c r="CE117" i="3"/>
  <c r="CR208" i="3"/>
  <c r="AH211" i="13"/>
  <c r="AR211" i="13" s="1"/>
  <c r="AH221" i="13"/>
  <c r="AH260" i="13"/>
  <c r="CR211" i="3"/>
  <c r="AH214" i="13"/>
  <c r="AR214" i="13" s="1"/>
  <c r="CR249" i="3"/>
  <c r="CE220" i="3"/>
  <c r="CR222" i="3"/>
  <c r="AH225" i="13"/>
  <c r="AR225" i="13" s="1"/>
  <c r="AN184" i="13"/>
  <c r="AG233" i="13"/>
  <c r="EL241" i="3"/>
  <c r="AL233" i="13"/>
  <c r="AH233" i="13"/>
  <c r="AM233" i="13"/>
  <c r="CG241" i="3"/>
  <c r="DF301" i="3"/>
  <c r="AV304" i="13"/>
  <c r="CR301" i="3"/>
  <c r="AV305" i="13"/>
  <c r="DJ304" i="3"/>
  <c r="DF305" i="3"/>
  <c r="AV308" i="13"/>
  <c r="AV311" i="13"/>
  <c r="CR308" i="3"/>
  <c r="AG303" i="13"/>
  <c r="AN303" i="13"/>
  <c r="AK303" i="13"/>
  <c r="AM303" i="13"/>
  <c r="AP303" i="13"/>
  <c r="AL303" i="13"/>
  <c r="AG307" i="13"/>
  <c r="AN307" i="13"/>
  <c r="AK307" i="13"/>
  <c r="AM307" i="13"/>
  <c r="AL307" i="13"/>
  <c r="AP307" i="13"/>
  <c r="AH307" i="13"/>
  <c r="AV309" i="13"/>
  <c r="DJ300" i="3"/>
  <c r="AV310" i="13"/>
  <c r="AK300" i="13"/>
  <c r="AN300" i="13"/>
  <c r="AP300" i="13"/>
  <c r="AG300" i="13"/>
  <c r="AL300" i="13"/>
  <c r="AM300" i="13"/>
  <c r="DJ285" i="3"/>
  <c r="AK291" i="13"/>
  <c r="AP291" i="13"/>
  <c r="AM291" i="13"/>
  <c r="AG291" i="13"/>
  <c r="AL291" i="13"/>
  <c r="AN291" i="13"/>
  <c r="AV294" i="13"/>
  <c r="DF291" i="3"/>
  <c r="AV282" i="13"/>
  <c r="DF279" i="3"/>
  <c r="CR279" i="3"/>
  <c r="AV275" i="13"/>
  <c r="DF272" i="3"/>
  <c r="AV289" i="13"/>
  <c r="DF286" i="3"/>
  <c r="DF278" i="3"/>
  <c r="AV281" i="13"/>
  <c r="DF273" i="3"/>
  <c r="AV276" i="13"/>
  <c r="DJ297" i="3"/>
  <c r="AP288" i="13"/>
  <c r="AK288" i="13"/>
  <c r="AG288" i="13"/>
  <c r="AL288" i="13"/>
  <c r="AM288" i="13"/>
  <c r="AN288" i="13"/>
  <c r="DF290" i="3"/>
  <c r="AV293" i="13"/>
  <c r="AH291" i="13"/>
  <c r="AV271" i="13"/>
  <c r="AV280" i="13"/>
  <c r="DF277" i="3"/>
  <c r="CR277" i="3"/>
  <c r="AH300" i="13"/>
  <c r="DF284" i="3"/>
  <c r="AV287" i="13"/>
  <c r="CR284" i="3"/>
  <c r="AV272" i="13"/>
  <c r="CR269" i="3"/>
  <c r="DF299" i="3"/>
  <c r="AV302" i="13"/>
  <c r="DJ288" i="3"/>
  <c r="AR277" i="13"/>
  <c r="AV297" i="13"/>
  <c r="DF294" i="3"/>
  <c r="AH288" i="13"/>
  <c r="AV295" i="13"/>
  <c r="DF292" i="3"/>
  <c r="CR292" i="3"/>
  <c r="AV278" i="13"/>
  <c r="DF289" i="3"/>
  <c r="AV292" i="13"/>
  <c r="CR289" i="3"/>
  <c r="DF271" i="3"/>
  <c r="AV274" i="13"/>
  <c r="AV290" i="13"/>
  <c r="DF258" i="3"/>
  <c r="AV261" i="13"/>
  <c r="DJ262" i="3"/>
  <c r="DF260" i="3"/>
  <c r="AV263" i="13"/>
  <c r="CR260" i="3"/>
  <c r="DF254" i="3"/>
  <c r="AV257" i="13"/>
  <c r="AK269" i="13"/>
  <c r="AG269" i="13"/>
  <c r="AP269" i="13"/>
  <c r="AM269" i="13"/>
  <c r="AN269" i="13"/>
  <c r="AL269" i="13"/>
  <c r="DF265" i="3"/>
  <c r="AV268" i="13"/>
  <c r="CR265" i="3"/>
  <c r="AP260" i="13"/>
  <c r="AK260" i="13"/>
  <c r="AG260" i="13"/>
  <c r="AM260" i="13"/>
  <c r="AN260" i="13"/>
  <c r="AL260" i="13"/>
  <c r="AV262" i="13"/>
  <c r="AH256" i="13"/>
  <c r="CR253" i="3"/>
  <c r="DJ266" i="3"/>
  <c r="DJ257" i="3"/>
  <c r="AV255" i="13"/>
  <c r="DF252" i="3"/>
  <c r="AK256" i="13"/>
  <c r="AM256" i="13"/>
  <c r="AG256" i="13"/>
  <c r="AP256" i="13"/>
  <c r="AN256" i="13"/>
  <c r="AL256" i="13"/>
  <c r="DF263" i="3"/>
  <c r="AV266" i="13"/>
  <c r="AP265" i="13"/>
  <c r="AG265" i="13"/>
  <c r="AK265" i="13"/>
  <c r="AL265" i="13"/>
  <c r="AN265" i="13"/>
  <c r="AM265" i="13"/>
  <c r="AV259" i="13"/>
  <c r="DF256" i="3"/>
  <c r="CR256" i="3"/>
  <c r="DF267" i="3"/>
  <c r="AV270" i="13"/>
  <c r="DJ253" i="3"/>
  <c r="CG222" i="3"/>
  <c r="DF250" i="3"/>
  <c r="AV253" i="13"/>
  <c r="AV254" i="13"/>
  <c r="DF251" i="3"/>
  <c r="DJ249" i="3"/>
  <c r="DF248" i="3"/>
  <c r="AV251" i="13"/>
  <c r="AG252" i="13"/>
  <c r="AL252" i="13"/>
  <c r="AK252" i="13"/>
  <c r="AP252" i="13"/>
  <c r="AN252" i="13"/>
  <c r="AM252" i="13"/>
  <c r="EL246" i="3"/>
  <c r="CG246" i="3"/>
  <c r="DF244" i="3"/>
  <c r="AV247" i="13"/>
  <c r="DJ243" i="3"/>
  <c r="AP246" i="13"/>
  <c r="AK246" i="13"/>
  <c r="AL246" i="13"/>
  <c r="AG246" i="13"/>
  <c r="AN246" i="13"/>
  <c r="AM246" i="13"/>
  <c r="DF239" i="3"/>
  <c r="AV242" i="13"/>
  <c r="AV241" i="13"/>
  <c r="DF238" i="3"/>
  <c r="DJ237" i="3"/>
  <c r="AK240" i="13"/>
  <c r="AL240" i="13"/>
  <c r="AG240" i="13"/>
  <c r="AP240" i="13"/>
  <c r="AM240" i="13"/>
  <c r="AN240" i="13"/>
  <c r="AL233" i="3"/>
  <c r="BA232" i="3"/>
  <c r="BR232" i="3" s="1"/>
  <c r="AR238" i="13"/>
  <c r="AV234" i="13"/>
  <c r="DF231" i="3"/>
  <c r="CR231" i="3"/>
  <c r="CG235" i="3"/>
  <c r="BA227" i="3"/>
  <c r="BR227" i="3" s="1"/>
  <c r="BA226" i="3"/>
  <c r="BR226" i="3" s="1"/>
  <c r="AV228" i="13"/>
  <c r="DF225" i="3"/>
  <c r="CR225" i="3"/>
  <c r="AV227" i="13"/>
  <c r="DF224" i="3"/>
  <c r="CR224" i="3"/>
  <c r="AV232" i="13"/>
  <c r="CR229" i="3"/>
  <c r="AV231" i="13"/>
  <c r="CR228" i="3"/>
  <c r="AV226" i="13"/>
  <c r="DF223" i="3"/>
  <c r="EL222" i="3"/>
  <c r="AL221" i="3"/>
  <c r="BA220" i="3"/>
  <c r="BR220" i="3" s="1"/>
  <c r="AM221" i="13"/>
  <c r="AG221" i="13"/>
  <c r="AP221" i="13"/>
  <c r="AK221" i="13"/>
  <c r="AL221" i="13"/>
  <c r="AN221" i="13"/>
  <c r="DJ218" i="3"/>
  <c r="BA215" i="3"/>
  <c r="BR215" i="3" s="1"/>
  <c r="BA214" i="3"/>
  <c r="BR214" i="3" s="1"/>
  <c r="AJ70" i="5"/>
  <c r="AQ70" i="5" s="1"/>
  <c r="AO70" i="5"/>
  <c r="AL184" i="13"/>
  <c r="AK184" i="13"/>
  <c r="AM184" i="13"/>
  <c r="AG184" i="13"/>
  <c r="BA78" i="3"/>
  <c r="BR78" i="3" s="1"/>
  <c r="AV151" i="13"/>
  <c r="AR207" i="13"/>
  <c r="DF148" i="3"/>
  <c r="DJ181" i="3"/>
  <c r="DJ208" i="3"/>
  <c r="DF209" i="3"/>
  <c r="EL204" i="3"/>
  <c r="AV89" i="13"/>
  <c r="AP89" i="13" s="1"/>
  <c r="EL211" i="3"/>
  <c r="AV220" i="13"/>
  <c r="DF217" i="3"/>
  <c r="DJ216" i="3"/>
  <c r="AP219" i="13"/>
  <c r="AG219" i="13"/>
  <c r="AK219" i="13"/>
  <c r="AM219" i="13"/>
  <c r="AN219" i="13"/>
  <c r="AL219" i="13"/>
  <c r="BA213" i="3"/>
  <c r="BR213" i="3" s="1"/>
  <c r="BA212" i="3"/>
  <c r="BR212" i="3" s="1"/>
  <c r="AP213" i="13"/>
  <c r="AG213" i="13"/>
  <c r="AK213" i="13"/>
  <c r="AM213" i="13"/>
  <c r="AN213" i="13"/>
  <c r="AL213" i="13"/>
  <c r="DJ210" i="3"/>
  <c r="AL210" i="13"/>
  <c r="AK210" i="13"/>
  <c r="AP210" i="13"/>
  <c r="AG210" i="13"/>
  <c r="AM210" i="13"/>
  <c r="AN210" i="13"/>
  <c r="AV209" i="13"/>
  <c r="CG205" i="3"/>
  <c r="EL205" i="3"/>
  <c r="DJ203" i="3"/>
  <c r="AK206" i="13"/>
  <c r="AP206" i="13"/>
  <c r="AG206" i="13"/>
  <c r="AM206" i="13"/>
  <c r="AN206" i="13"/>
  <c r="AL206" i="13"/>
  <c r="DF202" i="3"/>
  <c r="AV205" i="13"/>
  <c r="CR202" i="3"/>
  <c r="AV204" i="13"/>
  <c r="AV203" i="13"/>
  <c r="AV202" i="13"/>
  <c r="AH184" i="13"/>
  <c r="AV196" i="13"/>
  <c r="AK198" i="13"/>
  <c r="AP198" i="13"/>
  <c r="AN198" i="13"/>
  <c r="AM198" i="13"/>
  <c r="AG198" i="13"/>
  <c r="AL198" i="13"/>
  <c r="AG496" i="13"/>
  <c r="AV194" i="13"/>
  <c r="AV191" i="13"/>
  <c r="AV190" i="13"/>
  <c r="AV189" i="13"/>
  <c r="DF186" i="3"/>
  <c r="AV188" i="13"/>
  <c r="DJ168" i="3"/>
  <c r="AH173" i="13"/>
  <c r="AV163" i="13"/>
  <c r="AV167" i="13"/>
  <c r="AV181" i="13"/>
  <c r="AV168" i="13"/>
  <c r="AV175" i="13"/>
  <c r="AG186" i="13"/>
  <c r="AM186" i="13"/>
  <c r="AN186" i="13"/>
  <c r="AK186" i="13"/>
  <c r="AL186" i="13"/>
  <c r="AP186" i="13"/>
  <c r="AP173" i="13"/>
  <c r="AN173" i="13"/>
  <c r="AM173" i="13"/>
  <c r="AL173" i="13"/>
  <c r="AK173" i="13"/>
  <c r="AG173" i="13"/>
  <c r="AG472" i="13"/>
  <c r="AV176" i="13"/>
  <c r="AV164" i="13"/>
  <c r="AG469" i="13"/>
  <c r="AV160" i="13"/>
  <c r="AV162" i="13"/>
  <c r="AV158" i="13"/>
  <c r="AV161" i="13"/>
  <c r="DJ170" i="3"/>
  <c r="AV187" i="13"/>
  <c r="AG478" i="13"/>
  <c r="AG462" i="13"/>
  <c r="AP171" i="13"/>
  <c r="AK171" i="13"/>
  <c r="AM171" i="13"/>
  <c r="AG171" i="13"/>
  <c r="AN171" i="13"/>
  <c r="AL171" i="13"/>
  <c r="AV177" i="13"/>
  <c r="AV159" i="13"/>
  <c r="AV170" i="13"/>
  <c r="DF154" i="3"/>
  <c r="AV157" i="13"/>
  <c r="AV156" i="13"/>
  <c r="DF151" i="3"/>
  <c r="AV154" i="13"/>
  <c r="AG146" i="13"/>
  <c r="AP146" i="13"/>
  <c r="AL146" i="13"/>
  <c r="AK146" i="13"/>
  <c r="AM146" i="13"/>
  <c r="AN146" i="13"/>
  <c r="DJ143" i="3"/>
  <c r="AV143" i="13"/>
  <c r="AV142" i="13"/>
  <c r="AG141" i="13"/>
  <c r="AP141" i="13"/>
  <c r="AL141" i="13"/>
  <c r="AK141" i="13"/>
  <c r="AM141" i="13"/>
  <c r="AN141" i="13"/>
  <c r="AH141" i="13"/>
  <c r="DJ138" i="3"/>
  <c r="AV139" i="13"/>
  <c r="BA124" i="3"/>
  <c r="BR124" i="3" s="1"/>
  <c r="BA119" i="3"/>
  <c r="BR119" i="3" s="1"/>
  <c r="BA115" i="3"/>
  <c r="BR115" i="3" s="1"/>
  <c r="BA116" i="3"/>
  <c r="BR116" i="3" s="1"/>
  <c r="DF109" i="3"/>
  <c r="AV112" i="13"/>
  <c r="DF107" i="3"/>
  <c r="AV110" i="13"/>
  <c r="DJ108" i="3"/>
  <c r="AV109" i="13"/>
  <c r="AV108" i="13"/>
  <c r="AV99" i="13"/>
  <c r="AV95" i="13"/>
  <c r="AV87" i="13"/>
  <c r="AV83" i="13"/>
  <c r="AV72" i="13"/>
  <c r="AV73" i="13"/>
  <c r="BA66" i="3"/>
  <c r="BR66" i="3" s="1"/>
  <c r="AV68" i="13"/>
  <c r="AV60" i="13"/>
  <c r="AG319" i="13"/>
  <c r="A27" i="31"/>
  <c r="C27" i="31" s="1"/>
  <c r="A25" i="31"/>
  <c r="C25" i="31" s="1"/>
  <c r="AQ402" i="13"/>
  <c r="AQ503" i="13"/>
  <c r="AQ606" i="13"/>
  <c r="AQ428" i="13"/>
  <c r="AQ520" i="13"/>
  <c r="AQ480" i="13"/>
  <c r="AG326" i="13"/>
  <c r="AI326" i="13"/>
  <c r="AQ358" i="13"/>
  <c r="AQ392" i="13"/>
  <c r="AQ397" i="13"/>
  <c r="T36" i="20"/>
  <c r="EE325" i="3"/>
  <c r="EF325" i="3"/>
  <c r="R323" i="13" l="1"/>
  <c r="AH323" i="13" s="1"/>
  <c r="R333" i="13"/>
  <c r="AH333" i="13" s="1"/>
  <c r="D51" i="13"/>
  <c r="BV39" i="3"/>
  <c r="CY39" i="3" s="1"/>
  <c r="CX48" i="3"/>
  <c r="BV49" i="3"/>
  <c r="CY49" i="3" s="1"/>
  <c r="BV43" i="3"/>
  <c r="CY43" i="3" s="1"/>
  <c r="BQ22" i="3"/>
  <c r="BY22" i="3" s="1"/>
  <c r="M327" i="13"/>
  <c r="Q327" i="13"/>
  <c r="AG327" i="13" s="1"/>
  <c r="M332" i="13"/>
  <c r="Q332" i="13"/>
  <c r="M328" i="13"/>
  <c r="Q328" i="13"/>
  <c r="AG328" i="13" s="1"/>
  <c r="S325" i="13"/>
  <c r="AI325" i="13" s="1"/>
  <c r="V325" i="13"/>
  <c r="AG325" i="13"/>
  <c r="S327" i="13"/>
  <c r="AI327" i="13" s="1"/>
  <c r="S321" i="13"/>
  <c r="AI321" i="13" s="1"/>
  <c r="S315" i="13"/>
  <c r="S313" i="13"/>
  <c r="AH313" i="13"/>
  <c r="M324" i="13"/>
  <c r="AH324" i="13"/>
  <c r="M320" i="13"/>
  <c r="AG320" i="13"/>
  <c r="M318" i="13"/>
  <c r="M317" i="13"/>
  <c r="AO46" i="22"/>
  <c r="AG349" i="13"/>
  <c r="S349" i="13"/>
  <c r="AI349" i="13" s="1"/>
  <c r="V349" i="13"/>
  <c r="S350" i="13"/>
  <c r="AI350" i="13" s="1"/>
  <c r="V350" i="13"/>
  <c r="S348" i="13"/>
  <c r="AI348" i="13" s="1"/>
  <c r="V348" i="13"/>
  <c r="AL348" i="13" s="1"/>
  <c r="AG348" i="13"/>
  <c r="CA35" i="3"/>
  <c r="ET35" i="3" s="1"/>
  <c r="CN41" i="3"/>
  <c r="ET15" i="3"/>
  <c r="A10" i="31"/>
  <c r="C10" i="31" s="1"/>
  <c r="EU49" i="3"/>
  <c r="AG330" i="13"/>
  <c r="V330" i="13"/>
  <c r="AL330" i="13" s="1"/>
  <c r="AG338" i="13"/>
  <c r="S338" i="13"/>
  <c r="V338" i="13"/>
  <c r="AL338" i="13" s="1"/>
  <c r="S340" i="13"/>
  <c r="AC340" i="13" s="1"/>
  <c r="AC331" i="13"/>
  <c r="V337" i="13"/>
  <c r="AC337" i="13" s="1"/>
  <c r="V336" i="13"/>
  <c r="AC336" i="13" s="1"/>
  <c r="V334" i="13"/>
  <c r="AC334" i="13" s="1"/>
  <c r="V335" i="13"/>
  <c r="AL335" i="13" s="1"/>
  <c r="V333" i="13"/>
  <c r="AL333" i="13" s="1"/>
  <c r="S333" i="13"/>
  <c r="AI333" i="13" s="1"/>
  <c r="AC319" i="13"/>
  <c r="AL326" i="13"/>
  <c r="AQ326" i="13" s="1"/>
  <c r="V316" i="13"/>
  <c r="AL316" i="13" s="1"/>
  <c r="S316" i="13"/>
  <c r="S323" i="13"/>
  <c r="V323" i="13"/>
  <c r="V321" i="13"/>
  <c r="V322" i="13"/>
  <c r="AC322" i="13" s="1"/>
  <c r="V315" i="13"/>
  <c r="AQ589" i="13"/>
  <c r="V314" i="13"/>
  <c r="AC314" i="13" s="1"/>
  <c r="V313" i="13"/>
  <c r="AQ522" i="13"/>
  <c r="AC522" i="13"/>
  <c r="AC357" i="13"/>
  <c r="AC329" i="13"/>
  <c r="CC26" i="3" s="1"/>
  <c r="AC341" i="13"/>
  <c r="CC38" i="3" s="1"/>
  <c r="AC339" i="13"/>
  <c r="AC378" i="13"/>
  <c r="AC377" i="13"/>
  <c r="AC353" i="13"/>
  <c r="AC366" i="13"/>
  <c r="AC347" i="13"/>
  <c r="AC362" i="13"/>
  <c r="S381" i="13"/>
  <c r="AI381" i="13" s="1"/>
  <c r="V381" i="13"/>
  <c r="AL381" i="13" s="1"/>
  <c r="AG381" i="13"/>
  <c r="S352" i="13"/>
  <c r="AI352" i="13" s="1"/>
  <c r="V352" i="13"/>
  <c r="AL352" i="13" s="1"/>
  <c r="AG352" i="13"/>
  <c r="AL353" i="13"/>
  <c r="AQ353" i="13" s="1"/>
  <c r="S343" i="13"/>
  <c r="AI343" i="13" s="1"/>
  <c r="V343" i="13"/>
  <c r="AG343" i="13"/>
  <c r="S342" i="13"/>
  <c r="AI342" i="13" s="1"/>
  <c r="V342" i="13"/>
  <c r="AG342" i="13"/>
  <c r="AC385" i="13"/>
  <c r="AL385" i="13"/>
  <c r="AQ385" i="13" s="1"/>
  <c r="AD83" i="13"/>
  <c r="AD109" i="13"/>
  <c r="CR106" i="3" s="1"/>
  <c r="AD145" i="13"/>
  <c r="AD144" i="13"/>
  <c r="CR141" i="3" s="1"/>
  <c r="AD176" i="13"/>
  <c r="CR173" i="3" s="1"/>
  <c r="AD180" i="13"/>
  <c r="CR177" i="3" s="1"/>
  <c r="AD196" i="13"/>
  <c r="CR193" i="3" s="1"/>
  <c r="AD193" i="13"/>
  <c r="CR190" i="3" s="1"/>
  <c r="AD111" i="13"/>
  <c r="CR108" i="3" s="1"/>
  <c r="AD106" i="13"/>
  <c r="CR103" i="3" s="1"/>
  <c r="AD91" i="13"/>
  <c r="AD94" i="13"/>
  <c r="AD72" i="13"/>
  <c r="AD116" i="13"/>
  <c r="CR113" i="3" s="1"/>
  <c r="AD187" i="13"/>
  <c r="CR184" i="3" s="1"/>
  <c r="AD190" i="13"/>
  <c r="CR187" i="3" s="1"/>
  <c r="AD170" i="13"/>
  <c r="CR167" i="3" s="1"/>
  <c r="AD105" i="13"/>
  <c r="AD100" i="13"/>
  <c r="AD171" i="13"/>
  <c r="CR168" i="3" s="1"/>
  <c r="AD199" i="13"/>
  <c r="CR196" i="3" s="1"/>
  <c r="AD115" i="13"/>
  <c r="CR112" i="3" s="1"/>
  <c r="AD110" i="13"/>
  <c r="CR107" i="3" s="1"/>
  <c r="AD68" i="13"/>
  <c r="AD128" i="13"/>
  <c r="AD153" i="13"/>
  <c r="CR150" i="3" s="1"/>
  <c r="AD175" i="13"/>
  <c r="CR172" i="3" s="1"/>
  <c r="AD177" i="13"/>
  <c r="AD183" i="13"/>
  <c r="AD200" i="13"/>
  <c r="AD195" i="13"/>
  <c r="CR192" i="3" s="1"/>
  <c r="AD89" i="13"/>
  <c r="CR86" i="3" s="1"/>
  <c r="AD90" i="13"/>
  <c r="AD159" i="13"/>
  <c r="CR156" i="3" s="1"/>
  <c r="AD202" i="13"/>
  <c r="CR199" i="3" s="1"/>
  <c r="AD96" i="13"/>
  <c r="AD139" i="13"/>
  <c r="CR136" i="3" s="1"/>
  <c r="AD148" i="13"/>
  <c r="CR145" i="3" s="1"/>
  <c r="AD158" i="13"/>
  <c r="AD162" i="13"/>
  <c r="CR159" i="3" s="1"/>
  <c r="AD191" i="13"/>
  <c r="AD157" i="13"/>
  <c r="AD137" i="13"/>
  <c r="CR134" i="3" s="1"/>
  <c r="AD64" i="13"/>
  <c r="AD60" i="13"/>
  <c r="AD142" i="13"/>
  <c r="CR139" i="3" s="1"/>
  <c r="AD156" i="13"/>
  <c r="AD168" i="13"/>
  <c r="CR165" i="3" s="1"/>
  <c r="AD186" i="13"/>
  <c r="CR183" i="3" s="1"/>
  <c r="AD192" i="13"/>
  <c r="CR189" i="3" s="1"/>
  <c r="AD198" i="13"/>
  <c r="CR195" i="3" s="1"/>
  <c r="AD204" i="13"/>
  <c r="CR201" i="3" s="1"/>
  <c r="AD114" i="13"/>
  <c r="CR111" i="3" s="1"/>
  <c r="AD203" i="13"/>
  <c r="AD97" i="13"/>
  <c r="AD136" i="13"/>
  <c r="CR133" i="3" s="1"/>
  <c r="AD167" i="13"/>
  <c r="CR164" i="3" s="1"/>
  <c r="AD73" i="13"/>
  <c r="AD113" i="13"/>
  <c r="CR110" i="3" s="1"/>
  <c r="AD143" i="13"/>
  <c r="CR140" i="3" s="1"/>
  <c r="AD174" i="13"/>
  <c r="CR171" i="3" s="1"/>
  <c r="AD179" i="13"/>
  <c r="AD108" i="13"/>
  <c r="CR105" i="3" s="1"/>
  <c r="AD104" i="13"/>
  <c r="CR101" i="3" s="1"/>
  <c r="AD92" i="13"/>
  <c r="AD95" i="13"/>
  <c r="CR92" i="3" s="1"/>
  <c r="AD160" i="13"/>
  <c r="CR157" i="3" s="1"/>
  <c r="AD166" i="13"/>
  <c r="AD161" i="13"/>
  <c r="CR158" i="3" s="1"/>
  <c r="AD188" i="13"/>
  <c r="CR185" i="3" s="1"/>
  <c r="AD194" i="13"/>
  <c r="CR191" i="3" s="1"/>
  <c r="AD93" i="13"/>
  <c r="AH147" i="13"/>
  <c r="AR147" i="13" s="1"/>
  <c r="AH129" i="13"/>
  <c r="AR129" i="13" s="1"/>
  <c r="AH128" i="13"/>
  <c r="AH158" i="13"/>
  <c r="AH179" i="13"/>
  <c r="AH200" i="13"/>
  <c r="Q46" i="22"/>
  <c r="X46" i="22" s="1"/>
  <c r="AE46" i="22" s="1"/>
  <c r="AM46" i="22" s="1"/>
  <c r="D47" i="22"/>
  <c r="ER221" i="3"/>
  <c r="CJ221" i="3" s="1"/>
  <c r="BO221" i="3" s="1"/>
  <c r="ER233" i="3"/>
  <c r="CJ233" i="3" s="1"/>
  <c r="BO233" i="3" s="1"/>
  <c r="AQ391" i="13"/>
  <c r="AG340" i="13"/>
  <c r="AG314" i="13"/>
  <c r="AK104" i="13"/>
  <c r="AP111" i="13"/>
  <c r="DH72" i="3"/>
  <c r="AL340" i="13"/>
  <c r="BA122" i="3"/>
  <c r="AQ390" i="13"/>
  <c r="AP174" i="13"/>
  <c r="AK136" i="13"/>
  <c r="AG106" i="13"/>
  <c r="AP106" i="13"/>
  <c r="DF287" i="3"/>
  <c r="AG111" i="13"/>
  <c r="AL111" i="13"/>
  <c r="AK111" i="13"/>
  <c r="BP287" i="3"/>
  <c r="AN111" i="13"/>
  <c r="AK114" i="13"/>
  <c r="AG115" i="13"/>
  <c r="DF306" i="3"/>
  <c r="AQ466" i="13"/>
  <c r="AP114" i="13"/>
  <c r="AN114" i="13"/>
  <c r="AG192" i="13"/>
  <c r="AM114" i="13"/>
  <c r="AL114" i="13"/>
  <c r="AM115" i="13"/>
  <c r="AK115" i="13"/>
  <c r="AL115" i="13"/>
  <c r="AN115" i="13"/>
  <c r="AK106" i="13"/>
  <c r="AL106" i="13"/>
  <c r="AH104" i="13"/>
  <c r="AM106" i="13"/>
  <c r="AM104" i="13"/>
  <c r="BP152" i="3"/>
  <c r="BP170" i="3"/>
  <c r="BP178" i="3"/>
  <c r="AL195" i="13"/>
  <c r="BP261" i="3"/>
  <c r="BP127" i="3"/>
  <c r="BP68" i="3"/>
  <c r="AH115" i="13"/>
  <c r="CD36" i="3"/>
  <c r="BQ36" i="3" s="1"/>
  <c r="BP194" i="3"/>
  <c r="AL104" i="13"/>
  <c r="AN136" i="13"/>
  <c r="AG104" i="13"/>
  <c r="AL136" i="13"/>
  <c r="AP136" i="13"/>
  <c r="AN104" i="13"/>
  <c r="AG136" i="13"/>
  <c r="AN174" i="13"/>
  <c r="AH136" i="13"/>
  <c r="BP59" i="3"/>
  <c r="DC95" i="3"/>
  <c r="CO95" i="3"/>
  <c r="R98" i="13" s="1"/>
  <c r="CE73" i="3"/>
  <c r="CE77" i="3"/>
  <c r="DC98" i="3"/>
  <c r="CO98" i="3"/>
  <c r="R101" i="13" s="1"/>
  <c r="CE118" i="3"/>
  <c r="DC85" i="3"/>
  <c r="CO85" i="3"/>
  <c r="R88" i="13" s="1"/>
  <c r="BP63" i="3"/>
  <c r="BP49" i="3"/>
  <c r="CE121" i="3"/>
  <c r="AL153" i="13"/>
  <c r="AK195" i="13"/>
  <c r="AG195" i="13"/>
  <c r="AM195" i="13"/>
  <c r="AV169" i="13"/>
  <c r="AG169" i="13" s="1"/>
  <c r="AP195" i="13"/>
  <c r="AG179" i="13"/>
  <c r="AK192" i="13"/>
  <c r="AL199" i="13"/>
  <c r="AG199" i="13"/>
  <c r="AN192" i="13"/>
  <c r="AK199" i="13"/>
  <c r="AM180" i="13"/>
  <c r="AM192" i="13"/>
  <c r="AN199" i="13"/>
  <c r="AM199" i="13"/>
  <c r="AL192" i="13"/>
  <c r="AL145" i="13"/>
  <c r="EL192" i="3"/>
  <c r="AL174" i="13"/>
  <c r="AG174" i="13"/>
  <c r="BA77" i="3"/>
  <c r="AM174" i="13"/>
  <c r="AG200" i="13"/>
  <c r="AN179" i="13"/>
  <c r="AH203" i="13"/>
  <c r="DH73" i="3"/>
  <c r="DW72" i="3"/>
  <c r="AL72" i="3"/>
  <c r="AM153" i="13"/>
  <c r="AK179" i="13"/>
  <c r="AN153" i="13"/>
  <c r="AP179" i="13"/>
  <c r="AP153" i="13"/>
  <c r="AG153" i="13"/>
  <c r="AM179" i="13"/>
  <c r="AP180" i="13"/>
  <c r="AG180" i="13"/>
  <c r="AK180" i="13"/>
  <c r="AN180" i="13"/>
  <c r="AK200" i="13"/>
  <c r="AN200" i="13"/>
  <c r="AM200" i="13"/>
  <c r="AL200" i="13"/>
  <c r="AP200" i="13"/>
  <c r="AM145" i="13"/>
  <c r="AV197" i="13"/>
  <c r="AN145" i="13"/>
  <c r="AV172" i="13"/>
  <c r="AN172" i="13" s="1"/>
  <c r="AR133" i="13"/>
  <c r="AP145" i="13"/>
  <c r="EL112" i="3"/>
  <c r="AV101" i="13"/>
  <c r="AK101" i="13" s="1"/>
  <c r="AV130" i="13"/>
  <c r="AP130" i="13" s="1"/>
  <c r="AK145" i="13"/>
  <c r="CZ194" i="3"/>
  <c r="AL137" i="13"/>
  <c r="AG137" i="13"/>
  <c r="AK137" i="13"/>
  <c r="AP137" i="13"/>
  <c r="AN137" i="13"/>
  <c r="AM137" i="13"/>
  <c r="AV88" i="13"/>
  <c r="AG88" i="13" s="1"/>
  <c r="AR138" i="13"/>
  <c r="CO194" i="3"/>
  <c r="R197" i="13" s="1"/>
  <c r="DF199" i="3"/>
  <c r="DF173" i="3"/>
  <c r="DF188" i="3"/>
  <c r="DJ176" i="3"/>
  <c r="DF153" i="3"/>
  <c r="DF191" i="3"/>
  <c r="DJ111" i="3"/>
  <c r="DF200" i="3"/>
  <c r="DF172" i="3"/>
  <c r="DF201" i="3"/>
  <c r="DF140" i="3"/>
  <c r="DF176" i="3"/>
  <c r="DJ195" i="3"/>
  <c r="EL197" i="3"/>
  <c r="DF190" i="3"/>
  <c r="CG197" i="3"/>
  <c r="CG130" i="3"/>
  <c r="CG144" i="3"/>
  <c r="DF195" i="3"/>
  <c r="DJ133" i="3"/>
  <c r="DF185" i="3"/>
  <c r="DF187" i="3"/>
  <c r="DF156" i="3"/>
  <c r="DJ183" i="3"/>
  <c r="DF183" i="3"/>
  <c r="DF145" i="3"/>
  <c r="CO198" i="3"/>
  <c r="R201" i="13" s="1"/>
  <c r="AV201" i="13"/>
  <c r="DF136" i="3"/>
  <c r="DF164" i="3"/>
  <c r="DJ150" i="3"/>
  <c r="AM193" i="13"/>
  <c r="AK193" i="13"/>
  <c r="AL193" i="13"/>
  <c r="AP193" i="13"/>
  <c r="AG193" i="13"/>
  <c r="AN193" i="13"/>
  <c r="AL492" i="13"/>
  <c r="AI492" i="13"/>
  <c r="BP181" i="3"/>
  <c r="CO175" i="3"/>
  <c r="R178" i="13" s="1"/>
  <c r="CZ175" i="3"/>
  <c r="DJ178" i="3"/>
  <c r="CZ178" i="3"/>
  <c r="CO178" i="3"/>
  <c r="R181" i="13" s="1"/>
  <c r="CZ182" i="3"/>
  <c r="CO182" i="3"/>
  <c r="R185" i="13" s="1"/>
  <c r="BP177" i="3"/>
  <c r="CZ179" i="3"/>
  <c r="CO179" i="3"/>
  <c r="R182" i="13" s="1"/>
  <c r="CZ169" i="3"/>
  <c r="CO169" i="3"/>
  <c r="R172" i="13" s="1"/>
  <c r="CO166" i="3"/>
  <c r="R169" i="13" s="1"/>
  <c r="CZ166" i="3"/>
  <c r="DF96" i="3"/>
  <c r="BP163" i="3"/>
  <c r="CZ162" i="3"/>
  <c r="CO162" i="3"/>
  <c r="R165" i="13" s="1"/>
  <c r="DF133" i="3"/>
  <c r="CO161" i="3"/>
  <c r="R164" i="13" s="1"/>
  <c r="CZ161" i="3"/>
  <c r="CZ160" i="3"/>
  <c r="CO160" i="3"/>
  <c r="R163" i="13" s="1"/>
  <c r="AR149" i="13"/>
  <c r="CO147" i="3"/>
  <c r="R150" i="13" s="1"/>
  <c r="AN148" i="13"/>
  <c r="AL148" i="13"/>
  <c r="AG148" i="13"/>
  <c r="AP148" i="13"/>
  <c r="AK148" i="13"/>
  <c r="AM148" i="13"/>
  <c r="CO152" i="3"/>
  <c r="R155" i="13" s="1"/>
  <c r="CZ152" i="3"/>
  <c r="CZ149" i="3"/>
  <c r="CO149" i="3"/>
  <c r="R152" i="13" s="1"/>
  <c r="DF125" i="3"/>
  <c r="AK144" i="13"/>
  <c r="AM144" i="13"/>
  <c r="AG144" i="13"/>
  <c r="AL144" i="13"/>
  <c r="AN144" i="13"/>
  <c r="AP144" i="13"/>
  <c r="CZ137" i="3"/>
  <c r="CO137" i="3"/>
  <c r="R140" i="13" s="1"/>
  <c r="DF142" i="3"/>
  <c r="AH145" i="13"/>
  <c r="DJ141" i="3"/>
  <c r="DF141" i="3"/>
  <c r="AR135" i="13"/>
  <c r="CZ127" i="3"/>
  <c r="CO127" i="3"/>
  <c r="R130" i="13" s="1"/>
  <c r="DJ127" i="3"/>
  <c r="CG132" i="3"/>
  <c r="EL132" i="3"/>
  <c r="CZ128" i="3"/>
  <c r="CO128" i="3"/>
  <c r="R131" i="13" s="1"/>
  <c r="AG128" i="13"/>
  <c r="AK128" i="13"/>
  <c r="AP128" i="13"/>
  <c r="AN128" i="13"/>
  <c r="AM128" i="13"/>
  <c r="AL128" i="13"/>
  <c r="CZ131" i="3"/>
  <c r="AV134" i="13"/>
  <c r="CO131" i="3"/>
  <c r="R134" i="13" s="1"/>
  <c r="CO129" i="3"/>
  <c r="R132" i="13" s="1"/>
  <c r="CZ129" i="3"/>
  <c r="DH123" i="3"/>
  <c r="BA123" i="3"/>
  <c r="BR123" i="3" s="1"/>
  <c r="DH120" i="3"/>
  <c r="BA120" i="3"/>
  <c r="BR120" i="3" s="1"/>
  <c r="DH118" i="3"/>
  <c r="DH117" i="3"/>
  <c r="DJ86" i="3"/>
  <c r="BA117" i="3"/>
  <c r="BR117" i="3" s="1"/>
  <c r="DF106" i="3"/>
  <c r="DJ101" i="3"/>
  <c r="AR103" i="13"/>
  <c r="CR100" i="3"/>
  <c r="BI114" i="3"/>
  <c r="AL114" i="3"/>
  <c r="DW114" i="3"/>
  <c r="AH64" i="13"/>
  <c r="DF84" i="3"/>
  <c r="BP104" i="3"/>
  <c r="DF101" i="3"/>
  <c r="DJ104" i="3"/>
  <c r="CO104" i="3"/>
  <c r="R107" i="13" s="1"/>
  <c r="CZ104" i="3"/>
  <c r="AV107" i="13"/>
  <c r="DJ103" i="3"/>
  <c r="AH68" i="13"/>
  <c r="BP103" i="3"/>
  <c r="DF99" i="3"/>
  <c r="AK102" i="13"/>
  <c r="AN102" i="13"/>
  <c r="AP102" i="13"/>
  <c r="AL102" i="13"/>
  <c r="AG102" i="13"/>
  <c r="AM102" i="13"/>
  <c r="EL100" i="3"/>
  <c r="DF86" i="3"/>
  <c r="AV100" i="13"/>
  <c r="AL388" i="13"/>
  <c r="AI388" i="13"/>
  <c r="AH102" i="13"/>
  <c r="DF259" i="3"/>
  <c r="DF155" i="3"/>
  <c r="DF228" i="3"/>
  <c r="DF269" i="3"/>
  <c r="DF184" i="3"/>
  <c r="DF165" i="3"/>
  <c r="DF307" i="3"/>
  <c r="DF193" i="3"/>
  <c r="DF308" i="3"/>
  <c r="BP269" i="3"/>
  <c r="BP234" i="3"/>
  <c r="BP180" i="3"/>
  <c r="DF70" i="3"/>
  <c r="BP70" i="3"/>
  <c r="BP137" i="3"/>
  <c r="DF174" i="3"/>
  <c r="BP113" i="3"/>
  <c r="DF268" i="3"/>
  <c r="BP93" i="3"/>
  <c r="BP179" i="3"/>
  <c r="BP71" i="3"/>
  <c r="BP295" i="3"/>
  <c r="BP128" i="3"/>
  <c r="BP92" i="3"/>
  <c r="BP55" i="3"/>
  <c r="BP87" i="3"/>
  <c r="BP98" i="3"/>
  <c r="BP56" i="3"/>
  <c r="DF275" i="3"/>
  <c r="DF302" i="3"/>
  <c r="BP147" i="3"/>
  <c r="BP293" i="3"/>
  <c r="BP166" i="3"/>
  <c r="BP60" i="3"/>
  <c r="BP302" i="3"/>
  <c r="BP64" i="3"/>
  <c r="BP79" i="3"/>
  <c r="DF229" i="3"/>
  <c r="BP85" i="3"/>
  <c r="BP198" i="3"/>
  <c r="BP193" i="3"/>
  <c r="BP270" i="3"/>
  <c r="BP102" i="3"/>
  <c r="BP165" i="3"/>
  <c r="BP259" i="3"/>
  <c r="BP255" i="3"/>
  <c r="BP48" i="3"/>
  <c r="BP82" i="3"/>
  <c r="BP89" i="3"/>
  <c r="DF189" i="3"/>
  <c r="DF168" i="3"/>
  <c r="BP219" i="3"/>
  <c r="BP264" i="3"/>
  <c r="BP182" i="3"/>
  <c r="BP169" i="3"/>
  <c r="BP276" i="3"/>
  <c r="BP149" i="3"/>
  <c r="BP160" i="3"/>
  <c r="BP307" i="3"/>
  <c r="BP189" i="3"/>
  <c r="BP168" i="3"/>
  <c r="BP296" i="3"/>
  <c r="BP280" i="3"/>
  <c r="DF262" i="3"/>
  <c r="DF181" i="3"/>
  <c r="BP155" i="3"/>
  <c r="BP41" i="3"/>
  <c r="BP110" i="3"/>
  <c r="BP281" i="3"/>
  <c r="BP91" i="3"/>
  <c r="BP228" i="3"/>
  <c r="BP161" i="3"/>
  <c r="BP129" i="3"/>
  <c r="BP262" i="3"/>
  <c r="DF171" i="3"/>
  <c r="BP162" i="3"/>
  <c r="BP88" i="3"/>
  <c r="BP97" i="3"/>
  <c r="BP67" i="3"/>
  <c r="BP159" i="3"/>
  <c r="BP229" i="3"/>
  <c r="BP171" i="3"/>
  <c r="BP184" i="3"/>
  <c r="BP174" i="3"/>
  <c r="BP58" i="3"/>
  <c r="DF266" i="3"/>
  <c r="BP90" i="3"/>
  <c r="BP283" i="3"/>
  <c r="DF177" i="3"/>
  <c r="DF103" i="3"/>
  <c r="BP95" i="3"/>
  <c r="BP282" i="3"/>
  <c r="BP268" i="3"/>
  <c r="BP175" i="3"/>
  <c r="BP94" i="3"/>
  <c r="BP308" i="3"/>
  <c r="BP266" i="3"/>
  <c r="BP52" i="3"/>
  <c r="EU54" i="3"/>
  <c r="BA83" i="3"/>
  <c r="BA76" i="3"/>
  <c r="CO67" i="3"/>
  <c r="R70" i="13" s="1"/>
  <c r="DF67" i="3"/>
  <c r="CO79" i="3"/>
  <c r="R82" i="13" s="1"/>
  <c r="DF79" i="3"/>
  <c r="CO48" i="3"/>
  <c r="DF48" i="3"/>
  <c r="CO55" i="3"/>
  <c r="R58" i="13" s="1"/>
  <c r="DF55" i="3"/>
  <c r="CO64" i="3"/>
  <c r="R67" i="13" s="1"/>
  <c r="DF64" i="3"/>
  <c r="CO52" i="3"/>
  <c r="R55" i="13" s="1"/>
  <c r="DF52" i="3"/>
  <c r="CO56" i="3"/>
  <c r="R59" i="13" s="1"/>
  <c r="DF56" i="3"/>
  <c r="CO68" i="3"/>
  <c r="R71" i="13" s="1"/>
  <c r="DF68" i="3"/>
  <c r="CO81" i="3"/>
  <c r="R84" i="13" s="1"/>
  <c r="CO50" i="3"/>
  <c r="R53" i="13" s="1"/>
  <c r="CO82" i="3"/>
  <c r="R85" i="13" s="1"/>
  <c r="DF82" i="3"/>
  <c r="CO60" i="3"/>
  <c r="R63" i="13" s="1"/>
  <c r="DF60" i="3"/>
  <c r="CO71" i="3"/>
  <c r="R74" i="13" s="1"/>
  <c r="DF71" i="3"/>
  <c r="CO58" i="3"/>
  <c r="R61" i="13" s="1"/>
  <c r="DF58" i="3"/>
  <c r="DH76" i="3"/>
  <c r="AV55" i="13"/>
  <c r="AK55" i="13" s="1"/>
  <c r="AV85" i="13"/>
  <c r="AP85" i="13" s="1"/>
  <c r="CD27" i="3"/>
  <c r="R47" i="22"/>
  <c r="Y47" i="22" s="1"/>
  <c r="AF47" i="22" s="1"/>
  <c r="AN47" i="22" s="1"/>
  <c r="E48" i="22"/>
  <c r="T47" i="22"/>
  <c r="AA47" i="22" s="1"/>
  <c r="AH47" i="22" s="1"/>
  <c r="AP47" i="22" s="1"/>
  <c r="G48" i="22"/>
  <c r="S47" i="22"/>
  <c r="Z47" i="22" s="1"/>
  <c r="AG47" i="22" s="1"/>
  <c r="F48" i="22"/>
  <c r="W47" i="22"/>
  <c r="AD47" i="22" s="1"/>
  <c r="C48" i="22"/>
  <c r="P48" i="22" s="1"/>
  <c r="CE83" i="3"/>
  <c r="AV53" i="13"/>
  <c r="AL53" i="13" s="1"/>
  <c r="AQ345" i="13"/>
  <c r="DH83" i="3"/>
  <c r="AQ339" i="13"/>
  <c r="AQ329" i="13"/>
  <c r="AQ386" i="13"/>
  <c r="AQ331" i="13"/>
  <c r="AI362" i="13"/>
  <c r="AL341" i="13"/>
  <c r="AI341" i="13"/>
  <c r="AL362" i="13"/>
  <c r="BI226" i="3"/>
  <c r="DW226" i="3"/>
  <c r="BI220" i="3"/>
  <c r="DW220" i="3"/>
  <c r="DW227" i="3"/>
  <c r="DW66" i="3"/>
  <c r="BI116" i="3"/>
  <c r="DW116" i="3"/>
  <c r="BI232" i="3"/>
  <c r="DW232" i="3"/>
  <c r="BI115" i="3"/>
  <c r="DW115" i="3"/>
  <c r="BI118" i="3"/>
  <c r="DW118" i="3"/>
  <c r="BI124" i="3"/>
  <c r="DW124" i="3"/>
  <c r="BI78" i="3"/>
  <c r="DW78" i="3"/>
  <c r="BI119" i="3"/>
  <c r="DW119" i="3"/>
  <c r="DW212" i="3"/>
  <c r="DW214" i="3"/>
  <c r="AL83" i="3"/>
  <c r="BI213" i="3"/>
  <c r="DW213" i="3"/>
  <c r="DW215" i="3"/>
  <c r="DC54" i="3"/>
  <c r="AI357" i="13"/>
  <c r="AL357" i="13"/>
  <c r="AG357" i="13"/>
  <c r="AI378" i="13"/>
  <c r="AG378" i="13"/>
  <c r="AL378" i="13"/>
  <c r="AI377" i="13"/>
  <c r="AL377" i="13"/>
  <c r="AG377" i="13"/>
  <c r="AG333" i="13"/>
  <c r="AQ366" i="13"/>
  <c r="CE44" i="3"/>
  <c r="DC63" i="3"/>
  <c r="DC59" i="3"/>
  <c r="AL351" i="13"/>
  <c r="AI351" i="13"/>
  <c r="CD44" i="3"/>
  <c r="AI356" i="13"/>
  <c r="AL356" i="13"/>
  <c r="AL354" i="13"/>
  <c r="AI354" i="13"/>
  <c r="AQ347" i="13"/>
  <c r="AG322" i="13"/>
  <c r="AQ355" i="13"/>
  <c r="AG321" i="13"/>
  <c r="CD16" i="3"/>
  <c r="V22" i="5"/>
  <c r="AG22" i="5"/>
  <c r="L22" i="5" s="1"/>
  <c r="AH335" i="13"/>
  <c r="AH336" i="13"/>
  <c r="AH334" i="13"/>
  <c r="AH337" i="13"/>
  <c r="V115" i="5"/>
  <c r="AG28" i="5"/>
  <c r="L28" i="5" s="1"/>
  <c r="V66" i="5"/>
  <c r="V124" i="5"/>
  <c r="V227" i="5"/>
  <c r="V76" i="5"/>
  <c r="V118" i="5"/>
  <c r="V122" i="5"/>
  <c r="V232" i="5"/>
  <c r="V36" i="5"/>
  <c r="V116" i="5"/>
  <c r="V119" i="5"/>
  <c r="V78" i="5"/>
  <c r="V77" i="5"/>
  <c r="V220" i="5"/>
  <c r="V38" i="5"/>
  <c r="V226" i="5"/>
  <c r="V212" i="5"/>
  <c r="V214" i="5"/>
  <c r="V213" i="5"/>
  <c r="V215" i="5"/>
  <c r="AV90" i="13"/>
  <c r="AL90" i="13" s="1"/>
  <c r="AG315" i="13"/>
  <c r="AH315" i="13"/>
  <c r="AV84" i="13"/>
  <c r="AM84" i="13" s="1"/>
  <c r="AV74" i="13"/>
  <c r="AL74" i="13" s="1"/>
  <c r="AG316" i="13"/>
  <c r="AQ367" i="13"/>
  <c r="AV91" i="13"/>
  <c r="AG91" i="13" s="1"/>
  <c r="CE27" i="3"/>
  <c r="AP64" i="13"/>
  <c r="AL64" i="13"/>
  <c r="AN64" i="13"/>
  <c r="AK64" i="13"/>
  <c r="AG64" i="13"/>
  <c r="AM64" i="13"/>
  <c r="DJ61" i="3"/>
  <c r="CE28" i="3"/>
  <c r="AG323" i="13"/>
  <c r="AH213" i="13"/>
  <c r="AR213" i="13" s="1"/>
  <c r="AH192" i="13"/>
  <c r="AH246" i="13"/>
  <c r="AR246" i="13" s="1"/>
  <c r="AH252" i="13"/>
  <c r="AR252" i="13" s="1"/>
  <c r="AH269" i="13"/>
  <c r="AR269" i="13" s="1"/>
  <c r="AH219" i="13"/>
  <c r="AR219" i="13" s="1"/>
  <c r="AL25" i="22"/>
  <c r="EL230" i="3"/>
  <c r="EL274" i="3"/>
  <c r="CG230" i="3"/>
  <c r="AH308" i="13"/>
  <c r="AH265" i="13"/>
  <c r="AR265" i="13" s="1"/>
  <c r="AR233" i="13"/>
  <c r="AH240" i="13"/>
  <c r="AR240" i="13" s="1"/>
  <c r="CR305" i="3"/>
  <c r="AH227" i="13"/>
  <c r="AH276" i="13"/>
  <c r="CR273" i="3"/>
  <c r="AH271" i="13"/>
  <c r="CR268" i="3"/>
  <c r="AH275" i="13"/>
  <c r="CR272" i="3"/>
  <c r="AI472" i="13"/>
  <c r="AH272" i="13"/>
  <c r="CR306" i="3"/>
  <c r="CR223" i="3"/>
  <c r="CR248" i="3"/>
  <c r="AL496" i="13"/>
  <c r="CR244" i="3"/>
  <c r="CR307" i="3"/>
  <c r="CR263" i="3"/>
  <c r="AL478" i="13"/>
  <c r="AL472" i="13"/>
  <c r="CR258" i="3"/>
  <c r="CR290" i="3"/>
  <c r="EL247" i="3"/>
  <c r="CG247" i="3"/>
  <c r="CR267" i="3"/>
  <c r="CR287" i="3"/>
  <c r="AH151" i="13"/>
  <c r="CR286" i="3"/>
  <c r="CR299" i="3"/>
  <c r="AH259" i="13"/>
  <c r="CR271" i="3"/>
  <c r="AH280" i="13"/>
  <c r="AI478" i="13"/>
  <c r="AH373" i="13"/>
  <c r="CR294" i="3"/>
  <c r="AH304" i="13"/>
  <c r="CR238" i="3"/>
  <c r="CR250" i="3"/>
  <c r="AI462" i="13"/>
  <c r="AL469" i="13"/>
  <c r="AI496" i="13"/>
  <c r="CR275" i="3"/>
  <c r="AL462" i="13"/>
  <c r="AI469" i="13"/>
  <c r="CR302" i="3"/>
  <c r="CR251" i="3"/>
  <c r="CR291" i="3"/>
  <c r="AR221" i="13"/>
  <c r="AP310" i="13"/>
  <c r="AK310" i="13"/>
  <c r="AL310" i="13"/>
  <c r="AN310" i="13"/>
  <c r="AG310" i="13"/>
  <c r="AM310" i="13"/>
  <c r="AK309" i="13"/>
  <c r="AP309" i="13"/>
  <c r="AG309" i="13"/>
  <c r="AM309" i="13"/>
  <c r="AN309" i="13"/>
  <c r="AL309" i="13"/>
  <c r="AV306" i="13"/>
  <c r="DF303" i="3"/>
  <c r="AN311" i="13"/>
  <c r="AG311" i="13"/>
  <c r="AP311" i="13"/>
  <c r="AK311" i="13"/>
  <c r="AM311" i="13"/>
  <c r="AL311" i="13"/>
  <c r="AH311" i="13"/>
  <c r="AP308" i="13"/>
  <c r="AG308" i="13"/>
  <c r="AK308" i="13"/>
  <c r="AM308" i="13"/>
  <c r="AL308" i="13"/>
  <c r="AN308" i="13"/>
  <c r="AR303" i="13"/>
  <c r="DJ308" i="3"/>
  <c r="DJ305" i="3"/>
  <c r="AP305" i="13"/>
  <c r="AG305" i="13"/>
  <c r="AK305" i="13"/>
  <c r="AL305" i="13"/>
  <c r="AN305" i="13"/>
  <c r="AM305" i="13"/>
  <c r="AK304" i="13"/>
  <c r="AP304" i="13"/>
  <c r="AL304" i="13"/>
  <c r="AG304" i="13"/>
  <c r="AN304" i="13"/>
  <c r="AM304" i="13"/>
  <c r="DJ307" i="3"/>
  <c r="DJ306" i="3"/>
  <c r="AR307" i="13"/>
  <c r="DJ302" i="3"/>
  <c r="DJ301" i="3"/>
  <c r="DJ289" i="3"/>
  <c r="AK278" i="13"/>
  <c r="AG278" i="13"/>
  <c r="AM278" i="13"/>
  <c r="AN278" i="13"/>
  <c r="AP278" i="13"/>
  <c r="AL278" i="13"/>
  <c r="DJ292" i="3"/>
  <c r="AK297" i="13"/>
  <c r="AP297" i="13"/>
  <c r="AG297" i="13"/>
  <c r="AM297" i="13"/>
  <c r="AL297" i="13"/>
  <c r="AN297" i="13"/>
  <c r="DJ269" i="3"/>
  <c r="DJ284" i="3"/>
  <c r="DJ290" i="3"/>
  <c r="AR288" i="13"/>
  <c r="DJ273" i="3"/>
  <c r="AK281" i="13"/>
  <c r="AP281" i="13"/>
  <c r="AG281" i="13"/>
  <c r="AN281" i="13"/>
  <c r="AM281" i="13"/>
  <c r="AL281" i="13"/>
  <c r="AP294" i="13"/>
  <c r="AK294" i="13"/>
  <c r="AL294" i="13"/>
  <c r="AG294" i="13"/>
  <c r="AM294" i="13"/>
  <c r="AN294" i="13"/>
  <c r="AR300" i="13"/>
  <c r="DJ275" i="3"/>
  <c r="AP295" i="13"/>
  <c r="AK295" i="13"/>
  <c r="AG295" i="13"/>
  <c r="AM295" i="13"/>
  <c r="AL295" i="13"/>
  <c r="AN295" i="13"/>
  <c r="DF280" i="3"/>
  <c r="AV283" i="13"/>
  <c r="CR280" i="3"/>
  <c r="DF281" i="3"/>
  <c r="AV284" i="13"/>
  <c r="CR281" i="3"/>
  <c r="DF282" i="3"/>
  <c r="AV285" i="13"/>
  <c r="DJ277" i="3"/>
  <c r="DJ268" i="3"/>
  <c r="DF298" i="3"/>
  <c r="AV301" i="13"/>
  <c r="DJ278" i="3"/>
  <c r="DJ286" i="3"/>
  <c r="DJ272" i="3"/>
  <c r="DJ279" i="3"/>
  <c r="AV279" i="13"/>
  <c r="DF276" i="3"/>
  <c r="CR276" i="3"/>
  <c r="DJ287" i="3"/>
  <c r="AN274" i="13"/>
  <c r="AG274" i="13"/>
  <c r="AK274" i="13"/>
  <c r="AP274" i="13"/>
  <c r="AM274" i="13"/>
  <c r="AL274" i="13"/>
  <c r="DF295" i="3"/>
  <c r="AV298" i="13"/>
  <c r="AP302" i="13"/>
  <c r="AK302" i="13"/>
  <c r="AG302" i="13"/>
  <c r="AL302" i="13"/>
  <c r="AM302" i="13"/>
  <c r="AN302" i="13"/>
  <c r="AV286" i="13"/>
  <c r="DF283" i="3"/>
  <c r="DF270" i="3"/>
  <c r="AV273" i="13"/>
  <c r="AV296" i="13"/>
  <c r="DF293" i="3"/>
  <c r="AP280" i="13"/>
  <c r="AM280" i="13"/>
  <c r="AG280" i="13"/>
  <c r="AL280" i="13"/>
  <c r="AN280" i="13"/>
  <c r="AK280" i="13"/>
  <c r="AK271" i="13"/>
  <c r="AP271" i="13"/>
  <c r="AN271" i="13"/>
  <c r="AM271" i="13"/>
  <c r="AG271" i="13"/>
  <c r="AL271" i="13"/>
  <c r="AM289" i="13"/>
  <c r="AN289" i="13"/>
  <c r="AL289" i="13"/>
  <c r="AP289" i="13"/>
  <c r="AG289" i="13"/>
  <c r="AK289" i="13"/>
  <c r="AK275" i="13"/>
  <c r="AP275" i="13"/>
  <c r="AG275" i="13"/>
  <c r="AM275" i="13"/>
  <c r="AL275" i="13"/>
  <c r="AN275" i="13"/>
  <c r="AP282" i="13"/>
  <c r="AM282" i="13"/>
  <c r="AG282" i="13"/>
  <c r="AK282" i="13"/>
  <c r="AL282" i="13"/>
  <c r="AN282" i="13"/>
  <c r="AH282" i="13"/>
  <c r="CG274" i="3"/>
  <c r="AK290" i="13"/>
  <c r="AP290" i="13"/>
  <c r="AG290" i="13"/>
  <c r="AN290" i="13"/>
  <c r="AL290" i="13"/>
  <c r="AM290" i="13"/>
  <c r="DJ271" i="3"/>
  <c r="AM292" i="13"/>
  <c r="AG292" i="13"/>
  <c r="AL292" i="13"/>
  <c r="AK292" i="13"/>
  <c r="AN292" i="13"/>
  <c r="AP292" i="13"/>
  <c r="AH292" i="13"/>
  <c r="DF296" i="3"/>
  <c r="AV299" i="13"/>
  <c r="CR296" i="3"/>
  <c r="DJ294" i="3"/>
  <c r="DJ299" i="3"/>
  <c r="AP272" i="13"/>
  <c r="AL272" i="13"/>
  <c r="AK272" i="13"/>
  <c r="AG272" i="13"/>
  <c r="AN272" i="13"/>
  <c r="AM272" i="13"/>
  <c r="AK287" i="13"/>
  <c r="AL287" i="13"/>
  <c r="AG287" i="13"/>
  <c r="AP287" i="13"/>
  <c r="AN287" i="13"/>
  <c r="AM287" i="13"/>
  <c r="AH287" i="13"/>
  <c r="AH295" i="13"/>
  <c r="AK293" i="13"/>
  <c r="AP293" i="13"/>
  <c r="AM293" i="13"/>
  <c r="AG293" i="13"/>
  <c r="AL293" i="13"/>
  <c r="AN293" i="13"/>
  <c r="AP276" i="13"/>
  <c r="AK276" i="13"/>
  <c r="AG276" i="13"/>
  <c r="AM276" i="13"/>
  <c r="AN276" i="13"/>
  <c r="AL276" i="13"/>
  <c r="DJ291" i="3"/>
  <c r="AR291" i="13"/>
  <c r="DJ267" i="3"/>
  <c r="DJ256" i="3"/>
  <c r="AG266" i="13"/>
  <c r="AK266" i="13"/>
  <c r="AN266" i="13"/>
  <c r="AP266" i="13"/>
  <c r="AM266" i="13"/>
  <c r="AL266" i="13"/>
  <c r="DF261" i="3"/>
  <c r="AV264" i="13"/>
  <c r="CR261" i="3"/>
  <c r="AK261" i="13"/>
  <c r="AP261" i="13"/>
  <c r="AM261" i="13"/>
  <c r="AG261" i="13"/>
  <c r="AN261" i="13"/>
  <c r="AL261" i="13"/>
  <c r="AK259" i="13"/>
  <c r="AP259" i="13"/>
  <c r="AG259" i="13"/>
  <c r="AL259" i="13"/>
  <c r="AM259" i="13"/>
  <c r="AN259" i="13"/>
  <c r="DJ263" i="3"/>
  <c r="DJ252" i="3"/>
  <c r="AK262" i="13"/>
  <c r="AN262" i="13"/>
  <c r="AP262" i="13"/>
  <c r="AL262" i="13"/>
  <c r="AG262" i="13"/>
  <c r="AM262" i="13"/>
  <c r="AG268" i="13"/>
  <c r="AN268" i="13"/>
  <c r="AK268" i="13"/>
  <c r="AP268" i="13"/>
  <c r="AL268" i="13"/>
  <c r="AH268" i="13"/>
  <c r="AM268" i="13"/>
  <c r="DF255" i="3"/>
  <c r="AV258" i="13"/>
  <c r="DJ258" i="3"/>
  <c r="AK255" i="13"/>
  <c r="AG255" i="13"/>
  <c r="AP255" i="13"/>
  <c r="AN255" i="13"/>
  <c r="AL255" i="13"/>
  <c r="AM255" i="13"/>
  <c r="DJ259" i="3"/>
  <c r="DJ265" i="3"/>
  <c r="AK257" i="13"/>
  <c r="AG257" i="13"/>
  <c r="AP257" i="13"/>
  <c r="AM257" i="13"/>
  <c r="AL257" i="13"/>
  <c r="AN257" i="13"/>
  <c r="DF264" i="3"/>
  <c r="AV267" i="13"/>
  <c r="CR264" i="3"/>
  <c r="AG263" i="13"/>
  <c r="AK263" i="13"/>
  <c r="AM263" i="13"/>
  <c r="AL263" i="13"/>
  <c r="AP263" i="13"/>
  <c r="AN263" i="13"/>
  <c r="AH263" i="13"/>
  <c r="AP270" i="13"/>
  <c r="AN270" i="13"/>
  <c r="AK270" i="13"/>
  <c r="AG270" i="13"/>
  <c r="AL270" i="13"/>
  <c r="AM270" i="13"/>
  <c r="AR256" i="13"/>
  <c r="AH255" i="13"/>
  <c r="CR252" i="3"/>
  <c r="AR260" i="13"/>
  <c r="DJ254" i="3"/>
  <c r="DJ260" i="3"/>
  <c r="DJ251" i="3"/>
  <c r="AP253" i="13"/>
  <c r="AG253" i="13"/>
  <c r="AM253" i="13"/>
  <c r="AK253" i="13"/>
  <c r="AN253" i="13"/>
  <c r="AL253" i="13"/>
  <c r="AP254" i="13"/>
  <c r="AG254" i="13"/>
  <c r="AL254" i="13"/>
  <c r="AK254" i="13"/>
  <c r="AM254" i="13"/>
  <c r="AN254" i="13"/>
  <c r="DJ250" i="3"/>
  <c r="DJ248" i="3"/>
  <c r="AK251" i="13"/>
  <c r="AG251" i="13"/>
  <c r="AM251" i="13"/>
  <c r="AN251" i="13"/>
  <c r="AL251" i="13"/>
  <c r="AP251" i="13"/>
  <c r="AL247" i="13"/>
  <c r="AP247" i="13"/>
  <c r="AN247" i="13"/>
  <c r="AK247" i="13"/>
  <c r="AM247" i="13"/>
  <c r="AG247" i="13"/>
  <c r="DJ244" i="3"/>
  <c r="DJ238" i="3"/>
  <c r="AP242" i="13"/>
  <c r="AN242" i="13"/>
  <c r="AG242" i="13"/>
  <c r="AK242" i="13"/>
  <c r="AM242" i="13"/>
  <c r="AL242" i="13"/>
  <c r="AP241" i="13"/>
  <c r="AG241" i="13"/>
  <c r="AK241" i="13"/>
  <c r="AL241" i="13"/>
  <c r="AM241" i="13"/>
  <c r="AN241" i="13"/>
  <c r="DJ239" i="3"/>
  <c r="EL236" i="3"/>
  <c r="CG236" i="3"/>
  <c r="CL233" i="3"/>
  <c r="AL232" i="3"/>
  <c r="AG234" i="13"/>
  <c r="AK234" i="13"/>
  <c r="AP234" i="13"/>
  <c r="AM234" i="13"/>
  <c r="AN234" i="13"/>
  <c r="AL234" i="13"/>
  <c r="AH234" i="13"/>
  <c r="AV237" i="13"/>
  <c r="DF234" i="3"/>
  <c r="CR234" i="3"/>
  <c r="EL235" i="3"/>
  <c r="DJ231" i="3"/>
  <c r="AL227" i="3"/>
  <c r="AL226" i="3"/>
  <c r="DJ229" i="3"/>
  <c r="AK227" i="13"/>
  <c r="AP227" i="13"/>
  <c r="AG227" i="13"/>
  <c r="AN227" i="13"/>
  <c r="AL227" i="13"/>
  <c r="AM227" i="13"/>
  <c r="AK228" i="13"/>
  <c r="AP228" i="13"/>
  <c r="AG228" i="13"/>
  <c r="AM228" i="13"/>
  <c r="AL228" i="13"/>
  <c r="AN228" i="13"/>
  <c r="DJ228" i="3"/>
  <c r="AH228" i="13"/>
  <c r="AK231" i="13"/>
  <c r="AP231" i="13"/>
  <c r="AG231" i="13"/>
  <c r="AM231" i="13"/>
  <c r="AL231" i="13"/>
  <c r="AN231" i="13"/>
  <c r="AH231" i="13"/>
  <c r="AK232" i="13"/>
  <c r="AL232" i="13"/>
  <c r="AG232" i="13"/>
  <c r="AN232" i="13"/>
  <c r="AP232" i="13"/>
  <c r="AH232" i="13"/>
  <c r="AM232" i="13"/>
  <c r="DJ224" i="3"/>
  <c r="DJ225" i="3"/>
  <c r="AK226" i="13"/>
  <c r="AG226" i="13"/>
  <c r="AL226" i="13"/>
  <c r="AP226" i="13"/>
  <c r="AM226" i="13"/>
  <c r="AN226" i="13"/>
  <c r="DJ223" i="3"/>
  <c r="CL221" i="3"/>
  <c r="AL220" i="3"/>
  <c r="DF219" i="3"/>
  <c r="AV222" i="13"/>
  <c r="CR219" i="3"/>
  <c r="CL215" i="3"/>
  <c r="CL214" i="3"/>
  <c r="AR184" i="13"/>
  <c r="AL151" i="13"/>
  <c r="AN151" i="13"/>
  <c r="AM151" i="13"/>
  <c r="AK151" i="13"/>
  <c r="AG151" i="13"/>
  <c r="AT70" i="5"/>
  <c r="AT409" i="5" s="1"/>
  <c r="AW77" i="5"/>
  <c r="AW416" i="5" s="1"/>
  <c r="R411" i="5" s="1"/>
  <c r="AQ409" i="5"/>
  <c r="G412" i="5" s="1"/>
  <c r="AR70" i="5"/>
  <c r="AP151" i="13"/>
  <c r="AL78" i="3"/>
  <c r="AL89" i="13"/>
  <c r="AN89" i="13"/>
  <c r="AM89" i="13"/>
  <c r="AG89" i="13"/>
  <c r="AK89" i="13"/>
  <c r="DJ148" i="3"/>
  <c r="AV131" i="13"/>
  <c r="AL131" i="13" s="1"/>
  <c r="DJ193" i="3"/>
  <c r="CG135" i="3"/>
  <c r="EL135" i="3"/>
  <c r="DJ209" i="3"/>
  <c r="CG204" i="3"/>
  <c r="CR206" i="3"/>
  <c r="AV116" i="13"/>
  <c r="AN116" i="13" s="1"/>
  <c r="DF113" i="3"/>
  <c r="CG211" i="3"/>
  <c r="AR206" i="13"/>
  <c r="CR217" i="3"/>
  <c r="DJ217" i="3"/>
  <c r="AH220" i="13"/>
  <c r="AP220" i="13"/>
  <c r="AL220" i="13"/>
  <c r="AN220" i="13"/>
  <c r="AK220" i="13"/>
  <c r="AM220" i="13"/>
  <c r="AG220" i="13"/>
  <c r="AL213" i="3"/>
  <c r="AL212" i="3"/>
  <c r="AG209" i="13"/>
  <c r="AP209" i="13"/>
  <c r="AK209" i="13"/>
  <c r="AN209" i="13"/>
  <c r="AM209" i="13"/>
  <c r="AL209" i="13"/>
  <c r="AP205" i="13"/>
  <c r="AG205" i="13"/>
  <c r="AK205" i="13"/>
  <c r="AN205" i="13"/>
  <c r="AL205" i="13"/>
  <c r="AM205" i="13"/>
  <c r="AH205" i="13"/>
  <c r="DJ202" i="3"/>
  <c r="AK204" i="13"/>
  <c r="AP204" i="13"/>
  <c r="AL204" i="13"/>
  <c r="AG204" i="13"/>
  <c r="AM204" i="13"/>
  <c r="AN204" i="13"/>
  <c r="DJ201" i="3"/>
  <c r="AK203" i="13"/>
  <c r="AM203" i="13"/>
  <c r="AL203" i="13"/>
  <c r="AG203" i="13"/>
  <c r="AP203" i="13"/>
  <c r="AN203" i="13"/>
  <c r="DJ200" i="3"/>
  <c r="DJ199" i="3"/>
  <c r="AK202" i="13"/>
  <c r="AM202" i="13"/>
  <c r="AG202" i="13"/>
  <c r="AP202" i="13"/>
  <c r="AL202" i="13"/>
  <c r="AN202" i="13"/>
  <c r="AP196" i="13"/>
  <c r="AK196" i="13"/>
  <c r="AG196" i="13"/>
  <c r="AL196" i="13"/>
  <c r="AN196" i="13"/>
  <c r="AM196" i="13"/>
  <c r="AH196" i="13"/>
  <c r="DJ191" i="3"/>
  <c r="AG194" i="13"/>
  <c r="AP194" i="13"/>
  <c r="AM194" i="13"/>
  <c r="AL194" i="13"/>
  <c r="AN194" i="13"/>
  <c r="AK194" i="13"/>
  <c r="DJ187" i="3"/>
  <c r="AP191" i="13"/>
  <c r="AN191" i="13"/>
  <c r="AG191" i="13"/>
  <c r="AM191" i="13"/>
  <c r="AK191" i="13"/>
  <c r="AL191" i="13"/>
  <c r="AK190" i="13"/>
  <c r="AP190" i="13"/>
  <c r="AG190" i="13"/>
  <c r="AN190" i="13"/>
  <c r="AL190" i="13"/>
  <c r="AM190" i="13"/>
  <c r="DJ188" i="3"/>
  <c r="DJ186" i="3"/>
  <c r="AK189" i="13"/>
  <c r="AG189" i="13"/>
  <c r="AP189" i="13"/>
  <c r="AN189" i="13"/>
  <c r="AL189" i="13"/>
  <c r="AM189" i="13"/>
  <c r="AH189" i="13"/>
  <c r="AP188" i="13"/>
  <c r="AK188" i="13"/>
  <c r="AN188" i="13"/>
  <c r="AG188" i="13"/>
  <c r="AL188" i="13"/>
  <c r="AM188" i="13"/>
  <c r="DJ185" i="3"/>
  <c r="DF157" i="3"/>
  <c r="DF158" i="3"/>
  <c r="DJ167" i="3"/>
  <c r="DJ155" i="3"/>
  <c r="AV178" i="13"/>
  <c r="AP160" i="13"/>
  <c r="AK160" i="13"/>
  <c r="AG160" i="13"/>
  <c r="AN160" i="13"/>
  <c r="AM160" i="13"/>
  <c r="AL160" i="13"/>
  <c r="AP164" i="13"/>
  <c r="AK164" i="13"/>
  <c r="AG164" i="13"/>
  <c r="AN164" i="13"/>
  <c r="AM164" i="13"/>
  <c r="AL164" i="13"/>
  <c r="DF163" i="3"/>
  <c r="AV166" i="13"/>
  <c r="AV182" i="13"/>
  <c r="AV165" i="13"/>
  <c r="AP170" i="13"/>
  <c r="AG170" i="13"/>
  <c r="AK170" i="13"/>
  <c r="AL170" i="13"/>
  <c r="AM170" i="13"/>
  <c r="AN170" i="13"/>
  <c r="DJ156" i="3"/>
  <c r="AV185" i="13"/>
  <c r="AG176" i="13"/>
  <c r="AK176" i="13"/>
  <c r="AM176" i="13"/>
  <c r="AP176" i="13"/>
  <c r="AL176" i="13"/>
  <c r="AN176" i="13"/>
  <c r="AR173" i="13"/>
  <c r="AH175" i="13"/>
  <c r="AM159" i="13"/>
  <c r="AK159" i="13"/>
  <c r="AN159" i="13"/>
  <c r="AG159" i="13"/>
  <c r="AL159" i="13"/>
  <c r="AP159" i="13"/>
  <c r="AH159" i="13"/>
  <c r="AH162" i="13"/>
  <c r="AG177" i="13"/>
  <c r="AP177" i="13"/>
  <c r="AK177" i="13"/>
  <c r="AN177" i="13"/>
  <c r="AM177" i="13"/>
  <c r="AL177" i="13"/>
  <c r="AH176" i="13"/>
  <c r="AK187" i="13"/>
  <c r="AG187" i="13"/>
  <c r="AN187" i="13"/>
  <c r="AP187" i="13"/>
  <c r="AL187" i="13"/>
  <c r="AM187" i="13"/>
  <c r="AP161" i="13"/>
  <c r="AK161" i="13"/>
  <c r="AG161" i="13"/>
  <c r="AN161" i="13"/>
  <c r="AM161" i="13"/>
  <c r="AL161" i="13"/>
  <c r="AG162" i="13"/>
  <c r="AK162" i="13"/>
  <c r="AP162" i="13"/>
  <c r="AM162" i="13"/>
  <c r="AL162" i="13"/>
  <c r="AN162" i="13"/>
  <c r="DJ173" i="3"/>
  <c r="AG175" i="13"/>
  <c r="AL175" i="13"/>
  <c r="AP175" i="13"/>
  <c r="AM175" i="13"/>
  <c r="AN175" i="13"/>
  <c r="AK175" i="13"/>
  <c r="DJ165" i="3"/>
  <c r="AG181" i="13"/>
  <c r="AK181" i="13"/>
  <c r="AP181" i="13"/>
  <c r="AL181" i="13"/>
  <c r="AM181" i="13"/>
  <c r="AN181" i="13"/>
  <c r="DJ164" i="3"/>
  <c r="AH177" i="13"/>
  <c r="DJ174" i="3"/>
  <c r="AR171" i="13"/>
  <c r="DJ184" i="3"/>
  <c r="AK158" i="13"/>
  <c r="AG158" i="13"/>
  <c r="AP158" i="13"/>
  <c r="AN158" i="13"/>
  <c r="AM158" i="13"/>
  <c r="AL158" i="13"/>
  <c r="DF180" i="3"/>
  <c r="AV183" i="13"/>
  <c r="DJ172" i="3"/>
  <c r="AP168" i="13"/>
  <c r="AL168" i="13"/>
  <c r="AG168" i="13"/>
  <c r="AN168" i="13"/>
  <c r="AM168" i="13"/>
  <c r="AK168" i="13"/>
  <c r="AH168" i="13"/>
  <c r="AK167" i="13"/>
  <c r="AG167" i="13"/>
  <c r="AP167" i="13"/>
  <c r="AM167" i="13"/>
  <c r="AL167" i="13"/>
  <c r="AN167" i="13"/>
  <c r="AH167" i="13"/>
  <c r="AP163" i="13"/>
  <c r="AK163" i="13"/>
  <c r="AN163" i="13"/>
  <c r="AG163" i="13"/>
  <c r="AL163" i="13"/>
  <c r="AM163" i="13"/>
  <c r="AH157" i="13"/>
  <c r="DJ153" i="3"/>
  <c r="AP157" i="13"/>
  <c r="AG157" i="13"/>
  <c r="AL157" i="13"/>
  <c r="AK157" i="13"/>
  <c r="AM157" i="13"/>
  <c r="AN157" i="13"/>
  <c r="AK156" i="13"/>
  <c r="AP156" i="13"/>
  <c r="AG156" i="13"/>
  <c r="AM156" i="13"/>
  <c r="AL156" i="13"/>
  <c r="AN156" i="13"/>
  <c r="DJ154" i="3"/>
  <c r="CR151" i="3"/>
  <c r="AH153" i="13"/>
  <c r="DJ151" i="3"/>
  <c r="AL154" i="13"/>
  <c r="AN154" i="13"/>
  <c r="AP154" i="13"/>
  <c r="AG154" i="13"/>
  <c r="AK154" i="13"/>
  <c r="AM154" i="13"/>
  <c r="AV155" i="13"/>
  <c r="AV152" i="13"/>
  <c r="AV150" i="13"/>
  <c r="AH146" i="13"/>
  <c r="AR146" i="13" s="1"/>
  <c r="CR143" i="3"/>
  <c r="AH143" i="13"/>
  <c r="AK142" i="13"/>
  <c r="AM142" i="13"/>
  <c r="AN142" i="13"/>
  <c r="AP142" i="13"/>
  <c r="AL142" i="13"/>
  <c r="AG142" i="13"/>
  <c r="DJ139" i="3"/>
  <c r="DJ140" i="3"/>
  <c r="AK143" i="13"/>
  <c r="AP143" i="13"/>
  <c r="AG143" i="13"/>
  <c r="AL143" i="13"/>
  <c r="AN143" i="13"/>
  <c r="AM143" i="13"/>
  <c r="AV140" i="13"/>
  <c r="AR141" i="13"/>
  <c r="AK139" i="13"/>
  <c r="AP139" i="13"/>
  <c r="AG139" i="13"/>
  <c r="AM139" i="13"/>
  <c r="AL139" i="13"/>
  <c r="AN139" i="13"/>
  <c r="DJ136" i="3"/>
  <c r="AH139" i="13"/>
  <c r="EL134" i="3"/>
  <c r="CG134" i="3"/>
  <c r="AV132" i="13"/>
  <c r="EL126" i="3"/>
  <c r="CG126" i="3"/>
  <c r="AL124" i="3"/>
  <c r="AL122" i="3"/>
  <c r="AL119" i="3"/>
  <c r="AL118" i="3"/>
  <c r="AL115" i="3"/>
  <c r="AL116" i="3"/>
  <c r="DF110" i="3"/>
  <c r="AV113" i="13"/>
  <c r="AK112" i="13"/>
  <c r="AN112" i="13"/>
  <c r="AG112" i="13"/>
  <c r="AP112" i="13"/>
  <c r="AM112" i="13"/>
  <c r="AH112" i="13"/>
  <c r="AL112" i="13"/>
  <c r="DJ109" i="3"/>
  <c r="DJ107" i="3"/>
  <c r="AG110" i="13"/>
  <c r="AP110" i="13"/>
  <c r="AM110" i="13"/>
  <c r="AK110" i="13"/>
  <c r="AN110" i="13"/>
  <c r="AL110" i="13"/>
  <c r="AG109" i="13"/>
  <c r="AK109" i="13"/>
  <c r="AM109" i="13"/>
  <c r="AL109" i="13"/>
  <c r="AN109" i="13"/>
  <c r="AP109" i="13"/>
  <c r="DJ106" i="3"/>
  <c r="AM108" i="13"/>
  <c r="AG108" i="13"/>
  <c r="AL108" i="13"/>
  <c r="AP108" i="13"/>
  <c r="AN108" i="13"/>
  <c r="AK108" i="13"/>
  <c r="DJ105" i="3"/>
  <c r="AH106" i="13"/>
  <c r="AV105" i="13"/>
  <c r="AV98" i="13"/>
  <c r="AK99" i="13"/>
  <c r="AP99" i="13"/>
  <c r="AG99" i="13"/>
  <c r="AL99" i="13"/>
  <c r="AN99" i="13"/>
  <c r="AM99" i="13"/>
  <c r="DJ96" i="3"/>
  <c r="AV96" i="13"/>
  <c r="AV97" i="13"/>
  <c r="AV94" i="13"/>
  <c r="AK95" i="13"/>
  <c r="AG95" i="13"/>
  <c r="AL95" i="13"/>
  <c r="AM95" i="13"/>
  <c r="AP95" i="13"/>
  <c r="AN95" i="13"/>
  <c r="AV92" i="13"/>
  <c r="AV93" i="13"/>
  <c r="AM87" i="13"/>
  <c r="AK87" i="13"/>
  <c r="AG87" i="13"/>
  <c r="AP87" i="13"/>
  <c r="AL87" i="13"/>
  <c r="AN87" i="13"/>
  <c r="DJ84" i="3"/>
  <c r="AK83" i="13"/>
  <c r="AP83" i="13"/>
  <c r="AG83" i="13"/>
  <c r="AL83" i="13"/>
  <c r="AM83" i="13"/>
  <c r="AN83" i="13"/>
  <c r="DJ80" i="3"/>
  <c r="AV82" i="13"/>
  <c r="AL76" i="3"/>
  <c r="DJ69" i="3"/>
  <c r="DJ70" i="3"/>
  <c r="AN72" i="13"/>
  <c r="AP72" i="13"/>
  <c r="AK72" i="13"/>
  <c r="AG72" i="13"/>
  <c r="AM72" i="13"/>
  <c r="AL72" i="13"/>
  <c r="AG73" i="13"/>
  <c r="AN73" i="13"/>
  <c r="AK73" i="13"/>
  <c r="AP73" i="13"/>
  <c r="AM73" i="13"/>
  <c r="AL73" i="13"/>
  <c r="AV71" i="13"/>
  <c r="AV70" i="13"/>
  <c r="AL66" i="3"/>
  <c r="AK68" i="13"/>
  <c r="AP68" i="13"/>
  <c r="AN68" i="13"/>
  <c r="AG68" i="13"/>
  <c r="AL68" i="13"/>
  <c r="AM68" i="13"/>
  <c r="DJ65" i="3"/>
  <c r="AV67" i="13"/>
  <c r="AV63" i="13"/>
  <c r="AV61" i="13"/>
  <c r="AG60" i="13"/>
  <c r="AP60" i="13"/>
  <c r="AK60" i="13"/>
  <c r="AL60" i="13"/>
  <c r="AM60" i="13"/>
  <c r="AN60" i="13"/>
  <c r="DJ57" i="3"/>
  <c r="AV58" i="13"/>
  <c r="AV59" i="13"/>
  <c r="AV51" i="13"/>
  <c r="AQ319" i="13"/>
  <c r="AI322" i="13"/>
  <c r="AG336" i="13"/>
  <c r="AG335" i="13"/>
  <c r="AG337" i="13"/>
  <c r="AG334" i="13"/>
  <c r="CE17" i="3"/>
  <c r="CD23" i="3"/>
  <c r="CD17" i="3"/>
  <c r="T38" i="20"/>
  <c r="AH613" i="13"/>
  <c r="T42" i="20"/>
  <c r="T39" i="20"/>
  <c r="T30" i="20"/>
  <c r="AO47" i="22" l="1"/>
  <c r="CN49" i="3"/>
  <c r="DC49" i="3" s="1"/>
  <c r="CV49" i="3" s="1"/>
  <c r="DA49" i="3" s="1"/>
  <c r="BQ27" i="3"/>
  <c r="S332" i="13"/>
  <c r="AI332" i="13" s="1"/>
  <c r="V332" i="13"/>
  <c r="AG332" i="13"/>
  <c r="V327" i="13"/>
  <c r="AL327" i="13" s="1"/>
  <c r="AQ327" i="13" s="1"/>
  <c r="R51" i="13"/>
  <c r="DD48" i="3"/>
  <c r="C51" i="13" s="1"/>
  <c r="BQ44" i="3"/>
  <c r="D339" i="13"/>
  <c r="AL325" i="13"/>
  <c r="AQ325" i="13" s="1"/>
  <c r="AC325" i="13"/>
  <c r="S328" i="13"/>
  <c r="AI328" i="13" s="1"/>
  <c r="V328" i="13"/>
  <c r="AL328" i="13" s="1"/>
  <c r="BQ17" i="3"/>
  <c r="AC321" i="13"/>
  <c r="AC313" i="13"/>
  <c r="CC10" i="3" s="1"/>
  <c r="BR77" i="3"/>
  <c r="BI77" i="3" s="1"/>
  <c r="BR122" i="3"/>
  <c r="BI122" i="3" s="1"/>
  <c r="BR76" i="3"/>
  <c r="BI76" i="3" s="1"/>
  <c r="BR83" i="3"/>
  <c r="BI83" i="3" s="1"/>
  <c r="AC315" i="13"/>
  <c r="CC12" i="3" s="1"/>
  <c r="CA21" i="3"/>
  <c r="V320" i="13"/>
  <c r="AL320" i="13" s="1"/>
  <c r="S320" i="13"/>
  <c r="AI320" i="13" s="1"/>
  <c r="S324" i="13"/>
  <c r="AI324" i="13" s="1"/>
  <c r="V324" i="13"/>
  <c r="AL324" i="13" s="1"/>
  <c r="AG324" i="13"/>
  <c r="V318" i="13"/>
  <c r="AL318" i="13" s="1"/>
  <c r="S318" i="13"/>
  <c r="AG318" i="13"/>
  <c r="S317" i="13"/>
  <c r="AI317" i="13" s="1"/>
  <c r="AG317" i="13"/>
  <c r="V317" i="13"/>
  <c r="AL317" i="13" s="1"/>
  <c r="BC14" i="22"/>
  <c r="BC13" i="22"/>
  <c r="BC18" i="22"/>
  <c r="BC12" i="22"/>
  <c r="BC17" i="22"/>
  <c r="BC15" i="22"/>
  <c r="BC16" i="22"/>
  <c r="BC11" i="22"/>
  <c r="AC349" i="13"/>
  <c r="AL349" i="13"/>
  <c r="AQ349" i="13" s="1"/>
  <c r="AL350" i="13"/>
  <c r="AQ350" i="13" s="1"/>
  <c r="AC350" i="13"/>
  <c r="AQ348" i="13"/>
  <c r="AC348" i="13"/>
  <c r="ES35" i="3"/>
  <c r="CA17" i="3"/>
  <c r="ES17" i="3" s="1"/>
  <c r="CA16" i="3"/>
  <c r="CA27" i="3"/>
  <c r="ET27" i="3" s="1"/>
  <c r="CA38" i="3"/>
  <c r="ET38" i="3" s="1"/>
  <c r="BY21" i="3"/>
  <c r="CA26" i="3"/>
  <c r="ET26" i="3" s="1"/>
  <c r="CA36" i="3"/>
  <c r="ET36" i="3" s="1"/>
  <c r="EU43" i="3"/>
  <c r="DC41" i="3"/>
  <c r="CO41" i="3"/>
  <c r="R44" i="13" s="1"/>
  <c r="AV44" i="13"/>
  <c r="EU39" i="3"/>
  <c r="AQ330" i="13"/>
  <c r="AC330" i="13"/>
  <c r="AL334" i="13"/>
  <c r="AC338" i="13"/>
  <c r="AL336" i="13"/>
  <c r="AL337" i="13"/>
  <c r="AC335" i="13"/>
  <c r="DH36" i="3"/>
  <c r="BA36" i="3"/>
  <c r="AC333" i="13"/>
  <c r="CC30" i="3" s="1"/>
  <c r="AC316" i="13"/>
  <c r="CC13" i="3" s="1"/>
  <c r="AI316" i="13"/>
  <c r="AQ316" i="13" s="1"/>
  <c r="AL315" i="13"/>
  <c r="AC323" i="13"/>
  <c r="CC20" i="3" s="1"/>
  <c r="AL321" i="13"/>
  <c r="AQ321" i="13" s="1"/>
  <c r="AL322" i="13"/>
  <c r="AQ322" i="13" s="1"/>
  <c r="AL314" i="13"/>
  <c r="AQ314" i="13" s="1"/>
  <c r="ER72" i="3"/>
  <c r="CJ72" i="3" s="1"/>
  <c r="BO72" i="3" s="1"/>
  <c r="BI72" i="3"/>
  <c r="ER66" i="3"/>
  <c r="CJ66" i="3" s="1"/>
  <c r="BO66" i="3" s="1"/>
  <c r="BI66" i="3"/>
  <c r="ER214" i="3"/>
  <c r="CJ214" i="3" s="1"/>
  <c r="BO214" i="3" s="1"/>
  <c r="BI214" i="3"/>
  <c r="ER227" i="3"/>
  <c r="CJ227" i="3" s="1"/>
  <c r="BO227" i="3" s="1"/>
  <c r="BI227" i="3"/>
  <c r="ER215" i="3"/>
  <c r="CJ215" i="3" s="1"/>
  <c r="BO215" i="3" s="1"/>
  <c r="BI215" i="3"/>
  <c r="ER212" i="3"/>
  <c r="CJ212" i="3" s="1"/>
  <c r="BO212" i="3" s="1"/>
  <c r="BI212" i="3"/>
  <c r="AC342" i="13"/>
  <c r="AL342" i="13"/>
  <c r="AQ342" i="13" s="1"/>
  <c r="AQ352" i="13"/>
  <c r="AQ381" i="13"/>
  <c r="AC352" i="13"/>
  <c r="AC381" i="13"/>
  <c r="AC343" i="13"/>
  <c r="AL343" i="13"/>
  <c r="AQ343" i="13" s="1"/>
  <c r="AD74" i="13"/>
  <c r="CR71" i="3" s="1"/>
  <c r="AD107" i="13"/>
  <c r="CR104" i="3" s="1"/>
  <c r="AD172" i="13"/>
  <c r="AD185" i="13"/>
  <c r="CR182" i="3" s="1"/>
  <c r="AD88" i="13"/>
  <c r="CR85" i="3" s="1"/>
  <c r="AD71" i="13"/>
  <c r="CR68" i="3" s="1"/>
  <c r="AD67" i="13"/>
  <c r="AD82" i="13"/>
  <c r="CR79" i="3" s="1"/>
  <c r="AD98" i="13"/>
  <c r="AD63" i="13"/>
  <c r="AD132" i="13"/>
  <c r="AD155" i="13"/>
  <c r="CR152" i="3" s="1"/>
  <c r="AD181" i="13"/>
  <c r="CR178" i="3" s="1"/>
  <c r="AD197" i="13"/>
  <c r="AD59" i="13"/>
  <c r="AD58" i="13"/>
  <c r="AD70" i="13"/>
  <c r="AD130" i="13"/>
  <c r="CR127" i="3" s="1"/>
  <c r="AD150" i="13"/>
  <c r="CR147" i="3" s="1"/>
  <c r="AD201" i="13"/>
  <c r="CR198" i="3" s="1"/>
  <c r="AD101" i="13"/>
  <c r="CR98" i="3" s="1"/>
  <c r="AD85" i="13"/>
  <c r="CR82" i="3" s="1"/>
  <c r="AD134" i="13"/>
  <c r="CR131" i="3" s="1"/>
  <c r="AD164" i="13"/>
  <c r="CR161" i="3" s="1"/>
  <c r="AD182" i="13"/>
  <c r="AD53" i="13"/>
  <c r="AD131" i="13"/>
  <c r="CR128" i="3" s="1"/>
  <c r="AD163" i="13"/>
  <c r="CR160" i="3" s="1"/>
  <c r="AD61" i="13"/>
  <c r="AD84" i="13"/>
  <c r="AD140" i="13"/>
  <c r="CR137" i="3" s="1"/>
  <c r="AD178" i="13"/>
  <c r="CR175" i="3" s="1"/>
  <c r="AD55" i="13"/>
  <c r="AD152" i="13"/>
  <c r="CR149" i="3" s="1"/>
  <c r="AD165" i="13"/>
  <c r="AD169" i="13"/>
  <c r="CR166" i="3" s="1"/>
  <c r="AH174" i="13"/>
  <c r="AR174" i="13" s="1"/>
  <c r="AH114" i="13"/>
  <c r="AR114" i="13" s="1"/>
  <c r="AH193" i="13"/>
  <c r="AR193" i="13" s="1"/>
  <c r="AH195" i="13"/>
  <c r="AR195" i="13" s="1"/>
  <c r="AH199" i="13"/>
  <c r="AR199" i="13" s="1"/>
  <c r="AH148" i="13"/>
  <c r="AR148" i="13" s="1"/>
  <c r="AH110" i="13"/>
  <c r="AR110" i="13" s="1"/>
  <c r="AH137" i="13"/>
  <c r="AR137" i="13" s="1"/>
  <c r="CR176" i="3"/>
  <c r="AH186" i="13"/>
  <c r="AR186" i="13" s="1"/>
  <c r="AH180" i="13"/>
  <c r="AR180" i="13" s="1"/>
  <c r="AH111" i="13"/>
  <c r="AR111" i="13" s="1"/>
  <c r="CR197" i="3"/>
  <c r="CR155" i="3"/>
  <c r="AH198" i="13"/>
  <c r="AR198" i="13" s="1"/>
  <c r="AH170" i="13"/>
  <c r="AR170" i="13" s="1"/>
  <c r="CR125" i="3"/>
  <c r="AH160" i="13"/>
  <c r="AR160" i="13" s="1"/>
  <c r="CZ214" i="3"/>
  <c r="CZ215" i="3"/>
  <c r="AH197" i="13"/>
  <c r="Q47" i="22"/>
  <c r="X47" i="22" s="1"/>
  <c r="AE47" i="22" s="1"/>
  <c r="AM47" i="22" s="1"/>
  <c r="D48" i="22"/>
  <c r="ER226" i="3"/>
  <c r="CJ226" i="3" s="1"/>
  <c r="BO226" i="3" s="1"/>
  <c r="ER114" i="3"/>
  <c r="CJ114" i="3" s="1"/>
  <c r="BO114" i="3" s="1"/>
  <c r="ER78" i="3"/>
  <c r="CJ78" i="3" s="1"/>
  <c r="BO78" i="3" s="1"/>
  <c r="ER115" i="3"/>
  <c r="CJ115" i="3" s="1"/>
  <c r="BO115" i="3" s="1"/>
  <c r="ER77" i="3"/>
  <c r="CJ77" i="3" s="1"/>
  <c r="BO77" i="3" s="1"/>
  <c r="ER124" i="3"/>
  <c r="CJ124" i="3" s="1"/>
  <c r="BO124" i="3" s="1"/>
  <c r="ER232" i="3"/>
  <c r="CJ232" i="3" s="1"/>
  <c r="BO232" i="3" s="1"/>
  <c r="ER220" i="3"/>
  <c r="CJ220" i="3" s="1"/>
  <c r="BO220" i="3" s="1"/>
  <c r="ER213" i="3"/>
  <c r="CJ213" i="3" s="1"/>
  <c r="BO213" i="3" s="1"/>
  <c r="ER119" i="3"/>
  <c r="CJ119" i="3" s="1"/>
  <c r="BO119" i="3" s="1"/>
  <c r="ER118" i="3"/>
  <c r="CJ118" i="3" s="1"/>
  <c r="BO118" i="3" s="1"/>
  <c r="ER116" i="3"/>
  <c r="CJ116" i="3" s="1"/>
  <c r="BO116" i="3" s="1"/>
  <c r="CD37" i="3"/>
  <c r="DW122" i="3"/>
  <c r="AK88" i="13"/>
  <c r="AM88" i="13"/>
  <c r="AN88" i="13"/>
  <c r="AP88" i="13"/>
  <c r="AL88" i="13"/>
  <c r="AM130" i="13"/>
  <c r="AG130" i="13"/>
  <c r="DW76" i="3"/>
  <c r="AG172" i="13"/>
  <c r="AL172" i="13"/>
  <c r="AK172" i="13"/>
  <c r="AR104" i="13"/>
  <c r="AP172" i="13"/>
  <c r="AR106" i="13"/>
  <c r="AM169" i="13"/>
  <c r="AP169" i="13"/>
  <c r="AM172" i="13"/>
  <c r="AL130" i="13"/>
  <c r="AN130" i="13"/>
  <c r="AK130" i="13"/>
  <c r="AR153" i="13"/>
  <c r="AR115" i="13"/>
  <c r="AR136" i="13"/>
  <c r="AM101" i="13"/>
  <c r="AH169" i="13"/>
  <c r="AN169" i="13"/>
  <c r="AK169" i="13"/>
  <c r="AL169" i="13"/>
  <c r="AH187" i="13"/>
  <c r="AR187" i="13" s="1"/>
  <c r="AR179" i="13"/>
  <c r="AN101" i="13"/>
  <c r="AR192" i="13"/>
  <c r="CG192" i="3"/>
  <c r="AR200" i="13"/>
  <c r="DW77" i="3"/>
  <c r="AL77" i="3"/>
  <c r="BP81" i="3"/>
  <c r="BA73" i="3"/>
  <c r="BR73" i="3" s="1"/>
  <c r="CL72" i="3"/>
  <c r="AL101" i="13"/>
  <c r="AP101" i="13"/>
  <c r="AG101" i="13"/>
  <c r="AL197" i="13"/>
  <c r="AG197" i="13"/>
  <c r="AN197" i="13"/>
  <c r="AM197" i="13"/>
  <c r="AK197" i="13"/>
  <c r="AP197" i="13"/>
  <c r="DF194" i="3"/>
  <c r="DJ194" i="3"/>
  <c r="DF182" i="3"/>
  <c r="AH89" i="13"/>
  <c r="AR89" i="13" s="1"/>
  <c r="AH142" i="13"/>
  <c r="AR142" i="13" s="1"/>
  <c r="CR142" i="3"/>
  <c r="DF149" i="3"/>
  <c r="DF137" i="3"/>
  <c r="DJ169" i="3"/>
  <c r="DF175" i="3"/>
  <c r="EL130" i="3"/>
  <c r="EL144" i="3"/>
  <c r="DF152" i="3"/>
  <c r="DJ166" i="3"/>
  <c r="DF128" i="3"/>
  <c r="DF179" i="3"/>
  <c r="DF166" i="3"/>
  <c r="DF169" i="3"/>
  <c r="EL125" i="3"/>
  <c r="DF129" i="3"/>
  <c r="AK201" i="13"/>
  <c r="AL201" i="13"/>
  <c r="AM201" i="13"/>
  <c r="AN201" i="13"/>
  <c r="AP201" i="13"/>
  <c r="AG201" i="13"/>
  <c r="AQ492" i="13"/>
  <c r="EL190" i="3"/>
  <c r="EL183" i="3"/>
  <c r="DF178" i="3"/>
  <c r="CG145" i="3"/>
  <c r="CG142" i="3"/>
  <c r="AH144" i="13"/>
  <c r="AR144" i="13" s="1"/>
  <c r="AR128" i="13"/>
  <c r="DF127" i="3"/>
  <c r="DJ131" i="3"/>
  <c r="DF131" i="3"/>
  <c r="AL134" i="13"/>
  <c r="AP134" i="13"/>
  <c r="AG134" i="13"/>
  <c r="AN134" i="13"/>
  <c r="AM134" i="13"/>
  <c r="AK134" i="13"/>
  <c r="DW123" i="3"/>
  <c r="AL123" i="3"/>
  <c r="BI123" i="3"/>
  <c r="DH121" i="3"/>
  <c r="BA121" i="3"/>
  <c r="BR121" i="3" s="1"/>
  <c r="AL120" i="3"/>
  <c r="BI120" i="3"/>
  <c r="DW120" i="3"/>
  <c r="DF90" i="3"/>
  <c r="DW117" i="3"/>
  <c r="AL117" i="3"/>
  <c r="BI117" i="3"/>
  <c r="DJ98" i="3"/>
  <c r="DF98" i="3"/>
  <c r="DF94" i="3"/>
  <c r="DJ85" i="3"/>
  <c r="CR61" i="3"/>
  <c r="CL114" i="3"/>
  <c r="DF104" i="3"/>
  <c r="DF91" i="3"/>
  <c r="AH63" i="13"/>
  <c r="AH84" i="13"/>
  <c r="DF88" i="3"/>
  <c r="DF85" i="3"/>
  <c r="DF95" i="3"/>
  <c r="DF89" i="3"/>
  <c r="DF93" i="3"/>
  <c r="AQ388" i="13"/>
  <c r="DF97" i="3"/>
  <c r="AG107" i="13"/>
  <c r="AN107" i="13"/>
  <c r="AP107" i="13"/>
  <c r="AM107" i="13"/>
  <c r="AK107" i="13"/>
  <c r="AL107" i="13"/>
  <c r="EL97" i="3"/>
  <c r="DJ92" i="3"/>
  <c r="DF92" i="3"/>
  <c r="AH105" i="13"/>
  <c r="DF102" i="3"/>
  <c r="DF87" i="3"/>
  <c r="AH67" i="13"/>
  <c r="CG100" i="3"/>
  <c r="AH59" i="13"/>
  <c r="CL83" i="3"/>
  <c r="AR102" i="13"/>
  <c r="AH55" i="13"/>
  <c r="CR99" i="3"/>
  <c r="AM100" i="13"/>
  <c r="AL100" i="13"/>
  <c r="AP100" i="13"/>
  <c r="AN100" i="13"/>
  <c r="AG100" i="13"/>
  <c r="AK100" i="13"/>
  <c r="AH53" i="13"/>
  <c r="DJ97" i="3"/>
  <c r="DW83" i="3"/>
  <c r="BP50" i="3"/>
  <c r="DF50" i="3"/>
  <c r="DF81" i="3"/>
  <c r="BP62" i="3"/>
  <c r="CO233" i="3"/>
  <c r="R236" i="13" s="1"/>
  <c r="CZ233" i="3"/>
  <c r="CO51" i="3"/>
  <c r="R54" i="13" s="1"/>
  <c r="DF51" i="3"/>
  <c r="CO53" i="3"/>
  <c r="R56" i="13" s="1"/>
  <c r="DF53" i="3"/>
  <c r="DF62" i="3"/>
  <c r="CO221" i="3"/>
  <c r="R224" i="13" s="1"/>
  <c r="CZ221" i="3"/>
  <c r="DJ52" i="3"/>
  <c r="AG55" i="13"/>
  <c r="AL55" i="13"/>
  <c r="AP55" i="13"/>
  <c r="AM55" i="13"/>
  <c r="AN55" i="13"/>
  <c r="DJ82" i="3"/>
  <c r="AK53" i="13"/>
  <c r="AL85" i="13"/>
  <c r="AN53" i="13"/>
  <c r="AG53" i="13"/>
  <c r="AV54" i="13"/>
  <c r="AM54" i="13" s="1"/>
  <c r="AM53" i="13"/>
  <c r="AP53" i="13"/>
  <c r="AG85" i="13"/>
  <c r="AM85" i="13"/>
  <c r="AN85" i="13"/>
  <c r="AK85" i="13"/>
  <c r="CE19" i="3"/>
  <c r="DJ50" i="3"/>
  <c r="AV65" i="13"/>
  <c r="AN65" i="13" s="1"/>
  <c r="CO214" i="3"/>
  <c r="R217" i="13" s="1"/>
  <c r="CO62" i="3"/>
  <c r="R65" i="13" s="1"/>
  <c r="CO215" i="3"/>
  <c r="R218" i="13" s="1"/>
  <c r="S48" i="22"/>
  <c r="Z48" i="22" s="1"/>
  <c r="AG48" i="22" s="1"/>
  <c r="AO48" i="22" s="1"/>
  <c r="F49" i="22"/>
  <c r="T48" i="22"/>
  <c r="AA48" i="22" s="1"/>
  <c r="AH48" i="22" s="1"/>
  <c r="AP48" i="22" s="1"/>
  <c r="G49" i="22"/>
  <c r="R48" i="22"/>
  <c r="Y48" i="22" s="1"/>
  <c r="AF48" i="22" s="1"/>
  <c r="AN48" i="22" s="1"/>
  <c r="E49" i="22"/>
  <c r="W48" i="22"/>
  <c r="AD48" i="22" s="1"/>
  <c r="C49" i="22"/>
  <c r="P49" i="22" s="1"/>
  <c r="AQ341" i="13"/>
  <c r="CD19" i="3"/>
  <c r="AQ362" i="13"/>
  <c r="AQ357" i="13"/>
  <c r="CE74" i="3"/>
  <c r="CD74" i="3"/>
  <c r="AQ377" i="13"/>
  <c r="AQ378" i="13"/>
  <c r="CD75" i="3"/>
  <c r="AQ351" i="13"/>
  <c r="AG84" i="13"/>
  <c r="BA44" i="3"/>
  <c r="DH44" i="3"/>
  <c r="DH27" i="3"/>
  <c r="BA27" i="3"/>
  <c r="AQ356" i="13"/>
  <c r="AV56" i="13"/>
  <c r="AQ354" i="13"/>
  <c r="CE16" i="3"/>
  <c r="BQ16" i="3" s="1"/>
  <c r="DJ71" i="3"/>
  <c r="CD18" i="3"/>
  <c r="AN90" i="13"/>
  <c r="AG90" i="13"/>
  <c r="AM90" i="13"/>
  <c r="V28" i="5"/>
  <c r="V27" i="5"/>
  <c r="AG27" i="5"/>
  <c r="L27" i="5" s="1"/>
  <c r="AH261" i="13"/>
  <c r="AR261" i="13" s="1"/>
  <c r="CD29" i="3"/>
  <c r="DJ81" i="3"/>
  <c r="AK90" i="13"/>
  <c r="AP90" i="13"/>
  <c r="AH90" i="13"/>
  <c r="V30" i="5"/>
  <c r="AG29" i="5"/>
  <c r="L29" i="5" s="1"/>
  <c r="AK74" i="13"/>
  <c r="AL84" i="13"/>
  <c r="AP84" i="13"/>
  <c r="AK84" i="13"/>
  <c r="AN84" i="13"/>
  <c r="AG74" i="13"/>
  <c r="AP74" i="13"/>
  <c r="AM74" i="13"/>
  <c r="DJ87" i="3"/>
  <c r="AN74" i="13"/>
  <c r="DJ88" i="3"/>
  <c r="AL91" i="13"/>
  <c r="AK91" i="13"/>
  <c r="AP91" i="13"/>
  <c r="AN91" i="13"/>
  <c r="AM91" i="13"/>
  <c r="AR64" i="13"/>
  <c r="CE23" i="3"/>
  <c r="BQ23" i="3" s="1"/>
  <c r="BZ23" i="3" s="1"/>
  <c r="A18" i="31" s="1"/>
  <c r="C18" i="31" s="1"/>
  <c r="CE29" i="3"/>
  <c r="AL323" i="13"/>
  <c r="AI323" i="13"/>
  <c r="AH294" i="13"/>
  <c r="AR294" i="13" s="1"/>
  <c r="AM131" i="13"/>
  <c r="AH289" i="13"/>
  <c r="AR289" i="13" s="1"/>
  <c r="AH109" i="13"/>
  <c r="AR109" i="13" s="1"/>
  <c r="AH293" i="13"/>
  <c r="AR293" i="13" s="1"/>
  <c r="AH60" i="13"/>
  <c r="AR60" i="13" s="1"/>
  <c r="AH278" i="13"/>
  <c r="AR278" i="13" s="1"/>
  <c r="AG131" i="13"/>
  <c r="AQ373" i="13"/>
  <c r="AK131" i="13"/>
  <c r="AP131" i="13"/>
  <c r="AN131" i="13"/>
  <c r="AH95" i="13"/>
  <c r="AR95" i="13" s="1"/>
  <c r="AQ472" i="13"/>
  <c r="AH297" i="13"/>
  <c r="AR297" i="13" s="1"/>
  <c r="AH305" i="13"/>
  <c r="AR305" i="13" s="1"/>
  <c r="AH274" i="13"/>
  <c r="AR274" i="13" s="1"/>
  <c r="AH108" i="13"/>
  <c r="AR108" i="13" s="1"/>
  <c r="AH310" i="13"/>
  <c r="AR310" i="13" s="1"/>
  <c r="AQ469" i="13"/>
  <c r="AH270" i="13"/>
  <c r="AR270" i="13" s="1"/>
  <c r="AQ462" i="13"/>
  <c r="AL26" i="22"/>
  <c r="EL243" i="3"/>
  <c r="AH253" i="13"/>
  <c r="AR253" i="13" s="1"/>
  <c r="AH302" i="13"/>
  <c r="AR302" i="13" s="1"/>
  <c r="AH190" i="13"/>
  <c r="AR190" i="13" s="1"/>
  <c r="AH251" i="13"/>
  <c r="AR251" i="13" s="1"/>
  <c r="AR151" i="13"/>
  <c r="AQ478" i="13"/>
  <c r="AH247" i="13"/>
  <c r="AR247" i="13" s="1"/>
  <c r="AH290" i="13"/>
  <c r="AR290" i="13" s="1"/>
  <c r="AH241" i="13"/>
  <c r="AR241" i="13" s="1"/>
  <c r="AH209" i="13"/>
  <c r="AR209" i="13" s="1"/>
  <c r="DJ128" i="3"/>
  <c r="AH188" i="13"/>
  <c r="AR188" i="13" s="1"/>
  <c r="AH194" i="13"/>
  <c r="AR194" i="13" s="1"/>
  <c r="AH266" i="13"/>
  <c r="AR266" i="13" s="1"/>
  <c r="AQ496" i="13"/>
  <c r="AH116" i="13"/>
  <c r="AH237" i="13"/>
  <c r="AH226" i="13"/>
  <c r="AR226" i="13" s="1"/>
  <c r="AH309" i="13"/>
  <c r="AR309" i="13" s="1"/>
  <c r="CR293" i="3"/>
  <c r="AH296" i="13"/>
  <c r="AH254" i="13"/>
  <c r="AR254" i="13" s="1"/>
  <c r="CR298" i="3"/>
  <c r="EL297" i="3"/>
  <c r="EL304" i="3"/>
  <c r="AH281" i="13"/>
  <c r="AR281" i="13" s="1"/>
  <c r="CR278" i="3"/>
  <c r="CR270" i="3"/>
  <c r="AH257" i="13"/>
  <c r="AR257" i="13" s="1"/>
  <c r="CR254" i="3"/>
  <c r="CR282" i="3"/>
  <c r="CG194" i="3"/>
  <c r="AH283" i="13"/>
  <c r="AH262" i="13"/>
  <c r="AR262" i="13" s="1"/>
  <c r="CR259" i="3"/>
  <c r="AH264" i="13"/>
  <c r="CR255" i="3"/>
  <c r="CR207" i="3"/>
  <c r="AH210" i="13"/>
  <c r="AR210" i="13" s="1"/>
  <c r="CR295" i="3"/>
  <c r="AH191" i="13"/>
  <c r="AR191" i="13" s="1"/>
  <c r="CR188" i="3"/>
  <c r="AH242" i="13"/>
  <c r="AR242" i="13" s="1"/>
  <c r="CR239" i="3"/>
  <c r="AR308" i="13"/>
  <c r="CG257" i="3"/>
  <c r="EL253" i="3"/>
  <c r="CG304" i="3"/>
  <c r="AR304" i="13"/>
  <c r="AK306" i="13"/>
  <c r="AP306" i="13"/>
  <c r="AG306" i="13"/>
  <c r="AM306" i="13"/>
  <c r="AL306" i="13"/>
  <c r="AN306" i="13"/>
  <c r="EL300" i="3"/>
  <c r="AR311" i="13"/>
  <c r="CG300" i="3"/>
  <c r="DJ303" i="3"/>
  <c r="DJ270" i="3"/>
  <c r="AK286" i="13"/>
  <c r="AP286" i="13"/>
  <c r="AL286" i="13"/>
  <c r="AG286" i="13"/>
  <c r="AM286" i="13"/>
  <c r="AN286" i="13"/>
  <c r="DJ295" i="3"/>
  <c r="AP285" i="13"/>
  <c r="AN285" i="13"/>
  <c r="AK285" i="13"/>
  <c r="AM285" i="13"/>
  <c r="AG285" i="13"/>
  <c r="AL285" i="13"/>
  <c r="AR287" i="13"/>
  <c r="EL288" i="3"/>
  <c r="AR292" i="13"/>
  <c r="AR282" i="13"/>
  <c r="AR280" i="13"/>
  <c r="AR275" i="13"/>
  <c r="DJ276" i="3"/>
  <c r="DJ282" i="3"/>
  <c r="AP284" i="13"/>
  <c r="AG284" i="13"/>
  <c r="AN284" i="13"/>
  <c r="AK284" i="13"/>
  <c r="AM284" i="13"/>
  <c r="AL284" i="13"/>
  <c r="CG275" i="3"/>
  <c r="CG285" i="3"/>
  <c r="CG297" i="3"/>
  <c r="AR272" i="13"/>
  <c r="AP299" i="13"/>
  <c r="AK299" i="13"/>
  <c r="AG299" i="13"/>
  <c r="AM299" i="13"/>
  <c r="AN299" i="13"/>
  <c r="AL299" i="13"/>
  <c r="AH299" i="13"/>
  <c r="AR271" i="13"/>
  <c r="DJ293" i="3"/>
  <c r="AK279" i="13"/>
  <c r="AP279" i="13"/>
  <c r="AG279" i="13"/>
  <c r="AM279" i="13"/>
  <c r="AL279" i="13"/>
  <c r="AN279" i="13"/>
  <c r="CG278" i="3"/>
  <c r="AK301" i="13"/>
  <c r="AG301" i="13"/>
  <c r="AP301" i="13"/>
  <c r="AN301" i="13"/>
  <c r="AM301" i="13"/>
  <c r="AL301" i="13"/>
  <c r="DJ281" i="3"/>
  <c r="AK283" i="13"/>
  <c r="AM283" i="13"/>
  <c r="AG283" i="13"/>
  <c r="AP283" i="13"/>
  <c r="AL283" i="13"/>
  <c r="AN283" i="13"/>
  <c r="AH279" i="13"/>
  <c r="AR276" i="13"/>
  <c r="AR295" i="13"/>
  <c r="CG288" i="3"/>
  <c r="DJ296" i="3"/>
  <c r="AP296" i="13"/>
  <c r="AL296" i="13"/>
  <c r="AK296" i="13"/>
  <c r="AG296" i="13"/>
  <c r="AN296" i="13"/>
  <c r="AM296" i="13"/>
  <c r="AK273" i="13"/>
  <c r="AG273" i="13"/>
  <c r="AP273" i="13"/>
  <c r="AN273" i="13"/>
  <c r="AM273" i="13"/>
  <c r="AL273" i="13"/>
  <c r="DJ283" i="3"/>
  <c r="AG298" i="13"/>
  <c r="AL298" i="13"/>
  <c r="AK298" i="13"/>
  <c r="AM298" i="13"/>
  <c r="AP298" i="13"/>
  <c r="AN298" i="13"/>
  <c r="DJ298" i="3"/>
  <c r="DJ280" i="3"/>
  <c r="EL285" i="3"/>
  <c r="AH284" i="13"/>
  <c r="AR268" i="13"/>
  <c r="DJ261" i="3"/>
  <c r="AK267" i="13"/>
  <c r="AN267" i="13"/>
  <c r="AM267" i="13"/>
  <c r="AP267" i="13"/>
  <c r="AL267" i="13"/>
  <c r="AG267" i="13"/>
  <c r="AH267" i="13"/>
  <c r="EL262" i="3"/>
  <c r="AR263" i="13"/>
  <c r="DJ264" i="3"/>
  <c r="AG258" i="13"/>
  <c r="AK258" i="13"/>
  <c r="AM258" i="13"/>
  <c r="AL258" i="13"/>
  <c r="AN258" i="13"/>
  <c r="AP258" i="13"/>
  <c r="AR259" i="13"/>
  <c r="CG262" i="3"/>
  <c r="EL266" i="3"/>
  <c r="CG267" i="3"/>
  <c r="EL257" i="3"/>
  <c r="CG253" i="3"/>
  <c r="AR255" i="13"/>
  <c r="DJ255" i="3"/>
  <c r="AG264" i="13"/>
  <c r="AL264" i="13"/>
  <c r="AK264" i="13"/>
  <c r="AM264" i="13"/>
  <c r="AP264" i="13"/>
  <c r="AN264" i="13"/>
  <c r="CG266" i="3"/>
  <c r="CG249" i="3"/>
  <c r="CG248" i="3"/>
  <c r="EL249" i="3"/>
  <c r="CG243" i="3"/>
  <c r="CG237" i="3"/>
  <c r="EL237" i="3"/>
  <c r="CL232" i="3"/>
  <c r="AK237" i="13"/>
  <c r="AP237" i="13"/>
  <c r="AN237" i="13"/>
  <c r="AG237" i="13"/>
  <c r="AL237" i="13"/>
  <c r="AM237" i="13"/>
  <c r="AR234" i="13"/>
  <c r="DJ234" i="3"/>
  <c r="CL227" i="3"/>
  <c r="CL226" i="3"/>
  <c r="AR228" i="13"/>
  <c r="AR232" i="13"/>
  <c r="AR231" i="13"/>
  <c r="AR227" i="13"/>
  <c r="CL220" i="3"/>
  <c r="AK222" i="13"/>
  <c r="AM222" i="13"/>
  <c r="AN222" i="13"/>
  <c r="AG222" i="13"/>
  <c r="AL222" i="13"/>
  <c r="AP222" i="13"/>
  <c r="AH222" i="13"/>
  <c r="DJ219" i="3"/>
  <c r="EL218" i="3"/>
  <c r="CG218" i="3"/>
  <c r="CL77" i="3"/>
  <c r="EL194" i="3"/>
  <c r="AG116" i="13"/>
  <c r="AP116" i="13"/>
  <c r="AH204" i="13"/>
  <c r="AR204" i="13" s="1"/>
  <c r="CL78" i="3"/>
  <c r="AL116" i="13"/>
  <c r="AK116" i="13"/>
  <c r="CR57" i="3"/>
  <c r="AM116" i="13"/>
  <c r="AH161" i="13"/>
  <c r="AR161" i="13" s="1"/>
  <c r="DJ113" i="3"/>
  <c r="DJ158" i="3"/>
  <c r="CR65" i="3"/>
  <c r="AH154" i="13"/>
  <c r="AR154" i="13" s="1"/>
  <c r="DJ157" i="3"/>
  <c r="AH202" i="13"/>
  <c r="AR202" i="13" s="1"/>
  <c r="CR90" i="3"/>
  <c r="EL208" i="3"/>
  <c r="CG208" i="3"/>
  <c r="CG216" i="3"/>
  <c r="DF207" i="3"/>
  <c r="DF206" i="3"/>
  <c r="CR154" i="3"/>
  <c r="AR220" i="13"/>
  <c r="EL216" i="3"/>
  <c r="CL213" i="3"/>
  <c r="CL212" i="3"/>
  <c r="EL210" i="3"/>
  <c r="CG210" i="3"/>
  <c r="EL203" i="3"/>
  <c r="CG203" i="3"/>
  <c r="AR205" i="13"/>
  <c r="AR203" i="13"/>
  <c r="CR200" i="3"/>
  <c r="EL101" i="3"/>
  <c r="CG108" i="3"/>
  <c r="CG101" i="3"/>
  <c r="EL108" i="3"/>
  <c r="EL189" i="3"/>
  <c r="CG196" i="3"/>
  <c r="AR196" i="13"/>
  <c r="CG195" i="3"/>
  <c r="CG193" i="3"/>
  <c r="EL196" i="3"/>
  <c r="EL195" i="3"/>
  <c r="EL193" i="3"/>
  <c r="CG189" i="3"/>
  <c r="CG187" i="3"/>
  <c r="AR189" i="13"/>
  <c r="EL170" i="3"/>
  <c r="CG168" i="3"/>
  <c r="EL177" i="3"/>
  <c r="DF160" i="3"/>
  <c r="CG177" i="3"/>
  <c r="DF159" i="3"/>
  <c r="DF161" i="3"/>
  <c r="DJ179" i="3"/>
  <c r="EL168" i="3"/>
  <c r="AR167" i="13"/>
  <c r="CG166" i="3"/>
  <c r="EL176" i="3"/>
  <c r="AR176" i="13"/>
  <c r="DJ182" i="3"/>
  <c r="AH166" i="13"/>
  <c r="CR163" i="3"/>
  <c r="DJ175" i="3"/>
  <c r="AR162" i="13"/>
  <c r="AK165" i="13"/>
  <c r="AP165" i="13"/>
  <c r="AG165" i="13"/>
  <c r="AL165" i="13"/>
  <c r="AM165" i="13"/>
  <c r="AN165" i="13"/>
  <c r="AK178" i="13"/>
  <c r="AG178" i="13"/>
  <c r="AM178" i="13"/>
  <c r="AP178" i="13"/>
  <c r="AN178" i="13"/>
  <c r="AL178" i="13"/>
  <c r="AR168" i="13"/>
  <c r="AP183" i="13"/>
  <c r="AK183" i="13"/>
  <c r="AG183" i="13"/>
  <c r="AM183" i="13"/>
  <c r="AL183" i="13"/>
  <c r="AN183" i="13"/>
  <c r="AH185" i="13"/>
  <c r="AR177" i="13"/>
  <c r="AR159" i="13"/>
  <c r="CG176" i="3"/>
  <c r="AK185" i="13"/>
  <c r="AP185" i="13"/>
  <c r="AG185" i="13"/>
  <c r="AM185" i="13"/>
  <c r="AL185" i="13"/>
  <c r="AN185" i="13"/>
  <c r="AP166" i="13"/>
  <c r="AN166" i="13"/>
  <c r="AK166" i="13"/>
  <c r="AM166" i="13"/>
  <c r="AG166" i="13"/>
  <c r="AL166" i="13"/>
  <c r="CG170" i="3"/>
  <c r="AR158" i="13"/>
  <c r="DJ180" i="3"/>
  <c r="CR174" i="3"/>
  <c r="AR175" i="13"/>
  <c r="AK182" i="13"/>
  <c r="AN182" i="13"/>
  <c r="AG182" i="13"/>
  <c r="AL182" i="13"/>
  <c r="AP182" i="13"/>
  <c r="AM182" i="13"/>
  <c r="DJ163" i="3"/>
  <c r="AH156" i="13"/>
  <c r="AR156" i="13" s="1"/>
  <c r="CR153" i="3"/>
  <c r="AR157" i="13"/>
  <c r="DJ152" i="3"/>
  <c r="AP155" i="13"/>
  <c r="AN155" i="13"/>
  <c r="AK155" i="13"/>
  <c r="AG155" i="13"/>
  <c r="AL155" i="13"/>
  <c r="AM155" i="13"/>
  <c r="DJ149" i="3"/>
  <c r="AG152" i="13"/>
  <c r="AN152" i="13"/>
  <c r="AP152" i="13"/>
  <c r="AK152" i="13"/>
  <c r="AL152" i="13"/>
  <c r="AM152" i="13"/>
  <c r="CG148" i="3"/>
  <c r="AK150" i="13"/>
  <c r="AG150" i="13"/>
  <c r="AP150" i="13"/>
  <c r="AN150" i="13"/>
  <c r="AL150" i="13"/>
  <c r="AM150" i="13"/>
  <c r="AH150" i="13"/>
  <c r="EL148" i="3"/>
  <c r="AR145" i="13"/>
  <c r="AR143" i="13"/>
  <c r="EL138" i="3"/>
  <c r="CG138" i="3"/>
  <c r="AK140" i="13"/>
  <c r="AP140" i="13"/>
  <c r="AG140" i="13"/>
  <c r="AN140" i="13"/>
  <c r="AL140" i="13"/>
  <c r="AM140" i="13"/>
  <c r="DJ137" i="3"/>
  <c r="AH140" i="13"/>
  <c r="AR139" i="13"/>
  <c r="CG133" i="3"/>
  <c r="EL133" i="3"/>
  <c r="AK132" i="13"/>
  <c r="AP132" i="13"/>
  <c r="AG132" i="13"/>
  <c r="AL132" i="13"/>
  <c r="AN132" i="13"/>
  <c r="AM132" i="13"/>
  <c r="DJ129" i="3"/>
  <c r="CL124" i="3"/>
  <c r="CL122" i="3"/>
  <c r="CL119" i="3"/>
  <c r="CL118" i="3"/>
  <c r="CL115" i="3"/>
  <c r="CL116" i="3"/>
  <c r="CG111" i="3"/>
  <c r="EL111" i="3"/>
  <c r="AR112" i="13"/>
  <c r="AP113" i="13"/>
  <c r="AK113" i="13"/>
  <c r="AG113" i="13"/>
  <c r="AH113" i="13"/>
  <c r="AL113" i="13"/>
  <c r="AN113" i="13"/>
  <c r="AM113" i="13"/>
  <c r="DJ110" i="3"/>
  <c r="EL103" i="3"/>
  <c r="CG103" i="3"/>
  <c r="AK105" i="13"/>
  <c r="AG105" i="13"/>
  <c r="AP105" i="13"/>
  <c r="AL105" i="13"/>
  <c r="AM105" i="13"/>
  <c r="AN105" i="13"/>
  <c r="DJ102" i="3"/>
  <c r="AM98" i="13"/>
  <c r="AK98" i="13"/>
  <c r="AL98" i="13"/>
  <c r="AG98" i="13"/>
  <c r="AN98" i="13"/>
  <c r="AP98" i="13"/>
  <c r="DJ95" i="3"/>
  <c r="CR96" i="3"/>
  <c r="AH99" i="13"/>
  <c r="DJ93" i="3"/>
  <c r="AH96" i="13"/>
  <c r="DJ94" i="3"/>
  <c r="AK96" i="13"/>
  <c r="AP96" i="13"/>
  <c r="AG96" i="13"/>
  <c r="AM96" i="13"/>
  <c r="AN96" i="13"/>
  <c r="AL96" i="13"/>
  <c r="AK97" i="13"/>
  <c r="AP97" i="13"/>
  <c r="AG97" i="13"/>
  <c r="AM97" i="13"/>
  <c r="AL97" i="13"/>
  <c r="AN97" i="13"/>
  <c r="AG94" i="13"/>
  <c r="AP94" i="13"/>
  <c r="AM94" i="13"/>
  <c r="AK94" i="13"/>
  <c r="AN94" i="13"/>
  <c r="AL94" i="13"/>
  <c r="DJ91" i="3"/>
  <c r="AK92" i="13"/>
  <c r="AP92" i="13"/>
  <c r="AG92" i="13"/>
  <c r="AL92" i="13"/>
  <c r="AN92" i="13"/>
  <c r="AM92" i="13"/>
  <c r="AP93" i="13"/>
  <c r="AK93" i="13"/>
  <c r="AG93" i="13"/>
  <c r="AL93" i="13"/>
  <c r="AN93" i="13"/>
  <c r="AM93" i="13"/>
  <c r="DJ89" i="3"/>
  <c r="DJ90" i="3"/>
  <c r="AH91" i="13"/>
  <c r="CR88" i="3"/>
  <c r="CR87" i="3"/>
  <c r="EL86" i="3"/>
  <c r="CG86" i="3"/>
  <c r="AH87" i="13"/>
  <c r="CR84" i="3"/>
  <c r="CG84" i="3"/>
  <c r="DJ79" i="3"/>
  <c r="AH83" i="13"/>
  <c r="AR83" i="13" s="1"/>
  <c r="CR80" i="3"/>
  <c r="AP82" i="13"/>
  <c r="AG82" i="13"/>
  <c r="AK82" i="13"/>
  <c r="AN82" i="13"/>
  <c r="AL82" i="13"/>
  <c r="AM82" i="13"/>
  <c r="CL76" i="3"/>
  <c r="AH72" i="13"/>
  <c r="AR72" i="13" s="1"/>
  <c r="CR69" i="3"/>
  <c r="AH73" i="13"/>
  <c r="CR70" i="3"/>
  <c r="AP70" i="13"/>
  <c r="AK70" i="13"/>
  <c r="AG70" i="13"/>
  <c r="AM70" i="13"/>
  <c r="AN70" i="13"/>
  <c r="AL70" i="13"/>
  <c r="AK71" i="13"/>
  <c r="AG71" i="13"/>
  <c r="AP71" i="13"/>
  <c r="AM71" i="13"/>
  <c r="AL71" i="13"/>
  <c r="AN71" i="13"/>
  <c r="DJ67" i="3"/>
  <c r="DJ68" i="3"/>
  <c r="CL66" i="3"/>
  <c r="AR68" i="13"/>
  <c r="AK67" i="13"/>
  <c r="AN67" i="13"/>
  <c r="AP67" i="13"/>
  <c r="AG67" i="13"/>
  <c r="AL67" i="13"/>
  <c r="AM67" i="13"/>
  <c r="DJ64" i="3"/>
  <c r="DJ60" i="3"/>
  <c r="AP63" i="13"/>
  <c r="AG63" i="13"/>
  <c r="AK63" i="13"/>
  <c r="AN63" i="13"/>
  <c r="AM63" i="13"/>
  <c r="AL63" i="13"/>
  <c r="DJ58" i="3"/>
  <c r="AP61" i="13"/>
  <c r="AK61" i="13"/>
  <c r="AG61" i="13"/>
  <c r="AN61" i="13"/>
  <c r="AL61" i="13"/>
  <c r="AM61" i="13"/>
  <c r="DJ56" i="3"/>
  <c r="DJ55" i="3"/>
  <c r="AK59" i="13"/>
  <c r="AP59" i="13"/>
  <c r="AN59" i="13"/>
  <c r="AG59" i="13"/>
  <c r="AL59" i="13"/>
  <c r="AM59" i="13"/>
  <c r="AK58" i="13"/>
  <c r="AM58" i="13"/>
  <c r="AL58" i="13"/>
  <c r="AN58" i="13"/>
  <c r="AG58" i="13"/>
  <c r="AP58" i="13"/>
  <c r="DJ48" i="3"/>
  <c r="AP51" i="13"/>
  <c r="AK51" i="13"/>
  <c r="AG51" i="13"/>
  <c r="AL51" i="13"/>
  <c r="CD33" i="3"/>
  <c r="AQ333" i="13"/>
  <c r="CD34" i="3"/>
  <c r="CD31" i="3"/>
  <c r="CD32" i="3"/>
  <c r="T33" i="20"/>
  <c r="T28" i="20"/>
  <c r="AH51" i="13" l="1"/>
  <c r="BQ29" i="3"/>
  <c r="CA29" i="3" s="1"/>
  <c r="AC327" i="13"/>
  <c r="CC24" i="3" s="1"/>
  <c r="D330" i="13"/>
  <c r="CX49" i="3"/>
  <c r="D347" i="13"/>
  <c r="AC332" i="13"/>
  <c r="AL332" i="13"/>
  <c r="AQ332" i="13" s="1"/>
  <c r="D52" i="13"/>
  <c r="DD41" i="3"/>
  <c r="C44" i="13" s="1"/>
  <c r="CV41" i="3"/>
  <c r="DA41" i="3" s="1"/>
  <c r="AQ328" i="13"/>
  <c r="AC328" i="13"/>
  <c r="CC25" i="3" s="1"/>
  <c r="BQ19" i="3"/>
  <c r="ER76" i="3"/>
  <c r="CJ76" i="3" s="1"/>
  <c r="BO76" i="3" s="1"/>
  <c r="ER122" i="3"/>
  <c r="CJ122" i="3" s="1"/>
  <c r="BO122" i="3" s="1"/>
  <c r="ER83" i="3"/>
  <c r="CJ83" i="3" s="1"/>
  <c r="BO83" i="3" s="1"/>
  <c r="DW44" i="3"/>
  <c r="BR44" i="3"/>
  <c r="BR36" i="3"/>
  <c r="DW27" i="3"/>
  <c r="BR27" i="3"/>
  <c r="EU221" i="3"/>
  <c r="EU233" i="3"/>
  <c r="A16" i="31"/>
  <c r="C16" i="31" s="1"/>
  <c r="ET21" i="3"/>
  <c r="ES21" i="3"/>
  <c r="AQ320" i="13"/>
  <c r="AC320" i="13"/>
  <c r="AQ324" i="13"/>
  <c r="AC324" i="13"/>
  <c r="CC21" i="3" s="1"/>
  <c r="AC318" i="13"/>
  <c r="AI318" i="13"/>
  <c r="AQ318" i="13" s="1"/>
  <c r="AC317" i="13"/>
  <c r="AQ317" i="13"/>
  <c r="BD13" i="22"/>
  <c r="BD14" i="22"/>
  <c r="BD17" i="22"/>
  <c r="BD12" i="22"/>
  <c r="BD18" i="22"/>
  <c r="BD15" i="22"/>
  <c r="BD11" i="22"/>
  <c r="BD16" i="22"/>
  <c r="ET17" i="3"/>
  <c r="A21" i="31"/>
  <c r="C21" i="31" s="1"/>
  <c r="ES26" i="3"/>
  <c r="A33" i="31"/>
  <c r="C33" i="31" s="1"/>
  <c r="A22" i="31"/>
  <c r="C22" i="31" s="1"/>
  <c r="ES38" i="3"/>
  <c r="ES16" i="3"/>
  <c r="ET16" i="3"/>
  <c r="A31" i="31"/>
  <c r="C31" i="31" s="1"/>
  <c r="ES36" i="3"/>
  <c r="ES27" i="3"/>
  <c r="BZ33" i="3"/>
  <c r="A28" i="31" s="1"/>
  <c r="C28" i="31" s="1"/>
  <c r="BY31" i="3"/>
  <c r="CA18" i="3"/>
  <c r="ET18" i="3" s="1"/>
  <c r="BZ34" i="3"/>
  <c r="A29" i="31" s="1"/>
  <c r="C29" i="31" s="1"/>
  <c r="BZ13" i="3"/>
  <c r="A8" i="31" s="1"/>
  <c r="C8" i="31" s="1"/>
  <c r="CN43" i="3"/>
  <c r="AV46" i="13" s="1"/>
  <c r="CA37" i="3"/>
  <c r="ET37" i="3" s="1"/>
  <c r="CN39" i="3"/>
  <c r="DC39" i="3" s="1"/>
  <c r="CV39" i="3" s="1"/>
  <c r="BY32" i="3"/>
  <c r="AH44" i="13"/>
  <c r="AP44" i="13"/>
  <c r="AL44" i="13"/>
  <c r="AG44" i="13"/>
  <c r="AK44" i="13"/>
  <c r="DJ41" i="3"/>
  <c r="DF41" i="3"/>
  <c r="CW38" i="3"/>
  <c r="BP233" i="3"/>
  <c r="BP221" i="3"/>
  <c r="AL38" i="3"/>
  <c r="AL36" i="3"/>
  <c r="DW36" i="3"/>
  <c r="AD218" i="13"/>
  <c r="CR215" i="3" s="1"/>
  <c r="AD236" i="13"/>
  <c r="CR233" i="3" s="1"/>
  <c r="AD217" i="13"/>
  <c r="CR214" i="3" s="1"/>
  <c r="AD224" i="13"/>
  <c r="CR221" i="3" s="1"/>
  <c r="AD56" i="13"/>
  <c r="AD65" i="13"/>
  <c r="AD54" i="13"/>
  <c r="CR51" i="3" s="1"/>
  <c r="AH107" i="13"/>
  <c r="AR107" i="13" s="1"/>
  <c r="AH201" i="13"/>
  <c r="AR201" i="13" s="1"/>
  <c r="AH164" i="13"/>
  <c r="AR164" i="13" s="1"/>
  <c r="AH134" i="13"/>
  <c r="AR134" i="13" s="1"/>
  <c r="AH178" i="13"/>
  <c r="AR178" i="13" s="1"/>
  <c r="CR194" i="3"/>
  <c r="AH131" i="13"/>
  <c r="AR131" i="13" s="1"/>
  <c r="AH181" i="13"/>
  <c r="AR181" i="13" s="1"/>
  <c r="AH163" i="13"/>
  <c r="AR163" i="13" s="1"/>
  <c r="AH130" i="13"/>
  <c r="AR130" i="13" s="1"/>
  <c r="CZ212" i="3"/>
  <c r="CZ213" i="3"/>
  <c r="Q48" i="22"/>
  <c r="X48" i="22" s="1"/>
  <c r="AE48" i="22" s="1"/>
  <c r="AM48" i="22" s="1"/>
  <c r="D49" i="22"/>
  <c r="ER120" i="3"/>
  <c r="CJ120" i="3" s="1"/>
  <c r="BO120" i="3" s="1"/>
  <c r="ER117" i="3"/>
  <c r="CJ117" i="3" s="1"/>
  <c r="BO117" i="3" s="1"/>
  <c r="ER123" i="3"/>
  <c r="CJ123" i="3" s="1"/>
  <c r="BO123" i="3" s="1"/>
  <c r="AR169" i="13"/>
  <c r="CE75" i="3"/>
  <c r="DC124" i="3"/>
  <c r="DC114" i="3"/>
  <c r="BP54" i="3"/>
  <c r="AL73" i="3"/>
  <c r="DW73" i="3"/>
  <c r="CO72" i="3"/>
  <c r="R75" i="13" s="1"/>
  <c r="AR197" i="13"/>
  <c r="CG183" i="3"/>
  <c r="CG125" i="3"/>
  <c r="CG190" i="3"/>
  <c r="EL181" i="3"/>
  <c r="CG181" i="3"/>
  <c r="EL178" i="3"/>
  <c r="CR169" i="3"/>
  <c r="AH172" i="13"/>
  <c r="AR172" i="13" s="1"/>
  <c r="EL145" i="3"/>
  <c r="CG141" i="3"/>
  <c r="EL141" i="3"/>
  <c r="CG131" i="3"/>
  <c r="DC83" i="3"/>
  <c r="CL123" i="3"/>
  <c r="BI121" i="3"/>
  <c r="DW121" i="3"/>
  <c r="AL121" i="3"/>
  <c r="CR52" i="3"/>
  <c r="CL120" i="3"/>
  <c r="DC120" i="3"/>
  <c r="DC118" i="3"/>
  <c r="CL117" i="3"/>
  <c r="CR81" i="3"/>
  <c r="AO103" i="13"/>
  <c r="EL104" i="3"/>
  <c r="CG104" i="3"/>
  <c r="AH65" i="13"/>
  <c r="DC115" i="3"/>
  <c r="AH88" i="13"/>
  <c r="AR88" i="13" s="1"/>
  <c r="AH101" i="13"/>
  <c r="AR101" i="13" s="1"/>
  <c r="EL82" i="3"/>
  <c r="CG97" i="3"/>
  <c r="CR50" i="3"/>
  <c r="AH74" i="13"/>
  <c r="AR74" i="13" s="1"/>
  <c r="CG82" i="3"/>
  <c r="AH85" i="13"/>
  <c r="AR85" i="13" s="1"/>
  <c r="EL92" i="3"/>
  <c r="EL87" i="3"/>
  <c r="CO83" i="3"/>
  <c r="R86" i="13" s="1"/>
  <c r="CR97" i="3"/>
  <c r="AH100" i="13"/>
  <c r="AR100" i="13" s="1"/>
  <c r="CG99" i="3"/>
  <c r="EL99" i="3"/>
  <c r="BP43" i="3"/>
  <c r="BP39" i="3"/>
  <c r="BA74" i="3"/>
  <c r="CO59" i="3"/>
  <c r="R62" i="13" s="1"/>
  <c r="DF59" i="3"/>
  <c r="CO227" i="3"/>
  <c r="R230" i="13" s="1"/>
  <c r="CZ227" i="3"/>
  <c r="CO54" i="3"/>
  <c r="R57" i="13" s="1"/>
  <c r="DF54" i="3"/>
  <c r="CO226" i="3"/>
  <c r="R229" i="13" s="1"/>
  <c r="CZ226" i="3"/>
  <c r="CO232" i="3"/>
  <c r="R235" i="13" s="1"/>
  <c r="CZ232" i="3"/>
  <c r="CO49" i="3"/>
  <c r="DF49" i="3"/>
  <c r="CO220" i="3"/>
  <c r="R223" i="13" s="1"/>
  <c r="CZ220" i="3"/>
  <c r="CO63" i="3"/>
  <c r="R66" i="13" s="1"/>
  <c r="DF63" i="3"/>
  <c r="AR55" i="13"/>
  <c r="AR53" i="13"/>
  <c r="AG65" i="13"/>
  <c r="AM65" i="13"/>
  <c r="AK65" i="13"/>
  <c r="AK54" i="13"/>
  <c r="DJ62" i="3"/>
  <c r="AV52" i="13"/>
  <c r="AK52" i="13" s="1"/>
  <c r="AN54" i="13"/>
  <c r="AP54" i="13"/>
  <c r="DJ51" i="3"/>
  <c r="AG54" i="13"/>
  <c r="AL54" i="13"/>
  <c r="AV62" i="13"/>
  <c r="AG62" i="13" s="1"/>
  <c r="AP65" i="13"/>
  <c r="AL65" i="13"/>
  <c r="CO212" i="3"/>
  <c r="R215" i="13" s="1"/>
  <c r="CO213" i="3"/>
  <c r="R216" i="13" s="1"/>
  <c r="R49" i="22"/>
  <c r="Y49" i="22" s="1"/>
  <c r="AF49" i="22" s="1"/>
  <c r="AN49" i="22" s="1"/>
  <c r="E50" i="22"/>
  <c r="T49" i="22"/>
  <c r="AA49" i="22" s="1"/>
  <c r="AH49" i="22" s="1"/>
  <c r="AP49" i="22" s="1"/>
  <c r="G50" i="22"/>
  <c r="S49" i="22"/>
  <c r="Z49" i="22" s="1"/>
  <c r="AG49" i="22" s="1"/>
  <c r="AO49" i="22" s="1"/>
  <c r="F50" i="22"/>
  <c r="C50" i="22"/>
  <c r="P50" i="22" s="1"/>
  <c r="W49" i="22"/>
  <c r="AD49" i="22" s="1"/>
  <c r="CG61" i="3"/>
  <c r="EL61" i="3"/>
  <c r="DH74" i="3"/>
  <c r="AV57" i="13"/>
  <c r="BA75" i="3"/>
  <c r="BR75" i="3" s="1"/>
  <c r="DH75" i="3"/>
  <c r="AL44" i="3"/>
  <c r="AL27" i="3"/>
  <c r="AK56" i="13"/>
  <c r="AP56" i="13"/>
  <c r="AM56" i="13"/>
  <c r="AG56" i="13"/>
  <c r="AL56" i="13"/>
  <c r="AN56" i="13"/>
  <c r="DJ53" i="3"/>
  <c r="AV66" i="13"/>
  <c r="EL52" i="3"/>
  <c r="CG52" i="3"/>
  <c r="CG57" i="3"/>
  <c r="CE18" i="3"/>
  <c r="BQ18" i="3" s="1"/>
  <c r="AR90" i="13"/>
  <c r="V29" i="5"/>
  <c r="V23" i="5"/>
  <c r="AG23" i="5"/>
  <c r="L23" i="5" s="1"/>
  <c r="V26" i="5"/>
  <c r="AG26" i="5"/>
  <c r="L26" i="5" s="1"/>
  <c r="AR84" i="13"/>
  <c r="AR91" i="13"/>
  <c r="CG70" i="3"/>
  <c r="DC66" i="3"/>
  <c r="AQ323" i="13"/>
  <c r="AH71" i="13"/>
  <c r="AR71" i="13" s="1"/>
  <c r="AH285" i="13"/>
  <c r="AR285" i="13" s="1"/>
  <c r="EL171" i="3"/>
  <c r="AH82" i="13"/>
  <c r="AR82" i="13" s="1"/>
  <c r="AL27" i="22"/>
  <c r="AH92" i="13"/>
  <c r="AR92" i="13" s="1"/>
  <c r="CR64" i="3"/>
  <c r="EL287" i="3"/>
  <c r="CG150" i="3"/>
  <c r="AR116" i="13"/>
  <c r="CR56" i="3"/>
  <c r="EL254" i="3"/>
  <c r="AH273" i="13"/>
  <c r="AR273" i="13" s="1"/>
  <c r="AH301" i="13"/>
  <c r="AR301" i="13" s="1"/>
  <c r="AH298" i="13"/>
  <c r="AR298" i="13" s="1"/>
  <c r="AH258" i="13"/>
  <c r="AR258" i="13" s="1"/>
  <c r="CG269" i="3"/>
  <c r="AH286" i="13"/>
  <c r="AR286" i="13" s="1"/>
  <c r="CR283" i="3"/>
  <c r="AH306" i="13"/>
  <c r="AR306" i="13" s="1"/>
  <c r="CR303" i="3"/>
  <c r="CG273" i="3"/>
  <c r="CG272" i="3"/>
  <c r="EL143" i="3"/>
  <c r="EL271" i="3"/>
  <c r="EL286" i="3"/>
  <c r="EL265" i="3"/>
  <c r="AR222" i="13"/>
  <c r="EL224" i="3"/>
  <c r="CG265" i="3"/>
  <c r="CG252" i="3"/>
  <c r="EL259" i="3"/>
  <c r="CG259" i="3"/>
  <c r="EL272" i="3"/>
  <c r="CG289" i="3"/>
  <c r="CG286" i="3"/>
  <c r="EL307" i="3"/>
  <c r="CG307" i="3"/>
  <c r="EL269" i="3"/>
  <c r="CG284" i="3"/>
  <c r="EL225" i="3"/>
  <c r="EL252" i="3"/>
  <c r="CG308" i="3"/>
  <c r="EL305" i="3"/>
  <c r="CG306" i="3"/>
  <c r="CG301" i="3"/>
  <c r="EL306" i="3"/>
  <c r="CG305" i="3"/>
  <c r="EL301" i="3"/>
  <c r="EL308" i="3"/>
  <c r="CG302" i="3"/>
  <c r="EL302" i="3"/>
  <c r="EL290" i="3"/>
  <c r="CG292" i="3"/>
  <c r="EL299" i="3"/>
  <c r="EL291" i="3"/>
  <c r="CG290" i="3"/>
  <c r="AR283" i="13"/>
  <c r="CG268" i="3"/>
  <c r="AR279" i="13"/>
  <c r="AR299" i="13"/>
  <c r="CG294" i="3"/>
  <c r="EL275" i="3"/>
  <c r="CG282" i="3"/>
  <c r="CG287" i="3"/>
  <c r="CG291" i="3"/>
  <c r="CG277" i="3"/>
  <c r="CG279" i="3"/>
  <c r="EL292" i="3"/>
  <c r="CG283" i="3"/>
  <c r="AR296" i="13"/>
  <c r="CG299" i="3"/>
  <c r="EL273" i="3"/>
  <c r="EL268" i="3"/>
  <c r="EL278" i="3"/>
  <c r="EL289" i="3"/>
  <c r="AR284" i="13"/>
  <c r="EL284" i="3"/>
  <c r="EL277" i="3"/>
  <c r="EL279" i="3"/>
  <c r="CG271" i="3"/>
  <c r="EL294" i="3"/>
  <c r="EL258" i="3"/>
  <c r="CG258" i="3"/>
  <c r="EL260" i="3"/>
  <c r="CG256" i="3"/>
  <c r="CG263" i="3"/>
  <c r="CG254" i="3"/>
  <c r="AR267" i="13"/>
  <c r="EL263" i="3"/>
  <c r="AR264" i="13"/>
  <c r="EL267" i="3"/>
  <c r="CG260" i="3"/>
  <c r="EL256" i="3"/>
  <c r="CG224" i="3"/>
  <c r="EL228" i="3"/>
  <c r="EL184" i="3"/>
  <c r="CG251" i="3"/>
  <c r="EL251" i="3"/>
  <c r="CG250" i="3"/>
  <c r="EL250" i="3"/>
  <c r="EL248" i="3"/>
  <c r="EL244" i="3"/>
  <c r="CG244" i="3"/>
  <c r="EL238" i="3"/>
  <c r="CG238" i="3"/>
  <c r="EL239" i="3"/>
  <c r="CG239" i="3"/>
  <c r="AV236" i="13"/>
  <c r="DF233" i="3"/>
  <c r="EL231" i="3"/>
  <c r="CG231" i="3"/>
  <c r="AR237" i="13"/>
  <c r="EL229" i="3"/>
  <c r="CG229" i="3"/>
  <c r="CG228" i="3"/>
  <c r="CG225" i="3"/>
  <c r="EL223" i="3"/>
  <c r="CG223" i="3"/>
  <c r="DF221" i="3"/>
  <c r="AV224" i="13"/>
  <c r="EL215" i="3"/>
  <c r="CG215" i="3"/>
  <c r="AH218" i="13"/>
  <c r="AH217" i="13"/>
  <c r="DC78" i="3"/>
  <c r="EL150" i="3"/>
  <c r="CG143" i="3"/>
  <c r="DC122" i="3"/>
  <c r="CR102" i="3"/>
  <c r="AH61" i="13"/>
  <c r="AR61" i="13" s="1"/>
  <c r="CR60" i="3"/>
  <c r="AH93" i="13"/>
  <c r="AR93" i="13" s="1"/>
  <c r="CR58" i="3"/>
  <c r="CR55" i="3"/>
  <c r="AH58" i="13"/>
  <c r="AR58" i="13" s="1"/>
  <c r="CR89" i="3"/>
  <c r="CG171" i="3"/>
  <c r="EL142" i="3"/>
  <c r="EL199" i="3"/>
  <c r="CG154" i="3"/>
  <c r="DJ207" i="3"/>
  <c r="EL209" i="3"/>
  <c r="CG209" i="3"/>
  <c r="DJ206" i="3"/>
  <c r="EL107" i="3"/>
  <c r="EL174" i="3"/>
  <c r="AH155" i="13"/>
  <c r="AR155" i="13" s="1"/>
  <c r="EL186" i="3"/>
  <c r="EL106" i="3"/>
  <c r="EL217" i="3"/>
  <c r="CG217" i="3"/>
  <c r="CG202" i="3"/>
  <c r="EL202" i="3"/>
  <c r="CG201" i="3"/>
  <c r="EL201" i="3"/>
  <c r="EL200" i="3"/>
  <c r="CG200" i="3"/>
  <c r="CG165" i="3"/>
  <c r="EL109" i="3"/>
  <c r="CG127" i="3"/>
  <c r="CG184" i="3"/>
  <c r="CG185" i="3"/>
  <c r="EL191" i="3"/>
  <c r="CG191" i="3"/>
  <c r="EL188" i="3"/>
  <c r="CG188" i="3"/>
  <c r="EL187" i="3"/>
  <c r="CG186" i="3"/>
  <c r="EL185" i="3"/>
  <c r="EL172" i="3"/>
  <c r="EL169" i="3"/>
  <c r="DJ161" i="3"/>
  <c r="DJ160" i="3"/>
  <c r="DJ159" i="3"/>
  <c r="EL156" i="3"/>
  <c r="CG156" i="3"/>
  <c r="EL164" i="3"/>
  <c r="EL167" i="3"/>
  <c r="CG173" i="3"/>
  <c r="CG158" i="3"/>
  <c r="EL173" i="3"/>
  <c r="EL155" i="3"/>
  <c r="CG164" i="3"/>
  <c r="AH183" i="13"/>
  <c r="AR183" i="13" s="1"/>
  <c r="CR180" i="3"/>
  <c r="CG174" i="3"/>
  <c r="EL166" i="3"/>
  <c r="EL165" i="3"/>
  <c r="AR166" i="13"/>
  <c r="AH182" i="13"/>
  <c r="CR179" i="3"/>
  <c r="CG167" i="3"/>
  <c r="EL158" i="3"/>
  <c r="CG155" i="3"/>
  <c r="AR185" i="13"/>
  <c r="CG172" i="3"/>
  <c r="AH165" i="13"/>
  <c r="AR165" i="13" s="1"/>
  <c r="CR162" i="3"/>
  <c r="CG169" i="3"/>
  <c r="EL153" i="3"/>
  <c r="CG153" i="3"/>
  <c r="AH152" i="13"/>
  <c r="AR152" i="13" s="1"/>
  <c r="AR150" i="13"/>
  <c r="AR140" i="13"/>
  <c r="EL136" i="3"/>
  <c r="CG136" i="3"/>
  <c r="AH132" i="13"/>
  <c r="AR132" i="13" s="1"/>
  <c r="CR129" i="3"/>
  <c r="CG128" i="3"/>
  <c r="EL128" i="3"/>
  <c r="EL127" i="3"/>
  <c r="EL113" i="3"/>
  <c r="CG113" i="3"/>
  <c r="AR113" i="13"/>
  <c r="CG109" i="3"/>
  <c r="CG107" i="3"/>
  <c r="CG106" i="3"/>
  <c r="CG105" i="3"/>
  <c r="EL105" i="3"/>
  <c r="AO106" i="13"/>
  <c r="AO104" i="13"/>
  <c r="AR105" i="13"/>
  <c r="CG98" i="3"/>
  <c r="EL98" i="3"/>
  <c r="CR95" i="3"/>
  <c r="EL95" i="3"/>
  <c r="AH98" i="13"/>
  <c r="AR98" i="13" s="1"/>
  <c r="CG96" i="3"/>
  <c r="EL96" i="3"/>
  <c r="AR99" i="13"/>
  <c r="CR94" i="3"/>
  <c r="CR93" i="3"/>
  <c r="AR96" i="13"/>
  <c r="AH97" i="13"/>
  <c r="AO95" i="13"/>
  <c r="AH94" i="13"/>
  <c r="AR94" i="13" s="1"/>
  <c r="CR91" i="3"/>
  <c r="CG88" i="3"/>
  <c r="EL88" i="3"/>
  <c r="EL85" i="3"/>
  <c r="CG85" i="3"/>
  <c r="AR87" i="13"/>
  <c r="EL84" i="3"/>
  <c r="CG80" i="3"/>
  <c r="EL80" i="3"/>
  <c r="CG69" i="3"/>
  <c r="AR73" i="13"/>
  <c r="EL70" i="3"/>
  <c r="EL69" i="3"/>
  <c r="CR67" i="3"/>
  <c r="AH70" i="13"/>
  <c r="AR70" i="13" s="1"/>
  <c r="CG65" i="3"/>
  <c r="EL65" i="3"/>
  <c r="AR67" i="13"/>
  <c r="AR63" i="13"/>
  <c r="AR59" i="13"/>
  <c r="T29" i="20"/>
  <c r="T37" i="20"/>
  <c r="BA29" i="3" l="1"/>
  <c r="BR29" i="3" s="1"/>
  <c r="ER29" i="3" s="1"/>
  <c r="CJ29" i="3" s="1"/>
  <c r="BO29" i="3" s="1"/>
  <c r="DH29" i="3"/>
  <c r="BV36" i="3"/>
  <c r="CL36" i="3"/>
  <c r="CW36" i="3"/>
  <c r="D332" i="13"/>
  <c r="ET29" i="3"/>
  <c r="A24" i="31"/>
  <c r="C24" i="31" s="1"/>
  <c r="ES29" i="3"/>
  <c r="R52" i="13"/>
  <c r="DD49" i="3"/>
  <c r="C52" i="13" s="1"/>
  <c r="BI36" i="3"/>
  <c r="ER36" i="3"/>
  <c r="CJ36" i="3" s="1"/>
  <c r="BO36" i="3" s="1"/>
  <c r="BR74" i="3"/>
  <c r="BI74" i="3" s="1"/>
  <c r="EU76" i="3"/>
  <c r="EU220" i="3"/>
  <c r="EU72" i="3"/>
  <c r="EU66" i="3"/>
  <c r="EU114" i="3"/>
  <c r="DF215" i="3"/>
  <c r="EU213" i="3"/>
  <c r="EU77" i="3"/>
  <c r="EU232" i="3"/>
  <c r="EU227" i="3"/>
  <c r="EU116" i="3"/>
  <c r="EU226" i="3"/>
  <c r="EU78" i="3"/>
  <c r="EU122" i="3"/>
  <c r="EU119" i="3"/>
  <c r="EU115" i="3"/>
  <c r="EU83" i="3"/>
  <c r="EU118" i="3"/>
  <c r="BE14" i="22"/>
  <c r="BE13" i="22"/>
  <c r="BE11" i="22"/>
  <c r="BE15" i="22"/>
  <c r="BE12" i="22"/>
  <c r="BE18" i="22"/>
  <c r="BE16" i="22"/>
  <c r="BE17" i="22"/>
  <c r="CO39" i="3"/>
  <c r="AV42" i="13"/>
  <c r="AL42" i="13" s="1"/>
  <c r="CO43" i="3"/>
  <c r="A32" i="31"/>
  <c r="C32" i="31" s="1"/>
  <c r="ES18" i="3"/>
  <c r="DC43" i="3"/>
  <c r="ES37" i="3"/>
  <c r="DA39" i="3"/>
  <c r="A13" i="31"/>
  <c r="C13" i="31" s="1"/>
  <c r="BI44" i="3"/>
  <c r="CW44" i="3"/>
  <c r="CL44" i="3" s="1"/>
  <c r="CX41" i="3"/>
  <c r="D44" i="13"/>
  <c r="DF39" i="3"/>
  <c r="CX39" i="3"/>
  <c r="D42" i="13"/>
  <c r="BI29" i="3"/>
  <c r="CW29" i="3"/>
  <c r="CL29" i="3" s="1"/>
  <c r="DF214" i="3"/>
  <c r="EU214" i="3"/>
  <c r="BP212" i="3"/>
  <c r="EU212" i="3"/>
  <c r="BP124" i="3"/>
  <c r="EU124" i="3"/>
  <c r="EU215" i="3"/>
  <c r="DF213" i="3"/>
  <c r="BP213" i="3"/>
  <c r="BP115" i="3"/>
  <c r="BP232" i="3"/>
  <c r="BP118" i="3"/>
  <c r="BP226" i="3"/>
  <c r="BP66" i="3"/>
  <c r="BP122" i="3"/>
  <c r="BP78" i="3"/>
  <c r="BP119" i="3"/>
  <c r="BP77" i="3"/>
  <c r="BP83" i="3"/>
  <c r="BP116" i="3"/>
  <c r="BP220" i="3"/>
  <c r="BP76" i="3"/>
  <c r="BP114" i="3"/>
  <c r="CW27" i="3"/>
  <c r="CL27" i="3" s="1"/>
  <c r="ER27" i="3"/>
  <c r="BI27" i="3"/>
  <c r="ER75" i="3"/>
  <c r="CJ75" i="3" s="1"/>
  <c r="BO75" i="3" s="1"/>
  <c r="BI75" i="3"/>
  <c r="ER73" i="3"/>
  <c r="CJ73" i="3" s="1"/>
  <c r="BO73" i="3" s="1"/>
  <c r="BI73" i="3"/>
  <c r="AD216" i="13"/>
  <c r="CR213" i="3" s="1"/>
  <c r="AD215" i="13"/>
  <c r="CR212" i="3" s="1"/>
  <c r="AD229" i="13"/>
  <c r="CR226" i="3" s="1"/>
  <c r="AD230" i="13"/>
  <c r="CR227" i="3" s="1"/>
  <c r="AD223" i="13"/>
  <c r="CR220" i="3" s="1"/>
  <c r="AD235" i="13"/>
  <c r="CR232" i="3" s="1"/>
  <c r="AD86" i="13"/>
  <c r="AD57" i="13"/>
  <c r="CR54" i="3" s="1"/>
  <c r="AD66" i="13"/>
  <c r="AD62" i="13"/>
  <c r="CR59" i="3" s="1"/>
  <c r="AD75" i="13"/>
  <c r="Q49" i="22"/>
  <c r="X49" i="22" s="1"/>
  <c r="AE49" i="22" s="1"/>
  <c r="AM49" i="22" s="1"/>
  <c r="D50" i="22"/>
  <c r="ER44" i="3"/>
  <c r="CJ44" i="3" s="1"/>
  <c r="BO44" i="3" s="1"/>
  <c r="ER121" i="3"/>
  <c r="CJ121" i="3" s="1"/>
  <c r="BO121" i="3" s="1"/>
  <c r="DF212" i="3"/>
  <c r="BP214" i="3"/>
  <c r="BP215" i="3"/>
  <c r="BP227" i="3"/>
  <c r="CZ124" i="3"/>
  <c r="DC77" i="3"/>
  <c r="DC116" i="3"/>
  <c r="DC119" i="3"/>
  <c r="DC123" i="3"/>
  <c r="DC76" i="3"/>
  <c r="CL74" i="3"/>
  <c r="CL73" i="3"/>
  <c r="DC72" i="3"/>
  <c r="AV75" i="13"/>
  <c r="CO114" i="3"/>
  <c r="R117" i="13" s="1"/>
  <c r="CO124" i="3"/>
  <c r="R127" i="13" s="1"/>
  <c r="A30" i="31"/>
  <c r="C30" i="31" s="1"/>
  <c r="CG178" i="3"/>
  <c r="EL131" i="3"/>
  <c r="AL74" i="3"/>
  <c r="CO118" i="3"/>
  <c r="R121" i="13" s="1"/>
  <c r="CZ118" i="3"/>
  <c r="CR62" i="3"/>
  <c r="EL62" i="3"/>
  <c r="DC117" i="3"/>
  <c r="CL121" i="3"/>
  <c r="CG62" i="3"/>
  <c r="CG87" i="3"/>
  <c r="CZ114" i="3"/>
  <c r="AV117" i="13"/>
  <c r="AH54" i="13"/>
  <c r="AR54" i="13" s="1"/>
  <c r="CG51" i="3"/>
  <c r="CZ115" i="3"/>
  <c r="CO115" i="3"/>
  <c r="R118" i="13" s="1"/>
  <c r="CO122" i="3"/>
  <c r="R125" i="13" s="1"/>
  <c r="CZ122" i="3"/>
  <c r="CG92" i="3"/>
  <c r="CL75" i="3"/>
  <c r="AO102" i="13"/>
  <c r="AV86" i="13"/>
  <c r="DF83" i="3"/>
  <c r="DW74" i="3"/>
  <c r="AP62" i="13"/>
  <c r="AR65" i="13"/>
  <c r="AG52" i="13"/>
  <c r="AM62" i="13"/>
  <c r="AL52" i="13"/>
  <c r="AK62" i="13"/>
  <c r="AN62" i="13"/>
  <c r="AP52" i="13"/>
  <c r="AL62" i="13"/>
  <c r="DJ59" i="3"/>
  <c r="DJ49" i="3"/>
  <c r="AO105" i="13"/>
  <c r="S50" i="22"/>
  <c r="Z50" i="22" s="1"/>
  <c r="AG50" i="22" s="1"/>
  <c r="AO50" i="22" s="1"/>
  <c r="F51" i="22"/>
  <c r="T50" i="22"/>
  <c r="AA50" i="22" s="1"/>
  <c r="AH50" i="22" s="1"/>
  <c r="AP50" i="22" s="1"/>
  <c r="G51" i="22"/>
  <c r="R50" i="22"/>
  <c r="Y50" i="22" s="1"/>
  <c r="AF50" i="22" s="1"/>
  <c r="AN50" i="22" s="1"/>
  <c r="E51" i="22"/>
  <c r="W50" i="22"/>
  <c r="AD50" i="22" s="1"/>
  <c r="C51" i="22"/>
  <c r="P51" i="22" s="1"/>
  <c r="AL75" i="3"/>
  <c r="DW75" i="3"/>
  <c r="CG81" i="3"/>
  <c r="EL81" i="3"/>
  <c r="EL50" i="3"/>
  <c r="CG50" i="3"/>
  <c r="EL57" i="3"/>
  <c r="DJ39" i="3"/>
  <c r="AL57" i="13"/>
  <c r="AG57" i="13"/>
  <c r="AP57" i="13"/>
  <c r="AN57" i="13"/>
  <c r="AM57" i="13"/>
  <c r="AK57" i="13"/>
  <c r="DJ54" i="3"/>
  <c r="EL71" i="3"/>
  <c r="CG71" i="3"/>
  <c r="CG68" i="3"/>
  <c r="AK66" i="13"/>
  <c r="AM66" i="13"/>
  <c r="AG66" i="13"/>
  <c r="AL66" i="13"/>
  <c r="AN66" i="13"/>
  <c r="AP66" i="13"/>
  <c r="DJ63" i="3"/>
  <c r="AH56" i="13"/>
  <c r="AR56" i="13" s="1"/>
  <c r="CR53" i="3"/>
  <c r="AP46" i="13"/>
  <c r="AL46" i="13"/>
  <c r="AG46" i="13"/>
  <c r="AK46" i="13"/>
  <c r="V24" i="5"/>
  <c r="AG24" i="5"/>
  <c r="L24" i="5" s="1"/>
  <c r="V25" i="5"/>
  <c r="AG25" i="5"/>
  <c r="L25" i="5" s="1"/>
  <c r="V21" i="5"/>
  <c r="AG21" i="5"/>
  <c r="L21" i="5" s="1"/>
  <c r="V31" i="5"/>
  <c r="AG20" i="5"/>
  <c r="L20" i="5" s="1"/>
  <c r="V32" i="5"/>
  <c r="AL28" i="22"/>
  <c r="AH215" i="13"/>
  <c r="EL298" i="3"/>
  <c r="AR217" i="13"/>
  <c r="AR218" i="13"/>
  <c r="EL261" i="3"/>
  <c r="EL296" i="3"/>
  <c r="EL280" i="3"/>
  <c r="CG280" i="3"/>
  <c r="CG303" i="3"/>
  <c r="EL303" i="3"/>
  <c r="EL295" i="3"/>
  <c r="CG295" i="3"/>
  <c r="CG276" i="3"/>
  <c r="CG296" i="3"/>
  <c r="EL293" i="3"/>
  <c r="EL282" i="3"/>
  <c r="EL270" i="3"/>
  <c r="EL281" i="3"/>
  <c r="EL276" i="3"/>
  <c r="EL283" i="3"/>
  <c r="CG298" i="3"/>
  <c r="CG293" i="3"/>
  <c r="CG281" i="3"/>
  <c r="CG270" i="3"/>
  <c r="EL255" i="3"/>
  <c r="CG261" i="3"/>
  <c r="EL264" i="3"/>
  <c r="CG264" i="3"/>
  <c r="CG255" i="3"/>
  <c r="CG157" i="3"/>
  <c r="EL157" i="3"/>
  <c r="EL234" i="3"/>
  <c r="DJ233" i="3"/>
  <c r="AK236" i="13"/>
  <c r="AG236" i="13"/>
  <c r="AP236" i="13"/>
  <c r="AH236" i="13"/>
  <c r="AM236" i="13"/>
  <c r="AN236" i="13"/>
  <c r="AL236" i="13"/>
  <c r="AV235" i="13"/>
  <c r="DF232" i="3"/>
  <c r="CG234" i="3"/>
  <c r="DF227" i="3"/>
  <c r="AV230" i="13"/>
  <c r="DF226" i="3"/>
  <c r="AV229" i="13"/>
  <c r="AG224" i="13"/>
  <c r="AH224" i="13"/>
  <c r="AM224" i="13"/>
  <c r="AL224" i="13"/>
  <c r="AK224" i="13"/>
  <c r="AN224" i="13"/>
  <c r="AP224" i="13"/>
  <c r="DJ221" i="3"/>
  <c r="DF220" i="3"/>
  <c r="AV223" i="13"/>
  <c r="EL219" i="3"/>
  <c r="CG219" i="3"/>
  <c r="EL214" i="3"/>
  <c r="CG214" i="3"/>
  <c r="AO101" i="13"/>
  <c r="EL154" i="3"/>
  <c r="CG139" i="3"/>
  <c r="EL140" i="3"/>
  <c r="CG140" i="3"/>
  <c r="CG151" i="3"/>
  <c r="EL151" i="3"/>
  <c r="EL182" i="3"/>
  <c r="CG199" i="3"/>
  <c r="EL129" i="3"/>
  <c r="EL139" i="3"/>
  <c r="EL152" i="3"/>
  <c r="CG94" i="3"/>
  <c r="CG206" i="3"/>
  <c r="EL94" i="3"/>
  <c r="AH216" i="13"/>
  <c r="EL110" i="3"/>
  <c r="EL137" i="3"/>
  <c r="CG102" i="3"/>
  <c r="DF162" i="3"/>
  <c r="EL175" i="3"/>
  <c r="AR182" i="13"/>
  <c r="CG175" i="3"/>
  <c r="EL163" i="3"/>
  <c r="CG180" i="3"/>
  <c r="CG163" i="3"/>
  <c r="EL180" i="3"/>
  <c r="CG137" i="3"/>
  <c r="AV127" i="13"/>
  <c r="DF124" i="3"/>
  <c r="AV125" i="13"/>
  <c r="AV121" i="13"/>
  <c r="CG110" i="3"/>
  <c r="EL102" i="3"/>
  <c r="CG95" i="3"/>
  <c r="AO99" i="13"/>
  <c r="EL93" i="3"/>
  <c r="AR97" i="13"/>
  <c r="CG93" i="3"/>
  <c r="EL91" i="3"/>
  <c r="CG91" i="3"/>
  <c r="CG90" i="3"/>
  <c r="EL89" i="3"/>
  <c r="EL90" i="3"/>
  <c r="CG89" i="3"/>
  <c r="EL79" i="3"/>
  <c r="EL64" i="3"/>
  <c r="CG64" i="3"/>
  <c r="EL55" i="3"/>
  <c r="CG55" i="3"/>
  <c r="CG56" i="3"/>
  <c r="EL56" i="3"/>
  <c r="CG48" i="3"/>
  <c r="T31" i="20"/>
  <c r="T35" i="20"/>
  <c r="T41" i="20"/>
  <c r="T43" i="20"/>
  <c r="AL29" i="3" l="1"/>
  <c r="DW29" i="3"/>
  <c r="R42" i="13"/>
  <c r="AH42" i="13" s="1"/>
  <c r="BV29" i="3"/>
  <c r="CJ27" i="3"/>
  <c r="BO27" i="3" s="1"/>
  <c r="BV27" i="3" s="1"/>
  <c r="BV44" i="3"/>
  <c r="DD39" i="3"/>
  <c r="C42" i="13" s="1"/>
  <c r="DJ43" i="3"/>
  <c r="CV43" i="3"/>
  <c r="CX43" i="3" s="1"/>
  <c r="R46" i="13" s="1"/>
  <c r="AH46" i="13" s="1"/>
  <c r="ER74" i="3"/>
  <c r="CJ74" i="3" s="1"/>
  <c r="BO74" i="3" s="1"/>
  <c r="BP120" i="3"/>
  <c r="EU117" i="3"/>
  <c r="EU123" i="3"/>
  <c r="BF14" i="22"/>
  <c r="BF13" i="22"/>
  <c r="BF16" i="22"/>
  <c r="BF12" i="22"/>
  <c r="BF15" i="22"/>
  <c r="BF18" i="22"/>
  <c r="BF17" i="22"/>
  <c r="BF11" i="22"/>
  <c r="AP42" i="13"/>
  <c r="AG42" i="13"/>
  <c r="AK42" i="13"/>
  <c r="DD43" i="3"/>
  <c r="C46" i="13" s="1"/>
  <c r="DF43" i="3"/>
  <c r="CN36" i="3"/>
  <c r="CN38" i="3"/>
  <c r="AV41" i="13" s="1"/>
  <c r="AG41" i="13" s="1"/>
  <c r="CG41" i="3"/>
  <c r="EL41" i="3"/>
  <c r="CW32" i="3"/>
  <c r="EU36" i="3"/>
  <c r="BP117" i="3"/>
  <c r="BP36" i="3"/>
  <c r="AD127" i="13"/>
  <c r="CR124" i="3" s="1"/>
  <c r="AD125" i="13"/>
  <c r="CR122" i="3" s="1"/>
  <c r="AD121" i="13"/>
  <c r="CR118" i="3" s="1"/>
  <c r="AD117" i="13"/>
  <c r="CR114" i="3" s="1"/>
  <c r="AD118" i="13"/>
  <c r="Q50" i="22"/>
  <c r="X50" i="22" s="1"/>
  <c r="AE50" i="22" s="1"/>
  <c r="AM50" i="22" s="1"/>
  <c r="D51" i="22"/>
  <c r="DC121" i="3"/>
  <c r="CO123" i="3"/>
  <c r="R126" i="13" s="1"/>
  <c r="DC75" i="3"/>
  <c r="DC74" i="3"/>
  <c r="DF72" i="3"/>
  <c r="DJ72" i="3"/>
  <c r="AH75" i="13"/>
  <c r="CR72" i="3"/>
  <c r="BP72" i="3"/>
  <c r="AL75" i="13"/>
  <c r="AM75" i="13"/>
  <c r="AK75" i="13"/>
  <c r="AG75" i="13"/>
  <c r="AN75" i="13"/>
  <c r="AP75" i="13"/>
  <c r="CZ123" i="3"/>
  <c r="AV126" i="13"/>
  <c r="DJ123" i="3"/>
  <c r="DF118" i="3"/>
  <c r="CG159" i="3"/>
  <c r="AV123" i="13"/>
  <c r="CZ120" i="3"/>
  <c r="CO120" i="3"/>
  <c r="R123" i="13" s="1"/>
  <c r="AH62" i="13"/>
  <c r="AR62" i="13" s="1"/>
  <c r="EL51" i="3"/>
  <c r="DF122" i="3"/>
  <c r="DJ83" i="3"/>
  <c r="DF114" i="3"/>
  <c r="DJ114" i="3"/>
  <c r="AN117" i="13"/>
  <c r="AK117" i="13"/>
  <c r="AP117" i="13"/>
  <c r="AG117" i="13"/>
  <c r="AL117" i="13"/>
  <c r="AM117" i="13"/>
  <c r="AH57" i="13"/>
  <c r="AR57" i="13" s="1"/>
  <c r="CO119" i="3"/>
  <c r="R122" i="13" s="1"/>
  <c r="CZ119" i="3"/>
  <c r="CO116" i="3"/>
  <c r="R119" i="13" s="1"/>
  <c r="CZ116" i="3"/>
  <c r="AH52" i="13"/>
  <c r="CR83" i="3"/>
  <c r="AL86" i="13"/>
  <c r="AG86" i="13"/>
  <c r="AN86" i="13"/>
  <c r="AM86" i="13"/>
  <c r="AK86" i="13"/>
  <c r="AP86" i="13"/>
  <c r="AO100" i="13"/>
  <c r="CO76" i="3"/>
  <c r="R79" i="13" s="1"/>
  <c r="DF76" i="3"/>
  <c r="CO66" i="3"/>
  <c r="R69" i="13" s="1"/>
  <c r="DF66" i="3"/>
  <c r="CO77" i="3"/>
  <c r="R80" i="13" s="1"/>
  <c r="DF77" i="3"/>
  <c r="CO78" i="3"/>
  <c r="R81" i="13" s="1"/>
  <c r="DF78" i="3"/>
  <c r="AV69" i="13"/>
  <c r="AG69" i="13" s="1"/>
  <c r="R51" i="22"/>
  <c r="Y51" i="22" s="1"/>
  <c r="AF51" i="22" s="1"/>
  <c r="AN51" i="22" s="1"/>
  <c r="E52" i="22"/>
  <c r="T51" i="22"/>
  <c r="AA51" i="22" s="1"/>
  <c r="AH51" i="22" s="1"/>
  <c r="AP51" i="22" s="1"/>
  <c r="G52" i="22"/>
  <c r="S51" i="22"/>
  <c r="Z51" i="22" s="1"/>
  <c r="AG51" i="22" s="1"/>
  <c r="AO51" i="22" s="1"/>
  <c r="F52" i="22"/>
  <c r="W51" i="22"/>
  <c r="AD51" i="22" s="1"/>
  <c r="C52" i="22"/>
  <c r="P52" i="22" s="1"/>
  <c r="EL49" i="3"/>
  <c r="CG49" i="3"/>
  <c r="CG60" i="3"/>
  <c r="AV81" i="13"/>
  <c r="AL81" i="13" s="1"/>
  <c r="EL68" i="3"/>
  <c r="CG58" i="3"/>
  <c r="EL58" i="3"/>
  <c r="CG79" i="3"/>
  <c r="EL48" i="3"/>
  <c r="EL60" i="3"/>
  <c r="AV80" i="13"/>
  <c r="AM80" i="13" s="1"/>
  <c r="AV79" i="13"/>
  <c r="AK79" i="13" s="1"/>
  <c r="CG67" i="3"/>
  <c r="EL67" i="3"/>
  <c r="EL53" i="3"/>
  <c r="CG53" i="3"/>
  <c r="AH66" i="13"/>
  <c r="AR66" i="13" s="1"/>
  <c r="CR63" i="3"/>
  <c r="EL59" i="3"/>
  <c r="CG59" i="3"/>
  <c r="V20" i="5"/>
  <c r="V34" i="5"/>
  <c r="AL29" i="22"/>
  <c r="CG152" i="3"/>
  <c r="AV122" i="13"/>
  <c r="AM122" i="13" s="1"/>
  <c r="AR216" i="13"/>
  <c r="AR215" i="13"/>
  <c r="AR236" i="13"/>
  <c r="DJ232" i="3"/>
  <c r="AN235" i="13"/>
  <c r="AK235" i="13"/>
  <c r="AM235" i="13"/>
  <c r="AP235" i="13"/>
  <c r="AH235" i="13"/>
  <c r="AG235" i="13"/>
  <c r="AL235" i="13"/>
  <c r="AM230" i="13"/>
  <c r="AL230" i="13"/>
  <c r="AK230" i="13"/>
  <c r="AG230" i="13"/>
  <c r="AP230" i="13"/>
  <c r="AN230" i="13"/>
  <c r="AH230" i="13"/>
  <c r="DJ227" i="3"/>
  <c r="AG229" i="13"/>
  <c r="AN229" i="13"/>
  <c r="AK229" i="13"/>
  <c r="AH229" i="13"/>
  <c r="AL229" i="13"/>
  <c r="AP229" i="13"/>
  <c r="AM229" i="13"/>
  <c r="DJ226" i="3"/>
  <c r="AR224" i="13"/>
  <c r="AG223" i="13"/>
  <c r="AH223" i="13"/>
  <c r="AL223" i="13"/>
  <c r="AN223" i="13"/>
  <c r="AP223" i="13"/>
  <c r="AK223" i="13"/>
  <c r="AM223" i="13"/>
  <c r="DJ220" i="3"/>
  <c r="CG179" i="3"/>
  <c r="EL179" i="3"/>
  <c r="DJ124" i="3"/>
  <c r="CG149" i="3"/>
  <c r="EL149" i="3"/>
  <c r="CG182" i="3"/>
  <c r="CG129" i="3"/>
  <c r="CG207" i="3"/>
  <c r="EL207" i="3"/>
  <c r="EL206" i="3"/>
  <c r="CG212" i="3"/>
  <c r="EL212" i="3"/>
  <c r="EL213" i="3"/>
  <c r="CG213" i="3"/>
  <c r="EL160" i="3"/>
  <c r="CG160" i="3"/>
  <c r="CG161" i="3"/>
  <c r="EL161" i="3"/>
  <c r="DJ162" i="3"/>
  <c r="AL127" i="13"/>
  <c r="AK127" i="13"/>
  <c r="AM127" i="13"/>
  <c r="AG127" i="13"/>
  <c r="AN127" i="13"/>
  <c r="AP127" i="13"/>
  <c r="AP125" i="13"/>
  <c r="AK125" i="13"/>
  <c r="AL125" i="13"/>
  <c r="AG125" i="13"/>
  <c r="AM125" i="13"/>
  <c r="AN125" i="13"/>
  <c r="DJ122" i="3"/>
  <c r="DJ118" i="3"/>
  <c r="AK121" i="13"/>
  <c r="AM121" i="13"/>
  <c r="AG121" i="13"/>
  <c r="AN121" i="13"/>
  <c r="AP121" i="13"/>
  <c r="AL121" i="13"/>
  <c r="DF115" i="3"/>
  <c r="AV118" i="13"/>
  <c r="AV119" i="13"/>
  <c r="AO98" i="13"/>
  <c r="AO96" i="13"/>
  <c r="AO97" i="13"/>
  <c r="AO94" i="13"/>
  <c r="EU44" i="3" l="1"/>
  <c r="BP123" i="3"/>
  <c r="BP75" i="3"/>
  <c r="EU120" i="3"/>
  <c r="EU74" i="3"/>
  <c r="EU121" i="3"/>
  <c r="BP29" i="3"/>
  <c r="EU27" i="3"/>
  <c r="EU73" i="3"/>
  <c r="BG13" i="22"/>
  <c r="BG14" i="22"/>
  <c r="BG12" i="22"/>
  <c r="BG16" i="22"/>
  <c r="BG11" i="22"/>
  <c r="BG17" i="22"/>
  <c r="BG18" i="22"/>
  <c r="BG15" i="22"/>
  <c r="CO36" i="3"/>
  <c r="R39" i="13" s="1"/>
  <c r="AV39" i="13"/>
  <c r="AP39" i="13" s="1"/>
  <c r="DA43" i="3"/>
  <c r="CG43" i="3" s="1"/>
  <c r="D46" i="13"/>
  <c r="DC38" i="3"/>
  <c r="CN29" i="3"/>
  <c r="CO29" i="3" s="1"/>
  <c r="EU29" i="3"/>
  <c r="BP44" i="3"/>
  <c r="BP27" i="3"/>
  <c r="BP121" i="3"/>
  <c r="CW37" i="3"/>
  <c r="CL37" i="3" s="1"/>
  <c r="AD69" i="13"/>
  <c r="AD123" i="13"/>
  <c r="CR120" i="3" s="1"/>
  <c r="AD126" i="13"/>
  <c r="CR123" i="3" s="1"/>
  <c r="AD81" i="13"/>
  <c r="CR78" i="3" s="1"/>
  <c r="AD79" i="13"/>
  <c r="CR76" i="3" s="1"/>
  <c r="AD80" i="13"/>
  <c r="CR77" i="3" s="1"/>
  <c r="AD119" i="13"/>
  <c r="CR116" i="3" s="1"/>
  <c r="AD122" i="13"/>
  <c r="CR119" i="3" s="1"/>
  <c r="AH125" i="13"/>
  <c r="AR125" i="13" s="1"/>
  <c r="AH127" i="13"/>
  <c r="AR127" i="13" s="1"/>
  <c r="AH117" i="13"/>
  <c r="AR117" i="13" s="1"/>
  <c r="AH121" i="13"/>
  <c r="AR121" i="13" s="1"/>
  <c r="Q51" i="22"/>
  <c r="X51" i="22" s="1"/>
  <c r="AE51" i="22" s="1"/>
  <c r="AM51" i="22" s="1"/>
  <c r="D52" i="22"/>
  <c r="BP74" i="3"/>
  <c r="BP73" i="3"/>
  <c r="AR75" i="13"/>
  <c r="CO73" i="3"/>
  <c r="R76" i="13" s="1"/>
  <c r="EL72" i="3"/>
  <c r="DF123" i="3"/>
  <c r="CO121" i="3"/>
  <c r="R124" i="13" s="1"/>
  <c r="AM126" i="13"/>
  <c r="AG126" i="13"/>
  <c r="AL126" i="13"/>
  <c r="AP126" i="13"/>
  <c r="AK126" i="13"/>
  <c r="AN126" i="13"/>
  <c r="EL159" i="3"/>
  <c r="AV120" i="13"/>
  <c r="CO117" i="3"/>
  <c r="R120" i="13" s="1"/>
  <c r="CZ117" i="3"/>
  <c r="DF119" i="3"/>
  <c r="CZ121" i="3"/>
  <c r="AV124" i="13"/>
  <c r="DJ120" i="3"/>
  <c r="DF120" i="3"/>
  <c r="AL123" i="13"/>
  <c r="AN123" i="13"/>
  <c r="AK123" i="13"/>
  <c r="AM123" i="13"/>
  <c r="AP123" i="13"/>
  <c r="AG123" i="13"/>
  <c r="CG114" i="3"/>
  <c r="DF116" i="3"/>
  <c r="AH86" i="13"/>
  <c r="AR86" i="13" s="1"/>
  <c r="AH69" i="13"/>
  <c r="CO75" i="3"/>
  <c r="R78" i="13" s="1"/>
  <c r="CO74" i="3"/>
  <c r="R77" i="13" s="1"/>
  <c r="DF74" i="3"/>
  <c r="AP41" i="13"/>
  <c r="DJ66" i="3"/>
  <c r="AL41" i="13"/>
  <c r="AK41" i="13"/>
  <c r="AK69" i="13"/>
  <c r="AP69" i="13"/>
  <c r="AN69" i="13"/>
  <c r="AM69" i="13"/>
  <c r="AL80" i="13"/>
  <c r="AV77" i="13"/>
  <c r="AP77" i="13" s="1"/>
  <c r="AL69" i="13"/>
  <c r="S52" i="22"/>
  <c r="Z52" i="22" s="1"/>
  <c r="AG52" i="22" s="1"/>
  <c r="AO52" i="22" s="1"/>
  <c r="F53" i="22"/>
  <c r="T52" i="22"/>
  <c r="AA52" i="22" s="1"/>
  <c r="AH52" i="22" s="1"/>
  <c r="AP52" i="22" s="1"/>
  <c r="G53" i="22"/>
  <c r="R52" i="22"/>
  <c r="Y52" i="22" s="1"/>
  <c r="AF52" i="22" s="1"/>
  <c r="AN52" i="22" s="1"/>
  <c r="E53" i="22"/>
  <c r="W52" i="22"/>
  <c r="AD52" i="22" s="1"/>
  <c r="C53" i="22"/>
  <c r="P53" i="22" s="1"/>
  <c r="AP81" i="13"/>
  <c r="AV78" i="13"/>
  <c r="AN81" i="13"/>
  <c r="AK81" i="13"/>
  <c r="AG81" i="13"/>
  <c r="AM81" i="13"/>
  <c r="DJ78" i="3"/>
  <c r="AG80" i="13"/>
  <c r="AN80" i="13"/>
  <c r="AP80" i="13"/>
  <c r="AK80" i="13"/>
  <c r="AL79" i="13"/>
  <c r="CG39" i="3"/>
  <c r="EL54" i="3"/>
  <c r="DJ77" i="3"/>
  <c r="EL39" i="3"/>
  <c r="CG54" i="3"/>
  <c r="AM79" i="13"/>
  <c r="AN79" i="13"/>
  <c r="AP79" i="13"/>
  <c r="AG79" i="13"/>
  <c r="EL83" i="3"/>
  <c r="CG83" i="3"/>
  <c r="DJ76" i="3"/>
  <c r="EL63" i="3"/>
  <c r="CG63" i="3"/>
  <c r="AP122" i="13"/>
  <c r="AG122" i="13"/>
  <c r="AN122" i="13"/>
  <c r="AK122" i="13"/>
  <c r="AL122" i="13"/>
  <c r="AL30" i="22"/>
  <c r="DJ119" i="3"/>
  <c r="CR115" i="3"/>
  <c r="AR235" i="13"/>
  <c r="CG233" i="3"/>
  <c r="EL233" i="3"/>
  <c r="AR230" i="13"/>
  <c r="AR229" i="13"/>
  <c r="CG221" i="3"/>
  <c r="EL221" i="3"/>
  <c r="AR223" i="13"/>
  <c r="AP118" i="13"/>
  <c r="AL118" i="13"/>
  <c r="AK118" i="13"/>
  <c r="AN118" i="13"/>
  <c r="AM118" i="13"/>
  <c r="AG118" i="13"/>
  <c r="DJ115" i="3"/>
  <c r="DJ116" i="3"/>
  <c r="AP119" i="13"/>
  <c r="AM119" i="13"/>
  <c r="AG119" i="13"/>
  <c r="AN119" i="13"/>
  <c r="AK119" i="13"/>
  <c r="AL119" i="13"/>
  <c r="DF75" i="3" l="1"/>
  <c r="EU75" i="3"/>
  <c r="BH14" i="22"/>
  <c r="BH13" i="22"/>
  <c r="R32" i="13"/>
  <c r="BH17" i="22"/>
  <c r="BH11" i="22"/>
  <c r="BH16" i="22"/>
  <c r="BH15" i="22"/>
  <c r="BH12" i="22"/>
  <c r="BH18" i="22"/>
  <c r="AV32" i="13"/>
  <c r="AK32" i="13" s="1"/>
  <c r="AL39" i="13"/>
  <c r="AG39" i="13"/>
  <c r="AK39" i="13"/>
  <c r="EL43" i="3"/>
  <c r="DJ38" i="3"/>
  <c r="CN27" i="3"/>
  <c r="AV30" i="13" s="1"/>
  <c r="AL30" i="13" s="1"/>
  <c r="CN44" i="3"/>
  <c r="DC44" i="3" s="1"/>
  <c r="AD77" i="13"/>
  <c r="CR74" i="3" s="1"/>
  <c r="AD120" i="13"/>
  <c r="CR117" i="3" s="1"/>
  <c r="AD124" i="13"/>
  <c r="CR121" i="3" s="1"/>
  <c r="AD76" i="13"/>
  <c r="AD78" i="13"/>
  <c r="CR75" i="3" s="1"/>
  <c r="AH126" i="13"/>
  <c r="AR126" i="13" s="1"/>
  <c r="AH122" i="13"/>
  <c r="AR122" i="13" s="1"/>
  <c r="AH123" i="13"/>
  <c r="AR123" i="13" s="1"/>
  <c r="AH39" i="13"/>
  <c r="Q52" i="22"/>
  <c r="X52" i="22" s="1"/>
  <c r="AE52" i="22" s="1"/>
  <c r="AM52" i="22" s="1"/>
  <c r="D53" i="22"/>
  <c r="DC73" i="3"/>
  <c r="AV76" i="13"/>
  <c r="CG72" i="3"/>
  <c r="CG123" i="3"/>
  <c r="EL123" i="3"/>
  <c r="AH79" i="13"/>
  <c r="AR79" i="13" s="1"/>
  <c r="DJ117" i="3"/>
  <c r="DF117" i="3"/>
  <c r="AM120" i="13"/>
  <c r="AG120" i="13"/>
  <c r="AN120" i="13"/>
  <c r="AL120" i="13"/>
  <c r="AK120" i="13"/>
  <c r="AP120" i="13"/>
  <c r="AL124" i="13"/>
  <c r="AN124" i="13"/>
  <c r="AG124" i="13"/>
  <c r="AM124" i="13"/>
  <c r="AK124" i="13"/>
  <c r="AP124" i="13"/>
  <c r="DF121" i="3"/>
  <c r="DJ121" i="3"/>
  <c r="EL120" i="3"/>
  <c r="AH81" i="13"/>
  <c r="AR81" i="13" s="1"/>
  <c r="EL114" i="3"/>
  <c r="AH80" i="13"/>
  <c r="AR80" i="13" s="1"/>
  <c r="EL74" i="3"/>
  <c r="CR66" i="3"/>
  <c r="AK77" i="13"/>
  <c r="AL77" i="13"/>
  <c r="DJ74" i="3"/>
  <c r="AR69" i="13"/>
  <c r="AG77" i="13"/>
  <c r="AN77" i="13"/>
  <c r="AM77" i="13"/>
  <c r="R53" i="22"/>
  <c r="Y53" i="22" s="1"/>
  <c r="AF53" i="22" s="1"/>
  <c r="AN53" i="22" s="1"/>
  <c r="E54" i="22"/>
  <c r="T53" i="22"/>
  <c r="AA53" i="22" s="1"/>
  <c r="AH53" i="22" s="1"/>
  <c r="AP53" i="22" s="1"/>
  <c r="G54" i="22"/>
  <c r="S53" i="22"/>
  <c r="Z53" i="22" s="1"/>
  <c r="AG53" i="22" s="1"/>
  <c r="AO53" i="22" s="1"/>
  <c r="F54" i="22"/>
  <c r="W53" i="22"/>
  <c r="AD53" i="22" s="1"/>
  <c r="C54" i="22"/>
  <c r="P54" i="22" s="1"/>
  <c r="CG76" i="3"/>
  <c r="AG78" i="13"/>
  <c r="AK78" i="13"/>
  <c r="DJ75" i="3"/>
  <c r="CG78" i="3"/>
  <c r="AL78" i="13"/>
  <c r="AN78" i="13"/>
  <c r="AP78" i="13"/>
  <c r="AM78" i="13"/>
  <c r="AH119" i="13"/>
  <c r="AR119" i="13" s="1"/>
  <c r="AL31" i="22"/>
  <c r="AH118" i="13"/>
  <c r="AR118" i="13" s="1"/>
  <c r="CG227" i="3"/>
  <c r="CG232" i="3"/>
  <c r="EL232" i="3"/>
  <c r="EL226" i="3"/>
  <c r="EL227" i="3"/>
  <c r="CG226" i="3"/>
  <c r="EL220" i="3"/>
  <c r="CG220" i="3"/>
  <c r="EL162" i="3"/>
  <c r="CG162" i="3"/>
  <c r="EL66" i="3"/>
  <c r="CG118" i="3"/>
  <c r="CG124" i="3"/>
  <c r="EL124" i="3"/>
  <c r="CG122" i="3"/>
  <c r="EL122" i="3"/>
  <c r="CG119" i="3"/>
  <c r="EL119" i="3"/>
  <c r="EL118" i="3"/>
  <c r="CG66" i="3"/>
  <c r="CV44" i="3" l="1"/>
  <c r="CX44" i="3" s="1"/>
  <c r="CY44" i="3" s="1"/>
  <c r="BI14" i="22"/>
  <c r="BI13" i="22"/>
  <c r="BI12" i="22"/>
  <c r="BI18" i="22"/>
  <c r="BI16" i="22"/>
  <c r="BI11" i="22"/>
  <c r="BI17" i="22"/>
  <c r="BI15" i="22"/>
  <c r="AP32" i="13"/>
  <c r="AL32" i="13"/>
  <c r="AG32" i="13"/>
  <c r="AV47" i="13"/>
  <c r="AK47" i="13" s="1"/>
  <c r="CO27" i="3"/>
  <c r="R30" i="13" s="1"/>
  <c r="DF44" i="3"/>
  <c r="CO44" i="3"/>
  <c r="DD44" i="3" s="1"/>
  <c r="C47" i="13" s="1"/>
  <c r="CR73" i="3"/>
  <c r="AH124" i="13"/>
  <c r="AR124" i="13" s="1"/>
  <c r="AH120" i="13"/>
  <c r="AR120" i="13" s="1"/>
  <c r="Q53" i="22"/>
  <c r="X53" i="22" s="1"/>
  <c r="AE53" i="22" s="1"/>
  <c r="AM53" i="22" s="1"/>
  <c r="D54" i="22"/>
  <c r="DC29" i="3"/>
  <c r="CV29" i="3" s="1"/>
  <c r="CZ29" i="3"/>
  <c r="AP76" i="13"/>
  <c r="AL76" i="13"/>
  <c r="AK76" i="13"/>
  <c r="AG76" i="13"/>
  <c r="AN76" i="13"/>
  <c r="AM76" i="13"/>
  <c r="AH76" i="13"/>
  <c r="DF73" i="3"/>
  <c r="DJ73" i="3"/>
  <c r="AH77" i="13"/>
  <c r="AR77" i="13" s="1"/>
  <c r="AH78" i="13"/>
  <c r="AR78" i="13" s="1"/>
  <c r="EL117" i="3"/>
  <c r="CG120" i="3"/>
  <c r="CG121" i="3"/>
  <c r="AG30" i="13"/>
  <c r="AP30" i="13"/>
  <c r="AK30" i="13"/>
  <c r="S54" i="22"/>
  <c r="Z54" i="22" s="1"/>
  <c r="AG54" i="22" s="1"/>
  <c r="AO54" i="22" s="1"/>
  <c r="F55" i="22"/>
  <c r="T54" i="22"/>
  <c r="AA54" i="22" s="1"/>
  <c r="AH54" i="22" s="1"/>
  <c r="AP54" i="22" s="1"/>
  <c r="G55" i="22"/>
  <c r="R54" i="22"/>
  <c r="Y54" i="22" s="1"/>
  <c r="AF54" i="22" s="1"/>
  <c r="AN54" i="22" s="1"/>
  <c r="E55" i="22"/>
  <c r="W54" i="22"/>
  <c r="AD54" i="22" s="1"/>
  <c r="C55" i="22"/>
  <c r="P55" i="22" s="1"/>
  <c r="EL76" i="3"/>
  <c r="DJ44" i="3"/>
  <c r="CG75" i="3"/>
  <c r="CG74" i="3"/>
  <c r="EL78" i="3"/>
  <c r="EL77" i="3"/>
  <c r="CG77" i="3"/>
  <c r="AH32" i="13"/>
  <c r="AL32" i="22"/>
  <c r="CG115" i="3"/>
  <c r="EL115" i="3"/>
  <c r="CG116" i="3"/>
  <c r="EL116" i="3"/>
  <c r="W314" i="3"/>
  <c r="DA44" i="3" l="1"/>
  <c r="EL44" i="3" s="1"/>
  <c r="D47" i="13"/>
  <c r="BJ14" i="22"/>
  <c r="BJ13" i="22"/>
  <c r="R47" i="13"/>
  <c r="AH47" i="13" s="1"/>
  <c r="BJ17" i="22"/>
  <c r="BJ18" i="22"/>
  <c r="BJ16" i="22"/>
  <c r="BJ12" i="22"/>
  <c r="BJ15" i="22"/>
  <c r="BJ11" i="22"/>
  <c r="AP47" i="13"/>
  <c r="AL47" i="13"/>
  <c r="AG47" i="13"/>
  <c r="DD29" i="3"/>
  <c r="C32" i="13" s="1"/>
  <c r="Q54" i="22"/>
  <c r="X54" i="22" s="1"/>
  <c r="AE54" i="22" s="1"/>
  <c r="AM54" i="22" s="1"/>
  <c r="D55" i="22"/>
  <c r="DF29" i="3"/>
  <c r="DJ29" i="3"/>
  <c r="DC27" i="3"/>
  <c r="CV27" i="3" s="1"/>
  <c r="AR76" i="13"/>
  <c r="EL73" i="3"/>
  <c r="CG117" i="3"/>
  <c r="EL121" i="3"/>
  <c r="R55" i="22"/>
  <c r="Y55" i="22" s="1"/>
  <c r="AF55" i="22" s="1"/>
  <c r="AN55" i="22" s="1"/>
  <c r="E56" i="22"/>
  <c r="T55" i="22"/>
  <c r="AA55" i="22" s="1"/>
  <c r="AH55" i="22" s="1"/>
  <c r="AP55" i="22" s="1"/>
  <c r="G56" i="22"/>
  <c r="S55" i="22"/>
  <c r="Z55" i="22" s="1"/>
  <c r="AG55" i="22" s="1"/>
  <c r="AO55" i="22" s="1"/>
  <c r="F56" i="22"/>
  <c r="W55" i="22"/>
  <c r="AD55" i="22" s="1"/>
  <c r="C56" i="22"/>
  <c r="P56" i="22" s="1"/>
  <c r="EL75" i="3"/>
  <c r="AL33" i="22"/>
  <c r="CG44" i="3" l="1"/>
  <c r="BK13" i="22"/>
  <c r="BK14" i="22"/>
  <c r="BK15" i="22"/>
  <c r="BK12" i="22"/>
  <c r="BK11" i="22"/>
  <c r="BK17" i="22"/>
  <c r="BK18" i="22"/>
  <c r="BK16" i="22"/>
  <c r="DD27" i="3"/>
  <c r="C30" i="13" s="1"/>
  <c r="CX29" i="3"/>
  <c r="D32" i="13"/>
  <c r="Q55" i="22"/>
  <c r="X55" i="22" s="1"/>
  <c r="AE55" i="22" s="1"/>
  <c r="AM55" i="22" s="1"/>
  <c r="D56" i="22"/>
  <c r="DJ27" i="3"/>
  <c r="DF27" i="3"/>
  <c r="CG73" i="3"/>
  <c r="S56" i="22"/>
  <c r="Z56" i="22" s="1"/>
  <c r="AG56" i="22" s="1"/>
  <c r="AO56" i="22" s="1"/>
  <c r="F57" i="22"/>
  <c r="T56" i="22"/>
  <c r="AA56" i="22" s="1"/>
  <c r="AH56" i="22" s="1"/>
  <c r="AP56" i="22" s="1"/>
  <c r="G57" i="22"/>
  <c r="R56" i="22"/>
  <c r="Y56" i="22" s="1"/>
  <c r="AF56" i="22" s="1"/>
  <c r="AN56" i="22" s="1"/>
  <c r="E57" i="22"/>
  <c r="C57" i="22"/>
  <c r="P57" i="22" s="1"/>
  <c r="W56" i="22"/>
  <c r="AD56" i="22" s="1"/>
  <c r="AL34" i="22"/>
  <c r="AP9" i="3"/>
  <c r="AR9" i="3" s="1"/>
  <c r="O9" i="5"/>
  <c r="BD9" i="3"/>
  <c r="CY29" i="3" l="1"/>
  <c r="DA29" i="3" s="1"/>
  <c r="CG29" i="3" s="1"/>
  <c r="BL13" i="22"/>
  <c r="BL14" i="22"/>
  <c r="BL17" i="22"/>
  <c r="BL11" i="22"/>
  <c r="BL12" i="22"/>
  <c r="BL15" i="22"/>
  <c r="BL18" i="22"/>
  <c r="BL16" i="22"/>
  <c r="C340" i="13"/>
  <c r="CX27" i="3"/>
  <c r="CY27" i="3" s="1"/>
  <c r="D30" i="13"/>
  <c r="CM9" i="3"/>
  <c r="O12" i="13"/>
  <c r="Q56" i="22"/>
  <c r="X56" i="22" s="1"/>
  <c r="AE56" i="22" s="1"/>
  <c r="AM56" i="22" s="1"/>
  <c r="D57" i="22"/>
  <c r="R57" i="22"/>
  <c r="Y57" i="22" s="1"/>
  <c r="AF57" i="22" s="1"/>
  <c r="AN57" i="22" s="1"/>
  <c r="E58" i="22"/>
  <c r="T57" i="22"/>
  <c r="AA57" i="22" s="1"/>
  <c r="AH57" i="22" s="1"/>
  <c r="AP57" i="22" s="1"/>
  <c r="G58" i="22"/>
  <c r="S57" i="22"/>
  <c r="Z57" i="22" s="1"/>
  <c r="AG57" i="22" s="1"/>
  <c r="AO57" i="22" s="1"/>
  <c r="F58" i="22"/>
  <c r="W57" i="22"/>
  <c r="AD57" i="22" s="1"/>
  <c r="C58" i="22"/>
  <c r="P58" i="22" s="1"/>
  <c r="AL35" i="22"/>
  <c r="BS9" i="3"/>
  <c r="BS309" i="3" s="1"/>
  <c r="AK311" i="3" s="1"/>
  <c r="AP309" i="3"/>
  <c r="BM14" i="22" l="1"/>
  <c r="BM13" i="22"/>
  <c r="BM12" i="22"/>
  <c r="BM17" i="22"/>
  <c r="BM16" i="22"/>
  <c r="BM11" i="22"/>
  <c r="BM15" i="22"/>
  <c r="BM18" i="22"/>
  <c r="W314" i="13"/>
  <c r="W491" i="13"/>
  <c r="W494" i="13"/>
  <c r="W573" i="13"/>
  <c r="W554" i="13"/>
  <c r="X512" i="13"/>
  <c r="W495" i="13"/>
  <c r="X485" i="13"/>
  <c r="W524" i="13"/>
  <c r="W499" i="13"/>
  <c r="W447" i="13"/>
  <c r="X590" i="13"/>
  <c r="X431" i="13"/>
  <c r="X486" i="13"/>
  <c r="W542" i="13"/>
  <c r="X448" i="13"/>
  <c r="X535" i="13"/>
  <c r="W523" i="13"/>
  <c r="X463" i="13"/>
  <c r="X403" i="13"/>
  <c r="X428" i="13"/>
  <c r="W559" i="13"/>
  <c r="X453" i="13"/>
  <c r="X402" i="13"/>
  <c r="W419" i="13"/>
  <c r="W420" i="13"/>
  <c r="W594" i="13"/>
  <c r="X406" i="13"/>
  <c r="X605" i="13"/>
  <c r="X415" i="13"/>
  <c r="W600" i="13"/>
  <c r="W443" i="13"/>
  <c r="X454" i="13"/>
  <c r="X476" i="13"/>
  <c r="W587" i="13"/>
  <c r="X436" i="13"/>
  <c r="X539" i="13"/>
  <c r="W563" i="13"/>
  <c r="X556" i="13"/>
  <c r="X481" i="13"/>
  <c r="W397" i="13"/>
  <c r="X379" i="13"/>
  <c r="W445" i="13"/>
  <c r="X467" i="13"/>
  <c r="W585" i="13"/>
  <c r="W555" i="13"/>
  <c r="W550" i="13"/>
  <c r="X507" i="13"/>
  <c r="X544" i="13"/>
  <c r="W576" i="13"/>
  <c r="W360" i="13"/>
  <c r="W534" i="13"/>
  <c r="X371" i="13"/>
  <c r="X449" i="13"/>
  <c r="W363" i="13"/>
  <c r="X344" i="13"/>
  <c r="W392" i="13"/>
  <c r="W325" i="13"/>
  <c r="W346" i="13"/>
  <c r="X565" i="13"/>
  <c r="X391" i="13"/>
  <c r="X519" i="13"/>
  <c r="W466" i="13"/>
  <c r="X354" i="13"/>
  <c r="X380" i="13"/>
  <c r="X533" i="13"/>
  <c r="X329" i="13"/>
  <c r="W332" i="13"/>
  <c r="W353" i="13"/>
  <c r="W378" i="13"/>
  <c r="W318" i="13"/>
  <c r="W338" i="13"/>
  <c r="X340" i="13"/>
  <c r="W320" i="13"/>
  <c r="W323" i="13"/>
  <c r="W334" i="13"/>
  <c r="X343" i="13"/>
  <c r="X322" i="13"/>
  <c r="X313" i="13"/>
  <c r="AE313" i="13" s="1"/>
  <c r="W518" i="13"/>
  <c r="W487" i="13"/>
  <c r="W409" i="13"/>
  <c r="X405" i="13"/>
  <c r="W483" i="13"/>
  <c r="W400" i="13"/>
  <c r="X547" i="13"/>
  <c r="X526" i="13"/>
  <c r="W438" i="13"/>
  <c r="X594" i="13"/>
  <c r="W405" i="13"/>
  <c r="X430" i="13"/>
  <c r="X459" i="13"/>
  <c r="W561" i="13"/>
  <c r="X564" i="13"/>
  <c r="W508" i="13"/>
  <c r="X511" i="13"/>
  <c r="W516" i="13"/>
  <c r="W458" i="13"/>
  <c r="X532" i="13"/>
  <c r="W521" i="13"/>
  <c r="X468" i="13"/>
  <c r="W535" i="13"/>
  <c r="W580" i="13"/>
  <c r="X445" i="13"/>
  <c r="W606" i="13"/>
  <c r="W575" i="13"/>
  <c r="X400" i="13"/>
  <c r="W497" i="13"/>
  <c r="W424" i="13"/>
  <c r="W591" i="13"/>
  <c r="X503" i="13"/>
  <c r="X446" i="13"/>
  <c r="X438" i="13"/>
  <c r="X525" i="13"/>
  <c r="X580" i="13"/>
  <c r="X424" i="13"/>
  <c r="X393" i="13"/>
  <c r="W415" i="13"/>
  <c r="X586" i="13"/>
  <c r="X458" i="13"/>
  <c r="W520" i="13"/>
  <c r="W551" i="13"/>
  <c r="X437" i="13"/>
  <c r="W421" i="13"/>
  <c r="X593" i="13"/>
  <c r="W375" i="13"/>
  <c r="W361" i="13"/>
  <c r="W596" i="13"/>
  <c r="W496" i="13"/>
  <c r="X572" i="13"/>
  <c r="W345" i="13"/>
  <c r="W364" i="13"/>
  <c r="W371" i="13"/>
  <c r="W514" i="13"/>
  <c r="W583" i="13"/>
  <c r="X384" i="13"/>
  <c r="W344" i="13"/>
  <c r="X596" i="13"/>
  <c r="X369" i="13"/>
  <c r="W506" i="13"/>
  <c r="X383" i="13"/>
  <c r="W369" i="13"/>
  <c r="X548" i="13"/>
  <c r="W391" i="13"/>
  <c r="X362" i="13"/>
  <c r="X318" i="13"/>
  <c r="X339" i="13"/>
  <c r="W317" i="13"/>
  <c r="X327" i="13"/>
  <c r="X337" i="13"/>
  <c r="W337" i="13"/>
  <c r="X323" i="13"/>
  <c r="X573" i="13"/>
  <c r="X517" i="13"/>
  <c r="X487" i="13"/>
  <c r="W407" i="13"/>
  <c r="X418" i="13"/>
  <c r="W399" i="13"/>
  <c r="W440" i="13"/>
  <c r="W489" i="13"/>
  <c r="W605" i="13"/>
  <c r="X575" i="13"/>
  <c r="X606" i="13"/>
  <c r="W398" i="13"/>
  <c r="X483" i="13"/>
  <c r="X417" i="13"/>
  <c r="W547" i="13"/>
  <c r="X434" i="13"/>
  <c r="W598" i="13"/>
  <c r="W509" i="13"/>
  <c r="W430" i="13"/>
  <c r="W444" i="13"/>
  <c r="X561" i="13"/>
  <c r="X452" i="13"/>
  <c r="X563" i="13"/>
  <c r="X489" i="13"/>
  <c r="W439" i="13"/>
  <c r="X579" i="13"/>
  <c r="X537" i="13"/>
  <c r="W511" i="13"/>
  <c r="X569" i="13"/>
  <c r="W379" i="13"/>
  <c r="W471" i="13"/>
  <c r="W425" i="13"/>
  <c r="X398" i="13"/>
  <c r="X521" i="13"/>
  <c r="X571" i="13"/>
  <c r="X558" i="13"/>
  <c r="W475" i="13"/>
  <c r="W480" i="13"/>
  <c r="X568" i="13"/>
  <c r="W590" i="13"/>
  <c r="X407" i="13"/>
  <c r="W418" i="13"/>
  <c r="W595" i="13"/>
  <c r="W581" i="13"/>
  <c r="W423" i="13"/>
  <c r="W519" i="13"/>
  <c r="W349" i="13"/>
  <c r="X350" i="13"/>
  <c r="W565" i="13"/>
  <c r="X386" i="13"/>
  <c r="X603" i="13"/>
  <c r="W469" i="13"/>
  <c r="W544" i="13"/>
  <c r="X473" i="13"/>
  <c r="W449" i="13"/>
  <c r="W607" i="13"/>
  <c r="X356" i="13"/>
  <c r="W354" i="13"/>
  <c r="W359" i="13"/>
  <c r="W492" i="13"/>
  <c r="X359" i="13"/>
  <c r="W380" i="13"/>
  <c r="W589" i="13"/>
  <c r="W533" i="13"/>
  <c r="W358" i="13"/>
  <c r="X347" i="13"/>
  <c r="X353" i="13"/>
  <c r="W357" i="13"/>
  <c r="W319" i="13"/>
  <c r="X385" i="13"/>
  <c r="X321" i="13"/>
  <c r="X333" i="13"/>
  <c r="X342" i="13"/>
  <c r="W315" i="13"/>
  <c r="X409" i="13"/>
  <c r="X609" i="13"/>
  <c r="X490" i="13"/>
  <c r="W441" i="13"/>
  <c r="W457" i="13"/>
  <c r="W411" i="13"/>
  <c r="X577" i="13"/>
  <c r="X376" i="13"/>
  <c r="W562" i="13"/>
  <c r="W450" i="13"/>
  <c r="X465" i="13"/>
  <c r="X599" i="13"/>
  <c r="X484" i="13"/>
  <c r="W410" i="13"/>
  <c r="X543" i="13"/>
  <c r="X412" i="13"/>
  <c r="W433" i="13"/>
  <c r="W503" i="13"/>
  <c r="W599" i="13"/>
  <c r="W459" i="13"/>
  <c r="W470" i="13"/>
  <c r="W448" i="13"/>
  <c r="W434" i="13"/>
  <c r="W513" i="13"/>
  <c r="X423" i="13"/>
  <c r="X505" i="13"/>
  <c r="W442" i="13"/>
  <c r="X399" i="13"/>
  <c r="W558" i="13"/>
  <c r="W512" i="13"/>
  <c r="X597" i="13"/>
  <c r="W545" i="13"/>
  <c r="W538" i="13"/>
  <c r="X562" i="13"/>
  <c r="X443" i="13"/>
  <c r="X447" i="13"/>
  <c r="W584" i="13"/>
  <c r="X451" i="13"/>
  <c r="X457" i="13"/>
  <c r="X404" i="13"/>
  <c r="X441" i="13"/>
  <c r="X523" i="13"/>
  <c r="X456" i="13"/>
  <c r="W376" i="13"/>
  <c r="W546" i="13"/>
  <c r="X576" i="13"/>
  <c r="W374" i="13"/>
  <c r="W566" i="13"/>
  <c r="X566" i="13"/>
  <c r="X394" i="13"/>
  <c r="X432" i="13"/>
  <c r="W368" i="13"/>
  <c r="W373" i="13"/>
  <c r="X345" i="13"/>
  <c r="W548" i="13"/>
  <c r="W578" i="13"/>
  <c r="X462" i="13"/>
  <c r="W351" i="13"/>
  <c r="X549" i="13"/>
  <c r="W355" i="13"/>
  <c r="X325" i="13"/>
  <c r="X364" i="13"/>
  <c r="W611" i="13"/>
  <c r="X583" i="13"/>
  <c r="W549" i="13"/>
  <c r="X332" i="13"/>
  <c r="W324" i="13"/>
  <c r="W377" i="13"/>
  <c r="W522" i="13"/>
  <c r="X341" i="13"/>
  <c r="X320" i="13"/>
  <c r="W381" i="13"/>
  <c r="X336" i="13"/>
  <c r="W343" i="13"/>
  <c r="W313" i="13"/>
  <c r="AD313" i="13" s="1"/>
  <c r="X592" i="13"/>
  <c r="X491" i="13"/>
  <c r="W586" i="13"/>
  <c r="X588" i="13"/>
  <c r="X396" i="13"/>
  <c r="W429" i="13"/>
  <c r="X585" i="13"/>
  <c r="X421" i="13"/>
  <c r="X497" i="13"/>
  <c r="X581" i="13"/>
  <c r="W403" i="13"/>
  <c r="X444" i="13"/>
  <c r="X482" i="13"/>
  <c r="W540" i="13"/>
  <c r="W402" i="13"/>
  <c r="X504" i="13"/>
  <c r="X397" i="13"/>
  <c r="W505" i="13"/>
  <c r="W488" i="13"/>
  <c r="W482" i="13"/>
  <c r="X595" i="13"/>
  <c r="X531" i="13"/>
  <c r="X474" i="13"/>
  <c r="W504" i="13"/>
  <c r="X475" i="13"/>
  <c r="W474" i="13"/>
  <c r="W484" i="13"/>
  <c r="X540" i="13"/>
  <c r="W427" i="13"/>
  <c r="X439" i="13"/>
  <c r="X495" i="13"/>
  <c r="W435" i="13"/>
  <c r="W532" i="13"/>
  <c r="X422" i="13"/>
  <c r="W531" i="13"/>
  <c r="X433" i="13"/>
  <c r="X450" i="13"/>
  <c r="W501" i="13"/>
  <c r="W387" i="13"/>
  <c r="W451" i="13"/>
  <c r="X420" i="13"/>
  <c r="X560" i="13"/>
  <c r="X440" i="13"/>
  <c r="X513" i="13"/>
  <c r="X582" i="13"/>
  <c r="X389" i="13"/>
  <c r="W394" i="13"/>
  <c r="X550" i="13"/>
  <c r="W389" i="13"/>
  <c r="W536" i="13"/>
  <c r="X363" i="13"/>
  <c r="X360" i="13"/>
  <c r="W432" i="13"/>
  <c r="X374" i="13"/>
  <c r="X492" i="13"/>
  <c r="X534" i="13"/>
  <c r="X466" i="13"/>
  <c r="X610" i="13"/>
  <c r="X358" i="13"/>
  <c r="W593" i="13"/>
  <c r="W472" i="13"/>
  <c r="X361" i="13"/>
  <c r="W507" i="13"/>
  <c r="X607" i="13"/>
  <c r="W327" i="13"/>
  <c r="W329" i="13"/>
  <c r="W331" i="13"/>
  <c r="AD331" i="13" s="1"/>
  <c r="X328" i="13"/>
  <c r="X378" i="13"/>
  <c r="W366" i="13"/>
  <c r="X381" i="13"/>
  <c r="X335" i="13"/>
  <c r="W336" i="13"/>
  <c r="W335" i="13"/>
  <c r="X559" i="13"/>
  <c r="X464" i="13"/>
  <c r="X471" i="13"/>
  <c r="X493" i="13"/>
  <c r="X455" i="13"/>
  <c r="W464" i="13"/>
  <c r="X387" i="13"/>
  <c r="W572" i="13"/>
  <c r="X536" i="13"/>
  <c r="X314" i="13"/>
  <c r="W517" i="13"/>
  <c r="W609" i="13"/>
  <c r="X480" i="13"/>
  <c r="W428" i="13"/>
  <c r="X542" i="13"/>
  <c r="W481" i="13"/>
  <c r="W437" i="13"/>
  <c r="W528" i="13"/>
  <c r="W539" i="13"/>
  <c r="W455" i="13"/>
  <c r="W476" i="13"/>
  <c r="W498" i="13"/>
  <c r="W401" i="13"/>
  <c r="W485" i="13"/>
  <c r="X427" i="13"/>
  <c r="X372" i="13"/>
  <c r="W525" i="13"/>
  <c r="W604" i="13"/>
  <c r="W510" i="13"/>
  <c r="X460" i="13"/>
  <c r="X410" i="13"/>
  <c r="W608" i="13"/>
  <c r="W468" i="13"/>
  <c r="X538" i="13"/>
  <c r="X545" i="13"/>
  <c r="W431" i="13"/>
  <c r="W564" i="13"/>
  <c r="W426" i="13"/>
  <c r="W436" i="13"/>
  <c r="X500" i="13"/>
  <c r="X604" i="13"/>
  <c r="W479" i="13"/>
  <c r="X426" i="13"/>
  <c r="X411" i="13"/>
  <c r="W553" i="13"/>
  <c r="W396" i="13"/>
  <c r="X508" i="13"/>
  <c r="X395" i="13"/>
  <c r="X589" i="13"/>
  <c r="X518" i="13"/>
  <c r="W560" i="13"/>
  <c r="W552" i="13"/>
  <c r="W567" i="13"/>
  <c r="X600" i="13"/>
  <c r="W422" i="13"/>
  <c r="X516" i="13"/>
  <c r="W526" i="13"/>
  <c r="X442" i="13"/>
  <c r="W446" i="13"/>
  <c r="W568" i="13"/>
  <c r="W486" i="13"/>
  <c r="X506" i="13"/>
  <c r="W395" i="13"/>
  <c r="X368" i="13"/>
  <c r="W473" i="13"/>
  <c r="W477" i="13"/>
  <c r="X477" i="13"/>
  <c r="W326" i="13"/>
  <c r="X326" i="13"/>
  <c r="W347" i="13"/>
  <c r="W340" i="13"/>
  <c r="W413" i="13"/>
  <c r="W404" i="13"/>
  <c r="W556" i="13"/>
  <c r="X611" i="13"/>
  <c r="W362" i="13"/>
  <c r="X529" i="13"/>
  <c r="W384" i="13"/>
  <c r="X377" i="13"/>
  <c r="X494" i="13"/>
  <c r="X401" i="13"/>
  <c r="W574" i="13"/>
  <c r="X527" i="13"/>
  <c r="X515" i="13"/>
  <c r="W417" i="13"/>
  <c r="X425" i="13"/>
  <c r="X414" i="13"/>
  <c r="X488" i="13"/>
  <c r="W502" i="13"/>
  <c r="W588" i="13"/>
  <c r="X552" i="13"/>
  <c r="X370" i="13"/>
  <c r="W388" i="13"/>
  <c r="W348" i="13"/>
  <c r="X478" i="13"/>
  <c r="X367" i="13"/>
  <c r="W367" i="13"/>
  <c r="X319" i="13"/>
  <c r="W385" i="13"/>
  <c r="X338" i="13"/>
  <c r="W322" i="13"/>
  <c r="W569" i="13"/>
  <c r="W541" i="13"/>
  <c r="X591" i="13"/>
  <c r="W383" i="13"/>
  <c r="W557" i="13"/>
  <c r="X366" i="13"/>
  <c r="W453" i="13"/>
  <c r="X602" i="13"/>
  <c r="X514" i="13"/>
  <c r="W592" i="13"/>
  <c r="W456" i="13"/>
  <c r="X551" i="13"/>
  <c r="W571" i="13"/>
  <c r="X554" i="13"/>
  <c r="W543" i="13"/>
  <c r="X435" i="13"/>
  <c r="W570" i="13"/>
  <c r="W467" i="13"/>
  <c r="W406" i="13"/>
  <c r="X567" i="13"/>
  <c r="W370" i="13"/>
  <c r="W478" i="13"/>
  <c r="X472" i="13"/>
  <c r="X382" i="13"/>
  <c r="W461" i="13"/>
  <c r="W601" i="13"/>
  <c r="X365" i="13"/>
  <c r="W341" i="13"/>
  <c r="W339" i="13"/>
  <c r="W330" i="13"/>
  <c r="W316" i="13"/>
  <c r="X316" i="13"/>
  <c r="X528" i="13"/>
  <c r="W603" i="13"/>
  <c r="W490" i="13"/>
  <c r="W452" i="13"/>
  <c r="W393" i="13"/>
  <c r="X429" i="13"/>
  <c r="W465" i="13"/>
  <c r="W577" i="13"/>
  <c r="X413" i="13"/>
  <c r="W460" i="13"/>
  <c r="X470" i="13"/>
  <c r="X520" i="13"/>
  <c r="X501" i="13"/>
  <c r="W365" i="13"/>
  <c r="W530" i="13"/>
  <c r="W386" i="13"/>
  <c r="X351" i="13"/>
  <c r="X355" i="13"/>
  <c r="X557" i="13"/>
  <c r="W356" i="13"/>
  <c r="X522" i="13"/>
  <c r="X317" i="13"/>
  <c r="W333" i="13"/>
  <c r="X509" i="13"/>
  <c r="X524" i="13"/>
  <c r="X587" i="13"/>
  <c r="X574" i="13"/>
  <c r="W582" i="13"/>
  <c r="X578" i="13"/>
  <c r="X334" i="13"/>
  <c r="W529" i="13"/>
  <c r="W408" i="13"/>
  <c r="X346" i="13"/>
  <c r="X315" i="13"/>
  <c r="W515" i="13"/>
  <c r="W500" i="13"/>
  <c r="X553" i="13"/>
  <c r="X608" i="13"/>
  <c r="W537" i="13"/>
  <c r="W412" i="13"/>
  <c r="X498" i="13"/>
  <c r="X584" i="13"/>
  <c r="X419" i="13"/>
  <c r="W493" i="13"/>
  <c r="X598" i="13"/>
  <c r="X348" i="13"/>
  <c r="W382" i="13"/>
  <c r="W602" i="13"/>
  <c r="X601" i="13"/>
  <c r="X373" i="13"/>
  <c r="W462" i="13"/>
  <c r="X461" i="13"/>
  <c r="X324" i="13"/>
  <c r="X330" i="13"/>
  <c r="W352" i="13"/>
  <c r="W321" i="13"/>
  <c r="X570" i="13"/>
  <c r="W350" i="13"/>
  <c r="X375" i="13"/>
  <c r="X352" i="13"/>
  <c r="X416" i="13"/>
  <c r="X530" i="13"/>
  <c r="W372" i="13"/>
  <c r="X408" i="13"/>
  <c r="X541" i="13"/>
  <c r="X546" i="13"/>
  <c r="X499" i="13"/>
  <c r="W416" i="13"/>
  <c r="X479" i="13"/>
  <c r="W579" i="13"/>
  <c r="W454" i="13"/>
  <c r="W597" i="13"/>
  <c r="W463" i="13"/>
  <c r="X392" i="13"/>
  <c r="W390" i="13"/>
  <c r="X390" i="13"/>
  <c r="W610" i="13"/>
  <c r="X388" i="13"/>
  <c r="X349" i="13"/>
  <c r="X496" i="13"/>
  <c r="X357" i="13"/>
  <c r="X331" i="13"/>
  <c r="AE331" i="13" s="1"/>
  <c r="W342" i="13"/>
  <c r="X502" i="13"/>
  <c r="X555" i="13"/>
  <c r="X510" i="13"/>
  <c r="W527" i="13"/>
  <c r="W414" i="13"/>
  <c r="X469" i="13"/>
  <c r="W328" i="13"/>
  <c r="CA11" i="3"/>
  <c r="ES11" i="3" s="1"/>
  <c r="BY12" i="3"/>
  <c r="C339" i="13"/>
  <c r="EL29" i="3"/>
  <c r="X47" i="13"/>
  <c r="AN47" i="13" s="1"/>
  <c r="W47" i="13"/>
  <c r="W49" i="13"/>
  <c r="X41" i="13"/>
  <c r="AN41" i="13" s="1"/>
  <c r="X49" i="13"/>
  <c r="W41" i="13"/>
  <c r="X35" i="13"/>
  <c r="X48" i="13"/>
  <c r="W35" i="13"/>
  <c r="W48" i="13"/>
  <c r="X38" i="13"/>
  <c r="W38" i="13"/>
  <c r="C347" i="13"/>
  <c r="C346" i="13"/>
  <c r="C344" i="13"/>
  <c r="C335" i="13"/>
  <c r="C334" i="13"/>
  <c r="BZ11" i="3"/>
  <c r="BY11" i="3"/>
  <c r="CA9" i="3"/>
  <c r="BZ9" i="3"/>
  <c r="BW9" i="3"/>
  <c r="BU9" i="3"/>
  <c r="CK9" i="3"/>
  <c r="BX9" i="3"/>
  <c r="S23" i="20"/>
  <c r="P12" i="13"/>
  <c r="Q12" i="13"/>
  <c r="Q57" i="22"/>
  <c r="X57" i="22" s="1"/>
  <c r="AE57" i="22" s="1"/>
  <c r="AM57" i="22" s="1"/>
  <c r="D58" i="22"/>
  <c r="S58" i="22"/>
  <c r="Z58" i="22" s="1"/>
  <c r="AG58" i="22" s="1"/>
  <c r="AO58" i="22" s="1"/>
  <c r="F59" i="22"/>
  <c r="S59" i="22" s="1"/>
  <c r="T58" i="22"/>
  <c r="AA58" i="22" s="1"/>
  <c r="AH58" i="22" s="1"/>
  <c r="AP58" i="22" s="1"/>
  <c r="G59" i="22"/>
  <c r="T59" i="22" s="1"/>
  <c r="R58" i="22"/>
  <c r="Y58" i="22" s="1"/>
  <c r="AF58" i="22" s="1"/>
  <c r="AN58" i="22" s="1"/>
  <c r="E59" i="22"/>
  <c r="R59" i="22" s="1"/>
  <c r="C59" i="22"/>
  <c r="P59" i="22" s="1"/>
  <c r="W58" i="22"/>
  <c r="AD58" i="22" s="1"/>
  <c r="DE9" i="3"/>
  <c r="AL36" i="22"/>
  <c r="AG9" i="3"/>
  <c r="AR309" i="3"/>
  <c r="CU9" i="3"/>
  <c r="V12" i="13" l="1"/>
  <c r="BN14" i="22"/>
  <c r="BN13" i="22"/>
  <c r="AD493" i="13"/>
  <c r="AM493" i="13"/>
  <c r="AR493" i="13" s="1"/>
  <c r="AN567" i="13"/>
  <c r="AS567" i="13" s="1"/>
  <c r="AE567" i="13"/>
  <c r="AD473" i="13"/>
  <c r="AM473" i="13"/>
  <c r="AR473" i="13" s="1"/>
  <c r="AN427" i="13"/>
  <c r="AS427" i="13" s="1"/>
  <c r="AE427" i="13"/>
  <c r="AE363" i="13"/>
  <c r="AN363" i="13"/>
  <c r="AS363" i="13" s="1"/>
  <c r="AM586" i="13"/>
  <c r="AR586" i="13" s="1"/>
  <c r="AD586" i="13"/>
  <c r="AD448" i="13"/>
  <c r="AM448" i="13"/>
  <c r="AR448" i="13" s="1"/>
  <c r="AE350" i="13"/>
  <c r="AN350" i="13"/>
  <c r="AS350" i="13" s="1"/>
  <c r="AN434" i="13"/>
  <c r="AS434" i="13" s="1"/>
  <c r="AE434" i="13"/>
  <c r="AD596" i="13"/>
  <c r="AM596" i="13"/>
  <c r="AR596" i="13" s="1"/>
  <c r="AD338" i="13"/>
  <c r="AM338" i="13"/>
  <c r="AR338" i="13" s="1"/>
  <c r="AN448" i="13"/>
  <c r="AS448" i="13" s="1"/>
  <c r="AE448" i="13"/>
  <c r="AN510" i="13"/>
  <c r="AS510" i="13" s="1"/>
  <c r="AE510" i="13"/>
  <c r="AN388" i="13"/>
  <c r="AS388" i="13" s="1"/>
  <c r="AE388" i="13"/>
  <c r="AD579" i="13"/>
  <c r="AM579" i="13"/>
  <c r="AR579" i="13" s="1"/>
  <c r="AN530" i="13"/>
  <c r="AS530" i="13" s="1"/>
  <c r="AE530" i="13"/>
  <c r="AN330" i="13"/>
  <c r="AS330" i="13" s="1"/>
  <c r="AE330" i="13"/>
  <c r="AN348" i="13"/>
  <c r="AS348" i="13" s="1"/>
  <c r="AE348" i="13"/>
  <c r="AN608" i="13"/>
  <c r="AS608" i="13" s="1"/>
  <c r="AE608" i="13"/>
  <c r="AE334" i="13"/>
  <c r="AN334" i="13"/>
  <c r="AN317" i="13"/>
  <c r="AS317" i="13" s="1"/>
  <c r="AE317" i="13"/>
  <c r="AD365" i="13"/>
  <c r="AM365" i="13"/>
  <c r="AR365" i="13" s="1"/>
  <c r="AN429" i="13"/>
  <c r="AS429" i="13" s="1"/>
  <c r="AE429" i="13"/>
  <c r="AD330" i="13"/>
  <c r="AM330" i="13"/>
  <c r="AR330" i="13" s="1"/>
  <c r="AD478" i="13"/>
  <c r="AM478" i="13"/>
  <c r="AR478" i="13" s="1"/>
  <c r="AN554" i="13"/>
  <c r="AS554" i="13" s="1"/>
  <c r="AE554" i="13"/>
  <c r="AN366" i="13"/>
  <c r="AS366" i="13" s="1"/>
  <c r="AE366" i="13"/>
  <c r="AD385" i="13"/>
  <c r="AM385" i="13"/>
  <c r="AR385" i="13" s="1"/>
  <c r="AN552" i="13"/>
  <c r="AS552" i="13" s="1"/>
  <c r="AE552" i="13"/>
  <c r="AN527" i="13"/>
  <c r="AS527" i="13" s="1"/>
  <c r="AE527" i="13"/>
  <c r="AN611" i="13"/>
  <c r="AS611" i="13" s="1"/>
  <c r="AE611" i="13"/>
  <c r="AN477" i="13"/>
  <c r="AS477" i="13" s="1"/>
  <c r="AE477" i="13"/>
  <c r="AD446" i="13"/>
  <c r="AM446" i="13"/>
  <c r="AR446" i="13" s="1"/>
  <c r="AM560" i="13"/>
  <c r="AR560" i="13" s="1"/>
  <c r="AD560" i="13"/>
  <c r="AN426" i="13"/>
  <c r="AS426" i="13" s="1"/>
  <c r="AE426" i="13"/>
  <c r="AN545" i="13"/>
  <c r="AS545" i="13" s="1"/>
  <c r="AE545" i="13"/>
  <c r="AM525" i="13"/>
  <c r="AR525" i="13" s="1"/>
  <c r="AD525" i="13"/>
  <c r="AM539" i="13"/>
  <c r="AR539" i="13" s="1"/>
  <c r="AD539" i="13"/>
  <c r="AM517" i="13"/>
  <c r="AR517" i="13" s="1"/>
  <c r="AD517" i="13"/>
  <c r="AE471" i="13"/>
  <c r="AN471" i="13"/>
  <c r="AS471" i="13" s="1"/>
  <c r="AE378" i="13"/>
  <c r="AN378" i="13"/>
  <c r="AS378" i="13" s="1"/>
  <c r="AD472" i="13"/>
  <c r="AM472" i="13"/>
  <c r="AR472" i="13" s="1"/>
  <c r="AD432" i="13"/>
  <c r="AM432" i="13"/>
  <c r="AR432" i="13" s="1"/>
  <c r="AN582" i="13"/>
  <c r="AS582" i="13" s="1"/>
  <c r="AE582" i="13"/>
  <c r="AN450" i="13"/>
  <c r="AS450" i="13" s="1"/>
  <c r="AE450" i="13"/>
  <c r="AD427" i="13"/>
  <c r="AM427" i="13"/>
  <c r="AR427" i="13" s="1"/>
  <c r="AN595" i="13"/>
  <c r="AS595" i="13" s="1"/>
  <c r="AE595" i="13"/>
  <c r="AN482" i="13"/>
  <c r="AS482" i="13" s="1"/>
  <c r="AE482" i="13"/>
  <c r="AN396" i="13"/>
  <c r="AS396" i="13" s="1"/>
  <c r="AE396" i="13"/>
  <c r="AM381" i="13"/>
  <c r="AR381" i="13" s="1"/>
  <c r="AD381" i="13"/>
  <c r="AN583" i="13"/>
  <c r="AS583" i="13" s="1"/>
  <c r="AE583" i="13"/>
  <c r="AD578" i="13"/>
  <c r="AM578" i="13"/>
  <c r="AR578" i="13" s="1"/>
  <c r="AD566" i="13"/>
  <c r="AM566" i="13"/>
  <c r="AR566" i="13" s="1"/>
  <c r="AN404" i="13"/>
  <c r="AS404" i="13" s="1"/>
  <c r="AE404" i="13"/>
  <c r="AD545" i="13"/>
  <c r="AM545" i="13"/>
  <c r="AR545" i="13" s="1"/>
  <c r="AD513" i="13"/>
  <c r="AM513" i="13"/>
  <c r="AR513" i="13" s="1"/>
  <c r="AN412" i="13"/>
  <c r="AS412" i="13" s="1"/>
  <c r="AE412" i="13"/>
  <c r="AN376" i="13"/>
  <c r="AS376" i="13" s="1"/>
  <c r="AE376" i="13"/>
  <c r="AD315" i="13"/>
  <c r="CD12" i="3" s="1"/>
  <c r="AM315" i="13"/>
  <c r="AR315" i="13" s="1"/>
  <c r="AN347" i="13"/>
  <c r="AS347" i="13" s="1"/>
  <c r="AE347" i="13"/>
  <c r="AD354" i="13"/>
  <c r="AM354" i="13"/>
  <c r="AR354" i="13" s="1"/>
  <c r="AN386" i="13"/>
  <c r="AS386" i="13" s="1"/>
  <c r="AE386" i="13"/>
  <c r="AD418" i="13"/>
  <c r="AM418" i="13"/>
  <c r="AR418" i="13" s="1"/>
  <c r="AN521" i="13"/>
  <c r="AS521" i="13" s="1"/>
  <c r="AE521" i="13"/>
  <c r="AN579" i="13"/>
  <c r="AS579" i="13" s="1"/>
  <c r="AE579" i="13"/>
  <c r="AM509" i="13"/>
  <c r="AR509" i="13" s="1"/>
  <c r="AD509" i="13"/>
  <c r="AE575" i="13"/>
  <c r="AN575" i="13"/>
  <c r="AS575" i="13" s="1"/>
  <c r="AE517" i="13"/>
  <c r="AN517" i="13"/>
  <c r="AS517" i="13" s="1"/>
  <c r="AN318" i="13"/>
  <c r="AS318" i="13" s="1"/>
  <c r="AE318" i="13"/>
  <c r="AN596" i="13"/>
  <c r="AS596" i="13" s="1"/>
  <c r="AE596" i="13"/>
  <c r="AN572" i="13"/>
  <c r="AS572" i="13" s="1"/>
  <c r="AE572" i="13"/>
  <c r="AD551" i="13"/>
  <c r="AM551" i="13"/>
  <c r="AR551" i="13" s="1"/>
  <c r="AN525" i="13"/>
  <c r="AS525" i="13" s="1"/>
  <c r="AE525" i="13"/>
  <c r="AM575" i="13"/>
  <c r="AR575" i="13" s="1"/>
  <c r="AD575" i="13"/>
  <c r="AM458" i="13"/>
  <c r="AR458" i="13" s="1"/>
  <c r="AD458" i="13"/>
  <c r="AM405" i="13"/>
  <c r="AR405" i="13" s="1"/>
  <c r="AD405" i="13"/>
  <c r="AM409" i="13"/>
  <c r="AR409" i="13" s="1"/>
  <c r="AD409" i="13"/>
  <c r="AD320" i="13"/>
  <c r="AM320" i="13"/>
  <c r="AR320" i="13" s="1"/>
  <c r="AE533" i="13"/>
  <c r="AN533" i="13"/>
  <c r="AS533" i="13" s="1"/>
  <c r="AM325" i="13"/>
  <c r="AR325" i="13" s="1"/>
  <c r="AD325" i="13"/>
  <c r="AM576" i="13"/>
  <c r="AR576" i="13" s="1"/>
  <c r="AD576" i="13"/>
  <c r="AN379" i="13"/>
  <c r="AS379" i="13" s="1"/>
  <c r="AE379" i="13"/>
  <c r="AE476" i="13"/>
  <c r="AN476" i="13"/>
  <c r="AS476" i="13" s="1"/>
  <c r="AM420" i="13"/>
  <c r="AR420" i="13" s="1"/>
  <c r="AD420" i="13"/>
  <c r="AM523" i="13"/>
  <c r="AR523" i="13" s="1"/>
  <c r="AD523" i="13"/>
  <c r="AM499" i="13"/>
  <c r="AR499" i="13" s="1"/>
  <c r="AD499" i="13"/>
  <c r="AM491" i="13"/>
  <c r="AR491" i="13" s="1"/>
  <c r="AD491" i="13"/>
  <c r="AE461" i="13"/>
  <c r="AN461" i="13"/>
  <c r="AS461" i="13" s="1"/>
  <c r="AD341" i="13"/>
  <c r="CD38" i="3" s="1"/>
  <c r="AM341" i="13"/>
  <c r="AR341" i="13" s="1"/>
  <c r="AD404" i="13"/>
  <c r="AM404" i="13"/>
  <c r="AR404" i="13" s="1"/>
  <c r="AM437" i="13"/>
  <c r="AR437" i="13" s="1"/>
  <c r="AD437" i="13"/>
  <c r="AN440" i="13"/>
  <c r="AS440" i="13" s="1"/>
  <c r="AE440" i="13"/>
  <c r="AN364" i="13"/>
  <c r="AS364" i="13" s="1"/>
  <c r="AE364" i="13"/>
  <c r="AD410" i="13"/>
  <c r="AM410" i="13"/>
  <c r="AR410" i="13" s="1"/>
  <c r="AD590" i="13"/>
  <c r="AM590" i="13"/>
  <c r="AR590" i="13" s="1"/>
  <c r="AD391" i="13"/>
  <c r="AM391" i="13"/>
  <c r="AR391" i="13" s="1"/>
  <c r="AN511" i="13"/>
  <c r="AS511" i="13" s="1"/>
  <c r="AE511" i="13"/>
  <c r="AN344" i="13"/>
  <c r="AS344" i="13" s="1"/>
  <c r="AE344" i="13"/>
  <c r="AE507" i="13"/>
  <c r="AN507" i="13"/>
  <c r="AS507" i="13" s="1"/>
  <c r="BN12" i="22"/>
  <c r="BN17" i="22"/>
  <c r="BN11" i="22"/>
  <c r="BN16" i="22"/>
  <c r="BN18" i="22"/>
  <c r="BN15" i="22"/>
  <c r="AN555" i="13"/>
  <c r="AS555" i="13" s="1"/>
  <c r="AE555" i="13"/>
  <c r="AD610" i="13"/>
  <c r="AM610" i="13"/>
  <c r="AR610" i="13" s="1"/>
  <c r="AE479" i="13"/>
  <c r="AN479" i="13"/>
  <c r="AS479" i="13" s="1"/>
  <c r="AN416" i="13"/>
  <c r="AS416" i="13" s="1"/>
  <c r="AE416" i="13"/>
  <c r="AN324" i="13"/>
  <c r="AS324" i="13" s="1"/>
  <c r="AE324" i="13"/>
  <c r="CE21" i="3" s="1"/>
  <c r="AN598" i="13"/>
  <c r="AS598" i="13" s="1"/>
  <c r="AE598" i="13"/>
  <c r="AN553" i="13"/>
  <c r="AS553" i="13" s="1"/>
  <c r="AE553" i="13"/>
  <c r="AN578" i="13"/>
  <c r="AS578" i="13" s="1"/>
  <c r="AE578" i="13"/>
  <c r="AN522" i="13"/>
  <c r="AS522" i="13" s="1"/>
  <c r="AE522" i="13"/>
  <c r="AN501" i="13"/>
  <c r="AS501" i="13" s="1"/>
  <c r="AE501" i="13"/>
  <c r="AD393" i="13"/>
  <c r="AM393" i="13"/>
  <c r="AR393" i="13" s="1"/>
  <c r="AD339" i="13"/>
  <c r="AM339" i="13"/>
  <c r="AR339" i="13" s="1"/>
  <c r="AD370" i="13"/>
  <c r="AM370" i="13"/>
  <c r="AR370" i="13" s="1"/>
  <c r="AD571" i="13"/>
  <c r="AM571" i="13"/>
  <c r="AR571" i="13" s="1"/>
  <c r="AM557" i="13"/>
  <c r="AR557" i="13" s="1"/>
  <c r="AD557" i="13"/>
  <c r="AN319" i="13"/>
  <c r="AS319" i="13" s="1"/>
  <c r="AE319" i="13"/>
  <c r="AD588" i="13"/>
  <c r="AM588" i="13"/>
  <c r="AR588" i="13" s="1"/>
  <c r="AD574" i="13"/>
  <c r="AM574" i="13"/>
  <c r="AR574" i="13" s="1"/>
  <c r="AD556" i="13"/>
  <c r="AM556" i="13"/>
  <c r="AR556" i="13" s="1"/>
  <c r="AM477" i="13"/>
  <c r="AR477" i="13" s="1"/>
  <c r="AD477" i="13"/>
  <c r="AN442" i="13"/>
  <c r="AS442" i="13" s="1"/>
  <c r="AE442" i="13"/>
  <c r="AN518" i="13"/>
  <c r="AS518" i="13" s="1"/>
  <c r="AE518" i="13"/>
  <c r="AM479" i="13"/>
  <c r="AR479" i="13" s="1"/>
  <c r="AD479" i="13"/>
  <c r="AN538" i="13"/>
  <c r="AS538" i="13" s="1"/>
  <c r="AE538" i="13"/>
  <c r="AN372" i="13"/>
  <c r="AS372" i="13" s="1"/>
  <c r="AE372" i="13"/>
  <c r="AD528" i="13"/>
  <c r="AM528" i="13"/>
  <c r="AR528" i="13" s="1"/>
  <c r="AE314" i="13"/>
  <c r="CE11" i="3" s="1"/>
  <c r="AN314" i="13"/>
  <c r="AS314" i="13" s="1"/>
  <c r="AN464" i="13"/>
  <c r="AS464" i="13" s="1"/>
  <c r="AE464" i="13"/>
  <c r="AN328" i="13"/>
  <c r="AS328" i="13" s="1"/>
  <c r="AE328" i="13"/>
  <c r="CE25" i="3" s="1"/>
  <c r="AD593" i="13"/>
  <c r="AM593" i="13"/>
  <c r="AR593" i="13" s="1"/>
  <c r="AE360" i="13"/>
  <c r="AN360" i="13"/>
  <c r="AS360" i="13" s="1"/>
  <c r="AE513" i="13"/>
  <c r="AN513" i="13"/>
  <c r="AS513" i="13" s="1"/>
  <c r="AE433" i="13"/>
  <c r="AN433" i="13"/>
  <c r="AS433" i="13" s="1"/>
  <c r="AN540" i="13"/>
  <c r="AS540" i="13" s="1"/>
  <c r="AE540" i="13"/>
  <c r="AM482" i="13"/>
  <c r="AR482" i="13" s="1"/>
  <c r="AD482" i="13"/>
  <c r="AN444" i="13"/>
  <c r="AS444" i="13" s="1"/>
  <c r="AE444" i="13"/>
  <c r="AE588" i="13"/>
  <c r="AN588" i="13"/>
  <c r="AS588" i="13" s="1"/>
  <c r="AN320" i="13"/>
  <c r="AS320" i="13" s="1"/>
  <c r="AE320" i="13"/>
  <c r="AD611" i="13"/>
  <c r="AM611" i="13"/>
  <c r="AR611" i="13" s="1"/>
  <c r="AM548" i="13"/>
  <c r="AR548" i="13" s="1"/>
  <c r="AD548" i="13"/>
  <c r="AM374" i="13"/>
  <c r="AR374" i="13" s="1"/>
  <c r="AD374" i="13"/>
  <c r="AN457" i="13"/>
  <c r="AS457" i="13" s="1"/>
  <c r="AE457" i="13"/>
  <c r="AN597" i="13"/>
  <c r="AS597" i="13" s="1"/>
  <c r="AE597" i="13"/>
  <c r="AD434" i="13"/>
  <c r="AM434" i="13"/>
  <c r="AR434" i="13" s="1"/>
  <c r="AN543" i="13"/>
  <c r="AS543" i="13" s="1"/>
  <c r="AE543" i="13"/>
  <c r="AN577" i="13"/>
  <c r="AS577" i="13" s="1"/>
  <c r="AE577" i="13"/>
  <c r="AE342" i="13"/>
  <c r="AN342" i="13"/>
  <c r="AS342" i="13" s="1"/>
  <c r="AD358" i="13"/>
  <c r="AM358" i="13"/>
  <c r="AR358" i="13" s="1"/>
  <c r="AE356" i="13"/>
  <c r="AN356" i="13"/>
  <c r="AS356" i="13" s="1"/>
  <c r="AD565" i="13"/>
  <c r="AM565" i="13"/>
  <c r="AR565" i="13" s="1"/>
  <c r="AN407" i="13"/>
  <c r="AS407" i="13" s="1"/>
  <c r="AE407" i="13"/>
  <c r="AN398" i="13"/>
  <c r="AS398" i="13" s="1"/>
  <c r="AE398" i="13"/>
  <c r="AD439" i="13"/>
  <c r="AM439" i="13"/>
  <c r="AR439" i="13" s="1"/>
  <c r="AM598" i="13"/>
  <c r="AR598" i="13" s="1"/>
  <c r="AD598" i="13"/>
  <c r="AD605" i="13"/>
  <c r="AM605" i="13"/>
  <c r="AR605" i="13" s="1"/>
  <c r="AN573" i="13"/>
  <c r="AS573" i="13" s="1"/>
  <c r="AE573" i="13"/>
  <c r="AN362" i="13"/>
  <c r="AS362" i="13" s="1"/>
  <c r="AE362" i="13"/>
  <c r="AD344" i="13"/>
  <c r="AM344" i="13"/>
  <c r="AR344" i="13" s="1"/>
  <c r="AD496" i="13"/>
  <c r="AM496" i="13"/>
  <c r="AR496" i="13" s="1"/>
  <c r="AD520" i="13"/>
  <c r="AM520" i="13"/>
  <c r="AR520" i="13" s="1"/>
  <c r="AN438" i="13"/>
  <c r="AS438" i="13" s="1"/>
  <c r="AE438" i="13"/>
  <c r="AD606" i="13"/>
  <c r="AM606" i="13"/>
  <c r="AR606" i="13" s="1"/>
  <c r="AD516" i="13"/>
  <c r="AM516" i="13"/>
  <c r="AR516" i="13" s="1"/>
  <c r="AN594" i="13"/>
  <c r="AS594" i="13" s="1"/>
  <c r="AE594" i="13"/>
  <c r="AD487" i="13"/>
  <c r="AM487" i="13"/>
  <c r="AR487" i="13" s="1"/>
  <c r="AE340" i="13"/>
  <c r="AN340" i="13"/>
  <c r="AE380" i="13"/>
  <c r="AN380" i="13"/>
  <c r="AS380" i="13" s="1"/>
  <c r="AM392" i="13"/>
  <c r="AR392" i="13" s="1"/>
  <c r="AD392" i="13"/>
  <c r="AE544" i="13"/>
  <c r="AN544" i="13"/>
  <c r="AS544" i="13" s="1"/>
  <c r="AM397" i="13"/>
  <c r="AR397" i="13" s="1"/>
  <c r="AD397" i="13"/>
  <c r="AE454" i="13"/>
  <c r="AN454" i="13"/>
  <c r="AS454" i="13" s="1"/>
  <c r="AM419" i="13"/>
  <c r="AR419" i="13" s="1"/>
  <c r="AD419" i="13"/>
  <c r="AE535" i="13"/>
  <c r="AN535" i="13"/>
  <c r="AS535" i="13" s="1"/>
  <c r="AM524" i="13"/>
  <c r="AR524" i="13" s="1"/>
  <c r="AD524" i="13"/>
  <c r="AM314" i="13"/>
  <c r="AR314" i="13" s="1"/>
  <c r="AD314" i="13"/>
  <c r="CD11" i="3" s="1"/>
  <c r="AD416" i="13"/>
  <c r="AM416" i="13"/>
  <c r="AR416" i="13" s="1"/>
  <c r="AN520" i="13"/>
  <c r="AS520" i="13" s="1"/>
  <c r="AE520" i="13"/>
  <c r="AN401" i="13"/>
  <c r="AS401" i="13" s="1"/>
  <c r="AE401" i="13"/>
  <c r="AM488" i="13"/>
  <c r="AR488" i="13" s="1"/>
  <c r="AD488" i="13"/>
  <c r="AN451" i="13"/>
  <c r="AS451" i="13" s="1"/>
  <c r="AE451" i="13"/>
  <c r="AD607" i="13"/>
  <c r="AM607" i="13"/>
  <c r="AR607" i="13" s="1"/>
  <c r="AN323" i="13"/>
  <c r="AS323" i="13" s="1"/>
  <c r="AE323" i="13"/>
  <c r="CE20" i="3" s="1"/>
  <c r="AN446" i="13"/>
  <c r="AS446" i="13" s="1"/>
  <c r="AE446" i="13"/>
  <c r="AN354" i="13"/>
  <c r="AS354" i="13" s="1"/>
  <c r="AE354" i="13"/>
  <c r="AN402" i="13"/>
  <c r="AS402" i="13" s="1"/>
  <c r="AE402" i="13"/>
  <c r="AD342" i="13"/>
  <c r="AM342" i="13"/>
  <c r="AR342" i="13" s="1"/>
  <c r="AD390" i="13"/>
  <c r="AM390" i="13"/>
  <c r="AR390" i="13" s="1"/>
  <c r="AN499" i="13"/>
  <c r="AS499" i="13" s="1"/>
  <c r="AE499" i="13"/>
  <c r="AN375" i="13"/>
  <c r="AS375" i="13" s="1"/>
  <c r="AE375" i="13"/>
  <c r="AD462" i="13"/>
  <c r="AM462" i="13"/>
  <c r="AR462" i="13" s="1"/>
  <c r="AN419" i="13"/>
  <c r="AS419" i="13" s="1"/>
  <c r="AE419" i="13"/>
  <c r="AD515" i="13"/>
  <c r="AM515" i="13"/>
  <c r="AR515" i="13" s="1"/>
  <c r="AN574" i="13"/>
  <c r="AS574" i="13" s="1"/>
  <c r="AE574" i="13"/>
  <c r="AN557" i="13"/>
  <c r="AS557" i="13" s="1"/>
  <c r="AE557" i="13"/>
  <c r="AN470" i="13"/>
  <c r="AS470" i="13" s="1"/>
  <c r="AE470" i="13"/>
  <c r="AD490" i="13"/>
  <c r="AM490" i="13"/>
  <c r="AR490" i="13" s="1"/>
  <c r="AN365" i="13"/>
  <c r="AS365" i="13" s="1"/>
  <c r="AE365" i="13"/>
  <c r="AD406" i="13"/>
  <c r="AM406" i="13"/>
  <c r="AR406" i="13" s="1"/>
  <c r="AD456" i="13"/>
  <c r="AM456" i="13"/>
  <c r="AR456" i="13" s="1"/>
  <c r="AN591" i="13"/>
  <c r="AS591" i="13" s="1"/>
  <c r="AE591" i="13"/>
  <c r="AE367" i="13"/>
  <c r="AN367" i="13"/>
  <c r="AS367" i="13" s="1"/>
  <c r="AN488" i="13"/>
  <c r="AS488" i="13" s="1"/>
  <c r="AE488" i="13"/>
  <c r="AE494" i="13"/>
  <c r="AN494" i="13"/>
  <c r="AS494" i="13" s="1"/>
  <c r="AD413" i="13"/>
  <c r="AM413" i="13"/>
  <c r="AR413" i="13" s="1"/>
  <c r="AN368" i="13"/>
  <c r="AS368" i="13" s="1"/>
  <c r="AE368" i="13"/>
  <c r="AE516" i="13"/>
  <c r="AN516" i="13"/>
  <c r="AS516" i="13" s="1"/>
  <c r="AN395" i="13"/>
  <c r="AS395" i="13" s="1"/>
  <c r="AE395" i="13"/>
  <c r="AE500" i="13"/>
  <c r="AN500" i="13"/>
  <c r="AS500" i="13" s="1"/>
  <c r="AM608" i="13"/>
  <c r="AR608" i="13" s="1"/>
  <c r="AD608" i="13"/>
  <c r="AM485" i="13"/>
  <c r="AR485" i="13" s="1"/>
  <c r="AD485" i="13"/>
  <c r="AD481" i="13"/>
  <c r="AM481" i="13"/>
  <c r="AR481" i="13" s="1"/>
  <c r="AD572" i="13"/>
  <c r="AM572" i="13"/>
  <c r="AR572" i="13" s="1"/>
  <c r="AM335" i="13"/>
  <c r="AR335" i="13" s="1"/>
  <c r="AD335" i="13"/>
  <c r="AD329" i="13"/>
  <c r="CD26" i="3" s="1"/>
  <c r="AM329" i="13"/>
  <c r="AR329" i="13" s="1"/>
  <c r="AN610" i="13"/>
  <c r="AS610" i="13" s="1"/>
  <c r="AE610" i="13"/>
  <c r="AD536" i="13"/>
  <c r="AM536" i="13"/>
  <c r="AR536" i="13" s="1"/>
  <c r="AN560" i="13"/>
  <c r="AS560" i="13" s="1"/>
  <c r="AE560" i="13"/>
  <c r="AN422" i="13"/>
  <c r="AS422" i="13" s="1"/>
  <c r="AE422" i="13"/>
  <c r="AD474" i="13"/>
  <c r="AM474" i="13"/>
  <c r="AR474" i="13" s="1"/>
  <c r="AD505" i="13"/>
  <c r="AM505" i="13"/>
  <c r="AR505" i="13" s="1"/>
  <c r="AN581" i="13"/>
  <c r="AS581" i="13" s="1"/>
  <c r="AE581" i="13"/>
  <c r="AN491" i="13"/>
  <c r="AS491" i="13" s="1"/>
  <c r="AE491" i="13"/>
  <c r="AD522" i="13"/>
  <c r="AM522" i="13"/>
  <c r="AR522" i="13" s="1"/>
  <c r="AN325" i="13"/>
  <c r="AS325" i="13" s="1"/>
  <c r="AE325" i="13"/>
  <c r="AM373" i="13"/>
  <c r="AR373" i="13" s="1"/>
  <c r="AD373" i="13"/>
  <c r="AD546" i="13"/>
  <c r="AM546" i="13"/>
  <c r="AR546" i="13" s="1"/>
  <c r="AD584" i="13"/>
  <c r="AM584" i="13"/>
  <c r="AR584" i="13" s="1"/>
  <c r="AD558" i="13"/>
  <c r="AM558" i="13"/>
  <c r="AR558" i="13" s="1"/>
  <c r="AD470" i="13"/>
  <c r="AM470" i="13"/>
  <c r="AR470" i="13" s="1"/>
  <c r="AN484" i="13"/>
  <c r="AS484" i="13" s="1"/>
  <c r="AE484" i="13"/>
  <c r="AD457" i="13"/>
  <c r="AM457" i="13"/>
  <c r="AR457" i="13" s="1"/>
  <c r="AE321" i="13"/>
  <c r="AN321" i="13"/>
  <c r="AS321" i="13" s="1"/>
  <c r="AD589" i="13"/>
  <c r="AM589" i="13"/>
  <c r="AR589" i="13" s="1"/>
  <c r="AD449" i="13"/>
  <c r="AM449" i="13"/>
  <c r="AR449" i="13" s="1"/>
  <c r="AD349" i="13"/>
  <c r="CD46" i="3" s="1"/>
  <c r="AM349" i="13"/>
  <c r="AR349" i="13" s="1"/>
  <c r="AN568" i="13"/>
  <c r="AS568" i="13" s="1"/>
  <c r="AE568" i="13"/>
  <c r="AD471" i="13"/>
  <c r="AM471" i="13"/>
  <c r="AR471" i="13" s="1"/>
  <c r="AE563" i="13"/>
  <c r="AN563" i="13"/>
  <c r="AS563" i="13" s="1"/>
  <c r="AD547" i="13"/>
  <c r="AM547" i="13"/>
  <c r="AR547" i="13" s="1"/>
  <c r="AD440" i="13"/>
  <c r="AM440" i="13"/>
  <c r="AR440" i="13" s="1"/>
  <c r="AD337" i="13"/>
  <c r="AM337" i="13"/>
  <c r="AR337" i="13" s="1"/>
  <c r="AE548" i="13"/>
  <c r="AN548" i="13"/>
  <c r="AS548" i="13" s="1"/>
  <c r="AD583" i="13"/>
  <c r="AM583" i="13"/>
  <c r="AR583" i="13" s="1"/>
  <c r="AD361" i="13"/>
  <c r="AM361" i="13"/>
  <c r="AR361" i="13" s="1"/>
  <c r="AN586" i="13"/>
  <c r="AS586" i="13" s="1"/>
  <c r="AE586" i="13"/>
  <c r="AE503" i="13"/>
  <c r="AN503" i="13"/>
  <c r="AS503" i="13" s="1"/>
  <c r="AM580" i="13"/>
  <c r="AR580" i="13" s="1"/>
  <c r="AD580" i="13"/>
  <c r="AM508" i="13"/>
  <c r="AR508" i="13" s="1"/>
  <c r="AD508" i="13"/>
  <c r="AE526" i="13"/>
  <c r="AN526" i="13"/>
  <c r="AS526" i="13" s="1"/>
  <c r="AD318" i="13"/>
  <c r="AM318" i="13"/>
  <c r="AR318" i="13" s="1"/>
  <c r="AD466" i="13"/>
  <c r="AM466" i="13"/>
  <c r="AR466" i="13" s="1"/>
  <c r="AD363" i="13"/>
  <c r="AM363" i="13"/>
  <c r="AR363" i="13" s="1"/>
  <c r="AD550" i="13"/>
  <c r="AM550" i="13"/>
  <c r="AR550" i="13" s="1"/>
  <c r="AN556" i="13"/>
  <c r="AS556" i="13" s="1"/>
  <c r="AE556" i="13"/>
  <c r="AD600" i="13"/>
  <c r="AM600" i="13"/>
  <c r="AR600" i="13" s="1"/>
  <c r="AN453" i="13"/>
  <c r="AS453" i="13" s="1"/>
  <c r="AE453" i="13"/>
  <c r="AD542" i="13"/>
  <c r="AM542" i="13"/>
  <c r="AR542" i="13" s="1"/>
  <c r="AD495" i="13"/>
  <c r="AM495" i="13"/>
  <c r="AR495" i="13" s="1"/>
  <c r="AN352" i="13"/>
  <c r="AS352" i="13" s="1"/>
  <c r="AE352" i="13"/>
  <c r="AD452" i="13"/>
  <c r="AM452" i="13"/>
  <c r="AR452" i="13" s="1"/>
  <c r="AD502" i="13"/>
  <c r="AM502" i="13"/>
  <c r="AR502" i="13" s="1"/>
  <c r="AM468" i="13"/>
  <c r="AR468" i="13" s="1"/>
  <c r="AD468" i="13"/>
  <c r="AE358" i="13"/>
  <c r="AN358" i="13"/>
  <c r="AS358" i="13" s="1"/>
  <c r="AM403" i="13"/>
  <c r="AR403" i="13" s="1"/>
  <c r="AD403" i="13"/>
  <c r="AD512" i="13"/>
  <c r="AM512" i="13"/>
  <c r="AR512" i="13" s="1"/>
  <c r="AD533" i="13"/>
  <c r="AM533" i="13"/>
  <c r="AR533" i="13" s="1"/>
  <c r="AD489" i="13"/>
  <c r="AM489" i="13"/>
  <c r="AR489" i="13" s="1"/>
  <c r="AN458" i="13"/>
  <c r="AS458" i="13" s="1"/>
  <c r="AE458" i="13"/>
  <c r="AD518" i="13"/>
  <c r="AM518" i="13"/>
  <c r="AR518" i="13" s="1"/>
  <c r="AD443" i="13"/>
  <c r="AM443" i="13"/>
  <c r="AR443" i="13" s="1"/>
  <c r="AD328" i="13"/>
  <c r="CD25" i="3" s="1"/>
  <c r="AM328" i="13"/>
  <c r="AR328" i="13" s="1"/>
  <c r="AN392" i="13"/>
  <c r="AS392" i="13" s="1"/>
  <c r="AE392" i="13"/>
  <c r="AN546" i="13"/>
  <c r="AS546" i="13" s="1"/>
  <c r="AE546" i="13"/>
  <c r="AM350" i="13"/>
  <c r="AR350" i="13" s="1"/>
  <c r="AD350" i="13"/>
  <c r="CD47" i="3" s="1"/>
  <c r="AE373" i="13"/>
  <c r="AN373" i="13"/>
  <c r="AS373" i="13" s="1"/>
  <c r="AN584" i="13"/>
  <c r="AS584" i="13" s="1"/>
  <c r="AE584" i="13"/>
  <c r="AE315" i="13"/>
  <c r="AN315" i="13"/>
  <c r="AN587" i="13"/>
  <c r="AS587" i="13" s="1"/>
  <c r="AE587" i="13"/>
  <c r="AE355" i="13"/>
  <c r="AN355" i="13"/>
  <c r="AS355" i="13" s="1"/>
  <c r="AD460" i="13"/>
  <c r="AM460" i="13"/>
  <c r="AR460" i="13" s="1"/>
  <c r="AD603" i="13"/>
  <c r="AM603" i="13"/>
  <c r="AR603" i="13" s="1"/>
  <c r="AD601" i="13"/>
  <c r="AM601" i="13"/>
  <c r="AR601" i="13" s="1"/>
  <c r="AD467" i="13"/>
  <c r="AM467" i="13"/>
  <c r="AR467" i="13" s="1"/>
  <c r="AD592" i="13"/>
  <c r="AM592" i="13"/>
  <c r="AR592" i="13" s="1"/>
  <c r="AD541" i="13"/>
  <c r="AM541" i="13"/>
  <c r="AR541" i="13" s="1"/>
  <c r="AN478" i="13"/>
  <c r="AS478" i="13" s="1"/>
  <c r="AE478" i="13"/>
  <c r="AN414" i="13"/>
  <c r="AS414" i="13" s="1"/>
  <c r="AE414" i="13"/>
  <c r="AE377" i="13"/>
  <c r="AN377" i="13"/>
  <c r="AS377" i="13" s="1"/>
  <c r="AD340" i="13"/>
  <c r="AM340" i="13"/>
  <c r="AR340" i="13" s="1"/>
  <c r="AM395" i="13"/>
  <c r="AR395" i="13" s="1"/>
  <c r="AD395" i="13"/>
  <c r="AD422" i="13"/>
  <c r="AM422" i="13"/>
  <c r="AR422" i="13" s="1"/>
  <c r="AN508" i="13"/>
  <c r="AS508" i="13" s="1"/>
  <c r="AE508" i="13"/>
  <c r="AM436" i="13"/>
  <c r="AR436" i="13" s="1"/>
  <c r="AD436" i="13"/>
  <c r="AN410" i="13"/>
  <c r="AS410" i="13" s="1"/>
  <c r="AE410" i="13"/>
  <c r="AM401" i="13"/>
  <c r="AR401" i="13" s="1"/>
  <c r="AD401" i="13"/>
  <c r="AE542" i="13"/>
  <c r="AN542" i="13"/>
  <c r="AS542" i="13" s="1"/>
  <c r="AE387" i="13"/>
  <c r="AN387" i="13"/>
  <c r="AS387" i="13" s="1"/>
  <c r="AD336" i="13"/>
  <c r="AM336" i="13"/>
  <c r="AR336" i="13" s="1"/>
  <c r="AM327" i="13"/>
  <c r="AR327" i="13" s="1"/>
  <c r="AD327" i="13"/>
  <c r="CD24" i="3" s="1"/>
  <c r="AN466" i="13"/>
  <c r="AS466" i="13" s="1"/>
  <c r="AE466" i="13"/>
  <c r="AD389" i="13"/>
  <c r="AM389" i="13"/>
  <c r="AR389" i="13" s="1"/>
  <c r="AE420" i="13"/>
  <c r="AN420" i="13"/>
  <c r="AS420" i="13" s="1"/>
  <c r="AD532" i="13"/>
  <c r="AM532" i="13"/>
  <c r="AR532" i="13" s="1"/>
  <c r="AN475" i="13"/>
  <c r="AS475" i="13" s="1"/>
  <c r="AE475" i="13"/>
  <c r="AN397" i="13"/>
  <c r="AS397" i="13" s="1"/>
  <c r="AE397" i="13"/>
  <c r="AN497" i="13"/>
  <c r="AS497" i="13" s="1"/>
  <c r="AE497" i="13"/>
  <c r="AE592" i="13"/>
  <c r="AN592" i="13"/>
  <c r="AS592" i="13" s="1"/>
  <c r="AD377" i="13"/>
  <c r="AM377" i="13"/>
  <c r="AR377" i="13" s="1"/>
  <c r="AD355" i="13"/>
  <c r="AM355" i="13"/>
  <c r="AR355" i="13" s="1"/>
  <c r="AD368" i="13"/>
  <c r="AM368" i="13"/>
  <c r="AR368" i="13" s="1"/>
  <c r="AD376" i="13"/>
  <c r="AM376" i="13"/>
  <c r="AR376" i="13" s="1"/>
  <c r="AN447" i="13"/>
  <c r="AS447" i="13" s="1"/>
  <c r="AE447" i="13"/>
  <c r="AE399" i="13"/>
  <c r="AN399" i="13"/>
  <c r="AS399" i="13" s="1"/>
  <c r="AD459" i="13"/>
  <c r="AM459" i="13"/>
  <c r="AR459" i="13" s="1"/>
  <c r="AN599" i="13"/>
  <c r="AS599" i="13" s="1"/>
  <c r="AE599" i="13"/>
  <c r="AD441" i="13"/>
  <c r="AM441" i="13"/>
  <c r="AR441" i="13" s="1"/>
  <c r="AE385" i="13"/>
  <c r="AN385" i="13"/>
  <c r="AS385" i="13" s="1"/>
  <c r="AD380" i="13"/>
  <c r="AM380" i="13"/>
  <c r="AR380" i="13" s="1"/>
  <c r="AE473" i="13"/>
  <c r="AN473" i="13"/>
  <c r="AS473" i="13" s="1"/>
  <c r="AD519" i="13"/>
  <c r="AM519" i="13"/>
  <c r="AR519" i="13" s="1"/>
  <c r="AD480" i="13"/>
  <c r="AM480" i="13"/>
  <c r="AR480" i="13" s="1"/>
  <c r="AD379" i="13"/>
  <c r="AM379" i="13"/>
  <c r="AR379" i="13" s="1"/>
  <c r="AN452" i="13"/>
  <c r="AS452" i="13" s="1"/>
  <c r="AE452" i="13"/>
  <c r="AN417" i="13"/>
  <c r="AS417" i="13" s="1"/>
  <c r="AE417" i="13"/>
  <c r="AD399" i="13"/>
  <c r="AM399" i="13"/>
  <c r="AR399" i="13" s="1"/>
  <c r="AE337" i="13"/>
  <c r="AN337" i="13"/>
  <c r="AM369" i="13"/>
  <c r="AR369" i="13" s="1"/>
  <c r="AD369" i="13"/>
  <c r="AM514" i="13"/>
  <c r="AR514" i="13" s="1"/>
  <c r="AD514" i="13"/>
  <c r="AD375" i="13"/>
  <c r="AM375" i="13"/>
  <c r="AR375" i="13" s="1"/>
  <c r="AD415" i="13"/>
  <c r="AM415" i="13"/>
  <c r="AR415" i="13" s="1"/>
  <c r="AM591" i="13"/>
  <c r="AR591" i="13" s="1"/>
  <c r="AD591" i="13"/>
  <c r="AM535" i="13"/>
  <c r="AR535" i="13" s="1"/>
  <c r="AD535" i="13"/>
  <c r="AN564" i="13"/>
  <c r="AS564" i="13" s="1"/>
  <c r="AE564" i="13"/>
  <c r="AE547" i="13"/>
  <c r="AN547" i="13"/>
  <c r="AS547" i="13" s="1"/>
  <c r="AN322" i="13"/>
  <c r="AS322" i="13" s="1"/>
  <c r="AE322" i="13"/>
  <c r="AM378" i="13"/>
  <c r="AR378" i="13" s="1"/>
  <c r="AD378" i="13"/>
  <c r="AE519" i="13"/>
  <c r="AN519" i="13"/>
  <c r="AS519" i="13" s="1"/>
  <c r="AN449" i="13"/>
  <c r="AS449" i="13" s="1"/>
  <c r="AE449" i="13"/>
  <c r="AM555" i="13"/>
  <c r="AR555" i="13" s="1"/>
  <c r="AD555" i="13"/>
  <c r="AM563" i="13"/>
  <c r="AR563" i="13" s="1"/>
  <c r="AD563" i="13"/>
  <c r="AN415" i="13"/>
  <c r="AS415" i="13" s="1"/>
  <c r="AE415" i="13"/>
  <c r="AM559" i="13"/>
  <c r="AR559" i="13" s="1"/>
  <c r="AD559" i="13"/>
  <c r="AE486" i="13"/>
  <c r="AN486" i="13"/>
  <c r="AS486" i="13" s="1"/>
  <c r="AE512" i="13"/>
  <c r="AN512" i="13"/>
  <c r="AS512" i="13" s="1"/>
  <c r="AN502" i="13"/>
  <c r="AS502" i="13" s="1"/>
  <c r="AE502" i="13"/>
  <c r="AD582" i="13"/>
  <c r="AM582" i="13"/>
  <c r="AR582" i="13" s="1"/>
  <c r="AM383" i="13"/>
  <c r="AR383" i="13" s="1"/>
  <c r="AD383" i="13"/>
  <c r="AN604" i="13"/>
  <c r="AS604" i="13" s="1"/>
  <c r="AE604" i="13"/>
  <c r="AN341" i="13"/>
  <c r="AS341" i="13" s="1"/>
  <c r="AE341" i="13"/>
  <c r="AN469" i="13"/>
  <c r="AS469" i="13" s="1"/>
  <c r="AE469" i="13"/>
  <c r="AN357" i="13"/>
  <c r="AS357" i="13" s="1"/>
  <c r="AE357" i="13"/>
  <c r="AD463" i="13"/>
  <c r="AM463" i="13"/>
  <c r="AR463" i="13" s="1"/>
  <c r="AN541" i="13"/>
  <c r="AS541" i="13" s="1"/>
  <c r="AE541" i="13"/>
  <c r="AN570" i="13"/>
  <c r="AS570" i="13" s="1"/>
  <c r="AE570" i="13"/>
  <c r="AE601" i="13"/>
  <c r="AN601" i="13"/>
  <c r="AS601" i="13" s="1"/>
  <c r="AE498" i="13"/>
  <c r="AN498" i="13"/>
  <c r="AS498" i="13" s="1"/>
  <c r="AN346" i="13"/>
  <c r="AS346" i="13" s="1"/>
  <c r="AE346" i="13"/>
  <c r="AN524" i="13"/>
  <c r="AS524" i="13" s="1"/>
  <c r="AE524" i="13"/>
  <c r="AN351" i="13"/>
  <c r="AS351" i="13" s="1"/>
  <c r="AE351" i="13"/>
  <c r="AN413" i="13"/>
  <c r="AS413" i="13" s="1"/>
  <c r="AE413" i="13"/>
  <c r="AN528" i="13"/>
  <c r="AS528" i="13" s="1"/>
  <c r="AE528" i="13"/>
  <c r="AD461" i="13"/>
  <c r="AM461" i="13"/>
  <c r="AR461" i="13" s="1"/>
  <c r="AD570" i="13"/>
  <c r="AM570" i="13"/>
  <c r="AR570" i="13" s="1"/>
  <c r="AN514" i="13"/>
  <c r="AS514" i="13" s="1"/>
  <c r="AE514" i="13"/>
  <c r="AD569" i="13"/>
  <c r="AM569" i="13"/>
  <c r="AR569" i="13" s="1"/>
  <c r="AM348" i="13"/>
  <c r="AR348" i="13" s="1"/>
  <c r="AD348" i="13"/>
  <c r="CD45" i="3" s="1"/>
  <c r="AN425" i="13"/>
  <c r="AS425" i="13" s="1"/>
  <c r="AE425" i="13"/>
  <c r="AD384" i="13"/>
  <c r="AM384" i="13"/>
  <c r="AR384" i="13" s="1"/>
  <c r="AD347" i="13"/>
  <c r="AM347" i="13"/>
  <c r="AR347" i="13" s="1"/>
  <c r="AN506" i="13"/>
  <c r="AS506" i="13" s="1"/>
  <c r="AE506" i="13"/>
  <c r="AN600" i="13"/>
  <c r="AS600" i="13" s="1"/>
  <c r="AE600" i="13"/>
  <c r="AM396" i="13"/>
  <c r="AR396" i="13" s="1"/>
  <c r="AD396" i="13"/>
  <c r="AD426" i="13"/>
  <c r="AM426" i="13"/>
  <c r="AR426" i="13" s="1"/>
  <c r="AN460" i="13"/>
  <c r="AS460" i="13" s="1"/>
  <c r="AE460" i="13"/>
  <c r="AD498" i="13"/>
  <c r="AM498" i="13"/>
  <c r="AR498" i="13" s="1"/>
  <c r="AD428" i="13"/>
  <c r="AM428" i="13"/>
  <c r="AR428" i="13" s="1"/>
  <c r="AD464" i="13"/>
  <c r="AM464" i="13"/>
  <c r="AR464" i="13" s="1"/>
  <c r="AN335" i="13"/>
  <c r="AE335" i="13"/>
  <c r="AN607" i="13"/>
  <c r="AS607" i="13" s="1"/>
  <c r="AE607" i="13"/>
  <c r="AE534" i="13"/>
  <c r="AN534" i="13"/>
  <c r="AS534" i="13" s="1"/>
  <c r="AN550" i="13"/>
  <c r="AS550" i="13" s="1"/>
  <c r="AE550" i="13"/>
  <c r="AM451" i="13"/>
  <c r="AR451" i="13" s="1"/>
  <c r="AD451" i="13"/>
  <c r="AD435" i="13"/>
  <c r="AM435" i="13"/>
  <c r="AR435" i="13" s="1"/>
  <c r="AM504" i="13"/>
  <c r="AR504" i="13" s="1"/>
  <c r="AD504" i="13"/>
  <c r="AE504" i="13"/>
  <c r="AN504" i="13"/>
  <c r="AS504" i="13" s="1"/>
  <c r="AE421" i="13"/>
  <c r="AN421" i="13"/>
  <c r="AS421" i="13" s="1"/>
  <c r="AD324" i="13"/>
  <c r="CD21" i="3" s="1"/>
  <c r="AM324" i="13"/>
  <c r="AR324" i="13" s="1"/>
  <c r="AE549" i="13"/>
  <c r="AN549" i="13"/>
  <c r="AS549" i="13" s="1"/>
  <c r="AN432" i="13"/>
  <c r="AS432" i="13" s="1"/>
  <c r="AE432" i="13"/>
  <c r="AN456" i="13"/>
  <c r="AS456" i="13" s="1"/>
  <c r="AE456" i="13"/>
  <c r="AN443" i="13"/>
  <c r="AS443" i="13" s="1"/>
  <c r="AE443" i="13"/>
  <c r="AD442" i="13"/>
  <c r="AM442" i="13"/>
  <c r="AR442" i="13" s="1"/>
  <c r="AD599" i="13"/>
  <c r="AM599" i="13"/>
  <c r="AR599" i="13" s="1"/>
  <c r="AN465" i="13"/>
  <c r="AS465" i="13" s="1"/>
  <c r="AE465" i="13"/>
  <c r="AE490" i="13"/>
  <c r="AN490" i="13"/>
  <c r="AS490" i="13" s="1"/>
  <c r="AD319" i="13"/>
  <c r="AM319" i="13"/>
  <c r="AR319" i="13" s="1"/>
  <c r="AN359" i="13"/>
  <c r="AS359" i="13" s="1"/>
  <c r="AE359" i="13"/>
  <c r="AD544" i="13"/>
  <c r="AM544" i="13"/>
  <c r="AR544" i="13" s="1"/>
  <c r="AD423" i="13"/>
  <c r="AM423" i="13"/>
  <c r="AR423" i="13" s="1"/>
  <c r="AD475" i="13"/>
  <c r="AM475" i="13"/>
  <c r="AR475" i="13" s="1"/>
  <c r="AN569" i="13"/>
  <c r="AS569" i="13" s="1"/>
  <c r="AE569" i="13"/>
  <c r="AN561" i="13"/>
  <c r="AS561" i="13" s="1"/>
  <c r="AE561" i="13"/>
  <c r="AN483" i="13"/>
  <c r="AS483" i="13" s="1"/>
  <c r="AE483" i="13"/>
  <c r="AN418" i="13"/>
  <c r="AS418" i="13" s="1"/>
  <c r="AE418" i="13"/>
  <c r="AN327" i="13"/>
  <c r="AS327" i="13" s="1"/>
  <c r="AE327" i="13"/>
  <c r="CE24" i="3" s="1"/>
  <c r="AN383" i="13"/>
  <c r="AS383" i="13" s="1"/>
  <c r="AE383" i="13"/>
  <c r="AM371" i="13"/>
  <c r="AR371" i="13" s="1"/>
  <c r="AD371" i="13"/>
  <c r="AN593" i="13"/>
  <c r="AS593" i="13" s="1"/>
  <c r="AE593" i="13"/>
  <c r="AE393" i="13"/>
  <c r="AN393" i="13"/>
  <c r="AS393" i="13" s="1"/>
  <c r="AD424" i="13"/>
  <c r="AM424" i="13"/>
  <c r="AR424" i="13" s="1"/>
  <c r="AE468" i="13"/>
  <c r="AN468" i="13"/>
  <c r="AS468" i="13" s="1"/>
  <c r="AD561" i="13"/>
  <c r="AM561" i="13"/>
  <c r="AR561" i="13" s="1"/>
  <c r="AD400" i="13"/>
  <c r="AM400" i="13"/>
  <c r="AR400" i="13" s="1"/>
  <c r="AE343" i="13"/>
  <c r="AN343" i="13"/>
  <c r="AS343" i="13" s="1"/>
  <c r="AM353" i="13"/>
  <c r="AR353" i="13" s="1"/>
  <c r="AD353" i="13"/>
  <c r="AN391" i="13"/>
  <c r="AS391" i="13" s="1"/>
  <c r="AE391" i="13"/>
  <c r="AN371" i="13"/>
  <c r="AS371" i="13" s="1"/>
  <c r="AE371" i="13"/>
  <c r="AM585" i="13"/>
  <c r="AR585" i="13" s="1"/>
  <c r="AD585" i="13"/>
  <c r="AE539" i="13"/>
  <c r="AN539" i="13"/>
  <c r="AS539" i="13" s="1"/>
  <c r="AE605" i="13"/>
  <c r="AN605" i="13"/>
  <c r="AS605" i="13" s="1"/>
  <c r="AE428" i="13"/>
  <c r="AN428" i="13"/>
  <c r="AS428" i="13" s="1"/>
  <c r="AE431" i="13"/>
  <c r="AN431" i="13"/>
  <c r="AS431" i="13" s="1"/>
  <c r="AM554" i="13"/>
  <c r="AR554" i="13" s="1"/>
  <c r="AD554" i="13"/>
  <c r="AD500" i="13"/>
  <c r="AM500" i="13"/>
  <c r="AR500" i="13" s="1"/>
  <c r="AN551" i="13"/>
  <c r="AS551" i="13" s="1"/>
  <c r="AE551" i="13"/>
  <c r="AD526" i="13"/>
  <c r="AM526" i="13"/>
  <c r="AR526" i="13" s="1"/>
  <c r="AN536" i="13"/>
  <c r="AS536" i="13" s="1"/>
  <c r="AE536" i="13"/>
  <c r="AM531" i="13"/>
  <c r="AR531" i="13" s="1"/>
  <c r="AD531" i="13"/>
  <c r="AN576" i="13"/>
  <c r="AS576" i="13" s="1"/>
  <c r="AE576" i="13"/>
  <c r="AN333" i="13"/>
  <c r="AS333" i="13" s="1"/>
  <c r="AE333" i="13"/>
  <c r="CE30" i="3" s="1"/>
  <c r="AN489" i="13"/>
  <c r="AS489" i="13" s="1"/>
  <c r="AE489" i="13"/>
  <c r="AN445" i="13"/>
  <c r="AS445" i="13" s="1"/>
  <c r="AE445" i="13"/>
  <c r="AN481" i="13"/>
  <c r="AS481" i="13" s="1"/>
  <c r="AE481" i="13"/>
  <c r="AD414" i="13"/>
  <c r="AM414" i="13"/>
  <c r="AR414" i="13" s="1"/>
  <c r="AE496" i="13"/>
  <c r="AN496" i="13"/>
  <c r="AS496" i="13" s="1"/>
  <c r="AD597" i="13"/>
  <c r="AM597" i="13"/>
  <c r="AR597" i="13" s="1"/>
  <c r="AN408" i="13"/>
  <c r="AS408" i="13" s="1"/>
  <c r="AE408" i="13"/>
  <c r="AM321" i="13"/>
  <c r="AR321" i="13" s="1"/>
  <c r="AD321" i="13"/>
  <c r="AD602" i="13"/>
  <c r="AM602" i="13"/>
  <c r="AR602" i="13" s="1"/>
  <c r="AD412" i="13"/>
  <c r="AM412" i="13"/>
  <c r="AR412" i="13" s="1"/>
  <c r="AD408" i="13"/>
  <c r="AM408" i="13"/>
  <c r="AR408" i="13" s="1"/>
  <c r="AN509" i="13"/>
  <c r="AS509" i="13" s="1"/>
  <c r="AE509" i="13"/>
  <c r="AD386" i="13"/>
  <c r="AM386" i="13"/>
  <c r="AR386" i="13" s="1"/>
  <c r="AD577" i="13"/>
  <c r="AM577" i="13"/>
  <c r="AR577" i="13" s="1"/>
  <c r="AN316" i="13"/>
  <c r="AS316" i="13" s="1"/>
  <c r="AE316" i="13"/>
  <c r="CE13" i="3" s="1"/>
  <c r="AN382" i="13"/>
  <c r="AS382" i="13" s="1"/>
  <c r="AE382" i="13"/>
  <c r="AN435" i="13"/>
  <c r="AS435" i="13" s="1"/>
  <c r="AE435" i="13"/>
  <c r="AN602" i="13"/>
  <c r="AS602" i="13" s="1"/>
  <c r="AE602" i="13"/>
  <c r="AD322" i="13"/>
  <c r="AM322" i="13"/>
  <c r="AR322" i="13" s="1"/>
  <c r="AD388" i="13"/>
  <c r="AM388" i="13"/>
  <c r="AR388" i="13" s="1"/>
  <c r="AD417" i="13"/>
  <c r="AM417" i="13"/>
  <c r="AR417" i="13" s="1"/>
  <c r="AN529" i="13"/>
  <c r="AS529" i="13" s="1"/>
  <c r="AE529" i="13"/>
  <c r="AN326" i="13"/>
  <c r="AS326" i="13" s="1"/>
  <c r="AE326" i="13"/>
  <c r="AD486" i="13"/>
  <c r="AM486" i="13"/>
  <c r="AR486" i="13" s="1"/>
  <c r="AD567" i="13"/>
  <c r="AM567" i="13"/>
  <c r="AR567" i="13" s="1"/>
  <c r="AD553" i="13"/>
  <c r="AM553" i="13"/>
  <c r="AR553" i="13" s="1"/>
  <c r="AD564" i="13"/>
  <c r="AM564" i="13"/>
  <c r="AR564" i="13" s="1"/>
  <c r="AM510" i="13"/>
  <c r="AR510" i="13" s="1"/>
  <c r="AD510" i="13"/>
  <c r="AM476" i="13"/>
  <c r="AR476" i="13" s="1"/>
  <c r="AD476" i="13"/>
  <c r="AE480" i="13"/>
  <c r="AN480" i="13"/>
  <c r="AS480" i="13" s="1"/>
  <c r="AE455" i="13"/>
  <c r="AN455" i="13"/>
  <c r="AS455" i="13" s="1"/>
  <c r="AE381" i="13"/>
  <c r="AN381" i="13"/>
  <c r="AS381" i="13" s="1"/>
  <c r="AM507" i="13"/>
  <c r="AR507" i="13" s="1"/>
  <c r="AD507" i="13"/>
  <c r="AN492" i="13"/>
  <c r="AS492" i="13" s="1"/>
  <c r="AE492" i="13"/>
  <c r="AM394" i="13"/>
  <c r="AR394" i="13" s="1"/>
  <c r="AD394" i="13"/>
  <c r="AM387" i="13"/>
  <c r="AR387" i="13" s="1"/>
  <c r="AD387" i="13"/>
  <c r="AE495" i="13"/>
  <c r="AN495" i="13"/>
  <c r="AS495" i="13" s="1"/>
  <c r="AE474" i="13"/>
  <c r="AN474" i="13"/>
  <c r="AS474" i="13" s="1"/>
  <c r="AM402" i="13"/>
  <c r="AR402" i="13" s="1"/>
  <c r="AD402" i="13"/>
  <c r="AN585" i="13"/>
  <c r="AS585" i="13" s="1"/>
  <c r="AE585" i="13"/>
  <c r="AM343" i="13"/>
  <c r="AR343" i="13" s="1"/>
  <c r="AD343" i="13"/>
  <c r="CD40" i="3" s="1"/>
  <c r="AN332" i="13"/>
  <c r="AS332" i="13" s="1"/>
  <c r="AE332" i="13"/>
  <c r="AD351" i="13"/>
  <c r="AM351" i="13"/>
  <c r="AR351" i="13" s="1"/>
  <c r="AE394" i="13"/>
  <c r="AN394" i="13"/>
  <c r="AS394" i="13" s="1"/>
  <c r="AN523" i="13"/>
  <c r="AS523" i="13" s="1"/>
  <c r="AE523" i="13"/>
  <c r="AN562" i="13"/>
  <c r="AS562" i="13" s="1"/>
  <c r="AE562" i="13"/>
  <c r="AN505" i="13"/>
  <c r="AS505" i="13" s="1"/>
  <c r="AE505" i="13"/>
  <c r="AD503" i="13"/>
  <c r="AM503" i="13"/>
  <c r="AR503" i="13" s="1"/>
  <c r="AD450" i="13"/>
  <c r="AM450" i="13"/>
  <c r="AR450" i="13" s="1"/>
  <c r="AN609" i="13"/>
  <c r="AS609" i="13" s="1"/>
  <c r="AE609" i="13"/>
  <c r="AD357" i="13"/>
  <c r="AM357" i="13"/>
  <c r="AR357" i="13" s="1"/>
  <c r="AD492" i="13"/>
  <c r="AM492" i="13"/>
  <c r="AR492" i="13" s="1"/>
  <c r="AD469" i="13"/>
  <c r="AM469" i="13"/>
  <c r="AR469" i="13" s="1"/>
  <c r="AD581" i="13"/>
  <c r="AM581" i="13"/>
  <c r="AR581" i="13" s="1"/>
  <c r="AN558" i="13"/>
  <c r="AS558" i="13" s="1"/>
  <c r="AE558" i="13"/>
  <c r="AD511" i="13"/>
  <c r="AM511" i="13"/>
  <c r="AR511" i="13" s="1"/>
  <c r="AD444" i="13"/>
  <c r="AM444" i="13"/>
  <c r="AR444" i="13" s="1"/>
  <c r="AD398" i="13"/>
  <c r="AM398" i="13"/>
  <c r="AR398" i="13" s="1"/>
  <c r="AD407" i="13"/>
  <c r="AM407" i="13"/>
  <c r="AR407" i="13" s="1"/>
  <c r="AD317" i="13"/>
  <c r="AM317" i="13"/>
  <c r="AR317" i="13" s="1"/>
  <c r="AD506" i="13"/>
  <c r="AM506" i="13"/>
  <c r="AR506" i="13" s="1"/>
  <c r="AD364" i="13"/>
  <c r="AM364" i="13"/>
  <c r="AR364" i="13" s="1"/>
  <c r="AD421" i="13"/>
  <c r="AM421" i="13"/>
  <c r="AR421" i="13" s="1"/>
  <c r="AN424" i="13"/>
  <c r="AS424" i="13" s="1"/>
  <c r="AE424" i="13"/>
  <c r="AD497" i="13"/>
  <c r="AM497" i="13"/>
  <c r="AR497" i="13" s="1"/>
  <c r="AD521" i="13"/>
  <c r="AM521" i="13"/>
  <c r="AR521" i="13" s="1"/>
  <c r="AN459" i="13"/>
  <c r="AS459" i="13" s="1"/>
  <c r="AE459" i="13"/>
  <c r="AD483" i="13"/>
  <c r="AM483" i="13"/>
  <c r="AR483" i="13" s="1"/>
  <c r="AD334" i="13"/>
  <c r="AM334" i="13"/>
  <c r="AR334" i="13" s="1"/>
  <c r="AD332" i="13"/>
  <c r="AM332" i="13"/>
  <c r="AR332" i="13" s="1"/>
  <c r="AN565" i="13"/>
  <c r="AS565" i="13" s="1"/>
  <c r="AE565" i="13"/>
  <c r="AD534" i="13"/>
  <c r="AM534" i="13"/>
  <c r="AR534" i="13" s="1"/>
  <c r="AN467" i="13"/>
  <c r="AS467" i="13" s="1"/>
  <c r="AE467" i="13"/>
  <c r="AN436" i="13"/>
  <c r="AS436" i="13" s="1"/>
  <c r="AE436" i="13"/>
  <c r="AN406" i="13"/>
  <c r="AS406" i="13" s="1"/>
  <c r="AE406" i="13"/>
  <c r="AN403" i="13"/>
  <c r="AS403" i="13" s="1"/>
  <c r="AE403" i="13"/>
  <c r="AN590" i="13"/>
  <c r="AS590" i="13" s="1"/>
  <c r="AE590" i="13"/>
  <c r="AD573" i="13"/>
  <c r="AM573" i="13"/>
  <c r="AR573" i="13" s="1"/>
  <c r="AE390" i="13"/>
  <c r="AN390" i="13"/>
  <c r="AS390" i="13" s="1"/>
  <c r="AD356" i="13"/>
  <c r="AM356" i="13"/>
  <c r="AR356" i="13" s="1"/>
  <c r="AM367" i="13"/>
  <c r="AR367" i="13" s="1"/>
  <c r="AD367" i="13"/>
  <c r="AN589" i="13"/>
  <c r="AS589" i="13" s="1"/>
  <c r="AE589" i="13"/>
  <c r="AE559" i="13"/>
  <c r="AN559" i="13"/>
  <c r="AS559" i="13" s="1"/>
  <c r="AM484" i="13"/>
  <c r="AR484" i="13" s="1"/>
  <c r="AD484" i="13"/>
  <c r="AN345" i="13"/>
  <c r="AS345" i="13" s="1"/>
  <c r="AE345" i="13"/>
  <c r="AD411" i="13"/>
  <c r="AM411" i="13"/>
  <c r="AR411" i="13" s="1"/>
  <c r="AD425" i="13"/>
  <c r="AM425" i="13"/>
  <c r="AR425" i="13" s="1"/>
  <c r="AN384" i="13"/>
  <c r="AS384" i="13" s="1"/>
  <c r="AE384" i="13"/>
  <c r="AD438" i="13"/>
  <c r="AM438" i="13"/>
  <c r="AR438" i="13" s="1"/>
  <c r="AN485" i="13"/>
  <c r="AS485" i="13" s="1"/>
  <c r="AE485" i="13"/>
  <c r="AD527" i="13"/>
  <c r="AM527" i="13"/>
  <c r="AR527" i="13" s="1"/>
  <c r="AE349" i="13"/>
  <c r="AN349" i="13"/>
  <c r="AS349" i="13" s="1"/>
  <c r="AD454" i="13"/>
  <c r="AM454" i="13"/>
  <c r="AR454" i="13" s="1"/>
  <c r="AD372" i="13"/>
  <c r="AM372" i="13"/>
  <c r="AR372" i="13" s="1"/>
  <c r="AM352" i="13"/>
  <c r="AR352" i="13" s="1"/>
  <c r="AD352" i="13"/>
  <c r="AD382" i="13"/>
  <c r="AM382" i="13"/>
  <c r="AR382" i="13" s="1"/>
  <c r="AD537" i="13"/>
  <c r="AM537" i="13"/>
  <c r="AR537" i="13" s="1"/>
  <c r="AD529" i="13"/>
  <c r="AM529" i="13"/>
  <c r="AR529" i="13" s="1"/>
  <c r="AD333" i="13"/>
  <c r="CD30" i="3" s="1"/>
  <c r="AM333" i="13"/>
  <c r="AR333" i="13" s="1"/>
  <c r="AD530" i="13"/>
  <c r="AM530" i="13"/>
  <c r="AR530" i="13" s="1"/>
  <c r="AD465" i="13"/>
  <c r="AM465" i="13"/>
  <c r="AR465" i="13" s="1"/>
  <c r="AD316" i="13"/>
  <c r="CD13" i="3" s="1"/>
  <c r="AM316" i="13"/>
  <c r="AR316" i="13" s="1"/>
  <c r="AN472" i="13"/>
  <c r="AS472" i="13" s="1"/>
  <c r="AE472" i="13"/>
  <c r="AD543" i="13"/>
  <c r="AM543" i="13"/>
  <c r="AR543" i="13" s="1"/>
  <c r="AD453" i="13"/>
  <c r="AM453" i="13"/>
  <c r="AR453" i="13" s="1"/>
  <c r="AN338" i="13"/>
  <c r="AE338" i="13"/>
  <c r="C338" i="13" s="1"/>
  <c r="AN370" i="13"/>
  <c r="AS370" i="13" s="1"/>
  <c r="AE370" i="13"/>
  <c r="AE515" i="13"/>
  <c r="AN515" i="13"/>
  <c r="AS515" i="13" s="1"/>
  <c r="AM362" i="13"/>
  <c r="AR362" i="13" s="1"/>
  <c r="AD362" i="13"/>
  <c r="AD326" i="13"/>
  <c r="AM326" i="13"/>
  <c r="AR326" i="13" s="1"/>
  <c r="AD568" i="13"/>
  <c r="AM568" i="13"/>
  <c r="AR568" i="13" s="1"/>
  <c r="AD552" i="13"/>
  <c r="AM552" i="13"/>
  <c r="AR552" i="13" s="1"/>
  <c r="AE411" i="13"/>
  <c r="AN411" i="13"/>
  <c r="AS411" i="13" s="1"/>
  <c r="AM431" i="13"/>
  <c r="AR431" i="13" s="1"/>
  <c r="AD431" i="13"/>
  <c r="AM604" i="13"/>
  <c r="AR604" i="13" s="1"/>
  <c r="AD604" i="13"/>
  <c r="AM455" i="13"/>
  <c r="AR455" i="13" s="1"/>
  <c r="AD455" i="13"/>
  <c r="AD609" i="13"/>
  <c r="AM609" i="13"/>
  <c r="AR609" i="13" s="1"/>
  <c r="AE493" i="13"/>
  <c r="AN493" i="13"/>
  <c r="AS493" i="13" s="1"/>
  <c r="AM366" i="13"/>
  <c r="AR366" i="13" s="1"/>
  <c r="AD366" i="13"/>
  <c r="AN361" i="13"/>
  <c r="AS361" i="13" s="1"/>
  <c r="AE361" i="13"/>
  <c r="AE374" i="13"/>
  <c r="AN374" i="13"/>
  <c r="AS374" i="13" s="1"/>
  <c r="AE389" i="13"/>
  <c r="AN389" i="13"/>
  <c r="AS389" i="13" s="1"/>
  <c r="AD501" i="13"/>
  <c r="AM501" i="13"/>
  <c r="AR501" i="13" s="1"/>
  <c r="AN439" i="13"/>
  <c r="AS439" i="13" s="1"/>
  <c r="AE439" i="13"/>
  <c r="AN531" i="13"/>
  <c r="AS531" i="13" s="1"/>
  <c r="AE531" i="13"/>
  <c r="AD540" i="13"/>
  <c r="AM540" i="13"/>
  <c r="AR540" i="13" s="1"/>
  <c r="AD429" i="13"/>
  <c r="AM429" i="13"/>
  <c r="AR429" i="13" s="1"/>
  <c r="AN336" i="13"/>
  <c r="AE336" i="13"/>
  <c r="AM549" i="13"/>
  <c r="AR549" i="13" s="1"/>
  <c r="AD549" i="13"/>
  <c r="AE462" i="13"/>
  <c r="AN462" i="13"/>
  <c r="AS462" i="13" s="1"/>
  <c r="AN566" i="13"/>
  <c r="AS566" i="13" s="1"/>
  <c r="AE566" i="13"/>
  <c r="AN441" i="13"/>
  <c r="AS441" i="13" s="1"/>
  <c r="AE441" i="13"/>
  <c r="AD538" i="13"/>
  <c r="AM538" i="13"/>
  <c r="AR538" i="13" s="1"/>
  <c r="AN423" i="13"/>
  <c r="AS423" i="13" s="1"/>
  <c r="AE423" i="13"/>
  <c r="AD433" i="13"/>
  <c r="AM433" i="13"/>
  <c r="AR433" i="13" s="1"/>
  <c r="AD562" i="13"/>
  <c r="AM562" i="13"/>
  <c r="AR562" i="13" s="1"/>
  <c r="AE409" i="13"/>
  <c r="AN409" i="13"/>
  <c r="AS409" i="13" s="1"/>
  <c r="AN353" i="13"/>
  <c r="AS353" i="13" s="1"/>
  <c r="AE353" i="13"/>
  <c r="AD359" i="13"/>
  <c r="AM359" i="13"/>
  <c r="AR359" i="13" s="1"/>
  <c r="AN603" i="13"/>
  <c r="AS603" i="13" s="1"/>
  <c r="AE603" i="13"/>
  <c r="AD595" i="13"/>
  <c r="AM595" i="13"/>
  <c r="AR595" i="13" s="1"/>
  <c r="AN571" i="13"/>
  <c r="AS571" i="13" s="1"/>
  <c r="AE571" i="13"/>
  <c r="AN537" i="13"/>
  <c r="AS537" i="13" s="1"/>
  <c r="AE537" i="13"/>
  <c r="AD430" i="13"/>
  <c r="AM430" i="13"/>
  <c r="AR430" i="13" s="1"/>
  <c r="AN606" i="13"/>
  <c r="AS606" i="13" s="1"/>
  <c r="AE606" i="13"/>
  <c r="AN487" i="13"/>
  <c r="AS487" i="13" s="1"/>
  <c r="AE487" i="13"/>
  <c r="AE339" i="13"/>
  <c r="AN339" i="13"/>
  <c r="AS339" i="13" s="1"/>
  <c r="AN369" i="13"/>
  <c r="AS369" i="13" s="1"/>
  <c r="AE369" i="13"/>
  <c r="AD345" i="13"/>
  <c r="CD42" i="3" s="1"/>
  <c r="AM345" i="13"/>
  <c r="AR345" i="13" s="1"/>
  <c r="AE437" i="13"/>
  <c r="AN437" i="13"/>
  <c r="AS437" i="13" s="1"/>
  <c r="AN580" i="13"/>
  <c r="AS580" i="13" s="1"/>
  <c r="AE580" i="13"/>
  <c r="AE400" i="13"/>
  <c r="AN400" i="13"/>
  <c r="AS400" i="13" s="1"/>
  <c r="AE532" i="13"/>
  <c r="AN532" i="13"/>
  <c r="AS532" i="13" s="1"/>
  <c r="AE430" i="13"/>
  <c r="AN430" i="13"/>
  <c r="AS430" i="13" s="1"/>
  <c r="AE405" i="13"/>
  <c r="AN405" i="13"/>
  <c r="AS405" i="13" s="1"/>
  <c r="AD323" i="13"/>
  <c r="CD20" i="3" s="1"/>
  <c r="AM323" i="13"/>
  <c r="AR323" i="13" s="1"/>
  <c r="AN329" i="13"/>
  <c r="AS329" i="13" s="1"/>
  <c r="AE329" i="13"/>
  <c r="CE26" i="3" s="1"/>
  <c r="BQ26" i="3" s="1"/>
  <c r="AD346" i="13"/>
  <c r="AM346" i="13"/>
  <c r="AR346" i="13" s="1"/>
  <c r="AD360" i="13"/>
  <c r="AM360" i="13"/>
  <c r="AR360" i="13" s="1"/>
  <c r="AD445" i="13"/>
  <c r="AM445" i="13"/>
  <c r="AR445" i="13" s="1"/>
  <c r="AD587" i="13"/>
  <c r="AM587" i="13"/>
  <c r="AR587" i="13" s="1"/>
  <c r="AD594" i="13"/>
  <c r="AM594" i="13"/>
  <c r="AR594" i="13" s="1"/>
  <c r="AN463" i="13"/>
  <c r="AS463" i="13" s="1"/>
  <c r="AE463" i="13"/>
  <c r="AD447" i="13"/>
  <c r="AM447" i="13"/>
  <c r="AR447" i="13" s="1"/>
  <c r="AD494" i="13"/>
  <c r="AM494" i="13"/>
  <c r="AR494" i="13" s="1"/>
  <c r="A6" i="31"/>
  <c r="C6" i="31" s="1"/>
  <c r="ET11" i="3"/>
  <c r="AM41" i="13"/>
  <c r="AM47" i="13"/>
  <c r="AR47" i="13" s="1"/>
  <c r="AD47" i="13"/>
  <c r="CR44" i="3" s="1"/>
  <c r="AH30" i="13"/>
  <c r="AX9" i="3"/>
  <c r="ES9" i="3"/>
  <c r="ET9" i="3"/>
  <c r="X12" i="13"/>
  <c r="K312" i="13"/>
  <c r="L312" i="13" s="1"/>
  <c r="Q58" i="22"/>
  <c r="X58" i="22" s="1"/>
  <c r="AE58" i="22" s="1"/>
  <c r="AM58" i="22" s="1"/>
  <c r="D59" i="22"/>
  <c r="Y59" i="22"/>
  <c r="AF59" i="22" s="1"/>
  <c r="AN59" i="22" s="1"/>
  <c r="E60" i="22"/>
  <c r="R60" i="22" s="1"/>
  <c r="AA59" i="22"/>
  <c r="AH59" i="22" s="1"/>
  <c r="AP59" i="22" s="1"/>
  <c r="G60" i="22"/>
  <c r="T60" i="22" s="1"/>
  <c r="Z59" i="22"/>
  <c r="AG59" i="22" s="1"/>
  <c r="AO59" i="22" s="1"/>
  <c r="F60" i="22"/>
  <c r="S60" i="22" s="1"/>
  <c r="W59" i="22"/>
  <c r="AD59" i="22" s="1"/>
  <c r="C60" i="22"/>
  <c r="P60" i="22" s="1"/>
  <c r="AL37" i="22"/>
  <c r="DE309" i="3"/>
  <c r="AA1" i="3" s="1"/>
  <c r="BQ20" i="3" l="1"/>
  <c r="W51" i="13"/>
  <c r="X51" i="13"/>
  <c r="AN51" i="13" s="1"/>
  <c r="W52" i="13"/>
  <c r="X52" i="13"/>
  <c r="AN52" i="13" s="1"/>
  <c r="W40" i="13"/>
  <c r="W44" i="13"/>
  <c r="W50" i="13"/>
  <c r="W36" i="13"/>
  <c r="X16" i="13"/>
  <c r="W16" i="13"/>
  <c r="X29" i="13"/>
  <c r="X34" i="13"/>
  <c r="W37" i="13"/>
  <c r="W46" i="13"/>
  <c r="X37" i="13"/>
  <c r="X31" i="13"/>
  <c r="W32" i="13"/>
  <c r="X43" i="13"/>
  <c r="W42" i="13"/>
  <c r="X30" i="13"/>
  <c r="AN30" i="13" s="1"/>
  <c r="X40" i="13"/>
  <c r="X44" i="13"/>
  <c r="AN44" i="13" s="1"/>
  <c r="W45" i="13"/>
  <c r="X36" i="13"/>
  <c r="W33" i="13"/>
  <c r="W39" i="13"/>
  <c r="X32" i="13"/>
  <c r="AN32" i="13" s="1"/>
  <c r="W30" i="13"/>
  <c r="W29" i="13"/>
  <c r="X46" i="13"/>
  <c r="AN46" i="13" s="1"/>
  <c r="X45" i="13"/>
  <c r="X50" i="13"/>
  <c r="X33" i="13"/>
  <c r="W43" i="13"/>
  <c r="W34" i="13"/>
  <c r="W31" i="13"/>
  <c r="X42" i="13"/>
  <c r="AN42" i="13" s="1"/>
  <c r="X39" i="13"/>
  <c r="AN39" i="13" s="1"/>
  <c r="BA26" i="3"/>
  <c r="DH26" i="3"/>
  <c r="D329" i="13"/>
  <c r="CE38" i="3"/>
  <c r="BQ38" i="3" s="1"/>
  <c r="C330" i="13"/>
  <c r="C332" i="13"/>
  <c r="BQ40" i="3"/>
  <c r="BQ42" i="3"/>
  <c r="BQ46" i="3"/>
  <c r="DH46" i="3" s="1"/>
  <c r="BQ30" i="3"/>
  <c r="BQ45" i="3"/>
  <c r="BQ47" i="3"/>
  <c r="BQ13" i="3"/>
  <c r="BQ25" i="3"/>
  <c r="CA25" i="3" s="1"/>
  <c r="BQ21" i="3"/>
  <c r="BA21" i="3" s="1"/>
  <c r="BR21" i="3" s="1"/>
  <c r="BQ24" i="3"/>
  <c r="CA24" i="3" s="1"/>
  <c r="BQ11" i="3"/>
  <c r="W26" i="13"/>
  <c r="X26" i="13"/>
  <c r="W27" i="13"/>
  <c r="X27" i="13"/>
  <c r="X19" i="13"/>
  <c r="X24" i="13"/>
  <c r="W18" i="13"/>
  <c r="W28" i="13"/>
  <c r="X21" i="13"/>
  <c r="X20" i="13"/>
  <c r="W17" i="13"/>
  <c r="X17" i="13"/>
  <c r="X22" i="13"/>
  <c r="W21" i="13"/>
  <c r="W22" i="13"/>
  <c r="X28" i="13"/>
  <c r="X25" i="13"/>
  <c r="X18" i="13"/>
  <c r="X23" i="13"/>
  <c r="W24" i="13"/>
  <c r="W23" i="13"/>
  <c r="W19" i="13"/>
  <c r="W20" i="13"/>
  <c r="W25" i="13"/>
  <c r="W13" i="13"/>
  <c r="W15" i="13"/>
  <c r="X15" i="13"/>
  <c r="X13" i="13"/>
  <c r="X14" i="13"/>
  <c r="W14" i="13"/>
  <c r="W12" i="13"/>
  <c r="M312" i="13"/>
  <c r="BO13" i="22"/>
  <c r="BO14" i="22"/>
  <c r="BO15" i="22"/>
  <c r="BO16" i="22"/>
  <c r="BO11" i="22"/>
  <c r="BO12" i="22"/>
  <c r="BO17" i="22"/>
  <c r="BO18" i="22"/>
  <c r="CW46" i="3"/>
  <c r="CW45" i="3"/>
  <c r="Q59" i="22"/>
  <c r="X59" i="22" s="1"/>
  <c r="AE59" i="22" s="1"/>
  <c r="AM59" i="22" s="1"/>
  <c r="D60" i="22"/>
  <c r="Z60" i="22"/>
  <c r="AG60" i="22" s="1"/>
  <c r="AO60" i="22" s="1"/>
  <c r="F61" i="22"/>
  <c r="S61" i="22" s="1"/>
  <c r="E61" i="22"/>
  <c r="R61" i="22" s="1"/>
  <c r="Y60" i="22"/>
  <c r="AF60" i="22" s="1"/>
  <c r="AN60" i="22" s="1"/>
  <c r="G61" i="22"/>
  <c r="T61" i="22" s="1"/>
  <c r="AA60" i="22"/>
  <c r="AH60" i="22" s="1"/>
  <c r="AP60" i="22" s="1"/>
  <c r="C61" i="22"/>
  <c r="P61" i="22" s="1"/>
  <c r="W60" i="22"/>
  <c r="AD60" i="22" s="1"/>
  <c r="AX309" i="3"/>
  <c r="AY9" i="3"/>
  <c r="Q312" i="13" s="1"/>
  <c r="AL38" i="22"/>
  <c r="AD39" i="13" l="1"/>
  <c r="CR36" i="3" s="1"/>
  <c r="AM39" i="13"/>
  <c r="AR39" i="13" s="1"/>
  <c r="AM46" i="13"/>
  <c r="AR46" i="13" s="1"/>
  <c r="AD46" i="13"/>
  <c r="CR43" i="3" s="1"/>
  <c r="AD44" i="13"/>
  <c r="CR41" i="3" s="1"/>
  <c r="AM44" i="13"/>
  <c r="AR44" i="13" s="1"/>
  <c r="AM30" i="13"/>
  <c r="AR30" i="13" s="1"/>
  <c r="AD30" i="13"/>
  <c r="CR27" i="3" s="1"/>
  <c r="AD42" i="13"/>
  <c r="CR39" i="3" s="1"/>
  <c r="AM42" i="13"/>
  <c r="AR42" i="13" s="1"/>
  <c r="AM52" i="13"/>
  <c r="AR52" i="13" s="1"/>
  <c r="AD52" i="13"/>
  <c r="CR49" i="3" s="1"/>
  <c r="AM32" i="13"/>
  <c r="AR32" i="13" s="1"/>
  <c r="AD32" i="13"/>
  <c r="CR29" i="3" s="1"/>
  <c r="AM51" i="13"/>
  <c r="AR51" i="13" s="1"/>
  <c r="AD51" i="13"/>
  <c r="CR48" i="3" s="1"/>
  <c r="DW26" i="3"/>
  <c r="BR26" i="3"/>
  <c r="AL26" i="3"/>
  <c r="ET25" i="3"/>
  <c r="ES25" i="3"/>
  <c r="ET24" i="3"/>
  <c r="ES24" i="3"/>
  <c r="DH38" i="3"/>
  <c r="D341" i="13"/>
  <c r="BA38" i="3"/>
  <c r="BA46" i="3"/>
  <c r="AL46" i="3" s="1"/>
  <c r="D350" i="13"/>
  <c r="D349" i="13"/>
  <c r="D333" i="13"/>
  <c r="D345" i="13"/>
  <c r="D348" i="13"/>
  <c r="D343" i="13"/>
  <c r="DH30" i="3"/>
  <c r="BA24" i="3"/>
  <c r="AL24" i="3" s="1"/>
  <c r="BZ24" i="3"/>
  <c r="A19" i="31" s="1"/>
  <c r="C19" i="31" s="1"/>
  <c r="BA25" i="3"/>
  <c r="DW25" i="3" s="1"/>
  <c r="BZ25" i="3"/>
  <c r="A20" i="31" s="1"/>
  <c r="C20" i="31" s="1"/>
  <c r="BA42" i="3"/>
  <c r="DW42" i="3" s="1"/>
  <c r="BA40" i="3"/>
  <c r="BA30" i="3"/>
  <c r="BA47" i="3"/>
  <c r="DH47" i="3"/>
  <c r="DH40" i="3"/>
  <c r="DH45" i="3"/>
  <c r="BA45" i="3"/>
  <c r="DW45" i="3" s="1"/>
  <c r="DH42" i="3"/>
  <c r="DW21" i="3"/>
  <c r="AL21" i="3"/>
  <c r="S312" i="13"/>
  <c r="S612" i="13" s="1"/>
  <c r="BP13" i="22"/>
  <c r="BP14" i="22"/>
  <c r="BP18" i="22"/>
  <c r="BP16" i="22"/>
  <c r="BP11" i="22"/>
  <c r="BP12" i="22"/>
  <c r="BP17" i="22"/>
  <c r="BP15" i="22"/>
  <c r="W312" i="13"/>
  <c r="X312" i="13"/>
  <c r="V312" i="13"/>
  <c r="Q60" i="22"/>
  <c r="X60" i="22" s="1"/>
  <c r="AE60" i="22" s="1"/>
  <c r="AM60" i="22" s="1"/>
  <c r="D61" i="22"/>
  <c r="G62" i="22"/>
  <c r="T62" i="22" s="1"/>
  <c r="AA61" i="22"/>
  <c r="AH61" i="22" s="1"/>
  <c r="AP61" i="22" s="1"/>
  <c r="E62" i="22"/>
  <c r="R62" i="22" s="1"/>
  <c r="Y61" i="22"/>
  <c r="AF61" i="22" s="1"/>
  <c r="AN61" i="22" s="1"/>
  <c r="Z61" i="22"/>
  <c r="AG61" i="22" s="1"/>
  <c r="AO61" i="22" s="1"/>
  <c r="F62" i="22"/>
  <c r="S62" i="22" s="1"/>
  <c r="C62" i="22"/>
  <c r="P62" i="22" s="1"/>
  <c r="W61" i="22"/>
  <c r="AD61" i="22" s="1"/>
  <c r="AL39" i="22"/>
  <c r="AG312" i="13"/>
  <c r="BR24" i="3" l="1"/>
  <c r="CW24" i="3" s="1"/>
  <c r="CL24" i="3" s="1"/>
  <c r="BR25" i="3"/>
  <c r="BI25" i="3" s="1"/>
  <c r="BR46" i="3"/>
  <c r="CL46" i="3" s="1"/>
  <c r="DW46" i="3"/>
  <c r="CW26" i="3"/>
  <c r="CL26" i="3" s="1"/>
  <c r="ER26" i="3"/>
  <c r="BI26" i="3"/>
  <c r="BR38" i="3"/>
  <c r="DW38" i="3"/>
  <c r="AL25" i="3"/>
  <c r="DW24" i="3"/>
  <c r="BR47" i="3"/>
  <c r="AL47" i="3"/>
  <c r="BR30" i="3"/>
  <c r="AL30" i="3"/>
  <c r="BR40" i="3"/>
  <c r="AL40" i="3"/>
  <c r="BR42" i="3"/>
  <c r="AL42" i="3"/>
  <c r="BR45" i="3"/>
  <c r="ER45" i="3" s="1"/>
  <c r="AL45" i="3"/>
  <c r="DW30" i="3"/>
  <c r="DW40" i="3"/>
  <c r="DW47" i="3"/>
  <c r="ER24" i="3"/>
  <c r="CJ24" i="3" s="1"/>
  <c r="AE312" i="13"/>
  <c r="AD312" i="13"/>
  <c r="CD9" i="3" s="1"/>
  <c r="CW25" i="3"/>
  <c r="CL25" i="3" s="1"/>
  <c r="ER21" i="3"/>
  <c r="CJ21" i="3" s="1"/>
  <c r="BO21" i="3" s="1"/>
  <c r="CW21" i="3"/>
  <c r="CL21" i="3" s="1"/>
  <c r="BI21" i="3"/>
  <c r="AC312" i="13"/>
  <c r="CC9" i="3" s="1"/>
  <c r="BQ14" i="22"/>
  <c r="BQ13" i="22"/>
  <c r="BQ15" i="22"/>
  <c r="BQ18" i="22"/>
  <c r="BQ16" i="22"/>
  <c r="BQ17" i="22"/>
  <c r="BQ11" i="22"/>
  <c r="BQ12" i="22"/>
  <c r="Q61" i="22"/>
  <c r="X61" i="22" s="1"/>
  <c r="AE61" i="22" s="1"/>
  <c r="AM61" i="22" s="1"/>
  <c r="D62" i="22"/>
  <c r="F63" i="22"/>
  <c r="S63" i="22" s="1"/>
  <c r="Z62" i="22"/>
  <c r="AG62" i="22" s="1"/>
  <c r="AO62" i="22" s="1"/>
  <c r="E63" i="22"/>
  <c r="R63" i="22" s="1"/>
  <c r="Y62" i="22"/>
  <c r="AF62" i="22" s="1"/>
  <c r="AN62" i="22" s="1"/>
  <c r="AA62" i="22"/>
  <c r="AH62" i="22" s="1"/>
  <c r="AP62" i="22" s="1"/>
  <c r="G63" i="22"/>
  <c r="T63" i="22" s="1"/>
  <c r="W62" i="22"/>
  <c r="AD62" i="22" s="1"/>
  <c r="C63" i="22"/>
  <c r="P63" i="22" s="1"/>
  <c r="AL40" i="22"/>
  <c r="ER25" i="3" l="1"/>
  <c r="CJ25" i="3" s="1"/>
  <c r="BO25" i="3" s="1"/>
  <c r="BI24" i="3"/>
  <c r="ER46" i="3"/>
  <c r="CJ46" i="3" s="1"/>
  <c r="BO46" i="3" s="1"/>
  <c r="BV46" i="3" s="1"/>
  <c r="CN46" i="3" s="1"/>
  <c r="BI45" i="3"/>
  <c r="BI46" i="3"/>
  <c r="CJ26" i="3"/>
  <c r="BO26" i="3" s="1"/>
  <c r="EU26" i="3" s="1"/>
  <c r="BI38" i="3"/>
  <c r="ER38" i="3"/>
  <c r="CL38" i="3"/>
  <c r="CW42" i="3"/>
  <c r="CL42" i="3" s="1"/>
  <c r="CW40" i="3"/>
  <c r="CL40" i="3" s="1"/>
  <c r="CW30" i="3"/>
  <c r="CL30" i="3" s="1"/>
  <c r="CW47" i="3"/>
  <c r="CL47" i="3" s="1"/>
  <c r="CL45" i="3"/>
  <c r="BI47" i="3"/>
  <c r="ER40" i="3"/>
  <c r="CJ40" i="3" s="1"/>
  <c r="BO40" i="3" s="1"/>
  <c r="ER30" i="3"/>
  <c r="CJ30" i="3" s="1"/>
  <c r="BO30" i="3" s="1"/>
  <c r="BI40" i="3"/>
  <c r="BI30" i="3"/>
  <c r="BI42" i="3"/>
  <c r="ER47" i="3"/>
  <c r="CJ47" i="3" s="1"/>
  <c r="BO47" i="3" s="1"/>
  <c r="ER42" i="3"/>
  <c r="CJ42" i="3" s="1"/>
  <c r="BO42" i="3" s="1"/>
  <c r="BV21" i="3"/>
  <c r="D324" i="13"/>
  <c r="DH21" i="3"/>
  <c r="CJ45" i="3"/>
  <c r="BO45" i="3" s="1"/>
  <c r="BV45" i="3" s="1"/>
  <c r="BR13" i="22"/>
  <c r="BR14" i="22"/>
  <c r="BR12" i="22"/>
  <c r="BR11" i="22"/>
  <c r="BR15" i="22"/>
  <c r="BR16" i="22"/>
  <c r="BR17" i="22"/>
  <c r="BR18" i="22"/>
  <c r="Q62" i="22"/>
  <c r="X62" i="22" s="1"/>
  <c r="AE62" i="22" s="1"/>
  <c r="AM62" i="22" s="1"/>
  <c r="D63" i="22"/>
  <c r="G64" i="22"/>
  <c r="AA63" i="22"/>
  <c r="AH63" i="22" s="1"/>
  <c r="AP63" i="22" s="1"/>
  <c r="E64" i="22"/>
  <c r="Y63" i="22"/>
  <c r="AF63" i="22" s="1"/>
  <c r="AN63" i="22" s="1"/>
  <c r="F64" i="22"/>
  <c r="Z63" i="22"/>
  <c r="AG63" i="22" s="1"/>
  <c r="AO63" i="22" s="1"/>
  <c r="W63" i="22"/>
  <c r="AD63" i="22" s="1"/>
  <c r="C64" i="22"/>
  <c r="AL41" i="22"/>
  <c r="BP26" i="3" l="1"/>
  <c r="BV26" i="3"/>
  <c r="CO38" i="3"/>
  <c r="CZ38" i="3"/>
  <c r="CJ38" i="3"/>
  <c r="BO38" i="3" s="1"/>
  <c r="BV38" i="3" s="1"/>
  <c r="DD38" i="3" s="1"/>
  <c r="BV47" i="3"/>
  <c r="CN45" i="3"/>
  <c r="DC45" i="3" s="1"/>
  <c r="DD45" i="3" s="1"/>
  <c r="BV30" i="3"/>
  <c r="BV40" i="3"/>
  <c r="BV42" i="3"/>
  <c r="CY42" i="3" s="1"/>
  <c r="BP45" i="3"/>
  <c r="EU45" i="3"/>
  <c r="BP46" i="3"/>
  <c r="EU46" i="3"/>
  <c r="EU40" i="3"/>
  <c r="BP40" i="3"/>
  <c r="EU47" i="3"/>
  <c r="BP47" i="3"/>
  <c r="BP42" i="3"/>
  <c r="EU42" i="3"/>
  <c r="EU25" i="3"/>
  <c r="EU30" i="3"/>
  <c r="EU21" i="3"/>
  <c r="BS14" i="22"/>
  <c r="BS13" i="22"/>
  <c r="BS16" i="22"/>
  <c r="BS17" i="22"/>
  <c r="BS18" i="22"/>
  <c r="BS11" i="22"/>
  <c r="BS12" i="22"/>
  <c r="BS15" i="22"/>
  <c r="BP25" i="3"/>
  <c r="DC46" i="3"/>
  <c r="DD46" i="3" s="1"/>
  <c r="C49" i="13" s="1"/>
  <c r="AV49" i="13"/>
  <c r="CO46" i="3"/>
  <c r="Q63" i="22"/>
  <c r="X63" i="22" s="1"/>
  <c r="AE63" i="22" s="1"/>
  <c r="AM63" i="22" s="1"/>
  <c r="D64" i="22"/>
  <c r="Q64" i="22" s="1"/>
  <c r="X64" i="22" s="1"/>
  <c r="AE64" i="22" s="1"/>
  <c r="S64" i="22"/>
  <c r="Z64" i="22" s="1"/>
  <c r="AG64" i="22" s="1"/>
  <c r="AO64" i="22" s="1"/>
  <c r="R64" i="22"/>
  <c r="Y64" i="22" s="1"/>
  <c r="AF64" i="22" s="1"/>
  <c r="AN64" i="22" s="1"/>
  <c r="T64" i="22"/>
  <c r="AA64" i="22" s="1"/>
  <c r="AH64" i="22" s="1"/>
  <c r="AP64" i="22" s="1"/>
  <c r="P64" i="22"/>
  <c r="W64" i="22" s="1"/>
  <c r="AD64" i="22" s="1"/>
  <c r="V9" i="5"/>
  <c r="AL42" i="22"/>
  <c r="R41" i="13" l="1"/>
  <c r="AD41" i="13" s="1"/>
  <c r="CR38" i="3" s="1"/>
  <c r="CO45" i="3"/>
  <c r="AV48" i="13"/>
  <c r="AM48" i="13" s="1"/>
  <c r="CN30" i="3"/>
  <c r="CO30" i="3" s="1"/>
  <c r="CY26" i="3"/>
  <c r="CN26" i="3"/>
  <c r="C41" i="13"/>
  <c r="C341" i="13"/>
  <c r="BP38" i="3"/>
  <c r="DF38" i="3"/>
  <c r="CV38" i="3"/>
  <c r="EU38" i="3"/>
  <c r="CY40" i="3"/>
  <c r="CN40" i="3"/>
  <c r="CO40" i="3" s="1"/>
  <c r="CY47" i="3"/>
  <c r="CN47" i="3"/>
  <c r="CN42" i="3"/>
  <c r="CO42" i="3" s="1"/>
  <c r="CV46" i="3"/>
  <c r="CV45" i="3"/>
  <c r="BP30" i="3"/>
  <c r="BP21" i="3"/>
  <c r="CN21" i="3"/>
  <c r="AV24" i="13" s="1"/>
  <c r="BT14" i="22"/>
  <c r="BT13" i="22"/>
  <c r="BT15" i="22"/>
  <c r="BT12" i="22"/>
  <c r="BT17" i="22"/>
  <c r="BT16" i="22"/>
  <c r="BT11" i="22"/>
  <c r="BT18" i="22"/>
  <c r="C349" i="13"/>
  <c r="C348" i="13"/>
  <c r="C48" i="13"/>
  <c r="C345" i="13"/>
  <c r="AG49" i="13"/>
  <c r="AK49" i="13"/>
  <c r="AN49" i="13"/>
  <c r="AP49" i="13"/>
  <c r="AL49" i="13"/>
  <c r="AM49" i="13"/>
  <c r="DF46" i="3"/>
  <c r="DJ46" i="3"/>
  <c r="DF45" i="3"/>
  <c r="DJ45" i="3"/>
  <c r="AM64" i="22"/>
  <c r="AL43" i="22"/>
  <c r="CZ30" i="3" l="1"/>
  <c r="R33" i="13"/>
  <c r="AD33" i="13" s="1"/>
  <c r="CR30" i="3" s="1"/>
  <c r="AH41" i="13"/>
  <c r="AR41" i="13" s="1"/>
  <c r="AK48" i="13"/>
  <c r="AV33" i="13"/>
  <c r="AG33" i="13" s="1"/>
  <c r="AG48" i="13"/>
  <c r="AL48" i="13"/>
  <c r="AP48" i="13"/>
  <c r="AN48" i="13"/>
  <c r="DC30" i="3"/>
  <c r="DC26" i="3"/>
  <c r="AV29" i="13"/>
  <c r="CO26" i="3"/>
  <c r="CX38" i="3"/>
  <c r="CY38" i="3" s="1"/>
  <c r="DA38" i="3" s="1"/>
  <c r="EL38" i="3" s="1"/>
  <c r="D41" i="13"/>
  <c r="AV50" i="13"/>
  <c r="DC47" i="3"/>
  <c r="DD47" i="3" s="1"/>
  <c r="C50" i="13" s="1"/>
  <c r="CO47" i="3"/>
  <c r="R50" i="13" s="1"/>
  <c r="AD50" i="13" s="1"/>
  <c r="CR47" i="3" s="1"/>
  <c r="DC40" i="3"/>
  <c r="DD40" i="3" s="1"/>
  <c r="C43" i="13" s="1"/>
  <c r="AV43" i="13"/>
  <c r="DC42" i="3"/>
  <c r="DD42" i="3" s="1"/>
  <c r="C45" i="13" s="1"/>
  <c r="AV45" i="13"/>
  <c r="CO21" i="3"/>
  <c r="R24" i="13" s="1"/>
  <c r="AD24" i="13" s="1"/>
  <c r="AP24" i="13"/>
  <c r="AG24" i="13"/>
  <c r="AL24" i="13"/>
  <c r="AK24" i="13"/>
  <c r="AN24" i="13"/>
  <c r="AM24" i="13"/>
  <c r="BU13" i="22"/>
  <c r="BU14" i="22"/>
  <c r="BU12" i="22"/>
  <c r="BU17" i="22"/>
  <c r="BU16" i="22"/>
  <c r="BU11" i="22"/>
  <c r="BU18" i="22"/>
  <c r="BU15" i="22"/>
  <c r="C343" i="13"/>
  <c r="C350" i="13"/>
  <c r="CX46" i="3"/>
  <c r="D49" i="13"/>
  <c r="CX45" i="3"/>
  <c r="D48" i="13"/>
  <c r="AG9" i="5"/>
  <c r="L9" i="5" s="1"/>
  <c r="AL44" i="22"/>
  <c r="AI315" i="13"/>
  <c r="CE12" i="3"/>
  <c r="BQ12" i="3" s="1"/>
  <c r="AH50" i="13" l="1"/>
  <c r="DD26" i="3"/>
  <c r="C329" i="13" s="1"/>
  <c r="R29" i="13"/>
  <c r="AD29" i="13" s="1"/>
  <c r="CR26" i="3" s="1"/>
  <c r="AK33" i="13"/>
  <c r="AN33" i="13"/>
  <c r="AL33" i="13"/>
  <c r="AP33" i="13"/>
  <c r="DF30" i="3"/>
  <c r="CY30" i="3" s="1"/>
  <c r="DD30" i="3"/>
  <c r="AH33" i="13"/>
  <c r="AM33" i="13"/>
  <c r="CV30" i="3"/>
  <c r="CX30" i="3" s="1"/>
  <c r="DA30" i="3" s="1"/>
  <c r="CG30" i="3" s="1"/>
  <c r="DJ30" i="3"/>
  <c r="AP29" i="13"/>
  <c r="AL29" i="13"/>
  <c r="AK29" i="13"/>
  <c r="AG29" i="13"/>
  <c r="AN29" i="13"/>
  <c r="AM29" i="13"/>
  <c r="DF26" i="3"/>
  <c r="DJ26" i="3"/>
  <c r="CV26" i="3"/>
  <c r="CG38" i="3"/>
  <c r="AN50" i="13"/>
  <c r="AL50" i="13"/>
  <c r="AP50" i="13"/>
  <c r="AM50" i="13"/>
  <c r="AG50" i="13"/>
  <c r="AK50" i="13"/>
  <c r="DJ42" i="3"/>
  <c r="DF42" i="3"/>
  <c r="CV42" i="3"/>
  <c r="AM45" i="13"/>
  <c r="AP45" i="13"/>
  <c r="AK45" i="13"/>
  <c r="AG45" i="13"/>
  <c r="AN45" i="13"/>
  <c r="AL45" i="13"/>
  <c r="AL43" i="13"/>
  <c r="AG43" i="13"/>
  <c r="AN43" i="13"/>
  <c r="AP43" i="13"/>
  <c r="AM43" i="13"/>
  <c r="AK43" i="13"/>
  <c r="CV40" i="3"/>
  <c r="DF40" i="3"/>
  <c r="DJ40" i="3"/>
  <c r="CV47" i="3"/>
  <c r="DF47" i="3"/>
  <c r="DJ47" i="3"/>
  <c r="CY45" i="3"/>
  <c r="DA45" i="3" s="1"/>
  <c r="CG45" i="3" s="1"/>
  <c r="R48" i="13"/>
  <c r="CY46" i="3"/>
  <c r="DA46" i="3" s="1"/>
  <c r="EL46" i="3" s="1"/>
  <c r="R49" i="13"/>
  <c r="BV13" i="22"/>
  <c r="BV14" i="22"/>
  <c r="BV11" i="22"/>
  <c r="BV17" i="22"/>
  <c r="BV15" i="22"/>
  <c r="BV12" i="22"/>
  <c r="BV16" i="22"/>
  <c r="BV18" i="22"/>
  <c r="AL45" i="22"/>
  <c r="AS315" i="13"/>
  <c r="AQ315" i="13"/>
  <c r="C29" i="13" l="1"/>
  <c r="AH29" i="13"/>
  <c r="AR29" i="13" s="1"/>
  <c r="AR33" i="13"/>
  <c r="C333" i="13"/>
  <c r="C33" i="13"/>
  <c r="D33" i="13"/>
  <c r="AR50" i="13"/>
  <c r="D29" i="13"/>
  <c r="CX26" i="3"/>
  <c r="DA26" i="3" s="1"/>
  <c r="EL30" i="3"/>
  <c r="DA40" i="3"/>
  <c r="CG40" i="3" s="1"/>
  <c r="CX40" i="3"/>
  <c r="R43" i="13" s="1"/>
  <c r="D43" i="13"/>
  <c r="DA47" i="3"/>
  <c r="EL47" i="3" s="1"/>
  <c r="CX47" i="3"/>
  <c r="D50" i="13"/>
  <c r="DA42" i="3"/>
  <c r="CG42" i="3" s="1"/>
  <c r="CX42" i="3"/>
  <c r="R45" i="13" s="1"/>
  <c r="D45" i="13"/>
  <c r="EL45" i="3"/>
  <c r="AH49" i="13"/>
  <c r="AR49" i="13" s="1"/>
  <c r="AD49" i="13"/>
  <c r="CR46" i="3" s="1"/>
  <c r="CG46" i="3"/>
  <c r="AH48" i="13"/>
  <c r="AR48" i="13" s="1"/>
  <c r="AD48" i="13"/>
  <c r="CR45" i="3" s="1"/>
  <c r="BW13" i="22"/>
  <c r="BW14" i="22"/>
  <c r="BW18" i="22"/>
  <c r="BW17" i="22"/>
  <c r="BW11" i="22"/>
  <c r="BW16" i="22"/>
  <c r="BW12" i="22"/>
  <c r="BW15" i="22"/>
  <c r="AL46" i="22"/>
  <c r="EL42" i="3" l="1"/>
  <c r="AD43" i="13"/>
  <c r="CR40" i="3" s="1"/>
  <c r="AH43" i="13"/>
  <c r="AR43" i="13" s="1"/>
  <c r="EL40" i="3"/>
  <c r="AD45" i="13"/>
  <c r="CR42" i="3" s="1"/>
  <c r="AH45" i="13"/>
  <c r="AR45" i="13" s="1"/>
  <c r="CG47" i="3"/>
  <c r="BX14" i="22"/>
  <c r="BX13" i="22"/>
  <c r="BX17" i="22"/>
  <c r="BX11" i="22"/>
  <c r="BX15" i="22"/>
  <c r="BX18" i="22"/>
  <c r="BX16" i="22"/>
  <c r="BX12" i="22"/>
  <c r="AI336" i="13"/>
  <c r="AL47" i="22"/>
  <c r="BY14" i="22" l="1"/>
  <c r="BY13" i="22"/>
  <c r="BY17" i="22"/>
  <c r="BY16" i="22"/>
  <c r="BY11" i="22"/>
  <c r="BY18" i="22"/>
  <c r="BY12" i="22"/>
  <c r="BY15" i="22"/>
  <c r="CE31" i="3"/>
  <c r="BQ31" i="3" s="1"/>
  <c r="AI334" i="13"/>
  <c r="AQ334" i="13" s="1"/>
  <c r="AI337" i="13"/>
  <c r="AQ336" i="13"/>
  <c r="AS336" i="13"/>
  <c r="AI335" i="13"/>
  <c r="CE32" i="3"/>
  <c r="BQ32" i="3" s="1"/>
  <c r="AL48" i="22"/>
  <c r="AO209" i="13"/>
  <c r="D335" i="13" l="1"/>
  <c r="BA32" i="3"/>
  <c r="AL32" i="3" s="1"/>
  <c r="DH32" i="3"/>
  <c r="DH31" i="3"/>
  <c r="D334" i="13"/>
  <c r="BA31" i="3"/>
  <c r="AL31" i="3" s="1"/>
  <c r="BZ13" i="22"/>
  <c r="BZ14" i="22"/>
  <c r="BZ12" i="22"/>
  <c r="BZ11" i="22"/>
  <c r="BZ16" i="22"/>
  <c r="BZ15" i="22"/>
  <c r="BZ17" i="22"/>
  <c r="BZ18" i="22"/>
  <c r="AO219" i="13"/>
  <c r="AO205" i="13"/>
  <c r="AO221" i="13"/>
  <c r="AS334" i="13"/>
  <c r="CE33" i="3"/>
  <c r="BQ33" i="3" s="1"/>
  <c r="CE34" i="3"/>
  <c r="BQ34" i="3" s="1"/>
  <c r="AO92" i="13"/>
  <c r="AO93" i="13"/>
  <c r="AO91" i="13"/>
  <c r="AO90" i="13"/>
  <c r="AO89" i="13"/>
  <c r="AO88" i="13"/>
  <c r="AO87" i="13"/>
  <c r="AS337" i="13"/>
  <c r="AQ337" i="13"/>
  <c r="AS335" i="13"/>
  <c r="AQ335" i="13"/>
  <c r="AL49" i="22"/>
  <c r="AO311" i="13"/>
  <c r="AO307" i="13"/>
  <c r="AO303" i="13"/>
  <c r="AO305" i="13"/>
  <c r="AO310" i="13"/>
  <c r="AO308" i="13"/>
  <c r="AO306" i="13"/>
  <c r="AO304" i="13"/>
  <c r="AO309" i="13"/>
  <c r="AO274" i="13"/>
  <c r="AO295" i="13"/>
  <c r="AO282" i="13"/>
  <c r="AO292" i="13"/>
  <c r="AO285" i="13"/>
  <c r="AO276" i="13"/>
  <c r="AO289" i="13"/>
  <c r="AO283" i="13"/>
  <c r="AO296" i="13"/>
  <c r="AO280" i="13"/>
  <c r="AO271" i="13"/>
  <c r="AO273" i="13"/>
  <c r="AO298" i="13"/>
  <c r="AO294" i="13"/>
  <c r="AO302" i="13"/>
  <c r="AO297" i="13"/>
  <c r="AO291" i="13"/>
  <c r="AO293" i="13"/>
  <c r="AO288" i="13"/>
  <c r="AO272" i="13"/>
  <c r="AO290" i="13"/>
  <c r="AO279" i="13"/>
  <c r="AO277" i="13"/>
  <c r="AO287" i="13"/>
  <c r="AO286" i="13"/>
  <c r="AO300" i="13"/>
  <c r="AO299" i="13"/>
  <c r="AO284" i="13"/>
  <c r="AO281" i="13"/>
  <c r="AO278" i="13"/>
  <c r="AO301" i="13"/>
  <c r="AO275" i="13"/>
  <c r="AO263" i="13"/>
  <c r="AO257" i="13"/>
  <c r="AO256" i="13"/>
  <c r="AO268" i="13"/>
  <c r="AO260" i="13"/>
  <c r="AO266" i="13"/>
  <c r="AO262" i="13"/>
  <c r="AO265" i="13"/>
  <c r="AO269" i="13"/>
  <c r="AO255" i="13"/>
  <c r="AO259" i="13"/>
  <c r="AO267" i="13"/>
  <c r="AO270" i="13"/>
  <c r="AO258" i="13"/>
  <c r="AO261" i="13"/>
  <c r="AO264" i="13"/>
  <c r="AO253" i="13"/>
  <c r="AO254" i="13"/>
  <c r="AO252" i="13"/>
  <c r="AO251" i="13"/>
  <c r="AO250" i="13"/>
  <c r="AO249" i="13"/>
  <c r="AO248" i="13"/>
  <c r="AO247" i="13"/>
  <c r="AO245" i="13"/>
  <c r="AO246" i="13"/>
  <c r="AO244" i="13"/>
  <c r="AO243" i="13"/>
  <c r="AO241" i="13"/>
  <c r="AO242" i="13"/>
  <c r="AO239" i="13"/>
  <c r="AO240" i="13"/>
  <c r="AO238" i="13"/>
  <c r="AO234" i="13"/>
  <c r="AO233" i="13"/>
  <c r="AO236" i="13"/>
  <c r="AO237" i="13"/>
  <c r="AO235" i="13"/>
  <c r="AO228" i="13"/>
  <c r="AO227" i="13"/>
  <c r="AO231" i="13"/>
  <c r="AO229" i="13"/>
  <c r="AO230" i="13"/>
  <c r="AO232" i="13"/>
  <c r="AO225" i="13"/>
  <c r="AO226" i="13"/>
  <c r="AO224" i="13"/>
  <c r="AO223" i="13"/>
  <c r="AO222" i="13"/>
  <c r="AO220" i="13"/>
  <c r="AO214" i="13"/>
  <c r="AO213" i="13"/>
  <c r="AO212" i="13"/>
  <c r="AO211" i="13"/>
  <c r="AO210" i="13"/>
  <c r="AO207" i="13"/>
  <c r="AO208" i="13"/>
  <c r="AO206" i="13"/>
  <c r="BR31" i="3" l="1"/>
  <c r="DW31" i="3"/>
  <c r="DH34" i="3"/>
  <c r="D337" i="13"/>
  <c r="BA34" i="3"/>
  <c r="AL34" i="3" s="1"/>
  <c r="BA33" i="3"/>
  <c r="AL33" i="3" s="1"/>
  <c r="DH33" i="3"/>
  <c r="D336" i="13"/>
  <c r="BR32" i="3"/>
  <c r="DW32" i="3"/>
  <c r="CA13" i="22"/>
  <c r="CA14" i="22"/>
  <c r="CA15" i="22"/>
  <c r="CA12" i="22"/>
  <c r="CA17" i="22"/>
  <c r="CA18" i="22"/>
  <c r="CA16" i="22"/>
  <c r="CA11" i="22"/>
  <c r="AL50" i="22"/>
  <c r="CL32" i="3" l="1"/>
  <c r="CW31" i="3"/>
  <c r="CL31" i="3" s="1"/>
  <c r="ER32" i="3"/>
  <c r="BI32" i="3"/>
  <c r="BR33" i="3"/>
  <c r="DW33" i="3"/>
  <c r="DW34" i="3"/>
  <c r="BR34" i="3"/>
  <c r="ER31" i="3"/>
  <c r="BI31" i="3"/>
  <c r="CB13" i="22"/>
  <c r="CB14" i="22"/>
  <c r="CB15" i="22"/>
  <c r="CB11" i="22"/>
  <c r="CB16" i="22"/>
  <c r="CB18" i="22"/>
  <c r="CB17" i="22"/>
  <c r="CB12" i="22"/>
  <c r="C336" i="13"/>
  <c r="AL51" i="22"/>
  <c r="CW34" i="3" l="1"/>
  <c r="CL34" i="3" s="1"/>
  <c r="CW33" i="3"/>
  <c r="CL33" i="3" s="1"/>
  <c r="CJ31" i="3"/>
  <c r="BI34" i="3"/>
  <c r="ER34" i="3"/>
  <c r="BI33" i="3"/>
  <c r="ER33" i="3"/>
  <c r="CJ32" i="3"/>
  <c r="BO32" i="3" s="1"/>
  <c r="BV32" i="3" s="1"/>
  <c r="CC13" i="22"/>
  <c r="CC14" i="22"/>
  <c r="CC16" i="22"/>
  <c r="CC18" i="22"/>
  <c r="CC15" i="22"/>
  <c r="CC17" i="22"/>
  <c r="CC11" i="22"/>
  <c r="CC12" i="22"/>
  <c r="AL52" i="22"/>
  <c r="CY32" i="3" l="1"/>
  <c r="CN32" i="3"/>
  <c r="BO31" i="3"/>
  <c r="EU32" i="3"/>
  <c r="BP32" i="3"/>
  <c r="CJ33" i="3"/>
  <c r="CJ34" i="3"/>
  <c r="CD13" i="22"/>
  <c r="CD14" i="22"/>
  <c r="CD11" i="22"/>
  <c r="CD16" i="22"/>
  <c r="CD18" i="22"/>
  <c r="CD17" i="22"/>
  <c r="CD15" i="22"/>
  <c r="CD12" i="22"/>
  <c r="C337" i="13"/>
  <c r="AL53" i="22"/>
  <c r="AV35" i="13" l="1"/>
  <c r="DC32" i="3"/>
  <c r="CZ32" i="3"/>
  <c r="CO32" i="3"/>
  <c r="R35" i="13" s="1"/>
  <c r="AD35" i="13" s="1"/>
  <c r="CR32" i="3" s="1"/>
  <c r="BP31" i="3"/>
  <c r="BV31" i="3"/>
  <c r="BO33" i="3"/>
  <c r="BV33" i="3" s="1"/>
  <c r="BO34" i="3"/>
  <c r="EU31" i="3"/>
  <c r="CE13" i="22"/>
  <c r="CE14" i="22"/>
  <c r="CE15" i="22"/>
  <c r="CE11" i="22"/>
  <c r="CE12" i="22"/>
  <c r="CE16" i="22"/>
  <c r="CE18" i="22"/>
  <c r="CE17" i="22"/>
  <c r="AL54" i="22"/>
  <c r="DD32" i="3" l="1"/>
  <c r="C35" i="13" s="1"/>
  <c r="DJ32" i="3"/>
  <c r="CV32" i="3"/>
  <c r="DF32" i="3"/>
  <c r="AG35" i="13"/>
  <c r="AK35" i="13"/>
  <c r="AP35" i="13"/>
  <c r="AL35" i="13"/>
  <c r="AH35" i="13"/>
  <c r="AN35" i="13"/>
  <c r="AM35" i="13"/>
  <c r="BP33" i="3"/>
  <c r="CY31" i="3"/>
  <c r="CN31" i="3"/>
  <c r="CY33" i="3"/>
  <c r="CN33" i="3"/>
  <c r="EU33" i="3"/>
  <c r="BV34" i="3"/>
  <c r="EU34" i="3"/>
  <c r="BP34" i="3"/>
  <c r="CF14" i="22"/>
  <c r="CF13" i="22"/>
  <c r="CF12" i="22"/>
  <c r="CF11" i="22"/>
  <c r="CF17" i="22"/>
  <c r="CF16" i="22"/>
  <c r="CF18" i="22"/>
  <c r="CF15" i="22"/>
  <c r="AL55" i="22"/>
  <c r="AR35" i="13" l="1"/>
  <c r="CX32" i="3"/>
  <c r="DA32" i="3" s="1"/>
  <c r="EL32" i="3" s="1"/>
  <c r="D35" i="13"/>
  <c r="CO33" i="3"/>
  <c r="R36" i="13" s="1"/>
  <c r="AD36" i="13" s="1"/>
  <c r="CR33" i="3" s="1"/>
  <c r="AV36" i="13"/>
  <c r="DC33" i="3"/>
  <c r="DD33" i="3" s="1"/>
  <c r="C36" i="13" s="1"/>
  <c r="CZ33" i="3"/>
  <c r="CO31" i="3"/>
  <c r="R34" i="13" s="1"/>
  <c r="AD34" i="13" s="1"/>
  <c r="CR31" i="3" s="1"/>
  <c r="AV34" i="13"/>
  <c r="DC31" i="3"/>
  <c r="DD31" i="3" s="1"/>
  <c r="C34" i="13" s="1"/>
  <c r="CZ31" i="3"/>
  <c r="CY34" i="3"/>
  <c r="CN34" i="3"/>
  <c r="CG14" i="22"/>
  <c r="CG13" i="22"/>
  <c r="CG12" i="22"/>
  <c r="CG15" i="22"/>
  <c r="CG11" i="22"/>
  <c r="CG17" i="22"/>
  <c r="CG16" i="22"/>
  <c r="CG18" i="22"/>
  <c r="AL56" i="22"/>
  <c r="CG32" i="3" l="1"/>
  <c r="AK34" i="13"/>
  <c r="AL34" i="13"/>
  <c r="AG34" i="13"/>
  <c r="AP34" i="13"/>
  <c r="AN34" i="13"/>
  <c r="AM34" i="13"/>
  <c r="AH34" i="13"/>
  <c r="DJ33" i="3"/>
  <c r="DF33" i="3"/>
  <c r="CV33" i="3"/>
  <c r="AP36" i="13"/>
  <c r="AK36" i="13"/>
  <c r="AN36" i="13"/>
  <c r="AH36" i="13"/>
  <c r="AM36" i="13"/>
  <c r="AG36" i="13"/>
  <c r="AL36" i="13"/>
  <c r="DJ31" i="3"/>
  <c r="DF31" i="3"/>
  <c r="CV31" i="3"/>
  <c r="DC34" i="3"/>
  <c r="DD34" i="3" s="1"/>
  <c r="C37" i="13" s="1"/>
  <c r="AV37" i="13"/>
  <c r="CO34" i="3"/>
  <c r="R37" i="13" s="1"/>
  <c r="AD37" i="13" s="1"/>
  <c r="CR34" i="3" s="1"/>
  <c r="CZ34" i="3"/>
  <c r="CH13" i="22"/>
  <c r="CH14" i="22"/>
  <c r="CH18" i="22"/>
  <c r="CH11" i="22"/>
  <c r="CH15" i="22"/>
  <c r="CH17" i="22"/>
  <c r="CH16" i="22"/>
  <c r="CH12" i="22"/>
  <c r="AL57" i="22"/>
  <c r="AR36" i="13" l="1"/>
  <c r="AR34" i="13"/>
  <c r="AM37" i="13"/>
  <c r="AN37" i="13"/>
  <c r="AL37" i="13"/>
  <c r="AK37" i="13"/>
  <c r="AP37" i="13"/>
  <c r="AG37" i="13"/>
  <c r="AH37" i="13"/>
  <c r="D34" i="13"/>
  <c r="CX31" i="3"/>
  <c r="DA31" i="3" s="1"/>
  <c r="CG31" i="3" s="1"/>
  <c r="DJ34" i="3"/>
  <c r="DF34" i="3"/>
  <c r="CV34" i="3"/>
  <c r="DA33" i="3"/>
  <c r="CG33" i="3" s="1"/>
  <c r="CX33" i="3"/>
  <c r="D36" i="13"/>
  <c r="CI13" i="22"/>
  <c r="CI14" i="22"/>
  <c r="CI12" i="22"/>
  <c r="CI16" i="22"/>
  <c r="CI11" i="22"/>
  <c r="CI18" i="22"/>
  <c r="CI15" i="22"/>
  <c r="CI17" i="22"/>
  <c r="AL58" i="22"/>
  <c r="AR37" i="13" l="1"/>
  <c r="D37" i="13"/>
  <c r="CX34" i="3"/>
  <c r="DA34" i="3" s="1"/>
  <c r="CG34" i="3" s="1"/>
  <c r="EL31" i="3"/>
  <c r="EL33" i="3"/>
  <c r="CJ13" i="22"/>
  <c r="CJ14" i="22"/>
  <c r="CJ11" i="22"/>
  <c r="CJ12" i="22"/>
  <c r="CJ15" i="22"/>
  <c r="CJ18" i="22"/>
  <c r="CJ16" i="22"/>
  <c r="CJ17" i="22"/>
  <c r="AL59" i="22"/>
  <c r="EL34" i="3" l="1"/>
  <c r="CK14" i="22"/>
  <c r="CK13" i="22"/>
  <c r="CK18" i="22"/>
  <c r="CK16" i="22"/>
  <c r="CK15" i="22"/>
  <c r="CK12" i="22"/>
  <c r="CK17" i="22"/>
  <c r="CK11" i="22"/>
  <c r="AL60" i="22"/>
  <c r="CL13" i="22" l="1"/>
  <c r="CL14" i="22"/>
  <c r="CL12" i="22"/>
  <c r="CL11" i="22"/>
  <c r="CL16" i="22"/>
  <c r="CL17" i="22"/>
  <c r="CL15" i="22"/>
  <c r="CL18" i="22"/>
  <c r="AL61" i="22"/>
  <c r="CM13" i="22" l="1"/>
  <c r="CM14" i="22"/>
  <c r="CM18" i="22"/>
  <c r="CM17" i="22"/>
  <c r="CM15" i="22"/>
  <c r="CM16" i="22"/>
  <c r="CM11" i="22"/>
  <c r="CM12" i="22"/>
  <c r="AL62" i="22"/>
  <c r="CN14" i="22" l="1"/>
  <c r="CN13" i="22"/>
  <c r="CN12" i="22"/>
  <c r="CN11" i="22"/>
  <c r="CN15" i="22"/>
  <c r="CN18" i="22"/>
  <c r="CN16" i="22"/>
  <c r="CN17" i="22"/>
  <c r="AL63" i="22"/>
  <c r="CO14" i="22" l="1"/>
  <c r="CO13" i="22"/>
  <c r="CO16" i="22"/>
  <c r="CO17" i="22"/>
  <c r="CO11" i="22"/>
  <c r="CO18" i="22"/>
  <c r="CO15" i="22"/>
  <c r="CO12" i="22"/>
  <c r="CQ16" i="22"/>
  <c r="CQ15" i="22"/>
  <c r="CQ17" i="22"/>
  <c r="CQ12" i="22"/>
  <c r="CQ18" i="22"/>
  <c r="CQ11" i="22"/>
  <c r="AL64" i="22"/>
  <c r="CP14" i="22" l="1"/>
  <c r="CP13" i="22"/>
  <c r="CP11" i="22"/>
  <c r="CP18" i="22"/>
  <c r="CP12" i="22"/>
  <c r="CP17" i="22"/>
  <c r="CP15" i="22"/>
  <c r="CP16" i="22"/>
  <c r="CR15" i="22"/>
  <c r="CR16" i="22"/>
  <c r="CR11" i="22"/>
  <c r="CR12" i="22"/>
  <c r="CR17" i="22"/>
  <c r="CR18" i="22"/>
  <c r="V10" i="5"/>
  <c r="AG10" i="5"/>
  <c r="L10" i="5" s="1"/>
  <c r="AI313" i="13" l="1"/>
  <c r="CD10" i="3"/>
  <c r="AG313" i="13"/>
  <c r="BZ10" i="3" l="1"/>
  <c r="BY10" i="3"/>
  <c r="CE10" i="3"/>
  <c r="BQ10" i="3" s="1"/>
  <c r="AM313" i="13"/>
  <c r="AL313" i="13"/>
  <c r="AN313" i="13"/>
  <c r="AS313" i="13" l="1"/>
  <c r="AR313" i="13"/>
  <c r="AQ313" i="13"/>
  <c r="V11" i="5" l="1"/>
  <c r="AG13" i="5"/>
  <c r="L13" i="5" s="1"/>
  <c r="AG16" i="5"/>
  <c r="L16" i="5" s="1"/>
  <c r="V16" i="5"/>
  <c r="AG17" i="5"/>
  <c r="L17" i="5" s="1"/>
  <c r="AG11" i="5"/>
  <c r="L11" i="5" s="1"/>
  <c r="V12" i="5"/>
  <c r="AG12" i="5"/>
  <c r="V17" i="5"/>
  <c r="V19" i="5"/>
  <c r="AG19" i="5"/>
  <c r="L19" i="5" s="1"/>
  <c r="V13" i="5"/>
  <c r="V18" i="5"/>
  <c r="AG18" i="5"/>
  <c r="L18" i="5" s="1"/>
  <c r="BA12" i="3" l="1"/>
  <c r="L12" i="5"/>
  <c r="AG409" i="5"/>
  <c r="DW12" i="3" l="1"/>
  <c r="BR12" i="3"/>
  <c r="AL12" i="3"/>
  <c r="CW12" i="3" l="1"/>
  <c r="CL12" i="3" s="1"/>
  <c r="ER12" i="3"/>
  <c r="CJ12" i="3" s="1"/>
  <c r="BI12" i="3"/>
  <c r="AO86" i="13" l="1"/>
  <c r="AH24" i="13" l="1"/>
  <c r="CR21" i="3"/>
  <c r="DC21" i="3" s="1"/>
  <c r="CV21" i="3" s="1"/>
  <c r="DD21" i="3" l="1"/>
  <c r="DF21" i="3"/>
  <c r="CY21" i="3" s="1"/>
  <c r="DJ21" i="3"/>
  <c r="AR24" i="13"/>
  <c r="C24" i="13" l="1"/>
  <c r="C324" i="13"/>
  <c r="CX21" i="3"/>
  <c r="D24" i="13"/>
  <c r="AL312" i="13"/>
  <c r="AH312" i="13" l="1"/>
  <c r="AN312" i="13"/>
  <c r="AM312" i="13"/>
  <c r="BY9" i="3" l="1"/>
  <c r="AR312" i="13"/>
  <c r="CW9" i="3" l="1"/>
  <c r="A4" i="31"/>
  <c r="C4" i="31" s="1"/>
  <c r="AO73" i="13"/>
  <c r="AO57" i="13"/>
  <c r="AO69" i="13"/>
  <c r="AO74" i="13"/>
  <c r="AO51" i="13"/>
  <c r="AO67" i="13"/>
  <c r="AO76" i="13"/>
  <c r="AO68" i="13"/>
  <c r="AO83" i="13"/>
  <c r="AO71" i="13"/>
  <c r="AO59" i="13"/>
  <c r="AO53" i="13"/>
  <c r="AO79" i="13"/>
  <c r="AO55" i="13"/>
  <c r="AO80" i="13"/>
  <c r="AO62" i="13"/>
  <c r="AO58" i="13"/>
  <c r="AO70" i="13"/>
  <c r="AO54" i="13"/>
  <c r="AO75" i="13"/>
  <c r="AO63" i="13"/>
  <c r="AO60" i="13"/>
  <c r="AO85" i="13"/>
  <c r="AO56" i="13"/>
  <c r="AO77" i="13"/>
  <c r="AO81" i="13"/>
  <c r="AO82" i="13"/>
  <c r="AO72" i="13"/>
  <c r="AO61" i="13"/>
  <c r="AO66" i="13"/>
  <c r="AO64" i="13"/>
  <c r="AO78" i="13"/>
  <c r="AO65" i="13"/>
  <c r="AO52" i="13"/>
  <c r="AO84" i="13"/>
  <c r="AJ511" i="13"/>
  <c r="AJ289" i="13"/>
  <c r="AJ357" i="13"/>
  <c r="AJ252" i="13"/>
  <c r="AJ538" i="13"/>
  <c r="AJ488" i="13"/>
  <c r="AJ287" i="13"/>
  <c r="AJ549" i="13"/>
  <c r="AJ529" i="13"/>
  <c r="AJ557" i="13"/>
  <c r="AJ565" i="13"/>
  <c r="AJ492" i="13"/>
  <c r="AJ269" i="13"/>
  <c r="AJ533" i="13"/>
  <c r="AJ553" i="13"/>
  <c r="AJ536" i="13"/>
  <c r="AJ419" i="13"/>
  <c r="AJ556" i="13"/>
  <c r="AJ500" i="13"/>
  <c r="AJ223" i="13"/>
  <c r="AJ483" i="13"/>
  <c r="AJ297" i="13"/>
  <c r="AJ611" i="13"/>
  <c r="AJ359" i="13"/>
  <c r="AJ583" i="13"/>
  <c r="AJ402" i="13"/>
  <c r="AJ496" i="13"/>
  <c r="AJ232" i="13"/>
  <c r="AJ412" i="13"/>
  <c r="AJ307" i="13"/>
  <c r="AJ444" i="13"/>
  <c r="AJ539" i="13"/>
  <c r="AJ326" i="13"/>
  <c r="AJ275" i="13"/>
  <c r="AJ569" i="13"/>
  <c r="AJ327" i="13"/>
  <c r="AJ356" i="13"/>
  <c r="AJ301" i="13"/>
  <c r="AJ374" i="13"/>
  <c r="AJ253" i="13"/>
  <c r="AJ396" i="13"/>
  <c r="AJ441" i="13"/>
  <c r="AJ380" i="13"/>
  <c r="AJ508" i="13"/>
  <c r="AJ427" i="13"/>
  <c r="AJ257" i="13"/>
  <c r="AJ482" i="13"/>
  <c r="AJ516" i="13"/>
  <c r="AJ314" i="13"/>
  <c r="AJ415" i="13"/>
  <c r="AJ306" i="13"/>
  <c r="AJ604" i="13"/>
  <c r="AJ368" i="13"/>
  <c r="AJ395" i="13"/>
  <c r="AJ210" i="13"/>
  <c r="AJ466" i="13"/>
  <c r="AJ525" i="13"/>
  <c r="AJ580" i="13"/>
  <c r="AJ243" i="13"/>
  <c r="AJ454" i="13"/>
  <c r="AJ568" i="13"/>
  <c r="AJ349" i="13"/>
  <c r="AJ208" i="13"/>
  <c r="AJ387" i="13"/>
  <c r="AJ209" i="13"/>
  <c r="AJ342" i="13"/>
  <c r="AJ576" i="13"/>
  <c r="AJ524" i="13"/>
  <c r="AJ574" i="13"/>
  <c r="AJ530" i="13"/>
  <c r="AJ319" i="13"/>
  <c r="AJ382" i="13"/>
  <c r="AJ300" i="13"/>
  <c r="AJ581" i="13"/>
  <c r="AJ432" i="13"/>
  <c r="AJ498" i="13"/>
  <c r="AJ547" i="13"/>
  <c r="AJ534" i="13"/>
  <c r="AJ497" i="13"/>
  <c r="AJ471" i="13"/>
  <c r="AJ506" i="13"/>
  <c r="AJ305" i="13"/>
  <c r="AJ355" i="13"/>
  <c r="AJ594" i="13"/>
  <c r="AJ459" i="13"/>
  <c r="AJ315" i="13"/>
  <c r="AJ494" i="13"/>
  <c r="AJ456" i="13"/>
  <c r="AJ353" i="13"/>
  <c r="AJ280" i="13"/>
  <c r="AJ242" i="13"/>
  <c r="AJ474" i="13"/>
  <c r="AJ373" i="13"/>
  <c r="AJ535" i="13"/>
  <c r="AJ523" i="13"/>
  <c r="AJ447" i="13"/>
  <c r="AJ449" i="13"/>
  <c r="AJ403" i="13"/>
  <c r="AJ487" i="13"/>
  <c r="AJ226" i="13"/>
  <c r="AJ276" i="13"/>
  <c r="AJ361" i="13"/>
  <c r="AJ318" i="13"/>
  <c r="AJ265" i="13"/>
  <c r="AJ225" i="13"/>
  <c r="AJ231" i="13"/>
  <c r="AJ469" i="13"/>
  <c r="AJ558" i="13"/>
  <c r="AJ350" i="13"/>
  <c r="AJ571" i="13"/>
  <c r="AJ291" i="13"/>
  <c r="AJ310" i="13"/>
  <c r="AJ480" i="13"/>
  <c r="AJ416" i="13"/>
  <c r="AJ323" i="13"/>
  <c r="AJ207" i="13"/>
  <c r="AJ292" i="13"/>
  <c r="AJ589" i="13"/>
  <c r="AJ397" i="13"/>
  <c r="AJ262" i="13"/>
  <c r="AJ517" i="13"/>
  <c r="AJ388" i="13"/>
  <c r="AJ372" i="13"/>
  <c r="AJ479" i="13"/>
  <c r="AJ512" i="13"/>
  <c r="AJ381" i="13"/>
  <c r="AJ519" i="13"/>
  <c r="AJ279" i="13"/>
  <c r="AJ460" i="13"/>
  <c r="AJ309" i="13"/>
  <c r="AJ546" i="13"/>
  <c r="AJ593" i="13"/>
  <c r="AJ362" i="13"/>
  <c r="AJ590" i="13"/>
  <c r="AJ219" i="13"/>
  <c r="AJ470" i="13"/>
  <c r="AJ268" i="13"/>
  <c r="AJ579" i="13"/>
  <c r="AJ417" i="13"/>
  <c r="AJ596" i="13"/>
  <c r="AJ360" i="13"/>
  <c r="AJ329" i="13"/>
  <c r="AJ495" i="13"/>
  <c r="AJ406" i="13"/>
  <c r="AJ591" i="13"/>
  <c r="AJ358" i="13"/>
  <c r="AJ344" i="13"/>
  <c r="AJ420" i="13"/>
  <c r="AJ457" i="13"/>
  <c r="AJ458" i="13"/>
  <c r="AJ573" i="13"/>
  <c r="AJ439" i="13"/>
  <c r="AJ239" i="13"/>
  <c r="AJ428" i="13"/>
  <c r="AJ227" i="13"/>
  <c r="AJ230" i="13"/>
  <c r="AJ311" i="13"/>
  <c r="AJ463" i="13"/>
  <c r="AJ467" i="13"/>
  <c r="AJ258" i="13"/>
  <c r="AJ476" i="13"/>
  <c r="AJ411" i="13"/>
  <c r="AJ552" i="13"/>
  <c r="AJ429" i="13"/>
  <c r="AJ430" i="13"/>
  <c r="AJ283" i="13"/>
  <c r="AJ233" i="13"/>
  <c r="AJ548" i="13"/>
  <c r="AJ260" i="13"/>
  <c r="AJ501" i="13"/>
  <c r="AJ554" i="13"/>
  <c r="AJ247" i="13"/>
  <c r="AJ404" i="13"/>
  <c r="AJ478" i="13"/>
  <c r="AJ378" i="13"/>
  <c r="AJ455" i="13"/>
  <c r="AJ584" i="13"/>
  <c r="AJ221" i="13"/>
  <c r="AJ461" i="13"/>
  <c r="AJ540" i="13"/>
  <c r="AJ592" i="13"/>
  <c r="AJ398" i="13"/>
  <c r="AJ401" i="13"/>
  <c r="AJ379" i="13"/>
  <c r="AJ541" i="13"/>
  <c r="AJ551" i="13"/>
  <c r="AJ405" i="13"/>
  <c r="AJ451" i="13"/>
  <c r="AJ440" i="13"/>
  <c r="AJ251" i="13"/>
  <c r="AJ385" i="13"/>
  <c r="AJ399" i="13"/>
  <c r="AJ316" i="13"/>
  <c r="AJ485" i="13"/>
  <c r="AJ277" i="13"/>
  <c r="AJ607" i="13"/>
  <c r="AJ566" i="13"/>
  <c r="AJ346" i="13"/>
  <c r="AJ468" i="13"/>
  <c r="AJ389" i="13"/>
  <c r="AJ452" i="13"/>
  <c r="AJ384" i="13"/>
  <c r="AJ347" i="13"/>
  <c r="AJ234" i="13"/>
  <c r="AJ532" i="13"/>
  <c r="AJ445" i="13"/>
  <c r="AJ278" i="13"/>
  <c r="AJ599" i="13"/>
  <c r="AJ364" i="13"/>
  <c r="AJ217" i="13"/>
  <c r="AJ414" i="13"/>
  <c r="AJ431" i="13"/>
  <c r="AJ321" i="13"/>
  <c r="AJ503" i="13"/>
  <c r="AJ513" i="13"/>
  <c r="AJ446" i="13"/>
  <c r="AJ261" i="13"/>
  <c r="AJ550" i="13"/>
  <c r="AJ235" i="13"/>
  <c r="AJ572" i="13"/>
  <c r="AJ588" i="13"/>
  <c r="AJ286" i="13"/>
  <c r="AJ333" i="13"/>
  <c r="AJ343" i="13"/>
  <c r="AJ448" i="13"/>
  <c r="AJ502" i="13"/>
  <c r="AJ437" i="13"/>
  <c r="AJ575" i="13"/>
  <c r="AJ484" i="13"/>
  <c r="AJ236" i="13"/>
  <c r="AJ522" i="13"/>
  <c r="AJ465" i="13"/>
  <c r="AJ564" i="13"/>
  <c r="AJ560" i="13"/>
  <c r="AJ421" i="13"/>
  <c r="AJ331" i="13"/>
  <c r="AJ450" i="13"/>
  <c r="AJ218" i="13"/>
  <c r="AJ443" i="13"/>
  <c r="AJ220" i="13"/>
  <c r="AJ290" i="13"/>
  <c r="AJ375" i="13"/>
  <c r="AJ394" i="13"/>
  <c r="AJ371" i="13"/>
  <c r="AJ341" i="13"/>
  <c r="AJ340" i="13"/>
  <c r="AJ515" i="13"/>
  <c r="AJ284" i="13"/>
  <c r="AJ531" i="13"/>
  <c r="AJ473" i="13"/>
  <c r="AJ391" i="13"/>
  <c r="AJ228" i="13"/>
  <c r="AJ490" i="13"/>
  <c r="AJ407" i="13"/>
  <c r="AJ493" i="13"/>
  <c r="AJ334" i="13"/>
  <c r="AJ354" i="13"/>
  <c r="AJ293" i="13"/>
  <c r="AJ324" i="13"/>
  <c r="AJ376" i="13"/>
  <c r="AJ601" i="13"/>
  <c r="AJ206" i="13"/>
  <c r="AJ266" i="13"/>
  <c r="AJ475" i="13"/>
  <c r="AJ273" i="13"/>
  <c r="AJ339" i="13"/>
  <c r="AJ211" i="13"/>
  <c r="AJ366" i="13"/>
  <c r="AJ332" i="13"/>
  <c r="AJ603" i="13"/>
  <c r="AJ267" i="13"/>
  <c r="AJ486" i="13"/>
  <c r="AJ244" i="13"/>
  <c r="AJ422" i="13"/>
  <c r="AJ520" i="13"/>
  <c r="AJ390" i="13"/>
  <c r="AJ433" i="13"/>
  <c r="AJ336" i="13"/>
  <c r="AJ237" i="13"/>
  <c r="AJ472" i="13"/>
  <c r="AJ322" i="13"/>
  <c r="AJ238" i="13"/>
  <c r="AJ212" i="13"/>
  <c r="AJ505" i="13"/>
  <c r="AJ270" i="13"/>
  <c r="AJ285" i="13"/>
  <c r="AJ514" i="13"/>
  <c r="AJ250" i="13"/>
  <c r="AJ413" i="13"/>
  <c r="AJ518" i="13"/>
  <c r="AJ214" i="13"/>
  <c r="AJ423" i="13"/>
  <c r="AJ527" i="13"/>
  <c r="AJ245" i="13"/>
  <c r="AJ606" i="13"/>
  <c r="AJ274" i="13"/>
  <c r="AJ605" i="13"/>
  <c r="AJ598" i="13"/>
  <c r="AJ259" i="13"/>
  <c r="AJ302" i="13"/>
  <c r="AJ337" i="13"/>
  <c r="AJ335" i="13"/>
  <c r="AJ577" i="13"/>
  <c r="AJ608" i="13"/>
  <c r="AJ263" i="13"/>
  <c r="AJ542" i="13"/>
  <c r="AJ240" i="13"/>
  <c r="AJ351" i="13"/>
  <c r="AJ435" i="13"/>
  <c r="AJ222" i="13"/>
  <c r="AJ562" i="13"/>
  <c r="AJ585" i="13"/>
  <c r="AJ288" i="13"/>
  <c r="AJ330" i="13"/>
  <c r="AJ294" i="13"/>
  <c r="AJ363" i="13"/>
  <c r="AJ248" i="13"/>
  <c r="AJ526" i="13"/>
  <c r="AJ256" i="13"/>
  <c r="AJ555" i="13"/>
  <c r="AJ425" i="13"/>
  <c r="AJ249" i="13"/>
  <c r="AJ424" i="13"/>
  <c r="AJ272" i="13"/>
  <c r="AJ509" i="13"/>
  <c r="AJ348" i="13"/>
  <c r="AJ610" i="13"/>
  <c r="AJ295" i="13"/>
  <c r="AJ481" i="13"/>
  <c r="AJ215" i="13"/>
  <c r="AJ544" i="13"/>
  <c r="AJ442" i="13"/>
  <c r="AJ367" i="13"/>
  <c r="AJ241" i="13"/>
  <c r="AJ304" i="13"/>
  <c r="AJ521" i="13"/>
  <c r="AJ216" i="13"/>
  <c r="AJ561" i="13"/>
  <c r="AJ325" i="13"/>
  <c r="AJ586" i="13"/>
  <c r="AJ602" i="13"/>
  <c r="AJ352" i="13"/>
  <c r="AJ246" i="13"/>
  <c r="AJ436" i="13"/>
  <c r="AJ545" i="13"/>
  <c r="AJ205" i="13"/>
  <c r="AJ609" i="13"/>
  <c r="AJ438" i="13"/>
  <c r="AJ213" i="13"/>
  <c r="AJ317" i="13"/>
  <c r="AJ582" i="13"/>
  <c r="AJ303" i="13"/>
  <c r="AJ320" i="13"/>
  <c r="AJ370" i="13"/>
  <c r="AJ464" i="13"/>
  <c r="AJ600" i="13"/>
  <c r="AJ281" i="13"/>
  <c r="AJ489" i="13"/>
  <c r="AJ537" i="13"/>
  <c r="AJ264" i="13"/>
  <c r="AJ298" i="13"/>
  <c r="AJ567" i="13"/>
  <c r="AJ393" i="13"/>
  <c r="AJ578" i="13"/>
  <c r="AJ392" i="13"/>
  <c r="AJ426" i="13"/>
  <c r="AJ299" i="13"/>
  <c r="AJ510" i="13"/>
  <c r="AJ345" i="13"/>
  <c r="AJ271" i="13"/>
  <c r="AJ365" i="13"/>
  <c r="AJ338" i="13"/>
  <c r="AJ587" i="13"/>
  <c r="AJ282" i="13"/>
  <c r="AJ410" i="13"/>
  <c r="AJ296" i="13"/>
  <c r="AJ563" i="13"/>
  <c r="AJ409" i="13"/>
  <c r="AJ504" i="13"/>
  <c r="AJ462" i="13"/>
  <c r="AJ477" i="13"/>
  <c r="AJ254" i="13"/>
  <c r="AJ434" i="13"/>
  <c r="AJ400" i="13"/>
  <c r="AJ328" i="13"/>
  <c r="AJ313" i="13"/>
  <c r="AJ595" i="13"/>
  <c r="AJ570" i="13"/>
  <c r="AJ453" i="13"/>
  <c r="AJ507" i="13"/>
  <c r="AJ377" i="13"/>
  <c r="AJ224" i="13"/>
  <c r="AJ369" i="13"/>
  <c r="AJ559" i="13"/>
  <c r="AJ491" i="13"/>
  <c r="AJ383" i="13"/>
  <c r="AJ229" i="13"/>
  <c r="AJ597" i="13"/>
  <c r="AJ418" i="13"/>
  <c r="AJ528" i="13"/>
  <c r="AJ386" i="13"/>
  <c r="AJ408" i="13"/>
  <c r="AJ543" i="13"/>
  <c r="AJ255" i="13"/>
  <c r="AJ499" i="13"/>
  <c r="AJ308" i="13"/>
  <c r="AJ312" i="13"/>
  <c r="CD28" i="3" l="1"/>
  <c r="BQ28" i="3" l="1"/>
  <c r="D331" i="13" l="1"/>
  <c r="CA28" i="3"/>
  <c r="ET28" i="3" s="1"/>
  <c r="DH28" i="3"/>
  <c r="BA28" i="3"/>
  <c r="BR28" i="3" s="1"/>
  <c r="CW28" i="3" s="1"/>
  <c r="CL28" i="3" s="1"/>
  <c r="AL28" i="3"/>
  <c r="AM331" i="13"/>
  <c r="AN331" i="13"/>
  <c r="DW28" i="3" l="1"/>
  <c r="A23" i="31"/>
  <c r="C23" i="31" s="1"/>
  <c r="ES28" i="3"/>
  <c r="ER28" i="3"/>
  <c r="BI28" i="3"/>
  <c r="AS331" i="13"/>
  <c r="AR331" i="13"/>
  <c r="CJ28" i="3" l="1"/>
  <c r="BO28" i="3" s="1"/>
  <c r="BV28" i="3" s="1"/>
  <c r="CN28" i="3" s="1"/>
  <c r="AV31" i="13" s="1"/>
  <c r="EU28" i="3" l="1"/>
  <c r="BP28" i="3"/>
  <c r="CO28" i="3"/>
  <c r="R31" i="13" s="1"/>
  <c r="AN31" i="13"/>
  <c r="AM31" i="13"/>
  <c r="AK31" i="13"/>
  <c r="AG31" i="13"/>
  <c r="AP31" i="13"/>
  <c r="AL31" i="13"/>
  <c r="DC28" i="3" l="1"/>
  <c r="CV28" i="3" s="1"/>
  <c r="DD28" i="3" l="1"/>
  <c r="DJ28" i="3"/>
  <c r="DF28" i="3"/>
  <c r="C31" i="13" l="1"/>
  <c r="C331" i="13"/>
  <c r="CX28" i="3"/>
  <c r="CY28" i="3" s="1"/>
  <c r="D31" i="13"/>
  <c r="AD31" i="13" l="1"/>
  <c r="CR28" i="3" s="1"/>
  <c r="AO201" i="13"/>
  <c r="AH31" i="13" l="1"/>
  <c r="AR31" i="13" s="1"/>
  <c r="DC198" i="3"/>
  <c r="CZ198" i="3"/>
  <c r="AO149" i="13"/>
  <c r="AO150" i="13"/>
  <c r="DJ198" i="3" l="1"/>
  <c r="DF198" i="3"/>
  <c r="DC147" i="3"/>
  <c r="CZ147" i="3"/>
  <c r="DC146" i="3"/>
  <c r="CZ146" i="3"/>
  <c r="EL198" i="3" l="1"/>
  <c r="DJ146" i="3"/>
  <c r="DF146" i="3"/>
  <c r="DJ147" i="3"/>
  <c r="DF147" i="3"/>
  <c r="CG198" i="3" l="1"/>
  <c r="EL146" i="3" l="1"/>
  <c r="CG146" i="3"/>
  <c r="EL147" i="3"/>
  <c r="CG147" i="3"/>
  <c r="AI338" i="13" l="1"/>
  <c r="CE35" i="3"/>
  <c r="BQ35" i="3" s="1"/>
  <c r="D338" i="13" l="1"/>
  <c r="BA35" i="3"/>
  <c r="AL35" i="3" s="1"/>
  <c r="DH35" i="3"/>
  <c r="AQ338" i="13"/>
  <c r="AS338" i="13"/>
  <c r="BR35" i="3" l="1"/>
  <c r="DW35" i="3"/>
  <c r="CW35" i="3" l="1"/>
  <c r="CL35" i="3" s="1"/>
  <c r="ER35" i="3"/>
  <c r="BI35" i="3"/>
  <c r="CJ35" i="3" l="1"/>
  <c r="BO35" i="3" s="1"/>
  <c r="BV35" i="3" s="1"/>
  <c r="CN35" i="3" l="1"/>
  <c r="EU35" i="3"/>
  <c r="BP35" i="3"/>
  <c r="AI340" i="13"/>
  <c r="CE37" i="3"/>
  <c r="BQ37" i="3" s="1"/>
  <c r="BV37" i="3" s="1"/>
  <c r="CY37" i="3" l="1"/>
  <c r="CN37" i="3"/>
  <c r="CZ35" i="3"/>
  <c r="DC35" i="3"/>
  <c r="DD35" i="3" s="1"/>
  <c r="C38" i="13" s="1"/>
  <c r="AV38" i="13"/>
  <c r="CO35" i="3"/>
  <c r="R38" i="13" s="1"/>
  <c r="AD38" i="13" s="1"/>
  <c r="CR35" i="3" s="1"/>
  <c r="D340" i="13"/>
  <c r="DH37" i="3"/>
  <c r="BA37" i="3"/>
  <c r="BR37" i="3" s="1"/>
  <c r="AQ340" i="13"/>
  <c r="AS340" i="13"/>
  <c r="ER37" i="3" l="1"/>
  <c r="BI37" i="3"/>
  <c r="AV40" i="13"/>
  <c r="DC37" i="3"/>
  <c r="DD37" i="3" s="1"/>
  <c r="C40" i="13" s="1"/>
  <c r="CZ37" i="3"/>
  <c r="CO37" i="3"/>
  <c r="R40" i="13" s="1"/>
  <c r="AD40" i="13" s="1"/>
  <c r="CR37" i="3" s="1"/>
  <c r="AK38" i="13"/>
  <c r="AH38" i="13"/>
  <c r="AP38" i="13"/>
  <c r="AL38" i="13"/>
  <c r="AG38" i="13"/>
  <c r="AN38" i="13"/>
  <c r="AM38" i="13"/>
  <c r="DJ35" i="3"/>
  <c r="CV35" i="3"/>
  <c r="DF35" i="3"/>
  <c r="DW37" i="3"/>
  <c r="AL37" i="3"/>
  <c r="CJ37" i="3" l="1"/>
  <c r="BO37" i="3" s="1"/>
  <c r="BP37" i="3" s="1"/>
  <c r="AR38" i="13"/>
  <c r="DJ37" i="3"/>
  <c r="CV37" i="3"/>
  <c r="AP40" i="13"/>
  <c r="AL40" i="13"/>
  <c r="AK40" i="13"/>
  <c r="AG40" i="13"/>
  <c r="AN40" i="13"/>
  <c r="AM40" i="13"/>
  <c r="AH40" i="13"/>
  <c r="CX35" i="3"/>
  <c r="D38" i="13"/>
  <c r="DF37" i="3" l="1"/>
  <c r="EU37" i="3"/>
  <c r="CY35" i="3"/>
  <c r="DA35" i="3" s="1"/>
  <c r="CX37" i="3"/>
  <c r="DA37" i="3" s="1"/>
  <c r="CG37" i="3" s="1"/>
  <c r="D40" i="13"/>
  <c r="AR40" i="13"/>
  <c r="EL35" i="3" l="1"/>
  <c r="CG35" i="3"/>
  <c r="EL37" i="3"/>
  <c r="AI312" i="13"/>
  <c r="CE9" i="3"/>
  <c r="BQ9" i="3" s="1"/>
  <c r="BA9" i="3" s="1"/>
  <c r="AL9" i="3" s="1"/>
  <c r="DW9" i="3" l="1"/>
  <c r="BR9" i="3"/>
  <c r="CL9" i="3" s="1"/>
  <c r="AQ312" i="13"/>
  <c r="AS312" i="13"/>
  <c r="ER9" i="3" l="1"/>
  <c r="CJ9" i="3" s="1"/>
  <c r="BI9" i="3"/>
  <c r="AO202" i="13"/>
  <c r="AO203" i="13"/>
  <c r="AO204" i="13"/>
  <c r="AJ170" i="13" l="1"/>
  <c r="AJ129" i="13"/>
  <c r="AJ174" i="13"/>
  <c r="AJ136" i="13"/>
  <c r="AJ189" i="13"/>
  <c r="AJ181" i="13"/>
  <c r="AJ163" i="13"/>
  <c r="AJ172" i="13"/>
  <c r="AJ190" i="13"/>
  <c r="AJ107" i="13"/>
  <c r="AJ135" i="13"/>
  <c r="AJ142" i="13"/>
  <c r="AJ155" i="13"/>
  <c r="AJ161" i="13"/>
  <c r="AJ187" i="13"/>
  <c r="AJ132" i="13"/>
  <c r="AJ195" i="13"/>
  <c r="AJ140" i="13"/>
  <c r="AJ192" i="13"/>
  <c r="AJ119" i="13"/>
  <c r="AJ110" i="13"/>
  <c r="AJ121" i="13"/>
  <c r="AJ188" i="13"/>
  <c r="AJ183" i="13"/>
  <c r="AJ194" i="13"/>
  <c r="AJ139" i="13"/>
  <c r="AJ164" i="13"/>
  <c r="AJ126" i="13"/>
  <c r="AJ191" i="13"/>
  <c r="AJ198" i="13"/>
  <c r="AJ182" i="13"/>
  <c r="AJ199" i="13"/>
  <c r="AJ117" i="13"/>
  <c r="AJ146" i="13"/>
  <c r="AJ144" i="13"/>
  <c r="AJ109" i="13"/>
  <c r="AJ122" i="13"/>
  <c r="AJ154" i="13"/>
  <c r="AJ128" i="13"/>
  <c r="AJ143" i="13"/>
  <c r="AJ184" i="13"/>
  <c r="AJ165" i="13"/>
  <c r="AJ180" i="13"/>
  <c r="AJ113" i="13"/>
  <c r="AJ55" i="13"/>
  <c r="AJ150" i="13"/>
  <c r="AJ90" i="13"/>
  <c r="AJ97" i="13"/>
  <c r="AJ84" i="13"/>
  <c r="AJ104" i="13"/>
  <c r="AJ76" i="13"/>
  <c r="AJ63" i="13"/>
  <c r="AJ89" i="13"/>
  <c r="AJ82" i="13"/>
  <c r="AJ61" i="13"/>
  <c r="AJ98" i="13"/>
  <c r="AJ62" i="13"/>
  <c r="AJ93" i="13"/>
  <c r="AJ204" i="13"/>
  <c r="AJ77" i="13"/>
  <c r="AJ67" i="13"/>
  <c r="AJ78" i="13"/>
  <c r="AJ106" i="13"/>
  <c r="AJ101" i="13"/>
  <c r="AJ94" i="13"/>
  <c r="AJ57" i="13"/>
  <c r="AJ83" i="13"/>
  <c r="AJ74" i="13"/>
  <c r="AJ100" i="13"/>
  <c r="AJ75" i="13"/>
  <c r="AJ56" i="13"/>
  <c r="AJ88" i="13"/>
  <c r="AJ69" i="13"/>
  <c r="AJ102" i="13"/>
  <c r="AJ81" i="13"/>
  <c r="AJ85" i="13"/>
  <c r="AJ66" i="13"/>
  <c r="AJ87" i="13"/>
  <c r="AJ202" i="13"/>
  <c r="AJ105" i="13"/>
  <c r="AJ96" i="13"/>
  <c r="AJ92" i="13"/>
  <c r="AJ70" i="13"/>
  <c r="AJ79" i="13"/>
  <c r="AJ53" i="13"/>
  <c r="AJ103" i="13"/>
  <c r="AJ203" i="13"/>
  <c r="AJ71" i="13"/>
  <c r="AJ64" i="13"/>
  <c r="AJ58" i="13"/>
  <c r="AJ65" i="13"/>
  <c r="AJ86" i="13"/>
  <c r="AJ59" i="13"/>
  <c r="AJ80" i="13"/>
  <c r="AJ149" i="13"/>
  <c r="AJ91" i="13"/>
  <c r="AJ68" i="13"/>
  <c r="AJ99" i="13"/>
  <c r="AJ54" i="13"/>
  <c r="AJ201" i="13"/>
  <c r="AJ72" i="13"/>
  <c r="AJ95" i="13"/>
  <c r="AJ73" i="13"/>
  <c r="AJ60" i="13"/>
  <c r="AJ167" i="13"/>
  <c r="AJ120" i="13"/>
  <c r="AJ123" i="13"/>
  <c r="AJ111" i="13"/>
  <c r="AJ173" i="13"/>
  <c r="AJ160" i="13"/>
  <c r="AJ118" i="13"/>
  <c r="AJ151" i="13"/>
  <c r="AJ169" i="13"/>
  <c r="AJ131" i="13"/>
  <c r="AJ176" i="13"/>
  <c r="AJ166" i="13"/>
  <c r="AJ114" i="13"/>
  <c r="AJ171" i="13"/>
  <c r="AJ130" i="13"/>
  <c r="AJ159" i="13"/>
  <c r="AJ193" i="13"/>
  <c r="AJ148" i="13"/>
  <c r="AJ175" i="13"/>
  <c r="AJ137" i="13"/>
  <c r="AJ125" i="13"/>
  <c r="AJ116" i="13"/>
  <c r="AJ162" i="13"/>
  <c r="AJ178" i="13"/>
  <c r="AJ196" i="13"/>
  <c r="AJ156" i="13"/>
  <c r="AJ179" i="13"/>
  <c r="AJ141" i="13"/>
  <c r="AJ127" i="13"/>
  <c r="AJ186" i="13"/>
  <c r="AJ133" i="13"/>
  <c r="AJ177" i="13"/>
  <c r="AJ157" i="13"/>
  <c r="AJ112" i="13"/>
  <c r="AJ145" i="13"/>
  <c r="AJ147" i="13"/>
  <c r="AJ158" i="13"/>
  <c r="AJ138" i="13"/>
  <c r="AJ124" i="13"/>
  <c r="AJ200" i="13"/>
  <c r="AJ134" i="13"/>
  <c r="AJ108" i="13"/>
  <c r="AJ197" i="13"/>
  <c r="AJ152" i="13"/>
  <c r="AJ115" i="13"/>
  <c r="AJ185" i="13"/>
  <c r="AJ153" i="13"/>
  <c r="AJ168" i="13"/>
  <c r="AO127" i="13" l="1"/>
  <c r="AO125" i="13"/>
  <c r="AO193" i="13"/>
  <c r="AO176" i="13"/>
  <c r="AO123" i="13"/>
  <c r="AO113" i="13"/>
  <c r="AO180" i="13"/>
  <c r="AO165" i="13"/>
  <c r="AO126" i="13"/>
  <c r="AO183" i="13"/>
  <c r="AO121" i="13"/>
  <c r="AO142" i="13"/>
  <c r="AO186" i="13"/>
  <c r="AO156" i="13"/>
  <c r="AO116" i="13"/>
  <c r="AO159" i="13"/>
  <c r="AO169" i="13"/>
  <c r="AO118" i="13"/>
  <c r="AO143" i="13"/>
  <c r="AO128" i="13"/>
  <c r="AO154" i="13"/>
  <c r="AO109" i="13"/>
  <c r="AO164" i="13"/>
  <c r="AO194" i="13"/>
  <c r="AO119" i="13"/>
  <c r="AO195" i="13"/>
  <c r="AO155" i="13"/>
  <c r="AO172" i="13"/>
  <c r="AO179" i="13"/>
  <c r="AO196" i="13"/>
  <c r="AO178" i="13"/>
  <c r="AO130" i="13"/>
  <c r="AO131" i="13"/>
  <c r="AO160" i="13"/>
  <c r="AO173" i="13"/>
  <c r="AO144" i="13"/>
  <c r="AO117" i="13"/>
  <c r="AO199" i="13"/>
  <c r="AO198" i="13"/>
  <c r="AO139" i="13"/>
  <c r="AO188" i="13"/>
  <c r="AO140" i="13"/>
  <c r="AO187" i="13"/>
  <c r="AO185" i="13"/>
  <c r="AO157" i="13"/>
  <c r="AO177" i="13"/>
  <c r="AO141" i="13"/>
  <c r="AO175" i="13"/>
  <c r="AO148" i="13"/>
  <c r="AO114" i="13"/>
  <c r="AO166" i="13"/>
  <c r="AO111" i="13"/>
  <c r="AO120" i="13"/>
  <c r="AO110" i="13"/>
  <c r="AO192" i="13"/>
  <c r="AO161" i="13"/>
  <c r="AO136" i="13"/>
  <c r="AO168" i="13"/>
  <c r="AO115" i="13"/>
  <c r="AO197" i="13"/>
  <c r="AO134" i="13"/>
  <c r="AO200" i="13"/>
  <c r="AO138" i="13"/>
  <c r="AO147" i="13"/>
  <c r="AO145" i="13"/>
  <c r="AO112" i="13"/>
  <c r="AO133" i="13"/>
  <c r="AO162" i="13"/>
  <c r="AO137" i="13"/>
  <c r="AO171" i="13"/>
  <c r="AO167" i="13"/>
  <c r="AO184" i="13"/>
  <c r="AO122" i="13"/>
  <c r="AO107" i="13"/>
  <c r="AO163" i="13"/>
  <c r="AO189" i="13"/>
  <c r="AO174" i="13"/>
  <c r="AO170" i="13"/>
  <c r="AO153" i="13"/>
  <c r="AO152" i="13"/>
  <c r="AO108" i="13"/>
  <c r="AO124" i="13"/>
  <c r="AO158" i="13"/>
  <c r="AO151" i="13"/>
  <c r="AO146" i="13"/>
  <c r="AO182" i="13"/>
  <c r="AO191" i="13"/>
  <c r="AO132" i="13"/>
  <c r="AO135" i="13"/>
  <c r="AO190" i="13"/>
  <c r="AO181" i="13"/>
  <c r="AO129" i="13"/>
  <c r="Z41" i="13" l="1"/>
  <c r="AO41" i="13" s="1"/>
  <c r="Z40" i="13"/>
  <c r="AO40" i="13" s="1"/>
  <c r="Z37" i="13"/>
  <c r="AO37" i="13" s="1"/>
  <c r="Z36" i="13"/>
  <c r="AO36" i="13" s="1"/>
  <c r="Z34" i="13"/>
  <c r="AO34" i="13" s="1"/>
  <c r="Z33" i="13"/>
  <c r="AO33" i="13" s="1"/>
  <c r="Z32" i="13"/>
  <c r="Z30" i="13"/>
  <c r="Z29" i="13"/>
  <c r="Z28" i="13"/>
  <c r="Z27" i="13"/>
  <c r="Z24" i="13"/>
  <c r="AO24" i="13" s="1"/>
  <c r="Z25" i="13"/>
  <c r="AO32" i="13" l="1"/>
  <c r="AO30" i="13"/>
  <c r="AO29" i="13"/>
  <c r="T23" i="20" l="1"/>
  <c r="DG9" i="3"/>
  <c r="DG309" i="3" l="1"/>
  <c r="CZ26" i="3" l="1"/>
  <c r="CZ68" i="3"/>
  <c r="CZ89" i="3"/>
  <c r="CZ58" i="3"/>
  <c r="CZ87" i="3"/>
  <c r="CZ102" i="3"/>
  <c r="CZ61" i="3"/>
  <c r="CZ62" i="3"/>
  <c r="CZ96" i="3"/>
  <c r="CZ28" i="3"/>
  <c r="DA28" i="3" s="1"/>
  <c r="CZ60" i="3"/>
  <c r="CZ48" i="3"/>
  <c r="CZ63" i="3"/>
  <c r="CZ93" i="3"/>
  <c r="CZ56" i="3"/>
  <c r="CZ97" i="3"/>
  <c r="CZ80" i="3"/>
  <c r="CZ47" i="3"/>
  <c r="CZ85" i="3"/>
  <c r="CZ27" i="3"/>
  <c r="DA27" i="3" s="1"/>
  <c r="CZ81" i="3"/>
  <c r="CZ78" i="3"/>
  <c r="CZ86" i="3"/>
  <c r="CZ21" i="3"/>
  <c r="DA21" i="3" s="1"/>
  <c r="CZ101" i="3"/>
  <c r="CZ71" i="3"/>
  <c r="CZ51" i="3"/>
  <c r="CZ70" i="3"/>
  <c r="CZ75" i="3"/>
  <c r="CZ77" i="3"/>
  <c r="CZ91" i="3"/>
  <c r="CZ99" i="3"/>
  <c r="CZ49" i="3"/>
  <c r="CZ103" i="3"/>
  <c r="CZ88" i="3"/>
  <c r="CZ79" i="3"/>
  <c r="CZ59" i="3"/>
  <c r="CZ67" i="3"/>
  <c r="CZ53" i="3"/>
  <c r="CZ74" i="3"/>
  <c r="CZ54" i="3"/>
  <c r="CZ95" i="3"/>
  <c r="CZ73" i="3"/>
  <c r="CZ98" i="3"/>
  <c r="CZ69" i="3"/>
  <c r="CZ50" i="3"/>
  <c r="CZ83" i="3"/>
  <c r="CZ76" i="3"/>
  <c r="CZ55" i="3"/>
  <c r="CZ84" i="3"/>
  <c r="CZ94" i="3"/>
  <c r="CZ64" i="3"/>
  <c r="CZ41" i="3"/>
  <c r="CZ66" i="3"/>
  <c r="CZ92" i="3"/>
  <c r="CZ72" i="3"/>
  <c r="CZ100" i="3"/>
  <c r="CZ57" i="3"/>
  <c r="CZ82" i="3"/>
  <c r="CZ65" i="3"/>
  <c r="CZ90" i="3"/>
  <c r="CZ52" i="3"/>
  <c r="CG27" i="3" l="1"/>
  <c r="EL27" i="3"/>
  <c r="EL21" i="3"/>
  <c r="CG21" i="3"/>
  <c r="EL26" i="3"/>
  <c r="CG26" i="3"/>
  <c r="CG28" i="3"/>
  <c r="EL28" i="3"/>
  <c r="CA10" i="3"/>
  <c r="BA10" i="3"/>
  <c r="BR10" i="3" s="1"/>
  <c r="ER10" i="3" l="1"/>
  <c r="BI10" i="3"/>
  <c r="AL10" i="3"/>
  <c r="DW10" i="3"/>
  <c r="CW10" i="3"/>
  <c r="CL10" i="3" s="1"/>
  <c r="ES10" i="3"/>
  <c r="ET10" i="3"/>
  <c r="A5" i="31"/>
  <c r="C5" i="31" s="1"/>
  <c r="CJ10" i="3" l="1"/>
  <c r="Z48" i="13" l="1"/>
  <c r="AO48" i="13" s="1"/>
  <c r="Z49" i="13"/>
  <c r="AO49" i="13" s="1"/>
  <c r="Z47" i="13"/>
  <c r="AO47" i="13" s="1"/>
  <c r="T41" i="13"/>
  <c r="AJ41" i="13" s="1"/>
  <c r="D322" i="13" l="1"/>
  <c r="DH19" i="3"/>
  <c r="D314" i="13"/>
  <c r="DH11" i="3"/>
  <c r="D317" i="13"/>
  <c r="DH14" i="3"/>
  <c r="BY14" i="3"/>
  <c r="D319" i="13"/>
  <c r="DH16" i="3"/>
  <c r="DH20" i="3"/>
  <c r="D323" i="13"/>
  <c r="CA20" i="3"/>
  <c r="BZ17" i="3"/>
  <c r="A12" i="31" s="1"/>
  <c r="C12" i="31" s="1"/>
  <c r="D318" i="13"/>
  <c r="DH15" i="3"/>
  <c r="BY15" i="3"/>
  <c r="DH13" i="3"/>
  <c r="D316" i="13"/>
  <c r="BA20" i="3"/>
  <c r="BR20" i="3" s="1"/>
  <c r="BZ16" i="3"/>
  <c r="BA15" i="3"/>
  <c r="DW15" i="3" s="1"/>
  <c r="DH17" i="3"/>
  <c r="BA17" i="3"/>
  <c r="D320" i="13"/>
  <c r="BA19" i="3"/>
  <c r="AL19" i="3" s="1"/>
  <c r="CA19" i="3"/>
  <c r="A14" i="31" s="1"/>
  <c r="C14" i="31" s="1"/>
  <c r="BA14" i="3"/>
  <c r="DW14" i="3" s="1"/>
  <c r="BA13" i="3"/>
  <c r="BA16" i="3"/>
  <c r="BA11" i="3"/>
  <c r="AL17" i="3" l="1"/>
  <c r="BR17" i="3"/>
  <c r="DW16" i="3"/>
  <c r="BR16" i="3"/>
  <c r="AL13" i="3"/>
  <c r="BR13" i="3"/>
  <c r="AL11" i="3"/>
  <c r="BR11" i="3"/>
  <c r="AL16" i="3"/>
  <c r="DW13" i="3"/>
  <c r="DW17" i="3"/>
  <c r="A11" i="31"/>
  <c r="C11" i="31" s="1"/>
  <c r="BZ309" i="3"/>
  <c r="AL15" i="3"/>
  <c r="BR15" i="3"/>
  <c r="ET19" i="3"/>
  <c r="DW11" i="3"/>
  <c r="AL14" i="3"/>
  <c r="BR14" i="3"/>
  <c r="BR19" i="3"/>
  <c r="CA309" i="3"/>
  <c r="O1" i="20" s="1"/>
  <c r="ES19" i="3"/>
  <c r="DW19" i="3"/>
  <c r="CB309" i="3"/>
  <c r="A15" i="31"/>
  <c r="C15" i="31" s="1"/>
  <c r="ES20" i="3"/>
  <c r="ET20" i="3"/>
  <c r="BI20" i="3"/>
  <c r="CW20" i="3"/>
  <c r="CL20" i="3" s="1"/>
  <c r="ER20" i="3"/>
  <c r="CJ20" i="3" s="1"/>
  <c r="BO20" i="3" s="1"/>
  <c r="BP20" i="3" s="1"/>
  <c r="DW20" i="3"/>
  <c r="AL20" i="3"/>
  <c r="CW11" i="3" l="1"/>
  <c r="CL11" i="3" s="1"/>
  <c r="CW13" i="3"/>
  <c r="CL13" i="3" s="1"/>
  <c r="BI16" i="3"/>
  <c r="CW16" i="3"/>
  <c r="CL16" i="3" s="1"/>
  <c r="BI17" i="3"/>
  <c r="CW17" i="3"/>
  <c r="CL17" i="3" s="1"/>
  <c r="ER17" i="3"/>
  <c r="ER16" i="3"/>
  <c r="CJ16" i="3" s="1"/>
  <c r="BO16" i="3" s="1"/>
  <c r="BP16" i="3" s="1"/>
  <c r="ER13" i="3"/>
  <c r="BI13" i="3"/>
  <c r="BI11" i="3"/>
  <c r="ER11" i="3"/>
  <c r="BV20" i="3"/>
  <c r="EU20" i="3"/>
  <c r="ER19" i="3"/>
  <c r="CW19" i="3"/>
  <c r="CL19" i="3" s="1"/>
  <c r="BI19" i="3"/>
  <c r="ER14" i="3"/>
  <c r="CJ14" i="3" s="1"/>
  <c r="BO14" i="3" s="1"/>
  <c r="BP14" i="3" s="1"/>
  <c r="BI14" i="3"/>
  <c r="CW14" i="3"/>
  <c r="CL14" i="3" s="1"/>
  <c r="C316" i="13"/>
  <c r="ER15" i="3"/>
  <c r="CW15" i="3"/>
  <c r="CL15" i="3" s="1"/>
  <c r="BI15" i="3"/>
  <c r="F285" i="31"/>
  <c r="H130" i="31"/>
  <c r="G171" i="31"/>
  <c r="H192" i="31"/>
  <c r="G92" i="31"/>
  <c r="H226" i="31"/>
  <c r="H232" i="31"/>
  <c r="H21" i="31"/>
  <c r="H296" i="31"/>
  <c r="F113" i="31"/>
  <c r="H14" i="31"/>
  <c r="F142" i="31"/>
  <c r="F234" i="31"/>
  <c r="G201" i="31"/>
  <c r="G99" i="31"/>
  <c r="E106" i="31"/>
  <c r="H8" i="31"/>
  <c r="F235" i="31"/>
  <c r="E189" i="31"/>
  <c r="F303" i="31"/>
  <c r="F301" i="31"/>
  <c r="D18" i="31"/>
  <c r="G29" i="31"/>
  <c r="E35" i="31"/>
  <c r="G255" i="31"/>
  <c r="H87" i="31"/>
  <c r="H290" i="31"/>
  <c r="H61" i="31"/>
  <c r="D191" i="31"/>
  <c r="E69" i="31"/>
  <c r="D75" i="31"/>
  <c r="F209" i="31"/>
  <c r="F272" i="31"/>
  <c r="H193" i="31"/>
  <c r="H101" i="31"/>
  <c r="E237" i="31"/>
  <c r="G62" i="31"/>
  <c r="E46" i="31"/>
  <c r="G176" i="31"/>
  <c r="F165" i="31"/>
  <c r="G264" i="31"/>
  <c r="E151" i="31"/>
  <c r="G125" i="31"/>
  <c r="D257" i="31"/>
  <c r="H262" i="31"/>
  <c r="E49" i="31"/>
  <c r="E133" i="31"/>
  <c r="G251" i="31"/>
  <c r="E150" i="31"/>
  <c r="D24" i="31"/>
  <c r="H93" i="31"/>
  <c r="G137" i="31"/>
  <c r="F91" i="31"/>
  <c r="D229" i="31"/>
  <c r="G129" i="31"/>
  <c r="F185" i="31"/>
  <c r="H184" i="31"/>
  <c r="D185" i="31"/>
  <c r="E66" i="31"/>
  <c r="E292" i="31"/>
  <c r="H163" i="31"/>
  <c r="G148" i="31"/>
  <c r="D137" i="31"/>
  <c r="G288" i="31"/>
  <c r="H170" i="31"/>
  <c r="H295" i="31"/>
  <c r="H291" i="31"/>
  <c r="H69" i="31"/>
  <c r="G192" i="31"/>
  <c r="F282" i="31"/>
  <c r="F75" i="31"/>
  <c r="G263" i="31"/>
  <c r="F72" i="31"/>
  <c r="G220" i="31"/>
  <c r="E55" i="31"/>
  <c r="D252" i="31"/>
  <c r="E241" i="31"/>
  <c r="F171" i="31"/>
  <c r="H146" i="31"/>
  <c r="H200" i="31"/>
  <c r="H54" i="31"/>
  <c r="G210" i="31"/>
  <c r="E263" i="31"/>
  <c r="E45" i="31"/>
  <c r="E23" i="31"/>
  <c r="G7" i="31"/>
  <c r="H213" i="31"/>
  <c r="G260" i="31"/>
  <c r="G281" i="31"/>
  <c r="D64" i="31"/>
  <c r="E249" i="31"/>
  <c r="E139" i="31"/>
  <c r="G82" i="31"/>
  <c r="F59" i="31"/>
  <c r="G292" i="31"/>
  <c r="H224" i="31"/>
  <c r="G69" i="31"/>
  <c r="F173" i="31"/>
  <c r="E52" i="31"/>
  <c r="D180" i="31"/>
  <c r="E160" i="31"/>
  <c r="D157" i="31"/>
  <c r="G182" i="31"/>
  <c r="F248" i="31"/>
  <c r="D196" i="31"/>
  <c r="H70" i="31"/>
  <c r="H119" i="31"/>
  <c r="E95" i="31"/>
  <c r="D103" i="31"/>
  <c r="F243" i="31"/>
  <c r="E91" i="31"/>
  <c r="E300" i="31"/>
  <c r="D242" i="31"/>
  <c r="H183" i="31"/>
  <c r="E232" i="31"/>
  <c r="E235" i="31"/>
  <c r="F120" i="31"/>
  <c r="H259" i="31"/>
  <c r="E170" i="31"/>
  <c r="E21" i="31"/>
  <c r="G221" i="31"/>
  <c r="F144" i="31"/>
  <c r="D101" i="31"/>
  <c r="H210" i="31"/>
  <c r="D138" i="31"/>
  <c r="G300" i="31"/>
  <c r="H116" i="31"/>
  <c r="E115" i="31"/>
  <c r="F226" i="31"/>
  <c r="D300" i="31"/>
  <c r="E17" i="31"/>
  <c r="E117" i="31"/>
  <c r="F60" i="31"/>
  <c r="H79" i="31"/>
  <c r="F200" i="31"/>
  <c r="G275" i="31"/>
  <c r="D12" i="31"/>
  <c r="F259" i="31"/>
  <c r="F25" i="31"/>
  <c r="H27" i="31"/>
  <c r="G207" i="31"/>
  <c r="E253" i="31"/>
  <c r="G242" i="31"/>
  <c r="F192" i="31"/>
  <c r="E146" i="31"/>
  <c r="H151" i="31"/>
  <c r="E280" i="31"/>
  <c r="H196" i="31"/>
  <c r="G213" i="31"/>
  <c r="D71" i="31"/>
  <c r="F295" i="31"/>
  <c r="E19" i="31"/>
  <c r="G244" i="31"/>
  <c r="F187" i="31"/>
  <c r="G67" i="31"/>
  <c r="D99" i="31"/>
  <c r="H59" i="31"/>
  <c r="F270" i="31"/>
  <c r="D201" i="31"/>
  <c r="H268" i="31"/>
  <c r="E238" i="31"/>
  <c r="E44" i="31"/>
  <c r="H172" i="31"/>
  <c r="E36" i="31"/>
  <c r="D39" i="31"/>
  <c r="F126" i="31"/>
  <c r="D277" i="31"/>
  <c r="H158" i="31"/>
  <c r="H16" i="31"/>
  <c r="D288" i="31"/>
  <c r="F267" i="31"/>
  <c r="G241" i="31"/>
  <c r="G124" i="31"/>
  <c r="H5" i="31"/>
  <c r="H271" i="31"/>
  <c r="G194" i="31"/>
  <c r="D212" i="31"/>
  <c r="G33" i="31"/>
  <c r="E296" i="31"/>
  <c r="E268" i="31"/>
  <c r="E136" i="31"/>
  <c r="D217" i="31"/>
  <c r="H265" i="31"/>
  <c r="F245" i="31"/>
  <c r="G257" i="31"/>
  <c r="D241" i="31"/>
  <c r="H145" i="31"/>
  <c r="G85" i="31"/>
  <c r="D46" i="31"/>
  <c r="G197" i="31"/>
  <c r="F12" i="31"/>
  <c r="E209" i="31"/>
  <c r="H223" i="31"/>
  <c r="D73" i="31"/>
  <c r="G105" i="31"/>
  <c r="E62" i="31"/>
  <c r="E59" i="31"/>
  <c r="F224" i="31"/>
  <c r="G38" i="31"/>
  <c r="D89" i="31"/>
  <c r="H230" i="31"/>
  <c r="E299" i="31"/>
  <c r="E290" i="31"/>
  <c r="E43" i="31"/>
  <c r="F164" i="31"/>
  <c r="F133" i="31"/>
  <c r="D188" i="31"/>
  <c r="E132" i="31"/>
  <c r="H267" i="31"/>
  <c r="E176" i="31"/>
  <c r="H126" i="31"/>
  <c r="E96" i="31"/>
  <c r="H227" i="31"/>
  <c r="E12" i="31"/>
  <c r="D90" i="31"/>
  <c r="G142" i="31"/>
  <c r="G79" i="31"/>
  <c r="H288" i="31"/>
  <c r="E65" i="31"/>
  <c r="E158" i="31"/>
  <c r="G249" i="31"/>
  <c r="E286" i="31"/>
  <c r="F46" i="31"/>
  <c r="F29" i="31"/>
  <c r="H120" i="31"/>
  <c r="D210" i="31"/>
  <c r="G173" i="31"/>
  <c r="F66" i="31"/>
  <c r="H300" i="31"/>
  <c r="F186" i="31"/>
  <c r="G101" i="31"/>
  <c r="F22" i="31"/>
  <c r="F124" i="31"/>
  <c r="H89" i="31"/>
  <c r="G233" i="31"/>
  <c r="F96" i="31"/>
  <c r="D220" i="31"/>
  <c r="D118" i="31"/>
  <c r="H284" i="31"/>
  <c r="H150" i="31"/>
  <c r="G80" i="31"/>
  <c r="H282" i="31"/>
  <c r="D129" i="31"/>
  <c r="H303" i="31"/>
  <c r="E135" i="31"/>
  <c r="F180" i="31"/>
  <c r="G76" i="31"/>
  <c r="E119" i="31"/>
  <c r="E281" i="31"/>
  <c r="F206" i="31"/>
  <c r="F194" i="31"/>
  <c r="H255" i="31"/>
  <c r="G217" i="31"/>
  <c r="H209" i="31"/>
  <c r="G36" i="31"/>
  <c r="H263" i="31"/>
  <c r="E246" i="31"/>
  <c r="F16" i="31"/>
  <c r="D105" i="31"/>
  <c r="F122" i="31"/>
  <c r="E137" i="31"/>
  <c r="F34" i="31"/>
  <c r="F161" i="31"/>
  <c r="E233" i="31"/>
  <c r="E186" i="31"/>
  <c r="H103" i="31"/>
  <c r="D96" i="31"/>
  <c r="G180" i="31"/>
  <c r="F123" i="31"/>
  <c r="E278" i="31"/>
  <c r="D22" i="31"/>
  <c r="F108" i="31"/>
  <c r="G271" i="31"/>
  <c r="E198" i="31"/>
  <c r="G150" i="31"/>
  <c r="E83" i="31"/>
  <c r="E301" i="31"/>
  <c r="G112" i="31"/>
  <c r="H175" i="31"/>
  <c r="E217" i="31"/>
  <c r="F85" i="31"/>
  <c r="H272" i="31"/>
  <c r="E60" i="31"/>
  <c r="G149" i="31"/>
  <c r="H127" i="31"/>
  <c r="G161" i="31"/>
  <c r="H162" i="31"/>
  <c r="H123" i="31"/>
  <c r="G16" i="31"/>
  <c r="F212" i="31"/>
  <c r="E197" i="31"/>
  <c r="G21" i="31"/>
  <c r="D26" i="31"/>
  <c r="F57" i="31"/>
  <c r="H88" i="31"/>
  <c r="G120" i="31"/>
  <c r="G57" i="31"/>
  <c r="D177" i="31"/>
  <c r="G86" i="31"/>
  <c r="F278" i="31"/>
  <c r="F253" i="31"/>
  <c r="H62" i="31"/>
  <c r="H293" i="31"/>
  <c r="G11" i="31"/>
  <c r="H86" i="31"/>
  <c r="D59" i="31"/>
  <c r="E279" i="31"/>
  <c r="G247" i="31"/>
  <c r="G37" i="31"/>
  <c r="G301" i="31"/>
  <c r="F38" i="31"/>
  <c r="D230" i="31"/>
  <c r="E142" i="31"/>
  <c r="H45" i="31"/>
  <c r="E25" i="31"/>
  <c r="G243" i="31"/>
  <c r="G122" i="31"/>
  <c r="D19" i="31"/>
  <c r="H201" i="31"/>
  <c r="D244" i="31"/>
  <c r="E58" i="31"/>
  <c r="E242" i="31"/>
  <c r="G31" i="31"/>
  <c r="E125" i="31"/>
  <c r="E256" i="31"/>
  <c r="E204" i="31"/>
  <c r="D299" i="31"/>
  <c r="F231" i="31"/>
  <c r="G61" i="31"/>
  <c r="G87" i="31"/>
  <c r="G13" i="31"/>
  <c r="H233" i="31"/>
  <c r="G230" i="31"/>
  <c r="G25" i="31"/>
  <c r="H136" i="31"/>
  <c r="F84" i="31"/>
  <c r="G266" i="31"/>
  <c r="H57" i="31"/>
  <c r="H114" i="31"/>
  <c r="F275" i="31"/>
  <c r="F93" i="31"/>
  <c r="H99" i="31"/>
  <c r="F251" i="31"/>
  <c r="E266" i="31"/>
  <c r="H83" i="31"/>
  <c r="H140" i="31"/>
  <c r="H49" i="31"/>
  <c r="E169" i="31"/>
  <c r="D208" i="31"/>
  <c r="G24" i="31"/>
  <c r="F182" i="31"/>
  <c r="D289" i="31"/>
  <c r="G73" i="31"/>
  <c r="F290" i="31"/>
  <c r="F198" i="31"/>
  <c r="E141" i="31"/>
  <c r="H257" i="31"/>
  <c r="G93" i="31"/>
  <c r="D67" i="31"/>
  <c r="G70" i="31"/>
  <c r="D172" i="31"/>
  <c r="G216" i="31"/>
  <c r="E80" i="31"/>
  <c r="D232" i="31"/>
  <c r="E111" i="31"/>
  <c r="F179" i="31"/>
  <c r="E258" i="31"/>
  <c r="D250" i="31"/>
  <c r="F189" i="31"/>
  <c r="E215" i="31"/>
  <c r="F195" i="31"/>
  <c r="E144" i="31"/>
  <c r="H25" i="31"/>
  <c r="D255" i="31"/>
  <c r="D55" i="31"/>
  <c r="E239" i="31"/>
  <c r="D41" i="31"/>
  <c r="D169" i="31"/>
  <c r="D213" i="31"/>
  <c r="D184" i="31"/>
  <c r="G27" i="31"/>
  <c r="E168" i="31"/>
  <c r="G172" i="31"/>
  <c r="H28" i="31"/>
  <c r="F99" i="31"/>
  <c r="H179" i="31"/>
  <c r="D120" i="31"/>
  <c r="E175" i="31"/>
  <c r="D282" i="31"/>
  <c r="G239" i="31"/>
  <c r="D165" i="31"/>
  <c r="G238" i="31"/>
  <c r="H46" i="31"/>
  <c r="H124" i="31"/>
  <c r="G268" i="31"/>
  <c r="H24" i="31"/>
  <c r="D29" i="31"/>
  <c r="E155" i="31"/>
  <c r="D11" i="31"/>
  <c r="E200" i="31"/>
  <c r="D192" i="31"/>
  <c r="F20" i="31"/>
  <c r="E113" i="31"/>
  <c r="H60" i="31"/>
  <c r="H92" i="31"/>
  <c r="D206" i="31"/>
  <c r="G28" i="31"/>
  <c r="F95" i="31"/>
  <c r="H178" i="31"/>
  <c r="H29" i="31"/>
  <c r="G26" i="31"/>
  <c r="D47" i="31"/>
  <c r="G168" i="31"/>
  <c r="D219" i="31"/>
  <c r="H181" i="31"/>
  <c r="D171" i="31"/>
  <c r="E68" i="31"/>
  <c r="D77" i="31"/>
  <c r="D294" i="31"/>
  <c r="H260" i="31"/>
  <c r="G296" i="31"/>
  <c r="G127" i="31"/>
  <c r="E70" i="31"/>
  <c r="E31" i="31"/>
  <c r="E167" i="31"/>
  <c r="D227" i="31"/>
  <c r="G272" i="31"/>
  <c r="E277" i="31"/>
  <c r="G4" i="31"/>
  <c r="E26" i="31"/>
  <c r="G199" i="31"/>
  <c r="G232" i="31"/>
  <c r="G17" i="31"/>
  <c r="F298" i="31"/>
  <c r="H68" i="31"/>
  <c r="H261" i="31"/>
  <c r="F166" i="31"/>
  <c r="E33" i="31"/>
  <c r="H117" i="31"/>
  <c r="F37" i="31"/>
  <c r="H156" i="31"/>
  <c r="H135" i="31"/>
  <c r="D161" i="31"/>
  <c r="E180" i="31"/>
  <c r="G131" i="31"/>
  <c r="F61" i="31"/>
  <c r="H211" i="31"/>
  <c r="D54" i="31"/>
  <c r="G9" i="31"/>
  <c r="H269" i="31"/>
  <c r="F97" i="31"/>
  <c r="D116" i="31"/>
  <c r="D70" i="31"/>
  <c r="H55" i="31"/>
  <c r="F69" i="31"/>
  <c r="G302" i="31"/>
  <c r="D15" i="31"/>
  <c r="D237" i="31"/>
  <c r="H208" i="31"/>
  <c r="H274" i="31"/>
  <c r="F67" i="31"/>
  <c r="E124" i="31"/>
  <c r="G140" i="31"/>
  <c r="G178" i="31"/>
  <c r="H250" i="31"/>
  <c r="E114" i="31"/>
  <c r="F104" i="31"/>
  <c r="D110" i="31"/>
  <c r="D111" i="31"/>
  <c r="D50" i="31"/>
  <c r="D82" i="31"/>
  <c r="F289" i="31"/>
  <c r="H97" i="31"/>
  <c r="F116" i="31"/>
  <c r="H9" i="31"/>
  <c r="E270" i="31"/>
  <c r="H38" i="31"/>
  <c r="F291" i="31"/>
  <c r="F131" i="31"/>
  <c r="E194" i="31"/>
  <c r="D14" i="31"/>
  <c r="G74" i="31"/>
  <c r="E172" i="31"/>
  <c r="G208" i="31"/>
  <c r="F48" i="31"/>
  <c r="F82" i="31"/>
  <c r="E288" i="31"/>
  <c r="E163" i="31"/>
  <c r="F112" i="31"/>
  <c r="H197" i="31"/>
  <c r="D95" i="31"/>
  <c r="E252" i="31"/>
  <c r="E227" i="31"/>
  <c r="F152" i="31"/>
  <c r="D159" i="31"/>
  <c r="G188" i="31"/>
  <c r="E201" i="31"/>
  <c r="E105" i="31"/>
  <c r="D225" i="31"/>
  <c r="F102" i="31"/>
  <c r="F244" i="31"/>
  <c r="F201" i="31"/>
  <c r="H185" i="31"/>
  <c r="F44" i="31"/>
  <c r="E94" i="31"/>
  <c r="D93" i="31"/>
  <c r="D28" i="31"/>
  <c r="D56" i="31"/>
  <c r="F33" i="31"/>
  <c r="G219" i="31"/>
  <c r="G115" i="31"/>
  <c r="E223" i="31"/>
  <c r="D135" i="31"/>
  <c r="E254" i="31"/>
  <c r="E275" i="31"/>
  <c r="E171" i="31"/>
  <c r="D86" i="31"/>
  <c r="D122" i="31"/>
  <c r="H174" i="31"/>
  <c r="G202" i="31"/>
  <c r="H131" i="31"/>
  <c r="H58" i="31"/>
  <c r="G236" i="31"/>
  <c r="G121" i="31"/>
  <c r="D176" i="31"/>
  <c r="E129" i="31"/>
  <c r="F181" i="31"/>
  <c r="H144" i="31"/>
  <c r="G267" i="31"/>
  <c r="E145" i="31"/>
  <c r="F249" i="31"/>
  <c r="F80" i="31"/>
  <c r="F105" i="31"/>
  <c r="F208" i="31"/>
  <c r="G132" i="31"/>
  <c r="D182" i="31"/>
  <c r="F63" i="31"/>
  <c r="D249" i="31"/>
  <c r="F14" i="31"/>
  <c r="D94" i="31"/>
  <c r="F147" i="31"/>
  <c r="D179" i="31"/>
  <c r="F139" i="31"/>
  <c r="G276" i="31"/>
  <c r="G170" i="31"/>
  <c r="H67" i="31"/>
  <c r="E156" i="31"/>
  <c r="E248" i="31"/>
  <c r="D16" i="31"/>
  <c r="E196" i="31"/>
  <c r="D204" i="31"/>
  <c r="E10" i="31"/>
  <c r="H220" i="31"/>
  <c r="F89" i="31"/>
  <c r="F23" i="31"/>
  <c r="G6" i="31"/>
  <c r="F162" i="31"/>
  <c r="D32" i="31"/>
  <c r="D143" i="31"/>
  <c r="E84" i="31"/>
  <c r="E178" i="31"/>
  <c r="E121" i="31"/>
  <c r="G136" i="31"/>
  <c r="D301" i="31"/>
  <c r="G59" i="31"/>
  <c r="F297" i="31"/>
  <c r="F15" i="31"/>
  <c r="G191" i="31"/>
  <c r="H36" i="31"/>
  <c r="D145" i="31"/>
  <c r="H6" i="31"/>
  <c r="H23" i="31"/>
  <c r="D44" i="31"/>
  <c r="D38" i="31"/>
  <c r="E6" i="31"/>
  <c r="G159" i="31"/>
  <c r="H258" i="31"/>
  <c r="F216" i="31"/>
  <c r="F168" i="31"/>
  <c r="E37" i="31"/>
  <c r="F276" i="31"/>
  <c r="F40" i="31"/>
  <c r="F41" i="31"/>
  <c r="G195" i="31"/>
  <c r="G43" i="31"/>
  <c r="H164" i="31"/>
  <c r="G103" i="31"/>
  <c r="D27" i="31"/>
  <c r="G114" i="31"/>
  <c r="F5" i="31"/>
  <c r="F273" i="31"/>
  <c r="D194" i="31"/>
  <c r="D147" i="31"/>
  <c r="E179" i="31"/>
  <c r="H289" i="31"/>
  <c r="F7" i="31"/>
  <c r="H203" i="31"/>
  <c r="G41" i="31"/>
  <c r="F247" i="31"/>
  <c r="E212" i="31"/>
  <c r="D42" i="31"/>
  <c r="D151" i="31"/>
  <c r="F280" i="31"/>
  <c r="F256" i="31"/>
  <c r="H10" i="31"/>
  <c r="E166" i="31"/>
  <c r="D258" i="31"/>
  <c r="E184" i="31"/>
  <c r="D167" i="31"/>
  <c r="F18" i="31"/>
  <c r="F65" i="31"/>
  <c r="H243" i="31"/>
  <c r="D295" i="31"/>
  <c r="E4" i="31"/>
  <c r="D178" i="31"/>
  <c r="D156" i="31"/>
  <c r="D9" i="31"/>
  <c r="D245" i="31"/>
  <c r="D265" i="31"/>
  <c r="H221" i="31"/>
  <c r="F262" i="31"/>
  <c r="D238" i="31"/>
  <c r="F170" i="31"/>
  <c r="D142" i="31"/>
  <c r="D223" i="31"/>
  <c r="E126" i="31"/>
  <c r="D215" i="31"/>
  <c r="H64" i="31"/>
  <c r="D37" i="31"/>
  <c r="D298" i="31"/>
  <c r="H43" i="31"/>
  <c r="F39" i="31"/>
  <c r="G130" i="31"/>
  <c r="H246" i="31"/>
  <c r="D164" i="31"/>
  <c r="D187" i="31"/>
  <c r="E122" i="31"/>
  <c r="D65" i="31"/>
  <c r="G175" i="31"/>
  <c r="G40" i="31"/>
  <c r="E199" i="31"/>
  <c r="D209" i="31"/>
  <c r="G212" i="31"/>
  <c r="D109" i="31"/>
  <c r="H85" i="31"/>
  <c r="H204" i="31"/>
  <c r="H65" i="31"/>
  <c r="H285" i="31"/>
  <c r="H212" i="31"/>
  <c r="D195" i="31"/>
  <c r="D133" i="31"/>
  <c r="D127" i="31"/>
  <c r="H186" i="31"/>
  <c r="F178" i="31"/>
  <c r="G303" i="31"/>
  <c r="H277" i="31"/>
  <c r="G23" i="31"/>
  <c r="G75" i="31"/>
  <c r="H216" i="31"/>
  <c r="E164" i="31"/>
  <c r="H139" i="31"/>
  <c r="E221" i="31"/>
  <c r="E8" i="31"/>
  <c r="D261" i="31"/>
  <c r="D79" i="31"/>
  <c r="F100" i="31"/>
  <c r="E174" i="31"/>
  <c r="D98" i="31"/>
  <c r="H222" i="31"/>
  <c r="H166" i="31"/>
  <c r="F4" i="31"/>
  <c r="F9" i="31"/>
  <c r="E251" i="31"/>
  <c r="D10" i="31"/>
  <c r="F53" i="31"/>
  <c r="F129" i="31"/>
  <c r="H286" i="31"/>
  <c r="E213" i="31"/>
  <c r="F254" i="31"/>
  <c r="D287" i="31"/>
  <c r="H167" i="31"/>
  <c r="F143" i="31"/>
  <c r="H280" i="31"/>
  <c r="G111" i="31"/>
  <c r="E118" i="31"/>
  <c r="E283" i="31"/>
  <c r="E57" i="31"/>
  <c r="H12" i="31"/>
  <c r="F188" i="31"/>
  <c r="E187" i="31"/>
  <c r="F300" i="31"/>
  <c r="G134" i="31"/>
  <c r="D76" i="31"/>
  <c r="G211" i="31"/>
  <c r="F255" i="31"/>
  <c r="F294" i="31"/>
  <c r="F223" i="31"/>
  <c r="G22" i="31"/>
  <c r="F19" i="31"/>
  <c r="G52" i="31"/>
  <c r="E222" i="31"/>
  <c r="H132" i="31"/>
  <c r="H266" i="31"/>
  <c r="D131" i="31"/>
  <c r="E219" i="31"/>
  <c r="F87" i="31"/>
  <c r="D271" i="31"/>
  <c r="E97" i="31"/>
  <c r="H244" i="31"/>
  <c r="D158" i="31"/>
  <c r="H237" i="31"/>
  <c r="E191" i="31"/>
  <c r="G19" i="31"/>
  <c r="G203" i="31"/>
  <c r="H128" i="31"/>
  <c r="D7" i="31"/>
  <c r="D100" i="31"/>
  <c r="G78" i="31"/>
  <c r="D168" i="31"/>
  <c r="D276" i="31"/>
  <c r="D20" i="31"/>
  <c r="G83" i="31"/>
  <c r="F119" i="31"/>
  <c r="F232" i="31"/>
  <c r="F58" i="31"/>
  <c r="E72" i="31"/>
  <c r="D170" i="31"/>
  <c r="E161" i="31"/>
  <c r="H155" i="31"/>
  <c r="E236" i="31"/>
  <c r="E54" i="31"/>
  <c r="F27" i="31"/>
  <c r="G14" i="31"/>
  <c r="D63" i="31"/>
  <c r="D87" i="31"/>
  <c r="F28" i="31"/>
  <c r="H56" i="31"/>
  <c r="F205" i="31"/>
  <c r="G205" i="31"/>
  <c r="H75" i="31"/>
  <c r="D83" i="31"/>
  <c r="D259" i="31"/>
  <c r="G15" i="31"/>
  <c r="E272" i="31"/>
  <c r="H242" i="31"/>
  <c r="G72" i="31"/>
  <c r="G145" i="31"/>
  <c r="H302" i="31"/>
  <c r="E303" i="31"/>
  <c r="E134" i="31"/>
  <c r="E50" i="31"/>
  <c r="E177" i="31"/>
  <c r="H182" i="31"/>
  <c r="G228" i="31"/>
  <c r="F228" i="31"/>
  <c r="F73" i="31"/>
  <c r="G287" i="31"/>
  <c r="G285" i="31"/>
  <c r="D153" i="31"/>
  <c r="G193" i="31"/>
  <c r="H33" i="31"/>
  <c r="E42" i="31"/>
  <c r="G254" i="31"/>
  <c r="H125" i="31"/>
  <c r="D91" i="31"/>
  <c r="G227" i="31"/>
  <c r="F146" i="31"/>
  <c r="G215" i="31"/>
  <c r="G46" i="31"/>
  <c r="F115" i="31"/>
  <c r="D234" i="31"/>
  <c r="H236" i="31"/>
  <c r="D108" i="31"/>
  <c r="E255" i="31"/>
  <c r="D293" i="31"/>
  <c r="H207" i="31"/>
  <c r="F274" i="31"/>
  <c r="G158" i="31"/>
  <c r="G261" i="31"/>
  <c r="F233" i="31"/>
  <c r="D141" i="31"/>
  <c r="E27" i="31"/>
  <c r="H80" i="31"/>
  <c r="E234" i="31"/>
  <c r="G119" i="31"/>
  <c r="H118" i="31"/>
  <c r="F107" i="31"/>
  <c r="F137" i="31"/>
  <c r="E53" i="31"/>
  <c r="H73" i="31"/>
  <c r="D205" i="31"/>
  <c r="F125" i="31"/>
  <c r="G138" i="31"/>
  <c r="D269" i="31"/>
  <c r="D199" i="31"/>
  <c r="H50" i="31"/>
  <c r="F236" i="31"/>
  <c r="G109" i="31"/>
  <c r="G68" i="31"/>
  <c r="F242" i="31"/>
  <c r="G290" i="31"/>
  <c r="D51" i="31"/>
  <c r="H279" i="31"/>
  <c r="G10" i="31"/>
  <c r="G147" i="31"/>
  <c r="G198" i="31"/>
  <c r="H109" i="31"/>
  <c r="D231" i="31"/>
  <c r="H110" i="31"/>
  <c r="E274" i="31"/>
  <c r="D117" i="31"/>
  <c r="F288" i="31"/>
  <c r="H129" i="31"/>
  <c r="H187" i="31"/>
  <c r="D78" i="31"/>
  <c r="D52" i="31"/>
  <c r="E51" i="31"/>
  <c r="F76" i="31"/>
  <c r="G189" i="31"/>
  <c r="E130" i="31"/>
  <c r="F199" i="31"/>
  <c r="D45" i="31"/>
  <c r="H247" i="31"/>
  <c r="D222" i="31"/>
  <c r="E15" i="31"/>
  <c r="F64" i="31"/>
  <c r="H153" i="31"/>
  <c r="H264" i="31"/>
  <c r="D107" i="31"/>
  <c r="F77" i="31"/>
  <c r="F218" i="31"/>
  <c r="H147" i="31"/>
  <c r="E214" i="31"/>
  <c r="F26" i="31"/>
  <c r="E262" i="31"/>
  <c r="G224" i="31"/>
  <c r="H270" i="31"/>
  <c r="D6" i="31"/>
  <c r="F83" i="31"/>
  <c r="F197" i="31"/>
  <c r="E182" i="31"/>
  <c r="D128" i="31"/>
  <c r="D48" i="31"/>
  <c r="D292" i="31"/>
  <c r="G94" i="31"/>
  <c r="H19" i="31"/>
  <c r="G104" i="31"/>
  <c r="D183" i="31"/>
  <c r="F140" i="31"/>
  <c r="D266" i="31"/>
  <c r="H195" i="31"/>
  <c r="E229" i="31"/>
  <c r="E9" i="31"/>
  <c r="F158" i="31"/>
  <c r="G265" i="31"/>
  <c r="G234" i="31"/>
  <c r="E89" i="31"/>
  <c r="G299" i="31"/>
  <c r="F268" i="31"/>
  <c r="D286" i="31"/>
  <c r="D53" i="31"/>
  <c r="E48" i="31"/>
  <c r="E218" i="31"/>
  <c r="D190" i="31"/>
  <c r="H256" i="31"/>
  <c r="E225" i="31"/>
  <c r="D279" i="31"/>
  <c r="F114" i="31"/>
  <c r="E183" i="31"/>
  <c r="E147" i="31"/>
  <c r="D132" i="31"/>
  <c r="G154" i="31"/>
  <c r="H235" i="31"/>
  <c r="D221" i="31"/>
  <c r="G100" i="31"/>
  <c r="H202" i="31"/>
  <c r="D33" i="31"/>
  <c r="F299" i="31"/>
  <c r="G164" i="31"/>
  <c r="G226" i="31"/>
  <c r="H44" i="31"/>
  <c r="G58" i="31"/>
  <c r="F128" i="31"/>
  <c r="H17" i="31"/>
  <c r="E18" i="31"/>
  <c r="G204" i="31"/>
  <c r="H98" i="31"/>
  <c r="H94" i="31"/>
  <c r="D139" i="31"/>
  <c r="D197" i="31"/>
  <c r="F6" i="31"/>
  <c r="F81" i="31"/>
  <c r="H273" i="31"/>
  <c r="E138" i="31"/>
  <c r="H47" i="31"/>
  <c r="G166" i="31"/>
  <c r="G177" i="31"/>
  <c r="D174" i="31"/>
  <c r="D218" i="31"/>
  <c r="E20" i="31"/>
  <c r="G185" i="31"/>
  <c r="H66" i="31"/>
  <c r="E82" i="31"/>
  <c r="E165" i="31"/>
  <c r="G222" i="31"/>
  <c r="E294" i="31"/>
  <c r="H31" i="31"/>
  <c r="E13" i="31"/>
  <c r="E78" i="31"/>
  <c r="D66" i="31"/>
  <c r="G183" i="31"/>
  <c r="F207" i="31"/>
  <c r="G151" i="31"/>
  <c r="E103" i="31"/>
  <c r="F204" i="31"/>
  <c r="G117" i="31"/>
  <c r="G56" i="31"/>
  <c r="E56" i="31"/>
  <c r="G50" i="31"/>
  <c r="G143" i="31"/>
  <c r="E284" i="31"/>
  <c r="D31" i="31"/>
  <c r="G186" i="31"/>
  <c r="E63" i="31"/>
  <c r="D62" i="31"/>
  <c r="D186" i="31"/>
  <c r="F94" i="31"/>
  <c r="H82" i="31"/>
  <c r="H191" i="31"/>
  <c r="G42" i="31"/>
  <c r="G146" i="31"/>
  <c r="H121" i="31"/>
  <c r="H137" i="31"/>
  <c r="G225" i="31"/>
  <c r="D35" i="31"/>
  <c r="G181" i="31"/>
  <c r="G293" i="31"/>
  <c r="G5" i="31"/>
  <c r="H18" i="31"/>
  <c r="D202" i="31"/>
  <c r="F258" i="31"/>
  <c r="H214" i="31"/>
  <c r="E188" i="31"/>
  <c r="D104" i="31"/>
  <c r="F30" i="31"/>
  <c r="D72" i="31"/>
  <c r="E87" i="31"/>
  <c r="G160" i="31"/>
  <c r="F221" i="31"/>
  <c r="D189" i="31"/>
  <c r="E261" i="31"/>
  <c r="D243" i="31"/>
  <c r="D198" i="31"/>
  <c r="D280" i="31"/>
  <c r="F265" i="31"/>
  <c r="E264" i="31"/>
  <c r="D134" i="31"/>
  <c r="G102" i="31"/>
  <c r="E76" i="31"/>
  <c r="H111" i="31"/>
  <c r="E208" i="31"/>
  <c r="E61" i="31"/>
  <c r="E28" i="31"/>
  <c r="H283" i="31"/>
  <c r="E153" i="31"/>
  <c r="F49" i="31"/>
  <c r="G118" i="31"/>
  <c r="F211" i="31"/>
  <c r="E148" i="31"/>
  <c r="D166" i="31"/>
  <c r="F269" i="31"/>
  <c r="D124" i="31"/>
  <c r="D140" i="31"/>
  <c r="E260" i="31"/>
  <c r="D235" i="31"/>
  <c r="E162" i="31"/>
  <c r="H198" i="31"/>
  <c r="G116" i="31"/>
  <c r="D144" i="31"/>
  <c r="F71" i="31"/>
  <c r="D173" i="31"/>
  <c r="D160" i="31"/>
  <c r="H168" i="31"/>
  <c r="H161" i="31"/>
  <c r="G107" i="31"/>
  <c r="H142" i="31"/>
  <c r="E102" i="31"/>
  <c r="E127" i="31"/>
  <c r="H13" i="31"/>
  <c r="G200" i="31"/>
  <c r="F281" i="31"/>
  <c r="F225" i="31"/>
  <c r="H194" i="31"/>
  <c r="D152" i="31"/>
  <c r="F302" i="31"/>
  <c r="F70" i="31"/>
  <c r="G223" i="31"/>
  <c r="G141" i="31"/>
  <c r="F260" i="31"/>
  <c r="H218" i="31"/>
  <c r="F151" i="31"/>
  <c r="F220" i="31"/>
  <c r="F284" i="31"/>
  <c r="D123" i="31"/>
  <c r="F213" i="31"/>
  <c r="D290" i="31"/>
  <c r="F106" i="31"/>
  <c r="G77" i="31"/>
  <c r="E207" i="31"/>
  <c r="H71" i="31"/>
  <c r="H138" i="31"/>
  <c r="E92" i="31"/>
  <c r="E154" i="31"/>
  <c r="F183" i="31"/>
  <c r="F277" i="31"/>
  <c r="H252" i="31"/>
  <c r="G274" i="31"/>
  <c r="H108" i="31"/>
  <c r="E295" i="31"/>
  <c r="F92" i="31"/>
  <c r="F214" i="31"/>
  <c r="H11" i="31"/>
  <c r="G32" i="31"/>
  <c r="E131" i="31"/>
  <c r="F215" i="31"/>
  <c r="F252" i="31"/>
  <c r="E291" i="31"/>
  <c r="E32" i="31"/>
  <c r="E293" i="31"/>
  <c r="H229" i="31"/>
  <c r="G126" i="31"/>
  <c r="H15" i="31"/>
  <c r="G95" i="31"/>
  <c r="H26" i="31"/>
  <c r="D154" i="31"/>
  <c r="F177" i="31"/>
  <c r="E29" i="31"/>
  <c r="H297" i="31"/>
  <c r="G169" i="31"/>
  <c r="D58" i="31"/>
  <c r="E205" i="31"/>
  <c r="E149" i="31"/>
  <c r="F24" i="31"/>
  <c r="F263" i="31"/>
  <c r="H251" i="31"/>
  <c r="H91" i="31"/>
  <c r="E210" i="31"/>
  <c r="D80" i="31"/>
  <c r="G245" i="31"/>
  <c r="E244" i="31"/>
  <c r="G108" i="31"/>
  <c r="D115" i="31"/>
  <c r="D60" i="31"/>
  <c r="H217" i="31"/>
  <c r="H51" i="31"/>
  <c r="G144" i="31"/>
  <c r="E173" i="31"/>
  <c r="G229" i="31"/>
  <c r="H287" i="31"/>
  <c r="F241" i="31"/>
  <c r="G47" i="31"/>
  <c r="D224" i="31"/>
  <c r="D246" i="31"/>
  <c r="G44" i="31"/>
  <c r="E34" i="31"/>
  <c r="E181" i="31"/>
  <c r="D247" i="31"/>
  <c r="F293" i="31"/>
  <c r="G279" i="31"/>
  <c r="F17" i="31"/>
  <c r="H63" i="31"/>
  <c r="H177" i="31"/>
  <c r="H4" i="31"/>
  <c r="E14" i="31"/>
  <c r="G280" i="31"/>
  <c r="H141" i="31"/>
  <c r="F287" i="31"/>
  <c r="G278" i="31"/>
  <c r="E265" i="31"/>
  <c r="H254" i="31"/>
  <c r="D253" i="31"/>
  <c r="D251" i="31"/>
  <c r="E228" i="31"/>
  <c r="E273" i="31"/>
  <c r="F257" i="31"/>
  <c r="D81" i="31"/>
  <c r="G214" i="31"/>
  <c r="E73" i="31"/>
  <c r="E247" i="31"/>
  <c r="H35" i="31"/>
  <c r="G91" i="31"/>
  <c r="H32" i="31"/>
  <c r="F138" i="31"/>
  <c r="E99" i="31"/>
  <c r="D214" i="31"/>
  <c r="G246" i="31"/>
  <c r="E269" i="31"/>
  <c r="F169" i="31"/>
  <c r="F250" i="31"/>
  <c r="D193" i="31"/>
  <c r="F202" i="31"/>
  <c r="G235" i="31"/>
  <c r="D203" i="31"/>
  <c r="H115" i="31"/>
  <c r="G123" i="31"/>
  <c r="H95" i="31"/>
  <c r="D150" i="31"/>
  <c r="E123" i="31"/>
  <c r="G283" i="31"/>
  <c r="E77" i="31"/>
  <c r="F193" i="31"/>
  <c r="D92" i="31"/>
  <c r="D146" i="31"/>
  <c r="D267" i="31"/>
  <c r="E109" i="31"/>
  <c r="F150" i="31"/>
  <c r="D34" i="31"/>
  <c r="H152" i="31"/>
  <c r="G262" i="31"/>
  <c r="F98" i="31"/>
  <c r="G35" i="31"/>
  <c r="G289" i="31"/>
  <c r="G162" i="31"/>
  <c r="H84" i="31"/>
  <c r="F261" i="31"/>
  <c r="F135" i="31"/>
  <c r="D226" i="31"/>
  <c r="F121" i="31"/>
  <c r="G187" i="31"/>
  <c r="H90" i="31"/>
  <c r="H234" i="31"/>
  <c r="D102" i="31"/>
  <c r="G155" i="31"/>
  <c r="D126" i="31"/>
  <c r="D211" i="31"/>
  <c r="D275" i="31"/>
  <c r="H205" i="31"/>
  <c r="E285" i="31"/>
  <c r="G256" i="31"/>
  <c r="F118" i="31"/>
  <c r="G153" i="31"/>
  <c r="H245" i="31"/>
  <c r="E271" i="31"/>
  <c r="F227" i="31"/>
  <c r="H276" i="31"/>
  <c r="G152" i="31"/>
  <c r="G49" i="31"/>
  <c r="D254" i="31"/>
  <c r="F103" i="31"/>
  <c r="F148" i="31"/>
  <c r="H96" i="31"/>
  <c r="G167" i="31"/>
  <c r="H239" i="31"/>
  <c r="E152" i="31"/>
  <c r="G163" i="31"/>
  <c r="H40" i="31"/>
  <c r="F56" i="31"/>
  <c r="D17" i="31"/>
  <c r="E230" i="31"/>
  <c r="D88" i="31"/>
  <c r="E112" i="31"/>
  <c r="G51" i="31"/>
  <c r="G273" i="31"/>
  <c r="G294" i="31"/>
  <c r="H106" i="31"/>
  <c r="E157" i="31"/>
  <c r="D264" i="31"/>
  <c r="H173" i="31"/>
  <c r="F50" i="31"/>
  <c r="H22" i="31"/>
  <c r="E206" i="31"/>
  <c r="F117" i="31"/>
  <c r="D268" i="31"/>
  <c r="E98" i="31"/>
  <c r="E298" i="31"/>
  <c r="H241" i="31"/>
  <c r="H107" i="31"/>
  <c r="E75" i="31"/>
  <c r="E140" i="31"/>
  <c r="G84" i="31"/>
  <c r="G252" i="31"/>
  <c r="E159" i="31"/>
  <c r="H154" i="31"/>
  <c r="H253" i="31"/>
  <c r="G110" i="31"/>
  <c r="E11" i="31"/>
  <c r="D207" i="31"/>
  <c r="H159" i="31"/>
  <c r="G81" i="31"/>
  <c r="E101" i="31"/>
  <c r="F203" i="31"/>
  <c r="E120" i="31"/>
  <c r="F190" i="31"/>
  <c r="F79" i="31"/>
  <c r="D228" i="31"/>
  <c r="D4" i="31"/>
  <c r="G298" i="31"/>
  <c r="G253" i="31"/>
  <c r="H206" i="31"/>
  <c r="G157" i="31"/>
  <c r="E116" i="31"/>
  <c r="F184" i="31"/>
  <c r="E24" i="31"/>
  <c r="E216" i="31"/>
  <c r="D125" i="31"/>
  <c r="H74" i="31"/>
  <c r="G156" i="31"/>
  <c r="E282" i="31"/>
  <c r="H112" i="31"/>
  <c r="H52" i="31"/>
  <c r="H169" i="31"/>
  <c r="E22" i="31"/>
  <c r="H301" i="31"/>
  <c r="E30" i="31"/>
  <c r="E38" i="31"/>
  <c r="E81" i="31"/>
  <c r="E100" i="31"/>
  <c r="F154" i="31"/>
  <c r="D283" i="31"/>
  <c r="H7" i="31"/>
  <c r="F176" i="31"/>
  <c r="H104" i="31"/>
  <c r="G45" i="31"/>
  <c r="G12" i="31"/>
  <c r="E192" i="31"/>
  <c r="G269" i="31"/>
  <c r="H100" i="31"/>
  <c r="E231" i="31"/>
  <c r="H41" i="31"/>
  <c r="H160" i="31"/>
  <c r="H225" i="31"/>
  <c r="E302" i="31"/>
  <c r="F31" i="31"/>
  <c r="H294" i="31"/>
  <c r="E41" i="31"/>
  <c r="H275" i="31"/>
  <c r="G270" i="31"/>
  <c r="F286" i="31"/>
  <c r="D296" i="31"/>
  <c r="F101" i="31"/>
  <c r="F196" i="31"/>
  <c r="G209" i="31"/>
  <c r="D114" i="31"/>
  <c r="D281" i="31"/>
  <c r="E226" i="31"/>
  <c r="H190" i="31"/>
  <c r="E7" i="31"/>
  <c r="H148" i="31"/>
  <c r="G128" i="31"/>
  <c r="E110" i="31"/>
  <c r="F210" i="31"/>
  <c r="F109" i="31"/>
  <c r="F130" i="31"/>
  <c r="G60" i="31"/>
  <c r="G206" i="31"/>
  <c r="D233" i="31"/>
  <c r="H171" i="31"/>
  <c r="E67" i="31"/>
  <c r="G231" i="31"/>
  <c r="F55" i="31"/>
  <c r="F222" i="31"/>
  <c r="G63" i="31"/>
  <c r="D57" i="31"/>
  <c r="D260" i="31"/>
  <c r="H81" i="31"/>
  <c r="G54" i="31"/>
  <c r="E202" i="31"/>
  <c r="D68" i="31"/>
  <c r="G179" i="31"/>
  <c r="D162" i="31"/>
  <c r="H215" i="31"/>
  <c r="E47" i="31"/>
  <c r="H37" i="31"/>
  <c r="E143" i="31"/>
  <c r="E276" i="31"/>
  <c r="G98" i="31"/>
  <c r="F279" i="31"/>
  <c r="H231" i="31"/>
  <c r="G89" i="31"/>
  <c r="D136" i="31"/>
  <c r="E259" i="31"/>
  <c r="E224" i="31"/>
  <c r="E39" i="31"/>
  <c r="E85" i="31"/>
  <c r="H299" i="31"/>
  <c r="F36" i="31"/>
  <c r="F145" i="31"/>
  <c r="F35" i="31"/>
  <c r="F111" i="31"/>
  <c r="H39" i="31"/>
  <c r="E88" i="31"/>
  <c r="E93" i="31"/>
  <c r="F132" i="31"/>
  <c r="G190" i="31"/>
  <c r="G250" i="31"/>
  <c r="G284" i="31"/>
  <c r="F43" i="31"/>
  <c r="E257" i="31"/>
  <c r="E86" i="31"/>
  <c r="E190" i="31"/>
  <c r="D302" i="31"/>
  <c r="F167" i="31"/>
  <c r="H78" i="31"/>
  <c r="E74" i="31"/>
  <c r="F134" i="31"/>
  <c r="H143" i="31"/>
  <c r="F13" i="31"/>
  <c r="H188" i="31"/>
  <c r="F157" i="31"/>
  <c r="E211" i="31"/>
  <c r="D36" i="31"/>
  <c r="F240" i="31"/>
  <c r="E5" i="31"/>
  <c r="G55" i="31"/>
  <c r="F163" i="31"/>
  <c r="F88" i="31"/>
  <c r="D61" i="31"/>
  <c r="D278" i="31"/>
  <c r="F172" i="31"/>
  <c r="F127" i="31"/>
  <c r="G297" i="31"/>
  <c r="H149" i="31"/>
  <c r="G106" i="31"/>
  <c r="D85" i="31"/>
  <c r="E203" i="31"/>
  <c r="F51" i="31"/>
  <c r="D216" i="31"/>
  <c r="F47" i="31"/>
  <c r="F32" i="31"/>
  <c r="F86" i="31"/>
  <c r="G8" i="31"/>
  <c r="F156" i="31"/>
  <c r="F78" i="31"/>
  <c r="F217" i="31"/>
  <c r="G218" i="31"/>
  <c r="D8" i="31"/>
  <c r="E287" i="31"/>
  <c r="D21" i="31"/>
  <c r="D236" i="31"/>
  <c r="F155" i="31"/>
  <c r="D297" i="31"/>
  <c r="G96" i="31"/>
  <c r="H48" i="31"/>
  <c r="F160" i="31"/>
  <c r="G248" i="31"/>
  <c r="H72" i="31"/>
  <c r="G139" i="31"/>
  <c r="H249" i="31"/>
  <c r="E243" i="31"/>
  <c r="D69" i="31"/>
  <c r="H34" i="31"/>
  <c r="H102" i="31"/>
  <c r="F219" i="31"/>
  <c r="F238" i="31"/>
  <c r="D240" i="31"/>
  <c r="H219" i="31"/>
  <c r="H228" i="31"/>
  <c r="D239" i="31"/>
  <c r="D40" i="31"/>
  <c r="G65" i="31"/>
  <c r="F90" i="31"/>
  <c r="E185" i="31"/>
  <c r="D5" i="31"/>
  <c r="F42" i="31"/>
  <c r="G196" i="31"/>
  <c r="E220" i="31"/>
  <c r="H133" i="31"/>
  <c r="H292" i="31"/>
  <c r="H176" i="31"/>
  <c r="H298" i="31"/>
  <c r="H281" i="31"/>
  <c r="D163" i="31"/>
  <c r="F229" i="31"/>
  <c r="D273" i="31"/>
  <c r="F136" i="31"/>
  <c r="G291" i="31"/>
  <c r="D121" i="31"/>
  <c r="F45" i="31"/>
  <c r="D274" i="31"/>
  <c r="G34" i="31"/>
  <c r="D25" i="31"/>
  <c r="H278" i="31"/>
  <c r="F110" i="31"/>
  <c r="E40" i="31"/>
  <c r="F191" i="31"/>
  <c r="D112" i="31"/>
  <c r="D149" i="31"/>
  <c r="D175" i="31"/>
  <c r="G90" i="31"/>
  <c r="F239" i="31"/>
  <c r="F62" i="31"/>
  <c r="E90" i="31"/>
  <c r="E71" i="31"/>
  <c r="F11" i="31"/>
  <c r="E297" i="31"/>
  <c r="H238" i="31"/>
  <c r="G282" i="31"/>
  <c r="E64" i="31"/>
  <c r="G295" i="31"/>
  <c r="D262" i="31"/>
  <c r="D119" i="31"/>
  <c r="G258" i="31"/>
  <c r="D285" i="31"/>
  <c r="G286" i="31"/>
  <c r="E245" i="31"/>
  <c r="D155" i="31"/>
  <c r="G97" i="31"/>
  <c r="D106" i="31"/>
  <c r="D284" i="31"/>
  <c r="G88" i="31"/>
  <c r="G133" i="31"/>
  <c r="H240" i="31"/>
  <c r="H199" i="31"/>
  <c r="F68" i="31"/>
  <c r="D272" i="31"/>
  <c r="E108" i="31"/>
  <c r="F174" i="31"/>
  <c r="E267" i="31"/>
  <c r="G20" i="31"/>
  <c r="G39" i="31"/>
  <c r="H180" i="31"/>
  <c r="G30" i="31"/>
  <c r="H157" i="31"/>
  <c r="F159" i="31"/>
  <c r="H20" i="31"/>
  <c r="H134" i="31"/>
  <c r="F149" i="31"/>
  <c r="D13" i="31"/>
  <c r="E16" i="31"/>
  <c r="D256" i="31"/>
  <c r="F52" i="31"/>
  <c r="F54" i="31"/>
  <c r="F141" i="31"/>
  <c r="E240" i="31"/>
  <c r="D97" i="31"/>
  <c r="E289" i="31"/>
  <c r="F237" i="31"/>
  <c r="D291" i="31"/>
  <c r="G240" i="31"/>
  <c r="E79" i="31"/>
  <c r="H77" i="31"/>
  <c r="H105" i="31"/>
  <c r="G53" i="31"/>
  <c r="H189" i="31"/>
  <c r="D303" i="31"/>
  <c r="D263" i="31"/>
  <c r="F246" i="31"/>
  <c r="G135" i="31"/>
  <c r="E193" i="31"/>
  <c r="F74" i="31"/>
  <c r="E250" i="31"/>
  <c r="H42" i="31"/>
  <c r="D30" i="31"/>
  <c r="H248" i="31"/>
  <c r="D43" i="31"/>
  <c r="D270" i="31"/>
  <c r="E128" i="31"/>
  <c r="G113" i="31"/>
  <c r="E104" i="31"/>
  <c r="F8" i="31"/>
  <c r="F296" i="31"/>
  <c r="F153" i="31"/>
  <c r="E195" i="31"/>
  <c r="F264" i="31"/>
  <c r="F283" i="31"/>
  <c r="F230" i="31"/>
  <c r="H53" i="31"/>
  <c r="F21" i="31"/>
  <c r="G66" i="31"/>
  <c r="D148" i="31"/>
  <c r="D23" i="31"/>
  <c r="D49" i="31"/>
  <c r="G71" i="31"/>
  <c r="F266" i="31"/>
  <c r="F271" i="31"/>
  <c r="H76" i="31"/>
  <c r="F292" i="31"/>
  <c r="F175" i="31"/>
  <c r="D74" i="31"/>
  <c r="G259" i="31"/>
  <c r="H122" i="31"/>
  <c r="H30" i="31"/>
  <c r="G48" i="31"/>
  <c r="D248" i="31"/>
  <c r="G174" i="31"/>
  <c r="D130" i="31"/>
  <c r="D84" i="31"/>
  <c r="D181" i="31"/>
  <c r="D200" i="31"/>
  <c r="H165" i="31"/>
  <c r="F10" i="31"/>
  <c r="G165" i="31"/>
  <c r="G18" i="31"/>
  <c r="D113" i="31"/>
  <c r="E107" i="31"/>
  <c r="G277" i="31"/>
  <c r="G184" i="31"/>
  <c r="H113" i="31"/>
  <c r="G64" i="31"/>
  <c r="G237" i="31"/>
  <c r="BV16" i="3" l="1"/>
  <c r="EU16" i="3"/>
  <c r="CJ17" i="3"/>
  <c r="BO17" i="3" s="1"/>
  <c r="BP17" i="3" s="1"/>
  <c r="CJ15" i="3"/>
  <c r="BO15" i="3" s="1"/>
  <c r="BP15" i="3" s="1"/>
  <c r="CJ19" i="3"/>
  <c r="BO19" i="3" s="1"/>
  <c r="BP19" i="3" s="1"/>
  <c r="CJ11" i="3"/>
  <c r="BO11" i="3" s="1"/>
  <c r="BP11" i="3" s="1"/>
  <c r="CJ13" i="3"/>
  <c r="CN20" i="3"/>
  <c r="CO20" i="3" s="1"/>
  <c r="BV14" i="3"/>
  <c r="CN14" i="3" s="1"/>
  <c r="C319" i="13"/>
  <c r="EU14" i="3"/>
  <c r="BV17" i="3" l="1"/>
  <c r="BV15" i="3"/>
  <c r="CN15" i="3" s="1"/>
  <c r="CZ15" i="3" s="1"/>
  <c r="CN17" i="3"/>
  <c r="AV20" i="13" s="1"/>
  <c r="BV19" i="3"/>
  <c r="CN16" i="3"/>
  <c r="CY16" i="3"/>
  <c r="BV11" i="3"/>
  <c r="CN11" i="3" s="1"/>
  <c r="DC11" i="3" s="1"/>
  <c r="CV11" i="3" s="1"/>
  <c r="BO13" i="3"/>
  <c r="BV13" i="3" s="1"/>
  <c r="CN13" i="3" s="1"/>
  <c r="EU19" i="3"/>
  <c r="EU15" i="3"/>
  <c r="EU17" i="3"/>
  <c r="R23" i="13"/>
  <c r="AD23" i="13" s="1"/>
  <c r="CR20" i="3" s="1"/>
  <c r="EU11" i="3"/>
  <c r="AV23" i="13"/>
  <c r="AG23" i="13" s="1"/>
  <c r="AV18" i="13"/>
  <c r="DC15" i="3"/>
  <c r="CV15" i="3" s="1"/>
  <c r="CN19" i="3"/>
  <c r="C322" i="13"/>
  <c r="AV17" i="13"/>
  <c r="CY15" i="3"/>
  <c r="CO14" i="3"/>
  <c r="R17" i="13" s="1"/>
  <c r="AD17" i="13" s="1"/>
  <c r="CR14" i="3" s="1"/>
  <c r="CO15" i="3" l="1"/>
  <c r="R18" i="13" s="1"/>
  <c r="AH18" i="13" s="1"/>
  <c r="CZ11" i="3"/>
  <c r="DC17" i="3"/>
  <c r="CV17" i="3" s="1"/>
  <c r="BP13" i="3"/>
  <c r="EU13" i="3"/>
  <c r="CO17" i="3"/>
  <c r="R20" i="13" s="1"/>
  <c r="AD20" i="13" s="1"/>
  <c r="CR17" i="3" s="1"/>
  <c r="CZ17" i="3"/>
  <c r="AV16" i="13"/>
  <c r="DC13" i="3"/>
  <c r="CV13" i="3" s="1"/>
  <c r="CX13" i="3" s="1"/>
  <c r="CY13" i="3" s="1"/>
  <c r="CZ13" i="3"/>
  <c r="CO13" i="3"/>
  <c r="R16" i="13" s="1"/>
  <c r="AD16" i="13" s="1"/>
  <c r="CR13" i="3" s="1"/>
  <c r="CO11" i="3"/>
  <c r="R14" i="13" s="1"/>
  <c r="AD14" i="13" s="1"/>
  <c r="CR11" i="3" s="1"/>
  <c r="AV14" i="13"/>
  <c r="DC16" i="3"/>
  <c r="CO16" i="3"/>
  <c r="R19" i="13" s="1"/>
  <c r="AD19" i="13" s="1"/>
  <c r="CR16" i="3" s="1"/>
  <c r="CZ16" i="3"/>
  <c r="AV19" i="13"/>
  <c r="DD15" i="3"/>
  <c r="C18" i="13" s="1"/>
  <c r="AP23" i="13"/>
  <c r="AH23" i="13"/>
  <c r="AM23" i="13"/>
  <c r="AN23" i="13"/>
  <c r="AK23" i="13"/>
  <c r="AL23" i="13"/>
  <c r="C317" i="13"/>
  <c r="C318" i="13"/>
  <c r="AN20" i="13"/>
  <c r="AK20" i="13"/>
  <c r="AM20" i="13"/>
  <c r="AL20" i="13"/>
  <c r="AG20" i="13"/>
  <c r="AP20" i="13"/>
  <c r="DJ11" i="3"/>
  <c r="DF11" i="3"/>
  <c r="DD11" i="3"/>
  <c r="DC19" i="3"/>
  <c r="CV19" i="3" s="1"/>
  <c r="AV22" i="13"/>
  <c r="CZ19" i="3"/>
  <c r="CO19" i="3"/>
  <c r="R22" i="13" s="1"/>
  <c r="AD22" i="13" s="1"/>
  <c r="CR19" i="3" s="1"/>
  <c r="AG17" i="13"/>
  <c r="AL17" i="13"/>
  <c r="AN17" i="13"/>
  <c r="AK17" i="13"/>
  <c r="AM17" i="13"/>
  <c r="AP17" i="13"/>
  <c r="AH17" i="13"/>
  <c r="DJ15" i="3"/>
  <c r="DF15" i="3"/>
  <c r="CX15" i="3"/>
  <c r="DA15" i="3"/>
  <c r="D18" i="13"/>
  <c r="AG18" i="13"/>
  <c r="AP18" i="13"/>
  <c r="AK18" i="13"/>
  <c r="AN18" i="13"/>
  <c r="AM18" i="13"/>
  <c r="AL18" i="13"/>
  <c r="AD18" i="13" l="1"/>
  <c r="CR15" i="3" s="1"/>
  <c r="DD16" i="3"/>
  <c r="C19" i="13" s="1"/>
  <c r="DD17" i="3"/>
  <c r="C20" i="13" s="1"/>
  <c r="DF17" i="3"/>
  <c r="DJ17" i="3"/>
  <c r="DD19" i="3"/>
  <c r="C22" i="13" s="1"/>
  <c r="DD13" i="3"/>
  <c r="C16" i="13" s="1"/>
  <c r="AH20" i="13"/>
  <c r="AR20" i="13" s="1"/>
  <c r="EL15" i="3"/>
  <c r="C320" i="13"/>
  <c r="D16" i="13"/>
  <c r="AL14" i="13"/>
  <c r="AP14" i="13"/>
  <c r="AH14" i="13"/>
  <c r="AN14" i="13"/>
  <c r="AG14" i="13"/>
  <c r="AK14" i="13"/>
  <c r="AM14" i="13"/>
  <c r="DA13" i="3"/>
  <c r="CG13" i="3" s="1"/>
  <c r="AG19" i="13"/>
  <c r="AN19" i="13"/>
  <c r="AH19" i="13"/>
  <c r="AL19" i="13"/>
  <c r="AP19" i="13"/>
  <c r="AM19" i="13"/>
  <c r="AK19" i="13"/>
  <c r="DJ13" i="3"/>
  <c r="DF13" i="3"/>
  <c r="AN16" i="13"/>
  <c r="AP16" i="13"/>
  <c r="AL16" i="13"/>
  <c r="AK16" i="13"/>
  <c r="AM16" i="13"/>
  <c r="AG16" i="13"/>
  <c r="AH16" i="13"/>
  <c r="DF16" i="3"/>
  <c r="DJ16" i="3"/>
  <c r="CV16" i="3"/>
  <c r="AR23" i="13"/>
  <c r="C14" i="13"/>
  <c r="C314" i="13"/>
  <c r="CG15" i="3"/>
  <c r="CX17" i="3"/>
  <c r="CY17" i="3" s="1"/>
  <c r="DA17" i="3" s="1"/>
  <c r="D20" i="13"/>
  <c r="AG22" i="13"/>
  <c r="AL22" i="13"/>
  <c r="AH22" i="13"/>
  <c r="AP22" i="13"/>
  <c r="AK22" i="13"/>
  <c r="AN22" i="13"/>
  <c r="AM22" i="13"/>
  <c r="DF19" i="3"/>
  <c r="DJ19" i="3"/>
  <c r="D14" i="13"/>
  <c r="CX11" i="3"/>
  <c r="CY11" i="3" s="1"/>
  <c r="DA11" i="3" s="1"/>
  <c r="AR18" i="13"/>
  <c r="AR17" i="13"/>
  <c r="AR16" i="13" l="1"/>
  <c r="AR19" i="13"/>
  <c r="D19" i="13"/>
  <c r="DA16" i="3"/>
  <c r="CX16" i="3"/>
  <c r="AR14" i="13"/>
  <c r="EL13" i="3"/>
  <c r="CG17" i="3"/>
  <c r="EL17" i="3"/>
  <c r="EL11" i="3"/>
  <c r="CG11" i="3"/>
  <c r="D22" i="13"/>
  <c r="CX19" i="3"/>
  <c r="CY19" i="3" s="1"/>
  <c r="DA19" i="3" s="1"/>
  <c r="CG19" i="3" s="1"/>
  <c r="AR22" i="13"/>
  <c r="EL16" i="3" l="1"/>
  <c r="CG16" i="3"/>
  <c r="EL19" i="3"/>
  <c r="BY23" i="3"/>
  <c r="D326" i="13"/>
  <c r="DH23" i="3"/>
  <c r="BA23" i="3"/>
  <c r="AL23" i="3" l="1"/>
  <c r="BR23" i="3"/>
  <c r="CW23" i="3" s="1"/>
  <c r="CL23" i="3" s="1"/>
  <c r="DW23" i="3"/>
  <c r="ER23" i="3" l="1"/>
  <c r="BI23" i="3"/>
  <c r="CJ23" i="3" l="1"/>
  <c r="BO23" i="3" l="1"/>
  <c r="EU23" i="3" s="1"/>
  <c r="BP23" i="3" l="1"/>
  <c r="BV23" i="3"/>
  <c r="CN23" i="3" l="1"/>
  <c r="DC23" i="3" l="1"/>
  <c r="CZ23" i="3"/>
  <c r="CO23" i="3"/>
  <c r="R26" i="13" s="1"/>
  <c r="AD26" i="13" s="1"/>
  <c r="CR23" i="3" s="1"/>
  <c r="AV26" i="13"/>
  <c r="D328" i="13"/>
  <c r="DH25" i="3"/>
  <c r="BV25" i="3"/>
  <c r="CN25" i="3" s="1"/>
  <c r="DD23" i="3" l="1"/>
  <c r="AN26" i="13"/>
  <c r="AP26" i="13"/>
  <c r="AM26" i="13"/>
  <c r="AK26" i="13"/>
  <c r="AL26" i="13"/>
  <c r="AH26" i="13"/>
  <c r="AG26" i="13"/>
  <c r="DJ23" i="3"/>
  <c r="DF23" i="3"/>
  <c r="CV23" i="3"/>
  <c r="CO25" i="3"/>
  <c r="AV28" i="13"/>
  <c r="C26" i="13" l="1"/>
  <c r="C326" i="13"/>
  <c r="AR26" i="13"/>
  <c r="D26" i="13"/>
  <c r="CX23" i="3"/>
  <c r="CY23" i="3" s="1"/>
  <c r="DA23" i="3" s="1"/>
  <c r="EL23" i="3" s="1"/>
  <c r="AK28" i="13"/>
  <c r="AP28" i="13"/>
  <c r="AO28" i="13"/>
  <c r="AG28" i="13"/>
  <c r="AL28" i="13"/>
  <c r="AN28" i="13"/>
  <c r="AM28" i="13"/>
  <c r="R28" i="13"/>
  <c r="AH28" i="13" s="1"/>
  <c r="CG23" i="3" l="1"/>
  <c r="AR28" i="13"/>
  <c r="AD28" i="13"/>
  <c r="CR25" i="3" s="1"/>
  <c r="DC25" i="3" l="1"/>
  <c r="CV25" i="3" s="1"/>
  <c r="CZ25" i="3"/>
  <c r="DJ25" i="3" l="1"/>
  <c r="DF25" i="3"/>
  <c r="DD25" i="3"/>
  <c r="C28" i="13" l="1"/>
  <c r="C328" i="13"/>
  <c r="CX25" i="3"/>
  <c r="CY25" i="3" s="1"/>
  <c r="DA25" i="3" s="1"/>
  <c r="D28" i="13"/>
  <c r="EL25" i="3" l="1"/>
  <c r="CG25" i="3"/>
  <c r="DH18" i="3" l="1"/>
  <c r="D321" i="13"/>
  <c r="BA18" i="3"/>
  <c r="BR18" i="3" s="1"/>
  <c r="ER18" i="3" s="1"/>
  <c r="CJ18" i="3" l="1"/>
  <c r="AL18" i="3"/>
  <c r="DW18" i="3"/>
  <c r="CW18" i="3"/>
  <c r="CL18" i="3" s="1"/>
  <c r="BI18" i="3"/>
  <c r="BO18" i="3" l="1"/>
  <c r="BP18" i="3" l="1"/>
  <c r="EU18" i="3"/>
  <c r="BV18" i="3"/>
  <c r="CN18" i="3" l="1"/>
  <c r="C321" i="13" l="1"/>
  <c r="AV21" i="13"/>
  <c r="CZ18" i="3"/>
  <c r="DC18" i="3"/>
  <c r="CV18" i="3" s="1"/>
  <c r="CO18" i="3"/>
  <c r="R21" i="13" s="1"/>
  <c r="AD21" i="13" s="1"/>
  <c r="CR18" i="3" s="1"/>
  <c r="DD18" i="3" l="1"/>
  <c r="C21" i="13" s="1"/>
  <c r="AK21" i="13"/>
  <c r="AN21" i="13"/>
  <c r="AH21" i="13"/>
  <c r="AM21" i="13"/>
  <c r="AP21" i="13"/>
  <c r="AL21" i="13"/>
  <c r="AG21" i="13"/>
  <c r="DJ18" i="3"/>
  <c r="DF18" i="3"/>
  <c r="CX18" i="3" l="1"/>
  <c r="CY18" i="3" s="1"/>
  <c r="DA18" i="3" s="1"/>
  <c r="D21" i="13"/>
  <c r="AR21" i="13"/>
  <c r="EL18" i="3" l="1"/>
  <c r="CG18" i="3"/>
  <c r="BQ309" i="3"/>
  <c r="DA313" i="3" s="1"/>
  <c r="DH24" i="3"/>
  <c r="D327" i="13"/>
  <c r="DH22" i="3"/>
  <c r="D325" i="13"/>
  <c r="DH12" i="3"/>
  <c r="D315" i="13"/>
  <c r="DH10" i="3"/>
  <c r="D313" i="13"/>
  <c r="D312" i="13"/>
  <c r="DH9" i="3"/>
  <c r="BO24" i="3"/>
  <c r="BV24" i="3"/>
  <c r="CN24" i="3" s="1"/>
  <c r="BA22" i="3"/>
  <c r="BR22" i="3" s="1"/>
  <c r="BO12" i="3"/>
  <c r="BV12" i="3"/>
  <c r="BO10" i="3"/>
  <c r="BV10" i="3" s="1"/>
  <c r="CN10" i="3" s="1"/>
  <c r="BO9" i="3"/>
  <c r="BP9" i="3" s="1"/>
  <c r="BV9" i="3" l="1"/>
  <c r="CN9" i="3" s="1"/>
  <c r="AV12" i="13" s="1"/>
  <c r="BA309" i="3"/>
  <c r="AK330" i="3" s="1"/>
  <c r="AK328" i="3" s="1"/>
  <c r="AU328" i="3" s="1"/>
  <c r="S14" i="13" s="1"/>
  <c r="AI14" i="13" s="1"/>
  <c r="CO24" i="3"/>
  <c r="R27" i="13" s="1"/>
  <c r="DC24" i="3"/>
  <c r="CV24" i="3" s="1"/>
  <c r="CZ24" i="3"/>
  <c r="AV27" i="13"/>
  <c r="BP24" i="3"/>
  <c r="EU24" i="3"/>
  <c r="BI22" i="3"/>
  <c r="CW22" i="3"/>
  <c r="CL22" i="3" s="1"/>
  <c r="CO10" i="3"/>
  <c r="R13" i="13" s="1"/>
  <c r="DW22" i="3"/>
  <c r="AL22" i="3"/>
  <c r="AL309" i="3" s="1"/>
  <c r="EU10" i="3"/>
  <c r="BP10" i="3"/>
  <c r="AV13" i="13"/>
  <c r="CN12" i="3"/>
  <c r="ER22" i="3"/>
  <c r="EU9" i="3"/>
  <c r="EU12" i="3"/>
  <c r="BP12" i="3"/>
  <c r="DD24" i="3"/>
  <c r="CO9" i="3" l="1"/>
  <c r="DC9" i="3"/>
  <c r="CV9" i="3" s="1"/>
  <c r="DD9" i="3"/>
  <c r="Z14" i="13"/>
  <c r="S117" i="13"/>
  <c r="AC117" i="13" s="1"/>
  <c r="CQ114" i="3" s="1"/>
  <c r="S160" i="13"/>
  <c r="AE160" i="13" s="1"/>
  <c r="CS157" i="3" s="1"/>
  <c r="S219" i="13"/>
  <c r="AC219" i="13" s="1"/>
  <c r="CQ216" i="3" s="1"/>
  <c r="S261" i="13"/>
  <c r="AE261" i="13" s="1"/>
  <c r="CS258" i="3" s="1"/>
  <c r="S67" i="13"/>
  <c r="AE67" i="13" s="1"/>
  <c r="CS64" i="3" s="1"/>
  <c r="S302" i="13"/>
  <c r="AE302" i="13" s="1"/>
  <c r="CS299" i="3" s="1"/>
  <c r="S239" i="13"/>
  <c r="AE239" i="13" s="1"/>
  <c r="CS236" i="3" s="1"/>
  <c r="S15" i="13"/>
  <c r="Z15" i="13" s="1"/>
  <c r="S130" i="13"/>
  <c r="AC130" i="13" s="1"/>
  <c r="CQ127" i="3" s="1"/>
  <c r="S27" i="13"/>
  <c r="AC27" i="13" s="1"/>
  <c r="CQ24" i="3" s="1"/>
  <c r="S23" i="13"/>
  <c r="AI23" i="13" s="1"/>
  <c r="S101" i="13"/>
  <c r="AE101" i="13" s="1"/>
  <c r="CS98" i="3" s="1"/>
  <c r="S162" i="13"/>
  <c r="AC162" i="13" s="1"/>
  <c r="CQ159" i="3" s="1"/>
  <c r="S238" i="13"/>
  <c r="AC238" i="13" s="1"/>
  <c r="CQ235" i="3" s="1"/>
  <c r="S29" i="13"/>
  <c r="S42" i="13"/>
  <c r="S17" i="13"/>
  <c r="Z17" i="13" s="1"/>
  <c r="AO17" i="13" s="1"/>
  <c r="S56" i="13"/>
  <c r="AE56" i="13" s="1"/>
  <c r="CS53" i="3" s="1"/>
  <c r="S47" i="13"/>
  <c r="AE47" i="13" s="1"/>
  <c r="CS44" i="3" s="1"/>
  <c r="CZ44" i="3" s="1"/>
  <c r="S164" i="13"/>
  <c r="AC164" i="13" s="1"/>
  <c r="CQ161" i="3" s="1"/>
  <c r="S60" i="13"/>
  <c r="AE60" i="13" s="1"/>
  <c r="CS57" i="3" s="1"/>
  <c r="S285" i="13"/>
  <c r="AI285" i="13" s="1"/>
  <c r="S157" i="13"/>
  <c r="AI157" i="13" s="1"/>
  <c r="S283" i="13"/>
  <c r="AI283" i="13" s="1"/>
  <c r="S152" i="13"/>
  <c r="AC152" i="13" s="1"/>
  <c r="CQ149" i="3" s="1"/>
  <c r="S249" i="13"/>
  <c r="AE249" i="13" s="1"/>
  <c r="CS246" i="3" s="1"/>
  <c r="S13" i="13"/>
  <c r="Z13" i="13" s="1"/>
  <c r="AC13" i="13" s="1"/>
  <c r="CQ10" i="3" s="1"/>
  <c r="S104" i="13"/>
  <c r="AE104" i="13" s="1"/>
  <c r="CS101" i="3" s="1"/>
  <c r="S137" i="13"/>
  <c r="AE137" i="13" s="1"/>
  <c r="CS134" i="3" s="1"/>
  <c r="S18" i="13"/>
  <c r="Z18" i="13" s="1"/>
  <c r="AO18" i="13" s="1"/>
  <c r="S147" i="13"/>
  <c r="AE147" i="13" s="1"/>
  <c r="CS144" i="3" s="1"/>
  <c r="S107" i="13"/>
  <c r="AI107" i="13" s="1"/>
  <c r="S119" i="13"/>
  <c r="AE119" i="13" s="1"/>
  <c r="CS116" i="3" s="1"/>
  <c r="S175" i="13"/>
  <c r="AE175" i="13" s="1"/>
  <c r="CS172" i="3" s="1"/>
  <c r="S143" i="13"/>
  <c r="AC143" i="13" s="1"/>
  <c r="CQ140" i="3" s="1"/>
  <c r="S112" i="13"/>
  <c r="AC112" i="13" s="1"/>
  <c r="CQ109" i="3" s="1"/>
  <c r="S125" i="13"/>
  <c r="AI125" i="13" s="1"/>
  <c r="S191" i="13"/>
  <c r="AC191" i="13" s="1"/>
  <c r="CQ188" i="3" s="1"/>
  <c r="S279" i="13"/>
  <c r="AC279" i="13" s="1"/>
  <c r="CQ276" i="3" s="1"/>
  <c r="S71" i="13"/>
  <c r="AI71" i="13" s="1"/>
  <c r="S75" i="13"/>
  <c r="AE75" i="13" s="1"/>
  <c r="CS72" i="3" s="1"/>
  <c r="S277" i="13"/>
  <c r="AC277" i="13" s="1"/>
  <c r="CQ274" i="3" s="1"/>
  <c r="S94" i="13"/>
  <c r="AI94" i="13" s="1"/>
  <c r="S199" i="13"/>
  <c r="AI199" i="13" s="1"/>
  <c r="S299" i="13"/>
  <c r="AE299" i="13" s="1"/>
  <c r="CS296" i="3" s="1"/>
  <c r="S255" i="13"/>
  <c r="AC255" i="13" s="1"/>
  <c r="CQ252" i="3" s="1"/>
  <c r="S231" i="13"/>
  <c r="AE231" i="13" s="1"/>
  <c r="CS228" i="3" s="1"/>
  <c r="S82" i="13"/>
  <c r="AI82" i="13" s="1"/>
  <c r="S133" i="13"/>
  <c r="AE133" i="13" s="1"/>
  <c r="CS130" i="3" s="1"/>
  <c r="S288" i="13"/>
  <c r="AC288" i="13" s="1"/>
  <c r="CQ285" i="3" s="1"/>
  <c r="S86" i="13"/>
  <c r="AI86" i="13" s="1"/>
  <c r="S258" i="13"/>
  <c r="AE258" i="13" s="1"/>
  <c r="CS255" i="3" s="1"/>
  <c r="S183" i="13"/>
  <c r="AC183" i="13" s="1"/>
  <c r="CQ180" i="3" s="1"/>
  <c r="S110" i="13"/>
  <c r="AI110" i="13" s="1"/>
  <c r="S254" i="13"/>
  <c r="AC254" i="13" s="1"/>
  <c r="CQ251" i="3" s="1"/>
  <c r="S210" i="13"/>
  <c r="AI210" i="13" s="1"/>
  <c r="S85" i="13"/>
  <c r="AE85" i="13" s="1"/>
  <c r="CS82" i="3" s="1"/>
  <c r="S12" i="13"/>
  <c r="S208" i="13"/>
  <c r="AE208" i="13" s="1"/>
  <c r="CS205" i="3" s="1"/>
  <c r="S271" i="13"/>
  <c r="AI271" i="13" s="1"/>
  <c r="S44" i="13"/>
  <c r="S178" i="13"/>
  <c r="AE178" i="13" s="1"/>
  <c r="CS175" i="3" s="1"/>
  <c r="S209" i="13"/>
  <c r="AC209" i="13" s="1"/>
  <c r="CQ206" i="3" s="1"/>
  <c r="S50" i="13"/>
  <c r="S227" i="13"/>
  <c r="AI227" i="13" s="1"/>
  <c r="S310" i="13"/>
  <c r="AC310" i="13" s="1"/>
  <c r="CQ307" i="3" s="1"/>
  <c r="S151" i="13"/>
  <c r="AC151" i="13" s="1"/>
  <c r="CQ148" i="3" s="1"/>
  <c r="S54" i="13"/>
  <c r="AC54" i="13" s="1"/>
  <c r="CQ51" i="3" s="1"/>
  <c r="S190" i="13"/>
  <c r="AE190" i="13" s="1"/>
  <c r="CS187" i="3" s="1"/>
  <c r="S79" i="13"/>
  <c r="AC79" i="13" s="1"/>
  <c r="CQ76" i="3" s="1"/>
  <c r="S235" i="13"/>
  <c r="AC235" i="13" s="1"/>
  <c r="CQ232" i="3" s="1"/>
  <c r="S270" i="13"/>
  <c r="AE270" i="13" s="1"/>
  <c r="CS267" i="3" s="1"/>
  <c r="S108" i="13"/>
  <c r="AE108" i="13" s="1"/>
  <c r="CS105" i="3" s="1"/>
  <c r="S87" i="13"/>
  <c r="AE87" i="13" s="1"/>
  <c r="CS84" i="3" s="1"/>
  <c r="S124" i="13"/>
  <c r="AC124" i="13" s="1"/>
  <c r="CQ121" i="3" s="1"/>
  <c r="S40" i="13"/>
  <c r="AE40" i="13" s="1"/>
  <c r="CS37" i="3" s="1"/>
  <c r="S98" i="13"/>
  <c r="AC98" i="13" s="1"/>
  <c r="CQ95" i="3" s="1"/>
  <c r="S272" i="13"/>
  <c r="AI272" i="13" s="1"/>
  <c r="S111" i="13"/>
  <c r="AI111" i="13" s="1"/>
  <c r="S80" i="13"/>
  <c r="AE80" i="13" s="1"/>
  <c r="CS77" i="3" s="1"/>
  <c r="S66" i="13"/>
  <c r="AI66" i="13" s="1"/>
  <c r="S90" i="13"/>
  <c r="AE90" i="13" s="1"/>
  <c r="CS87" i="3" s="1"/>
  <c r="S284" i="13"/>
  <c r="AC284" i="13" s="1"/>
  <c r="CQ281" i="3" s="1"/>
  <c r="S121" i="13"/>
  <c r="AE121" i="13" s="1"/>
  <c r="CS118" i="3" s="1"/>
  <c r="S264" i="13"/>
  <c r="AI264" i="13" s="1"/>
  <c r="S118" i="13"/>
  <c r="AC118" i="13" s="1"/>
  <c r="CQ115" i="3" s="1"/>
  <c r="S185" i="13"/>
  <c r="AE185" i="13" s="1"/>
  <c r="CS182" i="3" s="1"/>
  <c r="S77" i="13"/>
  <c r="AE77" i="13" s="1"/>
  <c r="CS74" i="3" s="1"/>
  <c r="S230" i="13"/>
  <c r="AE230" i="13" s="1"/>
  <c r="CS227" i="3" s="1"/>
  <c r="S244" i="13"/>
  <c r="AC244" i="13" s="1"/>
  <c r="CQ241" i="3" s="1"/>
  <c r="S105" i="13"/>
  <c r="AE105" i="13" s="1"/>
  <c r="CS102" i="3" s="1"/>
  <c r="S74" i="13"/>
  <c r="AE74" i="13" s="1"/>
  <c r="CS71" i="3" s="1"/>
  <c r="S174" i="13"/>
  <c r="AE174" i="13" s="1"/>
  <c r="CS171" i="3" s="1"/>
  <c r="S245" i="13"/>
  <c r="AE245" i="13" s="1"/>
  <c r="CS242" i="3" s="1"/>
  <c r="S97" i="13"/>
  <c r="AE97" i="13" s="1"/>
  <c r="CS94" i="3" s="1"/>
  <c r="S103" i="13"/>
  <c r="AI103" i="13" s="1"/>
  <c r="S253" i="13"/>
  <c r="AE253" i="13" s="1"/>
  <c r="CS250" i="3" s="1"/>
  <c r="S120" i="13"/>
  <c r="AC120" i="13" s="1"/>
  <c r="CQ117" i="3" s="1"/>
  <c r="S116" i="13"/>
  <c r="AE116" i="13" s="1"/>
  <c r="CS113" i="3" s="1"/>
  <c r="S281" i="13"/>
  <c r="AC281" i="13" s="1"/>
  <c r="CQ278" i="3" s="1"/>
  <c r="S149" i="13"/>
  <c r="AC149" i="13" s="1"/>
  <c r="CQ146" i="3" s="1"/>
  <c r="S188" i="13"/>
  <c r="AI188" i="13" s="1"/>
  <c r="S148" i="13"/>
  <c r="AE148" i="13" s="1"/>
  <c r="CS145" i="3" s="1"/>
  <c r="S181" i="13"/>
  <c r="AC181" i="13" s="1"/>
  <c r="CQ178" i="3" s="1"/>
  <c r="S306" i="13"/>
  <c r="AC306" i="13" s="1"/>
  <c r="CQ303" i="3" s="1"/>
  <c r="S30" i="13"/>
  <c r="S122" i="13"/>
  <c r="AI122" i="13" s="1"/>
  <c r="S187" i="13"/>
  <c r="AE187" i="13" s="1"/>
  <c r="CS184" i="3" s="1"/>
  <c r="S32" i="13"/>
  <c r="S115" i="13"/>
  <c r="AI115" i="13" s="1"/>
  <c r="S58" i="13"/>
  <c r="AE58" i="13" s="1"/>
  <c r="CS55" i="3" s="1"/>
  <c r="S161" i="13"/>
  <c r="AE161" i="13" s="1"/>
  <c r="CS158" i="3" s="1"/>
  <c r="S95" i="13"/>
  <c r="S91" i="13"/>
  <c r="AC91" i="13" s="1"/>
  <c r="CQ88" i="3" s="1"/>
  <c r="S173" i="13"/>
  <c r="AE173" i="13" s="1"/>
  <c r="CS170" i="3" s="1"/>
  <c r="S171" i="13"/>
  <c r="AE171" i="13" s="1"/>
  <c r="CS168" i="3" s="1"/>
  <c r="S257" i="13"/>
  <c r="AE257" i="13" s="1"/>
  <c r="CS254" i="3" s="1"/>
  <c r="S237" i="13"/>
  <c r="AC237" i="13" s="1"/>
  <c r="CQ234" i="3" s="1"/>
  <c r="S213" i="13"/>
  <c r="AE213" i="13" s="1"/>
  <c r="CS210" i="3" s="1"/>
  <c r="S305" i="13"/>
  <c r="AE305" i="13" s="1"/>
  <c r="CS302" i="3" s="1"/>
  <c r="S225" i="13"/>
  <c r="AE225" i="13" s="1"/>
  <c r="CS222" i="3" s="1"/>
  <c r="S280" i="13"/>
  <c r="AE280" i="13" s="1"/>
  <c r="CS277" i="3" s="1"/>
  <c r="S202" i="13"/>
  <c r="AE202" i="13" s="1"/>
  <c r="CS199" i="3" s="1"/>
  <c r="S214" i="13"/>
  <c r="AC214" i="13" s="1"/>
  <c r="CQ211" i="3" s="1"/>
  <c r="S282" i="13"/>
  <c r="AC282" i="13" s="1"/>
  <c r="CQ279" i="3" s="1"/>
  <c r="S260" i="13"/>
  <c r="AI260" i="13" s="1"/>
  <c r="S138" i="13"/>
  <c r="AE138" i="13" s="1"/>
  <c r="CS135" i="3" s="1"/>
  <c r="S179" i="13"/>
  <c r="AC179" i="13" s="1"/>
  <c r="CQ176" i="3" s="1"/>
  <c r="S129" i="13"/>
  <c r="AC129" i="13" s="1"/>
  <c r="CQ126" i="3" s="1"/>
  <c r="S233" i="13"/>
  <c r="AE233" i="13" s="1"/>
  <c r="CS230" i="3" s="1"/>
  <c r="S154" i="13"/>
  <c r="AC154" i="13" s="1"/>
  <c r="CQ151" i="3" s="1"/>
  <c r="S81" i="13"/>
  <c r="AE81" i="13" s="1"/>
  <c r="CS78" i="3" s="1"/>
  <c r="S296" i="13"/>
  <c r="AI296" i="13" s="1"/>
  <c r="S68" i="13"/>
  <c r="AC68" i="13" s="1"/>
  <c r="CQ65" i="3" s="1"/>
  <c r="S311" i="13"/>
  <c r="AE311" i="13" s="1"/>
  <c r="CS308" i="3" s="1"/>
  <c r="S33" i="13"/>
  <c r="S61" i="13"/>
  <c r="S109" i="13"/>
  <c r="AC109" i="13" s="1"/>
  <c r="CQ106" i="3" s="1"/>
  <c r="S292" i="13"/>
  <c r="AE292" i="13" s="1"/>
  <c r="CS289" i="3" s="1"/>
  <c r="S96" i="13"/>
  <c r="AI96" i="13" s="1"/>
  <c r="S229" i="13"/>
  <c r="AE229" i="13" s="1"/>
  <c r="CS226" i="3" s="1"/>
  <c r="S83" i="13"/>
  <c r="AC83" i="13" s="1"/>
  <c r="CQ80" i="3" s="1"/>
  <c r="S99" i="13"/>
  <c r="AE99" i="13" s="1"/>
  <c r="CS96" i="3" s="1"/>
  <c r="S170" i="13"/>
  <c r="AE170" i="13" s="1"/>
  <c r="CS167" i="3" s="1"/>
  <c r="S275" i="13"/>
  <c r="AE275" i="13" s="1"/>
  <c r="CS272" i="3" s="1"/>
  <c r="S207" i="13"/>
  <c r="AC207" i="13" s="1"/>
  <c r="CQ204" i="3" s="1"/>
  <c r="S194" i="13"/>
  <c r="AI194" i="13" s="1"/>
  <c r="S278" i="13"/>
  <c r="AC278" i="13" s="1"/>
  <c r="CQ275" i="3" s="1"/>
  <c r="S215" i="13"/>
  <c r="AC215" i="13" s="1"/>
  <c r="CQ212" i="3" s="1"/>
  <c r="S211" i="13"/>
  <c r="AC211" i="13" s="1"/>
  <c r="CQ208" i="3" s="1"/>
  <c r="S197" i="13"/>
  <c r="AC197" i="13" s="1"/>
  <c r="CQ194" i="3" s="1"/>
  <c r="S140" i="13"/>
  <c r="AI140" i="13" s="1"/>
  <c r="S198" i="13"/>
  <c r="AC198" i="13" s="1"/>
  <c r="CQ195" i="3" s="1"/>
  <c r="S309" i="13"/>
  <c r="AC309" i="13" s="1"/>
  <c r="CQ306" i="3" s="1"/>
  <c r="S92" i="13"/>
  <c r="AC92" i="13" s="1"/>
  <c r="CQ89" i="3" s="1"/>
  <c r="S72" i="13"/>
  <c r="AC72" i="13" s="1"/>
  <c r="CQ69" i="3" s="1"/>
  <c r="S267" i="13"/>
  <c r="AI267" i="13" s="1"/>
  <c r="S308" i="13"/>
  <c r="AI308" i="13" s="1"/>
  <c r="S41" i="13"/>
  <c r="AC41" i="13" s="1"/>
  <c r="CQ38" i="3" s="1"/>
  <c r="S182" i="13"/>
  <c r="AC182" i="13" s="1"/>
  <c r="CQ179" i="3" s="1"/>
  <c r="S166" i="13"/>
  <c r="AC166" i="13" s="1"/>
  <c r="CQ163" i="3" s="1"/>
  <c r="S220" i="13"/>
  <c r="AC220" i="13" s="1"/>
  <c r="CQ217" i="3" s="1"/>
  <c r="S274" i="13"/>
  <c r="AC274" i="13" s="1"/>
  <c r="CQ271" i="3" s="1"/>
  <c r="S25" i="13"/>
  <c r="S286" i="13"/>
  <c r="AI286" i="13" s="1"/>
  <c r="S45" i="13"/>
  <c r="AI45" i="13" s="1"/>
  <c r="S287" i="13"/>
  <c r="AE287" i="13" s="1"/>
  <c r="CS284" i="3" s="1"/>
  <c r="S38" i="13"/>
  <c r="S248" i="13"/>
  <c r="AC248" i="13" s="1"/>
  <c r="CQ245" i="3" s="1"/>
  <c r="S36" i="13"/>
  <c r="S16" i="13"/>
  <c r="AI16" i="13" s="1"/>
  <c r="S123" i="13"/>
  <c r="AE123" i="13" s="1"/>
  <c r="CS120" i="3" s="1"/>
  <c r="S206" i="13"/>
  <c r="AE206" i="13" s="1"/>
  <c r="CS203" i="3" s="1"/>
  <c r="S243" i="13"/>
  <c r="AC243" i="13" s="1"/>
  <c r="CQ240" i="3" s="1"/>
  <c r="S89" i="13"/>
  <c r="AI89" i="13" s="1"/>
  <c r="S19" i="13"/>
  <c r="S251" i="13"/>
  <c r="AE251" i="13" s="1"/>
  <c r="CS248" i="3" s="1"/>
  <c r="S132" i="13"/>
  <c r="AC132" i="13" s="1"/>
  <c r="CQ129" i="3" s="1"/>
  <c r="S26" i="13"/>
  <c r="AI26" i="13" s="1"/>
  <c r="S268" i="13"/>
  <c r="AE268" i="13" s="1"/>
  <c r="CS265" i="3" s="1"/>
  <c r="S20" i="13"/>
  <c r="AI20" i="13" s="1"/>
  <c r="S195" i="13"/>
  <c r="AE195" i="13" s="1"/>
  <c r="CS192" i="3" s="1"/>
  <c r="S196" i="13"/>
  <c r="AE196" i="13" s="1"/>
  <c r="CS193" i="3" s="1"/>
  <c r="S246" i="13"/>
  <c r="AE246" i="13" s="1"/>
  <c r="CS243" i="3" s="1"/>
  <c r="S234" i="13"/>
  <c r="S150" i="13"/>
  <c r="AE150" i="13" s="1"/>
  <c r="CS147" i="3" s="1"/>
  <c r="S177" i="13"/>
  <c r="AI177" i="13" s="1"/>
  <c r="S294" i="13"/>
  <c r="AE294" i="13" s="1"/>
  <c r="CS291" i="3" s="1"/>
  <c r="S52" i="13"/>
  <c r="S65" i="13"/>
  <c r="AE65" i="13" s="1"/>
  <c r="CS62" i="3" s="1"/>
  <c r="S218" i="13"/>
  <c r="AC218" i="13" s="1"/>
  <c r="CQ215" i="3" s="1"/>
  <c r="S158" i="13"/>
  <c r="AE158" i="13" s="1"/>
  <c r="CS155" i="3" s="1"/>
  <c r="S221" i="13"/>
  <c r="AC221" i="13" s="1"/>
  <c r="CQ218" i="3" s="1"/>
  <c r="S212" i="13"/>
  <c r="AE212" i="13" s="1"/>
  <c r="CS209" i="3" s="1"/>
  <c r="S64" i="13"/>
  <c r="AC64" i="13" s="1"/>
  <c r="CQ61" i="3" s="1"/>
  <c r="S165" i="13"/>
  <c r="AI165" i="13" s="1"/>
  <c r="S126" i="13"/>
  <c r="AE126" i="13" s="1"/>
  <c r="CS123" i="3" s="1"/>
  <c r="S113" i="13"/>
  <c r="AC113" i="13" s="1"/>
  <c r="CQ110" i="3" s="1"/>
  <c r="S37" i="13"/>
  <c r="S184" i="13"/>
  <c r="AE184" i="13" s="1"/>
  <c r="CS181" i="3" s="1"/>
  <c r="S236" i="13"/>
  <c r="S114" i="13"/>
  <c r="AC114" i="13" s="1"/>
  <c r="CQ111" i="3" s="1"/>
  <c r="S21" i="13"/>
  <c r="Z21" i="13" s="1"/>
  <c r="AO21" i="13" s="1"/>
  <c r="S295" i="13"/>
  <c r="AC295" i="13" s="1"/>
  <c r="CQ292" i="3" s="1"/>
  <c r="S34" i="13"/>
  <c r="S186" i="13"/>
  <c r="AC186" i="13" s="1"/>
  <c r="CQ183" i="3" s="1"/>
  <c r="S102" i="13"/>
  <c r="AE102" i="13" s="1"/>
  <c r="CS99" i="3" s="1"/>
  <c r="S22" i="13"/>
  <c r="S168" i="13"/>
  <c r="AI168" i="13" s="1"/>
  <c r="S24" i="13"/>
  <c r="AE24" i="13" s="1"/>
  <c r="CS21" i="3" s="1"/>
  <c r="S128" i="13"/>
  <c r="AC128" i="13" s="1"/>
  <c r="CQ125" i="3" s="1"/>
  <c r="S70" i="13"/>
  <c r="AE70" i="13" s="1"/>
  <c r="CS67" i="3" s="1"/>
  <c r="S200" i="13"/>
  <c r="AE200" i="13" s="1"/>
  <c r="CS197" i="3" s="1"/>
  <c r="S163" i="13"/>
  <c r="AI163" i="13" s="1"/>
  <c r="S131" i="13"/>
  <c r="AC131" i="13" s="1"/>
  <c r="CQ128" i="3" s="1"/>
  <c r="S39" i="13"/>
  <c r="Z39" i="13" s="1"/>
  <c r="AO39" i="13" s="1"/>
  <c r="S289" i="13"/>
  <c r="AC289" i="13" s="1"/>
  <c r="CQ286" i="3" s="1"/>
  <c r="S242" i="13"/>
  <c r="AC242" i="13" s="1"/>
  <c r="CQ239" i="3" s="1"/>
  <c r="S100" i="13"/>
  <c r="AC100" i="13" s="1"/>
  <c r="CQ97" i="3" s="1"/>
  <c r="S172" i="13"/>
  <c r="AC172" i="13" s="1"/>
  <c r="CQ169" i="3" s="1"/>
  <c r="S307" i="13"/>
  <c r="AE307" i="13" s="1"/>
  <c r="CS304" i="3" s="1"/>
  <c r="S223" i="13"/>
  <c r="AE223" i="13" s="1"/>
  <c r="CS220" i="3" s="1"/>
  <c r="S144" i="13"/>
  <c r="AI144" i="13" s="1"/>
  <c r="S303" i="13"/>
  <c r="AC303" i="13" s="1"/>
  <c r="CQ300" i="3" s="1"/>
  <c r="S55" i="13"/>
  <c r="AE55" i="13" s="1"/>
  <c r="CS52" i="3" s="1"/>
  <c r="S141" i="13"/>
  <c r="AI141" i="13" s="1"/>
  <c r="S252" i="13"/>
  <c r="AE252" i="13" s="1"/>
  <c r="CS249" i="3" s="1"/>
  <c r="S276" i="13"/>
  <c r="AC276" i="13" s="1"/>
  <c r="CQ273" i="3" s="1"/>
  <c r="S63" i="13"/>
  <c r="AI63" i="13" s="1"/>
  <c r="S297" i="13"/>
  <c r="AI297" i="13" s="1"/>
  <c r="S155" i="13"/>
  <c r="AE155" i="13" s="1"/>
  <c r="CS152" i="3" s="1"/>
  <c r="S216" i="13"/>
  <c r="AC216" i="13" s="1"/>
  <c r="CQ213" i="3" s="1"/>
  <c r="S262" i="13"/>
  <c r="AC262" i="13" s="1"/>
  <c r="CQ259" i="3" s="1"/>
  <c r="S51" i="13"/>
  <c r="S224" i="13"/>
  <c r="AE224" i="13" s="1"/>
  <c r="CS221" i="3" s="1"/>
  <c r="S59" i="13"/>
  <c r="AE59" i="13" s="1"/>
  <c r="CS56" i="3" s="1"/>
  <c r="S69" i="13"/>
  <c r="AE69" i="13" s="1"/>
  <c r="CS66" i="3" s="1"/>
  <c r="S300" i="13"/>
  <c r="AI300" i="13" s="1"/>
  <c r="S156" i="13"/>
  <c r="AC156" i="13" s="1"/>
  <c r="CQ153" i="3" s="1"/>
  <c r="S53" i="13"/>
  <c r="AE53" i="13" s="1"/>
  <c r="CS50" i="3" s="1"/>
  <c r="S139" i="13"/>
  <c r="AE139" i="13" s="1"/>
  <c r="CS136" i="3" s="1"/>
  <c r="S48" i="13"/>
  <c r="S145" i="13"/>
  <c r="AI145" i="13" s="1"/>
  <c r="S46" i="13"/>
  <c r="S57" i="13"/>
  <c r="AC57" i="13" s="1"/>
  <c r="CQ54" i="3" s="1"/>
  <c r="S256" i="13"/>
  <c r="AE256" i="13" s="1"/>
  <c r="CS253" i="3" s="1"/>
  <c r="S180" i="13"/>
  <c r="AC180" i="13" s="1"/>
  <c r="CQ177" i="3" s="1"/>
  <c r="S167" i="13"/>
  <c r="AE167" i="13" s="1"/>
  <c r="CS164" i="3" s="1"/>
  <c r="S203" i="13"/>
  <c r="AC203" i="13" s="1"/>
  <c r="CQ200" i="3" s="1"/>
  <c r="S273" i="13"/>
  <c r="AC273" i="13" s="1"/>
  <c r="CQ270" i="3" s="1"/>
  <c r="S228" i="13"/>
  <c r="AE228" i="13" s="1"/>
  <c r="CS225" i="3" s="1"/>
  <c r="S28" i="13"/>
  <c r="AI28" i="13" s="1"/>
  <c r="S76" i="13"/>
  <c r="AE76" i="13" s="1"/>
  <c r="CS73" i="3" s="1"/>
  <c r="S127" i="13"/>
  <c r="AC127" i="13" s="1"/>
  <c r="CQ124" i="3" s="1"/>
  <c r="S290" i="13"/>
  <c r="AC290" i="13" s="1"/>
  <c r="CQ287" i="3" s="1"/>
  <c r="S49" i="13"/>
  <c r="S293" i="13"/>
  <c r="AE293" i="13" s="1"/>
  <c r="CS290" i="3" s="1"/>
  <c r="S159" i="13"/>
  <c r="AE159" i="13" s="1"/>
  <c r="CS156" i="3" s="1"/>
  <c r="S263" i="13"/>
  <c r="AI263" i="13" s="1"/>
  <c r="S134" i="13"/>
  <c r="AE134" i="13" s="1"/>
  <c r="CS131" i="3" s="1"/>
  <c r="S146" i="13"/>
  <c r="AE146" i="13" s="1"/>
  <c r="CS143" i="3" s="1"/>
  <c r="S241" i="13"/>
  <c r="AE241" i="13" s="1"/>
  <c r="CS238" i="3" s="1"/>
  <c r="S176" i="13"/>
  <c r="AI176" i="13" s="1"/>
  <c r="S142" i="13"/>
  <c r="AC142" i="13" s="1"/>
  <c r="CQ139" i="3" s="1"/>
  <c r="S204" i="13"/>
  <c r="AC204" i="13" s="1"/>
  <c r="CQ201" i="3" s="1"/>
  <c r="S192" i="13"/>
  <c r="AC192" i="13" s="1"/>
  <c r="CQ189" i="3" s="1"/>
  <c r="S43" i="13"/>
  <c r="AI43" i="13" s="1"/>
  <c r="S84" i="13"/>
  <c r="AC84" i="13" s="1"/>
  <c r="CQ81" i="3" s="1"/>
  <c r="S250" i="13"/>
  <c r="AE250" i="13" s="1"/>
  <c r="CS247" i="3" s="1"/>
  <c r="S193" i="13"/>
  <c r="AI193" i="13" s="1"/>
  <c r="S298" i="13"/>
  <c r="AE298" i="13" s="1"/>
  <c r="CS295" i="3" s="1"/>
  <c r="S31" i="13"/>
  <c r="S301" i="13"/>
  <c r="AI301" i="13" s="1"/>
  <c r="S226" i="13"/>
  <c r="AE226" i="13" s="1"/>
  <c r="CS223" i="3" s="1"/>
  <c r="S135" i="13"/>
  <c r="AC135" i="13" s="1"/>
  <c r="CQ132" i="3" s="1"/>
  <c r="S201" i="13"/>
  <c r="AI201" i="13" s="1"/>
  <c r="S266" i="13"/>
  <c r="AE266" i="13" s="1"/>
  <c r="CS263" i="3" s="1"/>
  <c r="S217" i="13"/>
  <c r="AE217" i="13" s="1"/>
  <c r="CS214" i="3" s="1"/>
  <c r="S189" i="13"/>
  <c r="AI189" i="13" s="1"/>
  <c r="S78" i="13"/>
  <c r="AE78" i="13" s="1"/>
  <c r="CS75" i="3" s="1"/>
  <c r="S232" i="13"/>
  <c r="AC232" i="13" s="1"/>
  <c r="CQ229" i="3" s="1"/>
  <c r="S106" i="13"/>
  <c r="AC106" i="13" s="1"/>
  <c r="CQ103" i="3" s="1"/>
  <c r="S62" i="13"/>
  <c r="AE62" i="13" s="1"/>
  <c r="CS59" i="3" s="1"/>
  <c r="S222" i="13"/>
  <c r="AE222" i="13" s="1"/>
  <c r="CS219" i="3" s="1"/>
  <c r="S247" i="13"/>
  <c r="AC247" i="13" s="1"/>
  <c r="CQ244" i="3" s="1"/>
  <c r="S304" i="13"/>
  <c r="AE304" i="13" s="1"/>
  <c r="CS301" i="3" s="1"/>
  <c r="S265" i="13"/>
  <c r="AI265" i="13" s="1"/>
  <c r="S136" i="13"/>
  <c r="AC136" i="13" s="1"/>
  <c r="CQ133" i="3" s="1"/>
  <c r="S73" i="13"/>
  <c r="AI73" i="13" s="1"/>
  <c r="S35" i="13"/>
  <c r="S93" i="13"/>
  <c r="AE93" i="13" s="1"/>
  <c r="CS90" i="3" s="1"/>
  <c r="S291" i="13"/>
  <c r="AE291" i="13" s="1"/>
  <c r="CS288" i="3" s="1"/>
  <c r="S240" i="13"/>
  <c r="AE240" i="13" s="1"/>
  <c r="CS237" i="3" s="1"/>
  <c r="S169" i="13"/>
  <c r="AE169" i="13" s="1"/>
  <c r="CS166" i="3" s="1"/>
  <c r="S153" i="13"/>
  <c r="AE153" i="13" s="1"/>
  <c r="CS150" i="3" s="1"/>
  <c r="S259" i="13"/>
  <c r="AI259" i="13" s="1"/>
  <c r="S205" i="13"/>
  <c r="AE205" i="13" s="1"/>
  <c r="CS202" i="3" s="1"/>
  <c r="S269" i="13"/>
  <c r="AC269" i="13" s="1"/>
  <c r="CQ266" i="3" s="1"/>
  <c r="S88" i="13"/>
  <c r="AC88" i="13" s="1"/>
  <c r="CQ85" i="3" s="1"/>
  <c r="AE14" i="13"/>
  <c r="CS11" i="3" s="1"/>
  <c r="AO14" i="13"/>
  <c r="AQ14" i="13" s="1"/>
  <c r="AC14" i="13"/>
  <c r="CQ11" i="3" s="1"/>
  <c r="AD13" i="13"/>
  <c r="CR10" i="3" s="1"/>
  <c r="Z26" i="13"/>
  <c r="ET309" i="3"/>
  <c r="CJ22" i="3"/>
  <c r="AE289" i="13"/>
  <c r="CS286" i="3" s="1"/>
  <c r="AI289" i="13"/>
  <c r="DJ9" i="3"/>
  <c r="DF9" i="3"/>
  <c r="AC251" i="13"/>
  <c r="CQ248" i="3" s="1"/>
  <c r="D27" i="13"/>
  <c r="CX24" i="3"/>
  <c r="C327" i="13"/>
  <c r="C27" i="13"/>
  <c r="AE117" i="13"/>
  <c r="CS114" i="3" s="1"/>
  <c r="AI117" i="13"/>
  <c r="AC253" i="13"/>
  <c r="CQ250" i="3" s="1"/>
  <c r="AI120" i="13"/>
  <c r="AE168" i="13"/>
  <c r="CS165" i="3" s="1"/>
  <c r="AC168" i="13"/>
  <c r="CQ165" i="3" s="1"/>
  <c r="AE130" i="13"/>
  <c r="CS127" i="3" s="1"/>
  <c r="AI130" i="13"/>
  <c r="AV15" i="13"/>
  <c r="CO12" i="3"/>
  <c r="R15" i="13" s="1"/>
  <c r="Z23" i="13"/>
  <c r="AE198" i="13"/>
  <c r="CS195" i="3" s="1"/>
  <c r="AI198" i="13"/>
  <c r="AI306" i="13"/>
  <c r="AI17" i="13"/>
  <c r="AC56" i="13"/>
  <c r="CQ53" i="3" s="1"/>
  <c r="AE166" i="13"/>
  <c r="CS163" i="3" s="1"/>
  <c r="AH27" i="13"/>
  <c r="AO27" i="13"/>
  <c r="AM27" i="13"/>
  <c r="AN27" i="13"/>
  <c r="AK27" i="13"/>
  <c r="AP27" i="13"/>
  <c r="AL27" i="13"/>
  <c r="AG27" i="13"/>
  <c r="C312" i="13"/>
  <c r="C12" i="13"/>
  <c r="AC249" i="13"/>
  <c r="CQ246" i="3" s="1"/>
  <c r="AI249" i="13"/>
  <c r="AC119" i="13"/>
  <c r="CQ116" i="3" s="1"/>
  <c r="AI119" i="13"/>
  <c r="AC175" i="13"/>
  <c r="CQ172" i="3" s="1"/>
  <c r="AC75" i="13"/>
  <c r="CQ72" i="3" s="1"/>
  <c r="AI277" i="13"/>
  <c r="AI133" i="13"/>
  <c r="AE288" i="13"/>
  <c r="CS285" i="3" s="1"/>
  <c r="AC85" i="13"/>
  <c r="CQ82" i="3" s="1"/>
  <c r="Z12" i="13"/>
  <c r="AO12" i="13" s="1"/>
  <c r="AH13" i="13"/>
  <c r="AL13" i="13"/>
  <c r="AK13" i="13"/>
  <c r="AN13" i="13"/>
  <c r="AM13" i="13"/>
  <c r="AP13" i="13"/>
  <c r="AG13" i="13"/>
  <c r="AD27" i="13"/>
  <c r="CR24" i="3" s="1"/>
  <c r="AE227" i="13"/>
  <c r="CS224" i="3" s="1"/>
  <c r="AC227" i="13"/>
  <c r="CQ224" i="3" s="1"/>
  <c r="AC108" i="13"/>
  <c r="CQ105" i="3" s="1"/>
  <c r="AI108" i="13"/>
  <c r="AC87" i="13"/>
  <c r="CQ84" i="3" s="1"/>
  <c r="AC66" i="13"/>
  <c r="CQ63" i="3" s="1"/>
  <c r="AE66" i="13"/>
  <c r="CS63" i="3" s="1"/>
  <c r="AI230" i="13"/>
  <c r="AE244" i="13"/>
  <c r="CS241" i="3" s="1"/>
  <c r="AI244" i="13"/>
  <c r="DJ24" i="3"/>
  <c r="DF24" i="3"/>
  <c r="AG12" i="13"/>
  <c r="AL12" i="13"/>
  <c r="AN12" i="13"/>
  <c r="AP12" i="13"/>
  <c r="AM12" i="13"/>
  <c r="AK12" i="13"/>
  <c r="AI12" i="13"/>
  <c r="AC95" i="13"/>
  <c r="CQ92" i="3" s="1"/>
  <c r="AE95" i="13"/>
  <c r="CS92" i="3" s="1"/>
  <c r="AI95" i="13"/>
  <c r="AE91" i="13"/>
  <c r="CS88" i="3" s="1"/>
  <c r="AI91" i="13"/>
  <c r="AC225" i="13"/>
  <c r="CQ222" i="3" s="1"/>
  <c r="AI225" i="13"/>
  <c r="AE129" i="13"/>
  <c r="CS126" i="3" s="1"/>
  <c r="AC233" i="13"/>
  <c r="CQ230" i="3" s="1"/>
  <c r="AI233" i="13"/>
  <c r="AC61" i="13"/>
  <c r="CQ58" i="3" s="1"/>
  <c r="AE61" i="13"/>
  <c r="CS58" i="3" s="1"/>
  <c r="AI61" i="13"/>
  <c r="AE207" i="13"/>
  <c r="CS204" i="3" s="1"/>
  <c r="AE132" i="13"/>
  <c r="CS129" i="3" s="1"/>
  <c r="AE234" i="13"/>
  <c r="CS231" i="3" s="1"/>
  <c r="AC234" i="13"/>
  <c r="CQ231" i="3" s="1"/>
  <c r="AI234" i="13"/>
  <c r="AC236" i="13"/>
  <c r="CQ233" i="3" s="1"/>
  <c r="AI236" i="13"/>
  <c r="AE236" i="13"/>
  <c r="CS233" i="3" s="1"/>
  <c r="AE177" i="13" l="1"/>
  <c r="CS174" i="3" s="1"/>
  <c r="AI13" i="13"/>
  <c r="AE94" i="13"/>
  <c r="CS91" i="3" s="1"/>
  <c r="AI21" i="13"/>
  <c r="AI232" i="13"/>
  <c r="AC301" i="13"/>
  <c r="CQ298" i="3" s="1"/>
  <c r="AE301" i="13"/>
  <c r="CS298" i="3" s="1"/>
  <c r="AI278" i="13"/>
  <c r="AQ278" i="13" s="1"/>
  <c r="AE203" i="13"/>
  <c r="CS200" i="3" s="1"/>
  <c r="AI262" i="13"/>
  <c r="AI55" i="13"/>
  <c r="AC177" i="13"/>
  <c r="CQ174" i="3" s="1"/>
  <c r="AC94" i="13"/>
  <c r="CQ91" i="3" s="1"/>
  <c r="AE122" i="13"/>
  <c r="CS119" i="3" s="1"/>
  <c r="AC208" i="13"/>
  <c r="CQ205" i="3" s="1"/>
  <c r="AC202" i="13"/>
  <c r="CQ199" i="3" s="1"/>
  <c r="AI135" i="13"/>
  <c r="AC228" i="13"/>
  <c r="CQ225" i="3" s="1"/>
  <c r="AE135" i="13"/>
  <c r="CS132" i="3" s="1"/>
  <c r="AE86" i="13"/>
  <c r="CS83" i="3" s="1"/>
  <c r="AI143" i="13"/>
  <c r="AQ143" i="13" s="1"/>
  <c r="AI92" i="13"/>
  <c r="AI88" i="13"/>
  <c r="AS88" i="13" s="1"/>
  <c r="AI64" i="13"/>
  <c r="AS64" i="13" s="1"/>
  <c r="AC86" i="13"/>
  <c r="CQ83" i="3" s="1"/>
  <c r="AE143" i="13"/>
  <c r="CS140" i="3" s="1"/>
  <c r="AE64" i="13"/>
  <c r="CS61" i="3" s="1"/>
  <c r="AI173" i="13"/>
  <c r="AQ173" i="13" s="1"/>
  <c r="AI47" i="13"/>
  <c r="AQ47" i="13" s="1"/>
  <c r="AI154" i="13"/>
  <c r="AE151" i="13"/>
  <c r="CS148" i="3" s="1"/>
  <c r="AC122" i="13"/>
  <c r="CQ119" i="3" s="1"/>
  <c r="AE23" i="13"/>
  <c r="CS20" i="3" s="1"/>
  <c r="AI100" i="13"/>
  <c r="AQ100" i="13" s="1"/>
  <c r="AE214" i="13"/>
  <c r="CS211" i="3" s="1"/>
  <c r="AC293" i="13"/>
  <c r="CQ290" i="3" s="1"/>
  <c r="AC139" i="13"/>
  <c r="CQ136" i="3" s="1"/>
  <c r="AC205" i="13"/>
  <c r="CQ202" i="3" s="1"/>
  <c r="AE73" i="13"/>
  <c r="CS70" i="3" s="1"/>
  <c r="AC73" i="13"/>
  <c r="CQ70" i="3" s="1"/>
  <c r="AI75" i="13"/>
  <c r="AS75" i="13" s="1"/>
  <c r="AI166" i="13"/>
  <c r="AS166" i="13" s="1"/>
  <c r="AE17" i="13"/>
  <c r="CS14" i="3" s="1"/>
  <c r="AI293" i="13"/>
  <c r="AS293" i="13" s="1"/>
  <c r="AI251" i="13"/>
  <c r="AQ251" i="13" s="1"/>
  <c r="AE262" i="13"/>
  <c r="CS259" i="3" s="1"/>
  <c r="AC17" i="13"/>
  <c r="CQ14" i="3" s="1"/>
  <c r="AI203" i="13"/>
  <c r="AS203" i="13" s="1"/>
  <c r="AI221" i="13"/>
  <c r="AS221" i="13" s="1"/>
  <c r="AI275" i="13"/>
  <c r="AS275" i="13" s="1"/>
  <c r="AI204" i="13"/>
  <c r="AC230" i="13"/>
  <c r="CQ227" i="3" s="1"/>
  <c r="AE232" i="13"/>
  <c r="CS229" i="3" s="1"/>
  <c r="AC133" i="13"/>
  <c r="CQ130" i="3" s="1"/>
  <c r="AI152" i="13"/>
  <c r="AQ152" i="13" s="1"/>
  <c r="AE306" i="13"/>
  <c r="CS303" i="3" s="1"/>
  <c r="AI205" i="13"/>
  <c r="AS205" i="13" s="1"/>
  <c r="AI248" i="13"/>
  <c r="AS248" i="13" s="1"/>
  <c r="AC55" i="13"/>
  <c r="CQ52" i="3" s="1"/>
  <c r="AE221" i="13"/>
  <c r="CS218" i="3" s="1"/>
  <c r="AI129" i="13"/>
  <c r="AS129" i="13" s="1"/>
  <c r="AE204" i="13"/>
  <c r="CS201" i="3" s="1"/>
  <c r="AI85" i="13"/>
  <c r="AS85" i="13" s="1"/>
  <c r="AE152" i="13"/>
  <c r="CS149" i="3" s="1"/>
  <c r="AI253" i="13"/>
  <c r="AQ253" i="13" s="1"/>
  <c r="AE248" i="13"/>
  <c r="CS245" i="3" s="1"/>
  <c r="AI139" i="13"/>
  <c r="AC275" i="13"/>
  <c r="CQ272" i="3" s="1"/>
  <c r="CZ14" i="3"/>
  <c r="DC14" i="3"/>
  <c r="CZ20" i="3"/>
  <c r="DC20" i="3"/>
  <c r="AI81" i="13"/>
  <c r="AS81" i="13" s="1"/>
  <c r="AI40" i="13"/>
  <c r="AQ40" i="13" s="1"/>
  <c r="AE281" i="13"/>
  <c r="CS278" i="3" s="1"/>
  <c r="AE88" i="13"/>
  <c r="CS85" i="3" s="1"/>
  <c r="AI93" i="13"/>
  <c r="AS93" i="13" s="1"/>
  <c r="AC263" i="13"/>
  <c r="CQ260" i="3" s="1"/>
  <c r="AI302" i="13"/>
  <c r="AQ302" i="13" s="1"/>
  <c r="AE54" i="13"/>
  <c r="CS51" i="3" s="1"/>
  <c r="AC258" i="13"/>
  <c r="CQ255" i="3" s="1"/>
  <c r="AC187" i="13"/>
  <c r="CQ184" i="3" s="1"/>
  <c r="AC123" i="13"/>
  <c r="CQ120" i="3" s="1"/>
  <c r="AE72" i="13"/>
  <c r="CS69" i="3" s="1"/>
  <c r="AC104" i="13"/>
  <c r="CQ101" i="3" s="1"/>
  <c r="AI268" i="13"/>
  <c r="AS268" i="13" s="1"/>
  <c r="AE271" i="13"/>
  <c r="CS268" i="3" s="1"/>
  <c r="AE96" i="13"/>
  <c r="CS93" i="3" s="1"/>
  <c r="AI261" i="13"/>
  <c r="AQ261" i="13" s="1"/>
  <c r="AE199" i="13"/>
  <c r="CS196" i="3" s="1"/>
  <c r="AI62" i="13"/>
  <c r="AQ62" i="13" s="1"/>
  <c r="AI178" i="13"/>
  <c r="AQ178" i="13" s="1"/>
  <c r="AE165" i="13"/>
  <c r="CS162" i="3" s="1"/>
  <c r="AI134" i="13"/>
  <c r="AS134" i="13" s="1"/>
  <c r="AE238" i="13"/>
  <c r="CS235" i="3" s="1"/>
  <c r="AE79" i="13"/>
  <c r="CS76" i="3" s="1"/>
  <c r="AC245" i="13"/>
  <c r="CQ242" i="3" s="1"/>
  <c r="AC217" i="13"/>
  <c r="CQ214" i="3" s="1"/>
  <c r="AO13" i="13"/>
  <c r="AQ13" i="13" s="1"/>
  <c r="AE13" i="13"/>
  <c r="CS10" i="3" s="1"/>
  <c r="AE263" i="13"/>
  <c r="CS260" i="3" s="1"/>
  <c r="AI224" i="13"/>
  <c r="AQ224" i="13" s="1"/>
  <c r="AC47" i="13"/>
  <c r="CQ44" i="3" s="1"/>
  <c r="AI116" i="13"/>
  <c r="AS116" i="13" s="1"/>
  <c r="AE26" i="13"/>
  <c r="CS23" i="3" s="1"/>
  <c r="AI243" i="13"/>
  <c r="AS243" i="13" s="1"/>
  <c r="AC194" i="13"/>
  <c r="CQ191" i="3" s="1"/>
  <c r="AI292" i="13"/>
  <c r="AS292" i="13" s="1"/>
  <c r="AE154" i="13"/>
  <c r="CS151" i="3" s="1"/>
  <c r="AC173" i="13"/>
  <c r="CQ170" i="3" s="1"/>
  <c r="AI105" i="13"/>
  <c r="AS105" i="13" s="1"/>
  <c r="AI284" i="13"/>
  <c r="AQ284" i="13" s="1"/>
  <c r="AI124" i="13"/>
  <c r="AQ124" i="13" s="1"/>
  <c r="AC93" i="13"/>
  <c r="CQ90" i="3" s="1"/>
  <c r="AI274" i="13"/>
  <c r="AS274" i="13" s="1"/>
  <c r="AE92" i="13"/>
  <c r="CS89" i="3" s="1"/>
  <c r="AI219" i="13"/>
  <c r="AS219" i="13" s="1"/>
  <c r="AE21" i="13"/>
  <c r="CS18" i="3" s="1"/>
  <c r="AC62" i="13"/>
  <c r="CQ59" i="3" s="1"/>
  <c r="AC145" i="13"/>
  <c r="CQ142" i="3" s="1"/>
  <c r="AE100" i="13"/>
  <c r="CS97" i="3" s="1"/>
  <c r="AE194" i="13"/>
  <c r="CS191" i="3" s="1"/>
  <c r="AC292" i="13"/>
  <c r="CQ289" i="3" s="1"/>
  <c r="AI202" i="13"/>
  <c r="AS202" i="13" s="1"/>
  <c r="AE193" i="13"/>
  <c r="CS190" i="3" s="1"/>
  <c r="AC105" i="13"/>
  <c r="CQ102" i="3" s="1"/>
  <c r="AE284" i="13"/>
  <c r="CS281" i="3" s="1"/>
  <c r="AE124" i="13"/>
  <c r="CS121" i="3" s="1"/>
  <c r="AI151" i="13"/>
  <c r="AS151" i="13" s="1"/>
  <c r="AI208" i="13"/>
  <c r="AQ208" i="13" s="1"/>
  <c r="AE274" i="13"/>
  <c r="CS271" i="3" s="1"/>
  <c r="AC308" i="13"/>
  <c r="CQ305" i="3" s="1"/>
  <c r="AI128" i="13"/>
  <c r="AS128" i="13" s="1"/>
  <c r="AC116" i="13"/>
  <c r="CQ113" i="3" s="1"/>
  <c r="AE219" i="13"/>
  <c r="CS216" i="3" s="1"/>
  <c r="AC21" i="13"/>
  <c r="CQ18" i="3" s="1"/>
  <c r="AE145" i="13"/>
  <c r="CS142" i="3" s="1"/>
  <c r="AI252" i="13"/>
  <c r="AS252" i="13" s="1"/>
  <c r="AC260" i="13"/>
  <c r="CQ257" i="3" s="1"/>
  <c r="AE188" i="13"/>
  <c r="CS185" i="3" s="1"/>
  <c r="AE128" i="13"/>
  <c r="CS125" i="3" s="1"/>
  <c r="AC252" i="13"/>
  <c r="CQ249" i="3" s="1"/>
  <c r="AC110" i="13"/>
  <c r="CQ107" i="3" s="1"/>
  <c r="AE18" i="13"/>
  <c r="CS15" i="3" s="1"/>
  <c r="AI228" i="13"/>
  <c r="AS228" i="13" s="1"/>
  <c r="AC70" i="13"/>
  <c r="CQ67" i="3" s="1"/>
  <c r="AE260" i="13"/>
  <c r="CS257" i="3" s="1"/>
  <c r="AE308" i="13"/>
  <c r="CS305" i="3" s="1"/>
  <c r="AI186" i="13"/>
  <c r="AS186" i="13" s="1"/>
  <c r="AE285" i="13"/>
  <c r="CS282" i="3" s="1"/>
  <c r="AC163" i="13"/>
  <c r="CQ160" i="3" s="1"/>
  <c r="AC302" i="13"/>
  <c r="CQ299" i="3" s="1"/>
  <c r="AE186" i="13"/>
  <c r="CS183" i="3" s="1"/>
  <c r="AC297" i="13"/>
  <c r="CQ294" i="3" s="1"/>
  <c r="AI223" i="13"/>
  <c r="AQ223" i="13" s="1"/>
  <c r="AE113" i="13"/>
  <c r="CS110" i="3" s="1"/>
  <c r="AI65" i="13"/>
  <c r="AQ65" i="13" s="1"/>
  <c r="AE83" i="13"/>
  <c r="CS80" i="3" s="1"/>
  <c r="AI68" i="13"/>
  <c r="AS68" i="13" s="1"/>
  <c r="AE237" i="13"/>
  <c r="CS234" i="3" s="1"/>
  <c r="AE118" i="13"/>
  <c r="CS115" i="3" s="1"/>
  <c r="AE272" i="13"/>
  <c r="CS269" i="3" s="1"/>
  <c r="AE255" i="13"/>
  <c r="CS252" i="3" s="1"/>
  <c r="AC285" i="13"/>
  <c r="CQ282" i="3" s="1"/>
  <c r="AE115" i="13"/>
  <c r="CS112" i="3" s="1"/>
  <c r="AE163" i="13"/>
  <c r="CS160" i="3" s="1"/>
  <c r="AE300" i="13"/>
  <c r="CS297" i="3" s="1"/>
  <c r="AE297" i="13"/>
  <c r="CS294" i="3" s="1"/>
  <c r="AC178" i="13"/>
  <c r="CQ175" i="3" s="1"/>
  <c r="AE110" i="13"/>
  <c r="CS107" i="3" s="1"/>
  <c r="AI113" i="13"/>
  <c r="AS113" i="13" s="1"/>
  <c r="AI83" i="13"/>
  <c r="AQ83" i="13" s="1"/>
  <c r="AC65" i="13"/>
  <c r="CQ62" i="3" s="1"/>
  <c r="AC257" i="13"/>
  <c r="CQ254" i="3" s="1"/>
  <c r="AC272" i="13"/>
  <c r="CQ269" i="3" s="1"/>
  <c r="AI211" i="13"/>
  <c r="AS211" i="13" s="1"/>
  <c r="AI195" i="13"/>
  <c r="AQ195" i="13" s="1"/>
  <c r="AI256" i="13"/>
  <c r="AQ256" i="13" s="1"/>
  <c r="AC300" i="13"/>
  <c r="CQ297" i="3" s="1"/>
  <c r="AI118" i="13"/>
  <c r="AQ118" i="13" s="1"/>
  <c r="AC188" i="13"/>
  <c r="CQ185" i="3" s="1"/>
  <c r="AI255" i="13"/>
  <c r="AQ255" i="13" s="1"/>
  <c r="AE243" i="13"/>
  <c r="CS240" i="3" s="1"/>
  <c r="AE68" i="13"/>
  <c r="CS65" i="3" s="1"/>
  <c r="AC115" i="13"/>
  <c r="CQ112" i="3" s="1"/>
  <c r="AI191" i="13"/>
  <c r="AS191" i="13" s="1"/>
  <c r="AE211" i="13"/>
  <c r="CS208" i="3" s="1"/>
  <c r="AC195" i="13"/>
  <c r="CQ192" i="3" s="1"/>
  <c r="AC256" i="13"/>
  <c r="CQ253" i="3" s="1"/>
  <c r="AI245" i="13"/>
  <c r="AQ245" i="13" s="1"/>
  <c r="AI79" i="13"/>
  <c r="AS79" i="13" s="1"/>
  <c r="AE191" i="13"/>
  <c r="CS188" i="3" s="1"/>
  <c r="AI238" i="13"/>
  <c r="AS238" i="13" s="1"/>
  <c r="AI304" i="13"/>
  <c r="AS304" i="13" s="1"/>
  <c r="AI237" i="13"/>
  <c r="AQ237" i="13" s="1"/>
  <c r="AC18" i="13"/>
  <c r="CQ15" i="3" s="1"/>
  <c r="AC193" i="13"/>
  <c r="CQ190" i="3" s="1"/>
  <c r="AI18" i="13"/>
  <c r="AS18" i="13" s="1"/>
  <c r="AC40" i="13"/>
  <c r="CQ37" i="3" s="1"/>
  <c r="T40" i="13"/>
  <c r="AJ40" i="13" s="1"/>
  <c r="AE39" i="13"/>
  <c r="CS36" i="3" s="1"/>
  <c r="T39" i="13"/>
  <c r="AJ39" i="13" s="1"/>
  <c r="T38" i="13"/>
  <c r="AJ38" i="13" s="1"/>
  <c r="AI229" i="13"/>
  <c r="AQ229" i="13" s="1"/>
  <c r="AI174" i="13"/>
  <c r="AQ174" i="13" s="1"/>
  <c r="AC286" i="13"/>
  <c r="CQ283" i="3" s="1"/>
  <c r="AE296" i="13"/>
  <c r="CS293" i="3" s="1"/>
  <c r="AC174" i="13"/>
  <c r="CQ171" i="3" s="1"/>
  <c r="AC296" i="13"/>
  <c r="CQ293" i="3" s="1"/>
  <c r="AI257" i="13"/>
  <c r="AS257" i="13" s="1"/>
  <c r="AC125" i="13"/>
  <c r="CQ122" i="3" s="1"/>
  <c r="AC229" i="13"/>
  <c r="CQ226" i="3" s="1"/>
  <c r="T12" i="13"/>
  <c r="AJ12" i="13" s="1"/>
  <c r="AE125" i="13"/>
  <c r="CS122" i="3" s="1"/>
  <c r="AI162" i="13"/>
  <c r="AS162" i="13" s="1"/>
  <c r="AC264" i="13"/>
  <c r="CQ261" i="3" s="1"/>
  <c r="AE162" i="13"/>
  <c r="CS159" i="3" s="1"/>
  <c r="T35" i="13"/>
  <c r="AJ35" i="13" s="1"/>
  <c r="AI190" i="13"/>
  <c r="AS190" i="13" s="1"/>
  <c r="AI282" i="13"/>
  <c r="AS282" i="13" s="1"/>
  <c r="AE264" i="13"/>
  <c r="CS261" i="3" s="1"/>
  <c r="AC190" i="13"/>
  <c r="CQ187" i="3" s="1"/>
  <c r="AI299" i="13"/>
  <c r="AQ299" i="13" s="1"/>
  <c r="T20" i="13"/>
  <c r="AJ20" i="13" s="1"/>
  <c r="AC299" i="13"/>
  <c r="CQ296" i="3" s="1"/>
  <c r="AI98" i="13"/>
  <c r="AQ98" i="13" s="1"/>
  <c r="T22" i="13"/>
  <c r="AJ22" i="13" s="1"/>
  <c r="T23" i="13"/>
  <c r="AJ23" i="13" s="1"/>
  <c r="AC201" i="13"/>
  <c r="CQ198" i="3" s="1"/>
  <c r="T21" i="13"/>
  <c r="AJ21" i="13" s="1"/>
  <c r="T46" i="13"/>
  <c r="AJ46" i="13" s="1"/>
  <c r="T15" i="13"/>
  <c r="AJ15" i="13" s="1"/>
  <c r="CY24" i="3"/>
  <c r="DA24" i="3" s="1"/>
  <c r="EL24" i="3" s="1"/>
  <c r="AI291" i="13"/>
  <c r="AS291" i="13" s="1"/>
  <c r="AC222" i="13"/>
  <c r="CQ219" i="3" s="1"/>
  <c r="AE172" i="13"/>
  <c r="CS169" i="3" s="1"/>
  <c r="AC96" i="13"/>
  <c r="CQ93" i="3" s="1"/>
  <c r="AC74" i="13"/>
  <c r="CQ71" i="3" s="1"/>
  <c r="AC121" i="13"/>
  <c r="CQ118" i="3" s="1"/>
  <c r="AC271" i="13"/>
  <c r="CQ268" i="3" s="1"/>
  <c r="AI104" i="13"/>
  <c r="AS104" i="13" s="1"/>
  <c r="AC165" i="13"/>
  <c r="CQ162" i="3" s="1"/>
  <c r="AI187" i="13"/>
  <c r="AQ187" i="13" s="1"/>
  <c r="AC101" i="13"/>
  <c r="CQ98" i="3" s="1"/>
  <c r="AE201" i="13"/>
  <c r="CS198" i="3" s="1"/>
  <c r="AI70" i="13"/>
  <c r="AQ70" i="13" s="1"/>
  <c r="T24" i="13"/>
  <c r="AJ24" i="13" s="1"/>
  <c r="T26" i="13"/>
  <c r="AJ26" i="13" s="1"/>
  <c r="AE28" i="13"/>
  <c r="CS25" i="3" s="1"/>
  <c r="AE34" i="13"/>
  <c r="CS31" i="3" s="1"/>
  <c r="T34" i="13"/>
  <c r="AJ34" i="13" s="1"/>
  <c r="AC52" i="13"/>
  <c r="CQ49" i="3" s="1"/>
  <c r="T52" i="13"/>
  <c r="AJ52" i="13" s="1"/>
  <c r="AC32" i="13"/>
  <c r="CQ29" i="3" s="1"/>
  <c r="T32" i="13"/>
  <c r="AJ32" i="13" s="1"/>
  <c r="T44" i="13"/>
  <c r="AJ44" i="13" s="1"/>
  <c r="AI171" i="13"/>
  <c r="AS171" i="13" s="1"/>
  <c r="AI84" i="13"/>
  <c r="AQ84" i="13" s="1"/>
  <c r="T19" i="13"/>
  <c r="AJ19" i="13" s="1"/>
  <c r="T14" i="13"/>
  <c r="AJ14" i="13" s="1"/>
  <c r="AI112" i="13"/>
  <c r="AS112" i="13" s="1"/>
  <c r="AI294" i="13"/>
  <c r="AQ294" i="13" s="1"/>
  <c r="AI164" i="13"/>
  <c r="AQ164" i="13" s="1"/>
  <c r="AC134" i="13"/>
  <c r="CQ131" i="3" s="1"/>
  <c r="AE278" i="13"/>
  <c r="CS275" i="3" s="1"/>
  <c r="AI59" i="13"/>
  <c r="AS59" i="13" s="1"/>
  <c r="Z43" i="13"/>
  <c r="T43" i="13"/>
  <c r="AJ43" i="13" s="1"/>
  <c r="Z16" i="13"/>
  <c r="T16" i="13"/>
  <c r="AJ16" i="13" s="1"/>
  <c r="AI54" i="13"/>
  <c r="AS54" i="13" s="1"/>
  <c r="AE84" i="13"/>
  <c r="CS81" i="3" s="1"/>
  <c r="AI123" i="13"/>
  <c r="AS123" i="13" s="1"/>
  <c r="AC199" i="13"/>
  <c r="CQ196" i="3" s="1"/>
  <c r="AE112" i="13"/>
  <c r="CS109" i="3" s="1"/>
  <c r="AC294" i="13"/>
  <c r="CQ291" i="3" s="1"/>
  <c r="T25" i="13"/>
  <c r="AE164" i="13"/>
  <c r="CS161" i="3" s="1"/>
  <c r="AI281" i="13"/>
  <c r="AQ281" i="13" s="1"/>
  <c r="AI295" i="13"/>
  <c r="AQ295" i="13" s="1"/>
  <c r="AC59" i="13"/>
  <c r="CQ56" i="3" s="1"/>
  <c r="AI276" i="13"/>
  <c r="AQ276" i="13" s="1"/>
  <c r="AC51" i="13"/>
  <c r="CQ48" i="3" s="1"/>
  <c r="T51" i="13"/>
  <c r="AJ51" i="13" s="1"/>
  <c r="AE36" i="13"/>
  <c r="CS33" i="3" s="1"/>
  <c r="T36" i="13"/>
  <c r="AJ36" i="13" s="1"/>
  <c r="AC30" i="13"/>
  <c r="CQ27" i="3" s="1"/>
  <c r="T30" i="13"/>
  <c r="AJ30" i="13" s="1"/>
  <c r="AC171" i="13"/>
  <c r="CQ168" i="3" s="1"/>
  <c r="AI214" i="13"/>
  <c r="AS214" i="13" s="1"/>
  <c r="T28" i="13"/>
  <c r="AJ28" i="13" s="1"/>
  <c r="AI258" i="13"/>
  <c r="AS258" i="13" s="1"/>
  <c r="T13" i="13"/>
  <c r="AJ13" i="13" s="1"/>
  <c r="T17" i="13"/>
  <c r="AJ17" i="13" s="1"/>
  <c r="AI72" i="13"/>
  <c r="AQ72" i="13" s="1"/>
  <c r="AI222" i="13"/>
  <c r="AS222" i="13" s="1"/>
  <c r="AE295" i="13"/>
  <c r="CS292" i="3" s="1"/>
  <c r="AE276" i="13"/>
  <c r="CS273" i="3" s="1"/>
  <c r="AI172" i="13"/>
  <c r="AS172" i="13" s="1"/>
  <c r="T31" i="13"/>
  <c r="AJ31" i="13" s="1"/>
  <c r="AI33" i="13"/>
  <c r="AS33" i="13" s="1"/>
  <c r="T33" i="13"/>
  <c r="AJ33" i="13" s="1"/>
  <c r="T50" i="13"/>
  <c r="AJ50" i="13" s="1"/>
  <c r="T42" i="13"/>
  <c r="AJ42" i="13" s="1"/>
  <c r="AC81" i="13"/>
  <c r="CQ78" i="3" s="1"/>
  <c r="AI74" i="13"/>
  <c r="AQ74" i="13" s="1"/>
  <c r="AI121" i="13"/>
  <c r="AQ121" i="13" s="1"/>
  <c r="T18" i="13"/>
  <c r="AJ18" i="13" s="1"/>
  <c r="AC268" i="13"/>
  <c r="CQ265" i="3" s="1"/>
  <c r="AI101" i="13"/>
  <c r="AS101" i="13" s="1"/>
  <c r="AC291" i="13"/>
  <c r="CQ288" i="3" s="1"/>
  <c r="AC261" i="13"/>
  <c r="CQ258" i="3" s="1"/>
  <c r="AE37" i="13"/>
  <c r="CS34" i="3" s="1"/>
  <c r="T37" i="13"/>
  <c r="AJ37" i="13" s="1"/>
  <c r="AI29" i="13"/>
  <c r="AQ29" i="13" s="1"/>
  <c r="T29" i="13"/>
  <c r="AJ29" i="13" s="1"/>
  <c r="T27" i="13"/>
  <c r="AJ27" i="13" s="1"/>
  <c r="Z45" i="13"/>
  <c r="T45" i="13"/>
  <c r="AJ45" i="13" s="1"/>
  <c r="AI247" i="13"/>
  <c r="AS247" i="13" s="1"/>
  <c r="AI215" i="13"/>
  <c r="AS215" i="13" s="1"/>
  <c r="AC267" i="13"/>
  <c r="CQ264" i="3" s="1"/>
  <c r="AE286" i="13"/>
  <c r="CS283" i="3" s="1"/>
  <c r="AC224" i="13"/>
  <c r="CQ221" i="3" s="1"/>
  <c r="AC169" i="13"/>
  <c r="CQ166" i="3" s="1"/>
  <c r="AI217" i="13"/>
  <c r="AS217" i="13" s="1"/>
  <c r="AC304" i="13"/>
  <c r="CQ301" i="3" s="1"/>
  <c r="AI127" i="13"/>
  <c r="AQ127" i="13" s="1"/>
  <c r="AI241" i="13"/>
  <c r="AS241" i="13" s="1"/>
  <c r="AE127" i="13"/>
  <c r="CS124" i="3" s="1"/>
  <c r="AI169" i="13"/>
  <c r="AS169" i="13" s="1"/>
  <c r="AC241" i="13"/>
  <c r="CQ238" i="3" s="1"/>
  <c r="Z20" i="13"/>
  <c r="AO20" i="13" s="1"/>
  <c r="AQ20" i="13" s="1"/>
  <c r="Z44" i="13"/>
  <c r="AI46" i="13"/>
  <c r="Z46" i="13"/>
  <c r="T47" i="13"/>
  <c r="AJ47" i="13" s="1"/>
  <c r="Z35" i="13"/>
  <c r="AC35" i="13" s="1"/>
  <c r="CQ32" i="3" s="1"/>
  <c r="AC48" i="13"/>
  <c r="CQ45" i="3" s="1"/>
  <c r="T48" i="13"/>
  <c r="AJ48" i="13" s="1"/>
  <c r="Z31" i="13"/>
  <c r="AO31" i="13" s="1"/>
  <c r="AC49" i="13"/>
  <c r="CQ46" i="3" s="1"/>
  <c r="T49" i="13"/>
  <c r="AJ49" i="13" s="1"/>
  <c r="Z22" i="13"/>
  <c r="AE22" i="13" s="1"/>
  <c r="CS19" i="3" s="1"/>
  <c r="Z19" i="13"/>
  <c r="AO19" i="13" s="1"/>
  <c r="Z38" i="13"/>
  <c r="AO38" i="13" s="1"/>
  <c r="Z50" i="13"/>
  <c r="AO50" i="13" s="1"/>
  <c r="Z42" i="13"/>
  <c r="AO42" i="13" s="1"/>
  <c r="AC97" i="13"/>
  <c r="CQ94" i="3" s="1"/>
  <c r="AC146" i="13"/>
  <c r="CQ143" i="3" s="1"/>
  <c r="AC36" i="13"/>
  <c r="CQ33" i="3" s="1"/>
  <c r="AI213" i="13"/>
  <c r="AQ213" i="13" s="1"/>
  <c r="AC99" i="13"/>
  <c r="CQ96" i="3" s="1"/>
  <c r="AI311" i="13"/>
  <c r="AQ311" i="13" s="1"/>
  <c r="AC311" i="13"/>
  <c r="CQ308" i="3" s="1"/>
  <c r="AI185" i="13"/>
  <c r="AQ185" i="13" s="1"/>
  <c r="AE111" i="13"/>
  <c r="CS108" i="3" s="1"/>
  <c r="AI235" i="13"/>
  <c r="AS235" i="13" s="1"/>
  <c r="AC185" i="13"/>
  <c r="CQ182" i="3" s="1"/>
  <c r="AI209" i="13"/>
  <c r="AQ209" i="13" s="1"/>
  <c r="AC157" i="13"/>
  <c r="CQ154" i="3" s="1"/>
  <c r="AC58" i="13"/>
  <c r="CQ55" i="3" s="1"/>
  <c r="AI231" i="13"/>
  <c r="AQ231" i="13" s="1"/>
  <c r="AE209" i="13"/>
  <c r="CS206" i="3" s="1"/>
  <c r="AI254" i="13"/>
  <c r="AS254" i="13" s="1"/>
  <c r="AC231" i="13"/>
  <c r="CQ228" i="3" s="1"/>
  <c r="AE279" i="13"/>
  <c r="CS276" i="3" s="1"/>
  <c r="AC147" i="13"/>
  <c r="CQ144" i="3" s="1"/>
  <c r="AI138" i="13"/>
  <c r="AQ138" i="13" s="1"/>
  <c r="AC111" i="13"/>
  <c r="CQ108" i="3" s="1"/>
  <c r="AE235" i="13"/>
  <c r="CS232" i="3" s="1"/>
  <c r="AE254" i="13"/>
  <c r="CS251" i="3" s="1"/>
  <c r="AI37" i="13"/>
  <c r="AS37" i="13" s="1"/>
  <c r="AC37" i="13"/>
  <c r="CQ34" i="3" s="1"/>
  <c r="AC138" i="13"/>
  <c r="CQ135" i="3" s="1"/>
  <c r="AC213" i="13"/>
  <c r="CQ210" i="3" s="1"/>
  <c r="AI102" i="13"/>
  <c r="AS102" i="13" s="1"/>
  <c r="AI99" i="13"/>
  <c r="AQ99" i="13" s="1"/>
  <c r="AI97" i="13"/>
  <c r="AQ97" i="13" s="1"/>
  <c r="AI58" i="13"/>
  <c r="AS58" i="13" s="1"/>
  <c r="AC176" i="13"/>
  <c r="CQ173" i="3" s="1"/>
  <c r="AI279" i="13"/>
  <c r="AS279" i="13" s="1"/>
  <c r="AE273" i="13"/>
  <c r="CS270" i="3" s="1"/>
  <c r="AC89" i="13"/>
  <c r="CQ86" i="3" s="1"/>
  <c r="AI147" i="13"/>
  <c r="AQ147" i="13" s="1"/>
  <c r="AE29" i="13"/>
  <c r="CS26" i="3" s="1"/>
  <c r="AE157" i="13"/>
  <c r="CS154" i="3" s="1"/>
  <c r="AC29" i="13"/>
  <c r="CQ26" i="3" s="1"/>
  <c r="AC223" i="13"/>
  <c r="CQ220" i="3" s="1"/>
  <c r="AI35" i="13"/>
  <c r="AE215" i="13"/>
  <c r="CS212" i="3" s="1"/>
  <c r="AC226" i="13"/>
  <c r="CQ223" i="3" s="1"/>
  <c r="AE242" i="13"/>
  <c r="CS239" i="3" s="1"/>
  <c r="AC24" i="13"/>
  <c r="CQ21" i="3" s="1"/>
  <c r="AI266" i="13"/>
  <c r="AS266" i="13" s="1"/>
  <c r="AI226" i="13"/>
  <c r="AQ226" i="13" s="1"/>
  <c r="AC141" i="13"/>
  <c r="CQ138" i="3" s="1"/>
  <c r="AC159" i="13"/>
  <c r="CQ156" i="3" s="1"/>
  <c r="AC150" i="13"/>
  <c r="CQ147" i="3" s="1"/>
  <c r="AI280" i="13"/>
  <c r="AQ280" i="13" s="1"/>
  <c r="AI106" i="13"/>
  <c r="AS106" i="13" s="1"/>
  <c r="AI212" i="13"/>
  <c r="AS212" i="13" s="1"/>
  <c r="AE120" i="13"/>
  <c r="CS117" i="3" s="1"/>
  <c r="AI51" i="13"/>
  <c r="AQ51" i="13" s="1"/>
  <c r="AE141" i="13"/>
  <c r="CS138" i="3" s="1"/>
  <c r="AE277" i="13"/>
  <c r="CS274" i="3" s="1"/>
  <c r="AI309" i="13"/>
  <c r="AQ309" i="13" s="1"/>
  <c r="AI114" i="13"/>
  <c r="AS114" i="13" s="1"/>
  <c r="AE109" i="13"/>
  <c r="CS106" i="3" s="1"/>
  <c r="AC280" i="13"/>
  <c r="CQ277" i="3" s="1"/>
  <c r="AE106" i="13"/>
  <c r="CS103" i="3" s="1"/>
  <c r="AI90" i="13"/>
  <c r="AQ90" i="13" s="1"/>
  <c r="AI310" i="13"/>
  <c r="AS310" i="13" s="1"/>
  <c r="AC212" i="13"/>
  <c r="CQ209" i="3" s="1"/>
  <c r="AI220" i="13"/>
  <c r="AQ220" i="13" s="1"/>
  <c r="AE309" i="13"/>
  <c r="CS306" i="3" s="1"/>
  <c r="AE114" i="13"/>
  <c r="CS111" i="3" s="1"/>
  <c r="AI192" i="13"/>
  <c r="AS192" i="13" s="1"/>
  <c r="AE51" i="13"/>
  <c r="CS48" i="3" s="1"/>
  <c r="AI109" i="13"/>
  <c r="AS109" i="13" s="1"/>
  <c r="AC90" i="13"/>
  <c r="CQ87" i="3" s="1"/>
  <c r="AE310" i="13"/>
  <c r="CS307" i="3" s="1"/>
  <c r="AI269" i="13"/>
  <c r="AS269" i="13" s="1"/>
  <c r="AE220" i="13"/>
  <c r="CS217" i="3" s="1"/>
  <c r="AI30" i="13"/>
  <c r="AQ30" i="13" s="1"/>
  <c r="AE192" i="13"/>
  <c r="CS189" i="3" s="1"/>
  <c r="AI48" i="13"/>
  <c r="AQ48" i="13" s="1"/>
  <c r="AE269" i="13"/>
  <c r="CS266" i="3" s="1"/>
  <c r="AI27" i="13"/>
  <c r="AS27" i="13" s="1"/>
  <c r="AI56" i="13"/>
  <c r="AS56" i="13" s="1"/>
  <c r="AE30" i="13"/>
  <c r="CS27" i="3" s="1"/>
  <c r="AI159" i="13"/>
  <c r="AS159" i="13" s="1"/>
  <c r="AI160" i="13"/>
  <c r="AS160" i="13" s="1"/>
  <c r="AE48" i="13"/>
  <c r="CS45" i="3" s="1"/>
  <c r="CZ45" i="3" s="1"/>
  <c r="AI161" i="13"/>
  <c r="AQ161" i="13" s="1"/>
  <c r="AI288" i="13"/>
  <c r="AS288" i="13" s="1"/>
  <c r="AI175" i="13"/>
  <c r="AQ175" i="13" s="1"/>
  <c r="AE27" i="13"/>
  <c r="CS24" i="3" s="1"/>
  <c r="AI132" i="13"/>
  <c r="AS132" i="13" s="1"/>
  <c r="AI207" i="13"/>
  <c r="AS207" i="13" s="1"/>
  <c r="AI87" i="13"/>
  <c r="AS87" i="13" s="1"/>
  <c r="AI36" i="13"/>
  <c r="AQ36" i="13" s="1"/>
  <c r="AI146" i="13"/>
  <c r="AQ146" i="13" s="1"/>
  <c r="AI24" i="13"/>
  <c r="AQ24" i="13" s="1"/>
  <c r="AC160" i="13"/>
  <c r="CQ157" i="3" s="1"/>
  <c r="AI273" i="13"/>
  <c r="AS273" i="13" s="1"/>
  <c r="AI242" i="13"/>
  <c r="AQ242" i="13" s="1"/>
  <c r="AI150" i="13"/>
  <c r="AQ150" i="13" s="1"/>
  <c r="AC189" i="13"/>
  <c r="CQ186" i="3" s="1"/>
  <c r="AE247" i="13"/>
  <c r="CS244" i="3" s="1"/>
  <c r="AI250" i="13"/>
  <c r="AQ250" i="13" s="1"/>
  <c r="AE267" i="13"/>
  <c r="CS264" i="3" s="1"/>
  <c r="AC250" i="13"/>
  <c r="CQ247" i="3" s="1"/>
  <c r="AE57" i="13"/>
  <c r="CS54" i="3" s="1"/>
  <c r="AI32" i="13"/>
  <c r="AS32" i="13" s="1"/>
  <c r="AI149" i="13"/>
  <c r="AS149" i="13" s="1"/>
  <c r="AE52" i="13"/>
  <c r="CS49" i="3" s="1"/>
  <c r="AE149" i="13"/>
  <c r="CS146" i="3" s="1"/>
  <c r="AI34" i="13"/>
  <c r="AQ34" i="13" s="1"/>
  <c r="AE180" i="13"/>
  <c r="CS177" i="3" s="1"/>
  <c r="AC307" i="13"/>
  <c r="CQ304" i="3" s="1"/>
  <c r="AC76" i="13"/>
  <c r="CQ73" i="3" s="1"/>
  <c r="AI206" i="13"/>
  <c r="AS206" i="13" s="1"/>
  <c r="AC63" i="13"/>
  <c r="CQ60" i="3" s="1"/>
  <c r="AI287" i="13"/>
  <c r="AQ287" i="13" s="1"/>
  <c r="AI180" i="13"/>
  <c r="AS180" i="13" s="1"/>
  <c r="AE89" i="13"/>
  <c r="CS86" i="3" s="1"/>
  <c r="AE176" i="13"/>
  <c r="CS173" i="3" s="1"/>
  <c r="AC265" i="13"/>
  <c r="CQ262" i="3" s="1"/>
  <c r="AI153" i="13"/>
  <c r="AS153" i="13" s="1"/>
  <c r="AE189" i="13"/>
  <c r="CS186" i="3" s="1"/>
  <c r="AC102" i="13"/>
  <c r="CQ99" i="3" s="1"/>
  <c r="AI155" i="13"/>
  <c r="AS155" i="13" s="1"/>
  <c r="AC28" i="13"/>
  <c r="CQ25" i="3" s="1"/>
  <c r="AE265" i="13"/>
  <c r="CS262" i="3" s="1"/>
  <c r="AC153" i="13"/>
  <c r="CQ150" i="3" s="1"/>
  <c r="AI290" i="13"/>
  <c r="AQ290" i="13" s="1"/>
  <c r="AI298" i="13"/>
  <c r="AQ298" i="13" s="1"/>
  <c r="AE144" i="13"/>
  <c r="CS141" i="3" s="1"/>
  <c r="AI196" i="13"/>
  <c r="AQ196" i="13" s="1"/>
  <c r="AE290" i="13"/>
  <c r="CS287" i="3" s="1"/>
  <c r="AC298" i="13"/>
  <c r="CQ295" i="3" s="1"/>
  <c r="AE63" i="13"/>
  <c r="CS60" i="3" s="1"/>
  <c r="AI126" i="13"/>
  <c r="AS126" i="13" s="1"/>
  <c r="AI76" i="13"/>
  <c r="AQ76" i="13" s="1"/>
  <c r="AI57" i="13"/>
  <c r="AS57" i="13" s="1"/>
  <c r="AI307" i="13"/>
  <c r="AQ307" i="13" s="1"/>
  <c r="AI305" i="13"/>
  <c r="AQ305" i="13" s="1"/>
  <c r="AC82" i="13"/>
  <c r="CQ79" i="3" s="1"/>
  <c r="AE282" i="13"/>
  <c r="CS279" i="3" s="1"/>
  <c r="AE98" i="13"/>
  <c r="CS95" i="3" s="1"/>
  <c r="AI183" i="13"/>
  <c r="AS183" i="13" s="1"/>
  <c r="AE32" i="13"/>
  <c r="CS29" i="3" s="1"/>
  <c r="AI67" i="13"/>
  <c r="AS67" i="13" s="1"/>
  <c r="AC34" i="13"/>
  <c r="CQ31" i="3" s="1"/>
  <c r="AC266" i="13"/>
  <c r="CQ263" i="3" s="1"/>
  <c r="AC206" i="13"/>
  <c r="CQ203" i="3" s="1"/>
  <c r="AI69" i="13"/>
  <c r="AQ69" i="13" s="1"/>
  <c r="AC126" i="13"/>
  <c r="CQ123" i="3" s="1"/>
  <c r="AI170" i="13"/>
  <c r="AS170" i="13" s="1"/>
  <c r="AI44" i="13"/>
  <c r="AE183" i="13"/>
  <c r="CS180" i="3" s="1"/>
  <c r="AI137" i="13"/>
  <c r="AQ137" i="13" s="1"/>
  <c r="AI60" i="13"/>
  <c r="AQ60" i="13" s="1"/>
  <c r="AI200" i="13"/>
  <c r="AS200" i="13" s="1"/>
  <c r="AC67" i="13"/>
  <c r="CQ64" i="3" s="1"/>
  <c r="AI240" i="13"/>
  <c r="AS240" i="13" s="1"/>
  <c r="AC69" i="13"/>
  <c r="CQ66" i="3" s="1"/>
  <c r="AC137" i="13"/>
  <c r="CQ134" i="3" s="1"/>
  <c r="AC60" i="13"/>
  <c r="CQ57" i="3" s="1"/>
  <c r="AC200" i="13"/>
  <c r="CQ197" i="3" s="1"/>
  <c r="AC240" i="13"/>
  <c r="CQ237" i="3" s="1"/>
  <c r="AI52" i="13"/>
  <c r="AQ52" i="13" s="1"/>
  <c r="AC144" i="13"/>
  <c r="CQ141" i="3" s="1"/>
  <c r="AC155" i="13"/>
  <c r="CQ152" i="3" s="1"/>
  <c r="AC196" i="13"/>
  <c r="CQ193" i="3" s="1"/>
  <c r="AI19" i="13"/>
  <c r="AE136" i="13"/>
  <c r="CS133" i="3" s="1"/>
  <c r="AI218" i="13"/>
  <c r="AS218" i="13" s="1"/>
  <c r="AC287" i="13"/>
  <c r="CQ284" i="3" s="1"/>
  <c r="AI41" i="13"/>
  <c r="AQ41" i="13" s="1"/>
  <c r="AI148" i="13"/>
  <c r="AQ148" i="13" s="1"/>
  <c r="AI239" i="13"/>
  <c r="AQ239" i="13" s="1"/>
  <c r="AI131" i="13"/>
  <c r="AS131" i="13" s="1"/>
  <c r="AI179" i="13"/>
  <c r="AQ179" i="13" s="1"/>
  <c r="AC107" i="13"/>
  <c r="CQ104" i="3" s="1"/>
  <c r="AE218" i="13"/>
  <c r="CS215" i="3" s="1"/>
  <c r="AE41" i="13"/>
  <c r="CS38" i="3" s="1"/>
  <c r="AC148" i="13"/>
  <c r="CQ145" i="3" s="1"/>
  <c r="AC239" i="13"/>
  <c r="CQ236" i="3" s="1"/>
  <c r="AI22" i="13"/>
  <c r="AI197" i="13"/>
  <c r="AQ197" i="13" s="1"/>
  <c r="AI156" i="13"/>
  <c r="AQ156" i="13" s="1"/>
  <c r="AE131" i="13"/>
  <c r="CS128" i="3" s="1"/>
  <c r="AI184" i="13"/>
  <c r="AQ184" i="13" s="1"/>
  <c r="AE259" i="13"/>
  <c r="CS256" i="3" s="1"/>
  <c r="AE140" i="13"/>
  <c r="CS137" i="3" s="1"/>
  <c r="AE197" i="13"/>
  <c r="CS194" i="3" s="1"/>
  <c r="AE156" i="13"/>
  <c r="CS153" i="3" s="1"/>
  <c r="AI78" i="13"/>
  <c r="AQ78" i="13" s="1"/>
  <c r="AE181" i="13"/>
  <c r="CS178" i="3" s="1"/>
  <c r="AC210" i="13"/>
  <c r="CQ207" i="3" s="1"/>
  <c r="AE283" i="13"/>
  <c r="CS280" i="3" s="1"/>
  <c r="AC184" i="13"/>
  <c r="CQ181" i="3" s="1"/>
  <c r="AE33" i="13"/>
  <c r="CS30" i="3" s="1"/>
  <c r="AC71" i="13"/>
  <c r="CQ68" i="3" s="1"/>
  <c r="AE103" i="13"/>
  <c r="CS100" i="3" s="1"/>
  <c r="S614" i="13"/>
  <c r="S616" i="13" s="1"/>
  <c r="S618" i="13" s="1"/>
  <c r="AC170" i="13"/>
  <c r="CQ167" i="3" s="1"/>
  <c r="AC33" i="13"/>
  <c r="CQ30" i="3" s="1"/>
  <c r="AE179" i="13"/>
  <c r="CS176" i="3" s="1"/>
  <c r="AC305" i="13"/>
  <c r="CQ302" i="3" s="1"/>
  <c r="AC161" i="13"/>
  <c r="CQ158" i="3" s="1"/>
  <c r="AC259" i="13"/>
  <c r="CQ256" i="3" s="1"/>
  <c r="AE210" i="13"/>
  <c r="CS207" i="3" s="1"/>
  <c r="AE82" i="13"/>
  <c r="CS79" i="3" s="1"/>
  <c r="AE71" i="13"/>
  <c r="CS68" i="3" s="1"/>
  <c r="AE107" i="13"/>
  <c r="CS104" i="3" s="1"/>
  <c r="AC283" i="13"/>
  <c r="CQ280" i="3" s="1"/>
  <c r="AC78" i="13"/>
  <c r="CQ75" i="3" s="1"/>
  <c r="AI142" i="13"/>
  <c r="AS142" i="13" s="1"/>
  <c r="AC140" i="13"/>
  <c r="CQ137" i="3" s="1"/>
  <c r="AI49" i="13"/>
  <c r="AQ49" i="13" s="1"/>
  <c r="AC103" i="13"/>
  <c r="CQ100" i="3" s="1"/>
  <c r="AE142" i="13"/>
  <c r="CS139" i="3" s="1"/>
  <c r="AI42" i="13"/>
  <c r="AE49" i="13"/>
  <c r="CS46" i="3" s="1"/>
  <c r="CZ46" i="3" s="1"/>
  <c r="AI38" i="13"/>
  <c r="AI136" i="13"/>
  <c r="AQ136" i="13" s="1"/>
  <c r="AI31" i="13"/>
  <c r="AI158" i="13"/>
  <c r="AQ158" i="13" s="1"/>
  <c r="AI182" i="13"/>
  <c r="AQ182" i="13" s="1"/>
  <c r="AE15" i="13"/>
  <c r="CS12" i="3" s="1"/>
  <c r="AC158" i="13"/>
  <c r="CQ155" i="3" s="1"/>
  <c r="AI77" i="13"/>
  <c r="AQ77" i="13" s="1"/>
  <c r="AI80" i="13"/>
  <c r="AS80" i="13" s="1"/>
  <c r="AI270" i="13"/>
  <c r="AQ270" i="13" s="1"/>
  <c r="AI50" i="13"/>
  <c r="AI246" i="13"/>
  <c r="AS246" i="13" s="1"/>
  <c r="AE182" i="13"/>
  <c r="CS179" i="3" s="1"/>
  <c r="AI167" i="13"/>
  <c r="AS167" i="13" s="1"/>
  <c r="AI53" i="13"/>
  <c r="AQ53" i="13" s="1"/>
  <c r="AI216" i="13"/>
  <c r="AQ216" i="13" s="1"/>
  <c r="AI303" i="13"/>
  <c r="AQ303" i="13" s="1"/>
  <c r="AI39" i="13"/>
  <c r="AQ39" i="13" s="1"/>
  <c r="AC77" i="13"/>
  <c r="CQ74" i="3" s="1"/>
  <c r="AC80" i="13"/>
  <c r="CQ77" i="3" s="1"/>
  <c r="AC270" i="13"/>
  <c r="CQ267" i="3" s="1"/>
  <c r="AC246" i="13"/>
  <c r="CQ243" i="3" s="1"/>
  <c r="AI181" i="13"/>
  <c r="AQ181" i="13" s="1"/>
  <c r="AC167" i="13"/>
  <c r="CQ164" i="3" s="1"/>
  <c r="AC53" i="13"/>
  <c r="CQ50" i="3" s="1"/>
  <c r="AE216" i="13"/>
  <c r="CS213" i="3" s="1"/>
  <c r="AE303" i="13"/>
  <c r="CS300" i="3" s="1"/>
  <c r="AC39" i="13"/>
  <c r="CQ36" i="3" s="1"/>
  <c r="AS28" i="13"/>
  <c r="AQ28" i="13"/>
  <c r="AS14" i="13"/>
  <c r="AQ88" i="13"/>
  <c r="AQ232" i="13"/>
  <c r="AS232" i="13"/>
  <c r="AQ210" i="13"/>
  <c r="AS210" i="13"/>
  <c r="AQ82" i="13"/>
  <c r="AS82" i="13"/>
  <c r="AS71" i="13"/>
  <c r="AQ71" i="13"/>
  <c r="AS107" i="13"/>
  <c r="AQ107" i="13"/>
  <c r="AS283" i="13"/>
  <c r="AQ283" i="13"/>
  <c r="AS306" i="13"/>
  <c r="AQ306" i="13"/>
  <c r="AQ92" i="13"/>
  <c r="AS92" i="13"/>
  <c r="AQ198" i="13"/>
  <c r="AS198" i="13"/>
  <c r="AQ130" i="13"/>
  <c r="AS130" i="13"/>
  <c r="AQ21" i="13"/>
  <c r="AS21" i="13"/>
  <c r="AS145" i="13"/>
  <c r="AQ145" i="13"/>
  <c r="AS125" i="13"/>
  <c r="AQ125" i="13"/>
  <c r="AS73" i="13"/>
  <c r="AQ73" i="13"/>
  <c r="AQ194" i="13"/>
  <c r="AS194" i="13"/>
  <c r="AS277" i="13"/>
  <c r="AQ277" i="13"/>
  <c r="AS249" i="13"/>
  <c r="AQ249" i="13"/>
  <c r="AS122" i="13"/>
  <c r="AQ122" i="13"/>
  <c r="AQ308" i="13"/>
  <c r="AS308" i="13"/>
  <c r="AQ163" i="13"/>
  <c r="AS163" i="13"/>
  <c r="AQ189" i="13"/>
  <c r="AS189" i="13"/>
  <c r="AQ168" i="13"/>
  <c r="AS168" i="13"/>
  <c r="AS117" i="13"/>
  <c r="AQ117" i="13"/>
  <c r="AS63" i="13"/>
  <c r="AQ63" i="13"/>
  <c r="CJ309" i="3"/>
  <c r="BO22" i="3"/>
  <c r="AQ135" i="13"/>
  <c r="AS135" i="13"/>
  <c r="AQ296" i="13"/>
  <c r="AS296" i="13"/>
  <c r="AQ264" i="13"/>
  <c r="AS264" i="13"/>
  <c r="AQ236" i="13"/>
  <c r="AS236" i="13"/>
  <c r="AS233" i="13"/>
  <c r="AQ233" i="13"/>
  <c r="AQ91" i="13"/>
  <c r="AS91" i="13"/>
  <c r="AQ259" i="13"/>
  <c r="AS259" i="13"/>
  <c r="AS244" i="13"/>
  <c r="AQ244" i="13"/>
  <c r="AS157" i="13"/>
  <c r="AQ157" i="13"/>
  <c r="AS115" i="13"/>
  <c r="AQ115" i="13"/>
  <c r="AS17" i="13"/>
  <c r="AQ17" i="13"/>
  <c r="AQ267" i="13"/>
  <c r="AS267" i="13"/>
  <c r="AO23" i="13"/>
  <c r="AQ23" i="13" s="1"/>
  <c r="AC23" i="13"/>
  <c r="CQ20" i="3" s="1"/>
  <c r="AS141" i="13"/>
  <c r="AQ141" i="13"/>
  <c r="AO26" i="13"/>
  <c r="AQ26" i="13" s="1"/>
  <c r="AC26" i="13"/>
  <c r="CQ23" i="3" s="1"/>
  <c r="AQ93" i="13"/>
  <c r="AK15" i="13"/>
  <c r="AN15" i="13"/>
  <c r="AH15" i="13"/>
  <c r="AL15" i="13"/>
  <c r="AI15" i="13"/>
  <c r="AG15" i="13"/>
  <c r="AP15" i="13"/>
  <c r="AM15" i="13"/>
  <c r="AO15" i="13"/>
  <c r="AS251" i="13"/>
  <c r="AQ144" i="13"/>
  <c r="AS144" i="13"/>
  <c r="AS176" i="13"/>
  <c r="AQ176" i="13"/>
  <c r="AQ177" i="13"/>
  <c r="AS177" i="13"/>
  <c r="AS286" i="13"/>
  <c r="AQ286" i="13"/>
  <c r="AQ96" i="13"/>
  <c r="AS96" i="13"/>
  <c r="AQ271" i="13"/>
  <c r="AS271" i="13"/>
  <c r="CX9" i="3"/>
  <c r="R12" i="13" s="1"/>
  <c r="AE12" i="13" s="1"/>
  <c r="CS9" i="3" s="1"/>
  <c r="D12" i="13"/>
  <c r="AR13" i="13"/>
  <c r="AS133" i="13"/>
  <c r="AQ133" i="13"/>
  <c r="AS199" i="13"/>
  <c r="AQ199" i="13"/>
  <c r="AQ75" i="13"/>
  <c r="AQ119" i="13"/>
  <c r="AS119" i="13"/>
  <c r="AS152" i="13"/>
  <c r="AS165" i="13"/>
  <c r="AQ165" i="13"/>
  <c r="AR27" i="13"/>
  <c r="AQ201" i="13"/>
  <c r="AS201" i="13"/>
  <c r="AS263" i="13"/>
  <c r="AQ263" i="13"/>
  <c r="AS89" i="13"/>
  <c r="AQ89" i="13"/>
  <c r="AS154" i="13"/>
  <c r="AQ154" i="13"/>
  <c r="AQ193" i="13"/>
  <c r="AS193" i="13"/>
  <c r="AQ225" i="13"/>
  <c r="AS225" i="13"/>
  <c r="AQ95" i="13"/>
  <c r="AS95" i="13"/>
  <c r="AQ230" i="13"/>
  <c r="AS230" i="13"/>
  <c r="AQ66" i="13"/>
  <c r="AS66" i="13"/>
  <c r="AS111" i="13"/>
  <c r="AQ111" i="13"/>
  <c r="AQ108" i="13"/>
  <c r="AS108" i="13"/>
  <c r="AS227" i="13"/>
  <c r="AQ227" i="13"/>
  <c r="AQ301" i="13"/>
  <c r="AS301" i="13"/>
  <c r="AQ110" i="13"/>
  <c r="AS110" i="13"/>
  <c r="AS285" i="13"/>
  <c r="AQ285" i="13"/>
  <c r="AQ265" i="13"/>
  <c r="AS265" i="13"/>
  <c r="AQ188" i="13"/>
  <c r="AS188" i="13"/>
  <c r="AQ140" i="13"/>
  <c r="AS140" i="13"/>
  <c r="AQ219" i="13"/>
  <c r="AS139" i="13"/>
  <c r="AQ139" i="13"/>
  <c r="AQ262" i="13"/>
  <c r="AS262" i="13"/>
  <c r="AS55" i="13"/>
  <c r="AQ55" i="13"/>
  <c r="AS289" i="13"/>
  <c r="AQ289" i="13"/>
  <c r="CZ10" i="3"/>
  <c r="DC10" i="3"/>
  <c r="CV10" i="3" s="1"/>
  <c r="AS61" i="13"/>
  <c r="AQ61" i="13"/>
  <c r="AQ234" i="13"/>
  <c r="AS234" i="13"/>
  <c r="AQ260" i="13"/>
  <c r="AS260" i="13"/>
  <c r="AQ204" i="13"/>
  <c r="AS204" i="13"/>
  <c r="AQ272" i="13"/>
  <c r="AS272" i="13"/>
  <c r="AQ86" i="13"/>
  <c r="AS86" i="13"/>
  <c r="AS94" i="13"/>
  <c r="AQ94" i="13"/>
  <c r="AC15" i="13"/>
  <c r="CQ12" i="3" s="1"/>
  <c r="AD15" i="13"/>
  <c r="CR12" i="3" s="1"/>
  <c r="AQ120" i="13"/>
  <c r="AS120" i="13"/>
  <c r="AQ103" i="13"/>
  <c r="AS103" i="13"/>
  <c r="AS300" i="13"/>
  <c r="AQ300" i="13"/>
  <c r="AQ297" i="13"/>
  <c r="AS297" i="13"/>
  <c r="AQ64" i="13" l="1"/>
  <c r="AS278" i="13"/>
  <c r="AQ85" i="13"/>
  <c r="AS302" i="13"/>
  <c r="AQ68" i="13"/>
  <c r="AQ79" i="13"/>
  <c r="AQ293" i="13"/>
  <c r="AS173" i="13"/>
  <c r="AS143" i="13"/>
  <c r="AS47" i="13"/>
  <c r="AQ129" i="13"/>
  <c r="AS40" i="13"/>
  <c r="AS100" i="13"/>
  <c r="AQ275" i="13"/>
  <c r="AS253" i="13"/>
  <c r="AQ81" i="13"/>
  <c r="AS261" i="13"/>
  <c r="AQ221" i="13"/>
  <c r="AQ205" i="13"/>
  <c r="AQ166" i="13"/>
  <c r="AQ248" i="13"/>
  <c r="AQ203" i="13"/>
  <c r="AQ50" i="13"/>
  <c r="CZ36" i="3"/>
  <c r="DC36" i="3"/>
  <c r="DJ20" i="3"/>
  <c r="DF20" i="3"/>
  <c r="CV20" i="3"/>
  <c r="DD20" i="3"/>
  <c r="CV14" i="3"/>
  <c r="DD14" i="3"/>
  <c r="C17" i="13" s="1"/>
  <c r="DF14" i="3"/>
  <c r="DJ14" i="3"/>
  <c r="AQ101" i="13"/>
  <c r="AS299" i="13"/>
  <c r="AS164" i="13"/>
  <c r="AS284" i="13"/>
  <c r="AQ54" i="13"/>
  <c r="AQ105" i="13"/>
  <c r="AQ162" i="13"/>
  <c r="AS178" i="13"/>
  <c r="AQ292" i="13"/>
  <c r="AS237" i="13"/>
  <c r="AS62" i="13"/>
  <c r="AS70" i="13"/>
  <c r="AS245" i="13"/>
  <c r="AS255" i="13"/>
  <c r="AQ217" i="13"/>
  <c r="AQ268" i="13"/>
  <c r="AQ18" i="13"/>
  <c r="AQ134" i="13"/>
  <c r="AS224" i="13"/>
  <c r="AS294" i="13"/>
  <c r="AQ151" i="13"/>
  <c r="AQ228" i="13"/>
  <c r="AQ274" i="13"/>
  <c r="AQ172" i="13"/>
  <c r="AS13" i="13"/>
  <c r="AQ113" i="13"/>
  <c r="AQ252" i="13"/>
  <c r="AS208" i="13"/>
  <c r="AQ243" i="13"/>
  <c r="AS97" i="13"/>
  <c r="AS121" i="13"/>
  <c r="AS223" i="13"/>
  <c r="AQ190" i="13"/>
  <c r="AS187" i="13"/>
  <c r="AQ169" i="13"/>
  <c r="AS29" i="13"/>
  <c r="AS146" i="13"/>
  <c r="AE50" i="13"/>
  <c r="CS47" i="3" s="1"/>
  <c r="AS231" i="13"/>
  <c r="AS38" i="13"/>
  <c r="AS118" i="13"/>
  <c r="AC42" i="13"/>
  <c r="CQ39" i="3" s="1"/>
  <c r="AQ282" i="13"/>
  <c r="AQ31" i="13"/>
  <c r="AQ112" i="13"/>
  <c r="AQ186" i="13"/>
  <c r="AQ128" i="13"/>
  <c r="AS65" i="13"/>
  <c r="AQ33" i="13"/>
  <c r="AC20" i="13"/>
  <c r="CQ17" i="3" s="1"/>
  <c r="AS174" i="13"/>
  <c r="AS20" i="13"/>
  <c r="AE31" i="13"/>
  <c r="CS28" i="3" s="1"/>
  <c r="AS281" i="13"/>
  <c r="AS295" i="13"/>
  <c r="AQ206" i="13"/>
  <c r="AS220" i="13"/>
  <c r="AQ211" i="13"/>
  <c r="AQ116" i="13"/>
  <c r="AQ159" i="13"/>
  <c r="AS305" i="13"/>
  <c r="AQ149" i="13"/>
  <c r="AQ258" i="13"/>
  <c r="AQ58" i="13"/>
  <c r="AS229" i="13"/>
  <c r="AQ202" i="13"/>
  <c r="AS83" i="13"/>
  <c r="AS124" i="13"/>
  <c r="AQ109" i="13"/>
  <c r="AQ241" i="13"/>
  <c r="AQ215" i="13"/>
  <c r="AQ304" i="13"/>
  <c r="AQ238" i="13"/>
  <c r="AC19" i="13"/>
  <c r="CQ16" i="3" s="1"/>
  <c r="AQ104" i="13"/>
  <c r="AQ171" i="13"/>
  <c r="AQ257" i="13"/>
  <c r="CG24" i="3"/>
  <c r="AS19" i="13"/>
  <c r="AS30" i="13"/>
  <c r="AQ123" i="13"/>
  <c r="AQ191" i="13"/>
  <c r="AS138" i="13"/>
  <c r="AS256" i="13"/>
  <c r="AS195" i="13"/>
  <c r="AS276" i="13"/>
  <c r="AQ87" i="13"/>
  <c r="AQ291" i="13"/>
  <c r="AS311" i="13"/>
  <c r="AS84" i="13"/>
  <c r="AQ59" i="13"/>
  <c r="AS74" i="13"/>
  <c r="AS98" i="13"/>
  <c r="AC38" i="13"/>
  <c r="CQ35" i="3" s="1"/>
  <c r="AQ214" i="13"/>
  <c r="AS127" i="13"/>
  <c r="AQ114" i="13"/>
  <c r="AQ247" i="13"/>
  <c r="AS209" i="13"/>
  <c r="AS137" i="13"/>
  <c r="AQ218" i="13"/>
  <c r="AQ222" i="13"/>
  <c r="AS213" i="13"/>
  <c r="AS182" i="13"/>
  <c r="AS150" i="13"/>
  <c r="AQ207" i="13"/>
  <c r="AS196" i="13"/>
  <c r="AS184" i="13"/>
  <c r="AS280" i="13"/>
  <c r="AC22" i="13"/>
  <c r="CQ19" i="3" s="1"/>
  <c r="AO22" i="13"/>
  <c r="AQ22" i="13" s="1"/>
  <c r="AQ32" i="13"/>
  <c r="AS242" i="13"/>
  <c r="AQ269" i="13"/>
  <c r="AS72" i="13"/>
  <c r="AO45" i="13"/>
  <c r="AE45" i="13"/>
  <c r="CS42" i="3" s="1"/>
  <c r="CZ42" i="3" s="1"/>
  <c r="AC45" i="13"/>
  <c r="CQ42" i="3" s="1"/>
  <c r="AO16" i="13"/>
  <c r="AC16" i="13"/>
  <c r="CQ13" i="3" s="1"/>
  <c r="AE16" i="13"/>
  <c r="CS13" i="3" s="1"/>
  <c r="AO43" i="13"/>
  <c r="AC43" i="13"/>
  <c r="CQ40" i="3" s="1"/>
  <c r="AE43" i="13"/>
  <c r="CS40" i="3" s="1"/>
  <c r="CZ40" i="3" s="1"/>
  <c r="AH12" i="13"/>
  <c r="AD12" i="13"/>
  <c r="CR9" i="3" s="1"/>
  <c r="CZ9" i="3" s="1"/>
  <c r="AQ132" i="13"/>
  <c r="AS307" i="13"/>
  <c r="AS309" i="13"/>
  <c r="AC12" i="13"/>
  <c r="CQ9" i="3" s="1"/>
  <c r="CY9" i="3"/>
  <c r="DA9" i="3" s="1"/>
  <c r="EL9" i="3" s="1"/>
  <c r="AS51" i="13"/>
  <c r="AS226" i="13"/>
  <c r="AS24" i="13"/>
  <c r="AQ42" i="13"/>
  <c r="AQ126" i="13"/>
  <c r="AS185" i="13"/>
  <c r="AQ102" i="13"/>
  <c r="AE42" i="13"/>
  <c r="CS39" i="3" s="1"/>
  <c r="CZ39" i="3" s="1"/>
  <c r="AS287" i="13"/>
  <c r="AC50" i="13"/>
  <c r="CQ47" i="3" s="1"/>
  <c r="AO46" i="13"/>
  <c r="AC46" i="13"/>
  <c r="CQ43" i="3" s="1"/>
  <c r="AE46" i="13"/>
  <c r="CS43" i="3" s="1"/>
  <c r="CZ43" i="3" s="1"/>
  <c r="AQ106" i="13"/>
  <c r="AS60" i="13"/>
  <c r="AE38" i="13"/>
  <c r="CS35" i="3" s="1"/>
  <c r="AC31" i="13"/>
  <c r="CQ28" i="3" s="1"/>
  <c r="AO44" i="13"/>
  <c r="AQ44" i="13" s="1"/>
  <c r="AE44" i="13"/>
  <c r="CS41" i="3" s="1"/>
  <c r="AQ160" i="13"/>
  <c r="AC44" i="13"/>
  <c r="CQ41" i="3" s="1"/>
  <c r="AS147" i="13"/>
  <c r="AE19" i="13"/>
  <c r="CS16" i="3" s="1"/>
  <c r="AQ155" i="13"/>
  <c r="AO35" i="13"/>
  <c r="AQ35" i="13" s="1"/>
  <c r="AE35" i="13"/>
  <c r="CS32" i="3" s="1"/>
  <c r="AE20" i="13"/>
  <c r="CS17" i="3" s="1"/>
  <c r="AS34" i="13"/>
  <c r="AS48" i="13"/>
  <c r="AS69" i="13"/>
  <c r="AS161" i="13"/>
  <c r="AS250" i="13"/>
  <c r="AS52" i="13"/>
  <c r="AS148" i="13"/>
  <c r="AQ266" i="13"/>
  <c r="AS78" i="13"/>
  <c r="AS290" i="13"/>
  <c r="AQ310" i="13"/>
  <c r="AQ279" i="13"/>
  <c r="AQ235" i="13"/>
  <c r="AQ170" i="13"/>
  <c r="AS156" i="13"/>
  <c r="AQ254" i="13"/>
  <c r="AQ37" i="13"/>
  <c r="AQ27" i="13"/>
  <c r="AQ212" i="13"/>
  <c r="AQ200" i="13"/>
  <c r="AS36" i="13"/>
  <c r="AQ192" i="13"/>
  <c r="AS99" i="13"/>
  <c r="AQ180" i="13"/>
  <c r="AS90" i="13"/>
  <c r="AQ288" i="13"/>
  <c r="AS298" i="13"/>
  <c r="AQ56" i="13"/>
  <c r="AS76" i="13"/>
  <c r="AQ273" i="13"/>
  <c r="AQ19" i="13"/>
  <c r="AQ57" i="13"/>
  <c r="AQ153" i="13"/>
  <c r="AS175" i="13"/>
  <c r="AS197" i="13"/>
  <c r="AQ131" i="13"/>
  <c r="AS158" i="13"/>
  <c r="AQ183" i="13"/>
  <c r="AS270" i="13"/>
  <c r="AQ246" i="13"/>
  <c r="AS42" i="13"/>
  <c r="AS39" i="13"/>
  <c r="AS50" i="13"/>
  <c r="AQ67" i="13"/>
  <c r="AQ240" i="13"/>
  <c r="AS239" i="13"/>
  <c r="AQ142" i="13"/>
  <c r="AQ38" i="13"/>
  <c r="AS136" i="13"/>
  <c r="AS41" i="13"/>
  <c r="AS303" i="13"/>
  <c r="AS179" i="13"/>
  <c r="AQ167" i="13"/>
  <c r="AS53" i="13"/>
  <c r="AS77" i="13"/>
  <c r="AS49" i="13"/>
  <c r="AS216" i="13"/>
  <c r="AS31" i="13"/>
  <c r="AS181" i="13"/>
  <c r="AQ80" i="13"/>
  <c r="AS23" i="13"/>
  <c r="AS26" i="13"/>
  <c r="DJ10" i="3"/>
  <c r="DF10" i="3"/>
  <c r="DD10" i="3"/>
  <c r="CZ12" i="3"/>
  <c r="DC12" i="3"/>
  <c r="CV12" i="3" s="1"/>
  <c r="AQ15" i="13"/>
  <c r="AS15" i="13"/>
  <c r="AR15" i="13"/>
  <c r="BP22" i="3"/>
  <c r="BP309" i="3" s="1"/>
  <c r="BO309" i="3"/>
  <c r="AL320" i="3" s="1"/>
  <c r="BV22" i="3"/>
  <c r="EU22" i="3"/>
  <c r="C23" i="13" l="1"/>
  <c r="C323" i="13"/>
  <c r="CX20" i="3"/>
  <c r="CY20" i="3" s="1"/>
  <c r="DA20" i="3" s="1"/>
  <c r="CG20" i="3" s="1"/>
  <c r="D23" i="13"/>
  <c r="D17" i="13"/>
  <c r="CX14" i="3"/>
  <c r="CY14" i="3" s="1"/>
  <c r="DA14" i="3" s="1"/>
  <c r="EL14" i="3" s="1"/>
  <c r="CV36" i="3"/>
  <c r="DJ36" i="3"/>
  <c r="DD36" i="3"/>
  <c r="C39" i="13" s="1"/>
  <c r="DF36" i="3"/>
  <c r="AS35" i="13"/>
  <c r="CG9" i="3"/>
  <c r="AS22" i="13"/>
  <c r="AS16" i="13"/>
  <c r="AQ16" i="13"/>
  <c r="AR12" i="13"/>
  <c r="AS12" i="13"/>
  <c r="AQ12" i="13"/>
  <c r="AQ45" i="13"/>
  <c r="AS45" i="13"/>
  <c r="AQ43" i="13"/>
  <c r="AS43" i="13"/>
  <c r="AS44" i="13"/>
  <c r="AQ46" i="13"/>
  <c r="AS46" i="13"/>
  <c r="AQ333" i="3"/>
  <c r="AQ330" i="3"/>
  <c r="C13" i="13"/>
  <c r="C313" i="13"/>
  <c r="CX10" i="3"/>
  <c r="CY10" i="3" s="1"/>
  <c r="DA10" i="3" s="1"/>
  <c r="D13" i="13"/>
  <c r="DF12" i="3"/>
  <c r="DJ12" i="3"/>
  <c r="DD12" i="3"/>
  <c r="CN22" i="3"/>
  <c r="CG14" i="3" l="1"/>
  <c r="CX36" i="3"/>
  <c r="CY36" i="3" s="1"/>
  <c r="DA36" i="3" s="1"/>
  <c r="EL36" i="3" s="1"/>
  <c r="D39" i="13"/>
  <c r="EL20" i="3"/>
  <c r="CG10" i="3"/>
  <c r="EL10" i="3"/>
  <c r="CX12" i="3"/>
  <c r="CY12" i="3" s="1"/>
  <c r="DA12" i="3" s="1"/>
  <c r="D15" i="13"/>
  <c r="DC22" i="3"/>
  <c r="CV22" i="3" s="1"/>
  <c r="CZ22" i="3"/>
  <c r="AV25" i="13"/>
  <c r="CO22" i="3"/>
  <c r="C315" i="13"/>
  <c r="C15" i="13"/>
  <c r="CG36" i="3" l="1"/>
  <c r="DD22" i="3"/>
  <c r="CO309" i="3"/>
  <c r="Z6" i="3" s="1"/>
  <c r="R25" i="13"/>
  <c r="AH25" i="13" s="1"/>
  <c r="EL12" i="3"/>
  <c r="CG12" i="3"/>
  <c r="AG25" i="13"/>
  <c r="AK25" i="13"/>
  <c r="AO25" i="13"/>
  <c r="AM25" i="13"/>
  <c r="AJ25" i="13"/>
  <c r="AP25" i="13"/>
  <c r="AL25" i="13"/>
  <c r="AN25" i="13"/>
  <c r="AI25" i="13"/>
  <c r="AI614" i="13" s="1"/>
  <c r="DF22" i="3"/>
  <c r="DJ22" i="3"/>
  <c r="DJ312" i="3" s="1"/>
  <c r="DJ313" i="3" s="1"/>
  <c r="DC309" i="3"/>
  <c r="C325" i="13" l="1"/>
  <c r="C25" i="13"/>
  <c r="AM614" i="13" s="1"/>
  <c r="AC25" i="13"/>
  <c r="CQ22" i="3" s="1"/>
  <c r="AE25" i="13"/>
  <c r="CS22" i="3" s="1"/>
  <c r="AD25" i="13"/>
  <c r="CR22" i="3" s="1"/>
  <c r="CX22" i="3"/>
  <c r="CY22" i="3" s="1"/>
  <c r="DA22" i="3" s="1"/>
  <c r="DA309" i="3" s="1"/>
  <c r="D25" i="13"/>
  <c r="CU309" i="3"/>
  <c r="CV309" i="3"/>
  <c r="AQ25" i="13"/>
  <c r="AR25" i="13"/>
  <c r="AS25" i="13"/>
  <c r="AG614" i="13" l="1"/>
  <c r="V612" i="13"/>
  <c r="AB612" i="13"/>
  <c r="AB614" i="13" s="1"/>
  <c r="AB616" i="13" s="1"/>
  <c r="Q612" i="13"/>
  <c r="AM612" i="13"/>
  <c r="AM616" i="13" s="1"/>
  <c r="AP612" i="13"/>
  <c r="AP614" i="13" s="1"/>
  <c r="AP616" i="13" s="1"/>
  <c r="AN612" i="13"/>
  <c r="R612" i="13"/>
  <c r="W612" i="13"/>
  <c r="X612" i="13"/>
  <c r="AG612" i="13"/>
  <c r="AH612" i="13"/>
  <c r="AI612" i="13"/>
  <c r="AI616" i="13" s="1"/>
  <c r="AI618" i="13" s="1"/>
  <c r="AL612" i="13"/>
  <c r="AO612" i="13"/>
  <c r="Y614" i="13"/>
  <c r="Y616" i="13" s="1"/>
  <c r="V614" i="13"/>
  <c r="R614" i="13"/>
  <c r="AL614" i="13"/>
  <c r="AO614" i="13"/>
  <c r="X614" i="13"/>
  <c r="Q614" i="13"/>
  <c r="W614" i="13"/>
  <c r="AN614" i="13"/>
  <c r="AH614" i="13"/>
  <c r="CG22" i="3"/>
  <c r="CG309" i="3" s="1"/>
  <c r="AL321" i="3"/>
  <c r="X313" i="3"/>
  <c r="DF312" i="3" s="1"/>
  <c r="EL22" i="3"/>
  <c r="EL309" i="3" s="1"/>
  <c r="AR614" i="13" l="1"/>
  <c r="CR310" i="3" s="1"/>
  <c r="AG616" i="13"/>
  <c r="AS614" i="13"/>
  <c r="CS310" i="3" s="1"/>
  <c r="R616" i="13"/>
  <c r="AQ614" i="13"/>
  <c r="CQ310" i="3" s="1"/>
  <c r="W616" i="13"/>
  <c r="AO616" i="13"/>
  <c r="AN616" i="13"/>
  <c r="AL616" i="13"/>
  <c r="AC614" i="13"/>
  <c r="CQ309" i="3" s="1"/>
  <c r="AE614" i="13"/>
  <c r="CS309" i="3" s="1"/>
  <c r="AD614" i="13"/>
  <c r="CR309" i="3" s="1"/>
  <c r="AH616" i="13"/>
  <c r="AD612" i="13"/>
  <c r="AE612" i="13"/>
  <c r="Q616" i="13"/>
  <c r="AC612" i="13"/>
  <c r="AR612" i="13"/>
  <c r="AS612" i="13"/>
  <c r="AQ612" i="13"/>
  <c r="X616" i="13"/>
  <c r="V616" i="13"/>
  <c r="EE326" i="3"/>
  <c r="EE327" i="3" s="1"/>
  <c r="EF326" i="3" s="1"/>
  <c r="CZ317" i="3"/>
  <c r="J24" i="1"/>
  <c r="A52" i="9"/>
  <c r="Z5" i="3"/>
  <c r="A49" i="14"/>
  <c r="AJ322" i="3"/>
  <c r="DG312" i="3"/>
  <c r="DG311" i="3" s="1"/>
  <c r="DA311" i="3"/>
  <c r="AR616" i="13" l="1"/>
  <c r="AQ616" i="13"/>
  <c r="AS616" i="13"/>
  <c r="AD616" i="13"/>
  <c r="AE616" i="13"/>
  <c r="AC616" i="13"/>
  <c r="J25" i="1"/>
  <c r="AH618" i="13"/>
  <c r="R618" i="13"/>
  <c r="DA312" i="3"/>
  <c r="DA314" i="3" s="1"/>
  <c r="DA318" i="3" l="1"/>
  <c r="J19" i="1"/>
  <c r="Q50" i="9"/>
  <c r="DE313" i="3"/>
  <c r="Q47" i="14"/>
  <c r="J31" i="1"/>
  <c r="Q618" i="13" l="1"/>
  <c r="AG618" i="13"/>
  <c r="J20" i="1"/>
  <c r="DA321" i="3"/>
  <c r="Q52" i="9" l="1"/>
  <c r="Q49" i="14"/>
  <c r="J37" i="1"/>
  <c r="J32" i="1"/>
  <c r="J35" i="1" l="1"/>
  <c r="J3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Kathy</author>
  </authors>
  <commentList>
    <comment ref="AQ332" authorId="0" shapeId="0" xr:uid="{32CD64F6-1CF6-4F14-8287-FBA9C02F5C16}">
      <text>
        <r>
          <rPr>
            <b/>
            <sz val="9"/>
            <color indexed="81"/>
            <rFont val="Tahoma"/>
            <family val="2"/>
          </rPr>
          <t>Kathy:</t>
        </r>
        <r>
          <rPr>
            <sz val="9"/>
            <color indexed="81"/>
            <rFont val="Tahoma"/>
            <family val="2"/>
          </rPr>
          <t xml:space="preserve">
=SUMIF(DC9:DC408,"Standard Incentive",AA9:AA408)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kly0918</author>
    <author>tc={7D7358E1-A290-4344-9282-97E1BDEEEDA9}</author>
    <author>IPC</author>
    <author>Kathy</author>
    <author>Angela</author>
  </authors>
  <commentList>
    <comment ref="C1" authorId="0" shapeId="0" xr:uid="{00000000-0006-0000-1000-000001000000}">
      <text>
        <r>
          <rPr>
            <b/>
            <sz val="8"/>
            <color indexed="81"/>
            <rFont val="Tahoma"/>
            <family val="2"/>
          </rPr>
          <t>Update Financial Assumptions with each IRP</t>
        </r>
      </text>
    </comment>
    <comment ref="T11" authorId="1" shapeId="0" xr:uid="{7D7358E1-A290-4344-9282-97E1BDEEEDA9}">
      <text>
        <t>[Threaded comment]
Your version of Excel allows you to read this threaded comment; however, any edits to it will get removed if the file is opened in a newer version of Excel. Learn more: https://go.microsoft.com/fwlink/?linkid=870924
Comment:
    IPC:
Right now calculating the % WITH the lighting contorls costs and any additional costs…could change this to only show % with only the sum of S12:S411</t>
      </text>
    </comment>
    <comment ref="Y11" authorId="2" shapeId="0" xr:uid="{00000000-0006-0000-1000-000003000000}">
      <text>
        <r>
          <rPr>
            <b/>
            <sz val="9"/>
            <color indexed="81"/>
            <rFont val="Tahoma"/>
            <family val="2"/>
          </rPr>
          <t>IPC:</t>
        </r>
        <r>
          <rPr>
            <sz val="9"/>
            <color indexed="81"/>
            <rFont val="Tahoma"/>
            <family val="2"/>
          </rPr>
          <t xml:space="preserve">
For NEBs that occur once during the life of the measure.</t>
        </r>
      </text>
    </comment>
    <comment ref="Z11" authorId="2" shapeId="0" xr:uid="{00000000-0006-0000-1000-000004000000}">
      <text>
        <r>
          <rPr>
            <b/>
            <sz val="9"/>
            <color indexed="81"/>
            <rFont val="Tahoma"/>
            <family val="2"/>
          </rPr>
          <t>IPC:</t>
        </r>
        <r>
          <rPr>
            <sz val="9"/>
            <color indexed="81"/>
            <rFont val="Tahoma"/>
            <family val="2"/>
          </rPr>
          <t xml:space="preserve">
For NEBs that occur annually.</t>
        </r>
      </text>
    </comment>
    <comment ref="AA11" authorId="2" shapeId="0" xr:uid="{00000000-0006-0000-1000-000005000000}">
      <text>
        <r>
          <rPr>
            <b/>
            <sz val="9"/>
            <color indexed="81"/>
            <rFont val="Tahoma"/>
            <family val="2"/>
          </rPr>
          <t>IPC:</t>
        </r>
        <r>
          <rPr>
            <sz val="9"/>
            <color indexed="81"/>
            <rFont val="Tahoma"/>
            <family val="2"/>
          </rPr>
          <t xml:space="preserve">
For NEBs that occur annually.</t>
        </r>
      </text>
    </comment>
    <comment ref="AB11" authorId="2" shapeId="0" xr:uid="{00000000-0006-0000-1000-000006000000}">
      <text>
        <r>
          <rPr>
            <b/>
            <sz val="9"/>
            <color indexed="81"/>
            <rFont val="Tahoma"/>
            <family val="2"/>
          </rPr>
          <t>IPC:</t>
        </r>
        <r>
          <rPr>
            <sz val="9"/>
            <color indexed="81"/>
            <rFont val="Tahoma"/>
            <family val="2"/>
          </rPr>
          <t xml:space="preserve">
NPV of NEBs that occur annually over the life of the measure.</t>
        </r>
      </text>
    </comment>
    <comment ref="AP11" authorId="2" shapeId="0" xr:uid="{00000000-0006-0000-1000-000007000000}">
      <text>
        <r>
          <rPr>
            <b/>
            <sz val="9"/>
            <color indexed="81"/>
            <rFont val="Tahoma"/>
            <family val="2"/>
          </rPr>
          <t>IPC:</t>
        </r>
        <r>
          <rPr>
            <sz val="9"/>
            <color indexed="81"/>
            <rFont val="Tahoma"/>
            <family val="2"/>
          </rPr>
          <t xml:space="preserve">
new column for NEBs</t>
        </r>
      </text>
    </comment>
    <comment ref="R12" authorId="3" shapeId="0" xr:uid="{00000000-0006-0000-1000-000008000000}">
      <text>
        <r>
          <rPr>
            <b/>
            <sz val="9"/>
            <color indexed="81"/>
            <rFont val="Tahoma"/>
            <family val="2"/>
          </rPr>
          <t>Kathy:</t>
        </r>
        <r>
          <rPr>
            <sz val="9"/>
            <color indexed="81"/>
            <rFont val="Tahoma"/>
            <family val="2"/>
          </rPr>
          <t xml:space="preserve">
formula in here as of 8/3
=IF(Q12&lt;0,0,IF('Proposed Lighting'!CN9=0,0,IF(AND('Proposed Lighting'!DC9=0,'Proposed Lighting'!CM9=0),0,IF('Proposed Lighting'!CM9&gt;0.01,'Proposed Lighting'!CM9,IF('Proposed Lighting'!DC9&gt;0.01,'Proposed Lighting'!DC9/'Proposed Lighting'!AB9,0)))))</t>
        </r>
      </text>
    </comment>
    <comment ref="S613" authorId="4" shapeId="0" xr:uid="{00000000-0006-0000-1000-00000A000000}">
      <text>
        <r>
          <rPr>
            <b/>
            <sz val="9"/>
            <color indexed="81"/>
            <rFont val="Tahoma"/>
            <family val="2"/>
          </rPr>
          <t>Angela:</t>
        </r>
        <r>
          <rPr>
            <sz val="9"/>
            <color indexed="81"/>
            <rFont val="Tahoma"/>
            <family val="2"/>
          </rPr>
          <t xml:space="preserve">
Updated: No additional costs
</t>
        </r>
      </text>
    </comment>
    <comment ref="AB613" authorId="2" shapeId="0" xr:uid="{00000000-0006-0000-1000-00000B000000}">
      <text>
        <r>
          <rPr>
            <b/>
            <sz val="9"/>
            <color indexed="81"/>
            <rFont val="Tahoma"/>
            <family val="2"/>
          </rPr>
          <t>IPC:</t>
        </r>
        <r>
          <rPr>
            <sz val="9"/>
            <color indexed="81"/>
            <rFont val="Tahoma"/>
            <family val="2"/>
          </rPr>
          <t xml:space="preserve">
for project level NEBs.
Enter annual value from customer in cell X6. This value will override the 3% annual NEB calculation from column AA12:AAA811.
If value is given for an individual line, enter it above.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<sst xmlns="http://schemas.openxmlformats.org/spreadsheetml/2006/main" count="6426" uniqueCount="1994">
  <si>
    <t xml:space="preserve"> </t>
  </si>
  <si>
    <t>years</t>
  </si>
  <si>
    <t>Sunday</t>
  </si>
  <si>
    <t>Wednesday</t>
  </si>
  <si>
    <t>Thursday</t>
  </si>
  <si>
    <t>Friday</t>
  </si>
  <si>
    <t>Saturday</t>
  </si>
  <si>
    <t>Project Name:</t>
  </si>
  <si>
    <t>Existing</t>
  </si>
  <si>
    <t>Fixture Location</t>
  </si>
  <si>
    <t>Existing Fixtures</t>
  </si>
  <si>
    <t>Input Watts</t>
  </si>
  <si>
    <t>Qty</t>
  </si>
  <si>
    <t xml:space="preserve">Proposed   </t>
  </si>
  <si>
    <t>Annual Hours</t>
  </si>
  <si>
    <t>Hours &amp; Cost</t>
  </si>
  <si>
    <t>kWh</t>
  </si>
  <si>
    <t>Proposed kWh Savings</t>
  </si>
  <si>
    <t>Unit Incentive</t>
  </si>
  <si>
    <t>Total Incentive</t>
  </si>
  <si>
    <t>kWh Savings &amp; Incentives</t>
  </si>
  <si>
    <t>Qty Controlled</t>
  </si>
  <si>
    <t>Estimated Energy Savings &amp; Incentive</t>
  </si>
  <si>
    <t>Total Project Cost</t>
  </si>
  <si>
    <t>Project Payback</t>
  </si>
  <si>
    <t>Payback</t>
  </si>
  <si>
    <t>These are estimated incentives and energy savings based on the proposed lighting completed</t>
  </si>
  <si>
    <t>in the proposed lighting spreadsheet.  Actual savings and incentives may vary due to final installed</t>
  </si>
  <si>
    <t>measures and costs.  Actual energy savings will vary based on building use, hours of operation</t>
  </si>
  <si>
    <t>and energy rates.</t>
  </si>
  <si>
    <t>Proposed Project Summary</t>
  </si>
  <si>
    <t>INCENTIVE &amp; ENERGY SAVINGS REVIEW</t>
  </si>
  <si>
    <t>Existing kWh</t>
  </si>
  <si>
    <t>Proposed kWh</t>
  </si>
  <si>
    <t>enter input watts</t>
  </si>
  <si>
    <t>8FT T12 FLUORESCENT</t>
  </si>
  <si>
    <t>EXIT SIGNS</t>
  </si>
  <si>
    <t>Pre-kW</t>
  </si>
  <si>
    <t>Post-kW</t>
  </si>
  <si>
    <t>Existing kWh per year</t>
  </si>
  <si>
    <t>Proposed kWh per year</t>
  </si>
  <si>
    <t>Warehouse</t>
  </si>
  <si>
    <t>Per Year</t>
  </si>
  <si>
    <t>Estimated Incentive</t>
  </si>
  <si>
    <t>Location</t>
  </si>
  <si>
    <t>Description of Fixtures Controlled</t>
  </si>
  <si>
    <t>Hidden Total Watts</t>
  </si>
  <si>
    <t>Hidden kWh Before</t>
  </si>
  <si>
    <t>Hidden kWh After</t>
  </si>
  <si>
    <t>Fixture Input Watts</t>
  </si>
  <si>
    <t>Idaho Power</t>
  </si>
  <si>
    <t>CUSTOMER INFORMATION</t>
  </si>
  <si>
    <t>Account Number</t>
  </si>
  <si>
    <t>Meter Number</t>
  </si>
  <si>
    <t>Please select</t>
  </si>
  <si>
    <t>City</t>
  </si>
  <si>
    <t>State</t>
  </si>
  <si>
    <t>Zip</t>
  </si>
  <si>
    <t>Contact Name</t>
  </si>
  <si>
    <t>Title</t>
  </si>
  <si>
    <t>Company Name</t>
  </si>
  <si>
    <t>Mailing Address</t>
  </si>
  <si>
    <t>Account Number or Meter Number*</t>
  </si>
  <si>
    <t>City*</t>
  </si>
  <si>
    <t>State*</t>
  </si>
  <si>
    <t>Zip*</t>
  </si>
  <si>
    <r>
      <t>Daily Hours of Operation</t>
    </r>
    <r>
      <rPr>
        <b/>
        <sz val="9"/>
        <color indexed="10"/>
        <rFont val="Arial"/>
        <family val="2"/>
      </rPr>
      <t>*</t>
    </r>
  </si>
  <si>
    <t>Monday</t>
  </si>
  <si>
    <t>Tuesday</t>
  </si>
  <si>
    <t>Owner</t>
  </si>
  <si>
    <t>Tenant</t>
  </si>
  <si>
    <t>Description or Notes</t>
  </si>
  <si>
    <t>LISTS FOR EXISTING DROPDOWN MENU'S</t>
  </si>
  <si>
    <t>----------------------------------------------</t>
  </si>
  <si>
    <t>Incandescent</t>
  </si>
  <si>
    <t>Compact Fluorescent</t>
  </si>
  <si>
    <t>HIGH-INTENSITY DISCHARGE (HID)</t>
  </si>
  <si>
    <t>Mercury Vapor, 40 watts</t>
  </si>
  <si>
    <t>Mercury Vapor, 50 watts</t>
  </si>
  <si>
    <t>Mercury Vapor, 75 watts</t>
  </si>
  <si>
    <t>Mercury Vapor, 100 watts</t>
  </si>
  <si>
    <t>Mercury Vapor, 175 watts</t>
  </si>
  <si>
    <t>Mercury Vapor, 250 watts</t>
  </si>
  <si>
    <t>Mercury Vapor, 400 watts</t>
  </si>
  <si>
    <t>Mercury Vapor, 1000 watts</t>
  </si>
  <si>
    <t>High Pressure Sodium, 35 watts</t>
  </si>
  <si>
    <t>High Pressure Sodium, 50 watts</t>
  </si>
  <si>
    <t>High Pressure Sodium, 70 watts</t>
  </si>
  <si>
    <t>High Pressure Sodium, 100 watts</t>
  </si>
  <si>
    <t>High Pressure Sodium, 150 watts</t>
  </si>
  <si>
    <t>High Pressure Sodium, 200 watts</t>
  </si>
  <si>
    <t>High Pressure Sodium, 250 watts</t>
  </si>
  <si>
    <t>High Pressure Sodium, 400 watts</t>
  </si>
  <si>
    <t>High Pressure Sodium, 1000 watts</t>
  </si>
  <si>
    <t>Metal Halide, 32 watts</t>
  </si>
  <si>
    <t>Metal Halide, 70 watts</t>
  </si>
  <si>
    <t>Metal Halide, 100 watts</t>
  </si>
  <si>
    <t>Metal Halide, 175 watts</t>
  </si>
  <si>
    <t>Metal Halide, 250 watts</t>
  </si>
  <si>
    <t>Metal Halide, 400 watts</t>
  </si>
  <si>
    <t>Metal Halide, 1000 watts</t>
  </si>
  <si>
    <t>Exit Sign 18W</t>
  </si>
  <si>
    <t>Exit Sign 30W</t>
  </si>
  <si>
    <t>Exit Sign 40W</t>
  </si>
  <si>
    <t>2ft, 1 lamp F20 T12</t>
  </si>
  <si>
    <t>2ft, 2 lamp F20 T12</t>
  </si>
  <si>
    <t>3ft, 1 lamp F30 T12</t>
  </si>
  <si>
    <t>3ft, 2 lamp F30 T12</t>
  </si>
  <si>
    <t>4ft, 1 lamp F40 T12</t>
  </si>
  <si>
    <t>4ft, 2 lamp F40 T12</t>
  </si>
  <si>
    <t>4ft, 3 lamp F40 T12</t>
  </si>
  <si>
    <t>4ft, 4 lamp F40 T12</t>
  </si>
  <si>
    <t>2ft, 1 lamp F40 T12 U Bent</t>
  </si>
  <si>
    <t>2ft, 2 lamp F40 T12 U Bent</t>
  </si>
  <si>
    <t>8ft, 1 lamp F96 T12</t>
  </si>
  <si>
    <t>8ft, 2 lamp F96 T12</t>
  </si>
  <si>
    <t>8ft, 3 lamp F96 T12</t>
  </si>
  <si>
    <t>8ft, 4 lamp F96 T12</t>
  </si>
  <si>
    <t>8ft, 1 lamp F96 HO T12</t>
  </si>
  <si>
    <t>8ft, 2 lamp F96 HO T12</t>
  </si>
  <si>
    <t>8ft, 3 lamp F96 HO T12</t>
  </si>
  <si>
    <t>8ft, 4 lamp F96 HO T12</t>
  </si>
  <si>
    <t>8ft, 1 lamp F96 VHO T12</t>
  </si>
  <si>
    <t>8ft, 2 lamp F96 VHO T12</t>
  </si>
  <si>
    <t>8ft, 3 lamp F96 VHO T12</t>
  </si>
  <si>
    <t>8ft, 4 lamp F96 VHO T12</t>
  </si>
  <si>
    <t>6ft, 1 Lamp F72 T12</t>
  </si>
  <si>
    <t>6ft, 2 Lamp F72 T12</t>
  </si>
  <si>
    <t>6ft, 1 Lamp F72 HO T12</t>
  </si>
  <si>
    <t>6ft, 2 Lamp F72 HO T12</t>
  </si>
  <si>
    <t>6ft, 1 Lamp F72 VHO T12</t>
  </si>
  <si>
    <t>6ft, 2 Lamp F72 VHO T12</t>
  </si>
  <si>
    <t>Hidden Length Check 2</t>
  </si>
  <si>
    <t>2ft, 1 lamp F17 T8</t>
  </si>
  <si>
    <t>2ft, 2 lamp F17 T8</t>
  </si>
  <si>
    <t>3ft, 1 lamp F25 T8</t>
  </si>
  <si>
    <t>3ft, 2 lamp F25 T8</t>
  </si>
  <si>
    <t>4ft, 1 lamp F32 T8</t>
  </si>
  <si>
    <t>4ft, 2 lamp F32 T8</t>
  </si>
  <si>
    <t>4ft, 3 lamp F32 T8</t>
  </si>
  <si>
    <t>4ft, 4 lamp F32 T8</t>
  </si>
  <si>
    <t>2ft, 1 lamp F32 T8 U Bent</t>
  </si>
  <si>
    <t>2ft, 2 lamp F32 T8 U Bent</t>
  </si>
  <si>
    <t>4ft, 1 lamp F54 T5HO</t>
  </si>
  <si>
    <t>4ft, 2 lamp F54 T5HO</t>
  </si>
  <si>
    <t>4ft, 3 lamp F54 T5HO</t>
  </si>
  <si>
    <t>4ft, 4 lamp F54 T5HO</t>
  </si>
  <si>
    <t>4ft, 6 lamp F54 T5HO</t>
  </si>
  <si>
    <t>4ft, 8 lamp F54 T5HO</t>
  </si>
  <si>
    <t>4ft, 10 lamp F54 T5HO</t>
  </si>
  <si>
    <t>4ft, 1 lamp F54 T5HO (47-50 watt lamp)</t>
  </si>
  <si>
    <t>4ft, 2 lamp F54 T5HO (47-50 watt lamp)</t>
  </si>
  <si>
    <t>4ft, 3 lamp F54 T5HO (47-50 watt lamp)</t>
  </si>
  <si>
    <t>4ft, 4 lamp F54 T5HO (47-50 watt lamp)</t>
  </si>
  <si>
    <t>4ft, 6 lamp F54 T5HO (47-50 watt lamp)</t>
  </si>
  <si>
    <t>4ft, 8 lamp F54 T5HO (47-50 watt lamp)</t>
  </si>
  <si>
    <t>4ft, 10 lamp F54 T5HO (47-50 watt lamp)</t>
  </si>
  <si>
    <t>8ft, 1 lamp F59 T8</t>
  </si>
  <si>
    <t>8ft, 2 lamp F59 T8</t>
  </si>
  <si>
    <t>8ft, 3 lamp F59 T8</t>
  </si>
  <si>
    <t>8ft, 4 lamp F59 T8</t>
  </si>
  <si>
    <t>8ft, 1 lamp F86HO T8</t>
  </si>
  <si>
    <t>8ft, 2 lamp F86HO T8</t>
  </si>
  <si>
    <t>8ft, 3 lamp F86HO T8</t>
  </si>
  <si>
    <t>8ft, 4 lamp F86HO T8</t>
  </si>
  <si>
    <t>Check Length</t>
  </si>
  <si>
    <t>LISTS FOR EXISTING CHECK LENGTH</t>
  </si>
  <si>
    <t>LISTS FOR PROPOSED CHECK LENGTH</t>
  </si>
  <si>
    <t>LISTS FOR PROPOSED DROPDOWN MENU'S &amp; WATTS</t>
  </si>
  <si>
    <t>Manufacturer</t>
  </si>
  <si>
    <t>Model Number</t>
  </si>
  <si>
    <t>Reduced Project Cost</t>
  </si>
  <si>
    <t>Project Results</t>
  </si>
  <si>
    <t>Total Existing Fixtures:</t>
  </si>
  <si>
    <t>Total Proposed Fixtures:</t>
  </si>
  <si>
    <t xml:space="preserve">Project Notes </t>
  </si>
  <si>
    <t>Customer Information</t>
  </si>
  <si>
    <t>Account Number or Meter Number</t>
  </si>
  <si>
    <t>Lighting Project Details</t>
  </si>
  <si>
    <t>Date</t>
  </si>
  <si>
    <t>Estimated kWh Savings</t>
  </si>
  <si>
    <t>PROGRAM USE ONLY</t>
  </si>
  <si>
    <t>Received:</t>
  </si>
  <si>
    <t>2ft, 3 lamp F20 T12</t>
  </si>
  <si>
    <t>2ft, 4 lamp F20 T12</t>
  </si>
  <si>
    <t>3ft, 3 lamp F30 T12</t>
  </si>
  <si>
    <t>3ft, 4 lamp F30 T12</t>
  </si>
  <si>
    <t>2ft, 3 lamp F17 T8</t>
  </si>
  <si>
    <t>2ft, 4 lamp F17 T8</t>
  </si>
  <si>
    <t>3ft, 3 lamp F25 T8</t>
  </si>
  <si>
    <t>3ft, 4 lamp F25 T8</t>
  </si>
  <si>
    <t>T12 FIXTURES - 6FT OR LESS</t>
  </si>
  <si>
    <t>Wall switch occupancy sensor</t>
  </si>
  <si>
    <t>Fixture mount occupancy sensor</t>
  </si>
  <si>
    <t>Wall or ceiling mount occupancy sensor</t>
  </si>
  <si>
    <r>
      <t xml:space="preserve">Interior photocell control </t>
    </r>
    <r>
      <rPr>
        <i/>
        <sz val="8"/>
        <color indexed="8"/>
        <rFont val="Calibri"/>
        <family val="2"/>
      </rPr>
      <t>(dimming, step-dim or switching)</t>
    </r>
  </si>
  <si>
    <t>Auto-off time switch or time clock (must be &gt;100 watts)</t>
  </si>
  <si>
    <t xml:space="preserve"> % of Savings</t>
  </si>
  <si>
    <t>Hidden Total Incentive</t>
  </si>
  <si>
    <t>kWh Before:</t>
  </si>
  <si>
    <t>kWh After:</t>
  </si>
  <si>
    <t xml:space="preserve">                       (please note unusual costs…etc.)</t>
  </si>
  <si>
    <t xml:space="preserve"> Fixtures Controlled</t>
  </si>
  <si>
    <t>Proposed Fixtures</t>
  </si>
  <si>
    <t>Company Name*</t>
  </si>
  <si>
    <t>Notes</t>
  </si>
  <si>
    <t>End Use Load Shape</t>
  </si>
  <si>
    <t>Measure Description</t>
  </si>
  <si>
    <t>Replacing</t>
  </si>
  <si>
    <t>Meas Unit</t>
  </si>
  <si>
    <t>Meas Life</t>
  </si>
  <si>
    <t>NTG</t>
  </si>
  <si>
    <t>Prior Op Hours</t>
  </si>
  <si>
    <t>Retro Op Hours</t>
  </si>
  <si>
    <t>Δ Op Hours</t>
  </si>
  <si>
    <t>Prior kW</t>
  </si>
  <si>
    <t>Retro kW</t>
  </si>
  <si>
    <t>Δ kW</t>
  </si>
  <si>
    <t>Calculated Energy Savings (kWh/yr)</t>
  </si>
  <si>
    <t>Incentive / Measure Unit</t>
  </si>
  <si>
    <t>Admin Cost ($/kWh)</t>
  </si>
  <si>
    <t>NPV Part Bill Savings</t>
  </si>
  <si>
    <t>UC Ratio</t>
  </si>
  <si>
    <t xml:space="preserve"> TRC Ratio</t>
  </si>
  <si>
    <t>Year</t>
  </si>
  <si>
    <t>WACC (2008 YE After tax)</t>
  </si>
  <si>
    <t>Financial Escalator</t>
  </si>
  <si>
    <t>Summer Line Loss</t>
  </si>
  <si>
    <t>Non Summer Line Loss</t>
  </si>
  <si>
    <t>Savings</t>
  </si>
  <si>
    <t>Costs</t>
  </si>
  <si>
    <t>Benefits</t>
  </si>
  <si>
    <t>Benefit/Cost Ratios</t>
  </si>
  <si>
    <t>Measure Life Lookup</t>
  </si>
  <si>
    <t>Building Type</t>
  </si>
  <si>
    <r>
      <t xml:space="preserve">E-mail* </t>
    </r>
    <r>
      <rPr>
        <i/>
        <sz val="8"/>
        <color indexed="10"/>
        <rFont val="Arial"/>
        <family val="2"/>
      </rPr>
      <t>(required to send application updates and approval notices)</t>
    </r>
  </si>
  <si>
    <t>Title*</t>
  </si>
  <si>
    <t>Contact Name*</t>
  </si>
  <si>
    <t>INSTALLATION CONTRACTOR INFORMATION</t>
  </si>
  <si>
    <t>Property Management Co.</t>
  </si>
  <si>
    <t>ELECTRICAL SUPPLIER INFORMATION</t>
  </si>
  <si>
    <t>APP#:</t>
  </si>
  <si>
    <t>Fixture</t>
  </si>
  <si>
    <t>Line 1</t>
  </si>
  <si>
    <t>Line 2</t>
  </si>
  <si>
    <t>Line 3</t>
  </si>
  <si>
    <t>Line 4</t>
  </si>
  <si>
    <t>Line 5</t>
  </si>
  <si>
    <t>Line 6</t>
  </si>
  <si>
    <t>Line 7</t>
  </si>
  <si>
    <t>Line 8</t>
  </si>
  <si>
    <t>Line 9</t>
  </si>
  <si>
    <t>Line 10</t>
  </si>
  <si>
    <t>Line 11</t>
  </si>
  <si>
    <t>Line 12</t>
  </si>
  <si>
    <t>Line 13</t>
  </si>
  <si>
    <t>Line 14</t>
  </si>
  <si>
    <t>Line 15</t>
  </si>
  <si>
    <t>Line 16</t>
  </si>
  <si>
    <t>Line 17</t>
  </si>
  <si>
    <t>Line 18</t>
  </si>
  <si>
    <t>Line 19</t>
  </si>
  <si>
    <t>Line 20</t>
  </si>
  <si>
    <t>Line 21</t>
  </si>
  <si>
    <t>Line 22</t>
  </si>
  <si>
    <t>Line 23</t>
  </si>
  <si>
    <t>Line 24</t>
  </si>
  <si>
    <t>Line 25</t>
  </si>
  <si>
    <t>Pre-Approval Application</t>
  </si>
  <si>
    <t>Project/Facility Name</t>
  </si>
  <si>
    <t>Project Site Address</t>
  </si>
  <si>
    <t>Restaurant</t>
  </si>
  <si>
    <t>Hospital</t>
  </si>
  <si>
    <t>Exterior</t>
  </si>
  <si>
    <t>kWh/yr:</t>
  </si>
  <si>
    <t>$ per/yr:</t>
  </si>
  <si>
    <t>Cust. Rep:</t>
  </si>
  <si>
    <t>Rate:</t>
  </si>
  <si>
    <t>E-mail (required)</t>
  </si>
  <si>
    <t>Electrical Supplier Information</t>
  </si>
  <si>
    <t>Estimated Project Cost</t>
  </si>
  <si>
    <t>Payment Application</t>
  </si>
  <si>
    <t>Federal Tax ID#</t>
  </si>
  <si>
    <t>Contractor:</t>
  </si>
  <si>
    <t>Lighting Controls Project Results</t>
  </si>
  <si>
    <t>Incentive Pull Up</t>
  </si>
  <si>
    <t>kWh Savings Test</t>
  </si>
  <si>
    <t>Incentive Check Recipient</t>
  </si>
  <si>
    <t>Official Tax Name (Associated with TIN/SSN)</t>
  </si>
  <si>
    <t>Supplier:</t>
  </si>
  <si>
    <t>Non-Standard Incentive $$ Total</t>
  </si>
  <si>
    <t xml:space="preserve">SONP </t>
  </si>
  <si>
    <t>SMP</t>
  </si>
  <si>
    <t>SOFP</t>
  </si>
  <si>
    <t>NSMP</t>
  </si>
  <si>
    <t>NSOFP</t>
  </si>
  <si>
    <t>PCT Ratio</t>
  </si>
  <si>
    <t>70% Custom Check</t>
  </si>
  <si>
    <t>Pre-kWh</t>
  </si>
  <si>
    <t>Post-kWh</t>
  </si>
  <si>
    <t>Hidden CBE Tests</t>
  </si>
  <si>
    <t>PCT TEST</t>
  </si>
  <si>
    <t>UC TEST</t>
  </si>
  <si>
    <t>TRC TEST</t>
  </si>
  <si>
    <t>Standard Lighting Incentives</t>
  </si>
  <si>
    <r>
      <t xml:space="preserve">E-mail </t>
    </r>
    <r>
      <rPr>
        <i/>
        <sz val="8"/>
        <rFont val="Arial"/>
        <family val="2"/>
      </rPr>
      <t>(required to send application updates and approval notices)</t>
    </r>
  </si>
  <si>
    <t>Commercial - Industrial Lighting Retrofit</t>
  </si>
  <si>
    <t>$/yr:</t>
  </si>
  <si>
    <t>Type</t>
  </si>
  <si>
    <t>Select Type*</t>
  </si>
  <si>
    <t>Estimated Start Date</t>
  </si>
  <si>
    <t>Estimated Completion Date</t>
  </si>
  <si>
    <t>Start Date</t>
  </si>
  <si>
    <t>Completion Date</t>
  </si>
  <si>
    <t>Manual Entry Input Watts</t>
  </si>
  <si>
    <t>4ft, 6 lamp F32 T8</t>
  </si>
  <si>
    <t>4ft, 8 lamp F32 T8</t>
  </si>
  <si>
    <t>Idaho Power Use Only</t>
  </si>
  <si>
    <t>Existing Wattage</t>
  </si>
  <si>
    <t>Proposed Wattage</t>
  </si>
  <si>
    <t>Existing Equipment</t>
  </si>
  <si>
    <t>Energy Efficient Equipment</t>
  </si>
  <si>
    <t>Incentive</t>
  </si>
  <si>
    <t>(to be installed)</t>
  </si>
  <si>
    <t>Lighting Controls</t>
  </si>
  <si>
    <t>Manual or no prior control</t>
  </si>
  <si>
    <t>LED exit sign or equivalent (&lt; 5 watts)</t>
  </si>
  <si>
    <t>Requirements for ALL lighting projects:</t>
  </si>
  <si>
    <t>w</t>
  </si>
  <si>
    <t>Existing equipment must be disposed of properly.</t>
  </si>
  <si>
    <t>Proposed equipment must be UL, ETL or NRTL listed.</t>
  </si>
  <si>
    <t>C. Rep:</t>
  </si>
  <si>
    <t>Annual Operating Hours</t>
  </si>
  <si>
    <t>Hidden for Max Quantity DV</t>
  </si>
  <si>
    <t>date posted:</t>
  </si>
  <si>
    <t>Lighting Project Costs Totals</t>
  </si>
  <si>
    <t>Lighting Incentives Form</t>
  </si>
  <si>
    <t>Line 26</t>
  </si>
  <si>
    <t>Line 27</t>
  </si>
  <si>
    <t>Line 28</t>
  </si>
  <si>
    <t>Line 29</t>
  </si>
  <si>
    <t>Line 30</t>
  </si>
  <si>
    <t>Line 31</t>
  </si>
  <si>
    <t>Line 32</t>
  </si>
  <si>
    <t>Line 33</t>
  </si>
  <si>
    <t>Line 34</t>
  </si>
  <si>
    <t>Line 35</t>
  </si>
  <si>
    <t>Line 36</t>
  </si>
  <si>
    <t>Line 37</t>
  </si>
  <si>
    <t>Line 38</t>
  </si>
  <si>
    <t>Line 39</t>
  </si>
  <si>
    <t>Line 40</t>
  </si>
  <si>
    <t>Line 41</t>
  </si>
  <si>
    <t>Line 42</t>
  </si>
  <si>
    <t>Line 43</t>
  </si>
  <si>
    <t>Line 44</t>
  </si>
  <si>
    <t>Line 45</t>
  </si>
  <si>
    <t>Line 46</t>
  </si>
  <si>
    <t>Line 47</t>
  </si>
  <si>
    <t>Line 48</t>
  </si>
  <si>
    <t>Line 49</t>
  </si>
  <si>
    <t>Line 50</t>
  </si>
  <si>
    <t>Line 51</t>
  </si>
  <si>
    <t>Line 52</t>
  </si>
  <si>
    <t>Line 53</t>
  </si>
  <si>
    <t>Line 54</t>
  </si>
  <si>
    <t>Line 55</t>
  </si>
  <si>
    <t>Line 56</t>
  </si>
  <si>
    <t>Line 57</t>
  </si>
  <si>
    <t>Line 58</t>
  </si>
  <si>
    <t>Line 59</t>
  </si>
  <si>
    <t>Line 60</t>
  </si>
  <si>
    <t>Line 61</t>
  </si>
  <si>
    <t>Line 62</t>
  </si>
  <si>
    <t>Line 63</t>
  </si>
  <si>
    <t>Line 64</t>
  </si>
  <si>
    <t>Line 65</t>
  </si>
  <si>
    <t>Line 66</t>
  </si>
  <si>
    <t>Line 67</t>
  </si>
  <si>
    <t>Line 68</t>
  </si>
  <si>
    <t>Line 69</t>
  </si>
  <si>
    <t>Line 70</t>
  </si>
  <si>
    <t>Line 71</t>
  </si>
  <si>
    <t>Line 72</t>
  </si>
  <si>
    <t>Line 73</t>
  </si>
  <si>
    <t>Line 74</t>
  </si>
  <si>
    <t>Line 75</t>
  </si>
  <si>
    <t>Line 76</t>
  </si>
  <si>
    <t>Line 77</t>
  </si>
  <si>
    <t>Line 78</t>
  </si>
  <si>
    <t>Line 79</t>
  </si>
  <si>
    <t>Line 80</t>
  </si>
  <si>
    <t>Line 81</t>
  </si>
  <si>
    <t>Line 82</t>
  </si>
  <si>
    <t>Line 83</t>
  </si>
  <si>
    <t>Line 84</t>
  </si>
  <si>
    <t>Line 85</t>
  </si>
  <si>
    <t>Line 86</t>
  </si>
  <si>
    <t>Line 87</t>
  </si>
  <si>
    <t>Line 88</t>
  </si>
  <si>
    <t>Line 89</t>
  </si>
  <si>
    <t>Line 90</t>
  </si>
  <si>
    <t>Line 91</t>
  </si>
  <si>
    <t>Line 92</t>
  </si>
  <si>
    <t>Line 93</t>
  </si>
  <si>
    <t>Line 94</t>
  </si>
  <si>
    <t>Line 95</t>
  </si>
  <si>
    <t>Line 96</t>
  </si>
  <si>
    <t>Line 97</t>
  </si>
  <si>
    <t>Line 98</t>
  </si>
  <si>
    <t>Line 99</t>
  </si>
  <si>
    <t>Line 100</t>
  </si>
  <si>
    <t>Electrical Contractor License Number*</t>
  </si>
  <si>
    <t>Building Type*</t>
  </si>
  <si>
    <r>
      <rPr>
        <b/>
        <sz val="13"/>
        <color indexed="8"/>
        <rFont val="Arial"/>
        <family val="2"/>
      </rPr>
      <t>Total</t>
    </r>
    <r>
      <rPr>
        <sz val="13"/>
        <color indexed="8"/>
        <rFont val="Arial"/>
        <family val="2"/>
      </rPr>
      <t xml:space="preserve"> kWh Savings:</t>
    </r>
  </si>
  <si>
    <t>(with incentive)</t>
  </si>
  <si>
    <t>Estimated Incentive:</t>
  </si>
  <si>
    <t>Additional Notes:</t>
  </si>
  <si>
    <t>Lighting Controls Only (leave quantity blank)</t>
  </si>
  <si>
    <t>*For controls only, choose lighting controls in existing fixture menu.</t>
  </si>
  <si>
    <r>
      <rPr>
        <b/>
        <sz val="13"/>
        <color indexed="8"/>
        <rFont val="Arial"/>
        <family val="2"/>
      </rPr>
      <t>Total</t>
    </r>
    <r>
      <rPr>
        <sz val="13"/>
        <color indexed="8"/>
        <rFont val="Arial"/>
        <family val="2"/>
      </rPr>
      <t xml:space="preserve"> Installed Costs:</t>
    </r>
  </si>
  <si>
    <t>Electrical Contractor License Number</t>
  </si>
  <si>
    <t>Estimated Annual Energy Savings</t>
  </si>
  <si>
    <t>Project Status*:</t>
  </si>
  <si>
    <t>Lookup Table for savings %</t>
  </si>
  <si>
    <t>Real Rate</t>
  </si>
  <si>
    <t>**CASE/WALK-IN LIGHTING**</t>
  </si>
  <si>
    <t>Customer Name (Organization)*</t>
  </si>
  <si>
    <t>Customer:</t>
  </si>
  <si>
    <t>Customer Mailing Address (if different)</t>
  </si>
  <si>
    <t>Customer Agreement</t>
  </si>
  <si>
    <t>*Based on average Idaho Power commercial customer rate.  Your actual payback may differ.</t>
  </si>
  <si>
    <t>Payback for customers using &lt; 2,000 kWh/month may be shorter than stated above.</t>
  </si>
  <si>
    <t>*Payback</t>
  </si>
  <si>
    <t>R.O.I.</t>
  </si>
  <si>
    <t>Project #:</t>
  </si>
  <si>
    <t>Post-Inspection:</t>
  </si>
  <si>
    <t>Pre-Inspection:</t>
  </si>
  <si>
    <t>Reviewer Notes:</t>
  </si>
  <si>
    <t>Existing Measures</t>
  </si>
  <si>
    <t>QTY</t>
  </si>
  <si>
    <t>Actual</t>
  </si>
  <si>
    <t>Proposed Measure</t>
  </si>
  <si>
    <t>Pic</t>
  </si>
  <si>
    <t>FC</t>
  </si>
  <si>
    <t>LC QTY</t>
  </si>
  <si>
    <t>Inspector Notes:</t>
  </si>
  <si>
    <t>Inspector:</t>
  </si>
  <si>
    <t>Persons in Attendance</t>
  </si>
  <si>
    <t>To Submit: obtain Customer’s signature/date on the application and e-mail the application, lighting tool and spec sheets to: lighting@idahopower.com</t>
  </si>
  <si>
    <t>Invalid Option</t>
  </si>
  <si>
    <t>Permanent fixture removal as part of overall lighting retrofit</t>
  </si>
  <si>
    <t>Facility Name:</t>
  </si>
  <si>
    <t>Please submit all revised lighting tools to lighting@idahopower.com</t>
  </si>
  <si>
    <t>To be revised and resubmitted - Contractor notified of changes</t>
  </si>
  <si>
    <t>Permanent Fixture Removal</t>
  </si>
  <si>
    <t>Exterior non-standard lighting control system</t>
  </si>
  <si>
    <t>/month</t>
  </si>
  <si>
    <t>*Cost of Waiting to Upgrade</t>
  </si>
  <si>
    <t>**Electronic T12 FIXTURES - 8FT OR LESS**</t>
  </si>
  <si>
    <t xml:space="preserve">4ft, 1 lamp F40 Electronic T12 </t>
  </si>
  <si>
    <t xml:space="preserve">8ft, 1 lamp F96 HO Electronic T12 </t>
  </si>
  <si>
    <t xml:space="preserve">8ft, 2 lamp F96 HO Electronic T12 </t>
  </si>
  <si>
    <t xml:space="preserve">8ft, 3 lamp F96 HO Electronic T12 </t>
  </si>
  <si>
    <t xml:space="preserve">8ft, 4 lamp F96 HO Electronic T12 </t>
  </si>
  <si>
    <t xml:space="preserve">8ft, 1 lamp F96 VHO Electronic T12 </t>
  </si>
  <si>
    <t xml:space="preserve">8ft, 2 lamp F96 VHO Electronic T12 </t>
  </si>
  <si>
    <t>Proposed Controls</t>
  </si>
  <si>
    <t xml:space="preserve">4ft, 3 lamp F40 Electronic T12 </t>
  </si>
  <si>
    <t xml:space="preserve">4ft, 4 lamp F40 Electronic T12 </t>
  </si>
  <si>
    <t>New Index Lookup</t>
  </si>
  <si>
    <t>*Estimated Annual Energy Savings</t>
  </si>
  <si>
    <t>4ft, 1 lamp T8 28 watt</t>
  </si>
  <si>
    <t>4ft, 2 lamp T8 28 watt</t>
  </si>
  <si>
    <t>4ft, 3 lamp T8 28 watt</t>
  </si>
  <si>
    <t>4ft, 4 lamp T8 28 watt</t>
  </si>
  <si>
    <t>4ft, 6 lamp T8 28 watt</t>
  </si>
  <si>
    <t>4ft, 8 lamp T8 28 watt</t>
  </si>
  <si>
    <t>-----------------------------------------------</t>
  </si>
  <si>
    <t>*Estimated Annual</t>
  </si>
  <si>
    <t xml:space="preserve"> Energy Savings:</t>
  </si>
  <si>
    <t>Ceiling mount occupancy sensor</t>
  </si>
  <si>
    <t>Exit Sign $$ Pull-up</t>
  </si>
  <si>
    <t>Interior</t>
  </si>
  <si>
    <t>DLC</t>
  </si>
  <si>
    <t>IF(V114&lt;EP109,"Additional incentive(s) capped due to measure cost",0)</t>
  </si>
  <si>
    <t>Formulas Used Older Tools</t>
  </si>
  <si>
    <t>Proposed Lighting AF122</t>
  </si>
  <si>
    <t xml:space="preserve"> Reduced Installed Cost:</t>
  </si>
  <si>
    <t>IF(SUM(AW9:AW108)&gt;500,"Case lighting only included in Total kWh Savings",0)</t>
  </si>
  <si>
    <t>Proposed Lighting AM110</t>
  </si>
  <si>
    <t>IF(DA113&gt;100000,"Project may be eligible for Custom Efficiency Program - please submit for review",0)</t>
  </si>
  <si>
    <t>Proposed Lighting AF124</t>
  </si>
  <si>
    <t>Proposed Lighting AM115</t>
  </si>
  <si>
    <t>IF('Lighting Controls'!S111&gt;0.1,"Includes control savings",0)</t>
  </si>
  <si>
    <t>Yes</t>
  </si>
  <si>
    <t xml:space="preserve">No </t>
  </si>
  <si>
    <t xml:space="preserve"> date posted:</t>
  </si>
  <si>
    <t>Pulse Start Metal Halide, 320 watts</t>
  </si>
  <si>
    <t>**T8/T5HO FIXTURE - (Relamp/Reballast)**</t>
  </si>
  <si>
    <t>Interior/Exterior Check</t>
  </si>
  <si>
    <t>Removal $$ Pull-up</t>
  </si>
  <si>
    <t>EXT Removal $$ Pull-up</t>
  </si>
  <si>
    <t>Case Lighting Matrix Lookup (Includes incorrect pairings)</t>
  </si>
  <si>
    <t>LISTS FOR PROPOSED MEASURE LIFE</t>
  </si>
  <si>
    <t>4ft, 2 lamp F40 Electronic T12</t>
  </si>
  <si>
    <t>6ft, 1 lamp F72 HO Electronic T12</t>
  </si>
  <si>
    <t>6ft, 1 lamp F72 VHO Electronic T12</t>
  </si>
  <si>
    <t>6ft, 2 lamp F72 HO Electronic T12</t>
  </si>
  <si>
    <t>6ft, 2 lamp F72 VHO Electronic T12</t>
  </si>
  <si>
    <t>8ft, 1 lamp F96 Electronic T12</t>
  </si>
  <si>
    <t>8ft, 2 lamp F96 Electronic T12</t>
  </si>
  <si>
    <t>8ft, 3 lamp F96 Electronic T12</t>
  </si>
  <si>
    <t>8ft, 4 lamp F96 Electronic T12</t>
  </si>
  <si>
    <t>8ft, 2 lamp F96 HO Electronic T12</t>
  </si>
  <si>
    <t>8ft, 2 lamp F96 VHO Electronic T12</t>
  </si>
  <si>
    <t>8ft, 1 lamp F96 VHO Electronic T12</t>
  </si>
  <si>
    <t>8ft, 3 lamp F96 VHO Electronic T12</t>
  </si>
  <si>
    <t>8ft, 4 lamp F96 VHO Electronic T12</t>
  </si>
  <si>
    <t>At Min of</t>
  </si>
  <si>
    <t>.18 &amp; 70%</t>
  </si>
  <si>
    <t>Group #3</t>
  </si>
  <si>
    <t>Group #4</t>
  </si>
  <si>
    <t>N/A</t>
  </si>
  <si>
    <t>Hardwired fixture using 50 to 299 input watts</t>
  </si>
  <si>
    <t>Group #14</t>
  </si>
  <si>
    <t>Line 101</t>
  </si>
  <si>
    <t>Line 102</t>
  </si>
  <si>
    <t>Line 103</t>
  </si>
  <si>
    <t>Line 104</t>
  </si>
  <si>
    <t>Line 105</t>
  </si>
  <si>
    <t>Line 106</t>
  </si>
  <si>
    <t>Line 107</t>
  </si>
  <si>
    <t>Line 108</t>
  </si>
  <si>
    <t>Line 109</t>
  </si>
  <si>
    <t>Line 110</t>
  </si>
  <si>
    <t>Line 111</t>
  </si>
  <si>
    <t>Line 112</t>
  </si>
  <si>
    <t>Line 113</t>
  </si>
  <si>
    <t>Line 114</t>
  </si>
  <si>
    <t>Line 115</t>
  </si>
  <si>
    <t>Line 116</t>
  </si>
  <si>
    <t>Line 117</t>
  </si>
  <si>
    <t>Line 118</t>
  </si>
  <si>
    <t>Line 119</t>
  </si>
  <si>
    <t>Line 120</t>
  </si>
  <si>
    <t>Line 121</t>
  </si>
  <si>
    <t>Line 122</t>
  </si>
  <si>
    <t>Line 123</t>
  </si>
  <si>
    <t>Line 124</t>
  </si>
  <si>
    <t>Line 125</t>
  </si>
  <si>
    <t>Line 126</t>
  </si>
  <si>
    <t>Line 127</t>
  </si>
  <si>
    <t>Line 128</t>
  </si>
  <si>
    <t>Line 129</t>
  </si>
  <si>
    <t>Line 130</t>
  </si>
  <si>
    <t>Line 131</t>
  </si>
  <si>
    <t>Line 132</t>
  </si>
  <si>
    <t>Line 133</t>
  </si>
  <si>
    <t>Line 134</t>
  </si>
  <si>
    <t>Line 135</t>
  </si>
  <si>
    <t>Line 136</t>
  </si>
  <si>
    <t>Line 137</t>
  </si>
  <si>
    <t>Line 138</t>
  </si>
  <si>
    <t>Line 139</t>
  </si>
  <si>
    <t>Line 140</t>
  </si>
  <si>
    <t>Line 141</t>
  </si>
  <si>
    <t>Line 142</t>
  </si>
  <si>
    <t>Line 143</t>
  </si>
  <si>
    <t>Line 144</t>
  </si>
  <si>
    <t>Line 145</t>
  </si>
  <si>
    <t>Line 146</t>
  </si>
  <si>
    <t>Line 147</t>
  </si>
  <si>
    <t>Line 148</t>
  </si>
  <si>
    <t>Line 149</t>
  </si>
  <si>
    <t>Line 150</t>
  </si>
  <si>
    <t>Line 151</t>
  </si>
  <si>
    <t>Line 152</t>
  </si>
  <si>
    <t>Line 153</t>
  </si>
  <si>
    <t>Line 154</t>
  </si>
  <si>
    <t>Line 155</t>
  </si>
  <si>
    <t>Line 156</t>
  </si>
  <si>
    <t>Line 157</t>
  </si>
  <si>
    <t>Line 158</t>
  </si>
  <si>
    <t>Line 159</t>
  </si>
  <si>
    <t>Line 160</t>
  </si>
  <si>
    <t>Line 161</t>
  </si>
  <si>
    <t>Line 162</t>
  </si>
  <si>
    <t>Line 163</t>
  </si>
  <si>
    <t>Line 164</t>
  </si>
  <si>
    <t>Line 165</t>
  </si>
  <si>
    <t>Line 166</t>
  </si>
  <si>
    <t>Line 167</t>
  </si>
  <si>
    <t>Line 168</t>
  </si>
  <si>
    <t>Line 169</t>
  </si>
  <si>
    <t>Line 170</t>
  </si>
  <si>
    <t>Line 171</t>
  </si>
  <si>
    <t>Line 172</t>
  </si>
  <si>
    <t>Line 173</t>
  </si>
  <si>
    <t>Line 174</t>
  </si>
  <si>
    <t>Line 175</t>
  </si>
  <si>
    <t>Line 176</t>
  </si>
  <si>
    <t>Line 177</t>
  </si>
  <si>
    <t>Line 178</t>
  </si>
  <si>
    <t>Line 179</t>
  </si>
  <si>
    <t>Line 180</t>
  </si>
  <si>
    <t>Line 181</t>
  </si>
  <si>
    <t>Line 182</t>
  </si>
  <si>
    <t>Line 183</t>
  </si>
  <si>
    <t>Line 184</t>
  </si>
  <si>
    <t>Line 185</t>
  </si>
  <si>
    <t>Line 186</t>
  </si>
  <si>
    <t>Line 187</t>
  </si>
  <si>
    <t>Line 188</t>
  </si>
  <si>
    <t>Line 189</t>
  </si>
  <si>
    <t>Line 190</t>
  </si>
  <si>
    <t>Line 191</t>
  </si>
  <si>
    <t>Line 192</t>
  </si>
  <si>
    <t>Line 193</t>
  </si>
  <si>
    <t>Line 194</t>
  </si>
  <si>
    <t>Line 195</t>
  </si>
  <si>
    <t>Line 196</t>
  </si>
  <si>
    <t>Line 197</t>
  </si>
  <si>
    <t>Line 198</t>
  </si>
  <si>
    <t>Line 199</t>
  </si>
  <si>
    <t>Line 200</t>
  </si>
  <si>
    <t>Line 201</t>
  </si>
  <si>
    <t>Line 202</t>
  </si>
  <si>
    <t>Line 203</t>
  </si>
  <si>
    <t>Line 204</t>
  </si>
  <si>
    <t>Line 205</t>
  </si>
  <si>
    <t>Line 206</t>
  </si>
  <si>
    <t>Line 207</t>
  </si>
  <si>
    <t>Line 208</t>
  </si>
  <si>
    <t>Line 209</t>
  </si>
  <si>
    <t>Line 210</t>
  </si>
  <si>
    <t>Line 211</t>
  </si>
  <si>
    <t>Line 212</t>
  </si>
  <si>
    <t>Line 213</t>
  </si>
  <si>
    <t>Line 214</t>
  </si>
  <si>
    <t>Line 215</t>
  </si>
  <si>
    <t>Line 216</t>
  </si>
  <si>
    <t>Line 217</t>
  </si>
  <si>
    <t>Line 218</t>
  </si>
  <si>
    <t>Line 219</t>
  </si>
  <si>
    <t>Line 220</t>
  </si>
  <si>
    <t>Line 221</t>
  </si>
  <si>
    <t>Line 222</t>
  </si>
  <si>
    <t>Line 223</t>
  </si>
  <si>
    <t>Line 224</t>
  </si>
  <si>
    <t>Line 225</t>
  </si>
  <si>
    <t>Line 226</t>
  </si>
  <si>
    <t>Line 227</t>
  </si>
  <si>
    <t>Line 228</t>
  </si>
  <si>
    <t>Line 229</t>
  </si>
  <si>
    <t>Line 230</t>
  </si>
  <si>
    <t>Line 231</t>
  </si>
  <si>
    <t>Line 232</t>
  </si>
  <si>
    <t>Line 233</t>
  </si>
  <si>
    <t>Line 234</t>
  </si>
  <si>
    <t>Line 235</t>
  </si>
  <si>
    <t>Line 236</t>
  </si>
  <si>
    <t>Line 237</t>
  </si>
  <si>
    <t>Line 238</t>
  </si>
  <si>
    <t>Line 239</t>
  </si>
  <si>
    <t>Line 240</t>
  </si>
  <si>
    <t>Line 241</t>
  </si>
  <si>
    <t>Line 242</t>
  </si>
  <si>
    <t>Line 243</t>
  </si>
  <si>
    <t>Line 244</t>
  </si>
  <si>
    <t>Line 245</t>
  </si>
  <si>
    <t>Line 246</t>
  </si>
  <si>
    <t>Line 247</t>
  </si>
  <si>
    <t>Line 248</t>
  </si>
  <si>
    <t>Line 249</t>
  </si>
  <si>
    <t>Line 250</t>
  </si>
  <si>
    <t>Line 251</t>
  </si>
  <si>
    <t>Line 252</t>
  </si>
  <si>
    <t>Line 253</t>
  </si>
  <si>
    <t>Line 254</t>
  </si>
  <si>
    <t>Line 255</t>
  </si>
  <si>
    <t>Line 256</t>
  </si>
  <si>
    <t>Line 257</t>
  </si>
  <si>
    <t>Line 258</t>
  </si>
  <si>
    <t>Line 259</t>
  </si>
  <si>
    <t>Line 260</t>
  </si>
  <si>
    <t>Line 261</t>
  </si>
  <si>
    <t>Line 262</t>
  </si>
  <si>
    <t>Line 263</t>
  </si>
  <si>
    <t>Line 264</t>
  </si>
  <si>
    <t>Line 265</t>
  </si>
  <si>
    <t>Line 266</t>
  </si>
  <si>
    <t>Line 267</t>
  </si>
  <si>
    <t>Line 268</t>
  </si>
  <si>
    <t>Line 269</t>
  </si>
  <si>
    <t>Line 270</t>
  </si>
  <si>
    <t>Line 271</t>
  </si>
  <si>
    <t>Line 272</t>
  </si>
  <si>
    <t>Line 273</t>
  </si>
  <si>
    <t>Line 274</t>
  </si>
  <si>
    <t>Line 275</t>
  </si>
  <si>
    <t>Line 276</t>
  </si>
  <si>
    <t>Line 277</t>
  </si>
  <si>
    <t>Line 278</t>
  </si>
  <si>
    <t>Line 279</t>
  </si>
  <si>
    <t>Line 280</t>
  </si>
  <si>
    <t>Line 281</t>
  </si>
  <si>
    <t>Line 282</t>
  </si>
  <si>
    <t>Line 283</t>
  </si>
  <si>
    <t>Line 284</t>
  </si>
  <si>
    <t>Line 285</t>
  </si>
  <si>
    <t>Line 286</t>
  </si>
  <si>
    <t>Line 287</t>
  </si>
  <si>
    <t>Line 288</t>
  </si>
  <si>
    <t>Line 289</t>
  </si>
  <si>
    <t>Line 290</t>
  </si>
  <si>
    <t>Line 291</t>
  </si>
  <si>
    <t>Line 292</t>
  </si>
  <si>
    <t>Line 293</t>
  </si>
  <si>
    <t>Line 294</t>
  </si>
  <si>
    <t>Line 295</t>
  </si>
  <si>
    <t>Line 296</t>
  </si>
  <si>
    <t>Line 297</t>
  </si>
  <si>
    <t>Line 298</t>
  </si>
  <si>
    <t>Line 299</t>
  </si>
  <si>
    <t>Line 300</t>
  </si>
  <si>
    <t>Non-matching Lookup</t>
  </si>
  <si>
    <t>The incentives above are available for existing Idaho Power locations, not new construction.  Onsite inspection may be required prior to pre-approval, during retrofit, or after</t>
  </si>
  <si>
    <t>FIXTURE COUNTS</t>
  </si>
  <si>
    <r>
      <t xml:space="preserve">Actual Project Cost </t>
    </r>
    <r>
      <rPr>
        <b/>
        <i/>
        <sz val="8"/>
        <color indexed="8"/>
        <rFont val="Arial"/>
        <family val="2"/>
      </rPr>
      <t>(After Incentive)</t>
    </r>
  </si>
  <si>
    <t>LED Check</t>
  </si>
  <si>
    <t>Int. or Ext.</t>
  </si>
  <si>
    <t xml:space="preserve">Signed/Dated Lighting Pre-Approval Application
</t>
  </si>
  <si>
    <t>Completed Lighting Tool (Excel file)</t>
  </si>
  <si>
    <t>Manufacturer Specification Sheets</t>
  </si>
  <si>
    <t>(If not submitted with pre-approval application)</t>
  </si>
  <si>
    <t>Inputs</t>
  </si>
  <si>
    <t>Nominal Discount Rate</t>
  </si>
  <si>
    <t>Beg. Year to Analyze</t>
  </si>
  <si>
    <t>Escalation Rate</t>
  </si>
  <si>
    <t>Line Losses</t>
  </si>
  <si>
    <t>Capacity $/kW</t>
  </si>
  <si>
    <t>Summer LL</t>
  </si>
  <si>
    <t>Electricity $/kW Capacity Allocation</t>
  </si>
  <si>
    <t>Annual Incremental Electricy &amp; Capacity (With Line Losses)</t>
  </si>
  <si>
    <t>Cumulative Discounted DSM Alternative Cost (w/ Losses)</t>
  </si>
  <si>
    <t>Electricity $/kWh</t>
  </si>
  <si>
    <t>Electricity $/kW</t>
  </si>
  <si>
    <t>Year #</t>
  </si>
  <si>
    <t>On-Peak</t>
  </si>
  <si>
    <t>Mid-Peak</t>
  </si>
  <si>
    <t>Off-Peak</t>
  </si>
  <si>
    <t>SONP Peak Hours</t>
  </si>
  <si>
    <t>Avoided costs are from the 2013 IRP avoided costs through 2032 and are escalated at 3% from there on out.</t>
  </si>
  <si>
    <t xml:space="preserve">DSM Alternative Cost </t>
  </si>
  <si>
    <t>Combined Capacity and Energy $/kWh</t>
  </si>
  <si>
    <t>Summer (Jun. 1 - Aug. 31)</t>
  </si>
  <si>
    <t>Non-summer (Sept. 1 - May 31)</t>
  </si>
  <si>
    <t>Hours per Period</t>
  </si>
  <si>
    <t>Load Shapes</t>
  </si>
  <si>
    <t>Percent of hours</t>
  </si>
  <si>
    <t>ENComm_InsLt</t>
  </si>
  <si>
    <t>IPC_8760</t>
  </si>
  <si>
    <t>IPC_Outdoor Lighting</t>
  </si>
  <si>
    <t>Load Shape</t>
  </si>
  <si>
    <t>Financial Assumptions</t>
  </si>
  <si>
    <t>NPV Avoided Costs w/ 10% adder</t>
  </si>
  <si>
    <t>C/E Project - for checks</t>
  </si>
  <si>
    <t>C/E Project - FINAL</t>
  </si>
  <si>
    <t>Checks</t>
  </si>
  <si>
    <t>Bonus Incentives</t>
  </si>
  <si>
    <t>Part Cost</t>
  </si>
  <si>
    <t>% of Participant Costs</t>
  </si>
  <si>
    <t>Additional Costs &amp; Incentives</t>
  </si>
  <si>
    <t xml:space="preserve">6ft, 2 lamp F72 Electronic T12 </t>
  </si>
  <si>
    <t xml:space="preserve">6ft, 1 lamp F72 Electronic T12 </t>
  </si>
  <si>
    <t>Commercial/Industrial Lighting Retrofits</t>
  </si>
  <si>
    <t>Signed/Dated Lighting Payment Application</t>
  </si>
  <si>
    <t>Submit within 90 Days of Project Completion</t>
  </si>
  <si>
    <t>To Submit:</t>
  </si>
  <si>
    <t>Pre-Approval Checklist</t>
  </si>
  <si>
    <t>Invoices for Material and Labor</t>
  </si>
  <si>
    <t>LED Information</t>
  </si>
  <si>
    <t>Fixture Qty</t>
  </si>
  <si>
    <t>Estimated Total Idaho Power Incentive</t>
  </si>
  <si>
    <t>LC Line 1</t>
  </si>
  <si>
    <t>Controls</t>
  </si>
  <si>
    <t>LC Line 2</t>
  </si>
  <si>
    <t>LC Line 3</t>
  </si>
  <si>
    <t>LC Line 4</t>
  </si>
  <si>
    <t>LC Line 5</t>
  </si>
  <si>
    <t>LC Line 6</t>
  </si>
  <si>
    <t>LC Line 7</t>
  </si>
  <si>
    <t>LC Line 8</t>
  </si>
  <si>
    <t>LC Line 9</t>
  </si>
  <si>
    <t>LC Line 10</t>
  </si>
  <si>
    <t>LC Line 11</t>
  </si>
  <si>
    <t>LC Line 12</t>
  </si>
  <si>
    <t>LC Line 13</t>
  </si>
  <si>
    <t>LC Line 14</t>
  </si>
  <si>
    <t>LC Line 15</t>
  </si>
  <si>
    <t>LC Line 16</t>
  </si>
  <si>
    <t>LC Line 17</t>
  </si>
  <si>
    <t>LC Line 18</t>
  </si>
  <si>
    <t>LC Line 19</t>
  </si>
  <si>
    <t>LC Line 20</t>
  </si>
  <si>
    <t>LC Line 21</t>
  </si>
  <si>
    <t>LC Line 22</t>
  </si>
  <si>
    <t>LC Line 23</t>
  </si>
  <si>
    <t>LC Line 24</t>
  </si>
  <si>
    <t>LC Line 25</t>
  </si>
  <si>
    <t>LC Line 26</t>
  </si>
  <si>
    <t>LC Line 27</t>
  </si>
  <si>
    <t>LC Line 28</t>
  </si>
  <si>
    <t>LC Line 29</t>
  </si>
  <si>
    <t>LC Line 30</t>
  </si>
  <si>
    <t>LC Line 31</t>
  </si>
  <si>
    <t>LC Line 32</t>
  </si>
  <si>
    <t>LC Line 33</t>
  </si>
  <si>
    <t>LC Line 34</t>
  </si>
  <si>
    <t>LC Line 35</t>
  </si>
  <si>
    <t>LC Line 36</t>
  </si>
  <si>
    <t>LC Line 37</t>
  </si>
  <si>
    <t>LC Line 38</t>
  </si>
  <si>
    <t>LC Line 39</t>
  </si>
  <si>
    <t>LC Line 40</t>
  </si>
  <si>
    <t>LC Line 41</t>
  </si>
  <si>
    <t>LC Line 42</t>
  </si>
  <si>
    <t>LC Line 43</t>
  </si>
  <si>
    <t>LC Line 44</t>
  </si>
  <si>
    <t>LC Line 45</t>
  </si>
  <si>
    <t>LC Line 46</t>
  </si>
  <si>
    <t>LC Line 47</t>
  </si>
  <si>
    <t>LC Line 48</t>
  </si>
  <si>
    <t>LC Line 49</t>
  </si>
  <si>
    <t>LC Line 50</t>
  </si>
  <si>
    <t>LC Line 51</t>
  </si>
  <si>
    <t>LC Line 52</t>
  </si>
  <si>
    <t>LC Line 53</t>
  </si>
  <si>
    <t>LC Line 54</t>
  </si>
  <si>
    <t>LC Line 55</t>
  </si>
  <si>
    <t>LC Line 56</t>
  </si>
  <si>
    <t>LC Line 57</t>
  </si>
  <si>
    <t>LC Line 58</t>
  </si>
  <si>
    <t>LC Line 59</t>
  </si>
  <si>
    <t>LC Line 60</t>
  </si>
  <si>
    <t>LC Line 61</t>
  </si>
  <si>
    <t>LC Line 62</t>
  </si>
  <si>
    <t>LC Line 63</t>
  </si>
  <si>
    <t>LC Line 64</t>
  </si>
  <si>
    <t>LC Line 65</t>
  </si>
  <si>
    <t>LC Line 66</t>
  </si>
  <si>
    <t>LC Line 67</t>
  </si>
  <si>
    <t>LC Line 68</t>
  </si>
  <si>
    <t>LC Line 69</t>
  </si>
  <si>
    <t>LC Line 70</t>
  </si>
  <si>
    <t>LC Line 71</t>
  </si>
  <si>
    <t>LC Line 72</t>
  </si>
  <si>
    <t>LC Line 73</t>
  </si>
  <si>
    <t>LC Line 74</t>
  </si>
  <si>
    <t>LC Line 75</t>
  </si>
  <si>
    <t>LC Line 76</t>
  </si>
  <si>
    <t>LC Line 77</t>
  </si>
  <si>
    <t>LC Line 78</t>
  </si>
  <si>
    <t>LC Line 79</t>
  </si>
  <si>
    <t>LC Line 80</t>
  </si>
  <si>
    <t>LC Line 81</t>
  </si>
  <si>
    <t>LC Line 82</t>
  </si>
  <si>
    <t>LC Line 83</t>
  </si>
  <si>
    <t>LC Line 84</t>
  </si>
  <si>
    <t>LC Line 85</t>
  </si>
  <si>
    <t>LC Line 86</t>
  </si>
  <si>
    <t>LC Line 87</t>
  </si>
  <si>
    <t>LC Line 88</t>
  </si>
  <si>
    <t>LC Line 89</t>
  </si>
  <si>
    <t>LC Line 90</t>
  </si>
  <si>
    <t>LC Line 91</t>
  </si>
  <si>
    <t>LC Line 92</t>
  </si>
  <si>
    <t>LC Line 93</t>
  </si>
  <si>
    <t>LC Line 94</t>
  </si>
  <si>
    <t>LC Line 95</t>
  </si>
  <si>
    <t>LC Line 96</t>
  </si>
  <si>
    <t>LC Line 97</t>
  </si>
  <si>
    <t>LC Line 98</t>
  </si>
  <si>
    <t>LC Line 99</t>
  </si>
  <si>
    <t>LC Line 100</t>
  </si>
  <si>
    <t>LC Line 101</t>
  </si>
  <si>
    <t>LC Line 102</t>
  </si>
  <si>
    <t>LC Line 103</t>
  </si>
  <si>
    <t>LC Line 104</t>
  </si>
  <si>
    <t>LC Line 105</t>
  </si>
  <si>
    <t>LC Line 106</t>
  </si>
  <si>
    <t>LC Line 107</t>
  </si>
  <si>
    <t>LC Line 108</t>
  </si>
  <si>
    <t>LC Line 109</t>
  </si>
  <si>
    <t>LC Line 110</t>
  </si>
  <si>
    <t>LC Line 111</t>
  </si>
  <si>
    <t>LC Line 112</t>
  </si>
  <si>
    <t>LC Line 113</t>
  </si>
  <si>
    <t>LC Line 114</t>
  </si>
  <si>
    <t>LC Line 115</t>
  </si>
  <si>
    <t>LC Line 116</t>
  </si>
  <si>
    <t>LC Line 117</t>
  </si>
  <si>
    <t>LC Line 118</t>
  </si>
  <si>
    <t>LC Line 119</t>
  </si>
  <si>
    <t>LC Line 120</t>
  </si>
  <si>
    <t>LC Line 121</t>
  </si>
  <si>
    <t>LC Line 122</t>
  </si>
  <si>
    <t>LC Line 123</t>
  </si>
  <si>
    <t>LC Line 124</t>
  </si>
  <si>
    <t>LC Line 125</t>
  </si>
  <si>
    <t>LC Line 126</t>
  </si>
  <si>
    <t>LC Line 127</t>
  </si>
  <si>
    <t>LC Line 128</t>
  </si>
  <si>
    <t>LC Line 129</t>
  </si>
  <si>
    <t>LC Line 130</t>
  </si>
  <si>
    <t>LC Line 131</t>
  </si>
  <si>
    <t>LC Line 132</t>
  </si>
  <si>
    <t>LC Line 133</t>
  </si>
  <si>
    <t>LC Line 134</t>
  </si>
  <si>
    <t>LC Line 135</t>
  </si>
  <si>
    <t>LC Line 136</t>
  </si>
  <si>
    <t>LC Line 137</t>
  </si>
  <si>
    <t>LC Line 138</t>
  </si>
  <si>
    <t>LC Line 139</t>
  </si>
  <si>
    <t>LC Line 140</t>
  </si>
  <si>
    <t>LC Line 141</t>
  </si>
  <si>
    <t>LC Line 142</t>
  </si>
  <si>
    <t>LC Line 143</t>
  </si>
  <si>
    <t>LC Line 144</t>
  </si>
  <si>
    <t>LC Line 145</t>
  </si>
  <si>
    <t>LC Line 146</t>
  </si>
  <si>
    <t>LC Line 147</t>
  </si>
  <si>
    <t>LC Line 148</t>
  </si>
  <si>
    <t>LC Line 149</t>
  </si>
  <si>
    <t>LC Line 150</t>
  </si>
  <si>
    <t>LC Line 151</t>
  </si>
  <si>
    <t>LC Line 152</t>
  </si>
  <si>
    <t>LC Line 153</t>
  </si>
  <si>
    <t>LC Line 154</t>
  </si>
  <si>
    <t>LC Line 155</t>
  </si>
  <si>
    <t>LC Line 156</t>
  </si>
  <si>
    <t>LC Line 157</t>
  </si>
  <si>
    <t>LC Line 158</t>
  </si>
  <si>
    <t>LC Line 159</t>
  </si>
  <si>
    <t>LC Line 160</t>
  </si>
  <si>
    <t>LC Line 161</t>
  </si>
  <si>
    <t>LC Line 162</t>
  </si>
  <si>
    <t>LC Line 163</t>
  </si>
  <si>
    <t>LC Line 164</t>
  </si>
  <si>
    <t>LC Line 165</t>
  </si>
  <si>
    <t>LC Line 166</t>
  </si>
  <si>
    <t>LC Line 167</t>
  </si>
  <si>
    <t>LC Line 168</t>
  </si>
  <si>
    <t>LC Line 169</t>
  </si>
  <si>
    <t>LC Line 170</t>
  </si>
  <si>
    <t>LC Line 171</t>
  </si>
  <si>
    <t>LC Line 172</t>
  </si>
  <si>
    <t>LC Line 173</t>
  </si>
  <si>
    <t>LC Line 174</t>
  </si>
  <si>
    <t>LC Line 175</t>
  </si>
  <si>
    <t>LC Line 176</t>
  </si>
  <si>
    <t>LC Line 177</t>
  </si>
  <si>
    <t>LC Line 178</t>
  </si>
  <si>
    <t>LC Line 179</t>
  </si>
  <si>
    <t>LC Line 180</t>
  </si>
  <si>
    <t>LC Line 181</t>
  </si>
  <si>
    <t>LC Line 182</t>
  </si>
  <si>
    <t>LC Line 183</t>
  </si>
  <si>
    <t>LC Line 184</t>
  </si>
  <si>
    <t>LC Line 185</t>
  </si>
  <si>
    <t>LC Line 186</t>
  </si>
  <si>
    <t>LC Line 187</t>
  </si>
  <si>
    <t>LC Line 188</t>
  </si>
  <si>
    <t>LC Line 189</t>
  </si>
  <si>
    <t>LC Line 190</t>
  </si>
  <si>
    <t>LC Line 191</t>
  </si>
  <si>
    <t>LC Line 192</t>
  </si>
  <si>
    <t>LC Line 193</t>
  </si>
  <si>
    <t>LC Line 194</t>
  </si>
  <si>
    <t>LC Line 195</t>
  </si>
  <si>
    <t>LC Line 196</t>
  </si>
  <si>
    <t>LC Line 197</t>
  </si>
  <si>
    <t>LC Line 198</t>
  </si>
  <si>
    <t>LC Line 199</t>
  </si>
  <si>
    <t>LC Line 200</t>
  </si>
  <si>
    <t>LC Line 201</t>
  </si>
  <si>
    <t>LC Line 202</t>
  </si>
  <si>
    <t>LC Line 203</t>
  </si>
  <si>
    <t>LC Line 204</t>
  </si>
  <si>
    <t>LC Line 205</t>
  </si>
  <si>
    <t>LC Line 206</t>
  </si>
  <si>
    <t>LC Line 207</t>
  </si>
  <si>
    <t>LC Line 208</t>
  </si>
  <si>
    <t>LC Line 209</t>
  </si>
  <si>
    <t>LC Line 210</t>
  </si>
  <si>
    <t>LC Line 211</t>
  </si>
  <si>
    <t>LC Line 212</t>
  </si>
  <si>
    <t>LC Line 213</t>
  </si>
  <si>
    <t>LC Line 214</t>
  </si>
  <si>
    <t>LC Line 215</t>
  </si>
  <si>
    <t>LC Line 216</t>
  </si>
  <si>
    <t>LC Line 217</t>
  </si>
  <si>
    <t>LC Line 218</t>
  </si>
  <si>
    <t>LC Line 219</t>
  </si>
  <si>
    <t>LC Line 220</t>
  </si>
  <si>
    <t>LC Line 221</t>
  </si>
  <si>
    <t>LC Line 222</t>
  </si>
  <si>
    <t>LC Line 223</t>
  </si>
  <si>
    <t>LC Line 224</t>
  </si>
  <si>
    <t>LC Line 225</t>
  </si>
  <si>
    <t>LC Line 226</t>
  </si>
  <si>
    <t>LC Line 227</t>
  </si>
  <si>
    <t>LC Line 228</t>
  </si>
  <si>
    <t>LC Line 229</t>
  </si>
  <si>
    <t>LC Line 230</t>
  </si>
  <si>
    <t>LC Line 231</t>
  </si>
  <si>
    <t>LC Line 232</t>
  </si>
  <si>
    <t>LC Line 233</t>
  </si>
  <si>
    <t>LC Line 234</t>
  </si>
  <si>
    <t>LC Line 235</t>
  </si>
  <si>
    <t>LC Line 236</t>
  </si>
  <si>
    <t>LC Line 237</t>
  </si>
  <si>
    <t>LC Line 238</t>
  </si>
  <si>
    <t>LC Line 239</t>
  </si>
  <si>
    <t>LC Line 240</t>
  </si>
  <si>
    <t>LC Line 241</t>
  </si>
  <si>
    <t>LC Line 242</t>
  </si>
  <si>
    <t>LC Line 243</t>
  </si>
  <si>
    <t>LC Line 244</t>
  </si>
  <si>
    <t>LC Line 245</t>
  </si>
  <si>
    <t>LC Line 246</t>
  </si>
  <si>
    <t>LC Line 247</t>
  </si>
  <si>
    <t>LC Line 248</t>
  </si>
  <si>
    <t>LC Line 249</t>
  </si>
  <si>
    <t>LC Line 250</t>
  </si>
  <si>
    <t>LC Line 251</t>
  </si>
  <si>
    <t>LC Line 252</t>
  </si>
  <si>
    <t>LC Line 253</t>
  </si>
  <si>
    <t>LC Line 254</t>
  </si>
  <si>
    <t>LC Line 255</t>
  </si>
  <si>
    <t>LC Line 256</t>
  </si>
  <si>
    <t>LC Line 257</t>
  </si>
  <si>
    <t>LC Line 258</t>
  </si>
  <si>
    <t>LC Line 259</t>
  </si>
  <si>
    <t>LC Line 260</t>
  </si>
  <si>
    <t>LC Line 261</t>
  </si>
  <si>
    <t>LC Line 262</t>
  </si>
  <si>
    <t>LC Line 263</t>
  </si>
  <si>
    <t>LC Line 264</t>
  </si>
  <si>
    <t>LC Line 265</t>
  </si>
  <si>
    <t>LC Line 266</t>
  </si>
  <si>
    <t>LC Line 267</t>
  </si>
  <si>
    <t>LC Line 268</t>
  </si>
  <si>
    <t>LC Line 269</t>
  </si>
  <si>
    <t>LC Line 270</t>
  </si>
  <si>
    <t>LC Line 271</t>
  </si>
  <si>
    <t>LC Line 272</t>
  </si>
  <si>
    <t>LC Line 273</t>
  </si>
  <si>
    <t>LC Line 274</t>
  </si>
  <si>
    <t>LC Line 275</t>
  </si>
  <si>
    <t>LC Line 276</t>
  </si>
  <si>
    <t>LC Line 277</t>
  </si>
  <si>
    <t>LC Line 278</t>
  </si>
  <si>
    <t>LC Line 279</t>
  </si>
  <si>
    <t>LC Line 280</t>
  </si>
  <si>
    <t>LC Line 281</t>
  </si>
  <si>
    <t>LC Line 282</t>
  </si>
  <si>
    <t>LC Line 283</t>
  </si>
  <si>
    <t>LC Line 284</t>
  </si>
  <si>
    <t>LC Line 285</t>
  </si>
  <si>
    <t>LC Line 286</t>
  </si>
  <si>
    <t>LC Line 287</t>
  </si>
  <si>
    <t>LC Line 288</t>
  </si>
  <si>
    <t>LC Line 289</t>
  </si>
  <si>
    <t>LC Line 290</t>
  </si>
  <si>
    <t>LC Line 291</t>
  </si>
  <si>
    <t>LC Line 292</t>
  </si>
  <si>
    <t>LC Line 293</t>
  </si>
  <si>
    <t>LC Line 294</t>
  </si>
  <si>
    <t>LC Line 295</t>
  </si>
  <si>
    <t>LC Line 296</t>
  </si>
  <si>
    <t>LC Line 297</t>
  </si>
  <si>
    <t>LC Line 298</t>
  </si>
  <si>
    <t>LC Line 299</t>
  </si>
  <si>
    <t>LC Line 300</t>
  </si>
  <si>
    <t>Connected Load Check</t>
  </si>
  <si>
    <t>CE with Total Costs</t>
  </si>
  <si>
    <t>New Check for location missing</t>
  </si>
  <si>
    <t>4ft, 4 lamp F32 T8 (HBF)</t>
  </si>
  <si>
    <t>4ft, 6 lamp F32 T8 (HBF)</t>
  </si>
  <si>
    <t>4ft, 8 lamp F32 T8 (HBF)</t>
  </si>
  <si>
    <t>**LEDs**</t>
  </si>
  <si>
    <t>Existing using &gt; input watts than proposed</t>
  </si>
  <si>
    <t>$0.12/kWh saved</t>
  </si>
  <si>
    <t>Interior/Exterior Check/TLED</t>
  </si>
  <si>
    <t>C/E Tests</t>
  </si>
  <si>
    <t>TLEDs</t>
  </si>
  <si>
    <t>A</t>
  </si>
  <si>
    <t>B</t>
  </si>
  <si>
    <t>C</t>
  </si>
  <si>
    <t>D</t>
  </si>
  <si>
    <t>E</t>
  </si>
  <si>
    <t>F</t>
  </si>
  <si>
    <t>G</t>
  </si>
  <si>
    <t>H</t>
  </si>
  <si>
    <t>I</t>
  </si>
  <si>
    <t>J</t>
  </si>
  <si>
    <t>K</t>
  </si>
  <si>
    <t>M</t>
  </si>
  <si>
    <t>N</t>
  </si>
  <si>
    <t>O</t>
  </si>
  <si>
    <t>Q</t>
  </si>
  <si>
    <t>R</t>
  </si>
  <si>
    <t>S</t>
  </si>
  <si>
    <t>T</t>
  </si>
  <si>
    <t>U</t>
  </si>
  <si>
    <t>V</t>
  </si>
  <si>
    <t>W</t>
  </si>
  <si>
    <t>X</t>
  </si>
  <si>
    <t>Y</t>
  </si>
  <si>
    <t>Z</t>
  </si>
  <si>
    <t>AA</t>
  </si>
  <si>
    <t>BB</t>
  </si>
  <si>
    <t>CC</t>
  </si>
  <si>
    <t>DD</t>
  </si>
  <si>
    <t>EE</t>
  </si>
  <si>
    <t>FF</t>
  </si>
  <si>
    <t>GG</t>
  </si>
  <si>
    <t>HH</t>
  </si>
  <si>
    <t>II</t>
  </si>
  <si>
    <t>JJ</t>
  </si>
  <si>
    <t>KK</t>
  </si>
  <si>
    <t>LL</t>
  </si>
  <si>
    <t>MM</t>
  </si>
  <si>
    <t>NN</t>
  </si>
  <si>
    <t>OO</t>
  </si>
  <si>
    <t>PP</t>
  </si>
  <si>
    <t>QQ</t>
  </si>
  <si>
    <t>RR</t>
  </si>
  <si>
    <t>SS</t>
  </si>
  <si>
    <t>TT</t>
  </si>
  <si>
    <t>UU</t>
  </si>
  <si>
    <t>VV</t>
  </si>
  <si>
    <t>WW</t>
  </si>
  <si>
    <t>XX</t>
  </si>
  <si>
    <t>YY</t>
  </si>
  <si>
    <t>ZZ</t>
  </si>
  <si>
    <t xml:space="preserve">  Manufacturer</t>
  </si>
  <si>
    <t>One-time NEBs</t>
  </si>
  <si>
    <t>Annual NEBs
(from Customer)</t>
  </si>
  <si>
    <t>NPV of NEBs</t>
  </si>
  <si>
    <t>One time NEBs</t>
  </si>
  <si>
    <t>Quantity</t>
  </si>
  <si>
    <t>Interior Exterior Check</t>
  </si>
  <si>
    <t>Exit &amp; LEDs Check</t>
  </si>
  <si>
    <t>1.</t>
  </si>
  <si>
    <t>2.</t>
  </si>
  <si>
    <t>3.</t>
  </si>
  <si>
    <t>7.</t>
  </si>
  <si>
    <t>8.</t>
  </si>
  <si>
    <t>Interior photocell control (dimming or on-off switching)</t>
  </si>
  <si>
    <t>Project Site Address*</t>
  </si>
  <si>
    <t>Customer Name (Organization)</t>
  </si>
  <si>
    <t>Before kWh for Total</t>
  </si>
  <si>
    <t>Post kWh for bottom total</t>
  </si>
  <si>
    <t xml:space="preserve">                                           Complete Lighting Upgrade Bonus</t>
  </si>
  <si>
    <t>● All Complete Lighting Upgrade projects require pre-approval.</t>
  </si>
  <si>
    <t>● All Complete Lighting Upgrade projects require pre-and post-inspection.</t>
  </si>
  <si>
    <t>● All proposed equipment must meet program criteria.</t>
  </si>
  <si>
    <t>What is it?</t>
  </si>
  <si>
    <t>What do I need to do?</t>
  </si>
  <si>
    <t>All CLU projects must meet the following criteria.</t>
  </si>
  <si>
    <t>·   Receive pre-approval from Idaho Power before purchasing or installing equipment.</t>
  </si>
  <si>
    <t>·   Receive a pre- and post-inspection.</t>
  </si>
  <si>
    <t>·   Remove all existing inefficient lighting equipment (see below) and replace with more efficient technologies that meets program criteria.</t>
  </si>
  <si>
    <t>o   Fluorescent T12</t>
  </si>
  <si>
    <t>o   Incandescent lamps</t>
  </si>
  <si>
    <t>o   Probe start metal halide</t>
  </si>
  <si>
    <t>o   Fluorescent T8-700 series must be replaced with 800 series reduced wattage lamps. Ballast must be compatible.</t>
  </si>
  <si>
    <t>o   Mercury vapor</t>
  </si>
  <si>
    <t>o   Incandescent/CFL Exit Signs</t>
  </si>
  <si>
    <t>To submit your project as a Complete Lighting Upgrade answer "Yes" at the top of the "Proposed Lighting" tab</t>
  </si>
  <si>
    <t xml:space="preserve"> Is this a Complete</t>
  </si>
  <si>
    <t>Select "Yes" from the                   drop down</t>
  </si>
  <si>
    <t xml:space="preserve"> Lighting Upgrade</t>
  </si>
  <si>
    <t>·         2' or 3' T8 fixtures must be 800 series T8 lamp.</t>
  </si>
  <si>
    <t>o   Office spaces (e.g., open plans, private offices)</t>
  </si>
  <si>
    <t>o   Restrooms</t>
  </si>
  <si>
    <t>o   High bay areas (e.g., warehouses, gyms, etc.)</t>
  </si>
  <si>
    <t>o   Stairwells</t>
  </si>
  <si>
    <t>Frequently Asked Questions</t>
  </si>
  <si>
    <t>Q. How do I submit my project to receive the CLU bonus incentive?</t>
  </si>
  <si>
    <t xml:space="preserve">     A.  On the Proposed Lighting tab within the Lighting Tool, select “Yes” from the drop down menu next to “Is this a Complete Lighting Upgrade”?   </t>
  </si>
  <si>
    <t>Q. I am also retrofitting my facility’s exterior lighting.  Can this also qualify for the CLU bonus incentive?</t>
  </si>
  <si>
    <r>
      <t xml:space="preserve">     A. The 5% CLU bonus only applies to qualified</t>
    </r>
    <r>
      <rPr>
        <i/>
        <sz val="11"/>
        <color theme="1"/>
        <rFont val="Times New Roman"/>
        <family val="1"/>
      </rPr>
      <t xml:space="preserve"> interior</t>
    </r>
    <r>
      <rPr>
        <sz val="11"/>
        <color theme="1"/>
        <rFont val="Times New Roman"/>
        <family val="1"/>
      </rPr>
      <t xml:space="preserve"> lighting retrofit projects.  You may include exterior lighting retrofit work on the same</t>
    </r>
  </si>
  <si>
    <t xml:space="preserve">     lighting tool, however.</t>
  </si>
  <si>
    <t>Q. If I have multiple buildings on site, do I need to retrofit all the buildings to qualify for the CLU bonus incentive?</t>
  </si>
  <si>
    <t xml:space="preserve">     A. No.  You may retrofit one building at a time.</t>
  </si>
  <si>
    <t>Q. Can projects that will be completed (and paid incentives) in phases qualify for the CLU?</t>
  </si>
  <si>
    <t xml:space="preserve">     A. No.  The project cannot be phased in order to be considered for CLU.</t>
  </si>
  <si>
    <t>Q. Can non-qualifying equipment receive the CLU?</t>
  </si>
  <si>
    <t xml:space="preserve">     A. No.  Anything that does not qualify for a regular incentive would not be eligible for the CLU.</t>
  </si>
  <si>
    <t>*Projects will continue to be capped at 100% of eligible costs.  The CLU incentive will be capped should its addition to the incentives exceed 100%.</t>
  </si>
  <si>
    <t>Retrofits requiring ballast by-pass require electrical contractor.</t>
  </si>
  <si>
    <t>Product Count</t>
  </si>
  <si>
    <t>Fixture Count</t>
  </si>
  <si>
    <t>Requirements for Incentives</t>
  </si>
  <si>
    <t>Total</t>
  </si>
  <si>
    <t>Lighting Controls Only</t>
  </si>
  <si>
    <t>Number For Formulas</t>
  </si>
  <si>
    <t>Other (Provide Description) (Example: General Contractor, Engineering Firm, ESCO, etc.)</t>
  </si>
  <si>
    <t>Other (Provide Description)</t>
  </si>
  <si>
    <t>Other:</t>
  </si>
  <si>
    <t>To Submit: Obtain Customer’s signature/date on this application and e-mail to: lighting@idahopower.com</t>
  </si>
  <si>
    <t>U-Bent lamps are considered 4ft lamps for incentives.</t>
  </si>
  <si>
    <t>No</t>
  </si>
  <si>
    <t>line</t>
  </si>
  <si>
    <t>project</t>
  </si>
  <si>
    <t>Convenience Store</t>
  </si>
  <si>
    <t>Grocery</t>
  </si>
  <si>
    <t>Hotel/Motel</t>
  </si>
  <si>
    <t>Industrial – Large</t>
  </si>
  <si>
    <t>Industrial – Mid (2 shifts)</t>
  </si>
  <si>
    <t>Manufacturing (1 shift)</t>
  </si>
  <si>
    <t>Medical (non-hospital)</t>
  </si>
  <si>
    <t>Multifamily (&gt;4 units)</t>
  </si>
  <si>
    <t>Office Building</t>
  </si>
  <si>
    <t>Recreational Facilities – 24 hours</t>
  </si>
  <si>
    <t>Religious Worship</t>
  </si>
  <si>
    <t>Retail (non-food)</t>
  </si>
  <si>
    <t>School Elementary</t>
  </si>
  <si>
    <t>School Secondary</t>
  </si>
  <si>
    <t>application is true and accurate and that Idaho Power may verify such information at its sole discretion.</t>
  </si>
  <si>
    <t>that I have read and agree to comply with the Commercial and Industrial Energy Efficiency Program Terms and Conditions set forth at</t>
  </si>
  <si>
    <t>TLEDs - (Tubular LED or Linear Fluorescent Replacement)</t>
  </si>
  <si>
    <t>▪ Installation of new lamp holders is highly recommended.  Lamp holders must be in good condition to support the TLED, and meet LED</t>
  </si>
  <si>
    <t>Allow</t>
  </si>
  <si>
    <t>PERSON SUBMITTING TO IDAHO POWER</t>
  </si>
  <si>
    <t>Application #:</t>
  </si>
  <si>
    <t>Many TLED options are available for your lighting retrofit. Each option has its own features, which may or may not meet your</t>
  </si>
  <si>
    <t>lighting needs. All TLEDs use lamp holders. We recommend performing a mock-up in a small space to determine if TLED is right</t>
  </si>
  <si>
    <t xml:space="preserve">for you, and to ensure you select the right TLED before purchasing a large quantity. The DesignLights Consortium (DLC) considers </t>
  </si>
  <si>
    <t>all TLEDs a linear replacement lamp. Four styles of TLEDs are available:</t>
  </si>
  <si>
    <r>
      <rPr>
        <b/>
        <sz val="12"/>
        <color theme="1"/>
        <rFont val="Calibri"/>
        <family val="2"/>
        <scheme val="minor"/>
      </rPr>
      <t>1. UL Type A</t>
    </r>
    <r>
      <rPr>
        <sz val="12"/>
        <color theme="1"/>
        <rFont val="Calibri"/>
        <family val="2"/>
        <scheme val="minor"/>
      </rPr>
      <t>: These TLEDs are direct replacements for existing fluorescent lamps and use lamp holders to connect to the fixture being retrofitted. Type A TLEDs operate off the existing electronic instant start ballast, if it is compatible with the TLED. The lumen output and wattage consumed may vary depending on the existing ballast type. This option does not require installation by a licensed electrical contractor (unless replacing the electronic ballast).</t>
    </r>
  </si>
  <si>
    <r>
      <rPr>
        <b/>
        <sz val="12"/>
        <color theme="1"/>
        <rFont val="Calibri"/>
        <family val="2"/>
        <scheme val="minor"/>
      </rPr>
      <t>2. UL Type B</t>
    </r>
    <r>
      <rPr>
        <sz val="12"/>
        <color theme="1"/>
        <rFont val="Calibri"/>
        <family val="2"/>
        <scheme val="minor"/>
      </rPr>
      <t>: These TLEDs use lamp holders to connect to the fixture being retrofitted and do not operate off the existing fluorescent ballast. Type B TLEDs use an internal driver within the TLED. They obtain power from one or both ends of the lamp. To install, disconnect and fully remove the existing fluorescent ballast(s). Rewiring of the fixture is required, and line voltage is sent directly to the lamp holders. This option requires installation by a licensed electrical contractor.</t>
    </r>
  </si>
  <si>
    <r>
      <rPr>
        <b/>
        <sz val="12"/>
        <color theme="1"/>
        <rFont val="Calibri"/>
        <family val="2"/>
        <scheme val="minor"/>
      </rPr>
      <t>3. UL Type C</t>
    </r>
    <r>
      <rPr>
        <sz val="12"/>
        <color theme="1"/>
        <rFont val="Calibri"/>
        <family val="2"/>
        <scheme val="minor"/>
      </rPr>
      <t xml:space="preserve">: These TLEDs use lamp holders to connect to the fixture being retrofitted. They do not operate off the existing fluorescent ballast. Type C TLEDs require disconnection and full removal of the ballast. Rewiring of the fixture to replace the ballast with an external driver is required. The lamp holders are wired to receive low‑voltage electricity from the external driver. This option requires installation by a licensed electrical contractor.
</t>
    </r>
  </si>
  <si>
    <r>
      <rPr>
        <b/>
        <sz val="12"/>
        <color theme="1"/>
        <rFont val="Calibri"/>
        <family val="2"/>
        <scheme val="minor"/>
      </rPr>
      <t>4. Dual Mode (DM) Internal Driver (UL Type A and Type B)</t>
    </r>
    <r>
      <rPr>
        <sz val="12"/>
        <color theme="1"/>
        <rFont val="Calibri"/>
        <family val="2"/>
        <scheme val="minor"/>
      </rPr>
      <t>: DM TLEDs can operate off the existing electronic ballast or be rewired to operate off line voltage (UL Type A and Type B). The same requirements under UL Type A and Type B apply.</t>
    </r>
  </si>
  <si>
    <t>manufacturer specifications. Broken, cracked, or arc damaged lamp holders must be replaced to receive an incentive.</t>
  </si>
  <si>
    <r>
      <t xml:space="preserve">▪ </t>
    </r>
    <r>
      <rPr>
        <sz val="11"/>
        <color rgb="FF000000"/>
        <rFont val="Calibri"/>
        <family val="2"/>
        <scheme val="minor"/>
      </rPr>
      <t>TLEDs in refrigeration case lighting must be listed under the Display Case Lighting category on the QPL.</t>
    </r>
  </si>
  <si>
    <r>
      <t xml:space="preserve">▪ </t>
    </r>
    <r>
      <rPr>
        <sz val="11"/>
        <color rgb="FF000000"/>
        <rFont val="Calibri"/>
        <family val="2"/>
        <scheme val="minor"/>
      </rPr>
      <t>A mock-up for customer observation and approval is highly recommended before proceeding with a full retrofit.</t>
    </r>
  </si>
  <si>
    <t>▪ UL Type A retrofits: The electronic ballast must be compatible with the TLED (reference manufacturer compatibility listing). Magnetic ballasts are ineligible. Installation of new lamp holders is highly recommended. Lamp holders must be in good condition to support the TLED and meet LED manufacturer specifications. Broken, cracked or arc-damaged lamp holders must be replaced to receive an incentive. If replacing the electronic ballast, work must be performed by a licensed electrical contractor.</t>
  </si>
  <si>
    <t>▪ UL Type C retrofits: Must use a licensed electrical contractor. Must remove the existing fluorescent ballast. Lamps must be labeled with LED manufacturer-provided labels to inform maintenance workers these are LED UL Type C lamps. Installation of new lamp holders is highly recommended. Lamp holders must be in good condition to support the TLED and meet LED manufacturer specifications. Broken, cracked or arc-damaged lamp holders must be replaced to receive an incentive.</t>
  </si>
  <si>
    <t>▪ DM Internal Driver (UL Type A and Type B): See requirements for UL Type A and B retrofits.</t>
  </si>
  <si>
    <t>designlights.org/content/QPL/ProductSubmit/LinearReplacementLamps#PrimaryUseDesignations</t>
  </si>
  <si>
    <t>Additional Information &amp; Resources</t>
  </si>
  <si>
    <t>New Check for TLEDs</t>
  </si>
  <si>
    <t>Product Type</t>
  </si>
  <si>
    <t>Lines</t>
  </si>
  <si>
    <t>Installation of new lamp holders is highly recommended. Electrical contractor may be required. Mock-up for a customer's observation and approval highly recommended. UL Type A TLED requires manufacturer-approved compatible lamp holders and electronic ballast. Magnetic ballasts are not eligible for use with UL Type A TLED.</t>
  </si>
  <si>
    <t>I certify that the information provided in this</t>
  </si>
  <si>
    <t>and the Program requirements set forth at</t>
  </si>
  <si>
    <t>Projects should meet IES* recommended light levels. *Illuminating Engineering Society</t>
  </si>
  <si>
    <t>NPV Avoided Costs</t>
  </si>
  <si>
    <t>Notes
(If formula in AV is overriden to allow in the calculations, note in AW)</t>
  </si>
  <si>
    <t>·   Facility has not received a prior Idaho Power incentive for lighting upgrades</t>
  </si>
  <si>
    <t>Other</t>
  </si>
  <si>
    <t>Recreational Facilities - non 24 hours</t>
  </si>
  <si>
    <t>Qualified Product List (QPL)</t>
  </si>
  <si>
    <t>LED Sign Lighting Retrofit</t>
  </si>
  <si>
    <t>http://www.idahopower.com/ways-to-save/savings-for-your-business/terms-conditions/</t>
  </si>
  <si>
    <t>https://docs.idahopower.com/pdfs/energyefficiency/business/proceduresManual.pdf</t>
  </si>
  <si>
    <t>Schedule 1</t>
  </si>
  <si>
    <t>Schedule 2</t>
  </si>
  <si>
    <t>Schedule 3</t>
  </si>
  <si>
    <t xml:space="preserve">LIGHTING OPERATION SCHEDULE   </t>
  </si>
  <si>
    <t>Annual Hours of Operation</t>
  </si>
  <si>
    <t>Interior non-standard lighting control system</t>
  </si>
  <si>
    <t>LED - Multiple Control Strategies</t>
  </si>
  <si>
    <t>Lookup Table for Interior Incentives</t>
  </si>
  <si>
    <t>Lookup Table for Exterior Incentives</t>
  </si>
  <si>
    <t>Lookup Table for minimum interior connected load</t>
  </si>
  <si>
    <t>Lookup Table for minimum exterior connected load</t>
  </si>
  <si>
    <t>HID to LED Screw-in Replacement Lamp</t>
  </si>
  <si>
    <t>Exit Sign (LED/electroluminescent &lt; 5 watt)</t>
  </si>
  <si>
    <t>**REFRIGERATION CASE LIGHTING**</t>
  </si>
  <si>
    <t>Hours of Operation Schedule Page</t>
  </si>
  <si>
    <t>Case #2 T12 (Provide Description)</t>
  </si>
  <si>
    <t>Case #3 T8 (Provide Description)</t>
  </si>
  <si>
    <t>New Fixture Count Check (Existing)</t>
  </si>
  <si>
    <t>4ft, 1 lamp F48 HO T12</t>
  </si>
  <si>
    <t>4ft, 2 lamp F48 HO T12</t>
  </si>
  <si>
    <t>4ft, 3 lamp F48 HO T12</t>
  </si>
  <si>
    <t>4ft, 4 lamp F48 HO T12</t>
  </si>
  <si>
    <t xml:space="preserve">HPS, LED, TLED &amp; Removal Check </t>
  </si>
  <si>
    <t xml:space="preserve"> Sign Lighting Incentive $$</t>
  </si>
  <si>
    <t>Case Lighting Match Check</t>
  </si>
  <si>
    <t xml:space="preserve">Case Lighting $$ </t>
  </si>
  <si>
    <t>New LED Fixture or Kit $$</t>
  </si>
  <si>
    <t>$0.12/watt saved</t>
  </si>
  <si>
    <t>Existing HID &gt; input watts than proposed</t>
  </si>
  <si>
    <t>$0.15/kWh saved</t>
  </si>
  <si>
    <t>$0.14/kWh saved</t>
  </si>
  <si>
    <t>$0.20/kWh saved</t>
  </si>
  <si>
    <t>$0.10/kWh saved</t>
  </si>
  <si>
    <t>T12 fluorescent lighting - Case #2</t>
  </si>
  <si>
    <t>LED display case lighting  - Case #2</t>
  </si>
  <si>
    <t>T8 fluorescent lighting - Case #3</t>
  </si>
  <si>
    <t>LED display case lighting  - Case #3</t>
  </si>
  <si>
    <t>Product Type Input Watts</t>
  </si>
  <si>
    <t>List for Product Type Auto Populate</t>
  </si>
  <si>
    <t>Fixture Counts</t>
  </si>
  <si>
    <t>Control Counts</t>
  </si>
  <si>
    <t>Lamp Number</t>
  </si>
  <si>
    <t>Lamp Length</t>
  </si>
  <si>
    <t>Ballast Info</t>
  </si>
  <si>
    <t>Lamp Wattage</t>
  </si>
  <si>
    <t>F15T8</t>
  </si>
  <si>
    <t>18"</t>
  </si>
  <si>
    <t>Elec</t>
  </si>
  <si>
    <t>F15T12</t>
  </si>
  <si>
    <t>Mag</t>
  </si>
  <si>
    <t>F17T8</t>
  </si>
  <si>
    <t>24"</t>
  </si>
  <si>
    <t>F20T12</t>
  </si>
  <si>
    <t>F24T12/HO</t>
  </si>
  <si>
    <t>F30T12/HO</t>
  </si>
  <si>
    <t>30"</t>
  </si>
  <si>
    <t>F25T8</t>
  </si>
  <si>
    <t>36"</t>
  </si>
  <si>
    <t xml:space="preserve">F30T12  </t>
  </si>
  <si>
    <t>F36T12/HO</t>
  </si>
  <si>
    <t>36'</t>
  </si>
  <si>
    <t>F42T12</t>
  </si>
  <si>
    <t>42"</t>
  </si>
  <si>
    <t>F42T12/HO</t>
  </si>
  <si>
    <t>F32T8</t>
  </si>
  <si>
    <t>48"</t>
  </si>
  <si>
    <t>F48T8/HO</t>
  </si>
  <si>
    <t>F40T12</t>
  </si>
  <si>
    <t>F48T12/HO</t>
  </si>
  <si>
    <t>F48T12/VHO</t>
  </si>
  <si>
    <t>F40T8</t>
  </si>
  <si>
    <t>60"</t>
  </si>
  <si>
    <t>F60T8/HO</t>
  </si>
  <si>
    <t>F60T12</t>
  </si>
  <si>
    <t>F60T12/HO</t>
  </si>
  <si>
    <t>F60T12/VHO</t>
  </si>
  <si>
    <t>F64T12/HO</t>
  </si>
  <si>
    <t>64"</t>
  </si>
  <si>
    <t>F72T8</t>
  </si>
  <si>
    <t>72"</t>
  </si>
  <si>
    <t>F72T8/HO</t>
  </si>
  <si>
    <t>F72T12</t>
  </si>
  <si>
    <t>F72T12/HO</t>
  </si>
  <si>
    <t>F72T12/VHO</t>
  </si>
  <si>
    <t>F84T12/HO</t>
  </si>
  <si>
    <t>84"</t>
  </si>
  <si>
    <t>F96T8</t>
  </si>
  <si>
    <t>96"</t>
  </si>
  <si>
    <t>F96T8/HO</t>
  </si>
  <si>
    <t>F96T12</t>
  </si>
  <si>
    <t>F96T12/HO</t>
  </si>
  <si>
    <t>F96T12/VHO</t>
  </si>
  <si>
    <t>F108T12/HO</t>
  </si>
  <si>
    <t>108"</t>
  </si>
  <si>
    <t>F117T12/HO</t>
  </si>
  <si>
    <t>117"</t>
  </si>
  <si>
    <t>F120T12/HO</t>
  </si>
  <si>
    <t>120"</t>
  </si>
  <si>
    <t>New Check for empty lines</t>
  </si>
  <si>
    <t>Unit Installed Cost</t>
  </si>
  <si>
    <t>Total Installed Cost</t>
  </si>
  <si>
    <t>Sign &amp; Case Lighting Criteria &amp; Wattage Guides</t>
  </si>
  <si>
    <t>New Lookup for Full Incentive</t>
  </si>
  <si>
    <t>Non-Refrigerated Case Lighting – refer to LED section</t>
  </si>
  <si>
    <t>HID to LED Screw-in replacement lamps (existing ballast must be removed or bypassed)</t>
  </si>
  <si>
    <t>**SIGN LIGHTING**</t>
  </si>
  <si>
    <t>Other HID (Provide Description)</t>
  </si>
  <si>
    <t>blackout</t>
  </si>
  <si>
    <t>Existing Sign Lighting (Provide Description)</t>
  </si>
  <si>
    <t>Annual DISCOUNTED Incremental 2017 IRP Costs (w/ Losses)</t>
  </si>
  <si>
    <t>T&amp;D Benefit</t>
  </si>
  <si>
    <t>Annual Incremental Electricy &amp; T&amp;D Benefits</t>
  </si>
  <si>
    <t>NEBs 3% of participant costs? (LED lines only)</t>
  </si>
  <si>
    <t>Has customer provided NEBs?</t>
  </si>
  <si>
    <t>NEBs
(3% of part costs)</t>
  </si>
  <si>
    <t>Total project cost - Standard</t>
  </si>
  <si>
    <t>Total project Cost</t>
  </si>
  <si>
    <t xml:space="preserve">Total # of units - Standard </t>
  </si>
  <si>
    <r>
      <t xml:space="preserve">E-mail </t>
    </r>
    <r>
      <rPr>
        <i/>
        <sz val="8"/>
        <color rgb="FFFF0000"/>
        <rFont val="Arial"/>
        <family val="2"/>
      </rPr>
      <t>(required to send application updates and approval notices)</t>
    </r>
  </si>
  <si>
    <t>New equipment must be purchased to be eligible for incentive.</t>
  </si>
  <si>
    <t>https://www.energystar.gov/productfinder/product/certified-light-bulbs/</t>
  </si>
  <si>
    <t>https://www.energystar.gov/productfinder/product/certified-light-fixtures/</t>
  </si>
  <si>
    <t>https://www.designlights.org/search/</t>
  </si>
  <si>
    <t>**Please select**</t>
  </si>
  <si>
    <t>Footnotes:</t>
  </si>
  <si>
    <t>Links to LED Lists:</t>
  </si>
  <si>
    <t>Fixture Wattage</t>
  </si>
  <si>
    <t xml:space="preserve">Enter Total Lighting Project Cost </t>
  </si>
  <si>
    <t>Total # of units</t>
  </si>
  <si>
    <t>DesignLights Consortium Fixtures/Lamps:</t>
  </si>
  <si>
    <r>
      <t>ENERGY STAR</t>
    </r>
    <r>
      <rPr>
        <b/>
        <vertAlign val="superscript"/>
        <sz val="12"/>
        <color theme="1"/>
        <rFont val="Arial"/>
        <family val="2"/>
      </rPr>
      <t>®</t>
    </r>
    <r>
      <rPr>
        <b/>
        <sz val="12"/>
        <color theme="1"/>
        <rFont val="Arial"/>
        <family val="2"/>
      </rPr>
      <t xml:space="preserve"> Fixtures:</t>
    </r>
  </si>
  <si>
    <r>
      <t>ENERGY STAR</t>
    </r>
    <r>
      <rPr>
        <b/>
        <vertAlign val="superscript"/>
        <sz val="12"/>
        <color theme="1"/>
        <rFont val="Arial"/>
        <family val="2"/>
      </rPr>
      <t>®</t>
    </r>
    <r>
      <rPr>
        <b/>
        <sz val="12"/>
        <color theme="1"/>
        <rFont val="Arial"/>
        <family val="2"/>
      </rPr>
      <t xml:space="preserve"> Lamps:</t>
    </r>
  </si>
  <si>
    <t>DesignLights Consortium Networked Lighting Controls:</t>
  </si>
  <si>
    <t>https://www.designlights.org/lighting-controls/</t>
  </si>
  <si>
    <r>
      <t>ENERGY STAR</t>
    </r>
    <r>
      <rPr>
        <b/>
        <vertAlign val="superscript"/>
        <sz val="11"/>
        <color theme="1"/>
        <rFont val="Arial"/>
        <family val="2"/>
      </rPr>
      <t>®</t>
    </r>
    <r>
      <rPr>
        <b/>
        <sz val="11"/>
        <color theme="1"/>
        <rFont val="Arial"/>
        <family val="2"/>
      </rPr>
      <t xml:space="preserve"> Fixtures:</t>
    </r>
  </si>
  <si>
    <r>
      <t>ENERGY STAR</t>
    </r>
    <r>
      <rPr>
        <b/>
        <vertAlign val="superscript"/>
        <sz val="11"/>
        <color theme="1"/>
        <rFont val="Arial"/>
        <family val="2"/>
      </rPr>
      <t>®</t>
    </r>
    <r>
      <rPr>
        <b/>
        <sz val="11"/>
        <color theme="1"/>
        <rFont val="Arial"/>
        <family val="2"/>
      </rPr>
      <t xml:space="preserve"> Lamps:</t>
    </r>
  </si>
  <si>
    <t>*Indicates required field</t>
  </si>
  <si>
    <t xml:space="preserve">                 LIGHTING PROJECT DATA ENTRY</t>
  </si>
  <si>
    <t>50 X 36 weeks = 1800</t>
  </si>
  <si>
    <t>60 X 16 weeks = 960</t>
  </si>
  <si>
    <t>Exterior or Interior</t>
  </si>
  <si>
    <t>**Not to exceed total project cost.</t>
  </si>
  <si>
    <t>The CLU applies to projects where all the interior inefficient lighting is retrofitted with more efficient technologies, including the incorporation of controls, where applicable.  The CLU is a bonus incentive given in addition to the calculated incentive on the lighting tool and is five percent (5%)* of the regular interior incentive amount.</t>
  </si>
  <si>
    <t>Commercial and industrial projects may qualify for the Complete Lighting Upgrade (CLU) 5% incentive bonus by replacing all inefficient interior lighting equipment with more efficient technologies (including the appropriate use of lighting controls). Only one CLU Bonus paid per building.</t>
  </si>
  <si>
    <t xml:space="preserve">Total # of units - Standard Proposed Lighting </t>
  </si>
  <si>
    <t>Total # of units - Standard Controls</t>
  </si>
  <si>
    <t>Hours of Operation Schedule Existing Controls</t>
  </si>
  <si>
    <t>New Hours Check Existing</t>
  </si>
  <si>
    <t>New Hours Check with Controls/Proposed</t>
  </si>
  <si>
    <t>Avg per unit cost - Standard</t>
  </si>
  <si>
    <t>Total # of units - Non-Std.</t>
  </si>
  <si>
    <t>Proposed Lighting - Non-Standard</t>
  </si>
  <si>
    <t>Lighting Controls - Non-Standard</t>
  </si>
  <si>
    <t>ENComm_Refrigeration</t>
  </si>
  <si>
    <r>
      <t xml:space="preserve">PROJECT COST-EFFECTIVENESS  </t>
    </r>
    <r>
      <rPr>
        <b/>
        <sz val="11"/>
        <color theme="1"/>
        <rFont val="Calibri"/>
        <family val="2"/>
        <scheme val="minor"/>
      </rPr>
      <t>WITHOUT</t>
    </r>
    <r>
      <rPr>
        <sz val="11"/>
        <color theme="1"/>
        <rFont val="Calibri"/>
        <family val="2"/>
        <scheme val="minor"/>
      </rPr>
      <t xml:space="preserve"> NON-STANDARD</t>
    </r>
  </si>
  <si>
    <t>Without Non-Standard</t>
  </si>
  <si>
    <t>For projects that have received prior incentives, the specific equipment must be installed and operated for a minimum of two years following receipt of incentive payment before being eligible for future incentives.  Idaho Power reserves the right to waive this requirement.</t>
  </si>
  <si>
    <r>
      <rPr>
        <sz val="11"/>
        <color theme="4" tint="0.59999389629810485"/>
        <rFont val="Arial"/>
        <family val="2"/>
      </rPr>
      <t>*</t>
    </r>
    <r>
      <rPr>
        <sz val="11"/>
        <rFont val="Arial"/>
        <family val="2"/>
      </rPr>
      <t xml:space="preserve">Product Type </t>
    </r>
    <r>
      <rPr>
        <i/>
        <sz val="9"/>
        <rFont val="Arial"/>
        <family val="2"/>
      </rPr>
      <t>(Please Select)</t>
    </r>
  </si>
  <si>
    <t>Instructions to Hide/Unhide Lines in Lighting Tool</t>
  </si>
  <si>
    <t>1) Select rows by highlighting with mouse at the far left column. You will see small black arrow if selected correctly.</t>
  </si>
  <si>
    <t>2) Right click and menu will appear, select "Unhide" to reveal additional lines in Lighting Tool.  Select "hide" if you want to conceal lines.</t>
  </si>
  <si>
    <t>Approved LED product lists</t>
  </si>
  <si>
    <r>
      <t xml:space="preserve">                          ENERGY STAR</t>
    </r>
    <r>
      <rPr>
        <b/>
        <vertAlign val="superscript"/>
        <sz val="12"/>
        <color theme="1"/>
        <rFont val="Arial"/>
        <family val="2"/>
      </rPr>
      <t>®</t>
    </r>
    <r>
      <rPr>
        <b/>
        <sz val="12"/>
        <color theme="1"/>
        <rFont val="Arial"/>
        <family val="2"/>
      </rPr>
      <t xml:space="preserve"> Fixtures:</t>
    </r>
  </si>
  <si>
    <t>Reference the Sign &amp; Case Lighting tab on the Lighting Tool for wattage guide and additional criteria. When referencing the Sign and Case Lighting Wattage Guides, use the Fixture Wattage to enter into the Proposed Fixture wattage on the Lighting Tool.</t>
  </si>
  <si>
    <t>Total incentive paid cannot exceed total project costs.</t>
  </si>
  <si>
    <t>Existing equipment must be removed, including ballasts and old sockets in order to receive incentive, as applicable.</t>
  </si>
  <si>
    <t>LEDs must be on one of the following QPLs (qualified product lists): DesignLights Consortium (DLC) or ENERGY STAR® (exceptions may be granted if there is not a QPL category for proposed product). Idaho Power reserves the right to assign LED product to appropriate incentive categories.</t>
  </si>
  <si>
    <t>▪ All TLEDs must be on one of the following Qualified Product Lists (QPL): DLC or ENERGY STAR® (exception: sign lighting).</t>
  </si>
  <si>
    <t>Link to LED QPL List</t>
  </si>
  <si>
    <t xml:space="preserve">DesignLights Consortium Fixtures/Lamps: </t>
  </si>
  <si>
    <t>Please use Fixture Wattage on the Proposed Lighting tab</t>
  </si>
  <si>
    <t>Sensors and controls must comply with manufacturers' guidelines on coverage and maximum</t>
  </si>
  <si>
    <t>controlled watts.</t>
  </si>
  <si>
    <t>▪ UL Type B retrofits: Must use a licensed electrical contractor. Must remove the existing fluorescent ballast. Lamps must be clearly labeled with LED manufacturer-provided labels to inform maintenance workers these are LED UL Type B lamps. Installation of new lamp holders is highly recommended. Lamp holders must be in good condition to support the TLED and meet LED manufacturer specifications. Broken, cracked or arc‑damaged lamp holders must be replaced to receive an incentive.</t>
  </si>
  <si>
    <t>I, Customer, designate the Idaho Power incentive check for this project be made payable to the following. Recipient of the Idaho Power incentive check for this project must complete the Tax ID Number and Official Tax Name boxes below.  Customer: please ensure the appropriate box below is marked for who should receive the incentive payment.</t>
  </si>
  <si>
    <t>Total Annual Hours: 2760</t>
  </si>
  <si>
    <t>I, the undersigned, declare that I am a duly authorized representative of the owner of the building described above. I further acknowledge</t>
  </si>
  <si>
    <t>and the Program Terms set forth at</t>
  </si>
  <si>
    <t>equipment is installed. Projects are subject to Idaho Power review of supporting documents. Idaho Power will make any adjustments to the Lighting Tool it deems necessary to ensure</t>
  </si>
  <si>
    <t>correct incentive payment.</t>
  </si>
  <si>
    <t>controls counts</t>
  </si>
  <si>
    <t>Standard Incentive Check</t>
  </si>
  <si>
    <t>College or University</t>
  </si>
  <si>
    <t>Model/Full Part Number (as listed on QPL)</t>
  </si>
  <si>
    <t>Schedule</t>
  </si>
  <si>
    <t>LC Type</t>
  </si>
  <si>
    <t>LC Fixture Controlled</t>
  </si>
  <si>
    <t>Shopping Mall Enclosed</t>
  </si>
  <si>
    <t>Time Onsite:</t>
  </si>
  <si>
    <t xml:space="preserve">Schedule 1: </t>
  </si>
  <si>
    <t xml:space="preserve">Schedule 2: </t>
  </si>
  <si>
    <t xml:space="preserve">Schedule 3: </t>
  </si>
  <si>
    <t>Contact:</t>
  </si>
  <si>
    <t>·         Install lighting controls in the following spaces as appropriate:  (e.g., occupancy sensors, photocells/daylight harvesting):</t>
  </si>
  <si>
    <t>Fixt. Type</t>
  </si>
  <si>
    <t>DesignLights Consortium Networked Controls:</t>
  </si>
  <si>
    <t>Proposed Measures</t>
  </si>
  <si>
    <t>LC Fix. Controlled</t>
  </si>
  <si>
    <t>WS</t>
  </si>
  <si>
    <t>CM</t>
  </si>
  <si>
    <t>FM</t>
  </si>
  <si>
    <t>PHOT</t>
  </si>
  <si>
    <t>LED-MS</t>
  </si>
  <si>
    <t>LED-SS</t>
  </si>
  <si>
    <t>LED-NW</t>
  </si>
  <si>
    <t>Inspector Keys / Controls</t>
  </si>
  <si>
    <t>Inspector &amp; Additional Project Notes</t>
  </si>
  <si>
    <t>E.g.</t>
  </si>
  <si>
    <t>Descriptions or Notes</t>
  </si>
  <si>
    <t xml:space="preserve">Control Type </t>
  </si>
  <si>
    <t>Annual kWh Savings                 (Per Year)</t>
  </si>
  <si>
    <t>Occupancy</t>
  </si>
  <si>
    <t>High-End Trim</t>
  </si>
  <si>
    <t>Please select control types</t>
  </si>
  <si>
    <t>new multiple check</t>
  </si>
  <si>
    <t>Occupancy Sensing</t>
  </si>
  <si>
    <t>LLLC (Luminaire Level Lighting Controls)</t>
  </si>
  <si>
    <t>Line #</t>
  </si>
  <si>
    <t>New Test for LED/Fixtures</t>
  </si>
  <si>
    <t>Check for NLC Types</t>
  </si>
  <si>
    <t>Multiple controls check</t>
  </si>
  <si>
    <t>Lighting Controls Strategy Definitions</t>
  </si>
  <si>
    <t>DesignLights Consortium Horticultural Lighting:</t>
  </si>
  <si>
    <t>https://www.designlights.org/horticultural-lighting/search/</t>
  </si>
  <si>
    <t>LEDs installed on magnetic ballasts are not eligible for incentive.</t>
  </si>
  <si>
    <t xml:space="preserve">Exterior: </t>
  </si>
  <si>
    <t>Dusk to Dawn</t>
  </si>
  <si>
    <t>Dusk to Dawn-C</t>
  </si>
  <si>
    <t>Enter hours based on when the lights first come on to when they go out. If space has existing controls, select the appropriate schedule with “C” on the Proposed Lighting tab.  Select Dusk to Dawn on Proposed Lighting Tab for this schedule, for other exterior operating schedules input hours, then select "E" for exterior lighting, select "E-C" for exterior lighting with existing controls. Contact us for exterior projects with multiple operating schedules.</t>
  </si>
  <si>
    <t>Daylight Harvesting with Continuous Dimming</t>
  </si>
  <si>
    <t>Tuning: High-End Trim</t>
  </si>
  <si>
    <t>Tuning: Advanced Scheduling/Zoning</t>
  </si>
  <si>
    <t>Tuning: Personal Tuning with Continuous Dimming</t>
  </si>
  <si>
    <t>Hidden</t>
  </si>
  <si>
    <t>Seasonal Hours</t>
  </si>
  <si>
    <t>Hours of Operation</t>
  </si>
  <si>
    <r>
      <t xml:space="preserve">Product in this group include HID LED replacement lamps that replace an existing HID system (Metal Halide, HPS and Mercury Vapor). 
</t>
    </r>
    <r>
      <rPr>
        <sz val="14"/>
        <color theme="1"/>
        <rFont val="Calibri"/>
        <family val="2"/>
      </rPr>
      <t xml:space="preserve">          - </t>
    </r>
    <r>
      <rPr>
        <sz val="14"/>
        <color theme="1"/>
        <rFont val="Arial"/>
        <family val="2"/>
      </rPr>
      <t xml:space="preserve">The existing HID ballast must be removed or bypassed, LED lamps that operate off HID ballast are not eligible for incentive.  
</t>
    </r>
    <r>
      <rPr>
        <sz val="14"/>
        <color theme="1"/>
        <rFont val="Calibri"/>
        <family val="2"/>
      </rPr>
      <t xml:space="preserve">          -</t>
    </r>
    <r>
      <rPr>
        <sz val="9.8000000000000007"/>
        <color theme="1"/>
        <rFont val="Arial"/>
        <family val="2"/>
      </rPr>
      <t xml:space="preserve"> </t>
    </r>
    <r>
      <rPr>
        <sz val="14"/>
        <color theme="1"/>
        <rFont val="Arial"/>
        <family val="2"/>
      </rPr>
      <t>General purpose replacement lamps, like A19 or A21 lamps, do not qualify for HID to LED Screw-in replacement lamp incentives.</t>
    </r>
  </si>
  <si>
    <t xml:space="preserve">HID to LED Screw-in replacement lamps (ballast bypass)                                                </t>
  </si>
  <si>
    <t>Click link below for category definitions</t>
  </si>
  <si>
    <t>HID to LED Screw-in replacement lamps</t>
  </si>
  <si>
    <t>LED Tubes - (Tubular LED or Linear Fluorescent Replacement)</t>
  </si>
  <si>
    <t>LED Tubes</t>
  </si>
  <si>
    <t>Sign &amp; Case Lighting Wattage Guide</t>
  </si>
  <si>
    <t>Case Lighting incentive available for refrigerated cases only</t>
  </si>
  <si>
    <t>Must be listed in Refrigeration Case Lighting categories on QPL.</t>
  </si>
  <si>
    <t>LED Sign Lighting</t>
  </si>
  <si>
    <t>Standard  Incentive</t>
  </si>
  <si>
    <t>Example</t>
  </si>
  <si>
    <t>January to September: 5 days/50 hrs week</t>
  </si>
  <si>
    <t>October-December: 7 days/60 hrs week</t>
  </si>
  <si>
    <t>LED Existing Check</t>
  </si>
  <si>
    <t>Other Exterior Hours</t>
  </si>
  <si>
    <t>Check for LED entered fully</t>
  </si>
  <si>
    <t>E-C</t>
  </si>
  <si>
    <r>
      <t>LED Tubes (Type A, B &amp; DM)</t>
    </r>
    <r>
      <rPr>
        <b/>
        <i/>
        <vertAlign val="superscript"/>
        <sz val="15"/>
        <color rgb="FF000000"/>
        <rFont val="Arial"/>
        <family val="2"/>
      </rPr>
      <t xml:space="preserve">2 </t>
    </r>
    <r>
      <rPr>
        <b/>
        <i/>
        <vertAlign val="subscript"/>
        <sz val="15"/>
        <color rgb="FF000000"/>
        <rFont val="Arial"/>
        <family val="2"/>
      </rPr>
      <t xml:space="preserve">   </t>
    </r>
    <r>
      <rPr>
        <b/>
        <i/>
        <vertAlign val="superscript"/>
        <sz val="15"/>
        <color rgb="FF000000"/>
        <rFont val="Arial"/>
        <family val="2"/>
      </rPr>
      <t xml:space="preserve">                                                                                                                                                                  </t>
    </r>
  </si>
  <si>
    <r>
      <t>Type C - LED Linear Replacement Lamp</t>
    </r>
    <r>
      <rPr>
        <b/>
        <i/>
        <vertAlign val="superscript"/>
        <sz val="15"/>
        <color rgb="FF000000"/>
        <rFont val="Arial"/>
        <family val="2"/>
      </rPr>
      <t xml:space="preserve">2                                                                                                                                                                                         </t>
    </r>
  </si>
  <si>
    <t xml:space="preserve">       DesignLights Consortium Fixtures/Lamps:</t>
  </si>
  <si>
    <t xml:space="preserve">                                          DesignLights Consortium Networked Lighting Controls:  </t>
  </si>
  <si>
    <t xml:space="preserve">                                                       DesignLights Consortium Horticultural Lighting:  </t>
  </si>
  <si>
    <t>Sensor Based</t>
  </si>
  <si>
    <t xml:space="preserve">Tuning   </t>
  </si>
  <si>
    <t>Personal Tuning with Continuous Dimming</t>
  </si>
  <si>
    <t>Networked Lighting Controls</t>
  </si>
  <si>
    <t>Multiple Control Strategies</t>
  </si>
  <si>
    <r>
      <t xml:space="preserve">Customer Agreement                                                                                                                                                                                               </t>
    </r>
    <r>
      <rPr>
        <sz val="11"/>
        <color theme="1"/>
        <rFont val="Arial"/>
        <family val="2"/>
      </rPr>
      <t xml:space="preserve">I, the undersigned, declare that I am a duly authorized representative of the owner of the building described above. I further acknowledge       </t>
    </r>
  </si>
  <si>
    <t>In-house labor may be included. Submit on customer letterhead or customer email the following: Description of work performed, total in-house labor charges, total number of hours worked, dates work performed, name of customer representative submitting the information.</t>
  </si>
  <si>
    <t>New Check for Existing Controls</t>
  </si>
  <si>
    <t>$0.26/watt saved</t>
  </si>
  <si>
    <t>$0.19/kWh saved</t>
  </si>
  <si>
    <t>$0.21/kWh saved</t>
  </si>
  <si>
    <t>Primary Phone Number*</t>
  </si>
  <si>
    <t>Primary Phone Number</t>
  </si>
  <si>
    <t>Secondary Phone Number</t>
  </si>
  <si>
    <t>DLC Control</t>
  </si>
  <si>
    <t>Exception</t>
  </si>
  <si>
    <t>ENERGY STAR®</t>
  </si>
  <si>
    <t>Non-DLC Control</t>
  </si>
  <si>
    <t>Not Qualified</t>
  </si>
  <si>
    <r>
      <t xml:space="preserve">Example Only: </t>
    </r>
    <r>
      <rPr>
        <sz val="11"/>
        <color theme="1"/>
        <rFont val="Arial"/>
        <family val="2"/>
      </rPr>
      <t>NE-LED-55W-OSC-DAY</t>
    </r>
  </si>
  <si>
    <r>
      <t xml:space="preserve">Example Only: </t>
    </r>
    <r>
      <rPr>
        <sz val="11"/>
        <color theme="1"/>
        <rFont val="Arial"/>
        <family val="2"/>
      </rPr>
      <t>NewLight Manufacturing</t>
    </r>
  </si>
  <si>
    <r>
      <t xml:space="preserve">Example Only:  </t>
    </r>
    <r>
      <rPr>
        <sz val="11"/>
        <color theme="1"/>
        <rFont val="Arial"/>
        <family val="2"/>
      </rPr>
      <t>DLC</t>
    </r>
  </si>
  <si>
    <t>Sch 1</t>
  </si>
  <si>
    <t>Sch 1-C</t>
  </si>
  <si>
    <t>Sch 2</t>
  </si>
  <si>
    <t>Sch 2-C</t>
  </si>
  <si>
    <t>Sch 3</t>
  </si>
  <si>
    <t>Sch 3-C</t>
  </si>
  <si>
    <t>Calculates hours from data entry table</t>
  </si>
  <si>
    <t>**Fluorescent**</t>
  </si>
  <si>
    <t>4ft, 4 lamp T8 28 watt (HBF)</t>
  </si>
  <si>
    <t>4ft, 6 lamp T8 28 watt (HBF)</t>
  </si>
  <si>
    <t>4ft, 5 lamp F54 T5HO</t>
  </si>
  <si>
    <t>**HID**</t>
  </si>
  <si>
    <t>Metal Halide, 150 watts</t>
  </si>
  <si>
    <t>**OTHER**</t>
  </si>
  <si>
    <t>New LED Fixture</t>
  </si>
  <si>
    <t>Case #2 T12 to LED display case lighting</t>
  </si>
  <si>
    <t>Case #3 T8 to LED display case lighting</t>
  </si>
  <si>
    <t>dataline</t>
  </si>
  <si>
    <t>Existing Check  Length</t>
  </si>
  <si>
    <t>Single Control Strategy</t>
  </si>
  <si>
    <t>Incorrect Pairings Matrix</t>
  </si>
  <si>
    <t>% of savings</t>
  </si>
  <si>
    <t>Control Unit Installed Cost</t>
  </si>
  <si>
    <t>Fixture Unit Installed Cost</t>
  </si>
  <si>
    <t>Non Standard Control Check</t>
  </si>
  <si>
    <t>LC PCT Test</t>
  </si>
  <si>
    <t>LC UC Test</t>
  </si>
  <si>
    <t>LC TRC Test</t>
  </si>
  <si>
    <t>Unit Control Incentive</t>
  </si>
  <si>
    <r>
      <t>Installation Contractor Information</t>
    </r>
    <r>
      <rPr>
        <sz val="9"/>
        <color indexed="8"/>
        <rFont val="Arial"/>
        <family val="2"/>
      </rPr>
      <t xml:space="preserve"> – </t>
    </r>
    <r>
      <rPr>
        <i/>
        <sz val="9"/>
        <color indexed="8"/>
        <rFont val="Arial"/>
        <family val="2"/>
      </rPr>
      <t>(must be a licensed electrical contractor, except for screw-in and pin-based LEDs).</t>
    </r>
  </si>
  <si>
    <t>Standalone Control Check</t>
  </si>
  <si>
    <t>Hidden Length Check 1</t>
  </si>
  <si>
    <t>Controls Installed Costs</t>
  </si>
  <si>
    <r>
      <rPr>
        <sz val="14"/>
        <color rgb="FF000000"/>
        <rFont val="Arial"/>
        <family val="2"/>
      </rPr>
      <t xml:space="preserve">        </t>
    </r>
    <r>
      <rPr>
        <sz val="14"/>
        <color rgb="FF000000"/>
        <rFont val="Calibri"/>
        <family val="2"/>
      </rPr>
      <t xml:space="preserve">- </t>
    </r>
    <r>
      <rPr>
        <sz val="14"/>
        <color rgb="FF000000"/>
        <rFont val="Arial"/>
        <family val="2"/>
      </rPr>
      <t xml:space="preserve">Replaces the entire optic system of the luminaire (light source, optics, and reflective panel)
</t>
    </r>
    <r>
      <rPr>
        <sz val="14"/>
        <color rgb="FF000000"/>
        <rFont val="Arial"/>
        <family val="1"/>
        <charset val="2"/>
      </rPr>
      <t xml:space="preserve">        </t>
    </r>
    <r>
      <rPr>
        <sz val="14"/>
        <color rgb="FF000000"/>
        <rFont val="Calibri"/>
        <family val="2"/>
      </rPr>
      <t xml:space="preserve">- </t>
    </r>
    <r>
      <rPr>
        <sz val="14"/>
        <color rgb="FF000000"/>
        <rFont val="Arial"/>
        <family val="2"/>
      </rPr>
      <t xml:space="preserve">Mounts to an existing fixture and fully conceals the interior of the existing housing
          </t>
    </r>
    <r>
      <rPr>
        <i/>
        <sz val="13"/>
        <color rgb="FF000000"/>
        <rFont val="Arial"/>
        <family val="2"/>
      </rPr>
      <t>(example: Remove existing lamp holders and eliminate any visible openings resulting with their removal)</t>
    </r>
    <r>
      <rPr>
        <sz val="14"/>
        <color rgb="FF000000"/>
        <rFont val="Arial"/>
        <family val="2"/>
      </rPr>
      <t xml:space="preserve">
</t>
    </r>
    <r>
      <rPr>
        <sz val="13"/>
        <color rgb="FF000000"/>
        <rFont val="Arial"/>
        <family val="2"/>
      </rPr>
      <t xml:space="preserve">        </t>
    </r>
    <r>
      <rPr>
        <sz val="13"/>
        <color rgb="FF000000"/>
        <rFont val="Calibri"/>
        <family val="2"/>
      </rPr>
      <t xml:space="preserve">- </t>
    </r>
    <r>
      <rPr>
        <sz val="14"/>
        <color rgb="FF000000"/>
        <rFont val="Arial"/>
        <family val="2"/>
      </rPr>
      <t>Exposed LEDs, tubes, channels, bar-style components, basic lens or diffusers are not eligible in this category</t>
    </r>
    <r>
      <rPr>
        <sz val="14"/>
        <color rgb="FF000000"/>
        <rFont val="Arial"/>
        <family val="1"/>
        <charset val="2"/>
      </rPr>
      <t xml:space="preserve">
        </t>
    </r>
    <r>
      <rPr>
        <sz val="14"/>
        <color rgb="FF000000"/>
        <rFont val="Calibri"/>
        <family val="2"/>
      </rPr>
      <t xml:space="preserve">- </t>
    </r>
    <r>
      <rPr>
        <sz val="14"/>
        <color rgb="FF000000"/>
        <rFont val="Arial"/>
        <family val="1"/>
        <charset val="2"/>
      </rPr>
      <t>Strip fixture kit must have a factory provided lens</t>
    </r>
  </si>
  <si>
    <t>LISTS FOR CHECKS ON EXIT, LEDS</t>
  </si>
  <si>
    <t>Level 1 or New LED Fixture or Kit w/single $$</t>
  </si>
  <si>
    <t>Level 1 or New LED Fixture or Kit w/multiple $$</t>
  </si>
  <si>
    <t>was dataline now blank</t>
  </si>
  <si>
    <t>LED Level 2 Retrofit Kit w/Networked Controls (LLLC)</t>
  </si>
  <si>
    <t>LED Level 2 Retrofit Kit w/Networked Controls (Area Level)</t>
  </si>
  <si>
    <t>LED Level 1 Retrofit Kit w/Single Ctrl Strategy</t>
  </si>
  <si>
    <t>LED Level 1 Retrofit Kit w/Multiple Ctrl Strategies</t>
  </si>
  <si>
    <t>LED Level 2 Retrofit Kit w/Single Ctrl Strategy</t>
  </si>
  <si>
    <t>LED Level 2 Retrofit Kit w/Multiple Ctrl Strategies</t>
  </si>
  <si>
    <t>New LED Fixture w/Single Ctrl Strategy</t>
  </si>
  <si>
    <t>New LED Fixture w/Multiple Ctrl Strategies</t>
  </si>
  <si>
    <t>New LED Fixture w/Networked Ctrl (LLLC)</t>
  </si>
  <si>
    <t>New LED Fixture w/Networked Ctrl (Area Level)</t>
  </si>
  <si>
    <t>Seasonal</t>
  </si>
  <si>
    <t>Seasonal-C</t>
  </si>
  <si>
    <t>LED Level 2 Retrofit Kit w/Networked Ctrl (LLLC)</t>
  </si>
  <si>
    <t>LED Level 2 Retrofit Kit w/Networked Ctrl (Area Level)</t>
  </si>
  <si>
    <t>Fixture Unit Incentive</t>
  </si>
  <si>
    <t>Standalone Control Total Incentive</t>
  </si>
  <si>
    <t>LED Level 1 Retrofit Kit w/Networked Ctrl (LLLC)</t>
  </si>
  <si>
    <t>LED Level 1 Retrofit Kit w/Networked Ctrl (Area Level)</t>
  </si>
  <si>
    <t>Connected Load Minimum Pullup</t>
  </si>
  <si>
    <t>Actual Connected load amount</t>
  </si>
  <si>
    <t>4.</t>
  </si>
  <si>
    <t>5.</t>
  </si>
  <si>
    <t>6.</t>
  </si>
  <si>
    <t>new check for control totals</t>
  </si>
  <si>
    <t xml:space="preserve"> Fixture Qty</t>
  </si>
  <si>
    <t>4ft, 8 lamp T8 28 watt (HBF)</t>
  </si>
  <si>
    <r>
      <t xml:space="preserve">*Product Type </t>
    </r>
    <r>
      <rPr>
        <i/>
        <sz val="9"/>
        <color theme="0"/>
        <rFont val="Arial"/>
        <family val="2"/>
      </rPr>
      <t>(Please Select)</t>
    </r>
  </si>
  <si>
    <r>
      <t xml:space="preserve">Interior photocell control </t>
    </r>
    <r>
      <rPr>
        <i/>
        <sz val="8"/>
        <color theme="0"/>
        <rFont val="Calibri"/>
        <family val="2"/>
      </rPr>
      <t>(dimming or on-off switching)</t>
    </r>
  </si>
  <si>
    <t xml:space="preserve">        Quick Reference Checklist for Project Submissions</t>
  </si>
  <si>
    <t>Payment Checklist (if Pre-Approved)</t>
  </si>
  <si>
    <t xml:space="preserve">Equipment offered through another Idaho Power funded program </t>
  </si>
  <si>
    <t>is not eligible for an incentive.</t>
  </si>
  <si>
    <t>Submit the Lighting Tool as Excel document (not PDF).</t>
  </si>
  <si>
    <t>LED to LED conversions - submit as a non-standard incentive.</t>
  </si>
  <si>
    <r>
      <t>Light Emitting Diodes (LEDs)</t>
    </r>
    <r>
      <rPr>
        <b/>
        <i/>
        <sz val="16"/>
        <color indexed="8"/>
        <rFont val="Arial"/>
        <family val="2"/>
      </rPr>
      <t xml:space="preserve">  (Must be on qualified LED list)</t>
    </r>
    <r>
      <rPr>
        <b/>
        <i/>
        <vertAlign val="superscript"/>
        <sz val="16"/>
        <color indexed="8"/>
        <rFont val="Arial"/>
        <family val="2"/>
      </rPr>
      <t>1 &amp; 6</t>
    </r>
  </si>
  <si>
    <r>
      <t>LED Sign Lighting Retrofit</t>
    </r>
    <r>
      <rPr>
        <b/>
        <i/>
        <vertAlign val="superscript"/>
        <sz val="15"/>
        <color rgb="FF000000"/>
        <rFont val="Arial"/>
        <family val="2"/>
      </rPr>
      <t>7&amp;8</t>
    </r>
  </si>
  <si>
    <r>
      <t xml:space="preserve">Permanent Fixture Removal </t>
    </r>
    <r>
      <rPr>
        <b/>
        <i/>
        <sz val="16"/>
        <color indexed="8"/>
        <rFont val="Arial"/>
        <family val="2"/>
      </rPr>
      <t>(Only available as a standard incentive)</t>
    </r>
    <r>
      <rPr>
        <b/>
        <i/>
        <vertAlign val="superscript"/>
        <sz val="16"/>
        <color indexed="8"/>
        <rFont val="Arial"/>
        <family val="2"/>
      </rPr>
      <t>3</t>
    </r>
  </si>
  <si>
    <t>Completely enter project information on Data Entry, Product Type and Proposed Lighting tabs in the white cells.  No entry is needed on the blue cells – they will automatically fill in as needed.</t>
  </si>
  <si>
    <t>Payment Checklist (No Pre-Approval)</t>
  </si>
  <si>
    <r>
      <rPr>
        <b/>
        <sz val="14"/>
        <color rgb="FF000000"/>
        <rFont val="Arial"/>
        <family val="2"/>
      </rPr>
      <t>New LED Fixture</t>
    </r>
    <r>
      <rPr>
        <sz val="14"/>
        <color rgb="FF000000"/>
        <rFont val="Arial"/>
        <family val="2"/>
      </rPr>
      <t xml:space="preserve">                                                                                                                       </t>
    </r>
  </si>
  <si>
    <t>$0.15/kWh saved
$0.12/kWh saved</t>
  </si>
  <si>
    <t xml:space="preserve">
Type A, Type B &amp; Type DM TLEDs
Type C TLEDs</t>
  </si>
  <si>
    <t>Lighting Controls Inspection Worksheet</t>
  </si>
  <si>
    <t>Manufacturer cut sheets required for each item. In addition to product details, cut sheet must include manufacturer name, brand name, and part number that matches the QPL listing.</t>
  </si>
  <si>
    <t>New check for empty location part 1</t>
  </si>
  <si>
    <t>New check for empty location part 2</t>
  </si>
  <si>
    <t>New check for empty location part 3</t>
  </si>
  <si>
    <t>Case #2:</t>
  </si>
  <si>
    <t>Case #3:</t>
  </si>
  <si>
    <t>Existing LED/Highbay/CFL Check/LCO</t>
  </si>
  <si>
    <t>**Estimated Total Incentive:</t>
  </si>
  <si>
    <t>Standalone Control Total for C/E</t>
  </si>
  <si>
    <t>Total Incentive (new controls)</t>
  </si>
  <si>
    <t>New check for 70% cost of non-standard controls</t>
  </si>
  <si>
    <t>T&amp;D (per kW)</t>
  </si>
  <si>
    <t>T&amp;D (per kWh)</t>
  </si>
  <si>
    <t>T&amp;D spread all hours</t>
  </si>
  <si>
    <t>T&amp;D on just SONP</t>
  </si>
  <si>
    <t>COM_MISC_ILTG_ALL_UNKN1991</t>
  </si>
  <si>
    <t>COM_MISC_REFR_ALL_UNKN1991</t>
  </si>
  <si>
    <t>Commercial Rates (2019 Avg $ per kWh with 2019 rates)</t>
  </si>
  <si>
    <t>For seasonal hours, please show calculations and total annual hours in blank box below, then enter total annual hours in Seasonal Hours box. Hours will be confirmed by program staff.</t>
  </si>
  <si>
    <t>ID</t>
  </si>
  <si>
    <t>OR</t>
  </si>
  <si>
    <t>Existing LED (Provide Description)</t>
  </si>
  <si>
    <t>Non-Standard (Provide Description)</t>
  </si>
  <si>
    <r>
      <t xml:space="preserve">Lighting Controls </t>
    </r>
    <r>
      <rPr>
        <b/>
        <i/>
        <vertAlign val="superscript"/>
        <sz val="16"/>
        <color indexed="8"/>
        <rFont val="Arial"/>
        <family val="2"/>
      </rPr>
      <t xml:space="preserve">4 &amp; 6 </t>
    </r>
  </si>
  <si>
    <r>
      <rPr>
        <b/>
        <sz val="14"/>
        <color rgb="FF000000"/>
        <rFont val="Arial"/>
        <family val="2"/>
      </rPr>
      <t>Sign Lighting</t>
    </r>
    <r>
      <rPr>
        <sz val="14"/>
        <color rgb="FF000000"/>
        <rFont val="Arial"/>
        <family val="2"/>
      </rPr>
      <t xml:space="preserve">                                                                                                                                                                                                                                       Sign Lighting incentive available only for internally illuminated signage
</t>
    </r>
    <r>
      <rPr>
        <b/>
        <sz val="14"/>
        <color rgb="FF000000"/>
        <rFont val="Arial"/>
        <family val="2"/>
      </rPr>
      <t xml:space="preserve">       </t>
    </r>
    <r>
      <rPr>
        <sz val="14"/>
        <color rgb="FF000000"/>
        <rFont val="Arial"/>
        <family val="2"/>
      </rPr>
      <t xml:space="preserve"> -</t>
    </r>
    <r>
      <rPr>
        <b/>
        <sz val="14"/>
        <color rgb="FF000000"/>
        <rFont val="Arial"/>
        <family val="2"/>
      </rPr>
      <t xml:space="preserve"> </t>
    </r>
    <r>
      <rPr>
        <sz val="14"/>
        <color rgb="FF000000"/>
        <rFont val="Arial"/>
        <family val="2"/>
      </rPr>
      <t xml:space="preserve">For external illumination such as floodlights and screw-in base LED product, reference other
          incentive levels and criteria
       </t>
    </r>
    <r>
      <rPr>
        <b/>
        <sz val="14"/>
        <color rgb="FF000000"/>
        <rFont val="Arial"/>
        <family val="2"/>
      </rPr>
      <t xml:space="preserve"> </t>
    </r>
    <r>
      <rPr>
        <sz val="14"/>
        <color rgb="FF000000"/>
        <rFont val="Arial"/>
        <family val="2"/>
      </rPr>
      <t>- Product must have a minimum 5 year warranty
        - Equipment must be UL, ETL or NRTL listed
        - LED Sign Lighting tubes must have minimum rated life of 50,000 hours
        - LED Sign Lighting tubes with R17D, FA8 or G13 bases must deliver minimum 100 lm/W
        - Product specification sheet required
        - Exterior location products must be specified for operating temperatures of -20 to 130 degree 
          Fahrenheit</t>
    </r>
  </si>
  <si>
    <r>
      <t xml:space="preserve">Case Lighting </t>
    </r>
    <r>
      <rPr>
        <b/>
        <i/>
        <sz val="14"/>
        <color theme="1"/>
        <rFont val="Arial"/>
        <family val="2"/>
      </rPr>
      <t>(Incentive available for customers in Idaho)</t>
    </r>
  </si>
  <si>
    <t>9.</t>
  </si>
  <si>
    <t>This incentive is only available to customers in Idaho.</t>
  </si>
  <si>
    <r>
      <t xml:space="preserve">Refrigeration Case Lighting </t>
    </r>
    <r>
      <rPr>
        <b/>
        <i/>
        <vertAlign val="superscript"/>
        <sz val="16"/>
        <color indexed="8"/>
        <rFont val="Arial"/>
        <family val="2"/>
      </rPr>
      <t>5, 7 &amp; 9</t>
    </r>
  </si>
  <si>
    <r>
      <t xml:space="preserve">$15 </t>
    </r>
    <r>
      <rPr>
        <b/>
        <i/>
        <vertAlign val="superscript"/>
        <sz val="15"/>
        <color rgb="FF000000"/>
        <rFont val="Arial"/>
        <family val="2"/>
      </rPr>
      <t>9</t>
    </r>
  </si>
  <si>
    <r>
      <t xml:space="preserve">$30 </t>
    </r>
    <r>
      <rPr>
        <b/>
        <i/>
        <vertAlign val="superscript"/>
        <sz val="15"/>
        <color rgb="FF000000"/>
        <rFont val="Arial"/>
        <family val="2"/>
      </rPr>
      <t>9</t>
    </r>
  </si>
  <si>
    <r>
      <t xml:space="preserve">$25 </t>
    </r>
    <r>
      <rPr>
        <b/>
        <i/>
        <vertAlign val="superscript"/>
        <sz val="15"/>
        <color rgb="FF000000"/>
        <rFont val="Arial"/>
        <family val="2"/>
      </rPr>
      <t>9</t>
    </r>
  </si>
  <si>
    <r>
      <t xml:space="preserve">     ENERGY STAR</t>
    </r>
    <r>
      <rPr>
        <b/>
        <vertAlign val="superscript"/>
        <sz val="12"/>
        <rFont val="Arial"/>
        <family val="2"/>
      </rPr>
      <t>®</t>
    </r>
    <r>
      <rPr>
        <b/>
        <sz val="12"/>
        <rFont val="Arial"/>
        <family val="2"/>
      </rPr>
      <t xml:space="preserve"> Lamps:</t>
    </r>
  </si>
  <si>
    <r>
      <t>Exit sign using &gt;=</t>
    </r>
    <r>
      <rPr>
        <sz val="15"/>
        <color indexed="8"/>
        <rFont val="Arial"/>
        <family val="2"/>
      </rPr>
      <t>18 watts</t>
    </r>
  </si>
  <si>
    <t>Existing using &gt;= input watts than proposed</t>
  </si>
  <si>
    <r>
      <t>Hardwired fixture &gt;=</t>
    </r>
    <r>
      <rPr>
        <sz val="15"/>
        <color indexed="8"/>
        <rFont val="Arial"/>
        <family val="2"/>
      </rPr>
      <t xml:space="preserve"> 300 input watts</t>
    </r>
  </si>
  <si>
    <t xml:space="preserve">Non-standard incentives are available for cost-effective lighting measures not listed above. The non-standard interior lighting incentive is $0.10/kWh saved and exterior lighting incentive is $0.08/kWh saved, up to 70% of measure cost. Non-Standard measures (lamps, fixtures, controls) must meet Program criteria as listed on the LEDs &amp; Controls tab within the Lighting Tool. Contact Idaho Power for additional information. </t>
  </si>
  <si>
    <t>Non-Standard:</t>
  </si>
  <si>
    <t xml:space="preserve">         - For non-refrigerated Case Lighting, reference other incentive levels and criteria
         - Must be listed in Refrigeration Case Lighting categories on QPL
         - TLEDs installed in Refrigerated Case Lighting are eligible for TLED incentives and 
           must meet program criteria</t>
  </si>
  <si>
    <t xml:space="preserve">      Product in this group consists of strips, tubes, channels, bar style components, or other configured arrangements of mounted LED modules
         - May utilize a basic lens or diffuser over the LED modules
         - Are hardwired and mount to an existing fixture housing
</t>
  </si>
  <si>
    <t>https://qpl.designlights.org/solid-state-lighting</t>
  </si>
  <si>
    <t>https://qpl.designlights.org/networked-lighting-controls</t>
  </si>
  <si>
    <t>https://qpl.designlights.org/horticulture</t>
  </si>
  <si>
    <t>F18T12HO</t>
  </si>
  <si>
    <t xml:space="preserve">L </t>
  </si>
  <si>
    <t xml:space="preserve">P </t>
  </si>
  <si>
    <t>Select the appropriate Qualified Product List dropdown, then enter the Proposed Product Manufacturer Name, Model Number and Input Watts.
For multiple wattage products please enter planned/installed input watts.</t>
  </si>
  <si>
    <t>Change</t>
  </si>
  <si>
    <t>2017 Alternate Cost tab - changed beginning year to 2022</t>
  </si>
  <si>
    <t>Include in Project Total</t>
  </si>
  <si>
    <t>Summary tab - C11 change from "Meas Code" to "Include in Project Total." Column not being used and new logic is needed.</t>
  </si>
  <si>
    <t>Summary tab - added new logic formula in C12:C311. Will be used to include in total savings only lines that are either approve Standard or Non-Standard</t>
  </si>
  <si>
    <t>Summary tab - added new logic formula in Prior Op Hours K12:K311. Will adjust hours if there are existing controls.</t>
  </si>
  <si>
    <t>Summary tab - added new formula to adjust Retro Op Hours based on control strategy.</t>
  </si>
  <si>
    <t>Summary tab - updated logic formula in C12:C311 for the non-standard Controls.</t>
  </si>
  <si>
    <t>Summary Tab - updated sumif logic in Q614.</t>
  </si>
  <si>
    <t>Summary Tab - updated sumif logic in R614.</t>
  </si>
  <si>
    <t>Summary tab - updated logic formula in R12:R311.</t>
  </si>
  <si>
    <t xml:space="preserve">Summary Tab - deleted formulas in row 612. </t>
  </si>
  <si>
    <t>Summary Tab - deleted formula in R613.</t>
  </si>
  <si>
    <t>Summary Tab - Updated formula in S614 to point to total project cost from Proposed Lighting tab.</t>
  </si>
  <si>
    <t>Summary Tab - Updated formula in S12:S311 for participant costs.</t>
  </si>
  <si>
    <r>
      <t>Proposed Lighting Tab</t>
    </r>
    <r>
      <rPr>
        <b/>
        <sz val="11"/>
        <color rgb="FFFF0000"/>
        <rFont val="Calibri"/>
        <family val="2"/>
        <scheme val="minor"/>
      </rPr>
      <t xml:space="preserve"> - </t>
    </r>
    <r>
      <rPr>
        <sz val="11"/>
        <color rgb="FFFF0000"/>
        <rFont val="Calibri"/>
        <family val="2"/>
        <scheme val="minor"/>
      </rPr>
      <t>Updated formula in AK329. Original formula double counted lighting controls costs.</t>
    </r>
  </si>
  <si>
    <t>Proposed Lighting Tab - Updated formula in AQ332. Original formula didn't account for the measures where the fixture is standard but the control is non-standard.</t>
  </si>
  <si>
    <t>2017 Alternate Cost tab renamed to 2019 DSM Alternate Costs.</t>
  </si>
  <si>
    <t>2019 DSM Alternate Costs - changed year reference in A8.</t>
  </si>
  <si>
    <t>2019 DSM Alternate Costs - changed discount rate, escalation, capacity cost, and energy from 2019-2038.</t>
  </si>
  <si>
    <t>Proposed Lighting Tab - Updated formula in AQ328.</t>
  </si>
  <si>
    <t>Proposed Lighting Tab - Updated formula in AQ329.</t>
  </si>
  <si>
    <t>Summary tab - added rounding formula and updated logic in Calculated energy Savings Q12:Q311.</t>
  </si>
  <si>
    <t xml:space="preserve">Summary tab - added new logic formula in C312:C611. </t>
  </si>
  <si>
    <t>Fixtures</t>
  </si>
  <si>
    <t>Summary tab - updated label in A614.</t>
  </si>
  <si>
    <t>Summary tab - updated Measure Description formula in E312:E611.</t>
  </si>
  <si>
    <t>Summary tab - updated lighting controls savings formula in Q312:Q611.</t>
  </si>
  <si>
    <t>Summary tab - updated lighting controls incentive formula in R312:R611.</t>
  </si>
  <si>
    <t>Summary tab - updated lighting controls participant formula in S312:S611.</t>
  </si>
  <si>
    <t>Summary tab - updated formula in Q612 to sumif control savings.</t>
  </si>
  <si>
    <t>Summary tab - updated formula in R612 to sumif control incentives</t>
  </si>
  <si>
    <t>Summary tab - updated formula in V612 to sumif control bill savings</t>
  </si>
  <si>
    <t>Summary tab - updated formula in W612 to sumif avoided costs</t>
  </si>
  <si>
    <t>Summary tab - updated formula in X612 to sumif avoided costs with adder</t>
  </si>
  <si>
    <t>Summary tab - updated formula in AB612 to sumif NPV NEBs</t>
  </si>
  <si>
    <t>Summary tab - updated formula in AB614.</t>
  </si>
  <si>
    <t>Summary tab - updated controls and fixture sum formula in Q616:S616 and V616:Y616</t>
  </si>
  <si>
    <t>Summary tab - updated check logic in Q618:S16 to just show the difference in value from the Project Summary tab.</t>
  </si>
  <si>
    <t>Summary tab - updated sum logic in AG612:AP612</t>
  </si>
  <si>
    <t>Summary tab - updated sum logic in AG614:AP614</t>
  </si>
  <si>
    <t>Summary tab - updated sum logic in AG616:AP616</t>
  </si>
  <si>
    <t>Summary tab - updated check logic in AG618:AI16 to just show the difference in value from the Project Summary tab.</t>
  </si>
  <si>
    <t>2019 Alternate Costs tab - loadshape ac with a formula in BC11:CU16</t>
  </si>
  <si>
    <t>Name Manager - updated Cum_Disc_AltCosts_2017 to Cum_Disc_AltCosts</t>
  </si>
  <si>
    <t>Proposed Lighting AJ328-331 project analysis in white font</t>
  </si>
  <si>
    <t>Email lighting tool, signed application and accompanying documentation to: lighting@idahopower.com</t>
  </si>
  <si>
    <t xml:space="preserve">Authorized Company Representative Name (Print Name) </t>
  </si>
  <si>
    <t>Authorized Representative Signature</t>
  </si>
  <si>
    <r>
      <t xml:space="preserve">Product in this group consists of Type A, Type B, DM &amp; Type C TLEDs
</t>
    </r>
    <r>
      <rPr>
        <sz val="14"/>
        <color theme="1"/>
        <rFont val="Calibri"/>
        <family val="2"/>
      </rPr>
      <t xml:space="preserve">         -</t>
    </r>
    <r>
      <rPr>
        <sz val="14"/>
        <color theme="1"/>
        <rFont val="Arial"/>
        <family val="2"/>
      </rPr>
      <t xml:space="preserve">Type A-Installed with an existing compatible electronic ballast. No electrical contractor is required.
       </t>
    </r>
    <r>
      <rPr>
        <sz val="14"/>
        <color theme="1"/>
        <rFont val="Calibri"/>
        <family val="2"/>
      </rPr>
      <t>-</t>
    </r>
    <r>
      <rPr>
        <sz val="14"/>
        <color theme="1"/>
        <rFont val="Arial"/>
        <family val="2"/>
      </rPr>
      <t xml:space="preserve">Type B-Fluorescent ballast must be removed and line voltage is rewired to existing lamp holders. Licensed 
         electrical contractor required. 
</t>
    </r>
    <r>
      <rPr>
        <sz val="14"/>
        <color theme="1"/>
        <rFont val="Calibri"/>
        <family val="2"/>
      </rPr>
      <t xml:space="preserve">         -</t>
    </r>
    <r>
      <rPr>
        <sz val="14"/>
        <color theme="1"/>
        <rFont val="Arial"/>
        <family val="2"/>
      </rPr>
      <t xml:space="preserve">Type C-Fluorescent ballast is removed and replaced with LED driver and rewired to LED lamps. Licensed electrical 
        contractor required.
       </t>
    </r>
    <r>
      <rPr>
        <sz val="14"/>
        <color theme="1"/>
        <rFont val="Calibri"/>
        <family val="2"/>
        <scheme val="minor"/>
      </rPr>
      <t>-</t>
    </r>
    <r>
      <rPr>
        <sz val="14"/>
        <color theme="1"/>
        <rFont val="Arial"/>
        <family val="2"/>
      </rPr>
      <t xml:space="preserve">Type DM (Dual Mode)-Can be installed as a Type A or a Type B. Installation as a Type B requires a licensed electrical 
        contractor.
</t>
    </r>
  </si>
  <si>
    <t>Passive infrared, ultrasonic, microwave and microphonic sensors are eligible.  Controls on T12,</t>
  </si>
  <si>
    <t>incandescent/halogen do not qualify for incentive.</t>
  </si>
  <si>
    <t>Summary tab - updated lighting controls yes/no logic. C312:C611.</t>
  </si>
  <si>
    <t>Summary tab - NEB 3% of participant cost logic. Only if existing measure is NOT a LED and new measure IS a LED. Z12:S311.</t>
  </si>
  <si>
    <t>Summary tab - final incentive minimum of project cost or sum of incentives. R616.</t>
  </si>
  <si>
    <t>Summary tab - updated lighting controls participant cost. S312:S611.</t>
  </si>
  <si>
    <t>Summary tab - updated fixture participant cost. S12:S311.</t>
  </si>
  <si>
    <t>Proposed Lighting - AQ32:AQ330, AQ 332</t>
  </si>
  <si>
    <t>Total # of units - Non Std Ctrls</t>
  </si>
  <si>
    <t>Proposed Lighting Tab - Removed partial formula from column BV that made Other to Single, Multiple &amp; Networked Controls non-standard IF(AND(R9=1,CT9&gt;0.5,BY9+BZ9+CA9&gt;0.1)</t>
  </si>
  <si>
    <t>Proposed Lighting Tab - Added to existing formula in column CF for non-matching: IF(F9="**Fluorescent**",1,IF(F9="**HID**",1,IF(F9="**OTHER**",1,IF(F9="**SIGN LIGHTING**",1,IF(F9="**REFRIGERATION CASE LIGHTING**",1</t>
  </si>
  <si>
    <t xml:space="preserve">Required for projects with incentive $2,000 and greater </t>
  </si>
  <si>
    <t>Customer Name:</t>
  </si>
  <si>
    <t>Proposed Control kWh Savings</t>
  </si>
  <si>
    <t>Level 1 Basic Retrofit Kit</t>
  </si>
  <si>
    <t>2ft LED tube Type A,B,DM (enter # of lamps in Qty)</t>
  </si>
  <si>
    <t>3ft LED tube Type A,B,DM (enter # of lamps in Qty)</t>
  </si>
  <si>
    <t>4ft LED tube Type A,B,DM (enter # of lamps in Qty)</t>
  </si>
  <si>
    <t>5ft LED tube Type A,B,DM (enter # of lamps in Qty)</t>
  </si>
  <si>
    <t>6ft LED tube Type A,B,DM (enter # of lamps in Qty)</t>
  </si>
  <si>
    <t>8ft LED tube Type A,B,DM (enter # of lamps in Qty)</t>
  </si>
  <si>
    <t>Type C linear replacement lamp</t>
  </si>
  <si>
    <t>Pin-base LED</t>
  </si>
  <si>
    <t>HID to LED screw-in replacement lamp</t>
  </si>
  <si>
    <t>LED sign lighting retrofit</t>
  </si>
  <si>
    <t>Exit sign (LED &lt; 5 watt)</t>
  </si>
  <si>
    <t xml:space="preserve">Refrigeration case #2 T12 to LED </t>
  </si>
  <si>
    <t>Refrigeration case #3 T8 to LED</t>
  </si>
  <si>
    <t>Lighting controls only</t>
  </si>
  <si>
    <t>Non-standard (provide description)</t>
  </si>
  <si>
    <t>Level 2 Integrated Retrofit Kit</t>
  </si>
  <si>
    <t>Wall Switch</t>
  </si>
  <si>
    <t>Ceiling Mount</t>
  </si>
  <si>
    <t>Fixture Mount (on existing equip)</t>
  </si>
  <si>
    <t>Daylight harvesting (on existing equip)</t>
  </si>
  <si>
    <t>Note: Lighting projects must be installed by a licensed electrical contractor (contractor must be properly licensed in the state where work is being performed). The exception to this requirement is if installing pin-based LEDs or UL Type A TLEDs.</t>
  </si>
  <si>
    <t>Pin-base LEDs</t>
  </si>
  <si>
    <t>LED Level 2 Integrated Retrofit Kit</t>
  </si>
  <si>
    <t>LED Level 1 Basic Retrofit Kit</t>
  </si>
  <si>
    <r>
      <t xml:space="preserve">Product in this group include LED replacement lamps with a pin style base. 
         </t>
    </r>
    <r>
      <rPr>
        <sz val="14"/>
        <color theme="1"/>
        <rFont val="Calibri"/>
        <family val="2"/>
      </rPr>
      <t xml:space="preserve">- </t>
    </r>
    <r>
      <rPr>
        <sz val="14"/>
        <color theme="1"/>
        <rFont val="Arial"/>
        <family val="2"/>
      </rPr>
      <t xml:space="preserve">Examples are MR16s, A-19s, GU10s and candelabra base.   </t>
    </r>
  </si>
  <si>
    <r>
      <rPr>
        <b/>
        <sz val="14"/>
        <color rgb="FF000000"/>
        <rFont val="Arial"/>
        <family val="2"/>
      </rPr>
      <t>LED Level 2 Integrated Retrofit Kit</t>
    </r>
    <r>
      <rPr>
        <sz val="14"/>
        <color rgb="FF000000"/>
        <rFont val="Arial"/>
        <family val="2"/>
      </rPr>
      <t xml:space="preserve">                                                                                                                                 </t>
    </r>
  </si>
  <si>
    <r>
      <rPr>
        <b/>
        <sz val="14"/>
        <color rgb="FF000000"/>
        <rFont val="Arial"/>
        <family val="2"/>
      </rPr>
      <t>LED Level 1 Basic Retrofit Kit</t>
    </r>
    <r>
      <rPr>
        <sz val="14"/>
        <color rgb="FF000000"/>
        <rFont val="Arial"/>
        <family val="2"/>
      </rPr>
      <t xml:space="preserve">                                                                                                                 </t>
    </r>
  </si>
  <si>
    <r>
      <t>Manual or no prior control &gt;=</t>
    </r>
    <r>
      <rPr>
        <sz val="15"/>
        <color indexed="8"/>
        <rFont val="Arial"/>
        <family val="2"/>
      </rPr>
      <t xml:space="preserve"> 25 input watts</t>
    </r>
  </si>
  <si>
    <t>A:</t>
  </si>
  <si>
    <t>Mailing Address (to send the incentive check)</t>
  </si>
  <si>
    <t>Pin Base</t>
  </si>
  <si>
    <t>HID TO LED Screw in</t>
  </si>
  <si>
    <t>LED Type C $$ &amp; Level 1</t>
  </si>
  <si>
    <t>Level 1 or New LED Fixture w/networked or LLLC controls $$</t>
  </si>
  <si>
    <t>NLC (Networked Lighting Controls)</t>
  </si>
  <si>
    <t>Multiple controls (on existing equip)</t>
  </si>
  <si>
    <t>Non-Standard Control</t>
  </si>
  <si>
    <t>Lookup menu for exterior controls % savings</t>
  </si>
  <si>
    <t>B:</t>
  </si>
  <si>
    <t>C:</t>
  </si>
  <si>
    <t>D:</t>
  </si>
  <si>
    <t>E:</t>
  </si>
  <si>
    <t>F:</t>
  </si>
  <si>
    <t>G:</t>
  </si>
  <si>
    <t>H:</t>
  </si>
  <si>
    <t>I:</t>
  </si>
  <si>
    <t>J:</t>
  </si>
  <si>
    <t>K:</t>
  </si>
  <si>
    <t>L:</t>
  </si>
  <si>
    <t>M:</t>
  </si>
  <si>
    <t>N:</t>
  </si>
  <si>
    <t>O:</t>
  </si>
  <si>
    <t>P:</t>
  </si>
  <si>
    <t>Q:</t>
  </si>
  <si>
    <t>R:</t>
  </si>
  <si>
    <t>S:</t>
  </si>
  <si>
    <t>T:</t>
  </si>
  <si>
    <t>U:</t>
  </si>
  <si>
    <t>V:</t>
  </si>
  <si>
    <t>W:</t>
  </si>
  <si>
    <t>X:</t>
  </si>
  <si>
    <t>Y:</t>
  </si>
  <si>
    <t>Z:</t>
  </si>
  <si>
    <t>Lookup Menu for Control Savings</t>
  </si>
  <si>
    <t>Interior %</t>
  </si>
  <si>
    <t>New Index for NLC/LLLC</t>
  </si>
  <si>
    <t>$1.50/foot</t>
  </si>
  <si>
    <t>$0.22/kWh saved</t>
  </si>
  <si>
    <t xml:space="preserve">New LED Fixture or LED Level 2 Integrated Retrofit Kit with Single Control Strategy                                                                                                                                                                  </t>
  </si>
  <si>
    <t xml:space="preserve">New LED Fixture or LED Level 2 Integrated Retrofit Kit with Multiple Control Strategies                                                                                                                                                                                  </t>
  </si>
  <si>
    <t>LED Level 1 Basic Retrofit Kit with Single Control Strategy</t>
  </si>
  <si>
    <r>
      <t>LED Level 1 Basic Retrofit Kit with Multiple Control Strategies</t>
    </r>
    <r>
      <rPr>
        <b/>
        <i/>
        <vertAlign val="superscript"/>
        <sz val="15"/>
        <color rgb="FF000000"/>
        <rFont val="Arial"/>
        <family val="2"/>
      </rPr>
      <t xml:space="preserve">  </t>
    </r>
    <r>
      <rPr>
        <sz val="15"/>
        <color rgb="FF000000"/>
        <rFont val="Arial"/>
        <family val="2"/>
      </rPr>
      <t xml:space="preserve">                                                                                                                                                                                </t>
    </r>
  </si>
  <si>
    <t>$0.25/kWh saved</t>
  </si>
  <si>
    <t>$0.27/kWh saved</t>
  </si>
  <si>
    <t>$0.29/kWh saved</t>
  </si>
  <si>
    <t>New LED Fixture or LED Level 2 Integrated Retrofit Kit with LLLC</t>
  </si>
  <si>
    <t>$0.31/kWh saved</t>
  </si>
  <si>
    <t>$0.17/kWh saved</t>
  </si>
  <si>
    <t>LED Level 1 Basic Retrofit Kit with LLLC</t>
  </si>
  <si>
    <t>$0.23/kWh saved</t>
  </si>
  <si>
    <t>Licensed electrical contractor required (except for pin-based LEDs and UL Type A TLED).</t>
  </si>
  <si>
    <t xml:space="preserve">New LED Fixture or LED Level 2 Integrated Retrofit Kit                                                                                                                                                                                 </t>
  </si>
  <si>
    <t>New LED Fixture or LED Level 2 Integrated Retrofit Kit with Networked Lighting Controls (not LLLC)</t>
  </si>
  <si>
    <t xml:space="preserve"> *&gt;=75 input watts required for exterior applications</t>
  </si>
  <si>
    <t>Sign Lighting incentive available only for internally illuminated signage. For external illumination such as floodlights, reference other incentive levels and criteria.</t>
  </si>
  <si>
    <t>Retrofits must save energy in order to qualify for incentives.</t>
  </si>
  <si>
    <t>LED Level 1 Basic Retrofit Kit with Networked Lighting Controls (not LLLC)</t>
  </si>
  <si>
    <r>
      <rPr>
        <b/>
        <sz val="11"/>
        <color rgb="FF000000"/>
        <rFont val="Arial"/>
        <family val="2"/>
      </rPr>
      <t>Incentive</t>
    </r>
    <r>
      <rPr>
        <sz val="11"/>
        <color rgb="FF000000"/>
        <rFont val="Arial"/>
        <family val="2"/>
      </rPr>
      <t xml:space="preserve">
$0.20/kWh saved</t>
    </r>
  </si>
  <si>
    <t xml:space="preserve"> Incentive</t>
  </si>
  <si>
    <t>Entire working fixture must be removed, including housing and socket.  Necessary repairs due to
removal must be completed.</t>
  </si>
  <si>
    <r>
      <t xml:space="preserve">LED - Multiple Control Strategies Sensor 
</t>
    </r>
    <r>
      <rPr>
        <i/>
        <sz val="14"/>
        <color rgb="FF000000"/>
        <rFont val="Arial"/>
        <family val="2"/>
      </rPr>
      <t xml:space="preserve">(Interior not available in Oregon)      </t>
    </r>
    <r>
      <rPr>
        <sz val="15"/>
        <color rgb="FF000000"/>
        <rFont val="Arial"/>
        <family val="2"/>
      </rPr>
      <t xml:space="preserve">                                                                           </t>
    </r>
  </si>
  <si>
    <t>Idaho Power offers cash incentives for lighting equipment upgrades for business customers.  Incentives are paid when the project is complete. Projects applying for Networked Lighting Controls, LLLC Controls, Non-Standard Controls and projects with incentives of $2,000 or higher must receive pre-approval before installing equipment.</t>
  </si>
  <si>
    <t>AA:</t>
  </si>
  <si>
    <t>BB:</t>
  </si>
  <si>
    <t>CC:</t>
  </si>
  <si>
    <t>DD:</t>
  </si>
  <si>
    <t>EE:</t>
  </si>
  <si>
    <t>FF:</t>
  </si>
  <si>
    <t>GG:</t>
  </si>
  <si>
    <t>HH:</t>
  </si>
  <si>
    <t>II:</t>
  </si>
  <si>
    <t>JJ:</t>
  </si>
  <si>
    <t>KK:</t>
  </si>
  <si>
    <t>LL:</t>
  </si>
  <si>
    <t>MM:</t>
  </si>
  <si>
    <t>NN:</t>
  </si>
  <si>
    <t>OO:</t>
  </si>
  <si>
    <t>PP:</t>
  </si>
  <si>
    <t>QQ:</t>
  </si>
  <si>
    <t>RR:</t>
  </si>
  <si>
    <t>SS:</t>
  </si>
  <si>
    <t>TT:</t>
  </si>
  <si>
    <t>UU:</t>
  </si>
  <si>
    <t>VV:</t>
  </si>
  <si>
    <t>WW:</t>
  </si>
  <si>
    <t>XX:</t>
  </si>
  <si>
    <t>YY:</t>
  </si>
  <si>
    <t>ZZ:</t>
  </si>
  <si>
    <t>No Controls</t>
  </si>
  <si>
    <t>Daylight harvesting sensor</t>
  </si>
  <si>
    <t>$1.50/foot
$0.10/kWh saved</t>
  </si>
  <si>
    <t xml:space="preserve">Luminaire Level Lighting Controls (LLLC) </t>
  </si>
  <si>
    <r>
      <t xml:space="preserve">$25* </t>
    </r>
    <r>
      <rPr>
        <b/>
        <i/>
        <vertAlign val="superscript"/>
        <sz val="15"/>
        <color rgb="FF000000"/>
        <rFont val="Arial"/>
        <family val="2"/>
      </rPr>
      <t>9</t>
    </r>
  </si>
  <si>
    <t>$35*</t>
  </si>
  <si>
    <t>Reference the LEDs &amp; Controls tabs on the Lighting Tool for additional information and criteria.</t>
  </si>
  <si>
    <t>Reference the LEDs &amp; Controls tabs on Lighting Tool for additional eligibility criteria</t>
  </si>
  <si>
    <t>Column1</t>
  </si>
  <si>
    <t>Column2</t>
  </si>
  <si>
    <t>Column3</t>
  </si>
  <si>
    <t>Exit</t>
  </si>
  <si>
    <r>
      <rPr>
        <sz val="14"/>
        <color rgb="FF000000"/>
        <rFont val="Arial"/>
        <family val="2"/>
      </rPr>
      <t xml:space="preserve">        </t>
    </r>
    <r>
      <rPr>
        <sz val="14"/>
        <color rgb="FF000000"/>
        <rFont val="Calibri"/>
        <family val="2"/>
      </rPr>
      <t xml:space="preserve">- </t>
    </r>
    <r>
      <rPr>
        <sz val="14"/>
        <color rgb="FF000000"/>
        <rFont val="Arial"/>
        <family val="2"/>
      </rPr>
      <t xml:space="preserve">New complete LED fixture
</t>
    </r>
  </si>
  <si>
    <t xml:space="preserve"> LED product must be ENERGY STAR® or DesignLights Consortium (DLC) listed to be eligible for an incentive</t>
  </si>
  <si>
    <t xml:space="preserve">Lighting Controls Definitions and Criteria </t>
  </si>
  <si>
    <t xml:space="preserve">LED Fixture/Lamp Definitions and Criteria </t>
  </si>
  <si>
    <t xml:space="preserve"> The information on the LEDs tab applies to Standard and Non-Standard measures</t>
  </si>
  <si>
    <t>LLLC</t>
  </si>
  <si>
    <t>Non-S</t>
  </si>
  <si>
    <t>Control kWh Savings:</t>
  </si>
  <si>
    <t>Project Name*</t>
  </si>
  <si>
    <t>Company Name (to be listed on the check)</t>
  </si>
  <si>
    <t>Networked Controls Check</t>
  </si>
  <si>
    <t>Lookup menu for controls (Idaho)</t>
  </si>
  <si>
    <t>Lookup menu for controls (Oregon)</t>
  </si>
  <si>
    <t>LLLC Controls Check</t>
  </si>
  <si>
    <t>New Colums for Controls Savings</t>
  </si>
  <si>
    <t>New "on existing equip" check</t>
  </si>
  <si>
    <t>Lookup Table for Interior Incentives (Idaho)</t>
  </si>
  <si>
    <t>Proposed Fixture kWh Savings</t>
  </si>
  <si>
    <t>If a product is listed in multiple DLC categories, it will be qualified by how the product is installed</t>
  </si>
  <si>
    <t>or projects using networked lighting controls or LLLC.</t>
  </si>
  <si>
    <r>
      <t xml:space="preserve">9/5/2023 </t>
    </r>
    <r>
      <rPr>
        <sz val="9"/>
        <color theme="0"/>
        <rFont val="Arial"/>
        <family val="2"/>
      </rPr>
      <t>1</t>
    </r>
  </si>
  <si>
    <r>
      <t xml:space="preserve">9/5/2023 </t>
    </r>
    <r>
      <rPr>
        <sz val="11"/>
        <color rgb="FFCCFFFF"/>
        <rFont val="Arial"/>
        <family val="2"/>
      </rPr>
      <t>.</t>
    </r>
  </si>
  <si>
    <r>
      <t xml:space="preserve">9/5/2023 </t>
    </r>
    <r>
      <rPr>
        <sz val="11"/>
        <color theme="0"/>
        <rFont val="Arial"/>
        <family val="2"/>
      </rPr>
      <t>.</t>
    </r>
  </si>
  <si>
    <t xml:space="preserve"> Note: Maintenance savings are not reflected in these estimates</t>
  </si>
  <si>
    <t xml:space="preserve">          kWh Savings &amp; Incentives</t>
  </si>
  <si>
    <t>Single controls check</t>
  </si>
  <si>
    <t>Occupancy Sensor &amp; Daylight Sensor</t>
  </si>
  <si>
    <t>Occupancy Sensor &amp; High End Trim</t>
  </si>
  <si>
    <t>Occupancy Sensor &amp; Advance Scheduling</t>
  </si>
  <si>
    <t>Daylight Sensor &amp; Advance Scheduling</t>
  </si>
  <si>
    <t>· Projects with NLC must be pre-approved by Idaho Power prior to project start.</t>
  </si>
  <si>
    <t>· NLC control systems must be installed with a new LED Fixture, Level 1 Basic Retrofit Kit or Level 2 Integrated Retrofit Kit.</t>
  </si>
  <si>
    <r>
      <t>· Each fixture</t>
    </r>
    <r>
      <rPr>
        <sz val="14"/>
        <color theme="1"/>
        <rFont val="Arial"/>
        <family val="2"/>
      </rPr>
      <t xml:space="preserve"> must utilize a minimum of two control strategies.</t>
    </r>
  </si>
  <si>
    <t>· One of the two strategies must be a sensor-based strategy.</t>
  </si>
  <si>
    <t>· Projects with LLLC must be pre-approved by Idaho Power prior to project start.</t>
  </si>
  <si>
    <r>
      <t>· One example of this:</t>
    </r>
    <r>
      <rPr>
        <sz val="14"/>
        <color theme="1"/>
        <rFont val="Arial"/>
        <family val="2"/>
      </rPr>
      <t xml:space="preserve">  </t>
    </r>
    <r>
      <rPr>
        <i/>
        <sz val="14"/>
        <color theme="1"/>
        <rFont val="Arial"/>
        <family val="2"/>
      </rPr>
      <t xml:space="preserve">Each high bay fixture in a large space with many skylights has an individual control that is programmed for daylight </t>
    </r>
  </si>
  <si>
    <t xml:space="preserve">Lighting Controls Criteria </t>
  </si>
  <si>
    <t xml:space="preserve">  Single Control Strategy Applications:</t>
  </si>
  <si>
    <t>NLC and LLLC must be pre-inspected and pre-approved by Idaho Power prior to project start.</t>
  </si>
  <si>
    <t>Idaho Power reserves the right to determine controls eligibility on any project.</t>
  </si>
  <si>
    <t>NLC and LLLC control strategies must be demonstrated at post inspection to be eligible for an incentive.</t>
  </si>
  <si>
    <t>For lighting controls such as wall switch sensors, ceiling sensors and the like, refer to the standard incentives tab.</t>
  </si>
  <si>
    <r>
      <t xml:space="preserve">· Each </t>
    </r>
    <r>
      <rPr>
        <b/>
        <sz val="14"/>
        <rFont val="Arial"/>
        <family val="2"/>
      </rPr>
      <t>fixture</t>
    </r>
    <r>
      <rPr>
        <sz val="14"/>
        <rFont val="Arial"/>
        <family val="2"/>
      </rPr>
      <t xml:space="preserve"> utilizes one control strategy.</t>
    </r>
  </si>
  <si>
    <t>· Control must be installed at the fixture level.</t>
  </si>
  <si>
    <t>· LED Driver must be individually controlled such as 0-10V.</t>
  </si>
  <si>
    <t>· After market controls installed are not eligible under this category.</t>
  </si>
  <si>
    <t>· One of the two strategies must be a sensor-based strategy.</t>
  </si>
  <si>
    <t>Occupancy Sensor (Motion) &amp; Advanced Scheduling</t>
  </si>
  <si>
    <t>Occupancy (Motion) Sensor</t>
  </si>
  <si>
    <t>networked means.</t>
  </si>
  <si>
    <t xml:space="preserve">of natural daylight and/or ambient light that is present in a space or area. A daylight sensor can be installed in each fixture individually or one </t>
  </si>
  <si>
    <t>daylight sensor can be installed standalone to control a group of fixtures.</t>
  </si>
  <si>
    <t xml:space="preserve">automatically reducing the light output of the connected fixtures (aka: dim it down) to accommodate whatever light level has been set for the area.   </t>
  </si>
  <si>
    <r>
      <rPr>
        <b/>
        <sz val="14"/>
        <color theme="1"/>
        <rFont val="Arial"/>
        <family val="2"/>
      </rPr>
      <t>One example of this:</t>
    </r>
    <r>
      <rPr>
        <sz val="14"/>
        <color theme="1"/>
        <rFont val="Arial"/>
        <family val="2"/>
      </rPr>
      <t xml:space="preserve"> </t>
    </r>
    <r>
      <rPr>
        <i/>
        <sz val="14"/>
        <color theme="1"/>
        <rFont val="Arial"/>
        <family val="2"/>
      </rPr>
      <t xml:space="preserve">A retail store pre- schedules all sales floor fixtures to automatically dim down 50% when the store is closing to customers. </t>
    </r>
  </si>
  <si>
    <t>luminaires at the time of installation or commissioning. Projects incorporating high-end trim less than 20% need Idaho Power’s review and approval.</t>
  </si>
  <si>
    <t xml:space="preserve">since the excess light levels aren’t currently needed in the space.    </t>
  </si>
  <si>
    <t xml:space="preserve">luminaire or kit, and directly integrated or embedded into the form factor during the luminaire or kit manufacturing process.  With LLLC </t>
  </si>
  <si>
    <r>
      <rPr>
        <b/>
        <sz val="14"/>
        <color theme="1"/>
        <rFont val="Arial"/>
        <family val="2"/>
      </rPr>
      <t>One example of this:</t>
    </r>
    <r>
      <rPr>
        <sz val="14"/>
        <color theme="1"/>
        <rFont val="Arial"/>
        <family val="2"/>
      </rPr>
      <t xml:space="preserve">  </t>
    </r>
    <r>
      <rPr>
        <i/>
        <sz val="14"/>
        <color theme="1"/>
        <rFont val="Arial"/>
        <family val="2"/>
      </rPr>
      <t xml:space="preserve">A large manufacturing facility reduces 20% light output (aka: trimming off the top) in all high bay fixtures upon installation </t>
    </r>
  </si>
  <si>
    <r>
      <rPr>
        <b/>
        <sz val="14"/>
        <color theme="1"/>
        <rFont val="Arial"/>
        <family val="2"/>
      </rPr>
      <t>One example of this:</t>
    </r>
    <r>
      <rPr>
        <sz val="14"/>
        <color theme="1"/>
        <rFont val="Arial"/>
        <family val="2"/>
      </rPr>
      <t xml:space="preserve">  </t>
    </r>
    <r>
      <rPr>
        <i/>
        <sz val="14"/>
        <color theme="1"/>
        <rFont val="Arial"/>
        <family val="2"/>
      </rPr>
      <t xml:space="preserve">A school classroom with large windows installs troffers with LLLC.  Each fixture is individually addressable.  All fixtures </t>
    </r>
  </si>
  <si>
    <t xml:space="preserve">are individually programmed for occupancy sensing. The fixtures near the windows are also individually programmed for daylight sensing and </t>
  </si>
  <si>
    <t xml:space="preserve">set for a required light level in the space. </t>
  </si>
  <si>
    <t>effect lighting changes in luminaires, retrofit kits, or lamps.  An NLC system configuration is typically one sensor controlling many luminaires.</t>
  </si>
  <si>
    <t>absence of people in a space or exterior environment.</t>
  </si>
  <si>
    <t>· Eligible control must be Occupancy Sensor or Daylight Harvesting Sensor.</t>
  </si>
  <si>
    <t xml:space="preserve">Occupancy Sensor </t>
  </si>
  <si>
    <t xml:space="preserve">Daylight Sensor </t>
  </si>
  <si>
    <r>
      <t xml:space="preserve">· 	LLLC Fixtures must be </t>
    </r>
    <r>
      <rPr>
        <b/>
        <sz val="14"/>
        <color theme="1"/>
        <rFont val="Arial"/>
        <family val="2"/>
      </rPr>
      <t>individually addressable</t>
    </r>
    <r>
      <rPr>
        <sz val="14"/>
        <color theme="1"/>
        <rFont val="Arial"/>
        <family val="2"/>
      </rPr>
      <t xml:space="preserve"> and utilize at least two control strategies.</t>
    </r>
  </si>
  <si>
    <r>
      <rPr>
        <b/>
        <u/>
        <sz val="14"/>
        <color theme="1"/>
        <rFont val="Arial"/>
        <family val="2"/>
      </rPr>
      <t>Advanced Scheduling:</t>
    </r>
    <r>
      <rPr>
        <sz val="14"/>
        <color theme="1"/>
        <rFont val="Arial"/>
        <family val="2"/>
      </rPr>
      <t xml:space="preserve"> The capability to automatically affect the operation of lighting equipment based on time of day to achieve energy savings via</t>
    </r>
  </si>
  <si>
    <r>
      <rPr>
        <b/>
        <u/>
        <sz val="14"/>
        <color theme="1"/>
        <rFont val="Arial"/>
        <family val="2"/>
      </rPr>
      <t>Daylight Harvesting (aka: daylight sensing):</t>
    </r>
    <r>
      <rPr>
        <sz val="14"/>
        <color theme="1"/>
        <rFont val="Arial"/>
        <family val="2"/>
      </rPr>
      <t xml:space="preserve"> The capability to automatically affect the operation of lighting equipment based on the amount </t>
    </r>
  </si>
  <si>
    <r>
      <rPr>
        <b/>
        <u/>
        <sz val="14"/>
        <color theme="1"/>
        <rFont val="Arial"/>
        <family val="2"/>
      </rPr>
      <t>LLLC (Luminaire Level Lighting Controls):</t>
    </r>
    <r>
      <rPr>
        <b/>
        <sz val="14"/>
        <color theme="1"/>
        <rFont val="Arial"/>
        <family val="2"/>
      </rPr>
      <t xml:space="preserve"> </t>
    </r>
    <r>
      <rPr>
        <sz val="14"/>
        <color theme="1"/>
        <rFont val="Arial"/>
        <family val="2"/>
      </rPr>
      <t>The capability to have a networked occupancy sensor and daylight harvesting sensor installed for each</t>
    </r>
  </si>
  <si>
    <r>
      <rPr>
        <b/>
        <u/>
        <sz val="14"/>
        <color theme="1"/>
        <rFont val="Arial"/>
        <family val="2"/>
      </rPr>
      <t>NLC (Networked Lighting Controls):</t>
    </r>
    <r>
      <rPr>
        <b/>
        <sz val="14"/>
        <color theme="1"/>
        <rFont val="Arial"/>
        <family val="2"/>
      </rPr>
      <t xml:space="preserve"> </t>
    </r>
    <r>
      <rPr>
        <sz val="14"/>
        <color theme="1"/>
        <rFont val="Arial"/>
        <family val="2"/>
      </rPr>
      <t>NLC systems are lighting systems with a combination of sensors, networking interfaces, and controllers that</t>
    </r>
  </si>
  <si>
    <r>
      <rPr>
        <b/>
        <u/>
        <sz val="14"/>
        <color theme="1"/>
        <rFont val="Arial"/>
        <family val="2"/>
      </rPr>
      <t>Occupancy Sensing (aka: motion sensing):</t>
    </r>
    <r>
      <rPr>
        <b/>
        <sz val="14"/>
        <color theme="1"/>
        <rFont val="Arial"/>
        <family val="2"/>
      </rPr>
      <t xml:space="preserve"> </t>
    </r>
    <r>
      <rPr>
        <sz val="14"/>
        <color theme="1"/>
        <rFont val="Arial"/>
        <family val="2"/>
      </rPr>
      <t>The capability to affect the operation of lighting equipment based upon detecting the presence or</t>
    </r>
  </si>
  <si>
    <r>
      <rPr>
        <b/>
        <u/>
        <sz val="14"/>
        <color theme="1"/>
        <rFont val="Arial"/>
        <family val="2"/>
      </rPr>
      <t>High End Trim (aka:trimming off the top):</t>
    </r>
    <r>
      <rPr>
        <sz val="14"/>
        <color theme="1"/>
        <rFont val="Arial"/>
        <family val="2"/>
      </rPr>
      <t xml:space="preserve"> The capability to set the maximum light output to a less-than-maximum state of an individual or group of </t>
    </r>
  </si>
  <si>
    <t>· LLLC control systems can only be installed with a new LED Fixture, Level 1 Basic Retrofit Kit or Level 2 Integrated Retrofit Kit.</t>
  </si>
  <si>
    <r>
      <t xml:space="preserve">· NLC controls must be on the </t>
    </r>
    <r>
      <rPr>
        <b/>
        <sz val="14"/>
        <color theme="1"/>
        <rFont val="Arial"/>
        <family val="2"/>
      </rPr>
      <t>DLC - NLC Qualified Products List.</t>
    </r>
  </si>
  <si>
    <r>
      <t>· One example of this:</t>
    </r>
    <r>
      <rPr>
        <sz val="14"/>
        <color theme="1"/>
        <rFont val="Arial"/>
        <family val="2"/>
      </rPr>
      <t xml:space="preserve">  </t>
    </r>
    <r>
      <rPr>
        <i/>
        <sz val="14"/>
        <color theme="1"/>
        <rFont val="Arial"/>
        <family val="2"/>
      </rPr>
      <t>A group of fixtures that are controlled by one sensor to detect occupancy.  System is managed</t>
    </r>
  </si>
  <si>
    <t xml:space="preserve"> by a handheld remote and will also be dimmed, trimmed, and scheduled through various zones.</t>
  </si>
  <si>
    <t>harvesting and occupancy sensing.  The control mechanism may be via phone and addresses/changes each fixture individually.</t>
  </si>
  <si>
    <r>
      <rPr>
        <b/>
        <sz val="14"/>
        <color theme="1"/>
        <rFont val="Arial"/>
        <family val="2"/>
      </rPr>
      <t>One example of this:</t>
    </r>
    <r>
      <rPr>
        <sz val="14"/>
        <color theme="1"/>
        <rFont val="Arial"/>
        <family val="2"/>
      </rPr>
      <t xml:space="preserve">  </t>
    </r>
    <r>
      <rPr>
        <i/>
        <sz val="14"/>
        <color theme="1"/>
        <rFont val="Arial"/>
        <family val="2"/>
      </rPr>
      <t xml:space="preserve">An office with skylights and windows installs a daylight sensor that detects enough natural light in the space, therefore </t>
    </r>
  </si>
  <si>
    <t>fixtures, each luminaire is its own control zone, and can include strategies such as high-end trim and advanced scheduling to maximize energy savings.</t>
  </si>
  <si>
    <r>
      <rPr>
        <b/>
        <sz val="14"/>
        <color theme="1"/>
        <rFont val="Arial"/>
        <family val="2"/>
      </rPr>
      <t>One example of this:</t>
    </r>
    <r>
      <rPr>
        <sz val="14"/>
        <color theme="1"/>
        <rFont val="Arial"/>
        <family val="2"/>
      </rPr>
      <t xml:space="preserve">  </t>
    </r>
    <r>
      <rPr>
        <i/>
        <sz val="14"/>
        <color theme="1"/>
        <rFont val="Arial"/>
        <family val="2"/>
      </rPr>
      <t xml:space="preserve">An office building with large windows around the perimeter installs various fixtures connected to a networked </t>
    </r>
  </si>
  <si>
    <t>sensors via groups, and all are scheduled to dim down to 30% from 5 to 7 pm and then turned off completely until 6am.</t>
  </si>
  <si>
    <t>Occupancy Sensor, Daylight Sensor &amp; Advanced Scheduling</t>
  </si>
  <si>
    <t>Occupancy Sensor &amp; Advanced Scheduling</t>
  </si>
  <si>
    <t>Daylight Sensor &amp; Advanced Scheduling</t>
  </si>
  <si>
    <r>
      <rPr>
        <b/>
        <sz val="14"/>
        <color theme="1"/>
        <rFont val="Arial"/>
        <family val="2"/>
      </rPr>
      <t>One example of this:</t>
    </r>
    <r>
      <rPr>
        <sz val="14"/>
        <color theme="1"/>
        <rFont val="Arial"/>
        <family val="2"/>
      </rPr>
      <t xml:space="preserve">  </t>
    </r>
    <r>
      <rPr>
        <i/>
        <sz val="14"/>
        <color theme="1"/>
        <rFont val="Arial"/>
        <family val="2"/>
      </rPr>
      <t>A warehouse has an occupancy sensor mounted on each fixture so that the lights will only turn on with motion in the</t>
    </r>
  </si>
  <si>
    <t>aisle and will automatically turn off when no motion occurs after a set period of time.</t>
  </si>
  <si>
    <t>Lighting Control (NLC) list to be eligible for an incentive.</t>
  </si>
  <si>
    <r>
      <rPr>
        <sz val="13"/>
        <rFont val="Arial"/>
        <family val="2"/>
      </rPr>
      <t xml:space="preserve"> </t>
    </r>
    <r>
      <rPr>
        <u/>
        <sz val="13"/>
        <rFont val="Arial"/>
        <family val="2"/>
      </rPr>
      <t>(click here for control definitions)</t>
    </r>
  </si>
  <si>
    <t>· High end trim not applicable for interior applications with daylight harvesting.</t>
  </si>
  <si>
    <t>· High end trim not applicable for interior applications with daylight harvesting.</t>
  </si>
  <si>
    <t xml:space="preserve">o	   High end trim is not standard dimming such as manual dimming or daylight harvesting.   </t>
  </si>
  <si>
    <t xml:space="preserve">o	   High end trim is not automatic compensation for lumen depreciation, which automatically increases output as a system operates over time.   </t>
  </si>
  <si>
    <t>Networked Lighting Controls (NLC) and Luminaire Level Lighting Controls (LLLC)  must be on the DesignLights Consortium (DLC) Networked</t>
  </si>
  <si>
    <t xml:space="preserve">  Eligible Multiple Control Strategy Applications:</t>
  </si>
  <si>
    <t xml:space="preserve">  Eligible Networked Lighting Control Strategy Applications:</t>
  </si>
  <si>
    <t xml:space="preserve">  Eligible Luminaire Level Lighting Control Strategy Applications:</t>
  </si>
  <si>
    <r>
      <t xml:space="preserve">· LLLC controls must be on the </t>
    </r>
    <r>
      <rPr>
        <b/>
        <sz val="14"/>
        <color theme="1"/>
        <rFont val="Arial"/>
        <family val="2"/>
      </rPr>
      <t>DLC - NLC Qualified Products List AND include the</t>
    </r>
    <r>
      <rPr>
        <sz val="14"/>
        <color theme="1"/>
        <rFont val="Arial"/>
        <family val="2"/>
      </rPr>
      <t xml:space="preserve"> </t>
    </r>
    <r>
      <rPr>
        <b/>
        <sz val="14"/>
        <color theme="1"/>
        <rFont val="Arial"/>
        <family val="2"/>
      </rPr>
      <t>LLLC designation.</t>
    </r>
  </si>
  <si>
    <r>
      <t xml:space="preserve">· Each </t>
    </r>
    <r>
      <rPr>
        <b/>
        <sz val="14"/>
        <rFont val="Arial"/>
        <family val="2"/>
      </rPr>
      <t>fixture</t>
    </r>
    <r>
      <rPr>
        <sz val="14"/>
        <rFont val="Arial"/>
        <family val="2"/>
      </rPr>
      <t xml:space="preserve"> utilizes a minimum of two control strategies.</t>
    </r>
  </si>
  <si>
    <t>IRP Year</t>
  </si>
  <si>
    <t>Renamed 2019 Altnerate Cost tab to simply be Alternate Costs. Added E4:F4 cell to enter year</t>
  </si>
  <si>
    <t>DSM Alternate Costs - changed year reference in A8.</t>
  </si>
  <si>
    <t>Commercial-All Com-ExtLight</t>
  </si>
  <si>
    <t>Commercial-All Com-IntLight</t>
  </si>
  <si>
    <t>DSM Alternate Costs - changed discount rate, escalation, capacity cost, and energy from 2021-2040. Based on 2021 IRP. Updated load shapes.</t>
  </si>
  <si>
    <t>Sumarry tab - updated load shape logic in B12:B311 and B312:B611</t>
  </si>
  <si>
    <t>Difference from Proposed Lighting</t>
  </si>
  <si>
    <t>Summary tab - updated field name in D11.</t>
  </si>
  <si>
    <t>Summary tab - updated formula in D312:D611. Caluclates difference in savings between Proposed Lighting tab and summary tab.</t>
  </si>
  <si>
    <t>Summary tab - updated formula Q312:Q611. Calculates controls savings.</t>
  </si>
  <si>
    <t>Summary tab - updated formula R312:R611. Controls incentives.</t>
  </si>
  <si>
    <t>Summary tab - updated formula R12:R311. Fixture incentives.</t>
  </si>
  <si>
    <t>Summary tab - updated formula J312:J611. Quantities.</t>
  </si>
  <si>
    <t>Summary tab - updated formula O312:O611. Retro kW.</t>
  </si>
  <si>
    <t>Proposed Lighting Updated column CC to =IF(EE9=0,0,IF(EF9=0,0,IF(EE9&gt;AA9,0,IF(AND(AZ9&gt;AW9,AW9&gt;0),0,IF(CU9=0,0,Summary!AC312)))))</t>
  </si>
  <si>
    <t>Proposed Lighting updated column BV to not include total of non-standard controls</t>
  </si>
  <si>
    <t>Advanced Scheduling</t>
  </si>
  <si>
    <t>Daylight Harvesting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</si>
</sst>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quot;$&quot;#,##0"/>
    <numFmt numFmtId="165" formatCode="0.0"/>
    <numFmt numFmtId="166" formatCode="&quot;$&quot;#,##0.00"/>
    <numFmt numFmtId="167" formatCode="0.000000"/>
    <numFmt numFmtId="168" formatCode="#,##0.0"/>
    <numFmt numFmtId="169" formatCode="mm/dd/yy;@"/>
    <numFmt numFmtId="170" formatCode="0.000"/>
    <numFmt numFmtId="171" formatCode="_(* #,##0.000_);_(* \(#,##0.000\);_(* &quot;-&quot;??_);_(@_)"/>
    <numFmt numFmtId="172" formatCode="_(&quot;$&quot;* #,##0.000_);_(&quot;$&quot;* \(#,##0.000\);_(&quot;$&quot;* &quot;-&quot;??_);_(@_)"/>
    <numFmt numFmtId="173" formatCode="[&lt;=9999999]###\-####;\(###\)\ ###\-####"/>
    <numFmt numFmtId="174" formatCode="00000"/>
    <numFmt numFmtId="175" formatCode="#,##0.0000"/>
    <numFmt numFmtId="176" formatCode="#,##0_);;\ "/>
    <numFmt numFmtId="177" formatCode="&quot;$&quot;#,##0.00_);;\ "/>
    <numFmt numFmtId="178" formatCode="000\-000\-0000"/>
    <numFmt numFmtId="179" formatCode="#,##0.000"/>
    <numFmt numFmtId="180" formatCode="0.000%"/>
    <numFmt numFmtId="181" formatCode="??0.000%"/>
    <numFmt numFmtId="182" formatCode="_(&quot;$&quot;* #,##0.0000_);_(&quot;$&quot;* \(#,##0.0000\);_(&quot;$&quot;* &quot;-&quot;??_);_(@_)"/>
    <numFmt numFmtId="183" formatCode="&quot;$&quot;#,##0.000"/>
    <numFmt numFmtId="184" formatCode="&quot;$&quot;#,##0.000_);[Red]\(&quot;$&quot;#,##0.000\)"/>
    <numFmt numFmtId="185" formatCode="&quot;$&quot;#,##0.0000_);[Red]\(&quot;$&quot;#,##0.0000\)"/>
    <numFmt numFmtId="186" formatCode="[$$-409]#,##0.00"/>
    <numFmt numFmtId="187" formatCode="&quot;$&quot;#,##0\ ;\(&quot;$&quot;#,##0\)"/>
    <numFmt numFmtId="188" formatCode="m/d/\ h:mm"/>
    <numFmt numFmtId="189" formatCode="0.0000%"/>
    <numFmt numFmtId="190" formatCode="_(* #,##0_);_(* \(#,##0\);_(* &quot;-&quot;??_);_(@_)"/>
    <numFmt numFmtId="191" formatCode="#,##0.00_);;\ "/>
    <numFmt numFmtId="192" formatCode="###0_);;\ "/>
    <numFmt numFmtId="193" formatCode="_(&quot;$&quot;* #,##0.000000_);_(&quot;$&quot;* \(#,##0.000000\);_(&quot;$&quot;* &quot;-&quot;??_);_(@_)"/>
    <numFmt numFmtId="194" formatCode="&quot;$&quot;0.00;;;@\,"/>
    <numFmt numFmtId="195" formatCode="&quot;$&quot;#,##0.00000"/>
    <numFmt numFmtId="196" formatCode="&quot;$&quot;#,##0.00000_);[Red]\(&quot;$&quot;#,##0.00000\)"/>
    <numFmt numFmtId="197" formatCode="&quot;$&quot;#,##0.0000"/>
    <numFmt numFmtId="198" formatCode="_(&quot;$&quot;* #,##0.000_);_(&quot;$&quot;* \(#,##0.000\);_(&quot;$&quot;* &quot;-&quot;???_);_(@_)"/>
  </numFmts>
  <fonts count="310">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1"/>
      <color indexed="8"/>
      <name val="Calibri"/>
      <family val="2"/>
    </font>
    <font>
      <b/>
      <sz val="11"/>
      <color indexed="8"/>
      <name val="Calibri"/>
      <family val="2"/>
    </font>
    <font>
      <b/>
      <sz val="16"/>
      <color indexed="8"/>
      <name val="Arial"/>
      <family val="2"/>
    </font>
    <font>
      <b/>
      <sz val="14"/>
      <color indexed="8"/>
      <name val="Arial"/>
      <family val="2"/>
    </font>
    <font>
      <b/>
      <sz val="11"/>
      <color indexed="8"/>
      <name val="Arial"/>
      <family val="2"/>
    </font>
    <font>
      <b/>
      <sz val="12"/>
      <color indexed="8"/>
      <name val="Arial"/>
      <family val="2"/>
    </font>
    <font>
      <sz val="12"/>
      <color indexed="8"/>
      <name val="Arial"/>
      <family val="2"/>
    </font>
    <font>
      <sz val="14"/>
      <color indexed="8"/>
      <name val="Arial"/>
      <family val="2"/>
    </font>
    <font>
      <u/>
      <sz val="14"/>
      <color indexed="8"/>
      <name val="Arial"/>
      <family val="2"/>
    </font>
    <font>
      <i/>
      <sz val="11"/>
      <color indexed="8"/>
      <name val="Arial"/>
      <family val="2"/>
    </font>
    <font>
      <sz val="11"/>
      <color indexed="8"/>
      <name val="Arial"/>
      <family val="2"/>
    </font>
    <font>
      <b/>
      <sz val="11"/>
      <name val="Arial"/>
      <family val="2"/>
    </font>
    <font>
      <sz val="11"/>
      <name val="Arial"/>
      <family val="2"/>
    </font>
    <font>
      <i/>
      <sz val="12"/>
      <color indexed="8"/>
      <name val="Arial"/>
      <family val="2"/>
    </font>
    <font>
      <i/>
      <sz val="9"/>
      <color indexed="8"/>
      <name val="Arial"/>
      <family val="2"/>
    </font>
    <font>
      <u/>
      <sz val="10"/>
      <color indexed="12"/>
      <name val="Arial"/>
      <family val="2"/>
    </font>
    <font>
      <b/>
      <i/>
      <sz val="12"/>
      <name val="Calibri"/>
      <family val="2"/>
    </font>
    <font>
      <sz val="10"/>
      <name val="Arial"/>
      <family val="2"/>
    </font>
    <font>
      <b/>
      <sz val="9"/>
      <color indexed="10"/>
      <name val="Arial"/>
      <family val="2"/>
    </font>
    <font>
      <sz val="9"/>
      <name val="Arial"/>
      <family val="2"/>
    </font>
    <font>
      <sz val="12"/>
      <name val="Arial"/>
      <family val="2"/>
    </font>
    <font>
      <b/>
      <sz val="12"/>
      <name val="Arial"/>
      <family val="2"/>
    </font>
    <font>
      <i/>
      <sz val="8"/>
      <color indexed="8"/>
      <name val="Calibri"/>
      <family val="2"/>
    </font>
    <font>
      <b/>
      <sz val="10"/>
      <name val="MS Sans Serif"/>
      <family val="2"/>
    </font>
    <font>
      <sz val="10"/>
      <name val="MS Sans Serif"/>
      <family val="2"/>
    </font>
    <font>
      <b/>
      <sz val="8"/>
      <color indexed="81"/>
      <name val="Tahoma"/>
      <family val="2"/>
    </font>
    <font>
      <i/>
      <sz val="8"/>
      <color indexed="10"/>
      <name val="Arial"/>
      <family val="2"/>
    </font>
    <font>
      <i/>
      <sz val="8"/>
      <name val="Arial"/>
      <family val="2"/>
    </font>
    <font>
      <b/>
      <sz val="14"/>
      <name val="Arial"/>
      <family val="2"/>
      <charset val="204"/>
    </font>
    <font>
      <b/>
      <sz val="13"/>
      <color indexed="8"/>
      <name val="Arial"/>
      <family val="2"/>
    </font>
    <font>
      <sz val="13"/>
      <color indexed="8"/>
      <name val="Arial"/>
      <family val="2"/>
    </font>
    <font>
      <u/>
      <sz val="13"/>
      <color indexed="12"/>
      <name val="Arial"/>
      <family val="2"/>
    </font>
    <font>
      <sz val="9"/>
      <color indexed="8"/>
      <name val="Arial"/>
      <family val="2"/>
    </font>
    <font>
      <sz val="9"/>
      <color indexed="81"/>
      <name val="Tahoma"/>
      <family val="2"/>
    </font>
    <font>
      <b/>
      <sz val="9"/>
      <color indexed="81"/>
      <name val="Tahoma"/>
      <family val="2"/>
    </font>
    <font>
      <sz val="8"/>
      <name val="Arial"/>
      <family val="2"/>
    </font>
    <font>
      <sz val="11"/>
      <color indexed="8"/>
      <name val="Times New Roman"/>
      <family val="1"/>
    </font>
    <font>
      <sz val="11"/>
      <name val="Calibri"/>
      <family val="2"/>
    </font>
    <font>
      <b/>
      <sz val="11"/>
      <name val="Calibri"/>
      <family val="2"/>
    </font>
    <font>
      <b/>
      <i/>
      <sz val="11"/>
      <name val="Arial"/>
      <family val="2"/>
    </font>
    <font>
      <sz val="12"/>
      <name val="Arial Black"/>
      <family val="2"/>
    </font>
    <font>
      <b/>
      <sz val="8"/>
      <name val="Arial"/>
      <family val="2"/>
    </font>
    <font>
      <b/>
      <sz val="12"/>
      <name val="Arial"/>
      <family val="2"/>
      <charset val="204"/>
    </font>
    <font>
      <sz val="13"/>
      <name val="Arial"/>
      <family val="2"/>
    </font>
    <font>
      <sz val="13"/>
      <name val="Calibri"/>
      <family val="2"/>
    </font>
    <font>
      <b/>
      <u/>
      <sz val="13"/>
      <name val="Arial"/>
      <family val="2"/>
    </font>
    <font>
      <b/>
      <u/>
      <sz val="12"/>
      <name val="Arial"/>
      <family val="2"/>
    </font>
    <font>
      <i/>
      <sz val="12"/>
      <name val="Arial"/>
      <family val="2"/>
    </font>
    <font>
      <sz val="11"/>
      <color theme="1"/>
      <name val="Calibri"/>
      <family val="2"/>
      <scheme val="minor"/>
    </font>
    <font>
      <sz val="11"/>
      <color theme="0"/>
      <name val="Calibri"/>
      <family val="2"/>
      <scheme val="minor"/>
    </font>
    <font>
      <sz val="12"/>
      <color theme="1"/>
      <name val="Arial"/>
      <family val="2"/>
    </font>
    <font>
      <b/>
      <sz val="11"/>
      <color theme="1"/>
      <name val="Calibri"/>
      <family val="2"/>
      <scheme val="minor"/>
    </font>
    <font>
      <sz val="11"/>
      <color rgb="FFFF0000"/>
      <name val="Calibri"/>
      <family val="2"/>
      <scheme val="minor"/>
    </font>
    <font>
      <sz val="11"/>
      <color theme="1"/>
      <name val="Arial"/>
      <family val="2"/>
    </font>
    <font>
      <b/>
      <sz val="11"/>
      <color theme="1"/>
      <name val="Arial"/>
      <family val="2"/>
    </font>
    <font>
      <sz val="14"/>
      <color theme="1"/>
      <name val="Arial"/>
      <family val="2"/>
    </font>
    <font>
      <b/>
      <sz val="14"/>
      <color theme="1"/>
      <name val="Arial"/>
      <family val="2"/>
    </font>
    <font>
      <b/>
      <i/>
      <sz val="11"/>
      <color theme="1"/>
      <name val="Arial"/>
      <family val="2"/>
    </font>
    <font>
      <i/>
      <sz val="8"/>
      <color theme="1"/>
      <name val="Arial"/>
      <family val="2"/>
    </font>
    <font>
      <b/>
      <i/>
      <sz val="18"/>
      <color theme="1"/>
      <name val="Arial"/>
      <family val="2"/>
    </font>
    <font>
      <sz val="10"/>
      <color theme="1"/>
      <name val="Arial"/>
      <family val="2"/>
    </font>
    <font>
      <sz val="9"/>
      <color theme="1"/>
      <name val="Arial"/>
      <family val="2"/>
    </font>
    <font>
      <b/>
      <sz val="12"/>
      <color rgb="FF339966"/>
      <name val="Calibri"/>
      <family val="2"/>
    </font>
    <font>
      <b/>
      <sz val="10"/>
      <color rgb="FFFF0000"/>
      <name val="Calibri"/>
      <family val="2"/>
      <scheme val="minor"/>
    </font>
    <font>
      <sz val="10"/>
      <color rgb="FFFF0000"/>
      <name val="Arial"/>
      <family val="2"/>
    </font>
    <font>
      <sz val="9"/>
      <color rgb="FFFF0000"/>
      <name val="Arial"/>
      <family val="2"/>
    </font>
    <font>
      <b/>
      <sz val="9"/>
      <color rgb="FFFF0000"/>
      <name val="Arial"/>
      <family val="2"/>
    </font>
    <font>
      <b/>
      <sz val="13"/>
      <color theme="1"/>
      <name val="Arial"/>
      <family val="2"/>
    </font>
    <font>
      <b/>
      <sz val="18"/>
      <color theme="1"/>
      <name val="Arial"/>
      <family val="2"/>
    </font>
    <font>
      <b/>
      <sz val="16"/>
      <color theme="1"/>
      <name val="Arial"/>
      <family val="2"/>
    </font>
    <font>
      <sz val="11"/>
      <name val="Calibri"/>
      <family val="2"/>
      <scheme val="minor"/>
    </font>
    <font>
      <sz val="8"/>
      <color theme="1"/>
      <name val="Arial"/>
      <family val="2"/>
    </font>
    <font>
      <sz val="12"/>
      <color theme="1"/>
      <name val="Calibri"/>
      <family val="2"/>
      <scheme val="minor"/>
    </font>
    <font>
      <sz val="11"/>
      <color theme="0"/>
      <name val="Arial"/>
      <family val="2"/>
    </font>
    <font>
      <sz val="9"/>
      <color rgb="FFCCFFFF"/>
      <name val="Arial"/>
      <family val="2"/>
    </font>
    <font>
      <sz val="11"/>
      <color rgb="FFCCFFFF"/>
      <name val="Calibri"/>
      <family val="2"/>
      <scheme val="minor"/>
    </font>
    <font>
      <i/>
      <sz val="10"/>
      <color theme="1"/>
      <name val="Arial"/>
      <family val="2"/>
    </font>
    <font>
      <sz val="12"/>
      <name val="Calibri"/>
      <family val="2"/>
      <scheme val="minor"/>
    </font>
    <font>
      <i/>
      <sz val="11"/>
      <color theme="1"/>
      <name val="Calibri"/>
      <family val="2"/>
      <scheme val="minor"/>
    </font>
    <font>
      <i/>
      <sz val="11"/>
      <color theme="1"/>
      <name val="Arial"/>
      <family val="2"/>
    </font>
    <font>
      <b/>
      <sz val="12"/>
      <color theme="1"/>
      <name val="Arial"/>
      <family val="2"/>
    </font>
    <font>
      <b/>
      <sz val="10"/>
      <color rgb="FFFF0000"/>
      <name val="Arial"/>
      <family val="2"/>
    </font>
    <font>
      <b/>
      <sz val="11"/>
      <color rgb="FFFF0000"/>
      <name val="Arial"/>
      <family val="2"/>
    </font>
    <font>
      <sz val="11"/>
      <color rgb="FF000000"/>
      <name val="Arial"/>
      <family val="2"/>
    </font>
    <font>
      <b/>
      <i/>
      <sz val="16"/>
      <color theme="1"/>
      <name val="Arial"/>
      <family val="2"/>
    </font>
    <font>
      <b/>
      <sz val="12"/>
      <color rgb="FF000000"/>
      <name val="Arial"/>
      <family val="2"/>
    </font>
    <font>
      <b/>
      <i/>
      <sz val="11"/>
      <color rgb="FFFF0000"/>
      <name val="Arial"/>
      <family val="2"/>
    </font>
    <font>
      <i/>
      <sz val="11"/>
      <color rgb="FF000000"/>
      <name val="Arial"/>
      <family val="2"/>
    </font>
    <font>
      <sz val="11"/>
      <color rgb="FFFF0000"/>
      <name val="Arial"/>
      <family val="2"/>
    </font>
    <font>
      <sz val="12"/>
      <color rgb="FF000000"/>
      <name val="Arial"/>
      <family val="2"/>
    </font>
    <font>
      <sz val="13"/>
      <color theme="1"/>
      <name val="Arial"/>
      <family val="2"/>
    </font>
    <font>
      <sz val="13"/>
      <color theme="1"/>
      <name val="Calibri"/>
      <family val="2"/>
      <scheme val="minor"/>
    </font>
    <font>
      <i/>
      <sz val="13"/>
      <color theme="1"/>
      <name val="Arial"/>
      <family val="2"/>
    </font>
    <font>
      <sz val="13"/>
      <color rgb="FF000000"/>
      <name val="Arial"/>
      <family val="2"/>
    </font>
    <font>
      <b/>
      <sz val="14"/>
      <color rgb="FF000000"/>
      <name val="Arial"/>
      <family val="2"/>
    </font>
    <font>
      <b/>
      <sz val="14"/>
      <color rgb="FFFF0000"/>
      <name val="Arial"/>
      <family val="2"/>
    </font>
    <font>
      <b/>
      <sz val="10"/>
      <color theme="1"/>
      <name val="Arial"/>
      <family val="2"/>
    </font>
    <font>
      <sz val="11"/>
      <color rgb="FF000000"/>
      <name val="Calibri"/>
      <family val="2"/>
    </font>
    <font>
      <sz val="9"/>
      <color theme="1"/>
      <name val="Times New Roman"/>
      <family val="1"/>
    </font>
    <font>
      <sz val="9"/>
      <color theme="1"/>
      <name val="Calibri"/>
      <family val="2"/>
      <scheme val="minor"/>
    </font>
    <font>
      <sz val="11"/>
      <color theme="1"/>
      <name val="Times New Roman"/>
      <family val="1"/>
    </font>
    <font>
      <sz val="11"/>
      <color rgb="FF00B050"/>
      <name val="Calibri"/>
      <family val="2"/>
      <scheme val="minor"/>
    </font>
    <font>
      <sz val="11"/>
      <color rgb="FF333333"/>
      <name val="Inherit"/>
    </font>
    <font>
      <sz val="10"/>
      <color theme="1"/>
      <name val="Calibri"/>
      <family val="2"/>
      <scheme val="minor"/>
    </font>
    <font>
      <i/>
      <sz val="11"/>
      <color rgb="FFFF0000"/>
      <name val="Arial"/>
      <family val="2"/>
    </font>
    <font>
      <i/>
      <sz val="13"/>
      <color rgb="FFFF0000"/>
      <name val="Arial"/>
      <family val="2"/>
    </font>
    <font>
      <b/>
      <sz val="15"/>
      <color theme="1"/>
      <name val="Calibri"/>
      <family val="2"/>
      <scheme val="minor"/>
    </font>
    <font>
      <b/>
      <sz val="15"/>
      <color theme="1"/>
      <name val="Arial"/>
      <family val="2"/>
    </font>
    <font>
      <sz val="11"/>
      <color rgb="FF000000"/>
      <name val="Times New Roman"/>
      <family val="1"/>
    </font>
    <font>
      <sz val="12"/>
      <color rgb="FFFF0000"/>
      <name val="Arial"/>
      <family val="2"/>
    </font>
    <font>
      <sz val="14"/>
      <color rgb="FFFF0000"/>
      <name val="Arial"/>
      <family val="2"/>
    </font>
    <font>
      <b/>
      <sz val="11"/>
      <name val="Calibri"/>
      <family val="2"/>
      <scheme val="minor"/>
    </font>
    <font>
      <b/>
      <sz val="12"/>
      <color theme="1"/>
      <name val="Calibri"/>
      <family val="2"/>
      <scheme val="minor"/>
    </font>
    <font>
      <i/>
      <sz val="10"/>
      <color rgb="FFFF0000"/>
      <name val="Arial"/>
      <family val="2"/>
    </font>
    <font>
      <i/>
      <sz val="12"/>
      <color rgb="FF000000"/>
      <name val="Arial"/>
      <family val="2"/>
    </font>
    <font>
      <sz val="12"/>
      <color theme="0"/>
      <name val="Arial"/>
      <family val="2"/>
    </font>
    <font>
      <b/>
      <sz val="18"/>
      <color rgb="FFC00000"/>
      <name val="Arial"/>
      <family val="2"/>
    </font>
    <font>
      <i/>
      <sz val="11"/>
      <color theme="0"/>
      <name val="Arial"/>
      <family val="2"/>
    </font>
    <font>
      <sz val="14"/>
      <color rgb="FF000000"/>
      <name val="Arial"/>
      <family val="2"/>
    </font>
    <font>
      <b/>
      <sz val="14"/>
      <color theme="0"/>
      <name val="Arial"/>
      <family val="2"/>
    </font>
    <font>
      <sz val="13"/>
      <color rgb="FF00B050"/>
      <name val="Arial"/>
      <family val="2"/>
    </font>
    <font>
      <sz val="14"/>
      <color theme="0"/>
      <name val="Arial"/>
      <family val="2"/>
    </font>
    <font>
      <i/>
      <sz val="12"/>
      <color theme="1"/>
      <name val="Arial"/>
      <family val="2"/>
    </font>
    <font>
      <u/>
      <sz val="13"/>
      <color rgb="FF0000FF"/>
      <name val="Arial"/>
      <family val="2"/>
    </font>
    <font>
      <b/>
      <sz val="14"/>
      <color theme="1"/>
      <name val="Calibri"/>
      <family val="2"/>
      <scheme val="minor"/>
    </font>
    <font>
      <sz val="11"/>
      <color rgb="FFCCFFFF"/>
      <name val="Arial"/>
      <family val="2"/>
    </font>
    <font>
      <i/>
      <sz val="9"/>
      <color theme="1"/>
      <name val="Arial"/>
      <family val="2"/>
    </font>
    <font>
      <b/>
      <sz val="9"/>
      <color theme="1"/>
      <name val="Arial"/>
      <family val="2"/>
    </font>
    <font>
      <b/>
      <sz val="11"/>
      <color rgb="FFFFFFFF"/>
      <name val="Arial"/>
      <family val="2"/>
    </font>
    <font>
      <sz val="10"/>
      <color rgb="FF000000"/>
      <name val="Tahoma"/>
      <family val="2"/>
    </font>
    <font>
      <sz val="11"/>
      <color rgb="FFFFFFFF"/>
      <name val="Calibri"/>
      <family val="2"/>
      <scheme val="minor"/>
    </font>
    <font>
      <sz val="12"/>
      <color theme="1"/>
      <name val="Times New Roman"/>
      <family val="1"/>
    </font>
    <font>
      <sz val="11"/>
      <color theme="1"/>
      <name val="Lucida Handwriting"/>
      <family val="4"/>
    </font>
    <font>
      <b/>
      <i/>
      <sz val="8"/>
      <color indexed="8"/>
      <name val="Arial"/>
      <family val="2"/>
    </font>
    <font>
      <b/>
      <sz val="11"/>
      <color theme="0"/>
      <name val="Arial"/>
      <family val="2"/>
    </font>
    <font>
      <b/>
      <sz val="18"/>
      <color rgb="FFFF0000"/>
      <name val="Calibri"/>
      <family val="2"/>
      <scheme val="minor"/>
    </font>
    <font>
      <b/>
      <sz val="14"/>
      <name val="Calibri"/>
      <family val="2"/>
      <scheme val="minor"/>
    </font>
    <font>
      <b/>
      <sz val="20"/>
      <color theme="1"/>
      <name val="Calibri"/>
      <family val="2"/>
      <scheme val="minor"/>
    </font>
    <font>
      <b/>
      <u/>
      <sz val="12"/>
      <color theme="1"/>
      <name val="Arial"/>
      <family val="2"/>
    </font>
    <font>
      <u/>
      <sz val="11"/>
      <color theme="1"/>
      <name val="Arial"/>
      <family val="2"/>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0"/>
      <name val="Arial"/>
      <family val="2"/>
    </font>
    <font>
      <b/>
      <sz val="10"/>
      <color indexed="9"/>
      <name val="Arial"/>
      <family val="2"/>
    </font>
    <font>
      <sz val="8"/>
      <color theme="0"/>
      <name val="Arial"/>
      <family val="2"/>
    </font>
    <font>
      <b/>
      <sz val="8"/>
      <color theme="0"/>
      <name val="Arial"/>
      <family val="2"/>
    </font>
    <font>
      <b/>
      <sz val="8"/>
      <color indexed="9"/>
      <name val="Arial"/>
      <family val="2"/>
    </font>
    <font>
      <b/>
      <u/>
      <sz val="10"/>
      <color indexed="9"/>
      <name val="Arial"/>
      <family val="2"/>
    </font>
    <font>
      <sz val="10"/>
      <name val="Symbol"/>
      <family val="1"/>
      <charset val="2"/>
    </font>
    <font>
      <sz val="12"/>
      <name val="Georgia"/>
      <family val="1"/>
    </font>
    <font>
      <sz val="10"/>
      <color indexed="12"/>
      <name val="Arial"/>
      <family val="2"/>
    </font>
    <font>
      <sz val="11"/>
      <color indexed="8"/>
      <name val="Calibri"/>
      <family val="2"/>
    </font>
    <font>
      <sz val="11"/>
      <color indexed="9"/>
      <name val="Calibri"/>
      <family val="2"/>
    </font>
    <font>
      <sz val="11"/>
      <color indexed="14"/>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sz val="8"/>
      <color indexed="8"/>
      <name val="Arial"/>
      <family val="2"/>
    </font>
    <font>
      <b/>
      <sz val="10"/>
      <name val="Arial Unicode MS"/>
      <family val="2"/>
    </font>
    <font>
      <sz val="10"/>
      <color indexed="24"/>
      <name val="Times New Roman"/>
      <family val="1"/>
    </font>
    <font>
      <sz val="12"/>
      <name val="Times New Roman"/>
      <family val="1"/>
    </font>
    <font>
      <i/>
      <sz val="11"/>
      <color indexed="23"/>
      <name val="Calibri"/>
      <family val="2"/>
    </font>
    <font>
      <sz val="11"/>
      <color indexed="17"/>
      <name val="Calibri"/>
      <family val="2"/>
    </font>
    <font>
      <b/>
      <sz val="12"/>
      <name val="Times New Roman"/>
      <family val="1"/>
    </font>
    <font>
      <b/>
      <sz val="15"/>
      <color indexed="62"/>
      <name val="Calibri"/>
      <family val="2"/>
    </font>
    <font>
      <sz val="12"/>
      <color indexed="24"/>
      <name val="Times New Roman"/>
      <family val="1"/>
    </font>
    <font>
      <b/>
      <sz val="15"/>
      <color indexed="56"/>
      <name val="Calibri"/>
      <family val="2"/>
    </font>
    <font>
      <sz val="8"/>
      <color indexed="24"/>
      <name val="Times New Roman"/>
      <family val="1"/>
    </font>
    <font>
      <b/>
      <sz val="13"/>
      <color indexed="56"/>
      <name val="Calibri"/>
      <family val="2"/>
    </font>
    <font>
      <b/>
      <sz val="13"/>
      <color indexed="62"/>
      <name val="Calibri"/>
      <family val="2"/>
    </font>
    <font>
      <b/>
      <sz val="11"/>
      <color indexed="62"/>
      <name val="Calibri"/>
      <family val="2"/>
    </font>
    <font>
      <b/>
      <sz val="11"/>
      <color indexed="56"/>
      <name val="Calibri"/>
      <family val="2"/>
    </font>
    <font>
      <u/>
      <sz val="7"/>
      <color indexed="12"/>
      <name val="Arial"/>
      <family val="2"/>
    </font>
    <font>
      <u/>
      <sz val="10"/>
      <color rgb="FF0000FF"/>
      <name val="Calibri"/>
      <family val="2"/>
      <scheme val="minor"/>
    </font>
    <font>
      <u/>
      <sz val="10"/>
      <color indexed="12"/>
      <name val="Times New Roman"/>
      <family val="1"/>
    </font>
    <font>
      <u/>
      <sz val="11"/>
      <color theme="10"/>
      <name val="Calibri"/>
      <family val="2"/>
    </font>
    <font>
      <u/>
      <sz val="10"/>
      <color theme="10"/>
      <name val="Arial"/>
      <family val="2"/>
    </font>
    <font>
      <u/>
      <sz val="7"/>
      <color theme="10"/>
      <name val="Arial"/>
      <family val="2"/>
    </font>
    <font>
      <u/>
      <sz val="7.7"/>
      <color theme="10"/>
      <name val="Calibri"/>
      <family val="2"/>
    </font>
    <font>
      <sz val="11"/>
      <color indexed="62"/>
      <name val="Calibri"/>
      <family val="2"/>
    </font>
    <font>
      <sz val="11"/>
      <color indexed="52"/>
      <name val="Calibri"/>
      <family val="2"/>
    </font>
    <font>
      <sz val="11"/>
      <color indexed="60"/>
      <name val="Calibri"/>
      <family val="2"/>
    </font>
    <font>
      <sz val="10"/>
      <name val="Arial Unicode MS"/>
      <family val="2"/>
    </font>
    <font>
      <sz val="10"/>
      <name val="Courier"/>
      <family val="3"/>
    </font>
    <font>
      <sz val="8"/>
      <color theme="1"/>
      <name val="Calibri"/>
      <family val="2"/>
    </font>
    <font>
      <sz val="10"/>
      <name val="Verdana"/>
      <family val="2"/>
    </font>
    <font>
      <b/>
      <sz val="11"/>
      <color indexed="63"/>
      <name val="Calibri"/>
      <family val="2"/>
    </font>
    <font>
      <sz val="10"/>
      <name val="Helv"/>
      <charset val="204"/>
    </font>
    <font>
      <sz val="10"/>
      <name val="Helv"/>
    </font>
    <font>
      <b/>
      <sz val="18"/>
      <color indexed="62"/>
      <name val="Cambria"/>
      <family val="2"/>
    </font>
    <font>
      <b/>
      <sz val="18"/>
      <color indexed="56"/>
      <name val="Cambria"/>
      <family val="2"/>
    </font>
    <font>
      <sz val="11"/>
      <color indexed="10"/>
      <name val="Calibri"/>
      <family val="2"/>
    </font>
    <font>
      <sz val="13"/>
      <color theme="0"/>
      <name val="Arial"/>
      <family val="2"/>
    </font>
    <font>
      <b/>
      <sz val="12"/>
      <color theme="0"/>
      <name val="Arial"/>
      <family val="2"/>
    </font>
    <font>
      <b/>
      <u/>
      <sz val="11"/>
      <color theme="1"/>
      <name val="Arial"/>
      <family val="2"/>
    </font>
    <font>
      <u/>
      <sz val="11"/>
      <color indexed="12"/>
      <name val="Arial"/>
      <family val="2"/>
    </font>
    <font>
      <i/>
      <sz val="11"/>
      <name val="Arial"/>
      <family val="2"/>
    </font>
    <font>
      <sz val="11"/>
      <color rgb="FF339966"/>
      <name val="Calibri"/>
      <family val="2"/>
      <scheme val="minor"/>
    </font>
    <font>
      <sz val="14"/>
      <name val="Arial"/>
      <family val="2"/>
    </font>
    <font>
      <sz val="8"/>
      <color rgb="FF000000"/>
      <name val="Tahoma"/>
      <family val="2"/>
    </font>
    <font>
      <b/>
      <sz val="24"/>
      <color rgb="FFFF0000"/>
      <name val="Calibri"/>
      <family val="2"/>
      <scheme val="minor"/>
    </font>
    <font>
      <b/>
      <sz val="14"/>
      <name val="Arial"/>
      <family val="2"/>
    </font>
    <font>
      <b/>
      <sz val="22"/>
      <color theme="1"/>
      <name val="Calibri"/>
      <family val="2"/>
    </font>
    <font>
      <b/>
      <sz val="11"/>
      <color theme="1"/>
      <name val="Times New Roman"/>
      <family val="1"/>
    </font>
    <font>
      <sz val="11"/>
      <name val="Times New Roman"/>
      <family val="1"/>
    </font>
    <font>
      <i/>
      <sz val="11"/>
      <color theme="1"/>
      <name val="Times New Roman"/>
      <family val="1"/>
    </font>
    <font>
      <sz val="11"/>
      <color rgb="FF1F497D"/>
      <name val="Times New Roman"/>
      <family val="1"/>
    </font>
    <font>
      <u/>
      <sz val="11"/>
      <color indexed="12"/>
      <name val="Calibri"/>
      <family val="2"/>
      <scheme val="minor"/>
    </font>
    <font>
      <sz val="12"/>
      <color rgb="FF000000"/>
      <name val="Calibri"/>
      <family val="2"/>
      <scheme val="minor"/>
    </font>
    <font>
      <b/>
      <sz val="11"/>
      <color rgb="FF000000"/>
      <name val="Calibri"/>
      <family val="2"/>
      <scheme val="minor"/>
    </font>
    <font>
      <sz val="11"/>
      <color rgb="FF000000"/>
      <name val="Calibri"/>
      <family val="2"/>
      <scheme val="minor"/>
    </font>
    <font>
      <i/>
      <sz val="9"/>
      <name val="Arial"/>
      <family val="2"/>
    </font>
    <font>
      <i/>
      <sz val="14"/>
      <color theme="1"/>
      <name val="Arial"/>
      <family val="2"/>
    </font>
    <font>
      <b/>
      <sz val="16"/>
      <color rgb="FF000000"/>
      <name val="Arial"/>
      <family val="2"/>
    </font>
    <font>
      <b/>
      <i/>
      <sz val="16"/>
      <color indexed="8"/>
      <name val="Arial"/>
      <family val="2"/>
    </font>
    <font>
      <b/>
      <i/>
      <vertAlign val="superscript"/>
      <sz val="16"/>
      <color indexed="8"/>
      <name val="Arial"/>
      <family val="2"/>
    </font>
    <font>
      <b/>
      <i/>
      <sz val="16"/>
      <color rgb="FF000000"/>
      <name val="Arial"/>
      <family val="2"/>
    </font>
    <font>
      <b/>
      <u/>
      <sz val="13"/>
      <color rgb="FF000000"/>
      <name val="Arial"/>
      <family val="2"/>
    </font>
    <font>
      <sz val="13"/>
      <name val="Wingdings"/>
      <charset val="2"/>
    </font>
    <font>
      <b/>
      <sz val="24"/>
      <color rgb="FF000000"/>
      <name val="Arial"/>
      <family val="2"/>
    </font>
    <font>
      <sz val="11"/>
      <color indexed="12"/>
      <name val="Arial"/>
      <family val="2"/>
    </font>
    <font>
      <u/>
      <sz val="11"/>
      <color rgb="FF0000FF"/>
      <name val="Arial"/>
      <family val="2"/>
    </font>
    <font>
      <sz val="10.5"/>
      <name val="Arial"/>
      <family val="2"/>
    </font>
    <font>
      <i/>
      <sz val="14"/>
      <color rgb="FF000000"/>
      <name val="Arial"/>
      <family val="2"/>
    </font>
    <font>
      <b/>
      <sz val="20"/>
      <color theme="1"/>
      <name val="Arial"/>
      <family val="2"/>
    </font>
    <font>
      <sz val="13"/>
      <color rgb="FF000000"/>
      <name val="Calibri"/>
      <family val="2"/>
    </font>
    <font>
      <sz val="13"/>
      <color rgb="FFFFFFFF"/>
      <name val="Arial"/>
      <family val="2"/>
    </font>
    <font>
      <i/>
      <sz val="8"/>
      <color theme="2"/>
      <name val="Arial"/>
      <family val="2"/>
    </font>
    <font>
      <i/>
      <sz val="8"/>
      <color rgb="FFFF0000"/>
      <name val="Arial"/>
      <family val="2"/>
    </font>
    <font>
      <b/>
      <sz val="14"/>
      <color rgb="FF008080"/>
      <name val="Arial"/>
      <family val="2"/>
    </font>
    <font>
      <b/>
      <sz val="12"/>
      <color rgb="FF008080"/>
      <name val="Calibri"/>
      <family val="2"/>
    </font>
    <font>
      <b/>
      <sz val="11"/>
      <color rgb="FF008080"/>
      <name val="Arial"/>
      <family val="2"/>
    </font>
    <font>
      <b/>
      <vertAlign val="superscript"/>
      <sz val="12"/>
      <color theme="1"/>
      <name val="Arial"/>
      <family val="2"/>
    </font>
    <font>
      <b/>
      <vertAlign val="superscript"/>
      <sz val="11"/>
      <color theme="1"/>
      <name val="Arial"/>
      <family val="2"/>
    </font>
    <font>
      <sz val="11"/>
      <color theme="4" tint="0.59999389629810485"/>
      <name val="Arial"/>
      <family val="2"/>
    </font>
    <font>
      <b/>
      <i/>
      <sz val="10"/>
      <color theme="1"/>
      <name val="Arial"/>
      <family val="2"/>
    </font>
    <font>
      <sz val="10"/>
      <color rgb="FF000000"/>
      <name val="Arial"/>
      <family val="2"/>
    </font>
    <font>
      <b/>
      <sz val="22"/>
      <color theme="1"/>
      <name val="Calibri"/>
      <family val="2"/>
      <scheme val="minor"/>
    </font>
    <font>
      <sz val="18"/>
      <color theme="1"/>
      <name val="Arial"/>
      <family val="2"/>
    </font>
    <font>
      <b/>
      <i/>
      <sz val="12"/>
      <color rgb="FFFF0000"/>
      <name val="Arial"/>
      <family val="2"/>
    </font>
    <font>
      <u/>
      <sz val="14"/>
      <color indexed="12"/>
      <name val="Arial"/>
      <family val="2"/>
    </font>
    <font>
      <sz val="14"/>
      <color theme="1"/>
      <name val="Calibri"/>
      <family val="2"/>
    </font>
    <font>
      <sz val="8"/>
      <color rgb="FFCCFFFF"/>
      <name val="Arial"/>
      <family val="2"/>
    </font>
    <font>
      <sz val="14"/>
      <color rgb="FF000000"/>
      <name val="Arial"/>
      <family val="1"/>
      <charset val="2"/>
    </font>
    <font>
      <sz val="14"/>
      <color rgb="FF000000"/>
      <name val="Calibri"/>
      <family val="2"/>
    </font>
    <font>
      <i/>
      <sz val="13"/>
      <color rgb="FF000000"/>
      <name val="Arial"/>
      <family val="2"/>
    </font>
    <font>
      <sz val="9.8000000000000007"/>
      <color theme="1"/>
      <name val="Arial"/>
      <family val="2"/>
    </font>
    <font>
      <sz val="14"/>
      <color rgb="FF000000"/>
      <name val="Arial"/>
      <family val="2"/>
      <charset val="2"/>
    </font>
    <font>
      <b/>
      <i/>
      <sz val="14"/>
      <color rgb="FF000000"/>
      <name val="Arial"/>
      <family val="2"/>
    </font>
    <font>
      <b/>
      <sz val="24"/>
      <color theme="1"/>
      <name val="Arial"/>
      <family val="2"/>
    </font>
    <font>
      <u/>
      <sz val="12"/>
      <name val="Arial"/>
      <family val="2"/>
    </font>
    <font>
      <b/>
      <sz val="13"/>
      <color indexed="12"/>
      <name val="Arial"/>
      <family val="2"/>
    </font>
    <font>
      <b/>
      <sz val="18"/>
      <color rgb="FFFF0000"/>
      <name val="Arial"/>
      <family val="2"/>
    </font>
    <font>
      <sz val="15"/>
      <color rgb="FF000000"/>
      <name val="Arial"/>
      <family val="2"/>
    </font>
    <font>
      <b/>
      <i/>
      <vertAlign val="superscript"/>
      <sz val="15"/>
      <color rgb="FF000000"/>
      <name val="Arial"/>
      <family val="2"/>
    </font>
    <font>
      <b/>
      <i/>
      <vertAlign val="subscript"/>
      <sz val="15"/>
      <color rgb="FF000000"/>
      <name val="Arial"/>
      <family val="2"/>
    </font>
    <font>
      <sz val="15"/>
      <color indexed="8"/>
      <name val="Arial"/>
      <family val="2"/>
    </font>
    <font>
      <sz val="15"/>
      <color theme="1"/>
      <name val="Arial"/>
      <family val="2"/>
    </font>
    <font>
      <b/>
      <vertAlign val="superscript"/>
      <sz val="12"/>
      <name val="Arial"/>
      <family val="2"/>
    </font>
    <font>
      <sz val="8"/>
      <name val="Calibri"/>
      <family val="2"/>
      <scheme val="minor"/>
    </font>
    <font>
      <b/>
      <sz val="18"/>
      <color theme="0"/>
      <name val="Arial"/>
      <family val="2"/>
    </font>
    <font>
      <b/>
      <sz val="16"/>
      <color theme="0"/>
      <name val="Arial"/>
      <family val="2"/>
    </font>
    <font>
      <b/>
      <i/>
      <sz val="11"/>
      <color theme="0"/>
      <name val="Arial"/>
      <family val="2"/>
    </font>
    <font>
      <sz val="10"/>
      <color theme="0"/>
      <name val="Arial"/>
      <family val="2"/>
    </font>
    <font>
      <i/>
      <sz val="9"/>
      <color theme="0"/>
      <name val="Arial"/>
      <family val="2"/>
    </font>
    <font>
      <i/>
      <sz val="8"/>
      <color theme="0"/>
      <name val="Calibri"/>
      <family val="2"/>
    </font>
    <font>
      <sz val="13"/>
      <color theme="0"/>
      <name val="Calibri"/>
      <family val="2"/>
      <scheme val="minor"/>
    </font>
    <font>
      <b/>
      <sz val="13"/>
      <color theme="0"/>
      <name val="Arial"/>
      <family val="2"/>
    </font>
    <font>
      <sz val="11"/>
      <color theme="0"/>
      <name val="Arial Black"/>
      <family val="2"/>
    </font>
    <font>
      <b/>
      <sz val="11"/>
      <color rgb="FF000000"/>
      <name val="Arial"/>
      <family val="2"/>
    </font>
    <font>
      <b/>
      <i/>
      <sz val="14"/>
      <color theme="1"/>
      <name val="Arial"/>
      <family val="2"/>
    </font>
    <font>
      <b/>
      <sz val="11"/>
      <color rgb="FFFF0000"/>
      <name val="Calibri"/>
      <family val="2"/>
      <scheme val="minor"/>
    </font>
    <font>
      <sz val="12"/>
      <color rgb="FF000000"/>
      <name val="Inherit"/>
    </font>
    <font>
      <strike/>
      <sz val="14"/>
      <color rgb="FFFF0000"/>
      <name val="Arial"/>
      <family val="2"/>
    </font>
    <font>
      <strike/>
      <sz val="11"/>
      <color rgb="FFFF0000"/>
      <name val="Calibri"/>
      <family val="2"/>
      <scheme val="minor"/>
    </font>
    <font>
      <u/>
      <sz val="13"/>
      <name val="Arial"/>
      <family val="2"/>
    </font>
    <font>
      <sz val="9"/>
      <color theme="0"/>
      <name val="Arial"/>
      <family val="2"/>
    </font>
    <font>
      <b/>
      <u/>
      <sz val="14"/>
      <color theme="1"/>
      <name val="Arial"/>
      <family val="2"/>
    </font>
  </fonts>
  <fills count="89">
    <fill>
      <patternFill patternType="none"/>
    </fill>
    <fill>
      <patternFill patternType="gray125"/>
    </fill>
    <fill>
      <patternFill patternType="solid">
        <fgColor indexed="44"/>
        <bgColor indexed="64"/>
      </patternFill>
    </fill>
    <fill>
      <patternFill patternType="solid">
        <fgColor rgb="FF969696"/>
        <bgColor indexed="64"/>
      </patternFill>
    </fill>
    <fill>
      <patternFill patternType="solid">
        <fgColor rgb="FF339966"/>
        <bgColor indexed="64"/>
      </patternFill>
    </fill>
    <fill>
      <patternFill patternType="solid">
        <fgColor rgb="FFFFC000"/>
        <bgColor indexed="64"/>
      </patternFill>
    </fill>
    <fill>
      <patternFill patternType="solid">
        <fgColor theme="0"/>
        <bgColor indexed="64"/>
      </patternFill>
    </fill>
    <fill>
      <patternFill patternType="solid">
        <fgColor rgb="FFCCFFFF"/>
        <bgColor indexed="64"/>
      </patternFill>
    </fill>
    <fill>
      <patternFill patternType="solid">
        <fgColor theme="1"/>
        <bgColor indexed="64"/>
      </patternFill>
    </fill>
    <fill>
      <patternFill patternType="solid">
        <fgColor rgb="FF99CCFF"/>
        <bgColor indexed="64"/>
      </patternFill>
    </fill>
    <fill>
      <patternFill patternType="solid">
        <fgColor theme="0" tint="-4.9989318521683403E-2"/>
        <bgColor indexed="64"/>
      </patternFill>
    </fill>
    <fill>
      <patternFill patternType="solid">
        <fgColor rgb="FF00660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rgb="FFF8F8F8"/>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bgColor indexed="64"/>
      </patternFill>
    </fill>
    <fill>
      <patternFill patternType="solid">
        <fgColor theme="4" tint="0.79998168889431442"/>
        <bgColor indexed="64"/>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46"/>
      </patternFill>
    </fill>
    <fill>
      <patternFill patternType="solid">
        <fgColor indexed="41"/>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7"/>
        <bgColor indexed="64"/>
      </patternFill>
    </fill>
    <fill>
      <patternFill patternType="solid">
        <fgColor indexed="26"/>
      </patternFill>
    </fill>
    <fill>
      <patternFill patternType="solid">
        <fgColor indexed="43"/>
      </patternFill>
    </fill>
    <fill>
      <patternFill patternType="mediumGray">
        <fgColor indexed="22"/>
      </patternFill>
    </fill>
    <fill>
      <patternFill patternType="solid">
        <fgColor theme="7" tint="0.59999389629810485"/>
        <bgColor indexed="64"/>
      </patternFill>
    </fill>
    <fill>
      <patternFill patternType="solid">
        <fgColor rgb="FF009999"/>
        <bgColor indexed="64"/>
      </patternFill>
    </fill>
    <fill>
      <patternFill patternType="solid">
        <fgColor rgb="FFE5FFFF"/>
        <bgColor indexed="64"/>
      </patternFill>
    </fill>
    <fill>
      <patternFill patternType="solid">
        <fgColor rgb="FF7030A0"/>
        <bgColor indexed="64"/>
      </patternFill>
    </fill>
    <fill>
      <patternFill patternType="solid">
        <fgColor theme="9" tint="0.59999389629810485"/>
        <bgColor indexed="64"/>
      </patternFill>
    </fill>
    <fill>
      <patternFill patternType="solid">
        <fgColor rgb="FFFFFF66"/>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theme="6" tint="0.7999816888943144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double">
        <color indexed="64"/>
      </top>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s>
  <cellStyleXfs count="41326">
    <xf numFmtId="0" fontId="0" fillId="0" borderId="0"/>
    <xf numFmtId="43" fontId="68"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0" fontId="35" fillId="0" borderId="0" applyNumberFormat="0" applyFill="0" applyBorder="0" applyAlignment="0" applyProtection="0">
      <alignment vertical="top"/>
      <protection locked="0"/>
    </xf>
    <xf numFmtId="0" fontId="37" fillId="0" borderId="0"/>
    <xf numFmtId="0" fontId="70" fillId="0" borderId="0"/>
    <xf numFmtId="0" fontId="37" fillId="0" borderId="0"/>
    <xf numFmtId="0" fontId="37" fillId="0" borderId="0"/>
    <xf numFmtId="0" fontId="37" fillId="0" borderId="0"/>
    <xf numFmtId="0" fontId="3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7" fillId="0" borderId="0"/>
    <xf numFmtId="9" fontId="68" fillId="0" borderId="0" applyFont="0" applyFill="0" applyBorder="0" applyAlignment="0" applyProtection="0"/>
    <xf numFmtId="0" fontId="55" fillId="0" borderId="0"/>
    <xf numFmtId="9" fontId="44" fillId="0" borderId="0" applyFont="0" applyFill="0" applyBorder="0" applyAlignment="0" applyProtection="0"/>
    <xf numFmtId="0" fontId="37" fillId="0" borderId="0"/>
    <xf numFmtId="8" fontId="44" fillId="0" borderId="0" applyFont="0" applyFill="0" applyBorder="0" applyAlignment="0" applyProtection="0"/>
    <xf numFmtId="3" fontId="180" fillId="0" borderId="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68" fillId="27"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5"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182" fillId="55"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68" fillId="31"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6"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182" fillId="56"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68" fillId="35"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7"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68" fillId="39"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2"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9"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68" fillId="43"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8"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68" fillId="47"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68" fillId="28"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62"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182" fillId="62"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68" fillId="32"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63"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182" fillId="63"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68" fillId="36"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53"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57"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182" fillId="57"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68" fillId="4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0"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68" fillId="44"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61"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64"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182" fillId="64"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68" fillId="48"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2" fillId="54"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5"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69" fillId="29"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69" fillId="33"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5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0"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5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54"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5"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183" fillId="69"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53"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69" fillId="34"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5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73"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73"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62"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69" fillId="46"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4"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65" fillId="20" borderId="0" applyNumberFormat="0" applyBorder="0" applyAlignment="0" applyProtection="0"/>
    <xf numFmtId="0" fontId="165" fillId="20" borderId="0" applyNumberFormat="0" applyBorder="0" applyAlignment="0" applyProtection="0"/>
    <xf numFmtId="0" fontId="165" fillId="20"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4" fillId="55" borderId="0" applyNumberFormat="0" applyBorder="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86" fillId="60" borderId="41" applyNumberFormat="0" applyAlignment="0" applyProtection="0"/>
    <xf numFmtId="0" fontId="169" fillId="23" borderId="33" applyNumberFormat="0" applyAlignment="0" applyProtection="0"/>
    <xf numFmtId="0" fontId="169" fillId="23" borderId="33" applyNumberFormat="0" applyAlignment="0" applyProtection="0"/>
    <xf numFmtId="0" fontId="169" fillId="23" borderId="33"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6" fillId="52" borderId="41"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71" fillId="24" borderId="36" applyNumberFormat="0" applyAlignment="0" applyProtection="0"/>
    <xf numFmtId="0" fontId="171" fillId="24" borderId="36" applyNumberFormat="0" applyAlignment="0" applyProtection="0"/>
    <xf numFmtId="0" fontId="171" fillId="24" borderId="36"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0" fontId="187" fillId="75" borderId="42" applyNumberFormat="0" applyAlignment="0" applyProtection="0"/>
    <xf numFmtId="41" fontId="18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91"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0" fontId="44"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55"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0"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8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182"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0" fontId="4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3" fontId="19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8" fontId="4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8" fontId="44" fillId="0" borderId="0" applyFont="0" applyFill="0" applyBorder="0" applyAlignment="0" applyProtection="0"/>
    <xf numFmtId="44" fontId="37" fillId="0" borderId="0" applyFont="0" applyFill="0" applyBorder="0" applyAlignment="0" applyProtection="0"/>
    <xf numFmtId="8" fontId="44"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8" fontId="44"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68"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68"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87" fontId="191" fillId="0" borderId="0" applyFont="0" applyFill="0" applyBorder="0" applyAlignment="0" applyProtection="0"/>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2" borderId="0" applyNumberFormat="0" applyAlignment="0">
      <alignment horizontal="right"/>
    </xf>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37" fillId="76" borderId="0" applyNumberFormat="0" applyAlignment="0"/>
    <xf numFmtId="0" fontId="191" fillId="0" borderId="0" applyFont="0" applyFill="0" applyBorder="0" applyAlignment="0" applyProtection="0"/>
    <xf numFmtId="188" fontId="192" fillId="0" borderId="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2" fontId="191" fillId="0" borderId="0" applyFont="0" applyFill="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64" fillId="19"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64" fillId="19"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4" fillId="56" borderId="0" applyNumberFormat="0" applyBorder="0" applyAlignment="0" applyProtection="0"/>
    <xf numFmtId="0" fontId="195" fillId="0" borderId="0">
      <alignment horizontal="center" wrapText="1"/>
    </xf>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7" fillId="0" borderId="0" applyNumberFormat="0" applyFill="0" applyBorder="0" applyAlignment="0" applyProtection="0"/>
    <xf numFmtId="0" fontId="198" fillId="0" borderId="44" applyNumberFormat="0" applyFill="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6" fillId="0" borderId="43" applyNumberFormat="0" applyFill="0" applyAlignment="0" applyProtection="0"/>
    <xf numFmtId="0" fontId="196" fillId="0" borderId="43"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6" fillId="0" borderId="43"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6" fillId="0" borderId="43"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98" fillId="0" borderId="44" applyNumberFormat="0" applyFill="0" applyAlignment="0" applyProtection="0"/>
    <xf numFmtId="0" fontId="161" fillId="0" borderId="30" applyNumberFormat="0" applyFill="0" applyAlignment="0" applyProtection="0"/>
    <xf numFmtId="0" fontId="161" fillId="0" borderId="30" applyNumberFormat="0" applyFill="0" applyAlignment="0" applyProtection="0"/>
    <xf numFmtId="0" fontId="196" fillId="0" borderId="43" applyNumberFormat="0" applyFill="0" applyAlignment="0" applyProtection="0"/>
    <xf numFmtId="0" fontId="161" fillId="0" borderId="30"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96" fillId="0" borderId="43"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99" fillId="0" borderId="0" applyNumberFormat="0" applyFill="0" applyBorder="0" applyAlignment="0" applyProtection="0"/>
    <xf numFmtId="0" fontId="200" fillId="0" borderId="45" applyNumberFormat="0" applyFill="0" applyAlignment="0" applyProtection="0"/>
    <xf numFmtId="0" fontId="162" fillId="0" borderId="31" applyNumberFormat="0" applyFill="0" applyAlignment="0" applyProtection="0"/>
    <xf numFmtId="0" fontId="174" fillId="50" borderId="14">
      <alignment horizontal="left"/>
    </xf>
    <xf numFmtId="0" fontId="174" fillId="50" borderId="14">
      <alignment horizontal="left"/>
    </xf>
    <xf numFmtId="0" fontId="199" fillId="0" borderId="0" applyNumberFormat="0" applyFill="0" applyBorder="0" applyAlignment="0" applyProtection="0"/>
    <xf numFmtId="0" fontId="201" fillId="0" borderId="45"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201" fillId="0" borderId="45"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200" fillId="0" borderId="45"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62" fillId="0" borderId="31" applyNumberFormat="0" applyFill="0" applyAlignment="0" applyProtection="0"/>
    <xf numFmtId="0" fontId="162" fillId="0" borderId="31" applyNumberFormat="0" applyFill="0" applyAlignment="0" applyProtection="0"/>
    <xf numFmtId="0" fontId="162" fillId="0" borderId="31" applyNumberFormat="0" applyFill="0" applyAlignment="0" applyProtection="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174" fillId="50" borderId="14">
      <alignment horizontal="left"/>
    </xf>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174" fillId="50" borderId="14">
      <alignment horizontal="left"/>
    </xf>
    <xf numFmtId="0" fontId="174" fillId="50" borderId="14">
      <alignment horizontal="left"/>
    </xf>
    <xf numFmtId="0" fontId="55" fillId="0" borderId="0"/>
    <xf numFmtId="0" fontId="174" fillId="50" borderId="14">
      <alignment horizontal="left"/>
    </xf>
    <xf numFmtId="0" fontId="55" fillId="0" borderId="0"/>
    <xf numFmtId="0" fontId="174" fillId="50" borderId="14">
      <alignment horizontal="left"/>
    </xf>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203" fillId="0" borderId="47" applyNumberFormat="0" applyFill="0" applyAlignment="0" applyProtection="0"/>
    <xf numFmtId="0" fontId="55" fillId="0" borderId="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55" fillId="0" borderId="0"/>
    <xf numFmtId="0" fontId="202" fillId="0" borderId="46" applyNumberFormat="0" applyFill="0" applyAlignment="0" applyProtection="0"/>
    <xf numFmtId="0" fontId="202" fillId="0" borderId="46"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203" fillId="0" borderId="47" applyNumberFormat="0" applyFill="0" applyAlignment="0" applyProtection="0"/>
    <xf numFmtId="0" fontId="55" fillId="0" borderId="0"/>
    <xf numFmtId="0" fontId="55" fillId="0" borderId="0"/>
    <xf numFmtId="0" fontId="55" fillId="0" borderId="0"/>
    <xf numFmtId="0" fontId="163" fillId="0" borderId="32" applyNumberFormat="0" applyFill="0" applyAlignment="0" applyProtection="0"/>
    <xf numFmtId="0" fontId="55" fillId="0" borderId="0"/>
    <xf numFmtId="0" fontId="163" fillId="0" borderId="32" applyNumberFormat="0" applyFill="0" applyAlignment="0" applyProtection="0"/>
    <xf numFmtId="0" fontId="202" fillId="0" borderId="46" applyNumberFormat="0" applyFill="0" applyAlignment="0" applyProtection="0"/>
    <xf numFmtId="0" fontId="55" fillId="0" borderId="0"/>
    <xf numFmtId="0" fontId="55" fillId="0" borderId="0"/>
    <xf numFmtId="0" fontId="163" fillId="0" borderId="32" applyNumberFormat="0" applyFill="0" applyAlignment="0" applyProtection="0"/>
    <xf numFmtId="0" fontId="163" fillId="0" borderId="32" applyNumberFormat="0" applyFill="0" applyAlignment="0" applyProtection="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46" applyNumberFormat="0" applyFill="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203" fillId="0" borderId="0" applyNumberFormat="0" applyFill="0" applyBorder="0" applyAlignment="0" applyProtection="0"/>
    <xf numFmtId="0" fontId="55" fillId="0" borderId="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55" fillId="0" borderId="0"/>
    <xf numFmtId="0" fontId="202" fillId="0" borderId="0" applyNumberFormat="0" applyFill="0" applyBorder="0" applyAlignment="0" applyProtection="0"/>
    <xf numFmtId="0" fontId="202"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203" fillId="0" borderId="0" applyNumberFormat="0" applyFill="0" applyBorder="0" applyAlignment="0" applyProtection="0"/>
    <xf numFmtId="0" fontId="55" fillId="0" borderId="0"/>
    <xf numFmtId="0" fontId="55" fillId="0" borderId="0"/>
    <xf numFmtId="0" fontId="55" fillId="0" borderId="0"/>
    <xf numFmtId="0" fontId="163" fillId="0" borderId="0" applyNumberFormat="0" applyFill="0" applyBorder="0" applyAlignment="0" applyProtection="0"/>
    <xf numFmtId="0" fontId="55" fillId="0" borderId="0"/>
    <xf numFmtId="0" fontId="163" fillId="0" borderId="0" applyNumberFormat="0" applyFill="0" applyBorder="0" applyAlignment="0" applyProtection="0"/>
    <xf numFmtId="0" fontId="202" fillId="0" borderId="0" applyNumberFormat="0" applyFill="0" applyBorder="0" applyAlignment="0" applyProtection="0"/>
    <xf numFmtId="0" fontId="55" fillId="0" borderId="0"/>
    <xf numFmtId="0" fontId="55" fillId="0" borderId="0"/>
    <xf numFmtId="0" fontId="163" fillId="0" borderId="0" applyNumberFormat="0" applyFill="0" applyBorder="0" applyAlignment="0" applyProtection="0"/>
    <xf numFmtId="0" fontId="163" fillId="0" borderId="0" applyNumberFormat="0" applyFill="0" applyBorder="0" applyAlignment="0" applyProtection="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2" fillId="0" borderId="0" applyNumberFormat="0" applyFill="0" applyBorder="0" applyAlignment="0" applyProtection="0"/>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35" fillId="0" borderId="0" applyNumberFormat="0" applyFill="0" applyBorder="0" applyAlignment="0" applyProtection="0">
      <alignment vertical="top"/>
      <protection locked="0"/>
    </xf>
    <xf numFmtId="0" fontId="205" fillId="0" borderId="0" applyNumberFormat="0" applyFill="0" applyBorder="0" applyProtection="0">
      <alignment horizontal="left"/>
    </xf>
    <xf numFmtId="0" fontId="55" fillId="0" borderId="0"/>
    <xf numFmtId="0" fontId="205" fillId="0" borderId="0" applyNumberFormat="0" applyFill="0" applyBorder="0" applyProtection="0">
      <alignment horizontal="left"/>
    </xf>
    <xf numFmtId="0" fontId="55" fillId="0" borderId="0"/>
    <xf numFmtId="0" fontId="204" fillId="0" borderId="0" applyNumberFormat="0" applyFill="0" applyBorder="0" applyAlignment="0" applyProtection="0">
      <alignment vertical="top"/>
      <protection locked="0"/>
    </xf>
    <xf numFmtId="0" fontId="206"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55" fillId="0" borderId="0"/>
    <xf numFmtId="0" fontId="35" fillId="0" borderId="0" applyNumberFormat="0" applyFill="0" applyBorder="0" applyAlignment="0" applyProtection="0">
      <alignment vertical="top"/>
      <protection locked="0"/>
    </xf>
    <xf numFmtId="0" fontId="55" fillId="0" borderId="0"/>
    <xf numFmtId="0" fontId="55" fillId="0" borderId="0"/>
    <xf numFmtId="0" fontId="35"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207" fillId="0" borderId="0" applyNumberFormat="0" applyFill="0" applyBorder="0" applyAlignment="0" applyProtection="0">
      <alignment vertical="top"/>
      <protection locked="0"/>
    </xf>
    <xf numFmtId="0" fontId="55" fillId="0" borderId="0"/>
    <xf numFmtId="0" fontId="35" fillId="0" borderId="0" applyNumberFormat="0" applyFill="0" applyBorder="0" applyAlignment="0" applyProtection="0">
      <alignment readingOrder="1"/>
    </xf>
    <xf numFmtId="0" fontId="208"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209" fillId="0" borderId="0" applyNumberFormat="0" applyFont="0" applyFill="0" applyBorder="0" applyAlignment="0" applyProtection="0">
      <alignment vertical="top"/>
      <protection locked="0"/>
    </xf>
    <xf numFmtId="0" fontId="55" fillId="0" borderId="0"/>
    <xf numFmtId="0" fontId="55" fillId="0" borderId="0"/>
    <xf numFmtId="0" fontId="35" fillId="0" borderId="0" applyNumberFormat="0" applyFill="0" applyBorder="0" applyAlignment="0" applyProtection="0">
      <alignment vertical="top"/>
      <protection locked="0"/>
    </xf>
    <xf numFmtId="0" fontId="55" fillId="0" borderId="0"/>
    <xf numFmtId="0" fontId="55" fillId="0" borderId="0"/>
    <xf numFmtId="0" fontId="207" fillId="0" borderId="0" applyNumberFormat="0" applyFill="0" applyBorder="0" applyAlignment="0" applyProtection="0">
      <alignment vertical="top"/>
      <protection locked="0"/>
    </xf>
    <xf numFmtId="0" fontId="55" fillId="0" borderId="0"/>
    <xf numFmtId="0" fontId="55" fillId="0" borderId="0"/>
    <xf numFmtId="0" fontId="55" fillId="0" borderId="0"/>
    <xf numFmtId="0" fontId="55" fillId="0" borderId="0"/>
    <xf numFmtId="0" fontId="210"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8"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04" fillId="0" borderId="0" applyNumberFormat="0" applyFont="0" applyFill="0" applyBorder="0" applyAlignment="0" applyProtection="0">
      <alignment vertical="top"/>
      <protection locked="0"/>
    </xf>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55" fillId="0" borderId="0"/>
    <xf numFmtId="0" fontId="167" fillId="22" borderId="33" applyNumberFormat="0" applyAlignment="0" applyProtection="0"/>
    <xf numFmtId="0" fontId="55" fillId="0" borderId="0"/>
    <xf numFmtId="0" fontId="167" fillId="22" borderId="33"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167" fillId="22" borderId="33" applyNumberFormat="0" applyAlignment="0" applyProtection="0"/>
    <xf numFmtId="0" fontId="167" fillId="22" borderId="33"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211" fillId="54" borderId="41" applyNumberFormat="0" applyAlignment="0" applyProtection="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211" fillId="54" borderId="41" applyNumberFormat="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55" fillId="0" borderId="0"/>
    <xf numFmtId="0" fontId="170" fillId="0" borderId="35" applyNumberFormat="0" applyFill="0" applyAlignment="0" applyProtection="0"/>
    <xf numFmtId="0" fontId="55" fillId="0" borderId="0"/>
    <xf numFmtId="0" fontId="170" fillId="0" borderId="35" applyNumberFormat="0" applyFill="0" applyAlignment="0" applyProtection="0"/>
    <xf numFmtId="0" fontId="212" fillId="0" borderId="48" applyNumberFormat="0" applyFill="0" applyAlignment="0" applyProtection="0"/>
    <xf numFmtId="0" fontId="55" fillId="0" borderId="0"/>
    <xf numFmtId="0" fontId="55" fillId="0" borderId="0"/>
    <xf numFmtId="0" fontId="170" fillId="0" borderId="35" applyNumberFormat="0" applyFill="0" applyAlignment="0" applyProtection="0"/>
    <xf numFmtId="0" fontId="170" fillId="0" borderId="35" applyNumberFormat="0" applyFill="0" applyAlignment="0" applyProtection="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2" fillId="0" borderId="48" applyNumberFormat="0" applyFill="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213" fillId="78" borderId="0" applyNumberFormat="0" applyBorder="0" applyAlignment="0" applyProtection="0"/>
    <xf numFmtId="0" fontId="55" fillId="0" borderId="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55" fillId="0" borderId="0"/>
    <xf numFmtId="0" fontId="213" fillId="77" borderId="0" applyNumberFormat="0" applyBorder="0" applyAlignment="0" applyProtection="0"/>
    <xf numFmtId="0" fontId="213" fillId="77"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213" fillId="78" borderId="0" applyNumberFormat="0" applyBorder="0" applyAlignment="0" applyProtection="0"/>
    <xf numFmtId="0" fontId="55" fillId="0" borderId="0"/>
    <xf numFmtId="0" fontId="55" fillId="0" borderId="0"/>
    <xf numFmtId="0" fontId="55" fillId="0" borderId="0"/>
    <xf numFmtId="0" fontId="166" fillId="21" borderId="0" applyNumberFormat="0" applyBorder="0" applyAlignment="0" applyProtection="0"/>
    <xf numFmtId="0" fontId="55" fillId="0" borderId="0"/>
    <xf numFmtId="0" fontId="166" fillId="21" borderId="0" applyNumberFormat="0" applyBorder="0" applyAlignment="0" applyProtection="0"/>
    <xf numFmtId="0" fontId="213" fillId="77" borderId="0" applyNumberFormat="0" applyBorder="0" applyAlignment="0" applyProtection="0"/>
    <xf numFmtId="0" fontId="55" fillId="0" borderId="0"/>
    <xf numFmtId="0" fontId="55" fillId="0" borderId="0"/>
    <xf numFmtId="0" fontId="166" fillId="21" borderId="0" applyNumberFormat="0" applyBorder="0" applyAlignment="0" applyProtection="0"/>
    <xf numFmtId="0" fontId="166" fillId="21" borderId="0" applyNumberFormat="0" applyBorder="0" applyAlignment="0" applyProtection="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213" fillId="77" borderId="0" applyNumberFormat="0" applyBorder="0" applyAlignment="0" applyProtection="0"/>
    <xf numFmtId="0" fontId="55" fillId="0" borderId="0"/>
    <xf numFmtId="0" fontId="55" fillId="0" borderId="0"/>
    <xf numFmtId="0" fontId="68" fillId="0" borderId="0"/>
    <xf numFmtId="0" fontId="182" fillId="0" borderId="0"/>
    <xf numFmtId="0" fontId="37" fillId="0" borderId="0">
      <alignment readingOrder="1"/>
    </xf>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68" fillId="0" borderId="0"/>
    <xf numFmtId="0" fontId="68" fillId="0" borderId="0"/>
    <xf numFmtId="0" fontId="37" fillId="0" borderId="0">
      <alignment readingOrder="1"/>
    </xf>
    <xf numFmtId="0" fontId="68" fillId="0" borderId="0"/>
    <xf numFmtId="0" fontId="55"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214" fillId="0" borderId="0"/>
    <xf numFmtId="0" fontId="55" fillId="0" borderId="0"/>
    <xf numFmtId="0" fontId="44" fillId="0" borderId="0"/>
    <xf numFmtId="0" fontId="182" fillId="0" borderId="0"/>
    <xf numFmtId="0" fontId="37" fillId="0" borderId="0">
      <alignment readingOrder="1"/>
    </xf>
    <xf numFmtId="0" fontId="44" fillId="0" borderId="0"/>
    <xf numFmtId="0" fontId="68" fillId="0" borderId="0"/>
    <xf numFmtId="0" fontId="55" fillId="0" borderId="0"/>
    <xf numFmtId="0" fontId="44" fillId="0" borderId="0"/>
    <xf numFmtId="0" fontId="37" fillId="0" borderId="0">
      <alignment readingOrder="1"/>
    </xf>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37" fillId="0" borderId="0">
      <alignment readingOrder="1"/>
    </xf>
    <xf numFmtId="0" fontId="44"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44" fillId="0" borderId="0"/>
    <xf numFmtId="0" fontId="44" fillId="0" borderId="0"/>
    <xf numFmtId="0" fontId="55" fillId="0" borderId="0"/>
    <xf numFmtId="0" fontId="68" fillId="0" borderId="0"/>
    <xf numFmtId="0" fontId="68" fillId="0" borderId="0"/>
    <xf numFmtId="0" fontId="68"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214" fillId="0" borderId="0"/>
    <xf numFmtId="0" fontId="37" fillId="0" borderId="0">
      <alignment readingOrder="1"/>
    </xf>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55" fillId="0" borderId="0"/>
    <xf numFmtId="0" fontId="55" fillId="0" borderId="0"/>
    <xf numFmtId="0" fontId="91"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37" fillId="0" borderId="0"/>
    <xf numFmtId="0" fontId="37" fillId="0" borderId="0"/>
    <xf numFmtId="0" fontId="37" fillId="0" borderId="0">
      <alignment readingOrder="1"/>
    </xf>
    <xf numFmtId="0" fontId="37" fillId="0" borderId="0">
      <alignment readingOrder="1"/>
    </xf>
    <xf numFmtId="0" fontId="37" fillId="0" borderId="0">
      <alignment readingOrder="1"/>
    </xf>
    <xf numFmtId="0" fontId="37" fillId="0" borderId="0">
      <alignment readingOrder="1"/>
    </xf>
    <xf numFmtId="0" fontId="37" fillId="0" borderId="0">
      <alignment readingOrder="1"/>
    </xf>
    <xf numFmtId="0" fontId="37" fillId="0" borderId="0">
      <alignment readingOrder="1"/>
    </xf>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182"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68" fillId="0" borderId="0"/>
    <xf numFmtId="0" fontId="55" fillId="0" borderId="0"/>
    <xf numFmtId="0" fontId="68" fillId="0" borderId="0"/>
    <xf numFmtId="0" fontId="55" fillId="0" borderId="0"/>
    <xf numFmtId="0" fontId="55" fillId="0" borderId="0"/>
    <xf numFmtId="0" fontId="55" fillId="0" borderId="0"/>
    <xf numFmtId="0" fontId="182" fillId="0" borderId="0"/>
    <xf numFmtId="0" fontId="68"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80" fillId="0" borderId="0"/>
    <xf numFmtId="0" fontId="80" fillId="0" borderId="0"/>
    <xf numFmtId="0" fontId="80" fillId="0" borderId="0"/>
    <xf numFmtId="0" fontId="55" fillId="0" borderId="0"/>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55" fillId="0" borderId="0"/>
    <xf numFmtId="0" fontId="182"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68" fillId="0" borderId="0"/>
    <xf numFmtId="0" fontId="55" fillId="0" borderId="0"/>
    <xf numFmtId="0" fontId="44" fillId="0" borderId="0"/>
    <xf numFmtId="0" fontId="68" fillId="0" borderId="0"/>
    <xf numFmtId="0" fontId="55" fillId="0" borderId="0"/>
    <xf numFmtId="0" fontId="55" fillId="0" borderId="0"/>
    <xf numFmtId="0" fontId="55" fillId="0" borderId="0"/>
    <xf numFmtId="0" fontId="44" fillId="0" borderId="0"/>
    <xf numFmtId="0" fontId="55" fillId="0" borderId="0"/>
    <xf numFmtId="0" fontId="68" fillId="0" borderId="0"/>
    <xf numFmtId="0" fontId="55" fillId="0" borderId="0"/>
    <xf numFmtId="0" fontId="182"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55" fillId="0" borderId="0"/>
    <xf numFmtId="0" fontId="214" fillId="0" borderId="0"/>
    <xf numFmtId="0" fontId="55" fillId="0" borderId="0"/>
    <xf numFmtId="0" fontId="214" fillId="0" borderId="0"/>
    <xf numFmtId="0" fontId="68" fillId="0" borderId="0"/>
    <xf numFmtId="0" fontId="55" fillId="0" borderId="0"/>
    <xf numFmtId="0" fontId="37" fillId="0" borderId="0"/>
    <xf numFmtId="0" fontId="55" fillId="0" borderId="0"/>
    <xf numFmtId="0" fontId="68" fillId="0" borderId="0"/>
    <xf numFmtId="0" fontId="55" fillId="0" borderId="0"/>
    <xf numFmtId="0" fontId="55" fillId="0" borderId="0"/>
    <xf numFmtId="0" fontId="37" fillId="0" borderId="0"/>
    <xf numFmtId="0" fontId="37" fillId="0" borderId="0"/>
    <xf numFmtId="0" fontId="55" fillId="0" borderId="0"/>
    <xf numFmtId="0" fontId="44"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214" fillId="0" borderId="0"/>
    <xf numFmtId="0" fontId="55" fillId="0" borderId="0"/>
    <xf numFmtId="0" fontId="37" fillId="0" borderId="0">
      <alignment readingOrder="1"/>
    </xf>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68"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68" fillId="0" borderId="0"/>
    <xf numFmtId="0" fontId="55" fillId="0" borderId="0"/>
    <xf numFmtId="0" fontId="68" fillId="0" borderId="0"/>
    <xf numFmtId="0" fontId="80"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80"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55" fillId="0" borderId="0"/>
    <xf numFmtId="0" fontId="55" fillId="0" borderId="0"/>
    <xf numFmtId="0" fontId="44" fillId="0" borderId="0"/>
    <xf numFmtId="0" fontId="55" fillId="0" borderId="0"/>
    <xf numFmtId="0" fontId="68" fillId="0" borderId="0"/>
    <xf numFmtId="0" fontId="55" fillId="0" borderId="0"/>
    <xf numFmtId="0" fontId="37" fillId="0" borderId="0"/>
    <xf numFmtId="0" fontId="55" fillId="0" borderId="0"/>
    <xf numFmtId="0" fontId="55" fillId="0" borderId="0"/>
    <xf numFmtId="0" fontId="80" fillId="0" borderId="0"/>
    <xf numFmtId="0" fontId="37" fillId="0" borderId="0"/>
    <xf numFmtId="0" fontId="55"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4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21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21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215" fillId="0" borderId="0"/>
    <xf numFmtId="0" fontId="55" fillId="0" borderId="0"/>
    <xf numFmtId="0" fontId="55" fillId="0" borderId="0"/>
    <xf numFmtId="0" fontId="215" fillId="0" borderId="0"/>
    <xf numFmtId="0" fontId="37" fillId="0" borderId="0"/>
    <xf numFmtId="0" fontId="44"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44"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80" fillId="0" borderId="0"/>
    <xf numFmtId="0" fontId="37" fillId="0" borderId="0"/>
    <xf numFmtId="0" fontId="37" fillId="0" borderId="0"/>
    <xf numFmtId="0" fontId="55"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37" fillId="0" borderId="0">
      <alignment readingOrder="1"/>
    </xf>
    <xf numFmtId="0" fontId="55" fillId="0" borderId="0"/>
    <xf numFmtId="0" fontId="55" fillId="0" borderId="0"/>
    <xf numFmtId="0" fontId="68" fillId="0" borderId="0"/>
    <xf numFmtId="0" fontId="37" fillId="0" borderId="0"/>
    <xf numFmtId="0" fontId="55" fillId="0" borderId="0"/>
    <xf numFmtId="0" fontId="55" fillId="0" borderId="0"/>
    <xf numFmtId="0" fontId="55" fillId="0" borderId="0"/>
    <xf numFmtId="0" fontId="55" fillId="0" borderId="0"/>
    <xf numFmtId="0" fontId="55" fillId="0" borderId="0"/>
    <xf numFmtId="0" fontId="68" fillId="0" borderId="0"/>
    <xf numFmtId="0" fontId="37" fillId="0" borderId="0">
      <alignment readingOrder="1"/>
    </xf>
    <xf numFmtId="0" fontId="37"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68"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alignment readingOrder="1"/>
    </xf>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182" fillId="0" borderId="0"/>
    <xf numFmtId="0" fontId="68" fillId="0" borderId="0"/>
    <xf numFmtId="0" fontId="37" fillId="0" borderId="0"/>
    <xf numFmtId="0" fontId="55" fillId="0" borderId="0"/>
    <xf numFmtId="0" fontId="55" fillId="0" borderId="0"/>
    <xf numFmtId="0" fontId="182" fillId="0" borderId="0"/>
    <xf numFmtId="0" fontId="55" fillId="0" borderId="0"/>
    <xf numFmtId="0" fontId="68"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55" fillId="0" borderId="0"/>
    <xf numFmtId="0" fontId="55" fillId="0" borderId="0"/>
    <xf numFmtId="0" fontId="37" fillId="0" borderId="0"/>
    <xf numFmtId="0" fontId="55" fillId="0" borderId="0"/>
    <xf numFmtId="0" fontId="68"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alignment readingOrder="1"/>
    </xf>
    <xf numFmtId="0" fontId="68" fillId="0" borderId="0"/>
    <xf numFmtId="0" fontId="37"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21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215" fillId="0" borderId="0"/>
    <xf numFmtId="0" fontId="55" fillId="0" borderId="0"/>
    <xf numFmtId="0" fontId="37" fillId="0" borderId="0"/>
    <xf numFmtId="0" fontId="55"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alignment readingOrder="1"/>
    </xf>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216"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68"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80" fillId="0" borderId="0"/>
    <xf numFmtId="0" fontId="182" fillId="0" borderId="0"/>
    <xf numFmtId="0" fontId="37" fillId="0" borderId="0">
      <alignment readingOrder="1"/>
    </xf>
    <xf numFmtId="0" fontId="37" fillId="0" borderId="0">
      <alignment readingOrder="1"/>
    </xf>
    <xf numFmtId="0" fontId="55" fillId="0" borderId="0"/>
    <xf numFmtId="0" fontId="55" fillId="0" borderId="0"/>
    <xf numFmtId="0" fontId="70"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44" fillId="0" borderId="0"/>
    <xf numFmtId="0" fontId="44"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55" fillId="0" borderId="0"/>
    <xf numFmtId="0" fontId="44" fillId="0" borderId="0"/>
    <xf numFmtId="0" fontId="55"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70" fillId="0" borderId="0"/>
    <xf numFmtId="0" fontId="55" fillId="0" borderId="0"/>
    <xf numFmtId="0" fontId="55" fillId="0" borderId="0"/>
    <xf numFmtId="0" fontId="68" fillId="0" borderId="0"/>
    <xf numFmtId="0" fontId="55" fillId="0" borderId="0"/>
    <xf numFmtId="0" fontId="37" fillId="0" borderId="0">
      <alignment readingOrder="1"/>
    </xf>
    <xf numFmtId="0" fontId="55" fillId="0" borderId="0"/>
    <xf numFmtId="0" fontId="55" fillId="0" borderId="0"/>
    <xf numFmtId="0" fontId="37" fillId="0" borderId="0"/>
    <xf numFmtId="0" fontId="68" fillId="0" borderId="0"/>
    <xf numFmtId="0" fontId="55" fillId="0" borderId="0"/>
    <xf numFmtId="0" fontId="37" fillId="0" borderId="0"/>
    <xf numFmtId="0" fontId="55" fillId="0" borderId="0"/>
    <xf numFmtId="0" fontId="55" fillId="0" borderId="0"/>
    <xf numFmtId="0" fontId="91" fillId="0" borderId="0"/>
    <xf numFmtId="0" fontId="70" fillId="0" borderId="0"/>
    <xf numFmtId="0" fontId="55" fillId="0" borderId="0"/>
    <xf numFmtId="0" fontId="55" fillId="0" borderId="0"/>
    <xf numFmtId="0" fontId="68" fillId="0" borderId="0"/>
    <xf numFmtId="0" fontId="55" fillId="0" borderId="0"/>
    <xf numFmtId="0" fontId="91"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37" fillId="0" borderId="0"/>
    <xf numFmtId="0" fontId="55" fillId="0" borderId="0"/>
    <xf numFmtId="0" fontId="55" fillId="0" borderId="0"/>
    <xf numFmtId="0" fontId="68" fillId="0" borderId="0"/>
    <xf numFmtId="0" fontId="55" fillId="0" borderId="0"/>
    <xf numFmtId="0" fontId="70"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37"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44"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44"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44"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21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182" fillId="0" borderId="0"/>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217"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70" fillId="0" borderId="0"/>
    <xf numFmtId="0" fontId="68"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70"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70"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182" fillId="0" borderId="0"/>
    <xf numFmtId="0" fontId="55" fillId="0" borderId="0"/>
    <xf numFmtId="0" fontId="37" fillId="0" borderId="0"/>
    <xf numFmtId="0" fontId="55" fillId="0" borderId="0"/>
    <xf numFmtId="0" fontId="68" fillId="0" borderId="0"/>
    <xf numFmtId="0" fontId="68"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pplyNumberFormat="0" applyFill="0" applyBorder="0" applyAlignment="0" applyProtection="0"/>
    <xf numFmtId="0" fontId="37" fillId="0" borderId="0"/>
    <xf numFmtId="0" fontId="55" fillId="0" borderId="0"/>
    <xf numFmtId="0" fontId="55" fillId="0" borderId="0"/>
    <xf numFmtId="0" fontId="68" fillId="0" borderId="0"/>
    <xf numFmtId="0" fontId="55" fillId="0" borderId="0"/>
    <xf numFmtId="0" fontId="37" fillId="0" borderId="0"/>
    <xf numFmtId="0" fontId="37" fillId="0" borderId="0" applyNumberFormat="0" applyFill="0" applyBorder="0" applyAlignment="0" applyProtection="0"/>
    <xf numFmtId="0" fontId="55" fillId="0" borderId="0"/>
    <xf numFmtId="0" fontId="68" fillId="0" borderId="0"/>
    <xf numFmtId="0" fontId="55" fillId="0" borderId="0"/>
    <xf numFmtId="0" fontId="37" fillId="0" borderId="0" applyNumberFormat="0" applyFill="0" applyBorder="0" applyAlignment="0" applyProtection="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188" fillId="0" borderId="0"/>
    <xf numFmtId="0" fontId="37" fillId="0" borderId="0"/>
    <xf numFmtId="0" fontId="55" fillId="0" borderId="0"/>
    <xf numFmtId="0" fontId="44" fillId="0" borderId="0"/>
    <xf numFmtId="0" fontId="55" fillId="0" borderId="0"/>
    <xf numFmtId="0" fontId="44" fillId="0" borderId="0"/>
    <xf numFmtId="0" fontId="44" fillId="0" borderId="0"/>
    <xf numFmtId="0" fontId="55" fillId="0" borderId="0"/>
    <xf numFmtId="0" fontId="188" fillId="0" borderId="0"/>
    <xf numFmtId="0" fontId="55" fillId="0" borderId="0"/>
    <xf numFmtId="0" fontId="55" fillId="0" borderId="0"/>
    <xf numFmtId="0" fontId="68" fillId="0" borderId="0"/>
    <xf numFmtId="0" fontId="37" fillId="0" borderId="0"/>
    <xf numFmtId="0" fontId="37" fillId="0" borderId="0">
      <alignment horizontal="center" wrapText="1"/>
    </xf>
    <xf numFmtId="0" fontId="55" fillId="0" borderId="0"/>
    <xf numFmtId="0" fontId="37" fillId="0" borderId="0"/>
    <xf numFmtId="0" fontId="55" fillId="0" borderId="0"/>
    <xf numFmtId="0" fontId="37" fillId="0" borderId="0">
      <alignment horizontal="center" wrapText="1"/>
    </xf>
    <xf numFmtId="0" fontId="37" fillId="0" borderId="0">
      <alignment horizontal="center" wrapText="1"/>
    </xf>
    <xf numFmtId="0" fontId="55" fillId="0" borderId="0"/>
    <xf numFmtId="0" fontId="55" fillId="0" borderId="0"/>
    <xf numFmtId="0" fontId="68"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44" fillId="0" borderId="0"/>
    <xf numFmtId="0" fontId="55" fillId="0" borderId="0"/>
    <xf numFmtId="0" fontId="37" fillId="0" borderId="0"/>
    <xf numFmtId="0" fontId="55" fillId="0" borderId="0"/>
    <xf numFmtId="0" fontId="68"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44" fillId="0" borderId="0"/>
    <xf numFmtId="0" fontId="68"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xf numFmtId="0" fontId="37" fillId="0" borderId="0"/>
    <xf numFmtId="0" fontId="37" fillId="0" borderId="0"/>
    <xf numFmtId="0" fontId="55" fillId="0" borderId="0"/>
    <xf numFmtId="0" fontId="55" fillId="0" borderId="0"/>
    <xf numFmtId="0" fontId="214" fillId="0" borderId="0"/>
    <xf numFmtId="0" fontId="37" fillId="0" borderId="0"/>
    <xf numFmtId="0" fontId="55" fillId="0" borderId="0"/>
    <xf numFmtId="0" fontId="55" fillId="0" borderId="0"/>
    <xf numFmtId="0" fontId="214" fillId="0" borderId="0"/>
    <xf numFmtId="0" fontId="55" fillId="0" borderId="0"/>
    <xf numFmtId="0" fontId="68" fillId="0" borderId="0"/>
    <xf numFmtId="0" fontId="44"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182"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55" fillId="0" borderId="0"/>
    <xf numFmtId="0" fontId="55" fillId="0" borderId="0"/>
    <xf numFmtId="0" fontId="182" fillId="0" borderId="0"/>
    <xf numFmtId="0" fontId="37" fillId="0" borderId="0"/>
    <xf numFmtId="0" fontId="55" fillId="0" borderId="0"/>
    <xf numFmtId="0" fontId="214" fillId="0" borderId="0"/>
    <xf numFmtId="0" fontId="55" fillId="0" borderId="0"/>
    <xf numFmtId="0" fontId="214"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37" fillId="0" borderId="0"/>
    <xf numFmtId="0" fontId="55" fillId="0" borderId="0"/>
    <xf numFmtId="0" fontId="55" fillId="0" borderId="0"/>
    <xf numFmtId="0" fontId="55" fillId="0" borderId="0"/>
    <xf numFmtId="0" fontId="182" fillId="0" borderId="0"/>
    <xf numFmtId="0" fontId="37" fillId="0" borderId="0"/>
    <xf numFmtId="0" fontId="55" fillId="0" borderId="0"/>
    <xf numFmtId="0" fontId="55" fillId="0" borderId="0"/>
    <xf numFmtId="0" fontId="182" fillId="0" borderId="0"/>
    <xf numFmtId="0" fontId="37" fillId="0" borderId="0"/>
    <xf numFmtId="0" fontId="55" fillId="0" borderId="0"/>
    <xf numFmtId="0" fontId="214"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68" fillId="0" borderId="0"/>
    <xf numFmtId="0" fontId="55" fillId="0" borderId="0"/>
    <xf numFmtId="0" fontId="44" fillId="0" borderId="0"/>
    <xf numFmtId="0" fontId="55" fillId="0" borderId="0"/>
    <xf numFmtId="0" fontId="55" fillId="0" borderId="0"/>
    <xf numFmtId="0" fontId="182" fillId="0" borderId="0"/>
    <xf numFmtId="0" fontId="37" fillId="0" borderId="0"/>
    <xf numFmtId="0" fontId="37" fillId="0" borderId="0"/>
    <xf numFmtId="0" fontId="55" fillId="0" borderId="0"/>
    <xf numFmtId="0" fontId="55" fillId="0" borderId="0"/>
    <xf numFmtId="0" fontId="68" fillId="0" borderId="0"/>
    <xf numFmtId="0" fontId="55" fillId="0" borderId="0"/>
    <xf numFmtId="0" fontId="55" fillId="0" borderId="0"/>
    <xf numFmtId="0" fontId="182"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68" fillId="0" borderId="0"/>
    <xf numFmtId="0" fontId="55" fillId="0" borderId="0"/>
    <xf numFmtId="0" fontId="68" fillId="0" borderId="0"/>
    <xf numFmtId="0" fontId="68" fillId="0" borderId="0"/>
    <xf numFmtId="0" fontId="55" fillId="0" borderId="0"/>
    <xf numFmtId="0" fontId="68" fillId="0" borderId="0"/>
    <xf numFmtId="0" fontId="68" fillId="0" borderId="0"/>
    <xf numFmtId="0" fontId="55" fillId="0" borderId="0"/>
    <xf numFmtId="0" fontId="55" fillId="0" borderId="0"/>
    <xf numFmtId="0" fontId="68" fillId="0" borderId="0"/>
    <xf numFmtId="0" fontId="55" fillId="0" borderId="0"/>
    <xf numFmtId="0" fontId="182" fillId="0" borderId="0"/>
    <xf numFmtId="0" fontId="37"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68" fillId="0" borderId="0"/>
    <xf numFmtId="0" fontId="55" fillId="0" borderId="0"/>
    <xf numFmtId="0" fontId="68" fillId="0" borderId="0"/>
    <xf numFmtId="0" fontId="68" fillId="0" borderId="0"/>
    <xf numFmtId="0" fontId="37" fillId="0" borderId="0"/>
    <xf numFmtId="0" fontId="68" fillId="0" borderId="0"/>
    <xf numFmtId="0" fontId="55" fillId="0" borderId="0"/>
    <xf numFmtId="0" fontId="55" fillId="0" borderId="0"/>
    <xf numFmtId="0" fontId="68" fillId="0" borderId="0"/>
    <xf numFmtId="0" fontId="55" fillId="0" borderId="0"/>
    <xf numFmtId="0" fontId="37" fillId="0" borderId="0"/>
    <xf numFmtId="0" fontId="37" fillId="0" borderId="0"/>
    <xf numFmtId="0" fontId="68" fillId="0" borderId="0"/>
    <xf numFmtId="0" fontId="55" fillId="0" borderId="0"/>
    <xf numFmtId="0" fontId="55" fillId="0" borderId="0"/>
    <xf numFmtId="0" fontId="55" fillId="0" borderId="0"/>
    <xf numFmtId="0" fontId="37" fillId="0" borderId="0"/>
    <xf numFmtId="0" fontId="37" fillId="0" borderId="0"/>
    <xf numFmtId="0" fontId="55" fillId="0" borderId="0"/>
    <xf numFmtId="0" fontId="44" fillId="0" borderId="0"/>
    <xf numFmtId="0" fontId="55" fillId="0" borderId="0"/>
    <xf numFmtId="0" fontId="44" fillId="0" borderId="0"/>
    <xf numFmtId="0" fontId="37" fillId="0" borderId="0"/>
    <xf numFmtId="0" fontId="55" fillId="0" borderId="0"/>
    <xf numFmtId="0" fontId="68" fillId="0" borderId="0"/>
    <xf numFmtId="0" fontId="55" fillId="0" borderId="0"/>
    <xf numFmtId="0" fontId="68" fillId="0" borderId="0"/>
    <xf numFmtId="0" fontId="37" fillId="0" borderId="0"/>
    <xf numFmtId="0" fontId="68" fillId="0" borderId="0"/>
    <xf numFmtId="0" fontId="68" fillId="0" borderId="0"/>
    <xf numFmtId="0" fontId="55" fillId="0" borderId="0"/>
    <xf numFmtId="0" fontId="68" fillId="0" borderId="0"/>
    <xf numFmtId="0" fontId="55" fillId="0" borderId="0"/>
    <xf numFmtId="0" fontId="55" fillId="0" borderId="0"/>
    <xf numFmtId="0" fontId="37" fillId="0" borderId="0"/>
    <xf numFmtId="0" fontId="55" fillId="0" borderId="0"/>
    <xf numFmtId="0" fontId="68" fillId="0" borderId="0"/>
    <xf numFmtId="0" fontId="68" fillId="0" borderId="0"/>
    <xf numFmtId="0" fontId="68" fillId="0" borderId="0"/>
    <xf numFmtId="0" fontId="55" fillId="0" borderId="0"/>
    <xf numFmtId="0" fontId="68" fillId="0" borderId="0"/>
    <xf numFmtId="0" fontId="68" fillId="0" borderId="0"/>
    <xf numFmtId="0" fontId="55" fillId="0" borderId="0"/>
    <xf numFmtId="0" fontId="68" fillId="0" borderId="0"/>
    <xf numFmtId="0" fontId="55" fillId="0" borderId="0"/>
    <xf numFmtId="0" fontId="55" fillId="0" borderId="0"/>
    <xf numFmtId="0" fontId="182" fillId="0" borderId="0"/>
    <xf numFmtId="0" fontId="37" fillId="0" borderId="0"/>
    <xf numFmtId="0" fontId="37" fillId="0" borderId="0"/>
    <xf numFmtId="0" fontId="55" fillId="0" borderId="0"/>
    <xf numFmtId="0" fontId="68"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37" fillId="0" borderId="0"/>
    <xf numFmtId="0" fontId="37" fillId="0" borderId="0"/>
    <xf numFmtId="0" fontId="55" fillId="0" borderId="0"/>
    <xf numFmtId="0" fontId="68" fillId="0" borderId="0"/>
    <xf numFmtId="0" fontId="68" fillId="0" borderId="0"/>
    <xf numFmtId="0" fontId="55" fillId="0" borderId="0"/>
    <xf numFmtId="0" fontId="68" fillId="0" borderId="0"/>
    <xf numFmtId="0" fontId="55" fillId="0" borderId="0"/>
    <xf numFmtId="0" fontId="68" fillId="0" borderId="0"/>
    <xf numFmtId="0" fontId="55" fillId="0" borderId="0"/>
    <xf numFmtId="0" fontId="55" fillId="0" borderId="0"/>
    <xf numFmtId="0" fontId="37" fillId="0" borderId="0"/>
    <xf numFmtId="0" fontId="55" fillId="0" borderId="0"/>
    <xf numFmtId="0" fontId="68" fillId="0" borderId="0"/>
    <xf numFmtId="0" fontId="55" fillId="0" borderId="0"/>
    <xf numFmtId="0" fontId="68" fillId="0" borderId="0"/>
    <xf numFmtId="0" fontId="37" fillId="0" borderId="0"/>
    <xf numFmtId="0" fontId="55" fillId="0" borderId="0"/>
    <xf numFmtId="0" fontId="68" fillId="0" borderId="0"/>
    <xf numFmtId="0" fontId="55" fillId="0" borderId="0"/>
    <xf numFmtId="0" fontId="68" fillId="0" borderId="0"/>
    <xf numFmtId="0" fontId="68" fillId="0" borderId="0"/>
    <xf numFmtId="0" fontId="37" fillId="0" borderId="0"/>
    <xf numFmtId="0" fontId="55" fillId="0" borderId="0"/>
    <xf numFmtId="0" fontId="68" fillId="0" borderId="0"/>
    <xf numFmtId="0" fontId="55" fillId="0" borderId="0"/>
    <xf numFmtId="0" fontId="55" fillId="0" borderId="0"/>
    <xf numFmtId="0" fontId="68" fillId="0" borderId="0"/>
    <xf numFmtId="0" fontId="68"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44" fillId="0" borderId="0"/>
    <xf numFmtId="0" fontId="55" fillId="0" borderId="0"/>
    <xf numFmtId="0" fontId="37"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214" fillId="0" borderId="0"/>
    <xf numFmtId="0" fontId="55" fillId="0" borderId="0"/>
    <xf numFmtId="0" fontId="214" fillId="0" borderId="0"/>
    <xf numFmtId="0" fontId="37" fillId="0" borderId="0">
      <alignment readingOrder="1"/>
    </xf>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68" fillId="0" borderId="0"/>
    <xf numFmtId="0" fontId="37" fillId="0" borderId="0"/>
    <xf numFmtId="0" fontId="55" fillId="0" borderId="0"/>
    <xf numFmtId="0" fontId="55"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37" fillId="0" borderId="0"/>
    <xf numFmtId="0" fontId="55" fillId="0" borderId="0"/>
    <xf numFmtId="0" fontId="55" fillId="0" borderId="0"/>
    <xf numFmtId="0" fontId="44" fillId="0" borderId="0"/>
    <xf numFmtId="0" fontId="55" fillId="0" borderId="0"/>
    <xf numFmtId="0" fontId="55" fillId="0" borderId="0"/>
    <xf numFmtId="0" fontId="55" fillId="0" borderId="0"/>
    <xf numFmtId="0" fontId="55" fillId="0" borderId="0"/>
    <xf numFmtId="0" fontId="37" fillId="0" borderId="0">
      <alignment readingOrder="1"/>
    </xf>
    <xf numFmtId="0" fontId="37" fillId="0" borderId="0"/>
    <xf numFmtId="0" fontId="55" fillId="0" borderId="0"/>
    <xf numFmtId="0" fontId="55"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37" fillId="0" borderId="0">
      <alignment readingOrder="1"/>
    </xf>
    <xf numFmtId="0" fontId="37" fillId="0" borderId="0">
      <alignment readingOrder="1"/>
    </xf>
    <xf numFmtId="0" fontId="55" fillId="0" borderId="0"/>
    <xf numFmtId="0" fontId="55" fillId="0" borderId="0"/>
    <xf numFmtId="0" fontId="37" fillId="0" borderId="0">
      <alignment readingOrder="1"/>
    </xf>
    <xf numFmtId="0" fontId="55" fillId="0" borderId="0"/>
    <xf numFmtId="0" fontId="55" fillId="0" borderId="0"/>
    <xf numFmtId="0" fontId="55" fillId="0" borderId="0"/>
    <xf numFmtId="0" fontId="55" fillId="0" borderId="0"/>
    <xf numFmtId="0" fontId="70"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55" fillId="0" borderId="0"/>
    <xf numFmtId="0" fontId="55" fillId="0" borderId="0"/>
    <xf numFmtId="0" fontId="182"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37" fillId="77"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68" fillId="25" borderId="37" applyNumberFormat="0" applyFont="0" applyAlignment="0" applyProtection="0"/>
    <xf numFmtId="0" fontId="55" fillId="0" borderId="0"/>
    <xf numFmtId="0" fontId="37" fillId="77"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182" fillId="77" borderId="49" applyNumberFormat="0" applyFont="0" applyAlignment="0" applyProtection="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182"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182" fillId="77"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182" fillId="77"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37" fillId="77" borderId="49" applyNumberFormat="0" applyFont="0" applyAlignment="0" applyProtection="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37" fillId="77"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55" fillId="0" borderId="0"/>
    <xf numFmtId="0" fontId="55" fillId="0" borderId="0"/>
    <xf numFmtId="0" fontId="68"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68" fillId="25" borderId="37" applyNumberFormat="0" applyFont="0" applyAlignment="0" applyProtection="0"/>
    <xf numFmtId="0" fontId="55" fillId="0" borderId="0"/>
    <xf numFmtId="0" fontId="217" fillId="78" borderId="49"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182" fillId="25" borderId="37" applyNumberFormat="0" applyFont="0" applyAlignment="0" applyProtection="0"/>
    <xf numFmtId="0" fontId="55" fillId="0" borderId="0"/>
    <xf numFmtId="0" fontId="55" fillId="0" borderId="0"/>
    <xf numFmtId="0" fontId="182" fillId="25" borderId="37"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68" fillId="25" borderId="37" applyNumberFormat="0" applyFont="0" applyAlignment="0" applyProtection="0"/>
    <xf numFmtId="0" fontId="68" fillId="25" borderId="37" applyNumberFormat="0" applyFont="0" applyAlignment="0" applyProtection="0"/>
    <xf numFmtId="0" fontId="55" fillId="0" borderId="0"/>
    <xf numFmtId="0" fontId="68" fillId="25" borderId="37" applyNumberFormat="0" applyFont="0" applyAlignment="0" applyProtection="0"/>
    <xf numFmtId="0" fontId="55" fillId="0" borderId="0"/>
    <xf numFmtId="0" fontId="55" fillId="0" borderId="0"/>
    <xf numFmtId="0" fontId="55" fillId="0" borderId="0"/>
    <xf numFmtId="0" fontId="182" fillId="25" borderId="37" applyNumberFormat="0" applyFont="0" applyAlignment="0" applyProtection="0"/>
    <xf numFmtId="0" fontId="55" fillId="0" borderId="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217" fillId="78" borderId="49" applyNumberFormat="0" applyFont="0" applyAlignment="0" applyProtection="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217" fillId="78" borderId="49" applyNumberFormat="0" applyFon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218" fillId="60" borderId="50" applyNumberFormat="0" applyAlignment="0" applyProtection="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218" fillId="60" borderId="50" applyNumberFormat="0" applyAlignment="0" applyProtection="0"/>
    <xf numFmtId="0" fontId="55" fillId="0" borderId="0"/>
    <xf numFmtId="0" fontId="55" fillId="0" borderId="0"/>
    <xf numFmtId="0" fontId="55" fillId="0" borderId="0"/>
    <xf numFmtId="0" fontId="168" fillId="23" borderId="34" applyNumberFormat="0" applyAlignment="0" applyProtection="0"/>
    <xf numFmtId="0" fontId="55" fillId="0" borderId="0"/>
    <xf numFmtId="0" fontId="168" fillId="23" borderId="34"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168" fillId="23" borderId="34" applyNumberFormat="0" applyAlignment="0" applyProtection="0"/>
    <xf numFmtId="0" fontId="168" fillId="23" borderId="34"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218" fillId="52" borderId="50" applyNumberFormat="0" applyAlignment="0" applyProtection="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218" fillId="52" borderId="50" applyNumberFormat="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9" fontId="8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9" fontId="37" fillId="0" borderId="0" applyFont="0" applyFill="0" applyBorder="0" applyAlignment="0" applyProtection="0"/>
    <xf numFmtId="0" fontId="55" fillId="0" borderId="0"/>
    <xf numFmtId="9" fontId="37" fillId="0" borderId="0" applyFont="0" applyFill="0" applyBorder="0" applyAlignment="0" applyProtection="0"/>
    <xf numFmtId="9" fontId="182" fillId="0" borderId="0" applyFont="0" applyFill="0" applyBorder="0" applyAlignment="0" applyProtection="0"/>
    <xf numFmtId="9" fontId="80"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9" fontId="182"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9" fontId="182"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18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182"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0" fontId="55" fillId="0" borderId="0"/>
    <xf numFmtId="9" fontId="37"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68" fillId="0" borderId="0" applyFont="0" applyFill="0" applyBorder="0" applyAlignment="0" applyProtection="0"/>
    <xf numFmtId="9" fontId="68" fillId="0" borderId="0" applyFont="0" applyFill="0" applyBorder="0" applyAlignment="0" applyProtection="0"/>
    <xf numFmtId="0" fontId="55" fillId="0" borderId="0"/>
    <xf numFmtId="9" fontId="37"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0" fontId="55" fillId="0" borderId="0"/>
    <xf numFmtId="9" fontId="44" fillId="0" borderId="0" applyFont="0" applyFill="0" applyBorder="0" applyAlignment="0" applyProtection="0"/>
    <xf numFmtId="0" fontId="55" fillId="0" borderId="0"/>
    <xf numFmtId="0" fontId="55" fillId="0" borderId="0"/>
    <xf numFmtId="0" fontId="55" fillId="0" borderId="0"/>
    <xf numFmtId="9" fontId="37" fillId="0" borderId="0" applyFont="0" applyFill="0" applyBorder="0" applyAlignment="0" applyProtection="0"/>
    <xf numFmtId="0" fontId="55" fillId="0" borderId="0"/>
    <xf numFmtId="9" fontId="37" fillId="0" borderId="0" applyFont="0" applyFill="0" applyBorder="0" applyAlignment="0" applyProtection="0"/>
    <xf numFmtId="9" fontId="44"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9" fontId="68" fillId="0" borderId="0" applyFont="0" applyFill="0" applyBorder="0" applyAlignment="0" applyProtection="0"/>
    <xf numFmtId="0" fontId="55" fillId="0" borderId="0"/>
    <xf numFmtId="9" fontId="37"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0" fontId="55" fillId="0" borderId="0"/>
    <xf numFmtId="9" fontId="44" fillId="0" borderId="0" applyFont="0" applyFill="0" applyBorder="0" applyAlignment="0" applyProtection="0"/>
    <xf numFmtId="0" fontId="55" fillId="0" borderId="0"/>
    <xf numFmtId="0" fontId="55" fillId="0" borderId="0"/>
    <xf numFmtId="9" fontId="44" fillId="0" borderId="0" applyFont="0" applyFill="0" applyBorder="0" applyAlignment="0" applyProtection="0"/>
    <xf numFmtId="9" fontId="37" fillId="0" borderId="0" applyFont="0" applyFill="0" applyBorder="0" applyAlignment="0" applyProtection="0"/>
    <xf numFmtId="9" fontId="68" fillId="0" borderId="0" applyFont="0" applyFill="0" applyBorder="0" applyAlignment="0" applyProtection="0"/>
    <xf numFmtId="0" fontId="55" fillId="0" borderId="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0" fontId="55" fillId="0" borderId="0"/>
    <xf numFmtId="9" fontId="182" fillId="0" borderId="0" applyFont="0" applyFill="0" applyBorder="0" applyAlignment="0" applyProtection="0"/>
    <xf numFmtId="0" fontId="55" fillId="0" borderId="0"/>
    <xf numFmtId="9" fontId="68" fillId="0" borderId="0" applyFont="0" applyFill="0" applyBorder="0" applyAlignment="0" applyProtection="0"/>
    <xf numFmtId="9" fontId="18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0" fontId="55" fillId="0" borderId="0"/>
    <xf numFmtId="9" fontId="44" fillId="0" borderId="0" applyFont="0" applyFill="0" applyBorder="0" applyAlignment="0" applyProtection="0"/>
    <xf numFmtId="0" fontId="55" fillId="0" borderId="0"/>
    <xf numFmtId="9" fontId="44" fillId="0" borderId="0" applyFont="0" applyFill="0" applyBorder="0" applyAlignment="0" applyProtection="0"/>
    <xf numFmtId="9" fontId="182"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182" fillId="0" borderId="0" applyFont="0" applyFill="0" applyBorder="0" applyAlignment="0" applyProtection="0"/>
    <xf numFmtId="9" fontId="68" fillId="0" borderId="0" applyFont="0" applyFill="0" applyBorder="0" applyAlignment="0" applyProtection="0"/>
    <xf numFmtId="9" fontId="44" fillId="0" borderId="0" applyFont="0" applyFill="0" applyBorder="0" applyAlignment="0" applyProtection="0"/>
    <xf numFmtId="9" fontId="37" fillId="0" borderId="0" applyFont="0" applyFill="0" applyBorder="0" applyAlignment="0" applyProtection="0"/>
    <xf numFmtId="0" fontId="55" fillId="0" borderId="0"/>
    <xf numFmtId="9" fontId="68" fillId="0" borderId="0" applyFont="0" applyFill="0" applyBorder="0" applyAlignment="0" applyProtection="0"/>
    <xf numFmtId="0" fontId="55" fillId="0" borderId="0"/>
    <xf numFmtId="9" fontId="68" fillId="0" borderId="0" applyFont="0" applyFill="0" applyBorder="0" applyAlignment="0" applyProtection="0"/>
    <xf numFmtId="9" fontId="182" fillId="0" borderId="0" applyFont="0" applyFill="0" applyBorder="0" applyAlignment="0" applyProtection="0"/>
    <xf numFmtId="9" fontId="44"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0" fontId="55" fillId="0" borderId="0"/>
    <xf numFmtId="0" fontId="55" fillId="0" borderId="0"/>
    <xf numFmtId="9" fontId="182"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91"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9" fontId="6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9" fontId="37" fillId="0" borderId="0" applyFont="0" applyFill="0" applyBorder="0" applyAlignment="0" applyProtection="0"/>
    <xf numFmtId="0" fontId="55" fillId="0" borderId="0"/>
    <xf numFmtId="0" fontId="55" fillId="0" borderId="0"/>
    <xf numFmtId="0" fontId="55" fillId="0" borderId="0"/>
    <xf numFmtId="0" fontId="55" fillId="0" borderId="0"/>
    <xf numFmtId="9" fontId="37" fillId="0" borderId="0" applyFont="0" applyFill="0" applyBorder="0" applyAlignment="0" applyProtection="0"/>
    <xf numFmtId="9" fontId="37" fillId="0" borderId="0" applyFont="0" applyFill="0" applyBorder="0" applyAlignment="0" applyProtection="0"/>
    <xf numFmtId="0" fontId="55" fillId="0" borderId="0"/>
    <xf numFmtId="0" fontId="55" fillId="0" borderId="0"/>
    <xf numFmtId="0" fontId="55" fillId="0" borderId="0"/>
    <xf numFmtId="0" fontId="55" fillId="0" borderId="0"/>
    <xf numFmtId="0" fontId="44" fillId="0" borderId="0" applyNumberFormat="0" applyFont="0" applyFill="0" applyBorder="0" applyAlignment="0" applyProtection="0">
      <alignment horizontal="left"/>
    </xf>
    <xf numFmtId="0" fontId="55" fillId="0" borderId="0"/>
    <xf numFmtId="0" fontId="55" fillId="0" borderId="0"/>
    <xf numFmtId="15" fontId="44" fillId="0" borderId="0" applyFont="0" applyFill="0" applyBorder="0" applyAlignment="0" applyProtection="0"/>
    <xf numFmtId="0" fontId="55" fillId="0" borderId="0"/>
    <xf numFmtId="0" fontId="55" fillId="0" borderId="0"/>
    <xf numFmtId="4" fontId="44" fillId="0" borderId="0" applyFont="0" applyFill="0" applyBorder="0" applyAlignment="0" applyProtection="0"/>
    <xf numFmtId="0" fontId="55" fillId="0" borderId="0"/>
    <xf numFmtId="0" fontId="55" fillId="0" borderId="0"/>
    <xf numFmtId="0" fontId="43" fillId="0" borderId="21">
      <alignment horizontal="center"/>
    </xf>
    <xf numFmtId="0" fontId="55" fillId="0" borderId="0"/>
    <xf numFmtId="0" fontId="55" fillId="0" borderId="0"/>
    <xf numFmtId="3" fontId="44" fillId="0" borderId="0" applyFont="0" applyFill="0" applyBorder="0" applyAlignment="0" applyProtection="0"/>
    <xf numFmtId="0" fontId="55" fillId="0" borderId="0"/>
    <xf numFmtId="0" fontId="55" fillId="0" borderId="0"/>
    <xf numFmtId="0" fontId="44" fillId="79" borderId="0" applyNumberFormat="0" applyFont="0" applyBorder="0" applyAlignment="0" applyProtection="0"/>
    <xf numFmtId="0" fontId="55" fillId="0" borderId="0"/>
    <xf numFmtId="0" fontId="219" fillId="0" borderId="0"/>
    <xf numFmtId="0" fontId="55" fillId="0" borderId="0"/>
    <xf numFmtId="0" fontId="55" fillId="0" borderId="0"/>
    <xf numFmtId="0" fontId="220"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222" fillId="0" borderId="0" applyNumberFormat="0" applyFill="0" applyBorder="0" applyAlignment="0" applyProtection="0"/>
    <xf numFmtId="0" fontId="55" fillId="0" borderId="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55" fillId="0" borderId="0"/>
    <xf numFmtId="0" fontId="221" fillId="0" borderId="0" applyNumberFormat="0" applyFill="0" applyBorder="0" applyAlignment="0" applyProtection="0"/>
    <xf numFmtId="0" fontId="221"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222" fillId="0" borderId="0" applyNumberFormat="0" applyFill="0" applyBorder="0" applyAlignment="0" applyProtection="0"/>
    <xf numFmtId="0" fontId="55" fillId="0" borderId="0"/>
    <xf numFmtId="0" fontId="55" fillId="0" borderId="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21" fillId="0" borderId="0" applyNumberFormat="0" applyFill="0" applyBorder="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191" fillId="0" borderId="52" applyNumberFormat="0" applyFon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191" fillId="0" borderId="52" applyNumberFormat="0" applyFont="0" applyFill="0" applyAlignment="0" applyProtection="0"/>
    <xf numFmtId="0" fontId="55" fillId="0" borderId="0"/>
    <xf numFmtId="0" fontId="55" fillId="0" borderId="0"/>
    <xf numFmtId="0" fontId="55" fillId="0" borderId="0"/>
    <xf numFmtId="0" fontId="191" fillId="0" borderId="52" applyNumberFormat="0" applyFon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20" fillId="0" borderId="53" applyNumberFormat="0" applyFill="0" applyAlignment="0" applyProtection="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20" fillId="0" borderId="53" applyNumberFormat="0" applyFill="0" applyAlignment="0" applyProtection="0"/>
    <xf numFmtId="0" fontId="55" fillId="0" borderId="0"/>
    <xf numFmtId="0" fontId="55" fillId="0" borderId="0"/>
    <xf numFmtId="0" fontId="55" fillId="0" borderId="0"/>
    <xf numFmtId="0" fontId="71" fillId="0" borderId="38"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71" fillId="0" borderId="38" applyNumberFormat="0" applyFill="0" applyAlignment="0" applyProtection="0"/>
    <xf numFmtId="0" fontId="71" fillId="0" borderId="38" applyNumberFormat="0" applyFill="0" applyAlignment="0" applyProtection="0"/>
    <xf numFmtId="0" fontId="71" fillId="0" borderId="38"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20" fillId="0" borderId="51" applyNumberFormat="0" applyFill="0" applyAlignment="0" applyProtection="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20" fillId="0" borderId="51" applyNumberFormat="0" applyFill="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55" fillId="0" borderId="0"/>
    <xf numFmtId="0" fontId="72" fillId="0" borderId="0" applyNumberFormat="0" applyFill="0" applyBorder="0" applyAlignment="0" applyProtection="0"/>
    <xf numFmtId="0" fontId="55" fillId="0" borderId="0"/>
    <xf numFmtId="0" fontId="72" fillId="0" borderId="0" applyNumberFormat="0" applyFill="0" applyBorder="0" applyAlignment="0" applyProtection="0"/>
    <xf numFmtId="0" fontId="223" fillId="0" borderId="0" applyNumberFormat="0" applyFill="0" applyBorder="0" applyAlignment="0" applyProtection="0"/>
    <xf numFmtId="0" fontId="55" fillId="0" borderId="0"/>
    <xf numFmtId="0" fontId="55" fillId="0" borderId="0"/>
    <xf numFmtId="0" fontId="72" fillId="0" borderId="0" applyNumberFormat="0" applyFill="0" applyBorder="0" applyAlignment="0" applyProtection="0"/>
    <xf numFmtId="0" fontId="72" fillId="0" borderId="0" applyNumberFormat="0" applyFill="0" applyBorder="0" applyAlignment="0" applyProtection="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223" fillId="0" borderId="0" applyNumberFormat="0" applyFill="0" applyBorder="0" applyAlignment="0" applyProtection="0"/>
    <xf numFmtId="0" fontId="55" fillId="0" borderId="0"/>
    <xf numFmtId="0" fontId="55" fillId="0" borderId="0"/>
    <xf numFmtId="0" fontId="37" fillId="0" borderId="0"/>
    <xf numFmtId="0" fontId="37" fillId="0" borderId="0"/>
  </cellStyleXfs>
  <cellXfs count="2170">
    <xf numFmtId="0" fontId="0" fillId="0" borderId="0" xfId="0"/>
    <xf numFmtId="0" fontId="0" fillId="0" borderId="0" xfId="0" applyAlignment="1">
      <alignment wrapText="1"/>
    </xf>
    <xf numFmtId="0" fontId="0" fillId="0" borderId="2" xfId="0" applyBorder="1"/>
    <xf numFmtId="0" fontId="73" fillId="0" borderId="0" xfId="0" applyFont="1"/>
    <xf numFmtId="0" fontId="74" fillId="0" borderId="0" xfId="0" applyFont="1"/>
    <xf numFmtId="0" fontId="0" fillId="0" borderId="0" xfId="0" applyProtection="1">
      <protection hidden="1"/>
    </xf>
    <xf numFmtId="0" fontId="73" fillId="0" borderId="0" xfId="0" applyFont="1" applyProtection="1">
      <protection hidden="1"/>
    </xf>
    <xf numFmtId="0" fontId="22" fillId="0" borderId="0" xfId="0" applyFont="1" applyProtection="1">
      <protection hidden="1"/>
    </xf>
    <xf numFmtId="0" fontId="23" fillId="0" borderId="0" xfId="0" applyFont="1" applyProtection="1">
      <protection hidden="1"/>
    </xf>
    <xf numFmtId="0" fontId="24" fillId="0" borderId="3" xfId="0" applyFont="1" applyBorder="1" applyProtection="1">
      <protection hidden="1"/>
    </xf>
    <xf numFmtId="0" fontId="73" fillId="0" borderId="3" xfId="0" applyFont="1" applyBorder="1" applyProtection="1">
      <protection hidden="1"/>
    </xf>
    <xf numFmtId="0" fontId="25" fillId="0" borderId="0" xfId="0" applyFont="1" applyProtection="1">
      <protection hidden="1"/>
    </xf>
    <xf numFmtId="0" fontId="26" fillId="0" borderId="0" xfId="0" applyFont="1" applyProtection="1">
      <protection hidden="1"/>
    </xf>
    <xf numFmtId="0" fontId="73" fillId="0" borderId="4" xfId="0" applyFont="1" applyBorder="1" applyProtection="1">
      <protection hidden="1"/>
    </xf>
    <xf numFmtId="0" fontId="73" fillId="0" borderId="5" xfId="0" applyFont="1" applyBorder="1" applyProtection="1">
      <protection hidden="1"/>
    </xf>
    <xf numFmtId="0" fontId="73" fillId="0" borderId="6" xfId="0" applyFont="1" applyBorder="1" applyProtection="1">
      <protection hidden="1"/>
    </xf>
    <xf numFmtId="0" fontId="73" fillId="0" borderId="7" xfId="0" applyFont="1" applyBorder="1" applyProtection="1">
      <protection hidden="1"/>
    </xf>
    <xf numFmtId="0" fontId="27" fillId="0" borderId="0" xfId="0" applyFont="1" applyProtection="1">
      <protection hidden="1"/>
    </xf>
    <xf numFmtId="3" fontId="27" fillId="0" borderId="0" xfId="0" applyNumberFormat="1" applyFont="1" applyProtection="1">
      <protection hidden="1"/>
    </xf>
    <xf numFmtId="0" fontId="33" fillId="0" borderId="0" xfId="0" applyFont="1" applyAlignment="1" applyProtection="1">
      <alignment horizontal="left"/>
      <protection hidden="1"/>
    </xf>
    <xf numFmtId="164" fontId="27" fillId="0" borderId="0" xfId="0" applyNumberFormat="1" applyFont="1" applyProtection="1">
      <protection hidden="1"/>
    </xf>
    <xf numFmtId="0" fontId="33" fillId="0" borderId="0" xfId="0" applyFont="1" applyProtection="1">
      <protection hidden="1"/>
    </xf>
    <xf numFmtId="164" fontId="28" fillId="0" borderId="0" xfId="0" applyNumberFormat="1" applyFont="1" applyProtection="1">
      <protection hidden="1"/>
    </xf>
    <xf numFmtId="0" fontId="73" fillId="0" borderId="8" xfId="0" applyFont="1" applyBorder="1" applyProtection="1">
      <protection hidden="1"/>
    </xf>
    <xf numFmtId="0" fontId="27" fillId="0" borderId="9" xfId="0" applyFont="1" applyBorder="1" applyProtection="1">
      <protection hidden="1"/>
    </xf>
    <xf numFmtId="0" fontId="73" fillId="0" borderId="9" xfId="0" applyFont="1" applyBorder="1" applyProtection="1">
      <protection hidden="1"/>
    </xf>
    <xf numFmtId="8" fontId="27" fillId="0" borderId="9" xfId="0" applyNumberFormat="1" applyFont="1" applyBorder="1" applyAlignment="1" applyProtection="1">
      <alignment horizontal="right"/>
      <protection hidden="1"/>
    </xf>
    <xf numFmtId="0" fontId="73" fillId="0" borderId="10" xfId="0" applyFont="1" applyBorder="1" applyProtection="1">
      <protection hidden="1"/>
    </xf>
    <xf numFmtId="165" fontId="27" fillId="0" borderId="0" xfId="0" applyNumberFormat="1" applyFont="1" applyProtection="1">
      <protection hidden="1"/>
    </xf>
    <xf numFmtId="0" fontId="75" fillId="0" borderId="0" xfId="0" applyFont="1" applyProtection="1">
      <protection hidden="1"/>
    </xf>
    <xf numFmtId="165" fontId="23" fillId="0" borderId="0" xfId="0" applyNumberFormat="1" applyFont="1" applyProtection="1">
      <protection hidden="1"/>
    </xf>
    <xf numFmtId="9" fontId="23" fillId="0" borderId="0" xfId="0" applyNumberFormat="1" applyFont="1" applyAlignment="1" applyProtection="1">
      <alignment horizontal="center"/>
      <protection hidden="1"/>
    </xf>
    <xf numFmtId="0" fontId="76" fillId="0" borderId="0" xfId="0" applyFont="1" applyProtection="1">
      <protection hidden="1"/>
    </xf>
    <xf numFmtId="0" fontId="29" fillId="0" borderId="0" xfId="0" applyFont="1" applyProtection="1">
      <protection hidden="1"/>
    </xf>
    <xf numFmtId="0" fontId="0" fillId="3" borderId="0" xfId="0" applyFill="1"/>
    <xf numFmtId="0" fontId="0" fillId="0" borderId="0" xfId="0" applyAlignment="1">
      <alignment horizontal="center"/>
    </xf>
    <xf numFmtId="0" fontId="0" fillId="4" borderId="0" xfId="0" applyFill="1"/>
    <xf numFmtId="0" fontId="40" fillId="0" borderId="0" xfId="0" applyFont="1"/>
    <xf numFmtId="0" fontId="70" fillId="5" borderId="1" xfId="0" applyFont="1" applyFill="1" applyBorder="1"/>
    <xf numFmtId="0" fontId="32" fillId="5" borderId="1" xfId="0" applyFont="1" applyFill="1" applyBorder="1" applyAlignment="1" applyProtection="1">
      <alignment horizontal="center" wrapText="1"/>
      <protection hidden="1"/>
    </xf>
    <xf numFmtId="1" fontId="74" fillId="0" borderId="0" xfId="0" applyNumberFormat="1" applyFont="1"/>
    <xf numFmtId="0" fontId="77" fillId="0" borderId="0" xfId="0" applyFont="1"/>
    <xf numFmtId="3" fontId="73" fillId="0" borderId="0" xfId="0" applyNumberFormat="1" applyFont="1"/>
    <xf numFmtId="3" fontId="0" fillId="0" borderId="0" xfId="0" applyNumberFormat="1"/>
    <xf numFmtId="0" fontId="73" fillId="0" borderId="0" xfId="0" applyFont="1" applyAlignment="1">
      <alignment horizontal="left"/>
    </xf>
    <xf numFmtId="3" fontId="73" fillId="0" borderId="0" xfId="0" applyNumberFormat="1" applyFont="1" applyAlignment="1">
      <alignment horizontal="right"/>
    </xf>
    <xf numFmtId="0" fontId="78" fillId="0" borderId="0" xfId="0" applyFont="1"/>
    <xf numFmtId="0" fontId="79" fillId="0" borderId="0" xfId="0" applyFont="1"/>
    <xf numFmtId="0" fontId="80" fillId="0" borderId="0" xfId="0" applyFont="1"/>
    <xf numFmtId="0" fontId="0" fillId="0" borderId="11" xfId="0" applyBorder="1"/>
    <xf numFmtId="0" fontId="81" fillId="0" borderId="11" xfId="0" applyFont="1" applyBorder="1"/>
    <xf numFmtId="0" fontId="0" fillId="0" borderId="12" xfId="0" applyBorder="1"/>
    <xf numFmtId="0" fontId="81" fillId="0" borderId="13" xfId="0" applyFont="1" applyBorder="1"/>
    <xf numFmtId="0" fontId="81" fillId="0" borderId="0" xfId="0" applyFont="1"/>
    <xf numFmtId="0" fontId="0" fillId="0" borderId="0" xfId="0" applyAlignment="1">
      <alignment horizontal="left"/>
    </xf>
    <xf numFmtId="0" fontId="69" fillId="0" borderId="0" xfId="0" applyFont="1" applyProtection="1">
      <protection hidden="1"/>
    </xf>
    <xf numFmtId="0" fontId="0" fillId="0" borderId="1" xfId="0" applyBorder="1" applyAlignment="1" applyProtection="1">
      <alignment wrapText="1"/>
      <protection hidden="1"/>
    </xf>
    <xf numFmtId="166" fontId="0" fillId="0" borderId="1" xfId="0" applyNumberFormat="1" applyBorder="1" applyAlignment="1" applyProtection="1">
      <alignment wrapText="1"/>
      <protection hidden="1"/>
    </xf>
    <xf numFmtId="0" fontId="70" fillId="0" borderId="1" xfId="0" applyFont="1" applyBorder="1" applyAlignment="1" applyProtection="1">
      <alignment horizontal="center" wrapText="1"/>
      <protection hidden="1"/>
    </xf>
    <xf numFmtId="0" fontId="0" fillId="7" borderId="0" xfId="0" applyFill="1" applyProtection="1">
      <protection hidden="1"/>
    </xf>
    <xf numFmtId="0" fontId="82" fillId="7" borderId="0" xfId="0" applyFont="1" applyFill="1" applyAlignment="1" applyProtection="1">
      <alignment readingOrder="1"/>
      <protection hidden="1"/>
    </xf>
    <xf numFmtId="0" fontId="83" fillId="7" borderId="0" xfId="0" applyFont="1" applyFill="1" applyProtection="1">
      <protection hidden="1"/>
    </xf>
    <xf numFmtId="0" fontId="84" fillId="7" borderId="0" xfId="0" applyFont="1" applyFill="1" applyAlignment="1" applyProtection="1">
      <alignment readingOrder="1"/>
      <protection hidden="1"/>
    </xf>
    <xf numFmtId="0" fontId="84" fillId="7" borderId="0" xfId="0" applyFont="1" applyFill="1" applyAlignment="1" applyProtection="1">
      <alignment horizontal="left" indent="1" readingOrder="1"/>
      <protection hidden="1"/>
    </xf>
    <xf numFmtId="0" fontId="85" fillId="7" borderId="0" xfId="0" applyFont="1" applyFill="1" applyProtection="1">
      <protection hidden="1"/>
    </xf>
    <xf numFmtId="0" fontId="81" fillId="7" borderId="0" xfId="0" applyFont="1" applyFill="1" applyProtection="1">
      <protection hidden="1"/>
    </xf>
    <xf numFmtId="0" fontId="71" fillId="7" borderId="0" xfId="0" applyFont="1" applyFill="1" applyAlignment="1" applyProtection="1">
      <alignment horizontal="center"/>
      <protection hidden="1"/>
    </xf>
    <xf numFmtId="0" fontId="0" fillId="7" borderId="0" xfId="0" applyFill="1" applyAlignment="1" applyProtection="1">
      <alignment horizontal="center"/>
      <protection hidden="1"/>
    </xf>
    <xf numFmtId="0" fontId="86" fillId="7" borderId="0" xfId="0" applyFont="1" applyFill="1" applyProtection="1">
      <protection hidden="1"/>
    </xf>
    <xf numFmtId="0" fontId="37" fillId="7" borderId="0" xfId="0" applyFont="1" applyFill="1" applyAlignment="1" applyProtection="1">
      <alignment readingOrder="1"/>
      <protection hidden="1"/>
    </xf>
    <xf numFmtId="0" fontId="80" fillId="7" borderId="0" xfId="0" applyFont="1" applyFill="1" applyAlignment="1" applyProtection="1">
      <alignment horizontal="center"/>
      <protection hidden="1"/>
    </xf>
    <xf numFmtId="0" fontId="0" fillId="7" borderId="9" xfId="0" applyFill="1" applyBorder="1" applyProtection="1">
      <protection hidden="1"/>
    </xf>
    <xf numFmtId="0" fontId="70" fillId="0" borderId="0" xfId="0" applyFont="1"/>
    <xf numFmtId="0" fontId="88" fillId="0" borderId="0" xfId="0" applyFont="1" applyProtection="1">
      <protection hidden="1"/>
    </xf>
    <xf numFmtId="0" fontId="27" fillId="6" borderId="0" xfId="0" applyFont="1" applyFill="1" applyAlignment="1" applyProtection="1">
      <alignment horizontal="right"/>
      <protection hidden="1"/>
    </xf>
    <xf numFmtId="0" fontId="75" fillId="0" borderId="0" xfId="0" applyFont="1" applyAlignment="1" applyProtection="1">
      <alignment horizontal="left" indent="3"/>
      <protection hidden="1"/>
    </xf>
    <xf numFmtId="0" fontId="32" fillId="8" borderId="14" xfId="0" applyFont="1" applyFill="1" applyBorder="1" applyAlignment="1" applyProtection="1">
      <alignment horizontal="center"/>
      <protection hidden="1"/>
    </xf>
    <xf numFmtId="0" fontId="0" fillId="9" borderId="1" xfId="0" applyFill="1" applyBorder="1" applyProtection="1">
      <protection hidden="1"/>
    </xf>
    <xf numFmtId="0" fontId="73" fillId="0" borderId="1" xfId="0" applyFont="1" applyBorder="1" applyAlignment="1" applyProtection="1">
      <alignment horizontal="center" wrapText="1"/>
      <protection hidden="1"/>
    </xf>
    <xf numFmtId="0" fontId="32" fillId="0" borderId="1" xfId="0" applyFont="1" applyBorder="1" applyAlignment="1" applyProtection="1">
      <alignment horizontal="center" wrapText="1"/>
      <protection hidden="1"/>
    </xf>
    <xf numFmtId="0" fontId="73" fillId="0" borderId="0" xfId="0" applyFont="1" applyAlignment="1" applyProtection="1">
      <alignment horizontal="left"/>
      <protection hidden="1"/>
    </xf>
    <xf numFmtId="0" fontId="90" fillId="0" borderId="0" xfId="0" applyFont="1" applyProtection="1">
      <protection hidden="1"/>
    </xf>
    <xf numFmtId="0" fontId="73" fillId="9" borderId="1" xfId="0" applyFont="1" applyFill="1" applyBorder="1" applyAlignment="1" applyProtection="1">
      <alignment horizontal="center" wrapText="1"/>
      <protection hidden="1"/>
    </xf>
    <xf numFmtId="10" fontId="70" fillId="0" borderId="0" xfId="0" applyNumberFormat="1" applyFont="1" applyAlignment="1">
      <alignment wrapText="1"/>
    </xf>
    <xf numFmtId="0" fontId="70" fillId="0" borderId="0" xfId="0" applyFont="1" applyAlignment="1">
      <alignment wrapText="1"/>
    </xf>
    <xf numFmtId="0" fontId="92" fillId="0" borderId="0" xfId="0" applyFont="1"/>
    <xf numFmtId="0" fontId="70" fillId="0" borderId="1" xfId="0" applyFont="1" applyBorder="1" applyAlignment="1">
      <alignment wrapText="1"/>
    </xf>
    <xf numFmtId="171" fontId="70" fillId="0" borderId="1" xfId="1" applyNumberFormat="1" applyFont="1" applyBorder="1" applyAlignment="1">
      <alignment wrapText="1"/>
    </xf>
    <xf numFmtId="43" fontId="70" fillId="0" borderId="1" xfId="1" applyFont="1" applyBorder="1" applyAlignment="1">
      <alignment wrapText="1"/>
    </xf>
    <xf numFmtId="0" fontId="39" fillId="7" borderId="0" xfId="0" applyFont="1" applyFill="1" applyProtection="1">
      <protection hidden="1"/>
    </xf>
    <xf numFmtId="0" fontId="96" fillId="0" borderId="0" xfId="0" applyFont="1" applyAlignment="1">
      <alignment horizontal="center" vertical="center"/>
    </xf>
    <xf numFmtId="0" fontId="0" fillId="0" borderId="0" xfId="0" applyAlignment="1">
      <alignment horizontal="left" wrapText="1"/>
    </xf>
    <xf numFmtId="44" fontId="70" fillId="0" borderId="0" xfId="2" applyFont="1" applyAlignment="1">
      <alignment wrapText="1"/>
    </xf>
    <xf numFmtId="170" fontId="70" fillId="0" borderId="0" xfId="0" applyNumberFormat="1" applyFont="1" applyAlignment="1">
      <alignment wrapText="1"/>
    </xf>
    <xf numFmtId="44" fontId="70" fillId="0" borderId="0" xfId="0" applyNumberFormat="1" applyFont="1" applyAlignment="1">
      <alignment wrapText="1"/>
    </xf>
    <xf numFmtId="172" fontId="70" fillId="0" borderId="0" xfId="0" applyNumberFormat="1" applyFont="1" applyAlignment="1">
      <alignment wrapText="1"/>
    </xf>
    <xf numFmtId="0" fontId="70" fillId="10" borderId="1" xfId="0" applyFont="1" applyFill="1" applyBorder="1" applyAlignment="1">
      <alignment wrapText="1"/>
    </xf>
    <xf numFmtId="171" fontId="70" fillId="10" borderId="1" xfId="1" applyNumberFormat="1" applyFont="1" applyFill="1" applyBorder="1" applyAlignment="1">
      <alignment wrapText="1"/>
    </xf>
    <xf numFmtId="43" fontId="70" fillId="10" borderId="1" xfId="1" applyFont="1" applyFill="1" applyBorder="1" applyAlignment="1">
      <alignment wrapText="1"/>
    </xf>
    <xf numFmtId="44" fontId="70" fillId="10" borderId="1" xfId="2" applyFont="1" applyFill="1" applyBorder="1" applyAlignment="1">
      <alignment wrapText="1"/>
    </xf>
    <xf numFmtId="172" fontId="70" fillId="10" borderId="1" xfId="2" applyNumberFormat="1" applyFont="1" applyFill="1" applyBorder="1" applyAlignment="1">
      <alignment wrapText="1"/>
    </xf>
    <xf numFmtId="2" fontId="70" fillId="10" borderId="1" xfId="2" applyNumberFormat="1" applyFont="1" applyFill="1" applyBorder="1" applyAlignment="1">
      <alignment wrapText="1"/>
    </xf>
    <xf numFmtId="0" fontId="97" fillId="0" borderId="0" xfId="0" applyFont="1"/>
    <xf numFmtId="0" fontId="80" fillId="0" borderId="0" xfId="0" applyFont="1" applyAlignment="1">
      <alignment horizontal="left" indent="2"/>
    </xf>
    <xf numFmtId="0" fontId="73" fillId="0" borderId="11" xfId="0" applyFont="1" applyBorder="1"/>
    <xf numFmtId="0" fontId="73" fillId="0" borderId="12" xfId="0" applyFont="1" applyBorder="1"/>
    <xf numFmtId="0" fontId="81" fillId="0" borderId="12" xfId="0" applyFont="1" applyBorder="1"/>
    <xf numFmtId="0" fontId="96" fillId="0" borderId="0" xfId="0" applyFont="1" applyAlignment="1">
      <alignment vertical="center" wrapText="1"/>
    </xf>
    <xf numFmtId="0" fontId="92" fillId="3" borderId="0" xfId="0" applyFont="1" applyFill="1"/>
    <xf numFmtId="0" fontId="0" fillId="3" borderId="0" xfId="0" applyFill="1" applyProtection="1">
      <protection hidden="1"/>
    </xf>
    <xf numFmtId="0" fontId="36" fillId="3" borderId="0" xfId="0" applyFont="1" applyFill="1" applyAlignment="1" applyProtection="1">
      <alignment horizontal="left" indent="1"/>
      <protection hidden="1"/>
    </xf>
    <xf numFmtId="0" fontId="0" fillId="11" borderId="0" xfId="0" applyFill="1" applyProtection="1">
      <protection hidden="1"/>
    </xf>
    <xf numFmtId="0" fontId="0" fillId="3" borderId="0" xfId="0" applyFill="1" applyAlignment="1" applyProtection="1">
      <alignment horizontal="left" indent="2"/>
      <protection hidden="1"/>
    </xf>
    <xf numFmtId="0" fontId="98" fillId="3" borderId="0" xfId="0" applyFont="1" applyFill="1" applyAlignment="1" applyProtection="1">
      <alignment horizontal="left" indent="4"/>
      <protection hidden="1"/>
    </xf>
    <xf numFmtId="0" fontId="73" fillId="7" borderId="0" xfId="0" applyFont="1" applyFill="1" applyProtection="1">
      <protection hidden="1"/>
    </xf>
    <xf numFmtId="0" fontId="73" fillId="7" borderId="0" xfId="0" applyFont="1" applyFill="1" applyAlignment="1" applyProtection="1">
      <alignment horizontal="left" indent="2"/>
      <protection hidden="1"/>
    </xf>
    <xf numFmtId="0" fontId="73" fillId="7" borderId="0" xfId="0" applyFont="1" applyFill="1" applyAlignment="1" applyProtection="1">
      <alignment horizontal="left" indent="1"/>
      <protection hidden="1"/>
    </xf>
    <xf numFmtId="0" fontId="30" fillId="7" borderId="0" xfId="0" applyFont="1" applyFill="1" applyAlignment="1" applyProtection="1">
      <alignment horizontal="left"/>
      <protection hidden="1"/>
    </xf>
    <xf numFmtId="0" fontId="100" fillId="7" borderId="0" xfId="0" applyFont="1" applyFill="1" applyProtection="1">
      <protection hidden="1"/>
    </xf>
    <xf numFmtId="0" fontId="32" fillId="7" borderId="0" xfId="0" applyFont="1" applyFill="1" applyAlignment="1" applyProtection="1">
      <alignment horizontal="left"/>
      <protection hidden="1"/>
    </xf>
    <xf numFmtId="0" fontId="92" fillId="3" borderId="0" xfId="0" applyFont="1" applyFill="1" applyProtection="1">
      <protection hidden="1"/>
    </xf>
    <xf numFmtId="0" fontId="101" fillId="7" borderId="0" xfId="0" applyFont="1" applyFill="1" applyProtection="1">
      <protection hidden="1"/>
    </xf>
    <xf numFmtId="0" fontId="75" fillId="7" borderId="0" xfId="0" applyFont="1" applyFill="1" applyProtection="1">
      <protection hidden="1"/>
    </xf>
    <xf numFmtId="0" fontId="76" fillId="7" borderId="0" xfId="0" applyFont="1" applyFill="1" applyProtection="1">
      <protection hidden="1"/>
    </xf>
    <xf numFmtId="0" fontId="78" fillId="0" borderId="0" xfId="0" applyFont="1" applyAlignment="1">
      <alignment vertical="center"/>
    </xf>
    <xf numFmtId="0" fontId="80" fillId="0" borderId="0" xfId="0" applyFont="1" applyAlignment="1">
      <alignment vertical="center"/>
    </xf>
    <xf numFmtId="0" fontId="74" fillId="0" borderId="0" xfId="0" applyFont="1" applyAlignment="1">
      <alignment vertical="center"/>
    </xf>
    <xf numFmtId="0" fontId="96" fillId="0" borderId="0" xfId="0" applyFont="1" applyAlignment="1">
      <alignment vertical="center"/>
    </xf>
    <xf numFmtId="0" fontId="73" fillId="10" borderId="0" xfId="0" applyFont="1" applyFill="1" applyProtection="1">
      <protection hidden="1"/>
    </xf>
    <xf numFmtId="0" fontId="100" fillId="0" borderId="0" xfId="0" applyFont="1" applyProtection="1">
      <protection hidden="1"/>
    </xf>
    <xf numFmtId="0" fontId="73" fillId="5" borderId="1" xfId="0" applyFont="1" applyFill="1" applyBorder="1" applyAlignment="1" applyProtection="1">
      <alignment horizontal="center" wrapText="1"/>
      <protection hidden="1"/>
    </xf>
    <xf numFmtId="0" fontId="73" fillId="0" borderId="0" xfId="0" applyFont="1" applyAlignment="1" applyProtection="1">
      <alignment horizontal="center"/>
      <protection hidden="1"/>
    </xf>
    <xf numFmtId="0" fontId="92" fillId="0" borderId="1" xfId="0" applyFont="1" applyBorder="1"/>
    <xf numFmtId="0" fontId="100" fillId="0" borderId="1" xfId="0" applyFont="1" applyBorder="1" applyAlignment="1">
      <alignment horizontal="center" wrapText="1"/>
    </xf>
    <xf numFmtId="44" fontId="100" fillId="0" borderId="1" xfId="2" applyFont="1" applyBorder="1" applyAlignment="1">
      <alignment horizontal="center" wrapText="1"/>
    </xf>
    <xf numFmtId="43" fontId="100" fillId="0" borderId="1" xfId="1" applyFont="1" applyBorder="1" applyAlignment="1">
      <alignment horizontal="center" wrapText="1"/>
    </xf>
    <xf numFmtId="4" fontId="100" fillId="0" borderId="1" xfId="0" applyNumberFormat="1" applyFont="1" applyBorder="1" applyAlignment="1">
      <alignment horizontal="center" wrapText="1"/>
    </xf>
    <xf numFmtId="170" fontId="100" fillId="0" borderId="1" xfId="0" applyNumberFormat="1" applyFont="1" applyBorder="1" applyAlignment="1">
      <alignment horizontal="center" wrapText="1"/>
    </xf>
    <xf numFmtId="171" fontId="100" fillId="0" borderId="1" xfId="1" applyNumberFormat="1" applyFont="1" applyBorder="1" applyAlignment="1">
      <alignment horizontal="center" wrapText="1"/>
    </xf>
    <xf numFmtId="172" fontId="41" fillId="0" borderId="1" xfId="2" applyNumberFormat="1" applyFont="1" applyBorder="1" applyAlignment="1">
      <alignment horizontal="center" wrapText="1"/>
    </xf>
    <xf numFmtId="44" fontId="41" fillId="0" borderId="1" xfId="2" applyFont="1" applyBorder="1" applyAlignment="1">
      <alignment horizontal="center" wrapText="1"/>
    </xf>
    <xf numFmtId="44" fontId="41" fillId="0" borderId="1" xfId="0" applyNumberFormat="1" applyFont="1" applyBorder="1" applyAlignment="1">
      <alignment horizontal="center" wrapText="1"/>
    </xf>
    <xf numFmtId="1" fontId="70" fillId="10" borderId="1" xfId="0" applyNumberFormat="1" applyFont="1" applyFill="1" applyBorder="1" applyAlignment="1">
      <alignment wrapText="1"/>
    </xf>
    <xf numFmtId="0" fontId="70" fillId="10" borderId="1" xfId="0" applyFont="1" applyFill="1" applyBorder="1" applyAlignment="1">
      <alignment horizontal="left" wrapText="1"/>
    </xf>
    <xf numFmtId="0" fontId="101" fillId="0" borderId="0" xfId="0" applyFont="1" applyProtection="1">
      <protection hidden="1"/>
    </xf>
    <xf numFmtId="0" fontId="0" fillId="0" borderId="9" xfId="0" applyBorder="1" applyAlignment="1" applyProtection="1">
      <alignment wrapText="1"/>
      <protection hidden="1"/>
    </xf>
    <xf numFmtId="0" fontId="0" fillId="0" borderId="1" xfId="0" applyBorder="1" applyProtection="1">
      <protection hidden="1"/>
    </xf>
    <xf numFmtId="166" fontId="70" fillId="5" borderId="15" xfId="0" applyNumberFormat="1" applyFont="1" applyFill="1" applyBorder="1" applyAlignment="1" applyProtection="1">
      <alignment wrapText="1"/>
      <protection hidden="1"/>
    </xf>
    <xf numFmtId="0" fontId="78" fillId="0" borderId="0" xfId="0" applyFont="1" applyProtection="1">
      <protection hidden="1"/>
    </xf>
    <xf numFmtId="9" fontId="73" fillId="0" borderId="0" xfId="0" applyNumberFormat="1" applyFont="1" applyAlignment="1" applyProtection="1">
      <alignment horizontal="left"/>
      <protection hidden="1"/>
    </xf>
    <xf numFmtId="0" fontId="77" fillId="0" borderId="0" xfId="0" applyFont="1" applyProtection="1">
      <protection hidden="1"/>
    </xf>
    <xf numFmtId="0" fontId="80" fillId="0" borderId="0" xfId="0" applyFont="1" applyAlignment="1" applyProtection="1">
      <alignment vertical="center"/>
      <protection locked="0"/>
    </xf>
    <xf numFmtId="0" fontId="75" fillId="0" borderId="0" xfId="0" applyFont="1" applyAlignment="1">
      <alignment vertical="center"/>
    </xf>
    <xf numFmtId="0" fontId="80" fillId="0" borderId="0" xfId="0" applyFont="1" applyAlignment="1">
      <alignment vertical="top"/>
    </xf>
    <xf numFmtId="0" fontId="104" fillId="0" borderId="0" xfId="0" applyFont="1"/>
    <xf numFmtId="0" fontId="81" fillId="7" borderId="9" xfId="0" applyFont="1" applyFill="1" applyBorder="1" applyProtection="1">
      <protection hidden="1"/>
    </xf>
    <xf numFmtId="0" fontId="0" fillId="0" borderId="0" xfId="0" applyProtection="1">
      <protection locked="0"/>
    </xf>
    <xf numFmtId="0" fontId="98" fillId="7" borderId="0" xfId="0" applyFont="1" applyFill="1" applyProtection="1">
      <protection hidden="1"/>
    </xf>
    <xf numFmtId="0" fontId="103" fillId="0" borderId="0" xfId="0" applyFont="1"/>
    <xf numFmtId="0" fontId="105" fillId="0" borderId="0" xfId="0" applyFont="1"/>
    <xf numFmtId="0" fontId="70" fillId="0" borderId="0" xfId="0" applyFont="1" applyAlignment="1">
      <alignment vertical="center"/>
    </xf>
    <xf numFmtId="175" fontId="0" fillId="0" borderId="1" xfId="0" applyNumberFormat="1" applyBorder="1" applyAlignment="1" applyProtection="1">
      <alignment wrapText="1"/>
      <protection hidden="1"/>
    </xf>
    <xf numFmtId="0" fontId="106" fillId="0" borderId="0" xfId="0" applyFont="1" applyProtection="1">
      <protection hidden="1"/>
    </xf>
    <xf numFmtId="0" fontId="0" fillId="0" borderId="0" xfId="0" applyAlignment="1" applyProtection="1">
      <alignment horizontal="center"/>
      <protection hidden="1"/>
    </xf>
    <xf numFmtId="0" fontId="73" fillId="9" borderId="1" xfId="0" applyFont="1" applyFill="1" applyBorder="1" applyAlignment="1" applyProtection="1">
      <alignment horizontal="center" vertical="center" wrapText="1"/>
      <protection hidden="1"/>
    </xf>
    <xf numFmtId="166" fontId="73" fillId="0" borderId="0" xfId="0" applyNumberFormat="1" applyFont="1" applyAlignment="1">
      <alignment horizontal="center"/>
    </xf>
    <xf numFmtId="0" fontId="80" fillId="0" borderId="0" xfId="0" applyFont="1" applyAlignment="1">
      <alignment horizontal="left" indent="8"/>
    </xf>
    <xf numFmtId="14" fontId="80" fillId="0" borderId="0" xfId="0" applyNumberFormat="1" applyFont="1"/>
    <xf numFmtId="0" fontId="80" fillId="0" borderId="0" xfId="0" applyFont="1" applyAlignment="1">
      <alignment horizontal="left" indent="5"/>
    </xf>
    <xf numFmtId="0" fontId="80" fillId="0" borderId="0" xfId="0" applyFont="1" applyProtection="1">
      <protection hidden="1"/>
    </xf>
    <xf numFmtId="0" fontId="80" fillId="12" borderId="10" xfId="0" applyFont="1" applyFill="1" applyBorder="1" applyProtection="1">
      <protection hidden="1"/>
    </xf>
    <xf numFmtId="0" fontId="80" fillId="0" borderId="0" xfId="0" applyFont="1" applyAlignment="1" applyProtection="1">
      <alignment horizontal="left" indent="4"/>
      <protection hidden="1"/>
    </xf>
    <xf numFmtId="0" fontId="80" fillId="12" borderId="2" xfId="0" applyFont="1" applyFill="1" applyBorder="1" applyProtection="1">
      <protection hidden="1"/>
    </xf>
    <xf numFmtId="0" fontId="80" fillId="0" borderId="0" xfId="0" applyFont="1" applyAlignment="1">
      <alignment horizontal="left" wrapText="1"/>
    </xf>
    <xf numFmtId="0" fontId="0" fillId="7" borderId="0" xfId="0" applyFill="1"/>
    <xf numFmtId="0" fontId="80" fillId="0" borderId="0" xfId="0" applyFont="1" applyAlignment="1" applyProtection="1">
      <alignment horizontal="center" vertical="center"/>
      <protection locked="0"/>
    </xf>
    <xf numFmtId="0" fontId="37" fillId="0" borderId="0" xfId="0" applyFont="1" applyAlignment="1" applyProtection="1">
      <alignment horizontal="left" indent="1"/>
      <protection hidden="1"/>
    </xf>
    <xf numFmtId="0" fontId="37" fillId="0" borderId="0" xfId="0" applyFont="1" applyAlignment="1" applyProtection="1">
      <alignment horizontal="center"/>
      <protection hidden="1"/>
    </xf>
    <xf numFmtId="0" fontId="0" fillId="0" borderId="0" xfId="0" applyAlignment="1">
      <alignment horizontal="left" indent="4"/>
    </xf>
    <xf numFmtId="0" fontId="81" fillId="0" borderId="0" xfId="0" applyFont="1" applyAlignment="1" applyProtection="1">
      <alignment horizontal="left" indent="7"/>
      <protection hidden="1"/>
    </xf>
    <xf numFmtId="169" fontId="80" fillId="0" borderId="9" xfId="0" applyNumberFormat="1" applyFont="1" applyBorder="1" applyAlignment="1" applyProtection="1">
      <alignment horizontal="left" indent="6"/>
      <protection hidden="1"/>
    </xf>
    <xf numFmtId="0" fontId="81" fillId="0" borderId="0" xfId="0" applyFont="1" applyAlignment="1" applyProtection="1">
      <alignment horizontal="left" indent="8"/>
      <protection hidden="1"/>
    </xf>
    <xf numFmtId="0" fontId="0" fillId="0" borderId="0" xfId="0" applyAlignment="1" applyProtection="1">
      <alignment horizontal="left" indent="6"/>
      <protection hidden="1"/>
    </xf>
    <xf numFmtId="169" fontId="81" fillId="0" borderId="9" xfId="0" applyNumberFormat="1" applyFont="1" applyBorder="1" applyAlignment="1" applyProtection="1">
      <alignment horizontal="left" indent="6"/>
      <protection hidden="1"/>
    </xf>
    <xf numFmtId="0" fontId="77" fillId="7" borderId="0" xfId="0" applyFont="1" applyFill="1"/>
    <xf numFmtId="0" fontId="0" fillId="5" borderId="1" xfId="0" applyFill="1" applyBorder="1" applyAlignment="1" applyProtection="1">
      <alignment horizontal="center" wrapText="1"/>
      <protection hidden="1"/>
    </xf>
    <xf numFmtId="0" fontId="96" fillId="0" borderId="0" xfId="0" applyFont="1" applyAlignment="1">
      <alignment horizontal="left" vertical="center" wrapText="1"/>
    </xf>
    <xf numFmtId="0" fontId="80" fillId="12" borderId="15" xfId="0" applyFont="1" applyFill="1" applyBorder="1" applyAlignment="1" applyProtection="1">
      <alignment horizontal="left"/>
      <protection hidden="1"/>
    </xf>
    <xf numFmtId="166" fontId="27" fillId="0" borderId="0" xfId="0" applyNumberFormat="1" applyFont="1" applyProtection="1">
      <protection hidden="1"/>
    </xf>
    <xf numFmtId="166" fontId="27" fillId="0" borderId="9" xfId="0" applyNumberFormat="1" applyFont="1" applyBorder="1" applyProtection="1">
      <protection hidden="1"/>
    </xf>
    <xf numFmtId="0" fontId="81" fillId="0" borderId="0" xfId="0" applyFont="1" applyAlignment="1">
      <alignment vertical="top"/>
    </xf>
    <xf numFmtId="0" fontId="80" fillId="0" borderId="0" xfId="0" applyFont="1" applyAlignment="1">
      <alignment horizontal="left"/>
    </xf>
    <xf numFmtId="0" fontId="80" fillId="12" borderId="8" xfId="0" applyFont="1" applyFill="1" applyBorder="1" applyAlignment="1" applyProtection="1">
      <alignment horizontal="left"/>
      <protection hidden="1"/>
    </xf>
    <xf numFmtId="0" fontId="99" fillId="0" borderId="0" xfId="0" applyFont="1" applyAlignment="1">
      <alignment horizontal="left" vertical="center" indent="1"/>
    </xf>
    <xf numFmtId="166" fontId="70" fillId="0" borderId="0" xfId="0" applyNumberFormat="1" applyFont="1" applyProtection="1">
      <protection hidden="1"/>
    </xf>
    <xf numFmtId="0" fontId="70" fillId="0" borderId="0" xfId="0" applyFont="1" applyAlignment="1">
      <alignment vertical="top"/>
    </xf>
    <xf numFmtId="0" fontId="107" fillId="0" borderId="0" xfId="0" applyFont="1" applyAlignment="1">
      <alignment vertical="top"/>
    </xf>
    <xf numFmtId="0" fontId="76" fillId="7" borderId="0" xfId="0" applyFont="1" applyFill="1" applyAlignment="1" applyProtection="1">
      <alignment horizontal="left"/>
      <protection hidden="1"/>
    </xf>
    <xf numFmtId="0" fontId="87" fillId="0" borderId="0" xfId="0" applyFont="1" applyProtection="1">
      <protection hidden="1"/>
    </xf>
    <xf numFmtId="14" fontId="74" fillId="0" borderId="15" xfId="0" applyNumberFormat="1" applyFont="1" applyBorder="1" applyProtection="1">
      <protection hidden="1"/>
    </xf>
    <xf numFmtId="14" fontId="74" fillId="0" borderId="14" xfId="0" applyNumberFormat="1" applyFont="1" applyBorder="1" applyProtection="1">
      <protection hidden="1"/>
    </xf>
    <xf numFmtId="0" fontId="40" fillId="7" borderId="0" xfId="0" applyFont="1" applyFill="1" applyAlignment="1" applyProtection="1">
      <alignment horizontal="center"/>
      <protection hidden="1"/>
    </xf>
    <xf numFmtId="0" fontId="73" fillId="7" borderId="0" xfId="0" applyFont="1" applyFill="1"/>
    <xf numFmtId="0" fontId="92" fillId="7" borderId="0" xfId="0" applyFont="1" applyFill="1"/>
    <xf numFmtId="0" fontId="108" fillId="0" borderId="0" xfId="0" applyFont="1" applyAlignment="1" applyProtection="1">
      <alignment horizontal="left" indent="1"/>
      <protection hidden="1"/>
    </xf>
    <xf numFmtId="0" fontId="102" fillId="0" borderId="0" xfId="0" applyFont="1" applyAlignment="1" applyProtection="1">
      <alignment horizontal="left" indent="1"/>
      <protection hidden="1"/>
    </xf>
    <xf numFmtId="0" fontId="73" fillId="0" borderId="0" xfId="0" applyFont="1" applyAlignment="1" applyProtection="1">
      <alignment horizontal="center" wrapText="1"/>
      <protection locked="0"/>
    </xf>
    <xf numFmtId="0" fontId="73" fillId="0" borderId="0" xfId="0" applyFont="1" applyAlignment="1" applyProtection="1">
      <alignment horizontal="center"/>
      <protection locked="0"/>
    </xf>
    <xf numFmtId="176" fontId="73" fillId="7" borderId="1" xfId="0" applyNumberFormat="1" applyFont="1" applyFill="1" applyBorder="1" applyAlignment="1" applyProtection="1">
      <alignment horizontal="center" wrapText="1"/>
      <protection hidden="1"/>
    </xf>
    <xf numFmtId="0" fontId="105" fillId="0" borderId="0" xfId="0" applyFont="1" applyAlignment="1">
      <alignment horizontal="center"/>
    </xf>
    <xf numFmtId="0" fontId="109" fillId="0" borderId="0" xfId="0" applyFont="1"/>
    <xf numFmtId="0" fontId="109" fillId="0" borderId="0" xfId="0" applyFont="1" applyAlignment="1">
      <alignment horizontal="left" vertical="top"/>
    </xf>
    <xf numFmtId="0" fontId="110" fillId="0" borderId="0" xfId="0" applyFont="1" applyProtection="1">
      <protection hidden="1"/>
    </xf>
    <xf numFmtId="0" fontId="50" fillId="6" borderId="0" xfId="0" applyFont="1" applyFill="1" applyAlignment="1" applyProtection="1">
      <alignment horizontal="left"/>
      <protection hidden="1"/>
    </xf>
    <xf numFmtId="9" fontId="110" fillId="0" borderId="0" xfId="0" applyNumberFormat="1" applyFont="1" applyProtection="1">
      <protection hidden="1"/>
    </xf>
    <xf numFmtId="0" fontId="111" fillId="0" borderId="0" xfId="0" applyFont="1" applyProtection="1">
      <protection hidden="1"/>
    </xf>
    <xf numFmtId="0" fontId="110" fillId="0" borderId="0" xfId="0" applyFont="1" applyAlignment="1" applyProtection="1">
      <alignment horizontal="left"/>
      <protection hidden="1"/>
    </xf>
    <xf numFmtId="0" fontId="110" fillId="0" borderId="0" xfId="0" applyFont="1" applyAlignment="1" applyProtection="1">
      <alignment horizontal="left" indent="1"/>
      <protection hidden="1"/>
    </xf>
    <xf numFmtId="3" fontId="110" fillId="0" borderId="0" xfId="0" applyNumberFormat="1" applyFont="1" applyProtection="1">
      <protection hidden="1"/>
    </xf>
    <xf numFmtId="9" fontId="110" fillId="0" borderId="0" xfId="0" applyNumberFormat="1" applyFont="1" applyAlignment="1" applyProtection="1">
      <alignment horizontal="left" indent="1"/>
      <protection hidden="1"/>
    </xf>
    <xf numFmtId="0" fontId="87" fillId="0" borderId="0" xfId="0" applyFont="1" applyAlignment="1" applyProtection="1">
      <alignment horizontal="left" indent="1"/>
      <protection hidden="1"/>
    </xf>
    <xf numFmtId="3" fontId="70" fillId="0" borderId="0" xfId="0" applyNumberFormat="1" applyFont="1" applyProtection="1">
      <protection hidden="1"/>
    </xf>
    <xf numFmtId="0" fontId="113" fillId="0" borderId="0" xfId="0" applyFont="1"/>
    <xf numFmtId="0" fontId="110" fillId="0" borderId="0" xfId="0" applyFont="1"/>
    <xf numFmtId="0" fontId="114" fillId="0" borderId="8" xfId="0" applyFont="1" applyBorder="1"/>
    <xf numFmtId="0" fontId="75" fillId="0" borderId="9" xfId="0" applyFont="1" applyBorder="1"/>
    <xf numFmtId="0" fontId="114" fillId="0" borderId="0" xfId="0" applyFont="1"/>
    <xf numFmtId="0" fontId="75" fillId="0" borderId="0" xfId="0" applyFont="1"/>
    <xf numFmtId="3" fontId="73" fillId="0" borderId="0" xfId="0" applyNumberFormat="1" applyFont="1" applyAlignment="1">
      <alignment horizontal="center"/>
    </xf>
    <xf numFmtId="9" fontId="73" fillId="0" borderId="0" xfId="0" applyNumberFormat="1" applyFont="1" applyAlignment="1">
      <alignment horizontal="center"/>
    </xf>
    <xf numFmtId="0" fontId="108" fillId="0" borderId="0" xfId="0" applyFont="1" applyAlignment="1">
      <alignment horizontal="left" indent="1"/>
    </xf>
    <xf numFmtId="0" fontId="72" fillId="0" borderId="0" xfId="0" applyFont="1"/>
    <xf numFmtId="3" fontId="108" fillId="0" borderId="0" xfId="0" applyNumberFormat="1" applyFont="1" applyAlignment="1">
      <alignment horizontal="center"/>
    </xf>
    <xf numFmtId="0" fontId="113" fillId="0" borderId="0" xfId="0" applyFont="1" applyAlignment="1">
      <alignment vertical="center"/>
    </xf>
    <xf numFmtId="176" fontId="73" fillId="7" borderId="14" xfId="0" applyNumberFormat="1" applyFont="1" applyFill="1" applyBorder="1" applyAlignment="1" applyProtection="1">
      <alignment horizontal="center" wrapText="1"/>
      <protection hidden="1"/>
    </xf>
    <xf numFmtId="176" fontId="115" fillId="0" borderId="0" xfId="0" applyNumberFormat="1" applyFont="1" applyProtection="1">
      <protection hidden="1"/>
    </xf>
    <xf numFmtId="0" fontId="116" fillId="0" borderId="0" xfId="0" applyFont="1"/>
    <xf numFmtId="165" fontId="73" fillId="0" borderId="0" xfId="0" applyNumberFormat="1" applyFont="1"/>
    <xf numFmtId="165" fontId="73" fillId="0" borderId="0" xfId="0" applyNumberFormat="1" applyFont="1" applyAlignment="1">
      <alignment horizontal="left" indent="3"/>
    </xf>
    <xf numFmtId="0" fontId="73" fillId="0" borderId="0" xfId="0" applyFont="1" applyAlignment="1">
      <alignment vertical="center"/>
    </xf>
    <xf numFmtId="0" fontId="81" fillId="0" borderId="11" xfId="0" applyFont="1" applyBorder="1" applyAlignment="1">
      <alignment vertical="center"/>
    </xf>
    <xf numFmtId="0" fontId="80" fillId="0" borderId="11" xfId="0" applyFont="1" applyBorder="1" applyAlignment="1">
      <alignment vertical="center"/>
    </xf>
    <xf numFmtId="176" fontId="70" fillId="0" borderId="0" xfId="0" applyNumberFormat="1" applyFont="1" applyProtection="1">
      <protection hidden="1"/>
    </xf>
    <xf numFmtId="166" fontId="80" fillId="0" borderId="0" xfId="0" applyNumberFormat="1" applyFont="1" applyAlignment="1">
      <alignment horizontal="left" wrapText="1"/>
    </xf>
    <xf numFmtId="0" fontId="73" fillId="0" borderId="0" xfId="0" applyFont="1" applyAlignment="1">
      <alignment horizontal="center"/>
    </xf>
    <xf numFmtId="0" fontId="73" fillId="0" borderId="0" xfId="0" applyFont="1" applyAlignment="1" applyProtection="1">
      <alignment horizontal="center" vertical="center"/>
      <protection locked="0"/>
    </xf>
    <xf numFmtId="165" fontId="73" fillId="0" borderId="0" xfId="0" applyNumberFormat="1" applyFont="1" applyAlignment="1">
      <alignment horizontal="center"/>
    </xf>
    <xf numFmtId="166" fontId="80" fillId="0" borderId="0" xfId="0" applyNumberFormat="1" applyFont="1"/>
    <xf numFmtId="0" fontId="73" fillId="0" borderId="0" xfId="0" applyFont="1" applyAlignment="1" applyProtection="1">
      <alignment vertical="center"/>
      <protection locked="0"/>
    </xf>
    <xf numFmtId="0" fontId="73" fillId="0" borderId="11" xfId="0" applyFont="1" applyBorder="1" applyAlignment="1" applyProtection="1">
      <alignment vertical="center"/>
      <protection locked="0"/>
    </xf>
    <xf numFmtId="0" fontId="80" fillId="0" borderId="0" xfId="0" applyFont="1" applyAlignment="1">
      <alignment horizontal="right"/>
    </xf>
    <xf numFmtId="166" fontId="80" fillId="0" borderId="11" xfId="0" applyNumberFormat="1" applyFont="1" applyBorder="1" applyAlignment="1">
      <alignment wrapText="1"/>
    </xf>
    <xf numFmtId="176" fontId="73" fillId="0" borderId="11" xfId="0" applyNumberFormat="1" applyFont="1" applyBorder="1" applyAlignment="1">
      <alignment vertical="center"/>
    </xf>
    <xf numFmtId="0" fontId="80" fillId="0" borderId="11" xfId="0" applyFont="1" applyBorder="1"/>
    <xf numFmtId="176" fontId="73" fillId="0" borderId="0" xfId="0" applyNumberFormat="1" applyFont="1" applyAlignment="1">
      <alignment vertical="center"/>
    </xf>
    <xf numFmtId="0" fontId="81" fillId="0" borderId="0" xfId="0" applyFont="1" applyAlignment="1">
      <alignment horizontal="center"/>
    </xf>
    <xf numFmtId="0" fontId="117" fillId="0" borderId="0" xfId="0" applyFont="1"/>
    <xf numFmtId="0" fontId="0" fillId="0" borderId="0" xfId="0" applyAlignment="1">
      <alignment horizontal="left" indent="5"/>
    </xf>
    <xf numFmtId="0" fontId="0" fillId="0" borderId="19" xfId="0" applyBorder="1"/>
    <xf numFmtId="0" fontId="0" fillId="0" borderId="20" xfId="0" applyBorder="1"/>
    <xf numFmtId="0" fontId="0" fillId="0" borderId="21" xfId="0" applyBorder="1"/>
    <xf numFmtId="172" fontId="68" fillId="0" borderId="22" xfId="2" applyNumberFormat="1" applyBorder="1"/>
    <xf numFmtId="0" fontId="0" fillId="0" borderId="23" xfId="0" applyBorder="1"/>
    <xf numFmtId="0" fontId="0" fillId="0" borderId="24" xfId="0" applyBorder="1"/>
    <xf numFmtId="10" fontId="68" fillId="0" borderId="25" xfId="21" applyNumberFormat="1" applyBorder="1"/>
    <xf numFmtId="0" fontId="0" fillId="0" borderId="26" xfId="0" applyBorder="1"/>
    <xf numFmtId="49" fontId="0" fillId="0" borderId="0" xfId="0" applyNumberFormat="1"/>
    <xf numFmtId="0" fontId="73" fillId="0" borderId="1" xfId="0" applyFont="1" applyBorder="1" applyAlignment="1" applyProtection="1">
      <alignment horizontal="center"/>
      <protection hidden="1"/>
    </xf>
    <xf numFmtId="0" fontId="24" fillId="0" borderId="0" xfId="0" applyFont="1"/>
    <xf numFmtId="0" fontId="118" fillId="0" borderId="0" xfId="0" applyFont="1"/>
    <xf numFmtId="0" fontId="119" fillId="0" borderId="0" xfId="0" applyFont="1"/>
    <xf numFmtId="0" fontId="120" fillId="0" borderId="0" xfId="0" applyFont="1"/>
    <xf numFmtId="0" fontId="99" fillId="0" borderId="0" xfId="0" applyFont="1"/>
    <xf numFmtId="0" fontId="70" fillId="0" borderId="0" xfId="0" applyFont="1" applyProtection="1">
      <protection hidden="1"/>
    </xf>
    <xf numFmtId="0" fontId="80" fillId="0" borderId="0" xfId="0" applyFont="1" applyAlignment="1">
      <alignment vertical="center" wrapText="1"/>
    </xf>
    <xf numFmtId="0" fontId="80" fillId="0" borderId="0" xfId="0" applyFont="1" applyAlignment="1">
      <alignment wrapText="1"/>
    </xf>
    <xf numFmtId="0" fontId="0" fillId="4" borderId="0" xfId="0" applyFill="1" applyProtection="1">
      <protection hidden="1"/>
    </xf>
    <xf numFmtId="0" fontId="85" fillId="7" borderId="9" xfId="0" applyFont="1" applyFill="1" applyBorder="1" applyProtection="1">
      <protection hidden="1"/>
    </xf>
    <xf numFmtId="0" fontId="73" fillId="7" borderId="12" xfId="0" applyFont="1" applyFill="1" applyBorder="1" applyProtection="1">
      <protection hidden="1"/>
    </xf>
    <xf numFmtId="0" fontId="0" fillId="7" borderId="11" xfId="0" applyFill="1" applyBorder="1" applyProtection="1">
      <protection hidden="1"/>
    </xf>
    <xf numFmtId="0" fontId="72" fillId="4" borderId="0" xfId="0" applyFont="1" applyFill="1" applyProtection="1">
      <protection hidden="1"/>
    </xf>
    <xf numFmtId="0" fontId="122" fillId="0" borderId="0" xfId="0" applyFont="1" applyAlignment="1" applyProtection="1">
      <alignment horizontal="left" indent="2"/>
      <protection hidden="1"/>
    </xf>
    <xf numFmtId="0" fontId="123" fillId="0" borderId="0" xfId="0" applyFont="1" applyProtection="1">
      <protection hidden="1"/>
    </xf>
    <xf numFmtId="0" fontId="0" fillId="11" borderId="11" xfId="0" applyFill="1" applyBorder="1" applyProtection="1">
      <protection hidden="1"/>
    </xf>
    <xf numFmtId="2" fontId="0" fillId="0" borderId="0" xfId="0" applyNumberFormat="1" applyProtection="1">
      <protection hidden="1"/>
    </xf>
    <xf numFmtId="2" fontId="110" fillId="0" borderId="0" xfId="0" applyNumberFormat="1" applyFont="1" applyProtection="1">
      <protection hidden="1"/>
    </xf>
    <xf numFmtId="2" fontId="73" fillId="0" borderId="0" xfId="0" applyNumberFormat="1" applyFont="1" applyProtection="1">
      <protection hidden="1"/>
    </xf>
    <xf numFmtId="2" fontId="111" fillId="0" borderId="0" xfId="0" applyNumberFormat="1" applyFont="1" applyProtection="1">
      <protection hidden="1"/>
    </xf>
    <xf numFmtId="2" fontId="0" fillId="0" borderId="0" xfId="0" applyNumberFormat="1"/>
    <xf numFmtId="0" fontId="0" fillId="0" borderId="0" xfId="0" applyAlignment="1">
      <alignment horizontal="center" vertical="center"/>
    </xf>
    <xf numFmtId="176" fontId="0" fillId="0" borderId="0" xfId="0" applyNumberFormat="1"/>
    <xf numFmtId="176" fontId="0" fillId="0" borderId="0" xfId="0" applyNumberFormat="1" applyAlignment="1">
      <alignment horizontal="left" vertical="center"/>
    </xf>
    <xf numFmtId="0" fontId="70" fillId="0" borderId="0" xfId="0" applyFont="1" applyAlignment="1">
      <alignment horizontal="center" vertical="center"/>
    </xf>
    <xf numFmtId="176" fontId="0" fillId="0" borderId="0" xfId="0" applyNumberFormat="1" applyAlignment="1">
      <alignment vertical="center"/>
    </xf>
    <xf numFmtId="166" fontId="0" fillId="0" borderId="0" xfId="0" applyNumberFormat="1" applyAlignment="1">
      <alignment vertical="center"/>
    </xf>
    <xf numFmtId="0" fontId="35" fillId="0" borderId="0" xfId="4" applyAlignment="1">
      <protection locked="0"/>
    </xf>
    <xf numFmtId="0" fontId="32" fillId="0" borderId="0" xfId="0" applyFont="1" applyAlignment="1">
      <alignment horizontal="center" vertical="center"/>
    </xf>
    <xf numFmtId="176" fontId="73" fillId="0" borderId="0" xfId="0" applyNumberFormat="1" applyFont="1" applyAlignment="1">
      <alignment horizontal="left"/>
    </xf>
    <xf numFmtId="0" fontId="56" fillId="0" borderId="0" xfId="0" applyFont="1"/>
    <xf numFmtId="0" fontId="128" fillId="0" borderId="0" xfId="0" applyFont="1"/>
    <xf numFmtId="0" fontId="87" fillId="0" borderId="0" xfId="0" applyFont="1"/>
    <xf numFmtId="0" fontId="96" fillId="0" borderId="0" xfId="0" applyFont="1" applyAlignment="1" applyProtection="1">
      <alignment horizontal="left" vertical="center" indent="2"/>
      <protection hidden="1"/>
    </xf>
    <xf numFmtId="166" fontId="75" fillId="0" borderId="0" xfId="0" applyNumberFormat="1" applyFont="1" applyProtection="1">
      <protection hidden="1"/>
    </xf>
    <xf numFmtId="0" fontId="51" fillId="0" borderId="11" xfId="4" applyFont="1" applyBorder="1" applyAlignment="1">
      <protection locked="0"/>
    </xf>
    <xf numFmtId="0" fontId="70" fillId="0" borderId="11" xfId="0" applyFont="1" applyBorder="1"/>
    <xf numFmtId="0" fontId="0" fillId="0" borderId="9" xfId="0" applyBorder="1" applyProtection="1">
      <protection hidden="1"/>
    </xf>
    <xf numFmtId="0" fontId="70" fillId="0" borderId="0" xfId="0" applyFont="1" applyAlignment="1">
      <alignment vertical="top" wrapText="1"/>
    </xf>
    <xf numFmtId="176" fontId="70" fillId="7" borderId="15" xfId="0" applyNumberFormat="1" applyFont="1" applyFill="1" applyBorder="1" applyAlignment="1" applyProtection="1">
      <alignment horizontal="center" wrapText="1"/>
      <protection hidden="1"/>
    </xf>
    <xf numFmtId="0" fontId="32" fillId="0" borderId="0" xfId="10" applyFont="1" applyAlignment="1" applyProtection="1">
      <alignment horizontal="center"/>
      <protection locked="0" hidden="1"/>
    </xf>
    <xf numFmtId="0" fontId="81" fillId="0" borderId="0" xfId="0" applyFont="1" applyAlignment="1">
      <alignment horizontal="left" wrapText="1"/>
    </xf>
    <xf numFmtId="49" fontId="80" fillId="0" borderId="0" xfId="0" applyNumberFormat="1" applyFont="1" applyAlignment="1">
      <alignment vertical="center"/>
    </xf>
    <xf numFmtId="0" fontId="99" fillId="0" borderId="0" xfId="0" applyFont="1" applyAlignment="1">
      <alignment horizontal="left" vertical="center"/>
    </xf>
    <xf numFmtId="0" fontId="80" fillId="0" borderId="0" xfId="0" applyFont="1" applyAlignment="1">
      <alignment horizontal="left" vertical="center" indent="2"/>
    </xf>
    <xf numFmtId="166" fontId="73" fillId="0" borderId="0" xfId="0" applyNumberFormat="1" applyFont="1"/>
    <xf numFmtId="173" fontId="73" fillId="0" borderId="0" xfId="0" applyNumberFormat="1" applyFont="1" applyAlignment="1">
      <alignment horizontal="left"/>
    </xf>
    <xf numFmtId="14" fontId="73" fillId="0" borderId="0" xfId="0" applyNumberFormat="1" applyFont="1" applyAlignment="1">
      <alignment horizontal="right" wrapText="1"/>
    </xf>
    <xf numFmtId="0" fontId="73" fillId="0" borderId="0" xfId="0" applyFont="1" applyAlignment="1">
      <alignment horizontal="right" wrapText="1"/>
    </xf>
    <xf numFmtId="165" fontId="87" fillId="0" borderId="0" xfId="0" applyNumberFormat="1" applyFont="1" applyProtection="1">
      <protection hidden="1"/>
    </xf>
    <xf numFmtId="166" fontId="70" fillId="0" borderId="0" xfId="0" applyNumberFormat="1" applyFont="1" applyAlignment="1">
      <alignment wrapText="1"/>
    </xf>
    <xf numFmtId="0" fontId="0" fillId="15" borderId="12" xfId="0" applyFill="1" applyBorder="1" applyAlignment="1" applyProtection="1">
      <alignment horizontal="center"/>
      <protection hidden="1"/>
    </xf>
    <xf numFmtId="0" fontId="26" fillId="5" borderId="1" xfId="0" quotePrefix="1" applyFont="1" applyFill="1" applyBorder="1" applyProtection="1">
      <protection hidden="1"/>
    </xf>
    <xf numFmtId="0" fontId="25" fillId="5" borderId="1" xfId="0" applyFont="1" applyFill="1" applyBorder="1" applyAlignment="1" applyProtection="1">
      <alignment horizontal="center" wrapText="1"/>
      <protection hidden="1"/>
    </xf>
    <xf numFmtId="0" fontId="41" fillId="5" borderId="1" xfId="0" applyFont="1" applyFill="1" applyBorder="1" applyAlignment="1" applyProtection="1">
      <alignment horizontal="left" wrapText="1"/>
      <protection hidden="1"/>
    </xf>
    <xf numFmtId="0" fontId="41" fillId="5" borderId="1" xfId="0" applyFont="1" applyFill="1" applyBorder="1" applyAlignment="1" applyProtection="1">
      <alignment horizontal="center" wrapText="1"/>
      <protection hidden="1"/>
    </xf>
    <xf numFmtId="0" fontId="26" fillId="5" borderId="1" xfId="0" applyFont="1" applyFill="1" applyBorder="1" applyAlignment="1" applyProtection="1">
      <alignment horizontal="center"/>
      <protection hidden="1"/>
    </xf>
    <xf numFmtId="0" fontId="40" fillId="5" borderId="1" xfId="0" applyFont="1" applyFill="1" applyBorder="1" applyProtection="1">
      <protection hidden="1"/>
    </xf>
    <xf numFmtId="0" fontId="40" fillId="5" borderId="15" xfId="0" applyFont="1" applyFill="1" applyBorder="1" applyProtection="1">
      <protection hidden="1"/>
    </xf>
    <xf numFmtId="0" fontId="26" fillId="5" borderId="1" xfId="0" applyFont="1" applyFill="1" applyBorder="1" applyProtection="1">
      <protection hidden="1"/>
    </xf>
    <xf numFmtId="0" fontId="41" fillId="5" borderId="1" xfId="0" applyFont="1" applyFill="1" applyBorder="1" applyProtection="1">
      <protection hidden="1"/>
    </xf>
    <xf numFmtId="0" fontId="41" fillId="0" borderId="0" xfId="0" applyFont="1" applyAlignment="1" applyProtection="1">
      <alignment horizontal="center" wrapText="1"/>
      <protection hidden="1"/>
    </xf>
    <xf numFmtId="0" fontId="41" fillId="0" borderId="0" xfId="0" applyFont="1" applyAlignment="1" applyProtection="1">
      <alignment horizontal="left" wrapText="1"/>
      <protection hidden="1"/>
    </xf>
    <xf numFmtId="0" fontId="40" fillId="0" borderId="0" xfId="0" applyFont="1" applyProtection="1">
      <protection hidden="1"/>
    </xf>
    <xf numFmtId="0" fontId="40" fillId="0" borderId="0" xfId="0" applyFont="1" applyAlignment="1" applyProtection="1">
      <alignment horizontal="center"/>
      <protection hidden="1"/>
    </xf>
    <xf numFmtId="0" fontId="21" fillId="0" borderId="0" xfId="0" applyFont="1" applyProtection="1">
      <protection hidden="1"/>
    </xf>
    <xf numFmtId="0" fontId="24" fillId="15" borderId="13" xfId="0" applyFont="1" applyFill="1" applyBorder="1" applyProtection="1">
      <protection hidden="1"/>
    </xf>
    <xf numFmtId="0" fontId="31" fillId="0" borderId="0" xfId="0" applyFont="1" applyAlignment="1" applyProtection="1">
      <alignment horizontal="left" wrapText="1"/>
      <protection hidden="1"/>
    </xf>
    <xf numFmtId="0" fontId="20" fillId="5" borderId="1" xfId="0" applyFont="1" applyFill="1" applyBorder="1" applyAlignment="1" applyProtection="1">
      <alignment wrapText="1"/>
      <protection hidden="1"/>
    </xf>
    <xf numFmtId="1" fontId="80" fillId="5" borderId="1" xfId="0" applyNumberFormat="1" applyFont="1" applyFill="1" applyBorder="1" applyAlignment="1" applyProtection="1">
      <alignment wrapText="1"/>
      <protection hidden="1"/>
    </xf>
    <xf numFmtId="0" fontId="21" fillId="5" borderId="1" xfId="0" applyFont="1" applyFill="1" applyBorder="1" applyAlignment="1" applyProtection="1">
      <alignment wrapText="1"/>
      <protection hidden="1"/>
    </xf>
    <xf numFmtId="0" fontId="24" fillId="5" borderId="1" xfId="0" applyFont="1" applyFill="1" applyBorder="1" applyProtection="1">
      <protection hidden="1"/>
    </xf>
    <xf numFmtId="0" fontId="40" fillId="5" borderId="2" xfId="0" applyFont="1" applyFill="1" applyBorder="1" applyProtection="1">
      <protection hidden="1"/>
    </xf>
    <xf numFmtId="0" fontId="40" fillId="5" borderId="1" xfId="0" applyFont="1" applyFill="1" applyBorder="1" applyAlignment="1" applyProtection="1">
      <alignment horizontal="center"/>
      <protection hidden="1"/>
    </xf>
    <xf numFmtId="0" fontId="74" fillId="5" borderId="1" xfId="0" applyFont="1" applyFill="1" applyBorder="1" applyProtection="1">
      <protection hidden="1"/>
    </xf>
    <xf numFmtId="3" fontId="40" fillId="5" borderId="1" xfId="0" applyNumberFormat="1" applyFont="1" applyFill="1" applyBorder="1" applyAlignment="1" applyProtection="1">
      <alignment horizontal="center"/>
      <protection hidden="1"/>
    </xf>
    <xf numFmtId="0" fontId="40" fillId="14" borderId="1" xfId="0" applyFont="1" applyFill="1" applyBorder="1" applyAlignment="1" applyProtection="1">
      <alignment horizontal="center"/>
      <protection hidden="1"/>
    </xf>
    <xf numFmtId="3" fontId="40" fillId="0" borderId="0" xfId="0" applyNumberFormat="1" applyFont="1" applyProtection="1">
      <protection hidden="1"/>
    </xf>
    <xf numFmtId="166" fontId="71" fillId="0" borderId="0" xfId="0" applyNumberFormat="1" applyFont="1" applyAlignment="1">
      <alignment vertical="center"/>
    </xf>
    <xf numFmtId="0" fontId="48" fillId="0" borderId="0" xfId="0" applyFont="1" applyProtection="1">
      <protection hidden="1"/>
    </xf>
    <xf numFmtId="0" fontId="48" fillId="0" borderId="0" xfId="0" applyFont="1" applyAlignment="1" applyProtection="1">
      <alignment horizontal="center"/>
      <protection hidden="1"/>
    </xf>
    <xf numFmtId="0" fontId="32" fillId="0" borderId="0" xfId="0" applyFont="1"/>
    <xf numFmtId="0" fontId="32" fillId="0" borderId="0" xfId="0" applyFont="1" applyAlignment="1">
      <alignment horizontal="center"/>
    </xf>
    <xf numFmtId="0" fontId="40" fillId="0" borderId="0" xfId="0" applyFont="1" applyAlignment="1">
      <alignment horizontal="center"/>
    </xf>
    <xf numFmtId="0" fontId="0" fillId="0" borderId="14" xfId="0" applyBorder="1"/>
    <xf numFmtId="49" fontId="90" fillId="0" borderId="0" xfId="0" applyNumberFormat="1" applyFont="1" applyProtection="1">
      <protection hidden="1"/>
    </xf>
    <xf numFmtId="166" fontId="90" fillId="0" borderId="0" xfId="0" applyNumberFormat="1" applyFont="1" applyAlignment="1" applyProtection="1">
      <alignment vertical="center"/>
      <protection hidden="1"/>
    </xf>
    <xf numFmtId="176" fontId="90" fillId="0" borderId="0" xfId="0" applyNumberFormat="1" applyFont="1" applyAlignment="1" applyProtection="1">
      <alignment vertical="center"/>
      <protection hidden="1"/>
    </xf>
    <xf numFmtId="0" fontId="41" fillId="0" borderId="0" xfId="0" applyFont="1" applyProtection="1">
      <protection hidden="1"/>
    </xf>
    <xf numFmtId="0" fontId="90" fillId="0" borderId="0" xfId="0" applyFont="1" applyAlignment="1" applyProtection="1">
      <alignment horizontal="center"/>
      <protection hidden="1"/>
    </xf>
    <xf numFmtId="0" fontId="90" fillId="15" borderId="12" xfId="0" applyFont="1" applyFill="1" applyBorder="1" applyAlignment="1" applyProtection="1">
      <alignment horizontal="center"/>
      <protection hidden="1"/>
    </xf>
    <xf numFmtId="0" fontId="41" fillId="15" borderId="13" xfId="0" applyFont="1" applyFill="1" applyBorder="1" applyProtection="1">
      <protection hidden="1"/>
    </xf>
    <xf numFmtId="176" fontId="60" fillId="0" borderId="0" xfId="0" applyNumberFormat="1" applyFont="1" applyAlignment="1" applyProtection="1">
      <alignment vertical="center"/>
      <protection hidden="1"/>
    </xf>
    <xf numFmtId="0" fontId="40" fillId="0" borderId="0" xfId="0" quotePrefix="1" applyFont="1" applyProtection="1">
      <protection hidden="1"/>
    </xf>
    <xf numFmtId="0" fontId="40" fillId="5" borderId="1" xfId="0" quotePrefix="1" applyFont="1" applyFill="1" applyBorder="1" applyProtection="1">
      <protection hidden="1"/>
    </xf>
    <xf numFmtId="166" fontId="31" fillId="0" borderId="0" xfId="0" applyNumberFormat="1" applyFont="1" applyAlignment="1" applyProtection="1">
      <alignment horizontal="center" vertical="center" wrapText="1"/>
      <protection hidden="1"/>
    </xf>
    <xf numFmtId="176" fontId="31" fillId="0" borderId="0" xfId="0" applyNumberFormat="1" applyFont="1" applyAlignment="1" applyProtection="1">
      <alignment horizontal="center" vertical="center" wrapText="1"/>
      <protection hidden="1"/>
    </xf>
    <xf numFmtId="0" fontId="62" fillId="0" borderId="0" xfId="0" applyFont="1" applyAlignment="1" applyProtection="1">
      <alignment horizontal="center" vertical="center" wrapText="1"/>
      <protection hidden="1"/>
    </xf>
    <xf numFmtId="0" fontId="90" fillId="0" borderId="0" xfId="0" applyFont="1" applyAlignment="1" applyProtection="1">
      <alignment wrapText="1"/>
      <protection hidden="1"/>
    </xf>
    <xf numFmtId="4" fontId="90" fillId="0" borderId="0" xfId="0" applyNumberFormat="1" applyFont="1" applyProtection="1">
      <protection hidden="1"/>
    </xf>
    <xf numFmtId="166" fontId="32" fillId="0" borderId="0" xfId="0" applyNumberFormat="1" applyFont="1" applyAlignment="1" applyProtection="1">
      <alignment vertical="center"/>
      <protection hidden="1"/>
    </xf>
    <xf numFmtId="176" fontId="32" fillId="0" borderId="0" xfId="0" applyNumberFormat="1" applyFont="1" applyAlignment="1" applyProtection="1">
      <alignment horizontal="right" vertical="center"/>
      <protection hidden="1"/>
    </xf>
    <xf numFmtId="166" fontId="40" fillId="0" borderId="0" xfId="0" applyNumberFormat="1" applyFont="1" applyAlignment="1" applyProtection="1">
      <alignment wrapText="1"/>
      <protection hidden="1"/>
    </xf>
    <xf numFmtId="0" fontId="40" fillId="0" borderId="0" xfId="0" applyFont="1" applyAlignment="1" applyProtection="1">
      <alignment wrapText="1"/>
      <protection hidden="1"/>
    </xf>
    <xf numFmtId="3" fontId="40" fillId="0" borderId="0" xfId="0" applyNumberFormat="1" applyFont="1" applyAlignment="1" applyProtection="1">
      <alignment wrapText="1"/>
      <protection hidden="1"/>
    </xf>
    <xf numFmtId="0" fontId="40" fillId="5" borderId="15" xfId="0" quotePrefix="1" applyFont="1" applyFill="1" applyBorder="1" applyProtection="1">
      <protection hidden="1"/>
    </xf>
    <xf numFmtId="0" fontId="31" fillId="0" borderId="0" xfId="0" applyFont="1" applyProtection="1">
      <protection hidden="1"/>
    </xf>
    <xf numFmtId="0" fontId="32" fillId="0" borderId="0" xfId="0" applyFont="1" applyProtection="1">
      <protection hidden="1"/>
    </xf>
    <xf numFmtId="0" fontId="40" fillId="14" borderId="1" xfId="0" applyFont="1" applyFill="1" applyBorder="1" applyProtection="1">
      <protection hidden="1"/>
    </xf>
    <xf numFmtId="0" fontId="90" fillId="0" borderId="0" xfId="0" applyFont="1"/>
    <xf numFmtId="166" fontId="90" fillId="0" borderId="0" xfId="0" applyNumberFormat="1" applyFont="1" applyAlignment="1">
      <alignment vertical="center"/>
    </xf>
    <xf numFmtId="176" fontId="90" fillId="0" borderId="0" xfId="0" applyNumberFormat="1" applyFont="1" applyAlignment="1">
      <alignment vertical="center"/>
    </xf>
    <xf numFmtId="166" fontId="40" fillId="0" borderId="0" xfId="0" applyNumberFormat="1" applyFont="1" applyAlignment="1">
      <alignment wrapText="1"/>
    </xf>
    <xf numFmtId="3" fontId="40" fillId="0" borderId="0" xfId="0" applyNumberFormat="1" applyFont="1" applyAlignment="1">
      <alignment wrapText="1"/>
    </xf>
    <xf numFmtId="0" fontId="57" fillId="0" borderId="0" xfId="0" applyFont="1" applyProtection="1">
      <protection hidden="1"/>
    </xf>
    <xf numFmtId="1" fontId="37" fillId="5" borderId="1" xfId="0" applyNumberFormat="1" applyFont="1" applyFill="1" applyBorder="1" applyAlignment="1" applyProtection="1">
      <alignment wrapText="1"/>
      <protection hidden="1"/>
    </xf>
    <xf numFmtId="166" fontId="37" fillId="5" borderId="1" xfId="0" applyNumberFormat="1" applyFont="1" applyFill="1" applyBorder="1" applyAlignment="1" applyProtection="1">
      <alignment wrapText="1"/>
      <protection hidden="1"/>
    </xf>
    <xf numFmtId="0" fontId="58" fillId="5" borderId="1" xfId="0" applyFont="1" applyFill="1" applyBorder="1" applyAlignment="1" applyProtection="1">
      <alignment wrapText="1"/>
      <protection hidden="1"/>
    </xf>
    <xf numFmtId="0" fontId="37" fillId="5" borderId="1" xfId="0" applyFont="1" applyFill="1" applyBorder="1" applyAlignment="1" applyProtection="1">
      <alignment wrapText="1"/>
      <protection hidden="1"/>
    </xf>
    <xf numFmtId="0" fontId="37" fillId="16" borderId="1" xfId="0" applyFont="1" applyFill="1" applyBorder="1" applyAlignment="1" applyProtection="1">
      <alignment wrapText="1"/>
      <protection hidden="1"/>
    </xf>
    <xf numFmtId="0" fontId="57" fillId="5" borderId="1" xfId="0" applyFont="1" applyFill="1" applyBorder="1" applyProtection="1">
      <protection hidden="1"/>
    </xf>
    <xf numFmtId="0" fontId="40" fillId="5" borderId="15" xfId="0" applyFont="1" applyFill="1" applyBorder="1" applyAlignment="1" applyProtection="1">
      <alignment wrapText="1"/>
      <protection hidden="1"/>
    </xf>
    <xf numFmtId="49" fontId="90" fillId="0" borderId="0" xfId="0" applyNumberFormat="1" applyFont="1"/>
    <xf numFmtId="49" fontId="90" fillId="0" borderId="0" xfId="0" applyNumberFormat="1" applyFont="1" applyAlignment="1" applyProtection="1">
      <alignment horizontal="center"/>
      <protection hidden="1"/>
    </xf>
    <xf numFmtId="49" fontId="40" fillId="0" borderId="0" xfId="0" applyNumberFormat="1" applyFont="1" applyAlignment="1" applyProtection="1">
      <alignment horizontal="center"/>
      <protection hidden="1"/>
    </xf>
    <xf numFmtId="49" fontId="40" fillId="0" borderId="0" xfId="0" applyNumberFormat="1" applyFont="1" applyProtection="1">
      <protection hidden="1"/>
    </xf>
    <xf numFmtId="49" fontId="41" fillId="0" borderId="0" xfId="0" applyNumberFormat="1" applyFont="1" applyProtection="1">
      <protection hidden="1"/>
    </xf>
    <xf numFmtId="0" fontId="74" fillId="0" borderId="0" xfId="0" applyFont="1" applyAlignment="1" applyProtection="1">
      <alignment horizontal="center"/>
      <protection hidden="1"/>
    </xf>
    <xf numFmtId="0" fontId="0" fillId="0" borderId="0" xfId="0" applyAlignment="1" applyProtection="1">
      <alignment horizontal="left" indent="2"/>
      <protection hidden="1"/>
    </xf>
    <xf numFmtId="0" fontId="71" fillId="0" borderId="0" xfId="0" applyFont="1"/>
    <xf numFmtId="0" fontId="132" fillId="0" borderId="0" xfId="0" applyFont="1"/>
    <xf numFmtId="0" fontId="111" fillId="7" borderId="0" xfId="0" applyFont="1" applyFill="1" applyProtection="1">
      <protection hidden="1"/>
    </xf>
    <xf numFmtId="176" fontId="133" fillId="10" borderId="0" xfId="0" applyNumberFormat="1" applyFont="1" applyFill="1" applyProtection="1">
      <protection hidden="1"/>
    </xf>
    <xf numFmtId="176" fontId="133" fillId="0" borderId="0" xfId="0" applyNumberFormat="1" applyFont="1" applyProtection="1">
      <protection hidden="1"/>
    </xf>
    <xf numFmtId="0" fontId="96" fillId="7" borderId="0" xfId="0" applyFont="1" applyFill="1" applyProtection="1">
      <protection hidden="1"/>
    </xf>
    <xf numFmtId="0" fontId="96" fillId="10" borderId="0" xfId="0" applyFont="1" applyFill="1" applyProtection="1">
      <protection hidden="1"/>
    </xf>
    <xf numFmtId="14" fontId="74" fillId="0" borderId="15" xfId="0" applyNumberFormat="1" applyFont="1" applyBorder="1" applyAlignment="1" applyProtection="1">
      <alignment horizontal="left"/>
      <protection hidden="1"/>
    </xf>
    <xf numFmtId="0" fontId="0" fillId="0" borderId="14" xfId="0" applyBorder="1" applyProtection="1">
      <protection hidden="1"/>
    </xf>
    <xf numFmtId="0" fontId="0" fillId="15" borderId="15" xfId="0" applyFill="1" applyBorder="1" applyAlignment="1" applyProtection="1">
      <alignment horizontal="center"/>
      <protection hidden="1"/>
    </xf>
    <xf numFmtId="0" fontId="41" fillId="14" borderId="2" xfId="0" applyFont="1" applyFill="1" applyBorder="1" applyAlignment="1" applyProtection="1">
      <alignment horizontal="center" wrapText="1"/>
      <protection hidden="1"/>
    </xf>
    <xf numFmtId="0" fontId="41" fillId="14" borderId="1" xfId="0" applyFont="1" applyFill="1" applyBorder="1" applyAlignment="1" applyProtection="1">
      <alignment horizontal="center" wrapText="1"/>
      <protection hidden="1"/>
    </xf>
    <xf numFmtId="0" fontId="40" fillId="14" borderId="1" xfId="0" quotePrefix="1" applyFont="1" applyFill="1" applyBorder="1" applyProtection="1">
      <protection hidden="1"/>
    </xf>
    <xf numFmtId="0" fontId="90" fillId="14" borderId="1" xfId="0" applyFont="1" applyFill="1" applyBorder="1" applyAlignment="1" applyProtection="1">
      <alignment horizontal="center"/>
      <protection hidden="1"/>
    </xf>
    <xf numFmtId="0" fontId="41" fillId="14" borderId="1" xfId="0" applyFont="1" applyFill="1" applyBorder="1" applyProtection="1">
      <protection hidden="1"/>
    </xf>
    <xf numFmtId="0" fontId="0" fillId="14" borderId="1" xfId="0" applyFill="1" applyBorder="1"/>
    <xf numFmtId="0" fontId="70" fillId="5" borderId="1" xfId="0" applyFont="1" applyFill="1" applyBorder="1" applyAlignment="1" applyProtection="1">
      <alignment wrapText="1"/>
      <protection hidden="1"/>
    </xf>
    <xf numFmtId="0" fontId="25" fillId="5" borderId="1" xfId="0" applyFont="1" applyFill="1" applyBorder="1" applyProtection="1">
      <protection hidden="1"/>
    </xf>
    <xf numFmtId="0" fontId="100" fillId="5" borderId="1" xfId="0" applyFont="1" applyFill="1" applyBorder="1" applyProtection="1">
      <protection hidden="1"/>
    </xf>
    <xf numFmtId="0" fontId="70" fillId="0" borderId="0" xfId="0" applyFont="1" applyAlignment="1">
      <alignment horizontal="center"/>
    </xf>
    <xf numFmtId="0" fontId="90" fillId="0" borderId="14" xfId="0" applyFont="1" applyBorder="1" applyProtection="1">
      <protection hidden="1"/>
    </xf>
    <xf numFmtId="0" fontId="40" fillId="0" borderId="15" xfId="0" applyFont="1" applyBorder="1" applyAlignment="1" applyProtection="1">
      <alignment horizontal="left" indent="21"/>
      <protection hidden="1"/>
    </xf>
    <xf numFmtId="49" fontId="0" fillId="0" borderId="0" xfId="0" applyNumberFormat="1" applyAlignment="1" applyProtection="1">
      <alignment horizontal="center"/>
      <protection hidden="1"/>
    </xf>
    <xf numFmtId="0" fontId="0" fillId="0" borderId="1" xfId="0" applyBorder="1" applyAlignment="1" applyProtection="1">
      <alignment horizontal="center" wrapText="1"/>
      <protection hidden="1"/>
    </xf>
    <xf numFmtId="176" fontId="133" fillId="0" borderId="0" xfId="0" applyNumberFormat="1" applyFont="1" applyAlignment="1" applyProtection="1">
      <alignment horizontal="center"/>
      <protection hidden="1"/>
    </xf>
    <xf numFmtId="49" fontId="110" fillId="0" borderId="0" xfId="0" applyNumberFormat="1" applyFont="1" applyAlignment="1" applyProtection="1">
      <alignment horizontal="center"/>
      <protection hidden="1"/>
    </xf>
    <xf numFmtId="49" fontId="73" fillId="0" borderId="0" xfId="0" applyNumberFormat="1" applyFont="1" applyAlignment="1" applyProtection="1">
      <alignment horizontal="center"/>
      <protection hidden="1"/>
    </xf>
    <xf numFmtId="49" fontId="111" fillId="0" borderId="0" xfId="0" applyNumberFormat="1" applyFont="1" applyAlignment="1" applyProtection="1">
      <alignment horizontal="center"/>
      <protection hidden="1"/>
    </xf>
    <xf numFmtId="49" fontId="0" fillId="0" borderId="0" xfId="0" applyNumberFormat="1" applyAlignment="1">
      <alignment horizontal="center"/>
    </xf>
    <xf numFmtId="0" fontId="40" fillId="5" borderId="1" xfId="10" applyFont="1" applyFill="1" applyBorder="1"/>
    <xf numFmtId="0" fontId="135" fillId="0" borderId="0" xfId="0" applyFont="1"/>
    <xf numFmtId="0" fontId="136" fillId="0" borderId="0" xfId="0" applyFont="1" applyAlignment="1">
      <alignment horizontal="left" indent="2"/>
    </xf>
    <xf numFmtId="0" fontId="137" fillId="0" borderId="0" xfId="0" applyFont="1" applyAlignment="1">
      <alignment vertical="top"/>
    </xf>
    <xf numFmtId="0" fontId="138" fillId="0" borderId="0" xfId="0" applyFont="1" applyAlignment="1">
      <alignment horizontal="left" vertical="top" wrapText="1"/>
    </xf>
    <xf numFmtId="0" fontId="113" fillId="0" borderId="0" xfId="0" applyFont="1" applyProtection="1">
      <protection locked="0"/>
    </xf>
    <xf numFmtId="0" fontId="143" fillId="0" borderId="0" xfId="4" applyFont="1" applyAlignment="1">
      <protection locked="0"/>
    </xf>
    <xf numFmtId="0" fontId="113" fillId="0" borderId="0" xfId="0" applyFont="1" applyAlignment="1" applyProtection="1">
      <alignment horizontal="left"/>
      <protection locked="0"/>
    </xf>
    <xf numFmtId="0" fontId="143" fillId="0" borderId="11" xfId="4" applyFont="1" applyBorder="1" applyAlignment="1">
      <protection locked="0"/>
    </xf>
    <xf numFmtId="0" fontId="113" fillId="0" borderId="11" xfId="0" applyFont="1" applyBorder="1" applyAlignment="1" applyProtection="1">
      <alignment horizontal="left"/>
      <protection locked="0"/>
    </xf>
    <xf numFmtId="0" fontId="142" fillId="0" borderId="6" xfId="0" applyFont="1" applyBorder="1" applyAlignment="1">
      <alignment vertical="top"/>
    </xf>
    <xf numFmtId="0" fontId="114" fillId="0" borderId="9" xfId="0" applyFont="1" applyBorder="1"/>
    <xf numFmtId="0" fontId="51" fillId="0" borderId="11" xfId="4" applyFont="1" applyBorder="1" applyAlignment="1" applyProtection="1"/>
    <xf numFmtId="0" fontId="110" fillId="0" borderId="0" xfId="0" applyFont="1" applyProtection="1">
      <protection locked="0"/>
    </xf>
    <xf numFmtId="0" fontId="135" fillId="0" borderId="0" xfId="0" applyFont="1" applyAlignment="1">
      <alignment vertical="center"/>
    </xf>
    <xf numFmtId="0" fontId="63" fillId="0" borderId="0" xfId="0" applyFont="1"/>
    <xf numFmtId="0" fontId="63" fillId="0" borderId="0" xfId="0" applyFont="1" applyAlignment="1">
      <alignment horizontal="left"/>
    </xf>
    <xf numFmtId="0" fontId="63" fillId="0" borderId="0" xfId="0" applyFont="1" applyAlignment="1">
      <alignment vertical="top"/>
    </xf>
    <xf numFmtId="0" fontId="63" fillId="0" borderId="0" xfId="0" applyFont="1" applyAlignment="1">
      <alignment vertical="center"/>
    </xf>
    <xf numFmtId="0" fontId="40" fillId="0" borderId="0" xfId="0" applyFont="1" applyAlignment="1">
      <alignment horizontal="left" vertical="top"/>
    </xf>
    <xf numFmtId="0" fontId="40" fillId="0" borderId="0" xfId="0" applyFont="1" applyAlignment="1">
      <alignment horizontal="left" vertical="center" wrapText="1"/>
    </xf>
    <xf numFmtId="0" fontId="40" fillId="0" borderId="0" xfId="0" applyFont="1" applyAlignment="1">
      <alignment vertical="top"/>
    </xf>
    <xf numFmtId="0" fontId="64" fillId="0" borderId="0" xfId="0" applyFont="1"/>
    <xf numFmtId="0" fontId="63" fillId="0" borderId="0" xfId="0" applyFont="1" applyAlignment="1">
      <alignment vertical="top" wrapText="1"/>
    </xf>
    <xf numFmtId="0" fontId="40" fillId="0" borderId="0" xfId="0" applyFont="1" applyAlignment="1">
      <alignment vertical="top" wrapText="1"/>
    </xf>
    <xf numFmtId="0" fontId="69" fillId="0" borderId="0" xfId="0" applyFont="1"/>
    <xf numFmtId="0" fontId="63" fillId="0" borderId="0" xfId="0" applyFont="1" applyAlignment="1">
      <alignment wrapText="1"/>
    </xf>
    <xf numFmtId="0" fontId="122" fillId="0" borderId="0" xfId="0" applyFont="1" applyAlignment="1" applyProtection="1">
      <alignment horizontal="center"/>
      <protection hidden="1"/>
    </xf>
    <xf numFmtId="3" fontId="40" fillId="0" borderId="0" xfId="0" applyNumberFormat="1" applyFont="1" applyAlignment="1" applyProtection="1">
      <alignment horizontal="center"/>
      <protection hidden="1"/>
    </xf>
    <xf numFmtId="0" fontId="32" fillId="14" borderId="1" xfId="0" applyFont="1" applyFill="1" applyBorder="1"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vertical="center"/>
      <protection hidden="1"/>
    </xf>
    <xf numFmtId="0" fontId="32" fillId="0" borderId="0" xfId="0" applyFont="1" applyAlignment="1" applyProtection="1">
      <alignment horizontal="center"/>
      <protection hidden="1"/>
    </xf>
    <xf numFmtId="3" fontId="32" fillId="0" borderId="0" xfId="0" applyNumberFormat="1" applyFont="1" applyAlignment="1">
      <alignment horizontal="center"/>
    </xf>
    <xf numFmtId="0" fontId="59" fillId="0" borderId="0" xfId="0" applyFont="1"/>
    <xf numFmtId="166" fontId="32" fillId="0" borderId="0" xfId="0" applyNumberFormat="1" applyFont="1" applyAlignment="1">
      <alignment horizontal="center"/>
    </xf>
    <xf numFmtId="0" fontId="73" fillId="14" borderId="1" xfId="0" applyFont="1" applyFill="1" applyBorder="1" applyAlignment="1" applyProtection="1">
      <alignment horizontal="center" wrapText="1"/>
      <protection hidden="1"/>
    </xf>
    <xf numFmtId="166" fontId="0" fillId="14" borderId="1" xfId="0" applyNumberFormat="1" applyFill="1" applyBorder="1" applyAlignment="1" applyProtection="1">
      <alignment wrapText="1"/>
      <protection hidden="1"/>
    </xf>
    <xf numFmtId="0" fontId="108" fillId="14" borderId="1" xfId="0" applyFont="1" applyFill="1" applyBorder="1" applyAlignment="1" applyProtection="1">
      <alignment horizontal="center" wrapText="1"/>
      <protection hidden="1"/>
    </xf>
    <xf numFmtId="0" fontId="0" fillId="14" borderId="1" xfId="0" applyFill="1" applyBorder="1" applyAlignment="1" applyProtection="1">
      <alignment wrapText="1"/>
      <protection hidden="1"/>
    </xf>
    <xf numFmtId="1" fontId="0" fillId="14" borderId="1" xfId="0" applyNumberFormat="1" applyFill="1" applyBorder="1" applyAlignment="1" applyProtection="1">
      <alignment wrapText="1"/>
      <protection hidden="1"/>
    </xf>
    <xf numFmtId="0" fontId="20" fillId="0" borderId="0" xfId="0" applyFont="1" applyProtection="1">
      <protection hidden="1"/>
    </xf>
    <xf numFmtId="0" fontId="114" fillId="0" borderId="0" xfId="0" applyFont="1" applyAlignment="1">
      <alignment vertical="top"/>
    </xf>
    <xf numFmtId="0" fontId="134" fillId="0" borderId="0" xfId="0" applyFont="1" applyAlignment="1">
      <alignment vertical="top"/>
    </xf>
    <xf numFmtId="0" fontId="99" fillId="0" borderId="0" xfId="0" applyFont="1" applyAlignment="1" applyProtection="1">
      <alignment horizontal="left" vertical="top" indent="1"/>
      <protection hidden="1"/>
    </xf>
    <xf numFmtId="14" fontId="76" fillId="0" borderId="0" xfId="0" applyNumberFormat="1" applyFont="1" applyAlignment="1" applyProtection="1">
      <alignment vertical="top"/>
      <protection hidden="1"/>
    </xf>
    <xf numFmtId="0" fontId="73" fillId="0" borderId="0" xfId="0" applyFont="1" applyProtection="1">
      <protection locked="0"/>
    </xf>
    <xf numFmtId="0" fontId="74" fillId="10" borderId="0" xfId="0" applyFont="1" applyFill="1" applyAlignment="1" applyProtection="1">
      <alignment horizontal="right"/>
      <protection hidden="1"/>
    </xf>
    <xf numFmtId="2" fontId="73" fillId="0" borderId="1" xfId="0" applyNumberFormat="1" applyFont="1" applyBorder="1" applyAlignment="1" applyProtection="1">
      <alignment wrapText="1"/>
      <protection hidden="1"/>
    </xf>
    <xf numFmtId="1" fontId="0" fillId="0" borderId="1" xfId="0" applyNumberFormat="1" applyBorder="1" applyAlignment="1" applyProtection="1">
      <alignment wrapText="1"/>
      <protection hidden="1"/>
    </xf>
    <xf numFmtId="2" fontId="0" fillId="0" borderId="1" xfId="0" applyNumberFormat="1" applyBorder="1" applyAlignment="1" applyProtection="1">
      <alignment wrapText="1"/>
      <protection hidden="1"/>
    </xf>
    <xf numFmtId="177" fontId="70" fillId="7" borderId="15" xfId="0" applyNumberFormat="1" applyFont="1" applyFill="1" applyBorder="1" applyAlignment="1" applyProtection="1">
      <alignment wrapText="1"/>
      <protection hidden="1"/>
    </xf>
    <xf numFmtId="176" fontId="129" fillId="0" borderId="0" xfId="0" applyNumberFormat="1" applyFont="1" applyAlignment="1" applyProtection="1">
      <alignment wrapText="1"/>
      <protection hidden="1"/>
    </xf>
    <xf numFmtId="0" fontId="70" fillId="14" borderId="1" xfId="0" applyFont="1" applyFill="1" applyBorder="1" applyAlignment="1">
      <alignment wrapText="1"/>
    </xf>
    <xf numFmtId="0" fontId="70" fillId="14" borderId="1" xfId="0" applyFont="1" applyFill="1" applyBorder="1" applyAlignment="1">
      <alignment horizontal="left" wrapText="1"/>
    </xf>
    <xf numFmtId="1" fontId="70" fillId="14" borderId="1" xfId="0" applyNumberFormat="1" applyFont="1" applyFill="1" applyBorder="1" applyAlignment="1">
      <alignment wrapText="1"/>
    </xf>
    <xf numFmtId="43" fontId="70" fillId="14" borderId="1" xfId="1" applyFont="1" applyFill="1" applyBorder="1" applyAlignment="1">
      <alignment wrapText="1"/>
    </xf>
    <xf numFmtId="171" fontId="70" fillId="14" borderId="1" xfId="1" applyNumberFormat="1" applyFont="1" applyFill="1" applyBorder="1" applyAlignment="1">
      <alignment wrapText="1"/>
    </xf>
    <xf numFmtId="44" fontId="70" fillId="14" borderId="1" xfId="2" applyFont="1" applyFill="1" applyBorder="1" applyAlignment="1">
      <alignment wrapText="1"/>
    </xf>
    <xf numFmtId="172" fontId="70" fillId="14" borderId="1" xfId="2" applyNumberFormat="1" applyFont="1" applyFill="1" applyBorder="1" applyAlignment="1">
      <alignment wrapText="1"/>
    </xf>
    <xf numFmtId="2" fontId="70" fillId="14" borderId="1" xfId="2" applyNumberFormat="1" applyFont="1" applyFill="1" applyBorder="1" applyAlignment="1">
      <alignment wrapText="1"/>
    </xf>
    <xf numFmtId="4" fontId="0" fillId="0" borderId="1" xfId="0" applyNumberFormat="1" applyBorder="1" applyAlignment="1" applyProtection="1">
      <alignment wrapText="1"/>
      <protection hidden="1"/>
    </xf>
    <xf numFmtId="177" fontId="112" fillId="0" borderId="0" xfId="0" applyNumberFormat="1" applyFont="1" applyAlignment="1" applyProtection="1">
      <alignment horizontal="left"/>
      <protection hidden="1"/>
    </xf>
    <xf numFmtId="0" fontId="58" fillId="0" borderId="1" xfId="0" applyFont="1" applyBorder="1" applyAlignment="1" applyProtection="1">
      <alignment wrapText="1"/>
      <protection hidden="1"/>
    </xf>
    <xf numFmtId="0" fontId="57" fillId="0" borderId="1" xfId="0" applyFont="1" applyBorder="1" applyProtection="1">
      <protection hidden="1"/>
    </xf>
    <xf numFmtId="0" fontId="73" fillId="0" borderId="0" xfId="0" applyFont="1" applyAlignment="1" applyProtection="1">
      <alignment horizontal="center" vertical="top" wrapText="1"/>
      <protection hidden="1"/>
    </xf>
    <xf numFmtId="0" fontId="0" fillId="0" borderId="0" xfId="0" applyAlignment="1" applyProtection="1">
      <alignment vertical="top"/>
      <protection hidden="1"/>
    </xf>
    <xf numFmtId="0" fontId="93" fillId="0" borderId="0" xfId="0" applyFont="1" applyAlignment="1" applyProtection="1">
      <alignment vertical="top"/>
      <protection hidden="1"/>
    </xf>
    <xf numFmtId="164" fontId="73" fillId="0" borderId="0" xfId="0" applyNumberFormat="1" applyFont="1" applyAlignment="1" applyProtection="1">
      <alignment horizontal="center" vertical="top"/>
      <protection hidden="1"/>
    </xf>
    <xf numFmtId="166" fontId="73" fillId="0" borderId="0" xfId="0" applyNumberFormat="1" applyFont="1" applyAlignment="1" applyProtection="1">
      <alignment vertical="top"/>
      <protection hidden="1"/>
    </xf>
    <xf numFmtId="0" fontId="73" fillId="0" borderId="0" xfId="0" applyFont="1" applyAlignment="1" applyProtection="1">
      <alignment vertical="top"/>
      <protection hidden="1"/>
    </xf>
    <xf numFmtId="0" fontId="0" fillId="0" borderId="0" xfId="0" applyAlignment="1">
      <alignment vertical="top"/>
    </xf>
    <xf numFmtId="166" fontId="37" fillId="5" borderId="1" xfId="0" applyNumberFormat="1" applyFont="1" applyFill="1" applyBorder="1" applyAlignment="1" applyProtection="1">
      <alignment vertical="top" wrapText="1"/>
      <protection hidden="1"/>
    </xf>
    <xf numFmtId="0" fontId="58" fillId="5" borderId="1" xfId="0" applyFont="1" applyFill="1" applyBorder="1" applyAlignment="1" applyProtection="1">
      <alignment vertical="top" wrapText="1"/>
      <protection hidden="1"/>
    </xf>
    <xf numFmtId="0" fontId="58" fillId="0" borderId="1" xfId="0" applyFont="1" applyBorder="1" applyAlignment="1" applyProtection="1">
      <alignment vertical="top" wrapText="1"/>
      <protection hidden="1"/>
    </xf>
    <xf numFmtId="0" fontId="90" fillId="0" borderId="0" xfId="0" applyFont="1" applyAlignment="1" applyProtection="1">
      <alignment vertical="top"/>
      <protection hidden="1"/>
    </xf>
    <xf numFmtId="0" fontId="40" fillId="0" borderId="0" xfId="0" applyFont="1" applyAlignment="1" applyProtection="1">
      <alignment vertical="top"/>
      <protection hidden="1"/>
    </xf>
    <xf numFmtId="49" fontId="40" fillId="0" borderId="0" xfId="0" applyNumberFormat="1" applyFont="1" applyAlignment="1" applyProtection="1">
      <alignment horizontal="center" vertical="top"/>
      <protection hidden="1"/>
    </xf>
    <xf numFmtId="0" fontId="90" fillId="0" borderId="0" xfId="0" applyFont="1" applyAlignment="1" applyProtection="1">
      <alignment vertical="top" wrapText="1"/>
      <protection hidden="1"/>
    </xf>
    <xf numFmtId="166" fontId="131" fillId="0" borderId="0" xfId="0" applyNumberFormat="1" applyFont="1" applyAlignment="1" applyProtection="1">
      <alignment vertical="top"/>
      <protection hidden="1"/>
    </xf>
    <xf numFmtId="166" fontId="40" fillId="0" borderId="0" xfId="0" applyNumberFormat="1" applyFont="1" applyAlignment="1" applyProtection="1">
      <alignment vertical="top" wrapText="1"/>
      <protection hidden="1"/>
    </xf>
    <xf numFmtId="3" fontId="40" fillId="0" borderId="0" xfId="0" applyNumberFormat="1" applyFont="1" applyAlignment="1" applyProtection="1">
      <alignment vertical="top" wrapText="1"/>
      <protection hidden="1"/>
    </xf>
    <xf numFmtId="2" fontId="93" fillId="0" borderId="0" xfId="0" applyNumberFormat="1" applyFont="1" applyAlignment="1" applyProtection="1">
      <alignment vertical="top"/>
      <protection hidden="1"/>
    </xf>
    <xf numFmtId="49" fontId="93" fillId="0" borderId="0" xfId="0" applyNumberFormat="1" applyFont="1" applyAlignment="1" applyProtection="1">
      <alignment horizontal="center" vertical="top"/>
      <protection hidden="1"/>
    </xf>
    <xf numFmtId="0" fontId="70" fillId="0" borderId="0" xfId="0" applyFont="1" applyAlignment="1" applyProtection="1">
      <alignment horizontal="left" indent="1"/>
      <protection hidden="1"/>
    </xf>
    <xf numFmtId="177" fontId="130" fillId="0" borderId="0" xfId="0" applyNumberFormat="1" applyFont="1"/>
    <xf numFmtId="0" fontId="32" fillId="0" borderId="0" xfId="0" applyFont="1" applyAlignment="1" applyProtection="1">
      <alignment vertical="top"/>
      <protection hidden="1"/>
    </xf>
    <xf numFmtId="166" fontId="23" fillId="0" borderId="0" xfId="0" applyNumberFormat="1" applyFont="1" applyProtection="1">
      <protection hidden="1"/>
    </xf>
    <xf numFmtId="4" fontId="154" fillId="0" borderId="0" xfId="0" applyNumberFormat="1" applyFont="1" applyAlignment="1" applyProtection="1">
      <alignment vertical="top"/>
      <protection hidden="1"/>
    </xf>
    <xf numFmtId="0" fontId="71" fillId="5" borderId="1" xfId="0" applyFont="1" applyFill="1" applyBorder="1" applyAlignment="1" applyProtection="1">
      <alignment horizontal="center" wrapText="1"/>
      <protection hidden="1"/>
    </xf>
    <xf numFmtId="166" fontId="0" fillId="5" borderId="0" xfId="0" applyNumberFormat="1" applyFill="1"/>
    <xf numFmtId="0" fontId="90" fillId="0" borderId="0" xfId="0" applyFont="1" applyAlignment="1">
      <alignment horizontal="center" vertical="center"/>
    </xf>
    <xf numFmtId="176" fontId="90" fillId="0" borderId="0" xfId="0" applyNumberFormat="1" applyFont="1"/>
    <xf numFmtId="0" fontId="156" fillId="0" borderId="0" xfId="0" applyFont="1" applyAlignment="1">
      <alignment horizontal="left" vertical="center" indent="13"/>
    </xf>
    <xf numFmtId="0" fontId="131" fillId="0" borderId="0" xfId="0" applyFont="1"/>
    <xf numFmtId="176" fontId="90" fillId="0" borderId="0" xfId="0" applyNumberFormat="1" applyFont="1" applyAlignment="1">
      <alignment horizontal="left" vertical="center"/>
    </xf>
    <xf numFmtId="1" fontId="40" fillId="0" borderId="0" xfId="0" applyNumberFormat="1" applyFont="1" applyAlignment="1">
      <alignment horizontal="center" vertical="center"/>
    </xf>
    <xf numFmtId="166" fontId="150" fillId="0" borderId="0" xfId="0" applyNumberFormat="1" applyFont="1" applyProtection="1">
      <protection hidden="1"/>
    </xf>
    <xf numFmtId="177" fontId="124" fillId="0" borderId="0" xfId="0" applyNumberFormat="1" applyFont="1" applyProtection="1">
      <protection hidden="1"/>
    </xf>
    <xf numFmtId="0" fontId="73" fillId="7" borderId="11" xfId="0" applyFont="1" applyFill="1" applyBorder="1" applyProtection="1">
      <protection hidden="1"/>
    </xf>
    <xf numFmtId="0" fontId="0" fillId="7" borderId="13" xfId="0" applyFill="1" applyBorder="1"/>
    <xf numFmtId="0" fontId="73" fillId="7" borderId="6" xfId="0" applyFont="1" applyFill="1" applyBorder="1" applyAlignment="1" applyProtection="1">
      <alignment horizontal="left" indent="2"/>
      <protection hidden="1"/>
    </xf>
    <xf numFmtId="0" fontId="74" fillId="7" borderId="6" xfId="0" applyFont="1" applyFill="1" applyBorder="1" applyAlignment="1" applyProtection="1">
      <alignment horizontal="left"/>
      <protection hidden="1"/>
    </xf>
    <xf numFmtId="0" fontId="73" fillId="7" borderId="6" xfId="0" applyFont="1" applyFill="1" applyBorder="1" applyAlignment="1" applyProtection="1">
      <alignment horizontal="left" indent="3"/>
      <protection hidden="1"/>
    </xf>
    <xf numFmtId="0" fontId="74" fillId="7" borderId="6" xfId="0" applyFont="1" applyFill="1" applyBorder="1" applyProtection="1">
      <protection hidden="1"/>
    </xf>
    <xf numFmtId="0" fontId="73" fillId="7" borderId="6" xfId="0" applyFont="1" applyFill="1" applyBorder="1" applyAlignment="1" applyProtection="1">
      <alignment horizontal="left" indent="1"/>
      <protection hidden="1"/>
    </xf>
    <xf numFmtId="0" fontId="73" fillId="7" borderId="6" xfId="0" applyFont="1" applyFill="1" applyBorder="1" applyAlignment="1" applyProtection="1">
      <alignment horizontal="left" vertical="center" indent="1"/>
      <protection hidden="1"/>
    </xf>
    <xf numFmtId="0" fontId="73" fillId="7" borderId="7" xfId="0" applyFont="1" applyFill="1" applyBorder="1" applyProtection="1">
      <protection hidden="1"/>
    </xf>
    <xf numFmtId="0" fontId="0" fillId="7" borderId="7" xfId="0" applyFill="1" applyBorder="1" applyProtection="1">
      <protection hidden="1"/>
    </xf>
    <xf numFmtId="0" fontId="158" fillId="7" borderId="0" xfId="0" applyFont="1" applyFill="1" applyProtection="1">
      <protection hidden="1"/>
    </xf>
    <xf numFmtId="0" fontId="158" fillId="7" borderId="11" xfId="0" applyFont="1" applyFill="1" applyBorder="1" applyProtection="1">
      <protection hidden="1"/>
    </xf>
    <xf numFmtId="0" fontId="159" fillId="7" borderId="11" xfId="0" applyFont="1" applyFill="1" applyBorder="1" applyProtection="1">
      <protection hidden="1"/>
    </xf>
    <xf numFmtId="0" fontId="160" fillId="7" borderId="0" xfId="0" applyFont="1" applyFill="1" applyProtection="1">
      <protection hidden="1"/>
    </xf>
    <xf numFmtId="0" fontId="61" fillId="0" borderId="0" xfId="22" applyFont="1"/>
    <xf numFmtId="0" fontId="61" fillId="0" borderId="21" xfId="22" applyFont="1" applyBorder="1"/>
    <xf numFmtId="0" fontId="55" fillId="0" borderId="0" xfId="22"/>
    <xf numFmtId="0" fontId="61" fillId="0" borderId="0" xfId="22" applyFont="1" applyAlignment="1">
      <alignment wrapText="1"/>
    </xf>
    <xf numFmtId="0" fontId="173" fillId="0" borderId="24" xfId="22" applyFont="1" applyBorder="1" applyAlignment="1">
      <alignment wrapText="1"/>
    </xf>
    <xf numFmtId="180" fontId="173" fillId="0" borderId="0" xfId="23" applyNumberFormat="1" applyFont="1" applyAlignment="1">
      <alignment wrapText="1"/>
    </xf>
    <xf numFmtId="0" fontId="173" fillId="0" borderId="19" xfId="22" applyFont="1" applyBorder="1" applyAlignment="1">
      <alignment wrapText="1"/>
    </xf>
    <xf numFmtId="0" fontId="173" fillId="0" borderId="0" xfId="22" applyFont="1" applyAlignment="1">
      <alignment wrapText="1"/>
    </xf>
    <xf numFmtId="0" fontId="61" fillId="0" borderId="25" xfId="22" applyFont="1" applyBorder="1" applyAlignment="1">
      <alignment wrapText="1"/>
    </xf>
    <xf numFmtId="0" fontId="55" fillId="0" borderId="0" xfId="22" applyAlignment="1">
      <alignment wrapText="1"/>
    </xf>
    <xf numFmtId="10" fontId="173" fillId="0" borderId="0" xfId="23" applyNumberFormat="1" applyFont="1" applyAlignment="1">
      <alignment wrapText="1"/>
    </xf>
    <xf numFmtId="0" fontId="55" fillId="0" borderId="0" xfId="22" quotePrefix="1"/>
    <xf numFmtId="8" fontId="61" fillId="0" borderId="0" xfId="22" applyNumberFormat="1" applyFont="1" applyAlignment="1">
      <alignment wrapText="1"/>
    </xf>
    <xf numFmtId="0" fontId="173" fillId="0" borderId="26" xfId="22" applyFont="1" applyBorder="1" applyAlignment="1">
      <alignment wrapText="1"/>
    </xf>
    <xf numFmtId="181" fontId="173" fillId="0" borderId="21" xfId="24" applyNumberFormat="1" applyFont="1" applyBorder="1" applyAlignment="1" applyProtection="1">
      <alignment horizontal="right" wrapText="1"/>
      <protection locked="0"/>
    </xf>
    <xf numFmtId="0" fontId="61" fillId="0" borderId="21" xfId="22" applyFont="1" applyBorder="1" applyAlignment="1">
      <alignment wrapText="1"/>
    </xf>
    <xf numFmtId="0" fontId="61" fillId="0" borderId="22" xfId="22" applyFont="1" applyBorder="1" applyAlignment="1">
      <alignment wrapText="1"/>
    </xf>
    <xf numFmtId="182" fontId="174" fillId="50" borderId="0" xfId="22" applyNumberFormat="1" applyFont="1" applyFill="1"/>
    <xf numFmtId="0" fontId="175" fillId="0" borderId="0" xfId="22" applyFont="1"/>
    <xf numFmtId="0" fontId="176" fillId="0" borderId="0" xfId="22" applyFont="1"/>
    <xf numFmtId="0" fontId="176" fillId="8" borderId="0" xfId="22" applyFont="1" applyFill="1"/>
    <xf numFmtId="0" fontId="176" fillId="8" borderId="23" xfId="22" applyFont="1" applyFill="1" applyBorder="1"/>
    <xf numFmtId="182" fontId="174" fillId="50" borderId="19" xfId="22" applyNumberFormat="1" applyFont="1" applyFill="1" applyBorder="1" applyAlignment="1">
      <alignment horizontal="left"/>
    </xf>
    <xf numFmtId="182" fontId="174" fillId="50" borderId="20" xfId="22" applyNumberFormat="1" applyFont="1" applyFill="1" applyBorder="1" applyAlignment="1">
      <alignment horizontal="left"/>
    </xf>
    <xf numFmtId="0" fontId="177" fillId="50" borderId="0" xfId="22" applyFont="1" applyFill="1"/>
    <xf numFmtId="182" fontId="174" fillId="50" borderId="9" xfId="22" applyNumberFormat="1" applyFont="1" applyFill="1" applyBorder="1"/>
    <xf numFmtId="182" fontId="174" fillId="50" borderId="0" xfId="22" applyNumberFormat="1" applyFont="1" applyFill="1" applyAlignment="1">
      <alignment horizontal="center" wrapText="1"/>
    </xf>
    <xf numFmtId="0" fontId="176" fillId="8" borderId="24" xfId="22" applyFont="1" applyFill="1" applyBorder="1"/>
    <xf numFmtId="0" fontId="177" fillId="0" borderId="0" xfId="22" applyFont="1"/>
    <xf numFmtId="0" fontId="177" fillId="50" borderId="0" xfId="22" applyFont="1" applyFill="1" applyAlignment="1">
      <alignment horizontal="center"/>
    </xf>
    <xf numFmtId="1" fontId="178" fillId="50" borderId="0" xfId="22" applyNumberFormat="1" applyFont="1" applyFill="1" applyAlignment="1">
      <alignment horizontal="center"/>
    </xf>
    <xf numFmtId="0" fontId="178" fillId="50" borderId="0" xfId="22" applyFont="1" applyFill="1" applyAlignment="1">
      <alignment horizontal="center"/>
    </xf>
    <xf numFmtId="0" fontId="176" fillId="8" borderId="0" xfId="22" applyFont="1" applyFill="1" applyAlignment="1">
      <alignment horizontal="center" wrapText="1"/>
    </xf>
    <xf numFmtId="0" fontId="177" fillId="50" borderId="24" xfId="22" applyFont="1" applyFill="1" applyBorder="1" applyAlignment="1">
      <alignment horizontal="center"/>
    </xf>
    <xf numFmtId="0" fontId="176" fillId="8" borderId="25" xfId="22" applyFont="1" applyFill="1" applyBorder="1"/>
    <xf numFmtId="183" fontId="55" fillId="0" borderId="0" xfId="22" applyNumberFormat="1" applyAlignment="1">
      <alignment horizontal="center"/>
    </xf>
    <xf numFmtId="184" fontId="0" fillId="0" borderId="0" xfId="25" applyNumberFormat="1" applyFont="1" applyAlignment="1">
      <alignment horizontal="center"/>
    </xf>
    <xf numFmtId="0" fontId="37" fillId="0" borderId="0" xfId="22" applyFont="1"/>
    <xf numFmtId="1" fontId="55" fillId="0" borderId="0" xfId="22" applyNumberFormat="1"/>
    <xf numFmtId="172" fontId="55" fillId="0" borderId="0" xfId="22" applyNumberFormat="1"/>
    <xf numFmtId="0" fontId="55" fillId="0" borderId="24" xfId="22" applyBorder="1"/>
    <xf numFmtId="1" fontId="55" fillId="0" borderId="0" xfId="22" applyNumberFormat="1" applyAlignment="1">
      <alignment horizontal="center"/>
    </xf>
    <xf numFmtId="172" fontId="55" fillId="0" borderId="25" xfId="22" applyNumberFormat="1" applyBorder="1"/>
    <xf numFmtId="184" fontId="37" fillId="0" borderId="0" xfId="25" applyNumberFormat="1" applyFont="1" applyAlignment="1">
      <alignment horizontal="center"/>
    </xf>
    <xf numFmtId="0" fontId="173" fillId="0" borderId="0" xfId="22" applyFont="1"/>
    <xf numFmtId="0" fontId="179" fillId="0" borderId="0" xfId="22" applyFont="1"/>
    <xf numFmtId="183" fontId="55" fillId="51" borderId="0" xfId="22" applyNumberFormat="1" applyFill="1" applyAlignment="1">
      <alignment horizontal="center"/>
    </xf>
    <xf numFmtId="184" fontId="0" fillId="51" borderId="0" xfId="25" applyNumberFormat="1" applyFont="1" applyFill="1" applyAlignment="1">
      <alignment horizontal="center"/>
    </xf>
    <xf numFmtId="0" fontId="55" fillId="0" borderId="26" xfId="22" applyBorder="1"/>
    <xf numFmtId="1" fontId="55" fillId="0" borderId="21" xfId="22" applyNumberFormat="1" applyBorder="1" applyAlignment="1">
      <alignment horizontal="center"/>
    </xf>
    <xf numFmtId="172" fontId="55" fillId="0" borderId="21" xfId="22" applyNumberFormat="1" applyBorder="1"/>
    <xf numFmtId="172" fontId="55" fillId="0" borderId="22" xfId="22" applyNumberFormat="1" applyBorder="1"/>
    <xf numFmtId="186" fontId="181" fillId="0" borderId="0" xfId="26" applyNumberFormat="1" applyFont="1" applyAlignment="1">
      <alignment horizontal="center"/>
    </xf>
    <xf numFmtId="186" fontId="55" fillId="0" borderId="0" xfId="22" applyNumberFormat="1"/>
    <xf numFmtId="0" fontId="174" fillId="50" borderId="0" xfId="22" applyFont="1" applyFill="1"/>
    <xf numFmtId="0" fontId="174" fillId="50" borderId="1" xfId="22" applyFont="1" applyFill="1" applyBorder="1"/>
    <xf numFmtId="0" fontId="174" fillId="50" borderId="15" xfId="22" applyFont="1" applyFill="1" applyBorder="1" applyAlignment="1">
      <alignment horizontal="centerContinuous" vertical="center"/>
    </xf>
    <xf numFmtId="0" fontId="174" fillId="50" borderId="14" xfId="22" applyFont="1" applyFill="1" applyBorder="1" applyAlignment="1">
      <alignment horizontal="centerContinuous" vertical="center"/>
    </xf>
    <xf numFmtId="0" fontId="174" fillId="50" borderId="2" xfId="22" applyFont="1" applyFill="1" applyBorder="1" applyAlignment="1">
      <alignment horizontal="centerContinuous" vertical="center"/>
    </xf>
    <xf numFmtId="0" fontId="174" fillId="50" borderId="0" xfId="22" applyFont="1" applyFill="1" applyAlignment="1">
      <alignment horizontal="center"/>
    </xf>
    <xf numFmtId="3" fontId="174" fillId="50" borderId="0" xfId="22" applyNumberFormat="1" applyFont="1" applyFill="1" applyAlignment="1">
      <alignment horizontal="center"/>
    </xf>
    <xf numFmtId="189" fontId="0" fillId="0" borderId="0" xfId="23" applyNumberFormat="1" applyFont="1"/>
    <xf numFmtId="10" fontId="80" fillId="0" borderId="0" xfId="35574" applyNumberFormat="1"/>
    <xf numFmtId="9" fontId="70" fillId="10" borderId="1" xfId="21" applyFont="1" applyFill="1" applyBorder="1" applyAlignment="1">
      <alignment wrapText="1"/>
    </xf>
    <xf numFmtId="176" fontId="102" fillId="7" borderId="0" xfId="0" applyNumberFormat="1" applyFont="1" applyFill="1" applyAlignment="1" applyProtection="1">
      <alignment horizontal="center"/>
      <protection hidden="1"/>
    </xf>
    <xf numFmtId="166" fontId="90" fillId="0" borderId="0" xfId="0" applyNumberFormat="1" applyFont="1" applyProtection="1">
      <protection hidden="1"/>
    </xf>
    <xf numFmtId="166" fontId="69" fillId="0" borderId="0" xfId="0" applyNumberFormat="1" applyFont="1" applyProtection="1">
      <protection hidden="1"/>
    </xf>
    <xf numFmtId="177" fontId="135" fillId="0" borderId="0" xfId="0" applyNumberFormat="1" applyFont="1" applyProtection="1">
      <protection hidden="1"/>
    </xf>
    <xf numFmtId="0" fontId="225" fillId="0" borderId="0" xfId="0" applyFont="1" applyProtection="1">
      <protection hidden="1"/>
    </xf>
    <xf numFmtId="166" fontId="135" fillId="0" borderId="0" xfId="0" applyNumberFormat="1" applyFont="1" applyProtection="1">
      <protection hidden="1"/>
    </xf>
    <xf numFmtId="166" fontId="80" fillId="5" borderId="1" xfId="0" applyNumberFormat="1" applyFont="1" applyFill="1" applyBorder="1" applyAlignment="1" applyProtection="1">
      <alignment wrapText="1"/>
      <protection hidden="1"/>
    </xf>
    <xf numFmtId="0" fontId="90" fillId="14" borderId="15" xfId="0" applyFont="1" applyFill="1" applyBorder="1" applyAlignment="1" applyProtection="1">
      <alignment horizontal="center"/>
      <protection hidden="1"/>
    </xf>
    <xf numFmtId="0" fontId="40" fillId="7" borderId="0" xfId="0" applyFont="1" applyFill="1" applyAlignment="1" applyProtection="1">
      <alignment horizontal="left" indent="1"/>
      <protection hidden="1"/>
    </xf>
    <xf numFmtId="0" fontId="73" fillId="7" borderId="0" xfId="0" applyFont="1" applyFill="1" applyAlignment="1" applyProtection="1">
      <alignment horizontal="left"/>
      <protection hidden="1"/>
    </xf>
    <xf numFmtId="0" fontId="73" fillId="7" borderId="7" xfId="0" applyFont="1" applyFill="1" applyBorder="1" applyAlignment="1" applyProtection="1">
      <alignment horizontal="left"/>
      <protection hidden="1"/>
    </xf>
    <xf numFmtId="166" fontId="73" fillId="0" borderId="11" xfId="0" applyNumberFormat="1" applyFont="1" applyBorder="1"/>
    <xf numFmtId="0" fontId="157" fillId="7" borderId="0" xfId="0" applyFont="1" applyFill="1" applyAlignment="1" applyProtection="1">
      <alignment horizontal="left"/>
      <protection hidden="1"/>
    </xf>
    <xf numFmtId="0" fontId="0" fillId="7" borderId="8" xfId="0" applyFill="1" applyBorder="1"/>
    <xf numFmtId="0" fontId="0" fillId="7" borderId="9" xfId="0" applyFill="1" applyBorder="1"/>
    <xf numFmtId="0" fontId="0" fillId="7" borderId="10" xfId="0" applyFill="1" applyBorder="1"/>
    <xf numFmtId="0" fontId="226" fillId="7" borderId="0" xfId="0" applyFont="1" applyFill="1"/>
    <xf numFmtId="0" fontId="227" fillId="7" borderId="0" xfId="4" applyFont="1" applyFill="1" applyAlignment="1" applyProtection="1"/>
    <xf numFmtId="0" fontId="227" fillId="7" borderId="0" xfId="4" applyFont="1" applyFill="1" applyAlignment="1" applyProtection="1">
      <protection hidden="1"/>
    </xf>
    <xf numFmtId="0" fontId="80" fillId="7" borderId="7" xfId="0" applyFont="1" applyFill="1" applyBorder="1" applyAlignment="1" applyProtection="1">
      <alignment wrapText="1"/>
      <protection hidden="1"/>
    </xf>
    <xf numFmtId="0" fontId="74" fillId="7" borderId="0" xfId="0" applyFont="1" applyFill="1" applyAlignment="1">
      <alignment horizontal="left" indent="4"/>
    </xf>
    <xf numFmtId="0" fontId="155" fillId="7" borderId="0" xfId="0" applyFont="1" applyFill="1" applyAlignment="1" applyProtection="1">
      <alignment wrapText="1"/>
      <protection hidden="1"/>
    </xf>
    <xf numFmtId="176" fontId="70" fillId="7" borderId="0" xfId="0" applyNumberFormat="1" applyFont="1" applyFill="1" applyAlignment="1" applyProtection="1">
      <alignment horizontal="left" indent="1"/>
      <protection hidden="1"/>
    </xf>
    <xf numFmtId="176" fontId="124" fillId="0" borderId="0" xfId="0" applyNumberFormat="1" applyFont="1"/>
    <xf numFmtId="0" fontId="0" fillId="7" borderId="6" xfId="0" applyFill="1" applyBorder="1"/>
    <xf numFmtId="0" fontId="0" fillId="7" borderId="12" xfId="0" applyFill="1" applyBorder="1" applyProtection="1">
      <protection hidden="1"/>
    </xf>
    <xf numFmtId="166" fontId="58" fillId="5" borderId="1" xfId="0" applyNumberFormat="1" applyFont="1" applyFill="1" applyBorder="1" applyAlignment="1" applyProtection="1">
      <alignment wrapText="1"/>
      <protection hidden="1"/>
    </xf>
    <xf numFmtId="0" fontId="73" fillId="5" borderId="1" xfId="0" applyFont="1" applyFill="1" applyBorder="1"/>
    <xf numFmtId="176" fontId="40" fillId="7" borderId="0" xfId="0" applyNumberFormat="1" applyFont="1" applyFill="1" applyAlignment="1" applyProtection="1">
      <alignment horizontal="left" indent="1"/>
      <protection hidden="1"/>
    </xf>
    <xf numFmtId="166" fontId="228" fillId="0" borderId="0" xfId="0" applyNumberFormat="1" applyFont="1" applyAlignment="1" applyProtection="1">
      <alignment vertical="top"/>
      <protection hidden="1"/>
    </xf>
    <xf numFmtId="176" fontId="228" fillId="0" borderId="0" xfId="0" applyNumberFormat="1" applyFont="1" applyAlignment="1" applyProtection="1">
      <alignment horizontal="left" vertical="top"/>
      <protection hidden="1"/>
    </xf>
    <xf numFmtId="0" fontId="146" fillId="0" borderId="0" xfId="0" applyFont="1" applyProtection="1">
      <protection hidden="1"/>
    </xf>
    <xf numFmtId="0" fontId="229" fillId="4" borderId="0" xfId="0" applyFont="1" applyFill="1" applyProtection="1">
      <protection hidden="1"/>
    </xf>
    <xf numFmtId="0" fontId="229" fillId="4" borderId="0" xfId="0" applyFont="1" applyFill="1"/>
    <xf numFmtId="0" fontId="110" fillId="0" borderId="0" xfId="0" applyFont="1" applyAlignment="1" applyProtection="1">
      <alignment horizontal="center"/>
      <protection hidden="1"/>
    </xf>
    <xf numFmtId="166" fontId="0" fillId="0" borderId="0" xfId="0" applyNumberFormat="1"/>
    <xf numFmtId="7" fontId="70" fillId="14" borderId="1" xfId="2" applyNumberFormat="1" applyFont="1" applyFill="1" applyBorder="1" applyAlignment="1">
      <alignment wrapText="1"/>
    </xf>
    <xf numFmtId="7" fontId="0" fillId="0" borderId="0" xfId="0" applyNumberFormat="1"/>
    <xf numFmtId="0" fontId="70" fillId="9" borderId="1" xfId="0" applyFont="1" applyFill="1" applyBorder="1" applyAlignment="1">
      <alignment wrapText="1"/>
    </xf>
    <xf numFmtId="0" fontId="70" fillId="9" borderId="1" xfId="0" applyFont="1" applyFill="1" applyBorder="1" applyAlignment="1">
      <alignment horizontal="left" wrapText="1"/>
    </xf>
    <xf numFmtId="1" fontId="70" fillId="9" borderId="1" xfId="0" applyNumberFormat="1" applyFont="1" applyFill="1" applyBorder="1" applyAlignment="1">
      <alignment wrapText="1"/>
    </xf>
    <xf numFmtId="43" fontId="70" fillId="9" borderId="1" xfId="1" applyFont="1" applyFill="1" applyBorder="1" applyAlignment="1">
      <alignment wrapText="1"/>
    </xf>
    <xf numFmtId="171" fontId="70" fillId="9" borderId="1" xfId="1" applyNumberFormat="1" applyFont="1" applyFill="1" applyBorder="1" applyAlignment="1">
      <alignment wrapText="1"/>
    </xf>
    <xf numFmtId="44" fontId="70" fillId="9" borderId="1" xfId="2" applyFont="1" applyFill="1" applyBorder="1" applyAlignment="1">
      <alignment wrapText="1"/>
    </xf>
    <xf numFmtId="9" fontId="70" fillId="9" borderId="1" xfId="21" applyFont="1" applyFill="1" applyBorder="1" applyAlignment="1">
      <alignment wrapText="1"/>
    </xf>
    <xf numFmtId="172" fontId="70" fillId="9" borderId="1" xfId="2" applyNumberFormat="1" applyFont="1" applyFill="1" applyBorder="1" applyAlignment="1">
      <alignment wrapText="1"/>
    </xf>
    <xf numFmtId="2" fontId="70" fillId="9" borderId="1" xfId="2" applyNumberFormat="1" applyFont="1" applyFill="1" applyBorder="1" applyAlignment="1">
      <alignment wrapText="1"/>
    </xf>
    <xf numFmtId="166" fontId="230" fillId="0" borderId="0" xfId="0" applyNumberFormat="1" applyFont="1"/>
    <xf numFmtId="170" fontId="70" fillId="14" borderId="1" xfId="2" applyNumberFormat="1" applyFont="1" applyFill="1" applyBorder="1" applyAlignment="1">
      <alignment wrapText="1"/>
    </xf>
    <xf numFmtId="0" fontId="37" fillId="14" borderId="0" xfId="0" applyFont="1" applyFill="1" applyAlignment="1" applyProtection="1">
      <alignment horizontal="center" vertical="top" wrapText="1"/>
      <protection hidden="1"/>
    </xf>
    <xf numFmtId="0" fontId="37" fillId="9" borderId="0" xfId="0" applyFont="1" applyFill="1" applyAlignment="1" applyProtection="1">
      <alignment horizontal="center" vertical="top" wrapText="1"/>
      <protection hidden="1"/>
    </xf>
    <xf numFmtId="179" fontId="173" fillId="9" borderId="0" xfId="0" applyNumberFormat="1" applyFont="1" applyFill="1" applyProtection="1">
      <protection hidden="1"/>
    </xf>
    <xf numFmtId="170" fontId="32" fillId="14" borderId="0" xfId="0" applyNumberFormat="1" applyFont="1" applyFill="1" applyAlignment="1" applyProtection="1">
      <alignment vertical="top"/>
      <protection hidden="1"/>
    </xf>
    <xf numFmtId="185" fontId="55" fillId="0" borderId="0" xfId="22" applyNumberFormat="1"/>
    <xf numFmtId="0" fontId="55" fillId="0" borderId="28" xfId="22" applyBorder="1"/>
    <xf numFmtId="0" fontId="55" fillId="0" borderId="29" xfId="22" applyBorder="1"/>
    <xf numFmtId="1" fontId="37" fillId="5" borderId="1" xfId="0" applyNumberFormat="1" applyFont="1" applyFill="1" applyBorder="1" applyAlignment="1" applyProtection="1">
      <alignment horizontal="right" vertical="center"/>
      <protection hidden="1"/>
    </xf>
    <xf numFmtId="2" fontId="0" fillId="14" borderId="1" xfId="0" applyNumberFormat="1" applyFill="1" applyBorder="1" applyAlignment="1" applyProtection="1">
      <alignment wrapText="1"/>
      <protection hidden="1"/>
    </xf>
    <xf numFmtId="0" fontId="63" fillId="0" borderId="0" xfId="0" applyFont="1" applyAlignment="1">
      <alignment horizontal="left" vertical="top"/>
    </xf>
    <xf numFmtId="0" fontId="32" fillId="0" borderId="0" xfId="0" applyFont="1" applyAlignment="1">
      <alignment horizontal="left" vertical="top" wrapText="1"/>
    </xf>
    <xf numFmtId="0" fontId="63" fillId="0" borderId="0" xfId="0" applyFont="1" applyAlignment="1">
      <alignment horizontal="left" vertical="center" wrapText="1"/>
    </xf>
    <xf numFmtId="0" fontId="37" fillId="5" borderId="15" xfId="0" applyFont="1" applyFill="1" applyBorder="1" applyAlignment="1" applyProtection="1">
      <alignment horizontal="left" indent="1"/>
      <protection hidden="1"/>
    </xf>
    <xf numFmtId="0" fontId="37" fillId="5" borderId="14" xfId="0" applyFont="1" applyFill="1" applyBorder="1" applyAlignment="1" applyProtection="1">
      <alignment horizontal="left" indent="1"/>
      <protection hidden="1"/>
    </xf>
    <xf numFmtId="0" fontId="37" fillId="5" borderId="2" xfId="0" applyFont="1" applyFill="1" applyBorder="1" applyAlignment="1" applyProtection="1">
      <alignment horizontal="left" indent="1"/>
      <protection hidden="1"/>
    </xf>
    <xf numFmtId="0" fontId="35" fillId="7" borderId="0" xfId="4" applyFill="1" applyAlignment="1" applyProtection="1">
      <protection hidden="1"/>
    </xf>
    <xf numFmtId="0" fontId="74" fillId="0" borderId="0" xfId="0" applyFont="1" applyProtection="1">
      <protection hidden="1"/>
    </xf>
    <xf numFmtId="0" fontId="100" fillId="0" borderId="0" xfId="0" applyFont="1" applyAlignment="1" applyProtection="1">
      <alignment vertical="center"/>
      <protection hidden="1"/>
    </xf>
    <xf numFmtId="0" fontId="35" fillId="0" borderId="0" xfId="4" applyAlignment="1">
      <alignment vertical="center"/>
      <protection locked="0"/>
    </xf>
    <xf numFmtId="0" fontId="35" fillId="0" borderId="0" xfId="4" applyAlignment="1">
      <alignment horizontal="center" vertical="center"/>
      <protection locked="0"/>
    </xf>
    <xf numFmtId="176" fontId="232" fillId="0" borderId="0" xfId="0" applyNumberFormat="1" applyFont="1" applyAlignment="1" applyProtection="1">
      <alignment vertical="center"/>
      <protection locked="0"/>
    </xf>
    <xf numFmtId="176" fontId="0" fillId="0" borderId="0" xfId="0" applyNumberFormat="1" applyProtection="1">
      <protection locked="0"/>
    </xf>
    <xf numFmtId="0" fontId="0" fillId="0" borderId="0" xfId="0" applyAlignment="1" applyProtection="1">
      <alignment horizontal="center" vertical="center"/>
      <protection locked="0"/>
    </xf>
    <xf numFmtId="176" fontId="0" fillId="0" borderId="0" xfId="0" applyNumberFormat="1" applyAlignment="1" applyProtection="1">
      <alignment horizontal="left" vertical="center"/>
      <protection locked="0"/>
    </xf>
    <xf numFmtId="0" fontId="0" fillId="0" borderId="9" xfId="0" applyBorder="1" applyAlignment="1" applyProtection="1">
      <alignment horizontal="center" vertical="center"/>
      <protection locked="0"/>
    </xf>
    <xf numFmtId="0" fontId="0" fillId="0" borderId="9" xfId="0" applyBorder="1" applyProtection="1">
      <protection locked="0"/>
    </xf>
    <xf numFmtId="0" fontId="124" fillId="0" borderId="0" xfId="0" applyFont="1" applyAlignment="1" applyProtection="1">
      <alignment vertical="center"/>
      <protection locked="0"/>
    </xf>
    <xf numFmtId="0" fontId="127" fillId="0" borderId="0" xfId="0" applyFont="1" applyAlignment="1" applyProtection="1">
      <alignment horizontal="center" vertical="center"/>
      <protection locked="0"/>
    </xf>
    <xf numFmtId="0" fontId="127" fillId="0" borderId="0" xfId="0" applyFont="1" applyProtection="1">
      <protection locked="0"/>
    </xf>
    <xf numFmtId="0" fontId="73" fillId="0" borderId="9" xfId="0" applyFont="1" applyBorder="1" applyAlignment="1" applyProtection="1">
      <alignment horizontal="center" vertical="center"/>
      <protection locked="0"/>
    </xf>
    <xf numFmtId="0" fontId="73" fillId="0" borderId="9" xfId="0" applyFont="1" applyBorder="1" applyProtection="1">
      <protection locked="0"/>
    </xf>
    <xf numFmtId="0" fontId="126" fillId="0" borderId="0" xfId="0" applyFont="1" applyAlignment="1" applyProtection="1">
      <alignment horizontal="center" vertical="center"/>
      <protection locked="0"/>
    </xf>
    <xf numFmtId="0" fontId="127" fillId="0" borderId="0" xfId="0" applyFont="1" applyAlignment="1" applyProtection="1">
      <alignment horizontal="right" vertical="center"/>
      <protection locked="0"/>
    </xf>
    <xf numFmtId="0" fontId="32" fillId="0" borderId="0" xfId="0" applyFont="1" applyAlignment="1" applyProtection="1">
      <alignment horizontal="center" vertical="center"/>
      <protection locked="0"/>
    </xf>
    <xf numFmtId="0" fontId="124" fillId="0" borderId="9" xfId="0" applyFont="1" applyBorder="1" applyAlignment="1" applyProtection="1">
      <alignment vertical="center"/>
      <protection locked="0"/>
    </xf>
    <xf numFmtId="0" fontId="110" fillId="0" borderId="0" xfId="0" applyFont="1" applyAlignment="1" applyProtection="1">
      <alignment horizontal="right" vertical="center"/>
      <protection locked="0"/>
    </xf>
    <xf numFmtId="0" fontId="110" fillId="0" borderId="0" xfId="0" applyFont="1" applyAlignment="1" applyProtection="1">
      <alignment horizontal="left"/>
      <protection locked="0"/>
    </xf>
    <xf numFmtId="0" fontId="0" fillId="0" borderId="11" xfId="0" applyBorder="1" applyProtection="1">
      <protection locked="0"/>
    </xf>
    <xf numFmtId="0" fontId="70" fillId="0" borderId="0" xfId="0" applyFont="1" applyAlignment="1" applyProtection="1">
      <alignment horizontal="center" vertical="center"/>
      <protection locked="0"/>
    </xf>
    <xf numFmtId="0" fontId="70" fillId="0" borderId="0" xfId="0" applyFont="1" applyProtection="1">
      <protection locked="0"/>
    </xf>
    <xf numFmtId="176" fontId="70" fillId="0" borderId="0" xfId="0" applyNumberFormat="1" applyFont="1" applyAlignment="1" applyProtection="1">
      <alignment wrapText="1"/>
      <protection locked="0"/>
    </xf>
    <xf numFmtId="0" fontId="70" fillId="13" borderId="1" xfId="0" applyFont="1" applyFill="1" applyBorder="1" applyAlignment="1">
      <alignment horizontal="center" vertical="center" wrapText="1"/>
    </xf>
    <xf numFmtId="176" fontId="70" fillId="13" borderId="15" xfId="0" applyNumberFormat="1" applyFont="1" applyFill="1" applyBorder="1" applyAlignment="1">
      <alignment horizontal="center" vertical="center" wrapText="1"/>
    </xf>
    <xf numFmtId="176" fontId="70" fillId="13" borderId="1" xfId="0" applyNumberFormat="1" applyFont="1" applyFill="1" applyBorder="1" applyAlignment="1">
      <alignment horizontal="center" vertical="center" wrapText="1"/>
    </xf>
    <xf numFmtId="0" fontId="70" fillId="0" borderId="0" xfId="0" applyFont="1" applyAlignment="1" applyProtection="1">
      <alignment wrapText="1"/>
      <protection locked="0"/>
    </xf>
    <xf numFmtId="0" fontId="70" fillId="0" borderId="0" xfId="0" applyFont="1" applyAlignment="1" applyProtection="1">
      <alignment horizontal="center"/>
      <protection locked="0"/>
    </xf>
    <xf numFmtId="176" fontId="100" fillId="0" borderId="0" xfId="0" applyNumberFormat="1" applyFont="1" applyAlignment="1" applyProtection="1">
      <alignment vertical="top"/>
      <protection locked="0"/>
    </xf>
    <xf numFmtId="0" fontId="100" fillId="0" borderId="0" xfId="0" applyFont="1"/>
    <xf numFmtId="1" fontId="70" fillId="14" borderId="1" xfId="0" applyNumberFormat="1" applyFont="1" applyFill="1" applyBorder="1" applyAlignment="1" applyProtection="1">
      <alignment wrapText="1"/>
      <protection locked="0" hidden="1"/>
    </xf>
    <xf numFmtId="49" fontId="0" fillId="6" borderId="0" xfId="0" applyNumberFormat="1" applyFill="1"/>
    <xf numFmtId="0" fontId="90" fillId="0" borderId="0" xfId="0" applyFont="1" applyAlignment="1">
      <alignment horizontal="center"/>
    </xf>
    <xf numFmtId="0" fontId="73" fillId="0" borderId="14" xfId="0" applyFont="1" applyBorder="1" applyAlignment="1" applyProtection="1">
      <alignment horizontal="center" wrapText="1"/>
      <protection locked="0"/>
    </xf>
    <xf numFmtId="0" fontId="90" fillId="14" borderId="15" xfId="0" applyFont="1" applyFill="1" applyBorder="1" applyAlignment="1" applyProtection="1">
      <alignment horizontal="center" wrapText="1"/>
      <protection hidden="1"/>
    </xf>
    <xf numFmtId="0" fontId="26" fillId="0" borderId="0" xfId="0" quotePrefix="1" applyFont="1" applyProtection="1">
      <protection hidden="1"/>
    </xf>
    <xf numFmtId="0" fontId="26" fillId="0" borderId="0" xfId="0" applyFont="1" applyAlignment="1" applyProtection="1">
      <alignment horizontal="center"/>
      <protection hidden="1"/>
    </xf>
    <xf numFmtId="0" fontId="24" fillId="0" borderId="0" xfId="0" applyFont="1" applyProtection="1">
      <protection hidden="1"/>
    </xf>
    <xf numFmtId="0" fontId="40" fillId="0" borderId="0" xfId="10" applyFont="1"/>
    <xf numFmtId="4" fontId="0" fillId="0" borderId="0" xfId="0" applyNumberFormat="1" applyProtection="1">
      <protection hidden="1"/>
    </xf>
    <xf numFmtId="4" fontId="93" fillId="0" borderId="0" xfId="0" applyNumberFormat="1" applyFont="1" applyAlignment="1" applyProtection="1">
      <alignment vertical="top"/>
      <protection hidden="1"/>
    </xf>
    <xf numFmtId="4" fontId="133" fillId="0" borderId="0" xfId="0" applyNumberFormat="1" applyFont="1" applyProtection="1">
      <protection hidden="1"/>
    </xf>
    <xf numFmtId="4" fontId="110" fillId="0" borderId="0" xfId="0" applyNumberFormat="1" applyFont="1" applyProtection="1">
      <protection hidden="1"/>
    </xf>
    <xf numFmtId="4" fontId="73" fillId="0" borderId="0" xfId="0" applyNumberFormat="1" applyFont="1" applyProtection="1">
      <protection hidden="1"/>
    </xf>
    <xf numFmtId="4" fontId="111" fillId="0" borderId="0" xfId="0" applyNumberFormat="1" applyFont="1" applyProtection="1">
      <protection hidden="1"/>
    </xf>
    <xf numFmtId="4" fontId="0" fillId="0" borderId="0" xfId="0" applyNumberFormat="1"/>
    <xf numFmtId="4" fontId="0" fillId="14" borderId="1" xfId="0" applyNumberFormat="1" applyFill="1" applyBorder="1" applyAlignment="1" applyProtection="1">
      <alignment wrapText="1"/>
      <protection hidden="1"/>
    </xf>
    <xf numFmtId="0" fontId="32" fillId="9" borderId="2" xfId="0" applyFont="1" applyFill="1" applyBorder="1" applyAlignment="1" applyProtection="1">
      <alignment horizontal="center" wrapText="1"/>
      <protection hidden="1"/>
    </xf>
    <xf numFmtId="0" fontId="96" fillId="10" borderId="0" xfId="0" applyFont="1" applyFill="1" applyAlignment="1" applyProtection="1">
      <alignment horizontal="center"/>
      <protection hidden="1"/>
    </xf>
    <xf numFmtId="166" fontId="150" fillId="0" borderId="0" xfId="0" applyNumberFormat="1" applyFont="1" applyAlignment="1" applyProtection="1">
      <alignment horizontal="center"/>
      <protection hidden="1"/>
    </xf>
    <xf numFmtId="0" fontId="100" fillId="0" borderId="1" xfId="0" applyFont="1" applyBorder="1" applyAlignment="1">
      <alignment horizontal="center"/>
    </xf>
    <xf numFmtId="2" fontId="133" fillId="0" borderId="0" xfId="0" applyNumberFormat="1" applyFont="1" applyProtection="1">
      <protection hidden="1"/>
    </xf>
    <xf numFmtId="2" fontId="70" fillId="9" borderId="1" xfId="0" applyNumberFormat="1" applyFont="1" applyFill="1" applyBorder="1" applyAlignment="1">
      <alignment wrapText="1"/>
    </xf>
    <xf numFmtId="190" fontId="70" fillId="9" borderId="1" xfId="1" applyNumberFormat="1" applyFont="1" applyFill="1" applyBorder="1" applyAlignment="1">
      <alignment wrapText="1"/>
    </xf>
    <xf numFmtId="49" fontId="72" fillId="0" borderId="0" xfId="0" applyNumberFormat="1" applyFont="1"/>
    <xf numFmtId="0" fontId="26" fillId="0" borderId="0" xfId="0" applyFont="1"/>
    <xf numFmtId="0" fontId="40" fillId="0" borderId="0" xfId="0" applyFont="1" applyAlignment="1" applyProtection="1">
      <alignment horizontal="left"/>
      <protection hidden="1"/>
    </xf>
    <xf numFmtId="0" fontId="40" fillId="80" borderId="1" xfId="0" applyFont="1" applyFill="1" applyBorder="1" applyProtection="1">
      <protection hidden="1"/>
    </xf>
    <xf numFmtId="0" fontId="40" fillId="80" borderId="15" xfId="0" applyFont="1" applyFill="1" applyBorder="1" applyAlignment="1" applyProtection="1">
      <alignment horizontal="center"/>
      <protection hidden="1"/>
    </xf>
    <xf numFmtId="0" fontId="40" fillId="80" borderId="15" xfId="0" applyFont="1" applyFill="1" applyBorder="1" applyAlignment="1" applyProtection="1">
      <alignment horizontal="center" vertical="top"/>
      <protection hidden="1"/>
    </xf>
    <xf numFmtId="0" fontId="26" fillId="80" borderId="1" xfId="0" applyFont="1" applyFill="1" applyBorder="1"/>
    <xf numFmtId="0" fontId="70" fillId="80" borderId="1" xfId="0" applyFont="1" applyFill="1" applyBorder="1" applyAlignment="1">
      <alignment horizontal="center"/>
    </xf>
    <xf numFmtId="0" fontId="40" fillId="80" borderId="2" xfId="0" applyFont="1" applyFill="1" applyBorder="1" applyProtection="1">
      <protection hidden="1"/>
    </xf>
    <xf numFmtId="0" fontId="40" fillId="0" borderId="1" xfId="0" applyFont="1" applyBorder="1" applyProtection="1">
      <protection hidden="1"/>
    </xf>
    <xf numFmtId="0" fontId="0" fillId="0" borderId="0" xfId="0" applyAlignment="1" applyProtection="1">
      <alignment horizontal="right"/>
      <protection hidden="1"/>
    </xf>
    <xf numFmtId="0" fontId="73" fillId="0" borderId="1" xfId="0" applyFont="1" applyBorder="1" applyAlignment="1" applyProtection="1">
      <alignment horizontal="right" wrapText="1"/>
      <protection hidden="1"/>
    </xf>
    <xf numFmtId="2" fontId="0" fillId="0" borderId="1" xfId="0" applyNumberFormat="1" applyBorder="1" applyAlignment="1" applyProtection="1">
      <alignment horizontal="right" wrapText="1"/>
      <protection hidden="1"/>
    </xf>
    <xf numFmtId="0" fontId="93" fillId="0" borderId="0" xfId="0" applyFont="1" applyAlignment="1" applyProtection="1">
      <alignment horizontal="right" vertical="top"/>
      <protection hidden="1"/>
    </xf>
    <xf numFmtId="176" fontId="133" fillId="0" borderId="0" xfId="0" applyNumberFormat="1" applyFont="1" applyAlignment="1" applyProtection="1">
      <alignment horizontal="right"/>
      <protection hidden="1"/>
    </xf>
    <xf numFmtId="0" fontId="110" fillId="0" borderId="0" xfId="0" applyFont="1" applyAlignment="1" applyProtection="1">
      <alignment horizontal="right"/>
      <protection hidden="1"/>
    </xf>
    <xf numFmtId="0" fontId="73" fillId="0" borderId="0" xfId="0" applyFont="1" applyAlignment="1" applyProtection="1">
      <alignment horizontal="right"/>
      <protection hidden="1"/>
    </xf>
    <xf numFmtId="0" fontId="111" fillId="0" borderId="0" xfId="0" applyFont="1" applyAlignment="1" applyProtection="1">
      <alignment horizontal="right"/>
      <protection hidden="1"/>
    </xf>
    <xf numFmtId="0" fontId="0" fillId="0" borderId="0" xfId="0" applyAlignment="1">
      <alignment horizontal="right"/>
    </xf>
    <xf numFmtId="49" fontId="0" fillId="0" borderId="1" xfId="0" applyNumberFormat="1" applyBorder="1" applyAlignment="1" applyProtection="1">
      <alignment wrapText="1"/>
      <protection hidden="1"/>
    </xf>
    <xf numFmtId="0" fontId="109" fillId="0" borderId="0" xfId="0" applyFont="1" applyAlignment="1">
      <alignment wrapText="1"/>
    </xf>
    <xf numFmtId="49" fontId="63" fillId="0" borderId="0" xfId="0" applyNumberFormat="1" applyFont="1"/>
    <xf numFmtId="1" fontId="63" fillId="0" borderId="0" xfId="0" applyNumberFormat="1" applyFont="1"/>
    <xf numFmtId="49" fontId="63" fillId="0" borderId="0" xfId="0" applyNumberFormat="1" applyFont="1" applyAlignment="1">
      <alignment vertical="center"/>
    </xf>
    <xf numFmtId="178" fontId="73" fillId="7" borderId="0" xfId="0" applyNumberFormat="1" applyFont="1" applyFill="1" applyAlignment="1" applyProtection="1">
      <alignment horizontal="left"/>
      <protection hidden="1"/>
    </xf>
    <xf numFmtId="173" fontId="73" fillId="7" borderId="0" xfId="0" applyNumberFormat="1" applyFont="1" applyFill="1" applyAlignment="1" applyProtection="1">
      <alignment horizontal="left"/>
      <protection hidden="1"/>
    </xf>
    <xf numFmtId="0" fontId="35" fillId="7" borderId="0" xfId="4" applyFill="1" applyAlignment="1" applyProtection="1">
      <alignment horizontal="left"/>
      <protection hidden="1"/>
    </xf>
    <xf numFmtId="0" fontId="74" fillId="7" borderId="0" xfId="0" applyFont="1" applyFill="1" applyProtection="1">
      <protection hidden="1"/>
    </xf>
    <xf numFmtId="3" fontId="73" fillId="7" borderId="0" xfId="0" applyNumberFormat="1" applyFont="1" applyFill="1" applyProtection="1">
      <protection hidden="1"/>
    </xf>
    <xf numFmtId="0" fontId="87" fillId="7" borderId="0" xfId="0" applyFont="1" applyFill="1" applyProtection="1">
      <protection hidden="1"/>
    </xf>
    <xf numFmtId="0" fontId="74" fillId="10" borderId="0" xfId="0" applyFont="1" applyFill="1" applyAlignment="1" applyProtection="1">
      <alignment horizontal="left" indent="2"/>
      <protection hidden="1"/>
    </xf>
    <xf numFmtId="0" fontId="0" fillId="10" borderId="0" xfId="0" applyFill="1" applyProtection="1">
      <protection hidden="1"/>
    </xf>
    <xf numFmtId="165" fontId="0" fillId="0" borderId="1" xfId="0" applyNumberFormat="1" applyBorder="1" applyAlignment="1" applyProtection="1">
      <alignment wrapText="1"/>
      <protection hidden="1"/>
    </xf>
    <xf numFmtId="0" fontId="130" fillId="0" borderId="0" xfId="0" applyFont="1"/>
    <xf numFmtId="0" fontId="73" fillId="0" borderId="1" xfId="0" applyFont="1" applyBorder="1" applyAlignment="1" applyProtection="1">
      <alignment horizontal="right"/>
      <protection hidden="1"/>
    </xf>
    <xf numFmtId="49" fontId="73" fillId="0" borderId="1" xfId="0" applyNumberFormat="1" applyFont="1" applyBorder="1" applyAlignment="1" applyProtection="1">
      <alignment horizontal="center"/>
      <protection hidden="1"/>
    </xf>
    <xf numFmtId="0" fontId="73" fillId="0" borderId="2" xfId="0" applyFont="1" applyBorder="1" applyAlignment="1" applyProtection="1">
      <alignment horizontal="center"/>
      <protection hidden="1"/>
    </xf>
    <xf numFmtId="0" fontId="32" fillId="0" borderId="0" xfId="0" applyFont="1" applyAlignment="1">
      <alignment horizontal="left" vertical="center" indent="1"/>
    </xf>
    <xf numFmtId="0" fontId="230" fillId="0" borderId="0" xfId="0" applyFont="1"/>
    <xf numFmtId="0" fontId="234" fillId="0" borderId="0" xfId="0" applyFont="1" applyAlignment="1">
      <alignment vertical="top" wrapText="1"/>
    </xf>
    <xf numFmtId="0" fontId="75" fillId="0" borderId="0" xfId="0" applyFont="1" applyAlignment="1">
      <alignment vertical="top"/>
    </xf>
    <xf numFmtId="0" fontId="120" fillId="0" borderId="0" xfId="0" applyFont="1" applyAlignment="1">
      <alignment vertical="center" wrapText="1"/>
    </xf>
    <xf numFmtId="0" fontId="160" fillId="0" borderId="0" xfId="0" applyFont="1" applyAlignment="1">
      <alignment horizontal="center" wrapText="1"/>
    </xf>
    <xf numFmtId="0" fontId="160" fillId="0" borderId="0" xfId="0" applyFont="1" applyAlignment="1">
      <alignment horizontal="left" indent="9"/>
    </xf>
    <xf numFmtId="0" fontId="74" fillId="0" borderId="0" xfId="0" applyFont="1" applyAlignment="1">
      <alignment horizontal="justify"/>
    </xf>
    <xf numFmtId="0" fontId="132" fillId="0" borderId="0" xfId="0" applyFont="1" applyAlignment="1">
      <alignment vertical="center"/>
    </xf>
    <xf numFmtId="0" fontId="111" fillId="0" borderId="0" xfId="0" applyFont="1" applyAlignment="1">
      <alignment horizontal="left" wrapText="1"/>
    </xf>
    <xf numFmtId="0" fontId="92" fillId="0" borderId="0" xfId="0" applyFont="1" applyAlignment="1">
      <alignment horizontal="left"/>
    </xf>
    <xf numFmtId="0" fontId="92" fillId="0" borderId="0" xfId="0" applyFont="1" applyAlignment="1">
      <alignment horizontal="left" indent="1"/>
    </xf>
    <xf numFmtId="0" fontId="120" fillId="0" borderId="0" xfId="0" applyFont="1" applyAlignment="1">
      <alignment horizontal="left" indent="1"/>
    </xf>
    <xf numFmtId="0" fontId="120" fillId="0" borderId="0" xfId="0" applyFont="1" applyAlignment="1">
      <alignment horizontal="right"/>
    </xf>
    <xf numFmtId="0" fontId="120" fillId="0" borderId="0" xfId="0" applyFont="1" applyAlignment="1">
      <alignment horizontal="left" indent="10"/>
    </xf>
    <xf numFmtId="0" fontId="120" fillId="0" borderId="9" xfId="0" applyFont="1" applyBorder="1"/>
    <xf numFmtId="14" fontId="235" fillId="0" borderId="0" xfId="0" applyNumberFormat="1" applyFont="1" applyAlignment="1" applyProtection="1">
      <alignment vertical="top"/>
      <protection hidden="1"/>
    </xf>
    <xf numFmtId="0" fontId="236" fillId="0" borderId="0" xfId="0" applyFont="1" applyAlignment="1">
      <alignment horizontal="left" indent="1"/>
    </xf>
    <xf numFmtId="0" fontId="238" fillId="0" borderId="0" xfId="0" applyFont="1"/>
    <xf numFmtId="0" fontId="236" fillId="0" borderId="0" xfId="0" applyFont="1"/>
    <xf numFmtId="0" fontId="120" fillId="0" borderId="0" xfId="0" applyFont="1" applyAlignment="1">
      <alignment wrapText="1"/>
    </xf>
    <xf numFmtId="0" fontId="160" fillId="0" borderId="0" xfId="0" applyFont="1"/>
    <xf numFmtId="0" fontId="74" fillId="7" borderId="0" xfId="0" applyFont="1" applyFill="1"/>
    <xf numFmtId="0" fontId="73" fillId="7" borderId="0" xfId="0" applyFont="1" applyFill="1" applyAlignment="1">
      <alignment horizontal="left" vertical="top" indent="4"/>
    </xf>
    <xf numFmtId="191" fontId="73" fillId="7" borderId="2" xfId="0" applyNumberFormat="1" applyFont="1" applyFill="1" applyBorder="1" applyAlignment="1" applyProtection="1">
      <alignment horizontal="center" wrapText="1"/>
      <protection locked="0"/>
    </xf>
    <xf numFmtId="0" fontId="132" fillId="0" borderId="0" xfId="0" applyFont="1" applyAlignment="1">
      <alignment vertical="top" wrapText="1"/>
    </xf>
    <xf numFmtId="0" fontId="92" fillId="0" borderId="0" xfId="0" applyFont="1" applyAlignment="1">
      <alignment vertical="top"/>
    </xf>
    <xf numFmtId="0" fontId="68" fillId="0" borderId="0" xfId="0" applyFont="1"/>
    <xf numFmtId="0" fontId="239" fillId="0" borderId="0" xfId="4" applyFont="1" applyAlignment="1">
      <protection locked="0"/>
    </xf>
    <xf numFmtId="0" fontId="89" fillId="0" borderId="0" xfId="0" applyFont="1" applyAlignment="1">
      <alignment horizontal="left"/>
    </xf>
    <xf numFmtId="0" fontId="100" fillId="0" borderId="0" xfId="0" applyFont="1" applyAlignment="1">
      <alignment horizontal="center"/>
    </xf>
    <xf numFmtId="0" fontId="100" fillId="0" borderId="0" xfId="0" applyFont="1" applyAlignment="1">
      <alignment horizontal="left"/>
    </xf>
    <xf numFmtId="0" fontId="100" fillId="0" borderId="0" xfId="0" applyFont="1" applyAlignment="1">
      <alignment horizontal="left" indent="13"/>
    </xf>
    <xf numFmtId="0" fontId="76" fillId="0" borderId="0" xfId="0" applyFont="1" applyAlignment="1">
      <alignment horizontal="center"/>
    </xf>
    <xf numFmtId="0" fontId="76" fillId="0" borderId="0" xfId="0" applyFont="1" applyAlignment="1">
      <alignment horizontal="right"/>
    </xf>
    <xf numFmtId="0" fontId="127" fillId="0" borderId="0" xfId="0" applyFont="1" applyAlignment="1" applyProtection="1">
      <alignment horizontal="left" vertical="top" indent="6"/>
      <protection locked="0"/>
    </xf>
    <xf numFmtId="0" fontId="0" fillId="0" borderId="25" xfId="0" applyBorder="1"/>
    <xf numFmtId="0" fontId="0" fillId="0" borderId="21" xfId="0" applyBorder="1" applyAlignment="1">
      <alignment horizontal="right"/>
    </xf>
    <xf numFmtId="44" fontId="0" fillId="0" borderId="22" xfId="2" applyFont="1" applyBorder="1"/>
    <xf numFmtId="0" fontId="0" fillId="10" borderId="25" xfId="0" applyFill="1" applyBorder="1"/>
    <xf numFmtId="0" fontId="0" fillId="0" borderId="0" xfId="0" applyAlignment="1">
      <alignment vertical="center"/>
    </xf>
    <xf numFmtId="0" fontId="70" fillId="0" borderId="1" xfId="0" applyFont="1" applyBorder="1" applyAlignment="1" applyProtection="1">
      <alignment horizontal="left"/>
      <protection locked="0"/>
    </xf>
    <xf numFmtId="0" fontId="32" fillId="0" borderId="0" xfId="4" applyFont="1" applyAlignment="1" applyProtection="1"/>
    <xf numFmtId="0" fontId="73" fillId="0" borderId="0" xfId="0" applyFont="1" applyAlignment="1">
      <alignment horizontal="left" vertical="top"/>
    </xf>
    <xf numFmtId="49" fontId="73" fillId="0" borderId="0" xfId="0" applyNumberFormat="1" applyFont="1"/>
    <xf numFmtId="0" fontId="73" fillId="0" borderId="0" xfId="0" applyFont="1" applyAlignment="1" applyProtection="1">
      <alignment horizontal="left"/>
      <protection locked="0"/>
    </xf>
    <xf numFmtId="0" fontId="99" fillId="0" borderId="0" xfId="0" applyFont="1" applyAlignment="1">
      <alignment horizontal="left" vertical="center" indent="5"/>
    </xf>
    <xf numFmtId="0" fontId="76" fillId="0" borderId="0" xfId="0" applyFont="1" applyAlignment="1">
      <alignment vertical="top"/>
    </xf>
    <xf numFmtId="0" fontId="240" fillId="0" borderId="0" xfId="0" applyFont="1"/>
    <xf numFmtId="0" fontId="114" fillId="0" borderId="0" xfId="0" applyFont="1" applyAlignment="1">
      <alignment vertical="center"/>
    </xf>
    <xf numFmtId="0" fontId="241" fillId="0" borderId="0" xfId="0" applyFont="1" applyAlignment="1">
      <alignment vertical="center"/>
    </xf>
    <xf numFmtId="0" fontId="242" fillId="0" borderId="0" xfId="0" applyFont="1" applyAlignment="1">
      <alignment vertical="center"/>
    </xf>
    <xf numFmtId="0" fontId="241" fillId="0" borderId="0" xfId="0" applyFont="1"/>
    <xf numFmtId="0" fontId="242" fillId="0" borderId="0" xfId="0" applyFont="1"/>
    <xf numFmtId="170" fontId="100" fillId="14" borderId="1" xfId="0" applyNumberFormat="1" applyFont="1" applyFill="1" applyBorder="1" applyAlignment="1">
      <alignment horizontal="center" wrapText="1"/>
    </xf>
    <xf numFmtId="0" fontId="70" fillId="0" borderId="1" xfId="0" applyFont="1" applyBorder="1" applyAlignment="1" applyProtection="1">
      <alignment horizontal="center"/>
      <protection locked="0"/>
    </xf>
    <xf numFmtId="176" fontId="70" fillId="0" borderId="0" xfId="0" applyNumberFormat="1" applyFont="1" applyAlignment="1">
      <alignment horizontal="left" vertical="center"/>
    </xf>
    <xf numFmtId="0" fontId="181" fillId="0" borderId="0" xfId="4" applyFont="1" applyAlignment="1" applyProtection="1">
      <alignment vertical="center"/>
    </xf>
    <xf numFmtId="0" fontId="181" fillId="0" borderId="0" xfId="4" applyFont="1" applyAlignment="1" applyProtection="1"/>
    <xf numFmtId="0" fontId="40" fillId="5" borderId="15" xfId="0" applyFont="1" applyFill="1" applyBorder="1" applyAlignment="1" applyProtection="1">
      <alignment horizontal="center"/>
      <protection hidden="1"/>
    </xf>
    <xf numFmtId="0" fontId="0" fillId="0" borderId="0" xfId="0" applyAlignment="1" applyProtection="1">
      <alignment horizontal="center"/>
      <protection locked="0"/>
    </xf>
    <xf numFmtId="0" fontId="110" fillId="0" borderId="0" xfId="0" applyFont="1" applyAlignment="1" applyProtection="1">
      <alignment horizontal="right"/>
      <protection locked="0"/>
    </xf>
    <xf numFmtId="0" fontId="70" fillId="0" borderId="0" xfId="0" applyFont="1" applyAlignment="1">
      <alignment horizontal="left"/>
    </xf>
    <xf numFmtId="0" fontId="138" fillId="0" borderId="2" xfId="0" applyFont="1" applyBorder="1" applyAlignment="1">
      <alignment vertical="center"/>
    </xf>
    <xf numFmtId="0" fontId="138" fillId="0" borderId="15" xfId="0" applyFont="1" applyBorder="1" applyAlignment="1">
      <alignment vertical="center"/>
    </xf>
    <xf numFmtId="0" fontId="138" fillId="0" borderId="14" xfId="0" applyFont="1" applyBorder="1" applyAlignment="1">
      <alignment vertical="center"/>
    </xf>
    <xf numFmtId="0" fontId="138" fillId="0" borderId="0" xfId="0" applyFont="1" applyAlignment="1">
      <alignment vertical="center"/>
    </xf>
    <xf numFmtId="0" fontId="138" fillId="0" borderId="1" xfId="0" applyFont="1" applyBorder="1" applyAlignment="1">
      <alignment vertical="center"/>
    </xf>
    <xf numFmtId="0" fontId="138" fillId="0" borderId="1" xfId="0" applyFont="1" applyBorder="1"/>
    <xf numFmtId="0" fontId="245" fillId="0" borderId="0" xfId="0" applyFont="1"/>
    <xf numFmtId="0" fontId="245" fillId="0" borderId="0" xfId="0" applyFont="1" applyAlignment="1">
      <alignment vertical="center"/>
    </xf>
    <xf numFmtId="0" fontId="89" fillId="0" borderId="13" xfId="0" applyFont="1" applyBorder="1" applyAlignment="1">
      <alignment vertical="center"/>
    </xf>
    <xf numFmtId="0" fontId="249" fillId="0" borderId="0" xfId="0" applyFont="1"/>
    <xf numFmtId="0" fontId="110" fillId="0" borderId="0" xfId="0" applyFont="1" applyAlignment="1">
      <alignment horizontal="center" vertical="center"/>
    </xf>
    <xf numFmtId="0" fontId="250" fillId="0" borderId="0" xfId="0" applyFont="1" applyAlignment="1">
      <alignment vertical="center"/>
    </xf>
    <xf numFmtId="176" fontId="133" fillId="0" borderId="0" xfId="0" applyNumberFormat="1" applyFont="1" applyAlignment="1" applyProtection="1">
      <alignment vertical="top"/>
      <protection hidden="1"/>
    </xf>
    <xf numFmtId="49" fontId="35" fillId="0" borderId="0" xfId="4" applyNumberFormat="1" applyAlignment="1">
      <protection locked="0"/>
    </xf>
    <xf numFmtId="49" fontId="227" fillId="0" borderId="0" xfId="4" applyNumberFormat="1" applyFont="1" applyAlignment="1">
      <protection locked="0"/>
    </xf>
    <xf numFmtId="49" fontId="32" fillId="0" borderId="0" xfId="4" applyNumberFormat="1" applyFont="1" applyAlignment="1">
      <protection locked="0"/>
    </xf>
    <xf numFmtId="49" fontId="252" fillId="0" borderId="0" xfId="4" applyNumberFormat="1" applyFont="1" applyAlignment="1">
      <protection locked="0"/>
    </xf>
    <xf numFmtId="0" fontId="73" fillId="7" borderId="1" xfId="0" applyFont="1" applyFill="1" applyBorder="1" applyProtection="1">
      <protection locked="0"/>
    </xf>
    <xf numFmtId="0" fontId="35" fillId="0" borderId="0" xfId="4" applyAlignment="1">
      <alignment horizontal="left" vertical="center" indent="1"/>
      <protection locked="0"/>
    </xf>
    <xf numFmtId="6" fontId="113" fillId="0" borderId="0" xfId="0" applyNumberFormat="1" applyFont="1" applyAlignment="1">
      <alignment horizontal="center" vertical="center"/>
    </xf>
    <xf numFmtId="0" fontId="113" fillId="0" borderId="0" xfId="0" applyFont="1" applyAlignment="1">
      <alignment horizontal="center"/>
    </xf>
    <xf numFmtId="0" fontId="114" fillId="0" borderId="0" xfId="0" applyFont="1" applyAlignment="1">
      <alignment horizontal="center"/>
    </xf>
    <xf numFmtId="6" fontId="113" fillId="0" borderId="0" xfId="0" applyNumberFormat="1" applyFont="1" applyAlignment="1">
      <alignment horizontal="center"/>
    </xf>
    <xf numFmtId="6" fontId="70" fillId="0" borderId="0" xfId="0" applyNumberFormat="1" applyFont="1" applyAlignment="1">
      <alignment horizontal="center"/>
    </xf>
    <xf numFmtId="0" fontId="100" fillId="0" borderId="0" xfId="0" applyFont="1" applyAlignment="1">
      <alignment horizontal="center" wrapText="1"/>
    </xf>
    <xf numFmtId="0" fontId="0" fillId="7" borderId="14" xfId="0" applyFill="1" applyBorder="1" applyAlignment="1" applyProtection="1">
      <alignment horizontal="center"/>
      <protection hidden="1"/>
    </xf>
    <xf numFmtId="0" fontId="0" fillId="7" borderId="2" xfId="0" applyFill="1" applyBorder="1" applyAlignment="1" applyProtection="1">
      <alignment horizontal="center"/>
      <protection hidden="1"/>
    </xf>
    <xf numFmtId="0" fontId="0" fillId="7" borderId="9" xfId="0" applyFill="1" applyBorder="1" applyAlignment="1" applyProtection="1">
      <alignment horizontal="center"/>
      <protection hidden="1"/>
    </xf>
    <xf numFmtId="0" fontId="0" fillId="7" borderId="10" xfId="0" applyFill="1" applyBorder="1" applyAlignment="1" applyProtection="1">
      <alignment horizontal="center"/>
      <protection hidden="1"/>
    </xf>
    <xf numFmtId="0" fontId="0" fillId="7" borderId="15" xfId="0" applyFill="1" applyBorder="1" applyAlignment="1" applyProtection="1">
      <alignment horizontal="center"/>
      <protection hidden="1"/>
    </xf>
    <xf numFmtId="0" fontId="145" fillId="7" borderId="0" xfId="0" applyFont="1" applyFill="1" applyProtection="1">
      <protection hidden="1"/>
    </xf>
    <xf numFmtId="0" fontId="254" fillId="7" borderId="15" xfId="0" applyFont="1" applyFill="1" applyBorder="1" applyAlignment="1" applyProtection="1">
      <alignment horizontal="left" readingOrder="1"/>
      <protection hidden="1"/>
    </xf>
    <xf numFmtId="0" fontId="254" fillId="7" borderId="8" xfId="0" applyFont="1" applyFill="1" applyBorder="1" applyAlignment="1" applyProtection="1">
      <alignment horizontal="left" readingOrder="1"/>
      <protection hidden="1"/>
    </xf>
    <xf numFmtId="0" fontId="254" fillId="7" borderId="8" xfId="0" applyFont="1" applyFill="1" applyBorder="1" applyAlignment="1" applyProtection="1">
      <alignment horizontal="left" vertical="center" readingOrder="1"/>
      <protection hidden="1"/>
    </xf>
    <xf numFmtId="0" fontId="74" fillId="7" borderId="0" xfId="0" applyFont="1" applyFill="1" applyAlignment="1" applyProtection="1">
      <alignment horizontal="left" vertical="top"/>
      <protection hidden="1"/>
    </xf>
    <xf numFmtId="0" fontId="0" fillId="15" borderId="0" xfId="0" applyFill="1"/>
    <xf numFmtId="0" fontId="76" fillId="0" borderId="9" xfId="0" applyFont="1" applyBorder="1" applyAlignment="1" applyProtection="1">
      <alignment vertical="top" wrapText="1"/>
      <protection hidden="1"/>
    </xf>
    <xf numFmtId="0" fontId="70" fillId="14" borderId="0" xfId="0" applyFont="1" applyFill="1"/>
    <xf numFmtId="0" fontId="70" fillId="15" borderId="1" xfId="0" applyFont="1" applyFill="1" applyBorder="1"/>
    <xf numFmtId="3" fontId="70" fillId="15" borderId="1" xfId="0" applyNumberFormat="1" applyFont="1" applyFill="1" applyBorder="1"/>
    <xf numFmtId="0" fontId="40" fillId="15" borderId="0" xfId="0" applyFont="1" applyFill="1" applyProtection="1">
      <protection hidden="1"/>
    </xf>
    <xf numFmtId="1" fontId="40" fillId="5" borderId="1" xfId="0" applyNumberFormat="1" applyFont="1" applyFill="1" applyBorder="1" applyAlignment="1" applyProtection="1">
      <alignment horizontal="center"/>
      <protection hidden="1"/>
    </xf>
    <xf numFmtId="0" fontId="113" fillId="0" borderId="0" xfId="0" applyFont="1" applyAlignment="1">
      <alignment horizontal="center" vertical="center"/>
    </xf>
    <xf numFmtId="0" fontId="107" fillId="0" borderId="0" xfId="0" applyFont="1"/>
    <xf numFmtId="0" fontId="89" fillId="0" borderId="0" xfId="0" applyFont="1" applyAlignment="1">
      <alignment vertical="center"/>
    </xf>
    <xf numFmtId="0" fontId="142" fillId="0" borderId="0" xfId="0" applyFont="1" applyAlignment="1">
      <alignment vertical="top"/>
    </xf>
    <xf numFmtId="0" fontId="255" fillId="0" borderId="15" xfId="0" applyFont="1" applyBorder="1" applyAlignment="1">
      <alignment vertical="center"/>
    </xf>
    <xf numFmtId="0" fontId="255" fillId="0" borderId="14" xfId="0" applyFont="1" applyBorder="1" applyAlignment="1">
      <alignment vertical="center"/>
    </xf>
    <xf numFmtId="0" fontId="255" fillId="0" borderId="9" xfId="0" applyFont="1" applyBorder="1" applyAlignment="1">
      <alignment vertical="center"/>
    </xf>
    <xf numFmtId="0" fontId="134" fillId="0" borderId="9" xfId="0" applyFont="1" applyBorder="1" applyAlignment="1">
      <alignment vertical="top"/>
    </xf>
    <xf numFmtId="0" fontId="245" fillId="0" borderId="9" xfId="0" applyFont="1" applyBorder="1" applyAlignment="1">
      <alignment vertical="center"/>
    </xf>
    <xf numFmtId="0" fontId="114" fillId="0" borderId="0" xfId="0" applyFont="1" applyAlignment="1">
      <alignment horizontal="center" vertical="center" wrapText="1"/>
    </xf>
    <xf numFmtId="0" fontId="66" fillId="0" borderId="0" xfId="0" applyFont="1" applyAlignment="1">
      <alignment vertical="center"/>
    </xf>
    <xf numFmtId="166" fontId="57" fillId="5" borderId="1" xfId="0" applyNumberFormat="1" applyFont="1" applyFill="1" applyBorder="1" applyProtection="1">
      <protection hidden="1"/>
    </xf>
    <xf numFmtId="0" fontId="250" fillId="0" borderId="0" xfId="0" applyFont="1" applyAlignment="1">
      <alignment horizontal="center" vertical="center"/>
    </xf>
    <xf numFmtId="0" fontId="63" fillId="0" borderId="0" xfId="0" applyFont="1" applyAlignment="1">
      <alignment horizontal="left" vertical="top" wrapText="1"/>
    </xf>
    <xf numFmtId="0" fontId="63" fillId="0" borderId="0" xfId="0" applyFont="1" applyAlignment="1">
      <alignment horizontal="left" vertical="center"/>
    </xf>
    <xf numFmtId="0" fontId="41" fillId="0" borderId="1" xfId="0" applyFont="1" applyBorder="1" applyAlignment="1" applyProtection="1">
      <alignment horizontal="center" vertical="center" wrapText="1"/>
      <protection hidden="1"/>
    </xf>
    <xf numFmtId="192" fontId="73" fillId="7" borderId="1" xfId="0" applyNumberFormat="1" applyFont="1" applyFill="1" applyBorder="1" applyAlignment="1">
      <alignment horizontal="center"/>
    </xf>
    <xf numFmtId="0" fontId="73" fillId="0" borderId="1" xfId="0" applyFont="1" applyBorder="1" applyAlignment="1">
      <alignment horizontal="center" wrapText="1"/>
    </xf>
    <xf numFmtId="0" fontId="73" fillId="0" borderId="1" xfId="0" applyFont="1" applyBorder="1"/>
    <xf numFmtId="0" fontId="73" fillId="0" borderId="1" xfId="0" applyFont="1" applyBorder="1" applyAlignment="1">
      <alignment horizontal="center"/>
    </xf>
    <xf numFmtId="0" fontId="113" fillId="0" borderId="0" xfId="0" applyFont="1" applyAlignment="1">
      <alignment vertical="center" wrapText="1"/>
    </xf>
    <xf numFmtId="0" fontId="113" fillId="0" borderId="0" xfId="0" applyFont="1" applyAlignment="1">
      <alignment wrapText="1"/>
    </xf>
    <xf numFmtId="0" fontId="257" fillId="0" borderId="0" xfId="0" applyFont="1"/>
    <xf numFmtId="0" fontId="258" fillId="0" borderId="0" xfId="0" applyFont="1" applyAlignment="1">
      <alignment horizontal="center" vertical="center"/>
    </xf>
    <xf numFmtId="0" fontId="57" fillId="0" borderId="0" xfId="0" applyFont="1"/>
    <xf numFmtId="0" fontId="40" fillId="0" borderId="0" xfId="0" applyFont="1" applyAlignment="1">
      <alignment vertical="center" wrapText="1"/>
    </xf>
    <xf numFmtId="0" fontId="67" fillId="0" borderId="0" xfId="0" applyFont="1"/>
    <xf numFmtId="0" fontId="259" fillId="0" borderId="0" xfId="0" applyFont="1" applyProtection="1">
      <protection hidden="1"/>
    </xf>
    <xf numFmtId="0" fontId="73" fillId="0" borderId="0" xfId="0" applyFont="1" applyAlignment="1">
      <alignment horizontal="left" wrapText="1"/>
    </xf>
    <xf numFmtId="0" fontId="73" fillId="0" borderId="0" xfId="0" applyFont="1" applyAlignment="1">
      <alignment horizontal="left" vertical="center" wrapText="1"/>
    </xf>
    <xf numFmtId="0" fontId="89" fillId="0" borderId="0" xfId="0" applyFont="1"/>
    <xf numFmtId="0" fontId="73" fillId="7" borderId="15" xfId="0" applyFont="1" applyFill="1" applyBorder="1" applyProtection="1">
      <protection hidden="1"/>
    </xf>
    <xf numFmtId="0" fontId="73" fillId="7" borderId="14" xfId="0" applyFont="1" applyFill="1" applyBorder="1" applyProtection="1">
      <protection hidden="1"/>
    </xf>
    <xf numFmtId="0" fontId="0" fillId="5" borderId="1" xfId="0" applyFill="1" applyBorder="1"/>
    <xf numFmtId="0" fontId="0" fillId="0" borderId="0" xfId="0" applyAlignment="1" applyProtection="1">
      <alignment horizontal="left"/>
      <protection hidden="1"/>
    </xf>
    <xf numFmtId="0" fontId="115" fillId="0" borderId="9" xfId="0" applyFont="1" applyBorder="1" applyAlignment="1" applyProtection="1">
      <alignment horizontal="left"/>
      <protection hidden="1"/>
    </xf>
    <xf numFmtId="193" fontId="61" fillId="0" borderId="0" xfId="2" applyNumberFormat="1" applyFont="1" applyAlignment="1">
      <alignment wrapText="1"/>
    </xf>
    <xf numFmtId="183" fontId="55" fillId="0" borderId="0" xfId="22" applyNumberFormat="1"/>
    <xf numFmtId="184" fontId="55" fillId="0" borderId="0" xfId="22" applyNumberFormat="1"/>
    <xf numFmtId="0" fontId="0" fillId="0" borderId="19" xfId="0" applyBorder="1" applyAlignment="1">
      <alignment horizontal="right"/>
    </xf>
    <xf numFmtId="0" fontId="108" fillId="0" borderId="0" xfId="0" applyFont="1"/>
    <xf numFmtId="0" fontId="121" fillId="0" borderId="0" xfId="0" applyFont="1" applyProtection="1">
      <protection hidden="1"/>
    </xf>
    <xf numFmtId="0" fontId="72" fillId="0" borderId="0" xfId="0" applyFont="1" applyProtection="1">
      <protection hidden="1"/>
    </xf>
    <xf numFmtId="0" fontId="229" fillId="0" borderId="0" xfId="0" applyFont="1" applyProtection="1">
      <protection hidden="1"/>
    </xf>
    <xf numFmtId="0" fontId="229" fillId="0" borderId="0" xfId="0" applyFont="1"/>
    <xf numFmtId="170" fontId="229" fillId="0" borderId="0" xfId="0" applyNumberFormat="1" applyFont="1" applyProtection="1">
      <protection hidden="1"/>
    </xf>
    <xf numFmtId="0" fontId="262" fillId="7" borderId="0" xfId="0" applyFont="1" applyFill="1" applyAlignment="1" applyProtection="1">
      <alignment readingOrder="1"/>
      <protection hidden="1"/>
    </xf>
    <xf numFmtId="0" fontId="263" fillId="7" borderId="0" xfId="0" applyFont="1" applyFill="1" applyProtection="1">
      <protection hidden="1"/>
    </xf>
    <xf numFmtId="0" fontId="263" fillId="7" borderId="0" xfId="0" applyFont="1" applyFill="1" applyAlignment="1" applyProtection="1">
      <alignment readingOrder="1"/>
      <protection hidden="1"/>
    </xf>
    <xf numFmtId="0" fontId="0" fillId="81" borderId="2" xfId="0" applyFill="1" applyBorder="1" applyAlignment="1" applyProtection="1">
      <alignment horizontal="center"/>
      <protection hidden="1"/>
    </xf>
    <xf numFmtId="0" fontId="73" fillId="81" borderId="14" xfId="0" applyFont="1" applyFill="1" applyBorder="1" applyAlignment="1" applyProtection="1">
      <alignment horizontal="center"/>
      <protection hidden="1"/>
    </xf>
    <xf numFmtId="0" fontId="93" fillId="0" borderId="0" xfId="0" applyFont="1" applyAlignment="1" applyProtection="1">
      <alignment horizontal="center"/>
      <protection hidden="1"/>
    </xf>
    <xf numFmtId="0" fontId="138" fillId="0" borderId="0" xfId="0" applyFont="1" applyAlignment="1" applyProtection="1">
      <alignment vertical="center"/>
      <protection locked="0"/>
    </xf>
    <xf numFmtId="0" fontId="75" fillId="0" borderId="0" xfId="0" applyFont="1" applyProtection="1">
      <protection locked="0"/>
    </xf>
    <xf numFmtId="0" fontId="227" fillId="0" borderId="0" xfId="4" applyFont="1" applyAlignment="1" applyProtection="1"/>
    <xf numFmtId="0" fontId="63" fillId="0" borderId="9" xfId="0" applyFont="1" applyBorder="1"/>
    <xf numFmtId="0" fontId="138" fillId="0" borderId="13" xfId="0" applyFont="1" applyBorder="1" applyAlignment="1" applyProtection="1">
      <alignment horizontal="left" vertical="center"/>
      <protection locked="0"/>
    </xf>
    <xf numFmtId="0" fontId="63" fillId="0" borderId="10" xfId="0" applyFont="1" applyBorder="1"/>
    <xf numFmtId="0" fontId="147" fillId="7" borderId="0" xfId="0" applyFont="1" applyFill="1" applyAlignment="1" applyProtection="1">
      <alignment vertical="top" wrapText="1"/>
      <protection hidden="1"/>
    </xf>
    <xf numFmtId="49" fontId="65" fillId="0" borderId="0" xfId="0" applyNumberFormat="1" applyFont="1"/>
    <xf numFmtId="0" fontId="100" fillId="0" borderId="0" xfId="0" applyFont="1" applyAlignment="1">
      <alignment horizontal="right"/>
    </xf>
    <xf numFmtId="0" fontId="100" fillId="0" borderId="0" xfId="0" applyFont="1" applyAlignment="1" applyProtection="1">
      <alignment horizontal="right"/>
      <protection hidden="1"/>
    </xf>
    <xf numFmtId="0" fontId="31" fillId="0" borderId="0" xfId="4" applyFont="1" applyAlignment="1">
      <alignment vertical="center"/>
      <protection locked="0"/>
    </xf>
    <xf numFmtId="0" fontId="253" fillId="0" borderId="0" xfId="4" applyFont="1" applyAlignment="1">
      <alignment vertical="center"/>
      <protection locked="0"/>
    </xf>
    <xf numFmtId="0" fontId="253" fillId="0" borderId="11" xfId="4" applyFont="1" applyBorder="1" applyAlignment="1">
      <protection locked="0"/>
    </xf>
    <xf numFmtId="0" fontId="73" fillId="14" borderId="1" xfId="0" applyFont="1" applyFill="1" applyBorder="1" applyAlignment="1">
      <alignment horizontal="center" wrapText="1"/>
    </xf>
    <xf numFmtId="2" fontId="0" fillId="0" borderId="0" xfId="0" applyNumberFormat="1" applyAlignment="1">
      <alignment vertical="top"/>
    </xf>
    <xf numFmtId="0" fontId="41" fillId="14" borderId="15" xfId="0" applyFont="1" applyFill="1" applyBorder="1" applyAlignment="1" applyProtection="1">
      <alignment horizontal="center" wrapText="1"/>
      <protection hidden="1"/>
    </xf>
    <xf numFmtId="0" fontId="90" fillId="14" borderId="15" xfId="0" applyFont="1" applyFill="1" applyBorder="1" applyAlignment="1">
      <alignment horizontal="center"/>
    </xf>
    <xf numFmtId="0" fontId="100" fillId="0" borderId="0" xfId="0" applyFont="1" applyAlignment="1">
      <alignment horizontal="right" vertical="center"/>
    </xf>
    <xf numFmtId="0" fontId="31" fillId="0" borderId="0" xfId="4" applyFont="1" applyAlignment="1">
      <alignment horizontal="left" vertical="center"/>
      <protection locked="0"/>
    </xf>
    <xf numFmtId="0" fontId="253" fillId="0" borderId="0" xfId="4" applyFont="1" applyAlignment="1">
      <alignment horizontal="left"/>
      <protection locked="0"/>
    </xf>
    <xf numFmtId="0" fontId="227" fillId="0" borderId="0" xfId="4" applyFont="1" applyAlignment="1">
      <protection locked="0"/>
    </xf>
    <xf numFmtId="0" fontId="253" fillId="0" borderId="0" xfId="4" applyFont="1" applyAlignment="1" applyProtection="1">
      <alignment horizontal="left"/>
    </xf>
    <xf numFmtId="0" fontId="81" fillId="7" borderId="0" xfId="0" applyFont="1" applyFill="1" applyAlignment="1" applyProtection="1">
      <alignment vertical="top"/>
      <protection hidden="1"/>
    </xf>
    <xf numFmtId="14" fontId="73" fillId="0" borderId="0" xfId="0" applyNumberFormat="1" applyFont="1" applyAlignment="1">
      <alignment horizontal="left"/>
    </xf>
    <xf numFmtId="0" fontId="0" fillId="0" borderId="22" xfId="0" applyBorder="1"/>
    <xf numFmtId="166" fontId="0" fillId="0" borderId="20" xfId="0" quotePrefix="1" applyNumberFormat="1" applyBorder="1"/>
    <xf numFmtId="0" fontId="63" fillId="0" borderId="6" xfId="0" applyFont="1" applyBorder="1"/>
    <xf numFmtId="0" fontId="253" fillId="0" borderId="0" xfId="4" applyFont="1" applyAlignment="1" applyProtection="1"/>
    <xf numFmtId="0" fontId="63" fillId="0" borderId="7" xfId="0" applyFont="1" applyBorder="1"/>
    <xf numFmtId="0" fontId="100" fillId="0" borderId="11" xfId="0" applyFont="1" applyBorder="1" applyAlignment="1">
      <alignment horizontal="center"/>
    </xf>
    <xf numFmtId="1" fontId="73" fillId="0" borderId="0" xfId="0" applyNumberFormat="1" applyFont="1" applyProtection="1">
      <protection hidden="1"/>
    </xf>
    <xf numFmtId="0" fontId="227" fillId="0" borderId="0" xfId="4" applyFont="1" applyAlignment="1" applyProtection="1">
      <alignment vertical="center"/>
    </xf>
    <xf numFmtId="0" fontId="85" fillId="7" borderId="0" xfId="0" applyFont="1" applyFill="1" applyAlignment="1" applyProtection="1">
      <alignment vertical="center"/>
      <protection hidden="1"/>
    </xf>
    <xf numFmtId="49" fontId="63" fillId="0" borderId="0" xfId="0" applyNumberFormat="1" applyFont="1" applyAlignment="1">
      <alignment horizontal="center" vertical="center"/>
    </xf>
    <xf numFmtId="0" fontId="250" fillId="0" borderId="0" xfId="0" applyFont="1" applyAlignment="1">
      <alignment horizontal="center" vertical="top"/>
    </xf>
    <xf numFmtId="49" fontId="113" fillId="0" borderId="0" xfId="0" applyNumberFormat="1" applyFont="1" applyAlignment="1">
      <alignment vertical="center"/>
    </xf>
    <xf numFmtId="49" fontId="63" fillId="0" borderId="0" xfId="0" applyNumberFormat="1" applyFont="1" applyAlignment="1">
      <alignment horizontal="center"/>
    </xf>
    <xf numFmtId="0" fontId="154" fillId="0" borderId="0" xfId="0" applyFont="1" applyProtection="1">
      <protection hidden="1"/>
    </xf>
    <xf numFmtId="49" fontId="63" fillId="0" borderId="0" xfId="0" applyNumberFormat="1" applyFont="1" applyAlignment="1">
      <alignment vertical="top"/>
    </xf>
    <xf numFmtId="49" fontId="63" fillId="0" borderId="0" xfId="0" applyNumberFormat="1" applyFont="1" applyAlignment="1">
      <alignment vertical="top" wrapText="1"/>
    </xf>
    <xf numFmtId="0" fontId="63" fillId="0" borderId="0" xfId="0" applyFont="1" applyAlignment="1">
      <alignment vertical="center" wrapText="1"/>
    </xf>
    <xf numFmtId="0" fontId="97" fillId="0" borderId="0" xfId="4" applyFont="1" applyAlignment="1">
      <alignment horizontal="left" vertical="center" indent="4"/>
      <protection locked="0"/>
    </xf>
    <xf numFmtId="0" fontId="267" fillId="0" borderId="0" xfId="0" applyFont="1"/>
    <xf numFmtId="49" fontId="32" fillId="0" borderId="0" xfId="4" applyNumberFormat="1" applyFont="1" applyAlignment="1">
      <alignment horizontal="left"/>
      <protection locked="0"/>
    </xf>
    <xf numFmtId="0" fontId="252" fillId="0" borderId="0" xfId="4" applyFont="1" applyAlignment="1" applyProtection="1"/>
    <xf numFmtId="0" fontId="74" fillId="0" borderId="0" xfId="0" applyFont="1" applyAlignment="1">
      <alignment horizontal="left"/>
    </xf>
    <xf numFmtId="0" fontId="256" fillId="0" borderId="0" xfId="0" applyFont="1" applyProtection="1">
      <protection hidden="1"/>
    </xf>
    <xf numFmtId="0" fontId="75" fillId="0" borderId="0" xfId="0" applyFont="1" applyAlignment="1" applyProtection="1">
      <alignment horizontal="left" vertical="top" wrapText="1"/>
      <protection hidden="1"/>
    </xf>
    <xf numFmtId="0" fontId="114" fillId="0" borderId="0" xfId="0" applyFont="1" applyAlignment="1" applyProtection="1">
      <alignment horizontal="left" vertical="top" wrapText="1"/>
      <protection hidden="1"/>
    </xf>
    <xf numFmtId="0" fontId="138" fillId="0" borderId="0" xfId="0" applyFont="1" applyAlignment="1" applyProtection="1">
      <alignment horizontal="left" vertical="top" wrapText="1"/>
      <protection hidden="1"/>
    </xf>
    <xf numFmtId="0" fontId="227" fillId="0" borderId="0" xfId="4" applyFont="1" applyAlignment="1" applyProtection="1">
      <alignment horizontal="left"/>
    </xf>
    <xf numFmtId="14" fontId="39" fillId="0" borderId="0" xfId="0" applyNumberFormat="1" applyFont="1"/>
    <xf numFmtId="14" fontId="268" fillId="0" borderId="0" xfId="0" applyNumberFormat="1" applyFont="1" applyAlignment="1">
      <alignment horizontal="right" vertical="top"/>
    </xf>
    <xf numFmtId="0" fontId="80" fillId="0" borderId="0" xfId="0" applyFont="1" applyAlignment="1" applyProtection="1">
      <alignment vertical="center"/>
      <protection hidden="1"/>
    </xf>
    <xf numFmtId="0" fontId="0" fillId="0" borderId="9" xfId="0" applyBorder="1" applyAlignment="1" applyProtection="1">
      <alignment horizontal="center"/>
      <protection locked="0"/>
    </xf>
    <xf numFmtId="0" fontId="127" fillId="0" borderId="0" xfId="0" applyFont="1" applyAlignment="1" applyProtection="1">
      <alignment horizontal="right"/>
      <protection locked="0"/>
    </xf>
    <xf numFmtId="176" fontId="70" fillId="0" borderId="0" xfId="0" applyNumberFormat="1" applyFont="1" applyAlignment="1" applyProtection="1">
      <alignment horizontal="center"/>
      <protection locked="0"/>
    </xf>
    <xf numFmtId="0" fontId="0" fillId="0" borderId="6" xfId="0" applyBorder="1" applyProtection="1">
      <protection locked="0"/>
    </xf>
    <xf numFmtId="0" fontId="0" fillId="0" borderId="7" xfId="0" applyBorder="1" applyProtection="1">
      <protection locked="0"/>
    </xf>
    <xf numFmtId="0" fontId="0" fillId="0" borderId="8" xfId="0" applyBorder="1" applyProtection="1">
      <protection locked="0"/>
    </xf>
    <xf numFmtId="0" fontId="0" fillId="0" borderId="10" xfId="0" applyBorder="1" applyProtection="1">
      <protection locked="0"/>
    </xf>
    <xf numFmtId="0" fontId="0" fillId="0" borderId="15" xfId="0" applyBorder="1" applyProtection="1">
      <protection locked="0"/>
    </xf>
    <xf numFmtId="0" fontId="0" fillId="0" borderId="14" xfId="0" applyBorder="1" applyProtection="1">
      <protection locked="0"/>
    </xf>
    <xf numFmtId="0" fontId="0" fillId="0" borderId="2" xfId="0" applyBorder="1" applyProtection="1">
      <protection locked="0"/>
    </xf>
    <xf numFmtId="0" fontId="75" fillId="0" borderId="13" xfId="0" applyFont="1" applyBorder="1" applyProtection="1">
      <protection locked="0"/>
    </xf>
    <xf numFmtId="0" fontId="75" fillId="0" borderId="11" xfId="0" applyFont="1" applyBorder="1" applyProtection="1">
      <protection locked="0"/>
    </xf>
    <xf numFmtId="0" fontId="0" fillId="0" borderId="1" xfId="0" applyBorder="1" applyProtection="1">
      <protection locked="0"/>
    </xf>
    <xf numFmtId="0" fontId="0" fillId="0" borderId="11" xfId="0" applyBorder="1" applyAlignment="1" applyProtection="1">
      <alignment horizontal="center" vertical="center"/>
      <protection locked="0"/>
    </xf>
    <xf numFmtId="0" fontId="125" fillId="0" borderId="0" xfId="0" applyFont="1" applyAlignment="1" applyProtection="1">
      <alignment horizontal="left" vertical="top"/>
      <protection locked="0"/>
    </xf>
    <xf numFmtId="0" fontId="0" fillId="0" borderId="9" xfId="0" applyBorder="1"/>
    <xf numFmtId="176" fontId="73" fillId="0" borderId="0" xfId="0" applyNumberFormat="1" applyFont="1" applyAlignment="1" applyProtection="1">
      <alignment horizontal="right"/>
      <protection locked="0"/>
    </xf>
    <xf numFmtId="176" fontId="75" fillId="0" borderId="0" xfId="0" applyNumberFormat="1" applyFont="1" applyProtection="1">
      <protection locked="0"/>
    </xf>
    <xf numFmtId="0" fontId="124" fillId="0" borderId="0" xfId="0" applyFont="1" applyAlignment="1" applyProtection="1">
      <alignment horizontal="center" vertical="center"/>
      <protection locked="0"/>
    </xf>
    <xf numFmtId="0" fontId="0" fillId="0" borderId="0" xfId="0" applyAlignment="1" applyProtection="1">
      <alignment vertical="center"/>
      <protection locked="0"/>
    </xf>
    <xf numFmtId="176" fontId="0" fillId="0" borderId="9" xfId="0" applyNumberFormat="1" applyBorder="1" applyAlignment="1" applyProtection="1">
      <alignment horizontal="left" vertical="center"/>
      <protection locked="0"/>
    </xf>
    <xf numFmtId="176" fontId="73" fillId="0" borderId="9" xfId="0" applyNumberFormat="1" applyFont="1" applyBorder="1" applyAlignment="1" applyProtection="1">
      <alignment horizontal="left" vertical="center"/>
      <protection locked="0"/>
    </xf>
    <xf numFmtId="0" fontId="0" fillId="0" borderId="7" xfId="0" applyBorder="1"/>
    <xf numFmtId="176" fontId="70" fillId="0" borderId="1" xfId="0" applyNumberFormat="1" applyFont="1" applyBorder="1" applyAlignment="1" applyProtection="1">
      <alignment vertical="top" wrapText="1"/>
      <protection locked="0"/>
    </xf>
    <xf numFmtId="176" fontId="70" fillId="0" borderId="1" xfId="0" applyNumberFormat="1" applyFont="1" applyBorder="1" applyAlignment="1" applyProtection="1">
      <alignment vertical="top"/>
      <protection locked="0"/>
    </xf>
    <xf numFmtId="176" fontId="70" fillId="0" borderId="1" xfId="0" applyNumberFormat="1" applyFont="1" applyBorder="1" applyAlignment="1" applyProtection="1">
      <alignment horizontal="left" vertical="top" wrapText="1"/>
      <protection locked="0"/>
    </xf>
    <xf numFmtId="0" fontId="70" fillId="0" borderId="1" xfId="0" applyFont="1" applyBorder="1" applyAlignment="1" applyProtection="1">
      <alignment vertical="top"/>
      <protection locked="0"/>
    </xf>
    <xf numFmtId="0" fontId="0" fillId="0" borderId="12" xfId="0" applyBorder="1" applyProtection="1">
      <protection locked="0"/>
    </xf>
    <xf numFmtId="0" fontId="0" fillId="0" borderId="13" xfId="0" applyBorder="1" applyProtection="1">
      <protection locked="0"/>
    </xf>
    <xf numFmtId="0" fontId="0" fillId="12" borderId="15" xfId="0" applyFill="1" applyBorder="1" applyProtection="1">
      <protection locked="0"/>
    </xf>
    <xf numFmtId="0" fontId="0" fillId="12" borderId="14" xfId="0" applyFill="1" applyBorder="1" applyProtection="1">
      <protection locked="0"/>
    </xf>
    <xf numFmtId="0" fontId="0" fillId="12" borderId="14" xfId="0" applyFill="1" applyBorder="1" applyAlignment="1" applyProtection="1">
      <alignment horizontal="center"/>
      <protection locked="0"/>
    </xf>
    <xf numFmtId="0" fontId="269" fillId="12" borderId="14" xfId="0" applyFont="1" applyFill="1" applyBorder="1" applyProtection="1">
      <protection locked="0"/>
    </xf>
    <xf numFmtId="176" fontId="70" fillId="0" borderId="54" xfId="0" applyNumberFormat="1" applyFont="1" applyBorder="1" applyAlignment="1" applyProtection="1">
      <alignment vertical="top"/>
      <protection locked="0"/>
    </xf>
    <xf numFmtId="176" fontId="0" fillId="0" borderId="14" xfId="0" applyNumberFormat="1" applyBorder="1"/>
    <xf numFmtId="176" fontId="0" fillId="0" borderId="11" xfId="0" applyNumberFormat="1" applyBorder="1"/>
    <xf numFmtId="176" fontId="0" fillId="0" borderId="9" xfId="0" applyNumberFormat="1" applyBorder="1"/>
    <xf numFmtId="0" fontId="0" fillId="0" borderId="10" xfId="0" applyBorder="1"/>
    <xf numFmtId="0" fontId="76" fillId="0" borderId="0" xfId="0" applyFont="1" applyAlignment="1" applyProtection="1">
      <alignment horizontal="center" vertical="center"/>
      <protection locked="0"/>
    </xf>
    <xf numFmtId="0" fontId="270" fillId="0" borderId="28" xfId="0" applyFont="1" applyBorder="1" applyAlignment="1">
      <alignment horizontal="left"/>
    </xf>
    <xf numFmtId="0" fontId="270" fillId="0" borderId="29" xfId="0" applyFont="1" applyBorder="1" applyAlignment="1">
      <alignment horizontal="left"/>
    </xf>
    <xf numFmtId="0" fontId="76" fillId="0" borderId="0" xfId="0" applyFont="1" applyAlignment="1" applyProtection="1">
      <alignment horizontal="left"/>
      <protection locked="0"/>
    </xf>
    <xf numFmtId="0" fontId="76" fillId="0" borderId="0" xfId="0" applyFont="1" applyProtection="1">
      <protection locked="0"/>
    </xf>
    <xf numFmtId="0" fontId="142" fillId="82" borderId="1" xfId="0" applyFont="1" applyFill="1" applyBorder="1" applyAlignment="1">
      <alignment horizontal="center" wrapText="1"/>
    </xf>
    <xf numFmtId="0" fontId="100" fillId="0" borderId="0" xfId="0" applyFont="1" applyAlignment="1">
      <alignment horizontal="left" indent="1"/>
    </xf>
    <xf numFmtId="0" fontId="73" fillId="0" borderId="2" xfId="0" applyFont="1" applyBorder="1" applyAlignment="1" applyProtection="1">
      <alignment horizontal="center" wrapText="1"/>
      <protection locked="0" hidden="1"/>
    </xf>
    <xf numFmtId="0" fontId="90" fillId="0" borderId="0" xfId="0" applyFont="1" applyAlignment="1" applyProtection="1">
      <alignment horizontal="center" vertical="top"/>
      <protection hidden="1"/>
    </xf>
    <xf numFmtId="191" fontId="90" fillId="0" borderId="0" xfId="0" applyNumberFormat="1" applyFont="1" applyProtection="1">
      <protection hidden="1"/>
    </xf>
    <xf numFmtId="191" fontId="60" fillId="0" borderId="0" xfId="0" applyNumberFormat="1" applyFont="1" applyAlignment="1" applyProtection="1">
      <alignment horizontal="center" wrapText="1"/>
      <protection hidden="1"/>
    </xf>
    <xf numFmtId="191" fontId="124" fillId="0" borderId="0" xfId="0" applyNumberFormat="1" applyFont="1" applyAlignment="1" applyProtection="1">
      <alignment wrapText="1"/>
      <protection hidden="1"/>
    </xf>
    <xf numFmtId="191" fontId="90" fillId="0" borderId="0" xfId="0" applyNumberFormat="1" applyFont="1" applyAlignment="1" applyProtection="1">
      <alignment vertical="top"/>
      <protection hidden="1"/>
    </xf>
    <xf numFmtId="191" fontId="90" fillId="0" borderId="0" xfId="0" applyNumberFormat="1" applyFont="1"/>
    <xf numFmtId="191" fontId="0" fillId="0" borderId="0" xfId="0" applyNumberFormat="1"/>
    <xf numFmtId="192" fontId="124" fillId="0" borderId="0" xfId="0" applyNumberFormat="1" applyFont="1" applyAlignment="1">
      <alignment horizontal="left" vertical="center" wrapText="1"/>
    </xf>
    <xf numFmtId="192" fontId="0" fillId="0" borderId="0" xfId="0" applyNumberFormat="1"/>
    <xf numFmtId="1" fontId="73" fillId="0" borderId="0" xfId="0" applyNumberFormat="1" applyFont="1"/>
    <xf numFmtId="192" fontId="70" fillId="0" borderId="0" xfId="0" applyNumberFormat="1" applyFont="1" applyAlignment="1">
      <alignment horizontal="center"/>
    </xf>
    <xf numFmtId="192" fontId="70" fillId="0" borderId="0" xfId="0" applyNumberFormat="1" applyFont="1"/>
    <xf numFmtId="0" fontId="76" fillId="0" borderId="0" xfId="0" applyFont="1" applyAlignment="1">
      <alignment vertical="center"/>
    </xf>
    <xf numFmtId="0" fontId="76" fillId="0" borderId="0" xfId="0" applyFont="1"/>
    <xf numFmtId="0" fontId="75" fillId="0" borderId="0" xfId="0" applyFont="1" applyAlignment="1">
      <alignment horizontal="left" vertical="top"/>
    </xf>
    <xf numFmtId="0" fontId="75" fillId="0" borderId="6" xfId="0" applyFont="1" applyBorder="1" applyAlignment="1">
      <alignment horizontal="left" vertical="center" indent="9"/>
    </xf>
    <xf numFmtId="0" fontId="75" fillId="0" borderId="6" xfId="0" applyFont="1" applyBorder="1" applyAlignment="1">
      <alignment horizontal="left" vertical="center" indent="11"/>
    </xf>
    <xf numFmtId="0" fontId="75" fillId="0" borderId="6" xfId="0" applyFont="1" applyBorder="1" applyAlignment="1">
      <alignment horizontal="left" indent="2"/>
    </xf>
    <xf numFmtId="0" fontId="75" fillId="0" borderId="8" xfId="0" applyFont="1" applyBorder="1" applyAlignment="1">
      <alignment horizontal="left" vertical="center" indent="2"/>
    </xf>
    <xf numFmtId="0" fontId="75" fillId="0" borderId="6" xfId="0" applyFont="1" applyBorder="1" applyAlignment="1">
      <alignment horizontal="left" vertical="center" indent="2"/>
    </xf>
    <xf numFmtId="4" fontId="73" fillId="0" borderId="0" xfId="0" applyNumberFormat="1" applyFont="1" applyAlignment="1" applyProtection="1">
      <alignment horizontal="center"/>
      <protection locked="0"/>
    </xf>
    <xf numFmtId="0" fontId="32" fillId="5" borderId="0" xfId="0" applyFont="1" applyFill="1" applyAlignment="1" applyProtection="1">
      <alignment horizontal="center" wrapText="1"/>
      <protection hidden="1"/>
    </xf>
    <xf numFmtId="0" fontId="73" fillId="5" borderId="0" xfId="0" applyFont="1" applyFill="1" applyAlignment="1" applyProtection="1">
      <alignment horizontal="center" wrapText="1"/>
      <protection hidden="1"/>
    </xf>
    <xf numFmtId="2" fontId="73" fillId="0" borderId="0" xfId="0" applyNumberFormat="1" applyFont="1" applyAlignment="1" applyProtection="1">
      <alignment horizontal="center"/>
      <protection locked="0"/>
    </xf>
    <xf numFmtId="2" fontId="73" fillId="0" borderId="0" xfId="0" applyNumberFormat="1" applyFont="1" applyAlignment="1">
      <alignment horizontal="center" wrapText="1"/>
    </xf>
    <xf numFmtId="191" fontId="93" fillId="0" borderId="0" xfId="0" applyNumberFormat="1" applyFont="1" applyAlignment="1" applyProtection="1">
      <alignment horizontal="center" vertical="center" wrapText="1"/>
      <protection hidden="1"/>
    </xf>
    <xf numFmtId="0" fontId="88" fillId="0" borderId="0" xfId="0" applyFont="1" applyAlignment="1">
      <alignment horizontal="center"/>
    </xf>
    <xf numFmtId="0" fontId="70" fillId="0" borderId="1" xfId="0" applyFont="1" applyBorder="1"/>
    <xf numFmtId="0" fontId="70" fillId="13" borderId="1" xfId="0" applyFont="1" applyFill="1" applyBorder="1" applyAlignment="1">
      <alignment horizontal="center" vertical="center"/>
    </xf>
    <xf numFmtId="0" fontId="73" fillId="13" borderId="15" xfId="0" applyFont="1" applyFill="1" applyBorder="1" applyAlignment="1">
      <alignment horizontal="center" vertical="center" wrapText="1"/>
    </xf>
    <xf numFmtId="176" fontId="70" fillId="13" borderId="54" xfId="0" applyNumberFormat="1" applyFont="1" applyFill="1" applyBorder="1" applyAlignment="1">
      <alignment horizontal="center" vertical="center" wrapText="1"/>
    </xf>
    <xf numFmtId="0" fontId="95" fillId="7" borderId="0" xfId="0" applyFont="1" applyFill="1" applyProtection="1">
      <protection locked="0" hidden="1"/>
    </xf>
    <xf numFmtId="192" fontId="129" fillId="0" borderId="0" xfId="0" applyNumberFormat="1" applyFont="1" applyAlignment="1" applyProtection="1">
      <alignment horizontal="center" vertical="center"/>
      <protection locked="0"/>
    </xf>
    <xf numFmtId="168" fontId="274" fillId="7" borderId="0" xfId="0" applyNumberFormat="1" applyFont="1" applyFill="1" applyAlignment="1" applyProtection="1">
      <alignment horizontal="left" indent="1"/>
      <protection hidden="1"/>
    </xf>
    <xf numFmtId="0" fontId="73" fillId="9" borderId="15" xfId="0" applyFont="1" applyFill="1" applyBorder="1" applyAlignment="1" applyProtection="1">
      <alignment horizontal="center" vertical="center" wrapText="1"/>
      <protection hidden="1"/>
    </xf>
    <xf numFmtId="14" fontId="87" fillId="0" borderId="0" xfId="0" applyNumberFormat="1" applyFont="1" applyAlignment="1" applyProtection="1">
      <alignment vertical="top"/>
      <protection hidden="1"/>
    </xf>
    <xf numFmtId="0" fontId="143" fillId="0" borderId="0" xfId="4" applyFont="1" applyBorder="1" applyAlignment="1">
      <protection locked="0"/>
    </xf>
    <xf numFmtId="0" fontId="110" fillId="0" borderId="0" xfId="0" applyFont="1" applyAlignment="1">
      <alignment vertical="top" wrapText="1"/>
    </xf>
    <xf numFmtId="0" fontId="280" fillId="0" borderId="0" xfId="0" applyFont="1" applyAlignment="1">
      <alignment vertical="center"/>
    </xf>
    <xf numFmtId="0" fontId="76" fillId="0" borderId="13" xfId="0" applyFont="1" applyBorder="1" applyAlignment="1">
      <alignment vertical="top"/>
    </xf>
    <xf numFmtId="0" fontId="0" fillId="0" borderId="8" xfId="0" applyBorder="1"/>
    <xf numFmtId="0" fontId="281" fillId="0" borderId="0" xfId="0" applyFont="1" applyProtection="1">
      <protection hidden="1"/>
    </xf>
    <xf numFmtId="0" fontId="0" fillId="0" borderId="11" xfId="0" applyBorder="1" applyAlignment="1">
      <alignment horizontal="center"/>
    </xf>
    <xf numFmtId="0" fontId="0" fillId="0" borderId="9" xfId="0" applyBorder="1" applyAlignment="1">
      <alignment horizontal="center"/>
    </xf>
    <xf numFmtId="0" fontId="73" fillId="0" borderId="0" xfId="0" applyFont="1" applyAlignment="1">
      <alignment horizontal="center" wrapText="1"/>
    </xf>
    <xf numFmtId="0" fontId="73" fillId="0" borderId="0" xfId="0" applyFont="1" applyAlignment="1">
      <alignment wrapText="1"/>
    </xf>
    <xf numFmtId="0" fontId="281" fillId="0" borderId="0" xfId="0" applyFont="1"/>
    <xf numFmtId="0" fontId="75" fillId="0" borderId="0" xfId="0" applyFont="1" applyAlignment="1">
      <alignment wrapText="1"/>
    </xf>
    <xf numFmtId="0" fontId="160" fillId="0" borderId="0" xfId="0" applyFont="1" applyAlignment="1">
      <alignment horizontal="center"/>
    </xf>
    <xf numFmtId="0" fontId="32" fillId="9" borderId="2" xfId="0" applyFont="1" applyFill="1" applyBorder="1" applyAlignment="1" applyProtection="1">
      <alignment horizontal="center" vertical="center" wrapText="1"/>
      <protection hidden="1"/>
    </xf>
    <xf numFmtId="166" fontId="74" fillId="0" borderId="0" xfId="0" applyNumberFormat="1" applyFont="1" applyAlignment="1" applyProtection="1">
      <alignment vertical="center"/>
      <protection locked="0"/>
    </xf>
    <xf numFmtId="0" fontId="81" fillId="7" borderId="0" xfId="0" applyFont="1" applyFill="1" applyAlignment="1" applyProtection="1">
      <alignment vertical="top" wrapText="1"/>
      <protection hidden="1"/>
    </xf>
    <xf numFmtId="0" fontId="81" fillId="7" borderId="6" xfId="0" applyFont="1" applyFill="1" applyBorder="1" applyAlignment="1" applyProtection="1">
      <alignment vertical="top" wrapText="1"/>
      <protection hidden="1"/>
    </xf>
    <xf numFmtId="0" fontId="147" fillId="7" borderId="0" xfId="0" applyFont="1" applyFill="1" applyAlignment="1" applyProtection="1">
      <alignment wrapText="1"/>
      <protection hidden="1"/>
    </xf>
    <xf numFmtId="0" fontId="73" fillId="7" borderId="0" xfId="0" applyFont="1" applyFill="1" applyAlignment="1" applyProtection="1">
      <alignment vertical="top" wrapText="1"/>
      <protection locked="0"/>
    </xf>
    <xf numFmtId="0" fontId="81" fillId="0" borderId="0" xfId="0" applyFont="1" applyAlignment="1" applyProtection="1">
      <alignment horizontal="left"/>
      <protection hidden="1"/>
    </xf>
    <xf numFmtId="0" fontId="94" fillId="0" borderId="0" xfId="0" applyFont="1" applyProtection="1">
      <protection hidden="1"/>
    </xf>
    <xf numFmtId="0" fontId="95" fillId="0" borderId="0" xfId="0" applyFont="1" applyAlignment="1" applyProtection="1">
      <alignment horizontal="center"/>
      <protection hidden="1"/>
    </xf>
    <xf numFmtId="0" fontId="39" fillId="0" borderId="0" xfId="0" applyFont="1" applyProtection="1">
      <protection hidden="1"/>
    </xf>
    <xf numFmtId="0" fontId="145" fillId="0" borderId="0" xfId="0" applyFont="1" applyProtection="1">
      <protection hidden="1"/>
    </xf>
    <xf numFmtId="0" fontId="81" fillId="0" borderId="0" xfId="0" applyFont="1" applyAlignment="1" applyProtection="1">
      <alignment horizontal="left" vertical="center"/>
      <protection hidden="1"/>
    </xf>
    <xf numFmtId="192" fontId="102" fillId="6" borderId="0" xfId="0" applyNumberFormat="1" applyFont="1" applyFill="1" applyProtection="1">
      <protection hidden="1"/>
    </xf>
    <xf numFmtId="0" fontId="0" fillId="0" borderId="0" xfId="0" applyAlignment="1">
      <alignment horizontal="center" wrapText="1"/>
    </xf>
    <xf numFmtId="0" fontId="32" fillId="9" borderId="14" xfId="0" applyFont="1" applyFill="1" applyBorder="1" applyAlignment="1" applyProtection="1">
      <alignment horizontal="center" wrapText="1"/>
      <protection hidden="1"/>
    </xf>
    <xf numFmtId="0" fontId="32" fillId="9" borderId="1" xfId="0" applyFont="1" applyFill="1" applyBorder="1" applyAlignment="1" applyProtection="1">
      <alignment horizontal="center"/>
      <protection hidden="1"/>
    </xf>
    <xf numFmtId="0" fontId="73" fillId="9" borderId="2" xfId="0" applyFont="1" applyFill="1" applyBorder="1" applyAlignment="1" applyProtection="1">
      <alignment horizontal="center" wrapText="1"/>
      <protection hidden="1"/>
    </xf>
    <xf numFmtId="0" fontId="32" fillId="9" borderId="9" xfId="0" applyFont="1" applyFill="1" applyBorder="1" applyAlignment="1" applyProtection="1">
      <alignment horizontal="center" wrapText="1"/>
      <protection hidden="1"/>
    </xf>
    <xf numFmtId="192" fontId="40" fillId="0" borderId="1" xfId="0" applyNumberFormat="1" applyFont="1" applyBorder="1" applyAlignment="1" applyProtection="1">
      <alignment horizontal="left" wrapText="1"/>
      <protection hidden="1"/>
    </xf>
    <xf numFmtId="192" fontId="70" fillId="0" borderId="1" xfId="0" applyNumberFormat="1" applyFont="1" applyBorder="1" applyAlignment="1" applyProtection="1">
      <alignment horizontal="center" wrapText="1"/>
      <protection hidden="1"/>
    </xf>
    <xf numFmtId="0" fontId="142" fillId="0" borderId="0" xfId="0" applyFont="1" applyAlignment="1">
      <alignment wrapText="1"/>
    </xf>
    <xf numFmtId="0" fontId="139" fillId="0" borderId="0" xfId="0" applyFont="1" applyAlignment="1" applyProtection="1">
      <alignment horizontal="center"/>
      <protection hidden="1"/>
    </xf>
    <xf numFmtId="0" fontId="113" fillId="0" borderId="0" xfId="0" applyFont="1" applyAlignment="1">
      <alignment horizontal="left" vertical="top" wrapText="1"/>
    </xf>
    <xf numFmtId="0" fontId="70" fillId="15" borderId="1" xfId="0" applyFont="1" applyFill="1" applyBorder="1" applyAlignment="1">
      <alignment horizontal="left"/>
    </xf>
    <xf numFmtId="0" fontId="227" fillId="0" borderId="0" xfId="4" applyFont="1" applyBorder="1" applyAlignment="1" applyProtection="1"/>
    <xf numFmtId="49" fontId="63" fillId="0" borderId="0" xfId="0" applyNumberFormat="1" applyFont="1" applyAlignment="1">
      <alignment vertical="center" wrapText="1"/>
    </xf>
    <xf numFmtId="0" fontId="285" fillId="0" borderId="15" xfId="0" applyFont="1" applyBorder="1" applyAlignment="1">
      <alignment vertical="center"/>
    </xf>
    <xf numFmtId="0" fontId="285" fillId="0" borderId="14" xfId="0" applyFont="1" applyBorder="1" applyAlignment="1">
      <alignment vertical="center"/>
    </xf>
    <xf numFmtId="0" fontId="285" fillId="0" borderId="2" xfId="0" applyFont="1" applyBorder="1" applyAlignment="1">
      <alignment vertical="center"/>
    </xf>
    <xf numFmtId="0" fontId="110" fillId="0" borderId="0" xfId="0" applyFont="1" applyAlignment="1">
      <alignment vertical="center"/>
    </xf>
    <xf numFmtId="0" fontId="227" fillId="0" borderId="9" xfId="4" applyFont="1" applyBorder="1" applyAlignment="1" applyProtection="1">
      <alignment vertical="center"/>
    </xf>
    <xf numFmtId="0" fontId="41" fillId="0" borderId="0" xfId="0" applyFont="1"/>
    <xf numFmtId="0" fontId="70" fillId="0" borderId="6" xfId="0" applyFont="1" applyBorder="1"/>
    <xf numFmtId="0" fontId="70" fillId="80" borderId="15" xfId="0" applyFont="1" applyFill="1" applyBorder="1" applyAlignment="1" applyProtection="1">
      <alignment horizontal="center"/>
      <protection hidden="1"/>
    </xf>
    <xf numFmtId="0" fontId="70" fillId="80" borderId="15" xfId="0" applyFont="1" applyFill="1" applyBorder="1" applyAlignment="1">
      <alignment horizontal="center"/>
    </xf>
    <xf numFmtId="177" fontId="40" fillId="0" borderId="0" xfId="0" applyNumberFormat="1" applyFont="1" applyAlignment="1" applyProtection="1">
      <alignment horizontal="center"/>
      <protection hidden="1"/>
    </xf>
    <xf numFmtId="191" fontId="73" fillId="7" borderId="2" xfId="0" applyNumberFormat="1" applyFont="1" applyFill="1" applyBorder="1" applyAlignment="1" applyProtection="1">
      <alignment horizontal="center" wrapText="1"/>
      <protection hidden="1"/>
    </xf>
    <xf numFmtId="192" fontId="108" fillId="0" borderId="0" xfId="0" applyNumberFormat="1" applyFont="1" applyProtection="1">
      <protection hidden="1"/>
    </xf>
    <xf numFmtId="0" fontId="70" fillId="0" borderId="1" xfId="0" applyFont="1" applyBorder="1" applyAlignment="1" applyProtection="1">
      <alignment horizontal="left" wrapText="1"/>
      <protection locked="0"/>
    </xf>
    <xf numFmtId="0" fontId="70" fillId="0" borderId="1" xfId="0" applyFont="1" applyBorder="1" applyAlignment="1" applyProtection="1">
      <alignment wrapText="1"/>
      <protection locked="0"/>
    </xf>
    <xf numFmtId="192" fontId="40" fillId="0" borderId="0" xfId="0" applyNumberFormat="1" applyFont="1" applyAlignment="1">
      <alignment horizontal="left"/>
    </xf>
    <xf numFmtId="192" fontId="70" fillId="0" borderId="0" xfId="0" applyNumberFormat="1" applyFont="1" applyAlignment="1">
      <alignment horizontal="left"/>
    </xf>
    <xf numFmtId="0" fontId="89" fillId="0" borderId="0" xfId="0" applyFont="1" applyAlignment="1">
      <alignment horizontal="left" vertical="top"/>
    </xf>
    <xf numFmtId="0" fontId="70" fillId="0" borderId="0" xfId="0" applyFont="1" applyAlignment="1" applyProtection="1">
      <alignment vertical="center"/>
      <protection locked="0"/>
    </xf>
    <xf numFmtId="176" fontId="70" fillId="0" borderId="0" xfId="0" applyNumberFormat="1" applyFont="1" applyProtection="1">
      <protection locked="0"/>
    </xf>
    <xf numFmtId="0" fontId="70" fillId="0" borderId="15" xfId="0" applyFont="1" applyBorder="1" applyAlignment="1" applyProtection="1">
      <alignment horizontal="center" vertical="center"/>
      <protection locked="0"/>
    </xf>
    <xf numFmtId="0" fontId="70" fillId="0" borderId="14" xfId="0" applyFont="1" applyBorder="1" applyAlignment="1" applyProtection="1">
      <alignment horizontal="center" vertical="center"/>
      <protection locked="0"/>
    </xf>
    <xf numFmtId="0" fontId="70" fillId="0" borderId="14" xfId="0" applyFont="1" applyBorder="1" applyAlignment="1" applyProtection="1">
      <alignment horizontal="center"/>
      <protection locked="0"/>
    </xf>
    <xf numFmtId="192" fontId="70" fillId="0" borderId="1" xfId="0" applyNumberFormat="1" applyFont="1" applyBorder="1" applyAlignment="1" applyProtection="1">
      <alignment horizontal="center"/>
      <protection hidden="1"/>
    </xf>
    <xf numFmtId="192" fontId="40" fillId="0" borderId="0" xfId="0" applyNumberFormat="1" applyFont="1" applyAlignment="1" applyProtection="1">
      <alignment horizontal="left"/>
      <protection hidden="1"/>
    </xf>
    <xf numFmtId="192" fontId="70" fillId="0" borderId="0" xfId="0" applyNumberFormat="1" applyFont="1" applyAlignment="1" applyProtection="1">
      <alignment horizontal="left"/>
      <protection hidden="1"/>
    </xf>
    <xf numFmtId="176" fontId="115" fillId="0" borderId="0" xfId="0" applyNumberFormat="1" applyFont="1" applyAlignment="1" applyProtection="1">
      <alignment horizontal="left" indent="1"/>
      <protection hidden="1"/>
    </xf>
    <xf numFmtId="0" fontId="115" fillId="0" borderId="0" xfId="0" applyFont="1"/>
    <xf numFmtId="0" fontId="115" fillId="0" borderId="0" xfId="0" applyFont="1" applyAlignment="1">
      <alignment vertical="center"/>
    </xf>
    <xf numFmtId="0" fontId="30" fillId="0" borderId="2" xfId="0" applyFont="1" applyBorder="1" applyAlignment="1" applyProtection="1">
      <alignment wrapText="1" shrinkToFit="1"/>
      <protection locked="0" hidden="1"/>
    </xf>
    <xf numFmtId="0" fontId="99" fillId="82" borderId="1" xfId="0" applyFont="1" applyFill="1" applyBorder="1" applyAlignment="1">
      <alignment horizontal="center" vertical="center" wrapText="1"/>
    </xf>
    <xf numFmtId="0" fontId="40" fillId="5" borderId="15" xfId="0" applyFont="1" applyFill="1" applyBorder="1" applyAlignment="1" applyProtection="1">
      <alignment horizontal="center" wrapText="1"/>
      <protection hidden="1"/>
    </xf>
    <xf numFmtId="0" fontId="41" fillId="14" borderId="29" xfId="0" applyFont="1" applyFill="1" applyBorder="1" applyAlignment="1" applyProtection="1">
      <alignment horizontal="center" wrapText="1"/>
      <protection hidden="1"/>
    </xf>
    <xf numFmtId="0" fontId="90" fillId="0" borderId="0" xfId="0" applyFont="1" applyAlignment="1" applyProtection="1">
      <alignment horizontal="center" wrapText="1"/>
      <protection hidden="1"/>
    </xf>
    <xf numFmtId="0" fontId="97" fillId="0" borderId="0" xfId="0" applyFont="1" applyAlignment="1" applyProtection="1">
      <alignment horizontal="center"/>
      <protection hidden="1"/>
    </xf>
    <xf numFmtId="176" fontId="70" fillId="0" borderId="0" xfId="0" applyNumberFormat="1" applyFont="1" applyAlignment="1" applyProtection="1">
      <alignment horizontal="center" vertical="top"/>
      <protection locked="0"/>
    </xf>
    <xf numFmtId="176" fontId="70" fillId="0" borderId="0" xfId="0" applyNumberFormat="1" applyFont="1" applyAlignment="1" applyProtection="1">
      <alignment vertical="top"/>
      <protection locked="0"/>
    </xf>
    <xf numFmtId="176" fontId="73" fillId="0" borderId="0" xfId="0" applyNumberFormat="1" applyFont="1" applyAlignment="1" applyProtection="1">
      <alignment horizontal="center" vertical="top"/>
      <protection locked="0"/>
    </xf>
    <xf numFmtId="191" fontId="70" fillId="0" borderId="0" xfId="0" applyNumberFormat="1" applyFont="1" applyAlignment="1" applyProtection="1">
      <alignment vertical="top"/>
      <protection locked="0"/>
    </xf>
    <xf numFmtId="176" fontId="70" fillId="0" borderId="0" xfId="0" applyNumberFormat="1" applyFont="1" applyAlignment="1" applyProtection="1">
      <alignment horizontal="center" vertical="top" wrapText="1"/>
      <protection locked="0"/>
    </xf>
    <xf numFmtId="176" fontId="70" fillId="0" borderId="0" xfId="0" applyNumberFormat="1" applyFont="1" applyAlignment="1" applyProtection="1">
      <alignment vertical="top" wrapText="1"/>
      <protection locked="0"/>
    </xf>
    <xf numFmtId="191" fontId="70" fillId="0" borderId="0" xfId="0" applyNumberFormat="1" applyFont="1" applyAlignment="1" applyProtection="1">
      <alignment horizontal="center" vertical="top"/>
      <protection locked="0"/>
    </xf>
    <xf numFmtId="176" fontId="70" fillId="0" borderId="0" xfId="0" applyNumberFormat="1" applyFont="1" applyAlignment="1" applyProtection="1">
      <alignment horizontal="left" vertical="top" wrapText="1"/>
      <protection locked="0"/>
    </xf>
    <xf numFmtId="0" fontId="70" fillId="0" borderId="0" xfId="0" applyFont="1" applyAlignment="1" applyProtection="1">
      <alignment vertical="top"/>
      <protection locked="0"/>
    </xf>
    <xf numFmtId="194" fontId="70" fillId="7" borderId="1" xfId="0" applyNumberFormat="1" applyFont="1" applyFill="1" applyBorder="1" applyAlignment="1" applyProtection="1">
      <alignment wrapText="1"/>
      <protection locked="0" hidden="1"/>
    </xf>
    <xf numFmtId="0" fontId="76" fillId="0" borderId="0" xfId="0" applyFont="1" applyAlignment="1" applyProtection="1">
      <alignment horizontal="left" indent="1"/>
      <protection hidden="1"/>
    </xf>
    <xf numFmtId="0" fontId="96" fillId="0" borderId="0" xfId="0" applyFont="1" applyAlignment="1" applyProtection="1">
      <alignment horizontal="left" indent="1"/>
      <protection hidden="1"/>
    </xf>
    <xf numFmtId="0" fontId="96" fillId="0" borderId="0" xfId="0" applyFont="1" applyAlignment="1" applyProtection="1">
      <alignment horizontal="center"/>
      <protection hidden="1"/>
    </xf>
    <xf numFmtId="176" fontId="70" fillId="0" borderId="0" xfId="0" applyNumberFormat="1" applyFont="1" applyAlignment="1" applyProtection="1">
      <alignment horizontal="right"/>
      <protection hidden="1"/>
    </xf>
    <xf numFmtId="176" fontId="73" fillId="0" borderId="1" xfId="0" applyNumberFormat="1" applyFont="1" applyBorder="1" applyAlignment="1" applyProtection="1">
      <alignment horizontal="center" wrapText="1"/>
      <protection hidden="1"/>
    </xf>
    <xf numFmtId="0" fontId="21" fillId="5" borderId="15" xfId="0" applyFont="1" applyFill="1" applyBorder="1" applyAlignment="1" applyProtection="1">
      <alignment wrapText="1"/>
      <protection hidden="1"/>
    </xf>
    <xf numFmtId="0" fontId="40" fillId="5" borderId="14" xfId="0" applyFont="1" applyFill="1" applyBorder="1" applyProtection="1">
      <protection hidden="1"/>
    </xf>
    <xf numFmtId="0" fontId="40" fillId="5" borderId="14" xfId="0" quotePrefix="1" applyFont="1" applyFill="1" applyBorder="1" applyProtection="1">
      <protection hidden="1"/>
    </xf>
    <xf numFmtId="0" fontId="70" fillId="15" borderId="2" xfId="0" applyFont="1" applyFill="1" applyBorder="1" applyAlignment="1">
      <alignment horizontal="left"/>
    </xf>
    <xf numFmtId="0" fontId="40" fillId="5" borderId="27" xfId="0" applyFont="1" applyFill="1" applyBorder="1" applyProtection="1">
      <protection hidden="1"/>
    </xf>
    <xf numFmtId="0" fontId="70" fillId="83" borderId="1" xfId="0" applyFont="1" applyFill="1" applyBorder="1" applyAlignment="1" applyProtection="1">
      <alignment horizontal="center" wrapText="1"/>
      <protection hidden="1"/>
    </xf>
    <xf numFmtId="191" fontId="32" fillId="9" borderId="1" xfId="0" applyNumberFormat="1" applyFont="1" applyFill="1" applyBorder="1" applyAlignment="1" applyProtection="1">
      <alignment horizontal="center" vertical="center" wrapText="1"/>
      <protection hidden="1"/>
    </xf>
    <xf numFmtId="0" fontId="32" fillId="83" borderId="1" xfId="0" applyFont="1" applyFill="1" applyBorder="1" applyAlignment="1" applyProtection="1">
      <alignment horizontal="center" wrapText="1"/>
      <protection hidden="1"/>
    </xf>
    <xf numFmtId="0" fontId="0" fillId="0" borderId="1" xfId="0" applyBorder="1" applyAlignment="1">
      <alignment wrapText="1"/>
    </xf>
    <xf numFmtId="1" fontId="0" fillId="0" borderId="0" xfId="0" applyNumberFormat="1" applyProtection="1">
      <protection hidden="1"/>
    </xf>
    <xf numFmtId="1" fontId="115" fillId="0" borderId="0" xfId="0" applyNumberFormat="1" applyFont="1" applyProtection="1">
      <protection hidden="1"/>
    </xf>
    <xf numFmtId="1" fontId="73" fillId="0" borderId="1" xfId="0" applyNumberFormat="1" applyFont="1" applyBorder="1" applyAlignment="1" applyProtection="1">
      <alignment horizontal="center"/>
      <protection hidden="1"/>
    </xf>
    <xf numFmtId="1" fontId="73" fillId="0" borderId="1" xfId="0" applyNumberFormat="1" applyFont="1" applyBorder="1" applyAlignment="1" applyProtection="1">
      <alignment horizontal="center" wrapText="1"/>
      <protection hidden="1"/>
    </xf>
    <xf numFmtId="1" fontId="93" fillId="0" borderId="0" xfId="0" applyNumberFormat="1" applyFont="1" applyAlignment="1" applyProtection="1">
      <alignment vertical="top"/>
      <protection hidden="1"/>
    </xf>
    <xf numFmtId="1" fontId="133" fillId="10" borderId="0" xfId="0" applyNumberFormat="1" applyFont="1" applyFill="1" applyProtection="1">
      <protection hidden="1"/>
    </xf>
    <xf numFmtId="1" fontId="110" fillId="0" borderId="0" xfId="0" applyNumberFormat="1" applyFont="1" applyProtection="1">
      <protection hidden="1"/>
    </xf>
    <xf numFmtId="1" fontId="133" fillId="0" borderId="0" xfId="0" applyNumberFormat="1" applyFont="1" applyAlignment="1" applyProtection="1">
      <alignment vertical="top"/>
      <protection hidden="1"/>
    </xf>
    <xf numFmtId="1" fontId="73" fillId="10" borderId="0" xfId="0" applyNumberFormat="1" applyFont="1" applyFill="1" applyProtection="1">
      <protection hidden="1"/>
    </xf>
    <xf numFmtId="1" fontId="111" fillId="0" borderId="0" xfId="0" applyNumberFormat="1" applyFont="1" applyProtection="1">
      <protection hidden="1"/>
    </xf>
    <xf numFmtId="1" fontId="0" fillId="0" borderId="0" xfId="0" applyNumberFormat="1"/>
    <xf numFmtId="1" fontId="0" fillId="0" borderId="19" xfId="0" applyNumberFormat="1" applyBorder="1"/>
    <xf numFmtId="1" fontId="0" fillId="0" borderId="21" xfId="0" applyNumberFormat="1" applyBorder="1"/>
    <xf numFmtId="0" fontId="73" fillId="83" borderId="1" xfId="0" applyFont="1" applyFill="1" applyBorder="1" applyAlignment="1" applyProtection="1">
      <alignment horizontal="center" wrapText="1"/>
      <protection hidden="1"/>
    </xf>
    <xf numFmtId="1" fontId="32" fillId="0" borderId="0" xfId="0" applyNumberFormat="1" applyFont="1" applyAlignment="1" applyProtection="1">
      <alignment vertical="top"/>
      <protection hidden="1"/>
    </xf>
    <xf numFmtId="0" fontId="90" fillId="5" borderId="14" xfId="0" applyFont="1" applyFill="1" applyBorder="1" applyAlignment="1" applyProtection="1">
      <alignment vertical="top" wrapText="1"/>
      <protection hidden="1"/>
    </xf>
    <xf numFmtId="0" fontId="144" fillId="0" borderId="0" xfId="0" applyFont="1" applyAlignment="1">
      <alignment horizontal="left" indent="23"/>
    </xf>
    <xf numFmtId="0" fontId="41" fillId="0" borderId="0" xfId="0" applyFont="1" applyAlignment="1" applyProtection="1">
      <alignment horizontal="center"/>
      <protection hidden="1"/>
    </xf>
    <xf numFmtId="1" fontId="0" fillId="0" borderId="1" xfId="0" applyNumberFormat="1" applyBorder="1" applyAlignment="1" applyProtection="1">
      <alignment horizontal="center" wrapText="1"/>
      <protection hidden="1"/>
    </xf>
    <xf numFmtId="2" fontId="73" fillId="0" borderId="1" xfId="0" applyNumberFormat="1" applyFont="1" applyBorder="1" applyAlignment="1" applyProtection="1">
      <alignment horizontal="center"/>
      <protection hidden="1"/>
    </xf>
    <xf numFmtId="2" fontId="70" fillId="83" borderId="1" xfId="0" applyNumberFormat="1" applyFont="1" applyFill="1" applyBorder="1" applyAlignment="1" applyProtection="1">
      <alignment wrapText="1"/>
      <protection hidden="1"/>
    </xf>
    <xf numFmtId="2" fontId="133" fillId="0" borderId="0" xfId="0" applyNumberFormat="1" applyFont="1" applyAlignment="1" applyProtection="1">
      <alignment vertical="top"/>
      <protection hidden="1"/>
    </xf>
    <xf numFmtId="49" fontId="113" fillId="0" borderId="0" xfId="0" applyNumberFormat="1" applyFont="1" applyAlignment="1">
      <alignment horizontal="center" vertical="center"/>
    </xf>
    <xf numFmtId="0" fontId="90" fillId="15" borderId="15" xfId="0" applyFont="1" applyFill="1" applyBorder="1" applyAlignment="1" applyProtection="1">
      <alignment wrapText="1"/>
      <protection hidden="1"/>
    </xf>
    <xf numFmtId="0" fontId="131" fillId="15" borderId="14" xfId="0" applyFont="1" applyFill="1" applyBorder="1" applyAlignment="1" applyProtection="1">
      <alignment wrapText="1"/>
      <protection hidden="1"/>
    </xf>
    <xf numFmtId="0" fontId="93" fillId="0" borderId="0" xfId="0" applyFont="1" applyAlignment="1" applyProtection="1">
      <alignment horizontal="center" vertical="center" wrapText="1"/>
      <protection hidden="1"/>
    </xf>
    <xf numFmtId="0" fontId="154" fillId="0" borderId="0" xfId="0" applyFont="1" applyAlignment="1" applyProtection="1">
      <alignment horizontal="right"/>
      <protection hidden="1"/>
    </xf>
    <xf numFmtId="0" fontId="93" fillId="0" borderId="0" xfId="0" applyFont="1" applyAlignment="1" applyProtection="1">
      <alignment horizontal="right"/>
      <protection hidden="1"/>
    </xf>
    <xf numFmtId="0" fontId="32" fillId="0" borderId="0" xfId="0" applyFont="1" applyAlignment="1" applyProtection="1">
      <alignment horizontal="right"/>
      <protection hidden="1"/>
    </xf>
    <xf numFmtId="0" fontId="90" fillId="5" borderId="2" xfId="0" applyFont="1" applyFill="1" applyBorder="1" applyAlignment="1" applyProtection="1">
      <alignment wrapText="1"/>
      <protection hidden="1"/>
    </xf>
    <xf numFmtId="0" fontId="93" fillId="0" borderId="0" xfId="0" applyFont="1" applyAlignment="1" applyProtection="1">
      <alignment horizontal="center" vertical="top"/>
      <protection hidden="1"/>
    </xf>
    <xf numFmtId="176" fontId="133" fillId="0" borderId="0" xfId="0" applyNumberFormat="1" applyFont="1" applyAlignment="1" applyProtection="1">
      <alignment horizontal="center" vertical="top"/>
      <protection hidden="1"/>
    </xf>
    <xf numFmtId="0" fontId="111" fillId="0" borderId="0" xfId="0" applyFont="1" applyAlignment="1" applyProtection="1">
      <alignment horizontal="center"/>
      <protection hidden="1"/>
    </xf>
    <xf numFmtId="0" fontId="69" fillId="0" borderId="0" xfId="0" applyFont="1" applyAlignment="1" applyProtection="1">
      <alignment wrapText="1"/>
      <protection hidden="1"/>
    </xf>
    <xf numFmtId="1" fontId="69" fillId="0" borderId="15" xfId="0" applyNumberFormat="1" applyFont="1" applyBorder="1" applyAlignment="1" applyProtection="1">
      <alignment wrapText="1"/>
      <protection hidden="1"/>
    </xf>
    <xf numFmtId="177" fontId="135" fillId="0" borderId="0" xfId="0" applyNumberFormat="1" applyFont="1" applyAlignment="1" applyProtection="1">
      <alignment horizontal="center"/>
      <protection hidden="1"/>
    </xf>
    <xf numFmtId="0" fontId="69" fillId="0" borderId="15" xfId="0" applyFont="1" applyBorder="1" applyAlignment="1" applyProtection="1">
      <alignment vertical="top" wrapText="1"/>
      <protection hidden="1"/>
    </xf>
    <xf numFmtId="0" fontId="69" fillId="0" borderId="0" xfId="0" applyFont="1" applyAlignment="1" applyProtection="1">
      <alignment vertical="top" wrapText="1"/>
      <protection hidden="1"/>
    </xf>
    <xf numFmtId="176" fontId="100" fillId="0" borderId="0" xfId="0" applyNumberFormat="1" applyFont="1" applyAlignment="1" applyProtection="1">
      <alignment horizontal="center" vertical="top"/>
      <protection locked="0"/>
    </xf>
    <xf numFmtId="0" fontId="100" fillId="0" borderId="0" xfId="0" applyFont="1" applyProtection="1">
      <protection locked="0"/>
    </xf>
    <xf numFmtId="0" fontId="100" fillId="0" borderId="0" xfId="0" applyFont="1" applyAlignment="1" applyProtection="1">
      <alignment horizontal="left" vertical="top" indent="10"/>
      <protection locked="0"/>
    </xf>
    <xf numFmtId="0" fontId="100" fillId="0" borderId="0" xfId="0" applyFont="1" applyAlignment="1" applyProtection="1">
      <alignment horizontal="left" vertical="top" indent="8"/>
      <protection locked="0"/>
    </xf>
    <xf numFmtId="0" fontId="41" fillId="14" borderId="8" xfId="0" applyFont="1" applyFill="1" applyBorder="1" applyAlignment="1" applyProtection="1">
      <alignment horizontal="center" wrapText="1"/>
      <protection hidden="1"/>
    </xf>
    <xf numFmtId="0" fontId="61" fillId="14" borderId="1" xfId="0" applyFont="1" applyFill="1" applyBorder="1" applyAlignment="1" applyProtection="1">
      <alignment horizontal="center" wrapText="1"/>
      <protection hidden="1"/>
    </xf>
    <xf numFmtId="0" fontId="41" fillId="14" borderId="1" xfId="0" applyFont="1" applyFill="1" applyBorder="1" applyAlignment="1" applyProtection="1">
      <alignment horizontal="center"/>
      <protection hidden="1"/>
    </xf>
    <xf numFmtId="0" fontId="70" fillId="14" borderId="1" xfId="0" quotePrefix="1" applyFont="1" applyFill="1" applyBorder="1" applyProtection="1">
      <protection hidden="1"/>
    </xf>
    <xf numFmtId="0" fontId="70" fillId="0" borderId="1" xfId="0" quotePrefix="1" applyFont="1" applyBorder="1" applyProtection="1">
      <protection hidden="1"/>
    </xf>
    <xf numFmtId="0" fontId="70" fillId="0" borderId="1" xfId="0" applyFont="1" applyBorder="1" applyProtection="1">
      <protection hidden="1"/>
    </xf>
    <xf numFmtId="0" fontId="0" fillId="0" borderId="15" xfId="0" applyBorder="1" applyAlignment="1" applyProtection="1">
      <alignment horizontal="center"/>
      <protection hidden="1"/>
    </xf>
    <xf numFmtId="0" fontId="0" fillId="0" borderId="15" xfId="0" applyBorder="1" applyAlignment="1">
      <alignment horizontal="center"/>
    </xf>
    <xf numFmtId="176" fontId="100" fillId="0" borderId="0" xfId="0" applyNumberFormat="1" applyFont="1" applyAlignment="1">
      <alignment horizontal="right" vertical="top"/>
    </xf>
    <xf numFmtId="0" fontId="0" fillId="0" borderId="14" xfId="0" applyBorder="1" applyAlignment="1">
      <alignment horizontal="center" vertical="center"/>
    </xf>
    <xf numFmtId="176" fontId="0" fillId="0" borderId="14" xfId="0" applyNumberFormat="1" applyBorder="1" applyAlignment="1">
      <alignment horizontal="left" vertical="center"/>
    </xf>
    <xf numFmtId="0" fontId="0" fillId="0" borderId="11" xfId="0" applyBorder="1" applyAlignment="1">
      <alignment horizontal="center" vertical="center"/>
    </xf>
    <xf numFmtId="0" fontId="135" fillId="0" borderId="0" xfId="0" applyFont="1" applyProtection="1">
      <protection hidden="1"/>
    </xf>
    <xf numFmtId="0" fontId="135" fillId="0" borderId="0" xfId="0" applyFont="1" applyAlignment="1" applyProtection="1">
      <alignment horizontal="center"/>
      <protection hidden="1"/>
    </xf>
    <xf numFmtId="0" fontId="135" fillId="0" borderId="0" xfId="0" quotePrefix="1" applyFont="1" applyProtection="1">
      <protection hidden="1"/>
    </xf>
    <xf numFmtId="0" fontId="225" fillId="0" borderId="0" xfId="0" applyFont="1" applyAlignment="1" applyProtection="1">
      <alignment horizontal="center" wrapText="1"/>
      <protection hidden="1"/>
    </xf>
    <xf numFmtId="0" fontId="40" fillId="5" borderId="13" xfId="0" applyFont="1" applyFill="1" applyBorder="1" applyAlignment="1" applyProtection="1">
      <alignment horizontal="center"/>
      <protection hidden="1"/>
    </xf>
    <xf numFmtId="0" fontId="73" fillId="9" borderId="2" xfId="0" applyFont="1" applyFill="1" applyBorder="1" applyAlignment="1" applyProtection="1">
      <alignment horizontal="center" vertical="center" wrapText="1"/>
      <protection hidden="1"/>
    </xf>
    <xf numFmtId="0" fontId="93" fillId="0" borderId="0" xfId="0" applyFont="1" applyAlignment="1" applyProtection="1">
      <alignment horizontal="center" wrapText="1"/>
      <protection locked="0"/>
    </xf>
    <xf numFmtId="43" fontId="70" fillId="0" borderId="1" xfId="1" applyFont="1" applyBorder="1" applyAlignment="1">
      <alignment horizontal="left" wrapText="1" indent="3"/>
    </xf>
    <xf numFmtId="0" fontId="141" fillId="0" borderId="0" xfId="0" applyFont="1" applyAlignment="1" applyProtection="1">
      <alignment horizontal="center"/>
      <protection hidden="1"/>
    </xf>
    <xf numFmtId="0" fontId="93" fillId="0" borderId="0" xfId="0" applyFont="1" applyAlignment="1" applyProtection="1">
      <alignment horizontal="center" vertical="center"/>
      <protection hidden="1"/>
    </xf>
    <xf numFmtId="0" fontId="93" fillId="0" borderId="0" xfId="0" applyFont="1" applyAlignment="1" applyProtection="1">
      <alignment horizontal="center"/>
      <protection locked="0"/>
    </xf>
    <xf numFmtId="166" fontId="93" fillId="0" borderId="0" xfId="0" applyNumberFormat="1" applyFont="1" applyProtection="1">
      <protection hidden="1"/>
    </xf>
    <xf numFmtId="1" fontId="224" fillId="0" borderId="0" xfId="0" applyNumberFormat="1" applyFont="1" applyAlignment="1" applyProtection="1">
      <alignment vertical="center"/>
      <protection hidden="1"/>
    </xf>
    <xf numFmtId="0" fontId="292" fillId="0" borderId="0" xfId="0" applyFont="1" applyProtection="1">
      <protection hidden="1"/>
    </xf>
    <xf numFmtId="0" fontId="154" fillId="0" borderId="0" xfId="0" applyFont="1"/>
    <xf numFmtId="14" fontId="154" fillId="0" borderId="0" xfId="0" applyNumberFormat="1" applyFont="1" applyProtection="1">
      <protection hidden="1"/>
    </xf>
    <xf numFmtId="0" fontId="69" fillId="0" borderId="0" xfId="0" applyFont="1" applyAlignment="1" applyProtection="1">
      <alignment horizontal="center"/>
      <protection hidden="1"/>
    </xf>
    <xf numFmtId="166" fontId="69" fillId="0" borderId="0" xfId="0" applyNumberFormat="1" applyFont="1"/>
    <xf numFmtId="0" fontId="293" fillId="0" borderId="0" xfId="0" applyFont="1" applyProtection="1">
      <protection hidden="1"/>
    </xf>
    <xf numFmtId="0" fontId="69" fillId="0" borderId="0" xfId="0" applyFont="1" applyAlignment="1">
      <alignment horizontal="center"/>
    </xf>
    <xf numFmtId="14" fontId="154" fillId="0" borderId="0" xfId="0" applyNumberFormat="1" applyFont="1" applyAlignment="1" applyProtection="1">
      <alignment horizontal="center"/>
      <protection hidden="1"/>
    </xf>
    <xf numFmtId="14" fontId="154" fillId="0" borderId="0" xfId="0" applyNumberFormat="1" applyFont="1" applyAlignment="1">
      <alignment horizontal="center"/>
    </xf>
    <xf numFmtId="14" fontId="294" fillId="0" borderId="0" xfId="0" applyNumberFormat="1" applyFont="1" applyAlignment="1" applyProtection="1">
      <alignment horizontal="left"/>
      <protection hidden="1"/>
    </xf>
    <xf numFmtId="0" fontId="141" fillId="0" borderId="0" xfId="0" applyFont="1" applyAlignment="1" applyProtection="1">
      <alignment horizontal="right"/>
      <protection hidden="1"/>
    </xf>
    <xf numFmtId="14" fontId="294" fillId="0" borderId="0" xfId="0" applyNumberFormat="1" applyFont="1" applyProtection="1">
      <protection hidden="1"/>
    </xf>
    <xf numFmtId="0" fontId="93" fillId="0" borderId="0" xfId="0" applyFont="1" applyProtection="1">
      <protection hidden="1"/>
    </xf>
    <xf numFmtId="0" fontId="93" fillId="0" borderId="0" xfId="0" applyFont="1" applyAlignment="1" applyProtection="1">
      <alignment horizontal="left"/>
      <protection hidden="1"/>
    </xf>
    <xf numFmtId="176" fontId="141" fillId="0" borderId="0" xfId="0" applyNumberFormat="1" applyFont="1" applyAlignment="1" applyProtection="1">
      <alignment horizontal="center"/>
      <protection hidden="1"/>
    </xf>
    <xf numFmtId="0" fontId="141" fillId="0" borderId="0" xfId="0" applyFont="1" applyProtection="1">
      <protection hidden="1"/>
    </xf>
    <xf numFmtId="1" fontId="93" fillId="0" borderId="0" xfId="0" applyNumberFormat="1" applyFont="1" applyProtection="1">
      <protection hidden="1"/>
    </xf>
    <xf numFmtId="1" fontId="93" fillId="0" borderId="0" xfId="0" applyNumberFormat="1" applyFont="1" applyAlignment="1" applyProtection="1">
      <alignment horizontal="center"/>
      <protection hidden="1"/>
    </xf>
    <xf numFmtId="167" fontId="93" fillId="0" borderId="0" xfId="0" applyNumberFormat="1" applyFont="1" applyProtection="1">
      <protection hidden="1"/>
    </xf>
    <xf numFmtId="0" fontId="175" fillId="0" borderId="0" xfId="0" applyFont="1" applyAlignment="1" applyProtection="1">
      <alignment horizontal="center" wrapText="1"/>
      <protection hidden="1"/>
    </xf>
    <xf numFmtId="0" fontId="295" fillId="0" borderId="0" xfId="0" applyFont="1" applyAlignment="1" applyProtection="1">
      <alignment horizontal="center" wrapText="1"/>
      <protection hidden="1"/>
    </xf>
    <xf numFmtId="0" fontId="93" fillId="0" borderId="0" xfId="0" applyFont="1" applyAlignment="1" applyProtection="1">
      <alignment vertical="center" wrapText="1"/>
      <protection hidden="1"/>
    </xf>
    <xf numFmtId="0" fontId="93" fillId="0" borderId="0" xfId="0" applyFont="1" applyAlignment="1" applyProtection="1">
      <alignment horizontal="center" wrapText="1"/>
      <protection hidden="1"/>
    </xf>
    <xf numFmtId="0" fontId="175" fillId="0" borderId="0" xfId="0" applyFont="1" applyAlignment="1" applyProtection="1">
      <alignment vertical="center" wrapText="1"/>
      <protection hidden="1"/>
    </xf>
    <xf numFmtId="0" fontId="175" fillId="0" borderId="0" xfId="0" applyFont="1" applyAlignment="1" applyProtection="1">
      <alignment horizontal="center" vertical="center" wrapText="1"/>
      <protection hidden="1"/>
    </xf>
    <xf numFmtId="0" fontId="69" fillId="0" borderId="0" xfId="0" applyFont="1" applyAlignment="1">
      <alignment wrapText="1"/>
    </xf>
    <xf numFmtId="166" fontId="69" fillId="0" borderId="0" xfId="0" applyNumberFormat="1" applyFont="1" applyAlignment="1">
      <alignment wrapText="1"/>
    </xf>
    <xf numFmtId="0" fontId="93" fillId="0" borderId="0" xfId="0" applyFont="1" applyAlignment="1" applyProtection="1">
      <alignment horizontal="center"/>
      <protection locked="0" hidden="1"/>
    </xf>
    <xf numFmtId="166" fontId="93" fillId="0" borderId="0" xfId="0" applyNumberFormat="1" applyFont="1" applyProtection="1">
      <protection locked="0"/>
    </xf>
    <xf numFmtId="0" fontId="93" fillId="0" borderId="0" xfId="0" applyFont="1" applyAlignment="1" applyProtection="1">
      <alignment horizontal="center" wrapText="1"/>
      <protection locked="0" hidden="1"/>
    </xf>
    <xf numFmtId="2" fontId="93" fillId="0" borderId="0" xfId="0" applyNumberFormat="1" applyFont="1" applyProtection="1">
      <protection hidden="1"/>
    </xf>
    <xf numFmtId="177" fontId="93" fillId="0" borderId="0" xfId="0" applyNumberFormat="1" applyFont="1" applyProtection="1">
      <protection hidden="1"/>
    </xf>
    <xf numFmtId="176" fontId="93" fillId="0" borderId="0" xfId="0" applyNumberFormat="1" applyFont="1" applyAlignment="1" applyProtection="1">
      <alignment wrapText="1"/>
      <protection hidden="1"/>
    </xf>
    <xf numFmtId="0" fontId="93" fillId="0" borderId="0" xfId="0" applyFont="1" applyAlignment="1" applyProtection="1">
      <alignment horizontal="center" wrapText="1" shrinkToFit="1"/>
      <protection hidden="1"/>
    </xf>
    <xf numFmtId="176" fontId="93" fillId="0" borderId="0" xfId="0" applyNumberFormat="1" applyFont="1" applyAlignment="1" applyProtection="1">
      <alignment horizontal="center"/>
      <protection locked="0" hidden="1"/>
    </xf>
    <xf numFmtId="166" fontId="93" fillId="0" borderId="0" xfId="0" applyNumberFormat="1" applyFont="1" applyAlignment="1" applyProtection="1">
      <alignment horizontal="center"/>
      <protection locked="0"/>
    </xf>
    <xf numFmtId="2" fontId="135" fillId="0" borderId="0" xfId="0" applyNumberFormat="1" applyFont="1" applyProtection="1">
      <protection hidden="1"/>
    </xf>
    <xf numFmtId="170" fontId="135" fillId="0" borderId="0" xfId="0" applyNumberFormat="1" applyFont="1" applyProtection="1">
      <protection hidden="1"/>
    </xf>
    <xf numFmtId="4" fontId="93" fillId="0" borderId="0" xfId="0" applyNumberFormat="1" applyFont="1" applyProtection="1">
      <protection hidden="1"/>
    </xf>
    <xf numFmtId="0" fontId="139" fillId="0" borderId="0" xfId="0" applyFont="1" applyProtection="1">
      <protection hidden="1"/>
    </xf>
    <xf numFmtId="0" fontId="139" fillId="0" borderId="0" xfId="0" applyFont="1" applyAlignment="1" applyProtection="1">
      <alignment horizontal="left" indent="1"/>
      <protection hidden="1"/>
    </xf>
    <xf numFmtId="0" fontId="224" fillId="0" borderId="0" xfId="0" applyFont="1" applyAlignment="1" applyProtection="1">
      <alignment vertical="center"/>
      <protection hidden="1"/>
    </xf>
    <xf numFmtId="0" fontId="298" fillId="0" borderId="0" xfId="0" applyFont="1" applyProtection="1">
      <protection hidden="1"/>
    </xf>
    <xf numFmtId="3" fontId="224" fillId="0" borderId="0" xfId="0" applyNumberFormat="1" applyFont="1" applyAlignment="1" applyProtection="1">
      <alignment vertical="center"/>
      <protection hidden="1"/>
    </xf>
    <xf numFmtId="0" fontId="224" fillId="0" borderId="0" xfId="0" applyFont="1" applyAlignment="1" applyProtection="1">
      <alignment horizontal="left" vertical="center" indent="2"/>
      <protection hidden="1"/>
    </xf>
    <xf numFmtId="3" fontId="224" fillId="0" borderId="0" xfId="0" applyNumberFormat="1" applyFont="1" applyAlignment="1" applyProtection="1">
      <alignment horizontal="left" vertical="center"/>
      <protection hidden="1"/>
    </xf>
    <xf numFmtId="0" fontId="224" fillId="0" borderId="0" xfId="0" applyFont="1" applyAlignment="1" applyProtection="1">
      <alignment horizontal="left"/>
      <protection hidden="1"/>
    </xf>
    <xf numFmtId="0" fontId="93" fillId="0" borderId="0" xfId="0" applyFont="1" applyAlignment="1" applyProtection="1">
      <alignment vertical="center"/>
      <protection hidden="1"/>
    </xf>
    <xf numFmtId="0" fontId="298" fillId="0" borderId="0" xfId="0" applyFont="1"/>
    <xf numFmtId="166" fontId="224" fillId="0" borderId="0" xfId="0" applyNumberFormat="1" applyFont="1" applyProtection="1">
      <protection hidden="1"/>
    </xf>
    <xf numFmtId="166" fontId="224" fillId="0" borderId="0" xfId="0" applyNumberFormat="1" applyFont="1" applyAlignment="1" applyProtection="1">
      <alignment wrapText="1"/>
      <protection hidden="1"/>
    </xf>
    <xf numFmtId="0" fontId="224" fillId="0" borderId="0" xfId="0" applyFont="1" applyProtection="1">
      <protection hidden="1"/>
    </xf>
    <xf numFmtId="0" fontId="224" fillId="0" borderId="0" xfId="0" applyFont="1" applyAlignment="1" applyProtection="1">
      <alignment horizontal="center" vertical="top"/>
      <protection hidden="1"/>
    </xf>
    <xf numFmtId="9" fontId="93" fillId="0" borderId="0" xfId="0" applyNumberFormat="1" applyFont="1" applyProtection="1">
      <protection hidden="1"/>
    </xf>
    <xf numFmtId="9" fontId="224" fillId="0" borderId="0" xfId="0" applyNumberFormat="1" applyFont="1" applyAlignment="1" applyProtection="1">
      <alignment horizontal="left"/>
      <protection hidden="1"/>
    </xf>
    <xf numFmtId="0" fontId="299" fillId="0" borderId="0" xfId="0" applyFont="1" applyProtection="1">
      <protection hidden="1"/>
    </xf>
    <xf numFmtId="164" fontId="93" fillId="0" borderId="0" xfId="0" applyNumberFormat="1" applyFont="1" applyProtection="1">
      <protection hidden="1"/>
    </xf>
    <xf numFmtId="168" fontId="224" fillId="0" borderId="0" xfId="0" applyNumberFormat="1" applyFont="1" applyAlignment="1" applyProtection="1">
      <alignment horizontal="right" wrapText="1"/>
      <protection hidden="1"/>
    </xf>
    <xf numFmtId="0" fontId="224" fillId="0" borderId="0" xfId="0" applyFont="1" applyAlignment="1">
      <alignment horizontal="left"/>
    </xf>
    <xf numFmtId="165" fontId="300" fillId="0" borderId="0" xfId="0" applyNumberFormat="1" applyFont="1" applyProtection="1">
      <protection hidden="1"/>
    </xf>
    <xf numFmtId="0" fontId="93" fillId="0" borderId="0" xfId="0" applyFont="1"/>
    <xf numFmtId="14" fontId="93" fillId="0" borderId="0" xfId="0" applyNumberFormat="1" applyFont="1" applyProtection="1">
      <protection hidden="1"/>
    </xf>
    <xf numFmtId="0" fontId="73" fillId="0" borderId="1" xfId="0" applyFont="1" applyBorder="1" applyAlignment="1" applyProtection="1">
      <alignment horizontal="center" wrapText="1"/>
      <protection locked="0" hidden="1"/>
    </xf>
    <xf numFmtId="192" fontId="70" fillId="0" borderId="0" xfId="0" applyNumberFormat="1" applyFont="1" applyProtection="1">
      <protection hidden="1"/>
    </xf>
    <xf numFmtId="0" fontId="75" fillId="0" borderId="9" xfId="0" applyFont="1" applyBorder="1" applyAlignment="1" applyProtection="1">
      <alignment vertical="top" wrapText="1"/>
      <protection hidden="1"/>
    </xf>
    <xf numFmtId="0" fontId="138" fillId="0" borderId="14" xfId="0" applyFont="1" applyBorder="1" applyAlignment="1" applyProtection="1">
      <alignment vertical="top" wrapText="1"/>
      <protection hidden="1"/>
    </xf>
    <xf numFmtId="0" fontId="250" fillId="0" borderId="0" xfId="0" applyFont="1" applyAlignment="1">
      <alignment vertical="top"/>
    </xf>
    <xf numFmtId="0" fontId="250" fillId="0" borderId="0" xfId="0" applyFont="1"/>
    <xf numFmtId="0" fontId="110" fillId="0" borderId="0" xfId="0" applyFont="1" applyAlignment="1">
      <alignment vertical="top"/>
    </xf>
    <xf numFmtId="49" fontId="113" fillId="0" borderId="0" xfId="0" applyNumberFormat="1" applyFont="1" applyAlignment="1">
      <alignment horizontal="center" vertical="top"/>
    </xf>
    <xf numFmtId="0" fontId="108" fillId="0" borderId="0" xfId="0" applyFont="1" applyAlignment="1" applyProtection="1">
      <alignment vertical="top"/>
      <protection hidden="1"/>
    </xf>
    <xf numFmtId="1" fontId="108" fillId="0" borderId="0" xfId="0" applyNumberFormat="1" applyFont="1" applyAlignment="1" applyProtection="1">
      <alignment vertical="top"/>
      <protection hidden="1"/>
    </xf>
    <xf numFmtId="0" fontId="70" fillId="0" borderId="1" xfId="0" applyFont="1" applyBorder="1" applyAlignment="1" applyProtection="1">
      <alignment horizontal="center" vertical="center"/>
      <protection hidden="1"/>
    </xf>
    <xf numFmtId="176" fontId="70" fillId="0" borderId="1" xfId="0" applyNumberFormat="1" applyFont="1" applyBorder="1" applyAlignment="1" applyProtection="1">
      <alignment horizontal="center" vertical="top" wrapText="1"/>
      <protection hidden="1"/>
    </xf>
    <xf numFmtId="176" fontId="70" fillId="0" borderId="1" xfId="0" applyNumberFormat="1" applyFont="1" applyBorder="1" applyAlignment="1" applyProtection="1">
      <alignment vertical="top" wrapText="1"/>
      <protection hidden="1"/>
    </xf>
    <xf numFmtId="176" fontId="70" fillId="0" borderId="1" xfId="0" applyNumberFormat="1" applyFont="1" applyBorder="1" applyAlignment="1" applyProtection="1">
      <alignment horizontal="center" vertical="top"/>
      <protection hidden="1"/>
    </xf>
    <xf numFmtId="176" fontId="73" fillId="0" borderId="1" xfId="0" applyNumberFormat="1" applyFont="1" applyBorder="1" applyAlignment="1" applyProtection="1">
      <alignment horizontal="center" vertical="top"/>
      <protection hidden="1"/>
    </xf>
    <xf numFmtId="191" fontId="70" fillId="0" borderId="1" xfId="0" applyNumberFormat="1" applyFont="1" applyBorder="1" applyAlignment="1" applyProtection="1">
      <alignment vertical="top"/>
      <protection hidden="1"/>
    </xf>
    <xf numFmtId="176" fontId="70" fillId="0" borderId="2" xfId="0" applyNumberFormat="1" applyFont="1" applyBorder="1" applyAlignment="1" applyProtection="1">
      <alignment horizontal="center" vertical="top" wrapText="1"/>
      <protection hidden="1"/>
    </xf>
    <xf numFmtId="191" fontId="70" fillId="0" borderId="1" xfId="0" applyNumberFormat="1" applyFont="1" applyBorder="1" applyAlignment="1" applyProtection="1">
      <alignment horizontal="center" vertical="top"/>
      <protection hidden="1"/>
    </xf>
    <xf numFmtId="191" fontId="73" fillId="0" borderId="1" xfId="0" applyNumberFormat="1" applyFont="1" applyBorder="1" applyAlignment="1" applyProtection="1">
      <alignment horizontal="center" vertical="center"/>
      <protection hidden="1"/>
    </xf>
    <xf numFmtId="0" fontId="73" fillId="0" borderId="9" xfId="0" applyFont="1" applyBorder="1" applyAlignment="1" applyProtection="1">
      <alignment horizontal="left"/>
      <protection hidden="1"/>
    </xf>
    <xf numFmtId="0" fontId="75" fillId="0" borderId="0" xfId="0" applyFont="1" applyAlignment="1">
      <alignment vertical="top" wrapText="1"/>
    </xf>
    <xf numFmtId="0" fontId="30" fillId="0" borderId="14" xfId="0" applyFont="1" applyBorder="1" applyAlignment="1" applyProtection="1">
      <alignment horizontal="left" wrapText="1"/>
      <protection locked="0"/>
    </xf>
    <xf numFmtId="0" fontId="70" fillId="0" borderId="0" xfId="0" applyFont="1" applyAlignment="1" applyProtection="1">
      <alignment horizontal="center" vertical="top"/>
      <protection locked="0"/>
    </xf>
    <xf numFmtId="1" fontId="70" fillId="0" borderId="0" xfId="0" applyNumberFormat="1" applyFont="1" applyAlignment="1">
      <alignment vertical="top"/>
    </xf>
    <xf numFmtId="0" fontId="63" fillId="0" borderId="0" xfId="0" applyFont="1" applyAlignment="1">
      <alignment horizontal="center" vertical="center" wrapText="1"/>
    </xf>
    <xf numFmtId="0" fontId="285" fillId="0" borderId="13" xfId="0" applyFont="1" applyBorder="1" applyAlignment="1">
      <alignment vertical="center"/>
    </xf>
    <xf numFmtId="0" fontId="285" fillId="0" borderId="11" xfId="0" applyFont="1" applyBorder="1" applyAlignment="1">
      <alignment vertical="center"/>
    </xf>
    <xf numFmtId="0" fontId="285" fillId="0" borderId="12" xfId="0" applyFont="1" applyBorder="1" applyAlignment="1">
      <alignment vertical="center"/>
    </xf>
    <xf numFmtId="0" fontId="285" fillId="0" borderId="14" xfId="0" applyFont="1" applyBorder="1" applyAlignment="1">
      <alignment vertical="top" wrapText="1"/>
    </xf>
    <xf numFmtId="0" fontId="251" fillId="0" borderId="0" xfId="0" applyFont="1" applyAlignment="1">
      <alignment horizontal="left" vertical="center"/>
    </xf>
    <xf numFmtId="0" fontId="301" fillId="0" borderId="29" xfId="0" applyFont="1" applyBorder="1" applyAlignment="1" applyProtection="1">
      <alignment horizontal="left" vertical="top" wrapText="1"/>
      <protection hidden="1"/>
    </xf>
    <xf numFmtId="0" fontId="103" fillId="0" borderId="29" xfId="0" applyFont="1" applyBorder="1" applyAlignment="1" applyProtection="1">
      <alignment horizontal="center" vertical="top" wrapText="1"/>
      <protection hidden="1"/>
    </xf>
    <xf numFmtId="0" fontId="103" fillId="0" borderId="28" xfId="0" applyFont="1" applyBorder="1" applyAlignment="1" applyProtection="1">
      <alignment horizontal="center" vertical="top" wrapText="1"/>
      <protection hidden="1"/>
    </xf>
    <xf numFmtId="0" fontId="73" fillId="0" borderId="29" xfId="0" applyFont="1" applyBorder="1" applyAlignment="1" applyProtection="1">
      <alignment horizontal="center" vertical="top" wrapText="1"/>
      <protection hidden="1"/>
    </xf>
    <xf numFmtId="0" fontId="70" fillId="14" borderId="1" xfId="0" applyFont="1" applyFill="1" applyBorder="1" applyAlignment="1">
      <alignment horizontal="center"/>
    </xf>
    <xf numFmtId="192" fontId="271" fillId="0" borderId="0" xfId="0" applyNumberFormat="1" applyFont="1" applyProtection="1">
      <protection hidden="1"/>
    </xf>
    <xf numFmtId="0" fontId="285" fillId="0" borderId="0" xfId="0" applyFont="1" applyAlignment="1">
      <alignment vertical="top" wrapText="1"/>
    </xf>
    <xf numFmtId="0" fontId="285" fillId="0" borderId="0" xfId="0" applyFont="1" applyAlignment="1">
      <alignment horizontal="center" vertical="center" wrapText="1"/>
    </xf>
    <xf numFmtId="3" fontId="0" fillId="0" borderId="0" xfId="0" applyNumberFormat="1" applyProtection="1">
      <protection hidden="1"/>
    </xf>
    <xf numFmtId="0" fontId="0" fillId="0" borderId="11" xfId="0" applyBorder="1" applyAlignment="1" applyProtection="1">
      <alignment vertical="top"/>
      <protection hidden="1"/>
    </xf>
    <xf numFmtId="2" fontId="135" fillId="0" borderId="0" xfId="0" applyNumberFormat="1" applyFont="1" applyAlignment="1" applyProtection="1">
      <alignment horizontal="center"/>
      <protection hidden="1"/>
    </xf>
    <xf numFmtId="195" fontId="55" fillId="84" borderId="0" xfId="22" applyNumberFormat="1" applyFill="1" applyAlignment="1">
      <alignment horizontal="center"/>
    </xf>
    <xf numFmtId="195" fontId="91" fillId="84" borderId="0" xfId="25" applyNumberFormat="1" applyFont="1" applyFill="1" applyBorder="1" applyAlignment="1">
      <alignment horizontal="center"/>
    </xf>
    <xf numFmtId="166" fontId="91" fillId="0" borderId="0" xfId="0" applyNumberFormat="1" applyFont="1"/>
    <xf numFmtId="193" fontId="55" fillId="0" borderId="0" xfId="2" applyNumberFormat="1" applyFont="1" applyBorder="1"/>
    <xf numFmtId="197" fontId="91" fillId="51" borderId="0" xfId="25" applyNumberFormat="1" applyFont="1" applyFill="1" applyBorder="1" applyAlignment="1">
      <alignment horizontal="center"/>
    </xf>
    <xf numFmtId="193" fontId="55" fillId="14" borderId="0" xfId="2" applyNumberFormat="1" applyFont="1" applyFill="1"/>
    <xf numFmtId="193" fontId="55" fillId="0" borderId="0" xfId="2" applyNumberFormat="1" applyFont="1" applyFill="1"/>
    <xf numFmtId="198" fontId="55" fillId="0" borderId="0" xfId="22" applyNumberFormat="1"/>
    <xf numFmtId="197" fontId="55" fillId="51" borderId="0" xfId="22" applyNumberFormat="1" applyFill="1" applyAlignment="1">
      <alignment horizontal="center"/>
    </xf>
    <xf numFmtId="0" fontId="70" fillId="15" borderId="55" xfId="0" applyFont="1" applyFill="1" applyBorder="1"/>
    <xf numFmtId="0" fontId="32" fillId="14" borderId="15" xfId="0" applyFont="1" applyFill="1" applyBorder="1" applyAlignment="1" applyProtection="1">
      <alignment horizontal="center"/>
      <protection hidden="1"/>
    </xf>
    <xf numFmtId="0" fontId="32" fillId="0" borderId="0" xfId="0" applyFont="1" applyAlignment="1" applyProtection="1">
      <alignment horizontal="center" wrapText="1"/>
      <protection hidden="1"/>
    </xf>
    <xf numFmtId="0" fontId="73" fillId="14" borderId="1" xfId="0" applyFont="1" applyFill="1" applyBorder="1"/>
    <xf numFmtId="0" fontId="73" fillId="14" borderId="2" xfId="0" applyFont="1" applyFill="1" applyBorder="1" applyAlignment="1">
      <alignment horizontal="center"/>
    </xf>
    <xf numFmtId="0" fontId="73" fillId="14" borderId="1" xfId="0" applyFont="1" applyFill="1" applyBorder="1" applyAlignment="1">
      <alignment horizontal="center"/>
    </xf>
    <xf numFmtId="0" fontId="114" fillId="0" borderId="0" xfId="0" applyFont="1" applyAlignment="1">
      <alignment wrapText="1"/>
    </xf>
    <xf numFmtId="0" fontId="95" fillId="7" borderId="0" xfId="0" applyFont="1" applyFill="1" applyProtection="1">
      <protection hidden="1"/>
    </xf>
    <xf numFmtId="0" fontId="70" fillId="0" borderId="55" xfId="0" applyFont="1" applyBorder="1" applyAlignment="1" applyProtection="1">
      <alignment horizontal="center"/>
      <protection locked="0"/>
    </xf>
    <xf numFmtId="0" fontId="70" fillId="0" borderId="55" xfId="0" applyFont="1" applyBorder="1" applyAlignment="1" applyProtection="1">
      <alignment horizontal="left"/>
      <protection locked="0"/>
    </xf>
    <xf numFmtId="0" fontId="70" fillId="0" borderId="55" xfId="0" applyFont="1" applyBorder="1" applyAlignment="1" applyProtection="1">
      <alignment horizontal="left" wrapText="1"/>
      <protection locked="0"/>
    </xf>
    <xf numFmtId="0" fontId="30" fillId="0" borderId="58" xfId="0" applyFont="1" applyBorder="1" applyAlignment="1" applyProtection="1">
      <alignment horizontal="left" wrapText="1"/>
      <protection locked="0"/>
    </xf>
    <xf numFmtId="0" fontId="73" fillId="0" borderId="56" xfId="0" applyFont="1" applyBorder="1" applyAlignment="1" applyProtection="1">
      <alignment horizontal="center" wrapText="1"/>
      <protection locked="0" hidden="1"/>
    </xf>
    <xf numFmtId="0" fontId="73" fillId="0" borderId="55" xfId="0" applyFont="1" applyBorder="1" applyAlignment="1" applyProtection="1">
      <alignment horizontal="center" wrapText="1"/>
      <protection locked="0" hidden="1"/>
    </xf>
    <xf numFmtId="191" fontId="73" fillId="7" borderId="56" xfId="0" applyNumberFormat="1" applyFont="1" applyFill="1" applyBorder="1" applyAlignment="1" applyProtection="1">
      <alignment horizontal="center" wrapText="1"/>
      <protection locked="0"/>
    </xf>
    <xf numFmtId="0" fontId="30" fillId="0" borderId="56" xfId="0" applyFont="1" applyBorder="1" applyAlignment="1" applyProtection="1">
      <alignment wrapText="1" shrinkToFit="1"/>
      <protection locked="0" hidden="1"/>
    </xf>
    <xf numFmtId="0" fontId="73" fillId="0" borderId="58" xfId="0" applyFont="1" applyBorder="1" applyAlignment="1" applyProtection="1">
      <alignment horizontal="center" wrapText="1"/>
      <protection locked="0"/>
    </xf>
    <xf numFmtId="0" fontId="70" fillId="0" borderId="55" xfId="0" applyFont="1" applyBorder="1" applyAlignment="1" applyProtection="1">
      <alignment horizontal="center" wrapText="1"/>
      <protection locked="0" hidden="1"/>
    </xf>
    <xf numFmtId="194" fontId="70" fillId="7" borderId="55" xfId="0" applyNumberFormat="1" applyFont="1" applyFill="1" applyBorder="1" applyAlignment="1" applyProtection="1">
      <alignment wrapText="1"/>
      <protection locked="0" hidden="1"/>
    </xf>
    <xf numFmtId="49" fontId="63" fillId="0" borderId="0" xfId="0" applyNumberFormat="1" applyFont="1" applyAlignment="1">
      <alignment horizontal="center" vertical="top"/>
    </xf>
    <xf numFmtId="0" fontId="0" fillId="12" borderId="58" xfId="0" applyFill="1" applyBorder="1" applyProtection="1">
      <protection locked="0"/>
    </xf>
    <xf numFmtId="176" fontId="70" fillId="13" borderId="10" xfId="0" applyNumberFormat="1" applyFont="1" applyFill="1" applyBorder="1" applyAlignment="1">
      <alignment horizontal="center" vertical="center" wrapText="1"/>
    </xf>
    <xf numFmtId="0" fontId="70" fillId="13" borderId="29" xfId="0" applyFont="1" applyFill="1" applyBorder="1" applyAlignment="1">
      <alignment horizontal="center" vertical="center" wrapText="1"/>
    </xf>
    <xf numFmtId="176" fontId="70" fillId="13" borderId="8" xfId="0" applyNumberFormat="1" applyFont="1" applyFill="1" applyBorder="1" applyAlignment="1">
      <alignment horizontal="center" vertical="center" wrapText="1"/>
    </xf>
    <xf numFmtId="176" fontId="70" fillId="13" borderId="29" xfId="0" applyNumberFormat="1" applyFont="1" applyFill="1" applyBorder="1" applyAlignment="1">
      <alignment horizontal="center" vertical="center" wrapText="1"/>
    </xf>
    <xf numFmtId="0" fontId="269" fillId="12" borderId="58" xfId="0" applyFont="1" applyFill="1" applyBorder="1" applyProtection="1">
      <protection locked="0"/>
    </xf>
    <xf numFmtId="0" fontId="0" fillId="12" borderId="58" xfId="0" applyFill="1" applyBorder="1"/>
    <xf numFmtId="0" fontId="0" fillId="12" borderId="59" xfId="0" applyFill="1" applyBorder="1" applyProtection="1">
      <protection locked="0"/>
    </xf>
    <xf numFmtId="0" fontId="285" fillId="0" borderId="56" xfId="0" applyFont="1" applyBorder="1" applyAlignment="1">
      <alignment vertical="top" wrapText="1"/>
    </xf>
    <xf numFmtId="0" fontId="285" fillId="0" borderId="58" xfId="0" applyFont="1" applyBorder="1" applyAlignment="1">
      <alignment vertical="top" wrapText="1"/>
    </xf>
    <xf numFmtId="0" fontId="285" fillId="0" borderId="57" xfId="0" applyFont="1" applyBorder="1" applyAlignment="1">
      <alignment vertical="top" wrapText="1"/>
    </xf>
    <xf numFmtId="0" fontId="73" fillId="0" borderId="0" xfId="0" applyFont="1" applyAlignment="1">
      <alignment vertical="center" wrapText="1"/>
    </xf>
    <xf numFmtId="0" fontId="40" fillId="14" borderId="55" xfId="0" applyFont="1" applyFill="1" applyBorder="1" applyAlignment="1" applyProtection="1">
      <alignment horizontal="center"/>
      <protection hidden="1"/>
    </xf>
    <xf numFmtId="0" fontId="0" fillId="0" borderId="62" xfId="0" applyBorder="1"/>
    <xf numFmtId="0" fontId="75" fillId="0" borderId="62" xfId="0" applyFont="1" applyBorder="1"/>
    <xf numFmtId="0" fontId="88" fillId="0" borderId="9" xfId="0" applyFont="1" applyBorder="1"/>
    <xf numFmtId="0" fontId="0" fillId="0" borderId="60" xfId="0" applyBorder="1"/>
    <xf numFmtId="0" fontId="76" fillId="0" borderId="61" xfId="0" applyFont="1" applyBorder="1"/>
    <xf numFmtId="0" fontId="76" fillId="0" borderId="61" xfId="0" applyFont="1" applyBorder="1" applyAlignment="1">
      <alignment vertical="center"/>
    </xf>
    <xf numFmtId="0" fontId="256" fillId="0" borderId="0" xfId="0" applyFont="1"/>
    <xf numFmtId="0" fontId="103" fillId="0" borderId="55" xfId="0" applyFont="1" applyBorder="1" applyAlignment="1" applyProtection="1">
      <alignment horizontal="center" vertical="top" wrapText="1"/>
      <protection hidden="1"/>
    </xf>
    <xf numFmtId="0" fontId="301" fillId="0" borderId="63" xfId="0" applyFont="1" applyBorder="1" applyAlignment="1" applyProtection="1">
      <alignment horizontal="center" vertical="center"/>
      <protection hidden="1"/>
    </xf>
    <xf numFmtId="0" fontId="114" fillId="0" borderId="62" xfId="0" applyFont="1" applyBorder="1" applyAlignment="1" applyProtection="1">
      <alignment vertical="top" wrapText="1"/>
      <protection hidden="1"/>
    </xf>
    <xf numFmtId="0" fontId="103" fillId="0" borderId="0" xfId="0" applyFont="1" applyAlignment="1" applyProtection="1">
      <alignment horizontal="center" vertical="top" wrapText="1"/>
      <protection hidden="1"/>
    </xf>
    <xf numFmtId="0" fontId="75" fillId="0" borderId="62" xfId="0" applyFont="1" applyBorder="1" applyAlignment="1" applyProtection="1">
      <alignment horizontal="left" vertical="top" wrapText="1"/>
      <protection hidden="1"/>
    </xf>
    <xf numFmtId="0" fontId="76" fillId="0" borderId="61" xfId="0" applyFont="1" applyBorder="1" applyAlignment="1">
      <alignment vertical="top"/>
    </xf>
    <xf numFmtId="0" fontId="114" fillId="0" borderId="62" xfId="0" applyFont="1" applyBorder="1" applyProtection="1">
      <protection hidden="1"/>
    </xf>
    <xf numFmtId="0" fontId="114" fillId="0" borderId="62" xfId="0" applyFont="1" applyBorder="1" applyAlignment="1" applyProtection="1">
      <alignment vertical="center"/>
      <protection hidden="1"/>
    </xf>
    <xf numFmtId="176" fontId="40" fillId="0" borderId="1" xfId="0" applyNumberFormat="1" applyFont="1" applyBorder="1" applyAlignment="1" applyProtection="1">
      <alignment horizontal="center" vertical="top" wrapText="1"/>
      <protection hidden="1"/>
    </xf>
    <xf numFmtId="0" fontId="93" fillId="0" borderId="7" xfId="0" applyFont="1" applyBorder="1" applyAlignment="1" applyProtection="1">
      <alignment horizontal="center" wrapText="1"/>
      <protection locked="0"/>
    </xf>
    <xf numFmtId="0" fontId="73" fillId="0" borderId="55" xfId="0" applyFont="1" applyBorder="1" applyAlignment="1">
      <alignment horizontal="center"/>
    </xf>
    <xf numFmtId="0" fontId="19" fillId="0" borderId="55" xfId="0" applyFont="1" applyBorder="1"/>
    <xf numFmtId="0" fontId="19" fillId="0" borderId="55" xfId="0" applyFont="1" applyBorder="1" applyAlignment="1">
      <alignment horizontal="center"/>
    </xf>
    <xf numFmtId="0" fontId="142" fillId="0" borderId="0" xfId="0" applyFont="1" applyAlignment="1">
      <alignment horizontal="center" wrapText="1"/>
    </xf>
    <xf numFmtId="0" fontId="71" fillId="0" borderId="0" xfId="0" applyFont="1" applyAlignment="1">
      <alignment wrapText="1"/>
    </xf>
    <xf numFmtId="0" fontId="100" fillId="0" borderId="55" xfId="0" applyFont="1" applyBorder="1" applyAlignment="1">
      <alignment horizontal="center" wrapText="1"/>
    </xf>
    <xf numFmtId="0" fontId="72" fillId="0" borderId="0" xfId="0" applyFont="1" applyAlignment="1">
      <alignment wrapText="1"/>
    </xf>
    <xf numFmtId="195" fontId="55" fillId="80" borderId="0" xfId="22" applyNumberFormat="1" applyFill="1" applyAlignment="1">
      <alignment horizontal="center"/>
    </xf>
    <xf numFmtId="195" fontId="91" fillId="80" borderId="0" xfId="25" applyNumberFormat="1" applyFont="1" applyFill="1" applyBorder="1" applyAlignment="1">
      <alignment horizontal="center"/>
    </xf>
    <xf numFmtId="44" fontId="70" fillId="0" borderId="0" xfId="2" quotePrefix="1" applyFont="1" applyAlignment="1">
      <alignment wrapText="1"/>
    </xf>
    <xf numFmtId="44" fontId="70" fillId="0" borderId="0" xfId="0" quotePrefix="1" applyNumberFormat="1" applyFont="1" applyAlignment="1">
      <alignment wrapText="1"/>
    </xf>
    <xf numFmtId="4" fontId="70" fillId="0" borderId="0" xfId="0" quotePrefix="1" applyNumberFormat="1" applyFont="1" applyAlignment="1">
      <alignment wrapText="1"/>
    </xf>
    <xf numFmtId="170" fontId="70" fillId="0" borderId="0" xfId="0" quotePrefix="1" applyNumberFormat="1" applyFont="1" applyAlignment="1">
      <alignment wrapText="1"/>
    </xf>
    <xf numFmtId="0" fontId="70" fillId="14" borderId="55" xfId="0" applyFont="1" applyFill="1" applyBorder="1" applyAlignment="1">
      <alignment wrapText="1"/>
    </xf>
    <xf numFmtId="0" fontId="70" fillId="14" borderId="55" xfId="0" applyFont="1" applyFill="1" applyBorder="1" applyAlignment="1">
      <alignment horizontal="left" wrapText="1"/>
    </xf>
    <xf numFmtId="1" fontId="70" fillId="14" borderId="55" xfId="0" applyNumberFormat="1" applyFont="1" applyFill="1" applyBorder="1" applyAlignment="1">
      <alignment wrapText="1"/>
    </xf>
    <xf numFmtId="43" fontId="70" fillId="14" borderId="55" xfId="1" applyFont="1" applyFill="1" applyBorder="1" applyAlignment="1">
      <alignment wrapText="1"/>
    </xf>
    <xf numFmtId="171" fontId="70" fillId="14" borderId="55" xfId="1" applyNumberFormat="1" applyFont="1" applyFill="1" applyBorder="1" applyAlignment="1">
      <alignment wrapText="1"/>
    </xf>
    <xf numFmtId="44" fontId="70" fillId="14" borderId="55" xfId="2" applyFont="1" applyFill="1" applyBorder="1" applyAlignment="1">
      <alignment wrapText="1"/>
    </xf>
    <xf numFmtId="172" fontId="70" fillId="14" borderId="55" xfId="2" applyNumberFormat="1" applyFont="1" applyFill="1" applyBorder="1" applyAlignment="1">
      <alignment wrapText="1"/>
    </xf>
    <xf numFmtId="170" fontId="70" fillId="14" borderId="55" xfId="2" applyNumberFormat="1" applyFont="1" applyFill="1" applyBorder="1" applyAlignment="1">
      <alignment wrapText="1"/>
    </xf>
    <xf numFmtId="43" fontId="0" fillId="14" borderId="1" xfId="0" applyNumberFormat="1" applyFill="1" applyBorder="1"/>
    <xf numFmtId="44" fontId="0" fillId="14" borderId="1" xfId="0" applyNumberFormat="1" applyFill="1" applyBorder="1"/>
    <xf numFmtId="43" fontId="70" fillId="10" borderId="1" xfId="0" applyNumberFormat="1" applyFont="1" applyFill="1" applyBorder="1" applyAlignment="1">
      <alignment wrapText="1"/>
    </xf>
    <xf numFmtId="0" fontId="0" fillId="0" borderId="19" xfId="0" applyBorder="1" applyProtection="1">
      <protection hidden="1"/>
    </xf>
    <xf numFmtId="0" fontId="0" fillId="0" borderId="19" xfId="0" applyBorder="1" applyAlignment="1" applyProtection="1">
      <alignment horizontal="right"/>
      <protection hidden="1"/>
    </xf>
    <xf numFmtId="0" fontId="0" fillId="0" borderId="0" xfId="0" applyAlignment="1" applyProtection="1">
      <alignment horizontal="right" indent="1"/>
      <protection hidden="1"/>
    </xf>
    <xf numFmtId="0" fontId="0" fillId="0" borderId="21" xfId="0" applyBorder="1" applyProtection="1">
      <protection hidden="1"/>
    </xf>
    <xf numFmtId="1" fontId="0" fillId="0" borderId="19" xfId="0" applyNumberFormat="1" applyBorder="1" applyAlignment="1">
      <alignment horizontal="right" indent="1"/>
    </xf>
    <xf numFmtId="1" fontId="0" fillId="0" borderId="0" xfId="0" applyNumberFormat="1" applyAlignment="1">
      <alignment horizontal="right" indent="1"/>
    </xf>
    <xf numFmtId="1" fontId="0" fillId="0" borderId="0" xfId="0" applyNumberFormat="1" applyAlignment="1">
      <alignment horizontal="right"/>
    </xf>
    <xf numFmtId="0" fontId="73" fillId="0" borderId="58" xfId="0" applyFont="1" applyBorder="1" applyAlignment="1" applyProtection="1">
      <alignment horizontal="center"/>
      <protection hidden="1"/>
    </xf>
    <xf numFmtId="0" fontId="73" fillId="14" borderId="29" xfId="0" applyFont="1" applyFill="1" applyBorder="1" applyAlignment="1" applyProtection="1">
      <alignment horizontal="center" wrapText="1"/>
      <protection hidden="1"/>
    </xf>
    <xf numFmtId="0" fontId="73" fillId="9" borderId="8" xfId="0" applyFont="1" applyFill="1" applyBorder="1" applyAlignment="1" applyProtection="1">
      <alignment horizontal="center" wrapText="1"/>
      <protection hidden="1"/>
    </xf>
    <xf numFmtId="0" fontId="73" fillId="5" borderId="29" xfId="0" applyFont="1" applyFill="1" applyBorder="1" applyAlignment="1" applyProtection="1">
      <alignment horizontal="center" wrapText="1"/>
      <protection hidden="1"/>
    </xf>
    <xf numFmtId="0" fontId="73" fillId="0" borderId="56" xfId="0" applyFont="1" applyBorder="1" applyAlignment="1" applyProtection="1">
      <alignment horizontal="center"/>
      <protection hidden="1"/>
    </xf>
    <xf numFmtId="0" fontId="73" fillId="0" borderId="57" xfId="0" applyFont="1" applyBorder="1" applyAlignment="1" applyProtection="1">
      <alignment horizontal="center"/>
      <protection hidden="1"/>
    </xf>
    <xf numFmtId="4" fontId="73" fillId="0" borderId="57" xfId="0" applyNumberFormat="1" applyFont="1" applyBorder="1" applyAlignment="1" applyProtection="1">
      <alignment horizontal="center"/>
      <protection hidden="1"/>
    </xf>
    <xf numFmtId="2" fontId="73" fillId="0" borderId="57" xfId="0" applyNumberFormat="1" applyFont="1" applyBorder="1" applyAlignment="1" applyProtection="1">
      <alignment horizontal="center"/>
      <protection hidden="1"/>
    </xf>
    <xf numFmtId="0" fontId="91" fillId="0" borderId="57" xfId="0" applyFont="1" applyBorder="1" applyAlignment="1" applyProtection="1">
      <alignment horizontal="center" wrapText="1"/>
      <protection hidden="1"/>
    </xf>
    <xf numFmtId="0" fontId="32" fillId="0" borderId="29" xfId="0" applyFont="1" applyBorder="1" applyAlignment="1" applyProtection="1">
      <alignment horizontal="center" wrapText="1"/>
      <protection hidden="1"/>
    </xf>
    <xf numFmtId="0" fontId="32" fillId="14" borderId="29" xfId="0" applyFont="1" applyFill="1" applyBorder="1" applyAlignment="1" applyProtection="1">
      <alignment horizontal="center" wrapText="1"/>
      <protection hidden="1"/>
    </xf>
    <xf numFmtId="0" fontId="32" fillId="83" borderId="29" xfId="0" applyFont="1" applyFill="1" applyBorder="1" applyAlignment="1" applyProtection="1">
      <alignment horizontal="center" wrapText="1"/>
      <protection hidden="1"/>
    </xf>
    <xf numFmtId="0" fontId="37" fillId="0" borderId="29" xfId="0" applyFont="1" applyBorder="1" applyAlignment="1" applyProtection="1">
      <alignment horizontal="center" wrapText="1"/>
      <protection hidden="1"/>
    </xf>
    <xf numFmtId="4" fontId="32" fillId="14" borderId="29" xfId="0" applyNumberFormat="1" applyFont="1" applyFill="1" applyBorder="1" applyAlignment="1" applyProtection="1">
      <alignment horizontal="center" wrapText="1"/>
      <protection hidden="1"/>
    </xf>
    <xf numFmtId="2" fontId="32" fillId="0" borderId="29" xfId="0" applyNumberFormat="1" applyFont="1" applyBorder="1" applyAlignment="1" applyProtection="1">
      <alignment horizontal="center" wrapText="1"/>
      <protection hidden="1"/>
    </xf>
    <xf numFmtId="0" fontId="73" fillId="0" borderId="29" xfId="0" applyFont="1" applyBorder="1" applyAlignment="1" applyProtection="1">
      <alignment wrapText="1"/>
      <protection hidden="1"/>
    </xf>
    <xf numFmtId="0" fontId="32" fillId="0" borderId="9" xfId="0" applyFont="1" applyBorder="1" applyAlignment="1" applyProtection="1">
      <alignment horizontal="center" wrapText="1"/>
      <protection hidden="1"/>
    </xf>
    <xf numFmtId="0" fontId="73" fillId="81" borderId="58" xfId="0" applyFont="1" applyFill="1" applyBorder="1" applyAlignment="1" applyProtection="1">
      <alignment horizontal="center"/>
      <protection hidden="1"/>
    </xf>
    <xf numFmtId="0" fontId="100" fillId="81" borderId="58" xfId="0" applyFont="1" applyFill="1" applyBorder="1" applyProtection="1">
      <protection hidden="1"/>
    </xf>
    <xf numFmtId="0" fontId="100" fillId="81" borderId="56" xfId="0" applyFont="1" applyFill="1" applyBorder="1" applyProtection="1">
      <protection hidden="1"/>
    </xf>
    <xf numFmtId="176" fontId="70" fillId="7" borderId="1" xfId="0" applyNumberFormat="1" applyFont="1" applyFill="1" applyBorder="1" applyAlignment="1" applyProtection="1">
      <alignment horizontal="center" wrapText="1"/>
      <protection hidden="1"/>
    </xf>
    <xf numFmtId="0" fontId="17" fillId="9" borderId="8" xfId="0" applyFont="1" applyFill="1" applyBorder="1" applyAlignment="1" applyProtection="1">
      <alignment horizontal="center" vertical="top" wrapText="1"/>
      <protection hidden="1"/>
    </xf>
    <xf numFmtId="0" fontId="40" fillId="14" borderId="55" xfId="0" applyFont="1" applyFill="1" applyBorder="1" applyAlignment="1">
      <alignment vertical="center"/>
    </xf>
    <xf numFmtId="0" fontId="41" fillId="14" borderId="56" xfId="0" applyFont="1" applyFill="1" applyBorder="1" applyAlignment="1" applyProtection="1">
      <alignment horizontal="center"/>
      <protection hidden="1"/>
    </xf>
    <xf numFmtId="0" fontId="32" fillId="14" borderId="55" xfId="0" applyFont="1" applyFill="1" applyBorder="1" applyAlignment="1" applyProtection="1">
      <alignment horizontal="center" wrapText="1"/>
      <protection hidden="1"/>
    </xf>
    <xf numFmtId="0" fontId="40" fillId="14" borderId="56" xfId="0" applyFont="1" applyFill="1" applyBorder="1" applyProtection="1">
      <protection hidden="1"/>
    </xf>
    <xf numFmtId="0" fontId="73" fillId="14" borderId="56" xfId="0" applyFont="1" applyFill="1" applyBorder="1"/>
    <xf numFmtId="0" fontId="26" fillId="5" borderId="55" xfId="0" applyFont="1" applyFill="1" applyBorder="1" applyAlignment="1" applyProtection="1">
      <alignment horizontal="center"/>
      <protection hidden="1"/>
    </xf>
    <xf numFmtId="0" fontId="40" fillId="5" borderId="55" xfId="0" applyFont="1" applyFill="1" applyBorder="1" applyAlignment="1" applyProtection="1">
      <alignment horizontal="center"/>
      <protection hidden="1"/>
    </xf>
    <xf numFmtId="0" fontId="40" fillId="5" borderId="55" xfId="0" applyFont="1" applyFill="1" applyBorder="1" applyProtection="1">
      <protection hidden="1"/>
    </xf>
    <xf numFmtId="0" fontId="40" fillId="5" borderId="55" xfId="0" applyFont="1" applyFill="1" applyBorder="1" applyAlignment="1" applyProtection="1">
      <alignment wrapText="1"/>
      <protection hidden="1"/>
    </xf>
    <xf numFmtId="0" fontId="40" fillId="5" borderId="55" xfId="0" applyFont="1" applyFill="1" applyBorder="1" applyAlignment="1" applyProtection="1">
      <alignment horizontal="center" wrapText="1"/>
      <protection hidden="1"/>
    </xf>
    <xf numFmtId="0" fontId="41" fillId="14" borderId="56" xfId="0" applyFont="1" applyFill="1" applyBorder="1" applyProtection="1">
      <protection hidden="1"/>
    </xf>
    <xf numFmtId="0" fontId="304" fillId="14" borderId="55" xfId="0" applyFont="1" applyFill="1" applyBorder="1" applyAlignment="1">
      <alignment vertical="center" wrapText="1"/>
    </xf>
    <xf numFmtId="0" fontId="0" fillId="86" borderId="1" xfId="0" applyFill="1" applyBorder="1" applyAlignment="1" applyProtection="1">
      <alignment wrapText="1"/>
      <protection hidden="1"/>
    </xf>
    <xf numFmtId="3" fontId="0" fillId="86" borderId="1" xfId="0" applyNumberFormat="1" applyFill="1" applyBorder="1" applyAlignment="1" applyProtection="1">
      <alignment wrapText="1"/>
      <protection hidden="1"/>
    </xf>
    <xf numFmtId="0" fontId="32" fillId="86" borderId="1" xfId="0" applyFont="1" applyFill="1" applyBorder="1" applyAlignment="1" applyProtection="1">
      <alignment horizontal="center" wrapText="1"/>
      <protection hidden="1"/>
    </xf>
    <xf numFmtId="0" fontId="16" fillId="14" borderId="56" xfId="0" applyFont="1" applyFill="1" applyBorder="1"/>
    <xf numFmtId="0" fontId="73" fillId="14" borderId="55" xfId="0" applyFont="1" applyFill="1" applyBorder="1"/>
    <xf numFmtId="0" fontId="40" fillId="5" borderId="57" xfId="0" applyFont="1" applyFill="1" applyBorder="1" applyAlignment="1" applyProtection="1">
      <alignment horizontal="center"/>
      <protection hidden="1"/>
    </xf>
    <xf numFmtId="0" fontId="40" fillId="14" borderId="29" xfId="0" quotePrefix="1" applyFont="1" applyFill="1" applyBorder="1" applyProtection="1">
      <protection hidden="1"/>
    </xf>
    <xf numFmtId="0" fontId="90" fillId="14" borderId="8" xfId="0" applyFont="1" applyFill="1" applyBorder="1" applyAlignment="1" applyProtection="1">
      <alignment horizontal="center"/>
      <protection hidden="1"/>
    </xf>
    <xf numFmtId="0" fontId="40" fillId="0" borderId="0" xfId="0" applyFont="1" applyAlignment="1">
      <alignment vertical="center"/>
    </xf>
    <xf numFmtId="0" fontId="40" fillId="87" borderId="1" xfId="0" applyFont="1" applyFill="1" applyBorder="1" applyProtection="1">
      <protection hidden="1"/>
    </xf>
    <xf numFmtId="0" fontId="90" fillId="87" borderId="15" xfId="0" applyFont="1" applyFill="1" applyBorder="1" applyAlignment="1" applyProtection="1">
      <alignment horizontal="center"/>
      <protection hidden="1"/>
    </xf>
    <xf numFmtId="0" fontId="90" fillId="87" borderId="15" xfId="0" applyFont="1" applyFill="1" applyBorder="1" applyAlignment="1">
      <alignment horizontal="center"/>
    </xf>
    <xf numFmtId="0" fontId="90" fillId="87" borderId="15" xfId="0" applyFont="1" applyFill="1" applyBorder="1" applyAlignment="1" applyProtection="1">
      <alignment horizontal="center" wrapText="1"/>
      <protection hidden="1"/>
    </xf>
    <xf numFmtId="0" fontId="40" fillId="87" borderId="1" xfId="0" quotePrefix="1" applyFont="1" applyFill="1" applyBorder="1" applyProtection="1">
      <protection hidden="1"/>
    </xf>
    <xf numFmtId="0" fontId="70" fillId="87" borderId="0" xfId="0" applyFont="1" applyFill="1"/>
    <xf numFmtId="0" fontId="0" fillId="0" borderId="0" xfId="0" applyAlignment="1" applyProtection="1">
      <alignment wrapText="1"/>
      <protection hidden="1"/>
    </xf>
    <xf numFmtId="0" fontId="304" fillId="0" borderId="0" xfId="0" applyFont="1" applyAlignment="1">
      <alignment vertical="center" wrapText="1"/>
    </xf>
    <xf numFmtId="0" fontId="76" fillId="0" borderId="9" xfId="0" applyFont="1" applyBorder="1" applyAlignment="1">
      <alignment horizontal="center"/>
    </xf>
    <xf numFmtId="6" fontId="138" fillId="0" borderId="0" xfId="0" applyNumberFormat="1" applyFont="1" applyAlignment="1">
      <alignment horizontal="center" vertical="center"/>
    </xf>
    <xf numFmtId="0" fontId="250" fillId="0" borderId="0" xfId="0" applyFont="1" applyAlignment="1">
      <alignment vertical="center" wrapText="1"/>
    </xf>
    <xf numFmtId="0" fontId="245" fillId="0" borderId="0" xfId="0" applyFont="1" applyAlignment="1">
      <alignment horizontal="center"/>
    </xf>
    <xf numFmtId="0" fontId="139" fillId="0" borderId="0" xfId="0" applyFont="1"/>
    <xf numFmtId="6" fontId="285" fillId="0" borderId="0" xfId="0" applyNumberFormat="1" applyFont="1" applyAlignment="1">
      <alignment horizontal="center" vertical="center" wrapText="1"/>
    </xf>
    <xf numFmtId="6" fontId="285" fillId="0" borderId="0" xfId="0" applyNumberFormat="1" applyFont="1" applyAlignment="1">
      <alignment horizontal="center" vertical="center"/>
    </xf>
    <xf numFmtId="6" fontId="140" fillId="0" borderId="0" xfId="0" applyNumberFormat="1" applyFont="1" applyAlignment="1">
      <alignment horizontal="center"/>
    </xf>
    <xf numFmtId="0" fontId="141" fillId="0" borderId="0" xfId="0" applyFont="1"/>
    <xf numFmtId="6" fontId="289" fillId="0" borderId="0" xfId="0" applyNumberFormat="1" applyFont="1" applyAlignment="1">
      <alignment horizontal="center" vertical="center"/>
    </xf>
    <xf numFmtId="6" fontId="75" fillId="0" borderId="0" xfId="0" applyNumberFormat="1" applyFont="1" applyAlignment="1">
      <alignment horizontal="center" vertical="center"/>
    </xf>
    <xf numFmtId="0" fontId="255" fillId="0" borderId="10" xfId="0" applyFont="1" applyBorder="1" applyAlignment="1">
      <alignment vertical="center"/>
    </xf>
    <xf numFmtId="0" fontId="138" fillId="0" borderId="0" xfId="0" applyFont="1" applyAlignment="1">
      <alignment vertical="center" wrapText="1"/>
    </xf>
    <xf numFmtId="0" fontId="284" fillId="0" borderId="0" xfId="0" applyFont="1"/>
    <xf numFmtId="0" fontId="75" fillId="0" borderId="7" xfId="0" applyFont="1" applyBorder="1" applyProtection="1">
      <protection locked="0"/>
    </xf>
    <xf numFmtId="0" fontId="74" fillId="0" borderId="27" xfId="0" applyFont="1" applyBorder="1" applyAlignment="1">
      <alignment horizontal="center" vertical="top"/>
    </xf>
    <xf numFmtId="0" fontId="113" fillId="0" borderId="0" xfId="0" applyFont="1" applyAlignment="1">
      <alignment vertical="top" wrapText="1"/>
    </xf>
    <xf numFmtId="0" fontId="73" fillId="14" borderId="57" xfId="0" applyFont="1" applyFill="1" applyBorder="1" applyAlignment="1">
      <alignment horizontal="center" wrapText="1"/>
    </xf>
    <xf numFmtId="0" fontId="70" fillId="14" borderId="57" xfId="0" applyFont="1" applyFill="1" applyBorder="1" applyAlignment="1">
      <alignment horizontal="center"/>
    </xf>
    <xf numFmtId="0" fontId="70" fillId="0" borderId="56" xfId="0" applyFont="1" applyBorder="1" applyAlignment="1">
      <alignment horizontal="center" vertical="center"/>
    </xf>
    <xf numFmtId="0" fontId="41" fillId="14" borderId="55" xfId="0" applyFont="1" applyFill="1" applyBorder="1" applyAlignment="1" applyProtection="1">
      <alignment horizontal="center" wrapText="1"/>
      <protection hidden="1"/>
    </xf>
    <xf numFmtId="0" fontId="40" fillId="14" borderId="55" xfId="0" quotePrefix="1" applyFont="1" applyFill="1" applyBorder="1" applyProtection="1">
      <protection hidden="1"/>
    </xf>
    <xf numFmtId="0" fontId="90" fillId="14" borderId="55" xfId="0" applyFont="1" applyFill="1" applyBorder="1" applyAlignment="1" applyProtection="1">
      <alignment horizontal="center"/>
      <protection hidden="1"/>
    </xf>
    <xf numFmtId="0" fontId="90" fillId="14" borderId="55" xfId="0" applyFont="1" applyFill="1" applyBorder="1" applyAlignment="1" applyProtection="1">
      <alignment horizontal="center" wrapText="1"/>
      <protection hidden="1"/>
    </xf>
    <xf numFmtId="191" fontId="100" fillId="0" borderId="0" xfId="0" applyNumberFormat="1" applyFont="1" applyProtection="1">
      <protection hidden="1"/>
    </xf>
    <xf numFmtId="192" fontId="283" fillId="0" borderId="0" xfId="4" applyNumberFormat="1" applyFont="1" applyAlignment="1" applyProtection="1">
      <protection hidden="1"/>
    </xf>
    <xf numFmtId="0" fontId="61" fillId="16" borderId="55" xfId="0" applyFont="1" applyFill="1" applyBorder="1" applyAlignment="1" applyProtection="1">
      <alignment horizontal="left"/>
      <protection hidden="1"/>
    </xf>
    <xf numFmtId="0" fontId="32" fillId="0" borderId="0" xfId="4" applyFont="1" applyBorder="1" applyAlignment="1" applyProtection="1">
      <alignment horizontal="right" vertical="top" wrapText="1"/>
      <protection hidden="1"/>
    </xf>
    <xf numFmtId="0" fontId="12" fillId="14" borderId="56" xfId="0" applyFont="1" applyFill="1" applyBorder="1"/>
    <xf numFmtId="0" fontId="0" fillId="0" borderId="56" xfId="0" applyBorder="1"/>
    <xf numFmtId="0" fontId="12" fillId="0" borderId="29" xfId="0" applyFont="1" applyBorder="1" applyAlignment="1" applyProtection="1">
      <alignment horizontal="center" vertical="top" wrapText="1"/>
      <protection hidden="1"/>
    </xf>
    <xf numFmtId="0" fontId="305" fillId="0" borderId="6" xfId="0" applyFont="1" applyBorder="1" applyAlignment="1">
      <alignment horizontal="left" vertical="center" indent="9"/>
    </xf>
    <xf numFmtId="0" fontId="306" fillId="0" borderId="7" xfId="0" applyFont="1" applyBorder="1"/>
    <xf numFmtId="0" fontId="230" fillId="0" borderId="62" xfId="0" applyFont="1" applyBorder="1"/>
    <xf numFmtId="0" fontId="230" fillId="0" borderId="6" xfId="0" applyFont="1" applyBorder="1" applyAlignment="1">
      <alignment horizontal="left" vertical="center" indent="2"/>
    </xf>
    <xf numFmtId="0" fontId="230" fillId="0" borderId="6" xfId="0" applyFont="1" applyBorder="1" applyAlignment="1">
      <alignment horizontal="left" indent="2"/>
    </xf>
    <xf numFmtId="2" fontId="41" fillId="14" borderId="55" xfId="0" applyNumberFormat="1" applyFont="1" applyFill="1" applyBorder="1" applyAlignment="1" applyProtection="1">
      <alignment horizontal="center"/>
      <protection hidden="1"/>
    </xf>
    <xf numFmtId="0" fontId="40" fillId="80" borderId="56" xfId="0" applyFont="1" applyFill="1" applyBorder="1" applyProtection="1">
      <protection hidden="1"/>
    </xf>
    <xf numFmtId="0" fontId="40" fillId="80" borderId="56" xfId="0" quotePrefix="1" applyFont="1" applyFill="1" applyBorder="1" applyProtection="1">
      <protection hidden="1"/>
    </xf>
    <xf numFmtId="0" fontId="26" fillId="80" borderId="56" xfId="0" applyFont="1" applyFill="1" applyBorder="1"/>
    <xf numFmtId="0" fontId="40" fillId="80" borderId="10" xfId="0" applyFont="1" applyFill="1" applyBorder="1" applyProtection="1">
      <protection hidden="1"/>
    </xf>
    <xf numFmtId="0" fontId="40" fillId="80" borderId="29" xfId="0" applyFont="1" applyFill="1" applyBorder="1" applyProtection="1">
      <protection hidden="1"/>
    </xf>
    <xf numFmtId="0" fontId="40" fillId="80" borderId="8" xfId="0" applyFont="1" applyFill="1" applyBorder="1" applyAlignment="1" applyProtection="1">
      <alignment horizontal="center"/>
      <protection hidden="1"/>
    </xf>
    <xf numFmtId="0" fontId="26" fillId="80" borderId="60" xfId="0" applyFont="1" applyFill="1" applyBorder="1"/>
    <xf numFmtId="0" fontId="26" fillId="80" borderId="63" xfId="0" applyFont="1" applyFill="1" applyBorder="1"/>
    <xf numFmtId="0" fontId="70" fillId="80" borderId="63" xfId="0" applyFont="1" applyFill="1" applyBorder="1" applyAlignment="1">
      <alignment horizontal="center"/>
    </xf>
    <xf numFmtId="0" fontId="40" fillId="0" borderId="56" xfId="0" applyFont="1" applyBorder="1" applyAlignment="1" applyProtection="1">
      <alignment horizontal="center"/>
      <protection hidden="1"/>
    </xf>
    <xf numFmtId="0" fontId="73" fillId="0" borderId="56" xfId="0" applyFont="1" applyBorder="1"/>
    <xf numFmtId="0" fontId="40" fillId="80" borderId="0" xfId="0" applyFont="1" applyFill="1" applyProtection="1">
      <protection hidden="1"/>
    </xf>
    <xf numFmtId="0" fontId="40" fillId="80" borderId="63" xfId="0" applyFont="1" applyFill="1" applyBorder="1" applyAlignment="1" applyProtection="1">
      <alignment horizontal="center"/>
      <protection hidden="1"/>
    </xf>
    <xf numFmtId="0" fontId="0" fillId="80" borderId="55" xfId="0" applyFill="1" applyBorder="1"/>
    <xf numFmtId="0" fontId="304" fillId="80" borderId="55" xfId="0" applyFont="1" applyFill="1" applyBorder="1" applyAlignment="1">
      <alignment vertical="center" wrapText="1"/>
    </xf>
    <xf numFmtId="0" fontId="40" fillId="80" borderId="0" xfId="0" applyFont="1" applyFill="1" applyAlignment="1" applyProtection="1">
      <alignment horizontal="center"/>
      <protection hidden="1"/>
    </xf>
    <xf numFmtId="0" fontId="304" fillId="80" borderId="6" xfId="0" applyFont="1" applyFill="1" applyBorder="1" applyAlignment="1">
      <alignment vertical="center" wrapText="1"/>
    </xf>
    <xf numFmtId="0" fontId="40" fillId="80" borderId="55" xfId="0" applyFont="1" applyFill="1" applyBorder="1" applyAlignment="1" applyProtection="1">
      <alignment horizontal="right"/>
      <protection hidden="1"/>
    </xf>
    <xf numFmtId="0" fontId="70" fillId="80" borderId="55" xfId="0" applyFont="1" applyFill="1" applyBorder="1" applyAlignment="1">
      <alignment horizontal="right"/>
    </xf>
    <xf numFmtId="0" fontId="40" fillId="80" borderId="55" xfId="0" applyFont="1" applyFill="1" applyBorder="1" applyAlignment="1" applyProtection="1">
      <alignment horizontal="right" indent="1"/>
      <protection hidden="1"/>
    </xf>
    <xf numFmtId="0" fontId="70" fillId="80" borderId="2" xfId="0" applyFont="1" applyFill="1" applyBorder="1" applyAlignment="1">
      <alignment horizontal="right" indent="1"/>
    </xf>
    <xf numFmtId="0" fontId="70" fillId="80" borderId="1" xfId="0" applyFont="1" applyFill="1" applyBorder="1" applyAlignment="1">
      <alignment horizontal="right" indent="1"/>
    </xf>
    <xf numFmtId="0" fontId="70" fillId="80" borderId="55" xfId="0" applyFont="1" applyFill="1" applyBorder="1" applyAlignment="1">
      <alignment horizontal="right" indent="1"/>
    </xf>
    <xf numFmtId="0" fontId="70" fillId="0" borderId="8" xfId="0" applyFont="1" applyBorder="1"/>
    <xf numFmtId="0" fontId="70" fillId="0" borderId="0" xfId="0" applyFont="1" applyAlignment="1">
      <alignment vertical="center" wrapText="1"/>
    </xf>
    <xf numFmtId="0" fontId="114" fillId="0" borderId="62" xfId="0" applyFont="1" applyBorder="1" applyAlignment="1" applyProtection="1">
      <alignment wrapText="1"/>
      <protection hidden="1"/>
    </xf>
    <xf numFmtId="0" fontId="282" fillId="0" borderId="0" xfId="4" applyFont="1" applyAlignment="1" applyProtection="1">
      <protection hidden="1"/>
    </xf>
    <xf numFmtId="0" fontId="63" fillId="0" borderId="0" xfId="0" applyFont="1" applyProtection="1">
      <protection hidden="1"/>
    </xf>
    <xf numFmtId="0" fontId="75" fillId="0" borderId="0" xfId="0" applyFont="1" applyAlignment="1">
      <alignment horizontal="left" vertical="center" wrapText="1" indent="3"/>
    </xf>
    <xf numFmtId="191" fontId="73" fillId="7" borderId="55" xfId="0" applyNumberFormat="1" applyFont="1" applyFill="1" applyBorder="1" applyAlignment="1" applyProtection="1">
      <alignment horizontal="center"/>
      <protection locked="0"/>
    </xf>
    <xf numFmtId="0" fontId="270" fillId="0" borderId="55" xfId="0" applyFont="1" applyBorder="1" applyAlignment="1">
      <alignment horizontal="left"/>
    </xf>
    <xf numFmtId="0" fontId="0" fillId="0" borderId="58" xfId="0" applyBorder="1"/>
    <xf numFmtId="176" fontId="0" fillId="0" borderId="58" xfId="0" applyNumberFormat="1" applyBorder="1"/>
    <xf numFmtId="0" fontId="270" fillId="0" borderId="63" xfId="0" applyFont="1" applyBorder="1" applyAlignment="1">
      <alignment horizontal="left"/>
    </xf>
    <xf numFmtId="176" fontId="0" fillId="0" borderId="62" xfId="0" applyNumberFormat="1" applyBorder="1"/>
    <xf numFmtId="0" fontId="0" fillId="0" borderId="58" xfId="0" applyBorder="1" applyProtection="1">
      <protection locked="0"/>
    </xf>
    <xf numFmtId="176" fontId="0" fillId="0" borderId="58" xfId="0" applyNumberFormat="1" applyBorder="1" applyProtection="1">
      <protection locked="0"/>
    </xf>
    <xf numFmtId="0" fontId="0" fillId="0" borderId="56" xfId="0" applyBorder="1" applyProtection="1">
      <protection locked="0"/>
    </xf>
    <xf numFmtId="176" fontId="88" fillId="0" borderId="0" xfId="0" applyNumberFormat="1" applyFont="1" applyAlignment="1">
      <alignment horizontal="center"/>
    </xf>
    <xf numFmtId="0" fontId="40" fillId="16" borderId="55" xfId="0" applyFont="1" applyFill="1" applyBorder="1" applyAlignment="1" applyProtection="1">
      <alignment horizontal="right"/>
      <protection hidden="1"/>
    </xf>
    <xf numFmtId="0" fontId="70" fillId="16" borderId="55" xfId="0" applyFont="1" applyFill="1" applyBorder="1" applyAlignment="1">
      <alignment horizontal="right"/>
    </xf>
    <xf numFmtId="0" fontId="40" fillId="16" borderId="55" xfId="0" applyFont="1" applyFill="1" applyBorder="1" applyAlignment="1" applyProtection="1">
      <alignment horizontal="right" indent="1"/>
      <protection hidden="1"/>
    </xf>
    <xf numFmtId="0" fontId="70" fillId="16" borderId="2" xfId="0" applyFont="1" applyFill="1" applyBorder="1" applyAlignment="1">
      <alignment horizontal="right" indent="1"/>
    </xf>
    <xf numFmtId="0" fontId="10" fillId="9" borderId="8" xfId="0" applyFont="1" applyFill="1" applyBorder="1" applyAlignment="1" applyProtection="1">
      <alignment horizontal="center" wrapText="1"/>
      <protection hidden="1"/>
    </xf>
    <xf numFmtId="0" fontId="73" fillId="0" borderId="62" xfId="0" applyFont="1" applyBorder="1" applyProtection="1">
      <protection hidden="1"/>
    </xf>
    <xf numFmtId="0" fontId="75" fillId="0" borderId="8" xfId="0" applyFont="1" applyBorder="1" applyAlignment="1">
      <alignment horizontal="left" vertical="top" indent="2"/>
    </xf>
    <xf numFmtId="0" fontId="230" fillId="0" borderId="6" xfId="0" applyFont="1" applyBorder="1" applyAlignment="1">
      <alignment horizontal="left" vertical="top" indent="2"/>
    </xf>
    <xf numFmtId="192" fontId="73" fillId="7" borderId="1" xfId="0" applyNumberFormat="1" applyFont="1" applyFill="1" applyBorder="1" applyAlignment="1" applyProtection="1">
      <alignment horizontal="center"/>
      <protection hidden="1"/>
    </xf>
    <xf numFmtId="0" fontId="74" fillId="0" borderId="0" xfId="0" applyFont="1" applyAlignment="1">
      <alignment horizontal="left" vertical="top"/>
    </xf>
    <xf numFmtId="0" fontId="80" fillId="7" borderId="0" xfId="0" applyFont="1" applyFill="1" applyAlignment="1">
      <alignment vertical="top"/>
    </xf>
    <xf numFmtId="14" fontId="9" fillId="7" borderId="0" xfId="0" applyNumberFormat="1" applyFont="1" applyFill="1" applyAlignment="1">
      <alignment horizontal="left" indent="4"/>
    </xf>
    <xf numFmtId="14" fontId="81" fillId="0" borderId="0" xfId="0" applyNumberFormat="1" applyFont="1" applyAlignment="1">
      <alignment vertical="top"/>
    </xf>
    <xf numFmtId="0" fontId="9" fillId="0" borderId="0" xfId="0" applyFont="1" applyAlignment="1">
      <alignment horizontal="left" vertical="center"/>
    </xf>
    <xf numFmtId="14" fontId="73" fillId="0" borderId="0" xfId="0" applyNumberFormat="1" applyFont="1"/>
    <xf numFmtId="0" fontId="33" fillId="0" borderId="9" xfId="0" applyFont="1" applyBorder="1" applyProtection="1">
      <protection hidden="1"/>
    </xf>
    <xf numFmtId="0" fontId="100" fillId="81" borderId="58" xfId="0" applyFont="1" applyFill="1" applyBorder="1" applyAlignment="1" applyProtection="1">
      <alignment horizontal="left"/>
      <protection hidden="1"/>
    </xf>
    <xf numFmtId="0" fontId="7" fillId="5" borderId="0" xfId="0" applyFont="1" applyFill="1" applyAlignment="1" applyProtection="1">
      <alignment horizontal="center" wrapText="1"/>
      <protection hidden="1"/>
    </xf>
    <xf numFmtId="0" fontId="76" fillId="0" borderId="62" xfId="0" applyFont="1" applyBorder="1"/>
    <xf numFmtId="0" fontId="0" fillId="0" borderId="6" xfId="0" applyBorder="1"/>
    <xf numFmtId="0" fontId="75" fillId="0" borderId="58" xfId="0" applyFont="1" applyBorder="1"/>
    <xf numFmtId="0" fontId="75" fillId="0" borderId="57" xfId="0" applyFont="1" applyBorder="1"/>
    <xf numFmtId="0" fontId="75" fillId="0" borderId="8" xfId="0" applyFont="1" applyBorder="1"/>
    <xf numFmtId="0" fontId="75" fillId="0" borderId="56" xfId="0" applyFont="1" applyBorder="1"/>
    <xf numFmtId="0" fontId="76" fillId="0" borderId="57" xfId="0" applyFont="1" applyBorder="1"/>
    <xf numFmtId="0" fontId="76" fillId="0" borderId="58" xfId="0" applyFont="1" applyBorder="1"/>
    <xf numFmtId="0" fontId="75" fillId="0" borderId="61" xfId="0" applyFont="1" applyBorder="1"/>
    <xf numFmtId="0" fontId="75" fillId="0" borderId="57" xfId="0" applyFont="1" applyBorder="1" applyAlignment="1">
      <alignment vertical="center"/>
    </xf>
    <xf numFmtId="0" fontId="75" fillId="0" borderId="61" xfId="0" applyFont="1" applyBorder="1" applyAlignment="1">
      <alignment vertical="center"/>
    </xf>
    <xf numFmtId="0" fontId="305" fillId="0" borderId="62" xfId="0" applyFont="1" applyBorder="1"/>
    <xf numFmtId="0" fontId="0" fillId="0" borderId="57" xfId="0" applyBorder="1"/>
    <xf numFmtId="0" fontId="233" fillId="0" borderId="61" xfId="0" applyFont="1" applyBorder="1" applyAlignment="1">
      <alignment vertical="center"/>
    </xf>
    <xf numFmtId="0" fontId="0" fillId="0" borderId="0" xfId="0" applyAlignment="1">
      <alignment horizontal="left" vertical="center" indent="2"/>
    </xf>
    <xf numFmtId="0" fontId="71" fillId="0" borderId="0" xfId="0" applyFont="1" applyAlignment="1">
      <alignment horizontal="left" vertical="center" indent="2"/>
    </xf>
    <xf numFmtId="0" fontId="76" fillId="0" borderId="6" xfId="0" applyFont="1" applyBorder="1" applyAlignment="1">
      <alignment horizontal="left" vertical="center" indent="2"/>
    </xf>
    <xf numFmtId="0" fontId="244" fillId="0" borderId="6" xfId="0" applyFont="1" applyBorder="1" applyAlignment="1">
      <alignment horizontal="left" vertical="top" indent="2"/>
    </xf>
    <xf numFmtId="0" fontId="76" fillId="0" borderId="0" xfId="0" applyFont="1" applyAlignment="1">
      <alignment horizontal="left" vertical="top" indent="2"/>
    </xf>
    <xf numFmtId="0" fontId="244" fillId="0" borderId="6" xfId="0" applyFont="1" applyBorder="1" applyAlignment="1">
      <alignment horizontal="left" indent="2"/>
    </xf>
    <xf numFmtId="0" fontId="75" fillId="0" borderId="8" xfId="0" applyFont="1" applyBorder="1" applyAlignment="1">
      <alignment horizontal="left" vertical="center" indent="15"/>
    </xf>
    <xf numFmtId="0" fontId="76" fillId="0" borderId="6" xfId="0" applyFont="1" applyBorder="1" applyAlignment="1">
      <alignment horizontal="left" indent="2"/>
    </xf>
    <xf numFmtId="0" fontId="307" fillId="0" borderId="0" xfId="4" applyFont="1" applyFill="1" applyAlignment="1" applyProtection="1"/>
    <xf numFmtId="0" fontId="233" fillId="0" borderId="6" xfId="0" applyFont="1" applyBorder="1" applyAlignment="1">
      <alignment horizontal="left"/>
    </xf>
    <xf numFmtId="0" fontId="305" fillId="0" borderId="58" xfId="0" applyFont="1" applyBorder="1"/>
    <xf numFmtId="0" fontId="306" fillId="0" borderId="6" xfId="0" applyFont="1" applyBorder="1"/>
    <xf numFmtId="0" fontId="244" fillId="0" borderId="0" xfId="0" applyFont="1"/>
    <xf numFmtId="0" fontId="6" fillId="0" borderId="55" xfId="0" applyFont="1" applyBorder="1" applyAlignment="1" applyProtection="1">
      <alignment horizontal="center" wrapText="1"/>
      <protection locked="0" hidden="1"/>
    </xf>
    <xf numFmtId="0" fontId="6" fillId="0" borderId="1" xfId="0" applyFont="1" applyBorder="1" applyAlignment="1" applyProtection="1">
      <alignment horizontal="center" wrapText="1"/>
      <protection locked="0" hidden="1"/>
    </xf>
    <xf numFmtId="0" fontId="75" fillId="0" borderId="0" xfId="0" applyFont="1" applyAlignment="1" applyProtection="1">
      <alignment vertical="top"/>
      <protection hidden="1"/>
    </xf>
    <xf numFmtId="0" fontId="75" fillId="0" borderId="0" xfId="0" applyFont="1" applyAlignment="1">
      <alignment horizontal="left" vertical="center" indent="3"/>
    </xf>
    <xf numFmtId="0" fontId="75" fillId="0" borderId="0" xfId="0" applyFont="1" applyAlignment="1">
      <alignment horizontal="left" vertical="center" indent="8"/>
    </xf>
    <xf numFmtId="0" fontId="75" fillId="0" borderId="0" xfId="0" applyFont="1" applyAlignment="1">
      <alignment horizontal="left" vertical="center" indent="9"/>
    </xf>
    <xf numFmtId="0" fontId="273" fillId="0" borderId="0" xfId="0" applyFont="1" applyAlignment="1">
      <alignment horizontal="left" vertical="center" indent="9"/>
    </xf>
    <xf numFmtId="0" fontId="75" fillId="0" borderId="0" xfId="0" applyFont="1" applyAlignment="1">
      <alignment horizontal="left" indent="2"/>
    </xf>
    <xf numFmtId="0" fontId="75" fillId="0" borderId="0" xfId="0" applyFont="1" applyAlignment="1">
      <alignment horizontal="left" vertical="center" indent="2"/>
    </xf>
    <xf numFmtId="0" fontId="75" fillId="0" borderId="0" xfId="0" applyFont="1" applyAlignment="1">
      <alignment horizontal="left" vertical="center" indent="11"/>
    </xf>
    <xf numFmtId="0" fontId="75" fillId="0" borderId="0" xfId="0" applyFont="1" applyAlignment="1">
      <alignment horizontal="left" vertical="center" indent="15"/>
    </xf>
    <xf numFmtId="0" fontId="88" fillId="0" borderId="0" xfId="0" applyFont="1"/>
    <xf numFmtId="0" fontId="138" fillId="0" borderId="0" xfId="0" applyFont="1" applyAlignment="1" applyProtection="1">
      <alignment vertical="top" wrapText="1"/>
      <protection hidden="1"/>
    </xf>
    <xf numFmtId="0" fontId="301" fillId="0" borderId="0" xfId="0" applyFont="1" applyAlignment="1" applyProtection="1">
      <alignment horizontal="center" vertical="top" wrapText="1"/>
      <protection hidden="1"/>
    </xf>
    <xf numFmtId="0" fontId="282" fillId="0" borderId="0" xfId="4" applyFont="1" applyFill="1" applyAlignment="1" applyProtection="1"/>
    <xf numFmtId="14" fontId="71" fillId="0" borderId="0" xfId="0" applyNumberFormat="1" applyFont="1"/>
    <xf numFmtId="14" fontId="0" fillId="0" borderId="0" xfId="0" applyNumberFormat="1"/>
    <xf numFmtId="195" fontId="55" fillId="88" borderId="0" xfId="22" applyNumberFormat="1" applyFill="1" applyAlignment="1">
      <alignment horizontal="center"/>
    </xf>
    <xf numFmtId="195" fontId="91" fillId="88" borderId="0" xfId="25" applyNumberFormat="1" applyFont="1" applyFill="1" applyBorder="1" applyAlignment="1">
      <alignment horizontal="center"/>
    </xf>
    <xf numFmtId="196" fontId="91" fillId="88" borderId="0" xfId="25" applyNumberFormat="1" applyFont="1" applyFill="1" applyBorder="1" applyAlignment="1">
      <alignment horizontal="center"/>
    </xf>
    <xf numFmtId="166" fontId="0" fillId="88" borderId="0" xfId="0" applyNumberFormat="1" applyFill="1"/>
    <xf numFmtId="43" fontId="70" fillId="9" borderId="1" xfId="0" applyNumberFormat="1" applyFont="1" applyFill="1" applyBorder="1" applyAlignment="1">
      <alignment wrapText="1"/>
    </xf>
    <xf numFmtId="2" fontId="0" fillId="0" borderId="60" xfId="0" applyNumberFormat="1" applyBorder="1" applyProtection="1">
      <protection hidden="1"/>
    </xf>
    <xf numFmtId="43" fontId="70" fillId="0" borderId="1" xfId="1" applyFont="1" applyFill="1" applyBorder="1" applyAlignment="1">
      <alignment wrapText="1"/>
    </xf>
    <xf numFmtId="44" fontId="70" fillId="0" borderId="1" xfId="2" applyFont="1" applyFill="1" applyBorder="1" applyAlignment="1">
      <alignment wrapText="1"/>
    </xf>
    <xf numFmtId="9" fontId="70" fillId="0" borderId="1" xfId="21" applyFont="1" applyFill="1" applyBorder="1" applyAlignment="1">
      <alignment wrapText="1"/>
    </xf>
    <xf numFmtId="172" fontId="70" fillId="0" borderId="1" xfId="2" applyNumberFormat="1" applyFont="1" applyFill="1" applyBorder="1" applyAlignment="1">
      <alignment wrapText="1"/>
    </xf>
    <xf numFmtId="2" fontId="70" fillId="0" borderId="1" xfId="2" applyNumberFormat="1" applyFont="1" applyFill="1" applyBorder="1" applyAlignment="1">
      <alignment wrapText="1"/>
    </xf>
    <xf numFmtId="0" fontId="32" fillId="7" borderId="1" xfId="0" applyFont="1" applyFill="1" applyBorder="1" applyAlignment="1" applyProtection="1">
      <alignment horizontal="center" wrapText="1"/>
      <protection hidden="1"/>
    </xf>
    <xf numFmtId="0" fontId="0" fillId="12" borderId="1" xfId="0" applyFill="1" applyBorder="1" applyAlignment="1" applyProtection="1">
      <alignment wrapText="1"/>
      <protection hidden="1"/>
    </xf>
    <xf numFmtId="3" fontId="0" fillId="12" borderId="1" xfId="0" applyNumberFormat="1" applyFill="1" applyBorder="1" applyAlignment="1" applyProtection="1">
      <alignment wrapText="1"/>
      <protection hidden="1"/>
    </xf>
    <xf numFmtId="176" fontId="70" fillId="0" borderId="0" xfId="0" applyNumberFormat="1" applyFont="1"/>
    <xf numFmtId="0" fontId="70" fillId="14" borderId="1" xfId="0" applyFont="1" applyFill="1" applyBorder="1" applyProtection="1">
      <protection hidden="1"/>
    </xf>
    <xf numFmtId="0" fontId="32" fillId="14" borderId="15" xfId="0" applyFont="1" applyFill="1" applyBorder="1"/>
    <xf numFmtId="0" fontId="32" fillId="14" borderId="15" xfId="0" applyFont="1" applyFill="1" applyBorder="1" applyAlignment="1" applyProtection="1">
      <alignment horizontal="center" wrapText="1"/>
      <protection hidden="1"/>
    </xf>
    <xf numFmtId="0" fontId="4" fillId="9" borderId="15" xfId="0" applyFont="1" applyFill="1" applyBorder="1" applyAlignment="1" applyProtection="1">
      <alignment horizontal="center" vertical="center" wrapText="1"/>
      <protection hidden="1"/>
    </xf>
    <xf numFmtId="0" fontId="2" fillId="9" borderId="15" xfId="0" applyFont="1" applyFill="1" applyBorder="1" applyAlignment="1" applyProtection="1">
      <alignment horizontal="center" vertical="center" wrapText="1"/>
      <protection hidden="1"/>
    </xf>
    <xf numFmtId="0" fontId="73" fillId="7" borderId="0" xfId="0" applyFont="1" applyFill="1" applyAlignment="1" applyProtection="1">
      <alignment horizontal="left" wrapText="1"/>
      <protection hidden="1"/>
    </xf>
    <xf numFmtId="0" fontId="73" fillId="7" borderId="0" xfId="0" applyFont="1" applyFill="1" applyAlignment="1" applyProtection="1">
      <alignment horizontal="left"/>
      <protection hidden="1"/>
    </xf>
    <xf numFmtId="0" fontId="73" fillId="7" borderId="7" xfId="0" applyFont="1" applyFill="1" applyBorder="1" applyAlignment="1" applyProtection="1">
      <alignment horizontal="left"/>
      <protection hidden="1"/>
    </xf>
    <xf numFmtId="0" fontId="80" fillId="7" borderId="0" xfId="0" applyFont="1" applyFill="1" applyAlignment="1" applyProtection="1">
      <alignment horizontal="left" wrapText="1"/>
      <protection hidden="1"/>
    </xf>
    <xf numFmtId="0" fontId="74" fillId="7" borderId="0" xfId="0" applyFont="1" applyFill="1" applyAlignment="1" applyProtection="1">
      <alignment horizontal="left" vertical="top" wrapText="1"/>
      <protection hidden="1"/>
    </xf>
    <xf numFmtId="176" fontId="155" fillId="7" borderId="0" xfId="0" applyNumberFormat="1" applyFont="1" applyFill="1" applyAlignment="1" applyProtection="1">
      <alignment horizontal="left" vertical="center" wrapText="1"/>
      <protection hidden="1"/>
    </xf>
    <xf numFmtId="0" fontId="15" fillId="0" borderId="57" xfId="0" applyFont="1" applyBorder="1" applyAlignment="1" applyProtection="1">
      <alignment horizontal="left"/>
      <protection locked="0"/>
    </xf>
    <xf numFmtId="0" fontId="73" fillId="0" borderId="58" xfId="0" applyFont="1" applyBorder="1" applyAlignment="1" applyProtection="1">
      <alignment horizontal="left"/>
      <protection locked="0"/>
    </xf>
    <xf numFmtId="0" fontId="73" fillId="0" borderId="56" xfId="0" applyFont="1" applyBorder="1" applyAlignment="1" applyProtection="1">
      <alignment horizontal="left"/>
      <protection locked="0"/>
    </xf>
    <xf numFmtId="178" fontId="8" fillId="0" borderId="57" xfId="0" applyNumberFormat="1" applyFont="1" applyBorder="1" applyAlignment="1" applyProtection="1">
      <alignment horizontal="left"/>
      <protection locked="0"/>
    </xf>
    <xf numFmtId="178" fontId="73" fillId="0" borderId="58" xfId="0" applyNumberFormat="1" applyFont="1" applyBorder="1" applyAlignment="1" applyProtection="1">
      <alignment horizontal="left"/>
      <protection locked="0"/>
    </xf>
    <xf numFmtId="178" fontId="73" fillId="0" borderId="56" xfId="0" applyNumberFormat="1" applyFont="1" applyBorder="1" applyAlignment="1" applyProtection="1">
      <alignment horizontal="left"/>
      <protection locked="0"/>
    </xf>
    <xf numFmtId="0" fontId="35" fillId="0" borderId="57" xfId="4" applyBorder="1" applyAlignment="1" applyProtection="1">
      <alignment horizontal="left"/>
      <protection locked="0"/>
    </xf>
    <xf numFmtId="49" fontId="15" fillId="0" borderId="57" xfId="0" applyNumberFormat="1" applyFont="1" applyBorder="1" applyAlignment="1" applyProtection="1">
      <alignment horizontal="left"/>
      <protection locked="0"/>
    </xf>
    <xf numFmtId="49" fontId="73" fillId="0" borderId="58" xfId="0" applyNumberFormat="1" applyFont="1" applyBorder="1" applyAlignment="1" applyProtection="1">
      <alignment horizontal="left"/>
      <protection locked="0"/>
    </xf>
    <xf numFmtId="49" fontId="73" fillId="0" borderId="56" xfId="0" applyNumberFormat="1" applyFont="1" applyBorder="1" applyAlignment="1" applyProtection="1">
      <alignment horizontal="left"/>
      <protection locked="0"/>
    </xf>
    <xf numFmtId="0" fontId="8" fillId="0" borderId="57" xfId="0" applyFont="1" applyBorder="1" applyAlignment="1" applyProtection="1">
      <alignment horizontal="left"/>
      <protection locked="0"/>
    </xf>
    <xf numFmtId="178" fontId="15" fillId="0" borderId="57" xfId="0" applyNumberFormat="1" applyFont="1" applyBorder="1" applyAlignment="1" applyProtection="1">
      <alignment horizontal="left"/>
      <protection locked="0"/>
    </xf>
    <xf numFmtId="178" fontId="73" fillId="0" borderId="57" xfId="0" applyNumberFormat="1" applyFont="1" applyBorder="1" applyAlignment="1" applyProtection="1">
      <alignment horizontal="left"/>
      <protection locked="0"/>
    </xf>
    <xf numFmtId="0" fontId="15" fillId="0" borderId="57" xfId="0" applyFont="1" applyBorder="1" applyAlignment="1" applyProtection="1">
      <alignment horizontal="center"/>
      <protection locked="0"/>
    </xf>
    <xf numFmtId="0" fontId="73" fillId="0" borderId="58" xfId="0" applyFont="1" applyBorder="1" applyAlignment="1" applyProtection="1">
      <alignment horizontal="center"/>
      <protection locked="0"/>
    </xf>
    <xf numFmtId="0" fontId="73" fillId="0" borderId="56" xfId="0" applyFont="1" applyBorder="1" applyAlignment="1" applyProtection="1">
      <alignment horizontal="center"/>
      <protection locked="0"/>
    </xf>
    <xf numFmtId="174" fontId="73" fillId="0" borderId="57" xfId="0" applyNumberFormat="1" applyFont="1" applyBorder="1" applyAlignment="1" applyProtection="1">
      <alignment horizontal="left"/>
      <protection locked="0"/>
    </xf>
    <xf numFmtId="174" fontId="73" fillId="0" borderId="58" xfId="0" applyNumberFormat="1" applyFont="1" applyBorder="1" applyAlignment="1" applyProtection="1">
      <alignment horizontal="left"/>
      <protection locked="0"/>
    </xf>
    <xf numFmtId="174" fontId="73" fillId="0" borderId="56" xfId="0" applyNumberFormat="1" applyFont="1" applyBorder="1" applyAlignment="1" applyProtection="1">
      <alignment horizontal="left"/>
      <protection locked="0"/>
    </xf>
    <xf numFmtId="14" fontId="77" fillId="0" borderId="14" xfId="0" applyNumberFormat="1" applyFont="1" applyBorder="1" applyAlignment="1" applyProtection="1">
      <alignment horizontal="center"/>
      <protection hidden="1"/>
    </xf>
    <xf numFmtId="14" fontId="77" fillId="0" borderId="2" xfId="0" applyNumberFormat="1" applyFont="1" applyBorder="1" applyAlignment="1" applyProtection="1">
      <alignment horizontal="center"/>
      <protection hidden="1"/>
    </xf>
    <xf numFmtId="0" fontId="84" fillId="7" borderId="0" xfId="0" applyFont="1" applyFill="1" applyAlignment="1" applyProtection="1">
      <alignment horizontal="center" wrapText="1"/>
      <protection hidden="1"/>
    </xf>
    <xf numFmtId="14" fontId="73" fillId="0" borderId="15" xfId="0" applyNumberFormat="1" applyFont="1" applyBorder="1" applyAlignment="1" applyProtection="1">
      <alignment horizontal="center"/>
      <protection locked="0"/>
    </xf>
    <xf numFmtId="14" fontId="73" fillId="0" borderId="14" xfId="0" applyNumberFormat="1" applyFont="1" applyBorder="1" applyAlignment="1" applyProtection="1">
      <alignment horizontal="center"/>
      <protection locked="0"/>
    </xf>
    <xf numFmtId="14" fontId="73" fillId="0" borderId="2" xfId="0" applyNumberFormat="1" applyFont="1" applyBorder="1" applyAlignment="1" applyProtection="1">
      <alignment horizontal="center"/>
      <protection locked="0"/>
    </xf>
    <xf numFmtId="0" fontId="35" fillId="0" borderId="55" xfId="4" applyBorder="1" applyAlignment="1" applyProtection="1">
      <alignment horizontal="left"/>
      <protection locked="0"/>
    </xf>
    <xf numFmtId="0" fontId="73" fillId="0" borderId="55" xfId="0" applyFont="1" applyBorder="1" applyAlignment="1" applyProtection="1">
      <alignment horizontal="left"/>
      <protection locked="0"/>
    </xf>
    <xf numFmtId="0" fontId="11" fillId="0" borderId="57" xfId="0" applyFont="1" applyBorder="1" applyAlignment="1" applyProtection="1">
      <alignment horizontal="left"/>
      <protection locked="0"/>
    </xf>
    <xf numFmtId="0" fontId="73" fillId="17" borderId="15" xfId="0" applyFont="1" applyFill="1" applyBorder="1" applyAlignment="1" applyProtection="1">
      <alignment horizontal="center"/>
      <protection locked="0" hidden="1"/>
    </xf>
    <xf numFmtId="0" fontId="73" fillId="17" borderId="14" xfId="0" applyFont="1" applyFill="1" applyBorder="1" applyAlignment="1" applyProtection="1">
      <alignment horizontal="center"/>
      <protection locked="0" hidden="1"/>
    </xf>
    <xf numFmtId="0" fontId="73" fillId="17" borderId="2" xfId="0" applyFont="1" applyFill="1" applyBorder="1" applyAlignment="1" applyProtection="1">
      <alignment horizontal="center"/>
      <protection locked="0" hidden="1"/>
    </xf>
    <xf numFmtId="0" fontId="73" fillId="6" borderId="57" xfId="0" applyFont="1" applyFill="1" applyBorder="1" applyAlignment="1" applyProtection="1">
      <alignment horizontal="center"/>
      <protection locked="0"/>
    </xf>
    <xf numFmtId="0" fontId="73" fillId="6" borderId="58" xfId="0" applyFont="1" applyFill="1" applyBorder="1" applyAlignment="1" applyProtection="1">
      <alignment horizontal="center"/>
      <protection locked="0"/>
    </xf>
    <xf numFmtId="0" fontId="73" fillId="6" borderId="56" xfId="0" applyFont="1" applyFill="1" applyBorder="1" applyAlignment="1" applyProtection="1">
      <alignment horizontal="center"/>
      <protection locked="0"/>
    </xf>
    <xf numFmtId="0" fontId="73" fillId="0" borderId="57" xfId="0" applyFont="1" applyBorder="1" applyAlignment="1" applyProtection="1">
      <alignment horizontal="left"/>
      <protection locked="0"/>
    </xf>
    <xf numFmtId="0" fontId="261" fillId="0" borderId="0" xfId="0" applyFont="1" applyAlignment="1" applyProtection="1">
      <alignment horizontal="center" vertical="top"/>
      <protection hidden="1"/>
    </xf>
    <xf numFmtId="168" fontId="73" fillId="0" borderId="55" xfId="0" applyNumberFormat="1" applyFont="1" applyBorder="1" applyAlignment="1" applyProtection="1">
      <alignment horizontal="center"/>
      <protection locked="0"/>
    </xf>
    <xf numFmtId="0" fontId="147" fillId="7" borderId="9" xfId="0" applyFont="1" applyFill="1" applyBorder="1" applyAlignment="1" applyProtection="1">
      <alignment horizontal="center" wrapText="1"/>
      <protection hidden="1"/>
    </xf>
    <xf numFmtId="1" fontId="73" fillId="0" borderId="57" xfId="0" applyNumberFormat="1" applyFont="1" applyBorder="1" applyAlignment="1" applyProtection="1">
      <alignment horizontal="left"/>
      <protection locked="0"/>
    </xf>
    <xf numFmtId="1" fontId="73" fillId="0" borderId="58" xfId="0" applyNumberFormat="1" applyFont="1" applyBorder="1" applyAlignment="1" applyProtection="1">
      <alignment horizontal="left"/>
      <protection locked="0"/>
    </xf>
    <xf numFmtId="1" fontId="73" fillId="0" borderId="56" xfId="0" applyNumberFormat="1" applyFont="1" applyBorder="1" applyAlignment="1" applyProtection="1">
      <alignment horizontal="left"/>
      <protection locked="0"/>
    </xf>
    <xf numFmtId="0" fontId="37" fillId="5" borderId="15" xfId="0" applyFont="1" applyFill="1" applyBorder="1" applyAlignment="1" applyProtection="1">
      <alignment horizontal="center"/>
      <protection hidden="1"/>
    </xf>
    <xf numFmtId="0" fontId="37" fillId="5" borderId="14" xfId="0" applyFont="1" applyFill="1" applyBorder="1" applyAlignment="1" applyProtection="1">
      <alignment horizontal="center"/>
      <protection hidden="1"/>
    </xf>
    <xf numFmtId="0" fontId="37" fillId="5" borderId="2" xfId="0" applyFont="1" applyFill="1" applyBorder="1" applyAlignment="1" applyProtection="1">
      <alignment horizontal="center"/>
      <protection hidden="1"/>
    </xf>
    <xf numFmtId="14" fontId="73" fillId="7" borderId="0" xfId="0" applyNumberFormat="1" applyFont="1" applyFill="1" applyAlignment="1" applyProtection="1">
      <alignment horizontal="right"/>
      <protection hidden="1"/>
    </xf>
    <xf numFmtId="0" fontId="73" fillId="7" borderId="0" xfId="0" applyFont="1" applyFill="1" applyAlignment="1" applyProtection="1">
      <alignment horizontal="right"/>
      <protection hidden="1"/>
    </xf>
    <xf numFmtId="168" fontId="73" fillId="0" borderId="57" xfId="0" applyNumberFormat="1" applyFont="1" applyBorder="1" applyAlignment="1" applyProtection="1">
      <alignment horizontal="center"/>
      <protection locked="0"/>
    </xf>
    <xf numFmtId="168" fontId="73" fillId="0" borderId="58" xfId="0" applyNumberFormat="1" applyFont="1" applyBorder="1" applyAlignment="1" applyProtection="1">
      <alignment horizontal="center"/>
      <protection locked="0"/>
    </xf>
    <xf numFmtId="168" fontId="73" fillId="0" borderId="56" xfId="0" applyNumberFormat="1" applyFont="1" applyBorder="1" applyAlignment="1" applyProtection="1">
      <alignment horizontal="center"/>
      <protection locked="0"/>
    </xf>
    <xf numFmtId="0" fontId="96" fillId="7" borderId="0" xfId="0" applyFont="1" applyFill="1" applyAlignment="1" applyProtection="1">
      <alignment horizontal="left" vertical="top" wrapText="1"/>
      <protection hidden="1"/>
    </xf>
    <xf numFmtId="0" fontId="73" fillId="0" borderId="13"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3" fillId="0" borderId="9"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146" fillId="7" borderId="0" xfId="0" applyFont="1" applyFill="1" applyAlignment="1" applyProtection="1">
      <alignment horizontal="left" vertical="center" wrapText="1"/>
      <protection hidden="1"/>
    </xf>
    <xf numFmtId="0" fontId="96" fillId="0" borderId="0" xfId="0" applyFont="1" applyAlignment="1" applyProtection="1">
      <alignment horizontal="left" vertical="center" wrapText="1"/>
      <protection hidden="1"/>
    </xf>
    <xf numFmtId="0" fontId="147" fillId="7" borderId="0" xfId="0" applyFont="1" applyFill="1" applyAlignment="1" applyProtection="1">
      <alignment horizontal="center" wrapText="1"/>
      <protection hidden="1"/>
    </xf>
    <xf numFmtId="14" fontId="37" fillId="5" borderId="15" xfId="0" applyNumberFormat="1" applyFont="1" applyFill="1" applyBorder="1" applyAlignment="1" applyProtection="1">
      <alignment horizontal="center"/>
      <protection hidden="1"/>
    </xf>
    <xf numFmtId="0" fontId="131" fillId="5" borderId="15" xfId="0" applyFont="1" applyFill="1" applyBorder="1" applyAlignment="1" applyProtection="1">
      <alignment horizontal="center"/>
      <protection hidden="1"/>
    </xf>
    <xf numFmtId="0" fontId="131" fillId="5" borderId="14" xfId="0" applyFont="1" applyFill="1" applyBorder="1" applyAlignment="1" applyProtection="1">
      <alignment horizontal="center"/>
      <protection hidden="1"/>
    </xf>
    <xf numFmtId="0" fontId="131" fillId="5" borderId="2" xfId="0" applyFont="1" applyFill="1" applyBorder="1" applyAlignment="1" applyProtection="1">
      <alignment horizontal="center"/>
      <protection hidden="1"/>
    </xf>
    <xf numFmtId="3" fontId="74" fillId="7" borderId="11" xfId="0" applyNumberFormat="1" applyFont="1" applyFill="1" applyBorder="1" applyAlignment="1" applyProtection="1">
      <alignment horizontal="center" vertical="top"/>
      <protection hidden="1"/>
    </xf>
    <xf numFmtId="0" fontId="81" fillId="12" borderId="8" xfId="0" applyFont="1" applyFill="1" applyBorder="1" applyAlignment="1" applyProtection="1">
      <alignment horizontal="left" vertical="top" wrapText="1"/>
      <protection hidden="1"/>
    </xf>
    <xf numFmtId="0" fontId="81" fillId="12" borderId="9" xfId="0" applyFont="1" applyFill="1" applyBorder="1" applyAlignment="1" applyProtection="1">
      <alignment horizontal="left" vertical="top" wrapText="1"/>
      <protection hidden="1"/>
    </xf>
    <xf numFmtId="0" fontId="81" fillId="12" borderId="10" xfId="0" applyFont="1" applyFill="1" applyBorder="1" applyAlignment="1" applyProtection="1">
      <alignment horizontal="left" vertical="top" wrapText="1"/>
      <protection hidden="1"/>
    </xf>
    <xf numFmtId="0" fontId="147" fillId="7" borderId="0" xfId="0" applyFont="1" applyFill="1" applyAlignment="1" applyProtection="1">
      <alignment horizontal="left" vertical="center" wrapText="1"/>
      <protection hidden="1"/>
    </xf>
    <xf numFmtId="0" fontId="81" fillId="12" borderId="13" xfId="0" applyFont="1" applyFill="1" applyBorder="1" applyAlignment="1" applyProtection="1">
      <alignment horizontal="left" vertical="top" wrapText="1"/>
      <protection hidden="1"/>
    </xf>
    <xf numFmtId="0" fontId="81" fillId="12" borderId="11" xfId="0" applyFont="1" applyFill="1" applyBorder="1" applyAlignment="1" applyProtection="1">
      <alignment horizontal="left" vertical="top" wrapText="1"/>
      <protection hidden="1"/>
    </xf>
    <xf numFmtId="0" fontId="81" fillId="12" borderId="12" xfId="0" applyFont="1" applyFill="1" applyBorder="1" applyAlignment="1" applyProtection="1">
      <alignment horizontal="left" vertical="top" wrapText="1"/>
      <protection hidden="1"/>
    </xf>
    <xf numFmtId="0" fontId="81" fillId="0" borderId="13" xfId="0" applyFont="1" applyBorder="1" applyAlignment="1" applyProtection="1">
      <alignment horizontal="left" vertical="top" wrapText="1"/>
      <protection locked="0"/>
    </xf>
    <xf numFmtId="0" fontId="81" fillId="0" borderId="11" xfId="0" applyFont="1" applyBorder="1" applyAlignment="1" applyProtection="1">
      <alignment horizontal="left" vertical="top" wrapText="1"/>
      <protection locked="0"/>
    </xf>
    <xf numFmtId="0" fontId="81" fillId="0" borderId="12" xfId="0" applyFont="1" applyBorder="1" applyAlignment="1" applyProtection="1">
      <alignment horizontal="left" vertical="top" wrapText="1"/>
      <protection locked="0"/>
    </xf>
    <xf numFmtId="0" fontId="81" fillId="0" borderId="6" xfId="0" applyFont="1" applyBorder="1" applyAlignment="1" applyProtection="1">
      <alignment horizontal="left" vertical="top" wrapText="1"/>
      <protection locked="0"/>
    </xf>
    <xf numFmtId="0" fontId="81" fillId="0" borderId="0" xfId="0" applyFont="1" applyAlignment="1" applyProtection="1">
      <alignment horizontal="left" vertical="top" wrapText="1"/>
      <protection locked="0"/>
    </xf>
    <xf numFmtId="0" fontId="81" fillId="0" borderId="7" xfId="0" applyFont="1" applyBorder="1" applyAlignment="1" applyProtection="1">
      <alignment horizontal="left" vertical="top" wrapText="1"/>
      <protection locked="0"/>
    </xf>
    <xf numFmtId="0" fontId="81" fillId="0" borderId="8" xfId="0" applyFont="1" applyBorder="1" applyAlignment="1" applyProtection="1">
      <alignment horizontal="left" vertical="top" wrapText="1"/>
      <protection locked="0"/>
    </xf>
    <xf numFmtId="0" fontId="81" fillId="0" borderId="9" xfId="0" applyFont="1" applyBorder="1" applyAlignment="1" applyProtection="1">
      <alignment horizontal="left" vertical="top" wrapText="1"/>
      <protection locked="0"/>
    </xf>
    <xf numFmtId="0" fontId="81" fillId="0" borderId="10" xfId="0" applyFont="1" applyBorder="1" applyAlignment="1" applyProtection="1">
      <alignment horizontal="left" vertical="top" wrapText="1"/>
      <protection locked="0"/>
    </xf>
    <xf numFmtId="0" fontId="81" fillId="12" borderId="6" xfId="0" applyFont="1" applyFill="1" applyBorder="1" applyAlignment="1" applyProtection="1">
      <alignment horizontal="left" vertical="top" wrapText="1"/>
      <protection hidden="1"/>
    </xf>
    <xf numFmtId="0" fontId="81" fillId="12" borderId="0" xfId="0" applyFont="1" applyFill="1" applyAlignment="1" applyProtection="1">
      <alignment horizontal="left" vertical="top" wrapText="1"/>
      <protection hidden="1"/>
    </xf>
    <xf numFmtId="0" fontId="81" fillId="12" borderId="7" xfId="0" applyFont="1" applyFill="1" applyBorder="1" applyAlignment="1" applyProtection="1">
      <alignment horizontal="left" vertical="top" wrapText="1"/>
      <protection hidden="1"/>
    </xf>
    <xf numFmtId="0" fontId="147" fillId="7" borderId="0" xfId="0" applyFont="1" applyFill="1" applyAlignment="1" applyProtection="1">
      <alignment horizontal="center" vertical="top" wrapText="1"/>
      <protection hidden="1"/>
    </xf>
    <xf numFmtId="0" fontId="142" fillId="0" borderId="6" xfId="0" applyFont="1" applyBorder="1" applyAlignment="1">
      <alignment horizontal="center" wrapText="1"/>
    </xf>
    <xf numFmtId="0" fontId="142" fillId="0" borderId="0" xfId="0" applyFont="1" applyAlignment="1">
      <alignment horizontal="center" wrapText="1"/>
    </xf>
    <xf numFmtId="176" fontId="70" fillId="0" borderId="0" xfId="0" applyNumberFormat="1" applyFont="1" applyAlignment="1">
      <alignment horizontal="center" vertical="center"/>
    </xf>
    <xf numFmtId="0" fontId="70" fillId="0" borderId="0" xfId="0" applyFont="1" applyAlignment="1">
      <alignment horizontal="center" vertical="center"/>
    </xf>
    <xf numFmtId="0" fontId="227" fillId="0" borderId="0" xfId="4" applyFont="1" applyAlignment="1" applyProtection="1">
      <alignment horizontal="left"/>
    </xf>
    <xf numFmtId="0" fontId="253" fillId="0" borderId="0" xfId="4" applyFont="1" applyAlignment="1" applyProtection="1">
      <alignment horizontal="left"/>
    </xf>
    <xf numFmtId="176" fontId="70" fillId="0" borderId="0" xfId="0" applyNumberFormat="1" applyFont="1" applyAlignment="1">
      <alignment horizontal="left"/>
    </xf>
    <xf numFmtId="0" fontId="70" fillId="0" borderId="0" xfId="0" applyFont="1" applyAlignment="1">
      <alignment horizontal="center"/>
    </xf>
    <xf numFmtId="176" fontId="70" fillId="7" borderId="1" xfId="0" applyNumberFormat="1" applyFont="1" applyFill="1" applyBorder="1" applyAlignment="1" applyProtection="1">
      <alignment horizontal="left"/>
      <protection hidden="1"/>
    </xf>
    <xf numFmtId="0" fontId="70" fillId="7" borderId="1" xfId="0" applyFont="1" applyFill="1" applyBorder="1" applyAlignment="1" applyProtection="1">
      <alignment horizontal="center"/>
      <protection hidden="1"/>
    </xf>
    <xf numFmtId="176" fontId="70" fillId="7" borderId="55" xfId="0" applyNumberFormat="1" applyFont="1" applyFill="1" applyBorder="1" applyAlignment="1" applyProtection="1">
      <alignment horizontal="left"/>
      <protection hidden="1"/>
    </xf>
    <xf numFmtId="0" fontId="70" fillId="7" borderId="55" xfId="0" applyFont="1" applyFill="1" applyBorder="1" applyAlignment="1" applyProtection="1">
      <alignment horizontal="center"/>
      <protection hidden="1"/>
    </xf>
    <xf numFmtId="0" fontId="100" fillId="0" borderId="0" xfId="0" applyFont="1" applyAlignment="1">
      <alignment horizontal="center"/>
    </xf>
    <xf numFmtId="0" fontId="108" fillId="0" borderId="0" xfId="0" applyFont="1" applyAlignment="1">
      <alignment horizontal="left" wrapText="1"/>
    </xf>
    <xf numFmtId="176" fontId="76" fillId="0" borderId="0" xfId="0" applyNumberFormat="1" applyFont="1" applyAlignment="1">
      <alignment horizontal="left" indent="3"/>
    </xf>
    <xf numFmtId="0" fontId="73" fillId="0" borderId="57" xfId="0" applyFont="1" applyBorder="1" applyAlignment="1" applyProtection="1">
      <alignment wrapText="1"/>
      <protection locked="0"/>
    </xf>
    <xf numFmtId="0" fontId="73" fillId="0" borderId="58" xfId="0" applyFont="1" applyBorder="1" applyAlignment="1" applyProtection="1">
      <alignment wrapText="1"/>
      <protection locked="0"/>
    </xf>
    <xf numFmtId="0" fontId="73" fillId="0" borderId="56" xfId="0" applyFont="1" applyBorder="1" applyAlignment="1" applyProtection="1">
      <alignment wrapText="1"/>
      <protection locked="0"/>
    </xf>
    <xf numFmtId="0" fontId="73" fillId="0" borderId="55" xfId="0" applyFont="1" applyBorder="1" applyAlignment="1" applyProtection="1">
      <alignment horizontal="center" wrapText="1"/>
      <protection locked="0"/>
    </xf>
    <xf numFmtId="0" fontId="70" fillId="9" borderId="15" xfId="0" applyFont="1" applyFill="1" applyBorder="1" applyAlignment="1" applyProtection="1">
      <alignment horizontal="center"/>
      <protection hidden="1"/>
    </xf>
    <xf numFmtId="0" fontId="70" fillId="9" borderId="14" xfId="0" applyFont="1" applyFill="1" applyBorder="1" applyAlignment="1" applyProtection="1">
      <alignment horizontal="center"/>
      <protection hidden="1"/>
    </xf>
    <xf numFmtId="0" fontId="70" fillId="9" borderId="2" xfId="0" applyFont="1" applyFill="1" applyBorder="1" applyAlignment="1" applyProtection="1">
      <alignment horizontal="center"/>
      <protection hidden="1"/>
    </xf>
    <xf numFmtId="0" fontId="30" fillId="0" borderId="57" xfId="0" applyFont="1" applyBorder="1" applyAlignment="1" applyProtection="1">
      <alignment horizontal="left" wrapText="1"/>
      <protection locked="0" hidden="1"/>
    </xf>
    <xf numFmtId="0" fontId="30" fillId="0" borderId="58" xfId="0" applyFont="1" applyBorder="1" applyAlignment="1" applyProtection="1">
      <alignment horizontal="left" wrapText="1"/>
      <protection locked="0" hidden="1"/>
    </xf>
    <xf numFmtId="0" fontId="30" fillId="0" borderId="56" xfId="0" applyFont="1" applyBorder="1" applyAlignment="1" applyProtection="1">
      <alignment horizontal="left" wrapText="1"/>
      <protection locked="0" hidden="1"/>
    </xf>
    <xf numFmtId="0" fontId="70" fillId="9" borderId="13" xfId="0" applyFont="1" applyFill="1" applyBorder="1" applyAlignment="1" applyProtection="1">
      <alignment horizontal="center"/>
      <protection hidden="1"/>
    </xf>
    <xf numFmtId="0" fontId="70" fillId="9" borderId="11" xfId="0" applyFont="1" applyFill="1" applyBorder="1" applyAlignment="1" applyProtection="1">
      <alignment horizontal="center"/>
      <protection hidden="1"/>
    </xf>
    <xf numFmtId="0" fontId="70" fillId="9" borderId="12" xfId="0" applyFont="1" applyFill="1" applyBorder="1" applyAlignment="1" applyProtection="1">
      <alignment horizontal="center"/>
      <protection hidden="1"/>
    </xf>
    <xf numFmtId="166" fontId="90" fillId="6" borderId="0" xfId="0" applyNumberFormat="1" applyFont="1" applyFill="1" applyAlignment="1" applyProtection="1">
      <alignment horizontal="right"/>
      <protection hidden="1"/>
    </xf>
    <xf numFmtId="0" fontId="73" fillId="0" borderId="0" xfId="0" applyFont="1" applyAlignment="1" applyProtection="1">
      <alignment horizontal="center"/>
      <protection locked="0"/>
    </xf>
    <xf numFmtId="0" fontId="73" fillId="0" borderId="0" xfId="0" applyFont="1" applyAlignment="1" applyProtection="1">
      <alignment horizontal="left"/>
      <protection locked="0"/>
    </xf>
    <xf numFmtId="0" fontId="73" fillId="0" borderId="57" xfId="0" applyFont="1" applyBorder="1" applyAlignment="1" applyProtection="1">
      <alignment horizontal="center" wrapText="1"/>
      <protection locked="0"/>
    </xf>
    <xf numFmtId="0" fontId="73" fillId="0" borderId="56" xfId="0" applyFont="1" applyBorder="1" applyAlignment="1" applyProtection="1">
      <alignment horizontal="center" wrapText="1"/>
      <protection locked="0"/>
    </xf>
    <xf numFmtId="166" fontId="87" fillId="0" borderId="0" xfId="0" applyNumberFormat="1" applyFont="1" applyAlignment="1" applyProtection="1">
      <alignment horizontal="center"/>
      <protection hidden="1"/>
    </xf>
    <xf numFmtId="3" fontId="108" fillId="0" borderId="0" xfId="0" applyNumberFormat="1" applyFont="1" applyAlignment="1">
      <alignment horizontal="center"/>
    </xf>
    <xf numFmtId="3" fontId="73" fillId="0" borderId="0" xfId="0" applyNumberFormat="1" applyFont="1" applyAlignment="1">
      <alignment horizontal="center"/>
    </xf>
    <xf numFmtId="9" fontId="73" fillId="0" borderId="0" xfId="0" applyNumberFormat="1" applyFont="1" applyAlignment="1">
      <alignment horizontal="center"/>
    </xf>
    <xf numFmtId="0" fontId="73" fillId="0" borderId="0" xfId="0" applyFont="1" applyAlignment="1">
      <alignment horizontal="left" vertical="top"/>
    </xf>
    <xf numFmtId="177" fontId="40" fillId="7" borderId="15" xfId="0" applyNumberFormat="1" applyFont="1" applyFill="1" applyBorder="1" applyAlignment="1" applyProtection="1">
      <alignment wrapText="1"/>
      <protection hidden="1"/>
    </xf>
    <xf numFmtId="177" fontId="40" fillId="7" borderId="14" xfId="0" applyNumberFormat="1" applyFont="1" applyFill="1" applyBorder="1" applyAlignment="1" applyProtection="1">
      <alignment wrapText="1"/>
      <protection hidden="1"/>
    </xf>
    <xf numFmtId="177" fontId="40" fillId="7" borderId="2" xfId="0" applyNumberFormat="1" applyFont="1" applyFill="1" applyBorder="1" applyAlignment="1" applyProtection="1">
      <alignment wrapText="1"/>
      <protection hidden="1"/>
    </xf>
    <xf numFmtId="166" fontId="70" fillId="7" borderId="15" xfId="0" applyNumberFormat="1" applyFont="1" applyFill="1" applyBorder="1" applyAlignment="1" applyProtection="1">
      <alignment wrapText="1"/>
      <protection hidden="1"/>
    </xf>
    <xf numFmtId="166" fontId="70" fillId="7" borderId="2" xfId="0" applyNumberFormat="1" applyFont="1" applyFill="1" applyBorder="1" applyAlignment="1" applyProtection="1">
      <alignment wrapText="1"/>
      <protection hidden="1"/>
    </xf>
    <xf numFmtId="176" fontId="32" fillId="7" borderId="15" xfId="0" applyNumberFormat="1" applyFont="1" applyFill="1" applyBorder="1" applyAlignment="1" applyProtection="1">
      <alignment horizontal="center" wrapText="1"/>
      <protection hidden="1"/>
    </xf>
    <xf numFmtId="176" fontId="32" fillId="7" borderId="2" xfId="0" applyNumberFormat="1" applyFont="1" applyFill="1" applyBorder="1" applyAlignment="1" applyProtection="1">
      <alignment horizontal="center" wrapText="1"/>
      <protection hidden="1"/>
    </xf>
    <xf numFmtId="0" fontId="30" fillId="0" borderId="55" xfId="0" applyFont="1" applyBorder="1" applyAlignment="1" applyProtection="1">
      <alignment horizontal="center" wrapText="1" shrinkToFit="1"/>
      <protection locked="0" hidden="1"/>
    </xf>
    <xf numFmtId="0" fontId="7" fillId="0" borderId="57" xfId="0" applyFont="1" applyBorder="1" applyAlignment="1" applyProtection="1">
      <alignment horizontal="center" wrapText="1"/>
      <protection locked="0"/>
    </xf>
    <xf numFmtId="0" fontId="13" fillId="0" borderId="57" xfId="0" applyFont="1" applyBorder="1" applyAlignment="1" applyProtection="1">
      <alignment horizontal="center" wrapText="1"/>
      <protection locked="0"/>
    </xf>
    <xf numFmtId="166" fontId="110" fillId="0" borderId="0" xfId="0" applyNumberFormat="1" applyFont="1" applyAlignment="1" applyProtection="1">
      <alignment horizontal="right" vertical="center"/>
      <protection hidden="1"/>
    </xf>
    <xf numFmtId="3" fontId="110" fillId="0" borderId="0" xfId="0" applyNumberFormat="1" applyFont="1" applyAlignment="1" applyProtection="1">
      <alignment horizontal="center"/>
      <protection hidden="1"/>
    </xf>
    <xf numFmtId="3" fontId="63" fillId="0" borderId="0" xfId="0" applyNumberFormat="1" applyFont="1" applyAlignment="1" applyProtection="1">
      <alignment horizontal="center"/>
      <protection hidden="1"/>
    </xf>
    <xf numFmtId="0" fontId="63" fillId="0" borderId="0" xfId="0" applyFont="1" applyAlignment="1" applyProtection="1">
      <alignment horizontal="center"/>
      <protection hidden="1"/>
    </xf>
    <xf numFmtId="3" fontId="110" fillId="6" borderId="0" xfId="0" applyNumberFormat="1" applyFont="1" applyFill="1" applyAlignment="1" applyProtection="1">
      <alignment horizontal="center"/>
      <protection hidden="1"/>
    </xf>
    <xf numFmtId="0" fontId="60" fillId="0" borderId="0" xfId="0" applyFont="1" applyAlignment="1" applyProtection="1">
      <alignment horizontal="center"/>
      <protection hidden="1"/>
    </xf>
    <xf numFmtId="0" fontId="32" fillId="14" borderId="15" xfId="0" applyFont="1" applyFill="1" applyBorder="1" applyAlignment="1" applyProtection="1">
      <alignment horizontal="center" vertical="center"/>
      <protection hidden="1"/>
    </xf>
    <xf numFmtId="0" fontId="32" fillId="14" borderId="14" xfId="0" applyFont="1" applyFill="1" applyBorder="1" applyAlignment="1" applyProtection="1">
      <alignment horizontal="center" vertical="center"/>
      <protection hidden="1"/>
    </xf>
    <xf numFmtId="192" fontId="32" fillId="9" borderId="15" xfId="0" applyNumberFormat="1" applyFont="1" applyFill="1" applyBorder="1" applyAlignment="1" applyProtection="1">
      <alignment horizontal="center" wrapText="1"/>
      <protection hidden="1"/>
    </xf>
    <xf numFmtId="192" fontId="32" fillId="9" borderId="14" xfId="0" applyNumberFormat="1" applyFont="1" applyFill="1" applyBorder="1" applyAlignment="1" applyProtection="1">
      <alignment horizontal="center" wrapText="1"/>
      <protection hidden="1"/>
    </xf>
    <xf numFmtId="192" fontId="32" fillId="9" borderId="2" xfId="0" applyNumberFormat="1" applyFont="1" applyFill="1" applyBorder="1" applyAlignment="1" applyProtection="1">
      <alignment horizontal="center" wrapText="1"/>
      <protection hidden="1"/>
    </xf>
    <xf numFmtId="0" fontId="100" fillId="81" borderId="14" xfId="0" applyFont="1" applyFill="1" applyBorder="1" applyAlignment="1" applyProtection="1">
      <alignment horizontal="center"/>
      <protection hidden="1"/>
    </xf>
    <xf numFmtId="0" fontId="100" fillId="81" borderId="2" xfId="0" applyFont="1" applyFill="1" applyBorder="1" applyAlignment="1" applyProtection="1">
      <alignment horizontal="center"/>
      <protection hidden="1"/>
    </xf>
    <xf numFmtId="191" fontId="100" fillId="0" borderId="0" xfId="0" applyNumberFormat="1" applyFont="1" applyAlignment="1" applyProtection="1">
      <alignment horizontal="center"/>
      <protection hidden="1"/>
    </xf>
    <xf numFmtId="0" fontId="0" fillId="0" borderId="0" xfId="0" applyAlignment="1" applyProtection="1">
      <alignment horizontal="center"/>
      <protection hidden="1"/>
    </xf>
    <xf numFmtId="0" fontId="87" fillId="0" borderId="0" xfId="0" applyFont="1" applyAlignment="1">
      <alignment horizontal="right" vertical="center" wrapText="1" indent="1"/>
    </xf>
    <xf numFmtId="166" fontId="76" fillId="0" borderId="13" xfId="0" applyNumberFormat="1" applyFont="1" applyBorder="1" applyAlignment="1" applyProtection="1">
      <alignment horizontal="center" vertical="center"/>
      <protection locked="0"/>
    </xf>
    <xf numFmtId="166" fontId="76" fillId="0" borderId="12" xfId="0" applyNumberFormat="1" applyFont="1" applyBorder="1" applyAlignment="1" applyProtection="1">
      <alignment horizontal="center" vertical="center"/>
      <protection locked="0"/>
    </xf>
    <xf numFmtId="166" fontId="76" fillId="0" borderId="8" xfId="0" applyNumberFormat="1" applyFont="1" applyBorder="1" applyAlignment="1" applyProtection="1">
      <alignment horizontal="center" vertical="center"/>
      <protection locked="0"/>
    </xf>
    <xf numFmtId="166" fontId="76" fillId="0" borderId="10" xfId="0" applyNumberFormat="1" applyFont="1" applyBorder="1" applyAlignment="1" applyProtection="1">
      <alignment horizontal="center" vertical="center"/>
      <protection locked="0"/>
    </xf>
    <xf numFmtId="0" fontId="32" fillId="9" borderId="1" xfId="0" applyFont="1" applyFill="1" applyBorder="1" applyAlignment="1" applyProtection="1">
      <alignment horizontal="center" wrapText="1"/>
      <protection hidden="1"/>
    </xf>
    <xf numFmtId="0" fontId="149" fillId="0" borderId="0" xfId="0" applyFont="1" applyProtection="1">
      <protection hidden="1"/>
    </xf>
    <xf numFmtId="0" fontId="122" fillId="0" borderId="0" xfId="0" applyFont="1" applyAlignment="1" applyProtection="1">
      <alignment horizontal="center"/>
      <protection hidden="1"/>
    </xf>
    <xf numFmtId="0" fontId="73" fillId="9" borderId="8" xfId="0" applyFont="1" applyFill="1" applyBorder="1" applyAlignment="1" applyProtection="1">
      <alignment horizontal="center" wrapText="1"/>
      <protection hidden="1"/>
    </xf>
    <xf numFmtId="0" fontId="73" fillId="9" borderId="10" xfId="0" applyFont="1" applyFill="1" applyBorder="1" applyAlignment="1" applyProtection="1">
      <alignment horizontal="center" wrapText="1"/>
      <protection hidden="1"/>
    </xf>
    <xf numFmtId="0" fontId="100" fillId="81" borderId="15" xfId="0" applyFont="1" applyFill="1" applyBorder="1" applyAlignment="1" applyProtection="1">
      <alignment horizontal="center"/>
      <protection hidden="1"/>
    </xf>
    <xf numFmtId="0" fontId="3" fillId="0" borderId="57" xfId="0" applyFont="1" applyBorder="1" applyAlignment="1" applyProtection="1">
      <alignment wrapText="1"/>
      <protection locked="0"/>
    </xf>
    <xf numFmtId="0" fontId="5" fillId="0" borderId="57" xfId="0" applyFont="1" applyBorder="1" applyAlignment="1" applyProtection="1">
      <alignment wrapText="1"/>
      <protection locked="0"/>
    </xf>
    <xf numFmtId="176" fontId="13" fillId="0" borderId="57" xfId="0" applyNumberFormat="1" applyFont="1" applyBorder="1" applyAlignment="1" applyProtection="1">
      <alignment horizontal="center" wrapText="1"/>
      <protection locked="0"/>
    </xf>
    <xf numFmtId="0" fontId="32" fillId="9" borderId="15" xfId="0" applyFont="1" applyFill="1" applyBorder="1" applyAlignment="1" applyProtection="1">
      <alignment horizontal="center" wrapText="1"/>
      <protection hidden="1"/>
    </xf>
    <xf numFmtId="0" fontId="32" fillId="9" borderId="2" xfId="0" applyFont="1" applyFill="1" applyBorder="1" applyAlignment="1" applyProtection="1">
      <alignment horizontal="center" wrapText="1"/>
      <protection hidden="1"/>
    </xf>
    <xf numFmtId="0" fontId="32" fillId="9" borderId="14" xfId="0" applyFont="1" applyFill="1" applyBorder="1" applyAlignment="1" applyProtection="1">
      <alignment horizontal="center" wrapText="1"/>
      <protection hidden="1"/>
    </xf>
    <xf numFmtId="0" fontId="14" fillId="0" borderId="57" xfId="0" applyFont="1" applyBorder="1" applyAlignment="1" applyProtection="1">
      <alignment horizontal="center" wrapText="1"/>
      <protection locked="0"/>
    </xf>
    <xf numFmtId="0" fontId="31" fillId="0" borderId="0" xfId="0" applyFont="1" applyAlignment="1" applyProtection="1">
      <alignment horizontal="center"/>
      <protection hidden="1"/>
    </xf>
    <xf numFmtId="166" fontId="224" fillId="0" borderId="0" xfId="0" applyNumberFormat="1" applyFont="1" applyAlignment="1" applyProtection="1">
      <alignment horizontal="center"/>
      <protection hidden="1"/>
    </xf>
    <xf numFmtId="14" fontId="73" fillId="0" borderId="0" xfId="0" applyNumberFormat="1" applyFont="1" applyAlignment="1" applyProtection="1">
      <alignment horizontal="right"/>
      <protection hidden="1"/>
    </xf>
    <xf numFmtId="0" fontId="73" fillId="0" borderId="0" xfId="0" applyFont="1" applyAlignment="1" applyProtection="1">
      <alignment horizontal="right"/>
      <protection hidden="1"/>
    </xf>
    <xf numFmtId="166" fontId="110" fillId="0" borderId="0" xfId="0" applyNumberFormat="1" applyFont="1" applyAlignment="1" applyProtection="1">
      <alignment horizontal="center"/>
      <protection hidden="1"/>
    </xf>
    <xf numFmtId="0" fontId="110" fillId="0" borderId="0" xfId="0" applyFont="1" applyAlignment="1" applyProtection="1">
      <alignment horizontal="center"/>
      <protection hidden="1"/>
    </xf>
    <xf numFmtId="165" fontId="148" fillId="0" borderId="11" xfId="0" applyNumberFormat="1" applyFont="1" applyBorder="1" applyAlignment="1" applyProtection="1">
      <alignment horizontal="left" vertical="top"/>
      <protection hidden="1"/>
    </xf>
    <xf numFmtId="0" fontId="73" fillId="0" borderId="0" xfId="0" applyFont="1" applyAlignment="1" applyProtection="1">
      <alignment horizontal="left"/>
      <protection hidden="1"/>
    </xf>
    <xf numFmtId="1" fontId="102" fillId="0" borderId="0" xfId="0" applyNumberFormat="1" applyFont="1" applyAlignment="1">
      <alignment horizontal="center"/>
    </xf>
    <xf numFmtId="0" fontId="75" fillId="0" borderId="0" xfId="0" applyFont="1" applyAlignment="1" applyProtection="1">
      <alignment horizontal="left"/>
      <protection hidden="1"/>
    </xf>
    <xf numFmtId="9" fontId="74" fillId="0" borderId="0" xfId="0" applyNumberFormat="1" applyFont="1" applyAlignment="1">
      <alignment horizontal="center"/>
    </xf>
    <xf numFmtId="0" fontId="76" fillId="0" borderId="0" xfId="0" applyFont="1" applyAlignment="1" applyProtection="1">
      <alignment horizontal="left" vertical="center" wrapText="1"/>
      <protection hidden="1"/>
    </xf>
    <xf numFmtId="0" fontId="74" fillId="0" borderId="0" xfId="0" applyFont="1" applyAlignment="1" applyProtection="1">
      <alignment horizontal="center" wrapText="1"/>
      <protection hidden="1"/>
    </xf>
    <xf numFmtId="1" fontId="74" fillId="0" borderId="0" xfId="0" applyNumberFormat="1" applyFont="1" applyAlignment="1">
      <alignment horizontal="center"/>
    </xf>
    <xf numFmtId="0" fontId="74" fillId="0" borderId="0" xfId="0" applyFont="1" applyAlignment="1">
      <alignment horizontal="center"/>
    </xf>
    <xf numFmtId="0" fontId="73" fillId="0" borderId="15" xfId="0" applyFont="1" applyBorder="1" applyAlignment="1" applyProtection="1">
      <alignment wrapText="1"/>
      <protection locked="0"/>
    </xf>
    <xf numFmtId="0" fontId="73" fillId="0" borderId="14" xfId="0" applyFont="1" applyBorder="1" applyAlignment="1" applyProtection="1">
      <alignment wrapText="1"/>
      <protection locked="0"/>
    </xf>
    <xf numFmtId="0" fontId="73" fillId="0" borderId="2" xfId="0" applyFont="1" applyBorder="1" applyAlignment="1" applyProtection="1">
      <alignment wrapText="1"/>
      <protection locked="0"/>
    </xf>
    <xf numFmtId="0" fontId="30" fillId="0" borderId="15" xfId="0" applyFont="1" applyBorder="1" applyAlignment="1" applyProtection="1">
      <alignment horizontal="left" wrapText="1"/>
      <protection locked="0" hidden="1"/>
    </xf>
    <xf numFmtId="0" fontId="30" fillId="0" borderId="14" xfId="0" applyFont="1" applyBorder="1" applyAlignment="1" applyProtection="1">
      <alignment horizontal="left" wrapText="1"/>
      <protection locked="0" hidden="1"/>
    </xf>
    <xf numFmtId="0" fontId="30" fillId="0" borderId="2" xfId="0" applyFont="1" applyBorder="1" applyAlignment="1" applyProtection="1">
      <alignment horizontal="left" wrapText="1"/>
      <protection locked="0" hidden="1"/>
    </xf>
    <xf numFmtId="0" fontId="73" fillId="0" borderId="15" xfId="0" applyFont="1" applyBorder="1" applyAlignment="1" applyProtection="1">
      <alignment horizontal="center" wrapText="1"/>
      <protection locked="0"/>
    </xf>
    <xf numFmtId="0" fontId="73" fillId="0" borderId="2" xfId="0" applyFont="1" applyBorder="1" applyAlignment="1" applyProtection="1">
      <alignment horizontal="center" wrapText="1"/>
      <protection locked="0"/>
    </xf>
    <xf numFmtId="0" fontId="73" fillId="0" borderId="1" xfId="0" applyFont="1" applyBorder="1" applyAlignment="1" applyProtection="1">
      <alignment horizontal="center" wrapText="1"/>
      <protection locked="0"/>
    </xf>
    <xf numFmtId="0" fontId="30" fillId="0" borderId="1" xfId="0" applyFont="1" applyBorder="1" applyAlignment="1" applyProtection="1">
      <alignment horizontal="center" wrapText="1" shrinkToFit="1"/>
      <protection locked="0" hidden="1"/>
    </xf>
    <xf numFmtId="166" fontId="90" fillId="6" borderId="0" xfId="2" applyNumberFormat="1" applyFont="1" applyFill="1" applyAlignment="1" applyProtection="1">
      <alignment horizontal="right"/>
      <protection hidden="1"/>
    </xf>
    <xf numFmtId="166" fontId="90" fillId="6" borderId="19" xfId="0" applyNumberFormat="1" applyFont="1" applyFill="1" applyBorder="1" applyAlignment="1" applyProtection="1">
      <alignment horizontal="right"/>
      <protection hidden="1"/>
    </xf>
    <xf numFmtId="166" fontId="110" fillId="0" borderId="0" xfId="0" applyNumberFormat="1" applyFont="1" applyAlignment="1" applyProtection="1">
      <alignment horizontal="right"/>
      <protection hidden="1"/>
    </xf>
    <xf numFmtId="1" fontId="110" fillId="0" borderId="0" xfId="0" applyNumberFormat="1" applyFont="1" applyAlignment="1" applyProtection="1">
      <alignment horizontal="center"/>
      <protection hidden="1"/>
    </xf>
    <xf numFmtId="177" fontId="110" fillId="0" borderId="0" xfId="0" applyNumberFormat="1" applyFont="1" applyAlignment="1" applyProtection="1">
      <alignment horizontal="center"/>
      <protection hidden="1"/>
    </xf>
    <xf numFmtId="166" fontId="40" fillId="0" borderId="11" xfId="0" applyNumberFormat="1" applyFont="1" applyBorder="1" applyAlignment="1" applyProtection="1">
      <alignment horizontal="center" vertical="center"/>
      <protection hidden="1"/>
    </xf>
    <xf numFmtId="0" fontId="40" fillId="0" borderId="1" xfId="0" applyFont="1" applyBorder="1" applyAlignment="1" applyProtection="1">
      <alignment horizontal="center" wrapText="1"/>
      <protection locked="0"/>
    </xf>
    <xf numFmtId="1" fontId="73" fillId="0" borderId="0" xfId="0" applyNumberFormat="1" applyFont="1" applyAlignment="1">
      <alignment horizontal="center"/>
    </xf>
    <xf numFmtId="0" fontId="76" fillId="0" borderId="0" xfId="0" applyFont="1" applyAlignment="1" applyProtection="1">
      <alignment horizontal="center"/>
      <protection hidden="1"/>
    </xf>
    <xf numFmtId="191" fontId="93" fillId="0" borderId="0" xfId="0" applyNumberFormat="1" applyFont="1" applyAlignment="1" applyProtection="1">
      <alignment horizontal="center" wrapText="1"/>
      <protection hidden="1"/>
    </xf>
    <xf numFmtId="0" fontId="224" fillId="0" borderId="0" xfId="0" applyFont="1" applyAlignment="1">
      <alignment horizontal="right" vertical="top" wrapText="1"/>
    </xf>
    <xf numFmtId="14" fontId="154" fillId="0" borderId="0" xfId="0" applyNumberFormat="1" applyFont="1" applyAlignment="1" applyProtection="1">
      <alignment horizontal="center"/>
      <protection hidden="1"/>
    </xf>
    <xf numFmtId="0" fontId="93" fillId="0" borderId="0" xfId="0" applyFont="1" applyAlignment="1" applyProtection="1">
      <alignment horizontal="left" wrapText="1"/>
      <protection hidden="1"/>
    </xf>
    <xf numFmtId="0" fontId="93" fillId="0" borderId="0" xfId="0" applyFont="1" applyAlignment="1" applyProtection="1">
      <alignment horizontal="center" vertical="center" wrapText="1"/>
      <protection hidden="1"/>
    </xf>
    <xf numFmtId="0" fontId="93" fillId="0" borderId="0" xfId="0" applyFont="1" applyAlignment="1" applyProtection="1">
      <alignment horizontal="center" wrapText="1" shrinkToFit="1"/>
      <protection hidden="1"/>
    </xf>
    <xf numFmtId="166" fontId="224" fillId="0" borderId="0" xfId="0" applyNumberFormat="1" applyFont="1" applyAlignment="1" applyProtection="1">
      <alignment horizontal="left"/>
      <protection hidden="1"/>
    </xf>
    <xf numFmtId="1" fontId="93" fillId="0" borderId="0" xfId="0" applyNumberFormat="1" applyFont="1" applyAlignment="1" applyProtection="1">
      <alignment horizontal="left"/>
      <protection hidden="1"/>
    </xf>
    <xf numFmtId="3" fontId="224" fillId="0" borderId="0" xfId="0" applyNumberFormat="1" applyFont="1" applyAlignment="1" applyProtection="1">
      <alignment horizontal="left" vertical="center"/>
      <protection hidden="1"/>
    </xf>
    <xf numFmtId="166" fontId="93" fillId="0" borderId="0" xfId="0" applyNumberFormat="1" applyFont="1" applyProtection="1">
      <protection hidden="1"/>
    </xf>
    <xf numFmtId="176" fontId="93" fillId="0" borderId="0" xfId="0" applyNumberFormat="1" applyFont="1" applyProtection="1">
      <protection hidden="1"/>
    </xf>
    <xf numFmtId="166" fontId="93" fillId="0" borderId="0" xfId="0" applyNumberFormat="1" applyFont="1" applyAlignment="1" applyProtection="1">
      <alignment horizontal="center"/>
      <protection locked="0"/>
    </xf>
    <xf numFmtId="1" fontId="224" fillId="0" borderId="0" xfId="0" applyNumberFormat="1" applyFont="1" applyAlignment="1" applyProtection="1">
      <alignment horizontal="left" indent="4"/>
      <protection hidden="1"/>
    </xf>
    <xf numFmtId="0" fontId="154" fillId="0" borderId="0" xfId="0" applyFont="1" applyAlignment="1" applyProtection="1">
      <alignment horizontal="center"/>
      <protection hidden="1"/>
    </xf>
    <xf numFmtId="0" fontId="93" fillId="0" borderId="0" xfId="0" applyFont="1" applyAlignment="1" applyProtection="1">
      <alignment horizontal="center"/>
      <protection hidden="1"/>
    </xf>
    <xf numFmtId="0" fontId="225" fillId="0" borderId="0" xfId="0" applyFont="1" applyAlignment="1" applyProtection="1">
      <alignment horizontal="center"/>
      <protection hidden="1"/>
    </xf>
    <xf numFmtId="192" fontId="93" fillId="0" borderId="0" xfId="0" applyNumberFormat="1" applyFont="1" applyAlignment="1" applyProtection="1">
      <alignment horizontal="center" vertical="center" wrapText="1"/>
      <protection hidden="1"/>
    </xf>
    <xf numFmtId="166" fontId="135" fillId="0" borderId="0" xfId="0" applyNumberFormat="1" applyFont="1" applyAlignment="1" applyProtection="1">
      <alignment horizontal="center"/>
      <protection hidden="1"/>
    </xf>
    <xf numFmtId="0" fontId="135" fillId="0" borderId="0" xfId="0" applyFont="1" applyAlignment="1" applyProtection="1">
      <alignment horizontal="center"/>
      <protection hidden="1"/>
    </xf>
    <xf numFmtId="0" fontId="96" fillId="0" borderId="11" xfId="0" applyFont="1" applyBorder="1" applyAlignment="1">
      <alignment horizontal="left" vertical="center"/>
    </xf>
    <xf numFmtId="0" fontId="96" fillId="0" borderId="0" xfId="0" applyFont="1" applyAlignment="1">
      <alignment horizontal="left" vertical="center"/>
    </xf>
    <xf numFmtId="0" fontId="37" fillId="0" borderId="0" xfId="0" applyFont="1" applyAlignment="1" applyProtection="1">
      <alignment horizontal="center"/>
      <protection hidden="1"/>
    </xf>
    <xf numFmtId="166" fontId="73" fillId="0" borderId="8" xfId="0" applyNumberFormat="1" applyFont="1" applyBorder="1" applyAlignment="1">
      <alignment horizontal="center"/>
    </xf>
    <xf numFmtId="166" fontId="73" fillId="0" borderId="9" xfId="0" applyNumberFormat="1" applyFont="1" applyBorder="1" applyAlignment="1">
      <alignment horizontal="center"/>
    </xf>
    <xf numFmtId="166" fontId="73" fillId="0" borderId="10" xfId="0" applyNumberFormat="1" applyFont="1" applyBorder="1" applyAlignment="1">
      <alignment horizontal="center"/>
    </xf>
    <xf numFmtId="0" fontId="81" fillId="0" borderId="13" xfId="0" applyFont="1" applyBorder="1" applyAlignment="1">
      <alignment horizontal="left"/>
    </xf>
    <xf numFmtId="0" fontId="81" fillId="0" borderId="11" xfId="0" applyFont="1" applyBorder="1" applyAlignment="1">
      <alignment horizontal="left"/>
    </xf>
    <xf numFmtId="0" fontId="81" fillId="0" borderId="12" xfId="0" applyFont="1" applyBorder="1" applyAlignment="1">
      <alignment horizontal="left"/>
    </xf>
    <xf numFmtId="0" fontId="80" fillId="12" borderId="15" xfId="0" applyFont="1" applyFill="1" applyBorder="1" applyAlignment="1" applyProtection="1">
      <alignment horizontal="left"/>
      <protection hidden="1"/>
    </xf>
    <xf numFmtId="0" fontId="80" fillId="12" borderId="14" xfId="0" applyFont="1" applyFill="1" applyBorder="1" applyAlignment="1" applyProtection="1">
      <alignment horizontal="left"/>
      <protection hidden="1"/>
    </xf>
    <xf numFmtId="0" fontId="80" fillId="12" borderId="2" xfId="0" applyFont="1" applyFill="1" applyBorder="1" applyAlignment="1" applyProtection="1">
      <alignment horizontal="left"/>
      <protection hidden="1"/>
    </xf>
    <xf numFmtId="174" fontId="73" fillId="0" borderId="8" xfId="0" applyNumberFormat="1" applyFont="1" applyBorder="1" applyAlignment="1">
      <alignment horizontal="center"/>
    </xf>
    <xf numFmtId="174" fontId="73" fillId="0" borderId="9" xfId="0" applyNumberFormat="1" applyFont="1" applyBorder="1" applyAlignment="1">
      <alignment horizontal="center"/>
    </xf>
    <xf numFmtId="174" fontId="73" fillId="0" borderId="10" xfId="0" applyNumberFormat="1" applyFont="1" applyBorder="1" applyAlignment="1">
      <alignment horizontal="center"/>
    </xf>
    <xf numFmtId="0" fontId="80" fillId="0" borderId="8" xfId="0" applyFont="1" applyBorder="1" applyAlignment="1" applyProtection="1">
      <alignment horizontal="center"/>
      <protection hidden="1"/>
    </xf>
    <xf numFmtId="0" fontId="80" fillId="0" borderId="9" xfId="0" applyFont="1" applyBorder="1" applyAlignment="1" applyProtection="1">
      <alignment horizontal="center"/>
      <protection hidden="1"/>
    </xf>
    <xf numFmtId="0" fontId="80" fillId="0" borderId="10" xfId="0" applyFont="1" applyBorder="1" applyAlignment="1" applyProtection="1">
      <alignment horizontal="center"/>
      <protection hidden="1"/>
    </xf>
    <xf numFmtId="0" fontId="73" fillId="0" borderId="8" xfId="0" applyFont="1" applyBorder="1" applyAlignment="1">
      <alignment horizontal="left"/>
    </xf>
    <xf numFmtId="0" fontId="73" fillId="0" borderId="9" xfId="0" applyFont="1" applyBorder="1" applyAlignment="1">
      <alignment horizontal="left"/>
    </xf>
    <xf numFmtId="0" fontId="73" fillId="0" borderId="10" xfId="0" applyFont="1" applyBorder="1" applyAlignment="1">
      <alignment horizontal="left"/>
    </xf>
    <xf numFmtId="176" fontId="73" fillId="0" borderId="8" xfId="0" applyNumberFormat="1" applyFont="1" applyBorder="1" applyAlignment="1">
      <alignment horizontal="left"/>
    </xf>
    <xf numFmtId="176" fontId="73" fillId="0" borderId="9" xfId="0" applyNumberFormat="1" applyFont="1" applyBorder="1" applyAlignment="1">
      <alignment horizontal="left"/>
    </xf>
    <xf numFmtId="176" fontId="73" fillId="0" borderId="10" xfId="0" applyNumberFormat="1" applyFont="1" applyBorder="1" applyAlignment="1">
      <alignment horizontal="left"/>
    </xf>
    <xf numFmtId="3" fontId="80" fillId="12" borderId="15" xfId="0" applyNumberFormat="1" applyFont="1" applyFill="1" applyBorder="1" applyAlignment="1" applyProtection="1">
      <alignment horizontal="left"/>
      <protection hidden="1"/>
    </xf>
    <xf numFmtId="3" fontId="80" fillId="12" borderId="14" xfId="0" applyNumberFormat="1" applyFont="1" applyFill="1" applyBorder="1" applyAlignment="1" applyProtection="1">
      <alignment horizontal="left"/>
      <protection hidden="1"/>
    </xf>
    <xf numFmtId="3" fontId="80" fillId="12" borderId="2" xfId="0" applyNumberFormat="1" applyFont="1" applyFill="1" applyBorder="1" applyAlignment="1" applyProtection="1">
      <alignment horizontal="left"/>
      <protection hidden="1"/>
    </xf>
    <xf numFmtId="173" fontId="73" fillId="0" borderId="8" xfId="0" applyNumberFormat="1" applyFont="1" applyBorder="1" applyAlignment="1">
      <alignment horizontal="left"/>
    </xf>
    <xf numFmtId="173" fontId="73" fillId="0" borderId="9" xfId="0" applyNumberFormat="1" applyFont="1" applyBorder="1" applyAlignment="1">
      <alignment horizontal="left"/>
    </xf>
    <xf numFmtId="173" fontId="73" fillId="0" borderId="10" xfId="0" applyNumberFormat="1" applyFont="1" applyBorder="1" applyAlignment="1">
      <alignment horizontal="left"/>
    </xf>
    <xf numFmtId="169" fontId="80" fillId="12" borderId="15" xfId="0" applyNumberFormat="1" applyFont="1" applyFill="1" applyBorder="1" applyAlignment="1" applyProtection="1">
      <alignment horizontal="left"/>
      <protection hidden="1"/>
    </xf>
    <xf numFmtId="169" fontId="80" fillId="12" borderId="14" xfId="0" applyNumberFormat="1" applyFont="1" applyFill="1" applyBorder="1" applyAlignment="1" applyProtection="1">
      <alignment horizontal="left"/>
      <protection hidden="1"/>
    </xf>
    <xf numFmtId="169" fontId="80" fillId="12" borderId="2" xfId="0" applyNumberFormat="1" applyFont="1" applyFill="1" applyBorder="1" applyAlignment="1" applyProtection="1">
      <alignment horizontal="left"/>
      <protection hidden="1"/>
    </xf>
    <xf numFmtId="0" fontId="37" fillId="0" borderId="0" xfId="0" applyFont="1" applyAlignment="1" applyProtection="1">
      <alignment horizontal="left" indent="1"/>
      <protection hidden="1"/>
    </xf>
    <xf numFmtId="0" fontId="131" fillId="0" borderId="0" xfId="0" applyFont="1" applyAlignment="1" applyProtection="1">
      <alignment horizontal="center"/>
      <protection hidden="1"/>
    </xf>
    <xf numFmtId="166" fontId="80" fillId="12" borderId="15" xfId="0" applyNumberFormat="1" applyFont="1" applyFill="1" applyBorder="1" applyAlignment="1" applyProtection="1">
      <alignment horizontal="left"/>
      <protection hidden="1"/>
    </xf>
    <xf numFmtId="166" fontId="80" fillId="12" borderId="14" xfId="0" applyNumberFormat="1" applyFont="1" applyFill="1" applyBorder="1" applyAlignment="1" applyProtection="1">
      <alignment horizontal="left"/>
      <protection hidden="1"/>
    </xf>
    <xf numFmtId="166" fontId="80" fillId="12" borderId="2" xfId="0" applyNumberFormat="1" applyFont="1" applyFill="1" applyBorder="1" applyAlignment="1" applyProtection="1">
      <alignment horizontal="left"/>
      <protection hidden="1"/>
    </xf>
    <xf numFmtId="0" fontId="81" fillId="0" borderId="0" xfId="0" applyFont="1" applyAlignment="1">
      <alignment horizontal="left" wrapText="1"/>
    </xf>
    <xf numFmtId="0" fontId="80" fillId="0" borderId="0" xfId="0" applyFont="1" applyAlignment="1">
      <alignment horizontal="left" wrapText="1"/>
    </xf>
    <xf numFmtId="49" fontId="0" fillId="85" borderId="8" xfId="0" applyNumberFormat="1" applyFill="1" applyBorder="1" applyAlignment="1" applyProtection="1">
      <alignment horizontal="left"/>
      <protection locked="0"/>
    </xf>
    <xf numFmtId="49" fontId="0" fillId="85" borderId="9" xfId="0" applyNumberFormat="1" applyFill="1" applyBorder="1" applyAlignment="1" applyProtection="1">
      <alignment horizontal="left"/>
      <protection locked="0"/>
    </xf>
    <xf numFmtId="49" fontId="0" fillId="85" borderId="10" xfId="0" applyNumberFormat="1" applyFill="1" applyBorder="1" applyAlignment="1" applyProtection="1">
      <alignment horizontal="left"/>
      <protection locked="0"/>
    </xf>
    <xf numFmtId="14" fontId="73" fillId="0" borderId="8" xfId="0" applyNumberFormat="1" applyFont="1" applyBorder="1" applyAlignment="1">
      <alignment horizontal="center"/>
    </xf>
    <xf numFmtId="14" fontId="73" fillId="0" borderId="9" xfId="0" applyNumberFormat="1" applyFont="1" applyBorder="1" applyAlignment="1">
      <alignment horizontal="center"/>
    </xf>
    <xf numFmtId="14" fontId="73" fillId="0" borderId="10" xfId="0" applyNumberFormat="1" applyFont="1" applyBorder="1" applyAlignment="1">
      <alignment horizontal="center"/>
    </xf>
    <xf numFmtId="3" fontId="73" fillId="0" borderId="8" xfId="0" applyNumberFormat="1" applyFont="1" applyBorder="1" applyAlignment="1">
      <alignment horizontal="center"/>
    </xf>
    <xf numFmtId="3" fontId="73" fillId="0" borderId="9" xfId="0" applyNumberFormat="1" applyFont="1" applyBorder="1" applyAlignment="1">
      <alignment horizontal="center"/>
    </xf>
    <xf numFmtId="3" fontId="73" fillId="0" borderId="10" xfId="0" applyNumberFormat="1" applyFont="1" applyBorder="1" applyAlignment="1">
      <alignment horizontal="center"/>
    </xf>
    <xf numFmtId="166" fontId="32" fillId="0" borderId="8" xfId="0" applyNumberFormat="1" applyFont="1" applyBorder="1" applyAlignment="1">
      <alignment horizontal="center" vertical="center" wrapText="1"/>
    </xf>
    <xf numFmtId="166" fontId="32" fillId="0" borderId="9" xfId="0" applyNumberFormat="1" applyFont="1" applyBorder="1" applyAlignment="1">
      <alignment horizontal="center" vertical="center" wrapText="1"/>
    </xf>
    <xf numFmtId="166" fontId="32" fillId="0" borderId="10" xfId="0" applyNumberFormat="1" applyFont="1" applyBorder="1" applyAlignment="1">
      <alignment horizontal="center" vertical="center" wrapText="1"/>
    </xf>
    <xf numFmtId="0" fontId="151" fillId="0" borderId="0" xfId="0" applyFont="1" applyAlignment="1">
      <alignment horizontal="left"/>
    </xf>
    <xf numFmtId="165" fontId="73" fillId="0" borderId="0" xfId="0" applyNumberFormat="1" applyFont="1" applyAlignment="1">
      <alignment horizontal="center"/>
    </xf>
    <xf numFmtId="0" fontId="152" fillId="85" borderId="8" xfId="0" applyFont="1" applyFill="1" applyBorder="1" applyAlignment="1">
      <alignment horizontal="center"/>
    </xf>
    <xf numFmtId="0" fontId="152" fillId="85" borderId="9" xfId="0" applyFont="1" applyFill="1" applyBorder="1" applyAlignment="1">
      <alignment horizontal="center"/>
    </xf>
    <xf numFmtId="0" fontId="152" fillId="85" borderId="10" xfId="0" applyFont="1" applyFill="1" applyBorder="1" applyAlignment="1">
      <alignment horizontal="center"/>
    </xf>
    <xf numFmtId="14" fontId="0" fillId="85" borderId="8" xfId="0" applyNumberFormat="1" applyFill="1" applyBorder="1" applyAlignment="1" applyProtection="1">
      <alignment horizontal="center"/>
      <protection locked="0"/>
    </xf>
    <xf numFmtId="14" fontId="0" fillId="85" borderId="9" xfId="0" applyNumberFormat="1" applyFill="1" applyBorder="1" applyAlignment="1" applyProtection="1">
      <alignment horizontal="center"/>
      <protection locked="0"/>
    </xf>
    <xf numFmtId="14" fontId="0" fillId="85" borderId="10" xfId="0" applyNumberFormat="1" applyFill="1" applyBorder="1" applyAlignment="1" applyProtection="1">
      <alignment horizontal="center"/>
      <protection locked="0"/>
    </xf>
    <xf numFmtId="14" fontId="73" fillId="0" borderId="0" xfId="0" applyNumberFormat="1" applyFont="1" applyAlignment="1">
      <alignment horizontal="right"/>
    </xf>
    <xf numFmtId="0" fontId="73" fillId="0" borderId="0" xfId="0" applyFont="1" applyAlignment="1">
      <alignment horizontal="right"/>
    </xf>
    <xf numFmtId="0" fontId="151" fillId="0" borderId="0" xfId="0" applyFont="1" applyAlignment="1">
      <alignment horizontal="left" indent="1"/>
    </xf>
    <xf numFmtId="0" fontId="81" fillId="0" borderId="0" xfId="0" applyFont="1" applyAlignment="1">
      <alignment horizontal="left" wrapText="1" indent="4"/>
    </xf>
    <xf numFmtId="0" fontId="0" fillId="0" borderId="0" xfId="0" applyAlignment="1">
      <alignment horizontal="center"/>
    </xf>
    <xf numFmtId="49" fontId="152" fillId="85" borderId="8" xfId="0" applyNumberFormat="1" applyFont="1" applyFill="1" applyBorder="1" applyAlignment="1">
      <alignment horizontal="center"/>
    </xf>
    <xf numFmtId="49" fontId="152" fillId="85" borderId="9" xfId="0" applyNumberFormat="1" applyFont="1" applyFill="1" applyBorder="1" applyAlignment="1">
      <alignment horizontal="center"/>
    </xf>
    <xf numFmtId="49" fontId="152" fillId="85" borderId="10" xfId="0" applyNumberFormat="1" applyFont="1" applyFill="1" applyBorder="1" applyAlignment="1">
      <alignment horizontal="center"/>
    </xf>
    <xf numFmtId="166" fontId="32" fillId="0" borderId="8" xfId="0" applyNumberFormat="1" applyFont="1" applyBorder="1" applyAlignment="1">
      <alignment horizontal="center" vertical="center"/>
    </xf>
    <xf numFmtId="166" fontId="32" fillId="0" borderId="9" xfId="0" applyNumberFormat="1" applyFont="1" applyBorder="1" applyAlignment="1">
      <alignment horizontal="center" vertical="center"/>
    </xf>
    <xf numFmtId="166" fontId="32" fillId="0" borderId="10" xfId="0" applyNumberFormat="1" applyFont="1" applyBorder="1" applyAlignment="1">
      <alignment horizontal="center" vertical="center"/>
    </xf>
    <xf numFmtId="0" fontId="74" fillId="0" borderId="0" xfId="0" applyFont="1" applyAlignment="1">
      <alignment horizontal="left" wrapText="1"/>
    </xf>
    <xf numFmtId="49" fontId="253" fillId="0" borderId="0" xfId="4" applyNumberFormat="1" applyFont="1" applyAlignment="1">
      <alignment horizontal="left"/>
      <protection locked="0"/>
    </xf>
    <xf numFmtId="176" fontId="73" fillId="0" borderId="0" xfId="0" applyNumberFormat="1" applyFont="1" applyAlignment="1">
      <alignment horizontal="left" vertical="center"/>
    </xf>
    <xf numFmtId="14" fontId="73" fillId="0" borderId="0" xfId="0" applyNumberFormat="1" applyFont="1" applyAlignment="1">
      <alignment horizontal="right" wrapText="1"/>
    </xf>
    <xf numFmtId="0" fontId="73" fillId="0" borderId="0" xfId="0" applyFont="1" applyAlignment="1">
      <alignment horizontal="right" wrapText="1"/>
    </xf>
    <xf numFmtId="0" fontId="96" fillId="0" borderId="0" xfId="0" applyFont="1" applyAlignment="1">
      <alignment horizontal="left" vertical="center" wrapText="1"/>
    </xf>
    <xf numFmtId="49" fontId="73" fillId="18" borderId="8" xfId="0" applyNumberFormat="1" applyFont="1" applyFill="1" applyBorder="1" applyAlignment="1" applyProtection="1">
      <alignment horizontal="center"/>
      <protection locked="0"/>
    </xf>
    <xf numFmtId="49" fontId="73" fillId="18" borderId="9" xfId="0" applyNumberFormat="1" applyFont="1" applyFill="1" applyBorder="1" applyAlignment="1" applyProtection="1">
      <alignment horizontal="center"/>
      <protection locked="0"/>
    </xf>
    <xf numFmtId="49" fontId="73" fillId="18" borderId="10" xfId="0" applyNumberFormat="1" applyFont="1" applyFill="1" applyBorder="1" applyAlignment="1" applyProtection="1">
      <alignment horizontal="center"/>
      <protection locked="0"/>
    </xf>
    <xf numFmtId="49" fontId="73" fillId="18" borderId="8" xfId="0" applyNumberFormat="1" applyFont="1" applyFill="1" applyBorder="1" applyAlignment="1" applyProtection="1">
      <alignment horizontal="left"/>
      <protection locked="0"/>
    </xf>
    <xf numFmtId="49" fontId="73" fillId="18" borderId="9" xfId="0" applyNumberFormat="1" applyFont="1" applyFill="1" applyBorder="1" applyAlignment="1" applyProtection="1">
      <alignment horizontal="left"/>
      <protection locked="0"/>
    </xf>
    <xf numFmtId="0" fontId="80" fillId="18" borderId="13" xfId="0" applyFont="1" applyFill="1" applyBorder="1" applyAlignment="1" applyProtection="1">
      <alignment horizontal="center" vertical="center"/>
      <protection locked="0" hidden="1"/>
    </xf>
    <xf numFmtId="0" fontId="80" fillId="18" borderId="12" xfId="0" applyFont="1" applyFill="1" applyBorder="1" applyAlignment="1" applyProtection="1">
      <alignment horizontal="center" vertical="center"/>
      <protection locked="0" hidden="1"/>
    </xf>
    <xf numFmtId="0" fontId="80" fillId="18" borderId="8" xfId="0" applyFont="1" applyFill="1" applyBorder="1" applyAlignment="1" applyProtection="1">
      <alignment horizontal="center" vertical="center"/>
      <protection locked="0" hidden="1"/>
    </xf>
    <xf numFmtId="0" fontId="80" fillId="18" borderId="10" xfId="0" applyFont="1" applyFill="1" applyBorder="1" applyAlignment="1" applyProtection="1">
      <alignment horizontal="center" vertical="center"/>
      <protection locked="0" hidden="1"/>
    </xf>
    <xf numFmtId="0" fontId="0" fillId="18" borderId="13" xfId="0" applyFill="1" applyBorder="1" applyAlignment="1" applyProtection="1">
      <alignment horizontal="center" vertical="center"/>
      <protection locked="0" hidden="1"/>
    </xf>
    <xf numFmtId="0" fontId="0" fillId="18" borderId="12" xfId="0" applyFill="1" applyBorder="1" applyAlignment="1" applyProtection="1">
      <alignment horizontal="center" vertical="center"/>
      <protection locked="0" hidden="1"/>
    </xf>
    <xf numFmtId="0" fontId="0" fillId="18" borderId="8" xfId="0" applyFill="1" applyBorder="1" applyAlignment="1" applyProtection="1">
      <alignment horizontal="center" vertical="center"/>
      <protection locked="0" hidden="1"/>
    </xf>
    <xf numFmtId="0" fontId="0" fillId="18" borderId="10" xfId="0" applyFill="1" applyBorder="1" applyAlignment="1" applyProtection="1">
      <alignment horizontal="center" vertical="center"/>
      <protection locked="0" hidden="1"/>
    </xf>
    <xf numFmtId="49" fontId="80" fillId="18" borderId="13" xfId="0" applyNumberFormat="1" applyFont="1" applyFill="1" applyBorder="1" applyAlignment="1" applyProtection="1">
      <alignment horizontal="center" vertical="center"/>
      <protection locked="0" hidden="1"/>
    </xf>
    <xf numFmtId="49" fontId="80" fillId="18" borderId="12" xfId="0" applyNumberFormat="1" applyFont="1" applyFill="1" applyBorder="1" applyAlignment="1" applyProtection="1">
      <alignment horizontal="center" vertical="center"/>
      <protection locked="0" hidden="1"/>
    </xf>
    <xf numFmtId="49" fontId="80" fillId="18" borderId="8" xfId="0" applyNumberFormat="1" applyFont="1" applyFill="1" applyBorder="1" applyAlignment="1" applyProtection="1">
      <alignment horizontal="center" vertical="center"/>
      <protection locked="0" hidden="1"/>
    </xf>
    <xf numFmtId="49" fontId="80" fillId="18" borderId="10" xfId="0" applyNumberFormat="1" applyFont="1" applyFill="1" applyBorder="1" applyAlignment="1" applyProtection="1">
      <alignment horizontal="center" vertical="center"/>
      <protection locked="0" hidden="1"/>
    </xf>
    <xf numFmtId="0" fontId="73" fillId="0" borderId="9" xfId="0" applyFont="1" applyBorder="1" applyAlignment="1">
      <alignment horizontal="center"/>
    </xf>
    <xf numFmtId="0" fontId="73" fillId="0" borderId="10" xfId="0" applyFont="1" applyBorder="1" applyAlignment="1">
      <alignment horizontal="center"/>
    </xf>
    <xf numFmtId="0" fontId="81" fillId="0" borderId="0" xfId="0" applyFont="1" applyAlignment="1">
      <alignment horizontal="center"/>
    </xf>
    <xf numFmtId="0" fontId="80" fillId="0" borderId="0" xfId="0" applyFont="1" applyAlignment="1">
      <alignment horizontal="left" wrapText="1" indent="4"/>
    </xf>
    <xf numFmtId="0" fontId="0" fillId="0" borderId="0" xfId="0" applyAlignment="1">
      <alignment horizontal="left"/>
    </xf>
    <xf numFmtId="0" fontId="80" fillId="0" borderId="8" xfId="0" applyFont="1" applyBorder="1" applyAlignment="1">
      <alignment horizontal="center"/>
    </xf>
    <xf numFmtId="0" fontId="80" fillId="0" borderId="9" xfId="0" applyFont="1" applyBorder="1" applyAlignment="1">
      <alignment horizontal="center"/>
    </xf>
    <xf numFmtId="0" fontId="80" fillId="0" borderId="10" xfId="0" applyFont="1" applyBorder="1" applyAlignment="1">
      <alignment horizontal="center"/>
    </xf>
    <xf numFmtId="0" fontId="114" fillId="0" borderId="61" xfId="0" applyFont="1" applyBorder="1" applyAlignment="1" applyProtection="1">
      <alignment horizontal="left" vertical="center"/>
      <protection hidden="1"/>
    </xf>
    <xf numFmtId="0" fontId="114" fillId="0" borderId="62" xfId="0" applyFont="1" applyBorder="1" applyAlignment="1" applyProtection="1">
      <alignment horizontal="left" vertical="center"/>
      <protection hidden="1"/>
    </xf>
    <xf numFmtId="0" fontId="75" fillId="0" borderId="8" xfId="0" applyFont="1" applyBorder="1" applyAlignment="1" applyProtection="1">
      <alignment horizontal="left" vertical="top" wrapText="1"/>
      <protection hidden="1"/>
    </xf>
    <xf numFmtId="0" fontId="75" fillId="0" borderId="9" xfId="0" applyFont="1" applyBorder="1" applyAlignment="1" applyProtection="1">
      <alignment horizontal="left" vertical="top" wrapText="1"/>
      <protection hidden="1"/>
    </xf>
    <xf numFmtId="0" fontId="307" fillId="0" borderId="0" xfId="4" applyFont="1" applyAlignment="1" applyProtection="1">
      <alignment horizontal="left"/>
      <protection hidden="1"/>
    </xf>
    <xf numFmtId="0" fontId="307" fillId="0" borderId="0" xfId="4" applyFont="1" applyAlignment="1" applyProtection="1"/>
    <xf numFmtId="0" fontId="307" fillId="0" borderId="0" xfId="4" applyFont="1" applyAlignment="1" applyProtection="1">
      <alignment horizontal="left"/>
    </xf>
    <xf numFmtId="0" fontId="114" fillId="0" borderId="61" xfId="0" applyFont="1" applyBorder="1" applyAlignment="1" applyProtection="1">
      <alignment horizontal="left"/>
      <protection hidden="1"/>
    </xf>
    <xf numFmtId="0" fontId="114" fillId="0" borderId="62" xfId="0" applyFont="1" applyBorder="1" applyAlignment="1" applyProtection="1">
      <alignment horizontal="left"/>
      <protection hidden="1"/>
    </xf>
    <xf numFmtId="0" fontId="18" fillId="0" borderId="62" xfId="0" applyFont="1" applyBorder="1" applyAlignment="1" applyProtection="1">
      <alignment horizontal="right" vertical="top" wrapText="1"/>
      <protection hidden="1"/>
    </xf>
    <xf numFmtId="0" fontId="73" fillId="0" borderId="62" xfId="0" applyFont="1" applyBorder="1" applyAlignment="1" applyProtection="1">
      <alignment horizontal="right" vertical="top" wrapText="1"/>
      <protection hidden="1"/>
    </xf>
    <xf numFmtId="0" fontId="73" fillId="0" borderId="9" xfId="0" applyFont="1" applyBorder="1" applyAlignment="1" applyProtection="1">
      <alignment horizontal="right" vertical="top" wrapText="1"/>
      <protection hidden="1"/>
    </xf>
    <xf numFmtId="0" fontId="138" fillId="0" borderId="61" xfId="0" applyFont="1" applyBorder="1" applyAlignment="1" applyProtection="1">
      <alignment horizontal="left" vertical="top" wrapText="1"/>
      <protection hidden="1"/>
    </xf>
    <xf numFmtId="0" fontId="138" fillId="0" borderId="62" xfId="0" applyFont="1" applyBorder="1" applyAlignment="1" applyProtection="1">
      <alignment horizontal="left" vertical="top" wrapText="1"/>
      <protection hidden="1"/>
    </xf>
    <xf numFmtId="0" fontId="279" fillId="0" borderId="8" xfId="0" applyFont="1" applyBorder="1" applyAlignment="1" applyProtection="1">
      <alignment horizontal="left" vertical="top" wrapText="1"/>
      <protection hidden="1"/>
    </xf>
    <xf numFmtId="0" fontId="279" fillId="0" borderId="9" xfId="0" applyFont="1" applyBorder="1" applyAlignment="1" applyProtection="1">
      <alignment horizontal="left" vertical="top" wrapText="1"/>
      <protection hidden="1"/>
    </xf>
    <xf numFmtId="0" fontId="114" fillId="0" borderId="62" xfId="0" applyFont="1" applyBorder="1" applyAlignment="1" applyProtection="1">
      <alignment horizontal="left" vertical="top" wrapText="1"/>
      <protection hidden="1"/>
    </xf>
    <xf numFmtId="0" fontId="114" fillId="0" borderId="0" xfId="0" applyFont="1" applyAlignment="1" applyProtection="1">
      <alignment horizontal="left" wrapText="1"/>
      <protection hidden="1"/>
    </xf>
    <xf numFmtId="0" fontId="279" fillId="0" borderId="6" xfId="0" applyFont="1" applyBorder="1" applyAlignment="1" applyProtection="1">
      <alignment horizontal="left" vertical="top" wrapText="1"/>
      <protection hidden="1"/>
    </xf>
    <xf numFmtId="0" fontId="279" fillId="0" borderId="0" xfId="0" applyFont="1" applyAlignment="1" applyProtection="1">
      <alignment horizontal="left" vertical="top" wrapText="1"/>
      <protection hidden="1"/>
    </xf>
    <xf numFmtId="0" fontId="138" fillId="0" borderId="8" xfId="0" applyFont="1" applyBorder="1" applyAlignment="1" applyProtection="1">
      <alignment horizontal="left" vertical="top" wrapText="1"/>
      <protection hidden="1"/>
    </xf>
    <xf numFmtId="0" fontId="138" fillId="0" borderId="0" xfId="0" applyFont="1" applyAlignment="1" applyProtection="1">
      <alignment horizontal="left" vertical="top" wrapText="1"/>
      <protection hidden="1"/>
    </xf>
    <xf numFmtId="0" fontId="103" fillId="0" borderId="0" xfId="0" applyFont="1" applyAlignment="1" applyProtection="1">
      <alignment horizontal="right" vertical="top" wrapText="1"/>
      <protection hidden="1"/>
    </xf>
    <xf numFmtId="0" fontId="76" fillId="0" borderId="0" xfId="0" applyFont="1"/>
    <xf numFmtId="0" fontId="103" fillId="0" borderId="0" xfId="0" applyFont="1" applyAlignment="1" applyProtection="1">
      <alignment horizontal="center" vertical="top" wrapText="1"/>
      <protection hidden="1"/>
    </xf>
    <xf numFmtId="0" fontId="35" fillId="0" borderId="0" xfId="4" applyAlignment="1" applyProtection="1">
      <alignment horizontal="left" vertical="center"/>
    </xf>
    <xf numFmtId="0" fontId="272" fillId="0" borderId="0" xfId="4" applyFont="1" applyAlignment="1" applyProtection="1">
      <alignment horizontal="left" vertical="center"/>
    </xf>
    <xf numFmtId="0" fontId="32" fillId="0" borderId="0" xfId="4" applyFont="1" applyBorder="1" applyAlignment="1" applyProtection="1">
      <alignment horizontal="right" vertical="top" wrapText="1"/>
      <protection hidden="1"/>
    </xf>
    <xf numFmtId="0" fontId="301" fillId="0" borderId="0" xfId="0" applyFont="1" applyAlignment="1" applyProtection="1">
      <alignment horizontal="center" vertical="top" wrapText="1"/>
      <protection hidden="1"/>
    </xf>
    <xf numFmtId="0" fontId="114" fillId="0" borderId="0" xfId="0" applyFont="1" applyAlignment="1" applyProtection="1">
      <alignment horizontal="left" vertical="top" wrapText="1"/>
      <protection hidden="1"/>
    </xf>
    <xf numFmtId="0" fontId="73" fillId="0" borderId="28" xfId="0" applyFont="1" applyBorder="1" applyAlignment="1">
      <alignment horizontal="center" vertical="top" wrapText="1"/>
    </xf>
    <xf numFmtId="0" fontId="73" fillId="0" borderId="29" xfId="0" applyFont="1" applyBorder="1" applyAlignment="1">
      <alignment horizontal="center" vertical="top" wrapText="1"/>
    </xf>
    <xf numFmtId="0" fontId="76" fillId="0" borderId="1" xfId="0" applyFont="1" applyBorder="1" applyAlignment="1">
      <alignment horizontal="center" vertical="center"/>
    </xf>
    <xf numFmtId="0" fontId="76" fillId="0" borderId="0" xfId="0" applyFont="1" applyAlignment="1">
      <alignment horizontal="center" vertical="center"/>
    </xf>
    <xf numFmtId="0" fontId="73" fillId="0" borderId="0" xfId="0" applyFont="1" applyAlignment="1">
      <alignment horizontal="left" vertical="center" wrapText="1"/>
    </xf>
    <xf numFmtId="0" fontId="138" fillId="0" borderId="15" xfId="0" applyFont="1" applyBorder="1" applyAlignment="1" applyProtection="1">
      <alignment horizontal="left" vertical="top" wrapText="1"/>
      <protection hidden="1"/>
    </xf>
    <xf numFmtId="0" fontId="138" fillId="0" borderId="14" xfId="0" applyFont="1" applyBorder="1" applyAlignment="1" applyProtection="1">
      <alignment horizontal="left" vertical="top" wrapText="1"/>
      <protection hidden="1"/>
    </xf>
    <xf numFmtId="0" fontId="75" fillId="0" borderId="6" xfId="0" applyFont="1" applyBorder="1" applyAlignment="1">
      <alignment horizontal="left" vertical="top" wrapText="1"/>
    </xf>
    <xf numFmtId="0" fontId="75" fillId="0" borderId="0" xfId="0" applyFont="1" applyAlignment="1">
      <alignment horizontal="left" vertical="top" wrapText="1"/>
    </xf>
    <xf numFmtId="0" fontId="75" fillId="0" borderId="6" xfId="0" applyFont="1" applyBorder="1" applyAlignment="1">
      <alignment horizontal="center" wrapText="1"/>
    </xf>
    <xf numFmtId="0" fontId="75" fillId="0" borderId="0" xfId="0" applyFont="1" applyAlignment="1">
      <alignment horizontal="center" wrapText="1"/>
    </xf>
    <xf numFmtId="0" fontId="70" fillId="0" borderId="0" xfId="0" applyFont="1" applyAlignment="1" applyProtection="1">
      <alignment horizontal="left"/>
      <protection hidden="1"/>
    </xf>
    <xf numFmtId="14" fontId="73" fillId="0" borderId="0" xfId="0" applyNumberFormat="1" applyFont="1" applyAlignment="1">
      <alignment horizontal="right" indent="1"/>
    </xf>
    <xf numFmtId="0" fontId="23" fillId="0" borderId="3" xfId="0" applyFont="1" applyBorder="1" applyAlignment="1" applyProtection="1">
      <alignment horizontal="center"/>
      <protection hidden="1"/>
    </xf>
    <xf numFmtId="0" fontId="26" fillId="0" borderId="0" xfId="0" applyFont="1" applyAlignment="1" applyProtection="1">
      <alignment horizontal="left"/>
      <protection hidden="1"/>
    </xf>
    <xf numFmtId="0" fontId="27" fillId="0" borderId="0" xfId="0" applyFont="1" applyAlignment="1" applyProtection="1">
      <alignment horizontal="center" vertical="center"/>
      <protection hidden="1"/>
    </xf>
    <xf numFmtId="9" fontId="23" fillId="0" borderId="0" xfId="0" applyNumberFormat="1" applyFont="1" applyAlignment="1" applyProtection="1">
      <alignment horizontal="right" vertical="center"/>
      <protection hidden="1"/>
    </xf>
    <xf numFmtId="14" fontId="0" fillId="0" borderId="0" xfId="0" applyNumberFormat="1" applyAlignment="1">
      <alignment horizontal="left"/>
    </xf>
    <xf numFmtId="0" fontId="92" fillId="0" borderId="0" xfId="0" applyFont="1" applyAlignment="1">
      <alignment horizontal="left" vertical="top" wrapText="1"/>
    </xf>
    <xf numFmtId="0" fontId="242" fillId="0" borderId="0" xfId="0" applyFont="1" applyAlignment="1">
      <alignment horizontal="left" vertical="center" wrapText="1"/>
    </xf>
    <xf numFmtId="0" fontId="242"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top" wrapText="1"/>
    </xf>
    <xf numFmtId="0" fontId="239" fillId="0" borderId="0" xfId="4" applyFont="1" applyAlignment="1" applyProtection="1">
      <alignment horizontal="left" vertical="center" wrapText="1"/>
    </xf>
    <xf numFmtId="0" fontId="120" fillId="0" borderId="0" xfId="0" applyFont="1" applyAlignment="1">
      <alignment horizontal="center" wrapText="1"/>
    </xf>
    <xf numFmtId="0" fontId="89" fillId="0" borderId="0" xfId="0" applyFont="1" applyAlignment="1">
      <alignment horizontal="left"/>
    </xf>
    <xf numFmtId="0" fontId="120" fillId="0" borderId="0" xfId="0" applyFont="1" applyAlignment="1">
      <alignment horizontal="left" vertical="center" wrapText="1"/>
    </xf>
    <xf numFmtId="0" fontId="120" fillId="0" borderId="0" xfId="0" applyFont="1" applyAlignment="1">
      <alignment horizontal="left" vertical="top" wrapText="1"/>
    </xf>
    <xf numFmtId="166" fontId="235" fillId="0" borderId="27" xfId="0" applyNumberFormat="1" applyFont="1" applyBorder="1" applyAlignment="1" applyProtection="1">
      <alignment horizontal="center" vertical="center"/>
      <protection locked="0"/>
    </xf>
    <xf numFmtId="166" fontId="235" fillId="0" borderId="29" xfId="0" applyNumberFormat="1" applyFont="1" applyBorder="1" applyAlignment="1" applyProtection="1">
      <alignment horizontal="center" vertical="center"/>
      <protection locked="0"/>
    </xf>
    <xf numFmtId="14" fontId="120" fillId="0" borderId="6" xfId="0" applyNumberFormat="1" applyFont="1" applyBorder="1" applyAlignment="1" applyProtection="1">
      <alignment horizontal="left" vertical="center" wrapText="1"/>
      <protection hidden="1"/>
    </xf>
    <xf numFmtId="0" fontId="74" fillId="0" borderId="0" xfId="0" applyFont="1" applyAlignment="1">
      <alignment horizontal="left"/>
    </xf>
    <xf numFmtId="0" fontId="138" fillId="0" borderId="62" xfId="0" applyFont="1" applyBorder="1" applyAlignment="1">
      <alignment horizontal="left" vertical="top" wrapText="1"/>
    </xf>
    <xf numFmtId="0" fontId="138" fillId="0" borderId="0" xfId="0" applyFont="1" applyAlignment="1">
      <alignment horizontal="left" vertical="top" wrapText="1"/>
    </xf>
    <xf numFmtId="0" fontId="138" fillId="0" borderId="9" xfId="0" applyFont="1" applyBorder="1" applyAlignment="1">
      <alignment horizontal="left" vertical="top" wrapText="1"/>
    </xf>
    <xf numFmtId="0" fontId="245" fillId="0" borderId="61" xfId="0" applyFont="1" applyBorder="1" applyAlignment="1">
      <alignment horizontal="center" vertical="center"/>
    </xf>
    <xf numFmtId="0" fontId="245" fillId="0" borderId="62" xfId="0" applyFont="1" applyBorder="1" applyAlignment="1">
      <alignment horizontal="center" vertical="center"/>
    </xf>
    <xf numFmtId="0" fontId="245" fillId="0" borderId="60" xfId="0" applyFont="1" applyBorder="1" applyAlignment="1">
      <alignment horizontal="center" vertical="center"/>
    </xf>
    <xf numFmtId="0" fontId="245" fillId="0" borderId="8" xfId="0" applyFont="1" applyBorder="1" applyAlignment="1">
      <alignment horizontal="center" vertical="center"/>
    </xf>
    <xf numFmtId="0" fontId="245" fillId="0" borderId="9" xfId="0" applyFont="1" applyBorder="1" applyAlignment="1">
      <alignment horizontal="center" vertical="center"/>
    </xf>
    <xf numFmtId="0" fontId="245" fillId="0" borderId="10" xfId="0" applyFont="1" applyBorder="1" applyAlignment="1">
      <alignment horizontal="center" vertical="center"/>
    </xf>
    <xf numFmtId="0" fontId="40" fillId="0" borderId="0" xfId="0" applyFont="1" applyAlignment="1">
      <alignment horizontal="left" vertical="center" wrapText="1"/>
    </xf>
    <xf numFmtId="0" fontId="63" fillId="0" borderId="0" xfId="0" applyFont="1" applyAlignment="1">
      <alignment horizontal="left" vertical="top" wrapText="1"/>
    </xf>
    <xf numFmtId="0" fontId="113" fillId="0" borderId="0" xfId="0" applyFont="1" applyAlignment="1">
      <alignment horizontal="left" vertical="top" wrapText="1"/>
    </xf>
    <xf numFmtId="49" fontId="63" fillId="0" borderId="0" xfId="0" applyNumberFormat="1" applyFont="1" applyAlignment="1">
      <alignment horizontal="left" vertical="top" wrapText="1"/>
    </xf>
    <xf numFmtId="6" fontId="285" fillId="0" borderId="55" xfId="0" applyNumberFormat="1" applyFont="1" applyBorder="1" applyAlignment="1">
      <alignment horizontal="center" vertical="center" wrapText="1"/>
    </xf>
    <xf numFmtId="0" fontId="285" fillId="0" borderId="1" xfId="0" applyFont="1" applyBorder="1" applyAlignment="1">
      <alignment horizontal="center" vertical="center" wrapText="1"/>
    </xf>
    <xf numFmtId="6" fontId="138" fillId="0" borderId="15" xfId="0" applyNumberFormat="1" applyFont="1" applyBorder="1" applyAlignment="1">
      <alignment horizontal="center" vertical="center"/>
    </xf>
    <xf numFmtId="6" fontId="138" fillId="0" borderId="14" xfId="0" applyNumberFormat="1" applyFont="1" applyBorder="1" applyAlignment="1">
      <alignment horizontal="center" vertical="center"/>
    </xf>
    <xf numFmtId="6" fontId="138" fillId="0" borderId="58" xfId="0" applyNumberFormat="1" applyFont="1" applyBorder="1" applyAlignment="1">
      <alignment horizontal="center" vertical="center"/>
    </xf>
    <xf numFmtId="0" fontId="285" fillId="0" borderId="1" xfId="0" applyFont="1" applyBorder="1" applyAlignment="1">
      <alignment horizontal="left" vertical="center"/>
    </xf>
    <xf numFmtId="0" fontId="285" fillId="0" borderId="15" xfId="0" applyFont="1" applyBorder="1" applyAlignment="1">
      <alignment horizontal="left" vertical="center"/>
    </xf>
    <xf numFmtId="0" fontId="285" fillId="0" borderId="14" xfId="0" applyFont="1" applyBorder="1" applyAlignment="1">
      <alignment horizontal="left" vertical="center"/>
    </xf>
    <xf numFmtId="0" fontId="285" fillId="0" borderId="2" xfId="0" applyFont="1" applyBorder="1" applyAlignment="1">
      <alignment horizontal="left" vertical="center"/>
    </xf>
    <xf numFmtId="6" fontId="285" fillId="0" borderId="57" xfId="0" applyNumberFormat="1" applyFont="1" applyBorder="1" applyAlignment="1">
      <alignment horizontal="center" vertical="center"/>
    </xf>
    <xf numFmtId="6" fontId="285" fillId="0" borderId="58" xfId="0" applyNumberFormat="1" applyFont="1" applyBorder="1" applyAlignment="1">
      <alignment horizontal="center" vertical="center"/>
    </xf>
    <xf numFmtId="6" fontId="285" fillId="0" borderId="56" xfId="0" applyNumberFormat="1" applyFont="1" applyBorder="1" applyAlignment="1">
      <alignment horizontal="center" vertical="center"/>
    </xf>
    <xf numFmtId="0" fontId="138" fillId="0" borderId="0" xfId="0" applyFont="1" applyAlignment="1">
      <alignment horizontal="center" wrapText="1"/>
    </xf>
    <xf numFmtId="0" fontId="138" fillId="0" borderId="15" xfId="0" applyFont="1" applyBorder="1" applyAlignment="1">
      <alignment horizontal="center" vertical="center"/>
    </xf>
    <xf numFmtId="0" fontId="138" fillId="0" borderId="14" xfId="0" applyFont="1" applyBorder="1" applyAlignment="1">
      <alignment horizontal="center" vertical="center"/>
    </xf>
    <xf numFmtId="0" fontId="138" fillId="0" borderId="2" xfId="0" applyFont="1" applyBorder="1" applyAlignment="1">
      <alignment horizontal="center" vertical="center"/>
    </xf>
    <xf numFmtId="0" fontId="285" fillId="0" borderId="57" xfId="0" applyFont="1" applyBorder="1" applyAlignment="1">
      <alignment horizontal="center" vertical="center" wrapText="1"/>
    </xf>
    <xf numFmtId="0" fontId="285" fillId="0" borderId="58" xfId="0" applyFont="1" applyBorder="1" applyAlignment="1">
      <alignment horizontal="center" vertical="center"/>
    </xf>
    <xf numFmtId="0" fontId="285" fillId="0" borderId="56" xfId="0" applyFont="1" applyBorder="1" applyAlignment="1">
      <alignment horizontal="center" vertical="center"/>
    </xf>
    <xf numFmtId="0" fontId="285" fillId="0" borderId="15" xfId="0" applyFont="1" applyBorder="1" applyAlignment="1">
      <alignment horizontal="center" vertical="center"/>
    </xf>
    <xf numFmtId="0" fontId="285" fillId="0" borderId="14" xfId="0" applyFont="1" applyBorder="1" applyAlignment="1">
      <alignment horizontal="center" vertical="center"/>
    </xf>
    <xf numFmtId="0" fontId="285" fillId="0" borderId="2" xfId="0" applyFont="1" applyBorder="1" applyAlignment="1">
      <alignment horizontal="center" vertical="center"/>
    </xf>
    <xf numFmtId="6" fontId="285" fillId="0" borderId="63" xfId="0" applyNumberFormat="1" applyFont="1" applyBorder="1" applyAlignment="1">
      <alignment horizontal="center" vertical="center"/>
    </xf>
    <xf numFmtId="0" fontId="285" fillId="0" borderId="13" xfId="0" applyFont="1" applyBorder="1" applyAlignment="1">
      <alignment horizontal="center" vertical="center"/>
    </xf>
    <xf numFmtId="0" fontId="285" fillId="0" borderId="11" xfId="0" applyFont="1" applyBorder="1" applyAlignment="1">
      <alignment horizontal="center" vertical="center"/>
    </xf>
    <xf numFmtId="0" fontId="285" fillId="0" borderId="12" xfId="0" applyFont="1" applyBorder="1" applyAlignment="1">
      <alignment horizontal="center" vertical="center"/>
    </xf>
    <xf numFmtId="6" fontId="285" fillId="0" borderId="0" xfId="0" applyNumberFormat="1" applyFont="1" applyAlignment="1">
      <alignment horizontal="center" vertical="center" wrapText="1"/>
    </xf>
    <xf numFmtId="0" fontId="285" fillId="0" borderId="58" xfId="0" applyFont="1" applyBorder="1" applyAlignment="1">
      <alignment horizontal="center" vertical="center" wrapText="1"/>
    </xf>
    <xf numFmtId="0" fontId="285" fillId="0" borderId="56" xfId="0" applyFont="1" applyBorder="1" applyAlignment="1">
      <alignment horizontal="center" vertical="center" wrapText="1"/>
    </xf>
    <xf numFmtId="6" fontId="285" fillId="0" borderId="57" xfId="0" applyNumberFormat="1" applyFont="1" applyBorder="1" applyAlignment="1">
      <alignment horizontal="center" vertical="center" wrapText="1"/>
    </xf>
    <xf numFmtId="6" fontId="285" fillId="0" borderId="58" xfId="0" applyNumberFormat="1" applyFont="1" applyBorder="1" applyAlignment="1">
      <alignment horizontal="center" vertical="center" wrapText="1"/>
    </xf>
    <xf numFmtId="6" fontId="285" fillId="0" borderId="56" xfId="0" applyNumberFormat="1" applyFont="1" applyBorder="1" applyAlignment="1">
      <alignment horizontal="center" vertical="center" wrapText="1"/>
    </xf>
    <xf numFmtId="0" fontId="285" fillId="0" borderId="14" xfId="0" applyFont="1" applyBorder="1" applyAlignment="1">
      <alignment horizontal="center" vertical="center" wrapText="1"/>
    </xf>
    <xf numFmtId="0" fontId="113" fillId="0" borderId="6" xfId="0" applyFont="1" applyBorder="1" applyAlignment="1">
      <alignment horizontal="center" vertical="center" wrapText="1"/>
    </xf>
    <xf numFmtId="0" fontId="113" fillId="0" borderId="0" xfId="0" applyFont="1" applyAlignment="1">
      <alignment horizontal="center" vertical="center" wrapText="1"/>
    </xf>
    <xf numFmtId="0" fontId="113" fillId="0" borderId="7" xfId="0"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4" fillId="0" borderId="0" xfId="0" applyFont="1" applyAlignment="1">
      <alignment horizontal="center"/>
    </xf>
    <xf numFmtId="0" fontId="268" fillId="0" borderId="11" xfId="0" applyFont="1" applyBorder="1" applyAlignment="1">
      <alignment horizontal="left" vertical="top" wrapText="1"/>
    </xf>
    <xf numFmtId="0" fontId="114" fillId="0" borderId="13" xfId="0" applyFont="1" applyBorder="1" applyAlignment="1">
      <alignment horizontal="center" vertical="center" wrapText="1"/>
    </xf>
    <xf numFmtId="0" fontId="114" fillId="0" borderId="11" xfId="0" applyFont="1" applyBorder="1" applyAlignment="1">
      <alignment horizontal="center" vertical="center" wrapText="1"/>
    </xf>
    <xf numFmtId="0" fontId="114" fillId="0" borderId="12" xfId="0" applyFont="1" applyBorder="1" applyAlignment="1">
      <alignment horizontal="center" vertical="center" wrapText="1"/>
    </xf>
    <xf numFmtId="0" fontId="114" fillId="0" borderId="8" xfId="0" applyFont="1" applyBorder="1" applyAlignment="1">
      <alignment horizontal="center" vertical="center" wrapText="1"/>
    </xf>
    <xf numFmtId="0" fontId="114" fillId="0" borderId="9" xfId="0" applyFont="1" applyBorder="1" applyAlignment="1">
      <alignment horizontal="center" vertical="center" wrapText="1"/>
    </xf>
    <xf numFmtId="0" fontId="114" fillId="0" borderId="10" xfId="0" applyFont="1" applyBorder="1" applyAlignment="1">
      <alignment horizontal="center" vertical="center" wrapText="1"/>
    </xf>
    <xf numFmtId="0" fontId="75" fillId="0" borderId="15" xfId="0" applyFont="1" applyBorder="1" applyAlignment="1">
      <alignment horizontal="left" vertical="center"/>
    </xf>
    <xf numFmtId="0" fontId="75" fillId="0" borderId="14" xfId="0" applyFont="1" applyBorder="1" applyAlignment="1">
      <alignment horizontal="left" vertical="center"/>
    </xf>
    <xf numFmtId="0" fontId="75" fillId="0" borderId="2" xfId="0" applyFont="1" applyBorder="1" applyAlignment="1">
      <alignment horizontal="left" vertical="center"/>
    </xf>
    <xf numFmtId="0" fontId="250" fillId="0" borderId="0" xfId="0" applyFont="1" applyAlignment="1">
      <alignment horizontal="center" vertical="top"/>
    </xf>
    <xf numFmtId="0" fontId="113" fillId="0" borderId="0" xfId="0" applyFont="1" applyAlignment="1">
      <alignment horizontal="left" vertical="center" wrapText="1"/>
    </xf>
    <xf numFmtId="0" fontId="100" fillId="0" borderId="6" xfId="0" applyFont="1" applyBorder="1" applyAlignment="1">
      <alignment horizontal="center" vertical="center"/>
    </xf>
    <xf numFmtId="0" fontId="100" fillId="0" borderId="0" xfId="0" applyFont="1" applyAlignment="1">
      <alignment horizontal="center" vertical="center"/>
    </xf>
    <xf numFmtId="0" fontId="100" fillId="0" borderId="8" xfId="0" applyFont="1" applyBorder="1" applyAlignment="1">
      <alignment horizontal="center" vertical="center"/>
    </xf>
    <xf numFmtId="0" fontId="100" fillId="0" borderId="9" xfId="0" applyFont="1" applyBorder="1" applyAlignment="1">
      <alignment horizontal="center" vertical="center"/>
    </xf>
    <xf numFmtId="0" fontId="63" fillId="0" borderId="0" xfId="0" applyFont="1" applyAlignment="1">
      <alignment horizontal="left" wrapText="1"/>
    </xf>
    <xf numFmtId="0" fontId="110" fillId="0" borderId="0" xfId="0" applyFont="1" applyAlignment="1">
      <alignment horizontal="left" vertical="top" wrapText="1"/>
    </xf>
    <xf numFmtId="0" fontId="63" fillId="0" borderId="0" xfId="0" applyFont="1" applyAlignment="1">
      <alignment horizontal="left" vertical="center" wrapText="1"/>
    </xf>
    <xf numFmtId="0" fontId="250" fillId="0" borderId="0" xfId="0" applyFont="1" applyAlignment="1">
      <alignment horizontal="center" vertical="center"/>
    </xf>
    <xf numFmtId="0" fontId="135" fillId="0" borderId="0" xfId="0" applyFont="1" applyAlignment="1">
      <alignment horizontal="center" vertical="center"/>
    </xf>
    <xf numFmtId="0" fontId="75" fillId="0" borderId="0" xfId="4" applyFont="1" applyAlignment="1">
      <alignment horizontal="center" vertical="center"/>
      <protection locked="0"/>
    </xf>
    <xf numFmtId="0" fontId="138" fillId="0" borderId="0" xfId="0" applyFont="1" applyAlignment="1">
      <alignment horizontal="center" vertical="center"/>
    </xf>
    <xf numFmtId="0" fontId="244" fillId="0" borderId="0" xfId="0" applyFont="1" applyAlignment="1">
      <alignment horizontal="center" vertical="center" wrapText="1"/>
    </xf>
    <xf numFmtId="0" fontId="114" fillId="0" borderId="0" xfId="0" applyFont="1" applyAlignment="1">
      <alignment horizontal="center" vertical="center" wrapText="1"/>
    </xf>
    <xf numFmtId="6" fontId="138" fillId="0" borderId="0" xfId="0" applyNumberFormat="1" applyFont="1" applyAlignment="1">
      <alignment horizontal="center" vertical="center"/>
    </xf>
    <xf numFmtId="8" fontId="138" fillId="0" borderId="0" xfId="0" applyNumberFormat="1" applyFont="1" applyAlignment="1">
      <alignment horizontal="center" vertical="center"/>
    </xf>
    <xf numFmtId="0" fontId="245" fillId="0" borderId="0" xfId="0" applyFont="1" applyAlignment="1">
      <alignment horizontal="left" vertical="center"/>
    </xf>
    <xf numFmtId="0" fontId="75" fillId="0" borderId="0" xfId="0" applyFont="1" applyAlignment="1">
      <alignment horizontal="left" vertical="center"/>
    </xf>
    <xf numFmtId="6" fontId="113" fillId="0" borderId="0" xfId="0" applyNumberFormat="1" applyFont="1" applyAlignment="1">
      <alignment horizontal="center" vertical="center"/>
    </xf>
    <xf numFmtId="6" fontId="285" fillId="0" borderId="0" xfId="0" applyNumberFormat="1" applyFont="1" applyAlignment="1">
      <alignment horizontal="center" vertical="center"/>
    </xf>
    <xf numFmtId="0" fontId="135" fillId="0" borderId="0" xfId="0" applyFont="1" applyAlignment="1">
      <alignment horizontal="center"/>
    </xf>
    <xf numFmtId="0" fontId="285" fillId="0" borderId="1" xfId="0" applyFont="1" applyBorder="1" applyAlignment="1">
      <alignment horizontal="left" vertical="center" wrapText="1"/>
    </xf>
    <xf numFmtId="0" fontId="285" fillId="0" borderId="15" xfId="0" applyFont="1" applyBorder="1" applyAlignment="1">
      <alignment horizontal="center" vertical="center" wrapText="1"/>
    </xf>
    <xf numFmtId="0" fontId="285" fillId="0" borderId="2" xfId="0" applyFont="1" applyBorder="1" applyAlignment="1">
      <alignment horizontal="center" vertical="center" wrapText="1"/>
    </xf>
    <xf numFmtId="0" fontId="285" fillId="0" borderId="55" xfId="0" applyFont="1" applyBorder="1" applyAlignment="1">
      <alignment horizontal="center" vertical="center" wrapText="1"/>
    </xf>
    <xf numFmtId="14" fontId="39" fillId="0" borderId="0" xfId="0" applyNumberFormat="1" applyFont="1" applyAlignment="1">
      <alignment horizontal="left"/>
    </xf>
    <xf numFmtId="0" fontId="113" fillId="0" borderId="0" xfId="0" applyFont="1" applyAlignment="1">
      <alignment horizontal="center"/>
    </xf>
    <xf numFmtId="0" fontId="113" fillId="0" borderId="6" xfId="0" applyFont="1" applyBorder="1" applyAlignment="1">
      <alignment horizontal="left" vertical="center"/>
    </xf>
    <xf numFmtId="0" fontId="113" fillId="0" borderId="0" xfId="0" applyFont="1" applyAlignment="1">
      <alignment horizontal="left" vertical="center"/>
    </xf>
    <xf numFmtId="0" fontId="113" fillId="0" borderId="7" xfId="0" applyFont="1" applyBorder="1" applyAlignment="1">
      <alignment horizontal="left" vertical="center"/>
    </xf>
    <xf numFmtId="0" fontId="113" fillId="0" borderId="8" xfId="0" applyFont="1" applyBorder="1" applyAlignment="1">
      <alignment horizontal="left" vertical="center"/>
    </xf>
    <xf numFmtId="0" fontId="113" fillId="0" borderId="9" xfId="0" applyFont="1" applyBorder="1" applyAlignment="1">
      <alignment horizontal="left" vertical="center"/>
    </xf>
    <xf numFmtId="0" fontId="113" fillId="0" borderId="10" xfId="0" applyFont="1" applyBorder="1" applyAlignment="1">
      <alignment horizontal="left" vertical="center"/>
    </xf>
    <xf numFmtId="6" fontId="113" fillId="0" borderId="6" xfId="0" applyNumberFormat="1" applyFont="1" applyBorder="1" applyAlignment="1">
      <alignment horizontal="center" vertical="center"/>
    </xf>
    <xf numFmtId="6" fontId="113" fillId="0" borderId="8" xfId="0" applyNumberFormat="1" applyFont="1" applyBorder="1" applyAlignment="1">
      <alignment horizontal="center" vertical="center"/>
    </xf>
    <xf numFmtId="6" fontId="113" fillId="0" borderId="9" xfId="0" applyNumberFormat="1" applyFont="1" applyBorder="1" applyAlignment="1">
      <alignment horizontal="center" vertical="center"/>
    </xf>
    <xf numFmtId="0" fontId="245" fillId="0" borderId="13" xfId="0" applyFont="1" applyBorder="1" applyAlignment="1">
      <alignment horizontal="center" vertical="center"/>
    </xf>
    <xf numFmtId="0" fontId="245" fillId="0" borderId="11" xfId="0" applyFont="1" applyBorder="1" applyAlignment="1">
      <alignment horizontal="center" vertical="center"/>
    </xf>
    <xf numFmtId="0" fontId="245" fillId="0" borderId="12" xfId="0" applyFont="1" applyBorder="1" applyAlignment="1">
      <alignment horizontal="center" vertical="center"/>
    </xf>
    <xf numFmtId="0" fontId="248" fillId="0" borderId="8" xfId="0" applyFont="1" applyBorder="1" applyAlignment="1">
      <alignment horizontal="center" vertical="center"/>
    </xf>
    <xf numFmtId="0" fontId="248" fillId="0" borderId="9" xfId="0" applyFont="1" applyBorder="1" applyAlignment="1">
      <alignment horizontal="center" vertical="center"/>
    </xf>
    <xf numFmtId="0" fontId="248" fillId="0" borderId="10" xfId="0" applyFont="1" applyBorder="1" applyAlignment="1">
      <alignment horizontal="center" vertical="center"/>
    </xf>
    <xf numFmtId="0" fontId="75" fillId="0" borderId="15" xfId="4" applyFont="1" applyBorder="1" applyAlignment="1">
      <alignment horizontal="center" vertical="center"/>
      <protection locked="0"/>
    </xf>
    <xf numFmtId="0" fontId="75" fillId="0" borderId="11" xfId="4" applyFont="1" applyBorder="1" applyAlignment="1">
      <alignment horizontal="center" vertical="center"/>
      <protection locked="0"/>
    </xf>
    <xf numFmtId="0" fontId="75" fillId="0" borderId="14" xfId="4" applyFont="1" applyBorder="1" applyAlignment="1">
      <alignment horizontal="center" vertical="center"/>
      <protection locked="0"/>
    </xf>
    <xf numFmtId="0" fontId="75" fillId="0" borderId="2" xfId="4" applyFont="1" applyBorder="1" applyAlignment="1">
      <alignment horizontal="center" vertical="center"/>
      <protection locked="0"/>
    </xf>
    <xf numFmtId="0" fontId="244" fillId="0" borderId="15" xfId="0" applyFont="1" applyBorder="1" applyAlignment="1">
      <alignment horizontal="center" vertical="center" wrapText="1"/>
    </xf>
    <xf numFmtId="0" fontId="244" fillId="0" borderId="14" xfId="0" applyFont="1" applyBorder="1" applyAlignment="1">
      <alignment horizontal="center" vertical="center" wrapText="1"/>
    </xf>
    <xf numFmtId="0" fontId="244" fillId="0" borderId="60" xfId="0" applyFont="1" applyBorder="1" applyAlignment="1">
      <alignment horizontal="center" vertical="center" wrapText="1"/>
    </xf>
    <xf numFmtId="6" fontId="285" fillId="0" borderId="60" xfId="0" applyNumberFormat="1" applyFont="1" applyBorder="1" applyAlignment="1">
      <alignment horizontal="center" vertical="center"/>
    </xf>
    <xf numFmtId="0" fontId="255" fillId="0" borderId="14" xfId="0" applyFont="1" applyBorder="1" applyAlignment="1">
      <alignment horizontal="center" vertical="center"/>
    </xf>
    <xf numFmtId="49" fontId="63" fillId="0" borderId="0" xfId="0" applyNumberFormat="1" applyFont="1" applyAlignment="1">
      <alignment horizontal="center" vertical="center"/>
    </xf>
    <xf numFmtId="49" fontId="113" fillId="0" borderId="0" xfId="0" applyNumberFormat="1" applyFont="1" applyAlignment="1">
      <alignment horizontal="center" vertical="top"/>
    </xf>
    <xf numFmtId="0" fontId="63" fillId="0" borderId="0" xfId="0" applyFont="1" applyAlignment="1">
      <alignment horizontal="left" vertical="center"/>
    </xf>
    <xf numFmtId="49" fontId="63" fillId="0" borderId="0" xfId="0" applyNumberFormat="1" applyFont="1" applyAlignment="1">
      <alignment horizontal="left" vertical="center" wrapText="1"/>
    </xf>
    <xf numFmtId="192" fontId="70" fillId="0" borderId="57" xfId="0" applyNumberFormat="1" applyFont="1" applyBorder="1" applyAlignment="1" applyProtection="1">
      <alignment horizontal="center"/>
      <protection locked="0"/>
    </xf>
    <xf numFmtId="192" fontId="70" fillId="0" borderId="58" xfId="0" applyNumberFormat="1" applyFont="1" applyBorder="1" applyAlignment="1" applyProtection="1">
      <alignment horizontal="center"/>
      <protection locked="0"/>
    </xf>
    <xf numFmtId="192" fontId="70" fillId="0" borderId="56" xfId="0" applyNumberFormat="1" applyFont="1" applyBorder="1" applyAlignment="1" applyProtection="1">
      <alignment horizontal="center"/>
      <protection locked="0"/>
    </xf>
    <xf numFmtId="176" fontId="70" fillId="0" borderId="0" xfId="0" applyNumberFormat="1" applyFont="1" applyAlignment="1" applyProtection="1">
      <alignment horizontal="center"/>
      <protection locked="0"/>
    </xf>
    <xf numFmtId="176" fontId="70" fillId="0" borderId="15" xfId="0" applyNumberFormat="1" applyFont="1" applyBorder="1" applyAlignment="1" applyProtection="1">
      <alignment horizontal="center"/>
      <protection locked="0"/>
    </xf>
    <xf numFmtId="176" fontId="70" fillId="0" borderId="2" xfId="0" applyNumberFormat="1" applyFont="1" applyBorder="1" applyAlignment="1" applyProtection="1">
      <alignment horizontal="center"/>
      <protection locked="0"/>
    </xf>
    <xf numFmtId="192" fontId="70" fillId="0" borderId="1" xfId="0" applyNumberFormat="1" applyFont="1" applyBorder="1" applyAlignment="1" applyProtection="1">
      <alignment horizontal="center"/>
      <protection locked="0"/>
    </xf>
    <xf numFmtId="192" fontId="70" fillId="0" borderId="1" xfId="0" applyNumberFormat="1" applyFont="1" applyBorder="1" applyAlignment="1" applyProtection="1">
      <alignment horizontal="center" wrapText="1"/>
      <protection locked="0"/>
    </xf>
    <xf numFmtId="0" fontId="100" fillId="0" borderId="9" xfId="0" applyFont="1" applyBorder="1" applyAlignment="1" applyProtection="1">
      <alignment horizont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0" fillId="0" borderId="9" xfId="0" applyBorder="1" applyAlignment="1" applyProtection="1">
      <alignment horizontal="center"/>
      <protection locked="0"/>
    </xf>
    <xf numFmtId="0" fontId="127" fillId="0" borderId="0" xfId="0" applyFont="1" applyAlignment="1" applyProtection="1">
      <alignment horizontal="right"/>
      <protection locked="0"/>
    </xf>
    <xf numFmtId="0" fontId="100" fillId="0" borderId="1" xfId="0" applyFont="1" applyBorder="1" applyAlignment="1" applyProtection="1">
      <alignment horizontal="center"/>
      <protection locked="0"/>
    </xf>
    <xf numFmtId="0" fontId="73" fillId="0" borderId="9" xfId="0" applyFont="1" applyBorder="1" applyAlignment="1" applyProtection="1">
      <alignment horizontal="left"/>
      <protection hidden="1"/>
    </xf>
    <xf numFmtId="176" fontId="70" fillId="0" borderId="15" xfId="0" applyNumberFormat="1" applyFont="1" applyBorder="1" applyAlignment="1" applyProtection="1">
      <alignment horizontal="center"/>
      <protection hidden="1"/>
    </xf>
    <xf numFmtId="176" fontId="70" fillId="0" borderId="2" xfId="0" applyNumberFormat="1" applyFont="1" applyBorder="1" applyAlignment="1" applyProtection="1">
      <alignment horizontal="center"/>
      <protection hidden="1"/>
    </xf>
    <xf numFmtId="0" fontId="100" fillId="0" borderId="57" xfId="0" applyFont="1" applyBorder="1" applyAlignment="1" applyProtection="1">
      <alignment horizontal="center"/>
      <protection locked="0"/>
    </xf>
    <xf numFmtId="0" fontId="100" fillId="0" borderId="58" xfId="0" applyFont="1" applyBorder="1" applyAlignment="1" applyProtection="1">
      <alignment horizontal="center"/>
      <protection locked="0"/>
    </xf>
    <xf numFmtId="0" fontId="100" fillId="0" borderId="56" xfId="0" applyFont="1" applyBorder="1" applyAlignment="1" applyProtection="1">
      <alignment horizontal="center"/>
      <protection locked="0"/>
    </xf>
    <xf numFmtId="0" fontId="75" fillId="0" borderId="13" xfId="0" applyFont="1" applyBorder="1" applyAlignment="1" applyProtection="1">
      <alignment horizontal="left"/>
      <protection locked="0"/>
    </xf>
    <xf numFmtId="0" fontId="75" fillId="0" borderId="11" xfId="0" applyFont="1" applyBorder="1" applyAlignment="1" applyProtection="1">
      <alignment horizontal="left"/>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127" fillId="0" borderId="0" xfId="0" applyFont="1" applyAlignment="1" applyProtection="1">
      <alignment horizontal="center"/>
      <protection locked="0"/>
    </xf>
    <xf numFmtId="0" fontId="70" fillId="0" borderId="9" xfId="0" applyFont="1" applyBorder="1" applyAlignment="1" applyProtection="1">
      <alignment horizontal="center"/>
      <protection locked="0"/>
    </xf>
    <xf numFmtId="0" fontId="76" fillId="0" borderId="15" xfId="0" applyFont="1" applyBorder="1" applyAlignment="1">
      <alignment horizontal="center"/>
    </xf>
    <xf numFmtId="0" fontId="76" fillId="0" borderId="2" xfId="0" applyFont="1" applyBorder="1" applyAlignment="1">
      <alignment horizontal="center"/>
    </xf>
    <xf numFmtId="0" fontId="76" fillId="0" borderId="57" xfId="0" applyFont="1" applyBorder="1" applyAlignment="1">
      <alignment horizontal="center"/>
    </xf>
    <xf numFmtId="0" fontId="76" fillId="0" borderId="58" xfId="0" applyFont="1" applyBorder="1" applyAlignment="1">
      <alignment horizontal="center"/>
    </xf>
    <xf numFmtId="0" fontId="76" fillId="0" borderId="56" xfId="0" applyFont="1" applyBorder="1" applyAlignment="1">
      <alignment horizontal="center"/>
    </xf>
    <xf numFmtId="0" fontId="0" fillId="0" borderId="9" xfId="0" applyBorder="1" applyAlignment="1">
      <alignment horizontal="center"/>
    </xf>
    <xf numFmtId="0" fontId="100" fillId="0" borderId="1" xfId="0" applyFont="1" applyBorder="1" applyAlignment="1">
      <alignment horizontal="center"/>
    </xf>
    <xf numFmtId="0" fontId="70" fillId="0" borderId="1" xfId="0" applyFont="1" applyBorder="1" applyAlignment="1">
      <alignment horizontal="center"/>
    </xf>
    <xf numFmtId="0" fontId="41" fillId="0" borderId="16" xfId="22" applyFont="1" applyBorder="1" applyAlignment="1">
      <alignment horizontal="left"/>
    </xf>
    <xf numFmtId="0" fontId="41" fillId="0" borderId="17" xfId="22" applyFont="1" applyBorder="1" applyAlignment="1">
      <alignment horizontal="left"/>
    </xf>
    <xf numFmtId="0" fontId="41" fillId="0" borderId="18" xfId="22" applyFont="1" applyBorder="1" applyAlignment="1">
      <alignment horizontal="left"/>
    </xf>
    <xf numFmtId="182" fontId="174" fillId="50" borderId="39" xfId="22" applyNumberFormat="1" applyFont="1" applyFill="1" applyBorder="1" applyAlignment="1">
      <alignment horizontal="center"/>
    </xf>
    <xf numFmtId="182" fontId="174" fillId="50" borderId="9" xfId="22" applyNumberFormat="1" applyFont="1" applyFill="1" applyBorder="1" applyAlignment="1">
      <alignment horizontal="center"/>
    </xf>
    <xf numFmtId="182" fontId="174" fillId="50" borderId="40" xfId="22" applyNumberFormat="1" applyFont="1" applyFill="1" applyBorder="1" applyAlignment="1">
      <alignment horizontal="center"/>
    </xf>
    <xf numFmtId="10" fontId="178" fillId="50" borderId="0" xfId="23" applyNumberFormat="1" applyFont="1" applyFill="1" applyAlignment="1">
      <alignment horizontal="center"/>
    </xf>
    <xf numFmtId="0" fontId="178" fillId="50" borderId="0" xfId="22" applyFont="1" applyFill="1" applyAlignment="1">
      <alignment horizontal="center"/>
    </xf>
    <xf numFmtId="0" fontId="178" fillId="50" borderId="25" xfId="22" applyFont="1" applyFill="1" applyBorder="1" applyAlignment="1">
      <alignment horizontal="center"/>
    </xf>
  </cellXfs>
  <cellStyles count="41326">
    <cellStyle name="20% - Accent1 10" xfId="27" xr:uid="{00000000-0005-0000-0000-000000000000}"/>
    <cellStyle name="20% - Accent1 11" xfId="28" xr:uid="{00000000-0005-0000-0000-000001000000}"/>
    <cellStyle name="20% - Accent1 12" xfId="29" xr:uid="{00000000-0005-0000-0000-000002000000}"/>
    <cellStyle name="20% - Accent1 13" xfId="30" xr:uid="{00000000-0005-0000-0000-000003000000}"/>
    <cellStyle name="20% - Accent1 14" xfId="31" xr:uid="{00000000-0005-0000-0000-000004000000}"/>
    <cellStyle name="20% - Accent1 15" xfId="32" xr:uid="{00000000-0005-0000-0000-000005000000}"/>
    <cellStyle name="20% - Accent1 16" xfId="33" xr:uid="{00000000-0005-0000-0000-000006000000}"/>
    <cellStyle name="20% - Accent1 17" xfId="34" xr:uid="{00000000-0005-0000-0000-000007000000}"/>
    <cellStyle name="20% - Accent1 18" xfId="35" xr:uid="{00000000-0005-0000-0000-000008000000}"/>
    <cellStyle name="20% - Accent1 19" xfId="36" xr:uid="{00000000-0005-0000-0000-000009000000}"/>
    <cellStyle name="20% - Accent1 2" xfId="37" xr:uid="{00000000-0005-0000-0000-00000A000000}"/>
    <cellStyle name="20% - Accent1 2 2" xfId="38" xr:uid="{00000000-0005-0000-0000-00000B000000}"/>
    <cellStyle name="20% - Accent1 2 2 2" xfId="39" xr:uid="{00000000-0005-0000-0000-00000C000000}"/>
    <cellStyle name="20% - Accent1 2 3" xfId="40" xr:uid="{00000000-0005-0000-0000-00000D000000}"/>
    <cellStyle name="20% - Accent1 2 4" xfId="41" xr:uid="{00000000-0005-0000-0000-00000E000000}"/>
    <cellStyle name="20% - Accent1 20" xfId="42" xr:uid="{00000000-0005-0000-0000-00000F000000}"/>
    <cellStyle name="20% - Accent1 21" xfId="43" xr:uid="{00000000-0005-0000-0000-000010000000}"/>
    <cellStyle name="20% - Accent1 22" xfId="44" xr:uid="{00000000-0005-0000-0000-000011000000}"/>
    <cellStyle name="20% - Accent1 23" xfId="45" xr:uid="{00000000-0005-0000-0000-000012000000}"/>
    <cellStyle name="20% - Accent1 24" xfId="46" xr:uid="{00000000-0005-0000-0000-000013000000}"/>
    <cellStyle name="20% - Accent1 25" xfId="47" xr:uid="{00000000-0005-0000-0000-000014000000}"/>
    <cellStyle name="20% - Accent1 26" xfId="48" xr:uid="{00000000-0005-0000-0000-000015000000}"/>
    <cellStyle name="20% - Accent1 27" xfId="49" xr:uid="{00000000-0005-0000-0000-000016000000}"/>
    <cellStyle name="20% - Accent1 28" xfId="50" xr:uid="{00000000-0005-0000-0000-000017000000}"/>
    <cellStyle name="20% - Accent1 29" xfId="51" xr:uid="{00000000-0005-0000-0000-000018000000}"/>
    <cellStyle name="20% - Accent1 3" xfId="52" xr:uid="{00000000-0005-0000-0000-000019000000}"/>
    <cellStyle name="20% - Accent1 3 2" xfId="53" xr:uid="{00000000-0005-0000-0000-00001A000000}"/>
    <cellStyle name="20% - Accent1 3 3" xfId="54" xr:uid="{00000000-0005-0000-0000-00001B000000}"/>
    <cellStyle name="20% - Accent1 30" xfId="55" xr:uid="{00000000-0005-0000-0000-00001C000000}"/>
    <cellStyle name="20% - Accent1 31" xfId="56" xr:uid="{00000000-0005-0000-0000-00001D000000}"/>
    <cellStyle name="20% - Accent1 32" xfId="57" xr:uid="{00000000-0005-0000-0000-00001E000000}"/>
    <cellStyle name="20% - Accent1 33" xfId="58" xr:uid="{00000000-0005-0000-0000-00001F000000}"/>
    <cellStyle name="20% - Accent1 34" xfId="59" xr:uid="{00000000-0005-0000-0000-000020000000}"/>
    <cellStyle name="20% - Accent1 35" xfId="60" xr:uid="{00000000-0005-0000-0000-000021000000}"/>
    <cellStyle name="20% - Accent1 36" xfId="61" xr:uid="{00000000-0005-0000-0000-000022000000}"/>
    <cellStyle name="20% - Accent1 37" xfId="62" xr:uid="{00000000-0005-0000-0000-000023000000}"/>
    <cellStyle name="20% - Accent1 38" xfId="63" xr:uid="{00000000-0005-0000-0000-000024000000}"/>
    <cellStyle name="20% - Accent1 39" xfId="64" xr:uid="{00000000-0005-0000-0000-000025000000}"/>
    <cellStyle name="20% - Accent1 4" xfId="65" xr:uid="{00000000-0005-0000-0000-000026000000}"/>
    <cellStyle name="20% - Accent1 4 2" xfId="66" xr:uid="{00000000-0005-0000-0000-000027000000}"/>
    <cellStyle name="20% - Accent1 4 3" xfId="67" xr:uid="{00000000-0005-0000-0000-000028000000}"/>
    <cellStyle name="20% - Accent1 40" xfId="68" xr:uid="{00000000-0005-0000-0000-000029000000}"/>
    <cellStyle name="20% - Accent1 41" xfId="69" xr:uid="{00000000-0005-0000-0000-00002A000000}"/>
    <cellStyle name="20% - Accent1 42" xfId="70" xr:uid="{00000000-0005-0000-0000-00002B000000}"/>
    <cellStyle name="20% - Accent1 43" xfId="71" xr:uid="{00000000-0005-0000-0000-00002C000000}"/>
    <cellStyle name="20% - Accent1 44" xfId="72" xr:uid="{00000000-0005-0000-0000-00002D000000}"/>
    <cellStyle name="20% - Accent1 45" xfId="73" xr:uid="{00000000-0005-0000-0000-00002E000000}"/>
    <cellStyle name="20% - Accent1 46" xfId="74" xr:uid="{00000000-0005-0000-0000-00002F000000}"/>
    <cellStyle name="20% - Accent1 47" xfId="75" xr:uid="{00000000-0005-0000-0000-000030000000}"/>
    <cellStyle name="20% - Accent1 48" xfId="76" xr:uid="{00000000-0005-0000-0000-000031000000}"/>
    <cellStyle name="20% - Accent1 49" xfId="77" xr:uid="{00000000-0005-0000-0000-000032000000}"/>
    <cellStyle name="20% - Accent1 5" xfId="78" xr:uid="{00000000-0005-0000-0000-000033000000}"/>
    <cellStyle name="20% - Accent1 5 2" xfId="79" xr:uid="{00000000-0005-0000-0000-000034000000}"/>
    <cellStyle name="20% - Accent1 6" xfId="80" xr:uid="{00000000-0005-0000-0000-000035000000}"/>
    <cellStyle name="20% - Accent1 7" xfId="81" xr:uid="{00000000-0005-0000-0000-000036000000}"/>
    <cellStyle name="20% - Accent1 8" xfId="82" xr:uid="{00000000-0005-0000-0000-000037000000}"/>
    <cellStyle name="20% - Accent1 9" xfId="83" xr:uid="{00000000-0005-0000-0000-000038000000}"/>
    <cellStyle name="20% - Accent2 10" xfId="84" xr:uid="{00000000-0005-0000-0000-000039000000}"/>
    <cellStyle name="20% - Accent2 11" xfId="85" xr:uid="{00000000-0005-0000-0000-00003A000000}"/>
    <cellStyle name="20% - Accent2 12" xfId="86" xr:uid="{00000000-0005-0000-0000-00003B000000}"/>
    <cellStyle name="20% - Accent2 13" xfId="87" xr:uid="{00000000-0005-0000-0000-00003C000000}"/>
    <cellStyle name="20% - Accent2 14" xfId="88" xr:uid="{00000000-0005-0000-0000-00003D000000}"/>
    <cellStyle name="20% - Accent2 15" xfId="89" xr:uid="{00000000-0005-0000-0000-00003E000000}"/>
    <cellStyle name="20% - Accent2 16" xfId="90" xr:uid="{00000000-0005-0000-0000-00003F000000}"/>
    <cellStyle name="20% - Accent2 17" xfId="91" xr:uid="{00000000-0005-0000-0000-000040000000}"/>
    <cellStyle name="20% - Accent2 18" xfId="92" xr:uid="{00000000-0005-0000-0000-000041000000}"/>
    <cellStyle name="20% - Accent2 19" xfId="93" xr:uid="{00000000-0005-0000-0000-000042000000}"/>
    <cellStyle name="20% - Accent2 2" xfId="94" xr:uid="{00000000-0005-0000-0000-000043000000}"/>
    <cellStyle name="20% - Accent2 2 2" xfId="95" xr:uid="{00000000-0005-0000-0000-000044000000}"/>
    <cellStyle name="20% - Accent2 2 2 2" xfId="96" xr:uid="{00000000-0005-0000-0000-000045000000}"/>
    <cellStyle name="20% - Accent2 2 3" xfId="97" xr:uid="{00000000-0005-0000-0000-000046000000}"/>
    <cellStyle name="20% - Accent2 2 4" xfId="98" xr:uid="{00000000-0005-0000-0000-000047000000}"/>
    <cellStyle name="20% - Accent2 20" xfId="99" xr:uid="{00000000-0005-0000-0000-000048000000}"/>
    <cellStyle name="20% - Accent2 21" xfId="100" xr:uid="{00000000-0005-0000-0000-000049000000}"/>
    <cellStyle name="20% - Accent2 22" xfId="101" xr:uid="{00000000-0005-0000-0000-00004A000000}"/>
    <cellStyle name="20% - Accent2 23" xfId="102" xr:uid="{00000000-0005-0000-0000-00004B000000}"/>
    <cellStyle name="20% - Accent2 24" xfId="103" xr:uid="{00000000-0005-0000-0000-00004C000000}"/>
    <cellStyle name="20% - Accent2 25" xfId="104" xr:uid="{00000000-0005-0000-0000-00004D000000}"/>
    <cellStyle name="20% - Accent2 26" xfId="105" xr:uid="{00000000-0005-0000-0000-00004E000000}"/>
    <cellStyle name="20% - Accent2 27" xfId="106" xr:uid="{00000000-0005-0000-0000-00004F000000}"/>
    <cellStyle name="20% - Accent2 28" xfId="107" xr:uid="{00000000-0005-0000-0000-000050000000}"/>
    <cellStyle name="20% - Accent2 29" xfId="108" xr:uid="{00000000-0005-0000-0000-000051000000}"/>
    <cellStyle name="20% - Accent2 3" xfId="109" xr:uid="{00000000-0005-0000-0000-000052000000}"/>
    <cellStyle name="20% - Accent2 3 2" xfId="110" xr:uid="{00000000-0005-0000-0000-000053000000}"/>
    <cellStyle name="20% - Accent2 3 3" xfId="111" xr:uid="{00000000-0005-0000-0000-000054000000}"/>
    <cellStyle name="20% - Accent2 30" xfId="112" xr:uid="{00000000-0005-0000-0000-000055000000}"/>
    <cellStyle name="20% - Accent2 31" xfId="113" xr:uid="{00000000-0005-0000-0000-000056000000}"/>
    <cellStyle name="20% - Accent2 32" xfId="114" xr:uid="{00000000-0005-0000-0000-000057000000}"/>
    <cellStyle name="20% - Accent2 33" xfId="115" xr:uid="{00000000-0005-0000-0000-000058000000}"/>
    <cellStyle name="20% - Accent2 34" xfId="116" xr:uid="{00000000-0005-0000-0000-000059000000}"/>
    <cellStyle name="20% - Accent2 35" xfId="117" xr:uid="{00000000-0005-0000-0000-00005A000000}"/>
    <cellStyle name="20% - Accent2 36" xfId="118" xr:uid="{00000000-0005-0000-0000-00005B000000}"/>
    <cellStyle name="20% - Accent2 37" xfId="119" xr:uid="{00000000-0005-0000-0000-00005C000000}"/>
    <cellStyle name="20% - Accent2 38" xfId="120" xr:uid="{00000000-0005-0000-0000-00005D000000}"/>
    <cellStyle name="20% - Accent2 39" xfId="121" xr:uid="{00000000-0005-0000-0000-00005E000000}"/>
    <cellStyle name="20% - Accent2 4" xfId="122" xr:uid="{00000000-0005-0000-0000-00005F000000}"/>
    <cellStyle name="20% - Accent2 4 2" xfId="123" xr:uid="{00000000-0005-0000-0000-000060000000}"/>
    <cellStyle name="20% - Accent2 4 3" xfId="124" xr:uid="{00000000-0005-0000-0000-000061000000}"/>
    <cellStyle name="20% - Accent2 40" xfId="125" xr:uid="{00000000-0005-0000-0000-000062000000}"/>
    <cellStyle name="20% - Accent2 41" xfId="126" xr:uid="{00000000-0005-0000-0000-000063000000}"/>
    <cellStyle name="20% - Accent2 42" xfId="127" xr:uid="{00000000-0005-0000-0000-000064000000}"/>
    <cellStyle name="20% - Accent2 43" xfId="128" xr:uid="{00000000-0005-0000-0000-000065000000}"/>
    <cellStyle name="20% - Accent2 44" xfId="129" xr:uid="{00000000-0005-0000-0000-000066000000}"/>
    <cellStyle name="20% - Accent2 45" xfId="130" xr:uid="{00000000-0005-0000-0000-000067000000}"/>
    <cellStyle name="20% - Accent2 46" xfId="131" xr:uid="{00000000-0005-0000-0000-000068000000}"/>
    <cellStyle name="20% - Accent2 47" xfId="132" xr:uid="{00000000-0005-0000-0000-000069000000}"/>
    <cellStyle name="20% - Accent2 48" xfId="133" xr:uid="{00000000-0005-0000-0000-00006A000000}"/>
    <cellStyle name="20% - Accent2 49" xfId="134" xr:uid="{00000000-0005-0000-0000-00006B000000}"/>
    <cellStyle name="20% - Accent2 5" xfId="135" xr:uid="{00000000-0005-0000-0000-00006C000000}"/>
    <cellStyle name="20% - Accent2 5 2" xfId="136" xr:uid="{00000000-0005-0000-0000-00006D000000}"/>
    <cellStyle name="20% - Accent2 6" xfId="137" xr:uid="{00000000-0005-0000-0000-00006E000000}"/>
    <cellStyle name="20% - Accent2 7" xfId="138" xr:uid="{00000000-0005-0000-0000-00006F000000}"/>
    <cellStyle name="20% - Accent2 8" xfId="139" xr:uid="{00000000-0005-0000-0000-000070000000}"/>
    <cellStyle name="20% - Accent2 9" xfId="140" xr:uid="{00000000-0005-0000-0000-000071000000}"/>
    <cellStyle name="20% - Accent3 10" xfId="141" xr:uid="{00000000-0005-0000-0000-000072000000}"/>
    <cellStyle name="20% - Accent3 11" xfId="142" xr:uid="{00000000-0005-0000-0000-000073000000}"/>
    <cellStyle name="20% - Accent3 12" xfId="143" xr:uid="{00000000-0005-0000-0000-000074000000}"/>
    <cellStyle name="20% - Accent3 13" xfId="144" xr:uid="{00000000-0005-0000-0000-000075000000}"/>
    <cellStyle name="20% - Accent3 14" xfId="145" xr:uid="{00000000-0005-0000-0000-000076000000}"/>
    <cellStyle name="20% - Accent3 15" xfId="146" xr:uid="{00000000-0005-0000-0000-000077000000}"/>
    <cellStyle name="20% - Accent3 16" xfId="147" xr:uid="{00000000-0005-0000-0000-000078000000}"/>
    <cellStyle name="20% - Accent3 17" xfId="148" xr:uid="{00000000-0005-0000-0000-000079000000}"/>
    <cellStyle name="20% - Accent3 18" xfId="149" xr:uid="{00000000-0005-0000-0000-00007A000000}"/>
    <cellStyle name="20% - Accent3 19" xfId="150" xr:uid="{00000000-0005-0000-0000-00007B000000}"/>
    <cellStyle name="20% - Accent3 2" xfId="151" xr:uid="{00000000-0005-0000-0000-00007C000000}"/>
    <cellStyle name="20% - Accent3 2 2" xfId="152" xr:uid="{00000000-0005-0000-0000-00007D000000}"/>
    <cellStyle name="20% - Accent3 2 2 2" xfId="153" xr:uid="{00000000-0005-0000-0000-00007E000000}"/>
    <cellStyle name="20% - Accent3 2 3" xfId="154" xr:uid="{00000000-0005-0000-0000-00007F000000}"/>
    <cellStyle name="20% - Accent3 2 4" xfId="155" xr:uid="{00000000-0005-0000-0000-000080000000}"/>
    <cellStyle name="20% - Accent3 20" xfId="156" xr:uid="{00000000-0005-0000-0000-000081000000}"/>
    <cellStyle name="20% - Accent3 21" xfId="157" xr:uid="{00000000-0005-0000-0000-000082000000}"/>
    <cellStyle name="20% - Accent3 22" xfId="158" xr:uid="{00000000-0005-0000-0000-000083000000}"/>
    <cellStyle name="20% - Accent3 23" xfId="159" xr:uid="{00000000-0005-0000-0000-000084000000}"/>
    <cellStyle name="20% - Accent3 24" xfId="160" xr:uid="{00000000-0005-0000-0000-000085000000}"/>
    <cellStyle name="20% - Accent3 25" xfId="161" xr:uid="{00000000-0005-0000-0000-000086000000}"/>
    <cellStyle name="20% - Accent3 26" xfId="162" xr:uid="{00000000-0005-0000-0000-000087000000}"/>
    <cellStyle name="20% - Accent3 27" xfId="163" xr:uid="{00000000-0005-0000-0000-000088000000}"/>
    <cellStyle name="20% - Accent3 28" xfId="164" xr:uid="{00000000-0005-0000-0000-000089000000}"/>
    <cellStyle name="20% - Accent3 29" xfId="165" xr:uid="{00000000-0005-0000-0000-00008A000000}"/>
    <cellStyle name="20% - Accent3 3" xfId="166" xr:uid="{00000000-0005-0000-0000-00008B000000}"/>
    <cellStyle name="20% - Accent3 3 2" xfId="167" xr:uid="{00000000-0005-0000-0000-00008C000000}"/>
    <cellStyle name="20% - Accent3 3 3" xfId="168" xr:uid="{00000000-0005-0000-0000-00008D000000}"/>
    <cellStyle name="20% - Accent3 30" xfId="169" xr:uid="{00000000-0005-0000-0000-00008E000000}"/>
    <cellStyle name="20% - Accent3 31" xfId="170" xr:uid="{00000000-0005-0000-0000-00008F000000}"/>
    <cellStyle name="20% - Accent3 32" xfId="171" xr:uid="{00000000-0005-0000-0000-000090000000}"/>
    <cellStyle name="20% - Accent3 33" xfId="172" xr:uid="{00000000-0005-0000-0000-000091000000}"/>
    <cellStyle name="20% - Accent3 34" xfId="173" xr:uid="{00000000-0005-0000-0000-000092000000}"/>
    <cellStyle name="20% - Accent3 35" xfId="174" xr:uid="{00000000-0005-0000-0000-000093000000}"/>
    <cellStyle name="20% - Accent3 36" xfId="175" xr:uid="{00000000-0005-0000-0000-000094000000}"/>
    <cellStyle name="20% - Accent3 37" xfId="176" xr:uid="{00000000-0005-0000-0000-000095000000}"/>
    <cellStyle name="20% - Accent3 38" xfId="177" xr:uid="{00000000-0005-0000-0000-000096000000}"/>
    <cellStyle name="20% - Accent3 39" xfId="178" xr:uid="{00000000-0005-0000-0000-000097000000}"/>
    <cellStyle name="20% - Accent3 4" xfId="179" xr:uid="{00000000-0005-0000-0000-000098000000}"/>
    <cellStyle name="20% - Accent3 4 2" xfId="180" xr:uid="{00000000-0005-0000-0000-000099000000}"/>
    <cellStyle name="20% - Accent3 4 3" xfId="181" xr:uid="{00000000-0005-0000-0000-00009A000000}"/>
    <cellStyle name="20% - Accent3 40" xfId="182" xr:uid="{00000000-0005-0000-0000-00009B000000}"/>
    <cellStyle name="20% - Accent3 41" xfId="183" xr:uid="{00000000-0005-0000-0000-00009C000000}"/>
    <cellStyle name="20% - Accent3 42" xfId="184" xr:uid="{00000000-0005-0000-0000-00009D000000}"/>
    <cellStyle name="20% - Accent3 43" xfId="185" xr:uid="{00000000-0005-0000-0000-00009E000000}"/>
    <cellStyle name="20% - Accent3 44" xfId="186" xr:uid="{00000000-0005-0000-0000-00009F000000}"/>
    <cellStyle name="20% - Accent3 45" xfId="187" xr:uid="{00000000-0005-0000-0000-0000A0000000}"/>
    <cellStyle name="20% - Accent3 46" xfId="188" xr:uid="{00000000-0005-0000-0000-0000A1000000}"/>
    <cellStyle name="20% - Accent3 47" xfId="189" xr:uid="{00000000-0005-0000-0000-0000A2000000}"/>
    <cellStyle name="20% - Accent3 48" xfId="190" xr:uid="{00000000-0005-0000-0000-0000A3000000}"/>
    <cellStyle name="20% - Accent3 49" xfId="191" xr:uid="{00000000-0005-0000-0000-0000A4000000}"/>
    <cellStyle name="20% - Accent3 5" xfId="192" xr:uid="{00000000-0005-0000-0000-0000A5000000}"/>
    <cellStyle name="20% - Accent3 5 2" xfId="193" xr:uid="{00000000-0005-0000-0000-0000A6000000}"/>
    <cellStyle name="20% - Accent3 6" xfId="194" xr:uid="{00000000-0005-0000-0000-0000A7000000}"/>
    <cellStyle name="20% - Accent3 7" xfId="195" xr:uid="{00000000-0005-0000-0000-0000A8000000}"/>
    <cellStyle name="20% - Accent3 8" xfId="196" xr:uid="{00000000-0005-0000-0000-0000A9000000}"/>
    <cellStyle name="20% - Accent3 9" xfId="197" xr:uid="{00000000-0005-0000-0000-0000AA000000}"/>
    <cellStyle name="20% - Accent4 10" xfId="198" xr:uid="{00000000-0005-0000-0000-0000AB000000}"/>
    <cellStyle name="20% - Accent4 11" xfId="199" xr:uid="{00000000-0005-0000-0000-0000AC000000}"/>
    <cellStyle name="20% - Accent4 12" xfId="200" xr:uid="{00000000-0005-0000-0000-0000AD000000}"/>
    <cellStyle name="20% - Accent4 13" xfId="201" xr:uid="{00000000-0005-0000-0000-0000AE000000}"/>
    <cellStyle name="20% - Accent4 14" xfId="202" xr:uid="{00000000-0005-0000-0000-0000AF000000}"/>
    <cellStyle name="20% - Accent4 15" xfId="203" xr:uid="{00000000-0005-0000-0000-0000B0000000}"/>
    <cellStyle name="20% - Accent4 16" xfId="204" xr:uid="{00000000-0005-0000-0000-0000B1000000}"/>
    <cellStyle name="20% - Accent4 17" xfId="205" xr:uid="{00000000-0005-0000-0000-0000B2000000}"/>
    <cellStyle name="20% - Accent4 18" xfId="206" xr:uid="{00000000-0005-0000-0000-0000B3000000}"/>
    <cellStyle name="20% - Accent4 19" xfId="207" xr:uid="{00000000-0005-0000-0000-0000B4000000}"/>
    <cellStyle name="20% - Accent4 2" xfId="208" xr:uid="{00000000-0005-0000-0000-0000B5000000}"/>
    <cellStyle name="20% - Accent4 2 2" xfId="209" xr:uid="{00000000-0005-0000-0000-0000B6000000}"/>
    <cellStyle name="20% - Accent4 2 2 2" xfId="210" xr:uid="{00000000-0005-0000-0000-0000B7000000}"/>
    <cellStyle name="20% - Accent4 2 3" xfId="211" xr:uid="{00000000-0005-0000-0000-0000B8000000}"/>
    <cellStyle name="20% - Accent4 2 4" xfId="212" xr:uid="{00000000-0005-0000-0000-0000B9000000}"/>
    <cellStyle name="20% - Accent4 20" xfId="213" xr:uid="{00000000-0005-0000-0000-0000BA000000}"/>
    <cellStyle name="20% - Accent4 21" xfId="214" xr:uid="{00000000-0005-0000-0000-0000BB000000}"/>
    <cellStyle name="20% - Accent4 22" xfId="215" xr:uid="{00000000-0005-0000-0000-0000BC000000}"/>
    <cellStyle name="20% - Accent4 23" xfId="216" xr:uid="{00000000-0005-0000-0000-0000BD000000}"/>
    <cellStyle name="20% - Accent4 24" xfId="217" xr:uid="{00000000-0005-0000-0000-0000BE000000}"/>
    <cellStyle name="20% - Accent4 25" xfId="218" xr:uid="{00000000-0005-0000-0000-0000BF000000}"/>
    <cellStyle name="20% - Accent4 26" xfId="219" xr:uid="{00000000-0005-0000-0000-0000C0000000}"/>
    <cellStyle name="20% - Accent4 27" xfId="220" xr:uid="{00000000-0005-0000-0000-0000C1000000}"/>
    <cellStyle name="20% - Accent4 28" xfId="221" xr:uid="{00000000-0005-0000-0000-0000C2000000}"/>
    <cellStyle name="20% - Accent4 29" xfId="222" xr:uid="{00000000-0005-0000-0000-0000C3000000}"/>
    <cellStyle name="20% - Accent4 3" xfId="223" xr:uid="{00000000-0005-0000-0000-0000C4000000}"/>
    <cellStyle name="20% - Accent4 3 2" xfId="224" xr:uid="{00000000-0005-0000-0000-0000C5000000}"/>
    <cellStyle name="20% - Accent4 3 3" xfId="225" xr:uid="{00000000-0005-0000-0000-0000C6000000}"/>
    <cellStyle name="20% - Accent4 30" xfId="226" xr:uid="{00000000-0005-0000-0000-0000C7000000}"/>
    <cellStyle name="20% - Accent4 31" xfId="227" xr:uid="{00000000-0005-0000-0000-0000C8000000}"/>
    <cellStyle name="20% - Accent4 32" xfId="228" xr:uid="{00000000-0005-0000-0000-0000C9000000}"/>
    <cellStyle name="20% - Accent4 33" xfId="229" xr:uid="{00000000-0005-0000-0000-0000CA000000}"/>
    <cellStyle name="20% - Accent4 34" xfId="230" xr:uid="{00000000-0005-0000-0000-0000CB000000}"/>
    <cellStyle name="20% - Accent4 35" xfId="231" xr:uid="{00000000-0005-0000-0000-0000CC000000}"/>
    <cellStyle name="20% - Accent4 36" xfId="232" xr:uid="{00000000-0005-0000-0000-0000CD000000}"/>
    <cellStyle name="20% - Accent4 37" xfId="233" xr:uid="{00000000-0005-0000-0000-0000CE000000}"/>
    <cellStyle name="20% - Accent4 38" xfId="234" xr:uid="{00000000-0005-0000-0000-0000CF000000}"/>
    <cellStyle name="20% - Accent4 39" xfId="235" xr:uid="{00000000-0005-0000-0000-0000D0000000}"/>
    <cellStyle name="20% - Accent4 4" xfId="236" xr:uid="{00000000-0005-0000-0000-0000D1000000}"/>
    <cellStyle name="20% - Accent4 4 2" xfId="237" xr:uid="{00000000-0005-0000-0000-0000D2000000}"/>
    <cellStyle name="20% - Accent4 4 3" xfId="238" xr:uid="{00000000-0005-0000-0000-0000D3000000}"/>
    <cellStyle name="20% - Accent4 40" xfId="239" xr:uid="{00000000-0005-0000-0000-0000D4000000}"/>
    <cellStyle name="20% - Accent4 41" xfId="240" xr:uid="{00000000-0005-0000-0000-0000D5000000}"/>
    <cellStyle name="20% - Accent4 42" xfId="241" xr:uid="{00000000-0005-0000-0000-0000D6000000}"/>
    <cellStyle name="20% - Accent4 43" xfId="242" xr:uid="{00000000-0005-0000-0000-0000D7000000}"/>
    <cellStyle name="20% - Accent4 44" xfId="243" xr:uid="{00000000-0005-0000-0000-0000D8000000}"/>
    <cellStyle name="20% - Accent4 45" xfId="244" xr:uid="{00000000-0005-0000-0000-0000D9000000}"/>
    <cellStyle name="20% - Accent4 46" xfId="245" xr:uid="{00000000-0005-0000-0000-0000DA000000}"/>
    <cellStyle name="20% - Accent4 47" xfId="246" xr:uid="{00000000-0005-0000-0000-0000DB000000}"/>
    <cellStyle name="20% - Accent4 48" xfId="247" xr:uid="{00000000-0005-0000-0000-0000DC000000}"/>
    <cellStyle name="20% - Accent4 49" xfId="248" xr:uid="{00000000-0005-0000-0000-0000DD000000}"/>
    <cellStyle name="20% - Accent4 5" xfId="249" xr:uid="{00000000-0005-0000-0000-0000DE000000}"/>
    <cellStyle name="20% - Accent4 5 2" xfId="250" xr:uid="{00000000-0005-0000-0000-0000DF000000}"/>
    <cellStyle name="20% - Accent4 6" xfId="251" xr:uid="{00000000-0005-0000-0000-0000E0000000}"/>
    <cellStyle name="20% - Accent4 7" xfId="252" xr:uid="{00000000-0005-0000-0000-0000E1000000}"/>
    <cellStyle name="20% - Accent4 8" xfId="253" xr:uid="{00000000-0005-0000-0000-0000E2000000}"/>
    <cellStyle name="20% - Accent4 9" xfId="254" xr:uid="{00000000-0005-0000-0000-0000E3000000}"/>
    <cellStyle name="20% - Accent5 10" xfId="255" xr:uid="{00000000-0005-0000-0000-0000E4000000}"/>
    <cellStyle name="20% - Accent5 11" xfId="256" xr:uid="{00000000-0005-0000-0000-0000E5000000}"/>
    <cellStyle name="20% - Accent5 12" xfId="257" xr:uid="{00000000-0005-0000-0000-0000E6000000}"/>
    <cellStyle name="20% - Accent5 13" xfId="258" xr:uid="{00000000-0005-0000-0000-0000E7000000}"/>
    <cellStyle name="20% - Accent5 14" xfId="259" xr:uid="{00000000-0005-0000-0000-0000E8000000}"/>
    <cellStyle name="20% - Accent5 15" xfId="260" xr:uid="{00000000-0005-0000-0000-0000E9000000}"/>
    <cellStyle name="20% - Accent5 16" xfId="261" xr:uid="{00000000-0005-0000-0000-0000EA000000}"/>
    <cellStyle name="20% - Accent5 17" xfId="262" xr:uid="{00000000-0005-0000-0000-0000EB000000}"/>
    <cellStyle name="20% - Accent5 18" xfId="263" xr:uid="{00000000-0005-0000-0000-0000EC000000}"/>
    <cellStyle name="20% - Accent5 19" xfId="264" xr:uid="{00000000-0005-0000-0000-0000ED000000}"/>
    <cellStyle name="20% - Accent5 2" xfId="265" xr:uid="{00000000-0005-0000-0000-0000EE000000}"/>
    <cellStyle name="20% - Accent5 2 2" xfId="266" xr:uid="{00000000-0005-0000-0000-0000EF000000}"/>
    <cellStyle name="20% - Accent5 2 2 2" xfId="267" xr:uid="{00000000-0005-0000-0000-0000F0000000}"/>
    <cellStyle name="20% - Accent5 2 3" xfId="268" xr:uid="{00000000-0005-0000-0000-0000F1000000}"/>
    <cellStyle name="20% - Accent5 2 4" xfId="269" xr:uid="{00000000-0005-0000-0000-0000F2000000}"/>
    <cellStyle name="20% - Accent5 20" xfId="270" xr:uid="{00000000-0005-0000-0000-0000F3000000}"/>
    <cellStyle name="20% - Accent5 21" xfId="271" xr:uid="{00000000-0005-0000-0000-0000F4000000}"/>
    <cellStyle name="20% - Accent5 22" xfId="272" xr:uid="{00000000-0005-0000-0000-0000F5000000}"/>
    <cellStyle name="20% - Accent5 23" xfId="273" xr:uid="{00000000-0005-0000-0000-0000F6000000}"/>
    <cellStyle name="20% - Accent5 24" xfId="274" xr:uid="{00000000-0005-0000-0000-0000F7000000}"/>
    <cellStyle name="20% - Accent5 25" xfId="275" xr:uid="{00000000-0005-0000-0000-0000F8000000}"/>
    <cellStyle name="20% - Accent5 26" xfId="276" xr:uid="{00000000-0005-0000-0000-0000F9000000}"/>
    <cellStyle name="20% - Accent5 27" xfId="277" xr:uid="{00000000-0005-0000-0000-0000FA000000}"/>
    <cellStyle name="20% - Accent5 28" xfId="278" xr:uid="{00000000-0005-0000-0000-0000FB000000}"/>
    <cellStyle name="20% - Accent5 29" xfId="279" xr:uid="{00000000-0005-0000-0000-0000FC000000}"/>
    <cellStyle name="20% - Accent5 3" xfId="280" xr:uid="{00000000-0005-0000-0000-0000FD000000}"/>
    <cellStyle name="20% - Accent5 3 2" xfId="281" xr:uid="{00000000-0005-0000-0000-0000FE000000}"/>
    <cellStyle name="20% - Accent5 3 3" xfId="282" xr:uid="{00000000-0005-0000-0000-0000FF000000}"/>
    <cellStyle name="20% - Accent5 30" xfId="283" xr:uid="{00000000-0005-0000-0000-000000010000}"/>
    <cellStyle name="20% - Accent5 31" xfId="284" xr:uid="{00000000-0005-0000-0000-000001010000}"/>
    <cellStyle name="20% - Accent5 32" xfId="285" xr:uid="{00000000-0005-0000-0000-000002010000}"/>
    <cellStyle name="20% - Accent5 33" xfId="286" xr:uid="{00000000-0005-0000-0000-000003010000}"/>
    <cellStyle name="20% - Accent5 34" xfId="287" xr:uid="{00000000-0005-0000-0000-000004010000}"/>
    <cellStyle name="20% - Accent5 35" xfId="288" xr:uid="{00000000-0005-0000-0000-000005010000}"/>
    <cellStyle name="20% - Accent5 36" xfId="289" xr:uid="{00000000-0005-0000-0000-000006010000}"/>
    <cellStyle name="20% - Accent5 37" xfId="290" xr:uid="{00000000-0005-0000-0000-000007010000}"/>
    <cellStyle name="20% - Accent5 38" xfId="291" xr:uid="{00000000-0005-0000-0000-000008010000}"/>
    <cellStyle name="20% - Accent5 39" xfId="292" xr:uid="{00000000-0005-0000-0000-000009010000}"/>
    <cellStyle name="20% - Accent5 4" xfId="293" xr:uid="{00000000-0005-0000-0000-00000A010000}"/>
    <cellStyle name="20% - Accent5 4 2" xfId="294" xr:uid="{00000000-0005-0000-0000-00000B010000}"/>
    <cellStyle name="20% - Accent5 4 3" xfId="295" xr:uid="{00000000-0005-0000-0000-00000C010000}"/>
    <cellStyle name="20% - Accent5 40" xfId="296" xr:uid="{00000000-0005-0000-0000-00000D010000}"/>
    <cellStyle name="20% - Accent5 41" xfId="297" xr:uid="{00000000-0005-0000-0000-00000E010000}"/>
    <cellStyle name="20% - Accent5 42" xfId="298" xr:uid="{00000000-0005-0000-0000-00000F010000}"/>
    <cellStyle name="20% - Accent5 43" xfId="299" xr:uid="{00000000-0005-0000-0000-000010010000}"/>
    <cellStyle name="20% - Accent5 44" xfId="300" xr:uid="{00000000-0005-0000-0000-000011010000}"/>
    <cellStyle name="20% - Accent5 45" xfId="301" xr:uid="{00000000-0005-0000-0000-000012010000}"/>
    <cellStyle name="20% - Accent5 46" xfId="302" xr:uid="{00000000-0005-0000-0000-000013010000}"/>
    <cellStyle name="20% - Accent5 47" xfId="303" xr:uid="{00000000-0005-0000-0000-000014010000}"/>
    <cellStyle name="20% - Accent5 48" xfId="304" xr:uid="{00000000-0005-0000-0000-000015010000}"/>
    <cellStyle name="20% - Accent5 49" xfId="305" xr:uid="{00000000-0005-0000-0000-000016010000}"/>
    <cellStyle name="20% - Accent5 5" xfId="306" xr:uid="{00000000-0005-0000-0000-000017010000}"/>
    <cellStyle name="20% - Accent5 5 2" xfId="307" xr:uid="{00000000-0005-0000-0000-000018010000}"/>
    <cellStyle name="20% - Accent5 6" xfId="308" xr:uid="{00000000-0005-0000-0000-000019010000}"/>
    <cellStyle name="20% - Accent5 7" xfId="309" xr:uid="{00000000-0005-0000-0000-00001A010000}"/>
    <cellStyle name="20% - Accent5 8" xfId="310" xr:uid="{00000000-0005-0000-0000-00001B010000}"/>
    <cellStyle name="20% - Accent5 9" xfId="311" xr:uid="{00000000-0005-0000-0000-00001C010000}"/>
    <cellStyle name="20% - Accent6 10" xfId="312" xr:uid="{00000000-0005-0000-0000-00001D010000}"/>
    <cellStyle name="20% - Accent6 11" xfId="313" xr:uid="{00000000-0005-0000-0000-00001E010000}"/>
    <cellStyle name="20% - Accent6 12" xfId="314" xr:uid="{00000000-0005-0000-0000-00001F010000}"/>
    <cellStyle name="20% - Accent6 13" xfId="315" xr:uid="{00000000-0005-0000-0000-000020010000}"/>
    <cellStyle name="20% - Accent6 14" xfId="316" xr:uid="{00000000-0005-0000-0000-000021010000}"/>
    <cellStyle name="20% - Accent6 15" xfId="317" xr:uid="{00000000-0005-0000-0000-000022010000}"/>
    <cellStyle name="20% - Accent6 16" xfId="318" xr:uid="{00000000-0005-0000-0000-000023010000}"/>
    <cellStyle name="20% - Accent6 17" xfId="319" xr:uid="{00000000-0005-0000-0000-000024010000}"/>
    <cellStyle name="20% - Accent6 18" xfId="320" xr:uid="{00000000-0005-0000-0000-000025010000}"/>
    <cellStyle name="20% - Accent6 19" xfId="321" xr:uid="{00000000-0005-0000-0000-000026010000}"/>
    <cellStyle name="20% - Accent6 2" xfId="322" xr:uid="{00000000-0005-0000-0000-000027010000}"/>
    <cellStyle name="20% - Accent6 2 2" xfId="323" xr:uid="{00000000-0005-0000-0000-000028010000}"/>
    <cellStyle name="20% - Accent6 2 3" xfId="324" xr:uid="{00000000-0005-0000-0000-000029010000}"/>
    <cellStyle name="20% - Accent6 20" xfId="325" xr:uid="{00000000-0005-0000-0000-00002A010000}"/>
    <cellStyle name="20% - Accent6 21" xfId="326" xr:uid="{00000000-0005-0000-0000-00002B010000}"/>
    <cellStyle name="20% - Accent6 22" xfId="327" xr:uid="{00000000-0005-0000-0000-00002C010000}"/>
    <cellStyle name="20% - Accent6 23" xfId="328" xr:uid="{00000000-0005-0000-0000-00002D010000}"/>
    <cellStyle name="20% - Accent6 24" xfId="329" xr:uid="{00000000-0005-0000-0000-00002E010000}"/>
    <cellStyle name="20% - Accent6 25" xfId="330" xr:uid="{00000000-0005-0000-0000-00002F010000}"/>
    <cellStyle name="20% - Accent6 26" xfId="331" xr:uid="{00000000-0005-0000-0000-000030010000}"/>
    <cellStyle name="20% - Accent6 27" xfId="332" xr:uid="{00000000-0005-0000-0000-000031010000}"/>
    <cellStyle name="20% - Accent6 28" xfId="333" xr:uid="{00000000-0005-0000-0000-000032010000}"/>
    <cellStyle name="20% - Accent6 29" xfId="334" xr:uid="{00000000-0005-0000-0000-000033010000}"/>
    <cellStyle name="20% - Accent6 3" xfId="335" xr:uid="{00000000-0005-0000-0000-000034010000}"/>
    <cellStyle name="20% - Accent6 3 2" xfId="336" xr:uid="{00000000-0005-0000-0000-000035010000}"/>
    <cellStyle name="20% - Accent6 3 3" xfId="337" xr:uid="{00000000-0005-0000-0000-000036010000}"/>
    <cellStyle name="20% - Accent6 30" xfId="338" xr:uid="{00000000-0005-0000-0000-000037010000}"/>
    <cellStyle name="20% - Accent6 31" xfId="339" xr:uid="{00000000-0005-0000-0000-000038010000}"/>
    <cellStyle name="20% - Accent6 32" xfId="340" xr:uid="{00000000-0005-0000-0000-000039010000}"/>
    <cellStyle name="20% - Accent6 33" xfId="341" xr:uid="{00000000-0005-0000-0000-00003A010000}"/>
    <cellStyle name="20% - Accent6 34" xfId="342" xr:uid="{00000000-0005-0000-0000-00003B010000}"/>
    <cellStyle name="20% - Accent6 35" xfId="343" xr:uid="{00000000-0005-0000-0000-00003C010000}"/>
    <cellStyle name="20% - Accent6 36" xfId="344" xr:uid="{00000000-0005-0000-0000-00003D010000}"/>
    <cellStyle name="20% - Accent6 37" xfId="345" xr:uid="{00000000-0005-0000-0000-00003E010000}"/>
    <cellStyle name="20% - Accent6 38" xfId="346" xr:uid="{00000000-0005-0000-0000-00003F010000}"/>
    <cellStyle name="20% - Accent6 39" xfId="347" xr:uid="{00000000-0005-0000-0000-000040010000}"/>
    <cellStyle name="20% - Accent6 4" xfId="348" xr:uid="{00000000-0005-0000-0000-000041010000}"/>
    <cellStyle name="20% - Accent6 4 2" xfId="349" xr:uid="{00000000-0005-0000-0000-000042010000}"/>
    <cellStyle name="20% - Accent6 4 3" xfId="350" xr:uid="{00000000-0005-0000-0000-000043010000}"/>
    <cellStyle name="20% - Accent6 40" xfId="351" xr:uid="{00000000-0005-0000-0000-000044010000}"/>
    <cellStyle name="20% - Accent6 41" xfId="352" xr:uid="{00000000-0005-0000-0000-000045010000}"/>
    <cellStyle name="20% - Accent6 42" xfId="353" xr:uid="{00000000-0005-0000-0000-000046010000}"/>
    <cellStyle name="20% - Accent6 43" xfId="354" xr:uid="{00000000-0005-0000-0000-000047010000}"/>
    <cellStyle name="20% - Accent6 44" xfId="355" xr:uid="{00000000-0005-0000-0000-000048010000}"/>
    <cellStyle name="20% - Accent6 45" xfId="356" xr:uid="{00000000-0005-0000-0000-000049010000}"/>
    <cellStyle name="20% - Accent6 46" xfId="357" xr:uid="{00000000-0005-0000-0000-00004A010000}"/>
    <cellStyle name="20% - Accent6 47" xfId="358" xr:uid="{00000000-0005-0000-0000-00004B010000}"/>
    <cellStyle name="20% - Accent6 48" xfId="359" xr:uid="{00000000-0005-0000-0000-00004C010000}"/>
    <cellStyle name="20% - Accent6 49" xfId="360" xr:uid="{00000000-0005-0000-0000-00004D010000}"/>
    <cellStyle name="20% - Accent6 5" xfId="361" xr:uid="{00000000-0005-0000-0000-00004E010000}"/>
    <cellStyle name="20% - Accent6 5 2" xfId="362" xr:uid="{00000000-0005-0000-0000-00004F010000}"/>
    <cellStyle name="20% - Accent6 6" xfId="363" xr:uid="{00000000-0005-0000-0000-000050010000}"/>
    <cellStyle name="20% - Accent6 7" xfId="364" xr:uid="{00000000-0005-0000-0000-000051010000}"/>
    <cellStyle name="20% - Accent6 8" xfId="365" xr:uid="{00000000-0005-0000-0000-000052010000}"/>
    <cellStyle name="20% - Accent6 9" xfId="366" xr:uid="{00000000-0005-0000-0000-000053010000}"/>
    <cellStyle name="40% - Accent1 10" xfId="367" xr:uid="{00000000-0005-0000-0000-000054010000}"/>
    <cellStyle name="40% - Accent1 11" xfId="368" xr:uid="{00000000-0005-0000-0000-000055010000}"/>
    <cellStyle name="40% - Accent1 12" xfId="369" xr:uid="{00000000-0005-0000-0000-000056010000}"/>
    <cellStyle name="40% - Accent1 13" xfId="370" xr:uid="{00000000-0005-0000-0000-000057010000}"/>
    <cellStyle name="40% - Accent1 14" xfId="371" xr:uid="{00000000-0005-0000-0000-000058010000}"/>
    <cellStyle name="40% - Accent1 15" xfId="372" xr:uid="{00000000-0005-0000-0000-000059010000}"/>
    <cellStyle name="40% - Accent1 16" xfId="373" xr:uid="{00000000-0005-0000-0000-00005A010000}"/>
    <cellStyle name="40% - Accent1 17" xfId="374" xr:uid="{00000000-0005-0000-0000-00005B010000}"/>
    <cellStyle name="40% - Accent1 18" xfId="375" xr:uid="{00000000-0005-0000-0000-00005C010000}"/>
    <cellStyle name="40% - Accent1 19" xfId="376" xr:uid="{00000000-0005-0000-0000-00005D010000}"/>
    <cellStyle name="40% - Accent1 2" xfId="377" xr:uid="{00000000-0005-0000-0000-00005E010000}"/>
    <cellStyle name="40% - Accent1 2 2" xfId="378" xr:uid="{00000000-0005-0000-0000-00005F010000}"/>
    <cellStyle name="40% - Accent1 2 2 2" xfId="379" xr:uid="{00000000-0005-0000-0000-000060010000}"/>
    <cellStyle name="40% - Accent1 2 3" xfId="380" xr:uid="{00000000-0005-0000-0000-000061010000}"/>
    <cellStyle name="40% - Accent1 2 4" xfId="381" xr:uid="{00000000-0005-0000-0000-000062010000}"/>
    <cellStyle name="40% - Accent1 20" xfId="382" xr:uid="{00000000-0005-0000-0000-000063010000}"/>
    <cellStyle name="40% - Accent1 21" xfId="383" xr:uid="{00000000-0005-0000-0000-000064010000}"/>
    <cellStyle name="40% - Accent1 22" xfId="384" xr:uid="{00000000-0005-0000-0000-000065010000}"/>
    <cellStyle name="40% - Accent1 23" xfId="385" xr:uid="{00000000-0005-0000-0000-000066010000}"/>
    <cellStyle name="40% - Accent1 24" xfId="386" xr:uid="{00000000-0005-0000-0000-000067010000}"/>
    <cellStyle name="40% - Accent1 25" xfId="387" xr:uid="{00000000-0005-0000-0000-000068010000}"/>
    <cellStyle name="40% - Accent1 26" xfId="388" xr:uid="{00000000-0005-0000-0000-000069010000}"/>
    <cellStyle name="40% - Accent1 27" xfId="389" xr:uid="{00000000-0005-0000-0000-00006A010000}"/>
    <cellStyle name="40% - Accent1 28" xfId="390" xr:uid="{00000000-0005-0000-0000-00006B010000}"/>
    <cellStyle name="40% - Accent1 29" xfId="391" xr:uid="{00000000-0005-0000-0000-00006C010000}"/>
    <cellStyle name="40% - Accent1 3" xfId="392" xr:uid="{00000000-0005-0000-0000-00006D010000}"/>
    <cellStyle name="40% - Accent1 3 2" xfId="393" xr:uid="{00000000-0005-0000-0000-00006E010000}"/>
    <cellStyle name="40% - Accent1 3 3" xfId="394" xr:uid="{00000000-0005-0000-0000-00006F010000}"/>
    <cellStyle name="40% - Accent1 30" xfId="395" xr:uid="{00000000-0005-0000-0000-000070010000}"/>
    <cellStyle name="40% - Accent1 31" xfId="396" xr:uid="{00000000-0005-0000-0000-000071010000}"/>
    <cellStyle name="40% - Accent1 32" xfId="397" xr:uid="{00000000-0005-0000-0000-000072010000}"/>
    <cellStyle name="40% - Accent1 33" xfId="398" xr:uid="{00000000-0005-0000-0000-000073010000}"/>
    <cellStyle name="40% - Accent1 34" xfId="399" xr:uid="{00000000-0005-0000-0000-000074010000}"/>
    <cellStyle name="40% - Accent1 35" xfId="400" xr:uid="{00000000-0005-0000-0000-000075010000}"/>
    <cellStyle name="40% - Accent1 36" xfId="401" xr:uid="{00000000-0005-0000-0000-000076010000}"/>
    <cellStyle name="40% - Accent1 37" xfId="402" xr:uid="{00000000-0005-0000-0000-000077010000}"/>
    <cellStyle name="40% - Accent1 38" xfId="403" xr:uid="{00000000-0005-0000-0000-000078010000}"/>
    <cellStyle name="40% - Accent1 39" xfId="404" xr:uid="{00000000-0005-0000-0000-000079010000}"/>
    <cellStyle name="40% - Accent1 4" xfId="405" xr:uid="{00000000-0005-0000-0000-00007A010000}"/>
    <cellStyle name="40% - Accent1 4 2" xfId="406" xr:uid="{00000000-0005-0000-0000-00007B010000}"/>
    <cellStyle name="40% - Accent1 4 3" xfId="407" xr:uid="{00000000-0005-0000-0000-00007C010000}"/>
    <cellStyle name="40% - Accent1 40" xfId="408" xr:uid="{00000000-0005-0000-0000-00007D010000}"/>
    <cellStyle name="40% - Accent1 41" xfId="409" xr:uid="{00000000-0005-0000-0000-00007E010000}"/>
    <cellStyle name="40% - Accent1 42" xfId="410" xr:uid="{00000000-0005-0000-0000-00007F010000}"/>
    <cellStyle name="40% - Accent1 43" xfId="411" xr:uid="{00000000-0005-0000-0000-000080010000}"/>
    <cellStyle name="40% - Accent1 44" xfId="412" xr:uid="{00000000-0005-0000-0000-000081010000}"/>
    <cellStyle name="40% - Accent1 45" xfId="413" xr:uid="{00000000-0005-0000-0000-000082010000}"/>
    <cellStyle name="40% - Accent1 46" xfId="414" xr:uid="{00000000-0005-0000-0000-000083010000}"/>
    <cellStyle name="40% - Accent1 47" xfId="415" xr:uid="{00000000-0005-0000-0000-000084010000}"/>
    <cellStyle name="40% - Accent1 48" xfId="416" xr:uid="{00000000-0005-0000-0000-000085010000}"/>
    <cellStyle name="40% - Accent1 49" xfId="417" xr:uid="{00000000-0005-0000-0000-000086010000}"/>
    <cellStyle name="40% - Accent1 5" xfId="418" xr:uid="{00000000-0005-0000-0000-000087010000}"/>
    <cellStyle name="40% - Accent1 5 2" xfId="419" xr:uid="{00000000-0005-0000-0000-000088010000}"/>
    <cellStyle name="40% - Accent1 6" xfId="420" xr:uid="{00000000-0005-0000-0000-000089010000}"/>
    <cellStyle name="40% - Accent1 7" xfId="421" xr:uid="{00000000-0005-0000-0000-00008A010000}"/>
    <cellStyle name="40% - Accent1 8" xfId="422" xr:uid="{00000000-0005-0000-0000-00008B010000}"/>
    <cellStyle name="40% - Accent1 9" xfId="423" xr:uid="{00000000-0005-0000-0000-00008C010000}"/>
    <cellStyle name="40% - Accent2 10" xfId="424" xr:uid="{00000000-0005-0000-0000-00008D010000}"/>
    <cellStyle name="40% - Accent2 11" xfId="425" xr:uid="{00000000-0005-0000-0000-00008E010000}"/>
    <cellStyle name="40% - Accent2 12" xfId="426" xr:uid="{00000000-0005-0000-0000-00008F010000}"/>
    <cellStyle name="40% - Accent2 13" xfId="427" xr:uid="{00000000-0005-0000-0000-000090010000}"/>
    <cellStyle name="40% - Accent2 14" xfId="428" xr:uid="{00000000-0005-0000-0000-000091010000}"/>
    <cellStyle name="40% - Accent2 15" xfId="429" xr:uid="{00000000-0005-0000-0000-000092010000}"/>
    <cellStyle name="40% - Accent2 16" xfId="430" xr:uid="{00000000-0005-0000-0000-000093010000}"/>
    <cellStyle name="40% - Accent2 17" xfId="431" xr:uid="{00000000-0005-0000-0000-000094010000}"/>
    <cellStyle name="40% - Accent2 18" xfId="432" xr:uid="{00000000-0005-0000-0000-000095010000}"/>
    <cellStyle name="40% - Accent2 19" xfId="433" xr:uid="{00000000-0005-0000-0000-000096010000}"/>
    <cellStyle name="40% - Accent2 2" xfId="434" xr:uid="{00000000-0005-0000-0000-000097010000}"/>
    <cellStyle name="40% - Accent2 2 2" xfId="435" xr:uid="{00000000-0005-0000-0000-000098010000}"/>
    <cellStyle name="40% - Accent2 2 2 2" xfId="436" xr:uid="{00000000-0005-0000-0000-000099010000}"/>
    <cellStyle name="40% - Accent2 2 3" xfId="437" xr:uid="{00000000-0005-0000-0000-00009A010000}"/>
    <cellStyle name="40% - Accent2 2 4" xfId="438" xr:uid="{00000000-0005-0000-0000-00009B010000}"/>
    <cellStyle name="40% - Accent2 20" xfId="439" xr:uid="{00000000-0005-0000-0000-00009C010000}"/>
    <cellStyle name="40% - Accent2 21" xfId="440" xr:uid="{00000000-0005-0000-0000-00009D010000}"/>
    <cellStyle name="40% - Accent2 22" xfId="441" xr:uid="{00000000-0005-0000-0000-00009E010000}"/>
    <cellStyle name="40% - Accent2 23" xfId="442" xr:uid="{00000000-0005-0000-0000-00009F010000}"/>
    <cellStyle name="40% - Accent2 24" xfId="443" xr:uid="{00000000-0005-0000-0000-0000A0010000}"/>
    <cellStyle name="40% - Accent2 25" xfId="444" xr:uid="{00000000-0005-0000-0000-0000A1010000}"/>
    <cellStyle name="40% - Accent2 26" xfId="445" xr:uid="{00000000-0005-0000-0000-0000A2010000}"/>
    <cellStyle name="40% - Accent2 27" xfId="446" xr:uid="{00000000-0005-0000-0000-0000A3010000}"/>
    <cellStyle name="40% - Accent2 28" xfId="447" xr:uid="{00000000-0005-0000-0000-0000A4010000}"/>
    <cellStyle name="40% - Accent2 29" xfId="448" xr:uid="{00000000-0005-0000-0000-0000A5010000}"/>
    <cellStyle name="40% - Accent2 3" xfId="449" xr:uid="{00000000-0005-0000-0000-0000A6010000}"/>
    <cellStyle name="40% - Accent2 3 2" xfId="450" xr:uid="{00000000-0005-0000-0000-0000A7010000}"/>
    <cellStyle name="40% - Accent2 3 3" xfId="451" xr:uid="{00000000-0005-0000-0000-0000A8010000}"/>
    <cellStyle name="40% - Accent2 30" xfId="452" xr:uid="{00000000-0005-0000-0000-0000A9010000}"/>
    <cellStyle name="40% - Accent2 31" xfId="453" xr:uid="{00000000-0005-0000-0000-0000AA010000}"/>
    <cellStyle name="40% - Accent2 32" xfId="454" xr:uid="{00000000-0005-0000-0000-0000AB010000}"/>
    <cellStyle name="40% - Accent2 33" xfId="455" xr:uid="{00000000-0005-0000-0000-0000AC010000}"/>
    <cellStyle name="40% - Accent2 34" xfId="456" xr:uid="{00000000-0005-0000-0000-0000AD010000}"/>
    <cellStyle name="40% - Accent2 35" xfId="457" xr:uid="{00000000-0005-0000-0000-0000AE010000}"/>
    <cellStyle name="40% - Accent2 36" xfId="458" xr:uid="{00000000-0005-0000-0000-0000AF010000}"/>
    <cellStyle name="40% - Accent2 37" xfId="459" xr:uid="{00000000-0005-0000-0000-0000B0010000}"/>
    <cellStyle name="40% - Accent2 38" xfId="460" xr:uid="{00000000-0005-0000-0000-0000B1010000}"/>
    <cellStyle name="40% - Accent2 39" xfId="461" xr:uid="{00000000-0005-0000-0000-0000B2010000}"/>
    <cellStyle name="40% - Accent2 4" xfId="462" xr:uid="{00000000-0005-0000-0000-0000B3010000}"/>
    <cellStyle name="40% - Accent2 4 2" xfId="463" xr:uid="{00000000-0005-0000-0000-0000B4010000}"/>
    <cellStyle name="40% - Accent2 4 3" xfId="464" xr:uid="{00000000-0005-0000-0000-0000B5010000}"/>
    <cellStyle name="40% - Accent2 40" xfId="465" xr:uid="{00000000-0005-0000-0000-0000B6010000}"/>
    <cellStyle name="40% - Accent2 41" xfId="466" xr:uid="{00000000-0005-0000-0000-0000B7010000}"/>
    <cellStyle name="40% - Accent2 42" xfId="467" xr:uid="{00000000-0005-0000-0000-0000B8010000}"/>
    <cellStyle name="40% - Accent2 43" xfId="468" xr:uid="{00000000-0005-0000-0000-0000B9010000}"/>
    <cellStyle name="40% - Accent2 44" xfId="469" xr:uid="{00000000-0005-0000-0000-0000BA010000}"/>
    <cellStyle name="40% - Accent2 45" xfId="470" xr:uid="{00000000-0005-0000-0000-0000BB010000}"/>
    <cellStyle name="40% - Accent2 46" xfId="471" xr:uid="{00000000-0005-0000-0000-0000BC010000}"/>
    <cellStyle name="40% - Accent2 47" xfId="472" xr:uid="{00000000-0005-0000-0000-0000BD010000}"/>
    <cellStyle name="40% - Accent2 48" xfId="473" xr:uid="{00000000-0005-0000-0000-0000BE010000}"/>
    <cellStyle name="40% - Accent2 49" xfId="474" xr:uid="{00000000-0005-0000-0000-0000BF010000}"/>
    <cellStyle name="40% - Accent2 5" xfId="475" xr:uid="{00000000-0005-0000-0000-0000C0010000}"/>
    <cellStyle name="40% - Accent2 5 2" xfId="476" xr:uid="{00000000-0005-0000-0000-0000C1010000}"/>
    <cellStyle name="40% - Accent2 6" xfId="477" xr:uid="{00000000-0005-0000-0000-0000C2010000}"/>
    <cellStyle name="40% - Accent2 7" xfId="478" xr:uid="{00000000-0005-0000-0000-0000C3010000}"/>
    <cellStyle name="40% - Accent2 8" xfId="479" xr:uid="{00000000-0005-0000-0000-0000C4010000}"/>
    <cellStyle name="40% - Accent2 9" xfId="480" xr:uid="{00000000-0005-0000-0000-0000C5010000}"/>
    <cellStyle name="40% - Accent3 10" xfId="481" xr:uid="{00000000-0005-0000-0000-0000C6010000}"/>
    <cellStyle name="40% - Accent3 11" xfId="482" xr:uid="{00000000-0005-0000-0000-0000C7010000}"/>
    <cellStyle name="40% - Accent3 12" xfId="483" xr:uid="{00000000-0005-0000-0000-0000C8010000}"/>
    <cellStyle name="40% - Accent3 13" xfId="484" xr:uid="{00000000-0005-0000-0000-0000C9010000}"/>
    <cellStyle name="40% - Accent3 14" xfId="485" xr:uid="{00000000-0005-0000-0000-0000CA010000}"/>
    <cellStyle name="40% - Accent3 15" xfId="486" xr:uid="{00000000-0005-0000-0000-0000CB010000}"/>
    <cellStyle name="40% - Accent3 16" xfId="487" xr:uid="{00000000-0005-0000-0000-0000CC010000}"/>
    <cellStyle name="40% - Accent3 17" xfId="488" xr:uid="{00000000-0005-0000-0000-0000CD010000}"/>
    <cellStyle name="40% - Accent3 18" xfId="489" xr:uid="{00000000-0005-0000-0000-0000CE010000}"/>
    <cellStyle name="40% - Accent3 19" xfId="490" xr:uid="{00000000-0005-0000-0000-0000CF010000}"/>
    <cellStyle name="40% - Accent3 2" xfId="491" xr:uid="{00000000-0005-0000-0000-0000D0010000}"/>
    <cellStyle name="40% - Accent3 2 2" xfId="492" xr:uid="{00000000-0005-0000-0000-0000D1010000}"/>
    <cellStyle name="40% - Accent3 2 2 2" xfId="493" xr:uid="{00000000-0005-0000-0000-0000D2010000}"/>
    <cellStyle name="40% - Accent3 2 3" xfId="494" xr:uid="{00000000-0005-0000-0000-0000D3010000}"/>
    <cellStyle name="40% - Accent3 2 4" xfId="495" xr:uid="{00000000-0005-0000-0000-0000D4010000}"/>
    <cellStyle name="40% - Accent3 20" xfId="496" xr:uid="{00000000-0005-0000-0000-0000D5010000}"/>
    <cellStyle name="40% - Accent3 21" xfId="497" xr:uid="{00000000-0005-0000-0000-0000D6010000}"/>
    <cellStyle name="40% - Accent3 22" xfId="498" xr:uid="{00000000-0005-0000-0000-0000D7010000}"/>
    <cellStyle name="40% - Accent3 23" xfId="499" xr:uid="{00000000-0005-0000-0000-0000D8010000}"/>
    <cellStyle name="40% - Accent3 24" xfId="500" xr:uid="{00000000-0005-0000-0000-0000D9010000}"/>
    <cellStyle name="40% - Accent3 25" xfId="501" xr:uid="{00000000-0005-0000-0000-0000DA010000}"/>
    <cellStyle name="40% - Accent3 26" xfId="502" xr:uid="{00000000-0005-0000-0000-0000DB010000}"/>
    <cellStyle name="40% - Accent3 27" xfId="503" xr:uid="{00000000-0005-0000-0000-0000DC010000}"/>
    <cellStyle name="40% - Accent3 28" xfId="504" xr:uid="{00000000-0005-0000-0000-0000DD010000}"/>
    <cellStyle name="40% - Accent3 29" xfId="505" xr:uid="{00000000-0005-0000-0000-0000DE010000}"/>
    <cellStyle name="40% - Accent3 3" xfId="506" xr:uid="{00000000-0005-0000-0000-0000DF010000}"/>
    <cellStyle name="40% - Accent3 3 2" xfId="507" xr:uid="{00000000-0005-0000-0000-0000E0010000}"/>
    <cellStyle name="40% - Accent3 3 3" xfId="508" xr:uid="{00000000-0005-0000-0000-0000E1010000}"/>
    <cellStyle name="40% - Accent3 30" xfId="509" xr:uid="{00000000-0005-0000-0000-0000E2010000}"/>
    <cellStyle name="40% - Accent3 31" xfId="510" xr:uid="{00000000-0005-0000-0000-0000E3010000}"/>
    <cellStyle name="40% - Accent3 32" xfId="511" xr:uid="{00000000-0005-0000-0000-0000E4010000}"/>
    <cellStyle name="40% - Accent3 33" xfId="512" xr:uid="{00000000-0005-0000-0000-0000E5010000}"/>
    <cellStyle name="40% - Accent3 34" xfId="513" xr:uid="{00000000-0005-0000-0000-0000E6010000}"/>
    <cellStyle name="40% - Accent3 35" xfId="514" xr:uid="{00000000-0005-0000-0000-0000E7010000}"/>
    <cellStyle name="40% - Accent3 36" xfId="515" xr:uid="{00000000-0005-0000-0000-0000E8010000}"/>
    <cellStyle name="40% - Accent3 37" xfId="516" xr:uid="{00000000-0005-0000-0000-0000E9010000}"/>
    <cellStyle name="40% - Accent3 38" xfId="517" xr:uid="{00000000-0005-0000-0000-0000EA010000}"/>
    <cellStyle name="40% - Accent3 39" xfId="518" xr:uid="{00000000-0005-0000-0000-0000EB010000}"/>
    <cellStyle name="40% - Accent3 4" xfId="519" xr:uid="{00000000-0005-0000-0000-0000EC010000}"/>
    <cellStyle name="40% - Accent3 4 2" xfId="520" xr:uid="{00000000-0005-0000-0000-0000ED010000}"/>
    <cellStyle name="40% - Accent3 4 3" xfId="521" xr:uid="{00000000-0005-0000-0000-0000EE010000}"/>
    <cellStyle name="40% - Accent3 40" xfId="522" xr:uid="{00000000-0005-0000-0000-0000EF010000}"/>
    <cellStyle name="40% - Accent3 41" xfId="523" xr:uid="{00000000-0005-0000-0000-0000F0010000}"/>
    <cellStyle name="40% - Accent3 42" xfId="524" xr:uid="{00000000-0005-0000-0000-0000F1010000}"/>
    <cellStyle name="40% - Accent3 43" xfId="525" xr:uid="{00000000-0005-0000-0000-0000F2010000}"/>
    <cellStyle name="40% - Accent3 44" xfId="526" xr:uid="{00000000-0005-0000-0000-0000F3010000}"/>
    <cellStyle name="40% - Accent3 45" xfId="527" xr:uid="{00000000-0005-0000-0000-0000F4010000}"/>
    <cellStyle name="40% - Accent3 46" xfId="528" xr:uid="{00000000-0005-0000-0000-0000F5010000}"/>
    <cellStyle name="40% - Accent3 47" xfId="529" xr:uid="{00000000-0005-0000-0000-0000F6010000}"/>
    <cellStyle name="40% - Accent3 48" xfId="530" xr:uid="{00000000-0005-0000-0000-0000F7010000}"/>
    <cellStyle name="40% - Accent3 49" xfId="531" xr:uid="{00000000-0005-0000-0000-0000F8010000}"/>
    <cellStyle name="40% - Accent3 5" xfId="532" xr:uid="{00000000-0005-0000-0000-0000F9010000}"/>
    <cellStyle name="40% - Accent3 5 2" xfId="533" xr:uid="{00000000-0005-0000-0000-0000FA010000}"/>
    <cellStyle name="40% - Accent3 6" xfId="534" xr:uid="{00000000-0005-0000-0000-0000FB010000}"/>
    <cellStyle name="40% - Accent3 7" xfId="535" xr:uid="{00000000-0005-0000-0000-0000FC010000}"/>
    <cellStyle name="40% - Accent3 8" xfId="536" xr:uid="{00000000-0005-0000-0000-0000FD010000}"/>
    <cellStyle name="40% - Accent3 9" xfId="537" xr:uid="{00000000-0005-0000-0000-0000FE010000}"/>
    <cellStyle name="40% - Accent4 10" xfId="538" xr:uid="{00000000-0005-0000-0000-0000FF010000}"/>
    <cellStyle name="40% - Accent4 11" xfId="539" xr:uid="{00000000-0005-0000-0000-000000020000}"/>
    <cellStyle name="40% - Accent4 12" xfId="540" xr:uid="{00000000-0005-0000-0000-000001020000}"/>
    <cellStyle name="40% - Accent4 13" xfId="541" xr:uid="{00000000-0005-0000-0000-000002020000}"/>
    <cellStyle name="40% - Accent4 14" xfId="542" xr:uid="{00000000-0005-0000-0000-000003020000}"/>
    <cellStyle name="40% - Accent4 15" xfId="543" xr:uid="{00000000-0005-0000-0000-000004020000}"/>
    <cellStyle name="40% - Accent4 16" xfId="544" xr:uid="{00000000-0005-0000-0000-000005020000}"/>
    <cellStyle name="40% - Accent4 17" xfId="545" xr:uid="{00000000-0005-0000-0000-000006020000}"/>
    <cellStyle name="40% - Accent4 18" xfId="546" xr:uid="{00000000-0005-0000-0000-000007020000}"/>
    <cellStyle name="40% - Accent4 19" xfId="547" xr:uid="{00000000-0005-0000-0000-000008020000}"/>
    <cellStyle name="40% - Accent4 2" xfId="548" xr:uid="{00000000-0005-0000-0000-000009020000}"/>
    <cellStyle name="40% - Accent4 2 2" xfId="549" xr:uid="{00000000-0005-0000-0000-00000A020000}"/>
    <cellStyle name="40% - Accent4 2 2 2" xfId="550" xr:uid="{00000000-0005-0000-0000-00000B020000}"/>
    <cellStyle name="40% - Accent4 2 3" xfId="551" xr:uid="{00000000-0005-0000-0000-00000C020000}"/>
    <cellStyle name="40% - Accent4 2 4" xfId="552" xr:uid="{00000000-0005-0000-0000-00000D020000}"/>
    <cellStyle name="40% - Accent4 20" xfId="553" xr:uid="{00000000-0005-0000-0000-00000E020000}"/>
    <cellStyle name="40% - Accent4 21" xfId="554" xr:uid="{00000000-0005-0000-0000-00000F020000}"/>
    <cellStyle name="40% - Accent4 22" xfId="555" xr:uid="{00000000-0005-0000-0000-000010020000}"/>
    <cellStyle name="40% - Accent4 23" xfId="556" xr:uid="{00000000-0005-0000-0000-000011020000}"/>
    <cellStyle name="40% - Accent4 24" xfId="557" xr:uid="{00000000-0005-0000-0000-000012020000}"/>
    <cellStyle name="40% - Accent4 25" xfId="558" xr:uid="{00000000-0005-0000-0000-000013020000}"/>
    <cellStyle name="40% - Accent4 26" xfId="559" xr:uid="{00000000-0005-0000-0000-000014020000}"/>
    <cellStyle name="40% - Accent4 27" xfId="560" xr:uid="{00000000-0005-0000-0000-000015020000}"/>
    <cellStyle name="40% - Accent4 28" xfId="561" xr:uid="{00000000-0005-0000-0000-000016020000}"/>
    <cellStyle name="40% - Accent4 29" xfId="562" xr:uid="{00000000-0005-0000-0000-000017020000}"/>
    <cellStyle name="40% - Accent4 3" xfId="563" xr:uid="{00000000-0005-0000-0000-000018020000}"/>
    <cellStyle name="40% - Accent4 3 2" xfId="564" xr:uid="{00000000-0005-0000-0000-000019020000}"/>
    <cellStyle name="40% - Accent4 3 3" xfId="565" xr:uid="{00000000-0005-0000-0000-00001A020000}"/>
    <cellStyle name="40% - Accent4 30" xfId="566" xr:uid="{00000000-0005-0000-0000-00001B020000}"/>
    <cellStyle name="40% - Accent4 31" xfId="567" xr:uid="{00000000-0005-0000-0000-00001C020000}"/>
    <cellStyle name="40% - Accent4 32" xfId="568" xr:uid="{00000000-0005-0000-0000-00001D020000}"/>
    <cellStyle name="40% - Accent4 33" xfId="569" xr:uid="{00000000-0005-0000-0000-00001E020000}"/>
    <cellStyle name="40% - Accent4 34" xfId="570" xr:uid="{00000000-0005-0000-0000-00001F020000}"/>
    <cellStyle name="40% - Accent4 35" xfId="571" xr:uid="{00000000-0005-0000-0000-000020020000}"/>
    <cellStyle name="40% - Accent4 36" xfId="572" xr:uid="{00000000-0005-0000-0000-000021020000}"/>
    <cellStyle name="40% - Accent4 37" xfId="573" xr:uid="{00000000-0005-0000-0000-000022020000}"/>
    <cellStyle name="40% - Accent4 38" xfId="574" xr:uid="{00000000-0005-0000-0000-000023020000}"/>
    <cellStyle name="40% - Accent4 39" xfId="575" xr:uid="{00000000-0005-0000-0000-000024020000}"/>
    <cellStyle name="40% - Accent4 4" xfId="576" xr:uid="{00000000-0005-0000-0000-000025020000}"/>
    <cellStyle name="40% - Accent4 4 2" xfId="577" xr:uid="{00000000-0005-0000-0000-000026020000}"/>
    <cellStyle name="40% - Accent4 4 3" xfId="578" xr:uid="{00000000-0005-0000-0000-000027020000}"/>
    <cellStyle name="40% - Accent4 40" xfId="579" xr:uid="{00000000-0005-0000-0000-000028020000}"/>
    <cellStyle name="40% - Accent4 41" xfId="580" xr:uid="{00000000-0005-0000-0000-000029020000}"/>
    <cellStyle name="40% - Accent4 42" xfId="581" xr:uid="{00000000-0005-0000-0000-00002A020000}"/>
    <cellStyle name="40% - Accent4 43" xfId="582" xr:uid="{00000000-0005-0000-0000-00002B020000}"/>
    <cellStyle name="40% - Accent4 44" xfId="583" xr:uid="{00000000-0005-0000-0000-00002C020000}"/>
    <cellStyle name="40% - Accent4 45" xfId="584" xr:uid="{00000000-0005-0000-0000-00002D020000}"/>
    <cellStyle name="40% - Accent4 46" xfId="585" xr:uid="{00000000-0005-0000-0000-00002E020000}"/>
    <cellStyle name="40% - Accent4 47" xfId="586" xr:uid="{00000000-0005-0000-0000-00002F020000}"/>
    <cellStyle name="40% - Accent4 48" xfId="587" xr:uid="{00000000-0005-0000-0000-000030020000}"/>
    <cellStyle name="40% - Accent4 49" xfId="588" xr:uid="{00000000-0005-0000-0000-000031020000}"/>
    <cellStyle name="40% - Accent4 5" xfId="589" xr:uid="{00000000-0005-0000-0000-000032020000}"/>
    <cellStyle name="40% - Accent4 5 2" xfId="590" xr:uid="{00000000-0005-0000-0000-000033020000}"/>
    <cellStyle name="40% - Accent4 6" xfId="591" xr:uid="{00000000-0005-0000-0000-000034020000}"/>
    <cellStyle name="40% - Accent4 7" xfId="592" xr:uid="{00000000-0005-0000-0000-000035020000}"/>
    <cellStyle name="40% - Accent4 8" xfId="593" xr:uid="{00000000-0005-0000-0000-000036020000}"/>
    <cellStyle name="40% - Accent4 9" xfId="594" xr:uid="{00000000-0005-0000-0000-000037020000}"/>
    <cellStyle name="40% - Accent5 10" xfId="595" xr:uid="{00000000-0005-0000-0000-000038020000}"/>
    <cellStyle name="40% - Accent5 11" xfId="596" xr:uid="{00000000-0005-0000-0000-000039020000}"/>
    <cellStyle name="40% - Accent5 12" xfId="597" xr:uid="{00000000-0005-0000-0000-00003A020000}"/>
    <cellStyle name="40% - Accent5 13" xfId="598" xr:uid="{00000000-0005-0000-0000-00003B020000}"/>
    <cellStyle name="40% - Accent5 14" xfId="599" xr:uid="{00000000-0005-0000-0000-00003C020000}"/>
    <cellStyle name="40% - Accent5 15" xfId="600" xr:uid="{00000000-0005-0000-0000-00003D020000}"/>
    <cellStyle name="40% - Accent5 16" xfId="601" xr:uid="{00000000-0005-0000-0000-00003E020000}"/>
    <cellStyle name="40% - Accent5 17" xfId="602" xr:uid="{00000000-0005-0000-0000-00003F020000}"/>
    <cellStyle name="40% - Accent5 18" xfId="603" xr:uid="{00000000-0005-0000-0000-000040020000}"/>
    <cellStyle name="40% - Accent5 19" xfId="604" xr:uid="{00000000-0005-0000-0000-000041020000}"/>
    <cellStyle name="40% - Accent5 2" xfId="605" xr:uid="{00000000-0005-0000-0000-000042020000}"/>
    <cellStyle name="40% - Accent5 2 2" xfId="606" xr:uid="{00000000-0005-0000-0000-000043020000}"/>
    <cellStyle name="40% - Accent5 2 3" xfId="607" xr:uid="{00000000-0005-0000-0000-000044020000}"/>
    <cellStyle name="40% - Accent5 20" xfId="608" xr:uid="{00000000-0005-0000-0000-000045020000}"/>
    <cellStyle name="40% - Accent5 21" xfId="609" xr:uid="{00000000-0005-0000-0000-000046020000}"/>
    <cellStyle name="40% - Accent5 22" xfId="610" xr:uid="{00000000-0005-0000-0000-000047020000}"/>
    <cellStyle name="40% - Accent5 23" xfId="611" xr:uid="{00000000-0005-0000-0000-000048020000}"/>
    <cellStyle name="40% - Accent5 24" xfId="612" xr:uid="{00000000-0005-0000-0000-000049020000}"/>
    <cellStyle name="40% - Accent5 25" xfId="613" xr:uid="{00000000-0005-0000-0000-00004A020000}"/>
    <cellStyle name="40% - Accent5 26" xfId="614" xr:uid="{00000000-0005-0000-0000-00004B020000}"/>
    <cellStyle name="40% - Accent5 27" xfId="615" xr:uid="{00000000-0005-0000-0000-00004C020000}"/>
    <cellStyle name="40% - Accent5 28" xfId="616" xr:uid="{00000000-0005-0000-0000-00004D020000}"/>
    <cellStyle name="40% - Accent5 29" xfId="617" xr:uid="{00000000-0005-0000-0000-00004E020000}"/>
    <cellStyle name="40% - Accent5 3" xfId="618" xr:uid="{00000000-0005-0000-0000-00004F020000}"/>
    <cellStyle name="40% - Accent5 3 2" xfId="619" xr:uid="{00000000-0005-0000-0000-000050020000}"/>
    <cellStyle name="40% - Accent5 3 3" xfId="620" xr:uid="{00000000-0005-0000-0000-000051020000}"/>
    <cellStyle name="40% - Accent5 30" xfId="621" xr:uid="{00000000-0005-0000-0000-000052020000}"/>
    <cellStyle name="40% - Accent5 31" xfId="622" xr:uid="{00000000-0005-0000-0000-000053020000}"/>
    <cellStyle name="40% - Accent5 32" xfId="623" xr:uid="{00000000-0005-0000-0000-000054020000}"/>
    <cellStyle name="40% - Accent5 33" xfId="624" xr:uid="{00000000-0005-0000-0000-000055020000}"/>
    <cellStyle name="40% - Accent5 34" xfId="625" xr:uid="{00000000-0005-0000-0000-000056020000}"/>
    <cellStyle name="40% - Accent5 35" xfId="626" xr:uid="{00000000-0005-0000-0000-000057020000}"/>
    <cellStyle name="40% - Accent5 36" xfId="627" xr:uid="{00000000-0005-0000-0000-000058020000}"/>
    <cellStyle name="40% - Accent5 37" xfId="628" xr:uid="{00000000-0005-0000-0000-000059020000}"/>
    <cellStyle name="40% - Accent5 38" xfId="629" xr:uid="{00000000-0005-0000-0000-00005A020000}"/>
    <cellStyle name="40% - Accent5 39" xfId="630" xr:uid="{00000000-0005-0000-0000-00005B020000}"/>
    <cellStyle name="40% - Accent5 4" xfId="631" xr:uid="{00000000-0005-0000-0000-00005C020000}"/>
    <cellStyle name="40% - Accent5 4 2" xfId="632" xr:uid="{00000000-0005-0000-0000-00005D020000}"/>
    <cellStyle name="40% - Accent5 4 3" xfId="633" xr:uid="{00000000-0005-0000-0000-00005E020000}"/>
    <cellStyle name="40% - Accent5 40" xfId="634" xr:uid="{00000000-0005-0000-0000-00005F020000}"/>
    <cellStyle name="40% - Accent5 41" xfId="635" xr:uid="{00000000-0005-0000-0000-000060020000}"/>
    <cellStyle name="40% - Accent5 42" xfId="636" xr:uid="{00000000-0005-0000-0000-000061020000}"/>
    <cellStyle name="40% - Accent5 43" xfId="637" xr:uid="{00000000-0005-0000-0000-000062020000}"/>
    <cellStyle name="40% - Accent5 44" xfId="638" xr:uid="{00000000-0005-0000-0000-000063020000}"/>
    <cellStyle name="40% - Accent5 45" xfId="639" xr:uid="{00000000-0005-0000-0000-000064020000}"/>
    <cellStyle name="40% - Accent5 46" xfId="640" xr:uid="{00000000-0005-0000-0000-000065020000}"/>
    <cellStyle name="40% - Accent5 47" xfId="641" xr:uid="{00000000-0005-0000-0000-000066020000}"/>
    <cellStyle name="40% - Accent5 48" xfId="642" xr:uid="{00000000-0005-0000-0000-000067020000}"/>
    <cellStyle name="40% - Accent5 49" xfId="643" xr:uid="{00000000-0005-0000-0000-000068020000}"/>
    <cellStyle name="40% - Accent5 5" xfId="644" xr:uid="{00000000-0005-0000-0000-000069020000}"/>
    <cellStyle name="40% - Accent5 5 2" xfId="645" xr:uid="{00000000-0005-0000-0000-00006A020000}"/>
    <cellStyle name="40% - Accent5 6" xfId="646" xr:uid="{00000000-0005-0000-0000-00006B020000}"/>
    <cellStyle name="40% - Accent5 7" xfId="647" xr:uid="{00000000-0005-0000-0000-00006C020000}"/>
    <cellStyle name="40% - Accent5 8" xfId="648" xr:uid="{00000000-0005-0000-0000-00006D020000}"/>
    <cellStyle name="40% - Accent5 9" xfId="649" xr:uid="{00000000-0005-0000-0000-00006E020000}"/>
    <cellStyle name="40% - Accent6 10" xfId="650" xr:uid="{00000000-0005-0000-0000-00006F020000}"/>
    <cellStyle name="40% - Accent6 11" xfId="651" xr:uid="{00000000-0005-0000-0000-000070020000}"/>
    <cellStyle name="40% - Accent6 12" xfId="652" xr:uid="{00000000-0005-0000-0000-000071020000}"/>
    <cellStyle name="40% - Accent6 13" xfId="653" xr:uid="{00000000-0005-0000-0000-000072020000}"/>
    <cellStyle name="40% - Accent6 14" xfId="654" xr:uid="{00000000-0005-0000-0000-000073020000}"/>
    <cellStyle name="40% - Accent6 15" xfId="655" xr:uid="{00000000-0005-0000-0000-000074020000}"/>
    <cellStyle name="40% - Accent6 16" xfId="656" xr:uid="{00000000-0005-0000-0000-000075020000}"/>
    <cellStyle name="40% - Accent6 17" xfId="657" xr:uid="{00000000-0005-0000-0000-000076020000}"/>
    <cellStyle name="40% - Accent6 18" xfId="658" xr:uid="{00000000-0005-0000-0000-000077020000}"/>
    <cellStyle name="40% - Accent6 19" xfId="659" xr:uid="{00000000-0005-0000-0000-000078020000}"/>
    <cellStyle name="40% - Accent6 2" xfId="660" xr:uid="{00000000-0005-0000-0000-000079020000}"/>
    <cellStyle name="40% - Accent6 2 2" xfId="661" xr:uid="{00000000-0005-0000-0000-00007A020000}"/>
    <cellStyle name="40% - Accent6 2 2 2" xfId="662" xr:uid="{00000000-0005-0000-0000-00007B020000}"/>
    <cellStyle name="40% - Accent6 2 3" xfId="663" xr:uid="{00000000-0005-0000-0000-00007C020000}"/>
    <cellStyle name="40% - Accent6 2 4" xfId="664" xr:uid="{00000000-0005-0000-0000-00007D020000}"/>
    <cellStyle name="40% - Accent6 20" xfId="665" xr:uid="{00000000-0005-0000-0000-00007E020000}"/>
    <cellStyle name="40% - Accent6 21" xfId="666" xr:uid="{00000000-0005-0000-0000-00007F020000}"/>
    <cellStyle name="40% - Accent6 22" xfId="667" xr:uid="{00000000-0005-0000-0000-000080020000}"/>
    <cellStyle name="40% - Accent6 23" xfId="668" xr:uid="{00000000-0005-0000-0000-000081020000}"/>
    <cellStyle name="40% - Accent6 24" xfId="669" xr:uid="{00000000-0005-0000-0000-000082020000}"/>
    <cellStyle name="40% - Accent6 25" xfId="670" xr:uid="{00000000-0005-0000-0000-000083020000}"/>
    <cellStyle name="40% - Accent6 26" xfId="671" xr:uid="{00000000-0005-0000-0000-000084020000}"/>
    <cellStyle name="40% - Accent6 27" xfId="672" xr:uid="{00000000-0005-0000-0000-000085020000}"/>
    <cellStyle name="40% - Accent6 28" xfId="673" xr:uid="{00000000-0005-0000-0000-000086020000}"/>
    <cellStyle name="40% - Accent6 29" xfId="674" xr:uid="{00000000-0005-0000-0000-000087020000}"/>
    <cellStyle name="40% - Accent6 3" xfId="675" xr:uid="{00000000-0005-0000-0000-000088020000}"/>
    <cellStyle name="40% - Accent6 3 2" xfId="676" xr:uid="{00000000-0005-0000-0000-000089020000}"/>
    <cellStyle name="40% - Accent6 3 3" xfId="677" xr:uid="{00000000-0005-0000-0000-00008A020000}"/>
    <cellStyle name="40% - Accent6 30" xfId="678" xr:uid="{00000000-0005-0000-0000-00008B020000}"/>
    <cellStyle name="40% - Accent6 31" xfId="679" xr:uid="{00000000-0005-0000-0000-00008C020000}"/>
    <cellStyle name="40% - Accent6 32" xfId="680" xr:uid="{00000000-0005-0000-0000-00008D020000}"/>
    <cellStyle name="40% - Accent6 33" xfId="681" xr:uid="{00000000-0005-0000-0000-00008E020000}"/>
    <cellStyle name="40% - Accent6 34" xfId="682" xr:uid="{00000000-0005-0000-0000-00008F020000}"/>
    <cellStyle name="40% - Accent6 35" xfId="683" xr:uid="{00000000-0005-0000-0000-000090020000}"/>
    <cellStyle name="40% - Accent6 36" xfId="684" xr:uid="{00000000-0005-0000-0000-000091020000}"/>
    <cellStyle name="40% - Accent6 37" xfId="685" xr:uid="{00000000-0005-0000-0000-000092020000}"/>
    <cellStyle name="40% - Accent6 38" xfId="686" xr:uid="{00000000-0005-0000-0000-000093020000}"/>
    <cellStyle name="40% - Accent6 39" xfId="687" xr:uid="{00000000-0005-0000-0000-000094020000}"/>
    <cellStyle name="40% - Accent6 4" xfId="688" xr:uid="{00000000-0005-0000-0000-000095020000}"/>
    <cellStyle name="40% - Accent6 4 2" xfId="689" xr:uid="{00000000-0005-0000-0000-000096020000}"/>
    <cellStyle name="40% - Accent6 4 3" xfId="690" xr:uid="{00000000-0005-0000-0000-000097020000}"/>
    <cellStyle name="40% - Accent6 40" xfId="691" xr:uid="{00000000-0005-0000-0000-000098020000}"/>
    <cellStyle name="40% - Accent6 41" xfId="692" xr:uid="{00000000-0005-0000-0000-000099020000}"/>
    <cellStyle name="40% - Accent6 42" xfId="693" xr:uid="{00000000-0005-0000-0000-00009A020000}"/>
    <cellStyle name="40% - Accent6 43" xfId="694" xr:uid="{00000000-0005-0000-0000-00009B020000}"/>
    <cellStyle name="40% - Accent6 44" xfId="695" xr:uid="{00000000-0005-0000-0000-00009C020000}"/>
    <cellStyle name="40% - Accent6 45" xfId="696" xr:uid="{00000000-0005-0000-0000-00009D020000}"/>
    <cellStyle name="40% - Accent6 46" xfId="697" xr:uid="{00000000-0005-0000-0000-00009E020000}"/>
    <cellStyle name="40% - Accent6 47" xfId="698" xr:uid="{00000000-0005-0000-0000-00009F020000}"/>
    <cellStyle name="40% - Accent6 48" xfId="699" xr:uid="{00000000-0005-0000-0000-0000A0020000}"/>
    <cellStyle name="40% - Accent6 49" xfId="700" xr:uid="{00000000-0005-0000-0000-0000A1020000}"/>
    <cellStyle name="40% - Accent6 5" xfId="701" xr:uid="{00000000-0005-0000-0000-0000A2020000}"/>
    <cellStyle name="40% - Accent6 5 2" xfId="702" xr:uid="{00000000-0005-0000-0000-0000A3020000}"/>
    <cellStyle name="40% - Accent6 6" xfId="703" xr:uid="{00000000-0005-0000-0000-0000A4020000}"/>
    <cellStyle name="40% - Accent6 7" xfId="704" xr:uid="{00000000-0005-0000-0000-0000A5020000}"/>
    <cellStyle name="40% - Accent6 8" xfId="705" xr:uid="{00000000-0005-0000-0000-0000A6020000}"/>
    <cellStyle name="40% - Accent6 9" xfId="706" xr:uid="{00000000-0005-0000-0000-0000A7020000}"/>
    <cellStyle name="60% - Accent1 10" xfId="707" xr:uid="{00000000-0005-0000-0000-0000A8020000}"/>
    <cellStyle name="60% - Accent1 11" xfId="708" xr:uid="{00000000-0005-0000-0000-0000A9020000}"/>
    <cellStyle name="60% - Accent1 12" xfId="709" xr:uid="{00000000-0005-0000-0000-0000AA020000}"/>
    <cellStyle name="60% - Accent1 13" xfId="710" xr:uid="{00000000-0005-0000-0000-0000AB020000}"/>
    <cellStyle name="60% - Accent1 14" xfId="711" xr:uid="{00000000-0005-0000-0000-0000AC020000}"/>
    <cellStyle name="60% - Accent1 15" xfId="712" xr:uid="{00000000-0005-0000-0000-0000AD020000}"/>
    <cellStyle name="60% - Accent1 16" xfId="713" xr:uid="{00000000-0005-0000-0000-0000AE020000}"/>
    <cellStyle name="60% - Accent1 17" xfId="714" xr:uid="{00000000-0005-0000-0000-0000AF020000}"/>
    <cellStyle name="60% - Accent1 18" xfId="715" xr:uid="{00000000-0005-0000-0000-0000B0020000}"/>
    <cellStyle name="60% - Accent1 19" xfId="716" xr:uid="{00000000-0005-0000-0000-0000B1020000}"/>
    <cellStyle name="60% - Accent1 2" xfId="717" xr:uid="{00000000-0005-0000-0000-0000B2020000}"/>
    <cellStyle name="60% - Accent1 2 2" xfId="718" xr:uid="{00000000-0005-0000-0000-0000B3020000}"/>
    <cellStyle name="60% - Accent1 2 3" xfId="719" xr:uid="{00000000-0005-0000-0000-0000B4020000}"/>
    <cellStyle name="60% - Accent1 2 4" xfId="720" xr:uid="{00000000-0005-0000-0000-0000B5020000}"/>
    <cellStyle name="60% - Accent1 20" xfId="721" xr:uid="{00000000-0005-0000-0000-0000B6020000}"/>
    <cellStyle name="60% - Accent1 21" xfId="722" xr:uid="{00000000-0005-0000-0000-0000B7020000}"/>
    <cellStyle name="60% - Accent1 22" xfId="723" xr:uid="{00000000-0005-0000-0000-0000B8020000}"/>
    <cellStyle name="60% - Accent1 23" xfId="724" xr:uid="{00000000-0005-0000-0000-0000B9020000}"/>
    <cellStyle name="60% - Accent1 24" xfId="725" xr:uid="{00000000-0005-0000-0000-0000BA020000}"/>
    <cellStyle name="60% - Accent1 25" xfId="726" xr:uid="{00000000-0005-0000-0000-0000BB020000}"/>
    <cellStyle name="60% - Accent1 26" xfId="727" xr:uid="{00000000-0005-0000-0000-0000BC020000}"/>
    <cellStyle name="60% - Accent1 27" xfId="728" xr:uid="{00000000-0005-0000-0000-0000BD020000}"/>
    <cellStyle name="60% - Accent1 28" xfId="729" xr:uid="{00000000-0005-0000-0000-0000BE020000}"/>
    <cellStyle name="60% - Accent1 29" xfId="730" xr:uid="{00000000-0005-0000-0000-0000BF020000}"/>
    <cellStyle name="60% - Accent1 3" xfId="731" xr:uid="{00000000-0005-0000-0000-0000C0020000}"/>
    <cellStyle name="60% - Accent1 30" xfId="732" xr:uid="{00000000-0005-0000-0000-0000C1020000}"/>
    <cellStyle name="60% - Accent1 31" xfId="733" xr:uid="{00000000-0005-0000-0000-0000C2020000}"/>
    <cellStyle name="60% - Accent1 32" xfId="734" xr:uid="{00000000-0005-0000-0000-0000C3020000}"/>
    <cellStyle name="60% - Accent1 33" xfId="735" xr:uid="{00000000-0005-0000-0000-0000C4020000}"/>
    <cellStyle name="60% - Accent1 34" xfId="736" xr:uid="{00000000-0005-0000-0000-0000C5020000}"/>
    <cellStyle name="60% - Accent1 35" xfId="737" xr:uid="{00000000-0005-0000-0000-0000C6020000}"/>
    <cellStyle name="60% - Accent1 36" xfId="738" xr:uid="{00000000-0005-0000-0000-0000C7020000}"/>
    <cellStyle name="60% - Accent1 37" xfId="739" xr:uid="{00000000-0005-0000-0000-0000C8020000}"/>
    <cellStyle name="60% - Accent1 38" xfId="740" xr:uid="{00000000-0005-0000-0000-0000C9020000}"/>
    <cellStyle name="60% - Accent1 39" xfId="741" xr:uid="{00000000-0005-0000-0000-0000CA020000}"/>
    <cellStyle name="60% - Accent1 4" xfId="742" xr:uid="{00000000-0005-0000-0000-0000CB020000}"/>
    <cellStyle name="60% - Accent1 40" xfId="743" xr:uid="{00000000-0005-0000-0000-0000CC020000}"/>
    <cellStyle name="60% - Accent1 41" xfId="744" xr:uid="{00000000-0005-0000-0000-0000CD020000}"/>
    <cellStyle name="60% - Accent1 42" xfId="745" xr:uid="{00000000-0005-0000-0000-0000CE020000}"/>
    <cellStyle name="60% - Accent1 43" xfId="746" xr:uid="{00000000-0005-0000-0000-0000CF020000}"/>
    <cellStyle name="60% - Accent1 44" xfId="747" xr:uid="{00000000-0005-0000-0000-0000D0020000}"/>
    <cellStyle name="60% - Accent1 45" xfId="748" xr:uid="{00000000-0005-0000-0000-0000D1020000}"/>
    <cellStyle name="60% - Accent1 46" xfId="749" xr:uid="{00000000-0005-0000-0000-0000D2020000}"/>
    <cellStyle name="60% - Accent1 47" xfId="750" xr:uid="{00000000-0005-0000-0000-0000D3020000}"/>
    <cellStyle name="60% - Accent1 48" xfId="751" xr:uid="{00000000-0005-0000-0000-0000D4020000}"/>
    <cellStyle name="60% - Accent1 49" xfId="752" xr:uid="{00000000-0005-0000-0000-0000D5020000}"/>
    <cellStyle name="60% - Accent1 5" xfId="753" xr:uid="{00000000-0005-0000-0000-0000D6020000}"/>
    <cellStyle name="60% - Accent1 6" xfId="754" xr:uid="{00000000-0005-0000-0000-0000D7020000}"/>
    <cellStyle name="60% - Accent1 7" xfId="755" xr:uid="{00000000-0005-0000-0000-0000D8020000}"/>
    <cellStyle name="60% - Accent1 8" xfId="756" xr:uid="{00000000-0005-0000-0000-0000D9020000}"/>
    <cellStyle name="60% - Accent1 9" xfId="757" xr:uid="{00000000-0005-0000-0000-0000DA020000}"/>
    <cellStyle name="60% - Accent2 10" xfId="758" xr:uid="{00000000-0005-0000-0000-0000DB020000}"/>
    <cellStyle name="60% - Accent2 11" xfId="759" xr:uid="{00000000-0005-0000-0000-0000DC020000}"/>
    <cellStyle name="60% - Accent2 12" xfId="760" xr:uid="{00000000-0005-0000-0000-0000DD020000}"/>
    <cellStyle name="60% - Accent2 13" xfId="761" xr:uid="{00000000-0005-0000-0000-0000DE020000}"/>
    <cellStyle name="60% - Accent2 14" xfId="762" xr:uid="{00000000-0005-0000-0000-0000DF020000}"/>
    <cellStyle name="60% - Accent2 15" xfId="763" xr:uid="{00000000-0005-0000-0000-0000E0020000}"/>
    <cellStyle name="60% - Accent2 16" xfId="764" xr:uid="{00000000-0005-0000-0000-0000E1020000}"/>
    <cellStyle name="60% - Accent2 17" xfId="765" xr:uid="{00000000-0005-0000-0000-0000E2020000}"/>
    <cellStyle name="60% - Accent2 18" xfId="766" xr:uid="{00000000-0005-0000-0000-0000E3020000}"/>
    <cellStyle name="60% - Accent2 19" xfId="767" xr:uid="{00000000-0005-0000-0000-0000E4020000}"/>
    <cellStyle name="60% - Accent2 2" xfId="768" xr:uid="{00000000-0005-0000-0000-0000E5020000}"/>
    <cellStyle name="60% - Accent2 20" xfId="769" xr:uid="{00000000-0005-0000-0000-0000E6020000}"/>
    <cellStyle name="60% - Accent2 21" xfId="770" xr:uid="{00000000-0005-0000-0000-0000E7020000}"/>
    <cellStyle name="60% - Accent2 22" xfId="771" xr:uid="{00000000-0005-0000-0000-0000E8020000}"/>
    <cellStyle name="60% - Accent2 23" xfId="772" xr:uid="{00000000-0005-0000-0000-0000E9020000}"/>
    <cellStyle name="60% - Accent2 24" xfId="773" xr:uid="{00000000-0005-0000-0000-0000EA020000}"/>
    <cellStyle name="60% - Accent2 25" xfId="774" xr:uid="{00000000-0005-0000-0000-0000EB020000}"/>
    <cellStyle name="60% - Accent2 26" xfId="775" xr:uid="{00000000-0005-0000-0000-0000EC020000}"/>
    <cellStyle name="60% - Accent2 27" xfId="776" xr:uid="{00000000-0005-0000-0000-0000ED020000}"/>
    <cellStyle name="60% - Accent2 28" xfId="777" xr:uid="{00000000-0005-0000-0000-0000EE020000}"/>
    <cellStyle name="60% - Accent2 29" xfId="778" xr:uid="{00000000-0005-0000-0000-0000EF020000}"/>
    <cellStyle name="60% - Accent2 3" xfId="779" xr:uid="{00000000-0005-0000-0000-0000F0020000}"/>
    <cellStyle name="60% - Accent2 30" xfId="780" xr:uid="{00000000-0005-0000-0000-0000F1020000}"/>
    <cellStyle name="60% - Accent2 31" xfId="781" xr:uid="{00000000-0005-0000-0000-0000F2020000}"/>
    <cellStyle name="60% - Accent2 32" xfId="782" xr:uid="{00000000-0005-0000-0000-0000F3020000}"/>
    <cellStyle name="60% - Accent2 33" xfId="783" xr:uid="{00000000-0005-0000-0000-0000F4020000}"/>
    <cellStyle name="60% - Accent2 34" xfId="784" xr:uid="{00000000-0005-0000-0000-0000F5020000}"/>
    <cellStyle name="60% - Accent2 35" xfId="785" xr:uid="{00000000-0005-0000-0000-0000F6020000}"/>
    <cellStyle name="60% - Accent2 36" xfId="786" xr:uid="{00000000-0005-0000-0000-0000F7020000}"/>
    <cellStyle name="60% - Accent2 37" xfId="787" xr:uid="{00000000-0005-0000-0000-0000F8020000}"/>
    <cellStyle name="60% - Accent2 38" xfId="788" xr:uid="{00000000-0005-0000-0000-0000F9020000}"/>
    <cellStyle name="60% - Accent2 39" xfId="789" xr:uid="{00000000-0005-0000-0000-0000FA020000}"/>
    <cellStyle name="60% - Accent2 4" xfId="790" xr:uid="{00000000-0005-0000-0000-0000FB020000}"/>
    <cellStyle name="60% - Accent2 40" xfId="791" xr:uid="{00000000-0005-0000-0000-0000FC020000}"/>
    <cellStyle name="60% - Accent2 41" xfId="792" xr:uid="{00000000-0005-0000-0000-0000FD020000}"/>
    <cellStyle name="60% - Accent2 42" xfId="793" xr:uid="{00000000-0005-0000-0000-0000FE020000}"/>
    <cellStyle name="60% - Accent2 43" xfId="794" xr:uid="{00000000-0005-0000-0000-0000FF020000}"/>
    <cellStyle name="60% - Accent2 44" xfId="795" xr:uid="{00000000-0005-0000-0000-000000030000}"/>
    <cellStyle name="60% - Accent2 45" xfId="796" xr:uid="{00000000-0005-0000-0000-000001030000}"/>
    <cellStyle name="60% - Accent2 46" xfId="797" xr:uid="{00000000-0005-0000-0000-000002030000}"/>
    <cellStyle name="60% - Accent2 47" xfId="798" xr:uid="{00000000-0005-0000-0000-000003030000}"/>
    <cellStyle name="60% - Accent2 48" xfId="799" xr:uid="{00000000-0005-0000-0000-000004030000}"/>
    <cellStyle name="60% - Accent2 49" xfId="800" xr:uid="{00000000-0005-0000-0000-000005030000}"/>
    <cellStyle name="60% - Accent2 5" xfId="801" xr:uid="{00000000-0005-0000-0000-000006030000}"/>
    <cellStyle name="60% - Accent2 6" xfId="802" xr:uid="{00000000-0005-0000-0000-000007030000}"/>
    <cellStyle name="60% - Accent2 7" xfId="803" xr:uid="{00000000-0005-0000-0000-000008030000}"/>
    <cellStyle name="60% - Accent2 8" xfId="804" xr:uid="{00000000-0005-0000-0000-000009030000}"/>
    <cellStyle name="60% - Accent2 9" xfId="805" xr:uid="{00000000-0005-0000-0000-00000A030000}"/>
    <cellStyle name="60% - Accent3 10" xfId="806" xr:uid="{00000000-0005-0000-0000-00000B030000}"/>
    <cellStyle name="60% - Accent3 11" xfId="807" xr:uid="{00000000-0005-0000-0000-00000C030000}"/>
    <cellStyle name="60% - Accent3 12" xfId="808" xr:uid="{00000000-0005-0000-0000-00000D030000}"/>
    <cellStyle name="60% - Accent3 13" xfId="809" xr:uid="{00000000-0005-0000-0000-00000E030000}"/>
    <cellStyle name="60% - Accent3 14" xfId="810" xr:uid="{00000000-0005-0000-0000-00000F030000}"/>
    <cellStyle name="60% - Accent3 15" xfId="811" xr:uid="{00000000-0005-0000-0000-000010030000}"/>
    <cellStyle name="60% - Accent3 16" xfId="812" xr:uid="{00000000-0005-0000-0000-000011030000}"/>
    <cellStyle name="60% - Accent3 17" xfId="813" xr:uid="{00000000-0005-0000-0000-000012030000}"/>
    <cellStyle name="60% - Accent3 18" xfId="814" xr:uid="{00000000-0005-0000-0000-000013030000}"/>
    <cellStyle name="60% - Accent3 19" xfId="815" xr:uid="{00000000-0005-0000-0000-000014030000}"/>
    <cellStyle name="60% - Accent3 2" xfId="816" xr:uid="{00000000-0005-0000-0000-000015030000}"/>
    <cellStyle name="60% - Accent3 2 2" xfId="817" xr:uid="{00000000-0005-0000-0000-000016030000}"/>
    <cellStyle name="60% - Accent3 2 3" xfId="818" xr:uid="{00000000-0005-0000-0000-000017030000}"/>
    <cellStyle name="60% - Accent3 2 4" xfId="819" xr:uid="{00000000-0005-0000-0000-000018030000}"/>
    <cellStyle name="60% - Accent3 20" xfId="820" xr:uid="{00000000-0005-0000-0000-000019030000}"/>
    <cellStyle name="60% - Accent3 21" xfId="821" xr:uid="{00000000-0005-0000-0000-00001A030000}"/>
    <cellStyle name="60% - Accent3 22" xfId="822" xr:uid="{00000000-0005-0000-0000-00001B030000}"/>
    <cellStyle name="60% - Accent3 23" xfId="823" xr:uid="{00000000-0005-0000-0000-00001C030000}"/>
    <cellStyle name="60% - Accent3 24" xfId="824" xr:uid="{00000000-0005-0000-0000-00001D030000}"/>
    <cellStyle name="60% - Accent3 25" xfId="825" xr:uid="{00000000-0005-0000-0000-00001E030000}"/>
    <cellStyle name="60% - Accent3 26" xfId="826" xr:uid="{00000000-0005-0000-0000-00001F030000}"/>
    <cellStyle name="60% - Accent3 27" xfId="827" xr:uid="{00000000-0005-0000-0000-000020030000}"/>
    <cellStyle name="60% - Accent3 28" xfId="828" xr:uid="{00000000-0005-0000-0000-000021030000}"/>
    <cellStyle name="60% - Accent3 29" xfId="829" xr:uid="{00000000-0005-0000-0000-000022030000}"/>
    <cellStyle name="60% - Accent3 3" xfId="830" xr:uid="{00000000-0005-0000-0000-000023030000}"/>
    <cellStyle name="60% - Accent3 30" xfId="831" xr:uid="{00000000-0005-0000-0000-000024030000}"/>
    <cellStyle name="60% - Accent3 31" xfId="832" xr:uid="{00000000-0005-0000-0000-000025030000}"/>
    <cellStyle name="60% - Accent3 32" xfId="833" xr:uid="{00000000-0005-0000-0000-000026030000}"/>
    <cellStyle name="60% - Accent3 33" xfId="834" xr:uid="{00000000-0005-0000-0000-000027030000}"/>
    <cellStyle name="60% - Accent3 34" xfId="835" xr:uid="{00000000-0005-0000-0000-000028030000}"/>
    <cellStyle name="60% - Accent3 35" xfId="836" xr:uid="{00000000-0005-0000-0000-000029030000}"/>
    <cellStyle name="60% - Accent3 36" xfId="837" xr:uid="{00000000-0005-0000-0000-00002A030000}"/>
    <cellStyle name="60% - Accent3 37" xfId="838" xr:uid="{00000000-0005-0000-0000-00002B030000}"/>
    <cellStyle name="60% - Accent3 38" xfId="839" xr:uid="{00000000-0005-0000-0000-00002C030000}"/>
    <cellStyle name="60% - Accent3 39" xfId="840" xr:uid="{00000000-0005-0000-0000-00002D030000}"/>
    <cellStyle name="60% - Accent3 4" xfId="841" xr:uid="{00000000-0005-0000-0000-00002E030000}"/>
    <cellStyle name="60% - Accent3 40" xfId="842" xr:uid="{00000000-0005-0000-0000-00002F030000}"/>
    <cellStyle name="60% - Accent3 41" xfId="843" xr:uid="{00000000-0005-0000-0000-000030030000}"/>
    <cellStyle name="60% - Accent3 42" xfId="844" xr:uid="{00000000-0005-0000-0000-000031030000}"/>
    <cellStyle name="60% - Accent3 43" xfId="845" xr:uid="{00000000-0005-0000-0000-000032030000}"/>
    <cellStyle name="60% - Accent3 44" xfId="846" xr:uid="{00000000-0005-0000-0000-000033030000}"/>
    <cellStyle name="60% - Accent3 45" xfId="847" xr:uid="{00000000-0005-0000-0000-000034030000}"/>
    <cellStyle name="60% - Accent3 46" xfId="848" xr:uid="{00000000-0005-0000-0000-000035030000}"/>
    <cellStyle name="60% - Accent3 47" xfId="849" xr:uid="{00000000-0005-0000-0000-000036030000}"/>
    <cellStyle name="60% - Accent3 48" xfId="850" xr:uid="{00000000-0005-0000-0000-000037030000}"/>
    <cellStyle name="60% - Accent3 49" xfId="851" xr:uid="{00000000-0005-0000-0000-000038030000}"/>
    <cellStyle name="60% - Accent3 5" xfId="852" xr:uid="{00000000-0005-0000-0000-000039030000}"/>
    <cellStyle name="60% - Accent3 6" xfId="853" xr:uid="{00000000-0005-0000-0000-00003A030000}"/>
    <cellStyle name="60% - Accent3 7" xfId="854" xr:uid="{00000000-0005-0000-0000-00003B030000}"/>
    <cellStyle name="60% - Accent3 8" xfId="855" xr:uid="{00000000-0005-0000-0000-00003C030000}"/>
    <cellStyle name="60% - Accent3 9" xfId="856" xr:uid="{00000000-0005-0000-0000-00003D030000}"/>
    <cellStyle name="60% - Accent4 10" xfId="857" xr:uid="{00000000-0005-0000-0000-00003E030000}"/>
    <cellStyle name="60% - Accent4 11" xfId="858" xr:uid="{00000000-0005-0000-0000-00003F030000}"/>
    <cellStyle name="60% - Accent4 12" xfId="859" xr:uid="{00000000-0005-0000-0000-000040030000}"/>
    <cellStyle name="60% - Accent4 13" xfId="860" xr:uid="{00000000-0005-0000-0000-000041030000}"/>
    <cellStyle name="60% - Accent4 14" xfId="861" xr:uid="{00000000-0005-0000-0000-000042030000}"/>
    <cellStyle name="60% - Accent4 15" xfId="862" xr:uid="{00000000-0005-0000-0000-000043030000}"/>
    <cellStyle name="60% - Accent4 16" xfId="863" xr:uid="{00000000-0005-0000-0000-000044030000}"/>
    <cellStyle name="60% - Accent4 17" xfId="864" xr:uid="{00000000-0005-0000-0000-000045030000}"/>
    <cellStyle name="60% - Accent4 18" xfId="865" xr:uid="{00000000-0005-0000-0000-000046030000}"/>
    <cellStyle name="60% - Accent4 19" xfId="866" xr:uid="{00000000-0005-0000-0000-000047030000}"/>
    <cellStyle name="60% - Accent4 2" xfId="867" xr:uid="{00000000-0005-0000-0000-000048030000}"/>
    <cellStyle name="60% - Accent4 2 2" xfId="868" xr:uid="{00000000-0005-0000-0000-000049030000}"/>
    <cellStyle name="60% - Accent4 2 3" xfId="869" xr:uid="{00000000-0005-0000-0000-00004A030000}"/>
    <cellStyle name="60% - Accent4 2 4" xfId="870" xr:uid="{00000000-0005-0000-0000-00004B030000}"/>
    <cellStyle name="60% - Accent4 20" xfId="871" xr:uid="{00000000-0005-0000-0000-00004C030000}"/>
    <cellStyle name="60% - Accent4 21" xfId="872" xr:uid="{00000000-0005-0000-0000-00004D030000}"/>
    <cellStyle name="60% - Accent4 22" xfId="873" xr:uid="{00000000-0005-0000-0000-00004E030000}"/>
    <cellStyle name="60% - Accent4 23" xfId="874" xr:uid="{00000000-0005-0000-0000-00004F030000}"/>
    <cellStyle name="60% - Accent4 24" xfId="875" xr:uid="{00000000-0005-0000-0000-000050030000}"/>
    <cellStyle name="60% - Accent4 25" xfId="876" xr:uid="{00000000-0005-0000-0000-000051030000}"/>
    <cellStyle name="60% - Accent4 26" xfId="877" xr:uid="{00000000-0005-0000-0000-000052030000}"/>
    <cellStyle name="60% - Accent4 27" xfId="878" xr:uid="{00000000-0005-0000-0000-000053030000}"/>
    <cellStyle name="60% - Accent4 28" xfId="879" xr:uid="{00000000-0005-0000-0000-000054030000}"/>
    <cellStyle name="60% - Accent4 29" xfId="880" xr:uid="{00000000-0005-0000-0000-000055030000}"/>
    <cellStyle name="60% - Accent4 3" xfId="881" xr:uid="{00000000-0005-0000-0000-000056030000}"/>
    <cellStyle name="60% - Accent4 30" xfId="882" xr:uid="{00000000-0005-0000-0000-000057030000}"/>
    <cellStyle name="60% - Accent4 31" xfId="883" xr:uid="{00000000-0005-0000-0000-000058030000}"/>
    <cellStyle name="60% - Accent4 32" xfId="884" xr:uid="{00000000-0005-0000-0000-000059030000}"/>
    <cellStyle name="60% - Accent4 33" xfId="885" xr:uid="{00000000-0005-0000-0000-00005A030000}"/>
    <cellStyle name="60% - Accent4 34" xfId="886" xr:uid="{00000000-0005-0000-0000-00005B030000}"/>
    <cellStyle name="60% - Accent4 35" xfId="887" xr:uid="{00000000-0005-0000-0000-00005C030000}"/>
    <cellStyle name="60% - Accent4 36" xfId="888" xr:uid="{00000000-0005-0000-0000-00005D030000}"/>
    <cellStyle name="60% - Accent4 37" xfId="889" xr:uid="{00000000-0005-0000-0000-00005E030000}"/>
    <cellStyle name="60% - Accent4 38" xfId="890" xr:uid="{00000000-0005-0000-0000-00005F030000}"/>
    <cellStyle name="60% - Accent4 39" xfId="891" xr:uid="{00000000-0005-0000-0000-000060030000}"/>
    <cellStyle name="60% - Accent4 4" xfId="892" xr:uid="{00000000-0005-0000-0000-000061030000}"/>
    <cellStyle name="60% - Accent4 40" xfId="893" xr:uid="{00000000-0005-0000-0000-000062030000}"/>
    <cellStyle name="60% - Accent4 41" xfId="894" xr:uid="{00000000-0005-0000-0000-000063030000}"/>
    <cellStyle name="60% - Accent4 42" xfId="895" xr:uid="{00000000-0005-0000-0000-000064030000}"/>
    <cellStyle name="60% - Accent4 43" xfId="896" xr:uid="{00000000-0005-0000-0000-000065030000}"/>
    <cellStyle name="60% - Accent4 44" xfId="897" xr:uid="{00000000-0005-0000-0000-000066030000}"/>
    <cellStyle name="60% - Accent4 45" xfId="898" xr:uid="{00000000-0005-0000-0000-000067030000}"/>
    <cellStyle name="60% - Accent4 46" xfId="899" xr:uid="{00000000-0005-0000-0000-000068030000}"/>
    <cellStyle name="60% - Accent4 47" xfId="900" xr:uid="{00000000-0005-0000-0000-000069030000}"/>
    <cellStyle name="60% - Accent4 48" xfId="901" xr:uid="{00000000-0005-0000-0000-00006A030000}"/>
    <cellStyle name="60% - Accent4 49" xfId="902" xr:uid="{00000000-0005-0000-0000-00006B030000}"/>
    <cellStyle name="60% - Accent4 5" xfId="903" xr:uid="{00000000-0005-0000-0000-00006C030000}"/>
    <cellStyle name="60% - Accent4 6" xfId="904" xr:uid="{00000000-0005-0000-0000-00006D030000}"/>
    <cellStyle name="60% - Accent4 7" xfId="905" xr:uid="{00000000-0005-0000-0000-00006E030000}"/>
    <cellStyle name="60% - Accent4 8" xfId="906" xr:uid="{00000000-0005-0000-0000-00006F030000}"/>
    <cellStyle name="60% - Accent4 9" xfId="907" xr:uid="{00000000-0005-0000-0000-000070030000}"/>
    <cellStyle name="60% - Accent5 10" xfId="908" xr:uid="{00000000-0005-0000-0000-000071030000}"/>
    <cellStyle name="60% - Accent5 11" xfId="909" xr:uid="{00000000-0005-0000-0000-000072030000}"/>
    <cellStyle name="60% - Accent5 12" xfId="910" xr:uid="{00000000-0005-0000-0000-000073030000}"/>
    <cellStyle name="60% - Accent5 13" xfId="911" xr:uid="{00000000-0005-0000-0000-000074030000}"/>
    <cellStyle name="60% - Accent5 14" xfId="912" xr:uid="{00000000-0005-0000-0000-000075030000}"/>
    <cellStyle name="60% - Accent5 15" xfId="913" xr:uid="{00000000-0005-0000-0000-000076030000}"/>
    <cellStyle name="60% - Accent5 16" xfId="914" xr:uid="{00000000-0005-0000-0000-000077030000}"/>
    <cellStyle name="60% - Accent5 17" xfId="915" xr:uid="{00000000-0005-0000-0000-000078030000}"/>
    <cellStyle name="60% - Accent5 18" xfId="916" xr:uid="{00000000-0005-0000-0000-000079030000}"/>
    <cellStyle name="60% - Accent5 19" xfId="917" xr:uid="{00000000-0005-0000-0000-00007A030000}"/>
    <cellStyle name="60% - Accent5 2" xfId="918" xr:uid="{00000000-0005-0000-0000-00007B030000}"/>
    <cellStyle name="60% - Accent5 20" xfId="919" xr:uid="{00000000-0005-0000-0000-00007C030000}"/>
    <cellStyle name="60% - Accent5 21" xfId="920" xr:uid="{00000000-0005-0000-0000-00007D030000}"/>
    <cellStyle name="60% - Accent5 22" xfId="921" xr:uid="{00000000-0005-0000-0000-00007E030000}"/>
    <cellStyle name="60% - Accent5 23" xfId="922" xr:uid="{00000000-0005-0000-0000-00007F030000}"/>
    <cellStyle name="60% - Accent5 24" xfId="923" xr:uid="{00000000-0005-0000-0000-000080030000}"/>
    <cellStyle name="60% - Accent5 25" xfId="924" xr:uid="{00000000-0005-0000-0000-000081030000}"/>
    <cellStyle name="60% - Accent5 26" xfId="925" xr:uid="{00000000-0005-0000-0000-000082030000}"/>
    <cellStyle name="60% - Accent5 27" xfId="926" xr:uid="{00000000-0005-0000-0000-000083030000}"/>
    <cellStyle name="60% - Accent5 28" xfId="927" xr:uid="{00000000-0005-0000-0000-000084030000}"/>
    <cellStyle name="60% - Accent5 29" xfId="928" xr:uid="{00000000-0005-0000-0000-000085030000}"/>
    <cellStyle name="60% - Accent5 3" xfId="929" xr:uid="{00000000-0005-0000-0000-000086030000}"/>
    <cellStyle name="60% - Accent5 30" xfId="930" xr:uid="{00000000-0005-0000-0000-000087030000}"/>
    <cellStyle name="60% - Accent5 31" xfId="931" xr:uid="{00000000-0005-0000-0000-000088030000}"/>
    <cellStyle name="60% - Accent5 32" xfId="932" xr:uid="{00000000-0005-0000-0000-000089030000}"/>
    <cellStyle name="60% - Accent5 33" xfId="933" xr:uid="{00000000-0005-0000-0000-00008A030000}"/>
    <cellStyle name="60% - Accent5 34" xfId="934" xr:uid="{00000000-0005-0000-0000-00008B030000}"/>
    <cellStyle name="60% - Accent5 35" xfId="935" xr:uid="{00000000-0005-0000-0000-00008C030000}"/>
    <cellStyle name="60% - Accent5 36" xfId="936" xr:uid="{00000000-0005-0000-0000-00008D030000}"/>
    <cellStyle name="60% - Accent5 37" xfId="937" xr:uid="{00000000-0005-0000-0000-00008E030000}"/>
    <cellStyle name="60% - Accent5 38" xfId="938" xr:uid="{00000000-0005-0000-0000-00008F030000}"/>
    <cellStyle name="60% - Accent5 39" xfId="939" xr:uid="{00000000-0005-0000-0000-000090030000}"/>
    <cellStyle name="60% - Accent5 4" xfId="940" xr:uid="{00000000-0005-0000-0000-000091030000}"/>
    <cellStyle name="60% - Accent5 40" xfId="941" xr:uid="{00000000-0005-0000-0000-000092030000}"/>
    <cellStyle name="60% - Accent5 41" xfId="942" xr:uid="{00000000-0005-0000-0000-000093030000}"/>
    <cellStyle name="60% - Accent5 42" xfId="943" xr:uid="{00000000-0005-0000-0000-000094030000}"/>
    <cellStyle name="60% - Accent5 43" xfId="944" xr:uid="{00000000-0005-0000-0000-000095030000}"/>
    <cellStyle name="60% - Accent5 44" xfId="945" xr:uid="{00000000-0005-0000-0000-000096030000}"/>
    <cellStyle name="60% - Accent5 45" xfId="946" xr:uid="{00000000-0005-0000-0000-000097030000}"/>
    <cellStyle name="60% - Accent5 46" xfId="947" xr:uid="{00000000-0005-0000-0000-000098030000}"/>
    <cellStyle name="60% - Accent5 47" xfId="948" xr:uid="{00000000-0005-0000-0000-000099030000}"/>
    <cellStyle name="60% - Accent5 48" xfId="949" xr:uid="{00000000-0005-0000-0000-00009A030000}"/>
    <cellStyle name="60% - Accent5 49" xfId="950" xr:uid="{00000000-0005-0000-0000-00009B030000}"/>
    <cellStyle name="60% - Accent5 5" xfId="951" xr:uid="{00000000-0005-0000-0000-00009C030000}"/>
    <cellStyle name="60% - Accent5 6" xfId="952" xr:uid="{00000000-0005-0000-0000-00009D030000}"/>
    <cellStyle name="60% - Accent5 7" xfId="953" xr:uid="{00000000-0005-0000-0000-00009E030000}"/>
    <cellStyle name="60% - Accent5 8" xfId="954" xr:uid="{00000000-0005-0000-0000-00009F030000}"/>
    <cellStyle name="60% - Accent5 9" xfId="955" xr:uid="{00000000-0005-0000-0000-0000A0030000}"/>
    <cellStyle name="60% - Accent6 10" xfId="956" xr:uid="{00000000-0005-0000-0000-0000A1030000}"/>
    <cellStyle name="60% - Accent6 11" xfId="957" xr:uid="{00000000-0005-0000-0000-0000A2030000}"/>
    <cellStyle name="60% - Accent6 12" xfId="958" xr:uid="{00000000-0005-0000-0000-0000A3030000}"/>
    <cellStyle name="60% - Accent6 13" xfId="959" xr:uid="{00000000-0005-0000-0000-0000A4030000}"/>
    <cellStyle name="60% - Accent6 14" xfId="960" xr:uid="{00000000-0005-0000-0000-0000A5030000}"/>
    <cellStyle name="60% - Accent6 15" xfId="961" xr:uid="{00000000-0005-0000-0000-0000A6030000}"/>
    <cellStyle name="60% - Accent6 16" xfId="962" xr:uid="{00000000-0005-0000-0000-0000A7030000}"/>
    <cellStyle name="60% - Accent6 17" xfId="963" xr:uid="{00000000-0005-0000-0000-0000A8030000}"/>
    <cellStyle name="60% - Accent6 18" xfId="964" xr:uid="{00000000-0005-0000-0000-0000A9030000}"/>
    <cellStyle name="60% - Accent6 19" xfId="965" xr:uid="{00000000-0005-0000-0000-0000AA030000}"/>
    <cellStyle name="60% - Accent6 2" xfId="966" xr:uid="{00000000-0005-0000-0000-0000AB030000}"/>
    <cellStyle name="60% - Accent6 2 2" xfId="967" xr:uid="{00000000-0005-0000-0000-0000AC030000}"/>
    <cellStyle name="60% - Accent6 2 3" xfId="968" xr:uid="{00000000-0005-0000-0000-0000AD030000}"/>
    <cellStyle name="60% - Accent6 2 4" xfId="969" xr:uid="{00000000-0005-0000-0000-0000AE030000}"/>
    <cellStyle name="60% - Accent6 20" xfId="970" xr:uid="{00000000-0005-0000-0000-0000AF030000}"/>
    <cellStyle name="60% - Accent6 21" xfId="971" xr:uid="{00000000-0005-0000-0000-0000B0030000}"/>
    <cellStyle name="60% - Accent6 22" xfId="972" xr:uid="{00000000-0005-0000-0000-0000B1030000}"/>
    <cellStyle name="60% - Accent6 23" xfId="973" xr:uid="{00000000-0005-0000-0000-0000B2030000}"/>
    <cellStyle name="60% - Accent6 24" xfId="974" xr:uid="{00000000-0005-0000-0000-0000B3030000}"/>
    <cellStyle name="60% - Accent6 25" xfId="975" xr:uid="{00000000-0005-0000-0000-0000B4030000}"/>
    <cellStyle name="60% - Accent6 26" xfId="976" xr:uid="{00000000-0005-0000-0000-0000B5030000}"/>
    <cellStyle name="60% - Accent6 27" xfId="977" xr:uid="{00000000-0005-0000-0000-0000B6030000}"/>
    <cellStyle name="60% - Accent6 28" xfId="978" xr:uid="{00000000-0005-0000-0000-0000B7030000}"/>
    <cellStyle name="60% - Accent6 29" xfId="979" xr:uid="{00000000-0005-0000-0000-0000B8030000}"/>
    <cellStyle name="60% - Accent6 3" xfId="980" xr:uid="{00000000-0005-0000-0000-0000B9030000}"/>
    <cellStyle name="60% - Accent6 30" xfId="981" xr:uid="{00000000-0005-0000-0000-0000BA030000}"/>
    <cellStyle name="60% - Accent6 31" xfId="982" xr:uid="{00000000-0005-0000-0000-0000BB030000}"/>
    <cellStyle name="60% - Accent6 32" xfId="983" xr:uid="{00000000-0005-0000-0000-0000BC030000}"/>
    <cellStyle name="60% - Accent6 33" xfId="984" xr:uid="{00000000-0005-0000-0000-0000BD030000}"/>
    <cellStyle name="60% - Accent6 34" xfId="985" xr:uid="{00000000-0005-0000-0000-0000BE030000}"/>
    <cellStyle name="60% - Accent6 35" xfId="986" xr:uid="{00000000-0005-0000-0000-0000BF030000}"/>
    <cellStyle name="60% - Accent6 36" xfId="987" xr:uid="{00000000-0005-0000-0000-0000C0030000}"/>
    <cellStyle name="60% - Accent6 37" xfId="988" xr:uid="{00000000-0005-0000-0000-0000C1030000}"/>
    <cellStyle name="60% - Accent6 38" xfId="989" xr:uid="{00000000-0005-0000-0000-0000C2030000}"/>
    <cellStyle name="60% - Accent6 39" xfId="990" xr:uid="{00000000-0005-0000-0000-0000C3030000}"/>
    <cellStyle name="60% - Accent6 4" xfId="991" xr:uid="{00000000-0005-0000-0000-0000C4030000}"/>
    <cellStyle name="60% - Accent6 40" xfId="992" xr:uid="{00000000-0005-0000-0000-0000C5030000}"/>
    <cellStyle name="60% - Accent6 41" xfId="993" xr:uid="{00000000-0005-0000-0000-0000C6030000}"/>
    <cellStyle name="60% - Accent6 42" xfId="994" xr:uid="{00000000-0005-0000-0000-0000C7030000}"/>
    <cellStyle name="60% - Accent6 43" xfId="995" xr:uid="{00000000-0005-0000-0000-0000C8030000}"/>
    <cellStyle name="60% - Accent6 44" xfId="996" xr:uid="{00000000-0005-0000-0000-0000C9030000}"/>
    <cellStyle name="60% - Accent6 45" xfId="997" xr:uid="{00000000-0005-0000-0000-0000CA030000}"/>
    <cellStyle name="60% - Accent6 46" xfId="998" xr:uid="{00000000-0005-0000-0000-0000CB030000}"/>
    <cellStyle name="60% - Accent6 47" xfId="999" xr:uid="{00000000-0005-0000-0000-0000CC030000}"/>
    <cellStyle name="60% - Accent6 48" xfId="1000" xr:uid="{00000000-0005-0000-0000-0000CD030000}"/>
    <cellStyle name="60% - Accent6 49" xfId="1001" xr:uid="{00000000-0005-0000-0000-0000CE030000}"/>
    <cellStyle name="60% - Accent6 5" xfId="1002" xr:uid="{00000000-0005-0000-0000-0000CF030000}"/>
    <cellStyle name="60% - Accent6 6" xfId="1003" xr:uid="{00000000-0005-0000-0000-0000D0030000}"/>
    <cellStyle name="60% - Accent6 7" xfId="1004" xr:uid="{00000000-0005-0000-0000-0000D1030000}"/>
    <cellStyle name="60% - Accent6 8" xfId="1005" xr:uid="{00000000-0005-0000-0000-0000D2030000}"/>
    <cellStyle name="60% - Accent6 9" xfId="1006" xr:uid="{00000000-0005-0000-0000-0000D3030000}"/>
    <cellStyle name="Accent1 10" xfId="1007" xr:uid="{00000000-0005-0000-0000-0000D4030000}"/>
    <cellStyle name="Accent1 11" xfId="1008" xr:uid="{00000000-0005-0000-0000-0000D5030000}"/>
    <cellStyle name="Accent1 12" xfId="1009" xr:uid="{00000000-0005-0000-0000-0000D6030000}"/>
    <cellStyle name="Accent1 13" xfId="1010" xr:uid="{00000000-0005-0000-0000-0000D7030000}"/>
    <cellStyle name="Accent1 14" xfId="1011" xr:uid="{00000000-0005-0000-0000-0000D8030000}"/>
    <cellStyle name="Accent1 15" xfId="1012" xr:uid="{00000000-0005-0000-0000-0000D9030000}"/>
    <cellStyle name="Accent1 16" xfId="1013" xr:uid="{00000000-0005-0000-0000-0000DA030000}"/>
    <cellStyle name="Accent1 17" xfId="1014" xr:uid="{00000000-0005-0000-0000-0000DB030000}"/>
    <cellStyle name="Accent1 18" xfId="1015" xr:uid="{00000000-0005-0000-0000-0000DC030000}"/>
    <cellStyle name="Accent1 19" xfId="1016" xr:uid="{00000000-0005-0000-0000-0000DD030000}"/>
    <cellStyle name="Accent1 2" xfId="1017" xr:uid="{00000000-0005-0000-0000-0000DE030000}"/>
    <cellStyle name="Accent1 2 2" xfId="1018" xr:uid="{00000000-0005-0000-0000-0000DF030000}"/>
    <cellStyle name="Accent1 2 3" xfId="1019" xr:uid="{00000000-0005-0000-0000-0000E0030000}"/>
    <cellStyle name="Accent1 2 4" xfId="1020" xr:uid="{00000000-0005-0000-0000-0000E1030000}"/>
    <cellStyle name="Accent1 20" xfId="1021" xr:uid="{00000000-0005-0000-0000-0000E2030000}"/>
    <cellStyle name="Accent1 21" xfId="1022" xr:uid="{00000000-0005-0000-0000-0000E3030000}"/>
    <cellStyle name="Accent1 22" xfId="1023" xr:uid="{00000000-0005-0000-0000-0000E4030000}"/>
    <cellStyle name="Accent1 23" xfId="1024" xr:uid="{00000000-0005-0000-0000-0000E5030000}"/>
    <cellStyle name="Accent1 24" xfId="1025" xr:uid="{00000000-0005-0000-0000-0000E6030000}"/>
    <cellStyle name="Accent1 25" xfId="1026" xr:uid="{00000000-0005-0000-0000-0000E7030000}"/>
    <cellStyle name="Accent1 26" xfId="1027" xr:uid="{00000000-0005-0000-0000-0000E8030000}"/>
    <cellStyle name="Accent1 27" xfId="1028" xr:uid="{00000000-0005-0000-0000-0000E9030000}"/>
    <cellStyle name="Accent1 28" xfId="1029" xr:uid="{00000000-0005-0000-0000-0000EA030000}"/>
    <cellStyle name="Accent1 29" xfId="1030" xr:uid="{00000000-0005-0000-0000-0000EB030000}"/>
    <cellStyle name="Accent1 3" xfId="1031" xr:uid="{00000000-0005-0000-0000-0000EC030000}"/>
    <cellStyle name="Accent1 30" xfId="1032" xr:uid="{00000000-0005-0000-0000-0000ED030000}"/>
    <cellStyle name="Accent1 31" xfId="1033" xr:uid="{00000000-0005-0000-0000-0000EE030000}"/>
    <cellStyle name="Accent1 32" xfId="1034" xr:uid="{00000000-0005-0000-0000-0000EF030000}"/>
    <cellStyle name="Accent1 33" xfId="1035" xr:uid="{00000000-0005-0000-0000-0000F0030000}"/>
    <cellStyle name="Accent1 34" xfId="1036" xr:uid="{00000000-0005-0000-0000-0000F1030000}"/>
    <cellStyle name="Accent1 35" xfId="1037" xr:uid="{00000000-0005-0000-0000-0000F2030000}"/>
    <cellStyle name="Accent1 36" xfId="1038" xr:uid="{00000000-0005-0000-0000-0000F3030000}"/>
    <cellStyle name="Accent1 37" xfId="1039" xr:uid="{00000000-0005-0000-0000-0000F4030000}"/>
    <cellStyle name="Accent1 38" xfId="1040" xr:uid="{00000000-0005-0000-0000-0000F5030000}"/>
    <cellStyle name="Accent1 39" xfId="1041" xr:uid="{00000000-0005-0000-0000-0000F6030000}"/>
    <cellStyle name="Accent1 4" xfId="1042" xr:uid="{00000000-0005-0000-0000-0000F7030000}"/>
    <cellStyle name="Accent1 40" xfId="1043" xr:uid="{00000000-0005-0000-0000-0000F8030000}"/>
    <cellStyle name="Accent1 41" xfId="1044" xr:uid="{00000000-0005-0000-0000-0000F9030000}"/>
    <cellStyle name="Accent1 42" xfId="1045" xr:uid="{00000000-0005-0000-0000-0000FA030000}"/>
    <cellStyle name="Accent1 43" xfId="1046" xr:uid="{00000000-0005-0000-0000-0000FB030000}"/>
    <cellStyle name="Accent1 44" xfId="1047" xr:uid="{00000000-0005-0000-0000-0000FC030000}"/>
    <cellStyle name="Accent1 45" xfId="1048" xr:uid="{00000000-0005-0000-0000-0000FD030000}"/>
    <cellStyle name="Accent1 46" xfId="1049" xr:uid="{00000000-0005-0000-0000-0000FE030000}"/>
    <cellStyle name="Accent1 47" xfId="1050" xr:uid="{00000000-0005-0000-0000-0000FF030000}"/>
    <cellStyle name="Accent1 48" xfId="1051" xr:uid="{00000000-0005-0000-0000-000000040000}"/>
    <cellStyle name="Accent1 49" xfId="1052" xr:uid="{00000000-0005-0000-0000-000001040000}"/>
    <cellStyle name="Accent1 5" xfId="1053" xr:uid="{00000000-0005-0000-0000-000002040000}"/>
    <cellStyle name="Accent1 6" xfId="1054" xr:uid="{00000000-0005-0000-0000-000003040000}"/>
    <cellStyle name="Accent1 7" xfId="1055" xr:uid="{00000000-0005-0000-0000-000004040000}"/>
    <cellStyle name="Accent1 8" xfId="1056" xr:uid="{00000000-0005-0000-0000-000005040000}"/>
    <cellStyle name="Accent1 9" xfId="1057" xr:uid="{00000000-0005-0000-0000-000006040000}"/>
    <cellStyle name="Accent2 10" xfId="1058" xr:uid="{00000000-0005-0000-0000-000007040000}"/>
    <cellStyle name="Accent2 11" xfId="1059" xr:uid="{00000000-0005-0000-0000-000008040000}"/>
    <cellStyle name="Accent2 12" xfId="1060" xr:uid="{00000000-0005-0000-0000-000009040000}"/>
    <cellStyle name="Accent2 13" xfId="1061" xr:uid="{00000000-0005-0000-0000-00000A040000}"/>
    <cellStyle name="Accent2 14" xfId="1062" xr:uid="{00000000-0005-0000-0000-00000B040000}"/>
    <cellStyle name="Accent2 15" xfId="1063" xr:uid="{00000000-0005-0000-0000-00000C040000}"/>
    <cellStyle name="Accent2 16" xfId="1064" xr:uid="{00000000-0005-0000-0000-00000D040000}"/>
    <cellStyle name="Accent2 17" xfId="1065" xr:uid="{00000000-0005-0000-0000-00000E040000}"/>
    <cellStyle name="Accent2 18" xfId="1066" xr:uid="{00000000-0005-0000-0000-00000F040000}"/>
    <cellStyle name="Accent2 19" xfId="1067" xr:uid="{00000000-0005-0000-0000-000010040000}"/>
    <cellStyle name="Accent2 2" xfId="1068" xr:uid="{00000000-0005-0000-0000-000011040000}"/>
    <cellStyle name="Accent2 2 2" xfId="1069" xr:uid="{00000000-0005-0000-0000-000012040000}"/>
    <cellStyle name="Accent2 2 3" xfId="1070" xr:uid="{00000000-0005-0000-0000-000013040000}"/>
    <cellStyle name="Accent2 2 4" xfId="1071" xr:uid="{00000000-0005-0000-0000-000014040000}"/>
    <cellStyle name="Accent2 20" xfId="1072" xr:uid="{00000000-0005-0000-0000-000015040000}"/>
    <cellStyle name="Accent2 21" xfId="1073" xr:uid="{00000000-0005-0000-0000-000016040000}"/>
    <cellStyle name="Accent2 22" xfId="1074" xr:uid="{00000000-0005-0000-0000-000017040000}"/>
    <cellStyle name="Accent2 23" xfId="1075" xr:uid="{00000000-0005-0000-0000-000018040000}"/>
    <cellStyle name="Accent2 24" xfId="1076" xr:uid="{00000000-0005-0000-0000-000019040000}"/>
    <cellStyle name="Accent2 25" xfId="1077" xr:uid="{00000000-0005-0000-0000-00001A040000}"/>
    <cellStyle name="Accent2 26" xfId="1078" xr:uid="{00000000-0005-0000-0000-00001B040000}"/>
    <cellStyle name="Accent2 27" xfId="1079" xr:uid="{00000000-0005-0000-0000-00001C040000}"/>
    <cellStyle name="Accent2 28" xfId="1080" xr:uid="{00000000-0005-0000-0000-00001D040000}"/>
    <cellStyle name="Accent2 29" xfId="1081" xr:uid="{00000000-0005-0000-0000-00001E040000}"/>
    <cellStyle name="Accent2 3" xfId="1082" xr:uid="{00000000-0005-0000-0000-00001F040000}"/>
    <cellStyle name="Accent2 30" xfId="1083" xr:uid="{00000000-0005-0000-0000-000020040000}"/>
    <cellStyle name="Accent2 31" xfId="1084" xr:uid="{00000000-0005-0000-0000-000021040000}"/>
    <cellStyle name="Accent2 32" xfId="1085" xr:uid="{00000000-0005-0000-0000-000022040000}"/>
    <cellStyle name="Accent2 33" xfId="1086" xr:uid="{00000000-0005-0000-0000-000023040000}"/>
    <cellStyle name="Accent2 34" xfId="1087" xr:uid="{00000000-0005-0000-0000-000024040000}"/>
    <cellStyle name="Accent2 35" xfId="1088" xr:uid="{00000000-0005-0000-0000-000025040000}"/>
    <cellStyle name="Accent2 36" xfId="1089" xr:uid="{00000000-0005-0000-0000-000026040000}"/>
    <cellStyle name="Accent2 37" xfId="1090" xr:uid="{00000000-0005-0000-0000-000027040000}"/>
    <cellStyle name="Accent2 38" xfId="1091" xr:uid="{00000000-0005-0000-0000-000028040000}"/>
    <cellStyle name="Accent2 39" xfId="1092" xr:uid="{00000000-0005-0000-0000-000029040000}"/>
    <cellStyle name="Accent2 4" xfId="1093" xr:uid="{00000000-0005-0000-0000-00002A040000}"/>
    <cellStyle name="Accent2 40" xfId="1094" xr:uid="{00000000-0005-0000-0000-00002B040000}"/>
    <cellStyle name="Accent2 41" xfId="1095" xr:uid="{00000000-0005-0000-0000-00002C040000}"/>
    <cellStyle name="Accent2 42" xfId="1096" xr:uid="{00000000-0005-0000-0000-00002D040000}"/>
    <cellStyle name="Accent2 43" xfId="1097" xr:uid="{00000000-0005-0000-0000-00002E040000}"/>
    <cellStyle name="Accent2 44" xfId="1098" xr:uid="{00000000-0005-0000-0000-00002F040000}"/>
    <cellStyle name="Accent2 45" xfId="1099" xr:uid="{00000000-0005-0000-0000-000030040000}"/>
    <cellStyle name="Accent2 46" xfId="1100" xr:uid="{00000000-0005-0000-0000-000031040000}"/>
    <cellStyle name="Accent2 47" xfId="1101" xr:uid="{00000000-0005-0000-0000-000032040000}"/>
    <cellStyle name="Accent2 48" xfId="1102" xr:uid="{00000000-0005-0000-0000-000033040000}"/>
    <cellStyle name="Accent2 49" xfId="1103" xr:uid="{00000000-0005-0000-0000-000034040000}"/>
    <cellStyle name="Accent2 5" xfId="1104" xr:uid="{00000000-0005-0000-0000-000035040000}"/>
    <cellStyle name="Accent2 6" xfId="1105" xr:uid="{00000000-0005-0000-0000-000036040000}"/>
    <cellStyle name="Accent2 7" xfId="1106" xr:uid="{00000000-0005-0000-0000-000037040000}"/>
    <cellStyle name="Accent2 8" xfId="1107" xr:uid="{00000000-0005-0000-0000-000038040000}"/>
    <cellStyle name="Accent2 9" xfId="1108" xr:uid="{00000000-0005-0000-0000-000039040000}"/>
    <cellStyle name="Accent3 10" xfId="1109" xr:uid="{00000000-0005-0000-0000-00003A040000}"/>
    <cellStyle name="Accent3 11" xfId="1110" xr:uid="{00000000-0005-0000-0000-00003B040000}"/>
    <cellStyle name="Accent3 12" xfId="1111" xr:uid="{00000000-0005-0000-0000-00003C040000}"/>
    <cellStyle name="Accent3 13" xfId="1112" xr:uid="{00000000-0005-0000-0000-00003D040000}"/>
    <cellStyle name="Accent3 14" xfId="1113" xr:uid="{00000000-0005-0000-0000-00003E040000}"/>
    <cellStyle name="Accent3 15" xfId="1114" xr:uid="{00000000-0005-0000-0000-00003F040000}"/>
    <cellStyle name="Accent3 16" xfId="1115" xr:uid="{00000000-0005-0000-0000-000040040000}"/>
    <cellStyle name="Accent3 17" xfId="1116" xr:uid="{00000000-0005-0000-0000-000041040000}"/>
    <cellStyle name="Accent3 18" xfId="1117" xr:uid="{00000000-0005-0000-0000-000042040000}"/>
    <cellStyle name="Accent3 19" xfId="1118" xr:uid="{00000000-0005-0000-0000-000043040000}"/>
    <cellStyle name="Accent3 2" xfId="1119" xr:uid="{00000000-0005-0000-0000-000044040000}"/>
    <cellStyle name="Accent3 2 2" xfId="1120" xr:uid="{00000000-0005-0000-0000-000045040000}"/>
    <cellStyle name="Accent3 2 3" xfId="1121" xr:uid="{00000000-0005-0000-0000-000046040000}"/>
    <cellStyle name="Accent3 2 4" xfId="1122" xr:uid="{00000000-0005-0000-0000-000047040000}"/>
    <cellStyle name="Accent3 20" xfId="1123" xr:uid="{00000000-0005-0000-0000-000048040000}"/>
    <cellStyle name="Accent3 21" xfId="1124" xr:uid="{00000000-0005-0000-0000-000049040000}"/>
    <cellStyle name="Accent3 22" xfId="1125" xr:uid="{00000000-0005-0000-0000-00004A040000}"/>
    <cellStyle name="Accent3 23" xfId="1126" xr:uid="{00000000-0005-0000-0000-00004B040000}"/>
    <cellStyle name="Accent3 24" xfId="1127" xr:uid="{00000000-0005-0000-0000-00004C040000}"/>
    <cellStyle name="Accent3 25" xfId="1128" xr:uid="{00000000-0005-0000-0000-00004D040000}"/>
    <cellStyle name="Accent3 26" xfId="1129" xr:uid="{00000000-0005-0000-0000-00004E040000}"/>
    <cellStyle name="Accent3 27" xfId="1130" xr:uid="{00000000-0005-0000-0000-00004F040000}"/>
    <cellStyle name="Accent3 28" xfId="1131" xr:uid="{00000000-0005-0000-0000-000050040000}"/>
    <cellStyle name="Accent3 29" xfId="1132" xr:uid="{00000000-0005-0000-0000-000051040000}"/>
    <cellStyle name="Accent3 3" xfId="1133" xr:uid="{00000000-0005-0000-0000-000052040000}"/>
    <cellStyle name="Accent3 30" xfId="1134" xr:uid="{00000000-0005-0000-0000-000053040000}"/>
    <cellStyle name="Accent3 31" xfId="1135" xr:uid="{00000000-0005-0000-0000-000054040000}"/>
    <cellStyle name="Accent3 32" xfId="1136" xr:uid="{00000000-0005-0000-0000-000055040000}"/>
    <cellStyle name="Accent3 33" xfId="1137" xr:uid="{00000000-0005-0000-0000-000056040000}"/>
    <cellStyle name="Accent3 34" xfId="1138" xr:uid="{00000000-0005-0000-0000-000057040000}"/>
    <cellStyle name="Accent3 35" xfId="1139" xr:uid="{00000000-0005-0000-0000-000058040000}"/>
    <cellStyle name="Accent3 36" xfId="1140" xr:uid="{00000000-0005-0000-0000-000059040000}"/>
    <cellStyle name="Accent3 37" xfId="1141" xr:uid="{00000000-0005-0000-0000-00005A040000}"/>
    <cellStyle name="Accent3 38" xfId="1142" xr:uid="{00000000-0005-0000-0000-00005B040000}"/>
    <cellStyle name="Accent3 39" xfId="1143" xr:uid="{00000000-0005-0000-0000-00005C040000}"/>
    <cellStyle name="Accent3 4" xfId="1144" xr:uid="{00000000-0005-0000-0000-00005D040000}"/>
    <cellStyle name="Accent3 40" xfId="1145" xr:uid="{00000000-0005-0000-0000-00005E040000}"/>
    <cellStyle name="Accent3 41" xfId="1146" xr:uid="{00000000-0005-0000-0000-00005F040000}"/>
    <cellStyle name="Accent3 42" xfId="1147" xr:uid="{00000000-0005-0000-0000-000060040000}"/>
    <cellStyle name="Accent3 43" xfId="1148" xr:uid="{00000000-0005-0000-0000-000061040000}"/>
    <cellStyle name="Accent3 44" xfId="1149" xr:uid="{00000000-0005-0000-0000-000062040000}"/>
    <cellStyle name="Accent3 45" xfId="1150" xr:uid="{00000000-0005-0000-0000-000063040000}"/>
    <cellStyle name="Accent3 46" xfId="1151" xr:uid="{00000000-0005-0000-0000-000064040000}"/>
    <cellStyle name="Accent3 47" xfId="1152" xr:uid="{00000000-0005-0000-0000-000065040000}"/>
    <cellStyle name="Accent3 48" xfId="1153" xr:uid="{00000000-0005-0000-0000-000066040000}"/>
    <cellStyle name="Accent3 49" xfId="1154" xr:uid="{00000000-0005-0000-0000-000067040000}"/>
    <cellStyle name="Accent3 5" xfId="1155" xr:uid="{00000000-0005-0000-0000-000068040000}"/>
    <cellStyle name="Accent3 6" xfId="1156" xr:uid="{00000000-0005-0000-0000-000069040000}"/>
    <cellStyle name="Accent3 7" xfId="1157" xr:uid="{00000000-0005-0000-0000-00006A040000}"/>
    <cellStyle name="Accent3 8" xfId="1158" xr:uid="{00000000-0005-0000-0000-00006B040000}"/>
    <cellStyle name="Accent3 9" xfId="1159" xr:uid="{00000000-0005-0000-0000-00006C040000}"/>
    <cellStyle name="Accent4 10" xfId="1160" xr:uid="{00000000-0005-0000-0000-00006D040000}"/>
    <cellStyle name="Accent4 11" xfId="1161" xr:uid="{00000000-0005-0000-0000-00006E040000}"/>
    <cellStyle name="Accent4 12" xfId="1162" xr:uid="{00000000-0005-0000-0000-00006F040000}"/>
    <cellStyle name="Accent4 13" xfId="1163" xr:uid="{00000000-0005-0000-0000-000070040000}"/>
    <cellStyle name="Accent4 14" xfId="1164" xr:uid="{00000000-0005-0000-0000-000071040000}"/>
    <cellStyle name="Accent4 15" xfId="1165" xr:uid="{00000000-0005-0000-0000-000072040000}"/>
    <cellStyle name="Accent4 16" xfId="1166" xr:uid="{00000000-0005-0000-0000-000073040000}"/>
    <cellStyle name="Accent4 17" xfId="1167" xr:uid="{00000000-0005-0000-0000-000074040000}"/>
    <cellStyle name="Accent4 18" xfId="1168" xr:uid="{00000000-0005-0000-0000-000075040000}"/>
    <cellStyle name="Accent4 19" xfId="1169" xr:uid="{00000000-0005-0000-0000-000076040000}"/>
    <cellStyle name="Accent4 2" xfId="1170" xr:uid="{00000000-0005-0000-0000-000077040000}"/>
    <cellStyle name="Accent4 2 2" xfId="1171" xr:uid="{00000000-0005-0000-0000-000078040000}"/>
    <cellStyle name="Accent4 2 3" xfId="1172" xr:uid="{00000000-0005-0000-0000-000079040000}"/>
    <cellStyle name="Accent4 2 4" xfId="1173" xr:uid="{00000000-0005-0000-0000-00007A040000}"/>
    <cellStyle name="Accent4 20" xfId="1174" xr:uid="{00000000-0005-0000-0000-00007B040000}"/>
    <cellStyle name="Accent4 21" xfId="1175" xr:uid="{00000000-0005-0000-0000-00007C040000}"/>
    <cellStyle name="Accent4 22" xfId="1176" xr:uid="{00000000-0005-0000-0000-00007D040000}"/>
    <cellStyle name="Accent4 23" xfId="1177" xr:uid="{00000000-0005-0000-0000-00007E040000}"/>
    <cellStyle name="Accent4 24" xfId="1178" xr:uid="{00000000-0005-0000-0000-00007F040000}"/>
    <cellStyle name="Accent4 25" xfId="1179" xr:uid="{00000000-0005-0000-0000-000080040000}"/>
    <cellStyle name="Accent4 26" xfId="1180" xr:uid="{00000000-0005-0000-0000-000081040000}"/>
    <cellStyle name="Accent4 27" xfId="1181" xr:uid="{00000000-0005-0000-0000-000082040000}"/>
    <cellStyle name="Accent4 28" xfId="1182" xr:uid="{00000000-0005-0000-0000-000083040000}"/>
    <cellStyle name="Accent4 29" xfId="1183" xr:uid="{00000000-0005-0000-0000-000084040000}"/>
    <cellStyle name="Accent4 3" xfId="1184" xr:uid="{00000000-0005-0000-0000-000085040000}"/>
    <cellStyle name="Accent4 30" xfId="1185" xr:uid="{00000000-0005-0000-0000-000086040000}"/>
    <cellStyle name="Accent4 31" xfId="1186" xr:uid="{00000000-0005-0000-0000-000087040000}"/>
    <cellStyle name="Accent4 32" xfId="1187" xr:uid="{00000000-0005-0000-0000-000088040000}"/>
    <cellStyle name="Accent4 33" xfId="1188" xr:uid="{00000000-0005-0000-0000-000089040000}"/>
    <cellStyle name="Accent4 34" xfId="1189" xr:uid="{00000000-0005-0000-0000-00008A040000}"/>
    <cellStyle name="Accent4 35" xfId="1190" xr:uid="{00000000-0005-0000-0000-00008B040000}"/>
    <cellStyle name="Accent4 36" xfId="1191" xr:uid="{00000000-0005-0000-0000-00008C040000}"/>
    <cellStyle name="Accent4 37" xfId="1192" xr:uid="{00000000-0005-0000-0000-00008D040000}"/>
    <cellStyle name="Accent4 38" xfId="1193" xr:uid="{00000000-0005-0000-0000-00008E040000}"/>
    <cellStyle name="Accent4 39" xfId="1194" xr:uid="{00000000-0005-0000-0000-00008F040000}"/>
    <cellStyle name="Accent4 4" xfId="1195" xr:uid="{00000000-0005-0000-0000-000090040000}"/>
    <cellStyle name="Accent4 40" xfId="1196" xr:uid="{00000000-0005-0000-0000-000091040000}"/>
    <cellStyle name="Accent4 41" xfId="1197" xr:uid="{00000000-0005-0000-0000-000092040000}"/>
    <cellStyle name="Accent4 42" xfId="1198" xr:uid="{00000000-0005-0000-0000-000093040000}"/>
    <cellStyle name="Accent4 43" xfId="1199" xr:uid="{00000000-0005-0000-0000-000094040000}"/>
    <cellStyle name="Accent4 44" xfId="1200" xr:uid="{00000000-0005-0000-0000-000095040000}"/>
    <cellStyle name="Accent4 45" xfId="1201" xr:uid="{00000000-0005-0000-0000-000096040000}"/>
    <cellStyle name="Accent4 46" xfId="1202" xr:uid="{00000000-0005-0000-0000-000097040000}"/>
    <cellStyle name="Accent4 47" xfId="1203" xr:uid="{00000000-0005-0000-0000-000098040000}"/>
    <cellStyle name="Accent4 48" xfId="1204" xr:uid="{00000000-0005-0000-0000-000099040000}"/>
    <cellStyle name="Accent4 49" xfId="1205" xr:uid="{00000000-0005-0000-0000-00009A040000}"/>
    <cellStyle name="Accent4 5" xfId="1206" xr:uid="{00000000-0005-0000-0000-00009B040000}"/>
    <cellStyle name="Accent4 6" xfId="1207" xr:uid="{00000000-0005-0000-0000-00009C040000}"/>
    <cellStyle name="Accent4 7" xfId="1208" xr:uid="{00000000-0005-0000-0000-00009D040000}"/>
    <cellStyle name="Accent4 8" xfId="1209" xr:uid="{00000000-0005-0000-0000-00009E040000}"/>
    <cellStyle name="Accent4 9" xfId="1210" xr:uid="{00000000-0005-0000-0000-00009F040000}"/>
    <cellStyle name="Accent5 10" xfId="1211" xr:uid="{00000000-0005-0000-0000-0000A0040000}"/>
    <cellStyle name="Accent5 11" xfId="1212" xr:uid="{00000000-0005-0000-0000-0000A1040000}"/>
    <cellStyle name="Accent5 12" xfId="1213" xr:uid="{00000000-0005-0000-0000-0000A2040000}"/>
    <cellStyle name="Accent5 13" xfId="1214" xr:uid="{00000000-0005-0000-0000-0000A3040000}"/>
    <cellStyle name="Accent5 14" xfId="1215" xr:uid="{00000000-0005-0000-0000-0000A4040000}"/>
    <cellStyle name="Accent5 15" xfId="1216" xr:uid="{00000000-0005-0000-0000-0000A5040000}"/>
    <cellStyle name="Accent5 16" xfId="1217" xr:uid="{00000000-0005-0000-0000-0000A6040000}"/>
    <cellStyle name="Accent5 17" xfId="1218" xr:uid="{00000000-0005-0000-0000-0000A7040000}"/>
    <cellStyle name="Accent5 18" xfId="1219" xr:uid="{00000000-0005-0000-0000-0000A8040000}"/>
    <cellStyle name="Accent5 19" xfId="1220" xr:uid="{00000000-0005-0000-0000-0000A9040000}"/>
    <cellStyle name="Accent5 2" xfId="1221" xr:uid="{00000000-0005-0000-0000-0000AA040000}"/>
    <cellStyle name="Accent5 20" xfId="1222" xr:uid="{00000000-0005-0000-0000-0000AB040000}"/>
    <cellStyle name="Accent5 21" xfId="1223" xr:uid="{00000000-0005-0000-0000-0000AC040000}"/>
    <cellStyle name="Accent5 22" xfId="1224" xr:uid="{00000000-0005-0000-0000-0000AD040000}"/>
    <cellStyle name="Accent5 23" xfId="1225" xr:uid="{00000000-0005-0000-0000-0000AE040000}"/>
    <cellStyle name="Accent5 24" xfId="1226" xr:uid="{00000000-0005-0000-0000-0000AF040000}"/>
    <cellStyle name="Accent5 25" xfId="1227" xr:uid="{00000000-0005-0000-0000-0000B0040000}"/>
    <cellStyle name="Accent5 26" xfId="1228" xr:uid="{00000000-0005-0000-0000-0000B1040000}"/>
    <cellStyle name="Accent5 27" xfId="1229" xr:uid="{00000000-0005-0000-0000-0000B2040000}"/>
    <cellStyle name="Accent5 28" xfId="1230" xr:uid="{00000000-0005-0000-0000-0000B3040000}"/>
    <cellStyle name="Accent5 29" xfId="1231" xr:uid="{00000000-0005-0000-0000-0000B4040000}"/>
    <cellStyle name="Accent5 3" xfId="1232" xr:uid="{00000000-0005-0000-0000-0000B5040000}"/>
    <cellStyle name="Accent5 30" xfId="1233" xr:uid="{00000000-0005-0000-0000-0000B6040000}"/>
    <cellStyle name="Accent5 31" xfId="1234" xr:uid="{00000000-0005-0000-0000-0000B7040000}"/>
    <cellStyle name="Accent5 32" xfId="1235" xr:uid="{00000000-0005-0000-0000-0000B8040000}"/>
    <cellStyle name="Accent5 33" xfId="1236" xr:uid="{00000000-0005-0000-0000-0000B9040000}"/>
    <cellStyle name="Accent5 34" xfId="1237" xr:uid="{00000000-0005-0000-0000-0000BA040000}"/>
    <cellStyle name="Accent5 35" xfId="1238" xr:uid="{00000000-0005-0000-0000-0000BB040000}"/>
    <cellStyle name="Accent5 36" xfId="1239" xr:uid="{00000000-0005-0000-0000-0000BC040000}"/>
    <cellStyle name="Accent5 37" xfId="1240" xr:uid="{00000000-0005-0000-0000-0000BD040000}"/>
    <cellStyle name="Accent5 38" xfId="1241" xr:uid="{00000000-0005-0000-0000-0000BE040000}"/>
    <cellStyle name="Accent5 39" xfId="1242" xr:uid="{00000000-0005-0000-0000-0000BF040000}"/>
    <cellStyle name="Accent5 4" xfId="1243" xr:uid="{00000000-0005-0000-0000-0000C0040000}"/>
    <cellStyle name="Accent5 40" xfId="1244" xr:uid="{00000000-0005-0000-0000-0000C1040000}"/>
    <cellStyle name="Accent5 41" xfId="1245" xr:uid="{00000000-0005-0000-0000-0000C2040000}"/>
    <cellStyle name="Accent5 42" xfId="1246" xr:uid="{00000000-0005-0000-0000-0000C3040000}"/>
    <cellStyle name="Accent5 43" xfId="1247" xr:uid="{00000000-0005-0000-0000-0000C4040000}"/>
    <cellStyle name="Accent5 44" xfId="1248" xr:uid="{00000000-0005-0000-0000-0000C5040000}"/>
    <cellStyle name="Accent5 45" xfId="1249" xr:uid="{00000000-0005-0000-0000-0000C6040000}"/>
    <cellStyle name="Accent5 46" xfId="1250" xr:uid="{00000000-0005-0000-0000-0000C7040000}"/>
    <cellStyle name="Accent5 47" xfId="1251" xr:uid="{00000000-0005-0000-0000-0000C8040000}"/>
    <cellStyle name="Accent5 48" xfId="1252" xr:uid="{00000000-0005-0000-0000-0000C9040000}"/>
    <cellStyle name="Accent5 49" xfId="1253" xr:uid="{00000000-0005-0000-0000-0000CA040000}"/>
    <cellStyle name="Accent5 5" xfId="1254" xr:uid="{00000000-0005-0000-0000-0000CB040000}"/>
    <cellStyle name="Accent5 6" xfId="1255" xr:uid="{00000000-0005-0000-0000-0000CC040000}"/>
    <cellStyle name="Accent5 7" xfId="1256" xr:uid="{00000000-0005-0000-0000-0000CD040000}"/>
    <cellStyle name="Accent5 8" xfId="1257" xr:uid="{00000000-0005-0000-0000-0000CE040000}"/>
    <cellStyle name="Accent5 9" xfId="1258" xr:uid="{00000000-0005-0000-0000-0000CF040000}"/>
    <cellStyle name="Accent6 10" xfId="1259" xr:uid="{00000000-0005-0000-0000-0000D0040000}"/>
    <cellStyle name="Accent6 11" xfId="1260" xr:uid="{00000000-0005-0000-0000-0000D1040000}"/>
    <cellStyle name="Accent6 12" xfId="1261" xr:uid="{00000000-0005-0000-0000-0000D2040000}"/>
    <cellStyle name="Accent6 13" xfId="1262" xr:uid="{00000000-0005-0000-0000-0000D3040000}"/>
    <cellStyle name="Accent6 14" xfId="1263" xr:uid="{00000000-0005-0000-0000-0000D4040000}"/>
    <cellStyle name="Accent6 15" xfId="1264" xr:uid="{00000000-0005-0000-0000-0000D5040000}"/>
    <cellStyle name="Accent6 16" xfId="1265" xr:uid="{00000000-0005-0000-0000-0000D6040000}"/>
    <cellStyle name="Accent6 17" xfId="1266" xr:uid="{00000000-0005-0000-0000-0000D7040000}"/>
    <cellStyle name="Accent6 18" xfId="1267" xr:uid="{00000000-0005-0000-0000-0000D8040000}"/>
    <cellStyle name="Accent6 19" xfId="1268" xr:uid="{00000000-0005-0000-0000-0000D9040000}"/>
    <cellStyle name="Accent6 2" xfId="1269" xr:uid="{00000000-0005-0000-0000-0000DA040000}"/>
    <cellStyle name="Accent6 2 2" xfId="1270" xr:uid="{00000000-0005-0000-0000-0000DB040000}"/>
    <cellStyle name="Accent6 2 3" xfId="1271" xr:uid="{00000000-0005-0000-0000-0000DC040000}"/>
    <cellStyle name="Accent6 2 4" xfId="1272" xr:uid="{00000000-0005-0000-0000-0000DD040000}"/>
    <cellStyle name="Accent6 20" xfId="1273" xr:uid="{00000000-0005-0000-0000-0000DE040000}"/>
    <cellStyle name="Accent6 21" xfId="1274" xr:uid="{00000000-0005-0000-0000-0000DF040000}"/>
    <cellStyle name="Accent6 22" xfId="1275" xr:uid="{00000000-0005-0000-0000-0000E0040000}"/>
    <cellStyle name="Accent6 23" xfId="1276" xr:uid="{00000000-0005-0000-0000-0000E1040000}"/>
    <cellStyle name="Accent6 24" xfId="1277" xr:uid="{00000000-0005-0000-0000-0000E2040000}"/>
    <cellStyle name="Accent6 25" xfId="1278" xr:uid="{00000000-0005-0000-0000-0000E3040000}"/>
    <cellStyle name="Accent6 26" xfId="1279" xr:uid="{00000000-0005-0000-0000-0000E4040000}"/>
    <cellStyle name="Accent6 27" xfId="1280" xr:uid="{00000000-0005-0000-0000-0000E5040000}"/>
    <cellStyle name="Accent6 28" xfId="1281" xr:uid="{00000000-0005-0000-0000-0000E6040000}"/>
    <cellStyle name="Accent6 29" xfId="1282" xr:uid="{00000000-0005-0000-0000-0000E7040000}"/>
    <cellStyle name="Accent6 3" xfId="1283" xr:uid="{00000000-0005-0000-0000-0000E8040000}"/>
    <cellStyle name="Accent6 30" xfId="1284" xr:uid="{00000000-0005-0000-0000-0000E9040000}"/>
    <cellStyle name="Accent6 31" xfId="1285" xr:uid="{00000000-0005-0000-0000-0000EA040000}"/>
    <cellStyle name="Accent6 32" xfId="1286" xr:uid="{00000000-0005-0000-0000-0000EB040000}"/>
    <cellStyle name="Accent6 33" xfId="1287" xr:uid="{00000000-0005-0000-0000-0000EC040000}"/>
    <cellStyle name="Accent6 34" xfId="1288" xr:uid="{00000000-0005-0000-0000-0000ED040000}"/>
    <cellStyle name="Accent6 35" xfId="1289" xr:uid="{00000000-0005-0000-0000-0000EE040000}"/>
    <cellStyle name="Accent6 36" xfId="1290" xr:uid="{00000000-0005-0000-0000-0000EF040000}"/>
    <cellStyle name="Accent6 37" xfId="1291" xr:uid="{00000000-0005-0000-0000-0000F0040000}"/>
    <cellStyle name="Accent6 38" xfId="1292" xr:uid="{00000000-0005-0000-0000-0000F1040000}"/>
    <cellStyle name="Accent6 39" xfId="1293" xr:uid="{00000000-0005-0000-0000-0000F2040000}"/>
    <cellStyle name="Accent6 4" xfId="1294" xr:uid="{00000000-0005-0000-0000-0000F3040000}"/>
    <cellStyle name="Accent6 40" xfId="1295" xr:uid="{00000000-0005-0000-0000-0000F4040000}"/>
    <cellStyle name="Accent6 41" xfId="1296" xr:uid="{00000000-0005-0000-0000-0000F5040000}"/>
    <cellStyle name="Accent6 42" xfId="1297" xr:uid="{00000000-0005-0000-0000-0000F6040000}"/>
    <cellStyle name="Accent6 43" xfId="1298" xr:uid="{00000000-0005-0000-0000-0000F7040000}"/>
    <cellStyle name="Accent6 44" xfId="1299" xr:uid="{00000000-0005-0000-0000-0000F8040000}"/>
    <cellStyle name="Accent6 45" xfId="1300" xr:uid="{00000000-0005-0000-0000-0000F9040000}"/>
    <cellStyle name="Accent6 46" xfId="1301" xr:uid="{00000000-0005-0000-0000-0000FA040000}"/>
    <cellStyle name="Accent6 47" xfId="1302" xr:uid="{00000000-0005-0000-0000-0000FB040000}"/>
    <cellStyle name="Accent6 48" xfId="1303" xr:uid="{00000000-0005-0000-0000-0000FC040000}"/>
    <cellStyle name="Accent6 49" xfId="1304" xr:uid="{00000000-0005-0000-0000-0000FD040000}"/>
    <cellStyle name="Accent6 5" xfId="1305" xr:uid="{00000000-0005-0000-0000-0000FE040000}"/>
    <cellStyle name="Accent6 6" xfId="1306" xr:uid="{00000000-0005-0000-0000-0000FF040000}"/>
    <cellStyle name="Accent6 7" xfId="1307" xr:uid="{00000000-0005-0000-0000-000000050000}"/>
    <cellStyle name="Accent6 8" xfId="1308" xr:uid="{00000000-0005-0000-0000-000001050000}"/>
    <cellStyle name="Accent6 9" xfId="1309" xr:uid="{00000000-0005-0000-0000-000002050000}"/>
    <cellStyle name="Bad 10" xfId="1310" xr:uid="{00000000-0005-0000-0000-000003050000}"/>
    <cellStyle name="Bad 11" xfId="1311" xr:uid="{00000000-0005-0000-0000-000004050000}"/>
    <cellStyle name="Bad 12" xfId="1312" xr:uid="{00000000-0005-0000-0000-000005050000}"/>
    <cellStyle name="Bad 13" xfId="1313" xr:uid="{00000000-0005-0000-0000-000006050000}"/>
    <cellStyle name="Bad 14" xfId="1314" xr:uid="{00000000-0005-0000-0000-000007050000}"/>
    <cellStyle name="Bad 15" xfId="1315" xr:uid="{00000000-0005-0000-0000-000008050000}"/>
    <cellStyle name="Bad 16" xfId="1316" xr:uid="{00000000-0005-0000-0000-000009050000}"/>
    <cellStyle name="Bad 17" xfId="1317" xr:uid="{00000000-0005-0000-0000-00000A050000}"/>
    <cellStyle name="Bad 18" xfId="1318" xr:uid="{00000000-0005-0000-0000-00000B050000}"/>
    <cellStyle name="Bad 19" xfId="1319" xr:uid="{00000000-0005-0000-0000-00000C050000}"/>
    <cellStyle name="Bad 2" xfId="1320" xr:uid="{00000000-0005-0000-0000-00000D050000}"/>
    <cellStyle name="Bad 2 2" xfId="1321" xr:uid="{00000000-0005-0000-0000-00000E050000}"/>
    <cellStyle name="Bad 2 3" xfId="1322" xr:uid="{00000000-0005-0000-0000-00000F050000}"/>
    <cellStyle name="Bad 2 4" xfId="1323" xr:uid="{00000000-0005-0000-0000-000010050000}"/>
    <cellStyle name="Bad 20" xfId="1324" xr:uid="{00000000-0005-0000-0000-000011050000}"/>
    <cellStyle name="Bad 21" xfId="1325" xr:uid="{00000000-0005-0000-0000-000012050000}"/>
    <cellStyle name="Bad 22" xfId="1326" xr:uid="{00000000-0005-0000-0000-000013050000}"/>
    <cellStyle name="Bad 23" xfId="1327" xr:uid="{00000000-0005-0000-0000-000014050000}"/>
    <cellStyle name="Bad 24" xfId="1328" xr:uid="{00000000-0005-0000-0000-000015050000}"/>
    <cellStyle name="Bad 25" xfId="1329" xr:uid="{00000000-0005-0000-0000-000016050000}"/>
    <cellStyle name="Bad 26" xfId="1330" xr:uid="{00000000-0005-0000-0000-000017050000}"/>
    <cellStyle name="Bad 27" xfId="1331" xr:uid="{00000000-0005-0000-0000-000018050000}"/>
    <cellStyle name="Bad 28" xfId="1332" xr:uid="{00000000-0005-0000-0000-000019050000}"/>
    <cellStyle name="Bad 29" xfId="1333" xr:uid="{00000000-0005-0000-0000-00001A050000}"/>
    <cellStyle name="Bad 3" xfId="1334" xr:uid="{00000000-0005-0000-0000-00001B050000}"/>
    <cellStyle name="Bad 30" xfId="1335" xr:uid="{00000000-0005-0000-0000-00001C050000}"/>
    <cellStyle name="Bad 31" xfId="1336" xr:uid="{00000000-0005-0000-0000-00001D050000}"/>
    <cellStyle name="Bad 32" xfId="1337" xr:uid="{00000000-0005-0000-0000-00001E050000}"/>
    <cellStyle name="Bad 33" xfId="1338" xr:uid="{00000000-0005-0000-0000-00001F050000}"/>
    <cellStyle name="Bad 34" xfId="1339" xr:uid="{00000000-0005-0000-0000-000020050000}"/>
    <cellStyle name="Bad 35" xfId="1340" xr:uid="{00000000-0005-0000-0000-000021050000}"/>
    <cellStyle name="Bad 36" xfId="1341" xr:uid="{00000000-0005-0000-0000-000022050000}"/>
    <cellStyle name="Bad 37" xfId="1342" xr:uid="{00000000-0005-0000-0000-000023050000}"/>
    <cellStyle name="Bad 38" xfId="1343" xr:uid="{00000000-0005-0000-0000-000024050000}"/>
    <cellStyle name="Bad 39" xfId="1344" xr:uid="{00000000-0005-0000-0000-000025050000}"/>
    <cellStyle name="Bad 4" xfId="1345" xr:uid="{00000000-0005-0000-0000-000026050000}"/>
    <cellStyle name="Bad 40" xfId="1346" xr:uid="{00000000-0005-0000-0000-000027050000}"/>
    <cellStyle name="Bad 41" xfId="1347" xr:uid="{00000000-0005-0000-0000-000028050000}"/>
    <cellStyle name="Bad 42" xfId="1348" xr:uid="{00000000-0005-0000-0000-000029050000}"/>
    <cellStyle name="Bad 43" xfId="1349" xr:uid="{00000000-0005-0000-0000-00002A050000}"/>
    <cellStyle name="Bad 44" xfId="1350" xr:uid="{00000000-0005-0000-0000-00002B050000}"/>
    <cellStyle name="Bad 45" xfId="1351" xr:uid="{00000000-0005-0000-0000-00002C050000}"/>
    <cellStyle name="Bad 46" xfId="1352" xr:uid="{00000000-0005-0000-0000-00002D050000}"/>
    <cellStyle name="Bad 47" xfId="1353" xr:uid="{00000000-0005-0000-0000-00002E050000}"/>
    <cellStyle name="Bad 48" xfId="1354" xr:uid="{00000000-0005-0000-0000-00002F050000}"/>
    <cellStyle name="Bad 49" xfId="1355" xr:uid="{00000000-0005-0000-0000-000030050000}"/>
    <cellStyle name="Bad 5" xfId="1356" xr:uid="{00000000-0005-0000-0000-000031050000}"/>
    <cellStyle name="Bad 6" xfId="1357" xr:uid="{00000000-0005-0000-0000-000032050000}"/>
    <cellStyle name="Bad 7" xfId="1358" xr:uid="{00000000-0005-0000-0000-000033050000}"/>
    <cellStyle name="Bad 8" xfId="1359" xr:uid="{00000000-0005-0000-0000-000034050000}"/>
    <cellStyle name="Bad 9" xfId="1360" xr:uid="{00000000-0005-0000-0000-000035050000}"/>
    <cellStyle name="Calculation 10" xfId="1361" xr:uid="{00000000-0005-0000-0000-000036050000}"/>
    <cellStyle name="Calculation 10 2" xfId="1362" xr:uid="{00000000-0005-0000-0000-000037050000}"/>
    <cellStyle name="Calculation 10 2 10" xfId="1363" xr:uid="{00000000-0005-0000-0000-000038050000}"/>
    <cellStyle name="Calculation 10 2 10 2" xfId="1364" xr:uid="{00000000-0005-0000-0000-000039050000}"/>
    <cellStyle name="Calculation 10 2 10 2 2" xfId="1365" xr:uid="{00000000-0005-0000-0000-00003A050000}"/>
    <cellStyle name="Calculation 10 2 10 3" xfId="1366" xr:uid="{00000000-0005-0000-0000-00003B050000}"/>
    <cellStyle name="Calculation 10 2 11" xfId="1367" xr:uid="{00000000-0005-0000-0000-00003C050000}"/>
    <cellStyle name="Calculation 10 2 11 2" xfId="1368" xr:uid="{00000000-0005-0000-0000-00003D050000}"/>
    <cellStyle name="Calculation 10 2 11 2 2" xfId="1369" xr:uid="{00000000-0005-0000-0000-00003E050000}"/>
    <cellStyle name="Calculation 10 2 11 3" xfId="1370" xr:uid="{00000000-0005-0000-0000-00003F050000}"/>
    <cellStyle name="Calculation 10 2 12" xfId="1371" xr:uid="{00000000-0005-0000-0000-000040050000}"/>
    <cellStyle name="Calculation 10 2 12 2" xfId="1372" xr:uid="{00000000-0005-0000-0000-000041050000}"/>
    <cellStyle name="Calculation 10 2 12 2 2" xfId="1373" xr:uid="{00000000-0005-0000-0000-000042050000}"/>
    <cellStyle name="Calculation 10 2 12 3" xfId="1374" xr:uid="{00000000-0005-0000-0000-000043050000}"/>
    <cellStyle name="Calculation 10 2 13" xfId="1375" xr:uid="{00000000-0005-0000-0000-000044050000}"/>
    <cellStyle name="Calculation 10 2 13 2" xfId="1376" xr:uid="{00000000-0005-0000-0000-000045050000}"/>
    <cellStyle name="Calculation 10 2 13 2 2" xfId="1377" xr:uid="{00000000-0005-0000-0000-000046050000}"/>
    <cellStyle name="Calculation 10 2 13 3" xfId="1378" xr:uid="{00000000-0005-0000-0000-000047050000}"/>
    <cellStyle name="Calculation 10 2 14" xfId="1379" xr:uid="{00000000-0005-0000-0000-000048050000}"/>
    <cellStyle name="Calculation 10 2 14 2" xfId="1380" xr:uid="{00000000-0005-0000-0000-000049050000}"/>
    <cellStyle name="Calculation 10 2 14 2 2" xfId="1381" xr:uid="{00000000-0005-0000-0000-00004A050000}"/>
    <cellStyle name="Calculation 10 2 14 3" xfId="1382" xr:uid="{00000000-0005-0000-0000-00004B050000}"/>
    <cellStyle name="Calculation 10 2 15" xfId="1383" xr:uid="{00000000-0005-0000-0000-00004C050000}"/>
    <cellStyle name="Calculation 10 2 15 2" xfId="1384" xr:uid="{00000000-0005-0000-0000-00004D050000}"/>
    <cellStyle name="Calculation 10 2 15 2 2" xfId="1385" xr:uid="{00000000-0005-0000-0000-00004E050000}"/>
    <cellStyle name="Calculation 10 2 15 3" xfId="1386" xr:uid="{00000000-0005-0000-0000-00004F050000}"/>
    <cellStyle name="Calculation 10 2 16" xfId="1387" xr:uid="{00000000-0005-0000-0000-000050050000}"/>
    <cellStyle name="Calculation 10 2 16 2" xfId="1388" xr:uid="{00000000-0005-0000-0000-000051050000}"/>
    <cellStyle name="Calculation 10 2 16 2 2" xfId="1389" xr:uid="{00000000-0005-0000-0000-000052050000}"/>
    <cellStyle name="Calculation 10 2 16 3" xfId="1390" xr:uid="{00000000-0005-0000-0000-000053050000}"/>
    <cellStyle name="Calculation 10 2 17" xfId="1391" xr:uid="{00000000-0005-0000-0000-000054050000}"/>
    <cellStyle name="Calculation 10 2 17 2" xfId="1392" xr:uid="{00000000-0005-0000-0000-000055050000}"/>
    <cellStyle name="Calculation 10 2 17 2 2" xfId="1393" xr:uid="{00000000-0005-0000-0000-000056050000}"/>
    <cellStyle name="Calculation 10 2 17 3" xfId="1394" xr:uid="{00000000-0005-0000-0000-000057050000}"/>
    <cellStyle name="Calculation 10 2 18" xfId="1395" xr:uid="{00000000-0005-0000-0000-000058050000}"/>
    <cellStyle name="Calculation 10 2 18 2" xfId="1396" xr:uid="{00000000-0005-0000-0000-000059050000}"/>
    <cellStyle name="Calculation 10 2 19" xfId="1397" xr:uid="{00000000-0005-0000-0000-00005A050000}"/>
    <cellStyle name="Calculation 10 2 2" xfId="1398" xr:uid="{00000000-0005-0000-0000-00005B050000}"/>
    <cellStyle name="Calculation 10 2 2 2" xfId="1399" xr:uid="{00000000-0005-0000-0000-00005C050000}"/>
    <cellStyle name="Calculation 10 2 2 2 2" xfId="1400" xr:uid="{00000000-0005-0000-0000-00005D050000}"/>
    <cellStyle name="Calculation 10 2 2 3" xfId="1401" xr:uid="{00000000-0005-0000-0000-00005E050000}"/>
    <cellStyle name="Calculation 10 2 3" xfId="1402" xr:uid="{00000000-0005-0000-0000-00005F050000}"/>
    <cellStyle name="Calculation 10 2 3 2" xfId="1403" xr:uid="{00000000-0005-0000-0000-000060050000}"/>
    <cellStyle name="Calculation 10 2 3 2 2" xfId="1404" xr:uid="{00000000-0005-0000-0000-000061050000}"/>
    <cellStyle name="Calculation 10 2 3 3" xfId="1405" xr:uid="{00000000-0005-0000-0000-000062050000}"/>
    <cellStyle name="Calculation 10 2 4" xfId="1406" xr:uid="{00000000-0005-0000-0000-000063050000}"/>
    <cellStyle name="Calculation 10 2 4 2" xfId="1407" xr:uid="{00000000-0005-0000-0000-000064050000}"/>
    <cellStyle name="Calculation 10 2 4 2 2" xfId="1408" xr:uid="{00000000-0005-0000-0000-000065050000}"/>
    <cellStyle name="Calculation 10 2 4 3" xfId="1409" xr:uid="{00000000-0005-0000-0000-000066050000}"/>
    <cellStyle name="Calculation 10 2 5" xfId="1410" xr:uid="{00000000-0005-0000-0000-000067050000}"/>
    <cellStyle name="Calculation 10 2 5 2" xfId="1411" xr:uid="{00000000-0005-0000-0000-000068050000}"/>
    <cellStyle name="Calculation 10 2 5 2 2" xfId="1412" xr:uid="{00000000-0005-0000-0000-000069050000}"/>
    <cellStyle name="Calculation 10 2 5 3" xfId="1413" xr:uid="{00000000-0005-0000-0000-00006A050000}"/>
    <cellStyle name="Calculation 10 2 6" xfId="1414" xr:uid="{00000000-0005-0000-0000-00006B050000}"/>
    <cellStyle name="Calculation 10 2 6 2" xfId="1415" xr:uid="{00000000-0005-0000-0000-00006C050000}"/>
    <cellStyle name="Calculation 10 2 6 2 2" xfId="1416" xr:uid="{00000000-0005-0000-0000-00006D050000}"/>
    <cellStyle name="Calculation 10 2 6 3" xfId="1417" xr:uid="{00000000-0005-0000-0000-00006E050000}"/>
    <cellStyle name="Calculation 10 2 7" xfId="1418" xr:uid="{00000000-0005-0000-0000-00006F050000}"/>
    <cellStyle name="Calculation 10 2 7 2" xfId="1419" xr:uid="{00000000-0005-0000-0000-000070050000}"/>
    <cellStyle name="Calculation 10 2 7 2 2" xfId="1420" xr:uid="{00000000-0005-0000-0000-000071050000}"/>
    <cellStyle name="Calculation 10 2 7 3" xfId="1421" xr:uid="{00000000-0005-0000-0000-000072050000}"/>
    <cellStyle name="Calculation 10 2 8" xfId="1422" xr:uid="{00000000-0005-0000-0000-000073050000}"/>
    <cellStyle name="Calculation 10 2 8 2" xfId="1423" xr:uid="{00000000-0005-0000-0000-000074050000}"/>
    <cellStyle name="Calculation 10 2 8 2 2" xfId="1424" xr:uid="{00000000-0005-0000-0000-000075050000}"/>
    <cellStyle name="Calculation 10 2 8 3" xfId="1425" xr:uid="{00000000-0005-0000-0000-000076050000}"/>
    <cellStyle name="Calculation 10 2 9" xfId="1426" xr:uid="{00000000-0005-0000-0000-000077050000}"/>
    <cellStyle name="Calculation 10 2 9 2" xfId="1427" xr:uid="{00000000-0005-0000-0000-000078050000}"/>
    <cellStyle name="Calculation 10 2 9 2 2" xfId="1428" xr:uid="{00000000-0005-0000-0000-000079050000}"/>
    <cellStyle name="Calculation 10 2 9 3" xfId="1429" xr:uid="{00000000-0005-0000-0000-00007A050000}"/>
    <cellStyle name="Calculation 10 3" xfId="1430" xr:uid="{00000000-0005-0000-0000-00007B050000}"/>
    <cellStyle name="Calculation 10 3 2" xfId="1431" xr:uid="{00000000-0005-0000-0000-00007C050000}"/>
    <cellStyle name="Calculation 10 3 2 2" xfId="1432" xr:uid="{00000000-0005-0000-0000-00007D050000}"/>
    <cellStyle name="Calculation 10 3 3" xfId="1433" xr:uid="{00000000-0005-0000-0000-00007E050000}"/>
    <cellStyle name="Calculation 11" xfId="1434" xr:uid="{00000000-0005-0000-0000-00007F050000}"/>
    <cellStyle name="Calculation 11 2" xfId="1435" xr:uid="{00000000-0005-0000-0000-000080050000}"/>
    <cellStyle name="Calculation 11 2 10" xfId="1436" xr:uid="{00000000-0005-0000-0000-000081050000}"/>
    <cellStyle name="Calculation 11 2 10 2" xfId="1437" xr:uid="{00000000-0005-0000-0000-000082050000}"/>
    <cellStyle name="Calculation 11 2 10 2 2" xfId="1438" xr:uid="{00000000-0005-0000-0000-000083050000}"/>
    <cellStyle name="Calculation 11 2 10 3" xfId="1439" xr:uid="{00000000-0005-0000-0000-000084050000}"/>
    <cellStyle name="Calculation 11 2 11" xfId="1440" xr:uid="{00000000-0005-0000-0000-000085050000}"/>
    <cellStyle name="Calculation 11 2 11 2" xfId="1441" xr:uid="{00000000-0005-0000-0000-000086050000}"/>
    <cellStyle name="Calculation 11 2 11 2 2" xfId="1442" xr:uid="{00000000-0005-0000-0000-000087050000}"/>
    <cellStyle name="Calculation 11 2 11 3" xfId="1443" xr:uid="{00000000-0005-0000-0000-000088050000}"/>
    <cellStyle name="Calculation 11 2 12" xfId="1444" xr:uid="{00000000-0005-0000-0000-000089050000}"/>
    <cellStyle name="Calculation 11 2 12 2" xfId="1445" xr:uid="{00000000-0005-0000-0000-00008A050000}"/>
    <cellStyle name="Calculation 11 2 12 2 2" xfId="1446" xr:uid="{00000000-0005-0000-0000-00008B050000}"/>
    <cellStyle name="Calculation 11 2 12 3" xfId="1447" xr:uid="{00000000-0005-0000-0000-00008C050000}"/>
    <cellStyle name="Calculation 11 2 13" xfId="1448" xr:uid="{00000000-0005-0000-0000-00008D050000}"/>
    <cellStyle name="Calculation 11 2 13 2" xfId="1449" xr:uid="{00000000-0005-0000-0000-00008E050000}"/>
    <cellStyle name="Calculation 11 2 13 2 2" xfId="1450" xr:uid="{00000000-0005-0000-0000-00008F050000}"/>
    <cellStyle name="Calculation 11 2 13 3" xfId="1451" xr:uid="{00000000-0005-0000-0000-000090050000}"/>
    <cellStyle name="Calculation 11 2 14" xfId="1452" xr:uid="{00000000-0005-0000-0000-000091050000}"/>
    <cellStyle name="Calculation 11 2 14 2" xfId="1453" xr:uid="{00000000-0005-0000-0000-000092050000}"/>
    <cellStyle name="Calculation 11 2 14 2 2" xfId="1454" xr:uid="{00000000-0005-0000-0000-000093050000}"/>
    <cellStyle name="Calculation 11 2 14 3" xfId="1455" xr:uid="{00000000-0005-0000-0000-000094050000}"/>
    <cellStyle name="Calculation 11 2 15" xfId="1456" xr:uid="{00000000-0005-0000-0000-000095050000}"/>
    <cellStyle name="Calculation 11 2 15 2" xfId="1457" xr:uid="{00000000-0005-0000-0000-000096050000}"/>
    <cellStyle name="Calculation 11 2 15 2 2" xfId="1458" xr:uid="{00000000-0005-0000-0000-000097050000}"/>
    <cellStyle name="Calculation 11 2 15 3" xfId="1459" xr:uid="{00000000-0005-0000-0000-000098050000}"/>
    <cellStyle name="Calculation 11 2 16" xfId="1460" xr:uid="{00000000-0005-0000-0000-000099050000}"/>
    <cellStyle name="Calculation 11 2 16 2" xfId="1461" xr:uid="{00000000-0005-0000-0000-00009A050000}"/>
    <cellStyle name="Calculation 11 2 16 2 2" xfId="1462" xr:uid="{00000000-0005-0000-0000-00009B050000}"/>
    <cellStyle name="Calculation 11 2 16 3" xfId="1463" xr:uid="{00000000-0005-0000-0000-00009C050000}"/>
    <cellStyle name="Calculation 11 2 17" xfId="1464" xr:uid="{00000000-0005-0000-0000-00009D050000}"/>
    <cellStyle name="Calculation 11 2 17 2" xfId="1465" xr:uid="{00000000-0005-0000-0000-00009E050000}"/>
    <cellStyle name="Calculation 11 2 17 2 2" xfId="1466" xr:uid="{00000000-0005-0000-0000-00009F050000}"/>
    <cellStyle name="Calculation 11 2 17 3" xfId="1467" xr:uid="{00000000-0005-0000-0000-0000A0050000}"/>
    <cellStyle name="Calculation 11 2 18" xfId="1468" xr:uid="{00000000-0005-0000-0000-0000A1050000}"/>
    <cellStyle name="Calculation 11 2 18 2" xfId="1469" xr:uid="{00000000-0005-0000-0000-0000A2050000}"/>
    <cellStyle name="Calculation 11 2 19" xfId="1470" xr:uid="{00000000-0005-0000-0000-0000A3050000}"/>
    <cellStyle name="Calculation 11 2 2" xfId="1471" xr:uid="{00000000-0005-0000-0000-0000A4050000}"/>
    <cellStyle name="Calculation 11 2 2 2" xfId="1472" xr:uid="{00000000-0005-0000-0000-0000A5050000}"/>
    <cellStyle name="Calculation 11 2 2 2 2" xfId="1473" xr:uid="{00000000-0005-0000-0000-0000A6050000}"/>
    <cellStyle name="Calculation 11 2 2 3" xfId="1474" xr:uid="{00000000-0005-0000-0000-0000A7050000}"/>
    <cellStyle name="Calculation 11 2 3" xfId="1475" xr:uid="{00000000-0005-0000-0000-0000A8050000}"/>
    <cellStyle name="Calculation 11 2 3 2" xfId="1476" xr:uid="{00000000-0005-0000-0000-0000A9050000}"/>
    <cellStyle name="Calculation 11 2 3 2 2" xfId="1477" xr:uid="{00000000-0005-0000-0000-0000AA050000}"/>
    <cellStyle name="Calculation 11 2 3 3" xfId="1478" xr:uid="{00000000-0005-0000-0000-0000AB050000}"/>
    <cellStyle name="Calculation 11 2 4" xfId="1479" xr:uid="{00000000-0005-0000-0000-0000AC050000}"/>
    <cellStyle name="Calculation 11 2 4 2" xfId="1480" xr:uid="{00000000-0005-0000-0000-0000AD050000}"/>
    <cellStyle name="Calculation 11 2 4 2 2" xfId="1481" xr:uid="{00000000-0005-0000-0000-0000AE050000}"/>
    <cellStyle name="Calculation 11 2 4 3" xfId="1482" xr:uid="{00000000-0005-0000-0000-0000AF050000}"/>
    <cellStyle name="Calculation 11 2 5" xfId="1483" xr:uid="{00000000-0005-0000-0000-0000B0050000}"/>
    <cellStyle name="Calculation 11 2 5 2" xfId="1484" xr:uid="{00000000-0005-0000-0000-0000B1050000}"/>
    <cellStyle name="Calculation 11 2 5 2 2" xfId="1485" xr:uid="{00000000-0005-0000-0000-0000B2050000}"/>
    <cellStyle name="Calculation 11 2 5 3" xfId="1486" xr:uid="{00000000-0005-0000-0000-0000B3050000}"/>
    <cellStyle name="Calculation 11 2 6" xfId="1487" xr:uid="{00000000-0005-0000-0000-0000B4050000}"/>
    <cellStyle name="Calculation 11 2 6 2" xfId="1488" xr:uid="{00000000-0005-0000-0000-0000B5050000}"/>
    <cellStyle name="Calculation 11 2 6 2 2" xfId="1489" xr:uid="{00000000-0005-0000-0000-0000B6050000}"/>
    <cellStyle name="Calculation 11 2 6 3" xfId="1490" xr:uid="{00000000-0005-0000-0000-0000B7050000}"/>
    <cellStyle name="Calculation 11 2 7" xfId="1491" xr:uid="{00000000-0005-0000-0000-0000B8050000}"/>
    <cellStyle name="Calculation 11 2 7 2" xfId="1492" xr:uid="{00000000-0005-0000-0000-0000B9050000}"/>
    <cellStyle name="Calculation 11 2 7 2 2" xfId="1493" xr:uid="{00000000-0005-0000-0000-0000BA050000}"/>
    <cellStyle name="Calculation 11 2 7 3" xfId="1494" xr:uid="{00000000-0005-0000-0000-0000BB050000}"/>
    <cellStyle name="Calculation 11 2 8" xfId="1495" xr:uid="{00000000-0005-0000-0000-0000BC050000}"/>
    <cellStyle name="Calculation 11 2 8 2" xfId="1496" xr:uid="{00000000-0005-0000-0000-0000BD050000}"/>
    <cellStyle name="Calculation 11 2 8 2 2" xfId="1497" xr:uid="{00000000-0005-0000-0000-0000BE050000}"/>
    <cellStyle name="Calculation 11 2 8 3" xfId="1498" xr:uid="{00000000-0005-0000-0000-0000BF050000}"/>
    <cellStyle name="Calculation 11 2 9" xfId="1499" xr:uid="{00000000-0005-0000-0000-0000C0050000}"/>
    <cellStyle name="Calculation 11 2 9 2" xfId="1500" xr:uid="{00000000-0005-0000-0000-0000C1050000}"/>
    <cellStyle name="Calculation 11 2 9 2 2" xfId="1501" xr:uid="{00000000-0005-0000-0000-0000C2050000}"/>
    <cellStyle name="Calculation 11 2 9 3" xfId="1502" xr:uid="{00000000-0005-0000-0000-0000C3050000}"/>
    <cellStyle name="Calculation 11 3" xfId="1503" xr:uid="{00000000-0005-0000-0000-0000C4050000}"/>
    <cellStyle name="Calculation 11 3 2" xfId="1504" xr:uid="{00000000-0005-0000-0000-0000C5050000}"/>
    <cellStyle name="Calculation 11 3 2 2" xfId="1505" xr:uid="{00000000-0005-0000-0000-0000C6050000}"/>
    <cellStyle name="Calculation 11 3 3" xfId="1506" xr:uid="{00000000-0005-0000-0000-0000C7050000}"/>
    <cellStyle name="Calculation 12" xfId="1507" xr:uid="{00000000-0005-0000-0000-0000C8050000}"/>
    <cellStyle name="Calculation 12 2" xfId="1508" xr:uid="{00000000-0005-0000-0000-0000C9050000}"/>
    <cellStyle name="Calculation 12 2 10" xfId="1509" xr:uid="{00000000-0005-0000-0000-0000CA050000}"/>
    <cellStyle name="Calculation 12 2 10 2" xfId="1510" xr:uid="{00000000-0005-0000-0000-0000CB050000}"/>
    <cellStyle name="Calculation 12 2 10 2 2" xfId="1511" xr:uid="{00000000-0005-0000-0000-0000CC050000}"/>
    <cellStyle name="Calculation 12 2 10 3" xfId="1512" xr:uid="{00000000-0005-0000-0000-0000CD050000}"/>
    <cellStyle name="Calculation 12 2 11" xfId="1513" xr:uid="{00000000-0005-0000-0000-0000CE050000}"/>
    <cellStyle name="Calculation 12 2 11 2" xfId="1514" xr:uid="{00000000-0005-0000-0000-0000CF050000}"/>
    <cellStyle name="Calculation 12 2 11 2 2" xfId="1515" xr:uid="{00000000-0005-0000-0000-0000D0050000}"/>
    <cellStyle name="Calculation 12 2 11 3" xfId="1516" xr:uid="{00000000-0005-0000-0000-0000D1050000}"/>
    <cellStyle name="Calculation 12 2 12" xfId="1517" xr:uid="{00000000-0005-0000-0000-0000D2050000}"/>
    <cellStyle name="Calculation 12 2 12 2" xfId="1518" xr:uid="{00000000-0005-0000-0000-0000D3050000}"/>
    <cellStyle name="Calculation 12 2 12 2 2" xfId="1519" xr:uid="{00000000-0005-0000-0000-0000D4050000}"/>
    <cellStyle name="Calculation 12 2 12 3" xfId="1520" xr:uid="{00000000-0005-0000-0000-0000D5050000}"/>
    <cellStyle name="Calculation 12 2 13" xfId="1521" xr:uid="{00000000-0005-0000-0000-0000D6050000}"/>
    <cellStyle name="Calculation 12 2 13 2" xfId="1522" xr:uid="{00000000-0005-0000-0000-0000D7050000}"/>
    <cellStyle name="Calculation 12 2 13 2 2" xfId="1523" xr:uid="{00000000-0005-0000-0000-0000D8050000}"/>
    <cellStyle name="Calculation 12 2 13 3" xfId="1524" xr:uid="{00000000-0005-0000-0000-0000D9050000}"/>
    <cellStyle name="Calculation 12 2 14" xfId="1525" xr:uid="{00000000-0005-0000-0000-0000DA050000}"/>
    <cellStyle name="Calculation 12 2 14 2" xfId="1526" xr:uid="{00000000-0005-0000-0000-0000DB050000}"/>
    <cellStyle name="Calculation 12 2 14 2 2" xfId="1527" xr:uid="{00000000-0005-0000-0000-0000DC050000}"/>
    <cellStyle name="Calculation 12 2 14 3" xfId="1528" xr:uid="{00000000-0005-0000-0000-0000DD050000}"/>
    <cellStyle name="Calculation 12 2 15" xfId="1529" xr:uid="{00000000-0005-0000-0000-0000DE050000}"/>
    <cellStyle name="Calculation 12 2 15 2" xfId="1530" xr:uid="{00000000-0005-0000-0000-0000DF050000}"/>
    <cellStyle name="Calculation 12 2 15 2 2" xfId="1531" xr:uid="{00000000-0005-0000-0000-0000E0050000}"/>
    <cellStyle name="Calculation 12 2 15 3" xfId="1532" xr:uid="{00000000-0005-0000-0000-0000E1050000}"/>
    <cellStyle name="Calculation 12 2 16" xfId="1533" xr:uid="{00000000-0005-0000-0000-0000E2050000}"/>
    <cellStyle name="Calculation 12 2 16 2" xfId="1534" xr:uid="{00000000-0005-0000-0000-0000E3050000}"/>
    <cellStyle name="Calculation 12 2 16 2 2" xfId="1535" xr:uid="{00000000-0005-0000-0000-0000E4050000}"/>
    <cellStyle name="Calculation 12 2 16 3" xfId="1536" xr:uid="{00000000-0005-0000-0000-0000E5050000}"/>
    <cellStyle name="Calculation 12 2 17" xfId="1537" xr:uid="{00000000-0005-0000-0000-0000E6050000}"/>
    <cellStyle name="Calculation 12 2 17 2" xfId="1538" xr:uid="{00000000-0005-0000-0000-0000E7050000}"/>
    <cellStyle name="Calculation 12 2 17 2 2" xfId="1539" xr:uid="{00000000-0005-0000-0000-0000E8050000}"/>
    <cellStyle name="Calculation 12 2 17 3" xfId="1540" xr:uid="{00000000-0005-0000-0000-0000E9050000}"/>
    <cellStyle name="Calculation 12 2 18" xfId="1541" xr:uid="{00000000-0005-0000-0000-0000EA050000}"/>
    <cellStyle name="Calculation 12 2 18 2" xfId="1542" xr:uid="{00000000-0005-0000-0000-0000EB050000}"/>
    <cellStyle name="Calculation 12 2 19" xfId="1543" xr:uid="{00000000-0005-0000-0000-0000EC050000}"/>
    <cellStyle name="Calculation 12 2 2" xfId="1544" xr:uid="{00000000-0005-0000-0000-0000ED050000}"/>
    <cellStyle name="Calculation 12 2 2 2" xfId="1545" xr:uid="{00000000-0005-0000-0000-0000EE050000}"/>
    <cellStyle name="Calculation 12 2 2 2 2" xfId="1546" xr:uid="{00000000-0005-0000-0000-0000EF050000}"/>
    <cellStyle name="Calculation 12 2 2 3" xfId="1547" xr:uid="{00000000-0005-0000-0000-0000F0050000}"/>
    <cellStyle name="Calculation 12 2 3" xfId="1548" xr:uid="{00000000-0005-0000-0000-0000F1050000}"/>
    <cellStyle name="Calculation 12 2 3 2" xfId="1549" xr:uid="{00000000-0005-0000-0000-0000F2050000}"/>
    <cellStyle name="Calculation 12 2 3 2 2" xfId="1550" xr:uid="{00000000-0005-0000-0000-0000F3050000}"/>
    <cellStyle name="Calculation 12 2 3 3" xfId="1551" xr:uid="{00000000-0005-0000-0000-0000F4050000}"/>
    <cellStyle name="Calculation 12 2 4" xfId="1552" xr:uid="{00000000-0005-0000-0000-0000F5050000}"/>
    <cellStyle name="Calculation 12 2 4 2" xfId="1553" xr:uid="{00000000-0005-0000-0000-0000F6050000}"/>
    <cellStyle name="Calculation 12 2 4 2 2" xfId="1554" xr:uid="{00000000-0005-0000-0000-0000F7050000}"/>
    <cellStyle name="Calculation 12 2 4 3" xfId="1555" xr:uid="{00000000-0005-0000-0000-0000F8050000}"/>
    <cellStyle name="Calculation 12 2 5" xfId="1556" xr:uid="{00000000-0005-0000-0000-0000F9050000}"/>
    <cellStyle name="Calculation 12 2 5 2" xfId="1557" xr:uid="{00000000-0005-0000-0000-0000FA050000}"/>
    <cellStyle name="Calculation 12 2 5 2 2" xfId="1558" xr:uid="{00000000-0005-0000-0000-0000FB050000}"/>
    <cellStyle name="Calculation 12 2 5 3" xfId="1559" xr:uid="{00000000-0005-0000-0000-0000FC050000}"/>
    <cellStyle name="Calculation 12 2 6" xfId="1560" xr:uid="{00000000-0005-0000-0000-0000FD050000}"/>
    <cellStyle name="Calculation 12 2 6 2" xfId="1561" xr:uid="{00000000-0005-0000-0000-0000FE050000}"/>
    <cellStyle name="Calculation 12 2 6 2 2" xfId="1562" xr:uid="{00000000-0005-0000-0000-0000FF050000}"/>
    <cellStyle name="Calculation 12 2 6 3" xfId="1563" xr:uid="{00000000-0005-0000-0000-000000060000}"/>
    <cellStyle name="Calculation 12 2 7" xfId="1564" xr:uid="{00000000-0005-0000-0000-000001060000}"/>
    <cellStyle name="Calculation 12 2 7 2" xfId="1565" xr:uid="{00000000-0005-0000-0000-000002060000}"/>
    <cellStyle name="Calculation 12 2 7 2 2" xfId="1566" xr:uid="{00000000-0005-0000-0000-000003060000}"/>
    <cellStyle name="Calculation 12 2 7 3" xfId="1567" xr:uid="{00000000-0005-0000-0000-000004060000}"/>
    <cellStyle name="Calculation 12 2 8" xfId="1568" xr:uid="{00000000-0005-0000-0000-000005060000}"/>
    <cellStyle name="Calculation 12 2 8 2" xfId="1569" xr:uid="{00000000-0005-0000-0000-000006060000}"/>
    <cellStyle name="Calculation 12 2 8 2 2" xfId="1570" xr:uid="{00000000-0005-0000-0000-000007060000}"/>
    <cellStyle name="Calculation 12 2 8 3" xfId="1571" xr:uid="{00000000-0005-0000-0000-000008060000}"/>
    <cellStyle name="Calculation 12 2 9" xfId="1572" xr:uid="{00000000-0005-0000-0000-000009060000}"/>
    <cellStyle name="Calculation 12 2 9 2" xfId="1573" xr:uid="{00000000-0005-0000-0000-00000A060000}"/>
    <cellStyle name="Calculation 12 2 9 2 2" xfId="1574" xr:uid="{00000000-0005-0000-0000-00000B060000}"/>
    <cellStyle name="Calculation 12 2 9 3" xfId="1575" xr:uid="{00000000-0005-0000-0000-00000C060000}"/>
    <cellStyle name="Calculation 12 3" xfId="1576" xr:uid="{00000000-0005-0000-0000-00000D060000}"/>
    <cellStyle name="Calculation 12 3 2" xfId="1577" xr:uid="{00000000-0005-0000-0000-00000E060000}"/>
    <cellStyle name="Calculation 12 3 2 2" xfId="1578" xr:uid="{00000000-0005-0000-0000-00000F060000}"/>
    <cellStyle name="Calculation 12 3 3" xfId="1579" xr:uid="{00000000-0005-0000-0000-000010060000}"/>
    <cellStyle name="Calculation 13" xfId="1580" xr:uid="{00000000-0005-0000-0000-000011060000}"/>
    <cellStyle name="Calculation 13 2" xfId="1581" xr:uid="{00000000-0005-0000-0000-000012060000}"/>
    <cellStyle name="Calculation 13 2 10" xfId="1582" xr:uid="{00000000-0005-0000-0000-000013060000}"/>
    <cellStyle name="Calculation 13 2 10 2" xfId="1583" xr:uid="{00000000-0005-0000-0000-000014060000}"/>
    <cellStyle name="Calculation 13 2 10 2 2" xfId="1584" xr:uid="{00000000-0005-0000-0000-000015060000}"/>
    <cellStyle name="Calculation 13 2 10 3" xfId="1585" xr:uid="{00000000-0005-0000-0000-000016060000}"/>
    <cellStyle name="Calculation 13 2 11" xfId="1586" xr:uid="{00000000-0005-0000-0000-000017060000}"/>
    <cellStyle name="Calculation 13 2 11 2" xfId="1587" xr:uid="{00000000-0005-0000-0000-000018060000}"/>
    <cellStyle name="Calculation 13 2 11 2 2" xfId="1588" xr:uid="{00000000-0005-0000-0000-000019060000}"/>
    <cellStyle name="Calculation 13 2 11 3" xfId="1589" xr:uid="{00000000-0005-0000-0000-00001A060000}"/>
    <cellStyle name="Calculation 13 2 12" xfId="1590" xr:uid="{00000000-0005-0000-0000-00001B060000}"/>
    <cellStyle name="Calculation 13 2 12 2" xfId="1591" xr:uid="{00000000-0005-0000-0000-00001C060000}"/>
    <cellStyle name="Calculation 13 2 12 2 2" xfId="1592" xr:uid="{00000000-0005-0000-0000-00001D060000}"/>
    <cellStyle name="Calculation 13 2 12 3" xfId="1593" xr:uid="{00000000-0005-0000-0000-00001E060000}"/>
    <cellStyle name="Calculation 13 2 13" xfId="1594" xr:uid="{00000000-0005-0000-0000-00001F060000}"/>
    <cellStyle name="Calculation 13 2 13 2" xfId="1595" xr:uid="{00000000-0005-0000-0000-000020060000}"/>
    <cellStyle name="Calculation 13 2 13 2 2" xfId="1596" xr:uid="{00000000-0005-0000-0000-000021060000}"/>
    <cellStyle name="Calculation 13 2 13 3" xfId="1597" xr:uid="{00000000-0005-0000-0000-000022060000}"/>
    <cellStyle name="Calculation 13 2 14" xfId="1598" xr:uid="{00000000-0005-0000-0000-000023060000}"/>
    <cellStyle name="Calculation 13 2 14 2" xfId="1599" xr:uid="{00000000-0005-0000-0000-000024060000}"/>
    <cellStyle name="Calculation 13 2 14 2 2" xfId="1600" xr:uid="{00000000-0005-0000-0000-000025060000}"/>
    <cellStyle name="Calculation 13 2 14 3" xfId="1601" xr:uid="{00000000-0005-0000-0000-000026060000}"/>
    <cellStyle name="Calculation 13 2 15" xfId="1602" xr:uid="{00000000-0005-0000-0000-000027060000}"/>
    <cellStyle name="Calculation 13 2 15 2" xfId="1603" xr:uid="{00000000-0005-0000-0000-000028060000}"/>
    <cellStyle name="Calculation 13 2 15 2 2" xfId="1604" xr:uid="{00000000-0005-0000-0000-000029060000}"/>
    <cellStyle name="Calculation 13 2 15 3" xfId="1605" xr:uid="{00000000-0005-0000-0000-00002A060000}"/>
    <cellStyle name="Calculation 13 2 16" xfId="1606" xr:uid="{00000000-0005-0000-0000-00002B060000}"/>
    <cellStyle name="Calculation 13 2 16 2" xfId="1607" xr:uid="{00000000-0005-0000-0000-00002C060000}"/>
    <cellStyle name="Calculation 13 2 16 2 2" xfId="1608" xr:uid="{00000000-0005-0000-0000-00002D060000}"/>
    <cellStyle name="Calculation 13 2 16 3" xfId="1609" xr:uid="{00000000-0005-0000-0000-00002E060000}"/>
    <cellStyle name="Calculation 13 2 17" xfId="1610" xr:uid="{00000000-0005-0000-0000-00002F060000}"/>
    <cellStyle name="Calculation 13 2 17 2" xfId="1611" xr:uid="{00000000-0005-0000-0000-000030060000}"/>
    <cellStyle name="Calculation 13 2 17 2 2" xfId="1612" xr:uid="{00000000-0005-0000-0000-000031060000}"/>
    <cellStyle name="Calculation 13 2 17 3" xfId="1613" xr:uid="{00000000-0005-0000-0000-000032060000}"/>
    <cellStyle name="Calculation 13 2 18" xfId="1614" xr:uid="{00000000-0005-0000-0000-000033060000}"/>
    <cellStyle name="Calculation 13 2 18 2" xfId="1615" xr:uid="{00000000-0005-0000-0000-000034060000}"/>
    <cellStyle name="Calculation 13 2 19" xfId="1616" xr:uid="{00000000-0005-0000-0000-000035060000}"/>
    <cellStyle name="Calculation 13 2 2" xfId="1617" xr:uid="{00000000-0005-0000-0000-000036060000}"/>
    <cellStyle name="Calculation 13 2 2 2" xfId="1618" xr:uid="{00000000-0005-0000-0000-000037060000}"/>
    <cellStyle name="Calculation 13 2 2 2 2" xfId="1619" xr:uid="{00000000-0005-0000-0000-000038060000}"/>
    <cellStyle name="Calculation 13 2 2 3" xfId="1620" xr:uid="{00000000-0005-0000-0000-000039060000}"/>
    <cellStyle name="Calculation 13 2 3" xfId="1621" xr:uid="{00000000-0005-0000-0000-00003A060000}"/>
    <cellStyle name="Calculation 13 2 3 2" xfId="1622" xr:uid="{00000000-0005-0000-0000-00003B060000}"/>
    <cellStyle name="Calculation 13 2 3 2 2" xfId="1623" xr:uid="{00000000-0005-0000-0000-00003C060000}"/>
    <cellStyle name="Calculation 13 2 3 3" xfId="1624" xr:uid="{00000000-0005-0000-0000-00003D060000}"/>
    <cellStyle name="Calculation 13 2 4" xfId="1625" xr:uid="{00000000-0005-0000-0000-00003E060000}"/>
    <cellStyle name="Calculation 13 2 4 2" xfId="1626" xr:uid="{00000000-0005-0000-0000-00003F060000}"/>
    <cellStyle name="Calculation 13 2 4 2 2" xfId="1627" xr:uid="{00000000-0005-0000-0000-000040060000}"/>
    <cellStyle name="Calculation 13 2 4 3" xfId="1628" xr:uid="{00000000-0005-0000-0000-000041060000}"/>
    <cellStyle name="Calculation 13 2 5" xfId="1629" xr:uid="{00000000-0005-0000-0000-000042060000}"/>
    <cellStyle name="Calculation 13 2 5 2" xfId="1630" xr:uid="{00000000-0005-0000-0000-000043060000}"/>
    <cellStyle name="Calculation 13 2 5 2 2" xfId="1631" xr:uid="{00000000-0005-0000-0000-000044060000}"/>
    <cellStyle name="Calculation 13 2 5 3" xfId="1632" xr:uid="{00000000-0005-0000-0000-000045060000}"/>
    <cellStyle name="Calculation 13 2 6" xfId="1633" xr:uid="{00000000-0005-0000-0000-000046060000}"/>
    <cellStyle name="Calculation 13 2 6 2" xfId="1634" xr:uid="{00000000-0005-0000-0000-000047060000}"/>
    <cellStyle name="Calculation 13 2 6 2 2" xfId="1635" xr:uid="{00000000-0005-0000-0000-000048060000}"/>
    <cellStyle name="Calculation 13 2 6 3" xfId="1636" xr:uid="{00000000-0005-0000-0000-000049060000}"/>
    <cellStyle name="Calculation 13 2 7" xfId="1637" xr:uid="{00000000-0005-0000-0000-00004A060000}"/>
    <cellStyle name="Calculation 13 2 7 2" xfId="1638" xr:uid="{00000000-0005-0000-0000-00004B060000}"/>
    <cellStyle name="Calculation 13 2 7 2 2" xfId="1639" xr:uid="{00000000-0005-0000-0000-00004C060000}"/>
    <cellStyle name="Calculation 13 2 7 3" xfId="1640" xr:uid="{00000000-0005-0000-0000-00004D060000}"/>
    <cellStyle name="Calculation 13 2 8" xfId="1641" xr:uid="{00000000-0005-0000-0000-00004E060000}"/>
    <cellStyle name="Calculation 13 2 8 2" xfId="1642" xr:uid="{00000000-0005-0000-0000-00004F060000}"/>
    <cellStyle name="Calculation 13 2 8 2 2" xfId="1643" xr:uid="{00000000-0005-0000-0000-000050060000}"/>
    <cellStyle name="Calculation 13 2 8 3" xfId="1644" xr:uid="{00000000-0005-0000-0000-000051060000}"/>
    <cellStyle name="Calculation 13 2 9" xfId="1645" xr:uid="{00000000-0005-0000-0000-000052060000}"/>
    <cellStyle name="Calculation 13 2 9 2" xfId="1646" xr:uid="{00000000-0005-0000-0000-000053060000}"/>
    <cellStyle name="Calculation 13 2 9 2 2" xfId="1647" xr:uid="{00000000-0005-0000-0000-000054060000}"/>
    <cellStyle name="Calculation 13 2 9 3" xfId="1648" xr:uid="{00000000-0005-0000-0000-000055060000}"/>
    <cellStyle name="Calculation 13 3" xfId="1649" xr:uid="{00000000-0005-0000-0000-000056060000}"/>
    <cellStyle name="Calculation 13 3 2" xfId="1650" xr:uid="{00000000-0005-0000-0000-000057060000}"/>
    <cellStyle name="Calculation 13 3 2 2" xfId="1651" xr:uid="{00000000-0005-0000-0000-000058060000}"/>
    <cellStyle name="Calculation 13 3 3" xfId="1652" xr:uid="{00000000-0005-0000-0000-000059060000}"/>
    <cellStyle name="Calculation 14" xfId="1653" xr:uid="{00000000-0005-0000-0000-00005A060000}"/>
    <cellStyle name="Calculation 14 2" xfId="1654" xr:uid="{00000000-0005-0000-0000-00005B060000}"/>
    <cellStyle name="Calculation 14 2 10" xfId="1655" xr:uid="{00000000-0005-0000-0000-00005C060000}"/>
    <cellStyle name="Calculation 14 2 10 2" xfId="1656" xr:uid="{00000000-0005-0000-0000-00005D060000}"/>
    <cellStyle name="Calculation 14 2 10 2 2" xfId="1657" xr:uid="{00000000-0005-0000-0000-00005E060000}"/>
    <cellStyle name="Calculation 14 2 10 3" xfId="1658" xr:uid="{00000000-0005-0000-0000-00005F060000}"/>
    <cellStyle name="Calculation 14 2 11" xfId="1659" xr:uid="{00000000-0005-0000-0000-000060060000}"/>
    <cellStyle name="Calculation 14 2 11 2" xfId="1660" xr:uid="{00000000-0005-0000-0000-000061060000}"/>
    <cellStyle name="Calculation 14 2 11 2 2" xfId="1661" xr:uid="{00000000-0005-0000-0000-000062060000}"/>
    <cellStyle name="Calculation 14 2 11 3" xfId="1662" xr:uid="{00000000-0005-0000-0000-000063060000}"/>
    <cellStyle name="Calculation 14 2 12" xfId="1663" xr:uid="{00000000-0005-0000-0000-000064060000}"/>
    <cellStyle name="Calculation 14 2 12 2" xfId="1664" xr:uid="{00000000-0005-0000-0000-000065060000}"/>
    <cellStyle name="Calculation 14 2 12 2 2" xfId="1665" xr:uid="{00000000-0005-0000-0000-000066060000}"/>
    <cellStyle name="Calculation 14 2 12 3" xfId="1666" xr:uid="{00000000-0005-0000-0000-000067060000}"/>
    <cellStyle name="Calculation 14 2 13" xfId="1667" xr:uid="{00000000-0005-0000-0000-000068060000}"/>
    <cellStyle name="Calculation 14 2 13 2" xfId="1668" xr:uid="{00000000-0005-0000-0000-000069060000}"/>
    <cellStyle name="Calculation 14 2 13 2 2" xfId="1669" xr:uid="{00000000-0005-0000-0000-00006A060000}"/>
    <cellStyle name="Calculation 14 2 13 3" xfId="1670" xr:uid="{00000000-0005-0000-0000-00006B060000}"/>
    <cellStyle name="Calculation 14 2 14" xfId="1671" xr:uid="{00000000-0005-0000-0000-00006C060000}"/>
    <cellStyle name="Calculation 14 2 14 2" xfId="1672" xr:uid="{00000000-0005-0000-0000-00006D060000}"/>
    <cellStyle name="Calculation 14 2 14 2 2" xfId="1673" xr:uid="{00000000-0005-0000-0000-00006E060000}"/>
    <cellStyle name="Calculation 14 2 14 3" xfId="1674" xr:uid="{00000000-0005-0000-0000-00006F060000}"/>
    <cellStyle name="Calculation 14 2 15" xfId="1675" xr:uid="{00000000-0005-0000-0000-000070060000}"/>
    <cellStyle name="Calculation 14 2 15 2" xfId="1676" xr:uid="{00000000-0005-0000-0000-000071060000}"/>
    <cellStyle name="Calculation 14 2 15 2 2" xfId="1677" xr:uid="{00000000-0005-0000-0000-000072060000}"/>
    <cellStyle name="Calculation 14 2 15 3" xfId="1678" xr:uid="{00000000-0005-0000-0000-000073060000}"/>
    <cellStyle name="Calculation 14 2 16" xfId="1679" xr:uid="{00000000-0005-0000-0000-000074060000}"/>
    <cellStyle name="Calculation 14 2 16 2" xfId="1680" xr:uid="{00000000-0005-0000-0000-000075060000}"/>
    <cellStyle name="Calculation 14 2 16 2 2" xfId="1681" xr:uid="{00000000-0005-0000-0000-000076060000}"/>
    <cellStyle name="Calculation 14 2 16 3" xfId="1682" xr:uid="{00000000-0005-0000-0000-000077060000}"/>
    <cellStyle name="Calculation 14 2 17" xfId="1683" xr:uid="{00000000-0005-0000-0000-000078060000}"/>
    <cellStyle name="Calculation 14 2 17 2" xfId="1684" xr:uid="{00000000-0005-0000-0000-000079060000}"/>
    <cellStyle name="Calculation 14 2 17 2 2" xfId="1685" xr:uid="{00000000-0005-0000-0000-00007A060000}"/>
    <cellStyle name="Calculation 14 2 17 3" xfId="1686" xr:uid="{00000000-0005-0000-0000-00007B060000}"/>
    <cellStyle name="Calculation 14 2 18" xfId="1687" xr:uid="{00000000-0005-0000-0000-00007C060000}"/>
    <cellStyle name="Calculation 14 2 18 2" xfId="1688" xr:uid="{00000000-0005-0000-0000-00007D060000}"/>
    <cellStyle name="Calculation 14 2 19" xfId="1689" xr:uid="{00000000-0005-0000-0000-00007E060000}"/>
    <cellStyle name="Calculation 14 2 2" xfId="1690" xr:uid="{00000000-0005-0000-0000-00007F060000}"/>
    <cellStyle name="Calculation 14 2 2 2" xfId="1691" xr:uid="{00000000-0005-0000-0000-000080060000}"/>
    <cellStyle name="Calculation 14 2 2 2 2" xfId="1692" xr:uid="{00000000-0005-0000-0000-000081060000}"/>
    <cellStyle name="Calculation 14 2 2 3" xfId="1693" xr:uid="{00000000-0005-0000-0000-000082060000}"/>
    <cellStyle name="Calculation 14 2 3" xfId="1694" xr:uid="{00000000-0005-0000-0000-000083060000}"/>
    <cellStyle name="Calculation 14 2 3 2" xfId="1695" xr:uid="{00000000-0005-0000-0000-000084060000}"/>
    <cellStyle name="Calculation 14 2 3 2 2" xfId="1696" xr:uid="{00000000-0005-0000-0000-000085060000}"/>
    <cellStyle name="Calculation 14 2 3 3" xfId="1697" xr:uid="{00000000-0005-0000-0000-000086060000}"/>
    <cellStyle name="Calculation 14 2 4" xfId="1698" xr:uid="{00000000-0005-0000-0000-000087060000}"/>
    <cellStyle name="Calculation 14 2 4 2" xfId="1699" xr:uid="{00000000-0005-0000-0000-000088060000}"/>
    <cellStyle name="Calculation 14 2 4 2 2" xfId="1700" xr:uid="{00000000-0005-0000-0000-000089060000}"/>
    <cellStyle name="Calculation 14 2 4 3" xfId="1701" xr:uid="{00000000-0005-0000-0000-00008A060000}"/>
    <cellStyle name="Calculation 14 2 5" xfId="1702" xr:uid="{00000000-0005-0000-0000-00008B060000}"/>
    <cellStyle name="Calculation 14 2 5 2" xfId="1703" xr:uid="{00000000-0005-0000-0000-00008C060000}"/>
    <cellStyle name="Calculation 14 2 5 2 2" xfId="1704" xr:uid="{00000000-0005-0000-0000-00008D060000}"/>
    <cellStyle name="Calculation 14 2 5 3" xfId="1705" xr:uid="{00000000-0005-0000-0000-00008E060000}"/>
    <cellStyle name="Calculation 14 2 6" xfId="1706" xr:uid="{00000000-0005-0000-0000-00008F060000}"/>
    <cellStyle name="Calculation 14 2 6 2" xfId="1707" xr:uid="{00000000-0005-0000-0000-000090060000}"/>
    <cellStyle name="Calculation 14 2 6 2 2" xfId="1708" xr:uid="{00000000-0005-0000-0000-000091060000}"/>
    <cellStyle name="Calculation 14 2 6 3" xfId="1709" xr:uid="{00000000-0005-0000-0000-000092060000}"/>
    <cellStyle name="Calculation 14 2 7" xfId="1710" xr:uid="{00000000-0005-0000-0000-000093060000}"/>
    <cellStyle name="Calculation 14 2 7 2" xfId="1711" xr:uid="{00000000-0005-0000-0000-000094060000}"/>
    <cellStyle name="Calculation 14 2 7 2 2" xfId="1712" xr:uid="{00000000-0005-0000-0000-000095060000}"/>
    <cellStyle name="Calculation 14 2 7 3" xfId="1713" xr:uid="{00000000-0005-0000-0000-000096060000}"/>
    <cellStyle name="Calculation 14 2 8" xfId="1714" xr:uid="{00000000-0005-0000-0000-000097060000}"/>
    <cellStyle name="Calculation 14 2 8 2" xfId="1715" xr:uid="{00000000-0005-0000-0000-000098060000}"/>
    <cellStyle name="Calculation 14 2 8 2 2" xfId="1716" xr:uid="{00000000-0005-0000-0000-000099060000}"/>
    <cellStyle name="Calculation 14 2 8 3" xfId="1717" xr:uid="{00000000-0005-0000-0000-00009A060000}"/>
    <cellStyle name="Calculation 14 2 9" xfId="1718" xr:uid="{00000000-0005-0000-0000-00009B060000}"/>
    <cellStyle name="Calculation 14 2 9 2" xfId="1719" xr:uid="{00000000-0005-0000-0000-00009C060000}"/>
    <cellStyle name="Calculation 14 2 9 2 2" xfId="1720" xr:uid="{00000000-0005-0000-0000-00009D060000}"/>
    <cellStyle name="Calculation 14 2 9 3" xfId="1721" xr:uid="{00000000-0005-0000-0000-00009E060000}"/>
    <cellStyle name="Calculation 14 3" xfId="1722" xr:uid="{00000000-0005-0000-0000-00009F060000}"/>
    <cellStyle name="Calculation 14 3 2" xfId="1723" xr:uid="{00000000-0005-0000-0000-0000A0060000}"/>
    <cellStyle name="Calculation 14 3 2 2" xfId="1724" xr:uid="{00000000-0005-0000-0000-0000A1060000}"/>
    <cellStyle name="Calculation 14 3 3" xfId="1725" xr:uid="{00000000-0005-0000-0000-0000A2060000}"/>
    <cellStyle name="Calculation 15" xfId="1726" xr:uid="{00000000-0005-0000-0000-0000A3060000}"/>
    <cellStyle name="Calculation 15 2" xfId="1727" xr:uid="{00000000-0005-0000-0000-0000A4060000}"/>
    <cellStyle name="Calculation 15 2 10" xfId="1728" xr:uid="{00000000-0005-0000-0000-0000A5060000}"/>
    <cellStyle name="Calculation 15 2 10 2" xfId="1729" xr:uid="{00000000-0005-0000-0000-0000A6060000}"/>
    <cellStyle name="Calculation 15 2 10 2 2" xfId="1730" xr:uid="{00000000-0005-0000-0000-0000A7060000}"/>
    <cellStyle name="Calculation 15 2 10 3" xfId="1731" xr:uid="{00000000-0005-0000-0000-0000A8060000}"/>
    <cellStyle name="Calculation 15 2 11" xfId="1732" xr:uid="{00000000-0005-0000-0000-0000A9060000}"/>
    <cellStyle name="Calculation 15 2 11 2" xfId="1733" xr:uid="{00000000-0005-0000-0000-0000AA060000}"/>
    <cellStyle name="Calculation 15 2 11 2 2" xfId="1734" xr:uid="{00000000-0005-0000-0000-0000AB060000}"/>
    <cellStyle name="Calculation 15 2 11 3" xfId="1735" xr:uid="{00000000-0005-0000-0000-0000AC060000}"/>
    <cellStyle name="Calculation 15 2 12" xfId="1736" xr:uid="{00000000-0005-0000-0000-0000AD060000}"/>
    <cellStyle name="Calculation 15 2 12 2" xfId="1737" xr:uid="{00000000-0005-0000-0000-0000AE060000}"/>
    <cellStyle name="Calculation 15 2 12 2 2" xfId="1738" xr:uid="{00000000-0005-0000-0000-0000AF060000}"/>
    <cellStyle name="Calculation 15 2 12 3" xfId="1739" xr:uid="{00000000-0005-0000-0000-0000B0060000}"/>
    <cellStyle name="Calculation 15 2 13" xfId="1740" xr:uid="{00000000-0005-0000-0000-0000B1060000}"/>
    <cellStyle name="Calculation 15 2 13 2" xfId="1741" xr:uid="{00000000-0005-0000-0000-0000B2060000}"/>
    <cellStyle name="Calculation 15 2 13 2 2" xfId="1742" xr:uid="{00000000-0005-0000-0000-0000B3060000}"/>
    <cellStyle name="Calculation 15 2 13 3" xfId="1743" xr:uid="{00000000-0005-0000-0000-0000B4060000}"/>
    <cellStyle name="Calculation 15 2 14" xfId="1744" xr:uid="{00000000-0005-0000-0000-0000B5060000}"/>
    <cellStyle name="Calculation 15 2 14 2" xfId="1745" xr:uid="{00000000-0005-0000-0000-0000B6060000}"/>
    <cellStyle name="Calculation 15 2 14 2 2" xfId="1746" xr:uid="{00000000-0005-0000-0000-0000B7060000}"/>
    <cellStyle name="Calculation 15 2 14 3" xfId="1747" xr:uid="{00000000-0005-0000-0000-0000B8060000}"/>
    <cellStyle name="Calculation 15 2 15" xfId="1748" xr:uid="{00000000-0005-0000-0000-0000B9060000}"/>
    <cellStyle name="Calculation 15 2 15 2" xfId="1749" xr:uid="{00000000-0005-0000-0000-0000BA060000}"/>
    <cellStyle name="Calculation 15 2 15 2 2" xfId="1750" xr:uid="{00000000-0005-0000-0000-0000BB060000}"/>
    <cellStyle name="Calculation 15 2 15 3" xfId="1751" xr:uid="{00000000-0005-0000-0000-0000BC060000}"/>
    <cellStyle name="Calculation 15 2 16" xfId="1752" xr:uid="{00000000-0005-0000-0000-0000BD060000}"/>
    <cellStyle name="Calculation 15 2 16 2" xfId="1753" xr:uid="{00000000-0005-0000-0000-0000BE060000}"/>
    <cellStyle name="Calculation 15 2 16 2 2" xfId="1754" xr:uid="{00000000-0005-0000-0000-0000BF060000}"/>
    <cellStyle name="Calculation 15 2 16 3" xfId="1755" xr:uid="{00000000-0005-0000-0000-0000C0060000}"/>
    <cellStyle name="Calculation 15 2 17" xfId="1756" xr:uid="{00000000-0005-0000-0000-0000C1060000}"/>
    <cellStyle name="Calculation 15 2 17 2" xfId="1757" xr:uid="{00000000-0005-0000-0000-0000C2060000}"/>
    <cellStyle name="Calculation 15 2 17 2 2" xfId="1758" xr:uid="{00000000-0005-0000-0000-0000C3060000}"/>
    <cellStyle name="Calculation 15 2 17 3" xfId="1759" xr:uid="{00000000-0005-0000-0000-0000C4060000}"/>
    <cellStyle name="Calculation 15 2 18" xfId="1760" xr:uid="{00000000-0005-0000-0000-0000C5060000}"/>
    <cellStyle name="Calculation 15 2 18 2" xfId="1761" xr:uid="{00000000-0005-0000-0000-0000C6060000}"/>
    <cellStyle name="Calculation 15 2 19" xfId="1762" xr:uid="{00000000-0005-0000-0000-0000C7060000}"/>
    <cellStyle name="Calculation 15 2 2" xfId="1763" xr:uid="{00000000-0005-0000-0000-0000C8060000}"/>
    <cellStyle name="Calculation 15 2 2 2" xfId="1764" xr:uid="{00000000-0005-0000-0000-0000C9060000}"/>
    <cellStyle name="Calculation 15 2 2 2 2" xfId="1765" xr:uid="{00000000-0005-0000-0000-0000CA060000}"/>
    <cellStyle name="Calculation 15 2 2 3" xfId="1766" xr:uid="{00000000-0005-0000-0000-0000CB060000}"/>
    <cellStyle name="Calculation 15 2 3" xfId="1767" xr:uid="{00000000-0005-0000-0000-0000CC060000}"/>
    <cellStyle name="Calculation 15 2 3 2" xfId="1768" xr:uid="{00000000-0005-0000-0000-0000CD060000}"/>
    <cellStyle name="Calculation 15 2 3 2 2" xfId="1769" xr:uid="{00000000-0005-0000-0000-0000CE060000}"/>
    <cellStyle name="Calculation 15 2 3 3" xfId="1770" xr:uid="{00000000-0005-0000-0000-0000CF060000}"/>
    <cellStyle name="Calculation 15 2 4" xfId="1771" xr:uid="{00000000-0005-0000-0000-0000D0060000}"/>
    <cellStyle name="Calculation 15 2 4 2" xfId="1772" xr:uid="{00000000-0005-0000-0000-0000D1060000}"/>
    <cellStyle name="Calculation 15 2 4 2 2" xfId="1773" xr:uid="{00000000-0005-0000-0000-0000D2060000}"/>
    <cellStyle name="Calculation 15 2 4 3" xfId="1774" xr:uid="{00000000-0005-0000-0000-0000D3060000}"/>
    <cellStyle name="Calculation 15 2 5" xfId="1775" xr:uid="{00000000-0005-0000-0000-0000D4060000}"/>
    <cellStyle name="Calculation 15 2 5 2" xfId="1776" xr:uid="{00000000-0005-0000-0000-0000D5060000}"/>
    <cellStyle name="Calculation 15 2 5 2 2" xfId="1777" xr:uid="{00000000-0005-0000-0000-0000D6060000}"/>
    <cellStyle name="Calculation 15 2 5 3" xfId="1778" xr:uid="{00000000-0005-0000-0000-0000D7060000}"/>
    <cellStyle name="Calculation 15 2 6" xfId="1779" xr:uid="{00000000-0005-0000-0000-0000D8060000}"/>
    <cellStyle name="Calculation 15 2 6 2" xfId="1780" xr:uid="{00000000-0005-0000-0000-0000D9060000}"/>
    <cellStyle name="Calculation 15 2 6 2 2" xfId="1781" xr:uid="{00000000-0005-0000-0000-0000DA060000}"/>
    <cellStyle name="Calculation 15 2 6 3" xfId="1782" xr:uid="{00000000-0005-0000-0000-0000DB060000}"/>
    <cellStyle name="Calculation 15 2 7" xfId="1783" xr:uid="{00000000-0005-0000-0000-0000DC060000}"/>
    <cellStyle name="Calculation 15 2 7 2" xfId="1784" xr:uid="{00000000-0005-0000-0000-0000DD060000}"/>
    <cellStyle name="Calculation 15 2 7 2 2" xfId="1785" xr:uid="{00000000-0005-0000-0000-0000DE060000}"/>
    <cellStyle name="Calculation 15 2 7 3" xfId="1786" xr:uid="{00000000-0005-0000-0000-0000DF060000}"/>
    <cellStyle name="Calculation 15 2 8" xfId="1787" xr:uid="{00000000-0005-0000-0000-0000E0060000}"/>
    <cellStyle name="Calculation 15 2 8 2" xfId="1788" xr:uid="{00000000-0005-0000-0000-0000E1060000}"/>
    <cellStyle name="Calculation 15 2 8 2 2" xfId="1789" xr:uid="{00000000-0005-0000-0000-0000E2060000}"/>
    <cellStyle name="Calculation 15 2 8 3" xfId="1790" xr:uid="{00000000-0005-0000-0000-0000E3060000}"/>
    <cellStyle name="Calculation 15 2 9" xfId="1791" xr:uid="{00000000-0005-0000-0000-0000E4060000}"/>
    <cellStyle name="Calculation 15 2 9 2" xfId="1792" xr:uid="{00000000-0005-0000-0000-0000E5060000}"/>
    <cellStyle name="Calculation 15 2 9 2 2" xfId="1793" xr:uid="{00000000-0005-0000-0000-0000E6060000}"/>
    <cellStyle name="Calculation 15 2 9 3" xfId="1794" xr:uid="{00000000-0005-0000-0000-0000E7060000}"/>
    <cellStyle name="Calculation 15 3" xfId="1795" xr:uid="{00000000-0005-0000-0000-0000E8060000}"/>
    <cellStyle name="Calculation 15 3 2" xfId="1796" xr:uid="{00000000-0005-0000-0000-0000E9060000}"/>
    <cellStyle name="Calculation 15 3 2 2" xfId="1797" xr:uid="{00000000-0005-0000-0000-0000EA060000}"/>
    <cellStyle name="Calculation 15 3 3" xfId="1798" xr:uid="{00000000-0005-0000-0000-0000EB060000}"/>
    <cellStyle name="Calculation 16" xfId="1799" xr:uid="{00000000-0005-0000-0000-0000EC060000}"/>
    <cellStyle name="Calculation 16 2" xfId="1800" xr:uid="{00000000-0005-0000-0000-0000ED060000}"/>
    <cellStyle name="Calculation 16 2 10" xfId="1801" xr:uid="{00000000-0005-0000-0000-0000EE060000}"/>
    <cellStyle name="Calculation 16 2 10 2" xfId="1802" xr:uid="{00000000-0005-0000-0000-0000EF060000}"/>
    <cellStyle name="Calculation 16 2 10 2 2" xfId="1803" xr:uid="{00000000-0005-0000-0000-0000F0060000}"/>
    <cellStyle name="Calculation 16 2 10 3" xfId="1804" xr:uid="{00000000-0005-0000-0000-0000F1060000}"/>
    <cellStyle name="Calculation 16 2 11" xfId="1805" xr:uid="{00000000-0005-0000-0000-0000F2060000}"/>
    <cellStyle name="Calculation 16 2 11 2" xfId="1806" xr:uid="{00000000-0005-0000-0000-0000F3060000}"/>
    <cellStyle name="Calculation 16 2 11 2 2" xfId="1807" xr:uid="{00000000-0005-0000-0000-0000F4060000}"/>
    <cellStyle name="Calculation 16 2 11 3" xfId="1808" xr:uid="{00000000-0005-0000-0000-0000F5060000}"/>
    <cellStyle name="Calculation 16 2 12" xfId="1809" xr:uid="{00000000-0005-0000-0000-0000F6060000}"/>
    <cellStyle name="Calculation 16 2 12 2" xfId="1810" xr:uid="{00000000-0005-0000-0000-0000F7060000}"/>
    <cellStyle name="Calculation 16 2 12 2 2" xfId="1811" xr:uid="{00000000-0005-0000-0000-0000F8060000}"/>
    <cellStyle name="Calculation 16 2 12 3" xfId="1812" xr:uid="{00000000-0005-0000-0000-0000F9060000}"/>
    <cellStyle name="Calculation 16 2 13" xfId="1813" xr:uid="{00000000-0005-0000-0000-0000FA060000}"/>
    <cellStyle name="Calculation 16 2 13 2" xfId="1814" xr:uid="{00000000-0005-0000-0000-0000FB060000}"/>
    <cellStyle name="Calculation 16 2 13 2 2" xfId="1815" xr:uid="{00000000-0005-0000-0000-0000FC060000}"/>
    <cellStyle name="Calculation 16 2 13 3" xfId="1816" xr:uid="{00000000-0005-0000-0000-0000FD060000}"/>
    <cellStyle name="Calculation 16 2 14" xfId="1817" xr:uid="{00000000-0005-0000-0000-0000FE060000}"/>
    <cellStyle name="Calculation 16 2 14 2" xfId="1818" xr:uid="{00000000-0005-0000-0000-0000FF060000}"/>
    <cellStyle name="Calculation 16 2 14 2 2" xfId="1819" xr:uid="{00000000-0005-0000-0000-000000070000}"/>
    <cellStyle name="Calculation 16 2 14 3" xfId="1820" xr:uid="{00000000-0005-0000-0000-000001070000}"/>
    <cellStyle name="Calculation 16 2 15" xfId="1821" xr:uid="{00000000-0005-0000-0000-000002070000}"/>
    <cellStyle name="Calculation 16 2 15 2" xfId="1822" xr:uid="{00000000-0005-0000-0000-000003070000}"/>
    <cellStyle name="Calculation 16 2 15 2 2" xfId="1823" xr:uid="{00000000-0005-0000-0000-000004070000}"/>
    <cellStyle name="Calculation 16 2 15 3" xfId="1824" xr:uid="{00000000-0005-0000-0000-000005070000}"/>
    <cellStyle name="Calculation 16 2 16" xfId="1825" xr:uid="{00000000-0005-0000-0000-000006070000}"/>
    <cellStyle name="Calculation 16 2 16 2" xfId="1826" xr:uid="{00000000-0005-0000-0000-000007070000}"/>
    <cellStyle name="Calculation 16 2 16 2 2" xfId="1827" xr:uid="{00000000-0005-0000-0000-000008070000}"/>
    <cellStyle name="Calculation 16 2 16 3" xfId="1828" xr:uid="{00000000-0005-0000-0000-000009070000}"/>
    <cellStyle name="Calculation 16 2 17" xfId="1829" xr:uid="{00000000-0005-0000-0000-00000A070000}"/>
    <cellStyle name="Calculation 16 2 17 2" xfId="1830" xr:uid="{00000000-0005-0000-0000-00000B070000}"/>
    <cellStyle name="Calculation 16 2 17 2 2" xfId="1831" xr:uid="{00000000-0005-0000-0000-00000C070000}"/>
    <cellStyle name="Calculation 16 2 17 3" xfId="1832" xr:uid="{00000000-0005-0000-0000-00000D070000}"/>
    <cellStyle name="Calculation 16 2 18" xfId="1833" xr:uid="{00000000-0005-0000-0000-00000E070000}"/>
    <cellStyle name="Calculation 16 2 18 2" xfId="1834" xr:uid="{00000000-0005-0000-0000-00000F070000}"/>
    <cellStyle name="Calculation 16 2 19" xfId="1835" xr:uid="{00000000-0005-0000-0000-000010070000}"/>
    <cellStyle name="Calculation 16 2 2" xfId="1836" xr:uid="{00000000-0005-0000-0000-000011070000}"/>
    <cellStyle name="Calculation 16 2 2 2" xfId="1837" xr:uid="{00000000-0005-0000-0000-000012070000}"/>
    <cellStyle name="Calculation 16 2 2 2 2" xfId="1838" xr:uid="{00000000-0005-0000-0000-000013070000}"/>
    <cellStyle name="Calculation 16 2 2 3" xfId="1839" xr:uid="{00000000-0005-0000-0000-000014070000}"/>
    <cellStyle name="Calculation 16 2 3" xfId="1840" xr:uid="{00000000-0005-0000-0000-000015070000}"/>
    <cellStyle name="Calculation 16 2 3 2" xfId="1841" xr:uid="{00000000-0005-0000-0000-000016070000}"/>
    <cellStyle name="Calculation 16 2 3 2 2" xfId="1842" xr:uid="{00000000-0005-0000-0000-000017070000}"/>
    <cellStyle name="Calculation 16 2 3 3" xfId="1843" xr:uid="{00000000-0005-0000-0000-000018070000}"/>
    <cellStyle name="Calculation 16 2 4" xfId="1844" xr:uid="{00000000-0005-0000-0000-000019070000}"/>
    <cellStyle name="Calculation 16 2 4 2" xfId="1845" xr:uid="{00000000-0005-0000-0000-00001A070000}"/>
    <cellStyle name="Calculation 16 2 4 2 2" xfId="1846" xr:uid="{00000000-0005-0000-0000-00001B070000}"/>
    <cellStyle name="Calculation 16 2 4 3" xfId="1847" xr:uid="{00000000-0005-0000-0000-00001C070000}"/>
    <cellStyle name="Calculation 16 2 5" xfId="1848" xr:uid="{00000000-0005-0000-0000-00001D070000}"/>
    <cellStyle name="Calculation 16 2 5 2" xfId="1849" xr:uid="{00000000-0005-0000-0000-00001E070000}"/>
    <cellStyle name="Calculation 16 2 5 2 2" xfId="1850" xr:uid="{00000000-0005-0000-0000-00001F070000}"/>
    <cellStyle name="Calculation 16 2 5 3" xfId="1851" xr:uid="{00000000-0005-0000-0000-000020070000}"/>
    <cellStyle name="Calculation 16 2 6" xfId="1852" xr:uid="{00000000-0005-0000-0000-000021070000}"/>
    <cellStyle name="Calculation 16 2 6 2" xfId="1853" xr:uid="{00000000-0005-0000-0000-000022070000}"/>
    <cellStyle name="Calculation 16 2 6 2 2" xfId="1854" xr:uid="{00000000-0005-0000-0000-000023070000}"/>
    <cellStyle name="Calculation 16 2 6 3" xfId="1855" xr:uid="{00000000-0005-0000-0000-000024070000}"/>
    <cellStyle name="Calculation 16 2 7" xfId="1856" xr:uid="{00000000-0005-0000-0000-000025070000}"/>
    <cellStyle name="Calculation 16 2 7 2" xfId="1857" xr:uid="{00000000-0005-0000-0000-000026070000}"/>
    <cellStyle name="Calculation 16 2 7 2 2" xfId="1858" xr:uid="{00000000-0005-0000-0000-000027070000}"/>
    <cellStyle name="Calculation 16 2 7 3" xfId="1859" xr:uid="{00000000-0005-0000-0000-000028070000}"/>
    <cellStyle name="Calculation 16 2 8" xfId="1860" xr:uid="{00000000-0005-0000-0000-000029070000}"/>
    <cellStyle name="Calculation 16 2 8 2" xfId="1861" xr:uid="{00000000-0005-0000-0000-00002A070000}"/>
    <cellStyle name="Calculation 16 2 8 2 2" xfId="1862" xr:uid="{00000000-0005-0000-0000-00002B070000}"/>
    <cellStyle name="Calculation 16 2 8 3" xfId="1863" xr:uid="{00000000-0005-0000-0000-00002C070000}"/>
    <cellStyle name="Calculation 16 2 9" xfId="1864" xr:uid="{00000000-0005-0000-0000-00002D070000}"/>
    <cellStyle name="Calculation 16 2 9 2" xfId="1865" xr:uid="{00000000-0005-0000-0000-00002E070000}"/>
    <cellStyle name="Calculation 16 2 9 2 2" xfId="1866" xr:uid="{00000000-0005-0000-0000-00002F070000}"/>
    <cellStyle name="Calculation 16 2 9 3" xfId="1867" xr:uid="{00000000-0005-0000-0000-000030070000}"/>
    <cellStyle name="Calculation 16 3" xfId="1868" xr:uid="{00000000-0005-0000-0000-000031070000}"/>
    <cellStyle name="Calculation 16 3 2" xfId="1869" xr:uid="{00000000-0005-0000-0000-000032070000}"/>
    <cellStyle name="Calculation 16 3 2 2" xfId="1870" xr:uid="{00000000-0005-0000-0000-000033070000}"/>
    <cellStyle name="Calculation 16 3 3" xfId="1871" xr:uid="{00000000-0005-0000-0000-000034070000}"/>
    <cellStyle name="Calculation 17" xfId="1872" xr:uid="{00000000-0005-0000-0000-000035070000}"/>
    <cellStyle name="Calculation 17 2" xfId="1873" xr:uid="{00000000-0005-0000-0000-000036070000}"/>
    <cellStyle name="Calculation 17 2 10" xfId="1874" xr:uid="{00000000-0005-0000-0000-000037070000}"/>
    <cellStyle name="Calculation 17 2 10 2" xfId="1875" xr:uid="{00000000-0005-0000-0000-000038070000}"/>
    <cellStyle name="Calculation 17 2 10 2 2" xfId="1876" xr:uid="{00000000-0005-0000-0000-000039070000}"/>
    <cellStyle name="Calculation 17 2 10 3" xfId="1877" xr:uid="{00000000-0005-0000-0000-00003A070000}"/>
    <cellStyle name="Calculation 17 2 11" xfId="1878" xr:uid="{00000000-0005-0000-0000-00003B070000}"/>
    <cellStyle name="Calculation 17 2 11 2" xfId="1879" xr:uid="{00000000-0005-0000-0000-00003C070000}"/>
    <cellStyle name="Calculation 17 2 11 2 2" xfId="1880" xr:uid="{00000000-0005-0000-0000-00003D070000}"/>
    <cellStyle name="Calculation 17 2 11 3" xfId="1881" xr:uid="{00000000-0005-0000-0000-00003E070000}"/>
    <cellStyle name="Calculation 17 2 12" xfId="1882" xr:uid="{00000000-0005-0000-0000-00003F070000}"/>
    <cellStyle name="Calculation 17 2 12 2" xfId="1883" xr:uid="{00000000-0005-0000-0000-000040070000}"/>
    <cellStyle name="Calculation 17 2 12 2 2" xfId="1884" xr:uid="{00000000-0005-0000-0000-000041070000}"/>
    <cellStyle name="Calculation 17 2 12 3" xfId="1885" xr:uid="{00000000-0005-0000-0000-000042070000}"/>
    <cellStyle name="Calculation 17 2 13" xfId="1886" xr:uid="{00000000-0005-0000-0000-000043070000}"/>
    <cellStyle name="Calculation 17 2 13 2" xfId="1887" xr:uid="{00000000-0005-0000-0000-000044070000}"/>
    <cellStyle name="Calculation 17 2 13 2 2" xfId="1888" xr:uid="{00000000-0005-0000-0000-000045070000}"/>
    <cellStyle name="Calculation 17 2 13 3" xfId="1889" xr:uid="{00000000-0005-0000-0000-000046070000}"/>
    <cellStyle name="Calculation 17 2 14" xfId="1890" xr:uid="{00000000-0005-0000-0000-000047070000}"/>
    <cellStyle name="Calculation 17 2 14 2" xfId="1891" xr:uid="{00000000-0005-0000-0000-000048070000}"/>
    <cellStyle name="Calculation 17 2 14 2 2" xfId="1892" xr:uid="{00000000-0005-0000-0000-000049070000}"/>
    <cellStyle name="Calculation 17 2 14 3" xfId="1893" xr:uid="{00000000-0005-0000-0000-00004A070000}"/>
    <cellStyle name="Calculation 17 2 15" xfId="1894" xr:uid="{00000000-0005-0000-0000-00004B070000}"/>
    <cellStyle name="Calculation 17 2 15 2" xfId="1895" xr:uid="{00000000-0005-0000-0000-00004C070000}"/>
    <cellStyle name="Calculation 17 2 15 2 2" xfId="1896" xr:uid="{00000000-0005-0000-0000-00004D070000}"/>
    <cellStyle name="Calculation 17 2 15 3" xfId="1897" xr:uid="{00000000-0005-0000-0000-00004E070000}"/>
    <cellStyle name="Calculation 17 2 16" xfId="1898" xr:uid="{00000000-0005-0000-0000-00004F070000}"/>
    <cellStyle name="Calculation 17 2 16 2" xfId="1899" xr:uid="{00000000-0005-0000-0000-000050070000}"/>
    <cellStyle name="Calculation 17 2 16 2 2" xfId="1900" xr:uid="{00000000-0005-0000-0000-000051070000}"/>
    <cellStyle name="Calculation 17 2 16 3" xfId="1901" xr:uid="{00000000-0005-0000-0000-000052070000}"/>
    <cellStyle name="Calculation 17 2 17" xfId="1902" xr:uid="{00000000-0005-0000-0000-000053070000}"/>
    <cellStyle name="Calculation 17 2 17 2" xfId="1903" xr:uid="{00000000-0005-0000-0000-000054070000}"/>
    <cellStyle name="Calculation 17 2 17 2 2" xfId="1904" xr:uid="{00000000-0005-0000-0000-000055070000}"/>
    <cellStyle name="Calculation 17 2 17 3" xfId="1905" xr:uid="{00000000-0005-0000-0000-000056070000}"/>
    <cellStyle name="Calculation 17 2 18" xfId="1906" xr:uid="{00000000-0005-0000-0000-000057070000}"/>
    <cellStyle name="Calculation 17 2 18 2" xfId="1907" xr:uid="{00000000-0005-0000-0000-000058070000}"/>
    <cellStyle name="Calculation 17 2 19" xfId="1908" xr:uid="{00000000-0005-0000-0000-000059070000}"/>
    <cellStyle name="Calculation 17 2 2" xfId="1909" xr:uid="{00000000-0005-0000-0000-00005A070000}"/>
    <cellStyle name="Calculation 17 2 2 2" xfId="1910" xr:uid="{00000000-0005-0000-0000-00005B070000}"/>
    <cellStyle name="Calculation 17 2 2 2 2" xfId="1911" xr:uid="{00000000-0005-0000-0000-00005C070000}"/>
    <cellStyle name="Calculation 17 2 2 3" xfId="1912" xr:uid="{00000000-0005-0000-0000-00005D070000}"/>
    <cellStyle name="Calculation 17 2 3" xfId="1913" xr:uid="{00000000-0005-0000-0000-00005E070000}"/>
    <cellStyle name="Calculation 17 2 3 2" xfId="1914" xr:uid="{00000000-0005-0000-0000-00005F070000}"/>
    <cellStyle name="Calculation 17 2 3 2 2" xfId="1915" xr:uid="{00000000-0005-0000-0000-000060070000}"/>
    <cellStyle name="Calculation 17 2 3 3" xfId="1916" xr:uid="{00000000-0005-0000-0000-000061070000}"/>
    <cellStyle name="Calculation 17 2 4" xfId="1917" xr:uid="{00000000-0005-0000-0000-000062070000}"/>
    <cellStyle name="Calculation 17 2 4 2" xfId="1918" xr:uid="{00000000-0005-0000-0000-000063070000}"/>
    <cellStyle name="Calculation 17 2 4 2 2" xfId="1919" xr:uid="{00000000-0005-0000-0000-000064070000}"/>
    <cellStyle name="Calculation 17 2 4 3" xfId="1920" xr:uid="{00000000-0005-0000-0000-000065070000}"/>
    <cellStyle name="Calculation 17 2 5" xfId="1921" xr:uid="{00000000-0005-0000-0000-000066070000}"/>
    <cellStyle name="Calculation 17 2 5 2" xfId="1922" xr:uid="{00000000-0005-0000-0000-000067070000}"/>
    <cellStyle name="Calculation 17 2 5 2 2" xfId="1923" xr:uid="{00000000-0005-0000-0000-000068070000}"/>
    <cellStyle name="Calculation 17 2 5 3" xfId="1924" xr:uid="{00000000-0005-0000-0000-000069070000}"/>
    <cellStyle name="Calculation 17 2 6" xfId="1925" xr:uid="{00000000-0005-0000-0000-00006A070000}"/>
    <cellStyle name="Calculation 17 2 6 2" xfId="1926" xr:uid="{00000000-0005-0000-0000-00006B070000}"/>
    <cellStyle name="Calculation 17 2 6 2 2" xfId="1927" xr:uid="{00000000-0005-0000-0000-00006C070000}"/>
    <cellStyle name="Calculation 17 2 6 3" xfId="1928" xr:uid="{00000000-0005-0000-0000-00006D070000}"/>
    <cellStyle name="Calculation 17 2 7" xfId="1929" xr:uid="{00000000-0005-0000-0000-00006E070000}"/>
    <cellStyle name="Calculation 17 2 7 2" xfId="1930" xr:uid="{00000000-0005-0000-0000-00006F070000}"/>
    <cellStyle name="Calculation 17 2 7 2 2" xfId="1931" xr:uid="{00000000-0005-0000-0000-000070070000}"/>
    <cellStyle name="Calculation 17 2 7 3" xfId="1932" xr:uid="{00000000-0005-0000-0000-000071070000}"/>
    <cellStyle name="Calculation 17 2 8" xfId="1933" xr:uid="{00000000-0005-0000-0000-000072070000}"/>
    <cellStyle name="Calculation 17 2 8 2" xfId="1934" xr:uid="{00000000-0005-0000-0000-000073070000}"/>
    <cellStyle name="Calculation 17 2 8 2 2" xfId="1935" xr:uid="{00000000-0005-0000-0000-000074070000}"/>
    <cellStyle name="Calculation 17 2 8 3" xfId="1936" xr:uid="{00000000-0005-0000-0000-000075070000}"/>
    <cellStyle name="Calculation 17 2 9" xfId="1937" xr:uid="{00000000-0005-0000-0000-000076070000}"/>
    <cellStyle name="Calculation 17 2 9 2" xfId="1938" xr:uid="{00000000-0005-0000-0000-000077070000}"/>
    <cellStyle name="Calculation 17 2 9 2 2" xfId="1939" xr:uid="{00000000-0005-0000-0000-000078070000}"/>
    <cellStyle name="Calculation 17 2 9 3" xfId="1940" xr:uid="{00000000-0005-0000-0000-000079070000}"/>
    <cellStyle name="Calculation 17 3" xfId="1941" xr:uid="{00000000-0005-0000-0000-00007A070000}"/>
    <cellStyle name="Calculation 17 3 2" xfId="1942" xr:uid="{00000000-0005-0000-0000-00007B070000}"/>
    <cellStyle name="Calculation 17 3 2 2" xfId="1943" xr:uid="{00000000-0005-0000-0000-00007C070000}"/>
    <cellStyle name="Calculation 17 3 3" xfId="1944" xr:uid="{00000000-0005-0000-0000-00007D070000}"/>
    <cellStyle name="Calculation 18" xfId="1945" xr:uid="{00000000-0005-0000-0000-00007E070000}"/>
    <cellStyle name="Calculation 18 2" xfId="1946" xr:uid="{00000000-0005-0000-0000-00007F070000}"/>
    <cellStyle name="Calculation 18 2 10" xfId="1947" xr:uid="{00000000-0005-0000-0000-000080070000}"/>
    <cellStyle name="Calculation 18 2 10 2" xfId="1948" xr:uid="{00000000-0005-0000-0000-000081070000}"/>
    <cellStyle name="Calculation 18 2 10 2 2" xfId="1949" xr:uid="{00000000-0005-0000-0000-000082070000}"/>
    <cellStyle name="Calculation 18 2 10 3" xfId="1950" xr:uid="{00000000-0005-0000-0000-000083070000}"/>
    <cellStyle name="Calculation 18 2 11" xfId="1951" xr:uid="{00000000-0005-0000-0000-000084070000}"/>
    <cellStyle name="Calculation 18 2 11 2" xfId="1952" xr:uid="{00000000-0005-0000-0000-000085070000}"/>
    <cellStyle name="Calculation 18 2 11 2 2" xfId="1953" xr:uid="{00000000-0005-0000-0000-000086070000}"/>
    <cellStyle name="Calculation 18 2 11 3" xfId="1954" xr:uid="{00000000-0005-0000-0000-000087070000}"/>
    <cellStyle name="Calculation 18 2 12" xfId="1955" xr:uid="{00000000-0005-0000-0000-000088070000}"/>
    <cellStyle name="Calculation 18 2 12 2" xfId="1956" xr:uid="{00000000-0005-0000-0000-000089070000}"/>
    <cellStyle name="Calculation 18 2 12 2 2" xfId="1957" xr:uid="{00000000-0005-0000-0000-00008A070000}"/>
    <cellStyle name="Calculation 18 2 12 3" xfId="1958" xr:uid="{00000000-0005-0000-0000-00008B070000}"/>
    <cellStyle name="Calculation 18 2 13" xfId="1959" xr:uid="{00000000-0005-0000-0000-00008C070000}"/>
    <cellStyle name="Calculation 18 2 13 2" xfId="1960" xr:uid="{00000000-0005-0000-0000-00008D070000}"/>
    <cellStyle name="Calculation 18 2 13 2 2" xfId="1961" xr:uid="{00000000-0005-0000-0000-00008E070000}"/>
    <cellStyle name="Calculation 18 2 13 3" xfId="1962" xr:uid="{00000000-0005-0000-0000-00008F070000}"/>
    <cellStyle name="Calculation 18 2 14" xfId="1963" xr:uid="{00000000-0005-0000-0000-000090070000}"/>
    <cellStyle name="Calculation 18 2 14 2" xfId="1964" xr:uid="{00000000-0005-0000-0000-000091070000}"/>
    <cellStyle name="Calculation 18 2 14 2 2" xfId="1965" xr:uid="{00000000-0005-0000-0000-000092070000}"/>
    <cellStyle name="Calculation 18 2 14 3" xfId="1966" xr:uid="{00000000-0005-0000-0000-000093070000}"/>
    <cellStyle name="Calculation 18 2 15" xfId="1967" xr:uid="{00000000-0005-0000-0000-000094070000}"/>
    <cellStyle name="Calculation 18 2 15 2" xfId="1968" xr:uid="{00000000-0005-0000-0000-000095070000}"/>
    <cellStyle name="Calculation 18 2 15 2 2" xfId="1969" xr:uid="{00000000-0005-0000-0000-000096070000}"/>
    <cellStyle name="Calculation 18 2 15 3" xfId="1970" xr:uid="{00000000-0005-0000-0000-000097070000}"/>
    <cellStyle name="Calculation 18 2 16" xfId="1971" xr:uid="{00000000-0005-0000-0000-000098070000}"/>
    <cellStyle name="Calculation 18 2 16 2" xfId="1972" xr:uid="{00000000-0005-0000-0000-000099070000}"/>
    <cellStyle name="Calculation 18 2 16 2 2" xfId="1973" xr:uid="{00000000-0005-0000-0000-00009A070000}"/>
    <cellStyle name="Calculation 18 2 16 3" xfId="1974" xr:uid="{00000000-0005-0000-0000-00009B070000}"/>
    <cellStyle name="Calculation 18 2 17" xfId="1975" xr:uid="{00000000-0005-0000-0000-00009C070000}"/>
    <cellStyle name="Calculation 18 2 17 2" xfId="1976" xr:uid="{00000000-0005-0000-0000-00009D070000}"/>
    <cellStyle name="Calculation 18 2 17 2 2" xfId="1977" xr:uid="{00000000-0005-0000-0000-00009E070000}"/>
    <cellStyle name="Calculation 18 2 17 3" xfId="1978" xr:uid="{00000000-0005-0000-0000-00009F070000}"/>
    <cellStyle name="Calculation 18 2 18" xfId="1979" xr:uid="{00000000-0005-0000-0000-0000A0070000}"/>
    <cellStyle name="Calculation 18 2 18 2" xfId="1980" xr:uid="{00000000-0005-0000-0000-0000A1070000}"/>
    <cellStyle name="Calculation 18 2 19" xfId="1981" xr:uid="{00000000-0005-0000-0000-0000A2070000}"/>
    <cellStyle name="Calculation 18 2 2" xfId="1982" xr:uid="{00000000-0005-0000-0000-0000A3070000}"/>
    <cellStyle name="Calculation 18 2 2 2" xfId="1983" xr:uid="{00000000-0005-0000-0000-0000A4070000}"/>
    <cellStyle name="Calculation 18 2 2 2 2" xfId="1984" xr:uid="{00000000-0005-0000-0000-0000A5070000}"/>
    <cellStyle name="Calculation 18 2 2 3" xfId="1985" xr:uid="{00000000-0005-0000-0000-0000A6070000}"/>
    <cellStyle name="Calculation 18 2 3" xfId="1986" xr:uid="{00000000-0005-0000-0000-0000A7070000}"/>
    <cellStyle name="Calculation 18 2 3 2" xfId="1987" xr:uid="{00000000-0005-0000-0000-0000A8070000}"/>
    <cellStyle name="Calculation 18 2 3 2 2" xfId="1988" xr:uid="{00000000-0005-0000-0000-0000A9070000}"/>
    <cellStyle name="Calculation 18 2 3 3" xfId="1989" xr:uid="{00000000-0005-0000-0000-0000AA070000}"/>
    <cellStyle name="Calculation 18 2 4" xfId="1990" xr:uid="{00000000-0005-0000-0000-0000AB070000}"/>
    <cellStyle name="Calculation 18 2 4 2" xfId="1991" xr:uid="{00000000-0005-0000-0000-0000AC070000}"/>
    <cellStyle name="Calculation 18 2 4 2 2" xfId="1992" xr:uid="{00000000-0005-0000-0000-0000AD070000}"/>
    <cellStyle name="Calculation 18 2 4 3" xfId="1993" xr:uid="{00000000-0005-0000-0000-0000AE070000}"/>
    <cellStyle name="Calculation 18 2 5" xfId="1994" xr:uid="{00000000-0005-0000-0000-0000AF070000}"/>
    <cellStyle name="Calculation 18 2 5 2" xfId="1995" xr:uid="{00000000-0005-0000-0000-0000B0070000}"/>
    <cellStyle name="Calculation 18 2 5 2 2" xfId="1996" xr:uid="{00000000-0005-0000-0000-0000B1070000}"/>
    <cellStyle name="Calculation 18 2 5 3" xfId="1997" xr:uid="{00000000-0005-0000-0000-0000B2070000}"/>
    <cellStyle name="Calculation 18 2 6" xfId="1998" xr:uid="{00000000-0005-0000-0000-0000B3070000}"/>
    <cellStyle name="Calculation 18 2 6 2" xfId="1999" xr:uid="{00000000-0005-0000-0000-0000B4070000}"/>
    <cellStyle name="Calculation 18 2 6 2 2" xfId="2000" xr:uid="{00000000-0005-0000-0000-0000B5070000}"/>
    <cellStyle name="Calculation 18 2 6 3" xfId="2001" xr:uid="{00000000-0005-0000-0000-0000B6070000}"/>
    <cellStyle name="Calculation 18 2 7" xfId="2002" xr:uid="{00000000-0005-0000-0000-0000B7070000}"/>
    <cellStyle name="Calculation 18 2 7 2" xfId="2003" xr:uid="{00000000-0005-0000-0000-0000B8070000}"/>
    <cellStyle name="Calculation 18 2 7 2 2" xfId="2004" xr:uid="{00000000-0005-0000-0000-0000B9070000}"/>
    <cellStyle name="Calculation 18 2 7 3" xfId="2005" xr:uid="{00000000-0005-0000-0000-0000BA070000}"/>
    <cellStyle name="Calculation 18 2 8" xfId="2006" xr:uid="{00000000-0005-0000-0000-0000BB070000}"/>
    <cellStyle name="Calculation 18 2 8 2" xfId="2007" xr:uid="{00000000-0005-0000-0000-0000BC070000}"/>
    <cellStyle name="Calculation 18 2 8 2 2" xfId="2008" xr:uid="{00000000-0005-0000-0000-0000BD070000}"/>
    <cellStyle name="Calculation 18 2 8 3" xfId="2009" xr:uid="{00000000-0005-0000-0000-0000BE070000}"/>
    <cellStyle name="Calculation 18 2 9" xfId="2010" xr:uid="{00000000-0005-0000-0000-0000BF070000}"/>
    <cellStyle name="Calculation 18 2 9 2" xfId="2011" xr:uid="{00000000-0005-0000-0000-0000C0070000}"/>
    <cellStyle name="Calculation 18 2 9 2 2" xfId="2012" xr:uid="{00000000-0005-0000-0000-0000C1070000}"/>
    <cellStyle name="Calculation 18 2 9 3" xfId="2013" xr:uid="{00000000-0005-0000-0000-0000C2070000}"/>
    <cellStyle name="Calculation 18 3" xfId="2014" xr:uid="{00000000-0005-0000-0000-0000C3070000}"/>
    <cellStyle name="Calculation 18 3 2" xfId="2015" xr:uid="{00000000-0005-0000-0000-0000C4070000}"/>
    <cellStyle name="Calculation 18 3 2 2" xfId="2016" xr:uid="{00000000-0005-0000-0000-0000C5070000}"/>
    <cellStyle name="Calculation 18 3 3" xfId="2017" xr:uid="{00000000-0005-0000-0000-0000C6070000}"/>
    <cellStyle name="Calculation 19" xfId="2018" xr:uid="{00000000-0005-0000-0000-0000C7070000}"/>
    <cellStyle name="Calculation 19 2" xfId="2019" xr:uid="{00000000-0005-0000-0000-0000C8070000}"/>
    <cellStyle name="Calculation 19 2 10" xfId="2020" xr:uid="{00000000-0005-0000-0000-0000C9070000}"/>
    <cellStyle name="Calculation 19 2 10 2" xfId="2021" xr:uid="{00000000-0005-0000-0000-0000CA070000}"/>
    <cellStyle name="Calculation 19 2 10 2 2" xfId="2022" xr:uid="{00000000-0005-0000-0000-0000CB070000}"/>
    <cellStyle name="Calculation 19 2 10 3" xfId="2023" xr:uid="{00000000-0005-0000-0000-0000CC070000}"/>
    <cellStyle name="Calculation 19 2 11" xfId="2024" xr:uid="{00000000-0005-0000-0000-0000CD070000}"/>
    <cellStyle name="Calculation 19 2 11 2" xfId="2025" xr:uid="{00000000-0005-0000-0000-0000CE070000}"/>
    <cellStyle name="Calculation 19 2 11 2 2" xfId="2026" xr:uid="{00000000-0005-0000-0000-0000CF070000}"/>
    <cellStyle name="Calculation 19 2 11 3" xfId="2027" xr:uid="{00000000-0005-0000-0000-0000D0070000}"/>
    <cellStyle name="Calculation 19 2 12" xfId="2028" xr:uid="{00000000-0005-0000-0000-0000D1070000}"/>
    <cellStyle name="Calculation 19 2 12 2" xfId="2029" xr:uid="{00000000-0005-0000-0000-0000D2070000}"/>
    <cellStyle name="Calculation 19 2 12 2 2" xfId="2030" xr:uid="{00000000-0005-0000-0000-0000D3070000}"/>
    <cellStyle name="Calculation 19 2 12 3" xfId="2031" xr:uid="{00000000-0005-0000-0000-0000D4070000}"/>
    <cellStyle name="Calculation 19 2 13" xfId="2032" xr:uid="{00000000-0005-0000-0000-0000D5070000}"/>
    <cellStyle name="Calculation 19 2 13 2" xfId="2033" xr:uid="{00000000-0005-0000-0000-0000D6070000}"/>
    <cellStyle name="Calculation 19 2 13 2 2" xfId="2034" xr:uid="{00000000-0005-0000-0000-0000D7070000}"/>
    <cellStyle name="Calculation 19 2 13 3" xfId="2035" xr:uid="{00000000-0005-0000-0000-0000D8070000}"/>
    <cellStyle name="Calculation 19 2 14" xfId="2036" xr:uid="{00000000-0005-0000-0000-0000D9070000}"/>
    <cellStyle name="Calculation 19 2 14 2" xfId="2037" xr:uid="{00000000-0005-0000-0000-0000DA070000}"/>
    <cellStyle name="Calculation 19 2 14 2 2" xfId="2038" xr:uid="{00000000-0005-0000-0000-0000DB070000}"/>
    <cellStyle name="Calculation 19 2 14 3" xfId="2039" xr:uid="{00000000-0005-0000-0000-0000DC070000}"/>
    <cellStyle name="Calculation 19 2 15" xfId="2040" xr:uid="{00000000-0005-0000-0000-0000DD070000}"/>
    <cellStyle name="Calculation 19 2 15 2" xfId="2041" xr:uid="{00000000-0005-0000-0000-0000DE070000}"/>
    <cellStyle name="Calculation 19 2 15 2 2" xfId="2042" xr:uid="{00000000-0005-0000-0000-0000DF070000}"/>
    <cellStyle name="Calculation 19 2 15 3" xfId="2043" xr:uid="{00000000-0005-0000-0000-0000E0070000}"/>
    <cellStyle name="Calculation 19 2 16" xfId="2044" xr:uid="{00000000-0005-0000-0000-0000E1070000}"/>
    <cellStyle name="Calculation 19 2 16 2" xfId="2045" xr:uid="{00000000-0005-0000-0000-0000E2070000}"/>
    <cellStyle name="Calculation 19 2 16 2 2" xfId="2046" xr:uid="{00000000-0005-0000-0000-0000E3070000}"/>
    <cellStyle name="Calculation 19 2 16 3" xfId="2047" xr:uid="{00000000-0005-0000-0000-0000E4070000}"/>
    <cellStyle name="Calculation 19 2 17" xfId="2048" xr:uid="{00000000-0005-0000-0000-0000E5070000}"/>
    <cellStyle name="Calculation 19 2 17 2" xfId="2049" xr:uid="{00000000-0005-0000-0000-0000E6070000}"/>
    <cellStyle name="Calculation 19 2 17 2 2" xfId="2050" xr:uid="{00000000-0005-0000-0000-0000E7070000}"/>
    <cellStyle name="Calculation 19 2 17 3" xfId="2051" xr:uid="{00000000-0005-0000-0000-0000E8070000}"/>
    <cellStyle name="Calculation 19 2 18" xfId="2052" xr:uid="{00000000-0005-0000-0000-0000E9070000}"/>
    <cellStyle name="Calculation 19 2 18 2" xfId="2053" xr:uid="{00000000-0005-0000-0000-0000EA070000}"/>
    <cellStyle name="Calculation 19 2 19" xfId="2054" xr:uid="{00000000-0005-0000-0000-0000EB070000}"/>
    <cellStyle name="Calculation 19 2 2" xfId="2055" xr:uid="{00000000-0005-0000-0000-0000EC070000}"/>
    <cellStyle name="Calculation 19 2 2 2" xfId="2056" xr:uid="{00000000-0005-0000-0000-0000ED070000}"/>
    <cellStyle name="Calculation 19 2 2 2 2" xfId="2057" xr:uid="{00000000-0005-0000-0000-0000EE070000}"/>
    <cellStyle name="Calculation 19 2 2 3" xfId="2058" xr:uid="{00000000-0005-0000-0000-0000EF070000}"/>
    <cellStyle name="Calculation 19 2 3" xfId="2059" xr:uid="{00000000-0005-0000-0000-0000F0070000}"/>
    <cellStyle name="Calculation 19 2 3 2" xfId="2060" xr:uid="{00000000-0005-0000-0000-0000F1070000}"/>
    <cellStyle name="Calculation 19 2 3 2 2" xfId="2061" xr:uid="{00000000-0005-0000-0000-0000F2070000}"/>
    <cellStyle name="Calculation 19 2 3 3" xfId="2062" xr:uid="{00000000-0005-0000-0000-0000F3070000}"/>
    <cellStyle name="Calculation 19 2 4" xfId="2063" xr:uid="{00000000-0005-0000-0000-0000F4070000}"/>
    <cellStyle name="Calculation 19 2 4 2" xfId="2064" xr:uid="{00000000-0005-0000-0000-0000F5070000}"/>
    <cellStyle name="Calculation 19 2 4 2 2" xfId="2065" xr:uid="{00000000-0005-0000-0000-0000F6070000}"/>
    <cellStyle name="Calculation 19 2 4 3" xfId="2066" xr:uid="{00000000-0005-0000-0000-0000F7070000}"/>
    <cellStyle name="Calculation 19 2 5" xfId="2067" xr:uid="{00000000-0005-0000-0000-0000F8070000}"/>
    <cellStyle name="Calculation 19 2 5 2" xfId="2068" xr:uid="{00000000-0005-0000-0000-0000F9070000}"/>
    <cellStyle name="Calculation 19 2 5 2 2" xfId="2069" xr:uid="{00000000-0005-0000-0000-0000FA070000}"/>
    <cellStyle name="Calculation 19 2 5 3" xfId="2070" xr:uid="{00000000-0005-0000-0000-0000FB070000}"/>
    <cellStyle name="Calculation 19 2 6" xfId="2071" xr:uid="{00000000-0005-0000-0000-0000FC070000}"/>
    <cellStyle name="Calculation 19 2 6 2" xfId="2072" xr:uid="{00000000-0005-0000-0000-0000FD070000}"/>
    <cellStyle name="Calculation 19 2 6 2 2" xfId="2073" xr:uid="{00000000-0005-0000-0000-0000FE070000}"/>
    <cellStyle name="Calculation 19 2 6 3" xfId="2074" xr:uid="{00000000-0005-0000-0000-0000FF070000}"/>
    <cellStyle name="Calculation 19 2 7" xfId="2075" xr:uid="{00000000-0005-0000-0000-000000080000}"/>
    <cellStyle name="Calculation 19 2 7 2" xfId="2076" xr:uid="{00000000-0005-0000-0000-000001080000}"/>
    <cellStyle name="Calculation 19 2 7 2 2" xfId="2077" xr:uid="{00000000-0005-0000-0000-000002080000}"/>
    <cellStyle name="Calculation 19 2 7 3" xfId="2078" xr:uid="{00000000-0005-0000-0000-000003080000}"/>
    <cellStyle name="Calculation 19 2 8" xfId="2079" xr:uid="{00000000-0005-0000-0000-000004080000}"/>
    <cellStyle name="Calculation 19 2 8 2" xfId="2080" xr:uid="{00000000-0005-0000-0000-000005080000}"/>
    <cellStyle name="Calculation 19 2 8 2 2" xfId="2081" xr:uid="{00000000-0005-0000-0000-000006080000}"/>
    <cellStyle name="Calculation 19 2 8 3" xfId="2082" xr:uid="{00000000-0005-0000-0000-000007080000}"/>
    <cellStyle name="Calculation 19 2 9" xfId="2083" xr:uid="{00000000-0005-0000-0000-000008080000}"/>
    <cellStyle name="Calculation 19 2 9 2" xfId="2084" xr:uid="{00000000-0005-0000-0000-000009080000}"/>
    <cellStyle name="Calculation 19 2 9 2 2" xfId="2085" xr:uid="{00000000-0005-0000-0000-00000A080000}"/>
    <cellStyle name="Calculation 19 2 9 3" xfId="2086" xr:uid="{00000000-0005-0000-0000-00000B080000}"/>
    <cellStyle name="Calculation 19 3" xfId="2087" xr:uid="{00000000-0005-0000-0000-00000C080000}"/>
    <cellStyle name="Calculation 19 3 2" xfId="2088" xr:uid="{00000000-0005-0000-0000-00000D080000}"/>
    <cellStyle name="Calculation 19 3 2 2" xfId="2089" xr:uid="{00000000-0005-0000-0000-00000E080000}"/>
    <cellStyle name="Calculation 19 3 3" xfId="2090" xr:uid="{00000000-0005-0000-0000-00000F080000}"/>
    <cellStyle name="Calculation 2" xfId="2091" xr:uid="{00000000-0005-0000-0000-000010080000}"/>
    <cellStyle name="Calculation 2 2" xfId="2092" xr:uid="{00000000-0005-0000-0000-000011080000}"/>
    <cellStyle name="Calculation 2 2 10" xfId="2093" xr:uid="{00000000-0005-0000-0000-000012080000}"/>
    <cellStyle name="Calculation 2 2 10 2" xfId="2094" xr:uid="{00000000-0005-0000-0000-000013080000}"/>
    <cellStyle name="Calculation 2 2 10 2 2" xfId="2095" xr:uid="{00000000-0005-0000-0000-000014080000}"/>
    <cellStyle name="Calculation 2 2 10 3" xfId="2096" xr:uid="{00000000-0005-0000-0000-000015080000}"/>
    <cellStyle name="Calculation 2 2 11" xfId="2097" xr:uid="{00000000-0005-0000-0000-000016080000}"/>
    <cellStyle name="Calculation 2 2 11 2" xfId="2098" xr:uid="{00000000-0005-0000-0000-000017080000}"/>
    <cellStyle name="Calculation 2 2 11 2 2" xfId="2099" xr:uid="{00000000-0005-0000-0000-000018080000}"/>
    <cellStyle name="Calculation 2 2 11 3" xfId="2100" xr:uid="{00000000-0005-0000-0000-000019080000}"/>
    <cellStyle name="Calculation 2 2 12" xfId="2101" xr:uid="{00000000-0005-0000-0000-00001A080000}"/>
    <cellStyle name="Calculation 2 2 12 2" xfId="2102" xr:uid="{00000000-0005-0000-0000-00001B080000}"/>
    <cellStyle name="Calculation 2 2 12 2 2" xfId="2103" xr:uid="{00000000-0005-0000-0000-00001C080000}"/>
    <cellStyle name="Calculation 2 2 12 3" xfId="2104" xr:uid="{00000000-0005-0000-0000-00001D080000}"/>
    <cellStyle name="Calculation 2 2 13" xfId="2105" xr:uid="{00000000-0005-0000-0000-00001E080000}"/>
    <cellStyle name="Calculation 2 2 13 2" xfId="2106" xr:uid="{00000000-0005-0000-0000-00001F080000}"/>
    <cellStyle name="Calculation 2 2 13 2 2" xfId="2107" xr:uid="{00000000-0005-0000-0000-000020080000}"/>
    <cellStyle name="Calculation 2 2 13 3" xfId="2108" xr:uid="{00000000-0005-0000-0000-000021080000}"/>
    <cellStyle name="Calculation 2 2 14" xfId="2109" xr:uid="{00000000-0005-0000-0000-000022080000}"/>
    <cellStyle name="Calculation 2 2 14 2" xfId="2110" xr:uid="{00000000-0005-0000-0000-000023080000}"/>
    <cellStyle name="Calculation 2 2 14 2 2" xfId="2111" xr:uid="{00000000-0005-0000-0000-000024080000}"/>
    <cellStyle name="Calculation 2 2 14 3" xfId="2112" xr:uid="{00000000-0005-0000-0000-000025080000}"/>
    <cellStyle name="Calculation 2 2 15" xfId="2113" xr:uid="{00000000-0005-0000-0000-000026080000}"/>
    <cellStyle name="Calculation 2 2 15 2" xfId="2114" xr:uid="{00000000-0005-0000-0000-000027080000}"/>
    <cellStyle name="Calculation 2 2 15 2 2" xfId="2115" xr:uid="{00000000-0005-0000-0000-000028080000}"/>
    <cellStyle name="Calculation 2 2 15 3" xfId="2116" xr:uid="{00000000-0005-0000-0000-000029080000}"/>
    <cellStyle name="Calculation 2 2 16" xfId="2117" xr:uid="{00000000-0005-0000-0000-00002A080000}"/>
    <cellStyle name="Calculation 2 2 16 2" xfId="2118" xr:uid="{00000000-0005-0000-0000-00002B080000}"/>
    <cellStyle name="Calculation 2 2 16 2 2" xfId="2119" xr:uid="{00000000-0005-0000-0000-00002C080000}"/>
    <cellStyle name="Calculation 2 2 16 3" xfId="2120" xr:uid="{00000000-0005-0000-0000-00002D080000}"/>
    <cellStyle name="Calculation 2 2 17" xfId="2121" xr:uid="{00000000-0005-0000-0000-00002E080000}"/>
    <cellStyle name="Calculation 2 2 17 2" xfId="2122" xr:uid="{00000000-0005-0000-0000-00002F080000}"/>
    <cellStyle name="Calculation 2 2 17 2 2" xfId="2123" xr:uid="{00000000-0005-0000-0000-000030080000}"/>
    <cellStyle name="Calculation 2 2 17 3" xfId="2124" xr:uid="{00000000-0005-0000-0000-000031080000}"/>
    <cellStyle name="Calculation 2 2 18" xfId="2125" xr:uid="{00000000-0005-0000-0000-000032080000}"/>
    <cellStyle name="Calculation 2 2 18 2" xfId="2126" xr:uid="{00000000-0005-0000-0000-000033080000}"/>
    <cellStyle name="Calculation 2 2 19" xfId="2127" xr:uid="{00000000-0005-0000-0000-000034080000}"/>
    <cellStyle name="Calculation 2 2 2" xfId="2128" xr:uid="{00000000-0005-0000-0000-000035080000}"/>
    <cellStyle name="Calculation 2 2 2 2" xfId="2129" xr:uid="{00000000-0005-0000-0000-000036080000}"/>
    <cellStyle name="Calculation 2 2 2 2 2" xfId="2130" xr:uid="{00000000-0005-0000-0000-000037080000}"/>
    <cellStyle name="Calculation 2 2 2 3" xfId="2131" xr:uid="{00000000-0005-0000-0000-000038080000}"/>
    <cellStyle name="Calculation 2 2 3" xfId="2132" xr:uid="{00000000-0005-0000-0000-000039080000}"/>
    <cellStyle name="Calculation 2 2 3 2" xfId="2133" xr:uid="{00000000-0005-0000-0000-00003A080000}"/>
    <cellStyle name="Calculation 2 2 3 2 2" xfId="2134" xr:uid="{00000000-0005-0000-0000-00003B080000}"/>
    <cellStyle name="Calculation 2 2 3 3" xfId="2135" xr:uid="{00000000-0005-0000-0000-00003C080000}"/>
    <cellStyle name="Calculation 2 2 4" xfId="2136" xr:uid="{00000000-0005-0000-0000-00003D080000}"/>
    <cellStyle name="Calculation 2 2 4 2" xfId="2137" xr:uid="{00000000-0005-0000-0000-00003E080000}"/>
    <cellStyle name="Calculation 2 2 4 2 2" xfId="2138" xr:uid="{00000000-0005-0000-0000-00003F080000}"/>
    <cellStyle name="Calculation 2 2 4 3" xfId="2139" xr:uid="{00000000-0005-0000-0000-000040080000}"/>
    <cellStyle name="Calculation 2 2 5" xfId="2140" xr:uid="{00000000-0005-0000-0000-000041080000}"/>
    <cellStyle name="Calculation 2 2 5 2" xfId="2141" xr:uid="{00000000-0005-0000-0000-000042080000}"/>
    <cellStyle name="Calculation 2 2 5 2 2" xfId="2142" xr:uid="{00000000-0005-0000-0000-000043080000}"/>
    <cellStyle name="Calculation 2 2 5 3" xfId="2143" xr:uid="{00000000-0005-0000-0000-000044080000}"/>
    <cellStyle name="Calculation 2 2 6" xfId="2144" xr:uid="{00000000-0005-0000-0000-000045080000}"/>
    <cellStyle name="Calculation 2 2 6 2" xfId="2145" xr:uid="{00000000-0005-0000-0000-000046080000}"/>
    <cellStyle name="Calculation 2 2 6 2 2" xfId="2146" xr:uid="{00000000-0005-0000-0000-000047080000}"/>
    <cellStyle name="Calculation 2 2 6 3" xfId="2147" xr:uid="{00000000-0005-0000-0000-000048080000}"/>
    <cellStyle name="Calculation 2 2 7" xfId="2148" xr:uid="{00000000-0005-0000-0000-000049080000}"/>
    <cellStyle name="Calculation 2 2 7 2" xfId="2149" xr:uid="{00000000-0005-0000-0000-00004A080000}"/>
    <cellStyle name="Calculation 2 2 7 2 2" xfId="2150" xr:uid="{00000000-0005-0000-0000-00004B080000}"/>
    <cellStyle name="Calculation 2 2 7 3" xfId="2151" xr:uid="{00000000-0005-0000-0000-00004C080000}"/>
    <cellStyle name="Calculation 2 2 8" xfId="2152" xr:uid="{00000000-0005-0000-0000-00004D080000}"/>
    <cellStyle name="Calculation 2 2 8 2" xfId="2153" xr:uid="{00000000-0005-0000-0000-00004E080000}"/>
    <cellStyle name="Calculation 2 2 8 2 2" xfId="2154" xr:uid="{00000000-0005-0000-0000-00004F080000}"/>
    <cellStyle name="Calculation 2 2 8 3" xfId="2155" xr:uid="{00000000-0005-0000-0000-000050080000}"/>
    <cellStyle name="Calculation 2 2 9" xfId="2156" xr:uid="{00000000-0005-0000-0000-000051080000}"/>
    <cellStyle name="Calculation 2 2 9 2" xfId="2157" xr:uid="{00000000-0005-0000-0000-000052080000}"/>
    <cellStyle name="Calculation 2 2 9 2 2" xfId="2158" xr:uid="{00000000-0005-0000-0000-000053080000}"/>
    <cellStyle name="Calculation 2 2 9 3" xfId="2159" xr:uid="{00000000-0005-0000-0000-000054080000}"/>
    <cellStyle name="Calculation 2 3" xfId="2160" xr:uid="{00000000-0005-0000-0000-000055080000}"/>
    <cellStyle name="Calculation 2 3 10" xfId="2161" xr:uid="{00000000-0005-0000-0000-000056080000}"/>
    <cellStyle name="Calculation 2 3 10 2" xfId="2162" xr:uid="{00000000-0005-0000-0000-000057080000}"/>
    <cellStyle name="Calculation 2 3 10 2 2" xfId="2163" xr:uid="{00000000-0005-0000-0000-000058080000}"/>
    <cellStyle name="Calculation 2 3 10 3" xfId="2164" xr:uid="{00000000-0005-0000-0000-000059080000}"/>
    <cellStyle name="Calculation 2 3 11" xfId="2165" xr:uid="{00000000-0005-0000-0000-00005A080000}"/>
    <cellStyle name="Calculation 2 3 11 2" xfId="2166" xr:uid="{00000000-0005-0000-0000-00005B080000}"/>
    <cellStyle name="Calculation 2 3 11 2 2" xfId="2167" xr:uid="{00000000-0005-0000-0000-00005C080000}"/>
    <cellStyle name="Calculation 2 3 11 3" xfId="2168" xr:uid="{00000000-0005-0000-0000-00005D080000}"/>
    <cellStyle name="Calculation 2 3 12" xfId="2169" xr:uid="{00000000-0005-0000-0000-00005E080000}"/>
    <cellStyle name="Calculation 2 3 12 2" xfId="2170" xr:uid="{00000000-0005-0000-0000-00005F080000}"/>
    <cellStyle name="Calculation 2 3 12 2 2" xfId="2171" xr:uid="{00000000-0005-0000-0000-000060080000}"/>
    <cellStyle name="Calculation 2 3 12 3" xfId="2172" xr:uid="{00000000-0005-0000-0000-000061080000}"/>
    <cellStyle name="Calculation 2 3 13" xfId="2173" xr:uid="{00000000-0005-0000-0000-000062080000}"/>
    <cellStyle name="Calculation 2 3 13 2" xfId="2174" xr:uid="{00000000-0005-0000-0000-000063080000}"/>
    <cellStyle name="Calculation 2 3 13 2 2" xfId="2175" xr:uid="{00000000-0005-0000-0000-000064080000}"/>
    <cellStyle name="Calculation 2 3 13 3" xfId="2176" xr:uid="{00000000-0005-0000-0000-000065080000}"/>
    <cellStyle name="Calculation 2 3 14" xfId="2177" xr:uid="{00000000-0005-0000-0000-000066080000}"/>
    <cellStyle name="Calculation 2 3 14 2" xfId="2178" xr:uid="{00000000-0005-0000-0000-000067080000}"/>
    <cellStyle name="Calculation 2 3 14 2 2" xfId="2179" xr:uid="{00000000-0005-0000-0000-000068080000}"/>
    <cellStyle name="Calculation 2 3 14 3" xfId="2180" xr:uid="{00000000-0005-0000-0000-000069080000}"/>
    <cellStyle name="Calculation 2 3 15" xfId="2181" xr:uid="{00000000-0005-0000-0000-00006A080000}"/>
    <cellStyle name="Calculation 2 3 15 2" xfId="2182" xr:uid="{00000000-0005-0000-0000-00006B080000}"/>
    <cellStyle name="Calculation 2 3 15 2 2" xfId="2183" xr:uid="{00000000-0005-0000-0000-00006C080000}"/>
    <cellStyle name="Calculation 2 3 15 3" xfId="2184" xr:uid="{00000000-0005-0000-0000-00006D080000}"/>
    <cellStyle name="Calculation 2 3 16" xfId="2185" xr:uid="{00000000-0005-0000-0000-00006E080000}"/>
    <cellStyle name="Calculation 2 3 16 2" xfId="2186" xr:uid="{00000000-0005-0000-0000-00006F080000}"/>
    <cellStyle name="Calculation 2 3 16 2 2" xfId="2187" xr:uid="{00000000-0005-0000-0000-000070080000}"/>
    <cellStyle name="Calculation 2 3 16 3" xfId="2188" xr:uid="{00000000-0005-0000-0000-000071080000}"/>
    <cellStyle name="Calculation 2 3 17" xfId="2189" xr:uid="{00000000-0005-0000-0000-000072080000}"/>
    <cellStyle name="Calculation 2 3 17 2" xfId="2190" xr:uid="{00000000-0005-0000-0000-000073080000}"/>
    <cellStyle name="Calculation 2 3 17 2 2" xfId="2191" xr:uid="{00000000-0005-0000-0000-000074080000}"/>
    <cellStyle name="Calculation 2 3 17 3" xfId="2192" xr:uid="{00000000-0005-0000-0000-000075080000}"/>
    <cellStyle name="Calculation 2 3 18" xfId="2193" xr:uid="{00000000-0005-0000-0000-000076080000}"/>
    <cellStyle name="Calculation 2 3 18 2" xfId="2194" xr:uid="{00000000-0005-0000-0000-000077080000}"/>
    <cellStyle name="Calculation 2 3 19" xfId="2195" xr:uid="{00000000-0005-0000-0000-000078080000}"/>
    <cellStyle name="Calculation 2 3 2" xfId="2196" xr:uid="{00000000-0005-0000-0000-000079080000}"/>
    <cellStyle name="Calculation 2 3 2 2" xfId="2197" xr:uid="{00000000-0005-0000-0000-00007A080000}"/>
    <cellStyle name="Calculation 2 3 2 2 2" xfId="2198" xr:uid="{00000000-0005-0000-0000-00007B080000}"/>
    <cellStyle name="Calculation 2 3 2 3" xfId="2199" xr:uid="{00000000-0005-0000-0000-00007C080000}"/>
    <cellStyle name="Calculation 2 3 3" xfId="2200" xr:uid="{00000000-0005-0000-0000-00007D080000}"/>
    <cellStyle name="Calculation 2 3 3 2" xfId="2201" xr:uid="{00000000-0005-0000-0000-00007E080000}"/>
    <cellStyle name="Calculation 2 3 3 2 2" xfId="2202" xr:uid="{00000000-0005-0000-0000-00007F080000}"/>
    <cellStyle name="Calculation 2 3 3 3" xfId="2203" xr:uid="{00000000-0005-0000-0000-000080080000}"/>
    <cellStyle name="Calculation 2 3 4" xfId="2204" xr:uid="{00000000-0005-0000-0000-000081080000}"/>
    <cellStyle name="Calculation 2 3 4 2" xfId="2205" xr:uid="{00000000-0005-0000-0000-000082080000}"/>
    <cellStyle name="Calculation 2 3 4 2 2" xfId="2206" xr:uid="{00000000-0005-0000-0000-000083080000}"/>
    <cellStyle name="Calculation 2 3 4 3" xfId="2207" xr:uid="{00000000-0005-0000-0000-000084080000}"/>
    <cellStyle name="Calculation 2 3 5" xfId="2208" xr:uid="{00000000-0005-0000-0000-000085080000}"/>
    <cellStyle name="Calculation 2 3 5 2" xfId="2209" xr:uid="{00000000-0005-0000-0000-000086080000}"/>
    <cellStyle name="Calculation 2 3 5 2 2" xfId="2210" xr:uid="{00000000-0005-0000-0000-000087080000}"/>
    <cellStyle name="Calculation 2 3 5 3" xfId="2211" xr:uid="{00000000-0005-0000-0000-000088080000}"/>
    <cellStyle name="Calculation 2 3 6" xfId="2212" xr:uid="{00000000-0005-0000-0000-000089080000}"/>
    <cellStyle name="Calculation 2 3 6 2" xfId="2213" xr:uid="{00000000-0005-0000-0000-00008A080000}"/>
    <cellStyle name="Calculation 2 3 6 2 2" xfId="2214" xr:uid="{00000000-0005-0000-0000-00008B080000}"/>
    <cellStyle name="Calculation 2 3 6 3" xfId="2215" xr:uid="{00000000-0005-0000-0000-00008C080000}"/>
    <cellStyle name="Calculation 2 3 7" xfId="2216" xr:uid="{00000000-0005-0000-0000-00008D080000}"/>
    <cellStyle name="Calculation 2 3 7 2" xfId="2217" xr:uid="{00000000-0005-0000-0000-00008E080000}"/>
    <cellStyle name="Calculation 2 3 7 2 2" xfId="2218" xr:uid="{00000000-0005-0000-0000-00008F080000}"/>
    <cellStyle name="Calculation 2 3 7 3" xfId="2219" xr:uid="{00000000-0005-0000-0000-000090080000}"/>
    <cellStyle name="Calculation 2 3 8" xfId="2220" xr:uid="{00000000-0005-0000-0000-000091080000}"/>
    <cellStyle name="Calculation 2 3 8 2" xfId="2221" xr:uid="{00000000-0005-0000-0000-000092080000}"/>
    <cellStyle name="Calculation 2 3 8 2 2" xfId="2222" xr:uid="{00000000-0005-0000-0000-000093080000}"/>
    <cellStyle name="Calculation 2 3 8 3" xfId="2223" xr:uid="{00000000-0005-0000-0000-000094080000}"/>
    <cellStyle name="Calculation 2 3 9" xfId="2224" xr:uid="{00000000-0005-0000-0000-000095080000}"/>
    <cellStyle name="Calculation 2 3 9 2" xfId="2225" xr:uid="{00000000-0005-0000-0000-000096080000}"/>
    <cellStyle name="Calculation 2 3 9 2 2" xfId="2226" xr:uid="{00000000-0005-0000-0000-000097080000}"/>
    <cellStyle name="Calculation 2 3 9 3" xfId="2227" xr:uid="{00000000-0005-0000-0000-000098080000}"/>
    <cellStyle name="Calculation 2 4" xfId="2228" xr:uid="{00000000-0005-0000-0000-000099080000}"/>
    <cellStyle name="Calculation 2 4 2" xfId="2229" xr:uid="{00000000-0005-0000-0000-00009A080000}"/>
    <cellStyle name="Calculation 2 4 2 2" xfId="2230" xr:uid="{00000000-0005-0000-0000-00009B080000}"/>
    <cellStyle name="Calculation 2 4 3" xfId="2231" xr:uid="{00000000-0005-0000-0000-00009C080000}"/>
    <cellStyle name="Calculation 2 5" xfId="2232" xr:uid="{00000000-0005-0000-0000-00009D080000}"/>
    <cellStyle name="Calculation 2 5 2" xfId="2233" xr:uid="{00000000-0005-0000-0000-00009E080000}"/>
    <cellStyle name="Calculation 2 6" xfId="2234" xr:uid="{00000000-0005-0000-0000-00009F080000}"/>
    <cellStyle name="Calculation 20" xfId="2235" xr:uid="{00000000-0005-0000-0000-0000A0080000}"/>
    <cellStyle name="Calculation 20 2" xfId="2236" xr:uid="{00000000-0005-0000-0000-0000A1080000}"/>
    <cellStyle name="Calculation 20 2 10" xfId="2237" xr:uid="{00000000-0005-0000-0000-0000A2080000}"/>
    <cellStyle name="Calculation 20 2 10 2" xfId="2238" xr:uid="{00000000-0005-0000-0000-0000A3080000}"/>
    <cellStyle name="Calculation 20 2 10 2 2" xfId="2239" xr:uid="{00000000-0005-0000-0000-0000A4080000}"/>
    <cellStyle name="Calculation 20 2 10 3" xfId="2240" xr:uid="{00000000-0005-0000-0000-0000A5080000}"/>
    <cellStyle name="Calculation 20 2 11" xfId="2241" xr:uid="{00000000-0005-0000-0000-0000A6080000}"/>
    <cellStyle name="Calculation 20 2 11 2" xfId="2242" xr:uid="{00000000-0005-0000-0000-0000A7080000}"/>
    <cellStyle name="Calculation 20 2 11 2 2" xfId="2243" xr:uid="{00000000-0005-0000-0000-0000A8080000}"/>
    <cellStyle name="Calculation 20 2 11 3" xfId="2244" xr:uid="{00000000-0005-0000-0000-0000A9080000}"/>
    <cellStyle name="Calculation 20 2 12" xfId="2245" xr:uid="{00000000-0005-0000-0000-0000AA080000}"/>
    <cellStyle name="Calculation 20 2 12 2" xfId="2246" xr:uid="{00000000-0005-0000-0000-0000AB080000}"/>
    <cellStyle name="Calculation 20 2 12 2 2" xfId="2247" xr:uid="{00000000-0005-0000-0000-0000AC080000}"/>
    <cellStyle name="Calculation 20 2 12 3" xfId="2248" xr:uid="{00000000-0005-0000-0000-0000AD080000}"/>
    <cellStyle name="Calculation 20 2 13" xfId="2249" xr:uid="{00000000-0005-0000-0000-0000AE080000}"/>
    <cellStyle name="Calculation 20 2 13 2" xfId="2250" xr:uid="{00000000-0005-0000-0000-0000AF080000}"/>
    <cellStyle name="Calculation 20 2 13 2 2" xfId="2251" xr:uid="{00000000-0005-0000-0000-0000B0080000}"/>
    <cellStyle name="Calculation 20 2 13 3" xfId="2252" xr:uid="{00000000-0005-0000-0000-0000B1080000}"/>
    <cellStyle name="Calculation 20 2 14" xfId="2253" xr:uid="{00000000-0005-0000-0000-0000B2080000}"/>
    <cellStyle name="Calculation 20 2 14 2" xfId="2254" xr:uid="{00000000-0005-0000-0000-0000B3080000}"/>
    <cellStyle name="Calculation 20 2 14 2 2" xfId="2255" xr:uid="{00000000-0005-0000-0000-0000B4080000}"/>
    <cellStyle name="Calculation 20 2 14 3" xfId="2256" xr:uid="{00000000-0005-0000-0000-0000B5080000}"/>
    <cellStyle name="Calculation 20 2 15" xfId="2257" xr:uid="{00000000-0005-0000-0000-0000B6080000}"/>
    <cellStyle name="Calculation 20 2 15 2" xfId="2258" xr:uid="{00000000-0005-0000-0000-0000B7080000}"/>
    <cellStyle name="Calculation 20 2 15 2 2" xfId="2259" xr:uid="{00000000-0005-0000-0000-0000B8080000}"/>
    <cellStyle name="Calculation 20 2 15 3" xfId="2260" xr:uid="{00000000-0005-0000-0000-0000B9080000}"/>
    <cellStyle name="Calculation 20 2 16" xfId="2261" xr:uid="{00000000-0005-0000-0000-0000BA080000}"/>
    <cellStyle name="Calculation 20 2 16 2" xfId="2262" xr:uid="{00000000-0005-0000-0000-0000BB080000}"/>
    <cellStyle name="Calculation 20 2 16 2 2" xfId="2263" xr:uid="{00000000-0005-0000-0000-0000BC080000}"/>
    <cellStyle name="Calculation 20 2 16 3" xfId="2264" xr:uid="{00000000-0005-0000-0000-0000BD080000}"/>
    <cellStyle name="Calculation 20 2 17" xfId="2265" xr:uid="{00000000-0005-0000-0000-0000BE080000}"/>
    <cellStyle name="Calculation 20 2 17 2" xfId="2266" xr:uid="{00000000-0005-0000-0000-0000BF080000}"/>
    <cellStyle name="Calculation 20 2 17 2 2" xfId="2267" xr:uid="{00000000-0005-0000-0000-0000C0080000}"/>
    <cellStyle name="Calculation 20 2 17 3" xfId="2268" xr:uid="{00000000-0005-0000-0000-0000C1080000}"/>
    <cellStyle name="Calculation 20 2 18" xfId="2269" xr:uid="{00000000-0005-0000-0000-0000C2080000}"/>
    <cellStyle name="Calculation 20 2 18 2" xfId="2270" xr:uid="{00000000-0005-0000-0000-0000C3080000}"/>
    <cellStyle name="Calculation 20 2 19" xfId="2271" xr:uid="{00000000-0005-0000-0000-0000C4080000}"/>
    <cellStyle name="Calculation 20 2 2" xfId="2272" xr:uid="{00000000-0005-0000-0000-0000C5080000}"/>
    <cellStyle name="Calculation 20 2 2 2" xfId="2273" xr:uid="{00000000-0005-0000-0000-0000C6080000}"/>
    <cellStyle name="Calculation 20 2 2 2 2" xfId="2274" xr:uid="{00000000-0005-0000-0000-0000C7080000}"/>
    <cellStyle name="Calculation 20 2 2 3" xfId="2275" xr:uid="{00000000-0005-0000-0000-0000C8080000}"/>
    <cellStyle name="Calculation 20 2 3" xfId="2276" xr:uid="{00000000-0005-0000-0000-0000C9080000}"/>
    <cellStyle name="Calculation 20 2 3 2" xfId="2277" xr:uid="{00000000-0005-0000-0000-0000CA080000}"/>
    <cellStyle name="Calculation 20 2 3 2 2" xfId="2278" xr:uid="{00000000-0005-0000-0000-0000CB080000}"/>
    <cellStyle name="Calculation 20 2 3 3" xfId="2279" xr:uid="{00000000-0005-0000-0000-0000CC080000}"/>
    <cellStyle name="Calculation 20 2 4" xfId="2280" xr:uid="{00000000-0005-0000-0000-0000CD080000}"/>
    <cellStyle name="Calculation 20 2 4 2" xfId="2281" xr:uid="{00000000-0005-0000-0000-0000CE080000}"/>
    <cellStyle name="Calculation 20 2 4 2 2" xfId="2282" xr:uid="{00000000-0005-0000-0000-0000CF080000}"/>
    <cellStyle name="Calculation 20 2 4 3" xfId="2283" xr:uid="{00000000-0005-0000-0000-0000D0080000}"/>
    <cellStyle name="Calculation 20 2 5" xfId="2284" xr:uid="{00000000-0005-0000-0000-0000D1080000}"/>
    <cellStyle name="Calculation 20 2 5 2" xfId="2285" xr:uid="{00000000-0005-0000-0000-0000D2080000}"/>
    <cellStyle name="Calculation 20 2 5 2 2" xfId="2286" xr:uid="{00000000-0005-0000-0000-0000D3080000}"/>
    <cellStyle name="Calculation 20 2 5 3" xfId="2287" xr:uid="{00000000-0005-0000-0000-0000D4080000}"/>
    <cellStyle name="Calculation 20 2 6" xfId="2288" xr:uid="{00000000-0005-0000-0000-0000D5080000}"/>
    <cellStyle name="Calculation 20 2 6 2" xfId="2289" xr:uid="{00000000-0005-0000-0000-0000D6080000}"/>
    <cellStyle name="Calculation 20 2 6 2 2" xfId="2290" xr:uid="{00000000-0005-0000-0000-0000D7080000}"/>
    <cellStyle name="Calculation 20 2 6 3" xfId="2291" xr:uid="{00000000-0005-0000-0000-0000D8080000}"/>
    <cellStyle name="Calculation 20 2 7" xfId="2292" xr:uid="{00000000-0005-0000-0000-0000D9080000}"/>
    <cellStyle name="Calculation 20 2 7 2" xfId="2293" xr:uid="{00000000-0005-0000-0000-0000DA080000}"/>
    <cellStyle name="Calculation 20 2 7 2 2" xfId="2294" xr:uid="{00000000-0005-0000-0000-0000DB080000}"/>
    <cellStyle name="Calculation 20 2 7 3" xfId="2295" xr:uid="{00000000-0005-0000-0000-0000DC080000}"/>
    <cellStyle name="Calculation 20 2 8" xfId="2296" xr:uid="{00000000-0005-0000-0000-0000DD080000}"/>
    <cellStyle name="Calculation 20 2 8 2" xfId="2297" xr:uid="{00000000-0005-0000-0000-0000DE080000}"/>
    <cellStyle name="Calculation 20 2 8 2 2" xfId="2298" xr:uid="{00000000-0005-0000-0000-0000DF080000}"/>
    <cellStyle name="Calculation 20 2 8 3" xfId="2299" xr:uid="{00000000-0005-0000-0000-0000E0080000}"/>
    <cellStyle name="Calculation 20 2 9" xfId="2300" xr:uid="{00000000-0005-0000-0000-0000E1080000}"/>
    <cellStyle name="Calculation 20 2 9 2" xfId="2301" xr:uid="{00000000-0005-0000-0000-0000E2080000}"/>
    <cellStyle name="Calculation 20 2 9 2 2" xfId="2302" xr:uid="{00000000-0005-0000-0000-0000E3080000}"/>
    <cellStyle name="Calculation 20 2 9 3" xfId="2303" xr:uid="{00000000-0005-0000-0000-0000E4080000}"/>
    <cellStyle name="Calculation 20 3" xfId="2304" xr:uid="{00000000-0005-0000-0000-0000E5080000}"/>
    <cellStyle name="Calculation 20 3 2" xfId="2305" xr:uid="{00000000-0005-0000-0000-0000E6080000}"/>
    <cellStyle name="Calculation 20 3 2 2" xfId="2306" xr:uid="{00000000-0005-0000-0000-0000E7080000}"/>
    <cellStyle name="Calculation 20 3 3" xfId="2307" xr:uid="{00000000-0005-0000-0000-0000E8080000}"/>
    <cellStyle name="Calculation 21" xfId="2308" xr:uid="{00000000-0005-0000-0000-0000E9080000}"/>
    <cellStyle name="Calculation 21 2" xfId="2309" xr:uid="{00000000-0005-0000-0000-0000EA080000}"/>
    <cellStyle name="Calculation 21 2 10" xfId="2310" xr:uid="{00000000-0005-0000-0000-0000EB080000}"/>
    <cellStyle name="Calculation 21 2 10 2" xfId="2311" xr:uid="{00000000-0005-0000-0000-0000EC080000}"/>
    <cellStyle name="Calculation 21 2 10 2 2" xfId="2312" xr:uid="{00000000-0005-0000-0000-0000ED080000}"/>
    <cellStyle name="Calculation 21 2 10 3" xfId="2313" xr:uid="{00000000-0005-0000-0000-0000EE080000}"/>
    <cellStyle name="Calculation 21 2 11" xfId="2314" xr:uid="{00000000-0005-0000-0000-0000EF080000}"/>
    <cellStyle name="Calculation 21 2 11 2" xfId="2315" xr:uid="{00000000-0005-0000-0000-0000F0080000}"/>
    <cellStyle name="Calculation 21 2 11 2 2" xfId="2316" xr:uid="{00000000-0005-0000-0000-0000F1080000}"/>
    <cellStyle name="Calculation 21 2 11 3" xfId="2317" xr:uid="{00000000-0005-0000-0000-0000F2080000}"/>
    <cellStyle name="Calculation 21 2 12" xfId="2318" xr:uid="{00000000-0005-0000-0000-0000F3080000}"/>
    <cellStyle name="Calculation 21 2 12 2" xfId="2319" xr:uid="{00000000-0005-0000-0000-0000F4080000}"/>
    <cellStyle name="Calculation 21 2 12 2 2" xfId="2320" xr:uid="{00000000-0005-0000-0000-0000F5080000}"/>
    <cellStyle name="Calculation 21 2 12 3" xfId="2321" xr:uid="{00000000-0005-0000-0000-0000F6080000}"/>
    <cellStyle name="Calculation 21 2 13" xfId="2322" xr:uid="{00000000-0005-0000-0000-0000F7080000}"/>
    <cellStyle name="Calculation 21 2 13 2" xfId="2323" xr:uid="{00000000-0005-0000-0000-0000F8080000}"/>
    <cellStyle name="Calculation 21 2 13 2 2" xfId="2324" xr:uid="{00000000-0005-0000-0000-0000F9080000}"/>
    <cellStyle name="Calculation 21 2 13 3" xfId="2325" xr:uid="{00000000-0005-0000-0000-0000FA080000}"/>
    <cellStyle name="Calculation 21 2 14" xfId="2326" xr:uid="{00000000-0005-0000-0000-0000FB080000}"/>
    <cellStyle name="Calculation 21 2 14 2" xfId="2327" xr:uid="{00000000-0005-0000-0000-0000FC080000}"/>
    <cellStyle name="Calculation 21 2 14 2 2" xfId="2328" xr:uid="{00000000-0005-0000-0000-0000FD080000}"/>
    <cellStyle name="Calculation 21 2 14 3" xfId="2329" xr:uid="{00000000-0005-0000-0000-0000FE080000}"/>
    <cellStyle name="Calculation 21 2 15" xfId="2330" xr:uid="{00000000-0005-0000-0000-0000FF080000}"/>
    <cellStyle name="Calculation 21 2 15 2" xfId="2331" xr:uid="{00000000-0005-0000-0000-000000090000}"/>
    <cellStyle name="Calculation 21 2 15 2 2" xfId="2332" xr:uid="{00000000-0005-0000-0000-000001090000}"/>
    <cellStyle name="Calculation 21 2 15 3" xfId="2333" xr:uid="{00000000-0005-0000-0000-000002090000}"/>
    <cellStyle name="Calculation 21 2 16" xfId="2334" xr:uid="{00000000-0005-0000-0000-000003090000}"/>
    <cellStyle name="Calculation 21 2 16 2" xfId="2335" xr:uid="{00000000-0005-0000-0000-000004090000}"/>
    <cellStyle name="Calculation 21 2 16 2 2" xfId="2336" xr:uid="{00000000-0005-0000-0000-000005090000}"/>
    <cellStyle name="Calculation 21 2 16 3" xfId="2337" xr:uid="{00000000-0005-0000-0000-000006090000}"/>
    <cellStyle name="Calculation 21 2 17" xfId="2338" xr:uid="{00000000-0005-0000-0000-000007090000}"/>
    <cellStyle name="Calculation 21 2 17 2" xfId="2339" xr:uid="{00000000-0005-0000-0000-000008090000}"/>
    <cellStyle name="Calculation 21 2 17 2 2" xfId="2340" xr:uid="{00000000-0005-0000-0000-000009090000}"/>
    <cellStyle name="Calculation 21 2 17 3" xfId="2341" xr:uid="{00000000-0005-0000-0000-00000A090000}"/>
    <cellStyle name="Calculation 21 2 18" xfId="2342" xr:uid="{00000000-0005-0000-0000-00000B090000}"/>
    <cellStyle name="Calculation 21 2 18 2" xfId="2343" xr:uid="{00000000-0005-0000-0000-00000C090000}"/>
    <cellStyle name="Calculation 21 2 19" xfId="2344" xr:uid="{00000000-0005-0000-0000-00000D090000}"/>
    <cellStyle name="Calculation 21 2 2" xfId="2345" xr:uid="{00000000-0005-0000-0000-00000E090000}"/>
    <cellStyle name="Calculation 21 2 2 2" xfId="2346" xr:uid="{00000000-0005-0000-0000-00000F090000}"/>
    <cellStyle name="Calculation 21 2 2 2 2" xfId="2347" xr:uid="{00000000-0005-0000-0000-000010090000}"/>
    <cellStyle name="Calculation 21 2 2 3" xfId="2348" xr:uid="{00000000-0005-0000-0000-000011090000}"/>
    <cellStyle name="Calculation 21 2 3" xfId="2349" xr:uid="{00000000-0005-0000-0000-000012090000}"/>
    <cellStyle name="Calculation 21 2 3 2" xfId="2350" xr:uid="{00000000-0005-0000-0000-000013090000}"/>
    <cellStyle name="Calculation 21 2 3 2 2" xfId="2351" xr:uid="{00000000-0005-0000-0000-000014090000}"/>
    <cellStyle name="Calculation 21 2 3 3" xfId="2352" xr:uid="{00000000-0005-0000-0000-000015090000}"/>
    <cellStyle name="Calculation 21 2 4" xfId="2353" xr:uid="{00000000-0005-0000-0000-000016090000}"/>
    <cellStyle name="Calculation 21 2 4 2" xfId="2354" xr:uid="{00000000-0005-0000-0000-000017090000}"/>
    <cellStyle name="Calculation 21 2 4 2 2" xfId="2355" xr:uid="{00000000-0005-0000-0000-000018090000}"/>
    <cellStyle name="Calculation 21 2 4 3" xfId="2356" xr:uid="{00000000-0005-0000-0000-000019090000}"/>
    <cellStyle name="Calculation 21 2 5" xfId="2357" xr:uid="{00000000-0005-0000-0000-00001A090000}"/>
    <cellStyle name="Calculation 21 2 5 2" xfId="2358" xr:uid="{00000000-0005-0000-0000-00001B090000}"/>
    <cellStyle name="Calculation 21 2 5 2 2" xfId="2359" xr:uid="{00000000-0005-0000-0000-00001C090000}"/>
    <cellStyle name="Calculation 21 2 5 3" xfId="2360" xr:uid="{00000000-0005-0000-0000-00001D090000}"/>
    <cellStyle name="Calculation 21 2 6" xfId="2361" xr:uid="{00000000-0005-0000-0000-00001E090000}"/>
    <cellStyle name="Calculation 21 2 6 2" xfId="2362" xr:uid="{00000000-0005-0000-0000-00001F090000}"/>
    <cellStyle name="Calculation 21 2 6 2 2" xfId="2363" xr:uid="{00000000-0005-0000-0000-000020090000}"/>
    <cellStyle name="Calculation 21 2 6 3" xfId="2364" xr:uid="{00000000-0005-0000-0000-000021090000}"/>
    <cellStyle name="Calculation 21 2 7" xfId="2365" xr:uid="{00000000-0005-0000-0000-000022090000}"/>
    <cellStyle name="Calculation 21 2 7 2" xfId="2366" xr:uid="{00000000-0005-0000-0000-000023090000}"/>
    <cellStyle name="Calculation 21 2 7 2 2" xfId="2367" xr:uid="{00000000-0005-0000-0000-000024090000}"/>
    <cellStyle name="Calculation 21 2 7 3" xfId="2368" xr:uid="{00000000-0005-0000-0000-000025090000}"/>
    <cellStyle name="Calculation 21 2 8" xfId="2369" xr:uid="{00000000-0005-0000-0000-000026090000}"/>
    <cellStyle name="Calculation 21 2 8 2" xfId="2370" xr:uid="{00000000-0005-0000-0000-000027090000}"/>
    <cellStyle name="Calculation 21 2 8 2 2" xfId="2371" xr:uid="{00000000-0005-0000-0000-000028090000}"/>
    <cellStyle name="Calculation 21 2 8 3" xfId="2372" xr:uid="{00000000-0005-0000-0000-000029090000}"/>
    <cellStyle name="Calculation 21 2 9" xfId="2373" xr:uid="{00000000-0005-0000-0000-00002A090000}"/>
    <cellStyle name="Calculation 21 2 9 2" xfId="2374" xr:uid="{00000000-0005-0000-0000-00002B090000}"/>
    <cellStyle name="Calculation 21 2 9 2 2" xfId="2375" xr:uid="{00000000-0005-0000-0000-00002C090000}"/>
    <cellStyle name="Calculation 21 2 9 3" xfId="2376" xr:uid="{00000000-0005-0000-0000-00002D090000}"/>
    <cellStyle name="Calculation 21 3" xfId="2377" xr:uid="{00000000-0005-0000-0000-00002E090000}"/>
    <cellStyle name="Calculation 21 3 2" xfId="2378" xr:uid="{00000000-0005-0000-0000-00002F090000}"/>
    <cellStyle name="Calculation 21 3 2 2" xfId="2379" xr:uid="{00000000-0005-0000-0000-000030090000}"/>
    <cellStyle name="Calculation 21 3 3" xfId="2380" xr:uid="{00000000-0005-0000-0000-000031090000}"/>
    <cellStyle name="Calculation 22" xfId="2381" xr:uid="{00000000-0005-0000-0000-000032090000}"/>
    <cellStyle name="Calculation 22 2" xfId="2382" xr:uid="{00000000-0005-0000-0000-000033090000}"/>
    <cellStyle name="Calculation 22 2 10" xfId="2383" xr:uid="{00000000-0005-0000-0000-000034090000}"/>
    <cellStyle name="Calculation 22 2 10 2" xfId="2384" xr:uid="{00000000-0005-0000-0000-000035090000}"/>
    <cellStyle name="Calculation 22 2 10 2 2" xfId="2385" xr:uid="{00000000-0005-0000-0000-000036090000}"/>
    <cellStyle name="Calculation 22 2 10 3" xfId="2386" xr:uid="{00000000-0005-0000-0000-000037090000}"/>
    <cellStyle name="Calculation 22 2 11" xfId="2387" xr:uid="{00000000-0005-0000-0000-000038090000}"/>
    <cellStyle name="Calculation 22 2 11 2" xfId="2388" xr:uid="{00000000-0005-0000-0000-000039090000}"/>
    <cellStyle name="Calculation 22 2 11 2 2" xfId="2389" xr:uid="{00000000-0005-0000-0000-00003A090000}"/>
    <cellStyle name="Calculation 22 2 11 3" xfId="2390" xr:uid="{00000000-0005-0000-0000-00003B090000}"/>
    <cellStyle name="Calculation 22 2 12" xfId="2391" xr:uid="{00000000-0005-0000-0000-00003C090000}"/>
    <cellStyle name="Calculation 22 2 12 2" xfId="2392" xr:uid="{00000000-0005-0000-0000-00003D090000}"/>
    <cellStyle name="Calculation 22 2 12 2 2" xfId="2393" xr:uid="{00000000-0005-0000-0000-00003E090000}"/>
    <cellStyle name="Calculation 22 2 12 3" xfId="2394" xr:uid="{00000000-0005-0000-0000-00003F090000}"/>
    <cellStyle name="Calculation 22 2 13" xfId="2395" xr:uid="{00000000-0005-0000-0000-000040090000}"/>
    <cellStyle name="Calculation 22 2 13 2" xfId="2396" xr:uid="{00000000-0005-0000-0000-000041090000}"/>
    <cellStyle name="Calculation 22 2 13 2 2" xfId="2397" xr:uid="{00000000-0005-0000-0000-000042090000}"/>
    <cellStyle name="Calculation 22 2 13 3" xfId="2398" xr:uid="{00000000-0005-0000-0000-000043090000}"/>
    <cellStyle name="Calculation 22 2 14" xfId="2399" xr:uid="{00000000-0005-0000-0000-000044090000}"/>
    <cellStyle name="Calculation 22 2 14 2" xfId="2400" xr:uid="{00000000-0005-0000-0000-000045090000}"/>
    <cellStyle name="Calculation 22 2 14 2 2" xfId="2401" xr:uid="{00000000-0005-0000-0000-000046090000}"/>
    <cellStyle name="Calculation 22 2 14 3" xfId="2402" xr:uid="{00000000-0005-0000-0000-000047090000}"/>
    <cellStyle name="Calculation 22 2 15" xfId="2403" xr:uid="{00000000-0005-0000-0000-000048090000}"/>
    <cellStyle name="Calculation 22 2 15 2" xfId="2404" xr:uid="{00000000-0005-0000-0000-000049090000}"/>
    <cellStyle name="Calculation 22 2 15 2 2" xfId="2405" xr:uid="{00000000-0005-0000-0000-00004A090000}"/>
    <cellStyle name="Calculation 22 2 15 3" xfId="2406" xr:uid="{00000000-0005-0000-0000-00004B090000}"/>
    <cellStyle name="Calculation 22 2 16" xfId="2407" xr:uid="{00000000-0005-0000-0000-00004C090000}"/>
    <cellStyle name="Calculation 22 2 16 2" xfId="2408" xr:uid="{00000000-0005-0000-0000-00004D090000}"/>
    <cellStyle name="Calculation 22 2 16 2 2" xfId="2409" xr:uid="{00000000-0005-0000-0000-00004E090000}"/>
    <cellStyle name="Calculation 22 2 16 3" xfId="2410" xr:uid="{00000000-0005-0000-0000-00004F090000}"/>
    <cellStyle name="Calculation 22 2 17" xfId="2411" xr:uid="{00000000-0005-0000-0000-000050090000}"/>
    <cellStyle name="Calculation 22 2 17 2" xfId="2412" xr:uid="{00000000-0005-0000-0000-000051090000}"/>
    <cellStyle name="Calculation 22 2 17 2 2" xfId="2413" xr:uid="{00000000-0005-0000-0000-000052090000}"/>
    <cellStyle name="Calculation 22 2 17 3" xfId="2414" xr:uid="{00000000-0005-0000-0000-000053090000}"/>
    <cellStyle name="Calculation 22 2 18" xfId="2415" xr:uid="{00000000-0005-0000-0000-000054090000}"/>
    <cellStyle name="Calculation 22 2 18 2" xfId="2416" xr:uid="{00000000-0005-0000-0000-000055090000}"/>
    <cellStyle name="Calculation 22 2 19" xfId="2417" xr:uid="{00000000-0005-0000-0000-000056090000}"/>
    <cellStyle name="Calculation 22 2 2" xfId="2418" xr:uid="{00000000-0005-0000-0000-000057090000}"/>
    <cellStyle name="Calculation 22 2 2 2" xfId="2419" xr:uid="{00000000-0005-0000-0000-000058090000}"/>
    <cellStyle name="Calculation 22 2 2 2 2" xfId="2420" xr:uid="{00000000-0005-0000-0000-000059090000}"/>
    <cellStyle name="Calculation 22 2 2 3" xfId="2421" xr:uid="{00000000-0005-0000-0000-00005A090000}"/>
    <cellStyle name="Calculation 22 2 3" xfId="2422" xr:uid="{00000000-0005-0000-0000-00005B090000}"/>
    <cellStyle name="Calculation 22 2 3 2" xfId="2423" xr:uid="{00000000-0005-0000-0000-00005C090000}"/>
    <cellStyle name="Calculation 22 2 3 2 2" xfId="2424" xr:uid="{00000000-0005-0000-0000-00005D090000}"/>
    <cellStyle name="Calculation 22 2 3 3" xfId="2425" xr:uid="{00000000-0005-0000-0000-00005E090000}"/>
    <cellStyle name="Calculation 22 2 4" xfId="2426" xr:uid="{00000000-0005-0000-0000-00005F090000}"/>
    <cellStyle name="Calculation 22 2 4 2" xfId="2427" xr:uid="{00000000-0005-0000-0000-000060090000}"/>
    <cellStyle name="Calculation 22 2 4 2 2" xfId="2428" xr:uid="{00000000-0005-0000-0000-000061090000}"/>
    <cellStyle name="Calculation 22 2 4 3" xfId="2429" xr:uid="{00000000-0005-0000-0000-000062090000}"/>
    <cellStyle name="Calculation 22 2 5" xfId="2430" xr:uid="{00000000-0005-0000-0000-000063090000}"/>
    <cellStyle name="Calculation 22 2 5 2" xfId="2431" xr:uid="{00000000-0005-0000-0000-000064090000}"/>
    <cellStyle name="Calculation 22 2 5 2 2" xfId="2432" xr:uid="{00000000-0005-0000-0000-000065090000}"/>
    <cellStyle name="Calculation 22 2 5 3" xfId="2433" xr:uid="{00000000-0005-0000-0000-000066090000}"/>
    <cellStyle name="Calculation 22 2 6" xfId="2434" xr:uid="{00000000-0005-0000-0000-000067090000}"/>
    <cellStyle name="Calculation 22 2 6 2" xfId="2435" xr:uid="{00000000-0005-0000-0000-000068090000}"/>
    <cellStyle name="Calculation 22 2 6 2 2" xfId="2436" xr:uid="{00000000-0005-0000-0000-000069090000}"/>
    <cellStyle name="Calculation 22 2 6 3" xfId="2437" xr:uid="{00000000-0005-0000-0000-00006A090000}"/>
    <cellStyle name="Calculation 22 2 7" xfId="2438" xr:uid="{00000000-0005-0000-0000-00006B090000}"/>
    <cellStyle name="Calculation 22 2 7 2" xfId="2439" xr:uid="{00000000-0005-0000-0000-00006C090000}"/>
    <cellStyle name="Calculation 22 2 7 2 2" xfId="2440" xr:uid="{00000000-0005-0000-0000-00006D090000}"/>
    <cellStyle name="Calculation 22 2 7 3" xfId="2441" xr:uid="{00000000-0005-0000-0000-00006E090000}"/>
    <cellStyle name="Calculation 22 2 8" xfId="2442" xr:uid="{00000000-0005-0000-0000-00006F090000}"/>
    <cellStyle name="Calculation 22 2 8 2" xfId="2443" xr:uid="{00000000-0005-0000-0000-000070090000}"/>
    <cellStyle name="Calculation 22 2 8 2 2" xfId="2444" xr:uid="{00000000-0005-0000-0000-000071090000}"/>
    <cellStyle name="Calculation 22 2 8 3" xfId="2445" xr:uid="{00000000-0005-0000-0000-000072090000}"/>
    <cellStyle name="Calculation 22 2 9" xfId="2446" xr:uid="{00000000-0005-0000-0000-000073090000}"/>
    <cellStyle name="Calculation 22 2 9 2" xfId="2447" xr:uid="{00000000-0005-0000-0000-000074090000}"/>
    <cellStyle name="Calculation 22 2 9 2 2" xfId="2448" xr:uid="{00000000-0005-0000-0000-000075090000}"/>
    <cellStyle name="Calculation 22 2 9 3" xfId="2449" xr:uid="{00000000-0005-0000-0000-000076090000}"/>
    <cellStyle name="Calculation 22 3" xfId="2450" xr:uid="{00000000-0005-0000-0000-000077090000}"/>
    <cellStyle name="Calculation 22 3 2" xfId="2451" xr:uid="{00000000-0005-0000-0000-000078090000}"/>
    <cellStyle name="Calculation 22 3 2 2" xfId="2452" xr:uid="{00000000-0005-0000-0000-000079090000}"/>
    <cellStyle name="Calculation 22 3 3" xfId="2453" xr:uid="{00000000-0005-0000-0000-00007A090000}"/>
    <cellStyle name="Calculation 23" xfId="2454" xr:uid="{00000000-0005-0000-0000-00007B090000}"/>
    <cellStyle name="Calculation 23 2" xfId="2455" xr:uid="{00000000-0005-0000-0000-00007C090000}"/>
    <cellStyle name="Calculation 23 2 10" xfId="2456" xr:uid="{00000000-0005-0000-0000-00007D090000}"/>
    <cellStyle name="Calculation 23 2 10 2" xfId="2457" xr:uid="{00000000-0005-0000-0000-00007E090000}"/>
    <cellStyle name="Calculation 23 2 10 2 2" xfId="2458" xr:uid="{00000000-0005-0000-0000-00007F090000}"/>
    <cellStyle name="Calculation 23 2 10 3" xfId="2459" xr:uid="{00000000-0005-0000-0000-000080090000}"/>
    <cellStyle name="Calculation 23 2 11" xfId="2460" xr:uid="{00000000-0005-0000-0000-000081090000}"/>
    <cellStyle name="Calculation 23 2 11 2" xfId="2461" xr:uid="{00000000-0005-0000-0000-000082090000}"/>
    <cellStyle name="Calculation 23 2 11 2 2" xfId="2462" xr:uid="{00000000-0005-0000-0000-000083090000}"/>
    <cellStyle name="Calculation 23 2 11 3" xfId="2463" xr:uid="{00000000-0005-0000-0000-000084090000}"/>
    <cellStyle name="Calculation 23 2 12" xfId="2464" xr:uid="{00000000-0005-0000-0000-000085090000}"/>
    <cellStyle name="Calculation 23 2 12 2" xfId="2465" xr:uid="{00000000-0005-0000-0000-000086090000}"/>
    <cellStyle name="Calculation 23 2 12 2 2" xfId="2466" xr:uid="{00000000-0005-0000-0000-000087090000}"/>
    <cellStyle name="Calculation 23 2 12 3" xfId="2467" xr:uid="{00000000-0005-0000-0000-000088090000}"/>
    <cellStyle name="Calculation 23 2 13" xfId="2468" xr:uid="{00000000-0005-0000-0000-000089090000}"/>
    <cellStyle name="Calculation 23 2 13 2" xfId="2469" xr:uid="{00000000-0005-0000-0000-00008A090000}"/>
    <cellStyle name="Calculation 23 2 13 2 2" xfId="2470" xr:uid="{00000000-0005-0000-0000-00008B090000}"/>
    <cellStyle name="Calculation 23 2 13 3" xfId="2471" xr:uid="{00000000-0005-0000-0000-00008C090000}"/>
    <cellStyle name="Calculation 23 2 14" xfId="2472" xr:uid="{00000000-0005-0000-0000-00008D090000}"/>
    <cellStyle name="Calculation 23 2 14 2" xfId="2473" xr:uid="{00000000-0005-0000-0000-00008E090000}"/>
    <cellStyle name="Calculation 23 2 14 2 2" xfId="2474" xr:uid="{00000000-0005-0000-0000-00008F090000}"/>
    <cellStyle name="Calculation 23 2 14 3" xfId="2475" xr:uid="{00000000-0005-0000-0000-000090090000}"/>
    <cellStyle name="Calculation 23 2 15" xfId="2476" xr:uid="{00000000-0005-0000-0000-000091090000}"/>
    <cellStyle name="Calculation 23 2 15 2" xfId="2477" xr:uid="{00000000-0005-0000-0000-000092090000}"/>
    <cellStyle name="Calculation 23 2 15 2 2" xfId="2478" xr:uid="{00000000-0005-0000-0000-000093090000}"/>
    <cellStyle name="Calculation 23 2 15 3" xfId="2479" xr:uid="{00000000-0005-0000-0000-000094090000}"/>
    <cellStyle name="Calculation 23 2 16" xfId="2480" xr:uid="{00000000-0005-0000-0000-000095090000}"/>
    <cellStyle name="Calculation 23 2 16 2" xfId="2481" xr:uid="{00000000-0005-0000-0000-000096090000}"/>
    <cellStyle name="Calculation 23 2 16 2 2" xfId="2482" xr:uid="{00000000-0005-0000-0000-000097090000}"/>
    <cellStyle name="Calculation 23 2 16 3" xfId="2483" xr:uid="{00000000-0005-0000-0000-000098090000}"/>
    <cellStyle name="Calculation 23 2 17" xfId="2484" xr:uid="{00000000-0005-0000-0000-000099090000}"/>
    <cellStyle name="Calculation 23 2 17 2" xfId="2485" xr:uid="{00000000-0005-0000-0000-00009A090000}"/>
    <cellStyle name="Calculation 23 2 17 2 2" xfId="2486" xr:uid="{00000000-0005-0000-0000-00009B090000}"/>
    <cellStyle name="Calculation 23 2 17 3" xfId="2487" xr:uid="{00000000-0005-0000-0000-00009C090000}"/>
    <cellStyle name="Calculation 23 2 18" xfId="2488" xr:uid="{00000000-0005-0000-0000-00009D090000}"/>
    <cellStyle name="Calculation 23 2 18 2" xfId="2489" xr:uid="{00000000-0005-0000-0000-00009E090000}"/>
    <cellStyle name="Calculation 23 2 19" xfId="2490" xr:uid="{00000000-0005-0000-0000-00009F090000}"/>
    <cellStyle name="Calculation 23 2 2" xfId="2491" xr:uid="{00000000-0005-0000-0000-0000A0090000}"/>
    <cellStyle name="Calculation 23 2 2 2" xfId="2492" xr:uid="{00000000-0005-0000-0000-0000A1090000}"/>
    <cellStyle name="Calculation 23 2 2 2 2" xfId="2493" xr:uid="{00000000-0005-0000-0000-0000A2090000}"/>
    <cellStyle name="Calculation 23 2 2 3" xfId="2494" xr:uid="{00000000-0005-0000-0000-0000A3090000}"/>
    <cellStyle name="Calculation 23 2 3" xfId="2495" xr:uid="{00000000-0005-0000-0000-0000A4090000}"/>
    <cellStyle name="Calculation 23 2 3 2" xfId="2496" xr:uid="{00000000-0005-0000-0000-0000A5090000}"/>
    <cellStyle name="Calculation 23 2 3 2 2" xfId="2497" xr:uid="{00000000-0005-0000-0000-0000A6090000}"/>
    <cellStyle name="Calculation 23 2 3 3" xfId="2498" xr:uid="{00000000-0005-0000-0000-0000A7090000}"/>
    <cellStyle name="Calculation 23 2 4" xfId="2499" xr:uid="{00000000-0005-0000-0000-0000A8090000}"/>
    <cellStyle name="Calculation 23 2 4 2" xfId="2500" xr:uid="{00000000-0005-0000-0000-0000A9090000}"/>
    <cellStyle name="Calculation 23 2 4 2 2" xfId="2501" xr:uid="{00000000-0005-0000-0000-0000AA090000}"/>
    <cellStyle name="Calculation 23 2 4 3" xfId="2502" xr:uid="{00000000-0005-0000-0000-0000AB090000}"/>
    <cellStyle name="Calculation 23 2 5" xfId="2503" xr:uid="{00000000-0005-0000-0000-0000AC090000}"/>
    <cellStyle name="Calculation 23 2 5 2" xfId="2504" xr:uid="{00000000-0005-0000-0000-0000AD090000}"/>
    <cellStyle name="Calculation 23 2 5 2 2" xfId="2505" xr:uid="{00000000-0005-0000-0000-0000AE090000}"/>
    <cellStyle name="Calculation 23 2 5 3" xfId="2506" xr:uid="{00000000-0005-0000-0000-0000AF090000}"/>
    <cellStyle name="Calculation 23 2 6" xfId="2507" xr:uid="{00000000-0005-0000-0000-0000B0090000}"/>
    <cellStyle name="Calculation 23 2 6 2" xfId="2508" xr:uid="{00000000-0005-0000-0000-0000B1090000}"/>
    <cellStyle name="Calculation 23 2 6 2 2" xfId="2509" xr:uid="{00000000-0005-0000-0000-0000B2090000}"/>
    <cellStyle name="Calculation 23 2 6 3" xfId="2510" xr:uid="{00000000-0005-0000-0000-0000B3090000}"/>
    <cellStyle name="Calculation 23 2 7" xfId="2511" xr:uid="{00000000-0005-0000-0000-0000B4090000}"/>
    <cellStyle name="Calculation 23 2 7 2" xfId="2512" xr:uid="{00000000-0005-0000-0000-0000B5090000}"/>
    <cellStyle name="Calculation 23 2 7 2 2" xfId="2513" xr:uid="{00000000-0005-0000-0000-0000B6090000}"/>
    <cellStyle name="Calculation 23 2 7 3" xfId="2514" xr:uid="{00000000-0005-0000-0000-0000B7090000}"/>
    <cellStyle name="Calculation 23 2 8" xfId="2515" xr:uid="{00000000-0005-0000-0000-0000B8090000}"/>
    <cellStyle name="Calculation 23 2 8 2" xfId="2516" xr:uid="{00000000-0005-0000-0000-0000B9090000}"/>
    <cellStyle name="Calculation 23 2 8 2 2" xfId="2517" xr:uid="{00000000-0005-0000-0000-0000BA090000}"/>
    <cellStyle name="Calculation 23 2 8 3" xfId="2518" xr:uid="{00000000-0005-0000-0000-0000BB090000}"/>
    <cellStyle name="Calculation 23 2 9" xfId="2519" xr:uid="{00000000-0005-0000-0000-0000BC090000}"/>
    <cellStyle name="Calculation 23 2 9 2" xfId="2520" xr:uid="{00000000-0005-0000-0000-0000BD090000}"/>
    <cellStyle name="Calculation 23 2 9 2 2" xfId="2521" xr:uid="{00000000-0005-0000-0000-0000BE090000}"/>
    <cellStyle name="Calculation 23 2 9 3" xfId="2522" xr:uid="{00000000-0005-0000-0000-0000BF090000}"/>
    <cellStyle name="Calculation 23 3" xfId="2523" xr:uid="{00000000-0005-0000-0000-0000C0090000}"/>
    <cellStyle name="Calculation 23 3 2" xfId="2524" xr:uid="{00000000-0005-0000-0000-0000C1090000}"/>
    <cellStyle name="Calculation 23 3 2 2" xfId="2525" xr:uid="{00000000-0005-0000-0000-0000C2090000}"/>
    <cellStyle name="Calculation 23 3 3" xfId="2526" xr:uid="{00000000-0005-0000-0000-0000C3090000}"/>
    <cellStyle name="Calculation 24" xfId="2527" xr:uid="{00000000-0005-0000-0000-0000C4090000}"/>
    <cellStyle name="Calculation 24 2" xfId="2528" xr:uid="{00000000-0005-0000-0000-0000C5090000}"/>
    <cellStyle name="Calculation 24 2 10" xfId="2529" xr:uid="{00000000-0005-0000-0000-0000C6090000}"/>
    <cellStyle name="Calculation 24 2 10 2" xfId="2530" xr:uid="{00000000-0005-0000-0000-0000C7090000}"/>
    <cellStyle name="Calculation 24 2 10 2 2" xfId="2531" xr:uid="{00000000-0005-0000-0000-0000C8090000}"/>
    <cellStyle name="Calculation 24 2 10 3" xfId="2532" xr:uid="{00000000-0005-0000-0000-0000C9090000}"/>
    <cellStyle name="Calculation 24 2 11" xfId="2533" xr:uid="{00000000-0005-0000-0000-0000CA090000}"/>
    <cellStyle name="Calculation 24 2 11 2" xfId="2534" xr:uid="{00000000-0005-0000-0000-0000CB090000}"/>
    <cellStyle name="Calculation 24 2 11 2 2" xfId="2535" xr:uid="{00000000-0005-0000-0000-0000CC090000}"/>
    <cellStyle name="Calculation 24 2 11 3" xfId="2536" xr:uid="{00000000-0005-0000-0000-0000CD090000}"/>
    <cellStyle name="Calculation 24 2 12" xfId="2537" xr:uid="{00000000-0005-0000-0000-0000CE090000}"/>
    <cellStyle name="Calculation 24 2 12 2" xfId="2538" xr:uid="{00000000-0005-0000-0000-0000CF090000}"/>
    <cellStyle name="Calculation 24 2 12 2 2" xfId="2539" xr:uid="{00000000-0005-0000-0000-0000D0090000}"/>
    <cellStyle name="Calculation 24 2 12 3" xfId="2540" xr:uid="{00000000-0005-0000-0000-0000D1090000}"/>
    <cellStyle name="Calculation 24 2 13" xfId="2541" xr:uid="{00000000-0005-0000-0000-0000D2090000}"/>
    <cellStyle name="Calculation 24 2 13 2" xfId="2542" xr:uid="{00000000-0005-0000-0000-0000D3090000}"/>
    <cellStyle name="Calculation 24 2 13 2 2" xfId="2543" xr:uid="{00000000-0005-0000-0000-0000D4090000}"/>
    <cellStyle name="Calculation 24 2 13 3" xfId="2544" xr:uid="{00000000-0005-0000-0000-0000D5090000}"/>
    <cellStyle name="Calculation 24 2 14" xfId="2545" xr:uid="{00000000-0005-0000-0000-0000D6090000}"/>
    <cellStyle name="Calculation 24 2 14 2" xfId="2546" xr:uid="{00000000-0005-0000-0000-0000D7090000}"/>
    <cellStyle name="Calculation 24 2 14 2 2" xfId="2547" xr:uid="{00000000-0005-0000-0000-0000D8090000}"/>
    <cellStyle name="Calculation 24 2 14 3" xfId="2548" xr:uid="{00000000-0005-0000-0000-0000D9090000}"/>
    <cellStyle name="Calculation 24 2 15" xfId="2549" xr:uid="{00000000-0005-0000-0000-0000DA090000}"/>
    <cellStyle name="Calculation 24 2 15 2" xfId="2550" xr:uid="{00000000-0005-0000-0000-0000DB090000}"/>
    <cellStyle name="Calculation 24 2 15 2 2" xfId="2551" xr:uid="{00000000-0005-0000-0000-0000DC090000}"/>
    <cellStyle name="Calculation 24 2 15 3" xfId="2552" xr:uid="{00000000-0005-0000-0000-0000DD090000}"/>
    <cellStyle name="Calculation 24 2 16" xfId="2553" xr:uid="{00000000-0005-0000-0000-0000DE090000}"/>
    <cellStyle name="Calculation 24 2 16 2" xfId="2554" xr:uid="{00000000-0005-0000-0000-0000DF090000}"/>
    <cellStyle name="Calculation 24 2 16 2 2" xfId="2555" xr:uid="{00000000-0005-0000-0000-0000E0090000}"/>
    <cellStyle name="Calculation 24 2 16 3" xfId="2556" xr:uid="{00000000-0005-0000-0000-0000E1090000}"/>
    <cellStyle name="Calculation 24 2 17" xfId="2557" xr:uid="{00000000-0005-0000-0000-0000E2090000}"/>
    <cellStyle name="Calculation 24 2 17 2" xfId="2558" xr:uid="{00000000-0005-0000-0000-0000E3090000}"/>
    <cellStyle name="Calculation 24 2 17 2 2" xfId="2559" xr:uid="{00000000-0005-0000-0000-0000E4090000}"/>
    <cellStyle name="Calculation 24 2 17 3" xfId="2560" xr:uid="{00000000-0005-0000-0000-0000E5090000}"/>
    <cellStyle name="Calculation 24 2 18" xfId="2561" xr:uid="{00000000-0005-0000-0000-0000E6090000}"/>
    <cellStyle name="Calculation 24 2 18 2" xfId="2562" xr:uid="{00000000-0005-0000-0000-0000E7090000}"/>
    <cellStyle name="Calculation 24 2 19" xfId="2563" xr:uid="{00000000-0005-0000-0000-0000E8090000}"/>
    <cellStyle name="Calculation 24 2 2" xfId="2564" xr:uid="{00000000-0005-0000-0000-0000E9090000}"/>
    <cellStyle name="Calculation 24 2 2 2" xfId="2565" xr:uid="{00000000-0005-0000-0000-0000EA090000}"/>
    <cellStyle name="Calculation 24 2 2 2 2" xfId="2566" xr:uid="{00000000-0005-0000-0000-0000EB090000}"/>
    <cellStyle name="Calculation 24 2 2 3" xfId="2567" xr:uid="{00000000-0005-0000-0000-0000EC090000}"/>
    <cellStyle name="Calculation 24 2 3" xfId="2568" xr:uid="{00000000-0005-0000-0000-0000ED090000}"/>
    <cellStyle name="Calculation 24 2 3 2" xfId="2569" xr:uid="{00000000-0005-0000-0000-0000EE090000}"/>
    <cellStyle name="Calculation 24 2 3 2 2" xfId="2570" xr:uid="{00000000-0005-0000-0000-0000EF090000}"/>
    <cellStyle name="Calculation 24 2 3 3" xfId="2571" xr:uid="{00000000-0005-0000-0000-0000F0090000}"/>
    <cellStyle name="Calculation 24 2 4" xfId="2572" xr:uid="{00000000-0005-0000-0000-0000F1090000}"/>
    <cellStyle name="Calculation 24 2 4 2" xfId="2573" xr:uid="{00000000-0005-0000-0000-0000F2090000}"/>
    <cellStyle name="Calculation 24 2 4 2 2" xfId="2574" xr:uid="{00000000-0005-0000-0000-0000F3090000}"/>
    <cellStyle name="Calculation 24 2 4 3" xfId="2575" xr:uid="{00000000-0005-0000-0000-0000F4090000}"/>
    <cellStyle name="Calculation 24 2 5" xfId="2576" xr:uid="{00000000-0005-0000-0000-0000F5090000}"/>
    <cellStyle name="Calculation 24 2 5 2" xfId="2577" xr:uid="{00000000-0005-0000-0000-0000F6090000}"/>
    <cellStyle name="Calculation 24 2 5 2 2" xfId="2578" xr:uid="{00000000-0005-0000-0000-0000F7090000}"/>
    <cellStyle name="Calculation 24 2 5 3" xfId="2579" xr:uid="{00000000-0005-0000-0000-0000F8090000}"/>
    <cellStyle name="Calculation 24 2 6" xfId="2580" xr:uid="{00000000-0005-0000-0000-0000F9090000}"/>
    <cellStyle name="Calculation 24 2 6 2" xfId="2581" xr:uid="{00000000-0005-0000-0000-0000FA090000}"/>
    <cellStyle name="Calculation 24 2 6 2 2" xfId="2582" xr:uid="{00000000-0005-0000-0000-0000FB090000}"/>
    <cellStyle name="Calculation 24 2 6 3" xfId="2583" xr:uid="{00000000-0005-0000-0000-0000FC090000}"/>
    <cellStyle name="Calculation 24 2 7" xfId="2584" xr:uid="{00000000-0005-0000-0000-0000FD090000}"/>
    <cellStyle name="Calculation 24 2 7 2" xfId="2585" xr:uid="{00000000-0005-0000-0000-0000FE090000}"/>
    <cellStyle name="Calculation 24 2 7 2 2" xfId="2586" xr:uid="{00000000-0005-0000-0000-0000FF090000}"/>
    <cellStyle name="Calculation 24 2 7 3" xfId="2587" xr:uid="{00000000-0005-0000-0000-0000000A0000}"/>
    <cellStyle name="Calculation 24 2 8" xfId="2588" xr:uid="{00000000-0005-0000-0000-0000010A0000}"/>
    <cellStyle name="Calculation 24 2 8 2" xfId="2589" xr:uid="{00000000-0005-0000-0000-0000020A0000}"/>
    <cellStyle name="Calculation 24 2 8 2 2" xfId="2590" xr:uid="{00000000-0005-0000-0000-0000030A0000}"/>
    <cellStyle name="Calculation 24 2 8 3" xfId="2591" xr:uid="{00000000-0005-0000-0000-0000040A0000}"/>
    <cellStyle name="Calculation 24 2 9" xfId="2592" xr:uid="{00000000-0005-0000-0000-0000050A0000}"/>
    <cellStyle name="Calculation 24 2 9 2" xfId="2593" xr:uid="{00000000-0005-0000-0000-0000060A0000}"/>
    <cellStyle name="Calculation 24 2 9 2 2" xfId="2594" xr:uid="{00000000-0005-0000-0000-0000070A0000}"/>
    <cellStyle name="Calculation 24 2 9 3" xfId="2595" xr:uid="{00000000-0005-0000-0000-0000080A0000}"/>
    <cellStyle name="Calculation 24 3" xfId="2596" xr:uid="{00000000-0005-0000-0000-0000090A0000}"/>
    <cellStyle name="Calculation 24 3 2" xfId="2597" xr:uid="{00000000-0005-0000-0000-00000A0A0000}"/>
    <cellStyle name="Calculation 24 3 2 2" xfId="2598" xr:uid="{00000000-0005-0000-0000-00000B0A0000}"/>
    <cellStyle name="Calculation 24 3 3" xfId="2599" xr:uid="{00000000-0005-0000-0000-00000C0A0000}"/>
    <cellStyle name="Calculation 25" xfId="2600" xr:uid="{00000000-0005-0000-0000-00000D0A0000}"/>
    <cellStyle name="Calculation 25 2" xfId="2601" xr:uid="{00000000-0005-0000-0000-00000E0A0000}"/>
    <cellStyle name="Calculation 25 2 10" xfId="2602" xr:uid="{00000000-0005-0000-0000-00000F0A0000}"/>
    <cellStyle name="Calculation 25 2 10 2" xfId="2603" xr:uid="{00000000-0005-0000-0000-0000100A0000}"/>
    <cellStyle name="Calculation 25 2 10 2 2" xfId="2604" xr:uid="{00000000-0005-0000-0000-0000110A0000}"/>
    <cellStyle name="Calculation 25 2 10 3" xfId="2605" xr:uid="{00000000-0005-0000-0000-0000120A0000}"/>
    <cellStyle name="Calculation 25 2 11" xfId="2606" xr:uid="{00000000-0005-0000-0000-0000130A0000}"/>
    <cellStyle name="Calculation 25 2 11 2" xfId="2607" xr:uid="{00000000-0005-0000-0000-0000140A0000}"/>
    <cellStyle name="Calculation 25 2 11 2 2" xfId="2608" xr:uid="{00000000-0005-0000-0000-0000150A0000}"/>
    <cellStyle name="Calculation 25 2 11 3" xfId="2609" xr:uid="{00000000-0005-0000-0000-0000160A0000}"/>
    <cellStyle name="Calculation 25 2 12" xfId="2610" xr:uid="{00000000-0005-0000-0000-0000170A0000}"/>
    <cellStyle name="Calculation 25 2 12 2" xfId="2611" xr:uid="{00000000-0005-0000-0000-0000180A0000}"/>
    <cellStyle name="Calculation 25 2 12 2 2" xfId="2612" xr:uid="{00000000-0005-0000-0000-0000190A0000}"/>
    <cellStyle name="Calculation 25 2 12 3" xfId="2613" xr:uid="{00000000-0005-0000-0000-00001A0A0000}"/>
    <cellStyle name="Calculation 25 2 13" xfId="2614" xr:uid="{00000000-0005-0000-0000-00001B0A0000}"/>
    <cellStyle name="Calculation 25 2 13 2" xfId="2615" xr:uid="{00000000-0005-0000-0000-00001C0A0000}"/>
    <cellStyle name="Calculation 25 2 13 2 2" xfId="2616" xr:uid="{00000000-0005-0000-0000-00001D0A0000}"/>
    <cellStyle name="Calculation 25 2 13 3" xfId="2617" xr:uid="{00000000-0005-0000-0000-00001E0A0000}"/>
    <cellStyle name="Calculation 25 2 14" xfId="2618" xr:uid="{00000000-0005-0000-0000-00001F0A0000}"/>
    <cellStyle name="Calculation 25 2 14 2" xfId="2619" xr:uid="{00000000-0005-0000-0000-0000200A0000}"/>
    <cellStyle name="Calculation 25 2 14 2 2" xfId="2620" xr:uid="{00000000-0005-0000-0000-0000210A0000}"/>
    <cellStyle name="Calculation 25 2 14 3" xfId="2621" xr:uid="{00000000-0005-0000-0000-0000220A0000}"/>
    <cellStyle name="Calculation 25 2 15" xfId="2622" xr:uid="{00000000-0005-0000-0000-0000230A0000}"/>
    <cellStyle name="Calculation 25 2 15 2" xfId="2623" xr:uid="{00000000-0005-0000-0000-0000240A0000}"/>
    <cellStyle name="Calculation 25 2 15 2 2" xfId="2624" xr:uid="{00000000-0005-0000-0000-0000250A0000}"/>
    <cellStyle name="Calculation 25 2 15 3" xfId="2625" xr:uid="{00000000-0005-0000-0000-0000260A0000}"/>
    <cellStyle name="Calculation 25 2 16" xfId="2626" xr:uid="{00000000-0005-0000-0000-0000270A0000}"/>
    <cellStyle name="Calculation 25 2 16 2" xfId="2627" xr:uid="{00000000-0005-0000-0000-0000280A0000}"/>
    <cellStyle name="Calculation 25 2 16 2 2" xfId="2628" xr:uid="{00000000-0005-0000-0000-0000290A0000}"/>
    <cellStyle name="Calculation 25 2 16 3" xfId="2629" xr:uid="{00000000-0005-0000-0000-00002A0A0000}"/>
    <cellStyle name="Calculation 25 2 17" xfId="2630" xr:uid="{00000000-0005-0000-0000-00002B0A0000}"/>
    <cellStyle name="Calculation 25 2 17 2" xfId="2631" xr:uid="{00000000-0005-0000-0000-00002C0A0000}"/>
    <cellStyle name="Calculation 25 2 17 2 2" xfId="2632" xr:uid="{00000000-0005-0000-0000-00002D0A0000}"/>
    <cellStyle name="Calculation 25 2 17 3" xfId="2633" xr:uid="{00000000-0005-0000-0000-00002E0A0000}"/>
    <cellStyle name="Calculation 25 2 18" xfId="2634" xr:uid="{00000000-0005-0000-0000-00002F0A0000}"/>
    <cellStyle name="Calculation 25 2 18 2" xfId="2635" xr:uid="{00000000-0005-0000-0000-0000300A0000}"/>
    <cellStyle name="Calculation 25 2 19" xfId="2636" xr:uid="{00000000-0005-0000-0000-0000310A0000}"/>
    <cellStyle name="Calculation 25 2 2" xfId="2637" xr:uid="{00000000-0005-0000-0000-0000320A0000}"/>
    <cellStyle name="Calculation 25 2 2 2" xfId="2638" xr:uid="{00000000-0005-0000-0000-0000330A0000}"/>
    <cellStyle name="Calculation 25 2 2 2 2" xfId="2639" xr:uid="{00000000-0005-0000-0000-0000340A0000}"/>
    <cellStyle name="Calculation 25 2 2 3" xfId="2640" xr:uid="{00000000-0005-0000-0000-0000350A0000}"/>
    <cellStyle name="Calculation 25 2 3" xfId="2641" xr:uid="{00000000-0005-0000-0000-0000360A0000}"/>
    <cellStyle name="Calculation 25 2 3 2" xfId="2642" xr:uid="{00000000-0005-0000-0000-0000370A0000}"/>
    <cellStyle name="Calculation 25 2 3 2 2" xfId="2643" xr:uid="{00000000-0005-0000-0000-0000380A0000}"/>
    <cellStyle name="Calculation 25 2 3 3" xfId="2644" xr:uid="{00000000-0005-0000-0000-0000390A0000}"/>
    <cellStyle name="Calculation 25 2 4" xfId="2645" xr:uid="{00000000-0005-0000-0000-00003A0A0000}"/>
    <cellStyle name="Calculation 25 2 4 2" xfId="2646" xr:uid="{00000000-0005-0000-0000-00003B0A0000}"/>
    <cellStyle name="Calculation 25 2 4 2 2" xfId="2647" xr:uid="{00000000-0005-0000-0000-00003C0A0000}"/>
    <cellStyle name="Calculation 25 2 4 3" xfId="2648" xr:uid="{00000000-0005-0000-0000-00003D0A0000}"/>
    <cellStyle name="Calculation 25 2 5" xfId="2649" xr:uid="{00000000-0005-0000-0000-00003E0A0000}"/>
    <cellStyle name="Calculation 25 2 5 2" xfId="2650" xr:uid="{00000000-0005-0000-0000-00003F0A0000}"/>
    <cellStyle name="Calculation 25 2 5 2 2" xfId="2651" xr:uid="{00000000-0005-0000-0000-0000400A0000}"/>
    <cellStyle name="Calculation 25 2 5 3" xfId="2652" xr:uid="{00000000-0005-0000-0000-0000410A0000}"/>
    <cellStyle name="Calculation 25 2 6" xfId="2653" xr:uid="{00000000-0005-0000-0000-0000420A0000}"/>
    <cellStyle name="Calculation 25 2 6 2" xfId="2654" xr:uid="{00000000-0005-0000-0000-0000430A0000}"/>
    <cellStyle name="Calculation 25 2 6 2 2" xfId="2655" xr:uid="{00000000-0005-0000-0000-0000440A0000}"/>
    <cellStyle name="Calculation 25 2 6 3" xfId="2656" xr:uid="{00000000-0005-0000-0000-0000450A0000}"/>
    <cellStyle name="Calculation 25 2 7" xfId="2657" xr:uid="{00000000-0005-0000-0000-0000460A0000}"/>
    <cellStyle name="Calculation 25 2 7 2" xfId="2658" xr:uid="{00000000-0005-0000-0000-0000470A0000}"/>
    <cellStyle name="Calculation 25 2 7 2 2" xfId="2659" xr:uid="{00000000-0005-0000-0000-0000480A0000}"/>
    <cellStyle name="Calculation 25 2 7 3" xfId="2660" xr:uid="{00000000-0005-0000-0000-0000490A0000}"/>
    <cellStyle name="Calculation 25 2 8" xfId="2661" xr:uid="{00000000-0005-0000-0000-00004A0A0000}"/>
    <cellStyle name="Calculation 25 2 8 2" xfId="2662" xr:uid="{00000000-0005-0000-0000-00004B0A0000}"/>
    <cellStyle name="Calculation 25 2 8 2 2" xfId="2663" xr:uid="{00000000-0005-0000-0000-00004C0A0000}"/>
    <cellStyle name="Calculation 25 2 8 3" xfId="2664" xr:uid="{00000000-0005-0000-0000-00004D0A0000}"/>
    <cellStyle name="Calculation 25 2 9" xfId="2665" xr:uid="{00000000-0005-0000-0000-00004E0A0000}"/>
    <cellStyle name="Calculation 25 2 9 2" xfId="2666" xr:uid="{00000000-0005-0000-0000-00004F0A0000}"/>
    <cellStyle name="Calculation 25 2 9 2 2" xfId="2667" xr:uid="{00000000-0005-0000-0000-0000500A0000}"/>
    <cellStyle name="Calculation 25 2 9 3" xfId="2668" xr:uid="{00000000-0005-0000-0000-0000510A0000}"/>
    <cellStyle name="Calculation 25 3" xfId="2669" xr:uid="{00000000-0005-0000-0000-0000520A0000}"/>
    <cellStyle name="Calculation 25 3 2" xfId="2670" xr:uid="{00000000-0005-0000-0000-0000530A0000}"/>
    <cellStyle name="Calculation 25 3 2 2" xfId="2671" xr:uid="{00000000-0005-0000-0000-0000540A0000}"/>
    <cellStyle name="Calculation 25 3 3" xfId="2672" xr:uid="{00000000-0005-0000-0000-0000550A0000}"/>
    <cellStyle name="Calculation 26" xfId="2673" xr:uid="{00000000-0005-0000-0000-0000560A0000}"/>
    <cellStyle name="Calculation 26 2" xfId="2674" xr:uid="{00000000-0005-0000-0000-0000570A0000}"/>
    <cellStyle name="Calculation 26 2 10" xfId="2675" xr:uid="{00000000-0005-0000-0000-0000580A0000}"/>
    <cellStyle name="Calculation 26 2 10 2" xfId="2676" xr:uid="{00000000-0005-0000-0000-0000590A0000}"/>
    <cellStyle name="Calculation 26 2 10 2 2" xfId="2677" xr:uid="{00000000-0005-0000-0000-00005A0A0000}"/>
    <cellStyle name="Calculation 26 2 10 3" xfId="2678" xr:uid="{00000000-0005-0000-0000-00005B0A0000}"/>
    <cellStyle name="Calculation 26 2 11" xfId="2679" xr:uid="{00000000-0005-0000-0000-00005C0A0000}"/>
    <cellStyle name="Calculation 26 2 11 2" xfId="2680" xr:uid="{00000000-0005-0000-0000-00005D0A0000}"/>
    <cellStyle name="Calculation 26 2 11 2 2" xfId="2681" xr:uid="{00000000-0005-0000-0000-00005E0A0000}"/>
    <cellStyle name="Calculation 26 2 11 3" xfId="2682" xr:uid="{00000000-0005-0000-0000-00005F0A0000}"/>
    <cellStyle name="Calculation 26 2 12" xfId="2683" xr:uid="{00000000-0005-0000-0000-0000600A0000}"/>
    <cellStyle name="Calculation 26 2 12 2" xfId="2684" xr:uid="{00000000-0005-0000-0000-0000610A0000}"/>
    <cellStyle name="Calculation 26 2 12 2 2" xfId="2685" xr:uid="{00000000-0005-0000-0000-0000620A0000}"/>
    <cellStyle name="Calculation 26 2 12 3" xfId="2686" xr:uid="{00000000-0005-0000-0000-0000630A0000}"/>
    <cellStyle name="Calculation 26 2 13" xfId="2687" xr:uid="{00000000-0005-0000-0000-0000640A0000}"/>
    <cellStyle name="Calculation 26 2 13 2" xfId="2688" xr:uid="{00000000-0005-0000-0000-0000650A0000}"/>
    <cellStyle name="Calculation 26 2 13 2 2" xfId="2689" xr:uid="{00000000-0005-0000-0000-0000660A0000}"/>
    <cellStyle name="Calculation 26 2 13 3" xfId="2690" xr:uid="{00000000-0005-0000-0000-0000670A0000}"/>
    <cellStyle name="Calculation 26 2 14" xfId="2691" xr:uid="{00000000-0005-0000-0000-0000680A0000}"/>
    <cellStyle name="Calculation 26 2 14 2" xfId="2692" xr:uid="{00000000-0005-0000-0000-0000690A0000}"/>
    <cellStyle name="Calculation 26 2 14 2 2" xfId="2693" xr:uid="{00000000-0005-0000-0000-00006A0A0000}"/>
    <cellStyle name="Calculation 26 2 14 3" xfId="2694" xr:uid="{00000000-0005-0000-0000-00006B0A0000}"/>
    <cellStyle name="Calculation 26 2 15" xfId="2695" xr:uid="{00000000-0005-0000-0000-00006C0A0000}"/>
    <cellStyle name="Calculation 26 2 15 2" xfId="2696" xr:uid="{00000000-0005-0000-0000-00006D0A0000}"/>
    <cellStyle name="Calculation 26 2 15 2 2" xfId="2697" xr:uid="{00000000-0005-0000-0000-00006E0A0000}"/>
    <cellStyle name="Calculation 26 2 15 3" xfId="2698" xr:uid="{00000000-0005-0000-0000-00006F0A0000}"/>
    <cellStyle name="Calculation 26 2 16" xfId="2699" xr:uid="{00000000-0005-0000-0000-0000700A0000}"/>
    <cellStyle name="Calculation 26 2 16 2" xfId="2700" xr:uid="{00000000-0005-0000-0000-0000710A0000}"/>
    <cellStyle name="Calculation 26 2 16 2 2" xfId="2701" xr:uid="{00000000-0005-0000-0000-0000720A0000}"/>
    <cellStyle name="Calculation 26 2 16 3" xfId="2702" xr:uid="{00000000-0005-0000-0000-0000730A0000}"/>
    <cellStyle name="Calculation 26 2 17" xfId="2703" xr:uid="{00000000-0005-0000-0000-0000740A0000}"/>
    <cellStyle name="Calculation 26 2 17 2" xfId="2704" xr:uid="{00000000-0005-0000-0000-0000750A0000}"/>
    <cellStyle name="Calculation 26 2 17 2 2" xfId="2705" xr:uid="{00000000-0005-0000-0000-0000760A0000}"/>
    <cellStyle name="Calculation 26 2 17 3" xfId="2706" xr:uid="{00000000-0005-0000-0000-0000770A0000}"/>
    <cellStyle name="Calculation 26 2 18" xfId="2707" xr:uid="{00000000-0005-0000-0000-0000780A0000}"/>
    <cellStyle name="Calculation 26 2 18 2" xfId="2708" xr:uid="{00000000-0005-0000-0000-0000790A0000}"/>
    <cellStyle name="Calculation 26 2 19" xfId="2709" xr:uid="{00000000-0005-0000-0000-00007A0A0000}"/>
    <cellStyle name="Calculation 26 2 2" xfId="2710" xr:uid="{00000000-0005-0000-0000-00007B0A0000}"/>
    <cellStyle name="Calculation 26 2 2 2" xfId="2711" xr:uid="{00000000-0005-0000-0000-00007C0A0000}"/>
    <cellStyle name="Calculation 26 2 2 2 2" xfId="2712" xr:uid="{00000000-0005-0000-0000-00007D0A0000}"/>
    <cellStyle name="Calculation 26 2 2 3" xfId="2713" xr:uid="{00000000-0005-0000-0000-00007E0A0000}"/>
    <cellStyle name="Calculation 26 2 3" xfId="2714" xr:uid="{00000000-0005-0000-0000-00007F0A0000}"/>
    <cellStyle name="Calculation 26 2 3 2" xfId="2715" xr:uid="{00000000-0005-0000-0000-0000800A0000}"/>
    <cellStyle name="Calculation 26 2 3 2 2" xfId="2716" xr:uid="{00000000-0005-0000-0000-0000810A0000}"/>
    <cellStyle name="Calculation 26 2 3 3" xfId="2717" xr:uid="{00000000-0005-0000-0000-0000820A0000}"/>
    <cellStyle name="Calculation 26 2 4" xfId="2718" xr:uid="{00000000-0005-0000-0000-0000830A0000}"/>
    <cellStyle name="Calculation 26 2 4 2" xfId="2719" xr:uid="{00000000-0005-0000-0000-0000840A0000}"/>
    <cellStyle name="Calculation 26 2 4 2 2" xfId="2720" xr:uid="{00000000-0005-0000-0000-0000850A0000}"/>
    <cellStyle name="Calculation 26 2 4 3" xfId="2721" xr:uid="{00000000-0005-0000-0000-0000860A0000}"/>
    <cellStyle name="Calculation 26 2 5" xfId="2722" xr:uid="{00000000-0005-0000-0000-0000870A0000}"/>
    <cellStyle name="Calculation 26 2 5 2" xfId="2723" xr:uid="{00000000-0005-0000-0000-0000880A0000}"/>
    <cellStyle name="Calculation 26 2 5 2 2" xfId="2724" xr:uid="{00000000-0005-0000-0000-0000890A0000}"/>
    <cellStyle name="Calculation 26 2 5 3" xfId="2725" xr:uid="{00000000-0005-0000-0000-00008A0A0000}"/>
    <cellStyle name="Calculation 26 2 6" xfId="2726" xr:uid="{00000000-0005-0000-0000-00008B0A0000}"/>
    <cellStyle name="Calculation 26 2 6 2" xfId="2727" xr:uid="{00000000-0005-0000-0000-00008C0A0000}"/>
    <cellStyle name="Calculation 26 2 6 2 2" xfId="2728" xr:uid="{00000000-0005-0000-0000-00008D0A0000}"/>
    <cellStyle name="Calculation 26 2 6 3" xfId="2729" xr:uid="{00000000-0005-0000-0000-00008E0A0000}"/>
    <cellStyle name="Calculation 26 2 7" xfId="2730" xr:uid="{00000000-0005-0000-0000-00008F0A0000}"/>
    <cellStyle name="Calculation 26 2 7 2" xfId="2731" xr:uid="{00000000-0005-0000-0000-0000900A0000}"/>
    <cellStyle name="Calculation 26 2 7 2 2" xfId="2732" xr:uid="{00000000-0005-0000-0000-0000910A0000}"/>
    <cellStyle name="Calculation 26 2 7 3" xfId="2733" xr:uid="{00000000-0005-0000-0000-0000920A0000}"/>
    <cellStyle name="Calculation 26 2 8" xfId="2734" xr:uid="{00000000-0005-0000-0000-0000930A0000}"/>
    <cellStyle name="Calculation 26 2 8 2" xfId="2735" xr:uid="{00000000-0005-0000-0000-0000940A0000}"/>
    <cellStyle name="Calculation 26 2 8 2 2" xfId="2736" xr:uid="{00000000-0005-0000-0000-0000950A0000}"/>
    <cellStyle name="Calculation 26 2 8 3" xfId="2737" xr:uid="{00000000-0005-0000-0000-0000960A0000}"/>
    <cellStyle name="Calculation 26 2 9" xfId="2738" xr:uid="{00000000-0005-0000-0000-0000970A0000}"/>
    <cellStyle name="Calculation 26 2 9 2" xfId="2739" xr:uid="{00000000-0005-0000-0000-0000980A0000}"/>
    <cellStyle name="Calculation 26 2 9 2 2" xfId="2740" xr:uid="{00000000-0005-0000-0000-0000990A0000}"/>
    <cellStyle name="Calculation 26 2 9 3" xfId="2741" xr:uid="{00000000-0005-0000-0000-00009A0A0000}"/>
    <cellStyle name="Calculation 26 3" xfId="2742" xr:uid="{00000000-0005-0000-0000-00009B0A0000}"/>
    <cellStyle name="Calculation 26 3 2" xfId="2743" xr:uid="{00000000-0005-0000-0000-00009C0A0000}"/>
    <cellStyle name="Calculation 26 3 2 2" xfId="2744" xr:uid="{00000000-0005-0000-0000-00009D0A0000}"/>
    <cellStyle name="Calculation 26 3 3" xfId="2745" xr:uid="{00000000-0005-0000-0000-00009E0A0000}"/>
    <cellStyle name="Calculation 27" xfId="2746" xr:uid="{00000000-0005-0000-0000-00009F0A0000}"/>
    <cellStyle name="Calculation 27 2" xfId="2747" xr:uid="{00000000-0005-0000-0000-0000A00A0000}"/>
    <cellStyle name="Calculation 27 2 10" xfId="2748" xr:uid="{00000000-0005-0000-0000-0000A10A0000}"/>
    <cellStyle name="Calculation 27 2 10 2" xfId="2749" xr:uid="{00000000-0005-0000-0000-0000A20A0000}"/>
    <cellStyle name="Calculation 27 2 10 2 2" xfId="2750" xr:uid="{00000000-0005-0000-0000-0000A30A0000}"/>
    <cellStyle name="Calculation 27 2 10 3" xfId="2751" xr:uid="{00000000-0005-0000-0000-0000A40A0000}"/>
    <cellStyle name="Calculation 27 2 11" xfId="2752" xr:uid="{00000000-0005-0000-0000-0000A50A0000}"/>
    <cellStyle name="Calculation 27 2 11 2" xfId="2753" xr:uid="{00000000-0005-0000-0000-0000A60A0000}"/>
    <cellStyle name="Calculation 27 2 11 2 2" xfId="2754" xr:uid="{00000000-0005-0000-0000-0000A70A0000}"/>
    <cellStyle name="Calculation 27 2 11 3" xfId="2755" xr:uid="{00000000-0005-0000-0000-0000A80A0000}"/>
    <cellStyle name="Calculation 27 2 12" xfId="2756" xr:uid="{00000000-0005-0000-0000-0000A90A0000}"/>
    <cellStyle name="Calculation 27 2 12 2" xfId="2757" xr:uid="{00000000-0005-0000-0000-0000AA0A0000}"/>
    <cellStyle name="Calculation 27 2 12 2 2" xfId="2758" xr:uid="{00000000-0005-0000-0000-0000AB0A0000}"/>
    <cellStyle name="Calculation 27 2 12 3" xfId="2759" xr:uid="{00000000-0005-0000-0000-0000AC0A0000}"/>
    <cellStyle name="Calculation 27 2 13" xfId="2760" xr:uid="{00000000-0005-0000-0000-0000AD0A0000}"/>
    <cellStyle name="Calculation 27 2 13 2" xfId="2761" xr:uid="{00000000-0005-0000-0000-0000AE0A0000}"/>
    <cellStyle name="Calculation 27 2 13 2 2" xfId="2762" xr:uid="{00000000-0005-0000-0000-0000AF0A0000}"/>
    <cellStyle name="Calculation 27 2 13 3" xfId="2763" xr:uid="{00000000-0005-0000-0000-0000B00A0000}"/>
    <cellStyle name="Calculation 27 2 14" xfId="2764" xr:uid="{00000000-0005-0000-0000-0000B10A0000}"/>
    <cellStyle name="Calculation 27 2 14 2" xfId="2765" xr:uid="{00000000-0005-0000-0000-0000B20A0000}"/>
    <cellStyle name="Calculation 27 2 14 2 2" xfId="2766" xr:uid="{00000000-0005-0000-0000-0000B30A0000}"/>
    <cellStyle name="Calculation 27 2 14 3" xfId="2767" xr:uid="{00000000-0005-0000-0000-0000B40A0000}"/>
    <cellStyle name="Calculation 27 2 15" xfId="2768" xr:uid="{00000000-0005-0000-0000-0000B50A0000}"/>
    <cellStyle name="Calculation 27 2 15 2" xfId="2769" xr:uid="{00000000-0005-0000-0000-0000B60A0000}"/>
    <cellStyle name="Calculation 27 2 15 2 2" xfId="2770" xr:uid="{00000000-0005-0000-0000-0000B70A0000}"/>
    <cellStyle name="Calculation 27 2 15 3" xfId="2771" xr:uid="{00000000-0005-0000-0000-0000B80A0000}"/>
    <cellStyle name="Calculation 27 2 16" xfId="2772" xr:uid="{00000000-0005-0000-0000-0000B90A0000}"/>
    <cellStyle name="Calculation 27 2 16 2" xfId="2773" xr:uid="{00000000-0005-0000-0000-0000BA0A0000}"/>
    <cellStyle name="Calculation 27 2 16 2 2" xfId="2774" xr:uid="{00000000-0005-0000-0000-0000BB0A0000}"/>
    <cellStyle name="Calculation 27 2 16 3" xfId="2775" xr:uid="{00000000-0005-0000-0000-0000BC0A0000}"/>
    <cellStyle name="Calculation 27 2 17" xfId="2776" xr:uid="{00000000-0005-0000-0000-0000BD0A0000}"/>
    <cellStyle name="Calculation 27 2 17 2" xfId="2777" xr:uid="{00000000-0005-0000-0000-0000BE0A0000}"/>
    <cellStyle name="Calculation 27 2 17 2 2" xfId="2778" xr:uid="{00000000-0005-0000-0000-0000BF0A0000}"/>
    <cellStyle name="Calculation 27 2 17 3" xfId="2779" xr:uid="{00000000-0005-0000-0000-0000C00A0000}"/>
    <cellStyle name="Calculation 27 2 18" xfId="2780" xr:uid="{00000000-0005-0000-0000-0000C10A0000}"/>
    <cellStyle name="Calculation 27 2 18 2" xfId="2781" xr:uid="{00000000-0005-0000-0000-0000C20A0000}"/>
    <cellStyle name="Calculation 27 2 19" xfId="2782" xr:uid="{00000000-0005-0000-0000-0000C30A0000}"/>
    <cellStyle name="Calculation 27 2 2" xfId="2783" xr:uid="{00000000-0005-0000-0000-0000C40A0000}"/>
    <cellStyle name="Calculation 27 2 2 2" xfId="2784" xr:uid="{00000000-0005-0000-0000-0000C50A0000}"/>
    <cellStyle name="Calculation 27 2 2 2 2" xfId="2785" xr:uid="{00000000-0005-0000-0000-0000C60A0000}"/>
    <cellStyle name="Calculation 27 2 2 3" xfId="2786" xr:uid="{00000000-0005-0000-0000-0000C70A0000}"/>
    <cellStyle name="Calculation 27 2 3" xfId="2787" xr:uid="{00000000-0005-0000-0000-0000C80A0000}"/>
    <cellStyle name="Calculation 27 2 3 2" xfId="2788" xr:uid="{00000000-0005-0000-0000-0000C90A0000}"/>
    <cellStyle name="Calculation 27 2 3 2 2" xfId="2789" xr:uid="{00000000-0005-0000-0000-0000CA0A0000}"/>
    <cellStyle name="Calculation 27 2 3 3" xfId="2790" xr:uid="{00000000-0005-0000-0000-0000CB0A0000}"/>
    <cellStyle name="Calculation 27 2 4" xfId="2791" xr:uid="{00000000-0005-0000-0000-0000CC0A0000}"/>
    <cellStyle name="Calculation 27 2 4 2" xfId="2792" xr:uid="{00000000-0005-0000-0000-0000CD0A0000}"/>
    <cellStyle name="Calculation 27 2 4 2 2" xfId="2793" xr:uid="{00000000-0005-0000-0000-0000CE0A0000}"/>
    <cellStyle name="Calculation 27 2 4 3" xfId="2794" xr:uid="{00000000-0005-0000-0000-0000CF0A0000}"/>
    <cellStyle name="Calculation 27 2 5" xfId="2795" xr:uid="{00000000-0005-0000-0000-0000D00A0000}"/>
    <cellStyle name="Calculation 27 2 5 2" xfId="2796" xr:uid="{00000000-0005-0000-0000-0000D10A0000}"/>
    <cellStyle name="Calculation 27 2 5 2 2" xfId="2797" xr:uid="{00000000-0005-0000-0000-0000D20A0000}"/>
    <cellStyle name="Calculation 27 2 5 3" xfId="2798" xr:uid="{00000000-0005-0000-0000-0000D30A0000}"/>
    <cellStyle name="Calculation 27 2 6" xfId="2799" xr:uid="{00000000-0005-0000-0000-0000D40A0000}"/>
    <cellStyle name="Calculation 27 2 6 2" xfId="2800" xr:uid="{00000000-0005-0000-0000-0000D50A0000}"/>
    <cellStyle name="Calculation 27 2 6 2 2" xfId="2801" xr:uid="{00000000-0005-0000-0000-0000D60A0000}"/>
    <cellStyle name="Calculation 27 2 6 3" xfId="2802" xr:uid="{00000000-0005-0000-0000-0000D70A0000}"/>
    <cellStyle name="Calculation 27 2 7" xfId="2803" xr:uid="{00000000-0005-0000-0000-0000D80A0000}"/>
    <cellStyle name="Calculation 27 2 7 2" xfId="2804" xr:uid="{00000000-0005-0000-0000-0000D90A0000}"/>
    <cellStyle name="Calculation 27 2 7 2 2" xfId="2805" xr:uid="{00000000-0005-0000-0000-0000DA0A0000}"/>
    <cellStyle name="Calculation 27 2 7 3" xfId="2806" xr:uid="{00000000-0005-0000-0000-0000DB0A0000}"/>
    <cellStyle name="Calculation 27 2 8" xfId="2807" xr:uid="{00000000-0005-0000-0000-0000DC0A0000}"/>
    <cellStyle name="Calculation 27 2 8 2" xfId="2808" xr:uid="{00000000-0005-0000-0000-0000DD0A0000}"/>
    <cellStyle name="Calculation 27 2 8 2 2" xfId="2809" xr:uid="{00000000-0005-0000-0000-0000DE0A0000}"/>
    <cellStyle name="Calculation 27 2 8 3" xfId="2810" xr:uid="{00000000-0005-0000-0000-0000DF0A0000}"/>
    <cellStyle name="Calculation 27 2 9" xfId="2811" xr:uid="{00000000-0005-0000-0000-0000E00A0000}"/>
    <cellStyle name="Calculation 27 2 9 2" xfId="2812" xr:uid="{00000000-0005-0000-0000-0000E10A0000}"/>
    <cellStyle name="Calculation 27 2 9 2 2" xfId="2813" xr:uid="{00000000-0005-0000-0000-0000E20A0000}"/>
    <cellStyle name="Calculation 27 2 9 3" xfId="2814" xr:uid="{00000000-0005-0000-0000-0000E30A0000}"/>
    <cellStyle name="Calculation 27 3" xfId="2815" xr:uid="{00000000-0005-0000-0000-0000E40A0000}"/>
    <cellStyle name="Calculation 27 3 2" xfId="2816" xr:uid="{00000000-0005-0000-0000-0000E50A0000}"/>
    <cellStyle name="Calculation 27 3 2 2" xfId="2817" xr:uid="{00000000-0005-0000-0000-0000E60A0000}"/>
    <cellStyle name="Calculation 27 3 3" xfId="2818" xr:uid="{00000000-0005-0000-0000-0000E70A0000}"/>
    <cellStyle name="Calculation 28" xfId="2819" xr:uid="{00000000-0005-0000-0000-0000E80A0000}"/>
    <cellStyle name="Calculation 28 2" xfId="2820" xr:uid="{00000000-0005-0000-0000-0000E90A0000}"/>
    <cellStyle name="Calculation 28 2 10" xfId="2821" xr:uid="{00000000-0005-0000-0000-0000EA0A0000}"/>
    <cellStyle name="Calculation 28 2 10 2" xfId="2822" xr:uid="{00000000-0005-0000-0000-0000EB0A0000}"/>
    <cellStyle name="Calculation 28 2 10 2 2" xfId="2823" xr:uid="{00000000-0005-0000-0000-0000EC0A0000}"/>
    <cellStyle name="Calculation 28 2 10 3" xfId="2824" xr:uid="{00000000-0005-0000-0000-0000ED0A0000}"/>
    <cellStyle name="Calculation 28 2 11" xfId="2825" xr:uid="{00000000-0005-0000-0000-0000EE0A0000}"/>
    <cellStyle name="Calculation 28 2 11 2" xfId="2826" xr:uid="{00000000-0005-0000-0000-0000EF0A0000}"/>
    <cellStyle name="Calculation 28 2 11 2 2" xfId="2827" xr:uid="{00000000-0005-0000-0000-0000F00A0000}"/>
    <cellStyle name="Calculation 28 2 11 3" xfId="2828" xr:uid="{00000000-0005-0000-0000-0000F10A0000}"/>
    <cellStyle name="Calculation 28 2 12" xfId="2829" xr:uid="{00000000-0005-0000-0000-0000F20A0000}"/>
    <cellStyle name="Calculation 28 2 12 2" xfId="2830" xr:uid="{00000000-0005-0000-0000-0000F30A0000}"/>
    <cellStyle name="Calculation 28 2 12 2 2" xfId="2831" xr:uid="{00000000-0005-0000-0000-0000F40A0000}"/>
    <cellStyle name="Calculation 28 2 12 3" xfId="2832" xr:uid="{00000000-0005-0000-0000-0000F50A0000}"/>
    <cellStyle name="Calculation 28 2 13" xfId="2833" xr:uid="{00000000-0005-0000-0000-0000F60A0000}"/>
    <cellStyle name="Calculation 28 2 13 2" xfId="2834" xr:uid="{00000000-0005-0000-0000-0000F70A0000}"/>
    <cellStyle name="Calculation 28 2 13 2 2" xfId="2835" xr:uid="{00000000-0005-0000-0000-0000F80A0000}"/>
    <cellStyle name="Calculation 28 2 13 3" xfId="2836" xr:uid="{00000000-0005-0000-0000-0000F90A0000}"/>
    <cellStyle name="Calculation 28 2 14" xfId="2837" xr:uid="{00000000-0005-0000-0000-0000FA0A0000}"/>
    <cellStyle name="Calculation 28 2 14 2" xfId="2838" xr:uid="{00000000-0005-0000-0000-0000FB0A0000}"/>
    <cellStyle name="Calculation 28 2 14 2 2" xfId="2839" xr:uid="{00000000-0005-0000-0000-0000FC0A0000}"/>
    <cellStyle name="Calculation 28 2 14 3" xfId="2840" xr:uid="{00000000-0005-0000-0000-0000FD0A0000}"/>
    <cellStyle name="Calculation 28 2 15" xfId="2841" xr:uid="{00000000-0005-0000-0000-0000FE0A0000}"/>
    <cellStyle name="Calculation 28 2 15 2" xfId="2842" xr:uid="{00000000-0005-0000-0000-0000FF0A0000}"/>
    <cellStyle name="Calculation 28 2 15 2 2" xfId="2843" xr:uid="{00000000-0005-0000-0000-0000000B0000}"/>
    <cellStyle name="Calculation 28 2 15 3" xfId="2844" xr:uid="{00000000-0005-0000-0000-0000010B0000}"/>
    <cellStyle name="Calculation 28 2 16" xfId="2845" xr:uid="{00000000-0005-0000-0000-0000020B0000}"/>
    <cellStyle name="Calculation 28 2 16 2" xfId="2846" xr:uid="{00000000-0005-0000-0000-0000030B0000}"/>
    <cellStyle name="Calculation 28 2 16 2 2" xfId="2847" xr:uid="{00000000-0005-0000-0000-0000040B0000}"/>
    <cellStyle name="Calculation 28 2 16 3" xfId="2848" xr:uid="{00000000-0005-0000-0000-0000050B0000}"/>
    <cellStyle name="Calculation 28 2 17" xfId="2849" xr:uid="{00000000-0005-0000-0000-0000060B0000}"/>
    <cellStyle name="Calculation 28 2 17 2" xfId="2850" xr:uid="{00000000-0005-0000-0000-0000070B0000}"/>
    <cellStyle name="Calculation 28 2 17 2 2" xfId="2851" xr:uid="{00000000-0005-0000-0000-0000080B0000}"/>
    <cellStyle name="Calculation 28 2 17 3" xfId="2852" xr:uid="{00000000-0005-0000-0000-0000090B0000}"/>
    <cellStyle name="Calculation 28 2 18" xfId="2853" xr:uid="{00000000-0005-0000-0000-00000A0B0000}"/>
    <cellStyle name="Calculation 28 2 18 2" xfId="2854" xr:uid="{00000000-0005-0000-0000-00000B0B0000}"/>
    <cellStyle name="Calculation 28 2 19" xfId="2855" xr:uid="{00000000-0005-0000-0000-00000C0B0000}"/>
    <cellStyle name="Calculation 28 2 2" xfId="2856" xr:uid="{00000000-0005-0000-0000-00000D0B0000}"/>
    <cellStyle name="Calculation 28 2 2 2" xfId="2857" xr:uid="{00000000-0005-0000-0000-00000E0B0000}"/>
    <cellStyle name="Calculation 28 2 2 2 2" xfId="2858" xr:uid="{00000000-0005-0000-0000-00000F0B0000}"/>
    <cellStyle name="Calculation 28 2 2 3" xfId="2859" xr:uid="{00000000-0005-0000-0000-0000100B0000}"/>
    <cellStyle name="Calculation 28 2 3" xfId="2860" xr:uid="{00000000-0005-0000-0000-0000110B0000}"/>
    <cellStyle name="Calculation 28 2 3 2" xfId="2861" xr:uid="{00000000-0005-0000-0000-0000120B0000}"/>
    <cellStyle name="Calculation 28 2 3 2 2" xfId="2862" xr:uid="{00000000-0005-0000-0000-0000130B0000}"/>
    <cellStyle name="Calculation 28 2 3 3" xfId="2863" xr:uid="{00000000-0005-0000-0000-0000140B0000}"/>
    <cellStyle name="Calculation 28 2 4" xfId="2864" xr:uid="{00000000-0005-0000-0000-0000150B0000}"/>
    <cellStyle name="Calculation 28 2 4 2" xfId="2865" xr:uid="{00000000-0005-0000-0000-0000160B0000}"/>
    <cellStyle name="Calculation 28 2 4 2 2" xfId="2866" xr:uid="{00000000-0005-0000-0000-0000170B0000}"/>
    <cellStyle name="Calculation 28 2 4 3" xfId="2867" xr:uid="{00000000-0005-0000-0000-0000180B0000}"/>
    <cellStyle name="Calculation 28 2 5" xfId="2868" xr:uid="{00000000-0005-0000-0000-0000190B0000}"/>
    <cellStyle name="Calculation 28 2 5 2" xfId="2869" xr:uid="{00000000-0005-0000-0000-00001A0B0000}"/>
    <cellStyle name="Calculation 28 2 5 2 2" xfId="2870" xr:uid="{00000000-0005-0000-0000-00001B0B0000}"/>
    <cellStyle name="Calculation 28 2 5 3" xfId="2871" xr:uid="{00000000-0005-0000-0000-00001C0B0000}"/>
    <cellStyle name="Calculation 28 2 6" xfId="2872" xr:uid="{00000000-0005-0000-0000-00001D0B0000}"/>
    <cellStyle name="Calculation 28 2 6 2" xfId="2873" xr:uid="{00000000-0005-0000-0000-00001E0B0000}"/>
    <cellStyle name="Calculation 28 2 6 2 2" xfId="2874" xr:uid="{00000000-0005-0000-0000-00001F0B0000}"/>
    <cellStyle name="Calculation 28 2 6 3" xfId="2875" xr:uid="{00000000-0005-0000-0000-0000200B0000}"/>
    <cellStyle name="Calculation 28 2 7" xfId="2876" xr:uid="{00000000-0005-0000-0000-0000210B0000}"/>
    <cellStyle name="Calculation 28 2 7 2" xfId="2877" xr:uid="{00000000-0005-0000-0000-0000220B0000}"/>
    <cellStyle name="Calculation 28 2 7 2 2" xfId="2878" xr:uid="{00000000-0005-0000-0000-0000230B0000}"/>
    <cellStyle name="Calculation 28 2 7 3" xfId="2879" xr:uid="{00000000-0005-0000-0000-0000240B0000}"/>
    <cellStyle name="Calculation 28 2 8" xfId="2880" xr:uid="{00000000-0005-0000-0000-0000250B0000}"/>
    <cellStyle name="Calculation 28 2 8 2" xfId="2881" xr:uid="{00000000-0005-0000-0000-0000260B0000}"/>
    <cellStyle name="Calculation 28 2 8 2 2" xfId="2882" xr:uid="{00000000-0005-0000-0000-0000270B0000}"/>
    <cellStyle name="Calculation 28 2 8 3" xfId="2883" xr:uid="{00000000-0005-0000-0000-0000280B0000}"/>
    <cellStyle name="Calculation 28 2 9" xfId="2884" xr:uid="{00000000-0005-0000-0000-0000290B0000}"/>
    <cellStyle name="Calculation 28 2 9 2" xfId="2885" xr:uid="{00000000-0005-0000-0000-00002A0B0000}"/>
    <cellStyle name="Calculation 28 2 9 2 2" xfId="2886" xr:uid="{00000000-0005-0000-0000-00002B0B0000}"/>
    <cellStyle name="Calculation 28 2 9 3" xfId="2887" xr:uid="{00000000-0005-0000-0000-00002C0B0000}"/>
    <cellStyle name="Calculation 28 3" xfId="2888" xr:uid="{00000000-0005-0000-0000-00002D0B0000}"/>
    <cellStyle name="Calculation 28 3 2" xfId="2889" xr:uid="{00000000-0005-0000-0000-00002E0B0000}"/>
    <cellStyle name="Calculation 28 3 2 2" xfId="2890" xr:uid="{00000000-0005-0000-0000-00002F0B0000}"/>
    <cellStyle name="Calculation 28 3 3" xfId="2891" xr:uid="{00000000-0005-0000-0000-0000300B0000}"/>
    <cellStyle name="Calculation 29" xfId="2892" xr:uid="{00000000-0005-0000-0000-0000310B0000}"/>
    <cellStyle name="Calculation 29 2" xfId="2893" xr:uid="{00000000-0005-0000-0000-0000320B0000}"/>
    <cellStyle name="Calculation 29 2 10" xfId="2894" xr:uid="{00000000-0005-0000-0000-0000330B0000}"/>
    <cellStyle name="Calculation 29 2 10 2" xfId="2895" xr:uid="{00000000-0005-0000-0000-0000340B0000}"/>
    <cellStyle name="Calculation 29 2 10 2 2" xfId="2896" xr:uid="{00000000-0005-0000-0000-0000350B0000}"/>
    <cellStyle name="Calculation 29 2 10 3" xfId="2897" xr:uid="{00000000-0005-0000-0000-0000360B0000}"/>
    <cellStyle name="Calculation 29 2 11" xfId="2898" xr:uid="{00000000-0005-0000-0000-0000370B0000}"/>
    <cellStyle name="Calculation 29 2 11 2" xfId="2899" xr:uid="{00000000-0005-0000-0000-0000380B0000}"/>
    <cellStyle name="Calculation 29 2 11 2 2" xfId="2900" xr:uid="{00000000-0005-0000-0000-0000390B0000}"/>
    <cellStyle name="Calculation 29 2 11 3" xfId="2901" xr:uid="{00000000-0005-0000-0000-00003A0B0000}"/>
    <cellStyle name="Calculation 29 2 12" xfId="2902" xr:uid="{00000000-0005-0000-0000-00003B0B0000}"/>
    <cellStyle name="Calculation 29 2 12 2" xfId="2903" xr:uid="{00000000-0005-0000-0000-00003C0B0000}"/>
    <cellStyle name="Calculation 29 2 12 2 2" xfId="2904" xr:uid="{00000000-0005-0000-0000-00003D0B0000}"/>
    <cellStyle name="Calculation 29 2 12 3" xfId="2905" xr:uid="{00000000-0005-0000-0000-00003E0B0000}"/>
    <cellStyle name="Calculation 29 2 13" xfId="2906" xr:uid="{00000000-0005-0000-0000-00003F0B0000}"/>
    <cellStyle name="Calculation 29 2 13 2" xfId="2907" xr:uid="{00000000-0005-0000-0000-0000400B0000}"/>
    <cellStyle name="Calculation 29 2 13 2 2" xfId="2908" xr:uid="{00000000-0005-0000-0000-0000410B0000}"/>
    <cellStyle name="Calculation 29 2 13 3" xfId="2909" xr:uid="{00000000-0005-0000-0000-0000420B0000}"/>
    <cellStyle name="Calculation 29 2 14" xfId="2910" xr:uid="{00000000-0005-0000-0000-0000430B0000}"/>
    <cellStyle name="Calculation 29 2 14 2" xfId="2911" xr:uid="{00000000-0005-0000-0000-0000440B0000}"/>
    <cellStyle name="Calculation 29 2 14 2 2" xfId="2912" xr:uid="{00000000-0005-0000-0000-0000450B0000}"/>
    <cellStyle name="Calculation 29 2 14 3" xfId="2913" xr:uid="{00000000-0005-0000-0000-0000460B0000}"/>
    <cellStyle name="Calculation 29 2 15" xfId="2914" xr:uid="{00000000-0005-0000-0000-0000470B0000}"/>
    <cellStyle name="Calculation 29 2 15 2" xfId="2915" xr:uid="{00000000-0005-0000-0000-0000480B0000}"/>
    <cellStyle name="Calculation 29 2 15 2 2" xfId="2916" xr:uid="{00000000-0005-0000-0000-0000490B0000}"/>
    <cellStyle name="Calculation 29 2 15 3" xfId="2917" xr:uid="{00000000-0005-0000-0000-00004A0B0000}"/>
    <cellStyle name="Calculation 29 2 16" xfId="2918" xr:uid="{00000000-0005-0000-0000-00004B0B0000}"/>
    <cellStyle name="Calculation 29 2 16 2" xfId="2919" xr:uid="{00000000-0005-0000-0000-00004C0B0000}"/>
    <cellStyle name="Calculation 29 2 16 2 2" xfId="2920" xr:uid="{00000000-0005-0000-0000-00004D0B0000}"/>
    <cellStyle name="Calculation 29 2 16 3" xfId="2921" xr:uid="{00000000-0005-0000-0000-00004E0B0000}"/>
    <cellStyle name="Calculation 29 2 17" xfId="2922" xr:uid="{00000000-0005-0000-0000-00004F0B0000}"/>
    <cellStyle name="Calculation 29 2 17 2" xfId="2923" xr:uid="{00000000-0005-0000-0000-0000500B0000}"/>
    <cellStyle name="Calculation 29 2 17 2 2" xfId="2924" xr:uid="{00000000-0005-0000-0000-0000510B0000}"/>
    <cellStyle name="Calculation 29 2 17 3" xfId="2925" xr:uid="{00000000-0005-0000-0000-0000520B0000}"/>
    <cellStyle name="Calculation 29 2 18" xfId="2926" xr:uid="{00000000-0005-0000-0000-0000530B0000}"/>
    <cellStyle name="Calculation 29 2 18 2" xfId="2927" xr:uid="{00000000-0005-0000-0000-0000540B0000}"/>
    <cellStyle name="Calculation 29 2 19" xfId="2928" xr:uid="{00000000-0005-0000-0000-0000550B0000}"/>
    <cellStyle name="Calculation 29 2 2" xfId="2929" xr:uid="{00000000-0005-0000-0000-0000560B0000}"/>
    <cellStyle name="Calculation 29 2 2 2" xfId="2930" xr:uid="{00000000-0005-0000-0000-0000570B0000}"/>
    <cellStyle name="Calculation 29 2 2 2 2" xfId="2931" xr:uid="{00000000-0005-0000-0000-0000580B0000}"/>
    <cellStyle name="Calculation 29 2 2 3" xfId="2932" xr:uid="{00000000-0005-0000-0000-0000590B0000}"/>
    <cellStyle name="Calculation 29 2 3" xfId="2933" xr:uid="{00000000-0005-0000-0000-00005A0B0000}"/>
    <cellStyle name="Calculation 29 2 3 2" xfId="2934" xr:uid="{00000000-0005-0000-0000-00005B0B0000}"/>
    <cellStyle name="Calculation 29 2 3 2 2" xfId="2935" xr:uid="{00000000-0005-0000-0000-00005C0B0000}"/>
    <cellStyle name="Calculation 29 2 3 3" xfId="2936" xr:uid="{00000000-0005-0000-0000-00005D0B0000}"/>
    <cellStyle name="Calculation 29 2 4" xfId="2937" xr:uid="{00000000-0005-0000-0000-00005E0B0000}"/>
    <cellStyle name="Calculation 29 2 4 2" xfId="2938" xr:uid="{00000000-0005-0000-0000-00005F0B0000}"/>
    <cellStyle name="Calculation 29 2 4 2 2" xfId="2939" xr:uid="{00000000-0005-0000-0000-0000600B0000}"/>
    <cellStyle name="Calculation 29 2 4 3" xfId="2940" xr:uid="{00000000-0005-0000-0000-0000610B0000}"/>
    <cellStyle name="Calculation 29 2 5" xfId="2941" xr:uid="{00000000-0005-0000-0000-0000620B0000}"/>
    <cellStyle name="Calculation 29 2 5 2" xfId="2942" xr:uid="{00000000-0005-0000-0000-0000630B0000}"/>
    <cellStyle name="Calculation 29 2 5 2 2" xfId="2943" xr:uid="{00000000-0005-0000-0000-0000640B0000}"/>
    <cellStyle name="Calculation 29 2 5 3" xfId="2944" xr:uid="{00000000-0005-0000-0000-0000650B0000}"/>
    <cellStyle name="Calculation 29 2 6" xfId="2945" xr:uid="{00000000-0005-0000-0000-0000660B0000}"/>
    <cellStyle name="Calculation 29 2 6 2" xfId="2946" xr:uid="{00000000-0005-0000-0000-0000670B0000}"/>
    <cellStyle name="Calculation 29 2 6 2 2" xfId="2947" xr:uid="{00000000-0005-0000-0000-0000680B0000}"/>
    <cellStyle name="Calculation 29 2 6 3" xfId="2948" xr:uid="{00000000-0005-0000-0000-0000690B0000}"/>
    <cellStyle name="Calculation 29 2 7" xfId="2949" xr:uid="{00000000-0005-0000-0000-00006A0B0000}"/>
    <cellStyle name="Calculation 29 2 7 2" xfId="2950" xr:uid="{00000000-0005-0000-0000-00006B0B0000}"/>
    <cellStyle name="Calculation 29 2 7 2 2" xfId="2951" xr:uid="{00000000-0005-0000-0000-00006C0B0000}"/>
    <cellStyle name="Calculation 29 2 7 3" xfId="2952" xr:uid="{00000000-0005-0000-0000-00006D0B0000}"/>
    <cellStyle name="Calculation 29 2 8" xfId="2953" xr:uid="{00000000-0005-0000-0000-00006E0B0000}"/>
    <cellStyle name="Calculation 29 2 8 2" xfId="2954" xr:uid="{00000000-0005-0000-0000-00006F0B0000}"/>
    <cellStyle name="Calculation 29 2 8 2 2" xfId="2955" xr:uid="{00000000-0005-0000-0000-0000700B0000}"/>
    <cellStyle name="Calculation 29 2 8 3" xfId="2956" xr:uid="{00000000-0005-0000-0000-0000710B0000}"/>
    <cellStyle name="Calculation 29 2 9" xfId="2957" xr:uid="{00000000-0005-0000-0000-0000720B0000}"/>
    <cellStyle name="Calculation 29 2 9 2" xfId="2958" xr:uid="{00000000-0005-0000-0000-0000730B0000}"/>
    <cellStyle name="Calculation 29 2 9 2 2" xfId="2959" xr:uid="{00000000-0005-0000-0000-0000740B0000}"/>
    <cellStyle name="Calculation 29 2 9 3" xfId="2960" xr:uid="{00000000-0005-0000-0000-0000750B0000}"/>
    <cellStyle name="Calculation 29 3" xfId="2961" xr:uid="{00000000-0005-0000-0000-0000760B0000}"/>
    <cellStyle name="Calculation 29 3 2" xfId="2962" xr:uid="{00000000-0005-0000-0000-0000770B0000}"/>
    <cellStyle name="Calculation 29 3 2 2" xfId="2963" xr:uid="{00000000-0005-0000-0000-0000780B0000}"/>
    <cellStyle name="Calculation 29 3 3" xfId="2964" xr:uid="{00000000-0005-0000-0000-0000790B0000}"/>
    <cellStyle name="Calculation 3" xfId="2965" xr:uid="{00000000-0005-0000-0000-00007A0B0000}"/>
    <cellStyle name="Calculation 3 2" xfId="2966" xr:uid="{00000000-0005-0000-0000-00007B0B0000}"/>
    <cellStyle name="Calculation 3 2 10" xfId="2967" xr:uid="{00000000-0005-0000-0000-00007C0B0000}"/>
    <cellStyle name="Calculation 3 2 10 2" xfId="2968" xr:uid="{00000000-0005-0000-0000-00007D0B0000}"/>
    <cellStyle name="Calculation 3 2 10 2 2" xfId="2969" xr:uid="{00000000-0005-0000-0000-00007E0B0000}"/>
    <cellStyle name="Calculation 3 2 10 3" xfId="2970" xr:uid="{00000000-0005-0000-0000-00007F0B0000}"/>
    <cellStyle name="Calculation 3 2 11" xfId="2971" xr:uid="{00000000-0005-0000-0000-0000800B0000}"/>
    <cellStyle name="Calculation 3 2 11 2" xfId="2972" xr:uid="{00000000-0005-0000-0000-0000810B0000}"/>
    <cellStyle name="Calculation 3 2 11 2 2" xfId="2973" xr:uid="{00000000-0005-0000-0000-0000820B0000}"/>
    <cellStyle name="Calculation 3 2 11 3" xfId="2974" xr:uid="{00000000-0005-0000-0000-0000830B0000}"/>
    <cellStyle name="Calculation 3 2 12" xfId="2975" xr:uid="{00000000-0005-0000-0000-0000840B0000}"/>
    <cellStyle name="Calculation 3 2 12 2" xfId="2976" xr:uid="{00000000-0005-0000-0000-0000850B0000}"/>
    <cellStyle name="Calculation 3 2 12 2 2" xfId="2977" xr:uid="{00000000-0005-0000-0000-0000860B0000}"/>
    <cellStyle name="Calculation 3 2 12 3" xfId="2978" xr:uid="{00000000-0005-0000-0000-0000870B0000}"/>
    <cellStyle name="Calculation 3 2 13" xfId="2979" xr:uid="{00000000-0005-0000-0000-0000880B0000}"/>
    <cellStyle name="Calculation 3 2 13 2" xfId="2980" xr:uid="{00000000-0005-0000-0000-0000890B0000}"/>
    <cellStyle name="Calculation 3 2 13 2 2" xfId="2981" xr:uid="{00000000-0005-0000-0000-00008A0B0000}"/>
    <cellStyle name="Calculation 3 2 13 3" xfId="2982" xr:uid="{00000000-0005-0000-0000-00008B0B0000}"/>
    <cellStyle name="Calculation 3 2 14" xfId="2983" xr:uid="{00000000-0005-0000-0000-00008C0B0000}"/>
    <cellStyle name="Calculation 3 2 14 2" xfId="2984" xr:uid="{00000000-0005-0000-0000-00008D0B0000}"/>
    <cellStyle name="Calculation 3 2 14 2 2" xfId="2985" xr:uid="{00000000-0005-0000-0000-00008E0B0000}"/>
    <cellStyle name="Calculation 3 2 14 3" xfId="2986" xr:uid="{00000000-0005-0000-0000-00008F0B0000}"/>
    <cellStyle name="Calculation 3 2 15" xfId="2987" xr:uid="{00000000-0005-0000-0000-0000900B0000}"/>
    <cellStyle name="Calculation 3 2 15 2" xfId="2988" xr:uid="{00000000-0005-0000-0000-0000910B0000}"/>
    <cellStyle name="Calculation 3 2 15 2 2" xfId="2989" xr:uid="{00000000-0005-0000-0000-0000920B0000}"/>
    <cellStyle name="Calculation 3 2 15 3" xfId="2990" xr:uid="{00000000-0005-0000-0000-0000930B0000}"/>
    <cellStyle name="Calculation 3 2 16" xfId="2991" xr:uid="{00000000-0005-0000-0000-0000940B0000}"/>
    <cellStyle name="Calculation 3 2 16 2" xfId="2992" xr:uid="{00000000-0005-0000-0000-0000950B0000}"/>
    <cellStyle name="Calculation 3 2 16 2 2" xfId="2993" xr:uid="{00000000-0005-0000-0000-0000960B0000}"/>
    <cellStyle name="Calculation 3 2 16 3" xfId="2994" xr:uid="{00000000-0005-0000-0000-0000970B0000}"/>
    <cellStyle name="Calculation 3 2 17" xfId="2995" xr:uid="{00000000-0005-0000-0000-0000980B0000}"/>
    <cellStyle name="Calculation 3 2 17 2" xfId="2996" xr:uid="{00000000-0005-0000-0000-0000990B0000}"/>
    <cellStyle name="Calculation 3 2 17 2 2" xfId="2997" xr:uid="{00000000-0005-0000-0000-00009A0B0000}"/>
    <cellStyle name="Calculation 3 2 17 3" xfId="2998" xr:uid="{00000000-0005-0000-0000-00009B0B0000}"/>
    <cellStyle name="Calculation 3 2 18" xfId="2999" xr:uid="{00000000-0005-0000-0000-00009C0B0000}"/>
    <cellStyle name="Calculation 3 2 18 2" xfId="3000" xr:uid="{00000000-0005-0000-0000-00009D0B0000}"/>
    <cellStyle name="Calculation 3 2 19" xfId="3001" xr:uid="{00000000-0005-0000-0000-00009E0B0000}"/>
    <cellStyle name="Calculation 3 2 2" xfId="3002" xr:uid="{00000000-0005-0000-0000-00009F0B0000}"/>
    <cellStyle name="Calculation 3 2 2 2" xfId="3003" xr:uid="{00000000-0005-0000-0000-0000A00B0000}"/>
    <cellStyle name="Calculation 3 2 2 2 2" xfId="3004" xr:uid="{00000000-0005-0000-0000-0000A10B0000}"/>
    <cellStyle name="Calculation 3 2 2 3" xfId="3005" xr:uid="{00000000-0005-0000-0000-0000A20B0000}"/>
    <cellStyle name="Calculation 3 2 3" xfId="3006" xr:uid="{00000000-0005-0000-0000-0000A30B0000}"/>
    <cellStyle name="Calculation 3 2 3 2" xfId="3007" xr:uid="{00000000-0005-0000-0000-0000A40B0000}"/>
    <cellStyle name="Calculation 3 2 3 2 2" xfId="3008" xr:uid="{00000000-0005-0000-0000-0000A50B0000}"/>
    <cellStyle name="Calculation 3 2 3 3" xfId="3009" xr:uid="{00000000-0005-0000-0000-0000A60B0000}"/>
    <cellStyle name="Calculation 3 2 4" xfId="3010" xr:uid="{00000000-0005-0000-0000-0000A70B0000}"/>
    <cellStyle name="Calculation 3 2 4 2" xfId="3011" xr:uid="{00000000-0005-0000-0000-0000A80B0000}"/>
    <cellStyle name="Calculation 3 2 4 2 2" xfId="3012" xr:uid="{00000000-0005-0000-0000-0000A90B0000}"/>
    <cellStyle name="Calculation 3 2 4 3" xfId="3013" xr:uid="{00000000-0005-0000-0000-0000AA0B0000}"/>
    <cellStyle name="Calculation 3 2 5" xfId="3014" xr:uid="{00000000-0005-0000-0000-0000AB0B0000}"/>
    <cellStyle name="Calculation 3 2 5 2" xfId="3015" xr:uid="{00000000-0005-0000-0000-0000AC0B0000}"/>
    <cellStyle name="Calculation 3 2 5 2 2" xfId="3016" xr:uid="{00000000-0005-0000-0000-0000AD0B0000}"/>
    <cellStyle name="Calculation 3 2 5 3" xfId="3017" xr:uid="{00000000-0005-0000-0000-0000AE0B0000}"/>
    <cellStyle name="Calculation 3 2 6" xfId="3018" xr:uid="{00000000-0005-0000-0000-0000AF0B0000}"/>
    <cellStyle name="Calculation 3 2 6 2" xfId="3019" xr:uid="{00000000-0005-0000-0000-0000B00B0000}"/>
    <cellStyle name="Calculation 3 2 6 2 2" xfId="3020" xr:uid="{00000000-0005-0000-0000-0000B10B0000}"/>
    <cellStyle name="Calculation 3 2 6 3" xfId="3021" xr:uid="{00000000-0005-0000-0000-0000B20B0000}"/>
    <cellStyle name="Calculation 3 2 7" xfId="3022" xr:uid="{00000000-0005-0000-0000-0000B30B0000}"/>
    <cellStyle name="Calculation 3 2 7 2" xfId="3023" xr:uid="{00000000-0005-0000-0000-0000B40B0000}"/>
    <cellStyle name="Calculation 3 2 7 2 2" xfId="3024" xr:uid="{00000000-0005-0000-0000-0000B50B0000}"/>
    <cellStyle name="Calculation 3 2 7 3" xfId="3025" xr:uid="{00000000-0005-0000-0000-0000B60B0000}"/>
    <cellStyle name="Calculation 3 2 8" xfId="3026" xr:uid="{00000000-0005-0000-0000-0000B70B0000}"/>
    <cellStyle name="Calculation 3 2 8 2" xfId="3027" xr:uid="{00000000-0005-0000-0000-0000B80B0000}"/>
    <cellStyle name="Calculation 3 2 8 2 2" xfId="3028" xr:uid="{00000000-0005-0000-0000-0000B90B0000}"/>
    <cellStyle name="Calculation 3 2 8 3" xfId="3029" xr:uid="{00000000-0005-0000-0000-0000BA0B0000}"/>
    <cellStyle name="Calculation 3 2 9" xfId="3030" xr:uid="{00000000-0005-0000-0000-0000BB0B0000}"/>
    <cellStyle name="Calculation 3 2 9 2" xfId="3031" xr:uid="{00000000-0005-0000-0000-0000BC0B0000}"/>
    <cellStyle name="Calculation 3 2 9 2 2" xfId="3032" xr:uid="{00000000-0005-0000-0000-0000BD0B0000}"/>
    <cellStyle name="Calculation 3 2 9 3" xfId="3033" xr:uid="{00000000-0005-0000-0000-0000BE0B0000}"/>
    <cellStyle name="Calculation 3 3" xfId="3034" xr:uid="{00000000-0005-0000-0000-0000BF0B0000}"/>
    <cellStyle name="Calculation 3 3 2" xfId="3035" xr:uid="{00000000-0005-0000-0000-0000C00B0000}"/>
    <cellStyle name="Calculation 3 3 2 2" xfId="3036" xr:uid="{00000000-0005-0000-0000-0000C10B0000}"/>
    <cellStyle name="Calculation 3 3 3" xfId="3037" xr:uid="{00000000-0005-0000-0000-0000C20B0000}"/>
    <cellStyle name="Calculation 30" xfId="3038" xr:uid="{00000000-0005-0000-0000-0000C30B0000}"/>
    <cellStyle name="Calculation 30 2" xfId="3039" xr:uid="{00000000-0005-0000-0000-0000C40B0000}"/>
    <cellStyle name="Calculation 30 2 10" xfId="3040" xr:uid="{00000000-0005-0000-0000-0000C50B0000}"/>
    <cellStyle name="Calculation 30 2 10 2" xfId="3041" xr:uid="{00000000-0005-0000-0000-0000C60B0000}"/>
    <cellStyle name="Calculation 30 2 10 2 2" xfId="3042" xr:uid="{00000000-0005-0000-0000-0000C70B0000}"/>
    <cellStyle name="Calculation 30 2 10 3" xfId="3043" xr:uid="{00000000-0005-0000-0000-0000C80B0000}"/>
    <cellStyle name="Calculation 30 2 11" xfId="3044" xr:uid="{00000000-0005-0000-0000-0000C90B0000}"/>
    <cellStyle name="Calculation 30 2 11 2" xfId="3045" xr:uid="{00000000-0005-0000-0000-0000CA0B0000}"/>
    <cellStyle name="Calculation 30 2 11 2 2" xfId="3046" xr:uid="{00000000-0005-0000-0000-0000CB0B0000}"/>
    <cellStyle name="Calculation 30 2 11 3" xfId="3047" xr:uid="{00000000-0005-0000-0000-0000CC0B0000}"/>
    <cellStyle name="Calculation 30 2 12" xfId="3048" xr:uid="{00000000-0005-0000-0000-0000CD0B0000}"/>
    <cellStyle name="Calculation 30 2 12 2" xfId="3049" xr:uid="{00000000-0005-0000-0000-0000CE0B0000}"/>
    <cellStyle name="Calculation 30 2 12 2 2" xfId="3050" xr:uid="{00000000-0005-0000-0000-0000CF0B0000}"/>
    <cellStyle name="Calculation 30 2 12 3" xfId="3051" xr:uid="{00000000-0005-0000-0000-0000D00B0000}"/>
    <cellStyle name="Calculation 30 2 13" xfId="3052" xr:uid="{00000000-0005-0000-0000-0000D10B0000}"/>
    <cellStyle name="Calculation 30 2 13 2" xfId="3053" xr:uid="{00000000-0005-0000-0000-0000D20B0000}"/>
    <cellStyle name="Calculation 30 2 13 2 2" xfId="3054" xr:uid="{00000000-0005-0000-0000-0000D30B0000}"/>
    <cellStyle name="Calculation 30 2 13 3" xfId="3055" xr:uid="{00000000-0005-0000-0000-0000D40B0000}"/>
    <cellStyle name="Calculation 30 2 14" xfId="3056" xr:uid="{00000000-0005-0000-0000-0000D50B0000}"/>
    <cellStyle name="Calculation 30 2 14 2" xfId="3057" xr:uid="{00000000-0005-0000-0000-0000D60B0000}"/>
    <cellStyle name="Calculation 30 2 14 2 2" xfId="3058" xr:uid="{00000000-0005-0000-0000-0000D70B0000}"/>
    <cellStyle name="Calculation 30 2 14 3" xfId="3059" xr:uid="{00000000-0005-0000-0000-0000D80B0000}"/>
    <cellStyle name="Calculation 30 2 15" xfId="3060" xr:uid="{00000000-0005-0000-0000-0000D90B0000}"/>
    <cellStyle name="Calculation 30 2 15 2" xfId="3061" xr:uid="{00000000-0005-0000-0000-0000DA0B0000}"/>
    <cellStyle name="Calculation 30 2 15 2 2" xfId="3062" xr:uid="{00000000-0005-0000-0000-0000DB0B0000}"/>
    <cellStyle name="Calculation 30 2 15 3" xfId="3063" xr:uid="{00000000-0005-0000-0000-0000DC0B0000}"/>
    <cellStyle name="Calculation 30 2 16" xfId="3064" xr:uid="{00000000-0005-0000-0000-0000DD0B0000}"/>
    <cellStyle name="Calculation 30 2 16 2" xfId="3065" xr:uid="{00000000-0005-0000-0000-0000DE0B0000}"/>
    <cellStyle name="Calculation 30 2 16 2 2" xfId="3066" xr:uid="{00000000-0005-0000-0000-0000DF0B0000}"/>
    <cellStyle name="Calculation 30 2 16 3" xfId="3067" xr:uid="{00000000-0005-0000-0000-0000E00B0000}"/>
    <cellStyle name="Calculation 30 2 17" xfId="3068" xr:uid="{00000000-0005-0000-0000-0000E10B0000}"/>
    <cellStyle name="Calculation 30 2 17 2" xfId="3069" xr:uid="{00000000-0005-0000-0000-0000E20B0000}"/>
    <cellStyle name="Calculation 30 2 17 2 2" xfId="3070" xr:uid="{00000000-0005-0000-0000-0000E30B0000}"/>
    <cellStyle name="Calculation 30 2 17 3" xfId="3071" xr:uid="{00000000-0005-0000-0000-0000E40B0000}"/>
    <cellStyle name="Calculation 30 2 18" xfId="3072" xr:uid="{00000000-0005-0000-0000-0000E50B0000}"/>
    <cellStyle name="Calculation 30 2 18 2" xfId="3073" xr:uid="{00000000-0005-0000-0000-0000E60B0000}"/>
    <cellStyle name="Calculation 30 2 19" xfId="3074" xr:uid="{00000000-0005-0000-0000-0000E70B0000}"/>
    <cellStyle name="Calculation 30 2 2" xfId="3075" xr:uid="{00000000-0005-0000-0000-0000E80B0000}"/>
    <cellStyle name="Calculation 30 2 2 2" xfId="3076" xr:uid="{00000000-0005-0000-0000-0000E90B0000}"/>
    <cellStyle name="Calculation 30 2 2 2 2" xfId="3077" xr:uid="{00000000-0005-0000-0000-0000EA0B0000}"/>
    <cellStyle name="Calculation 30 2 2 3" xfId="3078" xr:uid="{00000000-0005-0000-0000-0000EB0B0000}"/>
    <cellStyle name="Calculation 30 2 3" xfId="3079" xr:uid="{00000000-0005-0000-0000-0000EC0B0000}"/>
    <cellStyle name="Calculation 30 2 3 2" xfId="3080" xr:uid="{00000000-0005-0000-0000-0000ED0B0000}"/>
    <cellStyle name="Calculation 30 2 3 2 2" xfId="3081" xr:uid="{00000000-0005-0000-0000-0000EE0B0000}"/>
    <cellStyle name="Calculation 30 2 3 3" xfId="3082" xr:uid="{00000000-0005-0000-0000-0000EF0B0000}"/>
    <cellStyle name="Calculation 30 2 4" xfId="3083" xr:uid="{00000000-0005-0000-0000-0000F00B0000}"/>
    <cellStyle name="Calculation 30 2 4 2" xfId="3084" xr:uid="{00000000-0005-0000-0000-0000F10B0000}"/>
    <cellStyle name="Calculation 30 2 4 2 2" xfId="3085" xr:uid="{00000000-0005-0000-0000-0000F20B0000}"/>
    <cellStyle name="Calculation 30 2 4 3" xfId="3086" xr:uid="{00000000-0005-0000-0000-0000F30B0000}"/>
    <cellStyle name="Calculation 30 2 5" xfId="3087" xr:uid="{00000000-0005-0000-0000-0000F40B0000}"/>
    <cellStyle name="Calculation 30 2 5 2" xfId="3088" xr:uid="{00000000-0005-0000-0000-0000F50B0000}"/>
    <cellStyle name="Calculation 30 2 5 2 2" xfId="3089" xr:uid="{00000000-0005-0000-0000-0000F60B0000}"/>
    <cellStyle name="Calculation 30 2 5 3" xfId="3090" xr:uid="{00000000-0005-0000-0000-0000F70B0000}"/>
    <cellStyle name="Calculation 30 2 6" xfId="3091" xr:uid="{00000000-0005-0000-0000-0000F80B0000}"/>
    <cellStyle name="Calculation 30 2 6 2" xfId="3092" xr:uid="{00000000-0005-0000-0000-0000F90B0000}"/>
    <cellStyle name="Calculation 30 2 6 2 2" xfId="3093" xr:uid="{00000000-0005-0000-0000-0000FA0B0000}"/>
    <cellStyle name="Calculation 30 2 6 3" xfId="3094" xr:uid="{00000000-0005-0000-0000-0000FB0B0000}"/>
    <cellStyle name="Calculation 30 2 7" xfId="3095" xr:uid="{00000000-0005-0000-0000-0000FC0B0000}"/>
    <cellStyle name="Calculation 30 2 7 2" xfId="3096" xr:uid="{00000000-0005-0000-0000-0000FD0B0000}"/>
    <cellStyle name="Calculation 30 2 7 2 2" xfId="3097" xr:uid="{00000000-0005-0000-0000-0000FE0B0000}"/>
    <cellStyle name="Calculation 30 2 7 3" xfId="3098" xr:uid="{00000000-0005-0000-0000-0000FF0B0000}"/>
    <cellStyle name="Calculation 30 2 8" xfId="3099" xr:uid="{00000000-0005-0000-0000-0000000C0000}"/>
    <cellStyle name="Calculation 30 2 8 2" xfId="3100" xr:uid="{00000000-0005-0000-0000-0000010C0000}"/>
    <cellStyle name="Calculation 30 2 8 2 2" xfId="3101" xr:uid="{00000000-0005-0000-0000-0000020C0000}"/>
    <cellStyle name="Calculation 30 2 8 3" xfId="3102" xr:uid="{00000000-0005-0000-0000-0000030C0000}"/>
    <cellStyle name="Calculation 30 2 9" xfId="3103" xr:uid="{00000000-0005-0000-0000-0000040C0000}"/>
    <cellStyle name="Calculation 30 2 9 2" xfId="3104" xr:uid="{00000000-0005-0000-0000-0000050C0000}"/>
    <cellStyle name="Calculation 30 2 9 2 2" xfId="3105" xr:uid="{00000000-0005-0000-0000-0000060C0000}"/>
    <cellStyle name="Calculation 30 2 9 3" xfId="3106" xr:uid="{00000000-0005-0000-0000-0000070C0000}"/>
    <cellStyle name="Calculation 30 3" xfId="3107" xr:uid="{00000000-0005-0000-0000-0000080C0000}"/>
    <cellStyle name="Calculation 30 3 2" xfId="3108" xr:uid="{00000000-0005-0000-0000-0000090C0000}"/>
    <cellStyle name="Calculation 30 3 2 2" xfId="3109" xr:uid="{00000000-0005-0000-0000-00000A0C0000}"/>
    <cellStyle name="Calculation 30 3 3" xfId="3110" xr:uid="{00000000-0005-0000-0000-00000B0C0000}"/>
    <cellStyle name="Calculation 31" xfId="3111" xr:uid="{00000000-0005-0000-0000-00000C0C0000}"/>
    <cellStyle name="Calculation 31 2" xfId="3112" xr:uid="{00000000-0005-0000-0000-00000D0C0000}"/>
    <cellStyle name="Calculation 31 2 10" xfId="3113" xr:uid="{00000000-0005-0000-0000-00000E0C0000}"/>
    <cellStyle name="Calculation 31 2 10 2" xfId="3114" xr:uid="{00000000-0005-0000-0000-00000F0C0000}"/>
    <cellStyle name="Calculation 31 2 10 2 2" xfId="3115" xr:uid="{00000000-0005-0000-0000-0000100C0000}"/>
    <cellStyle name="Calculation 31 2 10 3" xfId="3116" xr:uid="{00000000-0005-0000-0000-0000110C0000}"/>
    <cellStyle name="Calculation 31 2 11" xfId="3117" xr:uid="{00000000-0005-0000-0000-0000120C0000}"/>
    <cellStyle name="Calculation 31 2 11 2" xfId="3118" xr:uid="{00000000-0005-0000-0000-0000130C0000}"/>
    <cellStyle name="Calculation 31 2 11 2 2" xfId="3119" xr:uid="{00000000-0005-0000-0000-0000140C0000}"/>
    <cellStyle name="Calculation 31 2 11 3" xfId="3120" xr:uid="{00000000-0005-0000-0000-0000150C0000}"/>
    <cellStyle name="Calculation 31 2 12" xfId="3121" xr:uid="{00000000-0005-0000-0000-0000160C0000}"/>
    <cellStyle name="Calculation 31 2 12 2" xfId="3122" xr:uid="{00000000-0005-0000-0000-0000170C0000}"/>
    <cellStyle name="Calculation 31 2 12 2 2" xfId="3123" xr:uid="{00000000-0005-0000-0000-0000180C0000}"/>
    <cellStyle name="Calculation 31 2 12 3" xfId="3124" xr:uid="{00000000-0005-0000-0000-0000190C0000}"/>
    <cellStyle name="Calculation 31 2 13" xfId="3125" xr:uid="{00000000-0005-0000-0000-00001A0C0000}"/>
    <cellStyle name="Calculation 31 2 13 2" xfId="3126" xr:uid="{00000000-0005-0000-0000-00001B0C0000}"/>
    <cellStyle name="Calculation 31 2 13 2 2" xfId="3127" xr:uid="{00000000-0005-0000-0000-00001C0C0000}"/>
    <cellStyle name="Calculation 31 2 13 3" xfId="3128" xr:uid="{00000000-0005-0000-0000-00001D0C0000}"/>
    <cellStyle name="Calculation 31 2 14" xfId="3129" xr:uid="{00000000-0005-0000-0000-00001E0C0000}"/>
    <cellStyle name="Calculation 31 2 14 2" xfId="3130" xr:uid="{00000000-0005-0000-0000-00001F0C0000}"/>
    <cellStyle name="Calculation 31 2 14 2 2" xfId="3131" xr:uid="{00000000-0005-0000-0000-0000200C0000}"/>
    <cellStyle name="Calculation 31 2 14 3" xfId="3132" xr:uid="{00000000-0005-0000-0000-0000210C0000}"/>
    <cellStyle name="Calculation 31 2 15" xfId="3133" xr:uid="{00000000-0005-0000-0000-0000220C0000}"/>
    <cellStyle name="Calculation 31 2 15 2" xfId="3134" xr:uid="{00000000-0005-0000-0000-0000230C0000}"/>
    <cellStyle name="Calculation 31 2 15 2 2" xfId="3135" xr:uid="{00000000-0005-0000-0000-0000240C0000}"/>
    <cellStyle name="Calculation 31 2 15 3" xfId="3136" xr:uid="{00000000-0005-0000-0000-0000250C0000}"/>
    <cellStyle name="Calculation 31 2 16" xfId="3137" xr:uid="{00000000-0005-0000-0000-0000260C0000}"/>
    <cellStyle name="Calculation 31 2 16 2" xfId="3138" xr:uid="{00000000-0005-0000-0000-0000270C0000}"/>
    <cellStyle name="Calculation 31 2 16 2 2" xfId="3139" xr:uid="{00000000-0005-0000-0000-0000280C0000}"/>
    <cellStyle name="Calculation 31 2 16 3" xfId="3140" xr:uid="{00000000-0005-0000-0000-0000290C0000}"/>
    <cellStyle name="Calculation 31 2 17" xfId="3141" xr:uid="{00000000-0005-0000-0000-00002A0C0000}"/>
    <cellStyle name="Calculation 31 2 17 2" xfId="3142" xr:uid="{00000000-0005-0000-0000-00002B0C0000}"/>
    <cellStyle name="Calculation 31 2 17 2 2" xfId="3143" xr:uid="{00000000-0005-0000-0000-00002C0C0000}"/>
    <cellStyle name="Calculation 31 2 17 3" xfId="3144" xr:uid="{00000000-0005-0000-0000-00002D0C0000}"/>
    <cellStyle name="Calculation 31 2 18" xfId="3145" xr:uid="{00000000-0005-0000-0000-00002E0C0000}"/>
    <cellStyle name="Calculation 31 2 18 2" xfId="3146" xr:uid="{00000000-0005-0000-0000-00002F0C0000}"/>
    <cellStyle name="Calculation 31 2 19" xfId="3147" xr:uid="{00000000-0005-0000-0000-0000300C0000}"/>
    <cellStyle name="Calculation 31 2 2" xfId="3148" xr:uid="{00000000-0005-0000-0000-0000310C0000}"/>
    <cellStyle name="Calculation 31 2 2 2" xfId="3149" xr:uid="{00000000-0005-0000-0000-0000320C0000}"/>
    <cellStyle name="Calculation 31 2 2 2 2" xfId="3150" xr:uid="{00000000-0005-0000-0000-0000330C0000}"/>
    <cellStyle name="Calculation 31 2 2 3" xfId="3151" xr:uid="{00000000-0005-0000-0000-0000340C0000}"/>
    <cellStyle name="Calculation 31 2 3" xfId="3152" xr:uid="{00000000-0005-0000-0000-0000350C0000}"/>
    <cellStyle name="Calculation 31 2 3 2" xfId="3153" xr:uid="{00000000-0005-0000-0000-0000360C0000}"/>
    <cellStyle name="Calculation 31 2 3 2 2" xfId="3154" xr:uid="{00000000-0005-0000-0000-0000370C0000}"/>
    <cellStyle name="Calculation 31 2 3 3" xfId="3155" xr:uid="{00000000-0005-0000-0000-0000380C0000}"/>
    <cellStyle name="Calculation 31 2 4" xfId="3156" xr:uid="{00000000-0005-0000-0000-0000390C0000}"/>
    <cellStyle name="Calculation 31 2 4 2" xfId="3157" xr:uid="{00000000-0005-0000-0000-00003A0C0000}"/>
    <cellStyle name="Calculation 31 2 4 2 2" xfId="3158" xr:uid="{00000000-0005-0000-0000-00003B0C0000}"/>
    <cellStyle name="Calculation 31 2 4 3" xfId="3159" xr:uid="{00000000-0005-0000-0000-00003C0C0000}"/>
    <cellStyle name="Calculation 31 2 5" xfId="3160" xr:uid="{00000000-0005-0000-0000-00003D0C0000}"/>
    <cellStyle name="Calculation 31 2 5 2" xfId="3161" xr:uid="{00000000-0005-0000-0000-00003E0C0000}"/>
    <cellStyle name="Calculation 31 2 5 2 2" xfId="3162" xr:uid="{00000000-0005-0000-0000-00003F0C0000}"/>
    <cellStyle name="Calculation 31 2 5 3" xfId="3163" xr:uid="{00000000-0005-0000-0000-0000400C0000}"/>
    <cellStyle name="Calculation 31 2 6" xfId="3164" xr:uid="{00000000-0005-0000-0000-0000410C0000}"/>
    <cellStyle name="Calculation 31 2 6 2" xfId="3165" xr:uid="{00000000-0005-0000-0000-0000420C0000}"/>
    <cellStyle name="Calculation 31 2 6 2 2" xfId="3166" xr:uid="{00000000-0005-0000-0000-0000430C0000}"/>
    <cellStyle name="Calculation 31 2 6 3" xfId="3167" xr:uid="{00000000-0005-0000-0000-0000440C0000}"/>
    <cellStyle name="Calculation 31 2 7" xfId="3168" xr:uid="{00000000-0005-0000-0000-0000450C0000}"/>
    <cellStyle name="Calculation 31 2 7 2" xfId="3169" xr:uid="{00000000-0005-0000-0000-0000460C0000}"/>
    <cellStyle name="Calculation 31 2 7 2 2" xfId="3170" xr:uid="{00000000-0005-0000-0000-0000470C0000}"/>
    <cellStyle name="Calculation 31 2 7 3" xfId="3171" xr:uid="{00000000-0005-0000-0000-0000480C0000}"/>
    <cellStyle name="Calculation 31 2 8" xfId="3172" xr:uid="{00000000-0005-0000-0000-0000490C0000}"/>
    <cellStyle name="Calculation 31 2 8 2" xfId="3173" xr:uid="{00000000-0005-0000-0000-00004A0C0000}"/>
    <cellStyle name="Calculation 31 2 8 2 2" xfId="3174" xr:uid="{00000000-0005-0000-0000-00004B0C0000}"/>
    <cellStyle name="Calculation 31 2 8 3" xfId="3175" xr:uid="{00000000-0005-0000-0000-00004C0C0000}"/>
    <cellStyle name="Calculation 31 2 9" xfId="3176" xr:uid="{00000000-0005-0000-0000-00004D0C0000}"/>
    <cellStyle name="Calculation 31 2 9 2" xfId="3177" xr:uid="{00000000-0005-0000-0000-00004E0C0000}"/>
    <cellStyle name="Calculation 31 2 9 2 2" xfId="3178" xr:uid="{00000000-0005-0000-0000-00004F0C0000}"/>
    <cellStyle name="Calculation 31 2 9 3" xfId="3179" xr:uid="{00000000-0005-0000-0000-0000500C0000}"/>
    <cellStyle name="Calculation 31 3" xfId="3180" xr:uid="{00000000-0005-0000-0000-0000510C0000}"/>
    <cellStyle name="Calculation 31 3 2" xfId="3181" xr:uid="{00000000-0005-0000-0000-0000520C0000}"/>
    <cellStyle name="Calculation 31 3 2 2" xfId="3182" xr:uid="{00000000-0005-0000-0000-0000530C0000}"/>
    <cellStyle name="Calculation 31 3 3" xfId="3183" xr:uid="{00000000-0005-0000-0000-0000540C0000}"/>
    <cellStyle name="Calculation 32" xfId="3184" xr:uid="{00000000-0005-0000-0000-0000550C0000}"/>
    <cellStyle name="Calculation 32 2" xfId="3185" xr:uid="{00000000-0005-0000-0000-0000560C0000}"/>
    <cellStyle name="Calculation 32 2 10" xfId="3186" xr:uid="{00000000-0005-0000-0000-0000570C0000}"/>
    <cellStyle name="Calculation 32 2 10 2" xfId="3187" xr:uid="{00000000-0005-0000-0000-0000580C0000}"/>
    <cellStyle name="Calculation 32 2 10 2 2" xfId="3188" xr:uid="{00000000-0005-0000-0000-0000590C0000}"/>
    <cellStyle name="Calculation 32 2 10 3" xfId="3189" xr:uid="{00000000-0005-0000-0000-00005A0C0000}"/>
    <cellStyle name="Calculation 32 2 11" xfId="3190" xr:uid="{00000000-0005-0000-0000-00005B0C0000}"/>
    <cellStyle name="Calculation 32 2 11 2" xfId="3191" xr:uid="{00000000-0005-0000-0000-00005C0C0000}"/>
    <cellStyle name="Calculation 32 2 11 2 2" xfId="3192" xr:uid="{00000000-0005-0000-0000-00005D0C0000}"/>
    <cellStyle name="Calculation 32 2 11 3" xfId="3193" xr:uid="{00000000-0005-0000-0000-00005E0C0000}"/>
    <cellStyle name="Calculation 32 2 12" xfId="3194" xr:uid="{00000000-0005-0000-0000-00005F0C0000}"/>
    <cellStyle name="Calculation 32 2 12 2" xfId="3195" xr:uid="{00000000-0005-0000-0000-0000600C0000}"/>
    <cellStyle name="Calculation 32 2 12 2 2" xfId="3196" xr:uid="{00000000-0005-0000-0000-0000610C0000}"/>
    <cellStyle name="Calculation 32 2 12 3" xfId="3197" xr:uid="{00000000-0005-0000-0000-0000620C0000}"/>
    <cellStyle name="Calculation 32 2 13" xfId="3198" xr:uid="{00000000-0005-0000-0000-0000630C0000}"/>
    <cellStyle name="Calculation 32 2 13 2" xfId="3199" xr:uid="{00000000-0005-0000-0000-0000640C0000}"/>
    <cellStyle name="Calculation 32 2 13 2 2" xfId="3200" xr:uid="{00000000-0005-0000-0000-0000650C0000}"/>
    <cellStyle name="Calculation 32 2 13 3" xfId="3201" xr:uid="{00000000-0005-0000-0000-0000660C0000}"/>
    <cellStyle name="Calculation 32 2 14" xfId="3202" xr:uid="{00000000-0005-0000-0000-0000670C0000}"/>
    <cellStyle name="Calculation 32 2 14 2" xfId="3203" xr:uid="{00000000-0005-0000-0000-0000680C0000}"/>
    <cellStyle name="Calculation 32 2 14 2 2" xfId="3204" xr:uid="{00000000-0005-0000-0000-0000690C0000}"/>
    <cellStyle name="Calculation 32 2 14 3" xfId="3205" xr:uid="{00000000-0005-0000-0000-00006A0C0000}"/>
    <cellStyle name="Calculation 32 2 15" xfId="3206" xr:uid="{00000000-0005-0000-0000-00006B0C0000}"/>
    <cellStyle name="Calculation 32 2 15 2" xfId="3207" xr:uid="{00000000-0005-0000-0000-00006C0C0000}"/>
    <cellStyle name="Calculation 32 2 15 2 2" xfId="3208" xr:uid="{00000000-0005-0000-0000-00006D0C0000}"/>
    <cellStyle name="Calculation 32 2 15 3" xfId="3209" xr:uid="{00000000-0005-0000-0000-00006E0C0000}"/>
    <cellStyle name="Calculation 32 2 16" xfId="3210" xr:uid="{00000000-0005-0000-0000-00006F0C0000}"/>
    <cellStyle name="Calculation 32 2 16 2" xfId="3211" xr:uid="{00000000-0005-0000-0000-0000700C0000}"/>
    <cellStyle name="Calculation 32 2 16 2 2" xfId="3212" xr:uid="{00000000-0005-0000-0000-0000710C0000}"/>
    <cellStyle name="Calculation 32 2 16 3" xfId="3213" xr:uid="{00000000-0005-0000-0000-0000720C0000}"/>
    <cellStyle name="Calculation 32 2 17" xfId="3214" xr:uid="{00000000-0005-0000-0000-0000730C0000}"/>
    <cellStyle name="Calculation 32 2 17 2" xfId="3215" xr:uid="{00000000-0005-0000-0000-0000740C0000}"/>
    <cellStyle name="Calculation 32 2 17 2 2" xfId="3216" xr:uid="{00000000-0005-0000-0000-0000750C0000}"/>
    <cellStyle name="Calculation 32 2 17 3" xfId="3217" xr:uid="{00000000-0005-0000-0000-0000760C0000}"/>
    <cellStyle name="Calculation 32 2 18" xfId="3218" xr:uid="{00000000-0005-0000-0000-0000770C0000}"/>
    <cellStyle name="Calculation 32 2 18 2" xfId="3219" xr:uid="{00000000-0005-0000-0000-0000780C0000}"/>
    <cellStyle name="Calculation 32 2 19" xfId="3220" xr:uid="{00000000-0005-0000-0000-0000790C0000}"/>
    <cellStyle name="Calculation 32 2 2" xfId="3221" xr:uid="{00000000-0005-0000-0000-00007A0C0000}"/>
    <cellStyle name="Calculation 32 2 2 2" xfId="3222" xr:uid="{00000000-0005-0000-0000-00007B0C0000}"/>
    <cellStyle name="Calculation 32 2 2 2 2" xfId="3223" xr:uid="{00000000-0005-0000-0000-00007C0C0000}"/>
    <cellStyle name="Calculation 32 2 2 3" xfId="3224" xr:uid="{00000000-0005-0000-0000-00007D0C0000}"/>
    <cellStyle name="Calculation 32 2 3" xfId="3225" xr:uid="{00000000-0005-0000-0000-00007E0C0000}"/>
    <cellStyle name="Calculation 32 2 3 2" xfId="3226" xr:uid="{00000000-0005-0000-0000-00007F0C0000}"/>
    <cellStyle name="Calculation 32 2 3 2 2" xfId="3227" xr:uid="{00000000-0005-0000-0000-0000800C0000}"/>
    <cellStyle name="Calculation 32 2 3 3" xfId="3228" xr:uid="{00000000-0005-0000-0000-0000810C0000}"/>
    <cellStyle name="Calculation 32 2 4" xfId="3229" xr:uid="{00000000-0005-0000-0000-0000820C0000}"/>
    <cellStyle name="Calculation 32 2 4 2" xfId="3230" xr:uid="{00000000-0005-0000-0000-0000830C0000}"/>
    <cellStyle name="Calculation 32 2 4 2 2" xfId="3231" xr:uid="{00000000-0005-0000-0000-0000840C0000}"/>
    <cellStyle name="Calculation 32 2 4 3" xfId="3232" xr:uid="{00000000-0005-0000-0000-0000850C0000}"/>
    <cellStyle name="Calculation 32 2 5" xfId="3233" xr:uid="{00000000-0005-0000-0000-0000860C0000}"/>
    <cellStyle name="Calculation 32 2 5 2" xfId="3234" xr:uid="{00000000-0005-0000-0000-0000870C0000}"/>
    <cellStyle name="Calculation 32 2 5 2 2" xfId="3235" xr:uid="{00000000-0005-0000-0000-0000880C0000}"/>
    <cellStyle name="Calculation 32 2 5 3" xfId="3236" xr:uid="{00000000-0005-0000-0000-0000890C0000}"/>
    <cellStyle name="Calculation 32 2 6" xfId="3237" xr:uid="{00000000-0005-0000-0000-00008A0C0000}"/>
    <cellStyle name="Calculation 32 2 6 2" xfId="3238" xr:uid="{00000000-0005-0000-0000-00008B0C0000}"/>
    <cellStyle name="Calculation 32 2 6 2 2" xfId="3239" xr:uid="{00000000-0005-0000-0000-00008C0C0000}"/>
    <cellStyle name="Calculation 32 2 6 3" xfId="3240" xr:uid="{00000000-0005-0000-0000-00008D0C0000}"/>
    <cellStyle name="Calculation 32 2 7" xfId="3241" xr:uid="{00000000-0005-0000-0000-00008E0C0000}"/>
    <cellStyle name="Calculation 32 2 7 2" xfId="3242" xr:uid="{00000000-0005-0000-0000-00008F0C0000}"/>
    <cellStyle name="Calculation 32 2 7 2 2" xfId="3243" xr:uid="{00000000-0005-0000-0000-0000900C0000}"/>
    <cellStyle name="Calculation 32 2 7 3" xfId="3244" xr:uid="{00000000-0005-0000-0000-0000910C0000}"/>
    <cellStyle name="Calculation 32 2 8" xfId="3245" xr:uid="{00000000-0005-0000-0000-0000920C0000}"/>
    <cellStyle name="Calculation 32 2 8 2" xfId="3246" xr:uid="{00000000-0005-0000-0000-0000930C0000}"/>
    <cellStyle name="Calculation 32 2 8 2 2" xfId="3247" xr:uid="{00000000-0005-0000-0000-0000940C0000}"/>
    <cellStyle name="Calculation 32 2 8 3" xfId="3248" xr:uid="{00000000-0005-0000-0000-0000950C0000}"/>
    <cellStyle name="Calculation 32 2 9" xfId="3249" xr:uid="{00000000-0005-0000-0000-0000960C0000}"/>
    <cellStyle name="Calculation 32 2 9 2" xfId="3250" xr:uid="{00000000-0005-0000-0000-0000970C0000}"/>
    <cellStyle name="Calculation 32 2 9 2 2" xfId="3251" xr:uid="{00000000-0005-0000-0000-0000980C0000}"/>
    <cellStyle name="Calculation 32 2 9 3" xfId="3252" xr:uid="{00000000-0005-0000-0000-0000990C0000}"/>
    <cellStyle name="Calculation 32 3" xfId="3253" xr:uid="{00000000-0005-0000-0000-00009A0C0000}"/>
    <cellStyle name="Calculation 32 3 2" xfId="3254" xr:uid="{00000000-0005-0000-0000-00009B0C0000}"/>
    <cellStyle name="Calculation 32 3 2 2" xfId="3255" xr:uid="{00000000-0005-0000-0000-00009C0C0000}"/>
    <cellStyle name="Calculation 32 3 3" xfId="3256" xr:uid="{00000000-0005-0000-0000-00009D0C0000}"/>
    <cellStyle name="Calculation 33" xfId="3257" xr:uid="{00000000-0005-0000-0000-00009E0C0000}"/>
    <cellStyle name="Calculation 33 2" xfId="3258" xr:uid="{00000000-0005-0000-0000-00009F0C0000}"/>
    <cellStyle name="Calculation 33 2 10" xfId="3259" xr:uid="{00000000-0005-0000-0000-0000A00C0000}"/>
    <cellStyle name="Calculation 33 2 10 2" xfId="3260" xr:uid="{00000000-0005-0000-0000-0000A10C0000}"/>
    <cellStyle name="Calculation 33 2 10 2 2" xfId="3261" xr:uid="{00000000-0005-0000-0000-0000A20C0000}"/>
    <cellStyle name="Calculation 33 2 10 3" xfId="3262" xr:uid="{00000000-0005-0000-0000-0000A30C0000}"/>
    <cellStyle name="Calculation 33 2 11" xfId="3263" xr:uid="{00000000-0005-0000-0000-0000A40C0000}"/>
    <cellStyle name="Calculation 33 2 11 2" xfId="3264" xr:uid="{00000000-0005-0000-0000-0000A50C0000}"/>
    <cellStyle name="Calculation 33 2 11 2 2" xfId="3265" xr:uid="{00000000-0005-0000-0000-0000A60C0000}"/>
    <cellStyle name="Calculation 33 2 11 3" xfId="3266" xr:uid="{00000000-0005-0000-0000-0000A70C0000}"/>
    <cellStyle name="Calculation 33 2 12" xfId="3267" xr:uid="{00000000-0005-0000-0000-0000A80C0000}"/>
    <cellStyle name="Calculation 33 2 12 2" xfId="3268" xr:uid="{00000000-0005-0000-0000-0000A90C0000}"/>
    <cellStyle name="Calculation 33 2 12 2 2" xfId="3269" xr:uid="{00000000-0005-0000-0000-0000AA0C0000}"/>
    <cellStyle name="Calculation 33 2 12 3" xfId="3270" xr:uid="{00000000-0005-0000-0000-0000AB0C0000}"/>
    <cellStyle name="Calculation 33 2 13" xfId="3271" xr:uid="{00000000-0005-0000-0000-0000AC0C0000}"/>
    <cellStyle name="Calculation 33 2 13 2" xfId="3272" xr:uid="{00000000-0005-0000-0000-0000AD0C0000}"/>
    <cellStyle name="Calculation 33 2 13 2 2" xfId="3273" xr:uid="{00000000-0005-0000-0000-0000AE0C0000}"/>
    <cellStyle name="Calculation 33 2 13 3" xfId="3274" xr:uid="{00000000-0005-0000-0000-0000AF0C0000}"/>
    <cellStyle name="Calculation 33 2 14" xfId="3275" xr:uid="{00000000-0005-0000-0000-0000B00C0000}"/>
    <cellStyle name="Calculation 33 2 14 2" xfId="3276" xr:uid="{00000000-0005-0000-0000-0000B10C0000}"/>
    <cellStyle name="Calculation 33 2 14 2 2" xfId="3277" xr:uid="{00000000-0005-0000-0000-0000B20C0000}"/>
    <cellStyle name="Calculation 33 2 14 3" xfId="3278" xr:uid="{00000000-0005-0000-0000-0000B30C0000}"/>
    <cellStyle name="Calculation 33 2 15" xfId="3279" xr:uid="{00000000-0005-0000-0000-0000B40C0000}"/>
    <cellStyle name="Calculation 33 2 15 2" xfId="3280" xr:uid="{00000000-0005-0000-0000-0000B50C0000}"/>
    <cellStyle name="Calculation 33 2 15 2 2" xfId="3281" xr:uid="{00000000-0005-0000-0000-0000B60C0000}"/>
    <cellStyle name="Calculation 33 2 15 3" xfId="3282" xr:uid="{00000000-0005-0000-0000-0000B70C0000}"/>
    <cellStyle name="Calculation 33 2 16" xfId="3283" xr:uid="{00000000-0005-0000-0000-0000B80C0000}"/>
    <cellStyle name="Calculation 33 2 16 2" xfId="3284" xr:uid="{00000000-0005-0000-0000-0000B90C0000}"/>
    <cellStyle name="Calculation 33 2 16 2 2" xfId="3285" xr:uid="{00000000-0005-0000-0000-0000BA0C0000}"/>
    <cellStyle name="Calculation 33 2 16 3" xfId="3286" xr:uid="{00000000-0005-0000-0000-0000BB0C0000}"/>
    <cellStyle name="Calculation 33 2 17" xfId="3287" xr:uid="{00000000-0005-0000-0000-0000BC0C0000}"/>
    <cellStyle name="Calculation 33 2 17 2" xfId="3288" xr:uid="{00000000-0005-0000-0000-0000BD0C0000}"/>
    <cellStyle name="Calculation 33 2 17 2 2" xfId="3289" xr:uid="{00000000-0005-0000-0000-0000BE0C0000}"/>
    <cellStyle name="Calculation 33 2 17 3" xfId="3290" xr:uid="{00000000-0005-0000-0000-0000BF0C0000}"/>
    <cellStyle name="Calculation 33 2 18" xfId="3291" xr:uid="{00000000-0005-0000-0000-0000C00C0000}"/>
    <cellStyle name="Calculation 33 2 18 2" xfId="3292" xr:uid="{00000000-0005-0000-0000-0000C10C0000}"/>
    <cellStyle name="Calculation 33 2 19" xfId="3293" xr:uid="{00000000-0005-0000-0000-0000C20C0000}"/>
    <cellStyle name="Calculation 33 2 2" xfId="3294" xr:uid="{00000000-0005-0000-0000-0000C30C0000}"/>
    <cellStyle name="Calculation 33 2 2 2" xfId="3295" xr:uid="{00000000-0005-0000-0000-0000C40C0000}"/>
    <cellStyle name="Calculation 33 2 2 2 2" xfId="3296" xr:uid="{00000000-0005-0000-0000-0000C50C0000}"/>
    <cellStyle name="Calculation 33 2 2 3" xfId="3297" xr:uid="{00000000-0005-0000-0000-0000C60C0000}"/>
    <cellStyle name="Calculation 33 2 3" xfId="3298" xr:uid="{00000000-0005-0000-0000-0000C70C0000}"/>
    <cellStyle name="Calculation 33 2 3 2" xfId="3299" xr:uid="{00000000-0005-0000-0000-0000C80C0000}"/>
    <cellStyle name="Calculation 33 2 3 2 2" xfId="3300" xr:uid="{00000000-0005-0000-0000-0000C90C0000}"/>
    <cellStyle name="Calculation 33 2 3 3" xfId="3301" xr:uid="{00000000-0005-0000-0000-0000CA0C0000}"/>
    <cellStyle name="Calculation 33 2 4" xfId="3302" xr:uid="{00000000-0005-0000-0000-0000CB0C0000}"/>
    <cellStyle name="Calculation 33 2 4 2" xfId="3303" xr:uid="{00000000-0005-0000-0000-0000CC0C0000}"/>
    <cellStyle name="Calculation 33 2 4 2 2" xfId="3304" xr:uid="{00000000-0005-0000-0000-0000CD0C0000}"/>
    <cellStyle name="Calculation 33 2 4 3" xfId="3305" xr:uid="{00000000-0005-0000-0000-0000CE0C0000}"/>
    <cellStyle name="Calculation 33 2 5" xfId="3306" xr:uid="{00000000-0005-0000-0000-0000CF0C0000}"/>
    <cellStyle name="Calculation 33 2 5 2" xfId="3307" xr:uid="{00000000-0005-0000-0000-0000D00C0000}"/>
    <cellStyle name="Calculation 33 2 5 2 2" xfId="3308" xr:uid="{00000000-0005-0000-0000-0000D10C0000}"/>
    <cellStyle name="Calculation 33 2 5 3" xfId="3309" xr:uid="{00000000-0005-0000-0000-0000D20C0000}"/>
    <cellStyle name="Calculation 33 2 6" xfId="3310" xr:uid="{00000000-0005-0000-0000-0000D30C0000}"/>
    <cellStyle name="Calculation 33 2 6 2" xfId="3311" xr:uid="{00000000-0005-0000-0000-0000D40C0000}"/>
    <cellStyle name="Calculation 33 2 6 2 2" xfId="3312" xr:uid="{00000000-0005-0000-0000-0000D50C0000}"/>
    <cellStyle name="Calculation 33 2 6 3" xfId="3313" xr:uid="{00000000-0005-0000-0000-0000D60C0000}"/>
    <cellStyle name="Calculation 33 2 7" xfId="3314" xr:uid="{00000000-0005-0000-0000-0000D70C0000}"/>
    <cellStyle name="Calculation 33 2 7 2" xfId="3315" xr:uid="{00000000-0005-0000-0000-0000D80C0000}"/>
    <cellStyle name="Calculation 33 2 7 2 2" xfId="3316" xr:uid="{00000000-0005-0000-0000-0000D90C0000}"/>
    <cellStyle name="Calculation 33 2 7 3" xfId="3317" xr:uid="{00000000-0005-0000-0000-0000DA0C0000}"/>
    <cellStyle name="Calculation 33 2 8" xfId="3318" xr:uid="{00000000-0005-0000-0000-0000DB0C0000}"/>
    <cellStyle name="Calculation 33 2 8 2" xfId="3319" xr:uid="{00000000-0005-0000-0000-0000DC0C0000}"/>
    <cellStyle name="Calculation 33 2 8 2 2" xfId="3320" xr:uid="{00000000-0005-0000-0000-0000DD0C0000}"/>
    <cellStyle name="Calculation 33 2 8 3" xfId="3321" xr:uid="{00000000-0005-0000-0000-0000DE0C0000}"/>
    <cellStyle name="Calculation 33 2 9" xfId="3322" xr:uid="{00000000-0005-0000-0000-0000DF0C0000}"/>
    <cellStyle name="Calculation 33 2 9 2" xfId="3323" xr:uid="{00000000-0005-0000-0000-0000E00C0000}"/>
    <cellStyle name="Calculation 33 2 9 2 2" xfId="3324" xr:uid="{00000000-0005-0000-0000-0000E10C0000}"/>
    <cellStyle name="Calculation 33 2 9 3" xfId="3325" xr:uid="{00000000-0005-0000-0000-0000E20C0000}"/>
    <cellStyle name="Calculation 33 3" xfId="3326" xr:uid="{00000000-0005-0000-0000-0000E30C0000}"/>
    <cellStyle name="Calculation 33 3 2" xfId="3327" xr:uid="{00000000-0005-0000-0000-0000E40C0000}"/>
    <cellStyle name="Calculation 33 3 2 2" xfId="3328" xr:uid="{00000000-0005-0000-0000-0000E50C0000}"/>
    <cellStyle name="Calculation 33 3 3" xfId="3329" xr:uid="{00000000-0005-0000-0000-0000E60C0000}"/>
    <cellStyle name="Calculation 34" xfId="3330" xr:uid="{00000000-0005-0000-0000-0000E70C0000}"/>
    <cellStyle name="Calculation 34 2" xfId="3331" xr:uid="{00000000-0005-0000-0000-0000E80C0000}"/>
    <cellStyle name="Calculation 34 2 10" xfId="3332" xr:uid="{00000000-0005-0000-0000-0000E90C0000}"/>
    <cellStyle name="Calculation 34 2 10 2" xfId="3333" xr:uid="{00000000-0005-0000-0000-0000EA0C0000}"/>
    <cellStyle name="Calculation 34 2 10 2 2" xfId="3334" xr:uid="{00000000-0005-0000-0000-0000EB0C0000}"/>
    <cellStyle name="Calculation 34 2 10 3" xfId="3335" xr:uid="{00000000-0005-0000-0000-0000EC0C0000}"/>
    <cellStyle name="Calculation 34 2 11" xfId="3336" xr:uid="{00000000-0005-0000-0000-0000ED0C0000}"/>
    <cellStyle name="Calculation 34 2 11 2" xfId="3337" xr:uid="{00000000-0005-0000-0000-0000EE0C0000}"/>
    <cellStyle name="Calculation 34 2 11 2 2" xfId="3338" xr:uid="{00000000-0005-0000-0000-0000EF0C0000}"/>
    <cellStyle name="Calculation 34 2 11 3" xfId="3339" xr:uid="{00000000-0005-0000-0000-0000F00C0000}"/>
    <cellStyle name="Calculation 34 2 12" xfId="3340" xr:uid="{00000000-0005-0000-0000-0000F10C0000}"/>
    <cellStyle name="Calculation 34 2 12 2" xfId="3341" xr:uid="{00000000-0005-0000-0000-0000F20C0000}"/>
    <cellStyle name="Calculation 34 2 12 2 2" xfId="3342" xr:uid="{00000000-0005-0000-0000-0000F30C0000}"/>
    <cellStyle name="Calculation 34 2 12 3" xfId="3343" xr:uid="{00000000-0005-0000-0000-0000F40C0000}"/>
    <cellStyle name="Calculation 34 2 13" xfId="3344" xr:uid="{00000000-0005-0000-0000-0000F50C0000}"/>
    <cellStyle name="Calculation 34 2 13 2" xfId="3345" xr:uid="{00000000-0005-0000-0000-0000F60C0000}"/>
    <cellStyle name="Calculation 34 2 13 2 2" xfId="3346" xr:uid="{00000000-0005-0000-0000-0000F70C0000}"/>
    <cellStyle name="Calculation 34 2 13 3" xfId="3347" xr:uid="{00000000-0005-0000-0000-0000F80C0000}"/>
    <cellStyle name="Calculation 34 2 14" xfId="3348" xr:uid="{00000000-0005-0000-0000-0000F90C0000}"/>
    <cellStyle name="Calculation 34 2 14 2" xfId="3349" xr:uid="{00000000-0005-0000-0000-0000FA0C0000}"/>
    <cellStyle name="Calculation 34 2 14 2 2" xfId="3350" xr:uid="{00000000-0005-0000-0000-0000FB0C0000}"/>
    <cellStyle name="Calculation 34 2 14 3" xfId="3351" xr:uid="{00000000-0005-0000-0000-0000FC0C0000}"/>
    <cellStyle name="Calculation 34 2 15" xfId="3352" xr:uid="{00000000-0005-0000-0000-0000FD0C0000}"/>
    <cellStyle name="Calculation 34 2 15 2" xfId="3353" xr:uid="{00000000-0005-0000-0000-0000FE0C0000}"/>
    <cellStyle name="Calculation 34 2 15 2 2" xfId="3354" xr:uid="{00000000-0005-0000-0000-0000FF0C0000}"/>
    <cellStyle name="Calculation 34 2 15 3" xfId="3355" xr:uid="{00000000-0005-0000-0000-0000000D0000}"/>
    <cellStyle name="Calculation 34 2 16" xfId="3356" xr:uid="{00000000-0005-0000-0000-0000010D0000}"/>
    <cellStyle name="Calculation 34 2 16 2" xfId="3357" xr:uid="{00000000-0005-0000-0000-0000020D0000}"/>
    <cellStyle name="Calculation 34 2 16 2 2" xfId="3358" xr:uid="{00000000-0005-0000-0000-0000030D0000}"/>
    <cellStyle name="Calculation 34 2 16 3" xfId="3359" xr:uid="{00000000-0005-0000-0000-0000040D0000}"/>
    <cellStyle name="Calculation 34 2 17" xfId="3360" xr:uid="{00000000-0005-0000-0000-0000050D0000}"/>
    <cellStyle name="Calculation 34 2 17 2" xfId="3361" xr:uid="{00000000-0005-0000-0000-0000060D0000}"/>
    <cellStyle name="Calculation 34 2 17 2 2" xfId="3362" xr:uid="{00000000-0005-0000-0000-0000070D0000}"/>
    <cellStyle name="Calculation 34 2 17 3" xfId="3363" xr:uid="{00000000-0005-0000-0000-0000080D0000}"/>
    <cellStyle name="Calculation 34 2 18" xfId="3364" xr:uid="{00000000-0005-0000-0000-0000090D0000}"/>
    <cellStyle name="Calculation 34 2 18 2" xfId="3365" xr:uid="{00000000-0005-0000-0000-00000A0D0000}"/>
    <cellStyle name="Calculation 34 2 19" xfId="3366" xr:uid="{00000000-0005-0000-0000-00000B0D0000}"/>
    <cellStyle name="Calculation 34 2 2" xfId="3367" xr:uid="{00000000-0005-0000-0000-00000C0D0000}"/>
    <cellStyle name="Calculation 34 2 2 2" xfId="3368" xr:uid="{00000000-0005-0000-0000-00000D0D0000}"/>
    <cellStyle name="Calculation 34 2 2 2 2" xfId="3369" xr:uid="{00000000-0005-0000-0000-00000E0D0000}"/>
    <cellStyle name="Calculation 34 2 2 3" xfId="3370" xr:uid="{00000000-0005-0000-0000-00000F0D0000}"/>
    <cellStyle name="Calculation 34 2 3" xfId="3371" xr:uid="{00000000-0005-0000-0000-0000100D0000}"/>
    <cellStyle name="Calculation 34 2 3 2" xfId="3372" xr:uid="{00000000-0005-0000-0000-0000110D0000}"/>
    <cellStyle name="Calculation 34 2 3 2 2" xfId="3373" xr:uid="{00000000-0005-0000-0000-0000120D0000}"/>
    <cellStyle name="Calculation 34 2 3 3" xfId="3374" xr:uid="{00000000-0005-0000-0000-0000130D0000}"/>
    <cellStyle name="Calculation 34 2 4" xfId="3375" xr:uid="{00000000-0005-0000-0000-0000140D0000}"/>
    <cellStyle name="Calculation 34 2 4 2" xfId="3376" xr:uid="{00000000-0005-0000-0000-0000150D0000}"/>
    <cellStyle name="Calculation 34 2 4 2 2" xfId="3377" xr:uid="{00000000-0005-0000-0000-0000160D0000}"/>
    <cellStyle name="Calculation 34 2 4 3" xfId="3378" xr:uid="{00000000-0005-0000-0000-0000170D0000}"/>
    <cellStyle name="Calculation 34 2 5" xfId="3379" xr:uid="{00000000-0005-0000-0000-0000180D0000}"/>
    <cellStyle name="Calculation 34 2 5 2" xfId="3380" xr:uid="{00000000-0005-0000-0000-0000190D0000}"/>
    <cellStyle name="Calculation 34 2 5 2 2" xfId="3381" xr:uid="{00000000-0005-0000-0000-00001A0D0000}"/>
    <cellStyle name="Calculation 34 2 5 3" xfId="3382" xr:uid="{00000000-0005-0000-0000-00001B0D0000}"/>
    <cellStyle name="Calculation 34 2 6" xfId="3383" xr:uid="{00000000-0005-0000-0000-00001C0D0000}"/>
    <cellStyle name="Calculation 34 2 6 2" xfId="3384" xr:uid="{00000000-0005-0000-0000-00001D0D0000}"/>
    <cellStyle name="Calculation 34 2 6 2 2" xfId="3385" xr:uid="{00000000-0005-0000-0000-00001E0D0000}"/>
    <cellStyle name="Calculation 34 2 6 3" xfId="3386" xr:uid="{00000000-0005-0000-0000-00001F0D0000}"/>
    <cellStyle name="Calculation 34 2 7" xfId="3387" xr:uid="{00000000-0005-0000-0000-0000200D0000}"/>
    <cellStyle name="Calculation 34 2 7 2" xfId="3388" xr:uid="{00000000-0005-0000-0000-0000210D0000}"/>
    <cellStyle name="Calculation 34 2 7 2 2" xfId="3389" xr:uid="{00000000-0005-0000-0000-0000220D0000}"/>
    <cellStyle name="Calculation 34 2 7 3" xfId="3390" xr:uid="{00000000-0005-0000-0000-0000230D0000}"/>
    <cellStyle name="Calculation 34 2 8" xfId="3391" xr:uid="{00000000-0005-0000-0000-0000240D0000}"/>
    <cellStyle name="Calculation 34 2 8 2" xfId="3392" xr:uid="{00000000-0005-0000-0000-0000250D0000}"/>
    <cellStyle name="Calculation 34 2 8 2 2" xfId="3393" xr:uid="{00000000-0005-0000-0000-0000260D0000}"/>
    <cellStyle name="Calculation 34 2 8 3" xfId="3394" xr:uid="{00000000-0005-0000-0000-0000270D0000}"/>
    <cellStyle name="Calculation 34 2 9" xfId="3395" xr:uid="{00000000-0005-0000-0000-0000280D0000}"/>
    <cellStyle name="Calculation 34 2 9 2" xfId="3396" xr:uid="{00000000-0005-0000-0000-0000290D0000}"/>
    <cellStyle name="Calculation 34 2 9 2 2" xfId="3397" xr:uid="{00000000-0005-0000-0000-00002A0D0000}"/>
    <cellStyle name="Calculation 34 2 9 3" xfId="3398" xr:uid="{00000000-0005-0000-0000-00002B0D0000}"/>
    <cellStyle name="Calculation 34 3" xfId="3399" xr:uid="{00000000-0005-0000-0000-00002C0D0000}"/>
    <cellStyle name="Calculation 34 3 2" xfId="3400" xr:uid="{00000000-0005-0000-0000-00002D0D0000}"/>
    <cellStyle name="Calculation 34 3 2 2" xfId="3401" xr:uid="{00000000-0005-0000-0000-00002E0D0000}"/>
    <cellStyle name="Calculation 34 3 3" xfId="3402" xr:uid="{00000000-0005-0000-0000-00002F0D0000}"/>
    <cellStyle name="Calculation 35" xfId="3403" xr:uid="{00000000-0005-0000-0000-0000300D0000}"/>
    <cellStyle name="Calculation 35 2" xfId="3404" xr:uid="{00000000-0005-0000-0000-0000310D0000}"/>
    <cellStyle name="Calculation 35 2 10" xfId="3405" xr:uid="{00000000-0005-0000-0000-0000320D0000}"/>
    <cellStyle name="Calculation 35 2 10 2" xfId="3406" xr:uid="{00000000-0005-0000-0000-0000330D0000}"/>
    <cellStyle name="Calculation 35 2 10 2 2" xfId="3407" xr:uid="{00000000-0005-0000-0000-0000340D0000}"/>
    <cellStyle name="Calculation 35 2 10 3" xfId="3408" xr:uid="{00000000-0005-0000-0000-0000350D0000}"/>
    <cellStyle name="Calculation 35 2 11" xfId="3409" xr:uid="{00000000-0005-0000-0000-0000360D0000}"/>
    <cellStyle name="Calculation 35 2 11 2" xfId="3410" xr:uid="{00000000-0005-0000-0000-0000370D0000}"/>
    <cellStyle name="Calculation 35 2 11 2 2" xfId="3411" xr:uid="{00000000-0005-0000-0000-0000380D0000}"/>
    <cellStyle name="Calculation 35 2 11 3" xfId="3412" xr:uid="{00000000-0005-0000-0000-0000390D0000}"/>
    <cellStyle name="Calculation 35 2 12" xfId="3413" xr:uid="{00000000-0005-0000-0000-00003A0D0000}"/>
    <cellStyle name="Calculation 35 2 12 2" xfId="3414" xr:uid="{00000000-0005-0000-0000-00003B0D0000}"/>
    <cellStyle name="Calculation 35 2 12 2 2" xfId="3415" xr:uid="{00000000-0005-0000-0000-00003C0D0000}"/>
    <cellStyle name="Calculation 35 2 12 3" xfId="3416" xr:uid="{00000000-0005-0000-0000-00003D0D0000}"/>
    <cellStyle name="Calculation 35 2 13" xfId="3417" xr:uid="{00000000-0005-0000-0000-00003E0D0000}"/>
    <cellStyle name="Calculation 35 2 13 2" xfId="3418" xr:uid="{00000000-0005-0000-0000-00003F0D0000}"/>
    <cellStyle name="Calculation 35 2 13 2 2" xfId="3419" xr:uid="{00000000-0005-0000-0000-0000400D0000}"/>
    <cellStyle name="Calculation 35 2 13 3" xfId="3420" xr:uid="{00000000-0005-0000-0000-0000410D0000}"/>
    <cellStyle name="Calculation 35 2 14" xfId="3421" xr:uid="{00000000-0005-0000-0000-0000420D0000}"/>
    <cellStyle name="Calculation 35 2 14 2" xfId="3422" xr:uid="{00000000-0005-0000-0000-0000430D0000}"/>
    <cellStyle name="Calculation 35 2 14 2 2" xfId="3423" xr:uid="{00000000-0005-0000-0000-0000440D0000}"/>
    <cellStyle name="Calculation 35 2 14 3" xfId="3424" xr:uid="{00000000-0005-0000-0000-0000450D0000}"/>
    <cellStyle name="Calculation 35 2 15" xfId="3425" xr:uid="{00000000-0005-0000-0000-0000460D0000}"/>
    <cellStyle name="Calculation 35 2 15 2" xfId="3426" xr:uid="{00000000-0005-0000-0000-0000470D0000}"/>
    <cellStyle name="Calculation 35 2 15 2 2" xfId="3427" xr:uid="{00000000-0005-0000-0000-0000480D0000}"/>
    <cellStyle name="Calculation 35 2 15 3" xfId="3428" xr:uid="{00000000-0005-0000-0000-0000490D0000}"/>
    <cellStyle name="Calculation 35 2 16" xfId="3429" xr:uid="{00000000-0005-0000-0000-00004A0D0000}"/>
    <cellStyle name="Calculation 35 2 16 2" xfId="3430" xr:uid="{00000000-0005-0000-0000-00004B0D0000}"/>
    <cellStyle name="Calculation 35 2 16 2 2" xfId="3431" xr:uid="{00000000-0005-0000-0000-00004C0D0000}"/>
    <cellStyle name="Calculation 35 2 16 3" xfId="3432" xr:uid="{00000000-0005-0000-0000-00004D0D0000}"/>
    <cellStyle name="Calculation 35 2 17" xfId="3433" xr:uid="{00000000-0005-0000-0000-00004E0D0000}"/>
    <cellStyle name="Calculation 35 2 17 2" xfId="3434" xr:uid="{00000000-0005-0000-0000-00004F0D0000}"/>
    <cellStyle name="Calculation 35 2 17 2 2" xfId="3435" xr:uid="{00000000-0005-0000-0000-0000500D0000}"/>
    <cellStyle name="Calculation 35 2 17 3" xfId="3436" xr:uid="{00000000-0005-0000-0000-0000510D0000}"/>
    <cellStyle name="Calculation 35 2 18" xfId="3437" xr:uid="{00000000-0005-0000-0000-0000520D0000}"/>
    <cellStyle name="Calculation 35 2 18 2" xfId="3438" xr:uid="{00000000-0005-0000-0000-0000530D0000}"/>
    <cellStyle name="Calculation 35 2 19" xfId="3439" xr:uid="{00000000-0005-0000-0000-0000540D0000}"/>
    <cellStyle name="Calculation 35 2 2" xfId="3440" xr:uid="{00000000-0005-0000-0000-0000550D0000}"/>
    <cellStyle name="Calculation 35 2 2 2" xfId="3441" xr:uid="{00000000-0005-0000-0000-0000560D0000}"/>
    <cellStyle name="Calculation 35 2 2 2 2" xfId="3442" xr:uid="{00000000-0005-0000-0000-0000570D0000}"/>
    <cellStyle name="Calculation 35 2 2 3" xfId="3443" xr:uid="{00000000-0005-0000-0000-0000580D0000}"/>
    <cellStyle name="Calculation 35 2 3" xfId="3444" xr:uid="{00000000-0005-0000-0000-0000590D0000}"/>
    <cellStyle name="Calculation 35 2 3 2" xfId="3445" xr:uid="{00000000-0005-0000-0000-00005A0D0000}"/>
    <cellStyle name="Calculation 35 2 3 2 2" xfId="3446" xr:uid="{00000000-0005-0000-0000-00005B0D0000}"/>
    <cellStyle name="Calculation 35 2 3 3" xfId="3447" xr:uid="{00000000-0005-0000-0000-00005C0D0000}"/>
    <cellStyle name="Calculation 35 2 4" xfId="3448" xr:uid="{00000000-0005-0000-0000-00005D0D0000}"/>
    <cellStyle name="Calculation 35 2 4 2" xfId="3449" xr:uid="{00000000-0005-0000-0000-00005E0D0000}"/>
    <cellStyle name="Calculation 35 2 4 2 2" xfId="3450" xr:uid="{00000000-0005-0000-0000-00005F0D0000}"/>
    <cellStyle name="Calculation 35 2 4 3" xfId="3451" xr:uid="{00000000-0005-0000-0000-0000600D0000}"/>
    <cellStyle name="Calculation 35 2 5" xfId="3452" xr:uid="{00000000-0005-0000-0000-0000610D0000}"/>
    <cellStyle name="Calculation 35 2 5 2" xfId="3453" xr:uid="{00000000-0005-0000-0000-0000620D0000}"/>
    <cellStyle name="Calculation 35 2 5 2 2" xfId="3454" xr:uid="{00000000-0005-0000-0000-0000630D0000}"/>
    <cellStyle name="Calculation 35 2 5 3" xfId="3455" xr:uid="{00000000-0005-0000-0000-0000640D0000}"/>
    <cellStyle name="Calculation 35 2 6" xfId="3456" xr:uid="{00000000-0005-0000-0000-0000650D0000}"/>
    <cellStyle name="Calculation 35 2 6 2" xfId="3457" xr:uid="{00000000-0005-0000-0000-0000660D0000}"/>
    <cellStyle name="Calculation 35 2 6 2 2" xfId="3458" xr:uid="{00000000-0005-0000-0000-0000670D0000}"/>
    <cellStyle name="Calculation 35 2 6 3" xfId="3459" xr:uid="{00000000-0005-0000-0000-0000680D0000}"/>
    <cellStyle name="Calculation 35 2 7" xfId="3460" xr:uid="{00000000-0005-0000-0000-0000690D0000}"/>
    <cellStyle name="Calculation 35 2 7 2" xfId="3461" xr:uid="{00000000-0005-0000-0000-00006A0D0000}"/>
    <cellStyle name="Calculation 35 2 7 2 2" xfId="3462" xr:uid="{00000000-0005-0000-0000-00006B0D0000}"/>
    <cellStyle name="Calculation 35 2 7 3" xfId="3463" xr:uid="{00000000-0005-0000-0000-00006C0D0000}"/>
    <cellStyle name="Calculation 35 2 8" xfId="3464" xr:uid="{00000000-0005-0000-0000-00006D0D0000}"/>
    <cellStyle name="Calculation 35 2 8 2" xfId="3465" xr:uid="{00000000-0005-0000-0000-00006E0D0000}"/>
    <cellStyle name="Calculation 35 2 8 2 2" xfId="3466" xr:uid="{00000000-0005-0000-0000-00006F0D0000}"/>
    <cellStyle name="Calculation 35 2 8 3" xfId="3467" xr:uid="{00000000-0005-0000-0000-0000700D0000}"/>
    <cellStyle name="Calculation 35 2 9" xfId="3468" xr:uid="{00000000-0005-0000-0000-0000710D0000}"/>
    <cellStyle name="Calculation 35 2 9 2" xfId="3469" xr:uid="{00000000-0005-0000-0000-0000720D0000}"/>
    <cellStyle name="Calculation 35 2 9 2 2" xfId="3470" xr:uid="{00000000-0005-0000-0000-0000730D0000}"/>
    <cellStyle name="Calculation 35 2 9 3" xfId="3471" xr:uid="{00000000-0005-0000-0000-0000740D0000}"/>
    <cellStyle name="Calculation 35 3" xfId="3472" xr:uid="{00000000-0005-0000-0000-0000750D0000}"/>
    <cellStyle name="Calculation 35 3 2" xfId="3473" xr:uid="{00000000-0005-0000-0000-0000760D0000}"/>
    <cellStyle name="Calculation 35 3 2 2" xfId="3474" xr:uid="{00000000-0005-0000-0000-0000770D0000}"/>
    <cellStyle name="Calculation 35 3 3" xfId="3475" xr:uid="{00000000-0005-0000-0000-0000780D0000}"/>
    <cellStyle name="Calculation 36" xfId="3476" xr:uid="{00000000-0005-0000-0000-0000790D0000}"/>
    <cellStyle name="Calculation 36 2" xfId="3477" xr:uid="{00000000-0005-0000-0000-00007A0D0000}"/>
    <cellStyle name="Calculation 36 2 10" xfId="3478" xr:uid="{00000000-0005-0000-0000-00007B0D0000}"/>
    <cellStyle name="Calculation 36 2 10 2" xfId="3479" xr:uid="{00000000-0005-0000-0000-00007C0D0000}"/>
    <cellStyle name="Calculation 36 2 10 2 2" xfId="3480" xr:uid="{00000000-0005-0000-0000-00007D0D0000}"/>
    <cellStyle name="Calculation 36 2 10 3" xfId="3481" xr:uid="{00000000-0005-0000-0000-00007E0D0000}"/>
    <cellStyle name="Calculation 36 2 11" xfId="3482" xr:uid="{00000000-0005-0000-0000-00007F0D0000}"/>
    <cellStyle name="Calculation 36 2 11 2" xfId="3483" xr:uid="{00000000-0005-0000-0000-0000800D0000}"/>
    <cellStyle name="Calculation 36 2 11 2 2" xfId="3484" xr:uid="{00000000-0005-0000-0000-0000810D0000}"/>
    <cellStyle name="Calculation 36 2 11 3" xfId="3485" xr:uid="{00000000-0005-0000-0000-0000820D0000}"/>
    <cellStyle name="Calculation 36 2 12" xfId="3486" xr:uid="{00000000-0005-0000-0000-0000830D0000}"/>
    <cellStyle name="Calculation 36 2 12 2" xfId="3487" xr:uid="{00000000-0005-0000-0000-0000840D0000}"/>
    <cellStyle name="Calculation 36 2 12 2 2" xfId="3488" xr:uid="{00000000-0005-0000-0000-0000850D0000}"/>
    <cellStyle name="Calculation 36 2 12 3" xfId="3489" xr:uid="{00000000-0005-0000-0000-0000860D0000}"/>
    <cellStyle name="Calculation 36 2 13" xfId="3490" xr:uid="{00000000-0005-0000-0000-0000870D0000}"/>
    <cellStyle name="Calculation 36 2 13 2" xfId="3491" xr:uid="{00000000-0005-0000-0000-0000880D0000}"/>
    <cellStyle name="Calculation 36 2 13 2 2" xfId="3492" xr:uid="{00000000-0005-0000-0000-0000890D0000}"/>
    <cellStyle name="Calculation 36 2 13 3" xfId="3493" xr:uid="{00000000-0005-0000-0000-00008A0D0000}"/>
    <cellStyle name="Calculation 36 2 14" xfId="3494" xr:uid="{00000000-0005-0000-0000-00008B0D0000}"/>
    <cellStyle name="Calculation 36 2 14 2" xfId="3495" xr:uid="{00000000-0005-0000-0000-00008C0D0000}"/>
    <cellStyle name="Calculation 36 2 14 2 2" xfId="3496" xr:uid="{00000000-0005-0000-0000-00008D0D0000}"/>
    <cellStyle name="Calculation 36 2 14 3" xfId="3497" xr:uid="{00000000-0005-0000-0000-00008E0D0000}"/>
    <cellStyle name="Calculation 36 2 15" xfId="3498" xr:uid="{00000000-0005-0000-0000-00008F0D0000}"/>
    <cellStyle name="Calculation 36 2 15 2" xfId="3499" xr:uid="{00000000-0005-0000-0000-0000900D0000}"/>
    <cellStyle name="Calculation 36 2 15 2 2" xfId="3500" xr:uid="{00000000-0005-0000-0000-0000910D0000}"/>
    <cellStyle name="Calculation 36 2 15 3" xfId="3501" xr:uid="{00000000-0005-0000-0000-0000920D0000}"/>
    <cellStyle name="Calculation 36 2 16" xfId="3502" xr:uid="{00000000-0005-0000-0000-0000930D0000}"/>
    <cellStyle name="Calculation 36 2 16 2" xfId="3503" xr:uid="{00000000-0005-0000-0000-0000940D0000}"/>
    <cellStyle name="Calculation 36 2 16 2 2" xfId="3504" xr:uid="{00000000-0005-0000-0000-0000950D0000}"/>
    <cellStyle name="Calculation 36 2 16 3" xfId="3505" xr:uid="{00000000-0005-0000-0000-0000960D0000}"/>
    <cellStyle name="Calculation 36 2 17" xfId="3506" xr:uid="{00000000-0005-0000-0000-0000970D0000}"/>
    <cellStyle name="Calculation 36 2 17 2" xfId="3507" xr:uid="{00000000-0005-0000-0000-0000980D0000}"/>
    <cellStyle name="Calculation 36 2 17 2 2" xfId="3508" xr:uid="{00000000-0005-0000-0000-0000990D0000}"/>
    <cellStyle name="Calculation 36 2 17 3" xfId="3509" xr:uid="{00000000-0005-0000-0000-00009A0D0000}"/>
    <cellStyle name="Calculation 36 2 18" xfId="3510" xr:uid="{00000000-0005-0000-0000-00009B0D0000}"/>
    <cellStyle name="Calculation 36 2 18 2" xfId="3511" xr:uid="{00000000-0005-0000-0000-00009C0D0000}"/>
    <cellStyle name="Calculation 36 2 19" xfId="3512" xr:uid="{00000000-0005-0000-0000-00009D0D0000}"/>
    <cellStyle name="Calculation 36 2 2" xfId="3513" xr:uid="{00000000-0005-0000-0000-00009E0D0000}"/>
    <cellStyle name="Calculation 36 2 2 2" xfId="3514" xr:uid="{00000000-0005-0000-0000-00009F0D0000}"/>
    <cellStyle name="Calculation 36 2 2 2 2" xfId="3515" xr:uid="{00000000-0005-0000-0000-0000A00D0000}"/>
    <cellStyle name="Calculation 36 2 2 3" xfId="3516" xr:uid="{00000000-0005-0000-0000-0000A10D0000}"/>
    <cellStyle name="Calculation 36 2 3" xfId="3517" xr:uid="{00000000-0005-0000-0000-0000A20D0000}"/>
    <cellStyle name="Calculation 36 2 3 2" xfId="3518" xr:uid="{00000000-0005-0000-0000-0000A30D0000}"/>
    <cellStyle name="Calculation 36 2 3 2 2" xfId="3519" xr:uid="{00000000-0005-0000-0000-0000A40D0000}"/>
    <cellStyle name="Calculation 36 2 3 3" xfId="3520" xr:uid="{00000000-0005-0000-0000-0000A50D0000}"/>
    <cellStyle name="Calculation 36 2 4" xfId="3521" xr:uid="{00000000-0005-0000-0000-0000A60D0000}"/>
    <cellStyle name="Calculation 36 2 4 2" xfId="3522" xr:uid="{00000000-0005-0000-0000-0000A70D0000}"/>
    <cellStyle name="Calculation 36 2 4 2 2" xfId="3523" xr:uid="{00000000-0005-0000-0000-0000A80D0000}"/>
    <cellStyle name="Calculation 36 2 4 3" xfId="3524" xr:uid="{00000000-0005-0000-0000-0000A90D0000}"/>
    <cellStyle name="Calculation 36 2 5" xfId="3525" xr:uid="{00000000-0005-0000-0000-0000AA0D0000}"/>
    <cellStyle name="Calculation 36 2 5 2" xfId="3526" xr:uid="{00000000-0005-0000-0000-0000AB0D0000}"/>
    <cellStyle name="Calculation 36 2 5 2 2" xfId="3527" xr:uid="{00000000-0005-0000-0000-0000AC0D0000}"/>
    <cellStyle name="Calculation 36 2 5 3" xfId="3528" xr:uid="{00000000-0005-0000-0000-0000AD0D0000}"/>
    <cellStyle name="Calculation 36 2 6" xfId="3529" xr:uid="{00000000-0005-0000-0000-0000AE0D0000}"/>
    <cellStyle name="Calculation 36 2 6 2" xfId="3530" xr:uid="{00000000-0005-0000-0000-0000AF0D0000}"/>
    <cellStyle name="Calculation 36 2 6 2 2" xfId="3531" xr:uid="{00000000-0005-0000-0000-0000B00D0000}"/>
    <cellStyle name="Calculation 36 2 6 3" xfId="3532" xr:uid="{00000000-0005-0000-0000-0000B10D0000}"/>
    <cellStyle name="Calculation 36 2 7" xfId="3533" xr:uid="{00000000-0005-0000-0000-0000B20D0000}"/>
    <cellStyle name="Calculation 36 2 7 2" xfId="3534" xr:uid="{00000000-0005-0000-0000-0000B30D0000}"/>
    <cellStyle name="Calculation 36 2 7 2 2" xfId="3535" xr:uid="{00000000-0005-0000-0000-0000B40D0000}"/>
    <cellStyle name="Calculation 36 2 7 3" xfId="3536" xr:uid="{00000000-0005-0000-0000-0000B50D0000}"/>
    <cellStyle name="Calculation 36 2 8" xfId="3537" xr:uid="{00000000-0005-0000-0000-0000B60D0000}"/>
    <cellStyle name="Calculation 36 2 8 2" xfId="3538" xr:uid="{00000000-0005-0000-0000-0000B70D0000}"/>
    <cellStyle name="Calculation 36 2 8 2 2" xfId="3539" xr:uid="{00000000-0005-0000-0000-0000B80D0000}"/>
    <cellStyle name="Calculation 36 2 8 3" xfId="3540" xr:uid="{00000000-0005-0000-0000-0000B90D0000}"/>
    <cellStyle name="Calculation 36 2 9" xfId="3541" xr:uid="{00000000-0005-0000-0000-0000BA0D0000}"/>
    <cellStyle name="Calculation 36 2 9 2" xfId="3542" xr:uid="{00000000-0005-0000-0000-0000BB0D0000}"/>
    <cellStyle name="Calculation 36 2 9 2 2" xfId="3543" xr:uid="{00000000-0005-0000-0000-0000BC0D0000}"/>
    <cellStyle name="Calculation 36 2 9 3" xfId="3544" xr:uid="{00000000-0005-0000-0000-0000BD0D0000}"/>
    <cellStyle name="Calculation 36 3" xfId="3545" xr:uid="{00000000-0005-0000-0000-0000BE0D0000}"/>
    <cellStyle name="Calculation 36 3 2" xfId="3546" xr:uid="{00000000-0005-0000-0000-0000BF0D0000}"/>
    <cellStyle name="Calculation 36 3 2 2" xfId="3547" xr:uid="{00000000-0005-0000-0000-0000C00D0000}"/>
    <cellStyle name="Calculation 36 3 3" xfId="3548" xr:uid="{00000000-0005-0000-0000-0000C10D0000}"/>
    <cellStyle name="Calculation 37" xfId="3549" xr:uid="{00000000-0005-0000-0000-0000C20D0000}"/>
    <cellStyle name="Calculation 37 2" xfId="3550" xr:uid="{00000000-0005-0000-0000-0000C30D0000}"/>
    <cellStyle name="Calculation 37 2 10" xfId="3551" xr:uid="{00000000-0005-0000-0000-0000C40D0000}"/>
    <cellStyle name="Calculation 37 2 10 2" xfId="3552" xr:uid="{00000000-0005-0000-0000-0000C50D0000}"/>
    <cellStyle name="Calculation 37 2 10 2 2" xfId="3553" xr:uid="{00000000-0005-0000-0000-0000C60D0000}"/>
    <cellStyle name="Calculation 37 2 10 3" xfId="3554" xr:uid="{00000000-0005-0000-0000-0000C70D0000}"/>
    <cellStyle name="Calculation 37 2 11" xfId="3555" xr:uid="{00000000-0005-0000-0000-0000C80D0000}"/>
    <cellStyle name="Calculation 37 2 11 2" xfId="3556" xr:uid="{00000000-0005-0000-0000-0000C90D0000}"/>
    <cellStyle name="Calculation 37 2 11 2 2" xfId="3557" xr:uid="{00000000-0005-0000-0000-0000CA0D0000}"/>
    <cellStyle name="Calculation 37 2 11 3" xfId="3558" xr:uid="{00000000-0005-0000-0000-0000CB0D0000}"/>
    <cellStyle name="Calculation 37 2 12" xfId="3559" xr:uid="{00000000-0005-0000-0000-0000CC0D0000}"/>
    <cellStyle name="Calculation 37 2 12 2" xfId="3560" xr:uid="{00000000-0005-0000-0000-0000CD0D0000}"/>
    <cellStyle name="Calculation 37 2 12 2 2" xfId="3561" xr:uid="{00000000-0005-0000-0000-0000CE0D0000}"/>
    <cellStyle name="Calculation 37 2 12 3" xfId="3562" xr:uid="{00000000-0005-0000-0000-0000CF0D0000}"/>
    <cellStyle name="Calculation 37 2 13" xfId="3563" xr:uid="{00000000-0005-0000-0000-0000D00D0000}"/>
    <cellStyle name="Calculation 37 2 13 2" xfId="3564" xr:uid="{00000000-0005-0000-0000-0000D10D0000}"/>
    <cellStyle name="Calculation 37 2 13 2 2" xfId="3565" xr:uid="{00000000-0005-0000-0000-0000D20D0000}"/>
    <cellStyle name="Calculation 37 2 13 3" xfId="3566" xr:uid="{00000000-0005-0000-0000-0000D30D0000}"/>
    <cellStyle name="Calculation 37 2 14" xfId="3567" xr:uid="{00000000-0005-0000-0000-0000D40D0000}"/>
    <cellStyle name="Calculation 37 2 14 2" xfId="3568" xr:uid="{00000000-0005-0000-0000-0000D50D0000}"/>
    <cellStyle name="Calculation 37 2 14 2 2" xfId="3569" xr:uid="{00000000-0005-0000-0000-0000D60D0000}"/>
    <cellStyle name="Calculation 37 2 14 3" xfId="3570" xr:uid="{00000000-0005-0000-0000-0000D70D0000}"/>
    <cellStyle name="Calculation 37 2 15" xfId="3571" xr:uid="{00000000-0005-0000-0000-0000D80D0000}"/>
    <cellStyle name="Calculation 37 2 15 2" xfId="3572" xr:uid="{00000000-0005-0000-0000-0000D90D0000}"/>
    <cellStyle name="Calculation 37 2 15 2 2" xfId="3573" xr:uid="{00000000-0005-0000-0000-0000DA0D0000}"/>
    <cellStyle name="Calculation 37 2 15 3" xfId="3574" xr:uid="{00000000-0005-0000-0000-0000DB0D0000}"/>
    <cellStyle name="Calculation 37 2 16" xfId="3575" xr:uid="{00000000-0005-0000-0000-0000DC0D0000}"/>
    <cellStyle name="Calculation 37 2 16 2" xfId="3576" xr:uid="{00000000-0005-0000-0000-0000DD0D0000}"/>
    <cellStyle name="Calculation 37 2 16 2 2" xfId="3577" xr:uid="{00000000-0005-0000-0000-0000DE0D0000}"/>
    <cellStyle name="Calculation 37 2 16 3" xfId="3578" xr:uid="{00000000-0005-0000-0000-0000DF0D0000}"/>
    <cellStyle name="Calculation 37 2 17" xfId="3579" xr:uid="{00000000-0005-0000-0000-0000E00D0000}"/>
    <cellStyle name="Calculation 37 2 17 2" xfId="3580" xr:uid="{00000000-0005-0000-0000-0000E10D0000}"/>
    <cellStyle name="Calculation 37 2 17 2 2" xfId="3581" xr:uid="{00000000-0005-0000-0000-0000E20D0000}"/>
    <cellStyle name="Calculation 37 2 17 3" xfId="3582" xr:uid="{00000000-0005-0000-0000-0000E30D0000}"/>
    <cellStyle name="Calculation 37 2 18" xfId="3583" xr:uid="{00000000-0005-0000-0000-0000E40D0000}"/>
    <cellStyle name="Calculation 37 2 18 2" xfId="3584" xr:uid="{00000000-0005-0000-0000-0000E50D0000}"/>
    <cellStyle name="Calculation 37 2 19" xfId="3585" xr:uid="{00000000-0005-0000-0000-0000E60D0000}"/>
    <cellStyle name="Calculation 37 2 2" xfId="3586" xr:uid="{00000000-0005-0000-0000-0000E70D0000}"/>
    <cellStyle name="Calculation 37 2 2 2" xfId="3587" xr:uid="{00000000-0005-0000-0000-0000E80D0000}"/>
    <cellStyle name="Calculation 37 2 2 2 2" xfId="3588" xr:uid="{00000000-0005-0000-0000-0000E90D0000}"/>
    <cellStyle name="Calculation 37 2 2 3" xfId="3589" xr:uid="{00000000-0005-0000-0000-0000EA0D0000}"/>
    <cellStyle name="Calculation 37 2 3" xfId="3590" xr:uid="{00000000-0005-0000-0000-0000EB0D0000}"/>
    <cellStyle name="Calculation 37 2 3 2" xfId="3591" xr:uid="{00000000-0005-0000-0000-0000EC0D0000}"/>
    <cellStyle name="Calculation 37 2 3 2 2" xfId="3592" xr:uid="{00000000-0005-0000-0000-0000ED0D0000}"/>
    <cellStyle name="Calculation 37 2 3 3" xfId="3593" xr:uid="{00000000-0005-0000-0000-0000EE0D0000}"/>
    <cellStyle name="Calculation 37 2 4" xfId="3594" xr:uid="{00000000-0005-0000-0000-0000EF0D0000}"/>
    <cellStyle name="Calculation 37 2 4 2" xfId="3595" xr:uid="{00000000-0005-0000-0000-0000F00D0000}"/>
    <cellStyle name="Calculation 37 2 4 2 2" xfId="3596" xr:uid="{00000000-0005-0000-0000-0000F10D0000}"/>
    <cellStyle name="Calculation 37 2 4 3" xfId="3597" xr:uid="{00000000-0005-0000-0000-0000F20D0000}"/>
    <cellStyle name="Calculation 37 2 5" xfId="3598" xr:uid="{00000000-0005-0000-0000-0000F30D0000}"/>
    <cellStyle name="Calculation 37 2 5 2" xfId="3599" xr:uid="{00000000-0005-0000-0000-0000F40D0000}"/>
    <cellStyle name="Calculation 37 2 5 2 2" xfId="3600" xr:uid="{00000000-0005-0000-0000-0000F50D0000}"/>
    <cellStyle name="Calculation 37 2 5 3" xfId="3601" xr:uid="{00000000-0005-0000-0000-0000F60D0000}"/>
    <cellStyle name="Calculation 37 2 6" xfId="3602" xr:uid="{00000000-0005-0000-0000-0000F70D0000}"/>
    <cellStyle name="Calculation 37 2 6 2" xfId="3603" xr:uid="{00000000-0005-0000-0000-0000F80D0000}"/>
    <cellStyle name="Calculation 37 2 6 2 2" xfId="3604" xr:uid="{00000000-0005-0000-0000-0000F90D0000}"/>
    <cellStyle name="Calculation 37 2 6 3" xfId="3605" xr:uid="{00000000-0005-0000-0000-0000FA0D0000}"/>
    <cellStyle name="Calculation 37 2 7" xfId="3606" xr:uid="{00000000-0005-0000-0000-0000FB0D0000}"/>
    <cellStyle name="Calculation 37 2 7 2" xfId="3607" xr:uid="{00000000-0005-0000-0000-0000FC0D0000}"/>
    <cellStyle name="Calculation 37 2 7 2 2" xfId="3608" xr:uid="{00000000-0005-0000-0000-0000FD0D0000}"/>
    <cellStyle name="Calculation 37 2 7 3" xfId="3609" xr:uid="{00000000-0005-0000-0000-0000FE0D0000}"/>
    <cellStyle name="Calculation 37 2 8" xfId="3610" xr:uid="{00000000-0005-0000-0000-0000FF0D0000}"/>
    <cellStyle name="Calculation 37 2 8 2" xfId="3611" xr:uid="{00000000-0005-0000-0000-0000000E0000}"/>
    <cellStyle name="Calculation 37 2 8 2 2" xfId="3612" xr:uid="{00000000-0005-0000-0000-0000010E0000}"/>
    <cellStyle name="Calculation 37 2 8 3" xfId="3613" xr:uid="{00000000-0005-0000-0000-0000020E0000}"/>
    <cellStyle name="Calculation 37 2 9" xfId="3614" xr:uid="{00000000-0005-0000-0000-0000030E0000}"/>
    <cellStyle name="Calculation 37 2 9 2" xfId="3615" xr:uid="{00000000-0005-0000-0000-0000040E0000}"/>
    <cellStyle name="Calculation 37 2 9 2 2" xfId="3616" xr:uid="{00000000-0005-0000-0000-0000050E0000}"/>
    <cellStyle name="Calculation 37 2 9 3" xfId="3617" xr:uid="{00000000-0005-0000-0000-0000060E0000}"/>
    <cellStyle name="Calculation 37 3" xfId="3618" xr:uid="{00000000-0005-0000-0000-0000070E0000}"/>
    <cellStyle name="Calculation 37 3 2" xfId="3619" xr:uid="{00000000-0005-0000-0000-0000080E0000}"/>
    <cellStyle name="Calculation 37 3 2 2" xfId="3620" xr:uid="{00000000-0005-0000-0000-0000090E0000}"/>
    <cellStyle name="Calculation 37 3 3" xfId="3621" xr:uid="{00000000-0005-0000-0000-00000A0E0000}"/>
    <cellStyle name="Calculation 38" xfId="3622" xr:uid="{00000000-0005-0000-0000-00000B0E0000}"/>
    <cellStyle name="Calculation 38 2" xfId="3623" xr:uid="{00000000-0005-0000-0000-00000C0E0000}"/>
    <cellStyle name="Calculation 38 2 10" xfId="3624" xr:uid="{00000000-0005-0000-0000-00000D0E0000}"/>
    <cellStyle name="Calculation 38 2 10 2" xfId="3625" xr:uid="{00000000-0005-0000-0000-00000E0E0000}"/>
    <cellStyle name="Calculation 38 2 10 2 2" xfId="3626" xr:uid="{00000000-0005-0000-0000-00000F0E0000}"/>
    <cellStyle name="Calculation 38 2 10 3" xfId="3627" xr:uid="{00000000-0005-0000-0000-0000100E0000}"/>
    <cellStyle name="Calculation 38 2 11" xfId="3628" xr:uid="{00000000-0005-0000-0000-0000110E0000}"/>
    <cellStyle name="Calculation 38 2 11 2" xfId="3629" xr:uid="{00000000-0005-0000-0000-0000120E0000}"/>
    <cellStyle name="Calculation 38 2 11 2 2" xfId="3630" xr:uid="{00000000-0005-0000-0000-0000130E0000}"/>
    <cellStyle name="Calculation 38 2 11 3" xfId="3631" xr:uid="{00000000-0005-0000-0000-0000140E0000}"/>
    <cellStyle name="Calculation 38 2 12" xfId="3632" xr:uid="{00000000-0005-0000-0000-0000150E0000}"/>
    <cellStyle name="Calculation 38 2 12 2" xfId="3633" xr:uid="{00000000-0005-0000-0000-0000160E0000}"/>
    <cellStyle name="Calculation 38 2 12 2 2" xfId="3634" xr:uid="{00000000-0005-0000-0000-0000170E0000}"/>
    <cellStyle name="Calculation 38 2 12 3" xfId="3635" xr:uid="{00000000-0005-0000-0000-0000180E0000}"/>
    <cellStyle name="Calculation 38 2 13" xfId="3636" xr:uid="{00000000-0005-0000-0000-0000190E0000}"/>
    <cellStyle name="Calculation 38 2 13 2" xfId="3637" xr:uid="{00000000-0005-0000-0000-00001A0E0000}"/>
    <cellStyle name="Calculation 38 2 13 2 2" xfId="3638" xr:uid="{00000000-0005-0000-0000-00001B0E0000}"/>
    <cellStyle name="Calculation 38 2 13 3" xfId="3639" xr:uid="{00000000-0005-0000-0000-00001C0E0000}"/>
    <cellStyle name="Calculation 38 2 14" xfId="3640" xr:uid="{00000000-0005-0000-0000-00001D0E0000}"/>
    <cellStyle name="Calculation 38 2 14 2" xfId="3641" xr:uid="{00000000-0005-0000-0000-00001E0E0000}"/>
    <cellStyle name="Calculation 38 2 14 2 2" xfId="3642" xr:uid="{00000000-0005-0000-0000-00001F0E0000}"/>
    <cellStyle name="Calculation 38 2 14 3" xfId="3643" xr:uid="{00000000-0005-0000-0000-0000200E0000}"/>
    <cellStyle name="Calculation 38 2 15" xfId="3644" xr:uid="{00000000-0005-0000-0000-0000210E0000}"/>
    <cellStyle name="Calculation 38 2 15 2" xfId="3645" xr:uid="{00000000-0005-0000-0000-0000220E0000}"/>
    <cellStyle name="Calculation 38 2 15 2 2" xfId="3646" xr:uid="{00000000-0005-0000-0000-0000230E0000}"/>
    <cellStyle name="Calculation 38 2 15 3" xfId="3647" xr:uid="{00000000-0005-0000-0000-0000240E0000}"/>
    <cellStyle name="Calculation 38 2 16" xfId="3648" xr:uid="{00000000-0005-0000-0000-0000250E0000}"/>
    <cellStyle name="Calculation 38 2 16 2" xfId="3649" xr:uid="{00000000-0005-0000-0000-0000260E0000}"/>
    <cellStyle name="Calculation 38 2 16 2 2" xfId="3650" xr:uid="{00000000-0005-0000-0000-0000270E0000}"/>
    <cellStyle name="Calculation 38 2 16 3" xfId="3651" xr:uid="{00000000-0005-0000-0000-0000280E0000}"/>
    <cellStyle name="Calculation 38 2 17" xfId="3652" xr:uid="{00000000-0005-0000-0000-0000290E0000}"/>
    <cellStyle name="Calculation 38 2 17 2" xfId="3653" xr:uid="{00000000-0005-0000-0000-00002A0E0000}"/>
    <cellStyle name="Calculation 38 2 17 2 2" xfId="3654" xr:uid="{00000000-0005-0000-0000-00002B0E0000}"/>
    <cellStyle name="Calculation 38 2 17 3" xfId="3655" xr:uid="{00000000-0005-0000-0000-00002C0E0000}"/>
    <cellStyle name="Calculation 38 2 18" xfId="3656" xr:uid="{00000000-0005-0000-0000-00002D0E0000}"/>
    <cellStyle name="Calculation 38 2 18 2" xfId="3657" xr:uid="{00000000-0005-0000-0000-00002E0E0000}"/>
    <cellStyle name="Calculation 38 2 19" xfId="3658" xr:uid="{00000000-0005-0000-0000-00002F0E0000}"/>
    <cellStyle name="Calculation 38 2 2" xfId="3659" xr:uid="{00000000-0005-0000-0000-0000300E0000}"/>
    <cellStyle name="Calculation 38 2 2 2" xfId="3660" xr:uid="{00000000-0005-0000-0000-0000310E0000}"/>
    <cellStyle name="Calculation 38 2 2 2 2" xfId="3661" xr:uid="{00000000-0005-0000-0000-0000320E0000}"/>
    <cellStyle name="Calculation 38 2 2 3" xfId="3662" xr:uid="{00000000-0005-0000-0000-0000330E0000}"/>
    <cellStyle name="Calculation 38 2 3" xfId="3663" xr:uid="{00000000-0005-0000-0000-0000340E0000}"/>
    <cellStyle name="Calculation 38 2 3 2" xfId="3664" xr:uid="{00000000-0005-0000-0000-0000350E0000}"/>
    <cellStyle name="Calculation 38 2 3 2 2" xfId="3665" xr:uid="{00000000-0005-0000-0000-0000360E0000}"/>
    <cellStyle name="Calculation 38 2 3 3" xfId="3666" xr:uid="{00000000-0005-0000-0000-0000370E0000}"/>
    <cellStyle name="Calculation 38 2 4" xfId="3667" xr:uid="{00000000-0005-0000-0000-0000380E0000}"/>
    <cellStyle name="Calculation 38 2 4 2" xfId="3668" xr:uid="{00000000-0005-0000-0000-0000390E0000}"/>
    <cellStyle name="Calculation 38 2 4 2 2" xfId="3669" xr:uid="{00000000-0005-0000-0000-00003A0E0000}"/>
    <cellStyle name="Calculation 38 2 4 3" xfId="3670" xr:uid="{00000000-0005-0000-0000-00003B0E0000}"/>
    <cellStyle name="Calculation 38 2 5" xfId="3671" xr:uid="{00000000-0005-0000-0000-00003C0E0000}"/>
    <cellStyle name="Calculation 38 2 5 2" xfId="3672" xr:uid="{00000000-0005-0000-0000-00003D0E0000}"/>
    <cellStyle name="Calculation 38 2 5 2 2" xfId="3673" xr:uid="{00000000-0005-0000-0000-00003E0E0000}"/>
    <cellStyle name="Calculation 38 2 5 3" xfId="3674" xr:uid="{00000000-0005-0000-0000-00003F0E0000}"/>
    <cellStyle name="Calculation 38 2 6" xfId="3675" xr:uid="{00000000-0005-0000-0000-0000400E0000}"/>
    <cellStyle name="Calculation 38 2 6 2" xfId="3676" xr:uid="{00000000-0005-0000-0000-0000410E0000}"/>
    <cellStyle name="Calculation 38 2 6 2 2" xfId="3677" xr:uid="{00000000-0005-0000-0000-0000420E0000}"/>
    <cellStyle name="Calculation 38 2 6 3" xfId="3678" xr:uid="{00000000-0005-0000-0000-0000430E0000}"/>
    <cellStyle name="Calculation 38 2 7" xfId="3679" xr:uid="{00000000-0005-0000-0000-0000440E0000}"/>
    <cellStyle name="Calculation 38 2 7 2" xfId="3680" xr:uid="{00000000-0005-0000-0000-0000450E0000}"/>
    <cellStyle name="Calculation 38 2 7 2 2" xfId="3681" xr:uid="{00000000-0005-0000-0000-0000460E0000}"/>
    <cellStyle name="Calculation 38 2 7 3" xfId="3682" xr:uid="{00000000-0005-0000-0000-0000470E0000}"/>
    <cellStyle name="Calculation 38 2 8" xfId="3683" xr:uid="{00000000-0005-0000-0000-0000480E0000}"/>
    <cellStyle name="Calculation 38 2 8 2" xfId="3684" xr:uid="{00000000-0005-0000-0000-0000490E0000}"/>
    <cellStyle name="Calculation 38 2 8 2 2" xfId="3685" xr:uid="{00000000-0005-0000-0000-00004A0E0000}"/>
    <cellStyle name="Calculation 38 2 8 3" xfId="3686" xr:uid="{00000000-0005-0000-0000-00004B0E0000}"/>
    <cellStyle name="Calculation 38 2 9" xfId="3687" xr:uid="{00000000-0005-0000-0000-00004C0E0000}"/>
    <cellStyle name="Calculation 38 2 9 2" xfId="3688" xr:uid="{00000000-0005-0000-0000-00004D0E0000}"/>
    <cellStyle name="Calculation 38 2 9 2 2" xfId="3689" xr:uid="{00000000-0005-0000-0000-00004E0E0000}"/>
    <cellStyle name="Calculation 38 2 9 3" xfId="3690" xr:uid="{00000000-0005-0000-0000-00004F0E0000}"/>
    <cellStyle name="Calculation 38 3" xfId="3691" xr:uid="{00000000-0005-0000-0000-0000500E0000}"/>
    <cellStyle name="Calculation 38 3 2" xfId="3692" xr:uid="{00000000-0005-0000-0000-0000510E0000}"/>
    <cellStyle name="Calculation 38 3 2 2" xfId="3693" xr:uid="{00000000-0005-0000-0000-0000520E0000}"/>
    <cellStyle name="Calculation 38 3 3" xfId="3694" xr:uid="{00000000-0005-0000-0000-0000530E0000}"/>
    <cellStyle name="Calculation 39" xfId="3695" xr:uid="{00000000-0005-0000-0000-0000540E0000}"/>
    <cellStyle name="Calculation 39 2" xfId="3696" xr:uid="{00000000-0005-0000-0000-0000550E0000}"/>
    <cellStyle name="Calculation 39 2 10" xfId="3697" xr:uid="{00000000-0005-0000-0000-0000560E0000}"/>
    <cellStyle name="Calculation 39 2 10 2" xfId="3698" xr:uid="{00000000-0005-0000-0000-0000570E0000}"/>
    <cellStyle name="Calculation 39 2 10 2 2" xfId="3699" xr:uid="{00000000-0005-0000-0000-0000580E0000}"/>
    <cellStyle name="Calculation 39 2 10 3" xfId="3700" xr:uid="{00000000-0005-0000-0000-0000590E0000}"/>
    <cellStyle name="Calculation 39 2 11" xfId="3701" xr:uid="{00000000-0005-0000-0000-00005A0E0000}"/>
    <cellStyle name="Calculation 39 2 11 2" xfId="3702" xr:uid="{00000000-0005-0000-0000-00005B0E0000}"/>
    <cellStyle name="Calculation 39 2 11 2 2" xfId="3703" xr:uid="{00000000-0005-0000-0000-00005C0E0000}"/>
    <cellStyle name="Calculation 39 2 11 3" xfId="3704" xr:uid="{00000000-0005-0000-0000-00005D0E0000}"/>
    <cellStyle name="Calculation 39 2 12" xfId="3705" xr:uid="{00000000-0005-0000-0000-00005E0E0000}"/>
    <cellStyle name="Calculation 39 2 12 2" xfId="3706" xr:uid="{00000000-0005-0000-0000-00005F0E0000}"/>
    <cellStyle name="Calculation 39 2 12 2 2" xfId="3707" xr:uid="{00000000-0005-0000-0000-0000600E0000}"/>
    <cellStyle name="Calculation 39 2 12 3" xfId="3708" xr:uid="{00000000-0005-0000-0000-0000610E0000}"/>
    <cellStyle name="Calculation 39 2 13" xfId="3709" xr:uid="{00000000-0005-0000-0000-0000620E0000}"/>
    <cellStyle name="Calculation 39 2 13 2" xfId="3710" xr:uid="{00000000-0005-0000-0000-0000630E0000}"/>
    <cellStyle name="Calculation 39 2 13 2 2" xfId="3711" xr:uid="{00000000-0005-0000-0000-0000640E0000}"/>
    <cellStyle name="Calculation 39 2 13 3" xfId="3712" xr:uid="{00000000-0005-0000-0000-0000650E0000}"/>
    <cellStyle name="Calculation 39 2 14" xfId="3713" xr:uid="{00000000-0005-0000-0000-0000660E0000}"/>
    <cellStyle name="Calculation 39 2 14 2" xfId="3714" xr:uid="{00000000-0005-0000-0000-0000670E0000}"/>
    <cellStyle name="Calculation 39 2 14 2 2" xfId="3715" xr:uid="{00000000-0005-0000-0000-0000680E0000}"/>
    <cellStyle name="Calculation 39 2 14 3" xfId="3716" xr:uid="{00000000-0005-0000-0000-0000690E0000}"/>
    <cellStyle name="Calculation 39 2 15" xfId="3717" xr:uid="{00000000-0005-0000-0000-00006A0E0000}"/>
    <cellStyle name="Calculation 39 2 15 2" xfId="3718" xr:uid="{00000000-0005-0000-0000-00006B0E0000}"/>
    <cellStyle name="Calculation 39 2 15 2 2" xfId="3719" xr:uid="{00000000-0005-0000-0000-00006C0E0000}"/>
    <cellStyle name="Calculation 39 2 15 3" xfId="3720" xr:uid="{00000000-0005-0000-0000-00006D0E0000}"/>
    <cellStyle name="Calculation 39 2 16" xfId="3721" xr:uid="{00000000-0005-0000-0000-00006E0E0000}"/>
    <cellStyle name="Calculation 39 2 16 2" xfId="3722" xr:uid="{00000000-0005-0000-0000-00006F0E0000}"/>
    <cellStyle name="Calculation 39 2 16 2 2" xfId="3723" xr:uid="{00000000-0005-0000-0000-0000700E0000}"/>
    <cellStyle name="Calculation 39 2 16 3" xfId="3724" xr:uid="{00000000-0005-0000-0000-0000710E0000}"/>
    <cellStyle name="Calculation 39 2 17" xfId="3725" xr:uid="{00000000-0005-0000-0000-0000720E0000}"/>
    <cellStyle name="Calculation 39 2 17 2" xfId="3726" xr:uid="{00000000-0005-0000-0000-0000730E0000}"/>
    <cellStyle name="Calculation 39 2 17 2 2" xfId="3727" xr:uid="{00000000-0005-0000-0000-0000740E0000}"/>
    <cellStyle name="Calculation 39 2 17 3" xfId="3728" xr:uid="{00000000-0005-0000-0000-0000750E0000}"/>
    <cellStyle name="Calculation 39 2 18" xfId="3729" xr:uid="{00000000-0005-0000-0000-0000760E0000}"/>
    <cellStyle name="Calculation 39 2 18 2" xfId="3730" xr:uid="{00000000-0005-0000-0000-0000770E0000}"/>
    <cellStyle name="Calculation 39 2 19" xfId="3731" xr:uid="{00000000-0005-0000-0000-0000780E0000}"/>
    <cellStyle name="Calculation 39 2 2" xfId="3732" xr:uid="{00000000-0005-0000-0000-0000790E0000}"/>
    <cellStyle name="Calculation 39 2 2 2" xfId="3733" xr:uid="{00000000-0005-0000-0000-00007A0E0000}"/>
    <cellStyle name="Calculation 39 2 2 2 2" xfId="3734" xr:uid="{00000000-0005-0000-0000-00007B0E0000}"/>
    <cellStyle name="Calculation 39 2 2 3" xfId="3735" xr:uid="{00000000-0005-0000-0000-00007C0E0000}"/>
    <cellStyle name="Calculation 39 2 3" xfId="3736" xr:uid="{00000000-0005-0000-0000-00007D0E0000}"/>
    <cellStyle name="Calculation 39 2 3 2" xfId="3737" xr:uid="{00000000-0005-0000-0000-00007E0E0000}"/>
    <cellStyle name="Calculation 39 2 3 2 2" xfId="3738" xr:uid="{00000000-0005-0000-0000-00007F0E0000}"/>
    <cellStyle name="Calculation 39 2 3 3" xfId="3739" xr:uid="{00000000-0005-0000-0000-0000800E0000}"/>
    <cellStyle name="Calculation 39 2 4" xfId="3740" xr:uid="{00000000-0005-0000-0000-0000810E0000}"/>
    <cellStyle name="Calculation 39 2 4 2" xfId="3741" xr:uid="{00000000-0005-0000-0000-0000820E0000}"/>
    <cellStyle name="Calculation 39 2 4 2 2" xfId="3742" xr:uid="{00000000-0005-0000-0000-0000830E0000}"/>
    <cellStyle name="Calculation 39 2 4 3" xfId="3743" xr:uid="{00000000-0005-0000-0000-0000840E0000}"/>
    <cellStyle name="Calculation 39 2 5" xfId="3744" xr:uid="{00000000-0005-0000-0000-0000850E0000}"/>
    <cellStyle name="Calculation 39 2 5 2" xfId="3745" xr:uid="{00000000-0005-0000-0000-0000860E0000}"/>
    <cellStyle name="Calculation 39 2 5 2 2" xfId="3746" xr:uid="{00000000-0005-0000-0000-0000870E0000}"/>
    <cellStyle name="Calculation 39 2 5 3" xfId="3747" xr:uid="{00000000-0005-0000-0000-0000880E0000}"/>
    <cellStyle name="Calculation 39 2 6" xfId="3748" xr:uid="{00000000-0005-0000-0000-0000890E0000}"/>
    <cellStyle name="Calculation 39 2 6 2" xfId="3749" xr:uid="{00000000-0005-0000-0000-00008A0E0000}"/>
    <cellStyle name="Calculation 39 2 6 2 2" xfId="3750" xr:uid="{00000000-0005-0000-0000-00008B0E0000}"/>
    <cellStyle name="Calculation 39 2 6 3" xfId="3751" xr:uid="{00000000-0005-0000-0000-00008C0E0000}"/>
    <cellStyle name="Calculation 39 2 7" xfId="3752" xr:uid="{00000000-0005-0000-0000-00008D0E0000}"/>
    <cellStyle name="Calculation 39 2 7 2" xfId="3753" xr:uid="{00000000-0005-0000-0000-00008E0E0000}"/>
    <cellStyle name="Calculation 39 2 7 2 2" xfId="3754" xr:uid="{00000000-0005-0000-0000-00008F0E0000}"/>
    <cellStyle name="Calculation 39 2 7 3" xfId="3755" xr:uid="{00000000-0005-0000-0000-0000900E0000}"/>
    <cellStyle name="Calculation 39 2 8" xfId="3756" xr:uid="{00000000-0005-0000-0000-0000910E0000}"/>
    <cellStyle name="Calculation 39 2 8 2" xfId="3757" xr:uid="{00000000-0005-0000-0000-0000920E0000}"/>
    <cellStyle name="Calculation 39 2 8 2 2" xfId="3758" xr:uid="{00000000-0005-0000-0000-0000930E0000}"/>
    <cellStyle name="Calculation 39 2 8 3" xfId="3759" xr:uid="{00000000-0005-0000-0000-0000940E0000}"/>
    <cellStyle name="Calculation 39 2 9" xfId="3760" xr:uid="{00000000-0005-0000-0000-0000950E0000}"/>
    <cellStyle name="Calculation 39 2 9 2" xfId="3761" xr:uid="{00000000-0005-0000-0000-0000960E0000}"/>
    <cellStyle name="Calculation 39 2 9 2 2" xfId="3762" xr:uid="{00000000-0005-0000-0000-0000970E0000}"/>
    <cellStyle name="Calculation 39 2 9 3" xfId="3763" xr:uid="{00000000-0005-0000-0000-0000980E0000}"/>
    <cellStyle name="Calculation 39 3" xfId="3764" xr:uid="{00000000-0005-0000-0000-0000990E0000}"/>
    <cellStyle name="Calculation 39 3 2" xfId="3765" xr:uid="{00000000-0005-0000-0000-00009A0E0000}"/>
    <cellStyle name="Calculation 39 3 2 2" xfId="3766" xr:uid="{00000000-0005-0000-0000-00009B0E0000}"/>
    <cellStyle name="Calculation 39 3 3" xfId="3767" xr:uid="{00000000-0005-0000-0000-00009C0E0000}"/>
    <cellStyle name="Calculation 4" xfId="3768" xr:uid="{00000000-0005-0000-0000-00009D0E0000}"/>
    <cellStyle name="Calculation 4 2" xfId="3769" xr:uid="{00000000-0005-0000-0000-00009E0E0000}"/>
    <cellStyle name="Calculation 4 2 10" xfId="3770" xr:uid="{00000000-0005-0000-0000-00009F0E0000}"/>
    <cellStyle name="Calculation 4 2 10 2" xfId="3771" xr:uid="{00000000-0005-0000-0000-0000A00E0000}"/>
    <cellStyle name="Calculation 4 2 10 2 2" xfId="3772" xr:uid="{00000000-0005-0000-0000-0000A10E0000}"/>
    <cellStyle name="Calculation 4 2 10 3" xfId="3773" xr:uid="{00000000-0005-0000-0000-0000A20E0000}"/>
    <cellStyle name="Calculation 4 2 11" xfId="3774" xr:uid="{00000000-0005-0000-0000-0000A30E0000}"/>
    <cellStyle name="Calculation 4 2 11 2" xfId="3775" xr:uid="{00000000-0005-0000-0000-0000A40E0000}"/>
    <cellStyle name="Calculation 4 2 11 2 2" xfId="3776" xr:uid="{00000000-0005-0000-0000-0000A50E0000}"/>
    <cellStyle name="Calculation 4 2 11 3" xfId="3777" xr:uid="{00000000-0005-0000-0000-0000A60E0000}"/>
    <cellStyle name="Calculation 4 2 12" xfId="3778" xr:uid="{00000000-0005-0000-0000-0000A70E0000}"/>
    <cellStyle name="Calculation 4 2 12 2" xfId="3779" xr:uid="{00000000-0005-0000-0000-0000A80E0000}"/>
    <cellStyle name="Calculation 4 2 12 2 2" xfId="3780" xr:uid="{00000000-0005-0000-0000-0000A90E0000}"/>
    <cellStyle name="Calculation 4 2 12 3" xfId="3781" xr:uid="{00000000-0005-0000-0000-0000AA0E0000}"/>
    <cellStyle name="Calculation 4 2 13" xfId="3782" xr:uid="{00000000-0005-0000-0000-0000AB0E0000}"/>
    <cellStyle name="Calculation 4 2 13 2" xfId="3783" xr:uid="{00000000-0005-0000-0000-0000AC0E0000}"/>
    <cellStyle name="Calculation 4 2 13 2 2" xfId="3784" xr:uid="{00000000-0005-0000-0000-0000AD0E0000}"/>
    <cellStyle name="Calculation 4 2 13 3" xfId="3785" xr:uid="{00000000-0005-0000-0000-0000AE0E0000}"/>
    <cellStyle name="Calculation 4 2 14" xfId="3786" xr:uid="{00000000-0005-0000-0000-0000AF0E0000}"/>
    <cellStyle name="Calculation 4 2 14 2" xfId="3787" xr:uid="{00000000-0005-0000-0000-0000B00E0000}"/>
    <cellStyle name="Calculation 4 2 14 2 2" xfId="3788" xr:uid="{00000000-0005-0000-0000-0000B10E0000}"/>
    <cellStyle name="Calculation 4 2 14 3" xfId="3789" xr:uid="{00000000-0005-0000-0000-0000B20E0000}"/>
    <cellStyle name="Calculation 4 2 15" xfId="3790" xr:uid="{00000000-0005-0000-0000-0000B30E0000}"/>
    <cellStyle name="Calculation 4 2 15 2" xfId="3791" xr:uid="{00000000-0005-0000-0000-0000B40E0000}"/>
    <cellStyle name="Calculation 4 2 15 2 2" xfId="3792" xr:uid="{00000000-0005-0000-0000-0000B50E0000}"/>
    <cellStyle name="Calculation 4 2 15 3" xfId="3793" xr:uid="{00000000-0005-0000-0000-0000B60E0000}"/>
    <cellStyle name="Calculation 4 2 16" xfId="3794" xr:uid="{00000000-0005-0000-0000-0000B70E0000}"/>
    <cellStyle name="Calculation 4 2 16 2" xfId="3795" xr:uid="{00000000-0005-0000-0000-0000B80E0000}"/>
    <cellStyle name="Calculation 4 2 16 2 2" xfId="3796" xr:uid="{00000000-0005-0000-0000-0000B90E0000}"/>
    <cellStyle name="Calculation 4 2 16 3" xfId="3797" xr:uid="{00000000-0005-0000-0000-0000BA0E0000}"/>
    <cellStyle name="Calculation 4 2 17" xfId="3798" xr:uid="{00000000-0005-0000-0000-0000BB0E0000}"/>
    <cellStyle name="Calculation 4 2 17 2" xfId="3799" xr:uid="{00000000-0005-0000-0000-0000BC0E0000}"/>
    <cellStyle name="Calculation 4 2 17 2 2" xfId="3800" xr:uid="{00000000-0005-0000-0000-0000BD0E0000}"/>
    <cellStyle name="Calculation 4 2 17 3" xfId="3801" xr:uid="{00000000-0005-0000-0000-0000BE0E0000}"/>
    <cellStyle name="Calculation 4 2 18" xfId="3802" xr:uid="{00000000-0005-0000-0000-0000BF0E0000}"/>
    <cellStyle name="Calculation 4 2 18 2" xfId="3803" xr:uid="{00000000-0005-0000-0000-0000C00E0000}"/>
    <cellStyle name="Calculation 4 2 19" xfId="3804" xr:uid="{00000000-0005-0000-0000-0000C10E0000}"/>
    <cellStyle name="Calculation 4 2 2" xfId="3805" xr:uid="{00000000-0005-0000-0000-0000C20E0000}"/>
    <cellStyle name="Calculation 4 2 2 2" xfId="3806" xr:uid="{00000000-0005-0000-0000-0000C30E0000}"/>
    <cellStyle name="Calculation 4 2 2 2 2" xfId="3807" xr:uid="{00000000-0005-0000-0000-0000C40E0000}"/>
    <cellStyle name="Calculation 4 2 2 3" xfId="3808" xr:uid="{00000000-0005-0000-0000-0000C50E0000}"/>
    <cellStyle name="Calculation 4 2 3" xfId="3809" xr:uid="{00000000-0005-0000-0000-0000C60E0000}"/>
    <cellStyle name="Calculation 4 2 3 2" xfId="3810" xr:uid="{00000000-0005-0000-0000-0000C70E0000}"/>
    <cellStyle name="Calculation 4 2 3 2 2" xfId="3811" xr:uid="{00000000-0005-0000-0000-0000C80E0000}"/>
    <cellStyle name="Calculation 4 2 3 3" xfId="3812" xr:uid="{00000000-0005-0000-0000-0000C90E0000}"/>
    <cellStyle name="Calculation 4 2 4" xfId="3813" xr:uid="{00000000-0005-0000-0000-0000CA0E0000}"/>
    <cellStyle name="Calculation 4 2 4 2" xfId="3814" xr:uid="{00000000-0005-0000-0000-0000CB0E0000}"/>
    <cellStyle name="Calculation 4 2 4 2 2" xfId="3815" xr:uid="{00000000-0005-0000-0000-0000CC0E0000}"/>
    <cellStyle name="Calculation 4 2 4 3" xfId="3816" xr:uid="{00000000-0005-0000-0000-0000CD0E0000}"/>
    <cellStyle name="Calculation 4 2 5" xfId="3817" xr:uid="{00000000-0005-0000-0000-0000CE0E0000}"/>
    <cellStyle name="Calculation 4 2 5 2" xfId="3818" xr:uid="{00000000-0005-0000-0000-0000CF0E0000}"/>
    <cellStyle name="Calculation 4 2 5 2 2" xfId="3819" xr:uid="{00000000-0005-0000-0000-0000D00E0000}"/>
    <cellStyle name="Calculation 4 2 5 3" xfId="3820" xr:uid="{00000000-0005-0000-0000-0000D10E0000}"/>
    <cellStyle name="Calculation 4 2 6" xfId="3821" xr:uid="{00000000-0005-0000-0000-0000D20E0000}"/>
    <cellStyle name="Calculation 4 2 6 2" xfId="3822" xr:uid="{00000000-0005-0000-0000-0000D30E0000}"/>
    <cellStyle name="Calculation 4 2 6 2 2" xfId="3823" xr:uid="{00000000-0005-0000-0000-0000D40E0000}"/>
    <cellStyle name="Calculation 4 2 6 3" xfId="3824" xr:uid="{00000000-0005-0000-0000-0000D50E0000}"/>
    <cellStyle name="Calculation 4 2 7" xfId="3825" xr:uid="{00000000-0005-0000-0000-0000D60E0000}"/>
    <cellStyle name="Calculation 4 2 7 2" xfId="3826" xr:uid="{00000000-0005-0000-0000-0000D70E0000}"/>
    <cellStyle name="Calculation 4 2 7 2 2" xfId="3827" xr:uid="{00000000-0005-0000-0000-0000D80E0000}"/>
    <cellStyle name="Calculation 4 2 7 3" xfId="3828" xr:uid="{00000000-0005-0000-0000-0000D90E0000}"/>
    <cellStyle name="Calculation 4 2 8" xfId="3829" xr:uid="{00000000-0005-0000-0000-0000DA0E0000}"/>
    <cellStyle name="Calculation 4 2 8 2" xfId="3830" xr:uid="{00000000-0005-0000-0000-0000DB0E0000}"/>
    <cellStyle name="Calculation 4 2 8 2 2" xfId="3831" xr:uid="{00000000-0005-0000-0000-0000DC0E0000}"/>
    <cellStyle name="Calculation 4 2 8 3" xfId="3832" xr:uid="{00000000-0005-0000-0000-0000DD0E0000}"/>
    <cellStyle name="Calculation 4 2 9" xfId="3833" xr:uid="{00000000-0005-0000-0000-0000DE0E0000}"/>
    <cellStyle name="Calculation 4 2 9 2" xfId="3834" xr:uid="{00000000-0005-0000-0000-0000DF0E0000}"/>
    <cellStyle name="Calculation 4 2 9 2 2" xfId="3835" xr:uid="{00000000-0005-0000-0000-0000E00E0000}"/>
    <cellStyle name="Calculation 4 2 9 3" xfId="3836" xr:uid="{00000000-0005-0000-0000-0000E10E0000}"/>
    <cellStyle name="Calculation 4 3" xfId="3837" xr:uid="{00000000-0005-0000-0000-0000E20E0000}"/>
    <cellStyle name="Calculation 4 3 2" xfId="3838" xr:uid="{00000000-0005-0000-0000-0000E30E0000}"/>
    <cellStyle name="Calculation 4 3 2 2" xfId="3839" xr:uid="{00000000-0005-0000-0000-0000E40E0000}"/>
    <cellStyle name="Calculation 4 3 3" xfId="3840" xr:uid="{00000000-0005-0000-0000-0000E50E0000}"/>
    <cellStyle name="Calculation 40" xfId="3841" xr:uid="{00000000-0005-0000-0000-0000E60E0000}"/>
    <cellStyle name="Calculation 40 2" xfId="3842" xr:uid="{00000000-0005-0000-0000-0000E70E0000}"/>
    <cellStyle name="Calculation 40 2 10" xfId="3843" xr:uid="{00000000-0005-0000-0000-0000E80E0000}"/>
    <cellStyle name="Calculation 40 2 10 2" xfId="3844" xr:uid="{00000000-0005-0000-0000-0000E90E0000}"/>
    <cellStyle name="Calculation 40 2 10 2 2" xfId="3845" xr:uid="{00000000-0005-0000-0000-0000EA0E0000}"/>
    <cellStyle name="Calculation 40 2 10 3" xfId="3846" xr:uid="{00000000-0005-0000-0000-0000EB0E0000}"/>
    <cellStyle name="Calculation 40 2 11" xfId="3847" xr:uid="{00000000-0005-0000-0000-0000EC0E0000}"/>
    <cellStyle name="Calculation 40 2 11 2" xfId="3848" xr:uid="{00000000-0005-0000-0000-0000ED0E0000}"/>
    <cellStyle name="Calculation 40 2 11 2 2" xfId="3849" xr:uid="{00000000-0005-0000-0000-0000EE0E0000}"/>
    <cellStyle name="Calculation 40 2 11 3" xfId="3850" xr:uid="{00000000-0005-0000-0000-0000EF0E0000}"/>
    <cellStyle name="Calculation 40 2 12" xfId="3851" xr:uid="{00000000-0005-0000-0000-0000F00E0000}"/>
    <cellStyle name="Calculation 40 2 12 2" xfId="3852" xr:uid="{00000000-0005-0000-0000-0000F10E0000}"/>
    <cellStyle name="Calculation 40 2 12 2 2" xfId="3853" xr:uid="{00000000-0005-0000-0000-0000F20E0000}"/>
    <cellStyle name="Calculation 40 2 12 3" xfId="3854" xr:uid="{00000000-0005-0000-0000-0000F30E0000}"/>
    <cellStyle name="Calculation 40 2 13" xfId="3855" xr:uid="{00000000-0005-0000-0000-0000F40E0000}"/>
    <cellStyle name="Calculation 40 2 13 2" xfId="3856" xr:uid="{00000000-0005-0000-0000-0000F50E0000}"/>
    <cellStyle name="Calculation 40 2 13 2 2" xfId="3857" xr:uid="{00000000-0005-0000-0000-0000F60E0000}"/>
    <cellStyle name="Calculation 40 2 13 3" xfId="3858" xr:uid="{00000000-0005-0000-0000-0000F70E0000}"/>
    <cellStyle name="Calculation 40 2 14" xfId="3859" xr:uid="{00000000-0005-0000-0000-0000F80E0000}"/>
    <cellStyle name="Calculation 40 2 14 2" xfId="3860" xr:uid="{00000000-0005-0000-0000-0000F90E0000}"/>
    <cellStyle name="Calculation 40 2 14 2 2" xfId="3861" xr:uid="{00000000-0005-0000-0000-0000FA0E0000}"/>
    <cellStyle name="Calculation 40 2 14 3" xfId="3862" xr:uid="{00000000-0005-0000-0000-0000FB0E0000}"/>
    <cellStyle name="Calculation 40 2 15" xfId="3863" xr:uid="{00000000-0005-0000-0000-0000FC0E0000}"/>
    <cellStyle name="Calculation 40 2 15 2" xfId="3864" xr:uid="{00000000-0005-0000-0000-0000FD0E0000}"/>
    <cellStyle name="Calculation 40 2 15 2 2" xfId="3865" xr:uid="{00000000-0005-0000-0000-0000FE0E0000}"/>
    <cellStyle name="Calculation 40 2 15 3" xfId="3866" xr:uid="{00000000-0005-0000-0000-0000FF0E0000}"/>
    <cellStyle name="Calculation 40 2 16" xfId="3867" xr:uid="{00000000-0005-0000-0000-0000000F0000}"/>
    <cellStyle name="Calculation 40 2 16 2" xfId="3868" xr:uid="{00000000-0005-0000-0000-0000010F0000}"/>
    <cellStyle name="Calculation 40 2 16 2 2" xfId="3869" xr:uid="{00000000-0005-0000-0000-0000020F0000}"/>
    <cellStyle name="Calculation 40 2 16 3" xfId="3870" xr:uid="{00000000-0005-0000-0000-0000030F0000}"/>
    <cellStyle name="Calculation 40 2 17" xfId="3871" xr:uid="{00000000-0005-0000-0000-0000040F0000}"/>
    <cellStyle name="Calculation 40 2 17 2" xfId="3872" xr:uid="{00000000-0005-0000-0000-0000050F0000}"/>
    <cellStyle name="Calculation 40 2 17 2 2" xfId="3873" xr:uid="{00000000-0005-0000-0000-0000060F0000}"/>
    <cellStyle name="Calculation 40 2 17 3" xfId="3874" xr:uid="{00000000-0005-0000-0000-0000070F0000}"/>
    <cellStyle name="Calculation 40 2 18" xfId="3875" xr:uid="{00000000-0005-0000-0000-0000080F0000}"/>
    <cellStyle name="Calculation 40 2 18 2" xfId="3876" xr:uid="{00000000-0005-0000-0000-0000090F0000}"/>
    <cellStyle name="Calculation 40 2 19" xfId="3877" xr:uid="{00000000-0005-0000-0000-00000A0F0000}"/>
    <cellStyle name="Calculation 40 2 2" xfId="3878" xr:uid="{00000000-0005-0000-0000-00000B0F0000}"/>
    <cellStyle name="Calculation 40 2 2 2" xfId="3879" xr:uid="{00000000-0005-0000-0000-00000C0F0000}"/>
    <cellStyle name="Calculation 40 2 2 2 2" xfId="3880" xr:uid="{00000000-0005-0000-0000-00000D0F0000}"/>
    <cellStyle name="Calculation 40 2 2 3" xfId="3881" xr:uid="{00000000-0005-0000-0000-00000E0F0000}"/>
    <cellStyle name="Calculation 40 2 3" xfId="3882" xr:uid="{00000000-0005-0000-0000-00000F0F0000}"/>
    <cellStyle name="Calculation 40 2 3 2" xfId="3883" xr:uid="{00000000-0005-0000-0000-0000100F0000}"/>
    <cellStyle name="Calculation 40 2 3 2 2" xfId="3884" xr:uid="{00000000-0005-0000-0000-0000110F0000}"/>
    <cellStyle name="Calculation 40 2 3 3" xfId="3885" xr:uid="{00000000-0005-0000-0000-0000120F0000}"/>
    <cellStyle name="Calculation 40 2 4" xfId="3886" xr:uid="{00000000-0005-0000-0000-0000130F0000}"/>
    <cellStyle name="Calculation 40 2 4 2" xfId="3887" xr:uid="{00000000-0005-0000-0000-0000140F0000}"/>
    <cellStyle name="Calculation 40 2 4 2 2" xfId="3888" xr:uid="{00000000-0005-0000-0000-0000150F0000}"/>
    <cellStyle name="Calculation 40 2 4 3" xfId="3889" xr:uid="{00000000-0005-0000-0000-0000160F0000}"/>
    <cellStyle name="Calculation 40 2 5" xfId="3890" xr:uid="{00000000-0005-0000-0000-0000170F0000}"/>
    <cellStyle name="Calculation 40 2 5 2" xfId="3891" xr:uid="{00000000-0005-0000-0000-0000180F0000}"/>
    <cellStyle name="Calculation 40 2 5 2 2" xfId="3892" xr:uid="{00000000-0005-0000-0000-0000190F0000}"/>
    <cellStyle name="Calculation 40 2 5 3" xfId="3893" xr:uid="{00000000-0005-0000-0000-00001A0F0000}"/>
    <cellStyle name="Calculation 40 2 6" xfId="3894" xr:uid="{00000000-0005-0000-0000-00001B0F0000}"/>
    <cellStyle name="Calculation 40 2 6 2" xfId="3895" xr:uid="{00000000-0005-0000-0000-00001C0F0000}"/>
    <cellStyle name="Calculation 40 2 6 2 2" xfId="3896" xr:uid="{00000000-0005-0000-0000-00001D0F0000}"/>
    <cellStyle name="Calculation 40 2 6 3" xfId="3897" xr:uid="{00000000-0005-0000-0000-00001E0F0000}"/>
    <cellStyle name="Calculation 40 2 7" xfId="3898" xr:uid="{00000000-0005-0000-0000-00001F0F0000}"/>
    <cellStyle name="Calculation 40 2 7 2" xfId="3899" xr:uid="{00000000-0005-0000-0000-0000200F0000}"/>
    <cellStyle name="Calculation 40 2 7 2 2" xfId="3900" xr:uid="{00000000-0005-0000-0000-0000210F0000}"/>
    <cellStyle name="Calculation 40 2 7 3" xfId="3901" xr:uid="{00000000-0005-0000-0000-0000220F0000}"/>
    <cellStyle name="Calculation 40 2 8" xfId="3902" xr:uid="{00000000-0005-0000-0000-0000230F0000}"/>
    <cellStyle name="Calculation 40 2 8 2" xfId="3903" xr:uid="{00000000-0005-0000-0000-0000240F0000}"/>
    <cellStyle name="Calculation 40 2 8 2 2" xfId="3904" xr:uid="{00000000-0005-0000-0000-0000250F0000}"/>
    <cellStyle name="Calculation 40 2 8 3" xfId="3905" xr:uid="{00000000-0005-0000-0000-0000260F0000}"/>
    <cellStyle name="Calculation 40 2 9" xfId="3906" xr:uid="{00000000-0005-0000-0000-0000270F0000}"/>
    <cellStyle name="Calculation 40 2 9 2" xfId="3907" xr:uid="{00000000-0005-0000-0000-0000280F0000}"/>
    <cellStyle name="Calculation 40 2 9 2 2" xfId="3908" xr:uid="{00000000-0005-0000-0000-0000290F0000}"/>
    <cellStyle name="Calculation 40 2 9 3" xfId="3909" xr:uid="{00000000-0005-0000-0000-00002A0F0000}"/>
    <cellStyle name="Calculation 40 3" xfId="3910" xr:uid="{00000000-0005-0000-0000-00002B0F0000}"/>
    <cellStyle name="Calculation 40 3 2" xfId="3911" xr:uid="{00000000-0005-0000-0000-00002C0F0000}"/>
    <cellStyle name="Calculation 40 3 2 2" xfId="3912" xr:uid="{00000000-0005-0000-0000-00002D0F0000}"/>
    <cellStyle name="Calculation 40 3 3" xfId="3913" xr:uid="{00000000-0005-0000-0000-00002E0F0000}"/>
    <cellStyle name="Calculation 41" xfId="3914" xr:uid="{00000000-0005-0000-0000-00002F0F0000}"/>
    <cellStyle name="Calculation 41 2" xfId="3915" xr:uid="{00000000-0005-0000-0000-0000300F0000}"/>
    <cellStyle name="Calculation 41 2 10" xfId="3916" xr:uid="{00000000-0005-0000-0000-0000310F0000}"/>
    <cellStyle name="Calculation 41 2 10 2" xfId="3917" xr:uid="{00000000-0005-0000-0000-0000320F0000}"/>
    <cellStyle name="Calculation 41 2 10 2 2" xfId="3918" xr:uid="{00000000-0005-0000-0000-0000330F0000}"/>
    <cellStyle name="Calculation 41 2 10 3" xfId="3919" xr:uid="{00000000-0005-0000-0000-0000340F0000}"/>
    <cellStyle name="Calculation 41 2 11" xfId="3920" xr:uid="{00000000-0005-0000-0000-0000350F0000}"/>
    <cellStyle name="Calculation 41 2 11 2" xfId="3921" xr:uid="{00000000-0005-0000-0000-0000360F0000}"/>
    <cellStyle name="Calculation 41 2 11 2 2" xfId="3922" xr:uid="{00000000-0005-0000-0000-0000370F0000}"/>
    <cellStyle name="Calculation 41 2 11 3" xfId="3923" xr:uid="{00000000-0005-0000-0000-0000380F0000}"/>
    <cellStyle name="Calculation 41 2 12" xfId="3924" xr:uid="{00000000-0005-0000-0000-0000390F0000}"/>
    <cellStyle name="Calculation 41 2 12 2" xfId="3925" xr:uid="{00000000-0005-0000-0000-00003A0F0000}"/>
    <cellStyle name="Calculation 41 2 12 2 2" xfId="3926" xr:uid="{00000000-0005-0000-0000-00003B0F0000}"/>
    <cellStyle name="Calculation 41 2 12 3" xfId="3927" xr:uid="{00000000-0005-0000-0000-00003C0F0000}"/>
    <cellStyle name="Calculation 41 2 13" xfId="3928" xr:uid="{00000000-0005-0000-0000-00003D0F0000}"/>
    <cellStyle name="Calculation 41 2 13 2" xfId="3929" xr:uid="{00000000-0005-0000-0000-00003E0F0000}"/>
    <cellStyle name="Calculation 41 2 13 2 2" xfId="3930" xr:uid="{00000000-0005-0000-0000-00003F0F0000}"/>
    <cellStyle name="Calculation 41 2 13 3" xfId="3931" xr:uid="{00000000-0005-0000-0000-0000400F0000}"/>
    <cellStyle name="Calculation 41 2 14" xfId="3932" xr:uid="{00000000-0005-0000-0000-0000410F0000}"/>
    <cellStyle name="Calculation 41 2 14 2" xfId="3933" xr:uid="{00000000-0005-0000-0000-0000420F0000}"/>
    <cellStyle name="Calculation 41 2 14 2 2" xfId="3934" xr:uid="{00000000-0005-0000-0000-0000430F0000}"/>
    <cellStyle name="Calculation 41 2 14 3" xfId="3935" xr:uid="{00000000-0005-0000-0000-0000440F0000}"/>
    <cellStyle name="Calculation 41 2 15" xfId="3936" xr:uid="{00000000-0005-0000-0000-0000450F0000}"/>
    <cellStyle name="Calculation 41 2 15 2" xfId="3937" xr:uid="{00000000-0005-0000-0000-0000460F0000}"/>
    <cellStyle name="Calculation 41 2 15 2 2" xfId="3938" xr:uid="{00000000-0005-0000-0000-0000470F0000}"/>
    <cellStyle name="Calculation 41 2 15 3" xfId="3939" xr:uid="{00000000-0005-0000-0000-0000480F0000}"/>
    <cellStyle name="Calculation 41 2 16" xfId="3940" xr:uid="{00000000-0005-0000-0000-0000490F0000}"/>
    <cellStyle name="Calculation 41 2 16 2" xfId="3941" xr:uid="{00000000-0005-0000-0000-00004A0F0000}"/>
    <cellStyle name="Calculation 41 2 16 2 2" xfId="3942" xr:uid="{00000000-0005-0000-0000-00004B0F0000}"/>
    <cellStyle name="Calculation 41 2 16 3" xfId="3943" xr:uid="{00000000-0005-0000-0000-00004C0F0000}"/>
    <cellStyle name="Calculation 41 2 17" xfId="3944" xr:uid="{00000000-0005-0000-0000-00004D0F0000}"/>
    <cellStyle name="Calculation 41 2 17 2" xfId="3945" xr:uid="{00000000-0005-0000-0000-00004E0F0000}"/>
    <cellStyle name="Calculation 41 2 17 2 2" xfId="3946" xr:uid="{00000000-0005-0000-0000-00004F0F0000}"/>
    <cellStyle name="Calculation 41 2 17 3" xfId="3947" xr:uid="{00000000-0005-0000-0000-0000500F0000}"/>
    <cellStyle name="Calculation 41 2 18" xfId="3948" xr:uid="{00000000-0005-0000-0000-0000510F0000}"/>
    <cellStyle name="Calculation 41 2 18 2" xfId="3949" xr:uid="{00000000-0005-0000-0000-0000520F0000}"/>
    <cellStyle name="Calculation 41 2 19" xfId="3950" xr:uid="{00000000-0005-0000-0000-0000530F0000}"/>
    <cellStyle name="Calculation 41 2 2" xfId="3951" xr:uid="{00000000-0005-0000-0000-0000540F0000}"/>
    <cellStyle name="Calculation 41 2 2 2" xfId="3952" xr:uid="{00000000-0005-0000-0000-0000550F0000}"/>
    <cellStyle name="Calculation 41 2 2 2 2" xfId="3953" xr:uid="{00000000-0005-0000-0000-0000560F0000}"/>
    <cellStyle name="Calculation 41 2 2 3" xfId="3954" xr:uid="{00000000-0005-0000-0000-0000570F0000}"/>
    <cellStyle name="Calculation 41 2 3" xfId="3955" xr:uid="{00000000-0005-0000-0000-0000580F0000}"/>
    <cellStyle name="Calculation 41 2 3 2" xfId="3956" xr:uid="{00000000-0005-0000-0000-0000590F0000}"/>
    <cellStyle name="Calculation 41 2 3 2 2" xfId="3957" xr:uid="{00000000-0005-0000-0000-00005A0F0000}"/>
    <cellStyle name="Calculation 41 2 3 3" xfId="3958" xr:uid="{00000000-0005-0000-0000-00005B0F0000}"/>
    <cellStyle name="Calculation 41 2 4" xfId="3959" xr:uid="{00000000-0005-0000-0000-00005C0F0000}"/>
    <cellStyle name="Calculation 41 2 4 2" xfId="3960" xr:uid="{00000000-0005-0000-0000-00005D0F0000}"/>
    <cellStyle name="Calculation 41 2 4 2 2" xfId="3961" xr:uid="{00000000-0005-0000-0000-00005E0F0000}"/>
    <cellStyle name="Calculation 41 2 4 3" xfId="3962" xr:uid="{00000000-0005-0000-0000-00005F0F0000}"/>
    <cellStyle name="Calculation 41 2 5" xfId="3963" xr:uid="{00000000-0005-0000-0000-0000600F0000}"/>
    <cellStyle name="Calculation 41 2 5 2" xfId="3964" xr:uid="{00000000-0005-0000-0000-0000610F0000}"/>
    <cellStyle name="Calculation 41 2 5 2 2" xfId="3965" xr:uid="{00000000-0005-0000-0000-0000620F0000}"/>
    <cellStyle name="Calculation 41 2 5 3" xfId="3966" xr:uid="{00000000-0005-0000-0000-0000630F0000}"/>
    <cellStyle name="Calculation 41 2 6" xfId="3967" xr:uid="{00000000-0005-0000-0000-0000640F0000}"/>
    <cellStyle name="Calculation 41 2 6 2" xfId="3968" xr:uid="{00000000-0005-0000-0000-0000650F0000}"/>
    <cellStyle name="Calculation 41 2 6 2 2" xfId="3969" xr:uid="{00000000-0005-0000-0000-0000660F0000}"/>
    <cellStyle name="Calculation 41 2 6 3" xfId="3970" xr:uid="{00000000-0005-0000-0000-0000670F0000}"/>
    <cellStyle name="Calculation 41 2 7" xfId="3971" xr:uid="{00000000-0005-0000-0000-0000680F0000}"/>
    <cellStyle name="Calculation 41 2 7 2" xfId="3972" xr:uid="{00000000-0005-0000-0000-0000690F0000}"/>
    <cellStyle name="Calculation 41 2 7 2 2" xfId="3973" xr:uid="{00000000-0005-0000-0000-00006A0F0000}"/>
    <cellStyle name="Calculation 41 2 7 3" xfId="3974" xr:uid="{00000000-0005-0000-0000-00006B0F0000}"/>
    <cellStyle name="Calculation 41 2 8" xfId="3975" xr:uid="{00000000-0005-0000-0000-00006C0F0000}"/>
    <cellStyle name="Calculation 41 2 8 2" xfId="3976" xr:uid="{00000000-0005-0000-0000-00006D0F0000}"/>
    <cellStyle name="Calculation 41 2 8 2 2" xfId="3977" xr:uid="{00000000-0005-0000-0000-00006E0F0000}"/>
    <cellStyle name="Calculation 41 2 8 3" xfId="3978" xr:uid="{00000000-0005-0000-0000-00006F0F0000}"/>
    <cellStyle name="Calculation 41 2 9" xfId="3979" xr:uid="{00000000-0005-0000-0000-0000700F0000}"/>
    <cellStyle name="Calculation 41 2 9 2" xfId="3980" xr:uid="{00000000-0005-0000-0000-0000710F0000}"/>
    <cellStyle name="Calculation 41 2 9 2 2" xfId="3981" xr:uid="{00000000-0005-0000-0000-0000720F0000}"/>
    <cellStyle name="Calculation 41 2 9 3" xfId="3982" xr:uid="{00000000-0005-0000-0000-0000730F0000}"/>
    <cellStyle name="Calculation 41 3" xfId="3983" xr:uid="{00000000-0005-0000-0000-0000740F0000}"/>
    <cellStyle name="Calculation 41 3 2" xfId="3984" xr:uid="{00000000-0005-0000-0000-0000750F0000}"/>
    <cellStyle name="Calculation 41 3 2 2" xfId="3985" xr:uid="{00000000-0005-0000-0000-0000760F0000}"/>
    <cellStyle name="Calculation 41 3 3" xfId="3986" xr:uid="{00000000-0005-0000-0000-0000770F0000}"/>
    <cellStyle name="Calculation 42" xfId="3987" xr:uid="{00000000-0005-0000-0000-0000780F0000}"/>
    <cellStyle name="Calculation 42 2" xfId="3988" xr:uid="{00000000-0005-0000-0000-0000790F0000}"/>
    <cellStyle name="Calculation 42 2 10" xfId="3989" xr:uid="{00000000-0005-0000-0000-00007A0F0000}"/>
    <cellStyle name="Calculation 42 2 10 2" xfId="3990" xr:uid="{00000000-0005-0000-0000-00007B0F0000}"/>
    <cellStyle name="Calculation 42 2 10 2 2" xfId="3991" xr:uid="{00000000-0005-0000-0000-00007C0F0000}"/>
    <cellStyle name="Calculation 42 2 10 3" xfId="3992" xr:uid="{00000000-0005-0000-0000-00007D0F0000}"/>
    <cellStyle name="Calculation 42 2 11" xfId="3993" xr:uid="{00000000-0005-0000-0000-00007E0F0000}"/>
    <cellStyle name="Calculation 42 2 11 2" xfId="3994" xr:uid="{00000000-0005-0000-0000-00007F0F0000}"/>
    <cellStyle name="Calculation 42 2 11 2 2" xfId="3995" xr:uid="{00000000-0005-0000-0000-0000800F0000}"/>
    <cellStyle name="Calculation 42 2 11 3" xfId="3996" xr:uid="{00000000-0005-0000-0000-0000810F0000}"/>
    <cellStyle name="Calculation 42 2 12" xfId="3997" xr:uid="{00000000-0005-0000-0000-0000820F0000}"/>
    <cellStyle name="Calculation 42 2 12 2" xfId="3998" xr:uid="{00000000-0005-0000-0000-0000830F0000}"/>
    <cellStyle name="Calculation 42 2 12 2 2" xfId="3999" xr:uid="{00000000-0005-0000-0000-0000840F0000}"/>
    <cellStyle name="Calculation 42 2 12 3" xfId="4000" xr:uid="{00000000-0005-0000-0000-0000850F0000}"/>
    <cellStyle name="Calculation 42 2 13" xfId="4001" xr:uid="{00000000-0005-0000-0000-0000860F0000}"/>
    <cellStyle name="Calculation 42 2 13 2" xfId="4002" xr:uid="{00000000-0005-0000-0000-0000870F0000}"/>
    <cellStyle name="Calculation 42 2 13 2 2" xfId="4003" xr:uid="{00000000-0005-0000-0000-0000880F0000}"/>
    <cellStyle name="Calculation 42 2 13 3" xfId="4004" xr:uid="{00000000-0005-0000-0000-0000890F0000}"/>
    <cellStyle name="Calculation 42 2 14" xfId="4005" xr:uid="{00000000-0005-0000-0000-00008A0F0000}"/>
    <cellStyle name="Calculation 42 2 14 2" xfId="4006" xr:uid="{00000000-0005-0000-0000-00008B0F0000}"/>
    <cellStyle name="Calculation 42 2 14 2 2" xfId="4007" xr:uid="{00000000-0005-0000-0000-00008C0F0000}"/>
    <cellStyle name="Calculation 42 2 14 3" xfId="4008" xr:uid="{00000000-0005-0000-0000-00008D0F0000}"/>
    <cellStyle name="Calculation 42 2 15" xfId="4009" xr:uid="{00000000-0005-0000-0000-00008E0F0000}"/>
    <cellStyle name="Calculation 42 2 15 2" xfId="4010" xr:uid="{00000000-0005-0000-0000-00008F0F0000}"/>
    <cellStyle name="Calculation 42 2 15 2 2" xfId="4011" xr:uid="{00000000-0005-0000-0000-0000900F0000}"/>
    <cellStyle name="Calculation 42 2 15 3" xfId="4012" xr:uid="{00000000-0005-0000-0000-0000910F0000}"/>
    <cellStyle name="Calculation 42 2 16" xfId="4013" xr:uid="{00000000-0005-0000-0000-0000920F0000}"/>
    <cellStyle name="Calculation 42 2 16 2" xfId="4014" xr:uid="{00000000-0005-0000-0000-0000930F0000}"/>
    <cellStyle name="Calculation 42 2 16 2 2" xfId="4015" xr:uid="{00000000-0005-0000-0000-0000940F0000}"/>
    <cellStyle name="Calculation 42 2 16 3" xfId="4016" xr:uid="{00000000-0005-0000-0000-0000950F0000}"/>
    <cellStyle name="Calculation 42 2 17" xfId="4017" xr:uid="{00000000-0005-0000-0000-0000960F0000}"/>
    <cellStyle name="Calculation 42 2 17 2" xfId="4018" xr:uid="{00000000-0005-0000-0000-0000970F0000}"/>
    <cellStyle name="Calculation 42 2 17 2 2" xfId="4019" xr:uid="{00000000-0005-0000-0000-0000980F0000}"/>
    <cellStyle name="Calculation 42 2 17 3" xfId="4020" xr:uid="{00000000-0005-0000-0000-0000990F0000}"/>
    <cellStyle name="Calculation 42 2 18" xfId="4021" xr:uid="{00000000-0005-0000-0000-00009A0F0000}"/>
    <cellStyle name="Calculation 42 2 18 2" xfId="4022" xr:uid="{00000000-0005-0000-0000-00009B0F0000}"/>
    <cellStyle name="Calculation 42 2 19" xfId="4023" xr:uid="{00000000-0005-0000-0000-00009C0F0000}"/>
    <cellStyle name="Calculation 42 2 2" xfId="4024" xr:uid="{00000000-0005-0000-0000-00009D0F0000}"/>
    <cellStyle name="Calculation 42 2 2 2" xfId="4025" xr:uid="{00000000-0005-0000-0000-00009E0F0000}"/>
    <cellStyle name="Calculation 42 2 2 2 2" xfId="4026" xr:uid="{00000000-0005-0000-0000-00009F0F0000}"/>
    <cellStyle name="Calculation 42 2 2 3" xfId="4027" xr:uid="{00000000-0005-0000-0000-0000A00F0000}"/>
    <cellStyle name="Calculation 42 2 3" xfId="4028" xr:uid="{00000000-0005-0000-0000-0000A10F0000}"/>
    <cellStyle name="Calculation 42 2 3 2" xfId="4029" xr:uid="{00000000-0005-0000-0000-0000A20F0000}"/>
    <cellStyle name="Calculation 42 2 3 2 2" xfId="4030" xr:uid="{00000000-0005-0000-0000-0000A30F0000}"/>
    <cellStyle name="Calculation 42 2 3 3" xfId="4031" xr:uid="{00000000-0005-0000-0000-0000A40F0000}"/>
    <cellStyle name="Calculation 42 2 4" xfId="4032" xr:uid="{00000000-0005-0000-0000-0000A50F0000}"/>
    <cellStyle name="Calculation 42 2 4 2" xfId="4033" xr:uid="{00000000-0005-0000-0000-0000A60F0000}"/>
    <cellStyle name="Calculation 42 2 4 2 2" xfId="4034" xr:uid="{00000000-0005-0000-0000-0000A70F0000}"/>
    <cellStyle name="Calculation 42 2 4 3" xfId="4035" xr:uid="{00000000-0005-0000-0000-0000A80F0000}"/>
    <cellStyle name="Calculation 42 2 5" xfId="4036" xr:uid="{00000000-0005-0000-0000-0000A90F0000}"/>
    <cellStyle name="Calculation 42 2 5 2" xfId="4037" xr:uid="{00000000-0005-0000-0000-0000AA0F0000}"/>
    <cellStyle name="Calculation 42 2 5 2 2" xfId="4038" xr:uid="{00000000-0005-0000-0000-0000AB0F0000}"/>
    <cellStyle name="Calculation 42 2 5 3" xfId="4039" xr:uid="{00000000-0005-0000-0000-0000AC0F0000}"/>
    <cellStyle name="Calculation 42 2 6" xfId="4040" xr:uid="{00000000-0005-0000-0000-0000AD0F0000}"/>
    <cellStyle name="Calculation 42 2 6 2" xfId="4041" xr:uid="{00000000-0005-0000-0000-0000AE0F0000}"/>
    <cellStyle name="Calculation 42 2 6 2 2" xfId="4042" xr:uid="{00000000-0005-0000-0000-0000AF0F0000}"/>
    <cellStyle name="Calculation 42 2 6 3" xfId="4043" xr:uid="{00000000-0005-0000-0000-0000B00F0000}"/>
    <cellStyle name="Calculation 42 2 7" xfId="4044" xr:uid="{00000000-0005-0000-0000-0000B10F0000}"/>
    <cellStyle name="Calculation 42 2 7 2" xfId="4045" xr:uid="{00000000-0005-0000-0000-0000B20F0000}"/>
    <cellStyle name="Calculation 42 2 7 2 2" xfId="4046" xr:uid="{00000000-0005-0000-0000-0000B30F0000}"/>
    <cellStyle name="Calculation 42 2 7 3" xfId="4047" xr:uid="{00000000-0005-0000-0000-0000B40F0000}"/>
    <cellStyle name="Calculation 42 2 8" xfId="4048" xr:uid="{00000000-0005-0000-0000-0000B50F0000}"/>
    <cellStyle name="Calculation 42 2 8 2" xfId="4049" xr:uid="{00000000-0005-0000-0000-0000B60F0000}"/>
    <cellStyle name="Calculation 42 2 8 2 2" xfId="4050" xr:uid="{00000000-0005-0000-0000-0000B70F0000}"/>
    <cellStyle name="Calculation 42 2 8 3" xfId="4051" xr:uid="{00000000-0005-0000-0000-0000B80F0000}"/>
    <cellStyle name="Calculation 42 2 9" xfId="4052" xr:uid="{00000000-0005-0000-0000-0000B90F0000}"/>
    <cellStyle name="Calculation 42 2 9 2" xfId="4053" xr:uid="{00000000-0005-0000-0000-0000BA0F0000}"/>
    <cellStyle name="Calculation 42 2 9 2 2" xfId="4054" xr:uid="{00000000-0005-0000-0000-0000BB0F0000}"/>
    <cellStyle name="Calculation 42 2 9 3" xfId="4055" xr:uid="{00000000-0005-0000-0000-0000BC0F0000}"/>
    <cellStyle name="Calculation 42 3" xfId="4056" xr:uid="{00000000-0005-0000-0000-0000BD0F0000}"/>
    <cellStyle name="Calculation 42 3 2" xfId="4057" xr:uid="{00000000-0005-0000-0000-0000BE0F0000}"/>
    <cellStyle name="Calculation 42 3 2 2" xfId="4058" xr:uid="{00000000-0005-0000-0000-0000BF0F0000}"/>
    <cellStyle name="Calculation 42 3 3" xfId="4059" xr:uid="{00000000-0005-0000-0000-0000C00F0000}"/>
    <cellStyle name="Calculation 43" xfId="4060" xr:uid="{00000000-0005-0000-0000-0000C10F0000}"/>
    <cellStyle name="Calculation 43 2" xfId="4061" xr:uid="{00000000-0005-0000-0000-0000C20F0000}"/>
    <cellStyle name="Calculation 43 2 10" xfId="4062" xr:uid="{00000000-0005-0000-0000-0000C30F0000}"/>
    <cellStyle name="Calculation 43 2 10 2" xfId="4063" xr:uid="{00000000-0005-0000-0000-0000C40F0000}"/>
    <cellStyle name="Calculation 43 2 10 2 2" xfId="4064" xr:uid="{00000000-0005-0000-0000-0000C50F0000}"/>
    <cellStyle name="Calculation 43 2 10 3" xfId="4065" xr:uid="{00000000-0005-0000-0000-0000C60F0000}"/>
    <cellStyle name="Calculation 43 2 11" xfId="4066" xr:uid="{00000000-0005-0000-0000-0000C70F0000}"/>
    <cellStyle name="Calculation 43 2 11 2" xfId="4067" xr:uid="{00000000-0005-0000-0000-0000C80F0000}"/>
    <cellStyle name="Calculation 43 2 11 2 2" xfId="4068" xr:uid="{00000000-0005-0000-0000-0000C90F0000}"/>
    <cellStyle name="Calculation 43 2 11 3" xfId="4069" xr:uid="{00000000-0005-0000-0000-0000CA0F0000}"/>
    <cellStyle name="Calculation 43 2 12" xfId="4070" xr:uid="{00000000-0005-0000-0000-0000CB0F0000}"/>
    <cellStyle name="Calculation 43 2 12 2" xfId="4071" xr:uid="{00000000-0005-0000-0000-0000CC0F0000}"/>
    <cellStyle name="Calculation 43 2 12 2 2" xfId="4072" xr:uid="{00000000-0005-0000-0000-0000CD0F0000}"/>
    <cellStyle name="Calculation 43 2 12 3" xfId="4073" xr:uid="{00000000-0005-0000-0000-0000CE0F0000}"/>
    <cellStyle name="Calculation 43 2 13" xfId="4074" xr:uid="{00000000-0005-0000-0000-0000CF0F0000}"/>
    <cellStyle name="Calculation 43 2 13 2" xfId="4075" xr:uid="{00000000-0005-0000-0000-0000D00F0000}"/>
    <cellStyle name="Calculation 43 2 13 2 2" xfId="4076" xr:uid="{00000000-0005-0000-0000-0000D10F0000}"/>
    <cellStyle name="Calculation 43 2 13 3" xfId="4077" xr:uid="{00000000-0005-0000-0000-0000D20F0000}"/>
    <cellStyle name="Calculation 43 2 14" xfId="4078" xr:uid="{00000000-0005-0000-0000-0000D30F0000}"/>
    <cellStyle name="Calculation 43 2 14 2" xfId="4079" xr:uid="{00000000-0005-0000-0000-0000D40F0000}"/>
    <cellStyle name="Calculation 43 2 14 2 2" xfId="4080" xr:uid="{00000000-0005-0000-0000-0000D50F0000}"/>
    <cellStyle name="Calculation 43 2 14 3" xfId="4081" xr:uid="{00000000-0005-0000-0000-0000D60F0000}"/>
    <cellStyle name="Calculation 43 2 15" xfId="4082" xr:uid="{00000000-0005-0000-0000-0000D70F0000}"/>
    <cellStyle name="Calculation 43 2 15 2" xfId="4083" xr:uid="{00000000-0005-0000-0000-0000D80F0000}"/>
    <cellStyle name="Calculation 43 2 15 2 2" xfId="4084" xr:uid="{00000000-0005-0000-0000-0000D90F0000}"/>
    <cellStyle name="Calculation 43 2 15 3" xfId="4085" xr:uid="{00000000-0005-0000-0000-0000DA0F0000}"/>
    <cellStyle name="Calculation 43 2 16" xfId="4086" xr:uid="{00000000-0005-0000-0000-0000DB0F0000}"/>
    <cellStyle name="Calculation 43 2 16 2" xfId="4087" xr:uid="{00000000-0005-0000-0000-0000DC0F0000}"/>
    <cellStyle name="Calculation 43 2 16 2 2" xfId="4088" xr:uid="{00000000-0005-0000-0000-0000DD0F0000}"/>
    <cellStyle name="Calculation 43 2 16 3" xfId="4089" xr:uid="{00000000-0005-0000-0000-0000DE0F0000}"/>
    <cellStyle name="Calculation 43 2 17" xfId="4090" xr:uid="{00000000-0005-0000-0000-0000DF0F0000}"/>
    <cellStyle name="Calculation 43 2 17 2" xfId="4091" xr:uid="{00000000-0005-0000-0000-0000E00F0000}"/>
    <cellStyle name="Calculation 43 2 17 2 2" xfId="4092" xr:uid="{00000000-0005-0000-0000-0000E10F0000}"/>
    <cellStyle name="Calculation 43 2 17 3" xfId="4093" xr:uid="{00000000-0005-0000-0000-0000E20F0000}"/>
    <cellStyle name="Calculation 43 2 18" xfId="4094" xr:uid="{00000000-0005-0000-0000-0000E30F0000}"/>
    <cellStyle name="Calculation 43 2 18 2" xfId="4095" xr:uid="{00000000-0005-0000-0000-0000E40F0000}"/>
    <cellStyle name="Calculation 43 2 19" xfId="4096" xr:uid="{00000000-0005-0000-0000-0000E50F0000}"/>
    <cellStyle name="Calculation 43 2 2" xfId="4097" xr:uid="{00000000-0005-0000-0000-0000E60F0000}"/>
    <cellStyle name="Calculation 43 2 2 2" xfId="4098" xr:uid="{00000000-0005-0000-0000-0000E70F0000}"/>
    <cellStyle name="Calculation 43 2 2 2 2" xfId="4099" xr:uid="{00000000-0005-0000-0000-0000E80F0000}"/>
    <cellStyle name="Calculation 43 2 2 3" xfId="4100" xr:uid="{00000000-0005-0000-0000-0000E90F0000}"/>
    <cellStyle name="Calculation 43 2 3" xfId="4101" xr:uid="{00000000-0005-0000-0000-0000EA0F0000}"/>
    <cellStyle name="Calculation 43 2 3 2" xfId="4102" xr:uid="{00000000-0005-0000-0000-0000EB0F0000}"/>
    <cellStyle name="Calculation 43 2 3 2 2" xfId="4103" xr:uid="{00000000-0005-0000-0000-0000EC0F0000}"/>
    <cellStyle name="Calculation 43 2 3 3" xfId="4104" xr:uid="{00000000-0005-0000-0000-0000ED0F0000}"/>
    <cellStyle name="Calculation 43 2 4" xfId="4105" xr:uid="{00000000-0005-0000-0000-0000EE0F0000}"/>
    <cellStyle name="Calculation 43 2 4 2" xfId="4106" xr:uid="{00000000-0005-0000-0000-0000EF0F0000}"/>
    <cellStyle name="Calculation 43 2 4 2 2" xfId="4107" xr:uid="{00000000-0005-0000-0000-0000F00F0000}"/>
    <cellStyle name="Calculation 43 2 4 3" xfId="4108" xr:uid="{00000000-0005-0000-0000-0000F10F0000}"/>
    <cellStyle name="Calculation 43 2 5" xfId="4109" xr:uid="{00000000-0005-0000-0000-0000F20F0000}"/>
    <cellStyle name="Calculation 43 2 5 2" xfId="4110" xr:uid="{00000000-0005-0000-0000-0000F30F0000}"/>
    <cellStyle name="Calculation 43 2 5 2 2" xfId="4111" xr:uid="{00000000-0005-0000-0000-0000F40F0000}"/>
    <cellStyle name="Calculation 43 2 5 3" xfId="4112" xr:uid="{00000000-0005-0000-0000-0000F50F0000}"/>
    <cellStyle name="Calculation 43 2 6" xfId="4113" xr:uid="{00000000-0005-0000-0000-0000F60F0000}"/>
    <cellStyle name="Calculation 43 2 6 2" xfId="4114" xr:uid="{00000000-0005-0000-0000-0000F70F0000}"/>
    <cellStyle name="Calculation 43 2 6 2 2" xfId="4115" xr:uid="{00000000-0005-0000-0000-0000F80F0000}"/>
    <cellStyle name="Calculation 43 2 6 3" xfId="4116" xr:uid="{00000000-0005-0000-0000-0000F90F0000}"/>
    <cellStyle name="Calculation 43 2 7" xfId="4117" xr:uid="{00000000-0005-0000-0000-0000FA0F0000}"/>
    <cellStyle name="Calculation 43 2 7 2" xfId="4118" xr:uid="{00000000-0005-0000-0000-0000FB0F0000}"/>
    <cellStyle name="Calculation 43 2 7 2 2" xfId="4119" xr:uid="{00000000-0005-0000-0000-0000FC0F0000}"/>
    <cellStyle name="Calculation 43 2 7 3" xfId="4120" xr:uid="{00000000-0005-0000-0000-0000FD0F0000}"/>
    <cellStyle name="Calculation 43 2 8" xfId="4121" xr:uid="{00000000-0005-0000-0000-0000FE0F0000}"/>
    <cellStyle name="Calculation 43 2 8 2" xfId="4122" xr:uid="{00000000-0005-0000-0000-0000FF0F0000}"/>
    <cellStyle name="Calculation 43 2 8 2 2" xfId="4123" xr:uid="{00000000-0005-0000-0000-000000100000}"/>
    <cellStyle name="Calculation 43 2 8 3" xfId="4124" xr:uid="{00000000-0005-0000-0000-000001100000}"/>
    <cellStyle name="Calculation 43 2 9" xfId="4125" xr:uid="{00000000-0005-0000-0000-000002100000}"/>
    <cellStyle name="Calculation 43 2 9 2" xfId="4126" xr:uid="{00000000-0005-0000-0000-000003100000}"/>
    <cellStyle name="Calculation 43 2 9 2 2" xfId="4127" xr:uid="{00000000-0005-0000-0000-000004100000}"/>
    <cellStyle name="Calculation 43 2 9 3" xfId="4128" xr:uid="{00000000-0005-0000-0000-000005100000}"/>
    <cellStyle name="Calculation 43 3" xfId="4129" xr:uid="{00000000-0005-0000-0000-000006100000}"/>
    <cellStyle name="Calculation 43 3 2" xfId="4130" xr:uid="{00000000-0005-0000-0000-000007100000}"/>
    <cellStyle name="Calculation 43 3 2 2" xfId="4131" xr:uid="{00000000-0005-0000-0000-000008100000}"/>
    <cellStyle name="Calculation 43 3 3" xfId="4132" xr:uid="{00000000-0005-0000-0000-000009100000}"/>
    <cellStyle name="Calculation 44" xfId="4133" xr:uid="{00000000-0005-0000-0000-00000A100000}"/>
    <cellStyle name="Calculation 44 2" xfId="4134" xr:uid="{00000000-0005-0000-0000-00000B100000}"/>
    <cellStyle name="Calculation 44 2 10" xfId="4135" xr:uid="{00000000-0005-0000-0000-00000C100000}"/>
    <cellStyle name="Calculation 44 2 10 2" xfId="4136" xr:uid="{00000000-0005-0000-0000-00000D100000}"/>
    <cellStyle name="Calculation 44 2 10 2 2" xfId="4137" xr:uid="{00000000-0005-0000-0000-00000E100000}"/>
    <cellStyle name="Calculation 44 2 10 3" xfId="4138" xr:uid="{00000000-0005-0000-0000-00000F100000}"/>
    <cellStyle name="Calculation 44 2 11" xfId="4139" xr:uid="{00000000-0005-0000-0000-000010100000}"/>
    <cellStyle name="Calculation 44 2 11 2" xfId="4140" xr:uid="{00000000-0005-0000-0000-000011100000}"/>
    <cellStyle name="Calculation 44 2 11 2 2" xfId="4141" xr:uid="{00000000-0005-0000-0000-000012100000}"/>
    <cellStyle name="Calculation 44 2 11 3" xfId="4142" xr:uid="{00000000-0005-0000-0000-000013100000}"/>
    <cellStyle name="Calculation 44 2 12" xfId="4143" xr:uid="{00000000-0005-0000-0000-000014100000}"/>
    <cellStyle name="Calculation 44 2 12 2" xfId="4144" xr:uid="{00000000-0005-0000-0000-000015100000}"/>
    <cellStyle name="Calculation 44 2 12 2 2" xfId="4145" xr:uid="{00000000-0005-0000-0000-000016100000}"/>
    <cellStyle name="Calculation 44 2 12 3" xfId="4146" xr:uid="{00000000-0005-0000-0000-000017100000}"/>
    <cellStyle name="Calculation 44 2 13" xfId="4147" xr:uid="{00000000-0005-0000-0000-000018100000}"/>
    <cellStyle name="Calculation 44 2 13 2" xfId="4148" xr:uid="{00000000-0005-0000-0000-000019100000}"/>
    <cellStyle name="Calculation 44 2 13 2 2" xfId="4149" xr:uid="{00000000-0005-0000-0000-00001A100000}"/>
    <cellStyle name="Calculation 44 2 13 3" xfId="4150" xr:uid="{00000000-0005-0000-0000-00001B100000}"/>
    <cellStyle name="Calculation 44 2 14" xfId="4151" xr:uid="{00000000-0005-0000-0000-00001C100000}"/>
    <cellStyle name="Calculation 44 2 14 2" xfId="4152" xr:uid="{00000000-0005-0000-0000-00001D100000}"/>
    <cellStyle name="Calculation 44 2 14 2 2" xfId="4153" xr:uid="{00000000-0005-0000-0000-00001E100000}"/>
    <cellStyle name="Calculation 44 2 14 3" xfId="4154" xr:uid="{00000000-0005-0000-0000-00001F100000}"/>
    <cellStyle name="Calculation 44 2 15" xfId="4155" xr:uid="{00000000-0005-0000-0000-000020100000}"/>
    <cellStyle name="Calculation 44 2 15 2" xfId="4156" xr:uid="{00000000-0005-0000-0000-000021100000}"/>
    <cellStyle name="Calculation 44 2 15 2 2" xfId="4157" xr:uid="{00000000-0005-0000-0000-000022100000}"/>
    <cellStyle name="Calculation 44 2 15 3" xfId="4158" xr:uid="{00000000-0005-0000-0000-000023100000}"/>
    <cellStyle name="Calculation 44 2 16" xfId="4159" xr:uid="{00000000-0005-0000-0000-000024100000}"/>
    <cellStyle name="Calculation 44 2 16 2" xfId="4160" xr:uid="{00000000-0005-0000-0000-000025100000}"/>
    <cellStyle name="Calculation 44 2 16 2 2" xfId="4161" xr:uid="{00000000-0005-0000-0000-000026100000}"/>
    <cellStyle name="Calculation 44 2 16 3" xfId="4162" xr:uid="{00000000-0005-0000-0000-000027100000}"/>
    <cellStyle name="Calculation 44 2 17" xfId="4163" xr:uid="{00000000-0005-0000-0000-000028100000}"/>
    <cellStyle name="Calculation 44 2 17 2" xfId="4164" xr:uid="{00000000-0005-0000-0000-000029100000}"/>
    <cellStyle name="Calculation 44 2 17 2 2" xfId="4165" xr:uid="{00000000-0005-0000-0000-00002A100000}"/>
    <cellStyle name="Calculation 44 2 17 3" xfId="4166" xr:uid="{00000000-0005-0000-0000-00002B100000}"/>
    <cellStyle name="Calculation 44 2 18" xfId="4167" xr:uid="{00000000-0005-0000-0000-00002C100000}"/>
    <cellStyle name="Calculation 44 2 18 2" xfId="4168" xr:uid="{00000000-0005-0000-0000-00002D100000}"/>
    <cellStyle name="Calculation 44 2 19" xfId="4169" xr:uid="{00000000-0005-0000-0000-00002E100000}"/>
    <cellStyle name="Calculation 44 2 2" xfId="4170" xr:uid="{00000000-0005-0000-0000-00002F100000}"/>
    <cellStyle name="Calculation 44 2 2 2" xfId="4171" xr:uid="{00000000-0005-0000-0000-000030100000}"/>
    <cellStyle name="Calculation 44 2 2 2 2" xfId="4172" xr:uid="{00000000-0005-0000-0000-000031100000}"/>
    <cellStyle name="Calculation 44 2 2 3" xfId="4173" xr:uid="{00000000-0005-0000-0000-000032100000}"/>
    <cellStyle name="Calculation 44 2 3" xfId="4174" xr:uid="{00000000-0005-0000-0000-000033100000}"/>
    <cellStyle name="Calculation 44 2 3 2" xfId="4175" xr:uid="{00000000-0005-0000-0000-000034100000}"/>
    <cellStyle name="Calculation 44 2 3 2 2" xfId="4176" xr:uid="{00000000-0005-0000-0000-000035100000}"/>
    <cellStyle name="Calculation 44 2 3 3" xfId="4177" xr:uid="{00000000-0005-0000-0000-000036100000}"/>
    <cellStyle name="Calculation 44 2 4" xfId="4178" xr:uid="{00000000-0005-0000-0000-000037100000}"/>
    <cellStyle name="Calculation 44 2 4 2" xfId="4179" xr:uid="{00000000-0005-0000-0000-000038100000}"/>
    <cellStyle name="Calculation 44 2 4 2 2" xfId="4180" xr:uid="{00000000-0005-0000-0000-000039100000}"/>
    <cellStyle name="Calculation 44 2 4 3" xfId="4181" xr:uid="{00000000-0005-0000-0000-00003A100000}"/>
    <cellStyle name="Calculation 44 2 5" xfId="4182" xr:uid="{00000000-0005-0000-0000-00003B100000}"/>
    <cellStyle name="Calculation 44 2 5 2" xfId="4183" xr:uid="{00000000-0005-0000-0000-00003C100000}"/>
    <cellStyle name="Calculation 44 2 5 2 2" xfId="4184" xr:uid="{00000000-0005-0000-0000-00003D100000}"/>
    <cellStyle name="Calculation 44 2 5 3" xfId="4185" xr:uid="{00000000-0005-0000-0000-00003E100000}"/>
    <cellStyle name="Calculation 44 2 6" xfId="4186" xr:uid="{00000000-0005-0000-0000-00003F100000}"/>
    <cellStyle name="Calculation 44 2 6 2" xfId="4187" xr:uid="{00000000-0005-0000-0000-000040100000}"/>
    <cellStyle name="Calculation 44 2 6 2 2" xfId="4188" xr:uid="{00000000-0005-0000-0000-000041100000}"/>
    <cellStyle name="Calculation 44 2 6 3" xfId="4189" xr:uid="{00000000-0005-0000-0000-000042100000}"/>
    <cellStyle name="Calculation 44 2 7" xfId="4190" xr:uid="{00000000-0005-0000-0000-000043100000}"/>
    <cellStyle name="Calculation 44 2 7 2" xfId="4191" xr:uid="{00000000-0005-0000-0000-000044100000}"/>
    <cellStyle name="Calculation 44 2 7 2 2" xfId="4192" xr:uid="{00000000-0005-0000-0000-000045100000}"/>
    <cellStyle name="Calculation 44 2 7 3" xfId="4193" xr:uid="{00000000-0005-0000-0000-000046100000}"/>
    <cellStyle name="Calculation 44 2 8" xfId="4194" xr:uid="{00000000-0005-0000-0000-000047100000}"/>
    <cellStyle name="Calculation 44 2 8 2" xfId="4195" xr:uid="{00000000-0005-0000-0000-000048100000}"/>
    <cellStyle name="Calculation 44 2 8 2 2" xfId="4196" xr:uid="{00000000-0005-0000-0000-000049100000}"/>
    <cellStyle name="Calculation 44 2 8 3" xfId="4197" xr:uid="{00000000-0005-0000-0000-00004A100000}"/>
    <cellStyle name="Calculation 44 2 9" xfId="4198" xr:uid="{00000000-0005-0000-0000-00004B100000}"/>
    <cellStyle name="Calculation 44 2 9 2" xfId="4199" xr:uid="{00000000-0005-0000-0000-00004C100000}"/>
    <cellStyle name="Calculation 44 2 9 2 2" xfId="4200" xr:uid="{00000000-0005-0000-0000-00004D100000}"/>
    <cellStyle name="Calculation 44 2 9 3" xfId="4201" xr:uid="{00000000-0005-0000-0000-00004E100000}"/>
    <cellStyle name="Calculation 44 3" xfId="4202" xr:uid="{00000000-0005-0000-0000-00004F100000}"/>
    <cellStyle name="Calculation 44 3 2" xfId="4203" xr:uid="{00000000-0005-0000-0000-000050100000}"/>
    <cellStyle name="Calculation 44 3 2 2" xfId="4204" xr:uid="{00000000-0005-0000-0000-000051100000}"/>
    <cellStyle name="Calculation 44 3 3" xfId="4205" xr:uid="{00000000-0005-0000-0000-000052100000}"/>
    <cellStyle name="Calculation 45" xfId="4206" xr:uid="{00000000-0005-0000-0000-000053100000}"/>
    <cellStyle name="Calculation 45 2" xfId="4207" xr:uid="{00000000-0005-0000-0000-000054100000}"/>
    <cellStyle name="Calculation 45 2 10" xfId="4208" xr:uid="{00000000-0005-0000-0000-000055100000}"/>
    <cellStyle name="Calculation 45 2 10 2" xfId="4209" xr:uid="{00000000-0005-0000-0000-000056100000}"/>
    <cellStyle name="Calculation 45 2 10 2 2" xfId="4210" xr:uid="{00000000-0005-0000-0000-000057100000}"/>
    <cellStyle name="Calculation 45 2 10 3" xfId="4211" xr:uid="{00000000-0005-0000-0000-000058100000}"/>
    <cellStyle name="Calculation 45 2 11" xfId="4212" xr:uid="{00000000-0005-0000-0000-000059100000}"/>
    <cellStyle name="Calculation 45 2 11 2" xfId="4213" xr:uid="{00000000-0005-0000-0000-00005A100000}"/>
    <cellStyle name="Calculation 45 2 11 2 2" xfId="4214" xr:uid="{00000000-0005-0000-0000-00005B100000}"/>
    <cellStyle name="Calculation 45 2 11 3" xfId="4215" xr:uid="{00000000-0005-0000-0000-00005C100000}"/>
    <cellStyle name="Calculation 45 2 12" xfId="4216" xr:uid="{00000000-0005-0000-0000-00005D100000}"/>
    <cellStyle name="Calculation 45 2 12 2" xfId="4217" xr:uid="{00000000-0005-0000-0000-00005E100000}"/>
    <cellStyle name="Calculation 45 2 12 2 2" xfId="4218" xr:uid="{00000000-0005-0000-0000-00005F100000}"/>
    <cellStyle name="Calculation 45 2 12 3" xfId="4219" xr:uid="{00000000-0005-0000-0000-000060100000}"/>
    <cellStyle name="Calculation 45 2 13" xfId="4220" xr:uid="{00000000-0005-0000-0000-000061100000}"/>
    <cellStyle name="Calculation 45 2 13 2" xfId="4221" xr:uid="{00000000-0005-0000-0000-000062100000}"/>
    <cellStyle name="Calculation 45 2 13 2 2" xfId="4222" xr:uid="{00000000-0005-0000-0000-000063100000}"/>
    <cellStyle name="Calculation 45 2 13 3" xfId="4223" xr:uid="{00000000-0005-0000-0000-000064100000}"/>
    <cellStyle name="Calculation 45 2 14" xfId="4224" xr:uid="{00000000-0005-0000-0000-000065100000}"/>
    <cellStyle name="Calculation 45 2 14 2" xfId="4225" xr:uid="{00000000-0005-0000-0000-000066100000}"/>
    <cellStyle name="Calculation 45 2 14 2 2" xfId="4226" xr:uid="{00000000-0005-0000-0000-000067100000}"/>
    <cellStyle name="Calculation 45 2 14 3" xfId="4227" xr:uid="{00000000-0005-0000-0000-000068100000}"/>
    <cellStyle name="Calculation 45 2 15" xfId="4228" xr:uid="{00000000-0005-0000-0000-000069100000}"/>
    <cellStyle name="Calculation 45 2 15 2" xfId="4229" xr:uid="{00000000-0005-0000-0000-00006A100000}"/>
    <cellStyle name="Calculation 45 2 15 2 2" xfId="4230" xr:uid="{00000000-0005-0000-0000-00006B100000}"/>
    <cellStyle name="Calculation 45 2 15 3" xfId="4231" xr:uid="{00000000-0005-0000-0000-00006C100000}"/>
    <cellStyle name="Calculation 45 2 16" xfId="4232" xr:uid="{00000000-0005-0000-0000-00006D100000}"/>
    <cellStyle name="Calculation 45 2 16 2" xfId="4233" xr:uid="{00000000-0005-0000-0000-00006E100000}"/>
    <cellStyle name="Calculation 45 2 16 2 2" xfId="4234" xr:uid="{00000000-0005-0000-0000-00006F100000}"/>
    <cellStyle name="Calculation 45 2 16 3" xfId="4235" xr:uid="{00000000-0005-0000-0000-000070100000}"/>
    <cellStyle name="Calculation 45 2 17" xfId="4236" xr:uid="{00000000-0005-0000-0000-000071100000}"/>
    <cellStyle name="Calculation 45 2 17 2" xfId="4237" xr:uid="{00000000-0005-0000-0000-000072100000}"/>
    <cellStyle name="Calculation 45 2 17 2 2" xfId="4238" xr:uid="{00000000-0005-0000-0000-000073100000}"/>
    <cellStyle name="Calculation 45 2 17 3" xfId="4239" xr:uid="{00000000-0005-0000-0000-000074100000}"/>
    <cellStyle name="Calculation 45 2 18" xfId="4240" xr:uid="{00000000-0005-0000-0000-000075100000}"/>
    <cellStyle name="Calculation 45 2 18 2" xfId="4241" xr:uid="{00000000-0005-0000-0000-000076100000}"/>
    <cellStyle name="Calculation 45 2 19" xfId="4242" xr:uid="{00000000-0005-0000-0000-000077100000}"/>
    <cellStyle name="Calculation 45 2 2" xfId="4243" xr:uid="{00000000-0005-0000-0000-000078100000}"/>
    <cellStyle name="Calculation 45 2 2 2" xfId="4244" xr:uid="{00000000-0005-0000-0000-000079100000}"/>
    <cellStyle name="Calculation 45 2 2 2 2" xfId="4245" xr:uid="{00000000-0005-0000-0000-00007A100000}"/>
    <cellStyle name="Calculation 45 2 2 3" xfId="4246" xr:uid="{00000000-0005-0000-0000-00007B100000}"/>
    <cellStyle name="Calculation 45 2 3" xfId="4247" xr:uid="{00000000-0005-0000-0000-00007C100000}"/>
    <cellStyle name="Calculation 45 2 3 2" xfId="4248" xr:uid="{00000000-0005-0000-0000-00007D100000}"/>
    <cellStyle name="Calculation 45 2 3 2 2" xfId="4249" xr:uid="{00000000-0005-0000-0000-00007E100000}"/>
    <cellStyle name="Calculation 45 2 3 3" xfId="4250" xr:uid="{00000000-0005-0000-0000-00007F100000}"/>
    <cellStyle name="Calculation 45 2 4" xfId="4251" xr:uid="{00000000-0005-0000-0000-000080100000}"/>
    <cellStyle name="Calculation 45 2 4 2" xfId="4252" xr:uid="{00000000-0005-0000-0000-000081100000}"/>
    <cellStyle name="Calculation 45 2 4 2 2" xfId="4253" xr:uid="{00000000-0005-0000-0000-000082100000}"/>
    <cellStyle name="Calculation 45 2 4 3" xfId="4254" xr:uid="{00000000-0005-0000-0000-000083100000}"/>
    <cellStyle name="Calculation 45 2 5" xfId="4255" xr:uid="{00000000-0005-0000-0000-000084100000}"/>
    <cellStyle name="Calculation 45 2 5 2" xfId="4256" xr:uid="{00000000-0005-0000-0000-000085100000}"/>
    <cellStyle name="Calculation 45 2 5 2 2" xfId="4257" xr:uid="{00000000-0005-0000-0000-000086100000}"/>
    <cellStyle name="Calculation 45 2 5 3" xfId="4258" xr:uid="{00000000-0005-0000-0000-000087100000}"/>
    <cellStyle name="Calculation 45 2 6" xfId="4259" xr:uid="{00000000-0005-0000-0000-000088100000}"/>
    <cellStyle name="Calculation 45 2 6 2" xfId="4260" xr:uid="{00000000-0005-0000-0000-000089100000}"/>
    <cellStyle name="Calculation 45 2 6 2 2" xfId="4261" xr:uid="{00000000-0005-0000-0000-00008A100000}"/>
    <cellStyle name="Calculation 45 2 6 3" xfId="4262" xr:uid="{00000000-0005-0000-0000-00008B100000}"/>
    <cellStyle name="Calculation 45 2 7" xfId="4263" xr:uid="{00000000-0005-0000-0000-00008C100000}"/>
    <cellStyle name="Calculation 45 2 7 2" xfId="4264" xr:uid="{00000000-0005-0000-0000-00008D100000}"/>
    <cellStyle name="Calculation 45 2 7 2 2" xfId="4265" xr:uid="{00000000-0005-0000-0000-00008E100000}"/>
    <cellStyle name="Calculation 45 2 7 3" xfId="4266" xr:uid="{00000000-0005-0000-0000-00008F100000}"/>
    <cellStyle name="Calculation 45 2 8" xfId="4267" xr:uid="{00000000-0005-0000-0000-000090100000}"/>
    <cellStyle name="Calculation 45 2 8 2" xfId="4268" xr:uid="{00000000-0005-0000-0000-000091100000}"/>
    <cellStyle name="Calculation 45 2 8 2 2" xfId="4269" xr:uid="{00000000-0005-0000-0000-000092100000}"/>
    <cellStyle name="Calculation 45 2 8 3" xfId="4270" xr:uid="{00000000-0005-0000-0000-000093100000}"/>
    <cellStyle name="Calculation 45 2 9" xfId="4271" xr:uid="{00000000-0005-0000-0000-000094100000}"/>
    <cellStyle name="Calculation 45 2 9 2" xfId="4272" xr:uid="{00000000-0005-0000-0000-000095100000}"/>
    <cellStyle name="Calculation 45 2 9 2 2" xfId="4273" xr:uid="{00000000-0005-0000-0000-000096100000}"/>
    <cellStyle name="Calculation 45 2 9 3" xfId="4274" xr:uid="{00000000-0005-0000-0000-000097100000}"/>
    <cellStyle name="Calculation 45 3" xfId="4275" xr:uid="{00000000-0005-0000-0000-000098100000}"/>
    <cellStyle name="Calculation 45 3 2" xfId="4276" xr:uid="{00000000-0005-0000-0000-000099100000}"/>
    <cellStyle name="Calculation 45 3 2 2" xfId="4277" xr:uid="{00000000-0005-0000-0000-00009A100000}"/>
    <cellStyle name="Calculation 45 3 3" xfId="4278" xr:uid="{00000000-0005-0000-0000-00009B100000}"/>
    <cellStyle name="Calculation 46" xfId="4279" xr:uid="{00000000-0005-0000-0000-00009C100000}"/>
    <cellStyle name="Calculation 46 2" xfId="4280" xr:uid="{00000000-0005-0000-0000-00009D100000}"/>
    <cellStyle name="Calculation 46 2 10" xfId="4281" xr:uid="{00000000-0005-0000-0000-00009E100000}"/>
    <cellStyle name="Calculation 46 2 10 2" xfId="4282" xr:uid="{00000000-0005-0000-0000-00009F100000}"/>
    <cellStyle name="Calculation 46 2 10 2 2" xfId="4283" xr:uid="{00000000-0005-0000-0000-0000A0100000}"/>
    <cellStyle name="Calculation 46 2 10 3" xfId="4284" xr:uid="{00000000-0005-0000-0000-0000A1100000}"/>
    <cellStyle name="Calculation 46 2 11" xfId="4285" xr:uid="{00000000-0005-0000-0000-0000A2100000}"/>
    <cellStyle name="Calculation 46 2 11 2" xfId="4286" xr:uid="{00000000-0005-0000-0000-0000A3100000}"/>
    <cellStyle name="Calculation 46 2 11 2 2" xfId="4287" xr:uid="{00000000-0005-0000-0000-0000A4100000}"/>
    <cellStyle name="Calculation 46 2 11 3" xfId="4288" xr:uid="{00000000-0005-0000-0000-0000A5100000}"/>
    <cellStyle name="Calculation 46 2 12" xfId="4289" xr:uid="{00000000-0005-0000-0000-0000A6100000}"/>
    <cellStyle name="Calculation 46 2 12 2" xfId="4290" xr:uid="{00000000-0005-0000-0000-0000A7100000}"/>
    <cellStyle name="Calculation 46 2 12 2 2" xfId="4291" xr:uid="{00000000-0005-0000-0000-0000A8100000}"/>
    <cellStyle name="Calculation 46 2 12 3" xfId="4292" xr:uid="{00000000-0005-0000-0000-0000A9100000}"/>
    <cellStyle name="Calculation 46 2 13" xfId="4293" xr:uid="{00000000-0005-0000-0000-0000AA100000}"/>
    <cellStyle name="Calculation 46 2 13 2" xfId="4294" xr:uid="{00000000-0005-0000-0000-0000AB100000}"/>
    <cellStyle name="Calculation 46 2 13 2 2" xfId="4295" xr:uid="{00000000-0005-0000-0000-0000AC100000}"/>
    <cellStyle name="Calculation 46 2 13 3" xfId="4296" xr:uid="{00000000-0005-0000-0000-0000AD100000}"/>
    <cellStyle name="Calculation 46 2 14" xfId="4297" xr:uid="{00000000-0005-0000-0000-0000AE100000}"/>
    <cellStyle name="Calculation 46 2 14 2" xfId="4298" xr:uid="{00000000-0005-0000-0000-0000AF100000}"/>
    <cellStyle name="Calculation 46 2 14 2 2" xfId="4299" xr:uid="{00000000-0005-0000-0000-0000B0100000}"/>
    <cellStyle name="Calculation 46 2 14 3" xfId="4300" xr:uid="{00000000-0005-0000-0000-0000B1100000}"/>
    <cellStyle name="Calculation 46 2 15" xfId="4301" xr:uid="{00000000-0005-0000-0000-0000B2100000}"/>
    <cellStyle name="Calculation 46 2 15 2" xfId="4302" xr:uid="{00000000-0005-0000-0000-0000B3100000}"/>
    <cellStyle name="Calculation 46 2 15 2 2" xfId="4303" xr:uid="{00000000-0005-0000-0000-0000B4100000}"/>
    <cellStyle name="Calculation 46 2 15 3" xfId="4304" xr:uid="{00000000-0005-0000-0000-0000B5100000}"/>
    <cellStyle name="Calculation 46 2 16" xfId="4305" xr:uid="{00000000-0005-0000-0000-0000B6100000}"/>
    <cellStyle name="Calculation 46 2 16 2" xfId="4306" xr:uid="{00000000-0005-0000-0000-0000B7100000}"/>
    <cellStyle name="Calculation 46 2 16 2 2" xfId="4307" xr:uid="{00000000-0005-0000-0000-0000B8100000}"/>
    <cellStyle name="Calculation 46 2 16 3" xfId="4308" xr:uid="{00000000-0005-0000-0000-0000B9100000}"/>
    <cellStyle name="Calculation 46 2 17" xfId="4309" xr:uid="{00000000-0005-0000-0000-0000BA100000}"/>
    <cellStyle name="Calculation 46 2 17 2" xfId="4310" xr:uid="{00000000-0005-0000-0000-0000BB100000}"/>
    <cellStyle name="Calculation 46 2 17 2 2" xfId="4311" xr:uid="{00000000-0005-0000-0000-0000BC100000}"/>
    <cellStyle name="Calculation 46 2 17 3" xfId="4312" xr:uid="{00000000-0005-0000-0000-0000BD100000}"/>
    <cellStyle name="Calculation 46 2 18" xfId="4313" xr:uid="{00000000-0005-0000-0000-0000BE100000}"/>
    <cellStyle name="Calculation 46 2 18 2" xfId="4314" xr:uid="{00000000-0005-0000-0000-0000BF100000}"/>
    <cellStyle name="Calculation 46 2 19" xfId="4315" xr:uid="{00000000-0005-0000-0000-0000C0100000}"/>
    <cellStyle name="Calculation 46 2 2" xfId="4316" xr:uid="{00000000-0005-0000-0000-0000C1100000}"/>
    <cellStyle name="Calculation 46 2 2 2" xfId="4317" xr:uid="{00000000-0005-0000-0000-0000C2100000}"/>
    <cellStyle name="Calculation 46 2 2 2 2" xfId="4318" xr:uid="{00000000-0005-0000-0000-0000C3100000}"/>
    <cellStyle name="Calculation 46 2 2 3" xfId="4319" xr:uid="{00000000-0005-0000-0000-0000C4100000}"/>
    <cellStyle name="Calculation 46 2 3" xfId="4320" xr:uid="{00000000-0005-0000-0000-0000C5100000}"/>
    <cellStyle name="Calculation 46 2 3 2" xfId="4321" xr:uid="{00000000-0005-0000-0000-0000C6100000}"/>
    <cellStyle name="Calculation 46 2 3 2 2" xfId="4322" xr:uid="{00000000-0005-0000-0000-0000C7100000}"/>
    <cellStyle name="Calculation 46 2 3 3" xfId="4323" xr:uid="{00000000-0005-0000-0000-0000C8100000}"/>
    <cellStyle name="Calculation 46 2 4" xfId="4324" xr:uid="{00000000-0005-0000-0000-0000C9100000}"/>
    <cellStyle name="Calculation 46 2 4 2" xfId="4325" xr:uid="{00000000-0005-0000-0000-0000CA100000}"/>
    <cellStyle name="Calculation 46 2 4 2 2" xfId="4326" xr:uid="{00000000-0005-0000-0000-0000CB100000}"/>
    <cellStyle name="Calculation 46 2 4 3" xfId="4327" xr:uid="{00000000-0005-0000-0000-0000CC100000}"/>
    <cellStyle name="Calculation 46 2 5" xfId="4328" xr:uid="{00000000-0005-0000-0000-0000CD100000}"/>
    <cellStyle name="Calculation 46 2 5 2" xfId="4329" xr:uid="{00000000-0005-0000-0000-0000CE100000}"/>
    <cellStyle name="Calculation 46 2 5 2 2" xfId="4330" xr:uid="{00000000-0005-0000-0000-0000CF100000}"/>
    <cellStyle name="Calculation 46 2 5 3" xfId="4331" xr:uid="{00000000-0005-0000-0000-0000D0100000}"/>
    <cellStyle name="Calculation 46 2 6" xfId="4332" xr:uid="{00000000-0005-0000-0000-0000D1100000}"/>
    <cellStyle name="Calculation 46 2 6 2" xfId="4333" xr:uid="{00000000-0005-0000-0000-0000D2100000}"/>
    <cellStyle name="Calculation 46 2 6 2 2" xfId="4334" xr:uid="{00000000-0005-0000-0000-0000D3100000}"/>
    <cellStyle name="Calculation 46 2 6 3" xfId="4335" xr:uid="{00000000-0005-0000-0000-0000D4100000}"/>
    <cellStyle name="Calculation 46 2 7" xfId="4336" xr:uid="{00000000-0005-0000-0000-0000D5100000}"/>
    <cellStyle name="Calculation 46 2 7 2" xfId="4337" xr:uid="{00000000-0005-0000-0000-0000D6100000}"/>
    <cellStyle name="Calculation 46 2 7 2 2" xfId="4338" xr:uid="{00000000-0005-0000-0000-0000D7100000}"/>
    <cellStyle name="Calculation 46 2 7 3" xfId="4339" xr:uid="{00000000-0005-0000-0000-0000D8100000}"/>
    <cellStyle name="Calculation 46 2 8" xfId="4340" xr:uid="{00000000-0005-0000-0000-0000D9100000}"/>
    <cellStyle name="Calculation 46 2 8 2" xfId="4341" xr:uid="{00000000-0005-0000-0000-0000DA100000}"/>
    <cellStyle name="Calculation 46 2 8 2 2" xfId="4342" xr:uid="{00000000-0005-0000-0000-0000DB100000}"/>
    <cellStyle name="Calculation 46 2 8 3" xfId="4343" xr:uid="{00000000-0005-0000-0000-0000DC100000}"/>
    <cellStyle name="Calculation 46 2 9" xfId="4344" xr:uid="{00000000-0005-0000-0000-0000DD100000}"/>
    <cellStyle name="Calculation 46 2 9 2" xfId="4345" xr:uid="{00000000-0005-0000-0000-0000DE100000}"/>
    <cellStyle name="Calculation 46 2 9 2 2" xfId="4346" xr:uid="{00000000-0005-0000-0000-0000DF100000}"/>
    <cellStyle name="Calculation 46 2 9 3" xfId="4347" xr:uid="{00000000-0005-0000-0000-0000E0100000}"/>
    <cellStyle name="Calculation 46 3" xfId="4348" xr:uid="{00000000-0005-0000-0000-0000E1100000}"/>
    <cellStyle name="Calculation 46 3 2" xfId="4349" xr:uid="{00000000-0005-0000-0000-0000E2100000}"/>
    <cellStyle name="Calculation 46 3 2 2" xfId="4350" xr:uid="{00000000-0005-0000-0000-0000E3100000}"/>
    <cellStyle name="Calculation 46 3 3" xfId="4351" xr:uid="{00000000-0005-0000-0000-0000E4100000}"/>
    <cellStyle name="Calculation 47" xfId="4352" xr:uid="{00000000-0005-0000-0000-0000E5100000}"/>
    <cellStyle name="Calculation 48" xfId="4353" xr:uid="{00000000-0005-0000-0000-0000E6100000}"/>
    <cellStyle name="Calculation 49" xfId="4354" xr:uid="{00000000-0005-0000-0000-0000E7100000}"/>
    <cellStyle name="Calculation 5" xfId="4355" xr:uid="{00000000-0005-0000-0000-0000E8100000}"/>
    <cellStyle name="Calculation 5 2" xfId="4356" xr:uid="{00000000-0005-0000-0000-0000E9100000}"/>
    <cellStyle name="Calculation 5 2 10" xfId="4357" xr:uid="{00000000-0005-0000-0000-0000EA100000}"/>
    <cellStyle name="Calculation 5 2 10 2" xfId="4358" xr:uid="{00000000-0005-0000-0000-0000EB100000}"/>
    <cellStyle name="Calculation 5 2 10 2 2" xfId="4359" xr:uid="{00000000-0005-0000-0000-0000EC100000}"/>
    <cellStyle name="Calculation 5 2 10 3" xfId="4360" xr:uid="{00000000-0005-0000-0000-0000ED100000}"/>
    <cellStyle name="Calculation 5 2 11" xfId="4361" xr:uid="{00000000-0005-0000-0000-0000EE100000}"/>
    <cellStyle name="Calculation 5 2 11 2" xfId="4362" xr:uid="{00000000-0005-0000-0000-0000EF100000}"/>
    <cellStyle name="Calculation 5 2 11 2 2" xfId="4363" xr:uid="{00000000-0005-0000-0000-0000F0100000}"/>
    <cellStyle name="Calculation 5 2 11 3" xfId="4364" xr:uid="{00000000-0005-0000-0000-0000F1100000}"/>
    <cellStyle name="Calculation 5 2 12" xfId="4365" xr:uid="{00000000-0005-0000-0000-0000F2100000}"/>
    <cellStyle name="Calculation 5 2 12 2" xfId="4366" xr:uid="{00000000-0005-0000-0000-0000F3100000}"/>
    <cellStyle name="Calculation 5 2 12 2 2" xfId="4367" xr:uid="{00000000-0005-0000-0000-0000F4100000}"/>
    <cellStyle name="Calculation 5 2 12 3" xfId="4368" xr:uid="{00000000-0005-0000-0000-0000F5100000}"/>
    <cellStyle name="Calculation 5 2 13" xfId="4369" xr:uid="{00000000-0005-0000-0000-0000F6100000}"/>
    <cellStyle name="Calculation 5 2 13 2" xfId="4370" xr:uid="{00000000-0005-0000-0000-0000F7100000}"/>
    <cellStyle name="Calculation 5 2 13 2 2" xfId="4371" xr:uid="{00000000-0005-0000-0000-0000F8100000}"/>
    <cellStyle name="Calculation 5 2 13 3" xfId="4372" xr:uid="{00000000-0005-0000-0000-0000F9100000}"/>
    <cellStyle name="Calculation 5 2 14" xfId="4373" xr:uid="{00000000-0005-0000-0000-0000FA100000}"/>
    <cellStyle name="Calculation 5 2 14 2" xfId="4374" xr:uid="{00000000-0005-0000-0000-0000FB100000}"/>
    <cellStyle name="Calculation 5 2 14 2 2" xfId="4375" xr:uid="{00000000-0005-0000-0000-0000FC100000}"/>
    <cellStyle name="Calculation 5 2 14 3" xfId="4376" xr:uid="{00000000-0005-0000-0000-0000FD100000}"/>
    <cellStyle name="Calculation 5 2 15" xfId="4377" xr:uid="{00000000-0005-0000-0000-0000FE100000}"/>
    <cellStyle name="Calculation 5 2 15 2" xfId="4378" xr:uid="{00000000-0005-0000-0000-0000FF100000}"/>
    <cellStyle name="Calculation 5 2 15 2 2" xfId="4379" xr:uid="{00000000-0005-0000-0000-000000110000}"/>
    <cellStyle name="Calculation 5 2 15 3" xfId="4380" xr:uid="{00000000-0005-0000-0000-000001110000}"/>
    <cellStyle name="Calculation 5 2 16" xfId="4381" xr:uid="{00000000-0005-0000-0000-000002110000}"/>
    <cellStyle name="Calculation 5 2 16 2" xfId="4382" xr:uid="{00000000-0005-0000-0000-000003110000}"/>
    <cellStyle name="Calculation 5 2 16 2 2" xfId="4383" xr:uid="{00000000-0005-0000-0000-000004110000}"/>
    <cellStyle name="Calculation 5 2 16 3" xfId="4384" xr:uid="{00000000-0005-0000-0000-000005110000}"/>
    <cellStyle name="Calculation 5 2 17" xfId="4385" xr:uid="{00000000-0005-0000-0000-000006110000}"/>
    <cellStyle name="Calculation 5 2 17 2" xfId="4386" xr:uid="{00000000-0005-0000-0000-000007110000}"/>
    <cellStyle name="Calculation 5 2 17 2 2" xfId="4387" xr:uid="{00000000-0005-0000-0000-000008110000}"/>
    <cellStyle name="Calculation 5 2 17 3" xfId="4388" xr:uid="{00000000-0005-0000-0000-000009110000}"/>
    <cellStyle name="Calculation 5 2 18" xfId="4389" xr:uid="{00000000-0005-0000-0000-00000A110000}"/>
    <cellStyle name="Calculation 5 2 18 2" xfId="4390" xr:uid="{00000000-0005-0000-0000-00000B110000}"/>
    <cellStyle name="Calculation 5 2 19" xfId="4391" xr:uid="{00000000-0005-0000-0000-00000C110000}"/>
    <cellStyle name="Calculation 5 2 2" xfId="4392" xr:uid="{00000000-0005-0000-0000-00000D110000}"/>
    <cellStyle name="Calculation 5 2 2 2" xfId="4393" xr:uid="{00000000-0005-0000-0000-00000E110000}"/>
    <cellStyle name="Calculation 5 2 2 2 2" xfId="4394" xr:uid="{00000000-0005-0000-0000-00000F110000}"/>
    <cellStyle name="Calculation 5 2 2 3" xfId="4395" xr:uid="{00000000-0005-0000-0000-000010110000}"/>
    <cellStyle name="Calculation 5 2 3" xfId="4396" xr:uid="{00000000-0005-0000-0000-000011110000}"/>
    <cellStyle name="Calculation 5 2 3 2" xfId="4397" xr:uid="{00000000-0005-0000-0000-000012110000}"/>
    <cellStyle name="Calculation 5 2 3 2 2" xfId="4398" xr:uid="{00000000-0005-0000-0000-000013110000}"/>
    <cellStyle name="Calculation 5 2 3 3" xfId="4399" xr:uid="{00000000-0005-0000-0000-000014110000}"/>
    <cellStyle name="Calculation 5 2 4" xfId="4400" xr:uid="{00000000-0005-0000-0000-000015110000}"/>
    <cellStyle name="Calculation 5 2 4 2" xfId="4401" xr:uid="{00000000-0005-0000-0000-000016110000}"/>
    <cellStyle name="Calculation 5 2 4 2 2" xfId="4402" xr:uid="{00000000-0005-0000-0000-000017110000}"/>
    <cellStyle name="Calculation 5 2 4 3" xfId="4403" xr:uid="{00000000-0005-0000-0000-000018110000}"/>
    <cellStyle name="Calculation 5 2 5" xfId="4404" xr:uid="{00000000-0005-0000-0000-000019110000}"/>
    <cellStyle name="Calculation 5 2 5 2" xfId="4405" xr:uid="{00000000-0005-0000-0000-00001A110000}"/>
    <cellStyle name="Calculation 5 2 5 2 2" xfId="4406" xr:uid="{00000000-0005-0000-0000-00001B110000}"/>
    <cellStyle name="Calculation 5 2 5 3" xfId="4407" xr:uid="{00000000-0005-0000-0000-00001C110000}"/>
    <cellStyle name="Calculation 5 2 6" xfId="4408" xr:uid="{00000000-0005-0000-0000-00001D110000}"/>
    <cellStyle name="Calculation 5 2 6 2" xfId="4409" xr:uid="{00000000-0005-0000-0000-00001E110000}"/>
    <cellStyle name="Calculation 5 2 6 2 2" xfId="4410" xr:uid="{00000000-0005-0000-0000-00001F110000}"/>
    <cellStyle name="Calculation 5 2 6 3" xfId="4411" xr:uid="{00000000-0005-0000-0000-000020110000}"/>
    <cellStyle name="Calculation 5 2 7" xfId="4412" xr:uid="{00000000-0005-0000-0000-000021110000}"/>
    <cellStyle name="Calculation 5 2 7 2" xfId="4413" xr:uid="{00000000-0005-0000-0000-000022110000}"/>
    <cellStyle name="Calculation 5 2 7 2 2" xfId="4414" xr:uid="{00000000-0005-0000-0000-000023110000}"/>
    <cellStyle name="Calculation 5 2 7 3" xfId="4415" xr:uid="{00000000-0005-0000-0000-000024110000}"/>
    <cellStyle name="Calculation 5 2 8" xfId="4416" xr:uid="{00000000-0005-0000-0000-000025110000}"/>
    <cellStyle name="Calculation 5 2 8 2" xfId="4417" xr:uid="{00000000-0005-0000-0000-000026110000}"/>
    <cellStyle name="Calculation 5 2 8 2 2" xfId="4418" xr:uid="{00000000-0005-0000-0000-000027110000}"/>
    <cellStyle name="Calculation 5 2 8 3" xfId="4419" xr:uid="{00000000-0005-0000-0000-000028110000}"/>
    <cellStyle name="Calculation 5 2 9" xfId="4420" xr:uid="{00000000-0005-0000-0000-000029110000}"/>
    <cellStyle name="Calculation 5 2 9 2" xfId="4421" xr:uid="{00000000-0005-0000-0000-00002A110000}"/>
    <cellStyle name="Calculation 5 2 9 2 2" xfId="4422" xr:uid="{00000000-0005-0000-0000-00002B110000}"/>
    <cellStyle name="Calculation 5 2 9 3" xfId="4423" xr:uid="{00000000-0005-0000-0000-00002C110000}"/>
    <cellStyle name="Calculation 5 3" xfId="4424" xr:uid="{00000000-0005-0000-0000-00002D110000}"/>
    <cellStyle name="Calculation 5 3 2" xfId="4425" xr:uid="{00000000-0005-0000-0000-00002E110000}"/>
    <cellStyle name="Calculation 5 3 2 2" xfId="4426" xr:uid="{00000000-0005-0000-0000-00002F110000}"/>
    <cellStyle name="Calculation 5 3 3" xfId="4427" xr:uid="{00000000-0005-0000-0000-000030110000}"/>
    <cellStyle name="Calculation 6" xfId="4428" xr:uid="{00000000-0005-0000-0000-000031110000}"/>
    <cellStyle name="Calculation 6 2" xfId="4429" xr:uid="{00000000-0005-0000-0000-000032110000}"/>
    <cellStyle name="Calculation 6 2 10" xfId="4430" xr:uid="{00000000-0005-0000-0000-000033110000}"/>
    <cellStyle name="Calculation 6 2 10 2" xfId="4431" xr:uid="{00000000-0005-0000-0000-000034110000}"/>
    <cellStyle name="Calculation 6 2 10 2 2" xfId="4432" xr:uid="{00000000-0005-0000-0000-000035110000}"/>
    <cellStyle name="Calculation 6 2 10 3" xfId="4433" xr:uid="{00000000-0005-0000-0000-000036110000}"/>
    <cellStyle name="Calculation 6 2 11" xfId="4434" xr:uid="{00000000-0005-0000-0000-000037110000}"/>
    <cellStyle name="Calculation 6 2 11 2" xfId="4435" xr:uid="{00000000-0005-0000-0000-000038110000}"/>
    <cellStyle name="Calculation 6 2 11 2 2" xfId="4436" xr:uid="{00000000-0005-0000-0000-000039110000}"/>
    <cellStyle name="Calculation 6 2 11 3" xfId="4437" xr:uid="{00000000-0005-0000-0000-00003A110000}"/>
    <cellStyle name="Calculation 6 2 12" xfId="4438" xr:uid="{00000000-0005-0000-0000-00003B110000}"/>
    <cellStyle name="Calculation 6 2 12 2" xfId="4439" xr:uid="{00000000-0005-0000-0000-00003C110000}"/>
    <cellStyle name="Calculation 6 2 12 2 2" xfId="4440" xr:uid="{00000000-0005-0000-0000-00003D110000}"/>
    <cellStyle name="Calculation 6 2 12 3" xfId="4441" xr:uid="{00000000-0005-0000-0000-00003E110000}"/>
    <cellStyle name="Calculation 6 2 13" xfId="4442" xr:uid="{00000000-0005-0000-0000-00003F110000}"/>
    <cellStyle name="Calculation 6 2 13 2" xfId="4443" xr:uid="{00000000-0005-0000-0000-000040110000}"/>
    <cellStyle name="Calculation 6 2 13 2 2" xfId="4444" xr:uid="{00000000-0005-0000-0000-000041110000}"/>
    <cellStyle name="Calculation 6 2 13 3" xfId="4445" xr:uid="{00000000-0005-0000-0000-000042110000}"/>
    <cellStyle name="Calculation 6 2 14" xfId="4446" xr:uid="{00000000-0005-0000-0000-000043110000}"/>
    <cellStyle name="Calculation 6 2 14 2" xfId="4447" xr:uid="{00000000-0005-0000-0000-000044110000}"/>
    <cellStyle name="Calculation 6 2 14 2 2" xfId="4448" xr:uid="{00000000-0005-0000-0000-000045110000}"/>
    <cellStyle name="Calculation 6 2 14 3" xfId="4449" xr:uid="{00000000-0005-0000-0000-000046110000}"/>
    <cellStyle name="Calculation 6 2 15" xfId="4450" xr:uid="{00000000-0005-0000-0000-000047110000}"/>
    <cellStyle name="Calculation 6 2 15 2" xfId="4451" xr:uid="{00000000-0005-0000-0000-000048110000}"/>
    <cellStyle name="Calculation 6 2 15 2 2" xfId="4452" xr:uid="{00000000-0005-0000-0000-000049110000}"/>
    <cellStyle name="Calculation 6 2 15 3" xfId="4453" xr:uid="{00000000-0005-0000-0000-00004A110000}"/>
    <cellStyle name="Calculation 6 2 16" xfId="4454" xr:uid="{00000000-0005-0000-0000-00004B110000}"/>
    <cellStyle name="Calculation 6 2 16 2" xfId="4455" xr:uid="{00000000-0005-0000-0000-00004C110000}"/>
    <cellStyle name="Calculation 6 2 16 2 2" xfId="4456" xr:uid="{00000000-0005-0000-0000-00004D110000}"/>
    <cellStyle name="Calculation 6 2 16 3" xfId="4457" xr:uid="{00000000-0005-0000-0000-00004E110000}"/>
    <cellStyle name="Calculation 6 2 17" xfId="4458" xr:uid="{00000000-0005-0000-0000-00004F110000}"/>
    <cellStyle name="Calculation 6 2 17 2" xfId="4459" xr:uid="{00000000-0005-0000-0000-000050110000}"/>
    <cellStyle name="Calculation 6 2 17 2 2" xfId="4460" xr:uid="{00000000-0005-0000-0000-000051110000}"/>
    <cellStyle name="Calculation 6 2 17 3" xfId="4461" xr:uid="{00000000-0005-0000-0000-000052110000}"/>
    <cellStyle name="Calculation 6 2 18" xfId="4462" xr:uid="{00000000-0005-0000-0000-000053110000}"/>
    <cellStyle name="Calculation 6 2 18 2" xfId="4463" xr:uid="{00000000-0005-0000-0000-000054110000}"/>
    <cellStyle name="Calculation 6 2 19" xfId="4464" xr:uid="{00000000-0005-0000-0000-000055110000}"/>
    <cellStyle name="Calculation 6 2 2" xfId="4465" xr:uid="{00000000-0005-0000-0000-000056110000}"/>
    <cellStyle name="Calculation 6 2 2 2" xfId="4466" xr:uid="{00000000-0005-0000-0000-000057110000}"/>
    <cellStyle name="Calculation 6 2 2 2 2" xfId="4467" xr:uid="{00000000-0005-0000-0000-000058110000}"/>
    <cellStyle name="Calculation 6 2 2 3" xfId="4468" xr:uid="{00000000-0005-0000-0000-000059110000}"/>
    <cellStyle name="Calculation 6 2 3" xfId="4469" xr:uid="{00000000-0005-0000-0000-00005A110000}"/>
    <cellStyle name="Calculation 6 2 3 2" xfId="4470" xr:uid="{00000000-0005-0000-0000-00005B110000}"/>
    <cellStyle name="Calculation 6 2 3 2 2" xfId="4471" xr:uid="{00000000-0005-0000-0000-00005C110000}"/>
    <cellStyle name="Calculation 6 2 3 3" xfId="4472" xr:uid="{00000000-0005-0000-0000-00005D110000}"/>
    <cellStyle name="Calculation 6 2 4" xfId="4473" xr:uid="{00000000-0005-0000-0000-00005E110000}"/>
    <cellStyle name="Calculation 6 2 4 2" xfId="4474" xr:uid="{00000000-0005-0000-0000-00005F110000}"/>
    <cellStyle name="Calculation 6 2 4 2 2" xfId="4475" xr:uid="{00000000-0005-0000-0000-000060110000}"/>
    <cellStyle name="Calculation 6 2 4 3" xfId="4476" xr:uid="{00000000-0005-0000-0000-000061110000}"/>
    <cellStyle name="Calculation 6 2 5" xfId="4477" xr:uid="{00000000-0005-0000-0000-000062110000}"/>
    <cellStyle name="Calculation 6 2 5 2" xfId="4478" xr:uid="{00000000-0005-0000-0000-000063110000}"/>
    <cellStyle name="Calculation 6 2 5 2 2" xfId="4479" xr:uid="{00000000-0005-0000-0000-000064110000}"/>
    <cellStyle name="Calculation 6 2 5 3" xfId="4480" xr:uid="{00000000-0005-0000-0000-000065110000}"/>
    <cellStyle name="Calculation 6 2 6" xfId="4481" xr:uid="{00000000-0005-0000-0000-000066110000}"/>
    <cellStyle name="Calculation 6 2 6 2" xfId="4482" xr:uid="{00000000-0005-0000-0000-000067110000}"/>
    <cellStyle name="Calculation 6 2 6 2 2" xfId="4483" xr:uid="{00000000-0005-0000-0000-000068110000}"/>
    <cellStyle name="Calculation 6 2 6 3" xfId="4484" xr:uid="{00000000-0005-0000-0000-000069110000}"/>
    <cellStyle name="Calculation 6 2 7" xfId="4485" xr:uid="{00000000-0005-0000-0000-00006A110000}"/>
    <cellStyle name="Calculation 6 2 7 2" xfId="4486" xr:uid="{00000000-0005-0000-0000-00006B110000}"/>
    <cellStyle name="Calculation 6 2 7 2 2" xfId="4487" xr:uid="{00000000-0005-0000-0000-00006C110000}"/>
    <cellStyle name="Calculation 6 2 7 3" xfId="4488" xr:uid="{00000000-0005-0000-0000-00006D110000}"/>
    <cellStyle name="Calculation 6 2 8" xfId="4489" xr:uid="{00000000-0005-0000-0000-00006E110000}"/>
    <cellStyle name="Calculation 6 2 8 2" xfId="4490" xr:uid="{00000000-0005-0000-0000-00006F110000}"/>
    <cellStyle name="Calculation 6 2 8 2 2" xfId="4491" xr:uid="{00000000-0005-0000-0000-000070110000}"/>
    <cellStyle name="Calculation 6 2 8 3" xfId="4492" xr:uid="{00000000-0005-0000-0000-000071110000}"/>
    <cellStyle name="Calculation 6 2 9" xfId="4493" xr:uid="{00000000-0005-0000-0000-000072110000}"/>
    <cellStyle name="Calculation 6 2 9 2" xfId="4494" xr:uid="{00000000-0005-0000-0000-000073110000}"/>
    <cellStyle name="Calculation 6 2 9 2 2" xfId="4495" xr:uid="{00000000-0005-0000-0000-000074110000}"/>
    <cellStyle name="Calculation 6 2 9 3" xfId="4496" xr:uid="{00000000-0005-0000-0000-000075110000}"/>
    <cellStyle name="Calculation 6 3" xfId="4497" xr:uid="{00000000-0005-0000-0000-000076110000}"/>
    <cellStyle name="Calculation 6 3 2" xfId="4498" xr:uid="{00000000-0005-0000-0000-000077110000}"/>
    <cellStyle name="Calculation 6 3 2 2" xfId="4499" xr:uid="{00000000-0005-0000-0000-000078110000}"/>
    <cellStyle name="Calculation 6 3 3" xfId="4500" xr:uid="{00000000-0005-0000-0000-000079110000}"/>
    <cellStyle name="Calculation 7" xfId="4501" xr:uid="{00000000-0005-0000-0000-00007A110000}"/>
    <cellStyle name="Calculation 7 2" xfId="4502" xr:uid="{00000000-0005-0000-0000-00007B110000}"/>
    <cellStyle name="Calculation 7 2 10" xfId="4503" xr:uid="{00000000-0005-0000-0000-00007C110000}"/>
    <cellStyle name="Calculation 7 2 10 2" xfId="4504" xr:uid="{00000000-0005-0000-0000-00007D110000}"/>
    <cellStyle name="Calculation 7 2 10 2 2" xfId="4505" xr:uid="{00000000-0005-0000-0000-00007E110000}"/>
    <cellStyle name="Calculation 7 2 10 3" xfId="4506" xr:uid="{00000000-0005-0000-0000-00007F110000}"/>
    <cellStyle name="Calculation 7 2 11" xfId="4507" xr:uid="{00000000-0005-0000-0000-000080110000}"/>
    <cellStyle name="Calculation 7 2 11 2" xfId="4508" xr:uid="{00000000-0005-0000-0000-000081110000}"/>
    <cellStyle name="Calculation 7 2 11 2 2" xfId="4509" xr:uid="{00000000-0005-0000-0000-000082110000}"/>
    <cellStyle name="Calculation 7 2 11 3" xfId="4510" xr:uid="{00000000-0005-0000-0000-000083110000}"/>
    <cellStyle name="Calculation 7 2 12" xfId="4511" xr:uid="{00000000-0005-0000-0000-000084110000}"/>
    <cellStyle name="Calculation 7 2 12 2" xfId="4512" xr:uid="{00000000-0005-0000-0000-000085110000}"/>
    <cellStyle name="Calculation 7 2 12 2 2" xfId="4513" xr:uid="{00000000-0005-0000-0000-000086110000}"/>
    <cellStyle name="Calculation 7 2 12 3" xfId="4514" xr:uid="{00000000-0005-0000-0000-000087110000}"/>
    <cellStyle name="Calculation 7 2 13" xfId="4515" xr:uid="{00000000-0005-0000-0000-000088110000}"/>
    <cellStyle name="Calculation 7 2 13 2" xfId="4516" xr:uid="{00000000-0005-0000-0000-000089110000}"/>
    <cellStyle name="Calculation 7 2 13 2 2" xfId="4517" xr:uid="{00000000-0005-0000-0000-00008A110000}"/>
    <cellStyle name="Calculation 7 2 13 3" xfId="4518" xr:uid="{00000000-0005-0000-0000-00008B110000}"/>
    <cellStyle name="Calculation 7 2 14" xfId="4519" xr:uid="{00000000-0005-0000-0000-00008C110000}"/>
    <cellStyle name="Calculation 7 2 14 2" xfId="4520" xr:uid="{00000000-0005-0000-0000-00008D110000}"/>
    <cellStyle name="Calculation 7 2 14 2 2" xfId="4521" xr:uid="{00000000-0005-0000-0000-00008E110000}"/>
    <cellStyle name="Calculation 7 2 14 3" xfId="4522" xr:uid="{00000000-0005-0000-0000-00008F110000}"/>
    <cellStyle name="Calculation 7 2 15" xfId="4523" xr:uid="{00000000-0005-0000-0000-000090110000}"/>
    <cellStyle name="Calculation 7 2 15 2" xfId="4524" xr:uid="{00000000-0005-0000-0000-000091110000}"/>
    <cellStyle name="Calculation 7 2 15 2 2" xfId="4525" xr:uid="{00000000-0005-0000-0000-000092110000}"/>
    <cellStyle name="Calculation 7 2 15 3" xfId="4526" xr:uid="{00000000-0005-0000-0000-000093110000}"/>
    <cellStyle name="Calculation 7 2 16" xfId="4527" xr:uid="{00000000-0005-0000-0000-000094110000}"/>
    <cellStyle name="Calculation 7 2 16 2" xfId="4528" xr:uid="{00000000-0005-0000-0000-000095110000}"/>
    <cellStyle name="Calculation 7 2 16 2 2" xfId="4529" xr:uid="{00000000-0005-0000-0000-000096110000}"/>
    <cellStyle name="Calculation 7 2 16 3" xfId="4530" xr:uid="{00000000-0005-0000-0000-000097110000}"/>
    <cellStyle name="Calculation 7 2 17" xfId="4531" xr:uid="{00000000-0005-0000-0000-000098110000}"/>
    <cellStyle name="Calculation 7 2 17 2" xfId="4532" xr:uid="{00000000-0005-0000-0000-000099110000}"/>
    <cellStyle name="Calculation 7 2 17 2 2" xfId="4533" xr:uid="{00000000-0005-0000-0000-00009A110000}"/>
    <cellStyle name="Calculation 7 2 17 3" xfId="4534" xr:uid="{00000000-0005-0000-0000-00009B110000}"/>
    <cellStyle name="Calculation 7 2 18" xfId="4535" xr:uid="{00000000-0005-0000-0000-00009C110000}"/>
    <cellStyle name="Calculation 7 2 18 2" xfId="4536" xr:uid="{00000000-0005-0000-0000-00009D110000}"/>
    <cellStyle name="Calculation 7 2 19" xfId="4537" xr:uid="{00000000-0005-0000-0000-00009E110000}"/>
    <cellStyle name="Calculation 7 2 2" xfId="4538" xr:uid="{00000000-0005-0000-0000-00009F110000}"/>
    <cellStyle name="Calculation 7 2 2 2" xfId="4539" xr:uid="{00000000-0005-0000-0000-0000A0110000}"/>
    <cellStyle name="Calculation 7 2 2 2 2" xfId="4540" xr:uid="{00000000-0005-0000-0000-0000A1110000}"/>
    <cellStyle name="Calculation 7 2 2 3" xfId="4541" xr:uid="{00000000-0005-0000-0000-0000A2110000}"/>
    <cellStyle name="Calculation 7 2 3" xfId="4542" xr:uid="{00000000-0005-0000-0000-0000A3110000}"/>
    <cellStyle name="Calculation 7 2 3 2" xfId="4543" xr:uid="{00000000-0005-0000-0000-0000A4110000}"/>
    <cellStyle name="Calculation 7 2 3 2 2" xfId="4544" xr:uid="{00000000-0005-0000-0000-0000A5110000}"/>
    <cellStyle name="Calculation 7 2 3 3" xfId="4545" xr:uid="{00000000-0005-0000-0000-0000A6110000}"/>
    <cellStyle name="Calculation 7 2 4" xfId="4546" xr:uid="{00000000-0005-0000-0000-0000A7110000}"/>
    <cellStyle name="Calculation 7 2 4 2" xfId="4547" xr:uid="{00000000-0005-0000-0000-0000A8110000}"/>
    <cellStyle name="Calculation 7 2 4 2 2" xfId="4548" xr:uid="{00000000-0005-0000-0000-0000A9110000}"/>
    <cellStyle name="Calculation 7 2 4 3" xfId="4549" xr:uid="{00000000-0005-0000-0000-0000AA110000}"/>
    <cellStyle name="Calculation 7 2 5" xfId="4550" xr:uid="{00000000-0005-0000-0000-0000AB110000}"/>
    <cellStyle name="Calculation 7 2 5 2" xfId="4551" xr:uid="{00000000-0005-0000-0000-0000AC110000}"/>
    <cellStyle name="Calculation 7 2 5 2 2" xfId="4552" xr:uid="{00000000-0005-0000-0000-0000AD110000}"/>
    <cellStyle name="Calculation 7 2 5 3" xfId="4553" xr:uid="{00000000-0005-0000-0000-0000AE110000}"/>
    <cellStyle name="Calculation 7 2 6" xfId="4554" xr:uid="{00000000-0005-0000-0000-0000AF110000}"/>
    <cellStyle name="Calculation 7 2 6 2" xfId="4555" xr:uid="{00000000-0005-0000-0000-0000B0110000}"/>
    <cellStyle name="Calculation 7 2 6 2 2" xfId="4556" xr:uid="{00000000-0005-0000-0000-0000B1110000}"/>
    <cellStyle name="Calculation 7 2 6 3" xfId="4557" xr:uid="{00000000-0005-0000-0000-0000B2110000}"/>
    <cellStyle name="Calculation 7 2 7" xfId="4558" xr:uid="{00000000-0005-0000-0000-0000B3110000}"/>
    <cellStyle name="Calculation 7 2 7 2" xfId="4559" xr:uid="{00000000-0005-0000-0000-0000B4110000}"/>
    <cellStyle name="Calculation 7 2 7 2 2" xfId="4560" xr:uid="{00000000-0005-0000-0000-0000B5110000}"/>
    <cellStyle name="Calculation 7 2 7 3" xfId="4561" xr:uid="{00000000-0005-0000-0000-0000B6110000}"/>
    <cellStyle name="Calculation 7 2 8" xfId="4562" xr:uid="{00000000-0005-0000-0000-0000B7110000}"/>
    <cellStyle name="Calculation 7 2 8 2" xfId="4563" xr:uid="{00000000-0005-0000-0000-0000B8110000}"/>
    <cellStyle name="Calculation 7 2 8 2 2" xfId="4564" xr:uid="{00000000-0005-0000-0000-0000B9110000}"/>
    <cellStyle name="Calculation 7 2 8 3" xfId="4565" xr:uid="{00000000-0005-0000-0000-0000BA110000}"/>
    <cellStyle name="Calculation 7 2 9" xfId="4566" xr:uid="{00000000-0005-0000-0000-0000BB110000}"/>
    <cellStyle name="Calculation 7 2 9 2" xfId="4567" xr:uid="{00000000-0005-0000-0000-0000BC110000}"/>
    <cellStyle name="Calculation 7 2 9 2 2" xfId="4568" xr:uid="{00000000-0005-0000-0000-0000BD110000}"/>
    <cellStyle name="Calculation 7 2 9 3" xfId="4569" xr:uid="{00000000-0005-0000-0000-0000BE110000}"/>
    <cellStyle name="Calculation 7 3" xfId="4570" xr:uid="{00000000-0005-0000-0000-0000BF110000}"/>
    <cellStyle name="Calculation 7 3 2" xfId="4571" xr:uid="{00000000-0005-0000-0000-0000C0110000}"/>
    <cellStyle name="Calculation 7 3 2 2" xfId="4572" xr:uid="{00000000-0005-0000-0000-0000C1110000}"/>
    <cellStyle name="Calculation 7 3 3" xfId="4573" xr:uid="{00000000-0005-0000-0000-0000C2110000}"/>
    <cellStyle name="Calculation 8" xfId="4574" xr:uid="{00000000-0005-0000-0000-0000C3110000}"/>
    <cellStyle name="Calculation 8 2" xfId="4575" xr:uid="{00000000-0005-0000-0000-0000C4110000}"/>
    <cellStyle name="Calculation 8 2 10" xfId="4576" xr:uid="{00000000-0005-0000-0000-0000C5110000}"/>
    <cellStyle name="Calculation 8 2 10 2" xfId="4577" xr:uid="{00000000-0005-0000-0000-0000C6110000}"/>
    <cellStyle name="Calculation 8 2 10 2 2" xfId="4578" xr:uid="{00000000-0005-0000-0000-0000C7110000}"/>
    <cellStyle name="Calculation 8 2 10 3" xfId="4579" xr:uid="{00000000-0005-0000-0000-0000C8110000}"/>
    <cellStyle name="Calculation 8 2 11" xfId="4580" xr:uid="{00000000-0005-0000-0000-0000C9110000}"/>
    <cellStyle name="Calculation 8 2 11 2" xfId="4581" xr:uid="{00000000-0005-0000-0000-0000CA110000}"/>
    <cellStyle name="Calculation 8 2 11 2 2" xfId="4582" xr:uid="{00000000-0005-0000-0000-0000CB110000}"/>
    <cellStyle name="Calculation 8 2 11 3" xfId="4583" xr:uid="{00000000-0005-0000-0000-0000CC110000}"/>
    <cellStyle name="Calculation 8 2 12" xfId="4584" xr:uid="{00000000-0005-0000-0000-0000CD110000}"/>
    <cellStyle name="Calculation 8 2 12 2" xfId="4585" xr:uid="{00000000-0005-0000-0000-0000CE110000}"/>
    <cellStyle name="Calculation 8 2 12 2 2" xfId="4586" xr:uid="{00000000-0005-0000-0000-0000CF110000}"/>
    <cellStyle name="Calculation 8 2 12 3" xfId="4587" xr:uid="{00000000-0005-0000-0000-0000D0110000}"/>
    <cellStyle name="Calculation 8 2 13" xfId="4588" xr:uid="{00000000-0005-0000-0000-0000D1110000}"/>
    <cellStyle name="Calculation 8 2 13 2" xfId="4589" xr:uid="{00000000-0005-0000-0000-0000D2110000}"/>
    <cellStyle name="Calculation 8 2 13 2 2" xfId="4590" xr:uid="{00000000-0005-0000-0000-0000D3110000}"/>
    <cellStyle name="Calculation 8 2 13 3" xfId="4591" xr:uid="{00000000-0005-0000-0000-0000D4110000}"/>
    <cellStyle name="Calculation 8 2 14" xfId="4592" xr:uid="{00000000-0005-0000-0000-0000D5110000}"/>
    <cellStyle name="Calculation 8 2 14 2" xfId="4593" xr:uid="{00000000-0005-0000-0000-0000D6110000}"/>
    <cellStyle name="Calculation 8 2 14 2 2" xfId="4594" xr:uid="{00000000-0005-0000-0000-0000D7110000}"/>
    <cellStyle name="Calculation 8 2 14 3" xfId="4595" xr:uid="{00000000-0005-0000-0000-0000D8110000}"/>
    <cellStyle name="Calculation 8 2 15" xfId="4596" xr:uid="{00000000-0005-0000-0000-0000D9110000}"/>
    <cellStyle name="Calculation 8 2 15 2" xfId="4597" xr:uid="{00000000-0005-0000-0000-0000DA110000}"/>
    <cellStyle name="Calculation 8 2 15 2 2" xfId="4598" xr:uid="{00000000-0005-0000-0000-0000DB110000}"/>
    <cellStyle name="Calculation 8 2 15 3" xfId="4599" xr:uid="{00000000-0005-0000-0000-0000DC110000}"/>
    <cellStyle name="Calculation 8 2 16" xfId="4600" xr:uid="{00000000-0005-0000-0000-0000DD110000}"/>
    <cellStyle name="Calculation 8 2 16 2" xfId="4601" xr:uid="{00000000-0005-0000-0000-0000DE110000}"/>
    <cellStyle name="Calculation 8 2 16 2 2" xfId="4602" xr:uid="{00000000-0005-0000-0000-0000DF110000}"/>
    <cellStyle name="Calculation 8 2 16 3" xfId="4603" xr:uid="{00000000-0005-0000-0000-0000E0110000}"/>
    <cellStyle name="Calculation 8 2 17" xfId="4604" xr:uid="{00000000-0005-0000-0000-0000E1110000}"/>
    <cellStyle name="Calculation 8 2 17 2" xfId="4605" xr:uid="{00000000-0005-0000-0000-0000E2110000}"/>
    <cellStyle name="Calculation 8 2 17 2 2" xfId="4606" xr:uid="{00000000-0005-0000-0000-0000E3110000}"/>
    <cellStyle name="Calculation 8 2 17 3" xfId="4607" xr:uid="{00000000-0005-0000-0000-0000E4110000}"/>
    <cellStyle name="Calculation 8 2 18" xfId="4608" xr:uid="{00000000-0005-0000-0000-0000E5110000}"/>
    <cellStyle name="Calculation 8 2 18 2" xfId="4609" xr:uid="{00000000-0005-0000-0000-0000E6110000}"/>
    <cellStyle name="Calculation 8 2 19" xfId="4610" xr:uid="{00000000-0005-0000-0000-0000E7110000}"/>
    <cellStyle name="Calculation 8 2 2" xfId="4611" xr:uid="{00000000-0005-0000-0000-0000E8110000}"/>
    <cellStyle name="Calculation 8 2 2 2" xfId="4612" xr:uid="{00000000-0005-0000-0000-0000E9110000}"/>
    <cellStyle name="Calculation 8 2 2 2 2" xfId="4613" xr:uid="{00000000-0005-0000-0000-0000EA110000}"/>
    <cellStyle name="Calculation 8 2 2 3" xfId="4614" xr:uid="{00000000-0005-0000-0000-0000EB110000}"/>
    <cellStyle name="Calculation 8 2 3" xfId="4615" xr:uid="{00000000-0005-0000-0000-0000EC110000}"/>
    <cellStyle name="Calculation 8 2 3 2" xfId="4616" xr:uid="{00000000-0005-0000-0000-0000ED110000}"/>
    <cellStyle name="Calculation 8 2 3 2 2" xfId="4617" xr:uid="{00000000-0005-0000-0000-0000EE110000}"/>
    <cellStyle name="Calculation 8 2 3 3" xfId="4618" xr:uid="{00000000-0005-0000-0000-0000EF110000}"/>
    <cellStyle name="Calculation 8 2 4" xfId="4619" xr:uid="{00000000-0005-0000-0000-0000F0110000}"/>
    <cellStyle name="Calculation 8 2 4 2" xfId="4620" xr:uid="{00000000-0005-0000-0000-0000F1110000}"/>
    <cellStyle name="Calculation 8 2 4 2 2" xfId="4621" xr:uid="{00000000-0005-0000-0000-0000F2110000}"/>
    <cellStyle name="Calculation 8 2 4 3" xfId="4622" xr:uid="{00000000-0005-0000-0000-0000F3110000}"/>
    <cellStyle name="Calculation 8 2 5" xfId="4623" xr:uid="{00000000-0005-0000-0000-0000F4110000}"/>
    <cellStyle name="Calculation 8 2 5 2" xfId="4624" xr:uid="{00000000-0005-0000-0000-0000F5110000}"/>
    <cellStyle name="Calculation 8 2 5 2 2" xfId="4625" xr:uid="{00000000-0005-0000-0000-0000F6110000}"/>
    <cellStyle name="Calculation 8 2 5 3" xfId="4626" xr:uid="{00000000-0005-0000-0000-0000F7110000}"/>
    <cellStyle name="Calculation 8 2 6" xfId="4627" xr:uid="{00000000-0005-0000-0000-0000F8110000}"/>
    <cellStyle name="Calculation 8 2 6 2" xfId="4628" xr:uid="{00000000-0005-0000-0000-0000F9110000}"/>
    <cellStyle name="Calculation 8 2 6 2 2" xfId="4629" xr:uid="{00000000-0005-0000-0000-0000FA110000}"/>
    <cellStyle name="Calculation 8 2 6 3" xfId="4630" xr:uid="{00000000-0005-0000-0000-0000FB110000}"/>
    <cellStyle name="Calculation 8 2 7" xfId="4631" xr:uid="{00000000-0005-0000-0000-0000FC110000}"/>
    <cellStyle name="Calculation 8 2 7 2" xfId="4632" xr:uid="{00000000-0005-0000-0000-0000FD110000}"/>
    <cellStyle name="Calculation 8 2 7 2 2" xfId="4633" xr:uid="{00000000-0005-0000-0000-0000FE110000}"/>
    <cellStyle name="Calculation 8 2 7 3" xfId="4634" xr:uid="{00000000-0005-0000-0000-0000FF110000}"/>
    <cellStyle name="Calculation 8 2 8" xfId="4635" xr:uid="{00000000-0005-0000-0000-000000120000}"/>
    <cellStyle name="Calculation 8 2 8 2" xfId="4636" xr:uid="{00000000-0005-0000-0000-000001120000}"/>
    <cellStyle name="Calculation 8 2 8 2 2" xfId="4637" xr:uid="{00000000-0005-0000-0000-000002120000}"/>
    <cellStyle name="Calculation 8 2 8 3" xfId="4638" xr:uid="{00000000-0005-0000-0000-000003120000}"/>
    <cellStyle name="Calculation 8 2 9" xfId="4639" xr:uid="{00000000-0005-0000-0000-000004120000}"/>
    <cellStyle name="Calculation 8 2 9 2" xfId="4640" xr:uid="{00000000-0005-0000-0000-000005120000}"/>
    <cellStyle name="Calculation 8 2 9 2 2" xfId="4641" xr:uid="{00000000-0005-0000-0000-000006120000}"/>
    <cellStyle name="Calculation 8 2 9 3" xfId="4642" xr:uid="{00000000-0005-0000-0000-000007120000}"/>
    <cellStyle name="Calculation 8 3" xfId="4643" xr:uid="{00000000-0005-0000-0000-000008120000}"/>
    <cellStyle name="Calculation 8 3 2" xfId="4644" xr:uid="{00000000-0005-0000-0000-000009120000}"/>
    <cellStyle name="Calculation 8 3 2 2" xfId="4645" xr:uid="{00000000-0005-0000-0000-00000A120000}"/>
    <cellStyle name="Calculation 8 3 3" xfId="4646" xr:uid="{00000000-0005-0000-0000-00000B120000}"/>
    <cellStyle name="Calculation 9" xfId="4647" xr:uid="{00000000-0005-0000-0000-00000C120000}"/>
    <cellStyle name="Calculation 9 2" xfId="4648" xr:uid="{00000000-0005-0000-0000-00000D120000}"/>
    <cellStyle name="Calculation 9 2 10" xfId="4649" xr:uid="{00000000-0005-0000-0000-00000E120000}"/>
    <cellStyle name="Calculation 9 2 10 2" xfId="4650" xr:uid="{00000000-0005-0000-0000-00000F120000}"/>
    <cellStyle name="Calculation 9 2 10 2 2" xfId="4651" xr:uid="{00000000-0005-0000-0000-000010120000}"/>
    <cellStyle name="Calculation 9 2 10 3" xfId="4652" xr:uid="{00000000-0005-0000-0000-000011120000}"/>
    <cellStyle name="Calculation 9 2 11" xfId="4653" xr:uid="{00000000-0005-0000-0000-000012120000}"/>
    <cellStyle name="Calculation 9 2 11 2" xfId="4654" xr:uid="{00000000-0005-0000-0000-000013120000}"/>
    <cellStyle name="Calculation 9 2 11 2 2" xfId="4655" xr:uid="{00000000-0005-0000-0000-000014120000}"/>
    <cellStyle name="Calculation 9 2 11 3" xfId="4656" xr:uid="{00000000-0005-0000-0000-000015120000}"/>
    <cellStyle name="Calculation 9 2 12" xfId="4657" xr:uid="{00000000-0005-0000-0000-000016120000}"/>
    <cellStyle name="Calculation 9 2 12 2" xfId="4658" xr:uid="{00000000-0005-0000-0000-000017120000}"/>
    <cellStyle name="Calculation 9 2 12 2 2" xfId="4659" xr:uid="{00000000-0005-0000-0000-000018120000}"/>
    <cellStyle name="Calculation 9 2 12 3" xfId="4660" xr:uid="{00000000-0005-0000-0000-000019120000}"/>
    <cellStyle name="Calculation 9 2 13" xfId="4661" xr:uid="{00000000-0005-0000-0000-00001A120000}"/>
    <cellStyle name="Calculation 9 2 13 2" xfId="4662" xr:uid="{00000000-0005-0000-0000-00001B120000}"/>
    <cellStyle name="Calculation 9 2 13 2 2" xfId="4663" xr:uid="{00000000-0005-0000-0000-00001C120000}"/>
    <cellStyle name="Calculation 9 2 13 3" xfId="4664" xr:uid="{00000000-0005-0000-0000-00001D120000}"/>
    <cellStyle name="Calculation 9 2 14" xfId="4665" xr:uid="{00000000-0005-0000-0000-00001E120000}"/>
    <cellStyle name="Calculation 9 2 14 2" xfId="4666" xr:uid="{00000000-0005-0000-0000-00001F120000}"/>
    <cellStyle name="Calculation 9 2 14 2 2" xfId="4667" xr:uid="{00000000-0005-0000-0000-000020120000}"/>
    <cellStyle name="Calculation 9 2 14 3" xfId="4668" xr:uid="{00000000-0005-0000-0000-000021120000}"/>
    <cellStyle name="Calculation 9 2 15" xfId="4669" xr:uid="{00000000-0005-0000-0000-000022120000}"/>
    <cellStyle name="Calculation 9 2 15 2" xfId="4670" xr:uid="{00000000-0005-0000-0000-000023120000}"/>
    <cellStyle name="Calculation 9 2 15 2 2" xfId="4671" xr:uid="{00000000-0005-0000-0000-000024120000}"/>
    <cellStyle name="Calculation 9 2 15 3" xfId="4672" xr:uid="{00000000-0005-0000-0000-000025120000}"/>
    <cellStyle name="Calculation 9 2 16" xfId="4673" xr:uid="{00000000-0005-0000-0000-000026120000}"/>
    <cellStyle name="Calculation 9 2 16 2" xfId="4674" xr:uid="{00000000-0005-0000-0000-000027120000}"/>
    <cellStyle name="Calculation 9 2 16 2 2" xfId="4675" xr:uid="{00000000-0005-0000-0000-000028120000}"/>
    <cellStyle name="Calculation 9 2 16 3" xfId="4676" xr:uid="{00000000-0005-0000-0000-000029120000}"/>
    <cellStyle name="Calculation 9 2 17" xfId="4677" xr:uid="{00000000-0005-0000-0000-00002A120000}"/>
    <cellStyle name="Calculation 9 2 17 2" xfId="4678" xr:uid="{00000000-0005-0000-0000-00002B120000}"/>
    <cellStyle name="Calculation 9 2 17 2 2" xfId="4679" xr:uid="{00000000-0005-0000-0000-00002C120000}"/>
    <cellStyle name="Calculation 9 2 17 3" xfId="4680" xr:uid="{00000000-0005-0000-0000-00002D120000}"/>
    <cellStyle name="Calculation 9 2 18" xfId="4681" xr:uid="{00000000-0005-0000-0000-00002E120000}"/>
    <cellStyle name="Calculation 9 2 18 2" xfId="4682" xr:uid="{00000000-0005-0000-0000-00002F120000}"/>
    <cellStyle name="Calculation 9 2 19" xfId="4683" xr:uid="{00000000-0005-0000-0000-000030120000}"/>
    <cellStyle name="Calculation 9 2 2" xfId="4684" xr:uid="{00000000-0005-0000-0000-000031120000}"/>
    <cellStyle name="Calculation 9 2 2 2" xfId="4685" xr:uid="{00000000-0005-0000-0000-000032120000}"/>
    <cellStyle name="Calculation 9 2 2 2 2" xfId="4686" xr:uid="{00000000-0005-0000-0000-000033120000}"/>
    <cellStyle name="Calculation 9 2 2 3" xfId="4687" xr:uid="{00000000-0005-0000-0000-000034120000}"/>
    <cellStyle name="Calculation 9 2 3" xfId="4688" xr:uid="{00000000-0005-0000-0000-000035120000}"/>
    <cellStyle name="Calculation 9 2 3 2" xfId="4689" xr:uid="{00000000-0005-0000-0000-000036120000}"/>
    <cellStyle name="Calculation 9 2 3 2 2" xfId="4690" xr:uid="{00000000-0005-0000-0000-000037120000}"/>
    <cellStyle name="Calculation 9 2 3 3" xfId="4691" xr:uid="{00000000-0005-0000-0000-000038120000}"/>
    <cellStyle name="Calculation 9 2 4" xfId="4692" xr:uid="{00000000-0005-0000-0000-000039120000}"/>
    <cellStyle name="Calculation 9 2 4 2" xfId="4693" xr:uid="{00000000-0005-0000-0000-00003A120000}"/>
    <cellStyle name="Calculation 9 2 4 2 2" xfId="4694" xr:uid="{00000000-0005-0000-0000-00003B120000}"/>
    <cellStyle name="Calculation 9 2 4 3" xfId="4695" xr:uid="{00000000-0005-0000-0000-00003C120000}"/>
    <cellStyle name="Calculation 9 2 5" xfId="4696" xr:uid="{00000000-0005-0000-0000-00003D120000}"/>
    <cellStyle name="Calculation 9 2 5 2" xfId="4697" xr:uid="{00000000-0005-0000-0000-00003E120000}"/>
    <cellStyle name="Calculation 9 2 5 2 2" xfId="4698" xr:uid="{00000000-0005-0000-0000-00003F120000}"/>
    <cellStyle name="Calculation 9 2 5 3" xfId="4699" xr:uid="{00000000-0005-0000-0000-000040120000}"/>
    <cellStyle name="Calculation 9 2 6" xfId="4700" xr:uid="{00000000-0005-0000-0000-000041120000}"/>
    <cellStyle name="Calculation 9 2 6 2" xfId="4701" xr:uid="{00000000-0005-0000-0000-000042120000}"/>
    <cellStyle name="Calculation 9 2 6 2 2" xfId="4702" xr:uid="{00000000-0005-0000-0000-000043120000}"/>
    <cellStyle name="Calculation 9 2 6 3" xfId="4703" xr:uid="{00000000-0005-0000-0000-000044120000}"/>
    <cellStyle name="Calculation 9 2 7" xfId="4704" xr:uid="{00000000-0005-0000-0000-000045120000}"/>
    <cellStyle name="Calculation 9 2 7 2" xfId="4705" xr:uid="{00000000-0005-0000-0000-000046120000}"/>
    <cellStyle name="Calculation 9 2 7 2 2" xfId="4706" xr:uid="{00000000-0005-0000-0000-000047120000}"/>
    <cellStyle name="Calculation 9 2 7 3" xfId="4707" xr:uid="{00000000-0005-0000-0000-000048120000}"/>
    <cellStyle name="Calculation 9 2 8" xfId="4708" xr:uid="{00000000-0005-0000-0000-000049120000}"/>
    <cellStyle name="Calculation 9 2 8 2" xfId="4709" xr:uid="{00000000-0005-0000-0000-00004A120000}"/>
    <cellStyle name="Calculation 9 2 8 2 2" xfId="4710" xr:uid="{00000000-0005-0000-0000-00004B120000}"/>
    <cellStyle name="Calculation 9 2 8 3" xfId="4711" xr:uid="{00000000-0005-0000-0000-00004C120000}"/>
    <cellStyle name="Calculation 9 2 9" xfId="4712" xr:uid="{00000000-0005-0000-0000-00004D120000}"/>
    <cellStyle name="Calculation 9 2 9 2" xfId="4713" xr:uid="{00000000-0005-0000-0000-00004E120000}"/>
    <cellStyle name="Calculation 9 2 9 2 2" xfId="4714" xr:uid="{00000000-0005-0000-0000-00004F120000}"/>
    <cellStyle name="Calculation 9 2 9 3" xfId="4715" xr:uid="{00000000-0005-0000-0000-000050120000}"/>
    <cellStyle name="Calculation 9 3" xfId="4716" xr:uid="{00000000-0005-0000-0000-000051120000}"/>
    <cellStyle name="Calculation 9 3 2" xfId="4717" xr:uid="{00000000-0005-0000-0000-000052120000}"/>
    <cellStyle name="Calculation 9 3 2 2" xfId="4718" xr:uid="{00000000-0005-0000-0000-000053120000}"/>
    <cellStyle name="Calculation 9 3 3" xfId="4719" xr:uid="{00000000-0005-0000-0000-000054120000}"/>
    <cellStyle name="Check Cell 10" xfId="4720" xr:uid="{00000000-0005-0000-0000-000055120000}"/>
    <cellStyle name="Check Cell 11" xfId="4721" xr:uid="{00000000-0005-0000-0000-000056120000}"/>
    <cellStyle name="Check Cell 12" xfId="4722" xr:uid="{00000000-0005-0000-0000-000057120000}"/>
    <cellStyle name="Check Cell 13" xfId="4723" xr:uid="{00000000-0005-0000-0000-000058120000}"/>
    <cellStyle name="Check Cell 14" xfId="4724" xr:uid="{00000000-0005-0000-0000-000059120000}"/>
    <cellStyle name="Check Cell 15" xfId="4725" xr:uid="{00000000-0005-0000-0000-00005A120000}"/>
    <cellStyle name="Check Cell 16" xfId="4726" xr:uid="{00000000-0005-0000-0000-00005B120000}"/>
    <cellStyle name="Check Cell 17" xfId="4727" xr:uid="{00000000-0005-0000-0000-00005C120000}"/>
    <cellStyle name="Check Cell 18" xfId="4728" xr:uid="{00000000-0005-0000-0000-00005D120000}"/>
    <cellStyle name="Check Cell 19" xfId="4729" xr:uid="{00000000-0005-0000-0000-00005E120000}"/>
    <cellStyle name="Check Cell 2" xfId="4730" xr:uid="{00000000-0005-0000-0000-00005F120000}"/>
    <cellStyle name="Check Cell 20" xfId="4731" xr:uid="{00000000-0005-0000-0000-000060120000}"/>
    <cellStyle name="Check Cell 21" xfId="4732" xr:uid="{00000000-0005-0000-0000-000061120000}"/>
    <cellStyle name="Check Cell 22" xfId="4733" xr:uid="{00000000-0005-0000-0000-000062120000}"/>
    <cellStyle name="Check Cell 23" xfId="4734" xr:uid="{00000000-0005-0000-0000-000063120000}"/>
    <cellStyle name="Check Cell 24" xfId="4735" xr:uid="{00000000-0005-0000-0000-000064120000}"/>
    <cellStyle name="Check Cell 25" xfId="4736" xr:uid="{00000000-0005-0000-0000-000065120000}"/>
    <cellStyle name="Check Cell 26" xfId="4737" xr:uid="{00000000-0005-0000-0000-000066120000}"/>
    <cellStyle name="Check Cell 27" xfId="4738" xr:uid="{00000000-0005-0000-0000-000067120000}"/>
    <cellStyle name="Check Cell 28" xfId="4739" xr:uid="{00000000-0005-0000-0000-000068120000}"/>
    <cellStyle name="Check Cell 29" xfId="4740" xr:uid="{00000000-0005-0000-0000-000069120000}"/>
    <cellStyle name="Check Cell 3" xfId="4741" xr:uid="{00000000-0005-0000-0000-00006A120000}"/>
    <cellStyle name="Check Cell 30" xfId="4742" xr:uid="{00000000-0005-0000-0000-00006B120000}"/>
    <cellStyle name="Check Cell 31" xfId="4743" xr:uid="{00000000-0005-0000-0000-00006C120000}"/>
    <cellStyle name="Check Cell 32" xfId="4744" xr:uid="{00000000-0005-0000-0000-00006D120000}"/>
    <cellStyle name="Check Cell 33" xfId="4745" xr:uid="{00000000-0005-0000-0000-00006E120000}"/>
    <cellStyle name="Check Cell 34" xfId="4746" xr:uid="{00000000-0005-0000-0000-00006F120000}"/>
    <cellStyle name="Check Cell 35" xfId="4747" xr:uid="{00000000-0005-0000-0000-000070120000}"/>
    <cellStyle name="Check Cell 36" xfId="4748" xr:uid="{00000000-0005-0000-0000-000071120000}"/>
    <cellStyle name="Check Cell 37" xfId="4749" xr:uid="{00000000-0005-0000-0000-000072120000}"/>
    <cellStyle name="Check Cell 38" xfId="4750" xr:uid="{00000000-0005-0000-0000-000073120000}"/>
    <cellStyle name="Check Cell 39" xfId="4751" xr:uid="{00000000-0005-0000-0000-000074120000}"/>
    <cellStyle name="Check Cell 4" xfId="4752" xr:uid="{00000000-0005-0000-0000-000075120000}"/>
    <cellStyle name="Check Cell 40" xfId="4753" xr:uid="{00000000-0005-0000-0000-000076120000}"/>
    <cellStyle name="Check Cell 41" xfId="4754" xr:uid="{00000000-0005-0000-0000-000077120000}"/>
    <cellStyle name="Check Cell 42" xfId="4755" xr:uid="{00000000-0005-0000-0000-000078120000}"/>
    <cellStyle name="Check Cell 43" xfId="4756" xr:uid="{00000000-0005-0000-0000-000079120000}"/>
    <cellStyle name="Check Cell 44" xfId="4757" xr:uid="{00000000-0005-0000-0000-00007A120000}"/>
    <cellStyle name="Check Cell 45" xfId="4758" xr:uid="{00000000-0005-0000-0000-00007B120000}"/>
    <cellStyle name="Check Cell 46" xfId="4759" xr:uid="{00000000-0005-0000-0000-00007C120000}"/>
    <cellStyle name="Check Cell 47" xfId="4760" xr:uid="{00000000-0005-0000-0000-00007D120000}"/>
    <cellStyle name="Check Cell 48" xfId="4761" xr:uid="{00000000-0005-0000-0000-00007E120000}"/>
    <cellStyle name="Check Cell 49" xfId="4762" xr:uid="{00000000-0005-0000-0000-00007F120000}"/>
    <cellStyle name="Check Cell 5" xfId="4763" xr:uid="{00000000-0005-0000-0000-000080120000}"/>
    <cellStyle name="Check Cell 6" xfId="4764" xr:uid="{00000000-0005-0000-0000-000081120000}"/>
    <cellStyle name="Check Cell 7" xfId="4765" xr:uid="{00000000-0005-0000-0000-000082120000}"/>
    <cellStyle name="Check Cell 8" xfId="4766" xr:uid="{00000000-0005-0000-0000-000083120000}"/>
    <cellStyle name="Check Cell 9" xfId="4767" xr:uid="{00000000-0005-0000-0000-000084120000}"/>
    <cellStyle name="Comma" xfId="1" builtinId="3"/>
    <cellStyle name="Comma [0] 2" xfId="4768" xr:uid="{00000000-0005-0000-0000-000086120000}"/>
    <cellStyle name="Comma 10" xfId="4769" xr:uid="{00000000-0005-0000-0000-000087120000}"/>
    <cellStyle name="Comma 10 10" xfId="4770" xr:uid="{00000000-0005-0000-0000-000088120000}"/>
    <cellStyle name="Comma 10 11" xfId="4771" xr:uid="{00000000-0005-0000-0000-000089120000}"/>
    <cellStyle name="Comma 10 12" xfId="4772" xr:uid="{00000000-0005-0000-0000-00008A120000}"/>
    <cellStyle name="Comma 10 13" xfId="4773" xr:uid="{00000000-0005-0000-0000-00008B120000}"/>
    <cellStyle name="Comma 10 14" xfId="4774" xr:uid="{00000000-0005-0000-0000-00008C120000}"/>
    <cellStyle name="Comma 10 15" xfId="4775" xr:uid="{00000000-0005-0000-0000-00008D120000}"/>
    <cellStyle name="Comma 10 16" xfId="4776" xr:uid="{00000000-0005-0000-0000-00008E120000}"/>
    <cellStyle name="Comma 10 17" xfId="4777" xr:uid="{00000000-0005-0000-0000-00008F120000}"/>
    <cellStyle name="Comma 10 18" xfId="4778" xr:uid="{00000000-0005-0000-0000-000090120000}"/>
    <cellStyle name="Comma 10 19" xfId="4779" xr:uid="{00000000-0005-0000-0000-000091120000}"/>
    <cellStyle name="Comma 10 2" xfId="4780" xr:uid="{00000000-0005-0000-0000-000092120000}"/>
    <cellStyle name="Comma 10 2 2" xfId="4781" xr:uid="{00000000-0005-0000-0000-000093120000}"/>
    <cellStyle name="Comma 10 20" xfId="4782" xr:uid="{00000000-0005-0000-0000-000094120000}"/>
    <cellStyle name="Comma 10 21" xfId="4783" xr:uid="{00000000-0005-0000-0000-000095120000}"/>
    <cellStyle name="Comma 10 22" xfId="4784" xr:uid="{00000000-0005-0000-0000-000096120000}"/>
    <cellStyle name="Comma 10 3" xfId="4785" xr:uid="{00000000-0005-0000-0000-000097120000}"/>
    <cellStyle name="Comma 10 4" xfId="4786" xr:uid="{00000000-0005-0000-0000-000098120000}"/>
    <cellStyle name="Comma 10 5" xfId="4787" xr:uid="{00000000-0005-0000-0000-000099120000}"/>
    <cellStyle name="Comma 10 6" xfId="4788" xr:uid="{00000000-0005-0000-0000-00009A120000}"/>
    <cellStyle name="Comma 10 7" xfId="4789" xr:uid="{00000000-0005-0000-0000-00009B120000}"/>
    <cellStyle name="Comma 10 8" xfId="4790" xr:uid="{00000000-0005-0000-0000-00009C120000}"/>
    <cellStyle name="Comma 10 9" xfId="4791" xr:uid="{00000000-0005-0000-0000-00009D120000}"/>
    <cellStyle name="Comma 100" xfId="4792" xr:uid="{00000000-0005-0000-0000-00009E120000}"/>
    <cellStyle name="Comma 101" xfId="4793" xr:uid="{00000000-0005-0000-0000-00009F120000}"/>
    <cellStyle name="Comma 102" xfId="4794" xr:uid="{00000000-0005-0000-0000-0000A0120000}"/>
    <cellStyle name="Comma 103" xfId="4795" xr:uid="{00000000-0005-0000-0000-0000A1120000}"/>
    <cellStyle name="Comma 104" xfId="4796" xr:uid="{00000000-0005-0000-0000-0000A2120000}"/>
    <cellStyle name="Comma 105" xfId="4797" xr:uid="{00000000-0005-0000-0000-0000A3120000}"/>
    <cellStyle name="Comma 106" xfId="4798" xr:uid="{00000000-0005-0000-0000-0000A4120000}"/>
    <cellStyle name="Comma 106 2" xfId="4799" xr:uid="{00000000-0005-0000-0000-0000A5120000}"/>
    <cellStyle name="Comma 106 3" xfId="4800" xr:uid="{00000000-0005-0000-0000-0000A6120000}"/>
    <cellStyle name="Comma 106 4" xfId="4801" xr:uid="{00000000-0005-0000-0000-0000A7120000}"/>
    <cellStyle name="Comma 106 5" xfId="4802" xr:uid="{00000000-0005-0000-0000-0000A8120000}"/>
    <cellStyle name="Comma 106 6" xfId="4803" xr:uid="{00000000-0005-0000-0000-0000A9120000}"/>
    <cellStyle name="Comma 106 7" xfId="4804" xr:uid="{00000000-0005-0000-0000-0000AA120000}"/>
    <cellStyle name="Comma 106 8" xfId="4805" xr:uid="{00000000-0005-0000-0000-0000AB120000}"/>
    <cellStyle name="Comma 107" xfId="4806" xr:uid="{00000000-0005-0000-0000-0000AC120000}"/>
    <cellStyle name="Comma 107 2" xfId="4807" xr:uid="{00000000-0005-0000-0000-0000AD120000}"/>
    <cellStyle name="Comma 108" xfId="4808" xr:uid="{00000000-0005-0000-0000-0000AE120000}"/>
    <cellStyle name="Comma 108 2" xfId="4809" xr:uid="{00000000-0005-0000-0000-0000AF120000}"/>
    <cellStyle name="Comma 109" xfId="4810" xr:uid="{00000000-0005-0000-0000-0000B0120000}"/>
    <cellStyle name="Comma 11" xfId="4811" xr:uid="{00000000-0005-0000-0000-0000B1120000}"/>
    <cellStyle name="Comma 11 10" xfId="4812" xr:uid="{00000000-0005-0000-0000-0000B2120000}"/>
    <cellStyle name="Comma 11 11" xfId="4813" xr:uid="{00000000-0005-0000-0000-0000B3120000}"/>
    <cellStyle name="Comma 11 12" xfId="4814" xr:uid="{00000000-0005-0000-0000-0000B4120000}"/>
    <cellStyle name="Comma 11 13" xfId="4815" xr:uid="{00000000-0005-0000-0000-0000B5120000}"/>
    <cellStyle name="Comma 11 14" xfId="4816" xr:uid="{00000000-0005-0000-0000-0000B6120000}"/>
    <cellStyle name="Comma 11 15" xfId="4817" xr:uid="{00000000-0005-0000-0000-0000B7120000}"/>
    <cellStyle name="Comma 11 16" xfId="4818" xr:uid="{00000000-0005-0000-0000-0000B8120000}"/>
    <cellStyle name="Comma 11 17" xfId="4819" xr:uid="{00000000-0005-0000-0000-0000B9120000}"/>
    <cellStyle name="Comma 11 18" xfId="4820" xr:uid="{00000000-0005-0000-0000-0000BA120000}"/>
    <cellStyle name="Comma 11 19" xfId="4821" xr:uid="{00000000-0005-0000-0000-0000BB120000}"/>
    <cellStyle name="Comma 11 2" xfId="4822" xr:uid="{00000000-0005-0000-0000-0000BC120000}"/>
    <cellStyle name="Comma 11 2 2" xfId="4823" xr:uid="{00000000-0005-0000-0000-0000BD120000}"/>
    <cellStyle name="Comma 11 2 2 2" xfId="4824" xr:uid="{00000000-0005-0000-0000-0000BE120000}"/>
    <cellStyle name="Comma 11 2 2 2 2" xfId="4825" xr:uid="{00000000-0005-0000-0000-0000BF120000}"/>
    <cellStyle name="Comma 11 2 2 2 2 2" xfId="4826" xr:uid="{00000000-0005-0000-0000-0000C0120000}"/>
    <cellStyle name="Comma 11 2 2 2 3" xfId="4827" xr:uid="{00000000-0005-0000-0000-0000C1120000}"/>
    <cellStyle name="Comma 11 2 2 2 3 2" xfId="4828" xr:uid="{00000000-0005-0000-0000-0000C2120000}"/>
    <cellStyle name="Comma 11 2 2 2 4" xfId="4829" xr:uid="{00000000-0005-0000-0000-0000C3120000}"/>
    <cellStyle name="Comma 11 2 2 3" xfId="4830" xr:uid="{00000000-0005-0000-0000-0000C4120000}"/>
    <cellStyle name="Comma 11 2 2 3 2" xfId="4831" xr:uid="{00000000-0005-0000-0000-0000C5120000}"/>
    <cellStyle name="Comma 11 2 2 3 2 2" xfId="4832" xr:uid="{00000000-0005-0000-0000-0000C6120000}"/>
    <cellStyle name="Comma 11 2 2 4" xfId="4833" xr:uid="{00000000-0005-0000-0000-0000C7120000}"/>
    <cellStyle name="Comma 11 2 2 4 2" xfId="4834" xr:uid="{00000000-0005-0000-0000-0000C8120000}"/>
    <cellStyle name="Comma 11 2 2 4 2 2" xfId="4835" xr:uid="{00000000-0005-0000-0000-0000C9120000}"/>
    <cellStyle name="Comma 11 2 2 5" xfId="4836" xr:uid="{00000000-0005-0000-0000-0000CA120000}"/>
    <cellStyle name="Comma 11 2 2 5 2" xfId="4837" xr:uid="{00000000-0005-0000-0000-0000CB120000}"/>
    <cellStyle name="Comma 11 2 3" xfId="4838" xr:uid="{00000000-0005-0000-0000-0000CC120000}"/>
    <cellStyle name="Comma 11 2 3 2" xfId="4839" xr:uid="{00000000-0005-0000-0000-0000CD120000}"/>
    <cellStyle name="Comma 11 2 3 2 2" xfId="4840" xr:uid="{00000000-0005-0000-0000-0000CE120000}"/>
    <cellStyle name="Comma 11 2 3 3" xfId="4841" xr:uid="{00000000-0005-0000-0000-0000CF120000}"/>
    <cellStyle name="Comma 11 2 3 3 2" xfId="4842" xr:uid="{00000000-0005-0000-0000-0000D0120000}"/>
    <cellStyle name="Comma 11 2 3 4" xfId="4843" xr:uid="{00000000-0005-0000-0000-0000D1120000}"/>
    <cellStyle name="Comma 11 2 4" xfId="4844" xr:uid="{00000000-0005-0000-0000-0000D2120000}"/>
    <cellStyle name="Comma 11 2 4 2" xfId="4845" xr:uid="{00000000-0005-0000-0000-0000D3120000}"/>
    <cellStyle name="Comma 11 2 4 2 2" xfId="4846" xr:uid="{00000000-0005-0000-0000-0000D4120000}"/>
    <cellStyle name="Comma 11 2 4 3" xfId="4847" xr:uid="{00000000-0005-0000-0000-0000D5120000}"/>
    <cellStyle name="Comma 11 2 4 3 2" xfId="4848" xr:uid="{00000000-0005-0000-0000-0000D6120000}"/>
    <cellStyle name="Comma 11 2 4 4" xfId="4849" xr:uid="{00000000-0005-0000-0000-0000D7120000}"/>
    <cellStyle name="Comma 11 2 5" xfId="4850" xr:uid="{00000000-0005-0000-0000-0000D8120000}"/>
    <cellStyle name="Comma 11 2 5 2" xfId="4851" xr:uid="{00000000-0005-0000-0000-0000D9120000}"/>
    <cellStyle name="Comma 11 2 5 3" xfId="4852" xr:uid="{00000000-0005-0000-0000-0000DA120000}"/>
    <cellStyle name="Comma 11 2 6" xfId="4853" xr:uid="{00000000-0005-0000-0000-0000DB120000}"/>
    <cellStyle name="Comma 11 2 6 2" xfId="4854" xr:uid="{00000000-0005-0000-0000-0000DC120000}"/>
    <cellStyle name="Comma 11 2 6 2 2" xfId="4855" xr:uid="{00000000-0005-0000-0000-0000DD120000}"/>
    <cellStyle name="Comma 11 2 7" xfId="4856" xr:uid="{00000000-0005-0000-0000-0000DE120000}"/>
    <cellStyle name="Comma 11 2 7 2" xfId="4857" xr:uid="{00000000-0005-0000-0000-0000DF120000}"/>
    <cellStyle name="Comma 11 2 8" xfId="4858" xr:uid="{00000000-0005-0000-0000-0000E0120000}"/>
    <cellStyle name="Comma 11 2 9" xfId="4859" xr:uid="{00000000-0005-0000-0000-0000E1120000}"/>
    <cellStyle name="Comma 11 20" xfId="4860" xr:uid="{00000000-0005-0000-0000-0000E2120000}"/>
    <cellStyle name="Comma 11 21" xfId="4861" xr:uid="{00000000-0005-0000-0000-0000E3120000}"/>
    <cellStyle name="Comma 11 22" xfId="4862" xr:uid="{00000000-0005-0000-0000-0000E4120000}"/>
    <cellStyle name="Comma 11 23" xfId="4863" xr:uid="{00000000-0005-0000-0000-0000E5120000}"/>
    <cellStyle name="Comma 11 23 2" xfId="4864" xr:uid="{00000000-0005-0000-0000-0000E6120000}"/>
    <cellStyle name="Comma 11 24" xfId="4865" xr:uid="{00000000-0005-0000-0000-0000E7120000}"/>
    <cellStyle name="Comma 11 24 2" xfId="4866" xr:uid="{00000000-0005-0000-0000-0000E8120000}"/>
    <cellStyle name="Comma 11 25" xfId="4867" xr:uid="{00000000-0005-0000-0000-0000E9120000}"/>
    <cellStyle name="Comma 11 25 2" xfId="4868" xr:uid="{00000000-0005-0000-0000-0000EA120000}"/>
    <cellStyle name="Comma 11 26" xfId="4869" xr:uid="{00000000-0005-0000-0000-0000EB120000}"/>
    <cellStyle name="Comma 11 27" xfId="4870" xr:uid="{00000000-0005-0000-0000-0000EC120000}"/>
    <cellStyle name="Comma 11 3" xfId="4871" xr:uid="{00000000-0005-0000-0000-0000ED120000}"/>
    <cellStyle name="Comma 11 3 2" xfId="4872" xr:uid="{00000000-0005-0000-0000-0000EE120000}"/>
    <cellStyle name="Comma 11 3 2 2" xfId="4873" xr:uid="{00000000-0005-0000-0000-0000EF120000}"/>
    <cellStyle name="Comma 11 3 2 2 2" xfId="4874" xr:uid="{00000000-0005-0000-0000-0000F0120000}"/>
    <cellStyle name="Comma 11 3 2 3" xfId="4875" xr:uid="{00000000-0005-0000-0000-0000F1120000}"/>
    <cellStyle name="Comma 11 3 2 3 2" xfId="4876" xr:uid="{00000000-0005-0000-0000-0000F2120000}"/>
    <cellStyle name="Comma 11 3 2 4" xfId="4877" xr:uid="{00000000-0005-0000-0000-0000F3120000}"/>
    <cellStyle name="Comma 11 3 3" xfId="4878" xr:uid="{00000000-0005-0000-0000-0000F4120000}"/>
    <cellStyle name="Comma 11 3 3 2" xfId="4879" xr:uid="{00000000-0005-0000-0000-0000F5120000}"/>
    <cellStyle name="Comma 11 3 3 3" xfId="4880" xr:uid="{00000000-0005-0000-0000-0000F6120000}"/>
    <cellStyle name="Comma 11 3 4" xfId="4881" xr:uid="{00000000-0005-0000-0000-0000F7120000}"/>
    <cellStyle name="Comma 11 3 4 2" xfId="4882" xr:uid="{00000000-0005-0000-0000-0000F8120000}"/>
    <cellStyle name="Comma 11 3 4 2 2" xfId="4883" xr:uid="{00000000-0005-0000-0000-0000F9120000}"/>
    <cellStyle name="Comma 11 3 5" xfId="4884" xr:uid="{00000000-0005-0000-0000-0000FA120000}"/>
    <cellStyle name="Comma 11 3 5 2" xfId="4885" xr:uid="{00000000-0005-0000-0000-0000FB120000}"/>
    <cellStyle name="Comma 11 3 6" xfId="4886" xr:uid="{00000000-0005-0000-0000-0000FC120000}"/>
    <cellStyle name="Comma 11 3 7" xfId="4887" xr:uid="{00000000-0005-0000-0000-0000FD120000}"/>
    <cellStyle name="Comma 11 4" xfId="4888" xr:uid="{00000000-0005-0000-0000-0000FE120000}"/>
    <cellStyle name="Comma 11 4 2" xfId="4889" xr:uid="{00000000-0005-0000-0000-0000FF120000}"/>
    <cellStyle name="Comma 11 4 2 2" xfId="4890" xr:uid="{00000000-0005-0000-0000-000000130000}"/>
    <cellStyle name="Comma 11 4 3" xfId="4891" xr:uid="{00000000-0005-0000-0000-000001130000}"/>
    <cellStyle name="Comma 11 4 3 2" xfId="4892" xr:uid="{00000000-0005-0000-0000-000002130000}"/>
    <cellStyle name="Comma 11 4 4" xfId="4893" xr:uid="{00000000-0005-0000-0000-000003130000}"/>
    <cellStyle name="Comma 11 4 4 2" xfId="4894" xr:uid="{00000000-0005-0000-0000-000004130000}"/>
    <cellStyle name="Comma 11 4 5" xfId="4895" xr:uid="{00000000-0005-0000-0000-000005130000}"/>
    <cellStyle name="Comma 11 4 6" xfId="4896" xr:uid="{00000000-0005-0000-0000-000006130000}"/>
    <cellStyle name="Comma 11 5" xfId="4897" xr:uid="{00000000-0005-0000-0000-000007130000}"/>
    <cellStyle name="Comma 11 5 2" xfId="4898" xr:uid="{00000000-0005-0000-0000-000008130000}"/>
    <cellStyle name="Comma 11 5 2 2" xfId="4899" xr:uid="{00000000-0005-0000-0000-000009130000}"/>
    <cellStyle name="Comma 11 5 3" xfId="4900" xr:uid="{00000000-0005-0000-0000-00000A130000}"/>
    <cellStyle name="Comma 11 5 3 2" xfId="4901" xr:uid="{00000000-0005-0000-0000-00000B130000}"/>
    <cellStyle name="Comma 11 5 4" xfId="4902" xr:uid="{00000000-0005-0000-0000-00000C130000}"/>
    <cellStyle name="Comma 11 5 4 2" xfId="4903" xr:uid="{00000000-0005-0000-0000-00000D130000}"/>
    <cellStyle name="Comma 11 5 5" xfId="4904" xr:uid="{00000000-0005-0000-0000-00000E130000}"/>
    <cellStyle name="Comma 11 5 6" xfId="4905" xr:uid="{00000000-0005-0000-0000-00000F130000}"/>
    <cellStyle name="Comma 11 6" xfId="4906" xr:uid="{00000000-0005-0000-0000-000010130000}"/>
    <cellStyle name="Comma 11 6 2" xfId="4907" xr:uid="{00000000-0005-0000-0000-000011130000}"/>
    <cellStyle name="Comma 11 6 3" xfId="4908" xr:uid="{00000000-0005-0000-0000-000012130000}"/>
    <cellStyle name="Comma 11 7" xfId="4909" xr:uid="{00000000-0005-0000-0000-000013130000}"/>
    <cellStyle name="Comma 11 7 2" xfId="4910" xr:uid="{00000000-0005-0000-0000-000014130000}"/>
    <cellStyle name="Comma 11 7 3" xfId="4911" xr:uid="{00000000-0005-0000-0000-000015130000}"/>
    <cellStyle name="Comma 11 8" xfId="4912" xr:uid="{00000000-0005-0000-0000-000016130000}"/>
    <cellStyle name="Comma 11 8 2" xfId="4913" xr:uid="{00000000-0005-0000-0000-000017130000}"/>
    <cellStyle name="Comma 11 9" xfId="4914" xr:uid="{00000000-0005-0000-0000-000018130000}"/>
    <cellStyle name="Comma 110" xfId="4915" xr:uid="{00000000-0005-0000-0000-000019130000}"/>
    <cellStyle name="Comma 110 2" xfId="4916" xr:uid="{00000000-0005-0000-0000-00001A130000}"/>
    <cellStyle name="Comma 110 3" xfId="4917" xr:uid="{00000000-0005-0000-0000-00001B130000}"/>
    <cellStyle name="Comma 111" xfId="4918" xr:uid="{00000000-0005-0000-0000-00001C130000}"/>
    <cellStyle name="Comma 111 2" xfId="4919" xr:uid="{00000000-0005-0000-0000-00001D130000}"/>
    <cellStyle name="Comma 111 3" xfId="4920" xr:uid="{00000000-0005-0000-0000-00001E130000}"/>
    <cellStyle name="Comma 112" xfId="4921" xr:uid="{00000000-0005-0000-0000-00001F130000}"/>
    <cellStyle name="Comma 112 2" xfId="4922" xr:uid="{00000000-0005-0000-0000-000020130000}"/>
    <cellStyle name="Comma 112 3" xfId="4923" xr:uid="{00000000-0005-0000-0000-000021130000}"/>
    <cellStyle name="Comma 113" xfId="4924" xr:uid="{00000000-0005-0000-0000-000022130000}"/>
    <cellStyle name="Comma 113 2" xfId="4925" xr:uid="{00000000-0005-0000-0000-000023130000}"/>
    <cellStyle name="Comma 113 3" xfId="4926" xr:uid="{00000000-0005-0000-0000-000024130000}"/>
    <cellStyle name="Comma 114" xfId="4927" xr:uid="{00000000-0005-0000-0000-000025130000}"/>
    <cellStyle name="Comma 114 2" xfId="4928" xr:uid="{00000000-0005-0000-0000-000026130000}"/>
    <cellStyle name="Comma 114 3" xfId="4929" xr:uid="{00000000-0005-0000-0000-000027130000}"/>
    <cellStyle name="Comma 115" xfId="4930" xr:uid="{00000000-0005-0000-0000-000028130000}"/>
    <cellStyle name="Comma 115 2" xfId="4931" xr:uid="{00000000-0005-0000-0000-000029130000}"/>
    <cellStyle name="Comma 115 3" xfId="4932" xr:uid="{00000000-0005-0000-0000-00002A130000}"/>
    <cellStyle name="Comma 116" xfId="4933" xr:uid="{00000000-0005-0000-0000-00002B130000}"/>
    <cellStyle name="Comma 117" xfId="4934" xr:uid="{00000000-0005-0000-0000-00002C130000}"/>
    <cellStyle name="Comma 118" xfId="4935" xr:uid="{00000000-0005-0000-0000-00002D130000}"/>
    <cellStyle name="Comma 118 2" xfId="4936" xr:uid="{00000000-0005-0000-0000-00002E130000}"/>
    <cellStyle name="Comma 119" xfId="4937" xr:uid="{00000000-0005-0000-0000-00002F130000}"/>
    <cellStyle name="Comma 12" xfId="4938" xr:uid="{00000000-0005-0000-0000-000030130000}"/>
    <cellStyle name="Comma 12 10" xfId="4939" xr:uid="{00000000-0005-0000-0000-000031130000}"/>
    <cellStyle name="Comma 12 11" xfId="4940" xr:uid="{00000000-0005-0000-0000-000032130000}"/>
    <cellStyle name="Comma 12 12" xfId="4941" xr:uid="{00000000-0005-0000-0000-000033130000}"/>
    <cellStyle name="Comma 12 13" xfId="4942" xr:uid="{00000000-0005-0000-0000-000034130000}"/>
    <cellStyle name="Comma 12 14" xfId="4943" xr:uid="{00000000-0005-0000-0000-000035130000}"/>
    <cellStyle name="Comma 12 15" xfId="4944" xr:uid="{00000000-0005-0000-0000-000036130000}"/>
    <cellStyle name="Comma 12 16" xfId="4945" xr:uid="{00000000-0005-0000-0000-000037130000}"/>
    <cellStyle name="Comma 12 17" xfId="4946" xr:uid="{00000000-0005-0000-0000-000038130000}"/>
    <cellStyle name="Comma 12 18" xfId="4947" xr:uid="{00000000-0005-0000-0000-000039130000}"/>
    <cellStyle name="Comma 12 19" xfId="4948" xr:uid="{00000000-0005-0000-0000-00003A130000}"/>
    <cellStyle name="Comma 12 2" xfId="4949" xr:uid="{00000000-0005-0000-0000-00003B130000}"/>
    <cellStyle name="Comma 12 2 2" xfId="4950" xr:uid="{00000000-0005-0000-0000-00003C130000}"/>
    <cellStyle name="Comma 12 2 2 2" xfId="4951" xr:uid="{00000000-0005-0000-0000-00003D130000}"/>
    <cellStyle name="Comma 12 2 3" xfId="4952" xr:uid="{00000000-0005-0000-0000-00003E130000}"/>
    <cellStyle name="Comma 12 2 3 2" xfId="4953" xr:uid="{00000000-0005-0000-0000-00003F130000}"/>
    <cellStyle name="Comma 12 2 4" xfId="4954" xr:uid="{00000000-0005-0000-0000-000040130000}"/>
    <cellStyle name="Comma 12 2 4 2" xfId="4955" xr:uid="{00000000-0005-0000-0000-000041130000}"/>
    <cellStyle name="Comma 12 2 5" xfId="4956" xr:uid="{00000000-0005-0000-0000-000042130000}"/>
    <cellStyle name="Comma 12 2 6" xfId="4957" xr:uid="{00000000-0005-0000-0000-000043130000}"/>
    <cellStyle name="Comma 12 20" xfId="4958" xr:uid="{00000000-0005-0000-0000-000044130000}"/>
    <cellStyle name="Comma 12 21" xfId="4959" xr:uid="{00000000-0005-0000-0000-000045130000}"/>
    <cellStyle name="Comma 12 22" xfId="4960" xr:uid="{00000000-0005-0000-0000-000046130000}"/>
    <cellStyle name="Comma 12 23" xfId="4961" xr:uid="{00000000-0005-0000-0000-000047130000}"/>
    <cellStyle name="Comma 12 24" xfId="4962" xr:uid="{00000000-0005-0000-0000-000048130000}"/>
    <cellStyle name="Comma 12 24 2" xfId="4963" xr:uid="{00000000-0005-0000-0000-000049130000}"/>
    <cellStyle name="Comma 12 25" xfId="4964" xr:uid="{00000000-0005-0000-0000-00004A130000}"/>
    <cellStyle name="Comma 12 25 2" xfId="4965" xr:uid="{00000000-0005-0000-0000-00004B130000}"/>
    <cellStyle name="Comma 12 26" xfId="4966" xr:uid="{00000000-0005-0000-0000-00004C130000}"/>
    <cellStyle name="Comma 12 27" xfId="4967" xr:uid="{00000000-0005-0000-0000-00004D130000}"/>
    <cellStyle name="Comma 12 3" xfId="4968" xr:uid="{00000000-0005-0000-0000-00004E130000}"/>
    <cellStyle name="Comma 12 3 2" xfId="4969" xr:uid="{00000000-0005-0000-0000-00004F130000}"/>
    <cellStyle name="Comma 12 3 3" xfId="4970" xr:uid="{00000000-0005-0000-0000-000050130000}"/>
    <cellStyle name="Comma 12 4" xfId="4971" xr:uid="{00000000-0005-0000-0000-000051130000}"/>
    <cellStyle name="Comma 12 4 2" xfId="4972" xr:uid="{00000000-0005-0000-0000-000052130000}"/>
    <cellStyle name="Comma 12 4 3" xfId="4973" xr:uid="{00000000-0005-0000-0000-000053130000}"/>
    <cellStyle name="Comma 12 5" xfId="4974" xr:uid="{00000000-0005-0000-0000-000054130000}"/>
    <cellStyle name="Comma 12 5 2" xfId="4975" xr:uid="{00000000-0005-0000-0000-000055130000}"/>
    <cellStyle name="Comma 12 5 3" xfId="4976" xr:uid="{00000000-0005-0000-0000-000056130000}"/>
    <cellStyle name="Comma 12 6" xfId="4977" xr:uid="{00000000-0005-0000-0000-000057130000}"/>
    <cellStyle name="Comma 12 6 2" xfId="4978" xr:uid="{00000000-0005-0000-0000-000058130000}"/>
    <cellStyle name="Comma 12 6 2 2" xfId="4979" xr:uid="{00000000-0005-0000-0000-000059130000}"/>
    <cellStyle name="Comma 12 6 2 3" xfId="4980" xr:uid="{00000000-0005-0000-0000-00005A130000}"/>
    <cellStyle name="Comma 12 7" xfId="4981" xr:uid="{00000000-0005-0000-0000-00005B130000}"/>
    <cellStyle name="Comma 12 8" xfId="4982" xr:uid="{00000000-0005-0000-0000-00005C130000}"/>
    <cellStyle name="Comma 12 9" xfId="4983" xr:uid="{00000000-0005-0000-0000-00005D130000}"/>
    <cellStyle name="Comma 120" xfId="4984" xr:uid="{00000000-0005-0000-0000-00005E130000}"/>
    <cellStyle name="Comma 120 2" xfId="4985" xr:uid="{00000000-0005-0000-0000-00005F130000}"/>
    <cellStyle name="Comma 121" xfId="4986" xr:uid="{00000000-0005-0000-0000-000060130000}"/>
    <cellStyle name="Comma 121 2" xfId="4987" xr:uid="{00000000-0005-0000-0000-000061130000}"/>
    <cellStyle name="Comma 122" xfId="4988" xr:uid="{00000000-0005-0000-0000-000062130000}"/>
    <cellStyle name="Comma 123" xfId="4989" xr:uid="{00000000-0005-0000-0000-000063130000}"/>
    <cellStyle name="Comma 124" xfId="4990" xr:uid="{00000000-0005-0000-0000-000064130000}"/>
    <cellStyle name="Comma 125" xfId="4991" xr:uid="{00000000-0005-0000-0000-000065130000}"/>
    <cellStyle name="Comma 126" xfId="4992" xr:uid="{00000000-0005-0000-0000-000066130000}"/>
    <cellStyle name="Comma 126 2" xfId="4993" xr:uid="{00000000-0005-0000-0000-000067130000}"/>
    <cellStyle name="Comma 127" xfId="4994" xr:uid="{00000000-0005-0000-0000-000068130000}"/>
    <cellStyle name="Comma 128" xfId="4995" xr:uid="{00000000-0005-0000-0000-000069130000}"/>
    <cellStyle name="Comma 129" xfId="4996" xr:uid="{00000000-0005-0000-0000-00006A130000}"/>
    <cellStyle name="Comma 13" xfId="4997" xr:uid="{00000000-0005-0000-0000-00006B130000}"/>
    <cellStyle name="Comma 13 10" xfId="4998" xr:uid="{00000000-0005-0000-0000-00006C130000}"/>
    <cellStyle name="Comma 13 11" xfId="4999" xr:uid="{00000000-0005-0000-0000-00006D130000}"/>
    <cellStyle name="Comma 13 12" xfId="5000" xr:uid="{00000000-0005-0000-0000-00006E130000}"/>
    <cellStyle name="Comma 13 13" xfId="5001" xr:uid="{00000000-0005-0000-0000-00006F130000}"/>
    <cellStyle name="Comma 13 14" xfId="5002" xr:uid="{00000000-0005-0000-0000-000070130000}"/>
    <cellStyle name="Comma 13 15" xfId="5003" xr:uid="{00000000-0005-0000-0000-000071130000}"/>
    <cellStyle name="Comma 13 16" xfId="5004" xr:uid="{00000000-0005-0000-0000-000072130000}"/>
    <cellStyle name="Comma 13 17" xfId="5005" xr:uid="{00000000-0005-0000-0000-000073130000}"/>
    <cellStyle name="Comma 13 18" xfId="5006" xr:uid="{00000000-0005-0000-0000-000074130000}"/>
    <cellStyle name="Comma 13 19" xfId="5007" xr:uid="{00000000-0005-0000-0000-000075130000}"/>
    <cellStyle name="Comma 13 2" xfId="5008" xr:uid="{00000000-0005-0000-0000-000076130000}"/>
    <cellStyle name="Comma 13 20" xfId="5009" xr:uid="{00000000-0005-0000-0000-000077130000}"/>
    <cellStyle name="Comma 13 21" xfId="5010" xr:uid="{00000000-0005-0000-0000-000078130000}"/>
    <cellStyle name="Comma 13 22" xfId="5011" xr:uid="{00000000-0005-0000-0000-000079130000}"/>
    <cellStyle name="Comma 13 3" xfId="5012" xr:uid="{00000000-0005-0000-0000-00007A130000}"/>
    <cellStyle name="Comma 13 4" xfId="5013" xr:uid="{00000000-0005-0000-0000-00007B130000}"/>
    <cellStyle name="Comma 13 5" xfId="5014" xr:uid="{00000000-0005-0000-0000-00007C130000}"/>
    <cellStyle name="Comma 13 6" xfId="5015" xr:uid="{00000000-0005-0000-0000-00007D130000}"/>
    <cellStyle name="Comma 13 7" xfId="5016" xr:uid="{00000000-0005-0000-0000-00007E130000}"/>
    <cellStyle name="Comma 13 8" xfId="5017" xr:uid="{00000000-0005-0000-0000-00007F130000}"/>
    <cellStyle name="Comma 13 9" xfId="5018" xr:uid="{00000000-0005-0000-0000-000080130000}"/>
    <cellStyle name="Comma 130" xfId="5019" xr:uid="{00000000-0005-0000-0000-000081130000}"/>
    <cellStyle name="Comma 131" xfId="5020" xr:uid="{00000000-0005-0000-0000-000082130000}"/>
    <cellStyle name="Comma 132" xfId="5021" xr:uid="{00000000-0005-0000-0000-000083130000}"/>
    <cellStyle name="Comma 132 2" xfId="5022" xr:uid="{00000000-0005-0000-0000-000084130000}"/>
    <cellStyle name="Comma 133" xfId="5023" xr:uid="{00000000-0005-0000-0000-000085130000}"/>
    <cellStyle name="Comma 133 2" xfId="5024" xr:uid="{00000000-0005-0000-0000-000086130000}"/>
    <cellStyle name="Comma 134" xfId="5025" xr:uid="{00000000-0005-0000-0000-000087130000}"/>
    <cellStyle name="Comma 135" xfId="5026" xr:uid="{00000000-0005-0000-0000-000088130000}"/>
    <cellStyle name="Comma 136" xfId="5027" xr:uid="{00000000-0005-0000-0000-000089130000}"/>
    <cellStyle name="Comma 137" xfId="5028" xr:uid="{00000000-0005-0000-0000-00008A130000}"/>
    <cellStyle name="Comma 138" xfId="5029" xr:uid="{00000000-0005-0000-0000-00008B130000}"/>
    <cellStyle name="Comma 138 2" xfId="5030" xr:uid="{00000000-0005-0000-0000-00008C130000}"/>
    <cellStyle name="Comma 139" xfId="5031" xr:uid="{00000000-0005-0000-0000-00008D130000}"/>
    <cellStyle name="Comma 139 2" xfId="5032" xr:uid="{00000000-0005-0000-0000-00008E130000}"/>
    <cellStyle name="Comma 14" xfId="5033" xr:uid="{00000000-0005-0000-0000-00008F130000}"/>
    <cellStyle name="Comma 14 10" xfId="5034" xr:uid="{00000000-0005-0000-0000-000090130000}"/>
    <cellStyle name="Comma 14 11" xfId="5035" xr:uid="{00000000-0005-0000-0000-000091130000}"/>
    <cellStyle name="Comma 14 12" xfId="5036" xr:uid="{00000000-0005-0000-0000-000092130000}"/>
    <cellStyle name="Comma 14 13" xfId="5037" xr:uid="{00000000-0005-0000-0000-000093130000}"/>
    <cellStyle name="Comma 14 14" xfId="5038" xr:uid="{00000000-0005-0000-0000-000094130000}"/>
    <cellStyle name="Comma 14 15" xfId="5039" xr:uid="{00000000-0005-0000-0000-000095130000}"/>
    <cellStyle name="Comma 14 16" xfId="5040" xr:uid="{00000000-0005-0000-0000-000096130000}"/>
    <cellStyle name="Comma 14 17" xfId="5041" xr:uid="{00000000-0005-0000-0000-000097130000}"/>
    <cellStyle name="Comma 14 18" xfId="5042" xr:uid="{00000000-0005-0000-0000-000098130000}"/>
    <cellStyle name="Comma 14 19" xfId="5043" xr:uid="{00000000-0005-0000-0000-000099130000}"/>
    <cellStyle name="Comma 14 2" xfId="5044" xr:uid="{00000000-0005-0000-0000-00009A130000}"/>
    <cellStyle name="Comma 14 20" xfId="5045" xr:uid="{00000000-0005-0000-0000-00009B130000}"/>
    <cellStyle name="Comma 14 21" xfId="5046" xr:uid="{00000000-0005-0000-0000-00009C130000}"/>
    <cellStyle name="Comma 14 22" xfId="5047" xr:uid="{00000000-0005-0000-0000-00009D130000}"/>
    <cellStyle name="Comma 14 23" xfId="5048" xr:uid="{00000000-0005-0000-0000-00009E130000}"/>
    <cellStyle name="Comma 14 3" xfId="5049" xr:uid="{00000000-0005-0000-0000-00009F130000}"/>
    <cellStyle name="Comma 14 4" xfId="5050" xr:uid="{00000000-0005-0000-0000-0000A0130000}"/>
    <cellStyle name="Comma 14 5" xfId="5051" xr:uid="{00000000-0005-0000-0000-0000A1130000}"/>
    <cellStyle name="Comma 14 6" xfId="5052" xr:uid="{00000000-0005-0000-0000-0000A2130000}"/>
    <cellStyle name="Comma 14 7" xfId="5053" xr:uid="{00000000-0005-0000-0000-0000A3130000}"/>
    <cellStyle name="Comma 14 8" xfId="5054" xr:uid="{00000000-0005-0000-0000-0000A4130000}"/>
    <cellStyle name="Comma 14 9" xfId="5055" xr:uid="{00000000-0005-0000-0000-0000A5130000}"/>
    <cellStyle name="Comma 140" xfId="5056" xr:uid="{00000000-0005-0000-0000-0000A6130000}"/>
    <cellStyle name="Comma 140 2" xfId="5057" xr:uid="{00000000-0005-0000-0000-0000A7130000}"/>
    <cellStyle name="Comma 141" xfId="5058" xr:uid="{00000000-0005-0000-0000-0000A8130000}"/>
    <cellStyle name="Comma 141 2" xfId="5059" xr:uid="{00000000-0005-0000-0000-0000A9130000}"/>
    <cellStyle name="Comma 142" xfId="5060" xr:uid="{00000000-0005-0000-0000-0000AA130000}"/>
    <cellStyle name="Comma 142 2" xfId="5061" xr:uid="{00000000-0005-0000-0000-0000AB130000}"/>
    <cellStyle name="Comma 143" xfId="5062" xr:uid="{00000000-0005-0000-0000-0000AC130000}"/>
    <cellStyle name="Comma 143 2" xfId="5063" xr:uid="{00000000-0005-0000-0000-0000AD130000}"/>
    <cellStyle name="Comma 144" xfId="5064" xr:uid="{00000000-0005-0000-0000-0000AE130000}"/>
    <cellStyle name="Comma 144 2" xfId="5065" xr:uid="{00000000-0005-0000-0000-0000AF130000}"/>
    <cellStyle name="Comma 145" xfId="5066" xr:uid="{00000000-0005-0000-0000-0000B0130000}"/>
    <cellStyle name="Comma 145 2" xfId="5067" xr:uid="{00000000-0005-0000-0000-0000B1130000}"/>
    <cellStyle name="Comma 146" xfId="5068" xr:uid="{00000000-0005-0000-0000-0000B2130000}"/>
    <cellStyle name="Comma 146 2" xfId="5069" xr:uid="{00000000-0005-0000-0000-0000B3130000}"/>
    <cellStyle name="Comma 147" xfId="5070" xr:uid="{00000000-0005-0000-0000-0000B4130000}"/>
    <cellStyle name="Comma 147 2" xfId="5071" xr:uid="{00000000-0005-0000-0000-0000B5130000}"/>
    <cellStyle name="Comma 148" xfId="5072" xr:uid="{00000000-0005-0000-0000-0000B6130000}"/>
    <cellStyle name="Comma 148 2" xfId="5073" xr:uid="{00000000-0005-0000-0000-0000B7130000}"/>
    <cellStyle name="Comma 149" xfId="5074" xr:uid="{00000000-0005-0000-0000-0000B8130000}"/>
    <cellStyle name="Comma 149 2" xfId="5075" xr:uid="{00000000-0005-0000-0000-0000B9130000}"/>
    <cellStyle name="Comma 15" xfId="5076" xr:uid="{00000000-0005-0000-0000-0000BA130000}"/>
    <cellStyle name="Comma 15 2" xfId="5077" xr:uid="{00000000-0005-0000-0000-0000BB130000}"/>
    <cellStyle name="Comma 150" xfId="5078" xr:uid="{00000000-0005-0000-0000-0000BC130000}"/>
    <cellStyle name="Comma 150 2" xfId="5079" xr:uid="{00000000-0005-0000-0000-0000BD130000}"/>
    <cellStyle name="Comma 151" xfId="5080" xr:uid="{00000000-0005-0000-0000-0000BE130000}"/>
    <cellStyle name="Comma 151 2" xfId="5081" xr:uid="{00000000-0005-0000-0000-0000BF130000}"/>
    <cellStyle name="Comma 152" xfId="5082" xr:uid="{00000000-0005-0000-0000-0000C0130000}"/>
    <cellStyle name="Comma 152 2" xfId="5083" xr:uid="{00000000-0005-0000-0000-0000C1130000}"/>
    <cellStyle name="Comma 153" xfId="5084" xr:uid="{00000000-0005-0000-0000-0000C2130000}"/>
    <cellStyle name="Comma 154" xfId="5085" xr:uid="{00000000-0005-0000-0000-0000C3130000}"/>
    <cellStyle name="Comma 155" xfId="5086" xr:uid="{00000000-0005-0000-0000-0000C4130000}"/>
    <cellStyle name="Comma 156" xfId="5087" xr:uid="{00000000-0005-0000-0000-0000C5130000}"/>
    <cellStyle name="Comma 157" xfId="5088" xr:uid="{00000000-0005-0000-0000-0000C6130000}"/>
    <cellStyle name="Comma 158" xfId="5089" xr:uid="{00000000-0005-0000-0000-0000C7130000}"/>
    <cellStyle name="Comma 159" xfId="5090" xr:uid="{00000000-0005-0000-0000-0000C8130000}"/>
    <cellStyle name="Comma 16" xfId="5091" xr:uid="{00000000-0005-0000-0000-0000C9130000}"/>
    <cellStyle name="Comma 16 2" xfId="5092" xr:uid="{00000000-0005-0000-0000-0000CA130000}"/>
    <cellStyle name="Comma 16 3" xfId="5093" xr:uid="{00000000-0005-0000-0000-0000CB130000}"/>
    <cellStyle name="Comma 160" xfId="5094" xr:uid="{00000000-0005-0000-0000-0000CC130000}"/>
    <cellStyle name="Comma 161" xfId="5095" xr:uid="{00000000-0005-0000-0000-0000CD130000}"/>
    <cellStyle name="Comma 162" xfId="5096" xr:uid="{00000000-0005-0000-0000-0000CE130000}"/>
    <cellStyle name="Comma 163" xfId="5097" xr:uid="{00000000-0005-0000-0000-0000CF130000}"/>
    <cellStyle name="Comma 164" xfId="5098" xr:uid="{00000000-0005-0000-0000-0000D0130000}"/>
    <cellStyle name="Comma 165" xfId="5099" xr:uid="{00000000-0005-0000-0000-0000D1130000}"/>
    <cellStyle name="Comma 166" xfId="5100" xr:uid="{00000000-0005-0000-0000-0000D2130000}"/>
    <cellStyle name="Comma 167" xfId="5101" xr:uid="{00000000-0005-0000-0000-0000D3130000}"/>
    <cellStyle name="Comma 168" xfId="5102" xr:uid="{00000000-0005-0000-0000-0000D4130000}"/>
    <cellStyle name="Comma 169" xfId="5103" xr:uid="{00000000-0005-0000-0000-0000D5130000}"/>
    <cellStyle name="Comma 17" xfId="5104" xr:uid="{00000000-0005-0000-0000-0000D6130000}"/>
    <cellStyle name="Comma 18" xfId="5105" xr:uid="{00000000-0005-0000-0000-0000D7130000}"/>
    <cellStyle name="Comma 19" xfId="5106" xr:uid="{00000000-0005-0000-0000-0000D8130000}"/>
    <cellStyle name="Comma 2" xfId="5107" xr:uid="{00000000-0005-0000-0000-0000D9130000}"/>
    <cellStyle name="Comma 2 10" xfId="5108" xr:uid="{00000000-0005-0000-0000-0000DA130000}"/>
    <cellStyle name="Comma 2 10 2" xfId="5109" xr:uid="{00000000-0005-0000-0000-0000DB130000}"/>
    <cellStyle name="Comma 2 11" xfId="5110" xr:uid="{00000000-0005-0000-0000-0000DC130000}"/>
    <cellStyle name="Comma 2 12" xfId="5111" xr:uid="{00000000-0005-0000-0000-0000DD130000}"/>
    <cellStyle name="Comma 2 12 2" xfId="5112" xr:uid="{00000000-0005-0000-0000-0000DE130000}"/>
    <cellStyle name="Comma 2 12 3" xfId="5113" xr:uid="{00000000-0005-0000-0000-0000DF130000}"/>
    <cellStyle name="Comma 2 12 3 2" xfId="5114" xr:uid="{00000000-0005-0000-0000-0000E0130000}"/>
    <cellStyle name="Comma 2 12 4" xfId="5115" xr:uid="{00000000-0005-0000-0000-0000E1130000}"/>
    <cellStyle name="Comma 2 12 5" xfId="5116" xr:uid="{00000000-0005-0000-0000-0000E2130000}"/>
    <cellStyle name="Comma 2 13" xfId="5117" xr:uid="{00000000-0005-0000-0000-0000E3130000}"/>
    <cellStyle name="Comma 2 13 2" xfId="5118" xr:uid="{00000000-0005-0000-0000-0000E4130000}"/>
    <cellStyle name="Comma 2 13 2 2" xfId="5119" xr:uid="{00000000-0005-0000-0000-0000E5130000}"/>
    <cellStyle name="Comma 2 14" xfId="5120" xr:uid="{00000000-0005-0000-0000-0000E6130000}"/>
    <cellStyle name="Comma 2 15" xfId="5121" xr:uid="{00000000-0005-0000-0000-0000E7130000}"/>
    <cellStyle name="Comma 2 16" xfId="5122" xr:uid="{00000000-0005-0000-0000-0000E8130000}"/>
    <cellStyle name="Comma 2 17" xfId="5123" xr:uid="{00000000-0005-0000-0000-0000E9130000}"/>
    <cellStyle name="Comma 2 18" xfId="5124" xr:uid="{00000000-0005-0000-0000-0000EA130000}"/>
    <cellStyle name="Comma 2 19" xfId="5125" xr:uid="{00000000-0005-0000-0000-0000EB130000}"/>
    <cellStyle name="Comma 2 2" xfId="5126" xr:uid="{00000000-0005-0000-0000-0000EC130000}"/>
    <cellStyle name="Comma 2 2 10" xfId="5127" xr:uid="{00000000-0005-0000-0000-0000ED130000}"/>
    <cellStyle name="Comma 2 2 2" xfId="5128" xr:uid="{00000000-0005-0000-0000-0000EE130000}"/>
    <cellStyle name="Comma 2 2 3" xfId="5129" xr:uid="{00000000-0005-0000-0000-0000EF130000}"/>
    <cellStyle name="Comma 2 2 3 2" xfId="5130" xr:uid="{00000000-0005-0000-0000-0000F0130000}"/>
    <cellStyle name="Comma 2 2 3 2 2" xfId="5131" xr:uid="{00000000-0005-0000-0000-0000F1130000}"/>
    <cellStyle name="Comma 2 2 3 3" xfId="5132" xr:uid="{00000000-0005-0000-0000-0000F2130000}"/>
    <cellStyle name="Comma 2 2 4" xfId="5133" xr:uid="{00000000-0005-0000-0000-0000F3130000}"/>
    <cellStyle name="Comma 2 2 4 2" xfId="5134" xr:uid="{00000000-0005-0000-0000-0000F4130000}"/>
    <cellStyle name="Comma 2 2 5" xfId="5135" xr:uid="{00000000-0005-0000-0000-0000F5130000}"/>
    <cellStyle name="Comma 2 2 5 2" xfId="5136" xr:uid="{00000000-0005-0000-0000-0000F6130000}"/>
    <cellStyle name="Comma 2 2 6" xfId="5137" xr:uid="{00000000-0005-0000-0000-0000F7130000}"/>
    <cellStyle name="Comma 2 2 6 2" xfId="5138" xr:uid="{00000000-0005-0000-0000-0000F8130000}"/>
    <cellStyle name="Comma 2 2 7" xfId="5139" xr:uid="{00000000-0005-0000-0000-0000F9130000}"/>
    <cellStyle name="Comma 2 2 8" xfId="5140" xr:uid="{00000000-0005-0000-0000-0000FA130000}"/>
    <cellStyle name="Comma 2 2 9" xfId="5141" xr:uid="{00000000-0005-0000-0000-0000FB130000}"/>
    <cellStyle name="Comma 2 20" xfId="5142" xr:uid="{00000000-0005-0000-0000-0000FC130000}"/>
    <cellStyle name="Comma 2 21" xfId="5143" xr:uid="{00000000-0005-0000-0000-0000FD130000}"/>
    <cellStyle name="Comma 2 22" xfId="5144" xr:uid="{00000000-0005-0000-0000-0000FE130000}"/>
    <cellStyle name="Comma 2 23" xfId="5145" xr:uid="{00000000-0005-0000-0000-0000FF130000}"/>
    <cellStyle name="Comma 2 24" xfId="5146" xr:uid="{00000000-0005-0000-0000-000000140000}"/>
    <cellStyle name="Comma 2 25" xfId="5147" xr:uid="{00000000-0005-0000-0000-000001140000}"/>
    <cellStyle name="Comma 2 3" xfId="5148" xr:uid="{00000000-0005-0000-0000-000002140000}"/>
    <cellStyle name="Comma 2 3 2" xfId="5149" xr:uid="{00000000-0005-0000-0000-000003140000}"/>
    <cellStyle name="Comma 2 4" xfId="5150" xr:uid="{00000000-0005-0000-0000-000004140000}"/>
    <cellStyle name="Comma 2 4 2" xfId="5151" xr:uid="{00000000-0005-0000-0000-000005140000}"/>
    <cellStyle name="Comma 2 5" xfId="5152" xr:uid="{00000000-0005-0000-0000-000006140000}"/>
    <cellStyle name="Comma 2 5 2" xfId="5153" xr:uid="{00000000-0005-0000-0000-000007140000}"/>
    <cellStyle name="Comma 2 6" xfId="5154" xr:uid="{00000000-0005-0000-0000-000008140000}"/>
    <cellStyle name="Comma 2 6 2" xfId="5155" xr:uid="{00000000-0005-0000-0000-000009140000}"/>
    <cellStyle name="Comma 2 7" xfId="5156" xr:uid="{00000000-0005-0000-0000-00000A140000}"/>
    <cellStyle name="Comma 2 7 2" xfId="5157" xr:uid="{00000000-0005-0000-0000-00000B140000}"/>
    <cellStyle name="Comma 2 8" xfId="5158" xr:uid="{00000000-0005-0000-0000-00000C140000}"/>
    <cellStyle name="Comma 2 8 2" xfId="5159" xr:uid="{00000000-0005-0000-0000-00000D140000}"/>
    <cellStyle name="Comma 2 9" xfId="5160" xr:uid="{00000000-0005-0000-0000-00000E140000}"/>
    <cellStyle name="Comma 2 9 2" xfId="5161" xr:uid="{00000000-0005-0000-0000-00000F140000}"/>
    <cellStyle name="Comma 20" xfId="5162" xr:uid="{00000000-0005-0000-0000-000010140000}"/>
    <cellStyle name="Comma 21" xfId="5163" xr:uid="{00000000-0005-0000-0000-000011140000}"/>
    <cellStyle name="Comma 22" xfId="5164" xr:uid="{00000000-0005-0000-0000-000012140000}"/>
    <cellStyle name="Comma 23" xfId="5165" xr:uid="{00000000-0005-0000-0000-000013140000}"/>
    <cellStyle name="Comma 24" xfId="5166" xr:uid="{00000000-0005-0000-0000-000014140000}"/>
    <cellStyle name="Comma 25" xfId="5167" xr:uid="{00000000-0005-0000-0000-000015140000}"/>
    <cellStyle name="Comma 26" xfId="5168" xr:uid="{00000000-0005-0000-0000-000016140000}"/>
    <cellStyle name="Comma 27" xfId="5169" xr:uid="{00000000-0005-0000-0000-000017140000}"/>
    <cellStyle name="Comma 28" xfId="5170" xr:uid="{00000000-0005-0000-0000-000018140000}"/>
    <cellStyle name="Comma 29" xfId="5171" xr:uid="{00000000-0005-0000-0000-000019140000}"/>
    <cellStyle name="Comma 3" xfId="5172" xr:uid="{00000000-0005-0000-0000-00001A140000}"/>
    <cellStyle name="Comma 3 10" xfId="5173" xr:uid="{00000000-0005-0000-0000-00001B140000}"/>
    <cellStyle name="Comma 3 10 2" xfId="5174" xr:uid="{00000000-0005-0000-0000-00001C140000}"/>
    <cellStyle name="Comma 3 11" xfId="5175" xr:uid="{00000000-0005-0000-0000-00001D140000}"/>
    <cellStyle name="Comma 3 12" xfId="5176" xr:uid="{00000000-0005-0000-0000-00001E140000}"/>
    <cellStyle name="Comma 3 13" xfId="5177" xr:uid="{00000000-0005-0000-0000-00001F140000}"/>
    <cellStyle name="Comma 3 14" xfId="5178" xr:uid="{00000000-0005-0000-0000-000020140000}"/>
    <cellStyle name="Comma 3 15" xfId="5179" xr:uid="{00000000-0005-0000-0000-000021140000}"/>
    <cellStyle name="Comma 3 16" xfId="5180" xr:uid="{00000000-0005-0000-0000-000022140000}"/>
    <cellStyle name="Comma 3 17" xfId="5181" xr:uid="{00000000-0005-0000-0000-000023140000}"/>
    <cellStyle name="Comma 3 18" xfId="5182" xr:uid="{00000000-0005-0000-0000-000024140000}"/>
    <cellStyle name="Comma 3 19" xfId="5183" xr:uid="{00000000-0005-0000-0000-000025140000}"/>
    <cellStyle name="Comma 3 2" xfId="5184" xr:uid="{00000000-0005-0000-0000-000026140000}"/>
    <cellStyle name="Comma 3 2 2" xfId="5185" xr:uid="{00000000-0005-0000-0000-000027140000}"/>
    <cellStyle name="Comma 3 2 3" xfId="5186" xr:uid="{00000000-0005-0000-0000-000028140000}"/>
    <cellStyle name="Comma 3 2 3 2" xfId="5187" xr:uid="{00000000-0005-0000-0000-000029140000}"/>
    <cellStyle name="Comma 3 2 4" xfId="5188" xr:uid="{00000000-0005-0000-0000-00002A140000}"/>
    <cellStyle name="Comma 3 2 4 2" xfId="5189" xr:uid="{00000000-0005-0000-0000-00002B140000}"/>
    <cellStyle name="Comma 3 2 5" xfId="5190" xr:uid="{00000000-0005-0000-0000-00002C140000}"/>
    <cellStyle name="Comma 3 20" xfId="5191" xr:uid="{00000000-0005-0000-0000-00002D140000}"/>
    <cellStyle name="Comma 3 21" xfId="5192" xr:uid="{00000000-0005-0000-0000-00002E140000}"/>
    <cellStyle name="Comma 3 22" xfId="5193" xr:uid="{00000000-0005-0000-0000-00002F140000}"/>
    <cellStyle name="Comma 3 23" xfId="5194" xr:uid="{00000000-0005-0000-0000-000030140000}"/>
    <cellStyle name="Comma 3 23 2" xfId="5195" xr:uid="{00000000-0005-0000-0000-000031140000}"/>
    <cellStyle name="Comma 3 23 2 2" xfId="5196" xr:uid="{00000000-0005-0000-0000-000032140000}"/>
    <cellStyle name="Comma 3 23 3" xfId="5197" xr:uid="{00000000-0005-0000-0000-000033140000}"/>
    <cellStyle name="Comma 3 3" xfId="5198" xr:uid="{00000000-0005-0000-0000-000034140000}"/>
    <cellStyle name="Comma 3 3 2" xfId="5199" xr:uid="{00000000-0005-0000-0000-000035140000}"/>
    <cellStyle name="Comma 3 3 2 2" xfId="5200" xr:uid="{00000000-0005-0000-0000-000036140000}"/>
    <cellStyle name="Comma 3 3 3" xfId="5201" xr:uid="{00000000-0005-0000-0000-000037140000}"/>
    <cellStyle name="Comma 3 3 3 2" xfId="5202" xr:uid="{00000000-0005-0000-0000-000038140000}"/>
    <cellStyle name="Comma 3 3 3 3" xfId="5203" xr:uid="{00000000-0005-0000-0000-000039140000}"/>
    <cellStyle name="Comma 3 3 4" xfId="5204" xr:uid="{00000000-0005-0000-0000-00003A140000}"/>
    <cellStyle name="Comma 3 3 5" xfId="5205" xr:uid="{00000000-0005-0000-0000-00003B140000}"/>
    <cellStyle name="Comma 3 4" xfId="5206" xr:uid="{00000000-0005-0000-0000-00003C140000}"/>
    <cellStyle name="Comma 3 4 2" xfId="5207" xr:uid="{00000000-0005-0000-0000-00003D140000}"/>
    <cellStyle name="Comma 3 4 3" xfId="5208" xr:uid="{00000000-0005-0000-0000-00003E140000}"/>
    <cellStyle name="Comma 3 5" xfId="5209" xr:uid="{00000000-0005-0000-0000-00003F140000}"/>
    <cellStyle name="Comma 3 5 2" xfId="5210" xr:uid="{00000000-0005-0000-0000-000040140000}"/>
    <cellStyle name="Comma 3 5 2 2" xfId="5211" xr:uid="{00000000-0005-0000-0000-000041140000}"/>
    <cellStyle name="Comma 3 5 3" xfId="5212" xr:uid="{00000000-0005-0000-0000-000042140000}"/>
    <cellStyle name="Comma 3 6" xfId="5213" xr:uid="{00000000-0005-0000-0000-000043140000}"/>
    <cellStyle name="Comma 3 6 2" xfId="5214" xr:uid="{00000000-0005-0000-0000-000044140000}"/>
    <cellStyle name="Comma 3 6 3" xfId="5215" xr:uid="{00000000-0005-0000-0000-000045140000}"/>
    <cellStyle name="Comma 3 7" xfId="5216" xr:uid="{00000000-0005-0000-0000-000046140000}"/>
    <cellStyle name="Comma 3 8" xfId="5217" xr:uid="{00000000-0005-0000-0000-000047140000}"/>
    <cellStyle name="Comma 3 8 2" xfId="5218" xr:uid="{00000000-0005-0000-0000-000048140000}"/>
    <cellStyle name="Comma 3 9" xfId="5219" xr:uid="{00000000-0005-0000-0000-000049140000}"/>
    <cellStyle name="Comma 30" xfId="5220" xr:uid="{00000000-0005-0000-0000-00004A140000}"/>
    <cellStyle name="Comma 31" xfId="5221" xr:uid="{00000000-0005-0000-0000-00004B140000}"/>
    <cellStyle name="Comma 32" xfId="5222" xr:uid="{00000000-0005-0000-0000-00004C140000}"/>
    <cellStyle name="Comma 33" xfId="5223" xr:uid="{00000000-0005-0000-0000-00004D140000}"/>
    <cellStyle name="Comma 34" xfId="5224" xr:uid="{00000000-0005-0000-0000-00004E140000}"/>
    <cellStyle name="Comma 35" xfId="5225" xr:uid="{00000000-0005-0000-0000-00004F140000}"/>
    <cellStyle name="Comma 36" xfId="5226" xr:uid="{00000000-0005-0000-0000-000050140000}"/>
    <cellStyle name="Comma 37" xfId="5227" xr:uid="{00000000-0005-0000-0000-000051140000}"/>
    <cellStyle name="Comma 38" xfId="5228" xr:uid="{00000000-0005-0000-0000-000052140000}"/>
    <cellStyle name="Comma 39" xfId="5229" xr:uid="{00000000-0005-0000-0000-000053140000}"/>
    <cellStyle name="Comma 4" xfId="5230" xr:uid="{00000000-0005-0000-0000-000054140000}"/>
    <cellStyle name="Comma 4 10" xfId="5231" xr:uid="{00000000-0005-0000-0000-000055140000}"/>
    <cellStyle name="Comma 4 11" xfId="5232" xr:uid="{00000000-0005-0000-0000-000056140000}"/>
    <cellStyle name="Comma 4 12" xfId="5233" xr:uid="{00000000-0005-0000-0000-000057140000}"/>
    <cellStyle name="Comma 4 13" xfId="5234" xr:uid="{00000000-0005-0000-0000-000058140000}"/>
    <cellStyle name="Comma 4 14" xfId="5235" xr:uid="{00000000-0005-0000-0000-000059140000}"/>
    <cellStyle name="Comma 4 15" xfId="5236" xr:uid="{00000000-0005-0000-0000-00005A140000}"/>
    <cellStyle name="Comma 4 16" xfId="5237" xr:uid="{00000000-0005-0000-0000-00005B140000}"/>
    <cellStyle name="Comma 4 17" xfId="5238" xr:uid="{00000000-0005-0000-0000-00005C140000}"/>
    <cellStyle name="Comma 4 18" xfId="5239" xr:uid="{00000000-0005-0000-0000-00005D140000}"/>
    <cellStyle name="Comma 4 19" xfId="5240" xr:uid="{00000000-0005-0000-0000-00005E140000}"/>
    <cellStyle name="Comma 4 2" xfId="5241" xr:uid="{00000000-0005-0000-0000-00005F140000}"/>
    <cellStyle name="Comma 4 2 2" xfId="5242" xr:uid="{00000000-0005-0000-0000-000060140000}"/>
    <cellStyle name="Comma 4 2 3" xfId="5243" xr:uid="{00000000-0005-0000-0000-000061140000}"/>
    <cellStyle name="Comma 4 2 4" xfId="5244" xr:uid="{00000000-0005-0000-0000-000062140000}"/>
    <cellStyle name="Comma 4 2 5" xfId="5245" xr:uid="{00000000-0005-0000-0000-000063140000}"/>
    <cellStyle name="Comma 4 20" xfId="5246" xr:uid="{00000000-0005-0000-0000-000064140000}"/>
    <cellStyle name="Comma 4 21" xfId="5247" xr:uid="{00000000-0005-0000-0000-000065140000}"/>
    <cellStyle name="Comma 4 22" xfId="5248" xr:uid="{00000000-0005-0000-0000-000066140000}"/>
    <cellStyle name="Comma 4 23" xfId="5249" xr:uid="{00000000-0005-0000-0000-000067140000}"/>
    <cellStyle name="Comma 4 23 2" xfId="5250" xr:uid="{00000000-0005-0000-0000-000068140000}"/>
    <cellStyle name="Comma 4 23 2 2" xfId="5251" xr:uid="{00000000-0005-0000-0000-000069140000}"/>
    <cellStyle name="Comma 4 23 2 3" xfId="5252" xr:uid="{00000000-0005-0000-0000-00006A140000}"/>
    <cellStyle name="Comma 4 23 3" xfId="5253" xr:uid="{00000000-0005-0000-0000-00006B140000}"/>
    <cellStyle name="Comma 4 24" xfId="5254" xr:uid="{00000000-0005-0000-0000-00006C140000}"/>
    <cellStyle name="Comma 4 25" xfId="5255" xr:uid="{00000000-0005-0000-0000-00006D140000}"/>
    <cellStyle name="Comma 4 26" xfId="5256" xr:uid="{00000000-0005-0000-0000-00006E140000}"/>
    <cellStyle name="Comma 4 27" xfId="5257" xr:uid="{00000000-0005-0000-0000-00006F140000}"/>
    <cellStyle name="Comma 4 28" xfId="5258" xr:uid="{00000000-0005-0000-0000-000070140000}"/>
    <cellStyle name="Comma 4 29" xfId="5259" xr:uid="{00000000-0005-0000-0000-000071140000}"/>
    <cellStyle name="Comma 4 3" xfId="5260" xr:uid="{00000000-0005-0000-0000-000072140000}"/>
    <cellStyle name="Comma 4 3 2" xfId="5261" xr:uid="{00000000-0005-0000-0000-000073140000}"/>
    <cellStyle name="Comma 4 3 3" xfId="5262" xr:uid="{00000000-0005-0000-0000-000074140000}"/>
    <cellStyle name="Comma 4 30" xfId="5263" xr:uid="{00000000-0005-0000-0000-000075140000}"/>
    <cellStyle name="Comma 4 31" xfId="5264" xr:uid="{00000000-0005-0000-0000-000076140000}"/>
    <cellStyle name="Comma 4 32" xfId="5265" xr:uid="{00000000-0005-0000-0000-000077140000}"/>
    <cellStyle name="Comma 4 33" xfId="5266" xr:uid="{00000000-0005-0000-0000-000078140000}"/>
    <cellStyle name="Comma 4 34" xfId="5267" xr:uid="{00000000-0005-0000-0000-000079140000}"/>
    <cellStyle name="Comma 4 35" xfId="5268" xr:uid="{00000000-0005-0000-0000-00007A140000}"/>
    <cellStyle name="Comma 4 36" xfId="5269" xr:uid="{00000000-0005-0000-0000-00007B140000}"/>
    <cellStyle name="Comma 4 37" xfId="5270" xr:uid="{00000000-0005-0000-0000-00007C140000}"/>
    <cellStyle name="Comma 4 38" xfId="5271" xr:uid="{00000000-0005-0000-0000-00007D140000}"/>
    <cellStyle name="Comma 4 39" xfId="5272" xr:uid="{00000000-0005-0000-0000-00007E140000}"/>
    <cellStyle name="Comma 4 4" xfId="5273" xr:uid="{00000000-0005-0000-0000-00007F140000}"/>
    <cellStyle name="Comma 4 40" xfId="5274" xr:uid="{00000000-0005-0000-0000-000080140000}"/>
    <cellStyle name="Comma 4 41" xfId="5275" xr:uid="{00000000-0005-0000-0000-000081140000}"/>
    <cellStyle name="Comma 4 42" xfId="5276" xr:uid="{00000000-0005-0000-0000-000082140000}"/>
    <cellStyle name="Comma 4 43" xfId="5277" xr:uid="{00000000-0005-0000-0000-000083140000}"/>
    <cellStyle name="Comma 4 44" xfId="5278" xr:uid="{00000000-0005-0000-0000-000084140000}"/>
    <cellStyle name="Comma 4 45" xfId="5279" xr:uid="{00000000-0005-0000-0000-000085140000}"/>
    <cellStyle name="Comma 4 46" xfId="5280" xr:uid="{00000000-0005-0000-0000-000086140000}"/>
    <cellStyle name="Comma 4 47" xfId="5281" xr:uid="{00000000-0005-0000-0000-000087140000}"/>
    <cellStyle name="Comma 4 48" xfId="5282" xr:uid="{00000000-0005-0000-0000-000088140000}"/>
    <cellStyle name="Comma 4 49" xfId="5283" xr:uid="{00000000-0005-0000-0000-000089140000}"/>
    <cellStyle name="Comma 4 5" xfId="5284" xr:uid="{00000000-0005-0000-0000-00008A140000}"/>
    <cellStyle name="Comma 4 5 2" xfId="5285" xr:uid="{00000000-0005-0000-0000-00008B140000}"/>
    <cellStyle name="Comma 4 50" xfId="5286" xr:uid="{00000000-0005-0000-0000-00008C140000}"/>
    <cellStyle name="Comma 4 51" xfId="5287" xr:uid="{00000000-0005-0000-0000-00008D140000}"/>
    <cellStyle name="Comma 4 52" xfId="5288" xr:uid="{00000000-0005-0000-0000-00008E140000}"/>
    <cellStyle name="Comma 4 53" xfId="5289" xr:uid="{00000000-0005-0000-0000-00008F140000}"/>
    <cellStyle name="Comma 4 54" xfId="5290" xr:uid="{00000000-0005-0000-0000-000090140000}"/>
    <cellStyle name="Comma 4 55" xfId="5291" xr:uid="{00000000-0005-0000-0000-000091140000}"/>
    <cellStyle name="Comma 4 56" xfId="5292" xr:uid="{00000000-0005-0000-0000-000092140000}"/>
    <cellStyle name="Comma 4 57" xfId="5293" xr:uid="{00000000-0005-0000-0000-000093140000}"/>
    <cellStyle name="Comma 4 58" xfId="5294" xr:uid="{00000000-0005-0000-0000-000094140000}"/>
    <cellStyle name="Comma 4 59" xfId="5295" xr:uid="{00000000-0005-0000-0000-000095140000}"/>
    <cellStyle name="Comma 4 6" xfId="5296" xr:uid="{00000000-0005-0000-0000-000096140000}"/>
    <cellStyle name="Comma 4 60" xfId="5297" xr:uid="{00000000-0005-0000-0000-000097140000}"/>
    <cellStyle name="Comma 4 61" xfId="5298" xr:uid="{00000000-0005-0000-0000-000098140000}"/>
    <cellStyle name="Comma 4 62" xfId="5299" xr:uid="{00000000-0005-0000-0000-000099140000}"/>
    <cellStyle name="Comma 4 63" xfId="5300" xr:uid="{00000000-0005-0000-0000-00009A140000}"/>
    <cellStyle name="Comma 4 64" xfId="5301" xr:uid="{00000000-0005-0000-0000-00009B140000}"/>
    <cellStyle name="Comma 4 65" xfId="5302" xr:uid="{00000000-0005-0000-0000-00009C140000}"/>
    <cellStyle name="Comma 4 66" xfId="5303" xr:uid="{00000000-0005-0000-0000-00009D140000}"/>
    <cellStyle name="Comma 4 67" xfId="5304" xr:uid="{00000000-0005-0000-0000-00009E140000}"/>
    <cellStyle name="Comma 4 68" xfId="5305" xr:uid="{00000000-0005-0000-0000-00009F140000}"/>
    <cellStyle name="Comma 4 69" xfId="5306" xr:uid="{00000000-0005-0000-0000-0000A0140000}"/>
    <cellStyle name="Comma 4 7" xfId="5307" xr:uid="{00000000-0005-0000-0000-0000A1140000}"/>
    <cellStyle name="Comma 4 70" xfId="5308" xr:uid="{00000000-0005-0000-0000-0000A2140000}"/>
    <cellStyle name="Comma 4 71" xfId="5309" xr:uid="{00000000-0005-0000-0000-0000A3140000}"/>
    <cellStyle name="Comma 4 72" xfId="5310" xr:uid="{00000000-0005-0000-0000-0000A4140000}"/>
    <cellStyle name="Comma 4 73" xfId="5311" xr:uid="{00000000-0005-0000-0000-0000A5140000}"/>
    <cellStyle name="Comma 4 74" xfId="5312" xr:uid="{00000000-0005-0000-0000-0000A6140000}"/>
    <cellStyle name="Comma 4 75" xfId="5313" xr:uid="{00000000-0005-0000-0000-0000A7140000}"/>
    <cellStyle name="Comma 4 76" xfId="5314" xr:uid="{00000000-0005-0000-0000-0000A8140000}"/>
    <cellStyle name="Comma 4 77" xfId="5315" xr:uid="{00000000-0005-0000-0000-0000A9140000}"/>
    <cellStyle name="Comma 4 78" xfId="5316" xr:uid="{00000000-0005-0000-0000-0000AA140000}"/>
    <cellStyle name="Comma 4 79" xfId="5317" xr:uid="{00000000-0005-0000-0000-0000AB140000}"/>
    <cellStyle name="Comma 4 8" xfId="5318" xr:uid="{00000000-0005-0000-0000-0000AC140000}"/>
    <cellStyle name="Comma 4 80" xfId="5319" xr:uid="{00000000-0005-0000-0000-0000AD140000}"/>
    <cellStyle name="Comma 4 81" xfId="5320" xr:uid="{00000000-0005-0000-0000-0000AE140000}"/>
    <cellStyle name="Comma 4 81 2" xfId="5321" xr:uid="{00000000-0005-0000-0000-0000AF140000}"/>
    <cellStyle name="Comma 4 81 3" xfId="5322" xr:uid="{00000000-0005-0000-0000-0000B0140000}"/>
    <cellStyle name="Comma 4 9" xfId="5323" xr:uid="{00000000-0005-0000-0000-0000B1140000}"/>
    <cellStyle name="Comma 40" xfId="5324" xr:uid="{00000000-0005-0000-0000-0000B2140000}"/>
    <cellStyle name="Comma 41" xfId="5325" xr:uid="{00000000-0005-0000-0000-0000B3140000}"/>
    <cellStyle name="Comma 42" xfId="5326" xr:uid="{00000000-0005-0000-0000-0000B4140000}"/>
    <cellStyle name="Comma 43" xfId="5327" xr:uid="{00000000-0005-0000-0000-0000B5140000}"/>
    <cellStyle name="Comma 44" xfId="5328" xr:uid="{00000000-0005-0000-0000-0000B6140000}"/>
    <cellStyle name="Comma 45" xfId="5329" xr:uid="{00000000-0005-0000-0000-0000B7140000}"/>
    <cellStyle name="Comma 46" xfId="5330" xr:uid="{00000000-0005-0000-0000-0000B8140000}"/>
    <cellStyle name="Comma 47" xfId="5331" xr:uid="{00000000-0005-0000-0000-0000B9140000}"/>
    <cellStyle name="Comma 48" xfId="5332" xr:uid="{00000000-0005-0000-0000-0000BA140000}"/>
    <cellStyle name="Comma 49" xfId="5333" xr:uid="{00000000-0005-0000-0000-0000BB140000}"/>
    <cellStyle name="Comma 5" xfId="5334" xr:uid="{00000000-0005-0000-0000-0000BC140000}"/>
    <cellStyle name="Comma 5 10" xfId="5335" xr:uid="{00000000-0005-0000-0000-0000BD140000}"/>
    <cellStyle name="Comma 5 11" xfId="5336" xr:uid="{00000000-0005-0000-0000-0000BE140000}"/>
    <cellStyle name="Comma 5 12" xfId="5337" xr:uid="{00000000-0005-0000-0000-0000BF140000}"/>
    <cellStyle name="Comma 5 13" xfId="5338" xr:uid="{00000000-0005-0000-0000-0000C0140000}"/>
    <cellStyle name="Comma 5 14" xfId="5339" xr:uid="{00000000-0005-0000-0000-0000C1140000}"/>
    <cellStyle name="Comma 5 15" xfId="5340" xr:uid="{00000000-0005-0000-0000-0000C2140000}"/>
    <cellStyle name="Comma 5 16" xfId="5341" xr:uid="{00000000-0005-0000-0000-0000C3140000}"/>
    <cellStyle name="Comma 5 17" xfId="5342" xr:uid="{00000000-0005-0000-0000-0000C4140000}"/>
    <cellStyle name="Comma 5 18" xfId="5343" xr:uid="{00000000-0005-0000-0000-0000C5140000}"/>
    <cellStyle name="Comma 5 19" xfId="5344" xr:uid="{00000000-0005-0000-0000-0000C6140000}"/>
    <cellStyle name="Comma 5 2" xfId="5345" xr:uid="{00000000-0005-0000-0000-0000C7140000}"/>
    <cellStyle name="Comma 5 2 2" xfId="5346" xr:uid="{00000000-0005-0000-0000-0000C8140000}"/>
    <cellStyle name="Comma 5 20" xfId="5347" xr:uid="{00000000-0005-0000-0000-0000C9140000}"/>
    <cellStyle name="Comma 5 21" xfId="5348" xr:uid="{00000000-0005-0000-0000-0000CA140000}"/>
    <cellStyle name="Comma 5 22" xfId="5349" xr:uid="{00000000-0005-0000-0000-0000CB140000}"/>
    <cellStyle name="Comma 5 23" xfId="5350" xr:uid="{00000000-0005-0000-0000-0000CC140000}"/>
    <cellStyle name="Comma 5 3" xfId="5351" xr:uid="{00000000-0005-0000-0000-0000CD140000}"/>
    <cellStyle name="Comma 5 4" xfId="5352" xr:uid="{00000000-0005-0000-0000-0000CE140000}"/>
    <cellStyle name="Comma 5 5" xfId="5353" xr:uid="{00000000-0005-0000-0000-0000CF140000}"/>
    <cellStyle name="Comma 5 6" xfId="5354" xr:uid="{00000000-0005-0000-0000-0000D0140000}"/>
    <cellStyle name="Comma 5 7" xfId="5355" xr:uid="{00000000-0005-0000-0000-0000D1140000}"/>
    <cellStyle name="Comma 5 8" xfId="5356" xr:uid="{00000000-0005-0000-0000-0000D2140000}"/>
    <cellStyle name="Comma 5 9" xfId="5357" xr:uid="{00000000-0005-0000-0000-0000D3140000}"/>
    <cellStyle name="Comma 50" xfId="5358" xr:uid="{00000000-0005-0000-0000-0000D4140000}"/>
    <cellStyle name="Comma 51" xfId="5359" xr:uid="{00000000-0005-0000-0000-0000D5140000}"/>
    <cellStyle name="Comma 51 2" xfId="5360" xr:uid="{00000000-0005-0000-0000-0000D6140000}"/>
    <cellStyle name="Comma 51 3" xfId="5361" xr:uid="{00000000-0005-0000-0000-0000D7140000}"/>
    <cellStyle name="Comma 52" xfId="5362" xr:uid="{00000000-0005-0000-0000-0000D8140000}"/>
    <cellStyle name="Comma 52 2" xfId="5363" xr:uid="{00000000-0005-0000-0000-0000D9140000}"/>
    <cellStyle name="Comma 52 3" xfId="5364" xr:uid="{00000000-0005-0000-0000-0000DA140000}"/>
    <cellStyle name="Comma 53" xfId="5365" xr:uid="{00000000-0005-0000-0000-0000DB140000}"/>
    <cellStyle name="Comma 54" xfId="5366" xr:uid="{00000000-0005-0000-0000-0000DC140000}"/>
    <cellStyle name="Comma 54 2" xfId="5367" xr:uid="{00000000-0005-0000-0000-0000DD140000}"/>
    <cellStyle name="Comma 54 3" xfId="5368" xr:uid="{00000000-0005-0000-0000-0000DE140000}"/>
    <cellStyle name="Comma 55" xfId="5369" xr:uid="{00000000-0005-0000-0000-0000DF140000}"/>
    <cellStyle name="Comma 55 2" xfId="5370" xr:uid="{00000000-0005-0000-0000-0000E0140000}"/>
    <cellStyle name="Comma 55 3" xfId="5371" xr:uid="{00000000-0005-0000-0000-0000E1140000}"/>
    <cellStyle name="Comma 56" xfId="5372" xr:uid="{00000000-0005-0000-0000-0000E2140000}"/>
    <cellStyle name="Comma 57" xfId="5373" xr:uid="{00000000-0005-0000-0000-0000E3140000}"/>
    <cellStyle name="Comma 58" xfId="5374" xr:uid="{00000000-0005-0000-0000-0000E4140000}"/>
    <cellStyle name="Comma 59" xfId="5375" xr:uid="{00000000-0005-0000-0000-0000E5140000}"/>
    <cellStyle name="Comma 6" xfId="5376" xr:uid="{00000000-0005-0000-0000-0000E6140000}"/>
    <cellStyle name="Comma 6 10" xfId="5377" xr:uid="{00000000-0005-0000-0000-0000E7140000}"/>
    <cellStyle name="Comma 6 11" xfId="5378" xr:uid="{00000000-0005-0000-0000-0000E8140000}"/>
    <cellStyle name="Comma 6 12" xfId="5379" xr:uid="{00000000-0005-0000-0000-0000E9140000}"/>
    <cellStyle name="Comma 6 13" xfId="5380" xr:uid="{00000000-0005-0000-0000-0000EA140000}"/>
    <cellStyle name="Comma 6 14" xfId="5381" xr:uid="{00000000-0005-0000-0000-0000EB140000}"/>
    <cellStyle name="Comma 6 15" xfId="5382" xr:uid="{00000000-0005-0000-0000-0000EC140000}"/>
    <cellStyle name="Comma 6 16" xfId="5383" xr:uid="{00000000-0005-0000-0000-0000ED140000}"/>
    <cellStyle name="Comma 6 17" xfId="5384" xr:uid="{00000000-0005-0000-0000-0000EE140000}"/>
    <cellStyle name="Comma 6 18" xfId="5385" xr:uid="{00000000-0005-0000-0000-0000EF140000}"/>
    <cellStyle name="Comma 6 19" xfId="5386" xr:uid="{00000000-0005-0000-0000-0000F0140000}"/>
    <cellStyle name="Comma 6 2" xfId="5387" xr:uid="{00000000-0005-0000-0000-0000F1140000}"/>
    <cellStyle name="Comma 6 2 2" xfId="5388" xr:uid="{00000000-0005-0000-0000-0000F2140000}"/>
    <cellStyle name="Comma 6 20" xfId="5389" xr:uid="{00000000-0005-0000-0000-0000F3140000}"/>
    <cellStyle name="Comma 6 21" xfId="5390" xr:uid="{00000000-0005-0000-0000-0000F4140000}"/>
    <cellStyle name="Comma 6 22" xfId="5391" xr:uid="{00000000-0005-0000-0000-0000F5140000}"/>
    <cellStyle name="Comma 6 3" xfId="5392" xr:uid="{00000000-0005-0000-0000-0000F6140000}"/>
    <cellStyle name="Comma 6 4" xfId="5393" xr:uid="{00000000-0005-0000-0000-0000F7140000}"/>
    <cellStyle name="Comma 6 5" xfId="5394" xr:uid="{00000000-0005-0000-0000-0000F8140000}"/>
    <cellStyle name="Comma 6 6" xfId="5395" xr:uid="{00000000-0005-0000-0000-0000F9140000}"/>
    <cellStyle name="Comma 6 7" xfId="5396" xr:uid="{00000000-0005-0000-0000-0000FA140000}"/>
    <cellStyle name="Comma 6 8" xfId="5397" xr:uid="{00000000-0005-0000-0000-0000FB140000}"/>
    <cellStyle name="Comma 6 9" xfId="5398" xr:uid="{00000000-0005-0000-0000-0000FC140000}"/>
    <cellStyle name="Comma 60" xfId="5399" xr:uid="{00000000-0005-0000-0000-0000FD140000}"/>
    <cellStyle name="Comma 61" xfId="5400" xr:uid="{00000000-0005-0000-0000-0000FE140000}"/>
    <cellStyle name="Comma 62" xfId="5401" xr:uid="{00000000-0005-0000-0000-0000FF140000}"/>
    <cellStyle name="Comma 63" xfId="5402" xr:uid="{00000000-0005-0000-0000-000000150000}"/>
    <cellStyle name="Comma 64" xfId="5403" xr:uid="{00000000-0005-0000-0000-000001150000}"/>
    <cellStyle name="Comma 65" xfId="5404" xr:uid="{00000000-0005-0000-0000-000002150000}"/>
    <cellStyle name="Comma 66" xfId="5405" xr:uid="{00000000-0005-0000-0000-000003150000}"/>
    <cellStyle name="Comma 67" xfId="5406" xr:uid="{00000000-0005-0000-0000-000004150000}"/>
    <cellStyle name="Comma 68" xfId="5407" xr:uid="{00000000-0005-0000-0000-000005150000}"/>
    <cellStyle name="Comma 69" xfId="5408" xr:uid="{00000000-0005-0000-0000-000006150000}"/>
    <cellStyle name="Comma 69 2" xfId="5409" xr:uid="{00000000-0005-0000-0000-000007150000}"/>
    <cellStyle name="Comma 7" xfId="5410" xr:uid="{00000000-0005-0000-0000-000008150000}"/>
    <cellStyle name="Comma 7 10" xfId="5411" xr:uid="{00000000-0005-0000-0000-000009150000}"/>
    <cellStyle name="Comma 7 11" xfId="5412" xr:uid="{00000000-0005-0000-0000-00000A150000}"/>
    <cellStyle name="Comma 7 12" xfId="5413" xr:uid="{00000000-0005-0000-0000-00000B150000}"/>
    <cellStyle name="Comma 7 13" xfId="5414" xr:uid="{00000000-0005-0000-0000-00000C150000}"/>
    <cellStyle name="Comma 7 14" xfId="5415" xr:uid="{00000000-0005-0000-0000-00000D150000}"/>
    <cellStyle name="Comma 7 15" xfId="5416" xr:uid="{00000000-0005-0000-0000-00000E150000}"/>
    <cellStyle name="Comma 7 16" xfId="5417" xr:uid="{00000000-0005-0000-0000-00000F150000}"/>
    <cellStyle name="Comma 7 17" xfId="5418" xr:uid="{00000000-0005-0000-0000-000010150000}"/>
    <cellStyle name="Comma 7 18" xfId="5419" xr:uid="{00000000-0005-0000-0000-000011150000}"/>
    <cellStyle name="Comma 7 19" xfId="5420" xr:uid="{00000000-0005-0000-0000-000012150000}"/>
    <cellStyle name="Comma 7 2" xfId="5421" xr:uid="{00000000-0005-0000-0000-000013150000}"/>
    <cellStyle name="Comma 7 2 2" xfId="5422" xr:uid="{00000000-0005-0000-0000-000014150000}"/>
    <cellStyle name="Comma 7 20" xfId="5423" xr:uid="{00000000-0005-0000-0000-000015150000}"/>
    <cellStyle name="Comma 7 21" xfId="5424" xr:uid="{00000000-0005-0000-0000-000016150000}"/>
    <cellStyle name="Comma 7 22" xfId="5425" xr:uid="{00000000-0005-0000-0000-000017150000}"/>
    <cellStyle name="Comma 7 23" xfId="5426" xr:uid="{00000000-0005-0000-0000-000018150000}"/>
    <cellStyle name="Comma 7 3" xfId="5427" xr:uid="{00000000-0005-0000-0000-000019150000}"/>
    <cellStyle name="Comma 7 4" xfId="5428" xr:uid="{00000000-0005-0000-0000-00001A150000}"/>
    <cellStyle name="Comma 7 5" xfId="5429" xr:uid="{00000000-0005-0000-0000-00001B150000}"/>
    <cellStyle name="Comma 7 6" xfId="5430" xr:uid="{00000000-0005-0000-0000-00001C150000}"/>
    <cellStyle name="Comma 7 7" xfId="5431" xr:uid="{00000000-0005-0000-0000-00001D150000}"/>
    <cellStyle name="Comma 7 8" xfId="5432" xr:uid="{00000000-0005-0000-0000-00001E150000}"/>
    <cellStyle name="Comma 7 9" xfId="5433" xr:uid="{00000000-0005-0000-0000-00001F150000}"/>
    <cellStyle name="Comma 70" xfId="5434" xr:uid="{00000000-0005-0000-0000-000020150000}"/>
    <cellStyle name="Comma 71" xfId="5435" xr:uid="{00000000-0005-0000-0000-000021150000}"/>
    <cellStyle name="Comma 71 2" xfId="5436" xr:uid="{00000000-0005-0000-0000-000022150000}"/>
    <cellStyle name="Comma 72" xfId="5437" xr:uid="{00000000-0005-0000-0000-000023150000}"/>
    <cellStyle name="Comma 72 2" xfId="5438" xr:uid="{00000000-0005-0000-0000-000024150000}"/>
    <cellStyle name="Comma 73" xfId="5439" xr:uid="{00000000-0005-0000-0000-000025150000}"/>
    <cellStyle name="Comma 73 2" xfId="5440" xr:uid="{00000000-0005-0000-0000-000026150000}"/>
    <cellStyle name="Comma 74" xfId="5441" xr:uid="{00000000-0005-0000-0000-000027150000}"/>
    <cellStyle name="Comma 74 2" xfId="5442" xr:uid="{00000000-0005-0000-0000-000028150000}"/>
    <cellStyle name="Comma 75" xfId="5443" xr:uid="{00000000-0005-0000-0000-000029150000}"/>
    <cellStyle name="Comma 75 2" xfId="5444" xr:uid="{00000000-0005-0000-0000-00002A150000}"/>
    <cellStyle name="Comma 76" xfId="5445" xr:uid="{00000000-0005-0000-0000-00002B150000}"/>
    <cellStyle name="Comma 77" xfId="5446" xr:uid="{00000000-0005-0000-0000-00002C150000}"/>
    <cellStyle name="Comma 78" xfId="5447" xr:uid="{00000000-0005-0000-0000-00002D150000}"/>
    <cellStyle name="Comma 79" xfId="5448" xr:uid="{00000000-0005-0000-0000-00002E150000}"/>
    <cellStyle name="Comma 8" xfId="5449" xr:uid="{00000000-0005-0000-0000-00002F150000}"/>
    <cellStyle name="Comma 8 10" xfId="5450" xr:uid="{00000000-0005-0000-0000-000030150000}"/>
    <cellStyle name="Comma 8 11" xfId="5451" xr:uid="{00000000-0005-0000-0000-000031150000}"/>
    <cellStyle name="Comma 8 12" xfId="5452" xr:uid="{00000000-0005-0000-0000-000032150000}"/>
    <cellStyle name="Comma 8 13" xfId="5453" xr:uid="{00000000-0005-0000-0000-000033150000}"/>
    <cellStyle name="Comma 8 14" xfId="5454" xr:uid="{00000000-0005-0000-0000-000034150000}"/>
    <cellStyle name="Comma 8 15" xfId="5455" xr:uid="{00000000-0005-0000-0000-000035150000}"/>
    <cellStyle name="Comma 8 16" xfId="5456" xr:uid="{00000000-0005-0000-0000-000036150000}"/>
    <cellStyle name="Comma 8 17" xfId="5457" xr:uid="{00000000-0005-0000-0000-000037150000}"/>
    <cellStyle name="Comma 8 18" xfId="5458" xr:uid="{00000000-0005-0000-0000-000038150000}"/>
    <cellStyle name="Comma 8 19" xfId="5459" xr:uid="{00000000-0005-0000-0000-000039150000}"/>
    <cellStyle name="Comma 8 2" xfId="5460" xr:uid="{00000000-0005-0000-0000-00003A150000}"/>
    <cellStyle name="Comma 8 2 2" xfId="5461" xr:uid="{00000000-0005-0000-0000-00003B150000}"/>
    <cellStyle name="Comma 8 20" xfId="5462" xr:uid="{00000000-0005-0000-0000-00003C150000}"/>
    <cellStyle name="Comma 8 21" xfId="5463" xr:uid="{00000000-0005-0000-0000-00003D150000}"/>
    <cellStyle name="Comma 8 22" xfId="5464" xr:uid="{00000000-0005-0000-0000-00003E150000}"/>
    <cellStyle name="Comma 8 23" xfId="5465" xr:uid="{00000000-0005-0000-0000-00003F150000}"/>
    <cellStyle name="Comma 8 3" xfId="5466" xr:uid="{00000000-0005-0000-0000-000040150000}"/>
    <cellStyle name="Comma 8 4" xfId="5467" xr:uid="{00000000-0005-0000-0000-000041150000}"/>
    <cellStyle name="Comma 8 5" xfId="5468" xr:uid="{00000000-0005-0000-0000-000042150000}"/>
    <cellStyle name="Comma 8 6" xfId="5469" xr:uid="{00000000-0005-0000-0000-000043150000}"/>
    <cellStyle name="Comma 8 7" xfId="5470" xr:uid="{00000000-0005-0000-0000-000044150000}"/>
    <cellStyle name="Comma 8 8" xfId="5471" xr:uid="{00000000-0005-0000-0000-000045150000}"/>
    <cellStyle name="Comma 8 9" xfId="5472" xr:uid="{00000000-0005-0000-0000-000046150000}"/>
    <cellStyle name="Comma 80" xfId="5473" xr:uid="{00000000-0005-0000-0000-000047150000}"/>
    <cellStyle name="Comma 81" xfId="5474" xr:uid="{00000000-0005-0000-0000-000048150000}"/>
    <cellStyle name="Comma 82" xfId="5475" xr:uid="{00000000-0005-0000-0000-000049150000}"/>
    <cellStyle name="Comma 83" xfId="5476" xr:uid="{00000000-0005-0000-0000-00004A150000}"/>
    <cellStyle name="Comma 84" xfId="5477" xr:uid="{00000000-0005-0000-0000-00004B150000}"/>
    <cellStyle name="Comma 85" xfId="5478" xr:uid="{00000000-0005-0000-0000-00004C150000}"/>
    <cellStyle name="Comma 86" xfId="5479" xr:uid="{00000000-0005-0000-0000-00004D150000}"/>
    <cellStyle name="Comma 87" xfId="5480" xr:uid="{00000000-0005-0000-0000-00004E150000}"/>
    <cellStyle name="Comma 88" xfId="5481" xr:uid="{00000000-0005-0000-0000-00004F150000}"/>
    <cellStyle name="Comma 88 10" xfId="5482" xr:uid="{00000000-0005-0000-0000-000050150000}"/>
    <cellStyle name="Comma 88 11" xfId="5483" xr:uid="{00000000-0005-0000-0000-000051150000}"/>
    <cellStyle name="Comma 88 12" xfId="5484" xr:uid="{00000000-0005-0000-0000-000052150000}"/>
    <cellStyle name="Comma 88 13" xfId="5485" xr:uid="{00000000-0005-0000-0000-000053150000}"/>
    <cellStyle name="Comma 88 14" xfId="5486" xr:uid="{00000000-0005-0000-0000-000054150000}"/>
    <cellStyle name="Comma 88 15" xfId="5487" xr:uid="{00000000-0005-0000-0000-000055150000}"/>
    <cellStyle name="Comma 88 16" xfId="5488" xr:uid="{00000000-0005-0000-0000-000056150000}"/>
    <cellStyle name="Comma 88 17" xfId="5489" xr:uid="{00000000-0005-0000-0000-000057150000}"/>
    <cellStyle name="Comma 88 18" xfId="5490" xr:uid="{00000000-0005-0000-0000-000058150000}"/>
    <cellStyle name="Comma 88 19" xfId="5491" xr:uid="{00000000-0005-0000-0000-000059150000}"/>
    <cellStyle name="Comma 88 2" xfId="5492" xr:uid="{00000000-0005-0000-0000-00005A150000}"/>
    <cellStyle name="Comma 88 20" xfId="5493" xr:uid="{00000000-0005-0000-0000-00005B150000}"/>
    <cellStyle name="Comma 88 21" xfId="5494" xr:uid="{00000000-0005-0000-0000-00005C150000}"/>
    <cellStyle name="Comma 88 22" xfId="5495" xr:uid="{00000000-0005-0000-0000-00005D150000}"/>
    <cellStyle name="Comma 88 23" xfId="5496" xr:uid="{00000000-0005-0000-0000-00005E150000}"/>
    <cellStyle name="Comma 88 24" xfId="5497" xr:uid="{00000000-0005-0000-0000-00005F150000}"/>
    <cellStyle name="Comma 88 25" xfId="5498" xr:uid="{00000000-0005-0000-0000-000060150000}"/>
    <cellStyle name="Comma 88 26" xfId="5499" xr:uid="{00000000-0005-0000-0000-000061150000}"/>
    <cellStyle name="Comma 88 27" xfId="5500" xr:uid="{00000000-0005-0000-0000-000062150000}"/>
    <cellStyle name="Comma 88 28" xfId="5501" xr:uid="{00000000-0005-0000-0000-000063150000}"/>
    <cellStyle name="Comma 88 29" xfId="5502" xr:uid="{00000000-0005-0000-0000-000064150000}"/>
    <cellStyle name="Comma 88 3" xfId="5503" xr:uid="{00000000-0005-0000-0000-000065150000}"/>
    <cellStyle name="Comma 88 30" xfId="5504" xr:uid="{00000000-0005-0000-0000-000066150000}"/>
    <cellStyle name="Comma 88 4" xfId="5505" xr:uid="{00000000-0005-0000-0000-000067150000}"/>
    <cellStyle name="Comma 88 5" xfId="5506" xr:uid="{00000000-0005-0000-0000-000068150000}"/>
    <cellStyle name="Comma 88 6" xfId="5507" xr:uid="{00000000-0005-0000-0000-000069150000}"/>
    <cellStyle name="Comma 88 7" xfId="5508" xr:uid="{00000000-0005-0000-0000-00006A150000}"/>
    <cellStyle name="Comma 88 8" xfId="5509" xr:uid="{00000000-0005-0000-0000-00006B150000}"/>
    <cellStyle name="Comma 88 9" xfId="5510" xr:uid="{00000000-0005-0000-0000-00006C150000}"/>
    <cellStyle name="Comma 89" xfId="5511" xr:uid="{00000000-0005-0000-0000-00006D150000}"/>
    <cellStyle name="Comma 9" xfId="5512" xr:uid="{00000000-0005-0000-0000-00006E150000}"/>
    <cellStyle name="Comma 9 10" xfId="5513" xr:uid="{00000000-0005-0000-0000-00006F150000}"/>
    <cellStyle name="Comma 9 11" xfId="5514" xr:uid="{00000000-0005-0000-0000-000070150000}"/>
    <cellStyle name="Comma 9 12" xfId="5515" xr:uid="{00000000-0005-0000-0000-000071150000}"/>
    <cellStyle name="Comma 9 13" xfId="5516" xr:uid="{00000000-0005-0000-0000-000072150000}"/>
    <cellStyle name="Comma 9 14" xfId="5517" xr:uid="{00000000-0005-0000-0000-000073150000}"/>
    <cellStyle name="Comma 9 15" xfId="5518" xr:uid="{00000000-0005-0000-0000-000074150000}"/>
    <cellStyle name="Comma 9 16" xfId="5519" xr:uid="{00000000-0005-0000-0000-000075150000}"/>
    <cellStyle name="Comma 9 17" xfId="5520" xr:uid="{00000000-0005-0000-0000-000076150000}"/>
    <cellStyle name="Comma 9 18" xfId="5521" xr:uid="{00000000-0005-0000-0000-000077150000}"/>
    <cellStyle name="Comma 9 19" xfId="5522" xr:uid="{00000000-0005-0000-0000-000078150000}"/>
    <cellStyle name="Comma 9 2" xfId="5523" xr:uid="{00000000-0005-0000-0000-000079150000}"/>
    <cellStyle name="Comma 9 2 2" xfId="5524" xr:uid="{00000000-0005-0000-0000-00007A150000}"/>
    <cellStyle name="Comma 9 20" xfId="5525" xr:uid="{00000000-0005-0000-0000-00007B150000}"/>
    <cellStyle name="Comma 9 21" xfId="5526" xr:uid="{00000000-0005-0000-0000-00007C150000}"/>
    <cellStyle name="Comma 9 22" xfId="5527" xr:uid="{00000000-0005-0000-0000-00007D150000}"/>
    <cellStyle name="Comma 9 23" xfId="5528" xr:uid="{00000000-0005-0000-0000-00007E150000}"/>
    <cellStyle name="Comma 9 3" xfId="5529" xr:uid="{00000000-0005-0000-0000-00007F150000}"/>
    <cellStyle name="Comma 9 4" xfId="5530" xr:uid="{00000000-0005-0000-0000-000080150000}"/>
    <cellStyle name="Comma 9 5" xfId="5531" xr:uid="{00000000-0005-0000-0000-000081150000}"/>
    <cellStyle name="Comma 9 6" xfId="5532" xr:uid="{00000000-0005-0000-0000-000082150000}"/>
    <cellStyle name="Comma 9 7" xfId="5533" xr:uid="{00000000-0005-0000-0000-000083150000}"/>
    <cellStyle name="Comma 9 8" xfId="5534" xr:uid="{00000000-0005-0000-0000-000084150000}"/>
    <cellStyle name="Comma 9 9" xfId="5535" xr:uid="{00000000-0005-0000-0000-000085150000}"/>
    <cellStyle name="Comma 90" xfId="5536" xr:uid="{00000000-0005-0000-0000-000086150000}"/>
    <cellStyle name="Comma 91" xfId="5537" xr:uid="{00000000-0005-0000-0000-000087150000}"/>
    <cellStyle name="Comma 92" xfId="5538" xr:uid="{00000000-0005-0000-0000-000088150000}"/>
    <cellStyle name="Comma 93" xfId="5539" xr:uid="{00000000-0005-0000-0000-000089150000}"/>
    <cellStyle name="Comma 94" xfId="5540" xr:uid="{00000000-0005-0000-0000-00008A150000}"/>
    <cellStyle name="Comma 95" xfId="5541" xr:uid="{00000000-0005-0000-0000-00008B150000}"/>
    <cellStyle name="Comma 96" xfId="5542" xr:uid="{00000000-0005-0000-0000-00008C150000}"/>
    <cellStyle name="Comma 97" xfId="5543" xr:uid="{00000000-0005-0000-0000-00008D150000}"/>
    <cellStyle name="Comma 98" xfId="5544" xr:uid="{00000000-0005-0000-0000-00008E150000}"/>
    <cellStyle name="Comma 99" xfId="5545" xr:uid="{00000000-0005-0000-0000-00008F150000}"/>
    <cellStyle name="Comma0" xfId="5546" xr:uid="{00000000-0005-0000-0000-000090150000}"/>
    <cellStyle name="Currency" xfId="2" builtinId="4"/>
    <cellStyle name="Currency 10" xfId="5547" xr:uid="{00000000-0005-0000-0000-000092150000}"/>
    <cellStyle name="Currency 10 10" xfId="5548" xr:uid="{00000000-0005-0000-0000-000093150000}"/>
    <cellStyle name="Currency 10 11" xfId="5549" xr:uid="{00000000-0005-0000-0000-000094150000}"/>
    <cellStyle name="Currency 10 12" xfId="5550" xr:uid="{00000000-0005-0000-0000-000095150000}"/>
    <cellStyle name="Currency 10 13" xfId="5551" xr:uid="{00000000-0005-0000-0000-000096150000}"/>
    <cellStyle name="Currency 10 14" xfId="5552" xr:uid="{00000000-0005-0000-0000-000097150000}"/>
    <cellStyle name="Currency 10 15" xfId="5553" xr:uid="{00000000-0005-0000-0000-000098150000}"/>
    <cellStyle name="Currency 10 16" xfId="5554" xr:uid="{00000000-0005-0000-0000-000099150000}"/>
    <cellStyle name="Currency 10 17" xfId="5555" xr:uid="{00000000-0005-0000-0000-00009A150000}"/>
    <cellStyle name="Currency 10 18" xfId="5556" xr:uid="{00000000-0005-0000-0000-00009B150000}"/>
    <cellStyle name="Currency 10 19" xfId="5557" xr:uid="{00000000-0005-0000-0000-00009C150000}"/>
    <cellStyle name="Currency 10 2" xfId="5558" xr:uid="{00000000-0005-0000-0000-00009D150000}"/>
    <cellStyle name="Currency 10 20" xfId="5559" xr:uid="{00000000-0005-0000-0000-00009E150000}"/>
    <cellStyle name="Currency 10 21" xfId="5560" xr:uid="{00000000-0005-0000-0000-00009F150000}"/>
    <cellStyle name="Currency 10 22" xfId="5561" xr:uid="{00000000-0005-0000-0000-0000A0150000}"/>
    <cellStyle name="Currency 10 3" xfId="5562" xr:uid="{00000000-0005-0000-0000-0000A1150000}"/>
    <cellStyle name="Currency 10 4" xfId="5563" xr:uid="{00000000-0005-0000-0000-0000A2150000}"/>
    <cellStyle name="Currency 10 5" xfId="5564" xr:uid="{00000000-0005-0000-0000-0000A3150000}"/>
    <cellStyle name="Currency 10 6" xfId="5565" xr:uid="{00000000-0005-0000-0000-0000A4150000}"/>
    <cellStyle name="Currency 10 7" xfId="5566" xr:uid="{00000000-0005-0000-0000-0000A5150000}"/>
    <cellStyle name="Currency 10 8" xfId="5567" xr:uid="{00000000-0005-0000-0000-0000A6150000}"/>
    <cellStyle name="Currency 10 9" xfId="5568" xr:uid="{00000000-0005-0000-0000-0000A7150000}"/>
    <cellStyle name="Currency 100" xfId="5569" xr:uid="{00000000-0005-0000-0000-0000A8150000}"/>
    <cellStyle name="Currency 101" xfId="5570" xr:uid="{00000000-0005-0000-0000-0000A9150000}"/>
    <cellStyle name="Currency 102" xfId="5571" xr:uid="{00000000-0005-0000-0000-0000AA150000}"/>
    <cellStyle name="Currency 103" xfId="5572" xr:uid="{00000000-0005-0000-0000-0000AB150000}"/>
    <cellStyle name="Currency 104" xfId="5573" xr:uid="{00000000-0005-0000-0000-0000AC150000}"/>
    <cellStyle name="Currency 105" xfId="5574" xr:uid="{00000000-0005-0000-0000-0000AD150000}"/>
    <cellStyle name="Currency 106" xfId="5575" xr:uid="{00000000-0005-0000-0000-0000AE150000}"/>
    <cellStyle name="Currency 106 2" xfId="5576" xr:uid="{00000000-0005-0000-0000-0000AF150000}"/>
    <cellStyle name="Currency 106 3" xfId="25" xr:uid="{00000000-0005-0000-0000-0000B0150000}"/>
    <cellStyle name="Currency 106 3 2" xfId="5577" xr:uid="{00000000-0005-0000-0000-0000B1150000}"/>
    <cellStyle name="Currency 106 4" xfId="5578" xr:uid="{00000000-0005-0000-0000-0000B2150000}"/>
    <cellStyle name="Currency 106 5" xfId="5579" xr:uid="{00000000-0005-0000-0000-0000B3150000}"/>
    <cellStyle name="Currency 107" xfId="5580" xr:uid="{00000000-0005-0000-0000-0000B4150000}"/>
    <cellStyle name="Currency 108" xfId="5581" xr:uid="{00000000-0005-0000-0000-0000B5150000}"/>
    <cellStyle name="Currency 108 2" xfId="5582" xr:uid="{00000000-0005-0000-0000-0000B6150000}"/>
    <cellStyle name="Currency 108 3" xfId="5583" xr:uid="{00000000-0005-0000-0000-0000B7150000}"/>
    <cellStyle name="Currency 108 3 2" xfId="5584" xr:uid="{00000000-0005-0000-0000-0000B8150000}"/>
    <cellStyle name="Currency 108 4" xfId="5585" xr:uid="{00000000-0005-0000-0000-0000B9150000}"/>
    <cellStyle name="Currency 109" xfId="5586" xr:uid="{00000000-0005-0000-0000-0000BA150000}"/>
    <cellStyle name="Currency 11" xfId="5587" xr:uid="{00000000-0005-0000-0000-0000BB150000}"/>
    <cellStyle name="Currency 11 10" xfId="5588" xr:uid="{00000000-0005-0000-0000-0000BC150000}"/>
    <cellStyle name="Currency 11 11" xfId="5589" xr:uid="{00000000-0005-0000-0000-0000BD150000}"/>
    <cellStyle name="Currency 11 12" xfId="5590" xr:uid="{00000000-0005-0000-0000-0000BE150000}"/>
    <cellStyle name="Currency 11 13" xfId="5591" xr:uid="{00000000-0005-0000-0000-0000BF150000}"/>
    <cellStyle name="Currency 11 14" xfId="5592" xr:uid="{00000000-0005-0000-0000-0000C0150000}"/>
    <cellStyle name="Currency 11 15" xfId="5593" xr:uid="{00000000-0005-0000-0000-0000C1150000}"/>
    <cellStyle name="Currency 11 16" xfId="5594" xr:uid="{00000000-0005-0000-0000-0000C2150000}"/>
    <cellStyle name="Currency 11 17" xfId="5595" xr:uid="{00000000-0005-0000-0000-0000C3150000}"/>
    <cellStyle name="Currency 11 18" xfId="5596" xr:uid="{00000000-0005-0000-0000-0000C4150000}"/>
    <cellStyle name="Currency 11 19" xfId="5597" xr:uid="{00000000-0005-0000-0000-0000C5150000}"/>
    <cellStyle name="Currency 11 2" xfId="5598" xr:uid="{00000000-0005-0000-0000-0000C6150000}"/>
    <cellStyle name="Currency 11 20" xfId="5599" xr:uid="{00000000-0005-0000-0000-0000C7150000}"/>
    <cellStyle name="Currency 11 21" xfId="5600" xr:uid="{00000000-0005-0000-0000-0000C8150000}"/>
    <cellStyle name="Currency 11 22" xfId="5601" xr:uid="{00000000-0005-0000-0000-0000C9150000}"/>
    <cellStyle name="Currency 11 3" xfId="5602" xr:uid="{00000000-0005-0000-0000-0000CA150000}"/>
    <cellStyle name="Currency 11 4" xfId="5603" xr:uid="{00000000-0005-0000-0000-0000CB150000}"/>
    <cellStyle name="Currency 11 5" xfId="5604" xr:uid="{00000000-0005-0000-0000-0000CC150000}"/>
    <cellStyle name="Currency 11 6" xfId="5605" xr:uid="{00000000-0005-0000-0000-0000CD150000}"/>
    <cellStyle name="Currency 11 7" xfId="5606" xr:uid="{00000000-0005-0000-0000-0000CE150000}"/>
    <cellStyle name="Currency 11 8" xfId="5607" xr:uid="{00000000-0005-0000-0000-0000CF150000}"/>
    <cellStyle name="Currency 11 9" xfId="5608" xr:uid="{00000000-0005-0000-0000-0000D0150000}"/>
    <cellStyle name="Currency 110" xfId="5609" xr:uid="{00000000-0005-0000-0000-0000D1150000}"/>
    <cellStyle name="Currency 110 2" xfId="5610" xr:uid="{00000000-0005-0000-0000-0000D2150000}"/>
    <cellStyle name="Currency 110 3" xfId="5611" xr:uid="{00000000-0005-0000-0000-0000D3150000}"/>
    <cellStyle name="Currency 111" xfId="5612" xr:uid="{00000000-0005-0000-0000-0000D4150000}"/>
    <cellStyle name="Currency 111 2" xfId="5613" xr:uid="{00000000-0005-0000-0000-0000D5150000}"/>
    <cellStyle name="Currency 111 3" xfId="5614" xr:uid="{00000000-0005-0000-0000-0000D6150000}"/>
    <cellStyle name="Currency 111 3 2" xfId="5615" xr:uid="{00000000-0005-0000-0000-0000D7150000}"/>
    <cellStyle name="Currency 111 4" xfId="5616" xr:uid="{00000000-0005-0000-0000-0000D8150000}"/>
    <cellStyle name="Currency 112" xfId="5617" xr:uid="{00000000-0005-0000-0000-0000D9150000}"/>
    <cellStyle name="Currency 113" xfId="5618" xr:uid="{00000000-0005-0000-0000-0000DA150000}"/>
    <cellStyle name="Currency 114" xfId="5619" xr:uid="{00000000-0005-0000-0000-0000DB150000}"/>
    <cellStyle name="Currency 115" xfId="5620" xr:uid="{00000000-0005-0000-0000-0000DC150000}"/>
    <cellStyle name="Currency 115 2" xfId="5621" xr:uid="{00000000-0005-0000-0000-0000DD150000}"/>
    <cellStyle name="Currency 116" xfId="5622" xr:uid="{00000000-0005-0000-0000-0000DE150000}"/>
    <cellStyle name="Currency 117" xfId="5623" xr:uid="{00000000-0005-0000-0000-0000DF150000}"/>
    <cellStyle name="Currency 117 2" xfId="5624" xr:uid="{00000000-0005-0000-0000-0000E0150000}"/>
    <cellStyle name="Currency 12" xfId="5625" xr:uid="{00000000-0005-0000-0000-0000E1150000}"/>
    <cellStyle name="Currency 12 10" xfId="5626" xr:uid="{00000000-0005-0000-0000-0000E2150000}"/>
    <cellStyle name="Currency 12 11" xfId="5627" xr:uid="{00000000-0005-0000-0000-0000E3150000}"/>
    <cellStyle name="Currency 12 12" xfId="5628" xr:uid="{00000000-0005-0000-0000-0000E4150000}"/>
    <cellStyle name="Currency 12 13" xfId="5629" xr:uid="{00000000-0005-0000-0000-0000E5150000}"/>
    <cellStyle name="Currency 12 14" xfId="5630" xr:uid="{00000000-0005-0000-0000-0000E6150000}"/>
    <cellStyle name="Currency 12 15" xfId="5631" xr:uid="{00000000-0005-0000-0000-0000E7150000}"/>
    <cellStyle name="Currency 12 16" xfId="5632" xr:uid="{00000000-0005-0000-0000-0000E8150000}"/>
    <cellStyle name="Currency 12 17" xfId="5633" xr:uid="{00000000-0005-0000-0000-0000E9150000}"/>
    <cellStyle name="Currency 12 18" xfId="5634" xr:uid="{00000000-0005-0000-0000-0000EA150000}"/>
    <cellStyle name="Currency 12 19" xfId="5635" xr:uid="{00000000-0005-0000-0000-0000EB150000}"/>
    <cellStyle name="Currency 12 2" xfId="5636" xr:uid="{00000000-0005-0000-0000-0000EC150000}"/>
    <cellStyle name="Currency 12 20" xfId="5637" xr:uid="{00000000-0005-0000-0000-0000ED150000}"/>
    <cellStyle name="Currency 12 21" xfId="5638" xr:uid="{00000000-0005-0000-0000-0000EE150000}"/>
    <cellStyle name="Currency 12 22" xfId="5639" xr:uid="{00000000-0005-0000-0000-0000EF150000}"/>
    <cellStyle name="Currency 12 3" xfId="5640" xr:uid="{00000000-0005-0000-0000-0000F0150000}"/>
    <cellStyle name="Currency 12 4" xfId="5641" xr:uid="{00000000-0005-0000-0000-0000F1150000}"/>
    <cellStyle name="Currency 12 5" xfId="5642" xr:uid="{00000000-0005-0000-0000-0000F2150000}"/>
    <cellStyle name="Currency 12 6" xfId="5643" xr:uid="{00000000-0005-0000-0000-0000F3150000}"/>
    <cellStyle name="Currency 12 7" xfId="5644" xr:uid="{00000000-0005-0000-0000-0000F4150000}"/>
    <cellStyle name="Currency 12 8" xfId="5645" xr:uid="{00000000-0005-0000-0000-0000F5150000}"/>
    <cellStyle name="Currency 12 9" xfId="5646" xr:uid="{00000000-0005-0000-0000-0000F6150000}"/>
    <cellStyle name="Currency 13" xfId="5647" xr:uid="{00000000-0005-0000-0000-0000F7150000}"/>
    <cellStyle name="Currency 13 10" xfId="5648" xr:uid="{00000000-0005-0000-0000-0000F8150000}"/>
    <cellStyle name="Currency 13 11" xfId="5649" xr:uid="{00000000-0005-0000-0000-0000F9150000}"/>
    <cellStyle name="Currency 13 12" xfId="5650" xr:uid="{00000000-0005-0000-0000-0000FA150000}"/>
    <cellStyle name="Currency 13 13" xfId="5651" xr:uid="{00000000-0005-0000-0000-0000FB150000}"/>
    <cellStyle name="Currency 13 14" xfId="5652" xr:uid="{00000000-0005-0000-0000-0000FC150000}"/>
    <cellStyle name="Currency 13 15" xfId="5653" xr:uid="{00000000-0005-0000-0000-0000FD150000}"/>
    <cellStyle name="Currency 13 16" xfId="5654" xr:uid="{00000000-0005-0000-0000-0000FE150000}"/>
    <cellStyle name="Currency 13 17" xfId="5655" xr:uid="{00000000-0005-0000-0000-0000FF150000}"/>
    <cellStyle name="Currency 13 18" xfId="5656" xr:uid="{00000000-0005-0000-0000-000000160000}"/>
    <cellStyle name="Currency 13 19" xfId="5657" xr:uid="{00000000-0005-0000-0000-000001160000}"/>
    <cellStyle name="Currency 13 2" xfId="5658" xr:uid="{00000000-0005-0000-0000-000002160000}"/>
    <cellStyle name="Currency 13 20" xfId="5659" xr:uid="{00000000-0005-0000-0000-000003160000}"/>
    <cellStyle name="Currency 13 21" xfId="5660" xr:uid="{00000000-0005-0000-0000-000004160000}"/>
    <cellStyle name="Currency 13 22" xfId="5661" xr:uid="{00000000-0005-0000-0000-000005160000}"/>
    <cellStyle name="Currency 13 3" xfId="5662" xr:uid="{00000000-0005-0000-0000-000006160000}"/>
    <cellStyle name="Currency 13 4" xfId="5663" xr:uid="{00000000-0005-0000-0000-000007160000}"/>
    <cellStyle name="Currency 13 5" xfId="5664" xr:uid="{00000000-0005-0000-0000-000008160000}"/>
    <cellStyle name="Currency 13 6" xfId="5665" xr:uid="{00000000-0005-0000-0000-000009160000}"/>
    <cellStyle name="Currency 13 7" xfId="5666" xr:uid="{00000000-0005-0000-0000-00000A160000}"/>
    <cellStyle name="Currency 13 8" xfId="5667" xr:uid="{00000000-0005-0000-0000-00000B160000}"/>
    <cellStyle name="Currency 13 9" xfId="5668" xr:uid="{00000000-0005-0000-0000-00000C160000}"/>
    <cellStyle name="Currency 138" xfId="5669" xr:uid="{00000000-0005-0000-0000-00000D160000}"/>
    <cellStyle name="Currency 139" xfId="5670" xr:uid="{00000000-0005-0000-0000-00000E160000}"/>
    <cellStyle name="Currency 14" xfId="5671" xr:uid="{00000000-0005-0000-0000-00000F160000}"/>
    <cellStyle name="Currency 14 10" xfId="5672" xr:uid="{00000000-0005-0000-0000-000010160000}"/>
    <cellStyle name="Currency 14 11" xfId="5673" xr:uid="{00000000-0005-0000-0000-000011160000}"/>
    <cellStyle name="Currency 14 12" xfId="5674" xr:uid="{00000000-0005-0000-0000-000012160000}"/>
    <cellStyle name="Currency 14 13" xfId="5675" xr:uid="{00000000-0005-0000-0000-000013160000}"/>
    <cellStyle name="Currency 14 14" xfId="5676" xr:uid="{00000000-0005-0000-0000-000014160000}"/>
    <cellStyle name="Currency 14 15" xfId="5677" xr:uid="{00000000-0005-0000-0000-000015160000}"/>
    <cellStyle name="Currency 14 16" xfId="5678" xr:uid="{00000000-0005-0000-0000-000016160000}"/>
    <cellStyle name="Currency 14 17" xfId="5679" xr:uid="{00000000-0005-0000-0000-000017160000}"/>
    <cellStyle name="Currency 14 18" xfId="5680" xr:uid="{00000000-0005-0000-0000-000018160000}"/>
    <cellStyle name="Currency 14 19" xfId="5681" xr:uid="{00000000-0005-0000-0000-000019160000}"/>
    <cellStyle name="Currency 14 2" xfId="5682" xr:uid="{00000000-0005-0000-0000-00001A160000}"/>
    <cellStyle name="Currency 14 20" xfId="5683" xr:uid="{00000000-0005-0000-0000-00001B160000}"/>
    <cellStyle name="Currency 14 21" xfId="5684" xr:uid="{00000000-0005-0000-0000-00001C160000}"/>
    <cellStyle name="Currency 14 22" xfId="5685" xr:uid="{00000000-0005-0000-0000-00001D160000}"/>
    <cellStyle name="Currency 14 3" xfId="5686" xr:uid="{00000000-0005-0000-0000-00001E160000}"/>
    <cellStyle name="Currency 14 4" xfId="5687" xr:uid="{00000000-0005-0000-0000-00001F160000}"/>
    <cellStyle name="Currency 14 5" xfId="5688" xr:uid="{00000000-0005-0000-0000-000020160000}"/>
    <cellStyle name="Currency 14 6" xfId="5689" xr:uid="{00000000-0005-0000-0000-000021160000}"/>
    <cellStyle name="Currency 14 7" xfId="5690" xr:uid="{00000000-0005-0000-0000-000022160000}"/>
    <cellStyle name="Currency 14 8" xfId="5691" xr:uid="{00000000-0005-0000-0000-000023160000}"/>
    <cellStyle name="Currency 14 9" xfId="5692" xr:uid="{00000000-0005-0000-0000-000024160000}"/>
    <cellStyle name="Currency 15" xfId="5693" xr:uid="{00000000-0005-0000-0000-000025160000}"/>
    <cellStyle name="Currency 16" xfId="5694" xr:uid="{00000000-0005-0000-0000-000026160000}"/>
    <cellStyle name="Currency 17" xfId="5695" xr:uid="{00000000-0005-0000-0000-000027160000}"/>
    <cellStyle name="Currency 18" xfId="5696" xr:uid="{00000000-0005-0000-0000-000028160000}"/>
    <cellStyle name="Currency 19" xfId="5697" xr:uid="{00000000-0005-0000-0000-000029160000}"/>
    <cellStyle name="Currency 2" xfId="5698" xr:uid="{00000000-0005-0000-0000-00002A160000}"/>
    <cellStyle name="Currency 2 10" xfId="5699" xr:uid="{00000000-0005-0000-0000-00002B160000}"/>
    <cellStyle name="Currency 2 11" xfId="5700" xr:uid="{00000000-0005-0000-0000-00002C160000}"/>
    <cellStyle name="Currency 2 12" xfId="5701" xr:uid="{00000000-0005-0000-0000-00002D160000}"/>
    <cellStyle name="Currency 2 12 2" xfId="5702" xr:uid="{00000000-0005-0000-0000-00002E160000}"/>
    <cellStyle name="Currency 2 12 3" xfId="5703" xr:uid="{00000000-0005-0000-0000-00002F160000}"/>
    <cellStyle name="Currency 2 12 4" xfId="5704" xr:uid="{00000000-0005-0000-0000-000030160000}"/>
    <cellStyle name="Currency 2 13" xfId="5705" xr:uid="{00000000-0005-0000-0000-000031160000}"/>
    <cellStyle name="Currency 2 13 2" xfId="5706" xr:uid="{00000000-0005-0000-0000-000032160000}"/>
    <cellStyle name="Currency 2 13 3" xfId="5707" xr:uid="{00000000-0005-0000-0000-000033160000}"/>
    <cellStyle name="Currency 2 13 3 2" xfId="5708" xr:uid="{00000000-0005-0000-0000-000034160000}"/>
    <cellStyle name="Currency 2 13 4" xfId="5709" xr:uid="{00000000-0005-0000-0000-000035160000}"/>
    <cellStyle name="Currency 2 13 5" xfId="5710" xr:uid="{00000000-0005-0000-0000-000036160000}"/>
    <cellStyle name="Currency 2 14" xfId="5711" xr:uid="{00000000-0005-0000-0000-000037160000}"/>
    <cellStyle name="Currency 2 14 2" xfId="5712" xr:uid="{00000000-0005-0000-0000-000038160000}"/>
    <cellStyle name="Currency 2 15" xfId="5713" xr:uid="{00000000-0005-0000-0000-000039160000}"/>
    <cellStyle name="Currency 2 16" xfId="5714" xr:uid="{00000000-0005-0000-0000-00003A160000}"/>
    <cellStyle name="Currency 2 17" xfId="5715" xr:uid="{00000000-0005-0000-0000-00003B160000}"/>
    <cellStyle name="Currency 2 18" xfId="5716" xr:uid="{00000000-0005-0000-0000-00003C160000}"/>
    <cellStyle name="Currency 2 19" xfId="5717" xr:uid="{00000000-0005-0000-0000-00003D160000}"/>
    <cellStyle name="Currency 2 2" xfId="5718" xr:uid="{00000000-0005-0000-0000-00003E160000}"/>
    <cellStyle name="Currency 2 2 2" xfId="5719" xr:uid="{00000000-0005-0000-0000-00003F160000}"/>
    <cellStyle name="Currency 2 2 2 2" xfId="5720" xr:uid="{00000000-0005-0000-0000-000040160000}"/>
    <cellStyle name="Currency 2 2 2 2 2" xfId="5721" xr:uid="{00000000-0005-0000-0000-000041160000}"/>
    <cellStyle name="Currency 2 2 2 3" xfId="5722" xr:uid="{00000000-0005-0000-0000-000042160000}"/>
    <cellStyle name="Currency 2 2 2 3 2" xfId="5723" xr:uid="{00000000-0005-0000-0000-000043160000}"/>
    <cellStyle name="Currency 2 2 2 4" xfId="5724" xr:uid="{00000000-0005-0000-0000-000044160000}"/>
    <cellStyle name="Currency 2 2 2 5" xfId="5725" xr:uid="{00000000-0005-0000-0000-000045160000}"/>
    <cellStyle name="Currency 2 2 3" xfId="5726" xr:uid="{00000000-0005-0000-0000-000046160000}"/>
    <cellStyle name="Currency 2 2 3 2" xfId="5727" xr:uid="{00000000-0005-0000-0000-000047160000}"/>
    <cellStyle name="Currency 2 2 3 3" xfId="5728" xr:uid="{00000000-0005-0000-0000-000048160000}"/>
    <cellStyle name="Currency 2 2 4" xfId="5729" xr:uid="{00000000-0005-0000-0000-000049160000}"/>
    <cellStyle name="Currency 2 2 4 2" xfId="5730" xr:uid="{00000000-0005-0000-0000-00004A160000}"/>
    <cellStyle name="Currency 2 2 4 2 2" xfId="5731" xr:uid="{00000000-0005-0000-0000-00004B160000}"/>
    <cellStyle name="Currency 2 2 4 3" xfId="5732" xr:uid="{00000000-0005-0000-0000-00004C160000}"/>
    <cellStyle name="Currency 2 2 5" xfId="5733" xr:uid="{00000000-0005-0000-0000-00004D160000}"/>
    <cellStyle name="Currency 2 2 5 2" xfId="5734" xr:uid="{00000000-0005-0000-0000-00004E160000}"/>
    <cellStyle name="Currency 2 2 6" xfId="5735" xr:uid="{00000000-0005-0000-0000-00004F160000}"/>
    <cellStyle name="Currency 2 2 7" xfId="5736" xr:uid="{00000000-0005-0000-0000-000050160000}"/>
    <cellStyle name="Currency 2 20" xfId="5737" xr:uid="{00000000-0005-0000-0000-000051160000}"/>
    <cellStyle name="Currency 2 21" xfId="5738" xr:uid="{00000000-0005-0000-0000-000052160000}"/>
    <cellStyle name="Currency 2 22" xfId="5739" xr:uid="{00000000-0005-0000-0000-000053160000}"/>
    <cellStyle name="Currency 2 23" xfId="5740" xr:uid="{00000000-0005-0000-0000-000054160000}"/>
    <cellStyle name="Currency 2 24" xfId="5741" xr:uid="{00000000-0005-0000-0000-000055160000}"/>
    <cellStyle name="Currency 2 25" xfId="5742" xr:uid="{00000000-0005-0000-0000-000056160000}"/>
    <cellStyle name="Currency 2 25 2" xfId="5743" xr:uid="{00000000-0005-0000-0000-000057160000}"/>
    <cellStyle name="Currency 2 25 3" xfId="5744" xr:uid="{00000000-0005-0000-0000-000058160000}"/>
    <cellStyle name="Currency 2 26" xfId="5745" xr:uid="{00000000-0005-0000-0000-000059160000}"/>
    <cellStyle name="Currency 2 26 2" xfId="5746" xr:uid="{00000000-0005-0000-0000-00005A160000}"/>
    <cellStyle name="Currency 2 27" xfId="5747" xr:uid="{00000000-0005-0000-0000-00005B160000}"/>
    <cellStyle name="Currency 2 27 2" xfId="5748" xr:uid="{00000000-0005-0000-0000-00005C160000}"/>
    <cellStyle name="Currency 2 28" xfId="5749" xr:uid="{00000000-0005-0000-0000-00005D160000}"/>
    <cellStyle name="Currency 2 29" xfId="5750" xr:uid="{00000000-0005-0000-0000-00005E160000}"/>
    <cellStyle name="Currency 2 3" xfId="5751" xr:uid="{00000000-0005-0000-0000-00005F160000}"/>
    <cellStyle name="Currency 2 3 2" xfId="5752" xr:uid="{00000000-0005-0000-0000-000060160000}"/>
    <cellStyle name="Currency 2 3 2 2" xfId="5753" xr:uid="{00000000-0005-0000-0000-000061160000}"/>
    <cellStyle name="Currency 2 3 3" xfId="5754" xr:uid="{00000000-0005-0000-0000-000062160000}"/>
    <cellStyle name="Currency 2 3 3 2" xfId="5755" xr:uid="{00000000-0005-0000-0000-000063160000}"/>
    <cellStyle name="Currency 2 3 4" xfId="5756" xr:uid="{00000000-0005-0000-0000-000064160000}"/>
    <cellStyle name="Currency 2 3 4 2" xfId="5757" xr:uid="{00000000-0005-0000-0000-000065160000}"/>
    <cellStyle name="Currency 2 3 5" xfId="5758" xr:uid="{00000000-0005-0000-0000-000066160000}"/>
    <cellStyle name="Currency 2 3 6" xfId="5759" xr:uid="{00000000-0005-0000-0000-000067160000}"/>
    <cellStyle name="Currency 2 4" xfId="5760" xr:uid="{00000000-0005-0000-0000-000068160000}"/>
    <cellStyle name="Currency 2 4 2" xfId="5761" xr:uid="{00000000-0005-0000-0000-000069160000}"/>
    <cellStyle name="Currency 2 4 2 2" xfId="5762" xr:uid="{00000000-0005-0000-0000-00006A160000}"/>
    <cellStyle name="Currency 2 4 3" xfId="5763" xr:uid="{00000000-0005-0000-0000-00006B160000}"/>
    <cellStyle name="Currency 2 4 3 2" xfId="5764" xr:uid="{00000000-0005-0000-0000-00006C160000}"/>
    <cellStyle name="Currency 2 4 4" xfId="5765" xr:uid="{00000000-0005-0000-0000-00006D160000}"/>
    <cellStyle name="Currency 2 4 4 2" xfId="5766" xr:uid="{00000000-0005-0000-0000-00006E160000}"/>
    <cellStyle name="Currency 2 4 5" xfId="5767" xr:uid="{00000000-0005-0000-0000-00006F160000}"/>
    <cellStyle name="Currency 2 4 6" xfId="5768" xr:uid="{00000000-0005-0000-0000-000070160000}"/>
    <cellStyle name="Currency 2 5" xfId="5769" xr:uid="{00000000-0005-0000-0000-000071160000}"/>
    <cellStyle name="Currency 2 5 2" xfId="5770" xr:uid="{00000000-0005-0000-0000-000072160000}"/>
    <cellStyle name="Currency 2 5 3" xfId="5771" xr:uid="{00000000-0005-0000-0000-000073160000}"/>
    <cellStyle name="Currency 2 6" xfId="5772" xr:uid="{00000000-0005-0000-0000-000074160000}"/>
    <cellStyle name="Currency 2 6 2" xfId="5773" xr:uid="{00000000-0005-0000-0000-000075160000}"/>
    <cellStyle name="Currency 2 6 3" xfId="5774" xr:uid="{00000000-0005-0000-0000-000076160000}"/>
    <cellStyle name="Currency 2 7" xfId="5775" xr:uid="{00000000-0005-0000-0000-000077160000}"/>
    <cellStyle name="Currency 2 7 2" xfId="5776" xr:uid="{00000000-0005-0000-0000-000078160000}"/>
    <cellStyle name="Currency 2 8" xfId="5777" xr:uid="{00000000-0005-0000-0000-000079160000}"/>
    <cellStyle name="Currency 2 8 2" xfId="5778" xr:uid="{00000000-0005-0000-0000-00007A160000}"/>
    <cellStyle name="Currency 2 9" xfId="5779" xr:uid="{00000000-0005-0000-0000-00007B160000}"/>
    <cellStyle name="Currency 20" xfId="5780" xr:uid="{00000000-0005-0000-0000-00007C160000}"/>
    <cellStyle name="Currency 21" xfId="5781" xr:uid="{00000000-0005-0000-0000-00007D160000}"/>
    <cellStyle name="Currency 22" xfId="5782" xr:uid="{00000000-0005-0000-0000-00007E160000}"/>
    <cellStyle name="Currency 23" xfId="5783" xr:uid="{00000000-0005-0000-0000-00007F160000}"/>
    <cellStyle name="Currency 24" xfId="5784" xr:uid="{00000000-0005-0000-0000-000080160000}"/>
    <cellStyle name="Currency 25" xfId="5785" xr:uid="{00000000-0005-0000-0000-000081160000}"/>
    <cellStyle name="Currency 26" xfId="5786" xr:uid="{00000000-0005-0000-0000-000082160000}"/>
    <cellStyle name="Currency 27" xfId="5787" xr:uid="{00000000-0005-0000-0000-000083160000}"/>
    <cellStyle name="Currency 28" xfId="5788" xr:uid="{00000000-0005-0000-0000-000084160000}"/>
    <cellStyle name="Currency 29" xfId="5789" xr:uid="{00000000-0005-0000-0000-000085160000}"/>
    <cellStyle name="Currency 3" xfId="3" xr:uid="{00000000-0005-0000-0000-000086160000}"/>
    <cellStyle name="Currency 3 10" xfId="5790" xr:uid="{00000000-0005-0000-0000-000087160000}"/>
    <cellStyle name="Currency 3 11" xfId="5791" xr:uid="{00000000-0005-0000-0000-000088160000}"/>
    <cellStyle name="Currency 3 12" xfId="5792" xr:uid="{00000000-0005-0000-0000-000089160000}"/>
    <cellStyle name="Currency 3 13" xfId="5793" xr:uid="{00000000-0005-0000-0000-00008A160000}"/>
    <cellStyle name="Currency 3 14" xfId="5794" xr:uid="{00000000-0005-0000-0000-00008B160000}"/>
    <cellStyle name="Currency 3 15" xfId="5795" xr:uid="{00000000-0005-0000-0000-00008C160000}"/>
    <cellStyle name="Currency 3 16" xfId="5796" xr:uid="{00000000-0005-0000-0000-00008D160000}"/>
    <cellStyle name="Currency 3 17" xfId="5797" xr:uid="{00000000-0005-0000-0000-00008E160000}"/>
    <cellStyle name="Currency 3 18" xfId="5798" xr:uid="{00000000-0005-0000-0000-00008F160000}"/>
    <cellStyle name="Currency 3 19" xfId="5799" xr:uid="{00000000-0005-0000-0000-000090160000}"/>
    <cellStyle name="Currency 3 2" xfId="5800" xr:uid="{00000000-0005-0000-0000-000091160000}"/>
    <cellStyle name="Currency 3 2 2" xfId="5801" xr:uid="{00000000-0005-0000-0000-000092160000}"/>
    <cellStyle name="Currency 3 2 2 2" xfId="5802" xr:uid="{00000000-0005-0000-0000-000093160000}"/>
    <cellStyle name="Currency 3 2 3" xfId="5803" xr:uid="{00000000-0005-0000-0000-000094160000}"/>
    <cellStyle name="Currency 3 2 4" xfId="5804" xr:uid="{00000000-0005-0000-0000-000095160000}"/>
    <cellStyle name="Currency 3 20" xfId="5805" xr:uid="{00000000-0005-0000-0000-000096160000}"/>
    <cellStyle name="Currency 3 21" xfId="5806" xr:uid="{00000000-0005-0000-0000-000097160000}"/>
    <cellStyle name="Currency 3 22" xfId="5807" xr:uid="{00000000-0005-0000-0000-000098160000}"/>
    <cellStyle name="Currency 3 23" xfId="5808" xr:uid="{00000000-0005-0000-0000-000099160000}"/>
    <cellStyle name="Currency 3 3" xfId="5809" xr:uid="{00000000-0005-0000-0000-00009A160000}"/>
    <cellStyle name="Currency 3 4" xfId="5810" xr:uid="{00000000-0005-0000-0000-00009B160000}"/>
    <cellStyle name="Currency 3 5" xfId="5811" xr:uid="{00000000-0005-0000-0000-00009C160000}"/>
    <cellStyle name="Currency 3 6" xfId="5812" xr:uid="{00000000-0005-0000-0000-00009D160000}"/>
    <cellStyle name="Currency 3 7" xfId="5813" xr:uid="{00000000-0005-0000-0000-00009E160000}"/>
    <cellStyle name="Currency 3 8" xfId="5814" xr:uid="{00000000-0005-0000-0000-00009F160000}"/>
    <cellStyle name="Currency 3 9" xfId="5815" xr:uid="{00000000-0005-0000-0000-0000A0160000}"/>
    <cellStyle name="Currency 30" xfId="5816" xr:uid="{00000000-0005-0000-0000-0000A1160000}"/>
    <cellStyle name="Currency 31" xfId="5817" xr:uid="{00000000-0005-0000-0000-0000A2160000}"/>
    <cellStyle name="Currency 32" xfId="5818" xr:uid="{00000000-0005-0000-0000-0000A3160000}"/>
    <cellStyle name="Currency 33" xfId="5819" xr:uid="{00000000-0005-0000-0000-0000A4160000}"/>
    <cellStyle name="Currency 34" xfId="5820" xr:uid="{00000000-0005-0000-0000-0000A5160000}"/>
    <cellStyle name="Currency 35" xfId="5821" xr:uid="{00000000-0005-0000-0000-0000A6160000}"/>
    <cellStyle name="Currency 36" xfId="5822" xr:uid="{00000000-0005-0000-0000-0000A7160000}"/>
    <cellStyle name="Currency 37" xfId="5823" xr:uid="{00000000-0005-0000-0000-0000A8160000}"/>
    <cellStyle name="Currency 38" xfId="5824" xr:uid="{00000000-0005-0000-0000-0000A9160000}"/>
    <cellStyle name="Currency 39" xfId="5825" xr:uid="{00000000-0005-0000-0000-0000AA160000}"/>
    <cellStyle name="Currency 4" xfId="5826" xr:uid="{00000000-0005-0000-0000-0000AB160000}"/>
    <cellStyle name="Currency 4 10" xfId="5827" xr:uid="{00000000-0005-0000-0000-0000AC160000}"/>
    <cellStyle name="Currency 4 11" xfId="5828" xr:uid="{00000000-0005-0000-0000-0000AD160000}"/>
    <cellStyle name="Currency 4 12" xfId="5829" xr:uid="{00000000-0005-0000-0000-0000AE160000}"/>
    <cellStyle name="Currency 4 13" xfId="5830" xr:uid="{00000000-0005-0000-0000-0000AF160000}"/>
    <cellStyle name="Currency 4 14" xfId="5831" xr:uid="{00000000-0005-0000-0000-0000B0160000}"/>
    <cellStyle name="Currency 4 15" xfId="5832" xr:uid="{00000000-0005-0000-0000-0000B1160000}"/>
    <cellStyle name="Currency 4 16" xfId="5833" xr:uid="{00000000-0005-0000-0000-0000B2160000}"/>
    <cellStyle name="Currency 4 17" xfId="5834" xr:uid="{00000000-0005-0000-0000-0000B3160000}"/>
    <cellStyle name="Currency 4 18" xfId="5835" xr:uid="{00000000-0005-0000-0000-0000B4160000}"/>
    <cellStyle name="Currency 4 19" xfId="5836" xr:uid="{00000000-0005-0000-0000-0000B5160000}"/>
    <cellStyle name="Currency 4 2" xfId="5837" xr:uid="{00000000-0005-0000-0000-0000B6160000}"/>
    <cellStyle name="Currency 4 2 2" xfId="5838" xr:uid="{00000000-0005-0000-0000-0000B7160000}"/>
    <cellStyle name="Currency 4 2 3" xfId="5839" xr:uid="{00000000-0005-0000-0000-0000B8160000}"/>
    <cellStyle name="Currency 4 2 4" xfId="5840" xr:uid="{00000000-0005-0000-0000-0000B9160000}"/>
    <cellStyle name="Currency 4 20" xfId="5841" xr:uid="{00000000-0005-0000-0000-0000BA160000}"/>
    <cellStyle name="Currency 4 21" xfId="5842" xr:uid="{00000000-0005-0000-0000-0000BB160000}"/>
    <cellStyle name="Currency 4 22" xfId="5843" xr:uid="{00000000-0005-0000-0000-0000BC160000}"/>
    <cellStyle name="Currency 4 3" xfId="5844" xr:uid="{00000000-0005-0000-0000-0000BD160000}"/>
    <cellStyle name="Currency 4 3 2" xfId="5845" xr:uid="{00000000-0005-0000-0000-0000BE160000}"/>
    <cellStyle name="Currency 4 3 3" xfId="5846" xr:uid="{00000000-0005-0000-0000-0000BF160000}"/>
    <cellStyle name="Currency 4 3 4" xfId="5847" xr:uid="{00000000-0005-0000-0000-0000C0160000}"/>
    <cellStyle name="Currency 4 4" xfId="5848" xr:uid="{00000000-0005-0000-0000-0000C1160000}"/>
    <cellStyle name="Currency 4 4 2" xfId="5849" xr:uid="{00000000-0005-0000-0000-0000C2160000}"/>
    <cellStyle name="Currency 4 4 3" xfId="5850" xr:uid="{00000000-0005-0000-0000-0000C3160000}"/>
    <cellStyle name="Currency 4 4 4" xfId="5851" xr:uid="{00000000-0005-0000-0000-0000C4160000}"/>
    <cellStyle name="Currency 4 5" xfId="5852" xr:uid="{00000000-0005-0000-0000-0000C5160000}"/>
    <cellStyle name="Currency 4 5 2" xfId="5853" xr:uid="{00000000-0005-0000-0000-0000C6160000}"/>
    <cellStyle name="Currency 4 5 3" xfId="5854" xr:uid="{00000000-0005-0000-0000-0000C7160000}"/>
    <cellStyle name="Currency 4 5 4" xfId="5855" xr:uid="{00000000-0005-0000-0000-0000C8160000}"/>
    <cellStyle name="Currency 4 6" xfId="5856" xr:uid="{00000000-0005-0000-0000-0000C9160000}"/>
    <cellStyle name="Currency 4 6 2" xfId="5857" xr:uid="{00000000-0005-0000-0000-0000CA160000}"/>
    <cellStyle name="Currency 4 6 3" xfId="5858" xr:uid="{00000000-0005-0000-0000-0000CB160000}"/>
    <cellStyle name="Currency 4 7" xfId="5859" xr:uid="{00000000-0005-0000-0000-0000CC160000}"/>
    <cellStyle name="Currency 4 8" xfId="5860" xr:uid="{00000000-0005-0000-0000-0000CD160000}"/>
    <cellStyle name="Currency 4 9" xfId="5861" xr:uid="{00000000-0005-0000-0000-0000CE160000}"/>
    <cellStyle name="Currency 40" xfId="5862" xr:uid="{00000000-0005-0000-0000-0000CF160000}"/>
    <cellStyle name="Currency 41" xfId="5863" xr:uid="{00000000-0005-0000-0000-0000D0160000}"/>
    <cellStyle name="Currency 42" xfId="5864" xr:uid="{00000000-0005-0000-0000-0000D1160000}"/>
    <cellStyle name="Currency 43" xfId="5865" xr:uid="{00000000-0005-0000-0000-0000D2160000}"/>
    <cellStyle name="Currency 44" xfId="5866" xr:uid="{00000000-0005-0000-0000-0000D3160000}"/>
    <cellStyle name="Currency 45" xfId="5867" xr:uid="{00000000-0005-0000-0000-0000D4160000}"/>
    <cellStyle name="Currency 46" xfId="5868" xr:uid="{00000000-0005-0000-0000-0000D5160000}"/>
    <cellStyle name="Currency 47" xfId="5869" xr:uid="{00000000-0005-0000-0000-0000D6160000}"/>
    <cellStyle name="Currency 48" xfId="5870" xr:uid="{00000000-0005-0000-0000-0000D7160000}"/>
    <cellStyle name="Currency 49" xfId="5871" xr:uid="{00000000-0005-0000-0000-0000D8160000}"/>
    <cellStyle name="Currency 5" xfId="5872" xr:uid="{00000000-0005-0000-0000-0000D9160000}"/>
    <cellStyle name="Currency 5 10" xfId="5873" xr:uid="{00000000-0005-0000-0000-0000DA160000}"/>
    <cellStyle name="Currency 5 11" xfId="5874" xr:uid="{00000000-0005-0000-0000-0000DB160000}"/>
    <cellStyle name="Currency 5 12" xfId="5875" xr:uid="{00000000-0005-0000-0000-0000DC160000}"/>
    <cellStyle name="Currency 5 13" xfId="5876" xr:uid="{00000000-0005-0000-0000-0000DD160000}"/>
    <cellStyle name="Currency 5 14" xfId="5877" xr:uid="{00000000-0005-0000-0000-0000DE160000}"/>
    <cellStyle name="Currency 5 15" xfId="5878" xr:uid="{00000000-0005-0000-0000-0000DF160000}"/>
    <cellStyle name="Currency 5 16" xfId="5879" xr:uid="{00000000-0005-0000-0000-0000E0160000}"/>
    <cellStyle name="Currency 5 17" xfId="5880" xr:uid="{00000000-0005-0000-0000-0000E1160000}"/>
    <cellStyle name="Currency 5 18" xfId="5881" xr:uid="{00000000-0005-0000-0000-0000E2160000}"/>
    <cellStyle name="Currency 5 19" xfId="5882" xr:uid="{00000000-0005-0000-0000-0000E3160000}"/>
    <cellStyle name="Currency 5 2" xfId="5883" xr:uid="{00000000-0005-0000-0000-0000E4160000}"/>
    <cellStyle name="Currency 5 2 2" xfId="5884" xr:uid="{00000000-0005-0000-0000-0000E5160000}"/>
    <cellStyle name="Currency 5 20" xfId="5885" xr:uid="{00000000-0005-0000-0000-0000E6160000}"/>
    <cellStyle name="Currency 5 21" xfId="5886" xr:uid="{00000000-0005-0000-0000-0000E7160000}"/>
    <cellStyle name="Currency 5 22" xfId="5887" xr:uid="{00000000-0005-0000-0000-0000E8160000}"/>
    <cellStyle name="Currency 5 23" xfId="5888" xr:uid="{00000000-0005-0000-0000-0000E9160000}"/>
    <cellStyle name="Currency 5 3" xfId="5889" xr:uid="{00000000-0005-0000-0000-0000EA160000}"/>
    <cellStyle name="Currency 5 4" xfId="5890" xr:uid="{00000000-0005-0000-0000-0000EB160000}"/>
    <cellStyle name="Currency 5 5" xfId="5891" xr:uid="{00000000-0005-0000-0000-0000EC160000}"/>
    <cellStyle name="Currency 5 6" xfId="5892" xr:uid="{00000000-0005-0000-0000-0000ED160000}"/>
    <cellStyle name="Currency 5 7" xfId="5893" xr:uid="{00000000-0005-0000-0000-0000EE160000}"/>
    <cellStyle name="Currency 5 8" xfId="5894" xr:uid="{00000000-0005-0000-0000-0000EF160000}"/>
    <cellStyle name="Currency 5 9" xfId="5895" xr:uid="{00000000-0005-0000-0000-0000F0160000}"/>
    <cellStyle name="Currency 50" xfId="5896" xr:uid="{00000000-0005-0000-0000-0000F1160000}"/>
    <cellStyle name="Currency 51" xfId="5897" xr:uid="{00000000-0005-0000-0000-0000F2160000}"/>
    <cellStyle name="Currency 51 2" xfId="5898" xr:uid="{00000000-0005-0000-0000-0000F3160000}"/>
    <cellStyle name="Currency 51 3" xfId="5899" xr:uid="{00000000-0005-0000-0000-0000F4160000}"/>
    <cellStyle name="Currency 52" xfId="5900" xr:uid="{00000000-0005-0000-0000-0000F5160000}"/>
    <cellStyle name="Currency 52 2" xfId="5901" xr:uid="{00000000-0005-0000-0000-0000F6160000}"/>
    <cellStyle name="Currency 52 3" xfId="5902" xr:uid="{00000000-0005-0000-0000-0000F7160000}"/>
    <cellStyle name="Currency 53" xfId="5903" xr:uid="{00000000-0005-0000-0000-0000F8160000}"/>
    <cellStyle name="Currency 54" xfId="5904" xr:uid="{00000000-0005-0000-0000-0000F9160000}"/>
    <cellStyle name="Currency 54 2" xfId="5905" xr:uid="{00000000-0005-0000-0000-0000FA160000}"/>
    <cellStyle name="Currency 54 3" xfId="5906" xr:uid="{00000000-0005-0000-0000-0000FB160000}"/>
    <cellStyle name="Currency 55" xfId="5907" xr:uid="{00000000-0005-0000-0000-0000FC160000}"/>
    <cellStyle name="Currency 55 2" xfId="5908" xr:uid="{00000000-0005-0000-0000-0000FD160000}"/>
    <cellStyle name="Currency 55 3" xfId="5909" xr:uid="{00000000-0005-0000-0000-0000FE160000}"/>
    <cellStyle name="Currency 56" xfId="5910" xr:uid="{00000000-0005-0000-0000-0000FF160000}"/>
    <cellStyle name="Currency 57" xfId="5911" xr:uid="{00000000-0005-0000-0000-000000170000}"/>
    <cellStyle name="Currency 58" xfId="5912" xr:uid="{00000000-0005-0000-0000-000001170000}"/>
    <cellStyle name="Currency 59" xfId="5913" xr:uid="{00000000-0005-0000-0000-000002170000}"/>
    <cellStyle name="Currency 6" xfId="5914" xr:uid="{00000000-0005-0000-0000-000003170000}"/>
    <cellStyle name="Currency 6 10" xfId="5915" xr:uid="{00000000-0005-0000-0000-000004170000}"/>
    <cellStyle name="Currency 6 11" xfId="5916" xr:uid="{00000000-0005-0000-0000-000005170000}"/>
    <cellStyle name="Currency 6 12" xfId="5917" xr:uid="{00000000-0005-0000-0000-000006170000}"/>
    <cellStyle name="Currency 6 13" xfId="5918" xr:uid="{00000000-0005-0000-0000-000007170000}"/>
    <cellStyle name="Currency 6 14" xfId="5919" xr:uid="{00000000-0005-0000-0000-000008170000}"/>
    <cellStyle name="Currency 6 15" xfId="5920" xr:uid="{00000000-0005-0000-0000-000009170000}"/>
    <cellStyle name="Currency 6 16" xfId="5921" xr:uid="{00000000-0005-0000-0000-00000A170000}"/>
    <cellStyle name="Currency 6 17" xfId="5922" xr:uid="{00000000-0005-0000-0000-00000B170000}"/>
    <cellStyle name="Currency 6 18" xfId="5923" xr:uid="{00000000-0005-0000-0000-00000C170000}"/>
    <cellStyle name="Currency 6 19" xfId="5924" xr:uid="{00000000-0005-0000-0000-00000D170000}"/>
    <cellStyle name="Currency 6 2" xfId="5925" xr:uid="{00000000-0005-0000-0000-00000E170000}"/>
    <cellStyle name="Currency 6 20" xfId="5926" xr:uid="{00000000-0005-0000-0000-00000F170000}"/>
    <cellStyle name="Currency 6 21" xfId="5927" xr:uid="{00000000-0005-0000-0000-000010170000}"/>
    <cellStyle name="Currency 6 22" xfId="5928" xr:uid="{00000000-0005-0000-0000-000011170000}"/>
    <cellStyle name="Currency 6 23" xfId="5929" xr:uid="{00000000-0005-0000-0000-000012170000}"/>
    <cellStyle name="Currency 6 24" xfId="5930" xr:uid="{00000000-0005-0000-0000-000013170000}"/>
    <cellStyle name="Currency 6 25" xfId="5931" xr:uid="{00000000-0005-0000-0000-000014170000}"/>
    <cellStyle name="Currency 6 26" xfId="5932" xr:uid="{00000000-0005-0000-0000-000015170000}"/>
    <cellStyle name="Currency 6 27" xfId="5933" xr:uid="{00000000-0005-0000-0000-000016170000}"/>
    <cellStyle name="Currency 6 28" xfId="5934" xr:uid="{00000000-0005-0000-0000-000017170000}"/>
    <cellStyle name="Currency 6 29" xfId="5935" xr:uid="{00000000-0005-0000-0000-000018170000}"/>
    <cellStyle name="Currency 6 3" xfId="5936" xr:uid="{00000000-0005-0000-0000-000019170000}"/>
    <cellStyle name="Currency 6 30" xfId="5937" xr:uid="{00000000-0005-0000-0000-00001A170000}"/>
    <cellStyle name="Currency 6 31" xfId="5938" xr:uid="{00000000-0005-0000-0000-00001B170000}"/>
    <cellStyle name="Currency 6 32" xfId="5939" xr:uid="{00000000-0005-0000-0000-00001C170000}"/>
    <cellStyle name="Currency 6 33" xfId="5940" xr:uid="{00000000-0005-0000-0000-00001D170000}"/>
    <cellStyle name="Currency 6 34" xfId="5941" xr:uid="{00000000-0005-0000-0000-00001E170000}"/>
    <cellStyle name="Currency 6 35" xfId="5942" xr:uid="{00000000-0005-0000-0000-00001F170000}"/>
    <cellStyle name="Currency 6 36" xfId="5943" xr:uid="{00000000-0005-0000-0000-000020170000}"/>
    <cellStyle name="Currency 6 37" xfId="5944" xr:uid="{00000000-0005-0000-0000-000021170000}"/>
    <cellStyle name="Currency 6 38" xfId="5945" xr:uid="{00000000-0005-0000-0000-000022170000}"/>
    <cellStyle name="Currency 6 39" xfId="5946" xr:uid="{00000000-0005-0000-0000-000023170000}"/>
    <cellStyle name="Currency 6 4" xfId="5947" xr:uid="{00000000-0005-0000-0000-000024170000}"/>
    <cellStyle name="Currency 6 40" xfId="5948" xr:uid="{00000000-0005-0000-0000-000025170000}"/>
    <cellStyle name="Currency 6 41" xfId="5949" xr:uid="{00000000-0005-0000-0000-000026170000}"/>
    <cellStyle name="Currency 6 42" xfId="5950" xr:uid="{00000000-0005-0000-0000-000027170000}"/>
    <cellStyle name="Currency 6 43" xfId="5951" xr:uid="{00000000-0005-0000-0000-000028170000}"/>
    <cellStyle name="Currency 6 44" xfId="5952" xr:uid="{00000000-0005-0000-0000-000029170000}"/>
    <cellStyle name="Currency 6 45" xfId="5953" xr:uid="{00000000-0005-0000-0000-00002A170000}"/>
    <cellStyle name="Currency 6 46" xfId="5954" xr:uid="{00000000-0005-0000-0000-00002B170000}"/>
    <cellStyle name="Currency 6 47" xfId="5955" xr:uid="{00000000-0005-0000-0000-00002C170000}"/>
    <cellStyle name="Currency 6 48" xfId="5956" xr:uid="{00000000-0005-0000-0000-00002D170000}"/>
    <cellStyle name="Currency 6 49" xfId="5957" xr:uid="{00000000-0005-0000-0000-00002E170000}"/>
    <cellStyle name="Currency 6 5" xfId="5958" xr:uid="{00000000-0005-0000-0000-00002F170000}"/>
    <cellStyle name="Currency 6 50" xfId="5959" xr:uid="{00000000-0005-0000-0000-000030170000}"/>
    <cellStyle name="Currency 6 51" xfId="5960" xr:uid="{00000000-0005-0000-0000-000031170000}"/>
    <cellStyle name="Currency 6 52" xfId="5961" xr:uid="{00000000-0005-0000-0000-000032170000}"/>
    <cellStyle name="Currency 6 53" xfId="5962" xr:uid="{00000000-0005-0000-0000-000033170000}"/>
    <cellStyle name="Currency 6 54" xfId="5963" xr:uid="{00000000-0005-0000-0000-000034170000}"/>
    <cellStyle name="Currency 6 55" xfId="5964" xr:uid="{00000000-0005-0000-0000-000035170000}"/>
    <cellStyle name="Currency 6 56" xfId="5965" xr:uid="{00000000-0005-0000-0000-000036170000}"/>
    <cellStyle name="Currency 6 57" xfId="5966" xr:uid="{00000000-0005-0000-0000-000037170000}"/>
    <cellStyle name="Currency 6 58" xfId="5967" xr:uid="{00000000-0005-0000-0000-000038170000}"/>
    <cellStyle name="Currency 6 59" xfId="5968" xr:uid="{00000000-0005-0000-0000-000039170000}"/>
    <cellStyle name="Currency 6 6" xfId="5969" xr:uid="{00000000-0005-0000-0000-00003A170000}"/>
    <cellStyle name="Currency 6 7" xfId="5970" xr:uid="{00000000-0005-0000-0000-00003B170000}"/>
    <cellStyle name="Currency 6 8" xfId="5971" xr:uid="{00000000-0005-0000-0000-00003C170000}"/>
    <cellStyle name="Currency 6 9" xfId="5972" xr:uid="{00000000-0005-0000-0000-00003D170000}"/>
    <cellStyle name="Currency 60" xfId="5973" xr:uid="{00000000-0005-0000-0000-00003E170000}"/>
    <cellStyle name="Currency 61" xfId="5974" xr:uid="{00000000-0005-0000-0000-00003F170000}"/>
    <cellStyle name="Currency 62" xfId="5975" xr:uid="{00000000-0005-0000-0000-000040170000}"/>
    <cellStyle name="Currency 63" xfId="5976" xr:uid="{00000000-0005-0000-0000-000041170000}"/>
    <cellStyle name="Currency 64" xfId="5977" xr:uid="{00000000-0005-0000-0000-000042170000}"/>
    <cellStyle name="Currency 65" xfId="5978" xr:uid="{00000000-0005-0000-0000-000043170000}"/>
    <cellStyle name="Currency 66" xfId="5979" xr:uid="{00000000-0005-0000-0000-000044170000}"/>
    <cellStyle name="Currency 67" xfId="5980" xr:uid="{00000000-0005-0000-0000-000045170000}"/>
    <cellStyle name="Currency 68" xfId="5981" xr:uid="{00000000-0005-0000-0000-000046170000}"/>
    <cellStyle name="Currency 69" xfId="5982" xr:uid="{00000000-0005-0000-0000-000047170000}"/>
    <cellStyle name="Currency 69 2" xfId="5983" xr:uid="{00000000-0005-0000-0000-000048170000}"/>
    <cellStyle name="Currency 7" xfId="5984" xr:uid="{00000000-0005-0000-0000-000049170000}"/>
    <cellStyle name="Currency 7 10" xfId="5985" xr:uid="{00000000-0005-0000-0000-00004A170000}"/>
    <cellStyle name="Currency 7 11" xfId="5986" xr:uid="{00000000-0005-0000-0000-00004B170000}"/>
    <cellStyle name="Currency 7 12" xfId="5987" xr:uid="{00000000-0005-0000-0000-00004C170000}"/>
    <cellStyle name="Currency 7 13" xfId="5988" xr:uid="{00000000-0005-0000-0000-00004D170000}"/>
    <cellStyle name="Currency 7 14" xfId="5989" xr:uid="{00000000-0005-0000-0000-00004E170000}"/>
    <cellStyle name="Currency 7 15" xfId="5990" xr:uid="{00000000-0005-0000-0000-00004F170000}"/>
    <cellStyle name="Currency 7 16" xfId="5991" xr:uid="{00000000-0005-0000-0000-000050170000}"/>
    <cellStyle name="Currency 7 17" xfId="5992" xr:uid="{00000000-0005-0000-0000-000051170000}"/>
    <cellStyle name="Currency 7 18" xfId="5993" xr:uid="{00000000-0005-0000-0000-000052170000}"/>
    <cellStyle name="Currency 7 19" xfId="5994" xr:uid="{00000000-0005-0000-0000-000053170000}"/>
    <cellStyle name="Currency 7 2" xfId="5995" xr:uid="{00000000-0005-0000-0000-000054170000}"/>
    <cellStyle name="Currency 7 20" xfId="5996" xr:uid="{00000000-0005-0000-0000-000055170000}"/>
    <cellStyle name="Currency 7 21" xfId="5997" xr:uid="{00000000-0005-0000-0000-000056170000}"/>
    <cellStyle name="Currency 7 22" xfId="5998" xr:uid="{00000000-0005-0000-0000-000057170000}"/>
    <cellStyle name="Currency 7 3" xfId="5999" xr:uid="{00000000-0005-0000-0000-000058170000}"/>
    <cellStyle name="Currency 7 4" xfId="6000" xr:uid="{00000000-0005-0000-0000-000059170000}"/>
    <cellStyle name="Currency 7 5" xfId="6001" xr:uid="{00000000-0005-0000-0000-00005A170000}"/>
    <cellStyle name="Currency 7 6" xfId="6002" xr:uid="{00000000-0005-0000-0000-00005B170000}"/>
    <cellStyle name="Currency 7 7" xfId="6003" xr:uid="{00000000-0005-0000-0000-00005C170000}"/>
    <cellStyle name="Currency 7 8" xfId="6004" xr:uid="{00000000-0005-0000-0000-00005D170000}"/>
    <cellStyle name="Currency 7 9" xfId="6005" xr:uid="{00000000-0005-0000-0000-00005E170000}"/>
    <cellStyle name="Currency 70" xfId="6006" xr:uid="{00000000-0005-0000-0000-00005F170000}"/>
    <cellStyle name="Currency 71" xfId="6007" xr:uid="{00000000-0005-0000-0000-000060170000}"/>
    <cellStyle name="Currency 71 2" xfId="6008" xr:uid="{00000000-0005-0000-0000-000061170000}"/>
    <cellStyle name="Currency 72" xfId="6009" xr:uid="{00000000-0005-0000-0000-000062170000}"/>
    <cellStyle name="Currency 72 2" xfId="6010" xr:uid="{00000000-0005-0000-0000-000063170000}"/>
    <cellStyle name="Currency 73" xfId="6011" xr:uid="{00000000-0005-0000-0000-000064170000}"/>
    <cellStyle name="Currency 73 2" xfId="6012" xr:uid="{00000000-0005-0000-0000-000065170000}"/>
    <cellStyle name="Currency 74" xfId="6013" xr:uid="{00000000-0005-0000-0000-000066170000}"/>
    <cellStyle name="Currency 74 2" xfId="6014" xr:uid="{00000000-0005-0000-0000-000067170000}"/>
    <cellStyle name="Currency 75" xfId="6015" xr:uid="{00000000-0005-0000-0000-000068170000}"/>
    <cellStyle name="Currency 75 2" xfId="6016" xr:uid="{00000000-0005-0000-0000-000069170000}"/>
    <cellStyle name="Currency 76" xfId="6017" xr:uid="{00000000-0005-0000-0000-00006A170000}"/>
    <cellStyle name="Currency 77" xfId="6018" xr:uid="{00000000-0005-0000-0000-00006B170000}"/>
    <cellStyle name="Currency 78" xfId="6019" xr:uid="{00000000-0005-0000-0000-00006C170000}"/>
    <cellStyle name="Currency 79" xfId="6020" xr:uid="{00000000-0005-0000-0000-00006D170000}"/>
    <cellStyle name="Currency 8" xfId="6021" xr:uid="{00000000-0005-0000-0000-00006E170000}"/>
    <cellStyle name="Currency 8 10" xfId="6022" xr:uid="{00000000-0005-0000-0000-00006F170000}"/>
    <cellStyle name="Currency 8 11" xfId="6023" xr:uid="{00000000-0005-0000-0000-000070170000}"/>
    <cellStyle name="Currency 8 12" xfId="6024" xr:uid="{00000000-0005-0000-0000-000071170000}"/>
    <cellStyle name="Currency 8 13" xfId="6025" xr:uid="{00000000-0005-0000-0000-000072170000}"/>
    <cellStyle name="Currency 8 14" xfId="6026" xr:uid="{00000000-0005-0000-0000-000073170000}"/>
    <cellStyle name="Currency 8 15" xfId="6027" xr:uid="{00000000-0005-0000-0000-000074170000}"/>
    <cellStyle name="Currency 8 16" xfId="6028" xr:uid="{00000000-0005-0000-0000-000075170000}"/>
    <cellStyle name="Currency 8 17" xfId="6029" xr:uid="{00000000-0005-0000-0000-000076170000}"/>
    <cellStyle name="Currency 8 18" xfId="6030" xr:uid="{00000000-0005-0000-0000-000077170000}"/>
    <cellStyle name="Currency 8 19" xfId="6031" xr:uid="{00000000-0005-0000-0000-000078170000}"/>
    <cellStyle name="Currency 8 2" xfId="6032" xr:uid="{00000000-0005-0000-0000-000079170000}"/>
    <cellStyle name="Currency 8 20" xfId="6033" xr:uid="{00000000-0005-0000-0000-00007A170000}"/>
    <cellStyle name="Currency 8 21" xfId="6034" xr:uid="{00000000-0005-0000-0000-00007B170000}"/>
    <cellStyle name="Currency 8 22" xfId="6035" xr:uid="{00000000-0005-0000-0000-00007C170000}"/>
    <cellStyle name="Currency 8 3" xfId="6036" xr:uid="{00000000-0005-0000-0000-00007D170000}"/>
    <cellStyle name="Currency 8 4" xfId="6037" xr:uid="{00000000-0005-0000-0000-00007E170000}"/>
    <cellStyle name="Currency 8 5" xfId="6038" xr:uid="{00000000-0005-0000-0000-00007F170000}"/>
    <cellStyle name="Currency 8 6" xfId="6039" xr:uid="{00000000-0005-0000-0000-000080170000}"/>
    <cellStyle name="Currency 8 7" xfId="6040" xr:uid="{00000000-0005-0000-0000-000081170000}"/>
    <cellStyle name="Currency 8 8" xfId="6041" xr:uid="{00000000-0005-0000-0000-000082170000}"/>
    <cellStyle name="Currency 8 9" xfId="6042" xr:uid="{00000000-0005-0000-0000-000083170000}"/>
    <cellStyle name="Currency 80" xfId="6043" xr:uid="{00000000-0005-0000-0000-000084170000}"/>
    <cellStyle name="Currency 81" xfId="6044" xr:uid="{00000000-0005-0000-0000-000085170000}"/>
    <cellStyle name="Currency 82" xfId="6045" xr:uid="{00000000-0005-0000-0000-000086170000}"/>
    <cellStyle name="Currency 83" xfId="6046" xr:uid="{00000000-0005-0000-0000-000087170000}"/>
    <cellStyle name="Currency 84" xfId="6047" xr:uid="{00000000-0005-0000-0000-000088170000}"/>
    <cellStyle name="Currency 85" xfId="6048" xr:uid="{00000000-0005-0000-0000-000089170000}"/>
    <cellStyle name="Currency 86" xfId="6049" xr:uid="{00000000-0005-0000-0000-00008A170000}"/>
    <cellStyle name="Currency 87" xfId="6050" xr:uid="{00000000-0005-0000-0000-00008B170000}"/>
    <cellStyle name="Currency 88" xfId="6051" xr:uid="{00000000-0005-0000-0000-00008C170000}"/>
    <cellStyle name="Currency 89" xfId="6052" xr:uid="{00000000-0005-0000-0000-00008D170000}"/>
    <cellStyle name="Currency 9" xfId="6053" xr:uid="{00000000-0005-0000-0000-00008E170000}"/>
    <cellStyle name="Currency 9 10" xfId="6054" xr:uid="{00000000-0005-0000-0000-00008F170000}"/>
    <cellStyle name="Currency 9 11" xfId="6055" xr:uid="{00000000-0005-0000-0000-000090170000}"/>
    <cellStyle name="Currency 9 12" xfId="6056" xr:uid="{00000000-0005-0000-0000-000091170000}"/>
    <cellStyle name="Currency 9 13" xfId="6057" xr:uid="{00000000-0005-0000-0000-000092170000}"/>
    <cellStyle name="Currency 9 14" xfId="6058" xr:uid="{00000000-0005-0000-0000-000093170000}"/>
    <cellStyle name="Currency 9 15" xfId="6059" xr:uid="{00000000-0005-0000-0000-000094170000}"/>
    <cellStyle name="Currency 9 16" xfId="6060" xr:uid="{00000000-0005-0000-0000-000095170000}"/>
    <cellStyle name="Currency 9 17" xfId="6061" xr:uid="{00000000-0005-0000-0000-000096170000}"/>
    <cellStyle name="Currency 9 18" xfId="6062" xr:uid="{00000000-0005-0000-0000-000097170000}"/>
    <cellStyle name="Currency 9 19" xfId="6063" xr:uid="{00000000-0005-0000-0000-000098170000}"/>
    <cellStyle name="Currency 9 2" xfId="6064" xr:uid="{00000000-0005-0000-0000-000099170000}"/>
    <cellStyle name="Currency 9 20" xfId="6065" xr:uid="{00000000-0005-0000-0000-00009A170000}"/>
    <cellStyle name="Currency 9 21" xfId="6066" xr:uid="{00000000-0005-0000-0000-00009B170000}"/>
    <cellStyle name="Currency 9 22" xfId="6067" xr:uid="{00000000-0005-0000-0000-00009C170000}"/>
    <cellStyle name="Currency 9 3" xfId="6068" xr:uid="{00000000-0005-0000-0000-00009D170000}"/>
    <cellStyle name="Currency 9 4" xfId="6069" xr:uid="{00000000-0005-0000-0000-00009E170000}"/>
    <cellStyle name="Currency 9 5" xfId="6070" xr:uid="{00000000-0005-0000-0000-00009F170000}"/>
    <cellStyle name="Currency 9 6" xfId="6071" xr:uid="{00000000-0005-0000-0000-0000A0170000}"/>
    <cellStyle name="Currency 9 7" xfId="6072" xr:uid="{00000000-0005-0000-0000-0000A1170000}"/>
    <cellStyle name="Currency 9 8" xfId="6073" xr:uid="{00000000-0005-0000-0000-0000A2170000}"/>
    <cellStyle name="Currency 9 9" xfId="6074" xr:uid="{00000000-0005-0000-0000-0000A3170000}"/>
    <cellStyle name="Currency 90" xfId="6075" xr:uid="{00000000-0005-0000-0000-0000A4170000}"/>
    <cellStyle name="Currency 91" xfId="6076" xr:uid="{00000000-0005-0000-0000-0000A5170000}"/>
    <cellStyle name="Currency 92" xfId="6077" xr:uid="{00000000-0005-0000-0000-0000A6170000}"/>
    <cellStyle name="Currency 93" xfId="6078" xr:uid="{00000000-0005-0000-0000-0000A7170000}"/>
    <cellStyle name="Currency 94" xfId="6079" xr:uid="{00000000-0005-0000-0000-0000A8170000}"/>
    <cellStyle name="Currency 95" xfId="6080" xr:uid="{00000000-0005-0000-0000-0000A9170000}"/>
    <cellStyle name="Currency 96" xfId="6081" xr:uid="{00000000-0005-0000-0000-0000AA170000}"/>
    <cellStyle name="Currency 97" xfId="6082" xr:uid="{00000000-0005-0000-0000-0000AB170000}"/>
    <cellStyle name="Currency 98" xfId="6083" xr:uid="{00000000-0005-0000-0000-0000AC170000}"/>
    <cellStyle name="Currency 99" xfId="6084" xr:uid="{00000000-0005-0000-0000-0000AD170000}"/>
    <cellStyle name="Currency0" xfId="6085" xr:uid="{00000000-0005-0000-0000-0000AE170000}"/>
    <cellStyle name="Data Field" xfId="6086" xr:uid="{00000000-0005-0000-0000-0000AF170000}"/>
    <cellStyle name="Data Field 2" xfId="6087" xr:uid="{00000000-0005-0000-0000-0000B0170000}"/>
    <cellStyle name="Data Field 2 2" xfId="6088" xr:uid="{00000000-0005-0000-0000-0000B1170000}"/>
    <cellStyle name="Data Field 2 3" xfId="6089" xr:uid="{00000000-0005-0000-0000-0000B2170000}"/>
    <cellStyle name="Data Field 2 4" xfId="6090" xr:uid="{00000000-0005-0000-0000-0000B3170000}"/>
    <cellStyle name="Data Field 3" xfId="6091" xr:uid="{00000000-0005-0000-0000-0000B4170000}"/>
    <cellStyle name="Data Field 4" xfId="6092" xr:uid="{00000000-0005-0000-0000-0000B5170000}"/>
    <cellStyle name="Data Field 5" xfId="6093" xr:uid="{00000000-0005-0000-0000-0000B6170000}"/>
    <cellStyle name="Data Field 6" xfId="6094" xr:uid="{00000000-0005-0000-0000-0000B7170000}"/>
    <cellStyle name="Data Name" xfId="6095" xr:uid="{00000000-0005-0000-0000-0000B8170000}"/>
    <cellStyle name="Data Name 10" xfId="6096" xr:uid="{00000000-0005-0000-0000-0000B9170000}"/>
    <cellStyle name="Data Name 11" xfId="6097" xr:uid="{00000000-0005-0000-0000-0000BA170000}"/>
    <cellStyle name="Data Name 12" xfId="6098" xr:uid="{00000000-0005-0000-0000-0000BB170000}"/>
    <cellStyle name="Data Name 13" xfId="6099" xr:uid="{00000000-0005-0000-0000-0000BC170000}"/>
    <cellStyle name="Data Name 14" xfId="6100" xr:uid="{00000000-0005-0000-0000-0000BD170000}"/>
    <cellStyle name="Data Name 15" xfId="6101" xr:uid="{00000000-0005-0000-0000-0000BE170000}"/>
    <cellStyle name="Data Name 16" xfId="6102" xr:uid="{00000000-0005-0000-0000-0000BF170000}"/>
    <cellStyle name="Data Name 17" xfId="6103" xr:uid="{00000000-0005-0000-0000-0000C0170000}"/>
    <cellStyle name="Data Name 18" xfId="6104" xr:uid="{00000000-0005-0000-0000-0000C1170000}"/>
    <cellStyle name="Data Name 19" xfId="6105" xr:uid="{00000000-0005-0000-0000-0000C2170000}"/>
    <cellStyle name="Data Name 2" xfId="6106" xr:uid="{00000000-0005-0000-0000-0000C3170000}"/>
    <cellStyle name="Data Name 2 2" xfId="6107" xr:uid="{00000000-0005-0000-0000-0000C4170000}"/>
    <cellStyle name="Data Name 20" xfId="6108" xr:uid="{00000000-0005-0000-0000-0000C5170000}"/>
    <cellStyle name="Data Name 21" xfId="6109" xr:uid="{00000000-0005-0000-0000-0000C6170000}"/>
    <cellStyle name="Data Name 22" xfId="6110" xr:uid="{00000000-0005-0000-0000-0000C7170000}"/>
    <cellStyle name="Data Name 23" xfId="6111" xr:uid="{00000000-0005-0000-0000-0000C8170000}"/>
    <cellStyle name="Data Name 24" xfId="6112" xr:uid="{00000000-0005-0000-0000-0000C9170000}"/>
    <cellStyle name="Data Name 25" xfId="6113" xr:uid="{00000000-0005-0000-0000-0000CA170000}"/>
    <cellStyle name="Data Name 26" xfId="6114" xr:uid="{00000000-0005-0000-0000-0000CB170000}"/>
    <cellStyle name="Data Name 27" xfId="6115" xr:uid="{00000000-0005-0000-0000-0000CC170000}"/>
    <cellStyle name="Data Name 28" xfId="6116" xr:uid="{00000000-0005-0000-0000-0000CD170000}"/>
    <cellStyle name="Data Name 29" xfId="6117" xr:uid="{00000000-0005-0000-0000-0000CE170000}"/>
    <cellStyle name="Data Name 3" xfId="6118" xr:uid="{00000000-0005-0000-0000-0000CF170000}"/>
    <cellStyle name="Data Name 30" xfId="6119" xr:uid="{00000000-0005-0000-0000-0000D0170000}"/>
    <cellStyle name="Data Name 31" xfId="6120" xr:uid="{00000000-0005-0000-0000-0000D1170000}"/>
    <cellStyle name="Data Name 32" xfId="6121" xr:uid="{00000000-0005-0000-0000-0000D2170000}"/>
    <cellStyle name="Data Name 33" xfId="6122" xr:uid="{00000000-0005-0000-0000-0000D3170000}"/>
    <cellStyle name="Data Name 34" xfId="6123" xr:uid="{00000000-0005-0000-0000-0000D4170000}"/>
    <cellStyle name="Data Name 35" xfId="6124" xr:uid="{00000000-0005-0000-0000-0000D5170000}"/>
    <cellStyle name="Data Name 36" xfId="6125" xr:uid="{00000000-0005-0000-0000-0000D6170000}"/>
    <cellStyle name="Data Name 37" xfId="6126" xr:uid="{00000000-0005-0000-0000-0000D7170000}"/>
    <cellStyle name="Data Name 38" xfId="6127" xr:uid="{00000000-0005-0000-0000-0000D8170000}"/>
    <cellStyle name="Data Name 39" xfId="6128" xr:uid="{00000000-0005-0000-0000-0000D9170000}"/>
    <cellStyle name="Data Name 4" xfId="6129" xr:uid="{00000000-0005-0000-0000-0000DA170000}"/>
    <cellStyle name="Data Name 40" xfId="6130" xr:uid="{00000000-0005-0000-0000-0000DB170000}"/>
    <cellStyle name="Data Name 41" xfId="6131" xr:uid="{00000000-0005-0000-0000-0000DC170000}"/>
    <cellStyle name="Data Name 42" xfId="6132" xr:uid="{00000000-0005-0000-0000-0000DD170000}"/>
    <cellStyle name="Data Name 43" xfId="6133" xr:uid="{00000000-0005-0000-0000-0000DE170000}"/>
    <cellStyle name="Data Name 44" xfId="6134" xr:uid="{00000000-0005-0000-0000-0000DF170000}"/>
    <cellStyle name="Data Name 44 2" xfId="6135" xr:uid="{00000000-0005-0000-0000-0000E0170000}"/>
    <cellStyle name="Data Name 44 3" xfId="6136" xr:uid="{00000000-0005-0000-0000-0000E1170000}"/>
    <cellStyle name="Data Name 45" xfId="6137" xr:uid="{00000000-0005-0000-0000-0000E2170000}"/>
    <cellStyle name="Data Name 45 2" xfId="6138" xr:uid="{00000000-0005-0000-0000-0000E3170000}"/>
    <cellStyle name="Data Name 45 3" xfId="6139" xr:uid="{00000000-0005-0000-0000-0000E4170000}"/>
    <cellStyle name="Data Name 46" xfId="6140" xr:uid="{00000000-0005-0000-0000-0000E5170000}"/>
    <cellStyle name="Data Name 47" xfId="6141" xr:uid="{00000000-0005-0000-0000-0000E6170000}"/>
    <cellStyle name="Data Name 48" xfId="6142" xr:uid="{00000000-0005-0000-0000-0000E7170000}"/>
    <cellStyle name="Data Name 49" xfId="6143" xr:uid="{00000000-0005-0000-0000-0000E8170000}"/>
    <cellStyle name="Data Name 5" xfId="6144" xr:uid="{00000000-0005-0000-0000-0000E9170000}"/>
    <cellStyle name="Data Name 50" xfId="6145" xr:uid="{00000000-0005-0000-0000-0000EA170000}"/>
    <cellStyle name="Data Name 51" xfId="6146" xr:uid="{00000000-0005-0000-0000-0000EB170000}"/>
    <cellStyle name="Data Name 52" xfId="6147" xr:uid="{00000000-0005-0000-0000-0000EC170000}"/>
    <cellStyle name="Data Name 53" xfId="6148" xr:uid="{00000000-0005-0000-0000-0000ED170000}"/>
    <cellStyle name="Data Name 54" xfId="6149" xr:uid="{00000000-0005-0000-0000-0000EE170000}"/>
    <cellStyle name="Data Name 55" xfId="6150" xr:uid="{00000000-0005-0000-0000-0000EF170000}"/>
    <cellStyle name="Data Name 56" xfId="6151" xr:uid="{00000000-0005-0000-0000-0000F0170000}"/>
    <cellStyle name="Data Name 57" xfId="6152" xr:uid="{00000000-0005-0000-0000-0000F1170000}"/>
    <cellStyle name="Data Name 58" xfId="6153" xr:uid="{00000000-0005-0000-0000-0000F2170000}"/>
    <cellStyle name="Data Name 59" xfId="6154" xr:uid="{00000000-0005-0000-0000-0000F3170000}"/>
    <cellStyle name="Data Name 6" xfId="6155" xr:uid="{00000000-0005-0000-0000-0000F4170000}"/>
    <cellStyle name="Data Name 60" xfId="6156" xr:uid="{00000000-0005-0000-0000-0000F5170000}"/>
    <cellStyle name="Data Name 61" xfId="6157" xr:uid="{00000000-0005-0000-0000-0000F6170000}"/>
    <cellStyle name="Data Name 62" xfId="6158" xr:uid="{00000000-0005-0000-0000-0000F7170000}"/>
    <cellStyle name="Data Name 63" xfId="6159" xr:uid="{00000000-0005-0000-0000-0000F8170000}"/>
    <cellStyle name="Data Name 64" xfId="6160" xr:uid="{00000000-0005-0000-0000-0000F9170000}"/>
    <cellStyle name="Data Name 65" xfId="6161" xr:uid="{00000000-0005-0000-0000-0000FA170000}"/>
    <cellStyle name="Data Name 66" xfId="6162" xr:uid="{00000000-0005-0000-0000-0000FB170000}"/>
    <cellStyle name="Data Name 67" xfId="6163" xr:uid="{00000000-0005-0000-0000-0000FC170000}"/>
    <cellStyle name="Data Name 68" xfId="6164" xr:uid="{00000000-0005-0000-0000-0000FD170000}"/>
    <cellStyle name="Data Name 69" xfId="6165" xr:uid="{00000000-0005-0000-0000-0000FE170000}"/>
    <cellStyle name="Data Name 7" xfId="6166" xr:uid="{00000000-0005-0000-0000-0000FF170000}"/>
    <cellStyle name="Data Name 70" xfId="6167" xr:uid="{00000000-0005-0000-0000-000000180000}"/>
    <cellStyle name="Data Name 71" xfId="6168" xr:uid="{00000000-0005-0000-0000-000001180000}"/>
    <cellStyle name="Data Name 72" xfId="6169" xr:uid="{00000000-0005-0000-0000-000002180000}"/>
    <cellStyle name="Data Name 73" xfId="6170" xr:uid="{00000000-0005-0000-0000-000003180000}"/>
    <cellStyle name="Data Name 74" xfId="6171" xr:uid="{00000000-0005-0000-0000-000004180000}"/>
    <cellStyle name="Data Name 75" xfId="6172" xr:uid="{00000000-0005-0000-0000-000005180000}"/>
    <cellStyle name="Data Name 76" xfId="6173" xr:uid="{00000000-0005-0000-0000-000006180000}"/>
    <cellStyle name="Data Name 77" xfId="6174" xr:uid="{00000000-0005-0000-0000-000007180000}"/>
    <cellStyle name="Data Name 77 10" xfId="6175" xr:uid="{00000000-0005-0000-0000-000008180000}"/>
    <cellStyle name="Data Name 77 11" xfId="6176" xr:uid="{00000000-0005-0000-0000-000009180000}"/>
    <cellStyle name="Data Name 77 12" xfId="6177" xr:uid="{00000000-0005-0000-0000-00000A180000}"/>
    <cellStyle name="Data Name 77 13" xfId="6178" xr:uid="{00000000-0005-0000-0000-00000B180000}"/>
    <cellStyle name="Data Name 77 14" xfId="6179" xr:uid="{00000000-0005-0000-0000-00000C180000}"/>
    <cellStyle name="Data Name 77 15" xfId="6180" xr:uid="{00000000-0005-0000-0000-00000D180000}"/>
    <cellStyle name="Data Name 77 16" xfId="6181" xr:uid="{00000000-0005-0000-0000-00000E180000}"/>
    <cellStyle name="Data Name 77 17" xfId="6182" xr:uid="{00000000-0005-0000-0000-00000F180000}"/>
    <cellStyle name="Data Name 77 18" xfId="6183" xr:uid="{00000000-0005-0000-0000-000010180000}"/>
    <cellStyle name="Data Name 77 2" xfId="6184" xr:uid="{00000000-0005-0000-0000-000011180000}"/>
    <cellStyle name="Data Name 77 3" xfId="6185" xr:uid="{00000000-0005-0000-0000-000012180000}"/>
    <cellStyle name="Data Name 77 4" xfId="6186" xr:uid="{00000000-0005-0000-0000-000013180000}"/>
    <cellStyle name="Data Name 77 5" xfId="6187" xr:uid="{00000000-0005-0000-0000-000014180000}"/>
    <cellStyle name="Data Name 77 6" xfId="6188" xr:uid="{00000000-0005-0000-0000-000015180000}"/>
    <cellStyle name="Data Name 77 7" xfId="6189" xr:uid="{00000000-0005-0000-0000-000016180000}"/>
    <cellStyle name="Data Name 77 8" xfId="6190" xr:uid="{00000000-0005-0000-0000-000017180000}"/>
    <cellStyle name="Data Name 77 9" xfId="6191" xr:uid="{00000000-0005-0000-0000-000018180000}"/>
    <cellStyle name="Data Name 78" xfId="6192" xr:uid="{00000000-0005-0000-0000-000019180000}"/>
    <cellStyle name="Data Name 78 10" xfId="6193" xr:uid="{00000000-0005-0000-0000-00001A180000}"/>
    <cellStyle name="Data Name 78 11" xfId="6194" xr:uid="{00000000-0005-0000-0000-00001B180000}"/>
    <cellStyle name="Data Name 78 12" xfId="6195" xr:uid="{00000000-0005-0000-0000-00001C180000}"/>
    <cellStyle name="Data Name 78 13" xfId="6196" xr:uid="{00000000-0005-0000-0000-00001D180000}"/>
    <cellStyle name="Data Name 78 14" xfId="6197" xr:uid="{00000000-0005-0000-0000-00001E180000}"/>
    <cellStyle name="Data Name 78 15" xfId="6198" xr:uid="{00000000-0005-0000-0000-00001F180000}"/>
    <cellStyle name="Data Name 78 16" xfId="6199" xr:uid="{00000000-0005-0000-0000-000020180000}"/>
    <cellStyle name="Data Name 78 17" xfId="6200" xr:uid="{00000000-0005-0000-0000-000021180000}"/>
    <cellStyle name="Data Name 78 18" xfId="6201" xr:uid="{00000000-0005-0000-0000-000022180000}"/>
    <cellStyle name="Data Name 78 2" xfId="6202" xr:uid="{00000000-0005-0000-0000-000023180000}"/>
    <cellStyle name="Data Name 78 3" xfId="6203" xr:uid="{00000000-0005-0000-0000-000024180000}"/>
    <cellStyle name="Data Name 78 4" xfId="6204" xr:uid="{00000000-0005-0000-0000-000025180000}"/>
    <cellStyle name="Data Name 78 5" xfId="6205" xr:uid="{00000000-0005-0000-0000-000026180000}"/>
    <cellStyle name="Data Name 78 6" xfId="6206" xr:uid="{00000000-0005-0000-0000-000027180000}"/>
    <cellStyle name="Data Name 78 7" xfId="6207" xr:uid="{00000000-0005-0000-0000-000028180000}"/>
    <cellStyle name="Data Name 78 8" xfId="6208" xr:uid="{00000000-0005-0000-0000-000029180000}"/>
    <cellStyle name="Data Name 78 9" xfId="6209" xr:uid="{00000000-0005-0000-0000-00002A180000}"/>
    <cellStyle name="Data Name 79" xfId="6210" xr:uid="{00000000-0005-0000-0000-00002B180000}"/>
    <cellStyle name="Data Name 79 2" xfId="6211" xr:uid="{00000000-0005-0000-0000-00002C180000}"/>
    <cellStyle name="Data Name 79 3" xfId="6212" xr:uid="{00000000-0005-0000-0000-00002D180000}"/>
    <cellStyle name="Data Name 8" xfId="6213" xr:uid="{00000000-0005-0000-0000-00002E180000}"/>
    <cellStyle name="Data Name 80" xfId="6214" xr:uid="{00000000-0005-0000-0000-00002F180000}"/>
    <cellStyle name="Data Name 80 2" xfId="6215" xr:uid="{00000000-0005-0000-0000-000030180000}"/>
    <cellStyle name="Data Name 81" xfId="6216" xr:uid="{00000000-0005-0000-0000-000031180000}"/>
    <cellStyle name="Data Name 81 2" xfId="6217" xr:uid="{00000000-0005-0000-0000-000032180000}"/>
    <cellStyle name="Data Name 82" xfId="6218" xr:uid="{00000000-0005-0000-0000-000033180000}"/>
    <cellStyle name="Data Name 82 2" xfId="6219" xr:uid="{00000000-0005-0000-0000-000034180000}"/>
    <cellStyle name="Data Name 9" xfId="6220" xr:uid="{00000000-0005-0000-0000-000035180000}"/>
    <cellStyle name="Date" xfId="6221" xr:uid="{00000000-0005-0000-0000-000036180000}"/>
    <cellStyle name="Date/Time" xfId="6222" xr:uid="{00000000-0005-0000-0000-000037180000}"/>
    <cellStyle name="Explanatory Text 10" xfId="6223" xr:uid="{00000000-0005-0000-0000-000038180000}"/>
    <cellStyle name="Explanatory Text 11" xfId="6224" xr:uid="{00000000-0005-0000-0000-000039180000}"/>
    <cellStyle name="Explanatory Text 12" xfId="6225" xr:uid="{00000000-0005-0000-0000-00003A180000}"/>
    <cellStyle name="Explanatory Text 13" xfId="6226" xr:uid="{00000000-0005-0000-0000-00003B180000}"/>
    <cellStyle name="Explanatory Text 14" xfId="6227" xr:uid="{00000000-0005-0000-0000-00003C180000}"/>
    <cellStyle name="Explanatory Text 15" xfId="6228" xr:uid="{00000000-0005-0000-0000-00003D180000}"/>
    <cellStyle name="Explanatory Text 16" xfId="6229" xr:uid="{00000000-0005-0000-0000-00003E180000}"/>
    <cellStyle name="Explanatory Text 17" xfId="6230" xr:uid="{00000000-0005-0000-0000-00003F180000}"/>
    <cellStyle name="Explanatory Text 18" xfId="6231" xr:uid="{00000000-0005-0000-0000-000040180000}"/>
    <cellStyle name="Explanatory Text 19" xfId="6232" xr:uid="{00000000-0005-0000-0000-000041180000}"/>
    <cellStyle name="Explanatory Text 2" xfId="6233" xr:uid="{00000000-0005-0000-0000-000042180000}"/>
    <cellStyle name="Explanatory Text 20" xfId="6234" xr:uid="{00000000-0005-0000-0000-000043180000}"/>
    <cellStyle name="Explanatory Text 21" xfId="6235" xr:uid="{00000000-0005-0000-0000-000044180000}"/>
    <cellStyle name="Explanatory Text 22" xfId="6236" xr:uid="{00000000-0005-0000-0000-000045180000}"/>
    <cellStyle name="Explanatory Text 23" xfId="6237" xr:uid="{00000000-0005-0000-0000-000046180000}"/>
    <cellStyle name="Explanatory Text 24" xfId="6238" xr:uid="{00000000-0005-0000-0000-000047180000}"/>
    <cellStyle name="Explanatory Text 25" xfId="6239" xr:uid="{00000000-0005-0000-0000-000048180000}"/>
    <cellStyle name="Explanatory Text 26" xfId="6240" xr:uid="{00000000-0005-0000-0000-000049180000}"/>
    <cellStyle name="Explanatory Text 27" xfId="6241" xr:uid="{00000000-0005-0000-0000-00004A180000}"/>
    <cellStyle name="Explanatory Text 28" xfId="6242" xr:uid="{00000000-0005-0000-0000-00004B180000}"/>
    <cellStyle name="Explanatory Text 29" xfId="6243" xr:uid="{00000000-0005-0000-0000-00004C180000}"/>
    <cellStyle name="Explanatory Text 3" xfId="6244" xr:uid="{00000000-0005-0000-0000-00004D180000}"/>
    <cellStyle name="Explanatory Text 30" xfId="6245" xr:uid="{00000000-0005-0000-0000-00004E180000}"/>
    <cellStyle name="Explanatory Text 31" xfId="6246" xr:uid="{00000000-0005-0000-0000-00004F180000}"/>
    <cellStyle name="Explanatory Text 32" xfId="6247" xr:uid="{00000000-0005-0000-0000-000050180000}"/>
    <cellStyle name="Explanatory Text 33" xfId="6248" xr:uid="{00000000-0005-0000-0000-000051180000}"/>
    <cellStyle name="Explanatory Text 34" xfId="6249" xr:uid="{00000000-0005-0000-0000-000052180000}"/>
    <cellStyle name="Explanatory Text 35" xfId="6250" xr:uid="{00000000-0005-0000-0000-000053180000}"/>
    <cellStyle name="Explanatory Text 36" xfId="6251" xr:uid="{00000000-0005-0000-0000-000054180000}"/>
    <cellStyle name="Explanatory Text 37" xfId="6252" xr:uid="{00000000-0005-0000-0000-000055180000}"/>
    <cellStyle name="Explanatory Text 38" xfId="6253" xr:uid="{00000000-0005-0000-0000-000056180000}"/>
    <cellStyle name="Explanatory Text 39" xfId="6254" xr:uid="{00000000-0005-0000-0000-000057180000}"/>
    <cellStyle name="Explanatory Text 4" xfId="6255" xr:uid="{00000000-0005-0000-0000-000058180000}"/>
    <cellStyle name="Explanatory Text 40" xfId="6256" xr:uid="{00000000-0005-0000-0000-000059180000}"/>
    <cellStyle name="Explanatory Text 41" xfId="6257" xr:uid="{00000000-0005-0000-0000-00005A180000}"/>
    <cellStyle name="Explanatory Text 42" xfId="6258" xr:uid="{00000000-0005-0000-0000-00005B180000}"/>
    <cellStyle name="Explanatory Text 43" xfId="6259" xr:uid="{00000000-0005-0000-0000-00005C180000}"/>
    <cellStyle name="Explanatory Text 44" xfId="6260" xr:uid="{00000000-0005-0000-0000-00005D180000}"/>
    <cellStyle name="Explanatory Text 45" xfId="6261" xr:uid="{00000000-0005-0000-0000-00005E180000}"/>
    <cellStyle name="Explanatory Text 46" xfId="6262" xr:uid="{00000000-0005-0000-0000-00005F180000}"/>
    <cellStyle name="Explanatory Text 47" xfId="6263" xr:uid="{00000000-0005-0000-0000-000060180000}"/>
    <cellStyle name="Explanatory Text 48" xfId="6264" xr:uid="{00000000-0005-0000-0000-000061180000}"/>
    <cellStyle name="Explanatory Text 49" xfId="6265" xr:uid="{00000000-0005-0000-0000-000062180000}"/>
    <cellStyle name="Explanatory Text 5" xfId="6266" xr:uid="{00000000-0005-0000-0000-000063180000}"/>
    <cellStyle name="Explanatory Text 6" xfId="6267" xr:uid="{00000000-0005-0000-0000-000064180000}"/>
    <cellStyle name="Explanatory Text 7" xfId="6268" xr:uid="{00000000-0005-0000-0000-000065180000}"/>
    <cellStyle name="Explanatory Text 8" xfId="6269" xr:uid="{00000000-0005-0000-0000-000066180000}"/>
    <cellStyle name="Explanatory Text 9" xfId="6270" xr:uid="{00000000-0005-0000-0000-000067180000}"/>
    <cellStyle name="Fixed" xfId="6271" xr:uid="{00000000-0005-0000-0000-000068180000}"/>
    <cellStyle name="Good 10" xfId="6272" xr:uid="{00000000-0005-0000-0000-000069180000}"/>
    <cellStyle name="Good 11" xfId="6273" xr:uid="{00000000-0005-0000-0000-00006A180000}"/>
    <cellStyle name="Good 12" xfId="6274" xr:uid="{00000000-0005-0000-0000-00006B180000}"/>
    <cellStyle name="Good 13" xfId="6275" xr:uid="{00000000-0005-0000-0000-00006C180000}"/>
    <cellStyle name="Good 14" xfId="6276" xr:uid="{00000000-0005-0000-0000-00006D180000}"/>
    <cellStyle name="Good 15" xfId="6277" xr:uid="{00000000-0005-0000-0000-00006E180000}"/>
    <cellStyle name="Good 16" xfId="6278" xr:uid="{00000000-0005-0000-0000-00006F180000}"/>
    <cellStyle name="Good 17" xfId="6279" xr:uid="{00000000-0005-0000-0000-000070180000}"/>
    <cellStyle name="Good 18" xfId="6280" xr:uid="{00000000-0005-0000-0000-000071180000}"/>
    <cellStyle name="Good 19" xfId="6281" xr:uid="{00000000-0005-0000-0000-000072180000}"/>
    <cellStyle name="Good 2" xfId="6282" xr:uid="{00000000-0005-0000-0000-000073180000}"/>
    <cellStyle name="Good 2 2" xfId="6283" xr:uid="{00000000-0005-0000-0000-000074180000}"/>
    <cellStyle name="Good 20" xfId="6284" xr:uid="{00000000-0005-0000-0000-000075180000}"/>
    <cellStyle name="Good 21" xfId="6285" xr:uid="{00000000-0005-0000-0000-000076180000}"/>
    <cellStyle name="Good 22" xfId="6286" xr:uid="{00000000-0005-0000-0000-000077180000}"/>
    <cellStyle name="Good 23" xfId="6287" xr:uid="{00000000-0005-0000-0000-000078180000}"/>
    <cellStyle name="Good 24" xfId="6288" xr:uid="{00000000-0005-0000-0000-000079180000}"/>
    <cellStyle name="Good 25" xfId="6289" xr:uid="{00000000-0005-0000-0000-00007A180000}"/>
    <cellStyle name="Good 26" xfId="6290" xr:uid="{00000000-0005-0000-0000-00007B180000}"/>
    <cellStyle name="Good 27" xfId="6291" xr:uid="{00000000-0005-0000-0000-00007C180000}"/>
    <cellStyle name="Good 28" xfId="6292" xr:uid="{00000000-0005-0000-0000-00007D180000}"/>
    <cellStyle name="Good 29" xfId="6293" xr:uid="{00000000-0005-0000-0000-00007E180000}"/>
    <cellStyle name="Good 3" xfId="6294" xr:uid="{00000000-0005-0000-0000-00007F180000}"/>
    <cellStyle name="Good 30" xfId="6295" xr:uid="{00000000-0005-0000-0000-000080180000}"/>
    <cellStyle name="Good 31" xfId="6296" xr:uid="{00000000-0005-0000-0000-000081180000}"/>
    <cellStyle name="Good 32" xfId="6297" xr:uid="{00000000-0005-0000-0000-000082180000}"/>
    <cellStyle name="Good 33" xfId="6298" xr:uid="{00000000-0005-0000-0000-000083180000}"/>
    <cellStyle name="Good 34" xfId="6299" xr:uid="{00000000-0005-0000-0000-000084180000}"/>
    <cellStyle name="Good 35" xfId="6300" xr:uid="{00000000-0005-0000-0000-000085180000}"/>
    <cellStyle name="Good 36" xfId="6301" xr:uid="{00000000-0005-0000-0000-000086180000}"/>
    <cellStyle name="Good 37" xfId="6302" xr:uid="{00000000-0005-0000-0000-000087180000}"/>
    <cellStyle name="Good 38" xfId="6303" xr:uid="{00000000-0005-0000-0000-000088180000}"/>
    <cellStyle name="Good 39" xfId="6304" xr:uid="{00000000-0005-0000-0000-000089180000}"/>
    <cellStyle name="Good 4" xfId="6305" xr:uid="{00000000-0005-0000-0000-00008A180000}"/>
    <cellStyle name="Good 40" xfId="6306" xr:uid="{00000000-0005-0000-0000-00008B180000}"/>
    <cellStyle name="Good 41" xfId="6307" xr:uid="{00000000-0005-0000-0000-00008C180000}"/>
    <cellStyle name="Good 42" xfId="6308" xr:uid="{00000000-0005-0000-0000-00008D180000}"/>
    <cellStyle name="Good 43" xfId="6309" xr:uid="{00000000-0005-0000-0000-00008E180000}"/>
    <cellStyle name="Good 44" xfId="6310" xr:uid="{00000000-0005-0000-0000-00008F180000}"/>
    <cellStyle name="Good 45" xfId="6311" xr:uid="{00000000-0005-0000-0000-000090180000}"/>
    <cellStyle name="Good 46" xfId="6312" xr:uid="{00000000-0005-0000-0000-000091180000}"/>
    <cellStyle name="Good 47" xfId="6313" xr:uid="{00000000-0005-0000-0000-000092180000}"/>
    <cellStyle name="Good 48" xfId="6314" xr:uid="{00000000-0005-0000-0000-000093180000}"/>
    <cellStyle name="Good 49" xfId="6315" xr:uid="{00000000-0005-0000-0000-000094180000}"/>
    <cellStyle name="Good 5" xfId="6316" xr:uid="{00000000-0005-0000-0000-000095180000}"/>
    <cellStyle name="Good 6" xfId="6317" xr:uid="{00000000-0005-0000-0000-000096180000}"/>
    <cellStyle name="Good 7" xfId="6318" xr:uid="{00000000-0005-0000-0000-000097180000}"/>
    <cellStyle name="Good 8" xfId="6319" xr:uid="{00000000-0005-0000-0000-000098180000}"/>
    <cellStyle name="Good 9" xfId="6320" xr:uid="{00000000-0005-0000-0000-000099180000}"/>
    <cellStyle name="Heading" xfId="6321" xr:uid="{00000000-0005-0000-0000-00009A180000}"/>
    <cellStyle name="Heading 1 10" xfId="6322" xr:uid="{00000000-0005-0000-0000-00009B180000}"/>
    <cellStyle name="Heading 1 11" xfId="6323" xr:uid="{00000000-0005-0000-0000-00009C180000}"/>
    <cellStyle name="Heading 1 12" xfId="6324" xr:uid="{00000000-0005-0000-0000-00009D180000}"/>
    <cellStyle name="Heading 1 13" xfId="6325" xr:uid="{00000000-0005-0000-0000-00009E180000}"/>
    <cellStyle name="Heading 1 14" xfId="6326" xr:uid="{00000000-0005-0000-0000-00009F180000}"/>
    <cellStyle name="Heading 1 15" xfId="6327" xr:uid="{00000000-0005-0000-0000-0000A0180000}"/>
    <cellStyle name="Heading 1 16" xfId="6328" xr:uid="{00000000-0005-0000-0000-0000A1180000}"/>
    <cellStyle name="Heading 1 17" xfId="6329" xr:uid="{00000000-0005-0000-0000-0000A2180000}"/>
    <cellStyle name="Heading 1 18" xfId="6330" xr:uid="{00000000-0005-0000-0000-0000A3180000}"/>
    <cellStyle name="Heading 1 19" xfId="6331" xr:uid="{00000000-0005-0000-0000-0000A4180000}"/>
    <cellStyle name="Heading 1 2" xfId="6332" xr:uid="{00000000-0005-0000-0000-0000A5180000}"/>
    <cellStyle name="Heading 1 2 2" xfId="6333" xr:uid="{00000000-0005-0000-0000-0000A6180000}"/>
    <cellStyle name="Heading 1 2 3" xfId="6334" xr:uid="{00000000-0005-0000-0000-0000A7180000}"/>
    <cellStyle name="Heading 1 2 4" xfId="6335" xr:uid="{00000000-0005-0000-0000-0000A8180000}"/>
    <cellStyle name="Heading 1 20" xfId="6336" xr:uid="{00000000-0005-0000-0000-0000A9180000}"/>
    <cellStyle name="Heading 1 21" xfId="6337" xr:uid="{00000000-0005-0000-0000-0000AA180000}"/>
    <cellStyle name="Heading 1 22" xfId="6338" xr:uid="{00000000-0005-0000-0000-0000AB180000}"/>
    <cellStyle name="Heading 1 23" xfId="6339" xr:uid="{00000000-0005-0000-0000-0000AC180000}"/>
    <cellStyle name="Heading 1 24" xfId="6340" xr:uid="{00000000-0005-0000-0000-0000AD180000}"/>
    <cellStyle name="Heading 1 25" xfId="6341" xr:uid="{00000000-0005-0000-0000-0000AE180000}"/>
    <cellStyle name="Heading 1 26" xfId="6342" xr:uid="{00000000-0005-0000-0000-0000AF180000}"/>
    <cellStyle name="Heading 1 27" xfId="6343" xr:uid="{00000000-0005-0000-0000-0000B0180000}"/>
    <cellStyle name="Heading 1 28" xfId="6344" xr:uid="{00000000-0005-0000-0000-0000B1180000}"/>
    <cellStyle name="Heading 1 29" xfId="6345" xr:uid="{00000000-0005-0000-0000-0000B2180000}"/>
    <cellStyle name="Heading 1 3" xfId="6346" xr:uid="{00000000-0005-0000-0000-0000B3180000}"/>
    <cellStyle name="Heading 1 30" xfId="6347" xr:uid="{00000000-0005-0000-0000-0000B4180000}"/>
    <cellStyle name="Heading 1 31" xfId="6348" xr:uid="{00000000-0005-0000-0000-0000B5180000}"/>
    <cellStyle name="Heading 1 32" xfId="6349" xr:uid="{00000000-0005-0000-0000-0000B6180000}"/>
    <cellStyle name="Heading 1 33" xfId="6350" xr:uid="{00000000-0005-0000-0000-0000B7180000}"/>
    <cellStyle name="Heading 1 34" xfId="6351" xr:uid="{00000000-0005-0000-0000-0000B8180000}"/>
    <cellStyle name="Heading 1 35" xfId="6352" xr:uid="{00000000-0005-0000-0000-0000B9180000}"/>
    <cellStyle name="Heading 1 36" xfId="6353" xr:uid="{00000000-0005-0000-0000-0000BA180000}"/>
    <cellStyle name="Heading 1 37" xfId="6354" xr:uid="{00000000-0005-0000-0000-0000BB180000}"/>
    <cellStyle name="Heading 1 38" xfId="6355" xr:uid="{00000000-0005-0000-0000-0000BC180000}"/>
    <cellStyle name="Heading 1 39" xfId="6356" xr:uid="{00000000-0005-0000-0000-0000BD180000}"/>
    <cellStyle name="Heading 1 4" xfId="6357" xr:uid="{00000000-0005-0000-0000-0000BE180000}"/>
    <cellStyle name="Heading 1 40" xfId="6358" xr:uid="{00000000-0005-0000-0000-0000BF180000}"/>
    <cellStyle name="Heading 1 41" xfId="6359" xr:uid="{00000000-0005-0000-0000-0000C0180000}"/>
    <cellStyle name="Heading 1 42" xfId="6360" xr:uid="{00000000-0005-0000-0000-0000C1180000}"/>
    <cellStyle name="Heading 1 43" xfId="6361" xr:uid="{00000000-0005-0000-0000-0000C2180000}"/>
    <cellStyle name="Heading 1 44" xfId="6362" xr:uid="{00000000-0005-0000-0000-0000C3180000}"/>
    <cellStyle name="Heading 1 45" xfId="6363" xr:uid="{00000000-0005-0000-0000-0000C4180000}"/>
    <cellStyle name="Heading 1 46" xfId="6364" xr:uid="{00000000-0005-0000-0000-0000C5180000}"/>
    <cellStyle name="Heading 1 47" xfId="6365" xr:uid="{00000000-0005-0000-0000-0000C6180000}"/>
    <cellStyle name="Heading 1 48" xfId="6366" xr:uid="{00000000-0005-0000-0000-0000C7180000}"/>
    <cellStyle name="Heading 1 49" xfId="6367" xr:uid="{00000000-0005-0000-0000-0000C8180000}"/>
    <cellStyle name="Heading 1 5" xfId="6368" xr:uid="{00000000-0005-0000-0000-0000C9180000}"/>
    <cellStyle name="Heading 1 50" xfId="6369" xr:uid="{00000000-0005-0000-0000-0000CA180000}"/>
    <cellStyle name="Heading 1 6" xfId="6370" xr:uid="{00000000-0005-0000-0000-0000CB180000}"/>
    <cellStyle name="Heading 1 7" xfId="6371" xr:uid="{00000000-0005-0000-0000-0000CC180000}"/>
    <cellStyle name="Heading 1 8" xfId="6372" xr:uid="{00000000-0005-0000-0000-0000CD180000}"/>
    <cellStyle name="Heading 1 9" xfId="6373" xr:uid="{00000000-0005-0000-0000-0000CE180000}"/>
    <cellStyle name="Heading 2 10" xfId="6374" xr:uid="{00000000-0005-0000-0000-0000CF180000}"/>
    <cellStyle name="Heading 2 10 2" xfId="6375" xr:uid="{00000000-0005-0000-0000-0000D0180000}"/>
    <cellStyle name="Heading 2 10 2 10" xfId="6376" xr:uid="{00000000-0005-0000-0000-0000D1180000}"/>
    <cellStyle name="Heading 2 10 2 10 2" xfId="6377" xr:uid="{00000000-0005-0000-0000-0000D2180000}"/>
    <cellStyle name="Heading 2 10 2 10 2 2" xfId="6378" xr:uid="{00000000-0005-0000-0000-0000D3180000}"/>
    <cellStyle name="Heading 2 10 2 10 3" xfId="6379" xr:uid="{00000000-0005-0000-0000-0000D4180000}"/>
    <cellStyle name="Heading 2 10 2 11" xfId="6380" xr:uid="{00000000-0005-0000-0000-0000D5180000}"/>
    <cellStyle name="Heading 2 10 2 11 2" xfId="6381" xr:uid="{00000000-0005-0000-0000-0000D6180000}"/>
    <cellStyle name="Heading 2 10 2 11 2 2" xfId="6382" xr:uid="{00000000-0005-0000-0000-0000D7180000}"/>
    <cellStyle name="Heading 2 10 2 11 3" xfId="6383" xr:uid="{00000000-0005-0000-0000-0000D8180000}"/>
    <cellStyle name="Heading 2 10 2 12" xfId="6384" xr:uid="{00000000-0005-0000-0000-0000D9180000}"/>
    <cellStyle name="Heading 2 10 2 12 2" xfId="6385" xr:uid="{00000000-0005-0000-0000-0000DA180000}"/>
    <cellStyle name="Heading 2 10 2 12 2 2" xfId="6386" xr:uid="{00000000-0005-0000-0000-0000DB180000}"/>
    <cellStyle name="Heading 2 10 2 12 3" xfId="6387" xr:uid="{00000000-0005-0000-0000-0000DC180000}"/>
    <cellStyle name="Heading 2 10 2 13" xfId="6388" xr:uid="{00000000-0005-0000-0000-0000DD180000}"/>
    <cellStyle name="Heading 2 10 2 13 2" xfId="6389" xr:uid="{00000000-0005-0000-0000-0000DE180000}"/>
    <cellStyle name="Heading 2 10 2 13 2 2" xfId="6390" xr:uid="{00000000-0005-0000-0000-0000DF180000}"/>
    <cellStyle name="Heading 2 10 2 13 3" xfId="6391" xr:uid="{00000000-0005-0000-0000-0000E0180000}"/>
    <cellStyle name="Heading 2 10 2 14" xfId="6392" xr:uid="{00000000-0005-0000-0000-0000E1180000}"/>
    <cellStyle name="Heading 2 10 2 14 2" xfId="6393" xr:uid="{00000000-0005-0000-0000-0000E2180000}"/>
    <cellStyle name="Heading 2 10 2 14 2 2" xfId="6394" xr:uid="{00000000-0005-0000-0000-0000E3180000}"/>
    <cellStyle name="Heading 2 10 2 14 3" xfId="6395" xr:uid="{00000000-0005-0000-0000-0000E4180000}"/>
    <cellStyle name="Heading 2 10 2 15" xfId="6396" xr:uid="{00000000-0005-0000-0000-0000E5180000}"/>
    <cellStyle name="Heading 2 10 2 15 2" xfId="6397" xr:uid="{00000000-0005-0000-0000-0000E6180000}"/>
    <cellStyle name="Heading 2 10 2 15 2 2" xfId="6398" xr:uid="{00000000-0005-0000-0000-0000E7180000}"/>
    <cellStyle name="Heading 2 10 2 15 3" xfId="6399" xr:uid="{00000000-0005-0000-0000-0000E8180000}"/>
    <cellStyle name="Heading 2 10 2 16" xfId="6400" xr:uid="{00000000-0005-0000-0000-0000E9180000}"/>
    <cellStyle name="Heading 2 10 2 16 2" xfId="6401" xr:uid="{00000000-0005-0000-0000-0000EA180000}"/>
    <cellStyle name="Heading 2 10 2 16 2 2" xfId="6402" xr:uid="{00000000-0005-0000-0000-0000EB180000}"/>
    <cellStyle name="Heading 2 10 2 16 3" xfId="6403" xr:uid="{00000000-0005-0000-0000-0000EC180000}"/>
    <cellStyle name="Heading 2 10 2 17" xfId="6404" xr:uid="{00000000-0005-0000-0000-0000ED180000}"/>
    <cellStyle name="Heading 2 10 2 17 2" xfId="6405" xr:uid="{00000000-0005-0000-0000-0000EE180000}"/>
    <cellStyle name="Heading 2 10 2 17 2 2" xfId="6406" xr:uid="{00000000-0005-0000-0000-0000EF180000}"/>
    <cellStyle name="Heading 2 10 2 17 3" xfId="6407" xr:uid="{00000000-0005-0000-0000-0000F0180000}"/>
    <cellStyle name="Heading 2 10 2 18" xfId="6408" xr:uid="{00000000-0005-0000-0000-0000F1180000}"/>
    <cellStyle name="Heading 2 10 2 18 2" xfId="6409" xr:uid="{00000000-0005-0000-0000-0000F2180000}"/>
    <cellStyle name="Heading 2 10 2 19" xfId="6410" xr:uid="{00000000-0005-0000-0000-0000F3180000}"/>
    <cellStyle name="Heading 2 10 2 2" xfId="6411" xr:uid="{00000000-0005-0000-0000-0000F4180000}"/>
    <cellStyle name="Heading 2 10 2 2 2" xfId="6412" xr:uid="{00000000-0005-0000-0000-0000F5180000}"/>
    <cellStyle name="Heading 2 10 2 2 2 2" xfId="6413" xr:uid="{00000000-0005-0000-0000-0000F6180000}"/>
    <cellStyle name="Heading 2 10 2 2 3" xfId="6414" xr:uid="{00000000-0005-0000-0000-0000F7180000}"/>
    <cellStyle name="Heading 2 10 2 3" xfId="6415" xr:uid="{00000000-0005-0000-0000-0000F8180000}"/>
    <cellStyle name="Heading 2 10 2 3 2" xfId="6416" xr:uid="{00000000-0005-0000-0000-0000F9180000}"/>
    <cellStyle name="Heading 2 10 2 3 2 2" xfId="6417" xr:uid="{00000000-0005-0000-0000-0000FA180000}"/>
    <cellStyle name="Heading 2 10 2 3 3" xfId="6418" xr:uid="{00000000-0005-0000-0000-0000FB180000}"/>
    <cellStyle name="Heading 2 10 2 4" xfId="6419" xr:uid="{00000000-0005-0000-0000-0000FC180000}"/>
    <cellStyle name="Heading 2 10 2 4 2" xfId="6420" xr:uid="{00000000-0005-0000-0000-0000FD180000}"/>
    <cellStyle name="Heading 2 10 2 4 2 2" xfId="6421" xr:uid="{00000000-0005-0000-0000-0000FE180000}"/>
    <cellStyle name="Heading 2 10 2 4 3" xfId="6422" xr:uid="{00000000-0005-0000-0000-0000FF180000}"/>
    <cellStyle name="Heading 2 10 2 5" xfId="6423" xr:uid="{00000000-0005-0000-0000-000000190000}"/>
    <cellStyle name="Heading 2 10 2 5 2" xfId="6424" xr:uid="{00000000-0005-0000-0000-000001190000}"/>
    <cellStyle name="Heading 2 10 2 5 2 2" xfId="6425" xr:uid="{00000000-0005-0000-0000-000002190000}"/>
    <cellStyle name="Heading 2 10 2 5 3" xfId="6426" xr:uid="{00000000-0005-0000-0000-000003190000}"/>
    <cellStyle name="Heading 2 10 2 6" xfId="6427" xr:uid="{00000000-0005-0000-0000-000004190000}"/>
    <cellStyle name="Heading 2 10 2 6 2" xfId="6428" xr:uid="{00000000-0005-0000-0000-000005190000}"/>
    <cellStyle name="Heading 2 10 2 6 2 2" xfId="6429" xr:uid="{00000000-0005-0000-0000-000006190000}"/>
    <cellStyle name="Heading 2 10 2 6 3" xfId="6430" xr:uid="{00000000-0005-0000-0000-000007190000}"/>
    <cellStyle name="Heading 2 10 2 7" xfId="6431" xr:uid="{00000000-0005-0000-0000-000008190000}"/>
    <cellStyle name="Heading 2 10 2 7 2" xfId="6432" xr:uid="{00000000-0005-0000-0000-000009190000}"/>
    <cellStyle name="Heading 2 10 2 7 2 2" xfId="6433" xr:uid="{00000000-0005-0000-0000-00000A190000}"/>
    <cellStyle name="Heading 2 10 2 7 3" xfId="6434" xr:uid="{00000000-0005-0000-0000-00000B190000}"/>
    <cellStyle name="Heading 2 10 2 8" xfId="6435" xr:uid="{00000000-0005-0000-0000-00000C190000}"/>
    <cellStyle name="Heading 2 10 2 8 2" xfId="6436" xr:uid="{00000000-0005-0000-0000-00000D190000}"/>
    <cellStyle name="Heading 2 10 2 8 2 2" xfId="6437" xr:uid="{00000000-0005-0000-0000-00000E190000}"/>
    <cellStyle name="Heading 2 10 2 8 3" xfId="6438" xr:uid="{00000000-0005-0000-0000-00000F190000}"/>
    <cellStyle name="Heading 2 10 2 9" xfId="6439" xr:uid="{00000000-0005-0000-0000-000010190000}"/>
    <cellStyle name="Heading 2 10 2 9 2" xfId="6440" xr:uid="{00000000-0005-0000-0000-000011190000}"/>
    <cellStyle name="Heading 2 10 2 9 2 2" xfId="6441" xr:uid="{00000000-0005-0000-0000-000012190000}"/>
    <cellStyle name="Heading 2 10 2 9 3" xfId="6442" xr:uid="{00000000-0005-0000-0000-000013190000}"/>
    <cellStyle name="Heading 2 11" xfId="6443" xr:uid="{00000000-0005-0000-0000-000014190000}"/>
    <cellStyle name="Heading 2 11 2" xfId="6444" xr:uid="{00000000-0005-0000-0000-000015190000}"/>
    <cellStyle name="Heading 2 11 2 10" xfId="6445" xr:uid="{00000000-0005-0000-0000-000016190000}"/>
    <cellStyle name="Heading 2 11 2 10 2" xfId="6446" xr:uid="{00000000-0005-0000-0000-000017190000}"/>
    <cellStyle name="Heading 2 11 2 10 2 2" xfId="6447" xr:uid="{00000000-0005-0000-0000-000018190000}"/>
    <cellStyle name="Heading 2 11 2 10 3" xfId="6448" xr:uid="{00000000-0005-0000-0000-000019190000}"/>
    <cellStyle name="Heading 2 11 2 11" xfId="6449" xr:uid="{00000000-0005-0000-0000-00001A190000}"/>
    <cellStyle name="Heading 2 11 2 11 2" xfId="6450" xr:uid="{00000000-0005-0000-0000-00001B190000}"/>
    <cellStyle name="Heading 2 11 2 11 2 2" xfId="6451" xr:uid="{00000000-0005-0000-0000-00001C190000}"/>
    <cellStyle name="Heading 2 11 2 11 3" xfId="6452" xr:uid="{00000000-0005-0000-0000-00001D190000}"/>
    <cellStyle name="Heading 2 11 2 12" xfId="6453" xr:uid="{00000000-0005-0000-0000-00001E190000}"/>
    <cellStyle name="Heading 2 11 2 12 2" xfId="6454" xr:uid="{00000000-0005-0000-0000-00001F190000}"/>
    <cellStyle name="Heading 2 11 2 12 2 2" xfId="6455" xr:uid="{00000000-0005-0000-0000-000020190000}"/>
    <cellStyle name="Heading 2 11 2 12 3" xfId="6456" xr:uid="{00000000-0005-0000-0000-000021190000}"/>
    <cellStyle name="Heading 2 11 2 13" xfId="6457" xr:uid="{00000000-0005-0000-0000-000022190000}"/>
    <cellStyle name="Heading 2 11 2 13 2" xfId="6458" xr:uid="{00000000-0005-0000-0000-000023190000}"/>
    <cellStyle name="Heading 2 11 2 13 2 2" xfId="6459" xr:uid="{00000000-0005-0000-0000-000024190000}"/>
    <cellStyle name="Heading 2 11 2 13 3" xfId="6460" xr:uid="{00000000-0005-0000-0000-000025190000}"/>
    <cellStyle name="Heading 2 11 2 14" xfId="6461" xr:uid="{00000000-0005-0000-0000-000026190000}"/>
    <cellStyle name="Heading 2 11 2 14 2" xfId="6462" xr:uid="{00000000-0005-0000-0000-000027190000}"/>
    <cellStyle name="Heading 2 11 2 14 2 2" xfId="6463" xr:uid="{00000000-0005-0000-0000-000028190000}"/>
    <cellStyle name="Heading 2 11 2 14 3" xfId="6464" xr:uid="{00000000-0005-0000-0000-000029190000}"/>
    <cellStyle name="Heading 2 11 2 15" xfId="6465" xr:uid="{00000000-0005-0000-0000-00002A190000}"/>
    <cellStyle name="Heading 2 11 2 15 2" xfId="6466" xr:uid="{00000000-0005-0000-0000-00002B190000}"/>
    <cellStyle name="Heading 2 11 2 15 2 2" xfId="6467" xr:uid="{00000000-0005-0000-0000-00002C190000}"/>
    <cellStyle name="Heading 2 11 2 15 3" xfId="6468" xr:uid="{00000000-0005-0000-0000-00002D190000}"/>
    <cellStyle name="Heading 2 11 2 16" xfId="6469" xr:uid="{00000000-0005-0000-0000-00002E190000}"/>
    <cellStyle name="Heading 2 11 2 16 2" xfId="6470" xr:uid="{00000000-0005-0000-0000-00002F190000}"/>
    <cellStyle name="Heading 2 11 2 16 2 2" xfId="6471" xr:uid="{00000000-0005-0000-0000-000030190000}"/>
    <cellStyle name="Heading 2 11 2 16 3" xfId="6472" xr:uid="{00000000-0005-0000-0000-000031190000}"/>
    <cellStyle name="Heading 2 11 2 17" xfId="6473" xr:uid="{00000000-0005-0000-0000-000032190000}"/>
    <cellStyle name="Heading 2 11 2 17 2" xfId="6474" xr:uid="{00000000-0005-0000-0000-000033190000}"/>
    <cellStyle name="Heading 2 11 2 17 2 2" xfId="6475" xr:uid="{00000000-0005-0000-0000-000034190000}"/>
    <cellStyle name="Heading 2 11 2 17 3" xfId="6476" xr:uid="{00000000-0005-0000-0000-000035190000}"/>
    <cellStyle name="Heading 2 11 2 18" xfId="6477" xr:uid="{00000000-0005-0000-0000-000036190000}"/>
    <cellStyle name="Heading 2 11 2 18 2" xfId="6478" xr:uid="{00000000-0005-0000-0000-000037190000}"/>
    <cellStyle name="Heading 2 11 2 19" xfId="6479" xr:uid="{00000000-0005-0000-0000-000038190000}"/>
    <cellStyle name="Heading 2 11 2 2" xfId="6480" xr:uid="{00000000-0005-0000-0000-000039190000}"/>
    <cellStyle name="Heading 2 11 2 2 2" xfId="6481" xr:uid="{00000000-0005-0000-0000-00003A190000}"/>
    <cellStyle name="Heading 2 11 2 2 2 2" xfId="6482" xr:uid="{00000000-0005-0000-0000-00003B190000}"/>
    <cellStyle name="Heading 2 11 2 2 3" xfId="6483" xr:uid="{00000000-0005-0000-0000-00003C190000}"/>
    <cellStyle name="Heading 2 11 2 3" xfId="6484" xr:uid="{00000000-0005-0000-0000-00003D190000}"/>
    <cellStyle name="Heading 2 11 2 3 2" xfId="6485" xr:uid="{00000000-0005-0000-0000-00003E190000}"/>
    <cellStyle name="Heading 2 11 2 3 2 2" xfId="6486" xr:uid="{00000000-0005-0000-0000-00003F190000}"/>
    <cellStyle name="Heading 2 11 2 3 3" xfId="6487" xr:uid="{00000000-0005-0000-0000-000040190000}"/>
    <cellStyle name="Heading 2 11 2 4" xfId="6488" xr:uid="{00000000-0005-0000-0000-000041190000}"/>
    <cellStyle name="Heading 2 11 2 4 2" xfId="6489" xr:uid="{00000000-0005-0000-0000-000042190000}"/>
    <cellStyle name="Heading 2 11 2 4 2 2" xfId="6490" xr:uid="{00000000-0005-0000-0000-000043190000}"/>
    <cellStyle name="Heading 2 11 2 4 3" xfId="6491" xr:uid="{00000000-0005-0000-0000-000044190000}"/>
    <cellStyle name="Heading 2 11 2 5" xfId="6492" xr:uid="{00000000-0005-0000-0000-000045190000}"/>
    <cellStyle name="Heading 2 11 2 5 2" xfId="6493" xr:uid="{00000000-0005-0000-0000-000046190000}"/>
    <cellStyle name="Heading 2 11 2 5 2 2" xfId="6494" xr:uid="{00000000-0005-0000-0000-000047190000}"/>
    <cellStyle name="Heading 2 11 2 5 3" xfId="6495" xr:uid="{00000000-0005-0000-0000-000048190000}"/>
    <cellStyle name="Heading 2 11 2 6" xfId="6496" xr:uid="{00000000-0005-0000-0000-000049190000}"/>
    <cellStyle name="Heading 2 11 2 6 2" xfId="6497" xr:uid="{00000000-0005-0000-0000-00004A190000}"/>
    <cellStyle name="Heading 2 11 2 6 2 2" xfId="6498" xr:uid="{00000000-0005-0000-0000-00004B190000}"/>
    <cellStyle name="Heading 2 11 2 6 3" xfId="6499" xr:uid="{00000000-0005-0000-0000-00004C190000}"/>
    <cellStyle name="Heading 2 11 2 7" xfId="6500" xr:uid="{00000000-0005-0000-0000-00004D190000}"/>
    <cellStyle name="Heading 2 11 2 7 2" xfId="6501" xr:uid="{00000000-0005-0000-0000-00004E190000}"/>
    <cellStyle name="Heading 2 11 2 7 2 2" xfId="6502" xr:uid="{00000000-0005-0000-0000-00004F190000}"/>
    <cellStyle name="Heading 2 11 2 7 3" xfId="6503" xr:uid="{00000000-0005-0000-0000-000050190000}"/>
    <cellStyle name="Heading 2 11 2 8" xfId="6504" xr:uid="{00000000-0005-0000-0000-000051190000}"/>
    <cellStyle name="Heading 2 11 2 8 2" xfId="6505" xr:uid="{00000000-0005-0000-0000-000052190000}"/>
    <cellStyle name="Heading 2 11 2 8 2 2" xfId="6506" xr:uid="{00000000-0005-0000-0000-000053190000}"/>
    <cellStyle name="Heading 2 11 2 8 3" xfId="6507" xr:uid="{00000000-0005-0000-0000-000054190000}"/>
    <cellStyle name="Heading 2 11 2 9" xfId="6508" xr:uid="{00000000-0005-0000-0000-000055190000}"/>
    <cellStyle name="Heading 2 11 2 9 2" xfId="6509" xr:uid="{00000000-0005-0000-0000-000056190000}"/>
    <cellStyle name="Heading 2 11 2 9 2 2" xfId="6510" xr:uid="{00000000-0005-0000-0000-000057190000}"/>
    <cellStyle name="Heading 2 11 2 9 3" xfId="6511" xr:uid="{00000000-0005-0000-0000-000058190000}"/>
    <cellStyle name="Heading 2 12" xfId="6512" xr:uid="{00000000-0005-0000-0000-000059190000}"/>
    <cellStyle name="Heading 2 12 2" xfId="6513" xr:uid="{00000000-0005-0000-0000-00005A190000}"/>
    <cellStyle name="Heading 2 12 2 10" xfId="6514" xr:uid="{00000000-0005-0000-0000-00005B190000}"/>
    <cellStyle name="Heading 2 12 2 10 2" xfId="6515" xr:uid="{00000000-0005-0000-0000-00005C190000}"/>
    <cellStyle name="Heading 2 12 2 10 2 2" xfId="6516" xr:uid="{00000000-0005-0000-0000-00005D190000}"/>
    <cellStyle name="Heading 2 12 2 10 3" xfId="6517" xr:uid="{00000000-0005-0000-0000-00005E190000}"/>
    <cellStyle name="Heading 2 12 2 11" xfId="6518" xr:uid="{00000000-0005-0000-0000-00005F190000}"/>
    <cellStyle name="Heading 2 12 2 11 2" xfId="6519" xr:uid="{00000000-0005-0000-0000-000060190000}"/>
    <cellStyle name="Heading 2 12 2 11 2 2" xfId="6520" xr:uid="{00000000-0005-0000-0000-000061190000}"/>
    <cellStyle name="Heading 2 12 2 11 3" xfId="6521" xr:uid="{00000000-0005-0000-0000-000062190000}"/>
    <cellStyle name="Heading 2 12 2 12" xfId="6522" xr:uid="{00000000-0005-0000-0000-000063190000}"/>
    <cellStyle name="Heading 2 12 2 12 2" xfId="6523" xr:uid="{00000000-0005-0000-0000-000064190000}"/>
    <cellStyle name="Heading 2 12 2 12 2 2" xfId="6524" xr:uid="{00000000-0005-0000-0000-000065190000}"/>
    <cellStyle name="Heading 2 12 2 12 3" xfId="6525" xr:uid="{00000000-0005-0000-0000-000066190000}"/>
    <cellStyle name="Heading 2 12 2 13" xfId="6526" xr:uid="{00000000-0005-0000-0000-000067190000}"/>
    <cellStyle name="Heading 2 12 2 13 2" xfId="6527" xr:uid="{00000000-0005-0000-0000-000068190000}"/>
    <cellStyle name="Heading 2 12 2 13 2 2" xfId="6528" xr:uid="{00000000-0005-0000-0000-000069190000}"/>
    <cellStyle name="Heading 2 12 2 13 3" xfId="6529" xr:uid="{00000000-0005-0000-0000-00006A190000}"/>
    <cellStyle name="Heading 2 12 2 14" xfId="6530" xr:uid="{00000000-0005-0000-0000-00006B190000}"/>
    <cellStyle name="Heading 2 12 2 14 2" xfId="6531" xr:uid="{00000000-0005-0000-0000-00006C190000}"/>
    <cellStyle name="Heading 2 12 2 14 2 2" xfId="6532" xr:uid="{00000000-0005-0000-0000-00006D190000}"/>
    <cellStyle name="Heading 2 12 2 14 3" xfId="6533" xr:uid="{00000000-0005-0000-0000-00006E190000}"/>
    <cellStyle name="Heading 2 12 2 15" xfId="6534" xr:uid="{00000000-0005-0000-0000-00006F190000}"/>
    <cellStyle name="Heading 2 12 2 15 2" xfId="6535" xr:uid="{00000000-0005-0000-0000-000070190000}"/>
    <cellStyle name="Heading 2 12 2 15 2 2" xfId="6536" xr:uid="{00000000-0005-0000-0000-000071190000}"/>
    <cellStyle name="Heading 2 12 2 15 3" xfId="6537" xr:uid="{00000000-0005-0000-0000-000072190000}"/>
    <cellStyle name="Heading 2 12 2 16" xfId="6538" xr:uid="{00000000-0005-0000-0000-000073190000}"/>
    <cellStyle name="Heading 2 12 2 16 2" xfId="6539" xr:uid="{00000000-0005-0000-0000-000074190000}"/>
    <cellStyle name="Heading 2 12 2 16 2 2" xfId="6540" xr:uid="{00000000-0005-0000-0000-000075190000}"/>
    <cellStyle name="Heading 2 12 2 16 3" xfId="6541" xr:uid="{00000000-0005-0000-0000-000076190000}"/>
    <cellStyle name="Heading 2 12 2 17" xfId="6542" xr:uid="{00000000-0005-0000-0000-000077190000}"/>
    <cellStyle name="Heading 2 12 2 17 2" xfId="6543" xr:uid="{00000000-0005-0000-0000-000078190000}"/>
    <cellStyle name="Heading 2 12 2 17 2 2" xfId="6544" xr:uid="{00000000-0005-0000-0000-000079190000}"/>
    <cellStyle name="Heading 2 12 2 17 3" xfId="6545" xr:uid="{00000000-0005-0000-0000-00007A190000}"/>
    <cellStyle name="Heading 2 12 2 18" xfId="6546" xr:uid="{00000000-0005-0000-0000-00007B190000}"/>
    <cellStyle name="Heading 2 12 2 18 2" xfId="6547" xr:uid="{00000000-0005-0000-0000-00007C190000}"/>
    <cellStyle name="Heading 2 12 2 19" xfId="6548" xr:uid="{00000000-0005-0000-0000-00007D190000}"/>
    <cellStyle name="Heading 2 12 2 2" xfId="6549" xr:uid="{00000000-0005-0000-0000-00007E190000}"/>
    <cellStyle name="Heading 2 12 2 2 2" xfId="6550" xr:uid="{00000000-0005-0000-0000-00007F190000}"/>
    <cellStyle name="Heading 2 12 2 2 2 2" xfId="6551" xr:uid="{00000000-0005-0000-0000-000080190000}"/>
    <cellStyle name="Heading 2 12 2 2 3" xfId="6552" xr:uid="{00000000-0005-0000-0000-000081190000}"/>
    <cellStyle name="Heading 2 12 2 3" xfId="6553" xr:uid="{00000000-0005-0000-0000-000082190000}"/>
    <cellStyle name="Heading 2 12 2 3 2" xfId="6554" xr:uid="{00000000-0005-0000-0000-000083190000}"/>
    <cellStyle name="Heading 2 12 2 3 2 2" xfId="6555" xr:uid="{00000000-0005-0000-0000-000084190000}"/>
    <cellStyle name="Heading 2 12 2 3 3" xfId="6556" xr:uid="{00000000-0005-0000-0000-000085190000}"/>
    <cellStyle name="Heading 2 12 2 4" xfId="6557" xr:uid="{00000000-0005-0000-0000-000086190000}"/>
    <cellStyle name="Heading 2 12 2 4 2" xfId="6558" xr:uid="{00000000-0005-0000-0000-000087190000}"/>
    <cellStyle name="Heading 2 12 2 4 2 2" xfId="6559" xr:uid="{00000000-0005-0000-0000-000088190000}"/>
    <cellStyle name="Heading 2 12 2 4 3" xfId="6560" xr:uid="{00000000-0005-0000-0000-000089190000}"/>
    <cellStyle name="Heading 2 12 2 5" xfId="6561" xr:uid="{00000000-0005-0000-0000-00008A190000}"/>
    <cellStyle name="Heading 2 12 2 5 2" xfId="6562" xr:uid="{00000000-0005-0000-0000-00008B190000}"/>
    <cellStyle name="Heading 2 12 2 5 2 2" xfId="6563" xr:uid="{00000000-0005-0000-0000-00008C190000}"/>
    <cellStyle name="Heading 2 12 2 5 3" xfId="6564" xr:uid="{00000000-0005-0000-0000-00008D190000}"/>
    <cellStyle name="Heading 2 12 2 6" xfId="6565" xr:uid="{00000000-0005-0000-0000-00008E190000}"/>
    <cellStyle name="Heading 2 12 2 6 2" xfId="6566" xr:uid="{00000000-0005-0000-0000-00008F190000}"/>
    <cellStyle name="Heading 2 12 2 6 2 2" xfId="6567" xr:uid="{00000000-0005-0000-0000-000090190000}"/>
    <cellStyle name="Heading 2 12 2 6 3" xfId="6568" xr:uid="{00000000-0005-0000-0000-000091190000}"/>
    <cellStyle name="Heading 2 12 2 7" xfId="6569" xr:uid="{00000000-0005-0000-0000-000092190000}"/>
    <cellStyle name="Heading 2 12 2 7 2" xfId="6570" xr:uid="{00000000-0005-0000-0000-000093190000}"/>
    <cellStyle name="Heading 2 12 2 7 2 2" xfId="6571" xr:uid="{00000000-0005-0000-0000-000094190000}"/>
    <cellStyle name="Heading 2 12 2 7 3" xfId="6572" xr:uid="{00000000-0005-0000-0000-000095190000}"/>
    <cellStyle name="Heading 2 12 2 8" xfId="6573" xr:uid="{00000000-0005-0000-0000-000096190000}"/>
    <cellStyle name="Heading 2 12 2 8 2" xfId="6574" xr:uid="{00000000-0005-0000-0000-000097190000}"/>
    <cellStyle name="Heading 2 12 2 8 2 2" xfId="6575" xr:uid="{00000000-0005-0000-0000-000098190000}"/>
    <cellStyle name="Heading 2 12 2 8 3" xfId="6576" xr:uid="{00000000-0005-0000-0000-000099190000}"/>
    <cellStyle name="Heading 2 12 2 9" xfId="6577" xr:uid="{00000000-0005-0000-0000-00009A190000}"/>
    <cellStyle name="Heading 2 12 2 9 2" xfId="6578" xr:uid="{00000000-0005-0000-0000-00009B190000}"/>
    <cellStyle name="Heading 2 12 2 9 2 2" xfId="6579" xr:uid="{00000000-0005-0000-0000-00009C190000}"/>
    <cellStyle name="Heading 2 12 2 9 3" xfId="6580" xr:uid="{00000000-0005-0000-0000-00009D190000}"/>
    <cellStyle name="Heading 2 13" xfId="6581" xr:uid="{00000000-0005-0000-0000-00009E190000}"/>
    <cellStyle name="Heading 2 13 2" xfId="6582" xr:uid="{00000000-0005-0000-0000-00009F190000}"/>
    <cellStyle name="Heading 2 13 2 10" xfId="6583" xr:uid="{00000000-0005-0000-0000-0000A0190000}"/>
    <cellStyle name="Heading 2 13 2 10 2" xfId="6584" xr:uid="{00000000-0005-0000-0000-0000A1190000}"/>
    <cellStyle name="Heading 2 13 2 10 2 2" xfId="6585" xr:uid="{00000000-0005-0000-0000-0000A2190000}"/>
    <cellStyle name="Heading 2 13 2 10 3" xfId="6586" xr:uid="{00000000-0005-0000-0000-0000A3190000}"/>
    <cellStyle name="Heading 2 13 2 11" xfId="6587" xr:uid="{00000000-0005-0000-0000-0000A4190000}"/>
    <cellStyle name="Heading 2 13 2 11 2" xfId="6588" xr:uid="{00000000-0005-0000-0000-0000A5190000}"/>
    <cellStyle name="Heading 2 13 2 11 2 2" xfId="6589" xr:uid="{00000000-0005-0000-0000-0000A6190000}"/>
    <cellStyle name="Heading 2 13 2 11 3" xfId="6590" xr:uid="{00000000-0005-0000-0000-0000A7190000}"/>
    <cellStyle name="Heading 2 13 2 12" xfId="6591" xr:uid="{00000000-0005-0000-0000-0000A8190000}"/>
    <cellStyle name="Heading 2 13 2 12 2" xfId="6592" xr:uid="{00000000-0005-0000-0000-0000A9190000}"/>
    <cellStyle name="Heading 2 13 2 12 2 2" xfId="6593" xr:uid="{00000000-0005-0000-0000-0000AA190000}"/>
    <cellStyle name="Heading 2 13 2 12 3" xfId="6594" xr:uid="{00000000-0005-0000-0000-0000AB190000}"/>
    <cellStyle name="Heading 2 13 2 13" xfId="6595" xr:uid="{00000000-0005-0000-0000-0000AC190000}"/>
    <cellStyle name="Heading 2 13 2 13 2" xfId="6596" xr:uid="{00000000-0005-0000-0000-0000AD190000}"/>
    <cellStyle name="Heading 2 13 2 13 2 2" xfId="6597" xr:uid="{00000000-0005-0000-0000-0000AE190000}"/>
    <cellStyle name="Heading 2 13 2 13 3" xfId="6598" xr:uid="{00000000-0005-0000-0000-0000AF190000}"/>
    <cellStyle name="Heading 2 13 2 14" xfId="6599" xr:uid="{00000000-0005-0000-0000-0000B0190000}"/>
    <cellStyle name="Heading 2 13 2 14 2" xfId="6600" xr:uid="{00000000-0005-0000-0000-0000B1190000}"/>
    <cellStyle name="Heading 2 13 2 14 2 2" xfId="6601" xr:uid="{00000000-0005-0000-0000-0000B2190000}"/>
    <cellStyle name="Heading 2 13 2 14 3" xfId="6602" xr:uid="{00000000-0005-0000-0000-0000B3190000}"/>
    <cellStyle name="Heading 2 13 2 15" xfId="6603" xr:uid="{00000000-0005-0000-0000-0000B4190000}"/>
    <cellStyle name="Heading 2 13 2 15 2" xfId="6604" xr:uid="{00000000-0005-0000-0000-0000B5190000}"/>
    <cellStyle name="Heading 2 13 2 15 2 2" xfId="6605" xr:uid="{00000000-0005-0000-0000-0000B6190000}"/>
    <cellStyle name="Heading 2 13 2 15 3" xfId="6606" xr:uid="{00000000-0005-0000-0000-0000B7190000}"/>
    <cellStyle name="Heading 2 13 2 16" xfId="6607" xr:uid="{00000000-0005-0000-0000-0000B8190000}"/>
    <cellStyle name="Heading 2 13 2 16 2" xfId="6608" xr:uid="{00000000-0005-0000-0000-0000B9190000}"/>
    <cellStyle name="Heading 2 13 2 16 2 2" xfId="6609" xr:uid="{00000000-0005-0000-0000-0000BA190000}"/>
    <cellStyle name="Heading 2 13 2 16 3" xfId="6610" xr:uid="{00000000-0005-0000-0000-0000BB190000}"/>
    <cellStyle name="Heading 2 13 2 17" xfId="6611" xr:uid="{00000000-0005-0000-0000-0000BC190000}"/>
    <cellStyle name="Heading 2 13 2 17 2" xfId="6612" xr:uid="{00000000-0005-0000-0000-0000BD190000}"/>
    <cellStyle name="Heading 2 13 2 17 2 2" xfId="6613" xr:uid="{00000000-0005-0000-0000-0000BE190000}"/>
    <cellStyle name="Heading 2 13 2 17 3" xfId="6614" xr:uid="{00000000-0005-0000-0000-0000BF190000}"/>
    <cellStyle name="Heading 2 13 2 18" xfId="6615" xr:uid="{00000000-0005-0000-0000-0000C0190000}"/>
    <cellStyle name="Heading 2 13 2 18 2" xfId="6616" xr:uid="{00000000-0005-0000-0000-0000C1190000}"/>
    <cellStyle name="Heading 2 13 2 19" xfId="6617" xr:uid="{00000000-0005-0000-0000-0000C2190000}"/>
    <cellStyle name="Heading 2 13 2 2" xfId="6618" xr:uid="{00000000-0005-0000-0000-0000C3190000}"/>
    <cellStyle name="Heading 2 13 2 2 2" xfId="6619" xr:uid="{00000000-0005-0000-0000-0000C4190000}"/>
    <cellStyle name="Heading 2 13 2 2 2 2" xfId="6620" xr:uid="{00000000-0005-0000-0000-0000C5190000}"/>
    <cellStyle name="Heading 2 13 2 2 3" xfId="6621" xr:uid="{00000000-0005-0000-0000-0000C6190000}"/>
    <cellStyle name="Heading 2 13 2 3" xfId="6622" xr:uid="{00000000-0005-0000-0000-0000C7190000}"/>
    <cellStyle name="Heading 2 13 2 3 2" xfId="6623" xr:uid="{00000000-0005-0000-0000-0000C8190000}"/>
    <cellStyle name="Heading 2 13 2 3 2 2" xfId="6624" xr:uid="{00000000-0005-0000-0000-0000C9190000}"/>
    <cellStyle name="Heading 2 13 2 3 3" xfId="6625" xr:uid="{00000000-0005-0000-0000-0000CA190000}"/>
    <cellStyle name="Heading 2 13 2 4" xfId="6626" xr:uid="{00000000-0005-0000-0000-0000CB190000}"/>
    <cellStyle name="Heading 2 13 2 4 2" xfId="6627" xr:uid="{00000000-0005-0000-0000-0000CC190000}"/>
    <cellStyle name="Heading 2 13 2 4 2 2" xfId="6628" xr:uid="{00000000-0005-0000-0000-0000CD190000}"/>
    <cellStyle name="Heading 2 13 2 4 3" xfId="6629" xr:uid="{00000000-0005-0000-0000-0000CE190000}"/>
    <cellStyle name="Heading 2 13 2 5" xfId="6630" xr:uid="{00000000-0005-0000-0000-0000CF190000}"/>
    <cellStyle name="Heading 2 13 2 5 2" xfId="6631" xr:uid="{00000000-0005-0000-0000-0000D0190000}"/>
    <cellStyle name="Heading 2 13 2 5 2 2" xfId="6632" xr:uid="{00000000-0005-0000-0000-0000D1190000}"/>
    <cellStyle name="Heading 2 13 2 5 3" xfId="6633" xr:uid="{00000000-0005-0000-0000-0000D2190000}"/>
    <cellStyle name="Heading 2 13 2 6" xfId="6634" xr:uid="{00000000-0005-0000-0000-0000D3190000}"/>
    <cellStyle name="Heading 2 13 2 6 2" xfId="6635" xr:uid="{00000000-0005-0000-0000-0000D4190000}"/>
    <cellStyle name="Heading 2 13 2 6 2 2" xfId="6636" xr:uid="{00000000-0005-0000-0000-0000D5190000}"/>
    <cellStyle name="Heading 2 13 2 6 3" xfId="6637" xr:uid="{00000000-0005-0000-0000-0000D6190000}"/>
    <cellStyle name="Heading 2 13 2 7" xfId="6638" xr:uid="{00000000-0005-0000-0000-0000D7190000}"/>
    <cellStyle name="Heading 2 13 2 7 2" xfId="6639" xr:uid="{00000000-0005-0000-0000-0000D8190000}"/>
    <cellStyle name="Heading 2 13 2 7 2 2" xfId="6640" xr:uid="{00000000-0005-0000-0000-0000D9190000}"/>
    <cellStyle name="Heading 2 13 2 7 3" xfId="6641" xr:uid="{00000000-0005-0000-0000-0000DA190000}"/>
    <cellStyle name="Heading 2 13 2 8" xfId="6642" xr:uid="{00000000-0005-0000-0000-0000DB190000}"/>
    <cellStyle name="Heading 2 13 2 8 2" xfId="6643" xr:uid="{00000000-0005-0000-0000-0000DC190000}"/>
    <cellStyle name="Heading 2 13 2 8 2 2" xfId="6644" xr:uid="{00000000-0005-0000-0000-0000DD190000}"/>
    <cellStyle name="Heading 2 13 2 8 3" xfId="6645" xr:uid="{00000000-0005-0000-0000-0000DE190000}"/>
    <cellStyle name="Heading 2 13 2 9" xfId="6646" xr:uid="{00000000-0005-0000-0000-0000DF190000}"/>
    <cellStyle name="Heading 2 13 2 9 2" xfId="6647" xr:uid="{00000000-0005-0000-0000-0000E0190000}"/>
    <cellStyle name="Heading 2 13 2 9 2 2" xfId="6648" xr:uid="{00000000-0005-0000-0000-0000E1190000}"/>
    <cellStyle name="Heading 2 13 2 9 3" xfId="6649" xr:uid="{00000000-0005-0000-0000-0000E2190000}"/>
    <cellStyle name="Heading 2 14" xfId="6650" xr:uid="{00000000-0005-0000-0000-0000E3190000}"/>
    <cellStyle name="Heading 2 14 2" xfId="6651" xr:uid="{00000000-0005-0000-0000-0000E4190000}"/>
    <cellStyle name="Heading 2 14 2 10" xfId="6652" xr:uid="{00000000-0005-0000-0000-0000E5190000}"/>
    <cellStyle name="Heading 2 14 2 10 2" xfId="6653" xr:uid="{00000000-0005-0000-0000-0000E6190000}"/>
    <cellStyle name="Heading 2 14 2 10 2 2" xfId="6654" xr:uid="{00000000-0005-0000-0000-0000E7190000}"/>
    <cellStyle name="Heading 2 14 2 10 3" xfId="6655" xr:uid="{00000000-0005-0000-0000-0000E8190000}"/>
    <cellStyle name="Heading 2 14 2 11" xfId="6656" xr:uid="{00000000-0005-0000-0000-0000E9190000}"/>
    <cellStyle name="Heading 2 14 2 11 2" xfId="6657" xr:uid="{00000000-0005-0000-0000-0000EA190000}"/>
    <cellStyle name="Heading 2 14 2 11 2 2" xfId="6658" xr:uid="{00000000-0005-0000-0000-0000EB190000}"/>
    <cellStyle name="Heading 2 14 2 11 3" xfId="6659" xr:uid="{00000000-0005-0000-0000-0000EC190000}"/>
    <cellStyle name="Heading 2 14 2 12" xfId="6660" xr:uid="{00000000-0005-0000-0000-0000ED190000}"/>
    <cellStyle name="Heading 2 14 2 12 2" xfId="6661" xr:uid="{00000000-0005-0000-0000-0000EE190000}"/>
    <cellStyle name="Heading 2 14 2 12 2 2" xfId="6662" xr:uid="{00000000-0005-0000-0000-0000EF190000}"/>
    <cellStyle name="Heading 2 14 2 12 3" xfId="6663" xr:uid="{00000000-0005-0000-0000-0000F0190000}"/>
    <cellStyle name="Heading 2 14 2 13" xfId="6664" xr:uid="{00000000-0005-0000-0000-0000F1190000}"/>
    <cellStyle name="Heading 2 14 2 13 2" xfId="6665" xr:uid="{00000000-0005-0000-0000-0000F2190000}"/>
    <cellStyle name="Heading 2 14 2 13 2 2" xfId="6666" xr:uid="{00000000-0005-0000-0000-0000F3190000}"/>
    <cellStyle name="Heading 2 14 2 13 3" xfId="6667" xr:uid="{00000000-0005-0000-0000-0000F4190000}"/>
    <cellStyle name="Heading 2 14 2 14" xfId="6668" xr:uid="{00000000-0005-0000-0000-0000F5190000}"/>
    <cellStyle name="Heading 2 14 2 14 2" xfId="6669" xr:uid="{00000000-0005-0000-0000-0000F6190000}"/>
    <cellStyle name="Heading 2 14 2 14 2 2" xfId="6670" xr:uid="{00000000-0005-0000-0000-0000F7190000}"/>
    <cellStyle name="Heading 2 14 2 14 3" xfId="6671" xr:uid="{00000000-0005-0000-0000-0000F8190000}"/>
    <cellStyle name="Heading 2 14 2 15" xfId="6672" xr:uid="{00000000-0005-0000-0000-0000F9190000}"/>
    <cellStyle name="Heading 2 14 2 15 2" xfId="6673" xr:uid="{00000000-0005-0000-0000-0000FA190000}"/>
    <cellStyle name="Heading 2 14 2 15 2 2" xfId="6674" xr:uid="{00000000-0005-0000-0000-0000FB190000}"/>
    <cellStyle name="Heading 2 14 2 15 3" xfId="6675" xr:uid="{00000000-0005-0000-0000-0000FC190000}"/>
    <cellStyle name="Heading 2 14 2 16" xfId="6676" xr:uid="{00000000-0005-0000-0000-0000FD190000}"/>
    <cellStyle name="Heading 2 14 2 16 2" xfId="6677" xr:uid="{00000000-0005-0000-0000-0000FE190000}"/>
    <cellStyle name="Heading 2 14 2 16 2 2" xfId="6678" xr:uid="{00000000-0005-0000-0000-0000FF190000}"/>
    <cellStyle name="Heading 2 14 2 16 3" xfId="6679" xr:uid="{00000000-0005-0000-0000-0000001A0000}"/>
    <cellStyle name="Heading 2 14 2 17" xfId="6680" xr:uid="{00000000-0005-0000-0000-0000011A0000}"/>
    <cellStyle name="Heading 2 14 2 17 2" xfId="6681" xr:uid="{00000000-0005-0000-0000-0000021A0000}"/>
    <cellStyle name="Heading 2 14 2 17 2 2" xfId="6682" xr:uid="{00000000-0005-0000-0000-0000031A0000}"/>
    <cellStyle name="Heading 2 14 2 17 3" xfId="6683" xr:uid="{00000000-0005-0000-0000-0000041A0000}"/>
    <cellStyle name="Heading 2 14 2 18" xfId="6684" xr:uid="{00000000-0005-0000-0000-0000051A0000}"/>
    <cellStyle name="Heading 2 14 2 18 2" xfId="6685" xr:uid="{00000000-0005-0000-0000-0000061A0000}"/>
    <cellStyle name="Heading 2 14 2 19" xfId="6686" xr:uid="{00000000-0005-0000-0000-0000071A0000}"/>
    <cellStyle name="Heading 2 14 2 2" xfId="6687" xr:uid="{00000000-0005-0000-0000-0000081A0000}"/>
    <cellStyle name="Heading 2 14 2 2 2" xfId="6688" xr:uid="{00000000-0005-0000-0000-0000091A0000}"/>
    <cellStyle name="Heading 2 14 2 2 2 2" xfId="6689" xr:uid="{00000000-0005-0000-0000-00000A1A0000}"/>
    <cellStyle name="Heading 2 14 2 2 3" xfId="6690" xr:uid="{00000000-0005-0000-0000-00000B1A0000}"/>
    <cellStyle name="Heading 2 14 2 3" xfId="6691" xr:uid="{00000000-0005-0000-0000-00000C1A0000}"/>
    <cellStyle name="Heading 2 14 2 3 2" xfId="6692" xr:uid="{00000000-0005-0000-0000-00000D1A0000}"/>
    <cellStyle name="Heading 2 14 2 3 2 2" xfId="6693" xr:uid="{00000000-0005-0000-0000-00000E1A0000}"/>
    <cellStyle name="Heading 2 14 2 3 3" xfId="6694" xr:uid="{00000000-0005-0000-0000-00000F1A0000}"/>
    <cellStyle name="Heading 2 14 2 4" xfId="6695" xr:uid="{00000000-0005-0000-0000-0000101A0000}"/>
    <cellStyle name="Heading 2 14 2 4 2" xfId="6696" xr:uid="{00000000-0005-0000-0000-0000111A0000}"/>
    <cellStyle name="Heading 2 14 2 4 2 2" xfId="6697" xr:uid="{00000000-0005-0000-0000-0000121A0000}"/>
    <cellStyle name="Heading 2 14 2 4 3" xfId="6698" xr:uid="{00000000-0005-0000-0000-0000131A0000}"/>
    <cellStyle name="Heading 2 14 2 5" xfId="6699" xr:uid="{00000000-0005-0000-0000-0000141A0000}"/>
    <cellStyle name="Heading 2 14 2 5 2" xfId="6700" xr:uid="{00000000-0005-0000-0000-0000151A0000}"/>
    <cellStyle name="Heading 2 14 2 5 2 2" xfId="6701" xr:uid="{00000000-0005-0000-0000-0000161A0000}"/>
    <cellStyle name="Heading 2 14 2 5 3" xfId="6702" xr:uid="{00000000-0005-0000-0000-0000171A0000}"/>
    <cellStyle name="Heading 2 14 2 6" xfId="6703" xr:uid="{00000000-0005-0000-0000-0000181A0000}"/>
    <cellStyle name="Heading 2 14 2 6 2" xfId="6704" xr:uid="{00000000-0005-0000-0000-0000191A0000}"/>
    <cellStyle name="Heading 2 14 2 6 2 2" xfId="6705" xr:uid="{00000000-0005-0000-0000-00001A1A0000}"/>
    <cellStyle name="Heading 2 14 2 6 3" xfId="6706" xr:uid="{00000000-0005-0000-0000-00001B1A0000}"/>
    <cellStyle name="Heading 2 14 2 7" xfId="6707" xr:uid="{00000000-0005-0000-0000-00001C1A0000}"/>
    <cellStyle name="Heading 2 14 2 7 2" xfId="6708" xr:uid="{00000000-0005-0000-0000-00001D1A0000}"/>
    <cellStyle name="Heading 2 14 2 7 2 2" xfId="6709" xr:uid="{00000000-0005-0000-0000-00001E1A0000}"/>
    <cellStyle name="Heading 2 14 2 7 3" xfId="6710" xr:uid="{00000000-0005-0000-0000-00001F1A0000}"/>
    <cellStyle name="Heading 2 14 2 8" xfId="6711" xr:uid="{00000000-0005-0000-0000-0000201A0000}"/>
    <cellStyle name="Heading 2 14 2 8 2" xfId="6712" xr:uid="{00000000-0005-0000-0000-0000211A0000}"/>
    <cellStyle name="Heading 2 14 2 8 2 2" xfId="6713" xr:uid="{00000000-0005-0000-0000-0000221A0000}"/>
    <cellStyle name="Heading 2 14 2 8 3" xfId="6714" xr:uid="{00000000-0005-0000-0000-0000231A0000}"/>
    <cellStyle name="Heading 2 14 2 9" xfId="6715" xr:uid="{00000000-0005-0000-0000-0000241A0000}"/>
    <cellStyle name="Heading 2 14 2 9 2" xfId="6716" xr:uid="{00000000-0005-0000-0000-0000251A0000}"/>
    <cellStyle name="Heading 2 14 2 9 2 2" xfId="6717" xr:uid="{00000000-0005-0000-0000-0000261A0000}"/>
    <cellStyle name="Heading 2 14 2 9 3" xfId="6718" xr:uid="{00000000-0005-0000-0000-0000271A0000}"/>
    <cellStyle name="Heading 2 15" xfId="6719" xr:uid="{00000000-0005-0000-0000-0000281A0000}"/>
    <cellStyle name="Heading 2 15 2" xfId="6720" xr:uid="{00000000-0005-0000-0000-0000291A0000}"/>
    <cellStyle name="Heading 2 15 2 10" xfId="6721" xr:uid="{00000000-0005-0000-0000-00002A1A0000}"/>
    <cellStyle name="Heading 2 15 2 10 2" xfId="6722" xr:uid="{00000000-0005-0000-0000-00002B1A0000}"/>
    <cellStyle name="Heading 2 15 2 10 2 2" xfId="6723" xr:uid="{00000000-0005-0000-0000-00002C1A0000}"/>
    <cellStyle name="Heading 2 15 2 10 3" xfId="6724" xr:uid="{00000000-0005-0000-0000-00002D1A0000}"/>
    <cellStyle name="Heading 2 15 2 11" xfId="6725" xr:uid="{00000000-0005-0000-0000-00002E1A0000}"/>
    <cellStyle name="Heading 2 15 2 11 2" xfId="6726" xr:uid="{00000000-0005-0000-0000-00002F1A0000}"/>
    <cellStyle name="Heading 2 15 2 11 2 2" xfId="6727" xr:uid="{00000000-0005-0000-0000-0000301A0000}"/>
    <cellStyle name="Heading 2 15 2 11 3" xfId="6728" xr:uid="{00000000-0005-0000-0000-0000311A0000}"/>
    <cellStyle name="Heading 2 15 2 12" xfId="6729" xr:uid="{00000000-0005-0000-0000-0000321A0000}"/>
    <cellStyle name="Heading 2 15 2 12 2" xfId="6730" xr:uid="{00000000-0005-0000-0000-0000331A0000}"/>
    <cellStyle name="Heading 2 15 2 12 2 2" xfId="6731" xr:uid="{00000000-0005-0000-0000-0000341A0000}"/>
    <cellStyle name="Heading 2 15 2 12 3" xfId="6732" xr:uid="{00000000-0005-0000-0000-0000351A0000}"/>
    <cellStyle name="Heading 2 15 2 13" xfId="6733" xr:uid="{00000000-0005-0000-0000-0000361A0000}"/>
    <cellStyle name="Heading 2 15 2 13 2" xfId="6734" xr:uid="{00000000-0005-0000-0000-0000371A0000}"/>
    <cellStyle name="Heading 2 15 2 13 2 2" xfId="6735" xr:uid="{00000000-0005-0000-0000-0000381A0000}"/>
    <cellStyle name="Heading 2 15 2 13 3" xfId="6736" xr:uid="{00000000-0005-0000-0000-0000391A0000}"/>
    <cellStyle name="Heading 2 15 2 14" xfId="6737" xr:uid="{00000000-0005-0000-0000-00003A1A0000}"/>
    <cellStyle name="Heading 2 15 2 14 2" xfId="6738" xr:uid="{00000000-0005-0000-0000-00003B1A0000}"/>
    <cellStyle name="Heading 2 15 2 14 2 2" xfId="6739" xr:uid="{00000000-0005-0000-0000-00003C1A0000}"/>
    <cellStyle name="Heading 2 15 2 14 3" xfId="6740" xr:uid="{00000000-0005-0000-0000-00003D1A0000}"/>
    <cellStyle name="Heading 2 15 2 15" xfId="6741" xr:uid="{00000000-0005-0000-0000-00003E1A0000}"/>
    <cellStyle name="Heading 2 15 2 15 2" xfId="6742" xr:uid="{00000000-0005-0000-0000-00003F1A0000}"/>
    <cellStyle name="Heading 2 15 2 15 2 2" xfId="6743" xr:uid="{00000000-0005-0000-0000-0000401A0000}"/>
    <cellStyle name="Heading 2 15 2 15 3" xfId="6744" xr:uid="{00000000-0005-0000-0000-0000411A0000}"/>
    <cellStyle name="Heading 2 15 2 16" xfId="6745" xr:uid="{00000000-0005-0000-0000-0000421A0000}"/>
    <cellStyle name="Heading 2 15 2 16 2" xfId="6746" xr:uid="{00000000-0005-0000-0000-0000431A0000}"/>
    <cellStyle name="Heading 2 15 2 16 2 2" xfId="6747" xr:uid="{00000000-0005-0000-0000-0000441A0000}"/>
    <cellStyle name="Heading 2 15 2 16 3" xfId="6748" xr:uid="{00000000-0005-0000-0000-0000451A0000}"/>
    <cellStyle name="Heading 2 15 2 17" xfId="6749" xr:uid="{00000000-0005-0000-0000-0000461A0000}"/>
    <cellStyle name="Heading 2 15 2 17 2" xfId="6750" xr:uid="{00000000-0005-0000-0000-0000471A0000}"/>
    <cellStyle name="Heading 2 15 2 17 2 2" xfId="6751" xr:uid="{00000000-0005-0000-0000-0000481A0000}"/>
    <cellStyle name="Heading 2 15 2 17 3" xfId="6752" xr:uid="{00000000-0005-0000-0000-0000491A0000}"/>
    <cellStyle name="Heading 2 15 2 18" xfId="6753" xr:uid="{00000000-0005-0000-0000-00004A1A0000}"/>
    <cellStyle name="Heading 2 15 2 18 2" xfId="6754" xr:uid="{00000000-0005-0000-0000-00004B1A0000}"/>
    <cellStyle name="Heading 2 15 2 19" xfId="6755" xr:uid="{00000000-0005-0000-0000-00004C1A0000}"/>
    <cellStyle name="Heading 2 15 2 2" xfId="6756" xr:uid="{00000000-0005-0000-0000-00004D1A0000}"/>
    <cellStyle name="Heading 2 15 2 2 2" xfId="6757" xr:uid="{00000000-0005-0000-0000-00004E1A0000}"/>
    <cellStyle name="Heading 2 15 2 2 2 2" xfId="6758" xr:uid="{00000000-0005-0000-0000-00004F1A0000}"/>
    <cellStyle name="Heading 2 15 2 2 3" xfId="6759" xr:uid="{00000000-0005-0000-0000-0000501A0000}"/>
    <cellStyle name="Heading 2 15 2 3" xfId="6760" xr:uid="{00000000-0005-0000-0000-0000511A0000}"/>
    <cellStyle name="Heading 2 15 2 3 2" xfId="6761" xr:uid="{00000000-0005-0000-0000-0000521A0000}"/>
    <cellStyle name="Heading 2 15 2 3 2 2" xfId="6762" xr:uid="{00000000-0005-0000-0000-0000531A0000}"/>
    <cellStyle name="Heading 2 15 2 3 3" xfId="6763" xr:uid="{00000000-0005-0000-0000-0000541A0000}"/>
    <cellStyle name="Heading 2 15 2 4" xfId="6764" xr:uid="{00000000-0005-0000-0000-0000551A0000}"/>
    <cellStyle name="Heading 2 15 2 4 2" xfId="6765" xr:uid="{00000000-0005-0000-0000-0000561A0000}"/>
    <cellStyle name="Heading 2 15 2 4 2 2" xfId="6766" xr:uid="{00000000-0005-0000-0000-0000571A0000}"/>
    <cellStyle name="Heading 2 15 2 4 3" xfId="6767" xr:uid="{00000000-0005-0000-0000-0000581A0000}"/>
    <cellStyle name="Heading 2 15 2 5" xfId="6768" xr:uid="{00000000-0005-0000-0000-0000591A0000}"/>
    <cellStyle name="Heading 2 15 2 5 2" xfId="6769" xr:uid="{00000000-0005-0000-0000-00005A1A0000}"/>
    <cellStyle name="Heading 2 15 2 5 2 2" xfId="6770" xr:uid="{00000000-0005-0000-0000-00005B1A0000}"/>
    <cellStyle name="Heading 2 15 2 5 3" xfId="6771" xr:uid="{00000000-0005-0000-0000-00005C1A0000}"/>
    <cellStyle name="Heading 2 15 2 6" xfId="6772" xr:uid="{00000000-0005-0000-0000-00005D1A0000}"/>
    <cellStyle name="Heading 2 15 2 6 2" xfId="6773" xr:uid="{00000000-0005-0000-0000-00005E1A0000}"/>
    <cellStyle name="Heading 2 15 2 6 2 2" xfId="6774" xr:uid="{00000000-0005-0000-0000-00005F1A0000}"/>
    <cellStyle name="Heading 2 15 2 6 3" xfId="6775" xr:uid="{00000000-0005-0000-0000-0000601A0000}"/>
    <cellStyle name="Heading 2 15 2 7" xfId="6776" xr:uid="{00000000-0005-0000-0000-0000611A0000}"/>
    <cellStyle name="Heading 2 15 2 7 2" xfId="6777" xr:uid="{00000000-0005-0000-0000-0000621A0000}"/>
    <cellStyle name="Heading 2 15 2 7 2 2" xfId="6778" xr:uid="{00000000-0005-0000-0000-0000631A0000}"/>
    <cellStyle name="Heading 2 15 2 7 3" xfId="6779" xr:uid="{00000000-0005-0000-0000-0000641A0000}"/>
    <cellStyle name="Heading 2 15 2 8" xfId="6780" xr:uid="{00000000-0005-0000-0000-0000651A0000}"/>
    <cellStyle name="Heading 2 15 2 8 2" xfId="6781" xr:uid="{00000000-0005-0000-0000-0000661A0000}"/>
    <cellStyle name="Heading 2 15 2 8 2 2" xfId="6782" xr:uid="{00000000-0005-0000-0000-0000671A0000}"/>
    <cellStyle name="Heading 2 15 2 8 3" xfId="6783" xr:uid="{00000000-0005-0000-0000-0000681A0000}"/>
    <cellStyle name="Heading 2 15 2 9" xfId="6784" xr:uid="{00000000-0005-0000-0000-0000691A0000}"/>
    <cellStyle name="Heading 2 15 2 9 2" xfId="6785" xr:uid="{00000000-0005-0000-0000-00006A1A0000}"/>
    <cellStyle name="Heading 2 15 2 9 2 2" xfId="6786" xr:uid="{00000000-0005-0000-0000-00006B1A0000}"/>
    <cellStyle name="Heading 2 15 2 9 3" xfId="6787" xr:uid="{00000000-0005-0000-0000-00006C1A0000}"/>
    <cellStyle name="Heading 2 16" xfId="6788" xr:uid="{00000000-0005-0000-0000-00006D1A0000}"/>
    <cellStyle name="Heading 2 16 2" xfId="6789" xr:uid="{00000000-0005-0000-0000-00006E1A0000}"/>
    <cellStyle name="Heading 2 16 2 10" xfId="6790" xr:uid="{00000000-0005-0000-0000-00006F1A0000}"/>
    <cellStyle name="Heading 2 16 2 10 2" xfId="6791" xr:uid="{00000000-0005-0000-0000-0000701A0000}"/>
    <cellStyle name="Heading 2 16 2 10 2 2" xfId="6792" xr:uid="{00000000-0005-0000-0000-0000711A0000}"/>
    <cellStyle name="Heading 2 16 2 10 3" xfId="6793" xr:uid="{00000000-0005-0000-0000-0000721A0000}"/>
    <cellStyle name="Heading 2 16 2 11" xfId="6794" xr:uid="{00000000-0005-0000-0000-0000731A0000}"/>
    <cellStyle name="Heading 2 16 2 11 2" xfId="6795" xr:uid="{00000000-0005-0000-0000-0000741A0000}"/>
    <cellStyle name="Heading 2 16 2 11 2 2" xfId="6796" xr:uid="{00000000-0005-0000-0000-0000751A0000}"/>
    <cellStyle name="Heading 2 16 2 11 3" xfId="6797" xr:uid="{00000000-0005-0000-0000-0000761A0000}"/>
    <cellStyle name="Heading 2 16 2 12" xfId="6798" xr:uid="{00000000-0005-0000-0000-0000771A0000}"/>
    <cellStyle name="Heading 2 16 2 12 2" xfId="6799" xr:uid="{00000000-0005-0000-0000-0000781A0000}"/>
    <cellStyle name="Heading 2 16 2 12 2 2" xfId="6800" xr:uid="{00000000-0005-0000-0000-0000791A0000}"/>
    <cellStyle name="Heading 2 16 2 12 3" xfId="6801" xr:uid="{00000000-0005-0000-0000-00007A1A0000}"/>
    <cellStyle name="Heading 2 16 2 13" xfId="6802" xr:uid="{00000000-0005-0000-0000-00007B1A0000}"/>
    <cellStyle name="Heading 2 16 2 13 2" xfId="6803" xr:uid="{00000000-0005-0000-0000-00007C1A0000}"/>
    <cellStyle name="Heading 2 16 2 13 2 2" xfId="6804" xr:uid="{00000000-0005-0000-0000-00007D1A0000}"/>
    <cellStyle name="Heading 2 16 2 13 3" xfId="6805" xr:uid="{00000000-0005-0000-0000-00007E1A0000}"/>
    <cellStyle name="Heading 2 16 2 14" xfId="6806" xr:uid="{00000000-0005-0000-0000-00007F1A0000}"/>
    <cellStyle name="Heading 2 16 2 14 2" xfId="6807" xr:uid="{00000000-0005-0000-0000-0000801A0000}"/>
    <cellStyle name="Heading 2 16 2 14 2 2" xfId="6808" xr:uid="{00000000-0005-0000-0000-0000811A0000}"/>
    <cellStyle name="Heading 2 16 2 14 3" xfId="6809" xr:uid="{00000000-0005-0000-0000-0000821A0000}"/>
    <cellStyle name="Heading 2 16 2 15" xfId="6810" xr:uid="{00000000-0005-0000-0000-0000831A0000}"/>
    <cellStyle name="Heading 2 16 2 15 2" xfId="6811" xr:uid="{00000000-0005-0000-0000-0000841A0000}"/>
    <cellStyle name="Heading 2 16 2 15 2 2" xfId="6812" xr:uid="{00000000-0005-0000-0000-0000851A0000}"/>
    <cellStyle name="Heading 2 16 2 15 3" xfId="6813" xr:uid="{00000000-0005-0000-0000-0000861A0000}"/>
    <cellStyle name="Heading 2 16 2 16" xfId="6814" xr:uid="{00000000-0005-0000-0000-0000871A0000}"/>
    <cellStyle name="Heading 2 16 2 16 2" xfId="6815" xr:uid="{00000000-0005-0000-0000-0000881A0000}"/>
    <cellStyle name="Heading 2 16 2 16 2 2" xfId="6816" xr:uid="{00000000-0005-0000-0000-0000891A0000}"/>
    <cellStyle name="Heading 2 16 2 16 3" xfId="6817" xr:uid="{00000000-0005-0000-0000-00008A1A0000}"/>
    <cellStyle name="Heading 2 16 2 17" xfId="6818" xr:uid="{00000000-0005-0000-0000-00008B1A0000}"/>
    <cellStyle name="Heading 2 16 2 17 2" xfId="6819" xr:uid="{00000000-0005-0000-0000-00008C1A0000}"/>
    <cellStyle name="Heading 2 16 2 17 2 2" xfId="6820" xr:uid="{00000000-0005-0000-0000-00008D1A0000}"/>
    <cellStyle name="Heading 2 16 2 17 3" xfId="6821" xr:uid="{00000000-0005-0000-0000-00008E1A0000}"/>
    <cellStyle name="Heading 2 16 2 18" xfId="6822" xr:uid="{00000000-0005-0000-0000-00008F1A0000}"/>
    <cellStyle name="Heading 2 16 2 18 2" xfId="6823" xr:uid="{00000000-0005-0000-0000-0000901A0000}"/>
    <cellStyle name="Heading 2 16 2 19" xfId="6824" xr:uid="{00000000-0005-0000-0000-0000911A0000}"/>
    <cellStyle name="Heading 2 16 2 2" xfId="6825" xr:uid="{00000000-0005-0000-0000-0000921A0000}"/>
    <cellStyle name="Heading 2 16 2 2 2" xfId="6826" xr:uid="{00000000-0005-0000-0000-0000931A0000}"/>
    <cellStyle name="Heading 2 16 2 2 2 2" xfId="6827" xr:uid="{00000000-0005-0000-0000-0000941A0000}"/>
    <cellStyle name="Heading 2 16 2 2 3" xfId="6828" xr:uid="{00000000-0005-0000-0000-0000951A0000}"/>
    <cellStyle name="Heading 2 16 2 3" xfId="6829" xr:uid="{00000000-0005-0000-0000-0000961A0000}"/>
    <cellStyle name="Heading 2 16 2 3 2" xfId="6830" xr:uid="{00000000-0005-0000-0000-0000971A0000}"/>
    <cellStyle name="Heading 2 16 2 3 2 2" xfId="6831" xr:uid="{00000000-0005-0000-0000-0000981A0000}"/>
    <cellStyle name="Heading 2 16 2 3 3" xfId="6832" xr:uid="{00000000-0005-0000-0000-0000991A0000}"/>
    <cellStyle name="Heading 2 16 2 4" xfId="6833" xr:uid="{00000000-0005-0000-0000-00009A1A0000}"/>
    <cellStyle name="Heading 2 16 2 4 2" xfId="6834" xr:uid="{00000000-0005-0000-0000-00009B1A0000}"/>
    <cellStyle name="Heading 2 16 2 4 2 2" xfId="6835" xr:uid="{00000000-0005-0000-0000-00009C1A0000}"/>
    <cellStyle name="Heading 2 16 2 4 3" xfId="6836" xr:uid="{00000000-0005-0000-0000-00009D1A0000}"/>
    <cellStyle name="Heading 2 16 2 5" xfId="6837" xr:uid="{00000000-0005-0000-0000-00009E1A0000}"/>
    <cellStyle name="Heading 2 16 2 5 2" xfId="6838" xr:uid="{00000000-0005-0000-0000-00009F1A0000}"/>
    <cellStyle name="Heading 2 16 2 5 2 2" xfId="6839" xr:uid="{00000000-0005-0000-0000-0000A01A0000}"/>
    <cellStyle name="Heading 2 16 2 5 3" xfId="6840" xr:uid="{00000000-0005-0000-0000-0000A11A0000}"/>
    <cellStyle name="Heading 2 16 2 6" xfId="6841" xr:uid="{00000000-0005-0000-0000-0000A21A0000}"/>
    <cellStyle name="Heading 2 16 2 6 2" xfId="6842" xr:uid="{00000000-0005-0000-0000-0000A31A0000}"/>
    <cellStyle name="Heading 2 16 2 6 2 2" xfId="6843" xr:uid="{00000000-0005-0000-0000-0000A41A0000}"/>
    <cellStyle name="Heading 2 16 2 6 3" xfId="6844" xr:uid="{00000000-0005-0000-0000-0000A51A0000}"/>
    <cellStyle name="Heading 2 16 2 7" xfId="6845" xr:uid="{00000000-0005-0000-0000-0000A61A0000}"/>
    <cellStyle name="Heading 2 16 2 7 2" xfId="6846" xr:uid="{00000000-0005-0000-0000-0000A71A0000}"/>
    <cellStyle name="Heading 2 16 2 7 2 2" xfId="6847" xr:uid="{00000000-0005-0000-0000-0000A81A0000}"/>
    <cellStyle name="Heading 2 16 2 7 3" xfId="6848" xr:uid="{00000000-0005-0000-0000-0000A91A0000}"/>
    <cellStyle name="Heading 2 16 2 8" xfId="6849" xr:uid="{00000000-0005-0000-0000-0000AA1A0000}"/>
    <cellStyle name="Heading 2 16 2 8 2" xfId="6850" xr:uid="{00000000-0005-0000-0000-0000AB1A0000}"/>
    <cellStyle name="Heading 2 16 2 8 2 2" xfId="6851" xr:uid="{00000000-0005-0000-0000-0000AC1A0000}"/>
    <cellStyle name="Heading 2 16 2 8 3" xfId="6852" xr:uid="{00000000-0005-0000-0000-0000AD1A0000}"/>
    <cellStyle name="Heading 2 16 2 9" xfId="6853" xr:uid="{00000000-0005-0000-0000-0000AE1A0000}"/>
    <cellStyle name="Heading 2 16 2 9 2" xfId="6854" xr:uid="{00000000-0005-0000-0000-0000AF1A0000}"/>
    <cellStyle name="Heading 2 16 2 9 2 2" xfId="6855" xr:uid="{00000000-0005-0000-0000-0000B01A0000}"/>
    <cellStyle name="Heading 2 16 2 9 3" xfId="6856" xr:uid="{00000000-0005-0000-0000-0000B11A0000}"/>
    <cellStyle name="Heading 2 17" xfId="6857" xr:uid="{00000000-0005-0000-0000-0000B21A0000}"/>
    <cellStyle name="Heading 2 17 2" xfId="6858" xr:uid="{00000000-0005-0000-0000-0000B31A0000}"/>
    <cellStyle name="Heading 2 17 2 10" xfId="6859" xr:uid="{00000000-0005-0000-0000-0000B41A0000}"/>
    <cellStyle name="Heading 2 17 2 10 2" xfId="6860" xr:uid="{00000000-0005-0000-0000-0000B51A0000}"/>
    <cellStyle name="Heading 2 17 2 10 2 2" xfId="6861" xr:uid="{00000000-0005-0000-0000-0000B61A0000}"/>
    <cellStyle name="Heading 2 17 2 10 3" xfId="6862" xr:uid="{00000000-0005-0000-0000-0000B71A0000}"/>
    <cellStyle name="Heading 2 17 2 11" xfId="6863" xr:uid="{00000000-0005-0000-0000-0000B81A0000}"/>
    <cellStyle name="Heading 2 17 2 11 2" xfId="6864" xr:uid="{00000000-0005-0000-0000-0000B91A0000}"/>
    <cellStyle name="Heading 2 17 2 11 2 2" xfId="6865" xr:uid="{00000000-0005-0000-0000-0000BA1A0000}"/>
    <cellStyle name="Heading 2 17 2 11 3" xfId="6866" xr:uid="{00000000-0005-0000-0000-0000BB1A0000}"/>
    <cellStyle name="Heading 2 17 2 12" xfId="6867" xr:uid="{00000000-0005-0000-0000-0000BC1A0000}"/>
    <cellStyle name="Heading 2 17 2 12 2" xfId="6868" xr:uid="{00000000-0005-0000-0000-0000BD1A0000}"/>
    <cellStyle name="Heading 2 17 2 12 2 2" xfId="6869" xr:uid="{00000000-0005-0000-0000-0000BE1A0000}"/>
    <cellStyle name="Heading 2 17 2 12 3" xfId="6870" xr:uid="{00000000-0005-0000-0000-0000BF1A0000}"/>
    <cellStyle name="Heading 2 17 2 13" xfId="6871" xr:uid="{00000000-0005-0000-0000-0000C01A0000}"/>
    <cellStyle name="Heading 2 17 2 13 2" xfId="6872" xr:uid="{00000000-0005-0000-0000-0000C11A0000}"/>
    <cellStyle name="Heading 2 17 2 13 2 2" xfId="6873" xr:uid="{00000000-0005-0000-0000-0000C21A0000}"/>
    <cellStyle name="Heading 2 17 2 13 3" xfId="6874" xr:uid="{00000000-0005-0000-0000-0000C31A0000}"/>
    <cellStyle name="Heading 2 17 2 14" xfId="6875" xr:uid="{00000000-0005-0000-0000-0000C41A0000}"/>
    <cellStyle name="Heading 2 17 2 14 2" xfId="6876" xr:uid="{00000000-0005-0000-0000-0000C51A0000}"/>
    <cellStyle name="Heading 2 17 2 14 2 2" xfId="6877" xr:uid="{00000000-0005-0000-0000-0000C61A0000}"/>
    <cellStyle name="Heading 2 17 2 14 3" xfId="6878" xr:uid="{00000000-0005-0000-0000-0000C71A0000}"/>
    <cellStyle name="Heading 2 17 2 15" xfId="6879" xr:uid="{00000000-0005-0000-0000-0000C81A0000}"/>
    <cellStyle name="Heading 2 17 2 15 2" xfId="6880" xr:uid="{00000000-0005-0000-0000-0000C91A0000}"/>
    <cellStyle name="Heading 2 17 2 15 2 2" xfId="6881" xr:uid="{00000000-0005-0000-0000-0000CA1A0000}"/>
    <cellStyle name="Heading 2 17 2 15 3" xfId="6882" xr:uid="{00000000-0005-0000-0000-0000CB1A0000}"/>
    <cellStyle name="Heading 2 17 2 16" xfId="6883" xr:uid="{00000000-0005-0000-0000-0000CC1A0000}"/>
    <cellStyle name="Heading 2 17 2 16 2" xfId="6884" xr:uid="{00000000-0005-0000-0000-0000CD1A0000}"/>
    <cellStyle name="Heading 2 17 2 16 2 2" xfId="6885" xr:uid="{00000000-0005-0000-0000-0000CE1A0000}"/>
    <cellStyle name="Heading 2 17 2 16 3" xfId="6886" xr:uid="{00000000-0005-0000-0000-0000CF1A0000}"/>
    <cellStyle name="Heading 2 17 2 17" xfId="6887" xr:uid="{00000000-0005-0000-0000-0000D01A0000}"/>
    <cellStyle name="Heading 2 17 2 17 2" xfId="6888" xr:uid="{00000000-0005-0000-0000-0000D11A0000}"/>
    <cellStyle name="Heading 2 17 2 17 2 2" xfId="6889" xr:uid="{00000000-0005-0000-0000-0000D21A0000}"/>
    <cellStyle name="Heading 2 17 2 17 3" xfId="6890" xr:uid="{00000000-0005-0000-0000-0000D31A0000}"/>
    <cellStyle name="Heading 2 17 2 18" xfId="6891" xr:uid="{00000000-0005-0000-0000-0000D41A0000}"/>
    <cellStyle name="Heading 2 17 2 18 2" xfId="6892" xr:uid="{00000000-0005-0000-0000-0000D51A0000}"/>
    <cellStyle name="Heading 2 17 2 19" xfId="6893" xr:uid="{00000000-0005-0000-0000-0000D61A0000}"/>
    <cellStyle name="Heading 2 17 2 2" xfId="6894" xr:uid="{00000000-0005-0000-0000-0000D71A0000}"/>
    <cellStyle name="Heading 2 17 2 2 2" xfId="6895" xr:uid="{00000000-0005-0000-0000-0000D81A0000}"/>
    <cellStyle name="Heading 2 17 2 2 2 2" xfId="6896" xr:uid="{00000000-0005-0000-0000-0000D91A0000}"/>
    <cellStyle name="Heading 2 17 2 2 3" xfId="6897" xr:uid="{00000000-0005-0000-0000-0000DA1A0000}"/>
    <cellStyle name="Heading 2 17 2 3" xfId="6898" xr:uid="{00000000-0005-0000-0000-0000DB1A0000}"/>
    <cellStyle name="Heading 2 17 2 3 2" xfId="6899" xr:uid="{00000000-0005-0000-0000-0000DC1A0000}"/>
    <cellStyle name="Heading 2 17 2 3 2 2" xfId="6900" xr:uid="{00000000-0005-0000-0000-0000DD1A0000}"/>
    <cellStyle name="Heading 2 17 2 3 3" xfId="6901" xr:uid="{00000000-0005-0000-0000-0000DE1A0000}"/>
    <cellStyle name="Heading 2 17 2 4" xfId="6902" xr:uid="{00000000-0005-0000-0000-0000DF1A0000}"/>
    <cellStyle name="Heading 2 17 2 4 2" xfId="6903" xr:uid="{00000000-0005-0000-0000-0000E01A0000}"/>
    <cellStyle name="Heading 2 17 2 4 2 2" xfId="6904" xr:uid="{00000000-0005-0000-0000-0000E11A0000}"/>
    <cellStyle name="Heading 2 17 2 4 3" xfId="6905" xr:uid="{00000000-0005-0000-0000-0000E21A0000}"/>
    <cellStyle name="Heading 2 17 2 5" xfId="6906" xr:uid="{00000000-0005-0000-0000-0000E31A0000}"/>
    <cellStyle name="Heading 2 17 2 5 2" xfId="6907" xr:uid="{00000000-0005-0000-0000-0000E41A0000}"/>
    <cellStyle name="Heading 2 17 2 5 2 2" xfId="6908" xr:uid="{00000000-0005-0000-0000-0000E51A0000}"/>
    <cellStyle name="Heading 2 17 2 5 3" xfId="6909" xr:uid="{00000000-0005-0000-0000-0000E61A0000}"/>
    <cellStyle name="Heading 2 17 2 6" xfId="6910" xr:uid="{00000000-0005-0000-0000-0000E71A0000}"/>
    <cellStyle name="Heading 2 17 2 6 2" xfId="6911" xr:uid="{00000000-0005-0000-0000-0000E81A0000}"/>
    <cellStyle name="Heading 2 17 2 6 2 2" xfId="6912" xr:uid="{00000000-0005-0000-0000-0000E91A0000}"/>
    <cellStyle name="Heading 2 17 2 6 3" xfId="6913" xr:uid="{00000000-0005-0000-0000-0000EA1A0000}"/>
    <cellStyle name="Heading 2 17 2 7" xfId="6914" xr:uid="{00000000-0005-0000-0000-0000EB1A0000}"/>
    <cellStyle name="Heading 2 17 2 7 2" xfId="6915" xr:uid="{00000000-0005-0000-0000-0000EC1A0000}"/>
    <cellStyle name="Heading 2 17 2 7 2 2" xfId="6916" xr:uid="{00000000-0005-0000-0000-0000ED1A0000}"/>
    <cellStyle name="Heading 2 17 2 7 3" xfId="6917" xr:uid="{00000000-0005-0000-0000-0000EE1A0000}"/>
    <cellStyle name="Heading 2 17 2 8" xfId="6918" xr:uid="{00000000-0005-0000-0000-0000EF1A0000}"/>
    <cellStyle name="Heading 2 17 2 8 2" xfId="6919" xr:uid="{00000000-0005-0000-0000-0000F01A0000}"/>
    <cellStyle name="Heading 2 17 2 8 2 2" xfId="6920" xr:uid="{00000000-0005-0000-0000-0000F11A0000}"/>
    <cellStyle name="Heading 2 17 2 8 3" xfId="6921" xr:uid="{00000000-0005-0000-0000-0000F21A0000}"/>
    <cellStyle name="Heading 2 17 2 9" xfId="6922" xr:uid="{00000000-0005-0000-0000-0000F31A0000}"/>
    <cellStyle name="Heading 2 17 2 9 2" xfId="6923" xr:uid="{00000000-0005-0000-0000-0000F41A0000}"/>
    <cellStyle name="Heading 2 17 2 9 2 2" xfId="6924" xr:uid="{00000000-0005-0000-0000-0000F51A0000}"/>
    <cellStyle name="Heading 2 17 2 9 3" xfId="6925" xr:uid="{00000000-0005-0000-0000-0000F61A0000}"/>
    <cellStyle name="Heading 2 18" xfId="6926" xr:uid="{00000000-0005-0000-0000-0000F71A0000}"/>
    <cellStyle name="Heading 2 18 2" xfId="6927" xr:uid="{00000000-0005-0000-0000-0000F81A0000}"/>
    <cellStyle name="Heading 2 18 2 10" xfId="6928" xr:uid="{00000000-0005-0000-0000-0000F91A0000}"/>
    <cellStyle name="Heading 2 18 2 10 2" xfId="6929" xr:uid="{00000000-0005-0000-0000-0000FA1A0000}"/>
    <cellStyle name="Heading 2 18 2 10 2 2" xfId="6930" xr:uid="{00000000-0005-0000-0000-0000FB1A0000}"/>
    <cellStyle name="Heading 2 18 2 10 3" xfId="6931" xr:uid="{00000000-0005-0000-0000-0000FC1A0000}"/>
    <cellStyle name="Heading 2 18 2 11" xfId="6932" xr:uid="{00000000-0005-0000-0000-0000FD1A0000}"/>
    <cellStyle name="Heading 2 18 2 11 2" xfId="6933" xr:uid="{00000000-0005-0000-0000-0000FE1A0000}"/>
    <cellStyle name="Heading 2 18 2 11 2 2" xfId="6934" xr:uid="{00000000-0005-0000-0000-0000FF1A0000}"/>
    <cellStyle name="Heading 2 18 2 11 3" xfId="6935" xr:uid="{00000000-0005-0000-0000-0000001B0000}"/>
    <cellStyle name="Heading 2 18 2 12" xfId="6936" xr:uid="{00000000-0005-0000-0000-0000011B0000}"/>
    <cellStyle name="Heading 2 18 2 12 2" xfId="6937" xr:uid="{00000000-0005-0000-0000-0000021B0000}"/>
    <cellStyle name="Heading 2 18 2 12 2 2" xfId="6938" xr:uid="{00000000-0005-0000-0000-0000031B0000}"/>
    <cellStyle name="Heading 2 18 2 12 3" xfId="6939" xr:uid="{00000000-0005-0000-0000-0000041B0000}"/>
    <cellStyle name="Heading 2 18 2 13" xfId="6940" xr:uid="{00000000-0005-0000-0000-0000051B0000}"/>
    <cellStyle name="Heading 2 18 2 13 2" xfId="6941" xr:uid="{00000000-0005-0000-0000-0000061B0000}"/>
    <cellStyle name="Heading 2 18 2 13 2 2" xfId="6942" xr:uid="{00000000-0005-0000-0000-0000071B0000}"/>
    <cellStyle name="Heading 2 18 2 13 3" xfId="6943" xr:uid="{00000000-0005-0000-0000-0000081B0000}"/>
    <cellStyle name="Heading 2 18 2 14" xfId="6944" xr:uid="{00000000-0005-0000-0000-0000091B0000}"/>
    <cellStyle name="Heading 2 18 2 14 2" xfId="6945" xr:uid="{00000000-0005-0000-0000-00000A1B0000}"/>
    <cellStyle name="Heading 2 18 2 14 2 2" xfId="6946" xr:uid="{00000000-0005-0000-0000-00000B1B0000}"/>
    <cellStyle name="Heading 2 18 2 14 3" xfId="6947" xr:uid="{00000000-0005-0000-0000-00000C1B0000}"/>
    <cellStyle name="Heading 2 18 2 15" xfId="6948" xr:uid="{00000000-0005-0000-0000-00000D1B0000}"/>
    <cellStyle name="Heading 2 18 2 15 2" xfId="6949" xr:uid="{00000000-0005-0000-0000-00000E1B0000}"/>
    <cellStyle name="Heading 2 18 2 15 2 2" xfId="6950" xr:uid="{00000000-0005-0000-0000-00000F1B0000}"/>
    <cellStyle name="Heading 2 18 2 15 3" xfId="6951" xr:uid="{00000000-0005-0000-0000-0000101B0000}"/>
    <cellStyle name="Heading 2 18 2 16" xfId="6952" xr:uid="{00000000-0005-0000-0000-0000111B0000}"/>
    <cellStyle name="Heading 2 18 2 16 2" xfId="6953" xr:uid="{00000000-0005-0000-0000-0000121B0000}"/>
    <cellStyle name="Heading 2 18 2 16 2 2" xfId="6954" xr:uid="{00000000-0005-0000-0000-0000131B0000}"/>
    <cellStyle name="Heading 2 18 2 16 3" xfId="6955" xr:uid="{00000000-0005-0000-0000-0000141B0000}"/>
    <cellStyle name="Heading 2 18 2 17" xfId="6956" xr:uid="{00000000-0005-0000-0000-0000151B0000}"/>
    <cellStyle name="Heading 2 18 2 17 2" xfId="6957" xr:uid="{00000000-0005-0000-0000-0000161B0000}"/>
    <cellStyle name="Heading 2 18 2 17 2 2" xfId="6958" xr:uid="{00000000-0005-0000-0000-0000171B0000}"/>
    <cellStyle name="Heading 2 18 2 17 3" xfId="6959" xr:uid="{00000000-0005-0000-0000-0000181B0000}"/>
    <cellStyle name="Heading 2 18 2 18" xfId="6960" xr:uid="{00000000-0005-0000-0000-0000191B0000}"/>
    <cellStyle name="Heading 2 18 2 18 2" xfId="6961" xr:uid="{00000000-0005-0000-0000-00001A1B0000}"/>
    <cellStyle name="Heading 2 18 2 19" xfId="6962" xr:uid="{00000000-0005-0000-0000-00001B1B0000}"/>
    <cellStyle name="Heading 2 18 2 2" xfId="6963" xr:uid="{00000000-0005-0000-0000-00001C1B0000}"/>
    <cellStyle name="Heading 2 18 2 2 2" xfId="6964" xr:uid="{00000000-0005-0000-0000-00001D1B0000}"/>
    <cellStyle name="Heading 2 18 2 2 2 2" xfId="6965" xr:uid="{00000000-0005-0000-0000-00001E1B0000}"/>
    <cellStyle name="Heading 2 18 2 2 3" xfId="6966" xr:uid="{00000000-0005-0000-0000-00001F1B0000}"/>
    <cellStyle name="Heading 2 18 2 3" xfId="6967" xr:uid="{00000000-0005-0000-0000-0000201B0000}"/>
    <cellStyle name="Heading 2 18 2 3 2" xfId="6968" xr:uid="{00000000-0005-0000-0000-0000211B0000}"/>
    <cellStyle name="Heading 2 18 2 3 2 2" xfId="6969" xr:uid="{00000000-0005-0000-0000-0000221B0000}"/>
    <cellStyle name="Heading 2 18 2 3 3" xfId="6970" xr:uid="{00000000-0005-0000-0000-0000231B0000}"/>
    <cellStyle name="Heading 2 18 2 4" xfId="6971" xr:uid="{00000000-0005-0000-0000-0000241B0000}"/>
    <cellStyle name="Heading 2 18 2 4 2" xfId="6972" xr:uid="{00000000-0005-0000-0000-0000251B0000}"/>
    <cellStyle name="Heading 2 18 2 4 2 2" xfId="6973" xr:uid="{00000000-0005-0000-0000-0000261B0000}"/>
    <cellStyle name="Heading 2 18 2 4 3" xfId="6974" xr:uid="{00000000-0005-0000-0000-0000271B0000}"/>
    <cellStyle name="Heading 2 18 2 5" xfId="6975" xr:uid="{00000000-0005-0000-0000-0000281B0000}"/>
    <cellStyle name="Heading 2 18 2 5 2" xfId="6976" xr:uid="{00000000-0005-0000-0000-0000291B0000}"/>
    <cellStyle name="Heading 2 18 2 5 2 2" xfId="6977" xr:uid="{00000000-0005-0000-0000-00002A1B0000}"/>
    <cellStyle name="Heading 2 18 2 5 3" xfId="6978" xr:uid="{00000000-0005-0000-0000-00002B1B0000}"/>
    <cellStyle name="Heading 2 18 2 6" xfId="6979" xr:uid="{00000000-0005-0000-0000-00002C1B0000}"/>
    <cellStyle name="Heading 2 18 2 6 2" xfId="6980" xr:uid="{00000000-0005-0000-0000-00002D1B0000}"/>
    <cellStyle name="Heading 2 18 2 6 2 2" xfId="6981" xr:uid="{00000000-0005-0000-0000-00002E1B0000}"/>
    <cellStyle name="Heading 2 18 2 6 3" xfId="6982" xr:uid="{00000000-0005-0000-0000-00002F1B0000}"/>
    <cellStyle name="Heading 2 18 2 7" xfId="6983" xr:uid="{00000000-0005-0000-0000-0000301B0000}"/>
    <cellStyle name="Heading 2 18 2 7 2" xfId="6984" xr:uid="{00000000-0005-0000-0000-0000311B0000}"/>
    <cellStyle name="Heading 2 18 2 7 2 2" xfId="6985" xr:uid="{00000000-0005-0000-0000-0000321B0000}"/>
    <cellStyle name="Heading 2 18 2 7 3" xfId="6986" xr:uid="{00000000-0005-0000-0000-0000331B0000}"/>
    <cellStyle name="Heading 2 18 2 8" xfId="6987" xr:uid="{00000000-0005-0000-0000-0000341B0000}"/>
    <cellStyle name="Heading 2 18 2 8 2" xfId="6988" xr:uid="{00000000-0005-0000-0000-0000351B0000}"/>
    <cellStyle name="Heading 2 18 2 8 2 2" xfId="6989" xr:uid="{00000000-0005-0000-0000-0000361B0000}"/>
    <cellStyle name="Heading 2 18 2 8 3" xfId="6990" xr:uid="{00000000-0005-0000-0000-0000371B0000}"/>
    <cellStyle name="Heading 2 18 2 9" xfId="6991" xr:uid="{00000000-0005-0000-0000-0000381B0000}"/>
    <cellStyle name="Heading 2 18 2 9 2" xfId="6992" xr:uid="{00000000-0005-0000-0000-0000391B0000}"/>
    <cellStyle name="Heading 2 18 2 9 2 2" xfId="6993" xr:uid="{00000000-0005-0000-0000-00003A1B0000}"/>
    <cellStyle name="Heading 2 18 2 9 3" xfId="6994" xr:uid="{00000000-0005-0000-0000-00003B1B0000}"/>
    <cellStyle name="Heading 2 19" xfId="6995" xr:uid="{00000000-0005-0000-0000-00003C1B0000}"/>
    <cellStyle name="Heading 2 19 2" xfId="6996" xr:uid="{00000000-0005-0000-0000-00003D1B0000}"/>
    <cellStyle name="Heading 2 19 2 10" xfId="6997" xr:uid="{00000000-0005-0000-0000-00003E1B0000}"/>
    <cellStyle name="Heading 2 19 2 10 2" xfId="6998" xr:uid="{00000000-0005-0000-0000-00003F1B0000}"/>
    <cellStyle name="Heading 2 19 2 10 2 2" xfId="6999" xr:uid="{00000000-0005-0000-0000-0000401B0000}"/>
    <cellStyle name="Heading 2 19 2 10 3" xfId="7000" xr:uid="{00000000-0005-0000-0000-0000411B0000}"/>
    <cellStyle name="Heading 2 19 2 11" xfId="7001" xr:uid="{00000000-0005-0000-0000-0000421B0000}"/>
    <cellStyle name="Heading 2 19 2 11 2" xfId="7002" xr:uid="{00000000-0005-0000-0000-0000431B0000}"/>
    <cellStyle name="Heading 2 19 2 11 2 2" xfId="7003" xr:uid="{00000000-0005-0000-0000-0000441B0000}"/>
    <cellStyle name="Heading 2 19 2 11 3" xfId="7004" xr:uid="{00000000-0005-0000-0000-0000451B0000}"/>
    <cellStyle name="Heading 2 19 2 12" xfId="7005" xr:uid="{00000000-0005-0000-0000-0000461B0000}"/>
    <cellStyle name="Heading 2 19 2 12 2" xfId="7006" xr:uid="{00000000-0005-0000-0000-0000471B0000}"/>
    <cellStyle name="Heading 2 19 2 12 2 2" xfId="7007" xr:uid="{00000000-0005-0000-0000-0000481B0000}"/>
    <cellStyle name="Heading 2 19 2 12 3" xfId="7008" xr:uid="{00000000-0005-0000-0000-0000491B0000}"/>
    <cellStyle name="Heading 2 19 2 13" xfId="7009" xr:uid="{00000000-0005-0000-0000-00004A1B0000}"/>
    <cellStyle name="Heading 2 19 2 13 2" xfId="7010" xr:uid="{00000000-0005-0000-0000-00004B1B0000}"/>
    <cellStyle name="Heading 2 19 2 13 2 2" xfId="7011" xr:uid="{00000000-0005-0000-0000-00004C1B0000}"/>
    <cellStyle name="Heading 2 19 2 13 3" xfId="7012" xr:uid="{00000000-0005-0000-0000-00004D1B0000}"/>
    <cellStyle name="Heading 2 19 2 14" xfId="7013" xr:uid="{00000000-0005-0000-0000-00004E1B0000}"/>
    <cellStyle name="Heading 2 19 2 14 2" xfId="7014" xr:uid="{00000000-0005-0000-0000-00004F1B0000}"/>
    <cellStyle name="Heading 2 19 2 14 2 2" xfId="7015" xr:uid="{00000000-0005-0000-0000-0000501B0000}"/>
    <cellStyle name="Heading 2 19 2 14 3" xfId="7016" xr:uid="{00000000-0005-0000-0000-0000511B0000}"/>
    <cellStyle name="Heading 2 19 2 15" xfId="7017" xr:uid="{00000000-0005-0000-0000-0000521B0000}"/>
    <cellStyle name="Heading 2 19 2 15 2" xfId="7018" xr:uid="{00000000-0005-0000-0000-0000531B0000}"/>
    <cellStyle name="Heading 2 19 2 15 2 2" xfId="7019" xr:uid="{00000000-0005-0000-0000-0000541B0000}"/>
    <cellStyle name="Heading 2 19 2 15 3" xfId="7020" xr:uid="{00000000-0005-0000-0000-0000551B0000}"/>
    <cellStyle name="Heading 2 19 2 16" xfId="7021" xr:uid="{00000000-0005-0000-0000-0000561B0000}"/>
    <cellStyle name="Heading 2 19 2 16 2" xfId="7022" xr:uid="{00000000-0005-0000-0000-0000571B0000}"/>
    <cellStyle name="Heading 2 19 2 16 2 2" xfId="7023" xr:uid="{00000000-0005-0000-0000-0000581B0000}"/>
    <cellStyle name="Heading 2 19 2 16 3" xfId="7024" xr:uid="{00000000-0005-0000-0000-0000591B0000}"/>
    <cellStyle name="Heading 2 19 2 17" xfId="7025" xr:uid="{00000000-0005-0000-0000-00005A1B0000}"/>
    <cellStyle name="Heading 2 19 2 17 2" xfId="7026" xr:uid="{00000000-0005-0000-0000-00005B1B0000}"/>
    <cellStyle name="Heading 2 19 2 17 2 2" xfId="7027" xr:uid="{00000000-0005-0000-0000-00005C1B0000}"/>
    <cellStyle name="Heading 2 19 2 17 3" xfId="7028" xr:uid="{00000000-0005-0000-0000-00005D1B0000}"/>
    <cellStyle name="Heading 2 19 2 18" xfId="7029" xr:uid="{00000000-0005-0000-0000-00005E1B0000}"/>
    <cellStyle name="Heading 2 19 2 18 2" xfId="7030" xr:uid="{00000000-0005-0000-0000-00005F1B0000}"/>
    <cellStyle name="Heading 2 19 2 19" xfId="7031" xr:uid="{00000000-0005-0000-0000-0000601B0000}"/>
    <cellStyle name="Heading 2 19 2 2" xfId="7032" xr:uid="{00000000-0005-0000-0000-0000611B0000}"/>
    <cellStyle name="Heading 2 19 2 2 2" xfId="7033" xr:uid="{00000000-0005-0000-0000-0000621B0000}"/>
    <cellStyle name="Heading 2 19 2 2 2 2" xfId="7034" xr:uid="{00000000-0005-0000-0000-0000631B0000}"/>
    <cellStyle name="Heading 2 19 2 2 3" xfId="7035" xr:uid="{00000000-0005-0000-0000-0000641B0000}"/>
    <cellStyle name="Heading 2 19 2 3" xfId="7036" xr:uid="{00000000-0005-0000-0000-0000651B0000}"/>
    <cellStyle name="Heading 2 19 2 3 2" xfId="7037" xr:uid="{00000000-0005-0000-0000-0000661B0000}"/>
    <cellStyle name="Heading 2 19 2 3 2 2" xfId="7038" xr:uid="{00000000-0005-0000-0000-0000671B0000}"/>
    <cellStyle name="Heading 2 19 2 3 3" xfId="7039" xr:uid="{00000000-0005-0000-0000-0000681B0000}"/>
    <cellStyle name="Heading 2 19 2 4" xfId="7040" xr:uid="{00000000-0005-0000-0000-0000691B0000}"/>
    <cellStyle name="Heading 2 19 2 4 2" xfId="7041" xr:uid="{00000000-0005-0000-0000-00006A1B0000}"/>
    <cellStyle name="Heading 2 19 2 4 2 2" xfId="7042" xr:uid="{00000000-0005-0000-0000-00006B1B0000}"/>
    <cellStyle name="Heading 2 19 2 4 3" xfId="7043" xr:uid="{00000000-0005-0000-0000-00006C1B0000}"/>
    <cellStyle name="Heading 2 19 2 5" xfId="7044" xr:uid="{00000000-0005-0000-0000-00006D1B0000}"/>
    <cellStyle name="Heading 2 19 2 5 2" xfId="7045" xr:uid="{00000000-0005-0000-0000-00006E1B0000}"/>
    <cellStyle name="Heading 2 19 2 5 2 2" xfId="7046" xr:uid="{00000000-0005-0000-0000-00006F1B0000}"/>
    <cellStyle name="Heading 2 19 2 5 3" xfId="7047" xr:uid="{00000000-0005-0000-0000-0000701B0000}"/>
    <cellStyle name="Heading 2 19 2 6" xfId="7048" xr:uid="{00000000-0005-0000-0000-0000711B0000}"/>
    <cellStyle name="Heading 2 19 2 6 2" xfId="7049" xr:uid="{00000000-0005-0000-0000-0000721B0000}"/>
    <cellStyle name="Heading 2 19 2 6 2 2" xfId="7050" xr:uid="{00000000-0005-0000-0000-0000731B0000}"/>
    <cellStyle name="Heading 2 19 2 6 3" xfId="7051" xr:uid="{00000000-0005-0000-0000-0000741B0000}"/>
    <cellStyle name="Heading 2 19 2 7" xfId="7052" xr:uid="{00000000-0005-0000-0000-0000751B0000}"/>
    <cellStyle name="Heading 2 19 2 7 2" xfId="7053" xr:uid="{00000000-0005-0000-0000-0000761B0000}"/>
    <cellStyle name="Heading 2 19 2 7 2 2" xfId="7054" xr:uid="{00000000-0005-0000-0000-0000771B0000}"/>
    <cellStyle name="Heading 2 19 2 7 3" xfId="7055" xr:uid="{00000000-0005-0000-0000-0000781B0000}"/>
    <cellStyle name="Heading 2 19 2 8" xfId="7056" xr:uid="{00000000-0005-0000-0000-0000791B0000}"/>
    <cellStyle name="Heading 2 19 2 8 2" xfId="7057" xr:uid="{00000000-0005-0000-0000-00007A1B0000}"/>
    <cellStyle name="Heading 2 19 2 8 2 2" xfId="7058" xr:uid="{00000000-0005-0000-0000-00007B1B0000}"/>
    <cellStyle name="Heading 2 19 2 8 3" xfId="7059" xr:uid="{00000000-0005-0000-0000-00007C1B0000}"/>
    <cellStyle name="Heading 2 19 2 9" xfId="7060" xr:uid="{00000000-0005-0000-0000-00007D1B0000}"/>
    <cellStyle name="Heading 2 19 2 9 2" xfId="7061" xr:uid="{00000000-0005-0000-0000-00007E1B0000}"/>
    <cellStyle name="Heading 2 19 2 9 2 2" xfId="7062" xr:uid="{00000000-0005-0000-0000-00007F1B0000}"/>
    <cellStyle name="Heading 2 19 2 9 3" xfId="7063" xr:uid="{00000000-0005-0000-0000-0000801B0000}"/>
    <cellStyle name="Heading 2 2" xfId="7064" xr:uid="{00000000-0005-0000-0000-0000811B0000}"/>
    <cellStyle name="Heading 2 2 2" xfId="7065" xr:uid="{00000000-0005-0000-0000-0000821B0000}"/>
    <cellStyle name="Heading 2 2 2 2" xfId="7066" xr:uid="{00000000-0005-0000-0000-0000831B0000}"/>
    <cellStyle name="Heading 2 2 3" xfId="7067" xr:uid="{00000000-0005-0000-0000-0000841B0000}"/>
    <cellStyle name="Heading 2 2 3 2" xfId="7068" xr:uid="{00000000-0005-0000-0000-0000851B0000}"/>
    <cellStyle name="Heading 2 2 4" xfId="7069" xr:uid="{00000000-0005-0000-0000-0000861B0000}"/>
    <cellStyle name="Heading 2 2 5" xfId="7070" xr:uid="{00000000-0005-0000-0000-0000871B0000}"/>
    <cellStyle name="Heading 2 20" xfId="7071" xr:uid="{00000000-0005-0000-0000-0000881B0000}"/>
    <cellStyle name="Heading 2 20 2" xfId="7072" xr:uid="{00000000-0005-0000-0000-0000891B0000}"/>
    <cellStyle name="Heading 2 20 2 10" xfId="7073" xr:uid="{00000000-0005-0000-0000-00008A1B0000}"/>
    <cellStyle name="Heading 2 20 2 10 2" xfId="7074" xr:uid="{00000000-0005-0000-0000-00008B1B0000}"/>
    <cellStyle name="Heading 2 20 2 10 2 2" xfId="7075" xr:uid="{00000000-0005-0000-0000-00008C1B0000}"/>
    <cellStyle name="Heading 2 20 2 10 3" xfId="7076" xr:uid="{00000000-0005-0000-0000-00008D1B0000}"/>
    <cellStyle name="Heading 2 20 2 11" xfId="7077" xr:uid="{00000000-0005-0000-0000-00008E1B0000}"/>
    <cellStyle name="Heading 2 20 2 11 2" xfId="7078" xr:uid="{00000000-0005-0000-0000-00008F1B0000}"/>
    <cellStyle name="Heading 2 20 2 11 2 2" xfId="7079" xr:uid="{00000000-0005-0000-0000-0000901B0000}"/>
    <cellStyle name="Heading 2 20 2 11 3" xfId="7080" xr:uid="{00000000-0005-0000-0000-0000911B0000}"/>
    <cellStyle name="Heading 2 20 2 12" xfId="7081" xr:uid="{00000000-0005-0000-0000-0000921B0000}"/>
    <cellStyle name="Heading 2 20 2 12 2" xfId="7082" xr:uid="{00000000-0005-0000-0000-0000931B0000}"/>
    <cellStyle name="Heading 2 20 2 12 2 2" xfId="7083" xr:uid="{00000000-0005-0000-0000-0000941B0000}"/>
    <cellStyle name="Heading 2 20 2 12 3" xfId="7084" xr:uid="{00000000-0005-0000-0000-0000951B0000}"/>
    <cellStyle name="Heading 2 20 2 13" xfId="7085" xr:uid="{00000000-0005-0000-0000-0000961B0000}"/>
    <cellStyle name="Heading 2 20 2 13 2" xfId="7086" xr:uid="{00000000-0005-0000-0000-0000971B0000}"/>
    <cellStyle name="Heading 2 20 2 13 2 2" xfId="7087" xr:uid="{00000000-0005-0000-0000-0000981B0000}"/>
    <cellStyle name="Heading 2 20 2 13 3" xfId="7088" xr:uid="{00000000-0005-0000-0000-0000991B0000}"/>
    <cellStyle name="Heading 2 20 2 14" xfId="7089" xr:uid="{00000000-0005-0000-0000-00009A1B0000}"/>
    <cellStyle name="Heading 2 20 2 14 2" xfId="7090" xr:uid="{00000000-0005-0000-0000-00009B1B0000}"/>
    <cellStyle name="Heading 2 20 2 14 2 2" xfId="7091" xr:uid="{00000000-0005-0000-0000-00009C1B0000}"/>
    <cellStyle name="Heading 2 20 2 14 3" xfId="7092" xr:uid="{00000000-0005-0000-0000-00009D1B0000}"/>
    <cellStyle name="Heading 2 20 2 15" xfId="7093" xr:uid="{00000000-0005-0000-0000-00009E1B0000}"/>
    <cellStyle name="Heading 2 20 2 15 2" xfId="7094" xr:uid="{00000000-0005-0000-0000-00009F1B0000}"/>
    <cellStyle name="Heading 2 20 2 15 2 2" xfId="7095" xr:uid="{00000000-0005-0000-0000-0000A01B0000}"/>
    <cellStyle name="Heading 2 20 2 15 3" xfId="7096" xr:uid="{00000000-0005-0000-0000-0000A11B0000}"/>
    <cellStyle name="Heading 2 20 2 16" xfId="7097" xr:uid="{00000000-0005-0000-0000-0000A21B0000}"/>
    <cellStyle name="Heading 2 20 2 16 2" xfId="7098" xr:uid="{00000000-0005-0000-0000-0000A31B0000}"/>
    <cellStyle name="Heading 2 20 2 16 2 2" xfId="7099" xr:uid="{00000000-0005-0000-0000-0000A41B0000}"/>
    <cellStyle name="Heading 2 20 2 16 3" xfId="7100" xr:uid="{00000000-0005-0000-0000-0000A51B0000}"/>
    <cellStyle name="Heading 2 20 2 17" xfId="7101" xr:uid="{00000000-0005-0000-0000-0000A61B0000}"/>
    <cellStyle name="Heading 2 20 2 17 2" xfId="7102" xr:uid="{00000000-0005-0000-0000-0000A71B0000}"/>
    <cellStyle name="Heading 2 20 2 17 2 2" xfId="7103" xr:uid="{00000000-0005-0000-0000-0000A81B0000}"/>
    <cellStyle name="Heading 2 20 2 17 3" xfId="7104" xr:uid="{00000000-0005-0000-0000-0000A91B0000}"/>
    <cellStyle name="Heading 2 20 2 18" xfId="7105" xr:uid="{00000000-0005-0000-0000-0000AA1B0000}"/>
    <cellStyle name="Heading 2 20 2 18 2" xfId="7106" xr:uid="{00000000-0005-0000-0000-0000AB1B0000}"/>
    <cellStyle name="Heading 2 20 2 19" xfId="7107" xr:uid="{00000000-0005-0000-0000-0000AC1B0000}"/>
    <cellStyle name="Heading 2 20 2 2" xfId="7108" xr:uid="{00000000-0005-0000-0000-0000AD1B0000}"/>
    <cellStyle name="Heading 2 20 2 2 2" xfId="7109" xr:uid="{00000000-0005-0000-0000-0000AE1B0000}"/>
    <cellStyle name="Heading 2 20 2 2 2 2" xfId="7110" xr:uid="{00000000-0005-0000-0000-0000AF1B0000}"/>
    <cellStyle name="Heading 2 20 2 2 3" xfId="7111" xr:uid="{00000000-0005-0000-0000-0000B01B0000}"/>
    <cellStyle name="Heading 2 20 2 3" xfId="7112" xr:uid="{00000000-0005-0000-0000-0000B11B0000}"/>
    <cellStyle name="Heading 2 20 2 3 2" xfId="7113" xr:uid="{00000000-0005-0000-0000-0000B21B0000}"/>
    <cellStyle name="Heading 2 20 2 3 2 2" xfId="7114" xr:uid="{00000000-0005-0000-0000-0000B31B0000}"/>
    <cellStyle name="Heading 2 20 2 3 3" xfId="7115" xr:uid="{00000000-0005-0000-0000-0000B41B0000}"/>
    <cellStyle name="Heading 2 20 2 4" xfId="7116" xr:uid="{00000000-0005-0000-0000-0000B51B0000}"/>
    <cellStyle name="Heading 2 20 2 4 2" xfId="7117" xr:uid="{00000000-0005-0000-0000-0000B61B0000}"/>
    <cellStyle name="Heading 2 20 2 4 2 2" xfId="7118" xr:uid="{00000000-0005-0000-0000-0000B71B0000}"/>
    <cellStyle name="Heading 2 20 2 4 3" xfId="7119" xr:uid="{00000000-0005-0000-0000-0000B81B0000}"/>
    <cellStyle name="Heading 2 20 2 5" xfId="7120" xr:uid="{00000000-0005-0000-0000-0000B91B0000}"/>
    <cellStyle name="Heading 2 20 2 5 2" xfId="7121" xr:uid="{00000000-0005-0000-0000-0000BA1B0000}"/>
    <cellStyle name="Heading 2 20 2 5 2 2" xfId="7122" xr:uid="{00000000-0005-0000-0000-0000BB1B0000}"/>
    <cellStyle name="Heading 2 20 2 5 3" xfId="7123" xr:uid="{00000000-0005-0000-0000-0000BC1B0000}"/>
    <cellStyle name="Heading 2 20 2 6" xfId="7124" xr:uid="{00000000-0005-0000-0000-0000BD1B0000}"/>
    <cellStyle name="Heading 2 20 2 6 2" xfId="7125" xr:uid="{00000000-0005-0000-0000-0000BE1B0000}"/>
    <cellStyle name="Heading 2 20 2 6 2 2" xfId="7126" xr:uid="{00000000-0005-0000-0000-0000BF1B0000}"/>
    <cellStyle name="Heading 2 20 2 6 3" xfId="7127" xr:uid="{00000000-0005-0000-0000-0000C01B0000}"/>
    <cellStyle name="Heading 2 20 2 7" xfId="7128" xr:uid="{00000000-0005-0000-0000-0000C11B0000}"/>
    <cellStyle name="Heading 2 20 2 7 2" xfId="7129" xr:uid="{00000000-0005-0000-0000-0000C21B0000}"/>
    <cellStyle name="Heading 2 20 2 7 2 2" xfId="7130" xr:uid="{00000000-0005-0000-0000-0000C31B0000}"/>
    <cellStyle name="Heading 2 20 2 7 3" xfId="7131" xr:uid="{00000000-0005-0000-0000-0000C41B0000}"/>
    <cellStyle name="Heading 2 20 2 8" xfId="7132" xr:uid="{00000000-0005-0000-0000-0000C51B0000}"/>
    <cellStyle name="Heading 2 20 2 8 2" xfId="7133" xr:uid="{00000000-0005-0000-0000-0000C61B0000}"/>
    <cellStyle name="Heading 2 20 2 8 2 2" xfId="7134" xr:uid="{00000000-0005-0000-0000-0000C71B0000}"/>
    <cellStyle name="Heading 2 20 2 8 3" xfId="7135" xr:uid="{00000000-0005-0000-0000-0000C81B0000}"/>
    <cellStyle name="Heading 2 20 2 9" xfId="7136" xr:uid="{00000000-0005-0000-0000-0000C91B0000}"/>
    <cellStyle name="Heading 2 20 2 9 2" xfId="7137" xr:uid="{00000000-0005-0000-0000-0000CA1B0000}"/>
    <cellStyle name="Heading 2 20 2 9 2 2" xfId="7138" xr:uid="{00000000-0005-0000-0000-0000CB1B0000}"/>
    <cellStyle name="Heading 2 20 2 9 3" xfId="7139" xr:uid="{00000000-0005-0000-0000-0000CC1B0000}"/>
    <cellStyle name="Heading 2 21" xfId="7140" xr:uid="{00000000-0005-0000-0000-0000CD1B0000}"/>
    <cellStyle name="Heading 2 21 2" xfId="7141" xr:uid="{00000000-0005-0000-0000-0000CE1B0000}"/>
    <cellStyle name="Heading 2 21 2 10" xfId="7142" xr:uid="{00000000-0005-0000-0000-0000CF1B0000}"/>
    <cellStyle name="Heading 2 21 2 10 2" xfId="7143" xr:uid="{00000000-0005-0000-0000-0000D01B0000}"/>
    <cellStyle name="Heading 2 21 2 10 2 2" xfId="7144" xr:uid="{00000000-0005-0000-0000-0000D11B0000}"/>
    <cellStyle name="Heading 2 21 2 10 3" xfId="7145" xr:uid="{00000000-0005-0000-0000-0000D21B0000}"/>
    <cellStyle name="Heading 2 21 2 11" xfId="7146" xr:uid="{00000000-0005-0000-0000-0000D31B0000}"/>
    <cellStyle name="Heading 2 21 2 11 2" xfId="7147" xr:uid="{00000000-0005-0000-0000-0000D41B0000}"/>
    <cellStyle name="Heading 2 21 2 11 2 2" xfId="7148" xr:uid="{00000000-0005-0000-0000-0000D51B0000}"/>
    <cellStyle name="Heading 2 21 2 11 3" xfId="7149" xr:uid="{00000000-0005-0000-0000-0000D61B0000}"/>
    <cellStyle name="Heading 2 21 2 12" xfId="7150" xr:uid="{00000000-0005-0000-0000-0000D71B0000}"/>
    <cellStyle name="Heading 2 21 2 12 2" xfId="7151" xr:uid="{00000000-0005-0000-0000-0000D81B0000}"/>
    <cellStyle name="Heading 2 21 2 12 2 2" xfId="7152" xr:uid="{00000000-0005-0000-0000-0000D91B0000}"/>
    <cellStyle name="Heading 2 21 2 12 3" xfId="7153" xr:uid="{00000000-0005-0000-0000-0000DA1B0000}"/>
    <cellStyle name="Heading 2 21 2 13" xfId="7154" xr:uid="{00000000-0005-0000-0000-0000DB1B0000}"/>
    <cellStyle name="Heading 2 21 2 13 2" xfId="7155" xr:uid="{00000000-0005-0000-0000-0000DC1B0000}"/>
    <cellStyle name="Heading 2 21 2 13 2 2" xfId="7156" xr:uid="{00000000-0005-0000-0000-0000DD1B0000}"/>
    <cellStyle name="Heading 2 21 2 13 3" xfId="7157" xr:uid="{00000000-0005-0000-0000-0000DE1B0000}"/>
    <cellStyle name="Heading 2 21 2 14" xfId="7158" xr:uid="{00000000-0005-0000-0000-0000DF1B0000}"/>
    <cellStyle name="Heading 2 21 2 14 2" xfId="7159" xr:uid="{00000000-0005-0000-0000-0000E01B0000}"/>
    <cellStyle name="Heading 2 21 2 14 2 2" xfId="7160" xr:uid="{00000000-0005-0000-0000-0000E11B0000}"/>
    <cellStyle name="Heading 2 21 2 14 3" xfId="7161" xr:uid="{00000000-0005-0000-0000-0000E21B0000}"/>
    <cellStyle name="Heading 2 21 2 15" xfId="7162" xr:uid="{00000000-0005-0000-0000-0000E31B0000}"/>
    <cellStyle name="Heading 2 21 2 15 2" xfId="7163" xr:uid="{00000000-0005-0000-0000-0000E41B0000}"/>
    <cellStyle name="Heading 2 21 2 15 2 2" xfId="7164" xr:uid="{00000000-0005-0000-0000-0000E51B0000}"/>
    <cellStyle name="Heading 2 21 2 15 3" xfId="7165" xr:uid="{00000000-0005-0000-0000-0000E61B0000}"/>
    <cellStyle name="Heading 2 21 2 16" xfId="7166" xr:uid="{00000000-0005-0000-0000-0000E71B0000}"/>
    <cellStyle name="Heading 2 21 2 16 2" xfId="7167" xr:uid="{00000000-0005-0000-0000-0000E81B0000}"/>
    <cellStyle name="Heading 2 21 2 16 2 2" xfId="7168" xr:uid="{00000000-0005-0000-0000-0000E91B0000}"/>
    <cellStyle name="Heading 2 21 2 16 3" xfId="7169" xr:uid="{00000000-0005-0000-0000-0000EA1B0000}"/>
    <cellStyle name="Heading 2 21 2 17" xfId="7170" xr:uid="{00000000-0005-0000-0000-0000EB1B0000}"/>
    <cellStyle name="Heading 2 21 2 17 2" xfId="7171" xr:uid="{00000000-0005-0000-0000-0000EC1B0000}"/>
    <cellStyle name="Heading 2 21 2 17 2 2" xfId="7172" xr:uid="{00000000-0005-0000-0000-0000ED1B0000}"/>
    <cellStyle name="Heading 2 21 2 17 3" xfId="7173" xr:uid="{00000000-0005-0000-0000-0000EE1B0000}"/>
    <cellStyle name="Heading 2 21 2 18" xfId="7174" xr:uid="{00000000-0005-0000-0000-0000EF1B0000}"/>
    <cellStyle name="Heading 2 21 2 18 2" xfId="7175" xr:uid="{00000000-0005-0000-0000-0000F01B0000}"/>
    <cellStyle name="Heading 2 21 2 19" xfId="7176" xr:uid="{00000000-0005-0000-0000-0000F11B0000}"/>
    <cellStyle name="Heading 2 21 2 2" xfId="7177" xr:uid="{00000000-0005-0000-0000-0000F21B0000}"/>
    <cellStyle name="Heading 2 21 2 2 2" xfId="7178" xr:uid="{00000000-0005-0000-0000-0000F31B0000}"/>
    <cellStyle name="Heading 2 21 2 2 2 2" xfId="7179" xr:uid="{00000000-0005-0000-0000-0000F41B0000}"/>
    <cellStyle name="Heading 2 21 2 2 3" xfId="7180" xr:uid="{00000000-0005-0000-0000-0000F51B0000}"/>
    <cellStyle name="Heading 2 21 2 3" xfId="7181" xr:uid="{00000000-0005-0000-0000-0000F61B0000}"/>
    <cellStyle name="Heading 2 21 2 3 2" xfId="7182" xr:uid="{00000000-0005-0000-0000-0000F71B0000}"/>
    <cellStyle name="Heading 2 21 2 3 2 2" xfId="7183" xr:uid="{00000000-0005-0000-0000-0000F81B0000}"/>
    <cellStyle name="Heading 2 21 2 3 3" xfId="7184" xr:uid="{00000000-0005-0000-0000-0000F91B0000}"/>
    <cellStyle name="Heading 2 21 2 4" xfId="7185" xr:uid="{00000000-0005-0000-0000-0000FA1B0000}"/>
    <cellStyle name="Heading 2 21 2 4 2" xfId="7186" xr:uid="{00000000-0005-0000-0000-0000FB1B0000}"/>
    <cellStyle name="Heading 2 21 2 4 2 2" xfId="7187" xr:uid="{00000000-0005-0000-0000-0000FC1B0000}"/>
    <cellStyle name="Heading 2 21 2 4 3" xfId="7188" xr:uid="{00000000-0005-0000-0000-0000FD1B0000}"/>
    <cellStyle name="Heading 2 21 2 5" xfId="7189" xr:uid="{00000000-0005-0000-0000-0000FE1B0000}"/>
    <cellStyle name="Heading 2 21 2 5 2" xfId="7190" xr:uid="{00000000-0005-0000-0000-0000FF1B0000}"/>
    <cellStyle name="Heading 2 21 2 5 2 2" xfId="7191" xr:uid="{00000000-0005-0000-0000-0000001C0000}"/>
    <cellStyle name="Heading 2 21 2 5 3" xfId="7192" xr:uid="{00000000-0005-0000-0000-0000011C0000}"/>
    <cellStyle name="Heading 2 21 2 6" xfId="7193" xr:uid="{00000000-0005-0000-0000-0000021C0000}"/>
    <cellStyle name="Heading 2 21 2 6 2" xfId="7194" xr:uid="{00000000-0005-0000-0000-0000031C0000}"/>
    <cellStyle name="Heading 2 21 2 6 2 2" xfId="7195" xr:uid="{00000000-0005-0000-0000-0000041C0000}"/>
    <cellStyle name="Heading 2 21 2 6 3" xfId="7196" xr:uid="{00000000-0005-0000-0000-0000051C0000}"/>
    <cellStyle name="Heading 2 21 2 7" xfId="7197" xr:uid="{00000000-0005-0000-0000-0000061C0000}"/>
    <cellStyle name="Heading 2 21 2 7 2" xfId="7198" xr:uid="{00000000-0005-0000-0000-0000071C0000}"/>
    <cellStyle name="Heading 2 21 2 7 2 2" xfId="7199" xr:uid="{00000000-0005-0000-0000-0000081C0000}"/>
    <cellStyle name="Heading 2 21 2 7 3" xfId="7200" xr:uid="{00000000-0005-0000-0000-0000091C0000}"/>
    <cellStyle name="Heading 2 21 2 8" xfId="7201" xr:uid="{00000000-0005-0000-0000-00000A1C0000}"/>
    <cellStyle name="Heading 2 21 2 8 2" xfId="7202" xr:uid="{00000000-0005-0000-0000-00000B1C0000}"/>
    <cellStyle name="Heading 2 21 2 8 2 2" xfId="7203" xr:uid="{00000000-0005-0000-0000-00000C1C0000}"/>
    <cellStyle name="Heading 2 21 2 8 3" xfId="7204" xr:uid="{00000000-0005-0000-0000-00000D1C0000}"/>
    <cellStyle name="Heading 2 21 2 9" xfId="7205" xr:uid="{00000000-0005-0000-0000-00000E1C0000}"/>
    <cellStyle name="Heading 2 21 2 9 2" xfId="7206" xr:uid="{00000000-0005-0000-0000-00000F1C0000}"/>
    <cellStyle name="Heading 2 21 2 9 2 2" xfId="7207" xr:uid="{00000000-0005-0000-0000-0000101C0000}"/>
    <cellStyle name="Heading 2 21 2 9 3" xfId="7208" xr:uid="{00000000-0005-0000-0000-0000111C0000}"/>
    <cellStyle name="Heading 2 22" xfId="7209" xr:uid="{00000000-0005-0000-0000-0000121C0000}"/>
    <cellStyle name="Heading 2 22 2" xfId="7210" xr:uid="{00000000-0005-0000-0000-0000131C0000}"/>
    <cellStyle name="Heading 2 22 2 10" xfId="7211" xr:uid="{00000000-0005-0000-0000-0000141C0000}"/>
    <cellStyle name="Heading 2 22 2 10 2" xfId="7212" xr:uid="{00000000-0005-0000-0000-0000151C0000}"/>
    <cellStyle name="Heading 2 22 2 10 2 2" xfId="7213" xr:uid="{00000000-0005-0000-0000-0000161C0000}"/>
    <cellStyle name="Heading 2 22 2 10 3" xfId="7214" xr:uid="{00000000-0005-0000-0000-0000171C0000}"/>
    <cellStyle name="Heading 2 22 2 11" xfId="7215" xr:uid="{00000000-0005-0000-0000-0000181C0000}"/>
    <cellStyle name="Heading 2 22 2 11 2" xfId="7216" xr:uid="{00000000-0005-0000-0000-0000191C0000}"/>
    <cellStyle name="Heading 2 22 2 11 2 2" xfId="7217" xr:uid="{00000000-0005-0000-0000-00001A1C0000}"/>
    <cellStyle name="Heading 2 22 2 11 3" xfId="7218" xr:uid="{00000000-0005-0000-0000-00001B1C0000}"/>
    <cellStyle name="Heading 2 22 2 12" xfId="7219" xr:uid="{00000000-0005-0000-0000-00001C1C0000}"/>
    <cellStyle name="Heading 2 22 2 12 2" xfId="7220" xr:uid="{00000000-0005-0000-0000-00001D1C0000}"/>
    <cellStyle name="Heading 2 22 2 12 2 2" xfId="7221" xr:uid="{00000000-0005-0000-0000-00001E1C0000}"/>
    <cellStyle name="Heading 2 22 2 12 3" xfId="7222" xr:uid="{00000000-0005-0000-0000-00001F1C0000}"/>
    <cellStyle name="Heading 2 22 2 13" xfId="7223" xr:uid="{00000000-0005-0000-0000-0000201C0000}"/>
    <cellStyle name="Heading 2 22 2 13 2" xfId="7224" xr:uid="{00000000-0005-0000-0000-0000211C0000}"/>
    <cellStyle name="Heading 2 22 2 13 2 2" xfId="7225" xr:uid="{00000000-0005-0000-0000-0000221C0000}"/>
    <cellStyle name="Heading 2 22 2 13 3" xfId="7226" xr:uid="{00000000-0005-0000-0000-0000231C0000}"/>
    <cellStyle name="Heading 2 22 2 14" xfId="7227" xr:uid="{00000000-0005-0000-0000-0000241C0000}"/>
    <cellStyle name="Heading 2 22 2 14 2" xfId="7228" xr:uid="{00000000-0005-0000-0000-0000251C0000}"/>
    <cellStyle name="Heading 2 22 2 14 2 2" xfId="7229" xr:uid="{00000000-0005-0000-0000-0000261C0000}"/>
    <cellStyle name="Heading 2 22 2 14 3" xfId="7230" xr:uid="{00000000-0005-0000-0000-0000271C0000}"/>
    <cellStyle name="Heading 2 22 2 15" xfId="7231" xr:uid="{00000000-0005-0000-0000-0000281C0000}"/>
    <cellStyle name="Heading 2 22 2 15 2" xfId="7232" xr:uid="{00000000-0005-0000-0000-0000291C0000}"/>
    <cellStyle name="Heading 2 22 2 15 2 2" xfId="7233" xr:uid="{00000000-0005-0000-0000-00002A1C0000}"/>
    <cellStyle name="Heading 2 22 2 15 3" xfId="7234" xr:uid="{00000000-0005-0000-0000-00002B1C0000}"/>
    <cellStyle name="Heading 2 22 2 16" xfId="7235" xr:uid="{00000000-0005-0000-0000-00002C1C0000}"/>
    <cellStyle name="Heading 2 22 2 16 2" xfId="7236" xr:uid="{00000000-0005-0000-0000-00002D1C0000}"/>
    <cellStyle name="Heading 2 22 2 16 2 2" xfId="7237" xr:uid="{00000000-0005-0000-0000-00002E1C0000}"/>
    <cellStyle name="Heading 2 22 2 16 3" xfId="7238" xr:uid="{00000000-0005-0000-0000-00002F1C0000}"/>
    <cellStyle name="Heading 2 22 2 17" xfId="7239" xr:uid="{00000000-0005-0000-0000-0000301C0000}"/>
    <cellStyle name="Heading 2 22 2 17 2" xfId="7240" xr:uid="{00000000-0005-0000-0000-0000311C0000}"/>
    <cellStyle name="Heading 2 22 2 17 2 2" xfId="7241" xr:uid="{00000000-0005-0000-0000-0000321C0000}"/>
    <cellStyle name="Heading 2 22 2 17 3" xfId="7242" xr:uid="{00000000-0005-0000-0000-0000331C0000}"/>
    <cellStyle name="Heading 2 22 2 18" xfId="7243" xr:uid="{00000000-0005-0000-0000-0000341C0000}"/>
    <cellStyle name="Heading 2 22 2 18 2" xfId="7244" xr:uid="{00000000-0005-0000-0000-0000351C0000}"/>
    <cellStyle name="Heading 2 22 2 19" xfId="7245" xr:uid="{00000000-0005-0000-0000-0000361C0000}"/>
    <cellStyle name="Heading 2 22 2 2" xfId="7246" xr:uid="{00000000-0005-0000-0000-0000371C0000}"/>
    <cellStyle name="Heading 2 22 2 2 2" xfId="7247" xr:uid="{00000000-0005-0000-0000-0000381C0000}"/>
    <cellStyle name="Heading 2 22 2 2 2 2" xfId="7248" xr:uid="{00000000-0005-0000-0000-0000391C0000}"/>
    <cellStyle name="Heading 2 22 2 2 3" xfId="7249" xr:uid="{00000000-0005-0000-0000-00003A1C0000}"/>
    <cellStyle name="Heading 2 22 2 3" xfId="7250" xr:uid="{00000000-0005-0000-0000-00003B1C0000}"/>
    <cellStyle name="Heading 2 22 2 3 2" xfId="7251" xr:uid="{00000000-0005-0000-0000-00003C1C0000}"/>
    <cellStyle name="Heading 2 22 2 3 2 2" xfId="7252" xr:uid="{00000000-0005-0000-0000-00003D1C0000}"/>
    <cellStyle name="Heading 2 22 2 3 3" xfId="7253" xr:uid="{00000000-0005-0000-0000-00003E1C0000}"/>
    <cellStyle name="Heading 2 22 2 4" xfId="7254" xr:uid="{00000000-0005-0000-0000-00003F1C0000}"/>
    <cellStyle name="Heading 2 22 2 4 2" xfId="7255" xr:uid="{00000000-0005-0000-0000-0000401C0000}"/>
    <cellStyle name="Heading 2 22 2 4 2 2" xfId="7256" xr:uid="{00000000-0005-0000-0000-0000411C0000}"/>
    <cellStyle name="Heading 2 22 2 4 3" xfId="7257" xr:uid="{00000000-0005-0000-0000-0000421C0000}"/>
    <cellStyle name="Heading 2 22 2 5" xfId="7258" xr:uid="{00000000-0005-0000-0000-0000431C0000}"/>
    <cellStyle name="Heading 2 22 2 5 2" xfId="7259" xr:uid="{00000000-0005-0000-0000-0000441C0000}"/>
    <cellStyle name="Heading 2 22 2 5 2 2" xfId="7260" xr:uid="{00000000-0005-0000-0000-0000451C0000}"/>
    <cellStyle name="Heading 2 22 2 5 3" xfId="7261" xr:uid="{00000000-0005-0000-0000-0000461C0000}"/>
    <cellStyle name="Heading 2 22 2 6" xfId="7262" xr:uid="{00000000-0005-0000-0000-0000471C0000}"/>
    <cellStyle name="Heading 2 22 2 6 2" xfId="7263" xr:uid="{00000000-0005-0000-0000-0000481C0000}"/>
    <cellStyle name="Heading 2 22 2 6 2 2" xfId="7264" xr:uid="{00000000-0005-0000-0000-0000491C0000}"/>
    <cellStyle name="Heading 2 22 2 6 3" xfId="7265" xr:uid="{00000000-0005-0000-0000-00004A1C0000}"/>
    <cellStyle name="Heading 2 22 2 7" xfId="7266" xr:uid="{00000000-0005-0000-0000-00004B1C0000}"/>
    <cellStyle name="Heading 2 22 2 7 2" xfId="7267" xr:uid="{00000000-0005-0000-0000-00004C1C0000}"/>
    <cellStyle name="Heading 2 22 2 7 2 2" xfId="7268" xr:uid="{00000000-0005-0000-0000-00004D1C0000}"/>
    <cellStyle name="Heading 2 22 2 7 3" xfId="7269" xr:uid="{00000000-0005-0000-0000-00004E1C0000}"/>
    <cellStyle name="Heading 2 22 2 8" xfId="7270" xr:uid="{00000000-0005-0000-0000-00004F1C0000}"/>
    <cellStyle name="Heading 2 22 2 8 2" xfId="7271" xr:uid="{00000000-0005-0000-0000-0000501C0000}"/>
    <cellStyle name="Heading 2 22 2 8 2 2" xfId="7272" xr:uid="{00000000-0005-0000-0000-0000511C0000}"/>
    <cellStyle name="Heading 2 22 2 8 3" xfId="7273" xr:uid="{00000000-0005-0000-0000-0000521C0000}"/>
    <cellStyle name="Heading 2 22 2 9" xfId="7274" xr:uid="{00000000-0005-0000-0000-0000531C0000}"/>
    <cellStyle name="Heading 2 22 2 9 2" xfId="7275" xr:uid="{00000000-0005-0000-0000-0000541C0000}"/>
    <cellStyle name="Heading 2 22 2 9 2 2" xfId="7276" xr:uid="{00000000-0005-0000-0000-0000551C0000}"/>
    <cellStyle name="Heading 2 22 2 9 3" xfId="7277" xr:uid="{00000000-0005-0000-0000-0000561C0000}"/>
    <cellStyle name="Heading 2 23" xfId="7278" xr:uid="{00000000-0005-0000-0000-0000571C0000}"/>
    <cellStyle name="Heading 2 23 2" xfId="7279" xr:uid="{00000000-0005-0000-0000-0000581C0000}"/>
    <cellStyle name="Heading 2 23 2 10" xfId="7280" xr:uid="{00000000-0005-0000-0000-0000591C0000}"/>
    <cellStyle name="Heading 2 23 2 10 2" xfId="7281" xr:uid="{00000000-0005-0000-0000-00005A1C0000}"/>
    <cellStyle name="Heading 2 23 2 10 2 2" xfId="7282" xr:uid="{00000000-0005-0000-0000-00005B1C0000}"/>
    <cellStyle name="Heading 2 23 2 10 3" xfId="7283" xr:uid="{00000000-0005-0000-0000-00005C1C0000}"/>
    <cellStyle name="Heading 2 23 2 11" xfId="7284" xr:uid="{00000000-0005-0000-0000-00005D1C0000}"/>
    <cellStyle name="Heading 2 23 2 11 2" xfId="7285" xr:uid="{00000000-0005-0000-0000-00005E1C0000}"/>
    <cellStyle name="Heading 2 23 2 11 2 2" xfId="7286" xr:uid="{00000000-0005-0000-0000-00005F1C0000}"/>
    <cellStyle name="Heading 2 23 2 11 3" xfId="7287" xr:uid="{00000000-0005-0000-0000-0000601C0000}"/>
    <cellStyle name="Heading 2 23 2 12" xfId="7288" xr:uid="{00000000-0005-0000-0000-0000611C0000}"/>
    <cellStyle name="Heading 2 23 2 12 2" xfId="7289" xr:uid="{00000000-0005-0000-0000-0000621C0000}"/>
    <cellStyle name="Heading 2 23 2 12 2 2" xfId="7290" xr:uid="{00000000-0005-0000-0000-0000631C0000}"/>
    <cellStyle name="Heading 2 23 2 12 3" xfId="7291" xr:uid="{00000000-0005-0000-0000-0000641C0000}"/>
    <cellStyle name="Heading 2 23 2 13" xfId="7292" xr:uid="{00000000-0005-0000-0000-0000651C0000}"/>
    <cellStyle name="Heading 2 23 2 13 2" xfId="7293" xr:uid="{00000000-0005-0000-0000-0000661C0000}"/>
    <cellStyle name="Heading 2 23 2 13 2 2" xfId="7294" xr:uid="{00000000-0005-0000-0000-0000671C0000}"/>
    <cellStyle name="Heading 2 23 2 13 3" xfId="7295" xr:uid="{00000000-0005-0000-0000-0000681C0000}"/>
    <cellStyle name="Heading 2 23 2 14" xfId="7296" xr:uid="{00000000-0005-0000-0000-0000691C0000}"/>
    <cellStyle name="Heading 2 23 2 14 2" xfId="7297" xr:uid="{00000000-0005-0000-0000-00006A1C0000}"/>
    <cellStyle name="Heading 2 23 2 14 2 2" xfId="7298" xr:uid="{00000000-0005-0000-0000-00006B1C0000}"/>
    <cellStyle name="Heading 2 23 2 14 3" xfId="7299" xr:uid="{00000000-0005-0000-0000-00006C1C0000}"/>
    <cellStyle name="Heading 2 23 2 15" xfId="7300" xr:uid="{00000000-0005-0000-0000-00006D1C0000}"/>
    <cellStyle name="Heading 2 23 2 15 2" xfId="7301" xr:uid="{00000000-0005-0000-0000-00006E1C0000}"/>
    <cellStyle name="Heading 2 23 2 15 2 2" xfId="7302" xr:uid="{00000000-0005-0000-0000-00006F1C0000}"/>
    <cellStyle name="Heading 2 23 2 15 3" xfId="7303" xr:uid="{00000000-0005-0000-0000-0000701C0000}"/>
    <cellStyle name="Heading 2 23 2 16" xfId="7304" xr:uid="{00000000-0005-0000-0000-0000711C0000}"/>
    <cellStyle name="Heading 2 23 2 16 2" xfId="7305" xr:uid="{00000000-0005-0000-0000-0000721C0000}"/>
    <cellStyle name="Heading 2 23 2 16 2 2" xfId="7306" xr:uid="{00000000-0005-0000-0000-0000731C0000}"/>
    <cellStyle name="Heading 2 23 2 16 3" xfId="7307" xr:uid="{00000000-0005-0000-0000-0000741C0000}"/>
    <cellStyle name="Heading 2 23 2 17" xfId="7308" xr:uid="{00000000-0005-0000-0000-0000751C0000}"/>
    <cellStyle name="Heading 2 23 2 17 2" xfId="7309" xr:uid="{00000000-0005-0000-0000-0000761C0000}"/>
    <cellStyle name="Heading 2 23 2 17 2 2" xfId="7310" xr:uid="{00000000-0005-0000-0000-0000771C0000}"/>
    <cellStyle name="Heading 2 23 2 17 3" xfId="7311" xr:uid="{00000000-0005-0000-0000-0000781C0000}"/>
    <cellStyle name="Heading 2 23 2 18" xfId="7312" xr:uid="{00000000-0005-0000-0000-0000791C0000}"/>
    <cellStyle name="Heading 2 23 2 18 2" xfId="7313" xr:uid="{00000000-0005-0000-0000-00007A1C0000}"/>
    <cellStyle name="Heading 2 23 2 19" xfId="7314" xr:uid="{00000000-0005-0000-0000-00007B1C0000}"/>
    <cellStyle name="Heading 2 23 2 2" xfId="7315" xr:uid="{00000000-0005-0000-0000-00007C1C0000}"/>
    <cellStyle name="Heading 2 23 2 2 2" xfId="7316" xr:uid="{00000000-0005-0000-0000-00007D1C0000}"/>
    <cellStyle name="Heading 2 23 2 2 2 2" xfId="7317" xr:uid="{00000000-0005-0000-0000-00007E1C0000}"/>
    <cellStyle name="Heading 2 23 2 2 3" xfId="7318" xr:uid="{00000000-0005-0000-0000-00007F1C0000}"/>
    <cellStyle name="Heading 2 23 2 3" xfId="7319" xr:uid="{00000000-0005-0000-0000-0000801C0000}"/>
    <cellStyle name="Heading 2 23 2 3 2" xfId="7320" xr:uid="{00000000-0005-0000-0000-0000811C0000}"/>
    <cellStyle name="Heading 2 23 2 3 2 2" xfId="7321" xr:uid="{00000000-0005-0000-0000-0000821C0000}"/>
    <cellStyle name="Heading 2 23 2 3 3" xfId="7322" xr:uid="{00000000-0005-0000-0000-0000831C0000}"/>
    <cellStyle name="Heading 2 23 2 4" xfId="7323" xr:uid="{00000000-0005-0000-0000-0000841C0000}"/>
    <cellStyle name="Heading 2 23 2 4 2" xfId="7324" xr:uid="{00000000-0005-0000-0000-0000851C0000}"/>
    <cellStyle name="Heading 2 23 2 4 2 2" xfId="7325" xr:uid="{00000000-0005-0000-0000-0000861C0000}"/>
    <cellStyle name="Heading 2 23 2 4 3" xfId="7326" xr:uid="{00000000-0005-0000-0000-0000871C0000}"/>
    <cellStyle name="Heading 2 23 2 5" xfId="7327" xr:uid="{00000000-0005-0000-0000-0000881C0000}"/>
    <cellStyle name="Heading 2 23 2 5 2" xfId="7328" xr:uid="{00000000-0005-0000-0000-0000891C0000}"/>
    <cellStyle name="Heading 2 23 2 5 2 2" xfId="7329" xr:uid="{00000000-0005-0000-0000-00008A1C0000}"/>
    <cellStyle name="Heading 2 23 2 5 3" xfId="7330" xr:uid="{00000000-0005-0000-0000-00008B1C0000}"/>
    <cellStyle name="Heading 2 23 2 6" xfId="7331" xr:uid="{00000000-0005-0000-0000-00008C1C0000}"/>
    <cellStyle name="Heading 2 23 2 6 2" xfId="7332" xr:uid="{00000000-0005-0000-0000-00008D1C0000}"/>
    <cellStyle name="Heading 2 23 2 6 2 2" xfId="7333" xr:uid="{00000000-0005-0000-0000-00008E1C0000}"/>
    <cellStyle name="Heading 2 23 2 6 3" xfId="7334" xr:uid="{00000000-0005-0000-0000-00008F1C0000}"/>
    <cellStyle name="Heading 2 23 2 7" xfId="7335" xr:uid="{00000000-0005-0000-0000-0000901C0000}"/>
    <cellStyle name="Heading 2 23 2 7 2" xfId="7336" xr:uid="{00000000-0005-0000-0000-0000911C0000}"/>
    <cellStyle name="Heading 2 23 2 7 2 2" xfId="7337" xr:uid="{00000000-0005-0000-0000-0000921C0000}"/>
    <cellStyle name="Heading 2 23 2 7 3" xfId="7338" xr:uid="{00000000-0005-0000-0000-0000931C0000}"/>
    <cellStyle name="Heading 2 23 2 8" xfId="7339" xr:uid="{00000000-0005-0000-0000-0000941C0000}"/>
    <cellStyle name="Heading 2 23 2 8 2" xfId="7340" xr:uid="{00000000-0005-0000-0000-0000951C0000}"/>
    <cellStyle name="Heading 2 23 2 8 2 2" xfId="7341" xr:uid="{00000000-0005-0000-0000-0000961C0000}"/>
    <cellStyle name="Heading 2 23 2 8 3" xfId="7342" xr:uid="{00000000-0005-0000-0000-0000971C0000}"/>
    <cellStyle name="Heading 2 23 2 9" xfId="7343" xr:uid="{00000000-0005-0000-0000-0000981C0000}"/>
    <cellStyle name="Heading 2 23 2 9 2" xfId="7344" xr:uid="{00000000-0005-0000-0000-0000991C0000}"/>
    <cellStyle name="Heading 2 23 2 9 2 2" xfId="7345" xr:uid="{00000000-0005-0000-0000-00009A1C0000}"/>
    <cellStyle name="Heading 2 23 2 9 3" xfId="7346" xr:uid="{00000000-0005-0000-0000-00009B1C0000}"/>
    <cellStyle name="Heading 2 24" xfId="7347" xr:uid="{00000000-0005-0000-0000-00009C1C0000}"/>
    <cellStyle name="Heading 2 24 2" xfId="7348" xr:uid="{00000000-0005-0000-0000-00009D1C0000}"/>
    <cellStyle name="Heading 2 24 2 10" xfId="7349" xr:uid="{00000000-0005-0000-0000-00009E1C0000}"/>
    <cellStyle name="Heading 2 24 2 10 2" xfId="7350" xr:uid="{00000000-0005-0000-0000-00009F1C0000}"/>
    <cellStyle name="Heading 2 24 2 10 2 2" xfId="7351" xr:uid="{00000000-0005-0000-0000-0000A01C0000}"/>
    <cellStyle name="Heading 2 24 2 10 3" xfId="7352" xr:uid="{00000000-0005-0000-0000-0000A11C0000}"/>
    <cellStyle name="Heading 2 24 2 11" xfId="7353" xr:uid="{00000000-0005-0000-0000-0000A21C0000}"/>
    <cellStyle name="Heading 2 24 2 11 2" xfId="7354" xr:uid="{00000000-0005-0000-0000-0000A31C0000}"/>
    <cellStyle name="Heading 2 24 2 11 2 2" xfId="7355" xr:uid="{00000000-0005-0000-0000-0000A41C0000}"/>
    <cellStyle name="Heading 2 24 2 11 3" xfId="7356" xr:uid="{00000000-0005-0000-0000-0000A51C0000}"/>
    <cellStyle name="Heading 2 24 2 12" xfId="7357" xr:uid="{00000000-0005-0000-0000-0000A61C0000}"/>
    <cellStyle name="Heading 2 24 2 12 2" xfId="7358" xr:uid="{00000000-0005-0000-0000-0000A71C0000}"/>
    <cellStyle name="Heading 2 24 2 12 2 2" xfId="7359" xr:uid="{00000000-0005-0000-0000-0000A81C0000}"/>
    <cellStyle name="Heading 2 24 2 12 3" xfId="7360" xr:uid="{00000000-0005-0000-0000-0000A91C0000}"/>
    <cellStyle name="Heading 2 24 2 13" xfId="7361" xr:uid="{00000000-0005-0000-0000-0000AA1C0000}"/>
    <cellStyle name="Heading 2 24 2 13 2" xfId="7362" xr:uid="{00000000-0005-0000-0000-0000AB1C0000}"/>
    <cellStyle name="Heading 2 24 2 13 2 2" xfId="7363" xr:uid="{00000000-0005-0000-0000-0000AC1C0000}"/>
    <cellStyle name="Heading 2 24 2 13 3" xfId="7364" xr:uid="{00000000-0005-0000-0000-0000AD1C0000}"/>
    <cellStyle name="Heading 2 24 2 14" xfId="7365" xr:uid="{00000000-0005-0000-0000-0000AE1C0000}"/>
    <cellStyle name="Heading 2 24 2 14 2" xfId="7366" xr:uid="{00000000-0005-0000-0000-0000AF1C0000}"/>
    <cellStyle name="Heading 2 24 2 14 2 2" xfId="7367" xr:uid="{00000000-0005-0000-0000-0000B01C0000}"/>
    <cellStyle name="Heading 2 24 2 14 3" xfId="7368" xr:uid="{00000000-0005-0000-0000-0000B11C0000}"/>
    <cellStyle name="Heading 2 24 2 15" xfId="7369" xr:uid="{00000000-0005-0000-0000-0000B21C0000}"/>
    <cellStyle name="Heading 2 24 2 15 2" xfId="7370" xr:uid="{00000000-0005-0000-0000-0000B31C0000}"/>
    <cellStyle name="Heading 2 24 2 15 2 2" xfId="7371" xr:uid="{00000000-0005-0000-0000-0000B41C0000}"/>
    <cellStyle name="Heading 2 24 2 15 3" xfId="7372" xr:uid="{00000000-0005-0000-0000-0000B51C0000}"/>
    <cellStyle name="Heading 2 24 2 16" xfId="7373" xr:uid="{00000000-0005-0000-0000-0000B61C0000}"/>
    <cellStyle name="Heading 2 24 2 16 2" xfId="7374" xr:uid="{00000000-0005-0000-0000-0000B71C0000}"/>
    <cellStyle name="Heading 2 24 2 16 2 2" xfId="7375" xr:uid="{00000000-0005-0000-0000-0000B81C0000}"/>
    <cellStyle name="Heading 2 24 2 16 3" xfId="7376" xr:uid="{00000000-0005-0000-0000-0000B91C0000}"/>
    <cellStyle name="Heading 2 24 2 17" xfId="7377" xr:uid="{00000000-0005-0000-0000-0000BA1C0000}"/>
    <cellStyle name="Heading 2 24 2 17 2" xfId="7378" xr:uid="{00000000-0005-0000-0000-0000BB1C0000}"/>
    <cellStyle name="Heading 2 24 2 17 2 2" xfId="7379" xr:uid="{00000000-0005-0000-0000-0000BC1C0000}"/>
    <cellStyle name="Heading 2 24 2 17 3" xfId="7380" xr:uid="{00000000-0005-0000-0000-0000BD1C0000}"/>
    <cellStyle name="Heading 2 24 2 18" xfId="7381" xr:uid="{00000000-0005-0000-0000-0000BE1C0000}"/>
    <cellStyle name="Heading 2 24 2 18 2" xfId="7382" xr:uid="{00000000-0005-0000-0000-0000BF1C0000}"/>
    <cellStyle name="Heading 2 24 2 19" xfId="7383" xr:uid="{00000000-0005-0000-0000-0000C01C0000}"/>
    <cellStyle name="Heading 2 24 2 2" xfId="7384" xr:uid="{00000000-0005-0000-0000-0000C11C0000}"/>
    <cellStyle name="Heading 2 24 2 2 2" xfId="7385" xr:uid="{00000000-0005-0000-0000-0000C21C0000}"/>
    <cellStyle name="Heading 2 24 2 2 2 2" xfId="7386" xr:uid="{00000000-0005-0000-0000-0000C31C0000}"/>
    <cellStyle name="Heading 2 24 2 2 3" xfId="7387" xr:uid="{00000000-0005-0000-0000-0000C41C0000}"/>
    <cellStyle name="Heading 2 24 2 3" xfId="7388" xr:uid="{00000000-0005-0000-0000-0000C51C0000}"/>
    <cellStyle name="Heading 2 24 2 3 2" xfId="7389" xr:uid="{00000000-0005-0000-0000-0000C61C0000}"/>
    <cellStyle name="Heading 2 24 2 3 2 2" xfId="7390" xr:uid="{00000000-0005-0000-0000-0000C71C0000}"/>
    <cellStyle name="Heading 2 24 2 3 3" xfId="7391" xr:uid="{00000000-0005-0000-0000-0000C81C0000}"/>
    <cellStyle name="Heading 2 24 2 4" xfId="7392" xr:uid="{00000000-0005-0000-0000-0000C91C0000}"/>
    <cellStyle name="Heading 2 24 2 4 2" xfId="7393" xr:uid="{00000000-0005-0000-0000-0000CA1C0000}"/>
    <cellStyle name="Heading 2 24 2 4 2 2" xfId="7394" xr:uid="{00000000-0005-0000-0000-0000CB1C0000}"/>
    <cellStyle name="Heading 2 24 2 4 3" xfId="7395" xr:uid="{00000000-0005-0000-0000-0000CC1C0000}"/>
    <cellStyle name="Heading 2 24 2 5" xfId="7396" xr:uid="{00000000-0005-0000-0000-0000CD1C0000}"/>
    <cellStyle name="Heading 2 24 2 5 2" xfId="7397" xr:uid="{00000000-0005-0000-0000-0000CE1C0000}"/>
    <cellStyle name="Heading 2 24 2 5 2 2" xfId="7398" xr:uid="{00000000-0005-0000-0000-0000CF1C0000}"/>
    <cellStyle name="Heading 2 24 2 5 3" xfId="7399" xr:uid="{00000000-0005-0000-0000-0000D01C0000}"/>
    <cellStyle name="Heading 2 24 2 6" xfId="7400" xr:uid="{00000000-0005-0000-0000-0000D11C0000}"/>
    <cellStyle name="Heading 2 24 2 6 2" xfId="7401" xr:uid="{00000000-0005-0000-0000-0000D21C0000}"/>
    <cellStyle name="Heading 2 24 2 6 2 2" xfId="7402" xr:uid="{00000000-0005-0000-0000-0000D31C0000}"/>
    <cellStyle name="Heading 2 24 2 6 3" xfId="7403" xr:uid="{00000000-0005-0000-0000-0000D41C0000}"/>
    <cellStyle name="Heading 2 24 2 7" xfId="7404" xr:uid="{00000000-0005-0000-0000-0000D51C0000}"/>
    <cellStyle name="Heading 2 24 2 7 2" xfId="7405" xr:uid="{00000000-0005-0000-0000-0000D61C0000}"/>
    <cellStyle name="Heading 2 24 2 7 2 2" xfId="7406" xr:uid="{00000000-0005-0000-0000-0000D71C0000}"/>
    <cellStyle name="Heading 2 24 2 7 3" xfId="7407" xr:uid="{00000000-0005-0000-0000-0000D81C0000}"/>
    <cellStyle name="Heading 2 24 2 8" xfId="7408" xr:uid="{00000000-0005-0000-0000-0000D91C0000}"/>
    <cellStyle name="Heading 2 24 2 8 2" xfId="7409" xr:uid="{00000000-0005-0000-0000-0000DA1C0000}"/>
    <cellStyle name="Heading 2 24 2 8 2 2" xfId="7410" xr:uid="{00000000-0005-0000-0000-0000DB1C0000}"/>
    <cellStyle name="Heading 2 24 2 8 3" xfId="7411" xr:uid="{00000000-0005-0000-0000-0000DC1C0000}"/>
    <cellStyle name="Heading 2 24 2 9" xfId="7412" xr:uid="{00000000-0005-0000-0000-0000DD1C0000}"/>
    <cellStyle name="Heading 2 24 2 9 2" xfId="7413" xr:uid="{00000000-0005-0000-0000-0000DE1C0000}"/>
    <cellStyle name="Heading 2 24 2 9 2 2" xfId="7414" xr:uid="{00000000-0005-0000-0000-0000DF1C0000}"/>
    <cellStyle name="Heading 2 24 2 9 3" xfId="7415" xr:uid="{00000000-0005-0000-0000-0000E01C0000}"/>
    <cellStyle name="Heading 2 25" xfId="7416" xr:uid="{00000000-0005-0000-0000-0000E11C0000}"/>
    <cellStyle name="Heading 2 25 2" xfId="7417" xr:uid="{00000000-0005-0000-0000-0000E21C0000}"/>
    <cellStyle name="Heading 2 25 2 10" xfId="7418" xr:uid="{00000000-0005-0000-0000-0000E31C0000}"/>
    <cellStyle name="Heading 2 25 2 10 2" xfId="7419" xr:uid="{00000000-0005-0000-0000-0000E41C0000}"/>
    <cellStyle name="Heading 2 25 2 10 2 2" xfId="7420" xr:uid="{00000000-0005-0000-0000-0000E51C0000}"/>
    <cellStyle name="Heading 2 25 2 10 3" xfId="7421" xr:uid="{00000000-0005-0000-0000-0000E61C0000}"/>
    <cellStyle name="Heading 2 25 2 11" xfId="7422" xr:uid="{00000000-0005-0000-0000-0000E71C0000}"/>
    <cellStyle name="Heading 2 25 2 11 2" xfId="7423" xr:uid="{00000000-0005-0000-0000-0000E81C0000}"/>
    <cellStyle name="Heading 2 25 2 11 2 2" xfId="7424" xr:uid="{00000000-0005-0000-0000-0000E91C0000}"/>
    <cellStyle name="Heading 2 25 2 11 3" xfId="7425" xr:uid="{00000000-0005-0000-0000-0000EA1C0000}"/>
    <cellStyle name="Heading 2 25 2 12" xfId="7426" xr:uid="{00000000-0005-0000-0000-0000EB1C0000}"/>
    <cellStyle name="Heading 2 25 2 12 2" xfId="7427" xr:uid="{00000000-0005-0000-0000-0000EC1C0000}"/>
    <cellStyle name="Heading 2 25 2 12 2 2" xfId="7428" xr:uid="{00000000-0005-0000-0000-0000ED1C0000}"/>
    <cellStyle name="Heading 2 25 2 12 3" xfId="7429" xr:uid="{00000000-0005-0000-0000-0000EE1C0000}"/>
    <cellStyle name="Heading 2 25 2 13" xfId="7430" xr:uid="{00000000-0005-0000-0000-0000EF1C0000}"/>
    <cellStyle name="Heading 2 25 2 13 2" xfId="7431" xr:uid="{00000000-0005-0000-0000-0000F01C0000}"/>
    <cellStyle name="Heading 2 25 2 13 2 2" xfId="7432" xr:uid="{00000000-0005-0000-0000-0000F11C0000}"/>
    <cellStyle name="Heading 2 25 2 13 3" xfId="7433" xr:uid="{00000000-0005-0000-0000-0000F21C0000}"/>
    <cellStyle name="Heading 2 25 2 14" xfId="7434" xr:uid="{00000000-0005-0000-0000-0000F31C0000}"/>
    <cellStyle name="Heading 2 25 2 14 2" xfId="7435" xr:uid="{00000000-0005-0000-0000-0000F41C0000}"/>
    <cellStyle name="Heading 2 25 2 14 2 2" xfId="7436" xr:uid="{00000000-0005-0000-0000-0000F51C0000}"/>
    <cellStyle name="Heading 2 25 2 14 3" xfId="7437" xr:uid="{00000000-0005-0000-0000-0000F61C0000}"/>
    <cellStyle name="Heading 2 25 2 15" xfId="7438" xr:uid="{00000000-0005-0000-0000-0000F71C0000}"/>
    <cellStyle name="Heading 2 25 2 15 2" xfId="7439" xr:uid="{00000000-0005-0000-0000-0000F81C0000}"/>
    <cellStyle name="Heading 2 25 2 15 2 2" xfId="7440" xr:uid="{00000000-0005-0000-0000-0000F91C0000}"/>
    <cellStyle name="Heading 2 25 2 15 3" xfId="7441" xr:uid="{00000000-0005-0000-0000-0000FA1C0000}"/>
    <cellStyle name="Heading 2 25 2 16" xfId="7442" xr:uid="{00000000-0005-0000-0000-0000FB1C0000}"/>
    <cellStyle name="Heading 2 25 2 16 2" xfId="7443" xr:uid="{00000000-0005-0000-0000-0000FC1C0000}"/>
    <cellStyle name="Heading 2 25 2 16 2 2" xfId="7444" xr:uid="{00000000-0005-0000-0000-0000FD1C0000}"/>
    <cellStyle name="Heading 2 25 2 16 3" xfId="7445" xr:uid="{00000000-0005-0000-0000-0000FE1C0000}"/>
    <cellStyle name="Heading 2 25 2 17" xfId="7446" xr:uid="{00000000-0005-0000-0000-0000FF1C0000}"/>
    <cellStyle name="Heading 2 25 2 17 2" xfId="7447" xr:uid="{00000000-0005-0000-0000-0000001D0000}"/>
    <cellStyle name="Heading 2 25 2 17 2 2" xfId="7448" xr:uid="{00000000-0005-0000-0000-0000011D0000}"/>
    <cellStyle name="Heading 2 25 2 17 3" xfId="7449" xr:uid="{00000000-0005-0000-0000-0000021D0000}"/>
    <cellStyle name="Heading 2 25 2 18" xfId="7450" xr:uid="{00000000-0005-0000-0000-0000031D0000}"/>
    <cellStyle name="Heading 2 25 2 18 2" xfId="7451" xr:uid="{00000000-0005-0000-0000-0000041D0000}"/>
    <cellStyle name="Heading 2 25 2 19" xfId="7452" xr:uid="{00000000-0005-0000-0000-0000051D0000}"/>
    <cellStyle name="Heading 2 25 2 2" xfId="7453" xr:uid="{00000000-0005-0000-0000-0000061D0000}"/>
    <cellStyle name="Heading 2 25 2 2 2" xfId="7454" xr:uid="{00000000-0005-0000-0000-0000071D0000}"/>
    <cellStyle name="Heading 2 25 2 2 2 2" xfId="7455" xr:uid="{00000000-0005-0000-0000-0000081D0000}"/>
    <cellStyle name="Heading 2 25 2 2 3" xfId="7456" xr:uid="{00000000-0005-0000-0000-0000091D0000}"/>
    <cellStyle name="Heading 2 25 2 3" xfId="7457" xr:uid="{00000000-0005-0000-0000-00000A1D0000}"/>
    <cellStyle name="Heading 2 25 2 3 2" xfId="7458" xr:uid="{00000000-0005-0000-0000-00000B1D0000}"/>
    <cellStyle name="Heading 2 25 2 3 2 2" xfId="7459" xr:uid="{00000000-0005-0000-0000-00000C1D0000}"/>
    <cellStyle name="Heading 2 25 2 3 3" xfId="7460" xr:uid="{00000000-0005-0000-0000-00000D1D0000}"/>
    <cellStyle name="Heading 2 25 2 4" xfId="7461" xr:uid="{00000000-0005-0000-0000-00000E1D0000}"/>
    <cellStyle name="Heading 2 25 2 4 2" xfId="7462" xr:uid="{00000000-0005-0000-0000-00000F1D0000}"/>
    <cellStyle name="Heading 2 25 2 4 2 2" xfId="7463" xr:uid="{00000000-0005-0000-0000-0000101D0000}"/>
    <cellStyle name="Heading 2 25 2 4 3" xfId="7464" xr:uid="{00000000-0005-0000-0000-0000111D0000}"/>
    <cellStyle name="Heading 2 25 2 5" xfId="7465" xr:uid="{00000000-0005-0000-0000-0000121D0000}"/>
    <cellStyle name="Heading 2 25 2 5 2" xfId="7466" xr:uid="{00000000-0005-0000-0000-0000131D0000}"/>
    <cellStyle name="Heading 2 25 2 5 2 2" xfId="7467" xr:uid="{00000000-0005-0000-0000-0000141D0000}"/>
    <cellStyle name="Heading 2 25 2 5 3" xfId="7468" xr:uid="{00000000-0005-0000-0000-0000151D0000}"/>
    <cellStyle name="Heading 2 25 2 6" xfId="7469" xr:uid="{00000000-0005-0000-0000-0000161D0000}"/>
    <cellStyle name="Heading 2 25 2 6 2" xfId="7470" xr:uid="{00000000-0005-0000-0000-0000171D0000}"/>
    <cellStyle name="Heading 2 25 2 6 2 2" xfId="7471" xr:uid="{00000000-0005-0000-0000-0000181D0000}"/>
    <cellStyle name="Heading 2 25 2 6 3" xfId="7472" xr:uid="{00000000-0005-0000-0000-0000191D0000}"/>
    <cellStyle name="Heading 2 25 2 7" xfId="7473" xr:uid="{00000000-0005-0000-0000-00001A1D0000}"/>
    <cellStyle name="Heading 2 25 2 7 2" xfId="7474" xr:uid="{00000000-0005-0000-0000-00001B1D0000}"/>
    <cellStyle name="Heading 2 25 2 7 2 2" xfId="7475" xr:uid="{00000000-0005-0000-0000-00001C1D0000}"/>
    <cellStyle name="Heading 2 25 2 7 3" xfId="7476" xr:uid="{00000000-0005-0000-0000-00001D1D0000}"/>
    <cellStyle name="Heading 2 25 2 8" xfId="7477" xr:uid="{00000000-0005-0000-0000-00001E1D0000}"/>
    <cellStyle name="Heading 2 25 2 8 2" xfId="7478" xr:uid="{00000000-0005-0000-0000-00001F1D0000}"/>
    <cellStyle name="Heading 2 25 2 8 2 2" xfId="7479" xr:uid="{00000000-0005-0000-0000-0000201D0000}"/>
    <cellStyle name="Heading 2 25 2 8 3" xfId="7480" xr:uid="{00000000-0005-0000-0000-0000211D0000}"/>
    <cellStyle name="Heading 2 25 2 9" xfId="7481" xr:uid="{00000000-0005-0000-0000-0000221D0000}"/>
    <cellStyle name="Heading 2 25 2 9 2" xfId="7482" xr:uid="{00000000-0005-0000-0000-0000231D0000}"/>
    <cellStyle name="Heading 2 25 2 9 2 2" xfId="7483" xr:uid="{00000000-0005-0000-0000-0000241D0000}"/>
    <cellStyle name="Heading 2 25 2 9 3" xfId="7484" xr:uid="{00000000-0005-0000-0000-0000251D0000}"/>
    <cellStyle name="Heading 2 26" xfId="7485" xr:uid="{00000000-0005-0000-0000-0000261D0000}"/>
    <cellStyle name="Heading 2 26 2" xfId="7486" xr:uid="{00000000-0005-0000-0000-0000271D0000}"/>
    <cellStyle name="Heading 2 26 2 10" xfId="7487" xr:uid="{00000000-0005-0000-0000-0000281D0000}"/>
    <cellStyle name="Heading 2 26 2 10 2" xfId="7488" xr:uid="{00000000-0005-0000-0000-0000291D0000}"/>
    <cellStyle name="Heading 2 26 2 10 2 2" xfId="7489" xr:uid="{00000000-0005-0000-0000-00002A1D0000}"/>
    <cellStyle name="Heading 2 26 2 10 3" xfId="7490" xr:uid="{00000000-0005-0000-0000-00002B1D0000}"/>
    <cellStyle name="Heading 2 26 2 11" xfId="7491" xr:uid="{00000000-0005-0000-0000-00002C1D0000}"/>
    <cellStyle name="Heading 2 26 2 11 2" xfId="7492" xr:uid="{00000000-0005-0000-0000-00002D1D0000}"/>
    <cellStyle name="Heading 2 26 2 11 2 2" xfId="7493" xr:uid="{00000000-0005-0000-0000-00002E1D0000}"/>
    <cellStyle name="Heading 2 26 2 11 3" xfId="7494" xr:uid="{00000000-0005-0000-0000-00002F1D0000}"/>
    <cellStyle name="Heading 2 26 2 12" xfId="7495" xr:uid="{00000000-0005-0000-0000-0000301D0000}"/>
    <cellStyle name="Heading 2 26 2 12 2" xfId="7496" xr:uid="{00000000-0005-0000-0000-0000311D0000}"/>
    <cellStyle name="Heading 2 26 2 12 2 2" xfId="7497" xr:uid="{00000000-0005-0000-0000-0000321D0000}"/>
    <cellStyle name="Heading 2 26 2 12 3" xfId="7498" xr:uid="{00000000-0005-0000-0000-0000331D0000}"/>
    <cellStyle name="Heading 2 26 2 13" xfId="7499" xr:uid="{00000000-0005-0000-0000-0000341D0000}"/>
    <cellStyle name="Heading 2 26 2 13 2" xfId="7500" xr:uid="{00000000-0005-0000-0000-0000351D0000}"/>
    <cellStyle name="Heading 2 26 2 13 2 2" xfId="7501" xr:uid="{00000000-0005-0000-0000-0000361D0000}"/>
    <cellStyle name="Heading 2 26 2 13 3" xfId="7502" xr:uid="{00000000-0005-0000-0000-0000371D0000}"/>
    <cellStyle name="Heading 2 26 2 14" xfId="7503" xr:uid="{00000000-0005-0000-0000-0000381D0000}"/>
    <cellStyle name="Heading 2 26 2 14 2" xfId="7504" xr:uid="{00000000-0005-0000-0000-0000391D0000}"/>
    <cellStyle name="Heading 2 26 2 14 2 2" xfId="7505" xr:uid="{00000000-0005-0000-0000-00003A1D0000}"/>
    <cellStyle name="Heading 2 26 2 14 3" xfId="7506" xr:uid="{00000000-0005-0000-0000-00003B1D0000}"/>
    <cellStyle name="Heading 2 26 2 15" xfId="7507" xr:uid="{00000000-0005-0000-0000-00003C1D0000}"/>
    <cellStyle name="Heading 2 26 2 15 2" xfId="7508" xr:uid="{00000000-0005-0000-0000-00003D1D0000}"/>
    <cellStyle name="Heading 2 26 2 15 2 2" xfId="7509" xr:uid="{00000000-0005-0000-0000-00003E1D0000}"/>
    <cellStyle name="Heading 2 26 2 15 3" xfId="7510" xr:uid="{00000000-0005-0000-0000-00003F1D0000}"/>
    <cellStyle name="Heading 2 26 2 16" xfId="7511" xr:uid="{00000000-0005-0000-0000-0000401D0000}"/>
    <cellStyle name="Heading 2 26 2 16 2" xfId="7512" xr:uid="{00000000-0005-0000-0000-0000411D0000}"/>
    <cellStyle name="Heading 2 26 2 16 2 2" xfId="7513" xr:uid="{00000000-0005-0000-0000-0000421D0000}"/>
    <cellStyle name="Heading 2 26 2 16 3" xfId="7514" xr:uid="{00000000-0005-0000-0000-0000431D0000}"/>
    <cellStyle name="Heading 2 26 2 17" xfId="7515" xr:uid="{00000000-0005-0000-0000-0000441D0000}"/>
    <cellStyle name="Heading 2 26 2 17 2" xfId="7516" xr:uid="{00000000-0005-0000-0000-0000451D0000}"/>
    <cellStyle name="Heading 2 26 2 17 2 2" xfId="7517" xr:uid="{00000000-0005-0000-0000-0000461D0000}"/>
    <cellStyle name="Heading 2 26 2 17 3" xfId="7518" xr:uid="{00000000-0005-0000-0000-0000471D0000}"/>
    <cellStyle name="Heading 2 26 2 18" xfId="7519" xr:uid="{00000000-0005-0000-0000-0000481D0000}"/>
    <cellStyle name="Heading 2 26 2 18 2" xfId="7520" xr:uid="{00000000-0005-0000-0000-0000491D0000}"/>
    <cellStyle name="Heading 2 26 2 19" xfId="7521" xr:uid="{00000000-0005-0000-0000-00004A1D0000}"/>
    <cellStyle name="Heading 2 26 2 2" xfId="7522" xr:uid="{00000000-0005-0000-0000-00004B1D0000}"/>
    <cellStyle name="Heading 2 26 2 2 2" xfId="7523" xr:uid="{00000000-0005-0000-0000-00004C1D0000}"/>
    <cellStyle name="Heading 2 26 2 2 2 2" xfId="7524" xr:uid="{00000000-0005-0000-0000-00004D1D0000}"/>
    <cellStyle name="Heading 2 26 2 2 3" xfId="7525" xr:uid="{00000000-0005-0000-0000-00004E1D0000}"/>
    <cellStyle name="Heading 2 26 2 3" xfId="7526" xr:uid="{00000000-0005-0000-0000-00004F1D0000}"/>
    <cellStyle name="Heading 2 26 2 3 2" xfId="7527" xr:uid="{00000000-0005-0000-0000-0000501D0000}"/>
    <cellStyle name="Heading 2 26 2 3 2 2" xfId="7528" xr:uid="{00000000-0005-0000-0000-0000511D0000}"/>
    <cellStyle name="Heading 2 26 2 3 3" xfId="7529" xr:uid="{00000000-0005-0000-0000-0000521D0000}"/>
    <cellStyle name="Heading 2 26 2 4" xfId="7530" xr:uid="{00000000-0005-0000-0000-0000531D0000}"/>
    <cellStyle name="Heading 2 26 2 4 2" xfId="7531" xr:uid="{00000000-0005-0000-0000-0000541D0000}"/>
    <cellStyle name="Heading 2 26 2 4 2 2" xfId="7532" xr:uid="{00000000-0005-0000-0000-0000551D0000}"/>
    <cellStyle name="Heading 2 26 2 4 3" xfId="7533" xr:uid="{00000000-0005-0000-0000-0000561D0000}"/>
    <cellStyle name="Heading 2 26 2 5" xfId="7534" xr:uid="{00000000-0005-0000-0000-0000571D0000}"/>
    <cellStyle name="Heading 2 26 2 5 2" xfId="7535" xr:uid="{00000000-0005-0000-0000-0000581D0000}"/>
    <cellStyle name="Heading 2 26 2 5 2 2" xfId="7536" xr:uid="{00000000-0005-0000-0000-0000591D0000}"/>
    <cellStyle name="Heading 2 26 2 5 3" xfId="7537" xr:uid="{00000000-0005-0000-0000-00005A1D0000}"/>
    <cellStyle name="Heading 2 26 2 6" xfId="7538" xr:uid="{00000000-0005-0000-0000-00005B1D0000}"/>
    <cellStyle name="Heading 2 26 2 6 2" xfId="7539" xr:uid="{00000000-0005-0000-0000-00005C1D0000}"/>
    <cellStyle name="Heading 2 26 2 6 2 2" xfId="7540" xr:uid="{00000000-0005-0000-0000-00005D1D0000}"/>
    <cellStyle name="Heading 2 26 2 6 3" xfId="7541" xr:uid="{00000000-0005-0000-0000-00005E1D0000}"/>
    <cellStyle name="Heading 2 26 2 7" xfId="7542" xr:uid="{00000000-0005-0000-0000-00005F1D0000}"/>
    <cellStyle name="Heading 2 26 2 7 2" xfId="7543" xr:uid="{00000000-0005-0000-0000-0000601D0000}"/>
    <cellStyle name="Heading 2 26 2 7 2 2" xfId="7544" xr:uid="{00000000-0005-0000-0000-0000611D0000}"/>
    <cellStyle name="Heading 2 26 2 7 3" xfId="7545" xr:uid="{00000000-0005-0000-0000-0000621D0000}"/>
    <cellStyle name="Heading 2 26 2 8" xfId="7546" xr:uid="{00000000-0005-0000-0000-0000631D0000}"/>
    <cellStyle name="Heading 2 26 2 8 2" xfId="7547" xr:uid="{00000000-0005-0000-0000-0000641D0000}"/>
    <cellStyle name="Heading 2 26 2 8 2 2" xfId="7548" xr:uid="{00000000-0005-0000-0000-0000651D0000}"/>
    <cellStyle name="Heading 2 26 2 8 3" xfId="7549" xr:uid="{00000000-0005-0000-0000-0000661D0000}"/>
    <cellStyle name="Heading 2 26 2 9" xfId="7550" xr:uid="{00000000-0005-0000-0000-0000671D0000}"/>
    <cellStyle name="Heading 2 26 2 9 2" xfId="7551" xr:uid="{00000000-0005-0000-0000-0000681D0000}"/>
    <cellStyle name="Heading 2 26 2 9 2 2" xfId="7552" xr:uid="{00000000-0005-0000-0000-0000691D0000}"/>
    <cellStyle name="Heading 2 26 2 9 3" xfId="7553" xr:uid="{00000000-0005-0000-0000-00006A1D0000}"/>
    <cellStyle name="Heading 2 27" xfId="7554" xr:uid="{00000000-0005-0000-0000-00006B1D0000}"/>
    <cellStyle name="Heading 2 27 2" xfId="7555" xr:uid="{00000000-0005-0000-0000-00006C1D0000}"/>
    <cellStyle name="Heading 2 27 2 10" xfId="7556" xr:uid="{00000000-0005-0000-0000-00006D1D0000}"/>
    <cellStyle name="Heading 2 27 2 10 2" xfId="7557" xr:uid="{00000000-0005-0000-0000-00006E1D0000}"/>
    <cellStyle name="Heading 2 27 2 10 2 2" xfId="7558" xr:uid="{00000000-0005-0000-0000-00006F1D0000}"/>
    <cellStyle name="Heading 2 27 2 10 3" xfId="7559" xr:uid="{00000000-0005-0000-0000-0000701D0000}"/>
    <cellStyle name="Heading 2 27 2 11" xfId="7560" xr:uid="{00000000-0005-0000-0000-0000711D0000}"/>
    <cellStyle name="Heading 2 27 2 11 2" xfId="7561" xr:uid="{00000000-0005-0000-0000-0000721D0000}"/>
    <cellStyle name="Heading 2 27 2 11 2 2" xfId="7562" xr:uid="{00000000-0005-0000-0000-0000731D0000}"/>
    <cellStyle name="Heading 2 27 2 11 3" xfId="7563" xr:uid="{00000000-0005-0000-0000-0000741D0000}"/>
    <cellStyle name="Heading 2 27 2 12" xfId="7564" xr:uid="{00000000-0005-0000-0000-0000751D0000}"/>
    <cellStyle name="Heading 2 27 2 12 2" xfId="7565" xr:uid="{00000000-0005-0000-0000-0000761D0000}"/>
    <cellStyle name="Heading 2 27 2 12 2 2" xfId="7566" xr:uid="{00000000-0005-0000-0000-0000771D0000}"/>
    <cellStyle name="Heading 2 27 2 12 3" xfId="7567" xr:uid="{00000000-0005-0000-0000-0000781D0000}"/>
    <cellStyle name="Heading 2 27 2 13" xfId="7568" xr:uid="{00000000-0005-0000-0000-0000791D0000}"/>
    <cellStyle name="Heading 2 27 2 13 2" xfId="7569" xr:uid="{00000000-0005-0000-0000-00007A1D0000}"/>
    <cellStyle name="Heading 2 27 2 13 2 2" xfId="7570" xr:uid="{00000000-0005-0000-0000-00007B1D0000}"/>
    <cellStyle name="Heading 2 27 2 13 3" xfId="7571" xr:uid="{00000000-0005-0000-0000-00007C1D0000}"/>
    <cellStyle name="Heading 2 27 2 14" xfId="7572" xr:uid="{00000000-0005-0000-0000-00007D1D0000}"/>
    <cellStyle name="Heading 2 27 2 14 2" xfId="7573" xr:uid="{00000000-0005-0000-0000-00007E1D0000}"/>
    <cellStyle name="Heading 2 27 2 14 2 2" xfId="7574" xr:uid="{00000000-0005-0000-0000-00007F1D0000}"/>
    <cellStyle name="Heading 2 27 2 14 3" xfId="7575" xr:uid="{00000000-0005-0000-0000-0000801D0000}"/>
    <cellStyle name="Heading 2 27 2 15" xfId="7576" xr:uid="{00000000-0005-0000-0000-0000811D0000}"/>
    <cellStyle name="Heading 2 27 2 15 2" xfId="7577" xr:uid="{00000000-0005-0000-0000-0000821D0000}"/>
    <cellStyle name="Heading 2 27 2 15 2 2" xfId="7578" xr:uid="{00000000-0005-0000-0000-0000831D0000}"/>
    <cellStyle name="Heading 2 27 2 15 3" xfId="7579" xr:uid="{00000000-0005-0000-0000-0000841D0000}"/>
    <cellStyle name="Heading 2 27 2 16" xfId="7580" xr:uid="{00000000-0005-0000-0000-0000851D0000}"/>
    <cellStyle name="Heading 2 27 2 16 2" xfId="7581" xr:uid="{00000000-0005-0000-0000-0000861D0000}"/>
    <cellStyle name="Heading 2 27 2 16 2 2" xfId="7582" xr:uid="{00000000-0005-0000-0000-0000871D0000}"/>
    <cellStyle name="Heading 2 27 2 16 3" xfId="7583" xr:uid="{00000000-0005-0000-0000-0000881D0000}"/>
    <cellStyle name="Heading 2 27 2 17" xfId="7584" xr:uid="{00000000-0005-0000-0000-0000891D0000}"/>
    <cellStyle name="Heading 2 27 2 17 2" xfId="7585" xr:uid="{00000000-0005-0000-0000-00008A1D0000}"/>
    <cellStyle name="Heading 2 27 2 17 2 2" xfId="7586" xr:uid="{00000000-0005-0000-0000-00008B1D0000}"/>
    <cellStyle name="Heading 2 27 2 17 3" xfId="7587" xr:uid="{00000000-0005-0000-0000-00008C1D0000}"/>
    <cellStyle name="Heading 2 27 2 18" xfId="7588" xr:uid="{00000000-0005-0000-0000-00008D1D0000}"/>
    <cellStyle name="Heading 2 27 2 18 2" xfId="7589" xr:uid="{00000000-0005-0000-0000-00008E1D0000}"/>
    <cellStyle name="Heading 2 27 2 19" xfId="7590" xr:uid="{00000000-0005-0000-0000-00008F1D0000}"/>
    <cellStyle name="Heading 2 27 2 2" xfId="7591" xr:uid="{00000000-0005-0000-0000-0000901D0000}"/>
    <cellStyle name="Heading 2 27 2 2 2" xfId="7592" xr:uid="{00000000-0005-0000-0000-0000911D0000}"/>
    <cellStyle name="Heading 2 27 2 2 2 2" xfId="7593" xr:uid="{00000000-0005-0000-0000-0000921D0000}"/>
    <cellStyle name="Heading 2 27 2 2 3" xfId="7594" xr:uid="{00000000-0005-0000-0000-0000931D0000}"/>
    <cellStyle name="Heading 2 27 2 3" xfId="7595" xr:uid="{00000000-0005-0000-0000-0000941D0000}"/>
    <cellStyle name="Heading 2 27 2 3 2" xfId="7596" xr:uid="{00000000-0005-0000-0000-0000951D0000}"/>
    <cellStyle name="Heading 2 27 2 3 2 2" xfId="7597" xr:uid="{00000000-0005-0000-0000-0000961D0000}"/>
    <cellStyle name="Heading 2 27 2 3 3" xfId="7598" xr:uid="{00000000-0005-0000-0000-0000971D0000}"/>
    <cellStyle name="Heading 2 27 2 4" xfId="7599" xr:uid="{00000000-0005-0000-0000-0000981D0000}"/>
    <cellStyle name="Heading 2 27 2 4 2" xfId="7600" xr:uid="{00000000-0005-0000-0000-0000991D0000}"/>
    <cellStyle name="Heading 2 27 2 4 2 2" xfId="7601" xr:uid="{00000000-0005-0000-0000-00009A1D0000}"/>
    <cellStyle name="Heading 2 27 2 4 3" xfId="7602" xr:uid="{00000000-0005-0000-0000-00009B1D0000}"/>
    <cellStyle name="Heading 2 27 2 5" xfId="7603" xr:uid="{00000000-0005-0000-0000-00009C1D0000}"/>
    <cellStyle name="Heading 2 27 2 5 2" xfId="7604" xr:uid="{00000000-0005-0000-0000-00009D1D0000}"/>
    <cellStyle name="Heading 2 27 2 5 2 2" xfId="7605" xr:uid="{00000000-0005-0000-0000-00009E1D0000}"/>
    <cellStyle name="Heading 2 27 2 5 3" xfId="7606" xr:uid="{00000000-0005-0000-0000-00009F1D0000}"/>
    <cellStyle name="Heading 2 27 2 6" xfId="7607" xr:uid="{00000000-0005-0000-0000-0000A01D0000}"/>
    <cellStyle name="Heading 2 27 2 6 2" xfId="7608" xr:uid="{00000000-0005-0000-0000-0000A11D0000}"/>
    <cellStyle name="Heading 2 27 2 6 2 2" xfId="7609" xr:uid="{00000000-0005-0000-0000-0000A21D0000}"/>
    <cellStyle name="Heading 2 27 2 6 3" xfId="7610" xr:uid="{00000000-0005-0000-0000-0000A31D0000}"/>
    <cellStyle name="Heading 2 27 2 7" xfId="7611" xr:uid="{00000000-0005-0000-0000-0000A41D0000}"/>
    <cellStyle name="Heading 2 27 2 7 2" xfId="7612" xr:uid="{00000000-0005-0000-0000-0000A51D0000}"/>
    <cellStyle name="Heading 2 27 2 7 2 2" xfId="7613" xr:uid="{00000000-0005-0000-0000-0000A61D0000}"/>
    <cellStyle name="Heading 2 27 2 7 3" xfId="7614" xr:uid="{00000000-0005-0000-0000-0000A71D0000}"/>
    <cellStyle name="Heading 2 27 2 8" xfId="7615" xr:uid="{00000000-0005-0000-0000-0000A81D0000}"/>
    <cellStyle name="Heading 2 27 2 8 2" xfId="7616" xr:uid="{00000000-0005-0000-0000-0000A91D0000}"/>
    <cellStyle name="Heading 2 27 2 8 2 2" xfId="7617" xr:uid="{00000000-0005-0000-0000-0000AA1D0000}"/>
    <cellStyle name="Heading 2 27 2 8 3" xfId="7618" xr:uid="{00000000-0005-0000-0000-0000AB1D0000}"/>
    <cellStyle name="Heading 2 27 2 9" xfId="7619" xr:uid="{00000000-0005-0000-0000-0000AC1D0000}"/>
    <cellStyle name="Heading 2 27 2 9 2" xfId="7620" xr:uid="{00000000-0005-0000-0000-0000AD1D0000}"/>
    <cellStyle name="Heading 2 27 2 9 2 2" xfId="7621" xr:uid="{00000000-0005-0000-0000-0000AE1D0000}"/>
    <cellStyle name="Heading 2 27 2 9 3" xfId="7622" xr:uid="{00000000-0005-0000-0000-0000AF1D0000}"/>
    <cellStyle name="Heading 2 28" xfId="7623" xr:uid="{00000000-0005-0000-0000-0000B01D0000}"/>
    <cellStyle name="Heading 2 28 2" xfId="7624" xr:uid="{00000000-0005-0000-0000-0000B11D0000}"/>
    <cellStyle name="Heading 2 28 2 10" xfId="7625" xr:uid="{00000000-0005-0000-0000-0000B21D0000}"/>
    <cellStyle name="Heading 2 28 2 10 2" xfId="7626" xr:uid="{00000000-0005-0000-0000-0000B31D0000}"/>
    <cellStyle name="Heading 2 28 2 10 2 2" xfId="7627" xr:uid="{00000000-0005-0000-0000-0000B41D0000}"/>
    <cellStyle name="Heading 2 28 2 10 3" xfId="7628" xr:uid="{00000000-0005-0000-0000-0000B51D0000}"/>
    <cellStyle name="Heading 2 28 2 11" xfId="7629" xr:uid="{00000000-0005-0000-0000-0000B61D0000}"/>
    <cellStyle name="Heading 2 28 2 11 2" xfId="7630" xr:uid="{00000000-0005-0000-0000-0000B71D0000}"/>
    <cellStyle name="Heading 2 28 2 11 2 2" xfId="7631" xr:uid="{00000000-0005-0000-0000-0000B81D0000}"/>
    <cellStyle name="Heading 2 28 2 11 3" xfId="7632" xr:uid="{00000000-0005-0000-0000-0000B91D0000}"/>
    <cellStyle name="Heading 2 28 2 12" xfId="7633" xr:uid="{00000000-0005-0000-0000-0000BA1D0000}"/>
    <cellStyle name="Heading 2 28 2 12 2" xfId="7634" xr:uid="{00000000-0005-0000-0000-0000BB1D0000}"/>
    <cellStyle name="Heading 2 28 2 12 2 2" xfId="7635" xr:uid="{00000000-0005-0000-0000-0000BC1D0000}"/>
    <cellStyle name="Heading 2 28 2 12 3" xfId="7636" xr:uid="{00000000-0005-0000-0000-0000BD1D0000}"/>
    <cellStyle name="Heading 2 28 2 13" xfId="7637" xr:uid="{00000000-0005-0000-0000-0000BE1D0000}"/>
    <cellStyle name="Heading 2 28 2 13 2" xfId="7638" xr:uid="{00000000-0005-0000-0000-0000BF1D0000}"/>
    <cellStyle name="Heading 2 28 2 13 2 2" xfId="7639" xr:uid="{00000000-0005-0000-0000-0000C01D0000}"/>
    <cellStyle name="Heading 2 28 2 13 3" xfId="7640" xr:uid="{00000000-0005-0000-0000-0000C11D0000}"/>
    <cellStyle name="Heading 2 28 2 14" xfId="7641" xr:uid="{00000000-0005-0000-0000-0000C21D0000}"/>
    <cellStyle name="Heading 2 28 2 14 2" xfId="7642" xr:uid="{00000000-0005-0000-0000-0000C31D0000}"/>
    <cellStyle name="Heading 2 28 2 14 2 2" xfId="7643" xr:uid="{00000000-0005-0000-0000-0000C41D0000}"/>
    <cellStyle name="Heading 2 28 2 14 3" xfId="7644" xr:uid="{00000000-0005-0000-0000-0000C51D0000}"/>
    <cellStyle name="Heading 2 28 2 15" xfId="7645" xr:uid="{00000000-0005-0000-0000-0000C61D0000}"/>
    <cellStyle name="Heading 2 28 2 15 2" xfId="7646" xr:uid="{00000000-0005-0000-0000-0000C71D0000}"/>
    <cellStyle name="Heading 2 28 2 15 2 2" xfId="7647" xr:uid="{00000000-0005-0000-0000-0000C81D0000}"/>
    <cellStyle name="Heading 2 28 2 15 3" xfId="7648" xr:uid="{00000000-0005-0000-0000-0000C91D0000}"/>
    <cellStyle name="Heading 2 28 2 16" xfId="7649" xr:uid="{00000000-0005-0000-0000-0000CA1D0000}"/>
    <cellStyle name="Heading 2 28 2 16 2" xfId="7650" xr:uid="{00000000-0005-0000-0000-0000CB1D0000}"/>
    <cellStyle name="Heading 2 28 2 16 2 2" xfId="7651" xr:uid="{00000000-0005-0000-0000-0000CC1D0000}"/>
    <cellStyle name="Heading 2 28 2 16 3" xfId="7652" xr:uid="{00000000-0005-0000-0000-0000CD1D0000}"/>
    <cellStyle name="Heading 2 28 2 17" xfId="7653" xr:uid="{00000000-0005-0000-0000-0000CE1D0000}"/>
    <cellStyle name="Heading 2 28 2 17 2" xfId="7654" xr:uid="{00000000-0005-0000-0000-0000CF1D0000}"/>
    <cellStyle name="Heading 2 28 2 17 2 2" xfId="7655" xr:uid="{00000000-0005-0000-0000-0000D01D0000}"/>
    <cellStyle name="Heading 2 28 2 17 3" xfId="7656" xr:uid="{00000000-0005-0000-0000-0000D11D0000}"/>
    <cellStyle name="Heading 2 28 2 18" xfId="7657" xr:uid="{00000000-0005-0000-0000-0000D21D0000}"/>
    <cellStyle name="Heading 2 28 2 18 2" xfId="7658" xr:uid="{00000000-0005-0000-0000-0000D31D0000}"/>
    <cellStyle name="Heading 2 28 2 19" xfId="7659" xr:uid="{00000000-0005-0000-0000-0000D41D0000}"/>
    <cellStyle name="Heading 2 28 2 2" xfId="7660" xr:uid="{00000000-0005-0000-0000-0000D51D0000}"/>
    <cellStyle name="Heading 2 28 2 2 2" xfId="7661" xr:uid="{00000000-0005-0000-0000-0000D61D0000}"/>
    <cellStyle name="Heading 2 28 2 2 2 2" xfId="7662" xr:uid="{00000000-0005-0000-0000-0000D71D0000}"/>
    <cellStyle name="Heading 2 28 2 2 3" xfId="7663" xr:uid="{00000000-0005-0000-0000-0000D81D0000}"/>
    <cellStyle name="Heading 2 28 2 3" xfId="7664" xr:uid="{00000000-0005-0000-0000-0000D91D0000}"/>
    <cellStyle name="Heading 2 28 2 3 2" xfId="7665" xr:uid="{00000000-0005-0000-0000-0000DA1D0000}"/>
    <cellStyle name="Heading 2 28 2 3 2 2" xfId="7666" xr:uid="{00000000-0005-0000-0000-0000DB1D0000}"/>
    <cellStyle name="Heading 2 28 2 3 3" xfId="7667" xr:uid="{00000000-0005-0000-0000-0000DC1D0000}"/>
    <cellStyle name="Heading 2 28 2 4" xfId="7668" xr:uid="{00000000-0005-0000-0000-0000DD1D0000}"/>
    <cellStyle name="Heading 2 28 2 4 2" xfId="7669" xr:uid="{00000000-0005-0000-0000-0000DE1D0000}"/>
    <cellStyle name="Heading 2 28 2 4 2 2" xfId="7670" xr:uid="{00000000-0005-0000-0000-0000DF1D0000}"/>
    <cellStyle name="Heading 2 28 2 4 3" xfId="7671" xr:uid="{00000000-0005-0000-0000-0000E01D0000}"/>
    <cellStyle name="Heading 2 28 2 5" xfId="7672" xr:uid="{00000000-0005-0000-0000-0000E11D0000}"/>
    <cellStyle name="Heading 2 28 2 5 2" xfId="7673" xr:uid="{00000000-0005-0000-0000-0000E21D0000}"/>
    <cellStyle name="Heading 2 28 2 5 2 2" xfId="7674" xr:uid="{00000000-0005-0000-0000-0000E31D0000}"/>
    <cellStyle name="Heading 2 28 2 5 3" xfId="7675" xr:uid="{00000000-0005-0000-0000-0000E41D0000}"/>
    <cellStyle name="Heading 2 28 2 6" xfId="7676" xr:uid="{00000000-0005-0000-0000-0000E51D0000}"/>
    <cellStyle name="Heading 2 28 2 6 2" xfId="7677" xr:uid="{00000000-0005-0000-0000-0000E61D0000}"/>
    <cellStyle name="Heading 2 28 2 6 2 2" xfId="7678" xr:uid="{00000000-0005-0000-0000-0000E71D0000}"/>
    <cellStyle name="Heading 2 28 2 6 3" xfId="7679" xr:uid="{00000000-0005-0000-0000-0000E81D0000}"/>
    <cellStyle name="Heading 2 28 2 7" xfId="7680" xr:uid="{00000000-0005-0000-0000-0000E91D0000}"/>
    <cellStyle name="Heading 2 28 2 7 2" xfId="7681" xr:uid="{00000000-0005-0000-0000-0000EA1D0000}"/>
    <cellStyle name="Heading 2 28 2 7 2 2" xfId="7682" xr:uid="{00000000-0005-0000-0000-0000EB1D0000}"/>
    <cellStyle name="Heading 2 28 2 7 3" xfId="7683" xr:uid="{00000000-0005-0000-0000-0000EC1D0000}"/>
    <cellStyle name="Heading 2 28 2 8" xfId="7684" xr:uid="{00000000-0005-0000-0000-0000ED1D0000}"/>
    <cellStyle name="Heading 2 28 2 8 2" xfId="7685" xr:uid="{00000000-0005-0000-0000-0000EE1D0000}"/>
    <cellStyle name="Heading 2 28 2 8 2 2" xfId="7686" xr:uid="{00000000-0005-0000-0000-0000EF1D0000}"/>
    <cellStyle name="Heading 2 28 2 8 3" xfId="7687" xr:uid="{00000000-0005-0000-0000-0000F01D0000}"/>
    <cellStyle name="Heading 2 28 2 9" xfId="7688" xr:uid="{00000000-0005-0000-0000-0000F11D0000}"/>
    <cellStyle name="Heading 2 28 2 9 2" xfId="7689" xr:uid="{00000000-0005-0000-0000-0000F21D0000}"/>
    <cellStyle name="Heading 2 28 2 9 2 2" xfId="7690" xr:uid="{00000000-0005-0000-0000-0000F31D0000}"/>
    <cellStyle name="Heading 2 28 2 9 3" xfId="7691" xr:uid="{00000000-0005-0000-0000-0000F41D0000}"/>
    <cellStyle name="Heading 2 29" xfId="7692" xr:uid="{00000000-0005-0000-0000-0000F51D0000}"/>
    <cellStyle name="Heading 2 29 2" xfId="7693" xr:uid="{00000000-0005-0000-0000-0000F61D0000}"/>
    <cellStyle name="Heading 2 29 2 10" xfId="7694" xr:uid="{00000000-0005-0000-0000-0000F71D0000}"/>
    <cellStyle name="Heading 2 29 2 10 2" xfId="7695" xr:uid="{00000000-0005-0000-0000-0000F81D0000}"/>
    <cellStyle name="Heading 2 29 2 10 2 2" xfId="7696" xr:uid="{00000000-0005-0000-0000-0000F91D0000}"/>
    <cellStyle name="Heading 2 29 2 10 3" xfId="7697" xr:uid="{00000000-0005-0000-0000-0000FA1D0000}"/>
    <cellStyle name="Heading 2 29 2 11" xfId="7698" xr:uid="{00000000-0005-0000-0000-0000FB1D0000}"/>
    <cellStyle name="Heading 2 29 2 11 2" xfId="7699" xr:uid="{00000000-0005-0000-0000-0000FC1D0000}"/>
    <cellStyle name="Heading 2 29 2 11 2 2" xfId="7700" xr:uid="{00000000-0005-0000-0000-0000FD1D0000}"/>
    <cellStyle name="Heading 2 29 2 11 3" xfId="7701" xr:uid="{00000000-0005-0000-0000-0000FE1D0000}"/>
    <cellStyle name="Heading 2 29 2 12" xfId="7702" xr:uid="{00000000-0005-0000-0000-0000FF1D0000}"/>
    <cellStyle name="Heading 2 29 2 12 2" xfId="7703" xr:uid="{00000000-0005-0000-0000-0000001E0000}"/>
    <cellStyle name="Heading 2 29 2 12 2 2" xfId="7704" xr:uid="{00000000-0005-0000-0000-0000011E0000}"/>
    <cellStyle name="Heading 2 29 2 12 3" xfId="7705" xr:uid="{00000000-0005-0000-0000-0000021E0000}"/>
    <cellStyle name="Heading 2 29 2 13" xfId="7706" xr:uid="{00000000-0005-0000-0000-0000031E0000}"/>
    <cellStyle name="Heading 2 29 2 13 2" xfId="7707" xr:uid="{00000000-0005-0000-0000-0000041E0000}"/>
    <cellStyle name="Heading 2 29 2 13 2 2" xfId="7708" xr:uid="{00000000-0005-0000-0000-0000051E0000}"/>
    <cellStyle name="Heading 2 29 2 13 3" xfId="7709" xr:uid="{00000000-0005-0000-0000-0000061E0000}"/>
    <cellStyle name="Heading 2 29 2 14" xfId="7710" xr:uid="{00000000-0005-0000-0000-0000071E0000}"/>
    <cellStyle name="Heading 2 29 2 14 2" xfId="7711" xr:uid="{00000000-0005-0000-0000-0000081E0000}"/>
    <cellStyle name="Heading 2 29 2 14 2 2" xfId="7712" xr:uid="{00000000-0005-0000-0000-0000091E0000}"/>
    <cellStyle name="Heading 2 29 2 14 3" xfId="7713" xr:uid="{00000000-0005-0000-0000-00000A1E0000}"/>
    <cellStyle name="Heading 2 29 2 15" xfId="7714" xr:uid="{00000000-0005-0000-0000-00000B1E0000}"/>
    <cellStyle name="Heading 2 29 2 15 2" xfId="7715" xr:uid="{00000000-0005-0000-0000-00000C1E0000}"/>
    <cellStyle name="Heading 2 29 2 15 2 2" xfId="7716" xr:uid="{00000000-0005-0000-0000-00000D1E0000}"/>
    <cellStyle name="Heading 2 29 2 15 3" xfId="7717" xr:uid="{00000000-0005-0000-0000-00000E1E0000}"/>
    <cellStyle name="Heading 2 29 2 16" xfId="7718" xr:uid="{00000000-0005-0000-0000-00000F1E0000}"/>
    <cellStyle name="Heading 2 29 2 16 2" xfId="7719" xr:uid="{00000000-0005-0000-0000-0000101E0000}"/>
    <cellStyle name="Heading 2 29 2 16 2 2" xfId="7720" xr:uid="{00000000-0005-0000-0000-0000111E0000}"/>
    <cellStyle name="Heading 2 29 2 16 3" xfId="7721" xr:uid="{00000000-0005-0000-0000-0000121E0000}"/>
    <cellStyle name="Heading 2 29 2 17" xfId="7722" xr:uid="{00000000-0005-0000-0000-0000131E0000}"/>
    <cellStyle name="Heading 2 29 2 17 2" xfId="7723" xr:uid="{00000000-0005-0000-0000-0000141E0000}"/>
    <cellStyle name="Heading 2 29 2 17 2 2" xfId="7724" xr:uid="{00000000-0005-0000-0000-0000151E0000}"/>
    <cellStyle name="Heading 2 29 2 17 3" xfId="7725" xr:uid="{00000000-0005-0000-0000-0000161E0000}"/>
    <cellStyle name="Heading 2 29 2 18" xfId="7726" xr:uid="{00000000-0005-0000-0000-0000171E0000}"/>
    <cellStyle name="Heading 2 29 2 18 2" xfId="7727" xr:uid="{00000000-0005-0000-0000-0000181E0000}"/>
    <cellStyle name="Heading 2 29 2 19" xfId="7728" xr:uid="{00000000-0005-0000-0000-0000191E0000}"/>
    <cellStyle name="Heading 2 29 2 2" xfId="7729" xr:uid="{00000000-0005-0000-0000-00001A1E0000}"/>
    <cellStyle name="Heading 2 29 2 2 2" xfId="7730" xr:uid="{00000000-0005-0000-0000-00001B1E0000}"/>
    <cellStyle name="Heading 2 29 2 2 2 2" xfId="7731" xr:uid="{00000000-0005-0000-0000-00001C1E0000}"/>
    <cellStyle name="Heading 2 29 2 2 3" xfId="7732" xr:uid="{00000000-0005-0000-0000-00001D1E0000}"/>
    <cellStyle name="Heading 2 29 2 3" xfId="7733" xr:uid="{00000000-0005-0000-0000-00001E1E0000}"/>
    <cellStyle name="Heading 2 29 2 3 2" xfId="7734" xr:uid="{00000000-0005-0000-0000-00001F1E0000}"/>
    <cellStyle name="Heading 2 29 2 3 2 2" xfId="7735" xr:uid="{00000000-0005-0000-0000-0000201E0000}"/>
    <cellStyle name="Heading 2 29 2 3 3" xfId="7736" xr:uid="{00000000-0005-0000-0000-0000211E0000}"/>
    <cellStyle name="Heading 2 29 2 4" xfId="7737" xr:uid="{00000000-0005-0000-0000-0000221E0000}"/>
    <cellStyle name="Heading 2 29 2 4 2" xfId="7738" xr:uid="{00000000-0005-0000-0000-0000231E0000}"/>
    <cellStyle name="Heading 2 29 2 4 2 2" xfId="7739" xr:uid="{00000000-0005-0000-0000-0000241E0000}"/>
    <cellStyle name="Heading 2 29 2 4 3" xfId="7740" xr:uid="{00000000-0005-0000-0000-0000251E0000}"/>
    <cellStyle name="Heading 2 29 2 5" xfId="7741" xr:uid="{00000000-0005-0000-0000-0000261E0000}"/>
    <cellStyle name="Heading 2 29 2 5 2" xfId="7742" xr:uid="{00000000-0005-0000-0000-0000271E0000}"/>
    <cellStyle name="Heading 2 29 2 5 2 2" xfId="7743" xr:uid="{00000000-0005-0000-0000-0000281E0000}"/>
    <cellStyle name="Heading 2 29 2 5 3" xfId="7744" xr:uid="{00000000-0005-0000-0000-0000291E0000}"/>
    <cellStyle name="Heading 2 29 2 6" xfId="7745" xr:uid="{00000000-0005-0000-0000-00002A1E0000}"/>
    <cellStyle name="Heading 2 29 2 6 2" xfId="7746" xr:uid="{00000000-0005-0000-0000-00002B1E0000}"/>
    <cellStyle name="Heading 2 29 2 6 2 2" xfId="7747" xr:uid="{00000000-0005-0000-0000-00002C1E0000}"/>
    <cellStyle name="Heading 2 29 2 6 3" xfId="7748" xr:uid="{00000000-0005-0000-0000-00002D1E0000}"/>
    <cellStyle name="Heading 2 29 2 7" xfId="7749" xr:uid="{00000000-0005-0000-0000-00002E1E0000}"/>
    <cellStyle name="Heading 2 29 2 7 2" xfId="7750" xr:uid="{00000000-0005-0000-0000-00002F1E0000}"/>
    <cellStyle name="Heading 2 29 2 7 2 2" xfId="7751" xr:uid="{00000000-0005-0000-0000-0000301E0000}"/>
    <cellStyle name="Heading 2 29 2 7 3" xfId="7752" xr:uid="{00000000-0005-0000-0000-0000311E0000}"/>
    <cellStyle name="Heading 2 29 2 8" xfId="7753" xr:uid="{00000000-0005-0000-0000-0000321E0000}"/>
    <cellStyle name="Heading 2 29 2 8 2" xfId="7754" xr:uid="{00000000-0005-0000-0000-0000331E0000}"/>
    <cellStyle name="Heading 2 29 2 8 2 2" xfId="7755" xr:uid="{00000000-0005-0000-0000-0000341E0000}"/>
    <cellStyle name="Heading 2 29 2 8 3" xfId="7756" xr:uid="{00000000-0005-0000-0000-0000351E0000}"/>
    <cellStyle name="Heading 2 29 2 9" xfId="7757" xr:uid="{00000000-0005-0000-0000-0000361E0000}"/>
    <cellStyle name="Heading 2 29 2 9 2" xfId="7758" xr:uid="{00000000-0005-0000-0000-0000371E0000}"/>
    <cellStyle name="Heading 2 29 2 9 2 2" xfId="7759" xr:uid="{00000000-0005-0000-0000-0000381E0000}"/>
    <cellStyle name="Heading 2 29 2 9 3" xfId="7760" xr:uid="{00000000-0005-0000-0000-0000391E0000}"/>
    <cellStyle name="Heading 2 3" xfId="7761" xr:uid="{00000000-0005-0000-0000-00003A1E0000}"/>
    <cellStyle name="Heading 2 3 2" xfId="7762" xr:uid="{00000000-0005-0000-0000-00003B1E0000}"/>
    <cellStyle name="Heading 2 3 2 10" xfId="7763" xr:uid="{00000000-0005-0000-0000-00003C1E0000}"/>
    <cellStyle name="Heading 2 3 2 10 2" xfId="7764" xr:uid="{00000000-0005-0000-0000-00003D1E0000}"/>
    <cellStyle name="Heading 2 3 2 10 2 2" xfId="7765" xr:uid="{00000000-0005-0000-0000-00003E1E0000}"/>
    <cellStyle name="Heading 2 3 2 10 3" xfId="7766" xr:uid="{00000000-0005-0000-0000-00003F1E0000}"/>
    <cellStyle name="Heading 2 3 2 11" xfId="7767" xr:uid="{00000000-0005-0000-0000-0000401E0000}"/>
    <cellStyle name="Heading 2 3 2 11 2" xfId="7768" xr:uid="{00000000-0005-0000-0000-0000411E0000}"/>
    <cellStyle name="Heading 2 3 2 11 2 2" xfId="7769" xr:uid="{00000000-0005-0000-0000-0000421E0000}"/>
    <cellStyle name="Heading 2 3 2 11 3" xfId="7770" xr:uid="{00000000-0005-0000-0000-0000431E0000}"/>
    <cellStyle name="Heading 2 3 2 12" xfId="7771" xr:uid="{00000000-0005-0000-0000-0000441E0000}"/>
    <cellStyle name="Heading 2 3 2 12 2" xfId="7772" xr:uid="{00000000-0005-0000-0000-0000451E0000}"/>
    <cellStyle name="Heading 2 3 2 12 2 2" xfId="7773" xr:uid="{00000000-0005-0000-0000-0000461E0000}"/>
    <cellStyle name="Heading 2 3 2 12 3" xfId="7774" xr:uid="{00000000-0005-0000-0000-0000471E0000}"/>
    <cellStyle name="Heading 2 3 2 13" xfId="7775" xr:uid="{00000000-0005-0000-0000-0000481E0000}"/>
    <cellStyle name="Heading 2 3 2 13 2" xfId="7776" xr:uid="{00000000-0005-0000-0000-0000491E0000}"/>
    <cellStyle name="Heading 2 3 2 13 2 2" xfId="7777" xr:uid="{00000000-0005-0000-0000-00004A1E0000}"/>
    <cellStyle name="Heading 2 3 2 13 3" xfId="7778" xr:uid="{00000000-0005-0000-0000-00004B1E0000}"/>
    <cellStyle name="Heading 2 3 2 14" xfId="7779" xr:uid="{00000000-0005-0000-0000-00004C1E0000}"/>
    <cellStyle name="Heading 2 3 2 14 2" xfId="7780" xr:uid="{00000000-0005-0000-0000-00004D1E0000}"/>
    <cellStyle name="Heading 2 3 2 14 2 2" xfId="7781" xr:uid="{00000000-0005-0000-0000-00004E1E0000}"/>
    <cellStyle name="Heading 2 3 2 14 3" xfId="7782" xr:uid="{00000000-0005-0000-0000-00004F1E0000}"/>
    <cellStyle name="Heading 2 3 2 15" xfId="7783" xr:uid="{00000000-0005-0000-0000-0000501E0000}"/>
    <cellStyle name="Heading 2 3 2 15 2" xfId="7784" xr:uid="{00000000-0005-0000-0000-0000511E0000}"/>
    <cellStyle name="Heading 2 3 2 15 2 2" xfId="7785" xr:uid="{00000000-0005-0000-0000-0000521E0000}"/>
    <cellStyle name="Heading 2 3 2 15 3" xfId="7786" xr:uid="{00000000-0005-0000-0000-0000531E0000}"/>
    <cellStyle name="Heading 2 3 2 16" xfId="7787" xr:uid="{00000000-0005-0000-0000-0000541E0000}"/>
    <cellStyle name="Heading 2 3 2 16 2" xfId="7788" xr:uid="{00000000-0005-0000-0000-0000551E0000}"/>
    <cellStyle name="Heading 2 3 2 16 2 2" xfId="7789" xr:uid="{00000000-0005-0000-0000-0000561E0000}"/>
    <cellStyle name="Heading 2 3 2 16 3" xfId="7790" xr:uid="{00000000-0005-0000-0000-0000571E0000}"/>
    <cellStyle name="Heading 2 3 2 17" xfId="7791" xr:uid="{00000000-0005-0000-0000-0000581E0000}"/>
    <cellStyle name="Heading 2 3 2 17 2" xfId="7792" xr:uid="{00000000-0005-0000-0000-0000591E0000}"/>
    <cellStyle name="Heading 2 3 2 17 2 2" xfId="7793" xr:uid="{00000000-0005-0000-0000-00005A1E0000}"/>
    <cellStyle name="Heading 2 3 2 17 3" xfId="7794" xr:uid="{00000000-0005-0000-0000-00005B1E0000}"/>
    <cellStyle name="Heading 2 3 2 18" xfId="7795" xr:uid="{00000000-0005-0000-0000-00005C1E0000}"/>
    <cellStyle name="Heading 2 3 2 18 2" xfId="7796" xr:uid="{00000000-0005-0000-0000-00005D1E0000}"/>
    <cellStyle name="Heading 2 3 2 19" xfId="7797" xr:uid="{00000000-0005-0000-0000-00005E1E0000}"/>
    <cellStyle name="Heading 2 3 2 2" xfId="7798" xr:uid="{00000000-0005-0000-0000-00005F1E0000}"/>
    <cellStyle name="Heading 2 3 2 2 2" xfId="7799" xr:uid="{00000000-0005-0000-0000-0000601E0000}"/>
    <cellStyle name="Heading 2 3 2 2 2 2" xfId="7800" xr:uid="{00000000-0005-0000-0000-0000611E0000}"/>
    <cellStyle name="Heading 2 3 2 2 3" xfId="7801" xr:uid="{00000000-0005-0000-0000-0000621E0000}"/>
    <cellStyle name="Heading 2 3 2 3" xfId="7802" xr:uid="{00000000-0005-0000-0000-0000631E0000}"/>
    <cellStyle name="Heading 2 3 2 3 2" xfId="7803" xr:uid="{00000000-0005-0000-0000-0000641E0000}"/>
    <cellStyle name="Heading 2 3 2 3 2 2" xfId="7804" xr:uid="{00000000-0005-0000-0000-0000651E0000}"/>
    <cellStyle name="Heading 2 3 2 3 3" xfId="7805" xr:uid="{00000000-0005-0000-0000-0000661E0000}"/>
    <cellStyle name="Heading 2 3 2 4" xfId="7806" xr:uid="{00000000-0005-0000-0000-0000671E0000}"/>
    <cellStyle name="Heading 2 3 2 4 2" xfId="7807" xr:uid="{00000000-0005-0000-0000-0000681E0000}"/>
    <cellStyle name="Heading 2 3 2 4 2 2" xfId="7808" xr:uid="{00000000-0005-0000-0000-0000691E0000}"/>
    <cellStyle name="Heading 2 3 2 4 3" xfId="7809" xr:uid="{00000000-0005-0000-0000-00006A1E0000}"/>
    <cellStyle name="Heading 2 3 2 5" xfId="7810" xr:uid="{00000000-0005-0000-0000-00006B1E0000}"/>
    <cellStyle name="Heading 2 3 2 5 2" xfId="7811" xr:uid="{00000000-0005-0000-0000-00006C1E0000}"/>
    <cellStyle name="Heading 2 3 2 5 2 2" xfId="7812" xr:uid="{00000000-0005-0000-0000-00006D1E0000}"/>
    <cellStyle name="Heading 2 3 2 5 3" xfId="7813" xr:uid="{00000000-0005-0000-0000-00006E1E0000}"/>
    <cellStyle name="Heading 2 3 2 6" xfId="7814" xr:uid="{00000000-0005-0000-0000-00006F1E0000}"/>
    <cellStyle name="Heading 2 3 2 6 2" xfId="7815" xr:uid="{00000000-0005-0000-0000-0000701E0000}"/>
    <cellStyle name="Heading 2 3 2 6 2 2" xfId="7816" xr:uid="{00000000-0005-0000-0000-0000711E0000}"/>
    <cellStyle name="Heading 2 3 2 6 3" xfId="7817" xr:uid="{00000000-0005-0000-0000-0000721E0000}"/>
    <cellStyle name="Heading 2 3 2 7" xfId="7818" xr:uid="{00000000-0005-0000-0000-0000731E0000}"/>
    <cellStyle name="Heading 2 3 2 7 2" xfId="7819" xr:uid="{00000000-0005-0000-0000-0000741E0000}"/>
    <cellStyle name="Heading 2 3 2 7 2 2" xfId="7820" xr:uid="{00000000-0005-0000-0000-0000751E0000}"/>
    <cellStyle name="Heading 2 3 2 7 3" xfId="7821" xr:uid="{00000000-0005-0000-0000-0000761E0000}"/>
    <cellStyle name="Heading 2 3 2 8" xfId="7822" xr:uid="{00000000-0005-0000-0000-0000771E0000}"/>
    <cellStyle name="Heading 2 3 2 8 2" xfId="7823" xr:uid="{00000000-0005-0000-0000-0000781E0000}"/>
    <cellStyle name="Heading 2 3 2 8 2 2" xfId="7824" xr:uid="{00000000-0005-0000-0000-0000791E0000}"/>
    <cellStyle name="Heading 2 3 2 8 3" xfId="7825" xr:uid="{00000000-0005-0000-0000-00007A1E0000}"/>
    <cellStyle name="Heading 2 3 2 9" xfId="7826" xr:uid="{00000000-0005-0000-0000-00007B1E0000}"/>
    <cellStyle name="Heading 2 3 2 9 2" xfId="7827" xr:uid="{00000000-0005-0000-0000-00007C1E0000}"/>
    <cellStyle name="Heading 2 3 2 9 2 2" xfId="7828" xr:uid="{00000000-0005-0000-0000-00007D1E0000}"/>
    <cellStyle name="Heading 2 3 2 9 3" xfId="7829" xr:uid="{00000000-0005-0000-0000-00007E1E0000}"/>
    <cellStyle name="Heading 2 3 3" xfId="7830" xr:uid="{00000000-0005-0000-0000-00007F1E0000}"/>
    <cellStyle name="Heading 2 30" xfId="7831" xr:uid="{00000000-0005-0000-0000-0000801E0000}"/>
    <cellStyle name="Heading 2 30 2" xfId="7832" xr:uid="{00000000-0005-0000-0000-0000811E0000}"/>
    <cellStyle name="Heading 2 30 2 10" xfId="7833" xr:uid="{00000000-0005-0000-0000-0000821E0000}"/>
    <cellStyle name="Heading 2 30 2 10 2" xfId="7834" xr:uid="{00000000-0005-0000-0000-0000831E0000}"/>
    <cellStyle name="Heading 2 30 2 10 2 2" xfId="7835" xr:uid="{00000000-0005-0000-0000-0000841E0000}"/>
    <cellStyle name="Heading 2 30 2 10 3" xfId="7836" xr:uid="{00000000-0005-0000-0000-0000851E0000}"/>
    <cellStyle name="Heading 2 30 2 11" xfId="7837" xr:uid="{00000000-0005-0000-0000-0000861E0000}"/>
    <cellStyle name="Heading 2 30 2 11 2" xfId="7838" xr:uid="{00000000-0005-0000-0000-0000871E0000}"/>
    <cellStyle name="Heading 2 30 2 11 2 2" xfId="7839" xr:uid="{00000000-0005-0000-0000-0000881E0000}"/>
    <cellStyle name="Heading 2 30 2 11 3" xfId="7840" xr:uid="{00000000-0005-0000-0000-0000891E0000}"/>
    <cellStyle name="Heading 2 30 2 12" xfId="7841" xr:uid="{00000000-0005-0000-0000-00008A1E0000}"/>
    <cellStyle name="Heading 2 30 2 12 2" xfId="7842" xr:uid="{00000000-0005-0000-0000-00008B1E0000}"/>
    <cellStyle name="Heading 2 30 2 12 2 2" xfId="7843" xr:uid="{00000000-0005-0000-0000-00008C1E0000}"/>
    <cellStyle name="Heading 2 30 2 12 3" xfId="7844" xr:uid="{00000000-0005-0000-0000-00008D1E0000}"/>
    <cellStyle name="Heading 2 30 2 13" xfId="7845" xr:uid="{00000000-0005-0000-0000-00008E1E0000}"/>
    <cellStyle name="Heading 2 30 2 13 2" xfId="7846" xr:uid="{00000000-0005-0000-0000-00008F1E0000}"/>
    <cellStyle name="Heading 2 30 2 13 2 2" xfId="7847" xr:uid="{00000000-0005-0000-0000-0000901E0000}"/>
    <cellStyle name="Heading 2 30 2 13 3" xfId="7848" xr:uid="{00000000-0005-0000-0000-0000911E0000}"/>
    <cellStyle name="Heading 2 30 2 14" xfId="7849" xr:uid="{00000000-0005-0000-0000-0000921E0000}"/>
    <cellStyle name="Heading 2 30 2 14 2" xfId="7850" xr:uid="{00000000-0005-0000-0000-0000931E0000}"/>
    <cellStyle name="Heading 2 30 2 14 2 2" xfId="7851" xr:uid="{00000000-0005-0000-0000-0000941E0000}"/>
    <cellStyle name="Heading 2 30 2 14 3" xfId="7852" xr:uid="{00000000-0005-0000-0000-0000951E0000}"/>
    <cellStyle name="Heading 2 30 2 15" xfId="7853" xr:uid="{00000000-0005-0000-0000-0000961E0000}"/>
    <cellStyle name="Heading 2 30 2 15 2" xfId="7854" xr:uid="{00000000-0005-0000-0000-0000971E0000}"/>
    <cellStyle name="Heading 2 30 2 15 2 2" xfId="7855" xr:uid="{00000000-0005-0000-0000-0000981E0000}"/>
    <cellStyle name="Heading 2 30 2 15 3" xfId="7856" xr:uid="{00000000-0005-0000-0000-0000991E0000}"/>
    <cellStyle name="Heading 2 30 2 16" xfId="7857" xr:uid="{00000000-0005-0000-0000-00009A1E0000}"/>
    <cellStyle name="Heading 2 30 2 16 2" xfId="7858" xr:uid="{00000000-0005-0000-0000-00009B1E0000}"/>
    <cellStyle name="Heading 2 30 2 16 2 2" xfId="7859" xr:uid="{00000000-0005-0000-0000-00009C1E0000}"/>
    <cellStyle name="Heading 2 30 2 16 3" xfId="7860" xr:uid="{00000000-0005-0000-0000-00009D1E0000}"/>
    <cellStyle name="Heading 2 30 2 17" xfId="7861" xr:uid="{00000000-0005-0000-0000-00009E1E0000}"/>
    <cellStyle name="Heading 2 30 2 17 2" xfId="7862" xr:uid="{00000000-0005-0000-0000-00009F1E0000}"/>
    <cellStyle name="Heading 2 30 2 17 2 2" xfId="7863" xr:uid="{00000000-0005-0000-0000-0000A01E0000}"/>
    <cellStyle name="Heading 2 30 2 17 3" xfId="7864" xr:uid="{00000000-0005-0000-0000-0000A11E0000}"/>
    <cellStyle name="Heading 2 30 2 18" xfId="7865" xr:uid="{00000000-0005-0000-0000-0000A21E0000}"/>
    <cellStyle name="Heading 2 30 2 18 2" xfId="7866" xr:uid="{00000000-0005-0000-0000-0000A31E0000}"/>
    <cellStyle name="Heading 2 30 2 19" xfId="7867" xr:uid="{00000000-0005-0000-0000-0000A41E0000}"/>
    <cellStyle name="Heading 2 30 2 2" xfId="7868" xr:uid="{00000000-0005-0000-0000-0000A51E0000}"/>
    <cellStyle name="Heading 2 30 2 2 2" xfId="7869" xr:uid="{00000000-0005-0000-0000-0000A61E0000}"/>
    <cellStyle name="Heading 2 30 2 2 2 2" xfId="7870" xr:uid="{00000000-0005-0000-0000-0000A71E0000}"/>
    <cellStyle name="Heading 2 30 2 2 3" xfId="7871" xr:uid="{00000000-0005-0000-0000-0000A81E0000}"/>
    <cellStyle name="Heading 2 30 2 3" xfId="7872" xr:uid="{00000000-0005-0000-0000-0000A91E0000}"/>
    <cellStyle name="Heading 2 30 2 3 2" xfId="7873" xr:uid="{00000000-0005-0000-0000-0000AA1E0000}"/>
    <cellStyle name="Heading 2 30 2 3 2 2" xfId="7874" xr:uid="{00000000-0005-0000-0000-0000AB1E0000}"/>
    <cellStyle name="Heading 2 30 2 3 3" xfId="7875" xr:uid="{00000000-0005-0000-0000-0000AC1E0000}"/>
    <cellStyle name="Heading 2 30 2 4" xfId="7876" xr:uid="{00000000-0005-0000-0000-0000AD1E0000}"/>
    <cellStyle name="Heading 2 30 2 4 2" xfId="7877" xr:uid="{00000000-0005-0000-0000-0000AE1E0000}"/>
    <cellStyle name="Heading 2 30 2 4 2 2" xfId="7878" xr:uid="{00000000-0005-0000-0000-0000AF1E0000}"/>
    <cellStyle name="Heading 2 30 2 4 3" xfId="7879" xr:uid="{00000000-0005-0000-0000-0000B01E0000}"/>
    <cellStyle name="Heading 2 30 2 5" xfId="7880" xr:uid="{00000000-0005-0000-0000-0000B11E0000}"/>
    <cellStyle name="Heading 2 30 2 5 2" xfId="7881" xr:uid="{00000000-0005-0000-0000-0000B21E0000}"/>
    <cellStyle name="Heading 2 30 2 5 2 2" xfId="7882" xr:uid="{00000000-0005-0000-0000-0000B31E0000}"/>
    <cellStyle name="Heading 2 30 2 5 3" xfId="7883" xr:uid="{00000000-0005-0000-0000-0000B41E0000}"/>
    <cellStyle name="Heading 2 30 2 6" xfId="7884" xr:uid="{00000000-0005-0000-0000-0000B51E0000}"/>
    <cellStyle name="Heading 2 30 2 6 2" xfId="7885" xr:uid="{00000000-0005-0000-0000-0000B61E0000}"/>
    <cellStyle name="Heading 2 30 2 6 2 2" xfId="7886" xr:uid="{00000000-0005-0000-0000-0000B71E0000}"/>
    <cellStyle name="Heading 2 30 2 6 3" xfId="7887" xr:uid="{00000000-0005-0000-0000-0000B81E0000}"/>
    <cellStyle name="Heading 2 30 2 7" xfId="7888" xr:uid="{00000000-0005-0000-0000-0000B91E0000}"/>
    <cellStyle name="Heading 2 30 2 7 2" xfId="7889" xr:uid="{00000000-0005-0000-0000-0000BA1E0000}"/>
    <cellStyle name="Heading 2 30 2 7 2 2" xfId="7890" xr:uid="{00000000-0005-0000-0000-0000BB1E0000}"/>
    <cellStyle name="Heading 2 30 2 7 3" xfId="7891" xr:uid="{00000000-0005-0000-0000-0000BC1E0000}"/>
    <cellStyle name="Heading 2 30 2 8" xfId="7892" xr:uid="{00000000-0005-0000-0000-0000BD1E0000}"/>
    <cellStyle name="Heading 2 30 2 8 2" xfId="7893" xr:uid="{00000000-0005-0000-0000-0000BE1E0000}"/>
    <cellStyle name="Heading 2 30 2 8 2 2" xfId="7894" xr:uid="{00000000-0005-0000-0000-0000BF1E0000}"/>
    <cellStyle name="Heading 2 30 2 8 3" xfId="7895" xr:uid="{00000000-0005-0000-0000-0000C01E0000}"/>
    <cellStyle name="Heading 2 30 2 9" xfId="7896" xr:uid="{00000000-0005-0000-0000-0000C11E0000}"/>
    <cellStyle name="Heading 2 30 2 9 2" xfId="7897" xr:uid="{00000000-0005-0000-0000-0000C21E0000}"/>
    <cellStyle name="Heading 2 30 2 9 2 2" xfId="7898" xr:uid="{00000000-0005-0000-0000-0000C31E0000}"/>
    <cellStyle name="Heading 2 30 2 9 3" xfId="7899" xr:uid="{00000000-0005-0000-0000-0000C41E0000}"/>
    <cellStyle name="Heading 2 31" xfId="7900" xr:uid="{00000000-0005-0000-0000-0000C51E0000}"/>
    <cellStyle name="Heading 2 31 2" xfId="7901" xr:uid="{00000000-0005-0000-0000-0000C61E0000}"/>
    <cellStyle name="Heading 2 31 2 10" xfId="7902" xr:uid="{00000000-0005-0000-0000-0000C71E0000}"/>
    <cellStyle name="Heading 2 31 2 10 2" xfId="7903" xr:uid="{00000000-0005-0000-0000-0000C81E0000}"/>
    <cellStyle name="Heading 2 31 2 10 2 2" xfId="7904" xr:uid="{00000000-0005-0000-0000-0000C91E0000}"/>
    <cellStyle name="Heading 2 31 2 10 3" xfId="7905" xr:uid="{00000000-0005-0000-0000-0000CA1E0000}"/>
    <cellStyle name="Heading 2 31 2 11" xfId="7906" xr:uid="{00000000-0005-0000-0000-0000CB1E0000}"/>
    <cellStyle name="Heading 2 31 2 11 2" xfId="7907" xr:uid="{00000000-0005-0000-0000-0000CC1E0000}"/>
    <cellStyle name="Heading 2 31 2 11 2 2" xfId="7908" xr:uid="{00000000-0005-0000-0000-0000CD1E0000}"/>
    <cellStyle name="Heading 2 31 2 11 3" xfId="7909" xr:uid="{00000000-0005-0000-0000-0000CE1E0000}"/>
    <cellStyle name="Heading 2 31 2 12" xfId="7910" xr:uid="{00000000-0005-0000-0000-0000CF1E0000}"/>
    <cellStyle name="Heading 2 31 2 12 2" xfId="7911" xr:uid="{00000000-0005-0000-0000-0000D01E0000}"/>
    <cellStyle name="Heading 2 31 2 12 2 2" xfId="7912" xr:uid="{00000000-0005-0000-0000-0000D11E0000}"/>
    <cellStyle name="Heading 2 31 2 12 3" xfId="7913" xr:uid="{00000000-0005-0000-0000-0000D21E0000}"/>
    <cellStyle name="Heading 2 31 2 13" xfId="7914" xr:uid="{00000000-0005-0000-0000-0000D31E0000}"/>
    <cellStyle name="Heading 2 31 2 13 2" xfId="7915" xr:uid="{00000000-0005-0000-0000-0000D41E0000}"/>
    <cellStyle name="Heading 2 31 2 13 2 2" xfId="7916" xr:uid="{00000000-0005-0000-0000-0000D51E0000}"/>
    <cellStyle name="Heading 2 31 2 13 3" xfId="7917" xr:uid="{00000000-0005-0000-0000-0000D61E0000}"/>
    <cellStyle name="Heading 2 31 2 14" xfId="7918" xr:uid="{00000000-0005-0000-0000-0000D71E0000}"/>
    <cellStyle name="Heading 2 31 2 14 2" xfId="7919" xr:uid="{00000000-0005-0000-0000-0000D81E0000}"/>
    <cellStyle name="Heading 2 31 2 14 2 2" xfId="7920" xr:uid="{00000000-0005-0000-0000-0000D91E0000}"/>
    <cellStyle name="Heading 2 31 2 14 3" xfId="7921" xr:uid="{00000000-0005-0000-0000-0000DA1E0000}"/>
    <cellStyle name="Heading 2 31 2 15" xfId="7922" xr:uid="{00000000-0005-0000-0000-0000DB1E0000}"/>
    <cellStyle name="Heading 2 31 2 15 2" xfId="7923" xr:uid="{00000000-0005-0000-0000-0000DC1E0000}"/>
    <cellStyle name="Heading 2 31 2 15 2 2" xfId="7924" xr:uid="{00000000-0005-0000-0000-0000DD1E0000}"/>
    <cellStyle name="Heading 2 31 2 15 3" xfId="7925" xr:uid="{00000000-0005-0000-0000-0000DE1E0000}"/>
    <cellStyle name="Heading 2 31 2 16" xfId="7926" xr:uid="{00000000-0005-0000-0000-0000DF1E0000}"/>
    <cellStyle name="Heading 2 31 2 16 2" xfId="7927" xr:uid="{00000000-0005-0000-0000-0000E01E0000}"/>
    <cellStyle name="Heading 2 31 2 16 2 2" xfId="7928" xr:uid="{00000000-0005-0000-0000-0000E11E0000}"/>
    <cellStyle name="Heading 2 31 2 16 3" xfId="7929" xr:uid="{00000000-0005-0000-0000-0000E21E0000}"/>
    <cellStyle name="Heading 2 31 2 17" xfId="7930" xr:uid="{00000000-0005-0000-0000-0000E31E0000}"/>
    <cellStyle name="Heading 2 31 2 17 2" xfId="7931" xr:uid="{00000000-0005-0000-0000-0000E41E0000}"/>
    <cellStyle name="Heading 2 31 2 17 2 2" xfId="7932" xr:uid="{00000000-0005-0000-0000-0000E51E0000}"/>
    <cellStyle name="Heading 2 31 2 17 3" xfId="7933" xr:uid="{00000000-0005-0000-0000-0000E61E0000}"/>
    <cellStyle name="Heading 2 31 2 18" xfId="7934" xr:uid="{00000000-0005-0000-0000-0000E71E0000}"/>
    <cellStyle name="Heading 2 31 2 18 2" xfId="7935" xr:uid="{00000000-0005-0000-0000-0000E81E0000}"/>
    <cellStyle name="Heading 2 31 2 19" xfId="7936" xr:uid="{00000000-0005-0000-0000-0000E91E0000}"/>
    <cellStyle name="Heading 2 31 2 2" xfId="7937" xr:uid="{00000000-0005-0000-0000-0000EA1E0000}"/>
    <cellStyle name="Heading 2 31 2 2 2" xfId="7938" xr:uid="{00000000-0005-0000-0000-0000EB1E0000}"/>
    <cellStyle name="Heading 2 31 2 2 2 2" xfId="7939" xr:uid="{00000000-0005-0000-0000-0000EC1E0000}"/>
    <cellStyle name="Heading 2 31 2 2 3" xfId="7940" xr:uid="{00000000-0005-0000-0000-0000ED1E0000}"/>
    <cellStyle name="Heading 2 31 2 3" xfId="7941" xr:uid="{00000000-0005-0000-0000-0000EE1E0000}"/>
    <cellStyle name="Heading 2 31 2 3 2" xfId="7942" xr:uid="{00000000-0005-0000-0000-0000EF1E0000}"/>
    <cellStyle name="Heading 2 31 2 3 2 2" xfId="7943" xr:uid="{00000000-0005-0000-0000-0000F01E0000}"/>
    <cellStyle name="Heading 2 31 2 3 3" xfId="7944" xr:uid="{00000000-0005-0000-0000-0000F11E0000}"/>
    <cellStyle name="Heading 2 31 2 4" xfId="7945" xr:uid="{00000000-0005-0000-0000-0000F21E0000}"/>
    <cellStyle name="Heading 2 31 2 4 2" xfId="7946" xr:uid="{00000000-0005-0000-0000-0000F31E0000}"/>
    <cellStyle name="Heading 2 31 2 4 2 2" xfId="7947" xr:uid="{00000000-0005-0000-0000-0000F41E0000}"/>
    <cellStyle name="Heading 2 31 2 4 3" xfId="7948" xr:uid="{00000000-0005-0000-0000-0000F51E0000}"/>
    <cellStyle name="Heading 2 31 2 5" xfId="7949" xr:uid="{00000000-0005-0000-0000-0000F61E0000}"/>
    <cellStyle name="Heading 2 31 2 5 2" xfId="7950" xr:uid="{00000000-0005-0000-0000-0000F71E0000}"/>
    <cellStyle name="Heading 2 31 2 5 2 2" xfId="7951" xr:uid="{00000000-0005-0000-0000-0000F81E0000}"/>
    <cellStyle name="Heading 2 31 2 5 3" xfId="7952" xr:uid="{00000000-0005-0000-0000-0000F91E0000}"/>
    <cellStyle name="Heading 2 31 2 6" xfId="7953" xr:uid="{00000000-0005-0000-0000-0000FA1E0000}"/>
    <cellStyle name="Heading 2 31 2 6 2" xfId="7954" xr:uid="{00000000-0005-0000-0000-0000FB1E0000}"/>
    <cellStyle name="Heading 2 31 2 6 2 2" xfId="7955" xr:uid="{00000000-0005-0000-0000-0000FC1E0000}"/>
    <cellStyle name="Heading 2 31 2 6 3" xfId="7956" xr:uid="{00000000-0005-0000-0000-0000FD1E0000}"/>
    <cellStyle name="Heading 2 31 2 7" xfId="7957" xr:uid="{00000000-0005-0000-0000-0000FE1E0000}"/>
    <cellStyle name="Heading 2 31 2 7 2" xfId="7958" xr:uid="{00000000-0005-0000-0000-0000FF1E0000}"/>
    <cellStyle name="Heading 2 31 2 7 2 2" xfId="7959" xr:uid="{00000000-0005-0000-0000-0000001F0000}"/>
    <cellStyle name="Heading 2 31 2 7 3" xfId="7960" xr:uid="{00000000-0005-0000-0000-0000011F0000}"/>
    <cellStyle name="Heading 2 31 2 8" xfId="7961" xr:uid="{00000000-0005-0000-0000-0000021F0000}"/>
    <cellStyle name="Heading 2 31 2 8 2" xfId="7962" xr:uid="{00000000-0005-0000-0000-0000031F0000}"/>
    <cellStyle name="Heading 2 31 2 8 2 2" xfId="7963" xr:uid="{00000000-0005-0000-0000-0000041F0000}"/>
    <cellStyle name="Heading 2 31 2 8 3" xfId="7964" xr:uid="{00000000-0005-0000-0000-0000051F0000}"/>
    <cellStyle name="Heading 2 31 2 9" xfId="7965" xr:uid="{00000000-0005-0000-0000-0000061F0000}"/>
    <cellStyle name="Heading 2 31 2 9 2" xfId="7966" xr:uid="{00000000-0005-0000-0000-0000071F0000}"/>
    <cellStyle name="Heading 2 31 2 9 2 2" xfId="7967" xr:uid="{00000000-0005-0000-0000-0000081F0000}"/>
    <cellStyle name="Heading 2 31 2 9 3" xfId="7968" xr:uid="{00000000-0005-0000-0000-0000091F0000}"/>
    <cellStyle name="Heading 2 32" xfId="7969" xr:uid="{00000000-0005-0000-0000-00000A1F0000}"/>
    <cellStyle name="Heading 2 32 2" xfId="7970" xr:uid="{00000000-0005-0000-0000-00000B1F0000}"/>
    <cellStyle name="Heading 2 32 2 10" xfId="7971" xr:uid="{00000000-0005-0000-0000-00000C1F0000}"/>
    <cellStyle name="Heading 2 32 2 10 2" xfId="7972" xr:uid="{00000000-0005-0000-0000-00000D1F0000}"/>
    <cellStyle name="Heading 2 32 2 10 2 2" xfId="7973" xr:uid="{00000000-0005-0000-0000-00000E1F0000}"/>
    <cellStyle name="Heading 2 32 2 10 3" xfId="7974" xr:uid="{00000000-0005-0000-0000-00000F1F0000}"/>
    <cellStyle name="Heading 2 32 2 11" xfId="7975" xr:uid="{00000000-0005-0000-0000-0000101F0000}"/>
    <cellStyle name="Heading 2 32 2 11 2" xfId="7976" xr:uid="{00000000-0005-0000-0000-0000111F0000}"/>
    <cellStyle name="Heading 2 32 2 11 2 2" xfId="7977" xr:uid="{00000000-0005-0000-0000-0000121F0000}"/>
    <cellStyle name="Heading 2 32 2 11 3" xfId="7978" xr:uid="{00000000-0005-0000-0000-0000131F0000}"/>
    <cellStyle name="Heading 2 32 2 12" xfId="7979" xr:uid="{00000000-0005-0000-0000-0000141F0000}"/>
    <cellStyle name="Heading 2 32 2 12 2" xfId="7980" xr:uid="{00000000-0005-0000-0000-0000151F0000}"/>
    <cellStyle name="Heading 2 32 2 12 2 2" xfId="7981" xr:uid="{00000000-0005-0000-0000-0000161F0000}"/>
    <cellStyle name="Heading 2 32 2 12 3" xfId="7982" xr:uid="{00000000-0005-0000-0000-0000171F0000}"/>
    <cellStyle name="Heading 2 32 2 13" xfId="7983" xr:uid="{00000000-0005-0000-0000-0000181F0000}"/>
    <cellStyle name="Heading 2 32 2 13 2" xfId="7984" xr:uid="{00000000-0005-0000-0000-0000191F0000}"/>
    <cellStyle name="Heading 2 32 2 13 2 2" xfId="7985" xr:uid="{00000000-0005-0000-0000-00001A1F0000}"/>
    <cellStyle name="Heading 2 32 2 13 3" xfId="7986" xr:uid="{00000000-0005-0000-0000-00001B1F0000}"/>
    <cellStyle name="Heading 2 32 2 14" xfId="7987" xr:uid="{00000000-0005-0000-0000-00001C1F0000}"/>
    <cellStyle name="Heading 2 32 2 14 2" xfId="7988" xr:uid="{00000000-0005-0000-0000-00001D1F0000}"/>
    <cellStyle name="Heading 2 32 2 14 2 2" xfId="7989" xr:uid="{00000000-0005-0000-0000-00001E1F0000}"/>
    <cellStyle name="Heading 2 32 2 14 3" xfId="7990" xr:uid="{00000000-0005-0000-0000-00001F1F0000}"/>
    <cellStyle name="Heading 2 32 2 15" xfId="7991" xr:uid="{00000000-0005-0000-0000-0000201F0000}"/>
    <cellStyle name="Heading 2 32 2 15 2" xfId="7992" xr:uid="{00000000-0005-0000-0000-0000211F0000}"/>
    <cellStyle name="Heading 2 32 2 15 2 2" xfId="7993" xr:uid="{00000000-0005-0000-0000-0000221F0000}"/>
    <cellStyle name="Heading 2 32 2 15 3" xfId="7994" xr:uid="{00000000-0005-0000-0000-0000231F0000}"/>
    <cellStyle name="Heading 2 32 2 16" xfId="7995" xr:uid="{00000000-0005-0000-0000-0000241F0000}"/>
    <cellStyle name="Heading 2 32 2 16 2" xfId="7996" xr:uid="{00000000-0005-0000-0000-0000251F0000}"/>
    <cellStyle name="Heading 2 32 2 16 2 2" xfId="7997" xr:uid="{00000000-0005-0000-0000-0000261F0000}"/>
    <cellStyle name="Heading 2 32 2 16 3" xfId="7998" xr:uid="{00000000-0005-0000-0000-0000271F0000}"/>
    <cellStyle name="Heading 2 32 2 17" xfId="7999" xr:uid="{00000000-0005-0000-0000-0000281F0000}"/>
    <cellStyle name="Heading 2 32 2 17 2" xfId="8000" xr:uid="{00000000-0005-0000-0000-0000291F0000}"/>
    <cellStyle name="Heading 2 32 2 17 2 2" xfId="8001" xr:uid="{00000000-0005-0000-0000-00002A1F0000}"/>
    <cellStyle name="Heading 2 32 2 17 3" xfId="8002" xr:uid="{00000000-0005-0000-0000-00002B1F0000}"/>
    <cellStyle name="Heading 2 32 2 18" xfId="8003" xr:uid="{00000000-0005-0000-0000-00002C1F0000}"/>
    <cellStyle name="Heading 2 32 2 18 2" xfId="8004" xr:uid="{00000000-0005-0000-0000-00002D1F0000}"/>
    <cellStyle name="Heading 2 32 2 19" xfId="8005" xr:uid="{00000000-0005-0000-0000-00002E1F0000}"/>
    <cellStyle name="Heading 2 32 2 2" xfId="8006" xr:uid="{00000000-0005-0000-0000-00002F1F0000}"/>
    <cellStyle name="Heading 2 32 2 2 2" xfId="8007" xr:uid="{00000000-0005-0000-0000-0000301F0000}"/>
    <cellStyle name="Heading 2 32 2 2 2 2" xfId="8008" xr:uid="{00000000-0005-0000-0000-0000311F0000}"/>
    <cellStyle name="Heading 2 32 2 2 3" xfId="8009" xr:uid="{00000000-0005-0000-0000-0000321F0000}"/>
    <cellStyle name="Heading 2 32 2 3" xfId="8010" xr:uid="{00000000-0005-0000-0000-0000331F0000}"/>
    <cellStyle name="Heading 2 32 2 3 2" xfId="8011" xr:uid="{00000000-0005-0000-0000-0000341F0000}"/>
    <cellStyle name="Heading 2 32 2 3 2 2" xfId="8012" xr:uid="{00000000-0005-0000-0000-0000351F0000}"/>
    <cellStyle name="Heading 2 32 2 3 3" xfId="8013" xr:uid="{00000000-0005-0000-0000-0000361F0000}"/>
    <cellStyle name="Heading 2 32 2 4" xfId="8014" xr:uid="{00000000-0005-0000-0000-0000371F0000}"/>
    <cellStyle name="Heading 2 32 2 4 2" xfId="8015" xr:uid="{00000000-0005-0000-0000-0000381F0000}"/>
    <cellStyle name="Heading 2 32 2 4 2 2" xfId="8016" xr:uid="{00000000-0005-0000-0000-0000391F0000}"/>
    <cellStyle name="Heading 2 32 2 4 3" xfId="8017" xr:uid="{00000000-0005-0000-0000-00003A1F0000}"/>
    <cellStyle name="Heading 2 32 2 5" xfId="8018" xr:uid="{00000000-0005-0000-0000-00003B1F0000}"/>
    <cellStyle name="Heading 2 32 2 5 2" xfId="8019" xr:uid="{00000000-0005-0000-0000-00003C1F0000}"/>
    <cellStyle name="Heading 2 32 2 5 2 2" xfId="8020" xr:uid="{00000000-0005-0000-0000-00003D1F0000}"/>
    <cellStyle name="Heading 2 32 2 5 3" xfId="8021" xr:uid="{00000000-0005-0000-0000-00003E1F0000}"/>
    <cellStyle name="Heading 2 32 2 6" xfId="8022" xr:uid="{00000000-0005-0000-0000-00003F1F0000}"/>
    <cellStyle name="Heading 2 32 2 6 2" xfId="8023" xr:uid="{00000000-0005-0000-0000-0000401F0000}"/>
    <cellStyle name="Heading 2 32 2 6 2 2" xfId="8024" xr:uid="{00000000-0005-0000-0000-0000411F0000}"/>
    <cellStyle name="Heading 2 32 2 6 3" xfId="8025" xr:uid="{00000000-0005-0000-0000-0000421F0000}"/>
    <cellStyle name="Heading 2 32 2 7" xfId="8026" xr:uid="{00000000-0005-0000-0000-0000431F0000}"/>
    <cellStyle name="Heading 2 32 2 7 2" xfId="8027" xr:uid="{00000000-0005-0000-0000-0000441F0000}"/>
    <cellStyle name="Heading 2 32 2 7 2 2" xfId="8028" xr:uid="{00000000-0005-0000-0000-0000451F0000}"/>
    <cellStyle name="Heading 2 32 2 7 3" xfId="8029" xr:uid="{00000000-0005-0000-0000-0000461F0000}"/>
    <cellStyle name="Heading 2 32 2 8" xfId="8030" xr:uid="{00000000-0005-0000-0000-0000471F0000}"/>
    <cellStyle name="Heading 2 32 2 8 2" xfId="8031" xr:uid="{00000000-0005-0000-0000-0000481F0000}"/>
    <cellStyle name="Heading 2 32 2 8 2 2" xfId="8032" xr:uid="{00000000-0005-0000-0000-0000491F0000}"/>
    <cellStyle name="Heading 2 32 2 8 3" xfId="8033" xr:uid="{00000000-0005-0000-0000-00004A1F0000}"/>
    <cellStyle name="Heading 2 32 2 9" xfId="8034" xr:uid="{00000000-0005-0000-0000-00004B1F0000}"/>
    <cellStyle name="Heading 2 32 2 9 2" xfId="8035" xr:uid="{00000000-0005-0000-0000-00004C1F0000}"/>
    <cellStyle name="Heading 2 32 2 9 2 2" xfId="8036" xr:uid="{00000000-0005-0000-0000-00004D1F0000}"/>
    <cellStyle name="Heading 2 32 2 9 3" xfId="8037" xr:uid="{00000000-0005-0000-0000-00004E1F0000}"/>
    <cellStyle name="Heading 2 33" xfId="8038" xr:uid="{00000000-0005-0000-0000-00004F1F0000}"/>
    <cellStyle name="Heading 2 33 2" xfId="8039" xr:uid="{00000000-0005-0000-0000-0000501F0000}"/>
    <cellStyle name="Heading 2 33 2 10" xfId="8040" xr:uid="{00000000-0005-0000-0000-0000511F0000}"/>
    <cellStyle name="Heading 2 33 2 10 2" xfId="8041" xr:uid="{00000000-0005-0000-0000-0000521F0000}"/>
    <cellStyle name="Heading 2 33 2 10 2 2" xfId="8042" xr:uid="{00000000-0005-0000-0000-0000531F0000}"/>
    <cellStyle name="Heading 2 33 2 10 3" xfId="8043" xr:uid="{00000000-0005-0000-0000-0000541F0000}"/>
    <cellStyle name="Heading 2 33 2 11" xfId="8044" xr:uid="{00000000-0005-0000-0000-0000551F0000}"/>
    <cellStyle name="Heading 2 33 2 11 2" xfId="8045" xr:uid="{00000000-0005-0000-0000-0000561F0000}"/>
    <cellStyle name="Heading 2 33 2 11 2 2" xfId="8046" xr:uid="{00000000-0005-0000-0000-0000571F0000}"/>
    <cellStyle name="Heading 2 33 2 11 3" xfId="8047" xr:uid="{00000000-0005-0000-0000-0000581F0000}"/>
    <cellStyle name="Heading 2 33 2 12" xfId="8048" xr:uid="{00000000-0005-0000-0000-0000591F0000}"/>
    <cellStyle name="Heading 2 33 2 12 2" xfId="8049" xr:uid="{00000000-0005-0000-0000-00005A1F0000}"/>
    <cellStyle name="Heading 2 33 2 12 2 2" xfId="8050" xr:uid="{00000000-0005-0000-0000-00005B1F0000}"/>
    <cellStyle name="Heading 2 33 2 12 3" xfId="8051" xr:uid="{00000000-0005-0000-0000-00005C1F0000}"/>
    <cellStyle name="Heading 2 33 2 13" xfId="8052" xr:uid="{00000000-0005-0000-0000-00005D1F0000}"/>
    <cellStyle name="Heading 2 33 2 13 2" xfId="8053" xr:uid="{00000000-0005-0000-0000-00005E1F0000}"/>
    <cellStyle name="Heading 2 33 2 13 2 2" xfId="8054" xr:uid="{00000000-0005-0000-0000-00005F1F0000}"/>
    <cellStyle name="Heading 2 33 2 13 3" xfId="8055" xr:uid="{00000000-0005-0000-0000-0000601F0000}"/>
    <cellStyle name="Heading 2 33 2 14" xfId="8056" xr:uid="{00000000-0005-0000-0000-0000611F0000}"/>
    <cellStyle name="Heading 2 33 2 14 2" xfId="8057" xr:uid="{00000000-0005-0000-0000-0000621F0000}"/>
    <cellStyle name="Heading 2 33 2 14 2 2" xfId="8058" xr:uid="{00000000-0005-0000-0000-0000631F0000}"/>
    <cellStyle name="Heading 2 33 2 14 3" xfId="8059" xr:uid="{00000000-0005-0000-0000-0000641F0000}"/>
    <cellStyle name="Heading 2 33 2 15" xfId="8060" xr:uid="{00000000-0005-0000-0000-0000651F0000}"/>
    <cellStyle name="Heading 2 33 2 15 2" xfId="8061" xr:uid="{00000000-0005-0000-0000-0000661F0000}"/>
    <cellStyle name="Heading 2 33 2 15 2 2" xfId="8062" xr:uid="{00000000-0005-0000-0000-0000671F0000}"/>
    <cellStyle name="Heading 2 33 2 15 3" xfId="8063" xr:uid="{00000000-0005-0000-0000-0000681F0000}"/>
    <cellStyle name="Heading 2 33 2 16" xfId="8064" xr:uid="{00000000-0005-0000-0000-0000691F0000}"/>
    <cellStyle name="Heading 2 33 2 16 2" xfId="8065" xr:uid="{00000000-0005-0000-0000-00006A1F0000}"/>
    <cellStyle name="Heading 2 33 2 16 2 2" xfId="8066" xr:uid="{00000000-0005-0000-0000-00006B1F0000}"/>
    <cellStyle name="Heading 2 33 2 16 3" xfId="8067" xr:uid="{00000000-0005-0000-0000-00006C1F0000}"/>
    <cellStyle name="Heading 2 33 2 17" xfId="8068" xr:uid="{00000000-0005-0000-0000-00006D1F0000}"/>
    <cellStyle name="Heading 2 33 2 17 2" xfId="8069" xr:uid="{00000000-0005-0000-0000-00006E1F0000}"/>
    <cellStyle name="Heading 2 33 2 17 2 2" xfId="8070" xr:uid="{00000000-0005-0000-0000-00006F1F0000}"/>
    <cellStyle name="Heading 2 33 2 17 3" xfId="8071" xr:uid="{00000000-0005-0000-0000-0000701F0000}"/>
    <cellStyle name="Heading 2 33 2 18" xfId="8072" xr:uid="{00000000-0005-0000-0000-0000711F0000}"/>
    <cellStyle name="Heading 2 33 2 18 2" xfId="8073" xr:uid="{00000000-0005-0000-0000-0000721F0000}"/>
    <cellStyle name="Heading 2 33 2 19" xfId="8074" xr:uid="{00000000-0005-0000-0000-0000731F0000}"/>
    <cellStyle name="Heading 2 33 2 2" xfId="8075" xr:uid="{00000000-0005-0000-0000-0000741F0000}"/>
    <cellStyle name="Heading 2 33 2 2 2" xfId="8076" xr:uid="{00000000-0005-0000-0000-0000751F0000}"/>
    <cellStyle name="Heading 2 33 2 2 2 2" xfId="8077" xr:uid="{00000000-0005-0000-0000-0000761F0000}"/>
    <cellStyle name="Heading 2 33 2 2 3" xfId="8078" xr:uid="{00000000-0005-0000-0000-0000771F0000}"/>
    <cellStyle name="Heading 2 33 2 3" xfId="8079" xr:uid="{00000000-0005-0000-0000-0000781F0000}"/>
    <cellStyle name="Heading 2 33 2 3 2" xfId="8080" xr:uid="{00000000-0005-0000-0000-0000791F0000}"/>
    <cellStyle name="Heading 2 33 2 3 2 2" xfId="8081" xr:uid="{00000000-0005-0000-0000-00007A1F0000}"/>
    <cellStyle name="Heading 2 33 2 3 3" xfId="8082" xr:uid="{00000000-0005-0000-0000-00007B1F0000}"/>
    <cellStyle name="Heading 2 33 2 4" xfId="8083" xr:uid="{00000000-0005-0000-0000-00007C1F0000}"/>
    <cellStyle name="Heading 2 33 2 4 2" xfId="8084" xr:uid="{00000000-0005-0000-0000-00007D1F0000}"/>
    <cellStyle name="Heading 2 33 2 4 2 2" xfId="8085" xr:uid="{00000000-0005-0000-0000-00007E1F0000}"/>
    <cellStyle name="Heading 2 33 2 4 3" xfId="8086" xr:uid="{00000000-0005-0000-0000-00007F1F0000}"/>
    <cellStyle name="Heading 2 33 2 5" xfId="8087" xr:uid="{00000000-0005-0000-0000-0000801F0000}"/>
    <cellStyle name="Heading 2 33 2 5 2" xfId="8088" xr:uid="{00000000-0005-0000-0000-0000811F0000}"/>
    <cellStyle name="Heading 2 33 2 5 2 2" xfId="8089" xr:uid="{00000000-0005-0000-0000-0000821F0000}"/>
    <cellStyle name="Heading 2 33 2 5 3" xfId="8090" xr:uid="{00000000-0005-0000-0000-0000831F0000}"/>
    <cellStyle name="Heading 2 33 2 6" xfId="8091" xr:uid="{00000000-0005-0000-0000-0000841F0000}"/>
    <cellStyle name="Heading 2 33 2 6 2" xfId="8092" xr:uid="{00000000-0005-0000-0000-0000851F0000}"/>
    <cellStyle name="Heading 2 33 2 6 2 2" xfId="8093" xr:uid="{00000000-0005-0000-0000-0000861F0000}"/>
    <cellStyle name="Heading 2 33 2 6 3" xfId="8094" xr:uid="{00000000-0005-0000-0000-0000871F0000}"/>
    <cellStyle name="Heading 2 33 2 7" xfId="8095" xr:uid="{00000000-0005-0000-0000-0000881F0000}"/>
    <cellStyle name="Heading 2 33 2 7 2" xfId="8096" xr:uid="{00000000-0005-0000-0000-0000891F0000}"/>
    <cellStyle name="Heading 2 33 2 7 2 2" xfId="8097" xr:uid="{00000000-0005-0000-0000-00008A1F0000}"/>
    <cellStyle name="Heading 2 33 2 7 3" xfId="8098" xr:uid="{00000000-0005-0000-0000-00008B1F0000}"/>
    <cellStyle name="Heading 2 33 2 8" xfId="8099" xr:uid="{00000000-0005-0000-0000-00008C1F0000}"/>
    <cellStyle name="Heading 2 33 2 8 2" xfId="8100" xr:uid="{00000000-0005-0000-0000-00008D1F0000}"/>
    <cellStyle name="Heading 2 33 2 8 2 2" xfId="8101" xr:uid="{00000000-0005-0000-0000-00008E1F0000}"/>
    <cellStyle name="Heading 2 33 2 8 3" xfId="8102" xr:uid="{00000000-0005-0000-0000-00008F1F0000}"/>
    <cellStyle name="Heading 2 33 2 9" xfId="8103" xr:uid="{00000000-0005-0000-0000-0000901F0000}"/>
    <cellStyle name="Heading 2 33 2 9 2" xfId="8104" xr:uid="{00000000-0005-0000-0000-0000911F0000}"/>
    <cellStyle name="Heading 2 33 2 9 2 2" xfId="8105" xr:uid="{00000000-0005-0000-0000-0000921F0000}"/>
    <cellStyle name="Heading 2 33 2 9 3" xfId="8106" xr:uid="{00000000-0005-0000-0000-0000931F0000}"/>
    <cellStyle name="Heading 2 34" xfId="8107" xr:uid="{00000000-0005-0000-0000-0000941F0000}"/>
    <cellStyle name="Heading 2 34 2" xfId="8108" xr:uid="{00000000-0005-0000-0000-0000951F0000}"/>
    <cellStyle name="Heading 2 34 2 10" xfId="8109" xr:uid="{00000000-0005-0000-0000-0000961F0000}"/>
    <cellStyle name="Heading 2 34 2 10 2" xfId="8110" xr:uid="{00000000-0005-0000-0000-0000971F0000}"/>
    <cellStyle name="Heading 2 34 2 10 2 2" xfId="8111" xr:uid="{00000000-0005-0000-0000-0000981F0000}"/>
    <cellStyle name="Heading 2 34 2 10 3" xfId="8112" xr:uid="{00000000-0005-0000-0000-0000991F0000}"/>
    <cellStyle name="Heading 2 34 2 11" xfId="8113" xr:uid="{00000000-0005-0000-0000-00009A1F0000}"/>
    <cellStyle name="Heading 2 34 2 11 2" xfId="8114" xr:uid="{00000000-0005-0000-0000-00009B1F0000}"/>
    <cellStyle name="Heading 2 34 2 11 2 2" xfId="8115" xr:uid="{00000000-0005-0000-0000-00009C1F0000}"/>
    <cellStyle name="Heading 2 34 2 11 3" xfId="8116" xr:uid="{00000000-0005-0000-0000-00009D1F0000}"/>
    <cellStyle name="Heading 2 34 2 12" xfId="8117" xr:uid="{00000000-0005-0000-0000-00009E1F0000}"/>
    <cellStyle name="Heading 2 34 2 12 2" xfId="8118" xr:uid="{00000000-0005-0000-0000-00009F1F0000}"/>
    <cellStyle name="Heading 2 34 2 12 2 2" xfId="8119" xr:uid="{00000000-0005-0000-0000-0000A01F0000}"/>
    <cellStyle name="Heading 2 34 2 12 3" xfId="8120" xr:uid="{00000000-0005-0000-0000-0000A11F0000}"/>
    <cellStyle name="Heading 2 34 2 13" xfId="8121" xr:uid="{00000000-0005-0000-0000-0000A21F0000}"/>
    <cellStyle name="Heading 2 34 2 13 2" xfId="8122" xr:uid="{00000000-0005-0000-0000-0000A31F0000}"/>
    <cellStyle name="Heading 2 34 2 13 2 2" xfId="8123" xr:uid="{00000000-0005-0000-0000-0000A41F0000}"/>
    <cellStyle name="Heading 2 34 2 13 3" xfId="8124" xr:uid="{00000000-0005-0000-0000-0000A51F0000}"/>
    <cellStyle name="Heading 2 34 2 14" xfId="8125" xr:uid="{00000000-0005-0000-0000-0000A61F0000}"/>
    <cellStyle name="Heading 2 34 2 14 2" xfId="8126" xr:uid="{00000000-0005-0000-0000-0000A71F0000}"/>
    <cellStyle name="Heading 2 34 2 14 2 2" xfId="8127" xr:uid="{00000000-0005-0000-0000-0000A81F0000}"/>
    <cellStyle name="Heading 2 34 2 14 3" xfId="8128" xr:uid="{00000000-0005-0000-0000-0000A91F0000}"/>
    <cellStyle name="Heading 2 34 2 15" xfId="8129" xr:uid="{00000000-0005-0000-0000-0000AA1F0000}"/>
    <cellStyle name="Heading 2 34 2 15 2" xfId="8130" xr:uid="{00000000-0005-0000-0000-0000AB1F0000}"/>
    <cellStyle name="Heading 2 34 2 15 2 2" xfId="8131" xr:uid="{00000000-0005-0000-0000-0000AC1F0000}"/>
    <cellStyle name="Heading 2 34 2 15 3" xfId="8132" xr:uid="{00000000-0005-0000-0000-0000AD1F0000}"/>
    <cellStyle name="Heading 2 34 2 16" xfId="8133" xr:uid="{00000000-0005-0000-0000-0000AE1F0000}"/>
    <cellStyle name="Heading 2 34 2 16 2" xfId="8134" xr:uid="{00000000-0005-0000-0000-0000AF1F0000}"/>
    <cellStyle name="Heading 2 34 2 16 2 2" xfId="8135" xr:uid="{00000000-0005-0000-0000-0000B01F0000}"/>
    <cellStyle name="Heading 2 34 2 16 3" xfId="8136" xr:uid="{00000000-0005-0000-0000-0000B11F0000}"/>
    <cellStyle name="Heading 2 34 2 17" xfId="8137" xr:uid="{00000000-0005-0000-0000-0000B21F0000}"/>
    <cellStyle name="Heading 2 34 2 17 2" xfId="8138" xr:uid="{00000000-0005-0000-0000-0000B31F0000}"/>
    <cellStyle name="Heading 2 34 2 17 2 2" xfId="8139" xr:uid="{00000000-0005-0000-0000-0000B41F0000}"/>
    <cellStyle name="Heading 2 34 2 17 3" xfId="8140" xr:uid="{00000000-0005-0000-0000-0000B51F0000}"/>
    <cellStyle name="Heading 2 34 2 18" xfId="8141" xr:uid="{00000000-0005-0000-0000-0000B61F0000}"/>
    <cellStyle name="Heading 2 34 2 18 2" xfId="8142" xr:uid="{00000000-0005-0000-0000-0000B71F0000}"/>
    <cellStyle name="Heading 2 34 2 19" xfId="8143" xr:uid="{00000000-0005-0000-0000-0000B81F0000}"/>
    <cellStyle name="Heading 2 34 2 2" xfId="8144" xr:uid="{00000000-0005-0000-0000-0000B91F0000}"/>
    <cellStyle name="Heading 2 34 2 2 2" xfId="8145" xr:uid="{00000000-0005-0000-0000-0000BA1F0000}"/>
    <cellStyle name="Heading 2 34 2 2 2 2" xfId="8146" xr:uid="{00000000-0005-0000-0000-0000BB1F0000}"/>
    <cellStyle name="Heading 2 34 2 2 3" xfId="8147" xr:uid="{00000000-0005-0000-0000-0000BC1F0000}"/>
    <cellStyle name="Heading 2 34 2 3" xfId="8148" xr:uid="{00000000-0005-0000-0000-0000BD1F0000}"/>
    <cellStyle name="Heading 2 34 2 3 2" xfId="8149" xr:uid="{00000000-0005-0000-0000-0000BE1F0000}"/>
    <cellStyle name="Heading 2 34 2 3 2 2" xfId="8150" xr:uid="{00000000-0005-0000-0000-0000BF1F0000}"/>
    <cellStyle name="Heading 2 34 2 3 3" xfId="8151" xr:uid="{00000000-0005-0000-0000-0000C01F0000}"/>
    <cellStyle name="Heading 2 34 2 4" xfId="8152" xr:uid="{00000000-0005-0000-0000-0000C11F0000}"/>
    <cellStyle name="Heading 2 34 2 4 2" xfId="8153" xr:uid="{00000000-0005-0000-0000-0000C21F0000}"/>
    <cellStyle name="Heading 2 34 2 4 2 2" xfId="8154" xr:uid="{00000000-0005-0000-0000-0000C31F0000}"/>
    <cellStyle name="Heading 2 34 2 4 3" xfId="8155" xr:uid="{00000000-0005-0000-0000-0000C41F0000}"/>
    <cellStyle name="Heading 2 34 2 5" xfId="8156" xr:uid="{00000000-0005-0000-0000-0000C51F0000}"/>
    <cellStyle name="Heading 2 34 2 5 2" xfId="8157" xr:uid="{00000000-0005-0000-0000-0000C61F0000}"/>
    <cellStyle name="Heading 2 34 2 5 2 2" xfId="8158" xr:uid="{00000000-0005-0000-0000-0000C71F0000}"/>
    <cellStyle name="Heading 2 34 2 5 3" xfId="8159" xr:uid="{00000000-0005-0000-0000-0000C81F0000}"/>
    <cellStyle name="Heading 2 34 2 6" xfId="8160" xr:uid="{00000000-0005-0000-0000-0000C91F0000}"/>
    <cellStyle name="Heading 2 34 2 6 2" xfId="8161" xr:uid="{00000000-0005-0000-0000-0000CA1F0000}"/>
    <cellStyle name="Heading 2 34 2 6 2 2" xfId="8162" xr:uid="{00000000-0005-0000-0000-0000CB1F0000}"/>
    <cellStyle name="Heading 2 34 2 6 3" xfId="8163" xr:uid="{00000000-0005-0000-0000-0000CC1F0000}"/>
    <cellStyle name="Heading 2 34 2 7" xfId="8164" xr:uid="{00000000-0005-0000-0000-0000CD1F0000}"/>
    <cellStyle name="Heading 2 34 2 7 2" xfId="8165" xr:uid="{00000000-0005-0000-0000-0000CE1F0000}"/>
    <cellStyle name="Heading 2 34 2 7 2 2" xfId="8166" xr:uid="{00000000-0005-0000-0000-0000CF1F0000}"/>
    <cellStyle name="Heading 2 34 2 7 3" xfId="8167" xr:uid="{00000000-0005-0000-0000-0000D01F0000}"/>
    <cellStyle name="Heading 2 34 2 8" xfId="8168" xr:uid="{00000000-0005-0000-0000-0000D11F0000}"/>
    <cellStyle name="Heading 2 34 2 8 2" xfId="8169" xr:uid="{00000000-0005-0000-0000-0000D21F0000}"/>
    <cellStyle name="Heading 2 34 2 8 2 2" xfId="8170" xr:uid="{00000000-0005-0000-0000-0000D31F0000}"/>
    <cellStyle name="Heading 2 34 2 8 3" xfId="8171" xr:uid="{00000000-0005-0000-0000-0000D41F0000}"/>
    <cellStyle name="Heading 2 34 2 9" xfId="8172" xr:uid="{00000000-0005-0000-0000-0000D51F0000}"/>
    <cellStyle name="Heading 2 34 2 9 2" xfId="8173" xr:uid="{00000000-0005-0000-0000-0000D61F0000}"/>
    <cellStyle name="Heading 2 34 2 9 2 2" xfId="8174" xr:uid="{00000000-0005-0000-0000-0000D71F0000}"/>
    <cellStyle name="Heading 2 34 2 9 3" xfId="8175" xr:uid="{00000000-0005-0000-0000-0000D81F0000}"/>
    <cellStyle name="Heading 2 35" xfId="8176" xr:uid="{00000000-0005-0000-0000-0000D91F0000}"/>
    <cellStyle name="Heading 2 35 2" xfId="8177" xr:uid="{00000000-0005-0000-0000-0000DA1F0000}"/>
    <cellStyle name="Heading 2 35 2 10" xfId="8178" xr:uid="{00000000-0005-0000-0000-0000DB1F0000}"/>
    <cellStyle name="Heading 2 35 2 10 2" xfId="8179" xr:uid="{00000000-0005-0000-0000-0000DC1F0000}"/>
    <cellStyle name="Heading 2 35 2 10 2 2" xfId="8180" xr:uid="{00000000-0005-0000-0000-0000DD1F0000}"/>
    <cellStyle name="Heading 2 35 2 10 3" xfId="8181" xr:uid="{00000000-0005-0000-0000-0000DE1F0000}"/>
    <cellStyle name="Heading 2 35 2 11" xfId="8182" xr:uid="{00000000-0005-0000-0000-0000DF1F0000}"/>
    <cellStyle name="Heading 2 35 2 11 2" xfId="8183" xr:uid="{00000000-0005-0000-0000-0000E01F0000}"/>
    <cellStyle name="Heading 2 35 2 11 2 2" xfId="8184" xr:uid="{00000000-0005-0000-0000-0000E11F0000}"/>
    <cellStyle name="Heading 2 35 2 11 3" xfId="8185" xr:uid="{00000000-0005-0000-0000-0000E21F0000}"/>
    <cellStyle name="Heading 2 35 2 12" xfId="8186" xr:uid="{00000000-0005-0000-0000-0000E31F0000}"/>
    <cellStyle name="Heading 2 35 2 12 2" xfId="8187" xr:uid="{00000000-0005-0000-0000-0000E41F0000}"/>
    <cellStyle name="Heading 2 35 2 12 2 2" xfId="8188" xr:uid="{00000000-0005-0000-0000-0000E51F0000}"/>
    <cellStyle name="Heading 2 35 2 12 3" xfId="8189" xr:uid="{00000000-0005-0000-0000-0000E61F0000}"/>
    <cellStyle name="Heading 2 35 2 13" xfId="8190" xr:uid="{00000000-0005-0000-0000-0000E71F0000}"/>
    <cellStyle name="Heading 2 35 2 13 2" xfId="8191" xr:uid="{00000000-0005-0000-0000-0000E81F0000}"/>
    <cellStyle name="Heading 2 35 2 13 2 2" xfId="8192" xr:uid="{00000000-0005-0000-0000-0000E91F0000}"/>
    <cellStyle name="Heading 2 35 2 13 3" xfId="8193" xr:uid="{00000000-0005-0000-0000-0000EA1F0000}"/>
    <cellStyle name="Heading 2 35 2 14" xfId="8194" xr:uid="{00000000-0005-0000-0000-0000EB1F0000}"/>
    <cellStyle name="Heading 2 35 2 14 2" xfId="8195" xr:uid="{00000000-0005-0000-0000-0000EC1F0000}"/>
    <cellStyle name="Heading 2 35 2 14 2 2" xfId="8196" xr:uid="{00000000-0005-0000-0000-0000ED1F0000}"/>
    <cellStyle name="Heading 2 35 2 14 3" xfId="8197" xr:uid="{00000000-0005-0000-0000-0000EE1F0000}"/>
    <cellStyle name="Heading 2 35 2 15" xfId="8198" xr:uid="{00000000-0005-0000-0000-0000EF1F0000}"/>
    <cellStyle name="Heading 2 35 2 15 2" xfId="8199" xr:uid="{00000000-0005-0000-0000-0000F01F0000}"/>
    <cellStyle name="Heading 2 35 2 15 2 2" xfId="8200" xr:uid="{00000000-0005-0000-0000-0000F11F0000}"/>
    <cellStyle name="Heading 2 35 2 15 3" xfId="8201" xr:uid="{00000000-0005-0000-0000-0000F21F0000}"/>
    <cellStyle name="Heading 2 35 2 16" xfId="8202" xr:uid="{00000000-0005-0000-0000-0000F31F0000}"/>
    <cellStyle name="Heading 2 35 2 16 2" xfId="8203" xr:uid="{00000000-0005-0000-0000-0000F41F0000}"/>
    <cellStyle name="Heading 2 35 2 16 2 2" xfId="8204" xr:uid="{00000000-0005-0000-0000-0000F51F0000}"/>
    <cellStyle name="Heading 2 35 2 16 3" xfId="8205" xr:uid="{00000000-0005-0000-0000-0000F61F0000}"/>
    <cellStyle name="Heading 2 35 2 17" xfId="8206" xr:uid="{00000000-0005-0000-0000-0000F71F0000}"/>
    <cellStyle name="Heading 2 35 2 17 2" xfId="8207" xr:uid="{00000000-0005-0000-0000-0000F81F0000}"/>
    <cellStyle name="Heading 2 35 2 17 2 2" xfId="8208" xr:uid="{00000000-0005-0000-0000-0000F91F0000}"/>
    <cellStyle name="Heading 2 35 2 17 3" xfId="8209" xr:uid="{00000000-0005-0000-0000-0000FA1F0000}"/>
    <cellStyle name="Heading 2 35 2 18" xfId="8210" xr:uid="{00000000-0005-0000-0000-0000FB1F0000}"/>
    <cellStyle name="Heading 2 35 2 18 2" xfId="8211" xr:uid="{00000000-0005-0000-0000-0000FC1F0000}"/>
    <cellStyle name="Heading 2 35 2 19" xfId="8212" xr:uid="{00000000-0005-0000-0000-0000FD1F0000}"/>
    <cellStyle name="Heading 2 35 2 2" xfId="8213" xr:uid="{00000000-0005-0000-0000-0000FE1F0000}"/>
    <cellStyle name="Heading 2 35 2 2 2" xfId="8214" xr:uid="{00000000-0005-0000-0000-0000FF1F0000}"/>
    <cellStyle name="Heading 2 35 2 2 2 2" xfId="8215" xr:uid="{00000000-0005-0000-0000-000000200000}"/>
    <cellStyle name="Heading 2 35 2 2 3" xfId="8216" xr:uid="{00000000-0005-0000-0000-000001200000}"/>
    <cellStyle name="Heading 2 35 2 3" xfId="8217" xr:uid="{00000000-0005-0000-0000-000002200000}"/>
    <cellStyle name="Heading 2 35 2 3 2" xfId="8218" xr:uid="{00000000-0005-0000-0000-000003200000}"/>
    <cellStyle name="Heading 2 35 2 3 2 2" xfId="8219" xr:uid="{00000000-0005-0000-0000-000004200000}"/>
    <cellStyle name="Heading 2 35 2 3 3" xfId="8220" xr:uid="{00000000-0005-0000-0000-000005200000}"/>
    <cellStyle name="Heading 2 35 2 4" xfId="8221" xr:uid="{00000000-0005-0000-0000-000006200000}"/>
    <cellStyle name="Heading 2 35 2 4 2" xfId="8222" xr:uid="{00000000-0005-0000-0000-000007200000}"/>
    <cellStyle name="Heading 2 35 2 4 2 2" xfId="8223" xr:uid="{00000000-0005-0000-0000-000008200000}"/>
    <cellStyle name="Heading 2 35 2 4 2 3" xfId="8224" xr:uid="{00000000-0005-0000-0000-000009200000}"/>
    <cellStyle name="Heading 2 35 2 4 3" xfId="8225" xr:uid="{00000000-0005-0000-0000-00000A200000}"/>
    <cellStyle name="Heading 2 35 2 5" xfId="8226" xr:uid="{00000000-0005-0000-0000-00000B200000}"/>
    <cellStyle name="Heading 2 35 2 5 2" xfId="8227" xr:uid="{00000000-0005-0000-0000-00000C200000}"/>
    <cellStyle name="Heading 2 35 2 5 2 2" xfId="8228" xr:uid="{00000000-0005-0000-0000-00000D200000}"/>
    <cellStyle name="Heading 2 35 2 5 2 3" xfId="8229" xr:uid="{00000000-0005-0000-0000-00000E200000}"/>
    <cellStyle name="Heading 2 35 2 5 3" xfId="8230" xr:uid="{00000000-0005-0000-0000-00000F200000}"/>
    <cellStyle name="Heading 2 35 2 6" xfId="8231" xr:uid="{00000000-0005-0000-0000-000010200000}"/>
    <cellStyle name="Heading 2 35 2 6 2" xfId="8232" xr:uid="{00000000-0005-0000-0000-000011200000}"/>
    <cellStyle name="Heading 2 35 2 6 2 2" xfId="8233" xr:uid="{00000000-0005-0000-0000-000012200000}"/>
    <cellStyle name="Heading 2 35 2 6 2 3" xfId="8234" xr:uid="{00000000-0005-0000-0000-000013200000}"/>
    <cellStyle name="Heading 2 35 2 6 3" xfId="8235" xr:uid="{00000000-0005-0000-0000-000014200000}"/>
    <cellStyle name="Heading 2 35 2 7" xfId="8236" xr:uid="{00000000-0005-0000-0000-000015200000}"/>
    <cellStyle name="Heading 2 35 2 7 2" xfId="8237" xr:uid="{00000000-0005-0000-0000-000016200000}"/>
    <cellStyle name="Heading 2 35 2 7 2 2" xfId="8238" xr:uid="{00000000-0005-0000-0000-000017200000}"/>
    <cellStyle name="Heading 2 35 2 7 2 3" xfId="8239" xr:uid="{00000000-0005-0000-0000-000018200000}"/>
    <cellStyle name="Heading 2 35 2 7 3" xfId="8240" xr:uid="{00000000-0005-0000-0000-000019200000}"/>
    <cellStyle name="Heading 2 35 2 8" xfId="8241" xr:uid="{00000000-0005-0000-0000-00001A200000}"/>
    <cellStyle name="Heading 2 35 2 8 2" xfId="8242" xr:uid="{00000000-0005-0000-0000-00001B200000}"/>
    <cellStyle name="Heading 2 35 2 8 2 2" xfId="8243" xr:uid="{00000000-0005-0000-0000-00001C200000}"/>
    <cellStyle name="Heading 2 35 2 8 2 3" xfId="8244" xr:uid="{00000000-0005-0000-0000-00001D200000}"/>
    <cellStyle name="Heading 2 35 2 8 3" xfId="8245" xr:uid="{00000000-0005-0000-0000-00001E200000}"/>
    <cellStyle name="Heading 2 35 2 9" xfId="8246" xr:uid="{00000000-0005-0000-0000-00001F200000}"/>
    <cellStyle name="Heading 2 35 2 9 2" xfId="8247" xr:uid="{00000000-0005-0000-0000-000020200000}"/>
    <cellStyle name="Heading 2 35 2 9 2 2" xfId="8248" xr:uid="{00000000-0005-0000-0000-000021200000}"/>
    <cellStyle name="Heading 2 35 2 9 2 3" xfId="8249" xr:uid="{00000000-0005-0000-0000-000022200000}"/>
    <cellStyle name="Heading 2 35 2 9 3" xfId="8250" xr:uid="{00000000-0005-0000-0000-000023200000}"/>
    <cellStyle name="Heading 2 36" xfId="8251" xr:uid="{00000000-0005-0000-0000-000024200000}"/>
    <cellStyle name="Heading 2 36 2" xfId="8252" xr:uid="{00000000-0005-0000-0000-000025200000}"/>
    <cellStyle name="Heading 2 36 2 10" xfId="8253" xr:uid="{00000000-0005-0000-0000-000026200000}"/>
    <cellStyle name="Heading 2 36 2 10 2" xfId="8254" xr:uid="{00000000-0005-0000-0000-000027200000}"/>
    <cellStyle name="Heading 2 36 2 10 2 2" xfId="8255" xr:uid="{00000000-0005-0000-0000-000028200000}"/>
    <cellStyle name="Heading 2 36 2 10 2 3" xfId="8256" xr:uid="{00000000-0005-0000-0000-000029200000}"/>
    <cellStyle name="Heading 2 36 2 10 3" xfId="8257" xr:uid="{00000000-0005-0000-0000-00002A200000}"/>
    <cellStyle name="Heading 2 36 2 11" xfId="8258" xr:uid="{00000000-0005-0000-0000-00002B200000}"/>
    <cellStyle name="Heading 2 36 2 11 2" xfId="8259" xr:uid="{00000000-0005-0000-0000-00002C200000}"/>
    <cellStyle name="Heading 2 36 2 11 2 2" xfId="8260" xr:uid="{00000000-0005-0000-0000-00002D200000}"/>
    <cellStyle name="Heading 2 36 2 11 2 3" xfId="8261" xr:uid="{00000000-0005-0000-0000-00002E200000}"/>
    <cellStyle name="Heading 2 36 2 11 3" xfId="8262" xr:uid="{00000000-0005-0000-0000-00002F200000}"/>
    <cellStyle name="Heading 2 36 2 11 4" xfId="8263" xr:uid="{00000000-0005-0000-0000-000030200000}"/>
    <cellStyle name="Heading 2 36 2 12" xfId="8264" xr:uid="{00000000-0005-0000-0000-000031200000}"/>
    <cellStyle name="Heading 2 36 2 12 2" xfId="8265" xr:uid="{00000000-0005-0000-0000-000032200000}"/>
    <cellStyle name="Heading 2 36 2 12 2 2" xfId="8266" xr:uid="{00000000-0005-0000-0000-000033200000}"/>
    <cellStyle name="Heading 2 36 2 12 2 3" xfId="8267" xr:uid="{00000000-0005-0000-0000-000034200000}"/>
    <cellStyle name="Heading 2 36 2 12 3" xfId="8268" xr:uid="{00000000-0005-0000-0000-000035200000}"/>
    <cellStyle name="Heading 2 36 2 12 4" xfId="8269" xr:uid="{00000000-0005-0000-0000-000036200000}"/>
    <cellStyle name="Heading 2 36 2 13" xfId="8270" xr:uid="{00000000-0005-0000-0000-000037200000}"/>
    <cellStyle name="Heading 2 36 2 13 2" xfId="8271" xr:uid="{00000000-0005-0000-0000-000038200000}"/>
    <cellStyle name="Heading 2 36 2 13 2 2" xfId="8272" xr:uid="{00000000-0005-0000-0000-000039200000}"/>
    <cellStyle name="Heading 2 36 2 13 2 3" xfId="8273" xr:uid="{00000000-0005-0000-0000-00003A200000}"/>
    <cellStyle name="Heading 2 36 2 13 3" xfId="8274" xr:uid="{00000000-0005-0000-0000-00003B200000}"/>
    <cellStyle name="Heading 2 36 2 13 4" xfId="8275" xr:uid="{00000000-0005-0000-0000-00003C200000}"/>
    <cellStyle name="Heading 2 36 2 14" xfId="8276" xr:uid="{00000000-0005-0000-0000-00003D200000}"/>
    <cellStyle name="Heading 2 36 2 14 2" xfId="8277" xr:uid="{00000000-0005-0000-0000-00003E200000}"/>
    <cellStyle name="Heading 2 36 2 14 2 2" xfId="8278" xr:uid="{00000000-0005-0000-0000-00003F200000}"/>
    <cellStyle name="Heading 2 36 2 14 2 3" xfId="8279" xr:uid="{00000000-0005-0000-0000-000040200000}"/>
    <cellStyle name="Heading 2 36 2 14 3" xfId="8280" xr:uid="{00000000-0005-0000-0000-000041200000}"/>
    <cellStyle name="Heading 2 36 2 14 4" xfId="8281" xr:uid="{00000000-0005-0000-0000-000042200000}"/>
    <cellStyle name="Heading 2 36 2 15" xfId="8282" xr:uid="{00000000-0005-0000-0000-000043200000}"/>
    <cellStyle name="Heading 2 36 2 15 2" xfId="8283" xr:uid="{00000000-0005-0000-0000-000044200000}"/>
    <cellStyle name="Heading 2 36 2 15 2 2" xfId="8284" xr:uid="{00000000-0005-0000-0000-000045200000}"/>
    <cellStyle name="Heading 2 36 2 15 2 3" xfId="8285" xr:uid="{00000000-0005-0000-0000-000046200000}"/>
    <cellStyle name="Heading 2 36 2 15 3" xfId="8286" xr:uid="{00000000-0005-0000-0000-000047200000}"/>
    <cellStyle name="Heading 2 36 2 15 4" xfId="8287" xr:uid="{00000000-0005-0000-0000-000048200000}"/>
    <cellStyle name="Heading 2 36 2 16" xfId="8288" xr:uid="{00000000-0005-0000-0000-000049200000}"/>
    <cellStyle name="Heading 2 36 2 16 2" xfId="8289" xr:uid="{00000000-0005-0000-0000-00004A200000}"/>
    <cellStyle name="Heading 2 36 2 16 2 2" xfId="8290" xr:uid="{00000000-0005-0000-0000-00004B200000}"/>
    <cellStyle name="Heading 2 36 2 16 2 3" xfId="8291" xr:uid="{00000000-0005-0000-0000-00004C200000}"/>
    <cellStyle name="Heading 2 36 2 16 3" xfId="8292" xr:uid="{00000000-0005-0000-0000-00004D200000}"/>
    <cellStyle name="Heading 2 36 2 16 4" xfId="8293" xr:uid="{00000000-0005-0000-0000-00004E200000}"/>
    <cellStyle name="Heading 2 36 2 17" xfId="8294" xr:uid="{00000000-0005-0000-0000-00004F200000}"/>
    <cellStyle name="Heading 2 36 2 17 2" xfId="8295" xr:uid="{00000000-0005-0000-0000-000050200000}"/>
    <cellStyle name="Heading 2 36 2 17 2 2" xfId="8296" xr:uid="{00000000-0005-0000-0000-000051200000}"/>
    <cellStyle name="Heading 2 36 2 17 2 3" xfId="8297" xr:uid="{00000000-0005-0000-0000-000052200000}"/>
    <cellStyle name="Heading 2 36 2 17 3" xfId="8298" xr:uid="{00000000-0005-0000-0000-000053200000}"/>
    <cellStyle name="Heading 2 36 2 17 4" xfId="8299" xr:uid="{00000000-0005-0000-0000-000054200000}"/>
    <cellStyle name="Heading 2 36 2 18" xfId="8300" xr:uid="{00000000-0005-0000-0000-000055200000}"/>
    <cellStyle name="Heading 2 36 2 18 2" xfId="8301" xr:uid="{00000000-0005-0000-0000-000056200000}"/>
    <cellStyle name="Heading 2 36 2 18 3" xfId="8302" xr:uid="{00000000-0005-0000-0000-000057200000}"/>
    <cellStyle name="Heading 2 36 2 18 4" xfId="8303" xr:uid="{00000000-0005-0000-0000-000058200000}"/>
    <cellStyle name="Heading 2 36 2 19" xfId="8304" xr:uid="{00000000-0005-0000-0000-000059200000}"/>
    <cellStyle name="Heading 2 36 2 2" xfId="8305" xr:uid="{00000000-0005-0000-0000-00005A200000}"/>
    <cellStyle name="Heading 2 36 2 2 2" xfId="8306" xr:uid="{00000000-0005-0000-0000-00005B200000}"/>
    <cellStyle name="Heading 2 36 2 2 2 2" xfId="8307" xr:uid="{00000000-0005-0000-0000-00005C200000}"/>
    <cellStyle name="Heading 2 36 2 2 2 3" xfId="8308" xr:uid="{00000000-0005-0000-0000-00005D200000}"/>
    <cellStyle name="Heading 2 36 2 2 3" xfId="8309" xr:uid="{00000000-0005-0000-0000-00005E200000}"/>
    <cellStyle name="Heading 2 36 2 2 4" xfId="8310" xr:uid="{00000000-0005-0000-0000-00005F200000}"/>
    <cellStyle name="Heading 2 36 2 20" xfId="8311" xr:uid="{00000000-0005-0000-0000-000060200000}"/>
    <cellStyle name="Heading 2 36 2 3" xfId="8312" xr:uid="{00000000-0005-0000-0000-000061200000}"/>
    <cellStyle name="Heading 2 36 2 3 2" xfId="8313" xr:uid="{00000000-0005-0000-0000-000062200000}"/>
    <cellStyle name="Heading 2 36 2 3 2 2" xfId="8314" xr:uid="{00000000-0005-0000-0000-000063200000}"/>
    <cellStyle name="Heading 2 36 2 3 2 3" xfId="8315" xr:uid="{00000000-0005-0000-0000-000064200000}"/>
    <cellStyle name="Heading 2 36 2 3 3" xfId="8316" xr:uid="{00000000-0005-0000-0000-000065200000}"/>
    <cellStyle name="Heading 2 36 2 3 4" xfId="8317" xr:uid="{00000000-0005-0000-0000-000066200000}"/>
    <cellStyle name="Heading 2 36 2 4" xfId="8318" xr:uid="{00000000-0005-0000-0000-000067200000}"/>
    <cellStyle name="Heading 2 36 2 4 2" xfId="8319" xr:uid="{00000000-0005-0000-0000-000068200000}"/>
    <cellStyle name="Heading 2 36 2 4 2 2" xfId="8320" xr:uid="{00000000-0005-0000-0000-000069200000}"/>
    <cellStyle name="Heading 2 36 2 4 2 3" xfId="8321" xr:uid="{00000000-0005-0000-0000-00006A200000}"/>
    <cellStyle name="Heading 2 36 2 4 3" xfId="8322" xr:uid="{00000000-0005-0000-0000-00006B200000}"/>
    <cellStyle name="Heading 2 36 2 4 4" xfId="8323" xr:uid="{00000000-0005-0000-0000-00006C200000}"/>
    <cellStyle name="Heading 2 36 2 5" xfId="8324" xr:uid="{00000000-0005-0000-0000-00006D200000}"/>
    <cellStyle name="Heading 2 36 2 5 2" xfId="8325" xr:uid="{00000000-0005-0000-0000-00006E200000}"/>
    <cellStyle name="Heading 2 36 2 5 2 2" xfId="8326" xr:uid="{00000000-0005-0000-0000-00006F200000}"/>
    <cellStyle name="Heading 2 36 2 5 2 3" xfId="8327" xr:uid="{00000000-0005-0000-0000-000070200000}"/>
    <cellStyle name="Heading 2 36 2 5 3" xfId="8328" xr:uid="{00000000-0005-0000-0000-000071200000}"/>
    <cellStyle name="Heading 2 36 2 5 4" xfId="8329" xr:uid="{00000000-0005-0000-0000-000072200000}"/>
    <cellStyle name="Heading 2 36 2 6" xfId="8330" xr:uid="{00000000-0005-0000-0000-000073200000}"/>
    <cellStyle name="Heading 2 36 2 6 2" xfId="8331" xr:uid="{00000000-0005-0000-0000-000074200000}"/>
    <cellStyle name="Heading 2 36 2 6 2 2" xfId="8332" xr:uid="{00000000-0005-0000-0000-000075200000}"/>
    <cellStyle name="Heading 2 36 2 6 2 3" xfId="8333" xr:uid="{00000000-0005-0000-0000-000076200000}"/>
    <cellStyle name="Heading 2 36 2 6 3" xfId="8334" xr:uid="{00000000-0005-0000-0000-000077200000}"/>
    <cellStyle name="Heading 2 36 2 6 4" xfId="8335" xr:uid="{00000000-0005-0000-0000-000078200000}"/>
    <cellStyle name="Heading 2 36 2 7" xfId="8336" xr:uid="{00000000-0005-0000-0000-000079200000}"/>
    <cellStyle name="Heading 2 36 2 7 2" xfId="8337" xr:uid="{00000000-0005-0000-0000-00007A200000}"/>
    <cellStyle name="Heading 2 36 2 7 2 2" xfId="8338" xr:uid="{00000000-0005-0000-0000-00007B200000}"/>
    <cellStyle name="Heading 2 36 2 7 2 3" xfId="8339" xr:uid="{00000000-0005-0000-0000-00007C200000}"/>
    <cellStyle name="Heading 2 36 2 7 3" xfId="8340" xr:uid="{00000000-0005-0000-0000-00007D200000}"/>
    <cellStyle name="Heading 2 36 2 7 4" xfId="8341" xr:uid="{00000000-0005-0000-0000-00007E200000}"/>
    <cellStyle name="Heading 2 36 2 8" xfId="8342" xr:uid="{00000000-0005-0000-0000-00007F200000}"/>
    <cellStyle name="Heading 2 36 2 8 2" xfId="8343" xr:uid="{00000000-0005-0000-0000-000080200000}"/>
    <cellStyle name="Heading 2 36 2 8 2 2" xfId="8344" xr:uid="{00000000-0005-0000-0000-000081200000}"/>
    <cellStyle name="Heading 2 36 2 8 2 3" xfId="8345" xr:uid="{00000000-0005-0000-0000-000082200000}"/>
    <cellStyle name="Heading 2 36 2 8 3" xfId="8346" xr:uid="{00000000-0005-0000-0000-000083200000}"/>
    <cellStyle name="Heading 2 36 2 8 4" xfId="8347" xr:uid="{00000000-0005-0000-0000-000084200000}"/>
    <cellStyle name="Heading 2 36 2 9" xfId="8348" xr:uid="{00000000-0005-0000-0000-000085200000}"/>
    <cellStyle name="Heading 2 36 2 9 2" xfId="8349" xr:uid="{00000000-0005-0000-0000-000086200000}"/>
    <cellStyle name="Heading 2 36 2 9 2 2" xfId="8350" xr:uid="{00000000-0005-0000-0000-000087200000}"/>
    <cellStyle name="Heading 2 36 2 9 2 3" xfId="8351" xr:uid="{00000000-0005-0000-0000-000088200000}"/>
    <cellStyle name="Heading 2 36 2 9 3" xfId="8352" xr:uid="{00000000-0005-0000-0000-000089200000}"/>
    <cellStyle name="Heading 2 36 2 9 4" xfId="8353" xr:uid="{00000000-0005-0000-0000-00008A200000}"/>
    <cellStyle name="Heading 2 36 3" xfId="8354" xr:uid="{00000000-0005-0000-0000-00008B200000}"/>
    <cellStyle name="Heading 2 37" xfId="8355" xr:uid="{00000000-0005-0000-0000-00008C200000}"/>
    <cellStyle name="Heading 2 37 2" xfId="8356" xr:uid="{00000000-0005-0000-0000-00008D200000}"/>
    <cellStyle name="Heading 2 37 2 10" xfId="8357" xr:uid="{00000000-0005-0000-0000-00008E200000}"/>
    <cellStyle name="Heading 2 37 2 10 2" xfId="8358" xr:uid="{00000000-0005-0000-0000-00008F200000}"/>
    <cellStyle name="Heading 2 37 2 10 2 2" xfId="8359" xr:uid="{00000000-0005-0000-0000-000090200000}"/>
    <cellStyle name="Heading 2 37 2 10 2 3" xfId="8360" xr:uid="{00000000-0005-0000-0000-000091200000}"/>
    <cellStyle name="Heading 2 37 2 10 3" xfId="8361" xr:uid="{00000000-0005-0000-0000-000092200000}"/>
    <cellStyle name="Heading 2 37 2 10 4" xfId="8362" xr:uid="{00000000-0005-0000-0000-000093200000}"/>
    <cellStyle name="Heading 2 37 2 11" xfId="8363" xr:uid="{00000000-0005-0000-0000-000094200000}"/>
    <cellStyle name="Heading 2 37 2 11 2" xfId="8364" xr:uid="{00000000-0005-0000-0000-000095200000}"/>
    <cellStyle name="Heading 2 37 2 11 2 2" xfId="8365" xr:uid="{00000000-0005-0000-0000-000096200000}"/>
    <cellStyle name="Heading 2 37 2 11 2 3" xfId="8366" xr:uid="{00000000-0005-0000-0000-000097200000}"/>
    <cellStyle name="Heading 2 37 2 11 3" xfId="8367" xr:uid="{00000000-0005-0000-0000-000098200000}"/>
    <cellStyle name="Heading 2 37 2 11 4" xfId="8368" xr:uid="{00000000-0005-0000-0000-000099200000}"/>
    <cellStyle name="Heading 2 37 2 12" xfId="8369" xr:uid="{00000000-0005-0000-0000-00009A200000}"/>
    <cellStyle name="Heading 2 37 2 12 2" xfId="8370" xr:uid="{00000000-0005-0000-0000-00009B200000}"/>
    <cellStyle name="Heading 2 37 2 12 2 2" xfId="8371" xr:uid="{00000000-0005-0000-0000-00009C200000}"/>
    <cellStyle name="Heading 2 37 2 12 2 3" xfId="8372" xr:uid="{00000000-0005-0000-0000-00009D200000}"/>
    <cellStyle name="Heading 2 37 2 12 3" xfId="8373" xr:uid="{00000000-0005-0000-0000-00009E200000}"/>
    <cellStyle name="Heading 2 37 2 12 4" xfId="8374" xr:uid="{00000000-0005-0000-0000-00009F200000}"/>
    <cellStyle name="Heading 2 37 2 13" xfId="8375" xr:uid="{00000000-0005-0000-0000-0000A0200000}"/>
    <cellStyle name="Heading 2 37 2 13 2" xfId="8376" xr:uid="{00000000-0005-0000-0000-0000A1200000}"/>
    <cellStyle name="Heading 2 37 2 13 2 2" xfId="8377" xr:uid="{00000000-0005-0000-0000-0000A2200000}"/>
    <cellStyle name="Heading 2 37 2 13 2 3" xfId="8378" xr:uid="{00000000-0005-0000-0000-0000A3200000}"/>
    <cellStyle name="Heading 2 37 2 13 3" xfId="8379" xr:uid="{00000000-0005-0000-0000-0000A4200000}"/>
    <cellStyle name="Heading 2 37 2 13 4" xfId="8380" xr:uid="{00000000-0005-0000-0000-0000A5200000}"/>
    <cellStyle name="Heading 2 37 2 14" xfId="8381" xr:uid="{00000000-0005-0000-0000-0000A6200000}"/>
    <cellStyle name="Heading 2 37 2 14 2" xfId="8382" xr:uid="{00000000-0005-0000-0000-0000A7200000}"/>
    <cellStyle name="Heading 2 37 2 14 2 2" xfId="8383" xr:uid="{00000000-0005-0000-0000-0000A8200000}"/>
    <cellStyle name="Heading 2 37 2 14 2 3" xfId="8384" xr:uid="{00000000-0005-0000-0000-0000A9200000}"/>
    <cellStyle name="Heading 2 37 2 14 3" xfId="8385" xr:uid="{00000000-0005-0000-0000-0000AA200000}"/>
    <cellStyle name="Heading 2 37 2 14 4" xfId="8386" xr:uid="{00000000-0005-0000-0000-0000AB200000}"/>
    <cellStyle name="Heading 2 37 2 15" xfId="8387" xr:uid="{00000000-0005-0000-0000-0000AC200000}"/>
    <cellStyle name="Heading 2 37 2 15 2" xfId="8388" xr:uid="{00000000-0005-0000-0000-0000AD200000}"/>
    <cellStyle name="Heading 2 37 2 15 2 2" xfId="8389" xr:uid="{00000000-0005-0000-0000-0000AE200000}"/>
    <cellStyle name="Heading 2 37 2 15 2 3" xfId="8390" xr:uid="{00000000-0005-0000-0000-0000AF200000}"/>
    <cellStyle name="Heading 2 37 2 15 3" xfId="8391" xr:uid="{00000000-0005-0000-0000-0000B0200000}"/>
    <cellStyle name="Heading 2 37 2 15 4" xfId="8392" xr:uid="{00000000-0005-0000-0000-0000B1200000}"/>
    <cellStyle name="Heading 2 37 2 16" xfId="8393" xr:uid="{00000000-0005-0000-0000-0000B2200000}"/>
    <cellStyle name="Heading 2 37 2 16 2" xfId="8394" xr:uid="{00000000-0005-0000-0000-0000B3200000}"/>
    <cellStyle name="Heading 2 37 2 16 2 2" xfId="8395" xr:uid="{00000000-0005-0000-0000-0000B4200000}"/>
    <cellStyle name="Heading 2 37 2 16 2 3" xfId="8396" xr:uid="{00000000-0005-0000-0000-0000B5200000}"/>
    <cellStyle name="Heading 2 37 2 16 3" xfId="8397" xr:uid="{00000000-0005-0000-0000-0000B6200000}"/>
    <cellStyle name="Heading 2 37 2 16 4" xfId="8398" xr:uid="{00000000-0005-0000-0000-0000B7200000}"/>
    <cellStyle name="Heading 2 37 2 17" xfId="8399" xr:uid="{00000000-0005-0000-0000-0000B8200000}"/>
    <cellStyle name="Heading 2 37 2 17 2" xfId="8400" xr:uid="{00000000-0005-0000-0000-0000B9200000}"/>
    <cellStyle name="Heading 2 37 2 17 2 2" xfId="8401" xr:uid="{00000000-0005-0000-0000-0000BA200000}"/>
    <cellStyle name="Heading 2 37 2 17 2 3" xfId="8402" xr:uid="{00000000-0005-0000-0000-0000BB200000}"/>
    <cellStyle name="Heading 2 37 2 17 3" xfId="8403" xr:uid="{00000000-0005-0000-0000-0000BC200000}"/>
    <cellStyle name="Heading 2 37 2 17 4" xfId="8404" xr:uid="{00000000-0005-0000-0000-0000BD200000}"/>
    <cellStyle name="Heading 2 37 2 18" xfId="8405" xr:uid="{00000000-0005-0000-0000-0000BE200000}"/>
    <cellStyle name="Heading 2 37 2 18 2" xfId="8406" xr:uid="{00000000-0005-0000-0000-0000BF200000}"/>
    <cellStyle name="Heading 2 37 2 18 3" xfId="8407" xr:uid="{00000000-0005-0000-0000-0000C0200000}"/>
    <cellStyle name="Heading 2 37 2 18 4" xfId="8408" xr:uid="{00000000-0005-0000-0000-0000C1200000}"/>
    <cellStyle name="Heading 2 37 2 19" xfId="8409" xr:uid="{00000000-0005-0000-0000-0000C2200000}"/>
    <cellStyle name="Heading 2 37 2 2" xfId="8410" xr:uid="{00000000-0005-0000-0000-0000C3200000}"/>
    <cellStyle name="Heading 2 37 2 2 2" xfId="8411" xr:uid="{00000000-0005-0000-0000-0000C4200000}"/>
    <cellStyle name="Heading 2 37 2 2 2 2" xfId="8412" xr:uid="{00000000-0005-0000-0000-0000C5200000}"/>
    <cellStyle name="Heading 2 37 2 2 2 3" xfId="8413" xr:uid="{00000000-0005-0000-0000-0000C6200000}"/>
    <cellStyle name="Heading 2 37 2 2 3" xfId="8414" xr:uid="{00000000-0005-0000-0000-0000C7200000}"/>
    <cellStyle name="Heading 2 37 2 2 4" xfId="8415" xr:uid="{00000000-0005-0000-0000-0000C8200000}"/>
    <cellStyle name="Heading 2 37 2 20" xfId="8416" xr:uid="{00000000-0005-0000-0000-0000C9200000}"/>
    <cellStyle name="Heading 2 37 2 21" xfId="8417" xr:uid="{00000000-0005-0000-0000-0000CA200000}"/>
    <cellStyle name="Heading 2 37 2 3" xfId="8418" xr:uid="{00000000-0005-0000-0000-0000CB200000}"/>
    <cellStyle name="Heading 2 37 2 3 2" xfId="8419" xr:uid="{00000000-0005-0000-0000-0000CC200000}"/>
    <cellStyle name="Heading 2 37 2 3 2 2" xfId="8420" xr:uid="{00000000-0005-0000-0000-0000CD200000}"/>
    <cellStyle name="Heading 2 37 2 3 2 3" xfId="8421" xr:uid="{00000000-0005-0000-0000-0000CE200000}"/>
    <cellStyle name="Heading 2 37 2 3 3" xfId="8422" xr:uid="{00000000-0005-0000-0000-0000CF200000}"/>
    <cellStyle name="Heading 2 37 2 3 4" xfId="8423" xr:uid="{00000000-0005-0000-0000-0000D0200000}"/>
    <cellStyle name="Heading 2 37 2 4" xfId="8424" xr:uid="{00000000-0005-0000-0000-0000D1200000}"/>
    <cellStyle name="Heading 2 37 2 4 2" xfId="8425" xr:uid="{00000000-0005-0000-0000-0000D2200000}"/>
    <cellStyle name="Heading 2 37 2 4 2 2" xfId="8426" xr:uid="{00000000-0005-0000-0000-0000D3200000}"/>
    <cellStyle name="Heading 2 37 2 4 2 3" xfId="8427" xr:uid="{00000000-0005-0000-0000-0000D4200000}"/>
    <cellStyle name="Heading 2 37 2 4 3" xfId="8428" xr:uid="{00000000-0005-0000-0000-0000D5200000}"/>
    <cellStyle name="Heading 2 37 2 4 4" xfId="8429" xr:uid="{00000000-0005-0000-0000-0000D6200000}"/>
    <cellStyle name="Heading 2 37 2 5" xfId="8430" xr:uid="{00000000-0005-0000-0000-0000D7200000}"/>
    <cellStyle name="Heading 2 37 2 5 2" xfId="8431" xr:uid="{00000000-0005-0000-0000-0000D8200000}"/>
    <cellStyle name="Heading 2 37 2 5 2 2" xfId="8432" xr:uid="{00000000-0005-0000-0000-0000D9200000}"/>
    <cellStyle name="Heading 2 37 2 5 2 3" xfId="8433" xr:uid="{00000000-0005-0000-0000-0000DA200000}"/>
    <cellStyle name="Heading 2 37 2 5 3" xfId="8434" xr:uid="{00000000-0005-0000-0000-0000DB200000}"/>
    <cellStyle name="Heading 2 37 2 5 4" xfId="8435" xr:uid="{00000000-0005-0000-0000-0000DC200000}"/>
    <cellStyle name="Heading 2 37 2 6" xfId="8436" xr:uid="{00000000-0005-0000-0000-0000DD200000}"/>
    <cellStyle name="Heading 2 37 2 6 2" xfId="8437" xr:uid="{00000000-0005-0000-0000-0000DE200000}"/>
    <cellStyle name="Heading 2 37 2 6 2 2" xfId="8438" xr:uid="{00000000-0005-0000-0000-0000DF200000}"/>
    <cellStyle name="Heading 2 37 2 6 2 3" xfId="8439" xr:uid="{00000000-0005-0000-0000-0000E0200000}"/>
    <cellStyle name="Heading 2 37 2 6 3" xfId="8440" xr:uid="{00000000-0005-0000-0000-0000E1200000}"/>
    <cellStyle name="Heading 2 37 2 6 4" xfId="8441" xr:uid="{00000000-0005-0000-0000-0000E2200000}"/>
    <cellStyle name="Heading 2 37 2 7" xfId="8442" xr:uid="{00000000-0005-0000-0000-0000E3200000}"/>
    <cellStyle name="Heading 2 37 2 7 2" xfId="8443" xr:uid="{00000000-0005-0000-0000-0000E4200000}"/>
    <cellStyle name="Heading 2 37 2 7 2 2" xfId="8444" xr:uid="{00000000-0005-0000-0000-0000E5200000}"/>
    <cellStyle name="Heading 2 37 2 7 2 3" xfId="8445" xr:uid="{00000000-0005-0000-0000-0000E6200000}"/>
    <cellStyle name="Heading 2 37 2 7 3" xfId="8446" xr:uid="{00000000-0005-0000-0000-0000E7200000}"/>
    <cellStyle name="Heading 2 37 2 7 4" xfId="8447" xr:uid="{00000000-0005-0000-0000-0000E8200000}"/>
    <cellStyle name="Heading 2 37 2 8" xfId="8448" xr:uid="{00000000-0005-0000-0000-0000E9200000}"/>
    <cellStyle name="Heading 2 37 2 8 2" xfId="8449" xr:uid="{00000000-0005-0000-0000-0000EA200000}"/>
    <cellStyle name="Heading 2 37 2 8 2 2" xfId="8450" xr:uid="{00000000-0005-0000-0000-0000EB200000}"/>
    <cellStyle name="Heading 2 37 2 8 2 3" xfId="8451" xr:uid="{00000000-0005-0000-0000-0000EC200000}"/>
    <cellStyle name="Heading 2 37 2 8 3" xfId="8452" xr:uid="{00000000-0005-0000-0000-0000ED200000}"/>
    <cellStyle name="Heading 2 37 2 8 4" xfId="8453" xr:uid="{00000000-0005-0000-0000-0000EE200000}"/>
    <cellStyle name="Heading 2 37 2 9" xfId="8454" xr:uid="{00000000-0005-0000-0000-0000EF200000}"/>
    <cellStyle name="Heading 2 37 2 9 2" xfId="8455" xr:uid="{00000000-0005-0000-0000-0000F0200000}"/>
    <cellStyle name="Heading 2 37 2 9 2 2" xfId="8456" xr:uid="{00000000-0005-0000-0000-0000F1200000}"/>
    <cellStyle name="Heading 2 37 2 9 2 3" xfId="8457" xr:uid="{00000000-0005-0000-0000-0000F2200000}"/>
    <cellStyle name="Heading 2 37 2 9 3" xfId="8458" xr:uid="{00000000-0005-0000-0000-0000F3200000}"/>
    <cellStyle name="Heading 2 37 2 9 4" xfId="8459" xr:uid="{00000000-0005-0000-0000-0000F4200000}"/>
    <cellStyle name="Heading 2 37 3" xfId="8460" xr:uid="{00000000-0005-0000-0000-0000F5200000}"/>
    <cellStyle name="Heading 2 37 4" xfId="8461" xr:uid="{00000000-0005-0000-0000-0000F6200000}"/>
    <cellStyle name="Heading 2 38" xfId="8462" xr:uid="{00000000-0005-0000-0000-0000F7200000}"/>
    <cellStyle name="Heading 2 38 2" xfId="8463" xr:uid="{00000000-0005-0000-0000-0000F8200000}"/>
    <cellStyle name="Heading 2 38 2 10" xfId="8464" xr:uid="{00000000-0005-0000-0000-0000F9200000}"/>
    <cellStyle name="Heading 2 38 2 10 2" xfId="8465" xr:uid="{00000000-0005-0000-0000-0000FA200000}"/>
    <cellStyle name="Heading 2 38 2 10 2 2" xfId="8466" xr:uid="{00000000-0005-0000-0000-0000FB200000}"/>
    <cellStyle name="Heading 2 38 2 10 2 3" xfId="8467" xr:uid="{00000000-0005-0000-0000-0000FC200000}"/>
    <cellStyle name="Heading 2 38 2 10 3" xfId="8468" xr:uid="{00000000-0005-0000-0000-0000FD200000}"/>
    <cellStyle name="Heading 2 38 2 10 4" xfId="8469" xr:uid="{00000000-0005-0000-0000-0000FE200000}"/>
    <cellStyle name="Heading 2 38 2 11" xfId="8470" xr:uid="{00000000-0005-0000-0000-0000FF200000}"/>
    <cellStyle name="Heading 2 38 2 11 2" xfId="8471" xr:uid="{00000000-0005-0000-0000-000000210000}"/>
    <cellStyle name="Heading 2 38 2 11 2 2" xfId="8472" xr:uid="{00000000-0005-0000-0000-000001210000}"/>
    <cellStyle name="Heading 2 38 2 11 2 3" xfId="8473" xr:uid="{00000000-0005-0000-0000-000002210000}"/>
    <cellStyle name="Heading 2 38 2 11 3" xfId="8474" xr:uid="{00000000-0005-0000-0000-000003210000}"/>
    <cellStyle name="Heading 2 38 2 11 4" xfId="8475" xr:uid="{00000000-0005-0000-0000-000004210000}"/>
    <cellStyle name="Heading 2 38 2 12" xfId="8476" xr:uid="{00000000-0005-0000-0000-000005210000}"/>
    <cellStyle name="Heading 2 38 2 12 2" xfId="8477" xr:uid="{00000000-0005-0000-0000-000006210000}"/>
    <cellStyle name="Heading 2 38 2 12 2 2" xfId="8478" xr:uid="{00000000-0005-0000-0000-000007210000}"/>
    <cellStyle name="Heading 2 38 2 12 2 3" xfId="8479" xr:uid="{00000000-0005-0000-0000-000008210000}"/>
    <cellStyle name="Heading 2 38 2 12 3" xfId="8480" xr:uid="{00000000-0005-0000-0000-000009210000}"/>
    <cellStyle name="Heading 2 38 2 12 4" xfId="8481" xr:uid="{00000000-0005-0000-0000-00000A210000}"/>
    <cellStyle name="Heading 2 38 2 13" xfId="8482" xr:uid="{00000000-0005-0000-0000-00000B210000}"/>
    <cellStyle name="Heading 2 38 2 13 2" xfId="8483" xr:uid="{00000000-0005-0000-0000-00000C210000}"/>
    <cellStyle name="Heading 2 38 2 13 2 2" xfId="8484" xr:uid="{00000000-0005-0000-0000-00000D210000}"/>
    <cellStyle name="Heading 2 38 2 13 2 3" xfId="8485" xr:uid="{00000000-0005-0000-0000-00000E210000}"/>
    <cellStyle name="Heading 2 38 2 13 3" xfId="8486" xr:uid="{00000000-0005-0000-0000-00000F210000}"/>
    <cellStyle name="Heading 2 38 2 13 4" xfId="8487" xr:uid="{00000000-0005-0000-0000-000010210000}"/>
    <cellStyle name="Heading 2 38 2 14" xfId="8488" xr:uid="{00000000-0005-0000-0000-000011210000}"/>
    <cellStyle name="Heading 2 38 2 14 2" xfId="8489" xr:uid="{00000000-0005-0000-0000-000012210000}"/>
    <cellStyle name="Heading 2 38 2 14 2 2" xfId="8490" xr:uid="{00000000-0005-0000-0000-000013210000}"/>
    <cellStyle name="Heading 2 38 2 14 2 3" xfId="8491" xr:uid="{00000000-0005-0000-0000-000014210000}"/>
    <cellStyle name="Heading 2 38 2 14 3" xfId="8492" xr:uid="{00000000-0005-0000-0000-000015210000}"/>
    <cellStyle name="Heading 2 38 2 14 4" xfId="8493" xr:uid="{00000000-0005-0000-0000-000016210000}"/>
    <cellStyle name="Heading 2 38 2 15" xfId="8494" xr:uid="{00000000-0005-0000-0000-000017210000}"/>
    <cellStyle name="Heading 2 38 2 15 2" xfId="8495" xr:uid="{00000000-0005-0000-0000-000018210000}"/>
    <cellStyle name="Heading 2 38 2 15 2 2" xfId="8496" xr:uid="{00000000-0005-0000-0000-000019210000}"/>
    <cellStyle name="Heading 2 38 2 15 2 3" xfId="8497" xr:uid="{00000000-0005-0000-0000-00001A210000}"/>
    <cellStyle name="Heading 2 38 2 15 3" xfId="8498" xr:uid="{00000000-0005-0000-0000-00001B210000}"/>
    <cellStyle name="Heading 2 38 2 15 4" xfId="8499" xr:uid="{00000000-0005-0000-0000-00001C210000}"/>
    <cellStyle name="Heading 2 38 2 16" xfId="8500" xr:uid="{00000000-0005-0000-0000-00001D210000}"/>
    <cellStyle name="Heading 2 38 2 16 2" xfId="8501" xr:uid="{00000000-0005-0000-0000-00001E210000}"/>
    <cellStyle name="Heading 2 38 2 16 2 2" xfId="8502" xr:uid="{00000000-0005-0000-0000-00001F210000}"/>
    <cellStyle name="Heading 2 38 2 16 2 3" xfId="8503" xr:uid="{00000000-0005-0000-0000-000020210000}"/>
    <cellStyle name="Heading 2 38 2 16 3" xfId="8504" xr:uid="{00000000-0005-0000-0000-000021210000}"/>
    <cellStyle name="Heading 2 38 2 16 4" xfId="8505" xr:uid="{00000000-0005-0000-0000-000022210000}"/>
    <cellStyle name="Heading 2 38 2 17" xfId="8506" xr:uid="{00000000-0005-0000-0000-000023210000}"/>
    <cellStyle name="Heading 2 38 2 17 2" xfId="8507" xr:uid="{00000000-0005-0000-0000-000024210000}"/>
    <cellStyle name="Heading 2 38 2 17 2 2" xfId="8508" xr:uid="{00000000-0005-0000-0000-000025210000}"/>
    <cellStyle name="Heading 2 38 2 17 2 3" xfId="8509" xr:uid="{00000000-0005-0000-0000-000026210000}"/>
    <cellStyle name="Heading 2 38 2 17 3" xfId="8510" xr:uid="{00000000-0005-0000-0000-000027210000}"/>
    <cellStyle name="Heading 2 38 2 17 4" xfId="8511" xr:uid="{00000000-0005-0000-0000-000028210000}"/>
    <cellStyle name="Heading 2 38 2 18" xfId="8512" xr:uid="{00000000-0005-0000-0000-000029210000}"/>
    <cellStyle name="Heading 2 38 2 18 2" xfId="8513" xr:uid="{00000000-0005-0000-0000-00002A210000}"/>
    <cellStyle name="Heading 2 38 2 18 3" xfId="8514" xr:uid="{00000000-0005-0000-0000-00002B210000}"/>
    <cellStyle name="Heading 2 38 2 18 4" xfId="8515" xr:uid="{00000000-0005-0000-0000-00002C210000}"/>
    <cellStyle name="Heading 2 38 2 19" xfId="8516" xr:uid="{00000000-0005-0000-0000-00002D210000}"/>
    <cellStyle name="Heading 2 38 2 2" xfId="8517" xr:uid="{00000000-0005-0000-0000-00002E210000}"/>
    <cellStyle name="Heading 2 38 2 2 2" xfId="8518" xr:uid="{00000000-0005-0000-0000-00002F210000}"/>
    <cellStyle name="Heading 2 38 2 2 2 2" xfId="8519" xr:uid="{00000000-0005-0000-0000-000030210000}"/>
    <cellStyle name="Heading 2 38 2 2 2 3" xfId="8520" xr:uid="{00000000-0005-0000-0000-000031210000}"/>
    <cellStyle name="Heading 2 38 2 2 3" xfId="8521" xr:uid="{00000000-0005-0000-0000-000032210000}"/>
    <cellStyle name="Heading 2 38 2 2 4" xfId="8522" xr:uid="{00000000-0005-0000-0000-000033210000}"/>
    <cellStyle name="Heading 2 38 2 20" xfId="8523" xr:uid="{00000000-0005-0000-0000-000034210000}"/>
    <cellStyle name="Heading 2 38 2 21" xfId="8524" xr:uid="{00000000-0005-0000-0000-000035210000}"/>
    <cellStyle name="Heading 2 38 2 3" xfId="8525" xr:uid="{00000000-0005-0000-0000-000036210000}"/>
    <cellStyle name="Heading 2 38 2 3 2" xfId="8526" xr:uid="{00000000-0005-0000-0000-000037210000}"/>
    <cellStyle name="Heading 2 38 2 3 2 2" xfId="8527" xr:uid="{00000000-0005-0000-0000-000038210000}"/>
    <cellStyle name="Heading 2 38 2 3 2 3" xfId="8528" xr:uid="{00000000-0005-0000-0000-000039210000}"/>
    <cellStyle name="Heading 2 38 2 3 3" xfId="8529" xr:uid="{00000000-0005-0000-0000-00003A210000}"/>
    <cellStyle name="Heading 2 38 2 3 4" xfId="8530" xr:uid="{00000000-0005-0000-0000-00003B210000}"/>
    <cellStyle name="Heading 2 38 2 4" xfId="8531" xr:uid="{00000000-0005-0000-0000-00003C210000}"/>
    <cellStyle name="Heading 2 38 2 4 2" xfId="8532" xr:uid="{00000000-0005-0000-0000-00003D210000}"/>
    <cellStyle name="Heading 2 38 2 4 2 2" xfId="8533" xr:uid="{00000000-0005-0000-0000-00003E210000}"/>
    <cellStyle name="Heading 2 38 2 4 2 3" xfId="8534" xr:uid="{00000000-0005-0000-0000-00003F210000}"/>
    <cellStyle name="Heading 2 38 2 4 3" xfId="8535" xr:uid="{00000000-0005-0000-0000-000040210000}"/>
    <cellStyle name="Heading 2 38 2 4 4" xfId="8536" xr:uid="{00000000-0005-0000-0000-000041210000}"/>
    <cellStyle name="Heading 2 38 2 5" xfId="8537" xr:uid="{00000000-0005-0000-0000-000042210000}"/>
    <cellStyle name="Heading 2 38 2 5 2" xfId="8538" xr:uid="{00000000-0005-0000-0000-000043210000}"/>
    <cellStyle name="Heading 2 38 2 5 2 2" xfId="8539" xr:uid="{00000000-0005-0000-0000-000044210000}"/>
    <cellStyle name="Heading 2 38 2 5 2 3" xfId="8540" xr:uid="{00000000-0005-0000-0000-000045210000}"/>
    <cellStyle name="Heading 2 38 2 5 3" xfId="8541" xr:uid="{00000000-0005-0000-0000-000046210000}"/>
    <cellStyle name="Heading 2 38 2 5 4" xfId="8542" xr:uid="{00000000-0005-0000-0000-000047210000}"/>
    <cellStyle name="Heading 2 38 2 6" xfId="8543" xr:uid="{00000000-0005-0000-0000-000048210000}"/>
    <cellStyle name="Heading 2 38 2 6 2" xfId="8544" xr:uid="{00000000-0005-0000-0000-000049210000}"/>
    <cellStyle name="Heading 2 38 2 6 2 2" xfId="8545" xr:uid="{00000000-0005-0000-0000-00004A210000}"/>
    <cellStyle name="Heading 2 38 2 6 2 3" xfId="8546" xr:uid="{00000000-0005-0000-0000-00004B210000}"/>
    <cellStyle name="Heading 2 38 2 6 3" xfId="8547" xr:uid="{00000000-0005-0000-0000-00004C210000}"/>
    <cellStyle name="Heading 2 38 2 6 4" xfId="8548" xr:uid="{00000000-0005-0000-0000-00004D210000}"/>
    <cellStyle name="Heading 2 38 2 7" xfId="8549" xr:uid="{00000000-0005-0000-0000-00004E210000}"/>
    <cellStyle name="Heading 2 38 2 7 2" xfId="8550" xr:uid="{00000000-0005-0000-0000-00004F210000}"/>
    <cellStyle name="Heading 2 38 2 7 2 2" xfId="8551" xr:uid="{00000000-0005-0000-0000-000050210000}"/>
    <cellStyle name="Heading 2 38 2 7 2 3" xfId="8552" xr:uid="{00000000-0005-0000-0000-000051210000}"/>
    <cellStyle name="Heading 2 38 2 7 3" xfId="8553" xr:uid="{00000000-0005-0000-0000-000052210000}"/>
    <cellStyle name="Heading 2 38 2 7 4" xfId="8554" xr:uid="{00000000-0005-0000-0000-000053210000}"/>
    <cellStyle name="Heading 2 38 2 8" xfId="8555" xr:uid="{00000000-0005-0000-0000-000054210000}"/>
    <cellStyle name="Heading 2 38 2 8 2" xfId="8556" xr:uid="{00000000-0005-0000-0000-000055210000}"/>
    <cellStyle name="Heading 2 38 2 8 2 2" xfId="8557" xr:uid="{00000000-0005-0000-0000-000056210000}"/>
    <cellStyle name="Heading 2 38 2 8 2 3" xfId="8558" xr:uid="{00000000-0005-0000-0000-000057210000}"/>
    <cellStyle name="Heading 2 38 2 8 3" xfId="8559" xr:uid="{00000000-0005-0000-0000-000058210000}"/>
    <cellStyle name="Heading 2 38 2 8 4" xfId="8560" xr:uid="{00000000-0005-0000-0000-000059210000}"/>
    <cellStyle name="Heading 2 38 2 9" xfId="8561" xr:uid="{00000000-0005-0000-0000-00005A210000}"/>
    <cellStyle name="Heading 2 38 2 9 2" xfId="8562" xr:uid="{00000000-0005-0000-0000-00005B210000}"/>
    <cellStyle name="Heading 2 38 2 9 2 2" xfId="8563" xr:uid="{00000000-0005-0000-0000-00005C210000}"/>
    <cellStyle name="Heading 2 38 2 9 2 3" xfId="8564" xr:uid="{00000000-0005-0000-0000-00005D210000}"/>
    <cellStyle name="Heading 2 38 2 9 3" xfId="8565" xr:uid="{00000000-0005-0000-0000-00005E210000}"/>
    <cellStyle name="Heading 2 38 2 9 4" xfId="8566" xr:uid="{00000000-0005-0000-0000-00005F210000}"/>
    <cellStyle name="Heading 2 38 3" xfId="8567" xr:uid="{00000000-0005-0000-0000-000060210000}"/>
    <cellStyle name="Heading 2 38 4" xfId="8568" xr:uid="{00000000-0005-0000-0000-000061210000}"/>
    <cellStyle name="Heading 2 39" xfId="8569" xr:uid="{00000000-0005-0000-0000-000062210000}"/>
    <cellStyle name="Heading 2 39 2" xfId="8570" xr:uid="{00000000-0005-0000-0000-000063210000}"/>
    <cellStyle name="Heading 2 39 2 10" xfId="8571" xr:uid="{00000000-0005-0000-0000-000064210000}"/>
    <cellStyle name="Heading 2 39 2 10 2" xfId="8572" xr:uid="{00000000-0005-0000-0000-000065210000}"/>
    <cellStyle name="Heading 2 39 2 10 2 2" xfId="8573" xr:uid="{00000000-0005-0000-0000-000066210000}"/>
    <cellStyle name="Heading 2 39 2 10 2 3" xfId="8574" xr:uid="{00000000-0005-0000-0000-000067210000}"/>
    <cellStyle name="Heading 2 39 2 10 3" xfId="8575" xr:uid="{00000000-0005-0000-0000-000068210000}"/>
    <cellStyle name="Heading 2 39 2 10 4" xfId="8576" xr:uid="{00000000-0005-0000-0000-000069210000}"/>
    <cellStyle name="Heading 2 39 2 11" xfId="8577" xr:uid="{00000000-0005-0000-0000-00006A210000}"/>
    <cellStyle name="Heading 2 39 2 11 2" xfId="8578" xr:uid="{00000000-0005-0000-0000-00006B210000}"/>
    <cellStyle name="Heading 2 39 2 11 2 2" xfId="8579" xr:uid="{00000000-0005-0000-0000-00006C210000}"/>
    <cellStyle name="Heading 2 39 2 11 2 3" xfId="8580" xr:uid="{00000000-0005-0000-0000-00006D210000}"/>
    <cellStyle name="Heading 2 39 2 11 3" xfId="8581" xr:uid="{00000000-0005-0000-0000-00006E210000}"/>
    <cellStyle name="Heading 2 39 2 11 4" xfId="8582" xr:uid="{00000000-0005-0000-0000-00006F210000}"/>
    <cellStyle name="Heading 2 39 2 12" xfId="8583" xr:uid="{00000000-0005-0000-0000-000070210000}"/>
    <cellStyle name="Heading 2 39 2 12 2" xfId="8584" xr:uid="{00000000-0005-0000-0000-000071210000}"/>
    <cellStyle name="Heading 2 39 2 12 2 2" xfId="8585" xr:uid="{00000000-0005-0000-0000-000072210000}"/>
    <cellStyle name="Heading 2 39 2 12 2 3" xfId="8586" xr:uid="{00000000-0005-0000-0000-000073210000}"/>
    <cellStyle name="Heading 2 39 2 12 3" xfId="8587" xr:uid="{00000000-0005-0000-0000-000074210000}"/>
    <cellStyle name="Heading 2 39 2 12 4" xfId="8588" xr:uid="{00000000-0005-0000-0000-000075210000}"/>
    <cellStyle name="Heading 2 39 2 13" xfId="8589" xr:uid="{00000000-0005-0000-0000-000076210000}"/>
    <cellStyle name="Heading 2 39 2 13 2" xfId="8590" xr:uid="{00000000-0005-0000-0000-000077210000}"/>
    <cellStyle name="Heading 2 39 2 13 2 2" xfId="8591" xr:uid="{00000000-0005-0000-0000-000078210000}"/>
    <cellStyle name="Heading 2 39 2 13 2 3" xfId="8592" xr:uid="{00000000-0005-0000-0000-000079210000}"/>
    <cellStyle name="Heading 2 39 2 13 3" xfId="8593" xr:uid="{00000000-0005-0000-0000-00007A210000}"/>
    <cellStyle name="Heading 2 39 2 13 4" xfId="8594" xr:uid="{00000000-0005-0000-0000-00007B210000}"/>
    <cellStyle name="Heading 2 39 2 14" xfId="8595" xr:uid="{00000000-0005-0000-0000-00007C210000}"/>
    <cellStyle name="Heading 2 39 2 14 2" xfId="8596" xr:uid="{00000000-0005-0000-0000-00007D210000}"/>
    <cellStyle name="Heading 2 39 2 14 2 2" xfId="8597" xr:uid="{00000000-0005-0000-0000-00007E210000}"/>
    <cellStyle name="Heading 2 39 2 14 2 3" xfId="8598" xr:uid="{00000000-0005-0000-0000-00007F210000}"/>
    <cellStyle name="Heading 2 39 2 14 3" xfId="8599" xr:uid="{00000000-0005-0000-0000-000080210000}"/>
    <cellStyle name="Heading 2 39 2 14 4" xfId="8600" xr:uid="{00000000-0005-0000-0000-000081210000}"/>
    <cellStyle name="Heading 2 39 2 15" xfId="8601" xr:uid="{00000000-0005-0000-0000-000082210000}"/>
    <cellStyle name="Heading 2 39 2 15 2" xfId="8602" xr:uid="{00000000-0005-0000-0000-000083210000}"/>
    <cellStyle name="Heading 2 39 2 15 2 2" xfId="8603" xr:uid="{00000000-0005-0000-0000-000084210000}"/>
    <cellStyle name="Heading 2 39 2 15 2 3" xfId="8604" xr:uid="{00000000-0005-0000-0000-000085210000}"/>
    <cellStyle name="Heading 2 39 2 15 3" xfId="8605" xr:uid="{00000000-0005-0000-0000-000086210000}"/>
    <cellStyle name="Heading 2 39 2 15 4" xfId="8606" xr:uid="{00000000-0005-0000-0000-000087210000}"/>
    <cellStyle name="Heading 2 39 2 16" xfId="8607" xr:uid="{00000000-0005-0000-0000-000088210000}"/>
    <cellStyle name="Heading 2 39 2 16 2" xfId="8608" xr:uid="{00000000-0005-0000-0000-000089210000}"/>
    <cellStyle name="Heading 2 39 2 16 2 2" xfId="8609" xr:uid="{00000000-0005-0000-0000-00008A210000}"/>
    <cellStyle name="Heading 2 39 2 16 2 3" xfId="8610" xr:uid="{00000000-0005-0000-0000-00008B210000}"/>
    <cellStyle name="Heading 2 39 2 16 3" xfId="8611" xr:uid="{00000000-0005-0000-0000-00008C210000}"/>
    <cellStyle name="Heading 2 39 2 16 4" xfId="8612" xr:uid="{00000000-0005-0000-0000-00008D210000}"/>
    <cellStyle name="Heading 2 39 2 17" xfId="8613" xr:uid="{00000000-0005-0000-0000-00008E210000}"/>
    <cellStyle name="Heading 2 39 2 17 2" xfId="8614" xr:uid="{00000000-0005-0000-0000-00008F210000}"/>
    <cellStyle name="Heading 2 39 2 17 2 2" xfId="8615" xr:uid="{00000000-0005-0000-0000-000090210000}"/>
    <cellStyle name="Heading 2 39 2 17 2 3" xfId="8616" xr:uid="{00000000-0005-0000-0000-000091210000}"/>
    <cellStyle name="Heading 2 39 2 17 3" xfId="8617" xr:uid="{00000000-0005-0000-0000-000092210000}"/>
    <cellStyle name="Heading 2 39 2 17 4" xfId="8618" xr:uid="{00000000-0005-0000-0000-000093210000}"/>
    <cellStyle name="Heading 2 39 2 18" xfId="8619" xr:uid="{00000000-0005-0000-0000-000094210000}"/>
    <cellStyle name="Heading 2 39 2 18 2" xfId="8620" xr:uid="{00000000-0005-0000-0000-000095210000}"/>
    <cellStyle name="Heading 2 39 2 18 3" xfId="8621" xr:uid="{00000000-0005-0000-0000-000096210000}"/>
    <cellStyle name="Heading 2 39 2 18 4" xfId="8622" xr:uid="{00000000-0005-0000-0000-000097210000}"/>
    <cellStyle name="Heading 2 39 2 19" xfId="8623" xr:uid="{00000000-0005-0000-0000-000098210000}"/>
    <cellStyle name="Heading 2 39 2 2" xfId="8624" xr:uid="{00000000-0005-0000-0000-000099210000}"/>
    <cellStyle name="Heading 2 39 2 2 2" xfId="8625" xr:uid="{00000000-0005-0000-0000-00009A210000}"/>
    <cellStyle name="Heading 2 39 2 2 2 2" xfId="8626" xr:uid="{00000000-0005-0000-0000-00009B210000}"/>
    <cellStyle name="Heading 2 39 2 2 2 3" xfId="8627" xr:uid="{00000000-0005-0000-0000-00009C210000}"/>
    <cellStyle name="Heading 2 39 2 2 3" xfId="8628" xr:uid="{00000000-0005-0000-0000-00009D210000}"/>
    <cellStyle name="Heading 2 39 2 2 4" xfId="8629" xr:uid="{00000000-0005-0000-0000-00009E210000}"/>
    <cellStyle name="Heading 2 39 2 20" xfId="8630" xr:uid="{00000000-0005-0000-0000-00009F210000}"/>
    <cellStyle name="Heading 2 39 2 21" xfId="8631" xr:uid="{00000000-0005-0000-0000-0000A0210000}"/>
    <cellStyle name="Heading 2 39 2 3" xfId="8632" xr:uid="{00000000-0005-0000-0000-0000A1210000}"/>
    <cellStyle name="Heading 2 39 2 3 2" xfId="8633" xr:uid="{00000000-0005-0000-0000-0000A2210000}"/>
    <cellStyle name="Heading 2 39 2 3 2 2" xfId="8634" xr:uid="{00000000-0005-0000-0000-0000A3210000}"/>
    <cellStyle name="Heading 2 39 2 3 2 3" xfId="8635" xr:uid="{00000000-0005-0000-0000-0000A4210000}"/>
    <cellStyle name="Heading 2 39 2 3 3" xfId="8636" xr:uid="{00000000-0005-0000-0000-0000A5210000}"/>
    <cellStyle name="Heading 2 39 2 3 4" xfId="8637" xr:uid="{00000000-0005-0000-0000-0000A6210000}"/>
    <cellStyle name="Heading 2 39 2 4" xfId="8638" xr:uid="{00000000-0005-0000-0000-0000A7210000}"/>
    <cellStyle name="Heading 2 39 2 4 2" xfId="8639" xr:uid="{00000000-0005-0000-0000-0000A8210000}"/>
    <cellStyle name="Heading 2 39 2 4 2 2" xfId="8640" xr:uid="{00000000-0005-0000-0000-0000A9210000}"/>
    <cellStyle name="Heading 2 39 2 4 2 3" xfId="8641" xr:uid="{00000000-0005-0000-0000-0000AA210000}"/>
    <cellStyle name="Heading 2 39 2 4 3" xfId="8642" xr:uid="{00000000-0005-0000-0000-0000AB210000}"/>
    <cellStyle name="Heading 2 39 2 4 4" xfId="8643" xr:uid="{00000000-0005-0000-0000-0000AC210000}"/>
    <cellStyle name="Heading 2 39 2 5" xfId="8644" xr:uid="{00000000-0005-0000-0000-0000AD210000}"/>
    <cellStyle name="Heading 2 39 2 5 2" xfId="8645" xr:uid="{00000000-0005-0000-0000-0000AE210000}"/>
    <cellStyle name="Heading 2 39 2 5 2 2" xfId="8646" xr:uid="{00000000-0005-0000-0000-0000AF210000}"/>
    <cellStyle name="Heading 2 39 2 5 2 3" xfId="8647" xr:uid="{00000000-0005-0000-0000-0000B0210000}"/>
    <cellStyle name="Heading 2 39 2 5 3" xfId="8648" xr:uid="{00000000-0005-0000-0000-0000B1210000}"/>
    <cellStyle name="Heading 2 39 2 5 4" xfId="8649" xr:uid="{00000000-0005-0000-0000-0000B2210000}"/>
    <cellStyle name="Heading 2 39 2 6" xfId="8650" xr:uid="{00000000-0005-0000-0000-0000B3210000}"/>
    <cellStyle name="Heading 2 39 2 6 2" xfId="8651" xr:uid="{00000000-0005-0000-0000-0000B4210000}"/>
    <cellStyle name="Heading 2 39 2 6 2 2" xfId="8652" xr:uid="{00000000-0005-0000-0000-0000B5210000}"/>
    <cellStyle name="Heading 2 39 2 6 2 3" xfId="8653" xr:uid="{00000000-0005-0000-0000-0000B6210000}"/>
    <cellStyle name="Heading 2 39 2 6 3" xfId="8654" xr:uid="{00000000-0005-0000-0000-0000B7210000}"/>
    <cellStyle name="Heading 2 39 2 6 4" xfId="8655" xr:uid="{00000000-0005-0000-0000-0000B8210000}"/>
    <cellStyle name="Heading 2 39 2 7" xfId="8656" xr:uid="{00000000-0005-0000-0000-0000B9210000}"/>
    <cellStyle name="Heading 2 39 2 7 2" xfId="8657" xr:uid="{00000000-0005-0000-0000-0000BA210000}"/>
    <cellStyle name="Heading 2 39 2 7 2 2" xfId="8658" xr:uid="{00000000-0005-0000-0000-0000BB210000}"/>
    <cellStyle name="Heading 2 39 2 7 2 3" xfId="8659" xr:uid="{00000000-0005-0000-0000-0000BC210000}"/>
    <cellStyle name="Heading 2 39 2 7 3" xfId="8660" xr:uid="{00000000-0005-0000-0000-0000BD210000}"/>
    <cellStyle name="Heading 2 39 2 7 4" xfId="8661" xr:uid="{00000000-0005-0000-0000-0000BE210000}"/>
    <cellStyle name="Heading 2 39 2 8" xfId="8662" xr:uid="{00000000-0005-0000-0000-0000BF210000}"/>
    <cellStyle name="Heading 2 39 2 8 2" xfId="8663" xr:uid="{00000000-0005-0000-0000-0000C0210000}"/>
    <cellStyle name="Heading 2 39 2 8 2 2" xfId="8664" xr:uid="{00000000-0005-0000-0000-0000C1210000}"/>
    <cellStyle name="Heading 2 39 2 8 2 3" xfId="8665" xr:uid="{00000000-0005-0000-0000-0000C2210000}"/>
    <cellStyle name="Heading 2 39 2 8 3" xfId="8666" xr:uid="{00000000-0005-0000-0000-0000C3210000}"/>
    <cellStyle name="Heading 2 39 2 8 4" xfId="8667" xr:uid="{00000000-0005-0000-0000-0000C4210000}"/>
    <cellStyle name="Heading 2 39 2 9" xfId="8668" xr:uid="{00000000-0005-0000-0000-0000C5210000}"/>
    <cellStyle name="Heading 2 39 2 9 2" xfId="8669" xr:uid="{00000000-0005-0000-0000-0000C6210000}"/>
    <cellStyle name="Heading 2 39 2 9 2 2" xfId="8670" xr:uid="{00000000-0005-0000-0000-0000C7210000}"/>
    <cellStyle name="Heading 2 39 2 9 2 3" xfId="8671" xr:uid="{00000000-0005-0000-0000-0000C8210000}"/>
    <cellStyle name="Heading 2 39 2 9 3" xfId="8672" xr:uid="{00000000-0005-0000-0000-0000C9210000}"/>
    <cellStyle name="Heading 2 39 2 9 4" xfId="8673" xr:uid="{00000000-0005-0000-0000-0000CA210000}"/>
    <cellStyle name="Heading 2 39 3" xfId="8674" xr:uid="{00000000-0005-0000-0000-0000CB210000}"/>
    <cellStyle name="Heading 2 39 4" xfId="8675" xr:uid="{00000000-0005-0000-0000-0000CC210000}"/>
    <cellStyle name="Heading 2 4" xfId="8676" xr:uid="{00000000-0005-0000-0000-0000CD210000}"/>
    <cellStyle name="Heading 2 4 2" xfId="8677" xr:uid="{00000000-0005-0000-0000-0000CE210000}"/>
    <cellStyle name="Heading 2 4 2 10" xfId="8678" xr:uid="{00000000-0005-0000-0000-0000CF210000}"/>
    <cellStyle name="Heading 2 4 2 10 2" xfId="8679" xr:uid="{00000000-0005-0000-0000-0000D0210000}"/>
    <cellStyle name="Heading 2 4 2 10 2 2" xfId="8680" xr:uid="{00000000-0005-0000-0000-0000D1210000}"/>
    <cellStyle name="Heading 2 4 2 10 2 3" xfId="8681" xr:uid="{00000000-0005-0000-0000-0000D2210000}"/>
    <cellStyle name="Heading 2 4 2 10 3" xfId="8682" xr:uid="{00000000-0005-0000-0000-0000D3210000}"/>
    <cellStyle name="Heading 2 4 2 10 4" xfId="8683" xr:uid="{00000000-0005-0000-0000-0000D4210000}"/>
    <cellStyle name="Heading 2 4 2 11" xfId="8684" xr:uid="{00000000-0005-0000-0000-0000D5210000}"/>
    <cellStyle name="Heading 2 4 2 11 2" xfId="8685" xr:uid="{00000000-0005-0000-0000-0000D6210000}"/>
    <cellStyle name="Heading 2 4 2 11 2 2" xfId="8686" xr:uid="{00000000-0005-0000-0000-0000D7210000}"/>
    <cellStyle name="Heading 2 4 2 11 2 3" xfId="8687" xr:uid="{00000000-0005-0000-0000-0000D8210000}"/>
    <cellStyle name="Heading 2 4 2 11 3" xfId="8688" xr:uid="{00000000-0005-0000-0000-0000D9210000}"/>
    <cellStyle name="Heading 2 4 2 11 4" xfId="8689" xr:uid="{00000000-0005-0000-0000-0000DA210000}"/>
    <cellStyle name="Heading 2 4 2 12" xfId="8690" xr:uid="{00000000-0005-0000-0000-0000DB210000}"/>
    <cellStyle name="Heading 2 4 2 12 2" xfId="8691" xr:uid="{00000000-0005-0000-0000-0000DC210000}"/>
    <cellStyle name="Heading 2 4 2 12 2 2" xfId="8692" xr:uid="{00000000-0005-0000-0000-0000DD210000}"/>
    <cellStyle name="Heading 2 4 2 12 2 3" xfId="8693" xr:uid="{00000000-0005-0000-0000-0000DE210000}"/>
    <cellStyle name="Heading 2 4 2 12 3" xfId="8694" xr:uid="{00000000-0005-0000-0000-0000DF210000}"/>
    <cellStyle name="Heading 2 4 2 12 4" xfId="8695" xr:uid="{00000000-0005-0000-0000-0000E0210000}"/>
    <cellStyle name="Heading 2 4 2 13" xfId="8696" xr:uid="{00000000-0005-0000-0000-0000E1210000}"/>
    <cellStyle name="Heading 2 4 2 13 2" xfId="8697" xr:uid="{00000000-0005-0000-0000-0000E2210000}"/>
    <cellStyle name="Heading 2 4 2 13 2 2" xfId="8698" xr:uid="{00000000-0005-0000-0000-0000E3210000}"/>
    <cellStyle name="Heading 2 4 2 13 2 3" xfId="8699" xr:uid="{00000000-0005-0000-0000-0000E4210000}"/>
    <cellStyle name="Heading 2 4 2 13 3" xfId="8700" xr:uid="{00000000-0005-0000-0000-0000E5210000}"/>
    <cellStyle name="Heading 2 4 2 13 4" xfId="8701" xr:uid="{00000000-0005-0000-0000-0000E6210000}"/>
    <cellStyle name="Heading 2 4 2 14" xfId="8702" xr:uid="{00000000-0005-0000-0000-0000E7210000}"/>
    <cellStyle name="Heading 2 4 2 14 2" xfId="8703" xr:uid="{00000000-0005-0000-0000-0000E8210000}"/>
    <cellStyle name="Heading 2 4 2 14 2 2" xfId="8704" xr:uid="{00000000-0005-0000-0000-0000E9210000}"/>
    <cellStyle name="Heading 2 4 2 14 2 3" xfId="8705" xr:uid="{00000000-0005-0000-0000-0000EA210000}"/>
    <cellStyle name="Heading 2 4 2 14 3" xfId="8706" xr:uid="{00000000-0005-0000-0000-0000EB210000}"/>
    <cellStyle name="Heading 2 4 2 14 4" xfId="8707" xr:uid="{00000000-0005-0000-0000-0000EC210000}"/>
    <cellStyle name="Heading 2 4 2 15" xfId="8708" xr:uid="{00000000-0005-0000-0000-0000ED210000}"/>
    <cellStyle name="Heading 2 4 2 15 2" xfId="8709" xr:uid="{00000000-0005-0000-0000-0000EE210000}"/>
    <cellStyle name="Heading 2 4 2 15 2 2" xfId="8710" xr:uid="{00000000-0005-0000-0000-0000EF210000}"/>
    <cellStyle name="Heading 2 4 2 15 2 3" xfId="8711" xr:uid="{00000000-0005-0000-0000-0000F0210000}"/>
    <cellStyle name="Heading 2 4 2 15 3" xfId="8712" xr:uid="{00000000-0005-0000-0000-0000F1210000}"/>
    <cellStyle name="Heading 2 4 2 15 4" xfId="8713" xr:uid="{00000000-0005-0000-0000-0000F2210000}"/>
    <cellStyle name="Heading 2 4 2 16" xfId="8714" xr:uid="{00000000-0005-0000-0000-0000F3210000}"/>
    <cellStyle name="Heading 2 4 2 16 2" xfId="8715" xr:uid="{00000000-0005-0000-0000-0000F4210000}"/>
    <cellStyle name="Heading 2 4 2 16 2 2" xfId="8716" xr:uid="{00000000-0005-0000-0000-0000F5210000}"/>
    <cellStyle name="Heading 2 4 2 16 2 3" xfId="8717" xr:uid="{00000000-0005-0000-0000-0000F6210000}"/>
    <cellStyle name="Heading 2 4 2 16 3" xfId="8718" xr:uid="{00000000-0005-0000-0000-0000F7210000}"/>
    <cellStyle name="Heading 2 4 2 16 4" xfId="8719" xr:uid="{00000000-0005-0000-0000-0000F8210000}"/>
    <cellStyle name="Heading 2 4 2 17" xfId="8720" xr:uid="{00000000-0005-0000-0000-0000F9210000}"/>
    <cellStyle name="Heading 2 4 2 17 2" xfId="8721" xr:uid="{00000000-0005-0000-0000-0000FA210000}"/>
    <cellStyle name="Heading 2 4 2 17 2 2" xfId="8722" xr:uid="{00000000-0005-0000-0000-0000FB210000}"/>
    <cellStyle name="Heading 2 4 2 17 2 3" xfId="8723" xr:uid="{00000000-0005-0000-0000-0000FC210000}"/>
    <cellStyle name="Heading 2 4 2 17 3" xfId="8724" xr:uid="{00000000-0005-0000-0000-0000FD210000}"/>
    <cellStyle name="Heading 2 4 2 17 4" xfId="8725" xr:uid="{00000000-0005-0000-0000-0000FE210000}"/>
    <cellStyle name="Heading 2 4 2 18" xfId="8726" xr:uid="{00000000-0005-0000-0000-0000FF210000}"/>
    <cellStyle name="Heading 2 4 2 18 2" xfId="8727" xr:uid="{00000000-0005-0000-0000-000000220000}"/>
    <cellStyle name="Heading 2 4 2 18 3" xfId="8728" xr:uid="{00000000-0005-0000-0000-000001220000}"/>
    <cellStyle name="Heading 2 4 2 18 4" xfId="8729" xr:uid="{00000000-0005-0000-0000-000002220000}"/>
    <cellStyle name="Heading 2 4 2 19" xfId="8730" xr:uid="{00000000-0005-0000-0000-000003220000}"/>
    <cellStyle name="Heading 2 4 2 2" xfId="8731" xr:uid="{00000000-0005-0000-0000-000004220000}"/>
    <cellStyle name="Heading 2 4 2 2 2" xfId="8732" xr:uid="{00000000-0005-0000-0000-000005220000}"/>
    <cellStyle name="Heading 2 4 2 2 2 2" xfId="8733" xr:uid="{00000000-0005-0000-0000-000006220000}"/>
    <cellStyle name="Heading 2 4 2 2 2 3" xfId="8734" xr:uid="{00000000-0005-0000-0000-000007220000}"/>
    <cellStyle name="Heading 2 4 2 2 3" xfId="8735" xr:uid="{00000000-0005-0000-0000-000008220000}"/>
    <cellStyle name="Heading 2 4 2 2 4" xfId="8736" xr:uid="{00000000-0005-0000-0000-000009220000}"/>
    <cellStyle name="Heading 2 4 2 20" xfId="8737" xr:uid="{00000000-0005-0000-0000-00000A220000}"/>
    <cellStyle name="Heading 2 4 2 21" xfId="8738" xr:uid="{00000000-0005-0000-0000-00000B220000}"/>
    <cellStyle name="Heading 2 4 2 3" xfId="8739" xr:uid="{00000000-0005-0000-0000-00000C220000}"/>
    <cellStyle name="Heading 2 4 2 3 2" xfId="8740" xr:uid="{00000000-0005-0000-0000-00000D220000}"/>
    <cellStyle name="Heading 2 4 2 3 2 2" xfId="8741" xr:uid="{00000000-0005-0000-0000-00000E220000}"/>
    <cellStyle name="Heading 2 4 2 3 2 3" xfId="8742" xr:uid="{00000000-0005-0000-0000-00000F220000}"/>
    <cellStyle name="Heading 2 4 2 3 3" xfId="8743" xr:uid="{00000000-0005-0000-0000-000010220000}"/>
    <cellStyle name="Heading 2 4 2 3 4" xfId="8744" xr:uid="{00000000-0005-0000-0000-000011220000}"/>
    <cellStyle name="Heading 2 4 2 4" xfId="8745" xr:uid="{00000000-0005-0000-0000-000012220000}"/>
    <cellStyle name="Heading 2 4 2 4 2" xfId="8746" xr:uid="{00000000-0005-0000-0000-000013220000}"/>
    <cellStyle name="Heading 2 4 2 4 2 2" xfId="8747" xr:uid="{00000000-0005-0000-0000-000014220000}"/>
    <cellStyle name="Heading 2 4 2 4 2 3" xfId="8748" xr:uid="{00000000-0005-0000-0000-000015220000}"/>
    <cellStyle name="Heading 2 4 2 4 3" xfId="8749" xr:uid="{00000000-0005-0000-0000-000016220000}"/>
    <cellStyle name="Heading 2 4 2 4 4" xfId="8750" xr:uid="{00000000-0005-0000-0000-000017220000}"/>
    <cellStyle name="Heading 2 4 2 5" xfId="8751" xr:uid="{00000000-0005-0000-0000-000018220000}"/>
    <cellStyle name="Heading 2 4 2 5 2" xfId="8752" xr:uid="{00000000-0005-0000-0000-000019220000}"/>
    <cellStyle name="Heading 2 4 2 5 2 2" xfId="8753" xr:uid="{00000000-0005-0000-0000-00001A220000}"/>
    <cellStyle name="Heading 2 4 2 5 2 3" xfId="8754" xr:uid="{00000000-0005-0000-0000-00001B220000}"/>
    <cellStyle name="Heading 2 4 2 5 3" xfId="8755" xr:uid="{00000000-0005-0000-0000-00001C220000}"/>
    <cellStyle name="Heading 2 4 2 5 4" xfId="8756" xr:uid="{00000000-0005-0000-0000-00001D220000}"/>
    <cellStyle name="Heading 2 4 2 6" xfId="8757" xr:uid="{00000000-0005-0000-0000-00001E220000}"/>
    <cellStyle name="Heading 2 4 2 6 2" xfId="8758" xr:uid="{00000000-0005-0000-0000-00001F220000}"/>
    <cellStyle name="Heading 2 4 2 6 2 2" xfId="8759" xr:uid="{00000000-0005-0000-0000-000020220000}"/>
    <cellStyle name="Heading 2 4 2 6 2 3" xfId="8760" xr:uid="{00000000-0005-0000-0000-000021220000}"/>
    <cellStyle name="Heading 2 4 2 6 3" xfId="8761" xr:uid="{00000000-0005-0000-0000-000022220000}"/>
    <cellStyle name="Heading 2 4 2 6 4" xfId="8762" xr:uid="{00000000-0005-0000-0000-000023220000}"/>
    <cellStyle name="Heading 2 4 2 7" xfId="8763" xr:uid="{00000000-0005-0000-0000-000024220000}"/>
    <cellStyle name="Heading 2 4 2 7 2" xfId="8764" xr:uid="{00000000-0005-0000-0000-000025220000}"/>
    <cellStyle name="Heading 2 4 2 7 2 2" xfId="8765" xr:uid="{00000000-0005-0000-0000-000026220000}"/>
    <cellStyle name="Heading 2 4 2 7 2 3" xfId="8766" xr:uid="{00000000-0005-0000-0000-000027220000}"/>
    <cellStyle name="Heading 2 4 2 7 3" xfId="8767" xr:uid="{00000000-0005-0000-0000-000028220000}"/>
    <cellStyle name="Heading 2 4 2 7 4" xfId="8768" xr:uid="{00000000-0005-0000-0000-000029220000}"/>
    <cellStyle name="Heading 2 4 2 8" xfId="8769" xr:uid="{00000000-0005-0000-0000-00002A220000}"/>
    <cellStyle name="Heading 2 4 2 8 2" xfId="8770" xr:uid="{00000000-0005-0000-0000-00002B220000}"/>
    <cellStyle name="Heading 2 4 2 8 2 2" xfId="8771" xr:uid="{00000000-0005-0000-0000-00002C220000}"/>
    <cellStyle name="Heading 2 4 2 8 2 3" xfId="8772" xr:uid="{00000000-0005-0000-0000-00002D220000}"/>
    <cellStyle name="Heading 2 4 2 8 3" xfId="8773" xr:uid="{00000000-0005-0000-0000-00002E220000}"/>
    <cellStyle name="Heading 2 4 2 8 4" xfId="8774" xr:uid="{00000000-0005-0000-0000-00002F220000}"/>
    <cellStyle name="Heading 2 4 2 9" xfId="8775" xr:uid="{00000000-0005-0000-0000-000030220000}"/>
    <cellStyle name="Heading 2 4 2 9 2" xfId="8776" xr:uid="{00000000-0005-0000-0000-000031220000}"/>
    <cellStyle name="Heading 2 4 2 9 2 2" xfId="8777" xr:uid="{00000000-0005-0000-0000-000032220000}"/>
    <cellStyle name="Heading 2 4 2 9 2 3" xfId="8778" xr:uid="{00000000-0005-0000-0000-000033220000}"/>
    <cellStyle name="Heading 2 4 2 9 3" xfId="8779" xr:uid="{00000000-0005-0000-0000-000034220000}"/>
    <cellStyle name="Heading 2 4 2 9 4" xfId="8780" xr:uid="{00000000-0005-0000-0000-000035220000}"/>
    <cellStyle name="Heading 2 4 3" xfId="8781" xr:uid="{00000000-0005-0000-0000-000036220000}"/>
    <cellStyle name="Heading 2 4 4" xfId="8782" xr:uid="{00000000-0005-0000-0000-000037220000}"/>
    <cellStyle name="Heading 2 4 5" xfId="8783" xr:uid="{00000000-0005-0000-0000-000038220000}"/>
    <cellStyle name="Heading 2 40" xfId="8784" xr:uid="{00000000-0005-0000-0000-000039220000}"/>
    <cellStyle name="Heading 2 40 2" xfId="8785" xr:uid="{00000000-0005-0000-0000-00003A220000}"/>
    <cellStyle name="Heading 2 40 2 10" xfId="8786" xr:uid="{00000000-0005-0000-0000-00003B220000}"/>
    <cellStyle name="Heading 2 40 2 10 2" xfId="8787" xr:uid="{00000000-0005-0000-0000-00003C220000}"/>
    <cellStyle name="Heading 2 40 2 10 2 2" xfId="8788" xr:uid="{00000000-0005-0000-0000-00003D220000}"/>
    <cellStyle name="Heading 2 40 2 10 2 3" xfId="8789" xr:uid="{00000000-0005-0000-0000-00003E220000}"/>
    <cellStyle name="Heading 2 40 2 10 3" xfId="8790" xr:uid="{00000000-0005-0000-0000-00003F220000}"/>
    <cellStyle name="Heading 2 40 2 10 4" xfId="8791" xr:uid="{00000000-0005-0000-0000-000040220000}"/>
    <cellStyle name="Heading 2 40 2 11" xfId="8792" xr:uid="{00000000-0005-0000-0000-000041220000}"/>
    <cellStyle name="Heading 2 40 2 11 2" xfId="8793" xr:uid="{00000000-0005-0000-0000-000042220000}"/>
    <cellStyle name="Heading 2 40 2 11 2 2" xfId="8794" xr:uid="{00000000-0005-0000-0000-000043220000}"/>
    <cellStyle name="Heading 2 40 2 11 2 3" xfId="8795" xr:uid="{00000000-0005-0000-0000-000044220000}"/>
    <cellStyle name="Heading 2 40 2 11 3" xfId="8796" xr:uid="{00000000-0005-0000-0000-000045220000}"/>
    <cellStyle name="Heading 2 40 2 11 4" xfId="8797" xr:uid="{00000000-0005-0000-0000-000046220000}"/>
    <cellStyle name="Heading 2 40 2 12" xfId="8798" xr:uid="{00000000-0005-0000-0000-000047220000}"/>
    <cellStyle name="Heading 2 40 2 12 2" xfId="8799" xr:uid="{00000000-0005-0000-0000-000048220000}"/>
    <cellStyle name="Heading 2 40 2 12 2 2" xfId="8800" xr:uid="{00000000-0005-0000-0000-000049220000}"/>
    <cellStyle name="Heading 2 40 2 12 2 3" xfId="8801" xr:uid="{00000000-0005-0000-0000-00004A220000}"/>
    <cellStyle name="Heading 2 40 2 12 3" xfId="8802" xr:uid="{00000000-0005-0000-0000-00004B220000}"/>
    <cellStyle name="Heading 2 40 2 12 4" xfId="8803" xr:uid="{00000000-0005-0000-0000-00004C220000}"/>
    <cellStyle name="Heading 2 40 2 13" xfId="8804" xr:uid="{00000000-0005-0000-0000-00004D220000}"/>
    <cellStyle name="Heading 2 40 2 13 2" xfId="8805" xr:uid="{00000000-0005-0000-0000-00004E220000}"/>
    <cellStyle name="Heading 2 40 2 13 2 2" xfId="8806" xr:uid="{00000000-0005-0000-0000-00004F220000}"/>
    <cellStyle name="Heading 2 40 2 13 2 3" xfId="8807" xr:uid="{00000000-0005-0000-0000-000050220000}"/>
    <cellStyle name="Heading 2 40 2 13 3" xfId="8808" xr:uid="{00000000-0005-0000-0000-000051220000}"/>
    <cellStyle name="Heading 2 40 2 13 4" xfId="8809" xr:uid="{00000000-0005-0000-0000-000052220000}"/>
    <cellStyle name="Heading 2 40 2 14" xfId="8810" xr:uid="{00000000-0005-0000-0000-000053220000}"/>
    <cellStyle name="Heading 2 40 2 14 2" xfId="8811" xr:uid="{00000000-0005-0000-0000-000054220000}"/>
    <cellStyle name="Heading 2 40 2 14 2 2" xfId="8812" xr:uid="{00000000-0005-0000-0000-000055220000}"/>
    <cellStyle name="Heading 2 40 2 14 2 3" xfId="8813" xr:uid="{00000000-0005-0000-0000-000056220000}"/>
    <cellStyle name="Heading 2 40 2 14 3" xfId="8814" xr:uid="{00000000-0005-0000-0000-000057220000}"/>
    <cellStyle name="Heading 2 40 2 14 4" xfId="8815" xr:uid="{00000000-0005-0000-0000-000058220000}"/>
    <cellStyle name="Heading 2 40 2 15" xfId="8816" xr:uid="{00000000-0005-0000-0000-000059220000}"/>
    <cellStyle name="Heading 2 40 2 15 2" xfId="8817" xr:uid="{00000000-0005-0000-0000-00005A220000}"/>
    <cellStyle name="Heading 2 40 2 15 2 2" xfId="8818" xr:uid="{00000000-0005-0000-0000-00005B220000}"/>
    <cellStyle name="Heading 2 40 2 15 2 3" xfId="8819" xr:uid="{00000000-0005-0000-0000-00005C220000}"/>
    <cellStyle name="Heading 2 40 2 15 3" xfId="8820" xr:uid="{00000000-0005-0000-0000-00005D220000}"/>
    <cellStyle name="Heading 2 40 2 15 4" xfId="8821" xr:uid="{00000000-0005-0000-0000-00005E220000}"/>
    <cellStyle name="Heading 2 40 2 16" xfId="8822" xr:uid="{00000000-0005-0000-0000-00005F220000}"/>
    <cellStyle name="Heading 2 40 2 16 2" xfId="8823" xr:uid="{00000000-0005-0000-0000-000060220000}"/>
    <cellStyle name="Heading 2 40 2 16 2 2" xfId="8824" xr:uid="{00000000-0005-0000-0000-000061220000}"/>
    <cellStyle name="Heading 2 40 2 16 2 3" xfId="8825" xr:uid="{00000000-0005-0000-0000-000062220000}"/>
    <cellStyle name="Heading 2 40 2 16 3" xfId="8826" xr:uid="{00000000-0005-0000-0000-000063220000}"/>
    <cellStyle name="Heading 2 40 2 16 4" xfId="8827" xr:uid="{00000000-0005-0000-0000-000064220000}"/>
    <cellStyle name="Heading 2 40 2 17" xfId="8828" xr:uid="{00000000-0005-0000-0000-000065220000}"/>
    <cellStyle name="Heading 2 40 2 17 2" xfId="8829" xr:uid="{00000000-0005-0000-0000-000066220000}"/>
    <cellStyle name="Heading 2 40 2 17 2 2" xfId="8830" xr:uid="{00000000-0005-0000-0000-000067220000}"/>
    <cellStyle name="Heading 2 40 2 17 2 3" xfId="8831" xr:uid="{00000000-0005-0000-0000-000068220000}"/>
    <cellStyle name="Heading 2 40 2 17 3" xfId="8832" xr:uid="{00000000-0005-0000-0000-000069220000}"/>
    <cellStyle name="Heading 2 40 2 17 4" xfId="8833" xr:uid="{00000000-0005-0000-0000-00006A220000}"/>
    <cellStyle name="Heading 2 40 2 18" xfId="8834" xr:uid="{00000000-0005-0000-0000-00006B220000}"/>
    <cellStyle name="Heading 2 40 2 18 2" xfId="8835" xr:uid="{00000000-0005-0000-0000-00006C220000}"/>
    <cellStyle name="Heading 2 40 2 18 3" xfId="8836" xr:uid="{00000000-0005-0000-0000-00006D220000}"/>
    <cellStyle name="Heading 2 40 2 18 4" xfId="8837" xr:uid="{00000000-0005-0000-0000-00006E220000}"/>
    <cellStyle name="Heading 2 40 2 19" xfId="8838" xr:uid="{00000000-0005-0000-0000-00006F220000}"/>
    <cellStyle name="Heading 2 40 2 2" xfId="8839" xr:uid="{00000000-0005-0000-0000-000070220000}"/>
    <cellStyle name="Heading 2 40 2 2 2" xfId="8840" xr:uid="{00000000-0005-0000-0000-000071220000}"/>
    <cellStyle name="Heading 2 40 2 2 2 2" xfId="8841" xr:uid="{00000000-0005-0000-0000-000072220000}"/>
    <cellStyle name="Heading 2 40 2 2 2 3" xfId="8842" xr:uid="{00000000-0005-0000-0000-000073220000}"/>
    <cellStyle name="Heading 2 40 2 2 3" xfId="8843" xr:uid="{00000000-0005-0000-0000-000074220000}"/>
    <cellStyle name="Heading 2 40 2 2 4" xfId="8844" xr:uid="{00000000-0005-0000-0000-000075220000}"/>
    <cellStyle name="Heading 2 40 2 20" xfId="8845" xr:uid="{00000000-0005-0000-0000-000076220000}"/>
    <cellStyle name="Heading 2 40 2 21" xfId="8846" xr:uid="{00000000-0005-0000-0000-000077220000}"/>
    <cellStyle name="Heading 2 40 2 3" xfId="8847" xr:uid="{00000000-0005-0000-0000-000078220000}"/>
    <cellStyle name="Heading 2 40 2 3 2" xfId="8848" xr:uid="{00000000-0005-0000-0000-000079220000}"/>
    <cellStyle name="Heading 2 40 2 3 2 2" xfId="8849" xr:uid="{00000000-0005-0000-0000-00007A220000}"/>
    <cellStyle name="Heading 2 40 2 3 2 3" xfId="8850" xr:uid="{00000000-0005-0000-0000-00007B220000}"/>
    <cellStyle name="Heading 2 40 2 3 3" xfId="8851" xr:uid="{00000000-0005-0000-0000-00007C220000}"/>
    <cellStyle name="Heading 2 40 2 3 4" xfId="8852" xr:uid="{00000000-0005-0000-0000-00007D220000}"/>
    <cellStyle name="Heading 2 40 2 4" xfId="8853" xr:uid="{00000000-0005-0000-0000-00007E220000}"/>
    <cellStyle name="Heading 2 40 2 4 2" xfId="8854" xr:uid="{00000000-0005-0000-0000-00007F220000}"/>
    <cellStyle name="Heading 2 40 2 4 2 2" xfId="8855" xr:uid="{00000000-0005-0000-0000-000080220000}"/>
    <cellStyle name="Heading 2 40 2 4 2 3" xfId="8856" xr:uid="{00000000-0005-0000-0000-000081220000}"/>
    <cellStyle name="Heading 2 40 2 4 3" xfId="8857" xr:uid="{00000000-0005-0000-0000-000082220000}"/>
    <cellStyle name="Heading 2 40 2 4 4" xfId="8858" xr:uid="{00000000-0005-0000-0000-000083220000}"/>
    <cellStyle name="Heading 2 40 2 5" xfId="8859" xr:uid="{00000000-0005-0000-0000-000084220000}"/>
    <cellStyle name="Heading 2 40 2 5 2" xfId="8860" xr:uid="{00000000-0005-0000-0000-000085220000}"/>
    <cellStyle name="Heading 2 40 2 5 2 2" xfId="8861" xr:uid="{00000000-0005-0000-0000-000086220000}"/>
    <cellStyle name="Heading 2 40 2 5 2 3" xfId="8862" xr:uid="{00000000-0005-0000-0000-000087220000}"/>
    <cellStyle name="Heading 2 40 2 5 3" xfId="8863" xr:uid="{00000000-0005-0000-0000-000088220000}"/>
    <cellStyle name="Heading 2 40 2 5 4" xfId="8864" xr:uid="{00000000-0005-0000-0000-000089220000}"/>
    <cellStyle name="Heading 2 40 2 6" xfId="8865" xr:uid="{00000000-0005-0000-0000-00008A220000}"/>
    <cellStyle name="Heading 2 40 2 6 2" xfId="8866" xr:uid="{00000000-0005-0000-0000-00008B220000}"/>
    <cellStyle name="Heading 2 40 2 6 2 2" xfId="8867" xr:uid="{00000000-0005-0000-0000-00008C220000}"/>
    <cellStyle name="Heading 2 40 2 6 2 3" xfId="8868" xr:uid="{00000000-0005-0000-0000-00008D220000}"/>
    <cellStyle name="Heading 2 40 2 6 3" xfId="8869" xr:uid="{00000000-0005-0000-0000-00008E220000}"/>
    <cellStyle name="Heading 2 40 2 6 4" xfId="8870" xr:uid="{00000000-0005-0000-0000-00008F220000}"/>
    <cellStyle name="Heading 2 40 2 7" xfId="8871" xr:uid="{00000000-0005-0000-0000-000090220000}"/>
    <cellStyle name="Heading 2 40 2 7 2" xfId="8872" xr:uid="{00000000-0005-0000-0000-000091220000}"/>
    <cellStyle name="Heading 2 40 2 7 2 2" xfId="8873" xr:uid="{00000000-0005-0000-0000-000092220000}"/>
    <cellStyle name="Heading 2 40 2 7 2 3" xfId="8874" xr:uid="{00000000-0005-0000-0000-000093220000}"/>
    <cellStyle name="Heading 2 40 2 7 3" xfId="8875" xr:uid="{00000000-0005-0000-0000-000094220000}"/>
    <cellStyle name="Heading 2 40 2 7 4" xfId="8876" xr:uid="{00000000-0005-0000-0000-000095220000}"/>
    <cellStyle name="Heading 2 40 2 8" xfId="8877" xr:uid="{00000000-0005-0000-0000-000096220000}"/>
    <cellStyle name="Heading 2 40 2 8 2" xfId="8878" xr:uid="{00000000-0005-0000-0000-000097220000}"/>
    <cellStyle name="Heading 2 40 2 8 2 2" xfId="8879" xr:uid="{00000000-0005-0000-0000-000098220000}"/>
    <cellStyle name="Heading 2 40 2 8 2 3" xfId="8880" xr:uid="{00000000-0005-0000-0000-000099220000}"/>
    <cellStyle name="Heading 2 40 2 8 3" xfId="8881" xr:uid="{00000000-0005-0000-0000-00009A220000}"/>
    <cellStyle name="Heading 2 40 2 8 4" xfId="8882" xr:uid="{00000000-0005-0000-0000-00009B220000}"/>
    <cellStyle name="Heading 2 40 2 9" xfId="8883" xr:uid="{00000000-0005-0000-0000-00009C220000}"/>
    <cellStyle name="Heading 2 40 2 9 2" xfId="8884" xr:uid="{00000000-0005-0000-0000-00009D220000}"/>
    <cellStyle name="Heading 2 40 2 9 2 2" xfId="8885" xr:uid="{00000000-0005-0000-0000-00009E220000}"/>
    <cellStyle name="Heading 2 40 2 9 2 3" xfId="8886" xr:uid="{00000000-0005-0000-0000-00009F220000}"/>
    <cellStyle name="Heading 2 40 2 9 3" xfId="8887" xr:uid="{00000000-0005-0000-0000-0000A0220000}"/>
    <cellStyle name="Heading 2 40 2 9 4" xfId="8888" xr:uid="{00000000-0005-0000-0000-0000A1220000}"/>
    <cellStyle name="Heading 2 40 3" xfId="8889" xr:uid="{00000000-0005-0000-0000-0000A2220000}"/>
    <cellStyle name="Heading 2 40 4" xfId="8890" xr:uid="{00000000-0005-0000-0000-0000A3220000}"/>
    <cellStyle name="Heading 2 41" xfId="8891" xr:uid="{00000000-0005-0000-0000-0000A4220000}"/>
    <cellStyle name="Heading 2 41 2" xfId="8892" xr:uid="{00000000-0005-0000-0000-0000A5220000}"/>
    <cellStyle name="Heading 2 41 2 10" xfId="8893" xr:uid="{00000000-0005-0000-0000-0000A6220000}"/>
    <cellStyle name="Heading 2 41 2 10 2" xfId="8894" xr:uid="{00000000-0005-0000-0000-0000A7220000}"/>
    <cellStyle name="Heading 2 41 2 10 2 2" xfId="8895" xr:uid="{00000000-0005-0000-0000-0000A8220000}"/>
    <cellStyle name="Heading 2 41 2 10 2 3" xfId="8896" xr:uid="{00000000-0005-0000-0000-0000A9220000}"/>
    <cellStyle name="Heading 2 41 2 10 3" xfId="8897" xr:uid="{00000000-0005-0000-0000-0000AA220000}"/>
    <cellStyle name="Heading 2 41 2 10 4" xfId="8898" xr:uid="{00000000-0005-0000-0000-0000AB220000}"/>
    <cellStyle name="Heading 2 41 2 11" xfId="8899" xr:uid="{00000000-0005-0000-0000-0000AC220000}"/>
    <cellStyle name="Heading 2 41 2 11 2" xfId="8900" xr:uid="{00000000-0005-0000-0000-0000AD220000}"/>
    <cellStyle name="Heading 2 41 2 11 2 2" xfId="8901" xr:uid="{00000000-0005-0000-0000-0000AE220000}"/>
    <cellStyle name="Heading 2 41 2 11 2 3" xfId="8902" xr:uid="{00000000-0005-0000-0000-0000AF220000}"/>
    <cellStyle name="Heading 2 41 2 11 3" xfId="8903" xr:uid="{00000000-0005-0000-0000-0000B0220000}"/>
    <cellStyle name="Heading 2 41 2 11 4" xfId="8904" xr:uid="{00000000-0005-0000-0000-0000B1220000}"/>
    <cellStyle name="Heading 2 41 2 12" xfId="8905" xr:uid="{00000000-0005-0000-0000-0000B2220000}"/>
    <cellStyle name="Heading 2 41 2 12 2" xfId="8906" xr:uid="{00000000-0005-0000-0000-0000B3220000}"/>
    <cellStyle name="Heading 2 41 2 12 2 2" xfId="8907" xr:uid="{00000000-0005-0000-0000-0000B4220000}"/>
    <cellStyle name="Heading 2 41 2 12 2 3" xfId="8908" xr:uid="{00000000-0005-0000-0000-0000B5220000}"/>
    <cellStyle name="Heading 2 41 2 12 3" xfId="8909" xr:uid="{00000000-0005-0000-0000-0000B6220000}"/>
    <cellStyle name="Heading 2 41 2 12 4" xfId="8910" xr:uid="{00000000-0005-0000-0000-0000B7220000}"/>
    <cellStyle name="Heading 2 41 2 13" xfId="8911" xr:uid="{00000000-0005-0000-0000-0000B8220000}"/>
    <cellStyle name="Heading 2 41 2 13 2" xfId="8912" xr:uid="{00000000-0005-0000-0000-0000B9220000}"/>
    <cellStyle name="Heading 2 41 2 13 2 2" xfId="8913" xr:uid="{00000000-0005-0000-0000-0000BA220000}"/>
    <cellStyle name="Heading 2 41 2 13 2 3" xfId="8914" xr:uid="{00000000-0005-0000-0000-0000BB220000}"/>
    <cellStyle name="Heading 2 41 2 13 3" xfId="8915" xr:uid="{00000000-0005-0000-0000-0000BC220000}"/>
    <cellStyle name="Heading 2 41 2 13 4" xfId="8916" xr:uid="{00000000-0005-0000-0000-0000BD220000}"/>
    <cellStyle name="Heading 2 41 2 14" xfId="8917" xr:uid="{00000000-0005-0000-0000-0000BE220000}"/>
    <cellStyle name="Heading 2 41 2 14 2" xfId="8918" xr:uid="{00000000-0005-0000-0000-0000BF220000}"/>
    <cellStyle name="Heading 2 41 2 14 2 2" xfId="8919" xr:uid="{00000000-0005-0000-0000-0000C0220000}"/>
    <cellStyle name="Heading 2 41 2 14 2 3" xfId="8920" xr:uid="{00000000-0005-0000-0000-0000C1220000}"/>
    <cellStyle name="Heading 2 41 2 14 3" xfId="8921" xr:uid="{00000000-0005-0000-0000-0000C2220000}"/>
    <cellStyle name="Heading 2 41 2 14 4" xfId="8922" xr:uid="{00000000-0005-0000-0000-0000C3220000}"/>
    <cellStyle name="Heading 2 41 2 15" xfId="8923" xr:uid="{00000000-0005-0000-0000-0000C4220000}"/>
    <cellStyle name="Heading 2 41 2 15 2" xfId="8924" xr:uid="{00000000-0005-0000-0000-0000C5220000}"/>
    <cellStyle name="Heading 2 41 2 15 2 2" xfId="8925" xr:uid="{00000000-0005-0000-0000-0000C6220000}"/>
    <cellStyle name="Heading 2 41 2 15 2 3" xfId="8926" xr:uid="{00000000-0005-0000-0000-0000C7220000}"/>
    <cellStyle name="Heading 2 41 2 15 3" xfId="8927" xr:uid="{00000000-0005-0000-0000-0000C8220000}"/>
    <cellStyle name="Heading 2 41 2 15 4" xfId="8928" xr:uid="{00000000-0005-0000-0000-0000C9220000}"/>
    <cellStyle name="Heading 2 41 2 16" xfId="8929" xr:uid="{00000000-0005-0000-0000-0000CA220000}"/>
    <cellStyle name="Heading 2 41 2 16 2" xfId="8930" xr:uid="{00000000-0005-0000-0000-0000CB220000}"/>
    <cellStyle name="Heading 2 41 2 16 2 2" xfId="8931" xr:uid="{00000000-0005-0000-0000-0000CC220000}"/>
    <cellStyle name="Heading 2 41 2 16 2 3" xfId="8932" xr:uid="{00000000-0005-0000-0000-0000CD220000}"/>
    <cellStyle name="Heading 2 41 2 16 3" xfId="8933" xr:uid="{00000000-0005-0000-0000-0000CE220000}"/>
    <cellStyle name="Heading 2 41 2 16 4" xfId="8934" xr:uid="{00000000-0005-0000-0000-0000CF220000}"/>
    <cellStyle name="Heading 2 41 2 17" xfId="8935" xr:uid="{00000000-0005-0000-0000-0000D0220000}"/>
    <cellStyle name="Heading 2 41 2 17 2" xfId="8936" xr:uid="{00000000-0005-0000-0000-0000D1220000}"/>
    <cellStyle name="Heading 2 41 2 17 2 2" xfId="8937" xr:uid="{00000000-0005-0000-0000-0000D2220000}"/>
    <cellStyle name="Heading 2 41 2 17 2 3" xfId="8938" xr:uid="{00000000-0005-0000-0000-0000D3220000}"/>
    <cellStyle name="Heading 2 41 2 17 3" xfId="8939" xr:uid="{00000000-0005-0000-0000-0000D4220000}"/>
    <cellStyle name="Heading 2 41 2 17 4" xfId="8940" xr:uid="{00000000-0005-0000-0000-0000D5220000}"/>
    <cellStyle name="Heading 2 41 2 18" xfId="8941" xr:uid="{00000000-0005-0000-0000-0000D6220000}"/>
    <cellStyle name="Heading 2 41 2 18 2" xfId="8942" xr:uid="{00000000-0005-0000-0000-0000D7220000}"/>
    <cellStyle name="Heading 2 41 2 18 3" xfId="8943" xr:uid="{00000000-0005-0000-0000-0000D8220000}"/>
    <cellStyle name="Heading 2 41 2 18 4" xfId="8944" xr:uid="{00000000-0005-0000-0000-0000D9220000}"/>
    <cellStyle name="Heading 2 41 2 19" xfId="8945" xr:uid="{00000000-0005-0000-0000-0000DA220000}"/>
    <cellStyle name="Heading 2 41 2 2" xfId="8946" xr:uid="{00000000-0005-0000-0000-0000DB220000}"/>
    <cellStyle name="Heading 2 41 2 2 2" xfId="8947" xr:uid="{00000000-0005-0000-0000-0000DC220000}"/>
    <cellStyle name="Heading 2 41 2 2 2 2" xfId="8948" xr:uid="{00000000-0005-0000-0000-0000DD220000}"/>
    <cellStyle name="Heading 2 41 2 2 2 3" xfId="8949" xr:uid="{00000000-0005-0000-0000-0000DE220000}"/>
    <cellStyle name="Heading 2 41 2 2 3" xfId="8950" xr:uid="{00000000-0005-0000-0000-0000DF220000}"/>
    <cellStyle name="Heading 2 41 2 2 4" xfId="8951" xr:uid="{00000000-0005-0000-0000-0000E0220000}"/>
    <cellStyle name="Heading 2 41 2 20" xfId="8952" xr:uid="{00000000-0005-0000-0000-0000E1220000}"/>
    <cellStyle name="Heading 2 41 2 21" xfId="8953" xr:uid="{00000000-0005-0000-0000-0000E2220000}"/>
    <cellStyle name="Heading 2 41 2 3" xfId="8954" xr:uid="{00000000-0005-0000-0000-0000E3220000}"/>
    <cellStyle name="Heading 2 41 2 3 2" xfId="8955" xr:uid="{00000000-0005-0000-0000-0000E4220000}"/>
    <cellStyle name="Heading 2 41 2 3 2 2" xfId="8956" xr:uid="{00000000-0005-0000-0000-0000E5220000}"/>
    <cellStyle name="Heading 2 41 2 3 2 3" xfId="8957" xr:uid="{00000000-0005-0000-0000-0000E6220000}"/>
    <cellStyle name="Heading 2 41 2 3 3" xfId="8958" xr:uid="{00000000-0005-0000-0000-0000E7220000}"/>
    <cellStyle name="Heading 2 41 2 3 4" xfId="8959" xr:uid="{00000000-0005-0000-0000-0000E8220000}"/>
    <cellStyle name="Heading 2 41 2 4" xfId="8960" xr:uid="{00000000-0005-0000-0000-0000E9220000}"/>
    <cellStyle name="Heading 2 41 2 4 2" xfId="8961" xr:uid="{00000000-0005-0000-0000-0000EA220000}"/>
    <cellStyle name="Heading 2 41 2 4 2 2" xfId="8962" xr:uid="{00000000-0005-0000-0000-0000EB220000}"/>
    <cellStyle name="Heading 2 41 2 4 2 3" xfId="8963" xr:uid="{00000000-0005-0000-0000-0000EC220000}"/>
    <cellStyle name="Heading 2 41 2 4 3" xfId="8964" xr:uid="{00000000-0005-0000-0000-0000ED220000}"/>
    <cellStyle name="Heading 2 41 2 4 4" xfId="8965" xr:uid="{00000000-0005-0000-0000-0000EE220000}"/>
    <cellStyle name="Heading 2 41 2 5" xfId="8966" xr:uid="{00000000-0005-0000-0000-0000EF220000}"/>
    <cellStyle name="Heading 2 41 2 5 2" xfId="8967" xr:uid="{00000000-0005-0000-0000-0000F0220000}"/>
    <cellStyle name="Heading 2 41 2 5 2 2" xfId="8968" xr:uid="{00000000-0005-0000-0000-0000F1220000}"/>
    <cellStyle name="Heading 2 41 2 5 2 3" xfId="8969" xr:uid="{00000000-0005-0000-0000-0000F2220000}"/>
    <cellStyle name="Heading 2 41 2 5 3" xfId="8970" xr:uid="{00000000-0005-0000-0000-0000F3220000}"/>
    <cellStyle name="Heading 2 41 2 5 4" xfId="8971" xr:uid="{00000000-0005-0000-0000-0000F4220000}"/>
    <cellStyle name="Heading 2 41 2 6" xfId="8972" xr:uid="{00000000-0005-0000-0000-0000F5220000}"/>
    <cellStyle name="Heading 2 41 2 6 2" xfId="8973" xr:uid="{00000000-0005-0000-0000-0000F6220000}"/>
    <cellStyle name="Heading 2 41 2 6 2 2" xfId="8974" xr:uid="{00000000-0005-0000-0000-0000F7220000}"/>
    <cellStyle name="Heading 2 41 2 6 2 3" xfId="8975" xr:uid="{00000000-0005-0000-0000-0000F8220000}"/>
    <cellStyle name="Heading 2 41 2 6 3" xfId="8976" xr:uid="{00000000-0005-0000-0000-0000F9220000}"/>
    <cellStyle name="Heading 2 41 2 6 4" xfId="8977" xr:uid="{00000000-0005-0000-0000-0000FA220000}"/>
    <cellStyle name="Heading 2 41 2 7" xfId="8978" xr:uid="{00000000-0005-0000-0000-0000FB220000}"/>
    <cellStyle name="Heading 2 41 2 7 2" xfId="8979" xr:uid="{00000000-0005-0000-0000-0000FC220000}"/>
    <cellStyle name="Heading 2 41 2 7 2 2" xfId="8980" xr:uid="{00000000-0005-0000-0000-0000FD220000}"/>
    <cellStyle name="Heading 2 41 2 7 2 3" xfId="8981" xr:uid="{00000000-0005-0000-0000-0000FE220000}"/>
    <cellStyle name="Heading 2 41 2 7 3" xfId="8982" xr:uid="{00000000-0005-0000-0000-0000FF220000}"/>
    <cellStyle name="Heading 2 41 2 7 4" xfId="8983" xr:uid="{00000000-0005-0000-0000-000000230000}"/>
    <cellStyle name="Heading 2 41 2 8" xfId="8984" xr:uid="{00000000-0005-0000-0000-000001230000}"/>
    <cellStyle name="Heading 2 41 2 8 2" xfId="8985" xr:uid="{00000000-0005-0000-0000-000002230000}"/>
    <cellStyle name="Heading 2 41 2 8 2 2" xfId="8986" xr:uid="{00000000-0005-0000-0000-000003230000}"/>
    <cellStyle name="Heading 2 41 2 8 2 3" xfId="8987" xr:uid="{00000000-0005-0000-0000-000004230000}"/>
    <cellStyle name="Heading 2 41 2 8 3" xfId="8988" xr:uid="{00000000-0005-0000-0000-000005230000}"/>
    <cellStyle name="Heading 2 41 2 8 4" xfId="8989" xr:uid="{00000000-0005-0000-0000-000006230000}"/>
    <cellStyle name="Heading 2 41 2 9" xfId="8990" xr:uid="{00000000-0005-0000-0000-000007230000}"/>
    <cellStyle name="Heading 2 41 2 9 2" xfId="8991" xr:uid="{00000000-0005-0000-0000-000008230000}"/>
    <cellStyle name="Heading 2 41 2 9 2 2" xfId="8992" xr:uid="{00000000-0005-0000-0000-000009230000}"/>
    <cellStyle name="Heading 2 41 2 9 2 3" xfId="8993" xr:uid="{00000000-0005-0000-0000-00000A230000}"/>
    <cellStyle name="Heading 2 41 2 9 3" xfId="8994" xr:uid="{00000000-0005-0000-0000-00000B230000}"/>
    <cellStyle name="Heading 2 41 2 9 4" xfId="8995" xr:uid="{00000000-0005-0000-0000-00000C230000}"/>
    <cellStyle name="Heading 2 41 3" xfId="8996" xr:uid="{00000000-0005-0000-0000-00000D230000}"/>
    <cellStyle name="Heading 2 41 4" xfId="8997" xr:uid="{00000000-0005-0000-0000-00000E230000}"/>
    <cellStyle name="Heading 2 42" xfId="8998" xr:uid="{00000000-0005-0000-0000-00000F230000}"/>
    <cellStyle name="Heading 2 42 2" xfId="8999" xr:uid="{00000000-0005-0000-0000-000010230000}"/>
    <cellStyle name="Heading 2 42 2 10" xfId="9000" xr:uid="{00000000-0005-0000-0000-000011230000}"/>
    <cellStyle name="Heading 2 42 2 10 2" xfId="9001" xr:uid="{00000000-0005-0000-0000-000012230000}"/>
    <cellStyle name="Heading 2 42 2 10 2 2" xfId="9002" xr:uid="{00000000-0005-0000-0000-000013230000}"/>
    <cellStyle name="Heading 2 42 2 10 2 3" xfId="9003" xr:uid="{00000000-0005-0000-0000-000014230000}"/>
    <cellStyle name="Heading 2 42 2 10 3" xfId="9004" xr:uid="{00000000-0005-0000-0000-000015230000}"/>
    <cellStyle name="Heading 2 42 2 10 4" xfId="9005" xr:uid="{00000000-0005-0000-0000-000016230000}"/>
    <cellStyle name="Heading 2 42 2 11" xfId="9006" xr:uid="{00000000-0005-0000-0000-000017230000}"/>
    <cellStyle name="Heading 2 42 2 11 2" xfId="9007" xr:uid="{00000000-0005-0000-0000-000018230000}"/>
    <cellStyle name="Heading 2 42 2 11 2 2" xfId="9008" xr:uid="{00000000-0005-0000-0000-000019230000}"/>
    <cellStyle name="Heading 2 42 2 11 2 3" xfId="9009" xr:uid="{00000000-0005-0000-0000-00001A230000}"/>
    <cellStyle name="Heading 2 42 2 11 3" xfId="9010" xr:uid="{00000000-0005-0000-0000-00001B230000}"/>
    <cellStyle name="Heading 2 42 2 11 4" xfId="9011" xr:uid="{00000000-0005-0000-0000-00001C230000}"/>
    <cellStyle name="Heading 2 42 2 12" xfId="9012" xr:uid="{00000000-0005-0000-0000-00001D230000}"/>
    <cellStyle name="Heading 2 42 2 12 2" xfId="9013" xr:uid="{00000000-0005-0000-0000-00001E230000}"/>
    <cellStyle name="Heading 2 42 2 12 2 2" xfId="9014" xr:uid="{00000000-0005-0000-0000-00001F230000}"/>
    <cellStyle name="Heading 2 42 2 12 2 3" xfId="9015" xr:uid="{00000000-0005-0000-0000-000020230000}"/>
    <cellStyle name="Heading 2 42 2 12 3" xfId="9016" xr:uid="{00000000-0005-0000-0000-000021230000}"/>
    <cellStyle name="Heading 2 42 2 12 4" xfId="9017" xr:uid="{00000000-0005-0000-0000-000022230000}"/>
    <cellStyle name="Heading 2 42 2 13" xfId="9018" xr:uid="{00000000-0005-0000-0000-000023230000}"/>
    <cellStyle name="Heading 2 42 2 13 2" xfId="9019" xr:uid="{00000000-0005-0000-0000-000024230000}"/>
    <cellStyle name="Heading 2 42 2 13 2 2" xfId="9020" xr:uid="{00000000-0005-0000-0000-000025230000}"/>
    <cellStyle name="Heading 2 42 2 13 2 3" xfId="9021" xr:uid="{00000000-0005-0000-0000-000026230000}"/>
    <cellStyle name="Heading 2 42 2 13 3" xfId="9022" xr:uid="{00000000-0005-0000-0000-000027230000}"/>
    <cellStyle name="Heading 2 42 2 13 4" xfId="9023" xr:uid="{00000000-0005-0000-0000-000028230000}"/>
    <cellStyle name="Heading 2 42 2 14" xfId="9024" xr:uid="{00000000-0005-0000-0000-000029230000}"/>
    <cellStyle name="Heading 2 42 2 14 2" xfId="9025" xr:uid="{00000000-0005-0000-0000-00002A230000}"/>
    <cellStyle name="Heading 2 42 2 14 2 2" xfId="9026" xr:uid="{00000000-0005-0000-0000-00002B230000}"/>
    <cellStyle name="Heading 2 42 2 14 2 3" xfId="9027" xr:uid="{00000000-0005-0000-0000-00002C230000}"/>
    <cellStyle name="Heading 2 42 2 14 3" xfId="9028" xr:uid="{00000000-0005-0000-0000-00002D230000}"/>
    <cellStyle name="Heading 2 42 2 14 4" xfId="9029" xr:uid="{00000000-0005-0000-0000-00002E230000}"/>
    <cellStyle name="Heading 2 42 2 15" xfId="9030" xr:uid="{00000000-0005-0000-0000-00002F230000}"/>
    <cellStyle name="Heading 2 42 2 15 2" xfId="9031" xr:uid="{00000000-0005-0000-0000-000030230000}"/>
    <cellStyle name="Heading 2 42 2 15 2 2" xfId="9032" xr:uid="{00000000-0005-0000-0000-000031230000}"/>
    <cellStyle name="Heading 2 42 2 15 2 3" xfId="9033" xr:uid="{00000000-0005-0000-0000-000032230000}"/>
    <cellStyle name="Heading 2 42 2 15 3" xfId="9034" xr:uid="{00000000-0005-0000-0000-000033230000}"/>
    <cellStyle name="Heading 2 42 2 15 4" xfId="9035" xr:uid="{00000000-0005-0000-0000-000034230000}"/>
    <cellStyle name="Heading 2 42 2 16" xfId="9036" xr:uid="{00000000-0005-0000-0000-000035230000}"/>
    <cellStyle name="Heading 2 42 2 16 2" xfId="9037" xr:uid="{00000000-0005-0000-0000-000036230000}"/>
    <cellStyle name="Heading 2 42 2 16 2 2" xfId="9038" xr:uid="{00000000-0005-0000-0000-000037230000}"/>
    <cellStyle name="Heading 2 42 2 16 2 3" xfId="9039" xr:uid="{00000000-0005-0000-0000-000038230000}"/>
    <cellStyle name="Heading 2 42 2 16 3" xfId="9040" xr:uid="{00000000-0005-0000-0000-000039230000}"/>
    <cellStyle name="Heading 2 42 2 16 4" xfId="9041" xr:uid="{00000000-0005-0000-0000-00003A230000}"/>
    <cellStyle name="Heading 2 42 2 17" xfId="9042" xr:uid="{00000000-0005-0000-0000-00003B230000}"/>
    <cellStyle name="Heading 2 42 2 17 2" xfId="9043" xr:uid="{00000000-0005-0000-0000-00003C230000}"/>
    <cellStyle name="Heading 2 42 2 17 2 2" xfId="9044" xr:uid="{00000000-0005-0000-0000-00003D230000}"/>
    <cellStyle name="Heading 2 42 2 17 2 3" xfId="9045" xr:uid="{00000000-0005-0000-0000-00003E230000}"/>
    <cellStyle name="Heading 2 42 2 17 3" xfId="9046" xr:uid="{00000000-0005-0000-0000-00003F230000}"/>
    <cellStyle name="Heading 2 42 2 17 4" xfId="9047" xr:uid="{00000000-0005-0000-0000-000040230000}"/>
    <cellStyle name="Heading 2 42 2 18" xfId="9048" xr:uid="{00000000-0005-0000-0000-000041230000}"/>
    <cellStyle name="Heading 2 42 2 18 2" xfId="9049" xr:uid="{00000000-0005-0000-0000-000042230000}"/>
    <cellStyle name="Heading 2 42 2 18 3" xfId="9050" xr:uid="{00000000-0005-0000-0000-000043230000}"/>
    <cellStyle name="Heading 2 42 2 18 4" xfId="9051" xr:uid="{00000000-0005-0000-0000-000044230000}"/>
    <cellStyle name="Heading 2 42 2 19" xfId="9052" xr:uid="{00000000-0005-0000-0000-000045230000}"/>
    <cellStyle name="Heading 2 42 2 2" xfId="9053" xr:uid="{00000000-0005-0000-0000-000046230000}"/>
    <cellStyle name="Heading 2 42 2 2 2" xfId="9054" xr:uid="{00000000-0005-0000-0000-000047230000}"/>
    <cellStyle name="Heading 2 42 2 2 2 2" xfId="9055" xr:uid="{00000000-0005-0000-0000-000048230000}"/>
    <cellStyle name="Heading 2 42 2 2 2 3" xfId="9056" xr:uid="{00000000-0005-0000-0000-000049230000}"/>
    <cellStyle name="Heading 2 42 2 2 3" xfId="9057" xr:uid="{00000000-0005-0000-0000-00004A230000}"/>
    <cellStyle name="Heading 2 42 2 2 4" xfId="9058" xr:uid="{00000000-0005-0000-0000-00004B230000}"/>
    <cellStyle name="Heading 2 42 2 20" xfId="9059" xr:uid="{00000000-0005-0000-0000-00004C230000}"/>
    <cellStyle name="Heading 2 42 2 21" xfId="9060" xr:uid="{00000000-0005-0000-0000-00004D230000}"/>
    <cellStyle name="Heading 2 42 2 3" xfId="9061" xr:uid="{00000000-0005-0000-0000-00004E230000}"/>
    <cellStyle name="Heading 2 42 2 3 2" xfId="9062" xr:uid="{00000000-0005-0000-0000-00004F230000}"/>
    <cellStyle name="Heading 2 42 2 3 2 2" xfId="9063" xr:uid="{00000000-0005-0000-0000-000050230000}"/>
    <cellStyle name="Heading 2 42 2 3 2 3" xfId="9064" xr:uid="{00000000-0005-0000-0000-000051230000}"/>
    <cellStyle name="Heading 2 42 2 3 3" xfId="9065" xr:uid="{00000000-0005-0000-0000-000052230000}"/>
    <cellStyle name="Heading 2 42 2 3 4" xfId="9066" xr:uid="{00000000-0005-0000-0000-000053230000}"/>
    <cellStyle name="Heading 2 42 2 4" xfId="9067" xr:uid="{00000000-0005-0000-0000-000054230000}"/>
    <cellStyle name="Heading 2 42 2 4 2" xfId="9068" xr:uid="{00000000-0005-0000-0000-000055230000}"/>
    <cellStyle name="Heading 2 42 2 4 2 2" xfId="9069" xr:uid="{00000000-0005-0000-0000-000056230000}"/>
    <cellStyle name="Heading 2 42 2 4 2 3" xfId="9070" xr:uid="{00000000-0005-0000-0000-000057230000}"/>
    <cellStyle name="Heading 2 42 2 4 3" xfId="9071" xr:uid="{00000000-0005-0000-0000-000058230000}"/>
    <cellStyle name="Heading 2 42 2 4 4" xfId="9072" xr:uid="{00000000-0005-0000-0000-000059230000}"/>
    <cellStyle name="Heading 2 42 2 5" xfId="9073" xr:uid="{00000000-0005-0000-0000-00005A230000}"/>
    <cellStyle name="Heading 2 42 2 5 2" xfId="9074" xr:uid="{00000000-0005-0000-0000-00005B230000}"/>
    <cellStyle name="Heading 2 42 2 5 2 2" xfId="9075" xr:uid="{00000000-0005-0000-0000-00005C230000}"/>
    <cellStyle name="Heading 2 42 2 5 2 3" xfId="9076" xr:uid="{00000000-0005-0000-0000-00005D230000}"/>
    <cellStyle name="Heading 2 42 2 5 3" xfId="9077" xr:uid="{00000000-0005-0000-0000-00005E230000}"/>
    <cellStyle name="Heading 2 42 2 5 4" xfId="9078" xr:uid="{00000000-0005-0000-0000-00005F230000}"/>
    <cellStyle name="Heading 2 42 2 6" xfId="9079" xr:uid="{00000000-0005-0000-0000-000060230000}"/>
    <cellStyle name="Heading 2 42 2 6 2" xfId="9080" xr:uid="{00000000-0005-0000-0000-000061230000}"/>
    <cellStyle name="Heading 2 42 2 6 2 2" xfId="9081" xr:uid="{00000000-0005-0000-0000-000062230000}"/>
    <cellStyle name="Heading 2 42 2 6 2 3" xfId="9082" xr:uid="{00000000-0005-0000-0000-000063230000}"/>
    <cellStyle name="Heading 2 42 2 6 3" xfId="9083" xr:uid="{00000000-0005-0000-0000-000064230000}"/>
    <cellStyle name="Heading 2 42 2 6 4" xfId="9084" xr:uid="{00000000-0005-0000-0000-000065230000}"/>
    <cellStyle name="Heading 2 42 2 7" xfId="9085" xr:uid="{00000000-0005-0000-0000-000066230000}"/>
    <cellStyle name="Heading 2 42 2 7 2" xfId="9086" xr:uid="{00000000-0005-0000-0000-000067230000}"/>
    <cellStyle name="Heading 2 42 2 7 2 2" xfId="9087" xr:uid="{00000000-0005-0000-0000-000068230000}"/>
    <cellStyle name="Heading 2 42 2 7 2 3" xfId="9088" xr:uid="{00000000-0005-0000-0000-000069230000}"/>
    <cellStyle name="Heading 2 42 2 7 3" xfId="9089" xr:uid="{00000000-0005-0000-0000-00006A230000}"/>
    <cellStyle name="Heading 2 42 2 7 4" xfId="9090" xr:uid="{00000000-0005-0000-0000-00006B230000}"/>
    <cellStyle name="Heading 2 42 2 8" xfId="9091" xr:uid="{00000000-0005-0000-0000-00006C230000}"/>
    <cellStyle name="Heading 2 42 2 8 2" xfId="9092" xr:uid="{00000000-0005-0000-0000-00006D230000}"/>
    <cellStyle name="Heading 2 42 2 8 2 2" xfId="9093" xr:uid="{00000000-0005-0000-0000-00006E230000}"/>
    <cellStyle name="Heading 2 42 2 8 2 3" xfId="9094" xr:uid="{00000000-0005-0000-0000-00006F230000}"/>
    <cellStyle name="Heading 2 42 2 8 3" xfId="9095" xr:uid="{00000000-0005-0000-0000-000070230000}"/>
    <cellStyle name="Heading 2 42 2 8 4" xfId="9096" xr:uid="{00000000-0005-0000-0000-000071230000}"/>
    <cellStyle name="Heading 2 42 2 9" xfId="9097" xr:uid="{00000000-0005-0000-0000-000072230000}"/>
    <cellStyle name="Heading 2 42 2 9 2" xfId="9098" xr:uid="{00000000-0005-0000-0000-000073230000}"/>
    <cellStyle name="Heading 2 42 2 9 2 2" xfId="9099" xr:uid="{00000000-0005-0000-0000-000074230000}"/>
    <cellStyle name="Heading 2 42 2 9 2 3" xfId="9100" xr:uid="{00000000-0005-0000-0000-000075230000}"/>
    <cellStyle name="Heading 2 42 2 9 3" xfId="9101" xr:uid="{00000000-0005-0000-0000-000076230000}"/>
    <cellStyle name="Heading 2 42 2 9 4" xfId="9102" xr:uid="{00000000-0005-0000-0000-000077230000}"/>
    <cellStyle name="Heading 2 42 3" xfId="9103" xr:uid="{00000000-0005-0000-0000-000078230000}"/>
    <cellStyle name="Heading 2 42 4" xfId="9104" xr:uid="{00000000-0005-0000-0000-000079230000}"/>
    <cellStyle name="Heading 2 43" xfId="9105" xr:uid="{00000000-0005-0000-0000-00007A230000}"/>
    <cellStyle name="Heading 2 43 2" xfId="9106" xr:uid="{00000000-0005-0000-0000-00007B230000}"/>
    <cellStyle name="Heading 2 43 2 10" xfId="9107" xr:uid="{00000000-0005-0000-0000-00007C230000}"/>
    <cellStyle name="Heading 2 43 2 10 2" xfId="9108" xr:uid="{00000000-0005-0000-0000-00007D230000}"/>
    <cellStyle name="Heading 2 43 2 10 2 2" xfId="9109" xr:uid="{00000000-0005-0000-0000-00007E230000}"/>
    <cellStyle name="Heading 2 43 2 10 2 3" xfId="9110" xr:uid="{00000000-0005-0000-0000-00007F230000}"/>
    <cellStyle name="Heading 2 43 2 10 3" xfId="9111" xr:uid="{00000000-0005-0000-0000-000080230000}"/>
    <cellStyle name="Heading 2 43 2 10 4" xfId="9112" xr:uid="{00000000-0005-0000-0000-000081230000}"/>
    <cellStyle name="Heading 2 43 2 11" xfId="9113" xr:uid="{00000000-0005-0000-0000-000082230000}"/>
    <cellStyle name="Heading 2 43 2 11 2" xfId="9114" xr:uid="{00000000-0005-0000-0000-000083230000}"/>
    <cellStyle name="Heading 2 43 2 11 2 2" xfId="9115" xr:uid="{00000000-0005-0000-0000-000084230000}"/>
    <cellStyle name="Heading 2 43 2 11 2 3" xfId="9116" xr:uid="{00000000-0005-0000-0000-000085230000}"/>
    <cellStyle name="Heading 2 43 2 11 3" xfId="9117" xr:uid="{00000000-0005-0000-0000-000086230000}"/>
    <cellStyle name="Heading 2 43 2 11 4" xfId="9118" xr:uid="{00000000-0005-0000-0000-000087230000}"/>
    <cellStyle name="Heading 2 43 2 12" xfId="9119" xr:uid="{00000000-0005-0000-0000-000088230000}"/>
    <cellStyle name="Heading 2 43 2 12 2" xfId="9120" xr:uid="{00000000-0005-0000-0000-000089230000}"/>
    <cellStyle name="Heading 2 43 2 12 2 2" xfId="9121" xr:uid="{00000000-0005-0000-0000-00008A230000}"/>
    <cellStyle name="Heading 2 43 2 12 2 3" xfId="9122" xr:uid="{00000000-0005-0000-0000-00008B230000}"/>
    <cellStyle name="Heading 2 43 2 12 3" xfId="9123" xr:uid="{00000000-0005-0000-0000-00008C230000}"/>
    <cellStyle name="Heading 2 43 2 12 4" xfId="9124" xr:uid="{00000000-0005-0000-0000-00008D230000}"/>
    <cellStyle name="Heading 2 43 2 13" xfId="9125" xr:uid="{00000000-0005-0000-0000-00008E230000}"/>
    <cellStyle name="Heading 2 43 2 13 2" xfId="9126" xr:uid="{00000000-0005-0000-0000-00008F230000}"/>
    <cellStyle name="Heading 2 43 2 13 2 2" xfId="9127" xr:uid="{00000000-0005-0000-0000-000090230000}"/>
    <cellStyle name="Heading 2 43 2 13 2 3" xfId="9128" xr:uid="{00000000-0005-0000-0000-000091230000}"/>
    <cellStyle name="Heading 2 43 2 13 3" xfId="9129" xr:uid="{00000000-0005-0000-0000-000092230000}"/>
    <cellStyle name="Heading 2 43 2 13 4" xfId="9130" xr:uid="{00000000-0005-0000-0000-000093230000}"/>
    <cellStyle name="Heading 2 43 2 14" xfId="9131" xr:uid="{00000000-0005-0000-0000-000094230000}"/>
    <cellStyle name="Heading 2 43 2 14 2" xfId="9132" xr:uid="{00000000-0005-0000-0000-000095230000}"/>
    <cellStyle name="Heading 2 43 2 14 2 2" xfId="9133" xr:uid="{00000000-0005-0000-0000-000096230000}"/>
    <cellStyle name="Heading 2 43 2 14 2 3" xfId="9134" xr:uid="{00000000-0005-0000-0000-000097230000}"/>
    <cellStyle name="Heading 2 43 2 14 3" xfId="9135" xr:uid="{00000000-0005-0000-0000-000098230000}"/>
    <cellStyle name="Heading 2 43 2 14 4" xfId="9136" xr:uid="{00000000-0005-0000-0000-000099230000}"/>
    <cellStyle name="Heading 2 43 2 15" xfId="9137" xr:uid="{00000000-0005-0000-0000-00009A230000}"/>
    <cellStyle name="Heading 2 43 2 15 2" xfId="9138" xr:uid="{00000000-0005-0000-0000-00009B230000}"/>
    <cellStyle name="Heading 2 43 2 15 2 2" xfId="9139" xr:uid="{00000000-0005-0000-0000-00009C230000}"/>
    <cellStyle name="Heading 2 43 2 15 2 3" xfId="9140" xr:uid="{00000000-0005-0000-0000-00009D230000}"/>
    <cellStyle name="Heading 2 43 2 15 3" xfId="9141" xr:uid="{00000000-0005-0000-0000-00009E230000}"/>
    <cellStyle name="Heading 2 43 2 15 4" xfId="9142" xr:uid="{00000000-0005-0000-0000-00009F230000}"/>
    <cellStyle name="Heading 2 43 2 16" xfId="9143" xr:uid="{00000000-0005-0000-0000-0000A0230000}"/>
    <cellStyle name="Heading 2 43 2 16 2" xfId="9144" xr:uid="{00000000-0005-0000-0000-0000A1230000}"/>
    <cellStyle name="Heading 2 43 2 16 2 2" xfId="9145" xr:uid="{00000000-0005-0000-0000-0000A2230000}"/>
    <cellStyle name="Heading 2 43 2 16 2 3" xfId="9146" xr:uid="{00000000-0005-0000-0000-0000A3230000}"/>
    <cellStyle name="Heading 2 43 2 16 3" xfId="9147" xr:uid="{00000000-0005-0000-0000-0000A4230000}"/>
    <cellStyle name="Heading 2 43 2 16 4" xfId="9148" xr:uid="{00000000-0005-0000-0000-0000A5230000}"/>
    <cellStyle name="Heading 2 43 2 17" xfId="9149" xr:uid="{00000000-0005-0000-0000-0000A6230000}"/>
    <cellStyle name="Heading 2 43 2 17 2" xfId="9150" xr:uid="{00000000-0005-0000-0000-0000A7230000}"/>
    <cellStyle name="Heading 2 43 2 17 2 2" xfId="9151" xr:uid="{00000000-0005-0000-0000-0000A8230000}"/>
    <cellStyle name="Heading 2 43 2 17 2 3" xfId="9152" xr:uid="{00000000-0005-0000-0000-0000A9230000}"/>
    <cellStyle name="Heading 2 43 2 17 3" xfId="9153" xr:uid="{00000000-0005-0000-0000-0000AA230000}"/>
    <cellStyle name="Heading 2 43 2 17 4" xfId="9154" xr:uid="{00000000-0005-0000-0000-0000AB230000}"/>
    <cellStyle name="Heading 2 43 2 18" xfId="9155" xr:uid="{00000000-0005-0000-0000-0000AC230000}"/>
    <cellStyle name="Heading 2 43 2 18 2" xfId="9156" xr:uid="{00000000-0005-0000-0000-0000AD230000}"/>
    <cellStyle name="Heading 2 43 2 18 3" xfId="9157" xr:uid="{00000000-0005-0000-0000-0000AE230000}"/>
    <cellStyle name="Heading 2 43 2 18 4" xfId="9158" xr:uid="{00000000-0005-0000-0000-0000AF230000}"/>
    <cellStyle name="Heading 2 43 2 19" xfId="9159" xr:uid="{00000000-0005-0000-0000-0000B0230000}"/>
    <cellStyle name="Heading 2 43 2 2" xfId="9160" xr:uid="{00000000-0005-0000-0000-0000B1230000}"/>
    <cellStyle name="Heading 2 43 2 2 2" xfId="9161" xr:uid="{00000000-0005-0000-0000-0000B2230000}"/>
    <cellStyle name="Heading 2 43 2 2 2 2" xfId="9162" xr:uid="{00000000-0005-0000-0000-0000B3230000}"/>
    <cellStyle name="Heading 2 43 2 2 2 3" xfId="9163" xr:uid="{00000000-0005-0000-0000-0000B4230000}"/>
    <cellStyle name="Heading 2 43 2 2 3" xfId="9164" xr:uid="{00000000-0005-0000-0000-0000B5230000}"/>
    <cellStyle name="Heading 2 43 2 2 4" xfId="9165" xr:uid="{00000000-0005-0000-0000-0000B6230000}"/>
    <cellStyle name="Heading 2 43 2 20" xfId="9166" xr:uid="{00000000-0005-0000-0000-0000B7230000}"/>
    <cellStyle name="Heading 2 43 2 21" xfId="9167" xr:uid="{00000000-0005-0000-0000-0000B8230000}"/>
    <cellStyle name="Heading 2 43 2 3" xfId="9168" xr:uid="{00000000-0005-0000-0000-0000B9230000}"/>
    <cellStyle name="Heading 2 43 2 3 2" xfId="9169" xr:uid="{00000000-0005-0000-0000-0000BA230000}"/>
    <cellStyle name="Heading 2 43 2 3 2 2" xfId="9170" xr:uid="{00000000-0005-0000-0000-0000BB230000}"/>
    <cellStyle name="Heading 2 43 2 3 2 3" xfId="9171" xr:uid="{00000000-0005-0000-0000-0000BC230000}"/>
    <cellStyle name="Heading 2 43 2 3 3" xfId="9172" xr:uid="{00000000-0005-0000-0000-0000BD230000}"/>
    <cellStyle name="Heading 2 43 2 3 4" xfId="9173" xr:uid="{00000000-0005-0000-0000-0000BE230000}"/>
    <cellStyle name="Heading 2 43 2 4" xfId="9174" xr:uid="{00000000-0005-0000-0000-0000BF230000}"/>
    <cellStyle name="Heading 2 43 2 4 2" xfId="9175" xr:uid="{00000000-0005-0000-0000-0000C0230000}"/>
    <cellStyle name="Heading 2 43 2 4 2 2" xfId="9176" xr:uid="{00000000-0005-0000-0000-0000C1230000}"/>
    <cellStyle name="Heading 2 43 2 4 2 3" xfId="9177" xr:uid="{00000000-0005-0000-0000-0000C2230000}"/>
    <cellStyle name="Heading 2 43 2 4 3" xfId="9178" xr:uid="{00000000-0005-0000-0000-0000C3230000}"/>
    <cellStyle name="Heading 2 43 2 4 4" xfId="9179" xr:uid="{00000000-0005-0000-0000-0000C4230000}"/>
    <cellStyle name="Heading 2 43 2 5" xfId="9180" xr:uid="{00000000-0005-0000-0000-0000C5230000}"/>
    <cellStyle name="Heading 2 43 2 5 2" xfId="9181" xr:uid="{00000000-0005-0000-0000-0000C6230000}"/>
    <cellStyle name="Heading 2 43 2 5 2 2" xfId="9182" xr:uid="{00000000-0005-0000-0000-0000C7230000}"/>
    <cellStyle name="Heading 2 43 2 5 2 3" xfId="9183" xr:uid="{00000000-0005-0000-0000-0000C8230000}"/>
    <cellStyle name="Heading 2 43 2 5 3" xfId="9184" xr:uid="{00000000-0005-0000-0000-0000C9230000}"/>
    <cellStyle name="Heading 2 43 2 5 4" xfId="9185" xr:uid="{00000000-0005-0000-0000-0000CA230000}"/>
    <cellStyle name="Heading 2 43 2 6" xfId="9186" xr:uid="{00000000-0005-0000-0000-0000CB230000}"/>
    <cellStyle name="Heading 2 43 2 6 2" xfId="9187" xr:uid="{00000000-0005-0000-0000-0000CC230000}"/>
    <cellStyle name="Heading 2 43 2 6 2 2" xfId="9188" xr:uid="{00000000-0005-0000-0000-0000CD230000}"/>
    <cellStyle name="Heading 2 43 2 6 2 3" xfId="9189" xr:uid="{00000000-0005-0000-0000-0000CE230000}"/>
    <cellStyle name="Heading 2 43 2 6 3" xfId="9190" xr:uid="{00000000-0005-0000-0000-0000CF230000}"/>
    <cellStyle name="Heading 2 43 2 6 4" xfId="9191" xr:uid="{00000000-0005-0000-0000-0000D0230000}"/>
    <cellStyle name="Heading 2 43 2 7" xfId="9192" xr:uid="{00000000-0005-0000-0000-0000D1230000}"/>
    <cellStyle name="Heading 2 43 2 7 2" xfId="9193" xr:uid="{00000000-0005-0000-0000-0000D2230000}"/>
    <cellStyle name="Heading 2 43 2 7 2 2" xfId="9194" xr:uid="{00000000-0005-0000-0000-0000D3230000}"/>
    <cellStyle name="Heading 2 43 2 7 2 3" xfId="9195" xr:uid="{00000000-0005-0000-0000-0000D4230000}"/>
    <cellStyle name="Heading 2 43 2 7 3" xfId="9196" xr:uid="{00000000-0005-0000-0000-0000D5230000}"/>
    <cellStyle name="Heading 2 43 2 7 4" xfId="9197" xr:uid="{00000000-0005-0000-0000-0000D6230000}"/>
    <cellStyle name="Heading 2 43 2 8" xfId="9198" xr:uid="{00000000-0005-0000-0000-0000D7230000}"/>
    <cellStyle name="Heading 2 43 2 8 2" xfId="9199" xr:uid="{00000000-0005-0000-0000-0000D8230000}"/>
    <cellStyle name="Heading 2 43 2 8 2 2" xfId="9200" xr:uid="{00000000-0005-0000-0000-0000D9230000}"/>
    <cellStyle name="Heading 2 43 2 8 2 3" xfId="9201" xr:uid="{00000000-0005-0000-0000-0000DA230000}"/>
    <cellStyle name="Heading 2 43 2 8 3" xfId="9202" xr:uid="{00000000-0005-0000-0000-0000DB230000}"/>
    <cellStyle name="Heading 2 43 2 8 4" xfId="9203" xr:uid="{00000000-0005-0000-0000-0000DC230000}"/>
    <cellStyle name="Heading 2 43 2 9" xfId="9204" xr:uid="{00000000-0005-0000-0000-0000DD230000}"/>
    <cellStyle name="Heading 2 43 2 9 2" xfId="9205" xr:uid="{00000000-0005-0000-0000-0000DE230000}"/>
    <cellStyle name="Heading 2 43 2 9 2 2" xfId="9206" xr:uid="{00000000-0005-0000-0000-0000DF230000}"/>
    <cellStyle name="Heading 2 43 2 9 2 3" xfId="9207" xr:uid="{00000000-0005-0000-0000-0000E0230000}"/>
    <cellStyle name="Heading 2 43 2 9 3" xfId="9208" xr:uid="{00000000-0005-0000-0000-0000E1230000}"/>
    <cellStyle name="Heading 2 43 2 9 4" xfId="9209" xr:uid="{00000000-0005-0000-0000-0000E2230000}"/>
    <cellStyle name="Heading 2 43 3" xfId="9210" xr:uid="{00000000-0005-0000-0000-0000E3230000}"/>
    <cellStyle name="Heading 2 43 4" xfId="9211" xr:uid="{00000000-0005-0000-0000-0000E4230000}"/>
    <cellStyle name="Heading 2 44" xfId="9212" xr:uid="{00000000-0005-0000-0000-0000E5230000}"/>
    <cellStyle name="Heading 2 44 2" xfId="9213" xr:uid="{00000000-0005-0000-0000-0000E6230000}"/>
    <cellStyle name="Heading 2 44 2 10" xfId="9214" xr:uid="{00000000-0005-0000-0000-0000E7230000}"/>
    <cellStyle name="Heading 2 44 2 10 2" xfId="9215" xr:uid="{00000000-0005-0000-0000-0000E8230000}"/>
    <cellStyle name="Heading 2 44 2 10 2 2" xfId="9216" xr:uid="{00000000-0005-0000-0000-0000E9230000}"/>
    <cellStyle name="Heading 2 44 2 10 2 3" xfId="9217" xr:uid="{00000000-0005-0000-0000-0000EA230000}"/>
    <cellStyle name="Heading 2 44 2 10 3" xfId="9218" xr:uid="{00000000-0005-0000-0000-0000EB230000}"/>
    <cellStyle name="Heading 2 44 2 10 4" xfId="9219" xr:uid="{00000000-0005-0000-0000-0000EC230000}"/>
    <cellStyle name="Heading 2 44 2 11" xfId="9220" xr:uid="{00000000-0005-0000-0000-0000ED230000}"/>
    <cellStyle name="Heading 2 44 2 11 2" xfId="9221" xr:uid="{00000000-0005-0000-0000-0000EE230000}"/>
    <cellStyle name="Heading 2 44 2 11 2 2" xfId="9222" xr:uid="{00000000-0005-0000-0000-0000EF230000}"/>
    <cellStyle name="Heading 2 44 2 11 2 3" xfId="9223" xr:uid="{00000000-0005-0000-0000-0000F0230000}"/>
    <cellStyle name="Heading 2 44 2 11 3" xfId="9224" xr:uid="{00000000-0005-0000-0000-0000F1230000}"/>
    <cellStyle name="Heading 2 44 2 11 4" xfId="9225" xr:uid="{00000000-0005-0000-0000-0000F2230000}"/>
    <cellStyle name="Heading 2 44 2 12" xfId="9226" xr:uid="{00000000-0005-0000-0000-0000F3230000}"/>
    <cellStyle name="Heading 2 44 2 12 2" xfId="9227" xr:uid="{00000000-0005-0000-0000-0000F4230000}"/>
    <cellStyle name="Heading 2 44 2 12 2 2" xfId="9228" xr:uid="{00000000-0005-0000-0000-0000F5230000}"/>
    <cellStyle name="Heading 2 44 2 12 2 3" xfId="9229" xr:uid="{00000000-0005-0000-0000-0000F6230000}"/>
    <cellStyle name="Heading 2 44 2 12 3" xfId="9230" xr:uid="{00000000-0005-0000-0000-0000F7230000}"/>
    <cellStyle name="Heading 2 44 2 12 4" xfId="9231" xr:uid="{00000000-0005-0000-0000-0000F8230000}"/>
    <cellStyle name="Heading 2 44 2 13" xfId="9232" xr:uid="{00000000-0005-0000-0000-0000F9230000}"/>
    <cellStyle name="Heading 2 44 2 13 2" xfId="9233" xr:uid="{00000000-0005-0000-0000-0000FA230000}"/>
    <cellStyle name="Heading 2 44 2 13 2 2" xfId="9234" xr:uid="{00000000-0005-0000-0000-0000FB230000}"/>
    <cellStyle name="Heading 2 44 2 13 2 3" xfId="9235" xr:uid="{00000000-0005-0000-0000-0000FC230000}"/>
    <cellStyle name="Heading 2 44 2 13 3" xfId="9236" xr:uid="{00000000-0005-0000-0000-0000FD230000}"/>
    <cellStyle name="Heading 2 44 2 13 4" xfId="9237" xr:uid="{00000000-0005-0000-0000-0000FE230000}"/>
    <cellStyle name="Heading 2 44 2 14" xfId="9238" xr:uid="{00000000-0005-0000-0000-0000FF230000}"/>
    <cellStyle name="Heading 2 44 2 14 2" xfId="9239" xr:uid="{00000000-0005-0000-0000-000000240000}"/>
    <cellStyle name="Heading 2 44 2 14 2 2" xfId="9240" xr:uid="{00000000-0005-0000-0000-000001240000}"/>
    <cellStyle name="Heading 2 44 2 14 2 3" xfId="9241" xr:uid="{00000000-0005-0000-0000-000002240000}"/>
    <cellStyle name="Heading 2 44 2 14 3" xfId="9242" xr:uid="{00000000-0005-0000-0000-000003240000}"/>
    <cellStyle name="Heading 2 44 2 14 4" xfId="9243" xr:uid="{00000000-0005-0000-0000-000004240000}"/>
    <cellStyle name="Heading 2 44 2 15" xfId="9244" xr:uid="{00000000-0005-0000-0000-000005240000}"/>
    <cellStyle name="Heading 2 44 2 15 2" xfId="9245" xr:uid="{00000000-0005-0000-0000-000006240000}"/>
    <cellStyle name="Heading 2 44 2 15 2 2" xfId="9246" xr:uid="{00000000-0005-0000-0000-000007240000}"/>
    <cellStyle name="Heading 2 44 2 15 2 3" xfId="9247" xr:uid="{00000000-0005-0000-0000-000008240000}"/>
    <cellStyle name="Heading 2 44 2 15 3" xfId="9248" xr:uid="{00000000-0005-0000-0000-000009240000}"/>
    <cellStyle name="Heading 2 44 2 15 4" xfId="9249" xr:uid="{00000000-0005-0000-0000-00000A240000}"/>
    <cellStyle name="Heading 2 44 2 16" xfId="9250" xr:uid="{00000000-0005-0000-0000-00000B240000}"/>
    <cellStyle name="Heading 2 44 2 16 2" xfId="9251" xr:uid="{00000000-0005-0000-0000-00000C240000}"/>
    <cellStyle name="Heading 2 44 2 16 2 2" xfId="9252" xr:uid="{00000000-0005-0000-0000-00000D240000}"/>
    <cellStyle name="Heading 2 44 2 16 2 3" xfId="9253" xr:uid="{00000000-0005-0000-0000-00000E240000}"/>
    <cellStyle name="Heading 2 44 2 16 3" xfId="9254" xr:uid="{00000000-0005-0000-0000-00000F240000}"/>
    <cellStyle name="Heading 2 44 2 16 4" xfId="9255" xr:uid="{00000000-0005-0000-0000-000010240000}"/>
    <cellStyle name="Heading 2 44 2 17" xfId="9256" xr:uid="{00000000-0005-0000-0000-000011240000}"/>
    <cellStyle name="Heading 2 44 2 17 2" xfId="9257" xr:uid="{00000000-0005-0000-0000-000012240000}"/>
    <cellStyle name="Heading 2 44 2 17 2 2" xfId="9258" xr:uid="{00000000-0005-0000-0000-000013240000}"/>
    <cellStyle name="Heading 2 44 2 17 2 3" xfId="9259" xr:uid="{00000000-0005-0000-0000-000014240000}"/>
    <cellStyle name="Heading 2 44 2 17 3" xfId="9260" xr:uid="{00000000-0005-0000-0000-000015240000}"/>
    <cellStyle name="Heading 2 44 2 17 4" xfId="9261" xr:uid="{00000000-0005-0000-0000-000016240000}"/>
    <cellStyle name="Heading 2 44 2 18" xfId="9262" xr:uid="{00000000-0005-0000-0000-000017240000}"/>
    <cellStyle name="Heading 2 44 2 18 2" xfId="9263" xr:uid="{00000000-0005-0000-0000-000018240000}"/>
    <cellStyle name="Heading 2 44 2 18 3" xfId="9264" xr:uid="{00000000-0005-0000-0000-000019240000}"/>
    <cellStyle name="Heading 2 44 2 18 4" xfId="9265" xr:uid="{00000000-0005-0000-0000-00001A240000}"/>
    <cellStyle name="Heading 2 44 2 19" xfId="9266" xr:uid="{00000000-0005-0000-0000-00001B240000}"/>
    <cellStyle name="Heading 2 44 2 2" xfId="9267" xr:uid="{00000000-0005-0000-0000-00001C240000}"/>
    <cellStyle name="Heading 2 44 2 2 2" xfId="9268" xr:uid="{00000000-0005-0000-0000-00001D240000}"/>
    <cellStyle name="Heading 2 44 2 2 2 2" xfId="9269" xr:uid="{00000000-0005-0000-0000-00001E240000}"/>
    <cellStyle name="Heading 2 44 2 2 2 3" xfId="9270" xr:uid="{00000000-0005-0000-0000-00001F240000}"/>
    <cellStyle name="Heading 2 44 2 2 3" xfId="9271" xr:uid="{00000000-0005-0000-0000-000020240000}"/>
    <cellStyle name="Heading 2 44 2 2 4" xfId="9272" xr:uid="{00000000-0005-0000-0000-000021240000}"/>
    <cellStyle name="Heading 2 44 2 20" xfId="9273" xr:uid="{00000000-0005-0000-0000-000022240000}"/>
    <cellStyle name="Heading 2 44 2 21" xfId="9274" xr:uid="{00000000-0005-0000-0000-000023240000}"/>
    <cellStyle name="Heading 2 44 2 3" xfId="9275" xr:uid="{00000000-0005-0000-0000-000024240000}"/>
    <cellStyle name="Heading 2 44 2 3 2" xfId="9276" xr:uid="{00000000-0005-0000-0000-000025240000}"/>
    <cellStyle name="Heading 2 44 2 3 2 2" xfId="9277" xr:uid="{00000000-0005-0000-0000-000026240000}"/>
    <cellStyle name="Heading 2 44 2 3 2 3" xfId="9278" xr:uid="{00000000-0005-0000-0000-000027240000}"/>
    <cellStyle name="Heading 2 44 2 3 3" xfId="9279" xr:uid="{00000000-0005-0000-0000-000028240000}"/>
    <cellStyle name="Heading 2 44 2 3 4" xfId="9280" xr:uid="{00000000-0005-0000-0000-000029240000}"/>
    <cellStyle name="Heading 2 44 2 4" xfId="9281" xr:uid="{00000000-0005-0000-0000-00002A240000}"/>
    <cellStyle name="Heading 2 44 2 4 2" xfId="9282" xr:uid="{00000000-0005-0000-0000-00002B240000}"/>
    <cellStyle name="Heading 2 44 2 4 2 2" xfId="9283" xr:uid="{00000000-0005-0000-0000-00002C240000}"/>
    <cellStyle name="Heading 2 44 2 4 2 3" xfId="9284" xr:uid="{00000000-0005-0000-0000-00002D240000}"/>
    <cellStyle name="Heading 2 44 2 4 3" xfId="9285" xr:uid="{00000000-0005-0000-0000-00002E240000}"/>
    <cellStyle name="Heading 2 44 2 4 4" xfId="9286" xr:uid="{00000000-0005-0000-0000-00002F240000}"/>
    <cellStyle name="Heading 2 44 2 5" xfId="9287" xr:uid="{00000000-0005-0000-0000-000030240000}"/>
    <cellStyle name="Heading 2 44 2 5 2" xfId="9288" xr:uid="{00000000-0005-0000-0000-000031240000}"/>
    <cellStyle name="Heading 2 44 2 5 2 2" xfId="9289" xr:uid="{00000000-0005-0000-0000-000032240000}"/>
    <cellStyle name="Heading 2 44 2 5 2 3" xfId="9290" xr:uid="{00000000-0005-0000-0000-000033240000}"/>
    <cellStyle name="Heading 2 44 2 5 3" xfId="9291" xr:uid="{00000000-0005-0000-0000-000034240000}"/>
    <cellStyle name="Heading 2 44 2 5 4" xfId="9292" xr:uid="{00000000-0005-0000-0000-000035240000}"/>
    <cellStyle name="Heading 2 44 2 6" xfId="9293" xr:uid="{00000000-0005-0000-0000-000036240000}"/>
    <cellStyle name="Heading 2 44 2 6 2" xfId="9294" xr:uid="{00000000-0005-0000-0000-000037240000}"/>
    <cellStyle name="Heading 2 44 2 6 2 2" xfId="9295" xr:uid="{00000000-0005-0000-0000-000038240000}"/>
    <cellStyle name="Heading 2 44 2 6 2 3" xfId="9296" xr:uid="{00000000-0005-0000-0000-000039240000}"/>
    <cellStyle name="Heading 2 44 2 6 3" xfId="9297" xr:uid="{00000000-0005-0000-0000-00003A240000}"/>
    <cellStyle name="Heading 2 44 2 6 4" xfId="9298" xr:uid="{00000000-0005-0000-0000-00003B240000}"/>
    <cellStyle name="Heading 2 44 2 7" xfId="9299" xr:uid="{00000000-0005-0000-0000-00003C240000}"/>
    <cellStyle name="Heading 2 44 2 7 2" xfId="9300" xr:uid="{00000000-0005-0000-0000-00003D240000}"/>
    <cellStyle name="Heading 2 44 2 7 2 2" xfId="9301" xr:uid="{00000000-0005-0000-0000-00003E240000}"/>
    <cellStyle name="Heading 2 44 2 7 2 3" xfId="9302" xr:uid="{00000000-0005-0000-0000-00003F240000}"/>
    <cellStyle name="Heading 2 44 2 7 3" xfId="9303" xr:uid="{00000000-0005-0000-0000-000040240000}"/>
    <cellStyle name="Heading 2 44 2 7 4" xfId="9304" xr:uid="{00000000-0005-0000-0000-000041240000}"/>
    <cellStyle name="Heading 2 44 2 8" xfId="9305" xr:uid="{00000000-0005-0000-0000-000042240000}"/>
    <cellStyle name="Heading 2 44 2 8 2" xfId="9306" xr:uid="{00000000-0005-0000-0000-000043240000}"/>
    <cellStyle name="Heading 2 44 2 8 2 2" xfId="9307" xr:uid="{00000000-0005-0000-0000-000044240000}"/>
    <cellStyle name="Heading 2 44 2 8 2 3" xfId="9308" xr:uid="{00000000-0005-0000-0000-000045240000}"/>
    <cellStyle name="Heading 2 44 2 8 3" xfId="9309" xr:uid="{00000000-0005-0000-0000-000046240000}"/>
    <cellStyle name="Heading 2 44 2 8 4" xfId="9310" xr:uid="{00000000-0005-0000-0000-000047240000}"/>
    <cellStyle name="Heading 2 44 2 9" xfId="9311" xr:uid="{00000000-0005-0000-0000-000048240000}"/>
    <cellStyle name="Heading 2 44 2 9 2" xfId="9312" xr:uid="{00000000-0005-0000-0000-000049240000}"/>
    <cellStyle name="Heading 2 44 2 9 2 2" xfId="9313" xr:uid="{00000000-0005-0000-0000-00004A240000}"/>
    <cellStyle name="Heading 2 44 2 9 2 3" xfId="9314" xr:uid="{00000000-0005-0000-0000-00004B240000}"/>
    <cellStyle name="Heading 2 44 2 9 3" xfId="9315" xr:uid="{00000000-0005-0000-0000-00004C240000}"/>
    <cellStyle name="Heading 2 44 2 9 4" xfId="9316" xr:uid="{00000000-0005-0000-0000-00004D240000}"/>
    <cellStyle name="Heading 2 44 3" xfId="9317" xr:uid="{00000000-0005-0000-0000-00004E240000}"/>
    <cellStyle name="Heading 2 44 4" xfId="9318" xr:uid="{00000000-0005-0000-0000-00004F240000}"/>
    <cellStyle name="Heading 2 45" xfId="9319" xr:uid="{00000000-0005-0000-0000-000050240000}"/>
    <cellStyle name="Heading 2 45 2" xfId="9320" xr:uid="{00000000-0005-0000-0000-000051240000}"/>
    <cellStyle name="Heading 2 45 2 10" xfId="9321" xr:uid="{00000000-0005-0000-0000-000052240000}"/>
    <cellStyle name="Heading 2 45 2 10 2" xfId="9322" xr:uid="{00000000-0005-0000-0000-000053240000}"/>
    <cellStyle name="Heading 2 45 2 10 2 2" xfId="9323" xr:uid="{00000000-0005-0000-0000-000054240000}"/>
    <cellStyle name="Heading 2 45 2 10 2 3" xfId="9324" xr:uid="{00000000-0005-0000-0000-000055240000}"/>
    <cellStyle name="Heading 2 45 2 10 3" xfId="9325" xr:uid="{00000000-0005-0000-0000-000056240000}"/>
    <cellStyle name="Heading 2 45 2 10 4" xfId="9326" xr:uid="{00000000-0005-0000-0000-000057240000}"/>
    <cellStyle name="Heading 2 45 2 11" xfId="9327" xr:uid="{00000000-0005-0000-0000-000058240000}"/>
    <cellStyle name="Heading 2 45 2 11 2" xfId="9328" xr:uid="{00000000-0005-0000-0000-000059240000}"/>
    <cellStyle name="Heading 2 45 2 11 2 2" xfId="9329" xr:uid="{00000000-0005-0000-0000-00005A240000}"/>
    <cellStyle name="Heading 2 45 2 11 2 3" xfId="9330" xr:uid="{00000000-0005-0000-0000-00005B240000}"/>
    <cellStyle name="Heading 2 45 2 11 3" xfId="9331" xr:uid="{00000000-0005-0000-0000-00005C240000}"/>
    <cellStyle name="Heading 2 45 2 11 4" xfId="9332" xr:uid="{00000000-0005-0000-0000-00005D240000}"/>
    <cellStyle name="Heading 2 45 2 12" xfId="9333" xr:uid="{00000000-0005-0000-0000-00005E240000}"/>
    <cellStyle name="Heading 2 45 2 12 2" xfId="9334" xr:uid="{00000000-0005-0000-0000-00005F240000}"/>
    <cellStyle name="Heading 2 45 2 12 2 2" xfId="9335" xr:uid="{00000000-0005-0000-0000-000060240000}"/>
    <cellStyle name="Heading 2 45 2 12 2 3" xfId="9336" xr:uid="{00000000-0005-0000-0000-000061240000}"/>
    <cellStyle name="Heading 2 45 2 12 3" xfId="9337" xr:uid="{00000000-0005-0000-0000-000062240000}"/>
    <cellStyle name="Heading 2 45 2 12 4" xfId="9338" xr:uid="{00000000-0005-0000-0000-000063240000}"/>
    <cellStyle name="Heading 2 45 2 13" xfId="9339" xr:uid="{00000000-0005-0000-0000-000064240000}"/>
    <cellStyle name="Heading 2 45 2 13 2" xfId="9340" xr:uid="{00000000-0005-0000-0000-000065240000}"/>
    <cellStyle name="Heading 2 45 2 13 2 2" xfId="9341" xr:uid="{00000000-0005-0000-0000-000066240000}"/>
    <cellStyle name="Heading 2 45 2 13 2 3" xfId="9342" xr:uid="{00000000-0005-0000-0000-000067240000}"/>
    <cellStyle name="Heading 2 45 2 13 3" xfId="9343" xr:uid="{00000000-0005-0000-0000-000068240000}"/>
    <cellStyle name="Heading 2 45 2 13 4" xfId="9344" xr:uid="{00000000-0005-0000-0000-000069240000}"/>
    <cellStyle name="Heading 2 45 2 14" xfId="9345" xr:uid="{00000000-0005-0000-0000-00006A240000}"/>
    <cellStyle name="Heading 2 45 2 14 2" xfId="9346" xr:uid="{00000000-0005-0000-0000-00006B240000}"/>
    <cellStyle name="Heading 2 45 2 14 2 2" xfId="9347" xr:uid="{00000000-0005-0000-0000-00006C240000}"/>
    <cellStyle name="Heading 2 45 2 14 2 3" xfId="9348" xr:uid="{00000000-0005-0000-0000-00006D240000}"/>
    <cellStyle name="Heading 2 45 2 14 3" xfId="9349" xr:uid="{00000000-0005-0000-0000-00006E240000}"/>
    <cellStyle name="Heading 2 45 2 14 4" xfId="9350" xr:uid="{00000000-0005-0000-0000-00006F240000}"/>
    <cellStyle name="Heading 2 45 2 15" xfId="9351" xr:uid="{00000000-0005-0000-0000-000070240000}"/>
    <cellStyle name="Heading 2 45 2 15 2" xfId="9352" xr:uid="{00000000-0005-0000-0000-000071240000}"/>
    <cellStyle name="Heading 2 45 2 15 2 2" xfId="9353" xr:uid="{00000000-0005-0000-0000-000072240000}"/>
    <cellStyle name="Heading 2 45 2 15 2 3" xfId="9354" xr:uid="{00000000-0005-0000-0000-000073240000}"/>
    <cellStyle name="Heading 2 45 2 15 3" xfId="9355" xr:uid="{00000000-0005-0000-0000-000074240000}"/>
    <cellStyle name="Heading 2 45 2 15 4" xfId="9356" xr:uid="{00000000-0005-0000-0000-000075240000}"/>
    <cellStyle name="Heading 2 45 2 16" xfId="9357" xr:uid="{00000000-0005-0000-0000-000076240000}"/>
    <cellStyle name="Heading 2 45 2 16 2" xfId="9358" xr:uid="{00000000-0005-0000-0000-000077240000}"/>
    <cellStyle name="Heading 2 45 2 16 2 2" xfId="9359" xr:uid="{00000000-0005-0000-0000-000078240000}"/>
    <cellStyle name="Heading 2 45 2 16 2 3" xfId="9360" xr:uid="{00000000-0005-0000-0000-000079240000}"/>
    <cellStyle name="Heading 2 45 2 16 3" xfId="9361" xr:uid="{00000000-0005-0000-0000-00007A240000}"/>
    <cellStyle name="Heading 2 45 2 16 4" xfId="9362" xr:uid="{00000000-0005-0000-0000-00007B240000}"/>
    <cellStyle name="Heading 2 45 2 17" xfId="9363" xr:uid="{00000000-0005-0000-0000-00007C240000}"/>
    <cellStyle name="Heading 2 45 2 17 2" xfId="9364" xr:uid="{00000000-0005-0000-0000-00007D240000}"/>
    <cellStyle name="Heading 2 45 2 17 2 2" xfId="9365" xr:uid="{00000000-0005-0000-0000-00007E240000}"/>
    <cellStyle name="Heading 2 45 2 17 2 3" xfId="9366" xr:uid="{00000000-0005-0000-0000-00007F240000}"/>
    <cellStyle name="Heading 2 45 2 17 3" xfId="9367" xr:uid="{00000000-0005-0000-0000-000080240000}"/>
    <cellStyle name="Heading 2 45 2 17 4" xfId="9368" xr:uid="{00000000-0005-0000-0000-000081240000}"/>
    <cellStyle name="Heading 2 45 2 18" xfId="9369" xr:uid="{00000000-0005-0000-0000-000082240000}"/>
    <cellStyle name="Heading 2 45 2 18 2" xfId="9370" xr:uid="{00000000-0005-0000-0000-000083240000}"/>
    <cellStyle name="Heading 2 45 2 18 3" xfId="9371" xr:uid="{00000000-0005-0000-0000-000084240000}"/>
    <cellStyle name="Heading 2 45 2 18 4" xfId="9372" xr:uid="{00000000-0005-0000-0000-000085240000}"/>
    <cellStyle name="Heading 2 45 2 19" xfId="9373" xr:uid="{00000000-0005-0000-0000-000086240000}"/>
    <cellStyle name="Heading 2 45 2 2" xfId="9374" xr:uid="{00000000-0005-0000-0000-000087240000}"/>
    <cellStyle name="Heading 2 45 2 2 2" xfId="9375" xr:uid="{00000000-0005-0000-0000-000088240000}"/>
    <cellStyle name="Heading 2 45 2 2 2 2" xfId="9376" xr:uid="{00000000-0005-0000-0000-000089240000}"/>
    <cellStyle name="Heading 2 45 2 2 2 3" xfId="9377" xr:uid="{00000000-0005-0000-0000-00008A240000}"/>
    <cellStyle name="Heading 2 45 2 2 3" xfId="9378" xr:uid="{00000000-0005-0000-0000-00008B240000}"/>
    <cellStyle name="Heading 2 45 2 2 4" xfId="9379" xr:uid="{00000000-0005-0000-0000-00008C240000}"/>
    <cellStyle name="Heading 2 45 2 20" xfId="9380" xr:uid="{00000000-0005-0000-0000-00008D240000}"/>
    <cellStyle name="Heading 2 45 2 21" xfId="9381" xr:uid="{00000000-0005-0000-0000-00008E240000}"/>
    <cellStyle name="Heading 2 45 2 3" xfId="9382" xr:uid="{00000000-0005-0000-0000-00008F240000}"/>
    <cellStyle name="Heading 2 45 2 3 2" xfId="9383" xr:uid="{00000000-0005-0000-0000-000090240000}"/>
    <cellStyle name="Heading 2 45 2 3 2 2" xfId="9384" xr:uid="{00000000-0005-0000-0000-000091240000}"/>
    <cellStyle name="Heading 2 45 2 3 2 3" xfId="9385" xr:uid="{00000000-0005-0000-0000-000092240000}"/>
    <cellStyle name="Heading 2 45 2 3 3" xfId="9386" xr:uid="{00000000-0005-0000-0000-000093240000}"/>
    <cellStyle name="Heading 2 45 2 3 4" xfId="9387" xr:uid="{00000000-0005-0000-0000-000094240000}"/>
    <cellStyle name="Heading 2 45 2 4" xfId="9388" xr:uid="{00000000-0005-0000-0000-000095240000}"/>
    <cellStyle name="Heading 2 45 2 4 2" xfId="9389" xr:uid="{00000000-0005-0000-0000-000096240000}"/>
    <cellStyle name="Heading 2 45 2 4 2 2" xfId="9390" xr:uid="{00000000-0005-0000-0000-000097240000}"/>
    <cellStyle name="Heading 2 45 2 4 2 3" xfId="9391" xr:uid="{00000000-0005-0000-0000-000098240000}"/>
    <cellStyle name="Heading 2 45 2 4 3" xfId="9392" xr:uid="{00000000-0005-0000-0000-000099240000}"/>
    <cellStyle name="Heading 2 45 2 4 4" xfId="9393" xr:uid="{00000000-0005-0000-0000-00009A240000}"/>
    <cellStyle name="Heading 2 45 2 5" xfId="9394" xr:uid="{00000000-0005-0000-0000-00009B240000}"/>
    <cellStyle name="Heading 2 45 2 5 2" xfId="9395" xr:uid="{00000000-0005-0000-0000-00009C240000}"/>
    <cellStyle name="Heading 2 45 2 5 2 2" xfId="9396" xr:uid="{00000000-0005-0000-0000-00009D240000}"/>
    <cellStyle name="Heading 2 45 2 5 2 3" xfId="9397" xr:uid="{00000000-0005-0000-0000-00009E240000}"/>
    <cellStyle name="Heading 2 45 2 5 3" xfId="9398" xr:uid="{00000000-0005-0000-0000-00009F240000}"/>
    <cellStyle name="Heading 2 45 2 5 4" xfId="9399" xr:uid="{00000000-0005-0000-0000-0000A0240000}"/>
    <cellStyle name="Heading 2 45 2 6" xfId="9400" xr:uid="{00000000-0005-0000-0000-0000A1240000}"/>
    <cellStyle name="Heading 2 45 2 6 2" xfId="9401" xr:uid="{00000000-0005-0000-0000-0000A2240000}"/>
    <cellStyle name="Heading 2 45 2 6 2 2" xfId="9402" xr:uid="{00000000-0005-0000-0000-0000A3240000}"/>
    <cellStyle name="Heading 2 45 2 6 2 3" xfId="9403" xr:uid="{00000000-0005-0000-0000-0000A4240000}"/>
    <cellStyle name="Heading 2 45 2 6 3" xfId="9404" xr:uid="{00000000-0005-0000-0000-0000A5240000}"/>
    <cellStyle name="Heading 2 45 2 6 4" xfId="9405" xr:uid="{00000000-0005-0000-0000-0000A6240000}"/>
    <cellStyle name="Heading 2 45 2 7" xfId="9406" xr:uid="{00000000-0005-0000-0000-0000A7240000}"/>
    <cellStyle name="Heading 2 45 2 7 2" xfId="9407" xr:uid="{00000000-0005-0000-0000-0000A8240000}"/>
    <cellStyle name="Heading 2 45 2 7 2 2" xfId="9408" xr:uid="{00000000-0005-0000-0000-0000A9240000}"/>
    <cellStyle name="Heading 2 45 2 7 2 3" xfId="9409" xr:uid="{00000000-0005-0000-0000-0000AA240000}"/>
    <cellStyle name="Heading 2 45 2 7 3" xfId="9410" xr:uid="{00000000-0005-0000-0000-0000AB240000}"/>
    <cellStyle name="Heading 2 45 2 7 4" xfId="9411" xr:uid="{00000000-0005-0000-0000-0000AC240000}"/>
    <cellStyle name="Heading 2 45 2 8" xfId="9412" xr:uid="{00000000-0005-0000-0000-0000AD240000}"/>
    <cellStyle name="Heading 2 45 2 8 2" xfId="9413" xr:uid="{00000000-0005-0000-0000-0000AE240000}"/>
    <cellStyle name="Heading 2 45 2 8 2 2" xfId="9414" xr:uid="{00000000-0005-0000-0000-0000AF240000}"/>
    <cellStyle name="Heading 2 45 2 8 2 3" xfId="9415" xr:uid="{00000000-0005-0000-0000-0000B0240000}"/>
    <cellStyle name="Heading 2 45 2 8 3" xfId="9416" xr:uid="{00000000-0005-0000-0000-0000B1240000}"/>
    <cellStyle name="Heading 2 45 2 8 4" xfId="9417" xr:uid="{00000000-0005-0000-0000-0000B2240000}"/>
    <cellStyle name="Heading 2 45 2 9" xfId="9418" xr:uid="{00000000-0005-0000-0000-0000B3240000}"/>
    <cellStyle name="Heading 2 45 2 9 2" xfId="9419" xr:uid="{00000000-0005-0000-0000-0000B4240000}"/>
    <cellStyle name="Heading 2 45 2 9 2 2" xfId="9420" xr:uid="{00000000-0005-0000-0000-0000B5240000}"/>
    <cellStyle name="Heading 2 45 2 9 2 3" xfId="9421" xr:uid="{00000000-0005-0000-0000-0000B6240000}"/>
    <cellStyle name="Heading 2 45 2 9 3" xfId="9422" xr:uid="{00000000-0005-0000-0000-0000B7240000}"/>
    <cellStyle name="Heading 2 45 2 9 4" xfId="9423" xr:uid="{00000000-0005-0000-0000-0000B8240000}"/>
    <cellStyle name="Heading 2 45 3" xfId="9424" xr:uid="{00000000-0005-0000-0000-0000B9240000}"/>
    <cellStyle name="Heading 2 45 4" xfId="9425" xr:uid="{00000000-0005-0000-0000-0000BA240000}"/>
    <cellStyle name="Heading 2 46" xfId="9426" xr:uid="{00000000-0005-0000-0000-0000BB240000}"/>
    <cellStyle name="Heading 2 46 2" xfId="9427" xr:uid="{00000000-0005-0000-0000-0000BC240000}"/>
    <cellStyle name="Heading 2 46 2 10" xfId="9428" xr:uid="{00000000-0005-0000-0000-0000BD240000}"/>
    <cellStyle name="Heading 2 46 2 10 2" xfId="9429" xr:uid="{00000000-0005-0000-0000-0000BE240000}"/>
    <cellStyle name="Heading 2 46 2 10 2 2" xfId="9430" xr:uid="{00000000-0005-0000-0000-0000BF240000}"/>
    <cellStyle name="Heading 2 46 2 10 2 3" xfId="9431" xr:uid="{00000000-0005-0000-0000-0000C0240000}"/>
    <cellStyle name="Heading 2 46 2 10 3" xfId="9432" xr:uid="{00000000-0005-0000-0000-0000C1240000}"/>
    <cellStyle name="Heading 2 46 2 10 4" xfId="9433" xr:uid="{00000000-0005-0000-0000-0000C2240000}"/>
    <cellStyle name="Heading 2 46 2 11" xfId="9434" xr:uid="{00000000-0005-0000-0000-0000C3240000}"/>
    <cellStyle name="Heading 2 46 2 11 2" xfId="9435" xr:uid="{00000000-0005-0000-0000-0000C4240000}"/>
    <cellStyle name="Heading 2 46 2 11 2 2" xfId="9436" xr:uid="{00000000-0005-0000-0000-0000C5240000}"/>
    <cellStyle name="Heading 2 46 2 11 2 3" xfId="9437" xr:uid="{00000000-0005-0000-0000-0000C6240000}"/>
    <cellStyle name="Heading 2 46 2 11 3" xfId="9438" xr:uid="{00000000-0005-0000-0000-0000C7240000}"/>
    <cellStyle name="Heading 2 46 2 11 4" xfId="9439" xr:uid="{00000000-0005-0000-0000-0000C8240000}"/>
    <cellStyle name="Heading 2 46 2 12" xfId="9440" xr:uid="{00000000-0005-0000-0000-0000C9240000}"/>
    <cellStyle name="Heading 2 46 2 12 2" xfId="9441" xr:uid="{00000000-0005-0000-0000-0000CA240000}"/>
    <cellStyle name="Heading 2 46 2 12 2 2" xfId="9442" xr:uid="{00000000-0005-0000-0000-0000CB240000}"/>
    <cellStyle name="Heading 2 46 2 12 2 3" xfId="9443" xr:uid="{00000000-0005-0000-0000-0000CC240000}"/>
    <cellStyle name="Heading 2 46 2 12 3" xfId="9444" xr:uid="{00000000-0005-0000-0000-0000CD240000}"/>
    <cellStyle name="Heading 2 46 2 12 4" xfId="9445" xr:uid="{00000000-0005-0000-0000-0000CE240000}"/>
    <cellStyle name="Heading 2 46 2 13" xfId="9446" xr:uid="{00000000-0005-0000-0000-0000CF240000}"/>
    <cellStyle name="Heading 2 46 2 13 2" xfId="9447" xr:uid="{00000000-0005-0000-0000-0000D0240000}"/>
    <cellStyle name="Heading 2 46 2 13 2 2" xfId="9448" xr:uid="{00000000-0005-0000-0000-0000D1240000}"/>
    <cellStyle name="Heading 2 46 2 13 2 3" xfId="9449" xr:uid="{00000000-0005-0000-0000-0000D2240000}"/>
    <cellStyle name="Heading 2 46 2 13 3" xfId="9450" xr:uid="{00000000-0005-0000-0000-0000D3240000}"/>
    <cellStyle name="Heading 2 46 2 13 4" xfId="9451" xr:uid="{00000000-0005-0000-0000-0000D4240000}"/>
    <cellStyle name="Heading 2 46 2 14" xfId="9452" xr:uid="{00000000-0005-0000-0000-0000D5240000}"/>
    <cellStyle name="Heading 2 46 2 14 2" xfId="9453" xr:uid="{00000000-0005-0000-0000-0000D6240000}"/>
    <cellStyle name="Heading 2 46 2 14 2 2" xfId="9454" xr:uid="{00000000-0005-0000-0000-0000D7240000}"/>
    <cellStyle name="Heading 2 46 2 14 2 3" xfId="9455" xr:uid="{00000000-0005-0000-0000-0000D8240000}"/>
    <cellStyle name="Heading 2 46 2 14 3" xfId="9456" xr:uid="{00000000-0005-0000-0000-0000D9240000}"/>
    <cellStyle name="Heading 2 46 2 14 4" xfId="9457" xr:uid="{00000000-0005-0000-0000-0000DA240000}"/>
    <cellStyle name="Heading 2 46 2 15" xfId="9458" xr:uid="{00000000-0005-0000-0000-0000DB240000}"/>
    <cellStyle name="Heading 2 46 2 15 2" xfId="9459" xr:uid="{00000000-0005-0000-0000-0000DC240000}"/>
    <cellStyle name="Heading 2 46 2 15 2 2" xfId="9460" xr:uid="{00000000-0005-0000-0000-0000DD240000}"/>
    <cellStyle name="Heading 2 46 2 15 2 3" xfId="9461" xr:uid="{00000000-0005-0000-0000-0000DE240000}"/>
    <cellStyle name="Heading 2 46 2 15 3" xfId="9462" xr:uid="{00000000-0005-0000-0000-0000DF240000}"/>
    <cellStyle name="Heading 2 46 2 15 4" xfId="9463" xr:uid="{00000000-0005-0000-0000-0000E0240000}"/>
    <cellStyle name="Heading 2 46 2 16" xfId="9464" xr:uid="{00000000-0005-0000-0000-0000E1240000}"/>
    <cellStyle name="Heading 2 46 2 16 2" xfId="9465" xr:uid="{00000000-0005-0000-0000-0000E2240000}"/>
    <cellStyle name="Heading 2 46 2 16 2 2" xfId="9466" xr:uid="{00000000-0005-0000-0000-0000E3240000}"/>
    <cellStyle name="Heading 2 46 2 16 2 3" xfId="9467" xr:uid="{00000000-0005-0000-0000-0000E4240000}"/>
    <cellStyle name="Heading 2 46 2 16 3" xfId="9468" xr:uid="{00000000-0005-0000-0000-0000E5240000}"/>
    <cellStyle name="Heading 2 46 2 16 4" xfId="9469" xr:uid="{00000000-0005-0000-0000-0000E6240000}"/>
    <cellStyle name="Heading 2 46 2 17" xfId="9470" xr:uid="{00000000-0005-0000-0000-0000E7240000}"/>
    <cellStyle name="Heading 2 46 2 17 2" xfId="9471" xr:uid="{00000000-0005-0000-0000-0000E8240000}"/>
    <cellStyle name="Heading 2 46 2 17 2 2" xfId="9472" xr:uid="{00000000-0005-0000-0000-0000E9240000}"/>
    <cellStyle name="Heading 2 46 2 17 2 3" xfId="9473" xr:uid="{00000000-0005-0000-0000-0000EA240000}"/>
    <cellStyle name="Heading 2 46 2 17 3" xfId="9474" xr:uid="{00000000-0005-0000-0000-0000EB240000}"/>
    <cellStyle name="Heading 2 46 2 17 4" xfId="9475" xr:uid="{00000000-0005-0000-0000-0000EC240000}"/>
    <cellStyle name="Heading 2 46 2 18" xfId="9476" xr:uid="{00000000-0005-0000-0000-0000ED240000}"/>
    <cellStyle name="Heading 2 46 2 18 2" xfId="9477" xr:uid="{00000000-0005-0000-0000-0000EE240000}"/>
    <cellStyle name="Heading 2 46 2 18 3" xfId="9478" xr:uid="{00000000-0005-0000-0000-0000EF240000}"/>
    <cellStyle name="Heading 2 46 2 18 4" xfId="9479" xr:uid="{00000000-0005-0000-0000-0000F0240000}"/>
    <cellStyle name="Heading 2 46 2 19" xfId="9480" xr:uid="{00000000-0005-0000-0000-0000F1240000}"/>
    <cellStyle name="Heading 2 46 2 2" xfId="9481" xr:uid="{00000000-0005-0000-0000-0000F2240000}"/>
    <cellStyle name="Heading 2 46 2 2 2" xfId="9482" xr:uid="{00000000-0005-0000-0000-0000F3240000}"/>
    <cellStyle name="Heading 2 46 2 2 2 2" xfId="9483" xr:uid="{00000000-0005-0000-0000-0000F4240000}"/>
    <cellStyle name="Heading 2 46 2 2 2 3" xfId="9484" xr:uid="{00000000-0005-0000-0000-0000F5240000}"/>
    <cellStyle name="Heading 2 46 2 2 3" xfId="9485" xr:uid="{00000000-0005-0000-0000-0000F6240000}"/>
    <cellStyle name="Heading 2 46 2 2 4" xfId="9486" xr:uid="{00000000-0005-0000-0000-0000F7240000}"/>
    <cellStyle name="Heading 2 46 2 20" xfId="9487" xr:uid="{00000000-0005-0000-0000-0000F8240000}"/>
    <cellStyle name="Heading 2 46 2 21" xfId="9488" xr:uid="{00000000-0005-0000-0000-0000F9240000}"/>
    <cellStyle name="Heading 2 46 2 3" xfId="9489" xr:uid="{00000000-0005-0000-0000-0000FA240000}"/>
    <cellStyle name="Heading 2 46 2 3 2" xfId="9490" xr:uid="{00000000-0005-0000-0000-0000FB240000}"/>
    <cellStyle name="Heading 2 46 2 3 2 2" xfId="9491" xr:uid="{00000000-0005-0000-0000-0000FC240000}"/>
    <cellStyle name="Heading 2 46 2 3 2 3" xfId="9492" xr:uid="{00000000-0005-0000-0000-0000FD240000}"/>
    <cellStyle name="Heading 2 46 2 3 3" xfId="9493" xr:uid="{00000000-0005-0000-0000-0000FE240000}"/>
    <cellStyle name="Heading 2 46 2 3 4" xfId="9494" xr:uid="{00000000-0005-0000-0000-0000FF240000}"/>
    <cellStyle name="Heading 2 46 2 4" xfId="9495" xr:uid="{00000000-0005-0000-0000-000000250000}"/>
    <cellStyle name="Heading 2 46 2 4 2" xfId="9496" xr:uid="{00000000-0005-0000-0000-000001250000}"/>
    <cellStyle name="Heading 2 46 2 4 2 2" xfId="9497" xr:uid="{00000000-0005-0000-0000-000002250000}"/>
    <cellStyle name="Heading 2 46 2 4 2 3" xfId="9498" xr:uid="{00000000-0005-0000-0000-000003250000}"/>
    <cellStyle name="Heading 2 46 2 4 3" xfId="9499" xr:uid="{00000000-0005-0000-0000-000004250000}"/>
    <cellStyle name="Heading 2 46 2 4 4" xfId="9500" xr:uid="{00000000-0005-0000-0000-000005250000}"/>
    <cellStyle name="Heading 2 46 2 5" xfId="9501" xr:uid="{00000000-0005-0000-0000-000006250000}"/>
    <cellStyle name="Heading 2 46 2 5 2" xfId="9502" xr:uid="{00000000-0005-0000-0000-000007250000}"/>
    <cellStyle name="Heading 2 46 2 5 2 2" xfId="9503" xr:uid="{00000000-0005-0000-0000-000008250000}"/>
    <cellStyle name="Heading 2 46 2 5 2 3" xfId="9504" xr:uid="{00000000-0005-0000-0000-000009250000}"/>
    <cellStyle name="Heading 2 46 2 5 3" xfId="9505" xr:uid="{00000000-0005-0000-0000-00000A250000}"/>
    <cellStyle name="Heading 2 46 2 5 4" xfId="9506" xr:uid="{00000000-0005-0000-0000-00000B250000}"/>
    <cellStyle name="Heading 2 46 2 6" xfId="9507" xr:uid="{00000000-0005-0000-0000-00000C250000}"/>
    <cellStyle name="Heading 2 46 2 6 2" xfId="9508" xr:uid="{00000000-0005-0000-0000-00000D250000}"/>
    <cellStyle name="Heading 2 46 2 6 2 2" xfId="9509" xr:uid="{00000000-0005-0000-0000-00000E250000}"/>
    <cellStyle name="Heading 2 46 2 6 2 3" xfId="9510" xr:uid="{00000000-0005-0000-0000-00000F250000}"/>
    <cellStyle name="Heading 2 46 2 6 3" xfId="9511" xr:uid="{00000000-0005-0000-0000-000010250000}"/>
    <cellStyle name="Heading 2 46 2 6 4" xfId="9512" xr:uid="{00000000-0005-0000-0000-000011250000}"/>
    <cellStyle name="Heading 2 46 2 7" xfId="9513" xr:uid="{00000000-0005-0000-0000-000012250000}"/>
    <cellStyle name="Heading 2 46 2 7 2" xfId="9514" xr:uid="{00000000-0005-0000-0000-000013250000}"/>
    <cellStyle name="Heading 2 46 2 7 2 2" xfId="9515" xr:uid="{00000000-0005-0000-0000-000014250000}"/>
    <cellStyle name="Heading 2 46 2 7 2 3" xfId="9516" xr:uid="{00000000-0005-0000-0000-000015250000}"/>
    <cellStyle name="Heading 2 46 2 7 3" xfId="9517" xr:uid="{00000000-0005-0000-0000-000016250000}"/>
    <cellStyle name="Heading 2 46 2 7 4" xfId="9518" xr:uid="{00000000-0005-0000-0000-000017250000}"/>
    <cellStyle name="Heading 2 46 2 8" xfId="9519" xr:uid="{00000000-0005-0000-0000-000018250000}"/>
    <cellStyle name="Heading 2 46 2 8 2" xfId="9520" xr:uid="{00000000-0005-0000-0000-000019250000}"/>
    <cellStyle name="Heading 2 46 2 8 2 2" xfId="9521" xr:uid="{00000000-0005-0000-0000-00001A250000}"/>
    <cellStyle name="Heading 2 46 2 8 2 3" xfId="9522" xr:uid="{00000000-0005-0000-0000-00001B250000}"/>
    <cellStyle name="Heading 2 46 2 8 3" xfId="9523" xr:uid="{00000000-0005-0000-0000-00001C250000}"/>
    <cellStyle name="Heading 2 46 2 8 4" xfId="9524" xr:uid="{00000000-0005-0000-0000-00001D250000}"/>
    <cellStyle name="Heading 2 46 2 9" xfId="9525" xr:uid="{00000000-0005-0000-0000-00001E250000}"/>
    <cellStyle name="Heading 2 46 2 9 2" xfId="9526" xr:uid="{00000000-0005-0000-0000-00001F250000}"/>
    <cellStyle name="Heading 2 46 2 9 2 2" xfId="9527" xr:uid="{00000000-0005-0000-0000-000020250000}"/>
    <cellStyle name="Heading 2 46 2 9 2 3" xfId="9528" xr:uid="{00000000-0005-0000-0000-000021250000}"/>
    <cellStyle name="Heading 2 46 2 9 3" xfId="9529" xr:uid="{00000000-0005-0000-0000-000022250000}"/>
    <cellStyle name="Heading 2 46 2 9 4" xfId="9530" xr:uid="{00000000-0005-0000-0000-000023250000}"/>
    <cellStyle name="Heading 2 46 3" xfId="9531" xr:uid="{00000000-0005-0000-0000-000024250000}"/>
    <cellStyle name="Heading 2 46 4" xfId="9532" xr:uid="{00000000-0005-0000-0000-000025250000}"/>
    <cellStyle name="Heading 2 47" xfId="9533" xr:uid="{00000000-0005-0000-0000-000026250000}"/>
    <cellStyle name="Heading 2 47 2" xfId="9534" xr:uid="{00000000-0005-0000-0000-000027250000}"/>
    <cellStyle name="Heading 2 47 2 10" xfId="9535" xr:uid="{00000000-0005-0000-0000-000028250000}"/>
    <cellStyle name="Heading 2 47 2 10 2" xfId="9536" xr:uid="{00000000-0005-0000-0000-000029250000}"/>
    <cellStyle name="Heading 2 47 2 10 2 2" xfId="9537" xr:uid="{00000000-0005-0000-0000-00002A250000}"/>
    <cellStyle name="Heading 2 47 2 10 2 3" xfId="9538" xr:uid="{00000000-0005-0000-0000-00002B250000}"/>
    <cellStyle name="Heading 2 47 2 10 3" xfId="9539" xr:uid="{00000000-0005-0000-0000-00002C250000}"/>
    <cellStyle name="Heading 2 47 2 10 4" xfId="9540" xr:uid="{00000000-0005-0000-0000-00002D250000}"/>
    <cellStyle name="Heading 2 47 2 11" xfId="9541" xr:uid="{00000000-0005-0000-0000-00002E250000}"/>
    <cellStyle name="Heading 2 47 2 11 2" xfId="9542" xr:uid="{00000000-0005-0000-0000-00002F250000}"/>
    <cellStyle name="Heading 2 47 2 11 2 2" xfId="9543" xr:uid="{00000000-0005-0000-0000-000030250000}"/>
    <cellStyle name="Heading 2 47 2 11 2 3" xfId="9544" xr:uid="{00000000-0005-0000-0000-000031250000}"/>
    <cellStyle name="Heading 2 47 2 11 3" xfId="9545" xr:uid="{00000000-0005-0000-0000-000032250000}"/>
    <cellStyle name="Heading 2 47 2 11 4" xfId="9546" xr:uid="{00000000-0005-0000-0000-000033250000}"/>
    <cellStyle name="Heading 2 47 2 12" xfId="9547" xr:uid="{00000000-0005-0000-0000-000034250000}"/>
    <cellStyle name="Heading 2 47 2 12 2" xfId="9548" xr:uid="{00000000-0005-0000-0000-000035250000}"/>
    <cellStyle name="Heading 2 47 2 12 2 2" xfId="9549" xr:uid="{00000000-0005-0000-0000-000036250000}"/>
    <cellStyle name="Heading 2 47 2 12 2 3" xfId="9550" xr:uid="{00000000-0005-0000-0000-000037250000}"/>
    <cellStyle name="Heading 2 47 2 12 3" xfId="9551" xr:uid="{00000000-0005-0000-0000-000038250000}"/>
    <cellStyle name="Heading 2 47 2 12 4" xfId="9552" xr:uid="{00000000-0005-0000-0000-000039250000}"/>
    <cellStyle name="Heading 2 47 2 13" xfId="9553" xr:uid="{00000000-0005-0000-0000-00003A250000}"/>
    <cellStyle name="Heading 2 47 2 13 2" xfId="9554" xr:uid="{00000000-0005-0000-0000-00003B250000}"/>
    <cellStyle name="Heading 2 47 2 13 2 2" xfId="9555" xr:uid="{00000000-0005-0000-0000-00003C250000}"/>
    <cellStyle name="Heading 2 47 2 13 2 3" xfId="9556" xr:uid="{00000000-0005-0000-0000-00003D250000}"/>
    <cellStyle name="Heading 2 47 2 13 3" xfId="9557" xr:uid="{00000000-0005-0000-0000-00003E250000}"/>
    <cellStyle name="Heading 2 47 2 13 4" xfId="9558" xr:uid="{00000000-0005-0000-0000-00003F250000}"/>
    <cellStyle name="Heading 2 47 2 14" xfId="9559" xr:uid="{00000000-0005-0000-0000-000040250000}"/>
    <cellStyle name="Heading 2 47 2 14 2" xfId="9560" xr:uid="{00000000-0005-0000-0000-000041250000}"/>
    <cellStyle name="Heading 2 47 2 14 2 2" xfId="9561" xr:uid="{00000000-0005-0000-0000-000042250000}"/>
    <cellStyle name="Heading 2 47 2 14 2 3" xfId="9562" xr:uid="{00000000-0005-0000-0000-000043250000}"/>
    <cellStyle name="Heading 2 47 2 14 3" xfId="9563" xr:uid="{00000000-0005-0000-0000-000044250000}"/>
    <cellStyle name="Heading 2 47 2 14 4" xfId="9564" xr:uid="{00000000-0005-0000-0000-000045250000}"/>
    <cellStyle name="Heading 2 47 2 15" xfId="9565" xr:uid="{00000000-0005-0000-0000-000046250000}"/>
    <cellStyle name="Heading 2 47 2 15 2" xfId="9566" xr:uid="{00000000-0005-0000-0000-000047250000}"/>
    <cellStyle name="Heading 2 47 2 15 2 2" xfId="9567" xr:uid="{00000000-0005-0000-0000-000048250000}"/>
    <cellStyle name="Heading 2 47 2 15 2 3" xfId="9568" xr:uid="{00000000-0005-0000-0000-000049250000}"/>
    <cellStyle name="Heading 2 47 2 15 3" xfId="9569" xr:uid="{00000000-0005-0000-0000-00004A250000}"/>
    <cellStyle name="Heading 2 47 2 15 4" xfId="9570" xr:uid="{00000000-0005-0000-0000-00004B250000}"/>
    <cellStyle name="Heading 2 47 2 16" xfId="9571" xr:uid="{00000000-0005-0000-0000-00004C250000}"/>
    <cellStyle name="Heading 2 47 2 16 2" xfId="9572" xr:uid="{00000000-0005-0000-0000-00004D250000}"/>
    <cellStyle name="Heading 2 47 2 16 2 2" xfId="9573" xr:uid="{00000000-0005-0000-0000-00004E250000}"/>
    <cellStyle name="Heading 2 47 2 16 2 3" xfId="9574" xr:uid="{00000000-0005-0000-0000-00004F250000}"/>
    <cellStyle name="Heading 2 47 2 16 3" xfId="9575" xr:uid="{00000000-0005-0000-0000-000050250000}"/>
    <cellStyle name="Heading 2 47 2 16 4" xfId="9576" xr:uid="{00000000-0005-0000-0000-000051250000}"/>
    <cellStyle name="Heading 2 47 2 17" xfId="9577" xr:uid="{00000000-0005-0000-0000-000052250000}"/>
    <cellStyle name="Heading 2 47 2 17 2" xfId="9578" xr:uid="{00000000-0005-0000-0000-000053250000}"/>
    <cellStyle name="Heading 2 47 2 17 2 2" xfId="9579" xr:uid="{00000000-0005-0000-0000-000054250000}"/>
    <cellStyle name="Heading 2 47 2 17 2 3" xfId="9580" xr:uid="{00000000-0005-0000-0000-000055250000}"/>
    <cellStyle name="Heading 2 47 2 17 3" xfId="9581" xr:uid="{00000000-0005-0000-0000-000056250000}"/>
    <cellStyle name="Heading 2 47 2 17 4" xfId="9582" xr:uid="{00000000-0005-0000-0000-000057250000}"/>
    <cellStyle name="Heading 2 47 2 18" xfId="9583" xr:uid="{00000000-0005-0000-0000-000058250000}"/>
    <cellStyle name="Heading 2 47 2 18 2" xfId="9584" xr:uid="{00000000-0005-0000-0000-000059250000}"/>
    <cellStyle name="Heading 2 47 2 18 3" xfId="9585" xr:uid="{00000000-0005-0000-0000-00005A250000}"/>
    <cellStyle name="Heading 2 47 2 18 4" xfId="9586" xr:uid="{00000000-0005-0000-0000-00005B250000}"/>
    <cellStyle name="Heading 2 47 2 19" xfId="9587" xr:uid="{00000000-0005-0000-0000-00005C250000}"/>
    <cellStyle name="Heading 2 47 2 2" xfId="9588" xr:uid="{00000000-0005-0000-0000-00005D250000}"/>
    <cellStyle name="Heading 2 47 2 2 2" xfId="9589" xr:uid="{00000000-0005-0000-0000-00005E250000}"/>
    <cellStyle name="Heading 2 47 2 2 2 2" xfId="9590" xr:uid="{00000000-0005-0000-0000-00005F250000}"/>
    <cellStyle name="Heading 2 47 2 2 2 3" xfId="9591" xr:uid="{00000000-0005-0000-0000-000060250000}"/>
    <cellStyle name="Heading 2 47 2 2 3" xfId="9592" xr:uid="{00000000-0005-0000-0000-000061250000}"/>
    <cellStyle name="Heading 2 47 2 2 4" xfId="9593" xr:uid="{00000000-0005-0000-0000-000062250000}"/>
    <cellStyle name="Heading 2 47 2 20" xfId="9594" xr:uid="{00000000-0005-0000-0000-000063250000}"/>
    <cellStyle name="Heading 2 47 2 21" xfId="9595" xr:uid="{00000000-0005-0000-0000-000064250000}"/>
    <cellStyle name="Heading 2 47 2 3" xfId="9596" xr:uid="{00000000-0005-0000-0000-000065250000}"/>
    <cellStyle name="Heading 2 47 2 3 2" xfId="9597" xr:uid="{00000000-0005-0000-0000-000066250000}"/>
    <cellStyle name="Heading 2 47 2 3 2 2" xfId="9598" xr:uid="{00000000-0005-0000-0000-000067250000}"/>
    <cellStyle name="Heading 2 47 2 3 2 3" xfId="9599" xr:uid="{00000000-0005-0000-0000-000068250000}"/>
    <cellStyle name="Heading 2 47 2 3 3" xfId="9600" xr:uid="{00000000-0005-0000-0000-000069250000}"/>
    <cellStyle name="Heading 2 47 2 3 4" xfId="9601" xr:uid="{00000000-0005-0000-0000-00006A250000}"/>
    <cellStyle name="Heading 2 47 2 4" xfId="9602" xr:uid="{00000000-0005-0000-0000-00006B250000}"/>
    <cellStyle name="Heading 2 47 2 4 2" xfId="9603" xr:uid="{00000000-0005-0000-0000-00006C250000}"/>
    <cellStyle name="Heading 2 47 2 4 2 2" xfId="9604" xr:uid="{00000000-0005-0000-0000-00006D250000}"/>
    <cellStyle name="Heading 2 47 2 4 2 3" xfId="9605" xr:uid="{00000000-0005-0000-0000-00006E250000}"/>
    <cellStyle name="Heading 2 47 2 4 3" xfId="9606" xr:uid="{00000000-0005-0000-0000-00006F250000}"/>
    <cellStyle name="Heading 2 47 2 4 4" xfId="9607" xr:uid="{00000000-0005-0000-0000-000070250000}"/>
    <cellStyle name="Heading 2 47 2 5" xfId="9608" xr:uid="{00000000-0005-0000-0000-000071250000}"/>
    <cellStyle name="Heading 2 47 2 5 2" xfId="9609" xr:uid="{00000000-0005-0000-0000-000072250000}"/>
    <cellStyle name="Heading 2 47 2 5 2 2" xfId="9610" xr:uid="{00000000-0005-0000-0000-000073250000}"/>
    <cellStyle name="Heading 2 47 2 5 2 3" xfId="9611" xr:uid="{00000000-0005-0000-0000-000074250000}"/>
    <cellStyle name="Heading 2 47 2 5 3" xfId="9612" xr:uid="{00000000-0005-0000-0000-000075250000}"/>
    <cellStyle name="Heading 2 47 2 5 4" xfId="9613" xr:uid="{00000000-0005-0000-0000-000076250000}"/>
    <cellStyle name="Heading 2 47 2 6" xfId="9614" xr:uid="{00000000-0005-0000-0000-000077250000}"/>
    <cellStyle name="Heading 2 47 2 6 2" xfId="9615" xr:uid="{00000000-0005-0000-0000-000078250000}"/>
    <cellStyle name="Heading 2 47 2 6 2 2" xfId="9616" xr:uid="{00000000-0005-0000-0000-000079250000}"/>
    <cellStyle name="Heading 2 47 2 6 2 3" xfId="9617" xr:uid="{00000000-0005-0000-0000-00007A250000}"/>
    <cellStyle name="Heading 2 47 2 6 3" xfId="9618" xr:uid="{00000000-0005-0000-0000-00007B250000}"/>
    <cellStyle name="Heading 2 47 2 6 4" xfId="9619" xr:uid="{00000000-0005-0000-0000-00007C250000}"/>
    <cellStyle name="Heading 2 47 2 7" xfId="9620" xr:uid="{00000000-0005-0000-0000-00007D250000}"/>
    <cellStyle name="Heading 2 47 2 7 2" xfId="9621" xr:uid="{00000000-0005-0000-0000-00007E250000}"/>
    <cellStyle name="Heading 2 47 2 7 2 2" xfId="9622" xr:uid="{00000000-0005-0000-0000-00007F250000}"/>
    <cellStyle name="Heading 2 47 2 7 2 3" xfId="9623" xr:uid="{00000000-0005-0000-0000-000080250000}"/>
    <cellStyle name="Heading 2 47 2 7 3" xfId="9624" xr:uid="{00000000-0005-0000-0000-000081250000}"/>
    <cellStyle name="Heading 2 47 2 7 4" xfId="9625" xr:uid="{00000000-0005-0000-0000-000082250000}"/>
    <cellStyle name="Heading 2 47 2 8" xfId="9626" xr:uid="{00000000-0005-0000-0000-000083250000}"/>
    <cellStyle name="Heading 2 47 2 8 2" xfId="9627" xr:uid="{00000000-0005-0000-0000-000084250000}"/>
    <cellStyle name="Heading 2 47 2 8 2 2" xfId="9628" xr:uid="{00000000-0005-0000-0000-000085250000}"/>
    <cellStyle name="Heading 2 47 2 8 2 3" xfId="9629" xr:uid="{00000000-0005-0000-0000-000086250000}"/>
    <cellStyle name="Heading 2 47 2 8 3" xfId="9630" xr:uid="{00000000-0005-0000-0000-000087250000}"/>
    <cellStyle name="Heading 2 47 2 8 4" xfId="9631" xr:uid="{00000000-0005-0000-0000-000088250000}"/>
    <cellStyle name="Heading 2 47 2 9" xfId="9632" xr:uid="{00000000-0005-0000-0000-000089250000}"/>
    <cellStyle name="Heading 2 47 2 9 2" xfId="9633" xr:uid="{00000000-0005-0000-0000-00008A250000}"/>
    <cellStyle name="Heading 2 47 2 9 2 2" xfId="9634" xr:uid="{00000000-0005-0000-0000-00008B250000}"/>
    <cellStyle name="Heading 2 47 2 9 2 3" xfId="9635" xr:uid="{00000000-0005-0000-0000-00008C250000}"/>
    <cellStyle name="Heading 2 47 2 9 3" xfId="9636" xr:uid="{00000000-0005-0000-0000-00008D250000}"/>
    <cellStyle name="Heading 2 47 2 9 4" xfId="9637" xr:uid="{00000000-0005-0000-0000-00008E250000}"/>
    <cellStyle name="Heading 2 47 3" xfId="9638" xr:uid="{00000000-0005-0000-0000-00008F250000}"/>
    <cellStyle name="Heading 2 47 4" xfId="9639" xr:uid="{00000000-0005-0000-0000-000090250000}"/>
    <cellStyle name="Heading 2 48" xfId="9640" xr:uid="{00000000-0005-0000-0000-000091250000}"/>
    <cellStyle name="Heading 2 48 2" xfId="9641" xr:uid="{00000000-0005-0000-0000-000092250000}"/>
    <cellStyle name="Heading 2 48 2 10" xfId="9642" xr:uid="{00000000-0005-0000-0000-000093250000}"/>
    <cellStyle name="Heading 2 48 2 10 2" xfId="9643" xr:uid="{00000000-0005-0000-0000-000094250000}"/>
    <cellStyle name="Heading 2 48 2 10 2 2" xfId="9644" xr:uid="{00000000-0005-0000-0000-000095250000}"/>
    <cellStyle name="Heading 2 48 2 10 2 3" xfId="9645" xr:uid="{00000000-0005-0000-0000-000096250000}"/>
    <cellStyle name="Heading 2 48 2 10 3" xfId="9646" xr:uid="{00000000-0005-0000-0000-000097250000}"/>
    <cellStyle name="Heading 2 48 2 10 4" xfId="9647" xr:uid="{00000000-0005-0000-0000-000098250000}"/>
    <cellStyle name="Heading 2 48 2 11" xfId="9648" xr:uid="{00000000-0005-0000-0000-000099250000}"/>
    <cellStyle name="Heading 2 48 2 11 2" xfId="9649" xr:uid="{00000000-0005-0000-0000-00009A250000}"/>
    <cellStyle name="Heading 2 48 2 11 2 2" xfId="9650" xr:uid="{00000000-0005-0000-0000-00009B250000}"/>
    <cellStyle name="Heading 2 48 2 11 2 3" xfId="9651" xr:uid="{00000000-0005-0000-0000-00009C250000}"/>
    <cellStyle name="Heading 2 48 2 11 3" xfId="9652" xr:uid="{00000000-0005-0000-0000-00009D250000}"/>
    <cellStyle name="Heading 2 48 2 11 4" xfId="9653" xr:uid="{00000000-0005-0000-0000-00009E250000}"/>
    <cellStyle name="Heading 2 48 2 12" xfId="9654" xr:uid="{00000000-0005-0000-0000-00009F250000}"/>
    <cellStyle name="Heading 2 48 2 12 2" xfId="9655" xr:uid="{00000000-0005-0000-0000-0000A0250000}"/>
    <cellStyle name="Heading 2 48 2 12 2 2" xfId="9656" xr:uid="{00000000-0005-0000-0000-0000A1250000}"/>
    <cellStyle name="Heading 2 48 2 12 2 3" xfId="9657" xr:uid="{00000000-0005-0000-0000-0000A2250000}"/>
    <cellStyle name="Heading 2 48 2 12 3" xfId="9658" xr:uid="{00000000-0005-0000-0000-0000A3250000}"/>
    <cellStyle name="Heading 2 48 2 12 4" xfId="9659" xr:uid="{00000000-0005-0000-0000-0000A4250000}"/>
    <cellStyle name="Heading 2 48 2 13" xfId="9660" xr:uid="{00000000-0005-0000-0000-0000A5250000}"/>
    <cellStyle name="Heading 2 48 2 13 2" xfId="9661" xr:uid="{00000000-0005-0000-0000-0000A6250000}"/>
    <cellStyle name="Heading 2 48 2 13 2 2" xfId="9662" xr:uid="{00000000-0005-0000-0000-0000A7250000}"/>
    <cellStyle name="Heading 2 48 2 13 2 3" xfId="9663" xr:uid="{00000000-0005-0000-0000-0000A8250000}"/>
    <cellStyle name="Heading 2 48 2 13 3" xfId="9664" xr:uid="{00000000-0005-0000-0000-0000A9250000}"/>
    <cellStyle name="Heading 2 48 2 13 4" xfId="9665" xr:uid="{00000000-0005-0000-0000-0000AA250000}"/>
    <cellStyle name="Heading 2 48 2 14" xfId="9666" xr:uid="{00000000-0005-0000-0000-0000AB250000}"/>
    <cellStyle name="Heading 2 48 2 14 2" xfId="9667" xr:uid="{00000000-0005-0000-0000-0000AC250000}"/>
    <cellStyle name="Heading 2 48 2 14 2 2" xfId="9668" xr:uid="{00000000-0005-0000-0000-0000AD250000}"/>
    <cellStyle name="Heading 2 48 2 14 2 3" xfId="9669" xr:uid="{00000000-0005-0000-0000-0000AE250000}"/>
    <cellStyle name="Heading 2 48 2 14 3" xfId="9670" xr:uid="{00000000-0005-0000-0000-0000AF250000}"/>
    <cellStyle name="Heading 2 48 2 14 4" xfId="9671" xr:uid="{00000000-0005-0000-0000-0000B0250000}"/>
    <cellStyle name="Heading 2 48 2 15" xfId="9672" xr:uid="{00000000-0005-0000-0000-0000B1250000}"/>
    <cellStyle name="Heading 2 48 2 15 2" xfId="9673" xr:uid="{00000000-0005-0000-0000-0000B2250000}"/>
    <cellStyle name="Heading 2 48 2 15 2 2" xfId="9674" xr:uid="{00000000-0005-0000-0000-0000B3250000}"/>
    <cellStyle name="Heading 2 48 2 15 2 3" xfId="9675" xr:uid="{00000000-0005-0000-0000-0000B4250000}"/>
    <cellStyle name="Heading 2 48 2 15 3" xfId="9676" xr:uid="{00000000-0005-0000-0000-0000B5250000}"/>
    <cellStyle name="Heading 2 48 2 15 4" xfId="9677" xr:uid="{00000000-0005-0000-0000-0000B6250000}"/>
    <cellStyle name="Heading 2 48 2 16" xfId="9678" xr:uid="{00000000-0005-0000-0000-0000B7250000}"/>
    <cellStyle name="Heading 2 48 2 16 2" xfId="9679" xr:uid="{00000000-0005-0000-0000-0000B8250000}"/>
    <cellStyle name="Heading 2 48 2 16 2 2" xfId="9680" xr:uid="{00000000-0005-0000-0000-0000B9250000}"/>
    <cellStyle name="Heading 2 48 2 16 2 3" xfId="9681" xr:uid="{00000000-0005-0000-0000-0000BA250000}"/>
    <cellStyle name="Heading 2 48 2 16 3" xfId="9682" xr:uid="{00000000-0005-0000-0000-0000BB250000}"/>
    <cellStyle name="Heading 2 48 2 16 4" xfId="9683" xr:uid="{00000000-0005-0000-0000-0000BC250000}"/>
    <cellStyle name="Heading 2 48 2 17" xfId="9684" xr:uid="{00000000-0005-0000-0000-0000BD250000}"/>
    <cellStyle name="Heading 2 48 2 17 2" xfId="9685" xr:uid="{00000000-0005-0000-0000-0000BE250000}"/>
    <cellStyle name="Heading 2 48 2 17 2 2" xfId="9686" xr:uid="{00000000-0005-0000-0000-0000BF250000}"/>
    <cellStyle name="Heading 2 48 2 17 2 3" xfId="9687" xr:uid="{00000000-0005-0000-0000-0000C0250000}"/>
    <cellStyle name="Heading 2 48 2 17 3" xfId="9688" xr:uid="{00000000-0005-0000-0000-0000C1250000}"/>
    <cellStyle name="Heading 2 48 2 17 4" xfId="9689" xr:uid="{00000000-0005-0000-0000-0000C2250000}"/>
    <cellStyle name="Heading 2 48 2 18" xfId="9690" xr:uid="{00000000-0005-0000-0000-0000C3250000}"/>
    <cellStyle name="Heading 2 48 2 18 2" xfId="9691" xr:uid="{00000000-0005-0000-0000-0000C4250000}"/>
    <cellStyle name="Heading 2 48 2 18 3" xfId="9692" xr:uid="{00000000-0005-0000-0000-0000C5250000}"/>
    <cellStyle name="Heading 2 48 2 18 4" xfId="9693" xr:uid="{00000000-0005-0000-0000-0000C6250000}"/>
    <cellStyle name="Heading 2 48 2 19" xfId="9694" xr:uid="{00000000-0005-0000-0000-0000C7250000}"/>
    <cellStyle name="Heading 2 48 2 2" xfId="9695" xr:uid="{00000000-0005-0000-0000-0000C8250000}"/>
    <cellStyle name="Heading 2 48 2 2 2" xfId="9696" xr:uid="{00000000-0005-0000-0000-0000C9250000}"/>
    <cellStyle name="Heading 2 48 2 2 2 2" xfId="9697" xr:uid="{00000000-0005-0000-0000-0000CA250000}"/>
    <cellStyle name="Heading 2 48 2 2 2 3" xfId="9698" xr:uid="{00000000-0005-0000-0000-0000CB250000}"/>
    <cellStyle name="Heading 2 48 2 2 3" xfId="9699" xr:uid="{00000000-0005-0000-0000-0000CC250000}"/>
    <cellStyle name="Heading 2 48 2 2 4" xfId="9700" xr:uid="{00000000-0005-0000-0000-0000CD250000}"/>
    <cellStyle name="Heading 2 48 2 20" xfId="9701" xr:uid="{00000000-0005-0000-0000-0000CE250000}"/>
    <cellStyle name="Heading 2 48 2 21" xfId="9702" xr:uid="{00000000-0005-0000-0000-0000CF250000}"/>
    <cellStyle name="Heading 2 48 2 3" xfId="9703" xr:uid="{00000000-0005-0000-0000-0000D0250000}"/>
    <cellStyle name="Heading 2 48 2 3 2" xfId="9704" xr:uid="{00000000-0005-0000-0000-0000D1250000}"/>
    <cellStyle name="Heading 2 48 2 3 2 2" xfId="9705" xr:uid="{00000000-0005-0000-0000-0000D2250000}"/>
    <cellStyle name="Heading 2 48 2 3 2 3" xfId="9706" xr:uid="{00000000-0005-0000-0000-0000D3250000}"/>
    <cellStyle name="Heading 2 48 2 3 3" xfId="9707" xr:uid="{00000000-0005-0000-0000-0000D4250000}"/>
    <cellStyle name="Heading 2 48 2 3 4" xfId="9708" xr:uid="{00000000-0005-0000-0000-0000D5250000}"/>
    <cellStyle name="Heading 2 48 2 4" xfId="9709" xr:uid="{00000000-0005-0000-0000-0000D6250000}"/>
    <cellStyle name="Heading 2 48 2 4 2" xfId="9710" xr:uid="{00000000-0005-0000-0000-0000D7250000}"/>
    <cellStyle name="Heading 2 48 2 4 2 2" xfId="9711" xr:uid="{00000000-0005-0000-0000-0000D8250000}"/>
    <cellStyle name="Heading 2 48 2 4 2 3" xfId="9712" xr:uid="{00000000-0005-0000-0000-0000D9250000}"/>
    <cellStyle name="Heading 2 48 2 4 3" xfId="9713" xr:uid="{00000000-0005-0000-0000-0000DA250000}"/>
    <cellStyle name="Heading 2 48 2 4 4" xfId="9714" xr:uid="{00000000-0005-0000-0000-0000DB250000}"/>
    <cellStyle name="Heading 2 48 2 5" xfId="9715" xr:uid="{00000000-0005-0000-0000-0000DC250000}"/>
    <cellStyle name="Heading 2 48 2 5 2" xfId="9716" xr:uid="{00000000-0005-0000-0000-0000DD250000}"/>
    <cellStyle name="Heading 2 48 2 5 2 2" xfId="9717" xr:uid="{00000000-0005-0000-0000-0000DE250000}"/>
    <cellStyle name="Heading 2 48 2 5 2 3" xfId="9718" xr:uid="{00000000-0005-0000-0000-0000DF250000}"/>
    <cellStyle name="Heading 2 48 2 5 3" xfId="9719" xr:uid="{00000000-0005-0000-0000-0000E0250000}"/>
    <cellStyle name="Heading 2 48 2 5 4" xfId="9720" xr:uid="{00000000-0005-0000-0000-0000E1250000}"/>
    <cellStyle name="Heading 2 48 2 6" xfId="9721" xr:uid="{00000000-0005-0000-0000-0000E2250000}"/>
    <cellStyle name="Heading 2 48 2 6 2" xfId="9722" xr:uid="{00000000-0005-0000-0000-0000E3250000}"/>
    <cellStyle name="Heading 2 48 2 6 2 2" xfId="9723" xr:uid="{00000000-0005-0000-0000-0000E4250000}"/>
    <cellStyle name="Heading 2 48 2 6 2 3" xfId="9724" xr:uid="{00000000-0005-0000-0000-0000E5250000}"/>
    <cellStyle name="Heading 2 48 2 6 3" xfId="9725" xr:uid="{00000000-0005-0000-0000-0000E6250000}"/>
    <cellStyle name="Heading 2 48 2 6 4" xfId="9726" xr:uid="{00000000-0005-0000-0000-0000E7250000}"/>
    <cellStyle name="Heading 2 48 2 7" xfId="9727" xr:uid="{00000000-0005-0000-0000-0000E8250000}"/>
    <cellStyle name="Heading 2 48 2 7 2" xfId="9728" xr:uid="{00000000-0005-0000-0000-0000E9250000}"/>
    <cellStyle name="Heading 2 48 2 7 2 2" xfId="9729" xr:uid="{00000000-0005-0000-0000-0000EA250000}"/>
    <cellStyle name="Heading 2 48 2 7 2 3" xfId="9730" xr:uid="{00000000-0005-0000-0000-0000EB250000}"/>
    <cellStyle name="Heading 2 48 2 7 3" xfId="9731" xr:uid="{00000000-0005-0000-0000-0000EC250000}"/>
    <cellStyle name="Heading 2 48 2 7 4" xfId="9732" xr:uid="{00000000-0005-0000-0000-0000ED250000}"/>
    <cellStyle name="Heading 2 48 2 8" xfId="9733" xr:uid="{00000000-0005-0000-0000-0000EE250000}"/>
    <cellStyle name="Heading 2 48 2 8 2" xfId="9734" xr:uid="{00000000-0005-0000-0000-0000EF250000}"/>
    <cellStyle name="Heading 2 48 2 8 2 2" xfId="9735" xr:uid="{00000000-0005-0000-0000-0000F0250000}"/>
    <cellStyle name="Heading 2 48 2 8 2 3" xfId="9736" xr:uid="{00000000-0005-0000-0000-0000F1250000}"/>
    <cellStyle name="Heading 2 48 2 8 3" xfId="9737" xr:uid="{00000000-0005-0000-0000-0000F2250000}"/>
    <cellStyle name="Heading 2 48 2 8 4" xfId="9738" xr:uid="{00000000-0005-0000-0000-0000F3250000}"/>
    <cellStyle name="Heading 2 48 2 9" xfId="9739" xr:uid="{00000000-0005-0000-0000-0000F4250000}"/>
    <cellStyle name="Heading 2 48 2 9 2" xfId="9740" xr:uid="{00000000-0005-0000-0000-0000F5250000}"/>
    <cellStyle name="Heading 2 48 2 9 2 2" xfId="9741" xr:uid="{00000000-0005-0000-0000-0000F6250000}"/>
    <cellStyle name="Heading 2 48 2 9 2 3" xfId="9742" xr:uid="{00000000-0005-0000-0000-0000F7250000}"/>
    <cellStyle name="Heading 2 48 2 9 3" xfId="9743" xr:uid="{00000000-0005-0000-0000-0000F8250000}"/>
    <cellStyle name="Heading 2 48 2 9 4" xfId="9744" xr:uid="{00000000-0005-0000-0000-0000F9250000}"/>
    <cellStyle name="Heading 2 48 3" xfId="9745" xr:uid="{00000000-0005-0000-0000-0000FA250000}"/>
    <cellStyle name="Heading 2 48 4" xfId="9746" xr:uid="{00000000-0005-0000-0000-0000FB250000}"/>
    <cellStyle name="Heading 2 49" xfId="9747" xr:uid="{00000000-0005-0000-0000-0000FC250000}"/>
    <cellStyle name="Heading 2 49 2" xfId="9748" xr:uid="{00000000-0005-0000-0000-0000FD250000}"/>
    <cellStyle name="Heading 2 49 2 10" xfId="9749" xr:uid="{00000000-0005-0000-0000-0000FE250000}"/>
    <cellStyle name="Heading 2 49 2 10 2" xfId="9750" xr:uid="{00000000-0005-0000-0000-0000FF250000}"/>
    <cellStyle name="Heading 2 49 2 10 2 2" xfId="9751" xr:uid="{00000000-0005-0000-0000-000000260000}"/>
    <cellStyle name="Heading 2 49 2 10 2 3" xfId="9752" xr:uid="{00000000-0005-0000-0000-000001260000}"/>
    <cellStyle name="Heading 2 49 2 10 3" xfId="9753" xr:uid="{00000000-0005-0000-0000-000002260000}"/>
    <cellStyle name="Heading 2 49 2 10 4" xfId="9754" xr:uid="{00000000-0005-0000-0000-000003260000}"/>
    <cellStyle name="Heading 2 49 2 11" xfId="9755" xr:uid="{00000000-0005-0000-0000-000004260000}"/>
    <cellStyle name="Heading 2 49 2 11 2" xfId="9756" xr:uid="{00000000-0005-0000-0000-000005260000}"/>
    <cellStyle name="Heading 2 49 2 11 2 2" xfId="9757" xr:uid="{00000000-0005-0000-0000-000006260000}"/>
    <cellStyle name="Heading 2 49 2 11 2 3" xfId="9758" xr:uid="{00000000-0005-0000-0000-000007260000}"/>
    <cellStyle name="Heading 2 49 2 11 3" xfId="9759" xr:uid="{00000000-0005-0000-0000-000008260000}"/>
    <cellStyle name="Heading 2 49 2 11 4" xfId="9760" xr:uid="{00000000-0005-0000-0000-000009260000}"/>
    <cellStyle name="Heading 2 49 2 12" xfId="9761" xr:uid="{00000000-0005-0000-0000-00000A260000}"/>
    <cellStyle name="Heading 2 49 2 12 2" xfId="9762" xr:uid="{00000000-0005-0000-0000-00000B260000}"/>
    <cellStyle name="Heading 2 49 2 12 2 2" xfId="9763" xr:uid="{00000000-0005-0000-0000-00000C260000}"/>
    <cellStyle name="Heading 2 49 2 12 2 3" xfId="9764" xr:uid="{00000000-0005-0000-0000-00000D260000}"/>
    <cellStyle name="Heading 2 49 2 12 3" xfId="9765" xr:uid="{00000000-0005-0000-0000-00000E260000}"/>
    <cellStyle name="Heading 2 49 2 12 4" xfId="9766" xr:uid="{00000000-0005-0000-0000-00000F260000}"/>
    <cellStyle name="Heading 2 49 2 13" xfId="9767" xr:uid="{00000000-0005-0000-0000-000010260000}"/>
    <cellStyle name="Heading 2 49 2 13 2" xfId="9768" xr:uid="{00000000-0005-0000-0000-000011260000}"/>
    <cellStyle name="Heading 2 49 2 13 2 2" xfId="9769" xr:uid="{00000000-0005-0000-0000-000012260000}"/>
    <cellStyle name="Heading 2 49 2 13 2 3" xfId="9770" xr:uid="{00000000-0005-0000-0000-000013260000}"/>
    <cellStyle name="Heading 2 49 2 13 3" xfId="9771" xr:uid="{00000000-0005-0000-0000-000014260000}"/>
    <cellStyle name="Heading 2 49 2 13 4" xfId="9772" xr:uid="{00000000-0005-0000-0000-000015260000}"/>
    <cellStyle name="Heading 2 49 2 14" xfId="9773" xr:uid="{00000000-0005-0000-0000-000016260000}"/>
    <cellStyle name="Heading 2 49 2 14 2" xfId="9774" xr:uid="{00000000-0005-0000-0000-000017260000}"/>
    <cellStyle name="Heading 2 49 2 14 2 2" xfId="9775" xr:uid="{00000000-0005-0000-0000-000018260000}"/>
    <cellStyle name="Heading 2 49 2 14 2 3" xfId="9776" xr:uid="{00000000-0005-0000-0000-000019260000}"/>
    <cellStyle name="Heading 2 49 2 14 3" xfId="9777" xr:uid="{00000000-0005-0000-0000-00001A260000}"/>
    <cellStyle name="Heading 2 49 2 14 4" xfId="9778" xr:uid="{00000000-0005-0000-0000-00001B260000}"/>
    <cellStyle name="Heading 2 49 2 15" xfId="9779" xr:uid="{00000000-0005-0000-0000-00001C260000}"/>
    <cellStyle name="Heading 2 49 2 15 2" xfId="9780" xr:uid="{00000000-0005-0000-0000-00001D260000}"/>
    <cellStyle name="Heading 2 49 2 15 2 2" xfId="9781" xr:uid="{00000000-0005-0000-0000-00001E260000}"/>
    <cellStyle name="Heading 2 49 2 15 2 3" xfId="9782" xr:uid="{00000000-0005-0000-0000-00001F260000}"/>
    <cellStyle name="Heading 2 49 2 15 3" xfId="9783" xr:uid="{00000000-0005-0000-0000-000020260000}"/>
    <cellStyle name="Heading 2 49 2 15 4" xfId="9784" xr:uid="{00000000-0005-0000-0000-000021260000}"/>
    <cellStyle name="Heading 2 49 2 16" xfId="9785" xr:uid="{00000000-0005-0000-0000-000022260000}"/>
    <cellStyle name="Heading 2 49 2 16 2" xfId="9786" xr:uid="{00000000-0005-0000-0000-000023260000}"/>
    <cellStyle name="Heading 2 49 2 16 2 2" xfId="9787" xr:uid="{00000000-0005-0000-0000-000024260000}"/>
    <cellStyle name="Heading 2 49 2 16 2 3" xfId="9788" xr:uid="{00000000-0005-0000-0000-000025260000}"/>
    <cellStyle name="Heading 2 49 2 16 3" xfId="9789" xr:uid="{00000000-0005-0000-0000-000026260000}"/>
    <cellStyle name="Heading 2 49 2 16 4" xfId="9790" xr:uid="{00000000-0005-0000-0000-000027260000}"/>
    <cellStyle name="Heading 2 49 2 17" xfId="9791" xr:uid="{00000000-0005-0000-0000-000028260000}"/>
    <cellStyle name="Heading 2 49 2 17 2" xfId="9792" xr:uid="{00000000-0005-0000-0000-000029260000}"/>
    <cellStyle name="Heading 2 49 2 17 2 2" xfId="9793" xr:uid="{00000000-0005-0000-0000-00002A260000}"/>
    <cellStyle name="Heading 2 49 2 17 2 3" xfId="9794" xr:uid="{00000000-0005-0000-0000-00002B260000}"/>
    <cellStyle name="Heading 2 49 2 17 3" xfId="9795" xr:uid="{00000000-0005-0000-0000-00002C260000}"/>
    <cellStyle name="Heading 2 49 2 17 4" xfId="9796" xr:uid="{00000000-0005-0000-0000-00002D260000}"/>
    <cellStyle name="Heading 2 49 2 18" xfId="9797" xr:uid="{00000000-0005-0000-0000-00002E260000}"/>
    <cellStyle name="Heading 2 49 2 18 2" xfId="9798" xr:uid="{00000000-0005-0000-0000-00002F260000}"/>
    <cellStyle name="Heading 2 49 2 18 3" xfId="9799" xr:uid="{00000000-0005-0000-0000-000030260000}"/>
    <cellStyle name="Heading 2 49 2 18 4" xfId="9800" xr:uid="{00000000-0005-0000-0000-000031260000}"/>
    <cellStyle name="Heading 2 49 2 19" xfId="9801" xr:uid="{00000000-0005-0000-0000-000032260000}"/>
    <cellStyle name="Heading 2 49 2 2" xfId="9802" xr:uid="{00000000-0005-0000-0000-000033260000}"/>
    <cellStyle name="Heading 2 49 2 2 2" xfId="9803" xr:uid="{00000000-0005-0000-0000-000034260000}"/>
    <cellStyle name="Heading 2 49 2 2 2 2" xfId="9804" xr:uid="{00000000-0005-0000-0000-000035260000}"/>
    <cellStyle name="Heading 2 49 2 2 2 3" xfId="9805" xr:uid="{00000000-0005-0000-0000-000036260000}"/>
    <cellStyle name="Heading 2 49 2 2 3" xfId="9806" xr:uid="{00000000-0005-0000-0000-000037260000}"/>
    <cellStyle name="Heading 2 49 2 2 4" xfId="9807" xr:uid="{00000000-0005-0000-0000-000038260000}"/>
    <cellStyle name="Heading 2 49 2 20" xfId="9808" xr:uid="{00000000-0005-0000-0000-000039260000}"/>
    <cellStyle name="Heading 2 49 2 21" xfId="9809" xr:uid="{00000000-0005-0000-0000-00003A260000}"/>
    <cellStyle name="Heading 2 49 2 3" xfId="9810" xr:uid="{00000000-0005-0000-0000-00003B260000}"/>
    <cellStyle name="Heading 2 49 2 3 2" xfId="9811" xr:uid="{00000000-0005-0000-0000-00003C260000}"/>
    <cellStyle name="Heading 2 49 2 3 2 2" xfId="9812" xr:uid="{00000000-0005-0000-0000-00003D260000}"/>
    <cellStyle name="Heading 2 49 2 3 2 3" xfId="9813" xr:uid="{00000000-0005-0000-0000-00003E260000}"/>
    <cellStyle name="Heading 2 49 2 3 3" xfId="9814" xr:uid="{00000000-0005-0000-0000-00003F260000}"/>
    <cellStyle name="Heading 2 49 2 3 4" xfId="9815" xr:uid="{00000000-0005-0000-0000-000040260000}"/>
    <cellStyle name="Heading 2 49 2 4" xfId="9816" xr:uid="{00000000-0005-0000-0000-000041260000}"/>
    <cellStyle name="Heading 2 49 2 4 2" xfId="9817" xr:uid="{00000000-0005-0000-0000-000042260000}"/>
    <cellStyle name="Heading 2 49 2 4 2 2" xfId="9818" xr:uid="{00000000-0005-0000-0000-000043260000}"/>
    <cellStyle name="Heading 2 49 2 4 2 3" xfId="9819" xr:uid="{00000000-0005-0000-0000-000044260000}"/>
    <cellStyle name="Heading 2 49 2 4 3" xfId="9820" xr:uid="{00000000-0005-0000-0000-000045260000}"/>
    <cellStyle name="Heading 2 49 2 4 4" xfId="9821" xr:uid="{00000000-0005-0000-0000-000046260000}"/>
    <cellStyle name="Heading 2 49 2 5" xfId="9822" xr:uid="{00000000-0005-0000-0000-000047260000}"/>
    <cellStyle name="Heading 2 49 2 5 2" xfId="9823" xr:uid="{00000000-0005-0000-0000-000048260000}"/>
    <cellStyle name="Heading 2 49 2 5 2 2" xfId="9824" xr:uid="{00000000-0005-0000-0000-000049260000}"/>
    <cellStyle name="Heading 2 49 2 5 2 3" xfId="9825" xr:uid="{00000000-0005-0000-0000-00004A260000}"/>
    <cellStyle name="Heading 2 49 2 5 3" xfId="9826" xr:uid="{00000000-0005-0000-0000-00004B260000}"/>
    <cellStyle name="Heading 2 49 2 5 4" xfId="9827" xr:uid="{00000000-0005-0000-0000-00004C260000}"/>
    <cellStyle name="Heading 2 49 2 6" xfId="9828" xr:uid="{00000000-0005-0000-0000-00004D260000}"/>
    <cellStyle name="Heading 2 49 2 6 2" xfId="9829" xr:uid="{00000000-0005-0000-0000-00004E260000}"/>
    <cellStyle name="Heading 2 49 2 6 2 2" xfId="9830" xr:uid="{00000000-0005-0000-0000-00004F260000}"/>
    <cellStyle name="Heading 2 49 2 6 2 3" xfId="9831" xr:uid="{00000000-0005-0000-0000-000050260000}"/>
    <cellStyle name="Heading 2 49 2 6 3" xfId="9832" xr:uid="{00000000-0005-0000-0000-000051260000}"/>
    <cellStyle name="Heading 2 49 2 6 4" xfId="9833" xr:uid="{00000000-0005-0000-0000-000052260000}"/>
    <cellStyle name="Heading 2 49 2 7" xfId="9834" xr:uid="{00000000-0005-0000-0000-000053260000}"/>
    <cellStyle name="Heading 2 49 2 7 2" xfId="9835" xr:uid="{00000000-0005-0000-0000-000054260000}"/>
    <cellStyle name="Heading 2 49 2 7 2 2" xfId="9836" xr:uid="{00000000-0005-0000-0000-000055260000}"/>
    <cellStyle name="Heading 2 49 2 7 2 3" xfId="9837" xr:uid="{00000000-0005-0000-0000-000056260000}"/>
    <cellStyle name="Heading 2 49 2 7 3" xfId="9838" xr:uid="{00000000-0005-0000-0000-000057260000}"/>
    <cellStyle name="Heading 2 49 2 7 4" xfId="9839" xr:uid="{00000000-0005-0000-0000-000058260000}"/>
    <cellStyle name="Heading 2 49 2 8" xfId="9840" xr:uid="{00000000-0005-0000-0000-000059260000}"/>
    <cellStyle name="Heading 2 49 2 8 2" xfId="9841" xr:uid="{00000000-0005-0000-0000-00005A260000}"/>
    <cellStyle name="Heading 2 49 2 8 2 2" xfId="9842" xr:uid="{00000000-0005-0000-0000-00005B260000}"/>
    <cellStyle name="Heading 2 49 2 8 2 3" xfId="9843" xr:uid="{00000000-0005-0000-0000-00005C260000}"/>
    <cellStyle name="Heading 2 49 2 8 3" xfId="9844" xr:uid="{00000000-0005-0000-0000-00005D260000}"/>
    <cellStyle name="Heading 2 49 2 8 4" xfId="9845" xr:uid="{00000000-0005-0000-0000-00005E260000}"/>
    <cellStyle name="Heading 2 49 2 9" xfId="9846" xr:uid="{00000000-0005-0000-0000-00005F260000}"/>
    <cellStyle name="Heading 2 49 2 9 2" xfId="9847" xr:uid="{00000000-0005-0000-0000-000060260000}"/>
    <cellStyle name="Heading 2 49 2 9 2 2" xfId="9848" xr:uid="{00000000-0005-0000-0000-000061260000}"/>
    <cellStyle name="Heading 2 49 2 9 2 3" xfId="9849" xr:uid="{00000000-0005-0000-0000-000062260000}"/>
    <cellStyle name="Heading 2 49 2 9 3" xfId="9850" xr:uid="{00000000-0005-0000-0000-000063260000}"/>
    <cellStyle name="Heading 2 49 2 9 4" xfId="9851" xr:uid="{00000000-0005-0000-0000-000064260000}"/>
    <cellStyle name="Heading 2 49 3" xfId="9852" xr:uid="{00000000-0005-0000-0000-000065260000}"/>
    <cellStyle name="Heading 2 49 4" xfId="9853" xr:uid="{00000000-0005-0000-0000-000066260000}"/>
    <cellStyle name="Heading 2 5" xfId="9854" xr:uid="{00000000-0005-0000-0000-000067260000}"/>
    <cellStyle name="Heading 2 5 2" xfId="9855" xr:uid="{00000000-0005-0000-0000-000068260000}"/>
    <cellStyle name="Heading 2 5 2 10" xfId="9856" xr:uid="{00000000-0005-0000-0000-000069260000}"/>
    <cellStyle name="Heading 2 5 2 10 2" xfId="9857" xr:uid="{00000000-0005-0000-0000-00006A260000}"/>
    <cellStyle name="Heading 2 5 2 10 2 2" xfId="9858" xr:uid="{00000000-0005-0000-0000-00006B260000}"/>
    <cellStyle name="Heading 2 5 2 10 2 3" xfId="9859" xr:uid="{00000000-0005-0000-0000-00006C260000}"/>
    <cellStyle name="Heading 2 5 2 10 3" xfId="9860" xr:uid="{00000000-0005-0000-0000-00006D260000}"/>
    <cellStyle name="Heading 2 5 2 10 4" xfId="9861" xr:uid="{00000000-0005-0000-0000-00006E260000}"/>
    <cellStyle name="Heading 2 5 2 11" xfId="9862" xr:uid="{00000000-0005-0000-0000-00006F260000}"/>
    <cellStyle name="Heading 2 5 2 11 2" xfId="9863" xr:uid="{00000000-0005-0000-0000-000070260000}"/>
    <cellStyle name="Heading 2 5 2 11 2 2" xfId="9864" xr:uid="{00000000-0005-0000-0000-000071260000}"/>
    <cellStyle name="Heading 2 5 2 11 2 3" xfId="9865" xr:uid="{00000000-0005-0000-0000-000072260000}"/>
    <cellStyle name="Heading 2 5 2 11 3" xfId="9866" xr:uid="{00000000-0005-0000-0000-000073260000}"/>
    <cellStyle name="Heading 2 5 2 11 4" xfId="9867" xr:uid="{00000000-0005-0000-0000-000074260000}"/>
    <cellStyle name="Heading 2 5 2 12" xfId="9868" xr:uid="{00000000-0005-0000-0000-000075260000}"/>
    <cellStyle name="Heading 2 5 2 12 2" xfId="9869" xr:uid="{00000000-0005-0000-0000-000076260000}"/>
    <cellStyle name="Heading 2 5 2 12 2 2" xfId="9870" xr:uid="{00000000-0005-0000-0000-000077260000}"/>
    <cellStyle name="Heading 2 5 2 12 2 3" xfId="9871" xr:uid="{00000000-0005-0000-0000-000078260000}"/>
    <cellStyle name="Heading 2 5 2 12 3" xfId="9872" xr:uid="{00000000-0005-0000-0000-000079260000}"/>
    <cellStyle name="Heading 2 5 2 12 4" xfId="9873" xr:uid="{00000000-0005-0000-0000-00007A260000}"/>
    <cellStyle name="Heading 2 5 2 13" xfId="9874" xr:uid="{00000000-0005-0000-0000-00007B260000}"/>
    <cellStyle name="Heading 2 5 2 13 2" xfId="9875" xr:uid="{00000000-0005-0000-0000-00007C260000}"/>
    <cellStyle name="Heading 2 5 2 13 2 2" xfId="9876" xr:uid="{00000000-0005-0000-0000-00007D260000}"/>
    <cellStyle name="Heading 2 5 2 13 2 3" xfId="9877" xr:uid="{00000000-0005-0000-0000-00007E260000}"/>
    <cellStyle name="Heading 2 5 2 13 3" xfId="9878" xr:uid="{00000000-0005-0000-0000-00007F260000}"/>
    <cellStyle name="Heading 2 5 2 13 4" xfId="9879" xr:uid="{00000000-0005-0000-0000-000080260000}"/>
    <cellStyle name="Heading 2 5 2 14" xfId="9880" xr:uid="{00000000-0005-0000-0000-000081260000}"/>
    <cellStyle name="Heading 2 5 2 14 2" xfId="9881" xr:uid="{00000000-0005-0000-0000-000082260000}"/>
    <cellStyle name="Heading 2 5 2 14 2 2" xfId="9882" xr:uid="{00000000-0005-0000-0000-000083260000}"/>
    <cellStyle name="Heading 2 5 2 14 2 3" xfId="9883" xr:uid="{00000000-0005-0000-0000-000084260000}"/>
    <cellStyle name="Heading 2 5 2 14 3" xfId="9884" xr:uid="{00000000-0005-0000-0000-000085260000}"/>
    <cellStyle name="Heading 2 5 2 14 4" xfId="9885" xr:uid="{00000000-0005-0000-0000-000086260000}"/>
    <cellStyle name="Heading 2 5 2 15" xfId="9886" xr:uid="{00000000-0005-0000-0000-000087260000}"/>
    <cellStyle name="Heading 2 5 2 15 2" xfId="9887" xr:uid="{00000000-0005-0000-0000-000088260000}"/>
    <cellStyle name="Heading 2 5 2 15 2 2" xfId="9888" xr:uid="{00000000-0005-0000-0000-000089260000}"/>
    <cellStyle name="Heading 2 5 2 15 2 3" xfId="9889" xr:uid="{00000000-0005-0000-0000-00008A260000}"/>
    <cellStyle name="Heading 2 5 2 15 3" xfId="9890" xr:uid="{00000000-0005-0000-0000-00008B260000}"/>
    <cellStyle name="Heading 2 5 2 15 4" xfId="9891" xr:uid="{00000000-0005-0000-0000-00008C260000}"/>
    <cellStyle name="Heading 2 5 2 16" xfId="9892" xr:uid="{00000000-0005-0000-0000-00008D260000}"/>
    <cellStyle name="Heading 2 5 2 16 2" xfId="9893" xr:uid="{00000000-0005-0000-0000-00008E260000}"/>
    <cellStyle name="Heading 2 5 2 16 2 2" xfId="9894" xr:uid="{00000000-0005-0000-0000-00008F260000}"/>
    <cellStyle name="Heading 2 5 2 16 2 3" xfId="9895" xr:uid="{00000000-0005-0000-0000-000090260000}"/>
    <cellStyle name="Heading 2 5 2 16 3" xfId="9896" xr:uid="{00000000-0005-0000-0000-000091260000}"/>
    <cellStyle name="Heading 2 5 2 16 4" xfId="9897" xr:uid="{00000000-0005-0000-0000-000092260000}"/>
    <cellStyle name="Heading 2 5 2 17" xfId="9898" xr:uid="{00000000-0005-0000-0000-000093260000}"/>
    <cellStyle name="Heading 2 5 2 17 2" xfId="9899" xr:uid="{00000000-0005-0000-0000-000094260000}"/>
    <cellStyle name="Heading 2 5 2 17 2 2" xfId="9900" xr:uid="{00000000-0005-0000-0000-000095260000}"/>
    <cellStyle name="Heading 2 5 2 17 2 3" xfId="9901" xr:uid="{00000000-0005-0000-0000-000096260000}"/>
    <cellStyle name="Heading 2 5 2 17 3" xfId="9902" xr:uid="{00000000-0005-0000-0000-000097260000}"/>
    <cellStyle name="Heading 2 5 2 17 4" xfId="9903" xr:uid="{00000000-0005-0000-0000-000098260000}"/>
    <cellStyle name="Heading 2 5 2 18" xfId="9904" xr:uid="{00000000-0005-0000-0000-000099260000}"/>
    <cellStyle name="Heading 2 5 2 18 2" xfId="9905" xr:uid="{00000000-0005-0000-0000-00009A260000}"/>
    <cellStyle name="Heading 2 5 2 18 3" xfId="9906" xr:uid="{00000000-0005-0000-0000-00009B260000}"/>
    <cellStyle name="Heading 2 5 2 18 4" xfId="9907" xr:uid="{00000000-0005-0000-0000-00009C260000}"/>
    <cellStyle name="Heading 2 5 2 19" xfId="9908" xr:uid="{00000000-0005-0000-0000-00009D260000}"/>
    <cellStyle name="Heading 2 5 2 2" xfId="9909" xr:uid="{00000000-0005-0000-0000-00009E260000}"/>
    <cellStyle name="Heading 2 5 2 2 2" xfId="9910" xr:uid="{00000000-0005-0000-0000-00009F260000}"/>
    <cellStyle name="Heading 2 5 2 2 2 2" xfId="9911" xr:uid="{00000000-0005-0000-0000-0000A0260000}"/>
    <cellStyle name="Heading 2 5 2 2 2 3" xfId="9912" xr:uid="{00000000-0005-0000-0000-0000A1260000}"/>
    <cellStyle name="Heading 2 5 2 2 3" xfId="9913" xr:uid="{00000000-0005-0000-0000-0000A2260000}"/>
    <cellStyle name="Heading 2 5 2 2 4" xfId="9914" xr:uid="{00000000-0005-0000-0000-0000A3260000}"/>
    <cellStyle name="Heading 2 5 2 20" xfId="9915" xr:uid="{00000000-0005-0000-0000-0000A4260000}"/>
    <cellStyle name="Heading 2 5 2 21" xfId="9916" xr:uid="{00000000-0005-0000-0000-0000A5260000}"/>
    <cellStyle name="Heading 2 5 2 3" xfId="9917" xr:uid="{00000000-0005-0000-0000-0000A6260000}"/>
    <cellStyle name="Heading 2 5 2 3 2" xfId="9918" xr:uid="{00000000-0005-0000-0000-0000A7260000}"/>
    <cellStyle name="Heading 2 5 2 3 2 2" xfId="9919" xr:uid="{00000000-0005-0000-0000-0000A8260000}"/>
    <cellStyle name="Heading 2 5 2 3 2 3" xfId="9920" xr:uid="{00000000-0005-0000-0000-0000A9260000}"/>
    <cellStyle name="Heading 2 5 2 3 3" xfId="9921" xr:uid="{00000000-0005-0000-0000-0000AA260000}"/>
    <cellStyle name="Heading 2 5 2 3 4" xfId="9922" xr:uid="{00000000-0005-0000-0000-0000AB260000}"/>
    <cellStyle name="Heading 2 5 2 4" xfId="9923" xr:uid="{00000000-0005-0000-0000-0000AC260000}"/>
    <cellStyle name="Heading 2 5 2 4 2" xfId="9924" xr:uid="{00000000-0005-0000-0000-0000AD260000}"/>
    <cellStyle name="Heading 2 5 2 4 2 2" xfId="9925" xr:uid="{00000000-0005-0000-0000-0000AE260000}"/>
    <cellStyle name="Heading 2 5 2 4 2 3" xfId="9926" xr:uid="{00000000-0005-0000-0000-0000AF260000}"/>
    <cellStyle name="Heading 2 5 2 4 3" xfId="9927" xr:uid="{00000000-0005-0000-0000-0000B0260000}"/>
    <cellStyle name="Heading 2 5 2 4 4" xfId="9928" xr:uid="{00000000-0005-0000-0000-0000B1260000}"/>
    <cellStyle name="Heading 2 5 2 5" xfId="9929" xr:uid="{00000000-0005-0000-0000-0000B2260000}"/>
    <cellStyle name="Heading 2 5 2 5 2" xfId="9930" xr:uid="{00000000-0005-0000-0000-0000B3260000}"/>
    <cellStyle name="Heading 2 5 2 5 2 2" xfId="9931" xr:uid="{00000000-0005-0000-0000-0000B4260000}"/>
    <cellStyle name="Heading 2 5 2 5 2 3" xfId="9932" xr:uid="{00000000-0005-0000-0000-0000B5260000}"/>
    <cellStyle name="Heading 2 5 2 5 3" xfId="9933" xr:uid="{00000000-0005-0000-0000-0000B6260000}"/>
    <cellStyle name="Heading 2 5 2 5 4" xfId="9934" xr:uid="{00000000-0005-0000-0000-0000B7260000}"/>
    <cellStyle name="Heading 2 5 2 6" xfId="9935" xr:uid="{00000000-0005-0000-0000-0000B8260000}"/>
    <cellStyle name="Heading 2 5 2 6 2" xfId="9936" xr:uid="{00000000-0005-0000-0000-0000B9260000}"/>
    <cellStyle name="Heading 2 5 2 6 2 2" xfId="9937" xr:uid="{00000000-0005-0000-0000-0000BA260000}"/>
    <cellStyle name="Heading 2 5 2 6 2 3" xfId="9938" xr:uid="{00000000-0005-0000-0000-0000BB260000}"/>
    <cellStyle name="Heading 2 5 2 6 3" xfId="9939" xr:uid="{00000000-0005-0000-0000-0000BC260000}"/>
    <cellStyle name="Heading 2 5 2 6 4" xfId="9940" xr:uid="{00000000-0005-0000-0000-0000BD260000}"/>
    <cellStyle name="Heading 2 5 2 7" xfId="9941" xr:uid="{00000000-0005-0000-0000-0000BE260000}"/>
    <cellStyle name="Heading 2 5 2 7 2" xfId="9942" xr:uid="{00000000-0005-0000-0000-0000BF260000}"/>
    <cellStyle name="Heading 2 5 2 7 2 2" xfId="9943" xr:uid="{00000000-0005-0000-0000-0000C0260000}"/>
    <cellStyle name="Heading 2 5 2 7 2 3" xfId="9944" xr:uid="{00000000-0005-0000-0000-0000C1260000}"/>
    <cellStyle name="Heading 2 5 2 7 3" xfId="9945" xr:uid="{00000000-0005-0000-0000-0000C2260000}"/>
    <cellStyle name="Heading 2 5 2 7 4" xfId="9946" xr:uid="{00000000-0005-0000-0000-0000C3260000}"/>
    <cellStyle name="Heading 2 5 2 8" xfId="9947" xr:uid="{00000000-0005-0000-0000-0000C4260000}"/>
    <cellStyle name="Heading 2 5 2 8 2" xfId="9948" xr:uid="{00000000-0005-0000-0000-0000C5260000}"/>
    <cellStyle name="Heading 2 5 2 8 2 2" xfId="9949" xr:uid="{00000000-0005-0000-0000-0000C6260000}"/>
    <cellStyle name="Heading 2 5 2 8 2 3" xfId="9950" xr:uid="{00000000-0005-0000-0000-0000C7260000}"/>
    <cellStyle name="Heading 2 5 2 8 3" xfId="9951" xr:uid="{00000000-0005-0000-0000-0000C8260000}"/>
    <cellStyle name="Heading 2 5 2 8 4" xfId="9952" xr:uid="{00000000-0005-0000-0000-0000C9260000}"/>
    <cellStyle name="Heading 2 5 2 9" xfId="9953" xr:uid="{00000000-0005-0000-0000-0000CA260000}"/>
    <cellStyle name="Heading 2 5 2 9 2" xfId="9954" xr:uid="{00000000-0005-0000-0000-0000CB260000}"/>
    <cellStyle name="Heading 2 5 2 9 2 2" xfId="9955" xr:uid="{00000000-0005-0000-0000-0000CC260000}"/>
    <cellStyle name="Heading 2 5 2 9 2 3" xfId="9956" xr:uid="{00000000-0005-0000-0000-0000CD260000}"/>
    <cellStyle name="Heading 2 5 2 9 3" xfId="9957" xr:uid="{00000000-0005-0000-0000-0000CE260000}"/>
    <cellStyle name="Heading 2 5 2 9 4" xfId="9958" xr:uid="{00000000-0005-0000-0000-0000CF260000}"/>
    <cellStyle name="Heading 2 5 3" xfId="9959" xr:uid="{00000000-0005-0000-0000-0000D0260000}"/>
    <cellStyle name="Heading 2 5 4" xfId="9960" xr:uid="{00000000-0005-0000-0000-0000D1260000}"/>
    <cellStyle name="Heading 2 50" xfId="9961" xr:uid="{00000000-0005-0000-0000-0000D2260000}"/>
    <cellStyle name="Heading 2 50 2" xfId="9962" xr:uid="{00000000-0005-0000-0000-0000D3260000}"/>
    <cellStyle name="Heading 2 50 2 10" xfId="9963" xr:uid="{00000000-0005-0000-0000-0000D4260000}"/>
    <cellStyle name="Heading 2 50 2 10 2" xfId="9964" xr:uid="{00000000-0005-0000-0000-0000D5260000}"/>
    <cellStyle name="Heading 2 50 2 10 2 2" xfId="9965" xr:uid="{00000000-0005-0000-0000-0000D6260000}"/>
    <cellStyle name="Heading 2 50 2 10 2 3" xfId="9966" xr:uid="{00000000-0005-0000-0000-0000D7260000}"/>
    <cellStyle name="Heading 2 50 2 10 3" xfId="9967" xr:uid="{00000000-0005-0000-0000-0000D8260000}"/>
    <cellStyle name="Heading 2 50 2 10 4" xfId="9968" xr:uid="{00000000-0005-0000-0000-0000D9260000}"/>
    <cellStyle name="Heading 2 50 2 11" xfId="9969" xr:uid="{00000000-0005-0000-0000-0000DA260000}"/>
    <cellStyle name="Heading 2 50 2 11 2" xfId="9970" xr:uid="{00000000-0005-0000-0000-0000DB260000}"/>
    <cellStyle name="Heading 2 50 2 11 2 2" xfId="9971" xr:uid="{00000000-0005-0000-0000-0000DC260000}"/>
    <cellStyle name="Heading 2 50 2 11 2 3" xfId="9972" xr:uid="{00000000-0005-0000-0000-0000DD260000}"/>
    <cellStyle name="Heading 2 50 2 11 3" xfId="9973" xr:uid="{00000000-0005-0000-0000-0000DE260000}"/>
    <cellStyle name="Heading 2 50 2 11 4" xfId="9974" xr:uid="{00000000-0005-0000-0000-0000DF260000}"/>
    <cellStyle name="Heading 2 50 2 12" xfId="9975" xr:uid="{00000000-0005-0000-0000-0000E0260000}"/>
    <cellStyle name="Heading 2 50 2 12 2" xfId="9976" xr:uid="{00000000-0005-0000-0000-0000E1260000}"/>
    <cellStyle name="Heading 2 50 2 12 2 2" xfId="9977" xr:uid="{00000000-0005-0000-0000-0000E2260000}"/>
    <cellStyle name="Heading 2 50 2 12 2 3" xfId="9978" xr:uid="{00000000-0005-0000-0000-0000E3260000}"/>
    <cellStyle name="Heading 2 50 2 12 3" xfId="9979" xr:uid="{00000000-0005-0000-0000-0000E4260000}"/>
    <cellStyle name="Heading 2 50 2 12 4" xfId="9980" xr:uid="{00000000-0005-0000-0000-0000E5260000}"/>
    <cellStyle name="Heading 2 50 2 13" xfId="9981" xr:uid="{00000000-0005-0000-0000-0000E6260000}"/>
    <cellStyle name="Heading 2 50 2 13 2" xfId="9982" xr:uid="{00000000-0005-0000-0000-0000E7260000}"/>
    <cellStyle name="Heading 2 50 2 13 2 2" xfId="9983" xr:uid="{00000000-0005-0000-0000-0000E8260000}"/>
    <cellStyle name="Heading 2 50 2 13 2 3" xfId="9984" xr:uid="{00000000-0005-0000-0000-0000E9260000}"/>
    <cellStyle name="Heading 2 50 2 13 3" xfId="9985" xr:uid="{00000000-0005-0000-0000-0000EA260000}"/>
    <cellStyle name="Heading 2 50 2 13 4" xfId="9986" xr:uid="{00000000-0005-0000-0000-0000EB260000}"/>
    <cellStyle name="Heading 2 50 2 14" xfId="9987" xr:uid="{00000000-0005-0000-0000-0000EC260000}"/>
    <cellStyle name="Heading 2 50 2 14 2" xfId="9988" xr:uid="{00000000-0005-0000-0000-0000ED260000}"/>
    <cellStyle name="Heading 2 50 2 14 2 2" xfId="9989" xr:uid="{00000000-0005-0000-0000-0000EE260000}"/>
    <cellStyle name="Heading 2 50 2 14 2 3" xfId="9990" xr:uid="{00000000-0005-0000-0000-0000EF260000}"/>
    <cellStyle name="Heading 2 50 2 14 3" xfId="9991" xr:uid="{00000000-0005-0000-0000-0000F0260000}"/>
    <cellStyle name="Heading 2 50 2 14 4" xfId="9992" xr:uid="{00000000-0005-0000-0000-0000F1260000}"/>
    <cellStyle name="Heading 2 50 2 15" xfId="9993" xr:uid="{00000000-0005-0000-0000-0000F2260000}"/>
    <cellStyle name="Heading 2 50 2 15 2" xfId="9994" xr:uid="{00000000-0005-0000-0000-0000F3260000}"/>
    <cellStyle name="Heading 2 50 2 15 2 2" xfId="9995" xr:uid="{00000000-0005-0000-0000-0000F4260000}"/>
    <cellStyle name="Heading 2 50 2 15 2 3" xfId="9996" xr:uid="{00000000-0005-0000-0000-0000F5260000}"/>
    <cellStyle name="Heading 2 50 2 15 3" xfId="9997" xr:uid="{00000000-0005-0000-0000-0000F6260000}"/>
    <cellStyle name="Heading 2 50 2 15 4" xfId="9998" xr:uid="{00000000-0005-0000-0000-0000F7260000}"/>
    <cellStyle name="Heading 2 50 2 16" xfId="9999" xr:uid="{00000000-0005-0000-0000-0000F8260000}"/>
    <cellStyle name="Heading 2 50 2 16 2" xfId="10000" xr:uid="{00000000-0005-0000-0000-0000F9260000}"/>
    <cellStyle name="Heading 2 50 2 16 2 2" xfId="10001" xr:uid="{00000000-0005-0000-0000-0000FA260000}"/>
    <cellStyle name="Heading 2 50 2 16 2 3" xfId="10002" xr:uid="{00000000-0005-0000-0000-0000FB260000}"/>
    <cellStyle name="Heading 2 50 2 16 3" xfId="10003" xr:uid="{00000000-0005-0000-0000-0000FC260000}"/>
    <cellStyle name="Heading 2 50 2 16 4" xfId="10004" xr:uid="{00000000-0005-0000-0000-0000FD260000}"/>
    <cellStyle name="Heading 2 50 2 17" xfId="10005" xr:uid="{00000000-0005-0000-0000-0000FE260000}"/>
    <cellStyle name="Heading 2 50 2 17 2" xfId="10006" xr:uid="{00000000-0005-0000-0000-0000FF260000}"/>
    <cellStyle name="Heading 2 50 2 17 2 2" xfId="10007" xr:uid="{00000000-0005-0000-0000-000000270000}"/>
    <cellStyle name="Heading 2 50 2 17 2 3" xfId="10008" xr:uid="{00000000-0005-0000-0000-000001270000}"/>
    <cellStyle name="Heading 2 50 2 17 3" xfId="10009" xr:uid="{00000000-0005-0000-0000-000002270000}"/>
    <cellStyle name="Heading 2 50 2 17 4" xfId="10010" xr:uid="{00000000-0005-0000-0000-000003270000}"/>
    <cellStyle name="Heading 2 50 2 18" xfId="10011" xr:uid="{00000000-0005-0000-0000-000004270000}"/>
    <cellStyle name="Heading 2 50 2 18 2" xfId="10012" xr:uid="{00000000-0005-0000-0000-000005270000}"/>
    <cellStyle name="Heading 2 50 2 18 3" xfId="10013" xr:uid="{00000000-0005-0000-0000-000006270000}"/>
    <cellStyle name="Heading 2 50 2 18 4" xfId="10014" xr:uid="{00000000-0005-0000-0000-000007270000}"/>
    <cellStyle name="Heading 2 50 2 19" xfId="10015" xr:uid="{00000000-0005-0000-0000-000008270000}"/>
    <cellStyle name="Heading 2 50 2 2" xfId="10016" xr:uid="{00000000-0005-0000-0000-000009270000}"/>
    <cellStyle name="Heading 2 50 2 2 2" xfId="10017" xr:uid="{00000000-0005-0000-0000-00000A270000}"/>
    <cellStyle name="Heading 2 50 2 2 2 2" xfId="10018" xr:uid="{00000000-0005-0000-0000-00000B270000}"/>
    <cellStyle name="Heading 2 50 2 2 2 3" xfId="10019" xr:uid="{00000000-0005-0000-0000-00000C270000}"/>
    <cellStyle name="Heading 2 50 2 2 3" xfId="10020" xr:uid="{00000000-0005-0000-0000-00000D270000}"/>
    <cellStyle name="Heading 2 50 2 2 4" xfId="10021" xr:uid="{00000000-0005-0000-0000-00000E270000}"/>
    <cellStyle name="Heading 2 50 2 20" xfId="10022" xr:uid="{00000000-0005-0000-0000-00000F270000}"/>
    <cellStyle name="Heading 2 50 2 21" xfId="10023" xr:uid="{00000000-0005-0000-0000-000010270000}"/>
    <cellStyle name="Heading 2 50 2 3" xfId="10024" xr:uid="{00000000-0005-0000-0000-000011270000}"/>
    <cellStyle name="Heading 2 50 2 3 2" xfId="10025" xr:uid="{00000000-0005-0000-0000-000012270000}"/>
    <cellStyle name="Heading 2 50 2 3 2 2" xfId="10026" xr:uid="{00000000-0005-0000-0000-000013270000}"/>
    <cellStyle name="Heading 2 50 2 3 2 3" xfId="10027" xr:uid="{00000000-0005-0000-0000-000014270000}"/>
    <cellStyle name="Heading 2 50 2 3 3" xfId="10028" xr:uid="{00000000-0005-0000-0000-000015270000}"/>
    <cellStyle name="Heading 2 50 2 3 4" xfId="10029" xr:uid="{00000000-0005-0000-0000-000016270000}"/>
    <cellStyle name="Heading 2 50 2 4" xfId="10030" xr:uid="{00000000-0005-0000-0000-000017270000}"/>
    <cellStyle name="Heading 2 50 2 4 2" xfId="10031" xr:uid="{00000000-0005-0000-0000-000018270000}"/>
    <cellStyle name="Heading 2 50 2 4 2 2" xfId="10032" xr:uid="{00000000-0005-0000-0000-000019270000}"/>
    <cellStyle name="Heading 2 50 2 4 2 3" xfId="10033" xr:uid="{00000000-0005-0000-0000-00001A270000}"/>
    <cellStyle name="Heading 2 50 2 4 3" xfId="10034" xr:uid="{00000000-0005-0000-0000-00001B270000}"/>
    <cellStyle name="Heading 2 50 2 4 4" xfId="10035" xr:uid="{00000000-0005-0000-0000-00001C270000}"/>
    <cellStyle name="Heading 2 50 2 5" xfId="10036" xr:uid="{00000000-0005-0000-0000-00001D270000}"/>
    <cellStyle name="Heading 2 50 2 5 2" xfId="10037" xr:uid="{00000000-0005-0000-0000-00001E270000}"/>
    <cellStyle name="Heading 2 50 2 5 2 2" xfId="10038" xr:uid="{00000000-0005-0000-0000-00001F270000}"/>
    <cellStyle name="Heading 2 50 2 5 2 3" xfId="10039" xr:uid="{00000000-0005-0000-0000-000020270000}"/>
    <cellStyle name="Heading 2 50 2 5 3" xfId="10040" xr:uid="{00000000-0005-0000-0000-000021270000}"/>
    <cellStyle name="Heading 2 50 2 5 4" xfId="10041" xr:uid="{00000000-0005-0000-0000-000022270000}"/>
    <cellStyle name="Heading 2 50 2 6" xfId="10042" xr:uid="{00000000-0005-0000-0000-000023270000}"/>
    <cellStyle name="Heading 2 50 2 6 2" xfId="10043" xr:uid="{00000000-0005-0000-0000-000024270000}"/>
    <cellStyle name="Heading 2 50 2 6 2 2" xfId="10044" xr:uid="{00000000-0005-0000-0000-000025270000}"/>
    <cellStyle name="Heading 2 50 2 6 2 3" xfId="10045" xr:uid="{00000000-0005-0000-0000-000026270000}"/>
    <cellStyle name="Heading 2 50 2 6 3" xfId="10046" xr:uid="{00000000-0005-0000-0000-000027270000}"/>
    <cellStyle name="Heading 2 50 2 6 4" xfId="10047" xr:uid="{00000000-0005-0000-0000-000028270000}"/>
    <cellStyle name="Heading 2 50 2 7" xfId="10048" xr:uid="{00000000-0005-0000-0000-000029270000}"/>
    <cellStyle name="Heading 2 50 2 7 2" xfId="10049" xr:uid="{00000000-0005-0000-0000-00002A270000}"/>
    <cellStyle name="Heading 2 50 2 7 2 2" xfId="10050" xr:uid="{00000000-0005-0000-0000-00002B270000}"/>
    <cellStyle name="Heading 2 50 2 7 2 3" xfId="10051" xr:uid="{00000000-0005-0000-0000-00002C270000}"/>
    <cellStyle name="Heading 2 50 2 7 3" xfId="10052" xr:uid="{00000000-0005-0000-0000-00002D270000}"/>
    <cellStyle name="Heading 2 50 2 7 4" xfId="10053" xr:uid="{00000000-0005-0000-0000-00002E270000}"/>
    <cellStyle name="Heading 2 50 2 8" xfId="10054" xr:uid="{00000000-0005-0000-0000-00002F270000}"/>
    <cellStyle name="Heading 2 50 2 8 2" xfId="10055" xr:uid="{00000000-0005-0000-0000-000030270000}"/>
    <cellStyle name="Heading 2 50 2 8 2 2" xfId="10056" xr:uid="{00000000-0005-0000-0000-000031270000}"/>
    <cellStyle name="Heading 2 50 2 8 2 3" xfId="10057" xr:uid="{00000000-0005-0000-0000-000032270000}"/>
    <cellStyle name="Heading 2 50 2 8 3" xfId="10058" xr:uid="{00000000-0005-0000-0000-000033270000}"/>
    <cellStyle name="Heading 2 50 2 8 4" xfId="10059" xr:uid="{00000000-0005-0000-0000-000034270000}"/>
    <cellStyle name="Heading 2 50 2 9" xfId="10060" xr:uid="{00000000-0005-0000-0000-000035270000}"/>
    <cellStyle name="Heading 2 50 2 9 2" xfId="10061" xr:uid="{00000000-0005-0000-0000-000036270000}"/>
    <cellStyle name="Heading 2 50 2 9 2 2" xfId="10062" xr:uid="{00000000-0005-0000-0000-000037270000}"/>
    <cellStyle name="Heading 2 50 2 9 2 3" xfId="10063" xr:uid="{00000000-0005-0000-0000-000038270000}"/>
    <cellStyle name="Heading 2 50 2 9 3" xfId="10064" xr:uid="{00000000-0005-0000-0000-000039270000}"/>
    <cellStyle name="Heading 2 50 2 9 4" xfId="10065" xr:uid="{00000000-0005-0000-0000-00003A270000}"/>
    <cellStyle name="Heading 2 50 3" xfId="10066" xr:uid="{00000000-0005-0000-0000-00003B270000}"/>
    <cellStyle name="Heading 2 50 4" xfId="10067" xr:uid="{00000000-0005-0000-0000-00003C270000}"/>
    <cellStyle name="Heading 2 51" xfId="10068" xr:uid="{00000000-0005-0000-0000-00003D270000}"/>
    <cellStyle name="Heading 2 51 2" xfId="10069" xr:uid="{00000000-0005-0000-0000-00003E270000}"/>
    <cellStyle name="Heading 2 51 2 10" xfId="10070" xr:uid="{00000000-0005-0000-0000-00003F270000}"/>
    <cellStyle name="Heading 2 51 2 10 2" xfId="10071" xr:uid="{00000000-0005-0000-0000-000040270000}"/>
    <cellStyle name="Heading 2 51 2 10 2 2" xfId="10072" xr:uid="{00000000-0005-0000-0000-000041270000}"/>
    <cellStyle name="Heading 2 51 2 10 2 3" xfId="10073" xr:uid="{00000000-0005-0000-0000-000042270000}"/>
    <cellStyle name="Heading 2 51 2 10 3" xfId="10074" xr:uid="{00000000-0005-0000-0000-000043270000}"/>
    <cellStyle name="Heading 2 51 2 10 4" xfId="10075" xr:uid="{00000000-0005-0000-0000-000044270000}"/>
    <cellStyle name="Heading 2 51 2 11" xfId="10076" xr:uid="{00000000-0005-0000-0000-000045270000}"/>
    <cellStyle name="Heading 2 51 2 11 2" xfId="10077" xr:uid="{00000000-0005-0000-0000-000046270000}"/>
    <cellStyle name="Heading 2 51 2 11 2 2" xfId="10078" xr:uid="{00000000-0005-0000-0000-000047270000}"/>
    <cellStyle name="Heading 2 51 2 11 2 3" xfId="10079" xr:uid="{00000000-0005-0000-0000-000048270000}"/>
    <cellStyle name="Heading 2 51 2 11 3" xfId="10080" xr:uid="{00000000-0005-0000-0000-000049270000}"/>
    <cellStyle name="Heading 2 51 2 11 4" xfId="10081" xr:uid="{00000000-0005-0000-0000-00004A270000}"/>
    <cellStyle name="Heading 2 51 2 12" xfId="10082" xr:uid="{00000000-0005-0000-0000-00004B270000}"/>
    <cellStyle name="Heading 2 51 2 12 2" xfId="10083" xr:uid="{00000000-0005-0000-0000-00004C270000}"/>
    <cellStyle name="Heading 2 51 2 12 2 2" xfId="10084" xr:uid="{00000000-0005-0000-0000-00004D270000}"/>
    <cellStyle name="Heading 2 51 2 12 2 3" xfId="10085" xr:uid="{00000000-0005-0000-0000-00004E270000}"/>
    <cellStyle name="Heading 2 51 2 12 3" xfId="10086" xr:uid="{00000000-0005-0000-0000-00004F270000}"/>
    <cellStyle name="Heading 2 51 2 12 4" xfId="10087" xr:uid="{00000000-0005-0000-0000-000050270000}"/>
    <cellStyle name="Heading 2 51 2 13" xfId="10088" xr:uid="{00000000-0005-0000-0000-000051270000}"/>
    <cellStyle name="Heading 2 51 2 13 2" xfId="10089" xr:uid="{00000000-0005-0000-0000-000052270000}"/>
    <cellStyle name="Heading 2 51 2 13 2 2" xfId="10090" xr:uid="{00000000-0005-0000-0000-000053270000}"/>
    <cellStyle name="Heading 2 51 2 13 2 3" xfId="10091" xr:uid="{00000000-0005-0000-0000-000054270000}"/>
    <cellStyle name="Heading 2 51 2 13 3" xfId="10092" xr:uid="{00000000-0005-0000-0000-000055270000}"/>
    <cellStyle name="Heading 2 51 2 13 4" xfId="10093" xr:uid="{00000000-0005-0000-0000-000056270000}"/>
    <cellStyle name="Heading 2 51 2 14" xfId="10094" xr:uid="{00000000-0005-0000-0000-000057270000}"/>
    <cellStyle name="Heading 2 51 2 14 2" xfId="10095" xr:uid="{00000000-0005-0000-0000-000058270000}"/>
    <cellStyle name="Heading 2 51 2 14 2 2" xfId="10096" xr:uid="{00000000-0005-0000-0000-000059270000}"/>
    <cellStyle name="Heading 2 51 2 14 2 3" xfId="10097" xr:uid="{00000000-0005-0000-0000-00005A270000}"/>
    <cellStyle name="Heading 2 51 2 14 3" xfId="10098" xr:uid="{00000000-0005-0000-0000-00005B270000}"/>
    <cellStyle name="Heading 2 51 2 14 4" xfId="10099" xr:uid="{00000000-0005-0000-0000-00005C270000}"/>
    <cellStyle name="Heading 2 51 2 15" xfId="10100" xr:uid="{00000000-0005-0000-0000-00005D270000}"/>
    <cellStyle name="Heading 2 51 2 15 2" xfId="10101" xr:uid="{00000000-0005-0000-0000-00005E270000}"/>
    <cellStyle name="Heading 2 51 2 15 2 2" xfId="10102" xr:uid="{00000000-0005-0000-0000-00005F270000}"/>
    <cellStyle name="Heading 2 51 2 15 2 3" xfId="10103" xr:uid="{00000000-0005-0000-0000-000060270000}"/>
    <cellStyle name="Heading 2 51 2 15 3" xfId="10104" xr:uid="{00000000-0005-0000-0000-000061270000}"/>
    <cellStyle name="Heading 2 51 2 15 4" xfId="10105" xr:uid="{00000000-0005-0000-0000-000062270000}"/>
    <cellStyle name="Heading 2 51 2 16" xfId="10106" xr:uid="{00000000-0005-0000-0000-000063270000}"/>
    <cellStyle name="Heading 2 51 2 16 2" xfId="10107" xr:uid="{00000000-0005-0000-0000-000064270000}"/>
    <cellStyle name="Heading 2 51 2 16 2 2" xfId="10108" xr:uid="{00000000-0005-0000-0000-000065270000}"/>
    <cellStyle name="Heading 2 51 2 16 2 3" xfId="10109" xr:uid="{00000000-0005-0000-0000-000066270000}"/>
    <cellStyle name="Heading 2 51 2 16 3" xfId="10110" xr:uid="{00000000-0005-0000-0000-000067270000}"/>
    <cellStyle name="Heading 2 51 2 16 4" xfId="10111" xr:uid="{00000000-0005-0000-0000-000068270000}"/>
    <cellStyle name="Heading 2 51 2 17" xfId="10112" xr:uid="{00000000-0005-0000-0000-000069270000}"/>
    <cellStyle name="Heading 2 51 2 17 2" xfId="10113" xr:uid="{00000000-0005-0000-0000-00006A270000}"/>
    <cellStyle name="Heading 2 51 2 17 2 2" xfId="10114" xr:uid="{00000000-0005-0000-0000-00006B270000}"/>
    <cellStyle name="Heading 2 51 2 17 2 3" xfId="10115" xr:uid="{00000000-0005-0000-0000-00006C270000}"/>
    <cellStyle name="Heading 2 51 2 17 3" xfId="10116" xr:uid="{00000000-0005-0000-0000-00006D270000}"/>
    <cellStyle name="Heading 2 51 2 17 4" xfId="10117" xr:uid="{00000000-0005-0000-0000-00006E270000}"/>
    <cellStyle name="Heading 2 51 2 18" xfId="10118" xr:uid="{00000000-0005-0000-0000-00006F270000}"/>
    <cellStyle name="Heading 2 51 2 18 2" xfId="10119" xr:uid="{00000000-0005-0000-0000-000070270000}"/>
    <cellStyle name="Heading 2 51 2 18 3" xfId="10120" xr:uid="{00000000-0005-0000-0000-000071270000}"/>
    <cellStyle name="Heading 2 51 2 18 4" xfId="10121" xr:uid="{00000000-0005-0000-0000-000072270000}"/>
    <cellStyle name="Heading 2 51 2 19" xfId="10122" xr:uid="{00000000-0005-0000-0000-000073270000}"/>
    <cellStyle name="Heading 2 51 2 2" xfId="10123" xr:uid="{00000000-0005-0000-0000-000074270000}"/>
    <cellStyle name="Heading 2 51 2 2 2" xfId="10124" xr:uid="{00000000-0005-0000-0000-000075270000}"/>
    <cellStyle name="Heading 2 51 2 2 2 2" xfId="10125" xr:uid="{00000000-0005-0000-0000-000076270000}"/>
    <cellStyle name="Heading 2 51 2 2 2 3" xfId="10126" xr:uid="{00000000-0005-0000-0000-000077270000}"/>
    <cellStyle name="Heading 2 51 2 2 3" xfId="10127" xr:uid="{00000000-0005-0000-0000-000078270000}"/>
    <cellStyle name="Heading 2 51 2 2 4" xfId="10128" xr:uid="{00000000-0005-0000-0000-000079270000}"/>
    <cellStyle name="Heading 2 51 2 20" xfId="10129" xr:uid="{00000000-0005-0000-0000-00007A270000}"/>
    <cellStyle name="Heading 2 51 2 21" xfId="10130" xr:uid="{00000000-0005-0000-0000-00007B270000}"/>
    <cellStyle name="Heading 2 51 2 3" xfId="10131" xr:uid="{00000000-0005-0000-0000-00007C270000}"/>
    <cellStyle name="Heading 2 51 2 3 2" xfId="10132" xr:uid="{00000000-0005-0000-0000-00007D270000}"/>
    <cellStyle name="Heading 2 51 2 3 2 2" xfId="10133" xr:uid="{00000000-0005-0000-0000-00007E270000}"/>
    <cellStyle name="Heading 2 51 2 3 2 3" xfId="10134" xr:uid="{00000000-0005-0000-0000-00007F270000}"/>
    <cellStyle name="Heading 2 51 2 3 3" xfId="10135" xr:uid="{00000000-0005-0000-0000-000080270000}"/>
    <cellStyle name="Heading 2 51 2 3 4" xfId="10136" xr:uid="{00000000-0005-0000-0000-000081270000}"/>
    <cellStyle name="Heading 2 51 2 4" xfId="10137" xr:uid="{00000000-0005-0000-0000-000082270000}"/>
    <cellStyle name="Heading 2 51 2 4 2" xfId="10138" xr:uid="{00000000-0005-0000-0000-000083270000}"/>
    <cellStyle name="Heading 2 51 2 4 2 2" xfId="10139" xr:uid="{00000000-0005-0000-0000-000084270000}"/>
    <cellStyle name="Heading 2 51 2 4 2 3" xfId="10140" xr:uid="{00000000-0005-0000-0000-000085270000}"/>
    <cellStyle name="Heading 2 51 2 4 3" xfId="10141" xr:uid="{00000000-0005-0000-0000-000086270000}"/>
    <cellStyle name="Heading 2 51 2 4 4" xfId="10142" xr:uid="{00000000-0005-0000-0000-000087270000}"/>
    <cellStyle name="Heading 2 51 2 5" xfId="10143" xr:uid="{00000000-0005-0000-0000-000088270000}"/>
    <cellStyle name="Heading 2 51 2 5 2" xfId="10144" xr:uid="{00000000-0005-0000-0000-000089270000}"/>
    <cellStyle name="Heading 2 51 2 5 2 2" xfId="10145" xr:uid="{00000000-0005-0000-0000-00008A270000}"/>
    <cellStyle name="Heading 2 51 2 5 2 3" xfId="10146" xr:uid="{00000000-0005-0000-0000-00008B270000}"/>
    <cellStyle name="Heading 2 51 2 5 3" xfId="10147" xr:uid="{00000000-0005-0000-0000-00008C270000}"/>
    <cellStyle name="Heading 2 51 2 5 4" xfId="10148" xr:uid="{00000000-0005-0000-0000-00008D270000}"/>
    <cellStyle name="Heading 2 51 2 6" xfId="10149" xr:uid="{00000000-0005-0000-0000-00008E270000}"/>
    <cellStyle name="Heading 2 51 2 6 2" xfId="10150" xr:uid="{00000000-0005-0000-0000-00008F270000}"/>
    <cellStyle name="Heading 2 51 2 6 2 2" xfId="10151" xr:uid="{00000000-0005-0000-0000-000090270000}"/>
    <cellStyle name="Heading 2 51 2 6 2 3" xfId="10152" xr:uid="{00000000-0005-0000-0000-000091270000}"/>
    <cellStyle name="Heading 2 51 2 6 3" xfId="10153" xr:uid="{00000000-0005-0000-0000-000092270000}"/>
    <cellStyle name="Heading 2 51 2 6 4" xfId="10154" xr:uid="{00000000-0005-0000-0000-000093270000}"/>
    <cellStyle name="Heading 2 51 2 7" xfId="10155" xr:uid="{00000000-0005-0000-0000-000094270000}"/>
    <cellStyle name="Heading 2 51 2 7 2" xfId="10156" xr:uid="{00000000-0005-0000-0000-000095270000}"/>
    <cellStyle name="Heading 2 51 2 7 2 2" xfId="10157" xr:uid="{00000000-0005-0000-0000-000096270000}"/>
    <cellStyle name="Heading 2 51 2 7 2 3" xfId="10158" xr:uid="{00000000-0005-0000-0000-000097270000}"/>
    <cellStyle name="Heading 2 51 2 7 3" xfId="10159" xr:uid="{00000000-0005-0000-0000-000098270000}"/>
    <cellStyle name="Heading 2 51 2 7 4" xfId="10160" xr:uid="{00000000-0005-0000-0000-000099270000}"/>
    <cellStyle name="Heading 2 51 2 8" xfId="10161" xr:uid="{00000000-0005-0000-0000-00009A270000}"/>
    <cellStyle name="Heading 2 51 2 8 2" xfId="10162" xr:uid="{00000000-0005-0000-0000-00009B270000}"/>
    <cellStyle name="Heading 2 51 2 8 2 2" xfId="10163" xr:uid="{00000000-0005-0000-0000-00009C270000}"/>
    <cellStyle name="Heading 2 51 2 8 2 3" xfId="10164" xr:uid="{00000000-0005-0000-0000-00009D270000}"/>
    <cellStyle name="Heading 2 51 2 8 3" xfId="10165" xr:uid="{00000000-0005-0000-0000-00009E270000}"/>
    <cellStyle name="Heading 2 51 2 8 4" xfId="10166" xr:uid="{00000000-0005-0000-0000-00009F270000}"/>
    <cellStyle name="Heading 2 51 2 9" xfId="10167" xr:uid="{00000000-0005-0000-0000-0000A0270000}"/>
    <cellStyle name="Heading 2 51 2 9 2" xfId="10168" xr:uid="{00000000-0005-0000-0000-0000A1270000}"/>
    <cellStyle name="Heading 2 51 2 9 2 2" xfId="10169" xr:uid="{00000000-0005-0000-0000-0000A2270000}"/>
    <cellStyle name="Heading 2 51 2 9 2 3" xfId="10170" xr:uid="{00000000-0005-0000-0000-0000A3270000}"/>
    <cellStyle name="Heading 2 51 2 9 3" xfId="10171" xr:uid="{00000000-0005-0000-0000-0000A4270000}"/>
    <cellStyle name="Heading 2 51 2 9 4" xfId="10172" xr:uid="{00000000-0005-0000-0000-0000A5270000}"/>
    <cellStyle name="Heading 2 51 3" xfId="10173" xr:uid="{00000000-0005-0000-0000-0000A6270000}"/>
    <cellStyle name="Heading 2 51 4" xfId="10174" xr:uid="{00000000-0005-0000-0000-0000A7270000}"/>
    <cellStyle name="Heading 2 52" xfId="10175" xr:uid="{00000000-0005-0000-0000-0000A8270000}"/>
    <cellStyle name="Heading 2 53" xfId="10176" xr:uid="{00000000-0005-0000-0000-0000A9270000}"/>
    <cellStyle name="Heading 2 54" xfId="10177" xr:uid="{00000000-0005-0000-0000-0000AA270000}"/>
    <cellStyle name="Heading 2 6" xfId="10178" xr:uid="{00000000-0005-0000-0000-0000AB270000}"/>
    <cellStyle name="Heading 2 6 2" xfId="10179" xr:uid="{00000000-0005-0000-0000-0000AC270000}"/>
    <cellStyle name="Heading 2 6 2 10" xfId="10180" xr:uid="{00000000-0005-0000-0000-0000AD270000}"/>
    <cellStyle name="Heading 2 6 2 10 2" xfId="10181" xr:uid="{00000000-0005-0000-0000-0000AE270000}"/>
    <cellStyle name="Heading 2 6 2 10 2 2" xfId="10182" xr:uid="{00000000-0005-0000-0000-0000AF270000}"/>
    <cellStyle name="Heading 2 6 2 10 2 3" xfId="10183" xr:uid="{00000000-0005-0000-0000-0000B0270000}"/>
    <cellStyle name="Heading 2 6 2 10 3" xfId="10184" xr:uid="{00000000-0005-0000-0000-0000B1270000}"/>
    <cellStyle name="Heading 2 6 2 10 4" xfId="10185" xr:uid="{00000000-0005-0000-0000-0000B2270000}"/>
    <cellStyle name="Heading 2 6 2 11" xfId="10186" xr:uid="{00000000-0005-0000-0000-0000B3270000}"/>
    <cellStyle name="Heading 2 6 2 11 2" xfId="10187" xr:uid="{00000000-0005-0000-0000-0000B4270000}"/>
    <cellStyle name="Heading 2 6 2 11 2 2" xfId="10188" xr:uid="{00000000-0005-0000-0000-0000B5270000}"/>
    <cellStyle name="Heading 2 6 2 11 2 3" xfId="10189" xr:uid="{00000000-0005-0000-0000-0000B6270000}"/>
    <cellStyle name="Heading 2 6 2 11 3" xfId="10190" xr:uid="{00000000-0005-0000-0000-0000B7270000}"/>
    <cellStyle name="Heading 2 6 2 11 4" xfId="10191" xr:uid="{00000000-0005-0000-0000-0000B8270000}"/>
    <cellStyle name="Heading 2 6 2 12" xfId="10192" xr:uid="{00000000-0005-0000-0000-0000B9270000}"/>
    <cellStyle name="Heading 2 6 2 12 2" xfId="10193" xr:uid="{00000000-0005-0000-0000-0000BA270000}"/>
    <cellStyle name="Heading 2 6 2 12 2 2" xfId="10194" xr:uid="{00000000-0005-0000-0000-0000BB270000}"/>
    <cellStyle name="Heading 2 6 2 12 2 3" xfId="10195" xr:uid="{00000000-0005-0000-0000-0000BC270000}"/>
    <cellStyle name="Heading 2 6 2 12 3" xfId="10196" xr:uid="{00000000-0005-0000-0000-0000BD270000}"/>
    <cellStyle name="Heading 2 6 2 12 4" xfId="10197" xr:uid="{00000000-0005-0000-0000-0000BE270000}"/>
    <cellStyle name="Heading 2 6 2 13" xfId="10198" xr:uid="{00000000-0005-0000-0000-0000BF270000}"/>
    <cellStyle name="Heading 2 6 2 13 2" xfId="10199" xr:uid="{00000000-0005-0000-0000-0000C0270000}"/>
    <cellStyle name="Heading 2 6 2 13 2 2" xfId="10200" xr:uid="{00000000-0005-0000-0000-0000C1270000}"/>
    <cellStyle name="Heading 2 6 2 13 2 3" xfId="10201" xr:uid="{00000000-0005-0000-0000-0000C2270000}"/>
    <cellStyle name="Heading 2 6 2 13 3" xfId="10202" xr:uid="{00000000-0005-0000-0000-0000C3270000}"/>
    <cellStyle name="Heading 2 6 2 13 4" xfId="10203" xr:uid="{00000000-0005-0000-0000-0000C4270000}"/>
    <cellStyle name="Heading 2 6 2 14" xfId="10204" xr:uid="{00000000-0005-0000-0000-0000C5270000}"/>
    <cellStyle name="Heading 2 6 2 14 2" xfId="10205" xr:uid="{00000000-0005-0000-0000-0000C6270000}"/>
    <cellStyle name="Heading 2 6 2 14 2 2" xfId="10206" xr:uid="{00000000-0005-0000-0000-0000C7270000}"/>
    <cellStyle name="Heading 2 6 2 14 2 3" xfId="10207" xr:uid="{00000000-0005-0000-0000-0000C8270000}"/>
    <cellStyle name="Heading 2 6 2 14 3" xfId="10208" xr:uid="{00000000-0005-0000-0000-0000C9270000}"/>
    <cellStyle name="Heading 2 6 2 14 4" xfId="10209" xr:uid="{00000000-0005-0000-0000-0000CA270000}"/>
    <cellStyle name="Heading 2 6 2 15" xfId="10210" xr:uid="{00000000-0005-0000-0000-0000CB270000}"/>
    <cellStyle name="Heading 2 6 2 15 2" xfId="10211" xr:uid="{00000000-0005-0000-0000-0000CC270000}"/>
    <cellStyle name="Heading 2 6 2 15 2 2" xfId="10212" xr:uid="{00000000-0005-0000-0000-0000CD270000}"/>
    <cellStyle name="Heading 2 6 2 15 2 3" xfId="10213" xr:uid="{00000000-0005-0000-0000-0000CE270000}"/>
    <cellStyle name="Heading 2 6 2 15 3" xfId="10214" xr:uid="{00000000-0005-0000-0000-0000CF270000}"/>
    <cellStyle name="Heading 2 6 2 15 4" xfId="10215" xr:uid="{00000000-0005-0000-0000-0000D0270000}"/>
    <cellStyle name="Heading 2 6 2 16" xfId="10216" xr:uid="{00000000-0005-0000-0000-0000D1270000}"/>
    <cellStyle name="Heading 2 6 2 16 2" xfId="10217" xr:uid="{00000000-0005-0000-0000-0000D2270000}"/>
    <cellStyle name="Heading 2 6 2 16 2 2" xfId="10218" xr:uid="{00000000-0005-0000-0000-0000D3270000}"/>
    <cellStyle name="Heading 2 6 2 16 2 3" xfId="10219" xr:uid="{00000000-0005-0000-0000-0000D4270000}"/>
    <cellStyle name="Heading 2 6 2 16 3" xfId="10220" xr:uid="{00000000-0005-0000-0000-0000D5270000}"/>
    <cellStyle name="Heading 2 6 2 16 4" xfId="10221" xr:uid="{00000000-0005-0000-0000-0000D6270000}"/>
    <cellStyle name="Heading 2 6 2 17" xfId="10222" xr:uid="{00000000-0005-0000-0000-0000D7270000}"/>
    <cellStyle name="Heading 2 6 2 17 2" xfId="10223" xr:uid="{00000000-0005-0000-0000-0000D8270000}"/>
    <cellStyle name="Heading 2 6 2 17 2 2" xfId="10224" xr:uid="{00000000-0005-0000-0000-0000D9270000}"/>
    <cellStyle name="Heading 2 6 2 17 2 3" xfId="10225" xr:uid="{00000000-0005-0000-0000-0000DA270000}"/>
    <cellStyle name="Heading 2 6 2 17 3" xfId="10226" xr:uid="{00000000-0005-0000-0000-0000DB270000}"/>
    <cellStyle name="Heading 2 6 2 17 4" xfId="10227" xr:uid="{00000000-0005-0000-0000-0000DC270000}"/>
    <cellStyle name="Heading 2 6 2 18" xfId="10228" xr:uid="{00000000-0005-0000-0000-0000DD270000}"/>
    <cellStyle name="Heading 2 6 2 18 2" xfId="10229" xr:uid="{00000000-0005-0000-0000-0000DE270000}"/>
    <cellStyle name="Heading 2 6 2 18 3" xfId="10230" xr:uid="{00000000-0005-0000-0000-0000DF270000}"/>
    <cellStyle name="Heading 2 6 2 18 4" xfId="10231" xr:uid="{00000000-0005-0000-0000-0000E0270000}"/>
    <cellStyle name="Heading 2 6 2 19" xfId="10232" xr:uid="{00000000-0005-0000-0000-0000E1270000}"/>
    <cellStyle name="Heading 2 6 2 2" xfId="10233" xr:uid="{00000000-0005-0000-0000-0000E2270000}"/>
    <cellStyle name="Heading 2 6 2 2 2" xfId="10234" xr:uid="{00000000-0005-0000-0000-0000E3270000}"/>
    <cellStyle name="Heading 2 6 2 2 2 2" xfId="10235" xr:uid="{00000000-0005-0000-0000-0000E4270000}"/>
    <cellStyle name="Heading 2 6 2 2 2 3" xfId="10236" xr:uid="{00000000-0005-0000-0000-0000E5270000}"/>
    <cellStyle name="Heading 2 6 2 2 3" xfId="10237" xr:uid="{00000000-0005-0000-0000-0000E6270000}"/>
    <cellStyle name="Heading 2 6 2 2 4" xfId="10238" xr:uid="{00000000-0005-0000-0000-0000E7270000}"/>
    <cellStyle name="Heading 2 6 2 20" xfId="10239" xr:uid="{00000000-0005-0000-0000-0000E8270000}"/>
    <cellStyle name="Heading 2 6 2 21" xfId="10240" xr:uid="{00000000-0005-0000-0000-0000E9270000}"/>
    <cellStyle name="Heading 2 6 2 3" xfId="10241" xr:uid="{00000000-0005-0000-0000-0000EA270000}"/>
    <cellStyle name="Heading 2 6 2 3 2" xfId="10242" xr:uid="{00000000-0005-0000-0000-0000EB270000}"/>
    <cellStyle name="Heading 2 6 2 3 2 2" xfId="10243" xr:uid="{00000000-0005-0000-0000-0000EC270000}"/>
    <cellStyle name="Heading 2 6 2 3 2 3" xfId="10244" xr:uid="{00000000-0005-0000-0000-0000ED270000}"/>
    <cellStyle name="Heading 2 6 2 3 3" xfId="10245" xr:uid="{00000000-0005-0000-0000-0000EE270000}"/>
    <cellStyle name="Heading 2 6 2 3 4" xfId="10246" xr:uid="{00000000-0005-0000-0000-0000EF270000}"/>
    <cellStyle name="Heading 2 6 2 4" xfId="10247" xr:uid="{00000000-0005-0000-0000-0000F0270000}"/>
    <cellStyle name="Heading 2 6 2 4 2" xfId="10248" xr:uid="{00000000-0005-0000-0000-0000F1270000}"/>
    <cellStyle name="Heading 2 6 2 4 2 2" xfId="10249" xr:uid="{00000000-0005-0000-0000-0000F2270000}"/>
    <cellStyle name="Heading 2 6 2 4 2 3" xfId="10250" xr:uid="{00000000-0005-0000-0000-0000F3270000}"/>
    <cellStyle name="Heading 2 6 2 4 3" xfId="10251" xr:uid="{00000000-0005-0000-0000-0000F4270000}"/>
    <cellStyle name="Heading 2 6 2 4 4" xfId="10252" xr:uid="{00000000-0005-0000-0000-0000F5270000}"/>
    <cellStyle name="Heading 2 6 2 5" xfId="10253" xr:uid="{00000000-0005-0000-0000-0000F6270000}"/>
    <cellStyle name="Heading 2 6 2 5 2" xfId="10254" xr:uid="{00000000-0005-0000-0000-0000F7270000}"/>
    <cellStyle name="Heading 2 6 2 5 2 2" xfId="10255" xr:uid="{00000000-0005-0000-0000-0000F8270000}"/>
    <cellStyle name="Heading 2 6 2 5 2 3" xfId="10256" xr:uid="{00000000-0005-0000-0000-0000F9270000}"/>
    <cellStyle name="Heading 2 6 2 5 3" xfId="10257" xr:uid="{00000000-0005-0000-0000-0000FA270000}"/>
    <cellStyle name="Heading 2 6 2 5 4" xfId="10258" xr:uid="{00000000-0005-0000-0000-0000FB270000}"/>
    <cellStyle name="Heading 2 6 2 6" xfId="10259" xr:uid="{00000000-0005-0000-0000-0000FC270000}"/>
    <cellStyle name="Heading 2 6 2 6 2" xfId="10260" xr:uid="{00000000-0005-0000-0000-0000FD270000}"/>
    <cellStyle name="Heading 2 6 2 6 2 2" xfId="10261" xr:uid="{00000000-0005-0000-0000-0000FE270000}"/>
    <cellStyle name="Heading 2 6 2 6 2 3" xfId="10262" xr:uid="{00000000-0005-0000-0000-0000FF270000}"/>
    <cellStyle name="Heading 2 6 2 6 3" xfId="10263" xr:uid="{00000000-0005-0000-0000-000000280000}"/>
    <cellStyle name="Heading 2 6 2 6 4" xfId="10264" xr:uid="{00000000-0005-0000-0000-000001280000}"/>
    <cellStyle name="Heading 2 6 2 7" xfId="10265" xr:uid="{00000000-0005-0000-0000-000002280000}"/>
    <cellStyle name="Heading 2 6 2 7 2" xfId="10266" xr:uid="{00000000-0005-0000-0000-000003280000}"/>
    <cellStyle name="Heading 2 6 2 7 2 2" xfId="10267" xr:uid="{00000000-0005-0000-0000-000004280000}"/>
    <cellStyle name="Heading 2 6 2 7 2 3" xfId="10268" xr:uid="{00000000-0005-0000-0000-000005280000}"/>
    <cellStyle name="Heading 2 6 2 7 3" xfId="10269" xr:uid="{00000000-0005-0000-0000-000006280000}"/>
    <cellStyle name="Heading 2 6 2 7 4" xfId="10270" xr:uid="{00000000-0005-0000-0000-000007280000}"/>
    <cellStyle name="Heading 2 6 2 8" xfId="10271" xr:uid="{00000000-0005-0000-0000-000008280000}"/>
    <cellStyle name="Heading 2 6 2 8 2" xfId="10272" xr:uid="{00000000-0005-0000-0000-000009280000}"/>
    <cellStyle name="Heading 2 6 2 8 2 2" xfId="10273" xr:uid="{00000000-0005-0000-0000-00000A280000}"/>
    <cellStyle name="Heading 2 6 2 8 2 3" xfId="10274" xr:uid="{00000000-0005-0000-0000-00000B280000}"/>
    <cellStyle name="Heading 2 6 2 8 3" xfId="10275" xr:uid="{00000000-0005-0000-0000-00000C280000}"/>
    <cellStyle name="Heading 2 6 2 8 4" xfId="10276" xr:uid="{00000000-0005-0000-0000-00000D280000}"/>
    <cellStyle name="Heading 2 6 2 9" xfId="10277" xr:uid="{00000000-0005-0000-0000-00000E280000}"/>
    <cellStyle name="Heading 2 6 2 9 2" xfId="10278" xr:uid="{00000000-0005-0000-0000-00000F280000}"/>
    <cellStyle name="Heading 2 6 2 9 2 2" xfId="10279" xr:uid="{00000000-0005-0000-0000-000010280000}"/>
    <cellStyle name="Heading 2 6 2 9 2 3" xfId="10280" xr:uid="{00000000-0005-0000-0000-000011280000}"/>
    <cellStyle name="Heading 2 6 2 9 3" xfId="10281" xr:uid="{00000000-0005-0000-0000-000012280000}"/>
    <cellStyle name="Heading 2 6 2 9 4" xfId="10282" xr:uid="{00000000-0005-0000-0000-000013280000}"/>
    <cellStyle name="Heading 2 6 3" xfId="10283" xr:uid="{00000000-0005-0000-0000-000014280000}"/>
    <cellStyle name="Heading 2 6 4" xfId="10284" xr:uid="{00000000-0005-0000-0000-000015280000}"/>
    <cellStyle name="Heading 2 7" xfId="10285" xr:uid="{00000000-0005-0000-0000-000016280000}"/>
    <cellStyle name="Heading 2 7 2" xfId="10286" xr:uid="{00000000-0005-0000-0000-000017280000}"/>
    <cellStyle name="Heading 2 7 2 10" xfId="10287" xr:uid="{00000000-0005-0000-0000-000018280000}"/>
    <cellStyle name="Heading 2 7 2 10 2" xfId="10288" xr:uid="{00000000-0005-0000-0000-000019280000}"/>
    <cellStyle name="Heading 2 7 2 10 2 2" xfId="10289" xr:uid="{00000000-0005-0000-0000-00001A280000}"/>
    <cellStyle name="Heading 2 7 2 10 2 3" xfId="10290" xr:uid="{00000000-0005-0000-0000-00001B280000}"/>
    <cellStyle name="Heading 2 7 2 10 3" xfId="10291" xr:uid="{00000000-0005-0000-0000-00001C280000}"/>
    <cellStyle name="Heading 2 7 2 10 4" xfId="10292" xr:uid="{00000000-0005-0000-0000-00001D280000}"/>
    <cellStyle name="Heading 2 7 2 11" xfId="10293" xr:uid="{00000000-0005-0000-0000-00001E280000}"/>
    <cellStyle name="Heading 2 7 2 11 2" xfId="10294" xr:uid="{00000000-0005-0000-0000-00001F280000}"/>
    <cellStyle name="Heading 2 7 2 11 2 2" xfId="10295" xr:uid="{00000000-0005-0000-0000-000020280000}"/>
    <cellStyle name="Heading 2 7 2 11 2 3" xfId="10296" xr:uid="{00000000-0005-0000-0000-000021280000}"/>
    <cellStyle name="Heading 2 7 2 11 3" xfId="10297" xr:uid="{00000000-0005-0000-0000-000022280000}"/>
    <cellStyle name="Heading 2 7 2 11 4" xfId="10298" xr:uid="{00000000-0005-0000-0000-000023280000}"/>
    <cellStyle name="Heading 2 7 2 12" xfId="10299" xr:uid="{00000000-0005-0000-0000-000024280000}"/>
    <cellStyle name="Heading 2 7 2 12 2" xfId="10300" xr:uid="{00000000-0005-0000-0000-000025280000}"/>
    <cellStyle name="Heading 2 7 2 12 2 2" xfId="10301" xr:uid="{00000000-0005-0000-0000-000026280000}"/>
    <cellStyle name="Heading 2 7 2 12 2 3" xfId="10302" xr:uid="{00000000-0005-0000-0000-000027280000}"/>
    <cellStyle name="Heading 2 7 2 12 3" xfId="10303" xr:uid="{00000000-0005-0000-0000-000028280000}"/>
    <cellStyle name="Heading 2 7 2 12 4" xfId="10304" xr:uid="{00000000-0005-0000-0000-000029280000}"/>
    <cellStyle name="Heading 2 7 2 13" xfId="10305" xr:uid="{00000000-0005-0000-0000-00002A280000}"/>
    <cellStyle name="Heading 2 7 2 13 2" xfId="10306" xr:uid="{00000000-0005-0000-0000-00002B280000}"/>
    <cellStyle name="Heading 2 7 2 13 2 2" xfId="10307" xr:uid="{00000000-0005-0000-0000-00002C280000}"/>
    <cellStyle name="Heading 2 7 2 13 2 3" xfId="10308" xr:uid="{00000000-0005-0000-0000-00002D280000}"/>
    <cellStyle name="Heading 2 7 2 13 3" xfId="10309" xr:uid="{00000000-0005-0000-0000-00002E280000}"/>
    <cellStyle name="Heading 2 7 2 13 4" xfId="10310" xr:uid="{00000000-0005-0000-0000-00002F280000}"/>
    <cellStyle name="Heading 2 7 2 14" xfId="10311" xr:uid="{00000000-0005-0000-0000-000030280000}"/>
    <cellStyle name="Heading 2 7 2 14 2" xfId="10312" xr:uid="{00000000-0005-0000-0000-000031280000}"/>
    <cellStyle name="Heading 2 7 2 14 2 2" xfId="10313" xr:uid="{00000000-0005-0000-0000-000032280000}"/>
    <cellStyle name="Heading 2 7 2 14 2 3" xfId="10314" xr:uid="{00000000-0005-0000-0000-000033280000}"/>
    <cellStyle name="Heading 2 7 2 14 3" xfId="10315" xr:uid="{00000000-0005-0000-0000-000034280000}"/>
    <cellStyle name="Heading 2 7 2 14 4" xfId="10316" xr:uid="{00000000-0005-0000-0000-000035280000}"/>
    <cellStyle name="Heading 2 7 2 15" xfId="10317" xr:uid="{00000000-0005-0000-0000-000036280000}"/>
    <cellStyle name="Heading 2 7 2 15 2" xfId="10318" xr:uid="{00000000-0005-0000-0000-000037280000}"/>
    <cellStyle name="Heading 2 7 2 15 2 2" xfId="10319" xr:uid="{00000000-0005-0000-0000-000038280000}"/>
    <cellStyle name="Heading 2 7 2 15 2 3" xfId="10320" xr:uid="{00000000-0005-0000-0000-000039280000}"/>
    <cellStyle name="Heading 2 7 2 15 3" xfId="10321" xr:uid="{00000000-0005-0000-0000-00003A280000}"/>
    <cellStyle name="Heading 2 7 2 15 4" xfId="10322" xr:uid="{00000000-0005-0000-0000-00003B280000}"/>
    <cellStyle name="Heading 2 7 2 16" xfId="10323" xr:uid="{00000000-0005-0000-0000-00003C280000}"/>
    <cellStyle name="Heading 2 7 2 16 2" xfId="10324" xr:uid="{00000000-0005-0000-0000-00003D280000}"/>
    <cellStyle name="Heading 2 7 2 16 2 2" xfId="10325" xr:uid="{00000000-0005-0000-0000-00003E280000}"/>
    <cellStyle name="Heading 2 7 2 16 2 3" xfId="10326" xr:uid="{00000000-0005-0000-0000-00003F280000}"/>
    <cellStyle name="Heading 2 7 2 16 3" xfId="10327" xr:uid="{00000000-0005-0000-0000-000040280000}"/>
    <cellStyle name="Heading 2 7 2 16 4" xfId="10328" xr:uid="{00000000-0005-0000-0000-000041280000}"/>
    <cellStyle name="Heading 2 7 2 17" xfId="10329" xr:uid="{00000000-0005-0000-0000-000042280000}"/>
    <cellStyle name="Heading 2 7 2 17 2" xfId="10330" xr:uid="{00000000-0005-0000-0000-000043280000}"/>
    <cellStyle name="Heading 2 7 2 17 2 2" xfId="10331" xr:uid="{00000000-0005-0000-0000-000044280000}"/>
    <cellStyle name="Heading 2 7 2 17 2 3" xfId="10332" xr:uid="{00000000-0005-0000-0000-000045280000}"/>
    <cellStyle name="Heading 2 7 2 17 3" xfId="10333" xr:uid="{00000000-0005-0000-0000-000046280000}"/>
    <cellStyle name="Heading 2 7 2 17 4" xfId="10334" xr:uid="{00000000-0005-0000-0000-000047280000}"/>
    <cellStyle name="Heading 2 7 2 18" xfId="10335" xr:uid="{00000000-0005-0000-0000-000048280000}"/>
    <cellStyle name="Heading 2 7 2 18 2" xfId="10336" xr:uid="{00000000-0005-0000-0000-000049280000}"/>
    <cellStyle name="Heading 2 7 2 18 3" xfId="10337" xr:uid="{00000000-0005-0000-0000-00004A280000}"/>
    <cellStyle name="Heading 2 7 2 18 4" xfId="10338" xr:uid="{00000000-0005-0000-0000-00004B280000}"/>
    <cellStyle name="Heading 2 7 2 19" xfId="10339" xr:uid="{00000000-0005-0000-0000-00004C280000}"/>
    <cellStyle name="Heading 2 7 2 2" xfId="10340" xr:uid="{00000000-0005-0000-0000-00004D280000}"/>
    <cellStyle name="Heading 2 7 2 2 2" xfId="10341" xr:uid="{00000000-0005-0000-0000-00004E280000}"/>
    <cellStyle name="Heading 2 7 2 2 2 2" xfId="10342" xr:uid="{00000000-0005-0000-0000-00004F280000}"/>
    <cellStyle name="Heading 2 7 2 2 2 3" xfId="10343" xr:uid="{00000000-0005-0000-0000-000050280000}"/>
    <cellStyle name="Heading 2 7 2 2 3" xfId="10344" xr:uid="{00000000-0005-0000-0000-000051280000}"/>
    <cellStyle name="Heading 2 7 2 2 4" xfId="10345" xr:uid="{00000000-0005-0000-0000-000052280000}"/>
    <cellStyle name="Heading 2 7 2 20" xfId="10346" xr:uid="{00000000-0005-0000-0000-000053280000}"/>
    <cellStyle name="Heading 2 7 2 21" xfId="10347" xr:uid="{00000000-0005-0000-0000-000054280000}"/>
    <cellStyle name="Heading 2 7 2 3" xfId="10348" xr:uid="{00000000-0005-0000-0000-000055280000}"/>
    <cellStyle name="Heading 2 7 2 3 2" xfId="10349" xr:uid="{00000000-0005-0000-0000-000056280000}"/>
    <cellStyle name="Heading 2 7 2 3 2 2" xfId="10350" xr:uid="{00000000-0005-0000-0000-000057280000}"/>
    <cellStyle name="Heading 2 7 2 3 2 3" xfId="10351" xr:uid="{00000000-0005-0000-0000-000058280000}"/>
    <cellStyle name="Heading 2 7 2 3 3" xfId="10352" xr:uid="{00000000-0005-0000-0000-000059280000}"/>
    <cellStyle name="Heading 2 7 2 3 4" xfId="10353" xr:uid="{00000000-0005-0000-0000-00005A280000}"/>
    <cellStyle name="Heading 2 7 2 4" xfId="10354" xr:uid="{00000000-0005-0000-0000-00005B280000}"/>
    <cellStyle name="Heading 2 7 2 4 2" xfId="10355" xr:uid="{00000000-0005-0000-0000-00005C280000}"/>
    <cellStyle name="Heading 2 7 2 4 2 2" xfId="10356" xr:uid="{00000000-0005-0000-0000-00005D280000}"/>
    <cellStyle name="Heading 2 7 2 4 2 3" xfId="10357" xr:uid="{00000000-0005-0000-0000-00005E280000}"/>
    <cellStyle name="Heading 2 7 2 4 3" xfId="10358" xr:uid="{00000000-0005-0000-0000-00005F280000}"/>
    <cellStyle name="Heading 2 7 2 4 4" xfId="10359" xr:uid="{00000000-0005-0000-0000-000060280000}"/>
    <cellStyle name="Heading 2 7 2 5" xfId="10360" xr:uid="{00000000-0005-0000-0000-000061280000}"/>
    <cellStyle name="Heading 2 7 2 5 2" xfId="10361" xr:uid="{00000000-0005-0000-0000-000062280000}"/>
    <cellStyle name="Heading 2 7 2 5 2 2" xfId="10362" xr:uid="{00000000-0005-0000-0000-000063280000}"/>
    <cellStyle name="Heading 2 7 2 5 2 3" xfId="10363" xr:uid="{00000000-0005-0000-0000-000064280000}"/>
    <cellStyle name="Heading 2 7 2 5 3" xfId="10364" xr:uid="{00000000-0005-0000-0000-000065280000}"/>
    <cellStyle name="Heading 2 7 2 5 4" xfId="10365" xr:uid="{00000000-0005-0000-0000-000066280000}"/>
    <cellStyle name="Heading 2 7 2 6" xfId="10366" xr:uid="{00000000-0005-0000-0000-000067280000}"/>
    <cellStyle name="Heading 2 7 2 6 2" xfId="10367" xr:uid="{00000000-0005-0000-0000-000068280000}"/>
    <cellStyle name="Heading 2 7 2 6 2 2" xfId="10368" xr:uid="{00000000-0005-0000-0000-000069280000}"/>
    <cellStyle name="Heading 2 7 2 6 2 3" xfId="10369" xr:uid="{00000000-0005-0000-0000-00006A280000}"/>
    <cellStyle name="Heading 2 7 2 6 3" xfId="10370" xr:uid="{00000000-0005-0000-0000-00006B280000}"/>
    <cellStyle name="Heading 2 7 2 6 4" xfId="10371" xr:uid="{00000000-0005-0000-0000-00006C280000}"/>
    <cellStyle name="Heading 2 7 2 7" xfId="10372" xr:uid="{00000000-0005-0000-0000-00006D280000}"/>
    <cellStyle name="Heading 2 7 2 7 2" xfId="10373" xr:uid="{00000000-0005-0000-0000-00006E280000}"/>
    <cellStyle name="Heading 2 7 2 7 2 2" xfId="10374" xr:uid="{00000000-0005-0000-0000-00006F280000}"/>
    <cellStyle name="Heading 2 7 2 7 2 3" xfId="10375" xr:uid="{00000000-0005-0000-0000-000070280000}"/>
    <cellStyle name="Heading 2 7 2 7 3" xfId="10376" xr:uid="{00000000-0005-0000-0000-000071280000}"/>
    <cellStyle name="Heading 2 7 2 7 4" xfId="10377" xr:uid="{00000000-0005-0000-0000-000072280000}"/>
    <cellStyle name="Heading 2 7 2 8" xfId="10378" xr:uid="{00000000-0005-0000-0000-000073280000}"/>
    <cellStyle name="Heading 2 7 2 8 2" xfId="10379" xr:uid="{00000000-0005-0000-0000-000074280000}"/>
    <cellStyle name="Heading 2 7 2 8 2 2" xfId="10380" xr:uid="{00000000-0005-0000-0000-000075280000}"/>
    <cellStyle name="Heading 2 7 2 8 2 3" xfId="10381" xr:uid="{00000000-0005-0000-0000-000076280000}"/>
    <cellStyle name="Heading 2 7 2 8 3" xfId="10382" xr:uid="{00000000-0005-0000-0000-000077280000}"/>
    <cellStyle name="Heading 2 7 2 8 4" xfId="10383" xr:uid="{00000000-0005-0000-0000-000078280000}"/>
    <cellStyle name="Heading 2 7 2 9" xfId="10384" xr:uid="{00000000-0005-0000-0000-000079280000}"/>
    <cellStyle name="Heading 2 7 2 9 2" xfId="10385" xr:uid="{00000000-0005-0000-0000-00007A280000}"/>
    <cellStyle name="Heading 2 7 2 9 2 2" xfId="10386" xr:uid="{00000000-0005-0000-0000-00007B280000}"/>
    <cellStyle name="Heading 2 7 2 9 2 3" xfId="10387" xr:uid="{00000000-0005-0000-0000-00007C280000}"/>
    <cellStyle name="Heading 2 7 2 9 3" xfId="10388" xr:uid="{00000000-0005-0000-0000-00007D280000}"/>
    <cellStyle name="Heading 2 7 2 9 4" xfId="10389" xr:uid="{00000000-0005-0000-0000-00007E280000}"/>
    <cellStyle name="Heading 2 7 3" xfId="10390" xr:uid="{00000000-0005-0000-0000-00007F280000}"/>
    <cellStyle name="Heading 2 7 4" xfId="10391" xr:uid="{00000000-0005-0000-0000-000080280000}"/>
    <cellStyle name="Heading 2 8" xfId="10392" xr:uid="{00000000-0005-0000-0000-000081280000}"/>
    <cellStyle name="Heading 2 8 2" xfId="10393" xr:uid="{00000000-0005-0000-0000-000082280000}"/>
    <cellStyle name="Heading 2 8 2 10" xfId="10394" xr:uid="{00000000-0005-0000-0000-000083280000}"/>
    <cellStyle name="Heading 2 8 2 10 2" xfId="10395" xr:uid="{00000000-0005-0000-0000-000084280000}"/>
    <cellStyle name="Heading 2 8 2 10 2 2" xfId="10396" xr:uid="{00000000-0005-0000-0000-000085280000}"/>
    <cellStyle name="Heading 2 8 2 10 2 3" xfId="10397" xr:uid="{00000000-0005-0000-0000-000086280000}"/>
    <cellStyle name="Heading 2 8 2 10 3" xfId="10398" xr:uid="{00000000-0005-0000-0000-000087280000}"/>
    <cellStyle name="Heading 2 8 2 10 4" xfId="10399" xr:uid="{00000000-0005-0000-0000-000088280000}"/>
    <cellStyle name="Heading 2 8 2 11" xfId="10400" xr:uid="{00000000-0005-0000-0000-000089280000}"/>
    <cellStyle name="Heading 2 8 2 11 2" xfId="10401" xr:uid="{00000000-0005-0000-0000-00008A280000}"/>
    <cellStyle name="Heading 2 8 2 11 2 2" xfId="10402" xr:uid="{00000000-0005-0000-0000-00008B280000}"/>
    <cellStyle name="Heading 2 8 2 11 2 3" xfId="10403" xr:uid="{00000000-0005-0000-0000-00008C280000}"/>
    <cellStyle name="Heading 2 8 2 11 3" xfId="10404" xr:uid="{00000000-0005-0000-0000-00008D280000}"/>
    <cellStyle name="Heading 2 8 2 11 4" xfId="10405" xr:uid="{00000000-0005-0000-0000-00008E280000}"/>
    <cellStyle name="Heading 2 8 2 12" xfId="10406" xr:uid="{00000000-0005-0000-0000-00008F280000}"/>
    <cellStyle name="Heading 2 8 2 12 2" xfId="10407" xr:uid="{00000000-0005-0000-0000-000090280000}"/>
    <cellStyle name="Heading 2 8 2 12 2 2" xfId="10408" xr:uid="{00000000-0005-0000-0000-000091280000}"/>
    <cellStyle name="Heading 2 8 2 12 2 3" xfId="10409" xr:uid="{00000000-0005-0000-0000-000092280000}"/>
    <cellStyle name="Heading 2 8 2 12 3" xfId="10410" xr:uid="{00000000-0005-0000-0000-000093280000}"/>
    <cellStyle name="Heading 2 8 2 12 4" xfId="10411" xr:uid="{00000000-0005-0000-0000-000094280000}"/>
    <cellStyle name="Heading 2 8 2 13" xfId="10412" xr:uid="{00000000-0005-0000-0000-000095280000}"/>
    <cellStyle name="Heading 2 8 2 13 2" xfId="10413" xr:uid="{00000000-0005-0000-0000-000096280000}"/>
    <cellStyle name="Heading 2 8 2 13 2 2" xfId="10414" xr:uid="{00000000-0005-0000-0000-000097280000}"/>
    <cellStyle name="Heading 2 8 2 13 2 3" xfId="10415" xr:uid="{00000000-0005-0000-0000-000098280000}"/>
    <cellStyle name="Heading 2 8 2 13 3" xfId="10416" xr:uid="{00000000-0005-0000-0000-000099280000}"/>
    <cellStyle name="Heading 2 8 2 13 4" xfId="10417" xr:uid="{00000000-0005-0000-0000-00009A280000}"/>
    <cellStyle name="Heading 2 8 2 14" xfId="10418" xr:uid="{00000000-0005-0000-0000-00009B280000}"/>
    <cellStyle name="Heading 2 8 2 14 2" xfId="10419" xr:uid="{00000000-0005-0000-0000-00009C280000}"/>
    <cellStyle name="Heading 2 8 2 14 2 2" xfId="10420" xr:uid="{00000000-0005-0000-0000-00009D280000}"/>
    <cellStyle name="Heading 2 8 2 14 2 3" xfId="10421" xr:uid="{00000000-0005-0000-0000-00009E280000}"/>
    <cellStyle name="Heading 2 8 2 14 3" xfId="10422" xr:uid="{00000000-0005-0000-0000-00009F280000}"/>
    <cellStyle name="Heading 2 8 2 14 4" xfId="10423" xr:uid="{00000000-0005-0000-0000-0000A0280000}"/>
    <cellStyle name="Heading 2 8 2 15" xfId="10424" xr:uid="{00000000-0005-0000-0000-0000A1280000}"/>
    <cellStyle name="Heading 2 8 2 15 2" xfId="10425" xr:uid="{00000000-0005-0000-0000-0000A2280000}"/>
    <cellStyle name="Heading 2 8 2 15 2 2" xfId="10426" xr:uid="{00000000-0005-0000-0000-0000A3280000}"/>
    <cellStyle name="Heading 2 8 2 15 2 3" xfId="10427" xr:uid="{00000000-0005-0000-0000-0000A4280000}"/>
    <cellStyle name="Heading 2 8 2 15 3" xfId="10428" xr:uid="{00000000-0005-0000-0000-0000A5280000}"/>
    <cellStyle name="Heading 2 8 2 15 4" xfId="10429" xr:uid="{00000000-0005-0000-0000-0000A6280000}"/>
    <cellStyle name="Heading 2 8 2 16" xfId="10430" xr:uid="{00000000-0005-0000-0000-0000A7280000}"/>
    <cellStyle name="Heading 2 8 2 16 2" xfId="10431" xr:uid="{00000000-0005-0000-0000-0000A8280000}"/>
    <cellStyle name="Heading 2 8 2 16 2 2" xfId="10432" xr:uid="{00000000-0005-0000-0000-0000A9280000}"/>
    <cellStyle name="Heading 2 8 2 16 2 3" xfId="10433" xr:uid="{00000000-0005-0000-0000-0000AA280000}"/>
    <cellStyle name="Heading 2 8 2 16 3" xfId="10434" xr:uid="{00000000-0005-0000-0000-0000AB280000}"/>
    <cellStyle name="Heading 2 8 2 16 4" xfId="10435" xr:uid="{00000000-0005-0000-0000-0000AC280000}"/>
    <cellStyle name="Heading 2 8 2 17" xfId="10436" xr:uid="{00000000-0005-0000-0000-0000AD280000}"/>
    <cellStyle name="Heading 2 8 2 17 2" xfId="10437" xr:uid="{00000000-0005-0000-0000-0000AE280000}"/>
    <cellStyle name="Heading 2 8 2 17 2 2" xfId="10438" xr:uid="{00000000-0005-0000-0000-0000AF280000}"/>
    <cellStyle name="Heading 2 8 2 17 2 3" xfId="10439" xr:uid="{00000000-0005-0000-0000-0000B0280000}"/>
    <cellStyle name="Heading 2 8 2 17 3" xfId="10440" xr:uid="{00000000-0005-0000-0000-0000B1280000}"/>
    <cellStyle name="Heading 2 8 2 17 4" xfId="10441" xr:uid="{00000000-0005-0000-0000-0000B2280000}"/>
    <cellStyle name="Heading 2 8 2 18" xfId="10442" xr:uid="{00000000-0005-0000-0000-0000B3280000}"/>
    <cellStyle name="Heading 2 8 2 18 2" xfId="10443" xr:uid="{00000000-0005-0000-0000-0000B4280000}"/>
    <cellStyle name="Heading 2 8 2 18 3" xfId="10444" xr:uid="{00000000-0005-0000-0000-0000B5280000}"/>
    <cellStyle name="Heading 2 8 2 18 4" xfId="10445" xr:uid="{00000000-0005-0000-0000-0000B6280000}"/>
    <cellStyle name="Heading 2 8 2 19" xfId="10446" xr:uid="{00000000-0005-0000-0000-0000B7280000}"/>
    <cellStyle name="Heading 2 8 2 2" xfId="10447" xr:uid="{00000000-0005-0000-0000-0000B8280000}"/>
    <cellStyle name="Heading 2 8 2 2 2" xfId="10448" xr:uid="{00000000-0005-0000-0000-0000B9280000}"/>
    <cellStyle name="Heading 2 8 2 2 2 2" xfId="10449" xr:uid="{00000000-0005-0000-0000-0000BA280000}"/>
    <cellStyle name="Heading 2 8 2 2 2 3" xfId="10450" xr:uid="{00000000-0005-0000-0000-0000BB280000}"/>
    <cellStyle name="Heading 2 8 2 2 3" xfId="10451" xr:uid="{00000000-0005-0000-0000-0000BC280000}"/>
    <cellStyle name="Heading 2 8 2 2 4" xfId="10452" xr:uid="{00000000-0005-0000-0000-0000BD280000}"/>
    <cellStyle name="Heading 2 8 2 20" xfId="10453" xr:uid="{00000000-0005-0000-0000-0000BE280000}"/>
    <cellStyle name="Heading 2 8 2 21" xfId="10454" xr:uid="{00000000-0005-0000-0000-0000BF280000}"/>
    <cellStyle name="Heading 2 8 2 3" xfId="10455" xr:uid="{00000000-0005-0000-0000-0000C0280000}"/>
    <cellStyle name="Heading 2 8 2 3 2" xfId="10456" xr:uid="{00000000-0005-0000-0000-0000C1280000}"/>
    <cellStyle name="Heading 2 8 2 3 2 2" xfId="10457" xr:uid="{00000000-0005-0000-0000-0000C2280000}"/>
    <cellStyle name="Heading 2 8 2 3 2 3" xfId="10458" xr:uid="{00000000-0005-0000-0000-0000C3280000}"/>
    <cellStyle name="Heading 2 8 2 3 3" xfId="10459" xr:uid="{00000000-0005-0000-0000-0000C4280000}"/>
    <cellStyle name="Heading 2 8 2 3 4" xfId="10460" xr:uid="{00000000-0005-0000-0000-0000C5280000}"/>
    <cellStyle name="Heading 2 8 2 4" xfId="10461" xr:uid="{00000000-0005-0000-0000-0000C6280000}"/>
    <cellStyle name="Heading 2 8 2 4 2" xfId="10462" xr:uid="{00000000-0005-0000-0000-0000C7280000}"/>
    <cellStyle name="Heading 2 8 2 4 2 2" xfId="10463" xr:uid="{00000000-0005-0000-0000-0000C8280000}"/>
    <cellStyle name="Heading 2 8 2 4 2 3" xfId="10464" xr:uid="{00000000-0005-0000-0000-0000C9280000}"/>
    <cellStyle name="Heading 2 8 2 4 3" xfId="10465" xr:uid="{00000000-0005-0000-0000-0000CA280000}"/>
    <cellStyle name="Heading 2 8 2 4 4" xfId="10466" xr:uid="{00000000-0005-0000-0000-0000CB280000}"/>
    <cellStyle name="Heading 2 8 2 5" xfId="10467" xr:uid="{00000000-0005-0000-0000-0000CC280000}"/>
    <cellStyle name="Heading 2 8 2 5 2" xfId="10468" xr:uid="{00000000-0005-0000-0000-0000CD280000}"/>
    <cellStyle name="Heading 2 8 2 5 2 2" xfId="10469" xr:uid="{00000000-0005-0000-0000-0000CE280000}"/>
    <cellStyle name="Heading 2 8 2 5 2 3" xfId="10470" xr:uid="{00000000-0005-0000-0000-0000CF280000}"/>
    <cellStyle name="Heading 2 8 2 5 3" xfId="10471" xr:uid="{00000000-0005-0000-0000-0000D0280000}"/>
    <cellStyle name="Heading 2 8 2 5 4" xfId="10472" xr:uid="{00000000-0005-0000-0000-0000D1280000}"/>
    <cellStyle name="Heading 2 8 2 6" xfId="10473" xr:uid="{00000000-0005-0000-0000-0000D2280000}"/>
    <cellStyle name="Heading 2 8 2 6 2" xfId="10474" xr:uid="{00000000-0005-0000-0000-0000D3280000}"/>
    <cellStyle name="Heading 2 8 2 6 2 2" xfId="10475" xr:uid="{00000000-0005-0000-0000-0000D4280000}"/>
    <cellStyle name="Heading 2 8 2 6 2 3" xfId="10476" xr:uid="{00000000-0005-0000-0000-0000D5280000}"/>
    <cellStyle name="Heading 2 8 2 6 3" xfId="10477" xr:uid="{00000000-0005-0000-0000-0000D6280000}"/>
    <cellStyle name="Heading 2 8 2 6 4" xfId="10478" xr:uid="{00000000-0005-0000-0000-0000D7280000}"/>
    <cellStyle name="Heading 2 8 2 7" xfId="10479" xr:uid="{00000000-0005-0000-0000-0000D8280000}"/>
    <cellStyle name="Heading 2 8 2 7 2" xfId="10480" xr:uid="{00000000-0005-0000-0000-0000D9280000}"/>
    <cellStyle name="Heading 2 8 2 7 2 2" xfId="10481" xr:uid="{00000000-0005-0000-0000-0000DA280000}"/>
    <cellStyle name="Heading 2 8 2 7 2 3" xfId="10482" xr:uid="{00000000-0005-0000-0000-0000DB280000}"/>
    <cellStyle name="Heading 2 8 2 7 3" xfId="10483" xr:uid="{00000000-0005-0000-0000-0000DC280000}"/>
    <cellStyle name="Heading 2 8 2 7 4" xfId="10484" xr:uid="{00000000-0005-0000-0000-0000DD280000}"/>
    <cellStyle name="Heading 2 8 2 8" xfId="10485" xr:uid="{00000000-0005-0000-0000-0000DE280000}"/>
    <cellStyle name="Heading 2 8 2 8 2" xfId="10486" xr:uid="{00000000-0005-0000-0000-0000DF280000}"/>
    <cellStyle name="Heading 2 8 2 8 2 2" xfId="10487" xr:uid="{00000000-0005-0000-0000-0000E0280000}"/>
    <cellStyle name="Heading 2 8 2 8 2 3" xfId="10488" xr:uid="{00000000-0005-0000-0000-0000E1280000}"/>
    <cellStyle name="Heading 2 8 2 8 3" xfId="10489" xr:uid="{00000000-0005-0000-0000-0000E2280000}"/>
    <cellStyle name="Heading 2 8 2 8 4" xfId="10490" xr:uid="{00000000-0005-0000-0000-0000E3280000}"/>
    <cellStyle name="Heading 2 8 2 9" xfId="10491" xr:uid="{00000000-0005-0000-0000-0000E4280000}"/>
    <cellStyle name="Heading 2 8 2 9 2" xfId="10492" xr:uid="{00000000-0005-0000-0000-0000E5280000}"/>
    <cellStyle name="Heading 2 8 2 9 2 2" xfId="10493" xr:uid="{00000000-0005-0000-0000-0000E6280000}"/>
    <cellStyle name="Heading 2 8 2 9 2 3" xfId="10494" xr:uid="{00000000-0005-0000-0000-0000E7280000}"/>
    <cellStyle name="Heading 2 8 2 9 3" xfId="10495" xr:uid="{00000000-0005-0000-0000-0000E8280000}"/>
    <cellStyle name="Heading 2 8 2 9 4" xfId="10496" xr:uid="{00000000-0005-0000-0000-0000E9280000}"/>
    <cellStyle name="Heading 2 8 3" xfId="10497" xr:uid="{00000000-0005-0000-0000-0000EA280000}"/>
    <cellStyle name="Heading 2 8 4" xfId="10498" xr:uid="{00000000-0005-0000-0000-0000EB280000}"/>
    <cellStyle name="Heading 2 9" xfId="10499" xr:uid="{00000000-0005-0000-0000-0000EC280000}"/>
    <cellStyle name="Heading 2 9 2" xfId="10500" xr:uid="{00000000-0005-0000-0000-0000ED280000}"/>
    <cellStyle name="Heading 2 9 2 10" xfId="10501" xr:uid="{00000000-0005-0000-0000-0000EE280000}"/>
    <cellStyle name="Heading 2 9 2 10 2" xfId="10502" xr:uid="{00000000-0005-0000-0000-0000EF280000}"/>
    <cellStyle name="Heading 2 9 2 10 2 2" xfId="10503" xr:uid="{00000000-0005-0000-0000-0000F0280000}"/>
    <cellStyle name="Heading 2 9 2 10 2 3" xfId="10504" xr:uid="{00000000-0005-0000-0000-0000F1280000}"/>
    <cellStyle name="Heading 2 9 2 10 3" xfId="10505" xr:uid="{00000000-0005-0000-0000-0000F2280000}"/>
    <cellStyle name="Heading 2 9 2 10 4" xfId="10506" xr:uid="{00000000-0005-0000-0000-0000F3280000}"/>
    <cellStyle name="Heading 2 9 2 11" xfId="10507" xr:uid="{00000000-0005-0000-0000-0000F4280000}"/>
    <cellStyle name="Heading 2 9 2 11 2" xfId="10508" xr:uid="{00000000-0005-0000-0000-0000F5280000}"/>
    <cellStyle name="Heading 2 9 2 11 2 2" xfId="10509" xr:uid="{00000000-0005-0000-0000-0000F6280000}"/>
    <cellStyle name="Heading 2 9 2 11 2 3" xfId="10510" xr:uid="{00000000-0005-0000-0000-0000F7280000}"/>
    <cellStyle name="Heading 2 9 2 11 3" xfId="10511" xr:uid="{00000000-0005-0000-0000-0000F8280000}"/>
    <cellStyle name="Heading 2 9 2 11 4" xfId="10512" xr:uid="{00000000-0005-0000-0000-0000F9280000}"/>
    <cellStyle name="Heading 2 9 2 12" xfId="10513" xr:uid="{00000000-0005-0000-0000-0000FA280000}"/>
    <cellStyle name="Heading 2 9 2 12 2" xfId="10514" xr:uid="{00000000-0005-0000-0000-0000FB280000}"/>
    <cellStyle name="Heading 2 9 2 12 2 2" xfId="10515" xr:uid="{00000000-0005-0000-0000-0000FC280000}"/>
    <cellStyle name="Heading 2 9 2 12 2 3" xfId="10516" xr:uid="{00000000-0005-0000-0000-0000FD280000}"/>
    <cellStyle name="Heading 2 9 2 12 3" xfId="10517" xr:uid="{00000000-0005-0000-0000-0000FE280000}"/>
    <cellStyle name="Heading 2 9 2 12 4" xfId="10518" xr:uid="{00000000-0005-0000-0000-0000FF280000}"/>
    <cellStyle name="Heading 2 9 2 13" xfId="10519" xr:uid="{00000000-0005-0000-0000-000000290000}"/>
    <cellStyle name="Heading 2 9 2 13 2" xfId="10520" xr:uid="{00000000-0005-0000-0000-000001290000}"/>
    <cellStyle name="Heading 2 9 2 13 2 2" xfId="10521" xr:uid="{00000000-0005-0000-0000-000002290000}"/>
    <cellStyle name="Heading 2 9 2 13 2 3" xfId="10522" xr:uid="{00000000-0005-0000-0000-000003290000}"/>
    <cellStyle name="Heading 2 9 2 13 3" xfId="10523" xr:uid="{00000000-0005-0000-0000-000004290000}"/>
    <cellStyle name="Heading 2 9 2 13 4" xfId="10524" xr:uid="{00000000-0005-0000-0000-000005290000}"/>
    <cellStyle name="Heading 2 9 2 14" xfId="10525" xr:uid="{00000000-0005-0000-0000-000006290000}"/>
    <cellStyle name="Heading 2 9 2 14 2" xfId="10526" xr:uid="{00000000-0005-0000-0000-000007290000}"/>
    <cellStyle name="Heading 2 9 2 14 2 2" xfId="10527" xr:uid="{00000000-0005-0000-0000-000008290000}"/>
    <cellStyle name="Heading 2 9 2 14 2 3" xfId="10528" xr:uid="{00000000-0005-0000-0000-000009290000}"/>
    <cellStyle name="Heading 2 9 2 14 3" xfId="10529" xr:uid="{00000000-0005-0000-0000-00000A290000}"/>
    <cellStyle name="Heading 2 9 2 14 4" xfId="10530" xr:uid="{00000000-0005-0000-0000-00000B290000}"/>
    <cellStyle name="Heading 2 9 2 15" xfId="10531" xr:uid="{00000000-0005-0000-0000-00000C290000}"/>
    <cellStyle name="Heading 2 9 2 15 2" xfId="10532" xr:uid="{00000000-0005-0000-0000-00000D290000}"/>
    <cellStyle name="Heading 2 9 2 15 2 2" xfId="10533" xr:uid="{00000000-0005-0000-0000-00000E290000}"/>
    <cellStyle name="Heading 2 9 2 15 2 3" xfId="10534" xr:uid="{00000000-0005-0000-0000-00000F290000}"/>
    <cellStyle name="Heading 2 9 2 15 3" xfId="10535" xr:uid="{00000000-0005-0000-0000-000010290000}"/>
    <cellStyle name="Heading 2 9 2 15 4" xfId="10536" xr:uid="{00000000-0005-0000-0000-000011290000}"/>
    <cellStyle name="Heading 2 9 2 16" xfId="10537" xr:uid="{00000000-0005-0000-0000-000012290000}"/>
    <cellStyle name="Heading 2 9 2 16 2" xfId="10538" xr:uid="{00000000-0005-0000-0000-000013290000}"/>
    <cellStyle name="Heading 2 9 2 16 2 2" xfId="10539" xr:uid="{00000000-0005-0000-0000-000014290000}"/>
    <cellStyle name="Heading 2 9 2 16 2 3" xfId="10540" xr:uid="{00000000-0005-0000-0000-000015290000}"/>
    <cellStyle name="Heading 2 9 2 16 3" xfId="10541" xr:uid="{00000000-0005-0000-0000-000016290000}"/>
    <cellStyle name="Heading 2 9 2 16 4" xfId="10542" xr:uid="{00000000-0005-0000-0000-000017290000}"/>
    <cellStyle name="Heading 2 9 2 17" xfId="10543" xr:uid="{00000000-0005-0000-0000-000018290000}"/>
    <cellStyle name="Heading 2 9 2 17 2" xfId="10544" xr:uid="{00000000-0005-0000-0000-000019290000}"/>
    <cellStyle name="Heading 2 9 2 17 2 2" xfId="10545" xr:uid="{00000000-0005-0000-0000-00001A290000}"/>
    <cellStyle name="Heading 2 9 2 17 2 3" xfId="10546" xr:uid="{00000000-0005-0000-0000-00001B290000}"/>
    <cellStyle name="Heading 2 9 2 17 3" xfId="10547" xr:uid="{00000000-0005-0000-0000-00001C290000}"/>
    <cellStyle name="Heading 2 9 2 17 4" xfId="10548" xr:uid="{00000000-0005-0000-0000-00001D290000}"/>
    <cellStyle name="Heading 2 9 2 18" xfId="10549" xr:uid="{00000000-0005-0000-0000-00001E290000}"/>
    <cellStyle name="Heading 2 9 2 18 2" xfId="10550" xr:uid="{00000000-0005-0000-0000-00001F290000}"/>
    <cellStyle name="Heading 2 9 2 18 3" xfId="10551" xr:uid="{00000000-0005-0000-0000-000020290000}"/>
    <cellStyle name="Heading 2 9 2 18 4" xfId="10552" xr:uid="{00000000-0005-0000-0000-000021290000}"/>
    <cellStyle name="Heading 2 9 2 19" xfId="10553" xr:uid="{00000000-0005-0000-0000-000022290000}"/>
    <cellStyle name="Heading 2 9 2 2" xfId="10554" xr:uid="{00000000-0005-0000-0000-000023290000}"/>
    <cellStyle name="Heading 2 9 2 2 2" xfId="10555" xr:uid="{00000000-0005-0000-0000-000024290000}"/>
    <cellStyle name="Heading 2 9 2 2 2 2" xfId="10556" xr:uid="{00000000-0005-0000-0000-000025290000}"/>
    <cellStyle name="Heading 2 9 2 2 2 3" xfId="10557" xr:uid="{00000000-0005-0000-0000-000026290000}"/>
    <cellStyle name="Heading 2 9 2 2 3" xfId="10558" xr:uid="{00000000-0005-0000-0000-000027290000}"/>
    <cellStyle name="Heading 2 9 2 2 4" xfId="10559" xr:uid="{00000000-0005-0000-0000-000028290000}"/>
    <cellStyle name="Heading 2 9 2 20" xfId="10560" xr:uid="{00000000-0005-0000-0000-000029290000}"/>
    <cellStyle name="Heading 2 9 2 21" xfId="10561" xr:uid="{00000000-0005-0000-0000-00002A290000}"/>
    <cellStyle name="Heading 2 9 2 3" xfId="10562" xr:uid="{00000000-0005-0000-0000-00002B290000}"/>
    <cellStyle name="Heading 2 9 2 3 2" xfId="10563" xr:uid="{00000000-0005-0000-0000-00002C290000}"/>
    <cellStyle name="Heading 2 9 2 3 2 2" xfId="10564" xr:uid="{00000000-0005-0000-0000-00002D290000}"/>
    <cellStyle name="Heading 2 9 2 3 2 3" xfId="10565" xr:uid="{00000000-0005-0000-0000-00002E290000}"/>
    <cellStyle name="Heading 2 9 2 3 3" xfId="10566" xr:uid="{00000000-0005-0000-0000-00002F290000}"/>
    <cellStyle name="Heading 2 9 2 3 4" xfId="10567" xr:uid="{00000000-0005-0000-0000-000030290000}"/>
    <cellStyle name="Heading 2 9 2 4" xfId="10568" xr:uid="{00000000-0005-0000-0000-000031290000}"/>
    <cellStyle name="Heading 2 9 2 4 2" xfId="10569" xr:uid="{00000000-0005-0000-0000-000032290000}"/>
    <cellStyle name="Heading 2 9 2 4 2 2" xfId="10570" xr:uid="{00000000-0005-0000-0000-000033290000}"/>
    <cellStyle name="Heading 2 9 2 4 2 3" xfId="10571" xr:uid="{00000000-0005-0000-0000-000034290000}"/>
    <cellStyle name="Heading 2 9 2 4 3" xfId="10572" xr:uid="{00000000-0005-0000-0000-000035290000}"/>
    <cellStyle name="Heading 2 9 2 4 4" xfId="10573" xr:uid="{00000000-0005-0000-0000-000036290000}"/>
    <cellStyle name="Heading 2 9 2 5" xfId="10574" xr:uid="{00000000-0005-0000-0000-000037290000}"/>
    <cellStyle name="Heading 2 9 2 5 2" xfId="10575" xr:uid="{00000000-0005-0000-0000-000038290000}"/>
    <cellStyle name="Heading 2 9 2 5 2 2" xfId="10576" xr:uid="{00000000-0005-0000-0000-000039290000}"/>
    <cellStyle name="Heading 2 9 2 5 2 3" xfId="10577" xr:uid="{00000000-0005-0000-0000-00003A290000}"/>
    <cellStyle name="Heading 2 9 2 5 3" xfId="10578" xr:uid="{00000000-0005-0000-0000-00003B290000}"/>
    <cellStyle name="Heading 2 9 2 5 4" xfId="10579" xr:uid="{00000000-0005-0000-0000-00003C290000}"/>
    <cellStyle name="Heading 2 9 2 6" xfId="10580" xr:uid="{00000000-0005-0000-0000-00003D290000}"/>
    <cellStyle name="Heading 2 9 2 6 2" xfId="10581" xr:uid="{00000000-0005-0000-0000-00003E290000}"/>
    <cellStyle name="Heading 2 9 2 6 2 2" xfId="10582" xr:uid="{00000000-0005-0000-0000-00003F290000}"/>
    <cellStyle name="Heading 2 9 2 6 2 3" xfId="10583" xr:uid="{00000000-0005-0000-0000-000040290000}"/>
    <cellStyle name="Heading 2 9 2 6 3" xfId="10584" xr:uid="{00000000-0005-0000-0000-000041290000}"/>
    <cellStyle name="Heading 2 9 2 6 4" xfId="10585" xr:uid="{00000000-0005-0000-0000-000042290000}"/>
    <cellStyle name="Heading 2 9 2 7" xfId="10586" xr:uid="{00000000-0005-0000-0000-000043290000}"/>
    <cellStyle name="Heading 2 9 2 7 2" xfId="10587" xr:uid="{00000000-0005-0000-0000-000044290000}"/>
    <cellStyle name="Heading 2 9 2 7 2 2" xfId="10588" xr:uid="{00000000-0005-0000-0000-000045290000}"/>
    <cellStyle name="Heading 2 9 2 7 2 3" xfId="10589" xr:uid="{00000000-0005-0000-0000-000046290000}"/>
    <cellStyle name="Heading 2 9 2 7 3" xfId="10590" xr:uid="{00000000-0005-0000-0000-000047290000}"/>
    <cellStyle name="Heading 2 9 2 7 4" xfId="10591" xr:uid="{00000000-0005-0000-0000-000048290000}"/>
    <cellStyle name="Heading 2 9 2 8" xfId="10592" xr:uid="{00000000-0005-0000-0000-000049290000}"/>
    <cellStyle name="Heading 2 9 2 8 2" xfId="10593" xr:uid="{00000000-0005-0000-0000-00004A290000}"/>
    <cellStyle name="Heading 2 9 2 8 2 2" xfId="10594" xr:uid="{00000000-0005-0000-0000-00004B290000}"/>
    <cellStyle name="Heading 2 9 2 8 2 3" xfId="10595" xr:uid="{00000000-0005-0000-0000-00004C290000}"/>
    <cellStyle name="Heading 2 9 2 8 3" xfId="10596" xr:uid="{00000000-0005-0000-0000-00004D290000}"/>
    <cellStyle name="Heading 2 9 2 8 4" xfId="10597" xr:uid="{00000000-0005-0000-0000-00004E290000}"/>
    <cellStyle name="Heading 2 9 2 9" xfId="10598" xr:uid="{00000000-0005-0000-0000-00004F290000}"/>
    <cellStyle name="Heading 2 9 2 9 2" xfId="10599" xr:uid="{00000000-0005-0000-0000-000050290000}"/>
    <cellStyle name="Heading 2 9 2 9 2 2" xfId="10600" xr:uid="{00000000-0005-0000-0000-000051290000}"/>
    <cellStyle name="Heading 2 9 2 9 2 3" xfId="10601" xr:uid="{00000000-0005-0000-0000-000052290000}"/>
    <cellStyle name="Heading 2 9 2 9 3" xfId="10602" xr:uid="{00000000-0005-0000-0000-000053290000}"/>
    <cellStyle name="Heading 2 9 2 9 4" xfId="10603" xr:uid="{00000000-0005-0000-0000-000054290000}"/>
    <cellStyle name="Heading 2 9 3" xfId="10604" xr:uid="{00000000-0005-0000-0000-000055290000}"/>
    <cellStyle name="Heading 2 9 4" xfId="10605" xr:uid="{00000000-0005-0000-0000-000056290000}"/>
    <cellStyle name="Heading 3 10" xfId="10606" xr:uid="{00000000-0005-0000-0000-000057290000}"/>
    <cellStyle name="Heading 3 10 2" xfId="10607" xr:uid="{00000000-0005-0000-0000-000058290000}"/>
    <cellStyle name="Heading 3 10 3" xfId="10608" xr:uid="{00000000-0005-0000-0000-000059290000}"/>
    <cellStyle name="Heading 3 11" xfId="10609" xr:uid="{00000000-0005-0000-0000-00005A290000}"/>
    <cellStyle name="Heading 3 11 2" xfId="10610" xr:uid="{00000000-0005-0000-0000-00005B290000}"/>
    <cellStyle name="Heading 3 11 3" xfId="10611" xr:uid="{00000000-0005-0000-0000-00005C290000}"/>
    <cellStyle name="Heading 3 12" xfId="10612" xr:uid="{00000000-0005-0000-0000-00005D290000}"/>
    <cellStyle name="Heading 3 12 2" xfId="10613" xr:uid="{00000000-0005-0000-0000-00005E290000}"/>
    <cellStyle name="Heading 3 12 3" xfId="10614" xr:uid="{00000000-0005-0000-0000-00005F290000}"/>
    <cellStyle name="Heading 3 13" xfId="10615" xr:uid="{00000000-0005-0000-0000-000060290000}"/>
    <cellStyle name="Heading 3 13 2" xfId="10616" xr:uid="{00000000-0005-0000-0000-000061290000}"/>
    <cellStyle name="Heading 3 13 3" xfId="10617" xr:uid="{00000000-0005-0000-0000-000062290000}"/>
    <cellStyle name="Heading 3 14" xfId="10618" xr:uid="{00000000-0005-0000-0000-000063290000}"/>
    <cellStyle name="Heading 3 14 2" xfId="10619" xr:uid="{00000000-0005-0000-0000-000064290000}"/>
    <cellStyle name="Heading 3 14 3" xfId="10620" xr:uid="{00000000-0005-0000-0000-000065290000}"/>
    <cellStyle name="Heading 3 15" xfId="10621" xr:uid="{00000000-0005-0000-0000-000066290000}"/>
    <cellStyle name="Heading 3 15 2" xfId="10622" xr:uid="{00000000-0005-0000-0000-000067290000}"/>
    <cellStyle name="Heading 3 15 3" xfId="10623" xr:uid="{00000000-0005-0000-0000-000068290000}"/>
    <cellStyle name="Heading 3 16" xfId="10624" xr:uid="{00000000-0005-0000-0000-000069290000}"/>
    <cellStyle name="Heading 3 16 2" xfId="10625" xr:uid="{00000000-0005-0000-0000-00006A290000}"/>
    <cellStyle name="Heading 3 16 3" xfId="10626" xr:uid="{00000000-0005-0000-0000-00006B290000}"/>
    <cellStyle name="Heading 3 17" xfId="10627" xr:uid="{00000000-0005-0000-0000-00006C290000}"/>
    <cellStyle name="Heading 3 17 2" xfId="10628" xr:uid="{00000000-0005-0000-0000-00006D290000}"/>
    <cellStyle name="Heading 3 17 3" xfId="10629" xr:uid="{00000000-0005-0000-0000-00006E290000}"/>
    <cellStyle name="Heading 3 18" xfId="10630" xr:uid="{00000000-0005-0000-0000-00006F290000}"/>
    <cellStyle name="Heading 3 18 2" xfId="10631" xr:uid="{00000000-0005-0000-0000-000070290000}"/>
    <cellStyle name="Heading 3 18 3" xfId="10632" xr:uid="{00000000-0005-0000-0000-000071290000}"/>
    <cellStyle name="Heading 3 19" xfId="10633" xr:uid="{00000000-0005-0000-0000-000072290000}"/>
    <cellStyle name="Heading 3 19 2" xfId="10634" xr:uid="{00000000-0005-0000-0000-000073290000}"/>
    <cellStyle name="Heading 3 19 3" xfId="10635" xr:uid="{00000000-0005-0000-0000-000074290000}"/>
    <cellStyle name="Heading 3 2" xfId="10636" xr:uid="{00000000-0005-0000-0000-000075290000}"/>
    <cellStyle name="Heading 3 2 2" xfId="10637" xr:uid="{00000000-0005-0000-0000-000076290000}"/>
    <cellStyle name="Heading 3 2 2 2" xfId="10638" xr:uid="{00000000-0005-0000-0000-000077290000}"/>
    <cellStyle name="Heading 3 2 2 3" xfId="10639" xr:uid="{00000000-0005-0000-0000-000078290000}"/>
    <cellStyle name="Heading 3 2 3" xfId="10640" xr:uid="{00000000-0005-0000-0000-000079290000}"/>
    <cellStyle name="Heading 3 2 3 2" xfId="10641" xr:uid="{00000000-0005-0000-0000-00007A290000}"/>
    <cellStyle name="Heading 3 2 4" xfId="10642" xr:uid="{00000000-0005-0000-0000-00007B290000}"/>
    <cellStyle name="Heading 3 2 5" xfId="10643" xr:uid="{00000000-0005-0000-0000-00007C290000}"/>
    <cellStyle name="Heading 3 2 6" xfId="10644" xr:uid="{00000000-0005-0000-0000-00007D290000}"/>
    <cellStyle name="Heading 3 2 7" xfId="10645" xr:uid="{00000000-0005-0000-0000-00007E290000}"/>
    <cellStyle name="Heading 3 20" xfId="10646" xr:uid="{00000000-0005-0000-0000-00007F290000}"/>
    <cellStyle name="Heading 3 20 2" xfId="10647" xr:uid="{00000000-0005-0000-0000-000080290000}"/>
    <cellStyle name="Heading 3 20 3" xfId="10648" xr:uid="{00000000-0005-0000-0000-000081290000}"/>
    <cellStyle name="Heading 3 21" xfId="10649" xr:uid="{00000000-0005-0000-0000-000082290000}"/>
    <cellStyle name="Heading 3 21 2" xfId="10650" xr:uid="{00000000-0005-0000-0000-000083290000}"/>
    <cellStyle name="Heading 3 21 3" xfId="10651" xr:uid="{00000000-0005-0000-0000-000084290000}"/>
    <cellStyle name="Heading 3 22" xfId="10652" xr:uid="{00000000-0005-0000-0000-000085290000}"/>
    <cellStyle name="Heading 3 22 2" xfId="10653" xr:uid="{00000000-0005-0000-0000-000086290000}"/>
    <cellStyle name="Heading 3 22 3" xfId="10654" xr:uid="{00000000-0005-0000-0000-000087290000}"/>
    <cellStyle name="Heading 3 23" xfId="10655" xr:uid="{00000000-0005-0000-0000-000088290000}"/>
    <cellStyle name="Heading 3 23 2" xfId="10656" xr:uid="{00000000-0005-0000-0000-000089290000}"/>
    <cellStyle name="Heading 3 23 3" xfId="10657" xr:uid="{00000000-0005-0000-0000-00008A290000}"/>
    <cellStyle name="Heading 3 24" xfId="10658" xr:uid="{00000000-0005-0000-0000-00008B290000}"/>
    <cellStyle name="Heading 3 24 2" xfId="10659" xr:uid="{00000000-0005-0000-0000-00008C290000}"/>
    <cellStyle name="Heading 3 24 3" xfId="10660" xr:uid="{00000000-0005-0000-0000-00008D290000}"/>
    <cellStyle name="Heading 3 25" xfId="10661" xr:uid="{00000000-0005-0000-0000-00008E290000}"/>
    <cellStyle name="Heading 3 25 2" xfId="10662" xr:uid="{00000000-0005-0000-0000-00008F290000}"/>
    <cellStyle name="Heading 3 25 3" xfId="10663" xr:uid="{00000000-0005-0000-0000-000090290000}"/>
    <cellStyle name="Heading 3 26" xfId="10664" xr:uid="{00000000-0005-0000-0000-000091290000}"/>
    <cellStyle name="Heading 3 26 2" xfId="10665" xr:uid="{00000000-0005-0000-0000-000092290000}"/>
    <cellStyle name="Heading 3 26 3" xfId="10666" xr:uid="{00000000-0005-0000-0000-000093290000}"/>
    <cellStyle name="Heading 3 27" xfId="10667" xr:uid="{00000000-0005-0000-0000-000094290000}"/>
    <cellStyle name="Heading 3 27 2" xfId="10668" xr:uid="{00000000-0005-0000-0000-000095290000}"/>
    <cellStyle name="Heading 3 27 3" xfId="10669" xr:uid="{00000000-0005-0000-0000-000096290000}"/>
    <cellStyle name="Heading 3 28" xfId="10670" xr:uid="{00000000-0005-0000-0000-000097290000}"/>
    <cellStyle name="Heading 3 28 2" xfId="10671" xr:uid="{00000000-0005-0000-0000-000098290000}"/>
    <cellStyle name="Heading 3 28 3" xfId="10672" xr:uid="{00000000-0005-0000-0000-000099290000}"/>
    <cellStyle name="Heading 3 29" xfId="10673" xr:uid="{00000000-0005-0000-0000-00009A290000}"/>
    <cellStyle name="Heading 3 29 2" xfId="10674" xr:uid="{00000000-0005-0000-0000-00009B290000}"/>
    <cellStyle name="Heading 3 29 3" xfId="10675" xr:uid="{00000000-0005-0000-0000-00009C290000}"/>
    <cellStyle name="Heading 3 3" xfId="10676" xr:uid="{00000000-0005-0000-0000-00009D290000}"/>
    <cellStyle name="Heading 3 3 2" xfId="10677" xr:uid="{00000000-0005-0000-0000-00009E290000}"/>
    <cellStyle name="Heading 3 3 3" xfId="10678" xr:uid="{00000000-0005-0000-0000-00009F290000}"/>
    <cellStyle name="Heading 3 30" xfId="10679" xr:uid="{00000000-0005-0000-0000-0000A0290000}"/>
    <cellStyle name="Heading 3 30 2" xfId="10680" xr:uid="{00000000-0005-0000-0000-0000A1290000}"/>
    <cellStyle name="Heading 3 30 3" xfId="10681" xr:uid="{00000000-0005-0000-0000-0000A2290000}"/>
    <cellStyle name="Heading 3 31" xfId="10682" xr:uid="{00000000-0005-0000-0000-0000A3290000}"/>
    <cellStyle name="Heading 3 31 2" xfId="10683" xr:uid="{00000000-0005-0000-0000-0000A4290000}"/>
    <cellStyle name="Heading 3 31 3" xfId="10684" xr:uid="{00000000-0005-0000-0000-0000A5290000}"/>
    <cellStyle name="Heading 3 32" xfId="10685" xr:uid="{00000000-0005-0000-0000-0000A6290000}"/>
    <cellStyle name="Heading 3 32 2" xfId="10686" xr:uid="{00000000-0005-0000-0000-0000A7290000}"/>
    <cellStyle name="Heading 3 32 3" xfId="10687" xr:uid="{00000000-0005-0000-0000-0000A8290000}"/>
    <cellStyle name="Heading 3 33" xfId="10688" xr:uid="{00000000-0005-0000-0000-0000A9290000}"/>
    <cellStyle name="Heading 3 33 2" xfId="10689" xr:uid="{00000000-0005-0000-0000-0000AA290000}"/>
    <cellStyle name="Heading 3 33 3" xfId="10690" xr:uid="{00000000-0005-0000-0000-0000AB290000}"/>
    <cellStyle name="Heading 3 34" xfId="10691" xr:uid="{00000000-0005-0000-0000-0000AC290000}"/>
    <cellStyle name="Heading 3 34 2" xfId="10692" xr:uid="{00000000-0005-0000-0000-0000AD290000}"/>
    <cellStyle name="Heading 3 34 3" xfId="10693" xr:uid="{00000000-0005-0000-0000-0000AE290000}"/>
    <cellStyle name="Heading 3 35" xfId="10694" xr:uid="{00000000-0005-0000-0000-0000AF290000}"/>
    <cellStyle name="Heading 3 35 2" xfId="10695" xr:uid="{00000000-0005-0000-0000-0000B0290000}"/>
    <cellStyle name="Heading 3 35 3" xfId="10696" xr:uid="{00000000-0005-0000-0000-0000B1290000}"/>
    <cellStyle name="Heading 3 36" xfId="10697" xr:uid="{00000000-0005-0000-0000-0000B2290000}"/>
    <cellStyle name="Heading 3 36 2" xfId="10698" xr:uid="{00000000-0005-0000-0000-0000B3290000}"/>
    <cellStyle name="Heading 3 36 3" xfId="10699" xr:uid="{00000000-0005-0000-0000-0000B4290000}"/>
    <cellStyle name="Heading 3 37" xfId="10700" xr:uid="{00000000-0005-0000-0000-0000B5290000}"/>
    <cellStyle name="Heading 3 37 2" xfId="10701" xr:uid="{00000000-0005-0000-0000-0000B6290000}"/>
    <cellStyle name="Heading 3 37 3" xfId="10702" xr:uid="{00000000-0005-0000-0000-0000B7290000}"/>
    <cellStyle name="Heading 3 38" xfId="10703" xr:uid="{00000000-0005-0000-0000-0000B8290000}"/>
    <cellStyle name="Heading 3 38 2" xfId="10704" xr:uid="{00000000-0005-0000-0000-0000B9290000}"/>
    <cellStyle name="Heading 3 38 3" xfId="10705" xr:uid="{00000000-0005-0000-0000-0000BA290000}"/>
    <cellStyle name="Heading 3 39" xfId="10706" xr:uid="{00000000-0005-0000-0000-0000BB290000}"/>
    <cellStyle name="Heading 3 39 2" xfId="10707" xr:uid="{00000000-0005-0000-0000-0000BC290000}"/>
    <cellStyle name="Heading 3 39 3" xfId="10708" xr:uid="{00000000-0005-0000-0000-0000BD290000}"/>
    <cellStyle name="Heading 3 4" xfId="10709" xr:uid="{00000000-0005-0000-0000-0000BE290000}"/>
    <cellStyle name="Heading 3 4 2" xfId="10710" xr:uid="{00000000-0005-0000-0000-0000BF290000}"/>
    <cellStyle name="Heading 3 4 3" xfId="10711" xr:uid="{00000000-0005-0000-0000-0000C0290000}"/>
    <cellStyle name="Heading 3 40" xfId="10712" xr:uid="{00000000-0005-0000-0000-0000C1290000}"/>
    <cellStyle name="Heading 3 40 2" xfId="10713" xr:uid="{00000000-0005-0000-0000-0000C2290000}"/>
    <cellStyle name="Heading 3 40 3" xfId="10714" xr:uid="{00000000-0005-0000-0000-0000C3290000}"/>
    <cellStyle name="Heading 3 41" xfId="10715" xr:uid="{00000000-0005-0000-0000-0000C4290000}"/>
    <cellStyle name="Heading 3 41 2" xfId="10716" xr:uid="{00000000-0005-0000-0000-0000C5290000}"/>
    <cellStyle name="Heading 3 41 3" xfId="10717" xr:uid="{00000000-0005-0000-0000-0000C6290000}"/>
    <cellStyle name="Heading 3 42" xfId="10718" xr:uid="{00000000-0005-0000-0000-0000C7290000}"/>
    <cellStyle name="Heading 3 42 2" xfId="10719" xr:uid="{00000000-0005-0000-0000-0000C8290000}"/>
    <cellStyle name="Heading 3 42 3" xfId="10720" xr:uid="{00000000-0005-0000-0000-0000C9290000}"/>
    <cellStyle name="Heading 3 43" xfId="10721" xr:uid="{00000000-0005-0000-0000-0000CA290000}"/>
    <cellStyle name="Heading 3 43 2" xfId="10722" xr:uid="{00000000-0005-0000-0000-0000CB290000}"/>
    <cellStyle name="Heading 3 43 3" xfId="10723" xr:uid="{00000000-0005-0000-0000-0000CC290000}"/>
    <cellStyle name="Heading 3 44" xfId="10724" xr:uid="{00000000-0005-0000-0000-0000CD290000}"/>
    <cellStyle name="Heading 3 44 2" xfId="10725" xr:uid="{00000000-0005-0000-0000-0000CE290000}"/>
    <cellStyle name="Heading 3 44 3" xfId="10726" xr:uid="{00000000-0005-0000-0000-0000CF290000}"/>
    <cellStyle name="Heading 3 45" xfId="10727" xr:uid="{00000000-0005-0000-0000-0000D0290000}"/>
    <cellStyle name="Heading 3 45 2" xfId="10728" xr:uid="{00000000-0005-0000-0000-0000D1290000}"/>
    <cellStyle name="Heading 3 45 3" xfId="10729" xr:uid="{00000000-0005-0000-0000-0000D2290000}"/>
    <cellStyle name="Heading 3 46" xfId="10730" xr:uid="{00000000-0005-0000-0000-0000D3290000}"/>
    <cellStyle name="Heading 3 46 2" xfId="10731" xr:uid="{00000000-0005-0000-0000-0000D4290000}"/>
    <cellStyle name="Heading 3 46 3" xfId="10732" xr:uid="{00000000-0005-0000-0000-0000D5290000}"/>
    <cellStyle name="Heading 3 47" xfId="10733" xr:uid="{00000000-0005-0000-0000-0000D6290000}"/>
    <cellStyle name="Heading 3 47 2" xfId="10734" xr:uid="{00000000-0005-0000-0000-0000D7290000}"/>
    <cellStyle name="Heading 3 48" xfId="10735" xr:uid="{00000000-0005-0000-0000-0000D8290000}"/>
    <cellStyle name="Heading 3 49" xfId="10736" xr:uid="{00000000-0005-0000-0000-0000D9290000}"/>
    <cellStyle name="Heading 3 5" xfId="10737" xr:uid="{00000000-0005-0000-0000-0000DA290000}"/>
    <cellStyle name="Heading 3 5 2" xfId="10738" xr:uid="{00000000-0005-0000-0000-0000DB290000}"/>
    <cellStyle name="Heading 3 5 3" xfId="10739" xr:uid="{00000000-0005-0000-0000-0000DC290000}"/>
    <cellStyle name="Heading 3 50" xfId="10740" xr:uid="{00000000-0005-0000-0000-0000DD290000}"/>
    <cellStyle name="Heading 3 51" xfId="10741" xr:uid="{00000000-0005-0000-0000-0000DE290000}"/>
    <cellStyle name="Heading 3 6" xfId="10742" xr:uid="{00000000-0005-0000-0000-0000DF290000}"/>
    <cellStyle name="Heading 3 6 2" xfId="10743" xr:uid="{00000000-0005-0000-0000-0000E0290000}"/>
    <cellStyle name="Heading 3 6 3" xfId="10744" xr:uid="{00000000-0005-0000-0000-0000E1290000}"/>
    <cellStyle name="Heading 3 7" xfId="10745" xr:uid="{00000000-0005-0000-0000-0000E2290000}"/>
    <cellStyle name="Heading 3 7 2" xfId="10746" xr:uid="{00000000-0005-0000-0000-0000E3290000}"/>
    <cellStyle name="Heading 3 7 3" xfId="10747" xr:uid="{00000000-0005-0000-0000-0000E4290000}"/>
    <cellStyle name="Heading 3 8" xfId="10748" xr:uid="{00000000-0005-0000-0000-0000E5290000}"/>
    <cellStyle name="Heading 3 8 2" xfId="10749" xr:uid="{00000000-0005-0000-0000-0000E6290000}"/>
    <cellStyle name="Heading 3 8 3" xfId="10750" xr:uid="{00000000-0005-0000-0000-0000E7290000}"/>
    <cellStyle name="Heading 3 9" xfId="10751" xr:uid="{00000000-0005-0000-0000-0000E8290000}"/>
    <cellStyle name="Heading 3 9 2" xfId="10752" xr:uid="{00000000-0005-0000-0000-0000E9290000}"/>
    <cellStyle name="Heading 3 9 3" xfId="10753" xr:uid="{00000000-0005-0000-0000-0000EA290000}"/>
    <cellStyle name="Heading 4 10" xfId="10754" xr:uid="{00000000-0005-0000-0000-0000EB290000}"/>
    <cellStyle name="Heading 4 10 2" xfId="10755" xr:uid="{00000000-0005-0000-0000-0000EC290000}"/>
    <cellStyle name="Heading 4 10 3" xfId="10756" xr:uid="{00000000-0005-0000-0000-0000ED290000}"/>
    <cellStyle name="Heading 4 11" xfId="10757" xr:uid="{00000000-0005-0000-0000-0000EE290000}"/>
    <cellStyle name="Heading 4 11 2" xfId="10758" xr:uid="{00000000-0005-0000-0000-0000EF290000}"/>
    <cellStyle name="Heading 4 11 3" xfId="10759" xr:uid="{00000000-0005-0000-0000-0000F0290000}"/>
    <cellStyle name="Heading 4 12" xfId="10760" xr:uid="{00000000-0005-0000-0000-0000F1290000}"/>
    <cellStyle name="Heading 4 12 2" xfId="10761" xr:uid="{00000000-0005-0000-0000-0000F2290000}"/>
    <cellStyle name="Heading 4 12 3" xfId="10762" xr:uid="{00000000-0005-0000-0000-0000F3290000}"/>
    <cellStyle name="Heading 4 13" xfId="10763" xr:uid="{00000000-0005-0000-0000-0000F4290000}"/>
    <cellStyle name="Heading 4 13 2" xfId="10764" xr:uid="{00000000-0005-0000-0000-0000F5290000}"/>
    <cellStyle name="Heading 4 13 3" xfId="10765" xr:uid="{00000000-0005-0000-0000-0000F6290000}"/>
    <cellStyle name="Heading 4 14" xfId="10766" xr:uid="{00000000-0005-0000-0000-0000F7290000}"/>
    <cellStyle name="Heading 4 14 2" xfId="10767" xr:uid="{00000000-0005-0000-0000-0000F8290000}"/>
    <cellStyle name="Heading 4 14 3" xfId="10768" xr:uid="{00000000-0005-0000-0000-0000F9290000}"/>
    <cellStyle name="Heading 4 15" xfId="10769" xr:uid="{00000000-0005-0000-0000-0000FA290000}"/>
    <cellStyle name="Heading 4 15 2" xfId="10770" xr:uid="{00000000-0005-0000-0000-0000FB290000}"/>
    <cellStyle name="Heading 4 15 3" xfId="10771" xr:uid="{00000000-0005-0000-0000-0000FC290000}"/>
    <cellStyle name="Heading 4 16" xfId="10772" xr:uid="{00000000-0005-0000-0000-0000FD290000}"/>
    <cellStyle name="Heading 4 16 2" xfId="10773" xr:uid="{00000000-0005-0000-0000-0000FE290000}"/>
    <cellStyle name="Heading 4 16 3" xfId="10774" xr:uid="{00000000-0005-0000-0000-0000FF290000}"/>
    <cellStyle name="Heading 4 17" xfId="10775" xr:uid="{00000000-0005-0000-0000-0000002A0000}"/>
    <cellStyle name="Heading 4 17 2" xfId="10776" xr:uid="{00000000-0005-0000-0000-0000012A0000}"/>
    <cellStyle name="Heading 4 17 3" xfId="10777" xr:uid="{00000000-0005-0000-0000-0000022A0000}"/>
    <cellStyle name="Heading 4 18" xfId="10778" xr:uid="{00000000-0005-0000-0000-0000032A0000}"/>
    <cellStyle name="Heading 4 18 2" xfId="10779" xr:uid="{00000000-0005-0000-0000-0000042A0000}"/>
    <cellStyle name="Heading 4 18 3" xfId="10780" xr:uid="{00000000-0005-0000-0000-0000052A0000}"/>
    <cellStyle name="Heading 4 19" xfId="10781" xr:uid="{00000000-0005-0000-0000-0000062A0000}"/>
    <cellStyle name="Heading 4 19 2" xfId="10782" xr:uid="{00000000-0005-0000-0000-0000072A0000}"/>
    <cellStyle name="Heading 4 19 3" xfId="10783" xr:uid="{00000000-0005-0000-0000-0000082A0000}"/>
    <cellStyle name="Heading 4 2" xfId="10784" xr:uid="{00000000-0005-0000-0000-0000092A0000}"/>
    <cellStyle name="Heading 4 2 2" xfId="10785" xr:uid="{00000000-0005-0000-0000-00000A2A0000}"/>
    <cellStyle name="Heading 4 2 2 2" xfId="10786" xr:uid="{00000000-0005-0000-0000-00000B2A0000}"/>
    <cellStyle name="Heading 4 2 2 3" xfId="10787" xr:uid="{00000000-0005-0000-0000-00000C2A0000}"/>
    <cellStyle name="Heading 4 2 3" xfId="10788" xr:uid="{00000000-0005-0000-0000-00000D2A0000}"/>
    <cellStyle name="Heading 4 2 3 2" xfId="10789" xr:uid="{00000000-0005-0000-0000-00000E2A0000}"/>
    <cellStyle name="Heading 4 2 4" xfId="10790" xr:uid="{00000000-0005-0000-0000-00000F2A0000}"/>
    <cellStyle name="Heading 4 2 5" xfId="10791" xr:uid="{00000000-0005-0000-0000-0000102A0000}"/>
    <cellStyle name="Heading 4 2 6" xfId="10792" xr:uid="{00000000-0005-0000-0000-0000112A0000}"/>
    <cellStyle name="Heading 4 2 7" xfId="10793" xr:uid="{00000000-0005-0000-0000-0000122A0000}"/>
    <cellStyle name="Heading 4 20" xfId="10794" xr:uid="{00000000-0005-0000-0000-0000132A0000}"/>
    <cellStyle name="Heading 4 20 2" xfId="10795" xr:uid="{00000000-0005-0000-0000-0000142A0000}"/>
    <cellStyle name="Heading 4 20 3" xfId="10796" xr:uid="{00000000-0005-0000-0000-0000152A0000}"/>
    <cellStyle name="Heading 4 21" xfId="10797" xr:uid="{00000000-0005-0000-0000-0000162A0000}"/>
    <cellStyle name="Heading 4 21 2" xfId="10798" xr:uid="{00000000-0005-0000-0000-0000172A0000}"/>
    <cellStyle name="Heading 4 21 3" xfId="10799" xr:uid="{00000000-0005-0000-0000-0000182A0000}"/>
    <cellStyle name="Heading 4 22" xfId="10800" xr:uid="{00000000-0005-0000-0000-0000192A0000}"/>
    <cellStyle name="Heading 4 22 2" xfId="10801" xr:uid="{00000000-0005-0000-0000-00001A2A0000}"/>
    <cellStyle name="Heading 4 22 3" xfId="10802" xr:uid="{00000000-0005-0000-0000-00001B2A0000}"/>
    <cellStyle name="Heading 4 23" xfId="10803" xr:uid="{00000000-0005-0000-0000-00001C2A0000}"/>
    <cellStyle name="Heading 4 23 2" xfId="10804" xr:uid="{00000000-0005-0000-0000-00001D2A0000}"/>
    <cellStyle name="Heading 4 23 3" xfId="10805" xr:uid="{00000000-0005-0000-0000-00001E2A0000}"/>
    <cellStyle name="Heading 4 24" xfId="10806" xr:uid="{00000000-0005-0000-0000-00001F2A0000}"/>
    <cellStyle name="Heading 4 24 2" xfId="10807" xr:uid="{00000000-0005-0000-0000-0000202A0000}"/>
    <cellStyle name="Heading 4 24 3" xfId="10808" xr:uid="{00000000-0005-0000-0000-0000212A0000}"/>
    <cellStyle name="Heading 4 25" xfId="10809" xr:uid="{00000000-0005-0000-0000-0000222A0000}"/>
    <cellStyle name="Heading 4 25 2" xfId="10810" xr:uid="{00000000-0005-0000-0000-0000232A0000}"/>
    <cellStyle name="Heading 4 25 3" xfId="10811" xr:uid="{00000000-0005-0000-0000-0000242A0000}"/>
    <cellStyle name="Heading 4 26" xfId="10812" xr:uid="{00000000-0005-0000-0000-0000252A0000}"/>
    <cellStyle name="Heading 4 26 2" xfId="10813" xr:uid="{00000000-0005-0000-0000-0000262A0000}"/>
    <cellStyle name="Heading 4 26 3" xfId="10814" xr:uid="{00000000-0005-0000-0000-0000272A0000}"/>
    <cellStyle name="Heading 4 27" xfId="10815" xr:uid="{00000000-0005-0000-0000-0000282A0000}"/>
    <cellStyle name="Heading 4 27 2" xfId="10816" xr:uid="{00000000-0005-0000-0000-0000292A0000}"/>
    <cellStyle name="Heading 4 27 3" xfId="10817" xr:uid="{00000000-0005-0000-0000-00002A2A0000}"/>
    <cellStyle name="Heading 4 28" xfId="10818" xr:uid="{00000000-0005-0000-0000-00002B2A0000}"/>
    <cellStyle name="Heading 4 28 2" xfId="10819" xr:uid="{00000000-0005-0000-0000-00002C2A0000}"/>
    <cellStyle name="Heading 4 28 3" xfId="10820" xr:uid="{00000000-0005-0000-0000-00002D2A0000}"/>
    <cellStyle name="Heading 4 29" xfId="10821" xr:uid="{00000000-0005-0000-0000-00002E2A0000}"/>
    <cellStyle name="Heading 4 29 2" xfId="10822" xr:uid="{00000000-0005-0000-0000-00002F2A0000}"/>
    <cellStyle name="Heading 4 29 3" xfId="10823" xr:uid="{00000000-0005-0000-0000-0000302A0000}"/>
    <cellStyle name="Heading 4 3" xfId="10824" xr:uid="{00000000-0005-0000-0000-0000312A0000}"/>
    <cellStyle name="Heading 4 3 2" xfId="10825" xr:uid="{00000000-0005-0000-0000-0000322A0000}"/>
    <cellStyle name="Heading 4 3 3" xfId="10826" xr:uid="{00000000-0005-0000-0000-0000332A0000}"/>
    <cellStyle name="Heading 4 30" xfId="10827" xr:uid="{00000000-0005-0000-0000-0000342A0000}"/>
    <cellStyle name="Heading 4 30 2" xfId="10828" xr:uid="{00000000-0005-0000-0000-0000352A0000}"/>
    <cellStyle name="Heading 4 30 3" xfId="10829" xr:uid="{00000000-0005-0000-0000-0000362A0000}"/>
    <cellStyle name="Heading 4 31" xfId="10830" xr:uid="{00000000-0005-0000-0000-0000372A0000}"/>
    <cellStyle name="Heading 4 31 2" xfId="10831" xr:uid="{00000000-0005-0000-0000-0000382A0000}"/>
    <cellStyle name="Heading 4 31 3" xfId="10832" xr:uid="{00000000-0005-0000-0000-0000392A0000}"/>
    <cellStyle name="Heading 4 32" xfId="10833" xr:uid="{00000000-0005-0000-0000-00003A2A0000}"/>
    <cellStyle name="Heading 4 32 2" xfId="10834" xr:uid="{00000000-0005-0000-0000-00003B2A0000}"/>
    <cellStyle name="Heading 4 32 3" xfId="10835" xr:uid="{00000000-0005-0000-0000-00003C2A0000}"/>
    <cellStyle name="Heading 4 33" xfId="10836" xr:uid="{00000000-0005-0000-0000-00003D2A0000}"/>
    <cellStyle name="Heading 4 33 2" xfId="10837" xr:uid="{00000000-0005-0000-0000-00003E2A0000}"/>
    <cellStyle name="Heading 4 33 3" xfId="10838" xr:uid="{00000000-0005-0000-0000-00003F2A0000}"/>
    <cellStyle name="Heading 4 34" xfId="10839" xr:uid="{00000000-0005-0000-0000-0000402A0000}"/>
    <cellStyle name="Heading 4 34 2" xfId="10840" xr:uid="{00000000-0005-0000-0000-0000412A0000}"/>
    <cellStyle name="Heading 4 34 3" xfId="10841" xr:uid="{00000000-0005-0000-0000-0000422A0000}"/>
    <cellStyle name="Heading 4 35" xfId="10842" xr:uid="{00000000-0005-0000-0000-0000432A0000}"/>
    <cellStyle name="Heading 4 35 2" xfId="10843" xr:uid="{00000000-0005-0000-0000-0000442A0000}"/>
    <cellStyle name="Heading 4 35 3" xfId="10844" xr:uid="{00000000-0005-0000-0000-0000452A0000}"/>
    <cellStyle name="Heading 4 36" xfId="10845" xr:uid="{00000000-0005-0000-0000-0000462A0000}"/>
    <cellStyle name="Heading 4 36 2" xfId="10846" xr:uid="{00000000-0005-0000-0000-0000472A0000}"/>
    <cellStyle name="Heading 4 36 3" xfId="10847" xr:uid="{00000000-0005-0000-0000-0000482A0000}"/>
    <cellStyle name="Heading 4 37" xfId="10848" xr:uid="{00000000-0005-0000-0000-0000492A0000}"/>
    <cellStyle name="Heading 4 37 2" xfId="10849" xr:uid="{00000000-0005-0000-0000-00004A2A0000}"/>
    <cellStyle name="Heading 4 37 3" xfId="10850" xr:uid="{00000000-0005-0000-0000-00004B2A0000}"/>
    <cellStyle name="Heading 4 38" xfId="10851" xr:uid="{00000000-0005-0000-0000-00004C2A0000}"/>
    <cellStyle name="Heading 4 38 2" xfId="10852" xr:uid="{00000000-0005-0000-0000-00004D2A0000}"/>
    <cellStyle name="Heading 4 38 3" xfId="10853" xr:uid="{00000000-0005-0000-0000-00004E2A0000}"/>
    <cellStyle name="Heading 4 39" xfId="10854" xr:uid="{00000000-0005-0000-0000-00004F2A0000}"/>
    <cellStyle name="Heading 4 39 2" xfId="10855" xr:uid="{00000000-0005-0000-0000-0000502A0000}"/>
    <cellStyle name="Heading 4 39 3" xfId="10856" xr:uid="{00000000-0005-0000-0000-0000512A0000}"/>
    <cellStyle name="Heading 4 4" xfId="10857" xr:uid="{00000000-0005-0000-0000-0000522A0000}"/>
    <cellStyle name="Heading 4 4 2" xfId="10858" xr:uid="{00000000-0005-0000-0000-0000532A0000}"/>
    <cellStyle name="Heading 4 4 3" xfId="10859" xr:uid="{00000000-0005-0000-0000-0000542A0000}"/>
    <cellStyle name="Heading 4 40" xfId="10860" xr:uid="{00000000-0005-0000-0000-0000552A0000}"/>
    <cellStyle name="Heading 4 40 2" xfId="10861" xr:uid="{00000000-0005-0000-0000-0000562A0000}"/>
    <cellStyle name="Heading 4 40 3" xfId="10862" xr:uid="{00000000-0005-0000-0000-0000572A0000}"/>
    <cellStyle name="Heading 4 41" xfId="10863" xr:uid="{00000000-0005-0000-0000-0000582A0000}"/>
    <cellStyle name="Heading 4 41 2" xfId="10864" xr:uid="{00000000-0005-0000-0000-0000592A0000}"/>
    <cellStyle name="Heading 4 41 3" xfId="10865" xr:uid="{00000000-0005-0000-0000-00005A2A0000}"/>
    <cellStyle name="Heading 4 42" xfId="10866" xr:uid="{00000000-0005-0000-0000-00005B2A0000}"/>
    <cellStyle name="Heading 4 42 2" xfId="10867" xr:uid="{00000000-0005-0000-0000-00005C2A0000}"/>
    <cellStyle name="Heading 4 42 3" xfId="10868" xr:uid="{00000000-0005-0000-0000-00005D2A0000}"/>
    <cellStyle name="Heading 4 43" xfId="10869" xr:uid="{00000000-0005-0000-0000-00005E2A0000}"/>
    <cellStyle name="Heading 4 43 2" xfId="10870" xr:uid="{00000000-0005-0000-0000-00005F2A0000}"/>
    <cellStyle name="Heading 4 43 3" xfId="10871" xr:uid="{00000000-0005-0000-0000-0000602A0000}"/>
    <cellStyle name="Heading 4 44" xfId="10872" xr:uid="{00000000-0005-0000-0000-0000612A0000}"/>
    <cellStyle name="Heading 4 44 2" xfId="10873" xr:uid="{00000000-0005-0000-0000-0000622A0000}"/>
    <cellStyle name="Heading 4 44 3" xfId="10874" xr:uid="{00000000-0005-0000-0000-0000632A0000}"/>
    <cellStyle name="Heading 4 45" xfId="10875" xr:uid="{00000000-0005-0000-0000-0000642A0000}"/>
    <cellStyle name="Heading 4 45 2" xfId="10876" xr:uid="{00000000-0005-0000-0000-0000652A0000}"/>
    <cellStyle name="Heading 4 45 3" xfId="10877" xr:uid="{00000000-0005-0000-0000-0000662A0000}"/>
    <cellStyle name="Heading 4 46" xfId="10878" xr:uid="{00000000-0005-0000-0000-0000672A0000}"/>
    <cellStyle name="Heading 4 46 2" xfId="10879" xr:uid="{00000000-0005-0000-0000-0000682A0000}"/>
    <cellStyle name="Heading 4 46 3" xfId="10880" xr:uid="{00000000-0005-0000-0000-0000692A0000}"/>
    <cellStyle name="Heading 4 47" xfId="10881" xr:uid="{00000000-0005-0000-0000-00006A2A0000}"/>
    <cellStyle name="Heading 4 47 2" xfId="10882" xr:uid="{00000000-0005-0000-0000-00006B2A0000}"/>
    <cellStyle name="Heading 4 48" xfId="10883" xr:uid="{00000000-0005-0000-0000-00006C2A0000}"/>
    <cellStyle name="Heading 4 49" xfId="10884" xr:uid="{00000000-0005-0000-0000-00006D2A0000}"/>
    <cellStyle name="Heading 4 5" xfId="10885" xr:uid="{00000000-0005-0000-0000-00006E2A0000}"/>
    <cellStyle name="Heading 4 5 2" xfId="10886" xr:uid="{00000000-0005-0000-0000-00006F2A0000}"/>
    <cellStyle name="Heading 4 5 3" xfId="10887" xr:uid="{00000000-0005-0000-0000-0000702A0000}"/>
    <cellStyle name="Heading 4 50" xfId="10888" xr:uid="{00000000-0005-0000-0000-0000712A0000}"/>
    <cellStyle name="Heading 4 51" xfId="10889" xr:uid="{00000000-0005-0000-0000-0000722A0000}"/>
    <cellStyle name="Heading 4 6" xfId="10890" xr:uid="{00000000-0005-0000-0000-0000732A0000}"/>
    <cellStyle name="Heading 4 6 2" xfId="10891" xr:uid="{00000000-0005-0000-0000-0000742A0000}"/>
    <cellStyle name="Heading 4 6 3" xfId="10892" xr:uid="{00000000-0005-0000-0000-0000752A0000}"/>
    <cellStyle name="Heading 4 7" xfId="10893" xr:uid="{00000000-0005-0000-0000-0000762A0000}"/>
    <cellStyle name="Heading 4 7 2" xfId="10894" xr:uid="{00000000-0005-0000-0000-0000772A0000}"/>
    <cellStyle name="Heading 4 7 3" xfId="10895" xr:uid="{00000000-0005-0000-0000-0000782A0000}"/>
    <cellStyle name="Heading 4 8" xfId="10896" xr:uid="{00000000-0005-0000-0000-0000792A0000}"/>
    <cellStyle name="Heading 4 8 2" xfId="10897" xr:uid="{00000000-0005-0000-0000-00007A2A0000}"/>
    <cellStyle name="Heading 4 8 3" xfId="10898" xr:uid="{00000000-0005-0000-0000-00007B2A0000}"/>
    <cellStyle name="Heading 4 9" xfId="10899" xr:uid="{00000000-0005-0000-0000-00007C2A0000}"/>
    <cellStyle name="Heading 4 9 2" xfId="10900" xr:uid="{00000000-0005-0000-0000-00007D2A0000}"/>
    <cellStyle name="Heading 4 9 3" xfId="10901" xr:uid="{00000000-0005-0000-0000-00007E2A0000}"/>
    <cellStyle name="Hyperlink" xfId="4" builtinId="8"/>
    <cellStyle name="Hyperlink 10" xfId="10902" xr:uid="{00000000-0005-0000-0000-0000802A0000}"/>
    <cellStyle name="Hyperlink 10 2" xfId="10903" xr:uid="{00000000-0005-0000-0000-0000812A0000}"/>
    <cellStyle name="Hyperlink 10 3" xfId="10904" xr:uid="{00000000-0005-0000-0000-0000822A0000}"/>
    <cellStyle name="Hyperlink 11" xfId="10905" xr:uid="{00000000-0005-0000-0000-0000832A0000}"/>
    <cellStyle name="Hyperlink 11 2" xfId="10906" xr:uid="{00000000-0005-0000-0000-0000842A0000}"/>
    <cellStyle name="Hyperlink 11 3" xfId="10907" xr:uid="{00000000-0005-0000-0000-0000852A0000}"/>
    <cellStyle name="Hyperlink 12" xfId="10908" xr:uid="{00000000-0005-0000-0000-0000862A0000}"/>
    <cellStyle name="Hyperlink 12 2" xfId="10909" xr:uid="{00000000-0005-0000-0000-0000872A0000}"/>
    <cellStyle name="Hyperlink 12 3" xfId="10910" xr:uid="{00000000-0005-0000-0000-0000882A0000}"/>
    <cellStyle name="Hyperlink 13" xfId="10911" xr:uid="{00000000-0005-0000-0000-0000892A0000}"/>
    <cellStyle name="Hyperlink 13 2" xfId="10912" xr:uid="{00000000-0005-0000-0000-00008A2A0000}"/>
    <cellStyle name="Hyperlink 13 3" xfId="10913" xr:uid="{00000000-0005-0000-0000-00008B2A0000}"/>
    <cellStyle name="Hyperlink 14" xfId="10914" xr:uid="{00000000-0005-0000-0000-00008C2A0000}"/>
    <cellStyle name="Hyperlink 14 2" xfId="10915" xr:uid="{00000000-0005-0000-0000-00008D2A0000}"/>
    <cellStyle name="Hyperlink 14 3" xfId="10916" xr:uid="{00000000-0005-0000-0000-00008E2A0000}"/>
    <cellStyle name="Hyperlink 15" xfId="10917" xr:uid="{00000000-0005-0000-0000-00008F2A0000}"/>
    <cellStyle name="Hyperlink 15 2" xfId="10918" xr:uid="{00000000-0005-0000-0000-0000902A0000}"/>
    <cellStyle name="Hyperlink 15 3" xfId="10919" xr:uid="{00000000-0005-0000-0000-0000912A0000}"/>
    <cellStyle name="Hyperlink 16" xfId="10920" xr:uid="{00000000-0005-0000-0000-0000922A0000}"/>
    <cellStyle name="Hyperlink 16 2" xfId="10921" xr:uid="{00000000-0005-0000-0000-0000932A0000}"/>
    <cellStyle name="Hyperlink 16 3" xfId="10922" xr:uid="{00000000-0005-0000-0000-0000942A0000}"/>
    <cellStyle name="Hyperlink 17" xfId="10923" xr:uid="{00000000-0005-0000-0000-0000952A0000}"/>
    <cellStyle name="Hyperlink 17 2" xfId="10924" xr:uid="{00000000-0005-0000-0000-0000962A0000}"/>
    <cellStyle name="Hyperlink 17 3" xfId="10925" xr:uid="{00000000-0005-0000-0000-0000972A0000}"/>
    <cellStyle name="Hyperlink 18" xfId="10926" xr:uid="{00000000-0005-0000-0000-0000982A0000}"/>
    <cellStyle name="Hyperlink 18 2" xfId="10927" xr:uid="{00000000-0005-0000-0000-0000992A0000}"/>
    <cellStyle name="Hyperlink 18 3" xfId="10928" xr:uid="{00000000-0005-0000-0000-00009A2A0000}"/>
    <cellStyle name="Hyperlink 19" xfId="10929" xr:uid="{00000000-0005-0000-0000-00009B2A0000}"/>
    <cellStyle name="Hyperlink 19 2" xfId="10930" xr:uid="{00000000-0005-0000-0000-00009C2A0000}"/>
    <cellStyle name="Hyperlink 19 3" xfId="10931" xr:uid="{00000000-0005-0000-0000-00009D2A0000}"/>
    <cellStyle name="Hyperlink 2" xfId="10932" xr:uid="{00000000-0005-0000-0000-00009E2A0000}"/>
    <cellStyle name="Hyperlink 2 2" xfId="10933" xr:uid="{00000000-0005-0000-0000-00009F2A0000}"/>
    <cellStyle name="Hyperlink 2 2 2" xfId="10934" xr:uid="{00000000-0005-0000-0000-0000A02A0000}"/>
    <cellStyle name="Hyperlink 2 2 2 2" xfId="10935" xr:uid="{00000000-0005-0000-0000-0000A12A0000}"/>
    <cellStyle name="Hyperlink 2 2 3" xfId="10936" xr:uid="{00000000-0005-0000-0000-0000A22A0000}"/>
    <cellStyle name="Hyperlink 2 2 4" xfId="10937" xr:uid="{00000000-0005-0000-0000-0000A32A0000}"/>
    <cellStyle name="Hyperlink 2 2 5" xfId="10938" xr:uid="{00000000-0005-0000-0000-0000A42A0000}"/>
    <cellStyle name="Hyperlink 2 3" xfId="10939" xr:uid="{00000000-0005-0000-0000-0000A52A0000}"/>
    <cellStyle name="Hyperlink 2 3 2" xfId="10940" xr:uid="{00000000-0005-0000-0000-0000A62A0000}"/>
    <cellStyle name="Hyperlink 2 3 3" xfId="10941" xr:uid="{00000000-0005-0000-0000-0000A72A0000}"/>
    <cellStyle name="Hyperlink 2 4" xfId="10942" xr:uid="{00000000-0005-0000-0000-0000A82A0000}"/>
    <cellStyle name="Hyperlink 2 4 2" xfId="10943" xr:uid="{00000000-0005-0000-0000-0000A92A0000}"/>
    <cellStyle name="Hyperlink 2 5" xfId="10944" xr:uid="{00000000-0005-0000-0000-0000AA2A0000}"/>
    <cellStyle name="Hyperlink 2 6" xfId="10945" xr:uid="{00000000-0005-0000-0000-0000AB2A0000}"/>
    <cellStyle name="Hyperlink 2 7" xfId="10946" xr:uid="{00000000-0005-0000-0000-0000AC2A0000}"/>
    <cellStyle name="Hyperlink 20" xfId="10947" xr:uid="{00000000-0005-0000-0000-0000AD2A0000}"/>
    <cellStyle name="Hyperlink 20 2" xfId="10948" xr:uid="{00000000-0005-0000-0000-0000AE2A0000}"/>
    <cellStyle name="Hyperlink 20 3" xfId="10949" xr:uid="{00000000-0005-0000-0000-0000AF2A0000}"/>
    <cellStyle name="Hyperlink 21" xfId="10950" xr:uid="{00000000-0005-0000-0000-0000B02A0000}"/>
    <cellStyle name="Hyperlink 21 2" xfId="10951" xr:uid="{00000000-0005-0000-0000-0000B12A0000}"/>
    <cellStyle name="Hyperlink 21 3" xfId="10952" xr:uid="{00000000-0005-0000-0000-0000B22A0000}"/>
    <cellStyle name="Hyperlink 22" xfId="10953" xr:uid="{00000000-0005-0000-0000-0000B32A0000}"/>
    <cellStyle name="Hyperlink 22 2" xfId="10954" xr:uid="{00000000-0005-0000-0000-0000B42A0000}"/>
    <cellStyle name="Hyperlink 22 3" xfId="10955" xr:uid="{00000000-0005-0000-0000-0000B52A0000}"/>
    <cellStyle name="Hyperlink 23" xfId="10956" xr:uid="{00000000-0005-0000-0000-0000B62A0000}"/>
    <cellStyle name="Hyperlink 23 2" xfId="10957" xr:uid="{00000000-0005-0000-0000-0000B72A0000}"/>
    <cellStyle name="Hyperlink 23 3" xfId="10958" xr:uid="{00000000-0005-0000-0000-0000B82A0000}"/>
    <cellStyle name="Hyperlink 24" xfId="10959" xr:uid="{00000000-0005-0000-0000-0000B92A0000}"/>
    <cellStyle name="Hyperlink 24 2" xfId="10960" xr:uid="{00000000-0005-0000-0000-0000BA2A0000}"/>
    <cellStyle name="Hyperlink 24 3" xfId="10961" xr:uid="{00000000-0005-0000-0000-0000BB2A0000}"/>
    <cellStyle name="Hyperlink 25" xfId="10962" xr:uid="{00000000-0005-0000-0000-0000BC2A0000}"/>
    <cellStyle name="Hyperlink 25 2" xfId="10963" xr:uid="{00000000-0005-0000-0000-0000BD2A0000}"/>
    <cellStyle name="Hyperlink 25 3" xfId="10964" xr:uid="{00000000-0005-0000-0000-0000BE2A0000}"/>
    <cellStyle name="Hyperlink 26" xfId="10965" xr:uid="{00000000-0005-0000-0000-0000BF2A0000}"/>
    <cellStyle name="Hyperlink 26 2" xfId="10966" xr:uid="{00000000-0005-0000-0000-0000C02A0000}"/>
    <cellStyle name="Hyperlink 26 3" xfId="10967" xr:uid="{00000000-0005-0000-0000-0000C12A0000}"/>
    <cellStyle name="Hyperlink 27" xfId="10968" xr:uid="{00000000-0005-0000-0000-0000C22A0000}"/>
    <cellStyle name="Hyperlink 27 2" xfId="10969" xr:uid="{00000000-0005-0000-0000-0000C32A0000}"/>
    <cellStyle name="Hyperlink 27 3" xfId="10970" xr:uid="{00000000-0005-0000-0000-0000C42A0000}"/>
    <cellStyle name="Hyperlink 28" xfId="10971" xr:uid="{00000000-0005-0000-0000-0000C52A0000}"/>
    <cellStyle name="Hyperlink 28 2" xfId="10972" xr:uid="{00000000-0005-0000-0000-0000C62A0000}"/>
    <cellStyle name="Hyperlink 28 3" xfId="10973" xr:uid="{00000000-0005-0000-0000-0000C72A0000}"/>
    <cellStyle name="Hyperlink 29" xfId="10974" xr:uid="{00000000-0005-0000-0000-0000C82A0000}"/>
    <cellStyle name="Hyperlink 29 2" xfId="10975" xr:uid="{00000000-0005-0000-0000-0000C92A0000}"/>
    <cellStyle name="Hyperlink 29 3" xfId="10976" xr:uid="{00000000-0005-0000-0000-0000CA2A0000}"/>
    <cellStyle name="Hyperlink 3" xfId="10977" xr:uid="{00000000-0005-0000-0000-0000CB2A0000}"/>
    <cellStyle name="Hyperlink 3 2" xfId="10978" xr:uid="{00000000-0005-0000-0000-0000CC2A0000}"/>
    <cellStyle name="Hyperlink 3 2 2" xfId="10979" xr:uid="{00000000-0005-0000-0000-0000CD2A0000}"/>
    <cellStyle name="Hyperlink 3 3" xfId="10980" xr:uid="{00000000-0005-0000-0000-0000CE2A0000}"/>
    <cellStyle name="Hyperlink 3 4" xfId="10981" xr:uid="{00000000-0005-0000-0000-0000CF2A0000}"/>
    <cellStyle name="Hyperlink 3 5" xfId="10982" xr:uid="{00000000-0005-0000-0000-0000D02A0000}"/>
    <cellStyle name="Hyperlink 30" xfId="10983" xr:uid="{00000000-0005-0000-0000-0000D12A0000}"/>
    <cellStyle name="Hyperlink 30 2" xfId="10984" xr:uid="{00000000-0005-0000-0000-0000D22A0000}"/>
    <cellStyle name="Hyperlink 30 3" xfId="10985" xr:uid="{00000000-0005-0000-0000-0000D32A0000}"/>
    <cellStyle name="Hyperlink 31" xfId="10986" xr:uid="{00000000-0005-0000-0000-0000D42A0000}"/>
    <cellStyle name="Hyperlink 31 2" xfId="10987" xr:uid="{00000000-0005-0000-0000-0000D52A0000}"/>
    <cellStyle name="Hyperlink 31 3" xfId="10988" xr:uid="{00000000-0005-0000-0000-0000D62A0000}"/>
    <cellStyle name="Hyperlink 32" xfId="10989" xr:uid="{00000000-0005-0000-0000-0000D72A0000}"/>
    <cellStyle name="Hyperlink 32 2" xfId="10990" xr:uid="{00000000-0005-0000-0000-0000D82A0000}"/>
    <cellStyle name="Hyperlink 32 3" xfId="10991" xr:uid="{00000000-0005-0000-0000-0000D92A0000}"/>
    <cellStyle name="Hyperlink 33" xfId="10992" xr:uid="{00000000-0005-0000-0000-0000DA2A0000}"/>
    <cellStyle name="Hyperlink 33 2" xfId="10993" xr:uid="{00000000-0005-0000-0000-0000DB2A0000}"/>
    <cellStyle name="Hyperlink 33 3" xfId="10994" xr:uid="{00000000-0005-0000-0000-0000DC2A0000}"/>
    <cellStyle name="Hyperlink 34" xfId="10995" xr:uid="{00000000-0005-0000-0000-0000DD2A0000}"/>
    <cellStyle name="Hyperlink 34 2" xfId="10996" xr:uid="{00000000-0005-0000-0000-0000DE2A0000}"/>
    <cellStyle name="Hyperlink 34 3" xfId="10997" xr:uid="{00000000-0005-0000-0000-0000DF2A0000}"/>
    <cellStyle name="Hyperlink 35" xfId="10998" xr:uid="{00000000-0005-0000-0000-0000E02A0000}"/>
    <cellStyle name="Hyperlink 35 2" xfId="10999" xr:uid="{00000000-0005-0000-0000-0000E12A0000}"/>
    <cellStyle name="Hyperlink 35 3" xfId="11000" xr:uid="{00000000-0005-0000-0000-0000E22A0000}"/>
    <cellStyle name="Hyperlink 36" xfId="11001" xr:uid="{00000000-0005-0000-0000-0000E32A0000}"/>
    <cellStyle name="Hyperlink 36 2" xfId="11002" xr:uid="{00000000-0005-0000-0000-0000E42A0000}"/>
    <cellStyle name="Hyperlink 36 3" xfId="11003" xr:uid="{00000000-0005-0000-0000-0000E52A0000}"/>
    <cellStyle name="Hyperlink 37" xfId="11004" xr:uid="{00000000-0005-0000-0000-0000E62A0000}"/>
    <cellStyle name="Hyperlink 38" xfId="11005" xr:uid="{00000000-0005-0000-0000-0000E72A0000}"/>
    <cellStyle name="Hyperlink 39" xfId="11006" xr:uid="{00000000-0005-0000-0000-0000E82A0000}"/>
    <cellStyle name="Hyperlink 4" xfId="11007" xr:uid="{00000000-0005-0000-0000-0000E92A0000}"/>
    <cellStyle name="Hyperlink 4 2" xfId="11008" xr:uid="{00000000-0005-0000-0000-0000EA2A0000}"/>
    <cellStyle name="Hyperlink 4 3" xfId="11009" xr:uid="{00000000-0005-0000-0000-0000EB2A0000}"/>
    <cellStyle name="Hyperlink 4 4" xfId="11010" xr:uid="{00000000-0005-0000-0000-0000EC2A0000}"/>
    <cellStyle name="Hyperlink 40" xfId="11011" xr:uid="{00000000-0005-0000-0000-0000ED2A0000}"/>
    <cellStyle name="Hyperlink 5" xfId="11012" xr:uid="{00000000-0005-0000-0000-0000EE2A0000}"/>
    <cellStyle name="Hyperlink 5 2" xfId="11013" xr:uid="{00000000-0005-0000-0000-0000EF2A0000}"/>
    <cellStyle name="Hyperlink 5 3" xfId="11014" xr:uid="{00000000-0005-0000-0000-0000F02A0000}"/>
    <cellStyle name="Hyperlink 6" xfId="11015" xr:uid="{00000000-0005-0000-0000-0000F12A0000}"/>
    <cellStyle name="Hyperlink 6 2" xfId="11016" xr:uid="{00000000-0005-0000-0000-0000F22A0000}"/>
    <cellStyle name="Hyperlink 6 3" xfId="11017" xr:uid="{00000000-0005-0000-0000-0000F32A0000}"/>
    <cellStyle name="Hyperlink 7" xfId="11018" xr:uid="{00000000-0005-0000-0000-0000F42A0000}"/>
    <cellStyle name="Hyperlink 7 2" xfId="11019" xr:uid="{00000000-0005-0000-0000-0000F52A0000}"/>
    <cellStyle name="Hyperlink 7 3" xfId="11020" xr:uid="{00000000-0005-0000-0000-0000F62A0000}"/>
    <cellStyle name="Hyperlink 8" xfId="11021" xr:uid="{00000000-0005-0000-0000-0000F72A0000}"/>
    <cellStyle name="Hyperlink 8 2" xfId="11022" xr:uid="{00000000-0005-0000-0000-0000F82A0000}"/>
    <cellStyle name="Hyperlink 8 3" xfId="11023" xr:uid="{00000000-0005-0000-0000-0000F92A0000}"/>
    <cellStyle name="Hyperlink 9" xfId="11024" xr:uid="{00000000-0005-0000-0000-0000FA2A0000}"/>
    <cellStyle name="Hyperlink 9 2" xfId="11025" xr:uid="{00000000-0005-0000-0000-0000FB2A0000}"/>
    <cellStyle name="Hyperlink 9 3" xfId="11026" xr:uid="{00000000-0005-0000-0000-0000FC2A0000}"/>
    <cellStyle name="Input 10" xfId="11027" xr:uid="{00000000-0005-0000-0000-0000FD2A0000}"/>
    <cellStyle name="Input 10 2" xfId="11028" xr:uid="{00000000-0005-0000-0000-0000FE2A0000}"/>
    <cellStyle name="Input 10 2 10" xfId="11029" xr:uid="{00000000-0005-0000-0000-0000FF2A0000}"/>
    <cellStyle name="Input 10 2 10 2" xfId="11030" xr:uid="{00000000-0005-0000-0000-0000002B0000}"/>
    <cellStyle name="Input 10 2 10 2 2" xfId="11031" xr:uid="{00000000-0005-0000-0000-0000012B0000}"/>
    <cellStyle name="Input 10 2 10 2 3" xfId="11032" xr:uid="{00000000-0005-0000-0000-0000022B0000}"/>
    <cellStyle name="Input 10 2 10 3" xfId="11033" xr:uid="{00000000-0005-0000-0000-0000032B0000}"/>
    <cellStyle name="Input 10 2 10 4" xfId="11034" xr:uid="{00000000-0005-0000-0000-0000042B0000}"/>
    <cellStyle name="Input 10 2 11" xfId="11035" xr:uid="{00000000-0005-0000-0000-0000052B0000}"/>
    <cellStyle name="Input 10 2 11 2" xfId="11036" xr:uid="{00000000-0005-0000-0000-0000062B0000}"/>
    <cellStyle name="Input 10 2 11 2 2" xfId="11037" xr:uid="{00000000-0005-0000-0000-0000072B0000}"/>
    <cellStyle name="Input 10 2 11 2 3" xfId="11038" xr:uid="{00000000-0005-0000-0000-0000082B0000}"/>
    <cellStyle name="Input 10 2 11 3" xfId="11039" xr:uid="{00000000-0005-0000-0000-0000092B0000}"/>
    <cellStyle name="Input 10 2 11 4" xfId="11040" xr:uid="{00000000-0005-0000-0000-00000A2B0000}"/>
    <cellStyle name="Input 10 2 12" xfId="11041" xr:uid="{00000000-0005-0000-0000-00000B2B0000}"/>
    <cellStyle name="Input 10 2 12 2" xfId="11042" xr:uid="{00000000-0005-0000-0000-00000C2B0000}"/>
    <cellStyle name="Input 10 2 12 2 2" xfId="11043" xr:uid="{00000000-0005-0000-0000-00000D2B0000}"/>
    <cellStyle name="Input 10 2 12 2 3" xfId="11044" xr:uid="{00000000-0005-0000-0000-00000E2B0000}"/>
    <cellStyle name="Input 10 2 12 3" xfId="11045" xr:uid="{00000000-0005-0000-0000-00000F2B0000}"/>
    <cellStyle name="Input 10 2 12 4" xfId="11046" xr:uid="{00000000-0005-0000-0000-0000102B0000}"/>
    <cellStyle name="Input 10 2 13" xfId="11047" xr:uid="{00000000-0005-0000-0000-0000112B0000}"/>
    <cellStyle name="Input 10 2 13 2" xfId="11048" xr:uid="{00000000-0005-0000-0000-0000122B0000}"/>
    <cellStyle name="Input 10 2 13 2 2" xfId="11049" xr:uid="{00000000-0005-0000-0000-0000132B0000}"/>
    <cellStyle name="Input 10 2 13 2 3" xfId="11050" xr:uid="{00000000-0005-0000-0000-0000142B0000}"/>
    <cellStyle name="Input 10 2 13 3" xfId="11051" xr:uid="{00000000-0005-0000-0000-0000152B0000}"/>
    <cellStyle name="Input 10 2 13 4" xfId="11052" xr:uid="{00000000-0005-0000-0000-0000162B0000}"/>
    <cellStyle name="Input 10 2 14" xfId="11053" xr:uid="{00000000-0005-0000-0000-0000172B0000}"/>
    <cellStyle name="Input 10 2 14 2" xfId="11054" xr:uid="{00000000-0005-0000-0000-0000182B0000}"/>
    <cellStyle name="Input 10 2 14 2 2" xfId="11055" xr:uid="{00000000-0005-0000-0000-0000192B0000}"/>
    <cellStyle name="Input 10 2 14 2 3" xfId="11056" xr:uid="{00000000-0005-0000-0000-00001A2B0000}"/>
    <cellStyle name="Input 10 2 14 3" xfId="11057" xr:uid="{00000000-0005-0000-0000-00001B2B0000}"/>
    <cellStyle name="Input 10 2 14 4" xfId="11058" xr:uid="{00000000-0005-0000-0000-00001C2B0000}"/>
    <cellStyle name="Input 10 2 15" xfId="11059" xr:uid="{00000000-0005-0000-0000-00001D2B0000}"/>
    <cellStyle name="Input 10 2 15 2" xfId="11060" xr:uid="{00000000-0005-0000-0000-00001E2B0000}"/>
    <cellStyle name="Input 10 2 15 2 2" xfId="11061" xr:uid="{00000000-0005-0000-0000-00001F2B0000}"/>
    <cellStyle name="Input 10 2 15 2 3" xfId="11062" xr:uid="{00000000-0005-0000-0000-0000202B0000}"/>
    <cellStyle name="Input 10 2 15 3" xfId="11063" xr:uid="{00000000-0005-0000-0000-0000212B0000}"/>
    <cellStyle name="Input 10 2 15 4" xfId="11064" xr:uid="{00000000-0005-0000-0000-0000222B0000}"/>
    <cellStyle name="Input 10 2 16" xfId="11065" xr:uid="{00000000-0005-0000-0000-0000232B0000}"/>
    <cellStyle name="Input 10 2 16 2" xfId="11066" xr:uid="{00000000-0005-0000-0000-0000242B0000}"/>
    <cellStyle name="Input 10 2 16 2 2" xfId="11067" xr:uid="{00000000-0005-0000-0000-0000252B0000}"/>
    <cellStyle name="Input 10 2 16 2 3" xfId="11068" xr:uid="{00000000-0005-0000-0000-0000262B0000}"/>
    <cellStyle name="Input 10 2 16 3" xfId="11069" xr:uid="{00000000-0005-0000-0000-0000272B0000}"/>
    <cellStyle name="Input 10 2 16 4" xfId="11070" xr:uid="{00000000-0005-0000-0000-0000282B0000}"/>
    <cellStyle name="Input 10 2 17" xfId="11071" xr:uid="{00000000-0005-0000-0000-0000292B0000}"/>
    <cellStyle name="Input 10 2 17 2" xfId="11072" xr:uid="{00000000-0005-0000-0000-00002A2B0000}"/>
    <cellStyle name="Input 10 2 17 2 2" xfId="11073" xr:uid="{00000000-0005-0000-0000-00002B2B0000}"/>
    <cellStyle name="Input 10 2 17 2 3" xfId="11074" xr:uid="{00000000-0005-0000-0000-00002C2B0000}"/>
    <cellStyle name="Input 10 2 17 3" xfId="11075" xr:uid="{00000000-0005-0000-0000-00002D2B0000}"/>
    <cellStyle name="Input 10 2 17 4" xfId="11076" xr:uid="{00000000-0005-0000-0000-00002E2B0000}"/>
    <cellStyle name="Input 10 2 18" xfId="11077" xr:uid="{00000000-0005-0000-0000-00002F2B0000}"/>
    <cellStyle name="Input 10 2 18 2" xfId="11078" xr:uid="{00000000-0005-0000-0000-0000302B0000}"/>
    <cellStyle name="Input 10 2 18 3" xfId="11079" xr:uid="{00000000-0005-0000-0000-0000312B0000}"/>
    <cellStyle name="Input 10 2 18 4" xfId="11080" xr:uid="{00000000-0005-0000-0000-0000322B0000}"/>
    <cellStyle name="Input 10 2 19" xfId="11081" xr:uid="{00000000-0005-0000-0000-0000332B0000}"/>
    <cellStyle name="Input 10 2 2" xfId="11082" xr:uid="{00000000-0005-0000-0000-0000342B0000}"/>
    <cellStyle name="Input 10 2 2 2" xfId="11083" xr:uid="{00000000-0005-0000-0000-0000352B0000}"/>
    <cellStyle name="Input 10 2 2 2 2" xfId="11084" xr:uid="{00000000-0005-0000-0000-0000362B0000}"/>
    <cellStyle name="Input 10 2 2 2 3" xfId="11085" xr:uid="{00000000-0005-0000-0000-0000372B0000}"/>
    <cellStyle name="Input 10 2 2 3" xfId="11086" xr:uid="{00000000-0005-0000-0000-0000382B0000}"/>
    <cellStyle name="Input 10 2 2 4" xfId="11087" xr:uid="{00000000-0005-0000-0000-0000392B0000}"/>
    <cellStyle name="Input 10 2 20" xfId="11088" xr:uid="{00000000-0005-0000-0000-00003A2B0000}"/>
    <cellStyle name="Input 10 2 21" xfId="11089" xr:uid="{00000000-0005-0000-0000-00003B2B0000}"/>
    <cellStyle name="Input 10 2 3" xfId="11090" xr:uid="{00000000-0005-0000-0000-00003C2B0000}"/>
    <cellStyle name="Input 10 2 3 2" xfId="11091" xr:uid="{00000000-0005-0000-0000-00003D2B0000}"/>
    <cellStyle name="Input 10 2 3 2 2" xfId="11092" xr:uid="{00000000-0005-0000-0000-00003E2B0000}"/>
    <cellStyle name="Input 10 2 3 2 3" xfId="11093" xr:uid="{00000000-0005-0000-0000-00003F2B0000}"/>
    <cellStyle name="Input 10 2 3 3" xfId="11094" xr:uid="{00000000-0005-0000-0000-0000402B0000}"/>
    <cellStyle name="Input 10 2 3 4" xfId="11095" xr:uid="{00000000-0005-0000-0000-0000412B0000}"/>
    <cellStyle name="Input 10 2 4" xfId="11096" xr:uid="{00000000-0005-0000-0000-0000422B0000}"/>
    <cellStyle name="Input 10 2 4 2" xfId="11097" xr:uid="{00000000-0005-0000-0000-0000432B0000}"/>
    <cellStyle name="Input 10 2 4 2 2" xfId="11098" xr:uid="{00000000-0005-0000-0000-0000442B0000}"/>
    <cellStyle name="Input 10 2 4 2 3" xfId="11099" xr:uid="{00000000-0005-0000-0000-0000452B0000}"/>
    <cellStyle name="Input 10 2 4 3" xfId="11100" xr:uid="{00000000-0005-0000-0000-0000462B0000}"/>
    <cellStyle name="Input 10 2 4 4" xfId="11101" xr:uid="{00000000-0005-0000-0000-0000472B0000}"/>
    <cellStyle name="Input 10 2 5" xfId="11102" xr:uid="{00000000-0005-0000-0000-0000482B0000}"/>
    <cellStyle name="Input 10 2 5 2" xfId="11103" xr:uid="{00000000-0005-0000-0000-0000492B0000}"/>
    <cellStyle name="Input 10 2 5 2 2" xfId="11104" xr:uid="{00000000-0005-0000-0000-00004A2B0000}"/>
    <cellStyle name="Input 10 2 5 2 3" xfId="11105" xr:uid="{00000000-0005-0000-0000-00004B2B0000}"/>
    <cellStyle name="Input 10 2 5 3" xfId="11106" xr:uid="{00000000-0005-0000-0000-00004C2B0000}"/>
    <cellStyle name="Input 10 2 5 4" xfId="11107" xr:uid="{00000000-0005-0000-0000-00004D2B0000}"/>
    <cellStyle name="Input 10 2 6" xfId="11108" xr:uid="{00000000-0005-0000-0000-00004E2B0000}"/>
    <cellStyle name="Input 10 2 6 2" xfId="11109" xr:uid="{00000000-0005-0000-0000-00004F2B0000}"/>
    <cellStyle name="Input 10 2 6 2 2" xfId="11110" xr:uid="{00000000-0005-0000-0000-0000502B0000}"/>
    <cellStyle name="Input 10 2 6 2 3" xfId="11111" xr:uid="{00000000-0005-0000-0000-0000512B0000}"/>
    <cellStyle name="Input 10 2 6 3" xfId="11112" xr:uid="{00000000-0005-0000-0000-0000522B0000}"/>
    <cellStyle name="Input 10 2 6 4" xfId="11113" xr:uid="{00000000-0005-0000-0000-0000532B0000}"/>
    <cellStyle name="Input 10 2 7" xfId="11114" xr:uid="{00000000-0005-0000-0000-0000542B0000}"/>
    <cellStyle name="Input 10 2 7 2" xfId="11115" xr:uid="{00000000-0005-0000-0000-0000552B0000}"/>
    <cellStyle name="Input 10 2 7 2 2" xfId="11116" xr:uid="{00000000-0005-0000-0000-0000562B0000}"/>
    <cellStyle name="Input 10 2 7 2 3" xfId="11117" xr:uid="{00000000-0005-0000-0000-0000572B0000}"/>
    <cellStyle name="Input 10 2 7 3" xfId="11118" xr:uid="{00000000-0005-0000-0000-0000582B0000}"/>
    <cellStyle name="Input 10 2 7 4" xfId="11119" xr:uid="{00000000-0005-0000-0000-0000592B0000}"/>
    <cellStyle name="Input 10 2 8" xfId="11120" xr:uid="{00000000-0005-0000-0000-00005A2B0000}"/>
    <cellStyle name="Input 10 2 8 2" xfId="11121" xr:uid="{00000000-0005-0000-0000-00005B2B0000}"/>
    <cellStyle name="Input 10 2 8 2 2" xfId="11122" xr:uid="{00000000-0005-0000-0000-00005C2B0000}"/>
    <cellStyle name="Input 10 2 8 2 3" xfId="11123" xr:uid="{00000000-0005-0000-0000-00005D2B0000}"/>
    <cellStyle name="Input 10 2 8 3" xfId="11124" xr:uid="{00000000-0005-0000-0000-00005E2B0000}"/>
    <cellStyle name="Input 10 2 8 4" xfId="11125" xr:uid="{00000000-0005-0000-0000-00005F2B0000}"/>
    <cellStyle name="Input 10 2 9" xfId="11126" xr:uid="{00000000-0005-0000-0000-0000602B0000}"/>
    <cellStyle name="Input 10 2 9 2" xfId="11127" xr:uid="{00000000-0005-0000-0000-0000612B0000}"/>
    <cellStyle name="Input 10 2 9 2 2" xfId="11128" xr:uid="{00000000-0005-0000-0000-0000622B0000}"/>
    <cellStyle name="Input 10 2 9 2 3" xfId="11129" xr:uid="{00000000-0005-0000-0000-0000632B0000}"/>
    <cellStyle name="Input 10 2 9 3" xfId="11130" xr:uid="{00000000-0005-0000-0000-0000642B0000}"/>
    <cellStyle name="Input 10 2 9 4" xfId="11131" xr:uid="{00000000-0005-0000-0000-0000652B0000}"/>
    <cellStyle name="Input 10 3" xfId="11132" xr:uid="{00000000-0005-0000-0000-0000662B0000}"/>
    <cellStyle name="Input 10 3 2" xfId="11133" xr:uid="{00000000-0005-0000-0000-0000672B0000}"/>
    <cellStyle name="Input 10 3 2 2" xfId="11134" xr:uid="{00000000-0005-0000-0000-0000682B0000}"/>
    <cellStyle name="Input 10 3 2 3" xfId="11135" xr:uid="{00000000-0005-0000-0000-0000692B0000}"/>
    <cellStyle name="Input 10 3 3" xfId="11136" xr:uid="{00000000-0005-0000-0000-00006A2B0000}"/>
    <cellStyle name="Input 10 3 4" xfId="11137" xr:uid="{00000000-0005-0000-0000-00006B2B0000}"/>
    <cellStyle name="Input 10 4" xfId="11138" xr:uid="{00000000-0005-0000-0000-00006C2B0000}"/>
    <cellStyle name="Input 10 5" xfId="11139" xr:uid="{00000000-0005-0000-0000-00006D2B0000}"/>
    <cellStyle name="Input 11" xfId="11140" xr:uid="{00000000-0005-0000-0000-00006E2B0000}"/>
    <cellStyle name="Input 11 2" xfId="11141" xr:uid="{00000000-0005-0000-0000-00006F2B0000}"/>
    <cellStyle name="Input 11 2 10" xfId="11142" xr:uid="{00000000-0005-0000-0000-0000702B0000}"/>
    <cellStyle name="Input 11 2 10 2" xfId="11143" xr:uid="{00000000-0005-0000-0000-0000712B0000}"/>
    <cellStyle name="Input 11 2 10 2 2" xfId="11144" xr:uid="{00000000-0005-0000-0000-0000722B0000}"/>
    <cellStyle name="Input 11 2 10 2 3" xfId="11145" xr:uid="{00000000-0005-0000-0000-0000732B0000}"/>
    <cellStyle name="Input 11 2 10 3" xfId="11146" xr:uid="{00000000-0005-0000-0000-0000742B0000}"/>
    <cellStyle name="Input 11 2 10 4" xfId="11147" xr:uid="{00000000-0005-0000-0000-0000752B0000}"/>
    <cellStyle name="Input 11 2 11" xfId="11148" xr:uid="{00000000-0005-0000-0000-0000762B0000}"/>
    <cellStyle name="Input 11 2 11 2" xfId="11149" xr:uid="{00000000-0005-0000-0000-0000772B0000}"/>
    <cellStyle name="Input 11 2 11 2 2" xfId="11150" xr:uid="{00000000-0005-0000-0000-0000782B0000}"/>
    <cellStyle name="Input 11 2 11 2 3" xfId="11151" xr:uid="{00000000-0005-0000-0000-0000792B0000}"/>
    <cellStyle name="Input 11 2 11 3" xfId="11152" xr:uid="{00000000-0005-0000-0000-00007A2B0000}"/>
    <cellStyle name="Input 11 2 11 4" xfId="11153" xr:uid="{00000000-0005-0000-0000-00007B2B0000}"/>
    <cellStyle name="Input 11 2 12" xfId="11154" xr:uid="{00000000-0005-0000-0000-00007C2B0000}"/>
    <cellStyle name="Input 11 2 12 2" xfId="11155" xr:uid="{00000000-0005-0000-0000-00007D2B0000}"/>
    <cellStyle name="Input 11 2 12 2 2" xfId="11156" xr:uid="{00000000-0005-0000-0000-00007E2B0000}"/>
    <cellStyle name="Input 11 2 12 2 3" xfId="11157" xr:uid="{00000000-0005-0000-0000-00007F2B0000}"/>
    <cellStyle name="Input 11 2 12 3" xfId="11158" xr:uid="{00000000-0005-0000-0000-0000802B0000}"/>
    <cellStyle name="Input 11 2 12 4" xfId="11159" xr:uid="{00000000-0005-0000-0000-0000812B0000}"/>
    <cellStyle name="Input 11 2 13" xfId="11160" xr:uid="{00000000-0005-0000-0000-0000822B0000}"/>
    <cellStyle name="Input 11 2 13 2" xfId="11161" xr:uid="{00000000-0005-0000-0000-0000832B0000}"/>
    <cellStyle name="Input 11 2 13 2 2" xfId="11162" xr:uid="{00000000-0005-0000-0000-0000842B0000}"/>
    <cellStyle name="Input 11 2 13 2 3" xfId="11163" xr:uid="{00000000-0005-0000-0000-0000852B0000}"/>
    <cellStyle name="Input 11 2 13 3" xfId="11164" xr:uid="{00000000-0005-0000-0000-0000862B0000}"/>
    <cellStyle name="Input 11 2 13 4" xfId="11165" xr:uid="{00000000-0005-0000-0000-0000872B0000}"/>
    <cellStyle name="Input 11 2 14" xfId="11166" xr:uid="{00000000-0005-0000-0000-0000882B0000}"/>
    <cellStyle name="Input 11 2 14 2" xfId="11167" xr:uid="{00000000-0005-0000-0000-0000892B0000}"/>
    <cellStyle name="Input 11 2 14 2 2" xfId="11168" xr:uid="{00000000-0005-0000-0000-00008A2B0000}"/>
    <cellStyle name="Input 11 2 14 2 3" xfId="11169" xr:uid="{00000000-0005-0000-0000-00008B2B0000}"/>
    <cellStyle name="Input 11 2 14 3" xfId="11170" xr:uid="{00000000-0005-0000-0000-00008C2B0000}"/>
    <cellStyle name="Input 11 2 14 4" xfId="11171" xr:uid="{00000000-0005-0000-0000-00008D2B0000}"/>
    <cellStyle name="Input 11 2 15" xfId="11172" xr:uid="{00000000-0005-0000-0000-00008E2B0000}"/>
    <cellStyle name="Input 11 2 15 2" xfId="11173" xr:uid="{00000000-0005-0000-0000-00008F2B0000}"/>
    <cellStyle name="Input 11 2 15 2 2" xfId="11174" xr:uid="{00000000-0005-0000-0000-0000902B0000}"/>
    <cellStyle name="Input 11 2 15 2 3" xfId="11175" xr:uid="{00000000-0005-0000-0000-0000912B0000}"/>
    <cellStyle name="Input 11 2 15 3" xfId="11176" xr:uid="{00000000-0005-0000-0000-0000922B0000}"/>
    <cellStyle name="Input 11 2 15 4" xfId="11177" xr:uid="{00000000-0005-0000-0000-0000932B0000}"/>
    <cellStyle name="Input 11 2 16" xfId="11178" xr:uid="{00000000-0005-0000-0000-0000942B0000}"/>
    <cellStyle name="Input 11 2 16 2" xfId="11179" xr:uid="{00000000-0005-0000-0000-0000952B0000}"/>
    <cellStyle name="Input 11 2 16 2 2" xfId="11180" xr:uid="{00000000-0005-0000-0000-0000962B0000}"/>
    <cellStyle name="Input 11 2 16 2 3" xfId="11181" xr:uid="{00000000-0005-0000-0000-0000972B0000}"/>
    <cellStyle name="Input 11 2 16 3" xfId="11182" xr:uid="{00000000-0005-0000-0000-0000982B0000}"/>
    <cellStyle name="Input 11 2 16 4" xfId="11183" xr:uid="{00000000-0005-0000-0000-0000992B0000}"/>
    <cellStyle name="Input 11 2 17" xfId="11184" xr:uid="{00000000-0005-0000-0000-00009A2B0000}"/>
    <cellStyle name="Input 11 2 17 2" xfId="11185" xr:uid="{00000000-0005-0000-0000-00009B2B0000}"/>
    <cellStyle name="Input 11 2 17 2 2" xfId="11186" xr:uid="{00000000-0005-0000-0000-00009C2B0000}"/>
    <cellStyle name="Input 11 2 17 2 3" xfId="11187" xr:uid="{00000000-0005-0000-0000-00009D2B0000}"/>
    <cellStyle name="Input 11 2 17 3" xfId="11188" xr:uid="{00000000-0005-0000-0000-00009E2B0000}"/>
    <cellStyle name="Input 11 2 17 4" xfId="11189" xr:uid="{00000000-0005-0000-0000-00009F2B0000}"/>
    <cellStyle name="Input 11 2 18" xfId="11190" xr:uid="{00000000-0005-0000-0000-0000A02B0000}"/>
    <cellStyle name="Input 11 2 18 2" xfId="11191" xr:uid="{00000000-0005-0000-0000-0000A12B0000}"/>
    <cellStyle name="Input 11 2 18 3" xfId="11192" xr:uid="{00000000-0005-0000-0000-0000A22B0000}"/>
    <cellStyle name="Input 11 2 18 4" xfId="11193" xr:uid="{00000000-0005-0000-0000-0000A32B0000}"/>
    <cellStyle name="Input 11 2 19" xfId="11194" xr:uid="{00000000-0005-0000-0000-0000A42B0000}"/>
    <cellStyle name="Input 11 2 2" xfId="11195" xr:uid="{00000000-0005-0000-0000-0000A52B0000}"/>
    <cellStyle name="Input 11 2 2 2" xfId="11196" xr:uid="{00000000-0005-0000-0000-0000A62B0000}"/>
    <cellStyle name="Input 11 2 2 2 2" xfId="11197" xr:uid="{00000000-0005-0000-0000-0000A72B0000}"/>
    <cellStyle name="Input 11 2 2 2 3" xfId="11198" xr:uid="{00000000-0005-0000-0000-0000A82B0000}"/>
    <cellStyle name="Input 11 2 2 3" xfId="11199" xr:uid="{00000000-0005-0000-0000-0000A92B0000}"/>
    <cellStyle name="Input 11 2 2 4" xfId="11200" xr:uid="{00000000-0005-0000-0000-0000AA2B0000}"/>
    <cellStyle name="Input 11 2 20" xfId="11201" xr:uid="{00000000-0005-0000-0000-0000AB2B0000}"/>
    <cellStyle name="Input 11 2 21" xfId="11202" xr:uid="{00000000-0005-0000-0000-0000AC2B0000}"/>
    <cellStyle name="Input 11 2 3" xfId="11203" xr:uid="{00000000-0005-0000-0000-0000AD2B0000}"/>
    <cellStyle name="Input 11 2 3 2" xfId="11204" xr:uid="{00000000-0005-0000-0000-0000AE2B0000}"/>
    <cellStyle name="Input 11 2 3 2 2" xfId="11205" xr:uid="{00000000-0005-0000-0000-0000AF2B0000}"/>
    <cellStyle name="Input 11 2 3 2 3" xfId="11206" xr:uid="{00000000-0005-0000-0000-0000B02B0000}"/>
    <cellStyle name="Input 11 2 3 3" xfId="11207" xr:uid="{00000000-0005-0000-0000-0000B12B0000}"/>
    <cellStyle name="Input 11 2 3 4" xfId="11208" xr:uid="{00000000-0005-0000-0000-0000B22B0000}"/>
    <cellStyle name="Input 11 2 4" xfId="11209" xr:uid="{00000000-0005-0000-0000-0000B32B0000}"/>
    <cellStyle name="Input 11 2 4 2" xfId="11210" xr:uid="{00000000-0005-0000-0000-0000B42B0000}"/>
    <cellStyle name="Input 11 2 4 2 2" xfId="11211" xr:uid="{00000000-0005-0000-0000-0000B52B0000}"/>
    <cellStyle name="Input 11 2 4 2 3" xfId="11212" xr:uid="{00000000-0005-0000-0000-0000B62B0000}"/>
    <cellStyle name="Input 11 2 4 3" xfId="11213" xr:uid="{00000000-0005-0000-0000-0000B72B0000}"/>
    <cellStyle name="Input 11 2 4 4" xfId="11214" xr:uid="{00000000-0005-0000-0000-0000B82B0000}"/>
    <cellStyle name="Input 11 2 5" xfId="11215" xr:uid="{00000000-0005-0000-0000-0000B92B0000}"/>
    <cellStyle name="Input 11 2 5 2" xfId="11216" xr:uid="{00000000-0005-0000-0000-0000BA2B0000}"/>
    <cellStyle name="Input 11 2 5 2 2" xfId="11217" xr:uid="{00000000-0005-0000-0000-0000BB2B0000}"/>
    <cellStyle name="Input 11 2 5 2 3" xfId="11218" xr:uid="{00000000-0005-0000-0000-0000BC2B0000}"/>
    <cellStyle name="Input 11 2 5 3" xfId="11219" xr:uid="{00000000-0005-0000-0000-0000BD2B0000}"/>
    <cellStyle name="Input 11 2 5 4" xfId="11220" xr:uid="{00000000-0005-0000-0000-0000BE2B0000}"/>
    <cellStyle name="Input 11 2 6" xfId="11221" xr:uid="{00000000-0005-0000-0000-0000BF2B0000}"/>
    <cellStyle name="Input 11 2 6 2" xfId="11222" xr:uid="{00000000-0005-0000-0000-0000C02B0000}"/>
    <cellStyle name="Input 11 2 6 2 2" xfId="11223" xr:uid="{00000000-0005-0000-0000-0000C12B0000}"/>
    <cellStyle name="Input 11 2 6 2 3" xfId="11224" xr:uid="{00000000-0005-0000-0000-0000C22B0000}"/>
    <cellStyle name="Input 11 2 6 3" xfId="11225" xr:uid="{00000000-0005-0000-0000-0000C32B0000}"/>
    <cellStyle name="Input 11 2 6 4" xfId="11226" xr:uid="{00000000-0005-0000-0000-0000C42B0000}"/>
    <cellStyle name="Input 11 2 7" xfId="11227" xr:uid="{00000000-0005-0000-0000-0000C52B0000}"/>
    <cellStyle name="Input 11 2 7 2" xfId="11228" xr:uid="{00000000-0005-0000-0000-0000C62B0000}"/>
    <cellStyle name="Input 11 2 7 2 2" xfId="11229" xr:uid="{00000000-0005-0000-0000-0000C72B0000}"/>
    <cellStyle name="Input 11 2 7 2 3" xfId="11230" xr:uid="{00000000-0005-0000-0000-0000C82B0000}"/>
    <cellStyle name="Input 11 2 7 3" xfId="11231" xr:uid="{00000000-0005-0000-0000-0000C92B0000}"/>
    <cellStyle name="Input 11 2 7 4" xfId="11232" xr:uid="{00000000-0005-0000-0000-0000CA2B0000}"/>
    <cellStyle name="Input 11 2 8" xfId="11233" xr:uid="{00000000-0005-0000-0000-0000CB2B0000}"/>
    <cellStyle name="Input 11 2 8 2" xfId="11234" xr:uid="{00000000-0005-0000-0000-0000CC2B0000}"/>
    <cellStyle name="Input 11 2 8 2 2" xfId="11235" xr:uid="{00000000-0005-0000-0000-0000CD2B0000}"/>
    <cellStyle name="Input 11 2 8 2 3" xfId="11236" xr:uid="{00000000-0005-0000-0000-0000CE2B0000}"/>
    <cellStyle name="Input 11 2 8 3" xfId="11237" xr:uid="{00000000-0005-0000-0000-0000CF2B0000}"/>
    <cellStyle name="Input 11 2 8 4" xfId="11238" xr:uid="{00000000-0005-0000-0000-0000D02B0000}"/>
    <cellStyle name="Input 11 2 9" xfId="11239" xr:uid="{00000000-0005-0000-0000-0000D12B0000}"/>
    <cellStyle name="Input 11 2 9 2" xfId="11240" xr:uid="{00000000-0005-0000-0000-0000D22B0000}"/>
    <cellStyle name="Input 11 2 9 2 2" xfId="11241" xr:uid="{00000000-0005-0000-0000-0000D32B0000}"/>
    <cellStyle name="Input 11 2 9 2 3" xfId="11242" xr:uid="{00000000-0005-0000-0000-0000D42B0000}"/>
    <cellStyle name="Input 11 2 9 3" xfId="11243" xr:uid="{00000000-0005-0000-0000-0000D52B0000}"/>
    <cellStyle name="Input 11 2 9 4" xfId="11244" xr:uid="{00000000-0005-0000-0000-0000D62B0000}"/>
    <cellStyle name="Input 11 3" xfId="11245" xr:uid="{00000000-0005-0000-0000-0000D72B0000}"/>
    <cellStyle name="Input 11 3 2" xfId="11246" xr:uid="{00000000-0005-0000-0000-0000D82B0000}"/>
    <cellStyle name="Input 11 3 2 2" xfId="11247" xr:uid="{00000000-0005-0000-0000-0000D92B0000}"/>
    <cellStyle name="Input 11 3 2 3" xfId="11248" xr:uid="{00000000-0005-0000-0000-0000DA2B0000}"/>
    <cellStyle name="Input 11 3 3" xfId="11249" xr:uid="{00000000-0005-0000-0000-0000DB2B0000}"/>
    <cellStyle name="Input 11 3 4" xfId="11250" xr:uid="{00000000-0005-0000-0000-0000DC2B0000}"/>
    <cellStyle name="Input 11 4" xfId="11251" xr:uid="{00000000-0005-0000-0000-0000DD2B0000}"/>
    <cellStyle name="Input 11 5" xfId="11252" xr:uid="{00000000-0005-0000-0000-0000DE2B0000}"/>
    <cellStyle name="Input 12" xfId="11253" xr:uid="{00000000-0005-0000-0000-0000DF2B0000}"/>
    <cellStyle name="Input 12 2" xfId="11254" xr:uid="{00000000-0005-0000-0000-0000E02B0000}"/>
    <cellStyle name="Input 12 2 10" xfId="11255" xr:uid="{00000000-0005-0000-0000-0000E12B0000}"/>
    <cellStyle name="Input 12 2 10 2" xfId="11256" xr:uid="{00000000-0005-0000-0000-0000E22B0000}"/>
    <cellStyle name="Input 12 2 10 2 2" xfId="11257" xr:uid="{00000000-0005-0000-0000-0000E32B0000}"/>
    <cellStyle name="Input 12 2 10 2 3" xfId="11258" xr:uid="{00000000-0005-0000-0000-0000E42B0000}"/>
    <cellStyle name="Input 12 2 10 3" xfId="11259" xr:uid="{00000000-0005-0000-0000-0000E52B0000}"/>
    <cellStyle name="Input 12 2 10 4" xfId="11260" xr:uid="{00000000-0005-0000-0000-0000E62B0000}"/>
    <cellStyle name="Input 12 2 11" xfId="11261" xr:uid="{00000000-0005-0000-0000-0000E72B0000}"/>
    <cellStyle name="Input 12 2 11 2" xfId="11262" xr:uid="{00000000-0005-0000-0000-0000E82B0000}"/>
    <cellStyle name="Input 12 2 11 2 2" xfId="11263" xr:uid="{00000000-0005-0000-0000-0000E92B0000}"/>
    <cellStyle name="Input 12 2 11 2 3" xfId="11264" xr:uid="{00000000-0005-0000-0000-0000EA2B0000}"/>
    <cellStyle name="Input 12 2 11 3" xfId="11265" xr:uid="{00000000-0005-0000-0000-0000EB2B0000}"/>
    <cellStyle name="Input 12 2 11 4" xfId="11266" xr:uid="{00000000-0005-0000-0000-0000EC2B0000}"/>
    <cellStyle name="Input 12 2 12" xfId="11267" xr:uid="{00000000-0005-0000-0000-0000ED2B0000}"/>
    <cellStyle name="Input 12 2 12 2" xfId="11268" xr:uid="{00000000-0005-0000-0000-0000EE2B0000}"/>
    <cellStyle name="Input 12 2 12 2 2" xfId="11269" xr:uid="{00000000-0005-0000-0000-0000EF2B0000}"/>
    <cellStyle name="Input 12 2 12 2 3" xfId="11270" xr:uid="{00000000-0005-0000-0000-0000F02B0000}"/>
    <cellStyle name="Input 12 2 12 3" xfId="11271" xr:uid="{00000000-0005-0000-0000-0000F12B0000}"/>
    <cellStyle name="Input 12 2 12 4" xfId="11272" xr:uid="{00000000-0005-0000-0000-0000F22B0000}"/>
    <cellStyle name="Input 12 2 13" xfId="11273" xr:uid="{00000000-0005-0000-0000-0000F32B0000}"/>
    <cellStyle name="Input 12 2 13 2" xfId="11274" xr:uid="{00000000-0005-0000-0000-0000F42B0000}"/>
    <cellStyle name="Input 12 2 13 2 2" xfId="11275" xr:uid="{00000000-0005-0000-0000-0000F52B0000}"/>
    <cellStyle name="Input 12 2 13 2 3" xfId="11276" xr:uid="{00000000-0005-0000-0000-0000F62B0000}"/>
    <cellStyle name="Input 12 2 13 3" xfId="11277" xr:uid="{00000000-0005-0000-0000-0000F72B0000}"/>
    <cellStyle name="Input 12 2 13 4" xfId="11278" xr:uid="{00000000-0005-0000-0000-0000F82B0000}"/>
    <cellStyle name="Input 12 2 14" xfId="11279" xr:uid="{00000000-0005-0000-0000-0000F92B0000}"/>
    <cellStyle name="Input 12 2 14 2" xfId="11280" xr:uid="{00000000-0005-0000-0000-0000FA2B0000}"/>
    <cellStyle name="Input 12 2 14 2 2" xfId="11281" xr:uid="{00000000-0005-0000-0000-0000FB2B0000}"/>
    <cellStyle name="Input 12 2 14 2 3" xfId="11282" xr:uid="{00000000-0005-0000-0000-0000FC2B0000}"/>
    <cellStyle name="Input 12 2 14 3" xfId="11283" xr:uid="{00000000-0005-0000-0000-0000FD2B0000}"/>
    <cellStyle name="Input 12 2 14 4" xfId="11284" xr:uid="{00000000-0005-0000-0000-0000FE2B0000}"/>
    <cellStyle name="Input 12 2 15" xfId="11285" xr:uid="{00000000-0005-0000-0000-0000FF2B0000}"/>
    <cellStyle name="Input 12 2 15 2" xfId="11286" xr:uid="{00000000-0005-0000-0000-0000002C0000}"/>
    <cellStyle name="Input 12 2 15 2 2" xfId="11287" xr:uid="{00000000-0005-0000-0000-0000012C0000}"/>
    <cellStyle name="Input 12 2 15 2 3" xfId="11288" xr:uid="{00000000-0005-0000-0000-0000022C0000}"/>
    <cellStyle name="Input 12 2 15 3" xfId="11289" xr:uid="{00000000-0005-0000-0000-0000032C0000}"/>
    <cellStyle name="Input 12 2 15 4" xfId="11290" xr:uid="{00000000-0005-0000-0000-0000042C0000}"/>
    <cellStyle name="Input 12 2 16" xfId="11291" xr:uid="{00000000-0005-0000-0000-0000052C0000}"/>
    <cellStyle name="Input 12 2 16 2" xfId="11292" xr:uid="{00000000-0005-0000-0000-0000062C0000}"/>
    <cellStyle name="Input 12 2 16 2 2" xfId="11293" xr:uid="{00000000-0005-0000-0000-0000072C0000}"/>
    <cellStyle name="Input 12 2 16 2 3" xfId="11294" xr:uid="{00000000-0005-0000-0000-0000082C0000}"/>
    <cellStyle name="Input 12 2 16 3" xfId="11295" xr:uid="{00000000-0005-0000-0000-0000092C0000}"/>
    <cellStyle name="Input 12 2 16 4" xfId="11296" xr:uid="{00000000-0005-0000-0000-00000A2C0000}"/>
    <cellStyle name="Input 12 2 17" xfId="11297" xr:uid="{00000000-0005-0000-0000-00000B2C0000}"/>
    <cellStyle name="Input 12 2 17 2" xfId="11298" xr:uid="{00000000-0005-0000-0000-00000C2C0000}"/>
    <cellStyle name="Input 12 2 17 2 2" xfId="11299" xr:uid="{00000000-0005-0000-0000-00000D2C0000}"/>
    <cellStyle name="Input 12 2 17 2 3" xfId="11300" xr:uid="{00000000-0005-0000-0000-00000E2C0000}"/>
    <cellStyle name="Input 12 2 17 3" xfId="11301" xr:uid="{00000000-0005-0000-0000-00000F2C0000}"/>
    <cellStyle name="Input 12 2 17 4" xfId="11302" xr:uid="{00000000-0005-0000-0000-0000102C0000}"/>
    <cellStyle name="Input 12 2 18" xfId="11303" xr:uid="{00000000-0005-0000-0000-0000112C0000}"/>
    <cellStyle name="Input 12 2 18 2" xfId="11304" xr:uid="{00000000-0005-0000-0000-0000122C0000}"/>
    <cellStyle name="Input 12 2 18 3" xfId="11305" xr:uid="{00000000-0005-0000-0000-0000132C0000}"/>
    <cellStyle name="Input 12 2 18 4" xfId="11306" xr:uid="{00000000-0005-0000-0000-0000142C0000}"/>
    <cellStyle name="Input 12 2 19" xfId="11307" xr:uid="{00000000-0005-0000-0000-0000152C0000}"/>
    <cellStyle name="Input 12 2 2" xfId="11308" xr:uid="{00000000-0005-0000-0000-0000162C0000}"/>
    <cellStyle name="Input 12 2 2 2" xfId="11309" xr:uid="{00000000-0005-0000-0000-0000172C0000}"/>
    <cellStyle name="Input 12 2 2 2 2" xfId="11310" xr:uid="{00000000-0005-0000-0000-0000182C0000}"/>
    <cellStyle name="Input 12 2 2 2 3" xfId="11311" xr:uid="{00000000-0005-0000-0000-0000192C0000}"/>
    <cellStyle name="Input 12 2 2 3" xfId="11312" xr:uid="{00000000-0005-0000-0000-00001A2C0000}"/>
    <cellStyle name="Input 12 2 2 4" xfId="11313" xr:uid="{00000000-0005-0000-0000-00001B2C0000}"/>
    <cellStyle name="Input 12 2 20" xfId="11314" xr:uid="{00000000-0005-0000-0000-00001C2C0000}"/>
    <cellStyle name="Input 12 2 21" xfId="11315" xr:uid="{00000000-0005-0000-0000-00001D2C0000}"/>
    <cellStyle name="Input 12 2 3" xfId="11316" xr:uid="{00000000-0005-0000-0000-00001E2C0000}"/>
    <cellStyle name="Input 12 2 3 2" xfId="11317" xr:uid="{00000000-0005-0000-0000-00001F2C0000}"/>
    <cellStyle name="Input 12 2 3 2 2" xfId="11318" xr:uid="{00000000-0005-0000-0000-0000202C0000}"/>
    <cellStyle name="Input 12 2 3 2 3" xfId="11319" xr:uid="{00000000-0005-0000-0000-0000212C0000}"/>
    <cellStyle name="Input 12 2 3 3" xfId="11320" xr:uid="{00000000-0005-0000-0000-0000222C0000}"/>
    <cellStyle name="Input 12 2 3 4" xfId="11321" xr:uid="{00000000-0005-0000-0000-0000232C0000}"/>
    <cellStyle name="Input 12 2 4" xfId="11322" xr:uid="{00000000-0005-0000-0000-0000242C0000}"/>
    <cellStyle name="Input 12 2 4 2" xfId="11323" xr:uid="{00000000-0005-0000-0000-0000252C0000}"/>
    <cellStyle name="Input 12 2 4 2 2" xfId="11324" xr:uid="{00000000-0005-0000-0000-0000262C0000}"/>
    <cellStyle name="Input 12 2 4 2 3" xfId="11325" xr:uid="{00000000-0005-0000-0000-0000272C0000}"/>
    <cellStyle name="Input 12 2 4 3" xfId="11326" xr:uid="{00000000-0005-0000-0000-0000282C0000}"/>
    <cellStyle name="Input 12 2 4 4" xfId="11327" xr:uid="{00000000-0005-0000-0000-0000292C0000}"/>
    <cellStyle name="Input 12 2 5" xfId="11328" xr:uid="{00000000-0005-0000-0000-00002A2C0000}"/>
    <cellStyle name="Input 12 2 5 2" xfId="11329" xr:uid="{00000000-0005-0000-0000-00002B2C0000}"/>
    <cellStyle name="Input 12 2 5 2 2" xfId="11330" xr:uid="{00000000-0005-0000-0000-00002C2C0000}"/>
    <cellStyle name="Input 12 2 5 2 3" xfId="11331" xr:uid="{00000000-0005-0000-0000-00002D2C0000}"/>
    <cellStyle name="Input 12 2 5 3" xfId="11332" xr:uid="{00000000-0005-0000-0000-00002E2C0000}"/>
    <cellStyle name="Input 12 2 5 4" xfId="11333" xr:uid="{00000000-0005-0000-0000-00002F2C0000}"/>
    <cellStyle name="Input 12 2 6" xfId="11334" xr:uid="{00000000-0005-0000-0000-0000302C0000}"/>
    <cellStyle name="Input 12 2 6 2" xfId="11335" xr:uid="{00000000-0005-0000-0000-0000312C0000}"/>
    <cellStyle name="Input 12 2 6 2 2" xfId="11336" xr:uid="{00000000-0005-0000-0000-0000322C0000}"/>
    <cellStyle name="Input 12 2 6 2 3" xfId="11337" xr:uid="{00000000-0005-0000-0000-0000332C0000}"/>
    <cellStyle name="Input 12 2 6 3" xfId="11338" xr:uid="{00000000-0005-0000-0000-0000342C0000}"/>
    <cellStyle name="Input 12 2 6 4" xfId="11339" xr:uid="{00000000-0005-0000-0000-0000352C0000}"/>
    <cellStyle name="Input 12 2 7" xfId="11340" xr:uid="{00000000-0005-0000-0000-0000362C0000}"/>
    <cellStyle name="Input 12 2 7 2" xfId="11341" xr:uid="{00000000-0005-0000-0000-0000372C0000}"/>
    <cellStyle name="Input 12 2 7 2 2" xfId="11342" xr:uid="{00000000-0005-0000-0000-0000382C0000}"/>
    <cellStyle name="Input 12 2 7 2 3" xfId="11343" xr:uid="{00000000-0005-0000-0000-0000392C0000}"/>
    <cellStyle name="Input 12 2 7 3" xfId="11344" xr:uid="{00000000-0005-0000-0000-00003A2C0000}"/>
    <cellStyle name="Input 12 2 7 4" xfId="11345" xr:uid="{00000000-0005-0000-0000-00003B2C0000}"/>
    <cellStyle name="Input 12 2 8" xfId="11346" xr:uid="{00000000-0005-0000-0000-00003C2C0000}"/>
    <cellStyle name="Input 12 2 8 2" xfId="11347" xr:uid="{00000000-0005-0000-0000-00003D2C0000}"/>
    <cellStyle name="Input 12 2 8 2 2" xfId="11348" xr:uid="{00000000-0005-0000-0000-00003E2C0000}"/>
    <cellStyle name="Input 12 2 8 2 3" xfId="11349" xr:uid="{00000000-0005-0000-0000-00003F2C0000}"/>
    <cellStyle name="Input 12 2 8 3" xfId="11350" xr:uid="{00000000-0005-0000-0000-0000402C0000}"/>
    <cellStyle name="Input 12 2 8 4" xfId="11351" xr:uid="{00000000-0005-0000-0000-0000412C0000}"/>
    <cellStyle name="Input 12 2 9" xfId="11352" xr:uid="{00000000-0005-0000-0000-0000422C0000}"/>
    <cellStyle name="Input 12 2 9 2" xfId="11353" xr:uid="{00000000-0005-0000-0000-0000432C0000}"/>
    <cellStyle name="Input 12 2 9 2 2" xfId="11354" xr:uid="{00000000-0005-0000-0000-0000442C0000}"/>
    <cellStyle name="Input 12 2 9 2 3" xfId="11355" xr:uid="{00000000-0005-0000-0000-0000452C0000}"/>
    <cellStyle name="Input 12 2 9 3" xfId="11356" xr:uid="{00000000-0005-0000-0000-0000462C0000}"/>
    <cellStyle name="Input 12 2 9 4" xfId="11357" xr:uid="{00000000-0005-0000-0000-0000472C0000}"/>
    <cellStyle name="Input 12 3" xfId="11358" xr:uid="{00000000-0005-0000-0000-0000482C0000}"/>
    <cellStyle name="Input 12 3 2" xfId="11359" xr:uid="{00000000-0005-0000-0000-0000492C0000}"/>
    <cellStyle name="Input 12 3 2 2" xfId="11360" xr:uid="{00000000-0005-0000-0000-00004A2C0000}"/>
    <cellStyle name="Input 12 3 2 3" xfId="11361" xr:uid="{00000000-0005-0000-0000-00004B2C0000}"/>
    <cellStyle name="Input 12 3 3" xfId="11362" xr:uid="{00000000-0005-0000-0000-00004C2C0000}"/>
    <cellStyle name="Input 12 3 4" xfId="11363" xr:uid="{00000000-0005-0000-0000-00004D2C0000}"/>
    <cellStyle name="Input 12 4" xfId="11364" xr:uid="{00000000-0005-0000-0000-00004E2C0000}"/>
    <cellStyle name="Input 12 5" xfId="11365" xr:uid="{00000000-0005-0000-0000-00004F2C0000}"/>
    <cellStyle name="Input 13" xfId="11366" xr:uid="{00000000-0005-0000-0000-0000502C0000}"/>
    <cellStyle name="Input 13 2" xfId="11367" xr:uid="{00000000-0005-0000-0000-0000512C0000}"/>
    <cellStyle name="Input 13 2 10" xfId="11368" xr:uid="{00000000-0005-0000-0000-0000522C0000}"/>
    <cellStyle name="Input 13 2 10 2" xfId="11369" xr:uid="{00000000-0005-0000-0000-0000532C0000}"/>
    <cellStyle name="Input 13 2 10 2 2" xfId="11370" xr:uid="{00000000-0005-0000-0000-0000542C0000}"/>
    <cellStyle name="Input 13 2 10 2 3" xfId="11371" xr:uid="{00000000-0005-0000-0000-0000552C0000}"/>
    <cellStyle name="Input 13 2 10 3" xfId="11372" xr:uid="{00000000-0005-0000-0000-0000562C0000}"/>
    <cellStyle name="Input 13 2 10 4" xfId="11373" xr:uid="{00000000-0005-0000-0000-0000572C0000}"/>
    <cellStyle name="Input 13 2 11" xfId="11374" xr:uid="{00000000-0005-0000-0000-0000582C0000}"/>
    <cellStyle name="Input 13 2 11 2" xfId="11375" xr:uid="{00000000-0005-0000-0000-0000592C0000}"/>
    <cellStyle name="Input 13 2 11 2 2" xfId="11376" xr:uid="{00000000-0005-0000-0000-00005A2C0000}"/>
    <cellStyle name="Input 13 2 11 2 3" xfId="11377" xr:uid="{00000000-0005-0000-0000-00005B2C0000}"/>
    <cellStyle name="Input 13 2 11 3" xfId="11378" xr:uid="{00000000-0005-0000-0000-00005C2C0000}"/>
    <cellStyle name="Input 13 2 11 4" xfId="11379" xr:uid="{00000000-0005-0000-0000-00005D2C0000}"/>
    <cellStyle name="Input 13 2 12" xfId="11380" xr:uid="{00000000-0005-0000-0000-00005E2C0000}"/>
    <cellStyle name="Input 13 2 12 2" xfId="11381" xr:uid="{00000000-0005-0000-0000-00005F2C0000}"/>
    <cellStyle name="Input 13 2 12 2 2" xfId="11382" xr:uid="{00000000-0005-0000-0000-0000602C0000}"/>
    <cellStyle name="Input 13 2 12 2 3" xfId="11383" xr:uid="{00000000-0005-0000-0000-0000612C0000}"/>
    <cellStyle name="Input 13 2 12 3" xfId="11384" xr:uid="{00000000-0005-0000-0000-0000622C0000}"/>
    <cellStyle name="Input 13 2 12 4" xfId="11385" xr:uid="{00000000-0005-0000-0000-0000632C0000}"/>
    <cellStyle name="Input 13 2 13" xfId="11386" xr:uid="{00000000-0005-0000-0000-0000642C0000}"/>
    <cellStyle name="Input 13 2 13 2" xfId="11387" xr:uid="{00000000-0005-0000-0000-0000652C0000}"/>
    <cellStyle name="Input 13 2 13 2 2" xfId="11388" xr:uid="{00000000-0005-0000-0000-0000662C0000}"/>
    <cellStyle name="Input 13 2 13 2 3" xfId="11389" xr:uid="{00000000-0005-0000-0000-0000672C0000}"/>
    <cellStyle name="Input 13 2 13 3" xfId="11390" xr:uid="{00000000-0005-0000-0000-0000682C0000}"/>
    <cellStyle name="Input 13 2 13 4" xfId="11391" xr:uid="{00000000-0005-0000-0000-0000692C0000}"/>
    <cellStyle name="Input 13 2 14" xfId="11392" xr:uid="{00000000-0005-0000-0000-00006A2C0000}"/>
    <cellStyle name="Input 13 2 14 2" xfId="11393" xr:uid="{00000000-0005-0000-0000-00006B2C0000}"/>
    <cellStyle name="Input 13 2 14 2 2" xfId="11394" xr:uid="{00000000-0005-0000-0000-00006C2C0000}"/>
    <cellStyle name="Input 13 2 14 2 3" xfId="11395" xr:uid="{00000000-0005-0000-0000-00006D2C0000}"/>
    <cellStyle name="Input 13 2 14 3" xfId="11396" xr:uid="{00000000-0005-0000-0000-00006E2C0000}"/>
    <cellStyle name="Input 13 2 14 4" xfId="11397" xr:uid="{00000000-0005-0000-0000-00006F2C0000}"/>
    <cellStyle name="Input 13 2 15" xfId="11398" xr:uid="{00000000-0005-0000-0000-0000702C0000}"/>
    <cellStyle name="Input 13 2 15 2" xfId="11399" xr:uid="{00000000-0005-0000-0000-0000712C0000}"/>
    <cellStyle name="Input 13 2 15 2 2" xfId="11400" xr:uid="{00000000-0005-0000-0000-0000722C0000}"/>
    <cellStyle name="Input 13 2 15 2 3" xfId="11401" xr:uid="{00000000-0005-0000-0000-0000732C0000}"/>
    <cellStyle name="Input 13 2 15 3" xfId="11402" xr:uid="{00000000-0005-0000-0000-0000742C0000}"/>
    <cellStyle name="Input 13 2 15 4" xfId="11403" xr:uid="{00000000-0005-0000-0000-0000752C0000}"/>
    <cellStyle name="Input 13 2 16" xfId="11404" xr:uid="{00000000-0005-0000-0000-0000762C0000}"/>
    <cellStyle name="Input 13 2 16 2" xfId="11405" xr:uid="{00000000-0005-0000-0000-0000772C0000}"/>
    <cellStyle name="Input 13 2 16 2 2" xfId="11406" xr:uid="{00000000-0005-0000-0000-0000782C0000}"/>
    <cellStyle name="Input 13 2 16 2 3" xfId="11407" xr:uid="{00000000-0005-0000-0000-0000792C0000}"/>
    <cellStyle name="Input 13 2 16 3" xfId="11408" xr:uid="{00000000-0005-0000-0000-00007A2C0000}"/>
    <cellStyle name="Input 13 2 16 4" xfId="11409" xr:uid="{00000000-0005-0000-0000-00007B2C0000}"/>
    <cellStyle name="Input 13 2 17" xfId="11410" xr:uid="{00000000-0005-0000-0000-00007C2C0000}"/>
    <cellStyle name="Input 13 2 17 2" xfId="11411" xr:uid="{00000000-0005-0000-0000-00007D2C0000}"/>
    <cellStyle name="Input 13 2 17 2 2" xfId="11412" xr:uid="{00000000-0005-0000-0000-00007E2C0000}"/>
    <cellStyle name="Input 13 2 17 2 3" xfId="11413" xr:uid="{00000000-0005-0000-0000-00007F2C0000}"/>
    <cellStyle name="Input 13 2 17 3" xfId="11414" xr:uid="{00000000-0005-0000-0000-0000802C0000}"/>
    <cellStyle name="Input 13 2 17 4" xfId="11415" xr:uid="{00000000-0005-0000-0000-0000812C0000}"/>
    <cellStyle name="Input 13 2 18" xfId="11416" xr:uid="{00000000-0005-0000-0000-0000822C0000}"/>
    <cellStyle name="Input 13 2 18 2" xfId="11417" xr:uid="{00000000-0005-0000-0000-0000832C0000}"/>
    <cellStyle name="Input 13 2 18 3" xfId="11418" xr:uid="{00000000-0005-0000-0000-0000842C0000}"/>
    <cellStyle name="Input 13 2 18 4" xfId="11419" xr:uid="{00000000-0005-0000-0000-0000852C0000}"/>
    <cellStyle name="Input 13 2 19" xfId="11420" xr:uid="{00000000-0005-0000-0000-0000862C0000}"/>
    <cellStyle name="Input 13 2 2" xfId="11421" xr:uid="{00000000-0005-0000-0000-0000872C0000}"/>
    <cellStyle name="Input 13 2 2 2" xfId="11422" xr:uid="{00000000-0005-0000-0000-0000882C0000}"/>
    <cellStyle name="Input 13 2 2 2 2" xfId="11423" xr:uid="{00000000-0005-0000-0000-0000892C0000}"/>
    <cellStyle name="Input 13 2 2 2 3" xfId="11424" xr:uid="{00000000-0005-0000-0000-00008A2C0000}"/>
    <cellStyle name="Input 13 2 2 3" xfId="11425" xr:uid="{00000000-0005-0000-0000-00008B2C0000}"/>
    <cellStyle name="Input 13 2 2 4" xfId="11426" xr:uid="{00000000-0005-0000-0000-00008C2C0000}"/>
    <cellStyle name="Input 13 2 20" xfId="11427" xr:uid="{00000000-0005-0000-0000-00008D2C0000}"/>
    <cellStyle name="Input 13 2 21" xfId="11428" xr:uid="{00000000-0005-0000-0000-00008E2C0000}"/>
    <cellStyle name="Input 13 2 3" xfId="11429" xr:uid="{00000000-0005-0000-0000-00008F2C0000}"/>
    <cellStyle name="Input 13 2 3 2" xfId="11430" xr:uid="{00000000-0005-0000-0000-0000902C0000}"/>
    <cellStyle name="Input 13 2 3 2 2" xfId="11431" xr:uid="{00000000-0005-0000-0000-0000912C0000}"/>
    <cellStyle name="Input 13 2 3 2 3" xfId="11432" xr:uid="{00000000-0005-0000-0000-0000922C0000}"/>
    <cellStyle name="Input 13 2 3 3" xfId="11433" xr:uid="{00000000-0005-0000-0000-0000932C0000}"/>
    <cellStyle name="Input 13 2 3 4" xfId="11434" xr:uid="{00000000-0005-0000-0000-0000942C0000}"/>
    <cellStyle name="Input 13 2 4" xfId="11435" xr:uid="{00000000-0005-0000-0000-0000952C0000}"/>
    <cellStyle name="Input 13 2 4 2" xfId="11436" xr:uid="{00000000-0005-0000-0000-0000962C0000}"/>
    <cellStyle name="Input 13 2 4 2 2" xfId="11437" xr:uid="{00000000-0005-0000-0000-0000972C0000}"/>
    <cellStyle name="Input 13 2 4 2 3" xfId="11438" xr:uid="{00000000-0005-0000-0000-0000982C0000}"/>
    <cellStyle name="Input 13 2 4 3" xfId="11439" xr:uid="{00000000-0005-0000-0000-0000992C0000}"/>
    <cellStyle name="Input 13 2 4 4" xfId="11440" xr:uid="{00000000-0005-0000-0000-00009A2C0000}"/>
    <cellStyle name="Input 13 2 5" xfId="11441" xr:uid="{00000000-0005-0000-0000-00009B2C0000}"/>
    <cellStyle name="Input 13 2 5 2" xfId="11442" xr:uid="{00000000-0005-0000-0000-00009C2C0000}"/>
    <cellStyle name="Input 13 2 5 2 2" xfId="11443" xr:uid="{00000000-0005-0000-0000-00009D2C0000}"/>
    <cellStyle name="Input 13 2 5 2 3" xfId="11444" xr:uid="{00000000-0005-0000-0000-00009E2C0000}"/>
    <cellStyle name="Input 13 2 5 3" xfId="11445" xr:uid="{00000000-0005-0000-0000-00009F2C0000}"/>
    <cellStyle name="Input 13 2 5 4" xfId="11446" xr:uid="{00000000-0005-0000-0000-0000A02C0000}"/>
    <cellStyle name="Input 13 2 6" xfId="11447" xr:uid="{00000000-0005-0000-0000-0000A12C0000}"/>
    <cellStyle name="Input 13 2 6 2" xfId="11448" xr:uid="{00000000-0005-0000-0000-0000A22C0000}"/>
    <cellStyle name="Input 13 2 6 2 2" xfId="11449" xr:uid="{00000000-0005-0000-0000-0000A32C0000}"/>
    <cellStyle name="Input 13 2 6 2 3" xfId="11450" xr:uid="{00000000-0005-0000-0000-0000A42C0000}"/>
    <cellStyle name="Input 13 2 6 3" xfId="11451" xr:uid="{00000000-0005-0000-0000-0000A52C0000}"/>
    <cellStyle name="Input 13 2 6 4" xfId="11452" xr:uid="{00000000-0005-0000-0000-0000A62C0000}"/>
    <cellStyle name="Input 13 2 7" xfId="11453" xr:uid="{00000000-0005-0000-0000-0000A72C0000}"/>
    <cellStyle name="Input 13 2 7 2" xfId="11454" xr:uid="{00000000-0005-0000-0000-0000A82C0000}"/>
    <cellStyle name="Input 13 2 7 2 2" xfId="11455" xr:uid="{00000000-0005-0000-0000-0000A92C0000}"/>
    <cellStyle name="Input 13 2 7 2 3" xfId="11456" xr:uid="{00000000-0005-0000-0000-0000AA2C0000}"/>
    <cellStyle name="Input 13 2 7 3" xfId="11457" xr:uid="{00000000-0005-0000-0000-0000AB2C0000}"/>
    <cellStyle name="Input 13 2 7 4" xfId="11458" xr:uid="{00000000-0005-0000-0000-0000AC2C0000}"/>
    <cellStyle name="Input 13 2 8" xfId="11459" xr:uid="{00000000-0005-0000-0000-0000AD2C0000}"/>
    <cellStyle name="Input 13 2 8 2" xfId="11460" xr:uid="{00000000-0005-0000-0000-0000AE2C0000}"/>
    <cellStyle name="Input 13 2 8 2 2" xfId="11461" xr:uid="{00000000-0005-0000-0000-0000AF2C0000}"/>
    <cellStyle name="Input 13 2 8 2 3" xfId="11462" xr:uid="{00000000-0005-0000-0000-0000B02C0000}"/>
    <cellStyle name="Input 13 2 8 3" xfId="11463" xr:uid="{00000000-0005-0000-0000-0000B12C0000}"/>
    <cellStyle name="Input 13 2 8 4" xfId="11464" xr:uid="{00000000-0005-0000-0000-0000B22C0000}"/>
    <cellStyle name="Input 13 2 9" xfId="11465" xr:uid="{00000000-0005-0000-0000-0000B32C0000}"/>
    <cellStyle name="Input 13 2 9 2" xfId="11466" xr:uid="{00000000-0005-0000-0000-0000B42C0000}"/>
    <cellStyle name="Input 13 2 9 2 2" xfId="11467" xr:uid="{00000000-0005-0000-0000-0000B52C0000}"/>
    <cellStyle name="Input 13 2 9 2 3" xfId="11468" xr:uid="{00000000-0005-0000-0000-0000B62C0000}"/>
    <cellStyle name="Input 13 2 9 3" xfId="11469" xr:uid="{00000000-0005-0000-0000-0000B72C0000}"/>
    <cellStyle name="Input 13 2 9 4" xfId="11470" xr:uid="{00000000-0005-0000-0000-0000B82C0000}"/>
    <cellStyle name="Input 13 3" xfId="11471" xr:uid="{00000000-0005-0000-0000-0000B92C0000}"/>
    <cellStyle name="Input 13 3 2" xfId="11472" xr:uid="{00000000-0005-0000-0000-0000BA2C0000}"/>
    <cellStyle name="Input 13 3 2 2" xfId="11473" xr:uid="{00000000-0005-0000-0000-0000BB2C0000}"/>
    <cellStyle name="Input 13 3 2 3" xfId="11474" xr:uid="{00000000-0005-0000-0000-0000BC2C0000}"/>
    <cellStyle name="Input 13 3 3" xfId="11475" xr:uid="{00000000-0005-0000-0000-0000BD2C0000}"/>
    <cellStyle name="Input 13 3 4" xfId="11476" xr:uid="{00000000-0005-0000-0000-0000BE2C0000}"/>
    <cellStyle name="Input 13 4" xfId="11477" xr:uid="{00000000-0005-0000-0000-0000BF2C0000}"/>
    <cellStyle name="Input 13 5" xfId="11478" xr:uid="{00000000-0005-0000-0000-0000C02C0000}"/>
    <cellStyle name="Input 14" xfId="11479" xr:uid="{00000000-0005-0000-0000-0000C12C0000}"/>
    <cellStyle name="Input 14 2" xfId="11480" xr:uid="{00000000-0005-0000-0000-0000C22C0000}"/>
    <cellStyle name="Input 14 2 10" xfId="11481" xr:uid="{00000000-0005-0000-0000-0000C32C0000}"/>
    <cellStyle name="Input 14 2 10 2" xfId="11482" xr:uid="{00000000-0005-0000-0000-0000C42C0000}"/>
    <cellStyle name="Input 14 2 10 2 2" xfId="11483" xr:uid="{00000000-0005-0000-0000-0000C52C0000}"/>
    <cellStyle name="Input 14 2 10 2 3" xfId="11484" xr:uid="{00000000-0005-0000-0000-0000C62C0000}"/>
    <cellStyle name="Input 14 2 10 3" xfId="11485" xr:uid="{00000000-0005-0000-0000-0000C72C0000}"/>
    <cellStyle name="Input 14 2 10 4" xfId="11486" xr:uid="{00000000-0005-0000-0000-0000C82C0000}"/>
    <cellStyle name="Input 14 2 11" xfId="11487" xr:uid="{00000000-0005-0000-0000-0000C92C0000}"/>
    <cellStyle name="Input 14 2 11 2" xfId="11488" xr:uid="{00000000-0005-0000-0000-0000CA2C0000}"/>
    <cellStyle name="Input 14 2 11 2 2" xfId="11489" xr:uid="{00000000-0005-0000-0000-0000CB2C0000}"/>
    <cellStyle name="Input 14 2 11 2 3" xfId="11490" xr:uid="{00000000-0005-0000-0000-0000CC2C0000}"/>
    <cellStyle name="Input 14 2 11 3" xfId="11491" xr:uid="{00000000-0005-0000-0000-0000CD2C0000}"/>
    <cellStyle name="Input 14 2 11 4" xfId="11492" xr:uid="{00000000-0005-0000-0000-0000CE2C0000}"/>
    <cellStyle name="Input 14 2 12" xfId="11493" xr:uid="{00000000-0005-0000-0000-0000CF2C0000}"/>
    <cellStyle name="Input 14 2 12 2" xfId="11494" xr:uid="{00000000-0005-0000-0000-0000D02C0000}"/>
    <cellStyle name="Input 14 2 12 2 2" xfId="11495" xr:uid="{00000000-0005-0000-0000-0000D12C0000}"/>
    <cellStyle name="Input 14 2 12 2 3" xfId="11496" xr:uid="{00000000-0005-0000-0000-0000D22C0000}"/>
    <cellStyle name="Input 14 2 12 3" xfId="11497" xr:uid="{00000000-0005-0000-0000-0000D32C0000}"/>
    <cellStyle name="Input 14 2 12 4" xfId="11498" xr:uid="{00000000-0005-0000-0000-0000D42C0000}"/>
    <cellStyle name="Input 14 2 13" xfId="11499" xr:uid="{00000000-0005-0000-0000-0000D52C0000}"/>
    <cellStyle name="Input 14 2 13 2" xfId="11500" xr:uid="{00000000-0005-0000-0000-0000D62C0000}"/>
    <cellStyle name="Input 14 2 13 2 2" xfId="11501" xr:uid="{00000000-0005-0000-0000-0000D72C0000}"/>
    <cellStyle name="Input 14 2 13 2 3" xfId="11502" xr:uid="{00000000-0005-0000-0000-0000D82C0000}"/>
    <cellStyle name="Input 14 2 13 3" xfId="11503" xr:uid="{00000000-0005-0000-0000-0000D92C0000}"/>
    <cellStyle name="Input 14 2 13 4" xfId="11504" xr:uid="{00000000-0005-0000-0000-0000DA2C0000}"/>
    <cellStyle name="Input 14 2 14" xfId="11505" xr:uid="{00000000-0005-0000-0000-0000DB2C0000}"/>
    <cellStyle name="Input 14 2 14 2" xfId="11506" xr:uid="{00000000-0005-0000-0000-0000DC2C0000}"/>
    <cellStyle name="Input 14 2 14 2 2" xfId="11507" xr:uid="{00000000-0005-0000-0000-0000DD2C0000}"/>
    <cellStyle name="Input 14 2 14 2 3" xfId="11508" xr:uid="{00000000-0005-0000-0000-0000DE2C0000}"/>
    <cellStyle name="Input 14 2 14 3" xfId="11509" xr:uid="{00000000-0005-0000-0000-0000DF2C0000}"/>
    <cellStyle name="Input 14 2 14 4" xfId="11510" xr:uid="{00000000-0005-0000-0000-0000E02C0000}"/>
    <cellStyle name="Input 14 2 15" xfId="11511" xr:uid="{00000000-0005-0000-0000-0000E12C0000}"/>
    <cellStyle name="Input 14 2 15 2" xfId="11512" xr:uid="{00000000-0005-0000-0000-0000E22C0000}"/>
    <cellStyle name="Input 14 2 15 2 2" xfId="11513" xr:uid="{00000000-0005-0000-0000-0000E32C0000}"/>
    <cellStyle name="Input 14 2 15 2 3" xfId="11514" xr:uid="{00000000-0005-0000-0000-0000E42C0000}"/>
    <cellStyle name="Input 14 2 15 3" xfId="11515" xr:uid="{00000000-0005-0000-0000-0000E52C0000}"/>
    <cellStyle name="Input 14 2 15 4" xfId="11516" xr:uid="{00000000-0005-0000-0000-0000E62C0000}"/>
    <cellStyle name="Input 14 2 16" xfId="11517" xr:uid="{00000000-0005-0000-0000-0000E72C0000}"/>
    <cellStyle name="Input 14 2 16 2" xfId="11518" xr:uid="{00000000-0005-0000-0000-0000E82C0000}"/>
    <cellStyle name="Input 14 2 16 2 2" xfId="11519" xr:uid="{00000000-0005-0000-0000-0000E92C0000}"/>
    <cellStyle name="Input 14 2 16 2 3" xfId="11520" xr:uid="{00000000-0005-0000-0000-0000EA2C0000}"/>
    <cellStyle name="Input 14 2 16 3" xfId="11521" xr:uid="{00000000-0005-0000-0000-0000EB2C0000}"/>
    <cellStyle name="Input 14 2 16 4" xfId="11522" xr:uid="{00000000-0005-0000-0000-0000EC2C0000}"/>
    <cellStyle name="Input 14 2 17" xfId="11523" xr:uid="{00000000-0005-0000-0000-0000ED2C0000}"/>
    <cellStyle name="Input 14 2 17 2" xfId="11524" xr:uid="{00000000-0005-0000-0000-0000EE2C0000}"/>
    <cellStyle name="Input 14 2 17 2 2" xfId="11525" xr:uid="{00000000-0005-0000-0000-0000EF2C0000}"/>
    <cellStyle name="Input 14 2 17 2 3" xfId="11526" xr:uid="{00000000-0005-0000-0000-0000F02C0000}"/>
    <cellStyle name="Input 14 2 17 3" xfId="11527" xr:uid="{00000000-0005-0000-0000-0000F12C0000}"/>
    <cellStyle name="Input 14 2 17 4" xfId="11528" xr:uid="{00000000-0005-0000-0000-0000F22C0000}"/>
    <cellStyle name="Input 14 2 18" xfId="11529" xr:uid="{00000000-0005-0000-0000-0000F32C0000}"/>
    <cellStyle name="Input 14 2 18 2" xfId="11530" xr:uid="{00000000-0005-0000-0000-0000F42C0000}"/>
    <cellStyle name="Input 14 2 18 3" xfId="11531" xr:uid="{00000000-0005-0000-0000-0000F52C0000}"/>
    <cellStyle name="Input 14 2 18 4" xfId="11532" xr:uid="{00000000-0005-0000-0000-0000F62C0000}"/>
    <cellStyle name="Input 14 2 19" xfId="11533" xr:uid="{00000000-0005-0000-0000-0000F72C0000}"/>
    <cellStyle name="Input 14 2 2" xfId="11534" xr:uid="{00000000-0005-0000-0000-0000F82C0000}"/>
    <cellStyle name="Input 14 2 2 2" xfId="11535" xr:uid="{00000000-0005-0000-0000-0000F92C0000}"/>
    <cellStyle name="Input 14 2 2 2 2" xfId="11536" xr:uid="{00000000-0005-0000-0000-0000FA2C0000}"/>
    <cellStyle name="Input 14 2 2 2 3" xfId="11537" xr:uid="{00000000-0005-0000-0000-0000FB2C0000}"/>
    <cellStyle name="Input 14 2 2 3" xfId="11538" xr:uid="{00000000-0005-0000-0000-0000FC2C0000}"/>
    <cellStyle name="Input 14 2 2 4" xfId="11539" xr:uid="{00000000-0005-0000-0000-0000FD2C0000}"/>
    <cellStyle name="Input 14 2 20" xfId="11540" xr:uid="{00000000-0005-0000-0000-0000FE2C0000}"/>
    <cellStyle name="Input 14 2 21" xfId="11541" xr:uid="{00000000-0005-0000-0000-0000FF2C0000}"/>
    <cellStyle name="Input 14 2 3" xfId="11542" xr:uid="{00000000-0005-0000-0000-0000002D0000}"/>
    <cellStyle name="Input 14 2 3 2" xfId="11543" xr:uid="{00000000-0005-0000-0000-0000012D0000}"/>
    <cellStyle name="Input 14 2 3 2 2" xfId="11544" xr:uid="{00000000-0005-0000-0000-0000022D0000}"/>
    <cellStyle name="Input 14 2 3 2 3" xfId="11545" xr:uid="{00000000-0005-0000-0000-0000032D0000}"/>
    <cellStyle name="Input 14 2 3 3" xfId="11546" xr:uid="{00000000-0005-0000-0000-0000042D0000}"/>
    <cellStyle name="Input 14 2 3 4" xfId="11547" xr:uid="{00000000-0005-0000-0000-0000052D0000}"/>
    <cellStyle name="Input 14 2 4" xfId="11548" xr:uid="{00000000-0005-0000-0000-0000062D0000}"/>
    <cellStyle name="Input 14 2 4 2" xfId="11549" xr:uid="{00000000-0005-0000-0000-0000072D0000}"/>
    <cellStyle name="Input 14 2 4 2 2" xfId="11550" xr:uid="{00000000-0005-0000-0000-0000082D0000}"/>
    <cellStyle name="Input 14 2 4 2 3" xfId="11551" xr:uid="{00000000-0005-0000-0000-0000092D0000}"/>
    <cellStyle name="Input 14 2 4 3" xfId="11552" xr:uid="{00000000-0005-0000-0000-00000A2D0000}"/>
    <cellStyle name="Input 14 2 4 4" xfId="11553" xr:uid="{00000000-0005-0000-0000-00000B2D0000}"/>
    <cellStyle name="Input 14 2 5" xfId="11554" xr:uid="{00000000-0005-0000-0000-00000C2D0000}"/>
    <cellStyle name="Input 14 2 5 2" xfId="11555" xr:uid="{00000000-0005-0000-0000-00000D2D0000}"/>
    <cellStyle name="Input 14 2 5 2 2" xfId="11556" xr:uid="{00000000-0005-0000-0000-00000E2D0000}"/>
    <cellStyle name="Input 14 2 5 2 3" xfId="11557" xr:uid="{00000000-0005-0000-0000-00000F2D0000}"/>
    <cellStyle name="Input 14 2 5 3" xfId="11558" xr:uid="{00000000-0005-0000-0000-0000102D0000}"/>
    <cellStyle name="Input 14 2 5 4" xfId="11559" xr:uid="{00000000-0005-0000-0000-0000112D0000}"/>
    <cellStyle name="Input 14 2 6" xfId="11560" xr:uid="{00000000-0005-0000-0000-0000122D0000}"/>
    <cellStyle name="Input 14 2 6 2" xfId="11561" xr:uid="{00000000-0005-0000-0000-0000132D0000}"/>
    <cellStyle name="Input 14 2 6 2 2" xfId="11562" xr:uid="{00000000-0005-0000-0000-0000142D0000}"/>
    <cellStyle name="Input 14 2 6 2 3" xfId="11563" xr:uid="{00000000-0005-0000-0000-0000152D0000}"/>
    <cellStyle name="Input 14 2 6 3" xfId="11564" xr:uid="{00000000-0005-0000-0000-0000162D0000}"/>
    <cellStyle name="Input 14 2 6 4" xfId="11565" xr:uid="{00000000-0005-0000-0000-0000172D0000}"/>
    <cellStyle name="Input 14 2 7" xfId="11566" xr:uid="{00000000-0005-0000-0000-0000182D0000}"/>
    <cellStyle name="Input 14 2 7 2" xfId="11567" xr:uid="{00000000-0005-0000-0000-0000192D0000}"/>
    <cellStyle name="Input 14 2 7 2 2" xfId="11568" xr:uid="{00000000-0005-0000-0000-00001A2D0000}"/>
    <cellStyle name="Input 14 2 7 2 3" xfId="11569" xr:uid="{00000000-0005-0000-0000-00001B2D0000}"/>
    <cellStyle name="Input 14 2 7 3" xfId="11570" xr:uid="{00000000-0005-0000-0000-00001C2D0000}"/>
    <cellStyle name="Input 14 2 7 4" xfId="11571" xr:uid="{00000000-0005-0000-0000-00001D2D0000}"/>
    <cellStyle name="Input 14 2 8" xfId="11572" xr:uid="{00000000-0005-0000-0000-00001E2D0000}"/>
    <cellStyle name="Input 14 2 8 2" xfId="11573" xr:uid="{00000000-0005-0000-0000-00001F2D0000}"/>
    <cellStyle name="Input 14 2 8 2 2" xfId="11574" xr:uid="{00000000-0005-0000-0000-0000202D0000}"/>
    <cellStyle name="Input 14 2 8 2 3" xfId="11575" xr:uid="{00000000-0005-0000-0000-0000212D0000}"/>
    <cellStyle name="Input 14 2 8 3" xfId="11576" xr:uid="{00000000-0005-0000-0000-0000222D0000}"/>
    <cellStyle name="Input 14 2 8 4" xfId="11577" xr:uid="{00000000-0005-0000-0000-0000232D0000}"/>
    <cellStyle name="Input 14 2 9" xfId="11578" xr:uid="{00000000-0005-0000-0000-0000242D0000}"/>
    <cellStyle name="Input 14 2 9 2" xfId="11579" xr:uid="{00000000-0005-0000-0000-0000252D0000}"/>
    <cellStyle name="Input 14 2 9 2 2" xfId="11580" xr:uid="{00000000-0005-0000-0000-0000262D0000}"/>
    <cellStyle name="Input 14 2 9 2 3" xfId="11581" xr:uid="{00000000-0005-0000-0000-0000272D0000}"/>
    <cellStyle name="Input 14 2 9 3" xfId="11582" xr:uid="{00000000-0005-0000-0000-0000282D0000}"/>
    <cellStyle name="Input 14 2 9 4" xfId="11583" xr:uid="{00000000-0005-0000-0000-0000292D0000}"/>
    <cellStyle name="Input 14 3" xfId="11584" xr:uid="{00000000-0005-0000-0000-00002A2D0000}"/>
    <cellStyle name="Input 14 3 2" xfId="11585" xr:uid="{00000000-0005-0000-0000-00002B2D0000}"/>
    <cellStyle name="Input 14 3 2 2" xfId="11586" xr:uid="{00000000-0005-0000-0000-00002C2D0000}"/>
    <cellStyle name="Input 14 3 2 3" xfId="11587" xr:uid="{00000000-0005-0000-0000-00002D2D0000}"/>
    <cellStyle name="Input 14 3 3" xfId="11588" xr:uid="{00000000-0005-0000-0000-00002E2D0000}"/>
    <cellStyle name="Input 14 3 4" xfId="11589" xr:uid="{00000000-0005-0000-0000-00002F2D0000}"/>
    <cellStyle name="Input 14 4" xfId="11590" xr:uid="{00000000-0005-0000-0000-0000302D0000}"/>
    <cellStyle name="Input 14 5" xfId="11591" xr:uid="{00000000-0005-0000-0000-0000312D0000}"/>
    <cellStyle name="Input 15" xfId="11592" xr:uid="{00000000-0005-0000-0000-0000322D0000}"/>
    <cellStyle name="Input 15 2" xfId="11593" xr:uid="{00000000-0005-0000-0000-0000332D0000}"/>
    <cellStyle name="Input 15 2 10" xfId="11594" xr:uid="{00000000-0005-0000-0000-0000342D0000}"/>
    <cellStyle name="Input 15 2 10 2" xfId="11595" xr:uid="{00000000-0005-0000-0000-0000352D0000}"/>
    <cellStyle name="Input 15 2 10 2 2" xfId="11596" xr:uid="{00000000-0005-0000-0000-0000362D0000}"/>
    <cellStyle name="Input 15 2 10 2 3" xfId="11597" xr:uid="{00000000-0005-0000-0000-0000372D0000}"/>
    <cellStyle name="Input 15 2 10 3" xfId="11598" xr:uid="{00000000-0005-0000-0000-0000382D0000}"/>
    <cellStyle name="Input 15 2 10 4" xfId="11599" xr:uid="{00000000-0005-0000-0000-0000392D0000}"/>
    <cellStyle name="Input 15 2 11" xfId="11600" xr:uid="{00000000-0005-0000-0000-00003A2D0000}"/>
    <cellStyle name="Input 15 2 11 2" xfId="11601" xr:uid="{00000000-0005-0000-0000-00003B2D0000}"/>
    <cellStyle name="Input 15 2 11 2 2" xfId="11602" xr:uid="{00000000-0005-0000-0000-00003C2D0000}"/>
    <cellStyle name="Input 15 2 11 2 3" xfId="11603" xr:uid="{00000000-0005-0000-0000-00003D2D0000}"/>
    <cellStyle name="Input 15 2 11 3" xfId="11604" xr:uid="{00000000-0005-0000-0000-00003E2D0000}"/>
    <cellStyle name="Input 15 2 11 4" xfId="11605" xr:uid="{00000000-0005-0000-0000-00003F2D0000}"/>
    <cellStyle name="Input 15 2 12" xfId="11606" xr:uid="{00000000-0005-0000-0000-0000402D0000}"/>
    <cellStyle name="Input 15 2 12 2" xfId="11607" xr:uid="{00000000-0005-0000-0000-0000412D0000}"/>
    <cellStyle name="Input 15 2 12 2 2" xfId="11608" xr:uid="{00000000-0005-0000-0000-0000422D0000}"/>
    <cellStyle name="Input 15 2 12 2 3" xfId="11609" xr:uid="{00000000-0005-0000-0000-0000432D0000}"/>
    <cellStyle name="Input 15 2 12 3" xfId="11610" xr:uid="{00000000-0005-0000-0000-0000442D0000}"/>
    <cellStyle name="Input 15 2 12 4" xfId="11611" xr:uid="{00000000-0005-0000-0000-0000452D0000}"/>
    <cellStyle name="Input 15 2 13" xfId="11612" xr:uid="{00000000-0005-0000-0000-0000462D0000}"/>
    <cellStyle name="Input 15 2 13 2" xfId="11613" xr:uid="{00000000-0005-0000-0000-0000472D0000}"/>
    <cellStyle name="Input 15 2 13 2 2" xfId="11614" xr:uid="{00000000-0005-0000-0000-0000482D0000}"/>
    <cellStyle name="Input 15 2 13 2 3" xfId="11615" xr:uid="{00000000-0005-0000-0000-0000492D0000}"/>
    <cellStyle name="Input 15 2 13 3" xfId="11616" xr:uid="{00000000-0005-0000-0000-00004A2D0000}"/>
    <cellStyle name="Input 15 2 13 4" xfId="11617" xr:uid="{00000000-0005-0000-0000-00004B2D0000}"/>
    <cellStyle name="Input 15 2 14" xfId="11618" xr:uid="{00000000-0005-0000-0000-00004C2D0000}"/>
    <cellStyle name="Input 15 2 14 2" xfId="11619" xr:uid="{00000000-0005-0000-0000-00004D2D0000}"/>
    <cellStyle name="Input 15 2 14 2 2" xfId="11620" xr:uid="{00000000-0005-0000-0000-00004E2D0000}"/>
    <cellStyle name="Input 15 2 14 2 3" xfId="11621" xr:uid="{00000000-0005-0000-0000-00004F2D0000}"/>
    <cellStyle name="Input 15 2 14 3" xfId="11622" xr:uid="{00000000-0005-0000-0000-0000502D0000}"/>
    <cellStyle name="Input 15 2 14 4" xfId="11623" xr:uid="{00000000-0005-0000-0000-0000512D0000}"/>
    <cellStyle name="Input 15 2 15" xfId="11624" xr:uid="{00000000-0005-0000-0000-0000522D0000}"/>
    <cellStyle name="Input 15 2 15 2" xfId="11625" xr:uid="{00000000-0005-0000-0000-0000532D0000}"/>
    <cellStyle name="Input 15 2 15 2 2" xfId="11626" xr:uid="{00000000-0005-0000-0000-0000542D0000}"/>
    <cellStyle name="Input 15 2 15 2 3" xfId="11627" xr:uid="{00000000-0005-0000-0000-0000552D0000}"/>
    <cellStyle name="Input 15 2 15 3" xfId="11628" xr:uid="{00000000-0005-0000-0000-0000562D0000}"/>
    <cellStyle name="Input 15 2 15 4" xfId="11629" xr:uid="{00000000-0005-0000-0000-0000572D0000}"/>
    <cellStyle name="Input 15 2 16" xfId="11630" xr:uid="{00000000-0005-0000-0000-0000582D0000}"/>
    <cellStyle name="Input 15 2 16 2" xfId="11631" xr:uid="{00000000-0005-0000-0000-0000592D0000}"/>
    <cellStyle name="Input 15 2 16 2 2" xfId="11632" xr:uid="{00000000-0005-0000-0000-00005A2D0000}"/>
    <cellStyle name="Input 15 2 16 2 3" xfId="11633" xr:uid="{00000000-0005-0000-0000-00005B2D0000}"/>
    <cellStyle name="Input 15 2 16 3" xfId="11634" xr:uid="{00000000-0005-0000-0000-00005C2D0000}"/>
    <cellStyle name="Input 15 2 16 4" xfId="11635" xr:uid="{00000000-0005-0000-0000-00005D2D0000}"/>
    <cellStyle name="Input 15 2 17" xfId="11636" xr:uid="{00000000-0005-0000-0000-00005E2D0000}"/>
    <cellStyle name="Input 15 2 17 2" xfId="11637" xr:uid="{00000000-0005-0000-0000-00005F2D0000}"/>
    <cellStyle name="Input 15 2 17 2 2" xfId="11638" xr:uid="{00000000-0005-0000-0000-0000602D0000}"/>
    <cellStyle name="Input 15 2 17 2 3" xfId="11639" xr:uid="{00000000-0005-0000-0000-0000612D0000}"/>
    <cellStyle name="Input 15 2 17 3" xfId="11640" xr:uid="{00000000-0005-0000-0000-0000622D0000}"/>
    <cellStyle name="Input 15 2 17 4" xfId="11641" xr:uid="{00000000-0005-0000-0000-0000632D0000}"/>
    <cellStyle name="Input 15 2 18" xfId="11642" xr:uid="{00000000-0005-0000-0000-0000642D0000}"/>
    <cellStyle name="Input 15 2 18 2" xfId="11643" xr:uid="{00000000-0005-0000-0000-0000652D0000}"/>
    <cellStyle name="Input 15 2 18 3" xfId="11644" xr:uid="{00000000-0005-0000-0000-0000662D0000}"/>
    <cellStyle name="Input 15 2 18 4" xfId="11645" xr:uid="{00000000-0005-0000-0000-0000672D0000}"/>
    <cellStyle name="Input 15 2 19" xfId="11646" xr:uid="{00000000-0005-0000-0000-0000682D0000}"/>
    <cellStyle name="Input 15 2 2" xfId="11647" xr:uid="{00000000-0005-0000-0000-0000692D0000}"/>
    <cellStyle name="Input 15 2 2 2" xfId="11648" xr:uid="{00000000-0005-0000-0000-00006A2D0000}"/>
    <cellStyle name="Input 15 2 2 2 2" xfId="11649" xr:uid="{00000000-0005-0000-0000-00006B2D0000}"/>
    <cellStyle name="Input 15 2 2 2 3" xfId="11650" xr:uid="{00000000-0005-0000-0000-00006C2D0000}"/>
    <cellStyle name="Input 15 2 2 3" xfId="11651" xr:uid="{00000000-0005-0000-0000-00006D2D0000}"/>
    <cellStyle name="Input 15 2 2 4" xfId="11652" xr:uid="{00000000-0005-0000-0000-00006E2D0000}"/>
    <cellStyle name="Input 15 2 20" xfId="11653" xr:uid="{00000000-0005-0000-0000-00006F2D0000}"/>
    <cellStyle name="Input 15 2 21" xfId="11654" xr:uid="{00000000-0005-0000-0000-0000702D0000}"/>
    <cellStyle name="Input 15 2 3" xfId="11655" xr:uid="{00000000-0005-0000-0000-0000712D0000}"/>
    <cellStyle name="Input 15 2 3 2" xfId="11656" xr:uid="{00000000-0005-0000-0000-0000722D0000}"/>
    <cellStyle name="Input 15 2 3 2 2" xfId="11657" xr:uid="{00000000-0005-0000-0000-0000732D0000}"/>
    <cellStyle name="Input 15 2 3 2 3" xfId="11658" xr:uid="{00000000-0005-0000-0000-0000742D0000}"/>
    <cellStyle name="Input 15 2 3 3" xfId="11659" xr:uid="{00000000-0005-0000-0000-0000752D0000}"/>
    <cellStyle name="Input 15 2 3 4" xfId="11660" xr:uid="{00000000-0005-0000-0000-0000762D0000}"/>
    <cellStyle name="Input 15 2 4" xfId="11661" xr:uid="{00000000-0005-0000-0000-0000772D0000}"/>
    <cellStyle name="Input 15 2 4 2" xfId="11662" xr:uid="{00000000-0005-0000-0000-0000782D0000}"/>
    <cellStyle name="Input 15 2 4 2 2" xfId="11663" xr:uid="{00000000-0005-0000-0000-0000792D0000}"/>
    <cellStyle name="Input 15 2 4 2 3" xfId="11664" xr:uid="{00000000-0005-0000-0000-00007A2D0000}"/>
    <cellStyle name="Input 15 2 4 3" xfId="11665" xr:uid="{00000000-0005-0000-0000-00007B2D0000}"/>
    <cellStyle name="Input 15 2 4 4" xfId="11666" xr:uid="{00000000-0005-0000-0000-00007C2D0000}"/>
    <cellStyle name="Input 15 2 5" xfId="11667" xr:uid="{00000000-0005-0000-0000-00007D2D0000}"/>
    <cellStyle name="Input 15 2 5 2" xfId="11668" xr:uid="{00000000-0005-0000-0000-00007E2D0000}"/>
    <cellStyle name="Input 15 2 5 2 2" xfId="11669" xr:uid="{00000000-0005-0000-0000-00007F2D0000}"/>
    <cellStyle name="Input 15 2 5 2 3" xfId="11670" xr:uid="{00000000-0005-0000-0000-0000802D0000}"/>
    <cellStyle name="Input 15 2 5 3" xfId="11671" xr:uid="{00000000-0005-0000-0000-0000812D0000}"/>
    <cellStyle name="Input 15 2 5 4" xfId="11672" xr:uid="{00000000-0005-0000-0000-0000822D0000}"/>
    <cellStyle name="Input 15 2 6" xfId="11673" xr:uid="{00000000-0005-0000-0000-0000832D0000}"/>
    <cellStyle name="Input 15 2 6 2" xfId="11674" xr:uid="{00000000-0005-0000-0000-0000842D0000}"/>
    <cellStyle name="Input 15 2 6 2 2" xfId="11675" xr:uid="{00000000-0005-0000-0000-0000852D0000}"/>
    <cellStyle name="Input 15 2 6 2 3" xfId="11676" xr:uid="{00000000-0005-0000-0000-0000862D0000}"/>
    <cellStyle name="Input 15 2 6 3" xfId="11677" xr:uid="{00000000-0005-0000-0000-0000872D0000}"/>
    <cellStyle name="Input 15 2 6 4" xfId="11678" xr:uid="{00000000-0005-0000-0000-0000882D0000}"/>
    <cellStyle name="Input 15 2 7" xfId="11679" xr:uid="{00000000-0005-0000-0000-0000892D0000}"/>
    <cellStyle name="Input 15 2 7 2" xfId="11680" xr:uid="{00000000-0005-0000-0000-00008A2D0000}"/>
    <cellStyle name="Input 15 2 7 2 2" xfId="11681" xr:uid="{00000000-0005-0000-0000-00008B2D0000}"/>
    <cellStyle name="Input 15 2 7 2 3" xfId="11682" xr:uid="{00000000-0005-0000-0000-00008C2D0000}"/>
    <cellStyle name="Input 15 2 7 3" xfId="11683" xr:uid="{00000000-0005-0000-0000-00008D2D0000}"/>
    <cellStyle name="Input 15 2 7 4" xfId="11684" xr:uid="{00000000-0005-0000-0000-00008E2D0000}"/>
    <cellStyle name="Input 15 2 8" xfId="11685" xr:uid="{00000000-0005-0000-0000-00008F2D0000}"/>
    <cellStyle name="Input 15 2 8 2" xfId="11686" xr:uid="{00000000-0005-0000-0000-0000902D0000}"/>
    <cellStyle name="Input 15 2 8 2 2" xfId="11687" xr:uid="{00000000-0005-0000-0000-0000912D0000}"/>
    <cellStyle name="Input 15 2 8 2 3" xfId="11688" xr:uid="{00000000-0005-0000-0000-0000922D0000}"/>
    <cellStyle name="Input 15 2 8 3" xfId="11689" xr:uid="{00000000-0005-0000-0000-0000932D0000}"/>
    <cellStyle name="Input 15 2 8 4" xfId="11690" xr:uid="{00000000-0005-0000-0000-0000942D0000}"/>
    <cellStyle name="Input 15 2 9" xfId="11691" xr:uid="{00000000-0005-0000-0000-0000952D0000}"/>
    <cellStyle name="Input 15 2 9 2" xfId="11692" xr:uid="{00000000-0005-0000-0000-0000962D0000}"/>
    <cellStyle name="Input 15 2 9 2 2" xfId="11693" xr:uid="{00000000-0005-0000-0000-0000972D0000}"/>
    <cellStyle name="Input 15 2 9 2 3" xfId="11694" xr:uid="{00000000-0005-0000-0000-0000982D0000}"/>
    <cellStyle name="Input 15 2 9 3" xfId="11695" xr:uid="{00000000-0005-0000-0000-0000992D0000}"/>
    <cellStyle name="Input 15 2 9 4" xfId="11696" xr:uid="{00000000-0005-0000-0000-00009A2D0000}"/>
    <cellStyle name="Input 15 3" xfId="11697" xr:uid="{00000000-0005-0000-0000-00009B2D0000}"/>
    <cellStyle name="Input 15 3 2" xfId="11698" xr:uid="{00000000-0005-0000-0000-00009C2D0000}"/>
    <cellStyle name="Input 15 3 2 2" xfId="11699" xr:uid="{00000000-0005-0000-0000-00009D2D0000}"/>
    <cellStyle name="Input 15 3 2 3" xfId="11700" xr:uid="{00000000-0005-0000-0000-00009E2D0000}"/>
    <cellStyle name="Input 15 3 3" xfId="11701" xr:uid="{00000000-0005-0000-0000-00009F2D0000}"/>
    <cellStyle name="Input 15 3 4" xfId="11702" xr:uid="{00000000-0005-0000-0000-0000A02D0000}"/>
    <cellStyle name="Input 15 4" xfId="11703" xr:uid="{00000000-0005-0000-0000-0000A12D0000}"/>
    <cellStyle name="Input 15 5" xfId="11704" xr:uid="{00000000-0005-0000-0000-0000A22D0000}"/>
    <cellStyle name="Input 16" xfId="11705" xr:uid="{00000000-0005-0000-0000-0000A32D0000}"/>
    <cellStyle name="Input 16 2" xfId="11706" xr:uid="{00000000-0005-0000-0000-0000A42D0000}"/>
    <cellStyle name="Input 16 2 10" xfId="11707" xr:uid="{00000000-0005-0000-0000-0000A52D0000}"/>
    <cellStyle name="Input 16 2 10 2" xfId="11708" xr:uid="{00000000-0005-0000-0000-0000A62D0000}"/>
    <cellStyle name="Input 16 2 10 2 2" xfId="11709" xr:uid="{00000000-0005-0000-0000-0000A72D0000}"/>
    <cellStyle name="Input 16 2 10 2 3" xfId="11710" xr:uid="{00000000-0005-0000-0000-0000A82D0000}"/>
    <cellStyle name="Input 16 2 10 3" xfId="11711" xr:uid="{00000000-0005-0000-0000-0000A92D0000}"/>
    <cellStyle name="Input 16 2 10 4" xfId="11712" xr:uid="{00000000-0005-0000-0000-0000AA2D0000}"/>
    <cellStyle name="Input 16 2 11" xfId="11713" xr:uid="{00000000-0005-0000-0000-0000AB2D0000}"/>
    <cellStyle name="Input 16 2 11 2" xfId="11714" xr:uid="{00000000-0005-0000-0000-0000AC2D0000}"/>
    <cellStyle name="Input 16 2 11 2 2" xfId="11715" xr:uid="{00000000-0005-0000-0000-0000AD2D0000}"/>
    <cellStyle name="Input 16 2 11 2 3" xfId="11716" xr:uid="{00000000-0005-0000-0000-0000AE2D0000}"/>
    <cellStyle name="Input 16 2 11 3" xfId="11717" xr:uid="{00000000-0005-0000-0000-0000AF2D0000}"/>
    <cellStyle name="Input 16 2 11 4" xfId="11718" xr:uid="{00000000-0005-0000-0000-0000B02D0000}"/>
    <cellStyle name="Input 16 2 12" xfId="11719" xr:uid="{00000000-0005-0000-0000-0000B12D0000}"/>
    <cellStyle name="Input 16 2 12 2" xfId="11720" xr:uid="{00000000-0005-0000-0000-0000B22D0000}"/>
    <cellStyle name="Input 16 2 12 2 2" xfId="11721" xr:uid="{00000000-0005-0000-0000-0000B32D0000}"/>
    <cellStyle name="Input 16 2 12 2 3" xfId="11722" xr:uid="{00000000-0005-0000-0000-0000B42D0000}"/>
    <cellStyle name="Input 16 2 12 3" xfId="11723" xr:uid="{00000000-0005-0000-0000-0000B52D0000}"/>
    <cellStyle name="Input 16 2 12 4" xfId="11724" xr:uid="{00000000-0005-0000-0000-0000B62D0000}"/>
    <cellStyle name="Input 16 2 13" xfId="11725" xr:uid="{00000000-0005-0000-0000-0000B72D0000}"/>
    <cellStyle name="Input 16 2 13 2" xfId="11726" xr:uid="{00000000-0005-0000-0000-0000B82D0000}"/>
    <cellStyle name="Input 16 2 13 2 2" xfId="11727" xr:uid="{00000000-0005-0000-0000-0000B92D0000}"/>
    <cellStyle name="Input 16 2 13 2 3" xfId="11728" xr:uid="{00000000-0005-0000-0000-0000BA2D0000}"/>
    <cellStyle name="Input 16 2 13 3" xfId="11729" xr:uid="{00000000-0005-0000-0000-0000BB2D0000}"/>
    <cellStyle name="Input 16 2 13 4" xfId="11730" xr:uid="{00000000-0005-0000-0000-0000BC2D0000}"/>
    <cellStyle name="Input 16 2 14" xfId="11731" xr:uid="{00000000-0005-0000-0000-0000BD2D0000}"/>
    <cellStyle name="Input 16 2 14 2" xfId="11732" xr:uid="{00000000-0005-0000-0000-0000BE2D0000}"/>
    <cellStyle name="Input 16 2 14 2 2" xfId="11733" xr:uid="{00000000-0005-0000-0000-0000BF2D0000}"/>
    <cellStyle name="Input 16 2 14 2 3" xfId="11734" xr:uid="{00000000-0005-0000-0000-0000C02D0000}"/>
    <cellStyle name="Input 16 2 14 3" xfId="11735" xr:uid="{00000000-0005-0000-0000-0000C12D0000}"/>
    <cellStyle name="Input 16 2 14 4" xfId="11736" xr:uid="{00000000-0005-0000-0000-0000C22D0000}"/>
    <cellStyle name="Input 16 2 15" xfId="11737" xr:uid="{00000000-0005-0000-0000-0000C32D0000}"/>
    <cellStyle name="Input 16 2 15 2" xfId="11738" xr:uid="{00000000-0005-0000-0000-0000C42D0000}"/>
    <cellStyle name="Input 16 2 15 2 2" xfId="11739" xr:uid="{00000000-0005-0000-0000-0000C52D0000}"/>
    <cellStyle name="Input 16 2 15 2 3" xfId="11740" xr:uid="{00000000-0005-0000-0000-0000C62D0000}"/>
    <cellStyle name="Input 16 2 15 3" xfId="11741" xr:uid="{00000000-0005-0000-0000-0000C72D0000}"/>
    <cellStyle name="Input 16 2 15 4" xfId="11742" xr:uid="{00000000-0005-0000-0000-0000C82D0000}"/>
    <cellStyle name="Input 16 2 16" xfId="11743" xr:uid="{00000000-0005-0000-0000-0000C92D0000}"/>
    <cellStyle name="Input 16 2 16 2" xfId="11744" xr:uid="{00000000-0005-0000-0000-0000CA2D0000}"/>
    <cellStyle name="Input 16 2 16 2 2" xfId="11745" xr:uid="{00000000-0005-0000-0000-0000CB2D0000}"/>
    <cellStyle name="Input 16 2 16 2 3" xfId="11746" xr:uid="{00000000-0005-0000-0000-0000CC2D0000}"/>
    <cellStyle name="Input 16 2 16 3" xfId="11747" xr:uid="{00000000-0005-0000-0000-0000CD2D0000}"/>
    <cellStyle name="Input 16 2 16 4" xfId="11748" xr:uid="{00000000-0005-0000-0000-0000CE2D0000}"/>
    <cellStyle name="Input 16 2 17" xfId="11749" xr:uid="{00000000-0005-0000-0000-0000CF2D0000}"/>
    <cellStyle name="Input 16 2 17 2" xfId="11750" xr:uid="{00000000-0005-0000-0000-0000D02D0000}"/>
    <cellStyle name="Input 16 2 17 2 2" xfId="11751" xr:uid="{00000000-0005-0000-0000-0000D12D0000}"/>
    <cellStyle name="Input 16 2 17 2 3" xfId="11752" xr:uid="{00000000-0005-0000-0000-0000D22D0000}"/>
    <cellStyle name="Input 16 2 17 3" xfId="11753" xr:uid="{00000000-0005-0000-0000-0000D32D0000}"/>
    <cellStyle name="Input 16 2 17 4" xfId="11754" xr:uid="{00000000-0005-0000-0000-0000D42D0000}"/>
    <cellStyle name="Input 16 2 18" xfId="11755" xr:uid="{00000000-0005-0000-0000-0000D52D0000}"/>
    <cellStyle name="Input 16 2 18 2" xfId="11756" xr:uid="{00000000-0005-0000-0000-0000D62D0000}"/>
    <cellStyle name="Input 16 2 18 3" xfId="11757" xr:uid="{00000000-0005-0000-0000-0000D72D0000}"/>
    <cellStyle name="Input 16 2 18 4" xfId="11758" xr:uid="{00000000-0005-0000-0000-0000D82D0000}"/>
    <cellStyle name="Input 16 2 19" xfId="11759" xr:uid="{00000000-0005-0000-0000-0000D92D0000}"/>
    <cellStyle name="Input 16 2 2" xfId="11760" xr:uid="{00000000-0005-0000-0000-0000DA2D0000}"/>
    <cellStyle name="Input 16 2 2 2" xfId="11761" xr:uid="{00000000-0005-0000-0000-0000DB2D0000}"/>
    <cellStyle name="Input 16 2 2 2 2" xfId="11762" xr:uid="{00000000-0005-0000-0000-0000DC2D0000}"/>
    <cellStyle name="Input 16 2 2 2 3" xfId="11763" xr:uid="{00000000-0005-0000-0000-0000DD2D0000}"/>
    <cellStyle name="Input 16 2 2 3" xfId="11764" xr:uid="{00000000-0005-0000-0000-0000DE2D0000}"/>
    <cellStyle name="Input 16 2 2 4" xfId="11765" xr:uid="{00000000-0005-0000-0000-0000DF2D0000}"/>
    <cellStyle name="Input 16 2 20" xfId="11766" xr:uid="{00000000-0005-0000-0000-0000E02D0000}"/>
    <cellStyle name="Input 16 2 21" xfId="11767" xr:uid="{00000000-0005-0000-0000-0000E12D0000}"/>
    <cellStyle name="Input 16 2 3" xfId="11768" xr:uid="{00000000-0005-0000-0000-0000E22D0000}"/>
    <cellStyle name="Input 16 2 3 2" xfId="11769" xr:uid="{00000000-0005-0000-0000-0000E32D0000}"/>
    <cellStyle name="Input 16 2 3 2 2" xfId="11770" xr:uid="{00000000-0005-0000-0000-0000E42D0000}"/>
    <cellStyle name="Input 16 2 3 2 3" xfId="11771" xr:uid="{00000000-0005-0000-0000-0000E52D0000}"/>
    <cellStyle name="Input 16 2 3 3" xfId="11772" xr:uid="{00000000-0005-0000-0000-0000E62D0000}"/>
    <cellStyle name="Input 16 2 3 4" xfId="11773" xr:uid="{00000000-0005-0000-0000-0000E72D0000}"/>
    <cellStyle name="Input 16 2 4" xfId="11774" xr:uid="{00000000-0005-0000-0000-0000E82D0000}"/>
    <cellStyle name="Input 16 2 4 2" xfId="11775" xr:uid="{00000000-0005-0000-0000-0000E92D0000}"/>
    <cellStyle name="Input 16 2 4 2 2" xfId="11776" xr:uid="{00000000-0005-0000-0000-0000EA2D0000}"/>
    <cellStyle name="Input 16 2 4 2 3" xfId="11777" xr:uid="{00000000-0005-0000-0000-0000EB2D0000}"/>
    <cellStyle name="Input 16 2 4 3" xfId="11778" xr:uid="{00000000-0005-0000-0000-0000EC2D0000}"/>
    <cellStyle name="Input 16 2 4 4" xfId="11779" xr:uid="{00000000-0005-0000-0000-0000ED2D0000}"/>
    <cellStyle name="Input 16 2 5" xfId="11780" xr:uid="{00000000-0005-0000-0000-0000EE2D0000}"/>
    <cellStyle name="Input 16 2 5 2" xfId="11781" xr:uid="{00000000-0005-0000-0000-0000EF2D0000}"/>
    <cellStyle name="Input 16 2 5 2 2" xfId="11782" xr:uid="{00000000-0005-0000-0000-0000F02D0000}"/>
    <cellStyle name="Input 16 2 5 2 3" xfId="11783" xr:uid="{00000000-0005-0000-0000-0000F12D0000}"/>
    <cellStyle name="Input 16 2 5 3" xfId="11784" xr:uid="{00000000-0005-0000-0000-0000F22D0000}"/>
    <cellStyle name="Input 16 2 5 4" xfId="11785" xr:uid="{00000000-0005-0000-0000-0000F32D0000}"/>
    <cellStyle name="Input 16 2 6" xfId="11786" xr:uid="{00000000-0005-0000-0000-0000F42D0000}"/>
    <cellStyle name="Input 16 2 6 2" xfId="11787" xr:uid="{00000000-0005-0000-0000-0000F52D0000}"/>
    <cellStyle name="Input 16 2 6 2 2" xfId="11788" xr:uid="{00000000-0005-0000-0000-0000F62D0000}"/>
    <cellStyle name="Input 16 2 6 2 3" xfId="11789" xr:uid="{00000000-0005-0000-0000-0000F72D0000}"/>
    <cellStyle name="Input 16 2 6 3" xfId="11790" xr:uid="{00000000-0005-0000-0000-0000F82D0000}"/>
    <cellStyle name="Input 16 2 6 4" xfId="11791" xr:uid="{00000000-0005-0000-0000-0000F92D0000}"/>
    <cellStyle name="Input 16 2 7" xfId="11792" xr:uid="{00000000-0005-0000-0000-0000FA2D0000}"/>
    <cellStyle name="Input 16 2 7 2" xfId="11793" xr:uid="{00000000-0005-0000-0000-0000FB2D0000}"/>
    <cellStyle name="Input 16 2 7 2 2" xfId="11794" xr:uid="{00000000-0005-0000-0000-0000FC2D0000}"/>
    <cellStyle name="Input 16 2 7 2 3" xfId="11795" xr:uid="{00000000-0005-0000-0000-0000FD2D0000}"/>
    <cellStyle name="Input 16 2 7 3" xfId="11796" xr:uid="{00000000-0005-0000-0000-0000FE2D0000}"/>
    <cellStyle name="Input 16 2 7 4" xfId="11797" xr:uid="{00000000-0005-0000-0000-0000FF2D0000}"/>
    <cellStyle name="Input 16 2 8" xfId="11798" xr:uid="{00000000-0005-0000-0000-0000002E0000}"/>
    <cellStyle name="Input 16 2 8 2" xfId="11799" xr:uid="{00000000-0005-0000-0000-0000012E0000}"/>
    <cellStyle name="Input 16 2 8 2 2" xfId="11800" xr:uid="{00000000-0005-0000-0000-0000022E0000}"/>
    <cellStyle name="Input 16 2 8 2 3" xfId="11801" xr:uid="{00000000-0005-0000-0000-0000032E0000}"/>
    <cellStyle name="Input 16 2 8 3" xfId="11802" xr:uid="{00000000-0005-0000-0000-0000042E0000}"/>
    <cellStyle name="Input 16 2 8 4" xfId="11803" xr:uid="{00000000-0005-0000-0000-0000052E0000}"/>
    <cellStyle name="Input 16 2 9" xfId="11804" xr:uid="{00000000-0005-0000-0000-0000062E0000}"/>
    <cellStyle name="Input 16 2 9 2" xfId="11805" xr:uid="{00000000-0005-0000-0000-0000072E0000}"/>
    <cellStyle name="Input 16 2 9 2 2" xfId="11806" xr:uid="{00000000-0005-0000-0000-0000082E0000}"/>
    <cellStyle name="Input 16 2 9 2 3" xfId="11807" xr:uid="{00000000-0005-0000-0000-0000092E0000}"/>
    <cellStyle name="Input 16 2 9 3" xfId="11808" xr:uid="{00000000-0005-0000-0000-00000A2E0000}"/>
    <cellStyle name="Input 16 2 9 4" xfId="11809" xr:uid="{00000000-0005-0000-0000-00000B2E0000}"/>
    <cellStyle name="Input 16 3" xfId="11810" xr:uid="{00000000-0005-0000-0000-00000C2E0000}"/>
    <cellStyle name="Input 16 3 2" xfId="11811" xr:uid="{00000000-0005-0000-0000-00000D2E0000}"/>
    <cellStyle name="Input 16 3 2 2" xfId="11812" xr:uid="{00000000-0005-0000-0000-00000E2E0000}"/>
    <cellStyle name="Input 16 3 2 3" xfId="11813" xr:uid="{00000000-0005-0000-0000-00000F2E0000}"/>
    <cellStyle name="Input 16 3 3" xfId="11814" xr:uid="{00000000-0005-0000-0000-0000102E0000}"/>
    <cellStyle name="Input 16 3 4" xfId="11815" xr:uid="{00000000-0005-0000-0000-0000112E0000}"/>
    <cellStyle name="Input 16 4" xfId="11816" xr:uid="{00000000-0005-0000-0000-0000122E0000}"/>
    <cellStyle name="Input 16 5" xfId="11817" xr:uid="{00000000-0005-0000-0000-0000132E0000}"/>
    <cellStyle name="Input 17" xfId="11818" xr:uid="{00000000-0005-0000-0000-0000142E0000}"/>
    <cellStyle name="Input 17 2" xfId="11819" xr:uid="{00000000-0005-0000-0000-0000152E0000}"/>
    <cellStyle name="Input 17 2 10" xfId="11820" xr:uid="{00000000-0005-0000-0000-0000162E0000}"/>
    <cellStyle name="Input 17 2 10 2" xfId="11821" xr:uid="{00000000-0005-0000-0000-0000172E0000}"/>
    <cellStyle name="Input 17 2 10 2 2" xfId="11822" xr:uid="{00000000-0005-0000-0000-0000182E0000}"/>
    <cellStyle name="Input 17 2 10 2 3" xfId="11823" xr:uid="{00000000-0005-0000-0000-0000192E0000}"/>
    <cellStyle name="Input 17 2 10 3" xfId="11824" xr:uid="{00000000-0005-0000-0000-00001A2E0000}"/>
    <cellStyle name="Input 17 2 10 4" xfId="11825" xr:uid="{00000000-0005-0000-0000-00001B2E0000}"/>
    <cellStyle name="Input 17 2 11" xfId="11826" xr:uid="{00000000-0005-0000-0000-00001C2E0000}"/>
    <cellStyle name="Input 17 2 11 2" xfId="11827" xr:uid="{00000000-0005-0000-0000-00001D2E0000}"/>
    <cellStyle name="Input 17 2 11 2 2" xfId="11828" xr:uid="{00000000-0005-0000-0000-00001E2E0000}"/>
    <cellStyle name="Input 17 2 11 2 3" xfId="11829" xr:uid="{00000000-0005-0000-0000-00001F2E0000}"/>
    <cellStyle name="Input 17 2 11 3" xfId="11830" xr:uid="{00000000-0005-0000-0000-0000202E0000}"/>
    <cellStyle name="Input 17 2 11 4" xfId="11831" xr:uid="{00000000-0005-0000-0000-0000212E0000}"/>
    <cellStyle name="Input 17 2 12" xfId="11832" xr:uid="{00000000-0005-0000-0000-0000222E0000}"/>
    <cellStyle name="Input 17 2 12 2" xfId="11833" xr:uid="{00000000-0005-0000-0000-0000232E0000}"/>
    <cellStyle name="Input 17 2 12 2 2" xfId="11834" xr:uid="{00000000-0005-0000-0000-0000242E0000}"/>
    <cellStyle name="Input 17 2 12 2 3" xfId="11835" xr:uid="{00000000-0005-0000-0000-0000252E0000}"/>
    <cellStyle name="Input 17 2 12 3" xfId="11836" xr:uid="{00000000-0005-0000-0000-0000262E0000}"/>
    <cellStyle name="Input 17 2 12 4" xfId="11837" xr:uid="{00000000-0005-0000-0000-0000272E0000}"/>
    <cellStyle name="Input 17 2 13" xfId="11838" xr:uid="{00000000-0005-0000-0000-0000282E0000}"/>
    <cellStyle name="Input 17 2 13 2" xfId="11839" xr:uid="{00000000-0005-0000-0000-0000292E0000}"/>
    <cellStyle name="Input 17 2 13 2 2" xfId="11840" xr:uid="{00000000-0005-0000-0000-00002A2E0000}"/>
    <cellStyle name="Input 17 2 13 2 3" xfId="11841" xr:uid="{00000000-0005-0000-0000-00002B2E0000}"/>
    <cellStyle name="Input 17 2 13 3" xfId="11842" xr:uid="{00000000-0005-0000-0000-00002C2E0000}"/>
    <cellStyle name="Input 17 2 13 4" xfId="11843" xr:uid="{00000000-0005-0000-0000-00002D2E0000}"/>
    <cellStyle name="Input 17 2 14" xfId="11844" xr:uid="{00000000-0005-0000-0000-00002E2E0000}"/>
    <cellStyle name="Input 17 2 14 2" xfId="11845" xr:uid="{00000000-0005-0000-0000-00002F2E0000}"/>
    <cellStyle name="Input 17 2 14 2 2" xfId="11846" xr:uid="{00000000-0005-0000-0000-0000302E0000}"/>
    <cellStyle name="Input 17 2 14 2 3" xfId="11847" xr:uid="{00000000-0005-0000-0000-0000312E0000}"/>
    <cellStyle name="Input 17 2 14 3" xfId="11848" xr:uid="{00000000-0005-0000-0000-0000322E0000}"/>
    <cellStyle name="Input 17 2 14 4" xfId="11849" xr:uid="{00000000-0005-0000-0000-0000332E0000}"/>
    <cellStyle name="Input 17 2 15" xfId="11850" xr:uid="{00000000-0005-0000-0000-0000342E0000}"/>
    <cellStyle name="Input 17 2 15 2" xfId="11851" xr:uid="{00000000-0005-0000-0000-0000352E0000}"/>
    <cellStyle name="Input 17 2 15 2 2" xfId="11852" xr:uid="{00000000-0005-0000-0000-0000362E0000}"/>
    <cellStyle name="Input 17 2 15 2 3" xfId="11853" xr:uid="{00000000-0005-0000-0000-0000372E0000}"/>
    <cellStyle name="Input 17 2 15 3" xfId="11854" xr:uid="{00000000-0005-0000-0000-0000382E0000}"/>
    <cellStyle name="Input 17 2 15 4" xfId="11855" xr:uid="{00000000-0005-0000-0000-0000392E0000}"/>
    <cellStyle name="Input 17 2 16" xfId="11856" xr:uid="{00000000-0005-0000-0000-00003A2E0000}"/>
    <cellStyle name="Input 17 2 16 2" xfId="11857" xr:uid="{00000000-0005-0000-0000-00003B2E0000}"/>
    <cellStyle name="Input 17 2 16 2 2" xfId="11858" xr:uid="{00000000-0005-0000-0000-00003C2E0000}"/>
    <cellStyle name="Input 17 2 16 2 3" xfId="11859" xr:uid="{00000000-0005-0000-0000-00003D2E0000}"/>
    <cellStyle name="Input 17 2 16 3" xfId="11860" xr:uid="{00000000-0005-0000-0000-00003E2E0000}"/>
    <cellStyle name="Input 17 2 16 4" xfId="11861" xr:uid="{00000000-0005-0000-0000-00003F2E0000}"/>
    <cellStyle name="Input 17 2 17" xfId="11862" xr:uid="{00000000-0005-0000-0000-0000402E0000}"/>
    <cellStyle name="Input 17 2 17 2" xfId="11863" xr:uid="{00000000-0005-0000-0000-0000412E0000}"/>
    <cellStyle name="Input 17 2 17 2 2" xfId="11864" xr:uid="{00000000-0005-0000-0000-0000422E0000}"/>
    <cellStyle name="Input 17 2 17 2 3" xfId="11865" xr:uid="{00000000-0005-0000-0000-0000432E0000}"/>
    <cellStyle name="Input 17 2 17 3" xfId="11866" xr:uid="{00000000-0005-0000-0000-0000442E0000}"/>
    <cellStyle name="Input 17 2 17 4" xfId="11867" xr:uid="{00000000-0005-0000-0000-0000452E0000}"/>
    <cellStyle name="Input 17 2 18" xfId="11868" xr:uid="{00000000-0005-0000-0000-0000462E0000}"/>
    <cellStyle name="Input 17 2 18 2" xfId="11869" xr:uid="{00000000-0005-0000-0000-0000472E0000}"/>
    <cellStyle name="Input 17 2 18 3" xfId="11870" xr:uid="{00000000-0005-0000-0000-0000482E0000}"/>
    <cellStyle name="Input 17 2 18 4" xfId="11871" xr:uid="{00000000-0005-0000-0000-0000492E0000}"/>
    <cellStyle name="Input 17 2 19" xfId="11872" xr:uid="{00000000-0005-0000-0000-00004A2E0000}"/>
    <cellStyle name="Input 17 2 2" xfId="11873" xr:uid="{00000000-0005-0000-0000-00004B2E0000}"/>
    <cellStyle name="Input 17 2 2 2" xfId="11874" xr:uid="{00000000-0005-0000-0000-00004C2E0000}"/>
    <cellStyle name="Input 17 2 2 2 2" xfId="11875" xr:uid="{00000000-0005-0000-0000-00004D2E0000}"/>
    <cellStyle name="Input 17 2 2 2 3" xfId="11876" xr:uid="{00000000-0005-0000-0000-00004E2E0000}"/>
    <cellStyle name="Input 17 2 2 3" xfId="11877" xr:uid="{00000000-0005-0000-0000-00004F2E0000}"/>
    <cellStyle name="Input 17 2 2 4" xfId="11878" xr:uid="{00000000-0005-0000-0000-0000502E0000}"/>
    <cellStyle name="Input 17 2 20" xfId="11879" xr:uid="{00000000-0005-0000-0000-0000512E0000}"/>
    <cellStyle name="Input 17 2 21" xfId="11880" xr:uid="{00000000-0005-0000-0000-0000522E0000}"/>
    <cellStyle name="Input 17 2 3" xfId="11881" xr:uid="{00000000-0005-0000-0000-0000532E0000}"/>
    <cellStyle name="Input 17 2 3 2" xfId="11882" xr:uid="{00000000-0005-0000-0000-0000542E0000}"/>
    <cellStyle name="Input 17 2 3 2 2" xfId="11883" xr:uid="{00000000-0005-0000-0000-0000552E0000}"/>
    <cellStyle name="Input 17 2 3 2 3" xfId="11884" xr:uid="{00000000-0005-0000-0000-0000562E0000}"/>
    <cellStyle name="Input 17 2 3 3" xfId="11885" xr:uid="{00000000-0005-0000-0000-0000572E0000}"/>
    <cellStyle name="Input 17 2 3 4" xfId="11886" xr:uid="{00000000-0005-0000-0000-0000582E0000}"/>
    <cellStyle name="Input 17 2 4" xfId="11887" xr:uid="{00000000-0005-0000-0000-0000592E0000}"/>
    <cellStyle name="Input 17 2 4 2" xfId="11888" xr:uid="{00000000-0005-0000-0000-00005A2E0000}"/>
    <cellStyle name="Input 17 2 4 2 2" xfId="11889" xr:uid="{00000000-0005-0000-0000-00005B2E0000}"/>
    <cellStyle name="Input 17 2 4 2 3" xfId="11890" xr:uid="{00000000-0005-0000-0000-00005C2E0000}"/>
    <cellStyle name="Input 17 2 4 3" xfId="11891" xr:uid="{00000000-0005-0000-0000-00005D2E0000}"/>
    <cellStyle name="Input 17 2 4 4" xfId="11892" xr:uid="{00000000-0005-0000-0000-00005E2E0000}"/>
    <cellStyle name="Input 17 2 5" xfId="11893" xr:uid="{00000000-0005-0000-0000-00005F2E0000}"/>
    <cellStyle name="Input 17 2 5 2" xfId="11894" xr:uid="{00000000-0005-0000-0000-0000602E0000}"/>
    <cellStyle name="Input 17 2 5 2 2" xfId="11895" xr:uid="{00000000-0005-0000-0000-0000612E0000}"/>
    <cellStyle name="Input 17 2 5 2 3" xfId="11896" xr:uid="{00000000-0005-0000-0000-0000622E0000}"/>
    <cellStyle name="Input 17 2 5 3" xfId="11897" xr:uid="{00000000-0005-0000-0000-0000632E0000}"/>
    <cellStyle name="Input 17 2 5 4" xfId="11898" xr:uid="{00000000-0005-0000-0000-0000642E0000}"/>
    <cellStyle name="Input 17 2 6" xfId="11899" xr:uid="{00000000-0005-0000-0000-0000652E0000}"/>
    <cellStyle name="Input 17 2 6 2" xfId="11900" xr:uid="{00000000-0005-0000-0000-0000662E0000}"/>
    <cellStyle name="Input 17 2 6 2 2" xfId="11901" xr:uid="{00000000-0005-0000-0000-0000672E0000}"/>
    <cellStyle name="Input 17 2 6 2 3" xfId="11902" xr:uid="{00000000-0005-0000-0000-0000682E0000}"/>
    <cellStyle name="Input 17 2 6 3" xfId="11903" xr:uid="{00000000-0005-0000-0000-0000692E0000}"/>
    <cellStyle name="Input 17 2 6 4" xfId="11904" xr:uid="{00000000-0005-0000-0000-00006A2E0000}"/>
    <cellStyle name="Input 17 2 7" xfId="11905" xr:uid="{00000000-0005-0000-0000-00006B2E0000}"/>
    <cellStyle name="Input 17 2 7 2" xfId="11906" xr:uid="{00000000-0005-0000-0000-00006C2E0000}"/>
    <cellStyle name="Input 17 2 7 2 2" xfId="11907" xr:uid="{00000000-0005-0000-0000-00006D2E0000}"/>
    <cellStyle name="Input 17 2 7 2 3" xfId="11908" xr:uid="{00000000-0005-0000-0000-00006E2E0000}"/>
    <cellStyle name="Input 17 2 7 3" xfId="11909" xr:uid="{00000000-0005-0000-0000-00006F2E0000}"/>
    <cellStyle name="Input 17 2 7 4" xfId="11910" xr:uid="{00000000-0005-0000-0000-0000702E0000}"/>
    <cellStyle name="Input 17 2 8" xfId="11911" xr:uid="{00000000-0005-0000-0000-0000712E0000}"/>
    <cellStyle name="Input 17 2 8 2" xfId="11912" xr:uid="{00000000-0005-0000-0000-0000722E0000}"/>
    <cellStyle name="Input 17 2 8 2 2" xfId="11913" xr:uid="{00000000-0005-0000-0000-0000732E0000}"/>
    <cellStyle name="Input 17 2 8 2 3" xfId="11914" xr:uid="{00000000-0005-0000-0000-0000742E0000}"/>
    <cellStyle name="Input 17 2 8 3" xfId="11915" xr:uid="{00000000-0005-0000-0000-0000752E0000}"/>
    <cellStyle name="Input 17 2 8 4" xfId="11916" xr:uid="{00000000-0005-0000-0000-0000762E0000}"/>
    <cellStyle name="Input 17 2 9" xfId="11917" xr:uid="{00000000-0005-0000-0000-0000772E0000}"/>
    <cellStyle name="Input 17 2 9 2" xfId="11918" xr:uid="{00000000-0005-0000-0000-0000782E0000}"/>
    <cellStyle name="Input 17 2 9 2 2" xfId="11919" xr:uid="{00000000-0005-0000-0000-0000792E0000}"/>
    <cellStyle name="Input 17 2 9 2 3" xfId="11920" xr:uid="{00000000-0005-0000-0000-00007A2E0000}"/>
    <cellStyle name="Input 17 2 9 3" xfId="11921" xr:uid="{00000000-0005-0000-0000-00007B2E0000}"/>
    <cellStyle name="Input 17 2 9 4" xfId="11922" xr:uid="{00000000-0005-0000-0000-00007C2E0000}"/>
    <cellStyle name="Input 17 3" xfId="11923" xr:uid="{00000000-0005-0000-0000-00007D2E0000}"/>
    <cellStyle name="Input 17 3 2" xfId="11924" xr:uid="{00000000-0005-0000-0000-00007E2E0000}"/>
    <cellStyle name="Input 17 3 2 2" xfId="11925" xr:uid="{00000000-0005-0000-0000-00007F2E0000}"/>
    <cellStyle name="Input 17 3 2 3" xfId="11926" xr:uid="{00000000-0005-0000-0000-0000802E0000}"/>
    <cellStyle name="Input 17 3 3" xfId="11927" xr:uid="{00000000-0005-0000-0000-0000812E0000}"/>
    <cellStyle name="Input 17 3 4" xfId="11928" xr:uid="{00000000-0005-0000-0000-0000822E0000}"/>
    <cellStyle name="Input 17 4" xfId="11929" xr:uid="{00000000-0005-0000-0000-0000832E0000}"/>
    <cellStyle name="Input 17 5" xfId="11930" xr:uid="{00000000-0005-0000-0000-0000842E0000}"/>
    <cellStyle name="Input 18" xfId="11931" xr:uid="{00000000-0005-0000-0000-0000852E0000}"/>
    <cellStyle name="Input 18 2" xfId="11932" xr:uid="{00000000-0005-0000-0000-0000862E0000}"/>
    <cellStyle name="Input 18 2 10" xfId="11933" xr:uid="{00000000-0005-0000-0000-0000872E0000}"/>
    <cellStyle name="Input 18 2 10 2" xfId="11934" xr:uid="{00000000-0005-0000-0000-0000882E0000}"/>
    <cellStyle name="Input 18 2 10 2 2" xfId="11935" xr:uid="{00000000-0005-0000-0000-0000892E0000}"/>
    <cellStyle name="Input 18 2 10 2 3" xfId="11936" xr:uid="{00000000-0005-0000-0000-00008A2E0000}"/>
    <cellStyle name="Input 18 2 10 3" xfId="11937" xr:uid="{00000000-0005-0000-0000-00008B2E0000}"/>
    <cellStyle name="Input 18 2 10 4" xfId="11938" xr:uid="{00000000-0005-0000-0000-00008C2E0000}"/>
    <cellStyle name="Input 18 2 11" xfId="11939" xr:uid="{00000000-0005-0000-0000-00008D2E0000}"/>
    <cellStyle name="Input 18 2 11 2" xfId="11940" xr:uid="{00000000-0005-0000-0000-00008E2E0000}"/>
    <cellStyle name="Input 18 2 11 2 2" xfId="11941" xr:uid="{00000000-0005-0000-0000-00008F2E0000}"/>
    <cellStyle name="Input 18 2 11 2 3" xfId="11942" xr:uid="{00000000-0005-0000-0000-0000902E0000}"/>
    <cellStyle name="Input 18 2 11 3" xfId="11943" xr:uid="{00000000-0005-0000-0000-0000912E0000}"/>
    <cellStyle name="Input 18 2 11 4" xfId="11944" xr:uid="{00000000-0005-0000-0000-0000922E0000}"/>
    <cellStyle name="Input 18 2 12" xfId="11945" xr:uid="{00000000-0005-0000-0000-0000932E0000}"/>
    <cellStyle name="Input 18 2 12 2" xfId="11946" xr:uid="{00000000-0005-0000-0000-0000942E0000}"/>
    <cellStyle name="Input 18 2 12 2 2" xfId="11947" xr:uid="{00000000-0005-0000-0000-0000952E0000}"/>
    <cellStyle name="Input 18 2 12 2 3" xfId="11948" xr:uid="{00000000-0005-0000-0000-0000962E0000}"/>
    <cellStyle name="Input 18 2 12 3" xfId="11949" xr:uid="{00000000-0005-0000-0000-0000972E0000}"/>
    <cellStyle name="Input 18 2 12 4" xfId="11950" xr:uid="{00000000-0005-0000-0000-0000982E0000}"/>
    <cellStyle name="Input 18 2 13" xfId="11951" xr:uid="{00000000-0005-0000-0000-0000992E0000}"/>
    <cellStyle name="Input 18 2 13 2" xfId="11952" xr:uid="{00000000-0005-0000-0000-00009A2E0000}"/>
    <cellStyle name="Input 18 2 13 2 2" xfId="11953" xr:uid="{00000000-0005-0000-0000-00009B2E0000}"/>
    <cellStyle name="Input 18 2 13 2 3" xfId="11954" xr:uid="{00000000-0005-0000-0000-00009C2E0000}"/>
    <cellStyle name="Input 18 2 13 3" xfId="11955" xr:uid="{00000000-0005-0000-0000-00009D2E0000}"/>
    <cellStyle name="Input 18 2 13 4" xfId="11956" xr:uid="{00000000-0005-0000-0000-00009E2E0000}"/>
    <cellStyle name="Input 18 2 14" xfId="11957" xr:uid="{00000000-0005-0000-0000-00009F2E0000}"/>
    <cellStyle name="Input 18 2 14 2" xfId="11958" xr:uid="{00000000-0005-0000-0000-0000A02E0000}"/>
    <cellStyle name="Input 18 2 14 2 2" xfId="11959" xr:uid="{00000000-0005-0000-0000-0000A12E0000}"/>
    <cellStyle name="Input 18 2 14 2 3" xfId="11960" xr:uid="{00000000-0005-0000-0000-0000A22E0000}"/>
    <cellStyle name="Input 18 2 14 3" xfId="11961" xr:uid="{00000000-0005-0000-0000-0000A32E0000}"/>
    <cellStyle name="Input 18 2 14 4" xfId="11962" xr:uid="{00000000-0005-0000-0000-0000A42E0000}"/>
    <cellStyle name="Input 18 2 15" xfId="11963" xr:uid="{00000000-0005-0000-0000-0000A52E0000}"/>
    <cellStyle name="Input 18 2 15 2" xfId="11964" xr:uid="{00000000-0005-0000-0000-0000A62E0000}"/>
    <cellStyle name="Input 18 2 15 2 2" xfId="11965" xr:uid="{00000000-0005-0000-0000-0000A72E0000}"/>
    <cellStyle name="Input 18 2 15 2 3" xfId="11966" xr:uid="{00000000-0005-0000-0000-0000A82E0000}"/>
    <cellStyle name="Input 18 2 15 3" xfId="11967" xr:uid="{00000000-0005-0000-0000-0000A92E0000}"/>
    <cellStyle name="Input 18 2 15 4" xfId="11968" xr:uid="{00000000-0005-0000-0000-0000AA2E0000}"/>
    <cellStyle name="Input 18 2 16" xfId="11969" xr:uid="{00000000-0005-0000-0000-0000AB2E0000}"/>
    <cellStyle name="Input 18 2 16 2" xfId="11970" xr:uid="{00000000-0005-0000-0000-0000AC2E0000}"/>
    <cellStyle name="Input 18 2 16 2 2" xfId="11971" xr:uid="{00000000-0005-0000-0000-0000AD2E0000}"/>
    <cellStyle name="Input 18 2 16 2 3" xfId="11972" xr:uid="{00000000-0005-0000-0000-0000AE2E0000}"/>
    <cellStyle name="Input 18 2 16 3" xfId="11973" xr:uid="{00000000-0005-0000-0000-0000AF2E0000}"/>
    <cellStyle name="Input 18 2 16 4" xfId="11974" xr:uid="{00000000-0005-0000-0000-0000B02E0000}"/>
    <cellStyle name="Input 18 2 17" xfId="11975" xr:uid="{00000000-0005-0000-0000-0000B12E0000}"/>
    <cellStyle name="Input 18 2 17 2" xfId="11976" xr:uid="{00000000-0005-0000-0000-0000B22E0000}"/>
    <cellStyle name="Input 18 2 17 2 2" xfId="11977" xr:uid="{00000000-0005-0000-0000-0000B32E0000}"/>
    <cellStyle name="Input 18 2 17 2 3" xfId="11978" xr:uid="{00000000-0005-0000-0000-0000B42E0000}"/>
    <cellStyle name="Input 18 2 17 3" xfId="11979" xr:uid="{00000000-0005-0000-0000-0000B52E0000}"/>
    <cellStyle name="Input 18 2 17 4" xfId="11980" xr:uid="{00000000-0005-0000-0000-0000B62E0000}"/>
    <cellStyle name="Input 18 2 18" xfId="11981" xr:uid="{00000000-0005-0000-0000-0000B72E0000}"/>
    <cellStyle name="Input 18 2 18 2" xfId="11982" xr:uid="{00000000-0005-0000-0000-0000B82E0000}"/>
    <cellStyle name="Input 18 2 18 3" xfId="11983" xr:uid="{00000000-0005-0000-0000-0000B92E0000}"/>
    <cellStyle name="Input 18 2 18 4" xfId="11984" xr:uid="{00000000-0005-0000-0000-0000BA2E0000}"/>
    <cellStyle name="Input 18 2 19" xfId="11985" xr:uid="{00000000-0005-0000-0000-0000BB2E0000}"/>
    <cellStyle name="Input 18 2 2" xfId="11986" xr:uid="{00000000-0005-0000-0000-0000BC2E0000}"/>
    <cellStyle name="Input 18 2 2 2" xfId="11987" xr:uid="{00000000-0005-0000-0000-0000BD2E0000}"/>
    <cellStyle name="Input 18 2 2 2 2" xfId="11988" xr:uid="{00000000-0005-0000-0000-0000BE2E0000}"/>
    <cellStyle name="Input 18 2 2 2 3" xfId="11989" xr:uid="{00000000-0005-0000-0000-0000BF2E0000}"/>
    <cellStyle name="Input 18 2 2 3" xfId="11990" xr:uid="{00000000-0005-0000-0000-0000C02E0000}"/>
    <cellStyle name="Input 18 2 2 4" xfId="11991" xr:uid="{00000000-0005-0000-0000-0000C12E0000}"/>
    <cellStyle name="Input 18 2 20" xfId="11992" xr:uid="{00000000-0005-0000-0000-0000C22E0000}"/>
    <cellStyle name="Input 18 2 21" xfId="11993" xr:uid="{00000000-0005-0000-0000-0000C32E0000}"/>
    <cellStyle name="Input 18 2 3" xfId="11994" xr:uid="{00000000-0005-0000-0000-0000C42E0000}"/>
    <cellStyle name="Input 18 2 3 2" xfId="11995" xr:uid="{00000000-0005-0000-0000-0000C52E0000}"/>
    <cellStyle name="Input 18 2 3 2 2" xfId="11996" xr:uid="{00000000-0005-0000-0000-0000C62E0000}"/>
    <cellStyle name="Input 18 2 3 2 3" xfId="11997" xr:uid="{00000000-0005-0000-0000-0000C72E0000}"/>
    <cellStyle name="Input 18 2 3 3" xfId="11998" xr:uid="{00000000-0005-0000-0000-0000C82E0000}"/>
    <cellStyle name="Input 18 2 3 4" xfId="11999" xr:uid="{00000000-0005-0000-0000-0000C92E0000}"/>
    <cellStyle name="Input 18 2 4" xfId="12000" xr:uid="{00000000-0005-0000-0000-0000CA2E0000}"/>
    <cellStyle name="Input 18 2 4 2" xfId="12001" xr:uid="{00000000-0005-0000-0000-0000CB2E0000}"/>
    <cellStyle name="Input 18 2 4 2 2" xfId="12002" xr:uid="{00000000-0005-0000-0000-0000CC2E0000}"/>
    <cellStyle name="Input 18 2 4 2 3" xfId="12003" xr:uid="{00000000-0005-0000-0000-0000CD2E0000}"/>
    <cellStyle name="Input 18 2 4 3" xfId="12004" xr:uid="{00000000-0005-0000-0000-0000CE2E0000}"/>
    <cellStyle name="Input 18 2 4 4" xfId="12005" xr:uid="{00000000-0005-0000-0000-0000CF2E0000}"/>
    <cellStyle name="Input 18 2 5" xfId="12006" xr:uid="{00000000-0005-0000-0000-0000D02E0000}"/>
    <cellStyle name="Input 18 2 5 2" xfId="12007" xr:uid="{00000000-0005-0000-0000-0000D12E0000}"/>
    <cellStyle name="Input 18 2 5 2 2" xfId="12008" xr:uid="{00000000-0005-0000-0000-0000D22E0000}"/>
    <cellStyle name="Input 18 2 5 2 3" xfId="12009" xr:uid="{00000000-0005-0000-0000-0000D32E0000}"/>
    <cellStyle name="Input 18 2 5 3" xfId="12010" xr:uid="{00000000-0005-0000-0000-0000D42E0000}"/>
    <cellStyle name="Input 18 2 5 4" xfId="12011" xr:uid="{00000000-0005-0000-0000-0000D52E0000}"/>
    <cellStyle name="Input 18 2 6" xfId="12012" xr:uid="{00000000-0005-0000-0000-0000D62E0000}"/>
    <cellStyle name="Input 18 2 6 2" xfId="12013" xr:uid="{00000000-0005-0000-0000-0000D72E0000}"/>
    <cellStyle name="Input 18 2 6 2 2" xfId="12014" xr:uid="{00000000-0005-0000-0000-0000D82E0000}"/>
    <cellStyle name="Input 18 2 6 2 3" xfId="12015" xr:uid="{00000000-0005-0000-0000-0000D92E0000}"/>
    <cellStyle name="Input 18 2 6 3" xfId="12016" xr:uid="{00000000-0005-0000-0000-0000DA2E0000}"/>
    <cellStyle name="Input 18 2 6 4" xfId="12017" xr:uid="{00000000-0005-0000-0000-0000DB2E0000}"/>
    <cellStyle name="Input 18 2 7" xfId="12018" xr:uid="{00000000-0005-0000-0000-0000DC2E0000}"/>
    <cellStyle name="Input 18 2 7 2" xfId="12019" xr:uid="{00000000-0005-0000-0000-0000DD2E0000}"/>
    <cellStyle name="Input 18 2 7 2 2" xfId="12020" xr:uid="{00000000-0005-0000-0000-0000DE2E0000}"/>
    <cellStyle name="Input 18 2 7 2 3" xfId="12021" xr:uid="{00000000-0005-0000-0000-0000DF2E0000}"/>
    <cellStyle name="Input 18 2 7 3" xfId="12022" xr:uid="{00000000-0005-0000-0000-0000E02E0000}"/>
    <cellStyle name="Input 18 2 7 4" xfId="12023" xr:uid="{00000000-0005-0000-0000-0000E12E0000}"/>
    <cellStyle name="Input 18 2 8" xfId="12024" xr:uid="{00000000-0005-0000-0000-0000E22E0000}"/>
    <cellStyle name="Input 18 2 8 2" xfId="12025" xr:uid="{00000000-0005-0000-0000-0000E32E0000}"/>
    <cellStyle name="Input 18 2 8 2 2" xfId="12026" xr:uid="{00000000-0005-0000-0000-0000E42E0000}"/>
    <cellStyle name="Input 18 2 8 2 3" xfId="12027" xr:uid="{00000000-0005-0000-0000-0000E52E0000}"/>
    <cellStyle name="Input 18 2 8 3" xfId="12028" xr:uid="{00000000-0005-0000-0000-0000E62E0000}"/>
    <cellStyle name="Input 18 2 8 4" xfId="12029" xr:uid="{00000000-0005-0000-0000-0000E72E0000}"/>
    <cellStyle name="Input 18 2 9" xfId="12030" xr:uid="{00000000-0005-0000-0000-0000E82E0000}"/>
    <cellStyle name="Input 18 2 9 2" xfId="12031" xr:uid="{00000000-0005-0000-0000-0000E92E0000}"/>
    <cellStyle name="Input 18 2 9 2 2" xfId="12032" xr:uid="{00000000-0005-0000-0000-0000EA2E0000}"/>
    <cellStyle name="Input 18 2 9 2 3" xfId="12033" xr:uid="{00000000-0005-0000-0000-0000EB2E0000}"/>
    <cellStyle name="Input 18 2 9 3" xfId="12034" xr:uid="{00000000-0005-0000-0000-0000EC2E0000}"/>
    <cellStyle name="Input 18 2 9 4" xfId="12035" xr:uid="{00000000-0005-0000-0000-0000ED2E0000}"/>
    <cellStyle name="Input 18 3" xfId="12036" xr:uid="{00000000-0005-0000-0000-0000EE2E0000}"/>
    <cellStyle name="Input 18 3 2" xfId="12037" xr:uid="{00000000-0005-0000-0000-0000EF2E0000}"/>
    <cellStyle name="Input 18 3 2 2" xfId="12038" xr:uid="{00000000-0005-0000-0000-0000F02E0000}"/>
    <cellStyle name="Input 18 3 2 3" xfId="12039" xr:uid="{00000000-0005-0000-0000-0000F12E0000}"/>
    <cellStyle name="Input 18 3 3" xfId="12040" xr:uid="{00000000-0005-0000-0000-0000F22E0000}"/>
    <cellStyle name="Input 18 3 4" xfId="12041" xr:uid="{00000000-0005-0000-0000-0000F32E0000}"/>
    <cellStyle name="Input 18 4" xfId="12042" xr:uid="{00000000-0005-0000-0000-0000F42E0000}"/>
    <cellStyle name="Input 18 5" xfId="12043" xr:uid="{00000000-0005-0000-0000-0000F52E0000}"/>
    <cellStyle name="Input 19" xfId="12044" xr:uid="{00000000-0005-0000-0000-0000F62E0000}"/>
    <cellStyle name="Input 19 2" xfId="12045" xr:uid="{00000000-0005-0000-0000-0000F72E0000}"/>
    <cellStyle name="Input 19 2 10" xfId="12046" xr:uid="{00000000-0005-0000-0000-0000F82E0000}"/>
    <cellStyle name="Input 19 2 10 2" xfId="12047" xr:uid="{00000000-0005-0000-0000-0000F92E0000}"/>
    <cellStyle name="Input 19 2 10 2 2" xfId="12048" xr:uid="{00000000-0005-0000-0000-0000FA2E0000}"/>
    <cellStyle name="Input 19 2 10 2 3" xfId="12049" xr:uid="{00000000-0005-0000-0000-0000FB2E0000}"/>
    <cellStyle name="Input 19 2 10 3" xfId="12050" xr:uid="{00000000-0005-0000-0000-0000FC2E0000}"/>
    <cellStyle name="Input 19 2 10 4" xfId="12051" xr:uid="{00000000-0005-0000-0000-0000FD2E0000}"/>
    <cellStyle name="Input 19 2 11" xfId="12052" xr:uid="{00000000-0005-0000-0000-0000FE2E0000}"/>
    <cellStyle name="Input 19 2 11 2" xfId="12053" xr:uid="{00000000-0005-0000-0000-0000FF2E0000}"/>
    <cellStyle name="Input 19 2 11 2 2" xfId="12054" xr:uid="{00000000-0005-0000-0000-0000002F0000}"/>
    <cellStyle name="Input 19 2 11 2 3" xfId="12055" xr:uid="{00000000-0005-0000-0000-0000012F0000}"/>
    <cellStyle name="Input 19 2 11 3" xfId="12056" xr:uid="{00000000-0005-0000-0000-0000022F0000}"/>
    <cellStyle name="Input 19 2 11 4" xfId="12057" xr:uid="{00000000-0005-0000-0000-0000032F0000}"/>
    <cellStyle name="Input 19 2 12" xfId="12058" xr:uid="{00000000-0005-0000-0000-0000042F0000}"/>
    <cellStyle name="Input 19 2 12 2" xfId="12059" xr:uid="{00000000-0005-0000-0000-0000052F0000}"/>
    <cellStyle name="Input 19 2 12 2 2" xfId="12060" xr:uid="{00000000-0005-0000-0000-0000062F0000}"/>
    <cellStyle name="Input 19 2 12 2 3" xfId="12061" xr:uid="{00000000-0005-0000-0000-0000072F0000}"/>
    <cellStyle name="Input 19 2 12 3" xfId="12062" xr:uid="{00000000-0005-0000-0000-0000082F0000}"/>
    <cellStyle name="Input 19 2 12 4" xfId="12063" xr:uid="{00000000-0005-0000-0000-0000092F0000}"/>
    <cellStyle name="Input 19 2 13" xfId="12064" xr:uid="{00000000-0005-0000-0000-00000A2F0000}"/>
    <cellStyle name="Input 19 2 13 2" xfId="12065" xr:uid="{00000000-0005-0000-0000-00000B2F0000}"/>
    <cellStyle name="Input 19 2 13 2 2" xfId="12066" xr:uid="{00000000-0005-0000-0000-00000C2F0000}"/>
    <cellStyle name="Input 19 2 13 2 3" xfId="12067" xr:uid="{00000000-0005-0000-0000-00000D2F0000}"/>
    <cellStyle name="Input 19 2 13 3" xfId="12068" xr:uid="{00000000-0005-0000-0000-00000E2F0000}"/>
    <cellStyle name="Input 19 2 13 4" xfId="12069" xr:uid="{00000000-0005-0000-0000-00000F2F0000}"/>
    <cellStyle name="Input 19 2 14" xfId="12070" xr:uid="{00000000-0005-0000-0000-0000102F0000}"/>
    <cellStyle name="Input 19 2 14 2" xfId="12071" xr:uid="{00000000-0005-0000-0000-0000112F0000}"/>
    <cellStyle name="Input 19 2 14 2 2" xfId="12072" xr:uid="{00000000-0005-0000-0000-0000122F0000}"/>
    <cellStyle name="Input 19 2 14 2 3" xfId="12073" xr:uid="{00000000-0005-0000-0000-0000132F0000}"/>
    <cellStyle name="Input 19 2 14 3" xfId="12074" xr:uid="{00000000-0005-0000-0000-0000142F0000}"/>
    <cellStyle name="Input 19 2 14 4" xfId="12075" xr:uid="{00000000-0005-0000-0000-0000152F0000}"/>
    <cellStyle name="Input 19 2 15" xfId="12076" xr:uid="{00000000-0005-0000-0000-0000162F0000}"/>
    <cellStyle name="Input 19 2 15 2" xfId="12077" xr:uid="{00000000-0005-0000-0000-0000172F0000}"/>
    <cellStyle name="Input 19 2 15 2 2" xfId="12078" xr:uid="{00000000-0005-0000-0000-0000182F0000}"/>
    <cellStyle name="Input 19 2 15 2 3" xfId="12079" xr:uid="{00000000-0005-0000-0000-0000192F0000}"/>
    <cellStyle name="Input 19 2 15 3" xfId="12080" xr:uid="{00000000-0005-0000-0000-00001A2F0000}"/>
    <cellStyle name="Input 19 2 15 4" xfId="12081" xr:uid="{00000000-0005-0000-0000-00001B2F0000}"/>
    <cellStyle name="Input 19 2 16" xfId="12082" xr:uid="{00000000-0005-0000-0000-00001C2F0000}"/>
    <cellStyle name="Input 19 2 16 2" xfId="12083" xr:uid="{00000000-0005-0000-0000-00001D2F0000}"/>
    <cellStyle name="Input 19 2 16 2 2" xfId="12084" xr:uid="{00000000-0005-0000-0000-00001E2F0000}"/>
    <cellStyle name="Input 19 2 16 2 3" xfId="12085" xr:uid="{00000000-0005-0000-0000-00001F2F0000}"/>
    <cellStyle name="Input 19 2 16 3" xfId="12086" xr:uid="{00000000-0005-0000-0000-0000202F0000}"/>
    <cellStyle name="Input 19 2 16 4" xfId="12087" xr:uid="{00000000-0005-0000-0000-0000212F0000}"/>
    <cellStyle name="Input 19 2 17" xfId="12088" xr:uid="{00000000-0005-0000-0000-0000222F0000}"/>
    <cellStyle name="Input 19 2 17 2" xfId="12089" xr:uid="{00000000-0005-0000-0000-0000232F0000}"/>
    <cellStyle name="Input 19 2 17 2 2" xfId="12090" xr:uid="{00000000-0005-0000-0000-0000242F0000}"/>
    <cellStyle name="Input 19 2 17 2 3" xfId="12091" xr:uid="{00000000-0005-0000-0000-0000252F0000}"/>
    <cellStyle name="Input 19 2 17 3" xfId="12092" xr:uid="{00000000-0005-0000-0000-0000262F0000}"/>
    <cellStyle name="Input 19 2 17 4" xfId="12093" xr:uid="{00000000-0005-0000-0000-0000272F0000}"/>
    <cellStyle name="Input 19 2 18" xfId="12094" xr:uid="{00000000-0005-0000-0000-0000282F0000}"/>
    <cellStyle name="Input 19 2 18 2" xfId="12095" xr:uid="{00000000-0005-0000-0000-0000292F0000}"/>
    <cellStyle name="Input 19 2 18 3" xfId="12096" xr:uid="{00000000-0005-0000-0000-00002A2F0000}"/>
    <cellStyle name="Input 19 2 18 4" xfId="12097" xr:uid="{00000000-0005-0000-0000-00002B2F0000}"/>
    <cellStyle name="Input 19 2 19" xfId="12098" xr:uid="{00000000-0005-0000-0000-00002C2F0000}"/>
    <cellStyle name="Input 19 2 2" xfId="12099" xr:uid="{00000000-0005-0000-0000-00002D2F0000}"/>
    <cellStyle name="Input 19 2 2 2" xfId="12100" xr:uid="{00000000-0005-0000-0000-00002E2F0000}"/>
    <cellStyle name="Input 19 2 2 2 2" xfId="12101" xr:uid="{00000000-0005-0000-0000-00002F2F0000}"/>
    <cellStyle name="Input 19 2 2 2 3" xfId="12102" xr:uid="{00000000-0005-0000-0000-0000302F0000}"/>
    <cellStyle name="Input 19 2 2 3" xfId="12103" xr:uid="{00000000-0005-0000-0000-0000312F0000}"/>
    <cellStyle name="Input 19 2 2 4" xfId="12104" xr:uid="{00000000-0005-0000-0000-0000322F0000}"/>
    <cellStyle name="Input 19 2 20" xfId="12105" xr:uid="{00000000-0005-0000-0000-0000332F0000}"/>
    <cellStyle name="Input 19 2 21" xfId="12106" xr:uid="{00000000-0005-0000-0000-0000342F0000}"/>
    <cellStyle name="Input 19 2 3" xfId="12107" xr:uid="{00000000-0005-0000-0000-0000352F0000}"/>
    <cellStyle name="Input 19 2 3 2" xfId="12108" xr:uid="{00000000-0005-0000-0000-0000362F0000}"/>
    <cellStyle name="Input 19 2 3 2 2" xfId="12109" xr:uid="{00000000-0005-0000-0000-0000372F0000}"/>
    <cellStyle name="Input 19 2 3 2 3" xfId="12110" xr:uid="{00000000-0005-0000-0000-0000382F0000}"/>
    <cellStyle name="Input 19 2 3 3" xfId="12111" xr:uid="{00000000-0005-0000-0000-0000392F0000}"/>
    <cellStyle name="Input 19 2 3 4" xfId="12112" xr:uid="{00000000-0005-0000-0000-00003A2F0000}"/>
    <cellStyle name="Input 19 2 4" xfId="12113" xr:uid="{00000000-0005-0000-0000-00003B2F0000}"/>
    <cellStyle name="Input 19 2 4 2" xfId="12114" xr:uid="{00000000-0005-0000-0000-00003C2F0000}"/>
    <cellStyle name="Input 19 2 4 2 2" xfId="12115" xr:uid="{00000000-0005-0000-0000-00003D2F0000}"/>
    <cellStyle name="Input 19 2 4 2 3" xfId="12116" xr:uid="{00000000-0005-0000-0000-00003E2F0000}"/>
    <cellStyle name="Input 19 2 4 3" xfId="12117" xr:uid="{00000000-0005-0000-0000-00003F2F0000}"/>
    <cellStyle name="Input 19 2 4 4" xfId="12118" xr:uid="{00000000-0005-0000-0000-0000402F0000}"/>
    <cellStyle name="Input 19 2 5" xfId="12119" xr:uid="{00000000-0005-0000-0000-0000412F0000}"/>
    <cellStyle name="Input 19 2 5 2" xfId="12120" xr:uid="{00000000-0005-0000-0000-0000422F0000}"/>
    <cellStyle name="Input 19 2 5 2 2" xfId="12121" xr:uid="{00000000-0005-0000-0000-0000432F0000}"/>
    <cellStyle name="Input 19 2 5 2 3" xfId="12122" xr:uid="{00000000-0005-0000-0000-0000442F0000}"/>
    <cellStyle name="Input 19 2 5 3" xfId="12123" xr:uid="{00000000-0005-0000-0000-0000452F0000}"/>
    <cellStyle name="Input 19 2 5 4" xfId="12124" xr:uid="{00000000-0005-0000-0000-0000462F0000}"/>
    <cellStyle name="Input 19 2 6" xfId="12125" xr:uid="{00000000-0005-0000-0000-0000472F0000}"/>
    <cellStyle name="Input 19 2 6 2" xfId="12126" xr:uid="{00000000-0005-0000-0000-0000482F0000}"/>
    <cellStyle name="Input 19 2 6 2 2" xfId="12127" xr:uid="{00000000-0005-0000-0000-0000492F0000}"/>
    <cellStyle name="Input 19 2 6 2 3" xfId="12128" xr:uid="{00000000-0005-0000-0000-00004A2F0000}"/>
    <cellStyle name="Input 19 2 6 3" xfId="12129" xr:uid="{00000000-0005-0000-0000-00004B2F0000}"/>
    <cellStyle name="Input 19 2 6 4" xfId="12130" xr:uid="{00000000-0005-0000-0000-00004C2F0000}"/>
    <cellStyle name="Input 19 2 7" xfId="12131" xr:uid="{00000000-0005-0000-0000-00004D2F0000}"/>
    <cellStyle name="Input 19 2 7 2" xfId="12132" xr:uid="{00000000-0005-0000-0000-00004E2F0000}"/>
    <cellStyle name="Input 19 2 7 2 2" xfId="12133" xr:uid="{00000000-0005-0000-0000-00004F2F0000}"/>
    <cellStyle name="Input 19 2 7 2 3" xfId="12134" xr:uid="{00000000-0005-0000-0000-0000502F0000}"/>
    <cellStyle name="Input 19 2 7 3" xfId="12135" xr:uid="{00000000-0005-0000-0000-0000512F0000}"/>
    <cellStyle name="Input 19 2 7 4" xfId="12136" xr:uid="{00000000-0005-0000-0000-0000522F0000}"/>
    <cellStyle name="Input 19 2 8" xfId="12137" xr:uid="{00000000-0005-0000-0000-0000532F0000}"/>
    <cellStyle name="Input 19 2 8 2" xfId="12138" xr:uid="{00000000-0005-0000-0000-0000542F0000}"/>
    <cellStyle name="Input 19 2 8 2 2" xfId="12139" xr:uid="{00000000-0005-0000-0000-0000552F0000}"/>
    <cellStyle name="Input 19 2 8 2 3" xfId="12140" xr:uid="{00000000-0005-0000-0000-0000562F0000}"/>
    <cellStyle name="Input 19 2 8 3" xfId="12141" xr:uid="{00000000-0005-0000-0000-0000572F0000}"/>
    <cellStyle name="Input 19 2 8 4" xfId="12142" xr:uid="{00000000-0005-0000-0000-0000582F0000}"/>
    <cellStyle name="Input 19 2 9" xfId="12143" xr:uid="{00000000-0005-0000-0000-0000592F0000}"/>
    <cellStyle name="Input 19 2 9 2" xfId="12144" xr:uid="{00000000-0005-0000-0000-00005A2F0000}"/>
    <cellStyle name="Input 19 2 9 2 2" xfId="12145" xr:uid="{00000000-0005-0000-0000-00005B2F0000}"/>
    <cellStyle name="Input 19 2 9 2 3" xfId="12146" xr:uid="{00000000-0005-0000-0000-00005C2F0000}"/>
    <cellStyle name="Input 19 2 9 3" xfId="12147" xr:uid="{00000000-0005-0000-0000-00005D2F0000}"/>
    <cellStyle name="Input 19 2 9 4" xfId="12148" xr:uid="{00000000-0005-0000-0000-00005E2F0000}"/>
    <cellStyle name="Input 19 3" xfId="12149" xr:uid="{00000000-0005-0000-0000-00005F2F0000}"/>
    <cellStyle name="Input 19 3 2" xfId="12150" xr:uid="{00000000-0005-0000-0000-0000602F0000}"/>
    <cellStyle name="Input 19 3 2 2" xfId="12151" xr:uid="{00000000-0005-0000-0000-0000612F0000}"/>
    <cellStyle name="Input 19 3 2 3" xfId="12152" xr:uid="{00000000-0005-0000-0000-0000622F0000}"/>
    <cellStyle name="Input 19 3 3" xfId="12153" xr:uid="{00000000-0005-0000-0000-0000632F0000}"/>
    <cellStyle name="Input 19 3 4" xfId="12154" xr:uid="{00000000-0005-0000-0000-0000642F0000}"/>
    <cellStyle name="Input 19 4" xfId="12155" xr:uid="{00000000-0005-0000-0000-0000652F0000}"/>
    <cellStyle name="Input 19 5" xfId="12156" xr:uid="{00000000-0005-0000-0000-0000662F0000}"/>
    <cellStyle name="Input 2" xfId="12157" xr:uid="{00000000-0005-0000-0000-0000672F0000}"/>
    <cellStyle name="Input 2 2" xfId="12158" xr:uid="{00000000-0005-0000-0000-0000682F0000}"/>
    <cellStyle name="Input 2 2 10" xfId="12159" xr:uid="{00000000-0005-0000-0000-0000692F0000}"/>
    <cellStyle name="Input 2 2 10 2" xfId="12160" xr:uid="{00000000-0005-0000-0000-00006A2F0000}"/>
    <cellStyle name="Input 2 2 10 2 2" xfId="12161" xr:uid="{00000000-0005-0000-0000-00006B2F0000}"/>
    <cellStyle name="Input 2 2 10 2 3" xfId="12162" xr:uid="{00000000-0005-0000-0000-00006C2F0000}"/>
    <cellStyle name="Input 2 2 10 3" xfId="12163" xr:uid="{00000000-0005-0000-0000-00006D2F0000}"/>
    <cellStyle name="Input 2 2 10 4" xfId="12164" xr:uid="{00000000-0005-0000-0000-00006E2F0000}"/>
    <cellStyle name="Input 2 2 11" xfId="12165" xr:uid="{00000000-0005-0000-0000-00006F2F0000}"/>
    <cellStyle name="Input 2 2 11 2" xfId="12166" xr:uid="{00000000-0005-0000-0000-0000702F0000}"/>
    <cellStyle name="Input 2 2 11 2 2" xfId="12167" xr:uid="{00000000-0005-0000-0000-0000712F0000}"/>
    <cellStyle name="Input 2 2 11 2 3" xfId="12168" xr:uid="{00000000-0005-0000-0000-0000722F0000}"/>
    <cellStyle name="Input 2 2 11 3" xfId="12169" xr:uid="{00000000-0005-0000-0000-0000732F0000}"/>
    <cellStyle name="Input 2 2 11 4" xfId="12170" xr:uid="{00000000-0005-0000-0000-0000742F0000}"/>
    <cellStyle name="Input 2 2 12" xfId="12171" xr:uid="{00000000-0005-0000-0000-0000752F0000}"/>
    <cellStyle name="Input 2 2 12 2" xfId="12172" xr:uid="{00000000-0005-0000-0000-0000762F0000}"/>
    <cellStyle name="Input 2 2 12 2 2" xfId="12173" xr:uid="{00000000-0005-0000-0000-0000772F0000}"/>
    <cellStyle name="Input 2 2 12 2 3" xfId="12174" xr:uid="{00000000-0005-0000-0000-0000782F0000}"/>
    <cellStyle name="Input 2 2 12 3" xfId="12175" xr:uid="{00000000-0005-0000-0000-0000792F0000}"/>
    <cellStyle name="Input 2 2 12 4" xfId="12176" xr:uid="{00000000-0005-0000-0000-00007A2F0000}"/>
    <cellStyle name="Input 2 2 13" xfId="12177" xr:uid="{00000000-0005-0000-0000-00007B2F0000}"/>
    <cellStyle name="Input 2 2 13 2" xfId="12178" xr:uid="{00000000-0005-0000-0000-00007C2F0000}"/>
    <cellStyle name="Input 2 2 13 2 2" xfId="12179" xr:uid="{00000000-0005-0000-0000-00007D2F0000}"/>
    <cellStyle name="Input 2 2 13 2 3" xfId="12180" xr:uid="{00000000-0005-0000-0000-00007E2F0000}"/>
    <cellStyle name="Input 2 2 13 3" xfId="12181" xr:uid="{00000000-0005-0000-0000-00007F2F0000}"/>
    <cellStyle name="Input 2 2 13 4" xfId="12182" xr:uid="{00000000-0005-0000-0000-0000802F0000}"/>
    <cellStyle name="Input 2 2 14" xfId="12183" xr:uid="{00000000-0005-0000-0000-0000812F0000}"/>
    <cellStyle name="Input 2 2 14 2" xfId="12184" xr:uid="{00000000-0005-0000-0000-0000822F0000}"/>
    <cellStyle name="Input 2 2 14 2 2" xfId="12185" xr:uid="{00000000-0005-0000-0000-0000832F0000}"/>
    <cellStyle name="Input 2 2 14 2 3" xfId="12186" xr:uid="{00000000-0005-0000-0000-0000842F0000}"/>
    <cellStyle name="Input 2 2 14 3" xfId="12187" xr:uid="{00000000-0005-0000-0000-0000852F0000}"/>
    <cellStyle name="Input 2 2 14 4" xfId="12188" xr:uid="{00000000-0005-0000-0000-0000862F0000}"/>
    <cellStyle name="Input 2 2 15" xfId="12189" xr:uid="{00000000-0005-0000-0000-0000872F0000}"/>
    <cellStyle name="Input 2 2 15 2" xfId="12190" xr:uid="{00000000-0005-0000-0000-0000882F0000}"/>
    <cellStyle name="Input 2 2 15 2 2" xfId="12191" xr:uid="{00000000-0005-0000-0000-0000892F0000}"/>
    <cellStyle name="Input 2 2 15 2 3" xfId="12192" xr:uid="{00000000-0005-0000-0000-00008A2F0000}"/>
    <cellStyle name="Input 2 2 15 3" xfId="12193" xr:uid="{00000000-0005-0000-0000-00008B2F0000}"/>
    <cellStyle name="Input 2 2 15 4" xfId="12194" xr:uid="{00000000-0005-0000-0000-00008C2F0000}"/>
    <cellStyle name="Input 2 2 16" xfId="12195" xr:uid="{00000000-0005-0000-0000-00008D2F0000}"/>
    <cellStyle name="Input 2 2 16 2" xfId="12196" xr:uid="{00000000-0005-0000-0000-00008E2F0000}"/>
    <cellStyle name="Input 2 2 16 2 2" xfId="12197" xr:uid="{00000000-0005-0000-0000-00008F2F0000}"/>
    <cellStyle name="Input 2 2 16 2 3" xfId="12198" xr:uid="{00000000-0005-0000-0000-0000902F0000}"/>
    <cellStyle name="Input 2 2 16 3" xfId="12199" xr:uid="{00000000-0005-0000-0000-0000912F0000}"/>
    <cellStyle name="Input 2 2 16 4" xfId="12200" xr:uid="{00000000-0005-0000-0000-0000922F0000}"/>
    <cellStyle name="Input 2 2 17" xfId="12201" xr:uid="{00000000-0005-0000-0000-0000932F0000}"/>
    <cellStyle name="Input 2 2 17 2" xfId="12202" xr:uid="{00000000-0005-0000-0000-0000942F0000}"/>
    <cellStyle name="Input 2 2 17 2 2" xfId="12203" xr:uid="{00000000-0005-0000-0000-0000952F0000}"/>
    <cellStyle name="Input 2 2 17 2 3" xfId="12204" xr:uid="{00000000-0005-0000-0000-0000962F0000}"/>
    <cellStyle name="Input 2 2 17 3" xfId="12205" xr:uid="{00000000-0005-0000-0000-0000972F0000}"/>
    <cellStyle name="Input 2 2 17 4" xfId="12206" xr:uid="{00000000-0005-0000-0000-0000982F0000}"/>
    <cellStyle name="Input 2 2 18" xfId="12207" xr:uid="{00000000-0005-0000-0000-0000992F0000}"/>
    <cellStyle name="Input 2 2 18 2" xfId="12208" xr:uid="{00000000-0005-0000-0000-00009A2F0000}"/>
    <cellStyle name="Input 2 2 18 3" xfId="12209" xr:uid="{00000000-0005-0000-0000-00009B2F0000}"/>
    <cellStyle name="Input 2 2 18 4" xfId="12210" xr:uid="{00000000-0005-0000-0000-00009C2F0000}"/>
    <cellStyle name="Input 2 2 19" xfId="12211" xr:uid="{00000000-0005-0000-0000-00009D2F0000}"/>
    <cellStyle name="Input 2 2 2" xfId="12212" xr:uid="{00000000-0005-0000-0000-00009E2F0000}"/>
    <cellStyle name="Input 2 2 2 2" xfId="12213" xr:uid="{00000000-0005-0000-0000-00009F2F0000}"/>
    <cellStyle name="Input 2 2 2 2 2" xfId="12214" xr:uid="{00000000-0005-0000-0000-0000A02F0000}"/>
    <cellStyle name="Input 2 2 2 2 3" xfId="12215" xr:uid="{00000000-0005-0000-0000-0000A12F0000}"/>
    <cellStyle name="Input 2 2 2 3" xfId="12216" xr:uid="{00000000-0005-0000-0000-0000A22F0000}"/>
    <cellStyle name="Input 2 2 2 4" xfId="12217" xr:uid="{00000000-0005-0000-0000-0000A32F0000}"/>
    <cellStyle name="Input 2 2 20" xfId="12218" xr:uid="{00000000-0005-0000-0000-0000A42F0000}"/>
    <cellStyle name="Input 2 2 21" xfId="12219" xr:uid="{00000000-0005-0000-0000-0000A52F0000}"/>
    <cellStyle name="Input 2 2 3" xfId="12220" xr:uid="{00000000-0005-0000-0000-0000A62F0000}"/>
    <cellStyle name="Input 2 2 3 2" xfId="12221" xr:uid="{00000000-0005-0000-0000-0000A72F0000}"/>
    <cellStyle name="Input 2 2 3 2 2" xfId="12222" xr:uid="{00000000-0005-0000-0000-0000A82F0000}"/>
    <cellStyle name="Input 2 2 3 2 3" xfId="12223" xr:uid="{00000000-0005-0000-0000-0000A92F0000}"/>
    <cellStyle name="Input 2 2 3 3" xfId="12224" xr:uid="{00000000-0005-0000-0000-0000AA2F0000}"/>
    <cellStyle name="Input 2 2 3 4" xfId="12225" xr:uid="{00000000-0005-0000-0000-0000AB2F0000}"/>
    <cellStyle name="Input 2 2 4" xfId="12226" xr:uid="{00000000-0005-0000-0000-0000AC2F0000}"/>
    <cellStyle name="Input 2 2 4 2" xfId="12227" xr:uid="{00000000-0005-0000-0000-0000AD2F0000}"/>
    <cellStyle name="Input 2 2 4 2 2" xfId="12228" xr:uid="{00000000-0005-0000-0000-0000AE2F0000}"/>
    <cellStyle name="Input 2 2 4 2 3" xfId="12229" xr:uid="{00000000-0005-0000-0000-0000AF2F0000}"/>
    <cellStyle name="Input 2 2 4 3" xfId="12230" xr:uid="{00000000-0005-0000-0000-0000B02F0000}"/>
    <cellStyle name="Input 2 2 4 4" xfId="12231" xr:uid="{00000000-0005-0000-0000-0000B12F0000}"/>
    <cellStyle name="Input 2 2 5" xfId="12232" xr:uid="{00000000-0005-0000-0000-0000B22F0000}"/>
    <cellStyle name="Input 2 2 5 2" xfId="12233" xr:uid="{00000000-0005-0000-0000-0000B32F0000}"/>
    <cellStyle name="Input 2 2 5 2 2" xfId="12234" xr:uid="{00000000-0005-0000-0000-0000B42F0000}"/>
    <cellStyle name="Input 2 2 5 2 3" xfId="12235" xr:uid="{00000000-0005-0000-0000-0000B52F0000}"/>
    <cellStyle name="Input 2 2 5 3" xfId="12236" xr:uid="{00000000-0005-0000-0000-0000B62F0000}"/>
    <cellStyle name="Input 2 2 5 4" xfId="12237" xr:uid="{00000000-0005-0000-0000-0000B72F0000}"/>
    <cellStyle name="Input 2 2 6" xfId="12238" xr:uid="{00000000-0005-0000-0000-0000B82F0000}"/>
    <cellStyle name="Input 2 2 6 2" xfId="12239" xr:uid="{00000000-0005-0000-0000-0000B92F0000}"/>
    <cellStyle name="Input 2 2 6 2 2" xfId="12240" xr:uid="{00000000-0005-0000-0000-0000BA2F0000}"/>
    <cellStyle name="Input 2 2 6 2 3" xfId="12241" xr:uid="{00000000-0005-0000-0000-0000BB2F0000}"/>
    <cellStyle name="Input 2 2 6 3" xfId="12242" xr:uid="{00000000-0005-0000-0000-0000BC2F0000}"/>
    <cellStyle name="Input 2 2 6 4" xfId="12243" xr:uid="{00000000-0005-0000-0000-0000BD2F0000}"/>
    <cellStyle name="Input 2 2 7" xfId="12244" xr:uid="{00000000-0005-0000-0000-0000BE2F0000}"/>
    <cellStyle name="Input 2 2 7 2" xfId="12245" xr:uid="{00000000-0005-0000-0000-0000BF2F0000}"/>
    <cellStyle name="Input 2 2 7 2 2" xfId="12246" xr:uid="{00000000-0005-0000-0000-0000C02F0000}"/>
    <cellStyle name="Input 2 2 7 2 3" xfId="12247" xr:uid="{00000000-0005-0000-0000-0000C12F0000}"/>
    <cellStyle name="Input 2 2 7 3" xfId="12248" xr:uid="{00000000-0005-0000-0000-0000C22F0000}"/>
    <cellStyle name="Input 2 2 7 4" xfId="12249" xr:uid="{00000000-0005-0000-0000-0000C32F0000}"/>
    <cellStyle name="Input 2 2 8" xfId="12250" xr:uid="{00000000-0005-0000-0000-0000C42F0000}"/>
    <cellStyle name="Input 2 2 8 2" xfId="12251" xr:uid="{00000000-0005-0000-0000-0000C52F0000}"/>
    <cellStyle name="Input 2 2 8 2 2" xfId="12252" xr:uid="{00000000-0005-0000-0000-0000C62F0000}"/>
    <cellStyle name="Input 2 2 8 2 3" xfId="12253" xr:uid="{00000000-0005-0000-0000-0000C72F0000}"/>
    <cellStyle name="Input 2 2 8 3" xfId="12254" xr:uid="{00000000-0005-0000-0000-0000C82F0000}"/>
    <cellStyle name="Input 2 2 8 4" xfId="12255" xr:uid="{00000000-0005-0000-0000-0000C92F0000}"/>
    <cellStyle name="Input 2 2 9" xfId="12256" xr:uid="{00000000-0005-0000-0000-0000CA2F0000}"/>
    <cellStyle name="Input 2 2 9 2" xfId="12257" xr:uid="{00000000-0005-0000-0000-0000CB2F0000}"/>
    <cellStyle name="Input 2 2 9 2 2" xfId="12258" xr:uid="{00000000-0005-0000-0000-0000CC2F0000}"/>
    <cellStyle name="Input 2 2 9 2 3" xfId="12259" xr:uid="{00000000-0005-0000-0000-0000CD2F0000}"/>
    <cellStyle name="Input 2 2 9 3" xfId="12260" xr:uid="{00000000-0005-0000-0000-0000CE2F0000}"/>
    <cellStyle name="Input 2 2 9 4" xfId="12261" xr:uid="{00000000-0005-0000-0000-0000CF2F0000}"/>
    <cellStyle name="Input 2 3" xfId="12262" xr:uid="{00000000-0005-0000-0000-0000D02F0000}"/>
    <cellStyle name="Input 2 3 2" xfId="12263" xr:uid="{00000000-0005-0000-0000-0000D12F0000}"/>
    <cellStyle name="Input 2 3 2 2" xfId="12264" xr:uid="{00000000-0005-0000-0000-0000D22F0000}"/>
    <cellStyle name="Input 2 3 2 3" xfId="12265" xr:uid="{00000000-0005-0000-0000-0000D32F0000}"/>
    <cellStyle name="Input 2 3 3" xfId="12266" xr:uid="{00000000-0005-0000-0000-0000D42F0000}"/>
    <cellStyle name="Input 2 3 4" xfId="12267" xr:uid="{00000000-0005-0000-0000-0000D52F0000}"/>
    <cellStyle name="Input 2 4" xfId="12268" xr:uid="{00000000-0005-0000-0000-0000D62F0000}"/>
    <cellStyle name="Input 2 5" xfId="12269" xr:uid="{00000000-0005-0000-0000-0000D72F0000}"/>
    <cellStyle name="Input 20" xfId="12270" xr:uid="{00000000-0005-0000-0000-0000D82F0000}"/>
    <cellStyle name="Input 20 2" xfId="12271" xr:uid="{00000000-0005-0000-0000-0000D92F0000}"/>
    <cellStyle name="Input 20 2 10" xfId="12272" xr:uid="{00000000-0005-0000-0000-0000DA2F0000}"/>
    <cellStyle name="Input 20 2 10 2" xfId="12273" xr:uid="{00000000-0005-0000-0000-0000DB2F0000}"/>
    <cellStyle name="Input 20 2 10 2 2" xfId="12274" xr:uid="{00000000-0005-0000-0000-0000DC2F0000}"/>
    <cellStyle name="Input 20 2 10 2 3" xfId="12275" xr:uid="{00000000-0005-0000-0000-0000DD2F0000}"/>
    <cellStyle name="Input 20 2 10 3" xfId="12276" xr:uid="{00000000-0005-0000-0000-0000DE2F0000}"/>
    <cellStyle name="Input 20 2 10 4" xfId="12277" xr:uid="{00000000-0005-0000-0000-0000DF2F0000}"/>
    <cellStyle name="Input 20 2 11" xfId="12278" xr:uid="{00000000-0005-0000-0000-0000E02F0000}"/>
    <cellStyle name="Input 20 2 11 2" xfId="12279" xr:uid="{00000000-0005-0000-0000-0000E12F0000}"/>
    <cellStyle name="Input 20 2 11 2 2" xfId="12280" xr:uid="{00000000-0005-0000-0000-0000E22F0000}"/>
    <cellStyle name="Input 20 2 11 2 3" xfId="12281" xr:uid="{00000000-0005-0000-0000-0000E32F0000}"/>
    <cellStyle name="Input 20 2 11 3" xfId="12282" xr:uid="{00000000-0005-0000-0000-0000E42F0000}"/>
    <cellStyle name="Input 20 2 11 4" xfId="12283" xr:uid="{00000000-0005-0000-0000-0000E52F0000}"/>
    <cellStyle name="Input 20 2 12" xfId="12284" xr:uid="{00000000-0005-0000-0000-0000E62F0000}"/>
    <cellStyle name="Input 20 2 12 2" xfId="12285" xr:uid="{00000000-0005-0000-0000-0000E72F0000}"/>
    <cellStyle name="Input 20 2 12 2 2" xfId="12286" xr:uid="{00000000-0005-0000-0000-0000E82F0000}"/>
    <cellStyle name="Input 20 2 12 2 3" xfId="12287" xr:uid="{00000000-0005-0000-0000-0000E92F0000}"/>
    <cellStyle name="Input 20 2 12 3" xfId="12288" xr:uid="{00000000-0005-0000-0000-0000EA2F0000}"/>
    <cellStyle name="Input 20 2 12 4" xfId="12289" xr:uid="{00000000-0005-0000-0000-0000EB2F0000}"/>
    <cellStyle name="Input 20 2 13" xfId="12290" xr:uid="{00000000-0005-0000-0000-0000EC2F0000}"/>
    <cellStyle name="Input 20 2 13 2" xfId="12291" xr:uid="{00000000-0005-0000-0000-0000ED2F0000}"/>
    <cellStyle name="Input 20 2 13 2 2" xfId="12292" xr:uid="{00000000-0005-0000-0000-0000EE2F0000}"/>
    <cellStyle name="Input 20 2 13 2 3" xfId="12293" xr:uid="{00000000-0005-0000-0000-0000EF2F0000}"/>
    <cellStyle name="Input 20 2 13 3" xfId="12294" xr:uid="{00000000-0005-0000-0000-0000F02F0000}"/>
    <cellStyle name="Input 20 2 13 4" xfId="12295" xr:uid="{00000000-0005-0000-0000-0000F12F0000}"/>
    <cellStyle name="Input 20 2 14" xfId="12296" xr:uid="{00000000-0005-0000-0000-0000F22F0000}"/>
    <cellStyle name="Input 20 2 14 2" xfId="12297" xr:uid="{00000000-0005-0000-0000-0000F32F0000}"/>
    <cellStyle name="Input 20 2 14 2 2" xfId="12298" xr:uid="{00000000-0005-0000-0000-0000F42F0000}"/>
    <cellStyle name="Input 20 2 14 2 3" xfId="12299" xr:uid="{00000000-0005-0000-0000-0000F52F0000}"/>
    <cellStyle name="Input 20 2 14 3" xfId="12300" xr:uid="{00000000-0005-0000-0000-0000F62F0000}"/>
    <cellStyle name="Input 20 2 14 4" xfId="12301" xr:uid="{00000000-0005-0000-0000-0000F72F0000}"/>
    <cellStyle name="Input 20 2 15" xfId="12302" xr:uid="{00000000-0005-0000-0000-0000F82F0000}"/>
    <cellStyle name="Input 20 2 15 2" xfId="12303" xr:uid="{00000000-0005-0000-0000-0000F92F0000}"/>
    <cellStyle name="Input 20 2 15 2 2" xfId="12304" xr:uid="{00000000-0005-0000-0000-0000FA2F0000}"/>
    <cellStyle name="Input 20 2 15 2 3" xfId="12305" xr:uid="{00000000-0005-0000-0000-0000FB2F0000}"/>
    <cellStyle name="Input 20 2 15 3" xfId="12306" xr:uid="{00000000-0005-0000-0000-0000FC2F0000}"/>
    <cellStyle name="Input 20 2 15 4" xfId="12307" xr:uid="{00000000-0005-0000-0000-0000FD2F0000}"/>
    <cellStyle name="Input 20 2 16" xfId="12308" xr:uid="{00000000-0005-0000-0000-0000FE2F0000}"/>
    <cellStyle name="Input 20 2 16 2" xfId="12309" xr:uid="{00000000-0005-0000-0000-0000FF2F0000}"/>
    <cellStyle name="Input 20 2 16 2 2" xfId="12310" xr:uid="{00000000-0005-0000-0000-000000300000}"/>
    <cellStyle name="Input 20 2 16 2 3" xfId="12311" xr:uid="{00000000-0005-0000-0000-000001300000}"/>
    <cellStyle name="Input 20 2 16 3" xfId="12312" xr:uid="{00000000-0005-0000-0000-000002300000}"/>
    <cellStyle name="Input 20 2 16 4" xfId="12313" xr:uid="{00000000-0005-0000-0000-000003300000}"/>
    <cellStyle name="Input 20 2 17" xfId="12314" xr:uid="{00000000-0005-0000-0000-000004300000}"/>
    <cellStyle name="Input 20 2 17 2" xfId="12315" xr:uid="{00000000-0005-0000-0000-000005300000}"/>
    <cellStyle name="Input 20 2 17 2 2" xfId="12316" xr:uid="{00000000-0005-0000-0000-000006300000}"/>
    <cellStyle name="Input 20 2 17 2 3" xfId="12317" xr:uid="{00000000-0005-0000-0000-000007300000}"/>
    <cellStyle name="Input 20 2 17 3" xfId="12318" xr:uid="{00000000-0005-0000-0000-000008300000}"/>
    <cellStyle name="Input 20 2 17 4" xfId="12319" xr:uid="{00000000-0005-0000-0000-000009300000}"/>
    <cellStyle name="Input 20 2 18" xfId="12320" xr:uid="{00000000-0005-0000-0000-00000A300000}"/>
    <cellStyle name="Input 20 2 18 2" xfId="12321" xr:uid="{00000000-0005-0000-0000-00000B300000}"/>
    <cellStyle name="Input 20 2 18 3" xfId="12322" xr:uid="{00000000-0005-0000-0000-00000C300000}"/>
    <cellStyle name="Input 20 2 18 4" xfId="12323" xr:uid="{00000000-0005-0000-0000-00000D300000}"/>
    <cellStyle name="Input 20 2 19" xfId="12324" xr:uid="{00000000-0005-0000-0000-00000E300000}"/>
    <cellStyle name="Input 20 2 2" xfId="12325" xr:uid="{00000000-0005-0000-0000-00000F300000}"/>
    <cellStyle name="Input 20 2 2 2" xfId="12326" xr:uid="{00000000-0005-0000-0000-000010300000}"/>
    <cellStyle name="Input 20 2 2 2 2" xfId="12327" xr:uid="{00000000-0005-0000-0000-000011300000}"/>
    <cellStyle name="Input 20 2 2 2 3" xfId="12328" xr:uid="{00000000-0005-0000-0000-000012300000}"/>
    <cellStyle name="Input 20 2 2 3" xfId="12329" xr:uid="{00000000-0005-0000-0000-000013300000}"/>
    <cellStyle name="Input 20 2 2 4" xfId="12330" xr:uid="{00000000-0005-0000-0000-000014300000}"/>
    <cellStyle name="Input 20 2 20" xfId="12331" xr:uid="{00000000-0005-0000-0000-000015300000}"/>
    <cellStyle name="Input 20 2 21" xfId="12332" xr:uid="{00000000-0005-0000-0000-000016300000}"/>
    <cellStyle name="Input 20 2 3" xfId="12333" xr:uid="{00000000-0005-0000-0000-000017300000}"/>
    <cellStyle name="Input 20 2 3 2" xfId="12334" xr:uid="{00000000-0005-0000-0000-000018300000}"/>
    <cellStyle name="Input 20 2 3 2 2" xfId="12335" xr:uid="{00000000-0005-0000-0000-000019300000}"/>
    <cellStyle name="Input 20 2 3 2 3" xfId="12336" xr:uid="{00000000-0005-0000-0000-00001A300000}"/>
    <cellStyle name="Input 20 2 3 3" xfId="12337" xr:uid="{00000000-0005-0000-0000-00001B300000}"/>
    <cellStyle name="Input 20 2 3 4" xfId="12338" xr:uid="{00000000-0005-0000-0000-00001C300000}"/>
    <cellStyle name="Input 20 2 4" xfId="12339" xr:uid="{00000000-0005-0000-0000-00001D300000}"/>
    <cellStyle name="Input 20 2 4 2" xfId="12340" xr:uid="{00000000-0005-0000-0000-00001E300000}"/>
    <cellStyle name="Input 20 2 4 2 2" xfId="12341" xr:uid="{00000000-0005-0000-0000-00001F300000}"/>
    <cellStyle name="Input 20 2 4 2 3" xfId="12342" xr:uid="{00000000-0005-0000-0000-000020300000}"/>
    <cellStyle name="Input 20 2 4 3" xfId="12343" xr:uid="{00000000-0005-0000-0000-000021300000}"/>
    <cellStyle name="Input 20 2 4 4" xfId="12344" xr:uid="{00000000-0005-0000-0000-000022300000}"/>
    <cellStyle name="Input 20 2 5" xfId="12345" xr:uid="{00000000-0005-0000-0000-000023300000}"/>
    <cellStyle name="Input 20 2 5 2" xfId="12346" xr:uid="{00000000-0005-0000-0000-000024300000}"/>
    <cellStyle name="Input 20 2 5 2 2" xfId="12347" xr:uid="{00000000-0005-0000-0000-000025300000}"/>
    <cellStyle name="Input 20 2 5 2 3" xfId="12348" xr:uid="{00000000-0005-0000-0000-000026300000}"/>
    <cellStyle name="Input 20 2 5 3" xfId="12349" xr:uid="{00000000-0005-0000-0000-000027300000}"/>
    <cellStyle name="Input 20 2 5 4" xfId="12350" xr:uid="{00000000-0005-0000-0000-000028300000}"/>
    <cellStyle name="Input 20 2 6" xfId="12351" xr:uid="{00000000-0005-0000-0000-000029300000}"/>
    <cellStyle name="Input 20 2 6 2" xfId="12352" xr:uid="{00000000-0005-0000-0000-00002A300000}"/>
    <cellStyle name="Input 20 2 6 2 2" xfId="12353" xr:uid="{00000000-0005-0000-0000-00002B300000}"/>
    <cellStyle name="Input 20 2 6 2 3" xfId="12354" xr:uid="{00000000-0005-0000-0000-00002C300000}"/>
    <cellStyle name="Input 20 2 6 3" xfId="12355" xr:uid="{00000000-0005-0000-0000-00002D300000}"/>
    <cellStyle name="Input 20 2 6 4" xfId="12356" xr:uid="{00000000-0005-0000-0000-00002E300000}"/>
    <cellStyle name="Input 20 2 7" xfId="12357" xr:uid="{00000000-0005-0000-0000-00002F300000}"/>
    <cellStyle name="Input 20 2 7 2" xfId="12358" xr:uid="{00000000-0005-0000-0000-000030300000}"/>
    <cellStyle name="Input 20 2 7 2 2" xfId="12359" xr:uid="{00000000-0005-0000-0000-000031300000}"/>
    <cellStyle name="Input 20 2 7 2 3" xfId="12360" xr:uid="{00000000-0005-0000-0000-000032300000}"/>
    <cellStyle name="Input 20 2 7 3" xfId="12361" xr:uid="{00000000-0005-0000-0000-000033300000}"/>
    <cellStyle name="Input 20 2 7 4" xfId="12362" xr:uid="{00000000-0005-0000-0000-000034300000}"/>
    <cellStyle name="Input 20 2 8" xfId="12363" xr:uid="{00000000-0005-0000-0000-000035300000}"/>
    <cellStyle name="Input 20 2 8 2" xfId="12364" xr:uid="{00000000-0005-0000-0000-000036300000}"/>
    <cellStyle name="Input 20 2 8 2 2" xfId="12365" xr:uid="{00000000-0005-0000-0000-000037300000}"/>
    <cellStyle name="Input 20 2 8 2 3" xfId="12366" xr:uid="{00000000-0005-0000-0000-000038300000}"/>
    <cellStyle name="Input 20 2 8 3" xfId="12367" xr:uid="{00000000-0005-0000-0000-000039300000}"/>
    <cellStyle name="Input 20 2 8 4" xfId="12368" xr:uid="{00000000-0005-0000-0000-00003A300000}"/>
    <cellStyle name="Input 20 2 9" xfId="12369" xr:uid="{00000000-0005-0000-0000-00003B300000}"/>
    <cellStyle name="Input 20 2 9 2" xfId="12370" xr:uid="{00000000-0005-0000-0000-00003C300000}"/>
    <cellStyle name="Input 20 2 9 2 2" xfId="12371" xr:uid="{00000000-0005-0000-0000-00003D300000}"/>
    <cellStyle name="Input 20 2 9 2 3" xfId="12372" xr:uid="{00000000-0005-0000-0000-00003E300000}"/>
    <cellStyle name="Input 20 2 9 3" xfId="12373" xr:uid="{00000000-0005-0000-0000-00003F300000}"/>
    <cellStyle name="Input 20 2 9 4" xfId="12374" xr:uid="{00000000-0005-0000-0000-000040300000}"/>
    <cellStyle name="Input 20 3" xfId="12375" xr:uid="{00000000-0005-0000-0000-000041300000}"/>
    <cellStyle name="Input 20 3 2" xfId="12376" xr:uid="{00000000-0005-0000-0000-000042300000}"/>
    <cellStyle name="Input 20 3 2 2" xfId="12377" xr:uid="{00000000-0005-0000-0000-000043300000}"/>
    <cellStyle name="Input 20 3 2 3" xfId="12378" xr:uid="{00000000-0005-0000-0000-000044300000}"/>
    <cellStyle name="Input 20 3 3" xfId="12379" xr:uid="{00000000-0005-0000-0000-000045300000}"/>
    <cellStyle name="Input 20 3 4" xfId="12380" xr:uid="{00000000-0005-0000-0000-000046300000}"/>
    <cellStyle name="Input 20 4" xfId="12381" xr:uid="{00000000-0005-0000-0000-000047300000}"/>
    <cellStyle name="Input 20 5" xfId="12382" xr:uid="{00000000-0005-0000-0000-000048300000}"/>
    <cellStyle name="Input 21" xfId="12383" xr:uid="{00000000-0005-0000-0000-000049300000}"/>
    <cellStyle name="Input 21 2" xfId="12384" xr:uid="{00000000-0005-0000-0000-00004A300000}"/>
    <cellStyle name="Input 21 2 10" xfId="12385" xr:uid="{00000000-0005-0000-0000-00004B300000}"/>
    <cellStyle name="Input 21 2 10 2" xfId="12386" xr:uid="{00000000-0005-0000-0000-00004C300000}"/>
    <cellStyle name="Input 21 2 10 2 2" xfId="12387" xr:uid="{00000000-0005-0000-0000-00004D300000}"/>
    <cellStyle name="Input 21 2 10 2 3" xfId="12388" xr:uid="{00000000-0005-0000-0000-00004E300000}"/>
    <cellStyle name="Input 21 2 10 3" xfId="12389" xr:uid="{00000000-0005-0000-0000-00004F300000}"/>
    <cellStyle name="Input 21 2 10 4" xfId="12390" xr:uid="{00000000-0005-0000-0000-000050300000}"/>
    <cellStyle name="Input 21 2 11" xfId="12391" xr:uid="{00000000-0005-0000-0000-000051300000}"/>
    <cellStyle name="Input 21 2 11 2" xfId="12392" xr:uid="{00000000-0005-0000-0000-000052300000}"/>
    <cellStyle name="Input 21 2 11 2 2" xfId="12393" xr:uid="{00000000-0005-0000-0000-000053300000}"/>
    <cellStyle name="Input 21 2 11 2 3" xfId="12394" xr:uid="{00000000-0005-0000-0000-000054300000}"/>
    <cellStyle name="Input 21 2 11 3" xfId="12395" xr:uid="{00000000-0005-0000-0000-000055300000}"/>
    <cellStyle name="Input 21 2 11 4" xfId="12396" xr:uid="{00000000-0005-0000-0000-000056300000}"/>
    <cellStyle name="Input 21 2 12" xfId="12397" xr:uid="{00000000-0005-0000-0000-000057300000}"/>
    <cellStyle name="Input 21 2 12 2" xfId="12398" xr:uid="{00000000-0005-0000-0000-000058300000}"/>
    <cellStyle name="Input 21 2 12 2 2" xfId="12399" xr:uid="{00000000-0005-0000-0000-000059300000}"/>
    <cellStyle name="Input 21 2 12 2 3" xfId="12400" xr:uid="{00000000-0005-0000-0000-00005A300000}"/>
    <cellStyle name="Input 21 2 12 3" xfId="12401" xr:uid="{00000000-0005-0000-0000-00005B300000}"/>
    <cellStyle name="Input 21 2 12 4" xfId="12402" xr:uid="{00000000-0005-0000-0000-00005C300000}"/>
    <cellStyle name="Input 21 2 13" xfId="12403" xr:uid="{00000000-0005-0000-0000-00005D300000}"/>
    <cellStyle name="Input 21 2 13 2" xfId="12404" xr:uid="{00000000-0005-0000-0000-00005E300000}"/>
    <cellStyle name="Input 21 2 13 2 2" xfId="12405" xr:uid="{00000000-0005-0000-0000-00005F300000}"/>
    <cellStyle name="Input 21 2 13 2 3" xfId="12406" xr:uid="{00000000-0005-0000-0000-000060300000}"/>
    <cellStyle name="Input 21 2 13 3" xfId="12407" xr:uid="{00000000-0005-0000-0000-000061300000}"/>
    <cellStyle name="Input 21 2 13 4" xfId="12408" xr:uid="{00000000-0005-0000-0000-000062300000}"/>
    <cellStyle name="Input 21 2 14" xfId="12409" xr:uid="{00000000-0005-0000-0000-000063300000}"/>
    <cellStyle name="Input 21 2 14 2" xfId="12410" xr:uid="{00000000-0005-0000-0000-000064300000}"/>
    <cellStyle name="Input 21 2 14 2 2" xfId="12411" xr:uid="{00000000-0005-0000-0000-000065300000}"/>
    <cellStyle name="Input 21 2 14 2 3" xfId="12412" xr:uid="{00000000-0005-0000-0000-000066300000}"/>
    <cellStyle name="Input 21 2 14 3" xfId="12413" xr:uid="{00000000-0005-0000-0000-000067300000}"/>
    <cellStyle name="Input 21 2 14 4" xfId="12414" xr:uid="{00000000-0005-0000-0000-000068300000}"/>
    <cellStyle name="Input 21 2 15" xfId="12415" xr:uid="{00000000-0005-0000-0000-000069300000}"/>
    <cellStyle name="Input 21 2 15 2" xfId="12416" xr:uid="{00000000-0005-0000-0000-00006A300000}"/>
    <cellStyle name="Input 21 2 15 2 2" xfId="12417" xr:uid="{00000000-0005-0000-0000-00006B300000}"/>
    <cellStyle name="Input 21 2 15 2 3" xfId="12418" xr:uid="{00000000-0005-0000-0000-00006C300000}"/>
    <cellStyle name="Input 21 2 15 3" xfId="12419" xr:uid="{00000000-0005-0000-0000-00006D300000}"/>
    <cellStyle name="Input 21 2 15 4" xfId="12420" xr:uid="{00000000-0005-0000-0000-00006E300000}"/>
    <cellStyle name="Input 21 2 16" xfId="12421" xr:uid="{00000000-0005-0000-0000-00006F300000}"/>
    <cellStyle name="Input 21 2 16 2" xfId="12422" xr:uid="{00000000-0005-0000-0000-000070300000}"/>
    <cellStyle name="Input 21 2 16 2 2" xfId="12423" xr:uid="{00000000-0005-0000-0000-000071300000}"/>
    <cellStyle name="Input 21 2 16 2 3" xfId="12424" xr:uid="{00000000-0005-0000-0000-000072300000}"/>
    <cellStyle name="Input 21 2 16 3" xfId="12425" xr:uid="{00000000-0005-0000-0000-000073300000}"/>
    <cellStyle name="Input 21 2 16 4" xfId="12426" xr:uid="{00000000-0005-0000-0000-000074300000}"/>
    <cellStyle name="Input 21 2 17" xfId="12427" xr:uid="{00000000-0005-0000-0000-000075300000}"/>
    <cellStyle name="Input 21 2 17 2" xfId="12428" xr:uid="{00000000-0005-0000-0000-000076300000}"/>
    <cellStyle name="Input 21 2 17 2 2" xfId="12429" xr:uid="{00000000-0005-0000-0000-000077300000}"/>
    <cellStyle name="Input 21 2 17 2 3" xfId="12430" xr:uid="{00000000-0005-0000-0000-000078300000}"/>
    <cellStyle name="Input 21 2 17 3" xfId="12431" xr:uid="{00000000-0005-0000-0000-000079300000}"/>
    <cellStyle name="Input 21 2 17 4" xfId="12432" xr:uid="{00000000-0005-0000-0000-00007A300000}"/>
    <cellStyle name="Input 21 2 18" xfId="12433" xr:uid="{00000000-0005-0000-0000-00007B300000}"/>
    <cellStyle name="Input 21 2 18 2" xfId="12434" xr:uid="{00000000-0005-0000-0000-00007C300000}"/>
    <cellStyle name="Input 21 2 18 3" xfId="12435" xr:uid="{00000000-0005-0000-0000-00007D300000}"/>
    <cellStyle name="Input 21 2 18 4" xfId="12436" xr:uid="{00000000-0005-0000-0000-00007E300000}"/>
    <cellStyle name="Input 21 2 19" xfId="12437" xr:uid="{00000000-0005-0000-0000-00007F300000}"/>
    <cellStyle name="Input 21 2 2" xfId="12438" xr:uid="{00000000-0005-0000-0000-000080300000}"/>
    <cellStyle name="Input 21 2 2 2" xfId="12439" xr:uid="{00000000-0005-0000-0000-000081300000}"/>
    <cellStyle name="Input 21 2 2 2 2" xfId="12440" xr:uid="{00000000-0005-0000-0000-000082300000}"/>
    <cellStyle name="Input 21 2 2 2 3" xfId="12441" xr:uid="{00000000-0005-0000-0000-000083300000}"/>
    <cellStyle name="Input 21 2 2 3" xfId="12442" xr:uid="{00000000-0005-0000-0000-000084300000}"/>
    <cellStyle name="Input 21 2 2 4" xfId="12443" xr:uid="{00000000-0005-0000-0000-000085300000}"/>
    <cellStyle name="Input 21 2 20" xfId="12444" xr:uid="{00000000-0005-0000-0000-000086300000}"/>
    <cellStyle name="Input 21 2 21" xfId="12445" xr:uid="{00000000-0005-0000-0000-000087300000}"/>
    <cellStyle name="Input 21 2 3" xfId="12446" xr:uid="{00000000-0005-0000-0000-000088300000}"/>
    <cellStyle name="Input 21 2 3 2" xfId="12447" xr:uid="{00000000-0005-0000-0000-000089300000}"/>
    <cellStyle name="Input 21 2 3 2 2" xfId="12448" xr:uid="{00000000-0005-0000-0000-00008A300000}"/>
    <cellStyle name="Input 21 2 3 2 3" xfId="12449" xr:uid="{00000000-0005-0000-0000-00008B300000}"/>
    <cellStyle name="Input 21 2 3 3" xfId="12450" xr:uid="{00000000-0005-0000-0000-00008C300000}"/>
    <cellStyle name="Input 21 2 3 4" xfId="12451" xr:uid="{00000000-0005-0000-0000-00008D300000}"/>
    <cellStyle name="Input 21 2 4" xfId="12452" xr:uid="{00000000-0005-0000-0000-00008E300000}"/>
    <cellStyle name="Input 21 2 4 2" xfId="12453" xr:uid="{00000000-0005-0000-0000-00008F300000}"/>
    <cellStyle name="Input 21 2 4 2 2" xfId="12454" xr:uid="{00000000-0005-0000-0000-000090300000}"/>
    <cellStyle name="Input 21 2 4 2 3" xfId="12455" xr:uid="{00000000-0005-0000-0000-000091300000}"/>
    <cellStyle name="Input 21 2 4 3" xfId="12456" xr:uid="{00000000-0005-0000-0000-000092300000}"/>
    <cellStyle name="Input 21 2 4 4" xfId="12457" xr:uid="{00000000-0005-0000-0000-000093300000}"/>
    <cellStyle name="Input 21 2 5" xfId="12458" xr:uid="{00000000-0005-0000-0000-000094300000}"/>
    <cellStyle name="Input 21 2 5 2" xfId="12459" xr:uid="{00000000-0005-0000-0000-000095300000}"/>
    <cellStyle name="Input 21 2 5 2 2" xfId="12460" xr:uid="{00000000-0005-0000-0000-000096300000}"/>
    <cellStyle name="Input 21 2 5 2 3" xfId="12461" xr:uid="{00000000-0005-0000-0000-000097300000}"/>
    <cellStyle name="Input 21 2 5 3" xfId="12462" xr:uid="{00000000-0005-0000-0000-000098300000}"/>
    <cellStyle name="Input 21 2 5 4" xfId="12463" xr:uid="{00000000-0005-0000-0000-000099300000}"/>
    <cellStyle name="Input 21 2 6" xfId="12464" xr:uid="{00000000-0005-0000-0000-00009A300000}"/>
    <cellStyle name="Input 21 2 6 2" xfId="12465" xr:uid="{00000000-0005-0000-0000-00009B300000}"/>
    <cellStyle name="Input 21 2 6 2 2" xfId="12466" xr:uid="{00000000-0005-0000-0000-00009C300000}"/>
    <cellStyle name="Input 21 2 6 2 3" xfId="12467" xr:uid="{00000000-0005-0000-0000-00009D300000}"/>
    <cellStyle name="Input 21 2 6 3" xfId="12468" xr:uid="{00000000-0005-0000-0000-00009E300000}"/>
    <cellStyle name="Input 21 2 6 4" xfId="12469" xr:uid="{00000000-0005-0000-0000-00009F300000}"/>
    <cellStyle name="Input 21 2 7" xfId="12470" xr:uid="{00000000-0005-0000-0000-0000A0300000}"/>
    <cellStyle name="Input 21 2 7 2" xfId="12471" xr:uid="{00000000-0005-0000-0000-0000A1300000}"/>
    <cellStyle name="Input 21 2 7 2 2" xfId="12472" xr:uid="{00000000-0005-0000-0000-0000A2300000}"/>
    <cellStyle name="Input 21 2 7 2 3" xfId="12473" xr:uid="{00000000-0005-0000-0000-0000A3300000}"/>
    <cellStyle name="Input 21 2 7 3" xfId="12474" xr:uid="{00000000-0005-0000-0000-0000A4300000}"/>
    <cellStyle name="Input 21 2 7 4" xfId="12475" xr:uid="{00000000-0005-0000-0000-0000A5300000}"/>
    <cellStyle name="Input 21 2 8" xfId="12476" xr:uid="{00000000-0005-0000-0000-0000A6300000}"/>
    <cellStyle name="Input 21 2 8 2" xfId="12477" xr:uid="{00000000-0005-0000-0000-0000A7300000}"/>
    <cellStyle name="Input 21 2 8 2 2" xfId="12478" xr:uid="{00000000-0005-0000-0000-0000A8300000}"/>
    <cellStyle name="Input 21 2 8 2 3" xfId="12479" xr:uid="{00000000-0005-0000-0000-0000A9300000}"/>
    <cellStyle name="Input 21 2 8 3" xfId="12480" xr:uid="{00000000-0005-0000-0000-0000AA300000}"/>
    <cellStyle name="Input 21 2 8 4" xfId="12481" xr:uid="{00000000-0005-0000-0000-0000AB300000}"/>
    <cellStyle name="Input 21 2 9" xfId="12482" xr:uid="{00000000-0005-0000-0000-0000AC300000}"/>
    <cellStyle name="Input 21 2 9 2" xfId="12483" xr:uid="{00000000-0005-0000-0000-0000AD300000}"/>
    <cellStyle name="Input 21 2 9 2 2" xfId="12484" xr:uid="{00000000-0005-0000-0000-0000AE300000}"/>
    <cellStyle name="Input 21 2 9 2 3" xfId="12485" xr:uid="{00000000-0005-0000-0000-0000AF300000}"/>
    <cellStyle name="Input 21 2 9 3" xfId="12486" xr:uid="{00000000-0005-0000-0000-0000B0300000}"/>
    <cellStyle name="Input 21 2 9 4" xfId="12487" xr:uid="{00000000-0005-0000-0000-0000B1300000}"/>
    <cellStyle name="Input 21 3" xfId="12488" xr:uid="{00000000-0005-0000-0000-0000B2300000}"/>
    <cellStyle name="Input 21 3 2" xfId="12489" xr:uid="{00000000-0005-0000-0000-0000B3300000}"/>
    <cellStyle name="Input 21 3 2 2" xfId="12490" xr:uid="{00000000-0005-0000-0000-0000B4300000}"/>
    <cellStyle name="Input 21 3 2 3" xfId="12491" xr:uid="{00000000-0005-0000-0000-0000B5300000}"/>
    <cellStyle name="Input 21 3 3" xfId="12492" xr:uid="{00000000-0005-0000-0000-0000B6300000}"/>
    <cellStyle name="Input 21 3 4" xfId="12493" xr:uid="{00000000-0005-0000-0000-0000B7300000}"/>
    <cellStyle name="Input 21 4" xfId="12494" xr:uid="{00000000-0005-0000-0000-0000B8300000}"/>
    <cellStyle name="Input 21 5" xfId="12495" xr:uid="{00000000-0005-0000-0000-0000B9300000}"/>
    <cellStyle name="Input 22" xfId="12496" xr:uid="{00000000-0005-0000-0000-0000BA300000}"/>
    <cellStyle name="Input 22 2" xfId="12497" xr:uid="{00000000-0005-0000-0000-0000BB300000}"/>
    <cellStyle name="Input 22 2 10" xfId="12498" xr:uid="{00000000-0005-0000-0000-0000BC300000}"/>
    <cellStyle name="Input 22 2 10 2" xfId="12499" xr:uid="{00000000-0005-0000-0000-0000BD300000}"/>
    <cellStyle name="Input 22 2 10 2 2" xfId="12500" xr:uid="{00000000-0005-0000-0000-0000BE300000}"/>
    <cellStyle name="Input 22 2 10 2 3" xfId="12501" xr:uid="{00000000-0005-0000-0000-0000BF300000}"/>
    <cellStyle name="Input 22 2 10 3" xfId="12502" xr:uid="{00000000-0005-0000-0000-0000C0300000}"/>
    <cellStyle name="Input 22 2 10 4" xfId="12503" xr:uid="{00000000-0005-0000-0000-0000C1300000}"/>
    <cellStyle name="Input 22 2 11" xfId="12504" xr:uid="{00000000-0005-0000-0000-0000C2300000}"/>
    <cellStyle name="Input 22 2 11 2" xfId="12505" xr:uid="{00000000-0005-0000-0000-0000C3300000}"/>
    <cellStyle name="Input 22 2 11 2 2" xfId="12506" xr:uid="{00000000-0005-0000-0000-0000C4300000}"/>
    <cellStyle name="Input 22 2 11 2 3" xfId="12507" xr:uid="{00000000-0005-0000-0000-0000C5300000}"/>
    <cellStyle name="Input 22 2 11 3" xfId="12508" xr:uid="{00000000-0005-0000-0000-0000C6300000}"/>
    <cellStyle name="Input 22 2 11 4" xfId="12509" xr:uid="{00000000-0005-0000-0000-0000C7300000}"/>
    <cellStyle name="Input 22 2 12" xfId="12510" xr:uid="{00000000-0005-0000-0000-0000C8300000}"/>
    <cellStyle name="Input 22 2 12 2" xfId="12511" xr:uid="{00000000-0005-0000-0000-0000C9300000}"/>
    <cellStyle name="Input 22 2 12 2 2" xfId="12512" xr:uid="{00000000-0005-0000-0000-0000CA300000}"/>
    <cellStyle name="Input 22 2 12 2 3" xfId="12513" xr:uid="{00000000-0005-0000-0000-0000CB300000}"/>
    <cellStyle name="Input 22 2 12 3" xfId="12514" xr:uid="{00000000-0005-0000-0000-0000CC300000}"/>
    <cellStyle name="Input 22 2 12 4" xfId="12515" xr:uid="{00000000-0005-0000-0000-0000CD300000}"/>
    <cellStyle name="Input 22 2 13" xfId="12516" xr:uid="{00000000-0005-0000-0000-0000CE300000}"/>
    <cellStyle name="Input 22 2 13 2" xfId="12517" xr:uid="{00000000-0005-0000-0000-0000CF300000}"/>
    <cellStyle name="Input 22 2 13 2 2" xfId="12518" xr:uid="{00000000-0005-0000-0000-0000D0300000}"/>
    <cellStyle name="Input 22 2 13 2 3" xfId="12519" xr:uid="{00000000-0005-0000-0000-0000D1300000}"/>
    <cellStyle name="Input 22 2 13 3" xfId="12520" xr:uid="{00000000-0005-0000-0000-0000D2300000}"/>
    <cellStyle name="Input 22 2 13 4" xfId="12521" xr:uid="{00000000-0005-0000-0000-0000D3300000}"/>
    <cellStyle name="Input 22 2 14" xfId="12522" xr:uid="{00000000-0005-0000-0000-0000D4300000}"/>
    <cellStyle name="Input 22 2 14 2" xfId="12523" xr:uid="{00000000-0005-0000-0000-0000D5300000}"/>
    <cellStyle name="Input 22 2 14 2 2" xfId="12524" xr:uid="{00000000-0005-0000-0000-0000D6300000}"/>
    <cellStyle name="Input 22 2 14 2 3" xfId="12525" xr:uid="{00000000-0005-0000-0000-0000D7300000}"/>
    <cellStyle name="Input 22 2 14 3" xfId="12526" xr:uid="{00000000-0005-0000-0000-0000D8300000}"/>
    <cellStyle name="Input 22 2 14 4" xfId="12527" xr:uid="{00000000-0005-0000-0000-0000D9300000}"/>
    <cellStyle name="Input 22 2 15" xfId="12528" xr:uid="{00000000-0005-0000-0000-0000DA300000}"/>
    <cellStyle name="Input 22 2 15 2" xfId="12529" xr:uid="{00000000-0005-0000-0000-0000DB300000}"/>
    <cellStyle name="Input 22 2 15 2 2" xfId="12530" xr:uid="{00000000-0005-0000-0000-0000DC300000}"/>
    <cellStyle name="Input 22 2 15 2 3" xfId="12531" xr:uid="{00000000-0005-0000-0000-0000DD300000}"/>
    <cellStyle name="Input 22 2 15 3" xfId="12532" xr:uid="{00000000-0005-0000-0000-0000DE300000}"/>
    <cellStyle name="Input 22 2 15 4" xfId="12533" xr:uid="{00000000-0005-0000-0000-0000DF300000}"/>
    <cellStyle name="Input 22 2 16" xfId="12534" xr:uid="{00000000-0005-0000-0000-0000E0300000}"/>
    <cellStyle name="Input 22 2 16 2" xfId="12535" xr:uid="{00000000-0005-0000-0000-0000E1300000}"/>
    <cellStyle name="Input 22 2 16 2 2" xfId="12536" xr:uid="{00000000-0005-0000-0000-0000E2300000}"/>
    <cellStyle name="Input 22 2 16 2 3" xfId="12537" xr:uid="{00000000-0005-0000-0000-0000E3300000}"/>
    <cellStyle name="Input 22 2 16 3" xfId="12538" xr:uid="{00000000-0005-0000-0000-0000E4300000}"/>
    <cellStyle name="Input 22 2 16 4" xfId="12539" xr:uid="{00000000-0005-0000-0000-0000E5300000}"/>
    <cellStyle name="Input 22 2 17" xfId="12540" xr:uid="{00000000-0005-0000-0000-0000E6300000}"/>
    <cellStyle name="Input 22 2 17 2" xfId="12541" xr:uid="{00000000-0005-0000-0000-0000E7300000}"/>
    <cellStyle name="Input 22 2 17 2 2" xfId="12542" xr:uid="{00000000-0005-0000-0000-0000E8300000}"/>
    <cellStyle name="Input 22 2 17 2 3" xfId="12543" xr:uid="{00000000-0005-0000-0000-0000E9300000}"/>
    <cellStyle name="Input 22 2 17 3" xfId="12544" xr:uid="{00000000-0005-0000-0000-0000EA300000}"/>
    <cellStyle name="Input 22 2 17 4" xfId="12545" xr:uid="{00000000-0005-0000-0000-0000EB300000}"/>
    <cellStyle name="Input 22 2 18" xfId="12546" xr:uid="{00000000-0005-0000-0000-0000EC300000}"/>
    <cellStyle name="Input 22 2 18 2" xfId="12547" xr:uid="{00000000-0005-0000-0000-0000ED300000}"/>
    <cellStyle name="Input 22 2 18 3" xfId="12548" xr:uid="{00000000-0005-0000-0000-0000EE300000}"/>
    <cellStyle name="Input 22 2 18 4" xfId="12549" xr:uid="{00000000-0005-0000-0000-0000EF300000}"/>
    <cellStyle name="Input 22 2 19" xfId="12550" xr:uid="{00000000-0005-0000-0000-0000F0300000}"/>
    <cellStyle name="Input 22 2 2" xfId="12551" xr:uid="{00000000-0005-0000-0000-0000F1300000}"/>
    <cellStyle name="Input 22 2 2 2" xfId="12552" xr:uid="{00000000-0005-0000-0000-0000F2300000}"/>
    <cellStyle name="Input 22 2 2 2 2" xfId="12553" xr:uid="{00000000-0005-0000-0000-0000F3300000}"/>
    <cellStyle name="Input 22 2 2 2 3" xfId="12554" xr:uid="{00000000-0005-0000-0000-0000F4300000}"/>
    <cellStyle name="Input 22 2 2 3" xfId="12555" xr:uid="{00000000-0005-0000-0000-0000F5300000}"/>
    <cellStyle name="Input 22 2 2 4" xfId="12556" xr:uid="{00000000-0005-0000-0000-0000F6300000}"/>
    <cellStyle name="Input 22 2 20" xfId="12557" xr:uid="{00000000-0005-0000-0000-0000F7300000}"/>
    <cellStyle name="Input 22 2 21" xfId="12558" xr:uid="{00000000-0005-0000-0000-0000F8300000}"/>
    <cellStyle name="Input 22 2 3" xfId="12559" xr:uid="{00000000-0005-0000-0000-0000F9300000}"/>
    <cellStyle name="Input 22 2 3 2" xfId="12560" xr:uid="{00000000-0005-0000-0000-0000FA300000}"/>
    <cellStyle name="Input 22 2 3 2 2" xfId="12561" xr:uid="{00000000-0005-0000-0000-0000FB300000}"/>
    <cellStyle name="Input 22 2 3 2 3" xfId="12562" xr:uid="{00000000-0005-0000-0000-0000FC300000}"/>
    <cellStyle name="Input 22 2 3 3" xfId="12563" xr:uid="{00000000-0005-0000-0000-0000FD300000}"/>
    <cellStyle name="Input 22 2 3 4" xfId="12564" xr:uid="{00000000-0005-0000-0000-0000FE300000}"/>
    <cellStyle name="Input 22 2 4" xfId="12565" xr:uid="{00000000-0005-0000-0000-0000FF300000}"/>
    <cellStyle name="Input 22 2 4 2" xfId="12566" xr:uid="{00000000-0005-0000-0000-000000310000}"/>
    <cellStyle name="Input 22 2 4 2 2" xfId="12567" xr:uid="{00000000-0005-0000-0000-000001310000}"/>
    <cellStyle name="Input 22 2 4 2 3" xfId="12568" xr:uid="{00000000-0005-0000-0000-000002310000}"/>
    <cellStyle name="Input 22 2 4 3" xfId="12569" xr:uid="{00000000-0005-0000-0000-000003310000}"/>
    <cellStyle name="Input 22 2 4 4" xfId="12570" xr:uid="{00000000-0005-0000-0000-000004310000}"/>
    <cellStyle name="Input 22 2 5" xfId="12571" xr:uid="{00000000-0005-0000-0000-000005310000}"/>
    <cellStyle name="Input 22 2 5 2" xfId="12572" xr:uid="{00000000-0005-0000-0000-000006310000}"/>
    <cellStyle name="Input 22 2 5 2 2" xfId="12573" xr:uid="{00000000-0005-0000-0000-000007310000}"/>
    <cellStyle name="Input 22 2 5 2 3" xfId="12574" xr:uid="{00000000-0005-0000-0000-000008310000}"/>
    <cellStyle name="Input 22 2 5 3" xfId="12575" xr:uid="{00000000-0005-0000-0000-000009310000}"/>
    <cellStyle name="Input 22 2 5 4" xfId="12576" xr:uid="{00000000-0005-0000-0000-00000A310000}"/>
    <cellStyle name="Input 22 2 6" xfId="12577" xr:uid="{00000000-0005-0000-0000-00000B310000}"/>
    <cellStyle name="Input 22 2 6 2" xfId="12578" xr:uid="{00000000-0005-0000-0000-00000C310000}"/>
    <cellStyle name="Input 22 2 6 2 2" xfId="12579" xr:uid="{00000000-0005-0000-0000-00000D310000}"/>
    <cellStyle name="Input 22 2 6 2 3" xfId="12580" xr:uid="{00000000-0005-0000-0000-00000E310000}"/>
    <cellStyle name="Input 22 2 6 3" xfId="12581" xr:uid="{00000000-0005-0000-0000-00000F310000}"/>
    <cellStyle name="Input 22 2 6 4" xfId="12582" xr:uid="{00000000-0005-0000-0000-000010310000}"/>
    <cellStyle name="Input 22 2 7" xfId="12583" xr:uid="{00000000-0005-0000-0000-000011310000}"/>
    <cellStyle name="Input 22 2 7 2" xfId="12584" xr:uid="{00000000-0005-0000-0000-000012310000}"/>
    <cellStyle name="Input 22 2 7 2 2" xfId="12585" xr:uid="{00000000-0005-0000-0000-000013310000}"/>
    <cellStyle name="Input 22 2 7 2 3" xfId="12586" xr:uid="{00000000-0005-0000-0000-000014310000}"/>
    <cellStyle name="Input 22 2 7 3" xfId="12587" xr:uid="{00000000-0005-0000-0000-000015310000}"/>
    <cellStyle name="Input 22 2 7 4" xfId="12588" xr:uid="{00000000-0005-0000-0000-000016310000}"/>
    <cellStyle name="Input 22 2 8" xfId="12589" xr:uid="{00000000-0005-0000-0000-000017310000}"/>
    <cellStyle name="Input 22 2 8 2" xfId="12590" xr:uid="{00000000-0005-0000-0000-000018310000}"/>
    <cellStyle name="Input 22 2 8 2 2" xfId="12591" xr:uid="{00000000-0005-0000-0000-000019310000}"/>
    <cellStyle name="Input 22 2 8 2 3" xfId="12592" xr:uid="{00000000-0005-0000-0000-00001A310000}"/>
    <cellStyle name="Input 22 2 8 3" xfId="12593" xr:uid="{00000000-0005-0000-0000-00001B310000}"/>
    <cellStyle name="Input 22 2 8 4" xfId="12594" xr:uid="{00000000-0005-0000-0000-00001C310000}"/>
    <cellStyle name="Input 22 2 9" xfId="12595" xr:uid="{00000000-0005-0000-0000-00001D310000}"/>
    <cellStyle name="Input 22 2 9 2" xfId="12596" xr:uid="{00000000-0005-0000-0000-00001E310000}"/>
    <cellStyle name="Input 22 2 9 2 2" xfId="12597" xr:uid="{00000000-0005-0000-0000-00001F310000}"/>
    <cellStyle name="Input 22 2 9 2 3" xfId="12598" xr:uid="{00000000-0005-0000-0000-000020310000}"/>
    <cellStyle name="Input 22 2 9 3" xfId="12599" xr:uid="{00000000-0005-0000-0000-000021310000}"/>
    <cellStyle name="Input 22 2 9 4" xfId="12600" xr:uid="{00000000-0005-0000-0000-000022310000}"/>
    <cellStyle name="Input 22 3" xfId="12601" xr:uid="{00000000-0005-0000-0000-000023310000}"/>
    <cellStyle name="Input 22 3 2" xfId="12602" xr:uid="{00000000-0005-0000-0000-000024310000}"/>
    <cellStyle name="Input 22 3 2 2" xfId="12603" xr:uid="{00000000-0005-0000-0000-000025310000}"/>
    <cellStyle name="Input 22 3 2 3" xfId="12604" xr:uid="{00000000-0005-0000-0000-000026310000}"/>
    <cellStyle name="Input 22 3 3" xfId="12605" xr:uid="{00000000-0005-0000-0000-000027310000}"/>
    <cellStyle name="Input 22 3 4" xfId="12606" xr:uid="{00000000-0005-0000-0000-000028310000}"/>
    <cellStyle name="Input 22 4" xfId="12607" xr:uid="{00000000-0005-0000-0000-000029310000}"/>
    <cellStyle name="Input 22 5" xfId="12608" xr:uid="{00000000-0005-0000-0000-00002A310000}"/>
    <cellStyle name="Input 23" xfId="12609" xr:uid="{00000000-0005-0000-0000-00002B310000}"/>
    <cellStyle name="Input 23 2" xfId="12610" xr:uid="{00000000-0005-0000-0000-00002C310000}"/>
    <cellStyle name="Input 23 2 10" xfId="12611" xr:uid="{00000000-0005-0000-0000-00002D310000}"/>
    <cellStyle name="Input 23 2 10 2" xfId="12612" xr:uid="{00000000-0005-0000-0000-00002E310000}"/>
    <cellStyle name="Input 23 2 10 2 2" xfId="12613" xr:uid="{00000000-0005-0000-0000-00002F310000}"/>
    <cellStyle name="Input 23 2 10 2 3" xfId="12614" xr:uid="{00000000-0005-0000-0000-000030310000}"/>
    <cellStyle name="Input 23 2 10 3" xfId="12615" xr:uid="{00000000-0005-0000-0000-000031310000}"/>
    <cellStyle name="Input 23 2 10 4" xfId="12616" xr:uid="{00000000-0005-0000-0000-000032310000}"/>
    <cellStyle name="Input 23 2 11" xfId="12617" xr:uid="{00000000-0005-0000-0000-000033310000}"/>
    <cellStyle name="Input 23 2 11 2" xfId="12618" xr:uid="{00000000-0005-0000-0000-000034310000}"/>
    <cellStyle name="Input 23 2 11 2 2" xfId="12619" xr:uid="{00000000-0005-0000-0000-000035310000}"/>
    <cellStyle name="Input 23 2 11 2 3" xfId="12620" xr:uid="{00000000-0005-0000-0000-000036310000}"/>
    <cellStyle name="Input 23 2 11 3" xfId="12621" xr:uid="{00000000-0005-0000-0000-000037310000}"/>
    <cellStyle name="Input 23 2 11 4" xfId="12622" xr:uid="{00000000-0005-0000-0000-000038310000}"/>
    <cellStyle name="Input 23 2 12" xfId="12623" xr:uid="{00000000-0005-0000-0000-000039310000}"/>
    <cellStyle name="Input 23 2 12 2" xfId="12624" xr:uid="{00000000-0005-0000-0000-00003A310000}"/>
    <cellStyle name="Input 23 2 12 2 2" xfId="12625" xr:uid="{00000000-0005-0000-0000-00003B310000}"/>
    <cellStyle name="Input 23 2 12 2 3" xfId="12626" xr:uid="{00000000-0005-0000-0000-00003C310000}"/>
    <cellStyle name="Input 23 2 12 3" xfId="12627" xr:uid="{00000000-0005-0000-0000-00003D310000}"/>
    <cellStyle name="Input 23 2 12 4" xfId="12628" xr:uid="{00000000-0005-0000-0000-00003E310000}"/>
    <cellStyle name="Input 23 2 13" xfId="12629" xr:uid="{00000000-0005-0000-0000-00003F310000}"/>
    <cellStyle name="Input 23 2 13 2" xfId="12630" xr:uid="{00000000-0005-0000-0000-000040310000}"/>
    <cellStyle name="Input 23 2 13 2 2" xfId="12631" xr:uid="{00000000-0005-0000-0000-000041310000}"/>
    <cellStyle name="Input 23 2 13 2 3" xfId="12632" xr:uid="{00000000-0005-0000-0000-000042310000}"/>
    <cellStyle name="Input 23 2 13 3" xfId="12633" xr:uid="{00000000-0005-0000-0000-000043310000}"/>
    <cellStyle name="Input 23 2 13 4" xfId="12634" xr:uid="{00000000-0005-0000-0000-000044310000}"/>
    <cellStyle name="Input 23 2 14" xfId="12635" xr:uid="{00000000-0005-0000-0000-000045310000}"/>
    <cellStyle name="Input 23 2 14 2" xfId="12636" xr:uid="{00000000-0005-0000-0000-000046310000}"/>
    <cellStyle name="Input 23 2 14 2 2" xfId="12637" xr:uid="{00000000-0005-0000-0000-000047310000}"/>
    <cellStyle name="Input 23 2 14 2 3" xfId="12638" xr:uid="{00000000-0005-0000-0000-000048310000}"/>
    <cellStyle name="Input 23 2 14 3" xfId="12639" xr:uid="{00000000-0005-0000-0000-000049310000}"/>
    <cellStyle name="Input 23 2 14 4" xfId="12640" xr:uid="{00000000-0005-0000-0000-00004A310000}"/>
    <cellStyle name="Input 23 2 15" xfId="12641" xr:uid="{00000000-0005-0000-0000-00004B310000}"/>
    <cellStyle name="Input 23 2 15 2" xfId="12642" xr:uid="{00000000-0005-0000-0000-00004C310000}"/>
    <cellStyle name="Input 23 2 15 2 2" xfId="12643" xr:uid="{00000000-0005-0000-0000-00004D310000}"/>
    <cellStyle name="Input 23 2 15 2 3" xfId="12644" xr:uid="{00000000-0005-0000-0000-00004E310000}"/>
    <cellStyle name="Input 23 2 15 3" xfId="12645" xr:uid="{00000000-0005-0000-0000-00004F310000}"/>
    <cellStyle name="Input 23 2 15 4" xfId="12646" xr:uid="{00000000-0005-0000-0000-000050310000}"/>
    <cellStyle name="Input 23 2 16" xfId="12647" xr:uid="{00000000-0005-0000-0000-000051310000}"/>
    <cellStyle name="Input 23 2 16 2" xfId="12648" xr:uid="{00000000-0005-0000-0000-000052310000}"/>
    <cellStyle name="Input 23 2 16 2 2" xfId="12649" xr:uid="{00000000-0005-0000-0000-000053310000}"/>
    <cellStyle name="Input 23 2 16 2 3" xfId="12650" xr:uid="{00000000-0005-0000-0000-000054310000}"/>
    <cellStyle name="Input 23 2 16 3" xfId="12651" xr:uid="{00000000-0005-0000-0000-000055310000}"/>
    <cellStyle name="Input 23 2 16 4" xfId="12652" xr:uid="{00000000-0005-0000-0000-000056310000}"/>
    <cellStyle name="Input 23 2 17" xfId="12653" xr:uid="{00000000-0005-0000-0000-000057310000}"/>
    <cellStyle name="Input 23 2 17 2" xfId="12654" xr:uid="{00000000-0005-0000-0000-000058310000}"/>
    <cellStyle name="Input 23 2 17 2 2" xfId="12655" xr:uid="{00000000-0005-0000-0000-000059310000}"/>
    <cellStyle name="Input 23 2 17 2 3" xfId="12656" xr:uid="{00000000-0005-0000-0000-00005A310000}"/>
    <cellStyle name="Input 23 2 17 3" xfId="12657" xr:uid="{00000000-0005-0000-0000-00005B310000}"/>
    <cellStyle name="Input 23 2 17 4" xfId="12658" xr:uid="{00000000-0005-0000-0000-00005C310000}"/>
    <cellStyle name="Input 23 2 18" xfId="12659" xr:uid="{00000000-0005-0000-0000-00005D310000}"/>
    <cellStyle name="Input 23 2 18 2" xfId="12660" xr:uid="{00000000-0005-0000-0000-00005E310000}"/>
    <cellStyle name="Input 23 2 18 3" xfId="12661" xr:uid="{00000000-0005-0000-0000-00005F310000}"/>
    <cellStyle name="Input 23 2 18 4" xfId="12662" xr:uid="{00000000-0005-0000-0000-000060310000}"/>
    <cellStyle name="Input 23 2 19" xfId="12663" xr:uid="{00000000-0005-0000-0000-000061310000}"/>
    <cellStyle name="Input 23 2 2" xfId="12664" xr:uid="{00000000-0005-0000-0000-000062310000}"/>
    <cellStyle name="Input 23 2 2 2" xfId="12665" xr:uid="{00000000-0005-0000-0000-000063310000}"/>
    <cellStyle name="Input 23 2 2 2 2" xfId="12666" xr:uid="{00000000-0005-0000-0000-000064310000}"/>
    <cellStyle name="Input 23 2 2 2 3" xfId="12667" xr:uid="{00000000-0005-0000-0000-000065310000}"/>
    <cellStyle name="Input 23 2 2 3" xfId="12668" xr:uid="{00000000-0005-0000-0000-000066310000}"/>
    <cellStyle name="Input 23 2 2 4" xfId="12669" xr:uid="{00000000-0005-0000-0000-000067310000}"/>
    <cellStyle name="Input 23 2 20" xfId="12670" xr:uid="{00000000-0005-0000-0000-000068310000}"/>
    <cellStyle name="Input 23 2 21" xfId="12671" xr:uid="{00000000-0005-0000-0000-000069310000}"/>
    <cellStyle name="Input 23 2 3" xfId="12672" xr:uid="{00000000-0005-0000-0000-00006A310000}"/>
    <cellStyle name="Input 23 2 3 2" xfId="12673" xr:uid="{00000000-0005-0000-0000-00006B310000}"/>
    <cellStyle name="Input 23 2 3 2 2" xfId="12674" xr:uid="{00000000-0005-0000-0000-00006C310000}"/>
    <cellStyle name="Input 23 2 3 2 3" xfId="12675" xr:uid="{00000000-0005-0000-0000-00006D310000}"/>
    <cellStyle name="Input 23 2 3 3" xfId="12676" xr:uid="{00000000-0005-0000-0000-00006E310000}"/>
    <cellStyle name="Input 23 2 3 4" xfId="12677" xr:uid="{00000000-0005-0000-0000-00006F310000}"/>
    <cellStyle name="Input 23 2 4" xfId="12678" xr:uid="{00000000-0005-0000-0000-000070310000}"/>
    <cellStyle name="Input 23 2 4 2" xfId="12679" xr:uid="{00000000-0005-0000-0000-000071310000}"/>
    <cellStyle name="Input 23 2 4 2 2" xfId="12680" xr:uid="{00000000-0005-0000-0000-000072310000}"/>
    <cellStyle name="Input 23 2 4 2 3" xfId="12681" xr:uid="{00000000-0005-0000-0000-000073310000}"/>
    <cellStyle name="Input 23 2 4 3" xfId="12682" xr:uid="{00000000-0005-0000-0000-000074310000}"/>
    <cellStyle name="Input 23 2 4 4" xfId="12683" xr:uid="{00000000-0005-0000-0000-000075310000}"/>
    <cellStyle name="Input 23 2 5" xfId="12684" xr:uid="{00000000-0005-0000-0000-000076310000}"/>
    <cellStyle name="Input 23 2 5 2" xfId="12685" xr:uid="{00000000-0005-0000-0000-000077310000}"/>
    <cellStyle name="Input 23 2 5 2 2" xfId="12686" xr:uid="{00000000-0005-0000-0000-000078310000}"/>
    <cellStyle name="Input 23 2 5 2 3" xfId="12687" xr:uid="{00000000-0005-0000-0000-000079310000}"/>
    <cellStyle name="Input 23 2 5 3" xfId="12688" xr:uid="{00000000-0005-0000-0000-00007A310000}"/>
    <cellStyle name="Input 23 2 5 4" xfId="12689" xr:uid="{00000000-0005-0000-0000-00007B310000}"/>
    <cellStyle name="Input 23 2 6" xfId="12690" xr:uid="{00000000-0005-0000-0000-00007C310000}"/>
    <cellStyle name="Input 23 2 6 2" xfId="12691" xr:uid="{00000000-0005-0000-0000-00007D310000}"/>
    <cellStyle name="Input 23 2 6 2 2" xfId="12692" xr:uid="{00000000-0005-0000-0000-00007E310000}"/>
    <cellStyle name="Input 23 2 6 2 3" xfId="12693" xr:uid="{00000000-0005-0000-0000-00007F310000}"/>
    <cellStyle name="Input 23 2 6 3" xfId="12694" xr:uid="{00000000-0005-0000-0000-000080310000}"/>
    <cellStyle name="Input 23 2 6 4" xfId="12695" xr:uid="{00000000-0005-0000-0000-000081310000}"/>
    <cellStyle name="Input 23 2 7" xfId="12696" xr:uid="{00000000-0005-0000-0000-000082310000}"/>
    <cellStyle name="Input 23 2 7 2" xfId="12697" xr:uid="{00000000-0005-0000-0000-000083310000}"/>
    <cellStyle name="Input 23 2 7 2 2" xfId="12698" xr:uid="{00000000-0005-0000-0000-000084310000}"/>
    <cellStyle name="Input 23 2 7 2 3" xfId="12699" xr:uid="{00000000-0005-0000-0000-000085310000}"/>
    <cellStyle name="Input 23 2 7 3" xfId="12700" xr:uid="{00000000-0005-0000-0000-000086310000}"/>
    <cellStyle name="Input 23 2 7 4" xfId="12701" xr:uid="{00000000-0005-0000-0000-000087310000}"/>
    <cellStyle name="Input 23 2 8" xfId="12702" xr:uid="{00000000-0005-0000-0000-000088310000}"/>
    <cellStyle name="Input 23 2 8 2" xfId="12703" xr:uid="{00000000-0005-0000-0000-000089310000}"/>
    <cellStyle name="Input 23 2 8 2 2" xfId="12704" xr:uid="{00000000-0005-0000-0000-00008A310000}"/>
    <cellStyle name="Input 23 2 8 2 3" xfId="12705" xr:uid="{00000000-0005-0000-0000-00008B310000}"/>
    <cellStyle name="Input 23 2 8 3" xfId="12706" xr:uid="{00000000-0005-0000-0000-00008C310000}"/>
    <cellStyle name="Input 23 2 8 4" xfId="12707" xr:uid="{00000000-0005-0000-0000-00008D310000}"/>
    <cellStyle name="Input 23 2 9" xfId="12708" xr:uid="{00000000-0005-0000-0000-00008E310000}"/>
    <cellStyle name="Input 23 2 9 2" xfId="12709" xr:uid="{00000000-0005-0000-0000-00008F310000}"/>
    <cellStyle name="Input 23 2 9 2 2" xfId="12710" xr:uid="{00000000-0005-0000-0000-000090310000}"/>
    <cellStyle name="Input 23 2 9 2 3" xfId="12711" xr:uid="{00000000-0005-0000-0000-000091310000}"/>
    <cellStyle name="Input 23 2 9 3" xfId="12712" xr:uid="{00000000-0005-0000-0000-000092310000}"/>
    <cellStyle name="Input 23 2 9 4" xfId="12713" xr:uid="{00000000-0005-0000-0000-000093310000}"/>
    <cellStyle name="Input 23 3" xfId="12714" xr:uid="{00000000-0005-0000-0000-000094310000}"/>
    <cellStyle name="Input 23 3 2" xfId="12715" xr:uid="{00000000-0005-0000-0000-000095310000}"/>
    <cellStyle name="Input 23 3 2 2" xfId="12716" xr:uid="{00000000-0005-0000-0000-000096310000}"/>
    <cellStyle name="Input 23 3 2 3" xfId="12717" xr:uid="{00000000-0005-0000-0000-000097310000}"/>
    <cellStyle name="Input 23 3 3" xfId="12718" xr:uid="{00000000-0005-0000-0000-000098310000}"/>
    <cellStyle name="Input 23 3 4" xfId="12719" xr:uid="{00000000-0005-0000-0000-000099310000}"/>
    <cellStyle name="Input 23 4" xfId="12720" xr:uid="{00000000-0005-0000-0000-00009A310000}"/>
    <cellStyle name="Input 23 5" xfId="12721" xr:uid="{00000000-0005-0000-0000-00009B310000}"/>
    <cellStyle name="Input 24" xfId="12722" xr:uid="{00000000-0005-0000-0000-00009C310000}"/>
    <cellStyle name="Input 24 2" xfId="12723" xr:uid="{00000000-0005-0000-0000-00009D310000}"/>
    <cellStyle name="Input 24 2 10" xfId="12724" xr:uid="{00000000-0005-0000-0000-00009E310000}"/>
    <cellStyle name="Input 24 2 10 2" xfId="12725" xr:uid="{00000000-0005-0000-0000-00009F310000}"/>
    <cellStyle name="Input 24 2 10 2 2" xfId="12726" xr:uid="{00000000-0005-0000-0000-0000A0310000}"/>
    <cellStyle name="Input 24 2 10 2 3" xfId="12727" xr:uid="{00000000-0005-0000-0000-0000A1310000}"/>
    <cellStyle name="Input 24 2 10 3" xfId="12728" xr:uid="{00000000-0005-0000-0000-0000A2310000}"/>
    <cellStyle name="Input 24 2 10 4" xfId="12729" xr:uid="{00000000-0005-0000-0000-0000A3310000}"/>
    <cellStyle name="Input 24 2 11" xfId="12730" xr:uid="{00000000-0005-0000-0000-0000A4310000}"/>
    <cellStyle name="Input 24 2 11 2" xfId="12731" xr:uid="{00000000-0005-0000-0000-0000A5310000}"/>
    <cellStyle name="Input 24 2 11 2 2" xfId="12732" xr:uid="{00000000-0005-0000-0000-0000A6310000}"/>
    <cellStyle name="Input 24 2 11 2 3" xfId="12733" xr:uid="{00000000-0005-0000-0000-0000A7310000}"/>
    <cellStyle name="Input 24 2 11 3" xfId="12734" xr:uid="{00000000-0005-0000-0000-0000A8310000}"/>
    <cellStyle name="Input 24 2 11 4" xfId="12735" xr:uid="{00000000-0005-0000-0000-0000A9310000}"/>
    <cellStyle name="Input 24 2 12" xfId="12736" xr:uid="{00000000-0005-0000-0000-0000AA310000}"/>
    <cellStyle name="Input 24 2 12 2" xfId="12737" xr:uid="{00000000-0005-0000-0000-0000AB310000}"/>
    <cellStyle name="Input 24 2 12 2 2" xfId="12738" xr:uid="{00000000-0005-0000-0000-0000AC310000}"/>
    <cellStyle name="Input 24 2 12 2 3" xfId="12739" xr:uid="{00000000-0005-0000-0000-0000AD310000}"/>
    <cellStyle name="Input 24 2 12 3" xfId="12740" xr:uid="{00000000-0005-0000-0000-0000AE310000}"/>
    <cellStyle name="Input 24 2 12 4" xfId="12741" xr:uid="{00000000-0005-0000-0000-0000AF310000}"/>
    <cellStyle name="Input 24 2 13" xfId="12742" xr:uid="{00000000-0005-0000-0000-0000B0310000}"/>
    <cellStyle name="Input 24 2 13 2" xfId="12743" xr:uid="{00000000-0005-0000-0000-0000B1310000}"/>
    <cellStyle name="Input 24 2 13 2 2" xfId="12744" xr:uid="{00000000-0005-0000-0000-0000B2310000}"/>
    <cellStyle name="Input 24 2 13 2 3" xfId="12745" xr:uid="{00000000-0005-0000-0000-0000B3310000}"/>
    <cellStyle name="Input 24 2 13 3" xfId="12746" xr:uid="{00000000-0005-0000-0000-0000B4310000}"/>
    <cellStyle name="Input 24 2 13 4" xfId="12747" xr:uid="{00000000-0005-0000-0000-0000B5310000}"/>
    <cellStyle name="Input 24 2 14" xfId="12748" xr:uid="{00000000-0005-0000-0000-0000B6310000}"/>
    <cellStyle name="Input 24 2 14 2" xfId="12749" xr:uid="{00000000-0005-0000-0000-0000B7310000}"/>
    <cellStyle name="Input 24 2 14 2 2" xfId="12750" xr:uid="{00000000-0005-0000-0000-0000B8310000}"/>
    <cellStyle name="Input 24 2 14 2 3" xfId="12751" xr:uid="{00000000-0005-0000-0000-0000B9310000}"/>
    <cellStyle name="Input 24 2 14 3" xfId="12752" xr:uid="{00000000-0005-0000-0000-0000BA310000}"/>
    <cellStyle name="Input 24 2 14 4" xfId="12753" xr:uid="{00000000-0005-0000-0000-0000BB310000}"/>
    <cellStyle name="Input 24 2 15" xfId="12754" xr:uid="{00000000-0005-0000-0000-0000BC310000}"/>
    <cellStyle name="Input 24 2 15 2" xfId="12755" xr:uid="{00000000-0005-0000-0000-0000BD310000}"/>
    <cellStyle name="Input 24 2 15 2 2" xfId="12756" xr:uid="{00000000-0005-0000-0000-0000BE310000}"/>
    <cellStyle name="Input 24 2 15 2 3" xfId="12757" xr:uid="{00000000-0005-0000-0000-0000BF310000}"/>
    <cellStyle name="Input 24 2 15 3" xfId="12758" xr:uid="{00000000-0005-0000-0000-0000C0310000}"/>
    <cellStyle name="Input 24 2 15 4" xfId="12759" xr:uid="{00000000-0005-0000-0000-0000C1310000}"/>
    <cellStyle name="Input 24 2 16" xfId="12760" xr:uid="{00000000-0005-0000-0000-0000C2310000}"/>
    <cellStyle name="Input 24 2 16 2" xfId="12761" xr:uid="{00000000-0005-0000-0000-0000C3310000}"/>
    <cellStyle name="Input 24 2 16 2 2" xfId="12762" xr:uid="{00000000-0005-0000-0000-0000C4310000}"/>
    <cellStyle name="Input 24 2 16 2 3" xfId="12763" xr:uid="{00000000-0005-0000-0000-0000C5310000}"/>
    <cellStyle name="Input 24 2 16 3" xfId="12764" xr:uid="{00000000-0005-0000-0000-0000C6310000}"/>
    <cellStyle name="Input 24 2 16 4" xfId="12765" xr:uid="{00000000-0005-0000-0000-0000C7310000}"/>
    <cellStyle name="Input 24 2 17" xfId="12766" xr:uid="{00000000-0005-0000-0000-0000C8310000}"/>
    <cellStyle name="Input 24 2 17 2" xfId="12767" xr:uid="{00000000-0005-0000-0000-0000C9310000}"/>
    <cellStyle name="Input 24 2 17 2 2" xfId="12768" xr:uid="{00000000-0005-0000-0000-0000CA310000}"/>
    <cellStyle name="Input 24 2 17 2 3" xfId="12769" xr:uid="{00000000-0005-0000-0000-0000CB310000}"/>
    <cellStyle name="Input 24 2 17 3" xfId="12770" xr:uid="{00000000-0005-0000-0000-0000CC310000}"/>
    <cellStyle name="Input 24 2 17 4" xfId="12771" xr:uid="{00000000-0005-0000-0000-0000CD310000}"/>
    <cellStyle name="Input 24 2 18" xfId="12772" xr:uid="{00000000-0005-0000-0000-0000CE310000}"/>
    <cellStyle name="Input 24 2 18 2" xfId="12773" xr:uid="{00000000-0005-0000-0000-0000CF310000}"/>
    <cellStyle name="Input 24 2 18 3" xfId="12774" xr:uid="{00000000-0005-0000-0000-0000D0310000}"/>
    <cellStyle name="Input 24 2 18 4" xfId="12775" xr:uid="{00000000-0005-0000-0000-0000D1310000}"/>
    <cellStyle name="Input 24 2 19" xfId="12776" xr:uid="{00000000-0005-0000-0000-0000D2310000}"/>
    <cellStyle name="Input 24 2 2" xfId="12777" xr:uid="{00000000-0005-0000-0000-0000D3310000}"/>
    <cellStyle name="Input 24 2 2 2" xfId="12778" xr:uid="{00000000-0005-0000-0000-0000D4310000}"/>
    <cellStyle name="Input 24 2 2 2 2" xfId="12779" xr:uid="{00000000-0005-0000-0000-0000D5310000}"/>
    <cellStyle name="Input 24 2 2 2 3" xfId="12780" xr:uid="{00000000-0005-0000-0000-0000D6310000}"/>
    <cellStyle name="Input 24 2 2 3" xfId="12781" xr:uid="{00000000-0005-0000-0000-0000D7310000}"/>
    <cellStyle name="Input 24 2 2 4" xfId="12782" xr:uid="{00000000-0005-0000-0000-0000D8310000}"/>
    <cellStyle name="Input 24 2 20" xfId="12783" xr:uid="{00000000-0005-0000-0000-0000D9310000}"/>
    <cellStyle name="Input 24 2 21" xfId="12784" xr:uid="{00000000-0005-0000-0000-0000DA310000}"/>
    <cellStyle name="Input 24 2 3" xfId="12785" xr:uid="{00000000-0005-0000-0000-0000DB310000}"/>
    <cellStyle name="Input 24 2 3 2" xfId="12786" xr:uid="{00000000-0005-0000-0000-0000DC310000}"/>
    <cellStyle name="Input 24 2 3 2 2" xfId="12787" xr:uid="{00000000-0005-0000-0000-0000DD310000}"/>
    <cellStyle name="Input 24 2 3 2 3" xfId="12788" xr:uid="{00000000-0005-0000-0000-0000DE310000}"/>
    <cellStyle name="Input 24 2 3 3" xfId="12789" xr:uid="{00000000-0005-0000-0000-0000DF310000}"/>
    <cellStyle name="Input 24 2 3 4" xfId="12790" xr:uid="{00000000-0005-0000-0000-0000E0310000}"/>
    <cellStyle name="Input 24 2 4" xfId="12791" xr:uid="{00000000-0005-0000-0000-0000E1310000}"/>
    <cellStyle name="Input 24 2 4 2" xfId="12792" xr:uid="{00000000-0005-0000-0000-0000E2310000}"/>
    <cellStyle name="Input 24 2 4 2 2" xfId="12793" xr:uid="{00000000-0005-0000-0000-0000E3310000}"/>
    <cellStyle name="Input 24 2 4 2 3" xfId="12794" xr:uid="{00000000-0005-0000-0000-0000E4310000}"/>
    <cellStyle name="Input 24 2 4 3" xfId="12795" xr:uid="{00000000-0005-0000-0000-0000E5310000}"/>
    <cellStyle name="Input 24 2 4 4" xfId="12796" xr:uid="{00000000-0005-0000-0000-0000E6310000}"/>
    <cellStyle name="Input 24 2 5" xfId="12797" xr:uid="{00000000-0005-0000-0000-0000E7310000}"/>
    <cellStyle name="Input 24 2 5 2" xfId="12798" xr:uid="{00000000-0005-0000-0000-0000E8310000}"/>
    <cellStyle name="Input 24 2 5 2 2" xfId="12799" xr:uid="{00000000-0005-0000-0000-0000E9310000}"/>
    <cellStyle name="Input 24 2 5 2 3" xfId="12800" xr:uid="{00000000-0005-0000-0000-0000EA310000}"/>
    <cellStyle name="Input 24 2 5 3" xfId="12801" xr:uid="{00000000-0005-0000-0000-0000EB310000}"/>
    <cellStyle name="Input 24 2 5 4" xfId="12802" xr:uid="{00000000-0005-0000-0000-0000EC310000}"/>
    <cellStyle name="Input 24 2 6" xfId="12803" xr:uid="{00000000-0005-0000-0000-0000ED310000}"/>
    <cellStyle name="Input 24 2 6 2" xfId="12804" xr:uid="{00000000-0005-0000-0000-0000EE310000}"/>
    <cellStyle name="Input 24 2 6 2 2" xfId="12805" xr:uid="{00000000-0005-0000-0000-0000EF310000}"/>
    <cellStyle name="Input 24 2 6 2 3" xfId="12806" xr:uid="{00000000-0005-0000-0000-0000F0310000}"/>
    <cellStyle name="Input 24 2 6 3" xfId="12807" xr:uid="{00000000-0005-0000-0000-0000F1310000}"/>
    <cellStyle name="Input 24 2 6 4" xfId="12808" xr:uid="{00000000-0005-0000-0000-0000F2310000}"/>
    <cellStyle name="Input 24 2 7" xfId="12809" xr:uid="{00000000-0005-0000-0000-0000F3310000}"/>
    <cellStyle name="Input 24 2 7 2" xfId="12810" xr:uid="{00000000-0005-0000-0000-0000F4310000}"/>
    <cellStyle name="Input 24 2 7 2 2" xfId="12811" xr:uid="{00000000-0005-0000-0000-0000F5310000}"/>
    <cellStyle name="Input 24 2 7 2 3" xfId="12812" xr:uid="{00000000-0005-0000-0000-0000F6310000}"/>
    <cellStyle name="Input 24 2 7 3" xfId="12813" xr:uid="{00000000-0005-0000-0000-0000F7310000}"/>
    <cellStyle name="Input 24 2 7 4" xfId="12814" xr:uid="{00000000-0005-0000-0000-0000F8310000}"/>
    <cellStyle name="Input 24 2 8" xfId="12815" xr:uid="{00000000-0005-0000-0000-0000F9310000}"/>
    <cellStyle name="Input 24 2 8 2" xfId="12816" xr:uid="{00000000-0005-0000-0000-0000FA310000}"/>
    <cellStyle name="Input 24 2 8 2 2" xfId="12817" xr:uid="{00000000-0005-0000-0000-0000FB310000}"/>
    <cellStyle name="Input 24 2 8 2 3" xfId="12818" xr:uid="{00000000-0005-0000-0000-0000FC310000}"/>
    <cellStyle name="Input 24 2 8 3" xfId="12819" xr:uid="{00000000-0005-0000-0000-0000FD310000}"/>
    <cellStyle name="Input 24 2 8 4" xfId="12820" xr:uid="{00000000-0005-0000-0000-0000FE310000}"/>
    <cellStyle name="Input 24 2 9" xfId="12821" xr:uid="{00000000-0005-0000-0000-0000FF310000}"/>
    <cellStyle name="Input 24 2 9 2" xfId="12822" xr:uid="{00000000-0005-0000-0000-000000320000}"/>
    <cellStyle name="Input 24 2 9 2 2" xfId="12823" xr:uid="{00000000-0005-0000-0000-000001320000}"/>
    <cellStyle name="Input 24 2 9 2 3" xfId="12824" xr:uid="{00000000-0005-0000-0000-000002320000}"/>
    <cellStyle name="Input 24 2 9 3" xfId="12825" xr:uid="{00000000-0005-0000-0000-000003320000}"/>
    <cellStyle name="Input 24 2 9 4" xfId="12826" xr:uid="{00000000-0005-0000-0000-000004320000}"/>
    <cellStyle name="Input 24 3" xfId="12827" xr:uid="{00000000-0005-0000-0000-000005320000}"/>
    <cellStyle name="Input 24 3 2" xfId="12828" xr:uid="{00000000-0005-0000-0000-000006320000}"/>
    <cellStyle name="Input 24 3 2 2" xfId="12829" xr:uid="{00000000-0005-0000-0000-000007320000}"/>
    <cellStyle name="Input 24 3 2 3" xfId="12830" xr:uid="{00000000-0005-0000-0000-000008320000}"/>
    <cellStyle name="Input 24 3 3" xfId="12831" xr:uid="{00000000-0005-0000-0000-000009320000}"/>
    <cellStyle name="Input 24 3 4" xfId="12832" xr:uid="{00000000-0005-0000-0000-00000A320000}"/>
    <cellStyle name="Input 24 4" xfId="12833" xr:uid="{00000000-0005-0000-0000-00000B320000}"/>
    <cellStyle name="Input 24 5" xfId="12834" xr:uid="{00000000-0005-0000-0000-00000C320000}"/>
    <cellStyle name="Input 25" xfId="12835" xr:uid="{00000000-0005-0000-0000-00000D320000}"/>
    <cellStyle name="Input 25 2" xfId="12836" xr:uid="{00000000-0005-0000-0000-00000E320000}"/>
    <cellStyle name="Input 25 2 10" xfId="12837" xr:uid="{00000000-0005-0000-0000-00000F320000}"/>
    <cellStyle name="Input 25 2 10 2" xfId="12838" xr:uid="{00000000-0005-0000-0000-000010320000}"/>
    <cellStyle name="Input 25 2 10 2 2" xfId="12839" xr:uid="{00000000-0005-0000-0000-000011320000}"/>
    <cellStyle name="Input 25 2 10 2 3" xfId="12840" xr:uid="{00000000-0005-0000-0000-000012320000}"/>
    <cellStyle name="Input 25 2 10 3" xfId="12841" xr:uid="{00000000-0005-0000-0000-000013320000}"/>
    <cellStyle name="Input 25 2 10 4" xfId="12842" xr:uid="{00000000-0005-0000-0000-000014320000}"/>
    <cellStyle name="Input 25 2 11" xfId="12843" xr:uid="{00000000-0005-0000-0000-000015320000}"/>
    <cellStyle name="Input 25 2 11 2" xfId="12844" xr:uid="{00000000-0005-0000-0000-000016320000}"/>
    <cellStyle name="Input 25 2 11 2 2" xfId="12845" xr:uid="{00000000-0005-0000-0000-000017320000}"/>
    <cellStyle name="Input 25 2 11 2 3" xfId="12846" xr:uid="{00000000-0005-0000-0000-000018320000}"/>
    <cellStyle name="Input 25 2 11 3" xfId="12847" xr:uid="{00000000-0005-0000-0000-000019320000}"/>
    <cellStyle name="Input 25 2 11 4" xfId="12848" xr:uid="{00000000-0005-0000-0000-00001A320000}"/>
    <cellStyle name="Input 25 2 12" xfId="12849" xr:uid="{00000000-0005-0000-0000-00001B320000}"/>
    <cellStyle name="Input 25 2 12 2" xfId="12850" xr:uid="{00000000-0005-0000-0000-00001C320000}"/>
    <cellStyle name="Input 25 2 12 2 2" xfId="12851" xr:uid="{00000000-0005-0000-0000-00001D320000}"/>
    <cellStyle name="Input 25 2 12 2 3" xfId="12852" xr:uid="{00000000-0005-0000-0000-00001E320000}"/>
    <cellStyle name="Input 25 2 12 3" xfId="12853" xr:uid="{00000000-0005-0000-0000-00001F320000}"/>
    <cellStyle name="Input 25 2 12 4" xfId="12854" xr:uid="{00000000-0005-0000-0000-000020320000}"/>
    <cellStyle name="Input 25 2 13" xfId="12855" xr:uid="{00000000-0005-0000-0000-000021320000}"/>
    <cellStyle name="Input 25 2 13 2" xfId="12856" xr:uid="{00000000-0005-0000-0000-000022320000}"/>
    <cellStyle name="Input 25 2 13 2 2" xfId="12857" xr:uid="{00000000-0005-0000-0000-000023320000}"/>
    <cellStyle name="Input 25 2 13 2 3" xfId="12858" xr:uid="{00000000-0005-0000-0000-000024320000}"/>
    <cellStyle name="Input 25 2 13 3" xfId="12859" xr:uid="{00000000-0005-0000-0000-000025320000}"/>
    <cellStyle name="Input 25 2 13 4" xfId="12860" xr:uid="{00000000-0005-0000-0000-000026320000}"/>
    <cellStyle name="Input 25 2 14" xfId="12861" xr:uid="{00000000-0005-0000-0000-000027320000}"/>
    <cellStyle name="Input 25 2 14 2" xfId="12862" xr:uid="{00000000-0005-0000-0000-000028320000}"/>
    <cellStyle name="Input 25 2 14 2 2" xfId="12863" xr:uid="{00000000-0005-0000-0000-000029320000}"/>
    <cellStyle name="Input 25 2 14 2 3" xfId="12864" xr:uid="{00000000-0005-0000-0000-00002A320000}"/>
    <cellStyle name="Input 25 2 14 3" xfId="12865" xr:uid="{00000000-0005-0000-0000-00002B320000}"/>
    <cellStyle name="Input 25 2 14 4" xfId="12866" xr:uid="{00000000-0005-0000-0000-00002C320000}"/>
    <cellStyle name="Input 25 2 15" xfId="12867" xr:uid="{00000000-0005-0000-0000-00002D320000}"/>
    <cellStyle name="Input 25 2 15 2" xfId="12868" xr:uid="{00000000-0005-0000-0000-00002E320000}"/>
    <cellStyle name="Input 25 2 15 2 2" xfId="12869" xr:uid="{00000000-0005-0000-0000-00002F320000}"/>
    <cellStyle name="Input 25 2 15 2 3" xfId="12870" xr:uid="{00000000-0005-0000-0000-000030320000}"/>
    <cellStyle name="Input 25 2 15 3" xfId="12871" xr:uid="{00000000-0005-0000-0000-000031320000}"/>
    <cellStyle name="Input 25 2 15 4" xfId="12872" xr:uid="{00000000-0005-0000-0000-000032320000}"/>
    <cellStyle name="Input 25 2 16" xfId="12873" xr:uid="{00000000-0005-0000-0000-000033320000}"/>
    <cellStyle name="Input 25 2 16 2" xfId="12874" xr:uid="{00000000-0005-0000-0000-000034320000}"/>
    <cellStyle name="Input 25 2 16 2 2" xfId="12875" xr:uid="{00000000-0005-0000-0000-000035320000}"/>
    <cellStyle name="Input 25 2 16 2 3" xfId="12876" xr:uid="{00000000-0005-0000-0000-000036320000}"/>
    <cellStyle name="Input 25 2 16 3" xfId="12877" xr:uid="{00000000-0005-0000-0000-000037320000}"/>
    <cellStyle name="Input 25 2 16 4" xfId="12878" xr:uid="{00000000-0005-0000-0000-000038320000}"/>
    <cellStyle name="Input 25 2 17" xfId="12879" xr:uid="{00000000-0005-0000-0000-000039320000}"/>
    <cellStyle name="Input 25 2 17 2" xfId="12880" xr:uid="{00000000-0005-0000-0000-00003A320000}"/>
    <cellStyle name="Input 25 2 17 2 2" xfId="12881" xr:uid="{00000000-0005-0000-0000-00003B320000}"/>
    <cellStyle name="Input 25 2 17 2 3" xfId="12882" xr:uid="{00000000-0005-0000-0000-00003C320000}"/>
    <cellStyle name="Input 25 2 17 3" xfId="12883" xr:uid="{00000000-0005-0000-0000-00003D320000}"/>
    <cellStyle name="Input 25 2 17 4" xfId="12884" xr:uid="{00000000-0005-0000-0000-00003E320000}"/>
    <cellStyle name="Input 25 2 18" xfId="12885" xr:uid="{00000000-0005-0000-0000-00003F320000}"/>
    <cellStyle name="Input 25 2 18 2" xfId="12886" xr:uid="{00000000-0005-0000-0000-000040320000}"/>
    <cellStyle name="Input 25 2 18 3" xfId="12887" xr:uid="{00000000-0005-0000-0000-000041320000}"/>
    <cellStyle name="Input 25 2 18 4" xfId="12888" xr:uid="{00000000-0005-0000-0000-000042320000}"/>
    <cellStyle name="Input 25 2 19" xfId="12889" xr:uid="{00000000-0005-0000-0000-000043320000}"/>
    <cellStyle name="Input 25 2 2" xfId="12890" xr:uid="{00000000-0005-0000-0000-000044320000}"/>
    <cellStyle name="Input 25 2 2 2" xfId="12891" xr:uid="{00000000-0005-0000-0000-000045320000}"/>
    <cellStyle name="Input 25 2 2 2 2" xfId="12892" xr:uid="{00000000-0005-0000-0000-000046320000}"/>
    <cellStyle name="Input 25 2 2 2 3" xfId="12893" xr:uid="{00000000-0005-0000-0000-000047320000}"/>
    <cellStyle name="Input 25 2 2 3" xfId="12894" xr:uid="{00000000-0005-0000-0000-000048320000}"/>
    <cellStyle name="Input 25 2 2 4" xfId="12895" xr:uid="{00000000-0005-0000-0000-000049320000}"/>
    <cellStyle name="Input 25 2 20" xfId="12896" xr:uid="{00000000-0005-0000-0000-00004A320000}"/>
    <cellStyle name="Input 25 2 21" xfId="12897" xr:uid="{00000000-0005-0000-0000-00004B320000}"/>
    <cellStyle name="Input 25 2 3" xfId="12898" xr:uid="{00000000-0005-0000-0000-00004C320000}"/>
    <cellStyle name="Input 25 2 3 2" xfId="12899" xr:uid="{00000000-0005-0000-0000-00004D320000}"/>
    <cellStyle name="Input 25 2 3 2 2" xfId="12900" xr:uid="{00000000-0005-0000-0000-00004E320000}"/>
    <cellStyle name="Input 25 2 3 2 3" xfId="12901" xr:uid="{00000000-0005-0000-0000-00004F320000}"/>
    <cellStyle name="Input 25 2 3 3" xfId="12902" xr:uid="{00000000-0005-0000-0000-000050320000}"/>
    <cellStyle name="Input 25 2 3 4" xfId="12903" xr:uid="{00000000-0005-0000-0000-000051320000}"/>
    <cellStyle name="Input 25 2 4" xfId="12904" xr:uid="{00000000-0005-0000-0000-000052320000}"/>
    <cellStyle name="Input 25 2 4 2" xfId="12905" xr:uid="{00000000-0005-0000-0000-000053320000}"/>
    <cellStyle name="Input 25 2 4 2 2" xfId="12906" xr:uid="{00000000-0005-0000-0000-000054320000}"/>
    <cellStyle name="Input 25 2 4 2 3" xfId="12907" xr:uid="{00000000-0005-0000-0000-000055320000}"/>
    <cellStyle name="Input 25 2 4 3" xfId="12908" xr:uid="{00000000-0005-0000-0000-000056320000}"/>
    <cellStyle name="Input 25 2 4 4" xfId="12909" xr:uid="{00000000-0005-0000-0000-000057320000}"/>
    <cellStyle name="Input 25 2 5" xfId="12910" xr:uid="{00000000-0005-0000-0000-000058320000}"/>
    <cellStyle name="Input 25 2 5 2" xfId="12911" xr:uid="{00000000-0005-0000-0000-000059320000}"/>
    <cellStyle name="Input 25 2 5 2 2" xfId="12912" xr:uid="{00000000-0005-0000-0000-00005A320000}"/>
    <cellStyle name="Input 25 2 5 2 3" xfId="12913" xr:uid="{00000000-0005-0000-0000-00005B320000}"/>
    <cellStyle name="Input 25 2 5 3" xfId="12914" xr:uid="{00000000-0005-0000-0000-00005C320000}"/>
    <cellStyle name="Input 25 2 5 4" xfId="12915" xr:uid="{00000000-0005-0000-0000-00005D320000}"/>
    <cellStyle name="Input 25 2 6" xfId="12916" xr:uid="{00000000-0005-0000-0000-00005E320000}"/>
    <cellStyle name="Input 25 2 6 2" xfId="12917" xr:uid="{00000000-0005-0000-0000-00005F320000}"/>
    <cellStyle name="Input 25 2 6 2 2" xfId="12918" xr:uid="{00000000-0005-0000-0000-000060320000}"/>
    <cellStyle name="Input 25 2 6 2 3" xfId="12919" xr:uid="{00000000-0005-0000-0000-000061320000}"/>
    <cellStyle name="Input 25 2 6 3" xfId="12920" xr:uid="{00000000-0005-0000-0000-000062320000}"/>
    <cellStyle name="Input 25 2 6 4" xfId="12921" xr:uid="{00000000-0005-0000-0000-000063320000}"/>
    <cellStyle name="Input 25 2 7" xfId="12922" xr:uid="{00000000-0005-0000-0000-000064320000}"/>
    <cellStyle name="Input 25 2 7 2" xfId="12923" xr:uid="{00000000-0005-0000-0000-000065320000}"/>
    <cellStyle name="Input 25 2 7 2 2" xfId="12924" xr:uid="{00000000-0005-0000-0000-000066320000}"/>
    <cellStyle name="Input 25 2 7 2 3" xfId="12925" xr:uid="{00000000-0005-0000-0000-000067320000}"/>
    <cellStyle name="Input 25 2 7 3" xfId="12926" xr:uid="{00000000-0005-0000-0000-000068320000}"/>
    <cellStyle name="Input 25 2 7 4" xfId="12927" xr:uid="{00000000-0005-0000-0000-000069320000}"/>
    <cellStyle name="Input 25 2 8" xfId="12928" xr:uid="{00000000-0005-0000-0000-00006A320000}"/>
    <cellStyle name="Input 25 2 8 2" xfId="12929" xr:uid="{00000000-0005-0000-0000-00006B320000}"/>
    <cellStyle name="Input 25 2 8 2 2" xfId="12930" xr:uid="{00000000-0005-0000-0000-00006C320000}"/>
    <cellStyle name="Input 25 2 8 2 3" xfId="12931" xr:uid="{00000000-0005-0000-0000-00006D320000}"/>
    <cellStyle name="Input 25 2 8 3" xfId="12932" xr:uid="{00000000-0005-0000-0000-00006E320000}"/>
    <cellStyle name="Input 25 2 8 4" xfId="12933" xr:uid="{00000000-0005-0000-0000-00006F320000}"/>
    <cellStyle name="Input 25 2 9" xfId="12934" xr:uid="{00000000-0005-0000-0000-000070320000}"/>
    <cellStyle name="Input 25 2 9 2" xfId="12935" xr:uid="{00000000-0005-0000-0000-000071320000}"/>
    <cellStyle name="Input 25 2 9 2 2" xfId="12936" xr:uid="{00000000-0005-0000-0000-000072320000}"/>
    <cellStyle name="Input 25 2 9 2 3" xfId="12937" xr:uid="{00000000-0005-0000-0000-000073320000}"/>
    <cellStyle name="Input 25 2 9 3" xfId="12938" xr:uid="{00000000-0005-0000-0000-000074320000}"/>
    <cellStyle name="Input 25 2 9 4" xfId="12939" xr:uid="{00000000-0005-0000-0000-000075320000}"/>
    <cellStyle name="Input 25 3" xfId="12940" xr:uid="{00000000-0005-0000-0000-000076320000}"/>
    <cellStyle name="Input 25 3 2" xfId="12941" xr:uid="{00000000-0005-0000-0000-000077320000}"/>
    <cellStyle name="Input 25 3 2 2" xfId="12942" xr:uid="{00000000-0005-0000-0000-000078320000}"/>
    <cellStyle name="Input 25 3 2 3" xfId="12943" xr:uid="{00000000-0005-0000-0000-000079320000}"/>
    <cellStyle name="Input 25 3 3" xfId="12944" xr:uid="{00000000-0005-0000-0000-00007A320000}"/>
    <cellStyle name="Input 25 3 4" xfId="12945" xr:uid="{00000000-0005-0000-0000-00007B320000}"/>
    <cellStyle name="Input 25 4" xfId="12946" xr:uid="{00000000-0005-0000-0000-00007C320000}"/>
    <cellStyle name="Input 25 5" xfId="12947" xr:uid="{00000000-0005-0000-0000-00007D320000}"/>
    <cellStyle name="Input 26" xfId="12948" xr:uid="{00000000-0005-0000-0000-00007E320000}"/>
    <cellStyle name="Input 26 2" xfId="12949" xr:uid="{00000000-0005-0000-0000-00007F320000}"/>
    <cellStyle name="Input 26 2 10" xfId="12950" xr:uid="{00000000-0005-0000-0000-000080320000}"/>
    <cellStyle name="Input 26 2 10 2" xfId="12951" xr:uid="{00000000-0005-0000-0000-000081320000}"/>
    <cellStyle name="Input 26 2 10 2 2" xfId="12952" xr:uid="{00000000-0005-0000-0000-000082320000}"/>
    <cellStyle name="Input 26 2 10 2 3" xfId="12953" xr:uid="{00000000-0005-0000-0000-000083320000}"/>
    <cellStyle name="Input 26 2 10 3" xfId="12954" xr:uid="{00000000-0005-0000-0000-000084320000}"/>
    <cellStyle name="Input 26 2 10 4" xfId="12955" xr:uid="{00000000-0005-0000-0000-000085320000}"/>
    <cellStyle name="Input 26 2 11" xfId="12956" xr:uid="{00000000-0005-0000-0000-000086320000}"/>
    <cellStyle name="Input 26 2 11 2" xfId="12957" xr:uid="{00000000-0005-0000-0000-000087320000}"/>
    <cellStyle name="Input 26 2 11 2 2" xfId="12958" xr:uid="{00000000-0005-0000-0000-000088320000}"/>
    <cellStyle name="Input 26 2 11 2 3" xfId="12959" xr:uid="{00000000-0005-0000-0000-000089320000}"/>
    <cellStyle name="Input 26 2 11 3" xfId="12960" xr:uid="{00000000-0005-0000-0000-00008A320000}"/>
    <cellStyle name="Input 26 2 11 4" xfId="12961" xr:uid="{00000000-0005-0000-0000-00008B320000}"/>
    <cellStyle name="Input 26 2 12" xfId="12962" xr:uid="{00000000-0005-0000-0000-00008C320000}"/>
    <cellStyle name="Input 26 2 12 2" xfId="12963" xr:uid="{00000000-0005-0000-0000-00008D320000}"/>
    <cellStyle name="Input 26 2 12 2 2" xfId="12964" xr:uid="{00000000-0005-0000-0000-00008E320000}"/>
    <cellStyle name="Input 26 2 12 2 3" xfId="12965" xr:uid="{00000000-0005-0000-0000-00008F320000}"/>
    <cellStyle name="Input 26 2 12 3" xfId="12966" xr:uid="{00000000-0005-0000-0000-000090320000}"/>
    <cellStyle name="Input 26 2 12 4" xfId="12967" xr:uid="{00000000-0005-0000-0000-000091320000}"/>
    <cellStyle name="Input 26 2 13" xfId="12968" xr:uid="{00000000-0005-0000-0000-000092320000}"/>
    <cellStyle name="Input 26 2 13 2" xfId="12969" xr:uid="{00000000-0005-0000-0000-000093320000}"/>
    <cellStyle name="Input 26 2 13 2 2" xfId="12970" xr:uid="{00000000-0005-0000-0000-000094320000}"/>
    <cellStyle name="Input 26 2 13 2 3" xfId="12971" xr:uid="{00000000-0005-0000-0000-000095320000}"/>
    <cellStyle name="Input 26 2 13 3" xfId="12972" xr:uid="{00000000-0005-0000-0000-000096320000}"/>
    <cellStyle name="Input 26 2 13 4" xfId="12973" xr:uid="{00000000-0005-0000-0000-000097320000}"/>
    <cellStyle name="Input 26 2 14" xfId="12974" xr:uid="{00000000-0005-0000-0000-000098320000}"/>
    <cellStyle name="Input 26 2 14 2" xfId="12975" xr:uid="{00000000-0005-0000-0000-000099320000}"/>
    <cellStyle name="Input 26 2 14 2 2" xfId="12976" xr:uid="{00000000-0005-0000-0000-00009A320000}"/>
    <cellStyle name="Input 26 2 14 2 3" xfId="12977" xr:uid="{00000000-0005-0000-0000-00009B320000}"/>
    <cellStyle name="Input 26 2 14 3" xfId="12978" xr:uid="{00000000-0005-0000-0000-00009C320000}"/>
    <cellStyle name="Input 26 2 14 4" xfId="12979" xr:uid="{00000000-0005-0000-0000-00009D320000}"/>
    <cellStyle name="Input 26 2 15" xfId="12980" xr:uid="{00000000-0005-0000-0000-00009E320000}"/>
    <cellStyle name="Input 26 2 15 2" xfId="12981" xr:uid="{00000000-0005-0000-0000-00009F320000}"/>
    <cellStyle name="Input 26 2 15 2 2" xfId="12982" xr:uid="{00000000-0005-0000-0000-0000A0320000}"/>
    <cellStyle name="Input 26 2 15 2 3" xfId="12983" xr:uid="{00000000-0005-0000-0000-0000A1320000}"/>
    <cellStyle name="Input 26 2 15 3" xfId="12984" xr:uid="{00000000-0005-0000-0000-0000A2320000}"/>
    <cellStyle name="Input 26 2 15 4" xfId="12985" xr:uid="{00000000-0005-0000-0000-0000A3320000}"/>
    <cellStyle name="Input 26 2 16" xfId="12986" xr:uid="{00000000-0005-0000-0000-0000A4320000}"/>
    <cellStyle name="Input 26 2 16 2" xfId="12987" xr:uid="{00000000-0005-0000-0000-0000A5320000}"/>
    <cellStyle name="Input 26 2 16 2 2" xfId="12988" xr:uid="{00000000-0005-0000-0000-0000A6320000}"/>
    <cellStyle name="Input 26 2 16 2 3" xfId="12989" xr:uid="{00000000-0005-0000-0000-0000A7320000}"/>
    <cellStyle name="Input 26 2 16 3" xfId="12990" xr:uid="{00000000-0005-0000-0000-0000A8320000}"/>
    <cellStyle name="Input 26 2 16 4" xfId="12991" xr:uid="{00000000-0005-0000-0000-0000A9320000}"/>
    <cellStyle name="Input 26 2 17" xfId="12992" xr:uid="{00000000-0005-0000-0000-0000AA320000}"/>
    <cellStyle name="Input 26 2 17 2" xfId="12993" xr:uid="{00000000-0005-0000-0000-0000AB320000}"/>
    <cellStyle name="Input 26 2 17 2 2" xfId="12994" xr:uid="{00000000-0005-0000-0000-0000AC320000}"/>
    <cellStyle name="Input 26 2 17 2 3" xfId="12995" xr:uid="{00000000-0005-0000-0000-0000AD320000}"/>
    <cellStyle name="Input 26 2 17 3" xfId="12996" xr:uid="{00000000-0005-0000-0000-0000AE320000}"/>
    <cellStyle name="Input 26 2 17 4" xfId="12997" xr:uid="{00000000-0005-0000-0000-0000AF320000}"/>
    <cellStyle name="Input 26 2 18" xfId="12998" xr:uid="{00000000-0005-0000-0000-0000B0320000}"/>
    <cellStyle name="Input 26 2 18 2" xfId="12999" xr:uid="{00000000-0005-0000-0000-0000B1320000}"/>
    <cellStyle name="Input 26 2 18 3" xfId="13000" xr:uid="{00000000-0005-0000-0000-0000B2320000}"/>
    <cellStyle name="Input 26 2 18 4" xfId="13001" xr:uid="{00000000-0005-0000-0000-0000B3320000}"/>
    <cellStyle name="Input 26 2 19" xfId="13002" xr:uid="{00000000-0005-0000-0000-0000B4320000}"/>
    <cellStyle name="Input 26 2 2" xfId="13003" xr:uid="{00000000-0005-0000-0000-0000B5320000}"/>
    <cellStyle name="Input 26 2 2 2" xfId="13004" xr:uid="{00000000-0005-0000-0000-0000B6320000}"/>
    <cellStyle name="Input 26 2 2 2 2" xfId="13005" xr:uid="{00000000-0005-0000-0000-0000B7320000}"/>
    <cellStyle name="Input 26 2 2 2 3" xfId="13006" xr:uid="{00000000-0005-0000-0000-0000B8320000}"/>
    <cellStyle name="Input 26 2 2 3" xfId="13007" xr:uid="{00000000-0005-0000-0000-0000B9320000}"/>
    <cellStyle name="Input 26 2 2 4" xfId="13008" xr:uid="{00000000-0005-0000-0000-0000BA320000}"/>
    <cellStyle name="Input 26 2 20" xfId="13009" xr:uid="{00000000-0005-0000-0000-0000BB320000}"/>
    <cellStyle name="Input 26 2 21" xfId="13010" xr:uid="{00000000-0005-0000-0000-0000BC320000}"/>
    <cellStyle name="Input 26 2 3" xfId="13011" xr:uid="{00000000-0005-0000-0000-0000BD320000}"/>
    <cellStyle name="Input 26 2 3 2" xfId="13012" xr:uid="{00000000-0005-0000-0000-0000BE320000}"/>
    <cellStyle name="Input 26 2 3 2 2" xfId="13013" xr:uid="{00000000-0005-0000-0000-0000BF320000}"/>
    <cellStyle name="Input 26 2 3 2 3" xfId="13014" xr:uid="{00000000-0005-0000-0000-0000C0320000}"/>
    <cellStyle name="Input 26 2 3 3" xfId="13015" xr:uid="{00000000-0005-0000-0000-0000C1320000}"/>
    <cellStyle name="Input 26 2 3 4" xfId="13016" xr:uid="{00000000-0005-0000-0000-0000C2320000}"/>
    <cellStyle name="Input 26 2 4" xfId="13017" xr:uid="{00000000-0005-0000-0000-0000C3320000}"/>
    <cellStyle name="Input 26 2 4 2" xfId="13018" xr:uid="{00000000-0005-0000-0000-0000C4320000}"/>
    <cellStyle name="Input 26 2 4 2 2" xfId="13019" xr:uid="{00000000-0005-0000-0000-0000C5320000}"/>
    <cellStyle name="Input 26 2 4 2 3" xfId="13020" xr:uid="{00000000-0005-0000-0000-0000C6320000}"/>
    <cellStyle name="Input 26 2 4 3" xfId="13021" xr:uid="{00000000-0005-0000-0000-0000C7320000}"/>
    <cellStyle name="Input 26 2 4 4" xfId="13022" xr:uid="{00000000-0005-0000-0000-0000C8320000}"/>
    <cellStyle name="Input 26 2 5" xfId="13023" xr:uid="{00000000-0005-0000-0000-0000C9320000}"/>
    <cellStyle name="Input 26 2 5 2" xfId="13024" xr:uid="{00000000-0005-0000-0000-0000CA320000}"/>
    <cellStyle name="Input 26 2 5 2 2" xfId="13025" xr:uid="{00000000-0005-0000-0000-0000CB320000}"/>
    <cellStyle name="Input 26 2 5 2 3" xfId="13026" xr:uid="{00000000-0005-0000-0000-0000CC320000}"/>
    <cellStyle name="Input 26 2 5 3" xfId="13027" xr:uid="{00000000-0005-0000-0000-0000CD320000}"/>
    <cellStyle name="Input 26 2 5 4" xfId="13028" xr:uid="{00000000-0005-0000-0000-0000CE320000}"/>
    <cellStyle name="Input 26 2 6" xfId="13029" xr:uid="{00000000-0005-0000-0000-0000CF320000}"/>
    <cellStyle name="Input 26 2 6 2" xfId="13030" xr:uid="{00000000-0005-0000-0000-0000D0320000}"/>
    <cellStyle name="Input 26 2 6 2 2" xfId="13031" xr:uid="{00000000-0005-0000-0000-0000D1320000}"/>
    <cellStyle name="Input 26 2 6 2 3" xfId="13032" xr:uid="{00000000-0005-0000-0000-0000D2320000}"/>
    <cellStyle name="Input 26 2 6 3" xfId="13033" xr:uid="{00000000-0005-0000-0000-0000D3320000}"/>
    <cellStyle name="Input 26 2 6 4" xfId="13034" xr:uid="{00000000-0005-0000-0000-0000D4320000}"/>
    <cellStyle name="Input 26 2 7" xfId="13035" xr:uid="{00000000-0005-0000-0000-0000D5320000}"/>
    <cellStyle name="Input 26 2 7 2" xfId="13036" xr:uid="{00000000-0005-0000-0000-0000D6320000}"/>
    <cellStyle name="Input 26 2 7 2 2" xfId="13037" xr:uid="{00000000-0005-0000-0000-0000D7320000}"/>
    <cellStyle name="Input 26 2 7 2 3" xfId="13038" xr:uid="{00000000-0005-0000-0000-0000D8320000}"/>
    <cellStyle name="Input 26 2 7 3" xfId="13039" xr:uid="{00000000-0005-0000-0000-0000D9320000}"/>
    <cellStyle name="Input 26 2 7 4" xfId="13040" xr:uid="{00000000-0005-0000-0000-0000DA320000}"/>
    <cellStyle name="Input 26 2 8" xfId="13041" xr:uid="{00000000-0005-0000-0000-0000DB320000}"/>
    <cellStyle name="Input 26 2 8 2" xfId="13042" xr:uid="{00000000-0005-0000-0000-0000DC320000}"/>
    <cellStyle name="Input 26 2 8 2 2" xfId="13043" xr:uid="{00000000-0005-0000-0000-0000DD320000}"/>
    <cellStyle name="Input 26 2 8 2 3" xfId="13044" xr:uid="{00000000-0005-0000-0000-0000DE320000}"/>
    <cellStyle name="Input 26 2 8 3" xfId="13045" xr:uid="{00000000-0005-0000-0000-0000DF320000}"/>
    <cellStyle name="Input 26 2 8 4" xfId="13046" xr:uid="{00000000-0005-0000-0000-0000E0320000}"/>
    <cellStyle name="Input 26 2 9" xfId="13047" xr:uid="{00000000-0005-0000-0000-0000E1320000}"/>
    <cellStyle name="Input 26 2 9 2" xfId="13048" xr:uid="{00000000-0005-0000-0000-0000E2320000}"/>
    <cellStyle name="Input 26 2 9 2 2" xfId="13049" xr:uid="{00000000-0005-0000-0000-0000E3320000}"/>
    <cellStyle name="Input 26 2 9 2 3" xfId="13050" xr:uid="{00000000-0005-0000-0000-0000E4320000}"/>
    <cellStyle name="Input 26 2 9 3" xfId="13051" xr:uid="{00000000-0005-0000-0000-0000E5320000}"/>
    <cellStyle name="Input 26 2 9 4" xfId="13052" xr:uid="{00000000-0005-0000-0000-0000E6320000}"/>
    <cellStyle name="Input 26 3" xfId="13053" xr:uid="{00000000-0005-0000-0000-0000E7320000}"/>
    <cellStyle name="Input 26 3 2" xfId="13054" xr:uid="{00000000-0005-0000-0000-0000E8320000}"/>
    <cellStyle name="Input 26 3 2 2" xfId="13055" xr:uid="{00000000-0005-0000-0000-0000E9320000}"/>
    <cellStyle name="Input 26 3 2 3" xfId="13056" xr:uid="{00000000-0005-0000-0000-0000EA320000}"/>
    <cellStyle name="Input 26 3 3" xfId="13057" xr:uid="{00000000-0005-0000-0000-0000EB320000}"/>
    <cellStyle name="Input 26 3 4" xfId="13058" xr:uid="{00000000-0005-0000-0000-0000EC320000}"/>
    <cellStyle name="Input 26 4" xfId="13059" xr:uid="{00000000-0005-0000-0000-0000ED320000}"/>
    <cellStyle name="Input 26 5" xfId="13060" xr:uid="{00000000-0005-0000-0000-0000EE320000}"/>
    <cellStyle name="Input 27" xfId="13061" xr:uid="{00000000-0005-0000-0000-0000EF320000}"/>
    <cellStyle name="Input 27 2" xfId="13062" xr:uid="{00000000-0005-0000-0000-0000F0320000}"/>
    <cellStyle name="Input 27 2 10" xfId="13063" xr:uid="{00000000-0005-0000-0000-0000F1320000}"/>
    <cellStyle name="Input 27 2 10 2" xfId="13064" xr:uid="{00000000-0005-0000-0000-0000F2320000}"/>
    <cellStyle name="Input 27 2 10 2 2" xfId="13065" xr:uid="{00000000-0005-0000-0000-0000F3320000}"/>
    <cellStyle name="Input 27 2 10 2 3" xfId="13066" xr:uid="{00000000-0005-0000-0000-0000F4320000}"/>
    <cellStyle name="Input 27 2 10 3" xfId="13067" xr:uid="{00000000-0005-0000-0000-0000F5320000}"/>
    <cellStyle name="Input 27 2 10 4" xfId="13068" xr:uid="{00000000-0005-0000-0000-0000F6320000}"/>
    <cellStyle name="Input 27 2 11" xfId="13069" xr:uid="{00000000-0005-0000-0000-0000F7320000}"/>
    <cellStyle name="Input 27 2 11 2" xfId="13070" xr:uid="{00000000-0005-0000-0000-0000F8320000}"/>
    <cellStyle name="Input 27 2 11 2 2" xfId="13071" xr:uid="{00000000-0005-0000-0000-0000F9320000}"/>
    <cellStyle name="Input 27 2 11 2 3" xfId="13072" xr:uid="{00000000-0005-0000-0000-0000FA320000}"/>
    <cellStyle name="Input 27 2 11 3" xfId="13073" xr:uid="{00000000-0005-0000-0000-0000FB320000}"/>
    <cellStyle name="Input 27 2 11 4" xfId="13074" xr:uid="{00000000-0005-0000-0000-0000FC320000}"/>
    <cellStyle name="Input 27 2 12" xfId="13075" xr:uid="{00000000-0005-0000-0000-0000FD320000}"/>
    <cellStyle name="Input 27 2 12 2" xfId="13076" xr:uid="{00000000-0005-0000-0000-0000FE320000}"/>
    <cellStyle name="Input 27 2 12 2 2" xfId="13077" xr:uid="{00000000-0005-0000-0000-0000FF320000}"/>
    <cellStyle name="Input 27 2 12 2 3" xfId="13078" xr:uid="{00000000-0005-0000-0000-000000330000}"/>
    <cellStyle name="Input 27 2 12 3" xfId="13079" xr:uid="{00000000-0005-0000-0000-000001330000}"/>
    <cellStyle name="Input 27 2 12 4" xfId="13080" xr:uid="{00000000-0005-0000-0000-000002330000}"/>
    <cellStyle name="Input 27 2 13" xfId="13081" xr:uid="{00000000-0005-0000-0000-000003330000}"/>
    <cellStyle name="Input 27 2 13 2" xfId="13082" xr:uid="{00000000-0005-0000-0000-000004330000}"/>
    <cellStyle name="Input 27 2 13 2 2" xfId="13083" xr:uid="{00000000-0005-0000-0000-000005330000}"/>
    <cellStyle name="Input 27 2 13 2 3" xfId="13084" xr:uid="{00000000-0005-0000-0000-000006330000}"/>
    <cellStyle name="Input 27 2 13 3" xfId="13085" xr:uid="{00000000-0005-0000-0000-000007330000}"/>
    <cellStyle name="Input 27 2 13 4" xfId="13086" xr:uid="{00000000-0005-0000-0000-000008330000}"/>
    <cellStyle name="Input 27 2 14" xfId="13087" xr:uid="{00000000-0005-0000-0000-000009330000}"/>
    <cellStyle name="Input 27 2 14 2" xfId="13088" xr:uid="{00000000-0005-0000-0000-00000A330000}"/>
    <cellStyle name="Input 27 2 14 2 2" xfId="13089" xr:uid="{00000000-0005-0000-0000-00000B330000}"/>
    <cellStyle name="Input 27 2 14 2 3" xfId="13090" xr:uid="{00000000-0005-0000-0000-00000C330000}"/>
    <cellStyle name="Input 27 2 14 3" xfId="13091" xr:uid="{00000000-0005-0000-0000-00000D330000}"/>
    <cellStyle name="Input 27 2 14 4" xfId="13092" xr:uid="{00000000-0005-0000-0000-00000E330000}"/>
    <cellStyle name="Input 27 2 15" xfId="13093" xr:uid="{00000000-0005-0000-0000-00000F330000}"/>
    <cellStyle name="Input 27 2 15 2" xfId="13094" xr:uid="{00000000-0005-0000-0000-000010330000}"/>
    <cellStyle name="Input 27 2 15 2 2" xfId="13095" xr:uid="{00000000-0005-0000-0000-000011330000}"/>
    <cellStyle name="Input 27 2 15 2 3" xfId="13096" xr:uid="{00000000-0005-0000-0000-000012330000}"/>
    <cellStyle name="Input 27 2 15 3" xfId="13097" xr:uid="{00000000-0005-0000-0000-000013330000}"/>
    <cellStyle name="Input 27 2 15 4" xfId="13098" xr:uid="{00000000-0005-0000-0000-000014330000}"/>
    <cellStyle name="Input 27 2 16" xfId="13099" xr:uid="{00000000-0005-0000-0000-000015330000}"/>
    <cellStyle name="Input 27 2 16 2" xfId="13100" xr:uid="{00000000-0005-0000-0000-000016330000}"/>
    <cellStyle name="Input 27 2 16 2 2" xfId="13101" xr:uid="{00000000-0005-0000-0000-000017330000}"/>
    <cellStyle name="Input 27 2 16 2 3" xfId="13102" xr:uid="{00000000-0005-0000-0000-000018330000}"/>
    <cellStyle name="Input 27 2 16 3" xfId="13103" xr:uid="{00000000-0005-0000-0000-000019330000}"/>
    <cellStyle name="Input 27 2 16 4" xfId="13104" xr:uid="{00000000-0005-0000-0000-00001A330000}"/>
    <cellStyle name="Input 27 2 17" xfId="13105" xr:uid="{00000000-0005-0000-0000-00001B330000}"/>
    <cellStyle name="Input 27 2 17 2" xfId="13106" xr:uid="{00000000-0005-0000-0000-00001C330000}"/>
    <cellStyle name="Input 27 2 17 2 2" xfId="13107" xr:uid="{00000000-0005-0000-0000-00001D330000}"/>
    <cellStyle name="Input 27 2 17 2 3" xfId="13108" xr:uid="{00000000-0005-0000-0000-00001E330000}"/>
    <cellStyle name="Input 27 2 17 3" xfId="13109" xr:uid="{00000000-0005-0000-0000-00001F330000}"/>
    <cellStyle name="Input 27 2 17 4" xfId="13110" xr:uid="{00000000-0005-0000-0000-000020330000}"/>
    <cellStyle name="Input 27 2 18" xfId="13111" xr:uid="{00000000-0005-0000-0000-000021330000}"/>
    <cellStyle name="Input 27 2 18 2" xfId="13112" xr:uid="{00000000-0005-0000-0000-000022330000}"/>
    <cellStyle name="Input 27 2 18 3" xfId="13113" xr:uid="{00000000-0005-0000-0000-000023330000}"/>
    <cellStyle name="Input 27 2 18 4" xfId="13114" xr:uid="{00000000-0005-0000-0000-000024330000}"/>
    <cellStyle name="Input 27 2 19" xfId="13115" xr:uid="{00000000-0005-0000-0000-000025330000}"/>
    <cellStyle name="Input 27 2 2" xfId="13116" xr:uid="{00000000-0005-0000-0000-000026330000}"/>
    <cellStyle name="Input 27 2 2 2" xfId="13117" xr:uid="{00000000-0005-0000-0000-000027330000}"/>
    <cellStyle name="Input 27 2 2 2 2" xfId="13118" xr:uid="{00000000-0005-0000-0000-000028330000}"/>
    <cellStyle name="Input 27 2 2 2 3" xfId="13119" xr:uid="{00000000-0005-0000-0000-000029330000}"/>
    <cellStyle name="Input 27 2 2 3" xfId="13120" xr:uid="{00000000-0005-0000-0000-00002A330000}"/>
    <cellStyle name="Input 27 2 2 4" xfId="13121" xr:uid="{00000000-0005-0000-0000-00002B330000}"/>
    <cellStyle name="Input 27 2 20" xfId="13122" xr:uid="{00000000-0005-0000-0000-00002C330000}"/>
    <cellStyle name="Input 27 2 21" xfId="13123" xr:uid="{00000000-0005-0000-0000-00002D330000}"/>
    <cellStyle name="Input 27 2 3" xfId="13124" xr:uid="{00000000-0005-0000-0000-00002E330000}"/>
    <cellStyle name="Input 27 2 3 2" xfId="13125" xr:uid="{00000000-0005-0000-0000-00002F330000}"/>
    <cellStyle name="Input 27 2 3 2 2" xfId="13126" xr:uid="{00000000-0005-0000-0000-000030330000}"/>
    <cellStyle name="Input 27 2 3 2 3" xfId="13127" xr:uid="{00000000-0005-0000-0000-000031330000}"/>
    <cellStyle name="Input 27 2 3 3" xfId="13128" xr:uid="{00000000-0005-0000-0000-000032330000}"/>
    <cellStyle name="Input 27 2 3 4" xfId="13129" xr:uid="{00000000-0005-0000-0000-000033330000}"/>
    <cellStyle name="Input 27 2 4" xfId="13130" xr:uid="{00000000-0005-0000-0000-000034330000}"/>
    <cellStyle name="Input 27 2 4 2" xfId="13131" xr:uid="{00000000-0005-0000-0000-000035330000}"/>
    <cellStyle name="Input 27 2 4 2 2" xfId="13132" xr:uid="{00000000-0005-0000-0000-000036330000}"/>
    <cellStyle name="Input 27 2 4 2 3" xfId="13133" xr:uid="{00000000-0005-0000-0000-000037330000}"/>
    <cellStyle name="Input 27 2 4 3" xfId="13134" xr:uid="{00000000-0005-0000-0000-000038330000}"/>
    <cellStyle name="Input 27 2 4 4" xfId="13135" xr:uid="{00000000-0005-0000-0000-000039330000}"/>
    <cellStyle name="Input 27 2 5" xfId="13136" xr:uid="{00000000-0005-0000-0000-00003A330000}"/>
    <cellStyle name="Input 27 2 5 2" xfId="13137" xr:uid="{00000000-0005-0000-0000-00003B330000}"/>
    <cellStyle name="Input 27 2 5 2 2" xfId="13138" xr:uid="{00000000-0005-0000-0000-00003C330000}"/>
    <cellStyle name="Input 27 2 5 2 3" xfId="13139" xr:uid="{00000000-0005-0000-0000-00003D330000}"/>
    <cellStyle name="Input 27 2 5 3" xfId="13140" xr:uid="{00000000-0005-0000-0000-00003E330000}"/>
    <cellStyle name="Input 27 2 5 4" xfId="13141" xr:uid="{00000000-0005-0000-0000-00003F330000}"/>
    <cellStyle name="Input 27 2 6" xfId="13142" xr:uid="{00000000-0005-0000-0000-000040330000}"/>
    <cellStyle name="Input 27 2 6 2" xfId="13143" xr:uid="{00000000-0005-0000-0000-000041330000}"/>
    <cellStyle name="Input 27 2 6 2 2" xfId="13144" xr:uid="{00000000-0005-0000-0000-000042330000}"/>
    <cellStyle name="Input 27 2 6 2 3" xfId="13145" xr:uid="{00000000-0005-0000-0000-000043330000}"/>
    <cellStyle name="Input 27 2 6 3" xfId="13146" xr:uid="{00000000-0005-0000-0000-000044330000}"/>
    <cellStyle name="Input 27 2 6 4" xfId="13147" xr:uid="{00000000-0005-0000-0000-000045330000}"/>
    <cellStyle name="Input 27 2 7" xfId="13148" xr:uid="{00000000-0005-0000-0000-000046330000}"/>
    <cellStyle name="Input 27 2 7 2" xfId="13149" xr:uid="{00000000-0005-0000-0000-000047330000}"/>
    <cellStyle name="Input 27 2 7 2 2" xfId="13150" xr:uid="{00000000-0005-0000-0000-000048330000}"/>
    <cellStyle name="Input 27 2 7 2 3" xfId="13151" xr:uid="{00000000-0005-0000-0000-000049330000}"/>
    <cellStyle name="Input 27 2 7 3" xfId="13152" xr:uid="{00000000-0005-0000-0000-00004A330000}"/>
    <cellStyle name="Input 27 2 7 4" xfId="13153" xr:uid="{00000000-0005-0000-0000-00004B330000}"/>
    <cellStyle name="Input 27 2 8" xfId="13154" xr:uid="{00000000-0005-0000-0000-00004C330000}"/>
    <cellStyle name="Input 27 2 8 2" xfId="13155" xr:uid="{00000000-0005-0000-0000-00004D330000}"/>
    <cellStyle name="Input 27 2 8 2 2" xfId="13156" xr:uid="{00000000-0005-0000-0000-00004E330000}"/>
    <cellStyle name="Input 27 2 8 2 3" xfId="13157" xr:uid="{00000000-0005-0000-0000-00004F330000}"/>
    <cellStyle name="Input 27 2 8 3" xfId="13158" xr:uid="{00000000-0005-0000-0000-000050330000}"/>
    <cellStyle name="Input 27 2 8 4" xfId="13159" xr:uid="{00000000-0005-0000-0000-000051330000}"/>
    <cellStyle name="Input 27 2 9" xfId="13160" xr:uid="{00000000-0005-0000-0000-000052330000}"/>
    <cellStyle name="Input 27 2 9 2" xfId="13161" xr:uid="{00000000-0005-0000-0000-000053330000}"/>
    <cellStyle name="Input 27 2 9 2 2" xfId="13162" xr:uid="{00000000-0005-0000-0000-000054330000}"/>
    <cellStyle name="Input 27 2 9 2 3" xfId="13163" xr:uid="{00000000-0005-0000-0000-000055330000}"/>
    <cellStyle name="Input 27 2 9 3" xfId="13164" xr:uid="{00000000-0005-0000-0000-000056330000}"/>
    <cellStyle name="Input 27 2 9 4" xfId="13165" xr:uid="{00000000-0005-0000-0000-000057330000}"/>
    <cellStyle name="Input 27 3" xfId="13166" xr:uid="{00000000-0005-0000-0000-000058330000}"/>
    <cellStyle name="Input 27 3 2" xfId="13167" xr:uid="{00000000-0005-0000-0000-000059330000}"/>
    <cellStyle name="Input 27 3 2 2" xfId="13168" xr:uid="{00000000-0005-0000-0000-00005A330000}"/>
    <cellStyle name="Input 27 3 2 3" xfId="13169" xr:uid="{00000000-0005-0000-0000-00005B330000}"/>
    <cellStyle name="Input 27 3 3" xfId="13170" xr:uid="{00000000-0005-0000-0000-00005C330000}"/>
    <cellStyle name="Input 27 3 4" xfId="13171" xr:uid="{00000000-0005-0000-0000-00005D330000}"/>
    <cellStyle name="Input 27 4" xfId="13172" xr:uid="{00000000-0005-0000-0000-00005E330000}"/>
    <cellStyle name="Input 27 5" xfId="13173" xr:uid="{00000000-0005-0000-0000-00005F330000}"/>
    <cellStyle name="Input 28" xfId="13174" xr:uid="{00000000-0005-0000-0000-000060330000}"/>
    <cellStyle name="Input 28 2" xfId="13175" xr:uid="{00000000-0005-0000-0000-000061330000}"/>
    <cellStyle name="Input 28 2 10" xfId="13176" xr:uid="{00000000-0005-0000-0000-000062330000}"/>
    <cellStyle name="Input 28 2 10 2" xfId="13177" xr:uid="{00000000-0005-0000-0000-000063330000}"/>
    <cellStyle name="Input 28 2 10 2 2" xfId="13178" xr:uid="{00000000-0005-0000-0000-000064330000}"/>
    <cellStyle name="Input 28 2 10 2 3" xfId="13179" xr:uid="{00000000-0005-0000-0000-000065330000}"/>
    <cellStyle name="Input 28 2 10 3" xfId="13180" xr:uid="{00000000-0005-0000-0000-000066330000}"/>
    <cellStyle name="Input 28 2 10 4" xfId="13181" xr:uid="{00000000-0005-0000-0000-000067330000}"/>
    <cellStyle name="Input 28 2 11" xfId="13182" xr:uid="{00000000-0005-0000-0000-000068330000}"/>
    <cellStyle name="Input 28 2 11 2" xfId="13183" xr:uid="{00000000-0005-0000-0000-000069330000}"/>
    <cellStyle name="Input 28 2 11 2 2" xfId="13184" xr:uid="{00000000-0005-0000-0000-00006A330000}"/>
    <cellStyle name="Input 28 2 11 2 3" xfId="13185" xr:uid="{00000000-0005-0000-0000-00006B330000}"/>
    <cellStyle name="Input 28 2 11 3" xfId="13186" xr:uid="{00000000-0005-0000-0000-00006C330000}"/>
    <cellStyle name="Input 28 2 11 4" xfId="13187" xr:uid="{00000000-0005-0000-0000-00006D330000}"/>
    <cellStyle name="Input 28 2 12" xfId="13188" xr:uid="{00000000-0005-0000-0000-00006E330000}"/>
    <cellStyle name="Input 28 2 12 2" xfId="13189" xr:uid="{00000000-0005-0000-0000-00006F330000}"/>
    <cellStyle name="Input 28 2 12 2 2" xfId="13190" xr:uid="{00000000-0005-0000-0000-000070330000}"/>
    <cellStyle name="Input 28 2 12 2 3" xfId="13191" xr:uid="{00000000-0005-0000-0000-000071330000}"/>
    <cellStyle name="Input 28 2 12 3" xfId="13192" xr:uid="{00000000-0005-0000-0000-000072330000}"/>
    <cellStyle name="Input 28 2 12 4" xfId="13193" xr:uid="{00000000-0005-0000-0000-000073330000}"/>
    <cellStyle name="Input 28 2 13" xfId="13194" xr:uid="{00000000-0005-0000-0000-000074330000}"/>
    <cellStyle name="Input 28 2 13 2" xfId="13195" xr:uid="{00000000-0005-0000-0000-000075330000}"/>
    <cellStyle name="Input 28 2 13 2 2" xfId="13196" xr:uid="{00000000-0005-0000-0000-000076330000}"/>
    <cellStyle name="Input 28 2 13 2 3" xfId="13197" xr:uid="{00000000-0005-0000-0000-000077330000}"/>
    <cellStyle name="Input 28 2 13 3" xfId="13198" xr:uid="{00000000-0005-0000-0000-000078330000}"/>
    <cellStyle name="Input 28 2 13 4" xfId="13199" xr:uid="{00000000-0005-0000-0000-000079330000}"/>
    <cellStyle name="Input 28 2 14" xfId="13200" xr:uid="{00000000-0005-0000-0000-00007A330000}"/>
    <cellStyle name="Input 28 2 14 2" xfId="13201" xr:uid="{00000000-0005-0000-0000-00007B330000}"/>
    <cellStyle name="Input 28 2 14 2 2" xfId="13202" xr:uid="{00000000-0005-0000-0000-00007C330000}"/>
    <cellStyle name="Input 28 2 14 2 3" xfId="13203" xr:uid="{00000000-0005-0000-0000-00007D330000}"/>
    <cellStyle name="Input 28 2 14 3" xfId="13204" xr:uid="{00000000-0005-0000-0000-00007E330000}"/>
    <cellStyle name="Input 28 2 14 4" xfId="13205" xr:uid="{00000000-0005-0000-0000-00007F330000}"/>
    <cellStyle name="Input 28 2 15" xfId="13206" xr:uid="{00000000-0005-0000-0000-000080330000}"/>
    <cellStyle name="Input 28 2 15 2" xfId="13207" xr:uid="{00000000-0005-0000-0000-000081330000}"/>
    <cellStyle name="Input 28 2 15 2 2" xfId="13208" xr:uid="{00000000-0005-0000-0000-000082330000}"/>
    <cellStyle name="Input 28 2 15 2 3" xfId="13209" xr:uid="{00000000-0005-0000-0000-000083330000}"/>
    <cellStyle name="Input 28 2 15 3" xfId="13210" xr:uid="{00000000-0005-0000-0000-000084330000}"/>
    <cellStyle name="Input 28 2 15 4" xfId="13211" xr:uid="{00000000-0005-0000-0000-000085330000}"/>
    <cellStyle name="Input 28 2 16" xfId="13212" xr:uid="{00000000-0005-0000-0000-000086330000}"/>
    <cellStyle name="Input 28 2 16 2" xfId="13213" xr:uid="{00000000-0005-0000-0000-000087330000}"/>
    <cellStyle name="Input 28 2 16 2 2" xfId="13214" xr:uid="{00000000-0005-0000-0000-000088330000}"/>
    <cellStyle name="Input 28 2 16 2 3" xfId="13215" xr:uid="{00000000-0005-0000-0000-000089330000}"/>
    <cellStyle name="Input 28 2 16 3" xfId="13216" xr:uid="{00000000-0005-0000-0000-00008A330000}"/>
    <cellStyle name="Input 28 2 16 4" xfId="13217" xr:uid="{00000000-0005-0000-0000-00008B330000}"/>
    <cellStyle name="Input 28 2 17" xfId="13218" xr:uid="{00000000-0005-0000-0000-00008C330000}"/>
    <cellStyle name="Input 28 2 17 2" xfId="13219" xr:uid="{00000000-0005-0000-0000-00008D330000}"/>
    <cellStyle name="Input 28 2 17 2 2" xfId="13220" xr:uid="{00000000-0005-0000-0000-00008E330000}"/>
    <cellStyle name="Input 28 2 17 2 3" xfId="13221" xr:uid="{00000000-0005-0000-0000-00008F330000}"/>
    <cellStyle name="Input 28 2 17 3" xfId="13222" xr:uid="{00000000-0005-0000-0000-000090330000}"/>
    <cellStyle name="Input 28 2 17 4" xfId="13223" xr:uid="{00000000-0005-0000-0000-000091330000}"/>
    <cellStyle name="Input 28 2 18" xfId="13224" xr:uid="{00000000-0005-0000-0000-000092330000}"/>
    <cellStyle name="Input 28 2 18 2" xfId="13225" xr:uid="{00000000-0005-0000-0000-000093330000}"/>
    <cellStyle name="Input 28 2 18 3" xfId="13226" xr:uid="{00000000-0005-0000-0000-000094330000}"/>
    <cellStyle name="Input 28 2 18 4" xfId="13227" xr:uid="{00000000-0005-0000-0000-000095330000}"/>
    <cellStyle name="Input 28 2 19" xfId="13228" xr:uid="{00000000-0005-0000-0000-000096330000}"/>
    <cellStyle name="Input 28 2 2" xfId="13229" xr:uid="{00000000-0005-0000-0000-000097330000}"/>
    <cellStyle name="Input 28 2 2 2" xfId="13230" xr:uid="{00000000-0005-0000-0000-000098330000}"/>
    <cellStyle name="Input 28 2 2 2 2" xfId="13231" xr:uid="{00000000-0005-0000-0000-000099330000}"/>
    <cellStyle name="Input 28 2 2 2 3" xfId="13232" xr:uid="{00000000-0005-0000-0000-00009A330000}"/>
    <cellStyle name="Input 28 2 2 3" xfId="13233" xr:uid="{00000000-0005-0000-0000-00009B330000}"/>
    <cellStyle name="Input 28 2 2 4" xfId="13234" xr:uid="{00000000-0005-0000-0000-00009C330000}"/>
    <cellStyle name="Input 28 2 20" xfId="13235" xr:uid="{00000000-0005-0000-0000-00009D330000}"/>
    <cellStyle name="Input 28 2 21" xfId="13236" xr:uid="{00000000-0005-0000-0000-00009E330000}"/>
    <cellStyle name="Input 28 2 3" xfId="13237" xr:uid="{00000000-0005-0000-0000-00009F330000}"/>
    <cellStyle name="Input 28 2 3 2" xfId="13238" xr:uid="{00000000-0005-0000-0000-0000A0330000}"/>
    <cellStyle name="Input 28 2 3 2 2" xfId="13239" xr:uid="{00000000-0005-0000-0000-0000A1330000}"/>
    <cellStyle name="Input 28 2 3 2 3" xfId="13240" xr:uid="{00000000-0005-0000-0000-0000A2330000}"/>
    <cellStyle name="Input 28 2 3 3" xfId="13241" xr:uid="{00000000-0005-0000-0000-0000A3330000}"/>
    <cellStyle name="Input 28 2 3 4" xfId="13242" xr:uid="{00000000-0005-0000-0000-0000A4330000}"/>
    <cellStyle name="Input 28 2 4" xfId="13243" xr:uid="{00000000-0005-0000-0000-0000A5330000}"/>
    <cellStyle name="Input 28 2 4 2" xfId="13244" xr:uid="{00000000-0005-0000-0000-0000A6330000}"/>
    <cellStyle name="Input 28 2 4 2 2" xfId="13245" xr:uid="{00000000-0005-0000-0000-0000A7330000}"/>
    <cellStyle name="Input 28 2 4 2 3" xfId="13246" xr:uid="{00000000-0005-0000-0000-0000A8330000}"/>
    <cellStyle name="Input 28 2 4 3" xfId="13247" xr:uid="{00000000-0005-0000-0000-0000A9330000}"/>
    <cellStyle name="Input 28 2 4 4" xfId="13248" xr:uid="{00000000-0005-0000-0000-0000AA330000}"/>
    <cellStyle name="Input 28 2 5" xfId="13249" xr:uid="{00000000-0005-0000-0000-0000AB330000}"/>
    <cellStyle name="Input 28 2 5 2" xfId="13250" xr:uid="{00000000-0005-0000-0000-0000AC330000}"/>
    <cellStyle name="Input 28 2 5 2 2" xfId="13251" xr:uid="{00000000-0005-0000-0000-0000AD330000}"/>
    <cellStyle name="Input 28 2 5 2 3" xfId="13252" xr:uid="{00000000-0005-0000-0000-0000AE330000}"/>
    <cellStyle name="Input 28 2 5 3" xfId="13253" xr:uid="{00000000-0005-0000-0000-0000AF330000}"/>
    <cellStyle name="Input 28 2 5 4" xfId="13254" xr:uid="{00000000-0005-0000-0000-0000B0330000}"/>
    <cellStyle name="Input 28 2 6" xfId="13255" xr:uid="{00000000-0005-0000-0000-0000B1330000}"/>
    <cellStyle name="Input 28 2 6 2" xfId="13256" xr:uid="{00000000-0005-0000-0000-0000B2330000}"/>
    <cellStyle name="Input 28 2 6 2 2" xfId="13257" xr:uid="{00000000-0005-0000-0000-0000B3330000}"/>
    <cellStyle name="Input 28 2 6 2 3" xfId="13258" xr:uid="{00000000-0005-0000-0000-0000B4330000}"/>
    <cellStyle name="Input 28 2 6 3" xfId="13259" xr:uid="{00000000-0005-0000-0000-0000B5330000}"/>
    <cellStyle name="Input 28 2 6 4" xfId="13260" xr:uid="{00000000-0005-0000-0000-0000B6330000}"/>
    <cellStyle name="Input 28 2 7" xfId="13261" xr:uid="{00000000-0005-0000-0000-0000B7330000}"/>
    <cellStyle name="Input 28 2 7 2" xfId="13262" xr:uid="{00000000-0005-0000-0000-0000B8330000}"/>
    <cellStyle name="Input 28 2 7 2 2" xfId="13263" xr:uid="{00000000-0005-0000-0000-0000B9330000}"/>
    <cellStyle name="Input 28 2 7 2 3" xfId="13264" xr:uid="{00000000-0005-0000-0000-0000BA330000}"/>
    <cellStyle name="Input 28 2 7 3" xfId="13265" xr:uid="{00000000-0005-0000-0000-0000BB330000}"/>
    <cellStyle name="Input 28 2 7 4" xfId="13266" xr:uid="{00000000-0005-0000-0000-0000BC330000}"/>
    <cellStyle name="Input 28 2 8" xfId="13267" xr:uid="{00000000-0005-0000-0000-0000BD330000}"/>
    <cellStyle name="Input 28 2 8 2" xfId="13268" xr:uid="{00000000-0005-0000-0000-0000BE330000}"/>
    <cellStyle name="Input 28 2 8 2 2" xfId="13269" xr:uid="{00000000-0005-0000-0000-0000BF330000}"/>
    <cellStyle name="Input 28 2 8 2 3" xfId="13270" xr:uid="{00000000-0005-0000-0000-0000C0330000}"/>
    <cellStyle name="Input 28 2 8 3" xfId="13271" xr:uid="{00000000-0005-0000-0000-0000C1330000}"/>
    <cellStyle name="Input 28 2 8 4" xfId="13272" xr:uid="{00000000-0005-0000-0000-0000C2330000}"/>
    <cellStyle name="Input 28 2 9" xfId="13273" xr:uid="{00000000-0005-0000-0000-0000C3330000}"/>
    <cellStyle name="Input 28 2 9 2" xfId="13274" xr:uid="{00000000-0005-0000-0000-0000C4330000}"/>
    <cellStyle name="Input 28 2 9 2 2" xfId="13275" xr:uid="{00000000-0005-0000-0000-0000C5330000}"/>
    <cellStyle name="Input 28 2 9 2 3" xfId="13276" xr:uid="{00000000-0005-0000-0000-0000C6330000}"/>
    <cellStyle name="Input 28 2 9 3" xfId="13277" xr:uid="{00000000-0005-0000-0000-0000C7330000}"/>
    <cellStyle name="Input 28 2 9 4" xfId="13278" xr:uid="{00000000-0005-0000-0000-0000C8330000}"/>
    <cellStyle name="Input 28 3" xfId="13279" xr:uid="{00000000-0005-0000-0000-0000C9330000}"/>
    <cellStyle name="Input 28 3 2" xfId="13280" xr:uid="{00000000-0005-0000-0000-0000CA330000}"/>
    <cellStyle name="Input 28 3 2 2" xfId="13281" xr:uid="{00000000-0005-0000-0000-0000CB330000}"/>
    <cellStyle name="Input 28 3 2 3" xfId="13282" xr:uid="{00000000-0005-0000-0000-0000CC330000}"/>
    <cellStyle name="Input 28 3 3" xfId="13283" xr:uid="{00000000-0005-0000-0000-0000CD330000}"/>
    <cellStyle name="Input 28 3 4" xfId="13284" xr:uid="{00000000-0005-0000-0000-0000CE330000}"/>
    <cellStyle name="Input 28 4" xfId="13285" xr:uid="{00000000-0005-0000-0000-0000CF330000}"/>
    <cellStyle name="Input 28 5" xfId="13286" xr:uid="{00000000-0005-0000-0000-0000D0330000}"/>
    <cellStyle name="Input 29" xfId="13287" xr:uid="{00000000-0005-0000-0000-0000D1330000}"/>
    <cellStyle name="Input 29 2" xfId="13288" xr:uid="{00000000-0005-0000-0000-0000D2330000}"/>
    <cellStyle name="Input 29 2 10" xfId="13289" xr:uid="{00000000-0005-0000-0000-0000D3330000}"/>
    <cellStyle name="Input 29 2 10 2" xfId="13290" xr:uid="{00000000-0005-0000-0000-0000D4330000}"/>
    <cellStyle name="Input 29 2 10 2 2" xfId="13291" xr:uid="{00000000-0005-0000-0000-0000D5330000}"/>
    <cellStyle name="Input 29 2 10 2 3" xfId="13292" xr:uid="{00000000-0005-0000-0000-0000D6330000}"/>
    <cellStyle name="Input 29 2 10 3" xfId="13293" xr:uid="{00000000-0005-0000-0000-0000D7330000}"/>
    <cellStyle name="Input 29 2 10 4" xfId="13294" xr:uid="{00000000-0005-0000-0000-0000D8330000}"/>
    <cellStyle name="Input 29 2 11" xfId="13295" xr:uid="{00000000-0005-0000-0000-0000D9330000}"/>
    <cellStyle name="Input 29 2 11 2" xfId="13296" xr:uid="{00000000-0005-0000-0000-0000DA330000}"/>
    <cellStyle name="Input 29 2 11 2 2" xfId="13297" xr:uid="{00000000-0005-0000-0000-0000DB330000}"/>
    <cellStyle name="Input 29 2 11 2 3" xfId="13298" xr:uid="{00000000-0005-0000-0000-0000DC330000}"/>
    <cellStyle name="Input 29 2 11 3" xfId="13299" xr:uid="{00000000-0005-0000-0000-0000DD330000}"/>
    <cellStyle name="Input 29 2 11 4" xfId="13300" xr:uid="{00000000-0005-0000-0000-0000DE330000}"/>
    <cellStyle name="Input 29 2 12" xfId="13301" xr:uid="{00000000-0005-0000-0000-0000DF330000}"/>
    <cellStyle name="Input 29 2 12 2" xfId="13302" xr:uid="{00000000-0005-0000-0000-0000E0330000}"/>
    <cellStyle name="Input 29 2 12 2 2" xfId="13303" xr:uid="{00000000-0005-0000-0000-0000E1330000}"/>
    <cellStyle name="Input 29 2 12 2 3" xfId="13304" xr:uid="{00000000-0005-0000-0000-0000E2330000}"/>
    <cellStyle name="Input 29 2 12 3" xfId="13305" xr:uid="{00000000-0005-0000-0000-0000E3330000}"/>
    <cellStyle name="Input 29 2 12 4" xfId="13306" xr:uid="{00000000-0005-0000-0000-0000E4330000}"/>
    <cellStyle name="Input 29 2 13" xfId="13307" xr:uid="{00000000-0005-0000-0000-0000E5330000}"/>
    <cellStyle name="Input 29 2 13 2" xfId="13308" xr:uid="{00000000-0005-0000-0000-0000E6330000}"/>
    <cellStyle name="Input 29 2 13 2 2" xfId="13309" xr:uid="{00000000-0005-0000-0000-0000E7330000}"/>
    <cellStyle name="Input 29 2 13 2 3" xfId="13310" xr:uid="{00000000-0005-0000-0000-0000E8330000}"/>
    <cellStyle name="Input 29 2 13 3" xfId="13311" xr:uid="{00000000-0005-0000-0000-0000E9330000}"/>
    <cellStyle name="Input 29 2 13 4" xfId="13312" xr:uid="{00000000-0005-0000-0000-0000EA330000}"/>
    <cellStyle name="Input 29 2 14" xfId="13313" xr:uid="{00000000-0005-0000-0000-0000EB330000}"/>
    <cellStyle name="Input 29 2 14 2" xfId="13314" xr:uid="{00000000-0005-0000-0000-0000EC330000}"/>
    <cellStyle name="Input 29 2 14 2 2" xfId="13315" xr:uid="{00000000-0005-0000-0000-0000ED330000}"/>
    <cellStyle name="Input 29 2 14 2 3" xfId="13316" xr:uid="{00000000-0005-0000-0000-0000EE330000}"/>
    <cellStyle name="Input 29 2 14 3" xfId="13317" xr:uid="{00000000-0005-0000-0000-0000EF330000}"/>
    <cellStyle name="Input 29 2 14 4" xfId="13318" xr:uid="{00000000-0005-0000-0000-0000F0330000}"/>
    <cellStyle name="Input 29 2 15" xfId="13319" xr:uid="{00000000-0005-0000-0000-0000F1330000}"/>
    <cellStyle name="Input 29 2 15 2" xfId="13320" xr:uid="{00000000-0005-0000-0000-0000F2330000}"/>
    <cellStyle name="Input 29 2 15 2 2" xfId="13321" xr:uid="{00000000-0005-0000-0000-0000F3330000}"/>
    <cellStyle name="Input 29 2 15 2 3" xfId="13322" xr:uid="{00000000-0005-0000-0000-0000F4330000}"/>
    <cellStyle name="Input 29 2 15 3" xfId="13323" xr:uid="{00000000-0005-0000-0000-0000F5330000}"/>
    <cellStyle name="Input 29 2 15 4" xfId="13324" xr:uid="{00000000-0005-0000-0000-0000F6330000}"/>
    <cellStyle name="Input 29 2 16" xfId="13325" xr:uid="{00000000-0005-0000-0000-0000F7330000}"/>
    <cellStyle name="Input 29 2 16 2" xfId="13326" xr:uid="{00000000-0005-0000-0000-0000F8330000}"/>
    <cellStyle name="Input 29 2 16 2 2" xfId="13327" xr:uid="{00000000-0005-0000-0000-0000F9330000}"/>
    <cellStyle name="Input 29 2 16 2 3" xfId="13328" xr:uid="{00000000-0005-0000-0000-0000FA330000}"/>
    <cellStyle name="Input 29 2 16 3" xfId="13329" xr:uid="{00000000-0005-0000-0000-0000FB330000}"/>
    <cellStyle name="Input 29 2 16 4" xfId="13330" xr:uid="{00000000-0005-0000-0000-0000FC330000}"/>
    <cellStyle name="Input 29 2 17" xfId="13331" xr:uid="{00000000-0005-0000-0000-0000FD330000}"/>
    <cellStyle name="Input 29 2 17 2" xfId="13332" xr:uid="{00000000-0005-0000-0000-0000FE330000}"/>
    <cellStyle name="Input 29 2 17 2 2" xfId="13333" xr:uid="{00000000-0005-0000-0000-0000FF330000}"/>
    <cellStyle name="Input 29 2 17 2 3" xfId="13334" xr:uid="{00000000-0005-0000-0000-000000340000}"/>
    <cellStyle name="Input 29 2 17 3" xfId="13335" xr:uid="{00000000-0005-0000-0000-000001340000}"/>
    <cellStyle name="Input 29 2 17 4" xfId="13336" xr:uid="{00000000-0005-0000-0000-000002340000}"/>
    <cellStyle name="Input 29 2 18" xfId="13337" xr:uid="{00000000-0005-0000-0000-000003340000}"/>
    <cellStyle name="Input 29 2 18 2" xfId="13338" xr:uid="{00000000-0005-0000-0000-000004340000}"/>
    <cellStyle name="Input 29 2 18 3" xfId="13339" xr:uid="{00000000-0005-0000-0000-000005340000}"/>
    <cellStyle name="Input 29 2 18 4" xfId="13340" xr:uid="{00000000-0005-0000-0000-000006340000}"/>
    <cellStyle name="Input 29 2 19" xfId="13341" xr:uid="{00000000-0005-0000-0000-000007340000}"/>
    <cellStyle name="Input 29 2 2" xfId="13342" xr:uid="{00000000-0005-0000-0000-000008340000}"/>
    <cellStyle name="Input 29 2 2 2" xfId="13343" xr:uid="{00000000-0005-0000-0000-000009340000}"/>
    <cellStyle name="Input 29 2 2 2 2" xfId="13344" xr:uid="{00000000-0005-0000-0000-00000A340000}"/>
    <cellStyle name="Input 29 2 2 2 3" xfId="13345" xr:uid="{00000000-0005-0000-0000-00000B340000}"/>
    <cellStyle name="Input 29 2 2 3" xfId="13346" xr:uid="{00000000-0005-0000-0000-00000C340000}"/>
    <cellStyle name="Input 29 2 2 4" xfId="13347" xr:uid="{00000000-0005-0000-0000-00000D340000}"/>
    <cellStyle name="Input 29 2 20" xfId="13348" xr:uid="{00000000-0005-0000-0000-00000E340000}"/>
    <cellStyle name="Input 29 2 21" xfId="13349" xr:uid="{00000000-0005-0000-0000-00000F340000}"/>
    <cellStyle name="Input 29 2 3" xfId="13350" xr:uid="{00000000-0005-0000-0000-000010340000}"/>
    <cellStyle name="Input 29 2 3 2" xfId="13351" xr:uid="{00000000-0005-0000-0000-000011340000}"/>
    <cellStyle name="Input 29 2 3 2 2" xfId="13352" xr:uid="{00000000-0005-0000-0000-000012340000}"/>
    <cellStyle name="Input 29 2 3 2 3" xfId="13353" xr:uid="{00000000-0005-0000-0000-000013340000}"/>
    <cellStyle name="Input 29 2 3 3" xfId="13354" xr:uid="{00000000-0005-0000-0000-000014340000}"/>
    <cellStyle name="Input 29 2 3 4" xfId="13355" xr:uid="{00000000-0005-0000-0000-000015340000}"/>
    <cellStyle name="Input 29 2 4" xfId="13356" xr:uid="{00000000-0005-0000-0000-000016340000}"/>
    <cellStyle name="Input 29 2 4 2" xfId="13357" xr:uid="{00000000-0005-0000-0000-000017340000}"/>
    <cellStyle name="Input 29 2 4 2 2" xfId="13358" xr:uid="{00000000-0005-0000-0000-000018340000}"/>
    <cellStyle name="Input 29 2 4 2 3" xfId="13359" xr:uid="{00000000-0005-0000-0000-000019340000}"/>
    <cellStyle name="Input 29 2 4 3" xfId="13360" xr:uid="{00000000-0005-0000-0000-00001A340000}"/>
    <cellStyle name="Input 29 2 4 4" xfId="13361" xr:uid="{00000000-0005-0000-0000-00001B340000}"/>
    <cellStyle name="Input 29 2 5" xfId="13362" xr:uid="{00000000-0005-0000-0000-00001C340000}"/>
    <cellStyle name="Input 29 2 5 2" xfId="13363" xr:uid="{00000000-0005-0000-0000-00001D340000}"/>
    <cellStyle name="Input 29 2 5 2 2" xfId="13364" xr:uid="{00000000-0005-0000-0000-00001E340000}"/>
    <cellStyle name="Input 29 2 5 2 3" xfId="13365" xr:uid="{00000000-0005-0000-0000-00001F340000}"/>
    <cellStyle name="Input 29 2 5 3" xfId="13366" xr:uid="{00000000-0005-0000-0000-000020340000}"/>
    <cellStyle name="Input 29 2 5 4" xfId="13367" xr:uid="{00000000-0005-0000-0000-000021340000}"/>
    <cellStyle name="Input 29 2 6" xfId="13368" xr:uid="{00000000-0005-0000-0000-000022340000}"/>
    <cellStyle name="Input 29 2 6 2" xfId="13369" xr:uid="{00000000-0005-0000-0000-000023340000}"/>
    <cellStyle name="Input 29 2 6 2 2" xfId="13370" xr:uid="{00000000-0005-0000-0000-000024340000}"/>
    <cellStyle name="Input 29 2 6 2 3" xfId="13371" xr:uid="{00000000-0005-0000-0000-000025340000}"/>
    <cellStyle name="Input 29 2 6 3" xfId="13372" xr:uid="{00000000-0005-0000-0000-000026340000}"/>
    <cellStyle name="Input 29 2 6 4" xfId="13373" xr:uid="{00000000-0005-0000-0000-000027340000}"/>
    <cellStyle name="Input 29 2 7" xfId="13374" xr:uid="{00000000-0005-0000-0000-000028340000}"/>
    <cellStyle name="Input 29 2 7 2" xfId="13375" xr:uid="{00000000-0005-0000-0000-000029340000}"/>
    <cellStyle name="Input 29 2 7 2 2" xfId="13376" xr:uid="{00000000-0005-0000-0000-00002A340000}"/>
    <cellStyle name="Input 29 2 7 2 3" xfId="13377" xr:uid="{00000000-0005-0000-0000-00002B340000}"/>
    <cellStyle name="Input 29 2 7 3" xfId="13378" xr:uid="{00000000-0005-0000-0000-00002C340000}"/>
    <cellStyle name="Input 29 2 7 4" xfId="13379" xr:uid="{00000000-0005-0000-0000-00002D340000}"/>
    <cellStyle name="Input 29 2 8" xfId="13380" xr:uid="{00000000-0005-0000-0000-00002E340000}"/>
    <cellStyle name="Input 29 2 8 2" xfId="13381" xr:uid="{00000000-0005-0000-0000-00002F340000}"/>
    <cellStyle name="Input 29 2 8 2 2" xfId="13382" xr:uid="{00000000-0005-0000-0000-000030340000}"/>
    <cellStyle name="Input 29 2 8 2 3" xfId="13383" xr:uid="{00000000-0005-0000-0000-000031340000}"/>
    <cellStyle name="Input 29 2 8 3" xfId="13384" xr:uid="{00000000-0005-0000-0000-000032340000}"/>
    <cellStyle name="Input 29 2 8 4" xfId="13385" xr:uid="{00000000-0005-0000-0000-000033340000}"/>
    <cellStyle name="Input 29 2 9" xfId="13386" xr:uid="{00000000-0005-0000-0000-000034340000}"/>
    <cellStyle name="Input 29 2 9 2" xfId="13387" xr:uid="{00000000-0005-0000-0000-000035340000}"/>
    <cellStyle name="Input 29 2 9 2 2" xfId="13388" xr:uid="{00000000-0005-0000-0000-000036340000}"/>
    <cellStyle name="Input 29 2 9 2 3" xfId="13389" xr:uid="{00000000-0005-0000-0000-000037340000}"/>
    <cellStyle name="Input 29 2 9 3" xfId="13390" xr:uid="{00000000-0005-0000-0000-000038340000}"/>
    <cellStyle name="Input 29 2 9 4" xfId="13391" xr:uid="{00000000-0005-0000-0000-000039340000}"/>
    <cellStyle name="Input 29 3" xfId="13392" xr:uid="{00000000-0005-0000-0000-00003A340000}"/>
    <cellStyle name="Input 29 3 2" xfId="13393" xr:uid="{00000000-0005-0000-0000-00003B340000}"/>
    <cellStyle name="Input 29 3 2 2" xfId="13394" xr:uid="{00000000-0005-0000-0000-00003C340000}"/>
    <cellStyle name="Input 29 3 2 3" xfId="13395" xr:uid="{00000000-0005-0000-0000-00003D340000}"/>
    <cellStyle name="Input 29 3 3" xfId="13396" xr:uid="{00000000-0005-0000-0000-00003E340000}"/>
    <cellStyle name="Input 29 3 4" xfId="13397" xr:uid="{00000000-0005-0000-0000-00003F340000}"/>
    <cellStyle name="Input 29 4" xfId="13398" xr:uid="{00000000-0005-0000-0000-000040340000}"/>
    <cellStyle name="Input 29 5" xfId="13399" xr:uid="{00000000-0005-0000-0000-000041340000}"/>
    <cellStyle name="Input 3" xfId="13400" xr:uid="{00000000-0005-0000-0000-000042340000}"/>
    <cellStyle name="Input 3 2" xfId="13401" xr:uid="{00000000-0005-0000-0000-000043340000}"/>
    <cellStyle name="Input 3 2 10" xfId="13402" xr:uid="{00000000-0005-0000-0000-000044340000}"/>
    <cellStyle name="Input 3 2 10 2" xfId="13403" xr:uid="{00000000-0005-0000-0000-000045340000}"/>
    <cellStyle name="Input 3 2 10 2 2" xfId="13404" xr:uid="{00000000-0005-0000-0000-000046340000}"/>
    <cellStyle name="Input 3 2 10 2 3" xfId="13405" xr:uid="{00000000-0005-0000-0000-000047340000}"/>
    <cellStyle name="Input 3 2 10 3" xfId="13406" xr:uid="{00000000-0005-0000-0000-000048340000}"/>
    <cellStyle name="Input 3 2 10 4" xfId="13407" xr:uid="{00000000-0005-0000-0000-000049340000}"/>
    <cellStyle name="Input 3 2 11" xfId="13408" xr:uid="{00000000-0005-0000-0000-00004A340000}"/>
    <cellStyle name="Input 3 2 11 2" xfId="13409" xr:uid="{00000000-0005-0000-0000-00004B340000}"/>
    <cellStyle name="Input 3 2 11 2 2" xfId="13410" xr:uid="{00000000-0005-0000-0000-00004C340000}"/>
    <cellStyle name="Input 3 2 11 2 3" xfId="13411" xr:uid="{00000000-0005-0000-0000-00004D340000}"/>
    <cellStyle name="Input 3 2 11 3" xfId="13412" xr:uid="{00000000-0005-0000-0000-00004E340000}"/>
    <cellStyle name="Input 3 2 11 4" xfId="13413" xr:uid="{00000000-0005-0000-0000-00004F340000}"/>
    <cellStyle name="Input 3 2 12" xfId="13414" xr:uid="{00000000-0005-0000-0000-000050340000}"/>
    <cellStyle name="Input 3 2 12 2" xfId="13415" xr:uid="{00000000-0005-0000-0000-000051340000}"/>
    <cellStyle name="Input 3 2 12 2 2" xfId="13416" xr:uid="{00000000-0005-0000-0000-000052340000}"/>
    <cellStyle name="Input 3 2 12 2 3" xfId="13417" xr:uid="{00000000-0005-0000-0000-000053340000}"/>
    <cellStyle name="Input 3 2 12 3" xfId="13418" xr:uid="{00000000-0005-0000-0000-000054340000}"/>
    <cellStyle name="Input 3 2 12 4" xfId="13419" xr:uid="{00000000-0005-0000-0000-000055340000}"/>
    <cellStyle name="Input 3 2 13" xfId="13420" xr:uid="{00000000-0005-0000-0000-000056340000}"/>
    <cellStyle name="Input 3 2 13 2" xfId="13421" xr:uid="{00000000-0005-0000-0000-000057340000}"/>
    <cellStyle name="Input 3 2 13 2 2" xfId="13422" xr:uid="{00000000-0005-0000-0000-000058340000}"/>
    <cellStyle name="Input 3 2 13 2 3" xfId="13423" xr:uid="{00000000-0005-0000-0000-000059340000}"/>
    <cellStyle name="Input 3 2 13 3" xfId="13424" xr:uid="{00000000-0005-0000-0000-00005A340000}"/>
    <cellStyle name="Input 3 2 13 4" xfId="13425" xr:uid="{00000000-0005-0000-0000-00005B340000}"/>
    <cellStyle name="Input 3 2 14" xfId="13426" xr:uid="{00000000-0005-0000-0000-00005C340000}"/>
    <cellStyle name="Input 3 2 14 2" xfId="13427" xr:uid="{00000000-0005-0000-0000-00005D340000}"/>
    <cellStyle name="Input 3 2 14 2 2" xfId="13428" xr:uid="{00000000-0005-0000-0000-00005E340000}"/>
    <cellStyle name="Input 3 2 14 2 3" xfId="13429" xr:uid="{00000000-0005-0000-0000-00005F340000}"/>
    <cellStyle name="Input 3 2 14 3" xfId="13430" xr:uid="{00000000-0005-0000-0000-000060340000}"/>
    <cellStyle name="Input 3 2 14 4" xfId="13431" xr:uid="{00000000-0005-0000-0000-000061340000}"/>
    <cellStyle name="Input 3 2 15" xfId="13432" xr:uid="{00000000-0005-0000-0000-000062340000}"/>
    <cellStyle name="Input 3 2 15 2" xfId="13433" xr:uid="{00000000-0005-0000-0000-000063340000}"/>
    <cellStyle name="Input 3 2 15 2 2" xfId="13434" xr:uid="{00000000-0005-0000-0000-000064340000}"/>
    <cellStyle name="Input 3 2 15 2 3" xfId="13435" xr:uid="{00000000-0005-0000-0000-000065340000}"/>
    <cellStyle name="Input 3 2 15 3" xfId="13436" xr:uid="{00000000-0005-0000-0000-000066340000}"/>
    <cellStyle name="Input 3 2 15 4" xfId="13437" xr:uid="{00000000-0005-0000-0000-000067340000}"/>
    <cellStyle name="Input 3 2 16" xfId="13438" xr:uid="{00000000-0005-0000-0000-000068340000}"/>
    <cellStyle name="Input 3 2 16 2" xfId="13439" xr:uid="{00000000-0005-0000-0000-000069340000}"/>
    <cellStyle name="Input 3 2 16 2 2" xfId="13440" xr:uid="{00000000-0005-0000-0000-00006A340000}"/>
    <cellStyle name="Input 3 2 16 2 3" xfId="13441" xr:uid="{00000000-0005-0000-0000-00006B340000}"/>
    <cellStyle name="Input 3 2 16 3" xfId="13442" xr:uid="{00000000-0005-0000-0000-00006C340000}"/>
    <cellStyle name="Input 3 2 16 4" xfId="13443" xr:uid="{00000000-0005-0000-0000-00006D340000}"/>
    <cellStyle name="Input 3 2 17" xfId="13444" xr:uid="{00000000-0005-0000-0000-00006E340000}"/>
    <cellStyle name="Input 3 2 17 2" xfId="13445" xr:uid="{00000000-0005-0000-0000-00006F340000}"/>
    <cellStyle name="Input 3 2 17 2 2" xfId="13446" xr:uid="{00000000-0005-0000-0000-000070340000}"/>
    <cellStyle name="Input 3 2 17 2 3" xfId="13447" xr:uid="{00000000-0005-0000-0000-000071340000}"/>
    <cellStyle name="Input 3 2 17 3" xfId="13448" xr:uid="{00000000-0005-0000-0000-000072340000}"/>
    <cellStyle name="Input 3 2 17 4" xfId="13449" xr:uid="{00000000-0005-0000-0000-000073340000}"/>
    <cellStyle name="Input 3 2 18" xfId="13450" xr:uid="{00000000-0005-0000-0000-000074340000}"/>
    <cellStyle name="Input 3 2 18 2" xfId="13451" xr:uid="{00000000-0005-0000-0000-000075340000}"/>
    <cellStyle name="Input 3 2 18 3" xfId="13452" xr:uid="{00000000-0005-0000-0000-000076340000}"/>
    <cellStyle name="Input 3 2 18 4" xfId="13453" xr:uid="{00000000-0005-0000-0000-000077340000}"/>
    <cellStyle name="Input 3 2 19" xfId="13454" xr:uid="{00000000-0005-0000-0000-000078340000}"/>
    <cellStyle name="Input 3 2 2" xfId="13455" xr:uid="{00000000-0005-0000-0000-000079340000}"/>
    <cellStyle name="Input 3 2 2 2" xfId="13456" xr:uid="{00000000-0005-0000-0000-00007A340000}"/>
    <cellStyle name="Input 3 2 2 2 2" xfId="13457" xr:uid="{00000000-0005-0000-0000-00007B340000}"/>
    <cellStyle name="Input 3 2 2 2 3" xfId="13458" xr:uid="{00000000-0005-0000-0000-00007C340000}"/>
    <cellStyle name="Input 3 2 2 3" xfId="13459" xr:uid="{00000000-0005-0000-0000-00007D340000}"/>
    <cellStyle name="Input 3 2 2 4" xfId="13460" xr:uid="{00000000-0005-0000-0000-00007E340000}"/>
    <cellStyle name="Input 3 2 20" xfId="13461" xr:uid="{00000000-0005-0000-0000-00007F340000}"/>
    <cellStyle name="Input 3 2 21" xfId="13462" xr:uid="{00000000-0005-0000-0000-000080340000}"/>
    <cellStyle name="Input 3 2 3" xfId="13463" xr:uid="{00000000-0005-0000-0000-000081340000}"/>
    <cellStyle name="Input 3 2 3 2" xfId="13464" xr:uid="{00000000-0005-0000-0000-000082340000}"/>
    <cellStyle name="Input 3 2 3 2 2" xfId="13465" xr:uid="{00000000-0005-0000-0000-000083340000}"/>
    <cellStyle name="Input 3 2 3 2 3" xfId="13466" xr:uid="{00000000-0005-0000-0000-000084340000}"/>
    <cellStyle name="Input 3 2 3 3" xfId="13467" xr:uid="{00000000-0005-0000-0000-000085340000}"/>
    <cellStyle name="Input 3 2 3 4" xfId="13468" xr:uid="{00000000-0005-0000-0000-000086340000}"/>
    <cellStyle name="Input 3 2 4" xfId="13469" xr:uid="{00000000-0005-0000-0000-000087340000}"/>
    <cellStyle name="Input 3 2 4 2" xfId="13470" xr:uid="{00000000-0005-0000-0000-000088340000}"/>
    <cellStyle name="Input 3 2 4 2 2" xfId="13471" xr:uid="{00000000-0005-0000-0000-000089340000}"/>
    <cellStyle name="Input 3 2 4 2 3" xfId="13472" xr:uid="{00000000-0005-0000-0000-00008A340000}"/>
    <cellStyle name="Input 3 2 4 3" xfId="13473" xr:uid="{00000000-0005-0000-0000-00008B340000}"/>
    <cellStyle name="Input 3 2 4 4" xfId="13474" xr:uid="{00000000-0005-0000-0000-00008C340000}"/>
    <cellStyle name="Input 3 2 5" xfId="13475" xr:uid="{00000000-0005-0000-0000-00008D340000}"/>
    <cellStyle name="Input 3 2 5 2" xfId="13476" xr:uid="{00000000-0005-0000-0000-00008E340000}"/>
    <cellStyle name="Input 3 2 5 2 2" xfId="13477" xr:uid="{00000000-0005-0000-0000-00008F340000}"/>
    <cellStyle name="Input 3 2 5 2 3" xfId="13478" xr:uid="{00000000-0005-0000-0000-000090340000}"/>
    <cellStyle name="Input 3 2 5 3" xfId="13479" xr:uid="{00000000-0005-0000-0000-000091340000}"/>
    <cellStyle name="Input 3 2 5 4" xfId="13480" xr:uid="{00000000-0005-0000-0000-000092340000}"/>
    <cellStyle name="Input 3 2 6" xfId="13481" xr:uid="{00000000-0005-0000-0000-000093340000}"/>
    <cellStyle name="Input 3 2 6 2" xfId="13482" xr:uid="{00000000-0005-0000-0000-000094340000}"/>
    <cellStyle name="Input 3 2 6 2 2" xfId="13483" xr:uid="{00000000-0005-0000-0000-000095340000}"/>
    <cellStyle name="Input 3 2 6 2 3" xfId="13484" xr:uid="{00000000-0005-0000-0000-000096340000}"/>
    <cellStyle name="Input 3 2 6 3" xfId="13485" xr:uid="{00000000-0005-0000-0000-000097340000}"/>
    <cellStyle name="Input 3 2 6 4" xfId="13486" xr:uid="{00000000-0005-0000-0000-000098340000}"/>
    <cellStyle name="Input 3 2 7" xfId="13487" xr:uid="{00000000-0005-0000-0000-000099340000}"/>
    <cellStyle name="Input 3 2 7 2" xfId="13488" xr:uid="{00000000-0005-0000-0000-00009A340000}"/>
    <cellStyle name="Input 3 2 7 2 2" xfId="13489" xr:uid="{00000000-0005-0000-0000-00009B340000}"/>
    <cellStyle name="Input 3 2 7 2 3" xfId="13490" xr:uid="{00000000-0005-0000-0000-00009C340000}"/>
    <cellStyle name="Input 3 2 7 3" xfId="13491" xr:uid="{00000000-0005-0000-0000-00009D340000}"/>
    <cellStyle name="Input 3 2 7 4" xfId="13492" xr:uid="{00000000-0005-0000-0000-00009E340000}"/>
    <cellStyle name="Input 3 2 8" xfId="13493" xr:uid="{00000000-0005-0000-0000-00009F340000}"/>
    <cellStyle name="Input 3 2 8 2" xfId="13494" xr:uid="{00000000-0005-0000-0000-0000A0340000}"/>
    <cellStyle name="Input 3 2 8 2 2" xfId="13495" xr:uid="{00000000-0005-0000-0000-0000A1340000}"/>
    <cellStyle name="Input 3 2 8 2 3" xfId="13496" xr:uid="{00000000-0005-0000-0000-0000A2340000}"/>
    <cellStyle name="Input 3 2 8 3" xfId="13497" xr:uid="{00000000-0005-0000-0000-0000A3340000}"/>
    <cellStyle name="Input 3 2 8 4" xfId="13498" xr:uid="{00000000-0005-0000-0000-0000A4340000}"/>
    <cellStyle name="Input 3 2 9" xfId="13499" xr:uid="{00000000-0005-0000-0000-0000A5340000}"/>
    <cellStyle name="Input 3 2 9 2" xfId="13500" xr:uid="{00000000-0005-0000-0000-0000A6340000}"/>
    <cellStyle name="Input 3 2 9 2 2" xfId="13501" xr:uid="{00000000-0005-0000-0000-0000A7340000}"/>
    <cellStyle name="Input 3 2 9 2 3" xfId="13502" xr:uid="{00000000-0005-0000-0000-0000A8340000}"/>
    <cellStyle name="Input 3 2 9 3" xfId="13503" xr:uid="{00000000-0005-0000-0000-0000A9340000}"/>
    <cellStyle name="Input 3 2 9 4" xfId="13504" xr:uid="{00000000-0005-0000-0000-0000AA340000}"/>
    <cellStyle name="Input 3 3" xfId="13505" xr:uid="{00000000-0005-0000-0000-0000AB340000}"/>
    <cellStyle name="Input 3 3 2" xfId="13506" xr:uid="{00000000-0005-0000-0000-0000AC340000}"/>
    <cellStyle name="Input 3 3 2 2" xfId="13507" xr:uid="{00000000-0005-0000-0000-0000AD340000}"/>
    <cellStyle name="Input 3 3 2 3" xfId="13508" xr:uid="{00000000-0005-0000-0000-0000AE340000}"/>
    <cellStyle name="Input 3 3 3" xfId="13509" xr:uid="{00000000-0005-0000-0000-0000AF340000}"/>
    <cellStyle name="Input 3 3 4" xfId="13510" xr:uid="{00000000-0005-0000-0000-0000B0340000}"/>
    <cellStyle name="Input 3 4" xfId="13511" xr:uid="{00000000-0005-0000-0000-0000B1340000}"/>
    <cellStyle name="Input 3 5" xfId="13512" xr:uid="{00000000-0005-0000-0000-0000B2340000}"/>
    <cellStyle name="Input 30" xfId="13513" xr:uid="{00000000-0005-0000-0000-0000B3340000}"/>
    <cellStyle name="Input 30 2" xfId="13514" xr:uid="{00000000-0005-0000-0000-0000B4340000}"/>
    <cellStyle name="Input 30 2 10" xfId="13515" xr:uid="{00000000-0005-0000-0000-0000B5340000}"/>
    <cellStyle name="Input 30 2 10 2" xfId="13516" xr:uid="{00000000-0005-0000-0000-0000B6340000}"/>
    <cellStyle name="Input 30 2 10 2 2" xfId="13517" xr:uid="{00000000-0005-0000-0000-0000B7340000}"/>
    <cellStyle name="Input 30 2 10 2 3" xfId="13518" xr:uid="{00000000-0005-0000-0000-0000B8340000}"/>
    <cellStyle name="Input 30 2 10 3" xfId="13519" xr:uid="{00000000-0005-0000-0000-0000B9340000}"/>
    <cellStyle name="Input 30 2 10 4" xfId="13520" xr:uid="{00000000-0005-0000-0000-0000BA340000}"/>
    <cellStyle name="Input 30 2 11" xfId="13521" xr:uid="{00000000-0005-0000-0000-0000BB340000}"/>
    <cellStyle name="Input 30 2 11 2" xfId="13522" xr:uid="{00000000-0005-0000-0000-0000BC340000}"/>
    <cellStyle name="Input 30 2 11 2 2" xfId="13523" xr:uid="{00000000-0005-0000-0000-0000BD340000}"/>
    <cellStyle name="Input 30 2 11 2 3" xfId="13524" xr:uid="{00000000-0005-0000-0000-0000BE340000}"/>
    <cellStyle name="Input 30 2 11 3" xfId="13525" xr:uid="{00000000-0005-0000-0000-0000BF340000}"/>
    <cellStyle name="Input 30 2 11 4" xfId="13526" xr:uid="{00000000-0005-0000-0000-0000C0340000}"/>
    <cellStyle name="Input 30 2 12" xfId="13527" xr:uid="{00000000-0005-0000-0000-0000C1340000}"/>
    <cellStyle name="Input 30 2 12 2" xfId="13528" xr:uid="{00000000-0005-0000-0000-0000C2340000}"/>
    <cellStyle name="Input 30 2 12 2 2" xfId="13529" xr:uid="{00000000-0005-0000-0000-0000C3340000}"/>
    <cellStyle name="Input 30 2 12 2 3" xfId="13530" xr:uid="{00000000-0005-0000-0000-0000C4340000}"/>
    <cellStyle name="Input 30 2 12 3" xfId="13531" xr:uid="{00000000-0005-0000-0000-0000C5340000}"/>
    <cellStyle name="Input 30 2 12 4" xfId="13532" xr:uid="{00000000-0005-0000-0000-0000C6340000}"/>
    <cellStyle name="Input 30 2 13" xfId="13533" xr:uid="{00000000-0005-0000-0000-0000C7340000}"/>
    <cellStyle name="Input 30 2 13 2" xfId="13534" xr:uid="{00000000-0005-0000-0000-0000C8340000}"/>
    <cellStyle name="Input 30 2 13 2 2" xfId="13535" xr:uid="{00000000-0005-0000-0000-0000C9340000}"/>
    <cellStyle name="Input 30 2 13 2 3" xfId="13536" xr:uid="{00000000-0005-0000-0000-0000CA340000}"/>
    <cellStyle name="Input 30 2 13 3" xfId="13537" xr:uid="{00000000-0005-0000-0000-0000CB340000}"/>
    <cellStyle name="Input 30 2 13 4" xfId="13538" xr:uid="{00000000-0005-0000-0000-0000CC340000}"/>
    <cellStyle name="Input 30 2 14" xfId="13539" xr:uid="{00000000-0005-0000-0000-0000CD340000}"/>
    <cellStyle name="Input 30 2 14 2" xfId="13540" xr:uid="{00000000-0005-0000-0000-0000CE340000}"/>
    <cellStyle name="Input 30 2 14 2 2" xfId="13541" xr:uid="{00000000-0005-0000-0000-0000CF340000}"/>
    <cellStyle name="Input 30 2 14 2 3" xfId="13542" xr:uid="{00000000-0005-0000-0000-0000D0340000}"/>
    <cellStyle name="Input 30 2 14 3" xfId="13543" xr:uid="{00000000-0005-0000-0000-0000D1340000}"/>
    <cellStyle name="Input 30 2 14 4" xfId="13544" xr:uid="{00000000-0005-0000-0000-0000D2340000}"/>
    <cellStyle name="Input 30 2 15" xfId="13545" xr:uid="{00000000-0005-0000-0000-0000D3340000}"/>
    <cellStyle name="Input 30 2 15 2" xfId="13546" xr:uid="{00000000-0005-0000-0000-0000D4340000}"/>
    <cellStyle name="Input 30 2 15 2 2" xfId="13547" xr:uid="{00000000-0005-0000-0000-0000D5340000}"/>
    <cellStyle name="Input 30 2 15 2 3" xfId="13548" xr:uid="{00000000-0005-0000-0000-0000D6340000}"/>
    <cellStyle name="Input 30 2 15 3" xfId="13549" xr:uid="{00000000-0005-0000-0000-0000D7340000}"/>
    <cellStyle name="Input 30 2 15 4" xfId="13550" xr:uid="{00000000-0005-0000-0000-0000D8340000}"/>
    <cellStyle name="Input 30 2 16" xfId="13551" xr:uid="{00000000-0005-0000-0000-0000D9340000}"/>
    <cellStyle name="Input 30 2 16 2" xfId="13552" xr:uid="{00000000-0005-0000-0000-0000DA340000}"/>
    <cellStyle name="Input 30 2 16 2 2" xfId="13553" xr:uid="{00000000-0005-0000-0000-0000DB340000}"/>
    <cellStyle name="Input 30 2 16 2 3" xfId="13554" xr:uid="{00000000-0005-0000-0000-0000DC340000}"/>
    <cellStyle name="Input 30 2 16 3" xfId="13555" xr:uid="{00000000-0005-0000-0000-0000DD340000}"/>
    <cellStyle name="Input 30 2 16 4" xfId="13556" xr:uid="{00000000-0005-0000-0000-0000DE340000}"/>
    <cellStyle name="Input 30 2 17" xfId="13557" xr:uid="{00000000-0005-0000-0000-0000DF340000}"/>
    <cellStyle name="Input 30 2 17 2" xfId="13558" xr:uid="{00000000-0005-0000-0000-0000E0340000}"/>
    <cellStyle name="Input 30 2 17 2 2" xfId="13559" xr:uid="{00000000-0005-0000-0000-0000E1340000}"/>
    <cellStyle name="Input 30 2 17 2 3" xfId="13560" xr:uid="{00000000-0005-0000-0000-0000E2340000}"/>
    <cellStyle name="Input 30 2 17 3" xfId="13561" xr:uid="{00000000-0005-0000-0000-0000E3340000}"/>
    <cellStyle name="Input 30 2 17 4" xfId="13562" xr:uid="{00000000-0005-0000-0000-0000E4340000}"/>
    <cellStyle name="Input 30 2 18" xfId="13563" xr:uid="{00000000-0005-0000-0000-0000E5340000}"/>
    <cellStyle name="Input 30 2 18 2" xfId="13564" xr:uid="{00000000-0005-0000-0000-0000E6340000}"/>
    <cellStyle name="Input 30 2 18 3" xfId="13565" xr:uid="{00000000-0005-0000-0000-0000E7340000}"/>
    <cellStyle name="Input 30 2 18 4" xfId="13566" xr:uid="{00000000-0005-0000-0000-0000E8340000}"/>
    <cellStyle name="Input 30 2 19" xfId="13567" xr:uid="{00000000-0005-0000-0000-0000E9340000}"/>
    <cellStyle name="Input 30 2 2" xfId="13568" xr:uid="{00000000-0005-0000-0000-0000EA340000}"/>
    <cellStyle name="Input 30 2 2 2" xfId="13569" xr:uid="{00000000-0005-0000-0000-0000EB340000}"/>
    <cellStyle name="Input 30 2 2 2 2" xfId="13570" xr:uid="{00000000-0005-0000-0000-0000EC340000}"/>
    <cellStyle name="Input 30 2 2 2 3" xfId="13571" xr:uid="{00000000-0005-0000-0000-0000ED340000}"/>
    <cellStyle name="Input 30 2 2 3" xfId="13572" xr:uid="{00000000-0005-0000-0000-0000EE340000}"/>
    <cellStyle name="Input 30 2 2 4" xfId="13573" xr:uid="{00000000-0005-0000-0000-0000EF340000}"/>
    <cellStyle name="Input 30 2 20" xfId="13574" xr:uid="{00000000-0005-0000-0000-0000F0340000}"/>
    <cellStyle name="Input 30 2 21" xfId="13575" xr:uid="{00000000-0005-0000-0000-0000F1340000}"/>
    <cellStyle name="Input 30 2 3" xfId="13576" xr:uid="{00000000-0005-0000-0000-0000F2340000}"/>
    <cellStyle name="Input 30 2 3 2" xfId="13577" xr:uid="{00000000-0005-0000-0000-0000F3340000}"/>
    <cellStyle name="Input 30 2 3 2 2" xfId="13578" xr:uid="{00000000-0005-0000-0000-0000F4340000}"/>
    <cellStyle name="Input 30 2 3 2 3" xfId="13579" xr:uid="{00000000-0005-0000-0000-0000F5340000}"/>
    <cellStyle name="Input 30 2 3 3" xfId="13580" xr:uid="{00000000-0005-0000-0000-0000F6340000}"/>
    <cellStyle name="Input 30 2 3 4" xfId="13581" xr:uid="{00000000-0005-0000-0000-0000F7340000}"/>
    <cellStyle name="Input 30 2 4" xfId="13582" xr:uid="{00000000-0005-0000-0000-0000F8340000}"/>
    <cellStyle name="Input 30 2 4 2" xfId="13583" xr:uid="{00000000-0005-0000-0000-0000F9340000}"/>
    <cellStyle name="Input 30 2 4 2 2" xfId="13584" xr:uid="{00000000-0005-0000-0000-0000FA340000}"/>
    <cellStyle name="Input 30 2 4 2 3" xfId="13585" xr:uid="{00000000-0005-0000-0000-0000FB340000}"/>
    <cellStyle name="Input 30 2 4 3" xfId="13586" xr:uid="{00000000-0005-0000-0000-0000FC340000}"/>
    <cellStyle name="Input 30 2 4 4" xfId="13587" xr:uid="{00000000-0005-0000-0000-0000FD340000}"/>
    <cellStyle name="Input 30 2 5" xfId="13588" xr:uid="{00000000-0005-0000-0000-0000FE340000}"/>
    <cellStyle name="Input 30 2 5 2" xfId="13589" xr:uid="{00000000-0005-0000-0000-0000FF340000}"/>
    <cellStyle name="Input 30 2 5 2 2" xfId="13590" xr:uid="{00000000-0005-0000-0000-000000350000}"/>
    <cellStyle name="Input 30 2 5 2 3" xfId="13591" xr:uid="{00000000-0005-0000-0000-000001350000}"/>
    <cellStyle name="Input 30 2 5 3" xfId="13592" xr:uid="{00000000-0005-0000-0000-000002350000}"/>
    <cellStyle name="Input 30 2 5 4" xfId="13593" xr:uid="{00000000-0005-0000-0000-000003350000}"/>
    <cellStyle name="Input 30 2 6" xfId="13594" xr:uid="{00000000-0005-0000-0000-000004350000}"/>
    <cellStyle name="Input 30 2 6 2" xfId="13595" xr:uid="{00000000-0005-0000-0000-000005350000}"/>
    <cellStyle name="Input 30 2 6 2 2" xfId="13596" xr:uid="{00000000-0005-0000-0000-000006350000}"/>
    <cellStyle name="Input 30 2 6 2 3" xfId="13597" xr:uid="{00000000-0005-0000-0000-000007350000}"/>
    <cellStyle name="Input 30 2 6 3" xfId="13598" xr:uid="{00000000-0005-0000-0000-000008350000}"/>
    <cellStyle name="Input 30 2 6 4" xfId="13599" xr:uid="{00000000-0005-0000-0000-000009350000}"/>
    <cellStyle name="Input 30 2 7" xfId="13600" xr:uid="{00000000-0005-0000-0000-00000A350000}"/>
    <cellStyle name="Input 30 2 7 2" xfId="13601" xr:uid="{00000000-0005-0000-0000-00000B350000}"/>
    <cellStyle name="Input 30 2 7 2 2" xfId="13602" xr:uid="{00000000-0005-0000-0000-00000C350000}"/>
    <cellStyle name="Input 30 2 7 2 3" xfId="13603" xr:uid="{00000000-0005-0000-0000-00000D350000}"/>
    <cellStyle name="Input 30 2 7 3" xfId="13604" xr:uid="{00000000-0005-0000-0000-00000E350000}"/>
    <cellStyle name="Input 30 2 7 4" xfId="13605" xr:uid="{00000000-0005-0000-0000-00000F350000}"/>
    <cellStyle name="Input 30 2 8" xfId="13606" xr:uid="{00000000-0005-0000-0000-000010350000}"/>
    <cellStyle name="Input 30 2 8 2" xfId="13607" xr:uid="{00000000-0005-0000-0000-000011350000}"/>
    <cellStyle name="Input 30 2 8 2 2" xfId="13608" xr:uid="{00000000-0005-0000-0000-000012350000}"/>
    <cellStyle name="Input 30 2 8 2 3" xfId="13609" xr:uid="{00000000-0005-0000-0000-000013350000}"/>
    <cellStyle name="Input 30 2 8 3" xfId="13610" xr:uid="{00000000-0005-0000-0000-000014350000}"/>
    <cellStyle name="Input 30 2 8 4" xfId="13611" xr:uid="{00000000-0005-0000-0000-000015350000}"/>
    <cellStyle name="Input 30 2 9" xfId="13612" xr:uid="{00000000-0005-0000-0000-000016350000}"/>
    <cellStyle name="Input 30 2 9 2" xfId="13613" xr:uid="{00000000-0005-0000-0000-000017350000}"/>
    <cellStyle name="Input 30 2 9 2 2" xfId="13614" xr:uid="{00000000-0005-0000-0000-000018350000}"/>
    <cellStyle name="Input 30 2 9 2 3" xfId="13615" xr:uid="{00000000-0005-0000-0000-000019350000}"/>
    <cellStyle name="Input 30 2 9 3" xfId="13616" xr:uid="{00000000-0005-0000-0000-00001A350000}"/>
    <cellStyle name="Input 30 2 9 4" xfId="13617" xr:uid="{00000000-0005-0000-0000-00001B350000}"/>
    <cellStyle name="Input 30 3" xfId="13618" xr:uid="{00000000-0005-0000-0000-00001C350000}"/>
    <cellStyle name="Input 30 3 2" xfId="13619" xr:uid="{00000000-0005-0000-0000-00001D350000}"/>
    <cellStyle name="Input 30 3 2 2" xfId="13620" xr:uid="{00000000-0005-0000-0000-00001E350000}"/>
    <cellStyle name="Input 30 3 2 3" xfId="13621" xr:uid="{00000000-0005-0000-0000-00001F350000}"/>
    <cellStyle name="Input 30 3 3" xfId="13622" xr:uid="{00000000-0005-0000-0000-000020350000}"/>
    <cellStyle name="Input 30 3 4" xfId="13623" xr:uid="{00000000-0005-0000-0000-000021350000}"/>
    <cellStyle name="Input 30 4" xfId="13624" xr:uid="{00000000-0005-0000-0000-000022350000}"/>
    <cellStyle name="Input 30 5" xfId="13625" xr:uid="{00000000-0005-0000-0000-000023350000}"/>
    <cellStyle name="Input 31" xfId="13626" xr:uid="{00000000-0005-0000-0000-000024350000}"/>
    <cellStyle name="Input 31 2" xfId="13627" xr:uid="{00000000-0005-0000-0000-000025350000}"/>
    <cellStyle name="Input 31 2 10" xfId="13628" xr:uid="{00000000-0005-0000-0000-000026350000}"/>
    <cellStyle name="Input 31 2 10 2" xfId="13629" xr:uid="{00000000-0005-0000-0000-000027350000}"/>
    <cellStyle name="Input 31 2 10 2 2" xfId="13630" xr:uid="{00000000-0005-0000-0000-000028350000}"/>
    <cellStyle name="Input 31 2 10 2 3" xfId="13631" xr:uid="{00000000-0005-0000-0000-000029350000}"/>
    <cellStyle name="Input 31 2 10 3" xfId="13632" xr:uid="{00000000-0005-0000-0000-00002A350000}"/>
    <cellStyle name="Input 31 2 10 4" xfId="13633" xr:uid="{00000000-0005-0000-0000-00002B350000}"/>
    <cellStyle name="Input 31 2 11" xfId="13634" xr:uid="{00000000-0005-0000-0000-00002C350000}"/>
    <cellStyle name="Input 31 2 11 2" xfId="13635" xr:uid="{00000000-0005-0000-0000-00002D350000}"/>
    <cellStyle name="Input 31 2 11 2 2" xfId="13636" xr:uid="{00000000-0005-0000-0000-00002E350000}"/>
    <cellStyle name="Input 31 2 11 2 3" xfId="13637" xr:uid="{00000000-0005-0000-0000-00002F350000}"/>
    <cellStyle name="Input 31 2 11 3" xfId="13638" xr:uid="{00000000-0005-0000-0000-000030350000}"/>
    <cellStyle name="Input 31 2 11 4" xfId="13639" xr:uid="{00000000-0005-0000-0000-000031350000}"/>
    <cellStyle name="Input 31 2 12" xfId="13640" xr:uid="{00000000-0005-0000-0000-000032350000}"/>
    <cellStyle name="Input 31 2 12 2" xfId="13641" xr:uid="{00000000-0005-0000-0000-000033350000}"/>
    <cellStyle name="Input 31 2 12 2 2" xfId="13642" xr:uid="{00000000-0005-0000-0000-000034350000}"/>
    <cellStyle name="Input 31 2 12 2 3" xfId="13643" xr:uid="{00000000-0005-0000-0000-000035350000}"/>
    <cellStyle name="Input 31 2 12 3" xfId="13644" xr:uid="{00000000-0005-0000-0000-000036350000}"/>
    <cellStyle name="Input 31 2 12 4" xfId="13645" xr:uid="{00000000-0005-0000-0000-000037350000}"/>
    <cellStyle name="Input 31 2 13" xfId="13646" xr:uid="{00000000-0005-0000-0000-000038350000}"/>
    <cellStyle name="Input 31 2 13 2" xfId="13647" xr:uid="{00000000-0005-0000-0000-000039350000}"/>
    <cellStyle name="Input 31 2 13 2 2" xfId="13648" xr:uid="{00000000-0005-0000-0000-00003A350000}"/>
    <cellStyle name="Input 31 2 13 2 3" xfId="13649" xr:uid="{00000000-0005-0000-0000-00003B350000}"/>
    <cellStyle name="Input 31 2 13 3" xfId="13650" xr:uid="{00000000-0005-0000-0000-00003C350000}"/>
    <cellStyle name="Input 31 2 13 4" xfId="13651" xr:uid="{00000000-0005-0000-0000-00003D350000}"/>
    <cellStyle name="Input 31 2 14" xfId="13652" xr:uid="{00000000-0005-0000-0000-00003E350000}"/>
    <cellStyle name="Input 31 2 14 2" xfId="13653" xr:uid="{00000000-0005-0000-0000-00003F350000}"/>
    <cellStyle name="Input 31 2 14 2 2" xfId="13654" xr:uid="{00000000-0005-0000-0000-000040350000}"/>
    <cellStyle name="Input 31 2 14 2 3" xfId="13655" xr:uid="{00000000-0005-0000-0000-000041350000}"/>
    <cellStyle name="Input 31 2 14 3" xfId="13656" xr:uid="{00000000-0005-0000-0000-000042350000}"/>
    <cellStyle name="Input 31 2 14 4" xfId="13657" xr:uid="{00000000-0005-0000-0000-000043350000}"/>
    <cellStyle name="Input 31 2 15" xfId="13658" xr:uid="{00000000-0005-0000-0000-000044350000}"/>
    <cellStyle name="Input 31 2 15 2" xfId="13659" xr:uid="{00000000-0005-0000-0000-000045350000}"/>
    <cellStyle name="Input 31 2 15 2 2" xfId="13660" xr:uid="{00000000-0005-0000-0000-000046350000}"/>
    <cellStyle name="Input 31 2 15 2 3" xfId="13661" xr:uid="{00000000-0005-0000-0000-000047350000}"/>
    <cellStyle name="Input 31 2 15 3" xfId="13662" xr:uid="{00000000-0005-0000-0000-000048350000}"/>
    <cellStyle name="Input 31 2 15 4" xfId="13663" xr:uid="{00000000-0005-0000-0000-000049350000}"/>
    <cellStyle name="Input 31 2 16" xfId="13664" xr:uid="{00000000-0005-0000-0000-00004A350000}"/>
    <cellStyle name="Input 31 2 16 2" xfId="13665" xr:uid="{00000000-0005-0000-0000-00004B350000}"/>
    <cellStyle name="Input 31 2 16 2 2" xfId="13666" xr:uid="{00000000-0005-0000-0000-00004C350000}"/>
    <cellStyle name="Input 31 2 16 2 3" xfId="13667" xr:uid="{00000000-0005-0000-0000-00004D350000}"/>
    <cellStyle name="Input 31 2 16 3" xfId="13668" xr:uid="{00000000-0005-0000-0000-00004E350000}"/>
    <cellStyle name="Input 31 2 16 4" xfId="13669" xr:uid="{00000000-0005-0000-0000-00004F350000}"/>
    <cellStyle name="Input 31 2 17" xfId="13670" xr:uid="{00000000-0005-0000-0000-000050350000}"/>
    <cellStyle name="Input 31 2 17 2" xfId="13671" xr:uid="{00000000-0005-0000-0000-000051350000}"/>
    <cellStyle name="Input 31 2 17 2 2" xfId="13672" xr:uid="{00000000-0005-0000-0000-000052350000}"/>
    <cellStyle name="Input 31 2 17 2 3" xfId="13673" xr:uid="{00000000-0005-0000-0000-000053350000}"/>
    <cellStyle name="Input 31 2 17 3" xfId="13674" xr:uid="{00000000-0005-0000-0000-000054350000}"/>
    <cellStyle name="Input 31 2 17 4" xfId="13675" xr:uid="{00000000-0005-0000-0000-000055350000}"/>
    <cellStyle name="Input 31 2 18" xfId="13676" xr:uid="{00000000-0005-0000-0000-000056350000}"/>
    <cellStyle name="Input 31 2 18 2" xfId="13677" xr:uid="{00000000-0005-0000-0000-000057350000}"/>
    <cellStyle name="Input 31 2 18 3" xfId="13678" xr:uid="{00000000-0005-0000-0000-000058350000}"/>
    <cellStyle name="Input 31 2 18 4" xfId="13679" xr:uid="{00000000-0005-0000-0000-000059350000}"/>
    <cellStyle name="Input 31 2 19" xfId="13680" xr:uid="{00000000-0005-0000-0000-00005A350000}"/>
    <cellStyle name="Input 31 2 2" xfId="13681" xr:uid="{00000000-0005-0000-0000-00005B350000}"/>
    <cellStyle name="Input 31 2 2 2" xfId="13682" xr:uid="{00000000-0005-0000-0000-00005C350000}"/>
    <cellStyle name="Input 31 2 2 2 2" xfId="13683" xr:uid="{00000000-0005-0000-0000-00005D350000}"/>
    <cellStyle name="Input 31 2 2 2 3" xfId="13684" xr:uid="{00000000-0005-0000-0000-00005E350000}"/>
    <cellStyle name="Input 31 2 2 3" xfId="13685" xr:uid="{00000000-0005-0000-0000-00005F350000}"/>
    <cellStyle name="Input 31 2 2 4" xfId="13686" xr:uid="{00000000-0005-0000-0000-000060350000}"/>
    <cellStyle name="Input 31 2 20" xfId="13687" xr:uid="{00000000-0005-0000-0000-000061350000}"/>
    <cellStyle name="Input 31 2 21" xfId="13688" xr:uid="{00000000-0005-0000-0000-000062350000}"/>
    <cellStyle name="Input 31 2 3" xfId="13689" xr:uid="{00000000-0005-0000-0000-000063350000}"/>
    <cellStyle name="Input 31 2 3 2" xfId="13690" xr:uid="{00000000-0005-0000-0000-000064350000}"/>
    <cellStyle name="Input 31 2 3 2 2" xfId="13691" xr:uid="{00000000-0005-0000-0000-000065350000}"/>
    <cellStyle name="Input 31 2 3 2 3" xfId="13692" xr:uid="{00000000-0005-0000-0000-000066350000}"/>
    <cellStyle name="Input 31 2 3 3" xfId="13693" xr:uid="{00000000-0005-0000-0000-000067350000}"/>
    <cellStyle name="Input 31 2 3 4" xfId="13694" xr:uid="{00000000-0005-0000-0000-000068350000}"/>
    <cellStyle name="Input 31 2 4" xfId="13695" xr:uid="{00000000-0005-0000-0000-000069350000}"/>
    <cellStyle name="Input 31 2 4 2" xfId="13696" xr:uid="{00000000-0005-0000-0000-00006A350000}"/>
    <cellStyle name="Input 31 2 4 2 2" xfId="13697" xr:uid="{00000000-0005-0000-0000-00006B350000}"/>
    <cellStyle name="Input 31 2 4 2 3" xfId="13698" xr:uid="{00000000-0005-0000-0000-00006C350000}"/>
    <cellStyle name="Input 31 2 4 3" xfId="13699" xr:uid="{00000000-0005-0000-0000-00006D350000}"/>
    <cellStyle name="Input 31 2 4 4" xfId="13700" xr:uid="{00000000-0005-0000-0000-00006E350000}"/>
    <cellStyle name="Input 31 2 5" xfId="13701" xr:uid="{00000000-0005-0000-0000-00006F350000}"/>
    <cellStyle name="Input 31 2 5 2" xfId="13702" xr:uid="{00000000-0005-0000-0000-000070350000}"/>
    <cellStyle name="Input 31 2 5 2 2" xfId="13703" xr:uid="{00000000-0005-0000-0000-000071350000}"/>
    <cellStyle name="Input 31 2 5 2 3" xfId="13704" xr:uid="{00000000-0005-0000-0000-000072350000}"/>
    <cellStyle name="Input 31 2 5 3" xfId="13705" xr:uid="{00000000-0005-0000-0000-000073350000}"/>
    <cellStyle name="Input 31 2 5 4" xfId="13706" xr:uid="{00000000-0005-0000-0000-000074350000}"/>
    <cellStyle name="Input 31 2 6" xfId="13707" xr:uid="{00000000-0005-0000-0000-000075350000}"/>
    <cellStyle name="Input 31 2 6 2" xfId="13708" xr:uid="{00000000-0005-0000-0000-000076350000}"/>
    <cellStyle name="Input 31 2 6 2 2" xfId="13709" xr:uid="{00000000-0005-0000-0000-000077350000}"/>
    <cellStyle name="Input 31 2 6 2 3" xfId="13710" xr:uid="{00000000-0005-0000-0000-000078350000}"/>
    <cellStyle name="Input 31 2 6 3" xfId="13711" xr:uid="{00000000-0005-0000-0000-000079350000}"/>
    <cellStyle name="Input 31 2 6 4" xfId="13712" xr:uid="{00000000-0005-0000-0000-00007A350000}"/>
    <cellStyle name="Input 31 2 7" xfId="13713" xr:uid="{00000000-0005-0000-0000-00007B350000}"/>
    <cellStyle name="Input 31 2 7 2" xfId="13714" xr:uid="{00000000-0005-0000-0000-00007C350000}"/>
    <cellStyle name="Input 31 2 7 2 2" xfId="13715" xr:uid="{00000000-0005-0000-0000-00007D350000}"/>
    <cellStyle name="Input 31 2 7 2 3" xfId="13716" xr:uid="{00000000-0005-0000-0000-00007E350000}"/>
    <cellStyle name="Input 31 2 7 3" xfId="13717" xr:uid="{00000000-0005-0000-0000-00007F350000}"/>
    <cellStyle name="Input 31 2 7 4" xfId="13718" xr:uid="{00000000-0005-0000-0000-000080350000}"/>
    <cellStyle name="Input 31 2 8" xfId="13719" xr:uid="{00000000-0005-0000-0000-000081350000}"/>
    <cellStyle name="Input 31 2 8 2" xfId="13720" xr:uid="{00000000-0005-0000-0000-000082350000}"/>
    <cellStyle name="Input 31 2 8 2 2" xfId="13721" xr:uid="{00000000-0005-0000-0000-000083350000}"/>
    <cellStyle name="Input 31 2 8 2 3" xfId="13722" xr:uid="{00000000-0005-0000-0000-000084350000}"/>
    <cellStyle name="Input 31 2 8 3" xfId="13723" xr:uid="{00000000-0005-0000-0000-000085350000}"/>
    <cellStyle name="Input 31 2 8 4" xfId="13724" xr:uid="{00000000-0005-0000-0000-000086350000}"/>
    <cellStyle name="Input 31 2 9" xfId="13725" xr:uid="{00000000-0005-0000-0000-000087350000}"/>
    <cellStyle name="Input 31 2 9 2" xfId="13726" xr:uid="{00000000-0005-0000-0000-000088350000}"/>
    <cellStyle name="Input 31 2 9 2 2" xfId="13727" xr:uid="{00000000-0005-0000-0000-000089350000}"/>
    <cellStyle name="Input 31 2 9 2 3" xfId="13728" xr:uid="{00000000-0005-0000-0000-00008A350000}"/>
    <cellStyle name="Input 31 2 9 3" xfId="13729" xr:uid="{00000000-0005-0000-0000-00008B350000}"/>
    <cellStyle name="Input 31 2 9 4" xfId="13730" xr:uid="{00000000-0005-0000-0000-00008C350000}"/>
    <cellStyle name="Input 31 3" xfId="13731" xr:uid="{00000000-0005-0000-0000-00008D350000}"/>
    <cellStyle name="Input 31 3 2" xfId="13732" xr:uid="{00000000-0005-0000-0000-00008E350000}"/>
    <cellStyle name="Input 31 3 2 2" xfId="13733" xr:uid="{00000000-0005-0000-0000-00008F350000}"/>
    <cellStyle name="Input 31 3 2 3" xfId="13734" xr:uid="{00000000-0005-0000-0000-000090350000}"/>
    <cellStyle name="Input 31 3 3" xfId="13735" xr:uid="{00000000-0005-0000-0000-000091350000}"/>
    <cellStyle name="Input 31 3 4" xfId="13736" xr:uid="{00000000-0005-0000-0000-000092350000}"/>
    <cellStyle name="Input 31 4" xfId="13737" xr:uid="{00000000-0005-0000-0000-000093350000}"/>
    <cellStyle name="Input 31 5" xfId="13738" xr:uid="{00000000-0005-0000-0000-000094350000}"/>
    <cellStyle name="Input 32" xfId="13739" xr:uid="{00000000-0005-0000-0000-000095350000}"/>
    <cellStyle name="Input 32 2" xfId="13740" xr:uid="{00000000-0005-0000-0000-000096350000}"/>
    <cellStyle name="Input 32 2 10" xfId="13741" xr:uid="{00000000-0005-0000-0000-000097350000}"/>
    <cellStyle name="Input 32 2 10 2" xfId="13742" xr:uid="{00000000-0005-0000-0000-000098350000}"/>
    <cellStyle name="Input 32 2 10 2 2" xfId="13743" xr:uid="{00000000-0005-0000-0000-000099350000}"/>
    <cellStyle name="Input 32 2 10 2 3" xfId="13744" xr:uid="{00000000-0005-0000-0000-00009A350000}"/>
    <cellStyle name="Input 32 2 10 3" xfId="13745" xr:uid="{00000000-0005-0000-0000-00009B350000}"/>
    <cellStyle name="Input 32 2 10 4" xfId="13746" xr:uid="{00000000-0005-0000-0000-00009C350000}"/>
    <cellStyle name="Input 32 2 11" xfId="13747" xr:uid="{00000000-0005-0000-0000-00009D350000}"/>
    <cellStyle name="Input 32 2 11 2" xfId="13748" xr:uid="{00000000-0005-0000-0000-00009E350000}"/>
    <cellStyle name="Input 32 2 11 2 2" xfId="13749" xr:uid="{00000000-0005-0000-0000-00009F350000}"/>
    <cellStyle name="Input 32 2 11 2 3" xfId="13750" xr:uid="{00000000-0005-0000-0000-0000A0350000}"/>
    <cellStyle name="Input 32 2 11 3" xfId="13751" xr:uid="{00000000-0005-0000-0000-0000A1350000}"/>
    <cellStyle name="Input 32 2 11 4" xfId="13752" xr:uid="{00000000-0005-0000-0000-0000A2350000}"/>
    <cellStyle name="Input 32 2 12" xfId="13753" xr:uid="{00000000-0005-0000-0000-0000A3350000}"/>
    <cellStyle name="Input 32 2 12 2" xfId="13754" xr:uid="{00000000-0005-0000-0000-0000A4350000}"/>
    <cellStyle name="Input 32 2 12 2 2" xfId="13755" xr:uid="{00000000-0005-0000-0000-0000A5350000}"/>
    <cellStyle name="Input 32 2 12 2 3" xfId="13756" xr:uid="{00000000-0005-0000-0000-0000A6350000}"/>
    <cellStyle name="Input 32 2 12 3" xfId="13757" xr:uid="{00000000-0005-0000-0000-0000A7350000}"/>
    <cellStyle name="Input 32 2 12 4" xfId="13758" xr:uid="{00000000-0005-0000-0000-0000A8350000}"/>
    <cellStyle name="Input 32 2 13" xfId="13759" xr:uid="{00000000-0005-0000-0000-0000A9350000}"/>
    <cellStyle name="Input 32 2 13 2" xfId="13760" xr:uid="{00000000-0005-0000-0000-0000AA350000}"/>
    <cellStyle name="Input 32 2 13 2 2" xfId="13761" xr:uid="{00000000-0005-0000-0000-0000AB350000}"/>
    <cellStyle name="Input 32 2 13 2 3" xfId="13762" xr:uid="{00000000-0005-0000-0000-0000AC350000}"/>
    <cellStyle name="Input 32 2 13 3" xfId="13763" xr:uid="{00000000-0005-0000-0000-0000AD350000}"/>
    <cellStyle name="Input 32 2 13 4" xfId="13764" xr:uid="{00000000-0005-0000-0000-0000AE350000}"/>
    <cellStyle name="Input 32 2 14" xfId="13765" xr:uid="{00000000-0005-0000-0000-0000AF350000}"/>
    <cellStyle name="Input 32 2 14 2" xfId="13766" xr:uid="{00000000-0005-0000-0000-0000B0350000}"/>
    <cellStyle name="Input 32 2 14 2 2" xfId="13767" xr:uid="{00000000-0005-0000-0000-0000B1350000}"/>
    <cellStyle name="Input 32 2 14 2 3" xfId="13768" xr:uid="{00000000-0005-0000-0000-0000B2350000}"/>
    <cellStyle name="Input 32 2 14 3" xfId="13769" xr:uid="{00000000-0005-0000-0000-0000B3350000}"/>
    <cellStyle name="Input 32 2 14 4" xfId="13770" xr:uid="{00000000-0005-0000-0000-0000B4350000}"/>
    <cellStyle name="Input 32 2 15" xfId="13771" xr:uid="{00000000-0005-0000-0000-0000B5350000}"/>
    <cellStyle name="Input 32 2 15 2" xfId="13772" xr:uid="{00000000-0005-0000-0000-0000B6350000}"/>
    <cellStyle name="Input 32 2 15 2 2" xfId="13773" xr:uid="{00000000-0005-0000-0000-0000B7350000}"/>
    <cellStyle name="Input 32 2 15 2 3" xfId="13774" xr:uid="{00000000-0005-0000-0000-0000B8350000}"/>
    <cellStyle name="Input 32 2 15 3" xfId="13775" xr:uid="{00000000-0005-0000-0000-0000B9350000}"/>
    <cellStyle name="Input 32 2 15 4" xfId="13776" xr:uid="{00000000-0005-0000-0000-0000BA350000}"/>
    <cellStyle name="Input 32 2 16" xfId="13777" xr:uid="{00000000-0005-0000-0000-0000BB350000}"/>
    <cellStyle name="Input 32 2 16 2" xfId="13778" xr:uid="{00000000-0005-0000-0000-0000BC350000}"/>
    <cellStyle name="Input 32 2 16 2 2" xfId="13779" xr:uid="{00000000-0005-0000-0000-0000BD350000}"/>
    <cellStyle name="Input 32 2 16 2 3" xfId="13780" xr:uid="{00000000-0005-0000-0000-0000BE350000}"/>
    <cellStyle name="Input 32 2 16 3" xfId="13781" xr:uid="{00000000-0005-0000-0000-0000BF350000}"/>
    <cellStyle name="Input 32 2 16 4" xfId="13782" xr:uid="{00000000-0005-0000-0000-0000C0350000}"/>
    <cellStyle name="Input 32 2 17" xfId="13783" xr:uid="{00000000-0005-0000-0000-0000C1350000}"/>
    <cellStyle name="Input 32 2 17 2" xfId="13784" xr:uid="{00000000-0005-0000-0000-0000C2350000}"/>
    <cellStyle name="Input 32 2 17 2 2" xfId="13785" xr:uid="{00000000-0005-0000-0000-0000C3350000}"/>
    <cellStyle name="Input 32 2 17 2 3" xfId="13786" xr:uid="{00000000-0005-0000-0000-0000C4350000}"/>
    <cellStyle name="Input 32 2 17 3" xfId="13787" xr:uid="{00000000-0005-0000-0000-0000C5350000}"/>
    <cellStyle name="Input 32 2 17 4" xfId="13788" xr:uid="{00000000-0005-0000-0000-0000C6350000}"/>
    <cellStyle name="Input 32 2 18" xfId="13789" xr:uid="{00000000-0005-0000-0000-0000C7350000}"/>
    <cellStyle name="Input 32 2 18 2" xfId="13790" xr:uid="{00000000-0005-0000-0000-0000C8350000}"/>
    <cellStyle name="Input 32 2 18 3" xfId="13791" xr:uid="{00000000-0005-0000-0000-0000C9350000}"/>
    <cellStyle name="Input 32 2 18 4" xfId="13792" xr:uid="{00000000-0005-0000-0000-0000CA350000}"/>
    <cellStyle name="Input 32 2 19" xfId="13793" xr:uid="{00000000-0005-0000-0000-0000CB350000}"/>
    <cellStyle name="Input 32 2 2" xfId="13794" xr:uid="{00000000-0005-0000-0000-0000CC350000}"/>
    <cellStyle name="Input 32 2 2 2" xfId="13795" xr:uid="{00000000-0005-0000-0000-0000CD350000}"/>
    <cellStyle name="Input 32 2 2 2 2" xfId="13796" xr:uid="{00000000-0005-0000-0000-0000CE350000}"/>
    <cellStyle name="Input 32 2 2 2 3" xfId="13797" xr:uid="{00000000-0005-0000-0000-0000CF350000}"/>
    <cellStyle name="Input 32 2 2 3" xfId="13798" xr:uid="{00000000-0005-0000-0000-0000D0350000}"/>
    <cellStyle name="Input 32 2 2 4" xfId="13799" xr:uid="{00000000-0005-0000-0000-0000D1350000}"/>
    <cellStyle name="Input 32 2 20" xfId="13800" xr:uid="{00000000-0005-0000-0000-0000D2350000}"/>
    <cellStyle name="Input 32 2 21" xfId="13801" xr:uid="{00000000-0005-0000-0000-0000D3350000}"/>
    <cellStyle name="Input 32 2 3" xfId="13802" xr:uid="{00000000-0005-0000-0000-0000D4350000}"/>
    <cellStyle name="Input 32 2 3 2" xfId="13803" xr:uid="{00000000-0005-0000-0000-0000D5350000}"/>
    <cellStyle name="Input 32 2 3 2 2" xfId="13804" xr:uid="{00000000-0005-0000-0000-0000D6350000}"/>
    <cellStyle name="Input 32 2 3 2 3" xfId="13805" xr:uid="{00000000-0005-0000-0000-0000D7350000}"/>
    <cellStyle name="Input 32 2 3 3" xfId="13806" xr:uid="{00000000-0005-0000-0000-0000D8350000}"/>
    <cellStyle name="Input 32 2 3 4" xfId="13807" xr:uid="{00000000-0005-0000-0000-0000D9350000}"/>
    <cellStyle name="Input 32 2 4" xfId="13808" xr:uid="{00000000-0005-0000-0000-0000DA350000}"/>
    <cellStyle name="Input 32 2 4 2" xfId="13809" xr:uid="{00000000-0005-0000-0000-0000DB350000}"/>
    <cellStyle name="Input 32 2 4 2 2" xfId="13810" xr:uid="{00000000-0005-0000-0000-0000DC350000}"/>
    <cellStyle name="Input 32 2 4 2 3" xfId="13811" xr:uid="{00000000-0005-0000-0000-0000DD350000}"/>
    <cellStyle name="Input 32 2 4 3" xfId="13812" xr:uid="{00000000-0005-0000-0000-0000DE350000}"/>
    <cellStyle name="Input 32 2 4 4" xfId="13813" xr:uid="{00000000-0005-0000-0000-0000DF350000}"/>
    <cellStyle name="Input 32 2 5" xfId="13814" xr:uid="{00000000-0005-0000-0000-0000E0350000}"/>
    <cellStyle name="Input 32 2 5 2" xfId="13815" xr:uid="{00000000-0005-0000-0000-0000E1350000}"/>
    <cellStyle name="Input 32 2 5 2 2" xfId="13816" xr:uid="{00000000-0005-0000-0000-0000E2350000}"/>
    <cellStyle name="Input 32 2 5 2 3" xfId="13817" xr:uid="{00000000-0005-0000-0000-0000E3350000}"/>
    <cellStyle name="Input 32 2 5 3" xfId="13818" xr:uid="{00000000-0005-0000-0000-0000E4350000}"/>
    <cellStyle name="Input 32 2 5 4" xfId="13819" xr:uid="{00000000-0005-0000-0000-0000E5350000}"/>
    <cellStyle name="Input 32 2 6" xfId="13820" xr:uid="{00000000-0005-0000-0000-0000E6350000}"/>
    <cellStyle name="Input 32 2 6 2" xfId="13821" xr:uid="{00000000-0005-0000-0000-0000E7350000}"/>
    <cellStyle name="Input 32 2 6 2 2" xfId="13822" xr:uid="{00000000-0005-0000-0000-0000E8350000}"/>
    <cellStyle name="Input 32 2 6 2 3" xfId="13823" xr:uid="{00000000-0005-0000-0000-0000E9350000}"/>
    <cellStyle name="Input 32 2 6 3" xfId="13824" xr:uid="{00000000-0005-0000-0000-0000EA350000}"/>
    <cellStyle name="Input 32 2 6 4" xfId="13825" xr:uid="{00000000-0005-0000-0000-0000EB350000}"/>
    <cellStyle name="Input 32 2 7" xfId="13826" xr:uid="{00000000-0005-0000-0000-0000EC350000}"/>
    <cellStyle name="Input 32 2 7 2" xfId="13827" xr:uid="{00000000-0005-0000-0000-0000ED350000}"/>
    <cellStyle name="Input 32 2 7 2 2" xfId="13828" xr:uid="{00000000-0005-0000-0000-0000EE350000}"/>
    <cellStyle name="Input 32 2 7 2 3" xfId="13829" xr:uid="{00000000-0005-0000-0000-0000EF350000}"/>
    <cellStyle name="Input 32 2 7 3" xfId="13830" xr:uid="{00000000-0005-0000-0000-0000F0350000}"/>
    <cellStyle name="Input 32 2 7 4" xfId="13831" xr:uid="{00000000-0005-0000-0000-0000F1350000}"/>
    <cellStyle name="Input 32 2 8" xfId="13832" xr:uid="{00000000-0005-0000-0000-0000F2350000}"/>
    <cellStyle name="Input 32 2 8 2" xfId="13833" xr:uid="{00000000-0005-0000-0000-0000F3350000}"/>
    <cellStyle name="Input 32 2 8 2 2" xfId="13834" xr:uid="{00000000-0005-0000-0000-0000F4350000}"/>
    <cellStyle name="Input 32 2 8 2 3" xfId="13835" xr:uid="{00000000-0005-0000-0000-0000F5350000}"/>
    <cellStyle name="Input 32 2 8 3" xfId="13836" xr:uid="{00000000-0005-0000-0000-0000F6350000}"/>
    <cellStyle name="Input 32 2 8 4" xfId="13837" xr:uid="{00000000-0005-0000-0000-0000F7350000}"/>
    <cellStyle name="Input 32 2 9" xfId="13838" xr:uid="{00000000-0005-0000-0000-0000F8350000}"/>
    <cellStyle name="Input 32 2 9 2" xfId="13839" xr:uid="{00000000-0005-0000-0000-0000F9350000}"/>
    <cellStyle name="Input 32 2 9 2 2" xfId="13840" xr:uid="{00000000-0005-0000-0000-0000FA350000}"/>
    <cellStyle name="Input 32 2 9 2 3" xfId="13841" xr:uid="{00000000-0005-0000-0000-0000FB350000}"/>
    <cellStyle name="Input 32 2 9 3" xfId="13842" xr:uid="{00000000-0005-0000-0000-0000FC350000}"/>
    <cellStyle name="Input 32 2 9 4" xfId="13843" xr:uid="{00000000-0005-0000-0000-0000FD350000}"/>
    <cellStyle name="Input 32 3" xfId="13844" xr:uid="{00000000-0005-0000-0000-0000FE350000}"/>
    <cellStyle name="Input 32 3 2" xfId="13845" xr:uid="{00000000-0005-0000-0000-0000FF350000}"/>
    <cellStyle name="Input 32 3 2 2" xfId="13846" xr:uid="{00000000-0005-0000-0000-000000360000}"/>
    <cellStyle name="Input 32 3 2 3" xfId="13847" xr:uid="{00000000-0005-0000-0000-000001360000}"/>
    <cellStyle name="Input 32 3 3" xfId="13848" xr:uid="{00000000-0005-0000-0000-000002360000}"/>
    <cellStyle name="Input 32 3 4" xfId="13849" xr:uid="{00000000-0005-0000-0000-000003360000}"/>
    <cellStyle name="Input 32 4" xfId="13850" xr:uid="{00000000-0005-0000-0000-000004360000}"/>
    <cellStyle name="Input 32 5" xfId="13851" xr:uid="{00000000-0005-0000-0000-000005360000}"/>
    <cellStyle name="Input 33" xfId="13852" xr:uid="{00000000-0005-0000-0000-000006360000}"/>
    <cellStyle name="Input 33 2" xfId="13853" xr:uid="{00000000-0005-0000-0000-000007360000}"/>
    <cellStyle name="Input 33 2 10" xfId="13854" xr:uid="{00000000-0005-0000-0000-000008360000}"/>
    <cellStyle name="Input 33 2 10 2" xfId="13855" xr:uid="{00000000-0005-0000-0000-000009360000}"/>
    <cellStyle name="Input 33 2 10 2 2" xfId="13856" xr:uid="{00000000-0005-0000-0000-00000A360000}"/>
    <cellStyle name="Input 33 2 10 2 3" xfId="13857" xr:uid="{00000000-0005-0000-0000-00000B360000}"/>
    <cellStyle name="Input 33 2 10 3" xfId="13858" xr:uid="{00000000-0005-0000-0000-00000C360000}"/>
    <cellStyle name="Input 33 2 10 4" xfId="13859" xr:uid="{00000000-0005-0000-0000-00000D360000}"/>
    <cellStyle name="Input 33 2 11" xfId="13860" xr:uid="{00000000-0005-0000-0000-00000E360000}"/>
    <cellStyle name="Input 33 2 11 2" xfId="13861" xr:uid="{00000000-0005-0000-0000-00000F360000}"/>
    <cellStyle name="Input 33 2 11 2 2" xfId="13862" xr:uid="{00000000-0005-0000-0000-000010360000}"/>
    <cellStyle name="Input 33 2 11 2 3" xfId="13863" xr:uid="{00000000-0005-0000-0000-000011360000}"/>
    <cellStyle name="Input 33 2 11 3" xfId="13864" xr:uid="{00000000-0005-0000-0000-000012360000}"/>
    <cellStyle name="Input 33 2 11 4" xfId="13865" xr:uid="{00000000-0005-0000-0000-000013360000}"/>
    <cellStyle name="Input 33 2 12" xfId="13866" xr:uid="{00000000-0005-0000-0000-000014360000}"/>
    <cellStyle name="Input 33 2 12 2" xfId="13867" xr:uid="{00000000-0005-0000-0000-000015360000}"/>
    <cellStyle name="Input 33 2 12 2 2" xfId="13868" xr:uid="{00000000-0005-0000-0000-000016360000}"/>
    <cellStyle name="Input 33 2 12 2 3" xfId="13869" xr:uid="{00000000-0005-0000-0000-000017360000}"/>
    <cellStyle name="Input 33 2 12 3" xfId="13870" xr:uid="{00000000-0005-0000-0000-000018360000}"/>
    <cellStyle name="Input 33 2 12 4" xfId="13871" xr:uid="{00000000-0005-0000-0000-000019360000}"/>
    <cellStyle name="Input 33 2 13" xfId="13872" xr:uid="{00000000-0005-0000-0000-00001A360000}"/>
    <cellStyle name="Input 33 2 13 2" xfId="13873" xr:uid="{00000000-0005-0000-0000-00001B360000}"/>
    <cellStyle name="Input 33 2 13 2 2" xfId="13874" xr:uid="{00000000-0005-0000-0000-00001C360000}"/>
    <cellStyle name="Input 33 2 13 2 3" xfId="13875" xr:uid="{00000000-0005-0000-0000-00001D360000}"/>
    <cellStyle name="Input 33 2 13 3" xfId="13876" xr:uid="{00000000-0005-0000-0000-00001E360000}"/>
    <cellStyle name="Input 33 2 13 4" xfId="13877" xr:uid="{00000000-0005-0000-0000-00001F360000}"/>
    <cellStyle name="Input 33 2 14" xfId="13878" xr:uid="{00000000-0005-0000-0000-000020360000}"/>
    <cellStyle name="Input 33 2 14 2" xfId="13879" xr:uid="{00000000-0005-0000-0000-000021360000}"/>
    <cellStyle name="Input 33 2 14 2 2" xfId="13880" xr:uid="{00000000-0005-0000-0000-000022360000}"/>
    <cellStyle name="Input 33 2 14 2 3" xfId="13881" xr:uid="{00000000-0005-0000-0000-000023360000}"/>
    <cellStyle name="Input 33 2 14 3" xfId="13882" xr:uid="{00000000-0005-0000-0000-000024360000}"/>
    <cellStyle name="Input 33 2 14 4" xfId="13883" xr:uid="{00000000-0005-0000-0000-000025360000}"/>
    <cellStyle name="Input 33 2 15" xfId="13884" xr:uid="{00000000-0005-0000-0000-000026360000}"/>
    <cellStyle name="Input 33 2 15 2" xfId="13885" xr:uid="{00000000-0005-0000-0000-000027360000}"/>
    <cellStyle name="Input 33 2 15 2 2" xfId="13886" xr:uid="{00000000-0005-0000-0000-000028360000}"/>
    <cellStyle name="Input 33 2 15 2 3" xfId="13887" xr:uid="{00000000-0005-0000-0000-000029360000}"/>
    <cellStyle name="Input 33 2 15 3" xfId="13888" xr:uid="{00000000-0005-0000-0000-00002A360000}"/>
    <cellStyle name="Input 33 2 15 4" xfId="13889" xr:uid="{00000000-0005-0000-0000-00002B360000}"/>
    <cellStyle name="Input 33 2 16" xfId="13890" xr:uid="{00000000-0005-0000-0000-00002C360000}"/>
    <cellStyle name="Input 33 2 16 2" xfId="13891" xr:uid="{00000000-0005-0000-0000-00002D360000}"/>
    <cellStyle name="Input 33 2 16 2 2" xfId="13892" xr:uid="{00000000-0005-0000-0000-00002E360000}"/>
    <cellStyle name="Input 33 2 16 2 3" xfId="13893" xr:uid="{00000000-0005-0000-0000-00002F360000}"/>
    <cellStyle name="Input 33 2 16 3" xfId="13894" xr:uid="{00000000-0005-0000-0000-000030360000}"/>
    <cellStyle name="Input 33 2 16 4" xfId="13895" xr:uid="{00000000-0005-0000-0000-000031360000}"/>
    <cellStyle name="Input 33 2 17" xfId="13896" xr:uid="{00000000-0005-0000-0000-000032360000}"/>
    <cellStyle name="Input 33 2 17 2" xfId="13897" xr:uid="{00000000-0005-0000-0000-000033360000}"/>
    <cellStyle name="Input 33 2 17 2 2" xfId="13898" xr:uid="{00000000-0005-0000-0000-000034360000}"/>
    <cellStyle name="Input 33 2 17 2 3" xfId="13899" xr:uid="{00000000-0005-0000-0000-000035360000}"/>
    <cellStyle name="Input 33 2 17 3" xfId="13900" xr:uid="{00000000-0005-0000-0000-000036360000}"/>
    <cellStyle name="Input 33 2 17 4" xfId="13901" xr:uid="{00000000-0005-0000-0000-000037360000}"/>
    <cellStyle name="Input 33 2 18" xfId="13902" xr:uid="{00000000-0005-0000-0000-000038360000}"/>
    <cellStyle name="Input 33 2 18 2" xfId="13903" xr:uid="{00000000-0005-0000-0000-000039360000}"/>
    <cellStyle name="Input 33 2 18 3" xfId="13904" xr:uid="{00000000-0005-0000-0000-00003A360000}"/>
    <cellStyle name="Input 33 2 18 4" xfId="13905" xr:uid="{00000000-0005-0000-0000-00003B360000}"/>
    <cellStyle name="Input 33 2 19" xfId="13906" xr:uid="{00000000-0005-0000-0000-00003C360000}"/>
    <cellStyle name="Input 33 2 2" xfId="13907" xr:uid="{00000000-0005-0000-0000-00003D360000}"/>
    <cellStyle name="Input 33 2 2 2" xfId="13908" xr:uid="{00000000-0005-0000-0000-00003E360000}"/>
    <cellStyle name="Input 33 2 2 2 2" xfId="13909" xr:uid="{00000000-0005-0000-0000-00003F360000}"/>
    <cellStyle name="Input 33 2 2 2 3" xfId="13910" xr:uid="{00000000-0005-0000-0000-000040360000}"/>
    <cellStyle name="Input 33 2 2 3" xfId="13911" xr:uid="{00000000-0005-0000-0000-000041360000}"/>
    <cellStyle name="Input 33 2 2 4" xfId="13912" xr:uid="{00000000-0005-0000-0000-000042360000}"/>
    <cellStyle name="Input 33 2 20" xfId="13913" xr:uid="{00000000-0005-0000-0000-000043360000}"/>
    <cellStyle name="Input 33 2 21" xfId="13914" xr:uid="{00000000-0005-0000-0000-000044360000}"/>
    <cellStyle name="Input 33 2 3" xfId="13915" xr:uid="{00000000-0005-0000-0000-000045360000}"/>
    <cellStyle name="Input 33 2 3 2" xfId="13916" xr:uid="{00000000-0005-0000-0000-000046360000}"/>
    <cellStyle name="Input 33 2 3 2 2" xfId="13917" xr:uid="{00000000-0005-0000-0000-000047360000}"/>
    <cellStyle name="Input 33 2 3 2 3" xfId="13918" xr:uid="{00000000-0005-0000-0000-000048360000}"/>
    <cellStyle name="Input 33 2 3 3" xfId="13919" xr:uid="{00000000-0005-0000-0000-000049360000}"/>
    <cellStyle name="Input 33 2 3 4" xfId="13920" xr:uid="{00000000-0005-0000-0000-00004A360000}"/>
    <cellStyle name="Input 33 2 4" xfId="13921" xr:uid="{00000000-0005-0000-0000-00004B360000}"/>
    <cellStyle name="Input 33 2 4 2" xfId="13922" xr:uid="{00000000-0005-0000-0000-00004C360000}"/>
    <cellStyle name="Input 33 2 4 2 2" xfId="13923" xr:uid="{00000000-0005-0000-0000-00004D360000}"/>
    <cellStyle name="Input 33 2 4 2 3" xfId="13924" xr:uid="{00000000-0005-0000-0000-00004E360000}"/>
    <cellStyle name="Input 33 2 4 3" xfId="13925" xr:uid="{00000000-0005-0000-0000-00004F360000}"/>
    <cellStyle name="Input 33 2 4 4" xfId="13926" xr:uid="{00000000-0005-0000-0000-000050360000}"/>
    <cellStyle name="Input 33 2 5" xfId="13927" xr:uid="{00000000-0005-0000-0000-000051360000}"/>
    <cellStyle name="Input 33 2 5 2" xfId="13928" xr:uid="{00000000-0005-0000-0000-000052360000}"/>
    <cellStyle name="Input 33 2 5 2 2" xfId="13929" xr:uid="{00000000-0005-0000-0000-000053360000}"/>
    <cellStyle name="Input 33 2 5 2 3" xfId="13930" xr:uid="{00000000-0005-0000-0000-000054360000}"/>
    <cellStyle name="Input 33 2 5 3" xfId="13931" xr:uid="{00000000-0005-0000-0000-000055360000}"/>
    <cellStyle name="Input 33 2 5 4" xfId="13932" xr:uid="{00000000-0005-0000-0000-000056360000}"/>
    <cellStyle name="Input 33 2 6" xfId="13933" xr:uid="{00000000-0005-0000-0000-000057360000}"/>
    <cellStyle name="Input 33 2 6 2" xfId="13934" xr:uid="{00000000-0005-0000-0000-000058360000}"/>
    <cellStyle name="Input 33 2 6 2 2" xfId="13935" xr:uid="{00000000-0005-0000-0000-000059360000}"/>
    <cellStyle name="Input 33 2 6 2 3" xfId="13936" xr:uid="{00000000-0005-0000-0000-00005A360000}"/>
    <cellStyle name="Input 33 2 6 3" xfId="13937" xr:uid="{00000000-0005-0000-0000-00005B360000}"/>
    <cellStyle name="Input 33 2 6 4" xfId="13938" xr:uid="{00000000-0005-0000-0000-00005C360000}"/>
    <cellStyle name="Input 33 2 7" xfId="13939" xr:uid="{00000000-0005-0000-0000-00005D360000}"/>
    <cellStyle name="Input 33 2 7 2" xfId="13940" xr:uid="{00000000-0005-0000-0000-00005E360000}"/>
    <cellStyle name="Input 33 2 7 2 2" xfId="13941" xr:uid="{00000000-0005-0000-0000-00005F360000}"/>
    <cellStyle name="Input 33 2 7 2 3" xfId="13942" xr:uid="{00000000-0005-0000-0000-000060360000}"/>
    <cellStyle name="Input 33 2 7 3" xfId="13943" xr:uid="{00000000-0005-0000-0000-000061360000}"/>
    <cellStyle name="Input 33 2 7 4" xfId="13944" xr:uid="{00000000-0005-0000-0000-000062360000}"/>
    <cellStyle name="Input 33 2 8" xfId="13945" xr:uid="{00000000-0005-0000-0000-000063360000}"/>
    <cellStyle name="Input 33 2 8 2" xfId="13946" xr:uid="{00000000-0005-0000-0000-000064360000}"/>
    <cellStyle name="Input 33 2 8 2 2" xfId="13947" xr:uid="{00000000-0005-0000-0000-000065360000}"/>
    <cellStyle name="Input 33 2 8 2 3" xfId="13948" xr:uid="{00000000-0005-0000-0000-000066360000}"/>
    <cellStyle name="Input 33 2 8 3" xfId="13949" xr:uid="{00000000-0005-0000-0000-000067360000}"/>
    <cellStyle name="Input 33 2 8 4" xfId="13950" xr:uid="{00000000-0005-0000-0000-000068360000}"/>
    <cellStyle name="Input 33 2 9" xfId="13951" xr:uid="{00000000-0005-0000-0000-000069360000}"/>
    <cellStyle name="Input 33 2 9 2" xfId="13952" xr:uid="{00000000-0005-0000-0000-00006A360000}"/>
    <cellStyle name="Input 33 2 9 2 2" xfId="13953" xr:uid="{00000000-0005-0000-0000-00006B360000}"/>
    <cellStyle name="Input 33 2 9 2 3" xfId="13954" xr:uid="{00000000-0005-0000-0000-00006C360000}"/>
    <cellStyle name="Input 33 2 9 3" xfId="13955" xr:uid="{00000000-0005-0000-0000-00006D360000}"/>
    <cellStyle name="Input 33 2 9 4" xfId="13956" xr:uid="{00000000-0005-0000-0000-00006E360000}"/>
    <cellStyle name="Input 33 3" xfId="13957" xr:uid="{00000000-0005-0000-0000-00006F360000}"/>
    <cellStyle name="Input 33 3 2" xfId="13958" xr:uid="{00000000-0005-0000-0000-000070360000}"/>
    <cellStyle name="Input 33 3 2 2" xfId="13959" xr:uid="{00000000-0005-0000-0000-000071360000}"/>
    <cellStyle name="Input 33 3 2 3" xfId="13960" xr:uid="{00000000-0005-0000-0000-000072360000}"/>
    <cellStyle name="Input 33 3 3" xfId="13961" xr:uid="{00000000-0005-0000-0000-000073360000}"/>
    <cellStyle name="Input 33 3 4" xfId="13962" xr:uid="{00000000-0005-0000-0000-000074360000}"/>
    <cellStyle name="Input 33 4" xfId="13963" xr:uid="{00000000-0005-0000-0000-000075360000}"/>
    <cellStyle name="Input 33 5" xfId="13964" xr:uid="{00000000-0005-0000-0000-000076360000}"/>
    <cellStyle name="Input 34" xfId="13965" xr:uid="{00000000-0005-0000-0000-000077360000}"/>
    <cellStyle name="Input 34 2" xfId="13966" xr:uid="{00000000-0005-0000-0000-000078360000}"/>
    <cellStyle name="Input 34 2 10" xfId="13967" xr:uid="{00000000-0005-0000-0000-000079360000}"/>
    <cellStyle name="Input 34 2 10 2" xfId="13968" xr:uid="{00000000-0005-0000-0000-00007A360000}"/>
    <cellStyle name="Input 34 2 10 2 2" xfId="13969" xr:uid="{00000000-0005-0000-0000-00007B360000}"/>
    <cellStyle name="Input 34 2 10 2 3" xfId="13970" xr:uid="{00000000-0005-0000-0000-00007C360000}"/>
    <cellStyle name="Input 34 2 10 3" xfId="13971" xr:uid="{00000000-0005-0000-0000-00007D360000}"/>
    <cellStyle name="Input 34 2 10 4" xfId="13972" xr:uid="{00000000-0005-0000-0000-00007E360000}"/>
    <cellStyle name="Input 34 2 11" xfId="13973" xr:uid="{00000000-0005-0000-0000-00007F360000}"/>
    <cellStyle name="Input 34 2 11 2" xfId="13974" xr:uid="{00000000-0005-0000-0000-000080360000}"/>
    <cellStyle name="Input 34 2 11 2 2" xfId="13975" xr:uid="{00000000-0005-0000-0000-000081360000}"/>
    <cellStyle name="Input 34 2 11 2 3" xfId="13976" xr:uid="{00000000-0005-0000-0000-000082360000}"/>
    <cellStyle name="Input 34 2 11 3" xfId="13977" xr:uid="{00000000-0005-0000-0000-000083360000}"/>
    <cellStyle name="Input 34 2 11 4" xfId="13978" xr:uid="{00000000-0005-0000-0000-000084360000}"/>
    <cellStyle name="Input 34 2 12" xfId="13979" xr:uid="{00000000-0005-0000-0000-000085360000}"/>
    <cellStyle name="Input 34 2 12 2" xfId="13980" xr:uid="{00000000-0005-0000-0000-000086360000}"/>
    <cellStyle name="Input 34 2 12 2 2" xfId="13981" xr:uid="{00000000-0005-0000-0000-000087360000}"/>
    <cellStyle name="Input 34 2 12 2 3" xfId="13982" xr:uid="{00000000-0005-0000-0000-000088360000}"/>
    <cellStyle name="Input 34 2 12 3" xfId="13983" xr:uid="{00000000-0005-0000-0000-000089360000}"/>
    <cellStyle name="Input 34 2 12 4" xfId="13984" xr:uid="{00000000-0005-0000-0000-00008A360000}"/>
    <cellStyle name="Input 34 2 13" xfId="13985" xr:uid="{00000000-0005-0000-0000-00008B360000}"/>
    <cellStyle name="Input 34 2 13 2" xfId="13986" xr:uid="{00000000-0005-0000-0000-00008C360000}"/>
    <cellStyle name="Input 34 2 13 2 2" xfId="13987" xr:uid="{00000000-0005-0000-0000-00008D360000}"/>
    <cellStyle name="Input 34 2 13 2 3" xfId="13988" xr:uid="{00000000-0005-0000-0000-00008E360000}"/>
    <cellStyle name="Input 34 2 13 3" xfId="13989" xr:uid="{00000000-0005-0000-0000-00008F360000}"/>
    <cellStyle name="Input 34 2 13 4" xfId="13990" xr:uid="{00000000-0005-0000-0000-000090360000}"/>
    <cellStyle name="Input 34 2 14" xfId="13991" xr:uid="{00000000-0005-0000-0000-000091360000}"/>
    <cellStyle name="Input 34 2 14 2" xfId="13992" xr:uid="{00000000-0005-0000-0000-000092360000}"/>
    <cellStyle name="Input 34 2 14 2 2" xfId="13993" xr:uid="{00000000-0005-0000-0000-000093360000}"/>
    <cellStyle name="Input 34 2 14 2 3" xfId="13994" xr:uid="{00000000-0005-0000-0000-000094360000}"/>
    <cellStyle name="Input 34 2 14 3" xfId="13995" xr:uid="{00000000-0005-0000-0000-000095360000}"/>
    <cellStyle name="Input 34 2 14 4" xfId="13996" xr:uid="{00000000-0005-0000-0000-000096360000}"/>
    <cellStyle name="Input 34 2 15" xfId="13997" xr:uid="{00000000-0005-0000-0000-000097360000}"/>
    <cellStyle name="Input 34 2 15 2" xfId="13998" xr:uid="{00000000-0005-0000-0000-000098360000}"/>
    <cellStyle name="Input 34 2 15 2 2" xfId="13999" xr:uid="{00000000-0005-0000-0000-000099360000}"/>
    <cellStyle name="Input 34 2 15 2 3" xfId="14000" xr:uid="{00000000-0005-0000-0000-00009A360000}"/>
    <cellStyle name="Input 34 2 15 3" xfId="14001" xr:uid="{00000000-0005-0000-0000-00009B360000}"/>
    <cellStyle name="Input 34 2 15 4" xfId="14002" xr:uid="{00000000-0005-0000-0000-00009C360000}"/>
    <cellStyle name="Input 34 2 16" xfId="14003" xr:uid="{00000000-0005-0000-0000-00009D360000}"/>
    <cellStyle name="Input 34 2 16 2" xfId="14004" xr:uid="{00000000-0005-0000-0000-00009E360000}"/>
    <cellStyle name="Input 34 2 16 2 2" xfId="14005" xr:uid="{00000000-0005-0000-0000-00009F360000}"/>
    <cellStyle name="Input 34 2 16 2 3" xfId="14006" xr:uid="{00000000-0005-0000-0000-0000A0360000}"/>
    <cellStyle name="Input 34 2 16 3" xfId="14007" xr:uid="{00000000-0005-0000-0000-0000A1360000}"/>
    <cellStyle name="Input 34 2 16 4" xfId="14008" xr:uid="{00000000-0005-0000-0000-0000A2360000}"/>
    <cellStyle name="Input 34 2 17" xfId="14009" xr:uid="{00000000-0005-0000-0000-0000A3360000}"/>
    <cellStyle name="Input 34 2 17 2" xfId="14010" xr:uid="{00000000-0005-0000-0000-0000A4360000}"/>
    <cellStyle name="Input 34 2 17 2 2" xfId="14011" xr:uid="{00000000-0005-0000-0000-0000A5360000}"/>
    <cellStyle name="Input 34 2 17 2 3" xfId="14012" xr:uid="{00000000-0005-0000-0000-0000A6360000}"/>
    <cellStyle name="Input 34 2 17 3" xfId="14013" xr:uid="{00000000-0005-0000-0000-0000A7360000}"/>
    <cellStyle name="Input 34 2 17 4" xfId="14014" xr:uid="{00000000-0005-0000-0000-0000A8360000}"/>
    <cellStyle name="Input 34 2 18" xfId="14015" xr:uid="{00000000-0005-0000-0000-0000A9360000}"/>
    <cellStyle name="Input 34 2 18 2" xfId="14016" xr:uid="{00000000-0005-0000-0000-0000AA360000}"/>
    <cellStyle name="Input 34 2 18 3" xfId="14017" xr:uid="{00000000-0005-0000-0000-0000AB360000}"/>
    <cellStyle name="Input 34 2 18 4" xfId="14018" xr:uid="{00000000-0005-0000-0000-0000AC360000}"/>
    <cellStyle name="Input 34 2 19" xfId="14019" xr:uid="{00000000-0005-0000-0000-0000AD360000}"/>
    <cellStyle name="Input 34 2 2" xfId="14020" xr:uid="{00000000-0005-0000-0000-0000AE360000}"/>
    <cellStyle name="Input 34 2 2 2" xfId="14021" xr:uid="{00000000-0005-0000-0000-0000AF360000}"/>
    <cellStyle name="Input 34 2 2 2 2" xfId="14022" xr:uid="{00000000-0005-0000-0000-0000B0360000}"/>
    <cellStyle name="Input 34 2 2 2 3" xfId="14023" xr:uid="{00000000-0005-0000-0000-0000B1360000}"/>
    <cellStyle name="Input 34 2 2 3" xfId="14024" xr:uid="{00000000-0005-0000-0000-0000B2360000}"/>
    <cellStyle name="Input 34 2 2 4" xfId="14025" xr:uid="{00000000-0005-0000-0000-0000B3360000}"/>
    <cellStyle name="Input 34 2 20" xfId="14026" xr:uid="{00000000-0005-0000-0000-0000B4360000}"/>
    <cellStyle name="Input 34 2 21" xfId="14027" xr:uid="{00000000-0005-0000-0000-0000B5360000}"/>
    <cellStyle name="Input 34 2 3" xfId="14028" xr:uid="{00000000-0005-0000-0000-0000B6360000}"/>
    <cellStyle name="Input 34 2 3 2" xfId="14029" xr:uid="{00000000-0005-0000-0000-0000B7360000}"/>
    <cellStyle name="Input 34 2 3 2 2" xfId="14030" xr:uid="{00000000-0005-0000-0000-0000B8360000}"/>
    <cellStyle name="Input 34 2 3 2 3" xfId="14031" xr:uid="{00000000-0005-0000-0000-0000B9360000}"/>
    <cellStyle name="Input 34 2 3 3" xfId="14032" xr:uid="{00000000-0005-0000-0000-0000BA360000}"/>
    <cellStyle name="Input 34 2 3 4" xfId="14033" xr:uid="{00000000-0005-0000-0000-0000BB360000}"/>
    <cellStyle name="Input 34 2 4" xfId="14034" xr:uid="{00000000-0005-0000-0000-0000BC360000}"/>
    <cellStyle name="Input 34 2 4 2" xfId="14035" xr:uid="{00000000-0005-0000-0000-0000BD360000}"/>
    <cellStyle name="Input 34 2 4 2 2" xfId="14036" xr:uid="{00000000-0005-0000-0000-0000BE360000}"/>
    <cellStyle name="Input 34 2 4 2 3" xfId="14037" xr:uid="{00000000-0005-0000-0000-0000BF360000}"/>
    <cellStyle name="Input 34 2 4 3" xfId="14038" xr:uid="{00000000-0005-0000-0000-0000C0360000}"/>
    <cellStyle name="Input 34 2 4 4" xfId="14039" xr:uid="{00000000-0005-0000-0000-0000C1360000}"/>
    <cellStyle name="Input 34 2 5" xfId="14040" xr:uid="{00000000-0005-0000-0000-0000C2360000}"/>
    <cellStyle name="Input 34 2 5 2" xfId="14041" xr:uid="{00000000-0005-0000-0000-0000C3360000}"/>
    <cellStyle name="Input 34 2 5 2 2" xfId="14042" xr:uid="{00000000-0005-0000-0000-0000C4360000}"/>
    <cellStyle name="Input 34 2 5 2 3" xfId="14043" xr:uid="{00000000-0005-0000-0000-0000C5360000}"/>
    <cellStyle name="Input 34 2 5 3" xfId="14044" xr:uid="{00000000-0005-0000-0000-0000C6360000}"/>
    <cellStyle name="Input 34 2 5 4" xfId="14045" xr:uid="{00000000-0005-0000-0000-0000C7360000}"/>
    <cellStyle name="Input 34 2 6" xfId="14046" xr:uid="{00000000-0005-0000-0000-0000C8360000}"/>
    <cellStyle name="Input 34 2 6 2" xfId="14047" xr:uid="{00000000-0005-0000-0000-0000C9360000}"/>
    <cellStyle name="Input 34 2 6 2 2" xfId="14048" xr:uid="{00000000-0005-0000-0000-0000CA360000}"/>
    <cellStyle name="Input 34 2 6 2 3" xfId="14049" xr:uid="{00000000-0005-0000-0000-0000CB360000}"/>
    <cellStyle name="Input 34 2 6 3" xfId="14050" xr:uid="{00000000-0005-0000-0000-0000CC360000}"/>
    <cellStyle name="Input 34 2 6 4" xfId="14051" xr:uid="{00000000-0005-0000-0000-0000CD360000}"/>
    <cellStyle name="Input 34 2 7" xfId="14052" xr:uid="{00000000-0005-0000-0000-0000CE360000}"/>
    <cellStyle name="Input 34 2 7 2" xfId="14053" xr:uid="{00000000-0005-0000-0000-0000CF360000}"/>
    <cellStyle name="Input 34 2 7 2 2" xfId="14054" xr:uid="{00000000-0005-0000-0000-0000D0360000}"/>
    <cellStyle name="Input 34 2 7 2 3" xfId="14055" xr:uid="{00000000-0005-0000-0000-0000D1360000}"/>
    <cellStyle name="Input 34 2 7 3" xfId="14056" xr:uid="{00000000-0005-0000-0000-0000D2360000}"/>
    <cellStyle name="Input 34 2 7 4" xfId="14057" xr:uid="{00000000-0005-0000-0000-0000D3360000}"/>
    <cellStyle name="Input 34 2 8" xfId="14058" xr:uid="{00000000-0005-0000-0000-0000D4360000}"/>
    <cellStyle name="Input 34 2 8 2" xfId="14059" xr:uid="{00000000-0005-0000-0000-0000D5360000}"/>
    <cellStyle name="Input 34 2 8 2 2" xfId="14060" xr:uid="{00000000-0005-0000-0000-0000D6360000}"/>
    <cellStyle name="Input 34 2 8 2 3" xfId="14061" xr:uid="{00000000-0005-0000-0000-0000D7360000}"/>
    <cellStyle name="Input 34 2 8 3" xfId="14062" xr:uid="{00000000-0005-0000-0000-0000D8360000}"/>
    <cellStyle name="Input 34 2 8 4" xfId="14063" xr:uid="{00000000-0005-0000-0000-0000D9360000}"/>
    <cellStyle name="Input 34 2 9" xfId="14064" xr:uid="{00000000-0005-0000-0000-0000DA360000}"/>
    <cellStyle name="Input 34 2 9 2" xfId="14065" xr:uid="{00000000-0005-0000-0000-0000DB360000}"/>
    <cellStyle name="Input 34 2 9 2 2" xfId="14066" xr:uid="{00000000-0005-0000-0000-0000DC360000}"/>
    <cellStyle name="Input 34 2 9 2 3" xfId="14067" xr:uid="{00000000-0005-0000-0000-0000DD360000}"/>
    <cellStyle name="Input 34 2 9 3" xfId="14068" xr:uid="{00000000-0005-0000-0000-0000DE360000}"/>
    <cellStyle name="Input 34 2 9 4" xfId="14069" xr:uid="{00000000-0005-0000-0000-0000DF360000}"/>
    <cellStyle name="Input 34 3" xfId="14070" xr:uid="{00000000-0005-0000-0000-0000E0360000}"/>
    <cellStyle name="Input 34 3 2" xfId="14071" xr:uid="{00000000-0005-0000-0000-0000E1360000}"/>
    <cellStyle name="Input 34 3 2 2" xfId="14072" xr:uid="{00000000-0005-0000-0000-0000E2360000}"/>
    <cellStyle name="Input 34 3 2 3" xfId="14073" xr:uid="{00000000-0005-0000-0000-0000E3360000}"/>
    <cellStyle name="Input 34 3 3" xfId="14074" xr:uid="{00000000-0005-0000-0000-0000E4360000}"/>
    <cellStyle name="Input 34 3 4" xfId="14075" xr:uid="{00000000-0005-0000-0000-0000E5360000}"/>
    <cellStyle name="Input 34 4" xfId="14076" xr:uid="{00000000-0005-0000-0000-0000E6360000}"/>
    <cellStyle name="Input 34 5" xfId="14077" xr:uid="{00000000-0005-0000-0000-0000E7360000}"/>
    <cellStyle name="Input 35" xfId="14078" xr:uid="{00000000-0005-0000-0000-0000E8360000}"/>
    <cellStyle name="Input 35 2" xfId="14079" xr:uid="{00000000-0005-0000-0000-0000E9360000}"/>
    <cellStyle name="Input 35 2 10" xfId="14080" xr:uid="{00000000-0005-0000-0000-0000EA360000}"/>
    <cellStyle name="Input 35 2 10 2" xfId="14081" xr:uid="{00000000-0005-0000-0000-0000EB360000}"/>
    <cellStyle name="Input 35 2 10 2 2" xfId="14082" xr:uid="{00000000-0005-0000-0000-0000EC360000}"/>
    <cellStyle name="Input 35 2 10 2 3" xfId="14083" xr:uid="{00000000-0005-0000-0000-0000ED360000}"/>
    <cellStyle name="Input 35 2 10 3" xfId="14084" xr:uid="{00000000-0005-0000-0000-0000EE360000}"/>
    <cellStyle name="Input 35 2 10 4" xfId="14085" xr:uid="{00000000-0005-0000-0000-0000EF360000}"/>
    <cellStyle name="Input 35 2 11" xfId="14086" xr:uid="{00000000-0005-0000-0000-0000F0360000}"/>
    <cellStyle name="Input 35 2 11 2" xfId="14087" xr:uid="{00000000-0005-0000-0000-0000F1360000}"/>
    <cellStyle name="Input 35 2 11 2 2" xfId="14088" xr:uid="{00000000-0005-0000-0000-0000F2360000}"/>
    <cellStyle name="Input 35 2 11 2 3" xfId="14089" xr:uid="{00000000-0005-0000-0000-0000F3360000}"/>
    <cellStyle name="Input 35 2 11 3" xfId="14090" xr:uid="{00000000-0005-0000-0000-0000F4360000}"/>
    <cellStyle name="Input 35 2 11 4" xfId="14091" xr:uid="{00000000-0005-0000-0000-0000F5360000}"/>
    <cellStyle name="Input 35 2 12" xfId="14092" xr:uid="{00000000-0005-0000-0000-0000F6360000}"/>
    <cellStyle name="Input 35 2 12 2" xfId="14093" xr:uid="{00000000-0005-0000-0000-0000F7360000}"/>
    <cellStyle name="Input 35 2 12 2 2" xfId="14094" xr:uid="{00000000-0005-0000-0000-0000F8360000}"/>
    <cellStyle name="Input 35 2 12 2 3" xfId="14095" xr:uid="{00000000-0005-0000-0000-0000F9360000}"/>
    <cellStyle name="Input 35 2 12 3" xfId="14096" xr:uid="{00000000-0005-0000-0000-0000FA360000}"/>
    <cellStyle name="Input 35 2 12 4" xfId="14097" xr:uid="{00000000-0005-0000-0000-0000FB360000}"/>
    <cellStyle name="Input 35 2 13" xfId="14098" xr:uid="{00000000-0005-0000-0000-0000FC360000}"/>
    <cellStyle name="Input 35 2 13 2" xfId="14099" xr:uid="{00000000-0005-0000-0000-0000FD360000}"/>
    <cellStyle name="Input 35 2 13 2 2" xfId="14100" xr:uid="{00000000-0005-0000-0000-0000FE360000}"/>
    <cellStyle name="Input 35 2 13 2 3" xfId="14101" xr:uid="{00000000-0005-0000-0000-0000FF360000}"/>
    <cellStyle name="Input 35 2 13 3" xfId="14102" xr:uid="{00000000-0005-0000-0000-000000370000}"/>
    <cellStyle name="Input 35 2 13 4" xfId="14103" xr:uid="{00000000-0005-0000-0000-000001370000}"/>
    <cellStyle name="Input 35 2 14" xfId="14104" xr:uid="{00000000-0005-0000-0000-000002370000}"/>
    <cellStyle name="Input 35 2 14 2" xfId="14105" xr:uid="{00000000-0005-0000-0000-000003370000}"/>
    <cellStyle name="Input 35 2 14 2 2" xfId="14106" xr:uid="{00000000-0005-0000-0000-000004370000}"/>
    <cellStyle name="Input 35 2 14 2 3" xfId="14107" xr:uid="{00000000-0005-0000-0000-000005370000}"/>
    <cellStyle name="Input 35 2 14 3" xfId="14108" xr:uid="{00000000-0005-0000-0000-000006370000}"/>
    <cellStyle name="Input 35 2 14 4" xfId="14109" xr:uid="{00000000-0005-0000-0000-000007370000}"/>
    <cellStyle name="Input 35 2 15" xfId="14110" xr:uid="{00000000-0005-0000-0000-000008370000}"/>
    <cellStyle name="Input 35 2 15 2" xfId="14111" xr:uid="{00000000-0005-0000-0000-000009370000}"/>
    <cellStyle name="Input 35 2 15 2 2" xfId="14112" xr:uid="{00000000-0005-0000-0000-00000A370000}"/>
    <cellStyle name="Input 35 2 15 2 3" xfId="14113" xr:uid="{00000000-0005-0000-0000-00000B370000}"/>
    <cellStyle name="Input 35 2 15 3" xfId="14114" xr:uid="{00000000-0005-0000-0000-00000C370000}"/>
    <cellStyle name="Input 35 2 15 4" xfId="14115" xr:uid="{00000000-0005-0000-0000-00000D370000}"/>
    <cellStyle name="Input 35 2 16" xfId="14116" xr:uid="{00000000-0005-0000-0000-00000E370000}"/>
    <cellStyle name="Input 35 2 16 2" xfId="14117" xr:uid="{00000000-0005-0000-0000-00000F370000}"/>
    <cellStyle name="Input 35 2 16 2 2" xfId="14118" xr:uid="{00000000-0005-0000-0000-000010370000}"/>
    <cellStyle name="Input 35 2 16 2 3" xfId="14119" xr:uid="{00000000-0005-0000-0000-000011370000}"/>
    <cellStyle name="Input 35 2 16 3" xfId="14120" xr:uid="{00000000-0005-0000-0000-000012370000}"/>
    <cellStyle name="Input 35 2 16 4" xfId="14121" xr:uid="{00000000-0005-0000-0000-000013370000}"/>
    <cellStyle name="Input 35 2 17" xfId="14122" xr:uid="{00000000-0005-0000-0000-000014370000}"/>
    <cellStyle name="Input 35 2 17 2" xfId="14123" xr:uid="{00000000-0005-0000-0000-000015370000}"/>
    <cellStyle name="Input 35 2 17 2 2" xfId="14124" xr:uid="{00000000-0005-0000-0000-000016370000}"/>
    <cellStyle name="Input 35 2 17 2 3" xfId="14125" xr:uid="{00000000-0005-0000-0000-000017370000}"/>
    <cellStyle name="Input 35 2 17 3" xfId="14126" xr:uid="{00000000-0005-0000-0000-000018370000}"/>
    <cellStyle name="Input 35 2 17 4" xfId="14127" xr:uid="{00000000-0005-0000-0000-000019370000}"/>
    <cellStyle name="Input 35 2 18" xfId="14128" xr:uid="{00000000-0005-0000-0000-00001A370000}"/>
    <cellStyle name="Input 35 2 18 2" xfId="14129" xr:uid="{00000000-0005-0000-0000-00001B370000}"/>
    <cellStyle name="Input 35 2 18 3" xfId="14130" xr:uid="{00000000-0005-0000-0000-00001C370000}"/>
    <cellStyle name="Input 35 2 18 4" xfId="14131" xr:uid="{00000000-0005-0000-0000-00001D370000}"/>
    <cellStyle name="Input 35 2 19" xfId="14132" xr:uid="{00000000-0005-0000-0000-00001E370000}"/>
    <cellStyle name="Input 35 2 2" xfId="14133" xr:uid="{00000000-0005-0000-0000-00001F370000}"/>
    <cellStyle name="Input 35 2 2 2" xfId="14134" xr:uid="{00000000-0005-0000-0000-000020370000}"/>
    <cellStyle name="Input 35 2 2 2 2" xfId="14135" xr:uid="{00000000-0005-0000-0000-000021370000}"/>
    <cellStyle name="Input 35 2 2 2 3" xfId="14136" xr:uid="{00000000-0005-0000-0000-000022370000}"/>
    <cellStyle name="Input 35 2 2 3" xfId="14137" xr:uid="{00000000-0005-0000-0000-000023370000}"/>
    <cellStyle name="Input 35 2 2 4" xfId="14138" xr:uid="{00000000-0005-0000-0000-000024370000}"/>
    <cellStyle name="Input 35 2 20" xfId="14139" xr:uid="{00000000-0005-0000-0000-000025370000}"/>
    <cellStyle name="Input 35 2 21" xfId="14140" xr:uid="{00000000-0005-0000-0000-000026370000}"/>
    <cellStyle name="Input 35 2 3" xfId="14141" xr:uid="{00000000-0005-0000-0000-000027370000}"/>
    <cellStyle name="Input 35 2 3 2" xfId="14142" xr:uid="{00000000-0005-0000-0000-000028370000}"/>
    <cellStyle name="Input 35 2 3 2 2" xfId="14143" xr:uid="{00000000-0005-0000-0000-000029370000}"/>
    <cellStyle name="Input 35 2 3 2 3" xfId="14144" xr:uid="{00000000-0005-0000-0000-00002A370000}"/>
    <cellStyle name="Input 35 2 3 3" xfId="14145" xr:uid="{00000000-0005-0000-0000-00002B370000}"/>
    <cellStyle name="Input 35 2 3 4" xfId="14146" xr:uid="{00000000-0005-0000-0000-00002C370000}"/>
    <cellStyle name="Input 35 2 4" xfId="14147" xr:uid="{00000000-0005-0000-0000-00002D370000}"/>
    <cellStyle name="Input 35 2 4 2" xfId="14148" xr:uid="{00000000-0005-0000-0000-00002E370000}"/>
    <cellStyle name="Input 35 2 4 2 2" xfId="14149" xr:uid="{00000000-0005-0000-0000-00002F370000}"/>
    <cellStyle name="Input 35 2 4 2 3" xfId="14150" xr:uid="{00000000-0005-0000-0000-000030370000}"/>
    <cellStyle name="Input 35 2 4 3" xfId="14151" xr:uid="{00000000-0005-0000-0000-000031370000}"/>
    <cellStyle name="Input 35 2 4 4" xfId="14152" xr:uid="{00000000-0005-0000-0000-000032370000}"/>
    <cellStyle name="Input 35 2 5" xfId="14153" xr:uid="{00000000-0005-0000-0000-000033370000}"/>
    <cellStyle name="Input 35 2 5 2" xfId="14154" xr:uid="{00000000-0005-0000-0000-000034370000}"/>
    <cellStyle name="Input 35 2 5 2 2" xfId="14155" xr:uid="{00000000-0005-0000-0000-000035370000}"/>
    <cellStyle name="Input 35 2 5 2 3" xfId="14156" xr:uid="{00000000-0005-0000-0000-000036370000}"/>
    <cellStyle name="Input 35 2 5 3" xfId="14157" xr:uid="{00000000-0005-0000-0000-000037370000}"/>
    <cellStyle name="Input 35 2 5 4" xfId="14158" xr:uid="{00000000-0005-0000-0000-000038370000}"/>
    <cellStyle name="Input 35 2 6" xfId="14159" xr:uid="{00000000-0005-0000-0000-000039370000}"/>
    <cellStyle name="Input 35 2 6 2" xfId="14160" xr:uid="{00000000-0005-0000-0000-00003A370000}"/>
    <cellStyle name="Input 35 2 6 2 2" xfId="14161" xr:uid="{00000000-0005-0000-0000-00003B370000}"/>
    <cellStyle name="Input 35 2 6 2 3" xfId="14162" xr:uid="{00000000-0005-0000-0000-00003C370000}"/>
    <cellStyle name="Input 35 2 6 3" xfId="14163" xr:uid="{00000000-0005-0000-0000-00003D370000}"/>
    <cellStyle name="Input 35 2 6 4" xfId="14164" xr:uid="{00000000-0005-0000-0000-00003E370000}"/>
    <cellStyle name="Input 35 2 7" xfId="14165" xr:uid="{00000000-0005-0000-0000-00003F370000}"/>
    <cellStyle name="Input 35 2 7 2" xfId="14166" xr:uid="{00000000-0005-0000-0000-000040370000}"/>
    <cellStyle name="Input 35 2 7 2 2" xfId="14167" xr:uid="{00000000-0005-0000-0000-000041370000}"/>
    <cellStyle name="Input 35 2 7 2 3" xfId="14168" xr:uid="{00000000-0005-0000-0000-000042370000}"/>
    <cellStyle name="Input 35 2 7 3" xfId="14169" xr:uid="{00000000-0005-0000-0000-000043370000}"/>
    <cellStyle name="Input 35 2 7 4" xfId="14170" xr:uid="{00000000-0005-0000-0000-000044370000}"/>
    <cellStyle name="Input 35 2 8" xfId="14171" xr:uid="{00000000-0005-0000-0000-000045370000}"/>
    <cellStyle name="Input 35 2 8 2" xfId="14172" xr:uid="{00000000-0005-0000-0000-000046370000}"/>
    <cellStyle name="Input 35 2 8 2 2" xfId="14173" xr:uid="{00000000-0005-0000-0000-000047370000}"/>
    <cellStyle name="Input 35 2 8 2 3" xfId="14174" xr:uid="{00000000-0005-0000-0000-000048370000}"/>
    <cellStyle name="Input 35 2 8 3" xfId="14175" xr:uid="{00000000-0005-0000-0000-000049370000}"/>
    <cellStyle name="Input 35 2 8 4" xfId="14176" xr:uid="{00000000-0005-0000-0000-00004A370000}"/>
    <cellStyle name="Input 35 2 9" xfId="14177" xr:uid="{00000000-0005-0000-0000-00004B370000}"/>
    <cellStyle name="Input 35 2 9 2" xfId="14178" xr:uid="{00000000-0005-0000-0000-00004C370000}"/>
    <cellStyle name="Input 35 2 9 2 2" xfId="14179" xr:uid="{00000000-0005-0000-0000-00004D370000}"/>
    <cellStyle name="Input 35 2 9 2 3" xfId="14180" xr:uid="{00000000-0005-0000-0000-00004E370000}"/>
    <cellStyle name="Input 35 2 9 3" xfId="14181" xr:uid="{00000000-0005-0000-0000-00004F370000}"/>
    <cellStyle name="Input 35 2 9 4" xfId="14182" xr:uid="{00000000-0005-0000-0000-000050370000}"/>
    <cellStyle name="Input 35 3" xfId="14183" xr:uid="{00000000-0005-0000-0000-000051370000}"/>
    <cellStyle name="Input 35 3 2" xfId="14184" xr:uid="{00000000-0005-0000-0000-000052370000}"/>
    <cellStyle name="Input 35 3 2 2" xfId="14185" xr:uid="{00000000-0005-0000-0000-000053370000}"/>
    <cellStyle name="Input 35 3 2 3" xfId="14186" xr:uid="{00000000-0005-0000-0000-000054370000}"/>
    <cellStyle name="Input 35 3 3" xfId="14187" xr:uid="{00000000-0005-0000-0000-000055370000}"/>
    <cellStyle name="Input 35 3 4" xfId="14188" xr:uid="{00000000-0005-0000-0000-000056370000}"/>
    <cellStyle name="Input 35 4" xfId="14189" xr:uid="{00000000-0005-0000-0000-000057370000}"/>
    <cellStyle name="Input 35 5" xfId="14190" xr:uid="{00000000-0005-0000-0000-000058370000}"/>
    <cellStyle name="Input 36" xfId="14191" xr:uid="{00000000-0005-0000-0000-000059370000}"/>
    <cellStyle name="Input 36 2" xfId="14192" xr:uid="{00000000-0005-0000-0000-00005A370000}"/>
    <cellStyle name="Input 36 2 10" xfId="14193" xr:uid="{00000000-0005-0000-0000-00005B370000}"/>
    <cellStyle name="Input 36 2 10 2" xfId="14194" xr:uid="{00000000-0005-0000-0000-00005C370000}"/>
    <cellStyle name="Input 36 2 10 2 2" xfId="14195" xr:uid="{00000000-0005-0000-0000-00005D370000}"/>
    <cellStyle name="Input 36 2 10 2 3" xfId="14196" xr:uid="{00000000-0005-0000-0000-00005E370000}"/>
    <cellStyle name="Input 36 2 10 3" xfId="14197" xr:uid="{00000000-0005-0000-0000-00005F370000}"/>
    <cellStyle name="Input 36 2 10 4" xfId="14198" xr:uid="{00000000-0005-0000-0000-000060370000}"/>
    <cellStyle name="Input 36 2 11" xfId="14199" xr:uid="{00000000-0005-0000-0000-000061370000}"/>
    <cellStyle name="Input 36 2 11 2" xfId="14200" xr:uid="{00000000-0005-0000-0000-000062370000}"/>
    <cellStyle name="Input 36 2 11 2 2" xfId="14201" xr:uid="{00000000-0005-0000-0000-000063370000}"/>
    <cellStyle name="Input 36 2 11 2 3" xfId="14202" xr:uid="{00000000-0005-0000-0000-000064370000}"/>
    <cellStyle name="Input 36 2 11 3" xfId="14203" xr:uid="{00000000-0005-0000-0000-000065370000}"/>
    <cellStyle name="Input 36 2 11 4" xfId="14204" xr:uid="{00000000-0005-0000-0000-000066370000}"/>
    <cellStyle name="Input 36 2 12" xfId="14205" xr:uid="{00000000-0005-0000-0000-000067370000}"/>
    <cellStyle name="Input 36 2 12 2" xfId="14206" xr:uid="{00000000-0005-0000-0000-000068370000}"/>
    <cellStyle name="Input 36 2 12 2 2" xfId="14207" xr:uid="{00000000-0005-0000-0000-000069370000}"/>
    <cellStyle name="Input 36 2 12 2 3" xfId="14208" xr:uid="{00000000-0005-0000-0000-00006A370000}"/>
    <cellStyle name="Input 36 2 12 3" xfId="14209" xr:uid="{00000000-0005-0000-0000-00006B370000}"/>
    <cellStyle name="Input 36 2 12 4" xfId="14210" xr:uid="{00000000-0005-0000-0000-00006C370000}"/>
    <cellStyle name="Input 36 2 13" xfId="14211" xr:uid="{00000000-0005-0000-0000-00006D370000}"/>
    <cellStyle name="Input 36 2 13 2" xfId="14212" xr:uid="{00000000-0005-0000-0000-00006E370000}"/>
    <cellStyle name="Input 36 2 13 2 2" xfId="14213" xr:uid="{00000000-0005-0000-0000-00006F370000}"/>
    <cellStyle name="Input 36 2 13 2 3" xfId="14214" xr:uid="{00000000-0005-0000-0000-000070370000}"/>
    <cellStyle name="Input 36 2 13 3" xfId="14215" xr:uid="{00000000-0005-0000-0000-000071370000}"/>
    <cellStyle name="Input 36 2 13 4" xfId="14216" xr:uid="{00000000-0005-0000-0000-000072370000}"/>
    <cellStyle name="Input 36 2 14" xfId="14217" xr:uid="{00000000-0005-0000-0000-000073370000}"/>
    <cellStyle name="Input 36 2 14 2" xfId="14218" xr:uid="{00000000-0005-0000-0000-000074370000}"/>
    <cellStyle name="Input 36 2 14 2 2" xfId="14219" xr:uid="{00000000-0005-0000-0000-000075370000}"/>
    <cellStyle name="Input 36 2 14 2 3" xfId="14220" xr:uid="{00000000-0005-0000-0000-000076370000}"/>
    <cellStyle name="Input 36 2 14 3" xfId="14221" xr:uid="{00000000-0005-0000-0000-000077370000}"/>
    <cellStyle name="Input 36 2 14 4" xfId="14222" xr:uid="{00000000-0005-0000-0000-000078370000}"/>
    <cellStyle name="Input 36 2 15" xfId="14223" xr:uid="{00000000-0005-0000-0000-000079370000}"/>
    <cellStyle name="Input 36 2 15 2" xfId="14224" xr:uid="{00000000-0005-0000-0000-00007A370000}"/>
    <cellStyle name="Input 36 2 15 2 2" xfId="14225" xr:uid="{00000000-0005-0000-0000-00007B370000}"/>
    <cellStyle name="Input 36 2 15 2 3" xfId="14226" xr:uid="{00000000-0005-0000-0000-00007C370000}"/>
    <cellStyle name="Input 36 2 15 3" xfId="14227" xr:uid="{00000000-0005-0000-0000-00007D370000}"/>
    <cellStyle name="Input 36 2 15 4" xfId="14228" xr:uid="{00000000-0005-0000-0000-00007E370000}"/>
    <cellStyle name="Input 36 2 16" xfId="14229" xr:uid="{00000000-0005-0000-0000-00007F370000}"/>
    <cellStyle name="Input 36 2 16 2" xfId="14230" xr:uid="{00000000-0005-0000-0000-000080370000}"/>
    <cellStyle name="Input 36 2 16 2 2" xfId="14231" xr:uid="{00000000-0005-0000-0000-000081370000}"/>
    <cellStyle name="Input 36 2 16 2 3" xfId="14232" xr:uid="{00000000-0005-0000-0000-000082370000}"/>
    <cellStyle name="Input 36 2 16 3" xfId="14233" xr:uid="{00000000-0005-0000-0000-000083370000}"/>
    <cellStyle name="Input 36 2 16 4" xfId="14234" xr:uid="{00000000-0005-0000-0000-000084370000}"/>
    <cellStyle name="Input 36 2 17" xfId="14235" xr:uid="{00000000-0005-0000-0000-000085370000}"/>
    <cellStyle name="Input 36 2 17 2" xfId="14236" xr:uid="{00000000-0005-0000-0000-000086370000}"/>
    <cellStyle name="Input 36 2 17 2 2" xfId="14237" xr:uid="{00000000-0005-0000-0000-000087370000}"/>
    <cellStyle name="Input 36 2 17 2 3" xfId="14238" xr:uid="{00000000-0005-0000-0000-000088370000}"/>
    <cellStyle name="Input 36 2 17 3" xfId="14239" xr:uid="{00000000-0005-0000-0000-000089370000}"/>
    <cellStyle name="Input 36 2 17 4" xfId="14240" xr:uid="{00000000-0005-0000-0000-00008A370000}"/>
    <cellStyle name="Input 36 2 18" xfId="14241" xr:uid="{00000000-0005-0000-0000-00008B370000}"/>
    <cellStyle name="Input 36 2 18 2" xfId="14242" xr:uid="{00000000-0005-0000-0000-00008C370000}"/>
    <cellStyle name="Input 36 2 18 3" xfId="14243" xr:uid="{00000000-0005-0000-0000-00008D370000}"/>
    <cellStyle name="Input 36 2 18 4" xfId="14244" xr:uid="{00000000-0005-0000-0000-00008E370000}"/>
    <cellStyle name="Input 36 2 19" xfId="14245" xr:uid="{00000000-0005-0000-0000-00008F370000}"/>
    <cellStyle name="Input 36 2 2" xfId="14246" xr:uid="{00000000-0005-0000-0000-000090370000}"/>
    <cellStyle name="Input 36 2 2 2" xfId="14247" xr:uid="{00000000-0005-0000-0000-000091370000}"/>
    <cellStyle name="Input 36 2 2 2 2" xfId="14248" xr:uid="{00000000-0005-0000-0000-000092370000}"/>
    <cellStyle name="Input 36 2 2 2 3" xfId="14249" xr:uid="{00000000-0005-0000-0000-000093370000}"/>
    <cellStyle name="Input 36 2 2 3" xfId="14250" xr:uid="{00000000-0005-0000-0000-000094370000}"/>
    <cellStyle name="Input 36 2 2 4" xfId="14251" xr:uid="{00000000-0005-0000-0000-000095370000}"/>
    <cellStyle name="Input 36 2 20" xfId="14252" xr:uid="{00000000-0005-0000-0000-000096370000}"/>
    <cellStyle name="Input 36 2 21" xfId="14253" xr:uid="{00000000-0005-0000-0000-000097370000}"/>
    <cellStyle name="Input 36 2 3" xfId="14254" xr:uid="{00000000-0005-0000-0000-000098370000}"/>
    <cellStyle name="Input 36 2 3 2" xfId="14255" xr:uid="{00000000-0005-0000-0000-000099370000}"/>
    <cellStyle name="Input 36 2 3 2 2" xfId="14256" xr:uid="{00000000-0005-0000-0000-00009A370000}"/>
    <cellStyle name="Input 36 2 3 2 3" xfId="14257" xr:uid="{00000000-0005-0000-0000-00009B370000}"/>
    <cellStyle name="Input 36 2 3 3" xfId="14258" xr:uid="{00000000-0005-0000-0000-00009C370000}"/>
    <cellStyle name="Input 36 2 3 4" xfId="14259" xr:uid="{00000000-0005-0000-0000-00009D370000}"/>
    <cellStyle name="Input 36 2 4" xfId="14260" xr:uid="{00000000-0005-0000-0000-00009E370000}"/>
    <cellStyle name="Input 36 2 4 2" xfId="14261" xr:uid="{00000000-0005-0000-0000-00009F370000}"/>
    <cellStyle name="Input 36 2 4 2 2" xfId="14262" xr:uid="{00000000-0005-0000-0000-0000A0370000}"/>
    <cellStyle name="Input 36 2 4 2 3" xfId="14263" xr:uid="{00000000-0005-0000-0000-0000A1370000}"/>
    <cellStyle name="Input 36 2 4 3" xfId="14264" xr:uid="{00000000-0005-0000-0000-0000A2370000}"/>
    <cellStyle name="Input 36 2 4 4" xfId="14265" xr:uid="{00000000-0005-0000-0000-0000A3370000}"/>
    <cellStyle name="Input 36 2 5" xfId="14266" xr:uid="{00000000-0005-0000-0000-0000A4370000}"/>
    <cellStyle name="Input 36 2 5 2" xfId="14267" xr:uid="{00000000-0005-0000-0000-0000A5370000}"/>
    <cellStyle name="Input 36 2 5 2 2" xfId="14268" xr:uid="{00000000-0005-0000-0000-0000A6370000}"/>
    <cellStyle name="Input 36 2 5 2 3" xfId="14269" xr:uid="{00000000-0005-0000-0000-0000A7370000}"/>
    <cellStyle name="Input 36 2 5 3" xfId="14270" xr:uid="{00000000-0005-0000-0000-0000A8370000}"/>
    <cellStyle name="Input 36 2 5 4" xfId="14271" xr:uid="{00000000-0005-0000-0000-0000A9370000}"/>
    <cellStyle name="Input 36 2 6" xfId="14272" xr:uid="{00000000-0005-0000-0000-0000AA370000}"/>
    <cellStyle name="Input 36 2 6 2" xfId="14273" xr:uid="{00000000-0005-0000-0000-0000AB370000}"/>
    <cellStyle name="Input 36 2 6 2 2" xfId="14274" xr:uid="{00000000-0005-0000-0000-0000AC370000}"/>
    <cellStyle name="Input 36 2 6 2 3" xfId="14275" xr:uid="{00000000-0005-0000-0000-0000AD370000}"/>
    <cellStyle name="Input 36 2 6 3" xfId="14276" xr:uid="{00000000-0005-0000-0000-0000AE370000}"/>
    <cellStyle name="Input 36 2 6 4" xfId="14277" xr:uid="{00000000-0005-0000-0000-0000AF370000}"/>
    <cellStyle name="Input 36 2 7" xfId="14278" xr:uid="{00000000-0005-0000-0000-0000B0370000}"/>
    <cellStyle name="Input 36 2 7 2" xfId="14279" xr:uid="{00000000-0005-0000-0000-0000B1370000}"/>
    <cellStyle name="Input 36 2 7 2 2" xfId="14280" xr:uid="{00000000-0005-0000-0000-0000B2370000}"/>
    <cellStyle name="Input 36 2 7 2 3" xfId="14281" xr:uid="{00000000-0005-0000-0000-0000B3370000}"/>
    <cellStyle name="Input 36 2 7 3" xfId="14282" xr:uid="{00000000-0005-0000-0000-0000B4370000}"/>
    <cellStyle name="Input 36 2 7 4" xfId="14283" xr:uid="{00000000-0005-0000-0000-0000B5370000}"/>
    <cellStyle name="Input 36 2 8" xfId="14284" xr:uid="{00000000-0005-0000-0000-0000B6370000}"/>
    <cellStyle name="Input 36 2 8 2" xfId="14285" xr:uid="{00000000-0005-0000-0000-0000B7370000}"/>
    <cellStyle name="Input 36 2 8 2 2" xfId="14286" xr:uid="{00000000-0005-0000-0000-0000B8370000}"/>
    <cellStyle name="Input 36 2 8 2 3" xfId="14287" xr:uid="{00000000-0005-0000-0000-0000B9370000}"/>
    <cellStyle name="Input 36 2 8 3" xfId="14288" xr:uid="{00000000-0005-0000-0000-0000BA370000}"/>
    <cellStyle name="Input 36 2 8 4" xfId="14289" xr:uid="{00000000-0005-0000-0000-0000BB370000}"/>
    <cellStyle name="Input 36 2 9" xfId="14290" xr:uid="{00000000-0005-0000-0000-0000BC370000}"/>
    <cellStyle name="Input 36 2 9 2" xfId="14291" xr:uid="{00000000-0005-0000-0000-0000BD370000}"/>
    <cellStyle name="Input 36 2 9 2 2" xfId="14292" xr:uid="{00000000-0005-0000-0000-0000BE370000}"/>
    <cellStyle name="Input 36 2 9 2 3" xfId="14293" xr:uid="{00000000-0005-0000-0000-0000BF370000}"/>
    <cellStyle name="Input 36 2 9 3" xfId="14294" xr:uid="{00000000-0005-0000-0000-0000C0370000}"/>
    <cellStyle name="Input 36 2 9 4" xfId="14295" xr:uid="{00000000-0005-0000-0000-0000C1370000}"/>
    <cellStyle name="Input 36 3" xfId="14296" xr:uid="{00000000-0005-0000-0000-0000C2370000}"/>
    <cellStyle name="Input 36 3 2" xfId="14297" xr:uid="{00000000-0005-0000-0000-0000C3370000}"/>
    <cellStyle name="Input 36 3 2 2" xfId="14298" xr:uid="{00000000-0005-0000-0000-0000C4370000}"/>
    <cellStyle name="Input 36 3 2 3" xfId="14299" xr:uid="{00000000-0005-0000-0000-0000C5370000}"/>
    <cellStyle name="Input 36 3 3" xfId="14300" xr:uid="{00000000-0005-0000-0000-0000C6370000}"/>
    <cellStyle name="Input 36 3 4" xfId="14301" xr:uid="{00000000-0005-0000-0000-0000C7370000}"/>
    <cellStyle name="Input 36 4" xfId="14302" xr:uid="{00000000-0005-0000-0000-0000C8370000}"/>
    <cellStyle name="Input 36 5" xfId="14303" xr:uid="{00000000-0005-0000-0000-0000C9370000}"/>
    <cellStyle name="Input 37" xfId="14304" xr:uid="{00000000-0005-0000-0000-0000CA370000}"/>
    <cellStyle name="Input 37 2" xfId="14305" xr:uid="{00000000-0005-0000-0000-0000CB370000}"/>
    <cellStyle name="Input 37 2 10" xfId="14306" xr:uid="{00000000-0005-0000-0000-0000CC370000}"/>
    <cellStyle name="Input 37 2 10 2" xfId="14307" xr:uid="{00000000-0005-0000-0000-0000CD370000}"/>
    <cellStyle name="Input 37 2 10 2 2" xfId="14308" xr:uid="{00000000-0005-0000-0000-0000CE370000}"/>
    <cellStyle name="Input 37 2 10 2 3" xfId="14309" xr:uid="{00000000-0005-0000-0000-0000CF370000}"/>
    <cellStyle name="Input 37 2 10 3" xfId="14310" xr:uid="{00000000-0005-0000-0000-0000D0370000}"/>
    <cellStyle name="Input 37 2 10 4" xfId="14311" xr:uid="{00000000-0005-0000-0000-0000D1370000}"/>
    <cellStyle name="Input 37 2 11" xfId="14312" xr:uid="{00000000-0005-0000-0000-0000D2370000}"/>
    <cellStyle name="Input 37 2 11 2" xfId="14313" xr:uid="{00000000-0005-0000-0000-0000D3370000}"/>
    <cellStyle name="Input 37 2 11 2 2" xfId="14314" xr:uid="{00000000-0005-0000-0000-0000D4370000}"/>
    <cellStyle name="Input 37 2 11 2 3" xfId="14315" xr:uid="{00000000-0005-0000-0000-0000D5370000}"/>
    <cellStyle name="Input 37 2 11 3" xfId="14316" xr:uid="{00000000-0005-0000-0000-0000D6370000}"/>
    <cellStyle name="Input 37 2 11 4" xfId="14317" xr:uid="{00000000-0005-0000-0000-0000D7370000}"/>
    <cellStyle name="Input 37 2 12" xfId="14318" xr:uid="{00000000-0005-0000-0000-0000D8370000}"/>
    <cellStyle name="Input 37 2 12 2" xfId="14319" xr:uid="{00000000-0005-0000-0000-0000D9370000}"/>
    <cellStyle name="Input 37 2 12 2 2" xfId="14320" xr:uid="{00000000-0005-0000-0000-0000DA370000}"/>
    <cellStyle name="Input 37 2 12 2 3" xfId="14321" xr:uid="{00000000-0005-0000-0000-0000DB370000}"/>
    <cellStyle name="Input 37 2 12 3" xfId="14322" xr:uid="{00000000-0005-0000-0000-0000DC370000}"/>
    <cellStyle name="Input 37 2 12 4" xfId="14323" xr:uid="{00000000-0005-0000-0000-0000DD370000}"/>
    <cellStyle name="Input 37 2 13" xfId="14324" xr:uid="{00000000-0005-0000-0000-0000DE370000}"/>
    <cellStyle name="Input 37 2 13 2" xfId="14325" xr:uid="{00000000-0005-0000-0000-0000DF370000}"/>
    <cellStyle name="Input 37 2 13 2 2" xfId="14326" xr:uid="{00000000-0005-0000-0000-0000E0370000}"/>
    <cellStyle name="Input 37 2 13 2 3" xfId="14327" xr:uid="{00000000-0005-0000-0000-0000E1370000}"/>
    <cellStyle name="Input 37 2 13 3" xfId="14328" xr:uid="{00000000-0005-0000-0000-0000E2370000}"/>
    <cellStyle name="Input 37 2 13 4" xfId="14329" xr:uid="{00000000-0005-0000-0000-0000E3370000}"/>
    <cellStyle name="Input 37 2 14" xfId="14330" xr:uid="{00000000-0005-0000-0000-0000E4370000}"/>
    <cellStyle name="Input 37 2 14 2" xfId="14331" xr:uid="{00000000-0005-0000-0000-0000E5370000}"/>
    <cellStyle name="Input 37 2 14 2 2" xfId="14332" xr:uid="{00000000-0005-0000-0000-0000E6370000}"/>
    <cellStyle name="Input 37 2 14 2 3" xfId="14333" xr:uid="{00000000-0005-0000-0000-0000E7370000}"/>
    <cellStyle name="Input 37 2 14 3" xfId="14334" xr:uid="{00000000-0005-0000-0000-0000E8370000}"/>
    <cellStyle name="Input 37 2 14 4" xfId="14335" xr:uid="{00000000-0005-0000-0000-0000E9370000}"/>
    <cellStyle name="Input 37 2 15" xfId="14336" xr:uid="{00000000-0005-0000-0000-0000EA370000}"/>
    <cellStyle name="Input 37 2 15 2" xfId="14337" xr:uid="{00000000-0005-0000-0000-0000EB370000}"/>
    <cellStyle name="Input 37 2 15 2 2" xfId="14338" xr:uid="{00000000-0005-0000-0000-0000EC370000}"/>
    <cellStyle name="Input 37 2 15 2 3" xfId="14339" xr:uid="{00000000-0005-0000-0000-0000ED370000}"/>
    <cellStyle name="Input 37 2 15 3" xfId="14340" xr:uid="{00000000-0005-0000-0000-0000EE370000}"/>
    <cellStyle name="Input 37 2 15 4" xfId="14341" xr:uid="{00000000-0005-0000-0000-0000EF370000}"/>
    <cellStyle name="Input 37 2 16" xfId="14342" xr:uid="{00000000-0005-0000-0000-0000F0370000}"/>
    <cellStyle name="Input 37 2 16 2" xfId="14343" xr:uid="{00000000-0005-0000-0000-0000F1370000}"/>
    <cellStyle name="Input 37 2 16 2 2" xfId="14344" xr:uid="{00000000-0005-0000-0000-0000F2370000}"/>
    <cellStyle name="Input 37 2 16 2 3" xfId="14345" xr:uid="{00000000-0005-0000-0000-0000F3370000}"/>
    <cellStyle name="Input 37 2 16 3" xfId="14346" xr:uid="{00000000-0005-0000-0000-0000F4370000}"/>
    <cellStyle name="Input 37 2 16 4" xfId="14347" xr:uid="{00000000-0005-0000-0000-0000F5370000}"/>
    <cellStyle name="Input 37 2 17" xfId="14348" xr:uid="{00000000-0005-0000-0000-0000F6370000}"/>
    <cellStyle name="Input 37 2 17 2" xfId="14349" xr:uid="{00000000-0005-0000-0000-0000F7370000}"/>
    <cellStyle name="Input 37 2 17 2 2" xfId="14350" xr:uid="{00000000-0005-0000-0000-0000F8370000}"/>
    <cellStyle name="Input 37 2 17 2 3" xfId="14351" xr:uid="{00000000-0005-0000-0000-0000F9370000}"/>
    <cellStyle name="Input 37 2 17 3" xfId="14352" xr:uid="{00000000-0005-0000-0000-0000FA370000}"/>
    <cellStyle name="Input 37 2 17 4" xfId="14353" xr:uid="{00000000-0005-0000-0000-0000FB370000}"/>
    <cellStyle name="Input 37 2 18" xfId="14354" xr:uid="{00000000-0005-0000-0000-0000FC370000}"/>
    <cellStyle name="Input 37 2 18 2" xfId="14355" xr:uid="{00000000-0005-0000-0000-0000FD370000}"/>
    <cellStyle name="Input 37 2 18 3" xfId="14356" xr:uid="{00000000-0005-0000-0000-0000FE370000}"/>
    <cellStyle name="Input 37 2 18 4" xfId="14357" xr:uid="{00000000-0005-0000-0000-0000FF370000}"/>
    <cellStyle name="Input 37 2 19" xfId="14358" xr:uid="{00000000-0005-0000-0000-000000380000}"/>
    <cellStyle name="Input 37 2 2" xfId="14359" xr:uid="{00000000-0005-0000-0000-000001380000}"/>
    <cellStyle name="Input 37 2 2 2" xfId="14360" xr:uid="{00000000-0005-0000-0000-000002380000}"/>
    <cellStyle name="Input 37 2 2 2 2" xfId="14361" xr:uid="{00000000-0005-0000-0000-000003380000}"/>
    <cellStyle name="Input 37 2 2 2 3" xfId="14362" xr:uid="{00000000-0005-0000-0000-000004380000}"/>
    <cellStyle name="Input 37 2 2 3" xfId="14363" xr:uid="{00000000-0005-0000-0000-000005380000}"/>
    <cellStyle name="Input 37 2 2 4" xfId="14364" xr:uid="{00000000-0005-0000-0000-000006380000}"/>
    <cellStyle name="Input 37 2 20" xfId="14365" xr:uid="{00000000-0005-0000-0000-000007380000}"/>
    <cellStyle name="Input 37 2 21" xfId="14366" xr:uid="{00000000-0005-0000-0000-000008380000}"/>
    <cellStyle name="Input 37 2 3" xfId="14367" xr:uid="{00000000-0005-0000-0000-000009380000}"/>
    <cellStyle name="Input 37 2 3 2" xfId="14368" xr:uid="{00000000-0005-0000-0000-00000A380000}"/>
    <cellStyle name="Input 37 2 3 2 2" xfId="14369" xr:uid="{00000000-0005-0000-0000-00000B380000}"/>
    <cellStyle name="Input 37 2 3 2 3" xfId="14370" xr:uid="{00000000-0005-0000-0000-00000C380000}"/>
    <cellStyle name="Input 37 2 3 3" xfId="14371" xr:uid="{00000000-0005-0000-0000-00000D380000}"/>
    <cellStyle name="Input 37 2 3 4" xfId="14372" xr:uid="{00000000-0005-0000-0000-00000E380000}"/>
    <cellStyle name="Input 37 2 4" xfId="14373" xr:uid="{00000000-0005-0000-0000-00000F380000}"/>
    <cellStyle name="Input 37 2 4 2" xfId="14374" xr:uid="{00000000-0005-0000-0000-000010380000}"/>
    <cellStyle name="Input 37 2 4 2 2" xfId="14375" xr:uid="{00000000-0005-0000-0000-000011380000}"/>
    <cellStyle name="Input 37 2 4 2 3" xfId="14376" xr:uid="{00000000-0005-0000-0000-000012380000}"/>
    <cellStyle name="Input 37 2 4 3" xfId="14377" xr:uid="{00000000-0005-0000-0000-000013380000}"/>
    <cellStyle name="Input 37 2 4 4" xfId="14378" xr:uid="{00000000-0005-0000-0000-000014380000}"/>
    <cellStyle name="Input 37 2 5" xfId="14379" xr:uid="{00000000-0005-0000-0000-000015380000}"/>
    <cellStyle name="Input 37 2 5 2" xfId="14380" xr:uid="{00000000-0005-0000-0000-000016380000}"/>
    <cellStyle name="Input 37 2 5 2 2" xfId="14381" xr:uid="{00000000-0005-0000-0000-000017380000}"/>
    <cellStyle name="Input 37 2 5 2 3" xfId="14382" xr:uid="{00000000-0005-0000-0000-000018380000}"/>
    <cellStyle name="Input 37 2 5 3" xfId="14383" xr:uid="{00000000-0005-0000-0000-000019380000}"/>
    <cellStyle name="Input 37 2 5 4" xfId="14384" xr:uid="{00000000-0005-0000-0000-00001A380000}"/>
    <cellStyle name="Input 37 2 6" xfId="14385" xr:uid="{00000000-0005-0000-0000-00001B380000}"/>
    <cellStyle name="Input 37 2 6 2" xfId="14386" xr:uid="{00000000-0005-0000-0000-00001C380000}"/>
    <cellStyle name="Input 37 2 6 2 2" xfId="14387" xr:uid="{00000000-0005-0000-0000-00001D380000}"/>
    <cellStyle name="Input 37 2 6 2 3" xfId="14388" xr:uid="{00000000-0005-0000-0000-00001E380000}"/>
    <cellStyle name="Input 37 2 6 3" xfId="14389" xr:uid="{00000000-0005-0000-0000-00001F380000}"/>
    <cellStyle name="Input 37 2 6 4" xfId="14390" xr:uid="{00000000-0005-0000-0000-000020380000}"/>
    <cellStyle name="Input 37 2 7" xfId="14391" xr:uid="{00000000-0005-0000-0000-000021380000}"/>
    <cellStyle name="Input 37 2 7 2" xfId="14392" xr:uid="{00000000-0005-0000-0000-000022380000}"/>
    <cellStyle name="Input 37 2 7 2 2" xfId="14393" xr:uid="{00000000-0005-0000-0000-000023380000}"/>
    <cellStyle name="Input 37 2 7 2 3" xfId="14394" xr:uid="{00000000-0005-0000-0000-000024380000}"/>
    <cellStyle name="Input 37 2 7 3" xfId="14395" xr:uid="{00000000-0005-0000-0000-000025380000}"/>
    <cellStyle name="Input 37 2 7 4" xfId="14396" xr:uid="{00000000-0005-0000-0000-000026380000}"/>
    <cellStyle name="Input 37 2 8" xfId="14397" xr:uid="{00000000-0005-0000-0000-000027380000}"/>
    <cellStyle name="Input 37 2 8 2" xfId="14398" xr:uid="{00000000-0005-0000-0000-000028380000}"/>
    <cellStyle name="Input 37 2 8 2 2" xfId="14399" xr:uid="{00000000-0005-0000-0000-000029380000}"/>
    <cellStyle name="Input 37 2 8 2 3" xfId="14400" xr:uid="{00000000-0005-0000-0000-00002A380000}"/>
    <cellStyle name="Input 37 2 8 3" xfId="14401" xr:uid="{00000000-0005-0000-0000-00002B380000}"/>
    <cellStyle name="Input 37 2 8 4" xfId="14402" xr:uid="{00000000-0005-0000-0000-00002C380000}"/>
    <cellStyle name="Input 37 2 9" xfId="14403" xr:uid="{00000000-0005-0000-0000-00002D380000}"/>
    <cellStyle name="Input 37 2 9 2" xfId="14404" xr:uid="{00000000-0005-0000-0000-00002E380000}"/>
    <cellStyle name="Input 37 2 9 2 2" xfId="14405" xr:uid="{00000000-0005-0000-0000-00002F380000}"/>
    <cellStyle name="Input 37 2 9 2 3" xfId="14406" xr:uid="{00000000-0005-0000-0000-000030380000}"/>
    <cellStyle name="Input 37 2 9 3" xfId="14407" xr:uid="{00000000-0005-0000-0000-000031380000}"/>
    <cellStyle name="Input 37 2 9 4" xfId="14408" xr:uid="{00000000-0005-0000-0000-000032380000}"/>
    <cellStyle name="Input 37 3" xfId="14409" xr:uid="{00000000-0005-0000-0000-000033380000}"/>
    <cellStyle name="Input 37 3 2" xfId="14410" xr:uid="{00000000-0005-0000-0000-000034380000}"/>
    <cellStyle name="Input 37 3 2 2" xfId="14411" xr:uid="{00000000-0005-0000-0000-000035380000}"/>
    <cellStyle name="Input 37 3 2 3" xfId="14412" xr:uid="{00000000-0005-0000-0000-000036380000}"/>
    <cellStyle name="Input 37 3 3" xfId="14413" xr:uid="{00000000-0005-0000-0000-000037380000}"/>
    <cellStyle name="Input 37 3 4" xfId="14414" xr:uid="{00000000-0005-0000-0000-000038380000}"/>
    <cellStyle name="Input 37 4" xfId="14415" xr:uid="{00000000-0005-0000-0000-000039380000}"/>
    <cellStyle name="Input 37 5" xfId="14416" xr:uid="{00000000-0005-0000-0000-00003A380000}"/>
    <cellStyle name="Input 38" xfId="14417" xr:uid="{00000000-0005-0000-0000-00003B380000}"/>
    <cellStyle name="Input 38 2" xfId="14418" xr:uid="{00000000-0005-0000-0000-00003C380000}"/>
    <cellStyle name="Input 38 2 10" xfId="14419" xr:uid="{00000000-0005-0000-0000-00003D380000}"/>
    <cellStyle name="Input 38 2 10 2" xfId="14420" xr:uid="{00000000-0005-0000-0000-00003E380000}"/>
    <cellStyle name="Input 38 2 10 2 2" xfId="14421" xr:uid="{00000000-0005-0000-0000-00003F380000}"/>
    <cellStyle name="Input 38 2 10 2 3" xfId="14422" xr:uid="{00000000-0005-0000-0000-000040380000}"/>
    <cellStyle name="Input 38 2 10 3" xfId="14423" xr:uid="{00000000-0005-0000-0000-000041380000}"/>
    <cellStyle name="Input 38 2 10 4" xfId="14424" xr:uid="{00000000-0005-0000-0000-000042380000}"/>
    <cellStyle name="Input 38 2 11" xfId="14425" xr:uid="{00000000-0005-0000-0000-000043380000}"/>
    <cellStyle name="Input 38 2 11 2" xfId="14426" xr:uid="{00000000-0005-0000-0000-000044380000}"/>
    <cellStyle name="Input 38 2 11 2 2" xfId="14427" xr:uid="{00000000-0005-0000-0000-000045380000}"/>
    <cellStyle name="Input 38 2 11 2 3" xfId="14428" xr:uid="{00000000-0005-0000-0000-000046380000}"/>
    <cellStyle name="Input 38 2 11 3" xfId="14429" xr:uid="{00000000-0005-0000-0000-000047380000}"/>
    <cellStyle name="Input 38 2 11 4" xfId="14430" xr:uid="{00000000-0005-0000-0000-000048380000}"/>
    <cellStyle name="Input 38 2 12" xfId="14431" xr:uid="{00000000-0005-0000-0000-000049380000}"/>
    <cellStyle name="Input 38 2 12 2" xfId="14432" xr:uid="{00000000-0005-0000-0000-00004A380000}"/>
    <cellStyle name="Input 38 2 12 2 2" xfId="14433" xr:uid="{00000000-0005-0000-0000-00004B380000}"/>
    <cellStyle name="Input 38 2 12 2 3" xfId="14434" xr:uid="{00000000-0005-0000-0000-00004C380000}"/>
    <cellStyle name="Input 38 2 12 3" xfId="14435" xr:uid="{00000000-0005-0000-0000-00004D380000}"/>
    <cellStyle name="Input 38 2 12 4" xfId="14436" xr:uid="{00000000-0005-0000-0000-00004E380000}"/>
    <cellStyle name="Input 38 2 13" xfId="14437" xr:uid="{00000000-0005-0000-0000-00004F380000}"/>
    <cellStyle name="Input 38 2 13 2" xfId="14438" xr:uid="{00000000-0005-0000-0000-000050380000}"/>
    <cellStyle name="Input 38 2 13 2 2" xfId="14439" xr:uid="{00000000-0005-0000-0000-000051380000}"/>
    <cellStyle name="Input 38 2 13 2 3" xfId="14440" xr:uid="{00000000-0005-0000-0000-000052380000}"/>
    <cellStyle name="Input 38 2 13 3" xfId="14441" xr:uid="{00000000-0005-0000-0000-000053380000}"/>
    <cellStyle name="Input 38 2 13 4" xfId="14442" xr:uid="{00000000-0005-0000-0000-000054380000}"/>
    <cellStyle name="Input 38 2 14" xfId="14443" xr:uid="{00000000-0005-0000-0000-000055380000}"/>
    <cellStyle name="Input 38 2 14 2" xfId="14444" xr:uid="{00000000-0005-0000-0000-000056380000}"/>
    <cellStyle name="Input 38 2 14 2 2" xfId="14445" xr:uid="{00000000-0005-0000-0000-000057380000}"/>
    <cellStyle name="Input 38 2 14 2 3" xfId="14446" xr:uid="{00000000-0005-0000-0000-000058380000}"/>
    <cellStyle name="Input 38 2 14 3" xfId="14447" xr:uid="{00000000-0005-0000-0000-000059380000}"/>
    <cellStyle name="Input 38 2 14 4" xfId="14448" xr:uid="{00000000-0005-0000-0000-00005A380000}"/>
    <cellStyle name="Input 38 2 15" xfId="14449" xr:uid="{00000000-0005-0000-0000-00005B380000}"/>
    <cellStyle name="Input 38 2 15 2" xfId="14450" xr:uid="{00000000-0005-0000-0000-00005C380000}"/>
    <cellStyle name="Input 38 2 15 2 2" xfId="14451" xr:uid="{00000000-0005-0000-0000-00005D380000}"/>
    <cellStyle name="Input 38 2 15 2 3" xfId="14452" xr:uid="{00000000-0005-0000-0000-00005E380000}"/>
    <cellStyle name="Input 38 2 15 3" xfId="14453" xr:uid="{00000000-0005-0000-0000-00005F380000}"/>
    <cellStyle name="Input 38 2 15 4" xfId="14454" xr:uid="{00000000-0005-0000-0000-000060380000}"/>
    <cellStyle name="Input 38 2 16" xfId="14455" xr:uid="{00000000-0005-0000-0000-000061380000}"/>
    <cellStyle name="Input 38 2 16 2" xfId="14456" xr:uid="{00000000-0005-0000-0000-000062380000}"/>
    <cellStyle name="Input 38 2 16 2 2" xfId="14457" xr:uid="{00000000-0005-0000-0000-000063380000}"/>
    <cellStyle name="Input 38 2 16 2 3" xfId="14458" xr:uid="{00000000-0005-0000-0000-000064380000}"/>
    <cellStyle name="Input 38 2 16 3" xfId="14459" xr:uid="{00000000-0005-0000-0000-000065380000}"/>
    <cellStyle name="Input 38 2 16 4" xfId="14460" xr:uid="{00000000-0005-0000-0000-000066380000}"/>
    <cellStyle name="Input 38 2 17" xfId="14461" xr:uid="{00000000-0005-0000-0000-000067380000}"/>
    <cellStyle name="Input 38 2 17 2" xfId="14462" xr:uid="{00000000-0005-0000-0000-000068380000}"/>
    <cellStyle name="Input 38 2 17 2 2" xfId="14463" xr:uid="{00000000-0005-0000-0000-000069380000}"/>
    <cellStyle name="Input 38 2 17 2 3" xfId="14464" xr:uid="{00000000-0005-0000-0000-00006A380000}"/>
    <cellStyle name="Input 38 2 17 3" xfId="14465" xr:uid="{00000000-0005-0000-0000-00006B380000}"/>
    <cellStyle name="Input 38 2 17 4" xfId="14466" xr:uid="{00000000-0005-0000-0000-00006C380000}"/>
    <cellStyle name="Input 38 2 18" xfId="14467" xr:uid="{00000000-0005-0000-0000-00006D380000}"/>
    <cellStyle name="Input 38 2 18 2" xfId="14468" xr:uid="{00000000-0005-0000-0000-00006E380000}"/>
    <cellStyle name="Input 38 2 18 3" xfId="14469" xr:uid="{00000000-0005-0000-0000-00006F380000}"/>
    <cellStyle name="Input 38 2 18 4" xfId="14470" xr:uid="{00000000-0005-0000-0000-000070380000}"/>
    <cellStyle name="Input 38 2 19" xfId="14471" xr:uid="{00000000-0005-0000-0000-000071380000}"/>
    <cellStyle name="Input 38 2 2" xfId="14472" xr:uid="{00000000-0005-0000-0000-000072380000}"/>
    <cellStyle name="Input 38 2 2 2" xfId="14473" xr:uid="{00000000-0005-0000-0000-000073380000}"/>
    <cellStyle name="Input 38 2 2 2 2" xfId="14474" xr:uid="{00000000-0005-0000-0000-000074380000}"/>
    <cellStyle name="Input 38 2 2 2 3" xfId="14475" xr:uid="{00000000-0005-0000-0000-000075380000}"/>
    <cellStyle name="Input 38 2 2 3" xfId="14476" xr:uid="{00000000-0005-0000-0000-000076380000}"/>
    <cellStyle name="Input 38 2 2 4" xfId="14477" xr:uid="{00000000-0005-0000-0000-000077380000}"/>
    <cellStyle name="Input 38 2 20" xfId="14478" xr:uid="{00000000-0005-0000-0000-000078380000}"/>
    <cellStyle name="Input 38 2 21" xfId="14479" xr:uid="{00000000-0005-0000-0000-000079380000}"/>
    <cellStyle name="Input 38 2 3" xfId="14480" xr:uid="{00000000-0005-0000-0000-00007A380000}"/>
    <cellStyle name="Input 38 2 3 2" xfId="14481" xr:uid="{00000000-0005-0000-0000-00007B380000}"/>
    <cellStyle name="Input 38 2 3 2 2" xfId="14482" xr:uid="{00000000-0005-0000-0000-00007C380000}"/>
    <cellStyle name="Input 38 2 3 2 3" xfId="14483" xr:uid="{00000000-0005-0000-0000-00007D380000}"/>
    <cellStyle name="Input 38 2 3 3" xfId="14484" xr:uid="{00000000-0005-0000-0000-00007E380000}"/>
    <cellStyle name="Input 38 2 3 4" xfId="14485" xr:uid="{00000000-0005-0000-0000-00007F380000}"/>
    <cellStyle name="Input 38 2 4" xfId="14486" xr:uid="{00000000-0005-0000-0000-000080380000}"/>
    <cellStyle name="Input 38 2 4 2" xfId="14487" xr:uid="{00000000-0005-0000-0000-000081380000}"/>
    <cellStyle name="Input 38 2 4 2 2" xfId="14488" xr:uid="{00000000-0005-0000-0000-000082380000}"/>
    <cellStyle name="Input 38 2 4 2 3" xfId="14489" xr:uid="{00000000-0005-0000-0000-000083380000}"/>
    <cellStyle name="Input 38 2 4 3" xfId="14490" xr:uid="{00000000-0005-0000-0000-000084380000}"/>
    <cellStyle name="Input 38 2 4 4" xfId="14491" xr:uid="{00000000-0005-0000-0000-000085380000}"/>
    <cellStyle name="Input 38 2 5" xfId="14492" xr:uid="{00000000-0005-0000-0000-000086380000}"/>
    <cellStyle name="Input 38 2 5 2" xfId="14493" xr:uid="{00000000-0005-0000-0000-000087380000}"/>
    <cellStyle name="Input 38 2 5 2 2" xfId="14494" xr:uid="{00000000-0005-0000-0000-000088380000}"/>
    <cellStyle name="Input 38 2 5 2 3" xfId="14495" xr:uid="{00000000-0005-0000-0000-000089380000}"/>
    <cellStyle name="Input 38 2 5 3" xfId="14496" xr:uid="{00000000-0005-0000-0000-00008A380000}"/>
    <cellStyle name="Input 38 2 5 4" xfId="14497" xr:uid="{00000000-0005-0000-0000-00008B380000}"/>
    <cellStyle name="Input 38 2 6" xfId="14498" xr:uid="{00000000-0005-0000-0000-00008C380000}"/>
    <cellStyle name="Input 38 2 6 2" xfId="14499" xr:uid="{00000000-0005-0000-0000-00008D380000}"/>
    <cellStyle name="Input 38 2 6 2 2" xfId="14500" xr:uid="{00000000-0005-0000-0000-00008E380000}"/>
    <cellStyle name="Input 38 2 6 2 3" xfId="14501" xr:uid="{00000000-0005-0000-0000-00008F380000}"/>
    <cellStyle name="Input 38 2 6 3" xfId="14502" xr:uid="{00000000-0005-0000-0000-000090380000}"/>
    <cellStyle name="Input 38 2 6 4" xfId="14503" xr:uid="{00000000-0005-0000-0000-000091380000}"/>
    <cellStyle name="Input 38 2 7" xfId="14504" xr:uid="{00000000-0005-0000-0000-000092380000}"/>
    <cellStyle name="Input 38 2 7 2" xfId="14505" xr:uid="{00000000-0005-0000-0000-000093380000}"/>
    <cellStyle name="Input 38 2 7 2 2" xfId="14506" xr:uid="{00000000-0005-0000-0000-000094380000}"/>
    <cellStyle name="Input 38 2 7 2 3" xfId="14507" xr:uid="{00000000-0005-0000-0000-000095380000}"/>
    <cellStyle name="Input 38 2 7 3" xfId="14508" xr:uid="{00000000-0005-0000-0000-000096380000}"/>
    <cellStyle name="Input 38 2 7 4" xfId="14509" xr:uid="{00000000-0005-0000-0000-000097380000}"/>
    <cellStyle name="Input 38 2 8" xfId="14510" xr:uid="{00000000-0005-0000-0000-000098380000}"/>
    <cellStyle name="Input 38 2 8 2" xfId="14511" xr:uid="{00000000-0005-0000-0000-000099380000}"/>
    <cellStyle name="Input 38 2 8 2 2" xfId="14512" xr:uid="{00000000-0005-0000-0000-00009A380000}"/>
    <cellStyle name="Input 38 2 8 2 3" xfId="14513" xr:uid="{00000000-0005-0000-0000-00009B380000}"/>
    <cellStyle name="Input 38 2 8 3" xfId="14514" xr:uid="{00000000-0005-0000-0000-00009C380000}"/>
    <cellStyle name="Input 38 2 8 4" xfId="14515" xr:uid="{00000000-0005-0000-0000-00009D380000}"/>
    <cellStyle name="Input 38 2 9" xfId="14516" xr:uid="{00000000-0005-0000-0000-00009E380000}"/>
    <cellStyle name="Input 38 2 9 2" xfId="14517" xr:uid="{00000000-0005-0000-0000-00009F380000}"/>
    <cellStyle name="Input 38 2 9 2 2" xfId="14518" xr:uid="{00000000-0005-0000-0000-0000A0380000}"/>
    <cellStyle name="Input 38 2 9 2 3" xfId="14519" xr:uid="{00000000-0005-0000-0000-0000A1380000}"/>
    <cellStyle name="Input 38 2 9 3" xfId="14520" xr:uid="{00000000-0005-0000-0000-0000A2380000}"/>
    <cellStyle name="Input 38 2 9 4" xfId="14521" xr:uid="{00000000-0005-0000-0000-0000A3380000}"/>
    <cellStyle name="Input 38 3" xfId="14522" xr:uid="{00000000-0005-0000-0000-0000A4380000}"/>
    <cellStyle name="Input 38 3 2" xfId="14523" xr:uid="{00000000-0005-0000-0000-0000A5380000}"/>
    <cellStyle name="Input 38 3 2 2" xfId="14524" xr:uid="{00000000-0005-0000-0000-0000A6380000}"/>
    <cellStyle name="Input 38 3 2 3" xfId="14525" xr:uid="{00000000-0005-0000-0000-0000A7380000}"/>
    <cellStyle name="Input 38 3 3" xfId="14526" xr:uid="{00000000-0005-0000-0000-0000A8380000}"/>
    <cellStyle name="Input 38 3 4" xfId="14527" xr:uid="{00000000-0005-0000-0000-0000A9380000}"/>
    <cellStyle name="Input 38 4" xfId="14528" xr:uid="{00000000-0005-0000-0000-0000AA380000}"/>
    <cellStyle name="Input 38 5" xfId="14529" xr:uid="{00000000-0005-0000-0000-0000AB380000}"/>
    <cellStyle name="Input 39" xfId="14530" xr:uid="{00000000-0005-0000-0000-0000AC380000}"/>
    <cellStyle name="Input 39 2" xfId="14531" xr:uid="{00000000-0005-0000-0000-0000AD380000}"/>
    <cellStyle name="Input 39 2 10" xfId="14532" xr:uid="{00000000-0005-0000-0000-0000AE380000}"/>
    <cellStyle name="Input 39 2 10 2" xfId="14533" xr:uid="{00000000-0005-0000-0000-0000AF380000}"/>
    <cellStyle name="Input 39 2 10 2 2" xfId="14534" xr:uid="{00000000-0005-0000-0000-0000B0380000}"/>
    <cellStyle name="Input 39 2 10 2 3" xfId="14535" xr:uid="{00000000-0005-0000-0000-0000B1380000}"/>
    <cellStyle name="Input 39 2 10 3" xfId="14536" xr:uid="{00000000-0005-0000-0000-0000B2380000}"/>
    <cellStyle name="Input 39 2 10 4" xfId="14537" xr:uid="{00000000-0005-0000-0000-0000B3380000}"/>
    <cellStyle name="Input 39 2 11" xfId="14538" xr:uid="{00000000-0005-0000-0000-0000B4380000}"/>
    <cellStyle name="Input 39 2 11 2" xfId="14539" xr:uid="{00000000-0005-0000-0000-0000B5380000}"/>
    <cellStyle name="Input 39 2 11 2 2" xfId="14540" xr:uid="{00000000-0005-0000-0000-0000B6380000}"/>
    <cellStyle name="Input 39 2 11 2 3" xfId="14541" xr:uid="{00000000-0005-0000-0000-0000B7380000}"/>
    <cellStyle name="Input 39 2 11 3" xfId="14542" xr:uid="{00000000-0005-0000-0000-0000B8380000}"/>
    <cellStyle name="Input 39 2 11 4" xfId="14543" xr:uid="{00000000-0005-0000-0000-0000B9380000}"/>
    <cellStyle name="Input 39 2 12" xfId="14544" xr:uid="{00000000-0005-0000-0000-0000BA380000}"/>
    <cellStyle name="Input 39 2 12 2" xfId="14545" xr:uid="{00000000-0005-0000-0000-0000BB380000}"/>
    <cellStyle name="Input 39 2 12 2 2" xfId="14546" xr:uid="{00000000-0005-0000-0000-0000BC380000}"/>
    <cellStyle name="Input 39 2 12 2 3" xfId="14547" xr:uid="{00000000-0005-0000-0000-0000BD380000}"/>
    <cellStyle name="Input 39 2 12 3" xfId="14548" xr:uid="{00000000-0005-0000-0000-0000BE380000}"/>
    <cellStyle name="Input 39 2 12 4" xfId="14549" xr:uid="{00000000-0005-0000-0000-0000BF380000}"/>
    <cellStyle name="Input 39 2 13" xfId="14550" xr:uid="{00000000-0005-0000-0000-0000C0380000}"/>
    <cellStyle name="Input 39 2 13 2" xfId="14551" xr:uid="{00000000-0005-0000-0000-0000C1380000}"/>
    <cellStyle name="Input 39 2 13 2 2" xfId="14552" xr:uid="{00000000-0005-0000-0000-0000C2380000}"/>
    <cellStyle name="Input 39 2 13 2 3" xfId="14553" xr:uid="{00000000-0005-0000-0000-0000C3380000}"/>
    <cellStyle name="Input 39 2 13 3" xfId="14554" xr:uid="{00000000-0005-0000-0000-0000C4380000}"/>
    <cellStyle name="Input 39 2 13 4" xfId="14555" xr:uid="{00000000-0005-0000-0000-0000C5380000}"/>
    <cellStyle name="Input 39 2 14" xfId="14556" xr:uid="{00000000-0005-0000-0000-0000C6380000}"/>
    <cellStyle name="Input 39 2 14 2" xfId="14557" xr:uid="{00000000-0005-0000-0000-0000C7380000}"/>
    <cellStyle name="Input 39 2 14 2 2" xfId="14558" xr:uid="{00000000-0005-0000-0000-0000C8380000}"/>
    <cellStyle name="Input 39 2 14 2 3" xfId="14559" xr:uid="{00000000-0005-0000-0000-0000C9380000}"/>
    <cellStyle name="Input 39 2 14 3" xfId="14560" xr:uid="{00000000-0005-0000-0000-0000CA380000}"/>
    <cellStyle name="Input 39 2 14 4" xfId="14561" xr:uid="{00000000-0005-0000-0000-0000CB380000}"/>
    <cellStyle name="Input 39 2 15" xfId="14562" xr:uid="{00000000-0005-0000-0000-0000CC380000}"/>
    <cellStyle name="Input 39 2 15 2" xfId="14563" xr:uid="{00000000-0005-0000-0000-0000CD380000}"/>
    <cellStyle name="Input 39 2 15 2 2" xfId="14564" xr:uid="{00000000-0005-0000-0000-0000CE380000}"/>
    <cellStyle name="Input 39 2 15 2 3" xfId="14565" xr:uid="{00000000-0005-0000-0000-0000CF380000}"/>
    <cellStyle name="Input 39 2 15 3" xfId="14566" xr:uid="{00000000-0005-0000-0000-0000D0380000}"/>
    <cellStyle name="Input 39 2 15 4" xfId="14567" xr:uid="{00000000-0005-0000-0000-0000D1380000}"/>
    <cellStyle name="Input 39 2 16" xfId="14568" xr:uid="{00000000-0005-0000-0000-0000D2380000}"/>
    <cellStyle name="Input 39 2 16 2" xfId="14569" xr:uid="{00000000-0005-0000-0000-0000D3380000}"/>
    <cellStyle name="Input 39 2 16 2 2" xfId="14570" xr:uid="{00000000-0005-0000-0000-0000D4380000}"/>
    <cellStyle name="Input 39 2 16 2 3" xfId="14571" xr:uid="{00000000-0005-0000-0000-0000D5380000}"/>
    <cellStyle name="Input 39 2 16 3" xfId="14572" xr:uid="{00000000-0005-0000-0000-0000D6380000}"/>
    <cellStyle name="Input 39 2 16 4" xfId="14573" xr:uid="{00000000-0005-0000-0000-0000D7380000}"/>
    <cellStyle name="Input 39 2 17" xfId="14574" xr:uid="{00000000-0005-0000-0000-0000D8380000}"/>
    <cellStyle name="Input 39 2 17 2" xfId="14575" xr:uid="{00000000-0005-0000-0000-0000D9380000}"/>
    <cellStyle name="Input 39 2 17 2 2" xfId="14576" xr:uid="{00000000-0005-0000-0000-0000DA380000}"/>
    <cellStyle name="Input 39 2 17 2 3" xfId="14577" xr:uid="{00000000-0005-0000-0000-0000DB380000}"/>
    <cellStyle name="Input 39 2 17 3" xfId="14578" xr:uid="{00000000-0005-0000-0000-0000DC380000}"/>
    <cellStyle name="Input 39 2 17 4" xfId="14579" xr:uid="{00000000-0005-0000-0000-0000DD380000}"/>
    <cellStyle name="Input 39 2 18" xfId="14580" xr:uid="{00000000-0005-0000-0000-0000DE380000}"/>
    <cellStyle name="Input 39 2 18 2" xfId="14581" xr:uid="{00000000-0005-0000-0000-0000DF380000}"/>
    <cellStyle name="Input 39 2 18 3" xfId="14582" xr:uid="{00000000-0005-0000-0000-0000E0380000}"/>
    <cellStyle name="Input 39 2 18 4" xfId="14583" xr:uid="{00000000-0005-0000-0000-0000E1380000}"/>
    <cellStyle name="Input 39 2 19" xfId="14584" xr:uid="{00000000-0005-0000-0000-0000E2380000}"/>
    <cellStyle name="Input 39 2 2" xfId="14585" xr:uid="{00000000-0005-0000-0000-0000E3380000}"/>
    <cellStyle name="Input 39 2 2 2" xfId="14586" xr:uid="{00000000-0005-0000-0000-0000E4380000}"/>
    <cellStyle name="Input 39 2 2 2 2" xfId="14587" xr:uid="{00000000-0005-0000-0000-0000E5380000}"/>
    <cellStyle name="Input 39 2 2 2 3" xfId="14588" xr:uid="{00000000-0005-0000-0000-0000E6380000}"/>
    <cellStyle name="Input 39 2 2 3" xfId="14589" xr:uid="{00000000-0005-0000-0000-0000E7380000}"/>
    <cellStyle name="Input 39 2 2 4" xfId="14590" xr:uid="{00000000-0005-0000-0000-0000E8380000}"/>
    <cellStyle name="Input 39 2 20" xfId="14591" xr:uid="{00000000-0005-0000-0000-0000E9380000}"/>
    <cellStyle name="Input 39 2 21" xfId="14592" xr:uid="{00000000-0005-0000-0000-0000EA380000}"/>
    <cellStyle name="Input 39 2 3" xfId="14593" xr:uid="{00000000-0005-0000-0000-0000EB380000}"/>
    <cellStyle name="Input 39 2 3 2" xfId="14594" xr:uid="{00000000-0005-0000-0000-0000EC380000}"/>
    <cellStyle name="Input 39 2 3 2 2" xfId="14595" xr:uid="{00000000-0005-0000-0000-0000ED380000}"/>
    <cellStyle name="Input 39 2 3 2 3" xfId="14596" xr:uid="{00000000-0005-0000-0000-0000EE380000}"/>
    <cellStyle name="Input 39 2 3 3" xfId="14597" xr:uid="{00000000-0005-0000-0000-0000EF380000}"/>
    <cellStyle name="Input 39 2 3 4" xfId="14598" xr:uid="{00000000-0005-0000-0000-0000F0380000}"/>
    <cellStyle name="Input 39 2 4" xfId="14599" xr:uid="{00000000-0005-0000-0000-0000F1380000}"/>
    <cellStyle name="Input 39 2 4 2" xfId="14600" xr:uid="{00000000-0005-0000-0000-0000F2380000}"/>
    <cellStyle name="Input 39 2 4 2 2" xfId="14601" xr:uid="{00000000-0005-0000-0000-0000F3380000}"/>
    <cellStyle name="Input 39 2 4 2 3" xfId="14602" xr:uid="{00000000-0005-0000-0000-0000F4380000}"/>
    <cellStyle name="Input 39 2 4 3" xfId="14603" xr:uid="{00000000-0005-0000-0000-0000F5380000}"/>
    <cellStyle name="Input 39 2 4 4" xfId="14604" xr:uid="{00000000-0005-0000-0000-0000F6380000}"/>
    <cellStyle name="Input 39 2 5" xfId="14605" xr:uid="{00000000-0005-0000-0000-0000F7380000}"/>
    <cellStyle name="Input 39 2 5 2" xfId="14606" xr:uid="{00000000-0005-0000-0000-0000F8380000}"/>
    <cellStyle name="Input 39 2 5 2 2" xfId="14607" xr:uid="{00000000-0005-0000-0000-0000F9380000}"/>
    <cellStyle name="Input 39 2 5 2 3" xfId="14608" xr:uid="{00000000-0005-0000-0000-0000FA380000}"/>
    <cellStyle name="Input 39 2 5 3" xfId="14609" xr:uid="{00000000-0005-0000-0000-0000FB380000}"/>
    <cellStyle name="Input 39 2 5 4" xfId="14610" xr:uid="{00000000-0005-0000-0000-0000FC380000}"/>
    <cellStyle name="Input 39 2 6" xfId="14611" xr:uid="{00000000-0005-0000-0000-0000FD380000}"/>
    <cellStyle name="Input 39 2 6 2" xfId="14612" xr:uid="{00000000-0005-0000-0000-0000FE380000}"/>
    <cellStyle name="Input 39 2 6 2 2" xfId="14613" xr:uid="{00000000-0005-0000-0000-0000FF380000}"/>
    <cellStyle name="Input 39 2 6 2 3" xfId="14614" xr:uid="{00000000-0005-0000-0000-000000390000}"/>
    <cellStyle name="Input 39 2 6 3" xfId="14615" xr:uid="{00000000-0005-0000-0000-000001390000}"/>
    <cellStyle name="Input 39 2 6 4" xfId="14616" xr:uid="{00000000-0005-0000-0000-000002390000}"/>
    <cellStyle name="Input 39 2 7" xfId="14617" xr:uid="{00000000-0005-0000-0000-000003390000}"/>
    <cellStyle name="Input 39 2 7 2" xfId="14618" xr:uid="{00000000-0005-0000-0000-000004390000}"/>
    <cellStyle name="Input 39 2 7 2 2" xfId="14619" xr:uid="{00000000-0005-0000-0000-000005390000}"/>
    <cellStyle name="Input 39 2 7 2 3" xfId="14620" xr:uid="{00000000-0005-0000-0000-000006390000}"/>
    <cellStyle name="Input 39 2 7 3" xfId="14621" xr:uid="{00000000-0005-0000-0000-000007390000}"/>
    <cellStyle name="Input 39 2 7 4" xfId="14622" xr:uid="{00000000-0005-0000-0000-000008390000}"/>
    <cellStyle name="Input 39 2 8" xfId="14623" xr:uid="{00000000-0005-0000-0000-000009390000}"/>
    <cellStyle name="Input 39 2 8 2" xfId="14624" xr:uid="{00000000-0005-0000-0000-00000A390000}"/>
    <cellStyle name="Input 39 2 8 2 2" xfId="14625" xr:uid="{00000000-0005-0000-0000-00000B390000}"/>
    <cellStyle name="Input 39 2 8 2 3" xfId="14626" xr:uid="{00000000-0005-0000-0000-00000C390000}"/>
    <cellStyle name="Input 39 2 8 3" xfId="14627" xr:uid="{00000000-0005-0000-0000-00000D390000}"/>
    <cellStyle name="Input 39 2 8 4" xfId="14628" xr:uid="{00000000-0005-0000-0000-00000E390000}"/>
    <cellStyle name="Input 39 2 9" xfId="14629" xr:uid="{00000000-0005-0000-0000-00000F390000}"/>
    <cellStyle name="Input 39 2 9 2" xfId="14630" xr:uid="{00000000-0005-0000-0000-000010390000}"/>
    <cellStyle name="Input 39 2 9 2 2" xfId="14631" xr:uid="{00000000-0005-0000-0000-000011390000}"/>
    <cellStyle name="Input 39 2 9 2 3" xfId="14632" xr:uid="{00000000-0005-0000-0000-000012390000}"/>
    <cellStyle name="Input 39 2 9 3" xfId="14633" xr:uid="{00000000-0005-0000-0000-000013390000}"/>
    <cellStyle name="Input 39 2 9 4" xfId="14634" xr:uid="{00000000-0005-0000-0000-000014390000}"/>
    <cellStyle name="Input 39 3" xfId="14635" xr:uid="{00000000-0005-0000-0000-000015390000}"/>
    <cellStyle name="Input 39 3 2" xfId="14636" xr:uid="{00000000-0005-0000-0000-000016390000}"/>
    <cellStyle name="Input 39 3 2 2" xfId="14637" xr:uid="{00000000-0005-0000-0000-000017390000}"/>
    <cellStyle name="Input 39 3 2 3" xfId="14638" xr:uid="{00000000-0005-0000-0000-000018390000}"/>
    <cellStyle name="Input 39 3 3" xfId="14639" xr:uid="{00000000-0005-0000-0000-000019390000}"/>
    <cellStyle name="Input 39 3 4" xfId="14640" xr:uid="{00000000-0005-0000-0000-00001A390000}"/>
    <cellStyle name="Input 39 4" xfId="14641" xr:uid="{00000000-0005-0000-0000-00001B390000}"/>
    <cellStyle name="Input 39 5" xfId="14642" xr:uid="{00000000-0005-0000-0000-00001C390000}"/>
    <cellStyle name="Input 4" xfId="14643" xr:uid="{00000000-0005-0000-0000-00001D390000}"/>
    <cellStyle name="Input 4 2" xfId="14644" xr:uid="{00000000-0005-0000-0000-00001E390000}"/>
    <cellStyle name="Input 4 2 10" xfId="14645" xr:uid="{00000000-0005-0000-0000-00001F390000}"/>
    <cellStyle name="Input 4 2 10 2" xfId="14646" xr:uid="{00000000-0005-0000-0000-000020390000}"/>
    <cellStyle name="Input 4 2 10 2 2" xfId="14647" xr:uid="{00000000-0005-0000-0000-000021390000}"/>
    <cellStyle name="Input 4 2 10 2 3" xfId="14648" xr:uid="{00000000-0005-0000-0000-000022390000}"/>
    <cellStyle name="Input 4 2 10 3" xfId="14649" xr:uid="{00000000-0005-0000-0000-000023390000}"/>
    <cellStyle name="Input 4 2 10 4" xfId="14650" xr:uid="{00000000-0005-0000-0000-000024390000}"/>
    <cellStyle name="Input 4 2 11" xfId="14651" xr:uid="{00000000-0005-0000-0000-000025390000}"/>
    <cellStyle name="Input 4 2 11 2" xfId="14652" xr:uid="{00000000-0005-0000-0000-000026390000}"/>
    <cellStyle name="Input 4 2 11 2 2" xfId="14653" xr:uid="{00000000-0005-0000-0000-000027390000}"/>
    <cellStyle name="Input 4 2 11 2 3" xfId="14654" xr:uid="{00000000-0005-0000-0000-000028390000}"/>
    <cellStyle name="Input 4 2 11 3" xfId="14655" xr:uid="{00000000-0005-0000-0000-000029390000}"/>
    <cellStyle name="Input 4 2 11 4" xfId="14656" xr:uid="{00000000-0005-0000-0000-00002A390000}"/>
    <cellStyle name="Input 4 2 12" xfId="14657" xr:uid="{00000000-0005-0000-0000-00002B390000}"/>
    <cellStyle name="Input 4 2 12 2" xfId="14658" xr:uid="{00000000-0005-0000-0000-00002C390000}"/>
    <cellStyle name="Input 4 2 12 2 2" xfId="14659" xr:uid="{00000000-0005-0000-0000-00002D390000}"/>
    <cellStyle name="Input 4 2 12 2 3" xfId="14660" xr:uid="{00000000-0005-0000-0000-00002E390000}"/>
    <cellStyle name="Input 4 2 12 3" xfId="14661" xr:uid="{00000000-0005-0000-0000-00002F390000}"/>
    <cellStyle name="Input 4 2 12 4" xfId="14662" xr:uid="{00000000-0005-0000-0000-000030390000}"/>
    <cellStyle name="Input 4 2 13" xfId="14663" xr:uid="{00000000-0005-0000-0000-000031390000}"/>
    <cellStyle name="Input 4 2 13 2" xfId="14664" xr:uid="{00000000-0005-0000-0000-000032390000}"/>
    <cellStyle name="Input 4 2 13 2 2" xfId="14665" xr:uid="{00000000-0005-0000-0000-000033390000}"/>
    <cellStyle name="Input 4 2 13 2 3" xfId="14666" xr:uid="{00000000-0005-0000-0000-000034390000}"/>
    <cellStyle name="Input 4 2 13 3" xfId="14667" xr:uid="{00000000-0005-0000-0000-000035390000}"/>
    <cellStyle name="Input 4 2 13 4" xfId="14668" xr:uid="{00000000-0005-0000-0000-000036390000}"/>
    <cellStyle name="Input 4 2 14" xfId="14669" xr:uid="{00000000-0005-0000-0000-000037390000}"/>
    <cellStyle name="Input 4 2 14 2" xfId="14670" xr:uid="{00000000-0005-0000-0000-000038390000}"/>
    <cellStyle name="Input 4 2 14 2 2" xfId="14671" xr:uid="{00000000-0005-0000-0000-000039390000}"/>
    <cellStyle name="Input 4 2 14 2 3" xfId="14672" xr:uid="{00000000-0005-0000-0000-00003A390000}"/>
    <cellStyle name="Input 4 2 14 3" xfId="14673" xr:uid="{00000000-0005-0000-0000-00003B390000}"/>
    <cellStyle name="Input 4 2 14 4" xfId="14674" xr:uid="{00000000-0005-0000-0000-00003C390000}"/>
    <cellStyle name="Input 4 2 15" xfId="14675" xr:uid="{00000000-0005-0000-0000-00003D390000}"/>
    <cellStyle name="Input 4 2 15 2" xfId="14676" xr:uid="{00000000-0005-0000-0000-00003E390000}"/>
    <cellStyle name="Input 4 2 15 2 2" xfId="14677" xr:uid="{00000000-0005-0000-0000-00003F390000}"/>
    <cellStyle name="Input 4 2 15 2 3" xfId="14678" xr:uid="{00000000-0005-0000-0000-000040390000}"/>
    <cellStyle name="Input 4 2 15 3" xfId="14679" xr:uid="{00000000-0005-0000-0000-000041390000}"/>
    <cellStyle name="Input 4 2 15 4" xfId="14680" xr:uid="{00000000-0005-0000-0000-000042390000}"/>
    <cellStyle name="Input 4 2 16" xfId="14681" xr:uid="{00000000-0005-0000-0000-000043390000}"/>
    <cellStyle name="Input 4 2 16 2" xfId="14682" xr:uid="{00000000-0005-0000-0000-000044390000}"/>
    <cellStyle name="Input 4 2 16 2 2" xfId="14683" xr:uid="{00000000-0005-0000-0000-000045390000}"/>
    <cellStyle name="Input 4 2 16 2 3" xfId="14684" xr:uid="{00000000-0005-0000-0000-000046390000}"/>
    <cellStyle name="Input 4 2 16 3" xfId="14685" xr:uid="{00000000-0005-0000-0000-000047390000}"/>
    <cellStyle name="Input 4 2 16 4" xfId="14686" xr:uid="{00000000-0005-0000-0000-000048390000}"/>
    <cellStyle name="Input 4 2 17" xfId="14687" xr:uid="{00000000-0005-0000-0000-000049390000}"/>
    <cellStyle name="Input 4 2 17 2" xfId="14688" xr:uid="{00000000-0005-0000-0000-00004A390000}"/>
    <cellStyle name="Input 4 2 17 2 2" xfId="14689" xr:uid="{00000000-0005-0000-0000-00004B390000}"/>
    <cellStyle name="Input 4 2 17 2 3" xfId="14690" xr:uid="{00000000-0005-0000-0000-00004C390000}"/>
    <cellStyle name="Input 4 2 17 3" xfId="14691" xr:uid="{00000000-0005-0000-0000-00004D390000}"/>
    <cellStyle name="Input 4 2 17 4" xfId="14692" xr:uid="{00000000-0005-0000-0000-00004E390000}"/>
    <cellStyle name="Input 4 2 18" xfId="14693" xr:uid="{00000000-0005-0000-0000-00004F390000}"/>
    <cellStyle name="Input 4 2 18 2" xfId="14694" xr:uid="{00000000-0005-0000-0000-000050390000}"/>
    <cellStyle name="Input 4 2 18 3" xfId="14695" xr:uid="{00000000-0005-0000-0000-000051390000}"/>
    <cellStyle name="Input 4 2 18 4" xfId="14696" xr:uid="{00000000-0005-0000-0000-000052390000}"/>
    <cellStyle name="Input 4 2 19" xfId="14697" xr:uid="{00000000-0005-0000-0000-000053390000}"/>
    <cellStyle name="Input 4 2 2" xfId="14698" xr:uid="{00000000-0005-0000-0000-000054390000}"/>
    <cellStyle name="Input 4 2 2 2" xfId="14699" xr:uid="{00000000-0005-0000-0000-000055390000}"/>
    <cellStyle name="Input 4 2 2 2 2" xfId="14700" xr:uid="{00000000-0005-0000-0000-000056390000}"/>
    <cellStyle name="Input 4 2 2 2 3" xfId="14701" xr:uid="{00000000-0005-0000-0000-000057390000}"/>
    <cellStyle name="Input 4 2 2 3" xfId="14702" xr:uid="{00000000-0005-0000-0000-000058390000}"/>
    <cellStyle name="Input 4 2 2 4" xfId="14703" xr:uid="{00000000-0005-0000-0000-000059390000}"/>
    <cellStyle name="Input 4 2 20" xfId="14704" xr:uid="{00000000-0005-0000-0000-00005A390000}"/>
    <cellStyle name="Input 4 2 21" xfId="14705" xr:uid="{00000000-0005-0000-0000-00005B390000}"/>
    <cellStyle name="Input 4 2 3" xfId="14706" xr:uid="{00000000-0005-0000-0000-00005C390000}"/>
    <cellStyle name="Input 4 2 3 2" xfId="14707" xr:uid="{00000000-0005-0000-0000-00005D390000}"/>
    <cellStyle name="Input 4 2 3 2 2" xfId="14708" xr:uid="{00000000-0005-0000-0000-00005E390000}"/>
    <cellStyle name="Input 4 2 3 2 3" xfId="14709" xr:uid="{00000000-0005-0000-0000-00005F390000}"/>
    <cellStyle name="Input 4 2 3 3" xfId="14710" xr:uid="{00000000-0005-0000-0000-000060390000}"/>
    <cellStyle name="Input 4 2 3 4" xfId="14711" xr:uid="{00000000-0005-0000-0000-000061390000}"/>
    <cellStyle name="Input 4 2 4" xfId="14712" xr:uid="{00000000-0005-0000-0000-000062390000}"/>
    <cellStyle name="Input 4 2 4 2" xfId="14713" xr:uid="{00000000-0005-0000-0000-000063390000}"/>
    <cellStyle name="Input 4 2 4 2 2" xfId="14714" xr:uid="{00000000-0005-0000-0000-000064390000}"/>
    <cellStyle name="Input 4 2 4 2 3" xfId="14715" xr:uid="{00000000-0005-0000-0000-000065390000}"/>
    <cellStyle name="Input 4 2 4 3" xfId="14716" xr:uid="{00000000-0005-0000-0000-000066390000}"/>
    <cellStyle name="Input 4 2 4 4" xfId="14717" xr:uid="{00000000-0005-0000-0000-000067390000}"/>
    <cellStyle name="Input 4 2 5" xfId="14718" xr:uid="{00000000-0005-0000-0000-000068390000}"/>
    <cellStyle name="Input 4 2 5 2" xfId="14719" xr:uid="{00000000-0005-0000-0000-000069390000}"/>
    <cellStyle name="Input 4 2 5 2 2" xfId="14720" xr:uid="{00000000-0005-0000-0000-00006A390000}"/>
    <cellStyle name="Input 4 2 5 2 3" xfId="14721" xr:uid="{00000000-0005-0000-0000-00006B390000}"/>
    <cellStyle name="Input 4 2 5 3" xfId="14722" xr:uid="{00000000-0005-0000-0000-00006C390000}"/>
    <cellStyle name="Input 4 2 5 4" xfId="14723" xr:uid="{00000000-0005-0000-0000-00006D390000}"/>
    <cellStyle name="Input 4 2 6" xfId="14724" xr:uid="{00000000-0005-0000-0000-00006E390000}"/>
    <cellStyle name="Input 4 2 6 2" xfId="14725" xr:uid="{00000000-0005-0000-0000-00006F390000}"/>
    <cellStyle name="Input 4 2 6 2 2" xfId="14726" xr:uid="{00000000-0005-0000-0000-000070390000}"/>
    <cellStyle name="Input 4 2 6 2 3" xfId="14727" xr:uid="{00000000-0005-0000-0000-000071390000}"/>
    <cellStyle name="Input 4 2 6 3" xfId="14728" xr:uid="{00000000-0005-0000-0000-000072390000}"/>
    <cellStyle name="Input 4 2 6 4" xfId="14729" xr:uid="{00000000-0005-0000-0000-000073390000}"/>
    <cellStyle name="Input 4 2 7" xfId="14730" xr:uid="{00000000-0005-0000-0000-000074390000}"/>
    <cellStyle name="Input 4 2 7 2" xfId="14731" xr:uid="{00000000-0005-0000-0000-000075390000}"/>
    <cellStyle name="Input 4 2 7 2 2" xfId="14732" xr:uid="{00000000-0005-0000-0000-000076390000}"/>
    <cellStyle name="Input 4 2 7 2 3" xfId="14733" xr:uid="{00000000-0005-0000-0000-000077390000}"/>
    <cellStyle name="Input 4 2 7 3" xfId="14734" xr:uid="{00000000-0005-0000-0000-000078390000}"/>
    <cellStyle name="Input 4 2 7 4" xfId="14735" xr:uid="{00000000-0005-0000-0000-000079390000}"/>
    <cellStyle name="Input 4 2 8" xfId="14736" xr:uid="{00000000-0005-0000-0000-00007A390000}"/>
    <cellStyle name="Input 4 2 8 2" xfId="14737" xr:uid="{00000000-0005-0000-0000-00007B390000}"/>
    <cellStyle name="Input 4 2 8 2 2" xfId="14738" xr:uid="{00000000-0005-0000-0000-00007C390000}"/>
    <cellStyle name="Input 4 2 8 2 3" xfId="14739" xr:uid="{00000000-0005-0000-0000-00007D390000}"/>
    <cellStyle name="Input 4 2 8 3" xfId="14740" xr:uid="{00000000-0005-0000-0000-00007E390000}"/>
    <cellStyle name="Input 4 2 8 4" xfId="14741" xr:uid="{00000000-0005-0000-0000-00007F390000}"/>
    <cellStyle name="Input 4 2 9" xfId="14742" xr:uid="{00000000-0005-0000-0000-000080390000}"/>
    <cellStyle name="Input 4 2 9 2" xfId="14743" xr:uid="{00000000-0005-0000-0000-000081390000}"/>
    <cellStyle name="Input 4 2 9 2 2" xfId="14744" xr:uid="{00000000-0005-0000-0000-000082390000}"/>
    <cellStyle name="Input 4 2 9 2 3" xfId="14745" xr:uid="{00000000-0005-0000-0000-000083390000}"/>
    <cellStyle name="Input 4 2 9 3" xfId="14746" xr:uid="{00000000-0005-0000-0000-000084390000}"/>
    <cellStyle name="Input 4 2 9 4" xfId="14747" xr:uid="{00000000-0005-0000-0000-000085390000}"/>
    <cellStyle name="Input 4 3" xfId="14748" xr:uid="{00000000-0005-0000-0000-000086390000}"/>
    <cellStyle name="Input 4 3 2" xfId="14749" xr:uid="{00000000-0005-0000-0000-000087390000}"/>
    <cellStyle name="Input 4 3 2 2" xfId="14750" xr:uid="{00000000-0005-0000-0000-000088390000}"/>
    <cellStyle name="Input 4 3 2 3" xfId="14751" xr:uid="{00000000-0005-0000-0000-000089390000}"/>
    <cellStyle name="Input 4 3 3" xfId="14752" xr:uid="{00000000-0005-0000-0000-00008A390000}"/>
    <cellStyle name="Input 4 3 4" xfId="14753" xr:uid="{00000000-0005-0000-0000-00008B390000}"/>
    <cellStyle name="Input 4 4" xfId="14754" xr:uid="{00000000-0005-0000-0000-00008C390000}"/>
    <cellStyle name="Input 4 5" xfId="14755" xr:uid="{00000000-0005-0000-0000-00008D390000}"/>
    <cellStyle name="Input 40" xfId="14756" xr:uid="{00000000-0005-0000-0000-00008E390000}"/>
    <cellStyle name="Input 40 2" xfId="14757" xr:uid="{00000000-0005-0000-0000-00008F390000}"/>
    <cellStyle name="Input 40 2 10" xfId="14758" xr:uid="{00000000-0005-0000-0000-000090390000}"/>
    <cellStyle name="Input 40 2 10 2" xfId="14759" xr:uid="{00000000-0005-0000-0000-000091390000}"/>
    <cellStyle name="Input 40 2 10 2 2" xfId="14760" xr:uid="{00000000-0005-0000-0000-000092390000}"/>
    <cellStyle name="Input 40 2 10 2 3" xfId="14761" xr:uid="{00000000-0005-0000-0000-000093390000}"/>
    <cellStyle name="Input 40 2 10 3" xfId="14762" xr:uid="{00000000-0005-0000-0000-000094390000}"/>
    <cellStyle name="Input 40 2 10 4" xfId="14763" xr:uid="{00000000-0005-0000-0000-000095390000}"/>
    <cellStyle name="Input 40 2 11" xfId="14764" xr:uid="{00000000-0005-0000-0000-000096390000}"/>
    <cellStyle name="Input 40 2 11 2" xfId="14765" xr:uid="{00000000-0005-0000-0000-000097390000}"/>
    <cellStyle name="Input 40 2 11 2 2" xfId="14766" xr:uid="{00000000-0005-0000-0000-000098390000}"/>
    <cellStyle name="Input 40 2 11 2 3" xfId="14767" xr:uid="{00000000-0005-0000-0000-000099390000}"/>
    <cellStyle name="Input 40 2 11 3" xfId="14768" xr:uid="{00000000-0005-0000-0000-00009A390000}"/>
    <cellStyle name="Input 40 2 11 4" xfId="14769" xr:uid="{00000000-0005-0000-0000-00009B390000}"/>
    <cellStyle name="Input 40 2 12" xfId="14770" xr:uid="{00000000-0005-0000-0000-00009C390000}"/>
    <cellStyle name="Input 40 2 12 2" xfId="14771" xr:uid="{00000000-0005-0000-0000-00009D390000}"/>
    <cellStyle name="Input 40 2 12 2 2" xfId="14772" xr:uid="{00000000-0005-0000-0000-00009E390000}"/>
    <cellStyle name="Input 40 2 12 2 3" xfId="14773" xr:uid="{00000000-0005-0000-0000-00009F390000}"/>
    <cellStyle name="Input 40 2 12 3" xfId="14774" xr:uid="{00000000-0005-0000-0000-0000A0390000}"/>
    <cellStyle name="Input 40 2 12 4" xfId="14775" xr:uid="{00000000-0005-0000-0000-0000A1390000}"/>
    <cellStyle name="Input 40 2 13" xfId="14776" xr:uid="{00000000-0005-0000-0000-0000A2390000}"/>
    <cellStyle name="Input 40 2 13 2" xfId="14777" xr:uid="{00000000-0005-0000-0000-0000A3390000}"/>
    <cellStyle name="Input 40 2 13 2 2" xfId="14778" xr:uid="{00000000-0005-0000-0000-0000A4390000}"/>
    <cellStyle name="Input 40 2 13 2 3" xfId="14779" xr:uid="{00000000-0005-0000-0000-0000A5390000}"/>
    <cellStyle name="Input 40 2 13 3" xfId="14780" xr:uid="{00000000-0005-0000-0000-0000A6390000}"/>
    <cellStyle name="Input 40 2 13 4" xfId="14781" xr:uid="{00000000-0005-0000-0000-0000A7390000}"/>
    <cellStyle name="Input 40 2 14" xfId="14782" xr:uid="{00000000-0005-0000-0000-0000A8390000}"/>
    <cellStyle name="Input 40 2 14 2" xfId="14783" xr:uid="{00000000-0005-0000-0000-0000A9390000}"/>
    <cellStyle name="Input 40 2 14 2 2" xfId="14784" xr:uid="{00000000-0005-0000-0000-0000AA390000}"/>
    <cellStyle name="Input 40 2 14 2 3" xfId="14785" xr:uid="{00000000-0005-0000-0000-0000AB390000}"/>
    <cellStyle name="Input 40 2 14 3" xfId="14786" xr:uid="{00000000-0005-0000-0000-0000AC390000}"/>
    <cellStyle name="Input 40 2 14 4" xfId="14787" xr:uid="{00000000-0005-0000-0000-0000AD390000}"/>
    <cellStyle name="Input 40 2 15" xfId="14788" xr:uid="{00000000-0005-0000-0000-0000AE390000}"/>
    <cellStyle name="Input 40 2 15 2" xfId="14789" xr:uid="{00000000-0005-0000-0000-0000AF390000}"/>
    <cellStyle name="Input 40 2 15 2 2" xfId="14790" xr:uid="{00000000-0005-0000-0000-0000B0390000}"/>
    <cellStyle name="Input 40 2 15 2 3" xfId="14791" xr:uid="{00000000-0005-0000-0000-0000B1390000}"/>
    <cellStyle name="Input 40 2 15 3" xfId="14792" xr:uid="{00000000-0005-0000-0000-0000B2390000}"/>
    <cellStyle name="Input 40 2 15 4" xfId="14793" xr:uid="{00000000-0005-0000-0000-0000B3390000}"/>
    <cellStyle name="Input 40 2 16" xfId="14794" xr:uid="{00000000-0005-0000-0000-0000B4390000}"/>
    <cellStyle name="Input 40 2 16 2" xfId="14795" xr:uid="{00000000-0005-0000-0000-0000B5390000}"/>
    <cellStyle name="Input 40 2 16 2 2" xfId="14796" xr:uid="{00000000-0005-0000-0000-0000B6390000}"/>
    <cellStyle name="Input 40 2 16 2 3" xfId="14797" xr:uid="{00000000-0005-0000-0000-0000B7390000}"/>
    <cellStyle name="Input 40 2 16 3" xfId="14798" xr:uid="{00000000-0005-0000-0000-0000B8390000}"/>
    <cellStyle name="Input 40 2 16 4" xfId="14799" xr:uid="{00000000-0005-0000-0000-0000B9390000}"/>
    <cellStyle name="Input 40 2 17" xfId="14800" xr:uid="{00000000-0005-0000-0000-0000BA390000}"/>
    <cellStyle name="Input 40 2 17 2" xfId="14801" xr:uid="{00000000-0005-0000-0000-0000BB390000}"/>
    <cellStyle name="Input 40 2 17 2 2" xfId="14802" xr:uid="{00000000-0005-0000-0000-0000BC390000}"/>
    <cellStyle name="Input 40 2 17 2 3" xfId="14803" xr:uid="{00000000-0005-0000-0000-0000BD390000}"/>
    <cellStyle name="Input 40 2 17 3" xfId="14804" xr:uid="{00000000-0005-0000-0000-0000BE390000}"/>
    <cellStyle name="Input 40 2 17 4" xfId="14805" xr:uid="{00000000-0005-0000-0000-0000BF390000}"/>
    <cellStyle name="Input 40 2 18" xfId="14806" xr:uid="{00000000-0005-0000-0000-0000C0390000}"/>
    <cellStyle name="Input 40 2 18 2" xfId="14807" xr:uid="{00000000-0005-0000-0000-0000C1390000}"/>
    <cellStyle name="Input 40 2 18 3" xfId="14808" xr:uid="{00000000-0005-0000-0000-0000C2390000}"/>
    <cellStyle name="Input 40 2 18 4" xfId="14809" xr:uid="{00000000-0005-0000-0000-0000C3390000}"/>
    <cellStyle name="Input 40 2 19" xfId="14810" xr:uid="{00000000-0005-0000-0000-0000C4390000}"/>
    <cellStyle name="Input 40 2 2" xfId="14811" xr:uid="{00000000-0005-0000-0000-0000C5390000}"/>
    <cellStyle name="Input 40 2 2 2" xfId="14812" xr:uid="{00000000-0005-0000-0000-0000C6390000}"/>
    <cellStyle name="Input 40 2 2 2 2" xfId="14813" xr:uid="{00000000-0005-0000-0000-0000C7390000}"/>
    <cellStyle name="Input 40 2 2 2 3" xfId="14814" xr:uid="{00000000-0005-0000-0000-0000C8390000}"/>
    <cellStyle name="Input 40 2 2 3" xfId="14815" xr:uid="{00000000-0005-0000-0000-0000C9390000}"/>
    <cellStyle name="Input 40 2 2 4" xfId="14816" xr:uid="{00000000-0005-0000-0000-0000CA390000}"/>
    <cellStyle name="Input 40 2 20" xfId="14817" xr:uid="{00000000-0005-0000-0000-0000CB390000}"/>
    <cellStyle name="Input 40 2 21" xfId="14818" xr:uid="{00000000-0005-0000-0000-0000CC390000}"/>
    <cellStyle name="Input 40 2 3" xfId="14819" xr:uid="{00000000-0005-0000-0000-0000CD390000}"/>
    <cellStyle name="Input 40 2 3 2" xfId="14820" xr:uid="{00000000-0005-0000-0000-0000CE390000}"/>
    <cellStyle name="Input 40 2 3 2 2" xfId="14821" xr:uid="{00000000-0005-0000-0000-0000CF390000}"/>
    <cellStyle name="Input 40 2 3 2 3" xfId="14822" xr:uid="{00000000-0005-0000-0000-0000D0390000}"/>
    <cellStyle name="Input 40 2 3 3" xfId="14823" xr:uid="{00000000-0005-0000-0000-0000D1390000}"/>
    <cellStyle name="Input 40 2 3 4" xfId="14824" xr:uid="{00000000-0005-0000-0000-0000D2390000}"/>
    <cellStyle name="Input 40 2 4" xfId="14825" xr:uid="{00000000-0005-0000-0000-0000D3390000}"/>
    <cellStyle name="Input 40 2 4 2" xfId="14826" xr:uid="{00000000-0005-0000-0000-0000D4390000}"/>
    <cellStyle name="Input 40 2 4 2 2" xfId="14827" xr:uid="{00000000-0005-0000-0000-0000D5390000}"/>
    <cellStyle name="Input 40 2 4 2 3" xfId="14828" xr:uid="{00000000-0005-0000-0000-0000D6390000}"/>
    <cellStyle name="Input 40 2 4 3" xfId="14829" xr:uid="{00000000-0005-0000-0000-0000D7390000}"/>
    <cellStyle name="Input 40 2 4 4" xfId="14830" xr:uid="{00000000-0005-0000-0000-0000D8390000}"/>
    <cellStyle name="Input 40 2 5" xfId="14831" xr:uid="{00000000-0005-0000-0000-0000D9390000}"/>
    <cellStyle name="Input 40 2 5 2" xfId="14832" xr:uid="{00000000-0005-0000-0000-0000DA390000}"/>
    <cellStyle name="Input 40 2 5 2 2" xfId="14833" xr:uid="{00000000-0005-0000-0000-0000DB390000}"/>
    <cellStyle name="Input 40 2 5 2 3" xfId="14834" xr:uid="{00000000-0005-0000-0000-0000DC390000}"/>
    <cellStyle name="Input 40 2 5 3" xfId="14835" xr:uid="{00000000-0005-0000-0000-0000DD390000}"/>
    <cellStyle name="Input 40 2 5 4" xfId="14836" xr:uid="{00000000-0005-0000-0000-0000DE390000}"/>
    <cellStyle name="Input 40 2 6" xfId="14837" xr:uid="{00000000-0005-0000-0000-0000DF390000}"/>
    <cellStyle name="Input 40 2 6 2" xfId="14838" xr:uid="{00000000-0005-0000-0000-0000E0390000}"/>
    <cellStyle name="Input 40 2 6 2 2" xfId="14839" xr:uid="{00000000-0005-0000-0000-0000E1390000}"/>
    <cellStyle name="Input 40 2 6 2 3" xfId="14840" xr:uid="{00000000-0005-0000-0000-0000E2390000}"/>
    <cellStyle name="Input 40 2 6 3" xfId="14841" xr:uid="{00000000-0005-0000-0000-0000E3390000}"/>
    <cellStyle name="Input 40 2 6 4" xfId="14842" xr:uid="{00000000-0005-0000-0000-0000E4390000}"/>
    <cellStyle name="Input 40 2 7" xfId="14843" xr:uid="{00000000-0005-0000-0000-0000E5390000}"/>
    <cellStyle name="Input 40 2 7 2" xfId="14844" xr:uid="{00000000-0005-0000-0000-0000E6390000}"/>
    <cellStyle name="Input 40 2 7 2 2" xfId="14845" xr:uid="{00000000-0005-0000-0000-0000E7390000}"/>
    <cellStyle name="Input 40 2 7 2 3" xfId="14846" xr:uid="{00000000-0005-0000-0000-0000E8390000}"/>
    <cellStyle name="Input 40 2 7 3" xfId="14847" xr:uid="{00000000-0005-0000-0000-0000E9390000}"/>
    <cellStyle name="Input 40 2 7 4" xfId="14848" xr:uid="{00000000-0005-0000-0000-0000EA390000}"/>
    <cellStyle name="Input 40 2 8" xfId="14849" xr:uid="{00000000-0005-0000-0000-0000EB390000}"/>
    <cellStyle name="Input 40 2 8 2" xfId="14850" xr:uid="{00000000-0005-0000-0000-0000EC390000}"/>
    <cellStyle name="Input 40 2 8 2 2" xfId="14851" xr:uid="{00000000-0005-0000-0000-0000ED390000}"/>
    <cellStyle name="Input 40 2 8 2 3" xfId="14852" xr:uid="{00000000-0005-0000-0000-0000EE390000}"/>
    <cellStyle name="Input 40 2 8 3" xfId="14853" xr:uid="{00000000-0005-0000-0000-0000EF390000}"/>
    <cellStyle name="Input 40 2 8 4" xfId="14854" xr:uid="{00000000-0005-0000-0000-0000F0390000}"/>
    <cellStyle name="Input 40 2 9" xfId="14855" xr:uid="{00000000-0005-0000-0000-0000F1390000}"/>
    <cellStyle name="Input 40 2 9 2" xfId="14856" xr:uid="{00000000-0005-0000-0000-0000F2390000}"/>
    <cellStyle name="Input 40 2 9 2 2" xfId="14857" xr:uid="{00000000-0005-0000-0000-0000F3390000}"/>
    <cellStyle name="Input 40 2 9 2 3" xfId="14858" xr:uid="{00000000-0005-0000-0000-0000F4390000}"/>
    <cellStyle name="Input 40 2 9 3" xfId="14859" xr:uid="{00000000-0005-0000-0000-0000F5390000}"/>
    <cellStyle name="Input 40 2 9 4" xfId="14860" xr:uid="{00000000-0005-0000-0000-0000F6390000}"/>
    <cellStyle name="Input 40 3" xfId="14861" xr:uid="{00000000-0005-0000-0000-0000F7390000}"/>
    <cellStyle name="Input 40 3 2" xfId="14862" xr:uid="{00000000-0005-0000-0000-0000F8390000}"/>
    <cellStyle name="Input 40 3 2 2" xfId="14863" xr:uid="{00000000-0005-0000-0000-0000F9390000}"/>
    <cellStyle name="Input 40 3 2 3" xfId="14864" xr:uid="{00000000-0005-0000-0000-0000FA390000}"/>
    <cellStyle name="Input 40 3 3" xfId="14865" xr:uid="{00000000-0005-0000-0000-0000FB390000}"/>
    <cellStyle name="Input 40 3 4" xfId="14866" xr:uid="{00000000-0005-0000-0000-0000FC390000}"/>
    <cellStyle name="Input 40 4" xfId="14867" xr:uid="{00000000-0005-0000-0000-0000FD390000}"/>
    <cellStyle name="Input 40 5" xfId="14868" xr:uid="{00000000-0005-0000-0000-0000FE390000}"/>
    <cellStyle name="Input 41" xfId="14869" xr:uid="{00000000-0005-0000-0000-0000FF390000}"/>
    <cellStyle name="Input 41 2" xfId="14870" xr:uid="{00000000-0005-0000-0000-0000003A0000}"/>
    <cellStyle name="Input 41 2 10" xfId="14871" xr:uid="{00000000-0005-0000-0000-0000013A0000}"/>
    <cellStyle name="Input 41 2 10 2" xfId="14872" xr:uid="{00000000-0005-0000-0000-0000023A0000}"/>
    <cellStyle name="Input 41 2 10 2 2" xfId="14873" xr:uid="{00000000-0005-0000-0000-0000033A0000}"/>
    <cellStyle name="Input 41 2 10 2 3" xfId="14874" xr:uid="{00000000-0005-0000-0000-0000043A0000}"/>
    <cellStyle name="Input 41 2 10 3" xfId="14875" xr:uid="{00000000-0005-0000-0000-0000053A0000}"/>
    <cellStyle name="Input 41 2 10 4" xfId="14876" xr:uid="{00000000-0005-0000-0000-0000063A0000}"/>
    <cellStyle name="Input 41 2 11" xfId="14877" xr:uid="{00000000-0005-0000-0000-0000073A0000}"/>
    <cellStyle name="Input 41 2 11 2" xfId="14878" xr:uid="{00000000-0005-0000-0000-0000083A0000}"/>
    <cellStyle name="Input 41 2 11 2 2" xfId="14879" xr:uid="{00000000-0005-0000-0000-0000093A0000}"/>
    <cellStyle name="Input 41 2 11 2 3" xfId="14880" xr:uid="{00000000-0005-0000-0000-00000A3A0000}"/>
    <cellStyle name="Input 41 2 11 3" xfId="14881" xr:uid="{00000000-0005-0000-0000-00000B3A0000}"/>
    <cellStyle name="Input 41 2 11 4" xfId="14882" xr:uid="{00000000-0005-0000-0000-00000C3A0000}"/>
    <cellStyle name="Input 41 2 12" xfId="14883" xr:uid="{00000000-0005-0000-0000-00000D3A0000}"/>
    <cellStyle name="Input 41 2 12 2" xfId="14884" xr:uid="{00000000-0005-0000-0000-00000E3A0000}"/>
    <cellStyle name="Input 41 2 12 2 2" xfId="14885" xr:uid="{00000000-0005-0000-0000-00000F3A0000}"/>
    <cellStyle name="Input 41 2 12 2 3" xfId="14886" xr:uid="{00000000-0005-0000-0000-0000103A0000}"/>
    <cellStyle name="Input 41 2 12 3" xfId="14887" xr:uid="{00000000-0005-0000-0000-0000113A0000}"/>
    <cellStyle name="Input 41 2 12 4" xfId="14888" xr:uid="{00000000-0005-0000-0000-0000123A0000}"/>
    <cellStyle name="Input 41 2 13" xfId="14889" xr:uid="{00000000-0005-0000-0000-0000133A0000}"/>
    <cellStyle name="Input 41 2 13 2" xfId="14890" xr:uid="{00000000-0005-0000-0000-0000143A0000}"/>
    <cellStyle name="Input 41 2 13 2 2" xfId="14891" xr:uid="{00000000-0005-0000-0000-0000153A0000}"/>
    <cellStyle name="Input 41 2 13 2 3" xfId="14892" xr:uid="{00000000-0005-0000-0000-0000163A0000}"/>
    <cellStyle name="Input 41 2 13 3" xfId="14893" xr:uid="{00000000-0005-0000-0000-0000173A0000}"/>
    <cellStyle name="Input 41 2 13 4" xfId="14894" xr:uid="{00000000-0005-0000-0000-0000183A0000}"/>
    <cellStyle name="Input 41 2 14" xfId="14895" xr:uid="{00000000-0005-0000-0000-0000193A0000}"/>
    <cellStyle name="Input 41 2 14 2" xfId="14896" xr:uid="{00000000-0005-0000-0000-00001A3A0000}"/>
    <cellStyle name="Input 41 2 14 2 2" xfId="14897" xr:uid="{00000000-0005-0000-0000-00001B3A0000}"/>
    <cellStyle name="Input 41 2 14 2 3" xfId="14898" xr:uid="{00000000-0005-0000-0000-00001C3A0000}"/>
    <cellStyle name="Input 41 2 14 3" xfId="14899" xr:uid="{00000000-0005-0000-0000-00001D3A0000}"/>
    <cellStyle name="Input 41 2 14 4" xfId="14900" xr:uid="{00000000-0005-0000-0000-00001E3A0000}"/>
    <cellStyle name="Input 41 2 15" xfId="14901" xr:uid="{00000000-0005-0000-0000-00001F3A0000}"/>
    <cellStyle name="Input 41 2 15 2" xfId="14902" xr:uid="{00000000-0005-0000-0000-0000203A0000}"/>
    <cellStyle name="Input 41 2 15 2 2" xfId="14903" xr:uid="{00000000-0005-0000-0000-0000213A0000}"/>
    <cellStyle name="Input 41 2 15 2 3" xfId="14904" xr:uid="{00000000-0005-0000-0000-0000223A0000}"/>
    <cellStyle name="Input 41 2 15 3" xfId="14905" xr:uid="{00000000-0005-0000-0000-0000233A0000}"/>
    <cellStyle name="Input 41 2 15 4" xfId="14906" xr:uid="{00000000-0005-0000-0000-0000243A0000}"/>
    <cellStyle name="Input 41 2 16" xfId="14907" xr:uid="{00000000-0005-0000-0000-0000253A0000}"/>
    <cellStyle name="Input 41 2 16 2" xfId="14908" xr:uid="{00000000-0005-0000-0000-0000263A0000}"/>
    <cellStyle name="Input 41 2 16 2 2" xfId="14909" xr:uid="{00000000-0005-0000-0000-0000273A0000}"/>
    <cellStyle name="Input 41 2 16 2 3" xfId="14910" xr:uid="{00000000-0005-0000-0000-0000283A0000}"/>
    <cellStyle name="Input 41 2 16 3" xfId="14911" xr:uid="{00000000-0005-0000-0000-0000293A0000}"/>
    <cellStyle name="Input 41 2 16 4" xfId="14912" xr:uid="{00000000-0005-0000-0000-00002A3A0000}"/>
    <cellStyle name="Input 41 2 17" xfId="14913" xr:uid="{00000000-0005-0000-0000-00002B3A0000}"/>
    <cellStyle name="Input 41 2 17 2" xfId="14914" xr:uid="{00000000-0005-0000-0000-00002C3A0000}"/>
    <cellStyle name="Input 41 2 17 2 2" xfId="14915" xr:uid="{00000000-0005-0000-0000-00002D3A0000}"/>
    <cellStyle name="Input 41 2 17 2 3" xfId="14916" xr:uid="{00000000-0005-0000-0000-00002E3A0000}"/>
    <cellStyle name="Input 41 2 17 3" xfId="14917" xr:uid="{00000000-0005-0000-0000-00002F3A0000}"/>
    <cellStyle name="Input 41 2 17 4" xfId="14918" xr:uid="{00000000-0005-0000-0000-0000303A0000}"/>
    <cellStyle name="Input 41 2 18" xfId="14919" xr:uid="{00000000-0005-0000-0000-0000313A0000}"/>
    <cellStyle name="Input 41 2 18 2" xfId="14920" xr:uid="{00000000-0005-0000-0000-0000323A0000}"/>
    <cellStyle name="Input 41 2 18 3" xfId="14921" xr:uid="{00000000-0005-0000-0000-0000333A0000}"/>
    <cellStyle name="Input 41 2 18 4" xfId="14922" xr:uid="{00000000-0005-0000-0000-0000343A0000}"/>
    <cellStyle name="Input 41 2 19" xfId="14923" xr:uid="{00000000-0005-0000-0000-0000353A0000}"/>
    <cellStyle name="Input 41 2 2" xfId="14924" xr:uid="{00000000-0005-0000-0000-0000363A0000}"/>
    <cellStyle name="Input 41 2 2 2" xfId="14925" xr:uid="{00000000-0005-0000-0000-0000373A0000}"/>
    <cellStyle name="Input 41 2 2 2 2" xfId="14926" xr:uid="{00000000-0005-0000-0000-0000383A0000}"/>
    <cellStyle name="Input 41 2 2 2 3" xfId="14927" xr:uid="{00000000-0005-0000-0000-0000393A0000}"/>
    <cellStyle name="Input 41 2 2 3" xfId="14928" xr:uid="{00000000-0005-0000-0000-00003A3A0000}"/>
    <cellStyle name="Input 41 2 2 4" xfId="14929" xr:uid="{00000000-0005-0000-0000-00003B3A0000}"/>
    <cellStyle name="Input 41 2 20" xfId="14930" xr:uid="{00000000-0005-0000-0000-00003C3A0000}"/>
    <cellStyle name="Input 41 2 21" xfId="14931" xr:uid="{00000000-0005-0000-0000-00003D3A0000}"/>
    <cellStyle name="Input 41 2 3" xfId="14932" xr:uid="{00000000-0005-0000-0000-00003E3A0000}"/>
    <cellStyle name="Input 41 2 3 2" xfId="14933" xr:uid="{00000000-0005-0000-0000-00003F3A0000}"/>
    <cellStyle name="Input 41 2 3 2 2" xfId="14934" xr:uid="{00000000-0005-0000-0000-0000403A0000}"/>
    <cellStyle name="Input 41 2 3 2 3" xfId="14935" xr:uid="{00000000-0005-0000-0000-0000413A0000}"/>
    <cellStyle name="Input 41 2 3 3" xfId="14936" xr:uid="{00000000-0005-0000-0000-0000423A0000}"/>
    <cellStyle name="Input 41 2 3 4" xfId="14937" xr:uid="{00000000-0005-0000-0000-0000433A0000}"/>
    <cellStyle name="Input 41 2 4" xfId="14938" xr:uid="{00000000-0005-0000-0000-0000443A0000}"/>
    <cellStyle name="Input 41 2 4 2" xfId="14939" xr:uid="{00000000-0005-0000-0000-0000453A0000}"/>
    <cellStyle name="Input 41 2 4 2 2" xfId="14940" xr:uid="{00000000-0005-0000-0000-0000463A0000}"/>
    <cellStyle name="Input 41 2 4 2 3" xfId="14941" xr:uid="{00000000-0005-0000-0000-0000473A0000}"/>
    <cellStyle name="Input 41 2 4 3" xfId="14942" xr:uid="{00000000-0005-0000-0000-0000483A0000}"/>
    <cellStyle name="Input 41 2 4 4" xfId="14943" xr:uid="{00000000-0005-0000-0000-0000493A0000}"/>
    <cellStyle name="Input 41 2 5" xfId="14944" xr:uid="{00000000-0005-0000-0000-00004A3A0000}"/>
    <cellStyle name="Input 41 2 5 2" xfId="14945" xr:uid="{00000000-0005-0000-0000-00004B3A0000}"/>
    <cellStyle name="Input 41 2 5 2 2" xfId="14946" xr:uid="{00000000-0005-0000-0000-00004C3A0000}"/>
    <cellStyle name="Input 41 2 5 2 3" xfId="14947" xr:uid="{00000000-0005-0000-0000-00004D3A0000}"/>
    <cellStyle name="Input 41 2 5 3" xfId="14948" xr:uid="{00000000-0005-0000-0000-00004E3A0000}"/>
    <cellStyle name="Input 41 2 5 4" xfId="14949" xr:uid="{00000000-0005-0000-0000-00004F3A0000}"/>
    <cellStyle name="Input 41 2 6" xfId="14950" xr:uid="{00000000-0005-0000-0000-0000503A0000}"/>
    <cellStyle name="Input 41 2 6 2" xfId="14951" xr:uid="{00000000-0005-0000-0000-0000513A0000}"/>
    <cellStyle name="Input 41 2 6 2 2" xfId="14952" xr:uid="{00000000-0005-0000-0000-0000523A0000}"/>
    <cellStyle name="Input 41 2 6 2 3" xfId="14953" xr:uid="{00000000-0005-0000-0000-0000533A0000}"/>
    <cellStyle name="Input 41 2 6 3" xfId="14954" xr:uid="{00000000-0005-0000-0000-0000543A0000}"/>
    <cellStyle name="Input 41 2 6 4" xfId="14955" xr:uid="{00000000-0005-0000-0000-0000553A0000}"/>
    <cellStyle name="Input 41 2 7" xfId="14956" xr:uid="{00000000-0005-0000-0000-0000563A0000}"/>
    <cellStyle name="Input 41 2 7 2" xfId="14957" xr:uid="{00000000-0005-0000-0000-0000573A0000}"/>
    <cellStyle name="Input 41 2 7 2 2" xfId="14958" xr:uid="{00000000-0005-0000-0000-0000583A0000}"/>
    <cellStyle name="Input 41 2 7 2 3" xfId="14959" xr:uid="{00000000-0005-0000-0000-0000593A0000}"/>
    <cellStyle name="Input 41 2 7 3" xfId="14960" xr:uid="{00000000-0005-0000-0000-00005A3A0000}"/>
    <cellStyle name="Input 41 2 7 4" xfId="14961" xr:uid="{00000000-0005-0000-0000-00005B3A0000}"/>
    <cellStyle name="Input 41 2 8" xfId="14962" xr:uid="{00000000-0005-0000-0000-00005C3A0000}"/>
    <cellStyle name="Input 41 2 8 2" xfId="14963" xr:uid="{00000000-0005-0000-0000-00005D3A0000}"/>
    <cellStyle name="Input 41 2 8 2 2" xfId="14964" xr:uid="{00000000-0005-0000-0000-00005E3A0000}"/>
    <cellStyle name="Input 41 2 8 2 3" xfId="14965" xr:uid="{00000000-0005-0000-0000-00005F3A0000}"/>
    <cellStyle name="Input 41 2 8 3" xfId="14966" xr:uid="{00000000-0005-0000-0000-0000603A0000}"/>
    <cellStyle name="Input 41 2 8 4" xfId="14967" xr:uid="{00000000-0005-0000-0000-0000613A0000}"/>
    <cellStyle name="Input 41 2 9" xfId="14968" xr:uid="{00000000-0005-0000-0000-0000623A0000}"/>
    <cellStyle name="Input 41 2 9 2" xfId="14969" xr:uid="{00000000-0005-0000-0000-0000633A0000}"/>
    <cellStyle name="Input 41 2 9 2 2" xfId="14970" xr:uid="{00000000-0005-0000-0000-0000643A0000}"/>
    <cellStyle name="Input 41 2 9 2 3" xfId="14971" xr:uid="{00000000-0005-0000-0000-0000653A0000}"/>
    <cellStyle name="Input 41 2 9 3" xfId="14972" xr:uid="{00000000-0005-0000-0000-0000663A0000}"/>
    <cellStyle name="Input 41 2 9 4" xfId="14973" xr:uid="{00000000-0005-0000-0000-0000673A0000}"/>
    <cellStyle name="Input 41 3" xfId="14974" xr:uid="{00000000-0005-0000-0000-0000683A0000}"/>
    <cellStyle name="Input 41 3 2" xfId="14975" xr:uid="{00000000-0005-0000-0000-0000693A0000}"/>
    <cellStyle name="Input 41 3 2 2" xfId="14976" xr:uid="{00000000-0005-0000-0000-00006A3A0000}"/>
    <cellStyle name="Input 41 3 2 3" xfId="14977" xr:uid="{00000000-0005-0000-0000-00006B3A0000}"/>
    <cellStyle name="Input 41 3 3" xfId="14978" xr:uid="{00000000-0005-0000-0000-00006C3A0000}"/>
    <cellStyle name="Input 41 3 4" xfId="14979" xr:uid="{00000000-0005-0000-0000-00006D3A0000}"/>
    <cellStyle name="Input 41 4" xfId="14980" xr:uid="{00000000-0005-0000-0000-00006E3A0000}"/>
    <cellStyle name="Input 41 5" xfId="14981" xr:uid="{00000000-0005-0000-0000-00006F3A0000}"/>
    <cellStyle name="Input 42" xfId="14982" xr:uid="{00000000-0005-0000-0000-0000703A0000}"/>
    <cellStyle name="Input 42 2" xfId="14983" xr:uid="{00000000-0005-0000-0000-0000713A0000}"/>
    <cellStyle name="Input 42 2 10" xfId="14984" xr:uid="{00000000-0005-0000-0000-0000723A0000}"/>
    <cellStyle name="Input 42 2 10 2" xfId="14985" xr:uid="{00000000-0005-0000-0000-0000733A0000}"/>
    <cellStyle name="Input 42 2 10 2 2" xfId="14986" xr:uid="{00000000-0005-0000-0000-0000743A0000}"/>
    <cellStyle name="Input 42 2 10 2 3" xfId="14987" xr:uid="{00000000-0005-0000-0000-0000753A0000}"/>
    <cellStyle name="Input 42 2 10 3" xfId="14988" xr:uid="{00000000-0005-0000-0000-0000763A0000}"/>
    <cellStyle name="Input 42 2 10 4" xfId="14989" xr:uid="{00000000-0005-0000-0000-0000773A0000}"/>
    <cellStyle name="Input 42 2 11" xfId="14990" xr:uid="{00000000-0005-0000-0000-0000783A0000}"/>
    <cellStyle name="Input 42 2 11 2" xfId="14991" xr:uid="{00000000-0005-0000-0000-0000793A0000}"/>
    <cellStyle name="Input 42 2 11 2 2" xfId="14992" xr:uid="{00000000-0005-0000-0000-00007A3A0000}"/>
    <cellStyle name="Input 42 2 11 2 3" xfId="14993" xr:uid="{00000000-0005-0000-0000-00007B3A0000}"/>
    <cellStyle name="Input 42 2 11 3" xfId="14994" xr:uid="{00000000-0005-0000-0000-00007C3A0000}"/>
    <cellStyle name="Input 42 2 11 4" xfId="14995" xr:uid="{00000000-0005-0000-0000-00007D3A0000}"/>
    <cellStyle name="Input 42 2 12" xfId="14996" xr:uid="{00000000-0005-0000-0000-00007E3A0000}"/>
    <cellStyle name="Input 42 2 12 2" xfId="14997" xr:uid="{00000000-0005-0000-0000-00007F3A0000}"/>
    <cellStyle name="Input 42 2 12 2 2" xfId="14998" xr:uid="{00000000-0005-0000-0000-0000803A0000}"/>
    <cellStyle name="Input 42 2 12 2 3" xfId="14999" xr:uid="{00000000-0005-0000-0000-0000813A0000}"/>
    <cellStyle name="Input 42 2 12 3" xfId="15000" xr:uid="{00000000-0005-0000-0000-0000823A0000}"/>
    <cellStyle name="Input 42 2 12 4" xfId="15001" xr:uid="{00000000-0005-0000-0000-0000833A0000}"/>
    <cellStyle name="Input 42 2 13" xfId="15002" xr:uid="{00000000-0005-0000-0000-0000843A0000}"/>
    <cellStyle name="Input 42 2 13 2" xfId="15003" xr:uid="{00000000-0005-0000-0000-0000853A0000}"/>
    <cellStyle name="Input 42 2 13 2 2" xfId="15004" xr:uid="{00000000-0005-0000-0000-0000863A0000}"/>
    <cellStyle name="Input 42 2 13 2 3" xfId="15005" xr:uid="{00000000-0005-0000-0000-0000873A0000}"/>
    <cellStyle name="Input 42 2 13 3" xfId="15006" xr:uid="{00000000-0005-0000-0000-0000883A0000}"/>
    <cellStyle name="Input 42 2 13 4" xfId="15007" xr:uid="{00000000-0005-0000-0000-0000893A0000}"/>
    <cellStyle name="Input 42 2 14" xfId="15008" xr:uid="{00000000-0005-0000-0000-00008A3A0000}"/>
    <cellStyle name="Input 42 2 14 2" xfId="15009" xr:uid="{00000000-0005-0000-0000-00008B3A0000}"/>
    <cellStyle name="Input 42 2 14 2 2" xfId="15010" xr:uid="{00000000-0005-0000-0000-00008C3A0000}"/>
    <cellStyle name="Input 42 2 14 2 3" xfId="15011" xr:uid="{00000000-0005-0000-0000-00008D3A0000}"/>
    <cellStyle name="Input 42 2 14 3" xfId="15012" xr:uid="{00000000-0005-0000-0000-00008E3A0000}"/>
    <cellStyle name="Input 42 2 14 4" xfId="15013" xr:uid="{00000000-0005-0000-0000-00008F3A0000}"/>
    <cellStyle name="Input 42 2 15" xfId="15014" xr:uid="{00000000-0005-0000-0000-0000903A0000}"/>
    <cellStyle name="Input 42 2 15 2" xfId="15015" xr:uid="{00000000-0005-0000-0000-0000913A0000}"/>
    <cellStyle name="Input 42 2 15 2 2" xfId="15016" xr:uid="{00000000-0005-0000-0000-0000923A0000}"/>
    <cellStyle name="Input 42 2 15 2 3" xfId="15017" xr:uid="{00000000-0005-0000-0000-0000933A0000}"/>
    <cellStyle name="Input 42 2 15 3" xfId="15018" xr:uid="{00000000-0005-0000-0000-0000943A0000}"/>
    <cellStyle name="Input 42 2 15 4" xfId="15019" xr:uid="{00000000-0005-0000-0000-0000953A0000}"/>
    <cellStyle name="Input 42 2 16" xfId="15020" xr:uid="{00000000-0005-0000-0000-0000963A0000}"/>
    <cellStyle name="Input 42 2 16 2" xfId="15021" xr:uid="{00000000-0005-0000-0000-0000973A0000}"/>
    <cellStyle name="Input 42 2 16 2 2" xfId="15022" xr:uid="{00000000-0005-0000-0000-0000983A0000}"/>
    <cellStyle name="Input 42 2 16 2 3" xfId="15023" xr:uid="{00000000-0005-0000-0000-0000993A0000}"/>
    <cellStyle name="Input 42 2 16 3" xfId="15024" xr:uid="{00000000-0005-0000-0000-00009A3A0000}"/>
    <cellStyle name="Input 42 2 16 4" xfId="15025" xr:uid="{00000000-0005-0000-0000-00009B3A0000}"/>
    <cellStyle name="Input 42 2 17" xfId="15026" xr:uid="{00000000-0005-0000-0000-00009C3A0000}"/>
    <cellStyle name="Input 42 2 17 2" xfId="15027" xr:uid="{00000000-0005-0000-0000-00009D3A0000}"/>
    <cellStyle name="Input 42 2 17 2 2" xfId="15028" xr:uid="{00000000-0005-0000-0000-00009E3A0000}"/>
    <cellStyle name="Input 42 2 17 2 3" xfId="15029" xr:uid="{00000000-0005-0000-0000-00009F3A0000}"/>
    <cellStyle name="Input 42 2 17 3" xfId="15030" xr:uid="{00000000-0005-0000-0000-0000A03A0000}"/>
    <cellStyle name="Input 42 2 17 4" xfId="15031" xr:uid="{00000000-0005-0000-0000-0000A13A0000}"/>
    <cellStyle name="Input 42 2 18" xfId="15032" xr:uid="{00000000-0005-0000-0000-0000A23A0000}"/>
    <cellStyle name="Input 42 2 18 2" xfId="15033" xr:uid="{00000000-0005-0000-0000-0000A33A0000}"/>
    <cellStyle name="Input 42 2 18 3" xfId="15034" xr:uid="{00000000-0005-0000-0000-0000A43A0000}"/>
    <cellStyle name="Input 42 2 18 4" xfId="15035" xr:uid="{00000000-0005-0000-0000-0000A53A0000}"/>
    <cellStyle name="Input 42 2 19" xfId="15036" xr:uid="{00000000-0005-0000-0000-0000A63A0000}"/>
    <cellStyle name="Input 42 2 2" xfId="15037" xr:uid="{00000000-0005-0000-0000-0000A73A0000}"/>
    <cellStyle name="Input 42 2 2 2" xfId="15038" xr:uid="{00000000-0005-0000-0000-0000A83A0000}"/>
    <cellStyle name="Input 42 2 2 2 2" xfId="15039" xr:uid="{00000000-0005-0000-0000-0000A93A0000}"/>
    <cellStyle name="Input 42 2 2 2 3" xfId="15040" xr:uid="{00000000-0005-0000-0000-0000AA3A0000}"/>
    <cellStyle name="Input 42 2 2 3" xfId="15041" xr:uid="{00000000-0005-0000-0000-0000AB3A0000}"/>
    <cellStyle name="Input 42 2 2 4" xfId="15042" xr:uid="{00000000-0005-0000-0000-0000AC3A0000}"/>
    <cellStyle name="Input 42 2 20" xfId="15043" xr:uid="{00000000-0005-0000-0000-0000AD3A0000}"/>
    <cellStyle name="Input 42 2 21" xfId="15044" xr:uid="{00000000-0005-0000-0000-0000AE3A0000}"/>
    <cellStyle name="Input 42 2 3" xfId="15045" xr:uid="{00000000-0005-0000-0000-0000AF3A0000}"/>
    <cellStyle name="Input 42 2 3 2" xfId="15046" xr:uid="{00000000-0005-0000-0000-0000B03A0000}"/>
    <cellStyle name="Input 42 2 3 2 2" xfId="15047" xr:uid="{00000000-0005-0000-0000-0000B13A0000}"/>
    <cellStyle name="Input 42 2 3 2 3" xfId="15048" xr:uid="{00000000-0005-0000-0000-0000B23A0000}"/>
    <cellStyle name="Input 42 2 3 3" xfId="15049" xr:uid="{00000000-0005-0000-0000-0000B33A0000}"/>
    <cellStyle name="Input 42 2 3 4" xfId="15050" xr:uid="{00000000-0005-0000-0000-0000B43A0000}"/>
    <cellStyle name="Input 42 2 4" xfId="15051" xr:uid="{00000000-0005-0000-0000-0000B53A0000}"/>
    <cellStyle name="Input 42 2 4 2" xfId="15052" xr:uid="{00000000-0005-0000-0000-0000B63A0000}"/>
    <cellStyle name="Input 42 2 4 2 2" xfId="15053" xr:uid="{00000000-0005-0000-0000-0000B73A0000}"/>
    <cellStyle name="Input 42 2 4 2 3" xfId="15054" xr:uid="{00000000-0005-0000-0000-0000B83A0000}"/>
    <cellStyle name="Input 42 2 4 3" xfId="15055" xr:uid="{00000000-0005-0000-0000-0000B93A0000}"/>
    <cellStyle name="Input 42 2 4 4" xfId="15056" xr:uid="{00000000-0005-0000-0000-0000BA3A0000}"/>
    <cellStyle name="Input 42 2 5" xfId="15057" xr:uid="{00000000-0005-0000-0000-0000BB3A0000}"/>
    <cellStyle name="Input 42 2 5 2" xfId="15058" xr:uid="{00000000-0005-0000-0000-0000BC3A0000}"/>
    <cellStyle name="Input 42 2 5 2 2" xfId="15059" xr:uid="{00000000-0005-0000-0000-0000BD3A0000}"/>
    <cellStyle name="Input 42 2 5 2 3" xfId="15060" xr:uid="{00000000-0005-0000-0000-0000BE3A0000}"/>
    <cellStyle name="Input 42 2 5 3" xfId="15061" xr:uid="{00000000-0005-0000-0000-0000BF3A0000}"/>
    <cellStyle name="Input 42 2 5 4" xfId="15062" xr:uid="{00000000-0005-0000-0000-0000C03A0000}"/>
    <cellStyle name="Input 42 2 6" xfId="15063" xr:uid="{00000000-0005-0000-0000-0000C13A0000}"/>
    <cellStyle name="Input 42 2 6 2" xfId="15064" xr:uid="{00000000-0005-0000-0000-0000C23A0000}"/>
    <cellStyle name="Input 42 2 6 2 2" xfId="15065" xr:uid="{00000000-0005-0000-0000-0000C33A0000}"/>
    <cellStyle name="Input 42 2 6 2 3" xfId="15066" xr:uid="{00000000-0005-0000-0000-0000C43A0000}"/>
    <cellStyle name="Input 42 2 6 3" xfId="15067" xr:uid="{00000000-0005-0000-0000-0000C53A0000}"/>
    <cellStyle name="Input 42 2 6 4" xfId="15068" xr:uid="{00000000-0005-0000-0000-0000C63A0000}"/>
    <cellStyle name="Input 42 2 7" xfId="15069" xr:uid="{00000000-0005-0000-0000-0000C73A0000}"/>
    <cellStyle name="Input 42 2 7 2" xfId="15070" xr:uid="{00000000-0005-0000-0000-0000C83A0000}"/>
    <cellStyle name="Input 42 2 7 2 2" xfId="15071" xr:uid="{00000000-0005-0000-0000-0000C93A0000}"/>
    <cellStyle name="Input 42 2 7 2 3" xfId="15072" xr:uid="{00000000-0005-0000-0000-0000CA3A0000}"/>
    <cellStyle name="Input 42 2 7 3" xfId="15073" xr:uid="{00000000-0005-0000-0000-0000CB3A0000}"/>
    <cellStyle name="Input 42 2 7 4" xfId="15074" xr:uid="{00000000-0005-0000-0000-0000CC3A0000}"/>
    <cellStyle name="Input 42 2 8" xfId="15075" xr:uid="{00000000-0005-0000-0000-0000CD3A0000}"/>
    <cellStyle name="Input 42 2 8 2" xfId="15076" xr:uid="{00000000-0005-0000-0000-0000CE3A0000}"/>
    <cellStyle name="Input 42 2 8 2 2" xfId="15077" xr:uid="{00000000-0005-0000-0000-0000CF3A0000}"/>
    <cellStyle name="Input 42 2 8 2 3" xfId="15078" xr:uid="{00000000-0005-0000-0000-0000D03A0000}"/>
    <cellStyle name="Input 42 2 8 3" xfId="15079" xr:uid="{00000000-0005-0000-0000-0000D13A0000}"/>
    <cellStyle name="Input 42 2 8 4" xfId="15080" xr:uid="{00000000-0005-0000-0000-0000D23A0000}"/>
    <cellStyle name="Input 42 2 9" xfId="15081" xr:uid="{00000000-0005-0000-0000-0000D33A0000}"/>
    <cellStyle name="Input 42 2 9 2" xfId="15082" xr:uid="{00000000-0005-0000-0000-0000D43A0000}"/>
    <cellStyle name="Input 42 2 9 2 2" xfId="15083" xr:uid="{00000000-0005-0000-0000-0000D53A0000}"/>
    <cellStyle name="Input 42 2 9 2 3" xfId="15084" xr:uid="{00000000-0005-0000-0000-0000D63A0000}"/>
    <cellStyle name="Input 42 2 9 3" xfId="15085" xr:uid="{00000000-0005-0000-0000-0000D73A0000}"/>
    <cellStyle name="Input 42 2 9 4" xfId="15086" xr:uid="{00000000-0005-0000-0000-0000D83A0000}"/>
    <cellStyle name="Input 42 3" xfId="15087" xr:uid="{00000000-0005-0000-0000-0000D93A0000}"/>
    <cellStyle name="Input 42 3 2" xfId="15088" xr:uid="{00000000-0005-0000-0000-0000DA3A0000}"/>
    <cellStyle name="Input 42 3 2 2" xfId="15089" xr:uid="{00000000-0005-0000-0000-0000DB3A0000}"/>
    <cellStyle name="Input 42 3 2 3" xfId="15090" xr:uid="{00000000-0005-0000-0000-0000DC3A0000}"/>
    <cellStyle name="Input 42 3 3" xfId="15091" xr:uid="{00000000-0005-0000-0000-0000DD3A0000}"/>
    <cellStyle name="Input 42 3 4" xfId="15092" xr:uid="{00000000-0005-0000-0000-0000DE3A0000}"/>
    <cellStyle name="Input 42 4" xfId="15093" xr:uid="{00000000-0005-0000-0000-0000DF3A0000}"/>
    <cellStyle name="Input 42 5" xfId="15094" xr:uid="{00000000-0005-0000-0000-0000E03A0000}"/>
    <cellStyle name="Input 43" xfId="15095" xr:uid="{00000000-0005-0000-0000-0000E13A0000}"/>
    <cellStyle name="Input 43 2" xfId="15096" xr:uid="{00000000-0005-0000-0000-0000E23A0000}"/>
    <cellStyle name="Input 43 2 10" xfId="15097" xr:uid="{00000000-0005-0000-0000-0000E33A0000}"/>
    <cellStyle name="Input 43 2 10 2" xfId="15098" xr:uid="{00000000-0005-0000-0000-0000E43A0000}"/>
    <cellStyle name="Input 43 2 10 2 2" xfId="15099" xr:uid="{00000000-0005-0000-0000-0000E53A0000}"/>
    <cellStyle name="Input 43 2 10 2 3" xfId="15100" xr:uid="{00000000-0005-0000-0000-0000E63A0000}"/>
    <cellStyle name="Input 43 2 10 3" xfId="15101" xr:uid="{00000000-0005-0000-0000-0000E73A0000}"/>
    <cellStyle name="Input 43 2 10 4" xfId="15102" xr:uid="{00000000-0005-0000-0000-0000E83A0000}"/>
    <cellStyle name="Input 43 2 11" xfId="15103" xr:uid="{00000000-0005-0000-0000-0000E93A0000}"/>
    <cellStyle name="Input 43 2 11 2" xfId="15104" xr:uid="{00000000-0005-0000-0000-0000EA3A0000}"/>
    <cellStyle name="Input 43 2 11 2 2" xfId="15105" xr:uid="{00000000-0005-0000-0000-0000EB3A0000}"/>
    <cellStyle name="Input 43 2 11 2 3" xfId="15106" xr:uid="{00000000-0005-0000-0000-0000EC3A0000}"/>
    <cellStyle name="Input 43 2 11 3" xfId="15107" xr:uid="{00000000-0005-0000-0000-0000ED3A0000}"/>
    <cellStyle name="Input 43 2 11 4" xfId="15108" xr:uid="{00000000-0005-0000-0000-0000EE3A0000}"/>
    <cellStyle name="Input 43 2 12" xfId="15109" xr:uid="{00000000-0005-0000-0000-0000EF3A0000}"/>
    <cellStyle name="Input 43 2 12 2" xfId="15110" xr:uid="{00000000-0005-0000-0000-0000F03A0000}"/>
    <cellStyle name="Input 43 2 12 2 2" xfId="15111" xr:uid="{00000000-0005-0000-0000-0000F13A0000}"/>
    <cellStyle name="Input 43 2 12 2 3" xfId="15112" xr:uid="{00000000-0005-0000-0000-0000F23A0000}"/>
    <cellStyle name="Input 43 2 12 3" xfId="15113" xr:uid="{00000000-0005-0000-0000-0000F33A0000}"/>
    <cellStyle name="Input 43 2 12 4" xfId="15114" xr:uid="{00000000-0005-0000-0000-0000F43A0000}"/>
    <cellStyle name="Input 43 2 13" xfId="15115" xr:uid="{00000000-0005-0000-0000-0000F53A0000}"/>
    <cellStyle name="Input 43 2 13 2" xfId="15116" xr:uid="{00000000-0005-0000-0000-0000F63A0000}"/>
    <cellStyle name="Input 43 2 13 2 2" xfId="15117" xr:uid="{00000000-0005-0000-0000-0000F73A0000}"/>
    <cellStyle name="Input 43 2 13 2 3" xfId="15118" xr:uid="{00000000-0005-0000-0000-0000F83A0000}"/>
    <cellStyle name="Input 43 2 13 3" xfId="15119" xr:uid="{00000000-0005-0000-0000-0000F93A0000}"/>
    <cellStyle name="Input 43 2 13 4" xfId="15120" xr:uid="{00000000-0005-0000-0000-0000FA3A0000}"/>
    <cellStyle name="Input 43 2 14" xfId="15121" xr:uid="{00000000-0005-0000-0000-0000FB3A0000}"/>
    <cellStyle name="Input 43 2 14 2" xfId="15122" xr:uid="{00000000-0005-0000-0000-0000FC3A0000}"/>
    <cellStyle name="Input 43 2 14 2 2" xfId="15123" xr:uid="{00000000-0005-0000-0000-0000FD3A0000}"/>
    <cellStyle name="Input 43 2 14 2 3" xfId="15124" xr:uid="{00000000-0005-0000-0000-0000FE3A0000}"/>
    <cellStyle name="Input 43 2 14 3" xfId="15125" xr:uid="{00000000-0005-0000-0000-0000FF3A0000}"/>
    <cellStyle name="Input 43 2 14 4" xfId="15126" xr:uid="{00000000-0005-0000-0000-0000003B0000}"/>
    <cellStyle name="Input 43 2 15" xfId="15127" xr:uid="{00000000-0005-0000-0000-0000013B0000}"/>
    <cellStyle name="Input 43 2 15 2" xfId="15128" xr:uid="{00000000-0005-0000-0000-0000023B0000}"/>
    <cellStyle name="Input 43 2 15 2 2" xfId="15129" xr:uid="{00000000-0005-0000-0000-0000033B0000}"/>
    <cellStyle name="Input 43 2 15 2 3" xfId="15130" xr:uid="{00000000-0005-0000-0000-0000043B0000}"/>
    <cellStyle name="Input 43 2 15 3" xfId="15131" xr:uid="{00000000-0005-0000-0000-0000053B0000}"/>
    <cellStyle name="Input 43 2 15 4" xfId="15132" xr:uid="{00000000-0005-0000-0000-0000063B0000}"/>
    <cellStyle name="Input 43 2 16" xfId="15133" xr:uid="{00000000-0005-0000-0000-0000073B0000}"/>
    <cellStyle name="Input 43 2 16 2" xfId="15134" xr:uid="{00000000-0005-0000-0000-0000083B0000}"/>
    <cellStyle name="Input 43 2 16 2 2" xfId="15135" xr:uid="{00000000-0005-0000-0000-0000093B0000}"/>
    <cellStyle name="Input 43 2 16 2 3" xfId="15136" xr:uid="{00000000-0005-0000-0000-00000A3B0000}"/>
    <cellStyle name="Input 43 2 16 3" xfId="15137" xr:uid="{00000000-0005-0000-0000-00000B3B0000}"/>
    <cellStyle name="Input 43 2 16 4" xfId="15138" xr:uid="{00000000-0005-0000-0000-00000C3B0000}"/>
    <cellStyle name="Input 43 2 17" xfId="15139" xr:uid="{00000000-0005-0000-0000-00000D3B0000}"/>
    <cellStyle name="Input 43 2 17 2" xfId="15140" xr:uid="{00000000-0005-0000-0000-00000E3B0000}"/>
    <cellStyle name="Input 43 2 17 2 2" xfId="15141" xr:uid="{00000000-0005-0000-0000-00000F3B0000}"/>
    <cellStyle name="Input 43 2 17 2 3" xfId="15142" xr:uid="{00000000-0005-0000-0000-0000103B0000}"/>
    <cellStyle name="Input 43 2 17 3" xfId="15143" xr:uid="{00000000-0005-0000-0000-0000113B0000}"/>
    <cellStyle name="Input 43 2 17 4" xfId="15144" xr:uid="{00000000-0005-0000-0000-0000123B0000}"/>
    <cellStyle name="Input 43 2 18" xfId="15145" xr:uid="{00000000-0005-0000-0000-0000133B0000}"/>
    <cellStyle name="Input 43 2 18 2" xfId="15146" xr:uid="{00000000-0005-0000-0000-0000143B0000}"/>
    <cellStyle name="Input 43 2 18 3" xfId="15147" xr:uid="{00000000-0005-0000-0000-0000153B0000}"/>
    <cellStyle name="Input 43 2 18 4" xfId="15148" xr:uid="{00000000-0005-0000-0000-0000163B0000}"/>
    <cellStyle name="Input 43 2 19" xfId="15149" xr:uid="{00000000-0005-0000-0000-0000173B0000}"/>
    <cellStyle name="Input 43 2 2" xfId="15150" xr:uid="{00000000-0005-0000-0000-0000183B0000}"/>
    <cellStyle name="Input 43 2 2 2" xfId="15151" xr:uid="{00000000-0005-0000-0000-0000193B0000}"/>
    <cellStyle name="Input 43 2 2 2 2" xfId="15152" xr:uid="{00000000-0005-0000-0000-00001A3B0000}"/>
    <cellStyle name="Input 43 2 2 2 3" xfId="15153" xr:uid="{00000000-0005-0000-0000-00001B3B0000}"/>
    <cellStyle name="Input 43 2 2 3" xfId="15154" xr:uid="{00000000-0005-0000-0000-00001C3B0000}"/>
    <cellStyle name="Input 43 2 2 4" xfId="15155" xr:uid="{00000000-0005-0000-0000-00001D3B0000}"/>
    <cellStyle name="Input 43 2 20" xfId="15156" xr:uid="{00000000-0005-0000-0000-00001E3B0000}"/>
    <cellStyle name="Input 43 2 21" xfId="15157" xr:uid="{00000000-0005-0000-0000-00001F3B0000}"/>
    <cellStyle name="Input 43 2 3" xfId="15158" xr:uid="{00000000-0005-0000-0000-0000203B0000}"/>
    <cellStyle name="Input 43 2 3 2" xfId="15159" xr:uid="{00000000-0005-0000-0000-0000213B0000}"/>
    <cellStyle name="Input 43 2 3 2 2" xfId="15160" xr:uid="{00000000-0005-0000-0000-0000223B0000}"/>
    <cellStyle name="Input 43 2 3 2 3" xfId="15161" xr:uid="{00000000-0005-0000-0000-0000233B0000}"/>
    <cellStyle name="Input 43 2 3 3" xfId="15162" xr:uid="{00000000-0005-0000-0000-0000243B0000}"/>
    <cellStyle name="Input 43 2 3 4" xfId="15163" xr:uid="{00000000-0005-0000-0000-0000253B0000}"/>
    <cellStyle name="Input 43 2 4" xfId="15164" xr:uid="{00000000-0005-0000-0000-0000263B0000}"/>
    <cellStyle name="Input 43 2 4 2" xfId="15165" xr:uid="{00000000-0005-0000-0000-0000273B0000}"/>
    <cellStyle name="Input 43 2 4 2 2" xfId="15166" xr:uid="{00000000-0005-0000-0000-0000283B0000}"/>
    <cellStyle name="Input 43 2 4 2 3" xfId="15167" xr:uid="{00000000-0005-0000-0000-0000293B0000}"/>
    <cellStyle name="Input 43 2 4 3" xfId="15168" xr:uid="{00000000-0005-0000-0000-00002A3B0000}"/>
    <cellStyle name="Input 43 2 4 4" xfId="15169" xr:uid="{00000000-0005-0000-0000-00002B3B0000}"/>
    <cellStyle name="Input 43 2 5" xfId="15170" xr:uid="{00000000-0005-0000-0000-00002C3B0000}"/>
    <cellStyle name="Input 43 2 5 2" xfId="15171" xr:uid="{00000000-0005-0000-0000-00002D3B0000}"/>
    <cellStyle name="Input 43 2 5 2 2" xfId="15172" xr:uid="{00000000-0005-0000-0000-00002E3B0000}"/>
    <cellStyle name="Input 43 2 5 2 3" xfId="15173" xr:uid="{00000000-0005-0000-0000-00002F3B0000}"/>
    <cellStyle name="Input 43 2 5 3" xfId="15174" xr:uid="{00000000-0005-0000-0000-0000303B0000}"/>
    <cellStyle name="Input 43 2 5 4" xfId="15175" xr:uid="{00000000-0005-0000-0000-0000313B0000}"/>
    <cellStyle name="Input 43 2 6" xfId="15176" xr:uid="{00000000-0005-0000-0000-0000323B0000}"/>
    <cellStyle name="Input 43 2 6 2" xfId="15177" xr:uid="{00000000-0005-0000-0000-0000333B0000}"/>
    <cellStyle name="Input 43 2 6 2 2" xfId="15178" xr:uid="{00000000-0005-0000-0000-0000343B0000}"/>
    <cellStyle name="Input 43 2 6 2 3" xfId="15179" xr:uid="{00000000-0005-0000-0000-0000353B0000}"/>
    <cellStyle name="Input 43 2 6 3" xfId="15180" xr:uid="{00000000-0005-0000-0000-0000363B0000}"/>
    <cellStyle name="Input 43 2 6 4" xfId="15181" xr:uid="{00000000-0005-0000-0000-0000373B0000}"/>
    <cellStyle name="Input 43 2 7" xfId="15182" xr:uid="{00000000-0005-0000-0000-0000383B0000}"/>
    <cellStyle name="Input 43 2 7 2" xfId="15183" xr:uid="{00000000-0005-0000-0000-0000393B0000}"/>
    <cellStyle name="Input 43 2 7 2 2" xfId="15184" xr:uid="{00000000-0005-0000-0000-00003A3B0000}"/>
    <cellStyle name="Input 43 2 7 2 3" xfId="15185" xr:uid="{00000000-0005-0000-0000-00003B3B0000}"/>
    <cellStyle name="Input 43 2 7 3" xfId="15186" xr:uid="{00000000-0005-0000-0000-00003C3B0000}"/>
    <cellStyle name="Input 43 2 7 4" xfId="15187" xr:uid="{00000000-0005-0000-0000-00003D3B0000}"/>
    <cellStyle name="Input 43 2 8" xfId="15188" xr:uid="{00000000-0005-0000-0000-00003E3B0000}"/>
    <cellStyle name="Input 43 2 8 2" xfId="15189" xr:uid="{00000000-0005-0000-0000-00003F3B0000}"/>
    <cellStyle name="Input 43 2 8 2 2" xfId="15190" xr:uid="{00000000-0005-0000-0000-0000403B0000}"/>
    <cellStyle name="Input 43 2 8 2 3" xfId="15191" xr:uid="{00000000-0005-0000-0000-0000413B0000}"/>
    <cellStyle name="Input 43 2 8 3" xfId="15192" xr:uid="{00000000-0005-0000-0000-0000423B0000}"/>
    <cellStyle name="Input 43 2 8 4" xfId="15193" xr:uid="{00000000-0005-0000-0000-0000433B0000}"/>
    <cellStyle name="Input 43 2 9" xfId="15194" xr:uid="{00000000-0005-0000-0000-0000443B0000}"/>
    <cellStyle name="Input 43 2 9 2" xfId="15195" xr:uid="{00000000-0005-0000-0000-0000453B0000}"/>
    <cellStyle name="Input 43 2 9 2 2" xfId="15196" xr:uid="{00000000-0005-0000-0000-0000463B0000}"/>
    <cellStyle name="Input 43 2 9 2 3" xfId="15197" xr:uid="{00000000-0005-0000-0000-0000473B0000}"/>
    <cellStyle name="Input 43 2 9 3" xfId="15198" xr:uid="{00000000-0005-0000-0000-0000483B0000}"/>
    <cellStyle name="Input 43 2 9 4" xfId="15199" xr:uid="{00000000-0005-0000-0000-0000493B0000}"/>
    <cellStyle name="Input 43 3" xfId="15200" xr:uid="{00000000-0005-0000-0000-00004A3B0000}"/>
    <cellStyle name="Input 43 3 2" xfId="15201" xr:uid="{00000000-0005-0000-0000-00004B3B0000}"/>
    <cellStyle name="Input 43 3 2 2" xfId="15202" xr:uid="{00000000-0005-0000-0000-00004C3B0000}"/>
    <cellStyle name="Input 43 3 2 3" xfId="15203" xr:uid="{00000000-0005-0000-0000-00004D3B0000}"/>
    <cellStyle name="Input 43 3 3" xfId="15204" xr:uid="{00000000-0005-0000-0000-00004E3B0000}"/>
    <cellStyle name="Input 43 3 4" xfId="15205" xr:uid="{00000000-0005-0000-0000-00004F3B0000}"/>
    <cellStyle name="Input 43 4" xfId="15206" xr:uid="{00000000-0005-0000-0000-0000503B0000}"/>
    <cellStyle name="Input 43 5" xfId="15207" xr:uid="{00000000-0005-0000-0000-0000513B0000}"/>
    <cellStyle name="Input 44" xfId="15208" xr:uid="{00000000-0005-0000-0000-0000523B0000}"/>
    <cellStyle name="Input 44 2" xfId="15209" xr:uid="{00000000-0005-0000-0000-0000533B0000}"/>
    <cellStyle name="Input 44 2 10" xfId="15210" xr:uid="{00000000-0005-0000-0000-0000543B0000}"/>
    <cellStyle name="Input 44 2 10 2" xfId="15211" xr:uid="{00000000-0005-0000-0000-0000553B0000}"/>
    <cellStyle name="Input 44 2 10 2 2" xfId="15212" xr:uid="{00000000-0005-0000-0000-0000563B0000}"/>
    <cellStyle name="Input 44 2 10 2 3" xfId="15213" xr:uid="{00000000-0005-0000-0000-0000573B0000}"/>
    <cellStyle name="Input 44 2 10 3" xfId="15214" xr:uid="{00000000-0005-0000-0000-0000583B0000}"/>
    <cellStyle name="Input 44 2 10 4" xfId="15215" xr:uid="{00000000-0005-0000-0000-0000593B0000}"/>
    <cellStyle name="Input 44 2 11" xfId="15216" xr:uid="{00000000-0005-0000-0000-00005A3B0000}"/>
    <cellStyle name="Input 44 2 11 2" xfId="15217" xr:uid="{00000000-0005-0000-0000-00005B3B0000}"/>
    <cellStyle name="Input 44 2 11 2 2" xfId="15218" xr:uid="{00000000-0005-0000-0000-00005C3B0000}"/>
    <cellStyle name="Input 44 2 11 2 3" xfId="15219" xr:uid="{00000000-0005-0000-0000-00005D3B0000}"/>
    <cellStyle name="Input 44 2 11 3" xfId="15220" xr:uid="{00000000-0005-0000-0000-00005E3B0000}"/>
    <cellStyle name="Input 44 2 11 4" xfId="15221" xr:uid="{00000000-0005-0000-0000-00005F3B0000}"/>
    <cellStyle name="Input 44 2 12" xfId="15222" xr:uid="{00000000-0005-0000-0000-0000603B0000}"/>
    <cellStyle name="Input 44 2 12 2" xfId="15223" xr:uid="{00000000-0005-0000-0000-0000613B0000}"/>
    <cellStyle name="Input 44 2 12 2 2" xfId="15224" xr:uid="{00000000-0005-0000-0000-0000623B0000}"/>
    <cellStyle name="Input 44 2 12 2 3" xfId="15225" xr:uid="{00000000-0005-0000-0000-0000633B0000}"/>
    <cellStyle name="Input 44 2 12 3" xfId="15226" xr:uid="{00000000-0005-0000-0000-0000643B0000}"/>
    <cellStyle name="Input 44 2 12 4" xfId="15227" xr:uid="{00000000-0005-0000-0000-0000653B0000}"/>
    <cellStyle name="Input 44 2 13" xfId="15228" xr:uid="{00000000-0005-0000-0000-0000663B0000}"/>
    <cellStyle name="Input 44 2 13 2" xfId="15229" xr:uid="{00000000-0005-0000-0000-0000673B0000}"/>
    <cellStyle name="Input 44 2 13 2 2" xfId="15230" xr:uid="{00000000-0005-0000-0000-0000683B0000}"/>
    <cellStyle name="Input 44 2 13 2 3" xfId="15231" xr:uid="{00000000-0005-0000-0000-0000693B0000}"/>
    <cellStyle name="Input 44 2 13 3" xfId="15232" xr:uid="{00000000-0005-0000-0000-00006A3B0000}"/>
    <cellStyle name="Input 44 2 13 4" xfId="15233" xr:uid="{00000000-0005-0000-0000-00006B3B0000}"/>
    <cellStyle name="Input 44 2 14" xfId="15234" xr:uid="{00000000-0005-0000-0000-00006C3B0000}"/>
    <cellStyle name="Input 44 2 14 2" xfId="15235" xr:uid="{00000000-0005-0000-0000-00006D3B0000}"/>
    <cellStyle name="Input 44 2 14 2 2" xfId="15236" xr:uid="{00000000-0005-0000-0000-00006E3B0000}"/>
    <cellStyle name="Input 44 2 14 2 3" xfId="15237" xr:uid="{00000000-0005-0000-0000-00006F3B0000}"/>
    <cellStyle name="Input 44 2 14 3" xfId="15238" xr:uid="{00000000-0005-0000-0000-0000703B0000}"/>
    <cellStyle name="Input 44 2 14 4" xfId="15239" xr:uid="{00000000-0005-0000-0000-0000713B0000}"/>
    <cellStyle name="Input 44 2 15" xfId="15240" xr:uid="{00000000-0005-0000-0000-0000723B0000}"/>
    <cellStyle name="Input 44 2 15 2" xfId="15241" xr:uid="{00000000-0005-0000-0000-0000733B0000}"/>
    <cellStyle name="Input 44 2 15 2 2" xfId="15242" xr:uid="{00000000-0005-0000-0000-0000743B0000}"/>
    <cellStyle name="Input 44 2 15 2 3" xfId="15243" xr:uid="{00000000-0005-0000-0000-0000753B0000}"/>
    <cellStyle name="Input 44 2 15 3" xfId="15244" xr:uid="{00000000-0005-0000-0000-0000763B0000}"/>
    <cellStyle name="Input 44 2 15 4" xfId="15245" xr:uid="{00000000-0005-0000-0000-0000773B0000}"/>
    <cellStyle name="Input 44 2 16" xfId="15246" xr:uid="{00000000-0005-0000-0000-0000783B0000}"/>
    <cellStyle name="Input 44 2 16 2" xfId="15247" xr:uid="{00000000-0005-0000-0000-0000793B0000}"/>
    <cellStyle name="Input 44 2 16 2 2" xfId="15248" xr:uid="{00000000-0005-0000-0000-00007A3B0000}"/>
    <cellStyle name="Input 44 2 16 2 3" xfId="15249" xr:uid="{00000000-0005-0000-0000-00007B3B0000}"/>
    <cellStyle name="Input 44 2 16 3" xfId="15250" xr:uid="{00000000-0005-0000-0000-00007C3B0000}"/>
    <cellStyle name="Input 44 2 16 4" xfId="15251" xr:uid="{00000000-0005-0000-0000-00007D3B0000}"/>
    <cellStyle name="Input 44 2 17" xfId="15252" xr:uid="{00000000-0005-0000-0000-00007E3B0000}"/>
    <cellStyle name="Input 44 2 17 2" xfId="15253" xr:uid="{00000000-0005-0000-0000-00007F3B0000}"/>
    <cellStyle name="Input 44 2 17 2 2" xfId="15254" xr:uid="{00000000-0005-0000-0000-0000803B0000}"/>
    <cellStyle name="Input 44 2 17 2 3" xfId="15255" xr:uid="{00000000-0005-0000-0000-0000813B0000}"/>
    <cellStyle name="Input 44 2 17 3" xfId="15256" xr:uid="{00000000-0005-0000-0000-0000823B0000}"/>
    <cellStyle name="Input 44 2 17 4" xfId="15257" xr:uid="{00000000-0005-0000-0000-0000833B0000}"/>
    <cellStyle name="Input 44 2 18" xfId="15258" xr:uid="{00000000-0005-0000-0000-0000843B0000}"/>
    <cellStyle name="Input 44 2 18 2" xfId="15259" xr:uid="{00000000-0005-0000-0000-0000853B0000}"/>
    <cellStyle name="Input 44 2 18 3" xfId="15260" xr:uid="{00000000-0005-0000-0000-0000863B0000}"/>
    <cellStyle name="Input 44 2 18 4" xfId="15261" xr:uid="{00000000-0005-0000-0000-0000873B0000}"/>
    <cellStyle name="Input 44 2 19" xfId="15262" xr:uid="{00000000-0005-0000-0000-0000883B0000}"/>
    <cellStyle name="Input 44 2 2" xfId="15263" xr:uid="{00000000-0005-0000-0000-0000893B0000}"/>
    <cellStyle name="Input 44 2 2 2" xfId="15264" xr:uid="{00000000-0005-0000-0000-00008A3B0000}"/>
    <cellStyle name="Input 44 2 2 2 2" xfId="15265" xr:uid="{00000000-0005-0000-0000-00008B3B0000}"/>
    <cellStyle name="Input 44 2 2 2 3" xfId="15266" xr:uid="{00000000-0005-0000-0000-00008C3B0000}"/>
    <cellStyle name="Input 44 2 2 3" xfId="15267" xr:uid="{00000000-0005-0000-0000-00008D3B0000}"/>
    <cellStyle name="Input 44 2 2 4" xfId="15268" xr:uid="{00000000-0005-0000-0000-00008E3B0000}"/>
    <cellStyle name="Input 44 2 20" xfId="15269" xr:uid="{00000000-0005-0000-0000-00008F3B0000}"/>
    <cellStyle name="Input 44 2 21" xfId="15270" xr:uid="{00000000-0005-0000-0000-0000903B0000}"/>
    <cellStyle name="Input 44 2 3" xfId="15271" xr:uid="{00000000-0005-0000-0000-0000913B0000}"/>
    <cellStyle name="Input 44 2 3 2" xfId="15272" xr:uid="{00000000-0005-0000-0000-0000923B0000}"/>
    <cellStyle name="Input 44 2 3 2 2" xfId="15273" xr:uid="{00000000-0005-0000-0000-0000933B0000}"/>
    <cellStyle name="Input 44 2 3 2 3" xfId="15274" xr:uid="{00000000-0005-0000-0000-0000943B0000}"/>
    <cellStyle name="Input 44 2 3 3" xfId="15275" xr:uid="{00000000-0005-0000-0000-0000953B0000}"/>
    <cellStyle name="Input 44 2 3 4" xfId="15276" xr:uid="{00000000-0005-0000-0000-0000963B0000}"/>
    <cellStyle name="Input 44 2 4" xfId="15277" xr:uid="{00000000-0005-0000-0000-0000973B0000}"/>
    <cellStyle name="Input 44 2 4 2" xfId="15278" xr:uid="{00000000-0005-0000-0000-0000983B0000}"/>
    <cellStyle name="Input 44 2 4 2 2" xfId="15279" xr:uid="{00000000-0005-0000-0000-0000993B0000}"/>
    <cellStyle name="Input 44 2 4 2 3" xfId="15280" xr:uid="{00000000-0005-0000-0000-00009A3B0000}"/>
    <cellStyle name="Input 44 2 4 3" xfId="15281" xr:uid="{00000000-0005-0000-0000-00009B3B0000}"/>
    <cellStyle name="Input 44 2 4 4" xfId="15282" xr:uid="{00000000-0005-0000-0000-00009C3B0000}"/>
    <cellStyle name="Input 44 2 5" xfId="15283" xr:uid="{00000000-0005-0000-0000-00009D3B0000}"/>
    <cellStyle name="Input 44 2 5 2" xfId="15284" xr:uid="{00000000-0005-0000-0000-00009E3B0000}"/>
    <cellStyle name="Input 44 2 5 2 2" xfId="15285" xr:uid="{00000000-0005-0000-0000-00009F3B0000}"/>
    <cellStyle name="Input 44 2 5 2 3" xfId="15286" xr:uid="{00000000-0005-0000-0000-0000A03B0000}"/>
    <cellStyle name="Input 44 2 5 3" xfId="15287" xr:uid="{00000000-0005-0000-0000-0000A13B0000}"/>
    <cellStyle name="Input 44 2 5 4" xfId="15288" xr:uid="{00000000-0005-0000-0000-0000A23B0000}"/>
    <cellStyle name="Input 44 2 6" xfId="15289" xr:uid="{00000000-0005-0000-0000-0000A33B0000}"/>
    <cellStyle name="Input 44 2 6 2" xfId="15290" xr:uid="{00000000-0005-0000-0000-0000A43B0000}"/>
    <cellStyle name="Input 44 2 6 2 2" xfId="15291" xr:uid="{00000000-0005-0000-0000-0000A53B0000}"/>
    <cellStyle name="Input 44 2 6 2 3" xfId="15292" xr:uid="{00000000-0005-0000-0000-0000A63B0000}"/>
    <cellStyle name="Input 44 2 6 3" xfId="15293" xr:uid="{00000000-0005-0000-0000-0000A73B0000}"/>
    <cellStyle name="Input 44 2 6 4" xfId="15294" xr:uid="{00000000-0005-0000-0000-0000A83B0000}"/>
    <cellStyle name="Input 44 2 7" xfId="15295" xr:uid="{00000000-0005-0000-0000-0000A93B0000}"/>
    <cellStyle name="Input 44 2 7 2" xfId="15296" xr:uid="{00000000-0005-0000-0000-0000AA3B0000}"/>
    <cellStyle name="Input 44 2 7 2 2" xfId="15297" xr:uid="{00000000-0005-0000-0000-0000AB3B0000}"/>
    <cellStyle name="Input 44 2 7 2 3" xfId="15298" xr:uid="{00000000-0005-0000-0000-0000AC3B0000}"/>
    <cellStyle name="Input 44 2 7 3" xfId="15299" xr:uid="{00000000-0005-0000-0000-0000AD3B0000}"/>
    <cellStyle name="Input 44 2 7 4" xfId="15300" xr:uid="{00000000-0005-0000-0000-0000AE3B0000}"/>
    <cellStyle name="Input 44 2 8" xfId="15301" xr:uid="{00000000-0005-0000-0000-0000AF3B0000}"/>
    <cellStyle name="Input 44 2 8 2" xfId="15302" xr:uid="{00000000-0005-0000-0000-0000B03B0000}"/>
    <cellStyle name="Input 44 2 8 2 2" xfId="15303" xr:uid="{00000000-0005-0000-0000-0000B13B0000}"/>
    <cellStyle name="Input 44 2 8 2 3" xfId="15304" xr:uid="{00000000-0005-0000-0000-0000B23B0000}"/>
    <cellStyle name="Input 44 2 8 3" xfId="15305" xr:uid="{00000000-0005-0000-0000-0000B33B0000}"/>
    <cellStyle name="Input 44 2 8 4" xfId="15306" xr:uid="{00000000-0005-0000-0000-0000B43B0000}"/>
    <cellStyle name="Input 44 2 9" xfId="15307" xr:uid="{00000000-0005-0000-0000-0000B53B0000}"/>
    <cellStyle name="Input 44 2 9 2" xfId="15308" xr:uid="{00000000-0005-0000-0000-0000B63B0000}"/>
    <cellStyle name="Input 44 2 9 2 2" xfId="15309" xr:uid="{00000000-0005-0000-0000-0000B73B0000}"/>
    <cellStyle name="Input 44 2 9 2 3" xfId="15310" xr:uid="{00000000-0005-0000-0000-0000B83B0000}"/>
    <cellStyle name="Input 44 2 9 3" xfId="15311" xr:uid="{00000000-0005-0000-0000-0000B93B0000}"/>
    <cellStyle name="Input 44 2 9 4" xfId="15312" xr:uid="{00000000-0005-0000-0000-0000BA3B0000}"/>
    <cellStyle name="Input 44 3" xfId="15313" xr:uid="{00000000-0005-0000-0000-0000BB3B0000}"/>
    <cellStyle name="Input 44 3 2" xfId="15314" xr:uid="{00000000-0005-0000-0000-0000BC3B0000}"/>
    <cellStyle name="Input 44 3 2 2" xfId="15315" xr:uid="{00000000-0005-0000-0000-0000BD3B0000}"/>
    <cellStyle name="Input 44 3 2 3" xfId="15316" xr:uid="{00000000-0005-0000-0000-0000BE3B0000}"/>
    <cellStyle name="Input 44 3 3" xfId="15317" xr:uid="{00000000-0005-0000-0000-0000BF3B0000}"/>
    <cellStyle name="Input 44 3 4" xfId="15318" xr:uid="{00000000-0005-0000-0000-0000C03B0000}"/>
    <cellStyle name="Input 44 4" xfId="15319" xr:uid="{00000000-0005-0000-0000-0000C13B0000}"/>
    <cellStyle name="Input 44 5" xfId="15320" xr:uid="{00000000-0005-0000-0000-0000C23B0000}"/>
    <cellStyle name="Input 45" xfId="15321" xr:uid="{00000000-0005-0000-0000-0000C33B0000}"/>
    <cellStyle name="Input 45 2" xfId="15322" xr:uid="{00000000-0005-0000-0000-0000C43B0000}"/>
    <cellStyle name="Input 45 2 10" xfId="15323" xr:uid="{00000000-0005-0000-0000-0000C53B0000}"/>
    <cellStyle name="Input 45 2 10 2" xfId="15324" xr:uid="{00000000-0005-0000-0000-0000C63B0000}"/>
    <cellStyle name="Input 45 2 10 2 2" xfId="15325" xr:uid="{00000000-0005-0000-0000-0000C73B0000}"/>
    <cellStyle name="Input 45 2 10 2 3" xfId="15326" xr:uid="{00000000-0005-0000-0000-0000C83B0000}"/>
    <cellStyle name="Input 45 2 10 3" xfId="15327" xr:uid="{00000000-0005-0000-0000-0000C93B0000}"/>
    <cellStyle name="Input 45 2 10 4" xfId="15328" xr:uid="{00000000-0005-0000-0000-0000CA3B0000}"/>
    <cellStyle name="Input 45 2 11" xfId="15329" xr:uid="{00000000-0005-0000-0000-0000CB3B0000}"/>
    <cellStyle name="Input 45 2 11 2" xfId="15330" xr:uid="{00000000-0005-0000-0000-0000CC3B0000}"/>
    <cellStyle name="Input 45 2 11 2 2" xfId="15331" xr:uid="{00000000-0005-0000-0000-0000CD3B0000}"/>
    <cellStyle name="Input 45 2 11 2 3" xfId="15332" xr:uid="{00000000-0005-0000-0000-0000CE3B0000}"/>
    <cellStyle name="Input 45 2 11 3" xfId="15333" xr:uid="{00000000-0005-0000-0000-0000CF3B0000}"/>
    <cellStyle name="Input 45 2 11 4" xfId="15334" xr:uid="{00000000-0005-0000-0000-0000D03B0000}"/>
    <cellStyle name="Input 45 2 12" xfId="15335" xr:uid="{00000000-0005-0000-0000-0000D13B0000}"/>
    <cellStyle name="Input 45 2 12 2" xfId="15336" xr:uid="{00000000-0005-0000-0000-0000D23B0000}"/>
    <cellStyle name="Input 45 2 12 2 2" xfId="15337" xr:uid="{00000000-0005-0000-0000-0000D33B0000}"/>
    <cellStyle name="Input 45 2 12 2 3" xfId="15338" xr:uid="{00000000-0005-0000-0000-0000D43B0000}"/>
    <cellStyle name="Input 45 2 12 3" xfId="15339" xr:uid="{00000000-0005-0000-0000-0000D53B0000}"/>
    <cellStyle name="Input 45 2 12 4" xfId="15340" xr:uid="{00000000-0005-0000-0000-0000D63B0000}"/>
    <cellStyle name="Input 45 2 13" xfId="15341" xr:uid="{00000000-0005-0000-0000-0000D73B0000}"/>
    <cellStyle name="Input 45 2 13 2" xfId="15342" xr:uid="{00000000-0005-0000-0000-0000D83B0000}"/>
    <cellStyle name="Input 45 2 13 2 2" xfId="15343" xr:uid="{00000000-0005-0000-0000-0000D93B0000}"/>
    <cellStyle name="Input 45 2 13 2 3" xfId="15344" xr:uid="{00000000-0005-0000-0000-0000DA3B0000}"/>
    <cellStyle name="Input 45 2 13 3" xfId="15345" xr:uid="{00000000-0005-0000-0000-0000DB3B0000}"/>
    <cellStyle name="Input 45 2 13 4" xfId="15346" xr:uid="{00000000-0005-0000-0000-0000DC3B0000}"/>
    <cellStyle name="Input 45 2 14" xfId="15347" xr:uid="{00000000-0005-0000-0000-0000DD3B0000}"/>
    <cellStyle name="Input 45 2 14 2" xfId="15348" xr:uid="{00000000-0005-0000-0000-0000DE3B0000}"/>
    <cellStyle name="Input 45 2 14 2 2" xfId="15349" xr:uid="{00000000-0005-0000-0000-0000DF3B0000}"/>
    <cellStyle name="Input 45 2 14 2 3" xfId="15350" xr:uid="{00000000-0005-0000-0000-0000E03B0000}"/>
    <cellStyle name="Input 45 2 14 3" xfId="15351" xr:uid="{00000000-0005-0000-0000-0000E13B0000}"/>
    <cellStyle name="Input 45 2 14 4" xfId="15352" xr:uid="{00000000-0005-0000-0000-0000E23B0000}"/>
    <cellStyle name="Input 45 2 15" xfId="15353" xr:uid="{00000000-0005-0000-0000-0000E33B0000}"/>
    <cellStyle name="Input 45 2 15 2" xfId="15354" xr:uid="{00000000-0005-0000-0000-0000E43B0000}"/>
    <cellStyle name="Input 45 2 15 2 2" xfId="15355" xr:uid="{00000000-0005-0000-0000-0000E53B0000}"/>
    <cellStyle name="Input 45 2 15 2 3" xfId="15356" xr:uid="{00000000-0005-0000-0000-0000E63B0000}"/>
    <cellStyle name="Input 45 2 15 3" xfId="15357" xr:uid="{00000000-0005-0000-0000-0000E73B0000}"/>
    <cellStyle name="Input 45 2 15 4" xfId="15358" xr:uid="{00000000-0005-0000-0000-0000E83B0000}"/>
    <cellStyle name="Input 45 2 16" xfId="15359" xr:uid="{00000000-0005-0000-0000-0000E93B0000}"/>
    <cellStyle name="Input 45 2 16 2" xfId="15360" xr:uid="{00000000-0005-0000-0000-0000EA3B0000}"/>
    <cellStyle name="Input 45 2 16 2 2" xfId="15361" xr:uid="{00000000-0005-0000-0000-0000EB3B0000}"/>
    <cellStyle name="Input 45 2 16 2 3" xfId="15362" xr:uid="{00000000-0005-0000-0000-0000EC3B0000}"/>
    <cellStyle name="Input 45 2 16 3" xfId="15363" xr:uid="{00000000-0005-0000-0000-0000ED3B0000}"/>
    <cellStyle name="Input 45 2 16 4" xfId="15364" xr:uid="{00000000-0005-0000-0000-0000EE3B0000}"/>
    <cellStyle name="Input 45 2 17" xfId="15365" xr:uid="{00000000-0005-0000-0000-0000EF3B0000}"/>
    <cellStyle name="Input 45 2 17 2" xfId="15366" xr:uid="{00000000-0005-0000-0000-0000F03B0000}"/>
    <cellStyle name="Input 45 2 17 2 2" xfId="15367" xr:uid="{00000000-0005-0000-0000-0000F13B0000}"/>
    <cellStyle name="Input 45 2 17 2 3" xfId="15368" xr:uid="{00000000-0005-0000-0000-0000F23B0000}"/>
    <cellStyle name="Input 45 2 17 3" xfId="15369" xr:uid="{00000000-0005-0000-0000-0000F33B0000}"/>
    <cellStyle name="Input 45 2 17 4" xfId="15370" xr:uid="{00000000-0005-0000-0000-0000F43B0000}"/>
    <cellStyle name="Input 45 2 18" xfId="15371" xr:uid="{00000000-0005-0000-0000-0000F53B0000}"/>
    <cellStyle name="Input 45 2 18 2" xfId="15372" xr:uid="{00000000-0005-0000-0000-0000F63B0000}"/>
    <cellStyle name="Input 45 2 18 3" xfId="15373" xr:uid="{00000000-0005-0000-0000-0000F73B0000}"/>
    <cellStyle name="Input 45 2 18 4" xfId="15374" xr:uid="{00000000-0005-0000-0000-0000F83B0000}"/>
    <cellStyle name="Input 45 2 19" xfId="15375" xr:uid="{00000000-0005-0000-0000-0000F93B0000}"/>
    <cellStyle name="Input 45 2 2" xfId="15376" xr:uid="{00000000-0005-0000-0000-0000FA3B0000}"/>
    <cellStyle name="Input 45 2 2 2" xfId="15377" xr:uid="{00000000-0005-0000-0000-0000FB3B0000}"/>
    <cellStyle name="Input 45 2 2 2 2" xfId="15378" xr:uid="{00000000-0005-0000-0000-0000FC3B0000}"/>
    <cellStyle name="Input 45 2 2 2 3" xfId="15379" xr:uid="{00000000-0005-0000-0000-0000FD3B0000}"/>
    <cellStyle name="Input 45 2 2 3" xfId="15380" xr:uid="{00000000-0005-0000-0000-0000FE3B0000}"/>
    <cellStyle name="Input 45 2 2 4" xfId="15381" xr:uid="{00000000-0005-0000-0000-0000FF3B0000}"/>
    <cellStyle name="Input 45 2 20" xfId="15382" xr:uid="{00000000-0005-0000-0000-0000003C0000}"/>
    <cellStyle name="Input 45 2 21" xfId="15383" xr:uid="{00000000-0005-0000-0000-0000013C0000}"/>
    <cellStyle name="Input 45 2 3" xfId="15384" xr:uid="{00000000-0005-0000-0000-0000023C0000}"/>
    <cellStyle name="Input 45 2 3 2" xfId="15385" xr:uid="{00000000-0005-0000-0000-0000033C0000}"/>
    <cellStyle name="Input 45 2 3 2 2" xfId="15386" xr:uid="{00000000-0005-0000-0000-0000043C0000}"/>
    <cellStyle name="Input 45 2 3 2 3" xfId="15387" xr:uid="{00000000-0005-0000-0000-0000053C0000}"/>
    <cellStyle name="Input 45 2 3 3" xfId="15388" xr:uid="{00000000-0005-0000-0000-0000063C0000}"/>
    <cellStyle name="Input 45 2 3 4" xfId="15389" xr:uid="{00000000-0005-0000-0000-0000073C0000}"/>
    <cellStyle name="Input 45 2 4" xfId="15390" xr:uid="{00000000-0005-0000-0000-0000083C0000}"/>
    <cellStyle name="Input 45 2 4 2" xfId="15391" xr:uid="{00000000-0005-0000-0000-0000093C0000}"/>
    <cellStyle name="Input 45 2 4 2 2" xfId="15392" xr:uid="{00000000-0005-0000-0000-00000A3C0000}"/>
    <cellStyle name="Input 45 2 4 2 3" xfId="15393" xr:uid="{00000000-0005-0000-0000-00000B3C0000}"/>
    <cellStyle name="Input 45 2 4 3" xfId="15394" xr:uid="{00000000-0005-0000-0000-00000C3C0000}"/>
    <cellStyle name="Input 45 2 4 4" xfId="15395" xr:uid="{00000000-0005-0000-0000-00000D3C0000}"/>
    <cellStyle name="Input 45 2 5" xfId="15396" xr:uid="{00000000-0005-0000-0000-00000E3C0000}"/>
    <cellStyle name="Input 45 2 5 2" xfId="15397" xr:uid="{00000000-0005-0000-0000-00000F3C0000}"/>
    <cellStyle name="Input 45 2 5 2 2" xfId="15398" xr:uid="{00000000-0005-0000-0000-0000103C0000}"/>
    <cellStyle name="Input 45 2 5 2 3" xfId="15399" xr:uid="{00000000-0005-0000-0000-0000113C0000}"/>
    <cellStyle name="Input 45 2 5 3" xfId="15400" xr:uid="{00000000-0005-0000-0000-0000123C0000}"/>
    <cellStyle name="Input 45 2 5 4" xfId="15401" xr:uid="{00000000-0005-0000-0000-0000133C0000}"/>
    <cellStyle name="Input 45 2 6" xfId="15402" xr:uid="{00000000-0005-0000-0000-0000143C0000}"/>
    <cellStyle name="Input 45 2 6 2" xfId="15403" xr:uid="{00000000-0005-0000-0000-0000153C0000}"/>
    <cellStyle name="Input 45 2 6 2 2" xfId="15404" xr:uid="{00000000-0005-0000-0000-0000163C0000}"/>
    <cellStyle name="Input 45 2 6 2 3" xfId="15405" xr:uid="{00000000-0005-0000-0000-0000173C0000}"/>
    <cellStyle name="Input 45 2 6 3" xfId="15406" xr:uid="{00000000-0005-0000-0000-0000183C0000}"/>
    <cellStyle name="Input 45 2 6 4" xfId="15407" xr:uid="{00000000-0005-0000-0000-0000193C0000}"/>
    <cellStyle name="Input 45 2 7" xfId="15408" xr:uid="{00000000-0005-0000-0000-00001A3C0000}"/>
    <cellStyle name="Input 45 2 7 2" xfId="15409" xr:uid="{00000000-0005-0000-0000-00001B3C0000}"/>
    <cellStyle name="Input 45 2 7 2 2" xfId="15410" xr:uid="{00000000-0005-0000-0000-00001C3C0000}"/>
    <cellStyle name="Input 45 2 7 2 3" xfId="15411" xr:uid="{00000000-0005-0000-0000-00001D3C0000}"/>
    <cellStyle name="Input 45 2 7 3" xfId="15412" xr:uid="{00000000-0005-0000-0000-00001E3C0000}"/>
    <cellStyle name="Input 45 2 7 4" xfId="15413" xr:uid="{00000000-0005-0000-0000-00001F3C0000}"/>
    <cellStyle name="Input 45 2 8" xfId="15414" xr:uid="{00000000-0005-0000-0000-0000203C0000}"/>
    <cellStyle name="Input 45 2 8 2" xfId="15415" xr:uid="{00000000-0005-0000-0000-0000213C0000}"/>
    <cellStyle name="Input 45 2 8 2 2" xfId="15416" xr:uid="{00000000-0005-0000-0000-0000223C0000}"/>
    <cellStyle name="Input 45 2 8 2 3" xfId="15417" xr:uid="{00000000-0005-0000-0000-0000233C0000}"/>
    <cellStyle name="Input 45 2 8 3" xfId="15418" xr:uid="{00000000-0005-0000-0000-0000243C0000}"/>
    <cellStyle name="Input 45 2 8 4" xfId="15419" xr:uid="{00000000-0005-0000-0000-0000253C0000}"/>
    <cellStyle name="Input 45 2 9" xfId="15420" xr:uid="{00000000-0005-0000-0000-0000263C0000}"/>
    <cellStyle name="Input 45 2 9 2" xfId="15421" xr:uid="{00000000-0005-0000-0000-0000273C0000}"/>
    <cellStyle name="Input 45 2 9 2 2" xfId="15422" xr:uid="{00000000-0005-0000-0000-0000283C0000}"/>
    <cellStyle name="Input 45 2 9 2 3" xfId="15423" xr:uid="{00000000-0005-0000-0000-0000293C0000}"/>
    <cellStyle name="Input 45 2 9 3" xfId="15424" xr:uid="{00000000-0005-0000-0000-00002A3C0000}"/>
    <cellStyle name="Input 45 2 9 4" xfId="15425" xr:uid="{00000000-0005-0000-0000-00002B3C0000}"/>
    <cellStyle name="Input 45 3" xfId="15426" xr:uid="{00000000-0005-0000-0000-00002C3C0000}"/>
    <cellStyle name="Input 45 3 2" xfId="15427" xr:uid="{00000000-0005-0000-0000-00002D3C0000}"/>
    <cellStyle name="Input 45 3 2 2" xfId="15428" xr:uid="{00000000-0005-0000-0000-00002E3C0000}"/>
    <cellStyle name="Input 45 3 2 3" xfId="15429" xr:uid="{00000000-0005-0000-0000-00002F3C0000}"/>
    <cellStyle name="Input 45 3 3" xfId="15430" xr:uid="{00000000-0005-0000-0000-0000303C0000}"/>
    <cellStyle name="Input 45 3 4" xfId="15431" xr:uid="{00000000-0005-0000-0000-0000313C0000}"/>
    <cellStyle name="Input 45 4" xfId="15432" xr:uid="{00000000-0005-0000-0000-0000323C0000}"/>
    <cellStyle name="Input 45 5" xfId="15433" xr:uid="{00000000-0005-0000-0000-0000333C0000}"/>
    <cellStyle name="Input 46" xfId="15434" xr:uid="{00000000-0005-0000-0000-0000343C0000}"/>
    <cellStyle name="Input 46 2" xfId="15435" xr:uid="{00000000-0005-0000-0000-0000353C0000}"/>
    <cellStyle name="Input 46 2 10" xfId="15436" xr:uid="{00000000-0005-0000-0000-0000363C0000}"/>
    <cellStyle name="Input 46 2 10 2" xfId="15437" xr:uid="{00000000-0005-0000-0000-0000373C0000}"/>
    <cellStyle name="Input 46 2 10 2 2" xfId="15438" xr:uid="{00000000-0005-0000-0000-0000383C0000}"/>
    <cellStyle name="Input 46 2 10 2 3" xfId="15439" xr:uid="{00000000-0005-0000-0000-0000393C0000}"/>
    <cellStyle name="Input 46 2 10 3" xfId="15440" xr:uid="{00000000-0005-0000-0000-00003A3C0000}"/>
    <cellStyle name="Input 46 2 10 4" xfId="15441" xr:uid="{00000000-0005-0000-0000-00003B3C0000}"/>
    <cellStyle name="Input 46 2 11" xfId="15442" xr:uid="{00000000-0005-0000-0000-00003C3C0000}"/>
    <cellStyle name="Input 46 2 11 2" xfId="15443" xr:uid="{00000000-0005-0000-0000-00003D3C0000}"/>
    <cellStyle name="Input 46 2 11 2 2" xfId="15444" xr:uid="{00000000-0005-0000-0000-00003E3C0000}"/>
    <cellStyle name="Input 46 2 11 2 3" xfId="15445" xr:uid="{00000000-0005-0000-0000-00003F3C0000}"/>
    <cellStyle name="Input 46 2 11 3" xfId="15446" xr:uid="{00000000-0005-0000-0000-0000403C0000}"/>
    <cellStyle name="Input 46 2 11 4" xfId="15447" xr:uid="{00000000-0005-0000-0000-0000413C0000}"/>
    <cellStyle name="Input 46 2 12" xfId="15448" xr:uid="{00000000-0005-0000-0000-0000423C0000}"/>
    <cellStyle name="Input 46 2 12 2" xfId="15449" xr:uid="{00000000-0005-0000-0000-0000433C0000}"/>
    <cellStyle name="Input 46 2 12 2 2" xfId="15450" xr:uid="{00000000-0005-0000-0000-0000443C0000}"/>
    <cellStyle name="Input 46 2 12 2 3" xfId="15451" xr:uid="{00000000-0005-0000-0000-0000453C0000}"/>
    <cellStyle name="Input 46 2 12 3" xfId="15452" xr:uid="{00000000-0005-0000-0000-0000463C0000}"/>
    <cellStyle name="Input 46 2 12 4" xfId="15453" xr:uid="{00000000-0005-0000-0000-0000473C0000}"/>
    <cellStyle name="Input 46 2 13" xfId="15454" xr:uid="{00000000-0005-0000-0000-0000483C0000}"/>
    <cellStyle name="Input 46 2 13 2" xfId="15455" xr:uid="{00000000-0005-0000-0000-0000493C0000}"/>
    <cellStyle name="Input 46 2 13 2 2" xfId="15456" xr:uid="{00000000-0005-0000-0000-00004A3C0000}"/>
    <cellStyle name="Input 46 2 13 2 3" xfId="15457" xr:uid="{00000000-0005-0000-0000-00004B3C0000}"/>
    <cellStyle name="Input 46 2 13 3" xfId="15458" xr:uid="{00000000-0005-0000-0000-00004C3C0000}"/>
    <cellStyle name="Input 46 2 13 4" xfId="15459" xr:uid="{00000000-0005-0000-0000-00004D3C0000}"/>
    <cellStyle name="Input 46 2 14" xfId="15460" xr:uid="{00000000-0005-0000-0000-00004E3C0000}"/>
    <cellStyle name="Input 46 2 14 2" xfId="15461" xr:uid="{00000000-0005-0000-0000-00004F3C0000}"/>
    <cellStyle name="Input 46 2 14 2 2" xfId="15462" xr:uid="{00000000-0005-0000-0000-0000503C0000}"/>
    <cellStyle name="Input 46 2 14 2 3" xfId="15463" xr:uid="{00000000-0005-0000-0000-0000513C0000}"/>
    <cellStyle name="Input 46 2 14 3" xfId="15464" xr:uid="{00000000-0005-0000-0000-0000523C0000}"/>
    <cellStyle name="Input 46 2 14 4" xfId="15465" xr:uid="{00000000-0005-0000-0000-0000533C0000}"/>
    <cellStyle name="Input 46 2 15" xfId="15466" xr:uid="{00000000-0005-0000-0000-0000543C0000}"/>
    <cellStyle name="Input 46 2 15 2" xfId="15467" xr:uid="{00000000-0005-0000-0000-0000553C0000}"/>
    <cellStyle name="Input 46 2 15 2 2" xfId="15468" xr:uid="{00000000-0005-0000-0000-0000563C0000}"/>
    <cellStyle name="Input 46 2 15 2 3" xfId="15469" xr:uid="{00000000-0005-0000-0000-0000573C0000}"/>
    <cellStyle name="Input 46 2 15 3" xfId="15470" xr:uid="{00000000-0005-0000-0000-0000583C0000}"/>
    <cellStyle name="Input 46 2 15 4" xfId="15471" xr:uid="{00000000-0005-0000-0000-0000593C0000}"/>
    <cellStyle name="Input 46 2 16" xfId="15472" xr:uid="{00000000-0005-0000-0000-00005A3C0000}"/>
    <cellStyle name="Input 46 2 16 2" xfId="15473" xr:uid="{00000000-0005-0000-0000-00005B3C0000}"/>
    <cellStyle name="Input 46 2 16 2 2" xfId="15474" xr:uid="{00000000-0005-0000-0000-00005C3C0000}"/>
    <cellStyle name="Input 46 2 16 2 3" xfId="15475" xr:uid="{00000000-0005-0000-0000-00005D3C0000}"/>
    <cellStyle name="Input 46 2 16 3" xfId="15476" xr:uid="{00000000-0005-0000-0000-00005E3C0000}"/>
    <cellStyle name="Input 46 2 16 4" xfId="15477" xr:uid="{00000000-0005-0000-0000-00005F3C0000}"/>
    <cellStyle name="Input 46 2 17" xfId="15478" xr:uid="{00000000-0005-0000-0000-0000603C0000}"/>
    <cellStyle name="Input 46 2 17 2" xfId="15479" xr:uid="{00000000-0005-0000-0000-0000613C0000}"/>
    <cellStyle name="Input 46 2 17 2 2" xfId="15480" xr:uid="{00000000-0005-0000-0000-0000623C0000}"/>
    <cellStyle name="Input 46 2 17 2 3" xfId="15481" xr:uid="{00000000-0005-0000-0000-0000633C0000}"/>
    <cellStyle name="Input 46 2 17 3" xfId="15482" xr:uid="{00000000-0005-0000-0000-0000643C0000}"/>
    <cellStyle name="Input 46 2 17 4" xfId="15483" xr:uid="{00000000-0005-0000-0000-0000653C0000}"/>
    <cellStyle name="Input 46 2 18" xfId="15484" xr:uid="{00000000-0005-0000-0000-0000663C0000}"/>
    <cellStyle name="Input 46 2 18 2" xfId="15485" xr:uid="{00000000-0005-0000-0000-0000673C0000}"/>
    <cellStyle name="Input 46 2 18 3" xfId="15486" xr:uid="{00000000-0005-0000-0000-0000683C0000}"/>
    <cellStyle name="Input 46 2 18 4" xfId="15487" xr:uid="{00000000-0005-0000-0000-0000693C0000}"/>
    <cellStyle name="Input 46 2 19" xfId="15488" xr:uid="{00000000-0005-0000-0000-00006A3C0000}"/>
    <cellStyle name="Input 46 2 2" xfId="15489" xr:uid="{00000000-0005-0000-0000-00006B3C0000}"/>
    <cellStyle name="Input 46 2 2 2" xfId="15490" xr:uid="{00000000-0005-0000-0000-00006C3C0000}"/>
    <cellStyle name="Input 46 2 2 2 2" xfId="15491" xr:uid="{00000000-0005-0000-0000-00006D3C0000}"/>
    <cellStyle name="Input 46 2 2 2 3" xfId="15492" xr:uid="{00000000-0005-0000-0000-00006E3C0000}"/>
    <cellStyle name="Input 46 2 2 3" xfId="15493" xr:uid="{00000000-0005-0000-0000-00006F3C0000}"/>
    <cellStyle name="Input 46 2 2 4" xfId="15494" xr:uid="{00000000-0005-0000-0000-0000703C0000}"/>
    <cellStyle name="Input 46 2 20" xfId="15495" xr:uid="{00000000-0005-0000-0000-0000713C0000}"/>
    <cellStyle name="Input 46 2 21" xfId="15496" xr:uid="{00000000-0005-0000-0000-0000723C0000}"/>
    <cellStyle name="Input 46 2 3" xfId="15497" xr:uid="{00000000-0005-0000-0000-0000733C0000}"/>
    <cellStyle name="Input 46 2 3 2" xfId="15498" xr:uid="{00000000-0005-0000-0000-0000743C0000}"/>
    <cellStyle name="Input 46 2 3 2 2" xfId="15499" xr:uid="{00000000-0005-0000-0000-0000753C0000}"/>
    <cellStyle name="Input 46 2 3 2 3" xfId="15500" xr:uid="{00000000-0005-0000-0000-0000763C0000}"/>
    <cellStyle name="Input 46 2 3 3" xfId="15501" xr:uid="{00000000-0005-0000-0000-0000773C0000}"/>
    <cellStyle name="Input 46 2 3 4" xfId="15502" xr:uid="{00000000-0005-0000-0000-0000783C0000}"/>
    <cellStyle name="Input 46 2 4" xfId="15503" xr:uid="{00000000-0005-0000-0000-0000793C0000}"/>
    <cellStyle name="Input 46 2 4 2" xfId="15504" xr:uid="{00000000-0005-0000-0000-00007A3C0000}"/>
    <cellStyle name="Input 46 2 4 2 2" xfId="15505" xr:uid="{00000000-0005-0000-0000-00007B3C0000}"/>
    <cellStyle name="Input 46 2 4 2 3" xfId="15506" xr:uid="{00000000-0005-0000-0000-00007C3C0000}"/>
    <cellStyle name="Input 46 2 4 3" xfId="15507" xr:uid="{00000000-0005-0000-0000-00007D3C0000}"/>
    <cellStyle name="Input 46 2 4 4" xfId="15508" xr:uid="{00000000-0005-0000-0000-00007E3C0000}"/>
    <cellStyle name="Input 46 2 5" xfId="15509" xr:uid="{00000000-0005-0000-0000-00007F3C0000}"/>
    <cellStyle name="Input 46 2 5 2" xfId="15510" xr:uid="{00000000-0005-0000-0000-0000803C0000}"/>
    <cellStyle name="Input 46 2 5 2 2" xfId="15511" xr:uid="{00000000-0005-0000-0000-0000813C0000}"/>
    <cellStyle name="Input 46 2 5 2 3" xfId="15512" xr:uid="{00000000-0005-0000-0000-0000823C0000}"/>
    <cellStyle name="Input 46 2 5 3" xfId="15513" xr:uid="{00000000-0005-0000-0000-0000833C0000}"/>
    <cellStyle name="Input 46 2 5 4" xfId="15514" xr:uid="{00000000-0005-0000-0000-0000843C0000}"/>
    <cellStyle name="Input 46 2 6" xfId="15515" xr:uid="{00000000-0005-0000-0000-0000853C0000}"/>
    <cellStyle name="Input 46 2 6 2" xfId="15516" xr:uid="{00000000-0005-0000-0000-0000863C0000}"/>
    <cellStyle name="Input 46 2 6 2 2" xfId="15517" xr:uid="{00000000-0005-0000-0000-0000873C0000}"/>
    <cellStyle name="Input 46 2 6 2 3" xfId="15518" xr:uid="{00000000-0005-0000-0000-0000883C0000}"/>
    <cellStyle name="Input 46 2 6 3" xfId="15519" xr:uid="{00000000-0005-0000-0000-0000893C0000}"/>
    <cellStyle name="Input 46 2 6 4" xfId="15520" xr:uid="{00000000-0005-0000-0000-00008A3C0000}"/>
    <cellStyle name="Input 46 2 7" xfId="15521" xr:uid="{00000000-0005-0000-0000-00008B3C0000}"/>
    <cellStyle name="Input 46 2 7 2" xfId="15522" xr:uid="{00000000-0005-0000-0000-00008C3C0000}"/>
    <cellStyle name="Input 46 2 7 2 2" xfId="15523" xr:uid="{00000000-0005-0000-0000-00008D3C0000}"/>
    <cellStyle name="Input 46 2 7 2 3" xfId="15524" xr:uid="{00000000-0005-0000-0000-00008E3C0000}"/>
    <cellStyle name="Input 46 2 7 3" xfId="15525" xr:uid="{00000000-0005-0000-0000-00008F3C0000}"/>
    <cellStyle name="Input 46 2 7 4" xfId="15526" xr:uid="{00000000-0005-0000-0000-0000903C0000}"/>
    <cellStyle name="Input 46 2 8" xfId="15527" xr:uid="{00000000-0005-0000-0000-0000913C0000}"/>
    <cellStyle name="Input 46 2 8 2" xfId="15528" xr:uid="{00000000-0005-0000-0000-0000923C0000}"/>
    <cellStyle name="Input 46 2 8 2 2" xfId="15529" xr:uid="{00000000-0005-0000-0000-0000933C0000}"/>
    <cellStyle name="Input 46 2 8 2 3" xfId="15530" xr:uid="{00000000-0005-0000-0000-0000943C0000}"/>
    <cellStyle name="Input 46 2 8 3" xfId="15531" xr:uid="{00000000-0005-0000-0000-0000953C0000}"/>
    <cellStyle name="Input 46 2 8 4" xfId="15532" xr:uid="{00000000-0005-0000-0000-0000963C0000}"/>
    <cellStyle name="Input 46 2 9" xfId="15533" xr:uid="{00000000-0005-0000-0000-0000973C0000}"/>
    <cellStyle name="Input 46 2 9 2" xfId="15534" xr:uid="{00000000-0005-0000-0000-0000983C0000}"/>
    <cellStyle name="Input 46 2 9 2 2" xfId="15535" xr:uid="{00000000-0005-0000-0000-0000993C0000}"/>
    <cellStyle name="Input 46 2 9 2 3" xfId="15536" xr:uid="{00000000-0005-0000-0000-00009A3C0000}"/>
    <cellStyle name="Input 46 2 9 3" xfId="15537" xr:uid="{00000000-0005-0000-0000-00009B3C0000}"/>
    <cellStyle name="Input 46 2 9 4" xfId="15538" xr:uid="{00000000-0005-0000-0000-00009C3C0000}"/>
    <cellStyle name="Input 46 3" xfId="15539" xr:uid="{00000000-0005-0000-0000-00009D3C0000}"/>
    <cellStyle name="Input 46 3 2" xfId="15540" xr:uid="{00000000-0005-0000-0000-00009E3C0000}"/>
    <cellStyle name="Input 46 3 2 2" xfId="15541" xr:uid="{00000000-0005-0000-0000-00009F3C0000}"/>
    <cellStyle name="Input 46 3 2 3" xfId="15542" xr:uid="{00000000-0005-0000-0000-0000A03C0000}"/>
    <cellStyle name="Input 46 3 3" xfId="15543" xr:uid="{00000000-0005-0000-0000-0000A13C0000}"/>
    <cellStyle name="Input 46 3 4" xfId="15544" xr:uid="{00000000-0005-0000-0000-0000A23C0000}"/>
    <cellStyle name="Input 46 4" xfId="15545" xr:uid="{00000000-0005-0000-0000-0000A33C0000}"/>
    <cellStyle name="Input 46 5" xfId="15546" xr:uid="{00000000-0005-0000-0000-0000A43C0000}"/>
    <cellStyle name="Input 47" xfId="15547" xr:uid="{00000000-0005-0000-0000-0000A53C0000}"/>
    <cellStyle name="Input 47 2" xfId="15548" xr:uid="{00000000-0005-0000-0000-0000A63C0000}"/>
    <cellStyle name="Input 48" xfId="15549" xr:uid="{00000000-0005-0000-0000-0000A73C0000}"/>
    <cellStyle name="Input 49" xfId="15550" xr:uid="{00000000-0005-0000-0000-0000A83C0000}"/>
    <cellStyle name="Input 5" xfId="15551" xr:uid="{00000000-0005-0000-0000-0000A93C0000}"/>
    <cellStyle name="Input 5 2" xfId="15552" xr:uid="{00000000-0005-0000-0000-0000AA3C0000}"/>
    <cellStyle name="Input 5 2 10" xfId="15553" xr:uid="{00000000-0005-0000-0000-0000AB3C0000}"/>
    <cellStyle name="Input 5 2 10 2" xfId="15554" xr:uid="{00000000-0005-0000-0000-0000AC3C0000}"/>
    <cellStyle name="Input 5 2 10 2 2" xfId="15555" xr:uid="{00000000-0005-0000-0000-0000AD3C0000}"/>
    <cellStyle name="Input 5 2 10 2 3" xfId="15556" xr:uid="{00000000-0005-0000-0000-0000AE3C0000}"/>
    <cellStyle name="Input 5 2 10 3" xfId="15557" xr:uid="{00000000-0005-0000-0000-0000AF3C0000}"/>
    <cellStyle name="Input 5 2 10 4" xfId="15558" xr:uid="{00000000-0005-0000-0000-0000B03C0000}"/>
    <cellStyle name="Input 5 2 11" xfId="15559" xr:uid="{00000000-0005-0000-0000-0000B13C0000}"/>
    <cellStyle name="Input 5 2 11 2" xfId="15560" xr:uid="{00000000-0005-0000-0000-0000B23C0000}"/>
    <cellStyle name="Input 5 2 11 2 2" xfId="15561" xr:uid="{00000000-0005-0000-0000-0000B33C0000}"/>
    <cellStyle name="Input 5 2 11 2 3" xfId="15562" xr:uid="{00000000-0005-0000-0000-0000B43C0000}"/>
    <cellStyle name="Input 5 2 11 3" xfId="15563" xr:uid="{00000000-0005-0000-0000-0000B53C0000}"/>
    <cellStyle name="Input 5 2 11 4" xfId="15564" xr:uid="{00000000-0005-0000-0000-0000B63C0000}"/>
    <cellStyle name="Input 5 2 12" xfId="15565" xr:uid="{00000000-0005-0000-0000-0000B73C0000}"/>
    <cellStyle name="Input 5 2 12 2" xfId="15566" xr:uid="{00000000-0005-0000-0000-0000B83C0000}"/>
    <cellStyle name="Input 5 2 12 2 2" xfId="15567" xr:uid="{00000000-0005-0000-0000-0000B93C0000}"/>
    <cellStyle name="Input 5 2 12 2 3" xfId="15568" xr:uid="{00000000-0005-0000-0000-0000BA3C0000}"/>
    <cellStyle name="Input 5 2 12 3" xfId="15569" xr:uid="{00000000-0005-0000-0000-0000BB3C0000}"/>
    <cellStyle name="Input 5 2 12 4" xfId="15570" xr:uid="{00000000-0005-0000-0000-0000BC3C0000}"/>
    <cellStyle name="Input 5 2 13" xfId="15571" xr:uid="{00000000-0005-0000-0000-0000BD3C0000}"/>
    <cellStyle name="Input 5 2 13 2" xfId="15572" xr:uid="{00000000-0005-0000-0000-0000BE3C0000}"/>
    <cellStyle name="Input 5 2 13 2 2" xfId="15573" xr:uid="{00000000-0005-0000-0000-0000BF3C0000}"/>
    <cellStyle name="Input 5 2 13 2 3" xfId="15574" xr:uid="{00000000-0005-0000-0000-0000C03C0000}"/>
    <cellStyle name="Input 5 2 13 3" xfId="15575" xr:uid="{00000000-0005-0000-0000-0000C13C0000}"/>
    <cellStyle name="Input 5 2 13 4" xfId="15576" xr:uid="{00000000-0005-0000-0000-0000C23C0000}"/>
    <cellStyle name="Input 5 2 14" xfId="15577" xr:uid="{00000000-0005-0000-0000-0000C33C0000}"/>
    <cellStyle name="Input 5 2 14 2" xfId="15578" xr:uid="{00000000-0005-0000-0000-0000C43C0000}"/>
    <cellStyle name="Input 5 2 14 2 2" xfId="15579" xr:uid="{00000000-0005-0000-0000-0000C53C0000}"/>
    <cellStyle name="Input 5 2 14 2 3" xfId="15580" xr:uid="{00000000-0005-0000-0000-0000C63C0000}"/>
    <cellStyle name="Input 5 2 14 3" xfId="15581" xr:uid="{00000000-0005-0000-0000-0000C73C0000}"/>
    <cellStyle name="Input 5 2 14 4" xfId="15582" xr:uid="{00000000-0005-0000-0000-0000C83C0000}"/>
    <cellStyle name="Input 5 2 15" xfId="15583" xr:uid="{00000000-0005-0000-0000-0000C93C0000}"/>
    <cellStyle name="Input 5 2 15 2" xfId="15584" xr:uid="{00000000-0005-0000-0000-0000CA3C0000}"/>
    <cellStyle name="Input 5 2 15 2 2" xfId="15585" xr:uid="{00000000-0005-0000-0000-0000CB3C0000}"/>
    <cellStyle name="Input 5 2 15 2 3" xfId="15586" xr:uid="{00000000-0005-0000-0000-0000CC3C0000}"/>
    <cellStyle name="Input 5 2 15 3" xfId="15587" xr:uid="{00000000-0005-0000-0000-0000CD3C0000}"/>
    <cellStyle name="Input 5 2 15 4" xfId="15588" xr:uid="{00000000-0005-0000-0000-0000CE3C0000}"/>
    <cellStyle name="Input 5 2 16" xfId="15589" xr:uid="{00000000-0005-0000-0000-0000CF3C0000}"/>
    <cellStyle name="Input 5 2 16 2" xfId="15590" xr:uid="{00000000-0005-0000-0000-0000D03C0000}"/>
    <cellStyle name="Input 5 2 16 2 2" xfId="15591" xr:uid="{00000000-0005-0000-0000-0000D13C0000}"/>
    <cellStyle name="Input 5 2 16 2 3" xfId="15592" xr:uid="{00000000-0005-0000-0000-0000D23C0000}"/>
    <cellStyle name="Input 5 2 16 3" xfId="15593" xr:uid="{00000000-0005-0000-0000-0000D33C0000}"/>
    <cellStyle name="Input 5 2 16 4" xfId="15594" xr:uid="{00000000-0005-0000-0000-0000D43C0000}"/>
    <cellStyle name="Input 5 2 17" xfId="15595" xr:uid="{00000000-0005-0000-0000-0000D53C0000}"/>
    <cellStyle name="Input 5 2 17 2" xfId="15596" xr:uid="{00000000-0005-0000-0000-0000D63C0000}"/>
    <cellStyle name="Input 5 2 17 2 2" xfId="15597" xr:uid="{00000000-0005-0000-0000-0000D73C0000}"/>
    <cellStyle name="Input 5 2 17 2 3" xfId="15598" xr:uid="{00000000-0005-0000-0000-0000D83C0000}"/>
    <cellStyle name="Input 5 2 17 3" xfId="15599" xr:uid="{00000000-0005-0000-0000-0000D93C0000}"/>
    <cellStyle name="Input 5 2 17 4" xfId="15600" xr:uid="{00000000-0005-0000-0000-0000DA3C0000}"/>
    <cellStyle name="Input 5 2 18" xfId="15601" xr:uid="{00000000-0005-0000-0000-0000DB3C0000}"/>
    <cellStyle name="Input 5 2 18 2" xfId="15602" xr:uid="{00000000-0005-0000-0000-0000DC3C0000}"/>
    <cellStyle name="Input 5 2 18 3" xfId="15603" xr:uid="{00000000-0005-0000-0000-0000DD3C0000}"/>
    <cellStyle name="Input 5 2 18 4" xfId="15604" xr:uid="{00000000-0005-0000-0000-0000DE3C0000}"/>
    <cellStyle name="Input 5 2 19" xfId="15605" xr:uid="{00000000-0005-0000-0000-0000DF3C0000}"/>
    <cellStyle name="Input 5 2 2" xfId="15606" xr:uid="{00000000-0005-0000-0000-0000E03C0000}"/>
    <cellStyle name="Input 5 2 2 2" xfId="15607" xr:uid="{00000000-0005-0000-0000-0000E13C0000}"/>
    <cellStyle name="Input 5 2 2 2 2" xfId="15608" xr:uid="{00000000-0005-0000-0000-0000E23C0000}"/>
    <cellStyle name="Input 5 2 2 2 3" xfId="15609" xr:uid="{00000000-0005-0000-0000-0000E33C0000}"/>
    <cellStyle name="Input 5 2 2 3" xfId="15610" xr:uid="{00000000-0005-0000-0000-0000E43C0000}"/>
    <cellStyle name="Input 5 2 2 4" xfId="15611" xr:uid="{00000000-0005-0000-0000-0000E53C0000}"/>
    <cellStyle name="Input 5 2 20" xfId="15612" xr:uid="{00000000-0005-0000-0000-0000E63C0000}"/>
    <cellStyle name="Input 5 2 21" xfId="15613" xr:uid="{00000000-0005-0000-0000-0000E73C0000}"/>
    <cellStyle name="Input 5 2 3" xfId="15614" xr:uid="{00000000-0005-0000-0000-0000E83C0000}"/>
    <cellStyle name="Input 5 2 3 2" xfId="15615" xr:uid="{00000000-0005-0000-0000-0000E93C0000}"/>
    <cellStyle name="Input 5 2 3 2 2" xfId="15616" xr:uid="{00000000-0005-0000-0000-0000EA3C0000}"/>
    <cellStyle name="Input 5 2 3 2 3" xfId="15617" xr:uid="{00000000-0005-0000-0000-0000EB3C0000}"/>
    <cellStyle name="Input 5 2 3 3" xfId="15618" xr:uid="{00000000-0005-0000-0000-0000EC3C0000}"/>
    <cellStyle name="Input 5 2 3 4" xfId="15619" xr:uid="{00000000-0005-0000-0000-0000ED3C0000}"/>
    <cellStyle name="Input 5 2 4" xfId="15620" xr:uid="{00000000-0005-0000-0000-0000EE3C0000}"/>
    <cellStyle name="Input 5 2 4 2" xfId="15621" xr:uid="{00000000-0005-0000-0000-0000EF3C0000}"/>
    <cellStyle name="Input 5 2 4 2 2" xfId="15622" xr:uid="{00000000-0005-0000-0000-0000F03C0000}"/>
    <cellStyle name="Input 5 2 4 2 3" xfId="15623" xr:uid="{00000000-0005-0000-0000-0000F13C0000}"/>
    <cellStyle name="Input 5 2 4 3" xfId="15624" xr:uid="{00000000-0005-0000-0000-0000F23C0000}"/>
    <cellStyle name="Input 5 2 4 4" xfId="15625" xr:uid="{00000000-0005-0000-0000-0000F33C0000}"/>
    <cellStyle name="Input 5 2 5" xfId="15626" xr:uid="{00000000-0005-0000-0000-0000F43C0000}"/>
    <cellStyle name="Input 5 2 5 2" xfId="15627" xr:uid="{00000000-0005-0000-0000-0000F53C0000}"/>
    <cellStyle name="Input 5 2 5 2 2" xfId="15628" xr:uid="{00000000-0005-0000-0000-0000F63C0000}"/>
    <cellStyle name="Input 5 2 5 2 3" xfId="15629" xr:uid="{00000000-0005-0000-0000-0000F73C0000}"/>
    <cellStyle name="Input 5 2 5 3" xfId="15630" xr:uid="{00000000-0005-0000-0000-0000F83C0000}"/>
    <cellStyle name="Input 5 2 5 4" xfId="15631" xr:uid="{00000000-0005-0000-0000-0000F93C0000}"/>
    <cellStyle name="Input 5 2 6" xfId="15632" xr:uid="{00000000-0005-0000-0000-0000FA3C0000}"/>
    <cellStyle name="Input 5 2 6 2" xfId="15633" xr:uid="{00000000-0005-0000-0000-0000FB3C0000}"/>
    <cellStyle name="Input 5 2 6 2 2" xfId="15634" xr:uid="{00000000-0005-0000-0000-0000FC3C0000}"/>
    <cellStyle name="Input 5 2 6 2 3" xfId="15635" xr:uid="{00000000-0005-0000-0000-0000FD3C0000}"/>
    <cellStyle name="Input 5 2 6 3" xfId="15636" xr:uid="{00000000-0005-0000-0000-0000FE3C0000}"/>
    <cellStyle name="Input 5 2 6 4" xfId="15637" xr:uid="{00000000-0005-0000-0000-0000FF3C0000}"/>
    <cellStyle name="Input 5 2 7" xfId="15638" xr:uid="{00000000-0005-0000-0000-0000003D0000}"/>
    <cellStyle name="Input 5 2 7 2" xfId="15639" xr:uid="{00000000-0005-0000-0000-0000013D0000}"/>
    <cellStyle name="Input 5 2 7 2 2" xfId="15640" xr:uid="{00000000-0005-0000-0000-0000023D0000}"/>
    <cellStyle name="Input 5 2 7 2 3" xfId="15641" xr:uid="{00000000-0005-0000-0000-0000033D0000}"/>
    <cellStyle name="Input 5 2 7 3" xfId="15642" xr:uid="{00000000-0005-0000-0000-0000043D0000}"/>
    <cellStyle name="Input 5 2 7 4" xfId="15643" xr:uid="{00000000-0005-0000-0000-0000053D0000}"/>
    <cellStyle name="Input 5 2 8" xfId="15644" xr:uid="{00000000-0005-0000-0000-0000063D0000}"/>
    <cellStyle name="Input 5 2 8 2" xfId="15645" xr:uid="{00000000-0005-0000-0000-0000073D0000}"/>
    <cellStyle name="Input 5 2 8 2 2" xfId="15646" xr:uid="{00000000-0005-0000-0000-0000083D0000}"/>
    <cellStyle name="Input 5 2 8 2 3" xfId="15647" xr:uid="{00000000-0005-0000-0000-0000093D0000}"/>
    <cellStyle name="Input 5 2 8 3" xfId="15648" xr:uid="{00000000-0005-0000-0000-00000A3D0000}"/>
    <cellStyle name="Input 5 2 8 4" xfId="15649" xr:uid="{00000000-0005-0000-0000-00000B3D0000}"/>
    <cellStyle name="Input 5 2 9" xfId="15650" xr:uid="{00000000-0005-0000-0000-00000C3D0000}"/>
    <cellStyle name="Input 5 2 9 2" xfId="15651" xr:uid="{00000000-0005-0000-0000-00000D3D0000}"/>
    <cellStyle name="Input 5 2 9 2 2" xfId="15652" xr:uid="{00000000-0005-0000-0000-00000E3D0000}"/>
    <cellStyle name="Input 5 2 9 2 3" xfId="15653" xr:uid="{00000000-0005-0000-0000-00000F3D0000}"/>
    <cellStyle name="Input 5 2 9 3" xfId="15654" xr:uid="{00000000-0005-0000-0000-0000103D0000}"/>
    <cellStyle name="Input 5 2 9 4" xfId="15655" xr:uid="{00000000-0005-0000-0000-0000113D0000}"/>
    <cellStyle name="Input 5 3" xfId="15656" xr:uid="{00000000-0005-0000-0000-0000123D0000}"/>
    <cellStyle name="Input 5 3 2" xfId="15657" xr:uid="{00000000-0005-0000-0000-0000133D0000}"/>
    <cellStyle name="Input 5 3 2 2" xfId="15658" xr:uid="{00000000-0005-0000-0000-0000143D0000}"/>
    <cellStyle name="Input 5 3 2 3" xfId="15659" xr:uid="{00000000-0005-0000-0000-0000153D0000}"/>
    <cellStyle name="Input 5 3 3" xfId="15660" xr:uid="{00000000-0005-0000-0000-0000163D0000}"/>
    <cellStyle name="Input 5 3 4" xfId="15661" xr:uid="{00000000-0005-0000-0000-0000173D0000}"/>
    <cellStyle name="Input 5 4" xfId="15662" xr:uid="{00000000-0005-0000-0000-0000183D0000}"/>
    <cellStyle name="Input 5 5" xfId="15663" xr:uid="{00000000-0005-0000-0000-0000193D0000}"/>
    <cellStyle name="Input 50" xfId="15664" xr:uid="{00000000-0005-0000-0000-00001A3D0000}"/>
    <cellStyle name="Input 51" xfId="15665" xr:uid="{00000000-0005-0000-0000-00001B3D0000}"/>
    <cellStyle name="Input 6" xfId="15666" xr:uid="{00000000-0005-0000-0000-00001C3D0000}"/>
    <cellStyle name="Input 6 2" xfId="15667" xr:uid="{00000000-0005-0000-0000-00001D3D0000}"/>
    <cellStyle name="Input 6 2 10" xfId="15668" xr:uid="{00000000-0005-0000-0000-00001E3D0000}"/>
    <cellStyle name="Input 6 2 10 2" xfId="15669" xr:uid="{00000000-0005-0000-0000-00001F3D0000}"/>
    <cellStyle name="Input 6 2 10 2 2" xfId="15670" xr:uid="{00000000-0005-0000-0000-0000203D0000}"/>
    <cellStyle name="Input 6 2 10 2 3" xfId="15671" xr:uid="{00000000-0005-0000-0000-0000213D0000}"/>
    <cellStyle name="Input 6 2 10 3" xfId="15672" xr:uid="{00000000-0005-0000-0000-0000223D0000}"/>
    <cellStyle name="Input 6 2 10 4" xfId="15673" xr:uid="{00000000-0005-0000-0000-0000233D0000}"/>
    <cellStyle name="Input 6 2 11" xfId="15674" xr:uid="{00000000-0005-0000-0000-0000243D0000}"/>
    <cellStyle name="Input 6 2 11 2" xfId="15675" xr:uid="{00000000-0005-0000-0000-0000253D0000}"/>
    <cellStyle name="Input 6 2 11 2 2" xfId="15676" xr:uid="{00000000-0005-0000-0000-0000263D0000}"/>
    <cellStyle name="Input 6 2 11 2 3" xfId="15677" xr:uid="{00000000-0005-0000-0000-0000273D0000}"/>
    <cellStyle name="Input 6 2 11 3" xfId="15678" xr:uid="{00000000-0005-0000-0000-0000283D0000}"/>
    <cellStyle name="Input 6 2 11 4" xfId="15679" xr:uid="{00000000-0005-0000-0000-0000293D0000}"/>
    <cellStyle name="Input 6 2 12" xfId="15680" xr:uid="{00000000-0005-0000-0000-00002A3D0000}"/>
    <cellStyle name="Input 6 2 12 2" xfId="15681" xr:uid="{00000000-0005-0000-0000-00002B3D0000}"/>
    <cellStyle name="Input 6 2 12 2 2" xfId="15682" xr:uid="{00000000-0005-0000-0000-00002C3D0000}"/>
    <cellStyle name="Input 6 2 12 2 3" xfId="15683" xr:uid="{00000000-0005-0000-0000-00002D3D0000}"/>
    <cellStyle name="Input 6 2 12 3" xfId="15684" xr:uid="{00000000-0005-0000-0000-00002E3D0000}"/>
    <cellStyle name="Input 6 2 12 4" xfId="15685" xr:uid="{00000000-0005-0000-0000-00002F3D0000}"/>
    <cellStyle name="Input 6 2 13" xfId="15686" xr:uid="{00000000-0005-0000-0000-0000303D0000}"/>
    <cellStyle name="Input 6 2 13 2" xfId="15687" xr:uid="{00000000-0005-0000-0000-0000313D0000}"/>
    <cellStyle name="Input 6 2 13 2 2" xfId="15688" xr:uid="{00000000-0005-0000-0000-0000323D0000}"/>
    <cellStyle name="Input 6 2 13 2 3" xfId="15689" xr:uid="{00000000-0005-0000-0000-0000333D0000}"/>
    <cellStyle name="Input 6 2 13 3" xfId="15690" xr:uid="{00000000-0005-0000-0000-0000343D0000}"/>
    <cellStyle name="Input 6 2 13 4" xfId="15691" xr:uid="{00000000-0005-0000-0000-0000353D0000}"/>
    <cellStyle name="Input 6 2 14" xfId="15692" xr:uid="{00000000-0005-0000-0000-0000363D0000}"/>
    <cellStyle name="Input 6 2 14 2" xfId="15693" xr:uid="{00000000-0005-0000-0000-0000373D0000}"/>
    <cellStyle name="Input 6 2 14 2 2" xfId="15694" xr:uid="{00000000-0005-0000-0000-0000383D0000}"/>
    <cellStyle name="Input 6 2 14 2 3" xfId="15695" xr:uid="{00000000-0005-0000-0000-0000393D0000}"/>
    <cellStyle name="Input 6 2 14 3" xfId="15696" xr:uid="{00000000-0005-0000-0000-00003A3D0000}"/>
    <cellStyle name="Input 6 2 14 4" xfId="15697" xr:uid="{00000000-0005-0000-0000-00003B3D0000}"/>
    <cellStyle name="Input 6 2 15" xfId="15698" xr:uid="{00000000-0005-0000-0000-00003C3D0000}"/>
    <cellStyle name="Input 6 2 15 2" xfId="15699" xr:uid="{00000000-0005-0000-0000-00003D3D0000}"/>
    <cellStyle name="Input 6 2 15 2 2" xfId="15700" xr:uid="{00000000-0005-0000-0000-00003E3D0000}"/>
    <cellStyle name="Input 6 2 15 2 3" xfId="15701" xr:uid="{00000000-0005-0000-0000-00003F3D0000}"/>
    <cellStyle name="Input 6 2 15 3" xfId="15702" xr:uid="{00000000-0005-0000-0000-0000403D0000}"/>
    <cellStyle name="Input 6 2 15 4" xfId="15703" xr:uid="{00000000-0005-0000-0000-0000413D0000}"/>
    <cellStyle name="Input 6 2 16" xfId="15704" xr:uid="{00000000-0005-0000-0000-0000423D0000}"/>
    <cellStyle name="Input 6 2 16 2" xfId="15705" xr:uid="{00000000-0005-0000-0000-0000433D0000}"/>
    <cellStyle name="Input 6 2 16 2 2" xfId="15706" xr:uid="{00000000-0005-0000-0000-0000443D0000}"/>
    <cellStyle name="Input 6 2 16 2 3" xfId="15707" xr:uid="{00000000-0005-0000-0000-0000453D0000}"/>
    <cellStyle name="Input 6 2 16 3" xfId="15708" xr:uid="{00000000-0005-0000-0000-0000463D0000}"/>
    <cellStyle name="Input 6 2 16 4" xfId="15709" xr:uid="{00000000-0005-0000-0000-0000473D0000}"/>
    <cellStyle name="Input 6 2 17" xfId="15710" xr:uid="{00000000-0005-0000-0000-0000483D0000}"/>
    <cellStyle name="Input 6 2 17 2" xfId="15711" xr:uid="{00000000-0005-0000-0000-0000493D0000}"/>
    <cellStyle name="Input 6 2 17 2 2" xfId="15712" xr:uid="{00000000-0005-0000-0000-00004A3D0000}"/>
    <cellStyle name="Input 6 2 17 2 3" xfId="15713" xr:uid="{00000000-0005-0000-0000-00004B3D0000}"/>
    <cellStyle name="Input 6 2 17 3" xfId="15714" xr:uid="{00000000-0005-0000-0000-00004C3D0000}"/>
    <cellStyle name="Input 6 2 17 4" xfId="15715" xr:uid="{00000000-0005-0000-0000-00004D3D0000}"/>
    <cellStyle name="Input 6 2 18" xfId="15716" xr:uid="{00000000-0005-0000-0000-00004E3D0000}"/>
    <cellStyle name="Input 6 2 18 2" xfId="15717" xr:uid="{00000000-0005-0000-0000-00004F3D0000}"/>
    <cellStyle name="Input 6 2 18 3" xfId="15718" xr:uid="{00000000-0005-0000-0000-0000503D0000}"/>
    <cellStyle name="Input 6 2 18 4" xfId="15719" xr:uid="{00000000-0005-0000-0000-0000513D0000}"/>
    <cellStyle name="Input 6 2 19" xfId="15720" xr:uid="{00000000-0005-0000-0000-0000523D0000}"/>
    <cellStyle name="Input 6 2 2" xfId="15721" xr:uid="{00000000-0005-0000-0000-0000533D0000}"/>
    <cellStyle name="Input 6 2 2 2" xfId="15722" xr:uid="{00000000-0005-0000-0000-0000543D0000}"/>
    <cellStyle name="Input 6 2 2 2 2" xfId="15723" xr:uid="{00000000-0005-0000-0000-0000553D0000}"/>
    <cellStyle name="Input 6 2 2 2 3" xfId="15724" xr:uid="{00000000-0005-0000-0000-0000563D0000}"/>
    <cellStyle name="Input 6 2 2 3" xfId="15725" xr:uid="{00000000-0005-0000-0000-0000573D0000}"/>
    <cellStyle name="Input 6 2 2 4" xfId="15726" xr:uid="{00000000-0005-0000-0000-0000583D0000}"/>
    <cellStyle name="Input 6 2 20" xfId="15727" xr:uid="{00000000-0005-0000-0000-0000593D0000}"/>
    <cellStyle name="Input 6 2 21" xfId="15728" xr:uid="{00000000-0005-0000-0000-00005A3D0000}"/>
    <cellStyle name="Input 6 2 3" xfId="15729" xr:uid="{00000000-0005-0000-0000-00005B3D0000}"/>
    <cellStyle name="Input 6 2 3 2" xfId="15730" xr:uid="{00000000-0005-0000-0000-00005C3D0000}"/>
    <cellStyle name="Input 6 2 3 2 2" xfId="15731" xr:uid="{00000000-0005-0000-0000-00005D3D0000}"/>
    <cellStyle name="Input 6 2 3 2 3" xfId="15732" xr:uid="{00000000-0005-0000-0000-00005E3D0000}"/>
    <cellStyle name="Input 6 2 3 3" xfId="15733" xr:uid="{00000000-0005-0000-0000-00005F3D0000}"/>
    <cellStyle name="Input 6 2 3 4" xfId="15734" xr:uid="{00000000-0005-0000-0000-0000603D0000}"/>
    <cellStyle name="Input 6 2 4" xfId="15735" xr:uid="{00000000-0005-0000-0000-0000613D0000}"/>
    <cellStyle name="Input 6 2 4 2" xfId="15736" xr:uid="{00000000-0005-0000-0000-0000623D0000}"/>
    <cellStyle name="Input 6 2 4 2 2" xfId="15737" xr:uid="{00000000-0005-0000-0000-0000633D0000}"/>
    <cellStyle name="Input 6 2 4 2 3" xfId="15738" xr:uid="{00000000-0005-0000-0000-0000643D0000}"/>
    <cellStyle name="Input 6 2 4 3" xfId="15739" xr:uid="{00000000-0005-0000-0000-0000653D0000}"/>
    <cellStyle name="Input 6 2 4 4" xfId="15740" xr:uid="{00000000-0005-0000-0000-0000663D0000}"/>
    <cellStyle name="Input 6 2 5" xfId="15741" xr:uid="{00000000-0005-0000-0000-0000673D0000}"/>
    <cellStyle name="Input 6 2 5 2" xfId="15742" xr:uid="{00000000-0005-0000-0000-0000683D0000}"/>
    <cellStyle name="Input 6 2 5 2 2" xfId="15743" xr:uid="{00000000-0005-0000-0000-0000693D0000}"/>
    <cellStyle name="Input 6 2 5 2 3" xfId="15744" xr:uid="{00000000-0005-0000-0000-00006A3D0000}"/>
    <cellStyle name="Input 6 2 5 3" xfId="15745" xr:uid="{00000000-0005-0000-0000-00006B3D0000}"/>
    <cellStyle name="Input 6 2 5 4" xfId="15746" xr:uid="{00000000-0005-0000-0000-00006C3D0000}"/>
    <cellStyle name="Input 6 2 6" xfId="15747" xr:uid="{00000000-0005-0000-0000-00006D3D0000}"/>
    <cellStyle name="Input 6 2 6 2" xfId="15748" xr:uid="{00000000-0005-0000-0000-00006E3D0000}"/>
    <cellStyle name="Input 6 2 6 2 2" xfId="15749" xr:uid="{00000000-0005-0000-0000-00006F3D0000}"/>
    <cellStyle name="Input 6 2 6 2 3" xfId="15750" xr:uid="{00000000-0005-0000-0000-0000703D0000}"/>
    <cellStyle name="Input 6 2 6 3" xfId="15751" xr:uid="{00000000-0005-0000-0000-0000713D0000}"/>
    <cellStyle name="Input 6 2 6 4" xfId="15752" xr:uid="{00000000-0005-0000-0000-0000723D0000}"/>
    <cellStyle name="Input 6 2 7" xfId="15753" xr:uid="{00000000-0005-0000-0000-0000733D0000}"/>
    <cellStyle name="Input 6 2 7 2" xfId="15754" xr:uid="{00000000-0005-0000-0000-0000743D0000}"/>
    <cellStyle name="Input 6 2 7 2 2" xfId="15755" xr:uid="{00000000-0005-0000-0000-0000753D0000}"/>
    <cellStyle name="Input 6 2 7 2 3" xfId="15756" xr:uid="{00000000-0005-0000-0000-0000763D0000}"/>
    <cellStyle name="Input 6 2 7 3" xfId="15757" xr:uid="{00000000-0005-0000-0000-0000773D0000}"/>
    <cellStyle name="Input 6 2 7 4" xfId="15758" xr:uid="{00000000-0005-0000-0000-0000783D0000}"/>
    <cellStyle name="Input 6 2 8" xfId="15759" xr:uid="{00000000-0005-0000-0000-0000793D0000}"/>
    <cellStyle name="Input 6 2 8 2" xfId="15760" xr:uid="{00000000-0005-0000-0000-00007A3D0000}"/>
    <cellStyle name="Input 6 2 8 2 2" xfId="15761" xr:uid="{00000000-0005-0000-0000-00007B3D0000}"/>
    <cellStyle name="Input 6 2 8 2 3" xfId="15762" xr:uid="{00000000-0005-0000-0000-00007C3D0000}"/>
    <cellStyle name="Input 6 2 8 3" xfId="15763" xr:uid="{00000000-0005-0000-0000-00007D3D0000}"/>
    <cellStyle name="Input 6 2 8 4" xfId="15764" xr:uid="{00000000-0005-0000-0000-00007E3D0000}"/>
    <cellStyle name="Input 6 2 9" xfId="15765" xr:uid="{00000000-0005-0000-0000-00007F3D0000}"/>
    <cellStyle name="Input 6 2 9 2" xfId="15766" xr:uid="{00000000-0005-0000-0000-0000803D0000}"/>
    <cellStyle name="Input 6 2 9 2 2" xfId="15767" xr:uid="{00000000-0005-0000-0000-0000813D0000}"/>
    <cellStyle name="Input 6 2 9 2 3" xfId="15768" xr:uid="{00000000-0005-0000-0000-0000823D0000}"/>
    <cellStyle name="Input 6 2 9 3" xfId="15769" xr:uid="{00000000-0005-0000-0000-0000833D0000}"/>
    <cellStyle name="Input 6 2 9 4" xfId="15770" xr:uid="{00000000-0005-0000-0000-0000843D0000}"/>
    <cellStyle name="Input 6 3" xfId="15771" xr:uid="{00000000-0005-0000-0000-0000853D0000}"/>
    <cellStyle name="Input 6 3 2" xfId="15772" xr:uid="{00000000-0005-0000-0000-0000863D0000}"/>
    <cellStyle name="Input 6 3 2 2" xfId="15773" xr:uid="{00000000-0005-0000-0000-0000873D0000}"/>
    <cellStyle name="Input 6 3 2 3" xfId="15774" xr:uid="{00000000-0005-0000-0000-0000883D0000}"/>
    <cellStyle name="Input 6 3 3" xfId="15775" xr:uid="{00000000-0005-0000-0000-0000893D0000}"/>
    <cellStyle name="Input 6 3 4" xfId="15776" xr:uid="{00000000-0005-0000-0000-00008A3D0000}"/>
    <cellStyle name="Input 6 4" xfId="15777" xr:uid="{00000000-0005-0000-0000-00008B3D0000}"/>
    <cellStyle name="Input 6 5" xfId="15778" xr:uid="{00000000-0005-0000-0000-00008C3D0000}"/>
    <cellStyle name="Input 7" xfId="15779" xr:uid="{00000000-0005-0000-0000-00008D3D0000}"/>
    <cellStyle name="Input 7 2" xfId="15780" xr:uid="{00000000-0005-0000-0000-00008E3D0000}"/>
    <cellStyle name="Input 7 2 10" xfId="15781" xr:uid="{00000000-0005-0000-0000-00008F3D0000}"/>
    <cellStyle name="Input 7 2 10 2" xfId="15782" xr:uid="{00000000-0005-0000-0000-0000903D0000}"/>
    <cellStyle name="Input 7 2 10 2 2" xfId="15783" xr:uid="{00000000-0005-0000-0000-0000913D0000}"/>
    <cellStyle name="Input 7 2 10 2 3" xfId="15784" xr:uid="{00000000-0005-0000-0000-0000923D0000}"/>
    <cellStyle name="Input 7 2 10 3" xfId="15785" xr:uid="{00000000-0005-0000-0000-0000933D0000}"/>
    <cellStyle name="Input 7 2 10 4" xfId="15786" xr:uid="{00000000-0005-0000-0000-0000943D0000}"/>
    <cellStyle name="Input 7 2 11" xfId="15787" xr:uid="{00000000-0005-0000-0000-0000953D0000}"/>
    <cellStyle name="Input 7 2 11 2" xfId="15788" xr:uid="{00000000-0005-0000-0000-0000963D0000}"/>
    <cellStyle name="Input 7 2 11 2 2" xfId="15789" xr:uid="{00000000-0005-0000-0000-0000973D0000}"/>
    <cellStyle name="Input 7 2 11 2 3" xfId="15790" xr:uid="{00000000-0005-0000-0000-0000983D0000}"/>
    <cellStyle name="Input 7 2 11 3" xfId="15791" xr:uid="{00000000-0005-0000-0000-0000993D0000}"/>
    <cellStyle name="Input 7 2 11 4" xfId="15792" xr:uid="{00000000-0005-0000-0000-00009A3D0000}"/>
    <cellStyle name="Input 7 2 12" xfId="15793" xr:uid="{00000000-0005-0000-0000-00009B3D0000}"/>
    <cellStyle name="Input 7 2 12 2" xfId="15794" xr:uid="{00000000-0005-0000-0000-00009C3D0000}"/>
    <cellStyle name="Input 7 2 12 2 2" xfId="15795" xr:uid="{00000000-0005-0000-0000-00009D3D0000}"/>
    <cellStyle name="Input 7 2 12 2 3" xfId="15796" xr:uid="{00000000-0005-0000-0000-00009E3D0000}"/>
    <cellStyle name="Input 7 2 12 3" xfId="15797" xr:uid="{00000000-0005-0000-0000-00009F3D0000}"/>
    <cellStyle name="Input 7 2 12 4" xfId="15798" xr:uid="{00000000-0005-0000-0000-0000A03D0000}"/>
    <cellStyle name="Input 7 2 13" xfId="15799" xr:uid="{00000000-0005-0000-0000-0000A13D0000}"/>
    <cellStyle name="Input 7 2 13 2" xfId="15800" xr:uid="{00000000-0005-0000-0000-0000A23D0000}"/>
    <cellStyle name="Input 7 2 13 2 2" xfId="15801" xr:uid="{00000000-0005-0000-0000-0000A33D0000}"/>
    <cellStyle name="Input 7 2 13 2 3" xfId="15802" xr:uid="{00000000-0005-0000-0000-0000A43D0000}"/>
    <cellStyle name="Input 7 2 13 3" xfId="15803" xr:uid="{00000000-0005-0000-0000-0000A53D0000}"/>
    <cellStyle name="Input 7 2 13 4" xfId="15804" xr:uid="{00000000-0005-0000-0000-0000A63D0000}"/>
    <cellStyle name="Input 7 2 14" xfId="15805" xr:uid="{00000000-0005-0000-0000-0000A73D0000}"/>
    <cellStyle name="Input 7 2 14 2" xfId="15806" xr:uid="{00000000-0005-0000-0000-0000A83D0000}"/>
    <cellStyle name="Input 7 2 14 2 2" xfId="15807" xr:uid="{00000000-0005-0000-0000-0000A93D0000}"/>
    <cellStyle name="Input 7 2 14 2 3" xfId="15808" xr:uid="{00000000-0005-0000-0000-0000AA3D0000}"/>
    <cellStyle name="Input 7 2 14 3" xfId="15809" xr:uid="{00000000-0005-0000-0000-0000AB3D0000}"/>
    <cellStyle name="Input 7 2 14 4" xfId="15810" xr:uid="{00000000-0005-0000-0000-0000AC3D0000}"/>
    <cellStyle name="Input 7 2 15" xfId="15811" xr:uid="{00000000-0005-0000-0000-0000AD3D0000}"/>
    <cellStyle name="Input 7 2 15 2" xfId="15812" xr:uid="{00000000-0005-0000-0000-0000AE3D0000}"/>
    <cellStyle name="Input 7 2 15 2 2" xfId="15813" xr:uid="{00000000-0005-0000-0000-0000AF3D0000}"/>
    <cellStyle name="Input 7 2 15 2 3" xfId="15814" xr:uid="{00000000-0005-0000-0000-0000B03D0000}"/>
    <cellStyle name="Input 7 2 15 3" xfId="15815" xr:uid="{00000000-0005-0000-0000-0000B13D0000}"/>
    <cellStyle name="Input 7 2 15 4" xfId="15816" xr:uid="{00000000-0005-0000-0000-0000B23D0000}"/>
    <cellStyle name="Input 7 2 16" xfId="15817" xr:uid="{00000000-0005-0000-0000-0000B33D0000}"/>
    <cellStyle name="Input 7 2 16 2" xfId="15818" xr:uid="{00000000-0005-0000-0000-0000B43D0000}"/>
    <cellStyle name="Input 7 2 16 2 2" xfId="15819" xr:uid="{00000000-0005-0000-0000-0000B53D0000}"/>
    <cellStyle name="Input 7 2 16 2 3" xfId="15820" xr:uid="{00000000-0005-0000-0000-0000B63D0000}"/>
    <cellStyle name="Input 7 2 16 3" xfId="15821" xr:uid="{00000000-0005-0000-0000-0000B73D0000}"/>
    <cellStyle name="Input 7 2 16 4" xfId="15822" xr:uid="{00000000-0005-0000-0000-0000B83D0000}"/>
    <cellStyle name="Input 7 2 17" xfId="15823" xr:uid="{00000000-0005-0000-0000-0000B93D0000}"/>
    <cellStyle name="Input 7 2 17 2" xfId="15824" xr:uid="{00000000-0005-0000-0000-0000BA3D0000}"/>
    <cellStyle name="Input 7 2 17 2 2" xfId="15825" xr:uid="{00000000-0005-0000-0000-0000BB3D0000}"/>
    <cellStyle name="Input 7 2 17 2 3" xfId="15826" xr:uid="{00000000-0005-0000-0000-0000BC3D0000}"/>
    <cellStyle name="Input 7 2 17 3" xfId="15827" xr:uid="{00000000-0005-0000-0000-0000BD3D0000}"/>
    <cellStyle name="Input 7 2 17 4" xfId="15828" xr:uid="{00000000-0005-0000-0000-0000BE3D0000}"/>
    <cellStyle name="Input 7 2 18" xfId="15829" xr:uid="{00000000-0005-0000-0000-0000BF3D0000}"/>
    <cellStyle name="Input 7 2 18 2" xfId="15830" xr:uid="{00000000-0005-0000-0000-0000C03D0000}"/>
    <cellStyle name="Input 7 2 18 3" xfId="15831" xr:uid="{00000000-0005-0000-0000-0000C13D0000}"/>
    <cellStyle name="Input 7 2 18 4" xfId="15832" xr:uid="{00000000-0005-0000-0000-0000C23D0000}"/>
    <cellStyle name="Input 7 2 19" xfId="15833" xr:uid="{00000000-0005-0000-0000-0000C33D0000}"/>
    <cellStyle name="Input 7 2 2" xfId="15834" xr:uid="{00000000-0005-0000-0000-0000C43D0000}"/>
    <cellStyle name="Input 7 2 2 2" xfId="15835" xr:uid="{00000000-0005-0000-0000-0000C53D0000}"/>
    <cellStyle name="Input 7 2 2 2 2" xfId="15836" xr:uid="{00000000-0005-0000-0000-0000C63D0000}"/>
    <cellStyle name="Input 7 2 2 2 3" xfId="15837" xr:uid="{00000000-0005-0000-0000-0000C73D0000}"/>
    <cellStyle name="Input 7 2 2 3" xfId="15838" xr:uid="{00000000-0005-0000-0000-0000C83D0000}"/>
    <cellStyle name="Input 7 2 2 4" xfId="15839" xr:uid="{00000000-0005-0000-0000-0000C93D0000}"/>
    <cellStyle name="Input 7 2 20" xfId="15840" xr:uid="{00000000-0005-0000-0000-0000CA3D0000}"/>
    <cellStyle name="Input 7 2 21" xfId="15841" xr:uid="{00000000-0005-0000-0000-0000CB3D0000}"/>
    <cellStyle name="Input 7 2 3" xfId="15842" xr:uid="{00000000-0005-0000-0000-0000CC3D0000}"/>
    <cellStyle name="Input 7 2 3 2" xfId="15843" xr:uid="{00000000-0005-0000-0000-0000CD3D0000}"/>
    <cellStyle name="Input 7 2 3 2 2" xfId="15844" xr:uid="{00000000-0005-0000-0000-0000CE3D0000}"/>
    <cellStyle name="Input 7 2 3 2 3" xfId="15845" xr:uid="{00000000-0005-0000-0000-0000CF3D0000}"/>
    <cellStyle name="Input 7 2 3 3" xfId="15846" xr:uid="{00000000-0005-0000-0000-0000D03D0000}"/>
    <cellStyle name="Input 7 2 3 4" xfId="15847" xr:uid="{00000000-0005-0000-0000-0000D13D0000}"/>
    <cellStyle name="Input 7 2 4" xfId="15848" xr:uid="{00000000-0005-0000-0000-0000D23D0000}"/>
    <cellStyle name="Input 7 2 4 2" xfId="15849" xr:uid="{00000000-0005-0000-0000-0000D33D0000}"/>
    <cellStyle name="Input 7 2 4 2 2" xfId="15850" xr:uid="{00000000-0005-0000-0000-0000D43D0000}"/>
    <cellStyle name="Input 7 2 4 2 3" xfId="15851" xr:uid="{00000000-0005-0000-0000-0000D53D0000}"/>
    <cellStyle name="Input 7 2 4 3" xfId="15852" xr:uid="{00000000-0005-0000-0000-0000D63D0000}"/>
    <cellStyle name="Input 7 2 4 4" xfId="15853" xr:uid="{00000000-0005-0000-0000-0000D73D0000}"/>
    <cellStyle name="Input 7 2 5" xfId="15854" xr:uid="{00000000-0005-0000-0000-0000D83D0000}"/>
    <cellStyle name="Input 7 2 5 2" xfId="15855" xr:uid="{00000000-0005-0000-0000-0000D93D0000}"/>
    <cellStyle name="Input 7 2 5 2 2" xfId="15856" xr:uid="{00000000-0005-0000-0000-0000DA3D0000}"/>
    <cellStyle name="Input 7 2 5 2 3" xfId="15857" xr:uid="{00000000-0005-0000-0000-0000DB3D0000}"/>
    <cellStyle name="Input 7 2 5 3" xfId="15858" xr:uid="{00000000-0005-0000-0000-0000DC3D0000}"/>
    <cellStyle name="Input 7 2 5 4" xfId="15859" xr:uid="{00000000-0005-0000-0000-0000DD3D0000}"/>
    <cellStyle name="Input 7 2 6" xfId="15860" xr:uid="{00000000-0005-0000-0000-0000DE3D0000}"/>
    <cellStyle name="Input 7 2 6 2" xfId="15861" xr:uid="{00000000-0005-0000-0000-0000DF3D0000}"/>
    <cellStyle name="Input 7 2 6 2 2" xfId="15862" xr:uid="{00000000-0005-0000-0000-0000E03D0000}"/>
    <cellStyle name="Input 7 2 6 2 3" xfId="15863" xr:uid="{00000000-0005-0000-0000-0000E13D0000}"/>
    <cellStyle name="Input 7 2 6 3" xfId="15864" xr:uid="{00000000-0005-0000-0000-0000E23D0000}"/>
    <cellStyle name="Input 7 2 6 4" xfId="15865" xr:uid="{00000000-0005-0000-0000-0000E33D0000}"/>
    <cellStyle name="Input 7 2 7" xfId="15866" xr:uid="{00000000-0005-0000-0000-0000E43D0000}"/>
    <cellStyle name="Input 7 2 7 2" xfId="15867" xr:uid="{00000000-0005-0000-0000-0000E53D0000}"/>
    <cellStyle name="Input 7 2 7 2 2" xfId="15868" xr:uid="{00000000-0005-0000-0000-0000E63D0000}"/>
    <cellStyle name="Input 7 2 7 2 3" xfId="15869" xr:uid="{00000000-0005-0000-0000-0000E73D0000}"/>
    <cellStyle name="Input 7 2 7 3" xfId="15870" xr:uid="{00000000-0005-0000-0000-0000E83D0000}"/>
    <cellStyle name="Input 7 2 7 4" xfId="15871" xr:uid="{00000000-0005-0000-0000-0000E93D0000}"/>
    <cellStyle name="Input 7 2 8" xfId="15872" xr:uid="{00000000-0005-0000-0000-0000EA3D0000}"/>
    <cellStyle name="Input 7 2 8 2" xfId="15873" xr:uid="{00000000-0005-0000-0000-0000EB3D0000}"/>
    <cellStyle name="Input 7 2 8 2 2" xfId="15874" xr:uid="{00000000-0005-0000-0000-0000EC3D0000}"/>
    <cellStyle name="Input 7 2 8 2 3" xfId="15875" xr:uid="{00000000-0005-0000-0000-0000ED3D0000}"/>
    <cellStyle name="Input 7 2 8 3" xfId="15876" xr:uid="{00000000-0005-0000-0000-0000EE3D0000}"/>
    <cellStyle name="Input 7 2 8 4" xfId="15877" xr:uid="{00000000-0005-0000-0000-0000EF3D0000}"/>
    <cellStyle name="Input 7 2 9" xfId="15878" xr:uid="{00000000-0005-0000-0000-0000F03D0000}"/>
    <cellStyle name="Input 7 2 9 2" xfId="15879" xr:uid="{00000000-0005-0000-0000-0000F13D0000}"/>
    <cellStyle name="Input 7 2 9 2 2" xfId="15880" xr:uid="{00000000-0005-0000-0000-0000F23D0000}"/>
    <cellStyle name="Input 7 2 9 2 3" xfId="15881" xr:uid="{00000000-0005-0000-0000-0000F33D0000}"/>
    <cellStyle name="Input 7 2 9 3" xfId="15882" xr:uid="{00000000-0005-0000-0000-0000F43D0000}"/>
    <cellStyle name="Input 7 2 9 4" xfId="15883" xr:uid="{00000000-0005-0000-0000-0000F53D0000}"/>
    <cellStyle name="Input 7 3" xfId="15884" xr:uid="{00000000-0005-0000-0000-0000F63D0000}"/>
    <cellStyle name="Input 7 3 2" xfId="15885" xr:uid="{00000000-0005-0000-0000-0000F73D0000}"/>
    <cellStyle name="Input 7 3 2 2" xfId="15886" xr:uid="{00000000-0005-0000-0000-0000F83D0000}"/>
    <cellStyle name="Input 7 3 2 3" xfId="15887" xr:uid="{00000000-0005-0000-0000-0000F93D0000}"/>
    <cellStyle name="Input 7 3 3" xfId="15888" xr:uid="{00000000-0005-0000-0000-0000FA3D0000}"/>
    <cellStyle name="Input 7 3 4" xfId="15889" xr:uid="{00000000-0005-0000-0000-0000FB3D0000}"/>
    <cellStyle name="Input 7 4" xfId="15890" xr:uid="{00000000-0005-0000-0000-0000FC3D0000}"/>
    <cellStyle name="Input 7 5" xfId="15891" xr:uid="{00000000-0005-0000-0000-0000FD3D0000}"/>
    <cellStyle name="Input 8" xfId="15892" xr:uid="{00000000-0005-0000-0000-0000FE3D0000}"/>
    <cellStyle name="Input 8 2" xfId="15893" xr:uid="{00000000-0005-0000-0000-0000FF3D0000}"/>
    <cellStyle name="Input 8 2 10" xfId="15894" xr:uid="{00000000-0005-0000-0000-0000003E0000}"/>
    <cellStyle name="Input 8 2 10 2" xfId="15895" xr:uid="{00000000-0005-0000-0000-0000013E0000}"/>
    <cellStyle name="Input 8 2 10 2 2" xfId="15896" xr:uid="{00000000-0005-0000-0000-0000023E0000}"/>
    <cellStyle name="Input 8 2 10 2 3" xfId="15897" xr:uid="{00000000-0005-0000-0000-0000033E0000}"/>
    <cellStyle name="Input 8 2 10 3" xfId="15898" xr:uid="{00000000-0005-0000-0000-0000043E0000}"/>
    <cellStyle name="Input 8 2 10 4" xfId="15899" xr:uid="{00000000-0005-0000-0000-0000053E0000}"/>
    <cellStyle name="Input 8 2 11" xfId="15900" xr:uid="{00000000-0005-0000-0000-0000063E0000}"/>
    <cellStyle name="Input 8 2 11 2" xfId="15901" xr:uid="{00000000-0005-0000-0000-0000073E0000}"/>
    <cellStyle name="Input 8 2 11 2 2" xfId="15902" xr:uid="{00000000-0005-0000-0000-0000083E0000}"/>
    <cellStyle name="Input 8 2 11 2 3" xfId="15903" xr:uid="{00000000-0005-0000-0000-0000093E0000}"/>
    <cellStyle name="Input 8 2 11 3" xfId="15904" xr:uid="{00000000-0005-0000-0000-00000A3E0000}"/>
    <cellStyle name="Input 8 2 11 4" xfId="15905" xr:uid="{00000000-0005-0000-0000-00000B3E0000}"/>
    <cellStyle name="Input 8 2 12" xfId="15906" xr:uid="{00000000-0005-0000-0000-00000C3E0000}"/>
    <cellStyle name="Input 8 2 12 2" xfId="15907" xr:uid="{00000000-0005-0000-0000-00000D3E0000}"/>
    <cellStyle name="Input 8 2 12 2 2" xfId="15908" xr:uid="{00000000-0005-0000-0000-00000E3E0000}"/>
    <cellStyle name="Input 8 2 12 2 3" xfId="15909" xr:uid="{00000000-0005-0000-0000-00000F3E0000}"/>
    <cellStyle name="Input 8 2 12 3" xfId="15910" xr:uid="{00000000-0005-0000-0000-0000103E0000}"/>
    <cellStyle name="Input 8 2 12 4" xfId="15911" xr:uid="{00000000-0005-0000-0000-0000113E0000}"/>
    <cellStyle name="Input 8 2 13" xfId="15912" xr:uid="{00000000-0005-0000-0000-0000123E0000}"/>
    <cellStyle name="Input 8 2 13 2" xfId="15913" xr:uid="{00000000-0005-0000-0000-0000133E0000}"/>
    <cellStyle name="Input 8 2 13 2 2" xfId="15914" xr:uid="{00000000-0005-0000-0000-0000143E0000}"/>
    <cellStyle name="Input 8 2 13 2 3" xfId="15915" xr:uid="{00000000-0005-0000-0000-0000153E0000}"/>
    <cellStyle name="Input 8 2 13 3" xfId="15916" xr:uid="{00000000-0005-0000-0000-0000163E0000}"/>
    <cellStyle name="Input 8 2 13 4" xfId="15917" xr:uid="{00000000-0005-0000-0000-0000173E0000}"/>
    <cellStyle name="Input 8 2 14" xfId="15918" xr:uid="{00000000-0005-0000-0000-0000183E0000}"/>
    <cellStyle name="Input 8 2 14 2" xfId="15919" xr:uid="{00000000-0005-0000-0000-0000193E0000}"/>
    <cellStyle name="Input 8 2 14 2 2" xfId="15920" xr:uid="{00000000-0005-0000-0000-00001A3E0000}"/>
    <cellStyle name="Input 8 2 14 2 3" xfId="15921" xr:uid="{00000000-0005-0000-0000-00001B3E0000}"/>
    <cellStyle name="Input 8 2 14 3" xfId="15922" xr:uid="{00000000-0005-0000-0000-00001C3E0000}"/>
    <cellStyle name="Input 8 2 14 4" xfId="15923" xr:uid="{00000000-0005-0000-0000-00001D3E0000}"/>
    <cellStyle name="Input 8 2 15" xfId="15924" xr:uid="{00000000-0005-0000-0000-00001E3E0000}"/>
    <cellStyle name="Input 8 2 15 2" xfId="15925" xr:uid="{00000000-0005-0000-0000-00001F3E0000}"/>
    <cellStyle name="Input 8 2 15 2 2" xfId="15926" xr:uid="{00000000-0005-0000-0000-0000203E0000}"/>
    <cellStyle name="Input 8 2 15 2 3" xfId="15927" xr:uid="{00000000-0005-0000-0000-0000213E0000}"/>
    <cellStyle name="Input 8 2 15 3" xfId="15928" xr:uid="{00000000-0005-0000-0000-0000223E0000}"/>
    <cellStyle name="Input 8 2 15 4" xfId="15929" xr:uid="{00000000-0005-0000-0000-0000233E0000}"/>
    <cellStyle name="Input 8 2 16" xfId="15930" xr:uid="{00000000-0005-0000-0000-0000243E0000}"/>
    <cellStyle name="Input 8 2 16 2" xfId="15931" xr:uid="{00000000-0005-0000-0000-0000253E0000}"/>
    <cellStyle name="Input 8 2 16 2 2" xfId="15932" xr:uid="{00000000-0005-0000-0000-0000263E0000}"/>
    <cellStyle name="Input 8 2 16 2 3" xfId="15933" xr:uid="{00000000-0005-0000-0000-0000273E0000}"/>
    <cellStyle name="Input 8 2 16 3" xfId="15934" xr:uid="{00000000-0005-0000-0000-0000283E0000}"/>
    <cellStyle name="Input 8 2 16 4" xfId="15935" xr:uid="{00000000-0005-0000-0000-0000293E0000}"/>
    <cellStyle name="Input 8 2 17" xfId="15936" xr:uid="{00000000-0005-0000-0000-00002A3E0000}"/>
    <cellStyle name="Input 8 2 17 2" xfId="15937" xr:uid="{00000000-0005-0000-0000-00002B3E0000}"/>
    <cellStyle name="Input 8 2 17 2 2" xfId="15938" xr:uid="{00000000-0005-0000-0000-00002C3E0000}"/>
    <cellStyle name="Input 8 2 17 2 3" xfId="15939" xr:uid="{00000000-0005-0000-0000-00002D3E0000}"/>
    <cellStyle name="Input 8 2 17 3" xfId="15940" xr:uid="{00000000-0005-0000-0000-00002E3E0000}"/>
    <cellStyle name="Input 8 2 17 4" xfId="15941" xr:uid="{00000000-0005-0000-0000-00002F3E0000}"/>
    <cellStyle name="Input 8 2 18" xfId="15942" xr:uid="{00000000-0005-0000-0000-0000303E0000}"/>
    <cellStyle name="Input 8 2 18 2" xfId="15943" xr:uid="{00000000-0005-0000-0000-0000313E0000}"/>
    <cellStyle name="Input 8 2 18 3" xfId="15944" xr:uid="{00000000-0005-0000-0000-0000323E0000}"/>
    <cellStyle name="Input 8 2 18 4" xfId="15945" xr:uid="{00000000-0005-0000-0000-0000333E0000}"/>
    <cellStyle name="Input 8 2 19" xfId="15946" xr:uid="{00000000-0005-0000-0000-0000343E0000}"/>
    <cellStyle name="Input 8 2 2" xfId="15947" xr:uid="{00000000-0005-0000-0000-0000353E0000}"/>
    <cellStyle name="Input 8 2 2 2" xfId="15948" xr:uid="{00000000-0005-0000-0000-0000363E0000}"/>
    <cellStyle name="Input 8 2 2 2 2" xfId="15949" xr:uid="{00000000-0005-0000-0000-0000373E0000}"/>
    <cellStyle name="Input 8 2 2 2 3" xfId="15950" xr:uid="{00000000-0005-0000-0000-0000383E0000}"/>
    <cellStyle name="Input 8 2 2 3" xfId="15951" xr:uid="{00000000-0005-0000-0000-0000393E0000}"/>
    <cellStyle name="Input 8 2 2 4" xfId="15952" xr:uid="{00000000-0005-0000-0000-00003A3E0000}"/>
    <cellStyle name="Input 8 2 20" xfId="15953" xr:uid="{00000000-0005-0000-0000-00003B3E0000}"/>
    <cellStyle name="Input 8 2 21" xfId="15954" xr:uid="{00000000-0005-0000-0000-00003C3E0000}"/>
    <cellStyle name="Input 8 2 3" xfId="15955" xr:uid="{00000000-0005-0000-0000-00003D3E0000}"/>
    <cellStyle name="Input 8 2 3 2" xfId="15956" xr:uid="{00000000-0005-0000-0000-00003E3E0000}"/>
    <cellStyle name="Input 8 2 3 2 2" xfId="15957" xr:uid="{00000000-0005-0000-0000-00003F3E0000}"/>
    <cellStyle name="Input 8 2 3 2 3" xfId="15958" xr:uid="{00000000-0005-0000-0000-0000403E0000}"/>
    <cellStyle name="Input 8 2 3 3" xfId="15959" xr:uid="{00000000-0005-0000-0000-0000413E0000}"/>
    <cellStyle name="Input 8 2 3 4" xfId="15960" xr:uid="{00000000-0005-0000-0000-0000423E0000}"/>
    <cellStyle name="Input 8 2 4" xfId="15961" xr:uid="{00000000-0005-0000-0000-0000433E0000}"/>
    <cellStyle name="Input 8 2 4 2" xfId="15962" xr:uid="{00000000-0005-0000-0000-0000443E0000}"/>
    <cellStyle name="Input 8 2 4 2 2" xfId="15963" xr:uid="{00000000-0005-0000-0000-0000453E0000}"/>
    <cellStyle name="Input 8 2 4 2 3" xfId="15964" xr:uid="{00000000-0005-0000-0000-0000463E0000}"/>
    <cellStyle name="Input 8 2 4 3" xfId="15965" xr:uid="{00000000-0005-0000-0000-0000473E0000}"/>
    <cellStyle name="Input 8 2 4 4" xfId="15966" xr:uid="{00000000-0005-0000-0000-0000483E0000}"/>
    <cellStyle name="Input 8 2 5" xfId="15967" xr:uid="{00000000-0005-0000-0000-0000493E0000}"/>
    <cellStyle name="Input 8 2 5 2" xfId="15968" xr:uid="{00000000-0005-0000-0000-00004A3E0000}"/>
    <cellStyle name="Input 8 2 5 2 2" xfId="15969" xr:uid="{00000000-0005-0000-0000-00004B3E0000}"/>
    <cellStyle name="Input 8 2 5 2 3" xfId="15970" xr:uid="{00000000-0005-0000-0000-00004C3E0000}"/>
    <cellStyle name="Input 8 2 5 3" xfId="15971" xr:uid="{00000000-0005-0000-0000-00004D3E0000}"/>
    <cellStyle name="Input 8 2 5 4" xfId="15972" xr:uid="{00000000-0005-0000-0000-00004E3E0000}"/>
    <cellStyle name="Input 8 2 6" xfId="15973" xr:uid="{00000000-0005-0000-0000-00004F3E0000}"/>
    <cellStyle name="Input 8 2 6 2" xfId="15974" xr:uid="{00000000-0005-0000-0000-0000503E0000}"/>
    <cellStyle name="Input 8 2 6 2 2" xfId="15975" xr:uid="{00000000-0005-0000-0000-0000513E0000}"/>
    <cellStyle name="Input 8 2 6 2 3" xfId="15976" xr:uid="{00000000-0005-0000-0000-0000523E0000}"/>
    <cellStyle name="Input 8 2 6 3" xfId="15977" xr:uid="{00000000-0005-0000-0000-0000533E0000}"/>
    <cellStyle name="Input 8 2 6 4" xfId="15978" xr:uid="{00000000-0005-0000-0000-0000543E0000}"/>
    <cellStyle name="Input 8 2 7" xfId="15979" xr:uid="{00000000-0005-0000-0000-0000553E0000}"/>
    <cellStyle name="Input 8 2 7 2" xfId="15980" xr:uid="{00000000-0005-0000-0000-0000563E0000}"/>
    <cellStyle name="Input 8 2 7 2 2" xfId="15981" xr:uid="{00000000-0005-0000-0000-0000573E0000}"/>
    <cellStyle name="Input 8 2 7 2 3" xfId="15982" xr:uid="{00000000-0005-0000-0000-0000583E0000}"/>
    <cellStyle name="Input 8 2 7 3" xfId="15983" xr:uid="{00000000-0005-0000-0000-0000593E0000}"/>
    <cellStyle name="Input 8 2 7 4" xfId="15984" xr:uid="{00000000-0005-0000-0000-00005A3E0000}"/>
    <cellStyle name="Input 8 2 8" xfId="15985" xr:uid="{00000000-0005-0000-0000-00005B3E0000}"/>
    <cellStyle name="Input 8 2 8 2" xfId="15986" xr:uid="{00000000-0005-0000-0000-00005C3E0000}"/>
    <cellStyle name="Input 8 2 8 2 2" xfId="15987" xr:uid="{00000000-0005-0000-0000-00005D3E0000}"/>
    <cellStyle name="Input 8 2 8 2 3" xfId="15988" xr:uid="{00000000-0005-0000-0000-00005E3E0000}"/>
    <cellStyle name="Input 8 2 8 3" xfId="15989" xr:uid="{00000000-0005-0000-0000-00005F3E0000}"/>
    <cellStyle name="Input 8 2 8 4" xfId="15990" xr:uid="{00000000-0005-0000-0000-0000603E0000}"/>
    <cellStyle name="Input 8 2 9" xfId="15991" xr:uid="{00000000-0005-0000-0000-0000613E0000}"/>
    <cellStyle name="Input 8 2 9 2" xfId="15992" xr:uid="{00000000-0005-0000-0000-0000623E0000}"/>
    <cellStyle name="Input 8 2 9 2 2" xfId="15993" xr:uid="{00000000-0005-0000-0000-0000633E0000}"/>
    <cellStyle name="Input 8 2 9 2 3" xfId="15994" xr:uid="{00000000-0005-0000-0000-0000643E0000}"/>
    <cellStyle name="Input 8 2 9 3" xfId="15995" xr:uid="{00000000-0005-0000-0000-0000653E0000}"/>
    <cellStyle name="Input 8 2 9 4" xfId="15996" xr:uid="{00000000-0005-0000-0000-0000663E0000}"/>
    <cellStyle name="Input 8 3" xfId="15997" xr:uid="{00000000-0005-0000-0000-0000673E0000}"/>
    <cellStyle name="Input 8 3 2" xfId="15998" xr:uid="{00000000-0005-0000-0000-0000683E0000}"/>
    <cellStyle name="Input 8 3 2 2" xfId="15999" xr:uid="{00000000-0005-0000-0000-0000693E0000}"/>
    <cellStyle name="Input 8 3 2 3" xfId="16000" xr:uid="{00000000-0005-0000-0000-00006A3E0000}"/>
    <cellStyle name="Input 8 3 3" xfId="16001" xr:uid="{00000000-0005-0000-0000-00006B3E0000}"/>
    <cellStyle name="Input 8 3 4" xfId="16002" xr:uid="{00000000-0005-0000-0000-00006C3E0000}"/>
    <cellStyle name="Input 8 4" xfId="16003" xr:uid="{00000000-0005-0000-0000-00006D3E0000}"/>
    <cellStyle name="Input 8 5" xfId="16004" xr:uid="{00000000-0005-0000-0000-00006E3E0000}"/>
    <cellStyle name="Input 9" xfId="16005" xr:uid="{00000000-0005-0000-0000-00006F3E0000}"/>
    <cellStyle name="Input 9 2" xfId="16006" xr:uid="{00000000-0005-0000-0000-0000703E0000}"/>
    <cellStyle name="Input 9 2 10" xfId="16007" xr:uid="{00000000-0005-0000-0000-0000713E0000}"/>
    <cellStyle name="Input 9 2 10 2" xfId="16008" xr:uid="{00000000-0005-0000-0000-0000723E0000}"/>
    <cellStyle name="Input 9 2 10 2 2" xfId="16009" xr:uid="{00000000-0005-0000-0000-0000733E0000}"/>
    <cellStyle name="Input 9 2 10 2 3" xfId="16010" xr:uid="{00000000-0005-0000-0000-0000743E0000}"/>
    <cellStyle name="Input 9 2 10 3" xfId="16011" xr:uid="{00000000-0005-0000-0000-0000753E0000}"/>
    <cellStyle name="Input 9 2 10 4" xfId="16012" xr:uid="{00000000-0005-0000-0000-0000763E0000}"/>
    <cellStyle name="Input 9 2 11" xfId="16013" xr:uid="{00000000-0005-0000-0000-0000773E0000}"/>
    <cellStyle name="Input 9 2 11 2" xfId="16014" xr:uid="{00000000-0005-0000-0000-0000783E0000}"/>
    <cellStyle name="Input 9 2 11 2 2" xfId="16015" xr:uid="{00000000-0005-0000-0000-0000793E0000}"/>
    <cellStyle name="Input 9 2 11 2 3" xfId="16016" xr:uid="{00000000-0005-0000-0000-00007A3E0000}"/>
    <cellStyle name="Input 9 2 11 3" xfId="16017" xr:uid="{00000000-0005-0000-0000-00007B3E0000}"/>
    <cellStyle name="Input 9 2 11 4" xfId="16018" xr:uid="{00000000-0005-0000-0000-00007C3E0000}"/>
    <cellStyle name="Input 9 2 12" xfId="16019" xr:uid="{00000000-0005-0000-0000-00007D3E0000}"/>
    <cellStyle name="Input 9 2 12 2" xfId="16020" xr:uid="{00000000-0005-0000-0000-00007E3E0000}"/>
    <cellStyle name="Input 9 2 12 2 2" xfId="16021" xr:uid="{00000000-0005-0000-0000-00007F3E0000}"/>
    <cellStyle name="Input 9 2 12 2 3" xfId="16022" xr:uid="{00000000-0005-0000-0000-0000803E0000}"/>
    <cellStyle name="Input 9 2 12 3" xfId="16023" xr:uid="{00000000-0005-0000-0000-0000813E0000}"/>
    <cellStyle name="Input 9 2 12 4" xfId="16024" xr:uid="{00000000-0005-0000-0000-0000823E0000}"/>
    <cellStyle name="Input 9 2 13" xfId="16025" xr:uid="{00000000-0005-0000-0000-0000833E0000}"/>
    <cellStyle name="Input 9 2 13 2" xfId="16026" xr:uid="{00000000-0005-0000-0000-0000843E0000}"/>
    <cellStyle name="Input 9 2 13 2 2" xfId="16027" xr:uid="{00000000-0005-0000-0000-0000853E0000}"/>
    <cellStyle name="Input 9 2 13 2 3" xfId="16028" xr:uid="{00000000-0005-0000-0000-0000863E0000}"/>
    <cellStyle name="Input 9 2 13 3" xfId="16029" xr:uid="{00000000-0005-0000-0000-0000873E0000}"/>
    <cellStyle name="Input 9 2 13 4" xfId="16030" xr:uid="{00000000-0005-0000-0000-0000883E0000}"/>
    <cellStyle name="Input 9 2 14" xfId="16031" xr:uid="{00000000-0005-0000-0000-0000893E0000}"/>
    <cellStyle name="Input 9 2 14 2" xfId="16032" xr:uid="{00000000-0005-0000-0000-00008A3E0000}"/>
    <cellStyle name="Input 9 2 14 2 2" xfId="16033" xr:uid="{00000000-0005-0000-0000-00008B3E0000}"/>
    <cellStyle name="Input 9 2 14 2 3" xfId="16034" xr:uid="{00000000-0005-0000-0000-00008C3E0000}"/>
    <cellStyle name="Input 9 2 14 3" xfId="16035" xr:uid="{00000000-0005-0000-0000-00008D3E0000}"/>
    <cellStyle name="Input 9 2 14 4" xfId="16036" xr:uid="{00000000-0005-0000-0000-00008E3E0000}"/>
    <cellStyle name="Input 9 2 15" xfId="16037" xr:uid="{00000000-0005-0000-0000-00008F3E0000}"/>
    <cellStyle name="Input 9 2 15 2" xfId="16038" xr:uid="{00000000-0005-0000-0000-0000903E0000}"/>
    <cellStyle name="Input 9 2 15 2 2" xfId="16039" xr:uid="{00000000-0005-0000-0000-0000913E0000}"/>
    <cellStyle name="Input 9 2 15 2 3" xfId="16040" xr:uid="{00000000-0005-0000-0000-0000923E0000}"/>
    <cellStyle name="Input 9 2 15 3" xfId="16041" xr:uid="{00000000-0005-0000-0000-0000933E0000}"/>
    <cellStyle name="Input 9 2 15 4" xfId="16042" xr:uid="{00000000-0005-0000-0000-0000943E0000}"/>
    <cellStyle name="Input 9 2 16" xfId="16043" xr:uid="{00000000-0005-0000-0000-0000953E0000}"/>
    <cellStyle name="Input 9 2 16 2" xfId="16044" xr:uid="{00000000-0005-0000-0000-0000963E0000}"/>
    <cellStyle name="Input 9 2 16 2 2" xfId="16045" xr:uid="{00000000-0005-0000-0000-0000973E0000}"/>
    <cellStyle name="Input 9 2 16 2 3" xfId="16046" xr:uid="{00000000-0005-0000-0000-0000983E0000}"/>
    <cellStyle name="Input 9 2 16 3" xfId="16047" xr:uid="{00000000-0005-0000-0000-0000993E0000}"/>
    <cellStyle name="Input 9 2 16 4" xfId="16048" xr:uid="{00000000-0005-0000-0000-00009A3E0000}"/>
    <cellStyle name="Input 9 2 17" xfId="16049" xr:uid="{00000000-0005-0000-0000-00009B3E0000}"/>
    <cellStyle name="Input 9 2 17 2" xfId="16050" xr:uid="{00000000-0005-0000-0000-00009C3E0000}"/>
    <cellStyle name="Input 9 2 17 2 2" xfId="16051" xr:uid="{00000000-0005-0000-0000-00009D3E0000}"/>
    <cellStyle name="Input 9 2 17 2 3" xfId="16052" xr:uid="{00000000-0005-0000-0000-00009E3E0000}"/>
    <cellStyle name="Input 9 2 17 3" xfId="16053" xr:uid="{00000000-0005-0000-0000-00009F3E0000}"/>
    <cellStyle name="Input 9 2 17 4" xfId="16054" xr:uid="{00000000-0005-0000-0000-0000A03E0000}"/>
    <cellStyle name="Input 9 2 18" xfId="16055" xr:uid="{00000000-0005-0000-0000-0000A13E0000}"/>
    <cellStyle name="Input 9 2 18 2" xfId="16056" xr:uid="{00000000-0005-0000-0000-0000A23E0000}"/>
    <cellStyle name="Input 9 2 18 3" xfId="16057" xr:uid="{00000000-0005-0000-0000-0000A33E0000}"/>
    <cellStyle name="Input 9 2 18 4" xfId="16058" xr:uid="{00000000-0005-0000-0000-0000A43E0000}"/>
    <cellStyle name="Input 9 2 19" xfId="16059" xr:uid="{00000000-0005-0000-0000-0000A53E0000}"/>
    <cellStyle name="Input 9 2 2" xfId="16060" xr:uid="{00000000-0005-0000-0000-0000A63E0000}"/>
    <cellStyle name="Input 9 2 2 2" xfId="16061" xr:uid="{00000000-0005-0000-0000-0000A73E0000}"/>
    <cellStyle name="Input 9 2 2 2 2" xfId="16062" xr:uid="{00000000-0005-0000-0000-0000A83E0000}"/>
    <cellStyle name="Input 9 2 2 2 3" xfId="16063" xr:uid="{00000000-0005-0000-0000-0000A93E0000}"/>
    <cellStyle name="Input 9 2 2 3" xfId="16064" xr:uid="{00000000-0005-0000-0000-0000AA3E0000}"/>
    <cellStyle name="Input 9 2 2 4" xfId="16065" xr:uid="{00000000-0005-0000-0000-0000AB3E0000}"/>
    <cellStyle name="Input 9 2 20" xfId="16066" xr:uid="{00000000-0005-0000-0000-0000AC3E0000}"/>
    <cellStyle name="Input 9 2 21" xfId="16067" xr:uid="{00000000-0005-0000-0000-0000AD3E0000}"/>
    <cellStyle name="Input 9 2 3" xfId="16068" xr:uid="{00000000-0005-0000-0000-0000AE3E0000}"/>
    <cellStyle name="Input 9 2 3 2" xfId="16069" xr:uid="{00000000-0005-0000-0000-0000AF3E0000}"/>
    <cellStyle name="Input 9 2 3 2 2" xfId="16070" xr:uid="{00000000-0005-0000-0000-0000B03E0000}"/>
    <cellStyle name="Input 9 2 3 2 3" xfId="16071" xr:uid="{00000000-0005-0000-0000-0000B13E0000}"/>
    <cellStyle name="Input 9 2 3 3" xfId="16072" xr:uid="{00000000-0005-0000-0000-0000B23E0000}"/>
    <cellStyle name="Input 9 2 3 4" xfId="16073" xr:uid="{00000000-0005-0000-0000-0000B33E0000}"/>
    <cellStyle name="Input 9 2 4" xfId="16074" xr:uid="{00000000-0005-0000-0000-0000B43E0000}"/>
    <cellStyle name="Input 9 2 4 2" xfId="16075" xr:uid="{00000000-0005-0000-0000-0000B53E0000}"/>
    <cellStyle name="Input 9 2 4 2 2" xfId="16076" xr:uid="{00000000-0005-0000-0000-0000B63E0000}"/>
    <cellStyle name="Input 9 2 4 2 3" xfId="16077" xr:uid="{00000000-0005-0000-0000-0000B73E0000}"/>
    <cellStyle name="Input 9 2 4 3" xfId="16078" xr:uid="{00000000-0005-0000-0000-0000B83E0000}"/>
    <cellStyle name="Input 9 2 4 4" xfId="16079" xr:uid="{00000000-0005-0000-0000-0000B93E0000}"/>
    <cellStyle name="Input 9 2 5" xfId="16080" xr:uid="{00000000-0005-0000-0000-0000BA3E0000}"/>
    <cellStyle name="Input 9 2 5 2" xfId="16081" xr:uid="{00000000-0005-0000-0000-0000BB3E0000}"/>
    <cellStyle name="Input 9 2 5 2 2" xfId="16082" xr:uid="{00000000-0005-0000-0000-0000BC3E0000}"/>
    <cellStyle name="Input 9 2 5 2 3" xfId="16083" xr:uid="{00000000-0005-0000-0000-0000BD3E0000}"/>
    <cellStyle name="Input 9 2 5 3" xfId="16084" xr:uid="{00000000-0005-0000-0000-0000BE3E0000}"/>
    <cellStyle name="Input 9 2 5 4" xfId="16085" xr:uid="{00000000-0005-0000-0000-0000BF3E0000}"/>
    <cellStyle name="Input 9 2 6" xfId="16086" xr:uid="{00000000-0005-0000-0000-0000C03E0000}"/>
    <cellStyle name="Input 9 2 6 2" xfId="16087" xr:uid="{00000000-0005-0000-0000-0000C13E0000}"/>
    <cellStyle name="Input 9 2 6 2 2" xfId="16088" xr:uid="{00000000-0005-0000-0000-0000C23E0000}"/>
    <cellStyle name="Input 9 2 6 2 3" xfId="16089" xr:uid="{00000000-0005-0000-0000-0000C33E0000}"/>
    <cellStyle name="Input 9 2 6 3" xfId="16090" xr:uid="{00000000-0005-0000-0000-0000C43E0000}"/>
    <cellStyle name="Input 9 2 6 4" xfId="16091" xr:uid="{00000000-0005-0000-0000-0000C53E0000}"/>
    <cellStyle name="Input 9 2 7" xfId="16092" xr:uid="{00000000-0005-0000-0000-0000C63E0000}"/>
    <cellStyle name="Input 9 2 7 2" xfId="16093" xr:uid="{00000000-0005-0000-0000-0000C73E0000}"/>
    <cellStyle name="Input 9 2 7 2 2" xfId="16094" xr:uid="{00000000-0005-0000-0000-0000C83E0000}"/>
    <cellStyle name="Input 9 2 7 2 3" xfId="16095" xr:uid="{00000000-0005-0000-0000-0000C93E0000}"/>
    <cellStyle name="Input 9 2 7 3" xfId="16096" xr:uid="{00000000-0005-0000-0000-0000CA3E0000}"/>
    <cellStyle name="Input 9 2 7 4" xfId="16097" xr:uid="{00000000-0005-0000-0000-0000CB3E0000}"/>
    <cellStyle name="Input 9 2 8" xfId="16098" xr:uid="{00000000-0005-0000-0000-0000CC3E0000}"/>
    <cellStyle name="Input 9 2 8 2" xfId="16099" xr:uid="{00000000-0005-0000-0000-0000CD3E0000}"/>
    <cellStyle name="Input 9 2 8 2 2" xfId="16100" xr:uid="{00000000-0005-0000-0000-0000CE3E0000}"/>
    <cellStyle name="Input 9 2 8 2 3" xfId="16101" xr:uid="{00000000-0005-0000-0000-0000CF3E0000}"/>
    <cellStyle name="Input 9 2 8 3" xfId="16102" xr:uid="{00000000-0005-0000-0000-0000D03E0000}"/>
    <cellStyle name="Input 9 2 8 4" xfId="16103" xr:uid="{00000000-0005-0000-0000-0000D13E0000}"/>
    <cellStyle name="Input 9 2 9" xfId="16104" xr:uid="{00000000-0005-0000-0000-0000D23E0000}"/>
    <cellStyle name="Input 9 2 9 2" xfId="16105" xr:uid="{00000000-0005-0000-0000-0000D33E0000}"/>
    <cellStyle name="Input 9 2 9 2 2" xfId="16106" xr:uid="{00000000-0005-0000-0000-0000D43E0000}"/>
    <cellStyle name="Input 9 2 9 2 3" xfId="16107" xr:uid="{00000000-0005-0000-0000-0000D53E0000}"/>
    <cellStyle name="Input 9 2 9 3" xfId="16108" xr:uid="{00000000-0005-0000-0000-0000D63E0000}"/>
    <cellStyle name="Input 9 2 9 4" xfId="16109" xr:uid="{00000000-0005-0000-0000-0000D73E0000}"/>
    <cellStyle name="Input 9 3" xfId="16110" xr:uid="{00000000-0005-0000-0000-0000D83E0000}"/>
    <cellStyle name="Input 9 3 2" xfId="16111" xr:uid="{00000000-0005-0000-0000-0000D93E0000}"/>
    <cellStyle name="Input 9 3 2 2" xfId="16112" xr:uid="{00000000-0005-0000-0000-0000DA3E0000}"/>
    <cellStyle name="Input 9 3 2 3" xfId="16113" xr:uid="{00000000-0005-0000-0000-0000DB3E0000}"/>
    <cellStyle name="Input 9 3 3" xfId="16114" xr:uid="{00000000-0005-0000-0000-0000DC3E0000}"/>
    <cellStyle name="Input 9 3 4" xfId="16115" xr:uid="{00000000-0005-0000-0000-0000DD3E0000}"/>
    <cellStyle name="Input 9 4" xfId="16116" xr:uid="{00000000-0005-0000-0000-0000DE3E0000}"/>
    <cellStyle name="Input 9 5" xfId="16117" xr:uid="{00000000-0005-0000-0000-0000DF3E0000}"/>
    <cellStyle name="Linked Cell 10" xfId="16118" xr:uid="{00000000-0005-0000-0000-0000E03E0000}"/>
    <cellStyle name="Linked Cell 10 2" xfId="16119" xr:uid="{00000000-0005-0000-0000-0000E13E0000}"/>
    <cellStyle name="Linked Cell 10 3" xfId="16120" xr:uid="{00000000-0005-0000-0000-0000E23E0000}"/>
    <cellStyle name="Linked Cell 11" xfId="16121" xr:uid="{00000000-0005-0000-0000-0000E33E0000}"/>
    <cellStyle name="Linked Cell 11 2" xfId="16122" xr:uid="{00000000-0005-0000-0000-0000E43E0000}"/>
    <cellStyle name="Linked Cell 11 3" xfId="16123" xr:uid="{00000000-0005-0000-0000-0000E53E0000}"/>
    <cellStyle name="Linked Cell 12" xfId="16124" xr:uid="{00000000-0005-0000-0000-0000E63E0000}"/>
    <cellStyle name="Linked Cell 12 2" xfId="16125" xr:uid="{00000000-0005-0000-0000-0000E73E0000}"/>
    <cellStyle name="Linked Cell 12 3" xfId="16126" xr:uid="{00000000-0005-0000-0000-0000E83E0000}"/>
    <cellStyle name="Linked Cell 13" xfId="16127" xr:uid="{00000000-0005-0000-0000-0000E93E0000}"/>
    <cellStyle name="Linked Cell 13 2" xfId="16128" xr:uid="{00000000-0005-0000-0000-0000EA3E0000}"/>
    <cellStyle name="Linked Cell 13 3" xfId="16129" xr:uid="{00000000-0005-0000-0000-0000EB3E0000}"/>
    <cellStyle name="Linked Cell 14" xfId="16130" xr:uid="{00000000-0005-0000-0000-0000EC3E0000}"/>
    <cellStyle name="Linked Cell 14 2" xfId="16131" xr:uid="{00000000-0005-0000-0000-0000ED3E0000}"/>
    <cellStyle name="Linked Cell 14 3" xfId="16132" xr:uid="{00000000-0005-0000-0000-0000EE3E0000}"/>
    <cellStyle name="Linked Cell 15" xfId="16133" xr:uid="{00000000-0005-0000-0000-0000EF3E0000}"/>
    <cellStyle name="Linked Cell 15 2" xfId="16134" xr:uid="{00000000-0005-0000-0000-0000F03E0000}"/>
    <cellStyle name="Linked Cell 15 3" xfId="16135" xr:uid="{00000000-0005-0000-0000-0000F13E0000}"/>
    <cellStyle name="Linked Cell 16" xfId="16136" xr:uid="{00000000-0005-0000-0000-0000F23E0000}"/>
    <cellStyle name="Linked Cell 16 2" xfId="16137" xr:uid="{00000000-0005-0000-0000-0000F33E0000}"/>
    <cellStyle name="Linked Cell 16 3" xfId="16138" xr:uid="{00000000-0005-0000-0000-0000F43E0000}"/>
    <cellStyle name="Linked Cell 17" xfId="16139" xr:uid="{00000000-0005-0000-0000-0000F53E0000}"/>
    <cellStyle name="Linked Cell 17 2" xfId="16140" xr:uid="{00000000-0005-0000-0000-0000F63E0000}"/>
    <cellStyle name="Linked Cell 17 3" xfId="16141" xr:uid="{00000000-0005-0000-0000-0000F73E0000}"/>
    <cellStyle name="Linked Cell 18" xfId="16142" xr:uid="{00000000-0005-0000-0000-0000F83E0000}"/>
    <cellStyle name="Linked Cell 18 2" xfId="16143" xr:uid="{00000000-0005-0000-0000-0000F93E0000}"/>
    <cellStyle name="Linked Cell 18 3" xfId="16144" xr:uid="{00000000-0005-0000-0000-0000FA3E0000}"/>
    <cellStyle name="Linked Cell 19" xfId="16145" xr:uid="{00000000-0005-0000-0000-0000FB3E0000}"/>
    <cellStyle name="Linked Cell 19 2" xfId="16146" xr:uid="{00000000-0005-0000-0000-0000FC3E0000}"/>
    <cellStyle name="Linked Cell 19 3" xfId="16147" xr:uid="{00000000-0005-0000-0000-0000FD3E0000}"/>
    <cellStyle name="Linked Cell 2" xfId="16148" xr:uid="{00000000-0005-0000-0000-0000FE3E0000}"/>
    <cellStyle name="Linked Cell 2 2" xfId="16149" xr:uid="{00000000-0005-0000-0000-0000FF3E0000}"/>
    <cellStyle name="Linked Cell 2 3" xfId="16150" xr:uid="{00000000-0005-0000-0000-0000003F0000}"/>
    <cellStyle name="Linked Cell 20" xfId="16151" xr:uid="{00000000-0005-0000-0000-0000013F0000}"/>
    <cellStyle name="Linked Cell 20 2" xfId="16152" xr:uid="{00000000-0005-0000-0000-0000023F0000}"/>
    <cellStyle name="Linked Cell 20 3" xfId="16153" xr:uid="{00000000-0005-0000-0000-0000033F0000}"/>
    <cellStyle name="Linked Cell 21" xfId="16154" xr:uid="{00000000-0005-0000-0000-0000043F0000}"/>
    <cellStyle name="Linked Cell 21 2" xfId="16155" xr:uid="{00000000-0005-0000-0000-0000053F0000}"/>
    <cellStyle name="Linked Cell 21 3" xfId="16156" xr:uid="{00000000-0005-0000-0000-0000063F0000}"/>
    <cellStyle name="Linked Cell 22" xfId="16157" xr:uid="{00000000-0005-0000-0000-0000073F0000}"/>
    <cellStyle name="Linked Cell 22 2" xfId="16158" xr:uid="{00000000-0005-0000-0000-0000083F0000}"/>
    <cellStyle name="Linked Cell 22 3" xfId="16159" xr:uid="{00000000-0005-0000-0000-0000093F0000}"/>
    <cellStyle name="Linked Cell 23" xfId="16160" xr:uid="{00000000-0005-0000-0000-00000A3F0000}"/>
    <cellStyle name="Linked Cell 23 2" xfId="16161" xr:uid="{00000000-0005-0000-0000-00000B3F0000}"/>
    <cellStyle name="Linked Cell 23 3" xfId="16162" xr:uid="{00000000-0005-0000-0000-00000C3F0000}"/>
    <cellStyle name="Linked Cell 24" xfId="16163" xr:uid="{00000000-0005-0000-0000-00000D3F0000}"/>
    <cellStyle name="Linked Cell 24 2" xfId="16164" xr:uid="{00000000-0005-0000-0000-00000E3F0000}"/>
    <cellStyle name="Linked Cell 24 3" xfId="16165" xr:uid="{00000000-0005-0000-0000-00000F3F0000}"/>
    <cellStyle name="Linked Cell 25" xfId="16166" xr:uid="{00000000-0005-0000-0000-0000103F0000}"/>
    <cellStyle name="Linked Cell 25 2" xfId="16167" xr:uid="{00000000-0005-0000-0000-0000113F0000}"/>
    <cellStyle name="Linked Cell 25 3" xfId="16168" xr:uid="{00000000-0005-0000-0000-0000123F0000}"/>
    <cellStyle name="Linked Cell 26" xfId="16169" xr:uid="{00000000-0005-0000-0000-0000133F0000}"/>
    <cellStyle name="Linked Cell 26 2" xfId="16170" xr:uid="{00000000-0005-0000-0000-0000143F0000}"/>
    <cellStyle name="Linked Cell 26 3" xfId="16171" xr:uid="{00000000-0005-0000-0000-0000153F0000}"/>
    <cellStyle name="Linked Cell 27" xfId="16172" xr:uid="{00000000-0005-0000-0000-0000163F0000}"/>
    <cellStyle name="Linked Cell 27 2" xfId="16173" xr:uid="{00000000-0005-0000-0000-0000173F0000}"/>
    <cellStyle name="Linked Cell 27 3" xfId="16174" xr:uid="{00000000-0005-0000-0000-0000183F0000}"/>
    <cellStyle name="Linked Cell 28" xfId="16175" xr:uid="{00000000-0005-0000-0000-0000193F0000}"/>
    <cellStyle name="Linked Cell 28 2" xfId="16176" xr:uid="{00000000-0005-0000-0000-00001A3F0000}"/>
    <cellStyle name="Linked Cell 28 3" xfId="16177" xr:uid="{00000000-0005-0000-0000-00001B3F0000}"/>
    <cellStyle name="Linked Cell 29" xfId="16178" xr:uid="{00000000-0005-0000-0000-00001C3F0000}"/>
    <cellStyle name="Linked Cell 29 2" xfId="16179" xr:uid="{00000000-0005-0000-0000-00001D3F0000}"/>
    <cellStyle name="Linked Cell 29 3" xfId="16180" xr:uid="{00000000-0005-0000-0000-00001E3F0000}"/>
    <cellStyle name="Linked Cell 3" xfId="16181" xr:uid="{00000000-0005-0000-0000-00001F3F0000}"/>
    <cellStyle name="Linked Cell 3 2" xfId="16182" xr:uid="{00000000-0005-0000-0000-0000203F0000}"/>
    <cellStyle name="Linked Cell 3 3" xfId="16183" xr:uid="{00000000-0005-0000-0000-0000213F0000}"/>
    <cellStyle name="Linked Cell 30" xfId="16184" xr:uid="{00000000-0005-0000-0000-0000223F0000}"/>
    <cellStyle name="Linked Cell 30 2" xfId="16185" xr:uid="{00000000-0005-0000-0000-0000233F0000}"/>
    <cellStyle name="Linked Cell 30 3" xfId="16186" xr:uid="{00000000-0005-0000-0000-0000243F0000}"/>
    <cellStyle name="Linked Cell 31" xfId="16187" xr:uid="{00000000-0005-0000-0000-0000253F0000}"/>
    <cellStyle name="Linked Cell 31 2" xfId="16188" xr:uid="{00000000-0005-0000-0000-0000263F0000}"/>
    <cellStyle name="Linked Cell 31 3" xfId="16189" xr:uid="{00000000-0005-0000-0000-0000273F0000}"/>
    <cellStyle name="Linked Cell 32" xfId="16190" xr:uid="{00000000-0005-0000-0000-0000283F0000}"/>
    <cellStyle name="Linked Cell 32 2" xfId="16191" xr:uid="{00000000-0005-0000-0000-0000293F0000}"/>
    <cellStyle name="Linked Cell 32 3" xfId="16192" xr:uid="{00000000-0005-0000-0000-00002A3F0000}"/>
    <cellStyle name="Linked Cell 33" xfId="16193" xr:uid="{00000000-0005-0000-0000-00002B3F0000}"/>
    <cellStyle name="Linked Cell 33 2" xfId="16194" xr:uid="{00000000-0005-0000-0000-00002C3F0000}"/>
    <cellStyle name="Linked Cell 33 3" xfId="16195" xr:uid="{00000000-0005-0000-0000-00002D3F0000}"/>
    <cellStyle name="Linked Cell 34" xfId="16196" xr:uid="{00000000-0005-0000-0000-00002E3F0000}"/>
    <cellStyle name="Linked Cell 34 2" xfId="16197" xr:uid="{00000000-0005-0000-0000-00002F3F0000}"/>
    <cellStyle name="Linked Cell 34 3" xfId="16198" xr:uid="{00000000-0005-0000-0000-0000303F0000}"/>
    <cellStyle name="Linked Cell 35" xfId="16199" xr:uid="{00000000-0005-0000-0000-0000313F0000}"/>
    <cellStyle name="Linked Cell 35 2" xfId="16200" xr:uid="{00000000-0005-0000-0000-0000323F0000}"/>
    <cellStyle name="Linked Cell 35 3" xfId="16201" xr:uid="{00000000-0005-0000-0000-0000333F0000}"/>
    <cellStyle name="Linked Cell 36" xfId="16202" xr:uid="{00000000-0005-0000-0000-0000343F0000}"/>
    <cellStyle name="Linked Cell 36 2" xfId="16203" xr:uid="{00000000-0005-0000-0000-0000353F0000}"/>
    <cellStyle name="Linked Cell 36 3" xfId="16204" xr:uid="{00000000-0005-0000-0000-0000363F0000}"/>
    <cellStyle name="Linked Cell 37" xfId="16205" xr:uid="{00000000-0005-0000-0000-0000373F0000}"/>
    <cellStyle name="Linked Cell 37 2" xfId="16206" xr:uid="{00000000-0005-0000-0000-0000383F0000}"/>
    <cellStyle name="Linked Cell 37 3" xfId="16207" xr:uid="{00000000-0005-0000-0000-0000393F0000}"/>
    <cellStyle name="Linked Cell 38" xfId="16208" xr:uid="{00000000-0005-0000-0000-00003A3F0000}"/>
    <cellStyle name="Linked Cell 38 2" xfId="16209" xr:uid="{00000000-0005-0000-0000-00003B3F0000}"/>
    <cellStyle name="Linked Cell 38 3" xfId="16210" xr:uid="{00000000-0005-0000-0000-00003C3F0000}"/>
    <cellStyle name="Linked Cell 39" xfId="16211" xr:uid="{00000000-0005-0000-0000-00003D3F0000}"/>
    <cellStyle name="Linked Cell 39 2" xfId="16212" xr:uid="{00000000-0005-0000-0000-00003E3F0000}"/>
    <cellStyle name="Linked Cell 39 3" xfId="16213" xr:uid="{00000000-0005-0000-0000-00003F3F0000}"/>
    <cellStyle name="Linked Cell 4" xfId="16214" xr:uid="{00000000-0005-0000-0000-0000403F0000}"/>
    <cellStyle name="Linked Cell 4 2" xfId="16215" xr:uid="{00000000-0005-0000-0000-0000413F0000}"/>
    <cellStyle name="Linked Cell 4 3" xfId="16216" xr:uid="{00000000-0005-0000-0000-0000423F0000}"/>
    <cellStyle name="Linked Cell 40" xfId="16217" xr:uid="{00000000-0005-0000-0000-0000433F0000}"/>
    <cellStyle name="Linked Cell 40 2" xfId="16218" xr:uid="{00000000-0005-0000-0000-0000443F0000}"/>
    <cellStyle name="Linked Cell 40 3" xfId="16219" xr:uid="{00000000-0005-0000-0000-0000453F0000}"/>
    <cellStyle name="Linked Cell 41" xfId="16220" xr:uid="{00000000-0005-0000-0000-0000463F0000}"/>
    <cellStyle name="Linked Cell 41 2" xfId="16221" xr:uid="{00000000-0005-0000-0000-0000473F0000}"/>
    <cellStyle name="Linked Cell 41 3" xfId="16222" xr:uid="{00000000-0005-0000-0000-0000483F0000}"/>
    <cellStyle name="Linked Cell 42" xfId="16223" xr:uid="{00000000-0005-0000-0000-0000493F0000}"/>
    <cellStyle name="Linked Cell 42 2" xfId="16224" xr:uid="{00000000-0005-0000-0000-00004A3F0000}"/>
    <cellStyle name="Linked Cell 42 3" xfId="16225" xr:uid="{00000000-0005-0000-0000-00004B3F0000}"/>
    <cellStyle name="Linked Cell 43" xfId="16226" xr:uid="{00000000-0005-0000-0000-00004C3F0000}"/>
    <cellStyle name="Linked Cell 43 2" xfId="16227" xr:uid="{00000000-0005-0000-0000-00004D3F0000}"/>
    <cellStyle name="Linked Cell 43 3" xfId="16228" xr:uid="{00000000-0005-0000-0000-00004E3F0000}"/>
    <cellStyle name="Linked Cell 44" xfId="16229" xr:uid="{00000000-0005-0000-0000-00004F3F0000}"/>
    <cellStyle name="Linked Cell 44 2" xfId="16230" xr:uid="{00000000-0005-0000-0000-0000503F0000}"/>
    <cellStyle name="Linked Cell 44 3" xfId="16231" xr:uid="{00000000-0005-0000-0000-0000513F0000}"/>
    <cellStyle name="Linked Cell 45" xfId="16232" xr:uid="{00000000-0005-0000-0000-0000523F0000}"/>
    <cellStyle name="Linked Cell 45 2" xfId="16233" xr:uid="{00000000-0005-0000-0000-0000533F0000}"/>
    <cellStyle name="Linked Cell 45 3" xfId="16234" xr:uid="{00000000-0005-0000-0000-0000543F0000}"/>
    <cellStyle name="Linked Cell 46" xfId="16235" xr:uid="{00000000-0005-0000-0000-0000553F0000}"/>
    <cellStyle name="Linked Cell 46 2" xfId="16236" xr:uid="{00000000-0005-0000-0000-0000563F0000}"/>
    <cellStyle name="Linked Cell 46 3" xfId="16237" xr:uid="{00000000-0005-0000-0000-0000573F0000}"/>
    <cellStyle name="Linked Cell 47" xfId="16238" xr:uid="{00000000-0005-0000-0000-0000583F0000}"/>
    <cellStyle name="Linked Cell 47 2" xfId="16239" xr:uid="{00000000-0005-0000-0000-0000593F0000}"/>
    <cellStyle name="Linked Cell 48" xfId="16240" xr:uid="{00000000-0005-0000-0000-00005A3F0000}"/>
    <cellStyle name="Linked Cell 49" xfId="16241" xr:uid="{00000000-0005-0000-0000-00005B3F0000}"/>
    <cellStyle name="Linked Cell 5" xfId="16242" xr:uid="{00000000-0005-0000-0000-00005C3F0000}"/>
    <cellStyle name="Linked Cell 5 2" xfId="16243" xr:uid="{00000000-0005-0000-0000-00005D3F0000}"/>
    <cellStyle name="Linked Cell 5 3" xfId="16244" xr:uid="{00000000-0005-0000-0000-00005E3F0000}"/>
    <cellStyle name="Linked Cell 50" xfId="16245" xr:uid="{00000000-0005-0000-0000-00005F3F0000}"/>
    <cellStyle name="Linked Cell 51" xfId="16246" xr:uid="{00000000-0005-0000-0000-0000603F0000}"/>
    <cellStyle name="Linked Cell 6" xfId="16247" xr:uid="{00000000-0005-0000-0000-0000613F0000}"/>
    <cellStyle name="Linked Cell 6 2" xfId="16248" xr:uid="{00000000-0005-0000-0000-0000623F0000}"/>
    <cellStyle name="Linked Cell 6 3" xfId="16249" xr:uid="{00000000-0005-0000-0000-0000633F0000}"/>
    <cellStyle name="Linked Cell 7" xfId="16250" xr:uid="{00000000-0005-0000-0000-0000643F0000}"/>
    <cellStyle name="Linked Cell 7 2" xfId="16251" xr:uid="{00000000-0005-0000-0000-0000653F0000}"/>
    <cellStyle name="Linked Cell 7 3" xfId="16252" xr:uid="{00000000-0005-0000-0000-0000663F0000}"/>
    <cellStyle name="Linked Cell 8" xfId="16253" xr:uid="{00000000-0005-0000-0000-0000673F0000}"/>
    <cellStyle name="Linked Cell 8 2" xfId="16254" xr:uid="{00000000-0005-0000-0000-0000683F0000}"/>
    <cellStyle name="Linked Cell 8 3" xfId="16255" xr:uid="{00000000-0005-0000-0000-0000693F0000}"/>
    <cellStyle name="Linked Cell 9" xfId="16256" xr:uid="{00000000-0005-0000-0000-00006A3F0000}"/>
    <cellStyle name="Linked Cell 9 2" xfId="16257" xr:uid="{00000000-0005-0000-0000-00006B3F0000}"/>
    <cellStyle name="Linked Cell 9 3" xfId="16258" xr:uid="{00000000-0005-0000-0000-00006C3F0000}"/>
    <cellStyle name="Neutral 10" xfId="16259" xr:uid="{00000000-0005-0000-0000-00006D3F0000}"/>
    <cellStyle name="Neutral 10 2" xfId="16260" xr:uid="{00000000-0005-0000-0000-00006E3F0000}"/>
    <cellStyle name="Neutral 10 3" xfId="16261" xr:uid="{00000000-0005-0000-0000-00006F3F0000}"/>
    <cellStyle name="Neutral 11" xfId="16262" xr:uid="{00000000-0005-0000-0000-0000703F0000}"/>
    <cellStyle name="Neutral 11 2" xfId="16263" xr:uid="{00000000-0005-0000-0000-0000713F0000}"/>
    <cellStyle name="Neutral 11 3" xfId="16264" xr:uid="{00000000-0005-0000-0000-0000723F0000}"/>
    <cellStyle name="Neutral 12" xfId="16265" xr:uid="{00000000-0005-0000-0000-0000733F0000}"/>
    <cellStyle name="Neutral 12 2" xfId="16266" xr:uid="{00000000-0005-0000-0000-0000743F0000}"/>
    <cellStyle name="Neutral 12 3" xfId="16267" xr:uid="{00000000-0005-0000-0000-0000753F0000}"/>
    <cellStyle name="Neutral 13" xfId="16268" xr:uid="{00000000-0005-0000-0000-0000763F0000}"/>
    <cellStyle name="Neutral 13 2" xfId="16269" xr:uid="{00000000-0005-0000-0000-0000773F0000}"/>
    <cellStyle name="Neutral 13 3" xfId="16270" xr:uid="{00000000-0005-0000-0000-0000783F0000}"/>
    <cellStyle name="Neutral 14" xfId="16271" xr:uid="{00000000-0005-0000-0000-0000793F0000}"/>
    <cellStyle name="Neutral 14 2" xfId="16272" xr:uid="{00000000-0005-0000-0000-00007A3F0000}"/>
    <cellStyle name="Neutral 14 3" xfId="16273" xr:uid="{00000000-0005-0000-0000-00007B3F0000}"/>
    <cellStyle name="Neutral 15" xfId="16274" xr:uid="{00000000-0005-0000-0000-00007C3F0000}"/>
    <cellStyle name="Neutral 15 2" xfId="16275" xr:uid="{00000000-0005-0000-0000-00007D3F0000}"/>
    <cellStyle name="Neutral 15 3" xfId="16276" xr:uid="{00000000-0005-0000-0000-00007E3F0000}"/>
    <cellStyle name="Neutral 16" xfId="16277" xr:uid="{00000000-0005-0000-0000-00007F3F0000}"/>
    <cellStyle name="Neutral 16 2" xfId="16278" xr:uid="{00000000-0005-0000-0000-0000803F0000}"/>
    <cellStyle name="Neutral 16 3" xfId="16279" xr:uid="{00000000-0005-0000-0000-0000813F0000}"/>
    <cellStyle name="Neutral 17" xfId="16280" xr:uid="{00000000-0005-0000-0000-0000823F0000}"/>
    <cellStyle name="Neutral 17 2" xfId="16281" xr:uid="{00000000-0005-0000-0000-0000833F0000}"/>
    <cellStyle name="Neutral 17 3" xfId="16282" xr:uid="{00000000-0005-0000-0000-0000843F0000}"/>
    <cellStyle name="Neutral 18" xfId="16283" xr:uid="{00000000-0005-0000-0000-0000853F0000}"/>
    <cellStyle name="Neutral 18 2" xfId="16284" xr:uid="{00000000-0005-0000-0000-0000863F0000}"/>
    <cellStyle name="Neutral 18 3" xfId="16285" xr:uid="{00000000-0005-0000-0000-0000873F0000}"/>
    <cellStyle name="Neutral 19" xfId="16286" xr:uid="{00000000-0005-0000-0000-0000883F0000}"/>
    <cellStyle name="Neutral 19 2" xfId="16287" xr:uid="{00000000-0005-0000-0000-0000893F0000}"/>
    <cellStyle name="Neutral 19 3" xfId="16288" xr:uid="{00000000-0005-0000-0000-00008A3F0000}"/>
    <cellStyle name="Neutral 2" xfId="16289" xr:uid="{00000000-0005-0000-0000-00008B3F0000}"/>
    <cellStyle name="Neutral 2 2" xfId="16290" xr:uid="{00000000-0005-0000-0000-00008C3F0000}"/>
    <cellStyle name="Neutral 2 2 2" xfId="16291" xr:uid="{00000000-0005-0000-0000-00008D3F0000}"/>
    <cellStyle name="Neutral 2 2 3" xfId="16292" xr:uid="{00000000-0005-0000-0000-00008E3F0000}"/>
    <cellStyle name="Neutral 2 3" xfId="16293" xr:uid="{00000000-0005-0000-0000-00008F3F0000}"/>
    <cellStyle name="Neutral 2 3 2" xfId="16294" xr:uid="{00000000-0005-0000-0000-0000903F0000}"/>
    <cellStyle name="Neutral 2 4" xfId="16295" xr:uid="{00000000-0005-0000-0000-0000913F0000}"/>
    <cellStyle name="Neutral 2 5" xfId="16296" xr:uid="{00000000-0005-0000-0000-0000923F0000}"/>
    <cellStyle name="Neutral 2 6" xfId="16297" xr:uid="{00000000-0005-0000-0000-0000933F0000}"/>
    <cellStyle name="Neutral 2 7" xfId="16298" xr:uid="{00000000-0005-0000-0000-0000943F0000}"/>
    <cellStyle name="Neutral 20" xfId="16299" xr:uid="{00000000-0005-0000-0000-0000953F0000}"/>
    <cellStyle name="Neutral 20 2" xfId="16300" xr:uid="{00000000-0005-0000-0000-0000963F0000}"/>
    <cellStyle name="Neutral 20 3" xfId="16301" xr:uid="{00000000-0005-0000-0000-0000973F0000}"/>
    <cellStyle name="Neutral 21" xfId="16302" xr:uid="{00000000-0005-0000-0000-0000983F0000}"/>
    <cellStyle name="Neutral 21 2" xfId="16303" xr:uid="{00000000-0005-0000-0000-0000993F0000}"/>
    <cellStyle name="Neutral 21 3" xfId="16304" xr:uid="{00000000-0005-0000-0000-00009A3F0000}"/>
    <cellStyle name="Neutral 22" xfId="16305" xr:uid="{00000000-0005-0000-0000-00009B3F0000}"/>
    <cellStyle name="Neutral 22 2" xfId="16306" xr:uid="{00000000-0005-0000-0000-00009C3F0000}"/>
    <cellStyle name="Neutral 22 3" xfId="16307" xr:uid="{00000000-0005-0000-0000-00009D3F0000}"/>
    <cellStyle name="Neutral 23" xfId="16308" xr:uid="{00000000-0005-0000-0000-00009E3F0000}"/>
    <cellStyle name="Neutral 23 2" xfId="16309" xr:uid="{00000000-0005-0000-0000-00009F3F0000}"/>
    <cellStyle name="Neutral 23 3" xfId="16310" xr:uid="{00000000-0005-0000-0000-0000A03F0000}"/>
    <cellStyle name="Neutral 24" xfId="16311" xr:uid="{00000000-0005-0000-0000-0000A13F0000}"/>
    <cellStyle name="Neutral 24 2" xfId="16312" xr:uid="{00000000-0005-0000-0000-0000A23F0000}"/>
    <cellStyle name="Neutral 24 3" xfId="16313" xr:uid="{00000000-0005-0000-0000-0000A33F0000}"/>
    <cellStyle name="Neutral 25" xfId="16314" xr:uid="{00000000-0005-0000-0000-0000A43F0000}"/>
    <cellStyle name="Neutral 25 2" xfId="16315" xr:uid="{00000000-0005-0000-0000-0000A53F0000}"/>
    <cellStyle name="Neutral 25 3" xfId="16316" xr:uid="{00000000-0005-0000-0000-0000A63F0000}"/>
    <cellStyle name="Neutral 26" xfId="16317" xr:uid="{00000000-0005-0000-0000-0000A73F0000}"/>
    <cellStyle name="Neutral 26 2" xfId="16318" xr:uid="{00000000-0005-0000-0000-0000A83F0000}"/>
    <cellStyle name="Neutral 26 3" xfId="16319" xr:uid="{00000000-0005-0000-0000-0000A93F0000}"/>
    <cellStyle name="Neutral 27" xfId="16320" xr:uid="{00000000-0005-0000-0000-0000AA3F0000}"/>
    <cellStyle name="Neutral 27 2" xfId="16321" xr:uid="{00000000-0005-0000-0000-0000AB3F0000}"/>
    <cellStyle name="Neutral 27 3" xfId="16322" xr:uid="{00000000-0005-0000-0000-0000AC3F0000}"/>
    <cellStyle name="Neutral 28" xfId="16323" xr:uid="{00000000-0005-0000-0000-0000AD3F0000}"/>
    <cellStyle name="Neutral 28 2" xfId="16324" xr:uid="{00000000-0005-0000-0000-0000AE3F0000}"/>
    <cellStyle name="Neutral 28 3" xfId="16325" xr:uid="{00000000-0005-0000-0000-0000AF3F0000}"/>
    <cellStyle name="Neutral 29" xfId="16326" xr:uid="{00000000-0005-0000-0000-0000B03F0000}"/>
    <cellStyle name="Neutral 29 2" xfId="16327" xr:uid="{00000000-0005-0000-0000-0000B13F0000}"/>
    <cellStyle name="Neutral 29 3" xfId="16328" xr:uid="{00000000-0005-0000-0000-0000B23F0000}"/>
    <cellStyle name="Neutral 3" xfId="16329" xr:uid="{00000000-0005-0000-0000-0000B33F0000}"/>
    <cellStyle name="Neutral 3 2" xfId="16330" xr:uid="{00000000-0005-0000-0000-0000B43F0000}"/>
    <cellStyle name="Neutral 3 3" xfId="16331" xr:uid="{00000000-0005-0000-0000-0000B53F0000}"/>
    <cellStyle name="Neutral 30" xfId="16332" xr:uid="{00000000-0005-0000-0000-0000B63F0000}"/>
    <cellStyle name="Neutral 30 2" xfId="16333" xr:uid="{00000000-0005-0000-0000-0000B73F0000}"/>
    <cellStyle name="Neutral 30 3" xfId="16334" xr:uid="{00000000-0005-0000-0000-0000B83F0000}"/>
    <cellStyle name="Neutral 31" xfId="16335" xr:uid="{00000000-0005-0000-0000-0000B93F0000}"/>
    <cellStyle name="Neutral 31 2" xfId="16336" xr:uid="{00000000-0005-0000-0000-0000BA3F0000}"/>
    <cellStyle name="Neutral 31 3" xfId="16337" xr:uid="{00000000-0005-0000-0000-0000BB3F0000}"/>
    <cellStyle name="Neutral 32" xfId="16338" xr:uid="{00000000-0005-0000-0000-0000BC3F0000}"/>
    <cellStyle name="Neutral 32 2" xfId="16339" xr:uid="{00000000-0005-0000-0000-0000BD3F0000}"/>
    <cellStyle name="Neutral 32 3" xfId="16340" xr:uid="{00000000-0005-0000-0000-0000BE3F0000}"/>
    <cellStyle name="Neutral 33" xfId="16341" xr:uid="{00000000-0005-0000-0000-0000BF3F0000}"/>
    <cellStyle name="Neutral 33 2" xfId="16342" xr:uid="{00000000-0005-0000-0000-0000C03F0000}"/>
    <cellStyle name="Neutral 33 3" xfId="16343" xr:uid="{00000000-0005-0000-0000-0000C13F0000}"/>
    <cellStyle name="Neutral 34" xfId="16344" xr:uid="{00000000-0005-0000-0000-0000C23F0000}"/>
    <cellStyle name="Neutral 34 2" xfId="16345" xr:uid="{00000000-0005-0000-0000-0000C33F0000}"/>
    <cellStyle name="Neutral 34 3" xfId="16346" xr:uid="{00000000-0005-0000-0000-0000C43F0000}"/>
    <cellStyle name="Neutral 35" xfId="16347" xr:uid="{00000000-0005-0000-0000-0000C53F0000}"/>
    <cellStyle name="Neutral 35 2" xfId="16348" xr:uid="{00000000-0005-0000-0000-0000C63F0000}"/>
    <cellStyle name="Neutral 35 3" xfId="16349" xr:uid="{00000000-0005-0000-0000-0000C73F0000}"/>
    <cellStyle name="Neutral 36" xfId="16350" xr:uid="{00000000-0005-0000-0000-0000C83F0000}"/>
    <cellStyle name="Neutral 36 2" xfId="16351" xr:uid="{00000000-0005-0000-0000-0000C93F0000}"/>
    <cellStyle name="Neutral 36 3" xfId="16352" xr:uid="{00000000-0005-0000-0000-0000CA3F0000}"/>
    <cellStyle name="Neutral 37" xfId="16353" xr:uid="{00000000-0005-0000-0000-0000CB3F0000}"/>
    <cellStyle name="Neutral 37 2" xfId="16354" xr:uid="{00000000-0005-0000-0000-0000CC3F0000}"/>
    <cellStyle name="Neutral 37 3" xfId="16355" xr:uid="{00000000-0005-0000-0000-0000CD3F0000}"/>
    <cellStyle name="Neutral 38" xfId="16356" xr:uid="{00000000-0005-0000-0000-0000CE3F0000}"/>
    <cellStyle name="Neutral 38 2" xfId="16357" xr:uid="{00000000-0005-0000-0000-0000CF3F0000}"/>
    <cellStyle name="Neutral 38 3" xfId="16358" xr:uid="{00000000-0005-0000-0000-0000D03F0000}"/>
    <cellStyle name="Neutral 39" xfId="16359" xr:uid="{00000000-0005-0000-0000-0000D13F0000}"/>
    <cellStyle name="Neutral 39 2" xfId="16360" xr:uid="{00000000-0005-0000-0000-0000D23F0000}"/>
    <cellStyle name="Neutral 39 3" xfId="16361" xr:uid="{00000000-0005-0000-0000-0000D33F0000}"/>
    <cellStyle name="Neutral 4" xfId="16362" xr:uid="{00000000-0005-0000-0000-0000D43F0000}"/>
    <cellStyle name="Neutral 4 2" xfId="16363" xr:uid="{00000000-0005-0000-0000-0000D53F0000}"/>
    <cellStyle name="Neutral 4 3" xfId="16364" xr:uid="{00000000-0005-0000-0000-0000D63F0000}"/>
    <cellStyle name="Neutral 40" xfId="16365" xr:uid="{00000000-0005-0000-0000-0000D73F0000}"/>
    <cellStyle name="Neutral 40 2" xfId="16366" xr:uid="{00000000-0005-0000-0000-0000D83F0000}"/>
    <cellStyle name="Neutral 40 3" xfId="16367" xr:uid="{00000000-0005-0000-0000-0000D93F0000}"/>
    <cellStyle name="Neutral 41" xfId="16368" xr:uid="{00000000-0005-0000-0000-0000DA3F0000}"/>
    <cellStyle name="Neutral 41 2" xfId="16369" xr:uid="{00000000-0005-0000-0000-0000DB3F0000}"/>
    <cellStyle name="Neutral 41 3" xfId="16370" xr:uid="{00000000-0005-0000-0000-0000DC3F0000}"/>
    <cellStyle name="Neutral 42" xfId="16371" xr:uid="{00000000-0005-0000-0000-0000DD3F0000}"/>
    <cellStyle name="Neutral 42 2" xfId="16372" xr:uid="{00000000-0005-0000-0000-0000DE3F0000}"/>
    <cellStyle name="Neutral 42 3" xfId="16373" xr:uid="{00000000-0005-0000-0000-0000DF3F0000}"/>
    <cellStyle name="Neutral 43" xfId="16374" xr:uid="{00000000-0005-0000-0000-0000E03F0000}"/>
    <cellStyle name="Neutral 43 2" xfId="16375" xr:uid="{00000000-0005-0000-0000-0000E13F0000}"/>
    <cellStyle name="Neutral 43 3" xfId="16376" xr:uid="{00000000-0005-0000-0000-0000E23F0000}"/>
    <cellStyle name="Neutral 44" xfId="16377" xr:uid="{00000000-0005-0000-0000-0000E33F0000}"/>
    <cellStyle name="Neutral 44 2" xfId="16378" xr:uid="{00000000-0005-0000-0000-0000E43F0000}"/>
    <cellStyle name="Neutral 44 3" xfId="16379" xr:uid="{00000000-0005-0000-0000-0000E53F0000}"/>
    <cellStyle name="Neutral 45" xfId="16380" xr:uid="{00000000-0005-0000-0000-0000E63F0000}"/>
    <cellStyle name="Neutral 45 2" xfId="16381" xr:uid="{00000000-0005-0000-0000-0000E73F0000}"/>
    <cellStyle name="Neutral 45 3" xfId="16382" xr:uid="{00000000-0005-0000-0000-0000E83F0000}"/>
    <cellStyle name="Neutral 46" xfId="16383" xr:uid="{00000000-0005-0000-0000-0000E93F0000}"/>
    <cellStyle name="Neutral 46 2" xfId="16384" xr:uid="{00000000-0005-0000-0000-0000EA3F0000}"/>
    <cellStyle name="Neutral 46 3" xfId="16385" xr:uid="{00000000-0005-0000-0000-0000EB3F0000}"/>
    <cellStyle name="Neutral 47" xfId="16386" xr:uid="{00000000-0005-0000-0000-0000EC3F0000}"/>
    <cellStyle name="Neutral 47 2" xfId="16387" xr:uid="{00000000-0005-0000-0000-0000ED3F0000}"/>
    <cellStyle name="Neutral 48" xfId="16388" xr:uid="{00000000-0005-0000-0000-0000EE3F0000}"/>
    <cellStyle name="Neutral 49" xfId="16389" xr:uid="{00000000-0005-0000-0000-0000EF3F0000}"/>
    <cellStyle name="Neutral 5" xfId="16390" xr:uid="{00000000-0005-0000-0000-0000F03F0000}"/>
    <cellStyle name="Neutral 5 2" xfId="16391" xr:uid="{00000000-0005-0000-0000-0000F13F0000}"/>
    <cellStyle name="Neutral 5 3" xfId="16392" xr:uid="{00000000-0005-0000-0000-0000F23F0000}"/>
    <cellStyle name="Neutral 50" xfId="16393" xr:uid="{00000000-0005-0000-0000-0000F33F0000}"/>
    <cellStyle name="Neutral 51" xfId="16394" xr:uid="{00000000-0005-0000-0000-0000F43F0000}"/>
    <cellStyle name="Neutral 6" xfId="16395" xr:uid="{00000000-0005-0000-0000-0000F53F0000}"/>
    <cellStyle name="Neutral 6 2" xfId="16396" xr:uid="{00000000-0005-0000-0000-0000F63F0000}"/>
    <cellStyle name="Neutral 6 3" xfId="16397" xr:uid="{00000000-0005-0000-0000-0000F73F0000}"/>
    <cellStyle name="Neutral 7" xfId="16398" xr:uid="{00000000-0005-0000-0000-0000F83F0000}"/>
    <cellStyle name="Neutral 7 2" xfId="16399" xr:uid="{00000000-0005-0000-0000-0000F93F0000}"/>
    <cellStyle name="Neutral 7 3" xfId="16400" xr:uid="{00000000-0005-0000-0000-0000FA3F0000}"/>
    <cellStyle name="Neutral 8" xfId="16401" xr:uid="{00000000-0005-0000-0000-0000FB3F0000}"/>
    <cellStyle name="Neutral 8 2" xfId="16402" xr:uid="{00000000-0005-0000-0000-0000FC3F0000}"/>
    <cellStyle name="Neutral 8 3" xfId="16403" xr:uid="{00000000-0005-0000-0000-0000FD3F0000}"/>
    <cellStyle name="Neutral 9" xfId="16404" xr:uid="{00000000-0005-0000-0000-0000FE3F0000}"/>
    <cellStyle name="Neutral 9 2" xfId="16405" xr:uid="{00000000-0005-0000-0000-0000FF3F0000}"/>
    <cellStyle name="Neutral 9 3" xfId="16406" xr:uid="{00000000-0005-0000-0000-000000400000}"/>
    <cellStyle name="Normal" xfId="0" builtinId="0"/>
    <cellStyle name="Normal 10" xfId="5" xr:uid="{00000000-0005-0000-0000-000002400000}"/>
    <cellStyle name="Normal 10 10" xfId="16407" xr:uid="{00000000-0005-0000-0000-000003400000}"/>
    <cellStyle name="Normal 10 11" xfId="16408" xr:uid="{00000000-0005-0000-0000-000004400000}"/>
    <cellStyle name="Normal 10 2" xfId="16409" xr:uid="{00000000-0005-0000-0000-000005400000}"/>
    <cellStyle name="Normal 10 2 2" xfId="16410" xr:uid="{00000000-0005-0000-0000-000006400000}"/>
    <cellStyle name="Normal 10 2 2 2" xfId="16411" xr:uid="{00000000-0005-0000-0000-000007400000}"/>
    <cellStyle name="Normal 10 2 2 2 2" xfId="22" xr:uid="{00000000-0005-0000-0000-000008400000}"/>
    <cellStyle name="Normal 10 2 2 3" xfId="16412" xr:uid="{00000000-0005-0000-0000-000009400000}"/>
    <cellStyle name="Normal 10 2 2 3 2" xfId="16413" xr:uid="{00000000-0005-0000-0000-00000A400000}"/>
    <cellStyle name="Normal 10 2 2 4" xfId="16414" xr:uid="{00000000-0005-0000-0000-00000B400000}"/>
    <cellStyle name="Normal 10 2 2 4 2" xfId="16415" xr:uid="{00000000-0005-0000-0000-00000C400000}"/>
    <cellStyle name="Normal 10 2 2 5" xfId="16416" xr:uid="{00000000-0005-0000-0000-00000D400000}"/>
    <cellStyle name="Normal 10 2 2 6" xfId="16417" xr:uid="{00000000-0005-0000-0000-00000E400000}"/>
    <cellStyle name="Normal 10 2 2 7" xfId="16418" xr:uid="{00000000-0005-0000-0000-00000F400000}"/>
    <cellStyle name="Normal 10 2 3" xfId="16419" xr:uid="{00000000-0005-0000-0000-000010400000}"/>
    <cellStyle name="Normal 10 2 3 2" xfId="16420" xr:uid="{00000000-0005-0000-0000-000011400000}"/>
    <cellStyle name="Normal 10 2 3 2 2" xfId="16421" xr:uid="{00000000-0005-0000-0000-000012400000}"/>
    <cellStyle name="Normal 10 2 3 3" xfId="16422" xr:uid="{00000000-0005-0000-0000-000013400000}"/>
    <cellStyle name="Normal 10 2 3 4" xfId="16423" xr:uid="{00000000-0005-0000-0000-000014400000}"/>
    <cellStyle name="Normal 10 2 4" xfId="16424" xr:uid="{00000000-0005-0000-0000-000015400000}"/>
    <cellStyle name="Normal 10 2 4 2" xfId="16425" xr:uid="{00000000-0005-0000-0000-000016400000}"/>
    <cellStyle name="Normal 10 2 4 2 2" xfId="16426" xr:uid="{00000000-0005-0000-0000-000017400000}"/>
    <cellStyle name="Normal 10 2 4 3" xfId="16427" xr:uid="{00000000-0005-0000-0000-000018400000}"/>
    <cellStyle name="Normal 10 2 5" xfId="16428" xr:uid="{00000000-0005-0000-0000-000019400000}"/>
    <cellStyle name="Normal 10 2 5 2" xfId="16429" xr:uid="{00000000-0005-0000-0000-00001A400000}"/>
    <cellStyle name="Normal 10 2 6" xfId="16430" xr:uid="{00000000-0005-0000-0000-00001B400000}"/>
    <cellStyle name="Normal 10 2 6 2" xfId="16431" xr:uid="{00000000-0005-0000-0000-00001C400000}"/>
    <cellStyle name="Normal 10 2 7" xfId="16432" xr:uid="{00000000-0005-0000-0000-00001D400000}"/>
    <cellStyle name="Normal 10 2 7 2" xfId="16433" xr:uid="{00000000-0005-0000-0000-00001E400000}"/>
    <cellStyle name="Normal 10 2 8" xfId="16434" xr:uid="{00000000-0005-0000-0000-00001F400000}"/>
    <cellStyle name="Normal 10 2 8 2" xfId="16435" xr:uid="{00000000-0005-0000-0000-000020400000}"/>
    <cellStyle name="Normal 10 2 9" xfId="16436" xr:uid="{00000000-0005-0000-0000-000021400000}"/>
    <cellStyle name="Normal 10 3" xfId="16437" xr:uid="{00000000-0005-0000-0000-000022400000}"/>
    <cellStyle name="Normal 10 3 2" xfId="16438" xr:uid="{00000000-0005-0000-0000-000023400000}"/>
    <cellStyle name="Normal 10 3 2 2" xfId="16439" xr:uid="{00000000-0005-0000-0000-000024400000}"/>
    <cellStyle name="Normal 10 3 2 3" xfId="16440" xr:uid="{00000000-0005-0000-0000-000025400000}"/>
    <cellStyle name="Normal 10 3 2 4" xfId="16441" xr:uid="{00000000-0005-0000-0000-000026400000}"/>
    <cellStyle name="Normal 10 3 2 5" xfId="16442" xr:uid="{00000000-0005-0000-0000-000027400000}"/>
    <cellStyle name="Normal 10 3 3" xfId="16443" xr:uid="{00000000-0005-0000-0000-000028400000}"/>
    <cellStyle name="Normal 10 3 3 2" xfId="16444" xr:uid="{00000000-0005-0000-0000-000029400000}"/>
    <cellStyle name="Normal 10 3 4" xfId="16445" xr:uid="{00000000-0005-0000-0000-00002A400000}"/>
    <cellStyle name="Normal 10 3 4 2" xfId="16446" xr:uid="{00000000-0005-0000-0000-00002B400000}"/>
    <cellStyle name="Normal 10 3 5" xfId="16447" xr:uid="{00000000-0005-0000-0000-00002C400000}"/>
    <cellStyle name="Normal 10 3 6" xfId="16448" xr:uid="{00000000-0005-0000-0000-00002D400000}"/>
    <cellStyle name="Normal 10 3 7" xfId="16449" xr:uid="{00000000-0005-0000-0000-00002E400000}"/>
    <cellStyle name="Normal 10 3 8" xfId="16450" xr:uid="{00000000-0005-0000-0000-00002F400000}"/>
    <cellStyle name="Normal 10 4" xfId="16451" xr:uid="{00000000-0005-0000-0000-000030400000}"/>
    <cellStyle name="Normal 10 4 2" xfId="16452" xr:uid="{00000000-0005-0000-0000-000031400000}"/>
    <cellStyle name="Normal 10 4 2 2" xfId="16453" xr:uid="{00000000-0005-0000-0000-000032400000}"/>
    <cellStyle name="Normal 10 4 3" xfId="16454" xr:uid="{00000000-0005-0000-0000-000033400000}"/>
    <cellStyle name="Normal 10 4 3 2" xfId="16455" xr:uid="{00000000-0005-0000-0000-000034400000}"/>
    <cellStyle name="Normal 10 4 4" xfId="16456" xr:uid="{00000000-0005-0000-0000-000035400000}"/>
    <cellStyle name="Normal 10 4 4 2" xfId="16457" xr:uid="{00000000-0005-0000-0000-000036400000}"/>
    <cellStyle name="Normal 10 4 5" xfId="16458" xr:uid="{00000000-0005-0000-0000-000037400000}"/>
    <cellStyle name="Normal 10 4 6" xfId="16459" xr:uid="{00000000-0005-0000-0000-000038400000}"/>
    <cellStyle name="Normal 10 4 7" xfId="16460" xr:uid="{00000000-0005-0000-0000-000039400000}"/>
    <cellStyle name="Normal 10 5" xfId="16461" xr:uid="{00000000-0005-0000-0000-00003A400000}"/>
    <cellStyle name="Normal 10 5 2" xfId="16462" xr:uid="{00000000-0005-0000-0000-00003B400000}"/>
    <cellStyle name="Normal 10 5 2 2" xfId="16463" xr:uid="{00000000-0005-0000-0000-00003C400000}"/>
    <cellStyle name="Normal 10 5 3" xfId="16464" xr:uid="{00000000-0005-0000-0000-00003D400000}"/>
    <cellStyle name="Normal 10 6" xfId="16465" xr:uid="{00000000-0005-0000-0000-00003E400000}"/>
    <cellStyle name="Normal 10 6 2" xfId="16466" xr:uid="{00000000-0005-0000-0000-00003F400000}"/>
    <cellStyle name="Normal 10 6 2 2" xfId="16467" xr:uid="{00000000-0005-0000-0000-000040400000}"/>
    <cellStyle name="Normal 10 7" xfId="16468" xr:uid="{00000000-0005-0000-0000-000041400000}"/>
    <cellStyle name="Normal 10 7 2" xfId="16469" xr:uid="{00000000-0005-0000-0000-000042400000}"/>
    <cellStyle name="Normal 10 8" xfId="16470" xr:uid="{00000000-0005-0000-0000-000043400000}"/>
    <cellStyle name="Normal 10 8 2" xfId="16471" xr:uid="{00000000-0005-0000-0000-000044400000}"/>
    <cellStyle name="Normal 10 9" xfId="16472" xr:uid="{00000000-0005-0000-0000-000045400000}"/>
    <cellStyle name="Normal 10 9 2" xfId="16473" xr:uid="{00000000-0005-0000-0000-000046400000}"/>
    <cellStyle name="Normal 100" xfId="16474" xr:uid="{00000000-0005-0000-0000-000047400000}"/>
    <cellStyle name="Normal 100 2" xfId="16475" xr:uid="{00000000-0005-0000-0000-000048400000}"/>
    <cellStyle name="Normal 100 2 2" xfId="16476" xr:uid="{00000000-0005-0000-0000-000049400000}"/>
    <cellStyle name="Normal 100 2 3" xfId="16477" xr:uid="{00000000-0005-0000-0000-00004A400000}"/>
    <cellStyle name="Normal 100 3" xfId="16478" xr:uid="{00000000-0005-0000-0000-00004B400000}"/>
    <cellStyle name="Normal 100 4" xfId="16479" xr:uid="{00000000-0005-0000-0000-00004C400000}"/>
    <cellStyle name="Normal 100 5" xfId="6" xr:uid="{00000000-0005-0000-0000-00004D400000}"/>
    <cellStyle name="Normal 101" xfId="16480" xr:uid="{00000000-0005-0000-0000-00004E400000}"/>
    <cellStyle name="Normal 101 2" xfId="16481" xr:uid="{00000000-0005-0000-0000-00004F400000}"/>
    <cellStyle name="Normal 101 2 2" xfId="16482" xr:uid="{00000000-0005-0000-0000-000050400000}"/>
    <cellStyle name="Normal 101 2 3" xfId="16483" xr:uid="{00000000-0005-0000-0000-000051400000}"/>
    <cellStyle name="Normal 101 3" xfId="16484" xr:uid="{00000000-0005-0000-0000-000052400000}"/>
    <cellStyle name="Normal 101 4" xfId="16485" xr:uid="{00000000-0005-0000-0000-000053400000}"/>
    <cellStyle name="Normal 102" xfId="16486" xr:uid="{00000000-0005-0000-0000-000054400000}"/>
    <cellStyle name="Normal 102 2" xfId="16487" xr:uid="{00000000-0005-0000-0000-000055400000}"/>
    <cellStyle name="Normal 102 3" xfId="16488" xr:uid="{00000000-0005-0000-0000-000056400000}"/>
    <cellStyle name="Normal 103" xfId="16489" xr:uid="{00000000-0005-0000-0000-000057400000}"/>
    <cellStyle name="Normal 103 2" xfId="16490" xr:uid="{00000000-0005-0000-0000-000058400000}"/>
    <cellStyle name="Normal 103 3" xfId="16491" xr:uid="{00000000-0005-0000-0000-000059400000}"/>
    <cellStyle name="Normal 103 4" xfId="16492" xr:uid="{00000000-0005-0000-0000-00005A400000}"/>
    <cellStyle name="Normal 104" xfId="16493" xr:uid="{00000000-0005-0000-0000-00005B400000}"/>
    <cellStyle name="Normal 105" xfId="16494" xr:uid="{00000000-0005-0000-0000-00005C400000}"/>
    <cellStyle name="Normal 105 2" xfId="16495" xr:uid="{00000000-0005-0000-0000-00005D400000}"/>
    <cellStyle name="Normal 105 3" xfId="16496" xr:uid="{00000000-0005-0000-0000-00005E400000}"/>
    <cellStyle name="Normal 106" xfId="16497" xr:uid="{00000000-0005-0000-0000-00005F400000}"/>
    <cellStyle name="Normal 106 2" xfId="16498" xr:uid="{00000000-0005-0000-0000-000060400000}"/>
    <cellStyle name="Normal 107" xfId="16499" xr:uid="{00000000-0005-0000-0000-000061400000}"/>
    <cellStyle name="Normal 107 2" xfId="16500" xr:uid="{00000000-0005-0000-0000-000062400000}"/>
    <cellStyle name="Normal 108" xfId="16501" xr:uid="{00000000-0005-0000-0000-000063400000}"/>
    <cellStyle name="Normal 109" xfId="16502" xr:uid="{00000000-0005-0000-0000-000064400000}"/>
    <cellStyle name="Normal 11" xfId="16503" xr:uid="{00000000-0005-0000-0000-000065400000}"/>
    <cellStyle name="Normal 11 10" xfId="16504" xr:uid="{00000000-0005-0000-0000-000066400000}"/>
    <cellStyle name="Normal 11 10 2" xfId="16505" xr:uid="{00000000-0005-0000-0000-000067400000}"/>
    <cellStyle name="Normal 11 10 3" xfId="16506" xr:uid="{00000000-0005-0000-0000-000068400000}"/>
    <cellStyle name="Normal 11 11" xfId="16507" xr:uid="{00000000-0005-0000-0000-000069400000}"/>
    <cellStyle name="Normal 11 11 2" xfId="16508" xr:uid="{00000000-0005-0000-0000-00006A400000}"/>
    <cellStyle name="Normal 11 11 3" xfId="16509" xr:uid="{00000000-0005-0000-0000-00006B400000}"/>
    <cellStyle name="Normal 11 12" xfId="16510" xr:uid="{00000000-0005-0000-0000-00006C400000}"/>
    <cellStyle name="Normal 11 12 2" xfId="16511" xr:uid="{00000000-0005-0000-0000-00006D400000}"/>
    <cellStyle name="Normal 11 12 3" xfId="16512" xr:uid="{00000000-0005-0000-0000-00006E400000}"/>
    <cellStyle name="Normal 11 13" xfId="16513" xr:uid="{00000000-0005-0000-0000-00006F400000}"/>
    <cellStyle name="Normal 11 13 2" xfId="16514" xr:uid="{00000000-0005-0000-0000-000070400000}"/>
    <cellStyle name="Normal 11 13 3" xfId="16515" xr:uid="{00000000-0005-0000-0000-000071400000}"/>
    <cellStyle name="Normal 11 14" xfId="16516" xr:uid="{00000000-0005-0000-0000-000072400000}"/>
    <cellStyle name="Normal 11 14 2" xfId="16517" xr:uid="{00000000-0005-0000-0000-000073400000}"/>
    <cellStyle name="Normal 11 14 3" xfId="16518" xr:uid="{00000000-0005-0000-0000-000074400000}"/>
    <cellStyle name="Normal 11 15" xfId="16519" xr:uid="{00000000-0005-0000-0000-000075400000}"/>
    <cellStyle name="Normal 11 15 2" xfId="16520" xr:uid="{00000000-0005-0000-0000-000076400000}"/>
    <cellStyle name="Normal 11 15 3" xfId="16521" xr:uid="{00000000-0005-0000-0000-000077400000}"/>
    <cellStyle name="Normal 11 16" xfId="16522" xr:uid="{00000000-0005-0000-0000-000078400000}"/>
    <cellStyle name="Normal 11 16 2" xfId="16523" xr:uid="{00000000-0005-0000-0000-000079400000}"/>
    <cellStyle name="Normal 11 16 3" xfId="16524" xr:uid="{00000000-0005-0000-0000-00007A400000}"/>
    <cellStyle name="Normal 11 17" xfId="16525" xr:uid="{00000000-0005-0000-0000-00007B400000}"/>
    <cellStyle name="Normal 11 17 2" xfId="16526" xr:uid="{00000000-0005-0000-0000-00007C400000}"/>
    <cellStyle name="Normal 11 17 3" xfId="16527" xr:uid="{00000000-0005-0000-0000-00007D400000}"/>
    <cellStyle name="Normal 11 18" xfId="16528" xr:uid="{00000000-0005-0000-0000-00007E400000}"/>
    <cellStyle name="Normal 11 18 2" xfId="16529" xr:uid="{00000000-0005-0000-0000-00007F400000}"/>
    <cellStyle name="Normal 11 18 3" xfId="16530" xr:uid="{00000000-0005-0000-0000-000080400000}"/>
    <cellStyle name="Normal 11 19" xfId="16531" xr:uid="{00000000-0005-0000-0000-000081400000}"/>
    <cellStyle name="Normal 11 19 2" xfId="16532" xr:uid="{00000000-0005-0000-0000-000082400000}"/>
    <cellStyle name="Normal 11 19 3" xfId="16533" xr:uid="{00000000-0005-0000-0000-000083400000}"/>
    <cellStyle name="Normal 11 2" xfId="16534" xr:uid="{00000000-0005-0000-0000-000084400000}"/>
    <cellStyle name="Normal 11 2 10" xfId="16535" xr:uid="{00000000-0005-0000-0000-000085400000}"/>
    <cellStyle name="Normal 11 2 10 2" xfId="16536" xr:uid="{00000000-0005-0000-0000-000086400000}"/>
    <cellStyle name="Normal 11 2 10 2 2" xfId="16537" xr:uid="{00000000-0005-0000-0000-000087400000}"/>
    <cellStyle name="Normal 11 2 10 3" xfId="16538" xr:uid="{00000000-0005-0000-0000-000088400000}"/>
    <cellStyle name="Normal 11 2 10 3 2" xfId="16539" xr:uid="{00000000-0005-0000-0000-000089400000}"/>
    <cellStyle name="Normal 11 2 10 4" xfId="16540" xr:uid="{00000000-0005-0000-0000-00008A400000}"/>
    <cellStyle name="Normal 11 2 10 5" xfId="16541" xr:uid="{00000000-0005-0000-0000-00008B400000}"/>
    <cellStyle name="Normal 11 2 11" xfId="16542" xr:uid="{00000000-0005-0000-0000-00008C400000}"/>
    <cellStyle name="Normal 11 2 11 2" xfId="16543" xr:uid="{00000000-0005-0000-0000-00008D400000}"/>
    <cellStyle name="Normal 11 2 11 2 2" xfId="16544" xr:uid="{00000000-0005-0000-0000-00008E400000}"/>
    <cellStyle name="Normal 11 2 11 3" xfId="16545" xr:uid="{00000000-0005-0000-0000-00008F400000}"/>
    <cellStyle name="Normal 11 2 11 3 2" xfId="16546" xr:uid="{00000000-0005-0000-0000-000090400000}"/>
    <cellStyle name="Normal 11 2 11 4" xfId="16547" xr:uid="{00000000-0005-0000-0000-000091400000}"/>
    <cellStyle name="Normal 11 2 11 5" xfId="16548" xr:uid="{00000000-0005-0000-0000-000092400000}"/>
    <cellStyle name="Normal 11 2 12" xfId="16549" xr:uid="{00000000-0005-0000-0000-000093400000}"/>
    <cellStyle name="Normal 11 2 12 2" xfId="16550" xr:uid="{00000000-0005-0000-0000-000094400000}"/>
    <cellStyle name="Normal 11 2 12 2 2" xfId="16551" xr:uid="{00000000-0005-0000-0000-000095400000}"/>
    <cellStyle name="Normal 11 2 12 3" xfId="16552" xr:uid="{00000000-0005-0000-0000-000096400000}"/>
    <cellStyle name="Normal 11 2 12 3 2" xfId="16553" xr:uid="{00000000-0005-0000-0000-000097400000}"/>
    <cellStyle name="Normal 11 2 12 4" xfId="16554" xr:uid="{00000000-0005-0000-0000-000098400000}"/>
    <cellStyle name="Normal 11 2 12 5" xfId="16555" xr:uid="{00000000-0005-0000-0000-000099400000}"/>
    <cellStyle name="Normal 11 2 13" xfId="16556" xr:uid="{00000000-0005-0000-0000-00009A400000}"/>
    <cellStyle name="Normal 11 2 13 2" xfId="16557" xr:uid="{00000000-0005-0000-0000-00009B400000}"/>
    <cellStyle name="Normal 11 2 13 2 2" xfId="16558" xr:uid="{00000000-0005-0000-0000-00009C400000}"/>
    <cellStyle name="Normal 11 2 13 3" xfId="16559" xr:uid="{00000000-0005-0000-0000-00009D400000}"/>
    <cellStyle name="Normal 11 2 13 3 2" xfId="16560" xr:uid="{00000000-0005-0000-0000-00009E400000}"/>
    <cellStyle name="Normal 11 2 13 4" xfId="16561" xr:uid="{00000000-0005-0000-0000-00009F400000}"/>
    <cellStyle name="Normal 11 2 13 5" xfId="16562" xr:uid="{00000000-0005-0000-0000-0000A0400000}"/>
    <cellStyle name="Normal 11 2 14" xfId="16563" xr:uid="{00000000-0005-0000-0000-0000A1400000}"/>
    <cellStyle name="Normal 11 2 14 2" xfId="16564" xr:uid="{00000000-0005-0000-0000-0000A2400000}"/>
    <cellStyle name="Normal 11 2 14 2 2" xfId="16565" xr:uid="{00000000-0005-0000-0000-0000A3400000}"/>
    <cellStyle name="Normal 11 2 14 3" xfId="16566" xr:uid="{00000000-0005-0000-0000-0000A4400000}"/>
    <cellStyle name="Normal 11 2 14 3 2" xfId="16567" xr:uid="{00000000-0005-0000-0000-0000A5400000}"/>
    <cellStyle name="Normal 11 2 14 4" xfId="16568" xr:uid="{00000000-0005-0000-0000-0000A6400000}"/>
    <cellStyle name="Normal 11 2 14 5" xfId="16569" xr:uid="{00000000-0005-0000-0000-0000A7400000}"/>
    <cellStyle name="Normal 11 2 15" xfId="16570" xr:uid="{00000000-0005-0000-0000-0000A8400000}"/>
    <cellStyle name="Normal 11 2 15 2" xfId="16571" xr:uid="{00000000-0005-0000-0000-0000A9400000}"/>
    <cellStyle name="Normal 11 2 15 2 2" xfId="16572" xr:uid="{00000000-0005-0000-0000-0000AA400000}"/>
    <cellStyle name="Normal 11 2 15 3" xfId="16573" xr:uid="{00000000-0005-0000-0000-0000AB400000}"/>
    <cellStyle name="Normal 11 2 15 3 2" xfId="16574" xr:uid="{00000000-0005-0000-0000-0000AC400000}"/>
    <cellStyle name="Normal 11 2 15 4" xfId="16575" xr:uid="{00000000-0005-0000-0000-0000AD400000}"/>
    <cellStyle name="Normal 11 2 15 5" xfId="16576" xr:uid="{00000000-0005-0000-0000-0000AE400000}"/>
    <cellStyle name="Normal 11 2 16" xfId="16577" xr:uid="{00000000-0005-0000-0000-0000AF400000}"/>
    <cellStyle name="Normal 11 2 16 2" xfId="16578" xr:uid="{00000000-0005-0000-0000-0000B0400000}"/>
    <cellStyle name="Normal 11 2 16 2 2" xfId="16579" xr:uid="{00000000-0005-0000-0000-0000B1400000}"/>
    <cellStyle name="Normal 11 2 16 3" xfId="16580" xr:uid="{00000000-0005-0000-0000-0000B2400000}"/>
    <cellStyle name="Normal 11 2 16 3 2" xfId="16581" xr:uid="{00000000-0005-0000-0000-0000B3400000}"/>
    <cellStyle name="Normal 11 2 16 4" xfId="16582" xr:uid="{00000000-0005-0000-0000-0000B4400000}"/>
    <cellStyle name="Normal 11 2 16 5" xfId="16583" xr:uid="{00000000-0005-0000-0000-0000B5400000}"/>
    <cellStyle name="Normal 11 2 17" xfId="16584" xr:uid="{00000000-0005-0000-0000-0000B6400000}"/>
    <cellStyle name="Normal 11 2 17 2" xfId="16585" xr:uid="{00000000-0005-0000-0000-0000B7400000}"/>
    <cellStyle name="Normal 11 2 17 2 2" xfId="16586" xr:uid="{00000000-0005-0000-0000-0000B8400000}"/>
    <cellStyle name="Normal 11 2 17 3" xfId="16587" xr:uid="{00000000-0005-0000-0000-0000B9400000}"/>
    <cellStyle name="Normal 11 2 17 3 2" xfId="16588" xr:uid="{00000000-0005-0000-0000-0000BA400000}"/>
    <cellStyle name="Normal 11 2 17 4" xfId="16589" xr:uid="{00000000-0005-0000-0000-0000BB400000}"/>
    <cellStyle name="Normal 11 2 17 5" xfId="16590" xr:uid="{00000000-0005-0000-0000-0000BC400000}"/>
    <cellStyle name="Normal 11 2 18" xfId="16591" xr:uid="{00000000-0005-0000-0000-0000BD400000}"/>
    <cellStyle name="Normal 11 2 18 2" xfId="16592" xr:uid="{00000000-0005-0000-0000-0000BE400000}"/>
    <cellStyle name="Normal 11 2 18 2 2" xfId="16593" xr:uid="{00000000-0005-0000-0000-0000BF400000}"/>
    <cellStyle name="Normal 11 2 18 3" xfId="16594" xr:uid="{00000000-0005-0000-0000-0000C0400000}"/>
    <cellStyle name="Normal 11 2 18 3 2" xfId="16595" xr:uid="{00000000-0005-0000-0000-0000C1400000}"/>
    <cellStyle name="Normal 11 2 18 4" xfId="16596" xr:uid="{00000000-0005-0000-0000-0000C2400000}"/>
    <cellStyle name="Normal 11 2 18 5" xfId="16597" xr:uid="{00000000-0005-0000-0000-0000C3400000}"/>
    <cellStyle name="Normal 11 2 19" xfId="16598" xr:uid="{00000000-0005-0000-0000-0000C4400000}"/>
    <cellStyle name="Normal 11 2 19 2" xfId="16599" xr:uid="{00000000-0005-0000-0000-0000C5400000}"/>
    <cellStyle name="Normal 11 2 19 2 2" xfId="16600" xr:uid="{00000000-0005-0000-0000-0000C6400000}"/>
    <cellStyle name="Normal 11 2 19 3" xfId="16601" xr:uid="{00000000-0005-0000-0000-0000C7400000}"/>
    <cellStyle name="Normal 11 2 19 3 2" xfId="16602" xr:uid="{00000000-0005-0000-0000-0000C8400000}"/>
    <cellStyle name="Normal 11 2 19 4" xfId="16603" xr:uid="{00000000-0005-0000-0000-0000C9400000}"/>
    <cellStyle name="Normal 11 2 19 5" xfId="16604" xr:uid="{00000000-0005-0000-0000-0000CA400000}"/>
    <cellStyle name="Normal 11 2 2" xfId="16605" xr:uid="{00000000-0005-0000-0000-0000CB400000}"/>
    <cellStyle name="Normal 11 2 2 2" xfId="16606" xr:uid="{00000000-0005-0000-0000-0000CC400000}"/>
    <cellStyle name="Normal 11 2 2 2 2" xfId="16607" xr:uid="{00000000-0005-0000-0000-0000CD400000}"/>
    <cellStyle name="Normal 11 2 2 3" xfId="16608" xr:uid="{00000000-0005-0000-0000-0000CE400000}"/>
    <cellStyle name="Normal 11 2 2 3 2" xfId="16609" xr:uid="{00000000-0005-0000-0000-0000CF400000}"/>
    <cellStyle name="Normal 11 2 2 4" xfId="16610" xr:uid="{00000000-0005-0000-0000-0000D0400000}"/>
    <cellStyle name="Normal 11 2 2 5" xfId="16611" xr:uid="{00000000-0005-0000-0000-0000D1400000}"/>
    <cellStyle name="Normal 11 2 20" xfId="16612" xr:uid="{00000000-0005-0000-0000-0000D2400000}"/>
    <cellStyle name="Normal 11 2 20 2" xfId="16613" xr:uid="{00000000-0005-0000-0000-0000D3400000}"/>
    <cellStyle name="Normal 11 2 20 2 2" xfId="16614" xr:uid="{00000000-0005-0000-0000-0000D4400000}"/>
    <cellStyle name="Normal 11 2 20 3" xfId="16615" xr:uid="{00000000-0005-0000-0000-0000D5400000}"/>
    <cellStyle name="Normal 11 2 20 3 2" xfId="16616" xr:uid="{00000000-0005-0000-0000-0000D6400000}"/>
    <cellStyle name="Normal 11 2 20 4" xfId="16617" xr:uid="{00000000-0005-0000-0000-0000D7400000}"/>
    <cellStyle name="Normal 11 2 20 5" xfId="16618" xr:uid="{00000000-0005-0000-0000-0000D8400000}"/>
    <cellStyle name="Normal 11 2 21" xfId="16619" xr:uid="{00000000-0005-0000-0000-0000D9400000}"/>
    <cellStyle name="Normal 11 2 21 2" xfId="16620" xr:uid="{00000000-0005-0000-0000-0000DA400000}"/>
    <cellStyle name="Normal 11 2 21 2 2" xfId="16621" xr:uid="{00000000-0005-0000-0000-0000DB400000}"/>
    <cellStyle name="Normal 11 2 21 3" xfId="16622" xr:uid="{00000000-0005-0000-0000-0000DC400000}"/>
    <cellStyle name="Normal 11 2 21 3 2" xfId="16623" xr:uid="{00000000-0005-0000-0000-0000DD400000}"/>
    <cellStyle name="Normal 11 2 21 4" xfId="16624" xr:uid="{00000000-0005-0000-0000-0000DE400000}"/>
    <cellStyle name="Normal 11 2 21 5" xfId="16625" xr:uid="{00000000-0005-0000-0000-0000DF400000}"/>
    <cellStyle name="Normal 11 2 22" xfId="16626" xr:uid="{00000000-0005-0000-0000-0000E0400000}"/>
    <cellStyle name="Normal 11 2 22 2" xfId="16627" xr:uid="{00000000-0005-0000-0000-0000E1400000}"/>
    <cellStyle name="Normal 11 2 22 2 2" xfId="16628" xr:uid="{00000000-0005-0000-0000-0000E2400000}"/>
    <cellStyle name="Normal 11 2 22 3" xfId="16629" xr:uid="{00000000-0005-0000-0000-0000E3400000}"/>
    <cellStyle name="Normal 11 2 22 3 2" xfId="16630" xr:uid="{00000000-0005-0000-0000-0000E4400000}"/>
    <cellStyle name="Normal 11 2 22 4" xfId="16631" xr:uid="{00000000-0005-0000-0000-0000E5400000}"/>
    <cellStyle name="Normal 11 2 22 5" xfId="16632" xr:uid="{00000000-0005-0000-0000-0000E6400000}"/>
    <cellStyle name="Normal 11 2 23" xfId="16633" xr:uid="{00000000-0005-0000-0000-0000E7400000}"/>
    <cellStyle name="Normal 11 2 23 2" xfId="16634" xr:uid="{00000000-0005-0000-0000-0000E8400000}"/>
    <cellStyle name="Normal 11 2 24" xfId="16635" xr:uid="{00000000-0005-0000-0000-0000E9400000}"/>
    <cellStyle name="Normal 11 2 24 2" xfId="16636" xr:uid="{00000000-0005-0000-0000-0000EA400000}"/>
    <cellStyle name="Normal 11 2 25" xfId="16637" xr:uid="{00000000-0005-0000-0000-0000EB400000}"/>
    <cellStyle name="Normal 11 2 25 2" xfId="16638" xr:uid="{00000000-0005-0000-0000-0000EC400000}"/>
    <cellStyle name="Normal 11 2 26" xfId="16639" xr:uid="{00000000-0005-0000-0000-0000ED400000}"/>
    <cellStyle name="Normal 11 2 27" xfId="16640" xr:uid="{00000000-0005-0000-0000-0000EE400000}"/>
    <cellStyle name="Normal 11 2 28" xfId="16641" xr:uid="{00000000-0005-0000-0000-0000EF400000}"/>
    <cellStyle name="Normal 11 2 3" xfId="16642" xr:uid="{00000000-0005-0000-0000-0000F0400000}"/>
    <cellStyle name="Normal 11 2 3 2" xfId="16643" xr:uid="{00000000-0005-0000-0000-0000F1400000}"/>
    <cellStyle name="Normal 11 2 3 2 2" xfId="16644" xr:uid="{00000000-0005-0000-0000-0000F2400000}"/>
    <cellStyle name="Normal 11 2 3 3" xfId="16645" xr:uid="{00000000-0005-0000-0000-0000F3400000}"/>
    <cellStyle name="Normal 11 2 3 3 2" xfId="16646" xr:uid="{00000000-0005-0000-0000-0000F4400000}"/>
    <cellStyle name="Normal 11 2 3 4" xfId="16647" xr:uid="{00000000-0005-0000-0000-0000F5400000}"/>
    <cellStyle name="Normal 11 2 3 5" xfId="16648" xr:uid="{00000000-0005-0000-0000-0000F6400000}"/>
    <cellStyle name="Normal 11 2 4" xfId="16649" xr:uid="{00000000-0005-0000-0000-0000F7400000}"/>
    <cellStyle name="Normal 11 2 4 2" xfId="16650" xr:uid="{00000000-0005-0000-0000-0000F8400000}"/>
    <cellStyle name="Normal 11 2 4 2 2" xfId="16651" xr:uid="{00000000-0005-0000-0000-0000F9400000}"/>
    <cellStyle name="Normal 11 2 4 3" xfId="16652" xr:uid="{00000000-0005-0000-0000-0000FA400000}"/>
    <cellStyle name="Normal 11 2 4 3 2" xfId="16653" xr:uid="{00000000-0005-0000-0000-0000FB400000}"/>
    <cellStyle name="Normal 11 2 4 4" xfId="16654" xr:uid="{00000000-0005-0000-0000-0000FC400000}"/>
    <cellStyle name="Normal 11 2 4 5" xfId="16655" xr:uid="{00000000-0005-0000-0000-0000FD400000}"/>
    <cellStyle name="Normal 11 2 5" xfId="16656" xr:uid="{00000000-0005-0000-0000-0000FE400000}"/>
    <cellStyle name="Normal 11 2 5 2" xfId="16657" xr:uid="{00000000-0005-0000-0000-0000FF400000}"/>
    <cellStyle name="Normal 11 2 5 2 2" xfId="16658" xr:uid="{00000000-0005-0000-0000-000000410000}"/>
    <cellStyle name="Normal 11 2 5 3" xfId="16659" xr:uid="{00000000-0005-0000-0000-000001410000}"/>
    <cellStyle name="Normal 11 2 5 3 2" xfId="16660" xr:uid="{00000000-0005-0000-0000-000002410000}"/>
    <cellStyle name="Normal 11 2 5 4" xfId="16661" xr:uid="{00000000-0005-0000-0000-000003410000}"/>
    <cellStyle name="Normal 11 2 5 5" xfId="16662" xr:uid="{00000000-0005-0000-0000-000004410000}"/>
    <cellStyle name="Normal 11 2 6" xfId="16663" xr:uid="{00000000-0005-0000-0000-000005410000}"/>
    <cellStyle name="Normal 11 2 6 2" xfId="16664" xr:uid="{00000000-0005-0000-0000-000006410000}"/>
    <cellStyle name="Normal 11 2 6 2 2" xfId="16665" xr:uid="{00000000-0005-0000-0000-000007410000}"/>
    <cellStyle name="Normal 11 2 6 3" xfId="16666" xr:uid="{00000000-0005-0000-0000-000008410000}"/>
    <cellStyle name="Normal 11 2 6 3 2" xfId="16667" xr:uid="{00000000-0005-0000-0000-000009410000}"/>
    <cellStyle name="Normal 11 2 6 4" xfId="16668" xr:uid="{00000000-0005-0000-0000-00000A410000}"/>
    <cellStyle name="Normal 11 2 6 5" xfId="16669" xr:uid="{00000000-0005-0000-0000-00000B410000}"/>
    <cellStyle name="Normal 11 2 7" xfId="16670" xr:uid="{00000000-0005-0000-0000-00000C410000}"/>
    <cellStyle name="Normal 11 2 7 2" xfId="16671" xr:uid="{00000000-0005-0000-0000-00000D410000}"/>
    <cellStyle name="Normal 11 2 7 2 2" xfId="16672" xr:uid="{00000000-0005-0000-0000-00000E410000}"/>
    <cellStyle name="Normal 11 2 7 3" xfId="16673" xr:uid="{00000000-0005-0000-0000-00000F410000}"/>
    <cellStyle name="Normal 11 2 7 3 2" xfId="16674" xr:uid="{00000000-0005-0000-0000-000010410000}"/>
    <cellStyle name="Normal 11 2 7 4" xfId="16675" xr:uid="{00000000-0005-0000-0000-000011410000}"/>
    <cellStyle name="Normal 11 2 7 5" xfId="16676" xr:uid="{00000000-0005-0000-0000-000012410000}"/>
    <cellStyle name="Normal 11 2 8" xfId="16677" xr:uid="{00000000-0005-0000-0000-000013410000}"/>
    <cellStyle name="Normal 11 2 8 2" xfId="16678" xr:uid="{00000000-0005-0000-0000-000014410000}"/>
    <cellStyle name="Normal 11 2 8 2 2" xfId="16679" xr:uid="{00000000-0005-0000-0000-000015410000}"/>
    <cellStyle name="Normal 11 2 8 3" xfId="16680" xr:uid="{00000000-0005-0000-0000-000016410000}"/>
    <cellStyle name="Normal 11 2 8 3 2" xfId="16681" xr:uid="{00000000-0005-0000-0000-000017410000}"/>
    <cellStyle name="Normal 11 2 8 4" xfId="16682" xr:uid="{00000000-0005-0000-0000-000018410000}"/>
    <cellStyle name="Normal 11 2 8 5" xfId="16683" xr:uid="{00000000-0005-0000-0000-000019410000}"/>
    <cellStyle name="Normal 11 2 9" xfId="16684" xr:uid="{00000000-0005-0000-0000-00001A410000}"/>
    <cellStyle name="Normal 11 2 9 2" xfId="16685" xr:uid="{00000000-0005-0000-0000-00001B410000}"/>
    <cellStyle name="Normal 11 2 9 2 2" xfId="16686" xr:uid="{00000000-0005-0000-0000-00001C410000}"/>
    <cellStyle name="Normal 11 2 9 3" xfId="16687" xr:uid="{00000000-0005-0000-0000-00001D410000}"/>
    <cellStyle name="Normal 11 2 9 3 2" xfId="16688" xr:uid="{00000000-0005-0000-0000-00001E410000}"/>
    <cellStyle name="Normal 11 2 9 4" xfId="16689" xr:uid="{00000000-0005-0000-0000-00001F410000}"/>
    <cellStyle name="Normal 11 2 9 5" xfId="16690" xr:uid="{00000000-0005-0000-0000-000020410000}"/>
    <cellStyle name="Normal 11 20" xfId="16691" xr:uid="{00000000-0005-0000-0000-000021410000}"/>
    <cellStyle name="Normal 11 20 2" xfId="16692" xr:uid="{00000000-0005-0000-0000-000022410000}"/>
    <cellStyle name="Normal 11 20 3" xfId="16693" xr:uid="{00000000-0005-0000-0000-000023410000}"/>
    <cellStyle name="Normal 11 21" xfId="16694" xr:uid="{00000000-0005-0000-0000-000024410000}"/>
    <cellStyle name="Normal 11 21 2" xfId="16695" xr:uid="{00000000-0005-0000-0000-000025410000}"/>
    <cellStyle name="Normal 11 21 3" xfId="16696" xr:uid="{00000000-0005-0000-0000-000026410000}"/>
    <cellStyle name="Normal 11 22" xfId="16697" xr:uid="{00000000-0005-0000-0000-000027410000}"/>
    <cellStyle name="Normal 11 22 2" xfId="16698" xr:uid="{00000000-0005-0000-0000-000028410000}"/>
    <cellStyle name="Normal 11 22 3" xfId="16699" xr:uid="{00000000-0005-0000-0000-000029410000}"/>
    <cellStyle name="Normal 11 23" xfId="16700" xr:uid="{00000000-0005-0000-0000-00002A410000}"/>
    <cellStyle name="Normal 11 23 2" xfId="16701" xr:uid="{00000000-0005-0000-0000-00002B410000}"/>
    <cellStyle name="Normal 11 23 3" xfId="16702" xr:uid="{00000000-0005-0000-0000-00002C410000}"/>
    <cellStyle name="Normal 11 24" xfId="16703" xr:uid="{00000000-0005-0000-0000-00002D410000}"/>
    <cellStyle name="Normal 11 24 2" xfId="16704" xr:uid="{00000000-0005-0000-0000-00002E410000}"/>
    <cellStyle name="Normal 11 24 3" xfId="16705" xr:uid="{00000000-0005-0000-0000-00002F410000}"/>
    <cellStyle name="Normal 11 25" xfId="16706" xr:uid="{00000000-0005-0000-0000-000030410000}"/>
    <cellStyle name="Normal 11 25 2" xfId="16707" xr:uid="{00000000-0005-0000-0000-000031410000}"/>
    <cellStyle name="Normal 11 26" xfId="16708" xr:uid="{00000000-0005-0000-0000-000032410000}"/>
    <cellStyle name="Normal 11 26 2" xfId="16709" xr:uid="{00000000-0005-0000-0000-000033410000}"/>
    <cellStyle name="Normal 11 27" xfId="16710" xr:uid="{00000000-0005-0000-0000-000034410000}"/>
    <cellStyle name="Normal 11 28" xfId="16711" xr:uid="{00000000-0005-0000-0000-000035410000}"/>
    <cellStyle name="Normal 11 29" xfId="16712" xr:uid="{00000000-0005-0000-0000-000036410000}"/>
    <cellStyle name="Normal 11 3" xfId="16713" xr:uid="{00000000-0005-0000-0000-000037410000}"/>
    <cellStyle name="Normal 11 3 2" xfId="16714" xr:uid="{00000000-0005-0000-0000-000038410000}"/>
    <cellStyle name="Normal 11 3 2 2" xfId="16715" xr:uid="{00000000-0005-0000-0000-000039410000}"/>
    <cellStyle name="Normal 11 3 2 2 2" xfId="16716" xr:uid="{00000000-0005-0000-0000-00003A410000}"/>
    <cellStyle name="Normal 11 3 2 3" xfId="16717" xr:uid="{00000000-0005-0000-0000-00003B410000}"/>
    <cellStyle name="Normal 11 3 2 3 2" xfId="16718" xr:uid="{00000000-0005-0000-0000-00003C410000}"/>
    <cellStyle name="Normal 11 3 2 4" xfId="16719" xr:uid="{00000000-0005-0000-0000-00003D410000}"/>
    <cellStyle name="Normal 11 3 2 5" xfId="16720" xr:uid="{00000000-0005-0000-0000-00003E410000}"/>
    <cellStyle name="Normal 11 3 3" xfId="16721" xr:uid="{00000000-0005-0000-0000-00003F410000}"/>
    <cellStyle name="Normal 11 3 3 2" xfId="16722" xr:uid="{00000000-0005-0000-0000-000040410000}"/>
    <cellStyle name="Normal 11 3 4" xfId="16723" xr:uid="{00000000-0005-0000-0000-000041410000}"/>
    <cellStyle name="Normal 11 3 4 2" xfId="16724" xr:uid="{00000000-0005-0000-0000-000042410000}"/>
    <cellStyle name="Normal 11 3 5" xfId="16725" xr:uid="{00000000-0005-0000-0000-000043410000}"/>
    <cellStyle name="Normal 11 3 6" xfId="16726" xr:uid="{00000000-0005-0000-0000-000044410000}"/>
    <cellStyle name="Normal 11 4" xfId="16727" xr:uid="{00000000-0005-0000-0000-000045410000}"/>
    <cellStyle name="Normal 11 4 2" xfId="16728" xr:uid="{00000000-0005-0000-0000-000046410000}"/>
    <cellStyle name="Normal 11 4 2 2" xfId="16729" xr:uid="{00000000-0005-0000-0000-000047410000}"/>
    <cellStyle name="Normal 11 4 3" xfId="16730" xr:uid="{00000000-0005-0000-0000-000048410000}"/>
    <cellStyle name="Normal 11 4 3 2" xfId="16731" xr:uid="{00000000-0005-0000-0000-000049410000}"/>
    <cellStyle name="Normal 11 5" xfId="16732" xr:uid="{00000000-0005-0000-0000-00004A410000}"/>
    <cellStyle name="Normal 11 5 2" xfId="16733" xr:uid="{00000000-0005-0000-0000-00004B410000}"/>
    <cellStyle name="Normal 11 5 2 2" xfId="16734" xr:uid="{00000000-0005-0000-0000-00004C410000}"/>
    <cellStyle name="Normal 11 5 3" xfId="16735" xr:uid="{00000000-0005-0000-0000-00004D410000}"/>
    <cellStyle name="Normal 11 5 3 2" xfId="16736" xr:uid="{00000000-0005-0000-0000-00004E410000}"/>
    <cellStyle name="Normal 11 6" xfId="16737" xr:uid="{00000000-0005-0000-0000-00004F410000}"/>
    <cellStyle name="Normal 11 6 2" xfId="16738" xr:uid="{00000000-0005-0000-0000-000050410000}"/>
    <cellStyle name="Normal 11 6 2 2" xfId="16739" xr:uid="{00000000-0005-0000-0000-000051410000}"/>
    <cellStyle name="Normal 11 6 2 2 2" xfId="16740" xr:uid="{00000000-0005-0000-0000-000052410000}"/>
    <cellStyle name="Normal 11 6 2 2 3" xfId="16741" xr:uid="{00000000-0005-0000-0000-000053410000}"/>
    <cellStyle name="Normal 11 6 3" xfId="16742" xr:uid="{00000000-0005-0000-0000-000054410000}"/>
    <cellStyle name="Normal 11 7" xfId="16743" xr:uid="{00000000-0005-0000-0000-000055410000}"/>
    <cellStyle name="Normal 11 7 2" xfId="16744" xr:uid="{00000000-0005-0000-0000-000056410000}"/>
    <cellStyle name="Normal 11 7 3" xfId="16745" xr:uid="{00000000-0005-0000-0000-000057410000}"/>
    <cellStyle name="Normal 11 8" xfId="16746" xr:uid="{00000000-0005-0000-0000-000058410000}"/>
    <cellStyle name="Normal 11 8 2" xfId="16747" xr:uid="{00000000-0005-0000-0000-000059410000}"/>
    <cellStyle name="Normal 11 8 2 2" xfId="16748" xr:uid="{00000000-0005-0000-0000-00005A410000}"/>
    <cellStyle name="Normal 11 8 3" xfId="16749" xr:uid="{00000000-0005-0000-0000-00005B410000}"/>
    <cellStyle name="Normal 11 9" xfId="16750" xr:uid="{00000000-0005-0000-0000-00005C410000}"/>
    <cellStyle name="Normal 11 9 2" xfId="16751" xr:uid="{00000000-0005-0000-0000-00005D410000}"/>
    <cellStyle name="Normal 11 9 3" xfId="16752" xr:uid="{00000000-0005-0000-0000-00005E410000}"/>
    <cellStyle name="Normal 12" xfId="7" xr:uid="{00000000-0005-0000-0000-00005F410000}"/>
    <cellStyle name="Normal 12 10" xfId="16753" xr:uid="{00000000-0005-0000-0000-000060410000}"/>
    <cellStyle name="Normal 12 10 2" xfId="16754" xr:uid="{00000000-0005-0000-0000-000061410000}"/>
    <cellStyle name="Normal 12 10 3" xfId="16755" xr:uid="{00000000-0005-0000-0000-000062410000}"/>
    <cellStyle name="Normal 12 11" xfId="16756" xr:uid="{00000000-0005-0000-0000-000063410000}"/>
    <cellStyle name="Normal 12 11 2" xfId="16757" xr:uid="{00000000-0005-0000-0000-000064410000}"/>
    <cellStyle name="Normal 12 11 3" xfId="16758" xr:uid="{00000000-0005-0000-0000-000065410000}"/>
    <cellStyle name="Normal 12 12" xfId="16759" xr:uid="{00000000-0005-0000-0000-000066410000}"/>
    <cellStyle name="Normal 12 12 2" xfId="16760" xr:uid="{00000000-0005-0000-0000-000067410000}"/>
    <cellStyle name="Normal 12 12 3" xfId="16761" xr:uid="{00000000-0005-0000-0000-000068410000}"/>
    <cellStyle name="Normal 12 13" xfId="16762" xr:uid="{00000000-0005-0000-0000-000069410000}"/>
    <cellStyle name="Normal 12 13 2" xfId="16763" xr:uid="{00000000-0005-0000-0000-00006A410000}"/>
    <cellStyle name="Normal 12 13 3" xfId="16764" xr:uid="{00000000-0005-0000-0000-00006B410000}"/>
    <cellStyle name="Normal 12 14" xfId="16765" xr:uid="{00000000-0005-0000-0000-00006C410000}"/>
    <cellStyle name="Normal 12 14 2" xfId="16766" xr:uid="{00000000-0005-0000-0000-00006D410000}"/>
    <cellStyle name="Normal 12 14 3" xfId="16767" xr:uid="{00000000-0005-0000-0000-00006E410000}"/>
    <cellStyle name="Normal 12 15" xfId="16768" xr:uid="{00000000-0005-0000-0000-00006F410000}"/>
    <cellStyle name="Normal 12 15 2" xfId="16769" xr:uid="{00000000-0005-0000-0000-000070410000}"/>
    <cellStyle name="Normal 12 15 3" xfId="16770" xr:uid="{00000000-0005-0000-0000-000071410000}"/>
    <cellStyle name="Normal 12 16" xfId="16771" xr:uid="{00000000-0005-0000-0000-000072410000}"/>
    <cellStyle name="Normal 12 16 2" xfId="16772" xr:uid="{00000000-0005-0000-0000-000073410000}"/>
    <cellStyle name="Normal 12 16 3" xfId="16773" xr:uid="{00000000-0005-0000-0000-000074410000}"/>
    <cellStyle name="Normal 12 17" xfId="16774" xr:uid="{00000000-0005-0000-0000-000075410000}"/>
    <cellStyle name="Normal 12 17 2" xfId="16775" xr:uid="{00000000-0005-0000-0000-000076410000}"/>
    <cellStyle name="Normal 12 17 3" xfId="16776" xr:uid="{00000000-0005-0000-0000-000077410000}"/>
    <cellStyle name="Normal 12 18" xfId="16777" xr:uid="{00000000-0005-0000-0000-000078410000}"/>
    <cellStyle name="Normal 12 18 2" xfId="16778" xr:uid="{00000000-0005-0000-0000-000079410000}"/>
    <cellStyle name="Normal 12 18 3" xfId="16779" xr:uid="{00000000-0005-0000-0000-00007A410000}"/>
    <cellStyle name="Normal 12 19" xfId="16780" xr:uid="{00000000-0005-0000-0000-00007B410000}"/>
    <cellStyle name="Normal 12 19 2" xfId="16781" xr:uid="{00000000-0005-0000-0000-00007C410000}"/>
    <cellStyle name="Normal 12 19 3" xfId="16782" xr:uid="{00000000-0005-0000-0000-00007D410000}"/>
    <cellStyle name="Normal 12 2" xfId="16783" xr:uid="{00000000-0005-0000-0000-00007E410000}"/>
    <cellStyle name="Normal 12 2 10" xfId="16784" xr:uid="{00000000-0005-0000-0000-00007F410000}"/>
    <cellStyle name="Normal 12 2 10 2" xfId="16785" xr:uid="{00000000-0005-0000-0000-000080410000}"/>
    <cellStyle name="Normal 12 2 10 2 2" xfId="16786" xr:uid="{00000000-0005-0000-0000-000081410000}"/>
    <cellStyle name="Normal 12 2 10 3" xfId="16787" xr:uid="{00000000-0005-0000-0000-000082410000}"/>
    <cellStyle name="Normal 12 2 10 3 2" xfId="16788" xr:uid="{00000000-0005-0000-0000-000083410000}"/>
    <cellStyle name="Normal 12 2 10 4" xfId="16789" xr:uid="{00000000-0005-0000-0000-000084410000}"/>
    <cellStyle name="Normal 12 2 10 5" xfId="16790" xr:uid="{00000000-0005-0000-0000-000085410000}"/>
    <cellStyle name="Normal 12 2 11" xfId="16791" xr:uid="{00000000-0005-0000-0000-000086410000}"/>
    <cellStyle name="Normal 12 2 11 2" xfId="16792" xr:uid="{00000000-0005-0000-0000-000087410000}"/>
    <cellStyle name="Normal 12 2 11 2 2" xfId="16793" xr:uid="{00000000-0005-0000-0000-000088410000}"/>
    <cellStyle name="Normal 12 2 11 3" xfId="16794" xr:uid="{00000000-0005-0000-0000-000089410000}"/>
    <cellStyle name="Normal 12 2 11 3 2" xfId="16795" xr:uid="{00000000-0005-0000-0000-00008A410000}"/>
    <cellStyle name="Normal 12 2 11 4" xfId="16796" xr:uid="{00000000-0005-0000-0000-00008B410000}"/>
    <cellStyle name="Normal 12 2 11 5" xfId="16797" xr:uid="{00000000-0005-0000-0000-00008C410000}"/>
    <cellStyle name="Normal 12 2 12" xfId="16798" xr:uid="{00000000-0005-0000-0000-00008D410000}"/>
    <cellStyle name="Normal 12 2 12 2" xfId="16799" xr:uid="{00000000-0005-0000-0000-00008E410000}"/>
    <cellStyle name="Normal 12 2 12 2 2" xfId="16800" xr:uid="{00000000-0005-0000-0000-00008F410000}"/>
    <cellStyle name="Normal 12 2 12 3" xfId="16801" xr:uid="{00000000-0005-0000-0000-000090410000}"/>
    <cellStyle name="Normal 12 2 12 3 2" xfId="16802" xr:uid="{00000000-0005-0000-0000-000091410000}"/>
    <cellStyle name="Normal 12 2 12 4" xfId="16803" xr:uid="{00000000-0005-0000-0000-000092410000}"/>
    <cellStyle name="Normal 12 2 12 5" xfId="16804" xr:uid="{00000000-0005-0000-0000-000093410000}"/>
    <cellStyle name="Normal 12 2 13" xfId="16805" xr:uid="{00000000-0005-0000-0000-000094410000}"/>
    <cellStyle name="Normal 12 2 13 2" xfId="16806" xr:uid="{00000000-0005-0000-0000-000095410000}"/>
    <cellStyle name="Normal 12 2 13 2 2" xfId="16807" xr:uid="{00000000-0005-0000-0000-000096410000}"/>
    <cellStyle name="Normal 12 2 13 3" xfId="16808" xr:uid="{00000000-0005-0000-0000-000097410000}"/>
    <cellStyle name="Normal 12 2 13 3 2" xfId="16809" xr:uid="{00000000-0005-0000-0000-000098410000}"/>
    <cellStyle name="Normal 12 2 13 4" xfId="16810" xr:uid="{00000000-0005-0000-0000-000099410000}"/>
    <cellStyle name="Normal 12 2 13 5" xfId="16811" xr:uid="{00000000-0005-0000-0000-00009A410000}"/>
    <cellStyle name="Normal 12 2 14" xfId="16812" xr:uid="{00000000-0005-0000-0000-00009B410000}"/>
    <cellStyle name="Normal 12 2 14 2" xfId="16813" xr:uid="{00000000-0005-0000-0000-00009C410000}"/>
    <cellStyle name="Normal 12 2 14 2 2" xfId="16814" xr:uid="{00000000-0005-0000-0000-00009D410000}"/>
    <cellStyle name="Normal 12 2 14 3" xfId="16815" xr:uid="{00000000-0005-0000-0000-00009E410000}"/>
    <cellStyle name="Normal 12 2 14 3 2" xfId="16816" xr:uid="{00000000-0005-0000-0000-00009F410000}"/>
    <cellStyle name="Normal 12 2 14 4" xfId="16817" xr:uid="{00000000-0005-0000-0000-0000A0410000}"/>
    <cellStyle name="Normal 12 2 14 5" xfId="16818" xr:uid="{00000000-0005-0000-0000-0000A1410000}"/>
    <cellStyle name="Normal 12 2 15" xfId="16819" xr:uid="{00000000-0005-0000-0000-0000A2410000}"/>
    <cellStyle name="Normal 12 2 15 2" xfId="16820" xr:uid="{00000000-0005-0000-0000-0000A3410000}"/>
    <cellStyle name="Normal 12 2 15 2 2" xfId="16821" xr:uid="{00000000-0005-0000-0000-0000A4410000}"/>
    <cellStyle name="Normal 12 2 15 3" xfId="16822" xr:uid="{00000000-0005-0000-0000-0000A5410000}"/>
    <cellStyle name="Normal 12 2 15 3 2" xfId="16823" xr:uid="{00000000-0005-0000-0000-0000A6410000}"/>
    <cellStyle name="Normal 12 2 15 4" xfId="16824" xr:uid="{00000000-0005-0000-0000-0000A7410000}"/>
    <cellStyle name="Normal 12 2 15 5" xfId="16825" xr:uid="{00000000-0005-0000-0000-0000A8410000}"/>
    <cellStyle name="Normal 12 2 16" xfId="16826" xr:uid="{00000000-0005-0000-0000-0000A9410000}"/>
    <cellStyle name="Normal 12 2 16 2" xfId="16827" xr:uid="{00000000-0005-0000-0000-0000AA410000}"/>
    <cellStyle name="Normal 12 2 16 2 2" xfId="16828" xr:uid="{00000000-0005-0000-0000-0000AB410000}"/>
    <cellStyle name="Normal 12 2 16 3" xfId="16829" xr:uid="{00000000-0005-0000-0000-0000AC410000}"/>
    <cellStyle name="Normal 12 2 16 3 2" xfId="16830" xr:uid="{00000000-0005-0000-0000-0000AD410000}"/>
    <cellStyle name="Normal 12 2 16 4" xfId="16831" xr:uid="{00000000-0005-0000-0000-0000AE410000}"/>
    <cellStyle name="Normal 12 2 16 5" xfId="16832" xr:uid="{00000000-0005-0000-0000-0000AF410000}"/>
    <cellStyle name="Normal 12 2 17" xfId="16833" xr:uid="{00000000-0005-0000-0000-0000B0410000}"/>
    <cellStyle name="Normal 12 2 17 2" xfId="16834" xr:uid="{00000000-0005-0000-0000-0000B1410000}"/>
    <cellStyle name="Normal 12 2 17 2 2" xfId="16835" xr:uid="{00000000-0005-0000-0000-0000B2410000}"/>
    <cellStyle name="Normal 12 2 17 3" xfId="16836" xr:uid="{00000000-0005-0000-0000-0000B3410000}"/>
    <cellStyle name="Normal 12 2 17 3 2" xfId="16837" xr:uid="{00000000-0005-0000-0000-0000B4410000}"/>
    <cellStyle name="Normal 12 2 17 4" xfId="16838" xr:uid="{00000000-0005-0000-0000-0000B5410000}"/>
    <cellStyle name="Normal 12 2 17 5" xfId="16839" xr:uid="{00000000-0005-0000-0000-0000B6410000}"/>
    <cellStyle name="Normal 12 2 18" xfId="16840" xr:uid="{00000000-0005-0000-0000-0000B7410000}"/>
    <cellStyle name="Normal 12 2 18 2" xfId="16841" xr:uid="{00000000-0005-0000-0000-0000B8410000}"/>
    <cellStyle name="Normal 12 2 18 2 2" xfId="16842" xr:uid="{00000000-0005-0000-0000-0000B9410000}"/>
    <cellStyle name="Normal 12 2 18 3" xfId="16843" xr:uid="{00000000-0005-0000-0000-0000BA410000}"/>
    <cellStyle name="Normal 12 2 18 3 2" xfId="16844" xr:uid="{00000000-0005-0000-0000-0000BB410000}"/>
    <cellStyle name="Normal 12 2 18 4" xfId="16845" xr:uid="{00000000-0005-0000-0000-0000BC410000}"/>
    <cellStyle name="Normal 12 2 18 5" xfId="16846" xr:uid="{00000000-0005-0000-0000-0000BD410000}"/>
    <cellStyle name="Normal 12 2 19" xfId="16847" xr:uid="{00000000-0005-0000-0000-0000BE410000}"/>
    <cellStyle name="Normal 12 2 19 2" xfId="16848" xr:uid="{00000000-0005-0000-0000-0000BF410000}"/>
    <cellStyle name="Normal 12 2 19 2 2" xfId="16849" xr:uid="{00000000-0005-0000-0000-0000C0410000}"/>
    <cellStyle name="Normal 12 2 19 3" xfId="16850" xr:uid="{00000000-0005-0000-0000-0000C1410000}"/>
    <cellStyle name="Normal 12 2 19 3 2" xfId="16851" xr:uid="{00000000-0005-0000-0000-0000C2410000}"/>
    <cellStyle name="Normal 12 2 19 4" xfId="16852" xr:uid="{00000000-0005-0000-0000-0000C3410000}"/>
    <cellStyle name="Normal 12 2 19 5" xfId="16853" xr:uid="{00000000-0005-0000-0000-0000C4410000}"/>
    <cellStyle name="Normal 12 2 2" xfId="16854" xr:uid="{00000000-0005-0000-0000-0000C5410000}"/>
    <cellStyle name="Normal 12 2 2 2" xfId="16855" xr:uid="{00000000-0005-0000-0000-0000C6410000}"/>
    <cellStyle name="Normal 12 2 2 2 2" xfId="16856" xr:uid="{00000000-0005-0000-0000-0000C7410000}"/>
    <cellStyle name="Normal 12 2 2 3" xfId="16857" xr:uid="{00000000-0005-0000-0000-0000C8410000}"/>
    <cellStyle name="Normal 12 2 2 3 2" xfId="16858" xr:uid="{00000000-0005-0000-0000-0000C9410000}"/>
    <cellStyle name="Normal 12 2 2 4" xfId="16859" xr:uid="{00000000-0005-0000-0000-0000CA410000}"/>
    <cellStyle name="Normal 12 2 2 5" xfId="16860" xr:uid="{00000000-0005-0000-0000-0000CB410000}"/>
    <cellStyle name="Normal 12 2 20" xfId="16861" xr:uid="{00000000-0005-0000-0000-0000CC410000}"/>
    <cellStyle name="Normal 12 2 20 2" xfId="16862" xr:uid="{00000000-0005-0000-0000-0000CD410000}"/>
    <cellStyle name="Normal 12 2 20 2 2" xfId="16863" xr:uid="{00000000-0005-0000-0000-0000CE410000}"/>
    <cellStyle name="Normal 12 2 20 3" xfId="16864" xr:uid="{00000000-0005-0000-0000-0000CF410000}"/>
    <cellStyle name="Normal 12 2 20 3 2" xfId="16865" xr:uid="{00000000-0005-0000-0000-0000D0410000}"/>
    <cellStyle name="Normal 12 2 20 4" xfId="16866" xr:uid="{00000000-0005-0000-0000-0000D1410000}"/>
    <cellStyle name="Normal 12 2 20 5" xfId="16867" xr:uid="{00000000-0005-0000-0000-0000D2410000}"/>
    <cellStyle name="Normal 12 2 21" xfId="16868" xr:uid="{00000000-0005-0000-0000-0000D3410000}"/>
    <cellStyle name="Normal 12 2 21 2" xfId="16869" xr:uid="{00000000-0005-0000-0000-0000D4410000}"/>
    <cellStyle name="Normal 12 2 21 2 2" xfId="16870" xr:uid="{00000000-0005-0000-0000-0000D5410000}"/>
    <cellStyle name="Normal 12 2 21 3" xfId="16871" xr:uid="{00000000-0005-0000-0000-0000D6410000}"/>
    <cellStyle name="Normal 12 2 21 3 2" xfId="16872" xr:uid="{00000000-0005-0000-0000-0000D7410000}"/>
    <cellStyle name="Normal 12 2 21 4" xfId="16873" xr:uid="{00000000-0005-0000-0000-0000D8410000}"/>
    <cellStyle name="Normal 12 2 21 5" xfId="16874" xr:uid="{00000000-0005-0000-0000-0000D9410000}"/>
    <cellStyle name="Normal 12 2 22" xfId="16875" xr:uid="{00000000-0005-0000-0000-0000DA410000}"/>
    <cellStyle name="Normal 12 2 22 2" xfId="16876" xr:uid="{00000000-0005-0000-0000-0000DB410000}"/>
    <cellStyle name="Normal 12 2 22 2 2" xfId="16877" xr:uid="{00000000-0005-0000-0000-0000DC410000}"/>
    <cellStyle name="Normal 12 2 22 3" xfId="16878" xr:uid="{00000000-0005-0000-0000-0000DD410000}"/>
    <cellStyle name="Normal 12 2 22 3 2" xfId="16879" xr:uid="{00000000-0005-0000-0000-0000DE410000}"/>
    <cellStyle name="Normal 12 2 22 4" xfId="16880" xr:uid="{00000000-0005-0000-0000-0000DF410000}"/>
    <cellStyle name="Normal 12 2 22 5" xfId="16881" xr:uid="{00000000-0005-0000-0000-0000E0410000}"/>
    <cellStyle name="Normal 12 2 23" xfId="16882" xr:uid="{00000000-0005-0000-0000-0000E1410000}"/>
    <cellStyle name="Normal 12 2 24" xfId="16883" xr:uid="{00000000-0005-0000-0000-0000E2410000}"/>
    <cellStyle name="Normal 12 2 25" xfId="16884" xr:uid="{00000000-0005-0000-0000-0000E3410000}"/>
    <cellStyle name="Normal 12 2 3" xfId="16885" xr:uid="{00000000-0005-0000-0000-0000E4410000}"/>
    <cellStyle name="Normal 12 2 3 2" xfId="16886" xr:uid="{00000000-0005-0000-0000-0000E5410000}"/>
    <cellStyle name="Normal 12 2 3 2 2" xfId="16887" xr:uid="{00000000-0005-0000-0000-0000E6410000}"/>
    <cellStyle name="Normal 12 2 3 3" xfId="16888" xr:uid="{00000000-0005-0000-0000-0000E7410000}"/>
    <cellStyle name="Normal 12 2 3 3 2" xfId="16889" xr:uid="{00000000-0005-0000-0000-0000E8410000}"/>
    <cellStyle name="Normal 12 2 3 4" xfId="16890" xr:uid="{00000000-0005-0000-0000-0000E9410000}"/>
    <cellStyle name="Normal 12 2 3 5" xfId="16891" xr:uid="{00000000-0005-0000-0000-0000EA410000}"/>
    <cellStyle name="Normal 12 2 4" xfId="16892" xr:uid="{00000000-0005-0000-0000-0000EB410000}"/>
    <cellStyle name="Normal 12 2 4 2" xfId="16893" xr:uid="{00000000-0005-0000-0000-0000EC410000}"/>
    <cellStyle name="Normal 12 2 4 2 2" xfId="16894" xr:uid="{00000000-0005-0000-0000-0000ED410000}"/>
    <cellStyle name="Normal 12 2 4 3" xfId="16895" xr:uid="{00000000-0005-0000-0000-0000EE410000}"/>
    <cellStyle name="Normal 12 2 4 3 2" xfId="16896" xr:uid="{00000000-0005-0000-0000-0000EF410000}"/>
    <cellStyle name="Normal 12 2 4 4" xfId="16897" xr:uid="{00000000-0005-0000-0000-0000F0410000}"/>
    <cellStyle name="Normal 12 2 4 5" xfId="16898" xr:uid="{00000000-0005-0000-0000-0000F1410000}"/>
    <cellStyle name="Normal 12 2 5" xfId="16899" xr:uid="{00000000-0005-0000-0000-0000F2410000}"/>
    <cellStyle name="Normal 12 2 5 2" xfId="16900" xr:uid="{00000000-0005-0000-0000-0000F3410000}"/>
    <cellStyle name="Normal 12 2 5 2 2" xfId="16901" xr:uid="{00000000-0005-0000-0000-0000F4410000}"/>
    <cellStyle name="Normal 12 2 5 3" xfId="16902" xr:uid="{00000000-0005-0000-0000-0000F5410000}"/>
    <cellStyle name="Normal 12 2 5 3 2" xfId="16903" xr:uid="{00000000-0005-0000-0000-0000F6410000}"/>
    <cellStyle name="Normal 12 2 5 4" xfId="16904" xr:uid="{00000000-0005-0000-0000-0000F7410000}"/>
    <cellStyle name="Normal 12 2 5 5" xfId="16905" xr:uid="{00000000-0005-0000-0000-0000F8410000}"/>
    <cellStyle name="Normal 12 2 6" xfId="16906" xr:uid="{00000000-0005-0000-0000-0000F9410000}"/>
    <cellStyle name="Normal 12 2 6 2" xfId="16907" xr:uid="{00000000-0005-0000-0000-0000FA410000}"/>
    <cellStyle name="Normal 12 2 6 2 2" xfId="16908" xr:uid="{00000000-0005-0000-0000-0000FB410000}"/>
    <cellStyle name="Normal 12 2 6 3" xfId="16909" xr:uid="{00000000-0005-0000-0000-0000FC410000}"/>
    <cellStyle name="Normal 12 2 6 3 2" xfId="16910" xr:uid="{00000000-0005-0000-0000-0000FD410000}"/>
    <cellStyle name="Normal 12 2 6 4" xfId="16911" xr:uid="{00000000-0005-0000-0000-0000FE410000}"/>
    <cellStyle name="Normal 12 2 6 5" xfId="16912" xr:uid="{00000000-0005-0000-0000-0000FF410000}"/>
    <cellStyle name="Normal 12 2 7" xfId="16913" xr:uid="{00000000-0005-0000-0000-000000420000}"/>
    <cellStyle name="Normal 12 2 7 2" xfId="16914" xr:uid="{00000000-0005-0000-0000-000001420000}"/>
    <cellStyle name="Normal 12 2 7 2 2" xfId="16915" xr:uid="{00000000-0005-0000-0000-000002420000}"/>
    <cellStyle name="Normal 12 2 7 3" xfId="16916" xr:uid="{00000000-0005-0000-0000-000003420000}"/>
    <cellStyle name="Normal 12 2 7 3 2" xfId="16917" xr:uid="{00000000-0005-0000-0000-000004420000}"/>
    <cellStyle name="Normal 12 2 7 4" xfId="16918" xr:uid="{00000000-0005-0000-0000-000005420000}"/>
    <cellStyle name="Normal 12 2 7 5" xfId="16919" xr:uid="{00000000-0005-0000-0000-000006420000}"/>
    <cellStyle name="Normal 12 2 8" xfId="16920" xr:uid="{00000000-0005-0000-0000-000007420000}"/>
    <cellStyle name="Normal 12 2 8 2" xfId="16921" xr:uid="{00000000-0005-0000-0000-000008420000}"/>
    <cellStyle name="Normal 12 2 8 2 2" xfId="16922" xr:uid="{00000000-0005-0000-0000-000009420000}"/>
    <cellStyle name="Normal 12 2 8 3" xfId="16923" xr:uid="{00000000-0005-0000-0000-00000A420000}"/>
    <cellStyle name="Normal 12 2 8 3 2" xfId="16924" xr:uid="{00000000-0005-0000-0000-00000B420000}"/>
    <cellStyle name="Normal 12 2 8 4" xfId="16925" xr:uid="{00000000-0005-0000-0000-00000C420000}"/>
    <cellStyle name="Normal 12 2 8 5" xfId="16926" xr:uid="{00000000-0005-0000-0000-00000D420000}"/>
    <cellStyle name="Normal 12 2 9" xfId="16927" xr:uid="{00000000-0005-0000-0000-00000E420000}"/>
    <cellStyle name="Normal 12 2 9 2" xfId="16928" xr:uid="{00000000-0005-0000-0000-00000F420000}"/>
    <cellStyle name="Normal 12 2 9 2 2" xfId="16929" xr:uid="{00000000-0005-0000-0000-000010420000}"/>
    <cellStyle name="Normal 12 2 9 3" xfId="16930" xr:uid="{00000000-0005-0000-0000-000011420000}"/>
    <cellStyle name="Normal 12 2 9 3 2" xfId="16931" xr:uid="{00000000-0005-0000-0000-000012420000}"/>
    <cellStyle name="Normal 12 2 9 4" xfId="16932" xr:uid="{00000000-0005-0000-0000-000013420000}"/>
    <cellStyle name="Normal 12 2 9 5" xfId="16933" xr:uid="{00000000-0005-0000-0000-000014420000}"/>
    <cellStyle name="Normal 12 20" xfId="16934" xr:uid="{00000000-0005-0000-0000-000015420000}"/>
    <cellStyle name="Normal 12 20 2" xfId="16935" xr:uid="{00000000-0005-0000-0000-000016420000}"/>
    <cellStyle name="Normal 12 20 3" xfId="16936" xr:uid="{00000000-0005-0000-0000-000017420000}"/>
    <cellStyle name="Normal 12 21" xfId="16937" xr:uid="{00000000-0005-0000-0000-000018420000}"/>
    <cellStyle name="Normal 12 21 2" xfId="16938" xr:uid="{00000000-0005-0000-0000-000019420000}"/>
    <cellStyle name="Normal 12 21 3" xfId="16939" xr:uid="{00000000-0005-0000-0000-00001A420000}"/>
    <cellStyle name="Normal 12 22" xfId="16940" xr:uid="{00000000-0005-0000-0000-00001B420000}"/>
    <cellStyle name="Normal 12 22 2" xfId="16941" xr:uid="{00000000-0005-0000-0000-00001C420000}"/>
    <cellStyle name="Normal 12 22 3" xfId="16942" xr:uid="{00000000-0005-0000-0000-00001D420000}"/>
    <cellStyle name="Normal 12 23" xfId="16943" xr:uid="{00000000-0005-0000-0000-00001E420000}"/>
    <cellStyle name="Normal 12 23 2" xfId="16944" xr:uid="{00000000-0005-0000-0000-00001F420000}"/>
    <cellStyle name="Normal 12 23 3" xfId="16945" xr:uid="{00000000-0005-0000-0000-000020420000}"/>
    <cellStyle name="Normal 12 24" xfId="16946" xr:uid="{00000000-0005-0000-0000-000021420000}"/>
    <cellStyle name="Normal 12 24 2" xfId="16947" xr:uid="{00000000-0005-0000-0000-000022420000}"/>
    <cellStyle name="Normal 12 24 2 2" xfId="16948" xr:uid="{00000000-0005-0000-0000-000023420000}"/>
    <cellStyle name="Normal 12 24 2 3" xfId="16949" xr:uid="{00000000-0005-0000-0000-000024420000}"/>
    <cellStyle name="Normal 12 24 3" xfId="16950" xr:uid="{00000000-0005-0000-0000-000025420000}"/>
    <cellStyle name="Normal 12 24 3 2" xfId="16951" xr:uid="{00000000-0005-0000-0000-000026420000}"/>
    <cellStyle name="Normal 12 24 4" xfId="16952" xr:uid="{00000000-0005-0000-0000-000027420000}"/>
    <cellStyle name="Normal 12 24 5" xfId="16953" xr:uid="{00000000-0005-0000-0000-000028420000}"/>
    <cellStyle name="Normal 12 24 6" xfId="16954" xr:uid="{00000000-0005-0000-0000-000029420000}"/>
    <cellStyle name="Normal 12 25" xfId="16955" xr:uid="{00000000-0005-0000-0000-00002A420000}"/>
    <cellStyle name="Normal 12 25 2" xfId="16956" xr:uid="{00000000-0005-0000-0000-00002B420000}"/>
    <cellStyle name="Normal 12 26" xfId="16957" xr:uid="{00000000-0005-0000-0000-00002C420000}"/>
    <cellStyle name="Normal 12 27" xfId="16958" xr:uid="{00000000-0005-0000-0000-00002D420000}"/>
    <cellStyle name="Normal 12 3" xfId="16959" xr:uid="{00000000-0005-0000-0000-00002E420000}"/>
    <cellStyle name="Normal 12 3 2" xfId="16960" xr:uid="{00000000-0005-0000-0000-00002F420000}"/>
    <cellStyle name="Normal 12 3 2 2" xfId="16961" xr:uid="{00000000-0005-0000-0000-000030420000}"/>
    <cellStyle name="Normal 12 3 2 2 2" xfId="16962" xr:uid="{00000000-0005-0000-0000-000031420000}"/>
    <cellStyle name="Normal 12 3 2 3" xfId="16963" xr:uid="{00000000-0005-0000-0000-000032420000}"/>
    <cellStyle name="Normal 12 3 2 3 2" xfId="16964" xr:uid="{00000000-0005-0000-0000-000033420000}"/>
    <cellStyle name="Normal 12 3 2 4" xfId="16965" xr:uid="{00000000-0005-0000-0000-000034420000}"/>
    <cellStyle name="Normal 12 3 2 5" xfId="16966" xr:uid="{00000000-0005-0000-0000-000035420000}"/>
    <cellStyle name="Normal 12 3 3" xfId="16967" xr:uid="{00000000-0005-0000-0000-000036420000}"/>
    <cellStyle name="Normal 12 3 3 2" xfId="16968" xr:uid="{00000000-0005-0000-0000-000037420000}"/>
    <cellStyle name="Normal 12 3 3 2 2" xfId="16969" xr:uid="{00000000-0005-0000-0000-000038420000}"/>
    <cellStyle name="Normal 12 3 3 3" xfId="16970" xr:uid="{00000000-0005-0000-0000-000039420000}"/>
    <cellStyle name="Normal 12 3 3 4" xfId="16971" xr:uid="{00000000-0005-0000-0000-00003A420000}"/>
    <cellStyle name="Normal 12 3 4" xfId="16972" xr:uid="{00000000-0005-0000-0000-00003B420000}"/>
    <cellStyle name="Normal 12 3 4 2" xfId="16973" xr:uid="{00000000-0005-0000-0000-00003C420000}"/>
    <cellStyle name="Normal 12 3 4 3" xfId="16974" xr:uid="{00000000-0005-0000-0000-00003D420000}"/>
    <cellStyle name="Normal 12 3 5" xfId="16975" xr:uid="{00000000-0005-0000-0000-00003E420000}"/>
    <cellStyle name="Normal 12 3 5 2" xfId="16976" xr:uid="{00000000-0005-0000-0000-00003F420000}"/>
    <cellStyle name="Normal 12 3 6" xfId="16977" xr:uid="{00000000-0005-0000-0000-000040420000}"/>
    <cellStyle name="Normal 12 3 7" xfId="16978" xr:uid="{00000000-0005-0000-0000-000041420000}"/>
    <cellStyle name="Normal 12 3 8" xfId="16979" xr:uid="{00000000-0005-0000-0000-000042420000}"/>
    <cellStyle name="Normal 12 4" xfId="16980" xr:uid="{00000000-0005-0000-0000-000043420000}"/>
    <cellStyle name="Normal 12 4 2" xfId="16981" xr:uid="{00000000-0005-0000-0000-000044420000}"/>
    <cellStyle name="Normal 12 4 2 2" xfId="16982" xr:uid="{00000000-0005-0000-0000-000045420000}"/>
    <cellStyle name="Normal 12 4 3" xfId="16983" xr:uid="{00000000-0005-0000-0000-000046420000}"/>
    <cellStyle name="Normal 12 5" xfId="16984" xr:uid="{00000000-0005-0000-0000-000047420000}"/>
    <cellStyle name="Normal 12 5 2" xfId="16985" xr:uid="{00000000-0005-0000-0000-000048420000}"/>
    <cellStyle name="Normal 12 5 3" xfId="16986" xr:uid="{00000000-0005-0000-0000-000049420000}"/>
    <cellStyle name="Normal 12 6" xfId="16987" xr:uid="{00000000-0005-0000-0000-00004A420000}"/>
    <cellStyle name="Normal 12 6 2" xfId="16988" xr:uid="{00000000-0005-0000-0000-00004B420000}"/>
    <cellStyle name="Normal 12 6 3" xfId="16989" xr:uid="{00000000-0005-0000-0000-00004C420000}"/>
    <cellStyle name="Normal 12 7" xfId="16990" xr:uid="{00000000-0005-0000-0000-00004D420000}"/>
    <cellStyle name="Normal 12 7 2" xfId="16991" xr:uid="{00000000-0005-0000-0000-00004E420000}"/>
    <cellStyle name="Normal 12 7 3" xfId="16992" xr:uid="{00000000-0005-0000-0000-00004F420000}"/>
    <cellStyle name="Normal 12 8" xfId="16993" xr:uid="{00000000-0005-0000-0000-000050420000}"/>
    <cellStyle name="Normal 12 8 2" xfId="16994" xr:uid="{00000000-0005-0000-0000-000051420000}"/>
    <cellStyle name="Normal 12 8 3" xfId="16995" xr:uid="{00000000-0005-0000-0000-000052420000}"/>
    <cellStyle name="Normal 12 9" xfId="16996" xr:uid="{00000000-0005-0000-0000-000053420000}"/>
    <cellStyle name="Normal 12 9 2" xfId="16997" xr:uid="{00000000-0005-0000-0000-000054420000}"/>
    <cellStyle name="Normal 12 9 3" xfId="16998" xr:uid="{00000000-0005-0000-0000-000055420000}"/>
    <cellStyle name="Normal 13" xfId="16999" xr:uid="{00000000-0005-0000-0000-000056420000}"/>
    <cellStyle name="Normal 13 10" xfId="17000" xr:uid="{00000000-0005-0000-0000-000057420000}"/>
    <cellStyle name="Normal 13 10 2" xfId="17001" xr:uid="{00000000-0005-0000-0000-000058420000}"/>
    <cellStyle name="Normal 13 10 3" xfId="17002" xr:uid="{00000000-0005-0000-0000-000059420000}"/>
    <cellStyle name="Normal 13 11" xfId="17003" xr:uid="{00000000-0005-0000-0000-00005A420000}"/>
    <cellStyle name="Normal 13 11 2" xfId="17004" xr:uid="{00000000-0005-0000-0000-00005B420000}"/>
    <cellStyle name="Normal 13 11 3" xfId="17005" xr:uid="{00000000-0005-0000-0000-00005C420000}"/>
    <cellStyle name="Normal 13 12" xfId="17006" xr:uid="{00000000-0005-0000-0000-00005D420000}"/>
    <cellStyle name="Normal 13 12 2" xfId="17007" xr:uid="{00000000-0005-0000-0000-00005E420000}"/>
    <cellStyle name="Normal 13 12 3" xfId="17008" xr:uid="{00000000-0005-0000-0000-00005F420000}"/>
    <cellStyle name="Normal 13 13" xfId="17009" xr:uid="{00000000-0005-0000-0000-000060420000}"/>
    <cellStyle name="Normal 13 13 2" xfId="17010" xr:uid="{00000000-0005-0000-0000-000061420000}"/>
    <cellStyle name="Normal 13 13 3" xfId="17011" xr:uid="{00000000-0005-0000-0000-000062420000}"/>
    <cellStyle name="Normal 13 14" xfId="17012" xr:uid="{00000000-0005-0000-0000-000063420000}"/>
    <cellStyle name="Normal 13 14 2" xfId="17013" xr:uid="{00000000-0005-0000-0000-000064420000}"/>
    <cellStyle name="Normal 13 14 3" xfId="17014" xr:uid="{00000000-0005-0000-0000-000065420000}"/>
    <cellStyle name="Normal 13 15" xfId="17015" xr:uid="{00000000-0005-0000-0000-000066420000}"/>
    <cellStyle name="Normal 13 15 2" xfId="17016" xr:uid="{00000000-0005-0000-0000-000067420000}"/>
    <cellStyle name="Normal 13 15 3" xfId="17017" xr:uid="{00000000-0005-0000-0000-000068420000}"/>
    <cellStyle name="Normal 13 16" xfId="17018" xr:uid="{00000000-0005-0000-0000-000069420000}"/>
    <cellStyle name="Normal 13 16 2" xfId="17019" xr:uid="{00000000-0005-0000-0000-00006A420000}"/>
    <cellStyle name="Normal 13 16 3" xfId="17020" xr:uid="{00000000-0005-0000-0000-00006B420000}"/>
    <cellStyle name="Normal 13 17" xfId="17021" xr:uid="{00000000-0005-0000-0000-00006C420000}"/>
    <cellStyle name="Normal 13 17 2" xfId="17022" xr:uid="{00000000-0005-0000-0000-00006D420000}"/>
    <cellStyle name="Normal 13 17 3" xfId="17023" xr:uid="{00000000-0005-0000-0000-00006E420000}"/>
    <cellStyle name="Normal 13 18" xfId="17024" xr:uid="{00000000-0005-0000-0000-00006F420000}"/>
    <cellStyle name="Normal 13 18 2" xfId="17025" xr:uid="{00000000-0005-0000-0000-000070420000}"/>
    <cellStyle name="Normal 13 18 3" xfId="17026" xr:uid="{00000000-0005-0000-0000-000071420000}"/>
    <cellStyle name="Normal 13 19" xfId="17027" xr:uid="{00000000-0005-0000-0000-000072420000}"/>
    <cellStyle name="Normal 13 19 2" xfId="17028" xr:uid="{00000000-0005-0000-0000-000073420000}"/>
    <cellStyle name="Normal 13 19 3" xfId="17029" xr:uid="{00000000-0005-0000-0000-000074420000}"/>
    <cellStyle name="Normal 13 2" xfId="17030" xr:uid="{00000000-0005-0000-0000-000075420000}"/>
    <cellStyle name="Normal 13 2 10" xfId="17031" xr:uid="{00000000-0005-0000-0000-000076420000}"/>
    <cellStyle name="Normal 13 2 10 2" xfId="17032" xr:uid="{00000000-0005-0000-0000-000077420000}"/>
    <cellStyle name="Normal 13 2 10 2 2" xfId="17033" xr:uid="{00000000-0005-0000-0000-000078420000}"/>
    <cellStyle name="Normal 13 2 10 3" xfId="17034" xr:uid="{00000000-0005-0000-0000-000079420000}"/>
    <cellStyle name="Normal 13 2 10 3 2" xfId="17035" xr:uid="{00000000-0005-0000-0000-00007A420000}"/>
    <cellStyle name="Normal 13 2 10 4" xfId="17036" xr:uid="{00000000-0005-0000-0000-00007B420000}"/>
    <cellStyle name="Normal 13 2 10 5" xfId="17037" xr:uid="{00000000-0005-0000-0000-00007C420000}"/>
    <cellStyle name="Normal 13 2 11" xfId="17038" xr:uid="{00000000-0005-0000-0000-00007D420000}"/>
    <cellStyle name="Normal 13 2 11 2" xfId="17039" xr:uid="{00000000-0005-0000-0000-00007E420000}"/>
    <cellStyle name="Normal 13 2 11 2 2" xfId="17040" xr:uid="{00000000-0005-0000-0000-00007F420000}"/>
    <cellStyle name="Normal 13 2 11 3" xfId="17041" xr:uid="{00000000-0005-0000-0000-000080420000}"/>
    <cellStyle name="Normal 13 2 11 3 2" xfId="17042" xr:uid="{00000000-0005-0000-0000-000081420000}"/>
    <cellStyle name="Normal 13 2 11 4" xfId="17043" xr:uid="{00000000-0005-0000-0000-000082420000}"/>
    <cellStyle name="Normal 13 2 11 5" xfId="17044" xr:uid="{00000000-0005-0000-0000-000083420000}"/>
    <cellStyle name="Normal 13 2 12" xfId="17045" xr:uid="{00000000-0005-0000-0000-000084420000}"/>
    <cellStyle name="Normal 13 2 12 2" xfId="17046" xr:uid="{00000000-0005-0000-0000-000085420000}"/>
    <cellStyle name="Normal 13 2 12 2 2" xfId="17047" xr:uid="{00000000-0005-0000-0000-000086420000}"/>
    <cellStyle name="Normal 13 2 12 3" xfId="17048" xr:uid="{00000000-0005-0000-0000-000087420000}"/>
    <cellStyle name="Normal 13 2 12 3 2" xfId="17049" xr:uid="{00000000-0005-0000-0000-000088420000}"/>
    <cellStyle name="Normal 13 2 12 4" xfId="17050" xr:uid="{00000000-0005-0000-0000-000089420000}"/>
    <cellStyle name="Normal 13 2 12 5" xfId="17051" xr:uid="{00000000-0005-0000-0000-00008A420000}"/>
    <cellStyle name="Normal 13 2 13" xfId="17052" xr:uid="{00000000-0005-0000-0000-00008B420000}"/>
    <cellStyle name="Normal 13 2 13 2" xfId="17053" xr:uid="{00000000-0005-0000-0000-00008C420000}"/>
    <cellStyle name="Normal 13 2 13 2 2" xfId="17054" xr:uid="{00000000-0005-0000-0000-00008D420000}"/>
    <cellStyle name="Normal 13 2 13 3" xfId="17055" xr:uid="{00000000-0005-0000-0000-00008E420000}"/>
    <cellStyle name="Normal 13 2 13 3 2" xfId="17056" xr:uid="{00000000-0005-0000-0000-00008F420000}"/>
    <cellStyle name="Normal 13 2 13 4" xfId="17057" xr:uid="{00000000-0005-0000-0000-000090420000}"/>
    <cellStyle name="Normal 13 2 13 5" xfId="17058" xr:uid="{00000000-0005-0000-0000-000091420000}"/>
    <cellStyle name="Normal 13 2 14" xfId="17059" xr:uid="{00000000-0005-0000-0000-000092420000}"/>
    <cellStyle name="Normal 13 2 14 2" xfId="17060" xr:uid="{00000000-0005-0000-0000-000093420000}"/>
    <cellStyle name="Normal 13 2 14 2 2" xfId="17061" xr:uid="{00000000-0005-0000-0000-000094420000}"/>
    <cellStyle name="Normal 13 2 14 3" xfId="17062" xr:uid="{00000000-0005-0000-0000-000095420000}"/>
    <cellStyle name="Normal 13 2 14 3 2" xfId="17063" xr:uid="{00000000-0005-0000-0000-000096420000}"/>
    <cellStyle name="Normal 13 2 14 4" xfId="17064" xr:uid="{00000000-0005-0000-0000-000097420000}"/>
    <cellStyle name="Normal 13 2 14 5" xfId="17065" xr:uid="{00000000-0005-0000-0000-000098420000}"/>
    <cellStyle name="Normal 13 2 15" xfId="17066" xr:uid="{00000000-0005-0000-0000-000099420000}"/>
    <cellStyle name="Normal 13 2 15 2" xfId="17067" xr:uid="{00000000-0005-0000-0000-00009A420000}"/>
    <cellStyle name="Normal 13 2 15 2 2" xfId="17068" xr:uid="{00000000-0005-0000-0000-00009B420000}"/>
    <cellStyle name="Normal 13 2 15 3" xfId="17069" xr:uid="{00000000-0005-0000-0000-00009C420000}"/>
    <cellStyle name="Normal 13 2 15 3 2" xfId="17070" xr:uid="{00000000-0005-0000-0000-00009D420000}"/>
    <cellStyle name="Normal 13 2 15 4" xfId="17071" xr:uid="{00000000-0005-0000-0000-00009E420000}"/>
    <cellStyle name="Normal 13 2 15 5" xfId="17072" xr:uid="{00000000-0005-0000-0000-00009F420000}"/>
    <cellStyle name="Normal 13 2 16" xfId="17073" xr:uid="{00000000-0005-0000-0000-0000A0420000}"/>
    <cellStyle name="Normal 13 2 16 2" xfId="17074" xr:uid="{00000000-0005-0000-0000-0000A1420000}"/>
    <cellStyle name="Normal 13 2 16 2 2" xfId="17075" xr:uid="{00000000-0005-0000-0000-0000A2420000}"/>
    <cellStyle name="Normal 13 2 16 3" xfId="17076" xr:uid="{00000000-0005-0000-0000-0000A3420000}"/>
    <cellStyle name="Normal 13 2 16 3 2" xfId="17077" xr:uid="{00000000-0005-0000-0000-0000A4420000}"/>
    <cellStyle name="Normal 13 2 16 4" xfId="17078" xr:uid="{00000000-0005-0000-0000-0000A5420000}"/>
    <cellStyle name="Normal 13 2 16 5" xfId="17079" xr:uid="{00000000-0005-0000-0000-0000A6420000}"/>
    <cellStyle name="Normal 13 2 17" xfId="17080" xr:uid="{00000000-0005-0000-0000-0000A7420000}"/>
    <cellStyle name="Normal 13 2 17 2" xfId="17081" xr:uid="{00000000-0005-0000-0000-0000A8420000}"/>
    <cellStyle name="Normal 13 2 17 2 2" xfId="17082" xr:uid="{00000000-0005-0000-0000-0000A9420000}"/>
    <cellStyle name="Normal 13 2 17 3" xfId="17083" xr:uid="{00000000-0005-0000-0000-0000AA420000}"/>
    <cellStyle name="Normal 13 2 17 3 2" xfId="17084" xr:uid="{00000000-0005-0000-0000-0000AB420000}"/>
    <cellStyle name="Normal 13 2 17 4" xfId="17085" xr:uid="{00000000-0005-0000-0000-0000AC420000}"/>
    <cellStyle name="Normal 13 2 17 5" xfId="17086" xr:uid="{00000000-0005-0000-0000-0000AD420000}"/>
    <cellStyle name="Normal 13 2 18" xfId="17087" xr:uid="{00000000-0005-0000-0000-0000AE420000}"/>
    <cellStyle name="Normal 13 2 18 2" xfId="17088" xr:uid="{00000000-0005-0000-0000-0000AF420000}"/>
    <cellStyle name="Normal 13 2 18 2 2" xfId="17089" xr:uid="{00000000-0005-0000-0000-0000B0420000}"/>
    <cellStyle name="Normal 13 2 18 3" xfId="17090" xr:uid="{00000000-0005-0000-0000-0000B1420000}"/>
    <cellStyle name="Normal 13 2 18 3 2" xfId="17091" xr:uid="{00000000-0005-0000-0000-0000B2420000}"/>
    <cellStyle name="Normal 13 2 18 4" xfId="17092" xr:uid="{00000000-0005-0000-0000-0000B3420000}"/>
    <cellStyle name="Normal 13 2 18 5" xfId="17093" xr:uid="{00000000-0005-0000-0000-0000B4420000}"/>
    <cellStyle name="Normal 13 2 19" xfId="17094" xr:uid="{00000000-0005-0000-0000-0000B5420000}"/>
    <cellStyle name="Normal 13 2 19 2" xfId="17095" xr:uid="{00000000-0005-0000-0000-0000B6420000}"/>
    <cellStyle name="Normal 13 2 19 2 2" xfId="17096" xr:uid="{00000000-0005-0000-0000-0000B7420000}"/>
    <cellStyle name="Normal 13 2 19 3" xfId="17097" xr:uid="{00000000-0005-0000-0000-0000B8420000}"/>
    <cellStyle name="Normal 13 2 19 3 2" xfId="17098" xr:uid="{00000000-0005-0000-0000-0000B9420000}"/>
    <cellStyle name="Normal 13 2 19 4" xfId="17099" xr:uid="{00000000-0005-0000-0000-0000BA420000}"/>
    <cellStyle name="Normal 13 2 19 5" xfId="17100" xr:uid="{00000000-0005-0000-0000-0000BB420000}"/>
    <cellStyle name="Normal 13 2 2" xfId="17101" xr:uid="{00000000-0005-0000-0000-0000BC420000}"/>
    <cellStyle name="Normal 13 2 2 2" xfId="17102" xr:uid="{00000000-0005-0000-0000-0000BD420000}"/>
    <cellStyle name="Normal 13 2 2 2 2" xfId="17103" xr:uid="{00000000-0005-0000-0000-0000BE420000}"/>
    <cellStyle name="Normal 13 2 2 3" xfId="17104" xr:uid="{00000000-0005-0000-0000-0000BF420000}"/>
    <cellStyle name="Normal 13 2 2 3 2" xfId="17105" xr:uid="{00000000-0005-0000-0000-0000C0420000}"/>
    <cellStyle name="Normal 13 2 2 4" xfId="17106" xr:uid="{00000000-0005-0000-0000-0000C1420000}"/>
    <cellStyle name="Normal 13 2 2 5" xfId="17107" xr:uid="{00000000-0005-0000-0000-0000C2420000}"/>
    <cellStyle name="Normal 13 2 20" xfId="17108" xr:uid="{00000000-0005-0000-0000-0000C3420000}"/>
    <cellStyle name="Normal 13 2 20 2" xfId="17109" xr:uid="{00000000-0005-0000-0000-0000C4420000}"/>
    <cellStyle name="Normal 13 2 20 2 2" xfId="17110" xr:uid="{00000000-0005-0000-0000-0000C5420000}"/>
    <cellStyle name="Normal 13 2 20 3" xfId="17111" xr:uid="{00000000-0005-0000-0000-0000C6420000}"/>
    <cellStyle name="Normal 13 2 20 3 2" xfId="17112" xr:uid="{00000000-0005-0000-0000-0000C7420000}"/>
    <cellStyle name="Normal 13 2 20 4" xfId="17113" xr:uid="{00000000-0005-0000-0000-0000C8420000}"/>
    <cellStyle name="Normal 13 2 20 5" xfId="17114" xr:uid="{00000000-0005-0000-0000-0000C9420000}"/>
    <cellStyle name="Normal 13 2 21" xfId="17115" xr:uid="{00000000-0005-0000-0000-0000CA420000}"/>
    <cellStyle name="Normal 13 2 21 2" xfId="17116" xr:uid="{00000000-0005-0000-0000-0000CB420000}"/>
    <cellStyle name="Normal 13 2 21 2 2" xfId="17117" xr:uid="{00000000-0005-0000-0000-0000CC420000}"/>
    <cellStyle name="Normal 13 2 21 3" xfId="17118" xr:uid="{00000000-0005-0000-0000-0000CD420000}"/>
    <cellStyle name="Normal 13 2 21 3 2" xfId="17119" xr:uid="{00000000-0005-0000-0000-0000CE420000}"/>
    <cellStyle name="Normal 13 2 21 4" xfId="17120" xr:uid="{00000000-0005-0000-0000-0000CF420000}"/>
    <cellStyle name="Normal 13 2 21 5" xfId="17121" xr:uid="{00000000-0005-0000-0000-0000D0420000}"/>
    <cellStyle name="Normal 13 2 22" xfId="17122" xr:uid="{00000000-0005-0000-0000-0000D1420000}"/>
    <cellStyle name="Normal 13 2 22 2" xfId="17123" xr:uid="{00000000-0005-0000-0000-0000D2420000}"/>
    <cellStyle name="Normal 13 2 22 2 2" xfId="17124" xr:uid="{00000000-0005-0000-0000-0000D3420000}"/>
    <cellStyle name="Normal 13 2 22 3" xfId="17125" xr:uid="{00000000-0005-0000-0000-0000D4420000}"/>
    <cellStyle name="Normal 13 2 22 3 2" xfId="17126" xr:uid="{00000000-0005-0000-0000-0000D5420000}"/>
    <cellStyle name="Normal 13 2 22 4" xfId="17127" xr:uid="{00000000-0005-0000-0000-0000D6420000}"/>
    <cellStyle name="Normal 13 2 22 5" xfId="17128" xr:uid="{00000000-0005-0000-0000-0000D7420000}"/>
    <cellStyle name="Normal 13 2 23" xfId="17129" xr:uid="{00000000-0005-0000-0000-0000D8420000}"/>
    <cellStyle name="Normal 13 2 23 2" xfId="17130" xr:uid="{00000000-0005-0000-0000-0000D9420000}"/>
    <cellStyle name="Normal 13 2 24" xfId="17131" xr:uid="{00000000-0005-0000-0000-0000DA420000}"/>
    <cellStyle name="Normal 13 2 25" xfId="17132" xr:uid="{00000000-0005-0000-0000-0000DB420000}"/>
    <cellStyle name="Normal 13 2 3" xfId="17133" xr:uid="{00000000-0005-0000-0000-0000DC420000}"/>
    <cellStyle name="Normal 13 2 3 2" xfId="17134" xr:uid="{00000000-0005-0000-0000-0000DD420000}"/>
    <cellStyle name="Normal 13 2 3 2 2" xfId="17135" xr:uid="{00000000-0005-0000-0000-0000DE420000}"/>
    <cellStyle name="Normal 13 2 3 3" xfId="17136" xr:uid="{00000000-0005-0000-0000-0000DF420000}"/>
    <cellStyle name="Normal 13 2 3 3 2" xfId="17137" xr:uid="{00000000-0005-0000-0000-0000E0420000}"/>
    <cellStyle name="Normal 13 2 3 4" xfId="17138" xr:uid="{00000000-0005-0000-0000-0000E1420000}"/>
    <cellStyle name="Normal 13 2 3 5" xfId="17139" xr:uid="{00000000-0005-0000-0000-0000E2420000}"/>
    <cellStyle name="Normal 13 2 4" xfId="17140" xr:uid="{00000000-0005-0000-0000-0000E3420000}"/>
    <cellStyle name="Normal 13 2 4 2" xfId="17141" xr:uid="{00000000-0005-0000-0000-0000E4420000}"/>
    <cellStyle name="Normal 13 2 4 2 2" xfId="17142" xr:uid="{00000000-0005-0000-0000-0000E5420000}"/>
    <cellStyle name="Normal 13 2 4 3" xfId="17143" xr:uid="{00000000-0005-0000-0000-0000E6420000}"/>
    <cellStyle name="Normal 13 2 4 3 2" xfId="17144" xr:uid="{00000000-0005-0000-0000-0000E7420000}"/>
    <cellStyle name="Normal 13 2 4 4" xfId="17145" xr:uid="{00000000-0005-0000-0000-0000E8420000}"/>
    <cellStyle name="Normal 13 2 4 5" xfId="17146" xr:uid="{00000000-0005-0000-0000-0000E9420000}"/>
    <cellStyle name="Normal 13 2 5" xfId="17147" xr:uid="{00000000-0005-0000-0000-0000EA420000}"/>
    <cellStyle name="Normal 13 2 5 2" xfId="17148" xr:uid="{00000000-0005-0000-0000-0000EB420000}"/>
    <cellStyle name="Normal 13 2 5 2 2" xfId="17149" xr:uid="{00000000-0005-0000-0000-0000EC420000}"/>
    <cellStyle name="Normal 13 2 5 3" xfId="17150" xr:uid="{00000000-0005-0000-0000-0000ED420000}"/>
    <cellStyle name="Normal 13 2 5 3 2" xfId="17151" xr:uid="{00000000-0005-0000-0000-0000EE420000}"/>
    <cellStyle name="Normal 13 2 5 4" xfId="17152" xr:uid="{00000000-0005-0000-0000-0000EF420000}"/>
    <cellStyle name="Normal 13 2 5 5" xfId="17153" xr:uid="{00000000-0005-0000-0000-0000F0420000}"/>
    <cellStyle name="Normal 13 2 6" xfId="17154" xr:uid="{00000000-0005-0000-0000-0000F1420000}"/>
    <cellStyle name="Normal 13 2 6 2" xfId="17155" xr:uid="{00000000-0005-0000-0000-0000F2420000}"/>
    <cellStyle name="Normal 13 2 6 2 2" xfId="17156" xr:uid="{00000000-0005-0000-0000-0000F3420000}"/>
    <cellStyle name="Normal 13 2 6 3" xfId="17157" xr:uid="{00000000-0005-0000-0000-0000F4420000}"/>
    <cellStyle name="Normal 13 2 6 3 2" xfId="17158" xr:uid="{00000000-0005-0000-0000-0000F5420000}"/>
    <cellStyle name="Normal 13 2 6 4" xfId="17159" xr:uid="{00000000-0005-0000-0000-0000F6420000}"/>
    <cellStyle name="Normal 13 2 6 5" xfId="17160" xr:uid="{00000000-0005-0000-0000-0000F7420000}"/>
    <cellStyle name="Normal 13 2 7" xfId="17161" xr:uid="{00000000-0005-0000-0000-0000F8420000}"/>
    <cellStyle name="Normal 13 2 7 2" xfId="17162" xr:uid="{00000000-0005-0000-0000-0000F9420000}"/>
    <cellStyle name="Normal 13 2 7 2 2" xfId="17163" xr:uid="{00000000-0005-0000-0000-0000FA420000}"/>
    <cellStyle name="Normal 13 2 7 3" xfId="17164" xr:uid="{00000000-0005-0000-0000-0000FB420000}"/>
    <cellStyle name="Normal 13 2 7 3 2" xfId="17165" xr:uid="{00000000-0005-0000-0000-0000FC420000}"/>
    <cellStyle name="Normal 13 2 7 4" xfId="17166" xr:uid="{00000000-0005-0000-0000-0000FD420000}"/>
    <cellStyle name="Normal 13 2 7 5" xfId="17167" xr:uid="{00000000-0005-0000-0000-0000FE420000}"/>
    <cellStyle name="Normal 13 2 8" xfId="17168" xr:uid="{00000000-0005-0000-0000-0000FF420000}"/>
    <cellStyle name="Normal 13 2 8 2" xfId="17169" xr:uid="{00000000-0005-0000-0000-000000430000}"/>
    <cellStyle name="Normal 13 2 8 2 2" xfId="17170" xr:uid="{00000000-0005-0000-0000-000001430000}"/>
    <cellStyle name="Normal 13 2 8 3" xfId="17171" xr:uid="{00000000-0005-0000-0000-000002430000}"/>
    <cellStyle name="Normal 13 2 8 3 2" xfId="17172" xr:uid="{00000000-0005-0000-0000-000003430000}"/>
    <cellStyle name="Normal 13 2 8 4" xfId="17173" xr:uid="{00000000-0005-0000-0000-000004430000}"/>
    <cellStyle name="Normal 13 2 8 5" xfId="17174" xr:uid="{00000000-0005-0000-0000-000005430000}"/>
    <cellStyle name="Normal 13 2 9" xfId="17175" xr:uid="{00000000-0005-0000-0000-000006430000}"/>
    <cellStyle name="Normal 13 2 9 2" xfId="17176" xr:uid="{00000000-0005-0000-0000-000007430000}"/>
    <cellStyle name="Normal 13 2 9 2 2" xfId="17177" xr:uid="{00000000-0005-0000-0000-000008430000}"/>
    <cellStyle name="Normal 13 2 9 3" xfId="17178" xr:uid="{00000000-0005-0000-0000-000009430000}"/>
    <cellStyle name="Normal 13 2 9 3 2" xfId="17179" xr:uid="{00000000-0005-0000-0000-00000A430000}"/>
    <cellStyle name="Normal 13 2 9 4" xfId="17180" xr:uid="{00000000-0005-0000-0000-00000B430000}"/>
    <cellStyle name="Normal 13 2 9 5" xfId="17181" xr:uid="{00000000-0005-0000-0000-00000C430000}"/>
    <cellStyle name="Normal 13 20" xfId="17182" xr:uid="{00000000-0005-0000-0000-00000D430000}"/>
    <cellStyle name="Normal 13 20 2" xfId="17183" xr:uid="{00000000-0005-0000-0000-00000E430000}"/>
    <cellStyle name="Normal 13 20 3" xfId="17184" xr:uid="{00000000-0005-0000-0000-00000F430000}"/>
    <cellStyle name="Normal 13 21" xfId="17185" xr:uid="{00000000-0005-0000-0000-000010430000}"/>
    <cellStyle name="Normal 13 21 2" xfId="17186" xr:uid="{00000000-0005-0000-0000-000011430000}"/>
    <cellStyle name="Normal 13 21 3" xfId="17187" xr:uid="{00000000-0005-0000-0000-000012430000}"/>
    <cellStyle name="Normal 13 22" xfId="17188" xr:uid="{00000000-0005-0000-0000-000013430000}"/>
    <cellStyle name="Normal 13 22 2" xfId="17189" xr:uid="{00000000-0005-0000-0000-000014430000}"/>
    <cellStyle name="Normal 13 22 3" xfId="17190" xr:uid="{00000000-0005-0000-0000-000015430000}"/>
    <cellStyle name="Normal 13 23" xfId="17191" xr:uid="{00000000-0005-0000-0000-000016430000}"/>
    <cellStyle name="Normal 13 23 2" xfId="17192" xr:uid="{00000000-0005-0000-0000-000017430000}"/>
    <cellStyle name="Normal 13 23 3" xfId="17193" xr:uid="{00000000-0005-0000-0000-000018430000}"/>
    <cellStyle name="Normal 13 24" xfId="17194" xr:uid="{00000000-0005-0000-0000-000019430000}"/>
    <cellStyle name="Normal 13 25" xfId="17195" xr:uid="{00000000-0005-0000-0000-00001A430000}"/>
    <cellStyle name="Normal 13 26" xfId="17196" xr:uid="{00000000-0005-0000-0000-00001B430000}"/>
    <cellStyle name="Normal 13 3" xfId="17197" xr:uid="{00000000-0005-0000-0000-00001C430000}"/>
    <cellStyle name="Normal 13 3 2" xfId="17198" xr:uid="{00000000-0005-0000-0000-00001D430000}"/>
    <cellStyle name="Normal 13 3 2 2" xfId="17199" xr:uid="{00000000-0005-0000-0000-00001E430000}"/>
    <cellStyle name="Normal 13 3 2 2 2" xfId="17200" xr:uid="{00000000-0005-0000-0000-00001F430000}"/>
    <cellStyle name="Normal 13 3 2 3" xfId="17201" xr:uid="{00000000-0005-0000-0000-000020430000}"/>
    <cellStyle name="Normal 13 3 2 3 2" xfId="17202" xr:uid="{00000000-0005-0000-0000-000021430000}"/>
    <cellStyle name="Normal 13 3 2 4" xfId="17203" xr:uid="{00000000-0005-0000-0000-000022430000}"/>
    <cellStyle name="Normal 13 3 2 5" xfId="17204" xr:uid="{00000000-0005-0000-0000-000023430000}"/>
    <cellStyle name="Normal 13 3 3" xfId="17205" xr:uid="{00000000-0005-0000-0000-000024430000}"/>
    <cellStyle name="Normal 13 3 3 2" xfId="17206" xr:uid="{00000000-0005-0000-0000-000025430000}"/>
    <cellStyle name="Normal 13 3 3 2 2" xfId="17207" xr:uid="{00000000-0005-0000-0000-000026430000}"/>
    <cellStyle name="Normal 13 3 3 3" xfId="17208" xr:uid="{00000000-0005-0000-0000-000027430000}"/>
    <cellStyle name="Normal 13 3 4" xfId="17209" xr:uid="{00000000-0005-0000-0000-000028430000}"/>
    <cellStyle name="Normal 13 3 4 2" xfId="17210" xr:uid="{00000000-0005-0000-0000-000029430000}"/>
    <cellStyle name="Normal 13 3 5" xfId="17211" xr:uid="{00000000-0005-0000-0000-00002A430000}"/>
    <cellStyle name="Normal 13 3 6" xfId="17212" xr:uid="{00000000-0005-0000-0000-00002B430000}"/>
    <cellStyle name="Normal 13 4" xfId="17213" xr:uid="{00000000-0005-0000-0000-00002C430000}"/>
    <cellStyle name="Normal 13 4 2" xfId="17214" xr:uid="{00000000-0005-0000-0000-00002D430000}"/>
    <cellStyle name="Normal 13 4 3" xfId="17215" xr:uid="{00000000-0005-0000-0000-00002E430000}"/>
    <cellStyle name="Normal 13 5" xfId="17216" xr:uid="{00000000-0005-0000-0000-00002F430000}"/>
    <cellStyle name="Normal 13 5 2" xfId="17217" xr:uid="{00000000-0005-0000-0000-000030430000}"/>
    <cellStyle name="Normal 13 5 3" xfId="17218" xr:uid="{00000000-0005-0000-0000-000031430000}"/>
    <cellStyle name="Normal 13 6" xfId="17219" xr:uid="{00000000-0005-0000-0000-000032430000}"/>
    <cellStyle name="Normal 13 6 2" xfId="17220" xr:uid="{00000000-0005-0000-0000-000033430000}"/>
    <cellStyle name="Normal 13 6 3" xfId="17221" xr:uid="{00000000-0005-0000-0000-000034430000}"/>
    <cellStyle name="Normal 13 7" xfId="17222" xr:uid="{00000000-0005-0000-0000-000035430000}"/>
    <cellStyle name="Normal 13 7 2" xfId="17223" xr:uid="{00000000-0005-0000-0000-000036430000}"/>
    <cellStyle name="Normal 13 7 3" xfId="17224" xr:uid="{00000000-0005-0000-0000-000037430000}"/>
    <cellStyle name="Normal 13 8" xfId="17225" xr:uid="{00000000-0005-0000-0000-000038430000}"/>
    <cellStyle name="Normal 13 8 2" xfId="17226" xr:uid="{00000000-0005-0000-0000-000039430000}"/>
    <cellStyle name="Normal 13 8 3" xfId="17227" xr:uid="{00000000-0005-0000-0000-00003A430000}"/>
    <cellStyle name="Normal 13 9" xfId="17228" xr:uid="{00000000-0005-0000-0000-00003B430000}"/>
    <cellStyle name="Normal 13 9 2" xfId="17229" xr:uid="{00000000-0005-0000-0000-00003C430000}"/>
    <cellStyle name="Normal 13 9 3" xfId="17230" xr:uid="{00000000-0005-0000-0000-00003D430000}"/>
    <cellStyle name="Normal 14" xfId="17231" xr:uid="{00000000-0005-0000-0000-00003E430000}"/>
    <cellStyle name="Normal 14 10" xfId="17232" xr:uid="{00000000-0005-0000-0000-00003F430000}"/>
    <cellStyle name="Normal 14 10 2" xfId="17233" xr:uid="{00000000-0005-0000-0000-000040430000}"/>
    <cellStyle name="Normal 14 10 2 2" xfId="17234" xr:uid="{00000000-0005-0000-0000-000041430000}"/>
    <cellStyle name="Normal 14 10 3" xfId="17235" xr:uid="{00000000-0005-0000-0000-000042430000}"/>
    <cellStyle name="Normal 14 10 3 2" xfId="17236" xr:uid="{00000000-0005-0000-0000-000043430000}"/>
    <cellStyle name="Normal 14 10 4" xfId="17237" xr:uid="{00000000-0005-0000-0000-000044430000}"/>
    <cellStyle name="Normal 14 10 5" xfId="17238" xr:uid="{00000000-0005-0000-0000-000045430000}"/>
    <cellStyle name="Normal 14 11" xfId="17239" xr:uid="{00000000-0005-0000-0000-000046430000}"/>
    <cellStyle name="Normal 14 11 2" xfId="17240" xr:uid="{00000000-0005-0000-0000-000047430000}"/>
    <cellStyle name="Normal 14 11 2 2" xfId="17241" xr:uid="{00000000-0005-0000-0000-000048430000}"/>
    <cellStyle name="Normal 14 11 3" xfId="17242" xr:uid="{00000000-0005-0000-0000-000049430000}"/>
    <cellStyle name="Normal 14 11 3 2" xfId="17243" xr:uid="{00000000-0005-0000-0000-00004A430000}"/>
    <cellStyle name="Normal 14 11 4" xfId="17244" xr:uid="{00000000-0005-0000-0000-00004B430000}"/>
    <cellStyle name="Normal 14 11 5" xfId="17245" xr:uid="{00000000-0005-0000-0000-00004C430000}"/>
    <cellStyle name="Normal 14 12" xfId="17246" xr:uid="{00000000-0005-0000-0000-00004D430000}"/>
    <cellStyle name="Normal 14 12 2" xfId="17247" xr:uid="{00000000-0005-0000-0000-00004E430000}"/>
    <cellStyle name="Normal 14 12 2 2" xfId="17248" xr:uid="{00000000-0005-0000-0000-00004F430000}"/>
    <cellStyle name="Normal 14 12 3" xfId="17249" xr:uid="{00000000-0005-0000-0000-000050430000}"/>
    <cellStyle name="Normal 14 12 3 2" xfId="17250" xr:uid="{00000000-0005-0000-0000-000051430000}"/>
    <cellStyle name="Normal 14 12 4" xfId="17251" xr:uid="{00000000-0005-0000-0000-000052430000}"/>
    <cellStyle name="Normal 14 12 5" xfId="17252" xr:uid="{00000000-0005-0000-0000-000053430000}"/>
    <cellStyle name="Normal 14 13" xfId="17253" xr:uid="{00000000-0005-0000-0000-000054430000}"/>
    <cellStyle name="Normal 14 13 2" xfId="17254" xr:uid="{00000000-0005-0000-0000-000055430000}"/>
    <cellStyle name="Normal 14 13 2 2" xfId="17255" xr:uid="{00000000-0005-0000-0000-000056430000}"/>
    <cellStyle name="Normal 14 13 3" xfId="17256" xr:uid="{00000000-0005-0000-0000-000057430000}"/>
    <cellStyle name="Normal 14 13 3 2" xfId="17257" xr:uid="{00000000-0005-0000-0000-000058430000}"/>
    <cellStyle name="Normal 14 13 4" xfId="17258" xr:uid="{00000000-0005-0000-0000-000059430000}"/>
    <cellStyle name="Normal 14 13 5" xfId="17259" xr:uid="{00000000-0005-0000-0000-00005A430000}"/>
    <cellStyle name="Normal 14 14" xfId="17260" xr:uid="{00000000-0005-0000-0000-00005B430000}"/>
    <cellStyle name="Normal 14 14 2" xfId="17261" xr:uid="{00000000-0005-0000-0000-00005C430000}"/>
    <cellStyle name="Normal 14 14 2 2" xfId="17262" xr:uid="{00000000-0005-0000-0000-00005D430000}"/>
    <cellStyle name="Normal 14 14 3" xfId="17263" xr:uid="{00000000-0005-0000-0000-00005E430000}"/>
    <cellStyle name="Normal 14 14 3 2" xfId="17264" xr:uid="{00000000-0005-0000-0000-00005F430000}"/>
    <cellStyle name="Normal 14 14 4" xfId="17265" xr:uid="{00000000-0005-0000-0000-000060430000}"/>
    <cellStyle name="Normal 14 14 5" xfId="17266" xr:uid="{00000000-0005-0000-0000-000061430000}"/>
    <cellStyle name="Normal 14 15" xfId="17267" xr:uid="{00000000-0005-0000-0000-000062430000}"/>
    <cellStyle name="Normal 14 15 2" xfId="17268" xr:uid="{00000000-0005-0000-0000-000063430000}"/>
    <cellStyle name="Normal 14 15 2 2" xfId="17269" xr:uid="{00000000-0005-0000-0000-000064430000}"/>
    <cellStyle name="Normal 14 15 3" xfId="17270" xr:uid="{00000000-0005-0000-0000-000065430000}"/>
    <cellStyle name="Normal 14 15 3 2" xfId="17271" xr:uid="{00000000-0005-0000-0000-000066430000}"/>
    <cellStyle name="Normal 14 15 4" xfId="17272" xr:uid="{00000000-0005-0000-0000-000067430000}"/>
    <cellStyle name="Normal 14 15 5" xfId="17273" xr:uid="{00000000-0005-0000-0000-000068430000}"/>
    <cellStyle name="Normal 14 16" xfId="17274" xr:uid="{00000000-0005-0000-0000-000069430000}"/>
    <cellStyle name="Normal 14 16 2" xfId="17275" xr:uid="{00000000-0005-0000-0000-00006A430000}"/>
    <cellStyle name="Normal 14 16 2 2" xfId="17276" xr:uid="{00000000-0005-0000-0000-00006B430000}"/>
    <cellStyle name="Normal 14 16 3" xfId="17277" xr:uid="{00000000-0005-0000-0000-00006C430000}"/>
    <cellStyle name="Normal 14 16 3 2" xfId="17278" xr:uid="{00000000-0005-0000-0000-00006D430000}"/>
    <cellStyle name="Normal 14 16 4" xfId="17279" xr:uid="{00000000-0005-0000-0000-00006E430000}"/>
    <cellStyle name="Normal 14 16 5" xfId="17280" xr:uid="{00000000-0005-0000-0000-00006F430000}"/>
    <cellStyle name="Normal 14 17" xfId="17281" xr:uid="{00000000-0005-0000-0000-000070430000}"/>
    <cellStyle name="Normal 14 17 2" xfId="17282" xr:uid="{00000000-0005-0000-0000-000071430000}"/>
    <cellStyle name="Normal 14 17 2 2" xfId="17283" xr:uid="{00000000-0005-0000-0000-000072430000}"/>
    <cellStyle name="Normal 14 17 3" xfId="17284" xr:uid="{00000000-0005-0000-0000-000073430000}"/>
    <cellStyle name="Normal 14 17 3 2" xfId="17285" xr:uid="{00000000-0005-0000-0000-000074430000}"/>
    <cellStyle name="Normal 14 17 4" xfId="17286" xr:uid="{00000000-0005-0000-0000-000075430000}"/>
    <cellStyle name="Normal 14 17 5" xfId="17287" xr:uid="{00000000-0005-0000-0000-000076430000}"/>
    <cellStyle name="Normal 14 18" xfId="17288" xr:uid="{00000000-0005-0000-0000-000077430000}"/>
    <cellStyle name="Normal 14 18 2" xfId="17289" xr:uid="{00000000-0005-0000-0000-000078430000}"/>
    <cellStyle name="Normal 14 18 2 2" xfId="17290" xr:uid="{00000000-0005-0000-0000-000079430000}"/>
    <cellStyle name="Normal 14 18 3" xfId="17291" xr:uid="{00000000-0005-0000-0000-00007A430000}"/>
    <cellStyle name="Normal 14 18 3 2" xfId="17292" xr:uid="{00000000-0005-0000-0000-00007B430000}"/>
    <cellStyle name="Normal 14 18 4" xfId="17293" xr:uid="{00000000-0005-0000-0000-00007C430000}"/>
    <cellStyle name="Normal 14 18 5" xfId="17294" xr:uid="{00000000-0005-0000-0000-00007D430000}"/>
    <cellStyle name="Normal 14 19" xfId="17295" xr:uid="{00000000-0005-0000-0000-00007E430000}"/>
    <cellStyle name="Normal 14 19 2" xfId="17296" xr:uid="{00000000-0005-0000-0000-00007F430000}"/>
    <cellStyle name="Normal 14 19 2 2" xfId="17297" xr:uid="{00000000-0005-0000-0000-000080430000}"/>
    <cellStyle name="Normal 14 19 3" xfId="17298" xr:uid="{00000000-0005-0000-0000-000081430000}"/>
    <cellStyle name="Normal 14 19 3 2" xfId="17299" xr:uid="{00000000-0005-0000-0000-000082430000}"/>
    <cellStyle name="Normal 14 19 4" xfId="17300" xr:uid="{00000000-0005-0000-0000-000083430000}"/>
    <cellStyle name="Normal 14 19 5" xfId="17301" xr:uid="{00000000-0005-0000-0000-000084430000}"/>
    <cellStyle name="Normal 14 2" xfId="17302" xr:uid="{00000000-0005-0000-0000-000085430000}"/>
    <cellStyle name="Normal 14 2 2" xfId="17303" xr:uid="{00000000-0005-0000-0000-000086430000}"/>
    <cellStyle name="Normal 14 2 2 2" xfId="17304" xr:uid="{00000000-0005-0000-0000-000087430000}"/>
    <cellStyle name="Normal 14 2 3" xfId="17305" xr:uid="{00000000-0005-0000-0000-000088430000}"/>
    <cellStyle name="Normal 14 2 3 2" xfId="17306" xr:uid="{00000000-0005-0000-0000-000089430000}"/>
    <cellStyle name="Normal 14 2 4" xfId="17307" xr:uid="{00000000-0005-0000-0000-00008A430000}"/>
    <cellStyle name="Normal 14 2 5" xfId="17308" xr:uid="{00000000-0005-0000-0000-00008B430000}"/>
    <cellStyle name="Normal 14 20" xfId="17309" xr:uid="{00000000-0005-0000-0000-00008C430000}"/>
    <cellStyle name="Normal 14 20 2" xfId="17310" xr:uid="{00000000-0005-0000-0000-00008D430000}"/>
    <cellStyle name="Normal 14 20 2 2" xfId="17311" xr:uid="{00000000-0005-0000-0000-00008E430000}"/>
    <cellStyle name="Normal 14 20 3" xfId="17312" xr:uid="{00000000-0005-0000-0000-00008F430000}"/>
    <cellStyle name="Normal 14 20 3 2" xfId="17313" xr:uid="{00000000-0005-0000-0000-000090430000}"/>
    <cellStyle name="Normal 14 20 4" xfId="17314" xr:uid="{00000000-0005-0000-0000-000091430000}"/>
    <cellStyle name="Normal 14 20 5" xfId="17315" xr:uid="{00000000-0005-0000-0000-000092430000}"/>
    <cellStyle name="Normal 14 21" xfId="17316" xr:uid="{00000000-0005-0000-0000-000093430000}"/>
    <cellStyle name="Normal 14 21 2" xfId="17317" xr:uid="{00000000-0005-0000-0000-000094430000}"/>
    <cellStyle name="Normal 14 21 2 2" xfId="17318" xr:uid="{00000000-0005-0000-0000-000095430000}"/>
    <cellStyle name="Normal 14 21 3" xfId="17319" xr:uid="{00000000-0005-0000-0000-000096430000}"/>
    <cellStyle name="Normal 14 21 3 2" xfId="17320" xr:uid="{00000000-0005-0000-0000-000097430000}"/>
    <cellStyle name="Normal 14 21 4" xfId="17321" xr:uid="{00000000-0005-0000-0000-000098430000}"/>
    <cellStyle name="Normal 14 21 5" xfId="17322" xr:uid="{00000000-0005-0000-0000-000099430000}"/>
    <cellStyle name="Normal 14 22" xfId="17323" xr:uid="{00000000-0005-0000-0000-00009A430000}"/>
    <cellStyle name="Normal 14 22 2" xfId="17324" xr:uid="{00000000-0005-0000-0000-00009B430000}"/>
    <cellStyle name="Normal 14 22 2 2" xfId="17325" xr:uid="{00000000-0005-0000-0000-00009C430000}"/>
    <cellStyle name="Normal 14 22 3" xfId="17326" xr:uid="{00000000-0005-0000-0000-00009D430000}"/>
    <cellStyle name="Normal 14 22 3 2" xfId="17327" xr:uid="{00000000-0005-0000-0000-00009E430000}"/>
    <cellStyle name="Normal 14 22 4" xfId="17328" xr:uid="{00000000-0005-0000-0000-00009F430000}"/>
    <cellStyle name="Normal 14 22 5" xfId="17329" xr:uid="{00000000-0005-0000-0000-0000A0430000}"/>
    <cellStyle name="Normal 14 23" xfId="17330" xr:uid="{00000000-0005-0000-0000-0000A1430000}"/>
    <cellStyle name="Normal 14 24" xfId="17331" xr:uid="{00000000-0005-0000-0000-0000A2430000}"/>
    <cellStyle name="Normal 14 25" xfId="17332" xr:uid="{00000000-0005-0000-0000-0000A3430000}"/>
    <cellStyle name="Normal 14 3" xfId="17333" xr:uid="{00000000-0005-0000-0000-0000A4430000}"/>
    <cellStyle name="Normal 14 3 2" xfId="17334" xr:uid="{00000000-0005-0000-0000-0000A5430000}"/>
    <cellStyle name="Normal 14 3 2 2" xfId="17335" xr:uid="{00000000-0005-0000-0000-0000A6430000}"/>
    <cellStyle name="Normal 14 3 3" xfId="17336" xr:uid="{00000000-0005-0000-0000-0000A7430000}"/>
    <cellStyle name="Normal 14 3 3 2" xfId="17337" xr:uid="{00000000-0005-0000-0000-0000A8430000}"/>
    <cellStyle name="Normal 14 3 4" xfId="17338" xr:uid="{00000000-0005-0000-0000-0000A9430000}"/>
    <cellStyle name="Normal 14 3 5" xfId="17339" xr:uid="{00000000-0005-0000-0000-0000AA430000}"/>
    <cellStyle name="Normal 14 4" xfId="17340" xr:uid="{00000000-0005-0000-0000-0000AB430000}"/>
    <cellStyle name="Normal 14 4 2" xfId="17341" xr:uid="{00000000-0005-0000-0000-0000AC430000}"/>
    <cellStyle name="Normal 14 4 2 2" xfId="17342" xr:uid="{00000000-0005-0000-0000-0000AD430000}"/>
    <cellStyle name="Normal 14 4 3" xfId="17343" xr:uid="{00000000-0005-0000-0000-0000AE430000}"/>
    <cellStyle name="Normal 14 4 3 2" xfId="17344" xr:uid="{00000000-0005-0000-0000-0000AF430000}"/>
    <cellStyle name="Normal 14 4 4" xfId="17345" xr:uid="{00000000-0005-0000-0000-0000B0430000}"/>
    <cellStyle name="Normal 14 4 5" xfId="17346" xr:uid="{00000000-0005-0000-0000-0000B1430000}"/>
    <cellStyle name="Normal 14 5" xfId="17347" xr:uid="{00000000-0005-0000-0000-0000B2430000}"/>
    <cellStyle name="Normal 14 5 2" xfId="17348" xr:uid="{00000000-0005-0000-0000-0000B3430000}"/>
    <cellStyle name="Normal 14 5 2 2" xfId="17349" xr:uid="{00000000-0005-0000-0000-0000B4430000}"/>
    <cellStyle name="Normal 14 5 3" xfId="17350" xr:uid="{00000000-0005-0000-0000-0000B5430000}"/>
    <cellStyle name="Normal 14 5 3 2" xfId="17351" xr:uid="{00000000-0005-0000-0000-0000B6430000}"/>
    <cellStyle name="Normal 14 5 4" xfId="17352" xr:uid="{00000000-0005-0000-0000-0000B7430000}"/>
    <cellStyle name="Normal 14 5 5" xfId="17353" xr:uid="{00000000-0005-0000-0000-0000B8430000}"/>
    <cellStyle name="Normal 14 6" xfId="17354" xr:uid="{00000000-0005-0000-0000-0000B9430000}"/>
    <cellStyle name="Normal 14 6 2" xfId="17355" xr:uid="{00000000-0005-0000-0000-0000BA430000}"/>
    <cellStyle name="Normal 14 6 2 2" xfId="17356" xr:uid="{00000000-0005-0000-0000-0000BB430000}"/>
    <cellStyle name="Normal 14 6 3" xfId="17357" xr:uid="{00000000-0005-0000-0000-0000BC430000}"/>
    <cellStyle name="Normal 14 6 3 2" xfId="17358" xr:uid="{00000000-0005-0000-0000-0000BD430000}"/>
    <cellStyle name="Normal 14 6 4" xfId="17359" xr:uid="{00000000-0005-0000-0000-0000BE430000}"/>
    <cellStyle name="Normal 14 6 5" xfId="17360" xr:uid="{00000000-0005-0000-0000-0000BF430000}"/>
    <cellStyle name="Normal 14 7" xfId="17361" xr:uid="{00000000-0005-0000-0000-0000C0430000}"/>
    <cellStyle name="Normal 14 7 2" xfId="17362" xr:uid="{00000000-0005-0000-0000-0000C1430000}"/>
    <cellStyle name="Normal 14 7 2 2" xfId="17363" xr:uid="{00000000-0005-0000-0000-0000C2430000}"/>
    <cellStyle name="Normal 14 7 3" xfId="17364" xr:uid="{00000000-0005-0000-0000-0000C3430000}"/>
    <cellStyle name="Normal 14 7 3 2" xfId="17365" xr:uid="{00000000-0005-0000-0000-0000C4430000}"/>
    <cellStyle name="Normal 14 7 4" xfId="17366" xr:uid="{00000000-0005-0000-0000-0000C5430000}"/>
    <cellStyle name="Normal 14 7 5" xfId="17367" xr:uid="{00000000-0005-0000-0000-0000C6430000}"/>
    <cellStyle name="Normal 14 8" xfId="17368" xr:uid="{00000000-0005-0000-0000-0000C7430000}"/>
    <cellStyle name="Normal 14 8 2" xfId="17369" xr:uid="{00000000-0005-0000-0000-0000C8430000}"/>
    <cellStyle name="Normal 14 8 2 2" xfId="17370" xr:uid="{00000000-0005-0000-0000-0000C9430000}"/>
    <cellStyle name="Normal 14 8 3" xfId="17371" xr:uid="{00000000-0005-0000-0000-0000CA430000}"/>
    <cellStyle name="Normal 14 8 3 2" xfId="17372" xr:uid="{00000000-0005-0000-0000-0000CB430000}"/>
    <cellStyle name="Normal 14 8 4" xfId="17373" xr:uid="{00000000-0005-0000-0000-0000CC430000}"/>
    <cellStyle name="Normal 14 8 5" xfId="17374" xr:uid="{00000000-0005-0000-0000-0000CD430000}"/>
    <cellStyle name="Normal 14 9" xfId="17375" xr:uid="{00000000-0005-0000-0000-0000CE430000}"/>
    <cellStyle name="Normal 14 9 2" xfId="17376" xr:uid="{00000000-0005-0000-0000-0000CF430000}"/>
    <cellStyle name="Normal 14 9 2 2" xfId="17377" xr:uid="{00000000-0005-0000-0000-0000D0430000}"/>
    <cellStyle name="Normal 14 9 3" xfId="17378" xr:uid="{00000000-0005-0000-0000-0000D1430000}"/>
    <cellStyle name="Normal 14 9 3 2" xfId="17379" xr:uid="{00000000-0005-0000-0000-0000D2430000}"/>
    <cellStyle name="Normal 14 9 4" xfId="17380" xr:uid="{00000000-0005-0000-0000-0000D3430000}"/>
    <cellStyle name="Normal 14 9 5" xfId="17381" xr:uid="{00000000-0005-0000-0000-0000D4430000}"/>
    <cellStyle name="Normal 15" xfId="17382" xr:uid="{00000000-0005-0000-0000-0000D5430000}"/>
    <cellStyle name="Normal 15 10" xfId="17383" xr:uid="{00000000-0005-0000-0000-0000D6430000}"/>
    <cellStyle name="Normal 15 10 2" xfId="17384" xr:uid="{00000000-0005-0000-0000-0000D7430000}"/>
    <cellStyle name="Normal 15 10 2 2" xfId="17385" xr:uid="{00000000-0005-0000-0000-0000D8430000}"/>
    <cellStyle name="Normal 15 10 3" xfId="17386" xr:uid="{00000000-0005-0000-0000-0000D9430000}"/>
    <cellStyle name="Normal 15 10 3 2" xfId="17387" xr:uid="{00000000-0005-0000-0000-0000DA430000}"/>
    <cellStyle name="Normal 15 10 4" xfId="17388" xr:uid="{00000000-0005-0000-0000-0000DB430000}"/>
    <cellStyle name="Normal 15 10 5" xfId="17389" xr:uid="{00000000-0005-0000-0000-0000DC430000}"/>
    <cellStyle name="Normal 15 11" xfId="17390" xr:uid="{00000000-0005-0000-0000-0000DD430000}"/>
    <cellStyle name="Normal 15 11 2" xfId="17391" xr:uid="{00000000-0005-0000-0000-0000DE430000}"/>
    <cellStyle name="Normal 15 11 2 2" xfId="17392" xr:uid="{00000000-0005-0000-0000-0000DF430000}"/>
    <cellStyle name="Normal 15 11 3" xfId="17393" xr:uid="{00000000-0005-0000-0000-0000E0430000}"/>
    <cellStyle name="Normal 15 11 3 2" xfId="17394" xr:uid="{00000000-0005-0000-0000-0000E1430000}"/>
    <cellStyle name="Normal 15 11 4" xfId="17395" xr:uid="{00000000-0005-0000-0000-0000E2430000}"/>
    <cellStyle name="Normal 15 11 5" xfId="17396" xr:uid="{00000000-0005-0000-0000-0000E3430000}"/>
    <cellStyle name="Normal 15 12" xfId="17397" xr:uid="{00000000-0005-0000-0000-0000E4430000}"/>
    <cellStyle name="Normal 15 12 2" xfId="17398" xr:uid="{00000000-0005-0000-0000-0000E5430000}"/>
    <cellStyle name="Normal 15 12 2 2" xfId="17399" xr:uid="{00000000-0005-0000-0000-0000E6430000}"/>
    <cellStyle name="Normal 15 12 3" xfId="17400" xr:uid="{00000000-0005-0000-0000-0000E7430000}"/>
    <cellStyle name="Normal 15 12 3 2" xfId="17401" xr:uid="{00000000-0005-0000-0000-0000E8430000}"/>
    <cellStyle name="Normal 15 12 4" xfId="17402" xr:uid="{00000000-0005-0000-0000-0000E9430000}"/>
    <cellStyle name="Normal 15 12 5" xfId="17403" xr:uid="{00000000-0005-0000-0000-0000EA430000}"/>
    <cellStyle name="Normal 15 13" xfId="17404" xr:uid="{00000000-0005-0000-0000-0000EB430000}"/>
    <cellStyle name="Normal 15 13 2" xfId="17405" xr:uid="{00000000-0005-0000-0000-0000EC430000}"/>
    <cellStyle name="Normal 15 13 2 2" xfId="17406" xr:uid="{00000000-0005-0000-0000-0000ED430000}"/>
    <cellStyle name="Normal 15 13 3" xfId="17407" xr:uid="{00000000-0005-0000-0000-0000EE430000}"/>
    <cellStyle name="Normal 15 13 3 2" xfId="17408" xr:uid="{00000000-0005-0000-0000-0000EF430000}"/>
    <cellStyle name="Normal 15 13 4" xfId="17409" xr:uid="{00000000-0005-0000-0000-0000F0430000}"/>
    <cellStyle name="Normal 15 13 5" xfId="17410" xr:uid="{00000000-0005-0000-0000-0000F1430000}"/>
    <cellStyle name="Normal 15 14" xfId="17411" xr:uid="{00000000-0005-0000-0000-0000F2430000}"/>
    <cellStyle name="Normal 15 14 2" xfId="17412" xr:uid="{00000000-0005-0000-0000-0000F3430000}"/>
    <cellStyle name="Normal 15 14 2 2" xfId="17413" xr:uid="{00000000-0005-0000-0000-0000F4430000}"/>
    <cellStyle name="Normal 15 14 3" xfId="17414" xr:uid="{00000000-0005-0000-0000-0000F5430000}"/>
    <cellStyle name="Normal 15 14 3 2" xfId="17415" xr:uid="{00000000-0005-0000-0000-0000F6430000}"/>
    <cellStyle name="Normal 15 14 4" xfId="17416" xr:uid="{00000000-0005-0000-0000-0000F7430000}"/>
    <cellStyle name="Normal 15 14 5" xfId="17417" xr:uid="{00000000-0005-0000-0000-0000F8430000}"/>
    <cellStyle name="Normal 15 15" xfId="17418" xr:uid="{00000000-0005-0000-0000-0000F9430000}"/>
    <cellStyle name="Normal 15 15 2" xfId="17419" xr:uid="{00000000-0005-0000-0000-0000FA430000}"/>
    <cellStyle name="Normal 15 15 2 2" xfId="17420" xr:uid="{00000000-0005-0000-0000-0000FB430000}"/>
    <cellStyle name="Normal 15 15 3" xfId="17421" xr:uid="{00000000-0005-0000-0000-0000FC430000}"/>
    <cellStyle name="Normal 15 15 3 2" xfId="17422" xr:uid="{00000000-0005-0000-0000-0000FD430000}"/>
    <cellStyle name="Normal 15 15 4" xfId="17423" xr:uid="{00000000-0005-0000-0000-0000FE430000}"/>
    <cellStyle name="Normal 15 15 5" xfId="17424" xr:uid="{00000000-0005-0000-0000-0000FF430000}"/>
    <cellStyle name="Normal 15 16" xfId="17425" xr:uid="{00000000-0005-0000-0000-000000440000}"/>
    <cellStyle name="Normal 15 16 2" xfId="17426" xr:uid="{00000000-0005-0000-0000-000001440000}"/>
    <cellStyle name="Normal 15 16 2 2" xfId="17427" xr:uid="{00000000-0005-0000-0000-000002440000}"/>
    <cellStyle name="Normal 15 16 3" xfId="17428" xr:uid="{00000000-0005-0000-0000-000003440000}"/>
    <cellStyle name="Normal 15 16 3 2" xfId="17429" xr:uid="{00000000-0005-0000-0000-000004440000}"/>
    <cellStyle name="Normal 15 16 4" xfId="17430" xr:uid="{00000000-0005-0000-0000-000005440000}"/>
    <cellStyle name="Normal 15 16 5" xfId="17431" xr:uid="{00000000-0005-0000-0000-000006440000}"/>
    <cellStyle name="Normal 15 17" xfId="17432" xr:uid="{00000000-0005-0000-0000-000007440000}"/>
    <cellStyle name="Normal 15 17 2" xfId="17433" xr:uid="{00000000-0005-0000-0000-000008440000}"/>
    <cellStyle name="Normal 15 17 2 2" xfId="17434" xr:uid="{00000000-0005-0000-0000-000009440000}"/>
    <cellStyle name="Normal 15 17 3" xfId="17435" xr:uid="{00000000-0005-0000-0000-00000A440000}"/>
    <cellStyle name="Normal 15 17 3 2" xfId="17436" xr:uid="{00000000-0005-0000-0000-00000B440000}"/>
    <cellStyle name="Normal 15 17 4" xfId="17437" xr:uid="{00000000-0005-0000-0000-00000C440000}"/>
    <cellStyle name="Normal 15 17 5" xfId="17438" xr:uid="{00000000-0005-0000-0000-00000D440000}"/>
    <cellStyle name="Normal 15 18" xfId="17439" xr:uid="{00000000-0005-0000-0000-00000E440000}"/>
    <cellStyle name="Normal 15 18 2" xfId="17440" xr:uid="{00000000-0005-0000-0000-00000F440000}"/>
    <cellStyle name="Normal 15 18 2 2" xfId="17441" xr:uid="{00000000-0005-0000-0000-000010440000}"/>
    <cellStyle name="Normal 15 18 3" xfId="17442" xr:uid="{00000000-0005-0000-0000-000011440000}"/>
    <cellStyle name="Normal 15 18 3 2" xfId="17443" xr:uid="{00000000-0005-0000-0000-000012440000}"/>
    <cellStyle name="Normal 15 18 4" xfId="17444" xr:uid="{00000000-0005-0000-0000-000013440000}"/>
    <cellStyle name="Normal 15 18 5" xfId="17445" xr:uid="{00000000-0005-0000-0000-000014440000}"/>
    <cellStyle name="Normal 15 19" xfId="17446" xr:uid="{00000000-0005-0000-0000-000015440000}"/>
    <cellStyle name="Normal 15 19 2" xfId="17447" xr:uid="{00000000-0005-0000-0000-000016440000}"/>
    <cellStyle name="Normal 15 19 2 2" xfId="17448" xr:uid="{00000000-0005-0000-0000-000017440000}"/>
    <cellStyle name="Normal 15 19 3" xfId="17449" xr:uid="{00000000-0005-0000-0000-000018440000}"/>
    <cellStyle name="Normal 15 19 3 2" xfId="17450" xr:uid="{00000000-0005-0000-0000-000019440000}"/>
    <cellStyle name="Normal 15 19 4" xfId="17451" xr:uid="{00000000-0005-0000-0000-00001A440000}"/>
    <cellStyle name="Normal 15 19 5" xfId="17452" xr:uid="{00000000-0005-0000-0000-00001B440000}"/>
    <cellStyle name="Normal 15 2" xfId="17453" xr:uid="{00000000-0005-0000-0000-00001C440000}"/>
    <cellStyle name="Normal 15 2 2" xfId="17454" xr:uid="{00000000-0005-0000-0000-00001D440000}"/>
    <cellStyle name="Normal 15 2 2 2" xfId="17455" xr:uid="{00000000-0005-0000-0000-00001E440000}"/>
    <cellStyle name="Normal 15 2 3" xfId="17456" xr:uid="{00000000-0005-0000-0000-00001F440000}"/>
    <cellStyle name="Normal 15 2 3 2" xfId="17457" xr:uid="{00000000-0005-0000-0000-000020440000}"/>
    <cellStyle name="Normal 15 2 4" xfId="17458" xr:uid="{00000000-0005-0000-0000-000021440000}"/>
    <cellStyle name="Normal 15 2 5" xfId="17459" xr:uid="{00000000-0005-0000-0000-000022440000}"/>
    <cellStyle name="Normal 15 20" xfId="17460" xr:uid="{00000000-0005-0000-0000-000023440000}"/>
    <cellStyle name="Normal 15 20 2" xfId="17461" xr:uid="{00000000-0005-0000-0000-000024440000}"/>
    <cellStyle name="Normal 15 20 2 2" xfId="17462" xr:uid="{00000000-0005-0000-0000-000025440000}"/>
    <cellStyle name="Normal 15 20 3" xfId="17463" xr:uid="{00000000-0005-0000-0000-000026440000}"/>
    <cellStyle name="Normal 15 20 3 2" xfId="17464" xr:uid="{00000000-0005-0000-0000-000027440000}"/>
    <cellStyle name="Normal 15 20 4" xfId="17465" xr:uid="{00000000-0005-0000-0000-000028440000}"/>
    <cellStyle name="Normal 15 20 5" xfId="17466" xr:uid="{00000000-0005-0000-0000-000029440000}"/>
    <cellStyle name="Normal 15 21" xfId="17467" xr:uid="{00000000-0005-0000-0000-00002A440000}"/>
    <cellStyle name="Normal 15 21 2" xfId="17468" xr:uid="{00000000-0005-0000-0000-00002B440000}"/>
    <cellStyle name="Normal 15 21 2 2" xfId="17469" xr:uid="{00000000-0005-0000-0000-00002C440000}"/>
    <cellStyle name="Normal 15 21 3" xfId="17470" xr:uid="{00000000-0005-0000-0000-00002D440000}"/>
    <cellStyle name="Normal 15 21 3 2" xfId="17471" xr:uid="{00000000-0005-0000-0000-00002E440000}"/>
    <cellStyle name="Normal 15 21 4" xfId="17472" xr:uid="{00000000-0005-0000-0000-00002F440000}"/>
    <cellStyle name="Normal 15 21 5" xfId="17473" xr:uid="{00000000-0005-0000-0000-000030440000}"/>
    <cellStyle name="Normal 15 22" xfId="17474" xr:uid="{00000000-0005-0000-0000-000031440000}"/>
    <cellStyle name="Normal 15 22 2" xfId="17475" xr:uid="{00000000-0005-0000-0000-000032440000}"/>
    <cellStyle name="Normal 15 22 2 2" xfId="17476" xr:uid="{00000000-0005-0000-0000-000033440000}"/>
    <cellStyle name="Normal 15 22 3" xfId="17477" xr:uid="{00000000-0005-0000-0000-000034440000}"/>
    <cellStyle name="Normal 15 22 3 2" xfId="17478" xr:uid="{00000000-0005-0000-0000-000035440000}"/>
    <cellStyle name="Normal 15 22 4" xfId="17479" xr:uid="{00000000-0005-0000-0000-000036440000}"/>
    <cellStyle name="Normal 15 22 5" xfId="17480" xr:uid="{00000000-0005-0000-0000-000037440000}"/>
    <cellStyle name="Normal 15 23" xfId="17481" xr:uid="{00000000-0005-0000-0000-000038440000}"/>
    <cellStyle name="Normal 15 24" xfId="17482" xr:uid="{00000000-0005-0000-0000-000039440000}"/>
    <cellStyle name="Normal 15 3" xfId="17483" xr:uid="{00000000-0005-0000-0000-00003A440000}"/>
    <cellStyle name="Normal 15 3 2" xfId="17484" xr:uid="{00000000-0005-0000-0000-00003B440000}"/>
    <cellStyle name="Normal 15 3 2 2" xfId="17485" xr:uid="{00000000-0005-0000-0000-00003C440000}"/>
    <cellStyle name="Normal 15 3 3" xfId="17486" xr:uid="{00000000-0005-0000-0000-00003D440000}"/>
    <cellStyle name="Normal 15 3 3 2" xfId="17487" xr:uid="{00000000-0005-0000-0000-00003E440000}"/>
    <cellStyle name="Normal 15 3 4" xfId="17488" xr:uid="{00000000-0005-0000-0000-00003F440000}"/>
    <cellStyle name="Normal 15 3 5" xfId="17489" xr:uid="{00000000-0005-0000-0000-000040440000}"/>
    <cellStyle name="Normal 15 4" xfId="17490" xr:uid="{00000000-0005-0000-0000-000041440000}"/>
    <cellStyle name="Normal 15 4 2" xfId="17491" xr:uid="{00000000-0005-0000-0000-000042440000}"/>
    <cellStyle name="Normal 15 4 2 2" xfId="17492" xr:uid="{00000000-0005-0000-0000-000043440000}"/>
    <cellStyle name="Normal 15 4 3" xfId="17493" xr:uid="{00000000-0005-0000-0000-000044440000}"/>
    <cellStyle name="Normal 15 4 3 2" xfId="17494" xr:uid="{00000000-0005-0000-0000-000045440000}"/>
    <cellStyle name="Normal 15 4 4" xfId="17495" xr:uid="{00000000-0005-0000-0000-000046440000}"/>
    <cellStyle name="Normal 15 4 5" xfId="17496" xr:uid="{00000000-0005-0000-0000-000047440000}"/>
    <cellStyle name="Normal 15 5" xfId="17497" xr:uid="{00000000-0005-0000-0000-000048440000}"/>
    <cellStyle name="Normal 15 5 2" xfId="17498" xr:uid="{00000000-0005-0000-0000-000049440000}"/>
    <cellStyle name="Normal 15 5 2 2" xfId="17499" xr:uid="{00000000-0005-0000-0000-00004A440000}"/>
    <cellStyle name="Normal 15 5 3" xfId="17500" xr:uid="{00000000-0005-0000-0000-00004B440000}"/>
    <cellStyle name="Normal 15 5 3 2" xfId="17501" xr:uid="{00000000-0005-0000-0000-00004C440000}"/>
    <cellStyle name="Normal 15 5 4" xfId="17502" xr:uid="{00000000-0005-0000-0000-00004D440000}"/>
    <cellStyle name="Normal 15 5 5" xfId="17503" xr:uid="{00000000-0005-0000-0000-00004E440000}"/>
    <cellStyle name="Normal 15 6" xfId="17504" xr:uid="{00000000-0005-0000-0000-00004F440000}"/>
    <cellStyle name="Normal 15 6 2" xfId="17505" xr:uid="{00000000-0005-0000-0000-000050440000}"/>
    <cellStyle name="Normal 15 6 2 2" xfId="17506" xr:uid="{00000000-0005-0000-0000-000051440000}"/>
    <cellStyle name="Normal 15 6 3" xfId="17507" xr:uid="{00000000-0005-0000-0000-000052440000}"/>
    <cellStyle name="Normal 15 6 3 2" xfId="17508" xr:uid="{00000000-0005-0000-0000-000053440000}"/>
    <cellStyle name="Normal 15 6 4" xfId="17509" xr:uid="{00000000-0005-0000-0000-000054440000}"/>
    <cellStyle name="Normal 15 6 5" xfId="17510" xr:uid="{00000000-0005-0000-0000-000055440000}"/>
    <cellStyle name="Normal 15 7" xfId="17511" xr:uid="{00000000-0005-0000-0000-000056440000}"/>
    <cellStyle name="Normal 15 7 2" xfId="17512" xr:uid="{00000000-0005-0000-0000-000057440000}"/>
    <cellStyle name="Normal 15 7 2 2" xfId="17513" xr:uid="{00000000-0005-0000-0000-000058440000}"/>
    <cellStyle name="Normal 15 7 3" xfId="17514" xr:uid="{00000000-0005-0000-0000-000059440000}"/>
    <cellStyle name="Normal 15 7 3 2" xfId="17515" xr:uid="{00000000-0005-0000-0000-00005A440000}"/>
    <cellStyle name="Normal 15 7 4" xfId="17516" xr:uid="{00000000-0005-0000-0000-00005B440000}"/>
    <cellStyle name="Normal 15 7 5" xfId="17517" xr:uid="{00000000-0005-0000-0000-00005C440000}"/>
    <cellStyle name="Normal 15 8" xfId="17518" xr:uid="{00000000-0005-0000-0000-00005D440000}"/>
    <cellStyle name="Normal 15 8 2" xfId="17519" xr:uid="{00000000-0005-0000-0000-00005E440000}"/>
    <cellStyle name="Normal 15 8 2 2" xfId="17520" xr:uid="{00000000-0005-0000-0000-00005F440000}"/>
    <cellStyle name="Normal 15 8 3" xfId="17521" xr:uid="{00000000-0005-0000-0000-000060440000}"/>
    <cellStyle name="Normal 15 8 3 2" xfId="17522" xr:uid="{00000000-0005-0000-0000-000061440000}"/>
    <cellStyle name="Normal 15 8 4" xfId="17523" xr:uid="{00000000-0005-0000-0000-000062440000}"/>
    <cellStyle name="Normal 15 8 5" xfId="17524" xr:uid="{00000000-0005-0000-0000-000063440000}"/>
    <cellStyle name="Normal 15 9" xfId="17525" xr:uid="{00000000-0005-0000-0000-000064440000}"/>
    <cellStyle name="Normal 15 9 2" xfId="17526" xr:uid="{00000000-0005-0000-0000-000065440000}"/>
    <cellStyle name="Normal 15 9 2 2" xfId="17527" xr:uid="{00000000-0005-0000-0000-000066440000}"/>
    <cellStyle name="Normal 15 9 3" xfId="17528" xr:uid="{00000000-0005-0000-0000-000067440000}"/>
    <cellStyle name="Normal 15 9 3 2" xfId="17529" xr:uid="{00000000-0005-0000-0000-000068440000}"/>
    <cellStyle name="Normal 15 9 4" xfId="17530" xr:uid="{00000000-0005-0000-0000-000069440000}"/>
    <cellStyle name="Normal 15 9 5" xfId="17531" xr:uid="{00000000-0005-0000-0000-00006A440000}"/>
    <cellStyle name="Normal 16" xfId="17532" xr:uid="{00000000-0005-0000-0000-00006B440000}"/>
    <cellStyle name="Normal 16 2" xfId="17533" xr:uid="{00000000-0005-0000-0000-00006C440000}"/>
    <cellStyle name="Normal 16 2 2" xfId="17534" xr:uid="{00000000-0005-0000-0000-00006D440000}"/>
    <cellStyle name="Normal 16 2 2 2" xfId="17535" xr:uid="{00000000-0005-0000-0000-00006E440000}"/>
    <cellStyle name="Normal 16 2 3" xfId="17536" xr:uid="{00000000-0005-0000-0000-00006F440000}"/>
    <cellStyle name="Normal 16 2 4" xfId="17537" xr:uid="{00000000-0005-0000-0000-000070440000}"/>
    <cellStyle name="Normal 16 2 5" xfId="17538" xr:uid="{00000000-0005-0000-0000-000071440000}"/>
    <cellStyle name="Normal 16 3" xfId="17539" xr:uid="{00000000-0005-0000-0000-000072440000}"/>
    <cellStyle name="Normal 16 3 2" xfId="17540" xr:uid="{00000000-0005-0000-0000-000073440000}"/>
    <cellStyle name="Normal 16 3 3" xfId="17541" xr:uid="{00000000-0005-0000-0000-000074440000}"/>
    <cellStyle name="Normal 16 4" xfId="17542" xr:uid="{00000000-0005-0000-0000-000075440000}"/>
    <cellStyle name="Normal 16 4 2" xfId="17543" xr:uid="{00000000-0005-0000-0000-000076440000}"/>
    <cellStyle name="Normal 16 4 3" xfId="17544" xr:uid="{00000000-0005-0000-0000-000077440000}"/>
    <cellStyle name="Normal 16 5" xfId="17545" xr:uid="{00000000-0005-0000-0000-000078440000}"/>
    <cellStyle name="Normal 16 6" xfId="17546" xr:uid="{00000000-0005-0000-0000-000079440000}"/>
    <cellStyle name="Normal 16 7" xfId="17547" xr:uid="{00000000-0005-0000-0000-00007A440000}"/>
    <cellStyle name="Normal 17" xfId="17548" xr:uid="{00000000-0005-0000-0000-00007B440000}"/>
    <cellStyle name="Normal 17 2" xfId="17549" xr:uid="{00000000-0005-0000-0000-00007C440000}"/>
    <cellStyle name="Normal 17 2 2" xfId="17550" xr:uid="{00000000-0005-0000-0000-00007D440000}"/>
    <cellStyle name="Normal 17 2 2 2" xfId="17551" xr:uid="{00000000-0005-0000-0000-00007E440000}"/>
    <cellStyle name="Normal 17 2 3" xfId="17552" xr:uid="{00000000-0005-0000-0000-00007F440000}"/>
    <cellStyle name="Normal 17 2 3 2" xfId="17553" xr:uid="{00000000-0005-0000-0000-000080440000}"/>
    <cellStyle name="Normal 17 2 4" xfId="17554" xr:uid="{00000000-0005-0000-0000-000081440000}"/>
    <cellStyle name="Normal 17 2 5" xfId="17555" xr:uid="{00000000-0005-0000-0000-000082440000}"/>
    <cellStyle name="Normal 17 3" xfId="17556" xr:uid="{00000000-0005-0000-0000-000083440000}"/>
    <cellStyle name="Normal 17 3 2" xfId="17557" xr:uid="{00000000-0005-0000-0000-000084440000}"/>
    <cellStyle name="Normal 17 4" xfId="17558" xr:uid="{00000000-0005-0000-0000-000085440000}"/>
    <cellStyle name="Normal 18" xfId="8" xr:uid="{00000000-0005-0000-0000-000086440000}"/>
    <cellStyle name="Normal 18 2" xfId="17559" xr:uid="{00000000-0005-0000-0000-000087440000}"/>
    <cellStyle name="Normal 18 2 2" xfId="17560" xr:uid="{00000000-0005-0000-0000-000088440000}"/>
    <cellStyle name="Normal 18 2 3" xfId="17561" xr:uid="{00000000-0005-0000-0000-000089440000}"/>
    <cellStyle name="Normal 18 3" xfId="17562" xr:uid="{00000000-0005-0000-0000-00008A440000}"/>
    <cellStyle name="Normal 18 4" xfId="17563" xr:uid="{00000000-0005-0000-0000-00008B440000}"/>
    <cellStyle name="Normal 18 5" xfId="17564" xr:uid="{00000000-0005-0000-0000-00008C440000}"/>
    <cellStyle name="Normal 19" xfId="17565" xr:uid="{00000000-0005-0000-0000-00008D440000}"/>
    <cellStyle name="Normal 19 10" xfId="17566" xr:uid="{00000000-0005-0000-0000-00008E440000}"/>
    <cellStyle name="Normal 19 11" xfId="17567" xr:uid="{00000000-0005-0000-0000-00008F440000}"/>
    <cellStyle name="Normal 19 12" xfId="17568" xr:uid="{00000000-0005-0000-0000-000090440000}"/>
    <cellStyle name="Normal 19 2" xfId="17569" xr:uid="{00000000-0005-0000-0000-000091440000}"/>
    <cellStyle name="Normal 19 2 2" xfId="17570" xr:uid="{00000000-0005-0000-0000-000092440000}"/>
    <cellStyle name="Normal 19 2 2 2" xfId="17571" xr:uid="{00000000-0005-0000-0000-000093440000}"/>
    <cellStyle name="Normal 19 2 3" xfId="17572" xr:uid="{00000000-0005-0000-0000-000094440000}"/>
    <cellStyle name="Normal 19 2 4" xfId="17573" xr:uid="{00000000-0005-0000-0000-000095440000}"/>
    <cellStyle name="Normal 19 2 5" xfId="17574" xr:uid="{00000000-0005-0000-0000-000096440000}"/>
    <cellStyle name="Normal 19 3" xfId="17575" xr:uid="{00000000-0005-0000-0000-000097440000}"/>
    <cellStyle name="Normal 19 3 2" xfId="17576" xr:uid="{00000000-0005-0000-0000-000098440000}"/>
    <cellStyle name="Normal 19 3 2 2" xfId="17577" xr:uid="{00000000-0005-0000-0000-000099440000}"/>
    <cellStyle name="Normal 19 3 3" xfId="17578" xr:uid="{00000000-0005-0000-0000-00009A440000}"/>
    <cellStyle name="Normal 19 3 4" xfId="17579" xr:uid="{00000000-0005-0000-0000-00009B440000}"/>
    <cellStyle name="Normal 19 3 5" xfId="17580" xr:uid="{00000000-0005-0000-0000-00009C440000}"/>
    <cellStyle name="Normal 19 4" xfId="17581" xr:uid="{00000000-0005-0000-0000-00009D440000}"/>
    <cellStyle name="Normal 19 4 2" xfId="17582" xr:uid="{00000000-0005-0000-0000-00009E440000}"/>
    <cellStyle name="Normal 19 4 3" xfId="17583" xr:uid="{00000000-0005-0000-0000-00009F440000}"/>
    <cellStyle name="Normal 19 5" xfId="17584" xr:uid="{00000000-0005-0000-0000-0000A0440000}"/>
    <cellStyle name="Normal 19 5 2" xfId="17585" xr:uid="{00000000-0005-0000-0000-0000A1440000}"/>
    <cellStyle name="Normal 19 5 3" xfId="17586" xr:uid="{00000000-0005-0000-0000-0000A2440000}"/>
    <cellStyle name="Normal 19 6" xfId="17587" xr:uid="{00000000-0005-0000-0000-0000A3440000}"/>
    <cellStyle name="Normal 19 6 2" xfId="17588" xr:uid="{00000000-0005-0000-0000-0000A4440000}"/>
    <cellStyle name="Normal 19 6 3" xfId="17589" xr:uid="{00000000-0005-0000-0000-0000A5440000}"/>
    <cellStyle name="Normal 19 7" xfId="17590" xr:uid="{00000000-0005-0000-0000-0000A6440000}"/>
    <cellStyle name="Normal 19 7 2" xfId="17591" xr:uid="{00000000-0005-0000-0000-0000A7440000}"/>
    <cellStyle name="Normal 19 7 3" xfId="17592" xr:uid="{00000000-0005-0000-0000-0000A8440000}"/>
    <cellStyle name="Normal 19 8" xfId="17593" xr:uid="{00000000-0005-0000-0000-0000A9440000}"/>
    <cellStyle name="Normal 19 8 2" xfId="17594" xr:uid="{00000000-0005-0000-0000-0000AA440000}"/>
    <cellStyle name="Normal 19 8 3" xfId="17595" xr:uid="{00000000-0005-0000-0000-0000AB440000}"/>
    <cellStyle name="Normal 19 9" xfId="17596" xr:uid="{00000000-0005-0000-0000-0000AC440000}"/>
    <cellStyle name="Normal 19 9 2" xfId="17597" xr:uid="{00000000-0005-0000-0000-0000AD440000}"/>
    <cellStyle name="Normal 2" xfId="9" xr:uid="{00000000-0005-0000-0000-0000AE440000}"/>
    <cellStyle name="Normal 2 10" xfId="17598" xr:uid="{00000000-0005-0000-0000-0000AF440000}"/>
    <cellStyle name="Normal 2 10 10" xfId="17599" xr:uid="{00000000-0005-0000-0000-0000B0440000}"/>
    <cellStyle name="Normal 2 10 10 2" xfId="17600" xr:uid="{00000000-0005-0000-0000-0000B1440000}"/>
    <cellStyle name="Normal 2 10 10 3" xfId="17601" xr:uid="{00000000-0005-0000-0000-0000B2440000}"/>
    <cellStyle name="Normal 2 10 11" xfId="17602" xr:uid="{00000000-0005-0000-0000-0000B3440000}"/>
    <cellStyle name="Normal 2 10 11 2" xfId="17603" xr:uid="{00000000-0005-0000-0000-0000B4440000}"/>
    <cellStyle name="Normal 2 10 11 3" xfId="17604" xr:uid="{00000000-0005-0000-0000-0000B5440000}"/>
    <cellStyle name="Normal 2 10 12" xfId="17605" xr:uid="{00000000-0005-0000-0000-0000B6440000}"/>
    <cellStyle name="Normal 2 10 12 2" xfId="17606" xr:uid="{00000000-0005-0000-0000-0000B7440000}"/>
    <cellStyle name="Normal 2 10 12 3" xfId="17607" xr:uid="{00000000-0005-0000-0000-0000B8440000}"/>
    <cellStyle name="Normal 2 10 13" xfId="17608" xr:uid="{00000000-0005-0000-0000-0000B9440000}"/>
    <cellStyle name="Normal 2 10 13 2" xfId="17609" xr:uid="{00000000-0005-0000-0000-0000BA440000}"/>
    <cellStyle name="Normal 2 10 13 3" xfId="17610" xr:uid="{00000000-0005-0000-0000-0000BB440000}"/>
    <cellStyle name="Normal 2 10 14" xfId="17611" xr:uid="{00000000-0005-0000-0000-0000BC440000}"/>
    <cellStyle name="Normal 2 10 14 2" xfId="17612" xr:uid="{00000000-0005-0000-0000-0000BD440000}"/>
    <cellStyle name="Normal 2 10 14 3" xfId="17613" xr:uid="{00000000-0005-0000-0000-0000BE440000}"/>
    <cellStyle name="Normal 2 10 15" xfId="17614" xr:uid="{00000000-0005-0000-0000-0000BF440000}"/>
    <cellStyle name="Normal 2 10 15 2" xfId="17615" xr:uid="{00000000-0005-0000-0000-0000C0440000}"/>
    <cellStyle name="Normal 2 10 15 3" xfId="17616" xr:uid="{00000000-0005-0000-0000-0000C1440000}"/>
    <cellStyle name="Normal 2 10 16" xfId="17617" xr:uid="{00000000-0005-0000-0000-0000C2440000}"/>
    <cellStyle name="Normal 2 10 16 2" xfId="17618" xr:uid="{00000000-0005-0000-0000-0000C3440000}"/>
    <cellStyle name="Normal 2 10 16 3" xfId="17619" xr:uid="{00000000-0005-0000-0000-0000C4440000}"/>
    <cellStyle name="Normal 2 10 17" xfId="17620" xr:uid="{00000000-0005-0000-0000-0000C5440000}"/>
    <cellStyle name="Normal 2 10 17 2" xfId="17621" xr:uid="{00000000-0005-0000-0000-0000C6440000}"/>
    <cellStyle name="Normal 2 10 17 3" xfId="17622" xr:uid="{00000000-0005-0000-0000-0000C7440000}"/>
    <cellStyle name="Normal 2 10 18" xfId="17623" xr:uid="{00000000-0005-0000-0000-0000C8440000}"/>
    <cellStyle name="Normal 2 10 18 2" xfId="17624" xr:uid="{00000000-0005-0000-0000-0000C9440000}"/>
    <cellStyle name="Normal 2 10 18 3" xfId="17625" xr:uid="{00000000-0005-0000-0000-0000CA440000}"/>
    <cellStyle name="Normal 2 10 19" xfId="17626" xr:uid="{00000000-0005-0000-0000-0000CB440000}"/>
    <cellStyle name="Normal 2 10 19 2" xfId="17627" xr:uid="{00000000-0005-0000-0000-0000CC440000}"/>
    <cellStyle name="Normal 2 10 19 3" xfId="17628" xr:uid="{00000000-0005-0000-0000-0000CD440000}"/>
    <cellStyle name="Normal 2 10 2" xfId="17629" xr:uid="{00000000-0005-0000-0000-0000CE440000}"/>
    <cellStyle name="Normal 2 10 2 2" xfId="17630" xr:uid="{00000000-0005-0000-0000-0000CF440000}"/>
    <cellStyle name="Normal 2 10 2 3" xfId="17631" xr:uid="{00000000-0005-0000-0000-0000D0440000}"/>
    <cellStyle name="Normal 2 10 20" xfId="17632" xr:uid="{00000000-0005-0000-0000-0000D1440000}"/>
    <cellStyle name="Normal 2 10 20 2" xfId="17633" xr:uid="{00000000-0005-0000-0000-0000D2440000}"/>
    <cellStyle name="Normal 2 10 20 3" xfId="17634" xr:uid="{00000000-0005-0000-0000-0000D3440000}"/>
    <cellStyle name="Normal 2 10 21" xfId="17635" xr:uid="{00000000-0005-0000-0000-0000D4440000}"/>
    <cellStyle name="Normal 2 10 21 2" xfId="17636" xr:uid="{00000000-0005-0000-0000-0000D5440000}"/>
    <cellStyle name="Normal 2 10 21 3" xfId="17637" xr:uid="{00000000-0005-0000-0000-0000D6440000}"/>
    <cellStyle name="Normal 2 10 22" xfId="17638" xr:uid="{00000000-0005-0000-0000-0000D7440000}"/>
    <cellStyle name="Normal 2 10 22 2" xfId="17639" xr:uid="{00000000-0005-0000-0000-0000D8440000}"/>
    <cellStyle name="Normal 2 10 22 3" xfId="17640" xr:uid="{00000000-0005-0000-0000-0000D9440000}"/>
    <cellStyle name="Normal 2 10 23" xfId="17641" xr:uid="{00000000-0005-0000-0000-0000DA440000}"/>
    <cellStyle name="Normal 2 10 23 2" xfId="17642" xr:uid="{00000000-0005-0000-0000-0000DB440000}"/>
    <cellStyle name="Normal 2 10 23 3" xfId="17643" xr:uid="{00000000-0005-0000-0000-0000DC440000}"/>
    <cellStyle name="Normal 2 10 24" xfId="17644" xr:uid="{00000000-0005-0000-0000-0000DD440000}"/>
    <cellStyle name="Normal 2 10 25" xfId="17645" xr:uid="{00000000-0005-0000-0000-0000DE440000}"/>
    <cellStyle name="Normal 2 10 26" xfId="17646" xr:uid="{00000000-0005-0000-0000-0000DF440000}"/>
    <cellStyle name="Normal 2 10 3" xfId="17647" xr:uid="{00000000-0005-0000-0000-0000E0440000}"/>
    <cellStyle name="Normal 2 10 3 2" xfId="17648" xr:uid="{00000000-0005-0000-0000-0000E1440000}"/>
    <cellStyle name="Normal 2 10 3 3" xfId="17649" xr:uid="{00000000-0005-0000-0000-0000E2440000}"/>
    <cellStyle name="Normal 2 10 4" xfId="17650" xr:uid="{00000000-0005-0000-0000-0000E3440000}"/>
    <cellStyle name="Normal 2 10 4 2" xfId="17651" xr:uid="{00000000-0005-0000-0000-0000E4440000}"/>
    <cellStyle name="Normal 2 10 4 3" xfId="17652" xr:uid="{00000000-0005-0000-0000-0000E5440000}"/>
    <cellStyle name="Normal 2 10 5" xfId="17653" xr:uid="{00000000-0005-0000-0000-0000E6440000}"/>
    <cellStyle name="Normal 2 10 5 2" xfId="17654" xr:uid="{00000000-0005-0000-0000-0000E7440000}"/>
    <cellStyle name="Normal 2 10 5 3" xfId="17655" xr:uid="{00000000-0005-0000-0000-0000E8440000}"/>
    <cellStyle name="Normal 2 10 6" xfId="17656" xr:uid="{00000000-0005-0000-0000-0000E9440000}"/>
    <cellStyle name="Normal 2 10 6 2" xfId="17657" xr:uid="{00000000-0005-0000-0000-0000EA440000}"/>
    <cellStyle name="Normal 2 10 6 3" xfId="17658" xr:uid="{00000000-0005-0000-0000-0000EB440000}"/>
    <cellStyle name="Normal 2 10 7" xfId="17659" xr:uid="{00000000-0005-0000-0000-0000EC440000}"/>
    <cellStyle name="Normal 2 10 7 2" xfId="17660" xr:uid="{00000000-0005-0000-0000-0000ED440000}"/>
    <cellStyle name="Normal 2 10 7 3" xfId="17661" xr:uid="{00000000-0005-0000-0000-0000EE440000}"/>
    <cellStyle name="Normal 2 10 8" xfId="17662" xr:uid="{00000000-0005-0000-0000-0000EF440000}"/>
    <cellStyle name="Normal 2 10 8 2" xfId="17663" xr:uid="{00000000-0005-0000-0000-0000F0440000}"/>
    <cellStyle name="Normal 2 10 8 3" xfId="17664" xr:uid="{00000000-0005-0000-0000-0000F1440000}"/>
    <cellStyle name="Normal 2 10 9" xfId="17665" xr:uid="{00000000-0005-0000-0000-0000F2440000}"/>
    <cellStyle name="Normal 2 10 9 2" xfId="17666" xr:uid="{00000000-0005-0000-0000-0000F3440000}"/>
    <cellStyle name="Normal 2 10 9 3" xfId="17667" xr:uid="{00000000-0005-0000-0000-0000F4440000}"/>
    <cellStyle name="Normal 2 11" xfId="17668" xr:uid="{00000000-0005-0000-0000-0000F5440000}"/>
    <cellStyle name="Normal 2 11 10" xfId="17669" xr:uid="{00000000-0005-0000-0000-0000F6440000}"/>
    <cellStyle name="Normal 2 11 10 2" xfId="17670" xr:uid="{00000000-0005-0000-0000-0000F7440000}"/>
    <cellStyle name="Normal 2 11 10 3" xfId="17671" xr:uid="{00000000-0005-0000-0000-0000F8440000}"/>
    <cellStyle name="Normal 2 11 11" xfId="17672" xr:uid="{00000000-0005-0000-0000-0000F9440000}"/>
    <cellStyle name="Normal 2 11 11 2" xfId="17673" xr:uid="{00000000-0005-0000-0000-0000FA440000}"/>
    <cellStyle name="Normal 2 11 11 3" xfId="17674" xr:uid="{00000000-0005-0000-0000-0000FB440000}"/>
    <cellStyle name="Normal 2 11 12" xfId="17675" xr:uid="{00000000-0005-0000-0000-0000FC440000}"/>
    <cellStyle name="Normal 2 11 12 2" xfId="17676" xr:uid="{00000000-0005-0000-0000-0000FD440000}"/>
    <cellStyle name="Normal 2 11 12 3" xfId="17677" xr:uid="{00000000-0005-0000-0000-0000FE440000}"/>
    <cellStyle name="Normal 2 11 13" xfId="17678" xr:uid="{00000000-0005-0000-0000-0000FF440000}"/>
    <cellStyle name="Normal 2 11 13 2" xfId="17679" xr:uid="{00000000-0005-0000-0000-000000450000}"/>
    <cellStyle name="Normal 2 11 13 3" xfId="17680" xr:uid="{00000000-0005-0000-0000-000001450000}"/>
    <cellStyle name="Normal 2 11 14" xfId="17681" xr:uid="{00000000-0005-0000-0000-000002450000}"/>
    <cellStyle name="Normal 2 11 14 2" xfId="17682" xr:uid="{00000000-0005-0000-0000-000003450000}"/>
    <cellStyle name="Normal 2 11 14 3" xfId="17683" xr:uid="{00000000-0005-0000-0000-000004450000}"/>
    <cellStyle name="Normal 2 11 15" xfId="17684" xr:uid="{00000000-0005-0000-0000-000005450000}"/>
    <cellStyle name="Normal 2 11 15 2" xfId="17685" xr:uid="{00000000-0005-0000-0000-000006450000}"/>
    <cellStyle name="Normal 2 11 15 3" xfId="17686" xr:uid="{00000000-0005-0000-0000-000007450000}"/>
    <cellStyle name="Normal 2 11 16" xfId="17687" xr:uid="{00000000-0005-0000-0000-000008450000}"/>
    <cellStyle name="Normal 2 11 16 2" xfId="17688" xr:uid="{00000000-0005-0000-0000-000009450000}"/>
    <cellStyle name="Normal 2 11 16 3" xfId="17689" xr:uid="{00000000-0005-0000-0000-00000A450000}"/>
    <cellStyle name="Normal 2 11 17" xfId="17690" xr:uid="{00000000-0005-0000-0000-00000B450000}"/>
    <cellStyle name="Normal 2 11 17 2" xfId="17691" xr:uid="{00000000-0005-0000-0000-00000C450000}"/>
    <cellStyle name="Normal 2 11 17 3" xfId="17692" xr:uid="{00000000-0005-0000-0000-00000D450000}"/>
    <cellStyle name="Normal 2 11 18" xfId="17693" xr:uid="{00000000-0005-0000-0000-00000E450000}"/>
    <cellStyle name="Normal 2 11 18 2" xfId="17694" xr:uid="{00000000-0005-0000-0000-00000F450000}"/>
    <cellStyle name="Normal 2 11 18 3" xfId="17695" xr:uid="{00000000-0005-0000-0000-000010450000}"/>
    <cellStyle name="Normal 2 11 19" xfId="17696" xr:uid="{00000000-0005-0000-0000-000011450000}"/>
    <cellStyle name="Normal 2 11 19 2" xfId="17697" xr:uid="{00000000-0005-0000-0000-000012450000}"/>
    <cellStyle name="Normal 2 11 19 3" xfId="17698" xr:uid="{00000000-0005-0000-0000-000013450000}"/>
    <cellStyle name="Normal 2 11 2" xfId="17699" xr:uid="{00000000-0005-0000-0000-000014450000}"/>
    <cellStyle name="Normal 2 11 2 2" xfId="17700" xr:uid="{00000000-0005-0000-0000-000015450000}"/>
    <cellStyle name="Normal 2 11 2 3" xfId="17701" xr:uid="{00000000-0005-0000-0000-000016450000}"/>
    <cellStyle name="Normal 2 11 20" xfId="17702" xr:uid="{00000000-0005-0000-0000-000017450000}"/>
    <cellStyle name="Normal 2 11 20 2" xfId="17703" xr:uid="{00000000-0005-0000-0000-000018450000}"/>
    <cellStyle name="Normal 2 11 20 3" xfId="17704" xr:uid="{00000000-0005-0000-0000-000019450000}"/>
    <cellStyle name="Normal 2 11 21" xfId="17705" xr:uid="{00000000-0005-0000-0000-00001A450000}"/>
    <cellStyle name="Normal 2 11 21 2" xfId="17706" xr:uid="{00000000-0005-0000-0000-00001B450000}"/>
    <cellStyle name="Normal 2 11 21 3" xfId="17707" xr:uid="{00000000-0005-0000-0000-00001C450000}"/>
    <cellStyle name="Normal 2 11 22" xfId="17708" xr:uid="{00000000-0005-0000-0000-00001D450000}"/>
    <cellStyle name="Normal 2 11 22 2" xfId="17709" xr:uid="{00000000-0005-0000-0000-00001E450000}"/>
    <cellStyle name="Normal 2 11 22 3" xfId="17710" xr:uid="{00000000-0005-0000-0000-00001F450000}"/>
    <cellStyle name="Normal 2 11 23" xfId="17711" xr:uid="{00000000-0005-0000-0000-000020450000}"/>
    <cellStyle name="Normal 2 11 23 2" xfId="17712" xr:uid="{00000000-0005-0000-0000-000021450000}"/>
    <cellStyle name="Normal 2 11 23 3" xfId="17713" xr:uid="{00000000-0005-0000-0000-000022450000}"/>
    <cellStyle name="Normal 2 11 24" xfId="17714" xr:uid="{00000000-0005-0000-0000-000023450000}"/>
    <cellStyle name="Normal 2 11 25" xfId="17715" xr:uid="{00000000-0005-0000-0000-000024450000}"/>
    <cellStyle name="Normal 2 11 26" xfId="17716" xr:uid="{00000000-0005-0000-0000-000025450000}"/>
    <cellStyle name="Normal 2 11 3" xfId="17717" xr:uid="{00000000-0005-0000-0000-000026450000}"/>
    <cellStyle name="Normal 2 11 3 2" xfId="17718" xr:uid="{00000000-0005-0000-0000-000027450000}"/>
    <cellStyle name="Normal 2 11 3 3" xfId="17719" xr:uid="{00000000-0005-0000-0000-000028450000}"/>
    <cellStyle name="Normal 2 11 4" xfId="17720" xr:uid="{00000000-0005-0000-0000-000029450000}"/>
    <cellStyle name="Normal 2 11 4 2" xfId="17721" xr:uid="{00000000-0005-0000-0000-00002A450000}"/>
    <cellStyle name="Normal 2 11 4 2 2" xfId="17722" xr:uid="{00000000-0005-0000-0000-00002B450000}"/>
    <cellStyle name="Normal 2 11 4 3" xfId="17723" xr:uid="{00000000-0005-0000-0000-00002C450000}"/>
    <cellStyle name="Normal 2 11 4 4" xfId="17724" xr:uid="{00000000-0005-0000-0000-00002D450000}"/>
    <cellStyle name="Normal 2 11 5" xfId="17725" xr:uid="{00000000-0005-0000-0000-00002E450000}"/>
    <cellStyle name="Normal 2 11 5 2" xfId="17726" xr:uid="{00000000-0005-0000-0000-00002F450000}"/>
    <cellStyle name="Normal 2 11 5 3" xfId="17727" xr:uid="{00000000-0005-0000-0000-000030450000}"/>
    <cellStyle name="Normal 2 11 6" xfId="17728" xr:uid="{00000000-0005-0000-0000-000031450000}"/>
    <cellStyle name="Normal 2 11 6 2" xfId="17729" xr:uid="{00000000-0005-0000-0000-000032450000}"/>
    <cellStyle name="Normal 2 11 6 3" xfId="17730" xr:uid="{00000000-0005-0000-0000-000033450000}"/>
    <cellStyle name="Normal 2 11 7" xfId="17731" xr:uid="{00000000-0005-0000-0000-000034450000}"/>
    <cellStyle name="Normal 2 11 7 2" xfId="17732" xr:uid="{00000000-0005-0000-0000-000035450000}"/>
    <cellStyle name="Normal 2 11 7 3" xfId="17733" xr:uid="{00000000-0005-0000-0000-000036450000}"/>
    <cellStyle name="Normal 2 11 8" xfId="17734" xr:uid="{00000000-0005-0000-0000-000037450000}"/>
    <cellStyle name="Normal 2 11 8 2" xfId="17735" xr:uid="{00000000-0005-0000-0000-000038450000}"/>
    <cellStyle name="Normal 2 11 8 3" xfId="17736" xr:uid="{00000000-0005-0000-0000-000039450000}"/>
    <cellStyle name="Normal 2 11 9" xfId="17737" xr:uid="{00000000-0005-0000-0000-00003A450000}"/>
    <cellStyle name="Normal 2 11 9 2" xfId="17738" xr:uid="{00000000-0005-0000-0000-00003B450000}"/>
    <cellStyle name="Normal 2 11 9 3" xfId="17739" xr:uid="{00000000-0005-0000-0000-00003C450000}"/>
    <cellStyle name="Normal 2 12" xfId="17740" xr:uid="{00000000-0005-0000-0000-00003D450000}"/>
    <cellStyle name="Normal 2 12 10" xfId="17741" xr:uid="{00000000-0005-0000-0000-00003E450000}"/>
    <cellStyle name="Normal 2 12 10 2" xfId="17742" xr:uid="{00000000-0005-0000-0000-00003F450000}"/>
    <cellStyle name="Normal 2 12 10 3" xfId="17743" xr:uid="{00000000-0005-0000-0000-000040450000}"/>
    <cellStyle name="Normal 2 12 11" xfId="17744" xr:uid="{00000000-0005-0000-0000-000041450000}"/>
    <cellStyle name="Normal 2 12 11 2" xfId="17745" xr:uid="{00000000-0005-0000-0000-000042450000}"/>
    <cellStyle name="Normal 2 12 11 3" xfId="17746" xr:uid="{00000000-0005-0000-0000-000043450000}"/>
    <cellStyle name="Normal 2 12 12" xfId="17747" xr:uid="{00000000-0005-0000-0000-000044450000}"/>
    <cellStyle name="Normal 2 12 12 2" xfId="17748" xr:uid="{00000000-0005-0000-0000-000045450000}"/>
    <cellStyle name="Normal 2 12 12 3" xfId="17749" xr:uid="{00000000-0005-0000-0000-000046450000}"/>
    <cellStyle name="Normal 2 12 13" xfId="17750" xr:uid="{00000000-0005-0000-0000-000047450000}"/>
    <cellStyle name="Normal 2 12 13 2" xfId="17751" xr:uid="{00000000-0005-0000-0000-000048450000}"/>
    <cellStyle name="Normal 2 12 13 3" xfId="17752" xr:uid="{00000000-0005-0000-0000-000049450000}"/>
    <cellStyle name="Normal 2 12 14" xfId="17753" xr:uid="{00000000-0005-0000-0000-00004A450000}"/>
    <cellStyle name="Normal 2 12 14 2" xfId="17754" xr:uid="{00000000-0005-0000-0000-00004B450000}"/>
    <cellStyle name="Normal 2 12 14 3" xfId="17755" xr:uid="{00000000-0005-0000-0000-00004C450000}"/>
    <cellStyle name="Normal 2 12 15" xfId="17756" xr:uid="{00000000-0005-0000-0000-00004D450000}"/>
    <cellStyle name="Normal 2 12 15 2" xfId="17757" xr:uid="{00000000-0005-0000-0000-00004E450000}"/>
    <cellStyle name="Normal 2 12 15 3" xfId="17758" xr:uid="{00000000-0005-0000-0000-00004F450000}"/>
    <cellStyle name="Normal 2 12 16" xfId="17759" xr:uid="{00000000-0005-0000-0000-000050450000}"/>
    <cellStyle name="Normal 2 12 16 2" xfId="17760" xr:uid="{00000000-0005-0000-0000-000051450000}"/>
    <cellStyle name="Normal 2 12 16 3" xfId="17761" xr:uid="{00000000-0005-0000-0000-000052450000}"/>
    <cellStyle name="Normal 2 12 17" xfId="17762" xr:uid="{00000000-0005-0000-0000-000053450000}"/>
    <cellStyle name="Normal 2 12 17 2" xfId="17763" xr:uid="{00000000-0005-0000-0000-000054450000}"/>
    <cellStyle name="Normal 2 12 17 3" xfId="17764" xr:uid="{00000000-0005-0000-0000-000055450000}"/>
    <cellStyle name="Normal 2 12 18" xfId="17765" xr:uid="{00000000-0005-0000-0000-000056450000}"/>
    <cellStyle name="Normal 2 12 18 2" xfId="17766" xr:uid="{00000000-0005-0000-0000-000057450000}"/>
    <cellStyle name="Normal 2 12 18 3" xfId="17767" xr:uid="{00000000-0005-0000-0000-000058450000}"/>
    <cellStyle name="Normal 2 12 19" xfId="17768" xr:uid="{00000000-0005-0000-0000-000059450000}"/>
    <cellStyle name="Normal 2 12 19 2" xfId="17769" xr:uid="{00000000-0005-0000-0000-00005A450000}"/>
    <cellStyle name="Normal 2 12 19 3" xfId="17770" xr:uid="{00000000-0005-0000-0000-00005B450000}"/>
    <cellStyle name="Normal 2 12 2" xfId="17771" xr:uid="{00000000-0005-0000-0000-00005C450000}"/>
    <cellStyle name="Normal 2 12 2 2" xfId="17772" xr:uid="{00000000-0005-0000-0000-00005D450000}"/>
    <cellStyle name="Normal 2 12 2 3" xfId="17773" xr:uid="{00000000-0005-0000-0000-00005E450000}"/>
    <cellStyle name="Normal 2 12 20" xfId="17774" xr:uid="{00000000-0005-0000-0000-00005F450000}"/>
    <cellStyle name="Normal 2 12 20 2" xfId="17775" xr:uid="{00000000-0005-0000-0000-000060450000}"/>
    <cellStyle name="Normal 2 12 20 3" xfId="17776" xr:uid="{00000000-0005-0000-0000-000061450000}"/>
    <cellStyle name="Normal 2 12 21" xfId="17777" xr:uid="{00000000-0005-0000-0000-000062450000}"/>
    <cellStyle name="Normal 2 12 21 2" xfId="17778" xr:uid="{00000000-0005-0000-0000-000063450000}"/>
    <cellStyle name="Normal 2 12 21 3" xfId="17779" xr:uid="{00000000-0005-0000-0000-000064450000}"/>
    <cellStyle name="Normal 2 12 22" xfId="17780" xr:uid="{00000000-0005-0000-0000-000065450000}"/>
    <cellStyle name="Normal 2 12 22 2" xfId="17781" xr:uid="{00000000-0005-0000-0000-000066450000}"/>
    <cellStyle name="Normal 2 12 22 3" xfId="17782" xr:uid="{00000000-0005-0000-0000-000067450000}"/>
    <cellStyle name="Normal 2 12 23" xfId="17783" xr:uid="{00000000-0005-0000-0000-000068450000}"/>
    <cellStyle name="Normal 2 12 23 2" xfId="17784" xr:uid="{00000000-0005-0000-0000-000069450000}"/>
    <cellStyle name="Normal 2 12 23 3" xfId="17785" xr:uid="{00000000-0005-0000-0000-00006A450000}"/>
    <cellStyle name="Normal 2 12 24" xfId="17786" xr:uid="{00000000-0005-0000-0000-00006B450000}"/>
    <cellStyle name="Normal 2 12 25" xfId="17787" xr:uid="{00000000-0005-0000-0000-00006C450000}"/>
    <cellStyle name="Normal 2 12 26" xfId="17788" xr:uid="{00000000-0005-0000-0000-00006D450000}"/>
    <cellStyle name="Normal 2 12 3" xfId="17789" xr:uid="{00000000-0005-0000-0000-00006E450000}"/>
    <cellStyle name="Normal 2 12 3 2" xfId="17790" xr:uid="{00000000-0005-0000-0000-00006F450000}"/>
    <cellStyle name="Normal 2 12 3 3" xfId="17791" xr:uid="{00000000-0005-0000-0000-000070450000}"/>
    <cellStyle name="Normal 2 12 4" xfId="17792" xr:uid="{00000000-0005-0000-0000-000071450000}"/>
    <cellStyle name="Normal 2 12 4 2" xfId="17793" xr:uid="{00000000-0005-0000-0000-000072450000}"/>
    <cellStyle name="Normal 2 12 4 2 2" xfId="17794" xr:uid="{00000000-0005-0000-0000-000073450000}"/>
    <cellStyle name="Normal 2 12 4 3" xfId="17795" xr:uid="{00000000-0005-0000-0000-000074450000}"/>
    <cellStyle name="Normal 2 12 4 4" xfId="17796" xr:uid="{00000000-0005-0000-0000-000075450000}"/>
    <cellStyle name="Normal 2 12 5" xfId="17797" xr:uid="{00000000-0005-0000-0000-000076450000}"/>
    <cellStyle name="Normal 2 12 5 2" xfId="17798" xr:uid="{00000000-0005-0000-0000-000077450000}"/>
    <cellStyle name="Normal 2 12 5 3" xfId="17799" xr:uid="{00000000-0005-0000-0000-000078450000}"/>
    <cellStyle name="Normal 2 12 6" xfId="17800" xr:uid="{00000000-0005-0000-0000-000079450000}"/>
    <cellStyle name="Normal 2 12 6 2" xfId="17801" xr:uid="{00000000-0005-0000-0000-00007A450000}"/>
    <cellStyle name="Normal 2 12 6 3" xfId="17802" xr:uid="{00000000-0005-0000-0000-00007B450000}"/>
    <cellStyle name="Normal 2 12 7" xfId="17803" xr:uid="{00000000-0005-0000-0000-00007C450000}"/>
    <cellStyle name="Normal 2 12 7 2" xfId="17804" xr:uid="{00000000-0005-0000-0000-00007D450000}"/>
    <cellStyle name="Normal 2 12 7 3" xfId="17805" xr:uid="{00000000-0005-0000-0000-00007E450000}"/>
    <cellStyle name="Normal 2 12 8" xfId="17806" xr:uid="{00000000-0005-0000-0000-00007F450000}"/>
    <cellStyle name="Normal 2 12 8 2" xfId="17807" xr:uid="{00000000-0005-0000-0000-000080450000}"/>
    <cellStyle name="Normal 2 12 8 3" xfId="17808" xr:uid="{00000000-0005-0000-0000-000081450000}"/>
    <cellStyle name="Normal 2 12 9" xfId="17809" xr:uid="{00000000-0005-0000-0000-000082450000}"/>
    <cellStyle name="Normal 2 12 9 2" xfId="17810" xr:uid="{00000000-0005-0000-0000-000083450000}"/>
    <cellStyle name="Normal 2 12 9 3" xfId="17811" xr:uid="{00000000-0005-0000-0000-000084450000}"/>
    <cellStyle name="Normal 2 13" xfId="17812" xr:uid="{00000000-0005-0000-0000-000085450000}"/>
    <cellStyle name="Normal 2 13 10" xfId="17813" xr:uid="{00000000-0005-0000-0000-000086450000}"/>
    <cellStyle name="Normal 2 13 10 2" xfId="17814" xr:uid="{00000000-0005-0000-0000-000087450000}"/>
    <cellStyle name="Normal 2 13 10 3" xfId="17815" xr:uid="{00000000-0005-0000-0000-000088450000}"/>
    <cellStyle name="Normal 2 13 11" xfId="17816" xr:uid="{00000000-0005-0000-0000-000089450000}"/>
    <cellStyle name="Normal 2 13 11 2" xfId="17817" xr:uid="{00000000-0005-0000-0000-00008A450000}"/>
    <cellStyle name="Normal 2 13 11 3" xfId="17818" xr:uid="{00000000-0005-0000-0000-00008B450000}"/>
    <cellStyle name="Normal 2 13 12" xfId="17819" xr:uid="{00000000-0005-0000-0000-00008C450000}"/>
    <cellStyle name="Normal 2 13 12 2" xfId="17820" xr:uid="{00000000-0005-0000-0000-00008D450000}"/>
    <cellStyle name="Normal 2 13 12 3" xfId="17821" xr:uid="{00000000-0005-0000-0000-00008E450000}"/>
    <cellStyle name="Normal 2 13 13" xfId="17822" xr:uid="{00000000-0005-0000-0000-00008F450000}"/>
    <cellStyle name="Normal 2 13 13 2" xfId="17823" xr:uid="{00000000-0005-0000-0000-000090450000}"/>
    <cellStyle name="Normal 2 13 13 3" xfId="17824" xr:uid="{00000000-0005-0000-0000-000091450000}"/>
    <cellStyle name="Normal 2 13 14" xfId="17825" xr:uid="{00000000-0005-0000-0000-000092450000}"/>
    <cellStyle name="Normal 2 13 14 2" xfId="17826" xr:uid="{00000000-0005-0000-0000-000093450000}"/>
    <cellStyle name="Normal 2 13 14 3" xfId="17827" xr:uid="{00000000-0005-0000-0000-000094450000}"/>
    <cellStyle name="Normal 2 13 15" xfId="17828" xr:uid="{00000000-0005-0000-0000-000095450000}"/>
    <cellStyle name="Normal 2 13 15 2" xfId="17829" xr:uid="{00000000-0005-0000-0000-000096450000}"/>
    <cellStyle name="Normal 2 13 15 3" xfId="17830" xr:uid="{00000000-0005-0000-0000-000097450000}"/>
    <cellStyle name="Normal 2 13 16" xfId="17831" xr:uid="{00000000-0005-0000-0000-000098450000}"/>
    <cellStyle name="Normal 2 13 16 2" xfId="17832" xr:uid="{00000000-0005-0000-0000-000099450000}"/>
    <cellStyle name="Normal 2 13 16 3" xfId="17833" xr:uid="{00000000-0005-0000-0000-00009A450000}"/>
    <cellStyle name="Normal 2 13 17" xfId="17834" xr:uid="{00000000-0005-0000-0000-00009B450000}"/>
    <cellStyle name="Normal 2 13 17 2" xfId="17835" xr:uid="{00000000-0005-0000-0000-00009C450000}"/>
    <cellStyle name="Normal 2 13 17 3" xfId="17836" xr:uid="{00000000-0005-0000-0000-00009D450000}"/>
    <cellStyle name="Normal 2 13 18" xfId="17837" xr:uid="{00000000-0005-0000-0000-00009E450000}"/>
    <cellStyle name="Normal 2 13 18 2" xfId="17838" xr:uid="{00000000-0005-0000-0000-00009F450000}"/>
    <cellStyle name="Normal 2 13 18 3" xfId="17839" xr:uid="{00000000-0005-0000-0000-0000A0450000}"/>
    <cellStyle name="Normal 2 13 19" xfId="17840" xr:uid="{00000000-0005-0000-0000-0000A1450000}"/>
    <cellStyle name="Normal 2 13 19 2" xfId="17841" xr:uid="{00000000-0005-0000-0000-0000A2450000}"/>
    <cellStyle name="Normal 2 13 19 3" xfId="17842" xr:uid="{00000000-0005-0000-0000-0000A3450000}"/>
    <cellStyle name="Normal 2 13 2" xfId="17843" xr:uid="{00000000-0005-0000-0000-0000A4450000}"/>
    <cellStyle name="Normal 2 13 2 2" xfId="17844" xr:uid="{00000000-0005-0000-0000-0000A5450000}"/>
    <cellStyle name="Normal 2 13 2 3" xfId="17845" xr:uid="{00000000-0005-0000-0000-0000A6450000}"/>
    <cellStyle name="Normal 2 13 20" xfId="17846" xr:uid="{00000000-0005-0000-0000-0000A7450000}"/>
    <cellStyle name="Normal 2 13 20 2" xfId="17847" xr:uid="{00000000-0005-0000-0000-0000A8450000}"/>
    <cellStyle name="Normal 2 13 20 3" xfId="17848" xr:uid="{00000000-0005-0000-0000-0000A9450000}"/>
    <cellStyle name="Normal 2 13 21" xfId="17849" xr:uid="{00000000-0005-0000-0000-0000AA450000}"/>
    <cellStyle name="Normal 2 13 21 2" xfId="17850" xr:uid="{00000000-0005-0000-0000-0000AB450000}"/>
    <cellStyle name="Normal 2 13 21 3" xfId="17851" xr:uid="{00000000-0005-0000-0000-0000AC450000}"/>
    <cellStyle name="Normal 2 13 22" xfId="17852" xr:uid="{00000000-0005-0000-0000-0000AD450000}"/>
    <cellStyle name="Normal 2 13 22 2" xfId="17853" xr:uid="{00000000-0005-0000-0000-0000AE450000}"/>
    <cellStyle name="Normal 2 13 22 3" xfId="17854" xr:uid="{00000000-0005-0000-0000-0000AF450000}"/>
    <cellStyle name="Normal 2 13 23" xfId="17855" xr:uid="{00000000-0005-0000-0000-0000B0450000}"/>
    <cellStyle name="Normal 2 13 23 2" xfId="17856" xr:uid="{00000000-0005-0000-0000-0000B1450000}"/>
    <cellStyle name="Normal 2 13 23 3" xfId="17857" xr:uid="{00000000-0005-0000-0000-0000B2450000}"/>
    <cellStyle name="Normal 2 13 24" xfId="17858" xr:uid="{00000000-0005-0000-0000-0000B3450000}"/>
    <cellStyle name="Normal 2 13 25" xfId="17859" xr:uid="{00000000-0005-0000-0000-0000B4450000}"/>
    <cellStyle name="Normal 2 13 3" xfId="17860" xr:uid="{00000000-0005-0000-0000-0000B5450000}"/>
    <cellStyle name="Normal 2 13 3 2" xfId="17861" xr:uid="{00000000-0005-0000-0000-0000B6450000}"/>
    <cellStyle name="Normal 2 13 3 3" xfId="17862" xr:uid="{00000000-0005-0000-0000-0000B7450000}"/>
    <cellStyle name="Normal 2 13 4" xfId="17863" xr:uid="{00000000-0005-0000-0000-0000B8450000}"/>
    <cellStyle name="Normal 2 13 4 2" xfId="17864" xr:uid="{00000000-0005-0000-0000-0000B9450000}"/>
    <cellStyle name="Normal 2 13 4 3" xfId="17865" xr:uid="{00000000-0005-0000-0000-0000BA450000}"/>
    <cellStyle name="Normal 2 13 5" xfId="17866" xr:uid="{00000000-0005-0000-0000-0000BB450000}"/>
    <cellStyle name="Normal 2 13 5 2" xfId="17867" xr:uid="{00000000-0005-0000-0000-0000BC450000}"/>
    <cellStyle name="Normal 2 13 5 3" xfId="17868" xr:uid="{00000000-0005-0000-0000-0000BD450000}"/>
    <cellStyle name="Normal 2 13 6" xfId="17869" xr:uid="{00000000-0005-0000-0000-0000BE450000}"/>
    <cellStyle name="Normal 2 13 6 2" xfId="17870" xr:uid="{00000000-0005-0000-0000-0000BF450000}"/>
    <cellStyle name="Normal 2 13 6 3" xfId="17871" xr:uid="{00000000-0005-0000-0000-0000C0450000}"/>
    <cellStyle name="Normal 2 13 7" xfId="17872" xr:uid="{00000000-0005-0000-0000-0000C1450000}"/>
    <cellStyle name="Normal 2 13 7 2" xfId="17873" xr:uid="{00000000-0005-0000-0000-0000C2450000}"/>
    <cellStyle name="Normal 2 13 7 3" xfId="17874" xr:uid="{00000000-0005-0000-0000-0000C3450000}"/>
    <cellStyle name="Normal 2 13 8" xfId="17875" xr:uid="{00000000-0005-0000-0000-0000C4450000}"/>
    <cellStyle name="Normal 2 13 8 2" xfId="17876" xr:uid="{00000000-0005-0000-0000-0000C5450000}"/>
    <cellStyle name="Normal 2 13 8 3" xfId="17877" xr:uid="{00000000-0005-0000-0000-0000C6450000}"/>
    <cellStyle name="Normal 2 13 9" xfId="17878" xr:uid="{00000000-0005-0000-0000-0000C7450000}"/>
    <cellStyle name="Normal 2 13 9 2" xfId="17879" xr:uid="{00000000-0005-0000-0000-0000C8450000}"/>
    <cellStyle name="Normal 2 13 9 3" xfId="17880" xr:uid="{00000000-0005-0000-0000-0000C9450000}"/>
    <cellStyle name="Normal 2 14" xfId="17881" xr:uid="{00000000-0005-0000-0000-0000CA450000}"/>
    <cellStyle name="Normal 2 14 10" xfId="17882" xr:uid="{00000000-0005-0000-0000-0000CB450000}"/>
    <cellStyle name="Normal 2 14 10 2" xfId="17883" xr:uid="{00000000-0005-0000-0000-0000CC450000}"/>
    <cellStyle name="Normal 2 14 10 3" xfId="17884" xr:uid="{00000000-0005-0000-0000-0000CD450000}"/>
    <cellStyle name="Normal 2 14 11" xfId="17885" xr:uid="{00000000-0005-0000-0000-0000CE450000}"/>
    <cellStyle name="Normal 2 14 11 2" xfId="17886" xr:uid="{00000000-0005-0000-0000-0000CF450000}"/>
    <cellStyle name="Normal 2 14 11 3" xfId="17887" xr:uid="{00000000-0005-0000-0000-0000D0450000}"/>
    <cellStyle name="Normal 2 14 12" xfId="17888" xr:uid="{00000000-0005-0000-0000-0000D1450000}"/>
    <cellStyle name="Normal 2 14 12 2" xfId="17889" xr:uid="{00000000-0005-0000-0000-0000D2450000}"/>
    <cellStyle name="Normal 2 14 12 3" xfId="17890" xr:uid="{00000000-0005-0000-0000-0000D3450000}"/>
    <cellStyle name="Normal 2 14 13" xfId="17891" xr:uid="{00000000-0005-0000-0000-0000D4450000}"/>
    <cellStyle name="Normal 2 14 13 2" xfId="17892" xr:uid="{00000000-0005-0000-0000-0000D5450000}"/>
    <cellStyle name="Normal 2 14 13 3" xfId="17893" xr:uid="{00000000-0005-0000-0000-0000D6450000}"/>
    <cellStyle name="Normal 2 14 14" xfId="17894" xr:uid="{00000000-0005-0000-0000-0000D7450000}"/>
    <cellStyle name="Normal 2 14 14 2" xfId="17895" xr:uid="{00000000-0005-0000-0000-0000D8450000}"/>
    <cellStyle name="Normal 2 14 14 3" xfId="17896" xr:uid="{00000000-0005-0000-0000-0000D9450000}"/>
    <cellStyle name="Normal 2 14 15" xfId="17897" xr:uid="{00000000-0005-0000-0000-0000DA450000}"/>
    <cellStyle name="Normal 2 14 15 2" xfId="17898" xr:uid="{00000000-0005-0000-0000-0000DB450000}"/>
    <cellStyle name="Normal 2 14 15 3" xfId="17899" xr:uid="{00000000-0005-0000-0000-0000DC450000}"/>
    <cellStyle name="Normal 2 14 16" xfId="17900" xr:uid="{00000000-0005-0000-0000-0000DD450000}"/>
    <cellStyle name="Normal 2 14 16 2" xfId="17901" xr:uid="{00000000-0005-0000-0000-0000DE450000}"/>
    <cellStyle name="Normal 2 14 16 3" xfId="17902" xr:uid="{00000000-0005-0000-0000-0000DF450000}"/>
    <cellStyle name="Normal 2 14 17" xfId="17903" xr:uid="{00000000-0005-0000-0000-0000E0450000}"/>
    <cellStyle name="Normal 2 14 17 2" xfId="17904" xr:uid="{00000000-0005-0000-0000-0000E1450000}"/>
    <cellStyle name="Normal 2 14 17 3" xfId="17905" xr:uid="{00000000-0005-0000-0000-0000E2450000}"/>
    <cellStyle name="Normal 2 14 18" xfId="17906" xr:uid="{00000000-0005-0000-0000-0000E3450000}"/>
    <cellStyle name="Normal 2 14 18 2" xfId="17907" xr:uid="{00000000-0005-0000-0000-0000E4450000}"/>
    <cellStyle name="Normal 2 14 18 3" xfId="17908" xr:uid="{00000000-0005-0000-0000-0000E5450000}"/>
    <cellStyle name="Normal 2 14 19" xfId="17909" xr:uid="{00000000-0005-0000-0000-0000E6450000}"/>
    <cellStyle name="Normal 2 14 19 2" xfId="17910" xr:uid="{00000000-0005-0000-0000-0000E7450000}"/>
    <cellStyle name="Normal 2 14 19 3" xfId="17911" xr:uid="{00000000-0005-0000-0000-0000E8450000}"/>
    <cellStyle name="Normal 2 14 2" xfId="17912" xr:uid="{00000000-0005-0000-0000-0000E9450000}"/>
    <cellStyle name="Normal 2 14 2 2" xfId="17913" xr:uid="{00000000-0005-0000-0000-0000EA450000}"/>
    <cellStyle name="Normal 2 14 2 3" xfId="17914" xr:uid="{00000000-0005-0000-0000-0000EB450000}"/>
    <cellStyle name="Normal 2 14 20" xfId="17915" xr:uid="{00000000-0005-0000-0000-0000EC450000}"/>
    <cellStyle name="Normal 2 14 20 2" xfId="17916" xr:uid="{00000000-0005-0000-0000-0000ED450000}"/>
    <cellStyle name="Normal 2 14 20 3" xfId="17917" xr:uid="{00000000-0005-0000-0000-0000EE450000}"/>
    <cellStyle name="Normal 2 14 21" xfId="17918" xr:uid="{00000000-0005-0000-0000-0000EF450000}"/>
    <cellStyle name="Normal 2 14 21 2" xfId="17919" xr:uid="{00000000-0005-0000-0000-0000F0450000}"/>
    <cellStyle name="Normal 2 14 21 3" xfId="17920" xr:uid="{00000000-0005-0000-0000-0000F1450000}"/>
    <cellStyle name="Normal 2 14 22" xfId="17921" xr:uid="{00000000-0005-0000-0000-0000F2450000}"/>
    <cellStyle name="Normal 2 14 22 2" xfId="17922" xr:uid="{00000000-0005-0000-0000-0000F3450000}"/>
    <cellStyle name="Normal 2 14 22 3" xfId="17923" xr:uid="{00000000-0005-0000-0000-0000F4450000}"/>
    <cellStyle name="Normal 2 14 23" xfId="17924" xr:uid="{00000000-0005-0000-0000-0000F5450000}"/>
    <cellStyle name="Normal 2 14 23 2" xfId="17925" xr:uid="{00000000-0005-0000-0000-0000F6450000}"/>
    <cellStyle name="Normal 2 14 23 3" xfId="17926" xr:uid="{00000000-0005-0000-0000-0000F7450000}"/>
    <cellStyle name="Normal 2 14 24" xfId="17927" xr:uid="{00000000-0005-0000-0000-0000F8450000}"/>
    <cellStyle name="Normal 2 14 25" xfId="17928" xr:uid="{00000000-0005-0000-0000-0000F9450000}"/>
    <cellStyle name="Normal 2 14 3" xfId="17929" xr:uid="{00000000-0005-0000-0000-0000FA450000}"/>
    <cellStyle name="Normal 2 14 3 2" xfId="17930" xr:uid="{00000000-0005-0000-0000-0000FB450000}"/>
    <cellStyle name="Normal 2 14 3 3" xfId="17931" xr:uid="{00000000-0005-0000-0000-0000FC450000}"/>
    <cellStyle name="Normal 2 14 4" xfId="17932" xr:uid="{00000000-0005-0000-0000-0000FD450000}"/>
    <cellStyle name="Normal 2 14 4 2" xfId="17933" xr:uid="{00000000-0005-0000-0000-0000FE450000}"/>
    <cellStyle name="Normal 2 14 4 3" xfId="17934" xr:uid="{00000000-0005-0000-0000-0000FF450000}"/>
    <cellStyle name="Normal 2 14 5" xfId="17935" xr:uid="{00000000-0005-0000-0000-000000460000}"/>
    <cellStyle name="Normal 2 14 5 2" xfId="17936" xr:uid="{00000000-0005-0000-0000-000001460000}"/>
    <cellStyle name="Normal 2 14 5 3" xfId="17937" xr:uid="{00000000-0005-0000-0000-000002460000}"/>
    <cellStyle name="Normal 2 14 6" xfId="17938" xr:uid="{00000000-0005-0000-0000-000003460000}"/>
    <cellStyle name="Normal 2 14 6 2" xfId="17939" xr:uid="{00000000-0005-0000-0000-000004460000}"/>
    <cellStyle name="Normal 2 14 6 3" xfId="17940" xr:uid="{00000000-0005-0000-0000-000005460000}"/>
    <cellStyle name="Normal 2 14 7" xfId="17941" xr:uid="{00000000-0005-0000-0000-000006460000}"/>
    <cellStyle name="Normal 2 14 7 2" xfId="17942" xr:uid="{00000000-0005-0000-0000-000007460000}"/>
    <cellStyle name="Normal 2 14 7 3" xfId="17943" xr:uid="{00000000-0005-0000-0000-000008460000}"/>
    <cellStyle name="Normal 2 14 8" xfId="17944" xr:uid="{00000000-0005-0000-0000-000009460000}"/>
    <cellStyle name="Normal 2 14 8 2" xfId="17945" xr:uid="{00000000-0005-0000-0000-00000A460000}"/>
    <cellStyle name="Normal 2 14 8 3" xfId="17946" xr:uid="{00000000-0005-0000-0000-00000B460000}"/>
    <cellStyle name="Normal 2 14 9" xfId="17947" xr:uid="{00000000-0005-0000-0000-00000C460000}"/>
    <cellStyle name="Normal 2 14 9 2" xfId="17948" xr:uid="{00000000-0005-0000-0000-00000D460000}"/>
    <cellStyle name="Normal 2 14 9 3" xfId="17949" xr:uid="{00000000-0005-0000-0000-00000E460000}"/>
    <cellStyle name="Normal 2 15" xfId="17950" xr:uid="{00000000-0005-0000-0000-00000F460000}"/>
    <cellStyle name="Normal 2 15 10" xfId="17951" xr:uid="{00000000-0005-0000-0000-000010460000}"/>
    <cellStyle name="Normal 2 15 10 2" xfId="17952" xr:uid="{00000000-0005-0000-0000-000011460000}"/>
    <cellStyle name="Normal 2 15 10 3" xfId="17953" xr:uid="{00000000-0005-0000-0000-000012460000}"/>
    <cellStyle name="Normal 2 15 11" xfId="17954" xr:uid="{00000000-0005-0000-0000-000013460000}"/>
    <cellStyle name="Normal 2 15 11 2" xfId="17955" xr:uid="{00000000-0005-0000-0000-000014460000}"/>
    <cellStyle name="Normal 2 15 11 3" xfId="17956" xr:uid="{00000000-0005-0000-0000-000015460000}"/>
    <cellStyle name="Normal 2 15 12" xfId="17957" xr:uid="{00000000-0005-0000-0000-000016460000}"/>
    <cellStyle name="Normal 2 15 12 2" xfId="17958" xr:uid="{00000000-0005-0000-0000-000017460000}"/>
    <cellStyle name="Normal 2 15 12 3" xfId="17959" xr:uid="{00000000-0005-0000-0000-000018460000}"/>
    <cellStyle name="Normal 2 15 13" xfId="17960" xr:uid="{00000000-0005-0000-0000-000019460000}"/>
    <cellStyle name="Normal 2 15 13 2" xfId="17961" xr:uid="{00000000-0005-0000-0000-00001A460000}"/>
    <cellStyle name="Normal 2 15 13 3" xfId="17962" xr:uid="{00000000-0005-0000-0000-00001B460000}"/>
    <cellStyle name="Normal 2 15 14" xfId="17963" xr:uid="{00000000-0005-0000-0000-00001C460000}"/>
    <cellStyle name="Normal 2 15 14 2" xfId="17964" xr:uid="{00000000-0005-0000-0000-00001D460000}"/>
    <cellStyle name="Normal 2 15 14 3" xfId="17965" xr:uid="{00000000-0005-0000-0000-00001E460000}"/>
    <cellStyle name="Normal 2 15 15" xfId="17966" xr:uid="{00000000-0005-0000-0000-00001F460000}"/>
    <cellStyle name="Normal 2 15 15 2" xfId="17967" xr:uid="{00000000-0005-0000-0000-000020460000}"/>
    <cellStyle name="Normal 2 15 15 3" xfId="17968" xr:uid="{00000000-0005-0000-0000-000021460000}"/>
    <cellStyle name="Normal 2 15 16" xfId="17969" xr:uid="{00000000-0005-0000-0000-000022460000}"/>
    <cellStyle name="Normal 2 15 16 2" xfId="17970" xr:uid="{00000000-0005-0000-0000-000023460000}"/>
    <cellStyle name="Normal 2 15 16 3" xfId="17971" xr:uid="{00000000-0005-0000-0000-000024460000}"/>
    <cellStyle name="Normal 2 15 17" xfId="17972" xr:uid="{00000000-0005-0000-0000-000025460000}"/>
    <cellStyle name="Normal 2 15 17 2" xfId="17973" xr:uid="{00000000-0005-0000-0000-000026460000}"/>
    <cellStyle name="Normal 2 15 17 3" xfId="17974" xr:uid="{00000000-0005-0000-0000-000027460000}"/>
    <cellStyle name="Normal 2 15 18" xfId="17975" xr:uid="{00000000-0005-0000-0000-000028460000}"/>
    <cellStyle name="Normal 2 15 18 2" xfId="17976" xr:uid="{00000000-0005-0000-0000-000029460000}"/>
    <cellStyle name="Normal 2 15 18 3" xfId="17977" xr:uid="{00000000-0005-0000-0000-00002A460000}"/>
    <cellStyle name="Normal 2 15 19" xfId="17978" xr:uid="{00000000-0005-0000-0000-00002B460000}"/>
    <cellStyle name="Normal 2 15 19 2" xfId="17979" xr:uid="{00000000-0005-0000-0000-00002C460000}"/>
    <cellStyle name="Normal 2 15 19 3" xfId="17980" xr:uid="{00000000-0005-0000-0000-00002D460000}"/>
    <cellStyle name="Normal 2 15 2" xfId="17981" xr:uid="{00000000-0005-0000-0000-00002E460000}"/>
    <cellStyle name="Normal 2 15 2 2" xfId="17982" xr:uid="{00000000-0005-0000-0000-00002F460000}"/>
    <cellStyle name="Normal 2 15 2 3" xfId="17983" xr:uid="{00000000-0005-0000-0000-000030460000}"/>
    <cellStyle name="Normal 2 15 20" xfId="17984" xr:uid="{00000000-0005-0000-0000-000031460000}"/>
    <cellStyle name="Normal 2 15 20 2" xfId="17985" xr:uid="{00000000-0005-0000-0000-000032460000}"/>
    <cellStyle name="Normal 2 15 20 3" xfId="17986" xr:uid="{00000000-0005-0000-0000-000033460000}"/>
    <cellStyle name="Normal 2 15 21" xfId="17987" xr:uid="{00000000-0005-0000-0000-000034460000}"/>
    <cellStyle name="Normal 2 15 21 2" xfId="17988" xr:uid="{00000000-0005-0000-0000-000035460000}"/>
    <cellStyle name="Normal 2 15 21 3" xfId="17989" xr:uid="{00000000-0005-0000-0000-000036460000}"/>
    <cellStyle name="Normal 2 15 22" xfId="17990" xr:uid="{00000000-0005-0000-0000-000037460000}"/>
    <cellStyle name="Normal 2 15 22 2" xfId="17991" xr:uid="{00000000-0005-0000-0000-000038460000}"/>
    <cellStyle name="Normal 2 15 22 3" xfId="17992" xr:uid="{00000000-0005-0000-0000-000039460000}"/>
    <cellStyle name="Normal 2 15 23" xfId="17993" xr:uid="{00000000-0005-0000-0000-00003A460000}"/>
    <cellStyle name="Normal 2 15 23 2" xfId="17994" xr:uid="{00000000-0005-0000-0000-00003B460000}"/>
    <cellStyle name="Normal 2 15 23 3" xfId="17995" xr:uid="{00000000-0005-0000-0000-00003C460000}"/>
    <cellStyle name="Normal 2 15 24" xfId="17996" xr:uid="{00000000-0005-0000-0000-00003D460000}"/>
    <cellStyle name="Normal 2 15 25" xfId="17997" xr:uid="{00000000-0005-0000-0000-00003E460000}"/>
    <cellStyle name="Normal 2 15 3" xfId="17998" xr:uid="{00000000-0005-0000-0000-00003F460000}"/>
    <cellStyle name="Normal 2 15 3 2" xfId="17999" xr:uid="{00000000-0005-0000-0000-000040460000}"/>
    <cellStyle name="Normal 2 15 3 3" xfId="18000" xr:uid="{00000000-0005-0000-0000-000041460000}"/>
    <cellStyle name="Normal 2 15 4" xfId="18001" xr:uid="{00000000-0005-0000-0000-000042460000}"/>
    <cellStyle name="Normal 2 15 4 2" xfId="18002" xr:uid="{00000000-0005-0000-0000-000043460000}"/>
    <cellStyle name="Normal 2 15 4 3" xfId="18003" xr:uid="{00000000-0005-0000-0000-000044460000}"/>
    <cellStyle name="Normal 2 15 5" xfId="18004" xr:uid="{00000000-0005-0000-0000-000045460000}"/>
    <cellStyle name="Normal 2 15 5 2" xfId="18005" xr:uid="{00000000-0005-0000-0000-000046460000}"/>
    <cellStyle name="Normal 2 15 5 3" xfId="18006" xr:uid="{00000000-0005-0000-0000-000047460000}"/>
    <cellStyle name="Normal 2 15 6" xfId="18007" xr:uid="{00000000-0005-0000-0000-000048460000}"/>
    <cellStyle name="Normal 2 15 6 2" xfId="18008" xr:uid="{00000000-0005-0000-0000-000049460000}"/>
    <cellStyle name="Normal 2 15 6 3" xfId="18009" xr:uid="{00000000-0005-0000-0000-00004A460000}"/>
    <cellStyle name="Normal 2 15 7" xfId="18010" xr:uid="{00000000-0005-0000-0000-00004B460000}"/>
    <cellStyle name="Normal 2 15 7 2" xfId="18011" xr:uid="{00000000-0005-0000-0000-00004C460000}"/>
    <cellStyle name="Normal 2 15 7 3" xfId="18012" xr:uid="{00000000-0005-0000-0000-00004D460000}"/>
    <cellStyle name="Normal 2 15 8" xfId="18013" xr:uid="{00000000-0005-0000-0000-00004E460000}"/>
    <cellStyle name="Normal 2 15 8 2" xfId="18014" xr:uid="{00000000-0005-0000-0000-00004F460000}"/>
    <cellStyle name="Normal 2 15 8 3" xfId="18015" xr:uid="{00000000-0005-0000-0000-000050460000}"/>
    <cellStyle name="Normal 2 15 9" xfId="18016" xr:uid="{00000000-0005-0000-0000-000051460000}"/>
    <cellStyle name="Normal 2 15 9 2" xfId="18017" xr:uid="{00000000-0005-0000-0000-000052460000}"/>
    <cellStyle name="Normal 2 15 9 3" xfId="18018" xr:uid="{00000000-0005-0000-0000-000053460000}"/>
    <cellStyle name="Normal 2 16" xfId="18019" xr:uid="{00000000-0005-0000-0000-000054460000}"/>
    <cellStyle name="Normal 2 16 10" xfId="18020" xr:uid="{00000000-0005-0000-0000-000055460000}"/>
    <cellStyle name="Normal 2 16 10 2" xfId="18021" xr:uid="{00000000-0005-0000-0000-000056460000}"/>
    <cellStyle name="Normal 2 16 10 3" xfId="18022" xr:uid="{00000000-0005-0000-0000-000057460000}"/>
    <cellStyle name="Normal 2 16 11" xfId="18023" xr:uid="{00000000-0005-0000-0000-000058460000}"/>
    <cellStyle name="Normal 2 16 11 2" xfId="18024" xr:uid="{00000000-0005-0000-0000-000059460000}"/>
    <cellStyle name="Normal 2 16 11 3" xfId="18025" xr:uid="{00000000-0005-0000-0000-00005A460000}"/>
    <cellStyle name="Normal 2 16 12" xfId="18026" xr:uid="{00000000-0005-0000-0000-00005B460000}"/>
    <cellStyle name="Normal 2 16 12 2" xfId="18027" xr:uid="{00000000-0005-0000-0000-00005C460000}"/>
    <cellStyle name="Normal 2 16 12 3" xfId="18028" xr:uid="{00000000-0005-0000-0000-00005D460000}"/>
    <cellStyle name="Normal 2 16 13" xfId="18029" xr:uid="{00000000-0005-0000-0000-00005E460000}"/>
    <cellStyle name="Normal 2 16 13 2" xfId="18030" xr:uid="{00000000-0005-0000-0000-00005F460000}"/>
    <cellStyle name="Normal 2 16 13 3" xfId="18031" xr:uid="{00000000-0005-0000-0000-000060460000}"/>
    <cellStyle name="Normal 2 16 14" xfId="18032" xr:uid="{00000000-0005-0000-0000-000061460000}"/>
    <cellStyle name="Normal 2 16 14 2" xfId="18033" xr:uid="{00000000-0005-0000-0000-000062460000}"/>
    <cellStyle name="Normal 2 16 14 3" xfId="18034" xr:uid="{00000000-0005-0000-0000-000063460000}"/>
    <cellStyle name="Normal 2 16 15" xfId="18035" xr:uid="{00000000-0005-0000-0000-000064460000}"/>
    <cellStyle name="Normal 2 16 15 2" xfId="18036" xr:uid="{00000000-0005-0000-0000-000065460000}"/>
    <cellStyle name="Normal 2 16 15 3" xfId="18037" xr:uid="{00000000-0005-0000-0000-000066460000}"/>
    <cellStyle name="Normal 2 16 16" xfId="18038" xr:uid="{00000000-0005-0000-0000-000067460000}"/>
    <cellStyle name="Normal 2 16 16 2" xfId="18039" xr:uid="{00000000-0005-0000-0000-000068460000}"/>
    <cellStyle name="Normal 2 16 16 3" xfId="18040" xr:uid="{00000000-0005-0000-0000-000069460000}"/>
    <cellStyle name="Normal 2 16 17" xfId="18041" xr:uid="{00000000-0005-0000-0000-00006A460000}"/>
    <cellStyle name="Normal 2 16 17 2" xfId="18042" xr:uid="{00000000-0005-0000-0000-00006B460000}"/>
    <cellStyle name="Normal 2 16 17 3" xfId="18043" xr:uid="{00000000-0005-0000-0000-00006C460000}"/>
    <cellStyle name="Normal 2 16 18" xfId="18044" xr:uid="{00000000-0005-0000-0000-00006D460000}"/>
    <cellStyle name="Normal 2 16 18 2" xfId="18045" xr:uid="{00000000-0005-0000-0000-00006E460000}"/>
    <cellStyle name="Normal 2 16 18 3" xfId="18046" xr:uid="{00000000-0005-0000-0000-00006F460000}"/>
    <cellStyle name="Normal 2 16 19" xfId="18047" xr:uid="{00000000-0005-0000-0000-000070460000}"/>
    <cellStyle name="Normal 2 16 19 2" xfId="18048" xr:uid="{00000000-0005-0000-0000-000071460000}"/>
    <cellStyle name="Normal 2 16 19 3" xfId="18049" xr:uid="{00000000-0005-0000-0000-000072460000}"/>
    <cellStyle name="Normal 2 16 2" xfId="18050" xr:uid="{00000000-0005-0000-0000-000073460000}"/>
    <cellStyle name="Normal 2 16 2 2" xfId="18051" xr:uid="{00000000-0005-0000-0000-000074460000}"/>
    <cellStyle name="Normal 2 16 2 3" xfId="18052" xr:uid="{00000000-0005-0000-0000-000075460000}"/>
    <cellStyle name="Normal 2 16 20" xfId="18053" xr:uid="{00000000-0005-0000-0000-000076460000}"/>
    <cellStyle name="Normal 2 16 20 2" xfId="18054" xr:uid="{00000000-0005-0000-0000-000077460000}"/>
    <cellStyle name="Normal 2 16 20 3" xfId="18055" xr:uid="{00000000-0005-0000-0000-000078460000}"/>
    <cellStyle name="Normal 2 16 21" xfId="18056" xr:uid="{00000000-0005-0000-0000-000079460000}"/>
    <cellStyle name="Normal 2 16 21 2" xfId="18057" xr:uid="{00000000-0005-0000-0000-00007A460000}"/>
    <cellStyle name="Normal 2 16 21 3" xfId="18058" xr:uid="{00000000-0005-0000-0000-00007B460000}"/>
    <cellStyle name="Normal 2 16 22" xfId="18059" xr:uid="{00000000-0005-0000-0000-00007C460000}"/>
    <cellStyle name="Normal 2 16 22 2" xfId="18060" xr:uid="{00000000-0005-0000-0000-00007D460000}"/>
    <cellStyle name="Normal 2 16 22 3" xfId="18061" xr:uid="{00000000-0005-0000-0000-00007E460000}"/>
    <cellStyle name="Normal 2 16 23" xfId="18062" xr:uid="{00000000-0005-0000-0000-00007F460000}"/>
    <cellStyle name="Normal 2 16 23 2" xfId="18063" xr:uid="{00000000-0005-0000-0000-000080460000}"/>
    <cellStyle name="Normal 2 16 23 3" xfId="18064" xr:uid="{00000000-0005-0000-0000-000081460000}"/>
    <cellStyle name="Normal 2 16 24" xfId="18065" xr:uid="{00000000-0005-0000-0000-000082460000}"/>
    <cellStyle name="Normal 2 16 25" xfId="18066" xr:uid="{00000000-0005-0000-0000-000083460000}"/>
    <cellStyle name="Normal 2 16 3" xfId="18067" xr:uid="{00000000-0005-0000-0000-000084460000}"/>
    <cellStyle name="Normal 2 16 3 2" xfId="18068" xr:uid="{00000000-0005-0000-0000-000085460000}"/>
    <cellStyle name="Normal 2 16 3 3" xfId="18069" xr:uid="{00000000-0005-0000-0000-000086460000}"/>
    <cellStyle name="Normal 2 16 4" xfId="18070" xr:uid="{00000000-0005-0000-0000-000087460000}"/>
    <cellStyle name="Normal 2 16 4 2" xfId="18071" xr:uid="{00000000-0005-0000-0000-000088460000}"/>
    <cellStyle name="Normal 2 16 4 3" xfId="18072" xr:uid="{00000000-0005-0000-0000-000089460000}"/>
    <cellStyle name="Normal 2 16 5" xfId="18073" xr:uid="{00000000-0005-0000-0000-00008A460000}"/>
    <cellStyle name="Normal 2 16 5 2" xfId="18074" xr:uid="{00000000-0005-0000-0000-00008B460000}"/>
    <cellStyle name="Normal 2 16 5 3" xfId="18075" xr:uid="{00000000-0005-0000-0000-00008C460000}"/>
    <cellStyle name="Normal 2 16 6" xfId="18076" xr:uid="{00000000-0005-0000-0000-00008D460000}"/>
    <cellStyle name="Normal 2 16 6 2" xfId="18077" xr:uid="{00000000-0005-0000-0000-00008E460000}"/>
    <cellStyle name="Normal 2 16 6 3" xfId="18078" xr:uid="{00000000-0005-0000-0000-00008F460000}"/>
    <cellStyle name="Normal 2 16 7" xfId="18079" xr:uid="{00000000-0005-0000-0000-000090460000}"/>
    <cellStyle name="Normal 2 16 7 2" xfId="18080" xr:uid="{00000000-0005-0000-0000-000091460000}"/>
    <cellStyle name="Normal 2 16 7 3" xfId="18081" xr:uid="{00000000-0005-0000-0000-000092460000}"/>
    <cellStyle name="Normal 2 16 8" xfId="18082" xr:uid="{00000000-0005-0000-0000-000093460000}"/>
    <cellStyle name="Normal 2 16 8 2" xfId="18083" xr:uid="{00000000-0005-0000-0000-000094460000}"/>
    <cellStyle name="Normal 2 16 8 3" xfId="18084" xr:uid="{00000000-0005-0000-0000-000095460000}"/>
    <cellStyle name="Normal 2 16 9" xfId="18085" xr:uid="{00000000-0005-0000-0000-000096460000}"/>
    <cellStyle name="Normal 2 16 9 2" xfId="18086" xr:uid="{00000000-0005-0000-0000-000097460000}"/>
    <cellStyle name="Normal 2 16 9 3" xfId="18087" xr:uid="{00000000-0005-0000-0000-000098460000}"/>
    <cellStyle name="Normal 2 17" xfId="18088" xr:uid="{00000000-0005-0000-0000-000099460000}"/>
    <cellStyle name="Normal 2 17 10" xfId="18089" xr:uid="{00000000-0005-0000-0000-00009A460000}"/>
    <cellStyle name="Normal 2 17 10 2" xfId="18090" xr:uid="{00000000-0005-0000-0000-00009B460000}"/>
    <cellStyle name="Normal 2 17 10 3" xfId="18091" xr:uid="{00000000-0005-0000-0000-00009C460000}"/>
    <cellStyle name="Normal 2 17 11" xfId="18092" xr:uid="{00000000-0005-0000-0000-00009D460000}"/>
    <cellStyle name="Normal 2 17 11 2" xfId="18093" xr:uid="{00000000-0005-0000-0000-00009E460000}"/>
    <cellStyle name="Normal 2 17 11 3" xfId="18094" xr:uid="{00000000-0005-0000-0000-00009F460000}"/>
    <cellStyle name="Normal 2 17 12" xfId="18095" xr:uid="{00000000-0005-0000-0000-0000A0460000}"/>
    <cellStyle name="Normal 2 17 12 2" xfId="18096" xr:uid="{00000000-0005-0000-0000-0000A1460000}"/>
    <cellStyle name="Normal 2 17 12 3" xfId="18097" xr:uid="{00000000-0005-0000-0000-0000A2460000}"/>
    <cellStyle name="Normal 2 17 13" xfId="18098" xr:uid="{00000000-0005-0000-0000-0000A3460000}"/>
    <cellStyle name="Normal 2 17 13 2" xfId="18099" xr:uid="{00000000-0005-0000-0000-0000A4460000}"/>
    <cellStyle name="Normal 2 17 13 3" xfId="18100" xr:uid="{00000000-0005-0000-0000-0000A5460000}"/>
    <cellStyle name="Normal 2 17 14" xfId="18101" xr:uid="{00000000-0005-0000-0000-0000A6460000}"/>
    <cellStyle name="Normal 2 17 14 2" xfId="18102" xr:uid="{00000000-0005-0000-0000-0000A7460000}"/>
    <cellStyle name="Normal 2 17 14 3" xfId="18103" xr:uid="{00000000-0005-0000-0000-0000A8460000}"/>
    <cellStyle name="Normal 2 17 15" xfId="18104" xr:uid="{00000000-0005-0000-0000-0000A9460000}"/>
    <cellStyle name="Normal 2 17 15 2" xfId="18105" xr:uid="{00000000-0005-0000-0000-0000AA460000}"/>
    <cellStyle name="Normal 2 17 15 3" xfId="18106" xr:uid="{00000000-0005-0000-0000-0000AB460000}"/>
    <cellStyle name="Normal 2 17 16" xfId="18107" xr:uid="{00000000-0005-0000-0000-0000AC460000}"/>
    <cellStyle name="Normal 2 17 16 2" xfId="18108" xr:uid="{00000000-0005-0000-0000-0000AD460000}"/>
    <cellStyle name="Normal 2 17 16 3" xfId="18109" xr:uid="{00000000-0005-0000-0000-0000AE460000}"/>
    <cellStyle name="Normal 2 17 17" xfId="18110" xr:uid="{00000000-0005-0000-0000-0000AF460000}"/>
    <cellStyle name="Normal 2 17 17 2" xfId="18111" xr:uid="{00000000-0005-0000-0000-0000B0460000}"/>
    <cellStyle name="Normal 2 17 17 3" xfId="18112" xr:uid="{00000000-0005-0000-0000-0000B1460000}"/>
    <cellStyle name="Normal 2 17 18" xfId="18113" xr:uid="{00000000-0005-0000-0000-0000B2460000}"/>
    <cellStyle name="Normal 2 17 18 2" xfId="18114" xr:uid="{00000000-0005-0000-0000-0000B3460000}"/>
    <cellStyle name="Normal 2 17 18 3" xfId="18115" xr:uid="{00000000-0005-0000-0000-0000B4460000}"/>
    <cellStyle name="Normal 2 17 19" xfId="18116" xr:uid="{00000000-0005-0000-0000-0000B5460000}"/>
    <cellStyle name="Normal 2 17 19 2" xfId="18117" xr:uid="{00000000-0005-0000-0000-0000B6460000}"/>
    <cellStyle name="Normal 2 17 19 3" xfId="18118" xr:uid="{00000000-0005-0000-0000-0000B7460000}"/>
    <cellStyle name="Normal 2 17 2" xfId="18119" xr:uid="{00000000-0005-0000-0000-0000B8460000}"/>
    <cellStyle name="Normal 2 17 2 2" xfId="18120" xr:uid="{00000000-0005-0000-0000-0000B9460000}"/>
    <cellStyle name="Normal 2 17 2 3" xfId="18121" xr:uid="{00000000-0005-0000-0000-0000BA460000}"/>
    <cellStyle name="Normal 2 17 20" xfId="18122" xr:uid="{00000000-0005-0000-0000-0000BB460000}"/>
    <cellStyle name="Normal 2 17 20 2" xfId="18123" xr:uid="{00000000-0005-0000-0000-0000BC460000}"/>
    <cellStyle name="Normal 2 17 20 3" xfId="18124" xr:uid="{00000000-0005-0000-0000-0000BD460000}"/>
    <cellStyle name="Normal 2 17 21" xfId="18125" xr:uid="{00000000-0005-0000-0000-0000BE460000}"/>
    <cellStyle name="Normal 2 17 21 2" xfId="18126" xr:uid="{00000000-0005-0000-0000-0000BF460000}"/>
    <cellStyle name="Normal 2 17 21 3" xfId="18127" xr:uid="{00000000-0005-0000-0000-0000C0460000}"/>
    <cellStyle name="Normal 2 17 22" xfId="18128" xr:uid="{00000000-0005-0000-0000-0000C1460000}"/>
    <cellStyle name="Normal 2 17 22 2" xfId="18129" xr:uid="{00000000-0005-0000-0000-0000C2460000}"/>
    <cellStyle name="Normal 2 17 22 3" xfId="18130" xr:uid="{00000000-0005-0000-0000-0000C3460000}"/>
    <cellStyle name="Normal 2 17 23" xfId="18131" xr:uid="{00000000-0005-0000-0000-0000C4460000}"/>
    <cellStyle name="Normal 2 17 23 2" xfId="18132" xr:uid="{00000000-0005-0000-0000-0000C5460000}"/>
    <cellStyle name="Normal 2 17 23 3" xfId="18133" xr:uid="{00000000-0005-0000-0000-0000C6460000}"/>
    <cellStyle name="Normal 2 17 24" xfId="18134" xr:uid="{00000000-0005-0000-0000-0000C7460000}"/>
    <cellStyle name="Normal 2 17 25" xfId="18135" xr:uid="{00000000-0005-0000-0000-0000C8460000}"/>
    <cellStyle name="Normal 2 17 3" xfId="18136" xr:uid="{00000000-0005-0000-0000-0000C9460000}"/>
    <cellStyle name="Normal 2 17 3 2" xfId="18137" xr:uid="{00000000-0005-0000-0000-0000CA460000}"/>
    <cellStyle name="Normal 2 17 3 3" xfId="18138" xr:uid="{00000000-0005-0000-0000-0000CB460000}"/>
    <cellStyle name="Normal 2 17 4" xfId="18139" xr:uid="{00000000-0005-0000-0000-0000CC460000}"/>
    <cellStyle name="Normal 2 17 4 2" xfId="18140" xr:uid="{00000000-0005-0000-0000-0000CD460000}"/>
    <cellStyle name="Normal 2 17 4 3" xfId="18141" xr:uid="{00000000-0005-0000-0000-0000CE460000}"/>
    <cellStyle name="Normal 2 17 5" xfId="18142" xr:uid="{00000000-0005-0000-0000-0000CF460000}"/>
    <cellStyle name="Normal 2 17 5 2" xfId="18143" xr:uid="{00000000-0005-0000-0000-0000D0460000}"/>
    <cellStyle name="Normal 2 17 5 3" xfId="18144" xr:uid="{00000000-0005-0000-0000-0000D1460000}"/>
    <cellStyle name="Normal 2 17 6" xfId="18145" xr:uid="{00000000-0005-0000-0000-0000D2460000}"/>
    <cellStyle name="Normal 2 17 6 2" xfId="18146" xr:uid="{00000000-0005-0000-0000-0000D3460000}"/>
    <cellStyle name="Normal 2 17 6 3" xfId="18147" xr:uid="{00000000-0005-0000-0000-0000D4460000}"/>
    <cellStyle name="Normal 2 17 7" xfId="18148" xr:uid="{00000000-0005-0000-0000-0000D5460000}"/>
    <cellStyle name="Normal 2 17 7 2" xfId="18149" xr:uid="{00000000-0005-0000-0000-0000D6460000}"/>
    <cellStyle name="Normal 2 17 7 3" xfId="18150" xr:uid="{00000000-0005-0000-0000-0000D7460000}"/>
    <cellStyle name="Normal 2 17 8" xfId="18151" xr:uid="{00000000-0005-0000-0000-0000D8460000}"/>
    <cellStyle name="Normal 2 17 8 2" xfId="18152" xr:uid="{00000000-0005-0000-0000-0000D9460000}"/>
    <cellStyle name="Normal 2 17 8 3" xfId="18153" xr:uid="{00000000-0005-0000-0000-0000DA460000}"/>
    <cellStyle name="Normal 2 17 9" xfId="18154" xr:uid="{00000000-0005-0000-0000-0000DB460000}"/>
    <cellStyle name="Normal 2 17 9 2" xfId="18155" xr:uid="{00000000-0005-0000-0000-0000DC460000}"/>
    <cellStyle name="Normal 2 17 9 3" xfId="18156" xr:uid="{00000000-0005-0000-0000-0000DD460000}"/>
    <cellStyle name="Normal 2 18" xfId="18157" xr:uid="{00000000-0005-0000-0000-0000DE460000}"/>
    <cellStyle name="Normal 2 18 10" xfId="18158" xr:uid="{00000000-0005-0000-0000-0000DF460000}"/>
    <cellStyle name="Normal 2 18 10 2" xfId="18159" xr:uid="{00000000-0005-0000-0000-0000E0460000}"/>
    <cellStyle name="Normal 2 18 10 3" xfId="18160" xr:uid="{00000000-0005-0000-0000-0000E1460000}"/>
    <cellStyle name="Normal 2 18 11" xfId="18161" xr:uid="{00000000-0005-0000-0000-0000E2460000}"/>
    <cellStyle name="Normal 2 18 11 2" xfId="18162" xr:uid="{00000000-0005-0000-0000-0000E3460000}"/>
    <cellStyle name="Normal 2 18 11 3" xfId="18163" xr:uid="{00000000-0005-0000-0000-0000E4460000}"/>
    <cellStyle name="Normal 2 18 12" xfId="18164" xr:uid="{00000000-0005-0000-0000-0000E5460000}"/>
    <cellStyle name="Normal 2 18 12 2" xfId="18165" xr:uid="{00000000-0005-0000-0000-0000E6460000}"/>
    <cellStyle name="Normal 2 18 12 3" xfId="18166" xr:uid="{00000000-0005-0000-0000-0000E7460000}"/>
    <cellStyle name="Normal 2 18 13" xfId="18167" xr:uid="{00000000-0005-0000-0000-0000E8460000}"/>
    <cellStyle name="Normal 2 18 13 2" xfId="18168" xr:uid="{00000000-0005-0000-0000-0000E9460000}"/>
    <cellStyle name="Normal 2 18 13 3" xfId="18169" xr:uid="{00000000-0005-0000-0000-0000EA460000}"/>
    <cellStyle name="Normal 2 18 14" xfId="18170" xr:uid="{00000000-0005-0000-0000-0000EB460000}"/>
    <cellStyle name="Normal 2 18 14 2" xfId="18171" xr:uid="{00000000-0005-0000-0000-0000EC460000}"/>
    <cellStyle name="Normal 2 18 14 3" xfId="18172" xr:uid="{00000000-0005-0000-0000-0000ED460000}"/>
    <cellStyle name="Normal 2 18 15" xfId="18173" xr:uid="{00000000-0005-0000-0000-0000EE460000}"/>
    <cellStyle name="Normal 2 18 15 2" xfId="18174" xr:uid="{00000000-0005-0000-0000-0000EF460000}"/>
    <cellStyle name="Normal 2 18 15 3" xfId="18175" xr:uid="{00000000-0005-0000-0000-0000F0460000}"/>
    <cellStyle name="Normal 2 18 16" xfId="18176" xr:uid="{00000000-0005-0000-0000-0000F1460000}"/>
    <cellStyle name="Normal 2 18 16 2" xfId="18177" xr:uid="{00000000-0005-0000-0000-0000F2460000}"/>
    <cellStyle name="Normal 2 18 16 3" xfId="18178" xr:uid="{00000000-0005-0000-0000-0000F3460000}"/>
    <cellStyle name="Normal 2 18 17" xfId="18179" xr:uid="{00000000-0005-0000-0000-0000F4460000}"/>
    <cellStyle name="Normal 2 18 17 2" xfId="18180" xr:uid="{00000000-0005-0000-0000-0000F5460000}"/>
    <cellStyle name="Normal 2 18 17 3" xfId="18181" xr:uid="{00000000-0005-0000-0000-0000F6460000}"/>
    <cellStyle name="Normal 2 18 18" xfId="18182" xr:uid="{00000000-0005-0000-0000-0000F7460000}"/>
    <cellStyle name="Normal 2 18 18 2" xfId="18183" xr:uid="{00000000-0005-0000-0000-0000F8460000}"/>
    <cellStyle name="Normal 2 18 18 3" xfId="18184" xr:uid="{00000000-0005-0000-0000-0000F9460000}"/>
    <cellStyle name="Normal 2 18 19" xfId="18185" xr:uid="{00000000-0005-0000-0000-0000FA460000}"/>
    <cellStyle name="Normal 2 18 19 2" xfId="18186" xr:uid="{00000000-0005-0000-0000-0000FB460000}"/>
    <cellStyle name="Normal 2 18 19 3" xfId="18187" xr:uid="{00000000-0005-0000-0000-0000FC460000}"/>
    <cellStyle name="Normal 2 18 2" xfId="18188" xr:uid="{00000000-0005-0000-0000-0000FD460000}"/>
    <cellStyle name="Normal 2 18 2 2" xfId="18189" xr:uid="{00000000-0005-0000-0000-0000FE460000}"/>
    <cellStyle name="Normal 2 18 2 3" xfId="18190" xr:uid="{00000000-0005-0000-0000-0000FF460000}"/>
    <cellStyle name="Normal 2 18 20" xfId="18191" xr:uid="{00000000-0005-0000-0000-000000470000}"/>
    <cellStyle name="Normal 2 18 20 2" xfId="18192" xr:uid="{00000000-0005-0000-0000-000001470000}"/>
    <cellStyle name="Normal 2 18 20 3" xfId="18193" xr:uid="{00000000-0005-0000-0000-000002470000}"/>
    <cellStyle name="Normal 2 18 21" xfId="18194" xr:uid="{00000000-0005-0000-0000-000003470000}"/>
    <cellStyle name="Normal 2 18 21 2" xfId="18195" xr:uid="{00000000-0005-0000-0000-000004470000}"/>
    <cellStyle name="Normal 2 18 21 3" xfId="18196" xr:uid="{00000000-0005-0000-0000-000005470000}"/>
    <cellStyle name="Normal 2 18 22" xfId="18197" xr:uid="{00000000-0005-0000-0000-000006470000}"/>
    <cellStyle name="Normal 2 18 22 2" xfId="18198" xr:uid="{00000000-0005-0000-0000-000007470000}"/>
    <cellStyle name="Normal 2 18 22 3" xfId="18199" xr:uid="{00000000-0005-0000-0000-000008470000}"/>
    <cellStyle name="Normal 2 18 23" xfId="18200" xr:uid="{00000000-0005-0000-0000-000009470000}"/>
    <cellStyle name="Normal 2 18 23 2" xfId="18201" xr:uid="{00000000-0005-0000-0000-00000A470000}"/>
    <cellStyle name="Normal 2 18 23 3" xfId="18202" xr:uid="{00000000-0005-0000-0000-00000B470000}"/>
    <cellStyle name="Normal 2 18 24" xfId="18203" xr:uid="{00000000-0005-0000-0000-00000C470000}"/>
    <cellStyle name="Normal 2 18 24 2" xfId="18204" xr:uid="{00000000-0005-0000-0000-00000D470000}"/>
    <cellStyle name="Normal 2 18 24 3" xfId="18205" xr:uid="{00000000-0005-0000-0000-00000E470000}"/>
    <cellStyle name="Normal 2 18 25" xfId="18206" xr:uid="{00000000-0005-0000-0000-00000F470000}"/>
    <cellStyle name="Normal 2 18 25 2" xfId="18207" xr:uid="{00000000-0005-0000-0000-000010470000}"/>
    <cellStyle name="Normal 2 18 26" xfId="18208" xr:uid="{00000000-0005-0000-0000-000011470000}"/>
    <cellStyle name="Normal 2 18 27" xfId="18209" xr:uid="{00000000-0005-0000-0000-000012470000}"/>
    <cellStyle name="Normal 2 18 28" xfId="18210" xr:uid="{00000000-0005-0000-0000-000013470000}"/>
    <cellStyle name="Normal 2 18 3" xfId="18211" xr:uid="{00000000-0005-0000-0000-000014470000}"/>
    <cellStyle name="Normal 2 18 3 2" xfId="18212" xr:uid="{00000000-0005-0000-0000-000015470000}"/>
    <cellStyle name="Normal 2 18 3 2 2" xfId="18213" xr:uid="{00000000-0005-0000-0000-000016470000}"/>
    <cellStyle name="Normal 2 18 3 2 3" xfId="18214" xr:uid="{00000000-0005-0000-0000-000017470000}"/>
    <cellStyle name="Normal 2 18 3 3" xfId="18215" xr:uid="{00000000-0005-0000-0000-000018470000}"/>
    <cellStyle name="Normal 2 18 3 4" xfId="18216" xr:uid="{00000000-0005-0000-0000-000019470000}"/>
    <cellStyle name="Normal 2 18 3 5" xfId="18217" xr:uid="{00000000-0005-0000-0000-00001A470000}"/>
    <cellStyle name="Normal 2 18 4" xfId="18218" xr:uid="{00000000-0005-0000-0000-00001B470000}"/>
    <cellStyle name="Normal 2 18 4 2" xfId="18219" xr:uid="{00000000-0005-0000-0000-00001C470000}"/>
    <cellStyle name="Normal 2 18 4 3" xfId="18220" xr:uid="{00000000-0005-0000-0000-00001D470000}"/>
    <cellStyle name="Normal 2 18 5" xfId="18221" xr:uid="{00000000-0005-0000-0000-00001E470000}"/>
    <cellStyle name="Normal 2 18 5 2" xfId="18222" xr:uid="{00000000-0005-0000-0000-00001F470000}"/>
    <cellStyle name="Normal 2 18 5 3" xfId="18223" xr:uid="{00000000-0005-0000-0000-000020470000}"/>
    <cellStyle name="Normal 2 18 6" xfId="18224" xr:uid="{00000000-0005-0000-0000-000021470000}"/>
    <cellStyle name="Normal 2 18 6 2" xfId="18225" xr:uid="{00000000-0005-0000-0000-000022470000}"/>
    <cellStyle name="Normal 2 18 6 3" xfId="18226" xr:uid="{00000000-0005-0000-0000-000023470000}"/>
    <cellStyle name="Normal 2 18 7" xfId="18227" xr:uid="{00000000-0005-0000-0000-000024470000}"/>
    <cellStyle name="Normal 2 18 7 2" xfId="18228" xr:uid="{00000000-0005-0000-0000-000025470000}"/>
    <cellStyle name="Normal 2 18 7 3" xfId="18229" xr:uid="{00000000-0005-0000-0000-000026470000}"/>
    <cellStyle name="Normal 2 18 8" xfId="18230" xr:uid="{00000000-0005-0000-0000-000027470000}"/>
    <cellStyle name="Normal 2 18 8 2" xfId="18231" xr:uid="{00000000-0005-0000-0000-000028470000}"/>
    <cellStyle name="Normal 2 18 8 3" xfId="18232" xr:uid="{00000000-0005-0000-0000-000029470000}"/>
    <cellStyle name="Normal 2 18 9" xfId="18233" xr:uid="{00000000-0005-0000-0000-00002A470000}"/>
    <cellStyle name="Normal 2 18 9 2" xfId="18234" xr:uid="{00000000-0005-0000-0000-00002B470000}"/>
    <cellStyle name="Normal 2 18 9 3" xfId="18235" xr:uid="{00000000-0005-0000-0000-00002C470000}"/>
    <cellStyle name="Normal 2 19" xfId="18236" xr:uid="{00000000-0005-0000-0000-00002D470000}"/>
    <cellStyle name="Normal 2 19 10" xfId="18237" xr:uid="{00000000-0005-0000-0000-00002E470000}"/>
    <cellStyle name="Normal 2 19 10 2" xfId="18238" xr:uid="{00000000-0005-0000-0000-00002F470000}"/>
    <cellStyle name="Normal 2 19 10 3" xfId="18239" xr:uid="{00000000-0005-0000-0000-000030470000}"/>
    <cellStyle name="Normal 2 19 11" xfId="18240" xr:uid="{00000000-0005-0000-0000-000031470000}"/>
    <cellStyle name="Normal 2 19 11 2" xfId="18241" xr:uid="{00000000-0005-0000-0000-000032470000}"/>
    <cellStyle name="Normal 2 19 11 3" xfId="18242" xr:uid="{00000000-0005-0000-0000-000033470000}"/>
    <cellStyle name="Normal 2 19 12" xfId="18243" xr:uid="{00000000-0005-0000-0000-000034470000}"/>
    <cellStyle name="Normal 2 19 12 2" xfId="18244" xr:uid="{00000000-0005-0000-0000-000035470000}"/>
    <cellStyle name="Normal 2 19 12 3" xfId="18245" xr:uid="{00000000-0005-0000-0000-000036470000}"/>
    <cellStyle name="Normal 2 19 13" xfId="18246" xr:uid="{00000000-0005-0000-0000-000037470000}"/>
    <cellStyle name="Normal 2 19 13 2" xfId="18247" xr:uid="{00000000-0005-0000-0000-000038470000}"/>
    <cellStyle name="Normal 2 19 13 3" xfId="18248" xr:uid="{00000000-0005-0000-0000-000039470000}"/>
    <cellStyle name="Normal 2 19 14" xfId="18249" xr:uid="{00000000-0005-0000-0000-00003A470000}"/>
    <cellStyle name="Normal 2 19 14 2" xfId="18250" xr:uid="{00000000-0005-0000-0000-00003B470000}"/>
    <cellStyle name="Normal 2 19 14 3" xfId="18251" xr:uid="{00000000-0005-0000-0000-00003C470000}"/>
    <cellStyle name="Normal 2 19 15" xfId="18252" xr:uid="{00000000-0005-0000-0000-00003D470000}"/>
    <cellStyle name="Normal 2 19 15 2" xfId="18253" xr:uid="{00000000-0005-0000-0000-00003E470000}"/>
    <cellStyle name="Normal 2 19 15 3" xfId="18254" xr:uid="{00000000-0005-0000-0000-00003F470000}"/>
    <cellStyle name="Normal 2 19 16" xfId="18255" xr:uid="{00000000-0005-0000-0000-000040470000}"/>
    <cellStyle name="Normal 2 19 16 2" xfId="18256" xr:uid="{00000000-0005-0000-0000-000041470000}"/>
    <cellStyle name="Normal 2 19 16 3" xfId="18257" xr:uid="{00000000-0005-0000-0000-000042470000}"/>
    <cellStyle name="Normal 2 19 17" xfId="18258" xr:uid="{00000000-0005-0000-0000-000043470000}"/>
    <cellStyle name="Normal 2 19 17 2" xfId="18259" xr:uid="{00000000-0005-0000-0000-000044470000}"/>
    <cellStyle name="Normal 2 19 17 3" xfId="18260" xr:uid="{00000000-0005-0000-0000-000045470000}"/>
    <cellStyle name="Normal 2 19 18" xfId="18261" xr:uid="{00000000-0005-0000-0000-000046470000}"/>
    <cellStyle name="Normal 2 19 18 2" xfId="18262" xr:uid="{00000000-0005-0000-0000-000047470000}"/>
    <cellStyle name="Normal 2 19 18 3" xfId="18263" xr:uid="{00000000-0005-0000-0000-000048470000}"/>
    <cellStyle name="Normal 2 19 19" xfId="18264" xr:uid="{00000000-0005-0000-0000-000049470000}"/>
    <cellStyle name="Normal 2 19 19 2" xfId="18265" xr:uid="{00000000-0005-0000-0000-00004A470000}"/>
    <cellStyle name="Normal 2 19 19 3" xfId="18266" xr:uid="{00000000-0005-0000-0000-00004B470000}"/>
    <cellStyle name="Normal 2 19 2" xfId="18267" xr:uid="{00000000-0005-0000-0000-00004C470000}"/>
    <cellStyle name="Normal 2 19 2 2" xfId="18268" xr:uid="{00000000-0005-0000-0000-00004D470000}"/>
    <cellStyle name="Normal 2 19 2 3" xfId="18269" xr:uid="{00000000-0005-0000-0000-00004E470000}"/>
    <cellStyle name="Normal 2 19 20" xfId="18270" xr:uid="{00000000-0005-0000-0000-00004F470000}"/>
    <cellStyle name="Normal 2 19 20 2" xfId="18271" xr:uid="{00000000-0005-0000-0000-000050470000}"/>
    <cellStyle name="Normal 2 19 20 3" xfId="18272" xr:uid="{00000000-0005-0000-0000-000051470000}"/>
    <cellStyle name="Normal 2 19 21" xfId="18273" xr:uid="{00000000-0005-0000-0000-000052470000}"/>
    <cellStyle name="Normal 2 19 21 2" xfId="18274" xr:uid="{00000000-0005-0000-0000-000053470000}"/>
    <cellStyle name="Normal 2 19 21 3" xfId="18275" xr:uid="{00000000-0005-0000-0000-000054470000}"/>
    <cellStyle name="Normal 2 19 22" xfId="18276" xr:uid="{00000000-0005-0000-0000-000055470000}"/>
    <cellStyle name="Normal 2 19 22 2" xfId="18277" xr:uid="{00000000-0005-0000-0000-000056470000}"/>
    <cellStyle name="Normal 2 19 22 3" xfId="18278" xr:uid="{00000000-0005-0000-0000-000057470000}"/>
    <cellStyle name="Normal 2 19 23" xfId="18279" xr:uid="{00000000-0005-0000-0000-000058470000}"/>
    <cellStyle name="Normal 2 19 23 2" xfId="18280" xr:uid="{00000000-0005-0000-0000-000059470000}"/>
    <cellStyle name="Normal 2 19 23 3" xfId="18281" xr:uid="{00000000-0005-0000-0000-00005A470000}"/>
    <cellStyle name="Normal 2 19 24" xfId="18282" xr:uid="{00000000-0005-0000-0000-00005B470000}"/>
    <cellStyle name="Normal 2 19 24 2" xfId="18283" xr:uid="{00000000-0005-0000-0000-00005C470000}"/>
    <cellStyle name="Normal 2 19 24 3" xfId="18284" xr:uid="{00000000-0005-0000-0000-00005D470000}"/>
    <cellStyle name="Normal 2 19 25" xfId="18285" xr:uid="{00000000-0005-0000-0000-00005E470000}"/>
    <cellStyle name="Normal 2 19 25 2" xfId="18286" xr:uid="{00000000-0005-0000-0000-00005F470000}"/>
    <cellStyle name="Normal 2 19 25 3" xfId="18287" xr:uid="{00000000-0005-0000-0000-000060470000}"/>
    <cellStyle name="Normal 2 19 26" xfId="18288" xr:uid="{00000000-0005-0000-0000-000061470000}"/>
    <cellStyle name="Normal 2 19 26 2" xfId="18289" xr:uid="{00000000-0005-0000-0000-000062470000}"/>
    <cellStyle name="Normal 2 19 27" xfId="18290" xr:uid="{00000000-0005-0000-0000-000063470000}"/>
    <cellStyle name="Normal 2 19 28" xfId="18291" xr:uid="{00000000-0005-0000-0000-000064470000}"/>
    <cellStyle name="Normal 2 19 29" xfId="18292" xr:uid="{00000000-0005-0000-0000-000065470000}"/>
    <cellStyle name="Normal 2 19 3" xfId="18293" xr:uid="{00000000-0005-0000-0000-000066470000}"/>
    <cellStyle name="Normal 2 19 3 2" xfId="18294" xr:uid="{00000000-0005-0000-0000-000067470000}"/>
    <cellStyle name="Normal 2 19 3 2 2" xfId="18295" xr:uid="{00000000-0005-0000-0000-000068470000}"/>
    <cellStyle name="Normal 2 19 3 3" xfId="18296" xr:uid="{00000000-0005-0000-0000-000069470000}"/>
    <cellStyle name="Normal 2 19 3 4" xfId="18297" xr:uid="{00000000-0005-0000-0000-00006A470000}"/>
    <cellStyle name="Normal 2 19 3 5" xfId="18298" xr:uid="{00000000-0005-0000-0000-00006B470000}"/>
    <cellStyle name="Normal 2 19 4" xfId="18299" xr:uid="{00000000-0005-0000-0000-00006C470000}"/>
    <cellStyle name="Normal 2 19 4 2" xfId="18300" xr:uid="{00000000-0005-0000-0000-00006D470000}"/>
    <cellStyle name="Normal 2 19 4 3" xfId="18301" xr:uid="{00000000-0005-0000-0000-00006E470000}"/>
    <cellStyle name="Normal 2 19 5" xfId="18302" xr:uid="{00000000-0005-0000-0000-00006F470000}"/>
    <cellStyle name="Normal 2 19 5 2" xfId="18303" xr:uid="{00000000-0005-0000-0000-000070470000}"/>
    <cellStyle name="Normal 2 19 5 3" xfId="18304" xr:uid="{00000000-0005-0000-0000-000071470000}"/>
    <cellStyle name="Normal 2 19 6" xfId="18305" xr:uid="{00000000-0005-0000-0000-000072470000}"/>
    <cellStyle name="Normal 2 19 6 2" xfId="18306" xr:uid="{00000000-0005-0000-0000-000073470000}"/>
    <cellStyle name="Normal 2 19 6 3" xfId="18307" xr:uid="{00000000-0005-0000-0000-000074470000}"/>
    <cellStyle name="Normal 2 19 7" xfId="18308" xr:uid="{00000000-0005-0000-0000-000075470000}"/>
    <cellStyle name="Normal 2 19 7 2" xfId="18309" xr:uid="{00000000-0005-0000-0000-000076470000}"/>
    <cellStyle name="Normal 2 19 7 3" xfId="18310" xr:uid="{00000000-0005-0000-0000-000077470000}"/>
    <cellStyle name="Normal 2 19 8" xfId="18311" xr:uid="{00000000-0005-0000-0000-000078470000}"/>
    <cellStyle name="Normal 2 19 8 2" xfId="18312" xr:uid="{00000000-0005-0000-0000-000079470000}"/>
    <cellStyle name="Normal 2 19 8 3" xfId="18313" xr:uid="{00000000-0005-0000-0000-00007A470000}"/>
    <cellStyle name="Normal 2 19 9" xfId="18314" xr:uid="{00000000-0005-0000-0000-00007B470000}"/>
    <cellStyle name="Normal 2 19 9 2" xfId="18315" xr:uid="{00000000-0005-0000-0000-00007C470000}"/>
    <cellStyle name="Normal 2 19 9 3" xfId="18316" xr:uid="{00000000-0005-0000-0000-00007D470000}"/>
    <cellStyle name="Normal 2 2" xfId="18317" xr:uid="{00000000-0005-0000-0000-00007E470000}"/>
    <cellStyle name="Normal 2 2 10" xfId="18318" xr:uid="{00000000-0005-0000-0000-00007F470000}"/>
    <cellStyle name="Normal 2 2 11" xfId="18319" xr:uid="{00000000-0005-0000-0000-000080470000}"/>
    <cellStyle name="Normal 2 2 2" xfId="18320" xr:uid="{00000000-0005-0000-0000-000081470000}"/>
    <cellStyle name="Normal 2 2 2 10" xfId="18321" xr:uid="{00000000-0005-0000-0000-000082470000}"/>
    <cellStyle name="Normal 2 2 2 10 2" xfId="18322" xr:uid="{00000000-0005-0000-0000-000083470000}"/>
    <cellStyle name="Normal 2 2 2 10 3" xfId="18323" xr:uid="{00000000-0005-0000-0000-000084470000}"/>
    <cellStyle name="Normal 2 2 2 11" xfId="18324" xr:uid="{00000000-0005-0000-0000-000085470000}"/>
    <cellStyle name="Normal 2 2 2 12" xfId="18325" xr:uid="{00000000-0005-0000-0000-000086470000}"/>
    <cellStyle name="Normal 2 2 2 2" xfId="18326" xr:uid="{00000000-0005-0000-0000-000087470000}"/>
    <cellStyle name="Normal 2 2 2 2 2" xfId="18327" xr:uid="{00000000-0005-0000-0000-000088470000}"/>
    <cellStyle name="Normal 2 2 2 2 2 2" xfId="18328" xr:uid="{00000000-0005-0000-0000-000089470000}"/>
    <cellStyle name="Normal 2 2 2 2 2 3" xfId="18329" xr:uid="{00000000-0005-0000-0000-00008A470000}"/>
    <cellStyle name="Normal 2 2 2 2 3" xfId="18330" xr:uid="{00000000-0005-0000-0000-00008B470000}"/>
    <cellStyle name="Normal 2 2 2 2 4" xfId="18331" xr:uid="{00000000-0005-0000-0000-00008C470000}"/>
    <cellStyle name="Normal 2 2 2 3" xfId="18332" xr:uid="{00000000-0005-0000-0000-00008D470000}"/>
    <cellStyle name="Normal 2 2 2 3 2" xfId="18333" xr:uid="{00000000-0005-0000-0000-00008E470000}"/>
    <cellStyle name="Normal 2 2 2 3 3" xfId="18334" xr:uid="{00000000-0005-0000-0000-00008F470000}"/>
    <cellStyle name="Normal 2 2 2 4" xfId="18335" xr:uid="{00000000-0005-0000-0000-000090470000}"/>
    <cellStyle name="Normal 2 2 2 4 2" xfId="18336" xr:uid="{00000000-0005-0000-0000-000091470000}"/>
    <cellStyle name="Normal 2 2 2 4 3" xfId="18337" xr:uid="{00000000-0005-0000-0000-000092470000}"/>
    <cellStyle name="Normal 2 2 2 5" xfId="18338" xr:uid="{00000000-0005-0000-0000-000093470000}"/>
    <cellStyle name="Normal 2 2 2 5 2" xfId="18339" xr:uid="{00000000-0005-0000-0000-000094470000}"/>
    <cellStyle name="Normal 2 2 2 5 3" xfId="18340" xr:uid="{00000000-0005-0000-0000-000095470000}"/>
    <cellStyle name="Normal 2 2 2 6" xfId="18341" xr:uid="{00000000-0005-0000-0000-000096470000}"/>
    <cellStyle name="Normal 2 2 2 6 2" xfId="18342" xr:uid="{00000000-0005-0000-0000-000097470000}"/>
    <cellStyle name="Normal 2 2 2 6 3" xfId="18343" xr:uid="{00000000-0005-0000-0000-000098470000}"/>
    <cellStyle name="Normal 2 2 2 7" xfId="18344" xr:uid="{00000000-0005-0000-0000-000099470000}"/>
    <cellStyle name="Normal 2 2 2 7 2" xfId="18345" xr:uid="{00000000-0005-0000-0000-00009A470000}"/>
    <cellStyle name="Normal 2 2 2 7 3" xfId="18346" xr:uid="{00000000-0005-0000-0000-00009B470000}"/>
    <cellStyle name="Normal 2 2 2 8" xfId="18347" xr:uid="{00000000-0005-0000-0000-00009C470000}"/>
    <cellStyle name="Normal 2 2 2 8 2" xfId="18348" xr:uid="{00000000-0005-0000-0000-00009D470000}"/>
    <cellStyle name="Normal 2 2 2 8 3" xfId="18349" xr:uid="{00000000-0005-0000-0000-00009E470000}"/>
    <cellStyle name="Normal 2 2 2 9" xfId="18350" xr:uid="{00000000-0005-0000-0000-00009F470000}"/>
    <cellStyle name="Normal 2 2 2 9 2" xfId="18351" xr:uid="{00000000-0005-0000-0000-0000A0470000}"/>
    <cellStyle name="Normal 2 2 2 9 3" xfId="18352" xr:uid="{00000000-0005-0000-0000-0000A1470000}"/>
    <cellStyle name="Normal 2 2 3" xfId="18353" xr:uid="{00000000-0005-0000-0000-0000A2470000}"/>
    <cellStyle name="Normal 2 2 3 2" xfId="18354" xr:uid="{00000000-0005-0000-0000-0000A3470000}"/>
    <cellStyle name="Normal 2 2 3 2 2" xfId="18355" xr:uid="{00000000-0005-0000-0000-0000A4470000}"/>
    <cellStyle name="Normal 2 2 3 2 3" xfId="18356" xr:uid="{00000000-0005-0000-0000-0000A5470000}"/>
    <cellStyle name="Normal 2 2 3 3" xfId="18357" xr:uid="{00000000-0005-0000-0000-0000A6470000}"/>
    <cellStyle name="Normal 2 2 3 4" xfId="18358" xr:uid="{00000000-0005-0000-0000-0000A7470000}"/>
    <cellStyle name="Normal 2 2 4" xfId="18359" xr:uid="{00000000-0005-0000-0000-0000A8470000}"/>
    <cellStyle name="Normal 2 2 4 2" xfId="18360" xr:uid="{00000000-0005-0000-0000-0000A9470000}"/>
    <cellStyle name="Normal 2 2 4 2 2" xfId="18361" xr:uid="{00000000-0005-0000-0000-0000AA470000}"/>
    <cellStyle name="Normal 2 2 4 2 3" xfId="18362" xr:uid="{00000000-0005-0000-0000-0000AB470000}"/>
    <cellStyle name="Normal 2 2 4 3" xfId="18363" xr:uid="{00000000-0005-0000-0000-0000AC470000}"/>
    <cellStyle name="Normal 2 2 4 4" xfId="18364" xr:uid="{00000000-0005-0000-0000-0000AD470000}"/>
    <cellStyle name="Normal 2 2 4 5" xfId="18365" xr:uid="{00000000-0005-0000-0000-0000AE470000}"/>
    <cellStyle name="Normal 2 2 4 6" xfId="18366" xr:uid="{00000000-0005-0000-0000-0000AF470000}"/>
    <cellStyle name="Normal 2 2 5" xfId="18367" xr:uid="{00000000-0005-0000-0000-0000B0470000}"/>
    <cellStyle name="Normal 2 2 5 2" xfId="18368" xr:uid="{00000000-0005-0000-0000-0000B1470000}"/>
    <cellStyle name="Normal 2 2 5 2 2" xfId="18369" xr:uid="{00000000-0005-0000-0000-0000B2470000}"/>
    <cellStyle name="Normal 2 2 5 2 3" xfId="18370" xr:uid="{00000000-0005-0000-0000-0000B3470000}"/>
    <cellStyle name="Normal 2 2 5 3" xfId="18371" xr:uid="{00000000-0005-0000-0000-0000B4470000}"/>
    <cellStyle name="Normal 2 2 5 4" xfId="18372" xr:uid="{00000000-0005-0000-0000-0000B5470000}"/>
    <cellStyle name="Normal 2 2 5 5" xfId="18373" xr:uid="{00000000-0005-0000-0000-0000B6470000}"/>
    <cellStyle name="Normal 2 2 5 6" xfId="18374" xr:uid="{00000000-0005-0000-0000-0000B7470000}"/>
    <cellStyle name="Normal 2 2 6" xfId="18375" xr:uid="{00000000-0005-0000-0000-0000B8470000}"/>
    <cellStyle name="Normal 2 2 6 2" xfId="18376" xr:uid="{00000000-0005-0000-0000-0000B9470000}"/>
    <cellStyle name="Normal 2 2 6 2 2" xfId="18377" xr:uid="{00000000-0005-0000-0000-0000BA470000}"/>
    <cellStyle name="Normal 2 2 6 3" xfId="18378" xr:uid="{00000000-0005-0000-0000-0000BB470000}"/>
    <cellStyle name="Normal 2 2 6 4" xfId="18379" xr:uid="{00000000-0005-0000-0000-0000BC470000}"/>
    <cellStyle name="Normal 2 2 7" xfId="18380" xr:uid="{00000000-0005-0000-0000-0000BD470000}"/>
    <cellStyle name="Normal 2 2 7 2" xfId="18381" xr:uid="{00000000-0005-0000-0000-0000BE470000}"/>
    <cellStyle name="Normal 2 2 7 3" xfId="18382" xr:uid="{00000000-0005-0000-0000-0000BF470000}"/>
    <cellStyle name="Normal 2 2 8" xfId="18383" xr:uid="{00000000-0005-0000-0000-0000C0470000}"/>
    <cellStyle name="Normal 2 2 8 2" xfId="18384" xr:uid="{00000000-0005-0000-0000-0000C1470000}"/>
    <cellStyle name="Normal 2 2 8 3" xfId="18385" xr:uid="{00000000-0005-0000-0000-0000C2470000}"/>
    <cellStyle name="Normal 2 2 9" xfId="18386" xr:uid="{00000000-0005-0000-0000-0000C3470000}"/>
    <cellStyle name="Normal 2 20" xfId="18387" xr:uid="{00000000-0005-0000-0000-0000C4470000}"/>
    <cellStyle name="Normal 2 20 10" xfId="18388" xr:uid="{00000000-0005-0000-0000-0000C5470000}"/>
    <cellStyle name="Normal 2 20 10 2" xfId="18389" xr:uid="{00000000-0005-0000-0000-0000C6470000}"/>
    <cellStyle name="Normal 2 20 10 3" xfId="18390" xr:uid="{00000000-0005-0000-0000-0000C7470000}"/>
    <cellStyle name="Normal 2 20 11" xfId="18391" xr:uid="{00000000-0005-0000-0000-0000C8470000}"/>
    <cellStyle name="Normal 2 20 11 2" xfId="18392" xr:uid="{00000000-0005-0000-0000-0000C9470000}"/>
    <cellStyle name="Normal 2 20 11 3" xfId="18393" xr:uid="{00000000-0005-0000-0000-0000CA470000}"/>
    <cellStyle name="Normal 2 20 12" xfId="18394" xr:uid="{00000000-0005-0000-0000-0000CB470000}"/>
    <cellStyle name="Normal 2 20 12 2" xfId="18395" xr:uid="{00000000-0005-0000-0000-0000CC470000}"/>
    <cellStyle name="Normal 2 20 12 3" xfId="18396" xr:uid="{00000000-0005-0000-0000-0000CD470000}"/>
    <cellStyle name="Normal 2 20 13" xfId="18397" xr:uid="{00000000-0005-0000-0000-0000CE470000}"/>
    <cellStyle name="Normal 2 20 13 2" xfId="18398" xr:uid="{00000000-0005-0000-0000-0000CF470000}"/>
    <cellStyle name="Normal 2 20 13 3" xfId="18399" xr:uid="{00000000-0005-0000-0000-0000D0470000}"/>
    <cellStyle name="Normal 2 20 14" xfId="18400" xr:uid="{00000000-0005-0000-0000-0000D1470000}"/>
    <cellStyle name="Normal 2 20 14 2" xfId="18401" xr:uid="{00000000-0005-0000-0000-0000D2470000}"/>
    <cellStyle name="Normal 2 20 14 3" xfId="18402" xr:uid="{00000000-0005-0000-0000-0000D3470000}"/>
    <cellStyle name="Normal 2 20 15" xfId="18403" xr:uid="{00000000-0005-0000-0000-0000D4470000}"/>
    <cellStyle name="Normal 2 20 15 2" xfId="18404" xr:uid="{00000000-0005-0000-0000-0000D5470000}"/>
    <cellStyle name="Normal 2 20 15 3" xfId="18405" xr:uid="{00000000-0005-0000-0000-0000D6470000}"/>
    <cellStyle name="Normal 2 20 16" xfId="18406" xr:uid="{00000000-0005-0000-0000-0000D7470000}"/>
    <cellStyle name="Normal 2 20 16 2" xfId="18407" xr:uid="{00000000-0005-0000-0000-0000D8470000}"/>
    <cellStyle name="Normal 2 20 16 3" xfId="18408" xr:uid="{00000000-0005-0000-0000-0000D9470000}"/>
    <cellStyle name="Normal 2 20 17" xfId="18409" xr:uid="{00000000-0005-0000-0000-0000DA470000}"/>
    <cellStyle name="Normal 2 20 17 2" xfId="18410" xr:uid="{00000000-0005-0000-0000-0000DB470000}"/>
    <cellStyle name="Normal 2 20 17 3" xfId="18411" xr:uid="{00000000-0005-0000-0000-0000DC470000}"/>
    <cellStyle name="Normal 2 20 18" xfId="18412" xr:uid="{00000000-0005-0000-0000-0000DD470000}"/>
    <cellStyle name="Normal 2 20 18 2" xfId="18413" xr:uid="{00000000-0005-0000-0000-0000DE470000}"/>
    <cellStyle name="Normal 2 20 18 3" xfId="18414" xr:uid="{00000000-0005-0000-0000-0000DF470000}"/>
    <cellStyle name="Normal 2 20 19" xfId="18415" xr:uid="{00000000-0005-0000-0000-0000E0470000}"/>
    <cellStyle name="Normal 2 20 19 2" xfId="18416" xr:uid="{00000000-0005-0000-0000-0000E1470000}"/>
    <cellStyle name="Normal 2 20 19 3" xfId="18417" xr:uid="{00000000-0005-0000-0000-0000E2470000}"/>
    <cellStyle name="Normal 2 20 2" xfId="18418" xr:uid="{00000000-0005-0000-0000-0000E3470000}"/>
    <cellStyle name="Normal 2 20 2 2" xfId="18419" xr:uid="{00000000-0005-0000-0000-0000E4470000}"/>
    <cellStyle name="Normal 2 20 2 3" xfId="18420" xr:uid="{00000000-0005-0000-0000-0000E5470000}"/>
    <cellStyle name="Normal 2 20 20" xfId="18421" xr:uid="{00000000-0005-0000-0000-0000E6470000}"/>
    <cellStyle name="Normal 2 20 20 2" xfId="18422" xr:uid="{00000000-0005-0000-0000-0000E7470000}"/>
    <cellStyle name="Normal 2 20 20 3" xfId="18423" xr:uid="{00000000-0005-0000-0000-0000E8470000}"/>
    <cellStyle name="Normal 2 20 21" xfId="18424" xr:uid="{00000000-0005-0000-0000-0000E9470000}"/>
    <cellStyle name="Normal 2 20 21 2" xfId="18425" xr:uid="{00000000-0005-0000-0000-0000EA470000}"/>
    <cellStyle name="Normal 2 20 21 3" xfId="18426" xr:uid="{00000000-0005-0000-0000-0000EB470000}"/>
    <cellStyle name="Normal 2 20 22" xfId="18427" xr:uid="{00000000-0005-0000-0000-0000EC470000}"/>
    <cellStyle name="Normal 2 20 22 2" xfId="18428" xr:uid="{00000000-0005-0000-0000-0000ED470000}"/>
    <cellStyle name="Normal 2 20 22 3" xfId="18429" xr:uid="{00000000-0005-0000-0000-0000EE470000}"/>
    <cellStyle name="Normal 2 20 23" xfId="18430" xr:uid="{00000000-0005-0000-0000-0000EF470000}"/>
    <cellStyle name="Normal 2 20 23 2" xfId="18431" xr:uid="{00000000-0005-0000-0000-0000F0470000}"/>
    <cellStyle name="Normal 2 20 23 3" xfId="18432" xr:uid="{00000000-0005-0000-0000-0000F1470000}"/>
    <cellStyle name="Normal 2 20 24" xfId="18433" xr:uid="{00000000-0005-0000-0000-0000F2470000}"/>
    <cellStyle name="Normal 2 20 24 2" xfId="18434" xr:uid="{00000000-0005-0000-0000-0000F3470000}"/>
    <cellStyle name="Normal 2 20 24 3" xfId="18435" xr:uid="{00000000-0005-0000-0000-0000F4470000}"/>
    <cellStyle name="Normal 2 20 25" xfId="18436" xr:uid="{00000000-0005-0000-0000-0000F5470000}"/>
    <cellStyle name="Normal 2 20 25 2" xfId="18437" xr:uid="{00000000-0005-0000-0000-0000F6470000}"/>
    <cellStyle name="Normal 2 20 26" xfId="18438" xr:uid="{00000000-0005-0000-0000-0000F7470000}"/>
    <cellStyle name="Normal 2 20 27" xfId="18439" xr:uid="{00000000-0005-0000-0000-0000F8470000}"/>
    <cellStyle name="Normal 2 20 28" xfId="18440" xr:uid="{00000000-0005-0000-0000-0000F9470000}"/>
    <cellStyle name="Normal 2 20 3" xfId="18441" xr:uid="{00000000-0005-0000-0000-0000FA470000}"/>
    <cellStyle name="Normal 2 20 3 2" xfId="18442" xr:uid="{00000000-0005-0000-0000-0000FB470000}"/>
    <cellStyle name="Normal 2 20 3 3" xfId="18443" xr:uid="{00000000-0005-0000-0000-0000FC470000}"/>
    <cellStyle name="Normal 2 20 4" xfId="18444" xr:uid="{00000000-0005-0000-0000-0000FD470000}"/>
    <cellStyle name="Normal 2 20 4 2" xfId="18445" xr:uid="{00000000-0005-0000-0000-0000FE470000}"/>
    <cellStyle name="Normal 2 20 4 3" xfId="18446" xr:uid="{00000000-0005-0000-0000-0000FF470000}"/>
    <cellStyle name="Normal 2 20 5" xfId="18447" xr:uid="{00000000-0005-0000-0000-000000480000}"/>
    <cellStyle name="Normal 2 20 5 2" xfId="18448" xr:uid="{00000000-0005-0000-0000-000001480000}"/>
    <cellStyle name="Normal 2 20 5 3" xfId="18449" xr:uid="{00000000-0005-0000-0000-000002480000}"/>
    <cellStyle name="Normal 2 20 6" xfId="18450" xr:uid="{00000000-0005-0000-0000-000003480000}"/>
    <cellStyle name="Normal 2 20 6 2" xfId="18451" xr:uid="{00000000-0005-0000-0000-000004480000}"/>
    <cellStyle name="Normal 2 20 6 3" xfId="18452" xr:uid="{00000000-0005-0000-0000-000005480000}"/>
    <cellStyle name="Normal 2 20 7" xfId="18453" xr:uid="{00000000-0005-0000-0000-000006480000}"/>
    <cellStyle name="Normal 2 20 7 2" xfId="18454" xr:uid="{00000000-0005-0000-0000-000007480000}"/>
    <cellStyle name="Normal 2 20 7 3" xfId="18455" xr:uid="{00000000-0005-0000-0000-000008480000}"/>
    <cellStyle name="Normal 2 20 8" xfId="18456" xr:uid="{00000000-0005-0000-0000-000009480000}"/>
    <cellStyle name="Normal 2 20 8 2" xfId="18457" xr:uid="{00000000-0005-0000-0000-00000A480000}"/>
    <cellStyle name="Normal 2 20 8 3" xfId="18458" xr:uid="{00000000-0005-0000-0000-00000B480000}"/>
    <cellStyle name="Normal 2 20 9" xfId="18459" xr:uid="{00000000-0005-0000-0000-00000C480000}"/>
    <cellStyle name="Normal 2 20 9 2" xfId="18460" xr:uid="{00000000-0005-0000-0000-00000D480000}"/>
    <cellStyle name="Normal 2 20 9 3" xfId="18461" xr:uid="{00000000-0005-0000-0000-00000E480000}"/>
    <cellStyle name="Normal 2 21" xfId="18462" xr:uid="{00000000-0005-0000-0000-00000F480000}"/>
    <cellStyle name="Normal 2 21 10" xfId="18463" xr:uid="{00000000-0005-0000-0000-000010480000}"/>
    <cellStyle name="Normal 2 21 10 2" xfId="18464" xr:uid="{00000000-0005-0000-0000-000011480000}"/>
    <cellStyle name="Normal 2 21 10 3" xfId="18465" xr:uid="{00000000-0005-0000-0000-000012480000}"/>
    <cellStyle name="Normal 2 21 11" xfId="18466" xr:uid="{00000000-0005-0000-0000-000013480000}"/>
    <cellStyle name="Normal 2 21 11 2" xfId="18467" xr:uid="{00000000-0005-0000-0000-000014480000}"/>
    <cellStyle name="Normal 2 21 11 3" xfId="18468" xr:uid="{00000000-0005-0000-0000-000015480000}"/>
    <cellStyle name="Normal 2 21 12" xfId="18469" xr:uid="{00000000-0005-0000-0000-000016480000}"/>
    <cellStyle name="Normal 2 21 12 2" xfId="18470" xr:uid="{00000000-0005-0000-0000-000017480000}"/>
    <cellStyle name="Normal 2 21 12 3" xfId="18471" xr:uid="{00000000-0005-0000-0000-000018480000}"/>
    <cellStyle name="Normal 2 21 13" xfId="18472" xr:uid="{00000000-0005-0000-0000-000019480000}"/>
    <cellStyle name="Normal 2 21 13 2" xfId="18473" xr:uid="{00000000-0005-0000-0000-00001A480000}"/>
    <cellStyle name="Normal 2 21 13 3" xfId="18474" xr:uid="{00000000-0005-0000-0000-00001B480000}"/>
    <cellStyle name="Normal 2 21 14" xfId="18475" xr:uid="{00000000-0005-0000-0000-00001C480000}"/>
    <cellStyle name="Normal 2 21 14 2" xfId="18476" xr:uid="{00000000-0005-0000-0000-00001D480000}"/>
    <cellStyle name="Normal 2 21 14 3" xfId="18477" xr:uid="{00000000-0005-0000-0000-00001E480000}"/>
    <cellStyle name="Normal 2 21 15" xfId="18478" xr:uid="{00000000-0005-0000-0000-00001F480000}"/>
    <cellStyle name="Normal 2 21 15 2" xfId="18479" xr:uid="{00000000-0005-0000-0000-000020480000}"/>
    <cellStyle name="Normal 2 21 15 3" xfId="18480" xr:uid="{00000000-0005-0000-0000-000021480000}"/>
    <cellStyle name="Normal 2 21 16" xfId="18481" xr:uid="{00000000-0005-0000-0000-000022480000}"/>
    <cellStyle name="Normal 2 21 16 2" xfId="18482" xr:uid="{00000000-0005-0000-0000-000023480000}"/>
    <cellStyle name="Normal 2 21 16 3" xfId="18483" xr:uid="{00000000-0005-0000-0000-000024480000}"/>
    <cellStyle name="Normal 2 21 17" xfId="18484" xr:uid="{00000000-0005-0000-0000-000025480000}"/>
    <cellStyle name="Normal 2 21 17 2" xfId="18485" xr:uid="{00000000-0005-0000-0000-000026480000}"/>
    <cellStyle name="Normal 2 21 17 3" xfId="18486" xr:uid="{00000000-0005-0000-0000-000027480000}"/>
    <cellStyle name="Normal 2 21 18" xfId="18487" xr:uid="{00000000-0005-0000-0000-000028480000}"/>
    <cellStyle name="Normal 2 21 18 2" xfId="18488" xr:uid="{00000000-0005-0000-0000-000029480000}"/>
    <cellStyle name="Normal 2 21 18 3" xfId="18489" xr:uid="{00000000-0005-0000-0000-00002A480000}"/>
    <cellStyle name="Normal 2 21 19" xfId="18490" xr:uid="{00000000-0005-0000-0000-00002B480000}"/>
    <cellStyle name="Normal 2 21 19 2" xfId="18491" xr:uid="{00000000-0005-0000-0000-00002C480000}"/>
    <cellStyle name="Normal 2 21 19 3" xfId="18492" xr:uid="{00000000-0005-0000-0000-00002D480000}"/>
    <cellStyle name="Normal 2 21 2" xfId="18493" xr:uid="{00000000-0005-0000-0000-00002E480000}"/>
    <cellStyle name="Normal 2 21 2 2" xfId="18494" xr:uid="{00000000-0005-0000-0000-00002F480000}"/>
    <cellStyle name="Normal 2 21 2 3" xfId="18495" xr:uid="{00000000-0005-0000-0000-000030480000}"/>
    <cellStyle name="Normal 2 21 20" xfId="18496" xr:uid="{00000000-0005-0000-0000-000031480000}"/>
    <cellStyle name="Normal 2 21 20 2" xfId="18497" xr:uid="{00000000-0005-0000-0000-000032480000}"/>
    <cellStyle name="Normal 2 21 20 3" xfId="18498" xr:uid="{00000000-0005-0000-0000-000033480000}"/>
    <cellStyle name="Normal 2 21 21" xfId="18499" xr:uid="{00000000-0005-0000-0000-000034480000}"/>
    <cellStyle name="Normal 2 21 21 2" xfId="18500" xr:uid="{00000000-0005-0000-0000-000035480000}"/>
    <cellStyle name="Normal 2 21 21 3" xfId="18501" xr:uid="{00000000-0005-0000-0000-000036480000}"/>
    <cellStyle name="Normal 2 21 22" xfId="18502" xr:uid="{00000000-0005-0000-0000-000037480000}"/>
    <cellStyle name="Normal 2 21 22 2" xfId="18503" xr:uid="{00000000-0005-0000-0000-000038480000}"/>
    <cellStyle name="Normal 2 21 22 3" xfId="18504" xr:uid="{00000000-0005-0000-0000-000039480000}"/>
    <cellStyle name="Normal 2 21 23" xfId="18505" xr:uid="{00000000-0005-0000-0000-00003A480000}"/>
    <cellStyle name="Normal 2 21 23 2" xfId="18506" xr:uid="{00000000-0005-0000-0000-00003B480000}"/>
    <cellStyle name="Normal 2 21 23 3" xfId="18507" xr:uid="{00000000-0005-0000-0000-00003C480000}"/>
    <cellStyle name="Normal 2 21 24" xfId="18508" xr:uid="{00000000-0005-0000-0000-00003D480000}"/>
    <cellStyle name="Normal 2 21 24 2" xfId="18509" xr:uid="{00000000-0005-0000-0000-00003E480000}"/>
    <cellStyle name="Normal 2 21 24 3" xfId="18510" xr:uid="{00000000-0005-0000-0000-00003F480000}"/>
    <cellStyle name="Normal 2 21 25" xfId="18511" xr:uid="{00000000-0005-0000-0000-000040480000}"/>
    <cellStyle name="Normal 2 21 25 2" xfId="18512" xr:uid="{00000000-0005-0000-0000-000041480000}"/>
    <cellStyle name="Normal 2 21 26" xfId="18513" xr:uid="{00000000-0005-0000-0000-000042480000}"/>
    <cellStyle name="Normal 2 21 27" xfId="18514" xr:uid="{00000000-0005-0000-0000-000043480000}"/>
    <cellStyle name="Normal 2 21 28" xfId="18515" xr:uid="{00000000-0005-0000-0000-000044480000}"/>
    <cellStyle name="Normal 2 21 3" xfId="18516" xr:uid="{00000000-0005-0000-0000-000045480000}"/>
    <cellStyle name="Normal 2 21 3 2" xfId="18517" xr:uid="{00000000-0005-0000-0000-000046480000}"/>
    <cellStyle name="Normal 2 21 3 3" xfId="18518" xr:uid="{00000000-0005-0000-0000-000047480000}"/>
    <cellStyle name="Normal 2 21 4" xfId="18519" xr:uid="{00000000-0005-0000-0000-000048480000}"/>
    <cellStyle name="Normal 2 21 4 2" xfId="18520" xr:uid="{00000000-0005-0000-0000-000049480000}"/>
    <cellStyle name="Normal 2 21 4 3" xfId="18521" xr:uid="{00000000-0005-0000-0000-00004A480000}"/>
    <cellStyle name="Normal 2 21 5" xfId="18522" xr:uid="{00000000-0005-0000-0000-00004B480000}"/>
    <cellStyle name="Normal 2 21 5 2" xfId="18523" xr:uid="{00000000-0005-0000-0000-00004C480000}"/>
    <cellStyle name="Normal 2 21 5 3" xfId="18524" xr:uid="{00000000-0005-0000-0000-00004D480000}"/>
    <cellStyle name="Normal 2 21 6" xfId="18525" xr:uid="{00000000-0005-0000-0000-00004E480000}"/>
    <cellStyle name="Normal 2 21 6 2" xfId="18526" xr:uid="{00000000-0005-0000-0000-00004F480000}"/>
    <cellStyle name="Normal 2 21 6 3" xfId="18527" xr:uid="{00000000-0005-0000-0000-000050480000}"/>
    <cellStyle name="Normal 2 21 7" xfId="18528" xr:uid="{00000000-0005-0000-0000-000051480000}"/>
    <cellStyle name="Normal 2 21 7 2" xfId="18529" xr:uid="{00000000-0005-0000-0000-000052480000}"/>
    <cellStyle name="Normal 2 21 7 3" xfId="18530" xr:uid="{00000000-0005-0000-0000-000053480000}"/>
    <cellStyle name="Normal 2 21 8" xfId="18531" xr:uid="{00000000-0005-0000-0000-000054480000}"/>
    <cellStyle name="Normal 2 21 8 2" xfId="18532" xr:uid="{00000000-0005-0000-0000-000055480000}"/>
    <cellStyle name="Normal 2 21 8 3" xfId="18533" xr:uid="{00000000-0005-0000-0000-000056480000}"/>
    <cellStyle name="Normal 2 21 9" xfId="18534" xr:uid="{00000000-0005-0000-0000-000057480000}"/>
    <cellStyle name="Normal 2 21 9 2" xfId="18535" xr:uid="{00000000-0005-0000-0000-000058480000}"/>
    <cellStyle name="Normal 2 21 9 3" xfId="18536" xr:uid="{00000000-0005-0000-0000-000059480000}"/>
    <cellStyle name="Normal 2 22" xfId="18537" xr:uid="{00000000-0005-0000-0000-00005A480000}"/>
    <cellStyle name="Normal 2 22 10" xfId="18538" xr:uid="{00000000-0005-0000-0000-00005B480000}"/>
    <cellStyle name="Normal 2 22 10 2" xfId="18539" xr:uid="{00000000-0005-0000-0000-00005C480000}"/>
    <cellStyle name="Normal 2 22 10 3" xfId="18540" xr:uid="{00000000-0005-0000-0000-00005D480000}"/>
    <cellStyle name="Normal 2 22 11" xfId="18541" xr:uid="{00000000-0005-0000-0000-00005E480000}"/>
    <cellStyle name="Normal 2 22 11 2" xfId="18542" xr:uid="{00000000-0005-0000-0000-00005F480000}"/>
    <cellStyle name="Normal 2 22 11 3" xfId="18543" xr:uid="{00000000-0005-0000-0000-000060480000}"/>
    <cellStyle name="Normal 2 22 12" xfId="18544" xr:uid="{00000000-0005-0000-0000-000061480000}"/>
    <cellStyle name="Normal 2 22 12 2" xfId="18545" xr:uid="{00000000-0005-0000-0000-000062480000}"/>
    <cellStyle name="Normal 2 22 12 3" xfId="18546" xr:uid="{00000000-0005-0000-0000-000063480000}"/>
    <cellStyle name="Normal 2 22 13" xfId="18547" xr:uid="{00000000-0005-0000-0000-000064480000}"/>
    <cellStyle name="Normal 2 22 13 2" xfId="18548" xr:uid="{00000000-0005-0000-0000-000065480000}"/>
    <cellStyle name="Normal 2 22 13 3" xfId="18549" xr:uid="{00000000-0005-0000-0000-000066480000}"/>
    <cellStyle name="Normal 2 22 14" xfId="18550" xr:uid="{00000000-0005-0000-0000-000067480000}"/>
    <cellStyle name="Normal 2 22 14 2" xfId="18551" xr:uid="{00000000-0005-0000-0000-000068480000}"/>
    <cellStyle name="Normal 2 22 14 3" xfId="18552" xr:uid="{00000000-0005-0000-0000-000069480000}"/>
    <cellStyle name="Normal 2 22 15" xfId="18553" xr:uid="{00000000-0005-0000-0000-00006A480000}"/>
    <cellStyle name="Normal 2 22 15 2" xfId="18554" xr:uid="{00000000-0005-0000-0000-00006B480000}"/>
    <cellStyle name="Normal 2 22 15 3" xfId="18555" xr:uid="{00000000-0005-0000-0000-00006C480000}"/>
    <cellStyle name="Normal 2 22 16" xfId="18556" xr:uid="{00000000-0005-0000-0000-00006D480000}"/>
    <cellStyle name="Normal 2 22 16 2" xfId="18557" xr:uid="{00000000-0005-0000-0000-00006E480000}"/>
    <cellStyle name="Normal 2 22 16 3" xfId="18558" xr:uid="{00000000-0005-0000-0000-00006F480000}"/>
    <cellStyle name="Normal 2 22 17" xfId="18559" xr:uid="{00000000-0005-0000-0000-000070480000}"/>
    <cellStyle name="Normal 2 22 17 2" xfId="18560" xr:uid="{00000000-0005-0000-0000-000071480000}"/>
    <cellStyle name="Normal 2 22 17 3" xfId="18561" xr:uid="{00000000-0005-0000-0000-000072480000}"/>
    <cellStyle name="Normal 2 22 18" xfId="18562" xr:uid="{00000000-0005-0000-0000-000073480000}"/>
    <cellStyle name="Normal 2 22 18 2" xfId="18563" xr:uid="{00000000-0005-0000-0000-000074480000}"/>
    <cellStyle name="Normal 2 22 18 3" xfId="18564" xr:uid="{00000000-0005-0000-0000-000075480000}"/>
    <cellStyle name="Normal 2 22 19" xfId="18565" xr:uid="{00000000-0005-0000-0000-000076480000}"/>
    <cellStyle name="Normal 2 22 19 2" xfId="18566" xr:uid="{00000000-0005-0000-0000-000077480000}"/>
    <cellStyle name="Normal 2 22 19 3" xfId="18567" xr:uid="{00000000-0005-0000-0000-000078480000}"/>
    <cellStyle name="Normal 2 22 2" xfId="18568" xr:uid="{00000000-0005-0000-0000-000079480000}"/>
    <cellStyle name="Normal 2 22 2 2" xfId="18569" xr:uid="{00000000-0005-0000-0000-00007A480000}"/>
    <cellStyle name="Normal 2 22 2 3" xfId="18570" xr:uid="{00000000-0005-0000-0000-00007B480000}"/>
    <cellStyle name="Normal 2 22 20" xfId="18571" xr:uid="{00000000-0005-0000-0000-00007C480000}"/>
    <cellStyle name="Normal 2 22 20 2" xfId="18572" xr:uid="{00000000-0005-0000-0000-00007D480000}"/>
    <cellStyle name="Normal 2 22 20 3" xfId="18573" xr:uid="{00000000-0005-0000-0000-00007E480000}"/>
    <cellStyle name="Normal 2 22 21" xfId="18574" xr:uid="{00000000-0005-0000-0000-00007F480000}"/>
    <cellStyle name="Normal 2 22 21 2" xfId="18575" xr:uid="{00000000-0005-0000-0000-000080480000}"/>
    <cellStyle name="Normal 2 22 21 3" xfId="18576" xr:uid="{00000000-0005-0000-0000-000081480000}"/>
    <cellStyle name="Normal 2 22 22" xfId="18577" xr:uid="{00000000-0005-0000-0000-000082480000}"/>
    <cellStyle name="Normal 2 22 22 2" xfId="18578" xr:uid="{00000000-0005-0000-0000-000083480000}"/>
    <cellStyle name="Normal 2 22 22 3" xfId="18579" xr:uid="{00000000-0005-0000-0000-000084480000}"/>
    <cellStyle name="Normal 2 22 23" xfId="18580" xr:uid="{00000000-0005-0000-0000-000085480000}"/>
    <cellStyle name="Normal 2 22 23 2" xfId="18581" xr:uid="{00000000-0005-0000-0000-000086480000}"/>
    <cellStyle name="Normal 2 22 23 3" xfId="18582" xr:uid="{00000000-0005-0000-0000-000087480000}"/>
    <cellStyle name="Normal 2 22 24" xfId="18583" xr:uid="{00000000-0005-0000-0000-000088480000}"/>
    <cellStyle name="Normal 2 22 24 2" xfId="18584" xr:uid="{00000000-0005-0000-0000-000089480000}"/>
    <cellStyle name="Normal 2 22 24 3" xfId="18585" xr:uid="{00000000-0005-0000-0000-00008A480000}"/>
    <cellStyle name="Normal 2 22 25" xfId="18586" xr:uid="{00000000-0005-0000-0000-00008B480000}"/>
    <cellStyle name="Normal 2 22 25 2" xfId="18587" xr:uid="{00000000-0005-0000-0000-00008C480000}"/>
    <cellStyle name="Normal 2 22 26" xfId="18588" xr:uid="{00000000-0005-0000-0000-00008D480000}"/>
    <cellStyle name="Normal 2 22 27" xfId="18589" xr:uid="{00000000-0005-0000-0000-00008E480000}"/>
    <cellStyle name="Normal 2 22 28" xfId="18590" xr:uid="{00000000-0005-0000-0000-00008F480000}"/>
    <cellStyle name="Normal 2 22 3" xfId="18591" xr:uid="{00000000-0005-0000-0000-000090480000}"/>
    <cellStyle name="Normal 2 22 3 2" xfId="18592" xr:uid="{00000000-0005-0000-0000-000091480000}"/>
    <cellStyle name="Normal 2 22 3 3" xfId="18593" xr:uid="{00000000-0005-0000-0000-000092480000}"/>
    <cellStyle name="Normal 2 22 4" xfId="18594" xr:uid="{00000000-0005-0000-0000-000093480000}"/>
    <cellStyle name="Normal 2 22 4 2" xfId="18595" xr:uid="{00000000-0005-0000-0000-000094480000}"/>
    <cellStyle name="Normal 2 22 4 3" xfId="18596" xr:uid="{00000000-0005-0000-0000-000095480000}"/>
    <cellStyle name="Normal 2 22 5" xfId="18597" xr:uid="{00000000-0005-0000-0000-000096480000}"/>
    <cellStyle name="Normal 2 22 5 2" xfId="18598" xr:uid="{00000000-0005-0000-0000-000097480000}"/>
    <cellStyle name="Normal 2 22 5 3" xfId="18599" xr:uid="{00000000-0005-0000-0000-000098480000}"/>
    <cellStyle name="Normal 2 22 6" xfId="18600" xr:uid="{00000000-0005-0000-0000-000099480000}"/>
    <cellStyle name="Normal 2 22 6 2" xfId="18601" xr:uid="{00000000-0005-0000-0000-00009A480000}"/>
    <cellStyle name="Normal 2 22 6 3" xfId="18602" xr:uid="{00000000-0005-0000-0000-00009B480000}"/>
    <cellStyle name="Normal 2 22 7" xfId="18603" xr:uid="{00000000-0005-0000-0000-00009C480000}"/>
    <cellStyle name="Normal 2 22 7 2" xfId="18604" xr:uid="{00000000-0005-0000-0000-00009D480000}"/>
    <cellStyle name="Normal 2 22 7 3" xfId="18605" xr:uid="{00000000-0005-0000-0000-00009E480000}"/>
    <cellStyle name="Normal 2 22 8" xfId="18606" xr:uid="{00000000-0005-0000-0000-00009F480000}"/>
    <cellStyle name="Normal 2 22 8 2" xfId="18607" xr:uid="{00000000-0005-0000-0000-0000A0480000}"/>
    <cellStyle name="Normal 2 22 8 3" xfId="18608" xr:uid="{00000000-0005-0000-0000-0000A1480000}"/>
    <cellStyle name="Normal 2 22 9" xfId="18609" xr:uid="{00000000-0005-0000-0000-0000A2480000}"/>
    <cellStyle name="Normal 2 22 9 2" xfId="18610" xr:uid="{00000000-0005-0000-0000-0000A3480000}"/>
    <cellStyle name="Normal 2 22 9 3" xfId="18611" xr:uid="{00000000-0005-0000-0000-0000A4480000}"/>
    <cellStyle name="Normal 2 23" xfId="18612" xr:uid="{00000000-0005-0000-0000-0000A5480000}"/>
    <cellStyle name="Normal 2 23 10" xfId="18613" xr:uid="{00000000-0005-0000-0000-0000A6480000}"/>
    <cellStyle name="Normal 2 23 10 2" xfId="18614" xr:uid="{00000000-0005-0000-0000-0000A7480000}"/>
    <cellStyle name="Normal 2 23 10 3" xfId="18615" xr:uid="{00000000-0005-0000-0000-0000A8480000}"/>
    <cellStyle name="Normal 2 23 11" xfId="18616" xr:uid="{00000000-0005-0000-0000-0000A9480000}"/>
    <cellStyle name="Normal 2 23 11 2" xfId="18617" xr:uid="{00000000-0005-0000-0000-0000AA480000}"/>
    <cellStyle name="Normal 2 23 11 3" xfId="18618" xr:uid="{00000000-0005-0000-0000-0000AB480000}"/>
    <cellStyle name="Normal 2 23 12" xfId="18619" xr:uid="{00000000-0005-0000-0000-0000AC480000}"/>
    <cellStyle name="Normal 2 23 12 2" xfId="18620" xr:uid="{00000000-0005-0000-0000-0000AD480000}"/>
    <cellStyle name="Normal 2 23 12 3" xfId="18621" xr:uid="{00000000-0005-0000-0000-0000AE480000}"/>
    <cellStyle name="Normal 2 23 13" xfId="18622" xr:uid="{00000000-0005-0000-0000-0000AF480000}"/>
    <cellStyle name="Normal 2 23 13 2" xfId="18623" xr:uid="{00000000-0005-0000-0000-0000B0480000}"/>
    <cellStyle name="Normal 2 23 13 3" xfId="18624" xr:uid="{00000000-0005-0000-0000-0000B1480000}"/>
    <cellStyle name="Normal 2 23 14" xfId="18625" xr:uid="{00000000-0005-0000-0000-0000B2480000}"/>
    <cellStyle name="Normal 2 23 14 2" xfId="18626" xr:uid="{00000000-0005-0000-0000-0000B3480000}"/>
    <cellStyle name="Normal 2 23 14 3" xfId="18627" xr:uid="{00000000-0005-0000-0000-0000B4480000}"/>
    <cellStyle name="Normal 2 23 15" xfId="18628" xr:uid="{00000000-0005-0000-0000-0000B5480000}"/>
    <cellStyle name="Normal 2 23 15 2" xfId="18629" xr:uid="{00000000-0005-0000-0000-0000B6480000}"/>
    <cellStyle name="Normal 2 23 15 3" xfId="18630" xr:uid="{00000000-0005-0000-0000-0000B7480000}"/>
    <cellStyle name="Normal 2 23 16" xfId="18631" xr:uid="{00000000-0005-0000-0000-0000B8480000}"/>
    <cellStyle name="Normal 2 23 16 2" xfId="18632" xr:uid="{00000000-0005-0000-0000-0000B9480000}"/>
    <cellStyle name="Normal 2 23 16 3" xfId="18633" xr:uid="{00000000-0005-0000-0000-0000BA480000}"/>
    <cellStyle name="Normal 2 23 17" xfId="18634" xr:uid="{00000000-0005-0000-0000-0000BB480000}"/>
    <cellStyle name="Normal 2 23 17 2" xfId="18635" xr:uid="{00000000-0005-0000-0000-0000BC480000}"/>
    <cellStyle name="Normal 2 23 17 3" xfId="18636" xr:uid="{00000000-0005-0000-0000-0000BD480000}"/>
    <cellStyle name="Normal 2 23 18" xfId="18637" xr:uid="{00000000-0005-0000-0000-0000BE480000}"/>
    <cellStyle name="Normal 2 23 18 2" xfId="18638" xr:uid="{00000000-0005-0000-0000-0000BF480000}"/>
    <cellStyle name="Normal 2 23 18 3" xfId="18639" xr:uid="{00000000-0005-0000-0000-0000C0480000}"/>
    <cellStyle name="Normal 2 23 19" xfId="18640" xr:uid="{00000000-0005-0000-0000-0000C1480000}"/>
    <cellStyle name="Normal 2 23 19 2" xfId="18641" xr:uid="{00000000-0005-0000-0000-0000C2480000}"/>
    <cellStyle name="Normal 2 23 19 3" xfId="18642" xr:uid="{00000000-0005-0000-0000-0000C3480000}"/>
    <cellStyle name="Normal 2 23 2" xfId="18643" xr:uid="{00000000-0005-0000-0000-0000C4480000}"/>
    <cellStyle name="Normal 2 23 2 2" xfId="18644" xr:uid="{00000000-0005-0000-0000-0000C5480000}"/>
    <cellStyle name="Normal 2 23 2 3" xfId="18645" xr:uid="{00000000-0005-0000-0000-0000C6480000}"/>
    <cellStyle name="Normal 2 23 20" xfId="18646" xr:uid="{00000000-0005-0000-0000-0000C7480000}"/>
    <cellStyle name="Normal 2 23 20 2" xfId="18647" xr:uid="{00000000-0005-0000-0000-0000C8480000}"/>
    <cellStyle name="Normal 2 23 20 3" xfId="18648" xr:uid="{00000000-0005-0000-0000-0000C9480000}"/>
    <cellStyle name="Normal 2 23 21" xfId="18649" xr:uid="{00000000-0005-0000-0000-0000CA480000}"/>
    <cellStyle name="Normal 2 23 21 2" xfId="18650" xr:uid="{00000000-0005-0000-0000-0000CB480000}"/>
    <cellStyle name="Normal 2 23 21 3" xfId="18651" xr:uid="{00000000-0005-0000-0000-0000CC480000}"/>
    <cellStyle name="Normal 2 23 22" xfId="18652" xr:uid="{00000000-0005-0000-0000-0000CD480000}"/>
    <cellStyle name="Normal 2 23 22 2" xfId="18653" xr:uid="{00000000-0005-0000-0000-0000CE480000}"/>
    <cellStyle name="Normal 2 23 22 3" xfId="18654" xr:uid="{00000000-0005-0000-0000-0000CF480000}"/>
    <cellStyle name="Normal 2 23 23" xfId="18655" xr:uid="{00000000-0005-0000-0000-0000D0480000}"/>
    <cellStyle name="Normal 2 23 23 2" xfId="18656" xr:uid="{00000000-0005-0000-0000-0000D1480000}"/>
    <cellStyle name="Normal 2 23 23 3" xfId="18657" xr:uid="{00000000-0005-0000-0000-0000D2480000}"/>
    <cellStyle name="Normal 2 23 24" xfId="18658" xr:uid="{00000000-0005-0000-0000-0000D3480000}"/>
    <cellStyle name="Normal 2 23 24 2" xfId="18659" xr:uid="{00000000-0005-0000-0000-0000D4480000}"/>
    <cellStyle name="Normal 2 23 24 3" xfId="18660" xr:uid="{00000000-0005-0000-0000-0000D5480000}"/>
    <cellStyle name="Normal 2 23 25" xfId="18661" xr:uid="{00000000-0005-0000-0000-0000D6480000}"/>
    <cellStyle name="Normal 2 23 25 2" xfId="18662" xr:uid="{00000000-0005-0000-0000-0000D7480000}"/>
    <cellStyle name="Normal 2 23 26" xfId="18663" xr:uid="{00000000-0005-0000-0000-0000D8480000}"/>
    <cellStyle name="Normal 2 23 27" xfId="18664" xr:uid="{00000000-0005-0000-0000-0000D9480000}"/>
    <cellStyle name="Normal 2 23 28" xfId="18665" xr:uid="{00000000-0005-0000-0000-0000DA480000}"/>
    <cellStyle name="Normal 2 23 3" xfId="18666" xr:uid="{00000000-0005-0000-0000-0000DB480000}"/>
    <cellStyle name="Normal 2 23 3 2" xfId="18667" xr:uid="{00000000-0005-0000-0000-0000DC480000}"/>
    <cellStyle name="Normal 2 23 3 3" xfId="18668" xr:uid="{00000000-0005-0000-0000-0000DD480000}"/>
    <cellStyle name="Normal 2 23 4" xfId="18669" xr:uid="{00000000-0005-0000-0000-0000DE480000}"/>
    <cellStyle name="Normal 2 23 4 2" xfId="18670" xr:uid="{00000000-0005-0000-0000-0000DF480000}"/>
    <cellStyle name="Normal 2 23 4 3" xfId="18671" xr:uid="{00000000-0005-0000-0000-0000E0480000}"/>
    <cellStyle name="Normal 2 23 5" xfId="18672" xr:uid="{00000000-0005-0000-0000-0000E1480000}"/>
    <cellStyle name="Normal 2 23 5 2" xfId="18673" xr:uid="{00000000-0005-0000-0000-0000E2480000}"/>
    <cellStyle name="Normal 2 23 5 3" xfId="18674" xr:uid="{00000000-0005-0000-0000-0000E3480000}"/>
    <cellStyle name="Normal 2 23 6" xfId="18675" xr:uid="{00000000-0005-0000-0000-0000E4480000}"/>
    <cellStyle name="Normal 2 23 6 2" xfId="18676" xr:uid="{00000000-0005-0000-0000-0000E5480000}"/>
    <cellStyle name="Normal 2 23 6 3" xfId="18677" xr:uid="{00000000-0005-0000-0000-0000E6480000}"/>
    <cellStyle name="Normal 2 23 7" xfId="18678" xr:uid="{00000000-0005-0000-0000-0000E7480000}"/>
    <cellStyle name="Normal 2 23 7 2" xfId="18679" xr:uid="{00000000-0005-0000-0000-0000E8480000}"/>
    <cellStyle name="Normal 2 23 7 3" xfId="18680" xr:uid="{00000000-0005-0000-0000-0000E9480000}"/>
    <cellStyle name="Normal 2 23 8" xfId="18681" xr:uid="{00000000-0005-0000-0000-0000EA480000}"/>
    <cellStyle name="Normal 2 23 8 2" xfId="18682" xr:uid="{00000000-0005-0000-0000-0000EB480000}"/>
    <cellStyle name="Normal 2 23 8 3" xfId="18683" xr:uid="{00000000-0005-0000-0000-0000EC480000}"/>
    <cellStyle name="Normal 2 23 9" xfId="18684" xr:uid="{00000000-0005-0000-0000-0000ED480000}"/>
    <cellStyle name="Normal 2 23 9 2" xfId="18685" xr:uid="{00000000-0005-0000-0000-0000EE480000}"/>
    <cellStyle name="Normal 2 23 9 3" xfId="18686" xr:uid="{00000000-0005-0000-0000-0000EF480000}"/>
    <cellStyle name="Normal 2 24" xfId="18687" xr:uid="{00000000-0005-0000-0000-0000F0480000}"/>
    <cellStyle name="Normal 2 24 10" xfId="18688" xr:uid="{00000000-0005-0000-0000-0000F1480000}"/>
    <cellStyle name="Normal 2 24 10 2" xfId="18689" xr:uid="{00000000-0005-0000-0000-0000F2480000}"/>
    <cellStyle name="Normal 2 24 10 3" xfId="18690" xr:uid="{00000000-0005-0000-0000-0000F3480000}"/>
    <cellStyle name="Normal 2 24 11" xfId="18691" xr:uid="{00000000-0005-0000-0000-0000F4480000}"/>
    <cellStyle name="Normal 2 24 11 2" xfId="18692" xr:uid="{00000000-0005-0000-0000-0000F5480000}"/>
    <cellStyle name="Normal 2 24 11 3" xfId="18693" xr:uid="{00000000-0005-0000-0000-0000F6480000}"/>
    <cellStyle name="Normal 2 24 12" xfId="18694" xr:uid="{00000000-0005-0000-0000-0000F7480000}"/>
    <cellStyle name="Normal 2 24 12 2" xfId="18695" xr:uid="{00000000-0005-0000-0000-0000F8480000}"/>
    <cellStyle name="Normal 2 24 12 3" xfId="18696" xr:uid="{00000000-0005-0000-0000-0000F9480000}"/>
    <cellStyle name="Normal 2 24 13" xfId="18697" xr:uid="{00000000-0005-0000-0000-0000FA480000}"/>
    <cellStyle name="Normal 2 24 13 2" xfId="18698" xr:uid="{00000000-0005-0000-0000-0000FB480000}"/>
    <cellStyle name="Normal 2 24 13 3" xfId="18699" xr:uid="{00000000-0005-0000-0000-0000FC480000}"/>
    <cellStyle name="Normal 2 24 14" xfId="18700" xr:uid="{00000000-0005-0000-0000-0000FD480000}"/>
    <cellStyle name="Normal 2 24 14 2" xfId="18701" xr:uid="{00000000-0005-0000-0000-0000FE480000}"/>
    <cellStyle name="Normal 2 24 14 3" xfId="18702" xr:uid="{00000000-0005-0000-0000-0000FF480000}"/>
    <cellStyle name="Normal 2 24 15" xfId="18703" xr:uid="{00000000-0005-0000-0000-000000490000}"/>
    <cellStyle name="Normal 2 24 15 2" xfId="18704" xr:uid="{00000000-0005-0000-0000-000001490000}"/>
    <cellStyle name="Normal 2 24 15 3" xfId="18705" xr:uid="{00000000-0005-0000-0000-000002490000}"/>
    <cellStyle name="Normal 2 24 16" xfId="18706" xr:uid="{00000000-0005-0000-0000-000003490000}"/>
    <cellStyle name="Normal 2 24 16 2" xfId="18707" xr:uid="{00000000-0005-0000-0000-000004490000}"/>
    <cellStyle name="Normal 2 24 16 3" xfId="18708" xr:uid="{00000000-0005-0000-0000-000005490000}"/>
    <cellStyle name="Normal 2 24 17" xfId="18709" xr:uid="{00000000-0005-0000-0000-000006490000}"/>
    <cellStyle name="Normal 2 24 17 2" xfId="18710" xr:uid="{00000000-0005-0000-0000-000007490000}"/>
    <cellStyle name="Normal 2 24 17 3" xfId="18711" xr:uid="{00000000-0005-0000-0000-000008490000}"/>
    <cellStyle name="Normal 2 24 18" xfId="18712" xr:uid="{00000000-0005-0000-0000-000009490000}"/>
    <cellStyle name="Normal 2 24 18 2" xfId="18713" xr:uid="{00000000-0005-0000-0000-00000A490000}"/>
    <cellStyle name="Normal 2 24 18 3" xfId="18714" xr:uid="{00000000-0005-0000-0000-00000B490000}"/>
    <cellStyle name="Normal 2 24 19" xfId="18715" xr:uid="{00000000-0005-0000-0000-00000C490000}"/>
    <cellStyle name="Normal 2 24 19 2" xfId="18716" xr:uid="{00000000-0005-0000-0000-00000D490000}"/>
    <cellStyle name="Normal 2 24 19 3" xfId="18717" xr:uid="{00000000-0005-0000-0000-00000E490000}"/>
    <cellStyle name="Normal 2 24 2" xfId="18718" xr:uid="{00000000-0005-0000-0000-00000F490000}"/>
    <cellStyle name="Normal 2 24 2 2" xfId="18719" xr:uid="{00000000-0005-0000-0000-000010490000}"/>
    <cellStyle name="Normal 2 24 2 3" xfId="18720" xr:uid="{00000000-0005-0000-0000-000011490000}"/>
    <cellStyle name="Normal 2 24 20" xfId="18721" xr:uid="{00000000-0005-0000-0000-000012490000}"/>
    <cellStyle name="Normal 2 24 20 2" xfId="18722" xr:uid="{00000000-0005-0000-0000-000013490000}"/>
    <cellStyle name="Normal 2 24 20 3" xfId="18723" xr:uid="{00000000-0005-0000-0000-000014490000}"/>
    <cellStyle name="Normal 2 24 21" xfId="18724" xr:uid="{00000000-0005-0000-0000-000015490000}"/>
    <cellStyle name="Normal 2 24 21 2" xfId="18725" xr:uid="{00000000-0005-0000-0000-000016490000}"/>
    <cellStyle name="Normal 2 24 21 3" xfId="18726" xr:uid="{00000000-0005-0000-0000-000017490000}"/>
    <cellStyle name="Normal 2 24 22" xfId="18727" xr:uid="{00000000-0005-0000-0000-000018490000}"/>
    <cellStyle name="Normal 2 24 22 2" xfId="18728" xr:uid="{00000000-0005-0000-0000-000019490000}"/>
    <cellStyle name="Normal 2 24 22 3" xfId="18729" xr:uid="{00000000-0005-0000-0000-00001A490000}"/>
    <cellStyle name="Normal 2 24 23" xfId="18730" xr:uid="{00000000-0005-0000-0000-00001B490000}"/>
    <cellStyle name="Normal 2 24 23 2" xfId="18731" xr:uid="{00000000-0005-0000-0000-00001C490000}"/>
    <cellStyle name="Normal 2 24 23 3" xfId="18732" xr:uid="{00000000-0005-0000-0000-00001D490000}"/>
    <cellStyle name="Normal 2 24 24" xfId="18733" xr:uid="{00000000-0005-0000-0000-00001E490000}"/>
    <cellStyle name="Normal 2 24 25" xfId="18734" xr:uid="{00000000-0005-0000-0000-00001F490000}"/>
    <cellStyle name="Normal 2 24 3" xfId="18735" xr:uid="{00000000-0005-0000-0000-000020490000}"/>
    <cellStyle name="Normal 2 24 3 2" xfId="18736" xr:uid="{00000000-0005-0000-0000-000021490000}"/>
    <cellStyle name="Normal 2 24 3 3" xfId="18737" xr:uid="{00000000-0005-0000-0000-000022490000}"/>
    <cellStyle name="Normal 2 24 4" xfId="18738" xr:uid="{00000000-0005-0000-0000-000023490000}"/>
    <cellStyle name="Normal 2 24 4 2" xfId="18739" xr:uid="{00000000-0005-0000-0000-000024490000}"/>
    <cellStyle name="Normal 2 24 4 3" xfId="18740" xr:uid="{00000000-0005-0000-0000-000025490000}"/>
    <cellStyle name="Normal 2 24 5" xfId="18741" xr:uid="{00000000-0005-0000-0000-000026490000}"/>
    <cellStyle name="Normal 2 24 5 2" xfId="18742" xr:uid="{00000000-0005-0000-0000-000027490000}"/>
    <cellStyle name="Normal 2 24 5 3" xfId="18743" xr:uid="{00000000-0005-0000-0000-000028490000}"/>
    <cellStyle name="Normal 2 24 6" xfId="18744" xr:uid="{00000000-0005-0000-0000-000029490000}"/>
    <cellStyle name="Normal 2 24 6 2" xfId="18745" xr:uid="{00000000-0005-0000-0000-00002A490000}"/>
    <cellStyle name="Normal 2 24 6 3" xfId="18746" xr:uid="{00000000-0005-0000-0000-00002B490000}"/>
    <cellStyle name="Normal 2 24 7" xfId="18747" xr:uid="{00000000-0005-0000-0000-00002C490000}"/>
    <cellStyle name="Normal 2 24 7 2" xfId="18748" xr:uid="{00000000-0005-0000-0000-00002D490000}"/>
    <cellStyle name="Normal 2 24 7 3" xfId="18749" xr:uid="{00000000-0005-0000-0000-00002E490000}"/>
    <cellStyle name="Normal 2 24 8" xfId="18750" xr:uid="{00000000-0005-0000-0000-00002F490000}"/>
    <cellStyle name="Normal 2 24 8 2" xfId="18751" xr:uid="{00000000-0005-0000-0000-000030490000}"/>
    <cellStyle name="Normal 2 24 8 3" xfId="18752" xr:uid="{00000000-0005-0000-0000-000031490000}"/>
    <cellStyle name="Normal 2 24 9" xfId="18753" xr:uid="{00000000-0005-0000-0000-000032490000}"/>
    <cellStyle name="Normal 2 24 9 2" xfId="18754" xr:uid="{00000000-0005-0000-0000-000033490000}"/>
    <cellStyle name="Normal 2 24 9 3" xfId="18755" xr:uid="{00000000-0005-0000-0000-000034490000}"/>
    <cellStyle name="Normal 2 25" xfId="18756" xr:uid="{00000000-0005-0000-0000-000035490000}"/>
    <cellStyle name="Normal 2 25 10" xfId="18757" xr:uid="{00000000-0005-0000-0000-000036490000}"/>
    <cellStyle name="Normal 2 25 10 2" xfId="18758" xr:uid="{00000000-0005-0000-0000-000037490000}"/>
    <cellStyle name="Normal 2 25 10 3" xfId="18759" xr:uid="{00000000-0005-0000-0000-000038490000}"/>
    <cellStyle name="Normal 2 25 11" xfId="18760" xr:uid="{00000000-0005-0000-0000-000039490000}"/>
    <cellStyle name="Normal 2 25 11 2" xfId="18761" xr:uid="{00000000-0005-0000-0000-00003A490000}"/>
    <cellStyle name="Normal 2 25 11 3" xfId="18762" xr:uid="{00000000-0005-0000-0000-00003B490000}"/>
    <cellStyle name="Normal 2 25 12" xfId="18763" xr:uid="{00000000-0005-0000-0000-00003C490000}"/>
    <cellStyle name="Normal 2 25 12 2" xfId="18764" xr:uid="{00000000-0005-0000-0000-00003D490000}"/>
    <cellStyle name="Normal 2 25 12 3" xfId="18765" xr:uid="{00000000-0005-0000-0000-00003E490000}"/>
    <cellStyle name="Normal 2 25 13" xfId="18766" xr:uid="{00000000-0005-0000-0000-00003F490000}"/>
    <cellStyle name="Normal 2 25 13 2" xfId="18767" xr:uid="{00000000-0005-0000-0000-000040490000}"/>
    <cellStyle name="Normal 2 25 13 3" xfId="18768" xr:uid="{00000000-0005-0000-0000-000041490000}"/>
    <cellStyle name="Normal 2 25 14" xfId="18769" xr:uid="{00000000-0005-0000-0000-000042490000}"/>
    <cellStyle name="Normal 2 25 14 2" xfId="18770" xr:uid="{00000000-0005-0000-0000-000043490000}"/>
    <cellStyle name="Normal 2 25 14 3" xfId="18771" xr:uid="{00000000-0005-0000-0000-000044490000}"/>
    <cellStyle name="Normal 2 25 15" xfId="18772" xr:uid="{00000000-0005-0000-0000-000045490000}"/>
    <cellStyle name="Normal 2 25 15 2" xfId="18773" xr:uid="{00000000-0005-0000-0000-000046490000}"/>
    <cellStyle name="Normal 2 25 15 3" xfId="18774" xr:uid="{00000000-0005-0000-0000-000047490000}"/>
    <cellStyle name="Normal 2 25 16" xfId="18775" xr:uid="{00000000-0005-0000-0000-000048490000}"/>
    <cellStyle name="Normal 2 25 16 2" xfId="18776" xr:uid="{00000000-0005-0000-0000-000049490000}"/>
    <cellStyle name="Normal 2 25 16 3" xfId="18777" xr:uid="{00000000-0005-0000-0000-00004A490000}"/>
    <cellStyle name="Normal 2 25 17" xfId="18778" xr:uid="{00000000-0005-0000-0000-00004B490000}"/>
    <cellStyle name="Normal 2 25 17 2" xfId="18779" xr:uid="{00000000-0005-0000-0000-00004C490000}"/>
    <cellStyle name="Normal 2 25 17 3" xfId="18780" xr:uid="{00000000-0005-0000-0000-00004D490000}"/>
    <cellStyle name="Normal 2 25 18" xfId="18781" xr:uid="{00000000-0005-0000-0000-00004E490000}"/>
    <cellStyle name="Normal 2 25 18 2" xfId="18782" xr:uid="{00000000-0005-0000-0000-00004F490000}"/>
    <cellStyle name="Normal 2 25 18 3" xfId="18783" xr:uid="{00000000-0005-0000-0000-000050490000}"/>
    <cellStyle name="Normal 2 25 19" xfId="18784" xr:uid="{00000000-0005-0000-0000-000051490000}"/>
    <cellStyle name="Normal 2 25 19 2" xfId="18785" xr:uid="{00000000-0005-0000-0000-000052490000}"/>
    <cellStyle name="Normal 2 25 19 3" xfId="18786" xr:uid="{00000000-0005-0000-0000-000053490000}"/>
    <cellStyle name="Normal 2 25 2" xfId="18787" xr:uid="{00000000-0005-0000-0000-000054490000}"/>
    <cellStyle name="Normal 2 25 2 2" xfId="18788" xr:uid="{00000000-0005-0000-0000-000055490000}"/>
    <cellStyle name="Normal 2 25 2 3" xfId="18789" xr:uid="{00000000-0005-0000-0000-000056490000}"/>
    <cellStyle name="Normal 2 25 20" xfId="18790" xr:uid="{00000000-0005-0000-0000-000057490000}"/>
    <cellStyle name="Normal 2 25 20 2" xfId="18791" xr:uid="{00000000-0005-0000-0000-000058490000}"/>
    <cellStyle name="Normal 2 25 20 3" xfId="18792" xr:uid="{00000000-0005-0000-0000-000059490000}"/>
    <cellStyle name="Normal 2 25 21" xfId="18793" xr:uid="{00000000-0005-0000-0000-00005A490000}"/>
    <cellStyle name="Normal 2 25 21 2" xfId="18794" xr:uid="{00000000-0005-0000-0000-00005B490000}"/>
    <cellStyle name="Normal 2 25 21 3" xfId="18795" xr:uid="{00000000-0005-0000-0000-00005C490000}"/>
    <cellStyle name="Normal 2 25 22" xfId="18796" xr:uid="{00000000-0005-0000-0000-00005D490000}"/>
    <cellStyle name="Normal 2 25 22 2" xfId="18797" xr:uid="{00000000-0005-0000-0000-00005E490000}"/>
    <cellStyle name="Normal 2 25 22 3" xfId="18798" xr:uid="{00000000-0005-0000-0000-00005F490000}"/>
    <cellStyle name="Normal 2 25 23" xfId="18799" xr:uid="{00000000-0005-0000-0000-000060490000}"/>
    <cellStyle name="Normal 2 25 23 2" xfId="18800" xr:uid="{00000000-0005-0000-0000-000061490000}"/>
    <cellStyle name="Normal 2 25 23 3" xfId="18801" xr:uid="{00000000-0005-0000-0000-000062490000}"/>
    <cellStyle name="Normal 2 25 24" xfId="18802" xr:uid="{00000000-0005-0000-0000-000063490000}"/>
    <cellStyle name="Normal 2 25 25" xfId="18803" xr:uid="{00000000-0005-0000-0000-000064490000}"/>
    <cellStyle name="Normal 2 25 3" xfId="18804" xr:uid="{00000000-0005-0000-0000-000065490000}"/>
    <cellStyle name="Normal 2 25 3 2" xfId="18805" xr:uid="{00000000-0005-0000-0000-000066490000}"/>
    <cellStyle name="Normal 2 25 3 3" xfId="18806" xr:uid="{00000000-0005-0000-0000-000067490000}"/>
    <cellStyle name="Normal 2 25 4" xfId="18807" xr:uid="{00000000-0005-0000-0000-000068490000}"/>
    <cellStyle name="Normal 2 25 4 2" xfId="18808" xr:uid="{00000000-0005-0000-0000-000069490000}"/>
    <cellStyle name="Normal 2 25 4 3" xfId="18809" xr:uid="{00000000-0005-0000-0000-00006A490000}"/>
    <cellStyle name="Normal 2 25 5" xfId="18810" xr:uid="{00000000-0005-0000-0000-00006B490000}"/>
    <cellStyle name="Normal 2 25 5 2" xfId="18811" xr:uid="{00000000-0005-0000-0000-00006C490000}"/>
    <cellStyle name="Normal 2 25 5 3" xfId="18812" xr:uid="{00000000-0005-0000-0000-00006D490000}"/>
    <cellStyle name="Normal 2 25 6" xfId="18813" xr:uid="{00000000-0005-0000-0000-00006E490000}"/>
    <cellStyle name="Normal 2 25 6 2" xfId="18814" xr:uid="{00000000-0005-0000-0000-00006F490000}"/>
    <cellStyle name="Normal 2 25 6 3" xfId="18815" xr:uid="{00000000-0005-0000-0000-000070490000}"/>
    <cellStyle name="Normal 2 25 7" xfId="18816" xr:uid="{00000000-0005-0000-0000-000071490000}"/>
    <cellStyle name="Normal 2 25 7 2" xfId="18817" xr:uid="{00000000-0005-0000-0000-000072490000}"/>
    <cellStyle name="Normal 2 25 7 3" xfId="18818" xr:uid="{00000000-0005-0000-0000-000073490000}"/>
    <cellStyle name="Normal 2 25 8" xfId="18819" xr:uid="{00000000-0005-0000-0000-000074490000}"/>
    <cellStyle name="Normal 2 25 8 2" xfId="18820" xr:uid="{00000000-0005-0000-0000-000075490000}"/>
    <cellStyle name="Normal 2 25 8 3" xfId="18821" xr:uid="{00000000-0005-0000-0000-000076490000}"/>
    <cellStyle name="Normal 2 25 9" xfId="18822" xr:uid="{00000000-0005-0000-0000-000077490000}"/>
    <cellStyle name="Normal 2 25 9 2" xfId="18823" xr:uid="{00000000-0005-0000-0000-000078490000}"/>
    <cellStyle name="Normal 2 25 9 3" xfId="18824" xr:uid="{00000000-0005-0000-0000-000079490000}"/>
    <cellStyle name="Normal 2 26" xfId="18825" xr:uid="{00000000-0005-0000-0000-00007A490000}"/>
    <cellStyle name="Normal 2 26 10" xfId="18826" xr:uid="{00000000-0005-0000-0000-00007B490000}"/>
    <cellStyle name="Normal 2 26 10 2" xfId="18827" xr:uid="{00000000-0005-0000-0000-00007C490000}"/>
    <cellStyle name="Normal 2 26 10 3" xfId="18828" xr:uid="{00000000-0005-0000-0000-00007D490000}"/>
    <cellStyle name="Normal 2 26 11" xfId="18829" xr:uid="{00000000-0005-0000-0000-00007E490000}"/>
    <cellStyle name="Normal 2 26 11 2" xfId="18830" xr:uid="{00000000-0005-0000-0000-00007F490000}"/>
    <cellStyle name="Normal 2 26 11 3" xfId="18831" xr:uid="{00000000-0005-0000-0000-000080490000}"/>
    <cellStyle name="Normal 2 26 12" xfId="18832" xr:uid="{00000000-0005-0000-0000-000081490000}"/>
    <cellStyle name="Normal 2 26 12 2" xfId="18833" xr:uid="{00000000-0005-0000-0000-000082490000}"/>
    <cellStyle name="Normal 2 26 12 3" xfId="18834" xr:uid="{00000000-0005-0000-0000-000083490000}"/>
    <cellStyle name="Normal 2 26 13" xfId="18835" xr:uid="{00000000-0005-0000-0000-000084490000}"/>
    <cellStyle name="Normal 2 26 13 2" xfId="18836" xr:uid="{00000000-0005-0000-0000-000085490000}"/>
    <cellStyle name="Normal 2 26 13 3" xfId="18837" xr:uid="{00000000-0005-0000-0000-000086490000}"/>
    <cellStyle name="Normal 2 26 14" xfId="18838" xr:uid="{00000000-0005-0000-0000-000087490000}"/>
    <cellStyle name="Normal 2 26 14 2" xfId="18839" xr:uid="{00000000-0005-0000-0000-000088490000}"/>
    <cellStyle name="Normal 2 26 14 3" xfId="18840" xr:uid="{00000000-0005-0000-0000-000089490000}"/>
    <cellStyle name="Normal 2 26 15" xfId="18841" xr:uid="{00000000-0005-0000-0000-00008A490000}"/>
    <cellStyle name="Normal 2 26 15 2" xfId="18842" xr:uid="{00000000-0005-0000-0000-00008B490000}"/>
    <cellStyle name="Normal 2 26 15 3" xfId="18843" xr:uid="{00000000-0005-0000-0000-00008C490000}"/>
    <cellStyle name="Normal 2 26 16" xfId="18844" xr:uid="{00000000-0005-0000-0000-00008D490000}"/>
    <cellStyle name="Normal 2 26 16 2" xfId="18845" xr:uid="{00000000-0005-0000-0000-00008E490000}"/>
    <cellStyle name="Normal 2 26 16 3" xfId="18846" xr:uid="{00000000-0005-0000-0000-00008F490000}"/>
    <cellStyle name="Normal 2 26 17" xfId="18847" xr:uid="{00000000-0005-0000-0000-000090490000}"/>
    <cellStyle name="Normal 2 26 17 2" xfId="18848" xr:uid="{00000000-0005-0000-0000-000091490000}"/>
    <cellStyle name="Normal 2 26 17 3" xfId="18849" xr:uid="{00000000-0005-0000-0000-000092490000}"/>
    <cellStyle name="Normal 2 26 18" xfId="18850" xr:uid="{00000000-0005-0000-0000-000093490000}"/>
    <cellStyle name="Normal 2 26 18 2" xfId="18851" xr:uid="{00000000-0005-0000-0000-000094490000}"/>
    <cellStyle name="Normal 2 26 18 3" xfId="18852" xr:uid="{00000000-0005-0000-0000-000095490000}"/>
    <cellStyle name="Normal 2 26 19" xfId="18853" xr:uid="{00000000-0005-0000-0000-000096490000}"/>
    <cellStyle name="Normal 2 26 19 2" xfId="18854" xr:uid="{00000000-0005-0000-0000-000097490000}"/>
    <cellStyle name="Normal 2 26 19 3" xfId="18855" xr:uid="{00000000-0005-0000-0000-000098490000}"/>
    <cellStyle name="Normal 2 26 2" xfId="18856" xr:uid="{00000000-0005-0000-0000-000099490000}"/>
    <cellStyle name="Normal 2 26 2 2" xfId="18857" xr:uid="{00000000-0005-0000-0000-00009A490000}"/>
    <cellStyle name="Normal 2 26 2 3" xfId="18858" xr:uid="{00000000-0005-0000-0000-00009B490000}"/>
    <cellStyle name="Normal 2 26 20" xfId="18859" xr:uid="{00000000-0005-0000-0000-00009C490000}"/>
    <cellStyle name="Normal 2 26 20 2" xfId="18860" xr:uid="{00000000-0005-0000-0000-00009D490000}"/>
    <cellStyle name="Normal 2 26 20 3" xfId="18861" xr:uid="{00000000-0005-0000-0000-00009E490000}"/>
    <cellStyle name="Normal 2 26 21" xfId="18862" xr:uid="{00000000-0005-0000-0000-00009F490000}"/>
    <cellStyle name="Normal 2 26 21 2" xfId="18863" xr:uid="{00000000-0005-0000-0000-0000A0490000}"/>
    <cellStyle name="Normal 2 26 21 3" xfId="18864" xr:uid="{00000000-0005-0000-0000-0000A1490000}"/>
    <cellStyle name="Normal 2 26 22" xfId="18865" xr:uid="{00000000-0005-0000-0000-0000A2490000}"/>
    <cellStyle name="Normal 2 26 22 2" xfId="18866" xr:uid="{00000000-0005-0000-0000-0000A3490000}"/>
    <cellStyle name="Normal 2 26 22 3" xfId="18867" xr:uid="{00000000-0005-0000-0000-0000A4490000}"/>
    <cellStyle name="Normal 2 26 23" xfId="18868" xr:uid="{00000000-0005-0000-0000-0000A5490000}"/>
    <cellStyle name="Normal 2 26 23 2" xfId="18869" xr:uid="{00000000-0005-0000-0000-0000A6490000}"/>
    <cellStyle name="Normal 2 26 23 3" xfId="18870" xr:uid="{00000000-0005-0000-0000-0000A7490000}"/>
    <cellStyle name="Normal 2 26 24" xfId="18871" xr:uid="{00000000-0005-0000-0000-0000A8490000}"/>
    <cellStyle name="Normal 2 26 25" xfId="18872" xr:uid="{00000000-0005-0000-0000-0000A9490000}"/>
    <cellStyle name="Normal 2 26 3" xfId="18873" xr:uid="{00000000-0005-0000-0000-0000AA490000}"/>
    <cellStyle name="Normal 2 26 3 2" xfId="18874" xr:uid="{00000000-0005-0000-0000-0000AB490000}"/>
    <cellStyle name="Normal 2 26 3 3" xfId="18875" xr:uid="{00000000-0005-0000-0000-0000AC490000}"/>
    <cellStyle name="Normal 2 26 4" xfId="18876" xr:uid="{00000000-0005-0000-0000-0000AD490000}"/>
    <cellStyle name="Normal 2 26 4 2" xfId="18877" xr:uid="{00000000-0005-0000-0000-0000AE490000}"/>
    <cellStyle name="Normal 2 26 4 3" xfId="18878" xr:uid="{00000000-0005-0000-0000-0000AF490000}"/>
    <cellStyle name="Normal 2 26 5" xfId="18879" xr:uid="{00000000-0005-0000-0000-0000B0490000}"/>
    <cellStyle name="Normal 2 26 5 2" xfId="18880" xr:uid="{00000000-0005-0000-0000-0000B1490000}"/>
    <cellStyle name="Normal 2 26 5 3" xfId="18881" xr:uid="{00000000-0005-0000-0000-0000B2490000}"/>
    <cellStyle name="Normal 2 26 6" xfId="18882" xr:uid="{00000000-0005-0000-0000-0000B3490000}"/>
    <cellStyle name="Normal 2 26 6 2" xfId="18883" xr:uid="{00000000-0005-0000-0000-0000B4490000}"/>
    <cellStyle name="Normal 2 26 6 3" xfId="18884" xr:uid="{00000000-0005-0000-0000-0000B5490000}"/>
    <cellStyle name="Normal 2 26 7" xfId="18885" xr:uid="{00000000-0005-0000-0000-0000B6490000}"/>
    <cellStyle name="Normal 2 26 7 2" xfId="18886" xr:uid="{00000000-0005-0000-0000-0000B7490000}"/>
    <cellStyle name="Normal 2 26 7 3" xfId="18887" xr:uid="{00000000-0005-0000-0000-0000B8490000}"/>
    <cellStyle name="Normal 2 26 8" xfId="18888" xr:uid="{00000000-0005-0000-0000-0000B9490000}"/>
    <cellStyle name="Normal 2 26 8 2" xfId="18889" xr:uid="{00000000-0005-0000-0000-0000BA490000}"/>
    <cellStyle name="Normal 2 26 8 3" xfId="18890" xr:uid="{00000000-0005-0000-0000-0000BB490000}"/>
    <cellStyle name="Normal 2 26 9" xfId="18891" xr:uid="{00000000-0005-0000-0000-0000BC490000}"/>
    <cellStyle name="Normal 2 26 9 2" xfId="18892" xr:uid="{00000000-0005-0000-0000-0000BD490000}"/>
    <cellStyle name="Normal 2 26 9 3" xfId="18893" xr:uid="{00000000-0005-0000-0000-0000BE490000}"/>
    <cellStyle name="Normal 2 27" xfId="18894" xr:uid="{00000000-0005-0000-0000-0000BF490000}"/>
    <cellStyle name="Normal 2 27 10" xfId="18895" xr:uid="{00000000-0005-0000-0000-0000C0490000}"/>
    <cellStyle name="Normal 2 27 10 2" xfId="18896" xr:uid="{00000000-0005-0000-0000-0000C1490000}"/>
    <cellStyle name="Normal 2 27 10 3" xfId="18897" xr:uid="{00000000-0005-0000-0000-0000C2490000}"/>
    <cellStyle name="Normal 2 27 11" xfId="18898" xr:uid="{00000000-0005-0000-0000-0000C3490000}"/>
    <cellStyle name="Normal 2 27 11 2" xfId="18899" xr:uid="{00000000-0005-0000-0000-0000C4490000}"/>
    <cellStyle name="Normal 2 27 11 3" xfId="18900" xr:uid="{00000000-0005-0000-0000-0000C5490000}"/>
    <cellStyle name="Normal 2 27 12" xfId="18901" xr:uid="{00000000-0005-0000-0000-0000C6490000}"/>
    <cellStyle name="Normal 2 27 12 2" xfId="18902" xr:uid="{00000000-0005-0000-0000-0000C7490000}"/>
    <cellStyle name="Normal 2 27 12 3" xfId="18903" xr:uid="{00000000-0005-0000-0000-0000C8490000}"/>
    <cellStyle name="Normal 2 27 13" xfId="18904" xr:uid="{00000000-0005-0000-0000-0000C9490000}"/>
    <cellStyle name="Normal 2 27 13 2" xfId="18905" xr:uid="{00000000-0005-0000-0000-0000CA490000}"/>
    <cellStyle name="Normal 2 27 13 3" xfId="18906" xr:uid="{00000000-0005-0000-0000-0000CB490000}"/>
    <cellStyle name="Normal 2 27 14" xfId="18907" xr:uid="{00000000-0005-0000-0000-0000CC490000}"/>
    <cellStyle name="Normal 2 27 14 2" xfId="18908" xr:uid="{00000000-0005-0000-0000-0000CD490000}"/>
    <cellStyle name="Normal 2 27 14 3" xfId="18909" xr:uid="{00000000-0005-0000-0000-0000CE490000}"/>
    <cellStyle name="Normal 2 27 15" xfId="18910" xr:uid="{00000000-0005-0000-0000-0000CF490000}"/>
    <cellStyle name="Normal 2 27 15 2" xfId="18911" xr:uid="{00000000-0005-0000-0000-0000D0490000}"/>
    <cellStyle name="Normal 2 27 15 3" xfId="18912" xr:uid="{00000000-0005-0000-0000-0000D1490000}"/>
    <cellStyle name="Normal 2 27 16" xfId="18913" xr:uid="{00000000-0005-0000-0000-0000D2490000}"/>
    <cellStyle name="Normal 2 27 16 2" xfId="18914" xr:uid="{00000000-0005-0000-0000-0000D3490000}"/>
    <cellStyle name="Normal 2 27 16 3" xfId="18915" xr:uid="{00000000-0005-0000-0000-0000D4490000}"/>
    <cellStyle name="Normal 2 27 17" xfId="18916" xr:uid="{00000000-0005-0000-0000-0000D5490000}"/>
    <cellStyle name="Normal 2 27 17 2" xfId="18917" xr:uid="{00000000-0005-0000-0000-0000D6490000}"/>
    <cellStyle name="Normal 2 27 17 3" xfId="18918" xr:uid="{00000000-0005-0000-0000-0000D7490000}"/>
    <cellStyle name="Normal 2 27 18" xfId="18919" xr:uid="{00000000-0005-0000-0000-0000D8490000}"/>
    <cellStyle name="Normal 2 27 18 2" xfId="18920" xr:uid="{00000000-0005-0000-0000-0000D9490000}"/>
    <cellStyle name="Normal 2 27 18 3" xfId="18921" xr:uid="{00000000-0005-0000-0000-0000DA490000}"/>
    <cellStyle name="Normal 2 27 19" xfId="18922" xr:uid="{00000000-0005-0000-0000-0000DB490000}"/>
    <cellStyle name="Normal 2 27 19 2" xfId="18923" xr:uid="{00000000-0005-0000-0000-0000DC490000}"/>
    <cellStyle name="Normal 2 27 19 3" xfId="18924" xr:uid="{00000000-0005-0000-0000-0000DD490000}"/>
    <cellStyle name="Normal 2 27 2" xfId="18925" xr:uid="{00000000-0005-0000-0000-0000DE490000}"/>
    <cellStyle name="Normal 2 27 2 2" xfId="18926" xr:uid="{00000000-0005-0000-0000-0000DF490000}"/>
    <cellStyle name="Normal 2 27 2 3" xfId="18927" xr:uid="{00000000-0005-0000-0000-0000E0490000}"/>
    <cellStyle name="Normal 2 27 20" xfId="18928" xr:uid="{00000000-0005-0000-0000-0000E1490000}"/>
    <cellStyle name="Normal 2 27 20 2" xfId="18929" xr:uid="{00000000-0005-0000-0000-0000E2490000}"/>
    <cellStyle name="Normal 2 27 20 3" xfId="18930" xr:uid="{00000000-0005-0000-0000-0000E3490000}"/>
    <cellStyle name="Normal 2 27 21" xfId="18931" xr:uid="{00000000-0005-0000-0000-0000E4490000}"/>
    <cellStyle name="Normal 2 27 21 2" xfId="18932" xr:uid="{00000000-0005-0000-0000-0000E5490000}"/>
    <cellStyle name="Normal 2 27 21 3" xfId="18933" xr:uid="{00000000-0005-0000-0000-0000E6490000}"/>
    <cellStyle name="Normal 2 27 22" xfId="18934" xr:uid="{00000000-0005-0000-0000-0000E7490000}"/>
    <cellStyle name="Normal 2 27 22 2" xfId="18935" xr:uid="{00000000-0005-0000-0000-0000E8490000}"/>
    <cellStyle name="Normal 2 27 22 3" xfId="18936" xr:uid="{00000000-0005-0000-0000-0000E9490000}"/>
    <cellStyle name="Normal 2 27 23" xfId="18937" xr:uid="{00000000-0005-0000-0000-0000EA490000}"/>
    <cellStyle name="Normal 2 27 23 2" xfId="18938" xr:uid="{00000000-0005-0000-0000-0000EB490000}"/>
    <cellStyle name="Normal 2 27 23 3" xfId="18939" xr:uid="{00000000-0005-0000-0000-0000EC490000}"/>
    <cellStyle name="Normal 2 27 24" xfId="18940" xr:uid="{00000000-0005-0000-0000-0000ED490000}"/>
    <cellStyle name="Normal 2 27 25" xfId="18941" xr:uid="{00000000-0005-0000-0000-0000EE490000}"/>
    <cellStyle name="Normal 2 27 3" xfId="18942" xr:uid="{00000000-0005-0000-0000-0000EF490000}"/>
    <cellStyle name="Normal 2 27 3 2" xfId="18943" xr:uid="{00000000-0005-0000-0000-0000F0490000}"/>
    <cellStyle name="Normal 2 27 3 3" xfId="18944" xr:uid="{00000000-0005-0000-0000-0000F1490000}"/>
    <cellStyle name="Normal 2 27 4" xfId="18945" xr:uid="{00000000-0005-0000-0000-0000F2490000}"/>
    <cellStyle name="Normal 2 27 4 2" xfId="18946" xr:uid="{00000000-0005-0000-0000-0000F3490000}"/>
    <cellStyle name="Normal 2 27 4 3" xfId="18947" xr:uid="{00000000-0005-0000-0000-0000F4490000}"/>
    <cellStyle name="Normal 2 27 5" xfId="18948" xr:uid="{00000000-0005-0000-0000-0000F5490000}"/>
    <cellStyle name="Normal 2 27 5 2" xfId="18949" xr:uid="{00000000-0005-0000-0000-0000F6490000}"/>
    <cellStyle name="Normal 2 27 5 3" xfId="18950" xr:uid="{00000000-0005-0000-0000-0000F7490000}"/>
    <cellStyle name="Normal 2 27 6" xfId="18951" xr:uid="{00000000-0005-0000-0000-0000F8490000}"/>
    <cellStyle name="Normal 2 27 6 2" xfId="18952" xr:uid="{00000000-0005-0000-0000-0000F9490000}"/>
    <cellStyle name="Normal 2 27 6 3" xfId="18953" xr:uid="{00000000-0005-0000-0000-0000FA490000}"/>
    <cellStyle name="Normal 2 27 7" xfId="18954" xr:uid="{00000000-0005-0000-0000-0000FB490000}"/>
    <cellStyle name="Normal 2 27 7 2" xfId="18955" xr:uid="{00000000-0005-0000-0000-0000FC490000}"/>
    <cellStyle name="Normal 2 27 7 3" xfId="18956" xr:uid="{00000000-0005-0000-0000-0000FD490000}"/>
    <cellStyle name="Normal 2 27 8" xfId="18957" xr:uid="{00000000-0005-0000-0000-0000FE490000}"/>
    <cellStyle name="Normal 2 27 8 2" xfId="18958" xr:uid="{00000000-0005-0000-0000-0000FF490000}"/>
    <cellStyle name="Normal 2 27 8 3" xfId="18959" xr:uid="{00000000-0005-0000-0000-0000004A0000}"/>
    <cellStyle name="Normal 2 27 9" xfId="18960" xr:uid="{00000000-0005-0000-0000-0000014A0000}"/>
    <cellStyle name="Normal 2 27 9 2" xfId="18961" xr:uid="{00000000-0005-0000-0000-0000024A0000}"/>
    <cellStyle name="Normal 2 27 9 3" xfId="18962" xr:uid="{00000000-0005-0000-0000-0000034A0000}"/>
    <cellStyle name="Normal 2 28" xfId="18963" xr:uid="{00000000-0005-0000-0000-0000044A0000}"/>
    <cellStyle name="Normal 2 28 10" xfId="18964" xr:uid="{00000000-0005-0000-0000-0000054A0000}"/>
    <cellStyle name="Normal 2 28 10 2" xfId="18965" xr:uid="{00000000-0005-0000-0000-0000064A0000}"/>
    <cellStyle name="Normal 2 28 10 3" xfId="18966" xr:uid="{00000000-0005-0000-0000-0000074A0000}"/>
    <cellStyle name="Normal 2 28 11" xfId="18967" xr:uid="{00000000-0005-0000-0000-0000084A0000}"/>
    <cellStyle name="Normal 2 28 11 2" xfId="18968" xr:uid="{00000000-0005-0000-0000-0000094A0000}"/>
    <cellStyle name="Normal 2 28 11 3" xfId="18969" xr:uid="{00000000-0005-0000-0000-00000A4A0000}"/>
    <cellStyle name="Normal 2 28 12" xfId="18970" xr:uid="{00000000-0005-0000-0000-00000B4A0000}"/>
    <cellStyle name="Normal 2 28 12 2" xfId="18971" xr:uid="{00000000-0005-0000-0000-00000C4A0000}"/>
    <cellStyle name="Normal 2 28 12 3" xfId="18972" xr:uid="{00000000-0005-0000-0000-00000D4A0000}"/>
    <cellStyle name="Normal 2 28 13" xfId="18973" xr:uid="{00000000-0005-0000-0000-00000E4A0000}"/>
    <cellStyle name="Normal 2 28 13 2" xfId="18974" xr:uid="{00000000-0005-0000-0000-00000F4A0000}"/>
    <cellStyle name="Normal 2 28 13 3" xfId="18975" xr:uid="{00000000-0005-0000-0000-0000104A0000}"/>
    <cellStyle name="Normal 2 28 14" xfId="18976" xr:uid="{00000000-0005-0000-0000-0000114A0000}"/>
    <cellStyle name="Normal 2 28 14 2" xfId="18977" xr:uid="{00000000-0005-0000-0000-0000124A0000}"/>
    <cellStyle name="Normal 2 28 14 3" xfId="18978" xr:uid="{00000000-0005-0000-0000-0000134A0000}"/>
    <cellStyle name="Normal 2 28 15" xfId="18979" xr:uid="{00000000-0005-0000-0000-0000144A0000}"/>
    <cellStyle name="Normal 2 28 15 2" xfId="18980" xr:uid="{00000000-0005-0000-0000-0000154A0000}"/>
    <cellStyle name="Normal 2 28 15 3" xfId="18981" xr:uid="{00000000-0005-0000-0000-0000164A0000}"/>
    <cellStyle name="Normal 2 28 16" xfId="18982" xr:uid="{00000000-0005-0000-0000-0000174A0000}"/>
    <cellStyle name="Normal 2 28 16 2" xfId="18983" xr:uid="{00000000-0005-0000-0000-0000184A0000}"/>
    <cellStyle name="Normal 2 28 16 3" xfId="18984" xr:uid="{00000000-0005-0000-0000-0000194A0000}"/>
    <cellStyle name="Normal 2 28 17" xfId="18985" xr:uid="{00000000-0005-0000-0000-00001A4A0000}"/>
    <cellStyle name="Normal 2 28 17 2" xfId="18986" xr:uid="{00000000-0005-0000-0000-00001B4A0000}"/>
    <cellStyle name="Normal 2 28 17 3" xfId="18987" xr:uid="{00000000-0005-0000-0000-00001C4A0000}"/>
    <cellStyle name="Normal 2 28 18" xfId="18988" xr:uid="{00000000-0005-0000-0000-00001D4A0000}"/>
    <cellStyle name="Normal 2 28 18 2" xfId="18989" xr:uid="{00000000-0005-0000-0000-00001E4A0000}"/>
    <cellStyle name="Normal 2 28 18 3" xfId="18990" xr:uid="{00000000-0005-0000-0000-00001F4A0000}"/>
    <cellStyle name="Normal 2 28 19" xfId="18991" xr:uid="{00000000-0005-0000-0000-0000204A0000}"/>
    <cellStyle name="Normal 2 28 19 2" xfId="18992" xr:uid="{00000000-0005-0000-0000-0000214A0000}"/>
    <cellStyle name="Normal 2 28 19 3" xfId="18993" xr:uid="{00000000-0005-0000-0000-0000224A0000}"/>
    <cellStyle name="Normal 2 28 2" xfId="18994" xr:uid="{00000000-0005-0000-0000-0000234A0000}"/>
    <cellStyle name="Normal 2 28 2 2" xfId="18995" xr:uid="{00000000-0005-0000-0000-0000244A0000}"/>
    <cellStyle name="Normal 2 28 2 3" xfId="18996" xr:uid="{00000000-0005-0000-0000-0000254A0000}"/>
    <cellStyle name="Normal 2 28 20" xfId="18997" xr:uid="{00000000-0005-0000-0000-0000264A0000}"/>
    <cellStyle name="Normal 2 28 20 2" xfId="18998" xr:uid="{00000000-0005-0000-0000-0000274A0000}"/>
    <cellStyle name="Normal 2 28 20 3" xfId="18999" xr:uid="{00000000-0005-0000-0000-0000284A0000}"/>
    <cellStyle name="Normal 2 28 21" xfId="19000" xr:uid="{00000000-0005-0000-0000-0000294A0000}"/>
    <cellStyle name="Normal 2 28 21 2" xfId="19001" xr:uid="{00000000-0005-0000-0000-00002A4A0000}"/>
    <cellStyle name="Normal 2 28 21 3" xfId="19002" xr:uid="{00000000-0005-0000-0000-00002B4A0000}"/>
    <cellStyle name="Normal 2 28 22" xfId="19003" xr:uid="{00000000-0005-0000-0000-00002C4A0000}"/>
    <cellStyle name="Normal 2 28 22 2" xfId="19004" xr:uid="{00000000-0005-0000-0000-00002D4A0000}"/>
    <cellStyle name="Normal 2 28 22 3" xfId="19005" xr:uid="{00000000-0005-0000-0000-00002E4A0000}"/>
    <cellStyle name="Normal 2 28 23" xfId="19006" xr:uid="{00000000-0005-0000-0000-00002F4A0000}"/>
    <cellStyle name="Normal 2 28 23 2" xfId="19007" xr:uid="{00000000-0005-0000-0000-0000304A0000}"/>
    <cellStyle name="Normal 2 28 23 3" xfId="19008" xr:uid="{00000000-0005-0000-0000-0000314A0000}"/>
    <cellStyle name="Normal 2 28 24" xfId="19009" xr:uid="{00000000-0005-0000-0000-0000324A0000}"/>
    <cellStyle name="Normal 2 28 25" xfId="19010" xr:uid="{00000000-0005-0000-0000-0000334A0000}"/>
    <cellStyle name="Normal 2 28 3" xfId="19011" xr:uid="{00000000-0005-0000-0000-0000344A0000}"/>
    <cellStyle name="Normal 2 28 3 2" xfId="19012" xr:uid="{00000000-0005-0000-0000-0000354A0000}"/>
    <cellStyle name="Normal 2 28 3 3" xfId="19013" xr:uid="{00000000-0005-0000-0000-0000364A0000}"/>
    <cellStyle name="Normal 2 28 4" xfId="19014" xr:uid="{00000000-0005-0000-0000-0000374A0000}"/>
    <cellStyle name="Normal 2 28 4 2" xfId="19015" xr:uid="{00000000-0005-0000-0000-0000384A0000}"/>
    <cellStyle name="Normal 2 28 4 3" xfId="19016" xr:uid="{00000000-0005-0000-0000-0000394A0000}"/>
    <cellStyle name="Normal 2 28 5" xfId="19017" xr:uid="{00000000-0005-0000-0000-00003A4A0000}"/>
    <cellStyle name="Normal 2 28 5 2" xfId="19018" xr:uid="{00000000-0005-0000-0000-00003B4A0000}"/>
    <cellStyle name="Normal 2 28 5 3" xfId="19019" xr:uid="{00000000-0005-0000-0000-00003C4A0000}"/>
    <cellStyle name="Normal 2 28 6" xfId="19020" xr:uid="{00000000-0005-0000-0000-00003D4A0000}"/>
    <cellStyle name="Normal 2 28 6 2" xfId="19021" xr:uid="{00000000-0005-0000-0000-00003E4A0000}"/>
    <cellStyle name="Normal 2 28 6 3" xfId="19022" xr:uid="{00000000-0005-0000-0000-00003F4A0000}"/>
    <cellStyle name="Normal 2 28 7" xfId="19023" xr:uid="{00000000-0005-0000-0000-0000404A0000}"/>
    <cellStyle name="Normal 2 28 7 2" xfId="19024" xr:uid="{00000000-0005-0000-0000-0000414A0000}"/>
    <cellStyle name="Normal 2 28 7 3" xfId="19025" xr:uid="{00000000-0005-0000-0000-0000424A0000}"/>
    <cellStyle name="Normal 2 28 8" xfId="19026" xr:uid="{00000000-0005-0000-0000-0000434A0000}"/>
    <cellStyle name="Normal 2 28 8 2" xfId="19027" xr:uid="{00000000-0005-0000-0000-0000444A0000}"/>
    <cellStyle name="Normal 2 28 8 3" xfId="19028" xr:uid="{00000000-0005-0000-0000-0000454A0000}"/>
    <cellStyle name="Normal 2 28 9" xfId="19029" xr:uid="{00000000-0005-0000-0000-0000464A0000}"/>
    <cellStyle name="Normal 2 28 9 2" xfId="19030" xr:uid="{00000000-0005-0000-0000-0000474A0000}"/>
    <cellStyle name="Normal 2 28 9 3" xfId="19031" xr:uid="{00000000-0005-0000-0000-0000484A0000}"/>
    <cellStyle name="Normal 2 29" xfId="19032" xr:uid="{00000000-0005-0000-0000-0000494A0000}"/>
    <cellStyle name="Normal 2 29 10" xfId="19033" xr:uid="{00000000-0005-0000-0000-00004A4A0000}"/>
    <cellStyle name="Normal 2 29 10 2" xfId="19034" xr:uid="{00000000-0005-0000-0000-00004B4A0000}"/>
    <cellStyle name="Normal 2 29 10 3" xfId="19035" xr:uid="{00000000-0005-0000-0000-00004C4A0000}"/>
    <cellStyle name="Normal 2 29 11" xfId="19036" xr:uid="{00000000-0005-0000-0000-00004D4A0000}"/>
    <cellStyle name="Normal 2 29 11 2" xfId="19037" xr:uid="{00000000-0005-0000-0000-00004E4A0000}"/>
    <cellStyle name="Normal 2 29 11 3" xfId="19038" xr:uid="{00000000-0005-0000-0000-00004F4A0000}"/>
    <cellStyle name="Normal 2 29 12" xfId="19039" xr:uid="{00000000-0005-0000-0000-0000504A0000}"/>
    <cellStyle name="Normal 2 29 12 2" xfId="19040" xr:uid="{00000000-0005-0000-0000-0000514A0000}"/>
    <cellStyle name="Normal 2 29 12 3" xfId="19041" xr:uid="{00000000-0005-0000-0000-0000524A0000}"/>
    <cellStyle name="Normal 2 29 13" xfId="19042" xr:uid="{00000000-0005-0000-0000-0000534A0000}"/>
    <cellStyle name="Normal 2 29 13 2" xfId="19043" xr:uid="{00000000-0005-0000-0000-0000544A0000}"/>
    <cellStyle name="Normal 2 29 13 3" xfId="19044" xr:uid="{00000000-0005-0000-0000-0000554A0000}"/>
    <cellStyle name="Normal 2 29 14" xfId="19045" xr:uid="{00000000-0005-0000-0000-0000564A0000}"/>
    <cellStyle name="Normal 2 29 14 2" xfId="19046" xr:uid="{00000000-0005-0000-0000-0000574A0000}"/>
    <cellStyle name="Normal 2 29 14 3" xfId="19047" xr:uid="{00000000-0005-0000-0000-0000584A0000}"/>
    <cellStyle name="Normal 2 29 15" xfId="19048" xr:uid="{00000000-0005-0000-0000-0000594A0000}"/>
    <cellStyle name="Normal 2 29 15 2" xfId="19049" xr:uid="{00000000-0005-0000-0000-00005A4A0000}"/>
    <cellStyle name="Normal 2 29 15 3" xfId="19050" xr:uid="{00000000-0005-0000-0000-00005B4A0000}"/>
    <cellStyle name="Normal 2 29 16" xfId="19051" xr:uid="{00000000-0005-0000-0000-00005C4A0000}"/>
    <cellStyle name="Normal 2 29 16 2" xfId="19052" xr:uid="{00000000-0005-0000-0000-00005D4A0000}"/>
    <cellStyle name="Normal 2 29 16 3" xfId="19053" xr:uid="{00000000-0005-0000-0000-00005E4A0000}"/>
    <cellStyle name="Normal 2 29 17" xfId="19054" xr:uid="{00000000-0005-0000-0000-00005F4A0000}"/>
    <cellStyle name="Normal 2 29 17 2" xfId="19055" xr:uid="{00000000-0005-0000-0000-0000604A0000}"/>
    <cellStyle name="Normal 2 29 17 3" xfId="19056" xr:uid="{00000000-0005-0000-0000-0000614A0000}"/>
    <cellStyle name="Normal 2 29 18" xfId="19057" xr:uid="{00000000-0005-0000-0000-0000624A0000}"/>
    <cellStyle name="Normal 2 29 18 2" xfId="19058" xr:uid="{00000000-0005-0000-0000-0000634A0000}"/>
    <cellStyle name="Normal 2 29 18 3" xfId="19059" xr:uid="{00000000-0005-0000-0000-0000644A0000}"/>
    <cellStyle name="Normal 2 29 19" xfId="19060" xr:uid="{00000000-0005-0000-0000-0000654A0000}"/>
    <cellStyle name="Normal 2 29 19 2" xfId="19061" xr:uid="{00000000-0005-0000-0000-0000664A0000}"/>
    <cellStyle name="Normal 2 29 19 3" xfId="19062" xr:uid="{00000000-0005-0000-0000-0000674A0000}"/>
    <cellStyle name="Normal 2 29 2" xfId="19063" xr:uid="{00000000-0005-0000-0000-0000684A0000}"/>
    <cellStyle name="Normal 2 29 2 2" xfId="19064" xr:uid="{00000000-0005-0000-0000-0000694A0000}"/>
    <cellStyle name="Normal 2 29 2 3" xfId="19065" xr:uid="{00000000-0005-0000-0000-00006A4A0000}"/>
    <cellStyle name="Normal 2 29 20" xfId="19066" xr:uid="{00000000-0005-0000-0000-00006B4A0000}"/>
    <cellStyle name="Normal 2 29 20 2" xfId="19067" xr:uid="{00000000-0005-0000-0000-00006C4A0000}"/>
    <cellStyle name="Normal 2 29 20 3" xfId="19068" xr:uid="{00000000-0005-0000-0000-00006D4A0000}"/>
    <cellStyle name="Normal 2 29 21" xfId="19069" xr:uid="{00000000-0005-0000-0000-00006E4A0000}"/>
    <cellStyle name="Normal 2 29 21 2" xfId="19070" xr:uid="{00000000-0005-0000-0000-00006F4A0000}"/>
    <cellStyle name="Normal 2 29 21 3" xfId="19071" xr:uid="{00000000-0005-0000-0000-0000704A0000}"/>
    <cellStyle name="Normal 2 29 22" xfId="19072" xr:uid="{00000000-0005-0000-0000-0000714A0000}"/>
    <cellStyle name="Normal 2 29 22 2" xfId="19073" xr:uid="{00000000-0005-0000-0000-0000724A0000}"/>
    <cellStyle name="Normal 2 29 22 3" xfId="19074" xr:uid="{00000000-0005-0000-0000-0000734A0000}"/>
    <cellStyle name="Normal 2 29 23" xfId="19075" xr:uid="{00000000-0005-0000-0000-0000744A0000}"/>
    <cellStyle name="Normal 2 29 23 2" xfId="19076" xr:uid="{00000000-0005-0000-0000-0000754A0000}"/>
    <cellStyle name="Normal 2 29 23 3" xfId="19077" xr:uid="{00000000-0005-0000-0000-0000764A0000}"/>
    <cellStyle name="Normal 2 29 24" xfId="19078" xr:uid="{00000000-0005-0000-0000-0000774A0000}"/>
    <cellStyle name="Normal 2 29 25" xfId="19079" xr:uid="{00000000-0005-0000-0000-0000784A0000}"/>
    <cellStyle name="Normal 2 29 3" xfId="19080" xr:uid="{00000000-0005-0000-0000-0000794A0000}"/>
    <cellStyle name="Normal 2 29 3 2" xfId="19081" xr:uid="{00000000-0005-0000-0000-00007A4A0000}"/>
    <cellStyle name="Normal 2 29 3 3" xfId="19082" xr:uid="{00000000-0005-0000-0000-00007B4A0000}"/>
    <cellStyle name="Normal 2 29 4" xfId="19083" xr:uid="{00000000-0005-0000-0000-00007C4A0000}"/>
    <cellStyle name="Normal 2 29 4 2" xfId="19084" xr:uid="{00000000-0005-0000-0000-00007D4A0000}"/>
    <cellStyle name="Normal 2 29 4 3" xfId="19085" xr:uid="{00000000-0005-0000-0000-00007E4A0000}"/>
    <cellStyle name="Normal 2 29 5" xfId="19086" xr:uid="{00000000-0005-0000-0000-00007F4A0000}"/>
    <cellStyle name="Normal 2 29 5 2" xfId="19087" xr:uid="{00000000-0005-0000-0000-0000804A0000}"/>
    <cellStyle name="Normal 2 29 5 3" xfId="19088" xr:uid="{00000000-0005-0000-0000-0000814A0000}"/>
    <cellStyle name="Normal 2 29 6" xfId="19089" xr:uid="{00000000-0005-0000-0000-0000824A0000}"/>
    <cellStyle name="Normal 2 29 6 2" xfId="19090" xr:uid="{00000000-0005-0000-0000-0000834A0000}"/>
    <cellStyle name="Normal 2 29 6 3" xfId="19091" xr:uid="{00000000-0005-0000-0000-0000844A0000}"/>
    <cellStyle name="Normal 2 29 7" xfId="19092" xr:uid="{00000000-0005-0000-0000-0000854A0000}"/>
    <cellStyle name="Normal 2 29 7 2" xfId="19093" xr:uid="{00000000-0005-0000-0000-0000864A0000}"/>
    <cellStyle name="Normal 2 29 7 3" xfId="19094" xr:uid="{00000000-0005-0000-0000-0000874A0000}"/>
    <cellStyle name="Normal 2 29 8" xfId="19095" xr:uid="{00000000-0005-0000-0000-0000884A0000}"/>
    <cellStyle name="Normal 2 29 8 2" xfId="19096" xr:uid="{00000000-0005-0000-0000-0000894A0000}"/>
    <cellStyle name="Normal 2 29 8 3" xfId="19097" xr:uid="{00000000-0005-0000-0000-00008A4A0000}"/>
    <cellStyle name="Normal 2 29 9" xfId="19098" xr:uid="{00000000-0005-0000-0000-00008B4A0000}"/>
    <cellStyle name="Normal 2 29 9 2" xfId="19099" xr:uid="{00000000-0005-0000-0000-00008C4A0000}"/>
    <cellStyle name="Normal 2 29 9 3" xfId="19100" xr:uid="{00000000-0005-0000-0000-00008D4A0000}"/>
    <cellStyle name="Normal 2 3" xfId="19101" xr:uid="{00000000-0005-0000-0000-00008E4A0000}"/>
    <cellStyle name="Normal 2 3 10" xfId="19102" xr:uid="{00000000-0005-0000-0000-00008F4A0000}"/>
    <cellStyle name="Normal 2 3 2" xfId="19103" xr:uid="{00000000-0005-0000-0000-0000904A0000}"/>
    <cellStyle name="Normal 2 3 2 2" xfId="19104" xr:uid="{00000000-0005-0000-0000-0000914A0000}"/>
    <cellStyle name="Normal 2 3 2 2 2" xfId="19105" xr:uid="{00000000-0005-0000-0000-0000924A0000}"/>
    <cellStyle name="Normal 2 3 2 2 3" xfId="19106" xr:uid="{00000000-0005-0000-0000-0000934A0000}"/>
    <cellStyle name="Normal 2 3 2 2 4" xfId="19107" xr:uid="{00000000-0005-0000-0000-0000944A0000}"/>
    <cellStyle name="Normal 2 3 2 3" xfId="19108" xr:uid="{00000000-0005-0000-0000-0000954A0000}"/>
    <cellStyle name="Normal 2 3 2 3 2" xfId="19109" xr:uid="{00000000-0005-0000-0000-0000964A0000}"/>
    <cellStyle name="Normal 2 3 2 4" xfId="19110" xr:uid="{00000000-0005-0000-0000-0000974A0000}"/>
    <cellStyle name="Normal 2 3 2 5" xfId="19111" xr:uid="{00000000-0005-0000-0000-0000984A0000}"/>
    <cellStyle name="Normal 2 3 2 6" xfId="19112" xr:uid="{00000000-0005-0000-0000-0000994A0000}"/>
    <cellStyle name="Normal 2 3 3" xfId="19113" xr:uid="{00000000-0005-0000-0000-00009A4A0000}"/>
    <cellStyle name="Normal 2 3 3 2" xfId="19114" xr:uid="{00000000-0005-0000-0000-00009B4A0000}"/>
    <cellStyle name="Normal 2 3 3 2 2" xfId="19115" xr:uid="{00000000-0005-0000-0000-00009C4A0000}"/>
    <cellStyle name="Normal 2 3 3 3" xfId="19116" xr:uid="{00000000-0005-0000-0000-00009D4A0000}"/>
    <cellStyle name="Normal 2 3 3 4" xfId="19117" xr:uid="{00000000-0005-0000-0000-00009E4A0000}"/>
    <cellStyle name="Normal 2 3 3 5" xfId="19118" xr:uid="{00000000-0005-0000-0000-00009F4A0000}"/>
    <cellStyle name="Normal 2 3 4" xfId="19119" xr:uid="{00000000-0005-0000-0000-0000A04A0000}"/>
    <cellStyle name="Normal 2 3 4 2" xfId="19120" xr:uid="{00000000-0005-0000-0000-0000A14A0000}"/>
    <cellStyle name="Normal 2 3 4 2 2" xfId="19121" xr:uid="{00000000-0005-0000-0000-0000A24A0000}"/>
    <cellStyle name="Normal 2 3 4 3" xfId="19122" xr:uid="{00000000-0005-0000-0000-0000A34A0000}"/>
    <cellStyle name="Normal 2 3 4 4" xfId="19123" xr:uid="{00000000-0005-0000-0000-0000A44A0000}"/>
    <cellStyle name="Normal 2 3 5" xfId="19124" xr:uid="{00000000-0005-0000-0000-0000A54A0000}"/>
    <cellStyle name="Normal 2 3 5 2" xfId="19125" xr:uid="{00000000-0005-0000-0000-0000A64A0000}"/>
    <cellStyle name="Normal 2 3 5 2 2" xfId="19126" xr:uid="{00000000-0005-0000-0000-0000A74A0000}"/>
    <cellStyle name="Normal 2 3 5 3" xfId="19127" xr:uid="{00000000-0005-0000-0000-0000A84A0000}"/>
    <cellStyle name="Normal 2 3 5 4" xfId="19128" xr:uid="{00000000-0005-0000-0000-0000A94A0000}"/>
    <cellStyle name="Normal 2 3 6" xfId="19129" xr:uid="{00000000-0005-0000-0000-0000AA4A0000}"/>
    <cellStyle name="Normal 2 3 6 2" xfId="19130" xr:uid="{00000000-0005-0000-0000-0000AB4A0000}"/>
    <cellStyle name="Normal 2 3 6 2 2" xfId="19131" xr:uid="{00000000-0005-0000-0000-0000AC4A0000}"/>
    <cellStyle name="Normal 2 3 6 3" xfId="19132" xr:uid="{00000000-0005-0000-0000-0000AD4A0000}"/>
    <cellStyle name="Normal 2 3 6 4" xfId="19133" xr:uid="{00000000-0005-0000-0000-0000AE4A0000}"/>
    <cellStyle name="Normal 2 3 7" xfId="19134" xr:uid="{00000000-0005-0000-0000-0000AF4A0000}"/>
    <cellStyle name="Normal 2 3 7 2" xfId="19135" xr:uid="{00000000-0005-0000-0000-0000B04A0000}"/>
    <cellStyle name="Normal 2 3 8" xfId="19136" xr:uid="{00000000-0005-0000-0000-0000B14A0000}"/>
    <cellStyle name="Normal 2 3 9" xfId="19137" xr:uid="{00000000-0005-0000-0000-0000B24A0000}"/>
    <cellStyle name="Normal 2 30" xfId="19138" xr:uid="{00000000-0005-0000-0000-0000B34A0000}"/>
    <cellStyle name="Normal 2 30 10" xfId="19139" xr:uid="{00000000-0005-0000-0000-0000B44A0000}"/>
    <cellStyle name="Normal 2 30 10 2" xfId="19140" xr:uid="{00000000-0005-0000-0000-0000B54A0000}"/>
    <cellStyle name="Normal 2 30 10 3" xfId="19141" xr:uid="{00000000-0005-0000-0000-0000B64A0000}"/>
    <cellStyle name="Normal 2 30 11" xfId="19142" xr:uid="{00000000-0005-0000-0000-0000B74A0000}"/>
    <cellStyle name="Normal 2 30 11 2" xfId="19143" xr:uid="{00000000-0005-0000-0000-0000B84A0000}"/>
    <cellStyle name="Normal 2 30 11 3" xfId="19144" xr:uid="{00000000-0005-0000-0000-0000B94A0000}"/>
    <cellStyle name="Normal 2 30 12" xfId="19145" xr:uid="{00000000-0005-0000-0000-0000BA4A0000}"/>
    <cellStyle name="Normal 2 30 12 2" xfId="19146" xr:uid="{00000000-0005-0000-0000-0000BB4A0000}"/>
    <cellStyle name="Normal 2 30 12 3" xfId="19147" xr:uid="{00000000-0005-0000-0000-0000BC4A0000}"/>
    <cellStyle name="Normal 2 30 13" xfId="19148" xr:uid="{00000000-0005-0000-0000-0000BD4A0000}"/>
    <cellStyle name="Normal 2 30 13 2" xfId="19149" xr:uid="{00000000-0005-0000-0000-0000BE4A0000}"/>
    <cellStyle name="Normal 2 30 13 3" xfId="19150" xr:uid="{00000000-0005-0000-0000-0000BF4A0000}"/>
    <cellStyle name="Normal 2 30 14" xfId="19151" xr:uid="{00000000-0005-0000-0000-0000C04A0000}"/>
    <cellStyle name="Normal 2 30 14 2" xfId="19152" xr:uid="{00000000-0005-0000-0000-0000C14A0000}"/>
    <cellStyle name="Normal 2 30 14 3" xfId="19153" xr:uid="{00000000-0005-0000-0000-0000C24A0000}"/>
    <cellStyle name="Normal 2 30 15" xfId="19154" xr:uid="{00000000-0005-0000-0000-0000C34A0000}"/>
    <cellStyle name="Normal 2 30 15 2" xfId="19155" xr:uid="{00000000-0005-0000-0000-0000C44A0000}"/>
    <cellStyle name="Normal 2 30 15 3" xfId="19156" xr:uid="{00000000-0005-0000-0000-0000C54A0000}"/>
    <cellStyle name="Normal 2 30 16" xfId="19157" xr:uid="{00000000-0005-0000-0000-0000C64A0000}"/>
    <cellStyle name="Normal 2 30 16 2" xfId="19158" xr:uid="{00000000-0005-0000-0000-0000C74A0000}"/>
    <cellStyle name="Normal 2 30 16 3" xfId="19159" xr:uid="{00000000-0005-0000-0000-0000C84A0000}"/>
    <cellStyle name="Normal 2 30 17" xfId="19160" xr:uid="{00000000-0005-0000-0000-0000C94A0000}"/>
    <cellStyle name="Normal 2 30 17 2" xfId="19161" xr:uid="{00000000-0005-0000-0000-0000CA4A0000}"/>
    <cellStyle name="Normal 2 30 17 3" xfId="19162" xr:uid="{00000000-0005-0000-0000-0000CB4A0000}"/>
    <cellStyle name="Normal 2 30 18" xfId="19163" xr:uid="{00000000-0005-0000-0000-0000CC4A0000}"/>
    <cellStyle name="Normal 2 30 18 2" xfId="19164" xr:uid="{00000000-0005-0000-0000-0000CD4A0000}"/>
    <cellStyle name="Normal 2 30 18 3" xfId="19165" xr:uid="{00000000-0005-0000-0000-0000CE4A0000}"/>
    <cellStyle name="Normal 2 30 19" xfId="19166" xr:uid="{00000000-0005-0000-0000-0000CF4A0000}"/>
    <cellStyle name="Normal 2 30 19 2" xfId="19167" xr:uid="{00000000-0005-0000-0000-0000D04A0000}"/>
    <cellStyle name="Normal 2 30 19 3" xfId="19168" xr:uid="{00000000-0005-0000-0000-0000D14A0000}"/>
    <cellStyle name="Normal 2 30 2" xfId="19169" xr:uid="{00000000-0005-0000-0000-0000D24A0000}"/>
    <cellStyle name="Normal 2 30 2 2" xfId="19170" xr:uid="{00000000-0005-0000-0000-0000D34A0000}"/>
    <cellStyle name="Normal 2 30 2 3" xfId="19171" xr:uid="{00000000-0005-0000-0000-0000D44A0000}"/>
    <cellStyle name="Normal 2 30 20" xfId="19172" xr:uid="{00000000-0005-0000-0000-0000D54A0000}"/>
    <cellStyle name="Normal 2 30 20 2" xfId="19173" xr:uid="{00000000-0005-0000-0000-0000D64A0000}"/>
    <cellStyle name="Normal 2 30 20 3" xfId="19174" xr:uid="{00000000-0005-0000-0000-0000D74A0000}"/>
    <cellStyle name="Normal 2 30 21" xfId="19175" xr:uid="{00000000-0005-0000-0000-0000D84A0000}"/>
    <cellStyle name="Normal 2 30 21 2" xfId="19176" xr:uid="{00000000-0005-0000-0000-0000D94A0000}"/>
    <cellStyle name="Normal 2 30 21 3" xfId="19177" xr:uid="{00000000-0005-0000-0000-0000DA4A0000}"/>
    <cellStyle name="Normal 2 30 22" xfId="19178" xr:uid="{00000000-0005-0000-0000-0000DB4A0000}"/>
    <cellStyle name="Normal 2 30 22 2" xfId="19179" xr:uid="{00000000-0005-0000-0000-0000DC4A0000}"/>
    <cellStyle name="Normal 2 30 22 3" xfId="19180" xr:uid="{00000000-0005-0000-0000-0000DD4A0000}"/>
    <cellStyle name="Normal 2 30 23" xfId="19181" xr:uid="{00000000-0005-0000-0000-0000DE4A0000}"/>
    <cellStyle name="Normal 2 30 23 2" xfId="19182" xr:uid="{00000000-0005-0000-0000-0000DF4A0000}"/>
    <cellStyle name="Normal 2 30 23 3" xfId="19183" xr:uid="{00000000-0005-0000-0000-0000E04A0000}"/>
    <cellStyle name="Normal 2 30 24" xfId="19184" xr:uid="{00000000-0005-0000-0000-0000E14A0000}"/>
    <cellStyle name="Normal 2 30 25" xfId="19185" xr:uid="{00000000-0005-0000-0000-0000E24A0000}"/>
    <cellStyle name="Normal 2 30 3" xfId="19186" xr:uid="{00000000-0005-0000-0000-0000E34A0000}"/>
    <cellStyle name="Normal 2 30 3 2" xfId="19187" xr:uid="{00000000-0005-0000-0000-0000E44A0000}"/>
    <cellStyle name="Normal 2 30 3 3" xfId="19188" xr:uid="{00000000-0005-0000-0000-0000E54A0000}"/>
    <cellStyle name="Normal 2 30 4" xfId="19189" xr:uid="{00000000-0005-0000-0000-0000E64A0000}"/>
    <cellStyle name="Normal 2 30 4 2" xfId="19190" xr:uid="{00000000-0005-0000-0000-0000E74A0000}"/>
    <cellStyle name="Normal 2 30 4 3" xfId="19191" xr:uid="{00000000-0005-0000-0000-0000E84A0000}"/>
    <cellStyle name="Normal 2 30 5" xfId="19192" xr:uid="{00000000-0005-0000-0000-0000E94A0000}"/>
    <cellStyle name="Normal 2 30 5 2" xfId="19193" xr:uid="{00000000-0005-0000-0000-0000EA4A0000}"/>
    <cellStyle name="Normal 2 30 5 3" xfId="19194" xr:uid="{00000000-0005-0000-0000-0000EB4A0000}"/>
    <cellStyle name="Normal 2 30 6" xfId="19195" xr:uid="{00000000-0005-0000-0000-0000EC4A0000}"/>
    <cellStyle name="Normal 2 30 6 2" xfId="19196" xr:uid="{00000000-0005-0000-0000-0000ED4A0000}"/>
    <cellStyle name="Normal 2 30 6 3" xfId="19197" xr:uid="{00000000-0005-0000-0000-0000EE4A0000}"/>
    <cellStyle name="Normal 2 30 7" xfId="19198" xr:uid="{00000000-0005-0000-0000-0000EF4A0000}"/>
    <cellStyle name="Normal 2 30 7 2" xfId="19199" xr:uid="{00000000-0005-0000-0000-0000F04A0000}"/>
    <cellStyle name="Normal 2 30 7 3" xfId="19200" xr:uid="{00000000-0005-0000-0000-0000F14A0000}"/>
    <cellStyle name="Normal 2 30 8" xfId="19201" xr:uid="{00000000-0005-0000-0000-0000F24A0000}"/>
    <cellStyle name="Normal 2 30 8 2" xfId="19202" xr:uid="{00000000-0005-0000-0000-0000F34A0000}"/>
    <cellStyle name="Normal 2 30 8 3" xfId="19203" xr:uid="{00000000-0005-0000-0000-0000F44A0000}"/>
    <cellStyle name="Normal 2 30 9" xfId="19204" xr:uid="{00000000-0005-0000-0000-0000F54A0000}"/>
    <cellStyle name="Normal 2 30 9 2" xfId="19205" xr:uid="{00000000-0005-0000-0000-0000F64A0000}"/>
    <cellStyle name="Normal 2 30 9 3" xfId="19206" xr:uid="{00000000-0005-0000-0000-0000F74A0000}"/>
    <cellStyle name="Normal 2 31" xfId="19207" xr:uid="{00000000-0005-0000-0000-0000F84A0000}"/>
    <cellStyle name="Normal 2 31 10" xfId="19208" xr:uid="{00000000-0005-0000-0000-0000F94A0000}"/>
    <cellStyle name="Normal 2 31 10 2" xfId="19209" xr:uid="{00000000-0005-0000-0000-0000FA4A0000}"/>
    <cellStyle name="Normal 2 31 10 3" xfId="19210" xr:uid="{00000000-0005-0000-0000-0000FB4A0000}"/>
    <cellStyle name="Normal 2 31 11" xfId="19211" xr:uid="{00000000-0005-0000-0000-0000FC4A0000}"/>
    <cellStyle name="Normal 2 31 11 2" xfId="19212" xr:uid="{00000000-0005-0000-0000-0000FD4A0000}"/>
    <cellStyle name="Normal 2 31 11 3" xfId="19213" xr:uid="{00000000-0005-0000-0000-0000FE4A0000}"/>
    <cellStyle name="Normal 2 31 12" xfId="19214" xr:uid="{00000000-0005-0000-0000-0000FF4A0000}"/>
    <cellStyle name="Normal 2 31 12 2" xfId="19215" xr:uid="{00000000-0005-0000-0000-0000004B0000}"/>
    <cellStyle name="Normal 2 31 12 3" xfId="19216" xr:uid="{00000000-0005-0000-0000-0000014B0000}"/>
    <cellStyle name="Normal 2 31 13" xfId="19217" xr:uid="{00000000-0005-0000-0000-0000024B0000}"/>
    <cellStyle name="Normal 2 31 13 2" xfId="19218" xr:uid="{00000000-0005-0000-0000-0000034B0000}"/>
    <cellStyle name="Normal 2 31 13 3" xfId="19219" xr:uid="{00000000-0005-0000-0000-0000044B0000}"/>
    <cellStyle name="Normal 2 31 14" xfId="19220" xr:uid="{00000000-0005-0000-0000-0000054B0000}"/>
    <cellStyle name="Normal 2 31 14 2" xfId="19221" xr:uid="{00000000-0005-0000-0000-0000064B0000}"/>
    <cellStyle name="Normal 2 31 14 3" xfId="19222" xr:uid="{00000000-0005-0000-0000-0000074B0000}"/>
    <cellStyle name="Normal 2 31 15" xfId="19223" xr:uid="{00000000-0005-0000-0000-0000084B0000}"/>
    <cellStyle name="Normal 2 31 15 2" xfId="19224" xr:uid="{00000000-0005-0000-0000-0000094B0000}"/>
    <cellStyle name="Normal 2 31 15 3" xfId="19225" xr:uid="{00000000-0005-0000-0000-00000A4B0000}"/>
    <cellStyle name="Normal 2 31 16" xfId="19226" xr:uid="{00000000-0005-0000-0000-00000B4B0000}"/>
    <cellStyle name="Normal 2 31 16 2" xfId="19227" xr:uid="{00000000-0005-0000-0000-00000C4B0000}"/>
    <cellStyle name="Normal 2 31 16 3" xfId="19228" xr:uid="{00000000-0005-0000-0000-00000D4B0000}"/>
    <cellStyle name="Normal 2 31 17" xfId="19229" xr:uid="{00000000-0005-0000-0000-00000E4B0000}"/>
    <cellStyle name="Normal 2 31 17 2" xfId="19230" xr:uid="{00000000-0005-0000-0000-00000F4B0000}"/>
    <cellStyle name="Normal 2 31 17 3" xfId="19231" xr:uid="{00000000-0005-0000-0000-0000104B0000}"/>
    <cellStyle name="Normal 2 31 18" xfId="19232" xr:uid="{00000000-0005-0000-0000-0000114B0000}"/>
    <cellStyle name="Normal 2 31 18 2" xfId="19233" xr:uid="{00000000-0005-0000-0000-0000124B0000}"/>
    <cellStyle name="Normal 2 31 18 3" xfId="19234" xr:uid="{00000000-0005-0000-0000-0000134B0000}"/>
    <cellStyle name="Normal 2 31 19" xfId="19235" xr:uid="{00000000-0005-0000-0000-0000144B0000}"/>
    <cellStyle name="Normal 2 31 19 2" xfId="19236" xr:uid="{00000000-0005-0000-0000-0000154B0000}"/>
    <cellStyle name="Normal 2 31 19 3" xfId="19237" xr:uid="{00000000-0005-0000-0000-0000164B0000}"/>
    <cellStyle name="Normal 2 31 2" xfId="19238" xr:uid="{00000000-0005-0000-0000-0000174B0000}"/>
    <cellStyle name="Normal 2 31 2 2" xfId="19239" xr:uid="{00000000-0005-0000-0000-0000184B0000}"/>
    <cellStyle name="Normal 2 31 2 3" xfId="19240" xr:uid="{00000000-0005-0000-0000-0000194B0000}"/>
    <cellStyle name="Normal 2 31 20" xfId="19241" xr:uid="{00000000-0005-0000-0000-00001A4B0000}"/>
    <cellStyle name="Normal 2 31 20 2" xfId="19242" xr:uid="{00000000-0005-0000-0000-00001B4B0000}"/>
    <cellStyle name="Normal 2 31 20 3" xfId="19243" xr:uid="{00000000-0005-0000-0000-00001C4B0000}"/>
    <cellStyle name="Normal 2 31 21" xfId="19244" xr:uid="{00000000-0005-0000-0000-00001D4B0000}"/>
    <cellStyle name="Normal 2 31 21 2" xfId="19245" xr:uid="{00000000-0005-0000-0000-00001E4B0000}"/>
    <cellStyle name="Normal 2 31 21 3" xfId="19246" xr:uid="{00000000-0005-0000-0000-00001F4B0000}"/>
    <cellStyle name="Normal 2 31 22" xfId="19247" xr:uid="{00000000-0005-0000-0000-0000204B0000}"/>
    <cellStyle name="Normal 2 31 22 2" xfId="19248" xr:uid="{00000000-0005-0000-0000-0000214B0000}"/>
    <cellStyle name="Normal 2 31 22 3" xfId="19249" xr:uid="{00000000-0005-0000-0000-0000224B0000}"/>
    <cellStyle name="Normal 2 31 23" xfId="19250" xr:uid="{00000000-0005-0000-0000-0000234B0000}"/>
    <cellStyle name="Normal 2 31 23 2" xfId="19251" xr:uid="{00000000-0005-0000-0000-0000244B0000}"/>
    <cellStyle name="Normal 2 31 23 3" xfId="19252" xr:uid="{00000000-0005-0000-0000-0000254B0000}"/>
    <cellStyle name="Normal 2 31 24" xfId="19253" xr:uid="{00000000-0005-0000-0000-0000264B0000}"/>
    <cellStyle name="Normal 2 31 25" xfId="19254" xr:uid="{00000000-0005-0000-0000-0000274B0000}"/>
    <cellStyle name="Normal 2 31 3" xfId="19255" xr:uid="{00000000-0005-0000-0000-0000284B0000}"/>
    <cellStyle name="Normal 2 31 3 2" xfId="19256" xr:uid="{00000000-0005-0000-0000-0000294B0000}"/>
    <cellStyle name="Normal 2 31 3 3" xfId="19257" xr:uid="{00000000-0005-0000-0000-00002A4B0000}"/>
    <cellStyle name="Normal 2 31 4" xfId="19258" xr:uid="{00000000-0005-0000-0000-00002B4B0000}"/>
    <cellStyle name="Normal 2 31 4 2" xfId="19259" xr:uid="{00000000-0005-0000-0000-00002C4B0000}"/>
    <cellStyle name="Normal 2 31 4 3" xfId="19260" xr:uid="{00000000-0005-0000-0000-00002D4B0000}"/>
    <cellStyle name="Normal 2 31 5" xfId="19261" xr:uid="{00000000-0005-0000-0000-00002E4B0000}"/>
    <cellStyle name="Normal 2 31 5 2" xfId="19262" xr:uid="{00000000-0005-0000-0000-00002F4B0000}"/>
    <cellStyle name="Normal 2 31 5 3" xfId="19263" xr:uid="{00000000-0005-0000-0000-0000304B0000}"/>
    <cellStyle name="Normal 2 31 6" xfId="19264" xr:uid="{00000000-0005-0000-0000-0000314B0000}"/>
    <cellStyle name="Normal 2 31 6 2" xfId="19265" xr:uid="{00000000-0005-0000-0000-0000324B0000}"/>
    <cellStyle name="Normal 2 31 6 3" xfId="19266" xr:uid="{00000000-0005-0000-0000-0000334B0000}"/>
    <cellStyle name="Normal 2 31 7" xfId="19267" xr:uid="{00000000-0005-0000-0000-0000344B0000}"/>
    <cellStyle name="Normal 2 31 7 2" xfId="19268" xr:uid="{00000000-0005-0000-0000-0000354B0000}"/>
    <cellStyle name="Normal 2 31 7 3" xfId="19269" xr:uid="{00000000-0005-0000-0000-0000364B0000}"/>
    <cellStyle name="Normal 2 31 8" xfId="19270" xr:uid="{00000000-0005-0000-0000-0000374B0000}"/>
    <cellStyle name="Normal 2 31 8 2" xfId="19271" xr:uid="{00000000-0005-0000-0000-0000384B0000}"/>
    <cellStyle name="Normal 2 31 8 3" xfId="19272" xr:uid="{00000000-0005-0000-0000-0000394B0000}"/>
    <cellStyle name="Normal 2 31 9" xfId="19273" xr:uid="{00000000-0005-0000-0000-00003A4B0000}"/>
    <cellStyle name="Normal 2 31 9 2" xfId="19274" xr:uid="{00000000-0005-0000-0000-00003B4B0000}"/>
    <cellStyle name="Normal 2 31 9 3" xfId="19275" xr:uid="{00000000-0005-0000-0000-00003C4B0000}"/>
    <cellStyle name="Normal 2 32" xfId="19276" xr:uid="{00000000-0005-0000-0000-00003D4B0000}"/>
    <cellStyle name="Normal 2 32 10" xfId="19277" xr:uid="{00000000-0005-0000-0000-00003E4B0000}"/>
    <cellStyle name="Normal 2 32 10 2" xfId="19278" xr:uid="{00000000-0005-0000-0000-00003F4B0000}"/>
    <cellStyle name="Normal 2 32 10 3" xfId="19279" xr:uid="{00000000-0005-0000-0000-0000404B0000}"/>
    <cellStyle name="Normal 2 32 11" xfId="19280" xr:uid="{00000000-0005-0000-0000-0000414B0000}"/>
    <cellStyle name="Normal 2 32 11 2" xfId="19281" xr:uid="{00000000-0005-0000-0000-0000424B0000}"/>
    <cellStyle name="Normal 2 32 11 3" xfId="19282" xr:uid="{00000000-0005-0000-0000-0000434B0000}"/>
    <cellStyle name="Normal 2 32 12" xfId="19283" xr:uid="{00000000-0005-0000-0000-0000444B0000}"/>
    <cellStyle name="Normal 2 32 12 2" xfId="19284" xr:uid="{00000000-0005-0000-0000-0000454B0000}"/>
    <cellStyle name="Normal 2 32 12 3" xfId="19285" xr:uid="{00000000-0005-0000-0000-0000464B0000}"/>
    <cellStyle name="Normal 2 32 13" xfId="19286" xr:uid="{00000000-0005-0000-0000-0000474B0000}"/>
    <cellStyle name="Normal 2 32 13 2" xfId="19287" xr:uid="{00000000-0005-0000-0000-0000484B0000}"/>
    <cellStyle name="Normal 2 32 13 3" xfId="19288" xr:uid="{00000000-0005-0000-0000-0000494B0000}"/>
    <cellStyle name="Normal 2 32 14" xfId="19289" xr:uid="{00000000-0005-0000-0000-00004A4B0000}"/>
    <cellStyle name="Normal 2 32 14 2" xfId="19290" xr:uid="{00000000-0005-0000-0000-00004B4B0000}"/>
    <cellStyle name="Normal 2 32 14 3" xfId="19291" xr:uid="{00000000-0005-0000-0000-00004C4B0000}"/>
    <cellStyle name="Normal 2 32 15" xfId="19292" xr:uid="{00000000-0005-0000-0000-00004D4B0000}"/>
    <cellStyle name="Normal 2 32 15 2" xfId="19293" xr:uid="{00000000-0005-0000-0000-00004E4B0000}"/>
    <cellStyle name="Normal 2 32 15 3" xfId="19294" xr:uid="{00000000-0005-0000-0000-00004F4B0000}"/>
    <cellStyle name="Normal 2 32 16" xfId="19295" xr:uid="{00000000-0005-0000-0000-0000504B0000}"/>
    <cellStyle name="Normal 2 32 16 2" xfId="19296" xr:uid="{00000000-0005-0000-0000-0000514B0000}"/>
    <cellStyle name="Normal 2 32 16 3" xfId="19297" xr:uid="{00000000-0005-0000-0000-0000524B0000}"/>
    <cellStyle name="Normal 2 32 17" xfId="19298" xr:uid="{00000000-0005-0000-0000-0000534B0000}"/>
    <cellStyle name="Normal 2 32 17 2" xfId="19299" xr:uid="{00000000-0005-0000-0000-0000544B0000}"/>
    <cellStyle name="Normal 2 32 17 3" xfId="19300" xr:uid="{00000000-0005-0000-0000-0000554B0000}"/>
    <cellStyle name="Normal 2 32 18" xfId="19301" xr:uid="{00000000-0005-0000-0000-0000564B0000}"/>
    <cellStyle name="Normal 2 32 18 2" xfId="19302" xr:uid="{00000000-0005-0000-0000-0000574B0000}"/>
    <cellStyle name="Normal 2 32 18 3" xfId="19303" xr:uid="{00000000-0005-0000-0000-0000584B0000}"/>
    <cellStyle name="Normal 2 32 19" xfId="19304" xr:uid="{00000000-0005-0000-0000-0000594B0000}"/>
    <cellStyle name="Normal 2 32 19 2" xfId="19305" xr:uid="{00000000-0005-0000-0000-00005A4B0000}"/>
    <cellStyle name="Normal 2 32 19 3" xfId="19306" xr:uid="{00000000-0005-0000-0000-00005B4B0000}"/>
    <cellStyle name="Normal 2 32 2" xfId="19307" xr:uid="{00000000-0005-0000-0000-00005C4B0000}"/>
    <cellStyle name="Normal 2 32 2 2" xfId="19308" xr:uid="{00000000-0005-0000-0000-00005D4B0000}"/>
    <cellStyle name="Normal 2 32 2 3" xfId="19309" xr:uid="{00000000-0005-0000-0000-00005E4B0000}"/>
    <cellStyle name="Normal 2 32 20" xfId="19310" xr:uid="{00000000-0005-0000-0000-00005F4B0000}"/>
    <cellStyle name="Normal 2 32 20 2" xfId="19311" xr:uid="{00000000-0005-0000-0000-0000604B0000}"/>
    <cellStyle name="Normal 2 32 20 3" xfId="19312" xr:uid="{00000000-0005-0000-0000-0000614B0000}"/>
    <cellStyle name="Normal 2 32 21" xfId="19313" xr:uid="{00000000-0005-0000-0000-0000624B0000}"/>
    <cellStyle name="Normal 2 32 21 2" xfId="19314" xr:uid="{00000000-0005-0000-0000-0000634B0000}"/>
    <cellStyle name="Normal 2 32 21 3" xfId="19315" xr:uid="{00000000-0005-0000-0000-0000644B0000}"/>
    <cellStyle name="Normal 2 32 22" xfId="19316" xr:uid="{00000000-0005-0000-0000-0000654B0000}"/>
    <cellStyle name="Normal 2 32 22 2" xfId="19317" xr:uid="{00000000-0005-0000-0000-0000664B0000}"/>
    <cellStyle name="Normal 2 32 22 3" xfId="19318" xr:uid="{00000000-0005-0000-0000-0000674B0000}"/>
    <cellStyle name="Normal 2 32 23" xfId="19319" xr:uid="{00000000-0005-0000-0000-0000684B0000}"/>
    <cellStyle name="Normal 2 32 23 2" xfId="19320" xr:uid="{00000000-0005-0000-0000-0000694B0000}"/>
    <cellStyle name="Normal 2 32 23 3" xfId="19321" xr:uid="{00000000-0005-0000-0000-00006A4B0000}"/>
    <cellStyle name="Normal 2 32 24" xfId="19322" xr:uid="{00000000-0005-0000-0000-00006B4B0000}"/>
    <cellStyle name="Normal 2 32 25" xfId="19323" xr:uid="{00000000-0005-0000-0000-00006C4B0000}"/>
    <cellStyle name="Normal 2 32 3" xfId="19324" xr:uid="{00000000-0005-0000-0000-00006D4B0000}"/>
    <cellStyle name="Normal 2 32 3 2" xfId="19325" xr:uid="{00000000-0005-0000-0000-00006E4B0000}"/>
    <cellStyle name="Normal 2 32 3 3" xfId="19326" xr:uid="{00000000-0005-0000-0000-00006F4B0000}"/>
    <cellStyle name="Normal 2 32 4" xfId="19327" xr:uid="{00000000-0005-0000-0000-0000704B0000}"/>
    <cellStyle name="Normal 2 32 4 2" xfId="19328" xr:uid="{00000000-0005-0000-0000-0000714B0000}"/>
    <cellStyle name="Normal 2 32 4 3" xfId="19329" xr:uid="{00000000-0005-0000-0000-0000724B0000}"/>
    <cellStyle name="Normal 2 32 5" xfId="19330" xr:uid="{00000000-0005-0000-0000-0000734B0000}"/>
    <cellStyle name="Normal 2 32 5 2" xfId="19331" xr:uid="{00000000-0005-0000-0000-0000744B0000}"/>
    <cellStyle name="Normal 2 32 5 3" xfId="19332" xr:uid="{00000000-0005-0000-0000-0000754B0000}"/>
    <cellStyle name="Normal 2 32 6" xfId="19333" xr:uid="{00000000-0005-0000-0000-0000764B0000}"/>
    <cellStyle name="Normal 2 32 6 2" xfId="19334" xr:uid="{00000000-0005-0000-0000-0000774B0000}"/>
    <cellStyle name="Normal 2 32 6 3" xfId="19335" xr:uid="{00000000-0005-0000-0000-0000784B0000}"/>
    <cellStyle name="Normal 2 32 7" xfId="19336" xr:uid="{00000000-0005-0000-0000-0000794B0000}"/>
    <cellStyle name="Normal 2 32 7 2" xfId="19337" xr:uid="{00000000-0005-0000-0000-00007A4B0000}"/>
    <cellStyle name="Normal 2 32 7 3" xfId="19338" xr:uid="{00000000-0005-0000-0000-00007B4B0000}"/>
    <cellStyle name="Normal 2 32 8" xfId="19339" xr:uid="{00000000-0005-0000-0000-00007C4B0000}"/>
    <cellStyle name="Normal 2 32 8 2" xfId="19340" xr:uid="{00000000-0005-0000-0000-00007D4B0000}"/>
    <cellStyle name="Normal 2 32 8 3" xfId="19341" xr:uid="{00000000-0005-0000-0000-00007E4B0000}"/>
    <cellStyle name="Normal 2 32 9" xfId="19342" xr:uid="{00000000-0005-0000-0000-00007F4B0000}"/>
    <cellStyle name="Normal 2 32 9 2" xfId="19343" xr:uid="{00000000-0005-0000-0000-0000804B0000}"/>
    <cellStyle name="Normal 2 32 9 3" xfId="19344" xr:uid="{00000000-0005-0000-0000-0000814B0000}"/>
    <cellStyle name="Normal 2 33" xfId="19345" xr:uid="{00000000-0005-0000-0000-0000824B0000}"/>
    <cellStyle name="Normal 2 33 10" xfId="19346" xr:uid="{00000000-0005-0000-0000-0000834B0000}"/>
    <cellStyle name="Normal 2 33 10 2" xfId="19347" xr:uid="{00000000-0005-0000-0000-0000844B0000}"/>
    <cellStyle name="Normal 2 33 10 3" xfId="19348" xr:uid="{00000000-0005-0000-0000-0000854B0000}"/>
    <cellStyle name="Normal 2 33 11" xfId="19349" xr:uid="{00000000-0005-0000-0000-0000864B0000}"/>
    <cellStyle name="Normal 2 33 11 2" xfId="19350" xr:uid="{00000000-0005-0000-0000-0000874B0000}"/>
    <cellStyle name="Normal 2 33 11 3" xfId="19351" xr:uid="{00000000-0005-0000-0000-0000884B0000}"/>
    <cellStyle name="Normal 2 33 12" xfId="19352" xr:uid="{00000000-0005-0000-0000-0000894B0000}"/>
    <cellStyle name="Normal 2 33 12 2" xfId="19353" xr:uid="{00000000-0005-0000-0000-00008A4B0000}"/>
    <cellStyle name="Normal 2 33 12 3" xfId="19354" xr:uid="{00000000-0005-0000-0000-00008B4B0000}"/>
    <cellStyle name="Normal 2 33 13" xfId="19355" xr:uid="{00000000-0005-0000-0000-00008C4B0000}"/>
    <cellStyle name="Normal 2 33 13 2" xfId="19356" xr:uid="{00000000-0005-0000-0000-00008D4B0000}"/>
    <cellStyle name="Normal 2 33 13 3" xfId="19357" xr:uid="{00000000-0005-0000-0000-00008E4B0000}"/>
    <cellStyle name="Normal 2 33 14" xfId="19358" xr:uid="{00000000-0005-0000-0000-00008F4B0000}"/>
    <cellStyle name="Normal 2 33 14 2" xfId="19359" xr:uid="{00000000-0005-0000-0000-0000904B0000}"/>
    <cellStyle name="Normal 2 33 14 3" xfId="19360" xr:uid="{00000000-0005-0000-0000-0000914B0000}"/>
    <cellStyle name="Normal 2 33 15" xfId="19361" xr:uid="{00000000-0005-0000-0000-0000924B0000}"/>
    <cellStyle name="Normal 2 33 15 2" xfId="19362" xr:uid="{00000000-0005-0000-0000-0000934B0000}"/>
    <cellStyle name="Normal 2 33 15 3" xfId="19363" xr:uid="{00000000-0005-0000-0000-0000944B0000}"/>
    <cellStyle name="Normal 2 33 16" xfId="19364" xr:uid="{00000000-0005-0000-0000-0000954B0000}"/>
    <cellStyle name="Normal 2 33 16 2" xfId="19365" xr:uid="{00000000-0005-0000-0000-0000964B0000}"/>
    <cellStyle name="Normal 2 33 16 3" xfId="19366" xr:uid="{00000000-0005-0000-0000-0000974B0000}"/>
    <cellStyle name="Normal 2 33 17" xfId="19367" xr:uid="{00000000-0005-0000-0000-0000984B0000}"/>
    <cellStyle name="Normal 2 33 17 2" xfId="19368" xr:uid="{00000000-0005-0000-0000-0000994B0000}"/>
    <cellStyle name="Normal 2 33 17 3" xfId="19369" xr:uid="{00000000-0005-0000-0000-00009A4B0000}"/>
    <cellStyle name="Normal 2 33 18" xfId="19370" xr:uid="{00000000-0005-0000-0000-00009B4B0000}"/>
    <cellStyle name="Normal 2 33 18 2" xfId="19371" xr:uid="{00000000-0005-0000-0000-00009C4B0000}"/>
    <cellStyle name="Normal 2 33 18 3" xfId="19372" xr:uid="{00000000-0005-0000-0000-00009D4B0000}"/>
    <cellStyle name="Normal 2 33 19" xfId="19373" xr:uid="{00000000-0005-0000-0000-00009E4B0000}"/>
    <cellStyle name="Normal 2 33 19 2" xfId="19374" xr:uid="{00000000-0005-0000-0000-00009F4B0000}"/>
    <cellStyle name="Normal 2 33 19 3" xfId="19375" xr:uid="{00000000-0005-0000-0000-0000A04B0000}"/>
    <cellStyle name="Normal 2 33 2" xfId="19376" xr:uid="{00000000-0005-0000-0000-0000A14B0000}"/>
    <cellStyle name="Normal 2 33 2 2" xfId="19377" xr:uid="{00000000-0005-0000-0000-0000A24B0000}"/>
    <cellStyle name="Normal 2 33 2 3" xfId="19378" xr:uid="{00000000-0005-0000-0000-0000A34B0000}"/>
    <cellStyle name="Normal 2 33 20" xfId="19379" xr:uid="{00000000-0005-0000-0000-0000A44B0000}"/>
    <cellStyle name="Normal 2 33 20 2" xfId="19380" xr:uid="{00000000-0005-0000-0000-0000A54B0000}"/>
    <cellStyle name="Normal 2 33 20 3" xfId="19381" xr:uid="{00000000-0005-0000-0000-0000A64B0000}"/>
    <cellStyle name="Normal 2 33 21" xfId="19382" xr:uid="{00000000-0005-0000-0000-0000A74B0000}"/>
    <cellStyle name="Normal 2 33 21 2" xfId="19383" xr:uid="{00000000-0005-0000-0000-0000A84B0000}"/>
    <cellStyle name="Normal 2 33 21 3" xfId="19384" xr:uid="{00000000-0005-0000-0000-0000A94B0000}"/>
    <cellStyle name="Normal 2 33 22" xfId="19385" xr:uid="{00000000-0005-0000-0000-0000AA4B0000}"/>
    <cellStyle name="Normal 2 33 22 2" xfId="19386" xr:uid="{00000000-0005-0000-0000-0000AB4B0000}"/>
    <cellStyle name="Normal 2 33 22 3" xfId="19387" xr:uid="{00000000-0005-0000-0000-0000AC4B0000}"/>
    <cellStyle name="Normal 2 33 23" xfId="19388" xr:uid="{00000000-0005-0000-0000-0000AD4B0000}"/>
    <cellStyle name="Normal 2 33 23 2" xfId="19389" xr:uid="{00000000-0005-0000-0000-0000AE4B0000}"/>
    <cellStyle name="Normal 2 33 23 3" xfId="19390" xr:uid="{00000000-0005-0000-0000-0000AF4B0000}"/>
    <cellStyle name="Normal 2 33 24" xfId="19391" xr:uid="{00000000-0005-0000-0000-0000B04B0000}"/>
    <cellStyle name="Normal 2 33 25" xfId="19392" xr:uid="{00000000-0005-0000-0000-0000B14B0000}"/>
    <cellStyle name="Normal 2 33 3" xfId="19393" xr:uid="{00000000-0005-0000-0000-0000B24B0000}"/>
    <cellStyle name="Normal 2 33 3 2" xfId="19394" xr:uid="{00000000-0005-0000-0000-0000B34B0000}"/>
    <cellStyle name="Normal 2 33 3 3" xfId="19395" xr:uid="{00000000-0005-0000-0000-0000B44B0000}"/>
    <cellStyle name="Normal 2 33 4" xfId="19396" xr:uid="{00000000-0005-0000-0000-0000B54B0000}"/>
    <cellStyle name="Normal 2 33 4 2" xfId="19397" xr:uid="{00000000-0005-0000-0000-0000B64B0000}"/>
    <cellStyle name="Normal 2 33 4 3" xfId="19398" xr:uid="{00000000-0005-0000-0000-0000B74B0000}"/>
    <cellStyle name="Normal 2 33 5" xfId="19399" xr:uid="{00000000-0005-0000-0000-0000B84B0000}"/>
    <cellStyle name="Normal 2 33 5 2" xfId="19400" xr:uid="{00000000-0005-0000-0000-0000B94B0000}"/>
    <cellStyle name="Normal 2 33 5 3" xfId="19401" xr:uid="{00000000-0005-0000-0000-0000BA4B0000}"/>
    <cellStyle name="Normal 2 33 6" xfId="19402" xr:uid="{00000000-0005-0000-0000-0000BB4B0000}"/>
    <cellStyle name="Normal 2 33 6 2" xfId="19403" xr:uid="{00000000-0005-0000-0000-0000BC4B0000}"/>
    <cellStyle name="Normal 2 33 6 3" xfId="19404" xr:uid="{00000000-0005-0000-0000-0000BD4B0000}"/>
    <cellStyle name="Normal 2 33 7" xfId="19405" xr:uid="{00000000-0005-0000-0000-0000BE4B0000}"/>
    <cellStyle name="Normal 2 33 7 2" xfId="19406" xr:uid="{00000000-0005-0000-0000-0000BF4B0000}"/>
    <cellStyle name="Normal 2 33 7 3" xfId="19407" xr:uid="{00000000-0005-0000-0000-0000C04B0000}"/>
    <cellStyle name="Normal 2 33 8" xfId="19408" xr:uid="{00000000-0005-0000-0000-0000C14B0000}"/>
    <cellStyle name="Normal 2 33 8 2" xfId="19409" xr:uid="{00000000-0005-0000-0000-0000C24B0000}"/>
    <cellStyle name="Normal 2 33 8 3" xfId="19410" xr:uid="{00000000-0005-0000-0000-0000C34B0000}"/>
    <cellStyle name="Normal 2 33 9" xfId="19411" xr:uid="{00000000-0005-0000-0000-0000C44B0000}"/>
    <cellStyle name="Normal 2 33 9 2" xfId="19412" xr:uid="{00000000-0005-0000-0000-0000C54B0000}"/>
    <cellStyle name="Normal 2 33 9 3" xfId="19413" xr:uid="{00000000-0005-0000-0000-0000C64B0000}"/>
    <cellStyle name="Normal 2 34" xfId="19414" xr:uid="{00000000-0005-0000-0000-0000C74B0000}"/>
    <cellStyle name="Normal 2 34 10" xfId="19415" xr:uid="{00000000-0005-0000-0000-0000C84B0000}"/>
    <cellStyle name="Normal 2 34 10 2" xfId="19416" xr:uid="{00000000-0005-0000-0000-0000C94B0000}"/>
    <cellStyle name="Normal 2 34 10 3" xfId="19417" xr:uid="{00000000-0005-0000-0000-0000CA4B0000}"/>
    <cellStyle name="Normal 2 34 11" xfId="19418" xr:uid="{00000000-0005-0000-0000-0000CB4B0000}"/>
    <cellStyle name="Normal 2 34 11 2" xfId="19419" xr:uid="{00000000-0005-0000-0000-0000CC4B0000}"/>
    <cellStyle name="Normal 2 34 11 3" xfId="19420" xr:uid="{00000000-0005-0000-0000-0000CD4B0000}"/>
    <cellStyle name="Normal 2 34 12" xfId="19421" xr:uid="{00000000-0005-0000-0000-0000CE4B0000}"/>
    <cellStyle name="Normal 2 34 12 2" xfId="19422" xr:uid="{00000000-0005-0000-0000-0000CF4B0000}"/>
    <cellStyle name="Normal 2 34 12 3" xfId="19423" xr:uid="{00000000-0005-0000-0000-0000D04B0000}"/>
    <cellStyle name="Normal 2 34 13" xfId="19424" xr:uid="{00000000-0005-0000-0000-0000D14B0000}"/>
    <cellStyle name="Normal 2 34 13 2" xfId="19425" xr:uid="{00000000-0005-0000-0000-0000D24B0000}"/>
    <cellStyle name="Normal 2 34 13 3" xfId="19426" xr:uid="{00000000-0005-0000-0000-0000D34B0000}"/>
    <cellStyle name="Normal 2 34 14" xfId="19427" xr:uid="{00000000-0005-0000-0000-0000D44B0000}"/>
    <cellStyle name="Normal 2 34 14 2" xfId="19428" xr:uid="{00000000-0005-0000-0000-0000D54B0000}"/>
    <cellStyle name="Normal 2 34 14 3" xfId="19429" xr:uid="{00000000-0005-0000-0000-0000D64B0000}"/>
    <cellStyle name="Normal 2 34 15" xfId="19430" xr:uid="{00000000-0005-0000-0000-0000D74B0000}"/>
    <cellStyle name="Normal 2 34 15 2" xfId="19431" xr:uid="{00000000-0005-0000-0000-0000D84B0000}"/>
    <cellStyle name="Normal 2 34 15 3" xfId="19432" xr:uid="{00000000-0005-0000-0000-0000D94B0000}"/>
    <cellStyle name="Normal 2 34 16" xfId="19433" xr:uid="{00000000-0005-0000-0000-0000DA4B0000}"/>
    <cellStyle name="Normal 2 34 16 2" xfId="19434" xr:uid="{00000000-0005-0000-0000-0000DB4B0000}"/>
    <cellStyle name="Normal 2 34 16 3" xfId="19435" xr:uid="{00000000-0005-0000-0000-0000DC4B0000}"/>
    <cellStyle name="Normal 2 34 17" xfId="19436" xr:uid="{00000000-0005-0000-0000-0000DD4B0000}"/>
    <cellStyle name="Normal 2 34 17 2" xfId="19437" xr:uid="{00000000-0005-0000-0000-0000DE4B0000}"/>
    <cellStyle name="Normal 2 34 17 3" xfId="19438" xr:uid="{00000000-0005-0000-0000-0000DF4B0000}"/>
    <cellStyle name="Normal 2 34 18" xfId="19439" xr:uid="{00000000-0005-0000-0000-0000E04B0000}"/>
    <cellStyle name="Normal 2 34 18 2" xfId="19440" xr:uid="{00000000-0005-0000-0000-0000E14B0000}"/>
    <cellStyle name="Normal 2 34 18 3" xfId="19441" xr:uid="{00000000-0005-0000-0000-0000E24B0000}"/>
    <cellStyle name="Normal 2 34 19" xfId="19442" xr:uid="{00000000-0005-0000-0000-0000E34B0000}"/>
    <cellStyle name="Normal 2 34 19 2" xfId="19443" xr:uid="{00000000-0005-0000-0000-0000E44B0000}"/>
    <cellStyle name="Normal 2 34 19 3" xfId="19444" xr:uid="{00000000-0005-0000-0000-0000E54B0000}"/>
    <cellStyle name="Normal 2 34 2" xfId="19445" xr:uid="{00000000-0005-0000-0000-0000E64B0000}"/>
    <cellStyle name="Normal 2 34 2 2" xfId="19446" xr:uid="{00000000-0005-0000-0000-0000E74B0000}"/>
    <cellStyle name="Normal 2 34 2 2 2" xfId="19447" xr:uid="{00000000-0005-0000-0000-0000E84B0000}"/>
    <cellStyle name="Normal 2 34 2 3" xfId="19448" xr:uid="{00000000-0005-0000-0000-0000E94B0000}"/>
    <cellStyle name="Normal 2 34 2 4" xfId="19449" xr:uid="{00000000-0005-0000-0000-0000EA4B0000}"/>
    <cellStyle name="Normal 2 34 2 5" xfId="19450" xr:uid="{00000000-0005-0000-0000-0000EB4B0000}"/>
    <cellStyle name="Normal 2 34 20" xfId="19451" xr:uid="{00000000-0005-0000-0000-0000EC4B0000}"/>
    <cellStyle name="Normal 2 34 20 2" xfId="19452" xr:uid="{00000000-0005-0000-0000-0000ED4B0000}"/>
    <cellStyle name="Normal 2 34 20 3" xfId="19453" xr:uid="{00000000-0005-0000-0000-0000EE4B0000}"/>
    <cellStyle name="Normal 2 34 21" xfId="19454" xr:uid="{00000000-0005-0000-0000-0000EF4B0000}"/>
    <cellStyle name="Normal 2 34 21 2" xfId="19455" xr:uid="{00000000-0005-0000-0000-0000F04B0000}"/>
    <cellStyle name="Normal 2 34 21 3" xfId="19456" xr:uid="{00000000-0005-0000-0000-0000F14B0000}"/>
    <cellStyle name="Normal 2 34 22" xfId="19457" xr:uid="{00000000-0005-0000-0000-0000F24B0000}"/>
    <cellStyle name="Normal 2 34 22 2" xfId="19458" xr:uid="{00000000-0005-0000-0000-0000F34B0000}"/>
    <cellStyle name="Normal 2 34 22 3" xfId="19459" xr:uid="{00000000-0005-0000-0000-0000F44B0000}"/>
    <cellStyle name="Normal 2 34 23" xfId="19460" xr:uid="{00000000-0005-0000-0000-0000F54B0000}"/>
    <cellStyle name="Normal 2 34 23 2" xfId="19461" xr:uid="{00000000-0005-0000-0000-0000F64B0000}"/>
    <cellStyle name="Normal 2 34 23 3" xfId="19462" xr:uid="{00000000-0005-0000-0000-0000F74B0000}"/>
    <cellStyle name="Normal 2 34 24" xfId="19463" xr:uid="{00000000-0005-0000-0000-0000F84B0000}"/>
    <cellStyle name="Normal 2 34 24 2" xfId="19464" xr:uid="{00000000-0005-0000-0000-0000F94B0000}"/>
    <cellStyle name="Normal 2 34 24 3" xfId="19465" xr:uid="{00000000-0005-0000-0000-0000FA4B0000}"/>
    <cellStyle name="Normal 2 34 25" xfId="19466" xr:uid="{00000000-0005-0000-0000-0000FB4B0000}"/>
    <cellStyle name="Normal 2 34 25 2" xfId="19467" xr:uid="{00000000-0005-0000-0000-0000FC4B0000}"/>
    <cellStyle name="Normal 2 34 26" xfId="19468" xr:uid="{00000000-0005-0000-0000-0000FD4B0000}"/>
    <cellStyle name="Normal 2 34 26 2" xfId="19469" xr:uid="{00000000-0005-0000-0000-0000FE4B0000}"/>
    <cellStyle name="Normal 2 34 27" xfId="19470" xr:uid="{00000000-0005-0000-0000-0000FF4B0000}"/>
    <cellStyle name="Normal 2 34 28" xfId="19471" xr:uid="{00000000-0005-0000-0000-0000004C0000}"/>
    <cellStyle name="Normal 2 34 3" xfId="19472" xr:uid="{00000000-0005-0000-0000-0000014C0000}"/>
    <cellStyle name="Normal 2 34 3 2" xfId="19473" xr:uid="{00000000-0005-0000-0000-0000024C0000}"/>
    <cellStyle name="Normal 2 34 3 2 2" xfId="19474" xr:uid="{00000000-0005-0000-0000-0000034C0000}"/>
    <cellStyle name="Normal 2 34 3 3" xfId="19475" xr:uid="{00000000-0005-0000-0000-0000044C0000}"/>
    <cellStyle name="Normal 2 34 3 4" xfId="19476" xr:uid="{00000000-0005-0000-0000-0000054C0000}"/>
    <cellStyle name="Normal 2 34 3 5" xfId="19477" xr:uid="{00000000-0005-0000-0000-0000064C0000}"/>
    <cellStyle name="Normal 2 34 4" xfId="19478" xr:uid="{00000000-0005-0000-0000-0000074C0000}"/>
    <cellStyle name="Normal 2 34 4 2" xfId="19479" xr:uid="{00000000-0005-0000-0000-0000084C0000}"/>
    <cellStyle name="Normal 2 34 4 3" xfId="19480" xr:uid="{00000000-0005-0000-0000-0000094C0000}"/>
    <cellStyle name="Normal 2 34 5" xfId="19481" xr:uid="{00000000-0005-0000-0000-00000A4C0000}"/>
    <cellStyle name="Normal 2 34 5 2" xfId="19482" xr:uid="{00000000-0005-0000-0000-00000B4C0000}"/>
    <cellStyle name="Normal 2 34 5 3" xfId="19483" xr:uid="{00000000-0005-0000-0000-00000C4C0000}"/>
    <cellStyle name="Normal 2 34 6" xfId="19484" xr:uid="{00000000-0005-0000-0000-00000D4C0000}"/>
    <cellStyle name="Normal 2 34 6 2" xfId="19485" xr:uid="{00000000-0005-0000-0000-00000E4C0000}"/>
    <cellStyle name="Normal 2 34 6 3" xfId="19486" xr:uid="{00000000-0005-0000-0000-00000F4C0000}"/>
    <cellStyle name="Normal 2 34 7" xfId="19487" xr:uid="{00000000-0005-0000-0000-0000104C0000}"/>
    <cellStyle name="Normal 2 34 7 2" xfId="19488" xr:uid="{00000000-0005-0000-0000-0000114C0000}"/>
    <cellStyle name="Normal 2 34 7 3" xfId="19489" xr:uid="{00000000-0005-0000-0000-0000124C0000}"/>
    <cellStyle name="Normal 2 34 8" xfId="19490" xr:uid="{00000000-0005-0000-0000-0000134C0000}"/>
    <cellStyle name="Normal 2 34 8 2" xfId="19491" xr:uid="{00000000-0005-0000-0000-0000144C0000}"/>
    <cellStyle name="Normal 2 34 8 3" xfId="19492" xr:uid="{00000000-0005-0000-0000-0000154C0000}"/>
    <cellStyle name="Normal 2 34 9" xfId="19493" xr:uid="{00000000-0005-0000-0000-0000164C0000}"/>
    <cellStyle name="Normal 2 34 9 2" xfId="19494" xr:uid="{00000000-0005-0000-0000-0000174C0000}"/>
    <cellStyle name="Normal 2 34 9 3" xfId="19495" xr:uid="{00000000-0005-0000-0000-0000184C0000}"/>
    <cellStyle name="Normal 2 35" xfId="19496" xr:uid="{00000000-0005-0000-0000-0000194C0000}"/>
    <cellStyle name="Normal 2 35 10" xfId="19497" xr:uid="{00000000-0005-0000-0000-00001A4C0000}"/>
    <cellStyle name="Normal 2 35 10 2" xfId="19498" xr:uid="{00000000-0005-0000-0000-00001B4C0000}"/>
    <cellStyle name="Normal 2 35 10 3" xfId="19499" xr:uid="{00000000-0005-0000-0000-00001C4C0000}"/>
    <cellStyle name="Normal 2 35 11" xfId="19500" xr:uid="{00000000-0005-0000-0000-00001D4C0000}"/>
    <cellStyle name="Normal 2 35 11 2" xfId="19501" xr:uid="{00000000-0005-0000-0000-00001E4C0000}"/>
    <cellStyle name="Normal 2 35 11 3" xfId="19502" xr:uid="{00000000-0005-0000-0000-00001F4C0000}"/>
    <cellStyle name="Normal 2 35 12" xfId="19503" xr:uid="{00000000-0005-0000-0000-0000204C0000}"/>
    <cellStyle name="Normal 2 35 12 2" xfId="19504" xr:uid="{00000000-0005-0000-0000-0000214C0000}"/>
    <cellStyle name="Normal 2 35 12 3" xfId="19505" xr:uid="{00000000-0005-0000-0000-0000224C0000}"/>
    <cellStyle name="Normal 2 35 13" xfId="19506" xr:uid="{00000000-0005-0000-0000-0000234C0000}"/>
    <cellStyle name="Normal 2 35 13 2" xfId="19507" xr:uid="{00000000-0005-0000-0000-0000244C0000}"/>
    <cellStyle name="Normal 2 35 13 3" xfId="19508" xr:uid="{00000000-0005-0000-0000-0000254C0000}"/>
    <cellStyle name="Normal 2 35 14" xfId="19509" xr:uid="{00000000-0005-0000-0000-0000264C0000}"/>
    <cellStyle name="Normal 2 35 14 2" xfId="19510" xr:uid="{00000000-0005-0000-0000-0000274C0000}"/>
    <cellStyle name="Normal 2 35 14 3" xfId="19511" xr:uid="{00000000-0005-0000-0000-0000284C0000}"/>
    <cellStyle name="Normal 2 35 15" xfId="19512" xr:uid="{00000000-0005-0000-0000-0000294C0000}"/>
    <cellStyle name="Normal 2 35 15 2" xfId="19513" xr:uid="{00000000-0005-0000-0000-00002A4C0000}"/>
    <cellStyle name="Normal 2 35 15 3" xfId="19514" xr:uid="{00000000-0005-0000-0000-00002B4C0000}"/>
    <cellStyle name="Normal 2 35 16" xfId="19515" xr:uid="{00000000-0005-0000-0000-00002C4C0000}"/>
    <cellStyle name="Normal 2 35 16 2" xfId="19516" xr:uid="{00000000-0005-0000-0000-00002D4C0000}"/>
    <cellStyle name="Normal 2 35 16 3" xfId="19517" xr:uid="{00000000-0005-0000-0000-00002E4C0000}"/>
    <cellStyle name="Normal 2 35 17" xfId="19518" xr:uid="{00000000-0005-0000-0000-00002F4C0000}"/>
    <cellStyle name="Normal 2 35 17 2" xfId="19519" xr:uid="{00000000-0005-0000-0000-0000304C0000}"/>
    <cellStyle name="Normal 2 35 17 3" xfId="19520" xr:uid="{00000000-0005-0000-0000-0000314C0000}"/>
    <cellStyle name="Normal 2 35 18" xfId="19521" xr:uid="{00000000-0005-0000-0000-0000324C0000}"/>
    <cellStyle name="Normal 2 35 18 2" xfId="19522" xr:uid="{00000000-0005-0000-0000-0000334C0000}"/>
    <cellStyle name="Normal 2 35 18 3" xfId="19523" xr:uid="{00000000-0005-0000-0000-0000344C0000}"/>
    <cellStyle name="Normal 2 35 19" xfId="19524" xr:uid="{00000000-0005-0000-0000-0000354C0000}"/>
    <cellStyle name="Normal 2 35 19 2" xfId="19525" xr:uid="{00000000-0005-0000-0000-0000364C0000}"/>
    <cellStyle name="Normal 2 35 19 3" xfId="19526" xr:uid="{00000000-0005-0000-0000-0000374C0000}"/>
    <cellStyle name="Normal 2 35 2" xfId="19527" xr:uid="{00000000-0005-0000-0000-0000384C0000}"/>
    <cellStyle name="Normal 2 35 2 2" xfId="19528" xr:uid="{00000000-0005-0000-0000-0000394C0000}"/>
    <cellStyle name="Normal 2 35 2 3" xfId="19529" xr:uid="{00000000-0005-0000-0000-00003A4C0000}"/>
    <cellStyle name="Normal 2 35 20" xfId="19530" xr:uid="{00000000-0005-0000-0000-00003B4C0000}"/>
    <cellStyle name="Normal 2 35 20 2" xfId="19531" xr:uid="{00000000-0005-0000-0000-00003C4C0000}"/>
    <cellStyle name="Normal 2 35 20 3" xfId="19532" xr:uid="{00000000-0005-0000-0000-00003D4C0000}"/>
    <cellStyle name="Normal 2 35 21" xfId="19533" xr:uid="{00000000-0005-0000-0000-00003E4C0000}"/>
    <cellStyle name="Normal 2 35 21 2" xfId="19534" xr:uid="{00000000-0005-0000-0000-00003F4C0000}"/>
    <cellStyle name="Normal 2 35 21 3" xfId="19535" xr:uid="{00000000-0005-0000-0000-0000404C0000}"/>
    <cellStyle name="Normal 2 35 22" xfId="19536" xr:uid="{00000000-0005-0000-0000-0000414C0000}"/>
    <cellStyle name="Normal 2 35 22 2" xfId="19537" xr:uid="{00000000-0005-0000-0000-0000424C0000}"/>
    <cellStyle name="Normal 2 35 22 3" xfId="19538" xr:uid="{00000000-0005-0000-0000-0000434C0000}"/>
    <cellStyle name="Normal 2 35 23" xfId="19539" xr:uid="{00000000-0005-0000-0000-0000444C0000}"/>
    <cellStyle name="Normal 2 35 23 2" xfId="19540" xr:uid="{00000000-0005-0000-0000-0000454C0000}"/>
    <cellStyle name="Normal 2 35 23 3" xfId="19541" xr:uid="{00000000-0005-0000-0000-0000464C0000}"/>
    <cellStyle name="Normal 2 35 24" xfId="19542" xr:uid="{00000000-0005-0000-0000-0000474C0000}"/>
    <cellStyle name="Normal 2 35 25" xfId="19543" xr:uid="{00000000-0005-0000-0000-0000484C0000}"/>
    <cellStyle name="Normal 2 35 3" xfId="19544" xr:uid="{00000000-0005-0000-0000-0000494C0000}"/>
    <cellStyle name="Normal 2 35 3 2" xfId="19545" xr:uid="{00000000-0005-0000-0000-00004A4C0000}"/>
    <cellStyle name="Normal 2 35 3 3" xfId="19546" xr:uid="{00000000-0005-0000-0000-00004B4C0000}"/>
    <cellStyle name="Normal 2 35 4" xfId="19547" xr:uid="{00000000-0005-0000-0000-00004C4C0000}"/>
    <cellStyle name="Normal 2 35 4 2" xfId="19548" xr:uid="{00000000-0005-0000-0000-00004D4C0000}"/>
    <cellStyle name="Normal 2 35 4 3" xfId="19549" xr:uid="{00000000-0005-0000-0000-00004E4C0000}"/>
    <cellStyle name="Normal 2 35 5" xfId="19550" xr:uid="{00000000-0005-0000-0000-00004F4C0000}"/>
    <cellStyle name="Normal 2 35 5 2" xfId="19551" xr:uid="{00000000-0005-0000-0000-0000504C0000}"/>
    <cellStyle name="Normal 2 35 5 3" xfId="19552" xr:uid="{00000000-0005-0000-0000-0000514C0000}"/>
    <cellStyle name="Normal 2 35 6" xfId="19553" xr:uid="{00000000-0005-0000-0000-0000524C0000}"/>
    <cellStyle name="Normal 2 35 6 2" xfId="19554" xr:uid="{00000000-0005-0000-0000-0000534C0000}"/>
    <cellStyle name="Normal 2 35 6 3" xfId="19555" xr:uid="{00000000-0005-0000-0000-0000544C0000}"/>
    <cellStyle name="Normal 2 35 7" xfId="19556" xr:uid="{00000000-0005-0000-0000-0000554C0000}"/>
    <cellStyle name="Normal 2 35 7 2" xfId="19557" xr:uid="{00000000-0005-0000-0000-0000564C0000}"/>
    <cellStyle name="Normal 2 35 7 3" xfId="19558" xr:uid="{00000000-0005-0000-0000-0000574C0000}"/>
    <cellStyle name="Normal 2 35 8" xfId="19559" xr:uid="{00000000-0005-0000-0000-0000584C0000}"/>
    <cellStyle name="Normal 2 35 8 2" xfId="19560" xr:uid="{00000000-0005-0000-0000-0000594C0000}"/>
    <cellStyle name="Normal 2 35 8 3" xfId="19561" xr:uid="{00000000-0005-0000-0000-00005A4C0000}"/>
    <cellStyle name="Normal 2 35 9" xfId="19562" xr:uid="{00000000-0005-0000-0000-00005B4C0000}"/>
    <cellStyle name="Normal 2 35 9 2" xfId="19563" xr:uid="{00000000-0005-0000-0000-00005C4C0000}"/>
    <cellStyle name="Normal 2 35 9 3" xfId="19564" xr:uid="{00000000-0005-0000-0000-00005D4C0000}"/>
    <cellStyle name="Normal 2 36" xfId="19565" xr:uid="{00000000-0005-0000-0000-00005E4C0000}"/>
    <cellStyle name="Normal 2 36 10" xfId="19566" xr:uid="{00000000-0005-0000-0000-00005F4C0000}"/>
    <cellStyle name="Normal 2 36 10 2" xfId="19567" xr:uid="{00000000-0005-0000-0000-0000604C0000}"/>
    <cellStyle name="Normal 2 36 10 3" xfId="19568" xr:uid="{00000000-0005-0000-0000-0000614C0000}"/>
    <cellStyle name="Normal 2 36 11" xfId="19569" xr:uid="{00000000-0005-0000-0000-0000624C0000}"/>
    <cellStyle name="Normal 2 36 11 2" xfId="19570" xr:uid="{00000000-0005-0000-0000-0000634C0000}"/>
    <cellStyle name="Normal 2 36 11 3" xfId="19571" xr:uid="{00000000-0005-0000-0000-0000644C0000}"/>
    <cellStyle name="Normal 2 36 12" xfId="19572" xr:uid="{00000000-0005-0000-0000-0000654C0000}"/>
    <cellStyle name="Normal 2 36 12 2" xfId="19573" xr:uid="{00000000-0005-0000-0000-0000664C0000}"/>
    <cellStyle name="Normal 2 36 12 3" xfId="19574" xr:uid="{00000000-0005-0000-0000-0000674C0000}"/>
    <cellStyle name="Normal 2 36 13" xfId="19575" xr:uid="{00000000-0005-0000-0000-0000684C0000}"/>
    <cellStyle name="Normal 2 36 13 2" xfId="19576" xr:uid="{00000000-0005-0000-0000-0000694C0000}"/>
    <cellStyle name="Normal 2 36 13 3" xfId="19577" xr:uid="{00000000-0005-0000-0000-00006A4C0000}"/>
    <cellStyle name="Normal 2 36 14" xfId="19578" xr:uid="{00000000-0005-0000-0000-00006B4C0000}"/>
    <cellStyle name="Normal 2 36 14 2" xfId="19579" xr:uid="{00000000-0005-0000-0000-00006C4C0000}"/>
    <cellStyle name="Normal 2 36 14 3" xfId="19580" xr:uid="{00000000-0005-0000-0000-00006D4C0000}"/>
    <cellStyle name="Normal 2 36 15" xfId="19581" xr:uid="{00000000-0005-0000-0000-00006E4C0000}"/>
    <cellStyle name="Normal 2 36 15 2" xfId="19582" xr:uid="{00000000-0005-0000-0000-00006F4C0000}"/>
    <cellStyle name="Normal 2 36 15 3" xfId="19583" xr:uid="{00000000-0005-0000-0000-0000704C0000}"/>
    <cellStyle name="Normal 2 36 16" xfId="19584" xr:uid="{00000000-0005-0000-0000-0000714C0000}"/>
    <cellStyle name="Normal 2 36 16 2" xfId="19585" xr:uid="{00000000-0005-0000-0000-0000724C0000}"/>
    <cellStyle name="Normal 2 36 16 3" xfId="19586" xr:uid="{00000000-0005-0000-0000-0000734C0000}"/>
    <cellStyle name="Normal 2 36 17" xfId="19587" xr:uid="{00000000-0005-0000-0000-0000744C0000}"/>
    <cellStyle name="Normal 2 36 17 2" xfId="19588" xr:uid="{00000000-0005-0000-0000-0000754C0000}"/>
    <cellStyle name="Normal 2 36 17 3" xfId="19589" xr:uid="{00000000-0005-0000-0000-0000764C0000}"/>
    <cellStyle name="Normal 2 36 18" xfId="19590" xr:uid="{00000000-0005-0000-0000-0000774C0000}"/>
    <cellStyle name="Normal 2 36 18 2" xfId="19591" xr:uid="{00000000-0005-0000-0000-0000784C0000}"/>
    <cellStyle name="Normal 2 36 18 3" xfId="19592" xr:uid="{00000000-0005-0000-0000-0000794C0000}"/>
    <cellStyle name="Normal 2 36 19" xfId="19593" xr:uid="{00000000-0005-0000-0000-00007A4C0000}"/>
    <cellStyle name="Normal 2 36 19 2" xfId="19594" xr:uid="{00000000-0005-0000-0000-00007B4C0000}"/>
    <cellStyle name="Normal 2 36 19 3" xfId="19595" xr:uid="{00000000-0005-0000-0000-00007C4C0000}"/>
    <cellStyle name="Normal 2 36 2" xfId="19596" xr:uid="{00000000-0005-0000-0000-00007D4C0000}"/>
    <cellStyle name="Normal 2 36 2 2" xfId="19597" xr:uid="{00000000-0005-0000-0000-00007E4C0000}"/>
    <cellStyle name="Normal 2 36 2 3" xfId="19598" xr:uid="{00000000-0005-0000-0000-00007F4C0000}"/>
    <cellStyle name="Normal 2 36 20" xfId="19599" xr:uid="{00000000-0005-0000-0000-0000804C0000}"/>
    <cellStyle name="Normal 2 36 20 2" xfId="19600" xr:uid="{00000000-0005-0000-0000-0000814C0000}"/>
    <cellStyle name="Normal 2 36 20 3" xfId="19601" xr:uid="{00000000-0005-0000-0000-0000824C0000}"/>
    <cellStyle name="Normal 2 36 21" xfId="19602" xr:uid="{00000000-0005-0000-0000-0000834C0000}"/>
    <cellStyle name="Normal 2 36 21 2" xfId="19603" xr:uid="{00000000-0005-0000-0000-0000844C0000}"/>
    <cellStyle name="Normal 2 36 21 3" xfId="19604" xr:uid="{00000000-0005-0000-0000-0000854C0000}"/>
    <cellStyle name="Normal 2 36 22" xfId="19605" xr:uid="{00000000-0005-0000-0000-0000864C0000}"/>
    <cellStyle name="Normal 2 36 22 2" xfId="19606" xr:uid="{00000000-0005-0000-0000-0000874C0000}"/>
    <cellStyle name="Normal 2 36 22 3" xfId="19607" xr:uid="{00000000-0005-0000-0000-0000884C0000}"/>
    <cellStyle name="Normal 2 36 23" xfId="19608" xr:uid="{00000000-0005-0000-0000-0000894C0000}"/>
    <cellStyle name="Normal 2 36 23 2" xfId="19609" xr:uid="{00000000-0005-0000-0000-00008A4C0000}"/>
    <cellStyle name="Normal 2 36 23 3" xfId="19610" xr:uid="{00000000-0005-0000-0000-00008B4C0000}"/>
    <cellStyle name="Normal 2 36 24" xfId="19611" xr:uid="{00000000-0005-0000-0000-00008C4C0000}"/>
    <cellStyle name="Normal 2 36 24 2" xfId="19612" xr:uid="{00000000-0005-0000-0000-00008D4C0000}"/>
    <cellStyle name="Normal 2 36 25" xfId="19613" xr:uid="{00000000-0005-0000-0000-00008E4C0000}"/>
    <cellStyle name="Normal 2 36 3" xfId="19614" xr:uid="{00000000-0005-0000-0000-00008F4C0000}"/>
    <cellStyle name="Normal 2 36 3 2" xfId="19615" xr:uid="{00000000-0005-0000-0000-0000904C0000}"/>
    <cellStyle name="Normal 2 36 3 3" xfId="19616" xr:uid="{00000000-0005-0000-0000-0000914C0000}"/>
    <cellStyle name="Normal 2 36 4" xfId="19617" xr:uid="{00000000-0005-0000-0000-0000924C0000}"/>
    <cellStyle name="Normal 2 36 4 2" xfId="19618" xr:uid="{00000000-0005-0000-0000-0000934C0000}"/>
    <cellStyle name="Normal 2 36 4 3" xfId="19619" xr:uid="{00000000-0005-0000-0000-0000944C0000}"/>
    <cellStyle name="Normal 2 36 5" xfId="19620" xr:uid="{00000000-0005-0000-0000-0000954C0000}"/>
    <cellStyle name="Normal 2 36 5 2" xfId="19621" xr:uid="{00000000-0005-0000-0000-0000964C0000}"/>
    <cellStyle name="Normal 2 36 5 3" xfId="19622" xr:uid="{00000000-0005-0000-0000-0000974C0000}"/>
    <cellStyle name="Normal 2 36 6" xfId="19623" xr:uid="{00000000-0005-0000-0000-0000984C0000}"/>
    <cellStyle name="Normal 2 36 6 2" xfId="19624" xr:uid="{00000000-0005-0000-0000-0000994C0000}"/>
    <cellStyle name="Normal 2 36 6 3" xfId="19625" xr:uid="{00000000-0005-0000-0000-00009A4C0000}"/>
    <cellStyle name="Normal 2 36 7" xfId="19626" xr:uid="{00000000-0005-0000-0000-00009B4C0000}"/>
    <cellStyle name="Normal 2 36 7 2" xfId="19627" xr:uid="{00000000-0005-0000-0000-00009C4C0000}"/>
    <cellStyle name="Normal 2 36 7 3" xfId="19628" xr:uid="{00000000-0005-0000-0000-00009D4C0000}"/>
    <cellStyle name="Normal 2 36 8" xfId="19629" xr:uid="{00000000-0005-0000-0000-00009E4C0000}"/>
    <cellStyle name="Normal 2 36 8 2" xfId="19630" xr:uid="{00000000-0005-0000-0000-00009F4C0000}"/>
    <cellStyle name="Normal 2 36 8 3" xfId="19631" xr:uid="{00000000-0005-0000-0000-0000A04C0000}"/>
    <cellStyle name="Normal 2 36 9" xfId="19632" xr:uid="{00000000-0005-0000-0000-0000A14C0000}"/>
    <cellStyle name="Normal 2 36 9 2" xfId="19633" xr:uid="{00000000-0005-0000-0000-0000A24C0000}"/>
    <cellStyle name="Normal 2 36 9 3" xfId="19634" xr:uid="{00000000-0005-0000-0000-0000A34C0000}"/>
    <cellStyle name="Normal 2 37" xfId="19635" xr:uid="{00000000-0005-0000-0000-0000A44C0000}"/>
    <cellStyle name="Normal 2 37 10" xfId="19636" xr:uid="{00000000-0005-0000-0000-0000A54C0000}"/>
    <cellStyle name="Normal 2 37 10 2" xfId="19637" xr:uid="{00000000-0005-0000-0000-0000A64C0000}"/>
    <cellStyle name="Normal 2 37 10 3" xfId="19638" xr:uid="{00000000-0005-0000-0000-0000A74C0000}"/>
    <cellStyle name="Normal 2 37 11" xfId="19639" xr:uid="{00000000-0005-0000-0000-0000A84C0000}"/>
    <cellStyle name="Normal 2 37 11 2" xfId="19640" xr:uid="{00000000-0005-0000-0000-0000A94C0000}"/>
    <cellStyle name="Normal 2 37 11 3" xfId="19641" xr:uid="{00000000-0005-0000-0000-0000AA4C0000}"/>
    <cellStyle name="Normal 2 37 12" xfId="19642" xr:uid="{00000000-0005-0000-0000-0000AB4C0000}"/>
    <cellStyle name="Normal 2 37 12 2" xfId="19643" xr:uid="{00000000-0005-0000-0000-0000AC4C0000}"/>
    <cellStyle name="Normal 2 37 12 3" xfId="19644" xr:uid="{00000000-0005-0000-0000-0000AD4C0000}"/>
    <cellStyle name="Normal 2 37 13" xfId="19645" xr:uid="{00000000-0005-0000-0000-0000AE4C0000}"/>
    <cellStyle name="Normal 2 37 13 2" xfId="19646" xr:uid="{00000000-0005-0000-0000-0000AF4C0000}"/>
    <cellStyle name="Normal 2 37 13 3" xfId="19647" xr:uid="{00000000-0005-0000-0000-0000B04C0000}"/>
    <cellStyle name="Normal 2 37 14" xfId="19648" xr:uid="{00000000-0005-0000-0000-0000B14C0000}"/>
    <cellStyle name="Normal 2 37 14 2" xfId="19649" xr:uid="{00000000-0005-0000-0000-0000B24C0000}"/>
    <cellStyle name="Normal 2 37 14 3" xfId="19650" xr:uid="{00000000-0005-0000-0000-0000B34C0000}"/>
    <cellStyle name="Normal 2 37 15" xfId="19651" xr:uid="{00000000-0005-0000-0000-0000B44C0000}"/>
    <cellStyle name="Normal 2 37 15 2" xfId="19652" xr:uid="{00000000-0005-0000-0000-0000B54C0000}"/>
    <cellStyle name="Normal 2 37 15 3" xfId="19653" xr:uid="{00000000-0005-0000-0000-0000B64C0000}"/>
    <cellStyle name="Normal 2 37 16" xfId="19654" xr:uid="{00000000-0005-0000-0000-0000B74C0000}"/>
    <cellStyle name="Normal 2 37 16 2" xfId="19655" xr:uid="{00000000-0005-0000-0000-0000B84C0000}"/>
    <cellStyle name="Normal 2 37 16 3" xfId="19656" xr:uid="{00000000-0005-0000-0000-0000B94C0000}"/>
    <cellStyle name="Normal 2 37 17" xfId="19657" xr:uid="{00000000-0005-0000-0000-0000BA4C0000}"/>
    <cellStyle name="Normal 2 37 17 2" xfId="19658" xr:uid="{00000000-0005-0000-0000-0000BB4C0000}"/>
    <cellStyle name="Normal 2 37 17 3" xfId="19659" xr:uid="{00000000-0005-0000-0000-0000BC4C0000}"/>
    <cellStyle name="Normal 2 37 18" xfId="19660" xr:uid="{00000000-0005-0000-0000-0000BD4C0000}"/>
    <cellStyle name="Normal 2 37 18 2" xfId="19661" xr:uid="{00000000-0005-0000-0000-0000BE4C0000}"/>
    <cellStyle name="Normal 2 37 18 3" xfId="19662" xr:uid="{00000000-0005-0000-0000-0000BF4C0000}"/>
    <cellStyle name="Normal 2 37 19" xfId="19663" xr:uid="{00000000-0005-0000-0000-0000C04C0000}"/>
    <cellStyle name="Normal 2 37 19 2" xfId="19664" xr:uid="{00000000-0005-0000-0000-0000C14C0000}"/>
    <cellStyle name="Normal 2 37 19 3" xfId="19665" xr:uid="{00000000-0005-0000-0000-0000C24C0000}"/>
    <cellStyle name="Normal 2 37 2" xfId="19666" xr:uid="{00000000-0005-0000-0000-0000C34C0000}"/>
    <cellStyle name="Normal 2 37 2 2" xfId="19667" xr:uid="{00000000-0005-0000-0000-0000C44C0000}"/>
    <cellStyle name="Normal 2 37 2 3" xfId="19668" xr:uid="{00000000-0005-0000-0000-0000C54C0000}"/>
    <cellStyle name="Normal 2 37 20" xfId="19669" xr:uid="{00000000-0005-0000-0000-0000C64C0000}"/>
    <cellStyle name="Normal 2 37 20 2" xfId="19670" xr:uid="{00000000-0005-0000-0000-0000C74C0000}"/>
    <cellStyle name="Normal 2 37 20 3" xfId="19671" xr:uid="{00000000-0005-0000-0000-0000C84C0000}"/>
    <cellStyle name="Normal 2 37 21" xfId="19672" xr:uid="{00000000-0005-0000-0000-0000C94C0000}"/>
    <cellStyle name="Normal 2 37 21 2" xfId="19673" xr:uid="{00000000-0005-0000-0000-0000CA4C0000}"/>
    <cellStyle name="Normal 2 37 21 3" xfId="19674" xr:uid="{00000000-0005-0000-0000-0000CB4C0000}"/>
    <cellStyle name="Normal 2 37 22" xfId="19675" xr:uid="{00000000-0005-0000-0000-0000CC4C0000}"/>
    <cellStyle name="Normal 2 37 22 2" xfId="19676" xr:uid="{00000000-0005-0000-0000-0000CD4C0000}"/>
    <cellStyle name="Normal 2 37 22 3" xfId="19677" xr:uid="{00000000-0005-0000-0000-0000CE4C0000}"/>
    <cellStyle name="Normal 2 37 23" xfId="19678" xr:uid="{00000000-0005-0000-0000-0000CF4C0000}"/>
    <cellStyle name="Normal 2 37 23 2" xfId="19679" xr:uid="{00000000-0005-0000-0000-0000D04C0000}"/>
    <cellStyle name="Normal 2 37 23 3" xfId="19680" xr:uid="{00000000-0005-0000-0000-0000D14C0000}"/>
    <cellStyle name="Normal 2 37 24" xfId="19681" xr:uid="{00000000-0005-0000-0000-0000D24C0000}"/>
    <cellStyle name="Normal 2 37 25" xfId="19682" xr:uid="{00000000-0005-0000-0000-0000D34C0000}"/>
    <cellStyle name="Normal 2 37 26" xfId="19683" xr:uid="{00000000-0005-0000-0000-0000D44C0000}"/>
    <cellStyle name="Normal 2 37 3" xfId="19684" xr:uid="{00000000-0005-0000-0000-0000D54C0000}"/>
    <cellStyle name="Normal 2 37 3 2" xfId="19685" xr:uid="{00000000-0005-0000-0000-0000D64C0000}"/>
    <cellStyle name="Normal 2 37 3 3" xfId="19686" xr:uid="{00000000-0005-0000-0000-0000D74C0000}"/>
    <cellStyle name="Normal 2 37 4" xfId="19687" xr:uid="{00000000-0005-0000-0000-0000D84C0000}"/>
    <cellStyle name="Normal 2 37 4 2" xfId="19688" xr:uid="{00000000-0005-0000-0000-0000D94C0000}"/>
    <cellStyle name="Normal 2 37 4 3" xfId="19689" xr:uid="{00000000-0005-0000-0000-0000DA4C0000}"/>
    <cellStyle name="Normal 2 37 5" xfId="19690" xr:uid="{00000000-0005-0000-0000-0000DB4C0000}"/>
    <cellStyle name="Normal 2 37 5 2" xfId="19691" xr:uid="{00000000-0005-0000-0000-0000DC4C0000}"/>
    <cellStyle name="Normal 2 37 5 3" xfId="19692" xr:uid="{00000000-0005-0000-0000-0000DD4C0000}"/>
    <cellStyle name="Normal 2 37 6" xfId="19693" xr:uid="{00000000-0005-0000-0000-0000DE4C0000}"/>
    <cellStyle name="Normal 2 37 6 2" xfId="19694" xr:uid="{00000000-0005-0000-0000-0000DF4C0000}"/>
    <cellStyle name="Normal 2 37 6 3" xfId="19695" xr:uid="{00000000-0005-0000-0000-0000E04C0000}"/>
    <cellStyle name="Normal 2 37 7" xfId="19696" xr:uid="{00000000-0005-0000-0000-0000E14C0000}"/>
    <cellStyle name="Normal 2 37 7 2" xfId="19697" xr:uid="{00000000-0005-0000-0000-0000E24C0000}"/>
    <cellStyle name="Normal 2 37 7 3" xfId="19698" xr:uid="{00000000-0005-0000-0000-0000E34C0000}"/>
    <cellStyle name="Normal 2 37 8" xfId="19699" xr:uid="{00000000-0005-0000-0000-0000E44C0000}"/>
    <cellStyle name="Normal 2 37 8 2" xfId="19700" xr:uid="{00000000-0005-0000-0000-0000E54C0000}"/>
    <cellStyle name="Normal 2 37 8 3" xfId="19701" xr:uid="{00000000-0005-0000-0000-0000E64C0000}"/>
    <cellStyle name="Normal 2 37 9" xfId="19702" xr:uid="{00000000-0005-0000-0000-0000E74C0000}"/>
    <cellStyle name="Normal 2 37 9 2" xfId="19703" xr:uid="{00000000-0005-0000-0000-0000E84C0000}"/>
    <cellStyle name="Normal 2 37 9 3" xfId="19704" xr:uid="{00000000-0005-0000-0000-0000E94C0000}"/>
    <cellStyle name="Normal 2 38" xfId="19705" xr:uid="{00000000-0005-0000-0000-0000EA4C0000}"/>
    <cellStyle name="Normal 2 38 10" xfId="19706" xr:uid="{00000000-0005-0000-0000-0000EB4C0000}"/>
    <cellStyle name="Normal 2 38 10 2" xfId="19707" xr:uid="{00000000-0005-0000-0000-0000EC4C0000}"/>
    <cellStyle name="Normal 2 38 10 3" xfId="19708" xr:uid="{00000000-0005-0000-0000-0000ED4C0000}"/>
    <cellStyle name="Normal 2 38 11" xfId="19709" xr:uid="{00000000-0005-0000-0000-0000EE4C0000}"/>
    <cellStyle name="Normal 2 38 11 2" xfId="19710" xr:uid="{00000000-0005-0000-0000-0000EF4C0000}"/>
    <cellStyle name="Normal 2 38 11 3" xfId="19711" xr:uid="{00000000-0005-0000-0000-0000F04C0000}"/>
    <cellStyle name="Normal 2 38 12" xfId="19712" xr:uid="{00000000-0005-0000-0000-0000F14C0000}"/>
    <cellStyle name="Normal 2 38 12 2" xfId="19713" xr:uid="{00000000-0005-0000-0000-0000F24C0000}"/>
    <cellStyle name="Normal 2 38 12 3" xfId="19714" xr:uid="{00000000-0005-0000-0000-0000F34C0000}"/>
    <cellStyle name="Normal 2 38 13" xfId="19715" xr:uid="{00000000-0005-0000-0000-0000F44C0000}"/>
    <cellStyle name="Normal 2 38 13 2" xfId="19716" xr:uid="{00000000-0005-0000-0000-0000F54C0000}"/>
    <cellStyle name="Normal 2 38 13 3" xfId="19717" xr:uid="{00000000-0005-0000-0000-0000F64C0000}"/>
    <cellStyle name="Normal 2 38 14" xfId="19718" xr:uid="{00000000-0005-0000-0000-0000F74C0000}"/>
    <cellStyle name="Normal 2 38 14 2" xfId="19719" xr:uid="{00000000-0005-0000-0000-0000F84C0000}"/>
    <cellStyle name="Normal 2 38 14 3" xfId="19720" xr:uid="{00000000-0005-0000-0000-0000F94C0000}"/>
    <cellStyle name="Normal 2 38 15" xfId="19721" xr:uid="{00000000-0005-0000-0000-0000FA4C0000}"/>
    <cellStyle name="Normal 2 38 15 2" xfId="19722" xr:uid="{00000000-0005-0000-0000-0000FB4C0000}"/>
    <cellStyle name="Normal 2 38 15 3" xfId="19723" xr:uid="{00000000-0005-0000-0000-0000FC4C0000}"/>
    <cellStyle name="Normal 2 38 16" xfId="19724" xr:uid="{00000000-0005-0000-0000-0000FD4C0000}"/>
    <cellStyle name="Normal 2 38 16 2" xfId="19725" xr:uid="{00000000-0005-0000-0000-0000FE4C0000}"/>
    <cellStyle name="Normal 2 38 16 3" xfId="19726" xr:uid="{00000000-0005-0000-0000-0000FF4C0000}"/>
    <cellStyle name="Normal 2 38 17" xfId="19727" xr:uid="{00000000-0005-0000-0000-0000004D0000}"/>
    <cellStyle name="Normal 2 38 17 2" xfId="19728" xr:uid="{00000000-0005-0000-0000-0000014D0000}"/>
    <cellStyle name="Normal 2 38 17 3" xfId="19729" xr:uid="{00000000-0005-0000-0000-0000024D0000}"/>
    <cellStyle name="Normal 2 38 18" xfId="19730" xr:uid="{00000000-0005-0000-0000-0000034D0000}"/>
    <cellStyle name="Normal 2 38 18 2" xfId="19731" xr:uid="{00000000-0005-0000-0000-0000044D0000}"/>
    <cellStyle name="Normal 2 38 18 3" xfId="19732" xr:uid="{00000000-0005-0000-0000-0000054D0000}"/>
    <cellStyle name="Normal 2 38 19" xfId="19733" xr:uid="{00000000-0005-0000-0000-0000064D0000}"/>
    <cellStyle name="Normal 2 38 19 2" xfId="19734" xr:uid="{00000000-0005-0000-0000-0000074D0000}"/>
    <cellStyle name="Normal 2 38 19 3" xfId="19735" xr:uid="{00000000-0005-0000-0000-0000084D0000}"/>
    <cellStyle name="Normal 2 38 2" xfId="19736" xr:uid="{00000000-0005-0000-0000-0000094D0000}"/>
    <cellStyle name="Normal 2 38 2 2" xfId="19737" xr:uid="{00000000-0005-0000-0000-00000A4D0000}"/>
    <cellStyle name="Normal 2 38 2 3" xfId="19738" xr:uid="{00000000-0005-0000-0000-00000B4D0000}"/>
    <cellStyle name="Normal 2 38 20" xfId="19739" xr:uid="{00000000-0005-0000-0000-00000C4D0000}"/>
    <cellStyle name="Normal 2 38 20 2" xfId="19740" xr:uid="{00000000-0005-0000-0000-00000D4D0000}"/>
    <cellStyle name="Normal 2 38 20 3" xfId="19741" xr:uid="{00000000-0005-0000-0000-00000E4D0000}"/>
    <cellStyle name="Normal 2 38 21" xfId="19742" xr:uid="{00000000-0005-0000-0000-00000F4D0000}"/>
    <cellStyle name="Normal 2 38 21 2" xfId="19743" xr:uid="{00000000-0005-0000-0000-0000104D0000}"/>
    <cellStyle name="Normal 2 38 21 3" xfId="19744" xr:uid="{00000000-0005-0000-0000-0000114D0000}"/>
    <cellStyle name="Normal 2 38 22" xfId="19745" xr:uid="{00000000-0005-0000-0000-0000124D0000}"/>
    <cellStyle name="Normal 2 38 22 2" xfId="19746" xr:uid="{00000000-0005-0000-0000-0000134D0000}"/>
    <cellStyle name="Normal 2 38 22 3" xfId="19747" xr:uid="{00000000-0005-0000-0000-0000144D0000}"/>
    <cellStyle name="Normal 2 38 23" xfId="19748" xr:uid="{00000000-0005-0000-0000-0000154D0000}"/>
    <cellStyle name="Normal 2 38 23 2" xfId="19749" xr:uid="{00000000-0005-0000-0000-0000164D0000}"/>
    <cellStyle name="Normal 2 38 23 3" xfId="19750" xr:uid="{00000000-0005-0000-0000-0000174D0000}"/>
    <cellStyle name="Normal 2 38 24" xfId="19751" xr:uid="{00000000-0005-0000-0000-0000184D0000}"/>
    <cellStyle name="Normal 2 38 25" xfId="19752" xr:uid="{00000000-0005-0000-0000-0000194D0000}"/>
    <cellStyle name="Normal 2 38 3" xfId="19753" xr:uid="{00000000-0005-0000-0000-00001A4D0000}"/>
    <cellStyle name="Normal 2 38 3 2" xfId="19754" xr:uid="{00000000-0005-0000-0000-00001B4D0000}"/>
    <cellStyle name="Normal 2 38 3 3" xfId="19755" xr:uid="{00000000-0005-0000-0000-00001C4D0000}"/>
    <cellStyle name="Normal 2 38 4" xfId="19756" xr:uid="{00000000-0005-0000-0000-00001D4D0000}"/>
    <cellStyle name="Normal 2 38 4 2" xfId="19757" xr:uid="{00000000-0005-0000-0000-00001E4D0000}"/>
    <cellStyle name="Normal 2 38 4 3" xfId="19758" xr:uid="{00000000-0005-0000-0000-00001F4D0000}"/>
    <cellStyle name="Normal 2 38 5" xfId="19759" xr:uid="{00000000-0005-0000-0000-0000204D0000}"/>
    <cellStyle name="Normal 2 38 5 2" xfId="19760" xr:uid="{00000000-0005-0000-0000-0000214D0000}"/>
    <cellStyle name="Normal 2 38 5 3" xfId="19761" xr:uid="{00000000-0005-0000-0000-0000224D0000}"/>
    <cellStyle name="Normal 2 38 6" xfId="19762" xr:uid="{00000000-0005-0000-0000-0000234D0000}"/>
    <cellStyle name="Normal 2 38 6 2" xfId="19763" xr:uid="{00000000-0005-0000-0000-0000244D0000}"/>
    <cellStyle name="Normal 2 38 6 3" xfId="19764" xr:uid="{00000000-0005-0000-0000-0000254D0000}"/>
    <cellStyle name="Normal 2 38 7" xfId="19765" xr:uid="{00000000-0005-0000-0000-0000264D0000}"/>
    <cellStyle name="Normal 2 38 7 2" xfId="19766" xr:uid="{00000000-0005-0000-0000-0000274D0000}"/>
    <cellStyle name="Normal 2 38 7 3" xfId="19767" xr:uid="{00000000-0005-0000-0000-0000284D0000}"/>
    <cellStyle name="Normal 2 38 8" xfId="19768" xr:uid="{00000000-0005-0000-0000-0000294D0000}"/>
    <cellStyle name="Normal 2 38 8 2" xfId="19769" xr:uid="{00000000-0005-0000-0000-00002A4D0000}"/>
    <cellStyle name="Normal 2 38 8 3" xfId="19770" xr:uid="{00000000-0005-0000-0000-00002B4D0000}"/>
    <cellStyle name="Normal 2 38 9" xfId="19771" xr:uid="{00000000-0005-0000-0000-00002C4D0000}"/>
    <cellStyle name="Normal 2 38 9 2" xfId="19772" xr:uid="{00000000-0005-0000-0000-00002D4D0000}"/>
    <cellStyle name="Normal 2 38 9 3" xfId="19773" xr:uid="{00000000-0005-0000-0000-00002E4D0000}"/>
    <cellStyle name="Normal 2 39" xfId="19774" xr:uid="{00000000-0005-0000-0000-00002F4D0000}"/>
    <cellStyle name="Normal 2 39 10" xfId="19775" xr:uid="{00000000-0005-0000-0000-0000304D0000}"/>
    <cellStyle name="Normal 2 39 10 2" xfId="19776" xr:uid="{00000000-0005-0000-0000-0000314D0000}"/>
    <cellStyle name="Normal 2 39 10 3" xfId="19777" xr:uid="{00000000-0005-0000-0000-0000324D0000}"/>
    <cellStyle name="Normal 2 39 11" xfId="19778" xr:uid="{00000000-0005-0000-0000-0000334D0000}"/>
    <cellStyle name="Normal 2 39 11 2" xfId="19779" xr:uid="{00000000-0005-0000-0000-0000344D0000}"/>
    <cellStyle name="Normal 2 39 11 3" xfId="19780" xr:uid="{00000000-0005-0000-0000-0000354D0000}"/>
    <cellStyle name="Normal 2 39 12" xfId="19781" xr:uid="{00000000-0005-0000-0000-0000364D0000}"/>
    <cellStyle name="Normal 2 39 12 2" xfId="19782" xr:uid="{00000000-0005-0000-0000-0000374D0000}"/>
    <cellStyle name="Normal 2 39 12 3" xfId="19783" xr:uid="{00000000-0005-0000-0000-0000384D0000}"/>
    <cellStyle name="Normal 2 39 13" xfId="19784" xr:uid="{00000000-0005-0000-0000-0000394D0000}"/>
    <cellStyle name="Normal 2 39 13 2" xfId="19785" xr:uid="{00000000-0005-0000-0000-00003A4D0000}"/>
    <cellStyle name="Normal 2 39 13 3" xfId="19786" xr:uid="{00000000-0005-0000-0000-00003B4D0000}"/>
    <cellStyle name="Normal 2 39 14" xfId="19787" xr:uid="{00000000-0005-0000-0000-00003C4D0000}"/>
    <cellStyle name="Normal 2 39 14 2" xfId="19788" xr:uid="{00000000-0005-0000-0000-00003D4D0000}"/>
    <cellStyle name="Normal 2 39 14 3" xfId="19789" xr:uid="{00000000-0005-0000-0000-00003E4D0000}"/>
    <cellStyle name="Normal 2 39 15" xfId="19790" xr:uid="{00000000-0005-0000-0000-00003F4D0000}"/>
    <cellStyle name="Normal 2 39 15 2" xfId="19791" xr:uid="{00000000-0005-0000-0000-0000404D0000}"/>
    <cellStyle name="Normal 2 39 15 3" xfId="19792" xr:uid="{00000000-0005-0000-0000-0000414D0000}"/>
    <cellStyle name="Normal 2 39 16" xfId="19793" xr:uid="{00000000-0005-0000-0000-0000424D0000}"/>
    <cellStyle name="Normal 2 39 16 2" xfId="19794" xr:uid="{00000000-0005-0000-0000-0000434D0000}"/>
    <cellStyle name="Normal 2 39 16 3" xfId="19795" xr:uid="{00000000-0005-0000-0000-0000444D0000}"/>
    <cellStyle name="Normal 2 39 17" xfId="19796" xr:uid="{00000000-0005-0000-0000-0000454D0000}"/>
    <cellStyle name="Normal 2 39 17 2" xfId="19797" xr:uid="{00000000-0005-0000-0000-0000464D0000}"/>
    <cellStyle name="Normal 2 39 17 3" xfId="19798" xr:uid="{00000000-0005-0000-0000-0000474D0000}"/>
    <cellStyle name="Normal 2 39 18" xfId="19799" xr:uid="{00000000-0005-0000-0000-0000484D0000}"/>
    <cellStyle name="Normal 2 39 18 2" xfId="19800" xr:uid="{00000000-0005-0000-0000-0000494D0000}"/>
    <cellStyle name="Normal 2 39 18 3" xfId="19801" xr:uid="{00000000-0005-0000-0000-00004A4D0000}"/>
    <cellStyle name="Normal 2 39 19" xfId="19802" xr:uid="{00000000-0005-0000-0000-00004B4D0000}"/>
    <cellStyle name="Normal 2 39 19 2" xfId="19803" xr:uid="{00000000-0005-0000-0000-00004C4D0000}"/>
    <cellStyle name="Normal 2 39 19 3" xfId="19804" xr:uid="{00000000-0005-0000-0000-00004D4D0000}"/>
    <cellStyle name="Normal 2 39 2" xfId="19805" xr:uid="{00000000-0005-0000-0000-00004E4D0000}"/>
    <cellStyle name="Normal 2 39 2 2" xfId="19806" xr:uid="{00000000-0005-0000-0000-00004F4D0000}"/>
    <cellStyle name="Normal 2 39 2 3" xfId="19807" xr:uid="{00000000-0005-0000-0000-0000504D0000}"/>
    <cellStyle name="Normal 2 39 20" xfId="19808" xr:uid="{00000000-0005-0000-0000-0000514D0000}"/>
    <cellStyle name="Normal 2 39 20 2" xfId="19809" xr:uid="{00000000-0005-0000-0000-0000524D0000}"/>
    <cellStyle name="Normal 2 39 20 3" xfId="19810" xr:uid="{00000000-0005-0000-0000-0000534D0000}"/>
    <cellStyle name="Normal 2 39 21" xfId="19811" xr:uid="{00000000-0005-0000-0000-0000544D0000}"/>
    <cellStyle name="Normal 2 39 21 2" xfId="19812" xr:uid="{00000000-0005-0000-0000-0000554D0000}"/>
    <cellStyle name="Normal 2 39 21 3" xfId="19813" xr:uid="{00000000-0005-0000-0000-0000564D0000}"/>
    <cellStyle name="Normal 2 39 22" xfId="19814" xr:uid="{00000000-0005-0000-0000-0000574D0000}"/>
    <cellStyle name="Normal 2 39 22 2" xfId="19815" xr:uid="{00000000-0005-0000-0000-0000584D0000}"/>
    <cellStyle name="Normal 2 39 22 3" xfId="19816" xr:uid="{00000000-0005-0000-0000-0000594D0000}"/>
    <cellStyle name="Normal 2 39 23" xfId="19817" xr:uid="{00000000-0005-0000-0000-00005A4D0000}"/>
    <cellStyle name="Normal 2 39 23 2" xfId="19818" xr:uid="{00000000-0005-0000-0000-00005B4D0000}"/>
    <cellStyle name="Normal 2 39 23 3" xfId="19819" xr:uid="{00000000-0005-0000-0000-00005C4D0000}"/>
    <cellStyle name="Normal 2 39 24" xfId="19820" xr:uid="{00000000-0005-0000-0000-00005D4D0000}"/>
    <cellStyle name="Normal 2 39 25" xfId="19821" xr:uid="{00000000-0005-0000-0000-00005E4D0000}"/>
    <cellStyle name="Normal 2 39 3" xfId="19822" xr:uid="{00000000-0005-0000-0000-00005F4D0000}"/>
    <cellStyle name="Normal 2 39 3 2" xfId="19823" xr:uid="{00000000-0005-0000-0000-0000604D0000}"/>
    <cellStyle name="Normal 2 39 3 3" xfId="19824" xr:uid="{00000000-0005-0000-0000-0000614D0000}"/>
    <cellStyle name="Normal 2 39 4" xfId="19825" xr:uid="{00000000-0005-0000-0000-0000624D0000}"/>
    <cellStyle name="Normal 2 39 4 2" xfId="19826" xr:uid="{00000000-0005-0000-0000-0000634D0000}"/>
    <cellStyle name="Normal 2 39 4 3" xfId="19827" xr:uid="{00000000-0005-0000-0000-0000644D0000}"/>
    <cellStyle name="Normal 2 39 5" xfId="19828" xr:uid="{00000000-0005-0000-0000-0000654D0000}"/>
    <cellStyle name="Normal 2 39 5 2" xfId="19829" xr:uid="{00000000-0005-0000-0000-0000664D0000}"/>
    <cellStyle name="Normal 2 39 5 3" xfId="19830" xr:uid="{00000000-0005-0000-0000-0000674D0000}"/>
    <cellStyle name="Normal 2 39 6" xfId="19831" xr:uid="{00000000-0005-0000-0000-0000684D0000}"/>
    <cellStyle name="Normal 2 39 6 2" xfId="19832" xr:uid="{00000000-0005-0000-0000-0000694D0000}"/>
    <cellStyle name="Normal 2 39 6 3" xfId="19833" xr:uid="{00000000-0005-0000-0000-00006A4D0000}"/>
    <cellStyle name="Normal 2 39 7" xfId="19834" xr:uid="{00000000-0005-0000-0000-00006B4D0000}"/>
    <cellStyle name="Normal 2 39 7 2" xfId="19835" xr:uid="{00000000-0005-0000-0000-00006C4D0000}"/>
    <cellStyle name="Normal 2 39 7 3" xfId="19836" xr:uid="{00000000-0005-0000-0000-00006D4D0000}"/>
    <cellStyle name="Normal 2 39 8" xfId="19837" xr:uid="{00000000-0005-0000-0000-00006E4D0000}"/>
    <cellStyle name="Normal 2 39 8 2" xfId="19838" xr:uid="{00000000-0005-0000-0000-00006F4D0000}"/>
    <cellStyle name="Normal 2 39 8 3" xfId="19839" xr:uid="{00000000-0005-0000-0000-0000704D0000}"/>
    <cellStyle name="Normal 2 39 9" xfId="19840" xr:uid="{00000000-0005-0000-0000-0000714D0000}"/>
    <cellStyle name="Normal 2 39 9 2" xfId="19841" xr:uid="{00000000-0005-0000-0000-0000724D0000}"/>
    <cellStyle name="Normal 2 39 9 3" xfId="19842" xr:uid="{00000000-0005-0000-0000-0000734D0000}"/>
    <cellStyle name="Normal 2 4" xfId="19843" xr:uid="{00000000-0005-0000-0000-0000744D0000}"/>
    <cellStyle name="Normal 2 4 10" xfId="19844" xr:uid="{00000000-0005-0000-0000-0000754D0000}"/>
    <cellStyle name="Normal 2 4 2" xfId="19845" xr:uid="{00000000-0005-0000-0000-0000764D0000}"/>
    <cellStyle name="Normal 2 4 2 2" xfId="19846" xr:uid="{00000000-0005-0000-0000-0000774D0000}"/>
    <cellStyle name="Normal 2 4 2 2 2" xfId="19847" xr:uid="{00000000-0005-0000-0000-0000784D0000}"/>
    <cellStyle name="Normal 2 4 2 2 3" xfId="19848" xr:uid="{00000000-0005-0000-0000-0000794D0000}"/>
    <cellStyle name="Normal 2 4 2 3" xfId="19849" xr:uid="{00000000-0005-0000-0000-00007A4D0000}"/>
    <cellStyle name="Normal 2 4 2 4" xfId="19850" xr:uid="{00000000-0005-0000-0000-00007B4D0000}"/>
    <cellStyle name="Normal 2 4 2 5" xfId="19851" xr:uid="{00000000-0005-0000-0000-00007C4D0000}"/>
    <cellStyle name="Normal 2 4 2 6" xfId="19852" xr:uid="{00000000-0005-0000-0000-00007D4D0000}"/>
    <cellStyle name="Normal 2 4 3" xfId="19853" xr:uid="{00000000-0005-0000-0000-00007E4D0000}"/>
    <cellStyle name="Normal 2 4 3 2" xfId="19854" xr:uid="{00000000-0005-0000-0000-00007F4D0000}"/>
    <cellStyle name="Normal 2 4 3 2 2" xfId="19855" xr:uid="{00000000-0005-0000-0000-0000804D0000}"/>
    <cellStyle name="Normal 2 4 3 3" xfId="19856" xr:uid="{00000000-0005-0000-0000-0000814D0000}"/>
    <cellStyle name="Normal 2 4 3 4" xfId="19857" xr:uid="{00000000-0005-0000-0000-0000824D0000}"/>
    <cellStyle name="Normal 2 4 3 5" xfId="19858" xr:uid="{00000000-0005-0000-0000-0000834D0000}"/>
    <cellStyle name="Normal 2 4 4" xfId="19859" xr:uid="{00000000-0005-0000-0000-0000844D0000}"/>
    <cellStyle name="Normal 2 4 4 2" xfId="19860" xr:uid="{00000000-0005-0000-0000-0000854D0000}"/>
    <cellStyle name="Normal 2 4 4 2 2" xfId="19861" xr:uid="{00000000-0005-0000-0000-0000864D0000}"/>
    <cellStyle name="Normal 2 4 4 3" xfId="19862" xr:uid="{00000000-0005-0000-0000-0000874D0000}"/>
    <cellStyle name="Normal 2 4 4 4" xfId="19863" xr:uid="{00000000-0005-0000-0000-0000884D0000}"/>
    <cellStyle name="Normal 2 4 4 5" xfId="19864" xr:uid="{00000000-0005-0000-0000-0000894D0000}"/>
    <cellStyle name="Normal 2 4 5" xfId="19865" xr:uid="{00000000-0005-0000-0000-00008A4D0000}"/>
    <cellStyle name="Normal 2 4 5 2" xfId="19866" xr:uid="{00000000-0005-0000-0000-00008B4D0000}"/>
    <cellStyle name="Normal 2 4 5 2 2" xfId="19867" xr:uid="{00000000-0005-0000-0000-00008C4D0000}"/>
    <cellStyle name="Normal 2 4 5 3" xfId="19868" xr:uid="{00000000-0005-0000-0000-00008D4D0000}"/>
    <cellStyle name="Normal 2 4 5 4" xfId="19869" xr:uid="{00000000-0005-0000-0000-00008E4D0000}"/>
    <cellStyle name="Normal 2 4 6" xfId="19870" xr:uid="{00000000-0005-0000-0000-00008F4D0000}"/>
    <cellStyle name="Normal 2 4 6 2" xfId="19871" xr:uid="{00000000-0005-0000-0000-0000904D0000}"/>
    <cellStyle name="Normal 2 4 6 2 2" xfId="19872" xr:uid="{00000000-0005-0000-0000-0000914D0000}"/>
    <cellStyle name="Normal 2 4 6 3" xfId="19873" xr:uid="{00000000-0005-0000-0000-0000924D0000}"/>
    <cellStyle name="Normal 2 4 6 4" xfId="19874" xr:uid="{00000000-0005-0000-0000-0000934D0000}"/>
    <cellStyle name="Normal 2 4 7" xfId="19875" xr:uid="{00000000-0005-0000-0000-0000944D0000}"/>
    <cellStyle name="Normal 2 4 7 2" xfId="19876" xr:uid="{00000000-0005-0000-0000-0000954D0000}"/>
    <cellStyle name="Normal 2 4 8" xfId="19877" xr:uid="{00000000-0005-0000-0000-0000964D0000}"/>
    <cellStyle name="Normal 2 4 9" xfId="19878" xr:uid="{00000000-0005-0000-0000-0000974D0000}"/>
    <cellStyle name="Normal 2 40" xfId="19879" xr:uid="{00000000-0005-0000-0000-0000984D0000}"/>
    <cellStyle name="Normal 2 40 2" xfId="19880" xr:uid="{00000000-0005-0000-0000-0000994D0000}"/>
    <cellStyle name="Normal 2 40 3" xfId="19881" xr:uid="{00000000-0005-0000-0000-00009A4D0000}"/>
    <cellStyle name="Normal 2 41" xfId="19882" xr:uid="{00000000-0005-0000-0000-00009B4D0000}"/>
    <cellStyle name="Normal 2 41 2" xfId="19883" xr:uid="{00000000-0005-0000-0000-00009C4D0000}"/>
    <cellStyle name="Normal 2 41 3" xfId="19884" xr:uid="{00000000-0005-0000-0000-00009D4D0000}"/>
    <cellStyle name="Normal 2 42" xfId="19885" xr:uid="{00000000-0005-0000-0000-00009E4D0000}"/>
    <cellStyle name="Normal 2 42 2" xfId="19886" xr:uid="{00000000-0005-0000-0000-00009F4D0000}"/>
    <cellStyle name="Normal 2 42 3" xfId="19887" xr:uid="{00000000-0005-0000-0000-0000A04D0000}"/>
    <cellStyle name="Normal 2 43" xfId="19888" xr:uid="{00000000-0005-0000-0000-0000A14D0000}"/>
    <cellStyle name="Normal 2 43 2" xfId="19889" xr:uid="{00000000-0005-0000-0000-0000A24D0000}"/>
    <cellStyle name="Normal 2 43 3" xfId="19890" xr:uid="{00000000-0005-0000-0000-0000A34D0000}"/>
    <cellStyle name="Normal 2 44" xfId="19891" xr:uid="{00000000-0005-0000-0000-0000A44D0000}"/>
    <cellStyle name="Normal 2 44 2" xfId="19892" xr:uid="{00000000-0005-0000-0000-0000A54D0000}"/>
    <cellStyle name="Normal 2 44 3" xfId="19893" xr:uid="{00000000-0005-0000-0000-0000A64D0000}"/>
    <cellStyle name="Normal 2 45" xfId="19894" xr:uid="{00000000-0005-0000-0000-0000A74D0000}"/>
    <cellStyle name="Normal 2 45 2" xfId="19895" xr:uid="{00000000-0005-0000-0000-0000A84D0000}"/>
    <cellStyle name="Normal 2 45 3" xfId="19896" xr:uid="{00000000-0005-0000-0000-0000A94D0000}"/>
    <cellStyle name="Normal 2 46" xfId="19897" xr:uid="{00000000-0005-0000-0000-0000AA4D0000}"/>
    <cellStyle name="Normal 2 46 2" xfId="19898" xr:uid="{00000000-0005-0000-0000-0000AB4D0000}"/>
    <cellStyle name="Normal 2 46 3" xfId="19899" xr:uid="{00000000-0005-0000-0000-0000AC4D0000}"/>
    <cellStyle name="Normal 2 47" xfId="19900" xr:uid="{00000000-0005-0000-0000-0000AD4D0000}"/>
    <cellStyle name="Normal 2 47 2" xfId="19901" xr:uid="{00000000-0005-0000-0000-0000AE4D0000}"/>
    <cellStyle name="Normal 2 47 3" xfId="19902" xr:uid="{00000000-0005-0000-0000-0000AF4D0000}"/>
    <cellStyle name="Normal 2 48" xfId="19903" xr:uid="{00000000-0005-0000-0000-0000B04D0000}"/>
    <cellStyle name="Normal 2 48 2" xfId="19904" xr:uid="{00000000-0005-0000-0000-0000B14D0000}"/>
    <cellStyle name="Normal 2 48 3" xfId="19905" xr:uid="{00000000-0005-0000-0000-0000B24D0000}"/>
    <cellStyle name="Normal 2 49" xfId="19906" xr:uid="{00000000-0005-0000-0000-0000B34D0000}"/>
    <cellStyle name="Normal 2 49 2" xfId="19907" xr:uid="{00000000-0005-0000-0000-0000B44D0000}"/>
    <cellStyle name="Normal 2 49 3" xfId="19908" xr:uid="{00000000-0005-0000-0000-0000B54D0000}"/>
    <cellStyle name="Normal 2 5" xfId="19909" xr:uid="{00000000-0005-0000-0000-0000B64D0000}"/>
    <cellStyle name="Normal 2 5 10" xfId="19910" xr:uid="{00000000-0005-0000-0000-0000B74D0000}"/>
    <cellStyle name="Normal 2 5 10 2" xfId="19911" xr:uid="{00000000-0005-0000-0000-0000B84D0000}"/>
    <cellStyle name="Normal 2 5 10 3" xfId="19912" xr:uid="{00000000-0005-0000-0000-0000B94D0000}"/>
    <cellStyle name="Normal 2 5 11" xfId="19913" xr:uid="{00000000-0005-0000-0000-0000BA4D0000}"/>
    <cellStyle name="Normal 2 5 11 2" xfId="19914" xr:uid="{00000000-0005-0000-0000-0000BB4D0000}"/>
    <cellStyle name="Normal 2 5 11 3" xfId="19915" xr:uid="{00000000-0005-0000-0000-0000BC4D0000}"/>
    <cellStyle name="Normal 2 5 12" xfId="19916" xr:uid="{00000000-0005-0000-0000-0000BD4D0000}"/>
    <cellStyle name="Normal 2 5 12 2" xfId="19917" xr:uid="{00000000-0005-0000-0000-0000BE4D0000}"/>
    <cellStyle name="Normal 2 5 12 3" xfId="19918" xr:uid="{00000000-0005-0000-0000-0000BF4D0000}"/>
    <cellStyle name="Normal 2 5 13" xfId="19919" xr:uid="{00000000-0005-0000-0000-0000C04D0000}"/>
    <cellStyle name="Normal 2 5 13 2" xfId="19920" xr:uid="{00000000-0005-0000-0000-0000C14D0000}"/>
    <cellStyle name="Normal 2 5 13 3" xfId="19921" xr:uid="{00000000-0005-0000-0000-0000C24D0000}"/>
    <cellStyle name="Normal 2 5 14" xfId="19922" xr:uid="{00000000-0005-0000-0000-0000C34D0000}"/>
    <cellStyle name="Normal 2 5 14 2" xfId="19923" xr:uid="{00000000-0005-0000-0000-0000C44D0000}"/>
    <cellStyle name="Normal 2 5 14 3" xfId="19924" xr:uid="{00000000-0005-0000-0000-0000C54D0000}"/>
    <cellStyle name="Normal 2 5 15" xfId="19925" xr:uid="{00000000-0005-0000-0000-0000C64D0000}"/>
    <cellStyle name="Normal 2 5 15 2" xfId="19926" xr:uid="{00000000-0005-0000-0000-0000C74D0000}"/>
    <cellStyle name="Normal 2 5 15 3" xfId="19927" xr:uid="{00000000-0005-0000-0000-0000C84D0000}"/>
    <cellStyle name="Normal 2 5 16" xfId="19928" xr:uid="{00000000-0005-0000-0000-0000C94D0000}"/>
    <cellStyle name="Normal 2 5 16 2" xfId="19929" xr:uid="{00000000-0005-0000-0000-0000CA4D0000}"/>
    <cellStyle name="Normal 2 5 16 3" xfId="19930" xr:uid="{00000000-0005-0000-0000-0000CB4D0000}"/>
    <cellStyle name="Normal 2 5 17" xfId="19931" xr:uid="{00000000-0005-0000-0000-0000CC4D0000}"/>
    <cellStyle name="Normal 2 5 17 2" xfId="19932" xr:uid="{00000000-0005-0000-0000-0000CD4D0000}"/>
    <cellStyle name="Normal 2 5 17 3" xfId="19933" xr:uid="{00000000-0005-0000-0000-0000CE4D0000}"/>
    <cellStyle name="Normal 2 5 18" xfId="19934" xr:uid="{00000000-0005-0000-0000-0000CF4D0000}"/>
    <cellStyle name="Normal 2 5 18 2" xfId="19935" xr:uid="{00000000-0005-0000-0000-0000D04D0000}"/>
    <cellStyle name="Normal 2 5 18 3" xfId="19936" xr:uid="{00000000-0005-0000-0000-0000D14D0000}"/>
    <cellStyle name="Normal 2 5 19" xfId="19937" xr:uid="{00000000-0005-0000-0000-0000D24D0000}"/>
    <cellStyle name="Normal 2 5 19 2" xfId="19938" xr:uid="{00000000-0005-0000-0000-0000D34D0000}"/>
    <cellStyle name="Normal 2 5 19 3" xfId="19939" xr:uid="{00000000-0005-0000-0000-0000D44D0000}"/>
    <cellStyle name="Normal 2 5 2" xfId="19940" xr:uid="{00000000-0005-0000-0000-0000D54D0000}"/>
    <cellStyle name="Normal 2 5 2 10" xfId="19941" xr:uid="{00000000-0005-0000-0000-0000D64D0000}"/>
    <cellStyle name="Normal 2 5 2 10 2" xfId="19942" xr:uid="{00000000-0005-0000-0000-0000D74D0000}"/>
    <cellStyle name="Normal 2 5 2 10 3" xfId="19943" xr:uid="{00000000-0005-0000-0000-0000D84D0000}"/>
    <cellStyle name="Normal 2 5 2 11" xfId="19944" xr:uid="{00000000-0005-0000-0000-0000D94D0000}"/>
    <cellStyle name="Normal 2 5 2 11 2" xfId="19945" xr:uid="{00000000-0005-0000-0000-0000DA4D0000}"/>
    <cellStyle name="Normal 2 5 2 11 3" xfId="19946" xr:uid="{00000000-0005-0000-0000-0000DB4D0000}"/>
    <cellStyle name="Normal 2 5 2 12" xfId="19947" xr:uid="{00000000-0005-0000-0000-0000DC4D0000}"/>
    <cellStyle name="Normal 2 5 2 12 2" xfId="19948" xr:uid="{00000000-0005-0000-0000-0000DD4D0000}"/>
    <cellStyle name="Normal 2 5 2 12 3" xfId="19949" xr:uid="{00000000-0005-0000-0000-0000DE4D0000}"/>
    <cellStyle name="Normal 2 5 2 13" xfId="19950" xr:uid="{00000000-0005-0000-0000-0000DF4D0000}"/>
    <cellStyle name="Normal 2 5 2 13 2" xfId="19951" xr:uid="{00000000-0005-0000-0000-0000E04D0000}"/>
    <cellStyle name="Normal 2 5 2 13 3" xfId="19952" xr:uid="{00000000-0005-0000-0000-0000E14D0000}"/>
    <cellStyle name="Normal 2 5 2 14" xfId="19953" xr:uid="{00000000-0005-0000-0000-0000E24D0000}"/>
    <cellStyle name="Normal 2 5 2 14 2" xfId="19954" xr:uid="{00000000-0005-0000-0000-0000E34D0000}"/>
    <cellStyle name="Normal 2 5 2 14 3" xfId="19955" xr:uid="{00000000-0005-0000-0000-0000E44D0000}"/>
    <cellStyle name="Normal 2 5 2 15" xfId="19956" xr:uid="{00000000-0005-0000-0000-0000E54D0000}"/>
    <cellStyle name="Normal 2 5 2 15 2" xfId="19957" xr:uid="{00000000-0005-0000-0000-0000E64D0000}"/>
    <cellStyle name="Normal 2 5 2 15 3" xfId="19958" xr:uid="{00000000-0005-0000-0000-0000E74D0000}"/>
    <cellStyle name="Normal 2 5 2 16" xfId="19959" xr:uid="{00000000-0005-0000-0000-0000E84D0000}"/>
    <cellStyle name="Normal 2 5 2 16 2" xfId="19960" xr:uid="{00000000-0005-0000-0000-0000E94D0000}"/>
    <cellStyle name="Normal 2 5 2 16 3" xfId="19961" xr:uid="{00000000-0005-0000-0000-0000EA4D0000}"/>
    <cellStyle name="Normal 2 5 2 17" xfId="19962" xr:uid="{00000000-0005-0000-0000-0000EB4D0000}"/>
    <cellStyle name="Normal 2 5 2 17 2" xfId="19963" xr:uid="{00000000-0005-0000-0000-0000EC4D0000}"/>
    <cellStyle name="Normal 2 5 2 17 3" xfId="19964" xr:uid="{00000000-0005-0000-0000-0000ED4D0000}"/>
    <cellStyle name="Normal 2 5 2 18" xfId="19965" xr:uid="{00000000-0005-0000-0000-0000EE4D0000}"/>
    <cellStyle name="Normal 2 5 2 18 2" xfId="19966" xr:uid="{00000000-0005-0000-0000-0000EF4D0000}"/>
    <cellStyle name="Normal 2 5 2 18 3" xfId="19967" xr:uid="{00000000-0005-0000-0000-0000F04D0000}"/>
    <cellStyle name="Normal 2 5 2 19" xfId="19968" xr:uid="{00000000-0005-0000-0000-0000F14D0000}"/>
    <cellStyle name="Normal 2 5 2 19 2" xfId="19969" xr:uid="{00000000-0005-0000-0000-0000F24D0000}"/>
    <cellStyle name="Normal 2 5 2 19 3" xfId="19970" xr:uid="{00000000-0005-0000-0000-0000F34D0000}"/>
    <cellStyle name="Normal 2 5 2 2" xfId="19971" xr:uid="{00000000-0005-0000-0000-0000F44D0000}"/>
    <cellStyle name="Normal 2 5 2 2 10" xfId="19972" xr:uid="{00000000-0005-0000-0000-0000F54D0000}"/>
    <cellStyle name="Normal 2 5 2 2 10 2" xfId="19973" xr:uid="{00000000-0005-0000-0000-0000F64D0000}"/>
    <cellStyle name="Normal 2 5 2 2 10 3" xfId="19974" xr:uid="{00000000-0005-0000-0000-0000F74D0000}"/>
    <cellStyle name="Normal 2 5 2 2 11" xfId="19975" xr:uid="{00000000-0005-0000-0000-0000F84D0000}"/>
    <cellStyle name="Normal 2 5 2 2 11 2" xfId="19976" xr:uid="{00000000-0005-0000-0000-0000F94D0000}"/>
    <cellStyle name="Normal 2 5 2 2 11 3" xfId="19977" xr:uid="{00000000-0005-0000-0000-0000FA4D0000}"/>
    <cellStyle name="Normal 2 5 2 2 12" xfId="19978" xr:uid="{00000000-0005-0000-0000-0000FB4D0000}"/>
    <cellStyle name="Normal 2 5 2 2 12 2" xfId="19979" xr:uid="{00000000-0005-0000-0000-0000FC4D0000}"/>
    <cellStyle name="Normal 2 5 2 2 12 3" xfId="19980" xr:uid="{00000000-0005-0000-0000-0000FD4D0000}"/>
    <cellStyle name="Normal 2 5 2 2 13" xfId="19981" xr:uid="{00000000-0005-0000-0000-0000FE4D0000}"/>
    <cellStyle name="Normal 2 5 2 2 13 2" xfId="19982" xr:uid="{00000000-0005-0000-0000-0000FF4D0000}"/>
    <cellStyle name="Normal 2 5 2 2 13 3" xfId="19983" xr:uid="{00000000-0005-0000-0000-0000004E0000}"/>
    <cellStyle name="Normal 2 5 2 2 14" xfId="19984" xr:uid="{00000000-0005-0000-0000-0000014E0000}"/>
    <cellStyle name="Normal 2 5 2 2 14 2" xfId="19985" xr:uid="{00000000-0005-0000-0000-0000024E0000}"/>
    <cellStyle name="Normal 2 5 2 2 14 3" xfId="19986" xr:uid="{00000000-0005-0000-0000-0000034E0000}"/>
    <cellStyle name="Normal 2 5 2 2 15" xfId="19987" xr:uid="{00000000-0005-0000-0000-0000044E0000}"/>
    <cellStyle name="Normal 2 5 2 2 15 2" xfId="19988" xr:uid="{00000000-0005-0000-0000-0000054E0000}"/>
    <cellStyle name="Normal 2 5 2 2 15 3" xfId="19989" xr:uid="{00000000-0005-0000-0000-0000064E0000}"/>
    <cellStyle name="Normal 2 5 2 2 16" xfId="19990" xr:uid="{00000000-0005-0000-0000-0000074E0000}"/>
    <cellStyle name="Normal 2 5 2 2 16 2" xfId="19991" xr:uid="{00000000-0005-0000-0000-0000084E0000}"/>
    <cellStyle name="Normal 2 5 2 2 16 3" xfId="19992" xr:uid="{00000000-0005-0000-0000-0000094E0000}"/>
    <cellStyle name="Normal 2 5 2 2 17" xfId="19993" xr:uid="{00000000-0005-0000-0000-00000A4E0000}"/>
    <cellStyle name="Normal 2 5 2 2 17 2" xfId="19994" xr:uid="{00000000-0005-0000-0000-00000B4E0000}"/>
    <cellStyle name="Normal 2 5 2 2 17 3" xfId="19995" xr:uid="{00000000-0005-0000-0000-00000C4E0000}"/>
    <cellStyle name="Normal 2 5 2 2 18" xfId="19996" xr:uid="{00000000-0005-0000-0000-00000D4E0000}"/>
    <cellStyle name="Normal 2 5 2 2 18 2" xfId="19997" xr:uid="{00000000-0005-0000-0000-00000E4E0000}"/>
    <cellStyle name="Normal 2 5 2 2 18 3" xfId="19998" xr:uid="{00000000-0005-0000-0000-00000F4E0000}"/>
    <cellStyle name="Normal 2 5 2 2 19" xfId="19999" xr:uid="{00000000-0005-0000-0000-0000104E0000}"/>
    <cellStyle name="Normal 2 5 2 2 19 2" xfId="20000" xr:uid="{00000000-0005-0000-0000-0000114E0000}"/>
    <cellStyle name="Normal 2 5 2 2 19 3" xfId="20001" xr:uid="{00000000-0005-0000-0000-0000124E0000}"/>
    <cellStyle name="Normal 2 5 2 2 2" xfId="20002" xr:uid="{00000000-0005-0000-0000-0000134E0000}"/>
    <cellStyle name="Normal 2 5 2 2 2 2" xfId="20003" xr:uid="{00000000-0005-0000-0000-0000144E0000}"/>
    <cellStyle name="Normal 2 5 2 2 2 3" xfId="20004" xr:uid="{00000000-0005-0000-0000-0000154E0000}"/>
    <cellStyle name="Normal 2 5 2 2 20" xfId="20005" xr:uid="{00000000-0005-0000-0000-0000164E0000}"/>
    <cellStyle name="Normal 2 5 2 2 20 2" xfId="20006" xr:uid="{00000000-0005-0000-0000-0000174E0000}"/>
    <cellStyle name="Normal 2 5 2 2 20 3" xfId="20007" xr:uid="{00000000-0005-0000-0000-0000184E0000}"/>
    <cellStyle name="Normal 2 5 2 2 21" xfId="20008" xr:uid="{00000000-0005-0000-0000-0000194E0000}"/>
    <cellStyle name="Normal 2 5 2 2 21 2" xfId="20009" xr:uid="{00000000-0005-0000-0000-00001A4E0000}"/>
    <cellStyle name="Normal 2 5 2 2 21 3" xfId="20010" xr:uid="{00000000-0005-0000-0000-00001B4E0000}"/>
    <cellStyle name="Normal 2 5 2 2 22" xfId="20011" xr:uid="{00000000-0005-0000-0000-00001C4E0000}"/>
    <cellStyle name="Normal 2 5 2 2 22 2" xfId="20012" xr:uid="{00000000-0005-0000-0000-00001D4E0000}"/>
    <cellStyle name="Normal 2 5 2 2 22 3" xfId="20013" xr:uid="{00000000-0005-0000-0000-00001E4E0000}"/>
    <cellStyle name="Normal 2 5 2 2 23" xfId="20014" xr:uid="{00000000-0005-0000-0000-00001F4E0000}"/>
    <cellStyle name="Normal 2 5 2 2 23 2" xfId="20015" xr:uid="{00000000-0005-0000-0000-0000204E0000}"/>
    <cellStyle name="Normal 2 5 2 2 23 3" xfId="20016" xr:uid="{00000000-0005-0000-0000-0000214E0000}"/>
    <cellStyle name="Normal 2 5 2 2 24" xfId="20017" xr:uid="{00000000-0005-0000-0000-0000224E0000}"/>
    <cellStyle name="Normal 2 5 2 2 24 2" xfId="20018" xr:uid="{00000000-0005-0000-0000-0000234E0000}"/>
    <cellStyle name="Normal 2 5 2 2 24 3" xfId="20019" xr:uid="{00000000-0005-0000-0000-0000244E0000}"/>
    <cellStyle name="Normal 2 5 2 2 25" xfId="20020" xr:uid="{00000000-0005-0000-0000-0000254E0000}"/>
    <cellStyle name="Normal 2 5 2 2 25 2" xfId="20021" xr:uid="{00000000-0005-0000-0000-0000264E0000}"/>
    <cellStyle name="Normal 2 5 2 2 25 3" xfId="20022" xr:uid="{00000000-0005-0000-0000-0000274E0000}"/>
    <cellStyle name="Normal 2 5 2 2 26" xfId="20023" xr:uid="{00000000-0005-0000-0000-0000284E0000}"/>
    <cellStyle name="Normal 2 5 2 2 26 2" xfId="20024" xr:uid="{00000000-0005-0000-0000-0000294E0000}"/>
    <cellStyle name="Normal 2 5 2 2 26 3" xfId="20025" xr:uid="{00000000-0005-0000-0000-00002A4E0000}"/>
    <cellStyle name="Normal 2 5 2 2 27" xfId="20026" xr:uid="{00000000-0005-0000-0000-00002B4E0000}"/>
    <cellStyle name="Normal 2 5 2 2 27 2" xfId="20027" xr:uid="{00000000-0005-0000-0000-00002C4E0000}"/>
    <cellStyle name="Normal 2 5 2 2 27 3" xfId="20028" xr:uid="{00000000-0005-0000-0000-00002D4E0000}"/>
    <cellStyle name="Normal 2 5 2 2 28" xfId="20029" xr:uid="{00000000-0005-0000-0000-00002E4E0000}"/>
    <cellStyle name="Normal 2 5 2 2 28 2" xfId="20030" xr:uid="{00000000-0005-0000-0000-00002F4E0000}"/>
    <cellStyle name="Normal 2 5 2 2 28 3" xfId="20031" xr:uid="{00000000-0005-0000-0000-0000304E0000}"/>
    <cellStyle name="Normal 2 5 2 2 29" xfId="20032" xr:uid="{00000000-0005-0000-0000-0000314E0000}"/>
    <cellStyle name="Normal 2 5 2 2 29 2" xfId="20033" xr:uid="{00000000-0005-0000-0000-0000324E0000}"/>
    <cellStyle name="Normal 2 5 2 2 29 3" xfId="20034" xr:uid="{00000000-0005-0000-0000-0000334E0000}"/>
    <cellStyle name="Normal 2 5 2 2 3" xfId="20035" xr:uid="{00000000-0005-0000-0000-0000344E0000}"/>
    <cellStyle name="Normal 2 5 2 2 3 2" xfId="20036" xr:uid="{00000000-0005-0000-0000-0000354E0000}"/>
    <cellStyle name="Normal 2 5 2 2 3 3" xfId="20037" xr:uid="{00000000-0005-0000-0000-0000364E0000}"/>
    <cellStyle name="Normal 2 5 2 2 30" xfId="20038" xr:uid="{00000000-0005-0000-0000-0000374E0000}"/>
    <cellStyle name="Normal 2 5 2 2 30 2" xfId="20039" xr:uid="{00000000-0005-0000-0000-0000384E0000}"/>
    <cellStyle name="Normal 2 5 2 2 30 3" xfId="20040" xr:uid="{00000000-0005-0000-0000-0000394E0000}"/>
    <cellStyle name="Normal 2 5 2 2 31" xfId="20041" xr:uid="{00000000-0005-0000-0000-00003A4E0000}"/>
    <cellStyle name="Normal 2 5 2 2 31 2" xfId="20042" xr:uid="{00000000-0005-0000-0000-00003B4E0000}"/>
    <cellStyle name="Normal 2 5 2 2 31 3" xfId="20043" xr:uid="{00000000-0005-0000-0000-00003C4E0000}"/>
    <cellStyle name="Normal 2 5 2 2 32" xfId="20044" xr:uid="{00000000-0005-0000-0000-00003D4E0000}"/>
    <cellStyle name="Normal 2 5 2 2 32 2" xfId="20045" xr:uid="{00000000-0005-0000-0000-00003E4E0000}"/>
    <cellStyle name="Normal 2 5 2 2 32 3" xfId="20046" xr:uid="{00000000-0005-0000-0000-00003F4E0000}"/>
    <cellStyle name="Normal 2 5 2 2 33" xfId="20047" xr:uid="{00000000-0005-0000-0000-0000404E0000}"/>
    <cellStyle name="Normal 2 5 2 2 33 2" xfId="20048" xr:uid="{00000000-0005-0000-0000-0000414E0000}"/>
    <cellStyle name="Normal 2 5 2 2 33 3" xfId="20049" xr:uid="{00000000-0005-0000-0000-0000424E0000}"/>
    <cellStyle name="Normal 2 5 2 2 34" xfId="20050" xr:uid="{00000000-0005-0000-0000-0000434E0000}"/>
    <cellStyle name="Normal 2 5 2 2 34 2" xfId="20051" xr:uid="{00000000-0005-0000-0000-0000444E0000}"/>
    <cellStyle name="Normal 2 5 2 2 34 3" xfId="20052" xr:uid="{00000000-0005-0000-0000-0000454E0000}"/>
    <cellStyle name="Normal 2 5 2 2 35" xfId="20053" xr:uid="{00000000-0005-0000-0000-0000464E0000}"/>
    <cellStyle name="Normal 2 5 2 2 35 2" xfId="20054" xr:uid="{00000000-0005-0000-0000-0000474E0000}"/>
    <cellStyle name="Normal 2 5 2 2 35 3" xfId="20055" xr:uid="{00000000-0005-0000-0000-0000484E0000}"/>
    <cellStyle name="Normal 2 5 2 2 36" xfId="20056" xr:uid="{00000000-0005-0000-0000-0000494E0000}"/>
    <cellStyle name="Normal 2 5 2 2 36 2" xfId="20057" xr:uid="{00000000-0005-0000-0000-00004A4E0000}"/>
    <cellStyle name="Normal 2 5 2 2 36 3" xfId="20058" xr:uid="{00000000-0005-0000-0000-00004B4E0000}"/>
    <cellStyle name="Normal 2 5 2 2 37" xfId="20059" xr:uid="{00000000-0005-0000-0000-00004C4E0000}"/>
    <cellStyle name="Normal 2 5 2 2 37 2" xfId="20060" xr:uid="{00000000-0005-0000-0000-00004D4E0000}"/>
    <cellStyle name="Normal 2 5 2 2 37 3" xfId="20061" xr:uid="{00000000-0005-0000-0000-00004E4E0000}"/>
    <cellStyle name="Normal 2 5 2 2 38" xfId="20062" xr:uid="{00000000-0005-0000-0000-00004F4E0000}"/>
    <cellStyle name="Normal 2 5 2 2 38 2" xfId="20063" xr:uid="{00000000-0005-0000-0000-0000504E0000}"/>
    <cellStyle name="Normal 2 5 2 2 38 3" xfId="20064" xr:uid="{00000000-0005-0000-0000-0000514E0000}"/>
    <cellStyle name="Normal 2 5 2 2 39" xfId="20065" xr:uid="{00000000-0005-0000-0000-0000524E0000}"/>
    <cellStyle name="Normal 2 5 2 2 39 2" xfId="20066" xr:uid="{00000000-0005-0000-0000-0000534E0000}"/>
    <cellStyle name="Normal 2 5 2 2 39 3" xfId="20067" xr:uid="{00000000-0005-0000-0000-0000544E0000}"/>
    <cellStyle name="Normal 2 5 2 2 4" xfId="20068" xr:uid="{00000000-0005-0000-0000-0000554E0000}"/>
    <cellStyle name="Normal 2 5 2 2 4 2" xfId="20069" xr:uid="{00000000-0005-0000-0000-0000564E0000}"/>
    <cellStyle name="Normal 2 5 2 2 4 3" xfId="20070" xr:uid="{00000000-0005-0000-0000-0000574E0000}"/>
    <cellStyle name="Normal 2 5 2 2 40" xfId="20071" xr:uid="{00000000-0005-0000-0000-0000584E0000}"/>
    <cellStyle name="Normal 2 5 2 2 40 2" xfId="20072" xr:uid="{00000000-0005-0000-0000-0000594E0000}"/>
    <cellStyle name="Normal 2 5 2 2 40 3" xfId="20073" xr:uid="{00000000-0005-0000-0000-00005A4E0000}"/>
    <cellStyle name="Normal 2 5 2 2 41" xfId="20074" xr:uid="{00000000-0005-0000-0000-00005B4E0000}"/>
    <cellStyle name="Normal 2 5 2 2 41 2" xfId="20075" xr:uid="{00000000-0005-0000-0000-00005C4E0000}"/>
    <cellStyle name="Normal 2 5 2 2 41 3" xfId="20076" xr:uid="{00000000-0005-0000-0000-00005D4E0000}"/>
    <cellStyle name="Normal 2 5 2 2 42" xfId="20077" xr:uid="{00000000-0005-0000-0000-00005E4E0000}"/>
    <cellStyle name="Normal 2 5 2 2 42 2" xfId="20078" xr:uid="{00000000-0005-0000-0000-00005F4E0000}"/>
    <cellStyle name="Normal 2 5 2 2 42 3" xfId="20079" xr:uid="{00000000-0005-0000-0000-0000604E0000}"/>
    <cellStyle name="Normal 2 5 2 2 43" xfId="20080" xr:uid="{00000000-0005-0000-0000-0000614E0000}"/>
    <cellStyle name="Normal 2 5 2 2 43 2" xfId="20081" xr:uid="{00000000-0005-0000-0000-0000624E0000}"/>
    <cellStyle name="Normal 2 5 2 2 43 3" xfId="20082" xr:uid="{00000000-0005-0000-0000-0000634E0000}"/>
    <cellStyle name="Normal 2 5 2 2 44" xfId="20083" xr:uid="{00000000-0005-0000-0000-0000644E0000}"/>
    <cellStyle name="Normal 2 5 2 2 44 2" xfId="20084" xr:uid="{00000000-0005-0000-0000-0000654E0000}"/>
    <cellStyle name="Normal 2 5 2 2 44 3" xfId="20085" xr:uid="{00000000-0005-0000-0000-0000664E0000}"/>
    <cellStyle name="Normal 2 5 2 2 45" xfId="20086" xr:uid="{00000000-0005-0000-0000-0000674E0000}"/>
    <cellStyle name="Normal 2 5 2 2 45 2" xfId="20087" xr:uid="{00000000-0005-0000-0000-0000684E0000}"/>
    <cellStyle name="Normal 2 5 2 2 45 3" xfId="20088" xr:uid="{00000000-0005-0000-0000-0000694E0000}"/>
    <cellStyle name="Normal 2 5 2 2 46" xfId="20089" xr:uid="{00000000-0005-0000-0000-00006A4E0000}"/>
    <cellStyle name="Normal 2 5 2 2 46 2" xfId="20090" xr:uid="{00000000-0005-0000-0000-00006B4E0000}"/>
    <cellStyle name="Normal 2 5 2 2 46 3" xfId="20091" xr:uid="{00000000-0005-0000-0000-00006C4E0000}"/>
    <cellStyle name="Normal 2 5 2 2 47" xfId="20092" xr:uid="{00000000-0005-0000-0000-00006D4E0000}"/>
    <cellStyle name="Normal 2 5 2 2 47 2" xfId="20093" xr:uid="{00000000-0005-0000-0000-00006E4E0000}"/>
    <cellStyle name="Normal 2 5 2 2 47 3" xfId="20094" xr:uid="{00000000-0005-0000-0000-00006F4E0000}"/>
    <cellStyle name="Normal 2 5 2 2 48" xfId="20095" xr:uid="{00000000-0005-0000-0000-0000704E0000}"/>
    <cellStyle name="Normal 2 5 2 2 48 2" xfId="20096" xr:uid="{00000000-0005-0000-0000-0000714E0000}"/>
    <cellStyle name="Normal 2 5 2 2 48 3" xfId="20097" xr:uid="{00000000-0005-0000-0000-0000724E0000}"/>
    <cellStyle name="Normal 2 5 2 2 49" xfId="20098" xr:uid="{00000000-0005-0000-0000-0000734E0000}"/>
    <cellStyle name="Normal 2 5 2 2 49 2" xfId="20099" xr:uid="{00000000-0005-0000-0000-0000744E0000}"/>
    <cellStyle name="Normal 2 5 2 2 49 3" xfId="20100" xr:uid="{00000000-0005-0000-0000-0000754E0000}"/>
    <cellStyle name="Normal 2 5 2 2 5" xfId="20101" xr:uid="{00000000-0005-0000-0000-0000764E0000}"/>
    <cellStyle name="Normal 2 5 2 2 5 2" xfId="20102" xr:uid="{00000000-0005-0000-0000-0000774E0000}"/>
    <cellStyle name="Normal 2 5 2 2 5 3" xfId="20103" xr:uid="{00000000-0005-0000-0000-0000784E0000}"/>
    <cellStyle name="Normal 2 5 2 2 50" xfId="20104" xr:uid="{00000000-0005-0000-0000-0000794E0000}"/>
    <cellStyle name="Normal 2 5 2 2 50 2" xfId="20105" xr:uid="{00000000-0005-0000-0000-00007A4E0000}"/>
    <cellStyle name="Normal 2 5 2 2 50 3" xfId="20106" xr:uid="{00000000-0005-0000-0000-00007B4E0000}"/>
    <cellStyle name="Normal 2 5 2 2 51" xfId="20107" xr:uid="{00000000-0005-0000-0000-00007C4E0000}"/>
    <cellStyle name="Normal 2 5 2 2 51 2" xfId="20108" xr:uid="{00000000-0005-0000-0000-00007D4E0000}"/>
    <cellStyle name="Normal 2 5 2 2 51 3" xfId="20109" xr:uid="{00000000-0005-0000-0000-00007E4E0000}"/>
    <cellStyle name="Normal 2 5 2 2 52" xfId="20110" xr:uid="{00000000-0005-0000-0000-00007F4E0000}"/>
    <cellStyle name="Normal 2 5 2 2 52 2" xfId="20111" xr:uid="{00000000-0005-0000-0000-0000804E0000}"/>
    <cellStyle name="Normal 2 5 2 2 52 3" xfId="20112" xr:uid="{00000000-0005-0000-0000-0000814E0000}"/>
    <cellStyle name="Normal 2 5 2 2 53" xfId="20113" xr:uid="{00000000-0005-0000-0000-0000824E0000}"/>
    <cellStyle name="Normal 2 5 2 2 53 2" xfId="20114" xr:uid="{00000000-0005-0000-0000-0000834E0000}"/>
    <cellStyle name="Normal 2 5 2 2 53 3" xfId="20115" xr:uid="{00000000-0005-0000-0000-0000844E0000}"/>
    <cellStyle name="Normal 2 5 2 2 54" xfId="20116" xr:uid="{00000000-0005-0000-0000-0000854E0000}"/>
    <cellStyle name="Normal 2 5 2 2 54 2" xfId="20117" xr:uid="{00000000-0005-0000-0000-0000864E0000}"/>
    <cellStyle name="Normal 2 5 2 2 54 3" xfId="20118" xr:uid="{00000000-0005-0000-0000-0000874E0000}"/>
    <cellStyle name="Normal 2 5 2 2 55" xfId="20119" xr:uid="{00000000-0005-0000-0000-0000884E0000}"/>
    <cellStyle name="Normal 2 5 2 2 55 2" xfId="20120" xr:uid="{00000000-0005-0000-0000-0000894E0000}"/>
    <cellStyle name="Normal 2 5 2 2 55 3" xfId="20121" xr:uid="{00000000-0005-0000-0000-00008A4E0000}"/>
    <cellStyle name="Normal 2 5 2 2 56" xfId="20122" xr:uid="{00000000-0005-0000-0000-00008B4E0000}"/>
    <cellStyle name="Normal 2 5 2 2 57" xfId="20123" xr:uid="{00000000-0005-0000-0000-00008C4E0000}"/>
    <cellStyle name="Normal 2 5 2 2 6" xfId="20124" xr:uid="{00000000-0005-0000-0000-00008D4E0000}"/>
    <cellStyle name="Normal 2 5 2 2 6 2" xfId="20125" xr:uid="{00000000-0005-0000-0000-00008E4E0000}"/>
    <cellStyle name="Normal 2 5 2 2 6 3" xfId="20126" xr:uid="{00000000-0005-0000-0000-00008F4E0000}"/>
    <cellStyle name="Normal 2 5 2 2 7" xfId="20127" xr:uid="{00000000-0005-0000-0000-0000904E0000}"/>
    <cellStyle name="Normal 2 5 2 2 7 2" xfId="20128" xr:uid="{00000000-0005-0000-0000-0000914E0000}"/>
    <cellStyle name="Normal 2 5 2 2 7 3" xfId="20129" xr:uid="{00000000-0005-0000-0000-0000924E0000}"/>
    <cellStyle name="Normal 2 5 2 2 8" xfId="20130" xr:uid="{00000000-0005-0000-0000-0000934E0000}"/>
    <cellStyle name="Normal 2 5 2 2 8 2" xfId="20131" xr:uid="{00000000-0005-0000-0000-0000944E0000}"/>
    <cellStyle name="Normal 2 5 2 2 8 3" xfId="20132" xr:uid="{00000000-0005-0000-0000-0000954E0000}"/>
    <cellStyle name="Normal 2 5 2 2 9" xfId="20133" xr:uid="{00000000-0005-0000-0000-0000964E0000}"/>
    <cellStyle name="Normal 2 5 2 2 9 2" xfId="20134" xr:uid="{00000000-0005-0000-0000-0000974E0000}"/>
    <cellStyle name="Normal 2 5 2 2 9 3" xfId="20135" xr:uid="{00000000-0005-0000-0000-0000984E0000}"/>
    <cellStyle name="Normal 2 5 2 20" xfId="20136" xr:uid="{00000000-0005-0000-0000-0000994E0000}"/>
    <cellStyle name="Normal 2 5 2 20 2" xfId="20137" xr:uid="{00000000-0005-0000-0000-00009A4E0000}"/>
    <cellStyle name="Normal 2 5 2 20 3" xfId="20138" xr:uid="{00000000-0005-0000-0000-00009B4E0000}"/>
    <cellStyle name="Normal 2 5 2 21" xfId="20139" xr:uid="{00000000-0005-0000-0000-00009C4E0000}"/>
    <cellStyle name="Normal 2 5 2 21 2" xfId="20140" xr:uid="{00000000-0005-0000-0000-00009D4E0000}"/>
    <cellStyle name="Normal 2 5 2 21 3" xfId="20141" xr:uid="{00000000-0005-0000-0000-00009E4E0000}"/>
    <cellStyle name="Normal 2 5 2 22" xfId="20142" xr:uid="{00000000-0005-0000-0000-00009F4E0000}"/>
    <cellStyle name="Normal 2 5 2 22 2" xfId="20143" xr:uid="{00000000-0005-0000-0000-0000A04E0000}"/>
    <cellStyle name="Normal 2 5 2 22 3" xfId="20144" xr:uid="{00000000-0005-0000-0000-0000A14E0000}"/>
    <cellStyle name="Normal 2 5 2 23" xfId="20145" xr:uid="{00000000-0005-0000-0000-0000A24E0000}"/>
    <cellStyle name="Normal 2 5 2 23 2" xfId="20146" xr:uid="{00000000-0005-0000-0000-0000A34E0000}"/>
    <cellStyle name="Normal 2 5 2 23 3" xfId="20147" xr:uid="{00000000-0005-0000-0000-0000A44E0000}"/>
    <cellStyle name="Normal 2 5 2 24" xfId="20148" xr:uid="{00000000-0005-0000-0000-0000A54E0000}"/>
    <cellStyle name="Normal 2 5 2 24 2" xfId="20149" xr:uid="{00000000-0005-0000-0000-0000A64E0000}"/>
    <cellStyle name="Normal 2 5 2 24 3" xfId="20150" xr:uid="{00000000-0005-0000-0000-0000A74E0000}"/>
    <cellStyle name="Normal 2 5 2 25" xfId="20151" xr:uid="{00000000-0005-0000-0000-0000A84E0000}"/>
    <cellStyle name="Normal 2 5 2 25 2" xfId="20152" xr:uid="{00000000-0005-0000-0000-0000A94E0000}"/>
    <cellStyle name="Normal 2 5 2 25 3" xfId="20153" xr:uid="{00000000-0005-0000-0000-0000AA4E0000}"/>
    <cellStyle name="Normal 2 5 2 26" xfId="20154" xr:uid="{00000000-0005-0000-0000-0000AB4E0000}"/>
    <cellStyle name="Normal 2 5 2 26 2" xfId="20155" xr:uid="{00000000-0005-0000-0000-0000AC4E0000}"/>
    <cellStyle name="Normal 2 5 2 26 3" xfId="20156" xr:uid="{00000000-0005-0000-0000-0000AD4E0000}"/>
    <cellStyle name="Normal 2 5 2 27" xfId="20157" xr:uid="{00000000-0005-0000-0000-0000AE4E0000}"/>
    <cellStyle name="Normal 2 5 2 27 2" xfId="20158" xr:uid="{00000000-0005-0000-0000-0000AF4E0000}"/>
    <cellStyle name="Normal 2 5 2 27 3" xfId="20159" xr:uid="{00000000-0005-0000-0000-0000B04E0000}"/>
    <cellStyle name="Normal 2 5 2 28" xfId="20160" xr:uid="{00000000-0005-0000-0000-0000B14E0000}"/>
    <cellStyle name="Normal 2 5 2 28 2" xfId="20161" xr:uid="{00000000-0005-0000-0000-0000B24E0000}"/>
    <cellStyle name="Normal 2 5 2 28 3" xfId="20162" xr:uid="{00000000-0005-0000-0000-0000B34E0000}"/>
    <cellStyle name="Normal 2 5 2 29" xfId="20163" xr:uid="{00000000-0005-0000-0000-0000B44E0000}"/>
    <cellStyle name="Normal 2 5 2 29 2" xfId="20164" xr:uid="{00000000-0005-0000-0000-0000B54E0000}"/>
    <cellStyle name="Normal 2 5 2 29 3" xfId="20165" xr:uid="{00000000-0005-0000-0000-0000B64E0000}"/>
    <cellStyle name="Normal 2 5 2 3" xfId="20166" xr:uid="{00000000-0005-0000-0000-0000B74E0000}"/>
    <cellStyle name="Normal 2 5 2 3 2" xfId="20167" xr:uid="{00000000-0005-0000-0000-0000B84E0000}"/>
    <cellStyle name="Normal 2 5 2 3 3" xfId="20168" xr:uid="{00000000-0005-0000-0000-0000B94E0000}"/>
    <cellStyle name="Normal 2 5 2 30" xfId="20169" xr:uid="{00000000-0005-0000-0000-0000BA4E0000}"/>
    <cellStyle name="Normal 2 5 2 30 2" xfId="20170" xr:uid="{00000000-0005-0000-0000-0000BB4E0000}"/>
    <cellStyle name="Normal 2 5 2 30 3" xfId="20171" xr:uid="{00000000-0005-0000-0000-0000BC4E0000}"/>
    <cellStyle name="Normal 2 5 2 31" xfId="20172" xr:uid="{00000000-0005-0000-0000-0000BD4E0000}"/>
    <cellStyle name="Normal 2 5 2 31 2" xfId="20173" xr:uid="{00000000-0005-0000-0000-0000BE4E0000}"/>
    <cellStyle name="Normal 2 5 2 31 3" xfId="20174" xr:uid="{00000000-0005-0000-0000-0000BF4E0000}"/>
    <cellStyle name="Normal 2 5 2 32" xfId="20175" xr:uid="{00000000-0005-0000-0000-0000C04E0000}"/>
    <cellStyle name="Normal 2 5 2 32 2" xfId="20176" xr:uid="{00000000-0005-0000-0000-0000C14E0000}"/>
    <cellStyle name="Normal 2 5 2 32 3" xfId="20177" xr:uid="{00000000-0005-0000-0000-0000C24E0000}"/>
    <cellStyle name="Normal 2 5 2 33" xfId="20178" xr:uid="{00000000-0005-0000-0000-0000C34E0000}"/>
    <cellStyle name="Normal 2 5 2 33 2" xfId="20179" xr:uid="{00000000-0005-0000-0000-0000C44E0000}"/>
    <cellStyle name="Normal 2 5 2 33 3" xfId="20180" xr:uid="{00000000-0005-0000-0000-0000C54E0000}"/>
    <cellStyle name="Normal 2 5 2 34" xfId="20181" xr:uid="{00000000-0005-0000-0000-0000C64E0000}"/>
    <cellStyle name="Normal 2 5 2 35" xfId="20182" xr:uid="{00000000-0005-0000-0000-0000C74E0000}"/>
    <cellStyle name="Normal 2 5 2 36" xfId="20183" xr:uid="{00000000-0005-0000-0000-0000C84E0000}"/>
    <cellStyle name="Normal 2 5 2 4" xfId="20184" xr:uid="{00000000-0005-0000-0000-0000C94E0000}"/>
    <cellStyle name="Normal 2 5 2 4 2" xfId="20185" xr:uid="{00000000-0005-0000-0000-0000CA4E0000}"/>
    <cellStyle name="Normal 2 5 2 4 3" xfId="20186" xr:uid="{00000000-0005-0000-0000-0000CB4E0000}"/>
    <cellStyle name="Normal 2 5 2 5" xfId="20187" xr:uid="{00000000-0005-0000-0000-0000CC4E0000}"/>
    <cellStyle name="Normal 2 5 2 5 2" xfId="20188" xr:uid="{00000000-0005-0000-0000-0000CD4E0000}"/>
    <cellStyle name="Normal 2 5 2 5 3" xfId="20189" xr:uid="{00000000-0005-0000-0000-0000CE4E0000}"/>
    <cellStyle name="Normal 2 5 2 6" xfId="20190" xr:uid="{00000000-0005-0000-0000-0000CF4E0000}"/>
    <cellStyle name="Normal 2 5 2 6 2" xfId="20191" xr:uid="{00000000-0005-0000-0000-0000D04E0000}"/>
    <cellStyle name="Normal 2 5 2 6 3" xfId="20192" xr:uid="{00000000-0005-0000-0000-0000D14E0000}"/>
    <cellStyle name="Normal 2 5 2 7" xfId="20193" xr:uid="{00000000-0005-0000-0000-0000D24E0000}"/>
    <cellStyle name="Normal 2 5 2 7 2" xfId="20194" xr:uid="{00000000-0005-0000-0000-0000D34E0000}"/>
    <cellStyle name="Normal 2 5 2 7 3" xfId="20195" xr:uid="{00000000-0005-0000-0000-0000D44E0000}"/>
    <cellStyle name="Normal 2 5 2 8" xfId="20196" xr:uid="{00000000-0005-0000-0000-0000D54E0000}"/>
    <cellStyle name="Normal 2 5 2 8 2" xfId="20197" xr:uid="{00000000-0005-0000-0000-0000D64E0000}"/>
    <cellStyle name="Normal 2 5 2 8 3" xfId="20198" xr:uid="{00000000-0005-0000-0000-0000D74E0000}"/>
    <cellStyle name="Normal 2 5 2 9" xfId="20199" xr:uid="{00000000-0005-0000-0000-0000D84E0000}"/>
    <cellStyle name="Normal 2 5 2 9 2" xfId="20200" xr:uid="{00000000-0005-0000-0000-0000D94E0000}"/>
    <cellStyle name="Normal 2 5 2 9 3" xfId="20201" xr:uid="{00000000-0005-0000-0000-0000DA4E0000}"/>
    <cellStyle name="Normal 2 5 20" xfId="20202" xr:uid="{00000000-0005-0000-0000-0000DB4E0000}"/>
    <cellStyle name="Normal 2 5 20 2" xfId="20203" xr:uid="{00000000-0005-0000-0000-0000DC4E0000}"/>
    <cellStyle name="Normal 2 5 20 3" xfId="20204" xr:uid="{00000000-0005-0000-0000-0000DD4E0000}"/>
    <cellStyle name="Normal 2 5 21" xfId="20205" xr:uid="{00000000-0005-0000-0000-0000DE4E0000}"/>
    <cellStyle name="Normal 2 5 21 2" xfId="20206" xr:uid="{00000000-0005-0000-0000-0000DF4E0000}"/>
    <cellStyle name="Normal 2 5 21 3" xfId="20207" xr:uid="{00000000-0005-0000-0000-0000E04E0000}"/>
    <cellStyle name="Normal 2 5 22" xfId="20208" xr:uid="{00000000-0005-0000-0000-0000E14E0000}"/>
    <cellStyle name="Normal 2 5 22 2" xfId="20209" xr:uid="{00000000-0005-0000-0000-0000E24E0000}"/>
    <cellStyle name="Normal 2 5 22 3" xfId="20210" xr:uid="{00000000-0005-0000-0000-0000E34E0000}"/>
    <cellStyle name="Normal 2 5 23" xfId="20211" xr:uid="{00000000-0005-0000-0000-0000E44E0000}"/>
    <cellStyle name="Normal 2 5 23 2" xfId="20212" xr:uid="{00000000-0005-0000-0000-0000E54E0000}"/>
    <cellStyle name="Normal 2 5 23 3" xfId="20213" xr:uid="{00000000-0005-0000-0000-0000E64E0000}"/>
    <cellStyle name="Normal 2 5 24" xfId="20214" xr:uid="{00000000-0005-0000-0000-0000E74E0000}"/>
    <cellStyle name="Normal 2 5 24 2" xfId="20215" xr:uid="{00000000-0005-0000-0000-0000E84E0000}"/>
    <cellStyle name="Normal 2 5 24 3" xfId="20216" xr:uid="{00000000-0005-0000-0000-0000E94E0000}"/>
    <cellStyle name="Normal 2 5 25" xfId="20217" xr:uid="{00000000-0005-0000-0000-0000EA4E0000}"/>
    <cellStyle name="Normal 2 5 25 2" xfId="20218" xr:uid="{00000000-0005-0000-0000-0000EB4E0000}"/>
    <cellStyle name="Normal 2 5 25 3" xfId="20219" xr:uid="{00000000-0005-0000-0000-0000EC4E0000}"/>
    <cellStyle name="Normal 2 5 26" xfId="20220" xr:uid="{00000000-0005-0000-0000-0000ED4E0000}"/>
    <cellStyle name="Normal 2 5 26 2" xfId="20221" xr:uid="{00000000-0005-0000-0000-0000EE4E0000}"/>
    <cellStyle name="Normal 2 5 26 3" xfId="20222" xr:uid="{00000000-0005-0000-0000-0000EF4E0000}"/>
    <cellStyle name="Normal 2 5 27" xfId="20223" xr:uid="{00000000-0005-0000-0000-0000F04E0000}"/>
    <cellStyle name="Normal 2 5 27 2" xfId="20224" xr:uid="{00000000-0005-0000-0000-0000F14E0000}"/>
    <cellStyle name="Normal 2 5 27 3" xfId="20225" xr:uid="{00000000-0005-0000-0000-0000F24E0000}"/>
    <cellStyle name="Normal 2 5 28" xfId="20226" xr:uid="{00000000-0005-0000-0000-0000F34E0000}"/>
    <cellStyle name="Normal 2 5 28 2" xfId="20227" xr:uid="{00000000-0005-0000-0000-0000F44E0000}"/>
    <cellStyle name="Normal 2 5 28 3" xfId="20228" xr:uid="{00000000-0005-0000-0000-0000F54E0000}"/>
    <cellStyle name="Normal 2 5 29" xfId="20229" xr:uid="{00000000-0005-0000-0000-0000F64E0000}"/>
    <cellStyle name="Normal 2 5 29 2" xfId="20230" xr:uid="{00000000-0005-0000-0000-0000F74E0000}"/>
    <cellStyle name="Normal 2 5 29 3" xfId="20231" xr:uid="{00000000-0005-0000-0000-0000F84E0000}"/>
    <cellStyle name="Normal 2 5 3" xfId="20232" xr:uid="{00000000-0005-0000-0000-0000F94E0000}"/>
    <cellStyle name="Normal 2 5 3 2" xfId="20233" xr:uid="{00000000-0005-0000-0000-0000FA4E0000}"/>
    <cellStyle name="Normal 2 5 3 2 2" xfId="20234" xr:uid="{00000000-0005-0000-0000-0000FB4E0000}"/>
    <cellStyle name="Normal 2 5 3 3" xfId="20235" xr:uid="{00000000-0005-0000-0000-0000FC4E0000}"/>
    <cellStyle name="Normal 2 5 3 4" xfId="20236" xr:uid="{00000000-0005-0000-0000-0000FD4E0000}"/>
    <cellStyle name="Normal 2 5 30" xfId="20237" xr:uid="{00000000-0005-0000-0000-0000FE4E0000}"/>
    <cellStyle name="Normal 2 5 30 2" xfId="20238" xr:uid="{00000000-0005-0000-0000-0000FF4E0000}"/>
    <cellStyle name="Normal 2 5 30 3" xfId="20239" xr:uid="{00000000-0005-0000-0000-0000004F0000}"/>
    <cellStyle name="Normal 2 5 31" xfId="20240" xr:uid="{00000000-0005-0000-0000-0000014F0000}"/>
    <cellStyle name="Normal 2 5 31 2" xfId="20241" xr:uid="{00000000-0005-0000-0000-0000024F0000}"/>
    <cellStyle name="Normal 2 5 31 3" xfId="20242" xr:uid="{00000000-0005-0000-0000-0000034F0000}"/>
    <cellStyle name="Normal 2 5 32" xfId="20243" xr:uid="{00000000-0005-0000-0000-0000044F0000}"/>
    <cellStyle name="Normal 2 5 32 2" xfId="20244" xr:uid="{00000000-0005-0000-0000-0000054F0000}"/>
    <cellStyle name="Normal 2 5 32 3" xfId="20245" xr:uid="{00000000-0005-0000-0000-0000064F0000}"/>
    <cellStyle name="Normal 2 5 33" xfId="20246" xr:uid="{00000000-0005-0000-0000-0000074F0000}"/>
    <cellStyle name="Normal 2 5 33 2" xfId="20247" xr:uid="{00000000-0005-0000-0000-0000084F0000}"/>
    <cellStyle name="Normal 2 5 33 3" xfId="20248" xr:uid="{00000000-0005-0000-0000-0000094F0000}"/>
    <cellStyle name="Normal 2 5 34" xfId="20249" xr:uid="{00000000-0005-0000-0000-00000A4F0000}"/>
    <cellStyle name="Normal 2 5 34 2" xfId="20250" xr:uid="{00000000-0005-0000-0000-00000B4F0000}"/>
    <cellStyle name="Normal 2 5 34 3" xfId="20251" xr:uid="{00000000-0005-0000-0000-00000C4F0000}"/>
    <cellStyle name="Normal 2 5 35" xfId="20252" xr:uid="{00000000-0005-0000-0000-00000D4F0000}"/>
    <cellStyle name="Normal 2 5 35 2" xfId="20253" xr:uid="{00000000-0005-0000-0000-00000E4F0000}"/>
    <cellStyle name="Normal 2 5 35 3" xfId="20254" xr:uid="{00000000-0005-0000-0000-00000F4F0000}"/>
    <cellStyle name="Normal 2 5 36" xfId="20255" xr:uid="{00000000-0005-0000-0000-0000104F0000}"/>
    <cellStyle name="Normal 2 5 36 2" xfId="20256" xr:uid="{00000000-0005-0000-0000-0000114F0000}"/>
    <cellStyle name="Normal 2 5 36 3" xfId="20257" xr:uid="{00000000-0005-0000-0000-0000124F0000}"/>
    <cellStyle name="Normal 2 5 37" xfId="20258" xr:uid="{00000000-0005-0000-0000-0000134F0000}"/>
    <cellStyle name="Normal 2 5 37 2" xfId="20259" xr:uid="{00000000-0005-0000-0000-0000144F0000}"/>
    <cellStyle name="Normal 2 5 37 3" xfId="20260" xr:uid="{00000000-0005-0000-0000-0000154F0000}"/>
    <cellStyle name="Normal 2 5 38" xfId="20261" xr:uid="{00000000-0005-0000-0000-0000164F0000}"/>
    <cellStyle name="Normal 2 5 38 2" xfId="20262" xr:uid="{00000000-0005-0000-0000-0000174F0000}"/>
    <cellStyle name="Normal 2 5 38 3" xfId="20263" xr:uid="{00000000-0005-0000-0000-0000184F0000}"/>
    <cellStyle name="Normal 2 5 39" xfId="20264" xr:uid="{00000000-0005-0000-0000-0000194F0000}"/>
    <cellStyle name="Normal 2 5 39 2" xfId="20265" xr:uid="{00000000-0005-0000-0000-00001A4F0000}"/>
    <cellStyle name="Normal 2 5 39 3" xfId="20266" xr:uid="{00000000-0005-0000-0000-00001B4F0000}"/>
    <cellStyle name="Normal 2 5 4" xfId="20267" xr:uid="{00000000-0005-0000-0000-00001C4F0000}"/>
    <cellStyle name="Normal 2 5 4 2" xfId="20268" xr:uid="{00000000-0005-0000-0000-00001D4F0000}"/>
    <cellStyle name="Normal 2 5 4 2 2" xfId="20269" xr:uid="{00000000-0005-0000-0000-00001E4F0000}"/>
    <cellStyle name="Normal 2 5 4 3" xfId="20270" xr:uid="{00000000-0005-0000-0000-00001F4F0000}"/>
    <cellStyle name="Normal 2 5 4 4" xfId="20271" xr:uid="{00000000-0005-0000-0000-0000204F0000}"/>
    <cellStyle name="Normal 2 5 40" xfId="20272" xr:uid="{00000000-0005-0000-0000-0000214F0000}"/>
    <cellStyle name="Normal 2 5 40 2" xfId="20273" xr:uid="{00000000-0005-0000-0000-0000224F0000}"/>
    <cellStyle name="Normal 2 5 40 3" xfId="20274" xr:uid="{00000000-0005-0000-0000-0000234F0000}"/>
    <cellStyle name="Normal 2 5 41" xfId="20275" xr:uid="{00000000-0005-0000-0000-0000244F0000}"/>
    <cellStyle name="Normal 2 5 41 2" xfId="20276" xr:uid="{00000000-0005-0000-0000-0000254F0000}"/>
    <cellStyle name="Normal 2 5 41 3" xfId="20277" xr:uid="{00000000-0005-0000-0000-0000264F0000}"/>
    <cellStyle name="Normal 2 5 42" xfId="20278" xr:uid="{00000000-0005-0000-0000-0000274F0000}"/>
    <cellStyle name="Normal 2 5 42 2" xfId="20279" xr:uid="{00000000-0005-0000-0000-0000284F0000}"/>
    <cellStyle name="Normal 2 5 42 3" xfId="20280" xr:uid="{00000000-0005-0000-0000-0000294F0000}"/>
    <cellStyle name="Normal 2 5 43" xfId="20281" xr:uid="{00000000-0005-0000-0000-00002A4F0000}"/>
    <cellStyle name="Normal 2 5 43 2" xfId="20282" xr:uid="{00000000-0005-0000-0000-00002B4F0000}"/>
    <cellStyle name="Normal 2 5 43 3" xfId="20283" xr:uid="{00000000-0005-0000-0000-00002C4F0000}"/>
    <cellStyle name="Normal 2 5 44" xfId="20284" xr:uid="{00000000-0005-0000-0000-00002D4F0000}"/>
    <cellStyle name="Normal 2 5 44 2" xfId="20285" xr:uid="{00000000-0005-0000-0000-00002E4F0000}"/>
    <cellStyle name="Normal 2 5 44 3" xfId="20286" xr:uid="{00000000-0005-0000-0000-00002F4F0000}"/>
    <cellStyle name="Normal 2 5 45" xfId="20287" xr:uid="{00000000-0005-0000-0000-0000304F0000}"/>
    <cellStyle name="Normal 2 5 45 2" xfId="20288" xr:uid="{00000000-0005-0000-0000-0000314F0000}"/>
    <cellStyle name="Normal 2 5 45 3" xfId="20289" xr:uid="{00000000-0005-0000-0000-0000324F0000}"/>
    <cellStyle name="Normal 2 5 46" xfId="20290" xr:uid="{00000000-0005-0000-0000-0000334F0000}"/>
    <cellStyle name="Normal 2 5 46 2" xfId="20291" xr:uid="{00000000-0005-0000-0000-0000344F0000}"/>
    <cellStyle name="Normal 2 5 46 3" xfId="20292" xr:uid="{00000000-0005-0000-0000-0000354F0000}"/>
    <cellStyle name="Normal 2 5 47" xfId="20293" xr:uid="{00000000-0005-0000-0000-0000364F0000}"/>
    <cellStyle name="Normal 2 5 47 2" xfId="20294" xr:uid="{00000000-0005-0000-0000-0000374F0000}"/>
    <cellStyle name="Normal 2 5 47 3" xfId="20295" xr:uid="{00000000-0005-0000-0000-0000384F0000}"/>
    <cellStyle name="Normal 2 5 48" xfId="20296" xr:uid="{00000000-0005-0000-0000-0000394F0000}"/>
    <cellStyle name="Normal 2 5 48 2" xfId="20297" xr:uid="{00000000-0005-0000-0000-00003A4F0000}"/>
    <cellStyle name="Normal 2 5 48 3" xfId="20298" xr:uid="{00000000-0005-0000-0000-00003B4F0000}"/>
    <cellStyle name="Normal 2 5 49" xfId="20299" xr:uid="{00000000-0005-0000-0000-00003C4F0000}"/>
    <cellStyle name="Normal 2 5 49 2" xfId="20300" xr:uid="{00000000-0005-0000-0000-00003D4F0000}"/>
    <cellStyle name="Normal 2 5 49 3" xfId="20301" xr:uid="{00000000-0005-0000-0000-00003E4F0000}"/>
    <cellStyle name="Normal 2 5 5" xfId="20302" xr:uid="{00000000-0005-0000-0000-00003F4F0000}"/>
    <cellStyle name="Normal 2 5 5 2" xfId="20303" xr:uid="{00000000-0005-0000-0000-0000404F0000}"/>
    <cellStyle name="Normal 2 5 5 2 2" xfId="20304" xr:uid="{00000000-0005-0000-0000-0000414F0000}"/>
    <cellStyle name="Normal 2 5 5 3" xfId="20305" xr:uid="{00000000-0005-0000-0000-0000424F0000}"/>
    <cellStyle name="Normal 2 5 5 4" xfId="20306" xr:uid="{00000000-0005-0000-0000-0000434F0000}"/>
    <cellStyle name="Normal 2 5 50" xfId="20307" xr:uid="{00000000-0005-0000-0000-0000444F0000}"/>
    <cellStyle name="Normal 2 5 50 2" xfId="20308" xr:uid="{00000000-0005-0000-0000-0000454F0000}"/>
    <cellStyle name="Normal 2 5 50 3" xfId="20309" xr:uid="{00000000-0005-0000-0000-0000464F0000}"/>
    <cellStyle name="Normal 2 5 51" xfId="20310" xr:uid="{00000000-0005-0000-0000-0000474F0000}"/>
    <cellStyle name="Normal 2 5 51 2" xfId="20311" xr:uid="{00000000-0005-0000-0000-0000484F0000}"/>
    <cellStyle name="Normal 2 5 51 3" xfId="20312" xr:uid="{00000000-0005-0000-0000-0000494F0000}"/>
    <cellStyle name="Normal 2 5 52" xfId="20313" xr:uid="{00000000-0005-0000-0000-00004A4F0000}"/>
    <cellStyle name="Normal 2 5 52 2" xfId="20314" xr:uid="{00000000-0005-0000-0000-00004B4F0000}"/>
    <cellStyle name="Normal 2 5 52 3" xfId="20315" xr:uid="{00000000-0005-0000-0000-00004C4F0000}"/>
    <cellStyle name="Normal 2 5 53" xfId="20316" xr:uid="{00000000-0005-0000-0000-00004D4F0000}"/>
    <cellStyle name="Normal 2 5 53 2" xfId="20317" xr:uid="{00000000-0005-0000-0000-00004E4F0000}"/>
    <cellStyle name="Normal 2 5 53 3" xfId="20318" xr:uid="{00000000-0005-0000-0000-00004F4F0000}"/>
    <cellStyle name="Normal 2 5 54" xfId="20319" xr:uid="{00000000-0005-0000-0000-0000504F0000}"/>
    <cellStyle name="Normal 2 5 54 2" xfId="20320" xr:uid="{00000000-0005-0000-0000-0000514F0000}"/>
    <cellStyle name="Normal 2 5 54 3" xfId="20321" xr:uid="{00000000-0005-0000-0000-0000524F0000}"/>
    <cellStyle name="Normal 2 5 55" xfId="20322" xr:uid="{00000000-0005-0000-0000-0000534F0000}"/>
    <cellStyle name="Normal 2 5 55 2" xfId="20323" xr:uid="{00000000-0005-0000-0000-0000544F0000}"/>
    <cellStyle name="Normal 2 5 55 3" xfId="20324" xr:uid="{00000000-0005-0000-0000-0000554F0000}"/>
    <cellStyle name="Normal 2 5 56" xfId="20325" xr:uid="{00000000-0005-0000-0000-0000564F0000}"/>
    <cellStyle name="Normal 2 5 56 2" xfId="20326" xr:uid="{00000000-0005-0000-0000-0000574F0000}"/>
    <cellStyle name="Normal 2 5 56 3" xfId="20327" xr:uid="{00000000-0005-0000-0000-0000584F0000}"/>
    <cellStyle name="Normal 2 5 57" xfId="20328" xr:uid="{00000000-0005-0000-0000-0000594F0000}"/>
    <cellStyle name="Normal 2 5 57 2" xfId="20329" xr:uid="{00000000-0005-0000-0000-00005A4F0000}"/>
    <cellStyle name="Normal 2 5 57 3" xfId="20330" xr:uid="{00000000-0005-0000-0000-00005B4F0000}"/>
    <cellStyle name="Normal 2 5 58" xfId="20331" xr:uid="{00000000-0005-0000-0000-00005C4F0000}"/>
    <cellStyle name="Normal 2 5 58 2" xfId="20332" xr:uid="{00000000-0005-0000-0000-00005D4F0000}"/>
    <cellStyle name="Normal 2 5 58 3" xfId="20333" xr:uid="{00000000-0005-0000-0000-00005E4F0000}"/>
    <cellStyle name="Normal 2 5 59" xfId="20334" xr:uid="{00000000-0005-0000-0000-00005F4F0000}"/>
    <cellStyle name="Normal 2 5 59 2" xfId="20335" xr:uid="{00000000-0005-0000-0000-0000604F0000}"/>
    <cellStyle name="Normal 2 5 59 3" xfId="20336" xr:uid="{00000000-0005-0000-0000-0000614F0000}"/>
    <cellStyle name="Normal 2 5 6" xfId="20337" xr:uid="{00000000-0005-0000-0000-0000624F0000}"/>
    <cellStyle name="Normal 2 5 6 2" xfId="20338" xr:uid="{00000000-0005-0000-0000-0000634F0000}"/>
    <cellStyle name="Normal 2 5 6 2 2" xfId="20339" xr:uid="{00000000-0005-0000-0000-0000644F0000}"/>
    <cellStyle name="Normal 2 5 6 3" xfId="20340" xr:uid="{00000000-0005-0000-0000-0000654F0000}"/>
    <cellStyle name="Normal 2 5 6 4" xfId="20341" xr:uid="{00000000-0005-0000-0000-0000664F0000}"/>
    <cellStyle name="Normal 2 5 60" xfId="20342" xr:uid="{00000000-0005-0000-0000-0000674F0000}"/>
    <cellStyle name="Normal 2 5 60 2" xfId="20343" xr:uid="{00000000-0005-0000-0000-0000684F0000}"/>
    <cellStyle name="Normal 2 5 60 3" xfId="20344" xr:uid="{00000000-0005-0000-0000-0000694F0000}"/>
    <cellStyle name="Normal 2 5 61" xfId="20345" xr:uid="{00000000-0005-0000-0000-00006A4F0000}"/>
    <cellStyle name="Normal 2 5 61 2" xfId="20346" xr:uid="{00000000-0005-0000-0000-00006B4F0000}"/>
    <cellStyle name="Normal 2 5 61 3" xfId="20347" xr:uid="{00000000-0005-0000-0000-00006C4F0000}"/>
    <cellStyle name="Normal 2 5 62" xfId="20348" xr:uid="{00000000-0005-0000-0000-00006D4F0000}"/>
    <cellStyle name="Normal 2 5 62 2" xfId="20349" xr:uid="{00000000-0005-0000-0000-00006E4F0000}"/>
    <cellStyle name="Normal 2 5 62 3" xfId="20350" xr:uid="{00000000-0005-0000-0000-00006F4F0000}"/>
    <cellStyle name="Normal 2 5 63" xfId="20351" xr:uid="{00000000-0005-0000-0000-0000704F0000}"/>
    <cellStyle name="Normal 2 5 63 2" xfId="20352" xr:uid="{00000000-0005-0000-0000-0000714F0000}"/>
    <cellStyle name="Normal 2 5 63 3" xfId="20353" xr:uid="{00000000-0005-0000-0000-0000724F0000}"/>
    <cellStyle name="Normal 2 5 64" xfId="20354" xr:uid="{00000000-0005-0000-0000-0000734F0000}"/>
    <cellStyle name="Normal 2 5 64 2" xfId="20355" xr:uid="{00000000-0005-0000-0000-0000744F0000}"/>
    <cellStyle name="Normal 2 5 64 3" xfId="20356" xr:uid="{00000000-0005-0000-0000-0000754F0000}"/>
    <cellStyle name="Normal 2 5 65" xfId="20357" xr:uid="{00000000-0005-0000-0000-0000764F0000}"/>
    <cellStyle name="Normal 2 5 65 2" xfId="20358" xr:uid="{00000000-0005-0000-0000-0000774F0000}"/>
    <cellStyle name="Normal 2 5 65 3" xfId="20359" xr:uid="{00000000-0005-0000-0000-0000784F0000}"/>
    <cellStyle name="Normal 2 5 66" xfId="20360" xr:uid="{00000000-0005-0000-0000-0000794F0000}"/>
    <cellStyle name="Normal 2 5 66 2" xfId="20361" xr:uid="{00000000-0005-0000-0000-00007A4F0000}"/>
    <cellStyle name="Normal 2 5 66 3" xfId="20362" xr:uid="{00000000-0005-0000-0000-00007B4F0000}"/>
    <cellStyle name="Normal 2 5 67" xfId="20363" xr:uid="{00000000-0005-0000-0000-00007C4F0000}"/>
    <cellStyle name="Normal 2 5 67 2" xfId="20364" xr:uid="{00000000-0005-0000-0000-00007D4F0000}"/>
    <cellStyle name="Normal 2 5 67 3" xfId="20365" xr:uid="{00000000-0005-0000-0000-00007E4F0000}"/>
    <cellStyle name="Normal 2 5 68" xfId="20366" xr:uid="{00000000-0005-0000-0000-00007F4F0000}"/>
    <cellStyle name="Normal 2 5 68 2" xfId="20367" xr:uid="{00000000-0005-0000-0000-0000804F0000}"/>
    <cellStyle name="Normal 2 5 68 3" xfId="20368" xr:uid="{00000000-0005-0000-0000-0000814F0000}"/>
    <cellStyle name="Normal 2 5 69" xfId="20369" xr:uid="{00000000-0005-0000-0000-0000824F0000}"/>
    <cellStyle name="Normal 2 5 69 2" xfId="20370" xr:uid="{00000000-0005-0000-0000-0000834F0000}"/>
    <cellStyle name="Normal 2 5 69 3" xfId="20371" xr:uid="{00000000-0005-0000-0000-0000844F0000}"/>
    <cellStyle name="Normal 2 5 7" xfId="20372" xr:uid="{00000000-0005-0000-0000-0000854F0000}"/>
    <cellStyle name="Normal 2 5 7 2" xfId="20373" xr:uid="{00000000-0005-0000-0000-0000864F0000}"/>
    <cellStyle name="Normal 2 5 7 3" xfId="20374" xr:uid="{00000000-0005-0000-0000-0000874F0000}"/>
    <cellStyle name="Normal 2 5 70" xfId="20375" xr:uid="{00000000-0005-0000-0000-0000884F0000}"/>
    <cellStyle name="Normal 2 5 70 2" xfId="20376" xr:uid="{00000000-0005-0000-0000-0000894F0000}"/>
    <cellStyle name="Normal 2 5 70 3" xfId="20377" xr:uid="{00000000-0005-0000-0000-00008A4F0000}"/>
    <cellStyle name="Normal 2 5 71" xfId="20378" xr:uid="{00000000-0005-0000-0000-00008B4F0000}"/>
    <cellStyle name="Normal 2 5 71 2" xfId="20379" xr:uid="{00000000-0005-0000-0000-00008C4F0000}"/>
    <cellStyle name="Normal 2 5 71 3" xfId="20380" xr:uid="{00000000-0005-0000-0000-00008D4F0000}"/>
    <cellStyle name="Normal 2 5 72" xfId="20381" xr:uid="{00000000-0005-0000-0000-00008E4F0000}"/>
    <cellStyle name="Normal 2 5 72 2" xfId="20382" xr:uid="{00000000-0005-0000-0000-00008F4F0000}"/>
    <cellStyle name="Normal 2 5 72 3" xfId="20383" xr:uid="{00000000-0005-0000-0000-0000904F0000}"/>
    <cellStyle name="Normal 2 5 73" xfId="20384" xr:uid="{00000000-0005-0000-0000-0000914F0000}"/>
    <cellStyle name="Normal 2 5 73 2" xfId="20385" xr:uid="{00000000-0005-0000-0000-0000924F0000}"/>
    <cellStyle name="Normal 2 5 73 3" xfId="20386" xr:uid="{00000000-0005-0000-0000-0000934F0000}"/>
    <cellStyle name="Normal 2 5 74" xfId="20387" xr:uid="{00000000-0005-0000-0000-0000944F0000}"/>
    <cellStyle name="Normal 2 5 74 2" xfId="20388" xr:uid="{00000000-0005-0000-0000-0000954F0000}"/>
    <cellStyle name="Normal 2 5 74 3" xfId="20389" xr:uid="{00000000-0005-0000-0000-0000964F0000}"/>
    <cellStyle name="Normal 2 5 75" xfId="20390" xr:uid="{00000000-0005-0000-0000-0000974F0000}"/>
    <cellStyle name="Normal 2 5 75 2" xfId="20391" xr:uid="{00000000-0005-0000-0000-0000984F0000}"/>
    <cellStyle name="Normal 2 5 75 3" xfId="20392" xr:uid="{00000000-0005-0000-0000-0000994F0000}"/>
    <cellStyle name="Normal 2 5 76" xfId="20393" xr:uid="{00000000-0005-0000-0000-00009A4F0000}"/>
    <cellStyle name="Normal 2 5 76 2" xfId="20394" xr:uid="{00000000-0005-0000-0000-00009B4F0000}"/>
    <cellStyle name="Normal 2 5 76 3" xfId="20395" xr:uid="{00000000-0005-0000-0000-00009C4F0000}"/>
    <cellStyle name="Normal 2 5 77" xfId="20396" xr:uid="{00000000-0005-0000-0000-00009D4F0000}"/>
    <cellStyle name="Normal 2 5 77 2" xfId="20397" xr:uid="{00000000-0005-0000-0000-00009E4F0000}"/>
    <cellStyle name="Normal 2 5 77 3" xfId="20398" xr:uid="{00000000-0005-0000-0000-00009F4F0000}"/>
    <cellStyle name="Normal 2 5 78" xfId="20399" xr:uid="{00000000-0005-0000-0000-0000A04F0000}"/>
    <cellStyle name="Normal 2 5 78 2" xfId="20400" xr:uid="{00000000-0005-0000-0000-0000A14F0000}"/>
    <cellStyle name="Normal 2 5 78 3" xfId="20401" xr:uid="{00000000-0005-0000-0000-0000A24F0000}"/>
    <cellStyle name="Normal 2 5 79" xfId="20402" xr:uid="{00000000-0005-0000-0000-0000A34F0000}"/>
    <cellStyle name="Normal 2 5 79 2" xfId="20403" xr:uid="{00000000-0005-0000-0000-0000A44F0000}"/>
    <cellStyle name="Normal 2 5 79 3" xfId="20404" xr:uid="{00000000-0005-0000-0000-0000A54F0000}"/>
    <cellStyle name="Normal 2 5 8" xfId="20405" xr:uid="{00000000-0005-0000-0000-0000A64F0000}"/>
    <cellStyle name="Normal 2 5 8 2" xfId="20406" xr:uid="{00000000-0005-0000-0000-0000A74F0000}"/>
    <cellStyle name="Normal 2 5 8 3" xfId="20407" xr:uid="{00000000-0005-0000-0000-0000A84F0000}"/>
    <cellStyle name="Normal 2 5 80" xfId="20408" xr:uid="{00000000-0005-0000-0000-0000A94F0000}"/>
    <cellStyle name="Normal 2 5 80 2" xfId="20409" xr:uid="{00000000-0005-0000-0000-0000AA4F0000}"/>
    <cellStyle name="Normal 2 5 80 3" xfId="20410" xr:uid="{00000000-0005-0000-0000-0000AB4F0000}"/>
    <cellStyle name="Normal 2 5 81" xfId="20411" xr:uid="{00000000-0005-0000-0000-0000AC4F0000}"/>
    <cellStyle name="Normal 2 5 81 2" xfId="20412" xr:uid="{00000000-0005-0000-0000-0000AD4F0000}"/>
    <cellStyle name="Normal 2 5 81 3" xfId="20413" xr:uid="{00000000-0005-0000-0000-0000AE4F0000}"/>
    <cellStyle name="Normal 2 5 82" xfId="20414" xr:uid="{00000000-0005-0000-0000-0000AF4F0000}"/>
    <cellStyle name="Normal 2 5 82 2" xfId="20415" xr:uid="{00000000-0005-0000-0000-0000B04F0000}"/>
    <cellStyle name="Normal 2 5 82 3" xfId="20416" xr:uid="{00000000-0005-0000-0000-0000B14F0000}"/>
    <cellStyle name="Normal 2 5 83" xfId="20417" xr:uid="{00000000-0005-0000-0000-0000B24F0000}"/>
    <cellStyle name="Normal 2 5 83 2" xfId="20418" xr:uid="{00000000-0005-0000-0000-0000B34F0000}"/>
    <cellStyle name="Normal 2 5 83 3" xfId="20419" xr:uid="{00000000-0005-0000-0000-0000B44F0000}"/>
    <cellStyle name="Normal 2 5 84" xfId="20420" xr:uid="{00000000-0005-0000-0000-0000B54F0000}"/>
    <cellStyle name="Normal 2 5 84 2" xfId="20421" xr:uid="{00000000-0005-0000-0000-0000B64F0000}"/>
    <cellStyle name="Normal 2 5 84 3" xfId="20422" xr:uid="{00000000-0005-0000-0000-0000B74F0000}"/>
    <cellStyle name="Normal 2 5 85" xfId="20423" xr:uid="{00000000-0005-0000-0000-0000B84F0000}"/>
    <cellStyle name="Normal 2 5 85 2" xfId="20424" xr:uid="{00000000-0005-0000-0000-0000B94F0000}"/>
    <cellStyle name="Normal 2 5 85 3" xfId="20425" xr:uid="{00000000-0005-0000-0000-0000BA4F0000}"/>
    <cellStyle name="Normal 2 5 86" xfId="20426" xr:uid="{00000000-0005-0000-0000-0000BB4F0000}"/>
    <cellStyle name="Normal 2 5 86 2" xfId="20427" xr:uid="{00000000-0005-0000-0000-0000BC4F0000}"/>
    <cellStyle name="Normal 2 5 86 3" xfId="20428" xr:uid="{00000000-0005-0000-0000-0000BD4F0000}"/>
    <cellStyle name="Normal 2 5 87" xfId="20429" xr:uid="{00000000-0005-0000-0000-0000BE4F0000}"/>
    <cellStyle name="Normal 2 5 87 2" xfId="20430" xr:uid="{00000000-0005-0000-0000-0000BF4F0000}"/>
    <cellStyle name="Normal 2 5 87 3" xfId="20431" xr:uid="{00000000-0005-0000-0000-0000C04F0000}"/>
    <cellStyle name="Normal 2 5 88" xfId="20432" xr:uid="{00000000-0005-0000-0000-0000C14F0000}"/>
    <cellStyle name="Normal 2 5 88 2" xfId="20433" xr:uid="{00000000-0005-0000-0000-0000C24F0000}"/>
    <cellStyle name="Normal 2 5 89" xfId="20434" xr:uid="{00000000-0005-0000-0000-0000C34F0000}"/>
    <cellStyle name="Normal 2 5 9" xfId="20435" xr:uid="{00000000-0005-0000-0000-0000C44F0000}"/>
    <cellStyle name="Normal 2 5 9 2" xfId="20436" xr:uid="{00000000-0005-0000-0000-0000C54F0000}"/>
    <cellStyle name="Normal 2 5 9 3" xfId="20437" xr:uid="{00000000-0005-0000-0000-0000C64F0000}"/>
    <cellStyle name="Normal 2 5 90" xfId="20438" xr:uid="{00000000-0005-0000-0000-0000C74F0000}"/>
    <cellStyle name="Normal 2 5 91" xfId="20439" xr:uid="{00000000-0005-0000-0000-0000C84F0000}"/>
    <cellStyle name="Normal 2 5_DEER 032008 Cost Summary Delivery - Rev 4 (2)" xfId="20440" xr:uid="{00000000-0005-0000-0000-0000C94F0000}"/>
    <cellStyle name="Normal 2 50" xfId="20441" xr:uid="{00000000-0005-0000-0000-0000CA4F0000}"/>
    <cellStyle name="Normal 2 50 2" xfId="20442" xr:uid="{00000000-0005-0000-0000-0000CB4F0000}"/>
    <cellStyle name="Normal 2 50 3" xfId="20443" xr:uid="{00000000-0005-0000-0000-0000CC4F0000}"/>
    <cellStyle name="Normal 2 51" xfId="20444" xr:uid="{00000000-0005-0000-0000-0000CD4F0000}"/>
    <cellStyle name="Normal 2 51 2" xfId="20445" xr:uid="{00000000-0005-0000-0000-0000CE4F0000}"/>
    <cellStyle name="Normal 2 51 3" xfId="20446" xr:uid="{00000000-0005-0000-0000-0000CF4F0000}"/>
    <cellStyle name="Normal 2 52" xfId="20447" xr:uid="{00000000-0005-0000-0000-0000D04F0000}"/>
    <cellStyle name="Normal 2 52 2" xfId="20448" xr:uid="{00000000-0005-0000-0000-0000D14F0000}"/>
    <cellStyle name="Normal 2 52 3" xfId="20449" xr:uid="{00000000-0005-0000-0000-0000D24F0000}"/>
    <cellStyle name="Normal 2 53" xfId="20450" xr:uid="{00000000-0005-0000-0000-0000D34F0000}"/>
    <cellStyle name="Normal 2 53 2" xfId="20451" xr:uid="{00000000-0005-0000-0000-0000D44F0000}"/>
    <cellStyle name="Normal 2 53 3" xfId="20452" xr:uid="{00000000-0005-0000-0000-0000D54F0000}"/>
    <cellStyle name="Normal 2 54" xfId="20453" xr:uid="{00000000-0005-0000-0000-0000D64F0000}"/>
    <cellStyle name="Normal 2 54 2" xfId="20454" xr:uid="{00000000-0005-0000-0000-0000D74F0000}"/>
    <cellStyle name="Normal 2 54 3" xfId="20455" xr:uid="{00000000-0005-0000-0000-0000D84F0000}"/>
    <cellStyle name="Normal 2 55" xfId="20456" xr:uid="{00000000-0005-0000-0000-0000D94F0000}"/>
    <cellStyle name="Normal 2 55 2" xfId="20457" xr:uid="{00000000-0005-0000-0000-0000DA4F0000}"/>
    <cellStyle name="Normal 2 55 3" xfId="20458" xr:uid="{00000000-0005-0000-0000-0000DB4F0000}"/>
    <cellStyle name="Normal 2 56" xfId="20459" xr:uid="{00000000-0005-0000-0000-0000DC4F0000}"/>
    <cellStyle name="Normal 2 56 2" xfId="20460" xr:uid="{00000000-0005-0000-0000-0000DD4F0000}"/>
    <cellStyle name="Normal 2 56 3" xfId="20461" xr:uid="{00000000-0005-0000-0000-0000DE4F0000}"/>
    <cellStyle name="Normal 2 57" xfId="20462" xr:uid="{00000000-0005-0000-0000-0000DF4F0000}"/>
    <cellStyle name="Normal 2 57 2" xfId="20463" xr:uid="{00000000-0005-0000-0000-0000E04F0000}"/>
    <cellStyle name="Normal 2 57 3" xfId="20464" xr:uid="{00000000-0005-0000-0000-0000E14F0000}"/>
    <cellStyle name="Normal 2 58" xfId="20465" xr:uid="{00000000-0005-0000-0000-0000E24F0000}"/>
    <cellStyle name="Normal 2 58 2" xfId="20466" xr:uid="{00000000-0005-0000-0000-0000E34F0000}"/>
    <cellStyle name="Normal 2 58 3" xfId="20467" xr:uid="{00000000-0005-0000-0000-0000E44F0000}"/>
    <cellStyle name="Normal 2 59" xfId="20468" xr:uid="{00000000-0005-0000-0000-0000E54F0000}"/>
    <cellStyle name="Normal 2 59 2" xfId="20469" xr:uid="{00000000-0005-0000-0000-0000E64F0000}"/>
    <cellStyle name="Normal 2 59 3" xfId="20470" xr:uid="{00000000-0005-0000-0000-0000E74F0000}"/>
    <cellStyle name="Normal 2 6" xfId="20471" xr:uid="{00000000-0005-0000-0000-0000E84F0000}"/>
    <cellStyle name="Normal 2 6 10" xfId="20472" xr:uid="{00000000-0005-0000-0000-0000E94F0000}"/>
    <cellStyle name="Normal 2 6 10 2" xfId="20473" xr:uid="{00000000-0005-0000-0000-0000EA4F0000}"/>
    <cellStyle name="Normal 2 6 10 3" xfId="20474" xr:uid="{00000000-0005-0000-0000-0000EB4F0000}"/>
    <cellStyle name="Normal 2 6 11" xfId="20475" xr:uid="{00000000-0005-0000-0000-0000EC4F0000}"/>
    <cellStyle name="Normal 2 6 12" xfId="20476" xr:uid="{00000000-0005-0000-0000-0000ED4F0000}"/>
    <cellStyle name="Normal 2 6 13" xfId="20477" xr:uid="{00000000-0005-0000-0000-0000EE4F0000}"/>
    <cellStyle name="Normal 2 6 2" xfId="20478" xr:uid="{00000000-0005-0000-0000-0000EF4F0000}"/>
    <cellStyle name="Normal 2 6 2 2" xfId="20479" xr:uid="{00000000-0005-0000-0000-0000F04F0000}"/>
    <cellStyle name="Normal 2 6 2 2 2" xfId="20480" xr:uid="{00000000-0005-0000-0000-0000F14F0000}"/>
    <cellStyle name="Normal 2 6 2 3" xfId="20481" xr:uid="{00000000-0005-0000-0000-0000F24F0000}"/>
    <cellStyle name="Normal 2 6 2 4" xfId="20482" xr:uid="{00000000-0005-0000-0000-0000F34F0000}"/>
    <cellStyle name="Normal 2 6 2 5" xfId="20483" xr:uid="{00000000-0005-0000-0000-0000F44F0000}"/>
    <cellStyle name="Normal 2 6 3" xfId="20484" xr:uid="{00000000-0005-0000-0000-0000F54F0000}"/>
    <cellStyle name="Normal 2 6 3 2" xfId="20485" xr:uid="{00000000-0005-0000-0000-0000F64F0000}"/>
    <cellStyle name="Normal 2 6 3 2 2" xfId="20486" xr:uid="{00000000-0005-0000-0000-0000F74F0000}"/>
    <cellStyle name="Normal 2 6 3 3" xfId="20487" xr:uid="{00000000-0005-0000-0000-0000F84F0000}"/>
    <cellStyle name="Normal 2 6 3 4" xfId="20488" xr:uid="{00000000-0005-0000-0000-0000F94F0000}"/>
    <cellStyle name="Normal 2 6 3 5" xfId="20489" xr:uid="{00000000-0005-0000-0000-0000FA4F0000}"/>
    <cellStyle name="Normal 2 6 4" xfId="20490" xr:uid="{00000000-0005-0000-0000-0000FB4F0000}"/>
    <cellStyle name="Normal 2 6 4 2" xfId="20491" xr:uid="{00000000-0005-0000-0000-0000FC4F0000}"/>
    <cellStyle name="Normal 2 6 4 2 2" xfId="20492" xr:uid="{00000000-0005-0000-0000-0000FD4F0000}"/>
    <cellStyle name="Normal 2 6 4 3" xfId="20493" xr:uid="{00000000-0005-0000-0000-0000FE4F0000}"/>
    <cellStyle name="Normal 2 6 4 4" xfId="20494" xr:uid="{00000000-0005-0000-0000-0000FF4F0000}"/>
    <cellStyle name="Normal 2 6 5" xfId="20495" xr:uid="{00000000-0005-0000-0000-000000500000}"/>
    <cellStyle name="Normal 2 6 5 2" xfId="20496" xr:uid="{00000000-0005-0000-0000-000001500000}"/>
    <cellStyle name="Normal 2 6 5 2 2" xfId="20497" xr:uid="{00000000-0005-0000-0000-000002500000}"/>
    <cellStyle name="Normal 2 6 5 3" xfId="20498" xr:uid="{00000000-0005-0000-0000-000003500000}"/>
    <cellStyle name="Normal 2 6 5 4" xfId="20499" xr:uid="{00000000-0005-0000-0000-000004500000}"/>
    <cellStyle name="Normal 2 6 6" xfId="20500" xr:uid="{00000000-0005-0000-0000-000005500000}"/>
    <cellStyle name="Normal 2 6 6 2" xfId="20501" xr:uid="{00000000-0005-0000-0000-000006500000}"/>
    <cellStyle name="Normal 2 6 6 2 2" xfId="20502" xr:uid="{00000000-0005-0000-0000-000007500000}"/>
    <cellStyle name="Normal 2 6 6 3" xfId="20503" xr:uid="{00000000-0005-0000-0000-000008500000}"/>
    <cellStyle name="Normal 2 6 6 4" xfId="20504" xr:uid="{00000000-0005-0000-0000-000009500000}"/>
    <cellStyle name="Normal 2 6 7" xfId="20505" xr:uid="{00000000-0005-0000-0000-00000A500000}"/>
    <cellStyle name="Normal 2 6 7 2" xfId="20506" xr:uid="{00000000-0005-0000-0000-00000B500000}"/>
    <cellStyle name="Normal 2 6 7 3" xfId="20507" xr:uid="{00000000-0005-0000-0000-00000C500000}"/>
    <cellStyle name="Normal 2 6 8" xfId="20508" xr:uid="{00000000-0005-0000-0000-00000D500000}"/>
    <cellStyle name="Normal 2 6 8 2" xfId="20509" xr:uid="{00000000-0005-0000-0000-00000E500000}"/>
    <cellStyle name="Normal 2 6 8 3" xfId="20510" xr:uid="{00000000-0005-0000-0000-00000F500000}"/>
    <cellStyle name="Normal 2 6 9" xfId="20511" xr:uid="{00000000-0005-0000-0000-000010500000}"/>
    <cellStyle name="Normal 2 6 9 2" xfId="20512" xr:uid="{00000000-0005-0000-0000-000011500000}"/>
    <cellStyle name="Normal 2 6 9 3" xfId="20513" xr:uid="{00000000-0005-0000-0000-000012500000}"/>
    <cellStyle name="Normal 2 60" xfId="20514" xr:uid="{00000000-0005-0000-0000-000013500000}"/>
    <cellStyle name="Normal 2 60 2" xfId="20515" xr:uid="{00000000-0005-0000-0000-000014500000}"/>
    <cellStyle name="Normal 2 60 3" xfId="20516" xr:uid="{00000000-0005-0000-0000-000015500000}"/>
    <cellStyle name="Normal 2 61" xfId="20517" xr:uid="{00000000-0005-0000-0000-000016500000}"/>
    <cellStyle name="Normal 2 61 2" xfId="20518" xr:uid="{00000000-0005-0000-0000-000017500000}"/>
    <cellStyle name="Normal 2 61 3" xfId="20519" xr:uid="{00000000-0005-0000-0000-000018500000}"/>
    <cellStyle name="Normal 2 62" xfId="20520" xr:uid="{00000000-0005-0000-0000-000019500000}"/>
    <cellStyle name="Normal 2 62 2" xfId="20521" xr:uid="{00000000-0005-0000-0000-00001A500000}"/>
    <cellStyle name="Normal 2 62 3" xfId="20522" xr:uid="{00000000-0005-0000-0000-00001B500000}"/>
    <cellStyle name="Normal 2 63" xfId="20523" xr:uid="{00000000-0005-0000-0000-00001C500000}"/>
    <cellStyle name="Normal 2 63 2" xfId="20524" xr:uid="{00000000-0005-0000-0000-00001D500000}"/>
    <cellStyle name="Normal 2 63 3" xfId="20525" xr:uid="{00000000-0005-0000-0000-00001E500000}"/>
    <cellStyle name="Normal 2 64" xfId="20526" xr:uid="{00000000-0005-0000-0000-00001F500000}"/>
    <cellStyle name="Normal 2 64 2" xfId="20527" xr:uid="{00000000-0005-0000-0000-000020500000}"/>
    <cellStyle name="Normal 2 64 3" xfId="20528" xr:uid="{00000000-0005-0000-0000-000021500000}"/>
    <cellStyle name="Normal 2 65" xfId="20529" xr:uid="{00000000-0005-0000-0000-000022500000}"/>
    <cellStyle name="Normal 2 65 2" xfId="20530" xr:uid="{00000000-0005-0000-0000-000023500000}"/>
    <cellStyle name="Normal 2 65 3" xfId="20531" xr:uid="{00000000-0005-0000-0000-000024500000}"/>
    <cellStyle name="Normal 2 66" xfId="20532" xr:uid="{00000000-0005-0000-0000-000025500000}"/>
    <cellStyle name="Normal 2 66 2" xfId="20533" xr:uid="{00000000-0005-0000-0000-000026500000}"/>
    <cellStyle name="Normal 2 66 3" xfId="20534" xr:uid="{00000000-0005-0000-0000-000027500000}"/>
    <cellStyle name="Normal 2 67" xfId="20535" xr:uid="{00000000-0005-0000-0000-000028500000}"/>
    <cellStyle name="Normal 2 67 2" xfId="20536" xr:uid="{00000000-0005-0000-0000-000029500000}"/>
    <cellStyle name="Normal 2 67 3" xfId="20537" xr:uid="{00000000-0005-0000-0000-00002A500000}"/>
    <cellStyle name="Normal 2 68" xfId="20538" xr:uid="{00000000-0005-0000-0000-00002B500000}"/>
    <cellStyle name="Normal 2 68 2" xfId="20539" xr:uid="{00000000-0005-0000-0000-00002C500000}"/>
    <cellStyle name="Normal 2 68 3" xfId="20540" xr:uid="{00000000-0005-0000-0000-00002D500000}"/>
    <cellStyle name="Normal 2 69" xfId="20541" xr:uid="{00000000-0005-0000-0000-00002E500000}"/>
    <cellStyle name="Normal 2 69 2" xfId="20542" xr:uid="{00000000-0005-0000-0000-00002F500000}"/>
    <cellStyle name="Normal 2 69 3" xfId="20543" xr:uid="{00000000-0005-0000-0000-000030500000}"/>
    <cellStyle name="Normal 2 7" xfId="20544" xr:uid="{00000000-0005-0000-0000-000031500000}"/>
    <cellStyle name="Normal 2 7 10" xfId="20545" xr:uid="{00000000-0005-0000-0000-000032500000}"/>
    <cellStyle name="Normal 2 7 2" xfId="20546" xr:uid="{00000000-0005-0000-0000-000033500000}"/>
    <cellStyle name="Normal 2 7 2 2" xfId="20547" xr:uid="{00000000-0005-0000-0000-000034500000}"/>
    <cellStyle name="Normal 2 7 2 2 2" xfId="20548" xr:uid="{00000000-0005-0000-0000-000035500000}"/>
    <cellStyle name="Normal 2 7 2 3" xfId="20549" xr:uid="{00000000-0005-0000-0000-000036500000}"/>
    <cellStyle name="Normal 2 7 2 4" xfId="20550" xr:uid="{00000000-0005-0000-0000-000037500000}"/>
    <cellStyle name="Normal 2 7 2 5" xfId="20551" xr:uid="{00000000-0005-0000-0000-000038500000}"/>
    <cellStyle name="Normal 2 7 3" xfId="20552" xr:uid="{00000000-0005-0000-0000-000039500000}"/>
    <cellStyle name="Normal 2 7 3 2" xfId="20553" xr:uid="{00000000-0005-0000-0000-00003A500000}"/>
    <cellStyle name="Normal 2 7 3 2 2" xfId="20554" xr:uid="{00000000-0005-0000-0000-00003B500000}"/>
    <cellStyle name="Normal 2 7 3 3" xfId="20555" xr:uid="{00000000-0005-0000-0000-00003C500000}"/>
    <cellStyle name="Normal 2 7 3 4" xfId="20556" xr:uid="{00000000-0005-0000-0000-00003D500000}"/>
    <cellStyle name="Normal 2 7 4" xfId="20557" xr:uid="{00000000-0005-0000-0000-00003E500000}"/>
    <cellStyle name="Normal 2 7 4 2" xfId="20558" xr:uid="{00000000-0005-0000-0000-00003F500000}"/>
    <cellStyle name="Normal 2 7 4 2 2" xfId="20559" xr:uid="{00000000-0005-0000-0000-000040500000}"/>
    <cellStyle name="Normal 2 7 4 3" xfId="20560" xr:uid="{00000000-0005-0000-0000-000041500000}"/>
    <cellStyle name="Normal 2 7 4 4" xfId="20561" xr:uid="{00000000-0005-0000-0000-000042500000}"/>
    <cellStyle name="Normal 2 7 5" xfId="20562" xr:uid="{00000000-0005-0000-0000-000043500000}"/>
    <cellStyle name="Normal 2 7 5 2" xfId="20563" xr:uid="{00000000-0005-0000-0000-000044500000}"/>
    <cellStyle name="Normal 2 7 5 2 2" xfId="20564" xr:uid="{00000000-0005-0000-0000-000045500000}"/>
    <cellStyle name="Normal 2 7 5 3" xfId="20565" xr:uid="{00000000-0005-0000-0000-000046500000}"/>
    <cellStyle name="Normal 2 7 5 4" xfId="20566" xr:uid="{00000000-0005-0000-0000-000047500000}"/>
    <cellStyle name="Normal 2 7 6" xfId="20567" xr:uid="{00000000-0005-0000-0000-000048500000}"/>
    <cellStyle name="Normal 2 7 6 2" xfId="20568" xr:uid="{00000000-0005-0000-0000-000049500000}"/>
    <cellStyle name="Normal 2 7 6 2 2" xfId="20569" xr:uid="{00000000-0005-0000-0000-00004A500000}"/>
    <cellStyle name="Normal 2 7 6 3" xfId="20570" xr:uid="{00000000-0005-0000-0000-00004B500000}"/>
    <cellStyle name="Normal 2 7 6 4" xfId="20571" xr:uid="{00000000-0005-0000-0000-00004C500000}"/>
    <cellStyle name="Normal 2 7 7" xfId="20572" xr:uid="{00000000-0005-0000-0000-00004D500000}"/>
    <cellStyle name="Normal 2 7 7 2" xfId="20573" xr:uid="{00000000-0005-0000-0000-00004E500000}"/>
    <cellStyle name="Normal 2 7 8" xfId="20574" xr:uid="{00000000-0005-0000-0000-00004F500000}"/>
    <cellStyle name="Normal 2 7 9" xfId="20575" xr:uid="{00000000-0005-0000-0000-000050500000}"/>
    <cellStyle name="Normal 2 70" xfId="20576" xr:uid="{00000000-0005-0000-0000-000051500000}"/>
    <cellStyle name="Normal 2 70 2" xfId="20577" xr:uid="{00000000-0005-0000-0000-000052500000}"/>
    <cellStyle name="Normal 2 70 3" xfId="20578" xr:uid="{00000000-0005-0000-0000-000053500000}"/>
    <cellStyle name="Normal 2 71" xfId="20579" xr:uid="{00000000-0005-0000-0000-000054500000}"/>
    <cellStyle name="Normal 2 71 2" xfId="20580" xr:uid="{00000000-0005-0000-0000-000055500000}"/>
    <cellStyle name="Normal 2 71 3" xfId="20581" xr:uid="{00000000-0005-0000-0000-000056500000}"/>
    <cellStyle name="Normal 2 72" xfId="20582" xr:uid="{00000000-0005-0000-0000-000057500000}"/>
    <cellStyle name="Normal 2 72 2" xfId="20583" xr:uid="{00000000-0005-0000-0000-000058500000}"/>
    <cellStyle name="Normal 2 72 3" xfId="20584" xr:uid="{00000000-0005-0000-0000-000059500000}"/>
    <cellStyle name="Normal 2 73" xfId="20585" xr:uid="{00000000-0005-0000-0000-00005A500000}"/>
    <cellStyle name="Normal 2 73 2" xfId="20586" xr:uid="{00000000-0005-0000-0000-00005B500000}"/>
    <cellStyle name="Normal 2 73 3" xfId="20587" xr:uid="{00000000-0005-0000-0000-00005C500000}"/>
    <cellStyle name="Normal 2 74" xfId="20588" xr:uid="{00000000-0005-0000-0000-00005D500000}"/>
    <cellStyle name="Normal 2 74 2" xfId="20589" xr:uid="{00000000-0005-0000-0000-00005E500000}"/>
    <cellStyle name="Normal 2 74 3" xfId="20590" xr:uid="{00000000-0005-0000-0000-00005F500000}"/>
    <cellStyle name="Normal 2 75" xfId="20591" xr:uid="{00000000-0005-0000-0000-000060500000}"/>
    <cellStyle name="Normal 2 75 2" xfId="20592" xr:uid="{00000000-0005-0000-0000-000061500000}"/>
    <cellStyle name="Normal 2 75 3" xfId="20593" xr:uid="{00000000-0005-0000-0000-000062500000}"/>
    <cellStyle name="Normal 2 76" xfId="20594" xr:uid="{00000000-0005-0000-0000-000063500000}"/>
    <cellStyle name="Normal 2 76 2" xfId="20595" xr:uid="{00000000-0005-0000-0000-000064500000}"/>
    <cellStyle name="Normal 2 76 3" xfId="20596" xr:uid="{00000000-0005-0000-0000-000065500000}"/>
    <cellStyle name="Normal 2 77" xfId="20597" xr:uid="{00000000-0005-0000-0000-000066500000}"/>
    <cellStyle name="Normal 2 77 2" xfId="20598" xr:uid="{00000000-0005-0000-0000-000067500000}"/>
    <cellStyle name="Normal 2 77 3" xfId="20599" xr:uid="{00000000-0005-0000-0000-000068500000}"/>
    <cellStyle name="Normal 2 78" xfId="20600" xr:uid="{00000000-0005-0000-0000-000069500000}"/>
    <cellStyle name="Normal 2 78 2" xfId="20601" xr:uid="{00000000-0005-0000-0000-00006A500000}"/>
    <cellStyle name="Normal 2 78 3" xfId="20602" xr:uid="{00000000-0005-0000-0000-00006B500000}"/>
    <cellStyle name="Normal 2 79" xfId="20603" xr:uid="{00000000-0005-0000-0000-00006C500000}"/>
    <cellStyle name="Normal 2 79 2" xfId="20604" xr:uid="{00000000-0005-0000-0000-00006D500000}"/>
    <cellStyle name="Normal 2 79 3" xfId="20605" xr:uid="{00000000-0005-0000-0000-00006E500000}"/>
    <cellStyle name="Normal 2 8" xfId="20606" xr:uid="{00000000-0005-0000-0000-00006F500000}"/>
    <cellStyle name="Normal 2 8 10" xfId="20607" xr:uid="{00000000-0005-0000-0000-000070500000}"/>
    <cellStyle name="Normal 2 8 10 2" xfId="20608" xr:uid="{00000000-0005-0000-0000-000071500000}"/>
    <cellStyle name="Normal 2 8 10 3" xfId="20609" xr:uid="{00000000-0005-0000-0000-000072500000}"/>
    <cellStyle name="Normal 2 8 11" xfId="20610" xr:uid="{00000000-0005-0000-0000-000073500000}"/>
    <cellStyle name="Normal 2 8 11 2" xfId="20611" xr:uid="{00000000-0005-0000-0000-000074500000}"/>
    <cellStyle name="Normal 2 8 11 3" xfId="20612" xr:uid="{00000000-0005-0000-0000-000075500000}"/>
    <cellStyle name="Normal 2 8 12" xfId="20613" xr:uid="{00000000-0005-0000-0000-000076500000}"/>
    <cellStyle name="Normal 2 8 12 2" xfId="20614" xr:uid="{00000000-0005-0000-0000-000077500000}"/>
    <cellStyle name="Normal 2 8 12 3" xfId="20615" xr:uid="{00000000-0005-0000-0000-000078500000}"/>
    <cellStyle name="Normal 2 8 13" xfId="20616" xr:uid="{00000000-0005-0000-0000-000079500000}"/>
    <cellStyle name="Normal 2 8 13 2" xfId="20617" xr:uid="{00000000-0005-0000-0000-00007A500000}"/>
    <cellStyle name="Normal 2 8 13 3" xfId="20618" xr:uid="{00000000-0005-0000-0000-00007B500000}"/>
    <cellStyle name="Normal 2 8 14" xfId="20619" xr:uid="{00000000-0005-0000-0000-00007C500000}"/>
    <cellStyle name="Normal 2 8 14 2" xfId="20620" xr:uid="{00000000-0005-0000-0000-00007D500000}"/>
    <cellStyle name="Normal 2 8 14 3" xfId="20621" xr:uid="{00000000-0005-0000-0000-00007E500000}"/>
    <cellStyle name="Normal 2 8 15" xfId="20622" xr:uid="{00000000-0005-0000-0000-00007F500000}"/>
    <cellStyle name="Normal 2 8 15 2" xfId="20623" xr:uid="{00000000-0005-0000-0000-000080500000}"/>
    <cellStyle name="Normal 2 8 15 3" xfId="20624" xr:uid="{00000000-0005-0000-0000-000081500000}"/>
    <cellStyle name="Normal 2 8 16" xfId="20625" xr:uid="{00000000-0005-0000-0000-000082500000}"/>
    <cellStyle name="Normal 2 8 16 2" xfId="20626" xr:uid="{00000000-0005-0000-0000-000083500000}"/>
    <cellStyle name="Normal 2 8 16 3" xfId="20627" xr:uid="{00000000-0005-0000-0000-000084500000}"/>
    <cellStyle name="Normal 2 8 17" xfId="20628" xr:uid="{00000000-0005-0000-0000-000085500000}"/>
    <cellStyle name="Normal 2 8 17 2" xfId="20629" xr:uid="{00000000-0005-0000-0000-000086500000}"/>
    <cellStyle name="Normal 2 8 17 3" xfId="20630" xr:uid="{00000000-0005-0000-0000-000087500000}"/>
    <cellStyle name="Normal 2 8 18" xfId="20631" xr:uid="{00000000-0005-0000-0000-000088500000}"/>
    <cellStyle name="Normal 2 8 18 2" xfId="20632" xr:uid="{00000000-0005-0000-0000-000089500000}"/>
    <cellStyle name="Normal 2 8 18 3" xfId="20633" xr:uid="{00000000-0005-0000-0000-00008A500000}"/>
    <cellStyle name="Normal 2 8 19" xfId="20634" xr:uid="{00000000-0005-0000-0000-00008B500000}"/>
    <cellStyle name="Normal 2 8 19 2" xfId="20635" xr:uid="{00000000-0005-0000-0000-00008C500000}"/>
    <cellStyle name="Normal 2 8 19 3" xfId="20636" xr:uid="{00000000-0005-0000-0000-00008D500000}"/>
    <cellStyle name="Normal 2 8 2" xfId="20637" xr:uid="{00000000-0005-0000-0000-00008E500000}"/>
    <cellStyle name="Normal 2 8 2 2" xfId="20638" xr:uid="{00000000-0005-0000-0000-00008F500000}"/>
    <cellStyle name="Normal 2 8 2 2 2" xfId="20639" xr:uid="{00000000-0005-0000-0000-000090500000}"/>
    <cellStyle name="Normal 2 8 2 3" xfId="20640" xr:uid="{00000000-0005-0000-0000-000091500000}"/>
    <cellStyle name="Normal 2 8 2 4" xfId="20641" xr:uid="{00000000-0005-0000-0000-000092500000}"/>
    <cellStyle name="Normal 2 8 2 5" xfId="20642" xr:uid="{00000000-0005-0000-0000-000093500000}"/>
    <cellStyle name="Normal 2 8 20" xfId="20643" xr:uid="{00000000-0005-0000-0000-000094500000}"/>
    <cellStyle name="Normal 2 8 20 2" xfId="20644" xr:uid="{00000000-0005-0000-0000-000095500000}"/>
    <cellStyle name="Normal 2 8 20 3" xfId="20645" xr:uid="{00000000-0005-0000-0000-000096500000}"/>
    <cellStyle name="Normal 2 8 21" xfId="20646" xr:uid="{00000000-0005-0000-0000-000097500000}"/>
    <cellStyle name="Normal 2 8 21 2" xfId="20647" xr:uid="{00000000-0005-0000-0000-000098500000}"/>
    <cellStyle name="Normal 2 8 21 3" xfId="20648" xr:uid="{00000000-0005-0000-0000-000099500000}"/>
    <cellStyle name="Normal 2 8 22" xfId="20649" xr:uid="{00000000-0005-0000-0000-00009A500000}"/>
    <cellStyle name="Normal 2 8 22 2" xfId="20650" xr:uid="{00000000-0005-0000-0000-00009B500000}"/>
    <cellStyle name="Normal 2 8 22 3" xfId="20651" xr:uid="{00000000-0005-0000-0000-00009C500000}"/>
    <cellStyle name="Normal 2 8 23" xfId="20652" xr:uid="{00000000-0005-0000-0000-00009D500000}"/>
    <cellStyle name="Normal 2 8 23 2" xfId="20653" xr:uid="{00000000-0005-0000-0000-00009E500000}"/>
    <cellStyle name="Normal 2 8 23 3" xfId="20654" xr:uid="{00000000-0005-0000-0000-00009F500000}"/>
    <cellStyle name="Normal 2 8 24" xfId="20655" xr:uid="{00000000-0005-0000-0000-0000A0500000}"/>
    <cellStyle name="Normal 2 8 25" xfId="20656" xr:uid="{00000000-0005-0000-0000-0000A1500000}"/>
    <cellStyle name="Normal 2 8 26" xfId="20657" xr:uid="{00000000-0005-0000-0000-0000A2500000}"/>
    <cellStyle name="Normal 2 8 27" xfId="20658" xr:uid="{00000000-0005-0000-0000-0000A3500000}"/>
    <cellStyle name="Normal 2 8 3" xfId="20659" xr:uid="{00000000-0005-0000-0000-0000A4500000}"/>
    <cellStyle name="Normal 2 8 3 2" xfId="20660" xr:uid="{00000000-0005-0000-0000-0000A5500000}"/>
    <cellStyle name="Normal 2 8 3 2 2" xfId="20661" xr:uid="{00000000-0005-0000-0000-0000A6500000}"/>
    <cellStyle name="Normal 2 8 3 3" xfId="20662" xr:uid="{00000000-0005-0000-0000-0000A7500000}"/>
    <cellStyle name="Normal 2 8 3 4" xfId="20663" xr:uid="{00000000-0005-0000-0000-0000A8500000}"/>
    <cellStyle name="Normal 2 8 4" xfId="20664" xr:uid="{00000000-0005-0000-0000-0000A9500000}"/>
    <cellStyle name="Normal 2 8 4 2" xfId="20665" xr:uid="{00000000-0005-0000-0000-0000AA500000}"/>
    <cellStyle name="Normal 2 8 4 2 2" xfId="20666" xr:uid="{00000000-0005-0000-0000-0000AB500000}"/>
    <cellStyle name="Normal 2 8 4 3" xfId="20667" xr:uid="{00000000-0005-0000-0000-0000AC500000}"/>
    <cellStyle name="Normal 2 8 4 4" xfId="20668" xr:uid="{00000000-0005-0000-0000-0000AD500000}"/>
    <cellStyle name="Normal 2 8 5" xfId="20669" xr:uid="{00000000-0005-0000-0000-0000AE500000}"/>
    <cellStyle name="Normal 2 8 5 2" xfId="20670" xr:uid="{00000000-0005-0000-0000-0000AF500000}"/>
    <cellStyle name="Normal 2 8 5 2 2" xfId="20671" xr:uid="{00000000-0005-0000-0000-0000B0500000}"/>
    <cellStyle name="Normal 2 8 5 3" xfId="20672" xr:uid="{00000000-0005-0000-0000-0000B1500000}"/>
    <cellStyle name="Normal 2 8 5 4" xfId="20673" xr:uid="{00000000-0005-0000-0000-0000B2500000}"/>
    <cellStyle name="Normal 2 8 6" xfId="20674" xr:uid="{00000000-0005-0000-0000-0000B3500000}"/>
    <cellStyle name="Normal 2 8 6 2" xfId="20675" xr:uid="{00000000-0005-0000-0000-0000B4500000}"/>
    <cellStyle name="Normal 2 8 6 2 2" xfId="20676" xr:uid="{00000000-0005-0000-0000-0000B5500000}"/>
    <cellStyle name="Normal 2 8 6 3" xfId="20677" xr:uid="{00000000-0005-0000-0000-0000B6500000}"/>
    <cellStyle name="Normal 2 8 6 4" xfId="20678" xr:uid="{00000000-0005-0000-0000-0000B7500000}"/>
    <cellStyle name="Normal 2 8 7" xfId="20679" xr:uid="{00000000-0005-0000-0000-0000B8500000}"/>
    <cellStyle name="Normal 2 8 7 2" xfId="20680" xr:uid="{00000000-0005-0000-0000-0000B9500000}"/>
    <cellStyle name="Normal 2 8 7 3" xfId="20681" xr:uid="{00000000-0005-0000-0000-0000BA500000}"/>
    <cellStyle name="Normal 2 8 8" xfId="20682" xr:uid="{00000000-0005-0000-0000-0000BB500000}"/>
    <cellStyle name="Normal 2 8 8 2" xfId="20683" xr:uid="{00000000-0005-0000-0000-0000BC500000}"/>
    <cellStyle name="Normal 2 8 8 3" xfId="20684" xr:uid="{00000000-0005-0000-0000-0000BD500000}"/>
    <cellStyle name="Normal 2 8 9" xfId="20685" xr:uid="{00000000-0005-0000-0000-0000BE500000}"/>
    <cellStyle name="Normal 2 8 9 2" xfId="20686" xr:uid="{00000000-0005-0000-0000-0000BF500000}"/>
    <cellStyle name="Normal 2 8 9 3" xfId="20687" xr:uid="{00000000-0005-0000-0000-0000C0500000}"/>
    <cellStyle name="Normal 2 80" xfId="20688" xr:uid="{00000000-0005-0000-0000-0000C1500000}"/>
    <cellStyle name="Normal 2 80 2" xfId="20689" xr:uid="{00000000-0005-0000-0000-0000C2500000}"/>
    <cellStyle name="Normal 2 80 3" xfId="20690" xr:uid="{00000000-0005-0000-0000-0000C3500000}"/>
    <cellStyle name="Normal 2 81" xfId="20691" xr:uid="{00000000-0005-0000-0000-0000C4500000}"/>
    <cellStyle name="Normal 2 81 2" xfId="20692" xr:uid="{00000000-0005-0000-0000-0000C5500000}"/>
    <cellStyle name="Normal 2 81 3" xfId="20693" xr:uid="{00000000-0005-0000-0000-0000C6500000}"/>
    <cellStyle name="Normal 2 82" xfId="20694" xr:uid="{00000000-0005-0000-0000-0000C7500000}"/>
    <cellStyle name="Normal 2 82 2" xfId="20695" xr:uid="{00000000-0005-0000-0000-0000C8500000}"/>
    <cellStyle name="Normal 2 82 3" xfId="20696" xr:uid="{00000000-0005-0000-0000-0000C9500000}"/>
    <cellStyle name="Normal 2 83" xfId="20697" xr:uid="{00000000-0005-0000-0000-0000CA500000}"/>
    <cellStyle name="Normal 2 83 2" xfId="20698" xr:uid="{00000000-0005-0000-0000-0000CB500000}"/>
    <cellStyle name="Normal 2 83 3" xfId="20699" xr:uid="{00000000-0005-0000-0000-0000CC500000}"/>
    <cellStyle name="Normal 2 84" xfId="20700" xr:uid="{00000000-0005-0000-0000-0000CD500000}"/>
    <cellStyle name="Normal 2 84 2" xfId="20701" xr:uid="{00000000-0005-0000-0000-0000CE500000}"/>
    <cellStyle name="Normal 2 84 3" xfId="20702" xr:uid="{00000000-0005-0000-0000-0000CF500000}"/>
    <cellStyle name="Normal 2 85" xfId="20703" xr:uid="{00000000-0005-0000-0000-0000D0500000}"/>
    <cellStyle name="Normal 2 85 2" xfId="20704" xr:uid="{00000000-0005-0000-0000-0000D1500000}"/>
    <cellStyle name="Normal 2 85 3" xfId="20705" xr:uid="{00000000-0005-0000-0000-0000D2500000}"/>
    <cellStyle name="Normal 2 86" xfId="20706" xr:uid="{00000000-0005-0000-0000-0000D3500000}"/>
    <cellStyle name="Normal 2 86 2" xfId="20707" xr:uid="{00000000-0005-0000-0000-0000D4500000}"/>
    <cellStyle name="Normal 2 86 3" xfId="20708" xr:uid="{00000000-0005-0000-0000-0000D5500000}"/>
    <cellStyle name="Normal 2 87" xfId="20709" xr:uid="{00000000-0005-0000-0000-0000D6500000}"/>
    <cellStyle name="Normal 2 87 2" xfId="20710" xr:uid="{00000000-0005-0000-0000-0000D7500000}"/>
    <cellStyle name="Normal 2 87 3" xfId="20711" xr:uid="{00000000-0005-0000-0000-0000D8500000}"/>
    <cellStyle name="Normal 2 88" xfId="20712" xr:uid="{00000000-0005-0000-0000-0000D9500000}"/>
    <cellStyle name="Normal 2 88 2" xfId="20713" xr:uid="{00000000-0005-0000-0000-0000DA500000}"/>
    <cellStyle name="Normal 2 88 3" xfId="20714" xr:uid="{00000000-0005-0000-0000-0000DB500000}"/>
    <cellStyle name="Normal 2 89" xfId="20715" xr:uid="{00000000-0005-0000-0000-0000DC500000}"/>
    <cellStyle name="Normal 2 89 2" xfId="20716" xr:uid="{00000000-0005-0000-0000-0000DD500000}"/>
    <cellStyle name="Normal 2 89 3" xfId="20717" xr:uid="{00000000-0005-0000-0000-0000DE500000}"/>
    <cellStyle name="Normal 2 9" xfId="20718" xr:uid="{00000000-0005-0000-0000-0000DF500000}"/>
    <cellStyle name="Normal 2 9 10" xfId="20719" xr:uid="{00000000-0005-0000-0000-0000E0500000}"/>
    <cellStyle name="Normal 2 9 10 2" xfId="20720" xr:uid="{00000000-0005-0000-0000-0000E1500000}"/>
    <cellStyle name="Normal 2 9 10 3" xfId="20721" xr:uid="{00000000-0005-0000-0000-0000E2500000}"/>
    <cellStyle name="Normal 2 9 11" xfId="20722" xr:uid="{00000000-0005-0000-0000-0000E3500000}"/>
    <cellStyle name="Normal 2 9 11 2" xfId="20723" xr:uid="{00000000-0005-0000-0000-0000E4500000}"/>
    <cellStyle name="Normal 2 9 11 3" xfId="20724" xr:uid="{00000000-0005-0000-0000-0000E5500000}"/>
    <cellStyle name="Normal 2 9 12" xfId="20725" xr:uid="{00000000-0005-0000-0000-0000E6500000}"/>
    <cellStyle name="Normal 2 9 12 2" xfId="20726" xr:uid="{00000000-0005-0000-0000-0000E7500000}"/>
    <cellStyle name="Normal 2 9 12 3" xfId="20727" xr:uid="{00000000-0005-0000-0000-0000E8500000}"/>
    <cellStyle name="Normal 2 9 13" xfId="20728" xr:uid="{00000000-0005-0000-0000-0000E9500000}"/>
    <cellStyle name="Normal 2 9 13 2" xfId="20729" xr:uid="{00000000-0005-0000-0000-0000EA500000}"/>
    <cellStyle name="Normal 2 9 13 3" xfId="20730" xr:uid="{00000000-0005-0000-0000-0000EB500000}"/>
    <cellStyle name="Normal 2 9 14" xfId="20731" xr:uid="{00000000-0005-0000-0000-0000EC500000}"/>
    <cellStyle name="Normal 2 9 14 2" xfId="20732" xr:uid="{00000000-0005-0000-0000-0000ED500000}"/>
    <cellStyle name="Normal 2 9 14 3" xfId="20733" xr:uid="{00000000-0005-0000-0000-0000EE500000}"/>
    <cellStyle name="Normal 2 9 15" xfId="20734" xr:uid="{00000000-0005-0000-0000-0000EF500000}"/>
    <cellStyle name="Normal 2 9 15 2" xfId="20735" xr:uid="{00000000-0005-0000-0000-0000F0500000}"/>
    <cellStyle name="Normal 2 9 15 3" xfId="20736" xr:uid="{00000000-0005-0000-0000-0000F1500000}"/>
    <cellStyle name="Normal 2 9 16" xfId="20737" xr:uid="{00000000-0005-0000-0000-0000F2500000}"/>
    <cellStyle name="Normal 2 9 16 2" xfId="20738" xr:uid="{00000000-0005-0000-0000-0000F3500000}"/>
    <cellStyle name="Normal 2 9 16 3" xfId="20739" xr:uid="{00000000-0005-0000-0000-0000F4500000}"/>
    <cellStyle name="Normal 2 9 17" xfId="20740" xr:uid="{00000000-0005-0000-0000-0000F5500000}"/>
    <cellStyle name="Normal 2 9 17 2" xfId="20741" xr:uid="{00000000-0005-0000-0000-0000F6500000}"/>
    <cellStyle name="Normal 2 9 17 3" xfId="20742" xr:uid="{00000000-0005-0000-0000-0000F7500000}"/>
    <cellStyle name="Normal 2 9 18" xfId="20743" xr:uid="{00000000-0005-0000-0000-0000F8500000}"/>
    <cellStyle name="Normal 2 9 18 2" xfId="20744" xr:uid="{00000000-0005-0000-0000-0000F9500000}"/>
    <cellStyle name="Normal 2 9 18 3" xfId="20745" xr:uid="{00000000-0005-0000-0000-0000FA500000}"/>
    <cellStyle name="Normal 2 9 19" xfId="20746" xr:uid="{00000000-0005-0000-0000-0000FB500000}"/>
    <cellStyle name="Normal 2 9 19 2" xfId="20747" xr:uid="{00000000-0005-0000-0000-0000FC500000}"/>
    <cellStyle name="Normal 2 9 19 3" xfId="20748" xr:uid="{00000000-0005-0000-0000-0000FD500000}"/>
    <cellStyle name="Normal 2 9 2" xfId="20749" xr:uid="{00000000-0005-0000-0000-0000FE500000}"/>
    <cellStyle name="Normal 2 9 2 2" xfId="20750" xr:uid="{00000000-0005-0000-0000-0000FF500000}"/>
    <cellStyle name="Normal 2 9 2 2 2" xfId="20751" xr:uid="{00000000-0005-0000-0000-000000510000}"/>
    <cellStyle name="Normal 2 9 2 3" xfId="20752" xr:uid="{00000000-0005-0000-0000-000001510000}"/>
    <cellStyle name="Normal 2 9 2 4" xfId="20753" xr:uid="{00000000-0005-0000-0000-000002510000}"/>
    <cellStyle name="Normal 2 9 2 5" xfId="20754" xr:uid="{00000000-0005-0000-0000-000003510000}"/>
    <cellStyle name="Normal 2 9 20" xfId="20755" xr:uid="{00000000-0005-0000-0000-000004510000}"/>
    <cellStyle name="Normal 2 9 20 2" xfId="20756" xr:uid="{00000000-0005-0000-0000-000005510000}"/>
    <cellStyle name="Normal 2 9 20 3" xfId="20757" xr:uid="{00000000-0005-0000-0000-000006510000}"/>
    <cellStyle name="Normal 2 9 21" xfId="20758" xr:uid="{00000000-0005-0000-0000-000007510000}"/>
    <cellStyle name="Normal 2 9 21 2" xfId="20759" xr:uid="{00000000-0005-0000-0000-000008510000}"/>
    <cellStyle name="Normal 2 9 21 3" xfId="20760" xr:uid="{00000000-0005-0000-0000-000009510000}"/>
    <cellStyle name="Normal 2 9 22" xfId="20761" xr:uid="{00000000-0005-0000-0000-00000A510000}"/>
    <cellStyle name="Normal 2 9 22 2" xfId="20762" xr:uid="{00000000-0005-0000-0000-00000B510000}"/>
    <cellStyle name="Normal 2 9 22 3" xfId="20763" xr:uid="{00000000-0005-0000-0000-00000C510000}"/>
    <cellStyle name="Normal 2 9 23" xfId="20764" xr:uid="{00000000-0005-0000-0000-00000D510000}"/>
    <cellStyle name="Normal 2 9 23 2" xfId="20765" xr:uid="{00000000-0005-0000-0000-00000E510000}"/>
    <cellStyle name="Normal 2 9 23 3" xfId="20766" xr:uid="{00000000-0005-0000-0000-00000F510000}"/>
    <cellStyle name="Normal 2 9 24" xfId="20767" xr:uid="{00000000-0005-0000-0000-000010510000}"/>
    <cellStyle name="Normal 2 9 25" xfId="20768" xr:uid="{00000000-0005-0000-0000-000011510000}"/>
    <cellStyle name="Normal 2 9 26" xfId="20769" xr:uid="{00000000-0005-0000-0000-000012510000}"/>
    <cellStyle name="Normal 2 9 3" xfId="20770" xr:uid="{00000000-0005-0000-0000-000013510000}"/>
    <cellStyle name="Normal 2 9 3 2" xfId="20771" xr:uid="{00000000-0005-0000-0000-000014510000}"/>
    <cellStyle name="Normal 2 9 3 2 2" xfId="20772" xr:uid="{00000000-0005-0000-0000-000015510000}"/>
    <cellStyle name="Normal 2 9 3 3" xfId="20773" xr:uid="{00000000-0005-0000-0000-000016510000}"/>
    <cellStyle name="Normal 2 9 3 4" xfId="20774" xr:uid="{00000000-0005-0000-0000-000017510000}"/>
    <cellStyle name="Normal 2 9 4" xfId="20775" xr:uid="{00000000-0005-0000-0000-000018510000}"/>
    <cellStyle name="Normal 2 9 4 2" xfId="20776" xr:uid="{00000000-0005-0000-0000-000019510000}"/>
    <cellStyle name="Normal 2 9 4 2 2" xfId="20777" xr:uid="{00000000-0005-0000-0000-00001A510000}"/>
    <cellStyle name="Normal 2 9 4 3" xfId="20778" xr:uid="{00000000-0005-0000-0000-00001B510000}"/>
    <cellStyle name="Normal 2 9 4 4" xfId="20779" xr:uid="{00000000-0005-0000-0000-00001C510000}"/>
    <cellStyle name="Normal 2 9 5" xfId="20780" xr:uid="{00000000-0005-0000-0000-00001D510000}"/>
    <cellStyle name="Normal 2 9 5 2" xfId="20781" xr:uid="{00000000-0005-0000-0000-00001E510000}"/>
    <cellStyle name="Normal 2 9 5 2 2" xfId="20782" xr:uid="{00000000-0005-0000-0000-00001F510000}"/>
    <cellStyle name="Normal 2 9 5 3" xfId="20783" xr:uid="{00000000-0005-0000-0000-000020510000}"/>
    <cellStyle name="Normal 2 9 5 4" xfId="20784" xr:uid="{00000000-0005-0000-0000-000021510000}"/>
    <cellStyle name="Normal 2 9 6" xfId="20785" xr:uid="{00000000-0005-0000-0000-000022510000}"/>
    <cellStyle name="Normal 2 9 6 2" xfId="20786" xr:uid="{00000000-0005-0000-0000-000023510000}"/>
    <cellStyle name="Normal 2 9 6 2 2" xfId="20787" xr:uid="{00000000-0005-0000-0000-000024510000}"/>
    <cellStyle name="Normal 2 9 6 3" xfId="20788" xr:uid="{00000000-0005-0000-0000-000025510000}"/>
    <cellStyle name="Normal 2 9 6 4" xfId="20789" xr:uid="{00000000-0005-0000-0000-000026510000}"/>
    <cellStyle name="Normal 2 9 7" xfId="20790" xr:uid="{00000000-0005-0000-0000-000027510000}"/>
    <cellStyle name="Normal 2 9 7 2" xfId="20791" xr:uid="{00000000-0005-0000-0000-000028510000}"/>
    <cellStyle name="Normal 2 9 7 3" xfId="20792" xr:uid="{00000000-0005-0000-0000-000029510000}"/>
    <cellStyle name="Normal 2 9 8" xfId="20793" xr:uid="{00000000-0005-0000-0000-00002A510000}"/>
    <cellStyle name="Normal 2 9 8 2" xfId="20794" xr:uid="{00000000-0005-0000-0000-00002B510000}"/>
    <cellStyle name="Normal 2 9 8 3" xfId="20795" xr:uid="{00000000-0005-0000-0000-00002C510000}"/>
    <cellStyle name="Normal 2 9 9" xfId="20796" xr:uid="{00000000-0005-0000-0000-00002D510000}"/>
    <cellStyle name="Normal 2 9 9 2" xfId="20797" xr:uid="{00000000-0005-0000-0000-00002E510000}"/>
    <cellStyle name="Normal 2 9 9 3" xfId="20798" xr:uid="{00000000-0005-0000-0000-00002F510000}"/>
    <cellStyle name="Normal 2 90" xfId="20799" xr:uid="{00000000-0005-0000-0000-000030510000}"/>
    <cellStyle name="Normal 2 90 2" xfId="20800" xr:uid="{00000000-0005-0000-0000-000031510000}"/>
    <cellStyle name="Normal 2 90 3" xfId="20801" xr:uid="{00000000-0005-0000-0000-000032510000}"/>
    <cellStyle name="Normal 2 91" xfId="20802" xr:uid="{00000000-0005-0000-0000-000033510000}"/>
    <cellStyle name="Normal 2 91 2" xfId="20803" xr:uid="{00000000-0005-0000-0000-000034510000}"/>
    <cellStyle name="Normal 2 91 3" xfId="20804" xr:uid="{00000000-0005-0000-0000-000035510000}"/>
    <cellStyle name="Normal 2 92" xfId="20805" xr:uid="{00000000-0005-0000-0000-000036510000}"/>
    <cellStyle name="Normal 2 92 2" xfId="20806" xr:uid="{00000000-0005-0000-0000-000037510000}"/>
    <cellStyle name="Normal 2 92 3" xfId="20807" xr:uid="{00000000-0005-0000-0000-000038510000}"/>
    <cellStyle name="Normal 2 93" xfId="20808" xr:uid="{00000000-0005-0000-0000-000039510000}"/>
    <cellStyle name="Normal 2 93 2" xfId="20809" xr:uid="{00000000-0005-0000-0000-00003A510000}"/>
    <cellStyle name="Normal 2 93 3" xfId="20810" xr:uid="{00000000-0005-0000-0000-00003B510000}"/>
    <cellStyle name="Normal 2 94" xfId="20811" xr:uid="{00000000-0005-0000-0000-00003C510000}"/>
    <cellStyle name="Normal 2 95" xfId="20812" xr:uid="{00000000-0005-0000-0000-00003D510000}"/>
    <cellStyle name="Normal 2 96" xfId="20813" xr:uid="{00000000-0005-0000-0000-00003E510000}"/>
    <cellStyle name="Normal 2_DEER 032008 Cost Summary Delivery - Rev 4 (2)" xfId="20814" xr:uid="{00000000-0005-0000-0000-00003F510000}"/>
    <cellStyle name="Normal 20" xfId="20815" xr:uid="{00000000-0005-0000-0000-000040510000}"/>
    <cellStyle name="Normal 20 2" xfId="20816" xr:uid="{00000000-0005-0000-0000-000041510000}"/>
    <cellStyle name="Normal 20 2 2" xfId="20817" xr:uid="{00000000-0005-0000-0000-000042510000}"/>
    <cellStyle name="Normal 20 2 3" xfId="20818" xr:uid="{00000000-0005-0000-0000-000043510000}"/>
    <cellStyle name="Normal 20 3" xfId="20819" xr:uid="{00000000-0005-0000-0000-000044510000}"/>
    <cellStyle name="Normal 20 3 2" xfId="20820" xr:uid="{00000000-0005-0000-0000-000045510000}"/>
    <cellStyle name="Normal 20 3 3" xfId="20821" xr:uid="{00000000-0005-0000-0000-000046510000}"/>
    <cellStyle name="Normal 20 4" xfId="20822" xr:uid="{00000000-0005-0000-0000-000047510000}"/>
    <cellStyle name="Normal 20 4 2" xfId="20823" xr:uid="{00000000-0005-0000-0000-000048510000}"/>
    <cellStyle name="Normal 20 5" xfId="20824" xr:uid="{00000000-0005-0000-0000-000049510000}"/>
    <cellStyle name="Normal 20 6" xfId="20825" xr:uid="{00000000-0005-0000-0000-00004A510000}"/>
    <cellStyle name="Normal 20 7" xfId="20826" xr:uid="{00000000-0005-0000-0000-00004B510000}"/>
    <cellStyle name="Normal 20 8" xfId="20827" xr:uid="{00000000-0005-0000-0000-00004C510000}"/>
    <cellStyle name="Normal 21" xfId="20828" xr:uid="{00000000-0005-0000-0000-00004D510000}"/>
    <cellStyle name="Normal 21 2" xfId="20829" xr:uid="{00000000-0005-0000-0000-00004E510000}"/>
    <cellStyle name="Normal 21 2 2" xfId="20830" xr:uid="{00000000-0005-0000-0000-00004F510000}"/>
    <cellStyle name="Normal 21 2 3" xfId="20831" xr:uid="{00000000-0005-0000-0000-000050510000}"/>
    <cellStyle name="Normal 21 3" xfId="20832" xr:uid="{00000000-0005-0000-0000-000051510000}"/>
    <cellStyle name="Normal 21 3 2" xfId="20833" xr:uid="{00000000-0005-0000-0000-000052510000}"/>
    <cellStyle name="Normal 21 3 3" xfId="20834" xr:uid="{00000000-0005-0000-0000-000053510000}"/>
    <cellStyle name="Normal 21 4" xfId="20835" xr:uid="{00000000-0005-0000-0000-000054510000}"/>
    <cellStyle name="Normal 21 4 2" xfId="20836" xr:uid="{00000000-0005-0000-0000-000055510000}"/>
    <cellStyle name="Normal 21 4 3" xfId="20837" xr:uid="{00000000-0005-0000-0000-000056510000}"/>
    <cellStyle name="Normal 21 5" xfId="20838" xr:uid="{00000000-0005-0000-0000-000057510000}"/>
    <cellStyle name="Normal 21 5 2" xfId="20839" xr:uid="{00000000-0005-0000-0000-000058510000}"/>
    <cellStyle name="Normal 21 5 3" xfId="20840" xr:uid="{00000000-0005-0000-0000-000059510000}"/>
    <cellStyle name="Normal 21 6" xfId="20841" xr:uid="{00000000-0005-0000-0000-00005A510000}"/>
    <cellStyle name="Normal 21 6 2" xfId="20842" xr:uid="{00000000-0005-0000-0000-00005B510000}"/>
    <cellStyle name="Normal 21 6 3" xfId="20843" xr:uid="{00000000-0005-0000-0000-00005C510000}"/>
    <cellStyle name="Normal 21 7" xfId="20844" xr:uid="{00000000-0005-0000-0000-00005D510000}"/>
    <cellStyle name="Normal 21 8" xfId="20845" xr:uid="{00000000-0005-0000-0000-00005E510000}"/>
    <cellStyle name="Normal 21 9" xfId="20846" xr:uid="{00000000-0005-0000-0000-00005F510000}"/>
    <cellStyle name="Normal 22" xfId="20847" xr:uid="{00000000-0005-0000-0000-000060510000}"/>
    <cellStyle name="Normal 22 2" xfId="20848" xr:uid="{00000000-0005-0000-0000-000061510000}"/>
    <cellStyle name="Normal 22 2 2" xfId="20849" xr:uid="{00000000-0005-0000-0000-000062510000}"/>
    <cellStyle name="Normal 22 2 3" xfId="20850" xr:uid="{00000000-0005-0000-0000-000063510000}"/>
    <cellStyle name="Normal 22 3" xfId="20851" xr:uid="{00000000-0005-0000-0000-000064510000}"/>
    <cellStyle name="Normal 22 3 2" xfId="20852" xr:uid="{00000000-0005-0000-0000-000065510000}"/>
    <cellStyle name="Normal 22 3 3" xfId="20853" xr:uid="{00000000-0005-0000-0000-000066510000}"/>
    <cellStyle name="Normal 22 4" xfId="20854" xr:uid="{00000000-0005-0000-0000-000067510000}"/>
    <cellStyle name="Normal 22 4 2" xfId="20855" xr:uid="{00000000-0005-0000-0000-000068510000}"/>
    <cellStyle name="Normal 22 4 3" xfId="20856" xr:uid="{00000000-0005-0000-0000-000069510000}"/>
    <cellStyle name="Normal 22 5" xfId="20857" xr:uid="{00000000-0005-0000-0000-00006A510000}"/>
    <cellStyle name="Normal 22 6" xfId="20858" xr:uid="{00000000-0005-0000-0000-00006B510000}"/>
    <cellStyle name="Normal 23" xfId="20859" xr:uid="{00000000-0005-0000-0000-00006C510000}"/>
    <cellStyle name="Normal 23 2" xfId="20860" xr:uid="{00000000-0005-0000-0000-00006D510000}"/>
    <cellStyle name="Normal 23 2 2" xfId="20861" xr:uid="{00000000-0005-0000-0000-00006E510000}"/>
    <cellStyle name="Normal 23 2 3" xfId="20862" xr:uid="{00000000-0005-0000-0000-00006F510000}"/>
    <cellStyle name="Normal 23 3" xfId="20863" xr:uid="{00000000-0005-0000-0000-000070510000}"/>
    <cellStyle name="Normal 23 4" xfId="20864" xr:uid="{00000000-0005-0000-0000-000071510000}"/>
    <cellStyle name="Normal 24" xfId="20865" xr:uid="{00000000-0005-0000-0000-000072510000}"/>
    <cellStyle name="Normal 24 2" xfId="20866" xr:uid="{00000000-0005-0000-0000-000073510000}"/>
    <cellStyle name="Normal 24 2 2" xfId="20867" xr:uid="{00000000-0005-0000-0000-000074510000}"/>
    <cellStyle name="Normal 24 2 3" xfId="20868" xr:uid="{00000000-0005-0000-0000-000075510000}"/>
    <cellStyle name="Normal 24 3" xfId="20869" xr:uid="{00000000-0005-0000-0000-000076510000}"/>
    <cellStyle name="Normal 24 3 2" xfId="20870" xr:uid="{00000000-0005-0000-0000-000077510000}"/>
    <cellStyle name="Normal 24 3 3" xfId="20871" xr:uid="{00000000-0005-0000-0000-000078510000}"/>
    <cellStyle name="Normal 24 4" xfId="20872" xr:uid="{00000000-0005-0000-0000-000079510000}"/>
    <cellStyle name="Normal 24 5" xfId="20873" xr:uid="{00000000-0005-0000-0000-00007A510000}"/>
    <cellStyle name="Normal 25" xfId="20874" xr:uid="{00000000-0005-0000-0000-00007B510000}"/>
    <cellStyle name="Normal 25 2" xfId="20875" xr:uid="{00000000-0005-0000-0000-00007C510000}"/>
    <cellStyle name="Normal 25 2 2" xfId="20876" xr:uid="{00000000-0005-0000-0000-00007D510000}"/>
    <cellStyle name="Normal 25 2 3" xfId="20877" xr:uid="{00000000-0005-0000-0000-00007E510000}"/>
    <cellStyle name="Normal 25 3" xfId="20878" xr:uid="{00000000-0005-0000-0000-00007F510000}"/>
    <cellStyle name="Normal 25 4" xfId="20879" xr:uid="{00000000-0005-0000-0000-000080510000}"/>
    <cellStyle name="Normal 26" xfId="20880" xr:uid="{00000000-0005-0000-0000-000081510000}"/>
    <cellStyle name="Normal 26 2" xfId="20881" xr:uid="{00000000-0005-0000-0000-000082510000}"/>
    <cellStyle name="Normal 26 2 2" xfId="20882" xr:uid="{00000000-0005-0000-0000-000083510000}"/>
    <cellStyle name="Normal 26 2 3" xfId="20883" xr:uid="{00000000-0005-0000-0000-000084510000}"/>
    <cellStyle name="Normal 26 3" xfId="20884" xr:uid="{00000000-0005-0000-0000-000085510000}"/>
    <cellStyle name="Normal 26 4" xfId="20885" xr:uid="{00000000-0005-0000-0000-000086510000}"/>
    <cellStyle name="Normal 27" xfId="20886" xr:uid="{00000000-0005-0000-0000-000087510000}"/>
    <cellStyle name="Normal 27 2" xfId="20887" xr:uid="{00000000-0005-0000-0000-000088510000}"/>
    <cellStyle name="Normal 27 2 2" xfId="20888" xr:uid="{00000000-0005-0000-0000-000089510000}"/>
    <cellStyle name="Normal 27 2 3" xfId="20889" xr:uid="{00000000-0005-0000-0000-00008A510000}"/>
    <cellStyle name="Normal 27 3" xfId="20890" xr:uid="{00000000-0005-0000-0000-00008B510000}"/>
    <cellStyle name="Normal 27 4" xfId="20891" xr:uid="{00000000-0005-0000-0000-00008C510000}"/>
    <cellStyle name="Normal 28" xfId="20892" xr:uid="{00000000-0005-0000-0000-00008D510000}"/>
    <cellStyle name="Normal 28 2" xfId="20893" xr:uid="{00000000-0005-0000-0000-00008E510000}"/>
    <cellStyle name="Normal 28 2 2" xfId="20894" xr:uid="{00000000-0005-0000-0000-00008F510000}"/>
    <cellStyle name="Normal 28 2 3" xfId="20895" xr:uid="{00000000-0005-0000-0000-000090510000}"/>
    <cellStyle name="Normal 28 3" xfId="20896" xr:uid="{00000000-0005-0000-0000-000091510000}"/>
    <cellStyle name="Normal 28 3 2" xfId="20897" xr:uid="{00000000-0005-0000-0000-000092510000}"/>
    <cellStyle name="Normal 28 3 3" xfId="20898" xr:uid="{00000000-0005-0000-0000-000093510000}"/>
    <cellStyle name="Normal 28 4" xfId="20899" xr:uid="{00000000-0005-0000-0000-000094510000}"/>
    <cellStyle name="Normal 28 5" xfId="20900" xr:uid="{00000000-0005-0000-0000-000095510000}"/>
    <cellStyle name="Normal 29" xfId="20901" xr:uid="{00000000-0005-0000-0000-000096510000}"/>
    <cellStyle name="Normal 29 2" xfId="20902" xr:uid="{00000000-0005-0000-0000-000097510000}"/>
    <cellStyle name="Normal 29 2 2" xfId="20903" xr:uid="{00000000-0005-0000-0000-000098510000}"/>
    <cellStyle name="Normal 29 2 3" xfId="20904" xr:uid="{00000000-0005-0000-0000-000099510000}"/>
    <cellStyle name="Normal 29 3" xfId="20905" xr:uid="{00000000-0005-0000-0000-00009A510000}"/>
    <cellStyle name="Normal 29 4" xfId="20906" xr:uid="{00000000-0005-0000-0000-00009B510000}"/>
    <cellStyle name="Normal 3" xfId="20907" xr:uid="{00000000-0005-0000-0000-00009C510000}"/>
    <cellStyle name="Normal 3 10" xfId="20908" xr:uid="{00000000-0005-0000-0000-00009D510000}"/>
    <cellStyle name="Normal 3 10 10" xfId="20909" xr:uid="{00000000-0005-0000-0000-00009E510000}"/>
    <cellStyle name="Normal 3 10 10 2" xfId="20910" xr:uid="{00000000-0005-0000-0000-00009F510000}"/>
    <cellStyle name="Normal 3 10 10 3" xfId="20911" xr:uid="{00000000-0005-0000-0000-0000A0510000}"/>
    <cellStyle name="Normal 3 10 11" xfId="20912" xr:uid="{00000000-0005-0000-0000-0000A1510000}"/>
    <cellStyle name="Normal 3 10 11 2" xfId="20913" xr:uid="{00000000-0005-0000-0000-0000A2510000}"/>
    <cellStyle name="Normal 3 10 11 3" xfId="20914" xr:uid="{00000000-0005-0000-0000-0000A3510000}"/>
    <cellStyle name="Normal 3 10 12" xfId="20915" xr:uid="{00000000-0005-0000-0000-0000A4510000}"/>
    <cellStyle name="Normal 3 10 12 2" xfId="20916" xr:uid="{00000000-0005-0000-0000-0000A5510000}"/>
    <cellStyle name="Normal 3 10 12 3" xfId="20917" xr:uid="{00000000-0005-0000-0000-0000A6510000}"/>
    <cellStyle name="Normal 3 10 13" xfId="20918" xr:uid="{00000000-0005-0000-0000-0000A7510000}"/>
    <cellStyle name="Normal 3 10 13 2" xfId="20919" xr:uid="{00000000-0005-0000-0000-0000A8510000}"/>
    <cellStyle name="Normal 3 10 13 3" xfId="20920" xr:uid="{00000000-0005-0000-0000-0000A9510000}"/>
    <cellStyle name="Normal 3 10 14" xfId="20921" xr:uid="{00000000-0005-0000-0000-0000AA510000}"/>
    <cellStyle name="Normal 3 10 14 2" xfId="20922" xr:uid="{00000000-0005-0000-0000-0000AB510000}"/>
    <cellStyle name="Normal 3 10 14 3" xfId="20923" xr:uid="{00000000-0005-0000-0000-0000AC510000}"/>
    <cellStyle name="Normal 3 10 15" xfId="20924" xr:uid="{00000000-0005-0000-0000-0000AD510000}"/>
    <cellStyle name="Normal 3 10 15 2" xfId="20925" xr:uid="{00000000-0005-0000-0000-0000AE510000}"/>
    <cellStyle name="Normal 3 10 15 3" xfId="20926" xr:uid="{00000000-0005-0000-0000-0000AF510000}"/>
    <cellStyle name="Normal 3 10 16" xfId="20927" xr:uid="{00000000-0005-0000-0000-0000B0510000}"/>
    <cellStyle name="Normal 3 10 16 2" xfId="20928" xr:uid="{00000000-0005-0000-0000-0000B1510000}"/>
    <cellStyle name="Normal 3 10 16 3" xfId="20929" xr:uid="{00000000-0005-0000-0000-0000B2510000}"/>
    <cellStyle name="Normal 3 10 17" xfId="20930" xr:uid="{00000000-0005-0000-0000-0000B3510000}"/>
    <cellStyle name="Normal 3 10 17 2" xfId="20931" xr:uid="{00000000-0005-0000-0000-0000B4510000}"/>
    <cellStyle name="Normal 3 10 17 3" xfId="20932" xr:uid="{00000000-0005-0000-0000-0000B5510000}"/>
    <cellStyle name="Normal 3 10 18" xfId="20933" xr:uid="{00000000-0005-0000-0000-0000B6510000}"/>
    <cellStyle name="Normal 3 10 18 2" xfId="20934" xr:uid="{00000000-0005-0000-0000-0000B7510000}"/>
    <cellStyle name="Normal 3 10 18 3" xfId="20935" xr:uid="{00000000-0005-0000-0000-0000B8510000}"/>
    <cellStyle name="Normal 3 10 19" xfId="20936" xr:uid="{00000000-0005-0000-0000-0000B9510000}"/>
    <cellStyle name="Normal 3 10 19 2" xfId="20937" xr:uid="{00000000-0005-0000-0000-0000BA510000}"/>
    <cellStyle name="Normal 3 10 19 3" xfId="20938" xr:uid="{00000000-0005-0000-0000-0000BB510000}"/>
    <cellStyle name="Normal 3 10 2" xfId="20939" xr:uid="{00000000-0005-0000-0000-0000BC510000}"/>
    <cellStyle name="Normal 3 10 2 2" xfId="20940" xr:uid="{00000000-0005-0000-0000-0000BD510000}"/>
    <cellStyle name="Normal 3 10 2 3" xfId="20941" xr:uid="{00000000-0005-0000-0000-0000BE510000}"/>
    <cellStyle name="Normal 3 10 20" xfId="20942" xr:uid="{00000000-0005-0000-0000-0000BF510000}"/>
    <cellStyle name="Normal 3 10 20 2" xfId="20943" xr:uid="{00000000-0005-0000-0000-0000C0510000}"/>
    <cellStyle name="Normal 3 10 20 3" xfId="20944" xr:uid="{00000000-0005-0000-0000-0000C1510000}"/>
    <cellStyle name="Normal 3 10 21" xfId="20945" xr:uid="{00000000-0005-0000-0000-0000C2510000}"/>
    <cellStyle name="Normal 3 10 21 2" xfId="20946" xr:uid="{00000000-0005-0000-0000-0000C3510000}"/>
    <cellStyle name="Normal 3 10 21 3" xfId="20947" xr:uid="{00000000-0005-0000-0000-0000C4510000}"/>
    <cellStyle name="Normal 3 10 22" xfId="20948" xr:uid="{00000000-0005-0000-0000-0000C5510000}"/>
    <cellStyle name="Normal 3 10 22 2" xfId="20949" xr:uid="{00000000-0005-0000-0000-0000C6510000}"/>
    <cellStyle name="Normal 3 10 22 3" xfId="20950" xr:uid="{00000000-0005-0000-0000-0000C7510000}"/>
    <cellStyle name="Normal 3 10 23" xfId="20951" xr:uid="{00000000-0005-0000-0000-0000C8510000}"/>
    <cellStyle name="Normal 3 10 23 2" xfId="20952" xr:uid="{00000000-0005-0000-0000-0000C9510000}"/>
    <cellStyle name="Normal 3 10 23 3" xfId="20953" xr:uid="{00000000-0005-0000-0000-0000CA510000}"/>
    <cellStyle name="Normal 3 10 24" xfId="20954" xr:uid="{00000000-0005-0000-0000-0000CB510000}"/>
    <cellStyle name="Normal 3 10 25" xfId="20955" xr:uid="{00000000-0005-0000-0000-0000CC510000}"/>
    <cellStyle name="Normal 3 10 3" xfId="20956" xr:uid="{00000000-0005-0000-0000-0000CD510000}"/>
    <cellStyle name="Normal 3 10 3 2" xfId="20957" xr:uid="{00000000-0005-0000-0000-0000CE510000}"/>
    <cellStyle name="Normal 3 10 3 3" xfId="20958" xr:uid="{00000000-0005-0000-0000-0000CF510000}"/>
    <cellStyle name="Normal 3 10 4" xfId="20959" xr:uid="{00000000-0005-0000-0000-0000D0510000}"/>
    <cellStyle name="Normal 3 10 4 2" xfId="20960" xr:uid="{00000000-0005-0000-0000-0000D1510000}"/>
    <cellStyle name="Normal 3 10 4 3" xfId="20961" xr:uid="{00000000-0005-0000-0000-0000D2510000}"/>
    <cellStyle name="Normal 3 10 5" xfId="20962" xr:uid="{00000000-0005-0000-0000-0000D3510000}"/>
    <cellStyle name="Normal 3 10 5 2" xfId="20963" xr:uid="{00000000-0005-0000-0000-0000D4510000}"/>
    <cellStyle name="Normal 3 10 5 3" xfId="20964" xr:uid="{00000000-0005-0000-0000-0000D5510000}"/>
    <cellStyle name="Normal 3 10 6" xfId="20965" xr:uid="{00000000-0005-0000-0000-0000D6510000}"/>
    <cellStyle name="Normal 3 10 6 2" xfId="20966" xr:uid="{00000000-0005-0000-0000-0000D7510000}"/>
    <cellStyle name="Normal 3 10 6 3" xfId="20967" xr:uid="{00000000-0005-0000-0000-0000D8510000}"/>
    <cellStyle name="Normal 3 10 7" xfId="20968" xr:uid="{00000000-0005-0000-0000-0000D9510000}"/>
    <cellStyle name="Normal 3 10 7 2" xfId="20969" xr:uid="{00000000-0005-0000-0000-0000DA510000}"/>
    <cellStyle name="Normal 3 10 7 3" xfId="20970" xr:uid="{00000000-0005-0000-0000-0000DB510000}"/>
    <cellStyle name="Normal 3 10 8" xfId="20971" xr:uid="{00000000-0005-0000-0000-0000DC510000}"/>
    <cellStyle name="Normal 3 10 8 2" xfId="20972" xr:uid="{00000000-0005-0000-0000-0000DD510000}"/>
    <cellStyle name="Normal 3 10 8 3" xfId="20973" xr:uid="{00000000-0005-0000-0000-0000DE510000}"/>
    <cellStyle name="Normal 3 10 9" xfId="20974" xr:uid="{00000000-0005-0000-0000-0000DF510000}"/>
    <cellStyle name="Normal 3 10 9 2" xfId="20975" xr:uid="{00000000-0005-0000-0000-0000E0510000}"/>
    <cellStyle name="Normal 3 10 9 3" xfId="20976" xr:uid="{00000000-0005-0000-0000-0000E1510000}"/>
    <cellStyle name="Normal 3 11" xfId="20977" xr:uid="{00000000-0005-0000-0000-0000E2510000}"/>
    <cellStyle name="Normal 3 11 10" xfId="20978" xr:uid="{00000000-0005-0000-0000-0000E3510000}"/>
    <cellStyle name="Normal 3 11 10 2" xfId="20979" xr:uid="{00000000-0005-0000-0000-0000E4510000}"/>
    <cellStyle name="Normal 3 11 10 3" xfId="20980" xr:uid="{00000000-0005-0000-0000-0000E5510000}"/>
    <cellStyle name="Normal 3 11 11" xfId="20981" xr:uid="{00000000-0005-0000-0000-0000E6510000}"/>
    <cellStyle name="Normal 3 11 11 2" xfId="20982" xr:uid="{00000000-0005-0000-0000-0000E7510000}"/>
    <cellStyle name="Normal 3 11 11 3" xfId="20983" xr:uid="{00000000-0005-0000-0000-0000E8510000}"/>
    <cellStyle name="Normal 3 11 12" xfId="20984" xr:uid="{00000000-0005-0000-0000-0000E9510000}"/>
    <cellStyle name="Normal 3 11 12 2" xfId="20985" xr:uid="{00000000-0005-0000-0000-0000EA510000}"/>
    <cellStyle name="Normal 3 11 12 3" xfId="20986" xr:uid="{00000000-0005-0000-0000-0000EB510000}"/>
    <cellStyle name="Normal 3 11 13" xfId="20987" xr:uid="{00000000-0005-0000-0000-0000EC510000}"/>
    <cellStyle name="Normal 3 11 13 2" xfId="20988" xr:uid="{00000000-0005-0000-0000-0000ED510000}"/>
    <cellStyle name="Normal 3 11 13 3" xfId="20989" xr:uid="{00000000-0005-0000-0000-0000EE510000}"/>
    <cellStyle name="Normal 3 11 14" xfId="20990" xr:uid="{00000000-0005-0000-0000-0000EF510000}"/>
    <cellStyle name="Normal 3 11 14 2" xfId="20991" xr:uid="{00000000-0005-0000-0000-0000F0510000}"/>
    <cellStyle name="Normal 3 11 14 3" xfId="20992" xr:uid="{00000000-0005-0000-0000-0000F1510000}"/>
    <cellStyle name="Normal 3 11 15" xfId="20993" xr:uid="{00000000-0005-0000-0000-0000F2510000}"/>
    <cellStyle name="Normal 3 11 15 2" xfId="20994" xr:uid="{00000000-0005-0000-0000-0000F3510000}"/>
    <cellStyle name="Normal 3 11 15 3" xfId="20995" xr:uid="{00000000-0005-0000-0000-0000F4510000}"/>
    <cellStyle name="Normal 3 11 16" xfId="20996" xr:uid="{00000000-0005-0000-0000-0000F5510000}"/>
    <cellStyle name="Normal 3 11 16 2" xfId="20997" xr:uid="{00000000-0005-0000-0000-0000F6510000}"/>
    <cellStyle name="Normal 3 11 16 3" xfId="20998" xr:uid="{00000000-0005-0000-0000-0000F7510000}"/>
    <cellStyle name="Normal 3 11 17" xfId="20999" xr:uid="{00000000-0005-0000-0000-0000F8510000}"/>
    <cellStyle name="Normal 3 11 17 2" xfId="21000" xr:uid="{00000000-0005-0000-0000-0000F9510000}"/>
    <cellStyle name="Normal 3 11 17 3" xfId="21001" xr:uid="{00000000-0005-0000-0000-0000FA510000}"/>
    <cellStyle name="Normal 3 11 18" xfId="21002" xr:uid="{00000000-0005-0000-0000-0000FB510000}"/>
    <cellStyle name="Normal 3 11 18 2" xfId="21003" xr:uid="{00000000-0005-0000-0000-0000FC510000}"/>
    <cellStyle name="Normal 3 11 18 3" xfId="21004" xr:uid="{00000000-0005-0000-0000-0000FD510000}"/>
    <cellStyle name="Normal 3 11 19" xfId="21005" xr:uid="{00000000-0005-0000-0000-0000FE510000}"/>
    <cellStyle name="Normal 3 11 19 2" xfId="21006" xr:uid="{00000000-0005-0000-0000-0000FF510000}"/>
    <cellStyle name="Normal 3 11 19 3" xfId="21007" xr:uid="{00000000-0005-0000-0000-000000520000}"/>
    <cellStyle name="Normal 3 11 2" xfId="21008" xr:uid="{00000000-0005-0000-0000-000001520000}"/>
    <cellStyle name="Normal 3 11 2 2" xfId="21009" xr:uid="{00000000-0005-0000-0000-000002520000}"/>
    <cellStyle name="Normal 3 11 2 3" xfId="21010" xr:uid="{00000000-0005-0000-0000-000003520000}"/>
    <cellStyle name="Normal 3 11 20" xfId="21011" xr:uid="{00000000-0005-0000-0000-000004520000}"/>
    <cellStyle name="Normal 3 11 20 2" xfId="21012" xr:uid="{00000000-0005-0000-0000-000005520000}"/>
    <cellStyle name="Normal 3 11 20 3" xfId="21013" xr:uid="{00000000-0005-0000-0000-000006520000}"/>
    <cellStyle name="Normal 3 11 21" xfId="21014" xr:uid="{00000000-0005-0000-0000-000007520000}"/>
    <cellStyle name="Normal 3 11 21 2" xfId="21015" xr:uid="{00000000-0005-0000-0000-000008520000}"/>
    <cellStyle name="Normal 3 11 21 3" xfId="21016" xr:uid="{00000000-0005-0000-0000-000009520000}"/>
    <cellStyle name="Normal 3 11 22" xfId="21017" xr:uid="{00000000-0005-0000-0000-00000A520000}"/>
    <cellStyle name="Normal 3 11 22 2" xfId="21018" xr:uid="{00000000-0005-0000-0000-00000B520000}"/>
    <cellStyle name="Normal 3 11 22 3" xfId="21019" xr:uid="{00000000-0005-0000-0000-00000C520000}"/>
    <cellStyle name="Normal 3 11 23" xfId="21020" xr:uid="{00000000-0005-0000-0000-00000D520000}"/>
    <cellStyle name="Normal 3 11 23 2" xfId="21021" xr:uid="{00000000-0005-0000-0000-00000E520000}"/>
    <cellStyle name="Normal 3 11 23 3" xfId="21022" xr:uid="{00000000-0005-0000-0000-00000F520000}"/>
    <cellStyle name="Normal 3 11 24" xfId="21023" xr:uid="{00000000-0005-0000-0000-000010520000}"/>
    <cellStyle name="Normal 3 11 25" xfId="21024" xr:uid="{00000000-0005-0000-0000-000011520000}"/>
    <cellStyle name="Normal 3 11 3" xfId="21025" xr:uid="{00000000-0005-0000-0000-000012520000}"/>
    <cellStyle name="Normal 3 11 3 2" xfId="21026" xr:uid="{00000000-0005-0000-0000-000013520000}"/>
    <cellStyle name="Normal 3 11 3 3" xfId="21027" xr:uid="{00000000-0005-0000-0000-000014520000}"/>
    <cellStyle name="Normal 3 11 4" xfId="21028" xr:uid="{00000000-0005-0000-0000-000015520000}"/>
    <cellStyle name="Normal 3 11 4 2" xfId="21029" xr:uid="{00000000-0005-0000-0000-000016520000}"/>
    <cellStyle name="Normal 3 11 4 3" xfId="21030" xr:uid="{00000000-0005-0000-0000-000017520000}"/>
    <cellStyle name="Normal 3 11 5" xfId="21031" xr:uid="{00000000-0005-0000-0000-000018520000}"/>
    <cellStyle name="Normal 3 11 5 2" xfId="21032" xr:uid="{00000000-0005-0000-0000-000019520000}"/>
    <cellStyle name="Normal 3 11 5 3" xfId="21033" xr:uid="{00000000-0005-0000-0000-00001A520000}"/>
    <cellStyle name="Normal 3 11 6" xfId="21034" xr:uid="{00000000-0005-0000-0000-00001B520000}"/>
    <cellStyle name="Normal 3 11 6 2" xfId="21035" xr:uid="{00000000-0005-0000-0000-00001C520000}"/>
    <cellStyle name="Normal 3 11 6 3" xfId="21036" xr:uid="{00000000-0005-0000-0000-00001D520000}"/>
    <cellStyle name="Normal 3 11 7" xfId="21037" xr:uid="{00000000-0005-0000-0000-00001E520000}"/>
    <cellStyle name="Normal 3 11 7 2" xfId="21038" xr:uid="{00000000-0005-0000-0000-00001F520000}"/>
    <cellStyle name="Normal 3 11 7 3" xfId="21039" xr:uid="{00000000-0005-0000-0000-000020520000}"/>
    <cellStyle name="Normal 3 11 8" xfId="21040" xr:uid="{00000000-0005-0000-0000-000021520000}"/>
    <cellStyle name="Normal 3 11 8 2" xfId="21041" xr:uid="{00000000-0005-0000-0000-000022520000}"/>
    <cellStyle name="Normal 3 11 8 3" xfId="21042" xr:uid="{00000000-0005-0000-0000-000023520000}"/>
    <cellStyle name="Normal 3 11 9" xfId="21043" xr:uid="{00000000-0005-0000-0000-000024520000}"/>
    <cellStyle name="Normal 3 11 9 2" xfId="21044" xr:uid="{00000000-0005-0000-0000-000025520000}"/>
    <cellStyle name="Normal 3 11 9 3" xfId="21045" xr:uid="{00000000-0005-0000-0000-000026520000}"/>
    <cellStyle name="Normal 3 12" xfId="21046" xr:uid="{00000000-0005-0000-0000-000027520000}"/>
    <cellStyle name="Normal 3 12 10" xfId="21047" xr:uid="{00000000-0005-0000-0000-000028520000}"/>
    <cellStyle name="Normal 3 12 10 2" xfId="21048" xr:uid="{00000000-0005-0000-0000-000029520000}"/>
    <cellStyle name="Normal 3 12 10 3" xfId="21049" xr:uid="{00000000-0005-0000-0000-00002A520000}"/>
    <cellStyle name="Normal 3 12 11" xfId="21050" xr:uid="{00000000-0005-0000-0000-00002B520000}"/>
    <cellStyle name="Normal 3 12 11 2" xfId="21051" xr:uid="{00000000-0005-0000-0000-00002C520000}"/>
    <cellStyle name="Normal 3 12 11 3" xfId="21052" xr:uid="{00000000-0005-0000-0000-00002D520000}"/>
    <cellStyle name="Normal 3 12 12" xfId="21053" xr:uid="{00000000-0005-0000-0000-00002E520000}"/>
    <cellStyle name="Normal 3 12 12 2" xfId="21054" xr:uid="{00000000-0005-0000-0000-00002F520000}"/>
    <cellStyle name="Normal 3 12 12 3" xfId="21055" xr:uid="{00000000-0005-0000-0000-000030520000}"/>
    <cellStyle name="Normal 3 12 13" xfId="21056" xr:uid="{00000000-0005-0000-0000-000031520000}"/>
    <cellStyle name="Normal 3 12 13 2" xfId="21057" xr:uid="{00000000-0005-0000-0000-000032520000}"/>
    <cellStyle name="Normal 3 12 13 3" xfId="21058" xr:uid="{00000000-0005-0000-0000-000033520000}"/>
    <cellStyle name="Normal 3 12 14" xfId="21059" xr:uid="{00000000-0005-0000-0000-000034520000}"/>
    <cellStyle name="Normal 3 12 14 2" xfId="21060" xr:uid="{00000000-0005-0000-0000-000035520000}"/>
    <cellStyle name="Normal 3 12 14 3" xfId="21061" xr:uid="{00000000-0005-0000-0000-000036520000}"/>
    <cellStyle name="Normal 3 12 15" xfId="21062" xr:uid="{00000000-0005-0000-0000-000037520000}"/>
    <cellStyle name="Normal 3 12 15 2" xfId="21063" xr:uid="{00000000-0005-0000-0000-000038520000}"/>
    <cellStyle name="Normal 3 12 15 3" xfId="21064" xr:uid="{00000000-0005-0000-0000-000039520000}"/>
    <cellStyle name="Normal 3 12 16" xfId="21065" xr:uid="{00000000-0005-0000-0000-00003A520000}"/>
    <cellStyle name="Normal 3 12 16 2" xfId="21066" xr:uid="{00000000-0005-0000-0000-00003B520000}"/>
    <cellStyle name="Normal 3 12 16 3" xfId="21067" xr:uid="{00000000-0005-0000-0000-00003C520000}"/>
    <cellStyle name="Normal 3 12 17" xfId="21068" xr:uid="{00000000-0005-0000-0000-00003D520000}"/>
    <cellStyle name="Normal 3 12 17 2" xfId="21069" xr:uid="{00000000-0005-0000-0000-00003E520000}"/>
    <cellStyle name="Normal 3 12 17 3" xfId="21070" xr:uid="{00000000-0005-0000-0000-00003F520000}"/>
    <cellStyle name="Normal 3 12 18" xfId="21071" xr:uid="{00000000-0005-0000-0000-000040520000}"/>
    <cellStyle name="Normal 3 12 18 2" xfId="21072" xr:uid="{00000000-0005-0000-0000-000041520000}"/>
    <cellStyle name="Normal 3 12 18 3" xfId="21073" xr:uid="{00000000-0005-0000-0000-000042520000}"/>
    <cellStyle name="Normal 3 12 19" xfId="21074" xr:uid="{00000000-0005-0000-0000-000043520000}"/>
    <cellStyle name="Normal 3 12 19 2" xfId="21075" xr:uid="{00000000-0005-0000-0000-000044520000}"/>
    <cellStyle name="Normal 3 12 19 3" xfId="21076" xr:uid="{00000000-0005-0000-0000-000045520000}"/>
    <cellStyle name="Normal 3 12 2" xfId="21077" xr:uid="{00000000-0005-0000-0000-000046520000}"/>
    <cellStyle name="Normal 3 12 2 2" xfId="21078" xr:uid="{00000000-0005-0000-0000-000047520000}"/>
    <cellStyle name="Normal 3 12 2 3" xfId="21079" xr:uid="{00000000-0005-0000-0000-000048520000}"/>
    <cellStyle name="Normal 3 12 20" xfId="21080" xr:uid="{00000000-0005-0000-0000-000049520000}"/>
    <cellStyle name="Normal 3 12 20 2" xfId="21081" xr:uid="{00000000-0005-0000-0000-00004A520000}"/>
    <cellStyle name="Normal 3 12 20 3" xfId="21082" xr:uid="{00000000-0005-0000-0000-00004B520000}"/>
    <cellStyle name="Normal 3 12 21" xfId="21083" xr:uid="{00000000-0005-0000-0000-00004C520000}"/>
    <cellStyle name="Normal 3 12 21 2" xfId="21084" xr:uid="{00000000-0005-0000-0000-00004D520000}"/>
    <cellStyle name="Normal 3 12 21 3" xfId="21085" xr:uid="{00000000-0005-0000-0000-00004E520000}"/>
    <cellStyle name="Normal 3 12 22" xfId="21086" xr:uid="{00000000-0005-0000-0000-00004F520000}"/>
    <cellStyle name="Normal 3 12 22 2" xfId="21087" xr:uid="{00000000-0005-0000-0000-000050520000}"/>
    <cellStyle name="Normal 3 12 22 3" xfId="21088" xr:uid="{00000000-0005-0000-0000-000051520000}"/>
    <cellStyle name="Normal 3 12 23" xfId="21089" xr:uid="{00000000-0005-0000-0000-000052520000}"/>
    <cellStyle name="Normal 3 12 23 2" xfId="21090" xr:uid="{00000000-0005-0000-0000-000053520000}"/>
    <cellStyle name="Normal 3 12 23 3" xfId="21091" xr:uid="{00000000-0005-0000-0000-000054520000}"/>
    <cellStyle name="Normal 3 12 24" xfId="21092" xr:uid="{00000000-0005-0000-0000-000055520000}"/>
    <cellStyle name="Normal 3 12 25" xfId="21093" xr:uid="{00000000-0005-0000-0000-000056520000}"/>
    <cellStyle name="Normal 3 12 3" xfId="21094" xr:uid="{00000000-0005-0000-0000-000057520000}"/>
    <cellStyle name="Normal 3 12 3 2" xfId="21095" xr:uid="{00000000-0005-0000-0000-000058520000}"/>
    <cellStyle name="Normal 3 12 3 3" xfId="21096" xr:uid="{00000000-0005-0000-0000-000059520000}"/>
    <cellStyle name="Normal 3 12 4" xfId="21097" xr:uid="{00000000-0005-0000-0000-00005A520000}"/>
    <cellStyle name="Normal 3 12 4 2" xfId="21098" xr:uid="{00000000-0005-0000-0000-00005B520000}"/>
    <cellStyle name="Normal 3 12 4 3" xfId="21099" xr:uid="{00000000-0005-0000-0000-00005C520000}"/>
    <cellStyle name="Normal 3 12 5" xfId="21100" xr:uid="{00000000-0005-0000-0000-00005D520000}"/>
    <cellStyle name="Normal 3 12 5 2" xfId="21101" xr:uid="{00000000-0005-0000-0000-00005E520000}"/>
    <cellStyle name="Normal 3 12 5 3" xfId="21102" xr:uid="{00000000-0005-0000-0000-00005F520000}"/>
    <cellStyle name="Normal 3 12 6" xfId="21103" xr:uid="{00000000-0005-0000-0000-000060520000}"/>
    <cellStyle name="Normal 3 12 6 2" xfId="21104" xr:uid="{00000000-0005-0000-0000-000061520000}"/>
    <cellStyle name="Normal 3 12 6 3" xfId="21105" xr:uid="{00000000-0005-0000-0000-000062520000}"/>
    <cellStyle name="Normal 3 12 7" xfId="21106" xr:uid="{00000000-0005-0000-0000-000063520000}"/>
    <cellStyle name="Normal 3 12 7 2" xfId="21107" xr:uid="{00000000-0005-0000-0000-000064520000}"/>
    <cellStyle name="Normal 3 12 7 3" xfId="21108" xr:uid="{00000000-0005-0000-0000-000065520000}"/>
    <cellStyle name="Normal 3 12 8" xfId="21109" xr:uid="{00000000-0005-0000-0000-000066520000}"/>
    <cellStyle name="Normal 3 12 8 2" xfId="21110" xr:uid="{00000000-0005-0000-0000-000067520000}"/>
    <cellStyle name="Normal 3 12 8 3" xfId="21111" xr:uid="{00000000-0005-0000-0000-000068520000}"/>
    <cellStyle name="Normal 3 12 9" xfId="21112" xr:uid="{00000000-0005-0000-0000-000069520000}"/>
    <cellStyle name="Normal 3 12 9 2" xfId="21113" xr:uid="{00000000-0005-0000-0000-00006A520000}"/>
    <cellStyle name="Normal 3 12 9 3" xfId="21114" xr:uid="{00000000-0005-0000-0000-00006B520000}"/>
    <cellStyle name="Normal 3 13" xfId="21115" xr:uid="{00000000-0005-0000-0000-00006C520000}"/>
    <cellStyle name="Normal 3 13 10" xfId="21116" xr:uid="{00000000-0005-0000-0000-00006D520000}"/>
    <cellStyle name="Normal 3 13 10 2" xfId="21117" xr:uid="{00000000-0005-0000-0000-00006E520000}"/>
    <cellStyle name="Normal 3 13 10 3" xfId="21118" xr:uid="{00000000-0005-0000-0000-00006F520000}"/>
    <cellStyle name="Normal 3 13 11" xfId="21119" xr:uid="{00000000-0005-0000-0000-000070520000}"/>
    <cellStyle name="Normal 3 13 11 2" xfId="21120" xr:uid="{00000000-0005-0000-0000-000071520000}"/>
    <cellStyle name="Normal 3 13 11 3" xfId="21121" xr:uid="{00000000-0005-0000-0000-000072520000}"/>
    <cellStyle name="Normal 3 13 12" xfId="21122" xr:uid="{00000000-0005-0000-0000-000073520000}"/>
    <cellStyle name="Normal 3 13 12 2" xfId="21123" xr:uid="{00000000-0005-0000-0000-000074520000}"/>
    <cellStyle name="Normal 3 13 12 3" xfId="21124" xr:uid="{00000000-0005-0000-0000-000075520000}"/>
    <cellStyle name="Normal 3 13 13" xfId="21125" xr:uid="{00000000-0005-0000-0000-000076520000}"/>
    <cellStyle name="Normal 3 13 13 2" xfId="21126" xr:uid="{00000000-0005-0000-0000-000077520000}"/>
    <cellStyle name="Normal 3 13 13 3" xfId="21127" xr:uid="{00000000-0005-0000-0000-000078520000}"/>
    <cellStyle name="Normal 3 13 14" xfId="21128" xr:uid="{00000000-0005-0000-0000-000079520000}"/>
    <cellStyle name="Normal 3 13 14 2" xfId="21129" xr:uid="{00000000-0005-0000-0000-00007A520000}"/>
    <cellStyle name="Normal 3 13 14 3" xfId="21130" xr:uid="{00000000-0005-0000-0000-00007B520000}"/>
    <cellStyle name="Normal 3 13 15" xfId="21131" xr:uid="{00000000-0005-0000-0000-00007C520000}"/>
    <cellStyle name="Normal 3 13 15 2" xfId="21132" xr:uid="{00000000-0005-0000-0000-00007D520000}"/>
    <cellStyle name="Normal 3 13 15 3" xfId="21133" xr:uid="{00000000-0005-0000-0000-00007E520000}"/>
    <cellStyle name="Normal 3 13 16" xfId="21134" xr:uid="{00000000-0005-0000-0000-00007F520000}"/>
    <cellStyle name="Normal 3 13 16 2" xfId="21135" xr:uid="{00000000-0005-0000-0000-000080520000}"/>
    <cellStyle name="Normal 3 13 16 3" xfId="21136" xr:uid="{00000000-0005-0000-0000-000081520000}"/>
    <cellStyle name="Normal 3 13 17" xfId="21137" xr:uid="{00000000-0005-0000-0000-000082520000}"/>
    <cellStyle name="Normal 3 13 17 2" xfId="21138" xr:uid="{00000000-0005-0000-0000-000083520000}"/>
    <cellStyle name="Normal 3 13 17 3" xfId="21139" xr:uid="{00000000-0005-0000-0000-000084520000}"/>
    <cellStyle name="Normal 3 13 18" xfId="21140" xr:uid="{00000000-0005-0000-0000-000085520000}"/>
    <cellStyle name="Normal 3 13 18 2" xfId="21141" xr:uid="{00000000-0005-0000-0000-000086520000}"/>
    <cellStyle name="Normal 3 13 18 3" xfId="21142" xr:uid="{00000000-0005-0000-0000-000087520000}"/>
    <cellStyle name="Normal 3 13 19" xfId="21143" xr:uid="{00000000-0005-0000-0000-000088520000}"/>
    <cellStyle name="Normal 3 13 19 2" xfId="21144" xr:uid="{00000000-0005-0000-0000-000089520000}"/>
    <cellStyle name="Normal 3 13 19 3" xfId="21145" xr:uid="{00000000-0005-0000-0000-00008A520000}"/>
    <cellStyle name="Normal 3 13 2" xfId="21146" xr:uid="{00000000-0005-0000-0000-00008B520000}"/>
    <cellStyle name="Normal 3 13 2 2" xfId="21147" xr:uid="{00000000-0005-0000-0000-00008C520000}"/>
    <cellStyle name="Normal 3 13 2 3" xfId="21148" xr:uid="{00000000-0005-0000-0000-00008D520000}"/>
    <cellStyle name="Normal 3 13 20" xfId="21149" xr:uid="{00000000-0005-0000-0000-00008E520000}"/>
    <cellStyle name="Normal 3 13 20 2" xfId="21150" xr:uid="{00000000-0005-0000-0000-00008F520000}"/>
    <cellStyle name="Normal 3 13 20 3" xfId="21151" xr:uid="{00000000-0005-0000-0000-000090520000}"/>
    <cellStyle name="Normal 3 13 21" xfId="21152" xr:uid="{00000000-0005-0000-0000-000091520000}"/>
    <cellStyle name="Normal 3 13 21 2" xfId="21153" xr:uid="{00000000-0005-0000-0000-000092520000}"/>
    <cellStyle name="Normal 3 13 21 3" xfId="21154" xr:uid="{00000000-0005-0000-0000-000093520000}"/>
    <cellStyle name="Normal 3 13 22" xfId="21155" xr:uid="{00000000-0005-0000-0000-000094520000}"/>
    <cellStyle name="Normal 3 13 22 2" xfId="21156" xr:uid="{00000000-0005-0000-0000-000095520000}"/>
    <cellStyle name="Normal 3 13 22 3" xfId="21157" xr:uid="{00000000-0005-0000-0000-000096520000}"/>
    <cellStyle name="Normal 3 13 23" xfId="21158" xr:uid="{00000000-0005-0000-0000-000097520000}"/>
    <cellStyle name="Normal 3 13 23 2" xfId="21159" xr:uid="{00000000-0005-0000-0000-000098520000}"/>
    <cellStyle name="Normal 3 13 23 3" xfId="21160" xr:uid="{00000000-0005-0000-0000-000099520000}"/>
    <cellStyle name="Normal 3 13 24" xfId="21161" xr:uid="{00000000-0005-0000-0000-00009A520000}"/>
    <cellStyle name="Normal 3 13 25" xfId="21162" xr:uid="{00000000-0005-0000-0000-00009B520000}"/>
    <cellStyle name="Normal 3 13 3" xfId="21163" xr:uid="{00000000-0005-0000-0000-00009C520000}"/>
    <cellStyle name="Normal 3 13 3 2" xfId="21164" xr:uid="{00000000-0005-0000-0000-00009D520000}"/>
    <cellStyle name="Normal 3 13 3 3" xfId="21165" xr:uid="{00000000-0005-0000-0000-00009E520000}"/>
    <cellStyle name="Normal 3 13 4" xfId="21166" xr:uid="{00000000-0005-0000-0000-00009F520000}"/>
    <cellStyle name="Normal 3 13 4 2" xfId="21167" xr:uid="{00000000-0005-0000-0000-0000A0520000}"/>
    <cellStyle name="Normal 3 13 4 3" xfId="21168" xr:uid="{00000000-0005-0000-0000-0000A1520000}"/>
    <cellStyle name="Normal 3 13 5" xfId="21169" xr:uid="{00000000-0005-0000-0000-0000A2520000}"/>
    <cellStyle name="Normal 3 13 5 2" xfId="21170" xr:uid="{00000000-0005-0000-0000-0000A3520000}"/>
    <cellStyle name="Normal 3 13 5 3" xfId="21171" xr:uid="{00000000-0005-0000-0000-0000A4520000}"/>
    <cellStyle name="Normal 3 13 6" xfId="21172" xr:uid="{00000000-0005-0000-0000-0000A5520000}"/>
    <cellStyle name="Normal 3 13 6 2" xfId="21173" xr:uid="{00000000-0005-0000-0000-0000A6520000}"/>
    <cellStyle name="Normal 3 13 6 3" xfId="21174" xr:uid="{00000000-0005-0000-0000-0000A7520000}"/>
    <cellStyle name="Normal 3 13 7" xfId="21175" xr:uid="{00000000-0005-0000-0000-0000A8520000}"/>
    <cellStyle name="Normal 3 13 7 2" xfId="21176" xr:uid="{00000000-0005-0000-0000-0000A9520000}"/>
    <cellStyle name="Normal 3 13 7 3" xfId="21177" xr:uid="{00000000-0005-0000-0000-0000AA520000}"/>
    <cellStyle name="Normal 3 13 8" xfId="21178" xr:uid="{00000000-0005-0000-0000-0000AB520000}"/>
    <cellStyle name="Normal 3 13 8 2" xfId="21179" xr:uid="{00000000-0005-0000-0000-0000AC520000}"/>
    <cellStyle name="Normal 3 13 8 3" xfId="21180" xr:uid="{00000000-0005-0000-0000-0000AD520000}"/>
    <cellStyle name="Normal 3 13 9" xfId="21181" xr:uid="{00000000-0005-0000-0000-0000AE520000}"/>
    <cellStyle name="Normal 3 13 9 2" xfId="21182" xr:uid="{00000000-0005-0000-0000-0000AF520000}"/>
    <cellStyle name="Normal 3 13 9 3" xfId="21183" xr:uid="{00000000-0005-0000-0000-0000B0520000}"/>
    <cellStyle name="Normal 3 14" xfId="21184" xr:uid="{00000000-0005-0000-0000-0000B1520000}"/>
    <cellStyle name="Normal 3 14 10" xfId="21185" xr:uid="{00000000-0005-0000-0000-0000B2520000}"/>
    <cellStyle name="Normal 3 14 10 2" xfId="21186" xr:uid="{00000000-0005-0000-0000-0000B3520000}"/>
    <cellStyle name="Normal 3 14 10 3" xfId="21187" xr:uid="{00000000-0005-0000-0000-0000B4520000}"/>
    <cellStyle name="Normal 3 14 11" xfId="21188" xr:uid="{00000000-0005-0000-0000-0000B5520000}"/>
    <cellStyle name="Normal 3 14 11 2" xfId="21189" xr:uid="{00000000-0005-0000-0000-0000B6520000}"/>
    <cellStyle name="Normal 3 14 11 3" xfId="21190" xr:uid="{00000000-0005-0000-0000-0000B7520000}"/>
    <cellStyle name="Normal 3 14 12" xfId="21191" xr:uid="{00000000-0005-0000-0000-0000B8520000}"/>
    <cellStyle name="Normal 3 14 12 2" xfId="21192" xr:uid="{00000000-0005-0000-0000-0000B9520000}"/>
    <cellStyle name="Normal 3 14 12 3" xfId="21193" xr:uid="{00000000-0005-0000-0000-0000BA520000}"/>
    <cellStyle name="Normal 3 14 13" xfId="21194" xr:uid="{00000000-0005-0000-0000-0000BB520000}"/>
    <cellStyle name="Normal 3 14 13 2" xfId="21195" xr:uid="{00000000-0005-0000-0000-0000BC520000}"/>
    <cellStyle name="Normal 3 14 13 3" xfId="21196" xr:uid="{00000000-0005-0000-0000-0000BD520000}"/>
    <cellStyle name="Normal 3 14 14" xfId="21197" xr:uid="{00000000-0005-0000-0000-0000BE520000}"/>
    <cellStyle name="Normal 3 14 14 2" xfId="21198" xr:uid="{00000000-0005-0000-0000-0000BF520000}"/>
    <cellStyle name="Normal 3 14 14 3" xfId="21199" xr:uid="{00000000-0005-0000-0000-0000C0520000}"/>
    <cellStyle name="Normal 3 14 15" xfId="21200" xr:uid="{00000000-0005-0000-0000-0000C1520000}"/>
    <cellStyle name="Normal 3 14 15 2" xfId="21201" xr:uid="{00000000-0005-0000-0000-0000C2520000}"/>
    <cellStyle name="Normal 3 14 15 3" xfId="21202" xr:uid="{00000000-0005-0000-0000-0000C3520000}"/>
    <cellStyle name="Normal 3 14 16" xfId="21203" xr:uid="{00000000-0005-0000-0000-0000C4520000}"/>
    <cellStyle name="Normal 3 14 16 2" xfId="21204" xr:uid="{00000000-0005-0000-0000-0000C5520000}"/>
    <cellStyle name="Normal 3 14 16 3" xfId="21205" xr:uid="{00000000-0005-0000-0000-0000C6520000}"/>
    <cellStyle name="Normal 3 14 17" xfId="21206" xr:uid="{00000000-0005-0000-0000-0000C7520000}"/>
    <cellStyle name="Normal 3 14 17 2" xfId="21207" xr:uid="{00000000-0005-0000-0000-0000C8520000}"/>
    <cellStyle name="Normal 3 14 17 3" xfId="21208" xr:uid="{00000000-0005-0000-0000-0000C9520000}"/>
    <cellStyle name="Normal 3 14 18" xfId="21209" xr:uid="{00000000-0005-0000-0000-0000CA520000}"/>
    <cellStyle name="Normal 3 14 18 2" xfId="21210" xr:uid="{00000000-0005-0000-0000-0000CB520000}"/>
    <cellStyle name="Normal 3 14 18 3" xfId="21211" xr:uid="{00000000-0005-0000-0000-0000CC520000}"/>
    <cellStyle name="Normal 3 14 19" xfId="21212" xr:uid="{00000000-0005-0000-0000-0000CD520000}"/>
    <cellStyle name="Normal 3 14 19 2" xfId="21213" xr:uid="{00000000-0005-0000-0000-0000CE520000}"/>
    <cellStyle name="Normal 3 14 19 3" xfId="21214" xr:uid="{00000000-0005-0000-0000-0000CF520000}"/>
    <cellStyle name="Normal 3 14 2" xfId="21215" xr:uid="{00000000-0005-0000-0000-0000D0520000}"/>
    <cellStyle name="Normal 3 14 2 2" xfId="21216" xr:uid="{00000000-0005-0000-0000-0000D1520000}"/>
    <cellStyle name="Normal 3 14 2 3" xfId="21217" xr:uid="{00000000-0005-0000-0000-0000D2520000}"/>
    <cellStyle name="Normal 3 14 20" xfId="21218" xr:uid="{00000000-0005-0000-0000-0000D3520000}"/>
    <cellStyle name="Normal 3 14 20 2" xfId="21219" xr:uid="{00000000-0005-0000-0000-0000D4520000}"/>
    <cellStyle name="Normal 3 14 20 3" xfId="21220" xr:uid="{00000000-0005-0000-0000-0000D5520000}"/>
    <cellStyle name="Normal 3 14 21" xfId="21221" xr:uid="{00000000-0005-0000-0000-0000D6520000}"/>
    <cellStyle name="Normal 3 14 21 2" xfId="21222" xr:uid="{00000000-0005-0000-0000-0000D7520000}"/>
    <cellStyle name="Normal 3 14 21 3" xfId="21223" xr:uid="{00000000-0005-0000-0000-0000D8520000}"/>
    <cellStyle name="Normal 3 14 22" xfId="21224" xr:uid="{00000000-0005-0000-0000-0000D9520000}"/>
    <cellStyle name="Normal 3 14 22 2" xfId="21225" xr:uid="{00000000-0005-0000-0000-0000DA520000}"/>
    <cellStyle name="Normal 3 14 22 3" xfId="21226" xr:uid="{00000000-0005-0000-0000-0000DB520000}"/>
    <cellStyle name="Normal 3 14 23" xfId="21227" xr:uid="{00000000-0005-0000-0000-0000DC520000}"/>
    <cellStyle name="Normal 3 14 23 2" xfId="21228" xr:uid="{00000000-0005-0000-0000-0000DD520000}"/>
    <cellStyle name="Normal 3 14 23 3" xfId="21229" xr:uid="{00000000-0005-0000-0000-0000DE520000}"/>
    <cellStyle name="Normal 3 14 24" xfId="21230" xr:uid="{00000000-0005-0000-0000-0000DF520000}"/>
    <cellStyle name="Normal 3 14 25" xfId="21231" xr:uid="{00000000-0005-0000-0000-0000E0520000}"/>
    <cellStyle name="Normal 3 14 3" xfId="21232" xr:uid="{00000000-0005-0000-0000-0000E1520000}"/>
    <cellStyle name="Normal 3 14 3 2" xfId="21233" xr:uid="{00000000-0005-0000-0000-0000E2520000}"/>
    <cellStyle name="Normal 3 14 3 3" xfId="21234" xr:uid="{00000000-0005-0000-0000-0000E3520000}"/>
    <cellStyle name="Normal 3 14 4" xfId="21235" xr:uid="{00000000-0005-0000-0000-0000E4520000}"/>
    <cellStyle name="Normal 3 14 4 2" xfId="21236" xr:uid="{00000000-0005-0000-0000-0000E5520000}"/>
    <cellStyle name="Normal 3 14 4 3" xfId="21237" xr:uid="{00000000-0005-0000-0000-0000E6520000}"/>
    <cellStyle name="Normal 3 14 5" xfId="21238" xr:uid="{00000000-0005-0000-0000-0000E7520000}"/>
    <cellStyle name="Normal 3 14 5 2" xfId="21239" xr:uid="{00000000-0005-0000-0000-0000E8520000}"/>
    <cellStyle name="Normal 3 14 5 3" xfId="21240" xr:uid="{00000000-0005-0000-0000-0000E9520000}"/>
    <cellStyle name="Normal 3 14 6" xfId="21241" xr:uid="{00000000-0005-0000-0000-0000EA520000}"/>
    <cellStyle name="Normal 3 14 6 2" xfId="21242" xr:uid="{00000000-0005-0000-0000-0000EB520000}"/>
    <cellStyle name="Normal 3 14 6 3" xfId="21243" xr:uid="{00000000-0005-0000-0000-0000EC520000}"/>
    <cellStyle name="Normal 3 14 7" xfId="21244" xr:uid="{00000000-0005-0000-0000-0000ED520000}"/>
    <cellStyle name="Normal 3 14 7 2" xfId="21245" xr:uid="{00000000-0005-0000-0000-0000EE520000}"/>
    <cellStyle name="Normal 3 14 7 3" xfId="21246" xr:uid="{00000000-0005-0000-0000-0000EF520000}"/>
    <cellStyle name="Normal 3 14 8" xfId="21247" xr:uid="{00000000-0005-0000-0000-0000F0520000}"/>
    <cellStyle name="Normal 3 14 8 2" xfId="21248" xr:uid="{00000000-0005-0000-0000-0000F1520000}"/>
    <cellStyle name="Normal 3 14 8 3" xfId="21249" xr:uid="{00000000-0005-0000-0000-0000F2520000}"/>
    <cellStyle name="Normal 3 14 9" xfId="21250" xr:uid="{00000000-0005-0000-0000-0000F3520000}"/>
    <cellStyle name="Normal 3 14 9 2" xfId="21251" xr:uid="{00000000-0005-0000-0000-0000F4520000}"/>
    <cellStyle name="Normal 3 14 9 3" xfId="21252" xr:uid="{00000000-0005-0000-0000-0000F5520000}"/>
    <cellStyle name="Normal 3 15" xfId="21253" xr:uid="{00000000-0005-0000-0000-0000F6520000}"/>
    <cellStyle name="Normal 3 15 10" xfId="21254" xr:uid="{00000000-0005-0000-0000-0000F7520000}"/>
    <cellStyle name="Normal 3 15 10 2" xfId="21255" xr:uid="{00000000-0005-0000-0000-0000F8520000}"/>
    <cellStyle name="Normal 3 15 10 3" xfId="21256" xr:uid="{00000000-0005-0000-0000-0000F9520000}"/>
    <cellStyle name="Normal 3 15 11" xfId="21257" xr:uid="{00000000-0005-0000-0000-0000FA520000}"/>
    <cellStyle name="Normal 3 15 11 2" xfId="21258" xr:uid="{00000000-0005-0000-0000-0000FB520000}"/>
    <cellStyle name="Normal 3 15 11 3" xfId="21259" xr:uid="{00000000-0005-0000-0000-0000FC520000}"/>
    <cellStyle name="Normal 3 15 12" xfId="21260" xr:uid="{00000000-0005-0000-0000-0000FD520000}"/>
    <cellStyle name="Normal 3 15 12 2" xfId="21261" xr:uid="{00000000-0005-0000-0000-0000FE520000}"/>
    <cellStyle name="Normal 3 15 12 3" xfId="21262" xr:uid="{00000000-0005-0000-0000-0000FF520000}"/>
    <cellStyle name="Normal 3 15 13" xfId="21263" xr:uid="{00000000-0005-0000-0000-000000530000}"/>
    <cellStyle name="Normal 3 15 13 2" xfId="21264" xr:uid="{00000000-0005-0000-0000-000001530000}"/>
    <cellStyle name="Normal 3 15 13 3" xfId="21265" xr:uid="{00000000-0005-0000-0000-000002530000}"/>
    <cellStyle name="Normal 3 15 14" xfId="21266" xr:uid="{00000000-0005-0000-0000-000003530000}"/>
    <cellStyle name="Normal 3 15 14 2" xfId="21267" xr:uid="{00000000-0005-0000-0000-000004530000}"/>
    <cellStyle name="Normal 3 15 14 3" xfId="21268" xr:uid="{00000000-0005-0000-0000-000005530000}"/>
    <cellStyle name="Normal 3 15 15" xfId="21269" xr:uid="{00000000-0005-0000-0000-000006530000}"/>
    <cellStyle name="Normal 3 15 15 2" xfId="21270" xr:uid="{00000000-0005-0000-0000-000007530000}"/>
    <cellStyle name="Normal 3 15 15 3" xfId="21271" xr:uid="{00000000-0005-0000-0000-000008530000}"/>
    <cellStyle name="Normal 3 15 16" xfId="21272" xr:uid="{00000000-0005-0000-0000-000009530000}"/>
    <cellStyle name="Normal 3 15 16 2" xfId="21273" xr:uid="{00000000-0005-0000-0000-00000A530000}"/>
    <cellStyle name="Normal 3 15 16 3" xfId="21274" xr:uid="{00000000-0005-0000-0000-00000B530000}"/>
    <cellStyle name="Normal 3 15 17" xfId="21275" xr:uid="{00000000-0005-0000-0000-00000C530000}"/>
    <cellStyle name="Normal 3 15 17 2" xfId="21276" xr:uid="{00000000-0005-0000-0000-00000D530000}"/>
    <cellStyle name="Normal 3 15 17 3" xfId="21277" xr:uid="{00000000-0005-0000-0000-00000E530000}"/>
    <cellStyle name="Normal 3 15 18" xfId="21278" xr:uid="{00000000-0005-0000-0000-00000F530000}"/>
    <cellStyle name="Normal 3 15 18 2" xfId="21279" xr:uid="{00000000-0005-0000-0000-000010530000}"/>
    <cellStyle name="Normal 3 15 18 3" xfId="21280" xr:uid="{00000000-0005-0000-0000-000011530000}"/>
    <cellStyle name="Normal 3 15 19" xfId="21281" xr:uid="{00000000-0005-0000-0000-000012530000}"/>
    <cellStyle name="Normal 3 15 19 2" xfId="21282" xr:uid="{00000000-0005-0000-0000-000013530000}"/>
    <cellStyle name="Normal 3 15 19 3" xfId="21283" xr:uid="{00000000-0005-0000-0000-000014530000}"/>
    <cellStyle name="Normal 3 15 2" xfId="21284" xr:uid="{00000000-0005-0000-0000-000015530000}"/>
    <cellStyle name="Normal 3 15 2 2" xfId="21285" xr:uid="{00000000-0005-0000-0000-000016530000}"/>
    <cellStyle name="Normal 3 15 2 3" xfId="21286" xr:uid="{00000000-0005-0000-0000-000017530000}"/>
    <cellStyle name="Normal 3 15 20" xfId="21287" xr:uid="{00000000-0005-0000-0000-000018530000}"/>
    <cellStyle name="Normal 3 15 20 2" xfId="21288" xr:uid="{00000000-0005-0000-0000-000019530000}"/>
    <cellStyle name="Normal 3 15 20 3" xfId="21289" xr:uid="{00000000-0005-0000-0000-00001A530000}"/>
    <cellStyle name="Normal 3 15 21" xfId="21290" xr:uid="{00000000-0005-0000-0000-00001B530000}"/>
    <cellStyle name="Normal 3 15 21 2" xfId="21291" xr:uid="{00000000-0005-0000-0000-00001C530000}"/>
    <cellStyle name="Normal 3 15 21 3" xfId="21292" xr:uid="{00000000-0005-0000-0000-00001D530000}"/>
    <cellStyle name="Normal 3 15 22" xfId="21293" xr:uid="{00000000-0005-0000-0000-00001E530000}"/>
    <cellStyle name="Normal 3 15 22 2" xfId="21294" xr:uid="{00000000-0005-0000-0000-00001F530000}"/>
    <cellStyle name="Normal 3 15 22 3" xfId="21295" xr:uid="{00000000-0005-0000-0000-000020530000}"/>
    <cellStyle name="Normal 3 15 23" xfId="21296" xr:uid="{00000000-0005-0000-0000-000021530000}"/>
    <cellStyle name="Normal 3 15 23 2" xfId="21297" xr:uid="{00000000-0005-0000-0000-000022530000}"/>
    <cellStyle name="Normal 3 15 23 3" xfId="21298" xr:uid="{00000000-0005-0000-0000-000023530000}"/>
    <cellStyle name="Normal 3 15 24" xfId="21299" xr:uid="{00000000-0005-0000-0000-000024530000}"/>
    <cellStyle name="Normal 3 15 25" xfId="21300" xr:uid="{00000000-0005-0000-0000-000025530000}"/>
    <cellStyle name="Normal 3 15 3" xfId="21301" xr:uid="{00000000-0005-0000-0000-000026530000}"/>
    <cellStyle name="Normal 3 15 3 2" xfId="21302" xr:uid="{00000000-0005-0000-0000-000027530000}"/>
    <cellStyle name="Normal 3 15 3 3" xfId="21303" xr:uid="{00000000-0005-0000-0000-000028530000}"/>
    <cellStyle name="Normal 3 15 4" xfId="21304" xr:uid="{00000000-0005-0000-0000-000029530000}"/>
    <cellStyle name="Normal 3 15 4 2" xfId="21305" xr:uid="{00000000-0005-0000-0000-00002A530000}"/>
    <cellStyle name="Normal 3 15 4 3" xfId="21306" xr:uid="{00000000-0005-0000-0000-00002B530000}"/>
    <cellStyle name="Normal 3 15 5" xfId="21307" xr:uid="{00000000-0005-0000-0000-00002C530000}"/>
    <cellStyle name="Normal 3 15 5 2" xfId="21308" xr:uid="{00000000-0005-0000-0000-00002D530000}"/>
    <cellStyle name="Normal 3 15 5 3" xfId="21309" xr:uid="{00000000-0005-0000-0000-00002E530000}"/>
    <cellStyle name="Normal 3 15 6" xfId="21310" xr:uid="{00000000-0005-0000-0000-00002F530000}"/>
    <cellStyle name="Normal 3 15 6 2" xfId="21311" xr:uid="{00000000-0005-0000-0000-000030530000}"/>
    <cellStyle name="Normal 3 15 6 3" xfId="21312" xr:uid="{00000000-0005-0000-0000-000031530000}"/>
    <cellStyle name="Normal 3 15 7" xfId="21313" xr:uid="{00000000-0005-0000-0000-000032530000}"/>
    <cellStyle name="Normal 3 15 7 2" xfId="21314" xr:uid="{00000000-0005-0000-0000-000033530000}"/>
    <cellStyle name="Normal 3 15 7 3" xfId="21315" xr:uid="{00000000-0005-0000-0000-000034530000}"/>
    <cellStyle name="Normal 3 15 8" xfId="21316" xr:uid="{00000000-0005-0000-0000-000035530000}"/>
    <cellStyle name="Normal 3 15 8 2" xfId="21317" xr:uid="{00000000-0005-0000-0000-000036530000}"/>
    <cellStyle name="Normal 3 15 8 3" xfId="21318" xr:uid="{00000000-0005-0000-0000-000037530000}"/>
    <cellStyle name="Normal 3 15 9" xfId="21319" xr:uid="{00000000-0005-0000-0000-000038530000}"/>
    <cellStyle name="Normal 3 15 9 2" xfId="21320" xr:uid="{00000000-0005-0000-0000-000039530000}"/>
    <cellStyle name="Normal 3 15 9 3" xfId="21321" xr:uid="{00000000-0005-0000-0000-00003A530000}"/>
    <cellStyle name="Normal 3 16" xfId="21322" xr:uid="{00000000-0005-0000-0000-00003B530000}"/>
    <cellStyle name="Normal 3 16 10" xfId="21323" xr:uid="{00000000-0005-0000-0000-00003C530000}"/>
    <cellStyle name="Normal 3 16 10 2" xfId="21324" xr:uid="{00000000-0005-0000-0000-00003D530000}"/>
    <cellStyle name="Normal 3 16 10 3" xfId="21325" xr:uid="{00000000-0005-0000-0000-00003E530000}"/>
    <cellStyle name="Normal 3 16 11" xfId="21326" xr:uid="{00000000-0005-0000-0000-00003F530000}"/>
    <cellStyle name="Normal 3 16 11 2" xfId="21327" xr:uid="{00000000-0005-0000-0000-000040530000}"/>
    <cellStyle name="Normal 3 16 11 3" xfId="21328" xr:uid="{00000000-0005-0000-0000-000041530000}"/>
    <cellStyle name="Normal 3 16 12" xfId="21329" xr:uid="{00000000-0005-0000-0000-000042530000}"/>
    <cellStyle name="Normal 3 16 12 2" xfId="21330" xr:uid="{00000000-0005-0000-0000-000043530000}"/>
    <cellStyle name="Normal 3 16 12 3" xfId="21331" xr:uid="{00000000-0005-0000-0000-000044530000}"/>
    <cellStyle name="Normal 3 16 13" xfId="21332" xr:uid="{00000000-0005-0000-0000-000045530000}"/>
    <cellStyle name="Normal 3 16 13 2" xfId="21333" xr:uid="{00000000-0005-0000-0000-000046530000}"/>
    <cellStyle name="Normal 3 16 13 3" xfId="21334" xr:uid="{00000000-0005-0000-0000-000047530000}"/>
    <cellStyle name="Normal 3 16 14" xfId="21335" xr:uid="{00000000-0005-0000-0000-000048530000}"/>
    <cellStyle name="Normal 3 16 14 2" xfId="21336" xr:uid="{00000000-0005-0000-0000-000049530000}"/>
    <cellStyle name="Normal 3 16 14 3" xfId="21337" xr:uid="{00000000-0005-0000-0000-00004A530000}"/>
    <cellStyle name="Normal 3 16 15" xfId="21338" xr:uid="{00000000-0005-0000-0000-00004B530000}"/>
    <cellStyle name="Normal 3 16 15 2" xfId="21339" xr:uid="{00000000-0005-0000-0000-00004C530000}"/>
    <cellStyle name="Normal 3 16 15 3" xfId="21340" xr:uid="{00000000-0005-0000-0000-00004D530000}"/>
    <cellStyle name="Normal 3 16 16" xfId="21341" xr:uid="{00000000-0005-0000-0000-00004E530000}"/>
    <cellStyle name="Normal 3 16 16 2" xfId="21342" xr:uid="{00000000-0005-0000-0000-00004F530000}"/>
    <cellStyle name="Normal 3 16 16 3" xfId="21343" xr:uid="{00000000-0005-0000-0000-000050530000}"/>
    <cellStyle name="Normal 3 16 17" xfId="21344" xr:uid="{00000000-0005-0000-0000-000051530000}"/>
    <cellStyle name="Normal 3 16 17 2" xfId="21345" xr:uid="{00000000-0005-0000-0000-000052530000}"/>
    <cellStyle name="Normal 3 16 17 3" xfId="21346" xr:uid="{00000000-0005-0000-0000-000053530000}"/>
    <cellStyle name="Normal 3 16 18" xfId="21347" xr:uid="{00000000-0005-0000-0000-000054530000}"/>
    <cellStyle name="Normal 3 16 18 2" xfId="21348" xr:uid="{00000000-0005-0000-0000-000055530000}"/>
    <cellStyle name="Normal 3 16 18 3" xfId="21349" xr:uid="{00000000-0005-0000-0000-000056530000}"/>
    <cellStyle name="Normal 3 16 19" xfId="21350" xr:uid="{00000000-0005-0000-0000-000057530000}"/>
    <cellStyle name="Normal 3 16 19 2" xfId="21351" xr:uid="{00000000-0005-0000-0000-000058530000}"/>
    <cellStyle name="Normal 3 16 19 3" xfId="21352" xr:uid="{00000000-0005-0000-0000-000059530000}"/>
    <cellStyle name="Normal 3 16 2" xfId="21353" xr:uid="{00000000-0005-0000-0000-00005A530000}"/>
    <cellStyle name="Normal 3 16 2 2" xfId="21354" xr:uid="{00000000-0005-0000-0000-00005B530000}"/>
    <cellStyle name="Normal 3 16 2 3" xfId="21355" xr:uid="{00000000-0005-0000-0000-00005C530000}"/>
    <cellStyle name="Normal 3 16 20" xfId="21356" xr:uid="{00000000-0005-0000-0000-00005D530000}"/>
    <cellStyle name="Normal 3 16 20 2" xfId="21357" xr:uid="{00000000-0005-0000-0000-00005E530000}"/>
    <cellStyle name="Normal 3 16 20 3" xfId="21358" xr:uid="{00000000-0005-0000-0000-00005F530000}"/>
    <cellStyle name="Normal 3 16 21" xfId="21359" xr:uid="{00000000-0005-0000-0000-000060530000}"/>
    <cellStyle name="Normal 3 16 21 2" xfId="21360" xr:uid="{00000000-0005-0000-0000-000061530000}"/>
    <cellStyle name="Normal 3 16 21 3" xfId="21361" xr:uid="{00000000-0005-0000-0000-000062530000}"/>
    <cellStyle name="Normal 3 16 22" xfId="21362" xr:uid="{00000000-0005-0000-0000-000063530000}"/>
    <cellStyle name="Normal 3 16 22 2" xfId="21363" xr:uid="{00000000-0005-0000-0000-000064530000}"/>
    <cellStyle name="Normal 3 16 22 3" xfId="21364" xr:uid="{00000000-0005-0000-0000-000065530000}"/>
    <cellStyle name="Normal 3 16 23" xfId="21365" xr:uid="{00000000-0005-0000-0000-000066530000}"/>
    <cellStyle name="Normal 3 16 23 2" xfId="21366" xr:uid="{00000000-0005-0000-0000-000067530000}"/>
    <cellStyle name="Normal 3 16 23 3" xfId="21367" xr:uid="{00000000-0005-0000-0000-000068530000}"/>
    <cellStyle name="Normal 3 16 24" xfId="21368" xr:uid="{00000000-0005-0000-0000-000069530000}"/>
    <cellStyle name="Normal 3 16 25" xfId="21369" xr:uid="{00000000-0005-0000-0000-00006A530000}"/>
    <cellStyle name="Normal 3 16 3" xfId="21370" xr:uid="{00000000-0005-0000-0000-00006B530000}"/>
    <cellStyle name="Normal 3 16 3 2" xfId="21371" xr:uid="{00000000-0005-0000-0000-00006C530000}"/>
    <cellStyle name="Normal 3 16 3 3" xfId="21372" xr:uid="{00000000-0005-0000-0000-00006D530000}"/>
    <cellStyle name="Normal 3 16 4" xfId="21373" xr:uid="{00000000-0005-0000-0000-00006E530000}"/>
    <cellStyle name="Normal 3 16 4 2" xfId="21374" xr:uid="{00000000-0005-0000-0000-00006F530000}"/>
    <cellStyle name="Normal 3 16 4 3" xfId="21375" xr:uid="{00000000-0005-0000-0000-000070530000}"/>
    <cellStyle name="Normal 3 16 5" xfId="21376" xr:uid="{00000000-0005-0000-0000-000071530000}"/>
    <cellStyle name="Normal 3 16 5 2" xfId="21377" xr:uid="{00000000-0005-0000-0000-000072530000}"/>
    <cellStyle name="Normal 3 16 5 3" xfId="21378" xr:uid="{00000000-0005-0000-0000-000073530000}"/>
    <cellStyle name="Normal 3 16 6" xfId="21379" xr:uid="{00000000-0005-0000-0000-000074530000}"/>
    <cellStyle name="Normal 3 16 6 2" xfId="21380" xr:uid="{00000000-0005-0000-0000-000075530000}"/>
    <cellStyle name="Normal 3 16 6 3" xfId="21381" xr:uid="{00000000-0005-0000-0000-000076530000}"/>
    <cellStyle name="Normal 3 16 7" xfId="21382" xr:uid="{00000000-0005-0000-0000-000077530000}"/>
    <cellStyle name="Normal 3 16 7 2" xfId="21383" xr:uid="{00000000-0005-0000-0000-000078530000}"/>
    <cellStyle name="Normal 3 16 7 3" xfId="21384" xr:uid="{00000000-0005-0000-0000-000079530000}"/>
    <cellStyle name="Normal 3 16 8" xfId="21385" xr:uid="{00000000-0005-0000-0000-00007A530000}"/>
    <cellStyle name="Normal 3 16 8 2" xfId="21386" xr:uid="{00000000-0005-0000-0000-00007B530000}"/>
    <cellStyle name="Normal 3 16 8 3" xfId="21387" xr:uid="{00000000-0005-0000-0000-00007C530000}"/>
    <cellStyle name="Normal 3 16 9" xfId="21388" xr:uid="{00000000-0005-0000-0000-00007D530000}"/>
    <cellStyle name="Normal 3 16 9 2" xfId="21389" xr:uid="{00000000-0005-0000-0000-00007E530000}"/>
    <cellStyle name="Normal 3 16 9 3" xfId="21390" xr:uid="{00000000-0005-0000-0000-00007F530000}"/>
    <cellStyle name="Normal 3 17" xfId="21391" xr:uid="{00000000-0005-0000-0000-000080530000}"/>
    <cellStyle name="Normal 3 17 10" xfId="21392" xr:uid="{00000000-0005-0000-0000-000081530000}"/>
    <cellStyle name="Normal 3 17 10 2" xfId="21393" xr:uid="{00000000-0005-0000-0000-000082530000}"/>
    <cellStyle name="Normal 3 17 10 3" xfId="21394" xr:uid="{00000000-0005-0000-0000-000083530000}"/>
    <cellStyle name="Normal 3 17 11" xfId="21395" xr:uid="{00000000-0005-0000-0000-000084530000}"/>
    <cellStyle name="Normal 3 17 11 2" xfId="21396" xr:uid="{00000000-0005-0000-0000-000085530000}"/>
    <cellStyle name="Normal 3 17 11 3" xfId="21397" xr:uid="{00000000-0005-0000-0000-000086530000}"/>
    <cellStyle name="Normal 3 17 12" xfId="21398" xr:uid="{00000000-0005-0000-0000-000087530000}"/>
    <cellStyle name="Normal 3 17 12 2" xfId="21399" xr:uid="{00000000-0005-0000-0000-000088530000}"/>
    <cellStyle name="Normal 3 17 12 3" xfId="21400" xr:uid="{00000000-0005-0000-0000-000089530000}"/>
    <cellStyle name="Normal 3 17 13" xfId="21401" xr:uid="{00000000-0005-0000-0000-00008A530000}"/>
    <cellStyle name="Normal 3 17 13 2" xfId="21402" xr:uid="{00000000-0005-0000-0000-00008B530000}"/>
    <cellStyle name="Normal 3 17 13 3" xfId="21403" xr:uid="{00000000-0005-0000-0000-00008C530000}"/>
    <cellStyle name="Normal 3 17 14" xfId="21404" xr:uid="{00000000-0005-0000-0000-00008D530000}"/>
    <cellStyle name="Normal 3 17 14 2" xfId="21405" xr:uid="{00000000-0005-0000-0000-00008E530000}"/>
    <cellStyle name="Normal 3 17 14 3" xfId="21406" xr:uid="{00000000-0005-0000-0000-00008F530000}"/>
    <cellStyle name="Normal 3 17 15" xfId="21407" xr:uid="{00000000-0005-0000-0000-000090530000}"/>
    <cellStyle name="Normal 3 17 15 2" xfId="21408" xr:uid="{00000000-0005-0000-0000-000091530000}"/>
    <cellStyle name="Normal 3 17 15 3" xfId="21409" xr:uid="{00000000-0005-0000-0000-000092530000}"/>
    <cellStyle name="Normal 3 17 16" xfId="21410" xr:uid="{00000000-0005-0000-0000-000093530000}"/>
    <cellStyle name="Normal 3 17 16 2" xfId="21411" xr:uid="{00000000-0005-0000-0000-000094530000}"/>
    <cellStyle name="Normal 3 17 16 3" xfId="21412" xr:uid="{00000000-0005-0000-0000-000095530000}"/>
    <cellStyle name="Normal 3 17 17" xfId="21413" xr:uid="{00000000-0005-0000-0000-000096530000}"/>
    <cellStyle name="Normal 3 17 17 2" xfId="21414" xr:uid="{00000000-0005-0000-0000-000097530000}"/>
    <cellStyle name="Normal 3 17 17 3" xfId="21415" xr:uid="{00000000-0005-0000-0000-000098530000}"/>
    <cellStyle name="Normal 3 17 18" xfId="21416" xr:uid="{00000000-0005-0000-0000-000099530000}"/>
    <cellStyle name="Normal 3 17 18 2" xfId="21417" xr:uid="{00000000-0005-0000-0000-00009A530000}"/>
    <cellStyle name="Normal 3 17 18 3" xfId="21418" xr:uid="{00000000-0005-0000-0000-00009B530000}"/>
    <cellStyle name="Normal 3 17 19" xfId="21419" xr:uid="{00000000-0005-0000-0000-00009C530000}"/>
    <cellStyle name="Normal 3 17 19 2" xfId="21420" xr:uid="{00000000-0005-0000-0000-00009D530000}"/>
    <cellStyle name="Normal 3 17 19 3" xfId="21421" xr:uid="{00000000-0005-0000-0000-00009E530000}"/>
    <cellStyle name="Normal 3 17 2" xfId="21422" xr:uid="{00000000-0005-0000-0000-00009F530000}"/>
    <cellStyle name="Normal 3 17 2 2" xfId="21423" xr:uid="{00000000-0005-0000-0000-0000A0530000}"/>
    <cellStyle name="Normal 3 17 2 3" xfId="21424" xr:uid="{00000000-0005-0000-0000-0000A1530000}"/>
    <cellStyle name="Normal 3 17 20" xfId="21425" xr:uid="{00000000-0005-0000-0000-0000A2530000}"/>
    <cellStyle name="Normal 3 17 20 2" xfId="21426" xr:uid="{00000000-0005-0000-0000-0000A3530000}"/>
    <cellStyle name="Normal 3 17 20 3" xfId="21427" xr:uid="{00000000-0005-0000-0000-0000A4530000}"/>
    <cellStyle name="Normal 3 17 21" xfId="21428" xr:uid="{00000000-0005-0000-0000-0000A5530000}"/>
    <cellStyle name="Normal 3 17 21 2" xfId="21429" xr:uid="{00000000-0005-0000-0000-0000A6530000}"/>
    <cellStyle name="Normal 3 17 21 3" xfId="21430" xr:uid="{00000000-0005-0000-0000-0000A7530000}"/>
    <cellStyle name="Normal 3 17 22" xfId="21431" xr:uid="{00000000-0005-0000-0000-0000A8530000}"/>
    <cellStyle name="Normal 3 17 22 2" xfId="21432" xr:uid="{00000000-0005-0000-0000-0000A9530000}"/>
    <cellStyle name="Normal 3 17 22 3" xfId="21433" xr:uid="{00000000-0005-0000-0000-0000AA530000}"/>
    <cellStyle name="Normal 3 17 23" xfId="21434" xr:uid="{00000000-0005-0000-0000-0000AB530000}"/>
    <cellStyle name="Normal 3 17 23 2" xfId="21435" xr:uid="{00000000-0005-0000-0000-0000AC530000}"/>
    <cellStyle name="Normal 3 17 23 3" xfId="21436" xr:uid="{00000000-0005-0000-0000-0000AD530000}"/>
    <cellStyle name="Normal 3 17 24" xfId="21437" xr:uid="{00000000-0005-0000-0000-0000AE530000}"/>
    <cellStyle name="Normal 3 17 25" xfId="21438" xr:uid="{00000000-0005-0000-0000-0000AF530000}"/>
    <cellStyle name="Normal 3 17 3" xfId="21439" xr:uid="{00000000-0005-0000-0000-0000B0530000}"/>
    <cellStyle name="Normal 3 17 3 2" xfId="21440" xr:uid="{00000000-0005-0000-0000-0000B1530000}"/>
    <cellStyle name="Normal 3 17 3 3" xfId="21441" xr:uid="{00000000-0005-0000-0000-0000B2530000}"/>
    <cellStyle name="Normal 3 17 4" xfId="21442" xr:uid="{00000000-0005-0000-0000-0000B3530000}"/>
    <cellStyle name="Normal 3 17 4 2" xfId="21443" xr:uid="{00000000-0005-0000-0000-0000B4530000}"/>
    <cellStyle name="Normal 3 17 4 3" xfId="21444" xr:uid="{00000000-0005-0000-0000-0000B5530000}"/>
    <cellStyle name="Normal 3 17 5" xfId="21445" xr:uid="{00000000-0005-0000-0000-0000B6530000}"/>
    <cellStyle name="Normal 3 17 5 2" xfId="21446" xr:uid="{00000000-0005-0000-0000-0000B7530000}"/>
    <cellStyle name="Normal 3 17 5 3" xfId="21447" xr:uid="{00000000-0005-0000-0000-0000B8530000}"/>
    <cellStyle name="Normal 3 17 6" xfId="21448" xr:uid="{00000000-0005-0000-0000-0000B9530000}"/>
    <cellStyle name="Normal 3 17 6 2" xfId="21449" xr:uid="{00000000-0005-0000-0000-0000BA530000}"/>
    <cellStyle name="Normal 3 17 6 3" xfId="21450" xr:uid="{00000000-0005-0000-0000-0000BB530000}"/>
    <cellStyle name="Normal 3 17 7" xfId="21451" xr:uid="{00000000-0005-0000-0000-0000BC530000}"/>
    <cellStyle name="Normal 3 17 7 2" xfId="21452" xr:uid="{00000000-0005-0000-0000-0000BD530000}"/>
    <cellStyle name="Normal 3 17 7 3" xfId="21453" xr:uid="{00000000-0005-0000-0000-0000BE530000}"/>
    <cellStyle name="Normal 3 17 8" xfId="21454" xr:uid="{00000000-0005-0000-0000-0000BF530000}"/>
    <cellStyle name="Normal 3 17 8 2" xfId="21455" xr:uid="{00000000-0005-0000-0000-0000C0530000}"/>
    <cellStyle name="Normal 3 17 8 3" xfId="21456" xr:uid="{00000000-0005-0000-0000-0000C1530000}"/>
    <cellStyle name="Normal 3 17 9" xfId="21457" xr:uid="{00000000-0005-0000-0000-0000C2530000}"/>
    <cellStyle name="Normal 3 17 9 2" xfId="21458" xr:uid="{00000000-0005-0000-0000-0000C3530000}"/>
    <cellStyle name="Normal 3 17 9 3" xfId="21459" xr:uid="{00000000-0005-0000-0000-0000C4530000}"/>
    <cellStyle name="Normal 3 18" xfId="21460" xr:uid="{00000000-0005-0000-0000-0000C5530000}"/>
    <cellStyle name="Normal 3 18 10" xfId="21461" xr:uid="{00000000-0005-0000-0000-0000C6530000}"/>
    <cellStyle name="Normal 3 18 10 2" xfId="21462" xr:uid="{00000000-0005-0000-0000-0000C7530000}"/>
    <cellStyle name="Normal 3 18 10 3" xfId="21463" xr:uid="{00000000-0005-0000-0000-0000C8530000}"/>
    <cellStyle name="Normal 3 18 11" xfId="21464" xr:uid="{00000000-0005-0000-0000-0000C9530000}"/>
    <cellStyle name="Normal 3 18 11 2" xfId="21465" xr:uid="{00000000-0005-0000-0000-0000CA530000}"/>
    <cellStyle name="Normal 3 18 11 3" xfId="21466" xr:uid="{00000000-0005-0000-0000-0000CB530000}"/>
    <cellStyle name="Normal 3 18 12" xfId="21467" xr:uid="{00000000-0005-0000-0000-0000CC530000}"/>
    <cellStyle name="Normal 3 18 12 2" xfId="21468" xr:uid="{00000000-0005-0000-0000-0000CD530000}"/>
    <cellStyle name="Normal 3 18 12 3" xfId="21469" xr:uid="{00000000-0005-0000-0000-0000CE530000}"/>
    <cellStyle name="Normal 3 18 13" xfId="21470" xr:uid="{00000000-0005-0000-0000-0000CF530000}"/>
    <cellStyle name="Normal 3 18 13 2" xfId="21471" xr:uid="{00000000-0005-0000-0000-0000D0530000}"/>
    <cellStyle name="Normal 3 18 13 3" xfId="21472" xr:uid="{00000000-0005-0000-0000-0000D1530000}"/>
    <cellStyle name="Normal 3 18 14" xfId="21473" xr:uid="{00000000-0005-0000-0000-0000D2530000}"/>
    <cellStyle name="Normal 3 18 14 2" xfId="21474" xr:uid="{00000000-0005-0000-0000-0000D3530000}"/>
    <cellStyle name="Normal 3 18 14 3" xfId="21475" xr:uid="{00000000-0005-0000-0000-0000D4530000}"/>
    <cellStyle name="Normal 3 18 15" xfId="21476" xr:uid="{00000000-0005-0000-0000-0000D5530000}"/>
    <cellStyle name="Normal 3 18 15 2" xfId="21477" xr:uid="{00000000-0005-0000-0000-0000D6530000}"/>
    <cellStyle name="Normal 3 18 15 3" xfId="21478" xr:uid="{00000000-0005-0000-0000-0000D7530000}"/>
    <cellStyle name="Normal 3 18 16" xfId="21479" xr:uid="{00000000-0005-0000-0000-0000D8530000}"/>
    <cellStyle name="Normal 3 18 16 2" xfId="21480" xr:uid="{00000000-0005-0000-0000-0000D9530000}"/>
    <cellStyle name="Normal 3 18 16 3" xfId="21481" xr:uid="{00000000-0005-0000-0000-0000DA530000}"/>
    <cellStyle name="Normal 3 18 17" xfId="21482" xr:uid="{00000000-0005-0000-0000-0000DB530000}"/>
    <cellStyle name="Normal 3 18 17 2" xfId="21483" xr:uid="{00000000-0005-0000-0000-0000DC530000}"/>
    <cellStyle name="Normal 3 18 17 3" xfId="21484" xr:uid="{00000000-0005-0000-0000-0000DD530000}"/>
    <cellStyle name="Normal 3 18 18" xfId="21485" xr:uid="{00000000-0005-0000-0000-0000DE530000}"/>
    <cellStyle name="Normal 3 18 18 2" xfId="21486" xr:uid="{00000000-0005-0000-0000-0000DF530000}"/>
    <cellStyle name="Normal 3 18 18 3" xfId="21487" xr:uid="{00000000-0005-0000-0000-0000E0530000}"/>
    <cellStyle name="Normal 3 18 19" xfId="21488" xr:uid="{00000000-0005-0000-0000-0000E1530000}"/>
    <cellStyle name="Normal 3 18 19 2" xfId="21489" xr:uid="{00000000-0005-0000-0000-0000E2530000}"/>
    <cellStyle name="Normal 3 18 19 3" xfId="21490" xr:uid="{00000000-0005-0000-0000-0000E3530000}"/>
    <cellStyle name="Normal 3 18 2" xfId="21491" xr:uid="{00000000-0005-0000-0000-0000E4530000}"/>
    <cellStyle name="Normal 3 18 2 2" xfId="21492" xr:uid="{00000000-0005-0000-0000-0000E5530000}"/>
    <cellStyle name="Normal 3 18 2 3" xfId="21493" xr:uid="{00000000-0005-0000-0000-0000E6530000}"/>
    <cellStyle name="Normal 3 18 20" xfId="21494" xr:uid="{00000000-0005-0000-0000-0000E7530000}"/>
    <cellStyle name="Normal 3 18 20 2" xfId="21495" xr:uid="{00000000-0005-0000-0000-0000E8530000}"/>
    <cellStyle name="Normal 3 18 20 3" xfId="21496" xr:uid="{00000000-0005-0000-0000-0000E9530000}"/>
    <cellStyle name="Normal 3 18 21" xfId="21497" xr:uid="{00000000-0005-0000-0000-0000EA530000}"/>
    <cellStyle name="Normal 3 18 21 2" xfId="21498" xr:uid="{00000000-0005-0000-0000-0000EB530000}"/>
    <cellStyle name="Normal 3 18 21 3" xfId="21499" xr:uid="{00000000-0005-0000-0000-0000EC530000}"/>
    <cellStyle name="Normal 3 18 22" xfId="21500" xr:uid="{00000000-0005-0000-0000-0000ED530000}"/>
    <cellStyle name="Normal 3 18 22 2" xfId="21501" xr:uid="{00000000-0005-0000-0000-0000EE530000}"/>
    <cellStyle name="Normal 3 18 22 3" xfId="21502" xr:uid="{00000000-0005-0000-0000-0000EF530000}"/>
    <cellStyle name="Normal 3 18 23" xfId="21503" xr:uid="{00000000-0005-0000-0000-0000F0530000}"/>
    <cellStyle name="Normal 3 18 23 2" xfId="21504" xr:uid="{00000000-0005-0000-0000-0000F1530000}"/>
    <cellStyle name="Normal 3 18 23 3" xfId="21505" xr:uid="{00000000-0005-0000-0000-0000F2530000}"/>
    <cellStyle name="Normal 3 18 24" xfId="21506" xr:uid="{00000000-0005-0000-0000-0000F3530000}"/>
    <cellStyle name="Normal 3 18 25" xfId="21507" xr:uid="{00000000-0005-0000-0000-0000F4530000}"/>
    <cellStyle name="Normal 3 18 3" xfId="21508" xr:uid="{00000000-0005-0000-0000-0000F5530000}"/>
    <cellStyle name="Normal 3 18 3 2" xfId="21509" xr:uid="{00000000-0005-0000-0000-0000F6530000}"/>
    <cellStyle name="Normal 3 18 3 3" xfId="21510" xr:uid="{00000000-0005-0000-0000-0000F7530000}"/>
    <cellStyle name="Normal 3 18 4" xfId="21511" xr:uid="{00000000-0005-0000-0000-0000F8530000}"/>
    <cellStyle name="Normal 3 18 4 2" xfId="21512" xr:uid="{00000000-0005-0000-0000-0000F9530000}"/>
    <cellStyle name="Normal 3 18 4 3" xfId="21513" xr:uid="{00000000-0005-0000-0000-0000FA530000}"/>
    <cellStyle name="Normal 3 18 5" xfId="21514" xr:uid="{00000000-0005-0000-0000-0000FB530000}"/>
    <cellStyle name="Normal 3 18 5 2" xfId="21515" xr:uid="{00000000-0005-0000-0000-0000FC530000}"/>
    <cellStyle name="Normal 3 18 5 3" xfId="21516" xr:uid="{00000000-0005-0000-0000-0000FD530000}"/>
    <cellStyle name="Normal 3 18 6" xfId="21517" xr:uid="{00000000-0005-0000-0000-0000FE530000}"/>
    <cellStyle name="Normal 3 18 6 2" xfId="21518" xr:uid="{00000000-0005-0000-0000-0000FF530000}"/>
    <cellStyle name="Normal 3 18 6 3" xfId="21519" xr:uid="{00000000-0005-0000-0000-000000540000}"/>
    <cellStyle name="Normal 3 18 7" xfId="21520" xr:uid="{00000000-0005-0000-0000-000001540000}"/>
    <cellStyle name="Normal 3 18 7 2" xfId="21521" xr:uid="{00000000-0005-0000-0000-000002540000}"/>
    <cellStyle name="Normal 3 18 7 3" xfId="21522" xr:uid="{00000000-0005-0000-0000-000003540000}"/>
    <cellStyle name="Normal 3 18 8" xfId="21523" xr:uid="{00000000-0005-0000-0000-000004540000}"/>
    <cellStyle name="Normal 3 18 8 2" xfId="21524" xr:uid="{00000000-0005-0000-0000-000005540000}"/>
    <cellStyle name="Normal 3 18 8 3" xfId="21525" xr:uid="{00000000-0005-0000-0000-000006540000}"/>
    <cellStyle name="Normal 3 18 9" xfId="21526" xr:uid="{00000000-0005-0000-0000-000007540000}"/>
    <cellStyle name="Normal 3 18 9 2" xfId="21527" xr:uid="{00000000-0005-0000-0000-000008540000}"/>
    <cellStyle name="Normal 3 18 9 3" xfId="21528" xr:uid="{00000000-0005-0000-0000-000009540000}"/>
    <cellStyle name="Normal 3 19" xfId="21529" xr:uid="{00000000-0005-0000-0000-00000A540000}"/>
    <cellStyle name="Normal 3 19 10" xfId="21530" xr:uid="{00000000-0005-0000-0000-00000B540000}"/>
    <cellStyle name="Normal 3 19 10 2" xfId="21531" xr:uid="{00000000-0005-0000-0000-00000C540000}"/>
    <cellStyle name="Normal 3 19 10 3" xfId="21532" xr:uid="{00000000-0005-0000-0000-00000D540000}"/>
    <cellStyle name="Normal 3 19 11" xfId="21533" xr:uid="{00000000-0005-0000-0000-00000E540000}"/>
    <cellStyle name="Normal 3 19 11 2" xfId="21534" xr:uid="{00000000-0005-0000-0000-00000F540000}"/>
    <cellStyle name="Normal 3 19 11 3" xfId="21535" xr:uid="{00000000-0005-0000-0000-000010540000}"/>
    <cellStyle name="Normal 3 19 12" xfId="21536" xr:uid="{00000000-0005-0000-0000-000011540000}"/>
    <cellStyle name="Normal 3 19 12 2" xfId="21537" xr:uid="{00000000-0005-0000-0000-000012540000}"/>
    <cellStyle name="Normal 3 19 12 3" xfId="21538" xr:uid="{00000000-0005-0000-0000-000013540000}"/>
    <cellStyle name="Normal 3 19 13" xfId="21539" xr:uid="{00000000-0005-0000-0000-000014540000}"/>
    <cellStyle name="Normal 3 19 13 2" xfId="21540" xr:uid="{00000000-0005-0000-0000-000015540000}"/>
    <cellStyle name="Normal 3 19 13 3" xfId="21541" xr:uid="{00000000-0005-0000-0000-000016540000}"/>
    <cellStyle name="Normal 3 19 14" xfId="21542" xr:uid="{00000000-0005-0000-0000-000017540000}"/>
    <cellStyle name="Normal 3 19 14 2" xfId="21543" xr:uid="{00000000-0005-0000-0000-000018540000}"/>
    <cellStyle name="Normal 3 19 14 3" xfId="21544" xr:uid="{00000000-0005-0000-0000-000019540000}"/>
    <cellStyle name="Normal 3 19 15" xfId="21545" xr:uid="{00000000-0005-0000-0000-00001A540000}"/>
    <cellStyle name="Normal 3 19 15 2" xfId="21546" xr:uid="{00000000-0005-0000-0000-00001B540000}"/>
    <cellStyle name="Normal 3 19 15 3" xfId="21547" xr:uid="{00000000-0005-0000-0000-00001C540000}"/>
    <cellStyle name="Normal 3 19 16" xfId="21548" xr:uid="{00000000-0005-0000-0000-00001D540000}"/>
    <cellStyle name="Normal 3 19 16 2" xfId="21549" xr:uid="{00000000-0005-0000-0000-00001E540000}"/>
    <cellStyle name="Normal 3 19 16 3" xfId="21550" xr:uid="{00000000-0005-0000-0000-00001F540000}"/>
    <cellStyle name="Normal 3 19 17" xfId="21551" xr:uid="{00000000-0005-0000-0000-000020540000}"/>
    <cellStyle name="Normal 3 19 17 2" xfId="21552" xr:uid="{00000000-0005-0000-0000-000021540000}"/>
    <cellStyle name="Normal 3 19 17 3" xfId="21553" xr:uid="{00000000-0005-0000-0000-000022540000}"/>
    <cellStyle name="Normal 3 19 18" xfId="21554" xr:uid="{00000000-0005-0000-0000-000023540000}"/>
    <cellStyle name="Normal 3 19 18 2" xfId="21555" xr:uid="{00000000-0005-0000-0000-000024540000}"/>
    <cellStyle name="Normal 3 19 18 3" xfId="21556" xr:uid="{00000000-0005-0000-0000-000025540000}"/>
    <cellStyle name="Normal 3 19 19" xfId="21557" xr:uid="{00000000-0005-0000-0000-000026540000}"/>
    <cellStyle name="Normal 3 19 19 2" xfId="21558" xr:uid="{00000000-0005-0000-0000-000027540000}"/>
    <cellStyle name="Normal 3 19 19 3" xfId="21559" xr:uid="{00000000-0005-0000-0000-000028540000}"/>
    <cellStyle name="Normal 3 19 2" xfId="21560" xr:uid="{00000000-0005-0000-0000-000029540000}"/>
    <cellStyle name="Normal 3 19 2 2" xfId="21561" xr:uid="{00000000-0005-0000-0000-00002A540000}"/>
    <cellStyle name="Normal 3 19 2 3" xfId="21562" xr:uid="{00000000-0005-0000-0000-00002B540000}"/>
    <cellStyle name="Normal 3 19 20" xfId="21563" xr:uid="{00000000-0005-0000-0000-00002C540000}"/>
    <cellStyle name="Normal 3 19 20 2" xfId="21564" xr:uid="{00000000-0005-0000-0000-00002D540000}"/>
    <cellStyle name="Normal 3 19 20 3" xfId="21565" xr:uid="{00000000-0005-0000-0000-00002E540000}"/>
    <cellStyle name="Normal 3 19 21" xfId="21566" xr:uid="{00000000-0005-0000-0000-00002F540000}"/>
    <cellStyle name="Normal 3 19 21 2" xfId="21567" xr:uid="{00000000-0005-0000-0000-000030540000}"/>
    <cellStyle name="Normal 3 19 21 3" xfId="21568" xr:uid="{00000000-0005-0000-0000-000031540000}"/>
    <cellStyle name="Normal 3 19 22" xfId="21569" xr:uid="{00000000-0005-0000-0000-000032540000}"/>
    <cellStyle name="Normal 3 19 22 2" xfId="21570" xr:uid="{00000000-0005-0000-0000-000033540000}"/>
    <cellStyle name="Normal 3 19 22 3" xfId="21571" xr:uid="{00000000-0005-0000-0000-000034540000}"/>
    <cellStyle name="Normal 3 19 23" xfId="21572" xr:uid="{00000000-0005-0000-0000-000035540000}"/>
    <cellStyle name="Normal 3 19 23 2" xfId="21573" xr:uid="{00000000-0005-0000-0000-000036540000}"/>
    <cellStyle name="Normal 3 19 23 3" xfId="21574" xr:uid="{00000000-0005-0000-0000-000037540000}"/>
    <cellStyle name="Normal 3 19 24" xfId="21575" xr:uid="{00000000-0005-0000-0000-000038540000}"/>
    <cellStyle name="Normal 3 19 25" xfId="21576" xr:uid="{00000000-0005-0000-0000-000039540000}"/>
    <cellStyle name="Normal 3 19 3" xfId="21577" xr:uid="{00000000-0005-0000-0000-00003A540000}"/>
    <cellStyle name="Normal 3 19 3 2" xfId="21578" xr:uid="{00000000-0005-0000-0000-00003B540000}"/>
    <cellStyle name="Normal 3 19 3 3" xfId="21579" xr:uid="{00000000-0005-0000-0000-00003C540000}"/>
    <cellStyle name="Normal 3 19 4" xfId="21580" xr:uid="{00000000-0005-0000-0000-00003D540000}"/>
    <cellStyle name="Normal 3 19 4 2" xfId="21581" xr:uid="{00000000-0005-0000-0000-00003E540000}"/>
    <cellStyle name="Normal 3 19 4 3" xfId="21582" xr:uid="{00000000-0005-0000-0000-00003F540000}"/>
    <cellStyle name="Normal 3 19 5" xfId="21583" xr:uid="{00000000-0005-0000-0000-000040540000}"/>
    <cellStyle name="Normal 3 19 5 2" xfId="21584" xr:uid="{00000000-0005-0000-0000-000041540000}"/>
    <cellStyle name="Normal 3 19 5 3" xfId="21585" xr:uid="{00000000-0005-0000-0000-000042540000}"/>
    <cellStyle name="Normal 3 19 6" xfId="21586" xr:uid="{00000000-0005-0000-0000-000043540000}"/>
    <cellStyle name="Normal 3 19 6 2" xfId="21587" xr:uid="{00000000-0005-0000-0000-000044540000}"/>
    <cellStyle name="Normal 3 19 6 3" xfId="21588" xr:uid="{00000000-0005-0000-0000-000045540000}"/>
    <cellStyle name="Normal 3 19 7" xfId="21589" xr:uid="{00000000-0005-0000-0000-000046540000}"/>
    <cellStyle name="Normal 3 19 7 2" xfId="21590" xr:uid="{00000000-0005-0000-0000-000047540000}"/>
    <cellStyle name="Normal 3 19 7 3" xfId="21591" xr:uid="{00000000-0005-0000-0000-000048540000}"/>
    <cellStyle name="Normal 3 19 8" xfId="21592" xr:uid="{00000000-0005-0000-0000-000049540000}"/>
    <cellStyle name="Normal 3 19 8 2" xfId="21593" xr:uid="{00000000-0005-0000-0000-00004A540000}"/>
    <cellStyle name="Normal 3 19 8 3" xfId="21594" xr:uid="{00000000-0005-0000-0000-00004B540000}"/>
    <cellStyle name="Normal 3 19 9" xfId="21595" xr:uid="{00000000-0005-0000-0000-00004C540000}"/>
    <cellStyle name="Normal 3 19 9 2" xfId="21596" xr:uid="{00000000-0005-0000-0000-00004D540000}"/>
    <cellStyle name="Normal 3 19 9 3" xfId="21597" xr:uid="{00000000-0005-0000-0000-00004E540000}"/>
    <cellStyle name="Normal 3 2" xfId="21598" xr:uid="{00000000-0005-0000-0000-00004F540000}"/>
    <cellStyle name="Normal 3 2 10" xfId="21599" xr:uid="{00000000-0005-0000-0000-000050540000}"/>
    <cellStyle name="Normal 3 2 10 2" xfId="21600" xr:uid="{00000000-0005-0000-0000-000051540000}"/>
    <cellStyle name="Normal 3 2 10 3" xfId="21601" xr:uid="{00000000-0005-0000-0000-000052540000}"/>
    <cellStyle name="Normal 3 2 11" xfId="21602" xr:uid="{00000000-0005-0000-0000-000053540000}"/>
    <cellStyle name="Normal 3 2 11 2" xfId="21603" xr:uid="{00000000-0005-0000-0000-000054540000}"/>
    <cellStyle name="Normal 3 2 11 3" xfId="21604" xr:uid="{00000000-0005-0000-0000-000055540000}"/>
    <cellStyle name="Normal 3 2 12" xfId="21605" xr:uid="{00000000-0005-0000-0000-000056540000}"/>
    <cellStyle name="Normal 3 2 12 2" xfId="21606" xr:uid="{00000000-0005-0000-0000-000057540000}"/>
    <cellStyle name="Normal 3 2 12 3" xfId="21607" xr:uid="{00000000-0005-0000-0000-000058540000}"/>
    <cellStyle name="Normal 3 2 13" xfId="21608" xr:uid="{00000000-0005-0000-0000-000059540000}"/>
    <cellStyle name="Normal 3 2 13 2" xfId="21609" xr:uid="{00000000-0005-0000-0000-00005A540000}"/>
    <cellStyle name="Normal 3 2 13 3" xfId="21610" xr:uid="{00000000-0005-0000-0000-00005B540000}"/>
    <cellStyle name="Normal 3 2 14" xfId="21611" xr:uid="{00000000-0005-0000-0000-00005C540000}"/>
    <cellStyle name="Normal 3 2 14 2" xfId="21612" xr:uid="{00000000-0005-0000-0000-00005D540000}"/>
    <cellStyle name="Normal 3 2 14 3" xfId="21613" xr:uid="{00000000-0005-0000-0000-00005E540000}"/>
    <cellStyle name="Normal 3 2 15" xfId="21614" xr:uid="{00000000-0005-0000-0000-00005F540000}"/>
    <cellStyle name="Normal 3 2 15 2" xfId="21615" xr:uid="{00000000-0005-0000-0000-000060540000}"/>
    <cellStyle name="Normal 3 2 15 3" xfId="21616" xr:uid="{00000000-0005-0000-0000-000061540000}"/>
    <cellStyle name="Normal 3 2 16" xfId="21617" xr:uid="{00000000-0005-0000-0000-000062540000}"/>
    <cellStyle name="Normal 3 2 16 2" xfId="21618" xr:uid="{00000000-0005-0000-0000-000063540000}"/>
    <cellStyle name="Normal 3 2 16 3" xfId="21619" xr:uid="{00000000-0005-0000-0000-000064540000}"/>
    <cellStyle name="Normal 3 2 17" xfId="21620" xr:uid="{00000000-0005-0000-0000-000065540000}"/>
    <cellStyle name="Normal 3 2 17 2" xfId="21621" xr:uid="{00000000-0005-0000-0000-000066540000}"/>
    <cellStyle name="Normal 3 2 17 3" xfId="21622" xr:uid="{00000000-0005-0000-0000-000067540000}"/>
    <cellStyle name="Normal 3 2 18" xfId="21623" xr:uid="{00000000-0005-0000-0000-000068540000}"/>
    <cellStyle name="Normal 3 2 18 2" xfId="21624" xr:uid="{00000000-0005-0000-0000-000069540000}"/>
    <cellStyle name="Normal 3 2 18 3" xfId="21625" xr:uid="{00000000-0005-0000-0000-00006A540000}"/>
    <cellStyle name="Normal 3 2 19" xfId="21626" xr:uid="{00000000-0005-0000-0000-00006B540000}"/>
    <cellStyle name="Normal 3 2 19 2" xfId="21627" xr:uid="{00000000-0005-0000-0000-00006C540000}"/>
    <cellStyle name="Normal 3 2 19 3" xfId="21628" xr:uid="{00000000-0005-0000-0000-00006D540000}"/>
    <cellStyle name="Normal 3 2 2" xfId="21629" xr:uid="{00000000-0005-0000-0000-00006E540000}"/>
    <cellStyle name="Normal 3 2 2 10" xfId="21630" xr:uid="{00000000-0005-0000-0000-00006F540000}"/>
    <cellStyle name="Normal 3 2 2 10 2" xfId="21631" xr:uid="{00000000-0005-0000-0000-000070540000}"/>
    <cellStyle name="Normal 3 2 2 10 3" xfId="21632" xr:uid="{00000000-0005-0000-0000-000071540000}"/>
    <cellStyle name="Normal 3 2 2 11" xfId="21633" xr:uid="{00000000-0005-0000-0000-000072540000}"/>
    <cellStyle name="Normal 3 2 2 11 2" xfId="21634" xr:uid="{00000000-0005-0000-0000-000073540000}"/>
    <cellStyle name="Normal 3 2 2 11 3" xfId="21635" xr:uid="{00000000-0005-0000-0000-000074540000}"/>
    <cellStyle name="Normal 3 2 2 12" xfId="21636" xr:uid="{00000000-0005-0000-0000-000075540000}"/>
    <cellStyle name="Normal 3 2 2 12 2" xfId="21637" xr:uid="{00000000-0005-0000-0000-000076540000}"/>
    <cellStyle name="Normal 3 2 2 12 3" xfId="21638" xr:uid="{00000000-0005-0000-0000-000077540000}"/>
    <cellStyle name="Normal 3 2 2 13" xfId="21639" xr:uid="{00000000-0005-0000-0000-000078540000}"/>
    <cellStyle name="Normal 3 2 2 13 2" xfId="21640" xr:uid="{00000000-0005-0000-0000-000079540000}"/>
    <cellStyle name="Normal 3 2 2 13 3" xfId="21641" xr:uid="{00000000-0005-0000-0000-00007A540000}"/>
    <cellStyle name="Normal 3 2 2 14" xfId="21642" xr:uid="{00000000-0005-0000-0000-00007B540000}"/>
    <cellStyle name="Normal 3 2 2 14 2" xfId="21643" xr:uid="{00000000-0005-0000-0000-00007C540000}"/>
    <cellStyle name="Normal 3 2 2 14 3" xfId="21644" xr:uid="{00000000-0005-0000-0000-00007D540000}"/>
    <cellStyle name="Normal 3 2 2 15" xfId="21645" xr:uid="{00000000-0005-0000-0000-00007E540000}"/>
    <cellStyle name="Normal 3 2 2 15 2" xfId="21646" xr:uid="{00000000-0005-0000-0000-00007F540000}"/>
    <cellStyle name="Normal 3 2 2 15 3" xfId="21647" xr:uid="{00000000-0005-0000-0000-000080540000}"/>
    <cellStyle name="Normal 3 2 2 16" xfId="21648" xr:uid="{00000000-0005-0000-0000-000081540000}"/>
    <cellStyle name="Normal 3 2 2 16 2" xfId="21649" xr:uid="{00000000-0005-0000-0000-000082540000}"/>
    <cellStyle name="Normal 3 2 2 16 3" xfId="21650" xr:uid="{00000000-0005-0000-0000-000083540000}"/>
    <cellStyle name="Normal 3 2 2 17" xfId="21651" xr:uid="{00000000-0005-0000-0000-000084540000}"/>
    <cellStyle name="Normal 3 2 2 17 2" xfId="21652" xr:uid="{00000000-0005-0000-0000-000085540000}"/>
    <cellStyle name="Normal 3 2 2 17 3" xfId="21653" xr:uid="{00000000-0005-0000-0000-000086540000}"/>
    <cellStyle name="Normal 3 2 2 18" xfId="21654" xr:uid="{00000000-0005-0000-0000-000087540000}"/>
    <cellStyle name="Normal 3 2 2 18 2" xfId="21655" xr:uid="{00000000-0005-0000-0000-000088540000}"/>
    <cellStyle name="Normal 3 2 2 18 3" xfId="21656" xr:uid="{00000000-0005-0000-0000-000089540000}"/>
    <cellStyle name="Normal 3 2 2 19" xfId="21657" xr:uid="{00000000-0005-0000-0000-00008A540000}"/>
    <cellStyle name="Normal 3 2 2 19 2" xfId="21658" xr:uid="{00000000-0005-0000-0000-00008B540000}"/>
    <cellStyle name="Normal 3 2 2 19 3" xfId="21659" xr:uid="{00000000-0005-0000-0000-00008C540000}"/>
    <cellStyle name="Normal 3 2 2 2" xfId="21660" xr:uid="{00000000-0005-0000-0000-00008D540000}"/>
    <cellStyle name="Normal 3 2 2 2 2" xfId="21661" xr:uid="{00000000-0005-0000-0000-00008E540000}"/>
    <cellStyle name="Normal 3 2 2 2 3" xfId="21662" xr:uid="{00000000-0005-0000-0000-00008F540000}"/>
    <cellStyle name="Normal 3 2 2 20" xfId="21663" xr:uid="{00000000-0005-0000-0000-000090540000}"/>
    <cellStyle name="Normal 3 2 2 20 2" xfId="21664" xr:uid="{00000000-0005-0000-0000-000091540000}"/>
    <cellStyle name="Normal 3 2 2 20 3" xfId="21665" xr:uid="{00000000-0005-0000-0000-000092540000}"/>
    <cellStyle name="Normal 3 2 2 21" xfId="21666" xr:uid="{00000000-0005-0000-0000-000093540000}"/>
    <cellStyle name="Normal 3 2 2 21 2" xfId="21667" xr:uid="{00000000-0005-0000-0000-000094540000}"/>
    <cellStyle name="Normal 3 2 2 21 3" xfId="21668" xr:uid="{00000000-0005-0000-0000-000095540000}"/>
    <cellStyle name="Normal 3 2 2 22" xfId="21669" xr:uid="{00000000-0005-0000-0000-000096540000}"/>
    <cellStyle name="Normal 3 2 2 22 2" xfId="21670" xr:uid="{00000000-0005-0000-0000-000097540000}"/>
    <cellStyle name="Normal 3 2 2 22 3" xfId="21671" xr:uid="{00000000-0005-0000-0000-000098540000}"/>
    <cellStyle name="Normal 3 2 2 23" xfId="21672" xr:uid="{00000000-0005-0000-0000-000099540000}"/>
    <cellStyle name="Normal 3 2 2 23 2" xfId="21673" xr:uid="{00000000-0005-0000-0000-00009A540000}"/>
    <cellStyle name="Normal 3 2 2 23 3" xfId="21674" xr:uid="{00000000-0005-0000-0000-00009B540000}"/>
    <cellStyle name="Normal 3 2 2 24" xfId="21675" xr:uid="{00000000-0005-0000-0000-00009C540000}"/>
    <cellStyle name="Normal 3 2 2 24 2" xfId="21676" xr:uid="{00000000-0005-0000-0000-00009D540000}"/>
    <cellStyle name="Normal 3 2 2 24 3" xfId="21677" xr:uid="{00000000-0005-0000-0000-00009E540000}"/>
    <cellStyle name="Normal 3 2 2 25" xfId="21678" xr:uid="{00000000-0005-0000-0000-00009F540000}"/>
    <cellStyle name="Normal 3 2 2 25 2" xfId="21679" xr:uid="{00000000-0005-0000-0000-0000A0540000}"/>
    <cellStyle name="Normal 3 2 2 25 3" xfId="21680" xr:uid="{00000000-0005-0000-0000-0000A1540000}"/>
    <cellStyle name="Normal 3 2 2 26" xfId="21681" xr:uid="{00000000-0005-0000-0000-0000A2540000}"/>
    <cellStyle name="Normal 3 2 2 26 2" xfId="21682" xr:uid="{00000000-0005-0000-0000-0000A3540000}"/>
    <cellStyle name="Normal 3 2 2 26 3" xfId="21683" xr:uid="{00000000-0005-0000-0000-0000A4540000}"/>
    <cellStyle name="Normal 3 2 2 27" xfId="21684" xr:uid="{00000000-0005-0000-0000-0000A5540000}"/>
    <cellStyle name="Normal 3 2 2 27 2" xfId="21685" xr:uid="{00000000-0005-0000-0000-0000A6540000}"/>
    <cellStyle name="Normal 3 2 2 27 3" xfId="21686" xr:uid="{00000000-0005-0000-0000-0000A7540000}"/>
    <cellStyle name="Normal 3 2 2 28" xfId="21687" xr:uid="{00000000-0005-0000-0000-0000A8540000}"/>
    <cellStyle name="Normal 3 2 2 28 2" xfId="21688" xr:uid="{00000000-0005-0000-0000-0000A9540000}"/>
    <cellStyle name="Normal 3 2 2 28 3" xfId="21689" xr:uid="{00000000-0005-0000-0000-0000AA540000}"/>
    <cellStyle name="Normal 3 2 2 29" xfId="21690" xr:uid="{00000000-0005-0000-0000-0000AB540000}"/>
    <cellStyle name="Normal 3 2 2 29 2" xfId="21691" xr:uid="{00000000-0005-0000-0000-0000AC540000}"/>
    <cellStyle name="Normal 3 2 2 29 3" xfId="21692" xr:uid="{00000000-0005-0000-0000-0000AD540000}"/>
    <cellStyle name="Normal 3 2 2 3" xfId="21693" xr:uid="{00000000-0005-0000-0000-0000AE540000}"/>
    <cellStyle name="Normal 3 2 2 3 2" xfId="21694" xr:uid="{00000000-0005-0000-0000-0000AF540000}"/>
    <cellStyle name="Normal 3 2 2 3 3" xfId="21695" xr:uid="{00000000-0005-0000-0000-0000B0540000}"/>
    <cellStyle name="Normal 3 2 2 30" xfId="21696" xr:uid="{00000000-0005-0000-0000-0000B1540000}"/>
    <cellStyle name="Normal 3 2 2 30 2" xfId="21697" xr:uid="{00000000-0005-0000-0000-0000B2540000}"/>
    <cellStyle name="Normal 3 2 2 30 3" xfId="21698" xr:uid="{00000000-0005-0000-0000-0000B3540000}"/>
    <cellStyle name="Normal 3 2 2 31" xfId="21699" xr:uid="{00000000-0005-0000-0000-0000B4540000}"/>
    <cellStyle name="Normal 3 2 2 31 2" xfId="21700" xr:uid="{00000000-0005-0000-0000-0000B5540000}"/>
    <cellStyle name="Normal 3 2 2 31 3" xfId="21701" xr:uid="{00000000-0005-0000-0000-0000B6540000}"/>
    <cellStyle name="Normal 3 2 2 32" xfId="21702" xr:uid="{00000000-0005-0000-0000-0000B7540000}"/>
    <cellStyle name="Normal 3 2 2 32 2" xfId="21703" xr:uid="{00000000-0005-0000-0000-0000B8540000}"/>
    <cellStyle name="Normal 3 2 2 32 3" xfId="21704" xr:uid="{00000000-0005-0000-0000-0000B9540000}"/>
    <cellStyle name="Normal 3 2 2 33" xfId="21705" xr:uid="{00000000-0005-0000-0000-0000BA540000}"/>
    <cellStyle name="Normal 3 2 2 33 2" xfId="21706" xr:uid="{00000000-0005-0000-0000-0000BB540000}"/>
    <cellStyle name="Normal 3 2 2 33 3" xfId="21707" xr:uid="{00000000-0005-0000-0000-0000BC540000}"/>
    <cellStyle name="Normal 3 2 2 34" xfId="21708" xr:uid="{00000000-0005-0000-0000-0000BD540000}"/>
    <cellStyle name="Normal 3 2 2 35" xfId="21709" xr:uid="{00000000-0005-0000-0000-0000BE540000}"/>
    <cellStyle name="Normal 3 2 2 4" xfId="21710" xr:uid="{00000000-0005-0000-0000-0000BF540000}"/>
    <cellStyle name="Normal 3 2 2 4 2" xfId="21711" xr:uid="{00000000-0005-0000-0000-0000C0540000}"/>
    <cellStyle name="Normal 3 2 2 4 3" xfId="21712" xr:uid="{00000000-0005-0000-0000-0000C1540000}"/>
    <cellStyle name="Normal 3 2 2 5" xfId="21713" xr:uid="{00000000-0005-0000-0000-0000C2540000}"/>
    <cellStyle name="Normal 3 2 2 5 2" xfId="21714" xr:uid="{00000000-0005-0000-0000-0000C3540000}"/>
    <cellStyle name="Normal 3 2 2 5 3" xfId="21715" xr:uid="{00000000-0005-0000-0000-0000C4540000}"/>
    <cellStyle name="Normal 3 2 2 6" xfId="21716" xr:uid="{00000000-0005-0000-0000-0000C5540000}"/>
    <cellStyle name="Normal 3 2 2 6 2" xfId="21717" xr:uid="{00000000-0005-0000-0000-0000C6540000}"/>
    <cellStyle name="Normal 3 2 2 6 3" xfId="21718" xr:uid="{00000000-0005-0000-0000-0000C7540000}"/>
    <cellStyle name="Normal 3 2 2 7" xfId="21719" xr:uid="{00000000-0005-0000-0000-0000C8540000}"/>
    <cellStyle name="Normal 3 2 2 7 2" xfId="21720" xr:uid="{00000000-0005-0000-0000-0000C9540000}"/>
    <cellStyle name="Normal 3 2 2 7 3" xfId="21721" xr:uid="{00000000-0005-0000-0000-0000CA540000}"/>
    <cellStyle name="Normal 3 2 2 8" xfId="21722" xr:uid="{00000000-0005-0000-0000-0000CB540000}"/>
    <cellStyle name="Normal 3 2 2 8 2" xfId="21723" xr:uid="{00000000-0005-0000-0000-0000CC540000}"/>
    <cellStyle name="Normal 3 2 2 8 3" xfId="21724" xr:uid="{00000000-0005-0000-0000-0000CD540000}"/>
    <cellStyle name="Normal 3 2 2 9" xfId="21725" xr:uid="{00000000-0005-0000-0000-0000CE540000}"/>
    <cellStyle name="Normal 3 2 2 9 2" xfId="21726" xr:uid="{00000000-0005-0000-0000-0000CF540000}"/>
    <cellStyle name="Normal 3 2 2 9 3" xfId="21727" xr:uid="{00000000-0005-0000-0000-0000D0540000}"/>
    <cellStyle name="Normal 3 2 20" xfId="21728" xr:uid="{00000000-0005-0000-0000-0000D1540000}"/>
    <cellStyle name="Normal 3 2 20 2" xfId="21729" xr:uid="{00000000-0005-0000-0000-0000D2540000}"/>
    <cellStyle name="Normal 3 2 20 3" xfId="21730" xr:uid="{00000000-0005-0000-0000-0000D3540000}"/>
    <cellStyle name="Normal 3 2 21" xfId="21731" xr:uid="{00000000-0005-0000-0000-0000D4540000}"/>
    <cellStyle name="Normal 3 2 21 2" xfId="21732" xr:uid="{00000000-0005-0000-0000-0000D5540000}"/>
    <cellStyle name="Normal 3 2 21 3" xfId="21733" xr:uid="{00000000-0005-0000-0000-0000D6540000}"/>
    <cellStyle name="Normal 3 2 22" xfId="21734" xr:uid="{00000000-0005-0000-0000-0000D7540000}"/>
    <cellStyle name="Normal 3 2 22 2" xfId="21735" xr:uid="{00000000-0005-0000-0000-0000D8540000}"/>
    <cellStyle name="Normal 3 2 22 3" xfId="21736" xr:uid="{00000000-0005-0000-0000-0000D9540000}"/>
    <cellStyle name="Normal 3 2 23" xfId="21737" xr:uid="{00000000-0005-0000-0000-0000DA540000}"/>
    <cellStyle name="Normal 3 2 23 2" xfId="21738" xr:uid="{00000000-0005-0000-0000-0000DB540000}"/>
    <cellStyle name="Normal 3 2 23 3" xfId="21739" xr:uid="{00000000-0005-0000-0000-0000DC540000}"/>
    <cellStyle name="Normal 3 2 24" xfId="21740" xr:uid="{00000000-0005-0000-0000-0000DD540000}"/>
    <cellStyle name="Normal 3 2 24 2" xfId="21741" xr:uid="{00000000-0005-0000-0000-0000DE540000}"/>
    <cellStyle name="Normal 3 2 24 3" xfId="21742" xr:uid="{00000000-0005-0000-0000-0000DF540000}"/>
    <cellStyle name="Normal 3 2 25" xfId="21743" xr:uid="{00000000-0005-0000-0000-0000E0540000}"/>
    <cellStyle name="Normal 3 2 25 2" xfId="21744" xr:uid="{00000000-0005-0000-0000-0000E1540000}"/>
    <cellStyle name="Normal 3 2 25 3" xfId="21745" xr:uid="{00000000-0005-0000-0000-0000E2540000}"/>
    <cellStyle name="Normal 3 2 26" xfId="21746" xr:uid="{00000000-0005-0000-0000-0000E3540000}"/>
    <cellStyle name="Normal 3 2 26 2" xfId="21747" xr:uid="{00000000-0005-0000-0000-0000E4540000}"/>
    <cellStyle name="Normal 3 2 26 3" xfId="21748" xr:uid="{00000000-0005-0000-0000-0000E5540000}"/>
    <cellStyle name="Normal 3 2 27" xfId="21749" xr:uid="{00000000-0005-0000-0000-0000E6540000}"/>
    <cellStyle name="Normal 3 2 27 2" xfId="21750" xr:uid="{00000000-0005-0000-0000-0000E7540000}"/>
    <cellStyle name="Normal 3 2 27 3" xfId="21751" xr:uid="{00000000-0005-0000-0000-0000E8540000}"/>
    <cellStyle name="Normal 3 2 28" xfId="21752" xr:uid="{00000000-0005-0000-0000-0000E9540000}"/>
    <cellStyle name="Normal 3 2 28 2" xfId="21753" xr:uid="{00000000-0005-0000-0000-0000EA540000}"/>
    <cellStyle name="Normal 3 2 28 3" xfId="21754" xr:uid="{00000000-0005-0000-0000-0000EB540000}"/>
    <cellStyle name="Normal 3 2 29" xfId="21755" xr:uid="{00000000-0005-0000-0000-0000EC540000}"/>
    <cellStyle name="Normal 3 2 29 2" xfId="21756" xr:uid="{00000000-0005-0000-0000-0000ED540000}"/>
    <cellStyle name="Normal 3 2 29 3" xfId="21757" xr:uid="{00000000-0005-0000-0000-0000EE540000}"/>
    <cellStyle name="Normal 3 2 3" xfId="21758" xr:uid="{00000000-0005-0000-0000-0000EF540000}"/>
    <cellStyle name="Normal 3 2 3 2" xfId="21759" xr:uid="{00000000-0005-0000-0000-0000F0540000}"/>
    <cellStyle name="Normal 3 2 3 3" xfId="21760" xr:uid="{00000000-0005-0000-0000-0000F1540000}"/>
    <cellStyle name="Normal 3 2 30" xfId="21761" xr:uid="{00000000-0005-0000-0000-0000F2540000}"/>
    <cellStyle name="Normal 3 2 30 2" xfId="21762" xr:uid="{00000000-0005-0000-0000-0000F3540000}"/>
    <cellStyle name="Normal 3 2 30 3" xfId="21763" xr:uid="{00000000-0005-0000-0000-0000F4540000}"/>
    <cellStyle name="Normal 3 2 31" xfId="21764" xr:uid="{00000000-0005-0000-0000-0000F5540000}"/>
    <cellStyle name="Normal 3 2 31 2" xfId="21765" xr:uid="{00000000-0005-0000-0000-0000F6540000}"/>
    <cellStyle name="Normal 3 2 31 3" xfId="21766" xr:uid="{00000000-0005-0000-0000-0000F7540000}"/>
    <cellStyle name="Normal 3 2 32" xfId="21767" xr:uid="{00000000-0005-0000-0000-0000F8540000}"/>
    <cellStyle name="Normal 3 2 32 2" xfId="21768" xr:uid="{00000000-0005-0000-0000-0000F9540000}"/>
    <cellStyle name="Normal 3 2 32 3" xfId="21769" xr:uid="{00000000-0005-0000-0000-0000FA540000}"/>
    <cellStyle name="Normal 3 2 33" xfId="21770" xr:uid="{00000000-0005-0000-0000-0000FB540000}"/>
    <cellStyle name="Normal 3 2 33 2" xfId="21771" xr:uid="{00000000-0005-0000-0000-0000FC540000}"/>
    <cellStyle name="Normal 3 2 33 3" xfId="21772" xr:uid="{00000000-0005-0000-0000-0000FD540000}"/>
    <cellStyle name="Normal 3 2 34" xfId="21773" xr:uid="{00000000-0005-0000-0000-0000FE540000}"/>
    <cellStyle name="Normal 3 2 34 2" xfId="21774" xr:uid="{00000000-0005-0000-0000-0000FF540000}"/>
    <cellStyle name="Normal 3 2 34 3" xfId="21775" xr:uid="{00000000-0005-0000-0000-000000550000}"/>
    <cellStyle name="Normal 3 2 35" xfId="21776" xr:uid="{00000000-0005-0000-0000-000001550000}"/>
    <cellStyle name="Normal 3 2 35 2" xfId="21777" xr:uid="{00000000-0005-0000-0000-000002550000}"/>
    <cellStyle name="Normal 3 2 35 3" xfId="21778" xr:uid="{00000000-0005-0000-0000-000003550000}"/>
    <cellStyle name="Normal 3 2 36" xfId="21779" xr:uid="{00000000-0005-0000-0000-000004550000}"/>
    <cellStyle name="Normal 3 2 36 2" xfId="21780" xr:uid="{00000000-0005-0000-0000-000005550000}"/>
    <cellStyle name="Normal 3 2 36 3" xfId="21781" xr:uid="{00000000-0005-0000-0000-000006550000}"/>
    <cellStyle name="Normal 3 2 37" xfId="21782" xr:uid="{00000000-0005-0000-0000-000007550000}"/>
    <cellStyle name="Normal 3 2 37 2" xfId="21783" xr:uid="{00000000-0005-0000-0000-000008550000}"/>
    <cellStyle name="Normal 3 2 37 3" xfId="21784" xr:uid="{00000000-0005-0000-0000-000009550000}"/>
    <cellStyle name="Normal 3 2 38" xfId="21785" xr:uid="{00000000-0005-0000-0000-00000A550000}"/>
    <cellStyle name="Normal 3 2 38 2" xfId="21786" xr:uid="{00000000-0005-0000-0000-00000B550000}"/>
    <cellStyle name="Normal 3 2 38 3" xfId="21787" xr:uid="{00000000-0005-0000-0000-00000C550000}"/>
    <cellStyle name="Normal 3 2 39" xfId="21788" xr:uid="{00000000-0005-0000-0000-00000D550000}"/>
    <cellStyle name="Normal 3 2 39 2" xfId="21789" xr:uid="{00000000-0005-0000-0000-00000E550000}"/>
    <cellStyle name="Normal 3 2 39 3" xfId="21790" xr:uid="{00000000-0005-0000-0000-00000F550000}"/>
    <cellStyle name="Normal 3 2 4" xfId="21791" xr:uid="{00000000-0005-0000-0000-000010550000}"/>
    <cellStyle name="Normal 3 2 4 2" xfId="21792" xr:uid="{00000000-0005-0000-0000-000011550000}"/>
    <cellStyle name="Normal 3 2 4 3" xfId="21793" xr:uid="{00000000-0005-0000-0000-000012550000}"/>
    <cellStyle name="Normal 3 2 40" xfId="21794" xr:uid="{00000000-0005-0000-0000-000013550000}"/>
    <cellStyle name="Normal 3 2 40 2" xfId="21795" xr:uid="{00000000-0005-0000-0000-000014550000}"/>
    <cellStyle name="Normal 3 2 40 3" xfId="21796" xr:uid="{00000000-0005-0000-0000-000015550000}"/>
    <cellStyle name="Normal 3 2 41" xfId="21797" xr:uid="{00000000-0005-0000-0000-000016550000}"/>
    <cellStyle name="Normal 3 2 41 2" xfId="21798" xr:uid="{00000000-0005-0000-0000-000017550000}"/>
    <cellStyle name="Normal 3 2 41 3" xfId="21799" xr:uid="{00000000-0005-0000-0000-000018550000}"/>
    <cellStyle name="Normal 3 2 42" xfId="21800" xr:uid="{00000000-0005-0000-0000-000019550000}"/>
    <cellStyle name="Normal 3 2 42 2" xfId="21801" xr:uid="{00000000-0005-0000-0000-00001A550000}"/>
    <cellStyle name="Normal 3 2 42 3" xfId="21802" xr:uid="{00000000-0005-0000-0000-00001B550000}"/>
    <cellStyle name="Normal 3 2 43" xfId="21803" xr:uid="{00000000-0005-0000-0000-00001C550000}"/>
    <cellStyle name="Normal 3 2 43 2" xfId="21804" xr:uid="{00000000-0005-0000-0000-00001D550000}"/>
    <cellStyle name="Normal 3 2 43 3" xfId="21805" xr:uid="{00000000-0005-0000-0000-00001E550000}"/>
    <cellStyle name="Normal 3 2 44" xfId="21806" xr:uid="{00000000-0005-0000-0000-00001F550000}"/>
    <cellStyle name="Normal 3 2 44 2" xfId="21807" xr:uid="{00000000-0005-0000-0000-000020550000}"/>
    <cellStyle name="Normal 3 2 44 3" xfId="21808" xr:uid="{00000000-0005-0000-0000-000021550000}"/>
    <cellStyle name="Normal 3 2 45" xfId="21809" xr:uid="{00000000-0005-0000-0000-000022550000}"/>
    <cellStyle name="Normal 3 2 45 2" xfId="21810" xr:uid="{00000000-0005-0000-0000-000023550000}"/>
    <cellStyle name="Normal 3 2 45 3" xfId="21811" xr:uid="{00000000-0005-0000-0000-000024550000}"/>
    <cellStyle name="Normal 3 2 46" xfId="21812" xr:uid="{00000000-0005-0000-0000-000025550000}"/>
    <cellStyle name="Normal 3 2 46 2" xfId="21813" xr:uid="{00000000-0005-0000-0000-000026550000}"/>
    <cellStyle name="Normal 3 2 46 3" xfId="21814" xr:uid="{00000000-0005-0000-0000-000027550000}"/>
    <cellStyle name="Normal 3 2 47" xfId="21815" xr:uid="{00000000-0005-0000-0000-000028550000}"/>
    <cellStyle name="Normal 3 2 47 2" xfId="21816" xr:uid="{00000000-0005-0000-0000-000029550000}"/>
    <cellStyle name="Normal 3 2 47 3" xfId="21817" xr:uid="{00000000-0005-0000-0000-00002A550000}"/>
    <cellStyle name="Normal 3 2 48" xfId="21818" xr:uid="{00000000-0005-0000-0000-00002B550000}"/>
    <cellStyle name="Normal 3 2 48 2" xfId="21819" xr:uid="{00000000-0005-0000-0000-00002C550000}"/>
    <cellStyle name="Normal 3 2 48 3" xfId="21820" xr:uid="{00000000-0005-0000-0000-00002D550000}"/>
    <cellStyle name="Normal 3 2 49" xfId="21821" xr:uid="{00000000-0005-0000-0000-00002E550000}"/>
    <cellStyle name="Normal 3 2 49 2" xfId="21822" xr:uid="{00000000-0005-0000-0000-00002F550000}"/>
    <cellStyle name="Normal 3 2 49 3" xfId="21823" xr:uid="{00000000-0005-0000-0000-000030550000}"/>
    <cellStyle name="Normal 3 2 5" xfId="21824" xr:uid="{00000000-0005-0000-0000-000031550000}"/>
    <cellStyle name="Normal 3 2 5 2" xfId="21825" xr:uid="{00000000-0005-0000-0000-000032550000}"/>
    <cellStyle name="Normal 3 2 5 3" xfId="21826" xr:uid="{00000000-0005-0000-0000-000033550000}"/>
    <cellStyle name="Normal 3 2 50" xfId="21827" xr:uid="{00000000-0005-0000-0000-000034550000}"/>
    <cellStyle name="Normal 3 2 50 2" xfId="21828" xr:uid="{00000000-0005-0000-0000-000035550000}"/>
    <cellStyle name="Normal 3 2 50 3" xfId="21829" xr:uid="{00000000-0005-0000-0000-000036550000}"/>
    <cellStyle name="Normal 3 2 51" xfId="21830" xr:uid="{00000000-0005-0000-0000-000037550000}"/>
    <cellStyle name="Normal 3 2 51 2" xfId="21831" xr:uid="{00000000-0005-0000-0000-000038550000}"/>
    <cellStyle name="Normal 3 2 51 3" xfId="21832" xr:uid="{00000000-0005-0000-0000-000039550000}"/>
    <cellStyle name="Normal 3 2 52" xfId="21833" xr:uid="{00000000-0005-0000-0000-00003A550000}"/>
    <cellStyle name="Normal 3 2 52 2" xfId="21834" xr:uid="{00000000-0005-0000-0000-00003B550000}"/>
    <cellStyle name="Normal 3 2 52 3" xfId="21835" xr:uid="{00000000-0005-0000-0000-00003C550000}"/>
    <cellStyle name="Normal 3 2 53" xfId="21836" xr:uid="{00000000-0005-0000-0000-00003D550000}"/>
    <cellStyle name="Normal 3 2 53 2" xfId="21837" xr:uid="{00000000-0005-0000-0000-00003E550000}"/>
    <cellStyle name="Normal 3 2 53 3" xfId="21838" xr:uid="{00000000-0005-0000-0000-00003F550000}"/>
    <cellStyle name="Normal 3 2 54" xfId="21839" xr:uid="{00000000-0005-0000-0000-000040550000}"/>
    <cellStyle name="Normal 3 2 54 2" xfId="21840" xr:uid="{00000000-0005-0000-0000-000041550000}"/>
    <cellStyle name="Normal 3 2 54 3" xfId="21841" xr:uid="{00000000-0005-0000-0000-000042550000}"/>
    <cellStyle name="Normal 3 2 55" xfId="21842" xr:uid="{00000000-0005-0000-0000-000043550000}"/>
    <cellStyle name="Normal 3 2 55 2" xfId="21843" xr:uid="{00000000-0005-0000-0000-000044550000}"/>
    <cellStyle name="Normal 3 2 55 3" xfId="21844" xr:uid="{00000000-0005-0000-0000-000045550000}"/>
    <cellStyle name="Normal 3 2 56" xfId="21845" xr:uid="{00000000-0005-0000-0000-000046550000}"/>
    <cellStyle name="Normal 3 2 56 2" xfId="21846" xr:uid="{00000000-0005-0000-0000-000047550000}"/>
    <cellStyle name="Normal 3 2 56 3" xfId="21847" xr:uid="{00000000-0005-0000-0000-000048550000}"/>
    <cellStyle name="Normal 3 2 57" xfId="21848" xr:uid="{00000000-0005-0000-0000-000049550000}"/>
    <cellStyle name="Normal 3 2 58" xfId="21849" xr:uid="{00000000-0005-0000-0000-00004A550000}"/>
    <cellStyle name="Normal 3 2 6" xfId="21850" xr:uid="{00000000-0005-0000-0000-00004B550000}"/>
    <cellStyle name="Normal 3 2 6 2" xfId="21851" xr:uid="{00000000-0005-0000-0000-00004C550000}"/>
    <cellStyle name="Normal 3 2 6 3" xfId="21852" xr:uid="{00000000-0005-0000-0000-00004D550000}"/>
    <cellStyle name="Normal 3 2 7" xfId="21853" xr:uid="{00000000-0005-0000-0000-00004E550000}"/>
    <cellStyle name="Normal 3 2 7 2" xfId="21854" xr:uid="{00000000-0005-0000-0000-00004F550000}"/>
    <cellStyle name="Normal 3 2 7 3" xfId="21855" xr:uid="{00000000-0005-0000-0000-000050550000}"/>
    <cellStyle name="Normal 3 2 8" xfId="21856" xr:uid="{00000000-0005-0000-0000-000051550000}"/>
    <cellStyle name="Normal 3 2 8 2" xfId="21857" xr:uid="{00000000-0005-0000-0000-000052550000}"/>
    <cellStyle name="Normal 3 2 8 3" xfId="21858" xr:uid="{00000000-0005-0000-0000-000053550000}"/>
    <cellStyle name="Normal 3 2 9" xfId="21859" xr:uid="{00000000-0005-0000-0000-000054550000}"/>
    <cellStyle name="Normal 3 2 9 2" xfId="21860" xr:uid="{00000000-0005-0000-0000-000055550000}"/>
    <cellStyle name="Normal 3 2 9 3" xfId="21861" xr:uid="{00000000-0005-0000-0000-000056550000}"/>
    <cellStyle name="Normal 3 20" xfId="21862" xr:uid="{00000000-0005-0000-0000-000057550000}"/>
    <cellStyle name="Normal 3 20 10" xfId="21863" xr:uid="{00000000-0005-0000-0000-000058550000}"/>
    <cellStyle name="Normal 3 20 10 2" xfId="21864" xr:uid="{00000000-0005-0000-0000-000059550000}"/>
    <cellStyle name="Normal 3 20 10 3" xfId="21865" xr:uid="{00000000-0005-0000-0000-00005A550000}"/>
    <cellStyle name="Normal 3 20 11" xfId="21866" xr:uid="{00000000-0005-0000-0000-00005B550000}"/>
    <cellStyle name="Normal 3 20 11 2" xfId="21867" xr:uid="{00000000-0005-0000-0000-00005C550000}"/>
    <cellStyle name="Normal 3 20 11 3" xfId="21868" xr:uid="{00000000-0005-0000-0000-00005D550000}"/>
    <cellStyle name="Normal 3 20 12" xfId="21869" xr:uid="{00000000-0005-0000-0000-00005E550000}"/>
    <cellStyle name="Normal 3 20 12 2" xfId="21870" xr:uid="{00000000-0005-0000-0000-00005F550000}"/>
    <cellStyle name="Normal 3 20 12 3" xfId="21871" xr:uid="{00000000-0005-0000-0000-000060550000}"/>
    <cellStyle name="Normal 3 20 13" xfId="21872" xr:uid="{00000000-0005-0000-0000-000061550000}"/>
    <cellStyle name="Normal 3 20 13 2" xfId="21873" xr:uid="{00000000-0005-0000-0000-000062550000}"/>
    <cellStyle name="Normal 3 20 13 3" xfId="21874" xr:uid="{00000000-0005-0000-0000-000063550000}"/>
    <cellStyle name="Normal 3 20 14" xfId="21875" xr:uid="{00000000-0005-0000-0000-000064550000}"/>
    <cellStyle name="Normal 3 20 14 2" xfId="21876" xr:uid="{00000000-0005-0000-0000-000065550000}"/>
    <cellStyle name="Normal 3 20 14 3" xfId="21877" xr:uid="{00000000-0005-0000-0000-000066550000}"/>
    <cellStyle name="Normal 3 20 15" xfId="21878" xr:uid="{00000000-0005-0000-0000-000067550000}"/>
    <cellStyle name="Normal 3 20 15 2" xfId="21879" xr:uid="{00000000-0005-0000-0000-000068550000}"/>
    <cellStyle name="Normal 3 20 15 3" xfId="21880" xr:uid="{00000000-0005-0000-0000-000069550000}"/>
    <cellStyle name="Normal 3 20 16" xfId="21881" xr:uid="{00000000-0005-0000-0000-00006A550000}"/>
    <cellStyle name="Normal 3 20 16 2" xfId="21882" xr:uid="{00000000-0005-0000-0000-00006B550000}"/>
    <cellStyle name="Normal 3 20 16 3" xfId="21883" xr:uid="{00000000-0005-0000-0000-00006C550000}"/>
    <cellStyle name="Normal 3 20 17" xfId="21884" xr:uid="{00000000-0005-0000-0000-00006D550000}"/>
    <cellStyle name="Normal 3 20 17 2" xfId="21885" xr:uid="{00000000-0005-0000-0000-00006E550000}"/>
    <cellStyle name="Normal 3 20 17 3" xfId="21886" xr:uid="{00000000-0005-0000-0000-00006F550000}"/>
    <cellStyle name="Normal 3 20 18" xfId="21887" xr:uid="{00000000-0005-0000-0000-000070550000}"/>
    <cellStyle name="Normal 3 20 18 2" xfId="21888" xr:uid="{00000000-0005-0000-0000-000071550000}"/>
    <cellStyle name="Normal 3 20 18 3" xfId="21889" xr:uid="{00000000-0005-0000-0000-000072550000}"/>
    <cellStyle name="Normal 3 20 19" xfId="21890" xr:uid="{00000000-0005-0000-0000-000073550000}"/>
    <cellStyle name="Normal 3 20 19 2" xfId="21891" xr:uid="{00000000-0005-0000-0000-000074550000}"/>
    <cellStyle name="Normal 3 20 19 3" xfId="21892" xr:uid="{00000000-0005-0000-0000-000075550000}"/>
    <cellStyle name="Normal 3 20 2" xfId="21893" xr:uid="{00000000-0005-0000-0000-000076550000}"/>
    <cellStyle name="Normal 3 20 2 2" xfId="21894" xr:uid="{00000000-0005-0000-0000-000077550000}"/>
    <cellStyle name="Normal 3 20 2 3" xfId="21895" xr:uid="{00000000-0005-0000-0000-000078550000}"/>
    <cellStyle name="Normal 3 20 20" xfId="21896" xr:uid="{00000000-0005-0000-0000-000079550000}"/>
    <cellStyle name="Normal 3 20 20 2" xfId="21897" xr:uid="{00000000-0005-0000-0000-00007A550000}"/>
    <cellStyle name="Normal 3 20 20 3" xfId="21898" xr:uid="{00000000-0005-0000-0000-00007B550000}"/>
    <cellStyle name="Normal 3 20 21" xfId="21899" xr:uid="{00000000-0005-0000-0000-00007C550000}"/>
    <cellStyle name="Normal 3 20 21 2" xfId="21900" xr:uid="{00000000-0005-0000-0000-00007D550000}"/>
    <cellStyle name="Normal 3 20 21 3" xfId="21901" xr:uid="{00000000-0005-0000-0000-00007E550000}"/>
    <cellStyle name="Normal 3 20 22" xfId="21902" xr:uid="{00000000-0005-0000-0000-00007F550000}"/>
    <cellStyle name="Normal 3 20 22 2" xfId="21903" xr:uid="{00000000-0005-0000-0000-000080550000}"/>
    <cellStyle name="Normal 3 20 22 3" xfId="21904" xr:uid="{00000000-0005-0000-0000-000081550000}"/>
    <cellStyle name="Normal 3 20 23" xfId="21905" xr:uid="{00000000-0005-0000-0000-000082550000}"/>
    <cellStyle name="Normal 3 20 23 2" xfId="21906" xr:uid="{00000000-0005-0000-0000-000083550000}"/>
    <cellStyle name="Normal 3 20 23 3" xfId="21907" xr:uid="{00000000-0005-0000-0000-000084550000}"/>
    <cellStyle name="Normal 3 20 24" xfId="21908" xr:uid="{00000000-0005-0000-0000-000085550000}"/>
    <cellStyle name="Normal 3 20 25" xfId="21909" xr:uid="{00000000-0005-0000-0000-000086550000}"/>
    <cellStyle name="Normal 3 20 3" xfId="21910" xr:uid="{00000000-0005-0000-0000-000087550000}"/>
    <cellStyle name="Normal 3 20 3 2" xfId="21911" xr:uid="{00000000-0005-0000-0000-000088550000}"/>
    <cellStyle name="Normal 3 20 3 3" xfId="21912" xr:uid="{00000000-0005-0000-0000-000089550000}"/>
    <cellStyle name="Normal 3 20 4" xfId="21913" xr:uid="{00000000-0005-0000-0000-00008A550000}"/>
    <cellStyle name="Normal 3 20 4 2" xfId="21914" xr:uid="{00000000-0005-0000-0000-00008B550000}"/>
    <cellStyle name="Normal 3 20 4 3" xfId="21915" xr:uid="{00000000-0005-0000-0000-00008C550000}"/>
    <cellStyle name="Normal 3 20 5" xfId="21916" xr:uid="{00000000-0005-0000-0000-00008D550000}"/>
    <cellStyle name="Normal 3 20 5 2" xfId="21917" xr:uid="{00000000-0005-0000-0000-00008E550000}"/>
    <cellStyle name="Normal 3 20 5 3" xfId="21918" xr:uid="{00000000-0005-0000-0000-00008F550000}"/>
    <cellStyle name="Normal 3 20 6" xfId="21919" xr:uid="{00000000-0005-0000-0000-000090550000}"/>
    <cellStyle name="Normal 3 20 6 2" xfId="21920" xr:uid="{00000000-0005-0000-0000-000091550000}"/>
    <cellStyle name="Normal 3 20 6 3" xfId="21921" xr:uid="{00000000-0005-0000-0000-000092550000}"/>
    <cellStyle name="Normal 3 20 7" xfId="21922" xr:uid="{00000000-0005-0000-0000-000093550000}"/>
    <cellStyle name="Normal 3 20 7 2" xfId="21923" xr:uid="{00000000-0005-0000-0000-000094550000}"/>
    <cellStyle name="Normal 3 20 7 3" xfId="21924" xr:uid="{00000000-0005-0000-0000-000095550000}"/>
    <cellStyle name="Normal 3 20 8" xfId="21925" xr:uid="{00000000-0005-0000-0000-000096550000}"/>
    <cellStyle name="Normal 3 20 8 2" xfId="21926" xr:uid="{00000000-0005-0000-0000-000097550000}"/>
    <cellStyle name="Normal 3 20 8 3" xfId="21927" xr:uid="{00000000-0005-0000-0000-000098550000}"/>
    <cellStyle name="Normal 3 20 9" xfId="21928" xr:uid="{00000000-0005-0000-0000-000099550000}"/>
    <cellStyle name="Normal 3 20 9 2" xfId="21929" xr:uid="{00000000-0005-0000-0000-00009A550000}"/>
    <cellStyle name="Normal 3 20 9 3" xfId="21930" xr:uid="{00000000-0005-0000-0000-00009B550000}"/>
    <cellStyle name="Normal 3 21" xfId="21931" xr:uid="{00000000-0005-0000-0000-00009C550000}"/>
    <cellStyle name="Normal 3 21 10" xfId="21932" xr:uid="{00000000-0005-0000-0000-00009D550000}"/>
    <cellStyle name="Normal 3 21 10 2" xfId="21933" xr:uid="{00000000-0005-0000-0000-00009E550000}"/>
    <cellStyle name="Normal 3 21 10 3" xfId="21934" xr:uid="{00000000-0005-0000-0000-00009F550000}"/>
    <cellStyle name="Normal 3 21 11" xfId="21935" xr:uid="{00000000-0005-0000-0000-0000A0550000}"/>
    <cellStyle name="Normal 3 21 11 2" xfId="21936" xr:uid="{00000000-0005-0000-0000-0000A1550000}"/>
    <cellStyle name="Normal 3 21 11 3" xfId="21937" xr:uid="{00000000-0005-0000-0000-0000A2550000}"/>
    <cellStyle name="Normal 3 21 12" xfId="21938" xr:uid="{00000000-0005-0000-0000-0000A3550000}"/>
    <cellStyle name="Normal 3 21 12 2" xfId="21939" xr:uid="{00000000-0005-0000-0000-0000A4550000}"/>
    <cellStyle name="Normal 3 21 12 3" xfId="21940" xr:uid="{00000000-0005-0000-0000-0000A5550000}"/>
    <cellStyle name="Normal 3 21 13" xfId="21941" xr:uid="{00000000-0005-0000-0000-0000A6550000}"/>
    <cellStyle name="Normal 3 21 13 2" xfId="21942" xr:uid="{00000000-0005-0000-0000-0000A7550000}"/>
    <cellStyle name="Normal 3 21 13 3" xfId="21943" xr:uid="{00000000-0005-0000-0000-0000A8550000}"/>
    <cellStyle name="Normal 3 21 14" xfId="21944" xr:uid="{00000000-0005-0000-0000-0000A9550000}"/>
    <cellStyle name="Normal 3 21 14 2" xfId="21945" xr:uid="{00000000-0005-0000-0000-0000AA550000}"/>
    <cellStyle name="Normal 3 21 14 3" xfId="21946" xr:uid="{00000000-0005-0000-0000-0000AB550000}"/>
    <cellStyle name="Normal 3 21 15" xfId="21947" xr:uid="{00000000-0005-0000-0000-0000AC550000}"/>
    <cellStyle name="Normal 3 21 15 2" xfId="21948" xr:uid="{00000000-0005-0000-0000-0000AD550000}"/>
    <cellStyle name="Normal 3 21 15 3" xfId="21949" xr:uid="{00000000-0005-0000-0000-0000AE550000}"/>
    <cellStyle name="Normal 3 21 16" xfId="21950" xr:uid="{00000000-0005-0000-0000-0000AF550000}"/>
    <cellStyle name="Normal 3 21 16 2" xfId="21951" xr:uid="{00000000-0005-0000-0000-0000B0550000}"/>
    <cellStyle name="Normal 3 21 16 3" xfId="21952" xr:uid="{00000000-0005-0000-0000-0000B1550000}"/>
    <cellStyle name="Normal 3 21 17" xfId="21953" xr:uid="{00000000-0005-0000-0000-0000B2550000}"/>
    <cellStyle name="Normal 3 21 17 2" xfId="21954" xr:uid="{00000000-0005-0000-0000-0000B3550000}"/>
    <cellStyle name="Normal 3 21 17 3" xfId="21955" xr:uid="{00000000-0005-0000-0000-0000B4550000}"/>
    <cellStyle name="Normal 3 21 18" xfId="21956" xr:uid="{00000000-0005-0000-0000-0000B5550000}"/>
    <cellStyle name="Normal 3 21 18 2" xfId="21957" xr:uid="{00000000-0005-0000-0000-0000B6550000}"/>
    <cellStyle name="Normal 3 21 18 3" xfId="21958" xr:uid="{00000000-0005-0000-0000-0000B7550000}"/>
    <cellStyle name="Normal 3 21 19" xfId="21959" xr:uid="{00000000-0005-0000-0000-0000B8550000}"/>
    <cellStyle name="Normal 3 21 19 2" xfId="21960" xr:uid="{00000000-0005-0000-0000-0000B9550000}"/>
    <cellStyle name="Normal 3 21 19 3" xfId="21961" xr:uid="{00000000-0005-0000-0000-0000BA550000}"/>
    <cellStyle name="Normal 3 21 2" xfId="21962" xr:uid="{00000000-0005-0000-0000-0000BB550000}"/>
    <cellStyle name="Normal 3 21 2 2" xfId="21963" xr:uid="{00000000-0005-0000-0000-0000BC550000}"/>
    <cellStyle name="Normal 3 21 2 3" xfId="21964" xr:uid="{00000000-0005-0000-0000-0000BD550000}"/>
    <cellStyle name="Normal 3 21 20" xfId="21965" xr:uid="{00000000-0005-0000-0000-0000BE550000}"/>
    <cellStyle name="Normal 3 21 20 2" xfId="21966" xr:uid="{00000000-0005-0000-0000-0000BF550000}"/>
    <cellStyle name="Normal 3 21 20 3" xfId="21967" xr:uid="{00000000-0005-0000-0000-0000C0550000}"/>
    <cellStyle name="Normal 3 21 21" xfId="21968" xr:uid="{00000000-0005-0000-0000-0000C1550000}"/>
    <cellStyle name="Normal 3 21 21 2" xfId="21969" xr:uid="{00000000-0005-0000-0000-0000C2550000}"/>
    <cellStyle name="Normal 3 21 21 3" xfId="21970" xr:uid="{00000000-0005-0000-0000-0000C3550000}"/>
    <cellStyle name="Normal 3 21 22" xfId="21971" xr:uid="{00000000-0005-0000-0000-0000C4550000}"/>
    <cellStyle name="Normal 3 21 22 2" xfId="21972" xr:uid="{00000000-0005-0000-0000-0000C5550000}"/>
    <cellStyle name="Normal 3 21 22 3" xfId="21973" xr:uid="{00000000-0005-0000-0000-0000C6550000}"/>
    <cellStyle name="Normal 3 21 23" xfId="21974" xr:uid="{00000000-0005-0000-0000-0000C7550000}"/>
    <cellStyle name="Normal 3 21 23 2" xfId="21975" xr:uid="{00000000-0005-0000-0000-0000C8550000}"/>
    <cellStyle name="Normal 3 21 23 3" xfId="21976" xr:uid="{00000000-0005-0000-0000-0000C9550000}"/>
    <cellStyle name="Normal 3 21 24" xfId="21977" xr:uid="{00000000-0005-0000-0000-0000CA550000}"/>
    <cellStyle name="Normal 3 21 25" xfId="21978" xr:uid="{00000000-0005-0000-0000-0000CB550000}"/>
    <cellStyle name="Normal 3 21 3" xfId="21979" xr:uid="{00000000-0005-0000-0000-0000CC550000}"/>
    <cellStyle name="Normal 3 21 3 2" xfId="21980" xr:uid="{00000000-0005-0000-0000-0000CD550000}"/>
    <cellStyle name="Normal 3 21 3 3" xfId="21981" xr:uid="{00000000-0005-0000-0000-0000CE550000}"/>
    <cellStyle name="Normal 3 21 4" xfId="21982" xr:uid="{00000000-0005-0000-0000-0000CF550000}"/>
    <cellStyle name="Normal 3 21 4 2" xfId="21983" xr:uid="{00000000-0005-0000-0000-0000D0550000}"/>
    <cellStyle name="Normal 3 21 4 3" xfId="21984" xr:uid="{00000000-0005-0000-0000-0000D1550000}"/>
    <cellStyle name="Normal 3 21 5" xfId="21985" xr:uid="{00000000-0005-0000-0000-0000D2550000}"/>
    <cellStyle name="Normal 3 21 5 2" xfId="21986" xr:uid="{00000000-0005-0000-0000-0000D3550000}"/>
    <cellStyle name="Normal 3 21 5 3" xfId="21987" xr:uid="{00000000-0005-0000-0000-0000D4550000}"/>
    <cellStyle name="Normal 3 21 6" xfId="21988" xr:uid="{00000000-0005-0000-0000-0000D5550000}"/>
    <cellStyle name="Normal 3 21 6 2" xfId="21989" xr:uid="{00000000-0005-0000-0000-0000D6550000}"/>
    <cellStyle name="Normal 3 21 6 3" xfId="21990" xr:uid="{00000000-0005-0000-0000-0000D7550000}"/>
    <cellStyle name="Normal 3 21 7" xfId="21991" xr:uid="{00000000-0005-0000-0000-0000D8550000}"/>
    <cellStyle name="Normal 3 21 7 2" xfId="21992" xr:uid="{00000000-0005-0000-0000-0000D9550000}"/>
    <cellStyle name="Normal 3 21 7 3" xfId="21993" xr:uid="{00000000-0005-0000-0000-0000DA550000}"/>
    <cellStyle name="Normal 3 21 8" xfId="21994" xr:uid="{00000000-0005-0000-0000-0000DB550000}"/>
    <cellStyle name="Normal 3 21 8 2" xfId="21995" xr:uid="{00000000-0005-0000-0000-0000DC550000}"/>
    <cellStyle name="Normal 3 21 8 3" xfId="21996" xr:uid="{00000000-0005-0000-0000-0000DD550000}"/>
    <cellStyle name="Normal 3 21 9" xfId="21997" xr:uid="{00000000-0005-0000-0000-0000DE550000}"/>
    <cellStyle name="Normal 3 21 9 2" xfId="21998" xr:uid="{00000000-0005-0000-0000-0000DF550000}"/>
    <cellStyle name="Normal 3 21 9 3" xfId="21999" xr:uid="{00000000-0005-0000-0000-0000E0550000}"/>
    <cellStyle name="Normal 3 22" xfId="22000" xr:uid="{00000000-0005-0000-0000-0000E1550000}"/>
    <cellStyle name="Normal 3 22 10" xfId="22001" xr:uid="{00000000-0005-0000-0000-0000E2550000}"/>
    <cellStyle name="Normal 3 22 10 2" xfId="22002" xr:uid="{00000000-0005-0000-0000-0000E3550000}"/>
    <cellStyle name="Normal 3 22 10 3" xfId="22003" xr:uid="{00000000-0005-0000-0000-0000E4550000}"/>
    <cellStyle name="Normal 3 22 11" xfId="22004" xr:uid="{00000000-0005-0000-0000-0000E5550000}"/>
    <cellStyle name="Normal 3 22 11 2" xfId="22005" xr:uid="{00000000-0005-0000-0000-0000E6550000}"/>
    <cellStyle name="Normal 3 22 11 3" xfId="22006" xr:uid="{00000000-0005-0000-0000-0000E7550000}"/>
    <cellStyle name="Normal 3 22 12" xfId="22007" xr:uid="{00000000-0005-0000-0000-0000E8550000}"/>
    <cellStyle name="Normal 3 22 12 2" xfId="22008" xr:uid="{00000000-0005-0000-0000-0000E9550000}"/>
    <cellStyle name="Normal 3 22 12 3" xfId="22009" xr:uid="{00000000-0005-0000-0000-0000EA550000}"/>
    <cellStyle name="Normal 3 22 13" xfId="22010" xr:uid="{00000000-0005-0000-0000-0000EB550000}"/>
    <cellStyle name="Normal 3 22 13 2" xfId="22011" xr:uid="{00000000-0005-0000-0000-0000EC550000}"/>
    <cellStyle name="Normal 3 22 13 3" xfId="22012" xr:uid="{00000000-0005-0000-0000-0000ED550000}"/>
    <cellStyle name="Normal 3 22 14" xfId="22013" xr:uid="{00000000-0005-0000-0000-0000EE550000}"/>
    <cellStyle name="Normal 3 22 14 2" xfId="22014" xr:uid="{00000000-0005-0000-0000-0000EF550000}"/>
    <cellStyle name="Normal 3 22 14 3" xfId="22015" xr:uid="{00000000-0005-0000-0000-0000F0550000}"/>
    <cellStyle name="Normal 3 22 15" xfId="22016" xr:uid="{00000000-0005-0000-0000-0000F1550000}"/>
    <cellStyle name="Normal 3 22 15 2" xfId="22017" xr:uid="{00000000-0005-0000-0000-0000F2550000}"/>
    <cellStyle name="Normal 3 22 15 3" xfId="22018" xr:uid="{00000000-0005-0000-0000-0000F3550000}"/>
    <cellStyle name="Normal 3 22 16" xfId="22019" xr:uid="{00000000-0005-0000-0000-0000F4550000}"/>
    <cellStyle name="Normal 3 22 16 2" xfId="22020" xr:uid="{00000000-0005-0000-0000-0000F5550000}"/>
    <cellStyle name="Normal 3 22 16 3" xfId="22021" xr:uid="{00000000-0005-0000-0000-0000F6550000}"/>
    <cellStyle name="Normal 3 22 17" xfId="22022" xr:uid="{00000000-0005-0000-0000-0000F7550000}"/>
    <cellStyle name="Normal 3 22 17 2" xfId="22023" xr:uid="{00000000-0005-0000-0000-0000F8550000}"/>
    <cellStyle name="Normal 3 22 17 3" xfId="22024" xr:uid="{00000000-0005-0000-0000-0000F9550000}"/>
    <cellStyle name="Normal 3 22 18" xfId="22025" xr:uid="{00000000-0005-0000-0000-0000FA550000}"/>
    <cellStyle name="Normal 3 22 18 2" xfId="22026" xr:uid="{00000000-0005-0000-0000-0000FB550000}"/>
    <cellStyle name="Normal 3 22 18 3" xfId="22027" xr:uid="{00000000-0005-0000-0000-0000FC550000}"/>
    <cellStyle name="Normal 3 22 19" xfId="22028" xr:uid="{00000000-0005-0000-0000-0000FD550000}"/>
    <cellStyle name="Normal 3 22 19 2" xfId="22029" xr:uid="{00000000-0005-0000-0000-0000FE550000}"/>
    <cellStyle name="Normal 3 22 19 3" xfId="22030" xr:uid="{00000000-0005-0000-0000-0000FF550000}"/>
    <cellStyle name="Normal 3 22 2" xfId="22031" xr:uid="{00000000-0005-0000-0000-000000560000}"/>
    <cellStyle name="Normal 3 22 2 2" xfId="22032" xr:uid="{00000000-0005-0000-0000-000001560000}"/>
    <cellStyle name="Normal 3 22 2 3" xfId="22033" xr:uid="{00000000-0005-0000-0000-000002560000}"/>
    <cellStyle name="Normal 3 22 20" xfId="22034" xr:uid="{00000000-0005-0000-0000-000003560000}"/>
    <cellStyle name="Normal 3 22 20 2" xfId="22035" xr:uid="{00000000-0005-0000-0000-000004560000}"/>
    <cellStyle name="Normal 3 22 20 3" xfId="22036" xr:uid="{00000000-0005-0000-0000-000005560000}"/>
    <cellStyle name="Normal 3 22 21" xfId="22037" xr:uid="{00000000-0005-0000-0000-000006560000}"/>
    <cellStyle name="Normal 3 22 21 2" xfId="22038" xr:uid="{00000000-0005-0000-0000-000007560000}"/>
    <cellStyle name="Normal 3 22 21 3" xfId="22039" xr:uid="{00000000-0005-0000-0000-000008560000}"/>
    <cellStyle name="Normal 3 22 22" xfId="22040" xr:uid="{00000000-0005-0000-0000-000009560000}"/>
    <cellStyle name="Normal 3 22 22 2" xfId="22041" xr:uid="{00000000-0005-0000-0000-00000A560000}"/>
    <cellStyle name="Normal 3 22 22 3" xfId="22042" xr:uid="{00000000-0005-0000-0000-00000B560000}"/>
    <cellStyle name="Normal 3 22 23" xfId="22043" xr:uid="{00000000-0005-0000-0000-00000C560000}"/>
    <cellStyle name="Normal 3 22 23 2" xfId="22044" xr:uid="{00000000-0005-0000-0000-00000D560000}"/>
    <cellStyle name="Normal 3 22 23 3" xfId="22045" xr:uid="{00000000-0005-0000-0000-00000E560000}"/>
    <cellStyle name="Normal 3 22 24" xfId="22046" xr:uid="{00000000-0005-0000-0000-00000F560000}"/>
    <cellStyle name="Normal 3 22 25" xfId="22047" xr:uid="{00000000-0005-0000-0000-000010560000}"/>
    <cellStyle name="Normal 3 22 3" xfId="22048" xr:uid="{00000000-0005-0000-0000-000011560000}"/>
    <cellStyle name="Normal 3 22 3 2" xfId="22049" xr:uid="{00000000-0005-0000-0000-000012560000}"/>
    <cellStyle name="Normal 3 22 3 3" xfId="22050" xr:uid="{00000000-0005-0000-0000-000013560000}"/>
    <cellStyle name="Normal 3 22 4" xfId="22051" xr:uid="{00000000-0005-0000-0000-000014560000}"/>
    <cellStyle name="Normal 3 22 4 2" xfId="22052" xr:uid="{00000000-0005-0000-0000-000015560000}"/>
    <cellStyle name="Normal 3 22 4 3" xfId="22053" xr:uid="{00000000-0005-0000-0000-000016560000}"/>
    <cellStyle name="Normal 3 22 5" xfId="22054" xr:uid="{00000000-0005-0000-0000-000017560000}"/>
    <cellStyle name="Normal 3 22 5 2" xfId="22055" xr:uid="{00000000-0005-0000-0000-000018560000}"/>
    <cellStyle name="Normal 3 22 5 3" xfId="22056" xr:uid="{00000000-0005-0000-0000-000019560000}"/>
    <cellStyle name="Normal 3 22 6" xfId="22057" xr:uid="{00000000-0005-0000-0000-00001A560000}"/>
    <cellStyle name="Normal 3 22 6 2" xfId="22058" xr:uid="{00000000-0005-0000-0000-00001B560000}"/>
    <cellStyle name="Normal 3 22 6 3" xfId="22059" xr:uid="{00000000-0005-0000-0000-00001C560000}"/>
    <cellStyle name="Normal 3 22 7" xfId="22060" xr:uid="{00000000-0005-0000-0000-00001D560000}"/>
    <cellStyle name="Normal 3 22 7 2" xfId="22061" xr:uid="{00000000-0005-0000-0000-00001E560000}"/>
    <cellStyle name="Normal 3 22 7 3" xfId="22062" xr:uid="{00000000-0005-0000-0000-00001F560000}"/>
    <cellStyle name="Normal 3 22 8" xfId="22063" xr:uid="{00000000-0005-0000-0000-000020560000}"/>
    <cellStyle name="Normal 3 22 8 2" xfId="22064" xr:uid="{00000000-0005-0000-0000-000021560000}"/>
    <cellStyle name="Normal 3 22 8 3" xfId="22065" xr:uid="{00000000-0005-0000-0000-000022560000}"/>
    <cellStyle name="Normal 3 22 9" xfId="22066" xr:uid="{00000000-0005-0000-0000-000023560000}"/>
    <cellStyle name="Normal 3 22 9 2" xfId="22067" xr:uid="{00000000-0005-0000-0000-000024560000}"/>
    <cellStyle name="Normal 3 22 9 3" xfId="22068" xr:uid="{00000000-0005-0000-0000-000025560000}"/>
    <cellStyle name="Normal 3 23" xfId="22069" xr:uid="{00000000-0005-0000-0000-000026560000}"/>
    <cellStyle name="Normal 3 23 10" xfId="22070" xr:uid="{00000000-0005-0000-0000-000027560000}"/>
    <cellStyle name="Normal 3 23 10 2" xfId="22071" xr:uid="{00000000-0005-0000-0000-000028560000}"/>
    <cellStyle name="Normal 3 23 10 3" xfId="22072" xr:uid="{00000000-0005-0000-0000-000029560000}"/>
    <cellStyle name="Normal 3 23 11" xfId="22073" xr:uid="{00000000-0005-0000-0000-00002A560000}"/>
    <cellStyle name="Normal 3 23 11 2" xfId="22074" xr:uid="{00000000-0005-0000-0000-00002B560000}"/>
    <cellStyle name="Normal 3 23 11 3" xfId="22075" xr:uid="{00000000-0005-0000-0000-00002C560000}"/>
    <cellStyle name="Normal 3 23 12" xfId="22076" xr:uid="{00000000-0005-0000-0000-00002D560000}"/>
    <cellStyle name="Normal 3 23 12 2" xfId="22077" xr:uid="{00000000-0005-0000-0000-00002E560000}"/>
    <cellStyle name="Normal 3 23 12 3" xfId="22078" xr:uid="{00000000-0005-0000-0000-00002F560000}"/>
    <cellStyle name="Normal 3 23 13" xfId="22079" xr:uid="{00000000-0005-0000-0000-000030560000}"/>
    <cellStyle name="Normal 3 23 13 2" xfId="22080" xr:uid="{00000000-0005-0000-0000-000031560000}"/>
    <cellStyle name="Normal 3 23 13 3" xfId="22081" xr:uid="{00000000-0005-0000-0000-000032560000}"/>
    <cellStyle name="Normal 3 23 14" xfId="22082" xr:uid="{00000000-0005-0000-0000-000033560000}"/>
    <cellStyle name="Normal 3 23 14 2" xfId="22083" xr:uid="{00000000-0005-0000-0000-000034560000}"/>
    <cellStyle name="Normal 3 23 14 3" xfId="22084" xr:uid="{00000000-0005-0000-0000-000035560000}"/>
    <cellStyle name="Normal 3 23 15" xfId="22085" xr:uid="{00000000-0005-0000-0000-000036560000}"/>
    <cellStyle name="Normal 3 23 15 2" xfId="22086" xr:uid="{00000000-0005-0000-0000-000037560000}"/>
    <cellStyle name="Normal 3 23 15 3" xfId="22087" xr:uid="{00000000-0005-0000-0000-000038560000}"/>
    <cellStyle name="Normal 3 23 16" xfId="22088" xr:uid="{00000000-0005-0000-0000-000039560000}"/>
    <cellStyle name="Normal 3 23 16 2" xfId="22089" xr:uid="{00000000-0005-0000-0000-00003A560000}"/>
    <cellStyle name="Normal 3 23 16 3" xfId="22090" xr:uid="{00000000-0005-0000-0000-00003B560000}"/>
    <cellStyle name="Normal 3 23 17" xfId="22091" xr:uid="{00000000-0005-0000-0000-00003C560000}"/>
    <cellStyle name="Normal 3 23 17 2" xfId="22092" xr:uid="{00000000-0005-0000-0000-00003D560000}"/>
    <cellStyle name="Normal 3 23 17 3" xfId="22093" xr:uid="{00000000-0005-0000-0000-00003E560000}"/>
    <cellStyle name="Normal 3 23 18" xfId="22094" xr:uid="{00000000-0005-0000-0000-00003F560000}"/>
    <cellStyle name="Normal 3 23 18 2" xfId="22095" xr:uid="{00000000-0005-0000-0000-000040560000}"/>
    <cellStyle name="Normal 3 23 18 3" xfId="22096" xr:uid="{00000000-0005-0000-0000-000041560000}"/>
    <cellStyle name="Normal 3 23 19" xfId="22097" xr:uid="{00000000-0005-0000-0000-000042560000}"/>
    <cellStyle name="Normal 3 23 19 2" xfId="22098" xr:uid="{00000000-0005-0000-0000-000043560000}"/>
    <cellStyle name="Normal 3 23 19 3" xfId="22099" xr:uid="{00000000-0005-0000-0000-000044560000}"/>
    <cellStyle name="Normal 3 23 2" xfId="22100" xr:uid="{00000000-0005-0000-0000-000045560000}"/>
    <cellStyle name="Normal 3 23 2 2" xfId="22101" xr:uid="{00000000-0005-0000-0000-000046560000}"/>
    <cellStyle name="Normal 3 23 2 3" xfId="22102" xr:uid="{00000000-0005-0000-0000-000047560000}"/>
    <cellStyle name="Normal 3 23 20" xfId="22103" xr:uid="{00000000-0005-0000-0000-000048560000}"/>
    <cellStyle name="Normal 3 23 20 2" xfId="22104" xr:uid="{00000000-0005-0000-0000-000049560000}"/>
    <cellStyle name="Normal 3 23 20 3" xfId="22105" xr:uid="{00000000-0005-0000-0000-00004A560000}"/>
    <cellStyle name="Normal 3 23 21" xfId="22106" xr:uid="{00000000-0005-0000-0000-00004B560000}"/>
    <cellStyle name="Normal 3 23 21 2" xfId="22107" xr:uid="{00000000-0005-0000-0000-00004C560000}"/>
    <cellStyle name="Normal 3 23 21 3" xfId="22108" xr:uid="{00000000-0005-0000-0000-00004D560000}"/>
    <cellStyle name="Normal 3 23 22" xfId="22109" xr:uid="{00000000-0005-0000-0000-00004E560000}"/>
    <cellStyle name="Normal 3 23 22 2" xfId="22110" xr:uid="{00000000-0005-0000-0000-00004F560000}"/>
    <cellStyle name="Normal 3 23 22 3" xfId="22111" xr:uid="{00000000-0005-0000-0000-000050560000}"/>
    <cellStyle name="Normal 3 23 23" xfId="22112" xr:uid="{00000000-0005-0000-0000-000051560000}"/>
    <cellStyle name="Normal 3 23 23 2" xfId="22113" xr:uid="{00000000-0005-0000-0000-000052560000}"/>
    <cellStyle name="Normal 3 23 23 3" xfId="22114" xr:uid="{00000000-0005-0000-0000-000053560000}"/>
    <cellStyle name="Normal 3 23 24" xfId="22115" xr:uid="{00000000-0005-0000-0000-000054560000}"/>
    <cellStyle name="Normal 3 23 25" xfId="22116" xr:uid="{00000000-0005-0000-0000-000055560000}"/>
    <cellStyle name="Normal 3 23 3" xfId="22117" xr:uid="{00000000-0005-0000-0000-000056560000}"/>
    <cellStyle name="Normal 3 23 3 2" xfId="22118" xr:uid="{00000000-0005-0000-0000-000057560000}"/>
    <cellStyle name="Normal 3 23 3 3" xfId="22119" xr:uid="{00000000-0005-0000-0000-000058560000}"/>
    <cellStyle name="Normal 3 23 4" xfId="22120" xr:uid="{00000000-0005-0000-0000-000059560000}"/>
    <cellStyle name="Normal 3 23 4 2" xfId="22121" xr:uid="{00000000-0005-0000-0000-00005A560000}"/>
    <cellStyle name="Normal 3 23 4 3" xfId="22122" xr:uid="{00000000-0005-0000-0000-00005B560000}"/>
    <cellStyle name="Normal 3 23 5" xfId="22123" xr:uid="{00000000-0005-0000-0000-00005C560000}"/>
    <cellStyle name="Normal 3 23 5 2" xfId="22124" xr:uid="{00000000-0005-0000-0000-00005D560000}"/>
    <cellStyle name="Normal 3 23 5 3" xfId="22125" xr:uid="{00000000-0005-0000-0000-00005E560000}"/>
    <cellStyle name="Normal 3 23 6" xfId="22126" xr:uid="{00000000-0005-0000-0000-00005F560000}"/>
    <cellStyle name="Normal 3 23 6 2" xfId="22127" xr:uid="{00000000-0005-0000-0000-000060560000}"/>
    <cellStyle name="Normal 3 23 6 3" xfId="22128" xr:uid="{00000000-0005-0000-0000-000061560000}"/>
    <cellStyle name="Normal 3 23 7" xfId="22129" xr:uid="{00000000-0005-0000-0000-000062560000}"/>
    <cellStyle name="Normal 3 23 7 2" xfId="22130" xr:uid="{00000000-0005-0000-0000-000063560000}"/>
    <cellStyle name="Normal 3 23 7 3" xfId="22131" xr:uid="{00000000-0005-0000-0000-000064560000}"/>
    <cellStyle name="Normal 3 23 8" xfId="22132" xr:uid="{00000000-0005-0000-0000-000065560000}"/>
    <cellStyle name="Normal 3 23 8 2" xfId="22133" xr:uid="{00000000-0005-0000-0000-000066560000}"/>
    <cellStyle name="Normal 3 23 8 3" xfId="22134" xr:uid="{00000000-0005-0000-0000-000067560000}"/>
    <cellStyle name="Normal 3 23 9" xfId="22135" xr:uid="{00000000-0005-0000-0000-000068560000}"/>
    <cellStyle name="Normal 3 23 9 2" xfId="22136" xr:uid="{00000000-0005-0000-0000-000069560000}"/>
    <cellStyle name="Normal 3 23 9 3" xfId="22137" xr:uid="{00000000-0005-0000-0000-00006A560000}"/>
    <cellStyle name="Normal 3 24" xfId="22138" xr:uid="{00000000-0005-0000-0000-00006B560000}"/>
    <cellStyle name="Normal 3 24 10" xfId="22139" xr:uid="{00000000-0005-0000-0000-00006C560000}"/>
    <cellStyle name="Normal 3 24 10 2" xfId="22140" xr:uid="{00000000-0005-0000-0000-00006D560000}"/>
    <cellStyle name="Normal 3 24 10 3" xfId="22141" xr:uid="{00000000-0005-0000-0000-00006E560000}"/>
    <cellStyle name="Normal 3 24 11" xfId="22142" xr:uid="{00000000-0005-0000-0000-00006F560000}"/>
    <cellStyle name="Normal 3 24 11 2" xfId="22143" xr:uid="{00000000-0005-0000-0000-000070560000}"/>
    <cellStyle name="Normal 3 24 11 3" xfId="22144" xr:uid="{00000000-0005-0000-0000-000071560000}"/>
    <cellStyle name="Normal 3 24 12" xfId="22145" xr:uid="{00000000-0005-0000-0000-000072560000}"/>
    <cellStyle name="Normal 3 24 12 2" xfId="22146" xr:uid="{00000000-0005-0000-0000-000073560000}"/>
    <cellStyle name="Normal 3 24 12 3" xfId="22147" xr:uid="{00000000-0005-0000-0000-000074560000}"/>
    <cellStyle name="Normal 3 24 13" xfId="22148" xr:uid="{00000000-0005-0000-0000-000075560000}"/>
    <cellStyle name="Normal 3 24 13 2" xfId="22149" xr:uid="{00000000-0005-0000-0000-000076560000}"/>
    <cellStyle name="Normal 3 24 13 3" xfId="22150" xr:uid="{00000000-0005-0000-0000-000077560000}"/>
    <cellStyle name="Normal 3 24 14" xfId="22151" xr:uid="{00000000-0005-0000-0000-000078560000}"/>
    <cellStyle name="Normal 3 24 14 2" xfId="22152" xr:uid="{00000000-0005-0000-0000-000079560000}"/>
    <cellStyle name="Normal 3 24 14 3" xfId="22153" xr:uid="{00000000-0005-0000-0000-00007A560000}"/>
    <cellStyle name="Normal 3 24 15" xfId="22154" xr:uid="{00000000-0005-0000-0000-00007B560000}"/>
    <cellStyle name="Normal 3 24 15 2" xfId="22155" xr:uid="{00000000-0005-0000-0000-00007C560000}"/>
    <cellStyle name="Normal 3 24 15 3" xfId="22156" xr:uid="{00000000-0005-0000-0000-00007D560000}"/>
    <cellStyle name="Normal 3 24 16" xfId="22157" xr:uid="{00000000-0005-0000-0000-00007E560000}"/>
    <cellStyle name="Normal 3 24 16 2" xfId="22158" xr:uid="{00000000-0005-0000-0000-00007F560000}"/>
    <cellStyle name="Normal 3 24 16 3" xfId="22159" xr:uid="{00000000-0005-0000-0000-000080560000}"/>
    <cellStyle name="Normal 3 24 17" xfId="22160" xr:uid="{00000000-0005-0000-0000-000081560000}"/>
    <cellStyle name="Normal 3 24 17 2" xfId="22161" xr:uid="{00000000-0005-0000-0000-000082560000}"/>
    <cellStyle name="Normal 3 24 17 3" xfId="22162" xr:uid="{00000000-0005-0000-0000-000083560000}"/>
    <cellStyle name="Normal 3 24 18" xfId="22163" xr:uid="{00000000-0005-0000-0000-000084560000}"/>
    <cellStyle name="Normal 3 24 18 2" xfId="22164" xr:uid="{00000000-0005-0000-0000-000085560000}"/>
    <cellStyle name="Normal 3 24 18 3" xfId="22165" xr:uid="{00000000-0005-0000-0000-000086560000}"/>
    <cellStyle name="Normal 3 24 19" xfId="22166" xr:uid="{00000000-0005-0000-0000-000087560000}"/>
    <cellStyle name="Normal 3 24 19 2" xfId="22167" xr:uid="{00000000-0005-0000-0000-000088560000}"/>
    <cellStyle name="Normal 3 24 19 3" xfId="22168" xr:uid="{00000000-0005-0000-0000-000089560000}"/>
    <cellStyle name="Normal 3 24 2" xfId="22169" xr:uid="{00000000-0005-0000-0000-00008A560000}"/>
    <cellStyle name="Normal 3 24 2 2" xfId="22170" xr:uid="{00000000-0005-0000-0000-00008B560000}"/>
    <cellStyle name="Normal 3 24 2 3" xfId="22171" xr:uid="{00000000-0005-0000-0000-00008C560000}"/>
    <cellStyle name="Normal 3 24 20" xfId="22172" xr:uid="{00000000-0005-0000-0000-00008D560000}"/>
    <cellStyle name="Normal 3 24 20 2" xfId="22173" xr:uid="{00000000-0005-0000-0000-00008E560000}"/>
    <cellStyle name="Normal 3 24 20 3" xfId="22174" xr:uid="{00000000-0005-0000-0000-00008F560000}"/>
    <cellStyle name="Normal 3 24 21" xfId="22175" xr:uid="{00000000-0005-0000-0000-000090560000}"/>
    <cellStyle name="Normal 3 24 21 2" xfId="22176" xr:uid="{00000000-0005-0000-0000-000091560000}"/>
    <cellStyle name="Normal 3 24 21 3" xfId="22177" xr:uid="{00000000-0005-0000-0000-000092560000}"/>
    <cellStyle name="Normal 3 24 22" xfId="22178" xr:uid="{00000000-0005-0000-0000-000093560000}"/>
    <cellStyle name="Normal 3 24 22 2" xfId="22179" xr:uid="{00000000-0005-0000-0000-000094560000}"/>
    <cellStyle name="Normal 3 24 22 3" xfId="22180" xr:uid="{00000000-0005-0000-0000-000095560000}"/>
    <cellStyle name="Normal 3 24 23" xfId="22181" xr:uid="{00000000-0005-0000-0000-000096560000}"/>
    <cellStyle name="Normal 3 24 23 2" xfId="22182" xr:uid="{00000000-0005-0000-0000-000097560000}"/>
    <cellStyle name="Normal 3 24 23 3" xfId="22183" xr:uid="{00000000-0005-0000-0000-000098560000}"/>
    <cellStyle name="Normal 3 24 24" xfId="22184" xr:uid="{00000000-0005-0000-0000-000099560000}"/>
    <cellStyle name="Normal 3 24 25" xfId="22185" xr:uid="{00000000-0005-0000-0000-00009A560000}"/>
    <cellStyle name="Normal 3 24 3" xfId="22186" xr:uid="{00000000-0005-0000-0000-00009B560000}"/>
    <cellStyle name="Normal 3 24 3 2" xfId="22187" xr:uid="{00000000-0005-0000-0000-00009C560000}"/>
    <cellStyle name="Normal 3 24 3 3" xfId="22188" xr:uid="{00000000-0005-0000-0000-00009D560000}"/>
    <cellStyle name="Normal 3 24 4" xfId="22189" xr:uid="{00000000-0005-0000-0000-00009E560000}"/>
    <cellStyle name="Normal 3 24 4 2" xfId="22190" xr:uid="{00000000-0005-0000-0000-00009F560000}"/>
    <cellStyle name="Normal 3 24 4 3" xfId="22191" xr:uid="{00000000-0005-0000-0000-0000A0560000}"/>
    <cellStyle name="Normal 3 24 5" xfId="22192" xr:uid="{00000000-0005-0000-0000-0000A1560000}"/>
    <cellStyle name="Normal 3 24 5 2" xfId="22193" xr:uid="{00000000-0005-0000-0000-0000A2560000}"/>
    <cellStyle name="Normal 3 24 5 3" xfId="22194" xr:uid="{00000000-0005-0000-0000-0000A3560000}"/>
    <cellStyle name="Normal 3 24 6" xfId="22195" xr:uid="{00000000-0005-0000-0000-0000A4560000}"/>
    <cellStyle name="Normal 3 24 6 2" xfId="22196" xr:uid="{00000000-0005-0000-0000-0000A5560000}"/>
    <cellStyle name="Normal 3 24 6 3" xfId="22197" xr:uid="{00000000-0005-0000-0000-0000A6560000}"/>
    <cellStyle name="Normal 3 24 7" xfId="22198" xr:uid="{00000000-0005-0000-0000-0000A7560000}"/>
    <cellStyle name="Normal 3 24 7 2" xfId="22199" xr:uid="{00000000-0005-0000-0000-0000A8560000}"/>
    <cellStyle name="Normal 3 24 7 3" xfId="22200" xr:uid="{00000000-0005-0000-0000-0000A9560000}"/>
    <cellStyle name="Normal 3 24 8" xfId="22201" xr:uid="{00000000-0005-0000-0000-0000AA560000}"/>
    <cellStyle name="Normal 3 24 8 2" xfId="22202" xr:uid="{00000000-0005-0000-0000-0000AB560000}"/>
    <cellStyle name="Normal 3 24 8 3" xfId="22203" xr:uid="{00000000-0005-0000-0000-0000AC560000}"/>
    <cellStyle name="Normal 3 24 9" xfId="22204" xr:uid="{00000000-0005-0000-0000-0000AD560000}"/>
    <cellStyle name="Normal 3 24 9 2" xfId="22205" xr:uid="{00000000-0005-0000-0000-0000AE560000}"/>
    <cellStyle name="Normal 3 24 9 3" xfId="22206" xr:uid="{00000000-0005-0000-0000-0000AF560000}"/>
    <cellStyle name="Normal 3 25" xfId="22207" xr:uid="{00000000-0005-0000-0000-0000B0560000}"/>
    <cellStyle name="Normal 3 25 10" xfId="22208" xr:uid="{00000000-0005-0000-0000-0000B1560000}"/>
    <cellStyle name="Normal 3 25 10 2" xfId="22209" xr:uid="{00000000-0005-0000-0000-0000B2560000}"/>
    <cellStyle name="Normal 3 25 10 3" xfId="22210" xr:uid="{00000000-0005-0000-0000-0000B3560000}"/>
    <cellStyle name="Normal 3 25 11" xfId="22211" xr:uid="{00000000-0005-0000-0000-0000B4560000}"/>
    <cellStyle name="Normal 3 25 11 2" xfId="22212" xr:uid="{00000000-0005-0000-0000-0000B5560000}"/>
    <cellStyle name="Normal 3 25 11 3" xfId="22213" xr:uid="{00000000-0005-0000-0000-0000B6560000}"/>
    <cellStyle name="Normal 3 25 12" xfId="22214" xr:uid="{00000000-0005-0000-0000-0000B7560000}"/>
    <cellStyle name="Normal 3 25 12 2" xfId="22215" xr:uid="{00000000-0005-0000-0000-0000B8560000}"/>
    <cellStyle name="Normal 3 25 12 3" xfId="22216" xr:uid="{00000000-0005-0000-0000-0000B9560000}"/>
    <cellStyle name="Normal 3 25 13" xfId="22217" xr:uid="{00000000-0005-0000-0000-0000BA560000}"/>
    <cellStyle name="Normal 3 25 13 2" xfId="22218" xr:uid="{00000000-0005-0000-0000-0000BB560000}"/>
    <cellStyle name="Normal 3 25 13 3" xfId="22219" xr:uid="{00000000-0005-0000-0000-0000BC560000}"/>
    <cellStyle name="Normal 3 25 14" xfId="22220" xr:uid="{00000000-0005-0000-0000-0000BD560000}"/>
    <cellStyle name="Normal 3 25 14 2" xfId="22221" xr:uid="{00000000-0005-0000-0000-0000BE560000}"/>
    <cellStyle name="Normal 3 25 14 3" xfId="22222" xr:uid="{00000000-0005-0000-0000-0000BF560000}"/>
    <cellStyle name="Normal 3 25 15" xfId="22223" xr:uid="{00000000-0005-0000-0000-0000C0560000}"/>
    <cellStyle name="Normal 3 25 15 2" xfId="22224" xr:uid="{00000000-0005-0000-0000-0000C1560000}"/>
    <cellStyle name="Normal 3 25 15 3" xfId="22225" xr:uid="{00000000-0005-0000-0000-0000C2560000}"/>
    <cellStyle name="Normal 3 25 16" xfId="22226" xr:uid="{00000000-0005-0000-0000-0000C3560000}"/>
    <cellStyle name="Normal 3 25 16 2" xfId="22227" xr:uid="{00000000-0005-0000-0000-0000C4560000}"/>
    <cellStyle name="Normal 3 25 16 3" xfId="22228" xr:uid="{00000000-0005-0000-0000-0000C5560000}"/>
    <cellStyle name="Normal 3 25 17" xfId="22229" xr:uid="{00000000-0005-0000-0000-0000C6560000}"/>
    <cellStyle name="Normal 3 25 17 2" xfId="22230" xr:uid="{00000000-0005-0000-0000-0000C7560000}"/>
    <cellStyle name="Normal 3 25 17 3" xfId="22231" xr:uid="{00000000-0005-0000-0000-0000C8560000}"/>
    <cellStyle name="Normal 3 25 18" xfId="22232" xr:uid="{00000000-0005-0000-0000-0000C9560000}"/>
    <cellStyle name="Normal 3 25 18 2" xfId="22233" xr:uid="{00000000-0005-0000-0000-0000CA560000}"/>
    <cellStyle name="Normal 3 25 18 3" xfId="22234" xr:uid="{00000000-0005-0000-0000-0000CB560000}"/>
    <cellStyle name="Normal 3 25 19" xfId="22235" xr:uid="{00000000-0005-0000-0000-0000CC560000}"/>
    <cellStyle name="Normal 3 25 19 2" xfId="22236" xr:uid="{00000000-0005-0000-0000-0000CD560000}"/>
    <cellStyle name="Normal 3 25 19 3" xfId="22237" xr:uid="{00000000-0005-0000-0000-0000CE560000}"/>
    <cellStyle name="Normal 3 25 2" xfId="22238" xr:uid="{00000000-0005-0000-0000-0000CF560000}"/>
    <cellStyle name="Normal 3 25 2 2" xfId="22239" xr:uid="{00000000-0005-0000-0000-0000D0560000}"/>
    <cellStyle name="Normal 3 25 2 3" xfId="22240" xr:uid="{00000000-0005-0000-0000-0000D1560000}"/>
    <cellStyle name="Normal 3 25 20" xfId="22241" xr:uid="{00000000-0005-0000-0000-0000D2560000}"/>
    <cellStyle name="Normal 3 25 20 2" xfId="22242" xr:uid="{00000000-0005-0000-0000-0000D3560000}"/>
    <cellStyle name="Normal 3 25 20 3" xfId="22243" xr:uid="{00000000-0005-0000-0000-0000D4560000}"/>
    <cellStyle name="Normal 3 25 21" xfId="22244" xr:uid="{00000000-0005-0000-0000-0000D5560000}"/>
    <cellStyle name="Normal 3 25 21 2" xfId="22245" xr:uid="{00000000-0005-0000-0000-0000D6560000}"/>
    <cellStyle name="Normal 3 25 21 3" xfId="22246" xr:uid="{00000000-0005-0000-0000-0000D7560000}"/>
    <cellStyle name="Normal 3 25 22" xfId="22247" xr:uid="{00000000-0005-0000-0000-0000D8560000}"/>
    <cellStyle name="Normal 3 25 22 2" xfId="22248" xr:uid="{00000000-0005-0000-0000-0000D9560000}"/>
    <cellStyle name="Normal 3 25 22 3" xfId="22249" xr:uid="{00000000-0005-0000-0000-0000DA560000}"/>
    <cellStyle name="Normal 3 25 23" xfId="22250" xr:uid="{00000000-0005-0000-0000-0000DB560000}"/>
    <cellStyle name="Normal 3 25 23 2" xfId="22251" xr:uid="{00000000-0005-0000-0000-0000DC560000}"/>
    <cellStyle name="Normal 3 25 23 3" xfId="22252" xr:uid="{00000000-0005-0000-0000-0000DD560000}"/>
    <cellStyle name="Normal 3 25 24" xfId="22253" xr:uid="{00000000-0005-0000-0000-0000DE560000}"/>
    <cellStyle name="Normal 3 25 25" xfId="22254" xr:uid="{00000000-0005-0000-0000-0000DF560000}"/>
    <cellStyle name="Normal 3 25 3" xfId="22255" xr:uid="{00000000-0005-0000-0000-0000E0560000}"/>
    <cellStyle name="Normal 3 25 3 2" xfId="22256" xr:uid="{00000000-0005-0000-0000-0000E1560000}"/>
    <cellStyle name="Normal 3 25 3 3" xfId="22257" xr:uid="{00000000-0005-0000-0000-0000E2560000}"/>
    <cellStyle name="Normal 3 25 4" xfId="22258" xr:uid="{00000000-0005-0000-0000-0000E3560000}"/>
    <cellStyle name="Normal 3 25 4 2" xfId="22259" xr:uid="{00000000-0005-0000-0000-0000E4560000}"/>
    <cellStyle name="Normal 3 25 4 3" xfId="22260" xr:uid="{00000000-0005-0000-0000-0000E5560000}"/>
    <cellStyle name="Normal 3 25 5" xfId="22261" xr:uid="{00000000-0005-0000-0000-0000E6560000}"/>
    <cellStyle name="Normal 3 25 5 2" xfId="22262" xr:uid="{00000000-0005-0000-0000-0000E7560000}"/>
    <cellStyle name="Normal 3 25 5 3" xfId="22263" xr:uid="{00000000-0005-0000-0000-0000E8560000}"/>
    <cellStyle name="Normal 3 25 6" xfId="22264" xr:uid="{00000000-0005-0000-0000-0000E9560000}"/>
    <cellStyle name="Normal 3 25 6 2" xfId="22265" xr:uid="{00000000-0005-0000-0000-0000EA560000}"/>
    <cellStyle name="Normal 3 25 6 3" xfId="22266" xr:uid="{00000000-0005-0000-0000-0000EB560000}"/>
    <cellStyle name="Normal 3 25 7" xfId="22267" xr:uid="{00000000-0005-0000-0000-0000EC560000}"/>
    <cellStyle name="Normal 3 25 7 2" xfId="22268" xr:uid="{00000000-0005-0000-0000-0000ED560000}"/>
    <cellStyle name="Normal 3 25 7 3" xfId="22269" xr:uid="{00000000-0005-0000-0000-0000EE560000}"/>
    <cellStyle name="Normal 3 25 8" xfId="22270" xr:uid="{00000000-0005-0000-0000-0000EF560000}"/>
    <cellStyle name="Normal 3 25 8 2" xfId="22271" xr:uid="{00000000-0005-0000-0000-0000F0560000}"/>
    <cellStyle name="Normal 3 25 8 3" xfId="22272" xr:uid="{00000000-0005-0000-0000-0000F1560000}"/>
    <cellStyle name="Normal 3 25 9" xfId="22273" xr:uid="{00000000-0005-0000-0000-0000F2560000}"/>
    <cellStyle name="Normal 3 25 9 2" xfId="22274" xr:uid="{00000000-0005-0000-0000-0000F3560000}"/>
    <cellStyle name="Normal 3 25 9 3" xfId="22275" xr:uid="{00000000-0005-0000-0000-0000F4560000}"/>
    <cellStyle name="Normal 3 26" xfId="22276" xr:uid="{00000000-0005-0000-0000-0000F5560000}"/>
    <cellStyle name="Normal 3 26 10" xfId="22277" xr:uid="{00000000-0005-0000-0000-0000F6560000}"/>
    <cellStyle name="Normal 3 26 10 2" xfId="22278" xr:uid="{00000000-0005-0000-0000-0000F7560000}"/>
    <cellStyle name="Normal 3 26 10 3" xfId="22279" xr:uid="{00000000-0005-0000-0000-0000F8560000}"/>
    <cellStyle name="Normal 3 26 11" xfId="22280" xr:uid="{00000000-0005-0000-0000-0000F9560000}"/>
    <cellStyle name="Normal 3 26 11 2" xfId="22281" xr:uid="{00000000-0005-0000-0000-0000FA560000}"/>
    <cellStyle name="Normal 3 26 11 3" xfId="22282" xr:uid="{00000000-0005-0000-0000-0000FB560000}"/>
    <cellStyle name="Normal 3 26 12" xfId="22283" xr:uid="{00000000-0005-0000-0000-0000FC560000}"/>
    <cellStyle name="Normal 3 26 12 2" xfId="22284" xr:uid="{00000000-0005-0000-0000-0000FD560000}"/>
    <cellStyle name="Normal 3 26 12 3" xfId="22285" xr:uid="{00000000-0005-0000-0000-0000FE560000}"/>
    <cellStyle name="Normal 3 26 13" xfId="22286" xr:uid="{00000000-0005-0000-0000-0000FF560000}"/>
    <cellStyle name="Normal 3 26 13 2" xfId="22287" xr:uid="{00000000-0005-0000-0000-000000570000}"/>
    <cellStyle name="Normal 3 26 13 3" xfId="22288" xr:uid="{00000000-0005-0000-0000-000001570000}"/>
    <cellStyle name="Normal 3 26 14" xfId="22289" xr:uid="{00000000-0005-0000-0000-000002570000}"/>
    <cellStyle name="Normal 3 26 14 2" xfId="22290" xr:uid="{00000000-0005-0000-0000-000003570000}"/>
    <cellStyle name="Normal 3 26 14 3" xfId="22291" xr:uid="{00000000-0005-0000-0000-000004570000}"/>
    <cellStyle name="Normal 3 26 15" xfId="22292" xr:uid="{00000000-0005-0000-0000-000005570000}"/>
    <cellStyle name="Normal 3 26 15 2" xfId="22293" xr:uid="{00000000-0005-0000-0000-000006570000}"/>
    <cellStyle name="Normal 3 26 15 3" xfId="22294" xr:uid="{00000000-0005-0000-0000-000007570000}"/>
    <cellStyle name="Normal 3 26 16" xfId="22295" xr:uid="{00000000-0005-0000-0000-000008570000}"/>
    <cellStyle name="Normal 3 26 16 2" xfId="22296" xr:uid="{00000000-0005-0000-0000-000009570000}"/>
    <cellStyle name="Normal 3 26 16 3" xfId="22297" xr:uid="{00000000-0005-0000-0000-00000A570000}"/>
    <cellStyle name="Normal 3 26 17" xfId="22298" xr:uid="{00000000-0005-0000-0000-00000B570000}"/>
    <cellStyle name="Normal 3 26 17 2" xfId="22299" xr:uid="{00000000-0005-0000-0000-00000C570000}"/>
    <cellStyle name="Normal 3 26 17 3" xfId="22300" xr:uid="{00000000-0005-0000-0000-00000D570000}"/>
    <cellStyle name="Normal 3 26 18" xfId="22301" xr:uid="{00000000-0005-0000-0000-00000E570000}"/>
    <cellStyle name="Normal 3 26 18 2" xfId="22302" xr:uid="{00000000-0005-0000-0000-00000F570000}"/>
    <cellStyle name="Normal 3 26 18 3" xfId="22303" xr:uid="{00000000-0005-0000-0000-000010570000}"/>
    <cellStyle name="Normal 3 26 19" xfId="22304" xr:uid="{00000000-0005-0000-0000-000011570000}"/>
    <cellStyle name="Normal 3 26 19 2" xfId="22305" xr:uid="{00000000-0005-0000-0000-000012570000}"/>
    <cellStyle name="Normal 3 26 19 3" xfId="22306" xr:uid="{00000000-0005-0000-0000-000013570000}"/>
    <cellStyle name="Normal 3 26 2" xfId="22307" xr:uid="{00000000-0005-0000-0000-000014570000}"/>
    <cellStyle name="Normal 3 26 2 2" xfId="22308" xr:uid="{00000000-0005-0000-0000-000015570000}"/>
    <cellStyle name="Normal 3 26 2 3" xfId="22309" xr:uid="{00000000-0005-0000-0000-000016570000}"/>
    <cellStyle name="Normal 3 26 20" xfId="22310" xr:uid="{00000000-0005-0000-0000-000017570000}"/>
    <cellStyle name="Normal 3 26 20 2" xfId="22311" xr:uid="{00000000-0005-0000-0000-000018570000}"/>
    <cellStyle name="Normal 3 26 20 3" xfId="22312" xr:uid="{00000000-0005-0000-0000-000019570000}"/>
    <cellStyle name="Normal 3 26 21" xfId="22313" xr:uid="{00000000-0005-0000-0000-00001A570000}"/>
    <cellStyle name="Normal 3 26 21 2" xfId="22314" xr:uid="{00000000-0005-0000-0000-00001B570000}"/>
    <cellStyle name="Normal 3 26 21 3" xfId="22315" xr:uid="{00000000-0005-0000-0000-00001C570000}"/>
    <cellStyle name="Normal 3 26 22" xfId="22316" xr:uid="{00000000-0005-0000-0000-00001D570000}"/>
    <cellStyle name="Normal 3 26 22 2" xfId="22317" xr:uid="{00000000-0005-0000-0000-00001E570000}"/>
    <cellStyle name="Normal 3 26 22 3" xfId="22318" xr:uid="{00000000-0005-0000-0000-00001F570000}"/>
    <cellStyle name="Normal 3 26 23" xfId="22319" xr:uid="{00000000-0005-0000-0000-000020570000}"/>
    <cellStyle name="Normal 3 26 23 2" xfId="22320" xr:uid="{00000000-0005-0000-0000-000021570000}"/>
    <cellStyle name="Normal 3 26 23 3" xfId="22321" xr:uid="{00000000-0005-0000-0000-000022570000}"/>
    <cellStyle name="Normal 3 26 24" xfId="22322" xr:uid="{00000000-0005-0000-0000-000023570000}"/>
    <cellStyle name="Normal 3 26 25" xfId="22323" xr:uid="{00000000-0005-0000-0000-000024570000}"/>
    <cellStyle name="Normal 3 26 3" xfId="22324" xr:uid="{00000000-0005-0000-0000-000025570000}"/>
    <cellStyle name="Normal 3 26 3 2" xfId="22325" xr:uid="{00000000-0005-0000-0000-000026570000}"/>
    <cellStyle name="Normal 3 26 3 3" xfId="22326" xr:uid="{00000000-0005-0000-0000-000027570000}"/>
    <cellStyle name="Normal 3 26 4" xfId="22327" xr:uid="{00000000-0005-0000-0000-000028570000}"/>
    <cellStyle name="Normal 3 26 4 2" xfId="22328" xr:uid="{00000000-0005-0000-0000-000029570000}"/>
    <cellStyle name="Normal 3 26 4 3" xfId="22329" xr:uid="{00000000-0005-0000-0000-00002A570000}"/>
    <cellStyle name="Normal 3 26 5" xfId="22330" xr:uid="{00000000-0005-0000-0000-00002B570000}"/>
    <cellStyle name="Normal 3 26 5 2" xfId="22331" xr:uid="{00000000-0005-0000-0000-00002C570000}"/>
    <cellStyle name="Normal 3 26 5 3" xfId="22332" xr:uid="{00000000-0005-0000-0000-00002D570000}"/>
    <cellStyle name="Normal 3 26 6" xfId="22333" xr:uid="{00000000-0005-0000-0000-00002E570000}"/>
    <cellStyle name="Normal 3 26 6 2" xfId="22334" xr:uid="{00000000-0005-0000-0000-00002F570000}"/>
    <cellStyle name="Normal 3 26 6 3" xfId="22335" xr:uid="{00000000-0005-0000-0000-000030570000}"/>
    <cellStyle name="Normal 3 26 7" xfId="22336" xr:uid="{00000000-0005-0000-0000-000031570000}"/>
    <cellStyle name="Normal 3 26 7 2" xfId="22337" xr:uid="{00000000-0005-0000-0000-000032570000}"/>
    <cellStyle name="Normal 3 26 7 3" xfId="22338" xr:uid="{00000000-0005-0000-0000-000033570000}"/>
    <cellStyle name="Normal 3 26 8" xfId="22339" xr:uid="{00000000-0005-0000-0000-000034570000}"/>
    <cellStyle name="Normal 3 26 8 2" xfId="22340" xr:uid="{00000000-0005-0000-0000-000035570000}"/>
    <cellStyle name="Normal 3 26 8 3" xfId="22341" xr:uid="{00000000-0005-0000-0000-000036570000}"/>
    <cellStyle name="Normal 3 26 9" xfId="22342" xr:uid="{00000000-0005-0000-0000-000037570000}"/>
    <cellStyle name="Normal 3 26 9 2" xfId="22343" xr:uid="{00000000-0005-0000-0000-000038570000}"/>
    <cellStyle name="Normal 3 26 9 3" xfId="22344" xr:uid="{00000000-0005-0000-0000-000039570000}"/>
    <cellStyle name="Normal 3 27" xfId="22345" xr:uid="{00000000-0005-0000-0000-00003A570000}"/>
    <cellStyle name="Normal 3 27 10" xfId="22346" xr:uid="{00000000-0005-0000-0000-00003B570000}"/>
    <cellStyle name="Normal 3 27 10 2" xfId="22347" xr:uid="{00000000-0005-0000-0000-00003C570000}"/>
    <cellStyle name="Normal 3 27 10 3" xfId="22348" xr:uid="{00000000-0005-0000-0000-00003D570000}"/>
    <cellStyle name="Normal 3 27 11" xfId="22349" xr:uid="{00000000-0005-0000-0000-00003E570000}"/>
    <cellStyle name="Normal 3 27 11 2" xfId="22350" xr:uid="{00000000-0005-0000-0000-00003F570000}"/>
    <cellStyle name="Normal 3 27 11 3" xfId="22351" xr:uid="{00000000-0005-0000-0000-000040570000}"/>
    <cellStyle name="Normal 3 27 12" xfId="22352" xr:uid="{00000000-0005-0000-0000-000041570000}"/>
    <cellStyle name="Normal 3 27 12 2" xfId="22353" xr:uid="{00000000-0005-0000-0000-000042570000}"/>
    <cellStyle name="Normal 3 27 12 3" xfId="22354" xr:uid="{00000000-0005-0000-0000-000043570000}"/>
    <cellStyle name="Normal 3 27 13" xfId="22355" xr:uid="{00000000-0005-0000-0000-000044570000}"/>
    <cellStyle name="Normal 3 27 13 2" xfId="22356" xr:uid="{00000000-0005-0000-0000-000045570000}"/>
    <cellStyle name="Normal 3 27 13 3" xfId="22357" xr:uid="{00000000-0005-0000-0000-000046570000}"/>
    <cellStyle name="Normal 3 27 14" xfId="22358" xr:uid="{00000000-0005-0000-0000-000047570000}"/>
    <cellStyle name="Normal 3 27 14 2" xfId="22359" xr:uid="{00000000-0005-0000-0000-000048570000}"/>
    <cellStyle name="Normal 3 27 14 3" xfId="22360" xr:uid="{00000000-0005-0000-0000-000049570000}"/>
    <cellStyle name="Normal 3 27 15" xfId="22361" xr:uid="{00000000-0005-0000-0000-00004A570000}"/>
    <cellStyle name="Normal 3 27 15 2" xfId="22362" xr:uid="{00000000-0005-0000-0000-00004B570000}"/>
    <cellStyle name="Normal 3 27 15 3" xfId="22363" xr:uid="{00000000-0005-0000-0000-00004C570000}"/>
    <cellStyle name="Normal 3 27 16" xfId="22364" xr:uid="{00000000-0005-0000-0000-00004D570000}"/>
    <cellStyle name="Normal 3 27 16 2" xfId="22365" xr:uid="{00000000-0005-0000-0000-00004E570000}"/>
    <cellStyle name="Normal 3 27 16 3" xfId="22366" xr:uid="{00000000-0005-0000-0000-00004F570000}"/>
    <cellStyle name="Normal 3 27 17" xfId="22367" xr:uid="{00000000-0005-0000-0000-000050570000}"/>
    <cellStyle name="Normal 3 27 17 2" xfId="22368" xr:uid="{00000000-0005-0000-0000-000051570000}"/>
    <cellStyle name="Normal 3 27 17 3" xfId="22369" xr:uid="{00000000-0005-0000-0000-000052570000}"/>
    <cellStyle name="Normal 3 27 18" xfId="22370" xr:uid="{00000000-0005-0000-0000-000053570000}"/>
    <cellStyle name="Normal 3 27 18 2" xfId="22371" xr:uid="{00000000-0005-0000-0000-000054570000}"/>
    <cellStyle name="Normal 3 27 18 3" xfId="22372" xr:uid="{00000000-0005-0000-0000-000055570000}"/>
    <cellStyle name="Normal 3 27 19" xfId="22373" xr:uid="{00000000-0005-0000-0000-000056570000}"/>
    <cellStyle name="Normal 3 27 19 2" xfId="22374" xr:uid="{00000000-0005-0000-0000-000057570000}"/>
    <cellStyle name="Normal 3 27 19 3" xfId="22375" xr:uid="{00000000-0005-0000-0000-000058570000}"/>
    <cellStyle name="Normal 3 27 2" xfId="22376" xr:uid="{00000000-0005-0000-0000-000059570000}"/>
    <cellStyle name="Normal 3 27 2 2" xfId="22377" xr:uid="{00000000-0005-0000-0000-00005A570000}"/>
    <cellStyle name="Normal 3 27 2 3" xfId="22378" xr:uid="{00000000-0005-0000-0000-00005B570000}"/>
    <cellStyle name="Normal 3 27 20" xfId="22379" xr:uid="{00000000-0005-0000-0000-00005C570000}"/>
    <cellStyle name="Normal 3 27 20 2" xfId="22380" xr:uid="{00000000-0005-0000-0000-00005D570000}"/>
    <cellStyle name="Normal 3 27 20 3" xfId="22381" xr:uid="{00000000-0005-0000-0000-00005E570000}"/>
    <cellStyle name="Normal 3 27 21" xfId="22382" xr:uid="{00000000-0005-0000-0000-00005F570000}"/>
    <cellStyle name="Normal 3 27 21 2" xfId="22383" xr:uid="{00000000-0005-0000-0000-000060570000}"/>
    <cellStyle name="Normal 3 27 21 3" xfId="22384" xr:uid="{00000000-0005-0000-0000-000061570000}"/>
    <cellStyle name="Normal 3 27 22" xfId="22385" xr:uid="{00000000-0005-0000-0000-000062570000}"/>
    <cellStyle name="Normal 3 27 22 2" xfId="22386" xr:uid="{00000000-0005-0000-0000-000063570000}"/>
    <cellStyle name="Normal 3 27 22 3" xfId="22387" xr:uid="{00000000-0005-0000-0000-000064570000}"/>
    <cellStyle name="Normal 3 27 23" xfId="22388" xr:uid="{00000000-0005-0000-0000-000065570000}"/>
    <cellStyle name="Normal 3 27 23 2" xfId="22389" xr:uid="{00000000-0005-0000-0000-000066570000}"/>
    <cellStyle name="Normal 3 27 23 3" xfId="22390" xr:uid="{00000000-0005-0000-0000-000067570000}"/>
    <cellStyle name="Normal 3 27 24" xfId="22391" xr:uid="{00000000-0005-0000-0000-000068570000}"/>
    <cellStyle name="Normal 3 27 25" xfId="22392" xr:uid="{00000000-0005-0000-0000-000069570000}"/>
    <cellStyle name="Normal 3 27 3" xfId="22393" xr:uid="{00000000-0005-0000-0000-00006A570000}"/>
    <cellStyle name="Normal 3 27 3 2" xfId="22394" xr:uid="{00000000-0005-0000-0000-00006B570000}"/>
    <cellStyle name="Normal 3 27 3 3" xfId="22395" xr:uid="{00000000-0005-0000-0000-00006C570000}"/>
    <cellStyle name="Normal 3 27 4" xfId="22396" xr:uid="{00000000-0005-0000-0000-00006D570000}"/>
    <cellStyle name="Normal 3 27 4 2" xfId="22397" xr:uid="{00000000-0005-0000-0000-00006E570000}"/>
    <cellStyle name="Normal 3 27 4 3" xfId="22398" xr:uid="{00000000-0005-0000-0000-00006F570000}"/>
    <cellStyle name="Normal 3 27 5" xfId="22399" xr:uid="{00000000-0005-0000-0000-000070570000}"/>
    <cellStyle name="Normal 3 27 5 2" xfId="22400" xr:uid="{00000000-0005-0000-0000-000071570000}"/>
    <cellStyle name="Normal 3 27 5 3" xfId="22401" xr:uid="{00000000-0005-0000-0000-000072570000}"/>
    <cellStyle name="Normal 3 27 6" xfId="22402" xr:uid="{00000000-0005-0000-0000-000073570000}"/>
    <cellStyle name="Normal 3 27 6 2" xfId="22403" xr:uid="{00000000-0005-0000-0000-000074570000}"/>
    <cellStyle name="Normal 3 27 6 3" xfId="22404" xr:uid="{00000000-0005-0000-0000-000075570000}"/>
    <cellStyle name="Normal 3 27 7" xfId="22405" xr:uid="{00000000-0005-0000-0000-000076570000}"/>
    <cellStyle name="Normal 3 27 7 2" xfId="22406" xr:uid="{00000000-0005-0000-0000-000077570000}"/>
    <cellStyle name="Normal 3 27 7 3" xfId="22407" xr:uid="{00000000-0005-0000-0000-000078570000}"/>
    <cellStyle name="Normal 3 27 8" xfId="22408" xr:uid="{00000000-0005-0000-0000-000079570000}"/>
    <cellStyle name="Normal 3 27 8 2" xfId="22409" xr:uid="{00000000-0005-0000-0000-00007A570000}"/>
    <cellStyle name="Normal 3 27 8 3" xfId="22410" xr:uid="{00000000-0005-0000-0000-00007B570000}"/>
    <cellStyle name="Normal 3 27 9" xfId="22411" xr:uid="{00000000-0005-0000-0000-00007C570000}"/>
    <cellStyle name="Normal 3 27 9 2" xfId="22412" xr:uid="{00000000-0005-0000-0000-00007D570000}"/>
    <cellStyle name="Normal 3 27 9 3" xfId="22413" xr:uid="{00000000-0005-0000-0000-00007E570000}"/>
    <cellStyle name="Normal 3 28" xfId="22414" xr:uid="{00000000-0005-0000-0000-00007F570000}"/>
    <cellStyle name="Normal 3 28 10" xfId="22415" xr:uid="{00000000-0005-0000-0000-000080570000}"/>
    <cellStyle name="Normal 3 28 10 2" xfId="22416" xr:uid="{00000000-0005-0000-0000-000081570000}"/>
    <cellStyle name="Normal 3 28 10 3" xfId="22417" xr:uid="{00000000-0005-0000-0000-000082570000}"/>
    <cellStyle name="Normal 3 28 11" xfId="22418" xr:uid="{00000000-0005-0000-0000-000083570000}"/>
    <cellStyle name="Normal 3 28 11 2" xfId="22419" xr:uid="{00000000-0005-0000-0000-000084570000}"/>
    <cellStyle name="Normal 3 28 11 3" xfId="22420" xr:uid="{00000000-0005-0000-0000-000085570000}"/>
    <cellStyle name="Normal 3 28 12" xfId="22421" xr:uid="{00000000-0005-0000-0000-000086570000}"/>
    <cellStyle name="Normal 3 28 12 2" xfId="22422" xr:uid="{00000000-0005-0000-0000-000087570000}"/>
    <cellStyle name="Normal 3 28 12 3" xfId="22423" xr:uid="{00000000-0005-0000-0000-000088570000}"/>
    <cellStyle name="Normal 3 28 13" xfId="22424" xr:uid="{00000000-0005-0000-0000-000089570000}"/>
    <cellStyle name="Normal 3 28 13 2" xfId="22425" xr:uid="{00000000-0005-0000-0000-00008A570000}"/>
    <cellStyle name="Normal 3 28 13 3" xfId="22426" xr:uid="{00000000-0005-0000-0000-00008B570000}"/>
    <cellStyle name="Normal 3 28 14" xfId="22427" xr:uid="{00000000-0005-0000-0000-00008C570000}"/>
    <cellStyle name="Normal 3 28 14 2" xfId="22428" xr:uid="{00000000-0005-0000-0000-00008D570000}"/>
    <cellStyle name="Normal 3 28 14 3" xfId="22429" xr:uid="{00000000-0005-0000-0000-00008E570000}"/>
    <cellStyle name="Normal 3 28 15" xfId="22430" xr:uid="{00000000-0005-0000-0000-00008F570000}"/>
    <cellStyle name="Normal 3 28 15 2" xfId="22431" xr:uid="{00000000-0005-0000-0000-000090570000}"/>
    <cellStyle name="Normal 3 28 15 3" xfId="22432" xr:uid="{00000000-0005-0000-0000-000091570000}"/>
    <cellStyle name="Normal 3 28 16" xfId="22433" xr:uid="{00000000-0005-0000-0000-000092570000}"/>
    <cellStyle name="Normal 3 28 16 2" xfId="22434" xr:uid="{00000000-0005-0000-0000-000093570000}"/>
    <cellStyle name="Normal 3 28 16 3" xfId="22435" xr:uid="{00000000-0005-0000-0000-000094570000}"/>
    <cellStyle name="Normal 3 28 17" xfId="22436" xr:uid="{00000000-0005-0000-0000-000095570000}"/>
    <cellStyle name="Normal 3 28 17 2" xfId="22437" xr:uid="{00000000-0005-0000-0000-000096570000}"/>
    <cellStyle name="Normal 3 28 17 3" xfId="22438" xr:uid="{00000000-0005-0000-0000-000097570000}"/>
    <cellStyle name="Normal 3 28 18" xfId="22439" xr:uid="{00000000-0005-0000-0000-000098570000}"/>
    <cellStyle name="Normal 3 28 18 2" xfId="22440" xr:uid="{00000000-0005-0000-0000-000099570000}"/>
    <cellStyle name="Normal 3 28 18 3" xfId="22441" xr:uid="{00000000-0005-0000-0000-00009A570000}"/>
    <cellStyle name="Normal 3 28 19" xfId="22442" xr:uid="{00000000-0005-0000-0000-00009B570000}"/>
    <cellStyle name="Normal 3 28 19 2" xfId="22443" xr:uid="{00000000-0005-0000-0000-00009C570000}"/>
    <cellStyle name="Normal 3 28 19 3" xfId="22444" xr:uid="{00000000-0005-0000-0000-00009D570000}"/>
    <cellStyle name="Normal 3 28 2" xfId="22445" xr:uid="{00000000-0005-0000-0000-00009E570000}"/>
    <cellStyle name="Normal 3 28 2 2" xfId="22446" xr:uid="{00000000-0005-0000-0000-00009F570000}"/>
    <cellStyle name="Normal 3 28 2 3" xfId="22447" xr:uid="{00000000-0005-0000-0000-0000A0570000}"/>
    <cellStyle name="Normal 3 28 20" xfId="22448" xr:uid="{00000000-0005-0000-0000-0000A1570000}"/>
    <cellStyle name="Normal 3 28 20 2" xfId="22449" xr:uid="{00000000-0005-0000-0000-0000A2570000}"/>
    <cellStyle name="Normal 3 28 20 3" xfId="22450" xr:uid="{00000000-0005-0000-0000-0000A3570000}"/>
    <cellStyle name="Normal 3 28 21" xfId="22451" xr:uid="{00000000-0005-0000-0000-0000A4570000}"/>
    <cellStyle name="Normal 3 28 21 2" xfId="22452" xr:uid="{00000000-0005-0000-0000-0000A5570000}"/>
    <cellStyle name="Normal 3 28 21 3" xfId="22453" xr:uid="{00000000-0005-0000-0000-0000A6570000}"/>
    <cellStyle name="Normal 3 28 22" xfId="22454" xr:uid="{00000000-0005-0000-0000-0000A7570000}"/>
    <cellStyle name="Normal 3 28 22 2" xfId="22455" xr:uid="{00000000-0005-0000-0000-0000A8570000}"/>
    <cellStyle name="Normal 3 28 22 3" xfId="22456" xr:uid="{00000000-0005-0000-0000-0000A9570000}"/>
    <cellStyle name="Normal 3 28 23" xfId="22457" xr:uid="{00000000-0005-0000-0000-0000AA570000}"/>
    <cellStyle name="Normal 3 28 23 2" xfId="22458" xr:uid="{00000000-0005-0000-0000-0000AB570000}"/>
    <cellStyle name="Normal 3 28 23 3" xfId="22459" xr:uid="{00000000-0005-0000-0000-0000AC570000}"/>
    <cellStyle name="Normal 3 28 24" xfId="22460" xr:uid="{00000000-0005-0000-0000-0000AD570000}"/>
    <cellStyle name="Normal 3 28 25" xfId="22461" xr:uid="{00000000-0005-0000-0000-0000AE570000}"/>
    <cellStyle name="Normal 3 28 3" xfId="22462" xr:uid="{00000000-0005-0000-0000-0000AF570000}"/>
    <cellStyle name="Normal 3 28 3 2" xfId="22463" xr:uid="{00000000-0005-0000-0000-0000B0570000}"/>
    <cellStyle name="Normal 3 28 3 3" xfId="22464" xr:uid="{00000000-0005-0000-0000-0000B1570000}"/>
    <cellStyle name="Normal 3 28 4" xfId="22465" xr:uid="{00000000-0005-0000-0000-0000B2570000}"/>
    <cellStyle name="Normal 3 28 4 2" xfId="22466" xr:uid="{00000000-0005-0000-0000-0000B3570000}"/>
    <cellStyle name="Normal 3 28 4 3" xfId="22467" xr:uid="{00000000-0005-0000-0000-0000B4570000}"/>
    <cellStyle name="Normal 3 28 5" xfId="22468" xr:uid="{00000000-0005-0000-0000-0000B5570000}"/>
    <cellStyle name="Normal 3 28 5 2" xfId="22469" xr:uid="{00000000-0005-0000-0000-0000B6570000}"/>
    <cellStyle name="Normal 3 28 5 3" xfId="22470" xr:uid="{00000000-0005-0000-0000-0000B7570000}"/>
    <cellStyle name="Normal 3 28 6" xfId="22471" xr:uid="{00000000-0005-0000-0000-0000B8570000}"/>
    <cellStyle name="Normal 3 28 6 2" xfId="22472" xr:uid="{00000000-0005-0000-0000-0000B9570000}"/>
    <cellStyle name="Normal 3 28 6 3" xfId="22473" xr:uid="{00000000-0005-0000-0000-0000BA570000}"/>
    <cellStyle name="Normal 3 28 7" xfId="22474" xr:uid="{00000000-0005-0000-0000-0000BB570000}"/>
    <cellStyle name="Normal 3 28 7 2" xfId="22475" xr:uid="{00000000-0005-0000-0000-0000BC570000}"/>
    <cellStyle name="Normal 3 28 7 3" xfId="22476" xr:uid="{00000000-0005-0000-0000-0000BD570000}"/>
    <cellStyle name="Normal 3 28 8" xfId="22477" xr:uid="{00000000-0005-0000-0000-0000BE570000}"/>
    <cellStyle name="Normal 3 28 8 2" xfId="22478" xr:uid="{00000000-0005-0000-0000-0000BF570000}"/>
    <cellStyle name="Normal 3 28 8 3" xfId="22479" xr:uid="{00000000-0005-0000-0000-0000C0570000}"/>
    <cellStyle name="Normal 3 28 9" xfId="22480" xr:uid="{00000000-0005-0000-0000-0000C1570000}"/>
    <cellStyle name="Normal 3 28 9 2" xfId="22481" xr:uid="{00000000-0005-0000-0000-0000C2570000}"/>
    <cellStyle name="Normal 3 28 9 3" xfId="22482" xr:uid="{00000000-0005-0000-0000-0000C3570000}"/>
    <cellStyle name="Normal 3 29" xfId="22483" xr:uid="{00000000-0005-0000-0000-0000C4570000}"/>
    <cellStyle name="Normal 3 29 10" xfId="22484" xr:uid="{00000000-0005-0000-0000-0000C5570000}"/>
    <cellStyle name="Normal 3 29 10 2" xfId="22485" xr:uid="{00000000-0005-0000-0000-0000C6570000}"/>
    <cellStyle name="Normal 3 29 10 3" xfId="22486" xr:uid="{00000000-0005-0000-0000-0000C7570000}"/>
    <cellStyle name="Normal 3 29 11" xfId="22487" xr:uid="{00000000-0005-0000-0000-0000C8570000}"/>
    <cellStyle name="Normal 3 29 11 2" xfId="22488" xr:uid="{00000000-0005-0000-0000-0000C9570000}"/>
    <cellStyle name="Normal 3 29 11 3" xfId="22489" xr:uid="{00000000-0005-0000-0000-0000CA570000}"/>
    <cellStyle name="Normal 3 29 12" xfId="22490" xr:uid="{00000000-0005-0000-0000-0000CB570000}"/>
    <cellStyle name="Normal 3 29 12 2" xfId="22491" xr:uid="{00000000-0005-0000-0000-0000CC570000}"/>
    <cellStyle name="Normal 3 29 12 3" xfId="22492" xr:uid="{00000000-0005-0000-0000-0000CD570000}"/>
    <cellStyle name="Normal 3 29 13" xfId="22493" xr:uid="{00000000-0005-0000-0000-0000CE570000}"/>
    <cellStyle name="Normal 3 29 13 2" xfId="22494" xr:uid="{00000000-0005-0000-0000-0000CF570000}"/>
    <cellStyle name="Normal 3 29 13 3" xfId="22495" xr:uid="{00000000-0005-0000-0000-0000D0570000}"/>
    <cellStyle name="Normal 3 29 14" xfId="22496" xr:uid="{00000000-0005-0000-0000-0000D1570000}"/>
    <cellStyle name="Normal 3 29 14 2" xfId="22497" xr:uid="{00000000-0005-0000-0000-0000D2570000}"/>
    <cellStyle name="Normal 3 29 14 3" xfId="22498" xr:uid="{00000000-0005-0000-0000-0000D3570000}"/>
    <cellStyle name="Normal 3 29 15" xfId="22499" xr:uid="{00000000-0005-0000-0000-0000D4570000}"/>
    <cellStyle name="Normal 3 29 15 2" xfId="22500" xr:uid="{00000000-0005-0000-0000-0000D5570000}"/>
    <cellStyle name="Normal 3 29 15 3" xfId="22501" xr:uid="{00000000-0005-0000-0000-0000D6570000}"/>
    <cellStyle name="Normal 3 29 16" xfId="22502" xr:uid="{00000000-0005-0000-0000-0000D7570000}"/>
    <cellStyle name="Normal 3 29 16 2" xfId="22503" xr:uid="{00000000-0005-0000-0000-0000D8570000}"/>
    <cellStyle name="Normal 3 29 16 3" xfId="22504" xr:uid="{00000000-0005-0000-0000-0000D9570000}"/>
    <cellStyle name="Normal 3 29 17" xfId="22505" xr:uid="{00000000-0005-0000-0000-0000DA570000}"/>
    <cellStyle name="Normal 3 29 17 2" xfId="22506" xr:uid="{00000000-0005-0000-0000-0000DB570000}"/>
    <cellStyle name="Normal 3 29 17 3" xfId="22507" xr:uid="{00000000-0005-0000-0000-0000DC570000}"/>
    <cellStyle name="Normal 3 29 18" xfId="22508" xr:uid="{00000000-0005-0000-0000-0000DD570000}"/>
    <cellStyle name="Normal 3 29 18 2" xfId="22509" xr:uid="{00000000-0005-0000-0000-0000DE570000}"/>
    <cellStyle name="Normal 3 29 18 3" xfId="22510" xr:uid="{00000000-0005-0000-0000-0000DF570000}"/>
    <cellStyle name="Normal 3 29 19" xfId="22511" xr:uid="{00000000-0005-0000-0000-0000E0570000}"/>
    <cellStyle name="Normal 3 29 19 2" xfId="22512" xr:uid="{00000000-0005-0000-0000-0000E1570000}"/>
    <cellStyle name="Normal 3 29 19 3" xfId="22513" xr:uid="{00000000-0005-0000-0000-0000E2570000}"/>
    <cellStyle name="Normal 3 29 2" xfId="22514" xr:uid="{00000000-0005-0000-0000-0000E3570000}"/>
    <cellStyle name="Normal 3 29 2 2" xfId="22515" xr:uid="{00000000-0005-0000-0000-0000E4570000}"/>
    <cellStyle name="Normal 3 29 2 3" xfId="22516" xr:uid="{00000000-0005-0000-0000-0000E5570000}"/>
    <cellStyle name="Normal 3 29 20" xfId="22517" xr:uid="{00000000-0005-0000-0000-0000E6570000}"/>
    <cellStyle name="Normal 3 29 20 2" xfId="22518" xr:uid="{00000000-0005-0000-0000-0000E7570000}"/>
    <cellStyle name="Normal 3 29 20 3" xfId="22519" xr:uid="{00000000-0005-0000-0000-0000E8570000}"/>
    <cellStyle name="Normal 3 29 21" xfId="22520" xr:uid="{00000000-0005-0000-0000-0000E9570000}"/>
    <cellStyle name="Normal 3 29 21 2" xfId="22521" xr:uid="{00000000-0005-0000-0000-0000EA570000}"/>
    <cellStyle name="Normal 3 29 21 3" xfId="22522" xr:uid="{00000000-0005-0000-0000-0000EB570000}"/>
    <cellStyle name="Normal 3 29 22" xfId="22523" xr:uid="{00000000-0005-0000-0000-0000EC570000}"/>
    <cellStyle name="Normal 3 29 22 2" xfId="22524" xr:uid="{00000000-0005-0000-0000-0000ED570000}"/>
    <cellStyle name="Normal 3 29 22 3" xfId="22525" xr:uid="{00000000-0005-0000-0000-0000EE570000}"/>
    <cellStyle name="Normal 3 29 23" xfId="22526" xr:uid="{00000000-0005-0000-0000-0000EF570000}"/>
    <cellStyle name="Normal 3 29 23 2" xfId="22527" xr:uid="{00000000-0005-0000-0000-0000F0570000}"/>
    <cellStyle name="Normal 3 29 23 3" xfId="22528" xr:uid="{00000000-0005-0000-0000-0000F1570000}"/>
    <cellStyle name="Normal 3 29 24" xfId="22529" xr:uid="{00000000-0005-0000-0000-0000F2570000}"/>
    <cellStyle name="Normal 3 29 25" xfId="22530" xr:uid="{00000000-0005-0000-0000-0000F3570000}"/>
    <cellStyle name="Normal 3 29 3" xfId="22531" xr:uid="{00000000-0005-0000-0000-0000F4570000}"/>
    <cellStyle name="Normal 3 29 3 2" xfId="22532" xr:uid="{00000000-0005-0000-0000-0000F5570000}"/>
    <cellStyle name="Normal 3 29 3 3" xfId="22533" xr:uid="{00000000-0005-0000-0000-0000F6570000}"/>
    <cellStyle name="Normal 3 29 4" xfId="22534" xr:uid="{00000000-0005-0000-0000-0000F7570000}"/>
    <cellStyle name="Normal 3 29 4 2" xfId="22535" xr:uid="{00000000-0005-0000-0000-0000F8570000}"/>
    <cellStyle name="Normal 3 29 4 3" xfId="22536" xr:uid="{00000000-0005-0000-0000-0000F9570000}"/>
    <cellStyle name="Normal 3 29 5" xfId="22537" xr:uid="{00000000-0005-0000-0000-0000FA570000}"/>
    <cellStyle name="Normal 3 29 5 2" xfId="22538" xr:uid="{00000000-0005-0000-0000-0000FB570000}"/>
    <cellStyle name="Normal 3 29 5 3" xfId="22539" xr:uid="{00000000-0005-0000-0000-0000FC570000}"/>
    <cellStyle name="Normal 3 29 6" xfId="22540" xr:uid="{00000000-0005-0000-0000-0000FD570000}"/>
    <cellStyle name="Normal 3 29 6 2" xfId="22541" xr:uid="{00000000-0005-0000-0000-0000FE570000}"/>
    <cellStyle name="Normal 3 29 6 3" xfId="22542" xr:uid="{00000000-0005-0000-0000-0000FF570000}"/>
    <cellStyle name="Normal 3 29 7" xfId="22543" xr:uid="{00000000-0005-0000-0000-000000580000}"/>
    <cellStyle name="Normal 3 29 7 2" xfId="22544" xr:uid="{00000000-0005-0000-0000-000001580000}"/>
    <cellStyle name="Normal 3 29 7 3" xfId="22545" xr:uid="{00000000-0005-0000-0000-000002580000}"/>
    <cellStyle name="Normal 3 29 8" xfId="22546" xr:uid="{00000000-0005-0000-0000-000003580000}"/>
    <cellStyle name="Normal 3 29 8 2" xfId="22547" xr:uid="{00000000-0005-0000-0000-000004580000}"/>
    <cellStyle name="Normal 3 29 8 3" xfId="22548" xr:uid="{00000000-0005-0000-0000-000005580000}"/>
    <cellStyle name="Normal 3 29 9" xfId="22549" xr:uid="{00000000-0005-0000-0000-000006580000}"/>
    <cellStyle name="Normal 3 29 9 2" xfId="22550" xr:uid="{00000000-0005-0000-0000-000007580000}"/>
    <cellStyle name="Normal 3 29 9 3" xfId="22551" xr:uid="{00000000-0005-0000-0000-000008580000}"/>
    <cellStyle name="Normal 3 3" xfId="22552" xr:uid="{00000000-0005-0000-0000-000009580000}"/>
    <cellStyle name="Normal 3 3 10" xfId="22553" xr:uid="{00000000-0005-0000-0000-00000A580000}"/>
    <cellStyle name="Normal 3 3 10 2" xfId="22554" xr:uid="{00000000-0005-0000-0000-00000B580000}"/>
    <cellStyle name="Normal 3 3 10 3" xfId="22555" xr:uid="{00000000-0005-0000-0000-00000C580000}"/>
    <cellStyle name="Normal 3 3 11" xfId="22556" xr:uid="{00000000-0005-0000-0000-00000D580000}"/>
    <cellStyle name="Normal 3 3 11 2" xfId="22557" xr:uid="{00000000-0005-0000-0000-00000E580000}"/>
    <cellStyle name="Normal 3 3 11 3" xfId="22558" xr:uid="{00000000-0005-0000-0000-00000F580000}"/>
    <cellStyle name="Normal 3 3 12" xfId="22559" xr:uid="{00000000-0005-0000-0000-000010580000}"/>
    <cellStyle name="Normal 3 3 12 2" xfId="22560" xr:uid="{00000000-0005-0000-0000-000011580000}"/>
    <cellStyle name="Normal 3 3 12 3" xfId="22561" xr:uid="{00000000-0005-0000-0000-000012580000}"/>
    <cellStyle name="Normal 3 3 13" xfId="22562" xr:uid="{00000000-0005-0000-0000-000013580000}"/>
    <cellStyle name="Normal 3 3 13 2" xfId="22563" xr:uid="{00000000-0005-0000-0000-000014580000}"/>
    <cellStyle name="Normal 3 3 13 3" xfId="22564" xr:uid="{00000000-0005-0000-0000-000015580000}"/>
    <cellStyle name="Normal 3 3 14" xfId="22565" xr:uid="{00000000-0005-0000-0000-000016580000}"/>
    <cellStyle name="Normal 3 3 14 2" xfId="22566" xr:uid="{00000000-0005-0000-0000-000017580000}"/>
    <cellStyle name="Normal 3 3 14 3" xfId="22567" xr:uid="{00000000-0005-0000-0000-000018580000}"/>
    <cellStyle name="Normal 3 3 15" xfId="22568" xr:uid="{00000000-0005-0000-0000-000019580000}"/>
    <cellStyle name="Normal 3 3 15 2" xfId="22569" xr:uid="{00000000-0005-0000-0000-00001A580000}"/>
    <cellStyle name="Normal 3 3 15 3" xfId="22570" xr:uid="{00000000-0005-0000-0000-00001B580000}"/>
    <cellStyle name="Normal 3 3 16" xfId="22571" xr:uid="{00000000-0005-0000-0000-00001C580000}"/>
    <cellStyle name="Normal 3 3 16 2" xfId="22572" xr:uid="{00000000-0005-0000-0000-00001D580000}"/>
    <cellStyle name="Normal 3 3 16 3" xfId="22573" xr:uid="{00000000-0005-0000-0000-00001E580000}"/>
    <cellStyle name="Normal 3 3 17" xfId="22574" xr:uid="{00000000-0005-0000-0000-00001F580000}"/>
    <cellStyle name="Normal 3 3 17 2" xfId="22575" xr:uid="{00000000-0005-0000-0000-000020580000}"/>
    <cellStyle name="Normal 3 3 17 3" xfId="22576" xr:uid="{00000000-0005-0000-0000-000021580000}"/>
    <cellStyle name="Normal 3 3 18" xfId="22577" xr:uid="{00000000-0005-0000-0000-000022580000}"/>
    <cellStyle name="Normal 3 3 18 2" xfId="22578" xr:uid="{00000000-0005-0000-0000-000023580000}"/>
    <cellStyle name="Normal 3 3 18 3" xfId="22579" xr:uid="{00000000-0005-0000-0000-000024580000}"/>
    <cellStyle name="Normal 3 3 19" xfId="22580" xr:uid="{00000000-0005-0000-0000-000025580000}"/>
    <cellStyle name="Normal 3 3 19 2" xfId="22581" xr:uid="{00000000-0005-0000-0000-000026580000}"/>
    <cellStyle name="Normal 3 3 19 3" xfId="22582" xr:uid="{00000000-0005-0000-0000-000027580000}"/>
    <cellStyle name="Normal 3 3 2" xfId="22583" xr:uid="{00000000-0005-0000-0000-000028580000}"/>
    <cellStyle name="Normal 3 3 2 2" xfId="22584" xr:uid="{00000000-0005-0000-0000-000029580000}"/>
    <cellStyle name="Normal 3 3 2 2 2" xfId="22585" xr:uid="{00000000-0005-0000-0000-00002A580000}"/>
    <cellStyle name="Normal 3 3 2 3" xfId="22586" xr:uid="{00000000-0005-0000-0000-00002B580000}"/>
    <cellStyle name="Normal 3 3 2 4" xfId="22587" xr:uid="{00000000-0005-0000-0000-00002C580000}"/>
    <cellStyle name="Normal 3 3 2 5" xfId="22588" xr:uid="{00000000-0005-0000-0000-00002D580000}"/>
    <cellStyle name="Normal 3 3 20" xfId="22589" xr:uid="{00000000-0005-0000-0000-00002E580000}"/>
    <cellStyle name="Normal 3 3 20 2" xfId="22590" xr:uid="{00000000-0005-0000-0000-00002F580000}"/>
    <cellStyle name="Normal 3 3 20 3" xfId="22591" xr:uid="{00000000-0005-0000-0000-000030580000}"/>
    <cellStyle name="Normal 3 3 21" xfId="22592" xr:uid="{00000000-0005-0000-0000-000031580000}"/>
    <cellStyle name="Normal 3 3 21 2" xfId="22593" xr:uid="{00000000-0005-0000-0000-000032580000}"/>
    <cellStyle name="Normal 3 3 21 3" xfId="22594" xr:uid="{00000000-0005-0000-0000-000033580000}"/>
    <cellStyle name="Normal 3 3 22" xfId="22595" xr:uid="{00000000-0005-0000-0000-000034580000}"/>
    <cellStyle name="Normal 3 3 22 2" xfId="22596" xr:uid="{00000000-0005-0000-0000-000035580000}"/>
    <cellStyle name="Normal 3 3 22 3" xfId="22597" xr:uid="{00000000-0005-0000-0000-000036580000}"/>
    <cellStyle name="Normal 3 3 23" xfId="22598" xr:uid="{00000000-0005-0000-0000-000037580000}"/>
    <cellStyle name="Normal 3 3 23 2" xfId="22599" xr:uid="{00000000-0005-0000-0000-000038580000}"/>
    <cellStyle name="Normal 3 3 23 3" xfId="22600" xr:uid="{00000000-0005-0000-0000-000039580000}"/>
    <cellStyle name="Normal 3 3 24" xfId="22601" xr:uid="{00000000-0005-0000-0000-00003A580000}"/>
    <cellStyle name="Normal 3 3 25" xfId="22602" xr:uid="{00000000-0005-0000-0000-00003B580000}"/>
    <cellStyle name="Normal 3 3 3" xfId="22603" xr:uid="{00000000-0005-0000-0000-00003C580000}"/>
    <cellStyle name="Normal 3 3 3 2" xfId="22604" xr:uid="{00000000-0005-0000-0000-00003D580000}"/>
    <cellStyle name="Normal 3 3 3 3" xfId="22605" xr:uid="{00000000-0005-0000-0000-00003E580000}"/>
    <cellStyle name="Normal 3 3 4" xfId="22606" xr:uid="{00000000-0005-0000-0000-00003F580000}"/>
    <cellStyle name="Normal 3 3 4 2" xfId="22607" xr:uid="{00000000-0005-0000-0000-000040580000}"/>
    <cellStyle name="Normal 3 3 4 3" xfId="22608" xr:uid="{00000000-0005-0000-0000-000041580000}"/>
    <cellStyle name="Normal 3 3 5" xfId="22609" xr:uid="{00000000-0005-0000-0000-000042580000}"/>
    <cellStyle name="Normal 3 3 5 2" xfId="22610" xr:uid="{00000000-0005-0000-0000-000043580000}"/>
    <cellStyle name="Normal 3 3 5 3" xfId="22611" xr:uid="{00000000-0005-0000-0000-000044580000}"/>
    <cellStyle name="Normal 3 3 6" xfId="22612" xr:uid="{00000000-0005-0000-0000-000045580000}"/>
    <cellStyle name="Normal 3 3 6 2" xfId="22613" xr:uid="{00000000-0005-0000-0000-000046580000}"/>
    <cellStyle name="Normal 3 3 6 3" xfId="22614" xr:uid="{00000000-0005-0000-0000-000047580000}"/>
    <cellStyle name="Normal 3 3 7" xfId="22615" xr:uid="{00000000-0005-0000-0000-000048580000}"/>
    <cellStyle name="Normal 3 3 7 2" xfId="22616" xr:uid="{00000000-0005-0000-0000-000049580000}"/>
    <cellStyle name="Normal 3 3 7 3" xfId="22617" xr:uid="{00000000-0005-0000-0000-00004A580000}"/>
    <cellStyle name="Normal 3 3 8" xfId="22618" xr:uid="{00000000-0005-0000-0000-00004B580000}"/>
    <cellStyle name="Normal 3 3 8 2" xfId="22619" xr:uid="{00000000-0005-0000-0000-00004C580000}"/>
    <cellStyle name="Normal 3 3 8 3" xfId="22620" xr:uid="{00000000-0005-0000-0000-00004D580000}"/>
    <cellStyle name="Normal 3 3 9" xfId="22621" xr:uid="{00000000-0005-0000-0000-00004E580000}"/>
    <cellStyle name="Normal 3 3 9 2" xfId="22622" xr:uid="{00000000-0005-0000-0000-00004F580000}"/>
    <cellStyle name="Normal 3 3 9 3" xfId="22623" xr:uid="{00000000-0005-0000-0000-000050580000}"/>
    <cellStyle name="Normal 3 30" xfId="22624" xr:uid="{00000000-0005-0000-0000-000051580000}"/>
    <cellStyle name="Normal 3 30 10" xfId="22625" xr:uid="{00000000-0005-0000-0000-000052580000}"/>
    <cellStyle name="Normal 3 30 10 2" xfId="22626" xr:uid="{00000000-0005-0000-0000-000053580000}"/>
    <cellStyle name="Normal 3 30 10 3" xfId="22627" xr:uid="{00000000-0005-0000-0000-000054580000}"/>
    <cellStyle name="Normal 3 30 11" xfId="22628" xr:uid="{00000000-0005-0000-0000-000055580000}"/>
    <cellStyle name="Normal 3 30 11 2" xfId="22629" xr:uid="{00000000-0005-0000-0000-000056580000}"/>
    <cellStyle name="Normal 3 30 11 3" xfId="22630" xr:uid="{00000000-0005-0000-0000-000057580000}"/>
    <cellStyle name="Normal 3 30 12" xfId="22631" xr:uid="{00000000-0005-0000-0000-000058580000}"/>
    <cellStyle name="Normal 3 30 12 2" xfId="22632" xr:uid="{00000000-0005-0000-0000-000059580000}"/>
    <cellStyle name="Normal 3 30 12 3" xfId="22633" xr:uid="{00000000-0005-0000-0000-00005A580000}"/>
    <cellStyle name="Normal 3 30 13" xfId="22634" xr:uid="{00000000-0005-0000-0000-00005B580000}"/>
    <cellStyle name="Normal 3 30 13 2" xfId="22635" xr:uid="{00000000-0005-0000-0000-00005C580000}"/>
    <cellStyle name="Normal 3 30 13 3" xfId="22636" xr:uid="{00000000-0005-0000-0000-00005D580000}"/>
    <cellStyle name="Normal 3 30 14" xfId="22637" xr:uid="{00000000-0005-0000-0000-00005E580000}"/>
    <cellStyle name="Normal 3 30 14 2" xfId="22638" xr:uid="{00000000-0005-0000-0000-00005F580000}"/>
    <cellStyle name="Normal 3 30 14 3" xfId="22639" xr:uid="{00000000-0005-0000-0000-000060580000}"/>
    <cellStyle name="Normal 3 30 15" xfId="22640" xr:uid="{00000000-0005-0000-0000-000061580000}"/>
    <cellStyle name="Normal 3 30 15 2" xfId="22641" xr:uid="{00000000-0005-0000-0000-000062580000}"/>
    <cellStyle name="Normal 3 30 15 3" xfId="22642" xr:uid="{00000000-0005-0000-0000-000063580000}"/>
    <cellStyle name="Normal 3 30 16" xfId="22643" xr:uid="{00000000-0005-0000-0000-000064580000}"/>
    <cellStyle name="Normal 3 30 16 2" xfId="22644" xr:uid="{00000000-0005-0000-0000-000065580000}"/>
    <cellStyle name="Normal 3 30 16 3" xfId="22645" xr:uid="{00000000-0005-0000-0000-000066580000}"/>
    <cellStyle name="Normal 3 30 17" xfId="22646" xr:uid="{00000000-0005-0000-0000-000067580000}"/>
    <cellStyle name="Normal 3 30 17 2" xfId="22647" xr:uid="{00000000-0005-0000-0000-000068580000}"/>
    <cellStyle name="Normal 3 30 17 3" xfId="22648" xr:uid="{00000000-0005-0000-0000-000069580000}"/>
    <cellStyle name="Normal 3 30 18" xfId="22649" xr:uid="{00000000-0005-0000-0000-00006A580000}"/>
    <cellStyle name="Normal 3 30 18 2" xfId="22650" xr:uid="{00000000-0005-0000-0000-00006B580000}"/>
    <cellStyle name="Normal 3 30 18 3" xfId="22651" xr:uid="{00000000-0005-0000-0000-00006C580000}"/>
    <cellStyle name="Normal 3 30 19" xfId="22652" xr:uid="{00000000-0005-0000-0000-00006D580000}"/>
    <cellStyle name="Normal 3 30 19 2" xfId="22653" xr:uid="{00000000-0005-0000-0000-00006E580000}"/>
    <cellStyle name="Normal 3 30 19 3" xfId="22654" xr:uid="{00000000-0005-0000-0000-00006F580000}"/>
    <cellStyle name="Normal 3 30 2" xfId="22655" xr:uid="{00000000-0005-0000-0000-000070580000}"/>
    <cellStyle name="Normal 3 30 2 2" xfId="22656" xr:uid="{00000000-0005-0000-0000-000071580000}"/>
    <cellStyle name="Normal 3 30 2 3" xfId="22657" xr:uid="{00000000-0005-0000-0000-000072580000}"/>
    <cellStyle name="Normal 3 30 20" xfId="22658" xr:uid="{00000000-0005-0000-0000-000073580000}"/>
    <cellStyle name="Normal 3 30 20 2" xfId="22659" xr:uid="{00000000-0005-0000-0000-000074580000}"/>
    <cellStyle name="Normal 3 30 20 3" xfId="22660" xr:uid="{00000000-0005-0000-0000-000075580000}"/>
    <cellStyle name="Normal 3 30 21" xfId="22661" xr:uid="{00000000-0005-0000-0000-000076580000}"/>
    <cellStyle name="Normal 3 30 21 2" xfId="22662" xr:uid="{00000000-0005-0000-0000-000077580000}"/>
    <cellStyle name="Normal 3 30 21 3" xfId="22663" xr:uid="{00000000-0005-0000-0000-000078580000}"/>
    <cellStyle name="Normal 3 30 22" xfId="22664" xr:uid="{00000000-0005-0000-0000-000079580000}"/>
    <cellStyle name="Normal 3 30 22 2" xfId="22665" xr:uid="{00000000-0005-0000-0000-00007A580000}"/>
    <cellStyle name="Normal 3 30 22 3" xfId="22666" xr:uid="{00000000-0005-0000-0000-00007B580000}"/>
    <cellStyle name="Normal 3 30 23" xfId="22667" xr:uid="{00000000-0005-0000-0000-00007C580000}"/>
    <cellStyle name="Normal 3 30 23 2" xfId="22668" xr:uid="{00000000-0005-0000-0000-00007D580000}"/>
    <cellStyle name="Normal 3 30 23 3" xfId="22669" xr:uid="{00000000-0005-0000-0000-00007E580000}"/>
    <cellStyle name="Normal 3 30 24" xfId="22670" xr:uid="{00000000-0005-0000-0000-00007F580000}"/>
    <cellStyle name="Normal 3 30 25" xfId="22671" xr:uid="{00000000-0005-0000-0000-000080580000}"/>
    <cellStyle name="Normal 3 30 3" xfId="22672" xr:uid="{00000000-0005-0000-0000-000081580000}"/>
    <cellStyle name="Normal 3 30 3 2" xfId="22673" xr:uid="{00000000-0005-0000-0000-000082580000}"/>
    <cellStyle name="Normal 3 30 3 3" xfId="22674" xr:uid="{00000000-0005-0000-0000-000083580000}"/>
    <cellStyle name="Normal 3 30 4" xfId="22675" xr:uid="{00000000-0005-0000-0000-000084580000}"/>
    <cellStyle name="Normal 3 30 4 2" xfId="22676" xr:uid="{00000000-0005-0000-0000-000085580000}"/>
    <cellStyle name="Normal 3 30 4 3" xfId="22677" xr:uid="{00000000-0005-0000-0000-000086580000}"/>
    <cellStyle name="Normal 3 30 5" xfId="22678" xr:uid="{00000000-0005-0000-0000-000087580000}"/>
    <cellStyle name="Normal 3 30 5 2" xfId="22679" xr:uid="{00000000-0005-0000-0000-000088580000}"/>
    <cellStyle name="Normal 3 30 5 3" xfId="22680" xr:uid="{00000000-0005-0000-0000-000089580000}"/>
    <cellStyle name="Normal 3 30 6" xfId="22681" xr:uid="{00000000-0005-0000-0000-00008A580000}"/>
    <cellStyle name="Normal 3 30 6 2" xfId="22682" xr:uid="{00000000-0005-0000-0000-00008B580000}"/>
    <cellStyle name="Normal 3 30 6 3" xfId="22683" xr:uid="{00000000-0005-0000-0000-00008C580000}"/>
    <cellStyle name="Normal 3 30 7" xfId="22684" xr:uid="{00000000-0005-0000-0000-00008D580000}"/>
    <cellStyle name="Normal 3 30 7 2" xfId="22685" xr:uid="{00000000-0005-0000-0000-00008E580000}"/>
    <cellStyle name="Normal 3 30 7 3" xfId="22686" xr:uid="{00000000-0005-0000-0000-00008F580000}"/>
    <cellStyle name="Normal 3 30 8" xfId="22687" xr:uid="{00000000-0005-0000-0000-000090580000}"/>
    <cellStyle name="Normal 3 30 8 2" xfId="22688" xr:uid="{00000000-0005-0000-0000-000091580000}"/>
    <cellStyle name="Normal 3 30 8 3" xfId="22689" xr:uid="{00000000-0005-0000-0000-000092580000}"/>
    <cellStyle name="Normal 3 30 9" xfId="22690" xr:uid="{00000000-0005-0000-0000-000093580000}"/>
    <cellStyle name="Normal 3 30 9 2" xfId="22691" xr:uid="{00000000-0005-0000-0000-000094580000}"/>
    <cellStyle name="Normal 3 30 9 3" xfId="22692" xr:uid="{00000000-0005-0000-0000-000095580000}"/>
    <cellStyle name="Normal 3 31" xfId="22693" xr:uid="{00000000-0005-0000-0000-000096580000}"/>
    <cellStyle name="Normal 3 31 10" xfId="22694" xr:uid="{00000000-0005-0000-0000-000097580000}"/>
    <cellStyle name="Normal 3 31 10 2" xfId="22695" xr:uid="{00000000-0005-0000-0000-000098580000}"/>
    <cellStyle name="Normal 3 31 10 3" xfId="22696" xr:uid="{00000000-0005-0000-0000-000099580000}"/>
    <cellStyle name="Normal 3 31 11" xfId="22697" xr:uid="{00000000-0005-0000-0000-00009A580000}"/>
    <cellStyle name="Normal 3 31 11 2" xfId="22698" xr:uid="{00000000-0005-0000-0000-00009B580000}"/>
    <cellStyle name="Normal 3 31 11 3" xfId="22699" xr:uid="{00000000-0005-0000-0000-00009C580000}"/>
    <cellStyle name="Normal 3 31 12" xfId="22700" xr:uid="{00000000-0005-0000-0000-00009D580000}"/>
    <cellStyle name="Normal 3 31 12 2" xfId="22701" xr:uid="{00000000-0005-0000-0000-00009E580000}"/>
    <cellStyle name="Normal 3 31 12 3" xfId="22702" xr:uid="{00000000-0005-0000-0000-00009F580000}"/>
    <cellStyle name="Normal 3 31 13" xfId="22703" xr:uid="{00000000-0005-0000-0000-0000A0580000}"/>
    <cellStyle name="Normal 3 31 13 2" xfId="22704" xr:uid="{00000000-0005-0000-0000-0000A1580000}"/>
    <cellStyle name="Normal 3 31 13 3" xfId="22705" xr:uid="{00000000-0005-0000-0000-0000A2580000}"/>
    <cellStyle name="Normal 3 31 14" xfId="22706" xr:uid="{00000000-0005-0000-0000-0000A3580000}"/>
    <cellStyle name="Normal 3 31 14 2" xfId="22707" xr:uid="{00000000-0005-0000-0000-0000A4580000}"/>
    <cellStyle name="Normal 3 31 14 3" xfId="22708" xr:uid="{00000000-0005-0000-0000-0000A5580000}"/>
    <cellStyle name="Normal 3 31 15" xfId="22709" xr:uid="{00000000-0005-0000-0000-0000A6580000}"/>
    <cellStyle name="Normal 3 31 15 2" xfId="22710" xr:uid="{00000000-0005-0000-0000-0000A7580000}"/>
    <cellStyle name="Normal 3 31 15 3" xfId="22711" xr:uid="{00000000-0005-0000-0000-0000A8580000}"/>
    <cellStyle name="Normal 3 31 16" xfId="22712" xr:uid="{00000000-0005-0000-0000-0000A9580000}"/>
    <cellStyle name="Normal 3 31 16 2" xfId="22713" xr:uid="{00000000-0005-0000-0000-0000AA580000}"/>
    <cellStyle name="Normal 3 31 16 3" xfId="22714" xr:uid="{00000000-0005-0000-0000-0000AB580000}"/>
    <cellStyle name="Normal 3 31 17" xfId="22715" xr:uid="{00000000-0005-0000-0000-0000AC580000}"/>
    <cellStyle name="Normal 3 31 17 2" xfId="22716" xr:uid="{00000000-0005-0000-0000-0000AD580000}"/>
    <cellStyle name="Normal 3 31 17 3" xfId="22717" xr:uid="{00000000-0005-0000-0000-0000AE580000}"/>
    <cellStyle name="Normal 3 31 18" xfId="22718" xr:uid="{00000000-0005-0000-0000-0000AF580000}"/>
    <cellStyle name="Normal 3 31 18 2" xfId="22719" xr:uid="{00000000-0005-0000-0000-0000B0580000}"/>
    <cellStyle name="Normal 3 31 18 3" xfId="22720" xr:uid="{00000000-0005-0000-0000-0000B1580000}"/>
    <cellStyle name="Normal 3 31 19" xfId="22721" xr:uid="{00000000-0005-0000-0000-0000B2580000}"/>
    <cellStyle name="Normal 3 31 19 2" xfId="22722" xr:uid="{00000000-0005-0000-0000-0000B3580000}"/>
    <cellStyle name="Normal 3 31 19 3" xfId="22723" xr:uid="{00000000-0005-0000-0000-0000B4580000}"/>
    <cellStyle name="Normal 3 31 2" xfId="22724" xr:uid="{00000000-0005-0000-0000-0000B5580000}"/>
    <cellStyle name="Normal 3 31 2 2" xfId="22725" xr:uid="{00000000-0005-0000-0000-0000B6580000}"/>
    <cellStyle name="Normal 3 31 2 3" xfId="22726" xr:uid="{00000000-0005-0000-0000-0000B7580000}"/>
    <cellStyle name="Normal 3 31 20" xfId="22727" xr:uid="{00000000-0005-0000-0000-0000B8580000}"/>
    <cellStyle name="Normal 3 31 20 2" xfId="22728" xr:uid="{00000000-0005-0000-0000-0000B9580000}"/>
    <cellStyle name="Normal 3 31 20 3" xfId="22729" xr:uid="{00000000-0005-0000-0000-0000BA580000}"/>
    <cellStyle name="Normal 3 31 21" xfId="22730" xr:uid="{00000000-0005-0000-0000-0000BB580000}"/>
    <cellStyle name="Normal 3 31 21 2" xfId="22731" xr:uid="{00000000-0005-0000-0000-0000BC580000}"/>
    <cellStyle name="Normal 3 31 21 3" xfId="22732" xr:uid="{00000000-0005-0000-0000-0000BD580000}"/>
    <cellStyle name="Normal 3 31 22" xfId="22733" xr:uid="{00000000-0005-0000-0000-0000BE580000}"/>
    <cellStyle name="Normal 3 31 22 2" xfId="22734" xr:uid="{00000000-0005-0000-0000-0000BF580000}"/>
    <cellStyle name="Normal 3 31 22 3" xfId="22735" xr:uid="{00000000-0005-0000-0000-0000C0580000}"/>
    <cellStyle name="Normal 3 31 23" xfId="22736" xr:uid="{00000000-0005-0000-0000-0000C1580000}"/>
    <cellStyle name="Normal 3 31 23 2" xfId="22737" xr:uid="{00000000-0005-0000-0000-0000C2580000}"/>
    <cellStyle name="Normal 3 31 23 3" xfId="22738" xr:uid="{00000000-0005-0000-0000-0000C3580000}"/>
    <cellStyle name="Normal 3 31 24" xfId="22739" xr:uid="{00000000-0005-0000-0000-0000C4580000}"/>
    <cellStyle name="Normal 3 31 25" xfId="22740" xr:uid="{00000000-0005-0000-0000-0000C5580000}"/>
    <cellStyle name="Normal 3 31 3" xfId="22741" xr:uid="{00000000-0005-0000-0000-0000C6580000}"/>
    <cellStyle name="Normal 3 31 3 2" xfId="22742" xr:uid="{00000000-0005-0000-0000-0000C7580000}"/>
    <cellStyle name="Normal 3 31 3 3" xfId="22743" xr:uid="{00000000-0005-0000-0000-0000C8580000}"/>
    <cellStyle name="Normal 3 31 4" xfId="22744" xr:uid="{00000000-0005-0000-0000-0000C9580000}"/>
    <cellStyle name="Normal 3 31 4 2" xfId="22745" xr:uid="{00000000-0005-0000-0000-0000CA580000}"/>
    <cellStyle name="Normal 3 31 4 3" xfId="22746" xr:uid="{00000000-0005-0000-0000-0000CB580000}"/>
    <cellStyle name="Normal 3 31 5" xfId="22747" xr:uid="{00000000-0005-0000-0000-0000CC580000}"/>
    <cellStyle name="Normal 3 31 5 2" xfId="22748" xr:uid="{00000000-0005-0000-0000-0000CD580000}"/>
    <cellStyle name="Normal 3 31 5 3" xfId="22749" xr:uid="{00000000-0005-0000-0000-0000CE580000}"/>
    <cellStyle name="Normal 3 31 6" xfId="22750" xr:uid="{00000000-0005-0000-0000-0000CF580000}"/>
    <cellStyle name="Normal 3 31 6 2" xfId="22751" xr:uid="{00000000-0005-0000-0000-0000D0580000}"/>
    <cellStyle name="Normal 3 31 6 3" xfId="22752" xr:uid="{00000000-0005-0000-0000-0000D1580000}"/>
    <cellStyle name="Normal 3 31 7" xfId="22753" xr:uid="{00000000-0005-0000-0000-0000D2580000}"/>
    <cellStyle name="Normal 3 31 7 2" xfId="22754" xr:uid="{00000000-0005-0000-0000-0000D3580000}"/>
    <cellStyle name="Normal 3 31 7 3" xfId="22755" xr:uid="{00000000-0005-0000-0000-0000D4580000}"/>
    <cellStyle name="Normal 3 31 8" xfId="22756" xr:uid="{00000000-0005-0000-0000-0000D5580000}"/>
    <cellStyle name="Normal 3 31 8 2" xfId="22757" xr:uid="{00000000-0005-0000-0000-0000D6580000}"/>
    <cellStyle name="Normal 3 31 8 3" xfId="22758" xr:uid="{00000000-0005-0000-0000-0000D7580000}"/>
    <cellStyle name="Normal 3 31 9" xfId="22759" xr:uid="{00000000-0005-0000-0000-0000D8580000}"/>
    <cellStyle name="Normal 3 31 9 2" xfId="22760" xr:uid="{00000000-0005-0000-0000-0000D9580000}"/>
    <cellStyle name="Normal 3 31 9 3" xfId="22761" xr:uid="{00000000-0005-0000-0000-0000DA580000}"/>
    <cellStyle name="Normal 3 32" xfId="22762" xr:uid="{00000000-0005-0000-0000-0000DB580000}"/>
    <cellStyle name="Normal 3 32 10" xfId="22763" xr:uid="{00000000-0005-0000-0000-0000DC580000}"/>
    <cellStyle name="Normal 3 32 10 2" xfId="22764" xr:uid="{00000000-0005-0000-0000-0000DD580000}"/>
    <cellStyle name="Normal 3 32 10 3" xfId="22765" xr:uid="{00000000-0005-0000-0000-0000DE580000}"/>
    <cellStyle name="Normal 3 32 11" xfId="22766" xr:uid="{00000000-0005-0000-0000-0000DF580000}"/>
    <cellStyle name="Normal 3 32 11 2" xfId="22767" xr:uid="{00000000-0005-0000-0000-0000E0580000}"/>
    <cellStyle name="Normal 3 32 11 3" xfId="22768" xr:uid="{00000000-0005-0000-0000-0000E1580000}"/>
    <cellStyle name="Normal 3 32 12" xfId="22769" xr:uid="{00000000-0005-0000-0000-0000E2580000}"/>
    <cellStyle name="Normal 3 32 12 2" xfId="22770" xr:uid="{00000000-0005-0000-0000-0000E3580000}"/>
    <cellStyle name="Normal 3 32 12 3" xfId="22771" xr:uid="{00000000-0005-0000-0000-0000E4580000}"/>
    <cellStyle name="Normal 3 32 13" xfId="22772" xr:uid="{00000000-0005-0000-0000-0000E5580000}"/>
    <cellStyle name="Normal 3 32 13 2" xfId="22773" xr:uid="{00000000-0005-0000-0000-0000E6580000}"/>
    <cellStyle name="Normal 3 32 13 3" xfId="22774" xr:uid="{00000000-0005-0000-0000-0000E7580000}"/>
    <cellStyle name="Normal 3 32 14" xfId="22775" xr:uid="{00000000-0005-0000-0000-0000E8580000}"/>
    <cellStyle name="Normal 3 32 14 2" xfId="22776" xr:uid="{00000000-0005-0000-0000-0000E9580000}"/>
    <cellStyle name="Normal 3 32 14 3" xfId="22777" xr:uid="{00000000-0005-0000-0000-0000EA580000}"/>
    <cellStyle name="Normal 3 32 15" xfId="22778" xr:uid="{00000000-0005-0000-0000-0000EB580000}"/>
    <cellStyle name="Normal 3 32 15 2" xfId="22779" xr:uid="{00000000-0005-0000-0000-0000EC580000}"/>
    <cellStyle name="Normal 3 32 15 3" xfId="22780" xr:uid="{00000000-0005-0000-0000-0000ED580000}"/>
    <cellStyle name="Normal 3 32 16" xfId="22781" xr:uid="{00000000-0005-0000-0000-0000EE580000}"/>
    <cellStyle name="Normal 3 32 16 2" xfId="22782" xr:uid="{00000000-0005-0000-0000-0000EF580000}"/>
    <cellStyle name="Normal 3 32 16 3" xfId="22783" xr:uid="{00000000-0005-0000-0000-0000F0580000}"/>
    <cellStyle name="Normal 3 32 17" xfId="22784" xr:uid="{00000000-0005-0000-0000-0000F1580000}"/>
    <cellStyle name="Normal 3 32 17 2" xfId="22785" xr:uid="{00000000-0005-0000-0000-0000F2580000}"/>
    <cellStyle name="Normal 3 32 17 3" xfId="22786" xr:uid="{00000000-0005-0000-0000-0000F3580000}"/>
    <cellStyle name="Normal 3 32 18" xfId="22787" xr:uid="{00000000-0005-0000-0000-0000F4580000}"/>
    <cellStyle name="Normal 3 32 18 2" xfId="22788" xr:uid="{00000000-0005-0000-0000-0000F5580000}"/>
    <cellStyle name="Normal 3 32 18 3" xfId="22789" xr:uid="{00000000-0005-0000-0000-0000F6580000}"/>
    <cellStyle name="Normal 3 32 19" xfId="22790" xr:uid="{00000000-0005-0000-0000-0000F7580000}"/>
    <cellStyle name="Normal 3 32 19 2" xfId="22791" xr:uid="{00000000-0005-0000-0000-0000F8580000}"/>
    <cellStyle name="Normal 3 32 19 3" xfId="22792" xr:uid="{00000000-0005-0000-0000-0000F9580000}"/>
    <cellStyle name="Normal 3 32 2" xfId="22793" xr:uid="{00000000-0005-0000-0000-0000FA580000}"/>
    <cellStyle name="Normal 3 32 2 2" xfId="22794" xr:uid="{00000000-0005-0000-0000-0000FB580000}"/>
    <cellStyle name="Normal 3 32 2 3" xfId="22795" xr:uid="{00000000-0005-0000-0000-0000FC580000}"/>
    <cellStyle name="Normal 3 32 20" xfId="22796" xr:uid="{00000000-0005-0000-0000-0000FD580000}"/>
    <cellStyle name="Normal 3 32 20 2" xfId="22797" xr:uid="{00000000-0005-0000-0000-0000FE580000}"/>
    <cellStyle name="Normal 3 32 20 3" xfId="22798" xr:uid="{00000000-0005-0000-0000-0000FF580000}"/>
    <cellStyle name="Normal 3 32 21" xfId="22799" xr:uid="{00000000-0005-0000-0000-000000590000}"/>
    <cellStyle name="Normal 3 32 21 2" xfId="22800" xr:uid="{00000000-0005-0000-0000-000001590000}"/>
    <cellStyle name="Normal 3 32 21 3" xfId="22801" xr:uid="{00000000-0005-0000-0000-000002590000}"/>
    <cellStyle name="Normal 3 32 22" xfId="22802" xr:uid="{00000000-0005-0000-0000-000003590000}"/>
    <cellStyle name="Normal 3 32 22 2" xfId="22803" xr:uid="{00000000-0005-0000-0000-000004590000}"/>
    <cellStyle name="Normal 3 32 22 3" xfId="22804" xr:uid="{00000000-0005-0000-0000-000005590000}"/>
    <cellStyle name="Normal 3 32 23" xfId="22805" xr:uid="{00000000-0005-0000-0000-000006590000}"/>
    <cellStyle name="Normal 3 32 23 2" xfId="22806" xr:uid="{00000000-0005-0000-0000-000007590000}"/>
    <cellStyle name="Normal 3 32 23 3" xfId="22807" xr:uid="{00000000-0005-0000-0000-000008590000}"/>
    <cellStyle name="Normal 3 32 24" xfId="22808" xr:uid="{00000000-0005-0000-0000-000009590000}"/>
    <cellStyle name="Normal 3 32 25" xfId="22809" xr:uid="{00000000-0005-0000-0000-00000A590000}"/>
    <cellStyle name="Normal 3 32 3" xfId="22810" xr:uid="{00000000-0005-0000-0000-00000B590000}"/>
    <cellStyle name="Normal 3 32 3 2" xfId="22811" xr:uid="{00000000-0005-0000-0000-00000C590000}"/>
    <cellStyle name="Normal 3 32 3 3" xfId="22812" xr:uid="{00000000-0005-0000-0000-00000D590000}"/>
    <cellStyle name="Normal 3 32 4" xfId="22813" xr:uid="{00000000-0005-0000-0000-00000E590000}"/>
    <cellStyle name="Normal 3 32 4 2" xfId="22814" xr:uid="{00000000-0005-0000-0000-00000F590000}"/>
    <cellStyle name="Normal 3 32 4 3" xfId="22815" xr:uid="{00000000-0005-0000-0000-000010590000}"/>
    <cellStyle name="Normal 3 32 5" xfId="22816" xr:uid="{00000000-0005-0000-0000-000011590000}"/>
    <cellStyle name="Normal 3 32 5 2" xfId="22817" xr:uid="{00000000-0005-0000-0000-000012590000}"/>
    <cellStyle name="Normal 3 32 5 3" xfId="22818" xr:uid="{00000000-0005-0000-0000-000013590000}"/>
    <cellStyle name="Normal 3 32 6" xfId="22819" xr:uid="{00000000-0005-0000-0000-000014590000}"/>
    <cellStyle name="Normal 3 32 6 2" xfId="22820" xr:uid="{00000000-0005-0000-0000-000015590000}"/>
    <cellStyle name="Normal 3 32 6 3" xfId="22821" xr:uid="{00000000-0005-0000-0000-000016590000}"/>
    <cellStyle name="Normal 3 32 7" xfId="22822" xr:uid="{00000000-0005-0000-0000-000017590000}"/>
    <cellStyle name="Normal 3 32 7 2" xfId="22823" xr:uid="{00000000-0005-0000-0000-000018590000}"/>
    <cellStyle name="Normal 3 32 7 3" xfId="22824" xr:uid="{00000000-0005-0000-0000-000019590000}"/>
    <cellStyle name="Normal 3 32 8" xfId="22825" xr:uid="{00000000-0005-0000-0000-00001A590000}"/>
    <cellStyle name="Normal 3 32 8 2" xfId="22826" xr:uid="{00000000-0005-0000-0000-00001B590000}"/>
    <cellStyle name="Normal 3 32 8 3" xfId="22827" xr:uid="{00000000-0005-0000-0000-00001C590000}"/>
    <cellStyle name="Normal 3 32 9" xfId="22828" xr:uid="{00000000-0005-0000-0000-00001D590000}"/>
    <cellStyle name="Normal 3 32 9 2" xfId="22829" xr:uid="{00000000-0005-0000-0000-00001E590000}"/>
    <cellStyle name="Normal 3 32 9 3" xfId="22830" xr:uid="{00000000-0005-0000-0000-00001F590000}"/>
    <cellStyle name="Normal 3 33" xfId="22831" xr:uid="{00000000-0005-0000-0000-000020590000}"/>
    <cellStyle name="Normal 3 33 10" xfId="22832" xr:uid="{00000000-0005-0000-0000-000021590000}"/>
    <cellStyle name="Normal 3 33 10 2" xfId="22833" xr:uid="{00000000-0005-0000-0000-000022590000}"/>
    <cellStyle name="Normal 3 33 10 3" xfId="22834" xr:uid="{00000000-0005-0000-0000-000023590000}"/>
    <cellStyle name="Normal 3 33 11" xfId="22835" xr:uid="{00000000-0005-0000-0000-000024590000}"/>
    <cellStyle name="Normal 3 33 11 2" xfId="22836" xr:uid="{00000000-0005-0000-0000-000025590000}"/>
    <cellStyle name="Normal 3 33 11 3" xfId="22837" xr:uid="{00000000-0005-0000-0000-000026590000}"/>
    <cellStyle name="Normal 3 33 12" xfId="22838" xr:uid="{00000000-0005-0000-0000-000027590000}"/>
    <cellStyle name="Normal 3 33 12 2" xfId="22839" xr:uid="{00000000-0005-0000-0000-000028590000}"/>
    <cellStyle name="Normal 3 33 12 3" xfId="22840" xr:uid="{00000000-0005-0000-0000-000029590000}"/>
    <cellStyle name="Normal 3 33 13" xfId="22841" xr:uid="{00000000-0005-0000-0000-00002A590000}"/>
    <cellStyle name="Normal 3 33 13 2" xfId="22842" xr:uid="{00000000-0005-0000-0000-00002B590000}"/>
    <cellStyle name="Normal 3 33 13 3" xfId="22843" xr:uid="{00000000-0005-0000-0000-00002C590000}"/>
    <cellStyle name="Normal 3 33 14" xfId="22844" xr:uid="{00000000-0005-0000-0000-00002D590000}"/>
    <cellStyle name="Normal 3 33 14 2" xfId="22845" xr:uid="{00000000-0005-0000-0000-00002E590000}"/>
    <cellStyle name="Normal 3 33 14 3" xfId="22846" xr:uid="{00000000-0005-0000-0000-00002F590000}"/>
    <cellStyle name="Normal 3 33 15" xfId="22847" xr:uid="{00000000-0005-0000-0000-000030590000}"/>
    <cellStyle name="Normal 3 33 15 2" xfId="22848" xr:uid="{00000000-0005-0000-0000-000031590000}"/>
    <cellStyle name="Normal 3 33 15 3" xfId="22849" xr:uid="{00000000-0005-0000-0000-000032590000}"/>
    <cellStyle name="Normal 3 33 16" xfId="22850" xr:uid="{00000000-0005-0000-0000-000033590000}"/>
    <cellStyle name="Normal 3 33 16 2" xfId="22851" xr:uid="{00000000-0005-0000-0000-000034590000}"/>
    <cellStyle name="Normal 3 33 16 3" xfId="22852" xr:uid="{00000000-0005-0000-0000-000035590000}"/>
    <cellStyle name="Normal 3 33 17" xfId="22853" xr:uid="{00000000-0005-0000-0000-000036590000}"/>
    <cellStyle name="Normal 3 33 17 2" xfId="22854" xr:uid="{00000000-0005-0000-0000-000037590000}"/>
    <cellStyle name="Normal 3 33 17 3" xfId="22855" xr:uid="{00000000-0005-0000-0000-000038590000}"/>
    <cellStyle name="Normal 3 33 18" xfId="22856" xr:uid="{00000000-0005-0000-0000-000039590000}"/>
    <cellStyle name="Normal 3 33 18 2" xfId="22857" xr:uid="{00000000-0005-0000-0000-00003A590000}"/>
    <cellStyle name="Normal 3 33 18 3" xfId="22858" xr:uid="{00000000-0005-0000-0000-00003B590000}"/>
    <cellStyle name="Normal 3 33 19" xfId="22859" xr:uid="{00000000-0005-0000-0000-00003C590000}"/>
    <cellStyle name="Normal 3 33 19 2" xfId="22860" xr:uid="{00000000-0005-0000-0000-00003D590000}"/>
    <cellStyle name="Normal 3 33 19 3" xfId="22861" xr:uid="{00000000-0005-0000-0000-00003E590000}"/>
    <cellStyle name="Normal 3 33 2" xfId="22862" xr:uid="{00000000-0005-0000-0000-00003F590000}"/>
    <cellStyle name="Normal 3 33 2 2" xfId="22863" xr:uid="{00000000-0005-0000-0000-000040590000}"/>
    <cellStyle name="Normal 3 33 2 3" xfId="22864" xr:uid="{00000000-0005-0000-0000-000041590000}"/>
    <cellStyle name="Normal 3 33 20" xfId="22865" xr:uid="{00000000-0005-0000-0000-000042590000}"/>
    <cellStyle name="Normal 3 33 20 2" xfId="22866" xr:uid="{00000000-0005-0000-0000-000043590000}"/>
    <cellStyle name="Normal 3 33 20 3" xfId="22867" xr:uid="{00000000-0005-0000-0000-000044590000}"/>
    <cellStyle name="Normal 3 33 21" xfId="22868" xr:uid="{00000000-0005-0000-0000-000045590000}"/>
    <cellStyle name="Normal 3 33 21 2" xfId="22869" xr:uid="{00000000-0005-0000-0000-000046590000}"/>
    <cellStyle name="Normal 3 33 21 3" xfId="22870" xr:uid="{00000000-0005-0000-0000-000047590000}"/>
    <cellStyle name="Normal 3 33 22" xfId="22871" xr:uid="{00000000-0005-0000-0000-000048590000}"/>
    <cellStyle name="Normal 3 33 22 2" xfId="22872" xr:uid="{00000000-0005-0000-0000-000049590000}"/>
    <cellStyle name="Normal 3 33 22 3" xfId="22873" xr:uid="{00000000-0005-0000-0000-00004A590000}"/>
    <cellStyle name="Normal 3 33 23" xfId="22874" xr:uid="{00000000-0005-0000-0000-00004B590000}"/>
    <cellStyle name="Normal 3 33 23 2" xfId="22875" xr:uid="{00000000-0005-0000-0000-00004C590000}"/>
    <cellStyle name="Normal 3 33 23 3" xfId="22876" xr:uid="{00000000-0005-0000-0000-00004D590000}"/>
    <cellStyle name="Normal 3 33 24" xfId="22877" xr:uid="{00000000-0005-0000-0000-00004E590000}"/>
    <cellStyle name="Normal 3 33 25" xfId="22878" xr:uid="{00000000-0005-0000-0000-00004F590000}"/>
    <cellStyle name="Normal 3 33 3" xfId="22879" xr:uid="{00000000-0005-0000-0000-000050590000}"/>
    <cellStyle name="Normal 3 33 3 2" xfId="22880" xr:uid="{00000000-0005-0000-0000-000051590000}"/>
    <cellStyle name="Normal 3 33 3 3" xfId="22881" xr:uid="{00000000-0005-0000-0000-000052590000}"/>
    <cellStyle name="Normal 3 33 4" xfId="22882" xr:uid="{00000000-0005-0000-0000-000053590000}"/>
    <cellStyle name="Normal 3 33 4 2" xfId="22883" xr:uid="{00000000-0005-0000-0000-000054590000}"/>
    <cellStyle name="Normal 3 33 4 3" xfId="22884" xr:uid="{00000000-0005-0000-0000-000055590000}"/>
    <cellStyle name="Normal 3 33 5" xfId="22885" xr:uid="{00000000-0005-0000-0000-000056590000}"/>
    <cellStyle name="Normal 3 33 5 2" xfId="22886" xr:uid="{00000000-0005-0000-0000-000057590000}"/>
    <cellStyle name="Normal 3 33 5 3" xfId="22887" xr:uid="{00000000-0005-0000-0000-000058590000}"/>
    <cellStyle name="Normal 3 33 6" xfId="22888" xr:uid="{00000000-0005-0000-0000-000059590000}"/>
    <cellStyle name="Normal 3 33 6 2" xfId="22889" xr:uid="{00000000-0005-0000-0000-00005A590000}"/>
    <cellStyle name="Normal 3 33 6 3" xfId="22890" xr:uid="{00000000-0005-0000-0000-00005B590000}"/>
    <cellStyle name="Normal 3 33 7" xfId="22891" xr:uid="{00000000-0005-0000-0000-00005C590000}"/>
    <cellStyle name="Normal 3 33 7 2" xfId="22892" xr:uid="{00000000-0005-0000-0000-00005D590000}"/>
    <cellStyle name="Normal 3 33 7 3" xfId="22893" xr:uid="{00000000-0005-0000-0000-00005E590000}"/>
    <cellStyle name="Normal 3 33 8" xfId="22894" xr:uid="{00000000-0005-0000-0000-00005F590000}"/>
    <cellStyle name="Normal 3 33 8 2" xfId="22895" xr:uid="{00000000-0005-0000-0000-000060590000}"/>
    <cellStyle name="Normal 3 33 8 3" xfId="22896" xr:uid="{00000000-0005-0000-0000-000061590000}"/>
    <cellStyle name="Normal 3 33 9" xfId="22897" xr:uid="{00000000-0005-0000-0000-000062590000}"/>
    <cellStyle name="Normal 3 33 9 2" xfId="22898" xr:uid="{00000000-0005-0000-0000-000063590000}"/>
    <cellStyle name="Normal 3 33 9 3" xfId="22899" xr:uid="{00000000-0005-0000-0000-000064590000}"/>
    <cellStyle name="Normal 3 34" xfId="22900" xr:uid="{00000000-0005-0000-0000-000065590000}"/>
    <cellStyle name="Normal 3 34 2" xfId="22901" xr:uid="{00000000-0005-0000-0000-000066590000}"/>
    <cellStyle name="Normal 3 34 2 2" xfId="22902" xr:uid="{00000000-0005-0000-0000-000067590000}"/>
    <cellStyle name="Normal 3 34 2 3" xfId="22903" xr:uid="{00000000-0005-0000-0000-000068590000}"/>
    <cellStyle name="Normal 3 34 3" xfId="22904" xr:uid="{00000000-0005-0000-0000-000069590000}"/>
    <cellStyle name="Normal 3 34 3 2" xfId="22905" xr:uid="{00000000-0005-0000-0000-00006A590000}"/>
    <cellStyle name="Normal 3 34 4" xfId="22906" xr:uid="{00000000-0005-0000-0000-00006B590000}"/>
    <cellStyle name="Normal 3 34 5" xfId="22907" xr:uid="{00000000-0005-0000-0000-00006C590000}"/>
    <cellStyle name="Normal 3 34 6" xfId="22908" xr:uid="{00000000-0005-0000-0000-00006D590000}"/>
    <cellStyle name="Normal 3 35" xfId="22909" xr:uid="{00000000-0005-0000-0000-00006E590000}"/>
    <cellStyle name="Normal 3 35 2" xfId="22910" xr:uid="{00000000-0005-0000-0000-00006F590000}"/>
    <cellStyle name="Normal 3 35 2 2" xfId="22911" xr:uid="{00000000-0005-0000-0000-000070590000}"/>
    <cellStyle name="Normal 3 35 2 3" xfId="22912" xr:uid="{00000000-0005-0000-0000-000071590000}"/>
    <cellStyle name="Normal 3 35 3" xfId="22913" xr:uid="{00000000-0005-0000-0000-000072590000}"/>
    <cellStyle name="Normal 3 35 4" xfId="22914" xr:uid="{00000000-0005-0000-0000-000073590000}"/>
    <cellStyle name="Normal 3 36" xfId="22915" xr:uid="{00000000-0005-0000-0000-000074590000}"/>
    <cellStyle name="Normal 3 36 2" xfId="22916" xr:uid="{00000000-0005-0000-0000-000075590000}"/>
    <cellStyle name="Normal 3 36 3" xfId="22917" xr:uid="{00000000-0005-0000-0000-000076590000}"/>
    <cellStyle name="Normal 3 37" xfId="22918" xr:uid="{00000000-0005-0000-0000-000077590000}"/>
    <cellStyle name="Normal 3 37 2" xfId="22919" xr:uid="{00000000-0005-0000-0000-000078590000}"/>
    <cellStyle name="Normal 3 37 3" xfId="22920" xr:uid="{00000000-0005-0000-0000-000079590000}"/>
    <cellStyle name="Normal 3 38" xfId="22921" xr:uid="{00000000-0005-0000-0000-00007A590000}"/>
    <cellStyle name="Normal 3 38 2" xfId="22922" xr:uid="{00000000-0005-0000-0000-00007B590000}"/>
    <cellStyle name="Normal 3 38 3" xfId="22923" xr:uid="{00000000-0005-0000-0000-00007C590000}"/>
    <cellStyle name="Normal 3 39" xfId="22924" xr:uid="{00000000-0005-0000-0000-00007D590000}"/>
    <cellStyle name="Normal 3 39 2" xfId="22925" xr:uid="{00000000-0005-0000-0000-00007E590000}"/>
    <cellStyle name="Normal 3 39 3" xfId="22926" xr:uid="{00000000-0005-0000-0000-00007F590000}"/>
    <cellStyle name="Normal 3 4" xfId="22927" xr:uid="{00000000-0005-0000-0000-000080590000}"/>
    <cellStyle name="Normal 3 4 10" xfId="22928" xr:uid="{00000000-0005-0000-0000-000081590000}"/>
    <cellStyle name="Normal 3 4 10 2" xfId="22929" xr:uid="{00000000-0005-0000-0000-000082590000}"/>
    <cellStyle name="Normal 3 4 10 3" xfId="22930" xr:uid="{00000000-0005-0000-0000-000083590000}"/>
    <cellStyle name="Normal 3 4 11" xfId="22931" xr:uid="{00000000-0005-0000-0000-000084590000}"/>
    <cellStyle name="Normal 3 4 11 2" xfId="22932" xr:uid="{00000000-0005-0000-0000-000085590000}"/>
    <cellStyle name="Normal 3 4 11 3" xfId="22933" xr:uid="{00000000-0005-0000-0000-000086590000}"/>
    <cellStyle name="Normal 3 4 12" xfId="22934" xr:uid="{00000000-0005-0000-0000-000087590000}"/>
    <cellStyle name="Normal 3 4 12 2" xfId="22935" xr:uid="{00000000-0005-0000-0000-000088590000}"/>
    <cellStyle name="Normal 3 4 12 3" xfId="22936" xr:uid="{00000000-0005-0000-0000-000089590000}"/>
    <cellStyle name="Normal 3 4 13" xfId="22937" xr:uid="{00000000-0005-0000-0000-00008A590000}"/>
    <cellStyle name="Normal 3 4 13 2" xfId="22938" xr:uid="{00000000-0005-0000-0000-00008B590000}"/>
    <cellStyle name="Normal 3 4 13 3" xfId="22939" xr:uid="{00000000-0005-0000-0000-00008C590000}"/>
    <cellStyle name="Normal 3 4 14" xfId="22940" xr:uid="{00000000-0005-0000-0000-00008D590000}"/>
    <cellStyle name="Normal 3 4 14 2" xfId="22941" xr:uid="{00000000-0005-0000-0000-00008E590000}"/>
    <cellStyle name="Normal 3 4 14 3" xfId="22942" xr:uid="{00000000-0005-0000-0000-00008F590000}"/>
    <cellStyle name="Normal 3 4 15" xfId="22943" xr:uid="{00000000-0005-0000-0000-000090590000}"/>
    <cellStyle name="Normal 3 4 15 2" xfId="22944" xr:uid="{00000000-0005-0000-0000-000091590000}"/>
    <cellStyle name="Normal 3 4 15 3" xfId="22945" xr:uid="{00000000-0005-0000-0000-000092590000}"/>
    <cellStyle name="Normal 3 4 16" xfId="22946" xr:uid="{00000000-0005-0000-0000-000093590000}"/>
    <cellStyle name="Normal 3 4 16 2" xfId="22947" xr:uid="{00000000-0005-0000-0000-000094590000}"/>
    <cellStyle name="Normal 3 4 16 3" xfId="22948" xr:uid="{00000000-0005-0000-0000-000095590000}"/>
    <cellStyle name="Normal 3 4 17" xfId="22949" xr:uid="{00000000-0005-0000-0000-000096590000}"/>
    <cellStyle name="Normal 3 4 17 2" xfId="22950" xr:uid="{00000000-0005-0000-0000-000097590000}"/>
    <cellStyle name="Normal 3 4 17 3" xfId="22951" xr:uid="{00000000-0005-0000-0000-000098590000}"/>
    <cellStyle name="Normal 3 4 18" xfId="22952" xr:uid="{00000000-0005-0000-0000-000099590000}"/>
    <cellStyle name="Normal 3 4 18 2" xfId="22953" xr:uid="{00000000-0005-0000-0000-00009A590000}"/>
    <cellStyle name="Normal 3 4 18 3" xfId="22954" xr:uid="{00000000-0005-0000-0000-00009B590000}"/>
    <cellStyle name="Normal 3 4 19" xfId="22955" xr:uid="{00000000-0005-0000-0000-00009C590000}"/>
    <cellStyle name="Normal 3 4 19 2" xfId="22956" xr:uid="{00000000-0005-0000-0000-00009D590000}"/>
    <cellStyle name="Normal 3 4 19 3" xfId="22957" xr:uid="{00000000-0005-0000-0000-00009E590000}"/>
    <cellStyle name="Normal 3 4 2" xfId="22958" xr:uid="{00000000-0005-0000-0000-00009F590000}"/>
    <cellStyle name="Normal 3 4 2 2" xfId="22959" xr:uid="{00000000-0005-0000-0000-0000A0590000}"/>
    <cellStyle name="Normal 3 4 2 2 2" xfId="22960" xr:uid="{00000000-0005-0000-0000-0000A1590000}"/>
    <cellStyle name="Normal 3 4 2 3" xfId="22961" xr:uid="{00000000-0005-0000-0000-0000A2590000}"/>
    <cellStyle name="Normal 3 4 2 4" xfId="22962" xr:uid="{00000000-0005-0000-0000-0000A3590000}"/>
    <cellStyle name="Normal 3 4 20" xfId="22963" xr:uid="{00000000-0005-0000-0000-0000A4590000}"/>
    <cellStyle name="Normal 3 4 20 2" xfId="22964" xr:uid="{00000000-0005-0000-0000-0000A5590000}"/>
    <cellStyle name="Normal 3 4 20 3" xfId="22965" xr:uid="{00000000-0005-0000-0000-0000A6590000}"/>
    <cellStyle name="Normal 3 4 21" xfId="22966" xr:uid="{00000000-0005-0000-0000-0000A7590000}"/>
    <cellStyle name="Normal 3 4 21 2" xfId="22967" xr:uid="{00000000-0005-0000-0000-0000A8590000}"/>
    <cellStyle name="Normal 3 4 21 3" xfId="22968" xr:uid="{00000000-0005-0000-0000-0000A9590000}"/>
    <cellStyle name="Normal 3 4 22" xfId="22969" xr:uid="{00000000-0005-0000-0000-0000AA590000}"/>
    <cellStyle name="Normal 3 4 22 2" xfId="22970" xr:uid="{00000000-0005-0000-0000-0000AB590000}"/>
    <cellStyle name="Normal 3 4 22 3" xfId="22971" xr:uid="{00000000-0005-0000-0000-0000AC590000}"/>
    <cellStyle name="Normal 3 4 23" xfId="22972" xr:uid="{00000000-0005-0000-0000-0000AD590000}"/>
    <cellStyle name="Normal 3 4 23 2" xfId="22973" xr:uid="{00000000-0005-0000-0000-0000AE590000}"/>
    <cellStyle name="Normal 3 4 23 3" xfId="22974" xr:uid="{00000000-0005-0000-0000-0000AF590000}"/>
    <cellStyle name="Normal 3 4 24" xfId="22975" xr:uid="{00000000-0005-0000-0000-0000B0590000}"/>
    <cellStyle name="Normal 3 4 25" xfId="22976" xr:uid="{00000000-0005-0000-0000-0000B1590000}"/>
    <cellStyle name="Normal 3 4 26" xfId="22977" xr:uid="{00000000-0005-0000-0000-0000B2590000}"/>
    <cellStyle name="Normal 3 4 3" xfId="22978" xr:uid="{00000000-0005-0000-0000-0000B3590000}"/>
    <cellStyle name="Normal 3 4 3 2" xfId="22979" xr:uid="{00000000-0005-0000-0000-0000B4590000}"/>
    <cellStyle name="Normal 3 4 3 3" xfId="22980" xr:uid="{00000000-0005-0000-0000-0000B5590000}"/>
    <cellStyle name="Normal 3 4 4" xfId="22981" xr:uid="{00000000-0005-0000-0000-0000B6590000}"/>
    <cellStyle name="Normal 3 4 4 2" xfId="22982" xr:uid="{00000000-0005-0000-0000-0000B7590000}"/>
    <cellStyle name="Normal 3 4 4 3" xfId="22983" xr:uid="{00000000-0005-0000-0000-0000B8590000}"/>
    <cellStyle name="Normal 3 4 5" xfId="22984" xr:uid="{00000000-0005-0000-0000-0000B9590000}"/>
    <cellStyle name="Normal 3 4 5 2" xfId="22985" xr:uid="{00000000-0005-0000-0000-0000BA590000}"/>
    <cellStyle name="Normal 3 4 5 3" xfId="22986" xr:uid="{00000000-0005-0000-0000-0000BB590000}"/>
    <cellStyle name="Normal 3 4 6" xfId="22987" xr:uid="{00000000-0005-0000-0000-0000BC590000}"/>
    <cellStyle name="Normal 3 4 6 2" xfId="22988" xr:uid="{00000000-0005-0000-0000-0000BD590000}"/>
    <cellStyle name="Normal 3 4 6 3" xfId="22989" xr:uid="{00000000-0005-0000-0000-0000BE590000}"/>
    <cellStyle name="Normal 3 4 7" xfId="22990" xr:uid="{00000000-0005-0000-0000-0000BF590000}"/>
    <cellStyle name="Normal 3 4 7 2" xfId="22991" xr:uid="{00000000-0005-0000-0000-0000C0590000}"/>
    <cellStyle name="Normal 3 4 7 3" xfId="22992" xr:uid="{00000000-0005-0000-0000-0000C1590000}"/>
    <cellStyle name="Normal 3 4 8" xfId="22993" xr:uid="{00000000-0005-0000-0000-0000C2590000}"/>
    <cellStyle name="Normal 3 4 8 2" xfId="22994" xr:uid="{00000000-0005-0000-0000-0000C3590000}"/>
    <cellStyle name="Normal 3 4 8 3" xfId="22995" xr:uid="{00000000-0005-0000-0000-0000C4590000}"/>
    <cellStyle name="Normal 3 4 9" xfId="22996" xr:uid="{00000000-0005-0000-0000-0000C5590000}"/>
    <cellStyle name="Normal 3 4 9 2" xfId="22997" xr:uid="{00000000-0005-0000-0000-0000C6590000}"/>
    <cellStyle name="Normal 3 4 9 3" xfId="22998" xr:uid="{00000000-0005-0000-0000-0000C7590000}"/>
    <cellStyle name="Normal 3 40" xfId="22999" xr:uid="{00000000-0005-0000-0000-0000C8590000}"/>
    <cellStyle name="Normal 3 40 2" xfId="23000" xr:uid="{00000000-0005-0000-0000-0000C9590000}"/>
    <cellStyle name="Normal 3 40 3" xfId="23001" xr:uid="{00000000-0005-0000-0000-0000CA590000}"/>
    <cellStyle name="Normal 3 41" xfId="23002" xr:uid="{00000000-0005-0000-0000-0000CB590000}"/>
    <cellStyle name="Normal 3 41 2" xfId="23003" xr:uid="{00000000-0005-0000-0000-0000CC590000}"/>
    <cellStyle name="Normal 3 41 3" xfId="23004" xr:uid="{00000000-0005-0000-0000-0000CD590000}"/>
    <cellStyle name="Normal 3 42" xfId="23005" xr:uid="{00000000-0005-0000-0000-0000CE590000}"/>
    <cellStyle name="Normal 3 42 2" xfId="23006" xr:uid="{00000000-0005-0000-0000-0000CF590000}"/>
    <cellStyle name="Normal 3 42 3" xfId="23007" xr:uid="{00000000-0005-0000-0000-0000D0590000}"/>
    <cellStyle name="Normal 3 43" xfId="23008" xr:uid="{00000000-0005-0000-0000-0000D1590000}"/>
    <cellStyle name="Normal 3 43 2" xfId="23009" xr:uid="{00000000-0005-0000-0000-0000D2590000}"/>
    <cellStyle name="Normal 3 43 3" xfId="23010" xr:uid="{00000000-0005-0000-0000-0000D3590000}"/>
    <cellStyle name="Normal 3 44" xfId="23011" xr:uid="{00000000-0005-0000-0000-0000D4590000}"/>
    <cellStyle name="Normal 3 44 2" xfId="23012" xr:uid="{00000000-0005-0000-0000-0000D5590000}"/>
    <cellStyle name="Normal 3 44 3" xfId="23013" xr:uid="{00000000-0005-0000-0000-0000D6590000}"/>
    <cellStyle name="Normal 3 45" xfId="23014" xr:uid="{00000000-0005-0000-0000-0000D7590000}"/>
    <cellStyle name="Normal 3 45 2" xfId="23015" xr:uid="{00000000-0005-0000-0000-0000D8590000}"/>
    <cellStyle name="Normal 3 45 3" xfId="23016" xr:uid="{00000000-0005-0000-0000-0000D9590000}"/>
    <cellStyle name="Normal 3 46" xfId="23017" xr:uid="{00000000-0005-0000-0000-0000DA590000}"/>
    <cellStyle name="Normal 3 46 2" xfId="23018" xr:uid="{00000000-0005-0000-0000-0000DB590000}"/>
    <cellStyle name="Normal 3 46 3" xfId="23019" xr:uid="{00000000-0005-0000-0000-0000DC590000}"/>
    <cellStyle name="Normal 3 47" xfId="23020" xr:uid="{00000000-0005-0000-0000-0000DD590000}"/>
    <cellStyle name="Normal 3 47 2" xfId="23021" xr:uid="{00000000-0005-0000-0000-0000DE590000}"/>
    <cellStyle name="Normal 3 47 3" xfId="23022" xr:uid="{00000000-0005-0000-0000-0000DF590000}"/>
    <cellStyle name="Normal 3 48" xfId="23023" xr:uid="{00000000-0005-0000-0000-0000E0590000}"/>
    <cellStyle name="Normal 3 48 2" xfId="23024" xr:uid="{00000000-0005-0000-0000-0000E1590000}"/>
    <cellStyle name="Normal 3 48 3" xfId="23025" xr:uid="{00000000-0005-0000-0000-0000E2590000}"/>
    <cellStyle name="Normal 3 49" xfId="23026" xr:uid="{00000000-0005-0000-0000-0000E3590000}"/>
    <cellStyle name="Normal 3 49 2" xfId="23027" xr:uid="{00000000-0005-0000-0000-0000E4590000}"/>
    <cellStyle name="Normal 3 49 3" xfId="23028" xr:uid="{00000000-0005-0000-0000-0000E5590000}"/>
    <cellStyle name="Normal 3 5" xfId="23029" xr:uid="{00000000-0005-0000-0000-0000E6590000}"/>
    <cellStyle name="Normal 3 5 10" xfId="23030" xr:uid="{00000000-0005-0000-0000-0000E7590000}"/>
    <cellStyle name="Normal 3 5 10 2" xfId="23031" xr:uid="{00000000-0005-0000-0000-0000E8590000}"/>
    <cellStyle name="Normal 3 5 10 3" xfId="23032" xr:uid="{00000000-0005-0000-0000-0000E9590000}"/>
    <cellStyle name="Normal 3 5 11" xfId="23033" xr:uid="{00000000-0005-0000-0000-0000EA590000}"/>
    <cellStyle name="Normal 3 5 11 2" xfId="23034" xr:uid="{00000000-0005-0000-0000-0000EB590000}"/>
    <cellStyle name="Normal 3 5 11 3" xfId="23035" xr:uid="{00000000-0005-0000-0000-0000EC590000}"/>
    <cellStyle name="Normal 3 5 12" xfId="23036" xr:uid="{00000000-0005-0000-0000-0000ED590000}"/>
    <cellStyle name="Normal 3 5 12 2" xfId="23037" xr:uid="{00000000-0005-0000-0000-0000EE590000}"/>
    <cellStyle name="Normal 3 5 12 3" xfId="23038" xr:uid="{00000000-0005-0000-0000-0000EF590000}"/>
    <cellStyle name="Normal 3 5 13" xfId="23039" xr:uid="{00000000-0005-0000-0000-0000F0590000}"/>
    <cellStyle name="Normal 3 5 13 2" xfId="23040" xr:uid="{00000000-0005-0000-0000-0000F1590000}"/>
    <cellStyle name="Normal 3 5 13 3" xfId="23041" xr:uid="{00000000-0005-0000-0000-0000F2590000}"/>
    <cellStyle name="Normal 3 5 14" xfId="23042" xr:uid="{00000000-0005-0000-0000-0000F3590000}"/>
    <cellStyle name="Normal 3 5 14 2" xfId="23043" xr:uid="{00000000-0005-0000-0000-0000F4590000}"/>
    <cellStyle name="Normal 3 5 14 3" xfId="23044" xr:uid="{00000000-0005-0000-0000-0000F5590000}"/>
    <cellStyle name="Normal 3 5 15" xfId="23045" xr:uid="{00000000-0005-0000-0000-0000F6590000}"/>
    <cellStyle name="Normal 3 5 15 2" xfId="23046" xr:uid="{00000000-0005-0000-0000-0000F7590000}"/>
    <cellStyle name="Normal 3 5 15 3" xfId="23047" xr:uid="{00000000-0005-0000-0000-0000F8590000}"/>
    <cellStyle name="Normal 3 5 16" xfId="23048" xr:uid="{00000000-0005-0000-0000-0000F9590000}"/>
    <cellStyle name="Normal 3 5 16 2" xfId="23049" xr:uid="{00000000-0005-0000-0000-0000FA590000}"/>
    <cellStyle name="Normal 3 5 16 3" xfId="23050" xr:uid="{00000000-0005-0000-0000-0000FB590000}"/>
    <cellStyle name="Normal 3 5 17" xfId="23051" xr:uid="{00000000-0005-0000-0000-0000FC590000}"/>
    <cellStyle name="Normal 3 5 17 2" xfId="23052" xr:uid="{00000000-0005-0000-0000-0000FD590000}"/>
    <cellStyle name="Normal 3 5 17 3" xfId="23053" xr:uid="{00000000-0005-0000-0000-0000FE590000}"/>
    <cellStyle name="Normal 3 5 18" xfId="23054" xr:uid="{00000000-0005-0000-0000-0000FF590000}"/>
    <cellStyle name="Normal 3 5 18 2" xfId="23055" xr:uid="{00000000-0005-0000-0000-0000005A0000}"/>
    <cellStyle name="Normal 3 5 18 3" xfId="23056" xr:uid="{00000000-0005-0000-0000-0000015A0000}"/>
    <cellStyle name="Normal 3 5 19" xfId="23057" xr:uid="{00000000-0005-0000-0000-0000025A0000}"/>
    <cellStyle name="Normal 3 5 19 2" xfId="23058" xr:uid="{00000000-0005-0000-0000-0000035A0000}"/>
    <cellStyle name="Normal 3 5 19 3" xfId="23059" xr:uid="{00000000-0005-0000-0000-0000045A0000}"/>
    <cellStyle name="Normal 3 5 2" xfId="23060" xr:uid="{00000000-0005-0000-0000-0000055A0000}"/>
    <cellStyle name="Normal 3 5 2 2" xfId="23061" xr:uid="{00000000-0005-0000-0000-0000065A0000}"/>
    <cellStyle name="Normal 3 5 2 3" xfId="23062" xr:uid="{00000000-0005-0000-0000-0000075A0000}"/>
    <cellStyle name="Normal 3 5 20" xfId="23063" xr:uid="{00000000-0005-0000-0000-0000085A0000}"/>
    <cellStyle name="Normal 3 5 20 2" xfId="23064" xr:uid="{00000000-0005-0000-0000-0000095A0000}"/>
    <cellStyle name="Normal 3 5 20 3" xfId="23065" xr:uid="{00000000-0005-0000-0000-00000A5A0000}"/>
    <cellStyle name="Normal 3 5 21" xfId="23066" xr:uid="{00000000-0005-0000-0000-00000B5A0000}"/>
    <cellStyle name="Normal 3 5 21 2" xfId="23067" xr:uid="{00000000-0005-0000-0000-00000C5A0000}"/>
    <cellStyle name="Normal 3 5 21 3" xfId="23068" xr:uid="{00000000-0005-0000-0000-00000D5A0000}"/>
    <cellStyle name="Normal 3 5 22" xfId="23069" xr:uid="{00000000-0005-0000-0000-00000E5A0000}"/>
    <cellStyle name="Normal 3 5 22 2" xfId="23070" xr:uid="{00000000-0005-0000-0000-00000F5A0000}"/>
    <cellStyle name="Normal 3 5 22 3" xfId="23071" xr:uid="{00000000-0005-0000-0000-0000105A0000}"/>
    <cellStyle name="Normal 3 5 23" xfId="23072" xr:uid="{00000000-0005-0000-0000-0000115A0000}"/>
    <cellStyle name="Normal 3 5 23 2" xfId="23073" xr:uid="{00000000-0005-0000-0000-0000125A0000}"/>
    <cellStyle name="Normal 3 5 23 3" xfId="23074" xr:uid="{00000000-0005-0000-0000-0000135A0000}"/>
    <cellStyle name="Normal 3 5 24" xfId="23075" xr:uid="{00000000-0005-0000-0000-0000145A0000}"/>
    <cellStyle name="Normal 3 5 25" xfId="23076" xr:uid="{00000000-0005-0000-0000-0000155A0000}"/>
    <cellStyle name="Normal 3 5 3" xfId="23077" xr:uid="{00000000-0005-0000-0000-0000165A0000}"/>
    <cellStyle name="Normal 3 5 3 2" xfId="23078" xr:uid="{00000000-0005-0000-0000-0000175A0000}"/>
    <cellStyle name="Normal 3 5 3 3" xfId="23079" xr:uid="{00000000-0005-0000-0000-0000185A0000}"/>
    <cellStyle name="Normal 3 5 4" xfId="23080" xr:uid="{00000000-0005-0000-0000-0000195A0000}"/>
    <cellStyle name="Normal 3 5 4 2" xfId="23081" xr:uid="{00000000-0005-0000-0000-00001A5A0000}"/>
    <cellStyle name="Normal 3 5 4 3" xfId="23082" xr:uid="{00000000-0005-0000-0000-00001B5A0000}"/>
    <cellStyle name="Normal 3 5 5" xfId="23083" xr:uid="{00000000-0005-0000-0000-00001C5A0000}"/>
    <cellStyle name="Normal 3 5 5 2" xfId="23084" xr:uid="{00000000-0005-0000-0000-00001D5A0000}"/>
    <cellStyle name="Normal 3 5 5 3" xfId="23085" xr:uid="{00000000-0005-0000-0000-00001E5A0000}"/>
    <cellStyle name="Normal 3 5 6" xfId="23086" xr:uid="{00000000-0005-0000-0000-00001F5A0000}"/>
    <cellStyle name="Normal 3 5 6 2" xfId="23087" xr:uid="{00000000-0005-0000-0000-0000205A0000}"/>
    <cellStyle name="Normal 3 5 6 3" xfId="23088" xr:uid="{00000000-0005-0000-0000-0000215A0000}"/>
    <cellStyle name="Normal 3 5 7" xfId="23089" xr:uid="{00000000-0005-0000-0000-0000225A0000}"/>
    <cellStyle name="Normal 3 5 7 2" xfId="23090" xr:uid="{00000000-0005-0000-0000-0000235A0000}"/>
    <cellStyle name="Normal 3 5 7 3" xfId="23091" xr:uid="{00000000-0005-0000-0000-0000245A0000}"/>
    <cellStyle name="Normal 3 5 8" xfId="23092" xr:uid="{00000000-0005-0000-0000-0000255A0000}"/>
    <cellStyle name="Normal 3 5 8 2" xfId="23093" xr:uid="{00000000-0005-0000-0000-0000265A0000}"/>
    <cellStyle name="Normal 3 5 8 3" xfId="23094" xr:uid="{00000000-0005-0000-0000-0000275A0000}"/>
    <cellStyle name="Normal 3 5 9" xfId="23095" xr:uid="{00000000-0005-0000-0000-0000285A0000}"/>
    <cellStyle name="Normal 3 5 9 2" xfId="23096" xr:uid="{00000000-0005-0000-0000-0000295A0000}"/>
    <cellStyle name="Normal 3 5 9 3" xfId="23097" xr:uid="{00000000-0005-0000-0000-00002A5A0000}"/>
    <cellStyle name="Normal 3 50" xfId="23098" xr:uid="{00000000-0005-0000-0000-00002B5A0000}"/>
    <cellStyle name="Normal 3 50 2" xfId="23099" xr:uid="{00000000-0005-0000-0000-00002C5A0000}"/>
    <cellStyle name="Normal 3 50 3" xfId="23100" xr:uid="{00000000-0005-0000-0000-00002D5A0000}"/>
    <cellStyle name="Normal 3 51" xfId="23101" xr:uid="{00000000-0005-0000-0000-00002E5A0000}"/>
    <cellStyle name="Normal 3 51 2" xfId="23102" xr:uid="{00000000-0005-0000-0000-00002F5A0000}"/>
    <cellStyle name="Normal 3 51 3" xfId="23103" xr:uid="{00000000-0005-0000-0000-0000305A0000}"/>
    <cellStyle name="Normal 3 52" xfId="23104" xr:uid="{00000000-0005-0000-0000-0000315A0000}"/>
    <cellStyle name="Normal 3 52 2" xfId="23105" xr:uid="{00000000-0005-0000-0000-0000325A0000}"/>
    <cellStyle name="Normal 3 52 3" xfId="23106" xr:uid="{00000000-0005-0000-0000-0000335A0000}"/>
    <cellStyle name="Normal 3 53" xfId="23107" xr:uid="{00000000-0005-0000-0000-0000345A0000}"/>
    <cellStyle name="Normal 3 53 2" xfId="23108" xr:uid="{00000000-0005-0000-0000-0000355A0000}"/>
    <cellStyle name="Normal 3 53 3" xfId="23109" xr:uid="{00000000-0005-0000-0000-0000365A0000}"/>
    <cellStyle name="Normal 3 54" xfId="23110" xr:uid="{00000000-0005-0000-0000-0000375A0000}"/>
    <cellStyle name="Normal 3 54 2" xfId="23111" xr:uid="{00000000-0005-0000-0000-0000385A0000}"/>
    <cellStyle name="Normal 3 54 3" xfId="23112" xr:uid="{00000000-0005-0000-0000-0000395A0000}"/>
    <cellStyle name="Normal 3 55" xfId="23113" xr:uid="{00000000-0005-0000-0000-00003A5A0000}"/>
    <cellStyle name="Normal 3 55 2" xfId="23114" xr:uid="{00000000-0005-0000-0000-00003B5A0000}"/>
    <cellStyle name="Normal 3 55 3" xfId="23115" xr:uid="{00000000-0005-0000-0000-00003C5A0000}"/>
    <cellStyle name="Normal 3 56" xfId="23116" xr:uid="{00000000-0005-0000-0000-00003D5A0000}"/>
    <cellStyle name="Normal 3 56 2" xfId="23117" xr:uid="{00000000-0005-0000-0000-00003E5A0000}"/>
    <cellStyle name="Normal 3 56 3" xfId="23118" xr:uid="{00000000-0005-0000-0000-00003F5A0000}"/>
    <cellStyle name="Normal 3 57" xfId="23119" xr:uid="{00000000-0005-0000-0000-0000405A0000}"/>
    <cellStyle name="Normal 3 57 2" xfId="23120" xr:uid="{00000000-0005-0000-0000-0000415A0000}"/>
    <cellStyle name="Normal 3 57 3" xfId="23121" xr:uid="{00000000-0005-0000-0000-0000425A0000}"/>
    <cellStyle name="Normal 3 58" xfId="23122" xr:uid="{00000000-0005-0000-0000-0000435A0000}"/>
    <cellStyle name="Normal 3 58 2" xfId="23123" xr:uid="{00000000-0005-0000-0000-0000445A0000}"/>
    <cellStyle name="Normal 3 58 3" xfId="23124" xr:uid="{00000000-0005-0000-0000-0000455A0000}"/>
    <cellStyle name="Normal 3 59" xfId="23125" xr:uid="{00000000-0005-0000-0000-0000465A0000}"/>
    <cellStyle name="Normal 3 59 2" xfId="23126" xr:uid="{00000000-0005-0000-0000-0000475A0000}"/>
    <cellStyle name="Normal 3 59 3" xfId="23127" xr:uid="{00000000-0005-0000-0000-0000485A0000}"/>
    <cellStyle name="Normal 3 6" xfId="23128" xr:uid="{00000000-0005-0000-0000-0000495A0000}"/>
    <cellStyle name="Normal 3 6 10" xfId="23129" xr:uid="{00000000-0005-0000-0000-00004A5A0000}"/>
    <cellStyle name="Normal 3 6 10 2" xfId="23130" xr:uid="{00000000-0005-0000-0000-00004B5A0000}"/>
    <cellStyle name="Normal 3 6 10 3" xfId="23131" xr:uid="{00000000-0005-0000-0000-00004C5A0000}"/>
    <cellStyle name="Normal 3 6 11" xfId="23132" xr:uid="{00000000-0005-0000-0000-00004D5A0000}"/>
    <cellStyle name="Normal 3 6 11 2" xfId="23133" xr:uid="{00000000-0005-0000-0000-00004E5A0000}"/>
    <cellStyle name="Normal 3 6 11 3" xfId="23134" xr:uid="{00000000-0005-0000-0000-00004F5A0000}"/>
    <cellStyle name="Normal 3 6 12" xfId="23135" xr:uid="{00000000-0005-0000-0000-0000505A0000}"/>
    <cellStyle name="Normal 3 6 12 2" xfId="23136" xr:uid="{00000000-0005-0000-0000-0000515A0000}"/>
    <cellStyle name="Normal 3 6 12 3" xfId="23137" xr:uid="{00000000-0005-0000-0000-0000525A0000}"/>
    <cellStyle name="Normal 3 6 13" xfId="23138" xr:uid="{00000000-0005-0000-0000-0000535A0000}"/>
    <cellStyle name="Normal 3 6 13 2" xfId="23139" xr:uid="{00000000-0005-0000-0000-0000545A0000}"/>
    <cellStyle name="Normal 3 6 13 3" xfId="23140" xr:uid="{00000000-0005-0000-0000-0000555A0000}"/>
    <cellStyle name="Normal 3 6 14" xfId="23141" xr:uid="{00000000-0005-0000-0000-0000565A0000}"/>
    <cellStyle name="Normal 3 6 14 2" xfId="23142" xr:uid="{00000000-0005-0000-0000-0000575A0000}"/>
    <cellStyle name="Normal 3 6 14 3" xfId="23143" xr:uid="{00000000-0005-0000-0000-0000585A0000}"/>
    <cellStyle name="Normal 3 6 15" xfId="23144" xr:uid="{00000000-0005-0000-0000-0000595A0000}"/>
    <cellStyle name="Normal 3 6 15 2" xfId="23145" xr:uid="{00000000-0005-0000-0000-00005A5A0000}"/>
    <cellStyle name="Normal 3 6 15 3" xfId="23146" xr:uid="{00000000-0005-0000-0000-00005B5A0000}"/>
    <cellStyle name="Normal 3 6 16" xfId="23147" xr:uid="{00000000-0005-0000-0000-00005C5A0000}"/>
    <cellStyle name="Normal 3 6 16 2" xfId="23148" xr:uid="{00000000-0005-0000-0000-00005D5A0000}"/>
    <cellStyle name="Normal 3 6 16 3" xfId="23149" xr:uid="{00000000-0005-0000-0000-00005E5A0000}"/>
    <cellStyle name="Normal 3 6 17" xfId="23150" xr:uid="{00000000-0005-0000-0000-00005F5A0000}"/>
    <cellStyle name="Normal 3 6 17 2" xfId="23151" xr:uid="{00000000-0005-0000-0000-0000605A0000}"/>
    <cellStyle name="Normal 3 6 17 3" xfId="23152" xr:uid="{00000000-0005-0000-0000-0000615A0000}"/>
    <cellStyle name="Normal 3 6 18" xfId="23153" xr:uid="{00000000-0005-0000-0000-0000625A0000}"/>
    <cellStyle name="Normal 3 6 18 2" xfId="23154" xr:uid="{00000000-0005-0000-0000-0000635A0000}"/>
    <cellStyle name="Normal 3 6 18 3" xfId="23155" xr:uid="{00000000-0005-0000-0000-0000645A0000}"/>
    <cellStyle name="Normal 3 6 19" xfId="23156" xr:uid="{00000000-0005-0000-0000-0000655A0000}"/>
    <cellStyle name="Normal 3 6 19 2" xfId="23157" xr:uid="{00000000-0005-0000-0000-0000665A0000}"/>
    <cellStyle name="Normal 3 6 19 3" xfId="23158" xr:uid="{00000000-0005-0000-0000-0000675A0000}"/>
    <cellStyle name="Normal 3 6 2" xfId="23159" xr:uid="{00000000-0005-0000-0000-0000685A0000}"/>
    <cellStyle name="Normal 3 6 2 2" xfId="23160" xr:uid="{00000000-0005-0000-0000-0000695A0000}"/>
    <cellStyle name="Normal 3 6 2 3" xfId="23161" xr:uid="{00000000-0005-0000-0000-00006A5A0000}"/>
    <cellStyle name="Normal 3 6 20" xfId="23162" xr:uid="{00000000-0005-0000-0000-00006B5A0000}"/>
    <cellStyle name="Normal 3 6 20 2" xfId="23163" xr:uid="{00000000-0005-0000-0000-00006C5A0000}"/>
    <cellStyle name="Normal 3 6 20 3" xfId="23164" xr:uid="{00000000-0005-0000-0000-00006D5A0000}"/>
    <cellStyle name="Normal 3 6 21" xfId="23165" xr:uid="{00000000-0005-0000-0000-00006E5A0000}"/>
    <cellStyle name="Normal 3 6 21 2" xfId="23166" xr:uid="{00000000-0005-0000-0000-00006F5A0000}"/>
    <cellStyle name="Normal 3 6 21 3" xfId="23167" xr:uid="{00000000-0005-0000-0000-0000705A0000}"/>
    <cellStyle name="Normal 3 6 22" xfId="23168" xr:uid="{00000000-0005-0000-0000-0000715A0000}"/>
    <cellStyle name="Normal 3 6 22 2" xfId="23169" xr:uid="{00000000-0005-0000-0000-0000725A0000}"/>
    <cellStyle name="Normal 3 6 22 3" xfId="23170" xr:uid="{00000000-0005-0000-0000-0000735A0000}"/>
    <cellStyle name="Normal 3 6 23" xfId="23171" xr:uid="{00000000-0005-0000-0000-0000745A0000}"/>
    <cellStyle name="Normal 3 6 23 2" xfId="23172" xr:uid="{00000000-0005-0000-0000-0000755A0000}"/>
    <cellStyle name="Normal 3 6 23 3" xfId="23173" xr:uid="{00000000-0005-0000-0000-0000765A0000}"/>
    <cellStyle name="Normal 3 6 24" xfId="23174" xr:uid="{00000000-0005-0000-0000-0000775A0000}"/>
    <cellStyle name="Normal 3 6 25" xfId="23175" xr:uid="{00000000-0005-0000-0000-0000785A0000}"/>
    <cellStyle name="Normal 3 6 3" xfId="23176" xr:uid="{00000000-0005-0000-0000-0000795A0000}"/>
    <cellStyle name="Normal 3 6 3 2" xfId="23177" xr:uid="{00000000-0005-0000-0000-00007A5A0000}"/>
    <cellStyle name="Normal 3 6 3 3" xfId="23178" xr:uid="{00000000-0005-0000-0000-00007B5A0000}"/>
    <cellStyle name="Normal 3 6 4" xfId="23179" xr:uid="{00000000-0005-0000-0000-00007C5A0000}"/>
    <cellStyle name="Normal 3 6 4 2" xfId="23180" xr:uid="{00000000-0005-0000-0000-00007D5A0000}"/>
    <cellStyle name="Normal 3 6 4 3" xfId="23181" xr:uid="{00000000-0005-0000-0000-00007E5A0000}"/>
    <cellStyle name="Normal 3 6 5" xfId="23182" xr:uid="{00000000-0005-0000-0000-00007F5A0000}"/>
    <cellStyle name="Normal 3 6 5 2" xfId="23183" xr:uid="{00000000-0005-0000-0000-0000805A0000}"/>
    <cellStyle name="Normal 3 6 5 3" xfId="23184" xr:uid="{00000000-0005-0000-0000-0000815A0000}"/>
    <cellStyle name="Normal 3 6 6" xfId="23185" xr:uid="{00000000-0005-0000-0000-0000825A0000}"/>
    <cellStyle name="Normal 3 6 6 2" xfId="23186" xr:uid="{00000000-0005-0000-0000-0000835A0000}"/>
    <cellStyle name="Normal 3 6 6 3" xfId="23187" xr:uid="{00000000-0005-0000-0000-0000845A0000}"/>
    <cellStyle name="Normal 3 6 7" xfId="23188" xr:uid="{00000000-0005-0000-0000-0000855A0000}"/>
    <cellStyle name="Normal 3 6 7 2" xfId="23189" xr:uid="{00000000-0005-0000-0000-0000865A0000}"/>
    <cellStyle name="Normal 3 6 7 3" xfId="23190" xr:uid="{00000000-0005-0000-0000-0000875A0000}"/>
    <cellStyle name="Normal 3 6 8" xfId="23191" xr:uid="{00000000-0005-0000-0000-0000885A0000}"/>
    <cellStyle name="Normal 3 6 8 2" xfId="23192" xr:uid="{00000000-0005-0000-0000-0000895A0000}"/>
    <cellStyle name="Normal 3 6 8 3" xfId="23193" xr:uid="{00000000-0005-0000-0000-00008A5A0000}"/>
    <cellStyle name="Normal 3 6 9" xfId="23194" xr:uid="{00000000-0005-0000-0000-00008B5A0000}"/>
    <cellStyle name="Normal 3 6 9 2" xfId="23195" xr:uid="{00000000-0005-0000-0000-00008C5A0000}"/>
    <cellStyle name="Normal 3 6 9 3" xfId="23196" xr:uid="{00000000-0005-0000-0000-00008D5A0000}"/>
    <cellStyle name="Normal 3 60" xfId="23197" xr:uid="{00000000-0005-0000-0000-00008E5A0000}"/>
    <cellStyle name="Normal 3 60 2" xfId="23198" xr:uid="{00000000-0005-0000-0000-00008F5A0000}"/>
    <cellStyle name="Normal 3 60 3" xfId="23199" xr:uid="{00000000-0005-0000-0000-0000905A0000}"/>
    <cellStyle name="Normal 3 61" xfId="23200" xr:uid="{00000000-0005-0000-0000-0000915A0000}"/>
    <cellStyle name="Normal 3 61 2" xfId="23201" xr:uid="{00000000-0005-0000-0000-0000925A0000}"/>
    <cellStyle name="Normal 3 61 3" xfId="23202" xr:uid="{00000000-0005-0000-0000-0000935A0000}"/>
    <cellStyle name="Normal 3 62" xfId="23203" xr:uid="{00000000-0005-0000-0000-0000945A0000}"/>
    <cellStyle name="Normal 3 62 2" xfId="23204" xr:uid="{00000000-0005-0000-0000-0000955A0000}"/>
    <cellStyle name="Normal 3 62 3" xfId="23205" xr:uid="{00000000-0005-0000-0000-0000965A0000}"/>
    <cellStyle name="Normal 3 63" xfId="23206" xr:uid="{00000000-0005-0000-0000-0000975A0000}"/>
    <cellStyle name="Normal 3 63 2" xfId="23207" xr:uid="{00000000-0005-0000-0000-0000985A0000}"/>
    <cellStyle name="Normal 3 63 3" xfId="23208" xr:uid="{00000000-0005-0000-0000-0000995A0000}"/>
    <cellStyle name="Normal 3 64" xfId="23209" xr:uid="{00000000-0005-0000-0000-00009A5A0000}"/>
    <cellStyle name="Normal 3 64 2" xfId="23210" xr:uid="{00000000-0005-0000-0000-00009B5A0000}"/>
    <cellStyle name="Normal 3 64 3" xfId="23211" xr:uid="{00000000-0005-0000-0000-00009C5A0000}"/>
    <cellStyle name="Normal 3 65" xfId="23212" xr:uid="{00000000-0005-0000-0000-00009D5A0000}"/>
    <cellStyle name="Normal 3 65 2" xfId="23213" xr:uid="{00000000-0005-0000-0000-00009E5A0000}"/>
    <cellStyle name="Normal 3 65 3" xfId="23214" xr:uid="{00000000-0005-0000-0000-00009F5A0000}"/>
    <cellStyle name="Normal 3 66" xfId="23215" xr:uid="{00000000-0005-0000-0000-0000A05A0000}"/>
    <cellStyle name="Normal 3 66 2" xfId="23216" xr:uid="{00000000-0005-0000-0000-0000A15A0000}"/>
    <cellStyle name="Normal 3 66 3" xfId="23217" xr:uid="{00000000-0005-0000-0000-0000A25A0000}"/>
    <cellStyle name="Normal 3 67" xfId="23218" xr:uid="{00000000-0005-0000-0000-0000A35A0000}"/>
    <cellStyle name="Normal 3 67 2" xfId="23219" xr:uid="{00000000-0005-0000-0000-0000A45A0000}"/>
    <cellStyle name="Normal 3 67 3" xfId="23220" xr:uid="{00000000-0005-0000-0000-0000A55A0000}"/>
    <cellStyle name="Normal 3 68" xfId="23221" xr:uid="{00000000-0005-0000-0000-0000A65A0000}"/>
    <cellStyle name="Normal 3 69" xfId="23222" xr:uid="{00000000-0005-0000-0000-0000A75A0000}"/>
    <cellStyle name="Normal 3 7" xfId="23223" xr:uid="{00000000-0005-0000-0000-0000A85A0000}"/>
    <cellStyle name="Normal 3 7 10" xfId="23224" xr:uid="{00000000-0005-0000-0000-0000A95A0000}"/>
    <cellStyle name="Normal 3 7 10 2" xfId="23225" xr:uid="{00000000-0005-0000-0000-0000AA5A0000}"/>
    <cellStyle name="Normal 3 7 10 3" xfId="23226" xr:uid="{00000000-0005-0000-0000-0000AB5A0000}"/>
    <cellStyle name="Normal 3 7 11" xfId="23227" xr:uid="{00000000-0005-0000-0000-0000AC5A0000}"/>
    <cellStyle name="Normal 3 7 11 2" xfId="23228" xr:uid="{00000000-0005-0000-0000-0000AD5A0000}"/>
    <cellStyle name="Normal 3 7 11 3" xfId="23229" xr:uid="{00000000-0005-0000-0000-0000AE5A0000}"/>
    <cellStyle name="Normal 3 7 12" xfId="23230" xr:uid="{00000000-0005-0000-0000-0000AF5A0000}"/>
    <cellStyle name="Normal 3 7 12 2" xfId="23231" xr:uid="{00000000-0005-0000-0000-0000B05A0000}"/>
    <cellStyle name="Normal 3 7 12 3" xfId="23232" xr:uid="{00000000-0005-0000-0000-0000B15A0000}"/>
    <cellStyle name="Normal 3 7 13" xfId="23233" xr:uid="{00000000-0005-0000-0000-0000B25A0000}"/>
    <cellStyle name="Normal 3 7 13 2" xfId="23234" xr:uid="{00000000-0005-0000-0000-0000B35A0000}"/>
    <cellStyle name="Normal 3 7 13 3" xfId="23235" xr:uid="{00000000-0005-0000-0000-0000B45A0000}"/>
    <cellStyle name="Normal 3 7 14" xfId="23236" xr:uid="{00000000-0005-0000-0000-0000B55A0000}"/>
    <cellStyle name="Normal 3 7 14 2" xfId="23237" xr:uid="{00000000-0005-0000-0000-0000B65A0000}"/>
    <cellStyle name="Normal 3 7 14 3" xfId="23238" xr:uid="{00000000-0005-0000-0000-0000B75A0000}"/>
    <cellStyle name="Normal 3 7 15" xfId="23239" xr:uid="{00000000-0005-0000-0000-0000B85A0000}"/>
    <cellStyle name="Normal 3 7 15 2" xfId="23240" xr:uid="{00000000-0005-0000-0000-0000B95A0000}"/>
    <cellStyle name="Normal 3 7 15 3" xfId="23241" xr:uid="{00000000-0005-0000-0000-0000BA5A0000}"/>
    <cellStyle name="Normal 3 7 16" xfId="23242" xr:uid="{00000000-0005-0000-0000-0000BB5A0000}"/>
    <cellStyle name="Normal 3 7 16 2" xfId="23243" xr:uid="{00000000-0005-0000-0000-0000BC5A0000}"/>
    <cellStyle name="Normal 3 7 16 3" xfId="23244" xr:uid="{00000000-0005-0000-0000-0000BD5A0000}"/>
    <cellStyle name="Normal 3 7 17" xfId="23245" xr:uid="{00000000-0005-0000-0000-0000BE5A0000}"/>
    <cellStyle name="Normal 3 7 17 2" xfId="23246" xr:uid="{00000000-0005-0000-0000-0000BF5A0000}"/>
    <cellStyle name="Normal 3 7 17 3" xfId="23247" xr:uid="{00000000-0005-0000-0000-0000C05A0000}"/>
    <cellStyle name="Normal 3 7 18" xfId="23248" xr:uid="{00000000-0005-0000-0000-0000C15A0000}"/>
    <cellStyle name="Normal 3 7 18 2" xfId="23249" xr:uid="{00000000-0005-0000-0000-0000C25A0000}"/>
    <cellStyle name="Normal 3 7 18 3" xfId="23250" xr:uid="{00000000-0005-0000-0000-0000C35A0000}"/>
    <cellStyle name="Normal 3 7 19" xfId="23251" xr:uid="{00000000-0005-0000-0000-0000C45A0000}"/>
    <cellStyle name="Normal 3 7 19 2" xfId="23252" xr:uid="{00000000-0005-0000-0000-0000C55A0000}"/>
    <cellStyle name="Normal 3 7 19 3" xfId="23253" xr:uid="{00000000-0005-0000-0000-0000C65A0000}"/>
    <cellStyle name="Normal 3 7 2" xfId="23254" xr:uid="{00000000-0005-0000-0000-0000C75A0000}"/>
    <cellStyle name="Normal 3 7 2 2" xfId="23255" xr:uid="{00000000-0005-0000-0000-0000C85A0000}"/>
    <cellStyle name="Normal 3 7 2 3" xfId="23256" xr:uid="{00000000-0005-0000-0000-0000C95A0000}"/>
    <cellStyle name="Normal 3 7 20" xfId="23257" xr:uid="{00000000-0005-0000-0000-0000CA5A0000}"/>
    <cellStyle name="Normal 3 7 20 2" xfId="23258" xr:uid="{00000000-0005-0000-0000-0000CB5A0000}"/>
    <cellStyle name="Normal 3 7 20 3" xfId="23259" xr:uid="{00000000-0005-0000-0000-0000CC5A0000}"/>
    <cellStyle name="Normal 3 7 21" xfId="23260" xr:uid="{00000000-0005-0000-0000-0000CD5A0000}"/>
    <cellStyle name="Normal 3 7 21 2" xfId="23261" xr:uid="{00000000-0005-0000-0000-0000CE5A0000}"/>
    <cellStyle name="Normal 3 7 21 3" xfId="23262" xr:uid="{00000000-0005-0000-0000-0000CF5A0000}"/>
    <cellStyle name="Normal 3 7 22" xfId="23263" xr:uid="{00000000-0005-0000-0000-0000D05A0000}"/>
    <cellStyle name="Normal 3 7 22 2" xfId="23264" xr:uid="{00000000-0005-0000-0000-0000D15A0000}"/>
    <cellStyle name="Normal 3 7 22 3" xfId="23265" xr:uid="{00000000-0005-0000-0000-0000D25A0000}"/>
    <cellStyle name="Normal 3 7 23" xfId="23266" xr:uid="{00000000-0005-0000-0000-0000D35A0000}"/>
    <cellStyle name="Normal 3 7 23 2" xfId="23267" xr:uid="{00000000-0005-0000-0000-0000D45A0000}"/>
    <cellStyle name="Normal 3 7 23 3" xfId="23268" xr:uid="{00000000-0005-0000-0000-0000D55A0000}"/>
    <cellStyle name="Normal 3 7 24" xfId="23269" xr:uid="{00000000-0005-0000-0000-0000D65A0000}"/>
    <cellStyle name="Normal 3 7 25" xfId="23270" xr:uid="{00000000-0005-0000-0000-0000D75A0000}"/>
    <cellStyle name="Normal 3 7 3" xfId="23271" xr:uid="{00000000-0005-0000-0000-0000D85A0000}"/>
    <cellStyle name="Normal 3 7 3 2" xfId="23272" xr:uid="{00000000-0005-0000-0000-0000D95A0000}"/>
    <cellStyle name="Normal 3 7 3 3" xfId="23273" xr:uid="{00000000-0005-0000-0000-0000DA5A0000}"/>
    <cellStyle name="Normal 3 7 4" xfId="23274" xr:uid="{00000000-0005-0000-0000-0000DB5A0000}"/>
    <cellStyle name="Normal 3 7 4 2" xfId="23275" xr:uid="{00000000-0005-0000-0000-0000DC5A0000}"/>
    <cellStyle name="Normal 3 7 4 3" xfId="23276" xr:uid="{00000000-0005-0000-0000-0000DD5A0000}"/>
    <cellStyle name="Normal 3 7 5" xfId="23277" xr:uid="{00000000-0005-0000-0000-0000DE5A0000}"/>
    <cellStyle name="Normal 3 7 5 2" xfId="23278" xr:uid="{00000000-0005-0000-0000-0000DF5A0000}"/>
    <cellStyle name="Normal 3 7 5 3" xfId="23279" xr:uid="{00000000-0005-0000-0000-0000E05A0000}"/>
    <cellStyle name="Normal 3 7 6" xfId="23280" xr:uid="{00000000-0005-0000-0000-0000E15A0000}"/>
    <cellStyle name="Normal 3 7 6 2" xfId="23281" xr:uid="{00000000-0005-0000-0000-0000E25A0000}"/>
    <cellStyle name="Normal 3 7 6 3" xfId="23282" xr:uid="{00000000-0005-0000-0000-0000E35A0000}"/>
    <cellStyle name="Normal 3 7 7" xfId="23283" xr:uid="{00000000-0005-0000-0000-0000E45A0000}"/>
    <cellStyle name="Normal 3 7 7 2" xfId="23284" xr:uid="{00000000-0005-0000-0000-0000E55A0000}"/>
    <cellStyle name="Normal 3 7 7 3" xfId="23285" xr:uid="{00000000-0005-0000-0000-0000E65A0000}"/>
    <cellStyle name="Normal 3 7 8" xfId="23286" xr:uid="{00000000-0005-0000-0000-0000E75A0000}"/>
    <cellStyle name="Normal 3 7 8 2" xfId="23287" xr:uid="{00000000-0005-0000-0000-0000E85A0000}"/>
    <cellStyle name="Normal 3 7 8 3" xfId="23288" xr:uid="{00000000-0005-0000-0000-0000E95A0000}"/>
    <cellStyle name="Normal 3 7 9" xfId="23289" xr:uid="{00000000-0005-0000-0000-0000EA5A0000}"/>
    <cellStyle name="Normal 3 7 9 2" xfId="23290" xr:uid="{00000000-0005-0000-0000-0000EB5A0000}"/>
    <cellStyle name="Normal 3 7 9 3" xfId="23291" xr:uid="{00000000-0005-0000-0000-0000EC5A0000}"/>
    <cellStyle name="Normal 3 70" xfId="23292" xr:uid="{00000000-0005-0000-0000-0000ED5A0000}"/>
    <cellStyle name="Normal 3 71" xfId="23293" xr:uid="{00000000-0005-0000-0000-0000EE5A0000}"/>
    <cellStyle name="Normal 3 8" xfId="23294" xr:uid="{00000000-0005-0000-0000-0000EF5A0000}"/>
    <cellStyle name="Normal 3 8 10" xfId="23295" xr:uid="{00000000-0005-0000-0000-0000F05A0000}"/>
    <cellStyle name="Normal 3 8 10 2" xfId="23296" xr:uid="{00000000-0005-0000-0000-0000F15A0000}"/>
    <cellStyle name="Normal 3 8 10 3" xfId="23297" xr:uid="{00000000-0005-0000-0000-0000F25A0000}"/>
    <cellStyle name="Normal 3 8 11" xfId="23298" xr:uid="{00000000-0005-0000-0000-0000F35A0000}"/>
    <cellStyle name="Normal 3 8 11 2" xfId="23299" xr:uid="{00000000-0005-0000-0000-0000F45A0000}"/>
    <cellStyle name="Normal 3 8 11 3" xfId="23300" xr:uid="{00000000-0005-0000-0000-0000F55A0000}"/>
    <cellStyle name="Normal 3 8 12" xfId="23301" xr:uid="{00000000-0005-0000-0000-0000F65A0000}"/>
    <cellStyle name="Normal 3 8 12 2" xfId="23302" xr:uid="{00000000-0005-0000-0000-0000F75A0000}"/>
    <cellStyle name="Normal 3 8 12 3" xfId="23303" xr:uid="{00000000-0005-0000-0000-0000F85A0000}"/>
    <cellStyle name="Normal 3 8 13" xfId="23304" xr:uid="{00000000-0005-0000-0000-0000F95A0000}"/>
    <cellStyle name="Normal 3 8 13 2" xfId="23305" xr:uid="{00000000-0005-0000-0000-0000FA5A0000}"/>
    <cellStyle name="Normal 3 8 13 3" xfId="23306" xr:uid="{00000000-0005-0000-0000-0000FB5A0000}"/>
    <cellStyle name="Normal 3 8 14" xfId="23307" xr:uid="{00000000-0005-0000-0000-0000FC5A0000}"/>
    <cellStyle name="Normal 3 8 14 2" xfId="23308" xr:uid="{00000000-0005-0000-0000-0000FD5A0000}"/>
    <cellStyle name="Normal 3 8 14 3" xfId="23309" xr:uid="{00000000-0005-0000-0000-0000FE5A0000}"/>
    <cellStyle name="Normal 3 8 15" xfId="23310" xr:uid="{00000000-0005-0000-0000-0000FF5A0000}"/>
    <cellStyle name="Normal 3 8 15 2" xfId="23311" xr:uid="{00000000-0005-0000-0000-0000005B0000}"/>
    <cellStyle name="Normal 3 8 15 3" xfId="23312" xr:uid="{00000000-0005-0000-0000-0000015B0000}"/>
    <cellStyle name="Normal 3 8 16" xfId="23313" xr:uid="{00000000-0005-0000-0000-0000025B0000}"/>
    <cellStyle name="Normal 3 8 16 2" xfId="23314" xr:uid="{00000000-0005-0000-0000-0000035B0000}"/>
    <cellStyle name="Normal 3 8 16 3" xfId="23315" xr:uid="{00000000-0005-0000-0000-0000045B0000}"/>
    <cellStyle name="Normal 3 8 17" xfId="23316" xr:uid="{00000000-0005-0000-0000-0000055B0000}"/>
    <cellStyle name="Normal 3 8 17 2" xfId="23317" xr:uid="{00000000-0005-0000-0000-0000065B0000}"/>
    <cellStyle name="Normal 3 8 17 3" xfId="23318" xr:uid="{00000000-0005-0000-0000-0000075B0000}"/>
    <cellStyle name="Normal 3 8 18" xfId="23319" xr:uid="{00000000-0005-0000-0000-0000085B0000}"/>
    <cellStyle name="Normal 3 8 18 2" xfId="23320" xr:uid="{00000000-0005-0000-0000-0000095B0000}"/>
    <cellStyle name="Normal 3 8 18 3" xfId="23321" xr:uid="{00000000-0005-0000-0000-00000A5B0000}"/>
    <cellStyle name="Normal 3 8 19" xfId="23322" xr:uid="{00000000-0005-0000-0000-00000B5B0000}"/>
    <cellStyle name="Normal 3 8 19 2" xfId="23323" xr:uid="{00000000-0005-0000-0000-00000C5B0000}"/>
    <cellStyle name="Normal 3 8 19 3" xfId="23324" xr:uid="{00000000-0005-0000-0000-00000D5B0000}"/>
    <cellStyle name="Normal 3 8 2" xfId="23325" xr:uid="{00000000-0005-0000-0000-00000E5B0000}"/>
    <cellStyle name="Normal 3 8 2 2" xfId="23326" xr:uid="{00000000-0005-0000-0000-00000F5B0000}"/>
    <cellStyle name="Normal 3 8 2 3" xfId="23327" xr:uid="{00000000-0005-0000-0000-0000105B0000}"/>
    <cellStyle name="Normal 3 8 20" xfId="23328" xr:uid="{00000000-0005-0000-0000-0000115B0000}"/>
    <cellStyle name="Normal 3 8 20 2" xfId="23329" xr:uid="{00000000-0005-0000-0000-0000125B0000}"/>
    <cellStyle name="Normal 3 8 20 3" xfId="23330" xr:uid="{00000000-0005-0000-0000-0000135B0000}"/>
    <cellStyle name="Normal 3 8 21" xfId="23331" xr:uid="{00000000-0005-0000-0000-0000145B0000}"/>
    <cellStyle name="Normal 3 8 21 2" xfId="23332" xr:uid="{00000000-0005-0000-0000-0000155B0000}"/>
    <cellStyle name="Normal 3 8 21 3" xfId="23333" xr:uid="{00000000-0005-0000-0000-0000165B0000}"/>
    <cellStyle name="Normal 3 8 22" xfId="23334" xr:uid="{00000000-0005-0000-0000-0000175B0000}"/>
    <cellStyle name="Normal 3 8 22 2" xfId="23335" xr:uid="{00000000-0005-0000-0000-0000185B0000}"/>
    <cellStyle name="Normal 3 8 22 3" xfId="23336" xr:uid="{00000000-0005-0000-0000-0000195B0000}"/>
    <cellStyle name="Normal 3 8 23" xfId="23337" xr:uid="{00000000-0005-0000-0000-00001A5B0000}"/>
    <cellStyle name="Normal 3 8 23 2" xfId="23338" xr:uid="{00000000-0005-0000-0000-00001B5B0000}"/>
    <cellStyle name="Normal 3 8 23 3" xfId="23339" xr:uid="{00000000-0005-0000-0000-00001C5B0000}"/>
    <cellStyle name="Normal 3 8 24" xfId="23340" xr:uid="{00000000-0005-0000-0000-00001D5B0000}"/>
    <cellStyle name="Normal 3 8 25" xfId="23341" xr:uid="{00000000-0005-0000-0000-00001E5B0000}"/>
    <cellStyle name="Normal 3 8 3" xfId="23342" xr:uid="{00000000-0005-0000-0000-00001F5B0000}"/>
    <cellStyle name="Normal 3 8 3 2" xfId="23343" xr:uid="{00000000-0005-0000-0000-0000205B0000}"/>
    <cellStyle name="Normal 3 8 3 3" xfId="23344" xr:uid="{00000000-0005-0000-0000-0000215B0000}"/>
    <cellStyle name="Normal 3 8 4" xfId="23345" xr:uid="{00000000-0005-0000-0000-0000225B0000}"/>
    <cellStyle name="Normal 3 8 4 2" xfId="23346" xr:uid="{00000000-0005-0000-0000-0000235B0000}"/>
    <cellStyle name="Normal 3 8 4 3" xfId="23347" xr:uid="{00000000-0005-0000-0000-0000245B0000}"/>
    <cellStyle name="Normal 3 8 5" xfId="23348" xr:uid="{00000000-0005-0000-0000-0000255B0000}"/>
    <cellStyle name="Normal 3 8 5 2" xfId="23349" xr:uid="{00000000-0005-0000-0000-0000265B0000}"/>
    <cellStyle name="Normal 3 8 5 3" xfId="23350" xr:uid="{00000000-0005-0000-0000-0000275B0000}"/>
    <cellStyle name="Normal 3 8 6" xfId="23351" xr:uid="{00000000-0005-0000-0000-0000285B0000}"/>
    <cellStyle name="Normal 3 8 6 2" xfId="23352" xr:uid="{00000000-0005-0000-0000-0000295B0000}"/>
    <cellStyle name="Normal 3 8 6 3" xfId="23353" xr:uid="{00000000-0005-0000-0000-00002A5B0000}"/>
    <cellStyle name="Normal 3 8 7" xfId="23354" xr:uid="{00000000-0005-0000-0000-00002B5B0000}"/>
    <cellStyle name="Normal 3 8 7 2" xfId="23355" xr:uid="{00000000-0005-0000-0000-00002C5B0000}"/>
    <cellStyle name="Normal 3 8 7 3" xfId="23356" xr:uid="{00000000-0005-0000-0000-00002D5B0000}"/>
    <cellStyle name="Normal 3 8 8" xfId="23357" xr:uid="{00000000-0005-0000-0000-00002E5B0000}"/>
    <cellStyle name="Normal 3 8 8 2" xfId="23358" xr:uid="{00000000-0005-0000-0000-00002F5B0000}"/>
    <cellStyle name="Normal 3 8 8 3" xfId="23359" xr:uid="{00000000-0005-0000-0000-0000305B0000}"/>
    <cellStyle name="Normal 3 8 9" xfId="23360" xr:uid="{00000000-0005-0000-0000-0000315B0000}"/>
    <cellStyle name="Normal 3 8 9 2" xfId="23361" xr:uid="{00000000-0005-0000-0000-0000325B0000}"/>
    <cellStyle name="Normal 3 8 9 3" xfId="23362" xr:uid="{00000000-0005-0000-0000-0000335B0000}"/>
    <cellStyle name="Normal 3 9" xfId="23363" xr:uid="{00000000-0005-0000-0000-0000345B0000}"/>
    <cellStyle name="Normal 3 9 10" xfId="23364" xr:uid="{00000000-0005-0000-0000-0000355B0000}"/>
    <cellStyle name="Normal 3 9 10 2" xfId="23365" xr:uid="{00000000-0005-0000-0000-0000365B0000}"/>
    <cellStyle name="Normal 3 9 10 3" xfId="23366" xr:uid="{00000000-0005-0000-0000-0000375B0000}"/>
    <cellStyle name="Normal 3 9 11" xfId="23367" xr:uid="{00000000-0005-0000-0000-0000385B0000}"/>
    <cellStyle name="Normal 3 9 11 2" xfId="23368" xr:uid="{00000000-0005-0000-0000-0000395B0000}"/>
    <cellStyle name="Normal 3 9 11 3" xfId="23369" xr:uid="{00000000-0005-0000-0000-00003A5B0000}"/>
    <cellStyle name="Normal 3 9 12" xfId="23370" xr:uid="{00000000-0005-0000-0000-00003B5B0000}"/>
    <cellStyle name="Normal 3 9 12 2" xfId="23371" xr:uid="{00000000-0005-0000-0000-00003C5B0000}"/>
    <cellStyle name="Normal 3 9 12 3" xfId="23372" xr:uid="{00000000-0005-0000-0000-00003D5B0000}"/>
    <cellStyle name="Normal 3 9 13" xfId="23373" xr:uid="{00000000-0005-0000-0000-00003E5B0000}"/>
    <cellStyle name="Normal 3 9 13 2" xfId="23374" xr:uid="{00000000-0005-0000-0000-00003F5B0000}"/>
    <cellStyle name="Normal 3 9 13 3" xfId="23375" xr:uid="{00000000-0005-0000-0000-0000405B0000}"/>
    <cellStyle name="Normal 3 9 14" xfId="23376" xr:uid="{00000000-0005-0000-0000-0000415B0000}"/>
    <cellStyle name="Normal 3 9 14 2" xfId="23377" xr:uid="{00000000-0005-0000-0000-0000425B0000}"/>
    <cellStyle name="Normal 3 9 14 3" xfId="23378" xr:uid="{00000000-0005-0000-0000-0000435B0000}"/>
    <cellStyle name="Normal 3 9 15" xfId="23379" xr:uid="{00000000-0005-0000-0000-0000445B0000}"/>
    <cellStyle name="Normal 3 9 15 2" xfId="23380" xr:uid="{00000000-0005-0000-0000-0000455B0000}"/>
    <cellStyle name="Normal 3 9 15 3" xfId="23381" xr:uid="{00000000-0005-0000-0000-0000465B0000}"/>
    <cellStyle name="Normal 3 9 16" xfId="23382" xr:uid="{00000000-0005-0000-0000-0000475B0000}"/>
    <cellStyle name="Normal 3 9 16 2" xfId="23383" xr:uid="{00000000-0005-0000-0000-0000485B0000}"/>
    <cellStyle name="Normal 3 9 16 3" xfId="23384" xr:uid="{00000000-0005-0000-0000-0000495B0000}"/>
    <cellStyle name="Normal 3 9 17" xfId="23385" xr:uid="{00000000-0005-0000-0000-00004A5B0000}"/>
    <cellStyle name="Normal 3 9 17 2" xfId="23386" xr:uid="{00000000-0005-0000-0000-00004B5B0000}"/>
    <cellStyle name="Normal 3 9 17 3" xfId="23387" xr:uid="{00000000-0005-0000-0000-00004C5B0000}"/>
    <cellStyle name="Normal 3 9 18" xfId="23388" xr:uid="{00000000-0005-0000-0000-00004D5B0000}"/>
    <cellStyle name="Normal 3 9 18 2" xfId="23389" xr:uid="{00000000-0005-0000-0000-00004E5B0000}"/>
    <cellStyle name="Normal 3 9 18 3" xfId="23390" xr:uid="{00000000-0005-0000-0000-00004F5B0000}"/>
    <cellStyle name="Normal 3 9 19" xfId="23391" xr:uid="{00000000-0005-0000-0000-0000505B0000}"/>
    <cellStyle name="Normal 3 9 19 2" xfId="23392" xr:uid="{00000000-0005-0000-0000-0000515B0000}"/>
    <cellStyle name="Normal 3 9 19 3" xfId="23393" xr:uid="{00000000-0005-0000-0000-0000525B0000}"/>
    <cellStyle name="Normal 3 9 2" xfId="23394" xr:uid="{00000000-0005-0000-0000-0000535B0000}"/>
    <cellStyle name="Normal 3 9 2 2" xfId="23395" xr:uid="{00000000-0005-0000-0000-0000545B0000}"/>
    <cellStyle name="Normal 3 9 2 3" xfId="23396" xr:uid="{00000000-0005-0000-0000-0000555B0000}"/>
    <cellStyle name="Normal 3 9 20" xfId="23397" xr:uid="{00000000-0005-0000-0000-0000565B0000}"/>
    <cellStyle name="Normal 3 9 20 2" xfId="23398" xr:uid="{00000000-0005-0000-0000-0000575B0000}"/>
    <cellStyle name="Normal 3 9 20 3" xfId="23399" xr:uid="{00000000-0005-0000-0000-0000585B0000}"/>
    <cellStyle name="Normal 3 9 21" xfId="23400" xr:uid="{00000000-0005-0000-0000-0000595B0000}"/>
    <cellStyle name="Normal 3 9 21 2" xfId="23401" xr:uid="{00000000-0005-0000-0000-00005A5B0000}"/>
    <cellStyle name="Normal 3 9 21 3" xfId="23402" xr:uid="{00000000-0005-0000-0000-00005B5B0000}"/>
    <cellStyle name="Normal 3 9 22" xfId="23403" xr:uid="{00000000-0005-0000-0000-00005C5B0000}"/>
    <cellStyle name="Normal 3 9 22 2" xfId="23404" xr:uid="{00000000-0005-0000-0000-00005D5B0000}"/>
    <cellStyle name="Normal 3 9 22 3" xfId="23405" xr:uid="{00000000-0005-0000-0000-00005E5B0000}"/>
    <cellStyle name="Normal 3 9 23" xfId="23406" xr:uid="{00000000-0005-0000-0000-00005F5B0000}"/>
    <cellStyle name="Normal 3 9 23 2" xfId="23407" xr:uid="{00000000-0005-0000-0000-0000605B0000}"/>
    <cellStyle name="Normal 3 9 23 3" xfId="23408" xr:uid="{00000000-0005-0000-0000-0000615B0000}"/>
    <cellStyle name="Normal 3 9 24" xfId="23409" xr:uid="{00000000-0005-0000-0000-0000625B0000}"/>
    <cellStyle name="Normal 3 9 25" xfId="23410" xr:uid="{00000000-0005-0000-0000-0000635B0000}"/>
    <cellStyle name="Normal 3 9 3" xfId="23411" xr:uid="{00000000-0005-0000-0000-0000645B0000}"/>
    <cellStyle name="Normal 3 9 3 2" xfId="23412" xr:uid="{00000000-0005-0000-0000-0000655B0000}"/>
    <cellStyle name="Normal 3 9 3 3" xfId="23413" xr:uid="{00000000-0005-0000-0000-0000665B0000}"/>
    <cellStyle name="Normal 3 9 4" xfId="23414" xr:uid="{00000000-0005-0000-0000-0000675B0000}"/>
    <cellStyle name="Normal 3 9 4 2" xfId="23415" xr:uid="{00000000-0005-0000-0000-0000685B0000}"/>
    <cellStyle name="Normal 3 9 4 3" xfId="23416" xr:uid="{00000000-0005-0000-0000-0000695B0000}"/>
    <cellStyle name="Normal 3 9 5" xfId="23417" xr:uid="{00000000-0005-0000-0000-00006A5B0000}"/>
    <cellStyle name="Normal 3 9 5 2" xfId="23418" xr:uid="{00000000-0005-0000-0000-00006B5B0000}"/>
    <cellStyle name="Normal 3 9 5 3" xfId="23419" xr:uid="{00000000-0005-0000-0000-00006C5B0000}"/>
    <cellStyle name="Normal 3 9 6" xfId="23420" xr:uid="{00000000-0005-0000-0000-00006D5B0000}"/>
    <cellStyle name="Normal 3 9 6 2" xfId="23421" xr:uid="{00000000-0005-0000-0000-00006E5B0000}"/>
    <cellStyle name="Normal 3 9 6 3" xfId="23422" xr:uid="{00000000-0005-0000-0000-00006F5B0000}"/>
    <cellStyle name="Normal 3 9 7" xfId="23423" xr:uid="{00000000-0005-0000-0000-0000705B0000}"/>
    <cellStyle name="Normal 3 9 7 2" xfId="23424" xr:uid="{00000000-0005-0000-0000-0000715B0000}"/>
    <cellStyle name="Normal 3 9 7 3" xfId="23425" xr:uid="{00000000-0005-0000-0000-0000725B0000}"/>
    <cellStyle name="Normal 3 9 8" xfId="23426" xr:uid="{00000000-0005-0000-0000-0000735B0000}"/>
    <cellStyle name="Normal 3 9 8 2" xfId="23427" xr:uid="{00000000-0005-0000-0000-0000745B0000}"/>
    <cellStyle name="Normal 3 9 8 3" xfId="23428" xr:uid="{00000000-0005-0000-0000-0000755B0000}"/>
    <cellStyle name="Normal 3 9 9" xfId="23429" xr:uid="{00000000-0005-0000-0000-0000765B0000}"/>
    <cellStyle name="Normal 3 9 9 2" xfId="23430" xr:uid="{00000000-0005-0000-0000-0000775B0000}"/>
    <cellStyle name="Normal 3 9 9 3" xfId="23431" xr:uid="{00000000-0005-0000-0000-0000785B0000}"/>
    <cellStyle name="Normal 30" xfId="23432" xr:uid="{00000000-0005-0000-0000-0000795B0000}"/>
    <cellStyle name="Normal 30 2" xfId="23433" xr:uid="{00000000-0005-0000-0000-00007A5B0000}"/>
    <cellStyle name="Normal 30 2 2" xfId="23434" xr:uid="{00000000-0005-0000-0000-00007B5B0000}"/>
    <cellStyle name="Normal 30 2 3" xfId="23435" xr:uid="{00000000-0005-0000-0000-00007C5B0000}"/>
    <cellStyle name="Normal 30 3" xfId="23436" xr:uid="{00000000-0005-0000-0000-00007D5B0000}"/>
    <cellStyle name="Normal 30 4" xfId="23437" xr:uid="{00000000-0005-0000-0000-00007E5B0000}"/>
    <cellStyle name="Normal 31" xfId="23438" xr:uid="{00000000-0005-0000-0000-00007F5B0000}"/>
    <cellStyle name="Normal 31 2" xfId="23439" xr:uid="{00000000-0005-0000-0000-0000805B0000}"/>
    <cellStyle name="Normal 31 3" xfId="23440" xr:uid="{00000000-0005-0000-0000-0000815B0000}"/>
    <cellStyle name="Normal 32" xfId="23441" xr:uid="{00000000-0005-0000-0000-0000825B0000}"/>
    <cellStyle name="Normal 32 2" xfId="23442" xr:uid="{00000000-0005-0000-0000-0000835B0000}"/>
    <cellStyle name="Normal 32 3" xfId="23443" xr:uid="{00000000-0005-0000-0000-0000845B0000}"/>
    <cellStyle name="Normal 33" xfId="23444" xr:uid="{00000000-0005-0000-0000-0000855B0000}"/>
    <cellStyle name="Normal 33 2" xfId="23445" xr:uid="{00000000-0005-0000-0000-0000865B0000}"/>
    <cellStyle name="Normal 33 3" xfId="23446" xr:uid="{00000000-0005-0000-0000-0000875B0000}"/>
    <cellStyle name="Normal 34" xfId="23447" xr:uid="{00000000-0005-0000-0000-0000885B0000}"/>
    <cellStyle name="Normal 34 2" xfId="23448" xr:uid="{00000000-0005-0000-0000-0000895B0000}"/>
    <cellStyle name="Normal 34 3" xfId="23449" xr:uid="{00000000-0005-0000-0000-00008A5B0000}"/>
    <cellStyle name="Normal 35" xfId="23450" xr:uid="{00000000-0005-0000-0000-00008B5B0000}"/>
    <cellStyle name="Normal 35 2" xfId="23451" xr:uid="{00000000-0005-0000-0000-00008C5B0000}"/>
    <cellStyle name="Normal 35 3" xfId="23452" xr:uid="{00000000-0005-0000-0000-00008D5B0000}"/>
    <cellStyle name="Normal 36" xfId="23453" xr:uid="{00000000-0005-0000-0000-00008E5B0000}"/>
    <cellStyle name="Normal 36 2" xfId="23454" xr:uid="{00000000-0005-0000-0000-00008F5B0000}"/>
    <cellStyle name="Normal 36 3" xfId="23455" xr:uid="{00000000-0005-0000-0000-0000905B0000}"/>
    <cellStyle name="Normal 37" xfId="23456" xr:uid="{00000000-0005-0000-0000-0000915B0000}"/>
    <cellStyle name="Normal 37 2" xfId="23457" xr:uid="{00000000-0005-0000-0000-0000925B0000}"/>
    <cellStyle name="Normal 37 3" xfId="23458" xr:uid="{00000000-0005-0000-0000-0000935B0000}"/>
    <cellStyle name="Normal 38" xfId="23459" xr:uid="{00000000-0005-0000-0000-0000945B0000}"/>
    <cellStyle name="Normal 38 2" xfId="23460" xr:uid="{00000000-0005-0000-0000-0000955B0000}"/>
    <cellStyle name="Normal 38 3" xfId="23461" xr:uid="{00000000-0005-0000-0000-0000965B0000}"/>
    <cellStyle name="Normal 39" xfId="23462" xr:uid="{00000000-0005-0000-0000-0000975B0000}"/>
    <cellStyle name="Normal 39 2" xfId="23463" xr:uid="{00000000-0005-0000-0000-0000985B0000}"/>
    <cellStyle name="Normal 39 3" xfId="23464" xr:uid="{00000000-0005-0000-0000-0000995B0000}"/>
    <cellStyle name="Normal 4" xfId="10" xr:uid="{00000000-0005-0000-0000-00009A5B0000}"/>
    <cellStyle name="Normal 4 10" xfId="23465" xr:uid="{00000000-0005-0000-0000-00009B5B0000}"/>
    <cellStyle name="Normal 4 10 2" xfId="23466" xr:uid="{00000000-0005-0000-0000-00009C5B0000}"/>
    <cellStyle name="Normal 4 10 3" xfId="23467" xr:uid="{00000000-0005-0000-0000-00009D5B0000}"/>
    <cellStyle name="Normal 4 11" xfId="23468" xr:uid="{00000000-0005-0000-0000-00009E5B0000}"/>
    <cellStyle name="Normal 4 11 2" xfId="23469" xr:uid="{00000000-0005-0000-0000-00009F5B0000}"/>
    <cellStyle name="Normal 4 11 3" xfId="23470" xr:uid="{00000000-0005-0000-0000-0000A05B0000}"/>
    <cellStyle name="Normal 4 12" xfId="23471" xr:uid="{00000000-0005-0000-0000-0000A15B0000}"/>
    <cellStyle name="Normal 4 12 2" xfId="23472" xr:uid="{00000000-0005-0000-0000-0000A25B0000}"/>
    <cellStyle name="Normal 4 12 3" xfId="23473" xr:uid="{00000000-0005-0000-0000-0000A35B0000}"/>
    <cellStyle name="Normal 4 13" xfId="23474" xr:uid="{00000000-0005-0000-0000-0000A45B0000}"/>
    <cellStyle name="Normal 4 13 2" xfId="23475" xr:uid="{00000000-0005-0000-0000-0000A55B0000}"/>
    <cellStyle name="Normal 4 13 3" xfId="23476" xr:uid="{00000000-0005-0000-0000-0000A65B0000}"/>
    <cellStyle name="Normal 4 14" xfId="23477" xr:uid="{00000000-0005-0000-0000-0000A75B0000}"/>
    <cellStyle name="Normal 4 14 2" xfId="23478" xr:uid="{00000000-0005-0000-0000-0000A85B0000}"/>
    <cellStyle name="Normal 4 14 3" xfId="23479" xr:uid="{00000000-0005-0000-0000-0000A95B0000}"/>
    <cellStyle name="Normal 4 15" xfId="23480" xr:uid="{00000000-0005-0000-0000-0000AA5B0000}"/>
    <cellStyle name="Normal 4 15 2" xfId="23481" xr:uid="{00000000-0005-0000-0000-0000AB5B0000}"/>
    <cellStyle name="Normal 4 15 3" xfId="23482" xr:uid="{00000000-0005-0000-0000-0000AC5B0000}"/>
    <cellStyle name="Normal 4 16" xfId="23483" xr:uid="{00000000-0005-0000-0000-0000AD5B0000}"/>
    <cellStyle name="Normal 4 16 2" xfId="23484" xr:uid="{00000000-0005-0000-0000-0000AE5B0000}"/>
    <cellStyle name="Normal 4 16 3" xfId="23485" xr:uid="{00000000-0005-0000-0000-0000AF5B0000}"/>
    <cellStyle name="Normal 4 17" xfId="23486" xr:uid="{00000000-0005-0000-0000-0000B05B0000}"/>
    <cellStyle name="Normal 4 17 2" xfId="23487" xr:uid="{00000000-0005-0000-0000-0000B15B0000}"/>
    <cellStyle name="Normal 4 17 3" xfId="23488" xr:uid="{00000000-0005-0000-0000-0000B25B0000}"/>
    <cellStyle name="Normal 4 18" xfId="23489" xr:uid="{00000000-0005-0000-0000-0000B35B0000}"/>
    <cellStyle name="Normal 4 18 2" xfId="23490" xr:uid="{00000000-0005-0000-0000-0000B45B0000}"/>
    <cellStyle name="Normal 4 18 3" xfId="23491" xr:uid="{00000000-0005-0000-0000-0000B55B0000}"/>
    <cellStyle name="Normal 4 19" xfId="23492" xr:uid="{00000000-0005-0000-0000-0000B65B0000}"/>
    <cellStyle name="Normal 4 19 2" xfId="23493" xr:uid="{00000000-0005-0000-0000-0000B75B0000}"/>
    <cellStyle name="Normal 4 19 3" xfId="23494" xr:uid="{00000000-0005-0000-0000-0000B85B0000}"/>
    <cellStyle name="Normal 4 2" xfId="23495" xr:uid="{00000000-0005-0000-0000-0000B95B0000}"/>
    <cellStyle name="Normal 4 2 2" xfId="23496" xr:uid="{00000000-0005-0000-0000-0000BA5B0000}"/>
    <cellStyle name="Normal 4 2 2 2" xfId="23497" xr:uid="{00000000-0005-0000-0000-0000BB5B0000}"/>
    <cellStyle name="Normal 4 2 2 3" xfId="23498" xr:uid="{00000000-0005-0000-0000-0000BC5B0000}"/>
    <cellStyle name="Normal 4 2 3" xfId="23499" xr:uid="{00000000-0005-0000-0000-0000BD5B0000}"/>
    <cellStyle name="Normal 4 2 3 2" xfId="23500" xr:uid="{00000000-0005-0000-0000-0000BE5B0000}"/>
    <cellStyle name="Normal 4 2 4" xfId="23501" xr:uid="{00000000-0005-0000-0000-0000BF5B0000}"/>
    <cellStyle name="Normal 4 2 4 2" xfId="23502" xr:uid="{00000000-0005-0000-0000-0000C05B0000}"/>
    <cellStyle name="Normal 4 2 5" xfId="23503" xr:uid="{00000000-0005-0000-0000-0000C15B0000}"/>
    <cellStyle name="Normal 4 2 6" xfId="23504" xr:uid="{00000000-0005-0000-0000-0000C25B0000}"/>
    <cellStyle name="Normal 4 20" xfId="23505" xr:uid="{00000000-0005-0000-0000-0000C35B0000}"/>
    <cellStyle name="Normal 4 20 2" xfId="23506" xr:uid="{00000000-0005-0000-0000-0000C45B0000}"/>
    <cellStyle name="Normal 4 20 3" xfId="23507" xr:uid="{00000000-0005-0000-0000-0000C55B0000}"/>
    <cellStyle name="Normal 4 21" xfId="23508" xr:uid="{00000000-0005-0000-0000-0000C65B0000}"/>
    <cellStyle name="Normal 4 21 2" xfId="23509" xr:uid="{00000000-0005-0000-0000-0000C75B0000}"/>
    <cellStyle name="Normal 4 21 3" xfId="23510" xr:uid="{00000000-0005-0000-0000-0000C85B0000}"/>
    <cellStyle name="Normal 4 22" xfId="23511" xr:uid="{00000000-0005-0000-0000-0000C95B0000}"/>
    <cellStyle name="Normal 4 22 2" xfId="23512" xr:uid="{00000000-0005-0000-0000-0000CA5B0000}"/>
    <cellStyle name="Normal 4 22 3" xfId="23513" xr:uid="{00000000-0005-0000-0000-0000CB5B0000}"/>
    <cellStyle name="Normal 4 23" xfId="23514" xr:uid="{00000000-0005-0000-0000-0000CC5B0000}"/>
    <cellStyle name="Normal 4 23 2" xfId="23515" xr:uid="{00000000-0005-0000-0000-0000CD5B0000}"/>
    <cellStyle name="Normal 4 23 3" xfId="23516" xr:uid="{00000000-0005-0000-0000-0000CE5B0000}"/>
    <cellStyle name="Normal 4 24" xfId="23517" xr:uid="{00000000-0005-0000-0000-0000CF5B0000}"/>
    <cellStyle name="Normal 4 24 2" xfId="23518" xr:uid="{00000000-0005-0000-0000-0000D05B0000}"/>
    <cellStyle name="Normal 4 24 3" xfId="23519" xr:uid="{00000000-0005-0000-0000-0000D15B0000}"/>
    <cellStyle name="Normal 4 25" xfId="23520" xr:uid="{00000000-0005-0000-0000-0000D25B0000}"/>
    <cellStyle name="Normal 4 25 2" xfId="23521" xr:uid="{00000000-0005-0000-0000-0000D35B0000}"/>
    <cellStyle name="Normal 4 25 3" xfId="23522" xr:uid="{00000000-0005-0000-0000-0000D45B0000}"/>
    <cellStyle name="Normal 4 26" xfId="23523" xr:uid="{00000000-0005-0000-0000-0000D55B0000}"/>
    <cellStyle name="Normal 4 26 2" xfId="23524" xr:uid="{00000000-0005-0000-0000-0000D65B0000}"/>
    <cellStyle name="Normal 4 26 3" xfId="23525" xr:uid="{00000000-0005-0000-0000-0000D75B0000}"/>
    <cellStyle name="Normal 4 27" xfId="23526" xr:uid="{00000000-0005-0000-0000-0000D85B0000}"/>
    <cellStyle name="Normal 4 27 2" xfId="23527" xr:uid="{00000000-0005-0000-0000-0000D95B0000}"/>
    <cellStyle name="Normal 4 27 3" xfId="23528" xr:uid="{00000000-0005-0000-0000-0000DA5B0000}"/>
    <cellStyle name="Normal 4 28" xfId="23529" xr:uid="{00000000-0005-0000-0000-0000DB5B0000}"/>
    <cellStyle name="Normal 4 28 2" xfId="23530" xr:uid="{00000000-0005-0000-0000-0000DC5B0000}"/>
    <cellStyle name="Normal 4 28 3" xfId="23531" xr:uid="{00000000-0005-0000-0000-0000DD5B0000}"/>
    <cellStyle name="Normal 4 29" xfId="23532" xr:uid="{00000000-0005-0000-0000-0000DE5B0000}"/>
    <cellStyle name="Normal 4 29 2" xfId="23533" xr:uid="{00000000-0005-0000-0000-0000DF5B0000}"/>
    <cellStyle name="Normal 4 29 3" xfId="23534" xr:uid="{00000000-0005-0000-0000-0000E05B0000}"/>
    <cellStyle name="Normal 4 3" xfId="23535" xr:uid="{00000000-0005-0000-0000-0000E15B0000}"/>
    <cellStyle name="Normal 4 3 2" xfId="23536" xr:uid="{00000000-0005-0000-0000-0000E25B0000}"/>
    <cellStyle name="Normal 4 3 2 2" xfId="23537" xr:uid="{00000000-0005-0000-0000-0000E35B0000}"/>
    <cellStyle name="Normal 4 3 2 3" xfId="23538" xr:uid="{00000000-0005-0000-0000-0000E45B0000}"/>
    <cellStyle name="Normal 4 3 2 4" xfId="23539" xr:uid="{00000000-0005-0000-0000-0000E55B0000}"/>
    <cellStyle name="Normal 4 3 3" xfId="23540" xr:uid="{00000000-0005-0000-0000-0000E65B0000}"/>
    <cellStyle name="Normal 4 3 3 2" xfId="23541" xr:uid="{00000000-0005-0000-0000-0000E75B0000}"/>
    <cellStyle name="Normal 4 3 3 3" xfId="23542" xr:uid="{00000000-0005-0000-0000-0000E85B0000}"/>
    <cellStyle name="Normal 4 3 4" xfId="23543" xr:uid="{00000000-0005-0000-0000-0000E95B0000}"/>
    <cellStyle name="Normal 4 3 4 2" xfId="23544" xr:uid="{00000000-0005-0000-0000-0000EA5B0000}"/>
    <cellStyle name="Normal 4 3 5" xfId="23545" xr:uid="{00000000-0005-0000-0000-0000EB5B0000}"/>
    <cellStyle name="Normal 4 3 6" xfId="23546" xr:uid="{00000000-0005-0000-0000-0000EC5B0000}"/>
    <cellStyle name="Normal 4 30" xfId="23547" xr:uid="{00000000-0005-0000-0000-0000ED5B0000}"/>
    <cellStyle name="Normal 4 30 2" xfId="23548" xr:uid="{00000000-0005-0000-0000-0000EE5B0000}"/>
    <cellStyle name="Normal 4 30 3" xfId="23549" xr:uid="{00000000-0005-0000-0000-0000EF5B0000}"/>
    <cellStyle name="Normal 4 31" xfId="23550" xr:uid="{00000000-0005-0000-0000-0000F05B0000}"/>
    <cellStyle name="Normal 4 31 2" xfId="23551" xr:uid="{00000000-0005-0000-0000-0000F15B0000}"/>
    <cellStyle name="Normal 4 31 3" xfId="23552" xr:uid="{00000000-0005-0000-0000-0000F25B0000}"/>
    <cellStyle name="Normal 4 32" xfId="23553" xr:uid="{00000000-0005-0000-0000-0000F35B0000}"/>
    <cellStyle name="Normal 4 32 2" xfId="23554" xr:uid="{00000000-0005-0000-0000-0000F45B0000}"/>
    <cellStyle name="Normal 4 32 3" xfId="23555" xr:uid="{00000000-0005-0000-0000-0000F55B0000}"/>
    <cellStyle name="Normal 4 33" xfId="23556" xr:uid="{00000000-0005-0000-0000-0000F65B0000}"/>
    <cellStyle name="Normal 4 33 2" xfId="23557" xr:uid="{00000000-0005-0000-0000-0000F75B0000}"/>
    <cellStyle name="Normal 4 33 3" xfId="23558" xr:uid="{00000000-0005-0000-0000-0000F85B0000}"/>
    <cellStyle name="Normal 4 34" xfId="23559" xr:uid="{00000000-0005-0000-0000-0000F95B0000}"/>
    <cellStyle name="Normal 4 34 2" xfId="23560" xr:uid="{00000000-0005-0000-0000-0000FA5B0000}"/>
    <cellStyle name="Normal 4 34 2 2" xfId="23561" xr:uid="{00000000-0005-0000-0000-0000FB5B0000}"/>
    <cellStyle name="Normal 4 34 3" xfId="23562" xr:uid="{00000000-0005-0000-0000-0000FC5B0000}"/>
    <cellStyle name="Normal 4 35" xfId="23563" xr:uid="{00000000-0005-0000-0000-0000FD5B0000}"/>
    <cellStyle name="Normal 4 36" xfId="23564" xr:uid="{00000000-0005-0000-0000-0000FE5B0000}"/>
    <cellStyle name="Normal 4 37" xfId="23565" xr:uid="{00000000-0005-0000-0000-0000FF5B0000}"/>
    <cellStyle name="Normal 4 37 2" xfId="23566" xr:uid="{00000000-0005-0000-0000-0000005C0000}"/>
    <cellStyle name="Normal 4 37 3" xfId="23567" xr:uid="{00000000-0005-0000-0000-0000015C0000}"/>
    <cellStyle name="Normal 4 38" xfId="23568" xr:uid="{00000000-0005-0000-0000-0000025C0000}"/>
    <cellStyle name="Normal 4 38 2" xfId="23569" xr:uid="{00000000-0005-0000-0000-0000035C0000}"/>
    <cellStyle name="Normal 4 38 3" xfId="23570" xr:uid="{00000000-0005-0000-0000-0000045C0000}"/>
    <cellStyle name="Normal 4 39" xfId="23571" xr:uid="{00000000-0005-0000-0000-0000055C0000}"/>
    <cellStyle name="Normal 4 39 2" xfId="23572" xr:uid="{00000000-0005-0000-0000-0000065C0000}"/>
    <cellStyle name="Normal 4 39 3" xfId="23573" xr:uid="{00000000-0005-0000-0000-0000075C0000}"/>
    <cellStyle name="Normal 4 4" xfId="23574" xr:uid="{00000000-0005-0000-0000-0000085C0000}"/>
    <cellStyle name="Normal 4 4 2" xfId="23575" xr:uid="{00000000-0005-0000-0000-0000095C0000}"/>
    <cellStyle name="Normal 4 4 2 2" xfId="23576" xr:uid="{00000000-0005-0000-0000-00000A5C0000}"/>
    <cellStyle name="Normal 4 4 2 2 2" xfId="23577" xr:uid="{00000000-0005-0000-0000-00000B5C0000}"/>
    <cellStyle name="Normal 4 4 2 3" xfId="23578" xr:uid="{00000000-0005-0000-0000-00000C5C0000}"/>
    <cellStyle name="Normal 4 4 2 4" xfId="23579" xr:uid="{00000000-0005-0000-0000-00000D5C0000}"/>
    <cellStyle name="Normal 4 4 3" xfId="23580" xr:uid="{00000000-0005-0000-0000-00000E5C0000}"/>
    <cellStyle name="Normal 4 4 3 2" xfId="23581" xr:uid="{00000000-0005-0000-0000-00000F5C0000}"/>
    <cellStyle name="Normal 4 4 3 3" xfId="23582" xr:uid="{00000000-0005-0000-0000-0000105C0000}"/>
    <cellStyle name="Normal 4 4 4" xfId="23583" xr:uid="{00000000-0005-0000-0000-0000115C0000}"/>
    <cellStyle name="Normal 4 4 5" xfId="23584" xr:uid="{00000000-0005-0000-0000-0000125C0000}"/>
    <cellStyle name="Normal 4 4 6" xfId="23585" xr:uid="{00000000-0005-0000-0000-0000135C0000}"/>
    <cellStyle name="Normal 4 5" xfId="23586" xr:uid="{00000000-0005-0000-0000-0000145C0000}"/>
    <cellStyle name="Normal 4 5 2" xfId="23587" xr:uid="{00000000-0005-0000-0000-0000155C0000}"/>
    <cellStyle name="Normal 4 5 2 2" xfId="23588" xr:uid="{00000000-0005-0000-0000-0000165C0000}"/>
    <cellStyle name="Normal 4 5 3" xfId="23589" xr:uid="{00000000-0005-0000-0000-0000175C0000}"/>
    <cellStyle name="Normal 4 5 3 2" xfId="23590" xr:uid="{00000000-0005-0000-0000-0000185C0000}"/>
    <cellStyle name="Normal 4 5 3 3" xfId="23591" xr:uid="{00000000-0005-0000-0000-0000195C0000}"/>
    <cellStyle name="Normal 4 5 4" xfId="23592" xr:uid="{00000000-0005-0000-0000-00001A5C0000}"/>
    <cellStyle name="Normal 4 5 4 2" xfId="23593" xr:uid="{00000000-0005-0000-0000-00001B5C0000}"/>
    <cellStyle name="Normal 4 5 5" xfId="23594" xr:uid="{00000000-0005-0000-0000-00001C5C0000}"/>
    <cellStyle name="Normal 4 5 6" xfId="23595" xr:uid="{00000000-0005-0000-0000-00001D5C0000}"/>
    <cellStyle name="Normal 4 6" xfId="23596" xr:uid="{00000000-0005-0000-0000-00001E5C0000}"/>
    <cellStyle name="Normal 4 6 2" xfId="23597" xr:uid="{00000000-0005-0000-0000-00001F5C0000}"/>
    <cellStyle name="Normal 4 6 3" xfId="23598" xr:uid="{00000000-0005-0000-0000-0000205C0000}"/>
    <cellStyle name="Normal 4 7" xfId="23599" xr:uid="{00000000-0005-0000-0000-0000215C0000}"/>
    <cellStyle name="Normal 4 7 2" xfId="23600" xr:uid="{00000000-0005-0000-0000-0000225C0000}"/>
    <cellStyle name="Normal 4 7 3" xfId="23601" xr:uid="{00000000-0005-0000-0000-0000235C0000}"/>
    <cellStyle name="Normal 4 8" xfId="23602" xr:uid="{00000000-0005-0000-0000-0000245C0000}"/>
    <cellStyle name="Normal 4 8 2" xfId="23603" xr:uid="{00000000-0005-0000-0000-0000255C0000}"/>
    <cellStyle name="Normal 4 8 2 2" xfId="23604" xr:uid="{00000000-0005-0000-0000-0000265C0000}"/>
    <cellStyle name="Normal 4 8 3" xfId="23605" xr:uid="{00000000-0005-0000-0000-0000275C0000}"/>
    <cellStyle name="Normal 4 9" xfId="23606" xr:uid="{00000000-0005-0000-0000-0000285C0000}"/>
    <cellStyle name="Normal 4 9 2" xfId="23607" xr:uid="{00000000-0005-0000-0000-0000295C0000}"/>
    <cellStyle name="Normal 4 9 2 2" xfId="23608" xr:uid="{00000000-0005-0000-0000-00002A5C0000}"/>
    <cellStyle name="Normal 4 9 3" xfId="23609" xr:uid="{00000000-0005-0000-0000-00002B5C0000}"/>
    <cellStyle name="Normal 40" xfId="23610" xr:uid="{00000000-0005-0000-0000-00002C5C0000}"/>
    <cellStyle name="Normal 40 2" xfId="23611" xr:uid="{00000000-0005-0000-0000-00002D5C0000}"/>
    <cellStyle name="Normal 40 2 2" xfId="23612" xr:uid="{00000000-0005-0000-0000-00002E5C0000}"/>
    <cellStyle name="Normal 40 2 3" xfId="23613" xr:uid="{00000000-0005-0000-0000-00002F5C0000}"/>
    <cellStyle name="Normal 40 3" xfId="23614" xr:uid="{00000000-0005-0000-0000-0000305C0000}"/>
    <cellStyle name="Normal 40 3 2" xfId="23615" xr:uid="{00000000-0005-0000-0000-0000315C0000}"/>
    <cellStyle name="Normal 40 3 3" xfId="23616" xr:uid="{00000000-0005-0000-0000-0000325C0000}"/>
    <cellStyle name="Normal 40 4" xfId="23617" xr:uid="{00000000-0005-0000-0000-0000335C0000}"/>
    <cellStyle name="Normal 40 5" xfId="23618" xr:uid="{00000000-0005-0000-0000-0000345C0000}"/>
    <cellStyle name="Normal 40 6" xfId="23619" xr:uid="{00000000-0005-0000-0000-0000355C0000}"/>
    <cellStyle name="Normal 41" xfId="23620" xr:uid="{00000000-0005-0000-0000-0000365C0000}"/>
    <cellStyle name="Normal 41 2" xfId="23621" xr:uid="{00000000-0005-0000-0000-0000375C0000}"/>
    <cellStyle name="Normal 41 3" xfId="23622" xr:uid="{00000000-0005-0000-0000-0000385C0000}"/>
    <cellStyle name="Normal 42" xfId="23623" xr:uid="{00000000-0005-0000-0000-0000395C0000}"/>
    <cellStyle name="Normal 42 2" xfId="23624" xr:uid="{00000000-0005-0000-0000-00003A5C0000}"/>
    <cellStyle name="Normal 42 2 2" xfId="23625" xr:uid="{00000000-0005-0000-0000-00003B5C0000}"/>
    <cellStyle name="Normal 42 2 3" xfId="23626" xr:uid="{00000000-0005-0000-0000-00003C5C0000}"/>
    <cellStyle name="Normal 42 3" xfId="23627" xr:uid="{00000000-0005-0000-0000-00003D5C0000}"/>
    <cellStyle name="Normal 42 3 2" xfId="23628" xr:uid="{00000000-0005-0000-0000-00003E5C0000}"/>
    <cellStyle name="Normal 42 3 3" xfId="23629" xr:uid="{00000000-0005-0000-0000-00003F5C0000}"/>
    <cellStyle name="Normal 42 4" xfId="23630" xr:uid="{00000000-0005-0000-0000-0000405C0000}"/>
    <cellStyle name="Normal 42 5" xfId="23631" xr:uid="{00000000-0005-0000-0000-0000415C0000}"/>
    <cellStyle name="Normal 42 6" xfId="23632" xr:uid="{00000000-0005-0000-0000-0000425C0000}"/>
    <cellStyle name="Normal 43" xfId="23633" xr:uid="{00000000-0005-0000-0000-0000435C0000}"/>
    <cellStyle name="Normal 43 2" xfId="23634" xr:uid="{00000000-0005-0000-0000-0000445C0000}"/>
    <cellStyle name="Normal 43 2 2" xfId="23635" xr:uid="{00000000-0005-0000-0000-0000455C0000}"/>
    <cellStyle name="Normal 43 2 3" xfId="23636" xr:uid="{00000000-0005-0000-0000-0000465C0000}"/>
    <cellStyle name="Normal 43 3" xfId="23637" xr:uid="{00000000-0005-0000-0000-0000475C0000}"/>
    <cellStyle name="Normal 43 3 2" xfId="23638" xr:uid="{00000000-0005-0000-0000-0000485C0000}"/>
    <cellStyle name="Normal 43 3 3" xfId="23639" xr:uid="{00000000-0005-0000-0000-0000495C0000}"/>
    <cellStyle name="Normal 43 4" xfId="23640" xr:uid="{00000000-0005-0000-0000-00004A5C0000}"/>
    <cellStyle name="Normal 43 5" xfId="23641" xr:uid="{00000000-0005-0000-0000-00004B5C0000}"/>
    <cellStyle name="Normal 43 6" xfId="23642" xr:uid="{00000000-0005-0000-0000-00004C5C0000}"/>
    <cellStyle name="Normal 44" xfId="23643" xr:uid="{00000000-0005-0000-0000-00004D5C0000}"/>
    <cellStyle name="Normal 44 2" xfId="23644" xr:uid="{00000000-0005-0000-0000-00004E5C0000}"/>
    <cellStyle name="Normal 44 2 2" xfId="23645" xr:uid="{00000000-0005-0000-0000-00004F5C0000}"/>
    <cellStyle name="Normal 44 2 3" xfId="23646" xr:uid="{00000000-0005-0000-0000-0000505C0000}"/>
    <cellStyle name="Normal 44 3" xfId="23647" xr:uid="{00000000-0005-0000-0000-0000515C0000}"/>
    <cellStyle name="Normal 44 3 2" xfId="23648" xr:uid="{00000000-0005-0000-0000-0000525C0000}"/>
    <cellStyle name="Normal 44 3 3" xfId="23649" xr:uid="{00000000-0005-0000-0000-0000535C0000}"/>
    <cellStyle name="Normal 44 4" xfId="23650" xr:uid="{00000000-0005-0000-0000-0000545C0000}"/>
    <cellStyle name="Normal 44 5" xfId="23651" xr:uid="{00000000-0005-0000-0000-0000555C0000}"/>
    <cellStyle name="Normal 44 6" xfId="23652" xr:uid="{00000000-0005-0000-0000-0000565C0000}"/>
    <cellStyle name="Normal 45" xfId="23653" xr:uid="{00000000-0005-0000-0000-0000575C0000}"/>
    <cellStyle name="Normal 45 2" xfId="23654" xr:uid="{00000000-0005-0000-0000-0000585C0000}"/>
    <cellStyle name="Normal 45 2 2" xfId="23655" xr:uid="{00000000-0005-0000-0000-0000595C0000}"/>
    <cellStyle name="Normal 45 2 3" xfId="23656" xr:uid="{00000000-0005-0000-0000-00005A5C0000}"/>
    <cellStyle name="Normal 45 3" xfId="23657" xr:uid="{00000000-0005-0000-0000-00005B5C0000}"/>
    <cellStyle name="Normal 45 3 2" xfId="23658" xr:uid="{00000000-0005-0000-0000-00005C5C0000}"/>
    <cellStyle name="Normal 45 3 3" xfId="23659" xr:uid="{00000000-0005-0000-0000-00005D5C0000}"/>
    <cellStyle name="Normal 45 4" xfId="23660" xr:uid="{00000000-0005-0000-0000-00005E5C0000}"/>
    <cellStyle name="Normal 45 5" xfId="23661" xr:uid="{00000000-0005-0000-0000-00005F5C0000}"/>
    <cellStyle name="Normal 45 6" xfId="23662" xr:uid="{00000000-0005-0000-0000-0000605C0000}"/>
    <cellStyle name="Normal 46" xfId="23663" xr:uid="{00000000-0005-0000-0000-0000615C0000}"/>
    <cellStyle name="Normal 46 2" xfId="23664" xr:uid="{00000000-0005-0000-0000-0000625C0000}"/>
    <cellStyle name="Normal 46 2 2" xfId="23665" xr:uid="{00000000-0005-0000-0000-0000635C0000}"/>
    <cellStyle name="Normal 46 2 3" xfId="23666" xr:uid="{00000000-0005-0000-0000-0000645C0000}"/>
    <cellStyle name="Normal 46 3" xfId="23667" xr:uid="{00000000-0005-0000-0000-0000655C0000}"/>
    <cellStyle name="Normal 46 3 2" xfId="23668" xr:uid="{00000000-0005-0000-0000-0000665C0000}"/>
    <cellStyle name="Normal 46 3 3" xfId="23669" xr:uid="{00000000-0005-0000-0000-0000675C0000}"/>
    <cellStyle name="Normal 46 4" xfId="23670" xr:uid="{00000000-0005-0000-0000-0000685C0000}"/>
    <cellStyle name="Normal 46 5" xfId="23671" xr:uid="{00000000-0005-0000-0000-0000695C0000}"/>
    <cellStyle name="Normal 46 6" xfId="23672" xr:uid="{00000000-0005-0000-0000-00006A5C0000}"/>
    <cellStyle name="Normal 47" xfId="23673" xr:uid="{00000000-0005-0000-0000-00006B5C0000}"/>
    <cellStyle name="Normal 47 2" xfId="23674" xr:uid="{00000000-0005-0000-0000-00006C5C0000}"/>
    <cellStyle name="Normal 47 2 2" xfId="23675" xr:uid="{00000000-0005-0000-0000-00006D5C0000}"/>
    <cellStyle name="Normal 47 2 3" xfId="23676" xr:uid="{00000000-0005-0000-0000-00006E5C0000}"/>
    <cellStyle name="Normal 47 3" xfId="23677" xr:uid="{00000000-0005-0000-0000-00006F5C0000}"/>
    <cellStyle name="Normal 47 3 2" xfId="23678" xr:uid="{00000000-0005-0000-0000-0000705C0000}"/>
    <cellStyle name="Normal 47 3 3" xfId="23679" xr:uid="{00000000-0005-0000-0000-0000715C0000}"/>
    <cellStyle name="Normal 47 4" xfId="23680" xr:uid="{00000000-0005-0000-0000-0000725C0000}"/>
    <cellStyle name="Normal 47 5" xfId="23681" xr:uid="{00000000-0005-0000-0000-0000735C0000}"/>
    <cellStyle name="Normal 47 6" xfId="23682" xr:uid="{00000000-0005-0000-0000-0000745C0000}"/>
    <cellStyle name="Normal 48" xfId="23683" xr:uid="{00000000-0005-0000-0000-0000755C0000}"/>
    <cellStyle name="Normal 48 2" xfId="23684" xr:uid="{00000000-0005-0000-0000-0000765C0000}"/>
    <cellStyle name="Normal 48 2 2" xfId="23685" xr:uid="{00000000-0005-0000-0000-0000775C0000}"/>
    <cellStyle name="Normal 48 2 3" xfId="23686" xr:uid="{00000000-0005-0000-0000-0000785C0000}"/>
    <cellStyle name="Normal 48 3" xfId="23687" xr:uid="{00000000-0005-0000-0000-0000795C0000}"/>
    <cellStyle name="Normal 48 3 2" xfId="23688" xr:uid="{00000000-0005-0000-0000-00007A5C0000}"/>
    <cellStyle name="Normal 48 3 3" xfId="23689" xr:uid="{00000000-0005-0000-0000-00007B5C0000}"/>
    <cellStyle name="Normal 48 4" xfId="23690" xr:uid="{00000000-0005-0000-0000-00007C5C0000}"/>
    <cellStyle name="Normal 48 5" xfId="23691" xr:uid="{00000000-0005-0000-0000-00007D5C0000}"/>
    <cellStyle name="Normal 48 6" xfId="23692" xr:uid="{00000000-0005-0000-0000-00007E5C0000}"/>
    <cellStyle name="Normal 49" xfId="23693" xr:uid="{00000000-0005-0000-0000-00007F5C0000}"/>
    <cellStyle name="Normal 49 2" xfId="23694" xr:uid="{00000000-0005-0000-0000-0000805C0000}"/>
    <cellStyle name="Normal 49 2 2" xfId="23695" xr:uid="{00000000-0005-0000-0000-0000815C0000}"/>
    <cellStyle name="Normal 49 2 3" xfId="23696" xr:uid="{00000000-0005-0000-0000-0000825C0000}"/>
    <cellStyle name="Normal 49 3" xfId="23697" xr:uid="{00000000-0005-0000-0000-0000835C0000}"/>
    <cellStyle name="Normal 49 3 2" xfId="23698" xr:uid="{00000000-0005-0000-0000-0000845C0000}"/>
    <cellStyle name="Normal 49 3 3" xfId="23699" xr:uid="{00000000-0005-0000-0000-0000855C0000}"/>
    <cellStyle name="Normal 49 4" xfId="23700" xr:uid="{00000000-0005-0000-0000-0000865C0000}"/>
    <cellStyle name="Normal 49 5" xfId="23701" xr:uid="{00000000-0005-0000-0000-0000875C0000}"/>
    <cellStyle name="Normal 49 6" xfId="23702" xr:uid="{00000000-0005-0000-0000-0000885C0000}"/>
    <cellStyle name="Normal 5" xfId="23703" xr:uid="{00000000-0005-0000-0000-0000895C0000}"/>
    <cellStyle name="Normal 5 10" xfId="23704" xr:uid="{00000000-0005-0000-0000-00008A5C0000}"/>
    <cellStyle name="Normal 5 10 2" xfId="23705" xr:uid="{00000000-0005-0000-0000-00008B5C0000}"/>
    <cellStyle name="Normal 5 10 3" xfId="23706" xr:uid="{00000000-0005-0000-0000-00008C5C0000}"/>
    <cellStyle name="Normal 5 11" xfId="23707" xr:uid="{00000000-0005-0000-0000-00008D5C0000}"/>
    <cellStyle name="Normal 5 11 2" xfId="23708" xr:uid="{00000000-0005-0000-0000-00008E5C0000}"/>
    <cellStyle name="Normal 5 11 3" xfId="23709" xr:uid="{00000000-0005-0000-0000-00008F5C0000}"/>
    <cellStyle name="Normal 5 12" xfId="23710" xr:uid="{00000000-0005-0000-0000-0000905C0000}"/>
    <cellStyle name="Normal 5 12 2" xfId="23711" xr:uid="{00000000-0005-0000-0000-0000915C0000}"/>
    <cellStyle name="Normal 5 12 3" xfId="23712" xr:uid="{00000000-0005-0000-0000-0000925C0000}"/>
    <cellStyle name="Normal 5 13" xfId="23713" xr:uid="{00000000-0005-0000-0000-0000935C0000}"/>
    <cellStyle name="Normal 5 13 2" xfId="23714" xr:uid="{00000000-0005-0000-0000-0000945C0000}"/>
    <cellStyle name="Normal 5 13 3" xfId="23715" xr:uid="{00000000-0005-0000-0000-0000955C0000}"/>
    <cellStyle name="Normal 5 14" xfId="23716" xr:uid="{00000000-0005-0000-0000-0000965C0000}"/>
    <cellStyle name="Normal 5 14 2" xfId="23717" xr:uid="{00000000-0005-0000-0000-0000975C0000}"/>
    <cellStyle name="Normal 5 14 3" xfId="23718" xr:uid="{00000000-0005-0000-0000-0000985C0000}"/>
    <cellStyle name="Normal 5 15" xfId="23719" xr:uid="{00000000-0005-0000-0000-0000995C0000}"/>
    <cellStyle name="Normal 5 15 2" xfId="23720" xr:uid="{00000000-0005-0000-0000-00009A5C0000}"/>
    <cellStyle name="Normal 5 15 3" xfId="23721" xr:uid="{00000000-0005-0000-0000-00009B5C0000}"/>
    <cellStyle name="Normal 5 16" xfId="23722" xr:uid="{00000000-0005-0000-0000-00009C5C0000}"/>
    <cellStyle name="Normal 5 16 2" xfId="23723" xr:uid="{00000000-0005-0000-0000-00009D5C0000}"/>
    <cellStyle name="Normal 5 16 3" xfId="23724" xr:uid="{00000000-0005-0000-0000-00009E5C0000}"/>
    <cellStyle name="Normal 5 17" xfId="23725" xr:uid="{00000000-0005-0000-0000-00009F5C0000}"/>
    <cellStyle name="Normal 5 17 2" xfId="23726" xr:uid="{00000000-0005-0000-0000-0000A05C0000}"/>
    <cellStyle name="Normal 5 17 3" xfId="23727" xr:uid="{00000000-0005-0000-0000-0000A15C0000}"/>
    <cellStyle name="Normal 5 18" xfId="23728" xr:uid="{00000000-0005-0000-0000-0000A25C0000}"/>
    <cellStyle name="Normal 5 18 2" xfId="23729" xr:uid="{00000000-0005-0000-0000-0000A35C0000}"/>
    <cellStyle name="Normal 5 18 3" xfId="23730" xr:uid="{00000000-0005-0000-0000-0000A45C0000}"/>
    <cellStyle name="Normal 5 19" xfId="23731" xr:uid="{00000000-0005-0000-0000-0000A55C0000}"/>
    <cellStyle name="Normal 5 19 2" xfId="23732" xr:uid="{00000000-0005-0000-0000-0000A65C0000}"/>
    <cellStyle name="Normal 5 19 3" xfId="23733" xr:uid="{00000000-0005-0000-0000-0000A75C0000}"/>
    <cellStyle name="Normal 5 2" xfId="23734" xr:uid="{00000000-0005-0000-0000-0000A85C0000}"/>
    <cellStyle name="Normal 5 2 10" xfId="23735" xr:uid="{00000000-0005-0000-0000-0000A95C0000}"/>
    <cellStyle name="Normal 5 2 10 2" xfId="23736" xr:uid="{00000000-0005-0000-0000-0000AA5C0000}"/>
    <cellStyle name="Normal 5 2 10 3" xfId="23737" xr:uid="{00000000-0005-0000-0000-0000AB5C0000}"/>
    <cellStyle name="Normal 5 2 11" xfId="23738" xr:uid="{00000000-0005-0000-0000-0000AC5C0000}"/>
    <cellStyle name="Normal 5 2 11 2" xfId="23739" xr:uid="{00000000-0005-0000-0000-0000AD5C0000}"/>
    <cellStyle name="Normal 5 2 11 3" xfId="23740" xr:uid="{00000000-0005-0000-0000-0000AE5C0000}"/>
    <cellStyle name="Normal 5 2 12" xfId="23741" xr:uid="{00000000-0005-0000-0000-0000AF5C0000}"/>
    <cellStyle name="Normal 5 2 12 2" xfId="23742" xr:uid="{00000000-0005-0000-0000-0000B05C0000}"/>
    <cellStyle name="Normal 5 2 12 3" xfId="23743" xr:uid="{00000000-0005-0000-0000-0000B15C0000}"/>
    <cellStyle name="Normal 5 2 13" xfId="23744" xr:uid="{00000000-0005-0000-0000-0000B25C0000}"/>
    <cellStyle name="Normal 5 2 13 2" xfId="23745" xr:uid="{00000000-0005-0000-0000-0000B35C0000}"/>
    <cellStyle name="Normal 5 2 13 3" xfId="23746" xr:uid="{00000000-0005-0000-0000-0000B45C0000}"/>
    <cellStyle name="Normal 5 2 14" xfId="23747" xr:uid="{00000000-0005-0000-0000-0000B55C0000}"/>
    <cellStyle name="Normal 5 2 14 2" xfId="23748" xr:uid="{00000000-0005-0000-0000-0000B65C0000}"/>
    <cellStyle name="Normal 5 2 14 3" xfId="23749" xr:uid="{00000000-0005-0000-0000-0000B75C0000}"/>
    <cellStyle name="Normal 5 2 15" xfId="23750" xr:uid="{00000000-0005-0000-0000-0000B85C0000}"/>
    <cellStyle name="Normal 5 2 15 2" xfId="23751" xr:uid="{00000000-0005-0000-0000-0000B95C0000}"/>
    <cellStyle name="Normal 5 2 15 3" xfId="23752" xr:uid="{00000000-0005-0000-0000-0000BA5C0000}"/>
    <cellStyle name="Normal 5 2 16" xfId="23753" xr:uid="{00000000-0005-0000-0000-0000BB5C0000}"/>
    <cellStyle name="Normal 5 2 16 2" xfId="23754" xr:uid="{00000000-0005-0000-0000-0000BC5C0000}"/>
    <cellStyle name="Normal 5 2 16 3" xfId="23755" xr:uid="{00000000-0005-0000-0000-0000BD5C0000}"/>
    <cellStyle name="Normal 5 2 17" xfId="23756" xr:uid="{00000000-0005-0000-0000-0000BE5C0000}"/>
    <cellStyle name="Normal 5 2 17 2" xfId="23757" xr:uid="{00000000-0005-0000-0000-0000BF5C0000}"/>
    <cellStyle name="Normal 5 2 17 3" xfId="23758" xr:uid="{00000000-0005-0000-0000-0000C05C0000}"/>
    <cellStyle name="Normal 5 2 18" xfId="23759" xr:uid="{00000000-0005-0000-0000-0000C15C0000}"/>
    <cellStyle name="Normal 5 2 18 2" xfId="23760" xr:uid="{00000000-0005-0000-0000-0000C25C0000}"/>
    <cellStyle name="Normal 5 2 18 3" xfId="23761" xr:uid="{00000000-0005-0000-0000-0000C35C0000}"/>
    <cellStyle name="Normal 5 2 19" xfId="23762" xr:uid="{00000000-0005-0000-0000-0000C45C0000}"/>
    <cellStyle name="Normal 5 2 19 2" xfId="23763" xr:uid="{00000000-0005-0000-0000-0000C55C0000}"/>
    <cellStyle name="Normal 5 2 19 3" xfId="23764" xr:uid="{00000000-0005-0000-0000-0000C65C0000}"/>
    <cellStyle name="Normal 5 2 2" xfId="23765" xr:uid="{00000000-0005-0000-0000-0000C75C0000}"/>
    <cellStyle name="Normal 5 2 2 2" xfId="23766" xr:uid="{00000000-0005-0000-0000-0000C85C0000}"/>
    <cellStyle name="Normal 5 2 2 3" xfId="23767" xr:uid="{00000000-0005-0000-0000-0000C95C0000}"/>
    <cellStyle name="Normal 5 2 2 4" xfId="23768" xr:uid="{00000000-0005-0000-0000-0000CA5C0000}"/>
    <cellStyle name="Normal 5 2 20" xfId="23769" xr:uid="{00000000-0005-0000-0000-0000CB5C0000}"/>
    <cellStyle name="Normal 5 2 20 2" xfId="23770" xr:uid="{00000000-0005-0000-0000-0000CC5C0000}"/>
    <cellStyle name="Normal 5 2 20 3" xfId="23771" xr:uid="{00000000-0005-0000-0000-0000CD5C0000}"/>
    <cellStyle name="Normal 5 2 21" xfId="23772" xr:uid="{00000000-0005-0000-0000-0000CE5C0000}"/>
    <cellStyle name="Normal 5 2 21 2" xfId="23773" xr:uid="{00000000-0005-0000-0000-0000CF5C0000}"/>
    <cellStyle name="Normal 5 2 21 3" xfId="23774" xr:uid="{00000000-0005-0000-0000-0000D05C0000}"/>
    <cellStyle name="Normal 5 2 22" xfId="23775" xr:uid="{00000000-0005-0000-0000-0000D15C0000}"/>
    <cellStyle name="Normal 5 2 22 2" xfId="23776" xr:uid="{00000000-0005-0000-0000-0000D25C0000}"/>
    <cellStyle name="Normal 5 2 22 3" xfId="23777" xr:uid="{00000000-0005-0000-0000-0000D35C0000}"/>
    <cellStyle name="Normal 5 2 23" xfId="23778" xr:uid="{00000000-0005-0000-0000-0000D45C0000}"/>
    <cellStyle name="Normal 5 2 23 2" xfId="23779" xr:uid="{00000000-0005-0000-0000-0000D55C0000}"/>
    <cellStyle name="Normal 5 2 23 3" xfId="23780" xr:uid="{00000000-0005-0000-0000-0000D65C0000}"/>
    <cellStyle name="Normal 5 2 24" xfId="23781" xr:uid="{00000000-0005-0000-0000-0000D75C0000}"/>
    <cellStyle name="Normal 5 2 25" xfId="23782" xr:uid="{00000000-0005-0000-0000-0000D85C0000}"/>
    <cellStyle name="Normal 5 2 26" xfId="23783" xr:uid="{00000000-0005-0000-0000-0000D95C0000}"/>
    <cellStyle name="Normal 5 2 3" xfId="23784" xr:uid="{00000000-0005-0000-0000-0000DA5C0000}"/>
    <cellStyle name="Normal 5 2 3 2" xfId="23785" xr:uid="{00000000-0005-0000-0000-0000DB5C0000}"/>
    <cellStyle name="Normal 5 2 3 3" xfId="23786" xr:uid="{00000000-0005-0000-0000-0000DC5C0000}"/>
    <cellStyle name="Normal 5 2 4" xfId="23787" xr:uid="{00000000-0005-0000-0000-0000DD5C0000}"/>
    <cellStyle name="Normal 5 2 4 2" xfId="23788" xr:uid="{00000000-0005-0000-0000-0000DE5C0000}"/>
    <cellStyle name="Normal 5 2 4 3" xfId="23789" xr:uid="{00000000-0005-0000-0000-0000DF5C0000}"/>
    <cellStyle name="Normal 5 2 5" xfId="23790" xr:uid="{00000000-0005-0000-0000-0000E05C0000}"/>
    <cellStyle name="Normal 5 2 5 2" xfId="23791" xr:uid="{00000000-0005-0000-0000-0000E15C0000}"/>
    <cellStyle name="Normal 5 2 5 3" xfId="23792" xr:uid="{00000000-0005-0000-0000-0000E25C0000}"/>
    <cellStyle name="Normal 5 2 6" xfId="23793" xr:uid="{00000000-0005-0000-0000-0000E35C0000}"/>
    <cellStyle name="Normal 5 2 6 2" xfId="23794" xr:uid="{00000000-0005-0000-0000-0000E45C0000}"/>
    <cellStyle name="Normal 5 2 6 3" xfId="23795" xr:uid="{00000000-0005-0000-0000-0000E55C0000}"/>
    <cellStyle name="Normal 5 2 7" xfId="23796" xr:uid="{00000000-0005-0000-0000-0000E65C0000}"/>
    <cellStyle name="Normal 5 2 7 2" xfId="23797" xr:uid="{00000000-0005-0000-0000-0000E75C0000}"/>
    <cellStyle name="Normal 5 2 7 3" xfId="23798" xr:uid="{00000000-0005-0000-0000-0000E85C0000}"/>
    <cellStyle name="Normal 5 2 8" xfId="23799" xr:uid="{00000000-0005-0000-0000-0000E95C0000}"/>
    <cellStyle name="Normal 5 2 8 2" xfId="23800" xr:uid="{00000000-0005-0000-0000-0000EA5C0000}"/>
    <cellStyle name="Normal 5 2 8 3" xfId="23801" xr:uid="{00000000-0005-0000-0000-0000EB5C0000}"/>
    <cellStyle name="Normal 5 2 9" xfId="23802" xr:uid="{00000000-0005-0000-0000-0000EC5C0000}"/>
    <cellStyle name="Normal 5 2 9 2" xfId="23803" xr:uid="{00000000-0005-0000-0000-0000ED5C0000}"/>
    <cellStyle name="Normal 5 2 9 3" xfId="23804" xr:uid="{00000000-0005-0000-0000-0000EE5C0000}"/>
    <cellStyle name="Normal 5 20" xfId="23805" xr:uid="{00000000-0005-0000-0000-0000EF5C0000}"/>
    <cellStyle name="Normal 5 20 2" xfId="23806" xr:uid="{00000000-0005-0000-0000-0000F05C0000}"/>
    <cellStyle name="Normal 5 20 3" xfId="23807" xr:uid="{00000000-0005-0000-0000-0000F15C0000}"/>
    <cellStyle name="Normal 5 21" xfId="23808" xr:uid="{00000000-0005-0000-0000-0000F25C0000}"/>
    <cellStyle name="Normal 5 21 2" xfId="23809" xr:uid="{00000000-0005-0000-0000-0000F35C0000}"/>
    <cellStyle name="Normal 5 21 3" xfId="23810" xr:uid="{00000000-0005-0000-0000-0000F45C0000}"/>
    <cellStyle name="Normal 5 22" xfId="23811" xr:uid="{00000000-0005-0000-0000-0000F55C0000}"/>
    <cellStyle name="Normal 5 22 2" xfId="23812" xr:uid="{00000000-0005-0000-0000-0000F65C0000}"/>
    <cellStyle name="Normal 5 22 3" xfId="23813" xr:uid="{00000000-0005-0000-0000-0000F75C0000}"/>
    <cellStyle name="Normal 5 23" xfId="23814" xr:uid="{00000000-0005-0000-0000-0000F85C0000}"/>
    <cellStyle name="Normal 5 23 2" xfId="23815" xr:uid="{00000000-0005-0000-0000-0000F95C0000}"/>
    <cellStyle name="Normal 5 23 3" xfId="23816" xr:uid="{00000000-0005-0000-0000-0000FA5C0000}"/>
    <cellStyle name="Normal 5 24" xfId="23817" xr:uid="{00000000-0005-0000-0000-0000FB5C0000}"/>
    <cellStyle name="Normal 5 24 2" xfId="23818" xr:uid="{00000000-0005-0000-0000-0000FC5C0000}"/>
    <cellStyle name="Normal 5 24 3" xfId="23819" xr:uid="{00000000-0005-0000-0000-0000FD5C0000}"/>
    <cellStyle name="Normal 5 25" xfId="23820" xr:uid="{00000000-0005-0000-0000-0000FE5C0000}"/>
    <cellStyle name="Normal 5 26" xfId="23821" xr:uid="{00000000-0005-0000-0000-0000FF5C0000}"/>
    <cellStyle name="Normal 5 27" xfId="23822" xr:uid="{00000000-0005-0000-0000-0000005D0000}"/>
    <cellStyle name="Normal 5 3" xfId="23823" xr:uid="{00000000-0005-0000-0000-0000015D0000}"/>
    <cellStyle name="Normal 5 3 2" xfId="23824" xr:uid="{00000000-0005-0000-0000-0000025D0000}"/>
    <cellStyle name="Normal 5 3 2 2" xfId="23825" xr:uid="{00000000-0005-0000-0000-0000035D0000}"/>
    <cellStyle name="Normal 5 3 3" xfId="23826" xr:uid="{00000000-0005-0000-0000-0000045D0000}"/>
    <cellStyle name="Normal 5 3 4" xfId="23827" xr:uid="{00000000-0005-0000-0000-0000055D0000}"/>
    <cellStyle name="Normal 5 4" xfId="23828" xr:uid="{00000000-0005-0000-0000-0000065D0000}"/>
    <cellStyle name="Normal 5 4 2" xfId="23829" xr:uid="{00000000-0005-0000-0000-0000075D0000}"/>
    <cellStyle name="Normal 5 4 2 2" xfId="23830" xr:uid="{00000000-0005-0000-0000-0000085D0000}"/>
    <cellStyle name="Normal 5 4 3" xfId="23831" xr:uid="{00000000-0005-0000-0000-0000095D0000}"/>
    <cellStyle name="Normal 5 4 4" xfId="23832" xr:uid="{00000000-0005-0000-0000-00000A5D0000}"/>
    <cellStyle name="Normal 5 5" xfId="23833" xr:uid="{00000000-0005-0000-0000-00000B5D0000}"/>
    <cellStyle name="Normal 5 5 2" xfId="23834" xr:uid="{00000000-0005-0000-0000-00000C5D0000}"/>
    <cellStyle name="Normal 5 5 2 2" xfId="23835" xr:uid="{00000000-0005-0000-0000-00000D5D0000}"/>
    <cellStyle name="Normal 5 5 3" xfId="23836" xr:uid="{00000000-0005-0000-0000-00000E5D0000}"/>
    <cellStyle name="Normal 5 5 4" xfId="23837" xr:uid="{00000000-0005-0000-0000-00000F5D0000}"/>
    <cellStyle name="Normal 5 5 5" xfId="23838" xr:uid="{00000000-0005-0000-0000-0000105D0000}"/>
    <cellStyle name="Normal 5 6" xfId="23839" xr:uid="{00000000-0005-0000-0000-0000115D0000}"/>
    <cellStyle name="Normal 5 6 2" xfId="23840" xr:uid="{00000000-0005-0000-0000-0000125D0000}"/>
    <cellStyle name="Normal 5 6 2 2" xfId="23841" xr:uid="{00000000-0005-0000-0000-0000135D0000}"/>
    <cellStyle name="Normal 5 6 3" xfId="23842" xr:uid="{00000000-0005-0000-0000-0000145D0000}"/>
    <cellStyle name="Normal 5 6 4" xfId="23843" xr:uid="{00000000-0005-0000-0000-0000155D0000}"/>
    <cellStyle name="Normal 5 7" xfId="23844" xr:uid="{00000000-0005-0000-0000-0000165D0000}"/>
    <cellStyle name="Normal 5 7 2" xfId="23845" xr:uid="{00000000-0005-0000-0000-0000175D0000}"/>
    <cellStyle name="Normal 5 7 3" xfId="23846" xr:uid="{00000000-0005-0000-0000-0000185D0000}"/>
    <cellStyle name="Normal 5 7 4" xfId="23847" xr:uid="{00000000-0005-0000-0000-0000195D0000}"/>
    <cellStyle name="Normal 5 8" xfId="23848" xr:uid="{00000000-0005-0000-0000-00001A5D0000}"/>
    <cellStyle name="Normal 5 8 2" xfId="23849" xr:uid="{00000000-0005-0000-0000-00001B5D0000}"/>
    <cellStyle name="Normal 5 8 3" xfId="23850" xr:uid="{00000000-0005-0000-0000-00001C5D0000}"/>
    <cellStyle name="Normal 5 9" xfId="23851" xr:uid="{00000000-0005-0000-0000-00001D5D0000}"/>
    <cellStyle name="Normal 5 9 2" xfId="23852" xr:uid="{00000000-0005-0000-0000-00001E5D0000}"/>
    <cellStyle name="Normal 5 9 3" xfId="23853" xr:uid="{00000000-0005-0000-0000-00001F5D0000}"/>
    <cellStyle name="Normal 50" xfId="23854" xr:uid="{00000000-0005-0000-0000-0000205D0000}"/>
    <cellStyle name="Normal 50 2" xfId="23855" xr:uid="{00000000-0005-0000-0000-0000215D0000}"/>
    <cellStyle name="Normal 50 2 2" xfId="23856" xr:uid="{00000000-0005-0000-0000-0000225D0000}"/>
    <cellStyle name="Normal 50 2 3" xfId="23857" xr:uid="{00000000-0005-0000-0000-0000235D0000}"/>
    <cellStyle name="Normal 50 3" xfId="23858" xr:uid="{00000000-0005-0000-0000-0000245D0000}"/>
    <cellStyle name="Normal 50 3 2" xfId="23859" xr:uid="{00000000-0005-0000-0000-0000255D0000}"/>
    <cellStyle name="Normal 50 3 3" xfId="23860" xr:uid="{00000000-0005-0000-0000-0000265D0000}"/>
    <cellStyle name="Normal 50 4" xfId="23861" xr:uid="{00000000-0005-0000-0000-0000275D0000}"/>
    <cellStyle name="Normal 50 5" xfId="23862" xr:uid="{00000000-0005-0000-0000-0000285D0000}"/>
    <cellStyle name="Normal 50 6" xfId="23863" xr:uid="{00000000-0005-0000-0000-0000295D0000}"/>
    <cellStyle name="Normal 51" xfId="23864" xr:uid="{00000000-0005-0000-0000-00002A5D0000}"/>
    <cellStyle name="Normal 51 2" xfId="23865" xr:uid="{00000000-0005-0000-0000-00002B5D0000}"/>
    <cellStyle name="Normal 51 2 2" xfId="23866" xr:uid="{00000000-0005-0000-0000-00002C5D0000}"/>
    <cellStyle name="Normal 51 2 3" xfId="23867" xr:uid="{00000000-0005-0000-0000-00002D5D0000}"/>
    <cellStyle name="Normal 51 3" xfId="23868" xr:uid="{00000000-0005-0000-0000-00002E5D0000}"/>
    <cellStyle name="Normal 51 3 2" xfId="23869" xr:uid="{00000000-0005-0000-0000-00002F5D0000}"/>
    <cellStyle name="Normal 51 3 3" xfId="23870" xr:uid="{00000000-0005-0000-0000-0000305D0000}"/>
    <cellStyle name="Normal 51 4" xfId="23871" xr:uid="{00000000-0005-0000-0000-0000315D0000}"/>
    <cellStyle name="Normal 51 5" xfId="23872" xr:uid="{00000000-0005-0000-0000-0000325D0000}"/>
    <cellStyle name="Normal 51 6" xfId="23873" xr:uid="{00000000-0005-0000-0000-0000335D0000}"/>
    <cellStyle name="Normal 52" xfId="23874" xr:uid="{00000000-0005-0000-0000-0000345D0000}"/>
    <cellStyle name="Normal 52 2" xfId="23875" xr:uid="{00000000-0005-0000-0000-0000355D0000}"/>
    <cellStyle name="Normal 52 2 2" xfId="23876" xr:uid="{00000000-0005-0000-0000-0000365D0000}"/>
    <cellStyle name="Normal 52 2 3" xfId="23877" xr:uid="{00000000-0005-0000-0000-0000375D0000}"/>
    <cellStyle name="Normal 52 3" xfId="23878" xr:uid="{00000000-0005-0000-0000-0000385D0000}"/>
    <cellStyle name="Normal 52 3 2" xfId="23879" xr:uid="{00000000-0005-0000-0000-0000395D0000}"/>
    <cellStyle name="Normal 52 3 3" xfId="23880" xr:uid="{00000000-0005-0000-0000-00003A5D0000}"/>
    <cellStyle name="Normal 52 4" xfId="23881" xr:uid="{00000000-0005-0000-0000-00003B5D0000}"/>
    <cellStyle name="Normal 52 5" xfId="23882" xr:uid="{00000000-0005-0000-0000-00003C5D0000}"/>
    <cellStyle name="Normal 52 6" xfId="11" xr:uid="{00000000-0005-0000-0000-00003D5D0000}"/>
    <cellStyle name="Normal 53" xfId="23883" xr:uid="{00000000-0005-0000-0000-00003E5D0000}"/>
    <cellStyle name="Normal 53 2" xfId="23884" xr:uid="{00000000-0005-0000-0000-00003F5D0000}"/>
    <cellStyle name="Normal 53 2 2" xfId="23885" xr:uid="{00000000-0005-0000-0000-0000405D0000}"/>
    <cellStyle name="Normal 53 2 3" xfId="23886" xr:uid="{00000000-0005-0000-0000-0000415D0000}"/>
    <cellStyle name="Normal 53 3" xfId="23887" xr:uid="{00000000-0005-0000-0000-0000425D0000}"/>
    <cellStyle name="Normal 53 3 2" xfId="23888" xr:uid="{00000000-0005-0000-0000-0000435D0000}"/>
    <cellStyle name="Normal 53 3 3" xfId="23889" xr:uid="{00000000-0005-0000-0000-0000445D0000}"/>
    <cellStyle name="Normal 53 4" xfId="23890" xr:uid="{00000000-0005-0000-0000-0000455D0000}"/>
    <cellStyle name="Normal 53 5" xfId="23891" xr:uid="{00000000-0005-0000-0000-0000465D0000}"/>
    <cellStyle name="Normal 53 6" xfId="23892" xr:uid="{00000000-0005-0000-0000-0000475D0000}"/>
    <cellStyle name="Normal 54" xfId="23893" xr:uid="{00000000-0005-0000-0000-0000485D0000}"/>
    <cellStyle name="Normal 54 2" xfId="23894" xr:uid="{00000000-0005-0000-0000-0000495D0000}"/>
    <cellStyle name="Normal 54 2 2" xfId="23895" xr:uid="{00000000-0005-0000-0000-00004A5D0000}"/>
    <cellStyle name="Normal 54 2 3" xfId="23896" xr:uid="{00000000-0005-0000-0000-00004B5D0000}"/>
    <cellStyle name="Normal 54 3" xfId="23897" xr:uid="{00000000-0005-0000-0000-00004C5D0000}"/>
    <cellStyle name="Normal 54 3 2" xfId="23898" xr:uid="{00000000-0005-0000-0000-00004D5D0000}"/>
    <cellStyle name="Normal 54 3 3" xfId="23899" xr:uid="{00000000-0005-0000-0000-00004E5D0000}"/>
    <cellStyle name="Normal 54 4" xfId="23900" xr:uid="{00000000-0005-0000-0000-00004F5D0000}"/>
    <cellStyle name="Normal 54 5" xfId="23901" xr:uid="{00000000-0005-0000-0000-0000505D0000}"/>
    <cellStyle name="Normal 54 6" xfId="23902" xr:uid="{00000000-0005-0000-0000-0000515D0000}"/>
    <cellStyle name="Normal 55" xfId="23903" xr:uid="{00000000-0005-0000-0000-0000525D0000}"/>
    <cellStyle name="Normal 55 2" xfId="23904" xr:uid="{00000000-0005-0000-0000-0000535D0000}"/>
    <cellStyle name="Normal 55 2 2" xfId="23905" xr:uid="{00000000-0005-0000-0000-0000545D0000}"/>
    <cellStyle name="Normal 55 2 3" xfId="23906" xr:uid="{00000000-0005-0000-0000-0000555D0000}"/>
    <cellStyle name="Normal 55 3" xfId="23907" xr:uid="{00000000-0005-0000-0000-0000565D0000}"/>
    <cellStyle name="Normal 55 3 2" xfId="23908" xr:uid="{00000000-0005-0000-0000-0000575D0000}"/>
    <cellStyle name="Normal 55 3 3" xfId="23909" xr:uid="{00000000-0005-0000-0000-0000585D0000}"/>
    <cellStyle name="Normal 55 4" xfId="23910" xr:uid="{00000000-0005-0000-0000-0000595D0000}"/>
    <cellStyle name="Normal 55 5" xfId="23911" xr:uid="{00000000-0005-0000-0000-00005A5D0000}"/>
    <cellStyle name="Normal 55 6" xfId="23912" xr:uid="{00000000-0005-0000-0000-00005B5D0000}"/>
    <cellStyle name="Normal 56" xfId="23913" xr:uid="{00000000-0005-0000-0000-00005C5D0000}"/>
    <cellStyle name="Normal 56 2" xfId="23914" xr:uid="{00000000-0005-0000-0000-00005D5D0000}"/>
    <cellStyle name="Normal 56 2 2" xfId="23915" xr:uid="{00000000-0005-0000-0000-00005E5D0000}"/>
    <cellStyle name="Normal 56 2 3" xfId="23916" xr:uid="{00000000-0005-0000-0000-00005F5D0000}"/>
    <cellStyle name="Normal 56 3" xfId="23917" xr:uid="{00000000-0005-0000-0000-0000605D0000}"/>
    <cellStyle name="Normal 56 3 2" xfId="23918" xr:uid="{00000000-0005-0000-0000-0000615D0000}"/>
    <cellStyle name="Normal 56 3 3" xfId="23919" xr:uid="{00000000-0005-0000-0000-0000625D0000}"/>
    <cellStyle name="Normal 56 4" xfId="23920" xr:uid="{00000000-0005-0000-0000-0000635D0000}"/>
    <cellStyle name="Normal 56 5" xfId="23921" xr:uid="{00000000-0005-0000-0000-0000645D0000}"/>
    <cellStyle name="Normal 56 6" xfId="12" xr:uid="{00000000-0005-0000-0000-0000655D0000}"/>
    <cellStyle name="Normal 57" xfId="23922" xr:uid="{00000000-0005-0000-0000-0000665D0000}"/>
    <cellStyle name="Normal 57 2" xfId="23923" xr:uid="{00000000-0005-0000-0000-0000675D0000}"/>
    <cellStyle name="Normal 57 2 2" xfId="23924" xr:uid="{00000000-0005-0000-0000-0000685D0000}"/>
    <cellStyle name="Normal 57 2 3" xfId="23925" xr:uid="{00000000-0005-0000-0000-0000695D0000}"/>
    <cellStyle name="Normal 57 3" xfId="23926" xr:uid="{00000000-0005-0000-0000-00006A5D0000}"/>
    <cellStyle name="Normal 57 3 2" xfId="23927" xr:uid="{00000000-0005-0000-0000-00006B5D0000}"/>
    <cellStyle name="Normal 57 3 3" xfId="23928" xr:uid="{00000000-0005-0000-0000-00006C5D0000}"/>
    <cellStyle name="Normal 57 4" xfId="23929" xr:uid="{00000000-0005-0000-0000-00006D5D0000}"/>
    <cellStyle name="Normal 57 5" xfId="23930" xr:uid="{00000000-0005-0000-0000-00006E5D0000}"/>
    <cellStyle name="Normal 57 6" xfId="23931" xr:uid="{00000000-0005-0000-0000-00006F5D0000}"/>
    <cellStyle name="Normal 58" xfId="23932" xr:uid="{00000000-0005-0000-0000-0000705D0000}"/>
    <cellStyle name="Normal 58 2" xfId="23933" xr:uid="{00000000-0005-0000-0000-0000715D0000}"/>
    <cellStyle name="Normal 58 2 2" xfId="23934" xr:uid="{00000000-0005-0000-0000-0000725D0000}"/>
    <cellStyle name="Normal 58 2 3" xfId="23935" xr:uid="{00000000-0005-0000-0000-0000735D0000}"/>
    <cellStyle name="Normal 58 3" xfId="23936" xr:uid="{00000000-0005-0000-0000-0000745D0000}"/>
    <cellStyle name="Normal 58 3 2" xfId="23937" xr:uid="{00000000-0005-0000-0000-0000755D0000}"/>
    <cellStyle name="Normal 58 3 3" xfId="23938" xr:uid="{00000000-0005-0000-0000-0000765D0000}"/>
    <cellStyle name="Normal 58 4" xfId="23939" xr:uid="{00000000-0005-0000-0000-0000775D0000}"/>
    <cellStyle name="Normal 58 5" xfId="23940" xr:uid="{00000000-0005-0000-0000-0000785D0000}"/>
    <cellStyle name="Normal 58 6" xfId="13" xr:uid="{00000000-0005-0000-0000-0000795D0000}"/>
    <cellStyle name="Normal 59" xfId="23941" xr:uid="{00000000-0005-0000-0000-00007A5D0000}"/>
    <cellStyle name="Normal 59 2" xfId="23942" xr:uid="{00000000-0005-0000-0000-00007B5D0000}"/>
    <cellStyle name="Normal 59 2 2" xfId="23943" xr:uid="{00000000-0005-0000-0000-00007C5D0000}"/>
    <cellStyle name="Normal 59 2 3" xfId="23944" xr:uid="{00000000-0005-0000-0000-00007D5D0000}"/>
    <cellStyle name="Normal 59 3" xfId="23945" xr:uid="{00000000-0005-0000-0000-00007E5D0000}"/>
    <cellStyle name="Normal 59 3 2" xfId="23946" xr:uid="{00000000-0005-0000-0000-00007F5D0000}"/>
    <cellStyle name="Normal 59 3 3" xfId="23947" xr:uid="{00000000-0005-0000-0000-0000805D0000}"/>
    <cellStyle name="Normal 59 4" xfId="23948" xr:uid="{00000000-0005-0000-0000-0000815D0000}"/>
    <cellStyle name="Normal 59 5" xfId="23949" xr:uid="{00000000-0005-0000-0000-0000825D0000}"/>
    <cellStyle name="Normal 59 6" xfId="14" xr:uid="{00000000-0005-0000-0000-0000835D0000}"/>
    <cellStyle name="Normal 6" xfId="23950" xr:uid="{00000000-0005-0000-0000-0000845D0000}"/>
    <cellStyle name="Normal 6 2" xfId="23951" xr:uid="{00000000-0005-0000-0000-0000855D0000}"/>
    <cellStyle name="Normal 6 2 2" xfId="23952" xr:uid="{00000000-0005-0000-0000-0000865D0000}"/>
    <cellStyle name="Normal 6 2 2 2" xfId="23953" xr:uid="{00000000-0005-0000-0000-0000875D0000}"/>
    <cellStyle name="Normal 6 2 3" xfId="23954" xr:uid="{00000000-0005-0000-0000-0000885D0000}"/>
    <cellStyle name="Normal 6 2 3 2" xfId="23955" xr:uid="{00000000-0005-0000-0000-0000895D0000}"/>
    <cellStyle name="Normal 6 3" xfId="23956" xr:uid="{00000000-0005-0000-0000-00008A5D0000}"/>
    <cellStyle name="Normal 6 3 2" xfId="23957" xr:uid="{00000000-0005-0000-0000-00008B5D0000}"/>
    <cellStyle name="Normal 6 4" xfId="23958" xr:uid="{00000000-0005-0000-0000-00008C5D0000}"/>
    <cellStyle name="Normal 6 4 2" xfId="23959" xr:uid="{00000000-0005-0000-0000-00008D5D0000}"/>
    <cellStyle name="Normal 6 5" xfId="23960" xr:uid="{00000000-0005-0000-0000-00008E5D0000}"/>
    <cellStyle name="Normal 6 6" xfId="23961" xr:uid="{00000000-0005-0000-0000-00008F5D0000}"/>
    <cellStyle name="Normal 6 7" xfId="23962" xr:uid="{00000000-0005-0000-0000-0000905D0000}"/>
    <cellStyle name="Normal 60" xfId="23963" xr:uid="{00000000-0005-0000-0000-0000915D0000}"/>
    <cellStyle name="Normal 60 2" xfId="23964" xr:uid="{00000000-0005-0000-0000-0000925D0000}"/>
    <cellStyle name="Normal 60 2 2" xfId="23965" xr:uid="{00000000-0005-0000-0000-0000935D0000}"/>
    <cellStyle name="Normal 60 2 3" xfId="23966" xr:uid="{00000000-0005-0000-0000-0000945D0000}"/>
    <cellStyle name="Normal 60 3" xfId="23967" xr:uid="{00000000-0005-0000-0000-0000955D0000}"/>
    <cellStyle name="Normal 60 3 2" xfId="23968" xr:uid="{00000000-0005-0000-0000-0000965D0000}"/>
    <cellStyle name="Normal 60 3 3" xfId="23969" xr:uid="{00000000-0005-0000-0000-0000975D0000}"/>
    <cellStyle name="Normal 60 4" xfId="23970" xr:uid="{00000000-0005-0000-0000-0000985D0000}"/>
    <cellStyle name="Normal 60 5" xfId="23971" xr:uid="{00000000-0005-0000-0000-0000995D0000}"/>
    <cellStyle name="Normal 60 6" xfId="23972" xr:uid="{00000000-0005-0000-0000-00009A5D0000}"/>
    <cellStyle name="Normal 61" xfId="23973" xr:uid="{00000000-0005-0000-0000-00009B5D0000}"/>
    <cellStyle name="Normal 61 2" xfId="23974" xr:uid="{00000000-0005-0000-0000-00009C5D0000}"/>
    <cellStyle name="Normal 61 2 2" xfId="23975" xr:uid="{00000000-0005-0000-0000-00009D5D0000}"/>
    <cellStyle name="Normal 61 2 3" xfId="23976" xr:uid="{00000000-0005-0000-0000-00009E5D0000}"/>
    <cellStyle name="Normal 61 3" xfId="23977" xr:uid="{00000000-0005-0000-0000-00009F5D0000}"/>
    <cellStyle name="Normal 61 3 2" xfId="23978" xr:uid="{00000000-0005-0000-0000-0000A05D0000}"/>
    <cellStyle name="Normal 61 3 3" xfId="23979" xr:uid="{00000000-0005-0000-0000-0000A15D0000}"/>
    <cellStyle name="Normal 61 4" xfId="23980" xr:uid="{00000000-0005-0000-0000-0000A25D0000}"/>
    <cellStyle name="Normal 61 5" xfId="23981" xr:uid="{00000000-0005-0000-0000-0000A35D0000}"/>
    <cellStyle name="Normal 61 6" xfId="15" xr:uid="{00000000-0005-0000-0000-0000A45D0000}"/>
    <cellStyle name="Normal 62" xfId="23982" xr:uid="{00000000-0005-0000-0000-0000A55D0000}"/>
    <cellStyle name="Normal 62 2" xfId="23983" xr:uid="{00000000-0005-0000-0000-0000A65D0000}"/>
    <cellStyle name="Normal 62 2 2" xfId="23984" xr:uid="{00000000-0005-0000-0000-0000A75D0000}"/>
    <cellStyle name="Normal 62 2 3" xfId="23985" xr:uid="{00000000-0005-0000-0000-0000A85D0000}"/>
    <cellStyle name="Normal 62 3" xfId="23986" xr:uid="{00000000-0005-0000-0000-0000A95D0000}"/>
    <cellStyle name="Normal 62 3 2" xfId="23987" xr:uid="{00000000-0005-0000-0000-0000AA5D0000}"/>
    <cellStyle name="Normal 62 3 3" xfId="23988" xr:uid="{00000000-0005-0000-0000-0000AB5D0000}"/>
    <cellStyle name="Normal 62 4" xfId="23989" xr:uid="{00000000-0005-0000-0000-0000AC5D0000}"/>
    <cellStyle name="Normal 62 5" xfId="23990" xr:uid="{00000000-0005-0000-0000-0000AD5D0000}"/>
    <cellStyle name="Normal 62 6" xfId="23991" xr:uid="{00000000-0005-0000-0000-0000AE5D0000}"/>
    <cellStyle name="Normal 63" xfId="23992" xr:uid="{00000000-0005-0000-0000-0000AF5D0000}"/>
    <cellStyle name="Normal 63 2" xfId="23993" xr:uid="{00000000-0005-0000-0000-0000B05D0000}"/>
    <cellStyle name="Normal 63 2 2" xfId="23994" xr:uid="{00000000-0005-0000-0000-0000B15D0000}"/>
    <cellStyle name="Normal 63 2 3" xfId="23995" xr:uid="{00000000-0005-0000-0000-0000B25D0000}"/>
    <cellStyle name="Normal 63 3" xfId="23996" xr:uid="{00000000-0005-0000-0000-0000B35D0000}"/>
    <cellStyle name="Normal 63 3 2" xfId="23997" xr:uid="{00000000-0005-0000-0000-0000B45D0000}"/>
    <cellStyle name="Normal 63 3 3" xfId="23998" xr:uid="{00000000-0005-0000-0000-0000B55D0000}"/>
    <cellStyle name="Normal 63 4" xfId="23999" xr:uid="{00000000-0005-0000-0000-0000B65D0000}"/>
    <cellStyle name="Normal 63 5" xfId="24000" xr:uid="{00000000-0005-0000-0000-0000B75D0000}"/>
    <cellStyle name="Normal 63 6" xfId="16" xr:uid="{00000000-0005-0000-0000-0000B85D0000}"/>
    <cellStyle name="Normal 64" xfId="24001" xr:uid="{00000000-0005-0000-0000-0000B95D0000}"/>
    <cellStyle name="Normal 64 2" xfId="24002" xr:uid="{00000000-0005-0000-0000-0000BA5D0000}"/>
    <cellStyle name="Normal 64 2 2" xfId="24003" xr:uid="{00000000-0005-0000-0000-0000BB5D0000}"/>
    <cellStyle name="Normal 64 2 3" xfId="24004" xr:uid="{00000000-0005-0000-0000-0000BC5D0000}"/>
    <cellStyle name="Normal 64 3" xfId="24005" xr:uid="{00000000-0005-0000-0000-0000BD5D0000}"/>
    <cellStyle name="Normal 64 3 2" xfId="24006" xr:uid="{00000000-0005-0000-0000-0000BE5D0000}"/>
    <cellStyle name="Normal 64 3 3" xfId="24007" xr:uid="{00000000-0005-0000-0000-0000BF5D0000}"/>
    <cellStyle name="Normal 64 4" xfId="24008" xr:uid="{00000000-0005-0000-0000-0000C05D0000}"/>
    <cellStyle name="Normal 64 5" xfId="24009" xr:uid="{00000000-0005-0000-0000-0000C15D0000}"/>
    <cellStyle name="Normal 64 6" xfId="24010" xr:uid="{00000000-0005-0000-0000-0000C25D0000}"/>
    <cellStyle name="Normal 65" xfId="24011" xr:uid="{00000000-0005-0000-0000-0000C35D0000}"/>
    <cellStyle name="Normal 65 2" xfId="24012" xr:uid="{00000000-0005-0000-0000-0000C45D0000}"/>
    <cellStyle name="Normal 65 2 2" xfId="24013" xr:uid="{00000000-0005-0000-0000-0000C55D0000}"/>
    <cellStyle name="Normal 65 2 3" xfId="24014" xr:uid="{00000000-0005-0000-0000-0000C65D0000}"/>
    <cellStyle name="Normal 65 3" xfId="24015" xr:uid="{00000000-0005-0000-0000-0000C75D0000}"/>
    <cellStyle name="Normal 65 3 2" xfId="24016" xr:uid="{00000000-0005-0000-0000-0000C85D0000}"/>
    <cellStyle name="Normal 65 3 3" xfId="24017" xr:uid="{00000000-0005-0000-0000-0000C95D0000}"/>
    <cellStyle name="Normal 65 4" xfId="24018" xr:uid="{00000000-0005-0000-0000-0000CA5D0000}"/>
    <cellStyle name="Normal 65 5" xfId="24019" xr:uid="{00000000-0005-0000-0000-0000CB5D0000}"/>
    <cellStyle name="Normal 65 6" xfId="24020" xr:uid="{00000000-0005-0000-0000-0000CC5D0000}"/>
    <cellStyle name="Normal 66" xfId="24021" xr:uid="{00000000-0005-0000-0000-0000CD5D0000}"/>
    <cellStyle name="Normal 66 2" xfId="24022" xr:uid="{00000000-0005-0000-0000-0000CE5D0000}"/>
    <cellStyle name="Normal 66 2 2" xfId="24023" xr:uid="{00000000-0005-0000-0000-0000CF5D0000}"/>
    <cellStyle name="Normal 66 2 3" xfId="24024" xr:uid="{00000000-0005-0000-0000-0000D05D0000}"/>
    <cellStyle name="Normal 66 3" xfId="24025" xr:uid="{00000000-0005-0000-0000-0000D15D0000}"/>
    <cellStyle name="Normal 66 3 2" xfId="24026" xr:uid="{00000000-0005-0000-0000-0000D25D0000}"/>
    <cellStyle name="Normal 66 3 3" xfId="24027" xr:uid="{00000000-0005-0000-0000-0000D35D0000}"/>
    <cellStyle name="Normal 66 4" xfId="24028" xr:uid="{00000000-0005-0000-0000-0000D45D0000}"/>
    <cellStyle name="Normal 66 5" xfId="24029" xr:uid="{00000000-0005-0000-0000-0000D55D0000}"/>
    <cellStyle name="Normal 66 6" xfId="24030" xr:uid="{00000000-0005-0000-0000-0000D65D0000}"/>
    <cellStyle name="Normal 67" xfId="24031" xr:uid="{00000000-0005-0000-0000-0000D75D0000}"/>
    <cellStyle name="Normal 67 2" xfId="24032" xr:uid="{00000000-0005-0000-0000-0000D85D0000}"/>
    <cellStyle name="Normal 67 2 2" xfId="24033" xr:uid="{00000000-0005-0000-0000-0000D95D0000}"/>
    <cellStyle name="Normal 67 2 3" xfId="24034" xr:uid="{00000000-0005-0000-0000-0000DA5D0000}"/>
    <cellStyle name="Normal 67 3" xfId="24035" xr:uid="{00000000-0005-0000-0000-0000DB5D0000}"/>
    <cellStyle name="Normal 67 3 2" xfId="24036" xr:uid="{00000000-0005-0000-0000-0000DC5D0000}"/>
    <cellStyle name="Normal 67 3 3" xfId="24037" xr:uid="{00000000-0005-0000-0000-0000DD5D0000}"/>
    <cellStyle name="Normal 67 4" xfId="24038" xr:uid="{00000000-0005-0000-0000-0000DE5D0000}"/>
    <cellStyle name="Normal 67 5" xfId="24039" xr:uid="{00000000-0005-0000-0000-0000DF5D0000}"/>
    <cellStyle name="Normal 67 6" xfId="24040" xr:uid="{00000000-0005-0000-0000-0000E05D0000}"/>
    <cellStyle name="Normal 68" xfId="24041" xr:uid="{00000000-0005-0000-0000-0000E15D0000}"/>
    <cellStyle name="Normal 68 2" xfId="24042" xr:uid="{00000000-0005-0000-0000-0000E25D0000}"/>
    <cellStyle name="Normal 68 2 2" xfId="24043" xr:uid="{00000000-0005-0000-0000-0000E35D0000}"/>
    <cellStyle name="Normal 68 2 3" xfId="24044" xr:uid="{00000000-0005-0000-0000-0000E45D0000}"/>
    <cellStyle name="Normal 68 3" xfId="24045" xr:uid="{00000000-0005-0000-0000-0000E55D0000}"/>
    <cellStyle name="Normal 68 3 2" xfId="24046" xr:uid="{00000000-0005-0000-0000-0000E65D0000}"/>
    <cellStyle name="Normal 68 3 3" xfId="24047" xr:uid="{00000000-0005-0000-0000-0000E75D0000}"/>
    <cellStyle name="Normal 68 4" xfId="24048" xr:uid="{00000000-0005-0000-0000-0000E85D0000}"/>
    <cellStyle name="Normal 68 5" xfId="24049" xr:uid="{00000000-0005-0000-0000-0000E95D0000}"/>
    <cellStyle name="Normal 68 6" xfId="24050" xr:uid="{00000000-0005-0000-0000-0000EA5D0000}"/>
    <cellStyle name="Normal 69" xfId="24051" xr:uid="{00000000-0005-0000-0000-0000EB5D0000}"/>
    <cellStyle name="Normal 69 2" xfId="24052" xr:uid="{00000000-0005-0000-0000-0000EC5D0000}"/>
    <cellStyle name="Normal 69 2 2" xfId="24053" xr:uid="{00000000-0005-0000-0000-0000ED5D0000}"/>
    <cellStyle name="Normal 69 2 3" xfId="24054" xr:uid="{00000000-0005-0000-0000-0000EE5D0000}"/>
    <cellStyle name="Normal 69 3" xfId="24055" xr:uid="{00000000-0005-0000-0000-0000EF5D0000}"/>
    <cellStyle name="Normal 69 3 2" xfId="24056" xr:uid="{00000000-0005-0000-0000-0000F05D0000}"/>
    <cellStyle name="Normal 69 3 3" xfId="24057" xr:uid="{00000000-0005-0000-0000-0000F15D0000}"/>
    <cellStyle name="Normal 69 4" xfId="24058" xr:uid="{00000000-0005-0000-0000-0000F25D0000}"/>
    <cellStyle name="Normal 69 5" xfId="24059" xr:uid="{00000000-0005-0000-0000-0000F35D0000}"/>
    <cellStyle name="Normal 69 6" xfId="17" xr:uid="{00000000-0005-0000-0000-0000F45D0000}"/>
    <cellStyle name="Normal 7" xfId="24060" xr:uid="{00000000-0005-0000-0000-0000F55D0000}"/>
    <cellStyle name="Normal 7 10" xfId="24061" xr:uid="{00000000-0005-0000-0000-0000F65D0000}"/>
    <cellStyle name="Normal 7 10 2" xfId="24062" xr:uid="{00000000-0005-0000-0000-0000F75D0000}"/>
    <cellStyle name="Normal 7 10 3" xfId="24063" xr:uid="{00000000-0005-0000-0000-0000F85D0000}"/>
    <cellStyle name="Normal 7 11" xfId="24064" xr:uid="{00000000-0005-0000-0000-0000F95D0000}"/>
    <cellStyle name="Normal 7 11 2" xfId="24065" xr:uid="{00000000-0005-0000-0000-0000FA5D0000}"/>
    <cellStyle name="Normal 7 11 3" xfId="24066" xr:uid="{00000000-0005-0000-0000-0000FB5D0000}"/>
    <cellStyle name="Normal 7 12" xfId="24067" xr:uid="{00000000-0005-0000-0000-0000FC5D0000}"/>
    <cellStyle name="Normal 7 12 2" xfId="24068" xr:uid="{00000000-0005-0000-0000-0000FD5D0000}"/>
    <cellStyle name="Normal 7 12 3" xfId="24069" xr:uid="{00000000-0005-0000-0000-0000FE5D0000}"/>
    <cellStyle name="Normal 7 13" xfId="24070" xr:uid="{00000000-0005-0000-0000-0000FF5D0000}"/>
    <cellStyle name="Normal 7 13 2" xfId="24071" xr:uid="{00000000-0005-0000-0000-0000005E0000}"/>
    <cellStyle name="Normal 7 13 3" xfId="24072" xr:uid="{00000000-0005-0000-0000-0000015E0000}"/>
    <cellStyle name="Normal 7 14" xfId="24073" xr:uid="{00000000-0005-0000-0000-0000025E0000}"/>
    <cellStyle name="Normal 7 14 2" xfId="24074" xr:uid="{00000000-0005-0000-0000-0000035E0000}"/>
    <cellStyle name="Normal 7 14 3" xfId="24075" xr:uid="{00000000-0005-0000-0000-0000045E0000}"/>
    <cellStyle name="Normal 7 15" xfId="24076" xr:uid="{00000000-0005-0000-0000-0000055E0000}"/>
    <cellStyle name="Normal 7 15 2" xfId="24077" xr:uid="{00000000-0005-0000-0000-0000065E0000}"/>
    <cellStyle name="Normal 7 15 3" xfId="24078" xr:uid="{00000000-0005-0000-0000-0000075E0000}"/>
    <cellStyle name="Normal 7 16" xfId="24079" xr:uid="{00000000-0005-0000-0000-0000085E0000}"/>
    <cellStyle name="Normal 7 16 2" xfId="24080" xr:uid="{00000000-0005-0000-0000-0000095E0000}"/>
    <cellStyle name="Normal 7 16 3" xfId="24081" xr:uid="{00000000-0005-0000-0000-00000A5E0000}"/>
    <cellStyle name="Normal 7 17" xfId="24082" xr:uid="{00000000-0005-0000-0000-00000B5E0000}"/>
    <cellStyle name="Normal 7 17 2" xfId="24083" xr:uid="{00000000-0005-0000-0000-00000C5E0000}"/>
    <cellStyle name="Normal 7 17 3" xfId="24084" xr:uid="{00000000-0005-0000-0000-00000D5E0000}"/>
    <cellStyle name="Normal 7 18" xfId="24085" xr:uid="{00000000-0005-0000-0000-00000E5E0000}"/>
    <cellStyle name="Normal 7 18 2" xfId="24086" xr:uid="{00000000-0005-0000-0000-00000F5E0000}"/>
    <cellStyle name="Normal 7 18 3" xfId="24087" xr:uid="{00000000-0005-0000-0000-0000105E0000}"/>
    <cellStyle name="Normal 7 19" xfId="24088" xr:uid="{00000000-0005-0000-0000-0000115E0000}"/>
    <cellStyle name="Normal 7 19 2" xfId="24089" xr:uid="{00000000-0005-0000-0000-0000125E0000}"/>
    <cellStyle name="Normal 7 19 3" xfId="24090" xr:uid="{00000000-0005-0000-0000-0000135E0000}"/>
    <cellStyle name="Normal 7 2" xfId="24091" xr:uid="{00000000-0005-0000-0000-0000145E0000}"/>
    <cellStyle name="Normal 7 2 10" xfId="24092" xr:uid="{00000000-0005-0000-0000-0000155E0000}"/>
    <cellStyle name="Normal 7 2 10 2" xfId="24093" xr:uid="{00000000-0005-0000-0000-0000165E0000}"/>
    <cellStyle name="Normal 7 2 10 3" xfId="24094" xr:uid="{00000000-0005-0000-0000-0000175E0000}"/>
    <cellStyle name="Normal 7 2 11" xfId="24095" xr:uid="{00000000-0005-0000-0000-0000185E0000}"/>
    <cellStyle name="Normal 7 2 11 2" xfId="24096" xr:uid="{00000000-0005-0000-0000-0000195E0000}"/>
    <cellStyle name="Normal 7 2 11 3" xfId="24097" xr:uid="{00000000-0005-0000-0000-00001A5E0000}"/>
    <cellStyle name="Normal 7 2 12" xfId="24098" xr:uid="{00000000-0005-0000-0000-00001B5E0000}"/>
    <cellStyle name="Normal 7 2 12 2" xfId="24099" xr:uid="{00000000-0005-0000-0000-00001C5E0000}"/>
    <cellStyle name="Normal 7 2 12 3" xfId="24100" xr:uid="{00000000-0005-0000-0000-00001D5E0000}"/>
    <cellStyle name="Normal 7 2 13" xfId="24101" xr:uid="{00000000-0005-0000-0000-00001E5E0000}"/>
    <cellStyle name="Normal 7 2 13 2" xfId="24102" xr:uid="{00000000-0005-0000-0000-00001F5E0000}"/>
    <cellStyle name="Normal 7 2 13 3" xfId="24103" xr:uid="{00000000-0005-0000-0000-0000205E0000}"/>
    <cellStyle name="Normal 7 2 14" xfId="24104" xr:uid="{00000000-0005-0000-0000-0000215E0000}"/>
    <cellStyle name="Normal 7 2 14 2" xfId="24105" xr:uid="{00000000-0005-0000-0000-0000225E0000}"/>
    <cellStyle name="Normal 7 2 14 3" xfId="24106" xr:uid="{00000000-0005-0000-0000-0000235E0000}"/>
    <cellStyle name="Normal 7 2 15" xfId="24107" xr:uid="{00000000-0005-0000-0000-0000245E0000}"/>
    <cellStyle name="Normal 7 2 15 2" xfId="24108" xr:uid="{00000000-0005-0000-0000-0000255E0000}"/>
    <cellStyle name="Normal 7 2 15 3" xfId="24109" xr:uid="{00000000-0005-0000-0000-0000265E0000}"/>
    <cellStyle name="Normal 7 2 16" xfId="24110" xr:uid="{00000000-0005-0000-0000-0000275E0000}"/>
    <cellStyle name="Normal 7 2 16 2" xfId="24111" xr:uid="{00000000-0005-0000-0000-0000285E0000}"/>
    <cellStyle name="Normal 7 2 16 3" xfId="24112" xr:uid="{00000000-0005-0000-0000-0000295E0000}"/>
    <cellStyle name="Normal 7 2 17" xfId="24113" xr:uid="{00000000-0005-0000-0000-00002A5E0000}"/>
    <cellStyle name="Normal 7 2 17 2" xfId="24114" xr:uid="{00000000-0005-0000-0000-00002B5E0000}"/>
    <cellStyle name="Normal 7 2 17 3" xfId="24115" xr:uid="{00000000-0005-0000-0000-00002C5E0000}"/>
    <cellStyle name="Normal 7 2 18" xfId="24116" xr:uid="{00000000-0005-0000-0000-00002D5E0000}"/>
    <cellStyle name="Normal 7 2 18 2" xfId="24117" xr:uid="{00000000-0005-0000-0000-00002E5E0000}"/>
    <cellStyle name="Normal 7 2 18 3" xfId="24118" xr:uid="{00000000-0005-0000-0000-00002F5E0000}"/>
    <cellStyle name="Normal 7 2 19" xfId="24119" xr:uid="{00000000-0005-0000-0000-0000305E0000}"/>
    <cellStyle name="Normal 7 2 19 2" xfId="24120" xr:uid="{00000000-0005-0000-0000-0000315E0000}"/>
    <cellStyle name="Normal 7 2 19 3" xfId="24121" xr:uid="{00000000-0005-0000-0000-0000325E0000}"/>
    <cellStyle name="Normal 7 2 2" xfId="24122" xr:uid="{00000000-0005-0000-0000-0000335E0000}"/>
    <cellStyle name="Normal 7 2 2 2" xfId="24123" xr:uid="{00000000-0005-0000-0000-0000345E0000}"/>
    <cellStyle name="Normal 7 2 2 3" xfId="24124" xr:uid="{00000000-0005-0000-0000-0000355E0000}"/>
    <cellStyle name="Normal 7 2 2 4" xfId="24125" xr:uid="{00000000-0005-0000-0000-0000365E0000}"/>
    <cellStyle name="Normal 7 2 20" xfId="24126" xr:uid="{00000000-0005-0000-0000-0000375E0000}"/>
    <cellStyle name="Normal 7 2 20 2" xfId="24127" xr:uid="{00000000-0005-0000-0000-0000385E0000}"/>
    <cellStyle name="Normal 7 2 20 3" xfId="24128" xr:uid="{00000000-0005-0000-0000-0000395E0000}"/>
    <cellStyle name="Normal 7 2 21" xfId="24129" xr:uid="{00000000-0005-0000-0000-00003A5E0000}"/>
    <cellStyle name="Normal 7 2 21 2" xfId="24130" xr:uid="{00000000-0005-0000-0000-00003B5E0000}"/>
    <cellStyle name="Normal 7 2 21 3" xfId="24131" xr:uid="{00000000-0005-0000-0000-00003C5E0000}"/>
    <cellStyle name="Normal 7 2 22" xfId="24132" xr:uid="{00000000-0005-0000-0000-00003D5E0000}"/>
    <cellStyle name="Normal 7 2 22 2" xfId="24133" xr:uid="{00000000-0005-0000-0000-00003E5E0000}"/>
    <cellStyle name="Normal 7 2 22 3" xfId="24134" xr:uid="{00000000-0005-0000-0000-00003F5E0000}"/>
    <cellStyle name="Normal 7 2 23" xfId="24135" xr:uid="{00000000-0005-0000-0000-0000405E0000}"/>
    <cellStyle name="Normal 7 2 23 2" xfId="24136" xr:uid="{00000000-0005-0000-0000-0000415E0000}"/>
    <cellStyle name="Normal 7 2 23 3" xfId="24137" xr:uid="{00000000-0005-0000-0000-0000425E0000}"/>
    <cellStyle name="Normal 7 2 24" xfId="24138" xr:uid="{00000000-0005-0000-0000-0000435E0000}"/>
    <cellStyle name="Normal 7 2 25" xfId="24139" xr:uid="{00000000-0005-0000-0000-0000445E0000}"/>
    <cellStyle name="Normal 7 2 26" xfId="24140" xr:uid="{00000000-0005-0000-0000-0000455E0000}"/>
    <cellStyle name="Normal 7 2 3" xfId="24141" xr:uid="{00000000-0005-0000-0000-0000465E0000}"/>
    <cellStyle name="Normal 7 2 3 2" xfId="24142" xr:uid="{00000000-0005-0000-0000-0000475E0000}"/>
    <cellStyle name="Normal 7 2 3 2 2" xfId="24143" xr:uid="{00000000-0005-0000-0000-0000485E0000}"/>
    <cellStyle name="Normal 7 2 3 3" xfId="24144" xr:uid="{00000000-0005-0000-0000-0000495E0000}"/>
    <cellStyle name="Normal 7 2 3 4" xfId="24145" xr:uid="{00000000-0005-0000-0000-00004A5E0000}"/>
    <cellStyle name="Normal 7 2 4" xfId="24146" xr:uid="{00000000-0005-0000-0000-00004B5E0000}"/>
    <cellStyle name="Normal 7 2 4 2" xfId="24147" xr:uid="{00000000-0005-0000-0000-00004C5E0000}"/>
    <cellStyle name="Normal 7 2 4 3" xfId="24148" xr:uid="{00000000-0005-0000-0000-00004D5E0000}"/>
    <cellStyle name="Normal 7 2 5" xfId="24149" xr:uid="{00000000-0005-0000-0000-00004E5E0000}"/>
    <cellStyle name="Normal 7 2 5 2" xfId="24150" xr:uid="{00000000-0005-0000-0000-00004F5E0000}"/>
    <cellStyle name="Normal 7 2 5 3" xfId="24151" xr:uid="{00000000-0005-0000-0000-0000505E0000}"/>
    <cellStyle name="Normal 7 2 6" xfId="24152" xr:uid="{00000000-0005-0000-0000-0000515E0000}"/>
    <cellStyle name="Normal 7 2 6 2" xfId="24153" xr:uid="{00000000-0005-0000-0000-0000525E0000}"/>
    <cellStyle name="Normal 7 2 6 3" xfId="24154" xr:uid="{00000000-0005-0000-0000-0000535E0000}"/>
    <cellStyle name="Normal 7 2 7" xfId="24155" xr:uid="{00000000-0005-0000-0000-0000545E0000}"/>
    <cellStyle name="Normal 7 2 7 2" xfId="24156" xr:uid="{00000000-0005-0000-0000-0000555E0000}"/>
    <cellStyle name="Normal 7 2 7 3" xfId="24157" xr:uid="{00000000-0005-0000-0000-0000565E0000}"/>
    <cellStyle name="Normal 7 2 8" xfId="24158" xr:uid="{00000000-0005-0000-0000-0000575E0000}"/>
    <cellStyle name="Normal 7 2 8 2" xfId="24159" xr:uid="{00000000-0005-0000-0000-0000585E0000}"/>
    <cellStyle name="Normal 7 2 8 3" xfId="24160" xr:uid="{00000000-0005-0000-0000-0000595E0000}"/>
    <cellStyle name="Normal 7 2 9" xfId="24161" xr:uid="{00000000-0005-0000-0000-00005A5E0000}"/>
    <cellStyle name="Normal 7 2 9 2" xfId="24162" xr:uid="{00000000-0005-0000-0000-00005B5E0000}"/>
    <cellStyle name="Normal 7 2 9 3" xfId="24163" xr:uid="{00000000-0005-0000-0000-00005C5E0000}"/>
    <cellStyle name="Normal 7 20" xfId="24164" xr:uid="{00000000-0005-0000-0000-00005D5E0000}"/>
    <cellStyle name="Normal 7 20 2" xfId="24165" xr:uid="{00000000-0005-0000-0000-00005E5E0000}"/>
    <cellStyle name="Normal 7 20 3" xfId="24166" xr:uid="{00000000-0005-0000-0000-00005F5E0000}"/>
    <cellStyle name="Normal 7 21" xfId="24167" xr:uid="{00000000-0005-0000-0000-0000605E0000}"/>
    <cellStyle name="Normal 7 21 2" xfId="24168" xr:uid="{00000000-0005-0000-0000-0000615E0000}"/>
    <cellStyle name="Normal 7 21 3" xfId="24169" xr:uid="{00000000-0005-0000-0000-0000625E0000}"/>
    <cellStyle name="Normal 7 22" xfId="24170" xr:uid="{00000000-0005-0000-0000-0000635E0000}"/>
    <cellStyle name="Normal 7 22 2" xfId="24171" xr:uid="{00000000-0005-0000-0000-0000645E0000}"/>
    <cellStyle name="Normal 7 22 3" xfId="24172" xr:uid="{00000000-0005-0000-0000-0000655E0000}"/>
    <cellStyle name="Normal 7 23" xfId="24173" xr:uid="{00000000-0005-0000-0000-0000665E0000}"/>
    <cellStyle name="Normal 7 23 2" xfId="24174" xr:uid="{00000000-0005-0000-0000-0000675E0000}"/>
    <cellStyle name="Normal 7 23 3" xfId="24175" xr:uid="{00000000-0005-0000-0000-0000685E0000}"/>
    <cellStyle name="Normal 7 24" xfId="24176" xr:uid="{00000000-0005-0000-0000-0000695E0000}"/>
    <cellStyle name="Normal 7 24 2" xfId="24177" xr:uid="{00000000-0005-0000-0000-00006A5E0000}"/>
    <cellStyle name="Normal 7 24 3" xfId="24178" xr:uid="{00000000-0005-0000-0000-00006B5E0000}"/>
    <cellStyle name="Normal 7 25" xfId="24179" xr:uid="{00000000-0005-0000-0000-00006C5E0000}"/>
    <cellStyle name="Normal 7 25 2" xfId="24180" xr:uid="{00000000-0005-0000-0000-00006D5E0000}"/>
    <cellStyle name="Normal 7 26" xfId="24181" xr:uid="{00000000-0005-0000-0000-00006E5E0000}"/>
    <cellStyle name="Normal 7 26 2" xfId="24182" xr:uid="{00000000-0005-0000-0000-00006F5E0000}"/>
    <cellStyle name="Normal 7 27" xfId="24183" xr:uid="{00000000-0005-0000-0000-0000705E0000}"/>
    <cellStyle name="Normal 7 28" xfId="24184" xr:uid="{00000000-0005-0000-0000-0000715E0000}"/>
    <cellStyle name="Normal 7 29" xfId="24185" xr:uid="{00000000-0005-0000-0000-0000725E0000}"/>
    <cellStyle name="Normal 7 3" xfId="24186" xr:uid="{00000000-0005-0000-0000-0000735E0000}"/>
    <cellStyle name="Normal 7 3 2" xfId="24187" xr:uid="{00000000-0005-0000-0000-0000745E0000}"/>
    <cellStyle name="Normal 7 3 3" xfId="24188" xr:uid="{00000000-0005-0000-0000-0000755E0000}"/>
    <cellStyle name="Normal 7 3 4" xfId="24189" xr:uid="{00000000-0005-0000-0000-0000765E0000}"/>
    <cellStyle name="Normal 7 4" xfId="24190" xr:uid="{00000000-0005-0000-0000-0000775E0000}"/>
    <cellStyle name="Normal 7 4 2" xfId="24191" xr:uid="{00000000-0005-0000-0000-0000785E0000}"/>
    <cellStyle name="Normal 7 4 2 2" xfId="24192" xr:uid="{00000000-0005-0000-0000-0000795E0000}"/>
    <cellStyle name="Normal 7 4 3" xfId="24193" xr:uid="{00000000-0005-0000-0000-00007A5E0000}"/>
    <cellStyle name="Normal 7 5" xfId="24194" xr:uid="{00000000-0005-0000-0000-00007B5E0000}"/>
    <cellStyle name="Normal 7 5 2" xfId="24195" xr:uid="{00000000-0005-0000-0000-00007C5E0000}"/>
    <cellStyle name="Normal 7 5 3" xfId="24196" xr:uid="{00000000-0005-0000-0000-00007D5E0000}"/>
    <cellStyle name="Normal 7 6" xfId="24197" xr:uid="{00000000-0005-0000-0000-00007E5E0000}"/>
    <cellStyle name="Normal 7 6 2" xfId="24198" xr:uid="{00000000-0005-0000-0000-00007F5E0000}"/>
    <cellStyle name="Normal 7 6 3" xfId="24199" xr:uid="{00000000-0005-0000-0000-0000805E0000}"/>
    <cellStyle name="Normal 7 7" xfId="24200" xr:uid="{00000000-0005-0000-0000-0000815E0000}"/>
    <cellStyle name="Normal 7 7 2" xfId="24201" xr:uid="{00000000-0005-0000-0000-0000825E0000}"/>
    <cellStyle name="Normal 7 7 3" xfId="24202" xr:uid="{00000000-0005-0000-0000-0000835E0000}"/>
    <cellStyle name="Normal 7 8" xfId="24203" xr:uid="{00000000-0005-0000-0000-0000845E0000}"/>
    <cellStyle name="Normal 7 8 2" xfId="24204" xr:uid="{00000000-0005-0000-0000-0000855E0000}"/>
    <cellStyle name="Normal 7 8 3" xfId="24205" xr:uid="{00000000-0005-0000-0000-0000865E0000}"/>
    <cellStyle name="Normal 7 9" xfId="24206" xr:uid="{00000000-0005-0000-0000-0000875E0000}"/>
    <cellStyle name="Normal 7 9 2" xfId="24207" xr:uid="{00000000-0005-0000-0000-0000885E0000}"/>
    <cellStyle name="Normal 7 9 3" xfId="24208" xr:uid="{00000000-0005-0000-0000-0000895E0000}"/>
    <cellStyle name="Normal 70" xfId="24209" xr:uid="{00000000-0005-0000-0000-00008A5E0000}"/>
    <cellStyle name="Normal 70 2" xfId="24210" xr:uid="{00000000-0005-0000-0000-00008B5E0000}"/>
    <cellStyle name="Normal 70 2 2" xfId="24211" xr:uid="{00000000-0005-0000-0000-00008C5E0000}"/>
    <cellStyle name="Normal 70 2 3" xfId="24212" xr:uid="{00000000-0005-0000-0000-00008D5E0000}"/>
    <cellStyle name="Normal 70 3" xfId="24213" xr:uid="{00000000-0005-0000-0000-00008E5E0000}"/>
    <cellStyle name="Normal 70 3 2" xfId="24214" xr:uid="{00000000-0005-0000-0000-00008F5E0000}"/>
    <cellStyle name="Normal 70 3 3" xfId="24215" xr:uid="{00000000-0005-0000-0000-0000905E0000}"/>
    <cellStyle name="Normal 70 4" xfId="24216" xr:uid="{00000000-0005-0000-0000-0000915E0000}"/>
    <cellStyle name="Normal 70 5" xfId="24217" xr:uid="{00000000-0005-0000-0000-0000925E0000}"/>
    <cellStyle name="Normal 70 6" xfId="24218" xr:uid="{00000000-0005-0000-0000-0000935E0000}"/>
    <cellStyle name="Normal 71" xfId="24219" xr:uid="{00000000-0005-0000-0000-0000945E0000}"/>
    <cellStyle name="Normal 71 2" xfId="24220" xr:uid="{00000000-0005-0000-0000-0000955E0000}"/>
    <cellStyle name="Normal 71 2 2" xfId="24221" xr:uid="{00000000-0005-0000-0000-0000965E0000}"/>
    <cellStyle name="Normal 71 2 3" xfId="24222" xr:uid="{00000000-0005-0000-0000-0000975E0000}"/>
    <cellStyle name="Normal 71 3" xfId="24223" xr:uid="{00000000-0005-0000-0000-0000985E0000}"/>
    <cellStyle name="Normal 71 3 2" xfId="24224" xr:uid="{00000000-0005-0000-0000-0000995E0000}"/>
    <cellStyle name="Normal 71 3 3" xfId="24225" xr:uid="{00000000-0005-0000-0000-00009A5E0000}"/>
    <cellStyle name="Normal 71 4" xfId="24226" xr:uid="{00000000-0005-0000-0000-00009B5E0000}"/>
    <cellStyle name="Normal 71 5" xfId="24227" xr:uid="{00000000-0005-0000-0000-00009C5E0000}"/>
    <cellStyle name="Normal 71 6" xfId="24228" xr:uid="{00000000-0005-0000-0000-00009D5E0000}"/>
    <cellStyle name="Normal 72" xfId="24229" xr:uid="{00000000-0005-0000-0000-00009E5E0000}"/>
    <cellStyle name="Normal 72 2" xfId="24230" xr:uid="{00000000-0005-0000-0000-00009F5E0000}"/>
    <cellStyle name="Normal 72 2 2" xfId="24231" xr:uid="{00000000-0005-0000-0000-0000A05E0000}"/>
    <cellStyle name="Normal 72 2 3" xfId="24232" xr:uid="{00000000-0005-0000-0000-0000A15E0000}"/>
    <cellStyle name="Normal 72 3" xfId="24233" xr:uid="{00000000-0005-0000-0000-0000A25E0000}"/>
    <cellStyle name="Normal 72 3 2" xfId="24234" xr:uid="{00000000-0005-0000-0000-0000A35E0000}"/>
    <cellStyle name="Normal 72 3 3" xfId="24235" xr:uid="{00000000-0005-0000-0000-0000A45E0000}"/>
    <cellStyle name="Normal 72 4" xfId="24236" xr:uid="{00000000-0005-0000-0000-0000A55E0000}"/>
    <cellStyle name="Normal 72 5" xfId="24237" xr:uid="{00000000-0005-0000-0000-0000A65E0000}"/>
    <cellStyle name="Normal 72 6" xfId="24238" xr:uid="{00000000-0005-0000-0000-0000A75E0000}"/>
    <cellStyle name="Normal 73" xfId="24239" xr:uid="{00000000-0005-0000-0000-0000A85E0000}"/>
    <cellStyle name="Normal 73 2" xfId="24240" xr:uid="{00000000-0005-0000-0000-0000A95E0000}"/>
    <cellStyle name="Normal 73 2 2" xfId="24241" xr:uid="{00000000-0005-0000-0000-0000AA5E0000}"/>
    <cellStyle name="Normal 73 2 3" xfId="24242" xr:uid="{00000000-0005-0000-0000-0000AB5E0000}"/>
    <cellStyle name="Normal 73 3" xfId="24243" xr:uid="{00000000-0005-0000-0000-0000AC5E0000}"/>
    <cellStyle name="Normal 73 3 2" xfId="24244" xr:uid="{00000000-0005-0000-0000-0000AD5E0000}"/>
    <cellStyle name="Normal 73 3 3" xfId="24245" xr:uid="{00000000-0005-0000-0000-0000AE5E0000}"/>
    <cellStyle name="Normal 73 4" xfId="24246" xr:uid="{00000000-0005-0000-0000-0000AF5E0000}"/>
    <cellStyle name="Normal 73 5" xfId="24247" xr:uid="{00000000-0005-0000-0000-0000B05E0000}"/>
    <cellStyle name="Normal 73 6" xfId="24248" xr:uid="{00000000-0005-0000-0000-0000B15E0000}"/>
    <cellStyle name="Normal 74" xfId="24249" xr:uid="{00000000-0005-0000-0000-0000B25E0000}"/>
    <cellStyle name="Normal 74 2" xfId="24250" xr:uid="{00000000-0005-0000-0000-0000B35E0000}"/>
    <cellStyle name="Normal 74 2 2" xfId="24251" xr:uid="{00000000-0005-0000-0000-0000B45E0000}"/>
    <cellStyle name="Normal 74 2 3" xfId="24252" xr:uid="{00000000-0005-0000-0000-0000B55E0000}"/>
    <cellStyle name="Normal 74 3" xfId="24253" xr:uid="{00000000-0005-0000-0000-0000B65E0000}"/>
    <cellStyle name="Normal 74 3 2" xfId="24254" xr:uid="{00000000-0005-0000-0000-0000B75E0000}"/>
    <cellStyle name="Normal 74 3 3" xfId="24255" xr:uid="{00000000-0005-0000-0000-0000B85E0000}"/>
    <cellStyle name="Normal 74 4" xfId="24256" xr:uid="{00000000-0005-0000-0000-0000B95E0000}"/>
    <cellStyle name="Normal 74 5" xfId="24257" xr:uid="{00000000-0005-0000-0000-0000BA5E0000}"/>
    <cellStyle name="Normal 74 6" xfId="24258" xr:uid="{00000000-0005-0000-0000-0000BB5E0000}"/>
    <cellStyle name="Normal 75" xfId="24259" xr:uid="{00000000-0005-0000-0000-0000BC5E0000}"/>
    <cellStyle name="Normal 75 2" xfId="24260" xr:uid="{00000000-0005-0000-0000-0000BD5E0000}"/>
    <cellStyle name="Normal 75 2 2" xfId="24261" xr:uid="{00000000-0005-0000-0000-0000BE5E0000}"/>
    <cellStyle name="Normal 75 2 3" xfId="24262" xr:uid="{00000000-0005-0000-0000-0000BF5E0000}"/>
    <cellStyle name="Normal 75 3" xfId="24263" xr:uid="{00000000-0005-0000-0000-0000C05E0000}"/>
    <cellStyle name="Normal 75 3 2" xfId="24264" xr:uid="{00000000-0005-0000-0000-0000C15E0000}"/>
    <cellStyle name="Normal 75 3 3" xfId="24265" xr:uid="{00000000-0005-0000-0000-0000C25E0000}"/>
    <cellStyle name="Normal 75 4" xfId="24266" xr:uid="{00000000-0005-0000-0000-0000C35E0000}"/>
    <cellStyle name="Normal 75 5" xfId="24267" xr:uid="{00000000-0005-0000-0000-0000C45E0000}"/>
    <cellStyle name="Normal 75 6" xfId="18" xr:uid="{00000000-0005-0000-0000-0000C55E0000}"/>
    <cellStyle name="Normal 76" xfId="24268" xr:uid="{00000000-0005-0000-0000-0000C65E0000}"/>
    <cellStyle name="Normal 76 2" xfId="24269" xr:uid="{00000000-0005-0000-0000-0000C75E0000}"/>
    <cellStyle name="Normal 76 2 2" xfId="24270" xr:uid="{00000000-0005-0000-0000-0000C85E0000}"/>
    <cellStyle name="Normal 76 2 3" xfId="24271" xr:uid="{00000000-0005-0000-0000-0000C95E0000}"/>
    <cellStyle name="Normal 76 3" xfId="24272" xr:uid="{00000000-0005-0000-0000-0000CA5E0000}"/>
    <cellStyle name="Normal 76 3 2" xfId="24273" xr:uid="{00000000-0005-0000-0000-0000CB5E0000}"/>
    <cellStyle name="Normal 76 3 3" xfId="24274" xr:uid="{00000000-0005-0000-0000-0000CC5E0000}"/>
    <cellStyle name="Normal 76 4" xfId="24275" xr:uid="{00000000-0005-0000-0000-0000CD5E0000}"/>
    <cellStyle name="Normal 76 5" xfId="24276" xr:uid="{00000000-0005-0000-0000-0000CE5E0000}"/>
    <cellStyle name="Normal 76 6" xfId="24277" xr:uid="{00000000-0005-0000-0000-0000CF5E0000}"/>
    <cellStyle name="Normal 77" xfId="24278" xr:uid="{00000000-0005-0000-0000-0000D05E0000}"/>
    <cellStyle name="Normal 77 2" xfId="24279" xr:uid="{00000000-0005-0000-0000-0000D15E0000}"/>
    <cellStyle name="Normal 77 2 2" xfId="24280" xr:uid="{00000000-0005-0000-0000-0000D25E0000}"/>
    <cellStyle name="Normal 77 2 3" xfId="24281" xr:uid="{00000000-0005-0000-0000-0000D35E0000}"/>
    <cellStyle name="Normal 77 3" xfId="24282" xr:uid="{00000000-0005-0000-0000-0000D45E0000}"/>
    <cellStyle name="Normal 77 3 2" xfId="24283" xr:uid="{00000000-0005-0000-0000-0000D55E0000}"/>
    <cellStyle name="Normal 77 3 3" xfId="24284" xr:uid="{00000000-0005-0000-0000-0000D65E0000}"/>
    <cellStyle name="Normal 77 4" xfId="24285" xr:uid="{00000000-0005-0000-0000-0000D75E0000}"/>
    <cellStyle name="Normal 77 5" xfId="24286" xr:uid="{00000000-0005-0000-0000-0000D85E0000}"/>
    <cellStyle name="Normal 77 6" xfId="19" xr:uid="{00000000-0005-0000-0000-0000D95E0000}"/>
    <cellStyle name="Normal 78" xfId="24287" xr:uid="{00000000-0005-0000-0000-0000DA5E0000}"/>
    <cellStyle name="Normal 78 2" xfId="24288" xr:uid="{00000000-0005-0000-0000-0000DB5E0000}"/>
    <cellStyle name="Normal 78 2 2" xfId="24289" xr:uid="{00000000-0005-0000-0000-0000DC5E0000}"/>
    <cellStyle name="Normal 78 2 3" xfId="24290" xr:uid="{00000000-0005-0000-0000-0000DD5E0000}"/>
    <cellStyle name="Normal 78 3" xfId="24291" xr:uid="{00000000-0005-0000-0000-0000DE5E0000}"/>
    <cellStyle name="Normal 78 3 2" xfId="24292" xr:uid="{00000000-0005-0000-0000-0000DF5E0000}"/>
    <cellStyle name="Normal 78 3 3" xfId="24293" xr:uid="{00000000-0005-0000-0000-0000E05E0000}"/>
    <cellStyle name="Normal 78 4" xfId="24294" xr:uid="{00000000-0005-0000-0000-0000E15E0000}"/>
    <cellStyle name="Normal 78 5" xfId="24295" xr:uid="{00000000-0005-0000-0000-0000E25E0000}"/>
    <cellStyle name="Normal 78 6" xfId="24296" xr:uid="{00000000-0005-0000-0000-0000E35E0000}"/>
    <cellStyle name="Normal 79" xfId="24297" xr:uid="{00000000-0005-0000-0000-0000E45E0000}"/>
    <cellStyle name="Normal 79 2" xfId="24298" xr:uid="{00000000-0005-0000-0000-0000E55E0000}"/>
    <cellStyle name="Normal 79 2 2" xfId="24299" xr:uid="{00000000-0005-0000-0000-0000E65E0000}"/>
    <cellStyle name="Normal 79 2 3" xfId="24300" xr:uid="{00000000-0005-0000-0000-0000E75E0000}"/>
    <cellStyle name="Normal 79 3" xfId="24301" xr:uid="{00000000-0005-0000-0000-0000E85E0000}"/>
    <cellStyle name="Normal 79 3 2" xfId="24302" xr:uid="{00000000-0005-0000-0000-0000E95E0000}"/>
    <cellStyle name="Normal 79 3 3" xfId="24303" xr:uid="{00000000-0005-0000-0000-0000EA5E0000}"/>
    <cellStyle name="Normal 79 4" xfId="24304" xr:uid="{00000000-0005-0000-0000-0000EB5E0000}"/>
    <cellStyle name="Normal 79 5" xfId="24305" xr:uid="{00000000-0005-0000-0000-0000EC5E0000}"/>
    <cellStyle name="Normal 79 6" xfId="24306" xr:uid="{00000000-0005-0000-0000-0000ED5E0000}"/>
    <cellStyle name="Normal 8" xfId="24307" xr:uid="{00000000-0005-0000-0000-0000EE5E0000}"/>
    <cellStyle name="Normal 8 10" xfId="24308" xr:uid="{00000000-0005-0000-0000-0000EF5E0000}"/>
    <cellStyle name="Normal 8 10 2" xfId="24309" xr:uid="{00000000-0005-0000-0000-0000F05E0000}"/>
    <cellStyle name="Normal 8 10 3" xfId="24310" xr:uid="{00000000-0005-0000-0000-0000F15E0000}"/>
    <cellStyle name="Normal 8 11" xfId="24311" xr:uid="{00000000-0005-0000-0000-0000F25E0000}"/>
    <cellStyle name="Normal 8 12" xfId="24312" xr:uid="{00000000-0005-0000-0000-0000F35E0000}"/>
    <cellStyle name="Normal 8 13" xfId="24313" xr:uid="{00000000-0005-0000-0000-0000F45E0000}"/>
    <cellStyle name="Normal 8 2" xfId="24314" xr:uid="{00000000-0005-0000-0000-0000F55E0000}"/>
    <cellStyle name="Normal 8 2 10" xfId="24315" xr:uid="{00000000-0005-0000-0000-0000F65E0000}"/>
    <cellStyle name="Normal 8 2 10 2" xfId="24316" xr:uid="{00000000-0005-0000-0000-0000F75E0000}"/>
    <cellStyle name="Normal 8 2 10 3" xfId="24317" xr:uid="{00000000-0005-0000-0000-0000F85E0000}"/>
    <cellStyle name="Normal 8 2 11" xfId="24318" xr:uid="{00000000-0005-0000-0000-0000F95E0000}"/>
    <cellStyle name="Normal 8 2 11 2" xfId="24319" xr:uid="{00000000-0005-0000-0000-0000FA5E0000}"/>
    <cellStyle name="Normal 8 2 12" xfId="24320" xr:uid="{00000000-0005-0000-0000-0000FB5E0000}"/>
    <cellStyle name="Normal 8 2 13" xfId="24321" xr:uid="{00000000-0005-0000-0000-0000FC5E0000}"/>
    <cellStyle name="Normal 8 2 2" xfId="24322" xr:uid="{00000000-0005-0000-0000-0000FD5E0000}"/>
    <cellStyle name="Normal 8 2 2 2" xfId="24323" xr:uid="{00000000-0005-0000-0000-0000FE5E0000}"/>
    <cellStyle name="Normal 8 2 2 2 2" xfId="24324" xr:uid="{00000000-0005-0000-0000-0000FF5E0000}"/>
    <cellStyle name="Normal 8 2 2 2 2 2" xfId="24325" xr:uid="{00000000-0005-0000-0000-0000005F0000}"/>
    <cellStyle name="Normal 8 2 2 2 3" xfId="24326" xr:uid="{00000000-0005-0000-0000-0000015F0000}"/>
    <cellStyle name="Normal 8 2 2 2 3 2" xfId="24327" xr:uid="{00000000-0005-0000-0000-0000025F0000}"/>
    <cellStyle name="Normal 8 2 2 2 4" xfId="24328" xr:uid="{00000000-0005-0000-0000-0000035F0000}"/>
    <cellStyle name="Normal 8 2 2 3" xfId="24329" xr:uid="{00000000-0005-0000-0000-0000045F0000}"/>
    <cellStyle name="Normal 8 2 2 3 2" xfId="24330" xr:uid="{00000000-0005-0000-0000-0000055F0000}"/>
    <cellStyle name="Normal 8 2 2 3 2 2" xfId="24331" xr:uid="{00000000-0005-0000-0000-0000065F0000}"/>
    <cellStyle name="Normal 8 2 2 4" xfId="24332" xr:uid="{00000000-0005-0000-0000-0000075F0000}"/>
    <cellStyle name="Normal 8 2 2 4 2" xfId="24333" xr:uid="{00000000-0005-0000-0000-0000085F0000}"/>
    <cellStyle name="Normal 8 2 2 4 2 2" xfId="24334" xr:uid="{00000000-0005-0000-0000-0000095F0000}"/>
    <cellStyle name="Normal 8 2 2 5" xfId="24335" xr:uid="{00000000-0005-0000-0000-00000A5F0000}"/>
    <cellStyle name="Normal 8 2 2 5 2" xfId="24336" xr:uid="{00000000-0005-0000-0000-00000B5F0000}"/>
    <cellStyle name="Normal 8 2 2 6" xfId="24337" xr:uid="{00000000-0005-0000-0000-00000C5F0000}"/>
    <cellStyle name="Normal 8 2 2 6 2" xfId="24338" xr:uid="{00000000-0005-0000-0000-00000D5F0000}"/>
    <cellStyle name="Normal 8 2 2 7" xfId="24339" xr:uid="{00000000-0005-0000-0000-00000E5F0000}"/>
    <cellStyle name="Normal 8 2 2 8" xfId="24340" xr:uid="{00000000-0005-0000-0000-00000F5F0000}"/>
    <cellStyle name="Normal 8 2 3" xfId="24341" xr:uid="{00000000-0005-0000-0000-0000105F0000}"/>
    <cellStyle name="Normal 8 2 3 2" xfId="24342" xr:uid="{00000000-0005-0000-0000-0000115F0000}"/>
    <cellStyle name="Normal 8 2 3 2 2" xfId="24343" xr:uid="{00000000-0005-0000-0000-0000125F0000}"/>
    <cellStyle name="Normal 8 2 3 3" xfId="24344" xr:uid="{00000000-0005-0000-0000-0000135F0000}"/>
    <cellStyle name="Normal 8 2 3 3 2" xfId="24345" xr:uid="{00000000-0005-0000-0000-0000145F0000}"/>
    <cellStyle name="Normal 8 2 3 4" xfId="24346" xr:uid="{00000000-0005-0000-0000-0000155F0000}"/>
    <cellStyle name="Normal 8 2 3 4 2" xfId="24347" xr:uid="{00000000-0005-0000-0000-0000165F0000}"/>
    <cellStyle name="Normal 8 2 3 5" xfId="24348" xr:uid="{00000000-0005-0000-0000-0000175F0000}"/>
    <cellStyle name="Normal 8 2 3 6" xfId="24349" xr:uid="{00000000-0005-0000-0000-0000185F0000}"/>
    <cellStyle name="Normal 8 2 3 7" xfId="24350" xr:uid="{00000000-0005-0000-0000-0000195F0000}"/>
    <cellStyle name="Normal 8 2 4" xfId="24351" xr:uid="{00000000-0005-0000-0000-00001A5F0000}"/>
    <cellStyle name="Normal 8 2 4 2" xfId="24352" xr:uid="{00000000-0005-0000-0000-00001B5F0000}"/>
    <cellStyle name="Normal 8 2 4 2 2" xfId="24353" xr:uid="{00000000-0005-0000-0000-00001C5F0000}"/>
    <cellStyle name="Normal 8 2 4 3" xfId="24354" xr:uid="{00000000-0005-0000-0000-00001D5F0000}"/>
    <cellStyle name="Normal 8 2 4 3 2" xfId="24355" xr:uid="{00000000-0005-0000-0000-00001E5F0000}"/>
    <cellStyle name="Normal 8 2 4 4" xfId="24356" xr:uid="{00000000-0005-0000-0000-00001F5F0000}"/>
    <cellStyle name="Normal 8 2 4 4 2" xfId="24357" xr:uid="{00000000-0005-0000-0000-0000205F0000}"/>
    <cellStyle name="Normal 8 2 4 5" xfId="24358" xr:uid="{00000000-0005-0000-0000-0000215F0000}"/>
    <cellStyle name="Normal 8 2 4 6" xfId="24359" xr:uid="{00000000-0005-0000-0000-0000225F0000}"/>
    <cellStyle name="Normal 8 2 4 7" xfId="24360" xr:uid="{00000000-0005-0000-0000-0000235F0000}"/>
    <cellStyle name="Normal 8 2 5" xfId="24361" xr:uid="{00000000-0005-0000-0000-0000245F0000}"/>
    <cellStyle name="Normal 8 2 5 2" xfId="24362" xr:uid="{00000000-0005-0000-0000-0000255F0000}"/>
    <cellStyle name="Normal 8 2 5 2 2" xfId="24363" xr:uid="{00000000-0005-0000-0000-0000265F0000}"/>
    <cellStyle name="Normal 8 2 5 3" xfId="24364" xr:uid="{00000000-0005-0000-0000-0000275F0000}"/>
    <cellStyle name="Normal 8 2 5 3 2" xfId="24365" xr:uid="{00000000-0005-0000-0000-0000285F0000}"/>
    <cellStyle name="Normal 8 2 5 4" xfId="24366" xr:uid="{00000000-0005-0000-0000-0000295F0000}"/>
    <cellStyle name="Normal 8 2 6" xfId="24367" xr:uid="{00000000-0005-0000-0000-00002A5F0000}"/>
    <cellStyle name="Normal 8 2 6 2" xfId="24368" xr:uid="{00000000-0005-0000-0000-00002B5F0000}"/>
    <cellStyle name="Normal 8 2 6 2 2" xfId="24369" xr:uid="{00000000-0005-0000-0000-00002C5F0000}"/>
    <cellStyle name="Normal 8 2 6 3" xfId="24370" xr:uid="{00000000-0005-0000-0000-00002D5F0000}"/>
    <cellStyle name="Normal 8 2 6 3 2" xfId="24371" xr:uid="{00000000-0005-0000-0000-00002E5F0000}"/>
    <cellStyle name="Normal 8 2 6 4" xfId="24372" xr:uid="{00000000-0005-0000-0000-00002F5F0000}"/>
    <cellStyle name="Normal 8 2 6 5" xfId="24373" xr:uid="{00000000-0005-0000-0000-0000305F0000}"/>
    <cellStyle name="Normal 8 2 7" xfId="24374" xr:uid="{00000000-0005-0000-0000-0000315F0000}"/>
    <cellStyle name="Normal 8 2 7 2" xfId="24375" xr:uid="{00000000-0005-0000-0000-0000325F0000}"/>
    <cellStyle name="Normal 8 2 7 2 2" xfId="24376" xr:uid="{00000000-0005-0000-0000-0000335F0000}"/>
    <cellStyle name="Normal 8 2 7 3" xfId="24377" xr:uid="{00000000-0005-0000-0000-0000345F0000}"/>
    <cellStyle name="Normal 8 2 7 4" xfId="24378" xr:uid="{00000000-0005-0000-0000-0000355F0000}"/>
    <cellStyle name="Normal 8 2 7 5" xfId="24379" xr:uid="{00000000-0005-0000-0000-0000365F0000}"/>
    <cellStyle name="Normal 8 2 8" xfId="24380" xr:uid="{00000000-0005-0000-0000-0000375F0000}"/>
    <cellStyle name="Normal 8 2 8 2" xfId="24381" xr:uid="{00000000-0005-0000-0000-0000385F0000}"/>
    <cellStyle name="Normal 8 2 8 2 2" xfId="24382" xr:uid="{00000000-0005-0000-0000-0000395F0000}"/>
    <cellStyle name="Normal 8 2 8 3" xfId="24383" xr:uid="{00000000-0005-0000-0000-00003A5F0000}"/>
    <cellStyle name="Normal 8 2 8 4" xfId="24384" xr:uid="{00000000-0005-0000-0000-00003B5F0000}"/>
    <cellStyle name="Normal 8 2 9" xfId="24385" xr:uid="{00000000-0005-0000-0000-00003C5F0000}"/>
    <cellStyle name="Normal 8 2 9 2" xfId="24386" xr:uid="{00000000-0005-0000-0000-00003D5F0000}"/>
    <cellStyle name="Normal 8 2 9 2 2" xfId="24387" xr:uid="{00000000-0005-0000-0000-00003E5F0000}"/>
    <cellStyle name="Normal 8 2 9 3" xfId="24388" xr:uid="{00000000-0005-0000-0000-00003F5F0000}"/>
    <cellStyle name="Normal 8 2 9 4" xfId="24389" xr:uid="{00000000-0005-0000-0000-0000405F0000}"/>
    <cellStyle name="Normal 8 3" xfId="24390" xr:uid="{00000000-0005-0000-0000-0000415F0000}"/>
    <cellStyle name="Normal 8 3 2" xfId="24391" xr:uid="{00000000-0005-0000-0000-0000425F0000}"/>
    <cellStyle name="Normal 8 3 2 2" xfId="24392" xr:uid="{00000000-0005-0000-0000-0000435F0000}"/>
    <cellStyle name="Normal 8 3 2 2 2" xfId="24393" xr:uid="{00000000-0005-0000-0000-0000445F0000}"/>
    <cellStyle name="Normal 8 3 2 3" xfId="24394" xr:uid="{00000000-0005-0000-0000-0000455F0000}"/>
    <cellStyle name="Normal 8 3 2 3 2" xfId="24395" xr:uid="{00000000-0005-0000-0000-0000465F0000}"/>
    <cellStyle name="Normal 8 3 2 4" xfId="24396" xr:uid="{00000000-0005-0000-0000-0000475F0000}"/>
    <cellStyle name="Normal 8 3 3" xfId="24397" xr:uid="{00000000-0005-0000-0000-0000485F0000}"/>
    <cellStyle name="Normal 8 3 3 2" xfId="24398" xr:uid="{00000000-0005-0000-0000-0000495F0000}"/>
    <cellStyle name="Normal 8 3 3 2 2" xfId="24399" xr:uid="{00000000-0005-0000-0000-00004A5F0000}"/>
    <cellStyle name="Normal 8 3 3 3" xfId="24400" xr:uid="{00000000-0005-0000-0000-00004B5F0000}"/>
    <cellStyle name="Normal 8 3 4" xfId="24401" xr:uid="{00000000-0005-0000-0000-00004C5F0000}"/>
    <cellStyle name="Normal 8 3 4 2" xfId="24402" xr:uid="{00000000-0005-0000-0000-00004D5F0000}"/>
    <cellStyle name="Normal 8 3 4 2 2" xfId="24403" xr:uid="{00000000-0005-0000-0000-00004E5F0000}"/>
    <cellStyle name="Normal 8 3 5" xfId="24404" xr:uid="{00000000-0005-0000-0000-00004F5F0000}"/>
    <cellStyle name="Normal 8 3 5 2" xfId="24405" xr:uid="{00000000-0005-0000-0000-0000505F0000}"/>
    <cellStyle name="Normal 8 3 6" xfId="24406" xr:uid="{00000000-0005-0000-0000-0000515F0000}"/>
    <cellStyle name="Normal 8 3 6 2" xfId="24407" xr:uid="{00000000-0005-0000-0000-0000525F0000}"/>
    <cellStyle name="Normal 8 3 7" xfId="24408" xr:uid="{00000000-0005-0000-0000-0000535F0000}"/>
    <cellStyle name="Normal 8 3 8" xfId="24409" xr:uid="{00000000-0005-0000-0000-0000545F0000}"/>
    <cellStyle name="Normal 8 4" xfId="24410" xr:uid="{00000000-0005-0000-0000-0000555F0000}"/>
    <cellStyle name="Normal 8 4 2" xfId="24411" xr:uid="{00000000-0005-0000-0000-0000565F0000}"/>
    <cellStyle name="Normal 8 4 2 2" xfId="24412" xr:uid="{00000000-0005-0000-0000-0000575F0000}"/>
    <cellStyle name="Normal 8 4 2 3" xfId="24413" xr:uid="{00000000-0005-0000-0000-0000585F0000}"/>
    <cellStyle name="Normal 8 4 3" xfId="24414" xr:uid="{00000000-0005-0000-0000-0000595F0000}"/>
    <cellStyle name="Normal 8 4 3 2" xfId="24415" xr:uid="{00000000-0005-0000-0000-00005A5F0000}"/>
    <cellStyle name="Normal 8 4 4" xfId="24416" xr:uid="{00000000-0005-0000-0000-00005B5F0000}"/>
    <cellStyle name="Normal 8 4 4 2" xfId="24417" xr:uid="{00000000-0005-0000-0000-00005C5F0000}"/>
    <cellStyle name="Normal 8 4 5" xfId="24418" xr:uid="{00000000-0005-0000-0000-00005D5F0000}"/>
    <cellStyle name="Normal 8 4 5 2" xfId="24419" xr:uid="{00000000-0005-0000-0000-00005E5F0000}"/>
    <cellStyle name="Normal 8 4 6" xfId="24420" xr:uid="{00000000-0005-0000-0000-00005F5F0000}"/>
    <cellStyle name="Normal 8 5" xfId="24421" xr:uid="{00000000-0005-0000-0000-0000605F0000}"/>
    <cellStyle name="Normal 8 5 2" xfId="24422" xr:uid="{00000000-0005-0000-0000-0000615F0000}"/>
    <cellStyle name="Normal 8 5 2 2" xfId="24423" xr:uid="{00000000-0005-0000-0000-0000625F0000}"/>
    <cellStyle name="Normal 8 5 2 3" xfId="24424" xr:uid="{00000000-0005-0000-0000-0000635F0000}"/>
    <cellStyle name="Normal 8 5 3" xfId="24425" xr:uid="{00000000-0005-0000-0000-0000645F0000}"/>
    <cellStyle name="Normal 8 5 3 2" xfId="24426" xr:uid="{00000000-0005-0000-0000-0000655F0000}"/>
    <cellStyle name="Normal 8 5 4" xfId="24427" xr:uid="{00000000-0005-0000-0000-0000665F0000}"/>
    <cellStyle name="Normal 8 5 4 2" xfId="24428" xr:uid="{00000000-0005-0000-0000-0000675F0000}"/>
    <cellStyle name="Normal 8 5 5" xfId="24429" xr:uid="{00000000-0005-0000-0000-0000685F0000}"/>
    <cellStyle name="Normal 8 5 5 2" xfId="24430" xr:uid="{00000000-0005-0000-0000-0000695F0000}"/>
    <cellStyle name="Normal 8 5 6" xfId="24431" xr:uid="{00000000-0005-0000-0000-00006A5F0000}"/>
    <cellStyle name="Normal 8 6" xfId="24432" xr:uid="{00000000-0005-0000-0000-00006B5F0000}"/>
    <cellStyle name="Normal 8 6 2" xfId="24433" xr:uid="{00000000-0005-0000-0000-00006C5F0000}"/>
    <cellStyle name="Normal 8 6 2 2" xfId="24434" xr:uid="{00000000-0005-0000-0000-00006D5F0000}"/>
    <cellStyle name="Normal 8 6 3" xfId="24435" xr:uid="{00000000-0005-0000-0000-00006E5F0000}"/>
    <cellStyle name="Normal 8 6 3 2" xfId="24436" xr:uid="{00000000-0005-0000-0000-00006F5F0000}"/>
    <cellStyle name="Normal 8 7" xfId="24437" xr:uid="{00000000-0005-0000-0000-0000705F0000}"/>
    <cellStyle name="Normal 8 7 2" xfId="24438" xr:uid="{00000000-0005-0000-0000-0000715F0000}"/>
    <cellStyle name="Normal 8 7 2 2" xfId="24439" xr:uid="{00000000-0005-0000-0000-0000725F0000}"/>
    <cellStyle name="Normal 8 7 3" xfId="24440" xr:uid="{00000000-0005-0000-0000-0000735F0000}"/>
    <cellStyle name="Normal 8 7 3 2" xfId="24441" xr:uid="{00000000-0005-0000-0000-0000745F0000}"/>
    <cellStyle name="Normal 8 8" xfId="24442" xr:uid="{00000000-0005-0000-0000-0000755F0000}"/>
    <cellStyle name="Normal 8 8 2" xfId="24443" xr:uid="{00000000-0005-0000-0000-0000765F0000}"/>
    <cellStyle name="Normal 8 8 2 2" xfId="24444" xr:uid="{00000000-0005-0000-0000-0000775F0000}"/>
    <cellStyle name="Normal 8 8 2 3" xfId="24445" xr:uid="{00000000-0005-0000-0000-0000785F0000}"/>
    <cellStyle name="Normal 8 8 3" xfId="24446" xr:uid="{00000000-0005-0000-0000-0000795F0000}"/>
    <cellStyle name="Normal 8 8 4" xfId="24447" xr:uid="{00000000-0005-0000-0000-00007A5F0000}"/>
    <cellStyle name="Normal 8 8 5" xfId="24448" xr:uid="{00000000-0005-0000-0000-00007B5F0000}"/>
    <cellStyle name="Normal 8 9" xfId="24449" xr:uid="{00000000-0005-0000-0000-00007C5F0000}"/>
    <cellStyle name="Normal 8 9 2" xfId="24450" xr:uid="{00000000-0005-0000-0000-00007D5F0000}"/>
    <cellStyle name="Normal 80" xfId="24451" xr:uid="{00000000-0005-0000-0000-00007E5F0000}"/>
    <cellStyle name="Normal 80 2" xfId="24452" xr:uid="{00000000-0005-0000-0000-00007F5F0000}"/>
    <cellStyle name="Normal 80 2 2" xfId="24453" xr:uid="{00000000-0005-0000-0000-0000805F0000}"/>
    <cellStyle name="Normal 80 2 3" xfId="24454" xr:uid="{00000000-0005-0000-0000-0000815F0000}"/>
    <cellStyle name="Normal 80 3" xfId="24455" xr:uid="{00000000-0005-0000-0000-0000825F0000}"/>
    <cellStyle name="Normal 80 3 2" xfId="24456" xr:uid="{00000000-0005-0000-0000-0000835F0000}"/>
    <cellStyle name="Normal 80 3 3" xfId="24457" xr:uid="{00000000-0005-0000-0000-0000845F0000}"/>
    <cellStyle name="Normal 80 4" xfId="24458" xr:uid="{00000000-0005-0000-0000-0000855F0000}"/>
    <cellStyle name="Normal 80 5" xfId="24459" xr:uid="{00000000-0005-0000-0000-0000865F0000}"/>
    <cellStyle name="Normal 80 6" xfId="24460" xr:uid="{00000000-0005-0000-0000-0000875F0000}"/>
    <cellStyle name="Normal 81" xfId="24461" xr:uid="{00000000-0005-0000-0000-0000885F0000}"/>
    <cellStyle name="Normal 81 2" xfId="24462" xr:uid="{00000000-0005-0000-0000-0000895F0000}"/>
    <cellStyle name="Normal 81 2 2" xfId="24463" xr:uid="{00000000-0005-0000-0000-00008A5F0000}"/>
    <cellStyle name="Normal 81 2 3" xfId="24464" xr:uid="{00000000-0005-0000-0000-00008B5F0000}"/>
    <cellStyle name="Normal 81 3" xfId="24465" xr:uid="{00000000-0005-0000-0000-00008C5F0000}"/>
    <cellStyle name="Normal 81 3 2" xfId="24466" xr:uid="{00000000-0005-0000-0000-00008D5F0000}"/>
    <cellStyle name="Normal 81 3 3" xfId="24467" xr:uid="{00000000-0005-0000-0000-00008E5F0000}"/>
    <cellStyle name="Normal 81 4" xfId="24468" xr:uid="{00000000-0005-0000-0000-00008F5F0000}"/>
    <cellStyle name="Normal 81 5" xfId="24469" xr:uid="{00000000-0005-0000-0000-0000905F0000}"/>
    <cellStyle name="Normal 81 6" xfId="24470" xr:uid="{00000000-0005-0000-0000-0000915F0000}"/>
    <cellStyle name="Normal 82" xfId="24471" xr:uid="{00000000-0005-0000-0000-0000925F0000}"/>
    <cellStyle name="Normal 82 2" xfId="24472" xr:uid="{00000000-0005-0000-0000-0000935F0000}"/>
    <cellStyle name="Normal 82 2 2" xfId="24473" xr:uid="{00000000-0005-0000-0000-0000945F0000}"/>
    <cellStyle name="Normal 82 2 3" xfId="24474" xr:uid="{00000000-0005-0000-0000-0000955F0000}"/>
    <cellStyle name="Normal 82 3" xfId="24475" xr:uid="{00000000-0005-0000-0000-0000965F0000}"/>
    <cellStyle name="Normal 82 3 2" xfId="24476" xr:uid="{00000000-0005-0000-0000-0000975F0000}"/>
    <cellStyle name="Normal 82 3 3" xfId="24477" xr:uid="{00000000-0005-0000-0000-0000985F0000}"/>
    <cellStyle name="Normal 82 4" xfId="24478" xr:uid="{00000000-0005-0000-0000-0000995F0000}"/>
    <cellStyle name="Normal 82 5" xfId="24479" xr:uid="{00000000-0005-0000-0000-00009A5F0000}"/>
    <cellStyle name="Normal 82 6" xfId="24480" xr:uid="{00000000-0005-0000-0000-00009B5F0000}"/>
    <cellStyle name="Normal 83" xfId="24481" xr:uid="{00000000-0005-0000-0000-00009C5F0000}"/>
    <cellStyle name="Normal 83 2" xfId="24482" xr:uid="{00000000-0005-0000-0000-00009D5F0000}"/>
    <cellStyle name="Normal 83 2 2" xfId="24483" xr:uid="{00000000-0005-0000-0000-00009E5F0000}"/>
    <cellStyle name="Normal 83 2 3" xfId="24484" xr:uid="{00000000-0005-0000-0000-00009F5F0000}"/>
    <cellStyle name="Normal 83 3" xfId="24485" xr:uid="{00000000-0005-0000-0000-0000A05F0000}"/>
    <cellStyle name="Normal 83 3 2" xfId="24486" xr:uid="{00000000-0005-0000-0000-0000A15F0000}"/>
    <cellStyle name="Normal 83 3 3" xfId="24487" xr:uid="{00000000-0005-0000-0000-0000A25F0000}"/>
    <cellStyle name="Normal 83 4" xfId="24488" xr:uid="{00000000-0005-0000-0000-0000A35F0000}"/>
    <cellStyle name="Normal 83 5" xfId="24489" xr:uid="{00000000-0005-0000-0000-0000A45F0000}"/>
    <cellStyle name="Normal 83 6" xfId="24490" xr:uid="{00000000-0005-0000-0000-0000A55F0000}"/>
    <cellStyle name="Normal 84" xfId="24491" xr:uid="{00000000-0005-0000-0000-0000A65F0000}"/>
    <cellStyle name="Normal 84 2" xfId="24492" xr:uid="{00000000-0005-0000-0000-0000A75F0000}"/>
    <cellStyle name="Normal 84 2 2" xfId="24493" xr:uid="{00000000-0005-0000-0000-0000A85F0000}"/>
    <cellStyle name="Normal 84 2 3" xfId="24494" xr:uid="{00000000-0005-0000-0000-0000A95F0000}"/>
    <cellStyle name="Normal 84 3" xfId="24495" xr:uid="{00000000-0005-0000-0000-0000AA5F0000}"/>
    <cellStyle name="Normal 84 3 2" xfId="24496" xr:uid="{00000000-0005-0000-0000-0000AB5F0000}"/>
    <cellStyle name="Normal 84 3 3" xfId="24497" xr:uid="{00000000-0005-0000-0000-0000AC5F0000}"/>
    <cellStyle name="Normal 84 4" xfId="24498" xr:uid="{00000000-0005-0000-0000-0000AD5F0000}"/>
    <cellStyle name="Normal 84 5" xfId="24499" xr:uid="{00000000-0005-0000-0000-0000AE5F0000}"/>
    <cellStyle name="Normal 84 6" xfId="24500" xr:uid="{00000000-0005-0000-0000-0000AF5F0000}"/>
    <cellStyle name="Normal 85" xfId="24501" xr:uid="{00000000-0005-0000-0000-0000B05F0000}"/>
    <cellStyle name="Normal 85 2" xfId="24502" xr:uid="{00000000-0005-0000-0000-0000B15F0000}"/>
    <cellStyle name="Normal 85 2 2" xfId="24503" xr:uid="{00000000-0005-0000-0000-0000B25F0000}"/>
    <cellStyle name="Normal 85 2 3" xfId="24504" xr:uid="{00000000-0005-0000-0000-0000B35F0000}"/>
    <cellStyle name="Normal 85 3" xfId="24505" xr:uid="{00000000-0005-0000-0000-0000B45F0000}"/>
    <cellStyle name="Normal 85 3 2" xfId="24506" xr:uid="{00000000-0005-0000-0000-0000B55F0000}"/>
    <cellStyle name="Normal 85 3 3" xfId="24507" xr:uid="{00000000-0005-0000-0000-0000B65F0000}"/>
    <cellStyle name="Normal 85 4" xfId="24508" xr:uid="{00000000-0005-0000-0000-0000B75F0000}"/>
    <cellStyle name="Normal 85 5" xfId="24509" xr:uid="{00000000-0005-0000-0000-0000B85F0000}"/>
    <cellStyle name="Normal 85 6" xfId="24510" xr:uid="{00000000-0005-0000-0000-0000B95F0000}"/>
    <cellStyle name="Normal 86" xfId="24511" xr:uid="{00000000-0005-0000-0000-0000BA5F0000}"/>
    <cellStyle name="Normal 86 2" xfId="24512" xr:uid="{00000000-0005-0000-0000-0000BB5F0000}"/>
    <cellStyle name="Normal 86 2 2" xfId="24513" xr:uid="{00000000-0005-0000-0000-0000BC5F0000}"/>
    <cellStyle name="Normal 86 2 3" xfId="24514" xr:uid="{00000000-0005-0000-0000-0000BD5F0000}"/>
    <cellStyle name="Normal 86 3" xfId="24515" xr:uid="{00000000-0005-0000-0000-0000BE5F0000}"/>
    <cellStyle name="Normal 86 3 2" xfId="24516" xr:uid="{00000000-0005-0000-0000-0000BF5F0000}"/>
    <cellStyle name="Normal 86 3 3" xfId="24517" xr:uid="{00000000-0005-0000-0000-0000C05F0000}"/>
    <cellStyle name="Normal 86 4" xfId="24518" xr:uid="{00000000-0005-0000-0000-0000C15F0000}"/>
    <cellStyle name="Normal 86 5" xfId="24519" xr:uid="{00000000-0005-0000-0000-0000C25F0000}"/>
    <cellStyle name="Normal 86 6" xfId="24520" xr:uid="{00000000-0005-0000-0000-0000C35F0000}"/>
    <cellStyle name="Normal 87" xfId="24521" xr:uid="{00000000-0005-0000-0000-0000C45F0000}"/>
    <cellStyle name="Normal 87 2" xfId="24522" xr:uid="{00000000-0005-0000-0000-0000C55F0000}"/>
    <cellStyle name="Normal 87 2 2" xfId="24523" xr:uid="{00000000-0005-0000-0000-0000C65F0000}"/>
    <cellStyle name="Normal 87 2 3" xfId="24524" xr:uid="{00000000-0005-0000-0000-0000C75F0000}"/>
    <cellStyle name="Normal 87 3" xfId="24525" xr:uid="{00000000-0005-0000-0000-0000C85F0000}"/>
    <cellStyle name="Normal 87 3 2" xfId="24526" xr:uid="{00000000-0005-0000-0000-0000C95F0000}"/>
    <cellStyle name="Normal 87 3 3" xfId="24527" xr:uid="{00000000-0005-0000-0000-0000CA5F0000}"/>
    <cellStyle name="Normal 87 4" xfId="24528" xr:uid="{00000000-0005-0000-0000-0000CB5F0000}"/>
    <cellStyle name="Normal 87 5" xfId="24529" xr:uid="{00000000-0005-0000-0000-0000CC5F0000}"/>
    <cellStyle name="Normal 87 6" xfId="24530" xr:uid="{00000000-0005-0000-0000-0000CD5F0000}"/>
    <cellStyle name="Normal 88" xfId="24531" xr:uid="{00000000-0005-0000-0000-0000CE5F0000}"/>
    <cellStyle name="Normal 88 2" xfId="24532" xr:uid="{00000000-0005-0000-0000-0000CF5F0000}"/>
    <cellStyle name="Normal 88 2 2" xfId="24533" xr:uid="{00000000-0005-0000-0000-0000D05F0000}"/>
    <cellStyle name="Normal 88 2 3" xfId="24534" xr:uid="{00000000-0005-0000-0000-0000D15F0000}"/>
    <cellStyle name="Normal 88 3" xfId="24535" xr:uid="{00000000-0005-0000-0000-0000D25F0000}"/>
    <cellStyle name="Normal 88 3 2" xfId="24536" xr:uid="{00000000-0005-0000-0000-0000D35F0000}"/>
    <cellStyle name="Normal 88 3 3" xfId="24537" xr:uid="{00000000-0005-0000-0000-0000D45F0000}"/>
    <cellStyle name="Normal 88 4" xfId="24538" xr:uid="{00000000-0005-0000-0000-0000D55F0000}"/>
    <cellStyle name="Normal 88 5" xfId="24539" xr:uid="{00000000-0005-0000-0000-0000D65F0000}"/>
    <cellStyle name="Normal 88 6" xfId="24540" xr:uid="{00000000-0005-0000-0000-0000D75F0000}"/>
    <cellStyle name="Normal 89" xfId="24541" xr:uid="{00000000-0005-0000-0000-0000D85F0000}"/>
    <cellStyle name="Normal 89 2" xfId="24542" xr:uid="{00000000-0005-0000-0000-0000D95F0000}"/>
    <cellStyle name="Normal 89 2 2" xfId="24543" xr:uid="{00000000-0005-0000-0000-0000DA5F0000}"/>
    <cellStyle name="Normal 89 2 3" xfId="24544" xr:uid="{00000000-0005-0000-0000-0000DB5F0000}"/>
    <cellStyle name="Normal 89 3" xfId="24545" xr:uid="{00000000-0005-0000-0000-0000DC5F0000}"/>
    <cellStyle name="Normal 89 3 2" xfId="24546" xr:uid="{00000000-0005-0000-0000-0000DD5F0000}"/>
    <cellStyle name="Normal 89 3 3" xfId="24547" xr:uid="{00000000-0005-0000-0000-0000DE5F0000}"/>
    <cellStyle name="Normal 89 4" xfId="24548" xr:uid="{00000000-0005-0000-0000-0000DF5F0000}"/>
    <cellStyle name="Normal 89 5" xfId="24549" xr:uid="{00000000-0005-0000-0000-0000E05F0000}"/>
    <cellStyle name="Normal 89 6" xfId="24550" xr:uid="{00000000-0005-0000-0000-0000E15F0000}"/>
    <cellStyle name="Normal 9" xfId="20" xr:uid="{00000000-0005-0000-0000-0000E25F0000}"/>
    <cellStyle name="Normal 9 10" xfId="24551" xr:uid="{00000000-0005-0000-0000-0000E35F0000}"/>
    <cellStyle name="Normal 9 10 2" xfId="24552" xr:uid="{00000000-0005-0000-0000-0000E45F0000}"/>
    <cellStyle name="Normal 9 10 3" xfId="24553" xr:uid="{00000000-0005-0000-0000-0000E55F0000}"/>
    <cellStyle name="Normal 9 11" xfId="24554" xr:uid="{00000000-0005-0000-0000-0000E65F0000}"/>
    <cellStyle name="Normal 9 11 2" xfId="24555" xr:uid="{00000000-0005-0000-0000-0000E75F0000}"/>
    <cellStyle name="Normal 9 11 3" xfId="24556" xr:uid="{00000000-0005-0000-0000-0000E85F0000}"/>
    <cellStyle name="Normal 9 12" xfId="24557" xr:uid="{00000000-0005-0000-0000-0000E95F0000}"/>
    <cellStyle name="Normal 9 12 2" xfId="24558" xr:uid="{00000000-0005-0000-0000-0000EA5F0000}"/>
    <cellStyle name="Normal 9 12 3" xfId="24559" xr:uid="{00000000-0005-0000-0000-0000EB5F0000}"/>
    <cellStyle name="Normal 9 13" xfId="24560" xr:uid="{00000000-0005-0000-0000-0000EC5F0000}"/>
    <cellStyle name="Normal 9 13 2" xfId="24561" xr:uid="{00000000-0005-0000-0000-0000ED5F0000}"/>
    <cellStyle name="Normal 9 13 3" xfId="24562" xr:uid="{00000000-0005-0000-0000-0000EE5F0000}"/>
    <cellStyle name="Normal 9 14" xfId="24563" xr:uid="{00000000-0005-0000-0000-0000EF5F0000}"/>
    <cellStyle name="Normal 9 14 2" xfId="24564" xr:uid="{00000000-0005-0000-0000-0000F05F0000}"/>
    <cellStyle name="Normal 9 14 3" xfId="24565" xr:uid="{00000000-0005-0000-0000-0000F15F0000}"/>
    <cellStyle name="Normal 9 15" xfId="24566" xr:uid="{00000000-0005-0000-0000-0000F25F0000}"/>
    <cellStyle name="Normal 9 15 2" xfId="24567" xr:uid="{00000000-0005-0000-0000-0000F35F0000}"/>
    <cellStyle name="Normal 9 15 3" xfId="24568" xr:uid="{00000000-0005-0000-0000-0000F45F0000}"/>
    <cellStyle name="Normal 9 16" xfId="24569" xr:uid="{00000000-0005-0000-0000-0000F55F0000}"/>
    <cellStyle name="Normal 9 16 2" xfId="24570" xr:uid="{00000000-0005-0000-0000-0000F65F0000}"/>
    <cellStyle name="Normal 9 16 3" xfId="24571" xr:uid="{00000000-0005-0000-0000-0000F75F0000}"/>
    <cellStyle name="Normal 9 17" xfId="24572" xr:uid="{00000000-0005-0000-0000-0000F85F0000}"/>
    <cellStyle name="Normal 9 17 2" xfId="24573" xr:uid="{00000000-0005-0000-0000-0000F95F0000}"/>
    <cellStyle name="Normal 9 17 3" xfId="24574" xr:uid="{00000000-0005-0000-0000-0000FA5F0000}"/>
    <cellStyle name="Normal 9 18" xfId="24575" xr:uid="{00000000-0005-0000-0000-0000FB5F0000}"/>
    <cellStyle name="Normal 9 18 2" xfId="24576" xr:uid="{00000000-0005-0000-0000-0000FC5F0000}"/>
    <cellStyle name="Normal 9 18 3" xfId="24577" xr:uid="{00000000-0005-0000-0000-0000FD5F0000}"/>
    <cellStyle name="Normal 9 19" xfId="24578" xr:uid="{00000000-0005-0000-0000-0000FE5F0000}"/>
    <cellStyle name="Normal 9 19 2" xfId="24579" xr:uid="{00000000-0005-0000-0000-0000FF5F0000}"/>
    <cellStyle name="Normal 9 19 3" xfId="24580" xr:uid="{00000000-0005-0000-0000-000000600000}"/>
    <cellStyle name="Normal 9 2" xfId="24581" xr:uid="{00000000-0005-0000-0000-000001600000}"/>
    <cellStyle name="Normal 9 2 2" xfId="24582" xr:uid="{00000000-0005-0000-0000-000002600000}"/>
    <cellStyle name="Normal 9 2 2 2" xfId="24583" xr:uid="{00000000-0005-0000-0000-000003600000}"/>
    <cellStyle name="Normal 9 2 3" xfId="24584" xr:uid="{00000000-0005-0000-0000-000004600000}"/>
    <cellStyle name="Normal 9 2 4" xfId="24585" xr:uid="{00000000-0005-0000-0000-000005600000}"/>
    <cellStyle name="Normal 9 20" xfId="24586" xr:uid="{00000000-0005-0000-0000-000006600000}"/>
    <cellStyle name="Normal 9 20 2" xfId="24587" xr:uid="{00000000-0005-0000-0000-000007600000}"/>
    <cellStyle name="Normal 9 20 3" xfId="24588" xr:uid="{00000000-0005-0000-0000-000008600000}"/>
    <cellStyle name="Normal 9 21" xfId="24589" xr:uid="{00000000-0005-0000-0000-000009600000}"/>
    <cellStyle name="Normal 9 21 2" xfId="24590" xr:uid="{00000000-0005-0000-0000-00000A600000}"/>
    <cellStyle name="Normal 9 21 3" xfId="24591" xr:uid="{00000000-0005-0000-0000-00000B600000}"/>
    <cellStyle name="Normal 9 22" xfId="24592" xr:uid="{00000000-0005-0000-0000-00000C600000}"/>
    <cellStyle name="Normal 9 22 2" xfId="24593" xr:uid="{00000000-0005-0000-0000-00000D600000}"/>
    <cellStyle name="Normal 9 22 3" xfId="24594" xr:uid="{00000000-0005-0000-0000-00000E600000}"/>
    <cellStyle name="Normal 9 23" xfId="24595" xr:uid="{00000000-0005-0000-0000-00000F600000}"/>
    <cellStyle name="Normal 9 23 2" xfId="24596" xr:uid="{00000000-0005-0000-0000-000010600000}"/>
    <cellStyle name="Normal 9 23 3" xfId="24597" xr:uid="{00000000-0005-0000-0000-000011600000}"/>
    <cellStyle name="Normal 9 24" xfId="24598" xr:uid="{00000000-0005-0000-0000-000012600000}"/>
    <cellStyle name="Normal 9 24 2" xfId="24599" xr:uid="{00000000-0005-0000-0000-000013600000}"/>
    <cellStyle name="Normal 9 24 3" xfId="24600" xr:uid="{00000000-0005-0000-0000-000014600000}"/>
    <cellStyle name="Normal 9 25" xfId="24601" xr:uid="{00000000-0005-0000-0000-000015600000}"/>
    <cellStyle name="Normal 9 25 2" xfId="24602" xr:uid="{00000000-0005-0000-0000-000016600000}"/>
    <cellStyle name="Normal 9 25 3" xfId="24603" xr:uid="{00000000-0005-0000-0000-000017600000}"/>
    <cellStyle name="Normal 9 26" xfId="24604" xr:uid="{00000000-0005-0000-0000-000018600000}"/>
    <cellStyle name="Normal 9 26 2" xfId="24605" xr:uid="{00000000-0005-0000-0000-000019600000}"/>
    <cellStyle name="Normal 9 26 3" xfId="24606" xr:uid="{00000000-0005-0000-0000-00001A600000}"/>
    <cellStyle name="Normal 9 27" xfId="24607" xr:uid="{00000000-0005-0000-0000-00001B600000}"/>
    <cellStyle name="Normal 9 27 2" xfId="24608" xr:uid="{00000000-0005-0000-0000-00001C600000}"/>
    <cellStyle name="Normal 9 27 3" xfId="24609" xr:uid="{00000000-0005-0000-0000-00001D600000}"/>
    <cellStyle name="Normal 9 28" xfId="24610" xr:uid="{00000000-0005-0000-0000-00001E600000}"/>
    <cellStyle name="Normal 9 28 2" xfId="24611" xr:uid="{00000000-0005-0000-0000-00001F600000}"/>
    <cellStyle name="Normal 9 28 3" xfId="24612" xr:uid="{00000000-0005-0000-0000-000020600000}"/>
    <cellStyle name="Normal 9 29" xfId="24613" xr:uid="{00000000-0005-0000-0000-000021600000}"/>
    <cellStyle name="Normal 9 29 2" xfId="24614" xr:uid="{00000000-0005-0000-0000-000022600000}"/>
    <cellStyle name="Normal 9 29 3" xfId="24615" xr:uid="{00000000-0005-0000-0000-000023600000}"/>
    <cellStyle name="Normal 9 3" xfId="24616" xr:uid="{00000000-0005-0000-0000-000024600000}"/>
    <cellStyle name="Normal 9 3 2" xfId="24617" xr:uid="{00000000-0005-0000-0000-000025600000}"/>
    <cellStyle name="Normal 9 3 2 2" xfId="24618" xr:uid="{00000000-0005-0000-0000-000026600000}"/>
    <cellStyle name="Normal 9 3 2 3" xfId="24619" xr:uid="{00000000-0005-0000-0000-000027600000}"/>
    <cellStyle name="Normal 9 3 3" xfId="24620" xr:uid="{00000000-0005-0000-0000-000028600000}"/>
    <cellStyle name="Normal 9 3 4" xfId="24621" xr:uid="{00000000-0005-0000-0000-000029600000}"/>
    <cellStyle name="Normal 9 3 5" xfId="24622" xr:uid="{00000000-0005-0000-0000-00002A600000}"/>
    <cellStyle name="Normal 9 30" xfId="24623" xr:uid="{00000000-0005-0000-0000-00002B600000}"/>
    <cellStyle name="Normal 9 30 2" xfId="24624" xr:uid="{00000000-0005-0000-0000-00002C600000}"/>
    <cellStyle name="Normal 9 30 3" xfId="24625" xr:uid="{00000000-0005-0000-0000-00002D600000}"/>
    <cellStyle name="Normal 9 31" xfId="24626" xr:uid="{00000000-0005-0000-0000-00002E600000}"/>
    <cellStyle name="Normal 9 31 2" xfId="24627" xr:uid="{00000000-0005-0000-0000-00002F600000}"/>
    <cellStyle name="Normal 9 31 3" xfId="24628" xr:uid="{00000000-0005-0000-0000-000030600000}"/>
    <cellStyle name="Normal 9 32" xfId="24629" xr:uid="{00000000-0005-0000-0000-000031600000}"/>
    <cellStyle name="Normal 9 32 2" xfId="24630" xr:uid="{00000000-0005-0000-0000-000032600000}"/>
    <cellStyle name="Normal 9 32 3" xfId="24631" xr:uid="{00000000-0005-0000-0000-000033600000}"/>
    <cellStyle name="Normal 9 33" xfId="24632" xr:uid="{00000000-0005-0000-0000-000034600000}"/>
    <cellStyle name="Normal 9 33 2" xfId="24633" xr:uid="{00000000-0005-0000-0000-000035600000}"/>
    <cellStyle name="Normal 9 33 3" xfId="24634" xr:uid="{00000000-0005-0000-0000-000036600000}"/>
    <cellStyle name="Normal 9 34" xfId="24635" xr:uid="{00000000-0005-0000-0000-000037600000}"/>
    <cellStyle name="Normal 9 34 2" xfId="24636" xr:uid="{00000000-0005-0000-0000-000038600000}"/>
    <cellStyle name="Normal 9 34 3" xfId="24637" xr:uid="{00000000-0005-0000-0000-000039600000}"/>
    <cellStyle name="Normal 9 35" xfId="24638" xr:uid="{00000000-0005-0000-0000-00003A600000}"/>
    <cellStyle name="Normal 9 35 2" xfId="24639" xr:uid="{00000000-0005-0000-0000-00003B600000}"/>
    <cellStyle name="Normal 9 35 3" xfId="24640" xr:uid="{00000000-0005-0000-0000-00003C600000}"/>
    <cellStyle name="Normal 9 36" xfId="24641" xr:uid="{00000000-0005-0000-0000-00003D600000}"/>
    <cellStyle name="Normal 9 36 2" xfId="24642" xr:uid="{00000000-0005-0000-0000-00003E600000}"/>
    <cellStyle name="Normal 9 36 3" xfId="24643" xr:uid="{00000000-0005-0000-0000-00003F600000}"/>
    <cellStyle name="Normal 9 37" xfId="24644" xr:uid="{00000000-0005-0000-0000-000040600000}"/>
    <cellStyle name="Normal 9 37 2" xfId="24645" xr:uid="{00000000-0005-0000-0000-000041600000}"/>
    <cellStyle name="Normal 9 37 3" xfId="24646" xr:uid="{00000000-0005-0000-0000-000042600000}"/>
    <cellStyle name="Normal 9 38" xfId="24647" xr:uid="{00000000-0005-0000-0000-000043600000}"/>
    <cellStyle name="Normal 9 38 2" xfId="24648" xr:uid="{00000000-0005-0000-0000-000044600000}"/>
    <cellStyle name="Normal 9 38 3" xfId="24649" xr:uid="{00000000-0005-0000-0000-000045600000}"/>
    <cellStyle name="Normal 9 39" xfId="24650" xr:uid="{00000000-0005-0000-0000-000046600000}"/>
    <cellStyle name="Normal 9 39 2" xfId="24651" xr:uid="{00000000-0005-0000-0000-000047600000}"/>
    <cellStyle name="Normal 9 39 3" xfId="24652" xr:uid="{00000000-0005-0000-0000-000048600000}"/>
    <cellStyle name="Normal 9 4" xfId="24653" xr:uid="{00000000-0005-0000-0000-000049600000}"/>
    <cellStyle name="Normal 9 4 2" xfId="24654" xr:uid="{00000000-0005-0000-0000-00004A600000}"/>
    <cellStyle name="Normal 9 4 2 2" xfId="24655" xr:uid="{00000000-0005-0000-0000-00004B600000}"/>
    <cellStyle name="Normal 9 4 3" xfId="24656" xr:uid="{00000000-0005-0000-0000-00004C600000}"/>
    <cellStyle name="Normal 9 4 4" xfId="24657" xr:uid="{00000000-0005-0000-0000-00004D600000}"/>
    <cellStyle name="Normal 9 4 5" xfId="24658" xr:uid="{00000000-0005-0000-0000-00004E600000}"/>
    <cellStyle name="Normal 9 40" xfId="24659" xr:uid="{00000000-0005-0000-0000-00004F600000}"/>
    <cellStyle name="Normal 9 40 2" xfId="24660" xr:uid="{00000000-0005-0000-0000-000050600000}"/>
    <cellStyle name="Normal 9 40 3" xfId="24661" xr:uid="{00000000-0005-0000-0000-000051600000}"/>
    <cellStyle name="Normal 9 41" xfId="24662" xr:uid="{00000000-0005-0000-0000-000052600000}"/>
    <cellStyle name="Normal 9 41 2" xfId="24663" xr:uid="{00000000-0005-0000-0000-000053600000}"/>
    <cellStyle name="Normal 9 41 3" xfId="24664" xr:uid="{00000000-0005-0000-0000-000054600000}"/>
    <cellStyle name="Normal 9 42" xfId="24665" xr:uid="{00000000-0005-0000-0000-000055600000}"/>
    <cellStyle name="Normal 9 42 2" xfId="24666" xr:uid="{00000000-0005-0000-0000-000056600000}"/>
    <cellStyle name="Normal 9 42 3" xfId="24667" xr:uid="{00000000-0005-0000-0000-000057600000}"/>
    <cellStyle name="Normal 9 43" xfId="24668" xr:uid="{00000000-0005-0000-0000-000058600000}"/>
    <cellStyle name="Normal 9 43 2" xfId="24669" xr:uid="{00000000-0005-0000-0000-000059600000}"/>
    <cellStyle name="Normal 9 43 3" xfId="24670" xr:uid="{00000000-0005-0000-0000-00005A600000}"/>
    <cellStyle name="Normal 9 44" xfId="24671" xr:uid="{00000000-0005-0000-0000-00005B600000}"/>
    <cellStyle name="Normal 9 44 2" xfId="24672" xr:uid="{00000000-0005-0000-0000-00005C600000}"/>
    <cellStyle name="Normal 9 44 3" xfId="24673" xr:uid="{00000000-0005-0000-0000-00005D600000}"/>
    <cellStyle name="Normal 9 45" xfId="24674" xr:uid="{00000000-0005-0000-0000-00005E600000}"/>
    <cellStyle name="Normal 9 45 2" xfId="24675" xr:uid="{00000000-0005-0000-0000-00005F600000}"/>
    <cellStyle name="Normal 9 45 3" xfId="24676" xr:uid="{00000000-0005-0000-0000-000060600000}"/>
    <cellStyle name="Normal 9 46" xfId="24677" xr:uid="{00000000-0005-0000-0000-000061600000}"/>
    <cellStyle name="Normal 9 46 2" xfId="24678" xr:uid="{00000000-0005-0000-0000-000062600000}"/>
    <cellStyle name="Normal 9 46 3" xfId="24679" xr:uid="{00000000-0005-0000-0000-000063600000}"/>
    <cellStyle name="Normal 9 47" xfId="24680" xr:uid="{00000000-0005-0000-0000-000064600000}"/>
    <cellStyle name="Normal 9 47 2" xfId="24681" xr:uid="{00000000-0005-0000-0000-000065600000}"/>
    <cellStyle name="Normal 9 47 3" xfId="24682" xr:uid="{00000000-0005-0000-0000-000066600000}"/>
    <cellStyle name="Normal 9 48" xfId="24683" xr:uid="{00000000-0005-0000-0000-000067600000}"/>
    <cellStyle name="Normal 9 48 2" xfId="24684" xr:uid="{00000000-0005-0000-0000-000068600000}"/>
    <cellStyle name="Normal 9 48 3" xfId="24685" xr:uid="{00000000-0005-0000-0000-000069600000}"/>
    <cellStyle name="Normal 9 49" xfId="24686" xr:uid="{00000000-0005-0000-0000-00006A600000}"/>
    <cellStyle name="Normal 9 49 2" xfId="24687" xr:uid="{00000000-0005-0000-0000-00006B600000}"/>
    <cellStyle name="Normal 9 49 3" xfId="24688" xr:uid="{00000000-0005-0000-0000-00006C600000}"/>
    <cellStyle name="Normal 9 5" xfId="24689" xr:uid="{00000000-0005-0000-0000-00006D600000}"/>
    <cellStyle name="Normal 9 5 2" xfId="24690" xr:uid="{00000000-0005-0000-0000-00006E600000}"/>
    <cellStyle name="Normal 9 5 2 2" xfId="24691" xr:uid="{00000000-0005-0000-0000-00006F600000}"/>
    <cellStyle name="Normal 9 5 2 3" xfId="24692" xr:uid="{00000000-0005-0000-0000-000070600000}"/>
    <cellStyle name="Normal 9 5 3" xfId="24693" xr:uid="{00000000-0005-0000-0000-000071600000}"/>
    <cellStyle name="Normal 9 5 4" xfId="24694" xr:uid="{00000000-0005-0000-0000-000072600000}"/>
    <cellStyle name="Normal 9 50" xfId="24695" xr:uid="{00000000-0005-0000-0000-000073600000}"/>
    <cellStyle name="Normal 9 50 2" xfId="24696" xr:uid="{00000000-0005-0000-0000-000074600000}"/>
    <cellStyle name="Normal 9 50 3" xfId="24697" xr:uid="{00000000-0005-0000-0000-000075600000}"/>
    <cellStyle name="Normal 9 51" xfId="24698" xr:uid="{00000000-0005-0000-0000-000076600000}"/>
    <cellStyle name="Normal 9 51 2" xfId="24699" xr:uid="{00000000-0005-0000-0000-000077600000}"/>
    <cellStyle name="Normal 9 51 3" xfId="24700" xr:uid="{00000000-0005-0000-0000-000078600000}"/>
    <cellStyle name="Normal 9 52" xfId="24701" xr:uid="{00000000-0005-0000-0000-000079600000}"/>
    <cellStyle name="Normal 9 52 2" xfId="24702" xr:uid="{00000000-0005-0000-0000-00007A600000}"/>
    <cellStyle name="Normal 9 52 3" xfId="24703" xr:uid="{00000000-0005-0000-0000-00007B600000}"/>
    <cellStyle name="Normal 9 53" xfId="24704" xr:uid="{00000000-0005-0000-0000-00007C600000}"/>
    <cellStyle name="Normal 9 53 2" xfId="24705" xr:uid="{00000000-0005-0000-0000-00007D600000}"/>
    <cellStyle name="Normal 9 53 3" xfId="24706" xr:uid="{00000000-0005-0000-0000-00007E600000}"/>
    <cellStyle name="Normal 9 54" xfId="24707" xr:uid="{00000000-0005-0000-0000-00007F600000}"/>
    <cellStyle name="Normal 9 54 2" xfId="24708" xr:uid="{00000000-0005-0000-0000-000080600000}"/>
    <cellStyle name="Normal 9 54 3" xfId="24709" xr:uid="{00000000-0005-0000-0000-000081600000}"/>
    <cellStyle name="Normal 9 55" xfId="24710" xr:uid="{00000000-0005-0000-0000-000082600000}"/>
    <cellStyle name="Normal 9 55 2" xfId="24711" xr:uid="{00000000-0005-0000-0000-000083600000}"/>
    <cellStyle name="Normal 9 55 3" xfId="24712" xr:uid="{00000000-0005-0000-0000-000084600000}"/>
    <cellStyle name="Normal 9 56" xfId="24713" xr:uid="{00000000-0005-0000-0000-000085600000}"/>
    <cellStyle name="Normal 9 56 2" xfId="24714" xr:uid="{00000000-0005-0000-0000-000086600000}"/>
    <cellStyle name="Normal 9 56 3" xfId="24715" xr:uid="{00000000-0005-0000-0000-000087600000}"/>
    <cellStyle name="Normal 9 57" xfId="24716" xr:uid="{00000000-0005-0000-0000-000088600000}"/>
    <cellStyle name="Normal 9 57 2" xfId="24717" xr:uid="{00000000-0005-0000-0000-000089600000}"/>
    <cellStyle name="Normal 9 57 3" xfId="24718" xr:uid="{00000000-0005-0000-0000-00008A600000}"/>
    <cellStyle name="Normal 9 58" xfId="24719" xr:uid="{00000000-0005-0000-0000-00008B600000}"/>
    <cellStyle name="Normal 9 58 2" xfId="24720" xr:uid="{00000000-0005-0000-0000-00008C600000}"/>
    <cellStyle name="Normal 9 58 3" xfId="24721" xr:uid="{00000000-0005-0000-0000-00008D600000}"/>
    <cellStyle name="Normal 9 59" xfId="24722" xr:uid="{00000000-0005-0000-0000-00008E600000}"/>
    <cellStyle name="Normal 9 59 2" xfId="24723" xr:uid="{00000000-0005-0000-0000-00008F600000}"/>
    <cellStyle name="Normal 9 59 3" xfId="24724" xr:uid="{00000000-0005-0000-0000-000090600000}"/>
    <cellStyle name="Normal 9 6" xfId="24725" xr:uid="{00000000-0005-0000-0000-000091600000}"/>
    <cellStyle name="Normal 9 6 2" xfId="24726" xr:uid="{00000000-0005-0000-0000-000092600000}"/>
    <cellStyle name="Normal 9 6 2 2" xfId="24727" xr:uid="{00000000-0005-0000-0000-000093600000}"/>
    <cellStyle name="Normal 9 6 2 3" xfId="24728" xr:uid="{00000000-0005-0000-0000-000094600000}"/>
    <cellStyle name="Normal 9 6 3" xfId="24729" xr:uid="{00000000-0005-0000-0000-000095600000}"/>
    <cellStyle name="Normal 9 6 4" xfId="24730" xr:uid="{00000000-0005-0000-0000-000096600000}"/>
    <cellStyle name="Normal 9 60" xfId="24731" xr:uid="{00000000-0005-0000-0000-000097600000}"/>
    <cellStyle name="Normal 9 60 2" xfId="24732" xr:uid="{00000000-0005-0000-0000-000098600000}"/>
    <cellStyle name="Normal 9 60 3" xfId="24733" xr:uid="{00000000-0005-0000-0000-000099600000}"/>
    <cellStyle name="Normal 9 61" xfId="24734" xr:uid="{00000000-0005-0000-0000-00009A600000}"/>
    <cellStyle name="Normal 9 61 2" xfId="24735" xr:uid="{00000000-0005-0000-0000-00009B600000}"/>
    <cellStyle name="Normal 9 61 3" xfId="24736" xr:uid="{00000000-0005-0000-0000-00009C600000}"/>
    <cellStyle name="Normal 9 62" xfId="24737" xr:uid="{00000000-0005-0000-0000-00009D600000}"/>
    <cellStyle name="Normal 9 62 2" xfId="24738" xr:uid="{00000000-0005-0000-0000-00009E600000}"/>
    <cellStyle name="Normal 9 62 3" xfId="24739" xr:uid="{00000000-0005-0000-0000-00009F600000}"/>
    <cellStyle name="Normal 9 63" xfId="24740" xr:uid="{00000000-0005-0000-0000-0000A0600000}"/>
    <cellStyle name="Normal 9 63 2" xfId="24741" xr:uid="{00000000-0005-0000-0000-0000A1600000}"/>
    <cellStyle name="Normal 9 63 3" xfId="24742" xr:uid="{00000000-0005-0000-0000-0000A2600000}"/>
    <cellStyle name="Normal 9 64" xfId="24743" xr:uid="{00000000-0005-0000-0000-0000A3600000}"/>
    <cellStyle name="Normal 9 64 2" xfId="24744" xr:uid="{00000000-0005-0000-0000-0000A4600000}"/>
    <cellStyle name="Normal 9 64 3" xfId="24745" xr:uid="{00000000-0005-0000-0000-0000A5600000}"/>
    <cellStyle name="Normal 9 65" xfId="24746" xr:uid="{00000000-0005-0000-0000-0000A6600000}"/>
    <cellStyle name="Normal 9 65 2" xfId="24747" xr:uid="{00000000-0005-0000-0000-0000A7600000}"/>
    <cellStyle name="Normal 9 65 3" xfId="24748" xr:uid="{00000000-0005-0000-0000-0000A8600000}"/>
    <cellStyle name="Normal 9 66" xfId="24749" xr:uid="{00000000-0005-0000-0000-0000A9600000}"/>
    <cellStyle name="Normal 9 66 2" xfId="24750" xr:uid="{00000000-0005-0000-0000-0000AA600000}"/>
    <cellStyle name="Normal 9 66 3" xfId="24751" xr:uid="{00000000-0005-0000-0000-0000AB600000}"/>
    <cellStyle name="Normal 9 67" xfId="24752" xr:uid="{00000000-0005-0000-0000-0000AC600000}"/>
    <cellStyle name="Normal 9 67 2" xfId="24753" xr:uid="{00000000-0005-0000-0000-0000AD600000}"/>
    <cellStyle name="Normal 9 67 3" xfId="24754" xr:uid="{00000000-0005-0000-0000-0000AE600000}"/>
    <cellStyle name="Normal 9 68" xfId="24755" xr:uid="{00000000-0005-0000-0000-0000AF600000}"/>
    <cellStyle name="Normal 9 68 2" xfId="24756" xr:uid="{00000000-0005-0000-0000-0000B0600000}"/>
    <cellStyle name="Normal 9 68 3" xfId="24757" xr:uid="{00000000-0005-0000-0000-0000B1600000}"/>
    <cellStyle name="Normal 9 69" xfId="24758" xr:uid="{00000000-0005-0000-0000-0000B2600000}"/>
    <cellStyle name="Normal 9 69 2" xfId="24759" xr:uid="{00000000-0005-0000-0000-0000B3600000}"/>
    <cellStyle name="Normal 9 69 3" xfId="24760" xr:uid="{00000000-0005-0000-0000-0000B4600000}"/>
    <cellStyle name="Normal 9 7" xfId="24761" xr:uid="{00000000-0005-0000-0000-0000B5600000}"/>
    <cellStyle name="Normal 9 7 2" xfId="24762" xr:uid="{00000000-0005-0000-0000-0000B6600000}"/>
    <cellStyle name="Normal 9 7 3" xfId="24763" xr:uid="{00000000-0005-0000-0000-0000B7600000}"/>
    <cellStyle name="Normal 9 70" xfId="24764" xr:uid="{00000000-0005-0000-0000-0000B8600000}"/>
    <cellStyle name="Normal 9 70 2" xfId="24765" xr:uid="{00000000-0005-0000-0000-0000B9600000}"/>
    <cellStyle name="Normal 9 70 3" xfId="24766" xr:uid="{00000000-0005-0000-0000-0000BA600000}"/>
    <cellStyle name="Normal 9 71" xfId="24767" xr:uid="{00000000-0005-0000-0000-0000BB600000}"/>
    <cellStyle name="Normal 9 71 2" xfId="24768" xr:uid="{00000000-0005-0000-0000-0000BC600000}"/>
    <cellStyle name="Normal 9 71 3" xfId="24769" xr:uid="{00000000-0005-0000-0000-0000BD600000}"/>
    <cellStyle name="Normal 9 72" xfId="24770" xr:uid="{00000000-0005-0000-0000-0000BE600000}"/>
    <cellStyle name="Normal 9 72 2" xfId="24771" xr:uid="{00000000-0005-0000-0000-0000BF600000}"/>
    <cellStyle name="Normal 9 72 3" xfId="24772" xr:uid="{00000000-0005-0000-0000-0000C0600000}"/>
    <cellStyle name="Normal 9 73" xfId="24773" xr:uid="{00000000-0005-0000-0000-0000C1600000}"/>
    <cellStyle name="Normal 9 73 2" xfId="24774" xr:uid="{00000000-0005-0000-0000-0000C2600000}"/>
    <cellStyle name="Normal 9 73 3" xfId="24775" xr:uid="{00000000-0005-0000-0000-0000C3600000}"/>
    <cellStyle name="Normal 9 74" xfId="24776" xr:uid="{00000000-0005-0000-0000-0000C4600000}"/>
    <cellStyle name="Normal 9 74 2" xfId="24777" xr:uid="{00000000-0005-0000-0000-0000C5600000}"/>
    <cellStyle name="Normal 9 74 3" xfId="24778" xr:uid="{00000000-0005-0000-0000-0000C6600000}"/>
    <cellStyle name="Normal 9 75" xfId="24779" xr:uid="{00000000-0005-0000-0000-0000C7600000}"/>
    <cellStyle name="Normal 9 75 2" xfId="24780" xr:uid="{00000000-0005-0000-0000-0000C8600000}"/>
    <cellStyle name="Normal 9 75 3" xfId="24781" xr:uid="{00000000-0005-0000-0000-0000C9600000}"/>
    <cellStyle name="Normal 9 76" xfId="24782" xr:uid="{00000000-0005-0000-0000-0000CA600000}"/>
    <cellStyle name="Normal 9 76 2" xfId="24783" xr:uid="{00000000-0005-0000-0000-0000CB600000}"/>
    <cellStyle name="Normal 9 76 3" xfId="24784" xr:uid="{00000000-0005-0000-0000-0000CC600000}"/>
    <cellStyle name="Normal 9 77" xfId="24785" xr:uid="{00000000-0005-0000-0000-0000CD600000}"/>
    <cellStyle name="Normal 9 77 2" xfId="24786" xr:uid="{00000000-0005-0000-0000-0000CE600000}"/>
    <cellStyle name="Normal 9 77 3" xfId="24787" xr:uid="{00000000-0005-0000-0000-0000CF600000}"/>
    <cellStyle name="Normal 9 78" xfId="24788" xr:uid="{00000000-0005-0000-0000-0000D0600000}"/>
    <cellStyle name="Normal 9 78 2" xfId="24789" xr:uid="{00000000-0005-0000-0000-0000D1600000}"/>
    <cellStyle name="Normal 9 78 3" xfId="24790" xr:uid="{00000000-0005-0000-0000-0000D2600000}"/>
    <cellStyle name="Normal 9 79" xfId="24791" xr:uid="{00000000-0005-0000-0000-0000D3600000}"/>
    <cellStyle name="Normal 9 79 2" xfId="24792" xr:uid="{00000000-0005-0000-0000-0000D4600000}"/>
    <cellStyle name="Normal 9 79 3" xfId="24793" xr:uid="{00000000-0005-0000-0000-0000D5600000}"/>
    <cellStyle name="Normal 9 8" xfId="24794" xr:uid="{00000000-0005-0000-0000-0000D6600000}"/>
    <cellStyle name="Normal 9 8 2" xfId="24795" xr:uid="{00000000-0005-0000-0000-0000D7600000}"/>
    <cellStyle name="Normal 9 8 3" xfId="24796" xr:uid="{00000000-0005-0000-0000-0000D8600000}"/>
    <cellStyle name="Normal 9 80" xfId="24797" xr:uid="{00000000-0005-0000-0000-0000D9600000}"/>
    <cellStyle name="Normal 9 80 2" xfId="24798" xr:uid="{00000000-0005-0000-0000-0000DA600000}"/>
    <cellStyle name="Normal 9 80 3" xfId="24799" xr:uid="{00000000-0005-0000-0000-0000DB600000}"/>
    <cellStyle name="Normal 9 81" xfId="24800" xr:uid="{00000000-0005-0000-0000-0000DC600000}"/>
    <cellStyle name="Normal 9 81 2" xfId="24801" xr:uid="{00000000-0005-0000-0000-0000DD600000}"/>
    <cellStyle name="Normal 9 81 3" xfId="24802" xr:uid="{00000000-0005-0000-0000-0000DE600000}"/>
    <cellStyle name="Normal 9 82" xfId="24803" xr:uid="{00000000-0005-0000-0000-0000DF600000}"/>
    <cellStyle name="Normal 9 82 2" xfId="24804" xr:uid="{00000000-0005-0000-0000-0000E0600000}"/>
    <cellStyle name="Normal 9 82 3" xfId="24805" xr:uid="{00000000-0005-0000-0000-0000E1600000}"/>
    <cellStyle name="Normal 9 83" xfId="24806" xr:uid="{00000000-0005-0000-0000-0000E2600000}"/>
    <cellStyle name="Normal 9 83 2" xfId="24807" xr:uid="{00000000-0005-0000-0000-0000E3600000}"/>
    <cellStyle name="Normal 9 83 3" xfId="24808" xr:uid="{00000000-0005-0000-0000-0000E4600000}"/>
    <cellStyle name="Normal 9 84" xfId="24809" xr:uid="{00000000-0005-0000-0000-0000E5600000}"/>
    <cellStyle name="Normal 9 84 2" xfId="24810" xr:uid="{00000000-0005-0000-0000-0000E6600000}"/>
    <cellStyle name="Normal 9 84 3" xfId="24811" xr:uid="{00000000-0005-0000-0000-0000E7600000}"/>
    <cellStyle name="Normal 9 85" xfId="24812" xr:uid="{00000000-0005-0000-0000-0000E8600000}"/>
    <cellStyle name="Normal 9 85 2" xfId="24813" xr:uid="{00000000-0005-0000-0000-0000E9600000}"/>
    <cellStyle name="Normal 9 85 3" xfId="24814" xr:uid="{00000000-0005-0000-0000-0000EA600000}"/>
    <cellStyle name="Normal 9 86" xfId="24815" xr:uid="{00000000-0005-0000-0000-0000EB600000}"/>
    <cellStyle name="Normal 9 86 2" xfId="24816" xr:uid="{00000000-0005-0000-0000-0000EC600000}"/>
    <cellStyle name="Normal 9 86 3" xfId="24817" xr:uid="{00000000-0005-0000-0000-0000ED600000}"/>
    <cellStyle name="Normal 9 87" xfId="24818" xr:uid="{00000000-0005-0000-0000-0000EE600000}"/>
    <cellStyle name="Normal 9 88" xfId="24819" xr:uid="{00000000-0005-0000-0000-0000EF600000}"/>
    <cellStyle name="Normal 9 89" xfId="24820" xr:uid="{00000000-0005-0000-0000-0000F0600000}"/>
    <cellStyle name="Normal 9 9" xfId="24821" xr:uid="{00000000-0005-0000-0000-0000F1600000}"/>
    <cellStyle name="Normal 9 9 2" xfId="24822" xr:uid="{00000000-0005-0000-0000-0000F2600000}"/>
    <cellStyle name="Normal 9 9 3" xfId="24823" xr:uid="{00000000-0005-0000-0000-0000F3600000}"/>
    <cellStyle name="Normal 90" xfId="24824" xr:uid="{00000000-0005-0000-0000-0000F4600000}"/>
    <cellStyle name="Normal 90 2" xfId="24825" xr:uid="{00000000-0005-0000-0000-0000F5600000}"/>
    <cellStyle name="Normal 90 2 2" xfId="24826" xr:uid="{00000000-0005-0000-0000-0000F6600000}"/>
    <cellStyle name="Normal 90 2 3" xfId="24827" xr:uid="{00000000-0005-0000-0000-0000F7600000}"/>
    <cellStyle name="Normal 90 3" xfId="24828" xr:uid="{00000000-0005-0000-0000-0000F8600000}"/>
    <cellStyle name="Normal 90 3 2" xfId="24829" xr:uid="{00000000-0005-0000-0000-0000F9600000}"/>
    <cellStyle name="Normal 90 3 3" xfId="24830" xr:uid="{00000000-0005-0000-0000-0000FA600000}"/>
    <cellStyle name="Normal 90 4" xfId="24831" xr:uid="{00000000-0005-0000-0000-0000FB600000}"/>
    <cellStyle name="Normal 90 5" xfId="24832" xr:uid="{00000000-0005-0000-0000-0000FC600000}"/>
    <cellStyle name="Normal 90 6" xfId="24833" xr:uid="{00000000-0005-0000-0000-0000FD600000}"/>
    <cellStyle name="Normal 91" xfId="24834" xr:uid="{00000000-0005-0000-0000-0000FE600000}"/>
    <cellStyle name="Normal 91 2" xfId="24835" xr:uid="{00000000-0005-0000-0000-0000FF600000}"/>
    <cellStyle name="Normal 91 2 2" xfId="24836" xr:uid="{00000000-0005-0000-0000-000000610000}"/>
    <cellStyle name="Normal 91 2 3" xfId="24837" xr:uid="{00000000-0005-0000-0000-000001610000}"/>
    <cellStyle name="Normal 91 3" xfId="24838" xr:uid="{00000000-0005-0000-0000-000002610000}"/>
    <cellStyle name="Normal 91 3 2" xfId="24839" xr:uid="{00000000-0005-0000-0000-000003610000}"/>
    <cellStyle name="Normal 91 3 3" xfId="24840" xr:uid="{00000000-0005-0000-0000-000004610000}"/>
    <cellStyle name="Normal 91 4" xfId="24841" xr:uid="{00000000-0005-0000-0000-000005610000}"/>
    <cellStyle name="Normal 91 5" xfId="24842" xr:uid="{00000000-0005-0000-0000-000006610000}"/>
    <cellStyle name="Normal 91 6" xfId="24843" xr:uid="{00000000-0005-0000-0000-000007610000}"/>
    <cellStyle name="Normal 92" xfId="24844" xr:uid="{00000000-0005-0000-0000-000008610000}"/>
    <cellStyle name="Normal 92 2" xfId="24845" xr:uid="{00000000-0005-0000-0000-000009610000}"/>
    <cellStyle name="Normal 92 2 2" xfId="24846" xr:uid="{00000000-0005-0000-0000-00000A610000}"/>
    <cellStyle name="Normal 92 2 3" xfId="24847" xr:uid="{00000000-0005-0000-0000-00000B610000}"/>
    <cellStyle name="Normal 92 3" xfId="24848" xr:uid="{00000000-0005-0000-0000-00000C610000}"/>
    <cellStyle name="Normal 92 3 2" xfId="24849" xr:uid="{00000000-0005-0000-0000-00000D610000}"/>
    <cellStyle name="Normal 92 3 3" xfId="24850" xr:uid="{00000000-0005-0000-0000-00000E610000}"/>
    <cellStyle name="Normal 92 4" xfId="24851" xr:uid="{00000000-0005-0000-0000-00000F610000}"/>
    <cellStyle name="Normal 92 5" xfId="24852" xr:uid="{00000000-0005-0000-0000-000010610000}"/>
    <cellStyle name="Normal 92 6" xfId="24853" xr:uid="{00000000-0005-0000-0000-000011610000}"/>
    <cellStyle name="Normal 93" xfId="24854" xr:uid="{00000000-0005-0000-0000-000012610000}"/>
    <cellStyle name="Normal 93 2" xfId="24855" xr:uid="{00000000-0005-0000-0000-000013610000}"/>
    <cellStyle name="Normal 93 2 2" xfId="24856" xr:uid="{00000000-0005-0000-0000-000014610000}"/>
    <cellStyle name="Normal 93 2 3" xfId="24857" xr:uid="{00000000-0005-0000-0000-000015610000}"/>
    <cellStyle name="Normal 93 3" xfId="24858" xr:uid="{00000000-0005-0000-0000-000016610000}"/>
    <cellStyle name="Normal 93 3 2" xfId="24859" xr:uid="{00000000-0005-0000-0000-000017610000}"/>
    <cellStyle name="Normal 93 3 3" xfId="24860" xr:uid="{00000000-0005-0000-0000-000018610000}"/>
    <cellStyle name="Normal 93 4" xfId="24861" xr:uid="{00000000-0005-0000-0000-000019610000}"/>
    <cellStyle name="Normal 93 5" xfId="24862" xr:uid="{00000000-0005-0000-0000-00001A610000}"/>
    <cellStyle name="Normal 93 6" xfId="24863" xr:uid="{00000000-0005-0000-0000-00001B610000}"/>
    <cellStyle name="Normal 94" xfId="24864" xr:uid="{00000000-0005-0000-0000-00001C610000}"/>
    <cellStyle name="Normal 94 2" xfId="24865" xr:uid="{00000000-0005-0000-0000-00001D610000}"/>
    <cellStyle name="Normal 94 2 2" xfId="24866" xr:uid="{00000000-0005-0000-0000-00001E610000}"/>
    <cellStyle name="Normal 94 2 3" xfId="24867" xr:uid="{00000000-0005-0000-0000-00001F610000}"/>
    <cellStyle name="Normal 94 3" xfId="24868" xr:uid="{00000000-0005-0000-0000-000020610000}"/>
    <cellStyle name="Normal 94 3 2" xfId="24869" xr:uid="{00000000-0005-0000-0000-000021610000}"/>
    <cellStyle name="Normal 94 3 3" xfId="24870" xr:uid="{00000000-0005-0000-0000-000022610000}"/>
    <cellStyle name="Normal 94 4" xfId="24871" xr:uid="{00000000-0005-0000-0000-000023610000}"/>
    <cellStyle name="Normal 94 5" xfId="24872" xr:uid="{00000000-0005-0000-0000-000024610000}"/>
    <cellStyle name="Normal 94 6" xfId="24873" xr:uid="{00000000-0005-0000-0000-000025610000}"/>
    <cellStyle name="Normal 95" xfId="24874" xr:uid="{00000000-0005-0000-0000-000026610000}"/>
    <cellStyle name="Normal 95 2" xfId="24875" xr:uid="{00000000-0005-0000-0000-000027610000}"/>
    <cellStyle name="Normal 95 2 2" xfId="24876" xr:uid="{00000000-0005-0000-0000-000028610000}"/>
    <cellStyle name="Normal 95 2 3" xfId="24877" xr:uid="{00000000-0005-0000-0000-000029610000}"/>
    <cellStyle name="Normal 95 3" xfId="24878" xr:uid="{00000000-0005-0000-0000-00002A610000}"/>
    <cellStyle name="Normal 95 3 2" xfId="24879" xr:uid="{00000000-0005-0000-0000-00002B610000}"/>
    <cellStyle name="Normal 95 3 3" xfId="24880" xr:uid="{00000000-0005-0000-0000-00002C610000}"/>
    <cellStyle name="Normal 95 4" xfId="24881" xr:uid="{00000000-0005-0000-0000-00002D610000}"/>
    <cellStyle name="Normal 95 5" xfId="24882" xr:uid="{00000000-0005-0000-0000-00002E610000}"/>
    <cellStyle name="Normal 95 6" xfId="24883" xr:uid="{00000000-0005-0000-0000-00002F610000}"/>
    <cellStyle name="Normal 96" xfId="24884" xr:uid="{00000000-0005-0000-0000-000030610000}"/>
    <cellStyle name="Normal 96 2" xfId="24885" xr:uid="{00000000-0005-0000-0000-000031610000}"/>
    <cellStyle name="Normal 96 2 2" xfId="24886" xr:uid="{00000000-0005-0000-0000-000032610000}"/>
    <cellStyle name="Normal 96 2 3" xfId="24887" xr:uid="{00000000-0005-0000-0000-000033610000}"/>
    <cellStyle name="Normal 96 3" xfId="24888" xr:uid="{00000000-0005-0000-0000-000034610000}"/>
    <cellStyle name="Normal 96 3 2" xfId="24889" xr:uid="{00000000-0005-0000-0000-000035610000}"/>
    <cellStyle name="Normal 96 3 3" xfId="24890" xr:uid="{00000000-0005-0000-0000-000036610000}"/>
    <cellStyle name="Normal 96 4" xfId="24891" xr:uid="{00000000-0005-0000-0000-000037610000}"/>
    <cellStyle name="Normal 96 5" xfId="24892" xr:uid="{00000000-0005-0000-0000-000038610000}"/>
    <cellStyle name="Normal 96 6" xfId="24893" xr:uid="{00000000-0005-0000-0000-000039610000}"/>
    <cellStyle name="Normal 97" xfId="24894" xr:uid="{00000000-0005-0000-0000-00003A610000}"/>
    <cellStyle name="Normal 97 2" xfId="24895" xr:uid="{00000000-0005-0000-0000-00003B610000}"/>
    <cellStyle name="Normal 97 2 2" xfId="24896" xr:uid="{00000000-0005-0000-0000-00003C610000}"/>
    <cellStyle name="Normal 97 2 3" xfId="24897" xr:uid="{00000000-0005-0000-0000-00003D610000}"/>
    <cellStyle name="Normal 97 3" xfId="24898" xr:uid="{00000000-0005-0000-0000-00003E610000}"/>
    <cellStyle name="Normal 97 3 2" xfId="24899" xr:uid="{00000000-0005-0000-0000-00003F610000}"/>
    <cellStyle name="Normal 97 3 3" xfId="24900" xr:uid="{00000000-0005-0000-0000-000040610000}"/>
    <cellStyle name="Normal 97 4" xfId="24901" xr:uid="{00000000-0005-0000-0000-000041610000}"/>
    <cellStyle name="Normal 97 5" xfId="24902" xr:uid="{00000000-0005-0000-0000-000042610000}"/>
    <cellStyle name="Normal 97 6" xfId="24903" xr:uid="{00000000-0005-0000-0000-000043610000}"/>
    <cellStyle name="Normal 98" xfId="24904" xr:uid="{00000000-0005-0000-0000-000044610000}"/>
    <cellStyle name="Normal 98 2" xfId="24905" xr:uid="{00000000-0005-0000-0000-000045610000}"/>
    <cellStyle name="Normal 98 2 2" xfId="24906" xr:uid="{00000000-0005-0000-0000-000046610000}"/>
    <cellStyle name="Normal 98 2 3" xfId="24907" xr:uid="{00000000-0005-0000-0000-000047610000}"/>
    <cellStyle name="Normal 98 3" xfId="24908" xr:uid="{00000000-0005-0000-0000-000048610000}"/>
    <cellStyle name="Normal 98 3 2" xfId="24909" xr:uid="{00000000-0005-0000-0000-000049610000}"/>
    <cellStyle name="Normal 98 3 3" xfId="24910" xr:uid="{00000000-0005-0000-0000-00004A610000}"/>
    <cellStyle name="Normal 98 4" xfId="24911" xr:uid="{00000000-0005-0000-0000-00004B610000}"/>
    <cellStyle name="Normal 98 5" xfId="24912" xr:uid="{00000000-0005-0000-0000-00004C610000}"/>
    <cellStyle name="Normal 98 6" xfId="24913" xr:uid="{00000000-0005-0000-0000-00004D610000}"/>
    <cellStyle name="Normal 99" xfId="24914" xr:uid="{00000000-0005-0000-0000-00004E610000}"/>
    <cellStyle name="Normal 99 2" xfId="24915" xr:uid="{00000000-0005-0000-0000-00004F610000}"/>
    <cellStyle name="Normal 99 2 2" xfId="24916" xr:uid="{00000000-0005-0000-0000-000050610000}"/>
    <cellStyle name="Normal 99 2 3" xfId="24917" xr:uid="{00000000-0005-0000-0000-000051610000}"/>
    <cellStyle name="Normal 99 3" xfId="24918" xr:uid="{00000000-0005-0000-0000-000052610000}"/>
    <cellStyle name="Normal 99 3 2" xfId="24919" xr:uid="{00000000-0005-0000-0000-000053610000}"/>
    <cellStyle name="Normal 99 3 3" xfId="24920" xr:uid="{00000000-0005-0000-0000-000054610000}"/>
    <cellStyle name="Normal 99 4" xfId="24921" xr:uid="{00000000-0005-0000-0000-000055610000}"/>
    <cellStyle name="Normal 99 5" xfId="24922" xr:uid="{00000000-0005-0000-0000-000056610000}"/>
    <cellStyle name="Normal 99 6" xfId="24923" xr:uid="{00000000-0005-0000-0000-000057610000}"/>
    <cellStyle name="Normal_Financial Factors Tbl" xfId="24" xr:uid="{00000000-0005-0000-0000-000058610000}"/>
    <cellStyle name="Normal_genhead10" xfId="26" xr:uid="{00000000-0005-0000-0000-000059610000}"/>
    <cellStyle name="Note 10" xfId="24924" xr:uid="{00000000-0005-0000-0000-00005A610000}"/>
    <cellStyle name="Note 10 2" xfId="24925" xr:uid="{00000000-0005-0000-0000-00005B610000}"/>
    <cellStyle name="Note 10 2 10" xfId="24926" xr:uid="{00000000-0005-0000-0000-00005C610000}"/>
    <cellStyle name="Note 10 2 10 2" xfId="24927" xr:uid="{00000000-0005-0000-0000-00005D610000}"/>
    <cellStyle name="Note 10 2 10 2 2" xfId="24928" xr:uid="{00000000-0005-0000-0000-00005E610000}"/>
    <cellStyle name="Note 10 2 10 2 3" xfId="24929" xr:uid="{00000000-0005-0000-0000-00005F610000}"/>
    <cellStyle name="Note 10 2 10 3" xfId="24930" xr:uid="{00000000-0005-0000-0000-000060610000}"/>
    <cellStyle name="Note 10 2 10 4" xfId="24931" xr:uid="{00000000-0005-0000-0000-000061610000}"/>
    <cellStyle name="Note 10 2 11" xfId="24932" xr:uid="{00000000-0005-0000-0000-000062610000}"/>
    <cellStyle name="Note 10 2 11 2" xfId="24933" xr:uid="{00000000-0005-0000-0000-000063610000}"/>
    <cellStyle name="Note 10 2 11 2 2" xfId="24934" xr:uid="{00000000-0005-0000-0000-000064610000}"/>
    <cellStyle name="Note 10 2 11 2 3" xfId="24935" xr:uid="{00000000-0005-0000-0000-000065610000}"/>
    <cellStyle name="Note 10 2 11 3" xfId="24936" xr:uid="{00000000-0005-0000-0000-000066610000}"/>
    <cellStyle name="Note 10 2 11 4" xfId="24937" xr:uid="{00000000-0005-0000-0000-000067610000}"/>
    <cellStyle name="Note 10 2 12" xfId="24938" xr:uid="{00000000-0005-0000-0000-000068610000}"/>
    <cellStyle name="Note 10 2 12 2" xfId="24939" xr:uid="{00000000-0005-0000-0000-000069610000}"/>
    <cellStyle name="Note 10 2 12 2 2" xfId="24940" xr:uid="{00000000-0005-0000-0000-00006A610000}"/>
    <cellStyle name="Note 10 2 12 2 3" xfId="24941" xr:uid="{00000000-0005-0000-0000-00006B610000}"/>
    <cellStyle name="Note 10 2 12 3" xfId="24942" xr:uid="{00000000-0005-0000-0000-00006C610000}"/>
    <cellStyle name="Note 10 2 12 4" xfId="24943" xr:uid="{00000000-0005-0000-0000-00006D610000}"/>
    <cellStyle name="Note 10 2 13" xfId="24944" xr:uid="{00000000-0005-0000-0000-00006E610000}"/>
    <cellStyle name="Note 10 2 13 2" xfId="24945" xr:uid="{00000000-0005-0000-0000-00006F610000}"/>
    <cellStyle name="Note 10 2 13 2 2" xfId="24946" xr:uid="{00000000-0005-0000-0000-000070610000}"/>
    <cellStyle name="Note 10 2 13 2 3" xfId="24947" xr:uid="{00000000-0005-0000-0000-000071610000}"/>
    <cellStyle name="Note 10 2 13 3" xfId="24948" xr:uid="{00000000-0005-0000-0000-000072610000}"/>
    <cellStyle name="Note 10 2 13 4" xfId="24949" xr:uid="{00000000-0005-0000-0000-000073610000}"/>
    <cellStyle name="Note 10 2 14" xfId="24950" xr:uid="{00000000-0005-0000-0000-000074610000}"/>
    <cellStyle name="Note 10 2 14 2" xfId="24951" xr:uid="{00000000-0005-0000-0000-000075610000}"/>
    <cellStyle name="Note 10 2 14 2 2" xfId="24952" xr:uid="{00000000-0005-0000-0000-000076610000}"/>
    <cellStyle name="Note 10 2 14 2 3" xfId="24953" xr:uid="{00000000-0005-0000-0000-000077610000}"/>
    <cellStyle name="Note 10 2 14 3" xfId="24954" xr:uid="{00000000-0005-0000-0000-000078610000}"/>
    <cellStyle name="Note 10 2 14 4" xfId="24955" xr:uid="{00000000-0005-0000-0000-000079610000}"/>
    <cellStyle name="Note 10 2 15" xfId="24956" xr:uid="{00000000-0005-0000-0000-00007A610000}"/>
    <cellStyle name="Note 10 2 15 2" xfId="24957" xr:uid="{00000000-0005-0000-0000-00007B610000}"/>
    <cellStyle name="Note 10 2 15 2 2" xfId="24958" xr:uid="{00000000-0005-0000-0000-00007C610000}"/>
    <cellStyle name="Note 10 2 15 2 3" xfId="24959" xr:uid="{00000000-0005-0000-0000-00007D610000}"/>
    <cellStyle name="Note 10 2 15 3" xfId="24960" xr:uid="{00000000-0005-0000-0000-00007E610000}"/>
    <cellStyle name="Note 10 2 15 4" xfId="24961" xr:uid="{00000000-0005-0000-0000-00007F610000}"/>
    <cellStyle name="Note 10 2 16" xfId="24962" xr:uid="{00000000-0005-0000-0000-000080610000}"/>
    <cellStyle name="Note 10 2 16 2" xfId="24963" xr:uid="{00000000-0005-0000-0000-000081610000}"/>
    <cellStyle name="Note 10 2 16 2 2" xfId="24964" xr:uid="{00000000-0005-0000-0000-000082610000}"/>
    <cellStyle name="Note 10 2 16 2 3" xfId="24965" xr:uid="{00000000-0005-0000-0000-000083610000}"/>
    <cellStyle name="Note 10 2 16 3" xfId="24966" xr:uid="{00000000-0005-0000-0000-000084610000}"/>
    <cellStyle name="Note 10 2 16 4" xfId="24967" xr:uid="{00000000-0005-0000-0000-000085610000}"/>
    <cellStyle name="Note 10 2 17" xfId="24968" xr:uid="{00000000-0005-0000-0000-000086610000}"/>
    <cellStyle name="Note 10 2 17 2" xfId="24969" xr:uid="{00000000-0005-0000-0000-000087610000}"/>
    <cellStyle name="Note 10 2 17 2 2" xfId="24970" xr:uid="{00000000-0005-0000-0000-000088610000}"/>
    <cellStyle name="Note 10 2 17 2 3" xfId="24971" xr:uid="{00000000-0005-0000-0000-000089610000}"/>
    <cellStyle name="Note 10 2 17 3" xfId="24972" xr:uid="{00000000-0005-0000-0000-00008A610000}"/>
    <cellStyle name="Note 10 2 17 4" xfId="24973" xr:uid="{00000000-0005-0000-0000-00008B610000}"/>
    <cellStyle name="Note 10 2 18" xfId="24974" xr:uid="{00000000-0005-0000-0000-00008C610000}"/>
    <cellStyle name="Note 10 2 18 2" xfId="24975" xr:uid="{00000000-0005-0000-0000-00008D610000}"/>
    <cellStyle name="Note 10 2 18 3" xfId="24976" xr:uid="{00000000-0005-0000-0000-00008E610000}"/>
    <cellStyle name="Note 10 2 18 4" xfId="24977" xr:uid="{00000000-0005-0000-0000-00008F610000}"/>
    <cellStyle name="Note 10 2 19" xfId="24978" xr:uid="{00000000-0005-0000-0000-000090610000}"/>
    <cellStyle name="Note 10 2 2" xfId="24979" xr:uid="{00000000-0005-0000-0000-000091610000}"/>
    <cellStyle name="Note 10 2 2 2" xfId="24980" xr:uid="{00000000-0005-0000-0000-000092610000}"/>
    <cellStyle name="Note 10 2 2 2 2" xfId="24981" xr:uid="{00000000-0005-0000-0000-000093610000}"/>
    <cellStyle name="Note 10 2 2 2 3" xfId="24982" xr:uid="{00000000-0005-0000-0000-000094610000}"/>
    <cellStyle name="Note 10 2 2 3" xfId="24983" xr:uid="{00000000-0005-0000-0000-000095610000}"/>
    <cellStyle name="Note 10 2 2 4" xfId="24984" xr:uid="{00000000-0005-0000-0000-000096610000}"/>
    <cellStyle name="Note 10 2 20" xfId="24985" xr:uid="{00000000-0005-0000-0000-000097610000}"/>
    <cellStyle name="Note 10 2 21" xfId="24986" xr:uid="{00000000-0005-0000-0000-000098610000}"/>
    <cellStyle name="Note 10 2 3" xfId="24987" xr:uid="{00000000-0005-0000-0000-000099610000}"/>
    <cellStyle name="Note 10 2 3 2" xfId="24988" xr:uid="{00000000-0005-0000-0000-00009A610000}"/>
    <cellStyle name="Note 10 2 3 2 2" xfId="24989" xr:uid="{00000000-0005-0000-0000-00009B610000}"/>
    <cellStyle name="Note 10 2 3 2 3" xfId="24990" xr:uid="{00000000-0005-0000-0000-00009C610000}"/>
    <cellStyle name="Note 10 2 3 3" xfId="24991" xr:uid="{00000000-0005-0000-0000-00009D610000}"/>
    <cellStyle name="Note 10 2 3 4" xfId="24992" xr:uid="{00000000-0005-0000-0000-00009E610000}"/>
    <cellStyle name="Note 10 2 4" xfId="24993" xr:uid="{00000000-0005-0000-0000-00009F610000}"/>
    <cellStyle name="Note 10 2 4 2" xfId="24994" xr:uid="{00000000-0005-0000-0000-0000A0610000}"/>
    <cellStyle name="Note 10 2 4 2 2" xfId="24995" xr:uid="{00000000-0005-0000-0000-0000A1610000}"/>
    <cellStyle name="Note 10 2 4 2 3" xfId="24996" xr:uid="{00000000-0005-0000-0000-0000A2610000}"/>
    <cellStyle name="Note 10 2 4 3" xfId="24997" xr:uid="{00000000-0005-0000-0000-0000A3610000}"/>
    <cellStyle name="Note 10 2 4 4" xfId="24998" xr:uid="{00000000-0005-0000-0000-0000A4610000}"/>
    <cellStyle name="Note 10 2 5" xfId="24999" xr:uid="{00000000-0005-0000-0000-0000A5610000}"/>
    <cellStyle name="Note 10 2 5 2" xfId="25000" xr:uid="{00000000-0005-0000-0000-0000A6610000}"/>
    <cellStyle name="Note 10 2 5 2 2" xfId="25001" xr:uid="{00000000-0005-0000-0000-0000A7610000}"/>
    <cellStyle name="Note 10 2 5 2 3" xfId="25002" xr:uid="{00000000-0005-0000-0000-0000A8610000}"/>
    <cellStyle name="Note 10 2 5 3" xfId="25003" xr:uid="{00000000-0005-0000-0000-0000A9610000}"/>
    <cellStyle name="Note 10 2 5 4" xfId="25004" xr:uid="{00000000-0005-0000-0000-0000AA610000}"/>
    <cellStyle name="Note 10 2 6" xfId="25005" xr:uid="{00000000-0005-0000-0000-0000AB610000}"/>
    <cellStyle name="Note 10 2 6 2" xfId="25006" xr:uid="{00000000-0005-0000-0000-0000AC610000}"/>
    <cellStyle name="Note 10 2 6 2 2" xfId="25007" xr:uid="{00000000-0005-0000-0000-0000AD610000}"/>
    <cellStyle name="Note 10 2 6 2 3" xfId="25008" xr:uid="{00000000-0005-0000-0000-0000AE610000}"/>
    <cellStyle name="Note 10 2 6 3" xfId="25009" xr:uid="{00000000-0005-0000-0000-0000AF610000}"/>
    <cellStyle name="Note 10 2 6 4" xfId="25010" xr:uid="{00000000-0005-0000-0000-0000B0610000}"/>
    <cellStyle name="Note 10 2 7" xfId="25011" xr:uid="{00000000-0005-0000-0000-0000B1610000}"/>
    <cellStyle name="Note 10 2 7 2" xfId="25012" xr:uid="{00000000-0005-0000-0000-0000B2610000}"/>
    <cellStyle name="Note 10 2 7 2 2" xfId="25013" xr:uid="{00000000-0005-0000-0000-0000B3610000}"/>
    <cellStyle name="Note 10 2 7 2 3" xfId="25014" xr:uid="{00000000-0005-0000-0000-0000B4610000}"/>
    <cellStyle name="Note 10 2 7 3" xfId="25015" xr:uid="{00000000-0005-0000-0000-0000B5610000}"/>
    <cellStyle name="Note 10 2 7 4" xfId="25016" xr:uid="{00000000-0005-0000-0000-0000B6610000}"/>
    <cellStyle name="Note 10 2 8" xfId="25017" xr:uid="{00000000-0005-0000-0000-0000B7610000}"/>
    <cellStyle name="Note 10 2 8 2" xfId="25018" xr:uid="{00000000-0005-0000-0000-0000B8610000}"/>
    <cellStyle name="Note 10 2 8 2 2" xfId="25019" xr:uid="{00000000-0005-0000-0000-0000B9610000}"/>
    <cellStyle name="Note 10 2 8 2 3" xfId="25020" xr:uid="{00000000-0005-0000-0000-0000BA610000}"/>
    <cellStyle name="Note 10 2 8 3" xfId="25021" xr:uid="{00000000-0005-0000-0000-0000BB610000}"/>
    <cellStyle name="Note 10 2 8 4" xfId="25022" xr:uid="{00000000-0005-0000-0000-0000BC610000}"/>
    <cellStyle name="Note 10 2 9" xfId="25023" xr:uid="{00000000-0005-0000-0000-0000BD610000}"/>
    <cellStyle name="Note 10 2 9 2" xfId="25024" xr:uid="{00000000-0005-0000-0000-0000BE610000}"/>
    <cellStyle name="Note 10 2 9 2 2" xfId="25025" xr:uid="{00000000-0005-0000-0000-0000BF610000}"/>
    <cellStyle name="Note 10 2 9 2 3" xfId="25026" xr:uid="{00000000-0005-0000-0000-0000C0610000}"/>
    <cellStyle name="Note 10 2 9 3" xfId="25027" xr:uid="{00000000-0005-0000-0000-0000C1610000}"/>
    <cellStyle name="Note 10 2 9 4" xfId="25028" xr:uid="{00000000-0005-0000-0000-0000C2610000}"/>
    <cellStyle name="Note 10 3" xfId="25029" xr:uid="{00000000-0005-0000-0000-0000C3610000}"/>
    <cellStyle name="Note 10 3 2" xfId="25030" xr:uid="{00000000-0005-0000-0000-0000C4610000}"/>
    <cellStyle name="Note 10 3 2 2" xfId="25031" xr:uid="{00000000-0005-0000-0000-0000C5610000}"/>
    <cellStyle name="Note 10 3 2 3" xfId="25032" xr:uid="{00000000-0005-0000-0000-0000C6610000}"/>
    <cellStyle name="Note 10 3 3" xfId="25033" xr:uid="{00000000-0005-0000-0000-0000C7610000}"/>
    <cellStyle name="Note 10 3 4" xfId="25034" xr:uid="{00000000-0005-0000-0000-0000C8610000}"/>
    <cellStyle name="Note 10 4" xfId="25035" xr:uid="{00000000-0005-0000-0000-0000C9610000}"/>
    <cellStyle name="Note 10 5" xfId="25036" xr:uid="{00000000-0005-0000-0000-0000CA610000}"/>
    <cellStyle name="Note 11" xfId="25037" xr:uid="{00000000-0005-0000-0000-0000CB610000}"/>
    <cellStyle name="Note 11 2" xfId="25038" xr:uid="{00000000-0005-0000-0000-0000CC610000}"/>
    <cellStyle name="Note 11 2 10" xfId="25039" xr:uid="{00000000-0005-0000-0000-0000CD610000}"/>
    <cellStyle name="Note 11 2 10 2" xfId="25040" xr:uid="{00000000-0005-0000-0000-0000CE610000}"/>
    <cellStyle name="Note 11 2 10 2 2" xfId="25041" xr:uid="{00000000-0005-0000-0000-0000CF610000}"/>
    <cellStyle name="Note 11 2 10 2 3" xfId="25042" xr:uid="{00000000-0005-0000-0000-0000D0610000}"/>
    <cellStyle name="Note 11 2 10 3" xfId="25043" xr:uid="{00000000-0005-0000-0000-0000D1610000}"/>
    <cellStyle name="Note 11 2 10 4" xfId="25044" xr:uid="{00000000-0005-0000-0000-0000D2610000}"/>
    <cellStyle name="Note 11 2 11" xfId="25045" xr:uid="{00000000-0005-0000-0000-0000D3610000}"/>
    <cellStyle name="Note 11 2 11 2" xfId="25046" xr:uid="{00000000-0005-0000-0000-0000D4610000}"/>
    <cellStyle name="Note 11 2 11 2 2" xfId="25047" xr:uid="{00000000-0005-0000-0000-0000D5610000}"/>
    <cellStyle name="Note 11 2 11 2 3" xfId="25048" xr:uid="{00000000-0005-0000-0000-0000D6610000}"/>
    <cellStyle name="Note 11 2 11 3" xfId="25049" xr:uid="{00000000-0005-0000-0000-0000D7610000}"/>
    <cellStyle name="Note 11 2 11 4" xfId="25050" xr:uid="{00000000-0005-0000-0000-0000D8610000}"/>
    <cellStyle name="Note 11 2 12" xfId="25051" xr:uid="{00000000-0005-0000-0000-0000D9610000}"/>
    <cellStyle name="Note 11 2 12 2" xfId="25052" xr:uid="{00000000-0005-0000-0000-0000DA610000}"/>
    <cellStyle name="Note 11 2 12 2 2" xfId="25053" xr:uid="{00000000-0005-0000-0000-0000DB610000}"/>
    <cellStyle name="Note 11 2 12 2 3" xfId="25054" xr:uid="{00000000-0005-0000-0000-0000DC610000}"/>
    <cellStyle name="Note 11 2 12 3" xfId="25055" xr:uid="{00000000-0005-0000-0000-0000DD610000}"/>
    <cellStyle name="Note 11 2 12 4" xfId="25056" xr:uid="{00000000-0005-0000-0000-0000DE610000}"/>
    <cellStyle name="Note 11 2 13" xfId="25057" xr:uid="{00000000-0005-0000-0000-0000DF610000}"/>
    <cellStyle name="Note 11 2 13 2" xfId="25058" xr:uid="{00000000-0005-0000-0000-0000E0610000}"/>
    <cellStyle name="Note 11 2 13 2 2" xfId="25059" xr:uid="{00000000-0005-0000-0000-0000E1610000}"/>
    <cellStyle name="Note 11 2 13 2 3" xfId="25060" xr:uid="{00000000-0005-0000-0000-0000E2610000}"/>
    <cellStyle name="Note 11 2 13 3" xfId="25061" xr:uid="{00000000-0005-0000-0000-0000E3610000}"/>
    <cellStyle name="Note 11 2 13 4" xfId="25062" xr:uid="{00000000-0005-0000-0000-0000E4610000}"/>
    <cellStyle name="Note 11 2 14" xfId="25063" xr:uid="{00000000-0005-0000-0000-0000E5610000}"/>
    <cellStyle name="Note 11 2 14 2" xfId="25064" xr:uid="{00000000-0005-0000-0000-0000E6610000}"/>
    <cellStyle name="Note 11 2 14 2 2" xfId="25065" xr:uid="{00000000-0005-0000-0000-0000E7610000}"/>
    <cellStyle name="Note 11 2 14 2 3" xfId="25066" xr:uid="{00000000-0005-0000-0000-0000E8610000}"/>
    <cellStyle name="Note 11 2 14 3" xfId="25067" xr:uid="{00000000-0005-0000-0000-0000E9610000}"/>
    <cellStyle name="Note 11 2 14 4" xfId="25068" xr:uid="{00000000-0005-0000-0000-0000EA610000}"/>
    <cellStyle name="Note 11 2 15" xfId="25069" xr:uid="{00000000-0005-0000-0000-0000EB610000}"/>
    <cellStyle name="Note 11 2 15 2" xfId="25070" xr:uid="{00000000-0005-0000-0000-0000EC610000}"/>
    <cellStyle name="Note 11 2 15 2 2" xfId="25071" xr:uid="{00000000-0005-0000-0000-0000ED610000}"/>
    <cellStyle name="Note 11 2 15 2 3" xfId="25072" xr:uid="{00000000-0005-0000-0000-0000EE610000}"/>
    <cellStyle name="Note 11 2 15 3" xfId="25073" xr:uid="{00000000-0005-0000-0000-0000EF610000}"/>
    <cellStyle name="Note 11 2 15 4" xfId="25074" xr:uid="{00000000-0005-0000-0000-0000F0610000}"/>
    <cellStyle name="Note 11 2 16" xfId="25075" xr:uid="{00000000-0005-0000-0000-0000F1610000}"/>
    <cellStyle name="Note 11 2 16 2" xfId="25076" xr:uid="{00000000-0005-0000-0000-0000F2610000}"/>
    <cellStyle name="Note 11 2 16 2 2" xfId="25077" xr:uid="{00000000-0005-0000-0000-0000F3610000}"/>
    <cellStyle name="Note 11 2 16 2 3" xfId="25078" xr:uid="{00000000-0005-0000-0000-0000F4610000}"/>
    <cellStyle name="Note 11 2 16 3" xfId="25079" xr:uid="{00000000-0005-0000-0000-0000F5610000}"/>
    <cellStyle name="Note 11 2 16 4" xfId="25080" xr:uid="{00000000-0005-0000-0000-0000F6610000}"/>
    <cellStyle name="Note 11 2 17" xfId="25081" xr:uid="{00000000-0005-0000-0000-0000F7610000}"/>
    <cellStyle name="Note 11 2 17 2" xfId="25082" xr:uid="{00000000-0005-0000-0000-0000F8610000}"/>
    <cellStyle name="Note 11 2 17 2 2" xfId="25083" xr:uid="{00000000-0005-0000-0000-0000F9610000}"/>
    <cellStyle name="Note 11 2 17 2 3" xfId="25084" xr:uid="{00000000-0005-0000-0000-0000FA610000}"/>
    <cellStyle name="Note 11 2 17 3" xfId="25085" xr:uid="{00000000-0005-0000-0000-0000FB610000}"/>
    <cellStyle name="Note 11 2 17 4" xfId="25086" xr:uid="{00000000-0005-0000-0000-0000FC610000}"/>
    <cellStyle name="Note 11 2 18" xfId="25087" xr:uid="{00000000-0005-0000-0000-0000FD610000}"/>
    <cellStyle name="Note 11 2 18 2" xfId="25088" xr:uid="{00000000-0005-0000-0000-0000FE610000}"/>
    <cellStyle name="Note 11 2 18 3" xfId="25089" xr:uid="{00000000-0005-0000-0000-0000FF610000}"/>
    <cellStyle name="Note 11 2 18 4" xfId="25090" xr:uid="{00000000-0005-0000-0000-000000620000}"/>
    <cellStyle name="Note 11 2 19" xfId="25091" xr:uid="{00000000-0005-0000-0000-000001620000}"/>
    <cellStyle name="Note 11 2 2" xfId="25092" xr:uid="{00000000-0005-0000-0000-000002620000}"/>
    <cellStyle name="Note 11 2 2 2" xfId="25093" xr:uid="{00000000-0005-0000-0000-000003620000}"/>
    <cellStyle name="Note 11 2 2 2 2" xfId="25094" xr:uid="{00000000-0005-0000-0000-000004620000}"/>
    <cellStyle name="Note 11 2 2 2 3" xfId="25095" xr:uid="{00000000-0005-0000-0000-000005620000}"/>
    <cellStyle name="Note 11 2 2 3" xfId="25096" xr:uid="{00000000-0005-0000-0000-000006620000}"/>
    <cellStyle name="Note 11 2 2 4" xfId="25097" xr:uid="{00000000-0005-0000-0000-000007620000}"/>
    <cellStyle name="Note 11 2 20" xfId="25098" xr:uid="{00000000-0005-0000-0000-000008620000}"/>
    <cellStyle name="Note 11 2 21" xfId="25099" xr:uid="{00000000-0005-0000-0000-000009620000}"/>
    <cellStyle name="Note 11 2 3" xfId="25100" xr:uid="{00000000-0005-0000-0000-00000A620000}"/>
    <cellStyle name="Note 11 2 3 2" xfId="25101" xr:uid="{00000000-0005-0000-0000-00000B620000}"/>
    <cellStyle name="Note 11 2 3 2 2" xfId="25102" xr:uid="{00000000-0005-0000-0000-00000C620000}"/>
    <cellStyle name="Note 11 2 3 2 3" xfId="25103" xr:uid="{00000000-0005-0000-0000-00000D620000}"/>
    <cellStyle name="Note 11 2 3 3" xfId="25104" xr:uid="{00000000-0005-0000-0000-00000E620000}"/>
    <cellStyle name="Note 11 2 3 4" xfId="25105" xr:uid="{00000000-0005-0000-0000-00000F620000}"/>
    <cellStyle name="Note 11 2 4" xfId="25106" xr:uid="{00000000-0005-0000-0000-000010620000}"/>
    <cellStyle name="Note 11 2 4 2" xfId="25107" xr:uid="{00000000-0005-0000-0000-000011620000}"/>
    <cellStyle name="Note 11 2 4 2 2" xfId="25108" xr:uid="{00000000-0005-0000-0000-000012620000}"/>
    <cellStyle name="Note 11 2 4 2 3" xfId="25109" xr:uid="{00000000-0005-0000-0000-000013620000}"/>
    <cellStyle name="Note 11 2 4 3" xfId="25110" xr:uid="{00000000-0005-0000-0000-000014620000}"/>
    <cellStyle name="Note 11 2 4 4" xfId="25111" xr:uid="{00000000-0005-0000-0000-000015620000}"/>
    <cellStyle name="Note 11 2 5" xfId="25112" xr:uid="{00000000-0005-0000-0000-000016620000}"/>
    <cellStyle name="Note 11 2 5 2" xfId="25113" xr:uid="{00000000-0005-0000-0000-000017620000}"/>
    <cellStyle name="Note 11 2 5 2 2" xfId="25114" xr:uid="{00000000-0005-0000-0000-000018620000}"/>
    <cellStyle name="Note 11 2 5 2 3" xfId="25115" xr:uid="{00000000-0005-0000-0000-000019620000}"/>
    <cellStyle name="Note 11 2 5 3" xfId="25116" xr:uid="{00000000-0005-0000-0000-00001A620000}"/>
    <cellStyle name="Note 11 2 5 4" xfId="25117" xr:uid="{00000000-0005-0000-0000-00001B620000}"/>
    <cellStyle name="Note 11 2 6" xfId="25118" xr:uid="{00000000-0005-0000-0000-00001C620000}"/>
    <cellStyle name="Note 11 2 6 2" xfId="25119" xr:uid="{00000000-0005-0000-0000-00001D620000}"/>
    <cellStyle name="Note 11 2 6 2 2" xfId="25120" xr:uid="{00000000-0005-0000-0000-00001E620000}"/>
    <cellStyle name="Note 11 2 6 2 3" xfId="25121" xr:uid="{00000000-0005-0000-0000-00001F620000}"/>
    <cellStyle name="Note 11 2 6 3" xfId="25122" xr:uid="{00000000-0005-0000-0000-000020620000}"/>
    <cellStyle name="Note 11 2 6 4" xfId="25123" xr:uid="{00000000-0005-0000-0000-000021620000}"/>
    <cellStyle name="Note 11 2 7" xfId="25124" xr:uid="{00000000-0005-0000-0000-000022620000}"/>
    <cellStyle name="Note 11 2 7 2" xfId="25125" xr:uid="{00000000-0005-0000-0000-000023620000}"/>
    <cellStyle name="Note 11 2 7 2 2" xfId="25126" xr:uid="{00000000-0005-0000-0000-000024620000}"/>
    <cellStyle name="Note 11 2 7 2 3" xfId="25127" xr:uid="{00000000-0005-0000-0000-000025620000}"/>
    <cellStyle name="Note 11 2 7 3" xfId="25128" xr:uid="{00000000-0005-0000-0000-000026620000}"/>
    <cellStyle name="Note 11 2 7 4" xfId="25129" xr:uid="{00000000-0005-0000-0000-000027620000}"/>
    <cellStyle name="Note 11 2 8" xfId="25130" xr:uid="{00000000-0005-0000-0000-000028620000}"/>
    <cellStyle name="Note 11 2 8 2" xfId="25131" xr:uid="{00000000-0005-0000-0000-000029620000}"/>
    <cellStyle name="Note 11 2 8 2 2" xfId="25132" xr:uid="{00000000-0005-0000-0000-00002A620000}"/>
    <cellStyle name="Note 11 2 8 2 3" xfId="25133" xr:uid="{00000000-0005-0000-0000-00002B620000}"/>
    <cellStyle name="Note 11 2 8 3" xfId="25134" xr:uid="{00000000-0005-0000-0000-00002C620000}"/>
    <cellStyle name="Note 11 2 8 4" xfId="25135" xr:uid="{00000000-0005-0000-0000-00002D620000}"/>
    <cellStyle name="Note 11 2 9" xfId="25136" xr:uid="{00000000-0005-0000-0000-00002E620000}"/>
    <cellStyle name="Note 11 2 9 2" xfId="25137" xr:uid="{00000000-0005-0000-0000-00002F620000}"/>
    <cellStyle name="Note 11 2 9 2 2" xfId="25138" xr:uid="{00000000-0005-0000-0000-000030620000}"/>
    <cellStyle name="Note 11 2 9 2 3" xfId="25139" xr:uid="{00000000-0005-0000-0000-000031620000}"/>
    <cellStyle name="Note 11 2 9 3" xfId="25140" xr:uid="{00000000-0005-0000-0000-000032620000}"/>
    <cellStyle name="Note 11 2 9 4" xfId="25141" xr:uid="{00000000-0005-0000-0000-000033620000}"/>
    <cellStyle name="Note 11 3" xfId="25142" xr:uid="{00000000-0005-0000-0000-000034620000}"/>
    <cellStyle name="Note 11 3 2" xfId="25143" xr:uid="{00000000-0005-0000-0000-000035620000}"/>
    <cellStyle name="Note 11 3 2 2" xfId="25144" xr:uid="{00000000-0005-0000-0000-000036620000}"/>
    <cellStyle name="Note 11 3 2 3" xfId="25145" xr:uid="{00000000-0005-0000-0000-000037620000}"/>
    <cellStyle name="Note 11 3 3" xfId="25146" xr:uid="{00000000-0005-0000-0000-000038620000}"/>
    <cellStyle name="Note 11 3 4" xfId="25147" xr:uid="{00000000-0005-0000-0000-000039620000}"/>
    <cellStyle name="Note 11 4" xfId="25148" xr:uid="{00000000-0005-0000-0000-00003A620000}"/>
    <cellStyle name="Note 11 5" xfId="25149" xr:uid="{00000000-0005-0000-0000-00003B620000}"/>
    <cellStyle name="Note 12" xfId="25150" xr:uid="{00000000-0005-0000-0000-00003C620000}"/>
    <cellStyle name="Note 12 2" xfId="25151" xr:uid="{00000000-0005-0000-0000-00003D620000}"/>
    <cellStyle name="Note 12 2 10" xfId="25152" xr:uid="{00000000-0005-0000-0000-00003E620000}"/>
    <cellStyle name="Note 12 2 10 2" xfId="25153" xr:uid="{00000000-0005-0000-0000-00003F620000}"/>
    <cellStyle name="Note 12 2 10 2 2" xfId="25154" xr:uid="{00000000-0005-0000-0000-000040620000}"/>
    <cellStyle name="Note 12 2 10 2 3" xfId="25155" xr:uid="{00000000-0005-0000-0000-000041620000}"/>
    <cellStyle name="Note 12 2 10 3" xfId="25156" xr:uid="{00000000-0005-0000-0000-000042620000}"/>
    <cellStyle name="Note 12 2 10 4" xfId="25157" xr:uid="{00000000-0005-0000-0000-000043620000}"/>
    <cellStyle name="Note 12 2 11" xfId="25158" xr:uid="{00000000-0005-0000-0000-000044620000}"/>
    <cellStyle name="Note 12 2 11 2" xfId="25159" xr:uid="{00000000-0005-0000-0000-000045620000}"/>
    <cellStyle name="Note 12 2 11 2 2" xfId="25160" xr:uid="{00000000-0005-0000-0000-000046620000}"/>
    <cellStyle name="Note 12 2 11 2 3" xfId="25161" xr:uid="{00000000-0005-0000-0000-000047620000}"/>
    <cellStyle name="Note 12 2 11 3" xfId="25162" xr:uid="{00000000-0005-0000-0000-000048620000}"/>
    <cellStyle name="Note 12 2 11 4" xfId="25163" xr:uid="{00000000-0005-0000-0000-000049620000}"/>
    <cellStyle name="Note 12 2 12" xfId="25164" xr:uid="{00000000-0005-0000-0000-00004A620000}"/>
    <cellStyle name="Note 12 2 12 2" xfId="25165" xr:uid="{00000000-0005-0000-0000-00004B620000}"/>
    <cellStyle name="Note 12 2 12 2 2" xfId="25166" xr:uid="{00000000-0005-0000-0000-00004C620000}"/>
    <cellStyle name="Note 12 2 12 2 3" xfId="25167" xr:uid="{00000000-0005-0000-0000-00004D620000}"/>
    <cellStyle name="Note 12 2 12 3" xfId="25168" xr:uid="{00000000-0005-0000-0000-00004E620000}"/>
    <cellStyle name="Note 12 2 12 4" xfId="25169" xr:uid="{00000000-0005-0000-0000-00004F620000}"/>
    <cellStyle name="Note 12 2 13" xfId="25170" xr:uid="{00000000-0005-0000-0000-000050620000}"/>
    <cellStyle name="Note 12 2 13 2" xfId="25171" xr:uid="{00000000-0005-0000-0000-000051620000}"/>
    <cellStyle name="Note 12 2 13 2 2" xfId="25172" xr:uid="{00000000-0005-0000-0000-000052620000}"/>
    <cellStyle name="Note 12 2 13 2 3" xfId="25173" xr:uid="{00000000-0005-0000-0000-000053620000}"/>
    <cellStyle name="Note 12 2 13 3" xfId="25174" xr:uid="{00000000-0005-0000-0000-000054620000}"/>
    <cellStyle name="Note 12 2 13 4" xfId="25175" xr:uid="{00000000-0005-0000-0000-000055620000}"/>
    <cellStyle name="Note 12 2 14" xfId="25176" xr:uid="{00000000-0005-0000-0000-000056620000}"/>
    <cellStyle name="Note 12 2 14 2" xfId="25177" xr:uid="{00000000-0005-0000-0000-000057620000}"/>
    <cellStyle name="Note 12 2 14 2 2" xfId="25178" xr:uid="{00000000-0005-0000-0000-000058620000}"/>
    <cellStyle name="Note 12 2 14 2 3" xfId="25179" xr:uid="{00000000-0005-0000-0000-000059620000}"/>
    <cellStyle name="Note 12 2 14 3" xfId="25180" xr:uid="{00000000-0005-0000-0000-00005A620000}"/>
    <cellStyle name="Note 12 2 14 4" xfId="25181" xr:uid="{00000000-0005-0000-0000-00005B620000}"/>
    <cellStyle name="Note 12 2 15" xfId="25182" xr:uid="{00000000-0005-0000-0000-00005C620000}"/>
    <cellStyle name="Note 12 2 15 2" xfId="25183" xr:uid="{00000000-0005-0000-0000-00005D620000}"/>
    <cellStyle name="Note 12 2 15 2 2" xfId="25184" xr:uid="{00000000-0005-0000-0000-00005E620000}"/>
    <cellStyle name="Note 12 2 15 2 3" xfId="25185" xr:uid="{00000000-0005-0000-0000-00005F620000}"/>
    <cellStyle name="Note 12 2 15 3" xfId="25186" xr:uid="{00000000-0005-0000-0000-000060620000}"/>
    <cellStyle name="Note 12 2 15 4" xfId="25187" xr:uid="{00000000-0005-0000-0000-000061620000}"/>
    <cellStyle name="Note 12 2 16" xfId="25188" xr:uid="{00000000-0005-0000-0000-000062620000}"/>
    <cellStyle name="Note 12 2 16 2" xfId="25189" xr:uid="{00000000-0005-0000-0000-000063620000}"/>
    <cellStyle name="Note 12 2 16 2 2" xfId="25190" xr:uid="{00000000-0005-0000-0000-000064620000}"/>
    <cellStyle name="Note 12 2 16 2 3" xfId="25191" xr:uid="{00000000-0005-0000-0000-000065620000}"/>
    <cellStyle name="Note 12 2 16 3" xfId="25192" xr:uid="{00000000-0005-0000-0000-000066620000}"/>
    <cellStyle name="Note 12 2 16 4" xfId="25193" xr:uid="{00000000-0005-0000-0000-000067620000}"/>
    <cellStyle name="Note 12 2 17" xfId="25194" xr:uid="{00000000-0005-0000-0000-000068620000}"/>
    <cellStyle name="Note 12 2 17 2" xfId="25195" xr:uid="{00000000-0005-0000-0000-000069620000}"/>
    <cellStyle name="Note 12 2 17 2 2" xfId="25196" xr:uid="{00000000-0005-0000-0000-00006A620000}"/>
    <cellStyle name="Note 12 2 17 2 3" xfId="25197" xr:uid="{00000000-0005-0000-0000-00006B620000}"/>
    <cellStyle name="Note 12 2 17 3" xfId="25198" xr:uid="{00000000-0005-0000-0000-00006C620000}"/>
    <cellStyle name="Note 12 2 17 4" xfId="25199" xr:uid="{00000000-0005-0000-0000-00006D620000}"/>
    <cellStyle name="Note 12 2 18" xfId="25200" xr:uid="{00000000-0005-0000-0000-00006E620000}"/>
    <cellStyle name="Note 12 2 18 2" xfId="25201" xr:uid="{00000000-0005-0000-0000-00006F620000}"/>
    <cellStyle name="Note 12 2 18 3" xfId="25202" xr:uid="{00000000-0005-0000-0000-000070620000}"/>
    <cellStyle name="Note 12 2 18 4" xfId="25203" xr:uid="{00000000-0005-0000-0000-000071620000}"/>
    <cellStyle name="Note 12 2 19" xfId="25204" xr:uid="{00000000-0005-0000-0000-000072620000}"/>
    <cellStyle name="Note 12 2 2" xfId="25205" xr:uid="{00000000-0005-0000-0000-000073620000}"/>
    <cellStyle name="Note 12 2 2 2" xfId="25206" xr:uid="{00000000-0005-0000-0000-000074620000}"/>
    <cellStyle name="Note 12 2 2 2 2" xfId="25207" xr:uid="{00000000-0005-0000-0000-000075620000}"/>
    <cellStyle name="Note 12 2 2 2 3" xfId="25208" xr:uid="{00000000-0005-0000-0000-000076620000}"/>
    <cellStyle name="Note 12 2 2 3" xfId="25209" xr:uid="{00000000-0005-0000-0000-000077620000}"/>
    <cellStyle name="Note 12 2 2 4" xfId="25210" xr:uid="{00000000-0005-0000-0000-000078620000}"/>
    <cellStyle name="Note 12 2 20" xfId="25211" xr:uid="{00000000-0005-0000-0000-000079620000}"/>
    <cellStyle name="Note 12 2 21" xfId="25212" xr:uid="{00000000-0005-0000-0000-00007A620000}"/>
    <cellStyle name="Note 12 2 3" xfId="25213" xr:uid="{00000000-0005-0000-0000-00007B620000}"/>
    <cellStyle name="Note 12 2 3 2" xfId="25214" xr:uid="{00000000-0005-0000-0000-00007C620000}"/>
    <cellStyle name="Note 12 2 3 2 2" xfId="25215" xr:uid="{00000000-0005-0000-0000-00007D620000}"/>
    <cellStyle name="Note 12 2 3 2 3" xfId="25216" xr:uid="{00000000-0005-0000-0000-00007E620000}"/>
    <cellStyle name="Note 12 2 3 3" xfId="25217" xr:uid="{00000000-0005-0000-0000-00007F620000}"/>
    <cellStyle name="Note 12 2 3 4" xfId="25218" xr:uid="{00000000-0005-0000-0000-000080620000}"/>
    <cellStyle name="Note 12 2 4" xfId="25219" xr:uid="{00000000-0005-0000-0000-000081620000}"/>
    <cellStyle name="Note 12 2 4 2" xfId="25220" xr:uid="{00000000-0005-0000-0000-000082620000}"/>
    <cellStyle name="Note 12 2 4 2 2" xfId="25221" xr:uid="{00000000-0005-0000-0000-000083620000}"/>
    <cellStyle name="Note 12 2 4 2 3" xfId="25222" xr:uid="{00000000-0005-0000-0000-000084620000}"/>
    <cellStyle name="Note 12 2 4 3" xfId="25223" xr:uid="{00000000-0005-0000-0000-000085620000}"/>
    <cellStyle name="Note 12 2 4 4" xfId="25224" xr:uid="{00000000-0005-0000-0000-000086620000}"/>
    <cellStyle name="Note 12 2 5" xfId="25225" xr:uid="{00000000-0005-0000-0000-000087620000}"/>
    <cellStyle name="Note 12 2 5 2" xfId="25226" xr:uid="{00000000-0005-0000-0000-000088620000}"/>
    <cellStyle name="Note 12 2 5 2 2" xfId="25227" xr:uid="{00000000-0005-0000-0000-000089620000}"/>
    <cellStyle name="Note 12 2 5 2 3" xfId="25228" xr:uid="{00000000-0005-0000-0000-00008A620000}"/>
    <cellStyle name="Note 12 2 5 3" xfId="25229" xr:uid="{00000000-0005-0000-0000-00008B620000}"/>
    <cellStyle name="Note 12 2 5 4" xfId="25230" xr:uid="{00000000-0005-0000-0000-00008C620000}"/>
    <cellStyle name="Note 12 2 6" xfId="25231" xr:uid="{00000000-0005-0000-0000-00008D620000}"/>
    <cellStyle name="Note 12 2 6 2" xfId="25232" xr:uid="{00000000-0005-0000-0000-00008E620000}"/>
    <cellStyle name="Note 12 2 6 2 2" xfId="25233" xr:uid="{00000000-0005-0000-0000-00008F620000}"/>
    <cellStyle name="Note 12 2 6 2 3" xfId="25234" xr:uid="{00000000-0005-0000-0000-000090620000}"/>
    <cellStyle name="Note 12 2 6 3" xfId="25235" xr:uid="{00000000-0005-0000-0000-000091620000}"/>
    <cellStyle name="Note 12 2 6 4" xfId="25236" xr:uid="{00000000-0005-0000-0000-000092620000}"/>
    <cellStyle name="Note 12 2 7" xfId="25237" xr:uid="{00000000-0005-0000-0000-000093620000}"/>
    <cellStyle name="Note 12 2 7 2" xfId="25238" xr:uid="{00000000-0005-0000-0000-000094620000}"/>
    <cellStyle name="Note 12 2 7 2 2" xfId="25239" xr:uid="{00000000-0005-0000-0000-000095620000}"/>
    <cellStyle name="Note 12 2 7 2 3" xfId="25240" xr:uid="{00000000-0005-0000-0000-000096620000}"/>
    <cellStyle name="Note 12 2 7 3" xfId="25241" xr:uid="{00000000-0005-0000-0000-000097620000}"/>
    <cellStyle name="Note 12 2 7 4" xfId="25242" xr:uid="{00000000-0005-0000-0000-000098620000}"/>
    <cellStyle name="Note 12 2 8" xfId="25243" xr:uid="{00000000-0005-0000-0000-000099620000}"/>
    <cellStyle name="Note 12 2 8 2" xfId="25244" xr:uid="{00000000-0005-0000-0000-00009A620000}"/>
    <cellStyle name="Note 12 2 8 2 2" xfId="25245" xr:uid="{00000000-0005-0000-0000-00009B620000}"/>
    <cellStyle name="Note 12 2 8 2 3" xfId="25246" xr:uid="{00000000-0005-0000-0000-00009C620000}"/>
    <cellStyle name="Note 12 2 8 3" xfId="25247" xr:uid="{00000000-0005-0000-0000-00009D620000}"/>
    <cellStyle name="Note 12 2 8 4" xfId="25248" xr:uid="{00000000-0005-0000-0000-00009E620000}"/>
    <cellStyle name="Note 12 2 9" xfId="25249" xr:uid="{00000000-0005-0000-0000-00009F620000}"/>
    <cellStyle name="Note 12 2 9 2" xfId="25250" xr:uid="{00000000-0005-0000-0000-0000A0620000}"/>
    <cellStyle name="Note 12 2 9 2 2" xfId="25251" xr:uid="{00000000-0005-0000-0000-0000A1620000}"/>
    <cellStyle name="Note 12 2 9 2 3" xfId="25252" xr:uid="{00000000-0005-0000-0000-0000A2620000}"/>
    <cellStyle name="Note 12 2 9 3" xfId="25253" xr:uid="{00000000-0005-0000-0000-0000A3620000}"/>
    <cellStyle name="Note 12 2 9 4" xfId="25254" xr:uid="{00000000-0005-0000-0000-0000A4620000}"/>
    <cellStyle name="Note 12 3" xfId="25255" xr:uid="{00000000-0005-0000-0000-0000A5620000}"/>
    <cellStyle name="Note 12 3 2" xfId="25256" xr:uid="{00000000-0005-0000-0000-0000A6620000}"/>
    <cellStyle name="Note 12 3 2 2" xfId="25257" xr:uid="{00000000-0005-0000-0000-0000A7620000}"/>
    <cellStyle name="Note 12 3 2 3" xfId="25258" xr:uid="{00000000-0005-0000-0000-0000A8620000}"/>
    <cellStyle name="Note 12 3 3" xfId="25259" xr:uid="{00000000-0005-0000-0000-0000A9620000}"/>
    <cellStyle name="Note 12 3 4" xfId="25260" xr:uid="{00000000-0005-0000-0000-0000AA620000}"/>
    <cellStyle name="Note 12 4" xfId="25261" xr:uid="{00000000-0005-0000-0000-0000AB620000}"/>
    <cellStyle name="Note 12 5" xfId="25262" xr:uid="{00000000-0005-0000-0000-0000AC620000}"/>
    <cellStyle name="Note 13" xfId="25263" xr:uid="{00000000-0005-0000-0000-0000AD620000}"/>
    <cellStyle name="Note 13 2" xfId="25264" xr:uid="{00000000-0005-0000-0000-0000AE620000}"/>
    <cellStyle name="Note 13 2 10" xfId="25265" xr:uid="{00000000-0005-0000-0000-0000AF620000}"/>
    <cellStyle name="Note 13 2 10 2" xfId="25266" xr:uid="{00000000-0005-0000-0000-0000B0620000}"/>
    <cellStyle name="Note 13 2 10 2 2" xfId="25267" xr:uid="{00000000-0005-0000-0000-0000B1620000}"/>
    <cellStyle name="Note 13 2 10 2 3" xfId="25268" xr:uid="{00000000-0005-0000-0000-0000B2620000}"/>
    <cellStyle name="Note 13 2 10 3" xfId="25269" xr:uid="{00000000-0005-0000-0000-0000B3620000}"/>
    <cellStyle name="Note 13 2 10 4" xfId="25270" xr:uid="{00000000-0005-0000-0000-0000B4620000}"/>
    <cellStyle name="Note 13 2 11" xfId="25271" xr:uid="{00000000-0005-0000-0000-0000B5620000}"/>
    <cellStyle name="Note 13 2 11 2" xfId="25272" xr:uid="{00000000-0005-0000-0000-0000B6620000}"/>
    <cellStyle name="Note 13 2 11 2 2" xfId="25273" xr:uid="{00000000-0005-0000-0000-0000B7620000}"/>
    <cellStyle name="Note 13 2 11 2 3" xfId="25274" xr:uid="{00000000-0005-0000-0000-0000B8620000}"/>
    <cellStyle name="Note 13 2 11 3" xfId="25275" xr:uid="{00000000-0005-0000-0000-0000B9620000}"/>
    <cellStyle name="Note 13 2 11 4" xfId="25276" xr:uid="{00000000-0005-0000-0000-0000BA620000}"/>
    <cellStyle name="Note 13 2 12" xfId="25277" xr:uid="{00000000-0005-0000-0000-0000BB620000}"/>
    <cellStyle name="Note 13 2 12 2" xfId="25278" xr:uid="{00000000-0005-0000-0000-0000BC620000}"/>
    <cellStyle name="Note 13 2 12 2 2" xfId="25279" xr:uid="{00000000-0005-0000-0000-0000BD620000}"/>
    <cellStyle name="Note 13 2 12 2 3" xfId="25280" xr:uid="{00000000-0005-0000-0000-0000BE620000}"/>
    <cellStyle name="Note 13 2 12 3" xfId="25281" xr:uid="{00000000-0005-0000-0000-0000BF620000}"/>
    <cellStyle name="Note 13 2 12 4" xfId="25282" xr:uid="{00000000-0005-0000-0000-0000C0620000}"/>
    <cellStyle name="Note 13 2 13" xfId="25283" xr:uid="{00000000-0005-0000-0000-0000C1620000}"/>
    <cellStyle name="Note 13 2 13 2" xfId="25284" xr:uid="{00000000-0005-0000-0000-0000C2620000}"/>
    <cellStyle name="Note 13 2 13 2 2" xfId="25285" xr:uid="{00000000-0005-0000-0000-0000C3620000}"/>
    <cellStyle name="Note 13 2 13 2 3" xfId="25286" xr:uid="{00000000-0005-0000-0000-0000C4620000}"/>
    <cellStyle name="Note 13 2 13 3" xfId="25287" xr:uid="{00000000-0005-0000-0000-0000C5620000}"/>
    <cellStyle name="Note 13 2 13 4" xfId="25288" xr:uid="{00000000-0005-0000-0000-0000C6620000}"/>
    <cellStyle name="Note 13 2 14" xfId="25289" xr:uid="{00000000-0005-0000-0000-0000C7620000}"/>
    <cellStyle name="Note 13 2 14 2" xfId="25290" xr:uid="{00000000-0005-0000-0000-0000C8620000}"/>
    <cellStyle name="Note 13 2 14 2 2" xfId="25291" xr:uid="{00000000-0005-0000-0000-0000C9620000}"/>
    <cellStyle name="Note 13 2 14 2 3" xfId="25292" xr:uid="{00000000-0005-0000-0000-0000CA620000}"/>
    <cellStyle name="Note 13 2 14 3" xfId="25293" xr:uid="{00000000-0005-0000-0000-0000CB620000}"/>
    <cellStyle name="Note 13 2 14 4" xfId="25294" xr:uid="{00000000-0005-0000-0000-0000CC620000}"/>
    <cellStyle name="Note 13 2 15" xfId="25295" xr:uid="{00000000-0005-0000-0000-0000CD620000}"/>
    <cellStyle name="Note 13 2 15 2" xfId="25296" xr:uid="{00000000-0005-0000-0000-0000CE620000}"/>
    <cellStyle name="Note 13 2 15 2 2" xfId="25297" xr:uid="{00000000-0005-0000-0000-0000CF620000}"/>
    <cellStyle name="Note 13 2 15 2 3" xfId="25298" xr:uid="{00000000-0005-0000-0000-0000D0620000}"/>
    <cellStyle name="Note 13 2 15 3" xfId="25299" xr:uid="{00000000-0005-0000-0000-0000D1620000}"/>
    <cellStyle name="Note 13 2 15 4" xfId="25300" xr:uid="{00000000-0005-0000-0000-0000D2620000}"/>
    <cellStyle name="Note 13 2 16" xfId="25301" xr:uid="{00000000-0005-0000-0000-0000D3620000}"/>
    <cellStyle name="Note 13 2 16 2" xfId="25302" xr:uid="{00000000-0005-0000-0000-0000D4620000}"/>
    <cellStyle name="Note 13 2 16 2 2" xfId="25303" xr:uid="{00000000-0005-0000-0000-0000D5620000}"/>
    <cellStyle name="Note 13 2 16 2 3" xfId="25304" xr:uid="{00000000-0005-0000-0000-0000D6620000}"/>
    <cellStyle name="Note 13 2 16 3" xfId="25305" xr:uid="{00000000-0005-0000-0000-0000D7620000}"/>
    <cellStyle name="Note 13 2 16 4" xfId="25306" xr:uid="{00000000-0005-0000-0000-0000D8620000}"/>
    <cellStyle name="Note 13 2 17" xfId="25307" xr:uid="{00000000-0005-0000-0000-0000D9620000}"/>
    <cellStyle name="Note 13 2 17 2" xfId="25308" xr:uid="{00000000-0005-0000-0000-0000DA620000}"/>
    <cellStyle name="Note 13 2 17 2 2" xfId="25309" xr:uid="{00000000-0005-0000-0000-0000DB620000}"/>
    <cellStyle name="Note 13 2 17 2 3" xfId="25310" xr:uid="{00000000-0005-0000-0000-0000DC620000}"/>
    <cellStyle name="Note 13 2 17 3" xfId="25311" xr:uid="{00000000-0005-0000-0000-0000DD620000}"/>
    <cellStyle name="Note 13 2 17 4" xfId="25312" xr:uid="{00000000-0005-0000-0000-0000DE620000}"/>
    <cellStyle name="Note 13 2 18" xfId="25313" xr:uid="{00000000-0005-0000-0000-0000DF620000}"/>
    <cellStyle name="Note 13 2 18 2" xfId="25314" xr:uid="{00000000-0005-0000-0000-0000E0620000}"/>
    <cellStyle name="Note 13 2 18 3" xfId="25315" xr:uid="{00000000-0005-0000-0000-0000E1620000}"/>
    <cellStyle name="Note 13 2 18 4" xfId="25316" xr:uid="{00000000-0005-0000-0000-0000E2620000}"/>
    <cellStyle name="Note 13 2 19" xfId="25317" xr:uid="{00000000-0005-0000-0000-0000E3620000}"/>
    <cellStyle name="Note 13 2 2" xfId="25318" xr:uid="{00000000-0005-0000-0000-0000E4620000}"/>
    <cellStyle name="Note 13 2 2 2" xfId="25319" xr:uid="{00000000-0005-0000-0000-0000E5620000}"/>
    <cellStyle name="Note 13 2 2 2 2" xfId="25320" xr:uid="{00000000-0005-0000-0000-0000E6620000}"/>
    <cellStyle name="Note 13 2 2 2 3" xfId="25321" xr:uid="{00000000-0005-0000-0000-0000E7620000}"/>
    <cellStyle name="Note 13 2 2 3" xfId="25322" xr:uid="{00000000-0005-0000-0000-0000E8620000}"/>
    <cellStyle name="Note 13 2 2 4" xfId="25323" xr:uid="{00000000-0005-0000-0000-0000E9620000}"/>
    <cellStyle name="Note 13 2 20" xfId="25324" xr:uid="{00000000-0005-0000-0000-0000EA620000}"/>
    <cellStyle name="Note 13 2 21" xfId="25325" xr:uid="{00000000-0005-0000-0000-0000EB620000}"/>
    <cellStyle name="Note 13 2 3" xfId="25326" xr:uid="{00000000-0005-0000-0000-0000EC620000}"/>
    <cellStyle name="Note 13 2 3 2" xfId="25327" xr:uid="{00000000-0005-0000-0000-0000ED620000}"/>
    <cellStyle name="Note 13 2 3 2 2" xfId="25328" xr:uid="{00000000-0005-0000-0000-0000EE620000}"/>
    <cellStyle name="Note 13 2 3 2 3" xfId="25329" xr:uid="{00000000-0005-0000-0000-0000EF620000}"/>
    <cellStyle name="Note 13 2 3 3" xfId="25330" xr:uid="{00000000-0005-0000-0000-0000F0620000}"/>
    <cellStyle name="Note 13 2 3 4" xfId="25331" xr:uid="{00000000-0005-0000-0000-0000F1620000}"/>
    <cellStyle name="Note 13 2 4" xfId="25332" xr:uid="{00000000-0005-0000-0000-0000F2620000}"/>
    <cellStyle name="Note 13 2 4 2" xfId="25333" xr:uid="{00000000-0005-0000-0000-0000F3620000}"/>
    <cellStyle name="Note 13 2 4 2 2" xfId="25334" xr:uid="{00000000-0005-0000-0000-0000F4620000}"/>
    <cellStyle name="Note 13 2 4 2 3" xfId="25335" xr:uid="{00000000-0005-0000-0000-0000F5620000}"/>
    <cellStyle name="Note 13 2 4 3" xfId="25336" xr:uid="{00000000-0005-0000-0000-0000F6620000}"/>
    <cellStyle name="Note 13 2 4 4" xfId="25337" xr:uid="{00000000-0005-0000-0000-0000F7620000}"/>
    <cellStyle name="Note 13 2 5" xfId="25338" xr:uid="{00000000-0005-0000-0000-0000F8620000}"/>
    <cellStyle name="Note 13 2 5 2" xfId="25339" xr:uid="{00000000-0005-0000-0000-0000F9620000}"/>
    <cellStyle name="Note 13 2 5 2 2" xfId="25340" xr:uid="{00000000-0005-0000-0000-0000FA620000}"/>
    <cellStyle name="Note 13 2 5 2 3" xfId="25341" xr:uid="{00000000-0005-0000-0000-0000FB620000}"/>
    <cellStyle name="Note 13 2 5 3" xfId="25342" xr:uid="{00000000-0005-0000-0000-0000FC620000}"/>
    <cellStyle name="Note 13 2 5 4" xfId="25343" xr:uid="{00000000-0005-0000-0000-0000FD620000}"/>
    <cellStyle name="Note 13 2 6" xfId="25344" xr:uid="{00000000-0005-0000-0000-0000FE620000}"/>
    <cellStyle name="Note 13 2 6 2" xfId="25345" xr:uid="{00000000-0005-0000-0000-0000FF620000}"/>
    <cellStyle name="Note 13 2 6 2 2" xfId="25346" xr:uid="{00000000-0005-0000-0000-000000630000}"/>
    <cellStyle name="Note 13 2 6 2 3" xfId="25347" xr:uid="{00000000-0005-0000-0000-000001630000}"/>
    <cellStyle name="Note 13 2 6 3" xfId="25348" xr:uid="{00000000-0005-0000-0000-000002630000}"/>
    <cellStyle name="Note 13 2 6 4" xfId="25349" xr:uid="{00000000-0005-0000-0000-000003630000}"/>
    <cellStyle name="Note 13 2 7" xfId="25350" xr:uid="{00000000-0005-0000-0000-000004630000}"/>
    <cellStyle name="Note 13 2 7 2" xfId="25351" xr:uid="{00000000-0005-0000-0000-000005630000}"/>
    <cellStyle name="Note 13 2 7 2 2" xfId="25352" xr:uid="{00000000-0005-0000-0000-000006630000}"/>
    <cellStyle name="Note 13 2 7 2 3" xfId="25353" xr:uid="{00000000-0005-0000-0000-000007630000}"/>
    <cellStyle name="Note 13 2 7 3" xfId="25354" xr:uid="{00000000-0005-0000-0000-000008630000}"/>
    <cellStyle name="Note 13 2 7 4" xfId="25355" xr:uid="{00000000-0005-0000-0000-000009630000}"/>
    <cellStyle name="Note 13 2 8" xfId="25356" xr:uid="{00000000-0005-0000-0000-00000A630000}"/>
    <cellStyle name="Note 13 2 8 2" xfId="25357" xr:uid="{00000000-0005-0000-0000-00000B630000}"/>
    <cellStyle name="Note 13 2 8 2 2" xfId="25358" xr:uid="{00000000-0005-0000-0000-00000C630000}"/>
    <cellStyle name="Note 13 2 8 2 3" xfId="25359" xr:uid="{00000000-0005-0000-0000-00000D630000}"/>
    <cellStyle name="Note 13 2 8 3" xfId="25360" xr:uid="{00000000-0005-0000-0000-00000E630000}"/>
    <cellStyle name="Note 13 2 8 4" xfId="25361" xr:uid="{00000000-0005-0000-0000-00000F630000}"/>
    <cellStyle name="Note 13 2 9" xfId="25362" xr:uid="{00000000-0005-0000-0000-000010630000}"/>
    <cellStyle name="Note 13 2 9 2" xfId="25363" xr:uid="{00000000-0005-0000-0000-000011630000}"/>
    <cellStyle name="Note 13 2 9 2 2" xfId="25364" xr:uid="{00000000-0005-0000-0000-000012630000}"/>
    <cellStyle name="Note 13 2 9 2 3" xfId="25365" xr:uid="{00000000-0005-0000-0000-000013630000}"/>
    <cellStyle name="Note 13 2 9 3" xfId="25366" xr:uid="{00000000-0005-0000-0000-000014630000}"/>
    <cellStyle name="Note 13 2 9 4" xfId="25367" xr:uid="{00000000-0005-0000-0000-000015630000}"/>
    <cellStyle name="Note 13 3" xfId="25368" xr:uid="{00000000-0005-0000-0000-000016630000}"/>
    <cellStyle name="Note 13 3 2" xfId="25369" xr:uid="{00000000-0005-0000-0000-000017630000}"/>
    <cellStyle name="Note 13 3 2 2" xfId="25370" xr:uid="{00000000-0005-0000-0000-000018630000}"/>
    <cellStyle name="Note 13 3 2 3" xfId="25371" xr:uid="{00000000-0005-0000-0000-000019630000}"/>
    <cellStyle name="Note 13 3 3" xfId="25372" xr:uid="{00000000-0005-0000-0000-00001A630000}"/>
    <cellStyle name="Note 13 3 4" xfId="25373" xr:uid="{00000000-0005-0000-0000-00001B630000}"/>
    <cellStyle name="Note 13 4" xfId="25374" xr:uid="{00000000-0005-0000-0000-00001C630000}"/>
    <cellStyle name="Note 13 5" xfId="25375" xr:uid="{00000000-0005-0000-0000-00001D630000}"/>
    <cellStyle name="Note 14" xfId="25376" xr:uid="{00000000-0005-0000-0000-00001E630000}"/>
    <cellStyle name="Note 14 2" xfId="25377" xr:uid="{00000000-0005-0000-0000-00001F630000}"/>
    <cellStyle name="Note 14 2 10" xfId="25378" xr:uid="{00000000-0005-0000-0000-000020630000}"/>
    <cellStyle name="Note 14 2 10 2" xfId="25379" xr:uid="{00000000-0005-0000-0000-000021630000}"/>
    <cellStyle name="Note 14 2 10 2 2" xfId="25380" xr:uid="{00000000-0005-0000-0000-000022630000}"/>
    <cellStyle name="Note 14 2 10 2 3" xfId="25381" xr:uid="{00000000-0005-0000-0000-000023630000}"/>
    <cellStyle name="Note 14 2 10 3" xfId="25382" xr:uid="{00000000-0005-0000-0000-000024630000}"/>
    <cellStyle name="Note 14 2 10 4" xfId="25383" xr:uid="{00000000-0005-0000-0000-000025630000}"/>
    <cellStyle name="Note 14 2 11" xfId="25384" xr:uid="{00000000-0005-0000-0000-000026630000}"/>
    <cellStyle name="Note 14 2 11 2" xfId="25385" xr:uid="{00000000-0005-0000-0000-000027630000}"/>
    <cellStyle name="Note 14 2 11 2 2" xfId="25386" xr:uid="{00000000-0005-0000-0000-000028630000}"/>
    <cellStyle name="Note 14 2 11 2 3" xfId="25387" xr:uid="{00000000-0005-0000-0000-000029630000}"/>
    <cellStyle name="Note 14 2 11 3" xfId="25388" xr:uid="{00000000-0005-0000-0000-00002A630000}"/>
    <cellStyle name="Note 14 2 11 4" xfId="25389" xr:uid="{00000000-0005-0000-0000-00002B630000}"/>
    <cellStyle name="Note 14 2 12" xfId="25390" xr:uid="{00000000-0005-0000-0000-00002C630000}"/>
    <cellStyle name="Note 14 2 12 2" xfId="25391" xr:uid="{00000000-0005-0000-0000-00002D630000}"/>
    <cellStyle name="Note 14 2 12 2 2" xfId="25392" xr:uid="{00000000-0005-0000-0000-00002E630000}"/>
    <cellStyle name="Note 14 2 12 2 3" xfId="25393" xr:uid="{00000000-0005-0000-0000-00002F630000}"/>
    <cellStyle name="Note 14 2 12 3" xfId="25394" xr:uid="{00000000-0005-0000-0000-000030630000}"/>
    <cellStyle name="Note 14 2 12 4" xfId="25395" xr:uid="{00000000-0005-0000-0000-000031630000}"/>
    <cellStyle name="Note 14 2 13" xfId="25396" xr:uid="{00000000-0005-0000-0000-000032630000}"/>
    <cellStyle name="Note 14 2 13 2" xfId="25397" xr:uid="{00000000-0005-0000-0000-000033630000}"/>
    <cellStyle name="Note 14 2 13 2 2" xfId="25398" xr:uid="{00000000-0005-0000-0000-000034630000}"/>
    <cellStyle name="Note 14 2 13 2 3" xfId="25399" xr:uid="{00000000-0005-0000-0000-000035630000}"/>
    <cellStyle name="Note 14 2 13 3" xfId="25400" xr:uid="{00000000-0005-0000-0000-000036630000}"/>
    <cellStyle name="Note 14 2 13 4" xfId="25401" xr:uid="{00000000-0005-0000-0000-000037630000}"/>
    <cellStyle name="Note 14 2 14" xfId="25402" xr:uid="{00000000-0005-0000-0000-000038630000}"/>
    <cellStyle name="Note 14 2 14 2" xfId="25403" xr:uid="{00000000-0005-0000-0000-000039630000}"/>
    <cellStyle name="Note 14 2 14 2 2" xfId="25404" xr:uid="{00000000-0005-0000-0000-00003A630000}"/>
    <cellStyle name="Note 14 2 14 2 3" xfId="25405" xr:uid="{00000000-0005-0000-0000-00003B630000}"/>
    <cellStyle name="Note 14 2 14 3" xfId="25406" xr:uid="{00000000-0005-0000-0000-00003C630000}"/>
    <cellStyle name="Note 14 2 14 4" xfId="25407" xr:uid="{00000000-0005-0000-0000-00003D630000}"/>
    <cellStyle name="Note 14 2 15" xfId="25408" xr:uid="{00000000-0005-0000-0000-00003E630000}"/>
    <cellStyle name="Note 14 2 15 2" xfId="25409" xr:uid="{00000000-0005-0000-0000-00003F630000}"/>
    <cellStyle name="Note 14 2 15 2 2" xfId="25410" xr:uid="{00000000-0005-0000-0000-000040630000}"/>
    <cellStyle name="Note 14 2 15 2 3" xfId="25411" xr:uid="{00000000-0005-0000-0000-000041630000}"/>
    <cellStyle name="Note 14 2 15 3" xfId="25412" xr:uid="{00000000-0005-0000-0000-000042630000}"/>
    <cellStyle name="Note 14 2 15 4" xfId="25413" xr:uid="{00000000-0005-0000-0000-000043630000}"/>
    <cellStyle name="Note 14 2 16" xfId="25414" xr:uid="{00000000-0005-0000-0000-000044630000}"/>
    <cellStyle name="Note 14 2 16 2" xfId="25415" xr:uid="{00000000-0005-0000-0000-000045630000}"/>
    <cellStyle name="Note 14 2 16 2 2" xfId="25416" xr:uid="{00000000-0005-0000-0000-000046630000}"/>
    <cellStyle name="Note 14 2 16 2 3" xfId="25417" xr:uid="{00000000-0005-0000-0000-000047630000}"/>
    <cellStyle name="Note 14 2 16 3" xfId="25418" xr:uid="{00000000-0005-0000-0000-000048630000}"/>
    <cellStyle name="Note 14 2 16 4" xfId="25419" xr:uid="{00000000-0005-0000-0000-000049630000}"/>
    <cellStyle name="Note 14 2 17" xfId="25420" xr:uid="{00000000-0005-0000-0000-00004A630000}"/>
    <cellStyle name="Note 14 2 17 2" xfId="25421" xr:uid="{00000000-0005-0000-0000-00004B630000}"/>
    <cellStyle name="Note 14 2 17 2 2" xfId="25422" xr:uid="{00000000-0005-0000-0000-00004C630000}"/>
    <cellStyle name="Note 14 2 17 2 3" xfId="25423" xr:uid="{00000000-0005-0000-0000-00004D630000}"/>
    <cellStyle name="Note 14 2 17 3" xfId="25424" xr:uid="{00000000-0005-0000-0000-00004E630000}"/>
    <cellStyle name="Note 14 2 17 4" xfId="25425" xr:uid="{00000000-0005-0000-0000-00004F630000}"/>
    <cellStyle name="Note 14 2 18" xfId="25426" xr:uid="{00000000-0005-0000-0000-000050630000}"/>
    <cellStyle name="Note 14 2 18 2" xfId="25427" xr:uid="{00000000-0005-0000-0000-000051630000}"/>
    <cellStyle name="Note 14 2 18 3" xfId="25428" xr:uid="{00000000-0005-0000-0000-000052630000}"/>
    <cellStyle name="Note 14 2 18 4" xfId="25429" xr:uid="{00000000-0005-0000-0000-000053630000}"/>
    <cellStyle name="Note 14 2 19" xfId="25430" xr:uid="{00000000-0005-0000-0000-000054630000}"/>
    <cellStyle name="Note 14 2 2" xfId="25431" xr:uid="{00000000-0005-0000-0000-000055630000}"/>
    <cellStyle name="Note 14 2 2 2" xfId="25432" xr:uid="{00000000-0005-0000-0000-000056630000}"/>
    <cellStyle name="Note 14 2 2 2 2" xfId="25433" xr:uid="{00000000-0005-0000-0000-000057630000}"/>
    <cellStyle name="Note 14 2 2 2 3" xfId="25434" xr:uid="{00000000-0005-0000-0000-000058630000}"/>
    <cellStyle name="Note 14 2 2 3" xfId="25435" xr:uid="{00000000-0005-0000-0000-000059630000}"/>
    <cellStyle name="Note 14 2 2 4" xfId="25436" xr:uid="{00000000-0005-0000-0000-00005A630000}"/>
    <cellStyle name="Note 14 2 20" xfId="25437" xr:uid="{00000000-0005-0000-0000-00005B630000}"/>
    <cellStyle name="Note 14 2 21" xfId="25438" xr:uid="{00000000-0005-0000-0000-00005C630000}"/>
    <cellStyle name="Note 14 2 3" xfId="25439" xr:uid="{00000000-0005-0000-0000-00005D630000}"/>
    <cellStyle name="Note 14 2 3 2" xfId="25440" xr:uid="{00000000-0005-0000-0000-00005E630000}"/>
    <cellStyle name="Note 14 2 3 2 2" xfId="25441" xr:uid="{00000000-0005-0000-0000-00005F630000}"/>
    <cellStyle name="Note 14 2 3 2 3" xfId="25442" xr:uid="{00000000-0005-0000-0000-000060630000}"/>
    <cellStyle name="Note 14 2 3 3" xfId="25443" xr:uid="{00000000-0005-0000-0000-000061630000}"/>
    <cellStyle name="Note 14 2 3 4" xfId="25444" xr:uid="{00000000-0005-0000-0000-000062630000}"/>
    <cellStyle name="Note 14 2 4" xfId="25445" xr:uid="{00000000-0005-0000-0000-000063630000}"/>
    <cellStyle name="Note 14 2 4 2" xfId="25446" xr:uid="{00000000-0005-0000-0000-000064630000}"/>
    <cellStyle name="Note 14 2 4 2 2" xfId="25447" xr:uid="{00000000-0005-0000-0000-000065630000}"/>
    <cellStyle name="Note 14 2 4 2 3" xfId="25448" xr:uid="{00000000-0005-0000-0000-000066630000}"/>
    <cellStyle name="Note 14 2 4 3" xfId="25449" xr:uid="{00000000-0005-0000-0000-000067630000}"/>
    <cellStyle name="Note 14 2 4 4" xfId="25450" xr:uid="{00000000-0005-0000-0000-000068630000}"/>
    <cellStyle name="Note 14 2 5" xfId="25451" xr:uid="{00000000-0005-0000-0000-000069630000}"/>
    <cellStyle name="Note 14 2 5 2" xfId="25452" xr:uid="{00000000-0005-0000-0000-00006A630000}"/>
    <cellStyle name="Note 14 2 5 2 2" xfId="25453" xr:uid="{00000000-0005-0000-0000-00006B630000}"/>
    <cellStyle name="Note 14 2 5 2 3" xfId="25454" xr:uid="{00000000-0005-0000-0000-00006C630000}"/>
    <cellStyle name="Note 14 2 5 3" xfId="25455" xr:uid="{00000000-0005-0000-0000-00006D630000}"/>
    <cellStyle name="Note 14 2 5 4" xfId="25456" xr:uid="{00000000-0005-0000-0000-00006E630000}"/>
    <cellStyle name="Note 14 2 6" xfId="25457" xr:uid="{00000000-0005-0000-0000-00006F630000}"/>
    <cellStyle name="Note 14 2 6 2" xfId="25458" xr:uid="{00000000-0005-0000-0000-000070630000}"/>
    <cellStyle name="Note 14 2 6 2 2" xfId="25459" xr:uid="{00000000-0005-0000-0000-000071630000}"/>
    <cellStyle name="Note 14 2 6 2 3" xfId="25460" xr:uid="{00000000-0005-0000-0000-000072630000}"/>
    <cellStyle name="Note 14 2 6 3" xfId="25461" xr:uid="{00000000-0005-0000-0000-000073630000}"/>
    <cellStyle name="Note 14 2 6 4" xfId="25462" xr:uid="{00000000-0005-0000-0000-000074630000}"/>
    <cellStyle name="Note 14 2 7" xfId="25463" xr:uid="{00000000-0005-0000-0000-000075630000}"/>
    <cellStyle name="Note 14 2 7 2" xfId="25464" xr:uid="{00000000-0005-0000-0000-000076630000}"/>
    <cellStyle name="Note 14 2 7 2 2" xfId="25465" xr:uid="{00000000-0005-0000-0000-000077630000}"/>
    <cellStyle name="Note 14 2 7 2 3" xfId="25466" xr:uid="{00000000-0005-0000-0000-000078630000}"/>
    <cellStyle name="Note 14 2 7 3" xfId="25467" xr:uid="{00000000-0005-0000-0000-000079630000}"/>
    <cellStyle name="Note 14 2 7 4" xfId="25468" xr:uid="{00000000-0005-0000-0000-00007A630000}"/>
    <cellStyle name="Note 14 2 8" xfId="25469" xr:uid="{00000000-0005-0000-0000-00007B630000}"/>
    <cellStyle name="Note 14 2 8 2" xfId="25470" xr:uid="{00000000-0005-0000-0000-00007C630000}"/>
    <cellStyle name="Note 14 2 8 2 2" xfId="25471" xr:uid="{00000000-0005-0000-0000-00007D630000}"/>
    <cellStyle name="Note 14 2 8 2 3" xfId="25472" xr:uid="{00000000-0005-0000-0000-00007E630000}"/>
    <cellStyle name="Note 14 2 8 3" xfId="25473" xr:uid="{00000000-0005-0000-0000-00007F630000}"/>
    <cellStyle name="Note 14 2 8 4" xfId="25474" xr:uid="{00000000-0005-0000-0000-000080630000}"/>
    <cellStyle name="Note 14 2 9" xfId="25475" xr:uid="{00000000-0005-0000-0000-000081630000}"/>
    <cellStyle name="Note 14 2 9 2" xfId="25476" xr:uid="{00000000-0005-0000-0000-000082630000}"/>
    <cellStyle name="Note 14 2 9 2 2" xfId="25477" xr:uid="{00000000-0005-0000-0000-000083630000}"/>
    <cellStyle name="Note 14 2 9 2 3" xfId="25478" xr:uid="{00000000-0005-0000-0000-000084630000}"/>
    <cellStyle name="Note 14 2 9 3" xfId="25479" xr:uid="{00000000-0005-0000-0000-000085630000}"/>
    <cellStyle name="Note 14 2 9 4" xfId="25480" xr:uid="{00000000-0005-0000-0000-000086630000}"/>
    <cellStyle name="Note 14 3" xfId="25481" xr:uid="{00000000-0005-0000-0000-000087630000}"/>
    <cellStyle name="Note 14 3 2" xfId="25482" xr:uid="{00000000-0005-0000-0000-000088630000}"/>
    <cellStyle name="Note 14 3 2 2" xfId="25483" xr:uid="{00000000-0005-0000-0000-000089630000}"/>
    <cellStyle name="Note 14 3 2 3" xfId="25484" xr:uid="{00000000-0005-0000-0000-00008A630000}"/>
    <cellStyle name="Note 14 3 3" xfId="25485" xr:uid="{00000000-0005-0000-0000-00008B630000}"/>
    <cellStyle name="Note 14 3 4" xfId="25486" xr:uid="{00000000-0005-0000-0000-00008C630000}"/>
    <cellStyle name="Note 14 4" xfId="25487" xr:uid="{00000000-0005-0000-0000-00008D630000}"/>
    <cellStyle name="Note 14 5" xfId="25488" xr:uid="{00000000-0005-0000-0000-00008E630000}"/>
    <cellStyle name="Note 15" xfId="25489" xr:uid="{00000000-0005-0000-0000-00008F630000}"/>
    <cellStyle name="Note 15 2" xfId="25490" xr:uid="{00000000-0005-0000-0000-000090630000}"/>
    <cellStyle name="Note 15 2 10" xfId="25491" xr:uid="{00000000-0005-0000-0000-000091630000}"/>
    <cellStyle name="Note 15 2 10 2" xfId="25492" xr:uid="{00000000-0005-0000-0000-000092630000}"/>
    <cellStyle name="Note 15 2 10 2 2" xfId="25493" xr:uid="{00000000-0005-0000-0000-000093630000}"/>
    <cellStyle name="Note 15 2 10 2 3" xfId="25494" xr:uid="{00000000-0005-0000-0000-000094630000}"/>
    <cellStyle name="Note 15 2 10 3" xfId="25495" xr:uid="{00000000-0005-0000-0000-000095630000}"/>
    <cellStyle name="Note 15 2 10 4" xfId="25496" xr:uid="{00000000-0005-0000-0000-000096630000}"/>
    <cellStyle name="Note 15 2 11" xfId="25497" xr:uid="{00000000-0005-0000-0000-000097630000}"/>
    <cellStyle name="Note 15 2 11 2" xfId="25498" xr:uid="{00000000-0005-0000-0000-000098630000}"/>
    <cellStyle name="Note 15 2 11 2 2" xfId="25499" xr:uid="{00000000-0005-0000-0000-000099630000}"/>
    <cellStyle name="Note 15 2 11 2 3" xfId="25500" xr:uid="{00000000-0005-0000-0000-00009A630000}"/>
    <cellStyle name="Note 15 2 11 3" xfId="25501" xr:uid="{00000000-0005-0000-0000-00009B630000}"/>
    <cellStyle name="Note 15 2 11 4" xfId="25502" xr:uid="{00000000-0005-0000-0000-00009C630000}"/>
    <cellStyle name="Note 15 2 12" xfId="25503" xr:uid="{00000000-0005-0000-0000-00009D630000}"/>
    <cellStyle name="Note 15 2 12 2" xfId="25504" xr:uid="{00000000-0005-0000-0000-00009E630000}"/>
    <cellStyle name="Note 15 2 12 2 2" xfId="25505" xr:uid="{00000000-0005-0000-0000-00009F630000}"/>
    <cellStyle name="Note 15 2 12 2 3" xfId="25506" xr:uid="{00000000-0005-0000-0000-0000A0630000}"/>
    <cellStyle name="Note 15 2 12 3" xfId="25507" xr:uid="{00000000-0005-0000-0000-0000A1630000}"/>
    <cellStyle name="Note 15 2 12 4" xfId="25508" xr:uid="{00000000-0005-0000-0000-0000A2630000}"/>
    <cellStyle name="Note 15 2 13" xfId="25509" xr:uid="{00000000-0005-0000-0000-0000A3630000}"/>
    <cellStyle name="Note 15 2 13 2" xfId="25510" xr:uid="{00000000-0005-0000-0000-0000A4630000}"/>
    <cellStyle name="Note 15 2 13 2 2" xfId="25511" xr:uid="{00000000-0005-0000-0000-0000A5630000}"/>
    <cellStyle name="Note 15 2 13 2 3" xfId="25512" xr:uid="{00000000-0005-0000-0000-0000A6630000}"/>
    <cellStyle name="Note 15 2 13 3" xfId="25513" xr:uid="{00000000-0005-0000-0000-0000A7630000}"/>
    <cellStyle name="Note 15 2 13 4" xfId="25514" xr:uid="{00000000-0005-0000-0000-0000A8630000}"/>
    <cellStyle name="Note 15 2 14" xfId="25515" xr:uid="{00000000-0005-0000-0000-0000A9630000}"/>
    <cellStyle name="Note 15 2 14 2" xfId="25516" xr:uid="{00000000-0005-0000-0000-0000AA630000}"/>
    <cellStyle name="Note 15 2 14 2 2" xfId="25517" xr:uid="{00000000-0005-0000-0000-0000AB630000}"/>
    <cellStyle name="Note 15 2 14 2 3" xfId="25518" xr:uid="{00000000-0005-0000-0000-0000AC630000}"/>
    <cellStyle name="Note 15 2 14 3" xfId="25519" xr:uid="{00000000-0005-0000-0000-0000AD630000}"/>
    <cellStyle name="Note 15 2 14 4" xfId="25520" xr:uid="{00000000-0005-0000-0000-0000AE630000}"/>
    <cellStyle name="Note 15 2 15" xfId="25521" xr:uid="{00000000-0005-0000-0000-0000AF630000}"/>
    <cellStyle name="Note 15 2 15 2" xfId="25522" xr:uid="{00000000-0005-0000-0000-0000B0630000}"/>
    <cellStyle name="Note 15 2 15 2 2" xfId="25523" xr:uid="{00000000-0005-0000-0000-0000B1630000}"/>
    <cellStyle name="Note 15 2 15 2 3" xfId="25524" xr:uid="{00000000-0005-0000-0000-0000B2630000}"/>
    <cellStyle name="Note 15 2 15 3" xfId="25525" xr:uid="{00000000-0005-0000-0000-0000B3630000}"/>
    <cellStyle name="Note 15 2 15 4" xfId="25526" xr:uid="{00000000-0005-0000-0000-0000B4630000}"/>
    <cellStyle name="Note 15 2 16" xfId="25527" xr:uid="{00000000-0005-0000-0000-0000B5630000}"/>
    <cellStyle name="Note 15 2 16 2" xfId="25528" xr:uid="{00000000-0005-0000-0000-0000B6630000}"/>
    <cellStyle name="Note 15 2 16 2 2" xfId="25529" xr:uid="{00000000-0005-0000-0000-0000B7630000}"/>
    <cellStyle name="Note 15 2 16 2 3" xfId="25530" xr:uid="{00000000-0005-0000-0000-0000B8630000}"/>
    <cellStyle name="Note 15 2 16 3" xfId="25531" xr:uid="{00000000-0005-0000-0000-0000B9630000}"/>
    <cellStyle name="Note 15 2 16 4" xfId="25532" xr:uid="{00000000-0005-0000-0000-0000BA630000}"/>
    <cellStyle name="Note 15 2 17" xfId="25533" xr:uid="{00000000-0005-0000-0000-0000BB630000}"/>
    <cellStyle name="Note 15 2 17 2" xfId="25534" xr:uid="{00000000-0005-0000-0000-0000BC630000}"/>
    <cellStyle name="Note 15 2 17 2 2" xfId="25535" xr:uid="{00000000-0005-0000-0000-0000BD630000}"/>
    <cellStyle name="Note 15 2 17 2 3" xfId="25536" xr:uid="{00000000-0005-0000-0000-0000BE630000}"/>
    <cellStyle name="Note 15 2 17 3" xfId="25537" xr:uid="{00000000-0005-0000-0000-0000BF630000}"/>
    <cellStyle name="Note 15 2 17 4" xfId="25538" xr:uid="{00000000-0005-0000-0000-0000C0630000}"/>
    <cellStyle name="Note 15 2 18" xfId="25539" xr:uid="{00000000-0005-0000-0000-0000C1630000}"/>
    <cellStyle name="Note 15 2 18 2" xfId="25540" xr:uid="{00000000-0005-0000-0000-0000C2630000}"/>
    <cellStyle name="Note 15 2 18 3" xfId="25541" xr:uid="{00000000-0005-0000-0000-0000C3630000}"/>
    <cellStyle name="Note 15 2 18 4" xfId="25542" xr:uid="{00000000-0005-0000-0000-0000C4630000}"/>
    <cellStyle name="Note 15 2 19" xfId="25543" xr:uid="{00000000-0005-0000-0000-0000C5630000}"/>
    <cellStyle name="Note 15 2 2" xfId="25544" xr:uid="{00000000-0005-0000-0000-0000C6630000}"/>
    <cellStyle name="Note 15 2 2 2" xfId="25545" xr:uid="{00000000-0005-0000-0000-0000C7630000}"/>
    <cellStyle name="Note 15 2 2 2 2" xfId="25546" xr:uid="{00000000-0005-0000-0000-0000C8630000}"/>
    <cellStyle name="Note 15 2 2 2 3" xfId="25547" xr:uid="{00000000-0005-0000-0000-0000C9630000}"/>
    <cellStyle name="Note 15 2 2 3" xfId="25548" xr:uid="{00000000-0005-0000-0000-0000CA630000}"/>
    <cellStyle name="Note 15 2 2 4" xfId="25549" xr:uid="{00000000-0005-0000-0000-0000CB630000}"/>
    <cellStyle name="Note 15 2 20" xfId="25550" xr:uid="{00000000-0005-0000-0000-0000CC630000}"/>
    <cellStyle name="Note 15 2 21" xfId="25551" xr:uid="{00000000-0005-0000-0000-0000CD630000}"/>
    <cellStyle name="Note 15 2 3" xfId="25552" xr:uid="{00000000-0005-0000-0000-0000CE630000}"/>
    <cellStyle name="Note 15 2 3 2" xfId="25553" xr:uid="{00000000-0005-0000-0000-0000CF630000}"/>
    <cellStyle name="Note 15 2 3 2 2" xfId="25554" xr:uid="{00000000-0005-0000-0000-0000D0630000}"/>
    <cellStyle name="Note 15 2 3 2 3" xfId="25555" xr:uid="{00000000-0005-0000-0000-0000D1630000}"/>
    <cellStyle name="Note 15 2 3 3" xfId="25556" xr:uid="{00000000-0005-0000-0000-0000D2630000}"/>
    <cellStyle name="Note 15 2 3 4" xfId="25557" xr:uid="{00000000-0005-0000-0000-0000D3630000}"/>
    <cellStyle name="Note 15 2 4" xfId="25558" xr:uid="{00000000-0005-0000-0000-0000D4630000}"/>
    <cellStyle name="Note 15 2 4 2" xfId="25559" xr:uid="{00000000-0005-0000-0000-0000D5630000}"/>
    <cellStyle name="Note 15 2 4 2 2" xfId="25560" xr:uid="{00000000-0005-0000-0000-0000D6630000}"/>
    <cellStyle name="Note 15 2 4 2 3" xfId="25561" xr:uid="{00000000-0005-0000-0000-0000D7630000}"/>
    <cellStyle name="Note 15 2 4 3" xfId="25562" xr:uid="{00000000-0005-0000-0000-0000D8630000}"/>
    <cellStyle name="Note 15 2 4 4" xfId="25563" xr:uid="{00000000-0005-0000-0000-0000D9630000}"/>
    <cellStyle name="Note 15 2 5" xfId="25564" xr:uid="{00000000-0005-0000-0000-0000DA630000}"/>
    <cellStyle name="Note 15 2 5 2" xfId="25565" xr:uid="{00000000-0005-0000-0000-0000DB630000}"/>
    <cellStyle name="Note 15 2 5 2 2" xfId="25566" xr:uid="{00000000-0005-0000-0000-0000DC630000}"/>
    <cellStyle name="Note 15 2 5 2 3" xfId="25567" xr:uid="{00000000-0005-0000-0000-0000DD630000}"/>
    <cellStyle name="Note 15 2 5 3" xfId="25568" xr:uid="{00000000-0005-0000-0000-0000DE630000}"/>
    <cellStyle name="Note 15 2 5 4" xfId="25569" xr:uid="{00000000-0005-0000-0000-0000DF630000}"/>
    <cellStyle name="Note 15 2 6" xfId="25570" xr:uid="{00000000-0005-0000-0000-0000E0630000}"/>
    <cellStyle name="Note 15 2 6 2" xfId="25571" xr:uid="{00000000-0005-0000-0000-0000E1630000}"/>
    <cellStyle name="Note 15 2 6 2 2" xfId="25572" xr:uid="{00000000-0005-0000-0000-0000E2630000}"/>
    <cellStyle name="Note 15 2 6 2 3" xfId="25573" xr:uid="{00000000-0005-0000-0000-0000E3630000}"/>
    <cellStyle name="Note 15 2 6 3" xfId="25574" xr:uid="{00000000-0005-0000-0000-0000E4630000}"/>
    <cellStyle name="Note 15 2 6 4" xfId="25575" xr:uid="{00000000-0005-0000-0000-0000E5630000}"/>
    <cellStyle name="Note 15 2 7" xfId="25576" xr:uid="{00000000-0005-0000-0000-0000E6630000}"/>
    <cellStyle name="Note 15 2 7 2" xfId="25577" xr:uid="{00000000-0005-0000-0000-0000E7630000}"/>
    <cellStyle name="Note 15 2 7 2 2" xfId="25578" xr:uid="{00000000-0005-0000-0000-0000E8630000}"/>
    <cellStyle name="Note 15 2 7 2 3" xfId="25579" xr:uid="{00000000-0005-0000-0000-0000E9630000}"/>
    <cellStyle name="Note 15 2 7 3" xfId="25580" xr:uid="{00000000-0005-0000-0000-0000EA630000}"/>
    <cellStyle name="Note 15 2 7 4" xfId="25581" xr:uid="{00000000-0005-0000-0000-0000EB630000}"/>
    <cellStyle name="Note 15 2 8" xfId="25582" xr:uid="{00000000-0005-0000-0000-0000EC630000}"/>
    <cellStyle name="Note 15 2 8 2" xfId="25583" xr:uid="{00000000-0005-0000-0000-0000ED630000}"/>
    <cellStyle name="Note 15 2 8 2 2" xfId="25584" xr:uid="{00000000-0005-0000-0000-0000EE630000}"/>
    <cellStyle name="Note 15 2 8 2 3" xfId="25585" xr:uid="{00000000-0005-0000-0000-0000EF630000}"/>
    <cellStyle name="Note 15 2 8 3" xfId="25586" xr:uid="{00000000-0005-0000-0000-0000F0630000}"/>
    <cellStyle name="Note 15 2 8 4" xfId="25587" xr:uid="{00000000-0005-0000-0000-0000F1630000}"/>
    <cellStyle name="Note 15 2 9" xfId="25588" xr:uid="{00000000-0005-0000-0000-0000F2630000}"/>
    <cellStyle name="Note 15 2 9 2" xfId="25589" xr:uid="{00000000-0005-0000-0000-0000F3630000}"/>
    <cellStyle name="Note 15 2 9 2 2" xfId="25590" xr:uid="{00000000-0005-0000-0000-0000F4630000}"/>
    <cellStyle name="Note 15 2 9 2 3" xfId="25591" xr:uid="{00000000-0005-0000-0000-0000F5630000}"/>
    <cellStyle name="Note 15 2 9 3" xfId="25592" xr:uid="{00000000-0005-0000-0000-0000F6630000}"/>
    <cellStyle name="Note 15 2 9 4" xfId="25593" xr:uid="{00000000-0005-0000-0000-0000F7630000}"/>
    <cellStyle name="Note 15 3" xfId="25594" xr:uid="{00000000-0005-0000-0000-0000F8630000}"/>
    <cellStyle name="Note 15 3 2" xfId="25595" xr:uid="{00000000-0005-0000-0000-0000F9630000}"/>
    <cellStyle name="Note 15 3 2 2" xfId="25596" xr:uid="{00000000-0005-0000-0000-0000FA630000}"/>
    <cellStyle name="Note 15 3 2 3" xfId="25597" xr:uid="{00000000-0005-0000-0000-0000FB630000}"/>
    <cellStyle name="Note 15 3 3" xfId="25598" xr:uid="{00000000-0005-0000-0000-0000FC630000}"/>
    <cellStyle name="Note 15 3 4" xfId="25599" xr:uid="{00000000-0005-0000-0000-0000FD630000}"/>
    <cellStyle name="Note 15 4" xfId="25600" xr:uid="{00000000-0005-0000-0000-0000FE630000}"/>
    <cellStyle name="Note 15 5" xfId="25601" xr:uid="{00000000-0005-0000-0000-0000FF630000}"/>
    <cellStyle name="Note 16" xfId="25602" xr:uid="{00000000-0005-0000-0000-000000640000}"/>
    <cellStyle name="Note 16 2" xfId="25603" xr:uid="{00000000-0005-0000-0000-000001640000}"/>
    <cellStyle name="Note 16 2 10" xfId="25604" xr:uid="{00000000-0005-0000-0000-000002640000}"/>
    <cellStyle name="Note 16 2 10 2" xfId="25605" xr:uid="{00000000-0005-0000-0000-000003640000}"/>
    <cellStyle name="Note 16 2 10 2 2" xfId="25606" xr:uid="{00000000-0005-0000-0000-000004640000}"/>
    <cellStyle name="Note 16 2 10 2 3" xfId="25607" xr:uid="{00000000-0005-0000-0000-000005640000}"/>
    <cellStyle name="Note 16 2 10 3" xfId="25608" xr:uid="{00000000-0005-0000-0000-000006640000}"/>
    <cellStyle name="Note 16 2 10 4" xfId="25609" xr:uid="{00000000-0005-0000-0000-000007640000}"/>
    <cellStyle name="Note 16 2 11" xfId="25610" xr:uid="{00000000-0005-0000-0000-000008640000}"/>
    <cellStyle name="Note 16 2 11 2" xfId="25611" xr:uid="{00000000-0005-0000-0000-000009640000}"/>
    <cellStyle name="Note 16 2 11 2 2" xfId="25612" xr:uid="{00000000-0005-0000-0000-00000A640000}"/>
    <cellStyle name="Note 16 2 11 2 3" xfId="25613" xr:uid="{00000000-0005-0000-0000-00000B640000}"/>
    <cellStyle name="Note 16 2 11 3" xfId="25614" xr:uid="{00000000-0005-0000-0000-00000C640000}"/>
    <cellStyle name="Note 16 2 11 4" xfId="25615" xr:uid="{00000000-0005-0000-0000-00000D640000}"/>
    <cellStyle name="Note 16 2 12" xfId="25616" xr:uid="{00000000-0005-0000-0000-00000E640000}"/>
    <cellStyle name="Note 16 2 12 2" xfId="25617" xr:uid="{00000000-0005-0000-0000-00000F640000}"/>
    <cellStyle name="Note 16 2 12 2 2" xfId="25618" xr:uid="{00000000-0005-0000-0000-000010640000}"/>
    <cellStyle name="Note 16 2 12 2 3" xfId="25619" xr:uid="{00000000-0005-0000-0000-000011640000}"/>
    <cellStyle name="Note 16 2 12 3" xfId="25620" xr:uid="{00000000-0005-0000-0000-000012640000}"/>
    <cellStyle name="Note 16 2 12 4" xfId="25621" xr:uid="{00000000-0005-0000-0000-000013640000}"/>
    <cellStyle name="Note 16 2 13" xfId="25622" xr:uid="{00000000-0005-0000-0000-000014640000}"/>
    <cellStyle name="Note 16 2 13 2" xfId="25623" xr:uid="{00000000-0005-0000-0000-000015640000}"/>
    <cellStyle name="Note 16 2 13 2 2" xfId="25624" xr:uid="{00000000-0005-0000-0000-000016640000}"/>
    <cellStyle name="Note 16 2 13 2 3" xfId="25625" xr:uid="{00000000-0005-0000-0000-000017640000}"/>
    <cellStyle name="Note 16 2 13 3" xfId="25626" xr:uid="{00000000-0005-0000-0000-000018640000}"/>
    <cellStyle name="Note 16 2 13 4" xfId="25627" xr:uid="{00000000-0005-0000-0000-000019640000}"/>
    <cellStyle name="Note 16 2 14" xfId="25628" xr:uid="{00000000-0005-0000-0000-00001A640000}"/>
    <cellStyle name="Note 16 2 14 2" xfId="25629" xr:uid="{00000000-0005-0000-0000-00001B640000}"/>
    <cellStyle name="Note 16 2 14 2 2" xfId="25630" xr:uid="{00000000-0005-0000-0000-00001C640000}"/>
    <cellStyle name="Note 16 2 14 2 3" xfId="25631" xr:uid="{00000000-0005-0000-0000-00001D640000}"/>
    <cellStyle name="Note 16 2 14 3" xfId="25632" xr:uid="{00000000-0005-0000-0000-00001E640000}"/>
    <cellStyle name="Note 16 2 14 4" xfId="25633" xr:uid="{00000000-0005-0000-0000-00001F640000}"/>
    <cellStyle name="Note 16 2 15" xfId="25634" xr:uid="{00000000-0005-0000-0000-000020640000}"/>
    <cellStyle name="Note 16 2 15 2" xfId="25635" xr:uid="{00000000-0005-0000-0000-000021640000}"/>
    <cellStyle name="Note 16 2 15 2 2" xfId="25636" xr:uid="{00000000-0005-0000-0000-000022640000}"/>
    <cellStyle name="Note 16 2 15 2 3" xfId="25637" xr:uid="{00000000-0005-0000-0000-000023640000}"/>
    <cellStyle name="Note 16 2 15 3" xfId="25638" xr:uid="{00000000-0005-0000-0000-000024640000}"/>
    <cellStyle name="Note 16 2 15 4" xfId="25639" xr:uid="{00000000-0005-0000-0000-000025640000}"/>
    <cellStyle name="Note 16 2 16" xfId="25640" xr:uid="{00000000-0005-0000-0000-000026640000}"/>
    <cellStyle name="Note 16 2 16 2" xfId="25641" xr:uid="{00000000-0005-0000-0000-000027640000}"/>
    <cellStyle name="Note 16 2 16 2 2" xfId="25642" xr:uid="{00000000-0005-0000-0000-000028640000}"/>
    <cellStyle name="Note 16 2 16 2 3" xfId="25643" xr:uid="{00000000-0005-0000-0000-000029640000}"/>
    <cellStyle name="Note 16 2 16 3" xfId="25644" xr:uid="{00000000-0005-0000-0000-00002A640000}"/>
    <cellStyle name="Note 16 2 16 4" xfId="25645" xr:uid="{00000000-0005-0000-0000-00002B640000}"/>
    <cellStyle name="Note 16 2 17" xfId="25646" xr:uid="{00000000-0005-0000-0000-00002C640000}"/>
    <cellStyle name="Note 16 2 17 2" xfId="25647" xr:uid="{00000000-0005-0000-0000-00002D640000}"/>
    <cellStyle name="Note 16 2 17 2 2" xfId="25648" xr:uid="{00000000-0005-0000-0000-00002E640000}"/>
    <cellStyle name="Note 16 2 17 2 3" xfId="25649" xr:uid="{00000000-0005-0000-0000-00002F640000}"/>
    <cellStyle name="Note 16 2 17 3" xfId="25650" xr:uid="{00000000-0005-0000-0000-000030640000}"/>
    <cellStyle name="Note 16 2 17 4" xfId="25651" xr:uid="{00000000-0005-0000-0000-000031640000}"/>
    <cellStyle name="Note 16 2 18" xfId="25652" xr:uid="{00000000-0005-0000-0000-000032640000}"/>
    <cellStyle name="Note 16 2 18 2" xfId="25653" xr:uid="{00000000-0005-0000-0000-000033640000}"/>
    <cellStyle name="Note 16 2 18 3" xfId="25654" xr:uid="{00000000-0005-0000-0000-000034640000}"/>
    <cellStyle name="Note 16 2 18 4" xfId="25655" xr:uid="{00000000-0005-0000-0000-000035640000}"/>
    <cellStyle name="Note 16 2 19" xfId="25656" xr:uid="{00000000-0005-0000-0000-000036640000}"/>
    <cellStyle name="Note 16 2 2" xfId="25657" xr:uid="{00000000-0005-0000-0000-000037640000}"/>
    <cellStyle name="Note 16 2 2 2" xfId="25658" xr:uid="{00000000-0005-0000-0000-000038640000}"/>
    <cellStyle name="Note 16 2 2 2 2" xfId="25659" xr:uid="{00000000-0005-0000-0000-000039640000}"/>
    <cellStyle name="Note 16 2 2 2 3" xfId="25660" xr:uid="{00000000-0005-0000-0000-00003A640000}"/>
    <cellStyle name="Note 16 2 2 3" xfId="25661" xr:uid="{00000000-0005-0000-0000-00003B640000}"/>
    <cellStyle name="Note 16 2 2 4" xfId="25662" xr:uid="{00000000-0005-0000-0000-00003C640000}"/>
    <cellStyle name="Note 16 2 20" xfId="25663" xr:uid="{00000000-0005-0000-0000-00003D640000}"/>
    <cellStyle name="Note 16 2 21" xfId="25664" xr:uid="{00000000-0005-0000-0000-00003E640000}"/>
    <cellStyle name="Note 16 2 3" xfId="25665" xr:uid="{00000000-0005-0000-0000-00003F640000}"/>
    <cellStyle name="Note 16 2 3 2" xfId="25666" xr:uid="{00000000-0005-0000-0000-000040640000}"/>
    <cellStyle name="Note 16 2 3 2 2" xfId="25667" xr:uid="{00000000-0005-0000-0000-000041640000}"/>
    <cellStyle name="Note 16 2 3 2 3" xfId="25668" xr:uid="{00000000-0005-0000-0000-000042640000}"/>
    <cellStyle name="Note 16 2 3 3" xfId="25669" xr:uid="{00000000-0005-0000-0000-000043640000}"/>
    <cellStyle name="Note 16 2 3 4" xfId="25670" xr:uid="{00000000-0005-0000-0000-000044640000}"/>
    <cellStyle name="Note 16 2 4" xfId="25671" xr:uid="{00000000-0005-0000-0000-000045640000}"/>
    <cellStyle name="Note 16 2 4 2" xfId="25672" xr:uid="{00000000-0005-0000-0000-000046640000}"/>
    <cellStyle name="Note 16 2 4 2 2" xfId="25673" xr:uid="{00000000-0005-0000-0000-000047640000}"/>
    <cellStyle name="Note 16 2 4 2 3" xfId="25674" xr:uid="{00000000-0005-0000-0000-000048640000}"/>
    <cellStyle name="Note 16 2 4 3" xfId="25675" xr:uid="{00000000-0005-0000-0000-000049640000}"/>
    <cellStyle name="Note 16 2 4 4" xfId="25676" xr:uid="{00000000-0005-0000-0000-00004A640000}"/>
    <cellStyle name="Note 16 2 5" xfId="25677" xr:uid="{00000000-0005-0000-0000-00004B640000}"/>
    <cellStyle name="Note 16 2 5 2" xfId="25678" xr:uid="{00000000-0005-0000-0000-00004C640000}"/>
    <cellStyle name="Note 16 2 5 2 2" xfId="25679" xr:uid="{00000000-0005-0000-0000-00004D640000}"/>
    <cellStyle name="Note 16 2 5 2 3" xfId="25680" xr:uid="{00000000-0005-0000-0000-00004E640000}"/>
    <cellStyle name="Note 16 2 5 3" xfId="25681" xr:uid="{00000000-0005-0000-0000-00004F640000}"/>
    <cellStyle name="Note 16 2 5 4" xfId="25682" xr:uid="{00000000-0005-0000-0000-000050640000}"/>
    <cellStyle name="Note 16 2 6" xfId="25683" xr:uid="{00000000-0005-0000-0000-000051640000}"/>
    <cellStyle name="Note 16 2 6 2" xfId="25684" xr:uid="{00000000-0005-0000-0000-000052640000}"/>
    <cellStyle name="Note 16 2 6 2 2" xfId="25685" xr:uid="{00000000-0005-0000-0000-000053640000}"/>
    <cellStyle name="Note 16 2 6 2 3" xfId="25686" xr:uid="{00000000-0005-0000-0000-000054640000}"/>
    <cellStyle name="Note 16 2 6 3" xfId="25687" xr:uid="{00000000-0005-0000-0000-000055640000}"/>
    <cellStyle name="Note 16 2 6 4" xfId="25688" xr:uid="{00000000-0005-0000-0000-000056640000}"/>
    <cellStyle name="Note 16 2 7" xfId="25689" xr:uid="{00000000-0005-0000-0000-000057640000}"/>
    <cellStyle name="Note 16 2 7 2" xfId="25690" xr:uid="{00000000-0005-0000-0000-000058640000}"/>
    <cellStyle name="Note 16 2 7 2 2" xfId="25691" xr:uid="{00000000-0005-0000-0000-000059640000}"/>
    <cellStyle name="Note 16 2 7 2 3" xfId="25692" xr:uid="{00000000-0005-0000-0000-00005A640000}"/>
    <cellStyle name="Note 16 2 7 3" xfId="25693" xr:uid="{00000000-0005-0000-0000-00005B640000}"/>
    <cellStyle name="Note 16 2 7 4" xfId="25694" xr:uid="{00000000-0005-0000-0000-00005C640000}"/>
    <cellStyle name="Note 16 2 8" xfId="25695" xr:uid="{00000000-0005-0000-0000-00005D640000}"/>
    <cellStyle name="Note 16 2 8 2" xfId="25696" xr:uid="{00000000-0005-0000-0000-00005E640000}"/>
    <cellStyle name="Note 16 2 8 2 2" xfId="25697" xr:uid="{00000000-0005-0000-0000-00005F640000}"/>
    <cellStyle name="Note 16 2 8 2 3" xfId="25698" xr:uid="{00000000-0005-0000-0000-000060640000}"/>
    <cellStyle name="Note 16 2 8 3" xfId="25699" xr:uid="{00000000-0005-0000-0000-000061640000}"/>
    <cellStyle name="Note 16 2 8 4" xfId="25700" xr:uid="{00000000-0005-0000-0000-000062640000}"/>
    <cellStyle name="Note 16 2 9" xfId="25701" xr:uid="{00000000-0005-0000-0000-000063640000}"/>
    <cellStyle name="Note 16 2 9 2" xfId="25702" xr:uid="{00000000-0005-0000-0000-000064640000}"/>
    <cellStyle name="Note 16 2 9 2 2" xfId="25703" xr:uid="{00000000-0005-0000-0000-000065640000}"/>
    <cellStyle name="Note 16 2 9 2 3" xfId="25704" xr:uid="{00000000-0005-0000-0000-000066640000}"/>
    <cellStyle name="Note 16 2 9 3" xfId="25705" xr:uid="{00000000-0005-0000-0000-000067640000}"/>
    <cellStyle name="Note 16 2 9 4" xfId="25706" xr:uid="{00000000-0005-0000-0000-000068640000}"/>
    <cellStyle name="Note 16 3" xfId="25707" xr:uid="{00000000-0005-0000-0000-000069640000}"/>
    <cellStyle name="Note 16 3 2" xfId="25708" xr:uid="{00000000-0005-0000-0000-00006A640000}"/>
    <cellStyle name="Note 16 3 2 2" xfId="25709" xr:uid="{00000000-0005-0000-0000-00006B640000}"/>
    <cellStyle name="Note 16 3 2 3" xfId="25710" xr:uid="{00000000-0005-0000-0000-00006C640000}"/>
    <cellStyle name="Note 16 3 3" xfId="25711" xr:uid="{00000000-0005-0000-0000-00006D640000}"/>
    <cellStyle name="Note 16 3 4" xfId="25712" xr:uid="{00000000-0005-0000-0000-00006E640000}"/>
    <cellStyle name="Note 16 4" xfId="25713" xr:uid="{00000000-0005-0000-0000-00006F640000}"/>
    <cellStyle name="Note 16 5" xfId="25714" xr:uid="{00000000-0005-0000-0000-000070640000}"/>
    <cellStyle name="Note 17" xfId="25715" xr:uid="{00000000-0005-0000-0000-000071640000}"/>
    <cellStyle name="Note 17 2" xfId="25716" xr:uid="{00000000-0005-0000-0000-000072640000}"/>
    <cellStyle name="Note 17 2 10" xfId="25717" xr:uid="{00000000-0005-0000-0000-000073640000}"/>
    <cellStyle name="Note 17 2 10 2" xfId="25718" xr:uid="{00000000-0005-0000-0000-000074640000}"/>
    <cellStyle name="Note 17 2 10 2 2" xfId="25719" xr:uid="{00000000-0005-0000-0000-000075640000}"/>
    <cellStyle name="Note 17 2 10 2 3" xfId="25720" xr:uid="{00000000-0005-0000-0000-000076640000}"/>
    <cellStyle name="Note 17 2 10 3" xfId="25721" xr:uid="{00000000-0005-0000-0000-000077640000}"/>
    <cellStyle name="Note 17 2 10 4" xfId="25722" xr:uid="{00000000-0005-0000-0000-000078640000}"/>
    <cellStyle name="Note 17 2 11" xfId="25723" xr:uid="{00000000-0005-0000-0000-000079640000}"/>
    <cellStyle name="Note 17 2 11 2" xfId="25724" xr:uid="{00000000-0005-0000-0000-00007A640000}"/>
    <cellStyle name="Note 17 2 11 2 2" xfId="25725" xr:uid="{00000000-0005-0000-0000-00007B640000}"/>
    <cellStyle name="Note 17 2 11 2 3" xfId="25726" xr:uid="{00000000-0005-0000-0000-00007C640000}"/>
    <cellStyle name="Note 17 2 11 3" xfId="25727" xr:uid="{00000000-0005-0000-0000-00007D640000}"/>
    <cellStyle name="Note 17 2 11 4" xfId="25728" xr:uid="{00000000-0005-0000-0000-00007E640000}"/>
    <cellStyle name="Note 17 2 12" xfId="25729" xr:uid="{00000000-0005-0000-0000-00007F640000}"/>
    <cellStyle name="Note 17 2 12 2" xfId="25730" xr:uid="{00000000-0005-0000-0000-000080640000}"/>
    <cellStyle name="Note 17 2 12 2 2" xfId="25731" xr:uid="{00000000-0005-0000-0000-000081640000}"/>
    <cellStyle name="Note 17 2 12 2 3" xfId="25732" xr:uid="{00000000-0005-0000-0000-000082640000}"/>
    <cellStyle name="Note 17 2 12 3" xfId="25733" xr:uid="{00000000-0005-0000-0000-000083640000}"/>
    <cellStyle name="Note 17 2 12 4" xfId="25734" xr:uid="{00000000-0005-0000-0000-000084640000}"/>
    <cellStyle name="Note 17 2 13" xfId="25735" xr:uid="{00000000-0005-0000-0000-000085640000}"/>
    <cellStyle name="Note 17 2 13 2" xfId="25736" xr:uid="{00000000-0005-0000-0000-000086640000}"/>
    <cellStyle name="Note 17 2 13 2 2" xfId="25737" xr:uid="{00000000-0005-0000-0000-000087640000}"/>
    <cellStyle name="Note 17 2 13 2 3" xfId="25738" xr:uid="{00000000-0005-0000-0000-000088640000}"/>
    <cellStyle name="Note 17 2 13 3" xfId="25739" xr:uid="{00000000-0005-0000-0000-000089640000}"/>
    <cellStyle name="Note 17 2 13 4" xfId="25740" xr:uid="{00000000-0005-0000-0000-00008A640000}"/>
    <cellStyle name="Note 17 2 14" xfId="25741" xr:uid="{00000000-0005-0000-0000-00008B640000}"/>
    <cellStyle name="Note 17 2 14 2" xfId="25742" xr:uid="{00000000-0005-0000-0000-00008C640000}"/>
    <cellStyle name="Note 17 2 14 2 2" xfId="25743" xr:uid="{00000000-0005-0000-0000-00008D640000}"/>
    <cellStyle name="Note 17 2 14 2 3" xfId="25744" xr:uid="{00000000-0005-0000-0000-00008E640000}"/>
    <cellStyle name="Note 17 2 14 3" xfId="25745" xr:uid="{00000000-0005-0000-0000-00008F640000}"/>
    <cellStyle name="Note 17 2 14 4" xfId="25746" xr:uid="{00000000-0005-0000-0000-000090640000}"/>
    <cellStyle name="Note 17 2 15" xfId="25747" xr:uid="{00000000-0005-0000-0000-000091640000}"/>
    <cellStyle name="Note 17 2 15 2" xfId="25748" xr:uid="{00000000-0005-0000-0000-000092640000}"/>
    <cellStyle name="Note 17 2 15 2 2" xfId="25749" xr:uid="{00000000-0005-0000-0000-000093640000}"/>
    <cellStyle name="Note 17 2 15 2 3" xfId="25750" xr:uid="{00000000-0005-0000-0000-000094640000}"/>
    <cellStyle name="Note 17 2 15 3" xfId="25751" xr:uid="{00000000-0005-0000-0000-000095640000}"/>
    <cellStyle name="Note 17 2 15 4" xfId="25752" xr:uid="{00000000-0005-0000-0000-000096640000}"/>
    <cellStyle name="Note 17 2 16" xfId="25753" xr:uid="{00000000-0005-0000-0000-000097640000}"/>
    <cellStyle name="Note 17 2 16 2" xfId="25754" xr:uid="{00000000-0005-0000-0000-000098640000}"/>
    <cellStyle name="Note 17 2 16 2 2" xfId="25755" xr:uid="{00000000-0005-0000-0000-000099640000}"/>
    <cellStyle name="Note 17 2 16 2 3" xfId="25756" xr:uid="{00000000-0005-0000-0000-00009A640000}"/>
    <cellStyle name="Note 17 2 16 3" xfId="25757" xr:uid="{00000000-0005-0000-0000-00009B640000}"/>
    <cellStyle name="Note 17 2 16 4" xfId="25758" xr:uid="{00000000-0005-0000-0000-00009C640000}"/>
    <cellStyle name="Note 17 2 17" xfId="25759" xr:uid="{00000000-0005-0000-0000-00009D640000}"/>
    <cellStyle name="Note 17 2 17 2" xfId="25760" xr:uid="{00000000-0005-0000-0000-00009E640000}"/>
    <cellStyle name="Note 17 2 17 2 2" xfId="25761" xr:uid="{00000000-0005-0000-0000-00009F640000}"/>
    <cellStyle name="Note 17 2 17 2 3" xfId="25762" xr:uid="{00000000-0005-0000-0000-0000A0640000}"/>
    <cellStyle name="Note 17 2 17 3" xfId="25763" xr:uid="{00000000-0005-0000-0000-0000A1640000}"/>
    <cellStyle name="Note 17 2 17 4" xfId="25764" xr:uid="{00000000-0005-0000-0000-0000A2640000}"/>
    <cellStyle name="Note 17 2 18" xfId="25765" xr:uid="{00000000-0005-0000-0000-0000A3640000}"/>
    <cellStyle name="Note 17 2 18 2" xfId="25766" xr:uid="{00000000-0005-0000-0000-0000A4640000}"/>
    <cellStyle name="Note 17 2 18 3" xfId="25767" xr:uid="{00000000-0005-0000-0000-0000A5640000}"/>
    <cellStyle name="Note 17 2 18 4" xfId="25768" xr:uid="{00000000-0005-0000-0000-0000A6640000}"/>
    <cellStyle name="Note 17 2 19" xfId="25769" xr:uid="{00000000-0005-0000-0000-0000A7640000}"/>
    <cellStyle name="Note 17 2 2" xfId="25770" xr:uid="{00000000-0005-0000-0000-0000A8640000}"/>
    <cellStyle name="Note 17 2 2 2" xfId="25771" xr:uid="{00000000-0005-0000-0000-0000A9640000}"/>
    <cellStyle name="Note 17 2 2 2 2" xfId="25772" xr:uid="{00000000-0005-0000-0000-0000AA640000}"/>
    <cellStyle name="Note 17 2 2 2 3" xfId="25773" xr:uid="{00000000-0005-0000-0000-0000AB640000}"/>
    <cellStyle name="Note 17 2 2 3" xfId="25774" xr:uid="{00000000-0005-0000-0000-0000AC640000}"/>
    <cellStyle name="Note 17 2 2 4" xfId="25775" xr:uid="{00000000-0005-0000-0000-0000AD640000}"/>
    <cellStyle name="Note 17 2 20" xfId="25776" xr:uid="{00000000-0005-0000-0000-0000AE640000}"/>
    <cellStyle name="Note 17 2 21" xfId="25777" xr:uid="{00000000-0005-0000-0000-0000AF640000}"/>
    <cellStyle name="Note 17 2 3" xfId="25778" xr:uid="{00000000-0005-0000-0000-0000B0640000}"/>
    <cellStyle name="Note 17 2 3 2" xfId="25779" xr:uid="{00000000-0005-0000-0000-0000B1640000}"/>
    <cellStyle name="Note 17 2 3 2 2" xfId="25780" xr:uid="{00000000-0005-0000-0000-0000B2640000}"/>
    <cellStyle name="Note 17 2 3 2 3" xfId="25781" xr:uid="{00000000-0005-0000-0000-0000B3640000}"/>
    <cellStyle name="Note 17 2 3 3" xfId="25782" xr:uid="{00000000-0005-0000-0000-0000B4640000}"/>
    <cellStyle name="Note 17 2 3 4" xfId="25783" xr:uid="{00000000-0005-0000-0000-0000B5640000}"/>
    <cellStyle name="Note 17 2 4" xfId="25784" xr:uid="{00000000-0005-0000-0000-0000B6640000}"/>
    <cellStyle name="Note 17 2 4 2" xfId="25785" xr:uid="{00000000-0005-0000-0000-0000B7640000}"/>
    <cellStyle name="Note 17 2 4 2 2" xfId="25786" xr:uid="{00000000-0005-0000-0000-0000B8640000}"/>
    <cellStyle name="Note 17 2 4 2 3" xfId="25787" xr:uid="{00000000-0005-0000-0000-0000B9640000}"/>
    <cellStyle name="Note 17 2 4 3" xfId="25788" xr:uid="{00000000-0005-0000-0000-0000BA640000}"/>
    <cellStyle name="Note 17 2 4 4" xfId="25789" xr:uid="{00000000-0005-0000-0000-0000BB640000}"/>
    <cellStyle name="Note 17 2 5" xfId="25790" xr:uid="{00000000-0005-0000-0000-0000BC640000}"/>
    <cellStyle name="Note 17 2 5 2" xfId="25791" xr:uid="{00000000-0005-0000-0000-0000BD640000}"/>
    <cellStyle name="Note 17 2 5 2 2" xfId="25792" xr:uid="{00000000-0005-0000-0000-0000BE640000}"/>
    <cellStyle name="Note 17 2 5 2 3" xfId="25793" xr:uid="{00000000-0005-0000-0000-0000BF640000}"/>
    <cellStyle name="Note 17 2 5 3" xfId="25794" xr:uid="{00000000-0005-0000-0000-0000C0640000}"/>
    <cellStyle name="Note 17 2 5 4" xfId="25795" xr:uid="{00000000-0005-0000-0000-0000C1640000}"/>
    <cellStyle name="Note 17 2 6" xfId="25796" xr:uid="{00000000-0005-0000-0000-0000C2640000}"/>
    <cellStyle name="Note 17 2 6 2" xfId="25797" xr:uid="{00000000-0005-0000-0000-0000C3640000}"/>
    <cellStyle name="Note 17 2 6 2 2" xfId="25798" xr:uid="{00000000-0005-0000-0000-0000C4640000}"/>
    <cellStyle name="Note 17 2 6 2 3" xfId="25799" xr:uid="{00000000-0005-0000-0000-0000C5640000}"/>
    <cellStyle name="Note 17 2 6 3" xfId="25800" xr:uid="{00000000-0005-0000-0000-0000C6640000}"/>
    <cellStyle name="Note 17 2 6 4" xfId="25801" xr:uid="{00000000-0005-0000-0000-0000C7640000}"/>
    <cellStyle name="Note 17 2 7" xfId="25802" xr:uid="{00000000-0005-0000-0000-0000C8640000}"/>
    <cellStyle name="Note 17 2 7 2" xfId="25803" xr:uid="{00000000-0005-0000-0000-0000C9640000}"/>
    <cellStyle name="Note 17 2 7 2 2" xfId="25804" xr:uid="{00000000-0005-0000-0000-0000CA640000}"/>
    <cellStyle name="Note 17 2 7 2 3" xfId="25805" xr:uid="{00000000-0005-0000-0000-0000CB640000}"/>
    <cellStyle name="Note 17 2 7 3" xfId="25806" xr:uid="{00000000-0005-0000-0000-0000CC640000}"/>
    <cellStyle name="Note 17 2 7 4" xfId="25807" xr:uid="{00000000-0005-0000-0000-0000CD640000}"/>
    <cellStyle name="Note 17 2 8" xfId="25808" xr:uid="{00000000-0005-0000-0000-0000CE640000}"/>
    <cellStyle name="Note 17 2 8 2" xfId="25809" xr:uid="{00000000-0005-0000-0000-0000CF640000}"/>
    <cellStyle name="Note 17 2 8 2 2" xfId="25810" xr:uid="{00000000-0005-0000-0000-0000D0640000}"/>
    <cellStyle name="Note 17 2 8 2 3" xfId="25811" xr:uid="{00000000-0005-0000-0000-0000D1640000}"/>
    <cellStyle name="Note 17 2 8 3" xfId="25812" xr:uid="{00000000-0005-0000-0000-0000D2640000}"/>
    <cellStyle name="Note 17 2 8 4" xfId="25813" xr:uid="{00000000-0005-0000-0000-0000D3640000}"/>
    <cellStyle name="Note 17 2 9" xfId="25814" xr:uid="{00000000-0005-0000-0000-0000D4640000}"/>
    <cellStyle name="Note 17 2 9 2" xfId="25815" xr:uid="{00000000-0005-0000-0000-0000D5640000}"/>
    <cellStyle name="Note 17 2 9 2 2" xfId="25816" xr:uid="{00000000-0005-0000-0000-0000D6640000}"/>
    <cellStyle name="Note 17 2 9 2 3" xfId="25817" xr:uid="{00000000-0005-0000-0000-0000D7640000}"/>
    <cellStyle name="Note 17 2 9 3" xfId="25818" xr:uid="{00000000-0005-0000-0000-0000D8640000}"/>
    <cellStyle name="Note 17 2 9 4" xfId="25819" xr:uid="{00000000-0005-0000-0000-0000D9640000}"/>
    <cellStyle name="Note 17 3" xfId="25820" xr:uid="{00000000-0005-0000-0000-0000DA640000}"/>
    <cellStyle name="Note 17 3 2" xfId="25821" xr:uid="{00000000-0005-0000-0000-0000DB640000}"/>
    <cellStyle name="Note 17 3 2 2" xfId="25822" xr:uid="{00000000-0005-0000-0000-0000DC640000}"/>
    <cellStyle name="Note 17 3 2 3" xfId="25823" xr:uid="{00000000-0005-0000-0000-0000DD640000}"/>
    <cellStyle name="Note 17 3 3" xfId="25824" xr:uid="{00000000-0005-0000-0000-0000DE640000}"/>
    <cellStyle name="Note 17 3 4" xfId="25825" xr:uid="{00000000-0005-0000-0000-0000DF640000}"/>
    <cellStyle name="Note 17 4" xfId="25826" xr:uid="{00000000-0005-0000-0000-0000E0640000}"/>
    <cellStyle name="Note 17 5" xfId="25827" xr:uid="{00000000-0005-0000-0000-0000E1640000}"/>
    <cellStyle name="Note 18" xfId="25828" xr:uid="{00000000-0005-0000-0000-0000E2640000}"/>
    <cellStyle name="Note 18 2" xfId="25829" xr:uid="{00000000-0005-0000-0000-0000E3640000}"/>
    <cellStyle name="Note 18 2 10" xfId="25830" xr:uid="{00000000-0005-0000-0000-0000E4640000}"/>
    <cellStyle name="Note 18 2 10 2" xfId="25831" xr:uid="{00000000-0005-0000-0000-0000E5640000}"/>
    <cellStyle name="Note 18 2 10 2 2" xfId="25832" xr:uid="{00000000-0005-0000-0000-0000E6640000}"/>
    <cellStyle name="Note 18 2 10 2 3" xfId="25833" xr:uid="{00000000-0005-0000-0000-0000E7640000}"/>
    <cellStyle name="Note 18 2 10 3" xfId="25834" xr:uid="{00000000-0005-0000-0000-0000E8640000}"/>
    <cellStyle name="Note 18 2 10 4" xfId="25835" xr:uid="{00000000-0005-0000-0000-0000E9640000}"/>
    <cellStyle name="Note 18 2 11" xfId="25836" xr:uid="{00000000-0005-0000-0000-0000EA640000}"/>
    <cellStyle name="Note 18 2 11 2" xfId="25837" xr:uid="{00000000-0005-0000-0000-0000EB640000}"/>
    <cellStyle name="Note 18 2 11 2 2" xfId="25838" xr:uid="{00000000-0005-0000-0000-0000EC640000}"/>
    <cellStyle name="Note 18 2 11 2 3" xfId="25839" xr:uid="{00000000-0005-0000-0000-0000ED640000}"/>
    <cellStyle name="Note 18 2 11 3" xfId="25840" xr:uid="{00000000-0005-0000-0000-0000EE640000}"/>
    <cellStyle name="Note 18 2 11 4" xfId="25841" xr:uid="{00000000-0005-0000-0000-0000EF640000}"/>
    <cellStyle name="Note 18 2 12" xfId="25842" xr:uid="{00000000-0005-0000-0000-0000F0640000}"/>
    <cellStyle name="Note 18 2 12 2" xfId="25843" xr:uid="{00000000-0005-0000-0000-0000F1640000}"/>
    <cellStyle name="Note 18 2 12 2 2" xfId="25844" xr:uid="{00000000-0005-0000-0000-0000F2640000}"/>
    <cellStyle name="Note 18 2 12 2 3" xfId="25845" xr:uid="{00000000-0005-0000-0000-0000F3640000}"/>
    <cellStyle name="Note 18 2 12 3" xfId="25846" xr:uid="{00000000-0005-0000-0000-0000F4640000}"/>
    <cellStyle name="Note 18 2 12 4" xfId="25847" xr:uid="{00000000-0005-0000-0000-0000F5640000}"/>
    <cellStyle name="Note 18 2 13" xfId="25848" xr:uid="{00000000-0005-0000-0000-0000F6640000}"/>
    <cellStyle name="Note 18 2 13 2" xfId="25849" xr:uid="{00000000-0005-0000-0000-0000F7640000}"/>
    <cellStyle name="Note 18 2 13 2 2" xfId="25850" xr:uid="{00000000-0005-0000-0000-0000F8640000}"/>
    <cellStyle name="Note 18 2 13 2 3" xfId="25851" xr:uid="{00000000-0005-0000-0000-0000F9640000}"/>
    <cellStyle name="Note 18 2 13 3" xfId="25852" xr:uid="{00000000-0005-0000-0000-0000FA640000}"/>
    <cellStyle name="Note 18 2 13 4" xfId="25853" xr:uid="{00000000-0005-0000-0000-0000FB640000}"/>
    <cellStyle name="Note 18 2 14" xfId="25854" xr:uid="{00000000-0005-0000-0000-0000FC640000}"/>
    <cellStyle name="Note 18 2 14 2" xfId="25855" xr:uid="{00000000-0005-0000-0000-0000FD640000}"/>
    <cellStyle name="Note 18 2 14 2 2" xfId="25856" xr:uid="{00000000-0005-0000-0000-0000FE640000}"/>
    <cellStyle name="Note 18 2 14 2 3" xfId="25857" xr:uid="{00000000-0005-0000-0000-0000FF640000}"/>
    <cellStyle name="Note 18 2 14 3" xfId="25858" xr:uid="{00000000-0005-0000-0000-000000650000}"/>
    <cellStyle name="Note 18 2 14 4" xfId="25859" xr:uid="{00000000-0005-0000-0000-000001650000}"/>
    <cellStyle name="Note 18 2 15" xfId="25860" xr:uid="{00000000-0005-0000-0000-000002650000}"/>
    <cellStyle name="Note 18 2 15 2" xfId="25861" xr:uid="{00000000-0005-0000-0000-000003650000}"/>
    <cellStyle name="Note 18 2 15 2 2" xfId="25862" xr:uid="{00000000-0005-0000-0000-000004650000}"/>
    <cellStyle name="Note 18 2 15 2 3" xfId="25863" xr:uid="{00000000-0005-0000-0000-000005650000}"/>
    <cellStyle name="Note 18 2 15 3" xfId="25864" xr:uid="{00000000-0005-0000-0000-000006650000}"/>
    <cellStyle name="Note 18 2 15 4" xfId="25865" xr:uid="{00000000-0005-0000-0000-000007650000}"/>
    <cellStyle name="Note 18 2 16" xfId="25866" xr:uid="{00000000-0005-0000-0000-000008650000}"/>
    <cellStyle name="Note 18 2 16 2" xfId="25867" xr:uid="{00000000-0005-0000-0000-000009650000}"/>
    <cellStyle name="Note 18 2 16 2 2" xfId="25868" xr:uid="{00000000-0005-0000-0000-00000A650000}"/>
    <cellStyle name="Note 18 2 16 2 3" xfId="25869" xr:uid="{00000000-0005-0000-0000-00000B650000}"/>
    <cellStyle name="Note 18 2 16 3" xfId="25870" xr:uid="{00000000-0005-0000-0000-00000C650000}"/>
    <cellStyle name="Note 18 2 16 4" xfId="25871" xr:uid="{00000000-0005-0000-0000-00000D650000}"/>
    <cellStyle name="Note 18 2 17" xfId="25872" xr:uid="{00000000-0005-0000-0000-00000E650000}"/>
    <cellStyle name="Note 18 2 17 2" xfId="25873" xr:uid="{00000000-0005-0000-0000-00000F650000}"/>
    <cellStyle name="Note 18 2 17 2 2" xfId="25874" xr:uid="{00000000-0005-0000-0000-000010650000}"/>
    <cellStyle name="Note 18 2 17 2 3" xfId="25875" xr:uid="{00000000-0005-0000-0000-000011650000}"/>
    <cellStyle name="Note 18 2 17 3" xfId="25876" xr:uid="{00000000-0005-0000-0000-000012650000}"/>
    <cellStyle name="Note 18 2 17 4" xfId="25877" xr:uid="{00000000-0005-0000-0000-000013650000}"/>
    <cellStyle name="Note 18 2 18" xfId="25878" xr:uid="{00000000-0005-0000-0000-000014650000}"/>
    <cellStyle name="Note 18 2 18 2" xfId="25879" xr:uid="{00000000-0005-0000-0000-000015650000}"/>
    <cellStyle name="Note 18 2 18 3" xfId="25880" xr:uid="{00000000-0005-0000-0000-000016650000}"/>
    <cellStyle name="Note 18 2 18 4" xfId="25881" xr:uid="{00000000-0005-0000-0000-000017650000}"/>
    <cellStyle name="Note 18 2 19" xfId="25882" xr:uid="{00000000-0005-0000-0000-000018650000}"/>
    <cellStyle name="Note 18 2 2" xfId="25883" xr:uid="{00000000-0005-0000-0000-000019650000}"/>
    <cellStyle name="Note 18 2 2 2" xfId="25884" xr:uid="{00000000-0005-0000-0000-00001A650000}"/>
    <cellStyle name="Note 18 2 2 2 2" xfId="25885" xr:uid="{00000000-0005-0000-0000-00001B650000}"/>
    <cellStyle name="Note 18 2 2 2 3" xfId="25886" xr:uid="{00000000-0005-0000-0000-00001C650000}"/>
    <cellStyle name="Note 18 2 2 3" xfId="25887" xr:uid="{00000000-0005-0000-0000-00001D650000}"/>
    <cellStyle name="Note 18 2 2 4" xfId="25888" xr:uid="{00000000-0005-0000-0000-00001E650000}"/>
    <cellStyle name="Note 18 2 20" xfId="25889" xr:uid="{00000000-0005-0000-0000-00001F650000}"/>
    <cellStyle name="Note 18 2 21" xfId="25890" xr:uid="{00000000-0005-0000-0000-000020650000}"/>
    <cellStyle name="Note 18 2 3" xfId="25891" xr:uid="{00000000-0005-0000-0000-000021650000}"/>
    <cellStyle name="Note 18 2 3 2" xfId="25892" xr:uid="{00000000-0005-0000-0000-000022650000}"/>
    <cellStyle name="Note 18 2 3 2 2" xfId="25893" xr:uid="{00000000-0005-0000-0000-000023650000}"/>
    <cellStyle name="Note 18 2 3 2 3" xfId="25894" xr:uid="{00000000-0005-0000-0000-000024650000}"/>
    <cellStyle name="Note 18 2 3 3" xfId="25895" xr:uid="{00000000-0005-0000-0000-000025650000}"/>
    <cellStyle name="Note 18 2 3 4" xfId="25896" xr:uid="{00000000-0005-0000-0000-000026650000}"/>
    <cellStyle name="Note 18 2 4" xfId="25897" xr:uid="{00000000-0005-0000-0000-000027650000}"/>
    <cellStyle name="Note 18 2 4 2" xfId="25898" xr:uid="{00000000-0005-0000-0000-000028650000}"/>
    <cellStyle name="Note 18 2 4 2 2" xfId="25899" xr:uid="{00000000-0005-0000-0000-000029650000}"/>
    <cellStyle name="Note 18 2 4 2 3" xfId="25900" xr:uid="{00000000-0005-0000-0000-00002A650000}"/>
    <cellStyle name="Note 18 2 4 3" xfId="25901" xr:uid="{00000000-0005-0000-0000-00002B650000}"/>
    <cellStyle name="Note 18 2 4 4" xfId="25902" xr:uid="{00000000-0005-0000-0000-00002C650000}"/>
    <cellStyle name="Note 18 2 5" xfId="25903" xr:uid="{00000000-0005-0000-0000-00002D650000}"/>
    <cellStyle name="Note 18 2 5 2" xfId="25904" xr:uid="{00000000-0005-0000-0000-00002E650000}"/>
    <cellStyle name="Note 18 2 5 2 2" xfId="25905" xr:uid="{00000000-0005-0000-0000-00002F650000}"/>
    <cellStyle name="Note 18 2 5 2 3" xfId="25906" xr:uid="{00000000-0005-0000-0000-000030650000}"/>
    <cellStyle name="Note 18 2 5 3" xfId="25907" xr:uid="{00000000-0005-0000-0000-000031650000}"/>
    <cellStyle name="Note 18 2 5 4" xfId="25908" xr:uid="{00000000-0005-0000-0000-000032650000}"/>
    <cellStyle name="Note 18 2 6" xfId="25909" xr:uid="{00000000-0005-0000-0000-000033650000}"/>
    <cellStyle name="Note 18 2 6 2" xfId="25910" xr:uid="{00000000-0005-0000-0000-000034650000}"/>
    <cellStyle name="Note 18 2 6 2 2" xfId="25911" xr:uid="{00000000-0005-0000-0000-000035650000}"/>
    <cellStyle name="Note 18 2 6 2 3" xfId="25912" xr:uid="{00000000-0005-0000-0000-000036650000}"/>
    <cellStyle name="Note 18 2 6 3" xfId="25913" xr:uid="{00000000-0005-0000-0000-000037650000}"/>
    <cellStyle name="Note 18 2 6 4" xfId="25914" xr:uid="{00000000-0005-0000-0000-000038650000}"/>
    <cellStyle name="Note 18 2 7" xfId="25915" xr:uid="{00000000-0005-0000-0000-000039650000}"/>
    <cellStyle name="Note 18 2 7 2" xfId="25916" xr:uid="{00000000-0005-0000-0000-00003A650000}"/>
    <cellStyle name="Note 18 2 7 2 2" xfId="25917" xr:uid="{00000000-0005-0000-0000-00003B650000}"/>
    <cellStyle name="Note 18 2 7 2 3" xfId="25918" xr:uid="{00000000-0005-0000-0000-00003C650000}"/>
    <cellStyle name="Note 18 2 7 3" xfId="25919" xr:uid="{00000000-0005-0000-0000-00003D650000}"/>
    <cellStyle name="Note 18 2 7 4" xfId="25920" xr:uid="{00000000-0005-0000-0000-00003E650000}"/>
    <cellStyle name="Note 18 2 8" xfId="25921" xr:uid="{00000000-0005-0000-0000-00003F650000}"/>
    <cellStyle name="Note 18 2 8 2" xfId="25922" xr:uid="{00000000-0005-0000-0000-000040650000}"/>
    <cellStyle name="Note 18 2 8 2 2" xfId="25923" xr:uid="{00000000-0005-0000-0000-000041650000}"/>
    <cellStyle name="Note 18 2 8 2 3" xfId="25924" xr:uid="{00000000-0005-0000-0000-000042650000}"/>
    <cellStyle name="Note 18 2 8 3" xfId="25925" xr:uid="{00000000-0005-0000-0000-000043650000}"/>
    <cellStyle name="Note 18 2 8 4" xfId="25926" xr:uid="{00000000-0005-0000-0000-000044650000}"/>
    <cellStyle name="Note 18 2 9" xfId="25927" xr:uid="{00000000-0005-0000-0000-000045650000}"/>
    <cellStyle name="Note 18 2 9 2" xfId="25928" xr:uid="{00000000-0005-0000-0000-000046650000}"/>
    <cellStyle name="Note 18 2 9 2 2" xfId="25929" xr:uid="{00000000-0005-0000-0000-000047650000}"/>
    <cellStyle name="Note 18 2 9 2 3" xfId="25930" xr:uid="{00000000-0005-0000-0000-000048650000}"/>
    <cellStyle name="Note 18 2 9 3" xfId="25931" xr:uid="{00000000-0005-0000-0000-000049650000}"/>
    <cellStyle name="Note 18 2 9 4" xfId="25932" xr:uid="{00000000-0005-0000-0000-00004A650000}"/>
    <cellStyle name="Note 18 3" xfId="25933" xr:uid="{00000000-0005-0000-0000-00004B650000}"/>
    <cellStyle name="Note 18 3 2" xfId="25934" xr:uid="{00000000-0005-0000-0000-00004C650000}"/>
    <cellStyle name="Note 18 3 2 2" xfId="25935" xr:uid="{00000000-0005-0000-0000-00004D650000}"/>
    <cellStyle name="Note 18 3 2 3" xfId="25936" xr:uid="{00000000-0005-0000-0000-00004E650000}"/>
    <cellStyle name="Note 18 3 3" xfId="25937" xr:uid="{00000000-0005-0000-0000-00004F650000}"/>
    <cellStyle name="Note 18 3 4" xfId="25938" xr:uid="{00000000-0005-0000-0000-000050650000}"/>
    <cellStyle name="Note 18 4" xfId="25939" xr:uid="{00000000-0005-0000-0000-000051650000}"/>
    <cellStyle name="Note 18 5" xfId="25940" xr:uid="{00000000-0005-0000-0000-000052650000}"/>
    <cellStyle name="Note 19" xfId="25941" xr:uid="{00000000-0005-0000-0000-000053650000}"/>
    <cellStyle name="Note 19 2" xfId="25942" xr:uid="{00000000-0005-0000-0000-000054650000}"/>
    <cellStyle name="Note 19 2 10" xfId="25943" xr:uid="{00000000-0005-0000-0000-000055650000}"/>
    <cellStyle name="Note 19 2 10 2" xfId="25944" xr:uid="{00000000-0005-0000-0000-000056650000}"/>
    <cellStyle name="Note 19 2 10 2 2" xfId="25945" xr:uid="{00000000-0005-0000-0000-000057650000}"/>
    <cellStyle name="Note 19 2 10 2 3" xfId="25946" xr:uid="{00000000-0005-0000-0000-000058650000}"/>
    <cellStyle name="Note 19 2 10 3" xfId="25947" xr:uid="{00000000-0005-0000-0000-000059650000}"/>
    <cellStyle name="Note 19 2 10 4" xfId="25948" xr:uid="{00000000-0005-0000-0000-00005A650000}"/>
    <cellStyle name="Note 19 2 11" xfId="25949" xr:uid="{00000000-0005-0000-0000-00005B650000}"/>
    <cellStyle name="Note 19 2 11 2" xfId="25950" xr:uid="{00000000-0005-0000-0000-00005C650000}"/>
    <cellStyle name="Note 19 2 11 2 2" xfId="25951" xr:uid="{00000000-0005-0000-0000-00005D650000}"/>
    <cellStyle name="Note 19 2 11 2 3" xfId="25952" xr:uid="{00000000-0005-0000-0000-00005E650000}"/>
    <cellStyle name="Note 19 2 11 3" xfId="25953" xr:uid="{00000000-0005-0000-0000-00005F650000}"/>
    <cellStyle name="Note 19 2 11 4" xfId="25954" xr:uid="{00000000-0005-0000-0000-000060650000}"/>
    <cellStyle name="Note 19 2 12" xfId="25955" xr:uid="{00000000-0005-0000-0000-000061650000}"/>
    <cellStyle name="Note 19 2 12 2" xfId="25956" xr:uid="{00000000-0005-0000-0000-000062650000}"/>
    <cellStyle name="Note 19 2 12 2 2" xfId="25957" xr:uid="{00000000-0005-0000-0000-000063650000}"/>
    <cellStyle name="Note 19 2 12 2 3" xfId="25958" xr:uid="{00000000-0005-0000-0000-000064650000}"/>
    <cellStyle name="Note 19 2 12 3" xfId="25959" xr:uid="{00000000-0005-0000-0000-000065650000}"/>
    <cellStyle name="Note 19 2 12 4" xfId="25960" xr:uid="{00000000-0005-0000-0000-000066650000}"/>
    <cellStyle name="Note 19 2 13" xfId="25961" xr:uid="{00000000-0005-0000-0000-000067650000}"/>
    <cellStyle name="Note 19 2 13 2" xfId="25962" xr:uid="{00000000-0005-0000-0000-000068650000}"/>
    <cellStyle name="Note 19 2 13 2 2" xfId="25963" xr:uid="{00000000-0005-0000-0000-000069650000}"/>
    <cellStyle name="Note 19 2 13 2 3" xfId="25964" xr:uid="{00000000-0005-0000-0000-00006A650000}"/>
    <cellStyle name="Note 19 2 13 3" xfId="25965" xr:uid="{00000000-0005-0000-0000-00006B650000}"/>
    <cellStyle name="Note 19 2 13 4" xfId="25966" xr:uid="{00000000-0005-0000-0000-00006C650000}"/>
    <cellStyle name="Note 19 2 14" xfId="25967" xr:uid="{00000000-0005-0000-0000-00006D650000}"/>
    <cellStyle name="Note 19 2 14 2" xfId="25968" xr:uid="{00000000-0005-0000-0000-00006E650000}"/>
    <cellStyle name="Note 19 2 14 2 2" xfId="25969" xr:uid="{00000000-0005-0000-0000-00006F650000}"/>
    <cellStyle name="Note 19 2 14 2 3" xfId="25970" xr:uid="{00000000-0005-0000-0000-000070650000}"/>
    <cellStyle name="Note 19 2 14 3" xfId="25971" xr:uid="{00000000-0005-0000-0000-000071650000}"/>
    <cellStyle name="Note 19 2 14 4" xfId="25972" xr:uid="{00000000-0005-0000-0000-000072650000}"/>
    <cellStyle name="Note 19 2 15" xfId="25973" xr:uid="{00000000-0005-0000-0000-000073650000}"/>
    <cellStyle name="Note 19 2 15 2" xfId="25974" xr:uid="{00000000-0005-0000-0000-000074650000}"/>
    <cellStyle name="Note 19 2 15 2 2" xfId="25975" xr:uid="{00000000-0005-0000-0000-000075650000}"/>
    <cellStyle name="Note 19 2 15 2 3" xfId="25976" xr:uid="{00000000-0005-0000-0000-000076650000}"/>
    <cellStyle name="Note 19 2 15 3" xfId="25977" xr:uid="{00000000-0005-0000-0000-000077650000}"/>
    <cellStyle name="Note 19 2 15 4" xfId="25978" xr:uid="{00000000-0005-0000-0000-000078650000}"/>
    <cellStyle name="Note 19 2 16" xfId="25979" xr:uid="{00000000-0005-0000-0000-000079650000}"/>
    <cellStyle name="Note 19 2 16 2" xfId="25980" xr:uid="{00000000-0005-0000-0000-00007A650000}"/>
    <cellStyle name="Note 19 2 16 2 2" xfId="25981" xr:uid="{00000000-0005-0000-0000-00007B650000}"/>
    <cellStyle name="Note 19 2 16 2 3" xfId="25982" xr:uid="{00000000-0005-0000-0000-00007C650000}"/>
    <cellStyle name="Note 19 2 16 3" xfId="25983" xr:uid="{00000000-0005-0000-0000-00007D650000}"/>
    <cellStyle name="Note 19 2 16 4" xfId="25984" xr:uid="{00000000-0005-0000-0000-00007E650000}"/>
    <cellStyle name="Note 19 2 17" xfId="25985" xr:uid="{00000000-0005-0000-0000-00007F650000}"/>
    <cellStyle name="Note 19 2 17 2" xfId="25986" xr:uid="{00000000-0005-0000-0000-000080650000}"/>
    <cellStyle name="Note 19 2 17 2 2" xfId="25987" xr:uid="{00000000-0005-0000-0000-000081650000}"/>
    <cellStyle name="Note 19 2 17 2 3" xfId="25988" xr:uid="{00000000-0005-0000-0000-000082650000}"/>
    <cellStyle name="Note 19 2 17 3" xfId="25989" xr:uid="{00000000-0005-0000-0000-000083650000}"/>
    <cellStyle name="Note 19 2 17 4" xfId="25990" xr:uid="{00000000-0005-0000-0000-000084650000}"/>
    <cellStyle name="Note 19 2 18" xfId="25991" xr:uid="{00000000-0005-0000-0000-000085650000}"/>
    <cellStyle name="Note 19 2 18 2" xfId="25992" xr:uid="{00000000-0005-0000-0000-000086650000}"/>
    <cellStyle name="Note 19 2 18 3" xfId="25993" xr:uid="{00000000-0005-0000-0000-000087650000}"/>
    <cellStyle name="Note 19 2 18 4" xfId="25994" xr:uid="{00000000-0005-0000-0000-000088650000}"/>
    <cellStyle name="Note 19 2 19" xfId="25995" xr:uid="{00000000-0005-0000-0000-000089650000}"/>
    <cellStyle name="Note 19 2 2" xfId="25996" xr:uid="{00000000-0005-0000-0000-00008A650000}"/>
    <cellStyle name="Note 19 2 2 2" xfId="25997" xr:uid="{00000000-0005-0000-0000-00008B650000}"/>
    <cellStyle name="Note 19 2 2 2 2" xfId="25998" xr:uid="{00000000-0005-0000-0000-00008C650000}"/>
    <cellStyle name="Note 19 2 2 2 3" xfId="25999" xr:uid="{00000000-0005-0000-0000-00008D650000}"/>
    <cellStyle name="Note 19 2 2 3" xfId="26000" xr:uid="{00000000-0005-0000-0000-00008E650000}"/>
    <cellStyle name="Note 19 2 2 4" xfId="26001" xr:uid="{00000000-0005-0000-0000-00008F650000}"/>
    <cellStyle name="Note 19 2 20" xfId="26002" xr:uid="{00000000-0005-0000-0000-000090650000}"/>
    <cellStyle name="Note 19 2 21" xfId="26003" xr:uid="{00000000-0005-0000-0000-000091650000}"/>
    <cellStyle name="Note 19 2 3" xfId="26004" xr:uid="{00000000-0005-0000-0000-000092650000}"/>
    <cellStyle name="Note 19 2 3 2" xfId="26005" xr:uid="{00000000-0005-0000-0000-000093650000}"/>
    <cellStyle name="Note 19 2 3 2 2" xfId="26006" xr:uid="{00000000-0005-0000-0000-000094650000}"/>
    <cellStyle name="Note 19 2 3 2 3" xfId="26007" xr:uid="{00000000-0005-0000-0000-000095650000}"/>
    <cellStyle name="Note 19 2 3 3" xfId="26008" xr:uid="{00000000-0005-0000-0000-000096650000}"/>
    <cellStyle name="Note 19 2 3 4" xfId="26009" xr:uid="{00000000-0005-0000-0000-000097650000}"/>
    <cellStyle name="Note 19 2 4" xfId="26010" xr:uid="{00000000-0005-0000-0000-000098650000}"/>
    <cellStyle name="Note 19 2 4 2" xfId="26011" xr:uid="{00000000-0005-0000-0000-000099650000}"/>
    <cellStyle name="Note 19 2 4 2 2" xfId="26012" xr:uid="{00000000-0005-0000-0000-00009A650000}"/>
    <cellStyle name="Note 19 2 4 2 3" xfId="26013" xr:uid="{00000000-0005-0000-0000-00009B650000}"/>
    <cellStyle name="Note 19 2 4 3" xfId="26014" xr:uid="{00000000-0005-0000-0000-00009C650000}"/>
    <cellStyle name="Note 19 2 4 4" xfId="26015" xr:uid="{00000000-0005-0000-0000-00009D650000}"/>
    <cellStyle name="Note 19 2 5" xfId="26016" xr:uid="{00000000-0005-0000-0000-00009E650000}"/>
    <cellStyle name="Note 19 2 5 2" xfId="26017" xr:uid="{00000000-0005-0000-0000-00009F650000}"/>
    <cellStyle name="Note 19 2 5 2 2" xfId="26018" xr:uid="{00000000-0005-0000-0000-0000A0650000}"/>
    <cellStyle name="Note 19 2 5 2 3" xfId="26019" xr:uid="{00000000-0005-0000-0000-0000A1650000}"/>
    <cellStyle name="Note 19 2 5 3" xfId="26020" xr:uid="{00000000-0005-0000-0000-0000A2650000}"/>
    <cellStyle name="Note 19 2 5 4" xfId="26021" xr:uid="{00000000-0005-0000-0000-0000A3650000}"/>
    <cellStyle name="Note 19 2 6" xfId="26022" xr:uid="{00000000-0005-0000-0000-0000A4650000}"/>
    <cellStyle name="Note 19 2 6 2" xfId="26023" xr:uid="{00000000-0005-0000-0000-0000A5650000}"/>
    <cellStyle name="Note 19 2 6 2 2" xfId="26024" xr:uid="{00000000-0005-0000-0000-0000A6650000}"/>
    <cellStyle name="Note 19 2 6 2 3" xfId="26025" xr:uid="{00000000-0005-0000-0000-0000A7650000}"/>
    <cellStyle name="Note 19 2 6 3" xfId="26026" xr:uid="{00000000-0005-0000-0000-0000A8650000}"/>
    <cellStyle name="Note 19 2 6 4" xfId="26027" xr:uid="{00000000-0005-0000-0000-0000A9650000}"/>
    <cellStyle name="Note 19 2 7" xfId="26028" xr:uid="{00000000-0005-0000-0000-0000AA650000}"/>
    <cellStyle name="Note 19 2 7 2" xfId="26029" xr:uid="{00000000-0005-0000-0000-0000AB650000}"/>
    <cellStyle name="Note 19 2 7 2 2" xfId="26030" xr:uid="{00000000-0005-0000-0000-0000AC650000}"/>
    <cellStyle name="Note 19 2 7 2 3" xfId="26031" xr:uid="{00000000-0005-0000-0000-0000AD650000}"/>
    <cellStyle name="Note 19 2 7 3" xfId="26032" xr:uid="{00000000-0005-0000-0000-0000AE650000}"/>
    <cellStyle name="Note 19 2 7 4" xfId="26033" xr:uid="{00000000-0005-0000-0000-0000AF650000}"/>
    <cellStyle name="Note 19 2 8" xfId="26034" xr:uid="{00000000-0005-0000-0000-0000B0650000}"/>
    <cellStyle name="Note 19 2 8 2" xfId="26035" xr:uid="{00000000-0005-0000-0000-0000B1650000}"/>
    <cellStyle name="Note 19 2 8 2 2" xfId="26036" xr:uid="{00000000-0005-0000-0000-0000B2650000}"/>
    <cellStyle name="Note 19 2 8 2 3" xfId="26037" xr:uid="{00000000-0005-0000-0000-0000B3650000}"/>
    <cellStyle name="Note 19 2 8 3" xfId="26038" xr:uid="{00000000-0005-0000-0000-0000B4650000}"/>
    <cellStyle name="Note 19 2 8 4" xfId="26039" xr:uid="{00000000-0005-0000-0000-0000B5650000}"/>
    <cellStyle name="Note 19 2 9" xfId="26040" xr:uid="{00000000-0005-0000-0000-0000B6650000}"/>
    <cellStyle name="Note 19 2 9 2" xfId="26041" xr:uid="{00000000-0005-0000-0000-0000B7650000}"/>
    <cellStyle name="Note 19 2 9 2 2" xfId="26042" xr:uid="{00000000-0005-0000-0000-0000B8650000}"/>
    <cellStyle name="Note 19 2 9 2 3" xfId="26043" xr:uid="{00000000-0005-0000-0000-0000B9650000}"/>
    <cellStyle name="Note 19 2 9 3" xfId="26044" xr:uid="{00000000-0005-0000-0000-0000BA650000}"/>
    <cellStyle name="Note 19 2 9 4" xfId="26045" xr:uid="{00000000-0005-0000-0000-0000BB650000}"/>
    <cellStyle name="Note 19 3" xfId="26046" xr:uid="{00000000-0005-0000-0000-0000BC650000}"/>
    <cellStyle name="Note 19 3 2" xfId="26047" xr:uid="{00000000-0005-0000-0000-0000BD650000}"/>
    <cellStyle name="Note 19 3 2 2" xfId="26048" xr:uid="{00000000-0005-0000-0000-0000BE650000}"/>
    <cellStyle name="Note 19 3 2 3" xfId="26049" xr:uid="{00000000-0005-0000-0000-0000BF650000}"/>
    <cellStyle name="Note 19 3 3" xfId="26050" xr:uid="{00000000-0005-0000-0000-0000C0650000}"/>
    <cellStyle name="Note 19 3 4" xfId="26051" xr:uid="{00000000-0005-0000-0000-0000C1650000}"/>
    <cellStyle name="Note 19 4" xfId="26052" xr:uid="{00000000-0005-0000-0000-0000C2650000}"/>
    <cellStyle name="Note 19 5" xfId="26053" xr:uid="{00000000-0005-0000-0000-0000C3650000}"/>
    <cellStyle name="Note 2" xfId="26054" xr:uid="{00000000-0005-0000-0000-0000C4650000}"/>
    <cellStyle name="Note 2 10" xfId="26055" xr:uid="{00000000-0005-0000-0000-0000C5650000}"/>
    <cellStyle name="Note 2 11" xfId="26056" xr:uid="{00000000-0005-0000-0000-0000C6650000}"/>
    <cellStyle name="Note 2 12" xfId="26057" xr:uid="{00000000-0005-0000-0000-0000C7650000}"/>
    <cellStyle name="Note 2 13" xfId="26058" xr:uid="{00000000-0005-0000-0000-0000C8650000}"/>
    <cellStyle name="Note 2 2" xfId="26059" xr:uid="{00000000-0005-0000-0000-0000C9650000}"/>
    <cellStyle name="Note 2 2 10" xfId="26060" xr:uid="{00000000-0005-0000-0000-0000CA650000}"/>
    <cellStyle name="Note 2 2 10 2" xfId="26061" xr:uid="{00000000-0005-0000-0000-0000CB650000}"/>
    <cellStyle name="Note 2 2 10 2 2" xfId="26062" xr:uid="{00000000-0005-0000-0000-0000CC650000}"/>
    <cellStyle name="Note 2 2 10 2 3" xfId="26063" xr:uid="{00000000-0005-0000-0000-0000CD650000}"/>
    <cellStyle name="Note 2 2 10 3" xfId="26064" xr:uid="{00000000-0005-0000-0000-0000CE650000}"/>
    <cellStyle name="Note 2 2 10 4" xfId="26065" xr:uid="{00000000-0005-0000-0000-0000CF650000}"/>
    <cellStyle name="Note 2 2 11" xfId="26066" xr:uid="{00000000-0005-0000-0000-0000D0650000}"/>
    <cellStyle name="Note 2 2 11 2" xfId="26067" xr:uid="{00000000-0005-0000-0000-0000D1650000}"/>
    <cellStyle name="Note 2 2 11 2 2" xfId="26068" xr:uid="{00000000-0005-0000-0000-0000D2650000}"/>
    <cellStyle name="Note 2 2 11 2 3" xfId="26069" xr:uid="{00000000-0005-0000-0000-0000D3650000}"/>
    <cellStyle name="Note 2 2 11 3" xfId="26070" xr:uid="{00000000-0005-0000-0000-0000D4650000}"/>
    <cellStyle name="Note 2 2 11 4" xfId="26071" xr:uid="{00000000-0005-0000-0000-0000D5650000}"/>
    <cellStyle name="Note 2 2 12" xfId="26072" xr:uid="{00000000-0005-0000-0000-0000D6650000}"/>
    <cellStyle name="Note 2 2 12 2" xfId="26073" xr:uid="{00000000-0005-0000-0000-0000D7650000}"/>
    <cellStyle name="Note 2 2 12 2 2" xfId="26074" xr:uid="{00000000-0005-0000-0000-0000D8650000}"/>
    <cellStyle name="Note 2 2 12 2 3" xfId="26075" xr:uid="{00000000-0005-0000-0000-0000D9650000}"/>
    <cellStyle name="Note 2 2 12 3" xfId="26076" xr:uid="{00000000-0005-0000-0000-0000DA650000}"/>
    <cellStyle name="Note 2 2 12 4" xfId="26077" xr:uid="{00000000-0005-0000-0000-0000DB650000}"/>
    <cellStyle name="Note 2 2 13" xfId="26078" xr:uid="{00000000-0005-0000-0000-0000DC650000}"/>
    <cellStyle name="Note 2 2 13 2" xfId="26079" xr:uid="{00000000-0005-0000-0000-0000DD650000}"/>
    <cellStyle name="Note 2 2 13 2 2" xfId="26080" xr:uid="{00000000-0005-0000-0000-0000DE650000}"/>
    <cellStyle name="Note 2 2 13 2 3" xfId="26081" xr:uid="{00000000-0005-0000-0000-0000DF650000}"/>
    <cellStyle name="Note 2 2 13 3" xfId="26082" xr:uid="{00000000-0005-0000-0000-0000E0650000}"/>
    <cellStyle name="Note 2 2 13 4" xfId="26083" xr:uid="{00000000-0005-0000-0000-0000E1650000}"/>
    <cellStyle name="Note 2 2 14" xfId="26084" xr:uid="{00000000-0005-0000-0000-0000E2650000}"/>
    <cellStyle name="Note 2 2 14 2" xfId="26085" xr:uid="{00000000-0005-0000-0000-0000E3650000}"/>
    <cellStyle name="Note 2 2 14 2 2" xfId="26086" xr:uid="{00000000-0005-0000-0000-0000E4650000}"/>
    <cellStyle name="Note 2 2 14 2 3" xfId="26087" xr:uid="{00000000-0005-0000-0000-0000E5650000}"/>
    <cellStyle name="Note 2 2 14 3" xfId="26088" xr:uid="{00000000-0005-0000-0000-0000E6650000}"/>
    <cellStyle name="Note 2 2 14 4" xfId="26089" xr:uid="{00000000-0005-0000-0000-0000E7650000}"/>
    <cellStyle name="Note 2 2 15" xfId="26090" xr:uid="{00000000-0005-0000-0000-0000E8650000}"/>
    <cellStyle name="Note 2 2 15 2" xfId="26091" xr:uid="{00000000-0005-0000-0000-0000E9650000}"/>
    <cellStyle name="Note 2 2 15 2 2" xfId="26092" xr:uid="{00000000-0005-0000-0000-0000EA650000}"/>
    <cellStyle name="Note 2 2 15 2 3" xfId="26093" xr:uid="{00000000-0005-0000-0000-0000EB650000}"/>
    <cellStyle name="Note 2 2 15 3" xfId="26094" xr:uid="{00000000-0005-0000-0000-0000EC650000}"/>
    <cellStyle name="Note 2 2 15 4" xfId="26095" xr:uid="{00000000-0005-0000-0000-0000ED650000}"/>
    <cellStyle name="Note 2 2 16" xfId="26096" xr:uid="{00000000-0005-0000-0000-0000EE650000}"/>
    <cellStyle name="Note 2 2 16 2" xfId="26097" xr:uid="{00000000-0005-0000-0000-0000EF650000}"/>
    <cellStyle name="Note 2 2 16 2 2" xfId="26098" xr:uid="{00000000-0005-0000-0000-0000F0650000}"/>
    <cellStyle name="Note 2 2 16 2 3" xfId="26099" xr:uid="{00000000-0005-0000-0000-0000F1650000}"/>
    <cellStyle name="Note 2 2 16 3" xfId="26100" xr:uid="{00000000-0005-0000-0000-0000F2650000}"/>
    <cellStyle name="Note 2 2 16 4" xfId="26101" xr:uid="{00000000-0005-0000-0000-0000F3650000}"/>
    <cellStyle name="Note 2 2 17" xfId="26102" xr:uid="{00000000-0005-0000-0000-0000F4650000}"/>
    <cellStyle name="Note 2 2 17 2" xfId="26103" xr:uid="{00000000-0005-0000-0000-0000F5650000}"/>
    <cellStyle name="Note 2 2 17 2 2" xfId="26104" xr:uid="{00000000-0005-0000-0000-0000F6650000}"/>
    <cellStyle name="Note 2 2 17 2 3" xfId="26105" xr:uid="{00000000-0005-0000-0000-0000F7650000}"/>
    <cellStyle name="Note 2 2 17 3" xfId="26106" xr:uid="{00000000-0005-0000-0000-0000F8650000}"/>
    <cellStyle name="Note 2 2 17 4" xfId="26107" xr:uid="{00000000-0005-0000-0000-0000F9650000}"/>
    <cellStyle name="Note 2 2 18" xfId="26108" xr:uid="{00000000-0005-0000-0000-0000FA650000}"/>
    <cellStyle name="Note 2 2 18 2" xfId="26109" xr:uid="{00000000-0005-0000-0000-0000FB650000}"/>
    <cellStyle name="Note 2 2 18 3" xfId="26110" xr:uid="{00000000-0005-0000-0000-0000FC650000}"/>
    <cellStyle name="Note 2 2 18 4" xfId="26111" xr:uid="{00000000-0005-0000-0000-0000FD650000}"/>
    <cellStyle name="Note 2 2 19" xfId="26112" xr:uid="{00000000-0005-0000-0000-0000FE650000}"/>
    <cellStyle name="Note 2 2 19 2" xfId="26113" xr:uid="{00000000-0005-0000-0000-0000FF650000}"/>
    <cellStyle name="Note 2 2 19 3" xfId="26114" xr:uid="{00000000-0005-0000-0000-000000660000}"/>
    <cellStyle name="Note 2 2 2" xfId="26115" xr:uid="{00000000-0005-0000-0000-000001660000}"/>
    <cellStyle name="Note 2 2 2 2" xfId="26116" xr:uid="{00000000-0005-0000-0000-000002660000}"/>
    <cellStyle name="Note 2 2 2 2 2" xfId="26117" xr:uid="{00000000-0005-0000-0000-000003660000}"/>
    <cellStyle name="Note 2 2 2 2 3" xfId="26118" xr:uid="{00000000-0005-0000-0000-000004660000}"/>
    <cellStyle name="Note 2 2 2 2 4" xfId="26119" xr:uid="{00000000-0005-0000-0000-000005660000}"/>
    <cellStyle name="Note 2 2 2 2 5" xfId="26120" xr:uid="{00000000-0005-0000-0000-000006660000}"/>
    <cellStyle name="Note 2 2 2 2 5 2" xfId="26121" xr:uid="{00000000-0005-0000-0000-000007660000}"/>
    <cellStyle name="Note 2 2 2 2 6" xfId="26122" xr:uid="{00000000-0005-0000-0000-000008660000}"/>
    <cellStyle name="Note 2 2 2 3" xfId="26123" xr:uid="{00000000-0005-0000-0000-000009660000}"/>
    <cellStyle name="Note 2 2 2 3 2" xfId="26124" xr:uid="{00000000-0005-0000-0000-00000A660000}"/>
    <cellStyle name="Note 2 2 2 3 3" xfId="26125" xr:uid="{00000000-0005-0000-0000-00000B660000}"/>
    <cellStyle name="Note 2 2 2 4" xfId="26126" xr:uid="{00000000-0005-0000-0000-00000C660000}"/>
    <cellStyle name="Note 2 2 2 4 2" xfId="26127" xr:uid="{00000000-0005-0000-0000-00000D660000}"/>
    <cellStyle name="Note 2 2 2 5" xfId="26128" xr:uid="{00000000-0005-0000-0000-00000E660000}"/>
    <cellStyle name="Note 2 2 2 6" xfId="26129" xr:uid="{00000000-0005-0000-0000-00000F660000}"/>
    <cellStyle name="Note 2 2 2 7" xfId="26130" xr:uid="{00000000-0005-0000-0000-000010660000}"/>
    <cellStyle name="Note 2 2 20" xfId="26131" xr:uid="{00000000-0005-0000-0000-000011660000}"/>
    <cellStyle name="Note 2 2 20 2" xfId="26132" xr:uid="{00000000-0005-0000-0000-000012660000}"/>
    <cellStyle name="Note 2 2 21" xfId="26133" xr:uid="{00000000-0005-0000-0000-000013660000}"/>
    <cellStyle name="Note 2 2 22" xfId="26134" xr:uid="{00000000-0005-0000-0000-000014660000}"/>
    <cellStyle name="Note 2 2 23" xfId="26135" xr:uid="{00000000-0005-0000-0000-000015660000}"/>
    <cellStyle name="Note 2 2 3" xfId="26136" xr:uid="{00000000-0005-0000-0000-000016660000}"/>
    <cellStyle name="Note 2 2 3 2" xfId="26137" xr:uid="{00000000-0005-0000-0000-000017660000}"/>
    <cellStyle name="Note 2 2 3 2 2" xfId="26138" xr:uid="{00000000-0005-0000-0000-000018660000}"/>
    <cellStyle name="Note 2 2 3 2 3" xfId="26139" xr:uid="{00000000-0005-0000-0000-000019660000}"/>
    <cellStyle name="Note 2 2 3 3" xfId="26140" xr:uid="{00000000-0005-0000-0000-00001A660000}"/>
    <cellStyle name="Note 2 2 3 4" xfId="26141" xr:uid="{00000000-0005-0000-0000-00001B660000}"/>
    <cellStyle name="Note 2 2 4" xfId="26142" xr:uid="{00000000-0005-0000-0000-00001C660000}"/>
    <cellStyle name="Note 2 2 4 2" xfId="26143" xr:uid="{00000000-0005-0000-0000-00001D660000}"/>
    <cellStyle name="Note 2 2 4 2 2" xfId="26144" xr:uid="{00000000-0005-0000-0000-00001E660000}"/>
    <cellStyle name="Note 2 2 4 2 3" xfId="26145" xr:uid="{00000000-0005-0000-0000-00001F660000}"/>
    <cellStyle name="Note 2 2 4 3" xfId="26146" xr:uid="{00000000-0005-0000-0000-000020660000}"/>
    <cellStyle name="Note 2 2 4 4" xfId="26147" xr:uid="{00000000-0005-0000-0000-000021660000}"/>
    <cellStyle name="Note 2 2 5" xfId="26148" xr:uid="{00000000-0005-0000-0000-000022660000}"/>
    <cellStyle name="Note 2 2 5 2" xfId="26149" xr:uid="{00000000-0005-0000-0000-000023660000}"/>
    <cellStyle name="Note 2 2 5 2 2" xfId="26150" xr:uid="{00000000-0005-0000-0000-000024660000}"/>
    <cellStyle name="Note 2 2 5 2 3" xfId="26151" xr:uid="{00000000-0005-0000-0000-000025660000}"/>
    <cellStyle name="Note 2 2 5 3" xfId="26152" xr:uid="{00000000-0005-0000-0000-000026660000}"/>
    <cellStyle name="Note 2 2 5 4" xfId="26153" xr:uid="{00000000-0005-0000-0000-000027660000}"/>
    <cellStyle name="Note 2 2 6" xfId="26154" xr:uid="{00000000-0005-0000-0000-000028660000}"/>
    <cellStyle name="Note 2 2 6 2" xfId="26155" xr:uid="{00000000-0005-0000-0000-000029660000}"/>
    <cellStyle name="Note 2 2 6 2 2" xfId="26156" xr:uid="{00000000-0005-0000-0000-00002A660000}"/>
    <cellStyle name="Note 2 2 6 2 3" xfId="26157" xr:uid="{00000000-0005-0000-0000-00002B660000}"/>
    <cellStyle name="Note 2 2 6 3" xfId="26158" xr:uid="{00000000-0005-0000-0000-00002C660000}"/>
    <cellStyle name="Note 2 2 6 4" xfId="26159" xr:uid="{00000000-0005-0000-0000-00002D660000}"/>
    <cellStyle name="Note 2 2 7" xfId="26160" xr:uid="{00000000-0005-0000-0000-00002E660000}"/>
    <cellStyle name="Note 2 2 7 2" xfId="26161" xr:uid="{00000000-0005-0000-0000-00002F660000}"/>
    <cellStyle name="Note 2 2 7 2 2" xfId="26162" xr:uid="{00000000-0005-0000-0000-000030660000}"/>
    <cellStyle name="Note 2 2 7 2 3" xfId="26163" xr:uid="{00000000-0005-0000-0000-000031660000}"/>
    <cellStyle name="Note 2 2 7 3" xfId="26164" xr:uid="{00000000-0005-0000-0000-000032660000}"/>
    <cellStyle name="Note 2 2 7 4" xfId="26165" xr:uid="{00000000-0005-0000-0000-000033660000}"/>
    <cellStyle name="Note 2 2 8" xfId="26166" xr:uid="{00000000-0005-0000-0000-000034660000}"/>
    <cellStyle name="Note 2 2 8 2" xfId="26167" xr:uid="{00000000-0005-0000-0000-000035660000}"/>
    <cellStyle name="Note 2 2 8 2 2" xfId="26168" xr:uid="{00000000-0005-0000-0000-000036660000}"/>
    <cellStyle name="Note 2 2 8 2 3" xfId="26169" xr:uid="{00000000-0005-0000-0000-000037660000}"/>
    <cellStyle name="Note 2 2 8 3" xfId="26170" xr:uid="{00000000-0005-0000-0000-000038660000}"/>
    <cellStyle name="Note 2 2 8 4" xfId="26171" xr:uid="{00000000-0005-0000-0000-000039660000}"/>
    <cellStyle name="Note 2 2 9" xfId="26172" xr:uid="{00000000-0005-0000-0000-00003A660000}"/>
    <cellStyle name="Note 2 2 9 2" xfId="26173" xr:uid="{00000000-0005-0000-0000-00003B660000}"/>
    <cellStyle name="Note 2 2 9 2 2" xfId="26174" xr:uid="{00000000-0005-0000-0000-00003C660000}"/>
    <cellStyle name="Note 2 2 9 2 3" xfId="26175" xr:uid="{00000000-0005-0000-0000-00003D660000}"/>
    <cellStyle name="Note 2 2 9 3" xfId="26176" xr:uid="{00000000-0005-0000-0000-00003E660000}"/>
    <cellStyle name="Note 2 2 9 4" xfId="26177" xr:uid="{00000000-0005-0000-0000-00003F660000}"/>
    <cellStyle name="Note 2 3" xfId="26178" xr:uid="{00000000-0005-0000-0000-000040660000}"/>
    <cellStyle name="Note 2 3 10" xfId="26179" xr:uid="{00000000-0005-0000-0000-000041660000}"/>
    <cellStyle name="Note 2 3 10 2" xfId="26180" xr:uid="{00000000-0005-0000-0000-000042660000}"/>
    <cellStyle name="Note 2 3 10 2 2" xfId="26181" xr:uid="{00000000-0005-0000-0000-000043660000}"/>
    <cellStyle name="Note 2 3 10 2 3" xfId="26182" xr:uid="{00000000-0005-0000-0000-000044660000}"/>
    <cellStyle name="Note 2 3 10 3" xfId="26183" xr:uid="{00000000-0005-0000-0000-000045660000}"/>
    <cellStyle name="Note 2 3 10 4" xfId="26184" xr:uid="{00000000-0005-0000-0000-000046660000}"/>
    <cellStyle name="Note 2 3 11" xfId="26185" xr:uid="{00000000-0005-0000-0000-000047660000}"/>
    <cellStyle name="Note 2 3 11 2" xfId="26186" xr:uid="{00000000-0005-0000-0000-000048660000}"/>
    <cellStyle name="Note 2 3 11 2 2" xfId="26187" xr:uid="{00000000-0005-0000-0000-000049660000}"/>
    <cellStyle name="Note 2 3 11 2 3" xfId="26188" xr:uid="{00000000-0005-0000-0000-00004A660000}"/>
    <cellStyle name="Note 2 3 11 3" xfId="26189" xr:uid="{00000000-0005-0000-0000-00004B660000}"/>
    <cellStyle name="Note 2 3 11 4" xfId="26190" xr:uid="{00000000-0005-0000-0000-00004C660000}"/>
    <cellStyle name="Note 2 3 12" xfId="26191" xr:uid="{00000000-0005-0000-0000-00004D660000}"/>
    <cellStyle name="Note 2 3 12 2" xfId="26192" xr:uid="{00000000-0005-0000-0000-00004E660000}"/>
    <cellStyle name="Note 2 3 12 2 2" xfId="26193" xr:uid="{00000000-0005-0000-0000-00004F660000}"/>
    <cellStyle name="Note 2 3 12 2 3" xfId="26194" xr:uid="{00000000-0005-0000-0000-000050660000}"/>
    <cellStyle name="Note 2 3 12 3" xfId="26195" xr:uid="{00000000-0005-0000-0000-000051660000}"/>
    <cellStyle name="Note 2 3 12 4" xfId="26196" xr:uid="{00000000-0005-0000-0000-000052660000}"/>
    <cellStyle name="Note 2 3 13" xfId="26197" xr:uid="{00000000-0005-0000-0000-000053660000}"/>
    <cellStyle name="Note 2 3 13 2" xfId="26198" xr:uid="{00000000-0005-0000-0000-000054660000}"/>
    <cellStyle name="Note 2 3 13 2 2" xfId="26199" xr:uid="{00000000-0005-0000-0000-000055660000}"/>
    <cellStyle name="Note 2 3 13 2 3" xfId="26200" xr:uid="{00000000-0005-0000-0000-000056660000}"/>
    <cellStyle name="Note 2 3 13 3" xfId="26201" xr:uid="{00000000-0005-0000-0000-000057660000}"/>
    <cellStyle name="Note 2 3 13 4" xfId="26202" xr:uid="{00000000-0005-0000-0000-000058660000}"/>
    <cellStyle name="Note 2 3 14" xfId="26203" xr:uid="{00000000-0005-0000-0000-000059660000}"/>
    <cellStyle name="Note 2 3 14 2" xfId="26204" xr:uid="{00000000-0005-0000-0000-00005A660000}"/>
    <cellStyle name="Note 2 3 14 2 2" xfId="26205" xr:uid="{00000000-0005-0000-0000-00005B660000}"/>
    <cellStyle name="Note 2 3 14 2 3" xfId="26206" xr:uid="{00000000-0005-0000-0000-00005C660000}"/>
    <cellStyle name="Note 2 3 14 3" xfId="26207" xr:uid="{00000000-0005-0000-0000-00005D660000}"/>
    <cellStyle name="Note 2 3 14 4" xfId="26208" xr:uid="{00000000-0005-0000-0000-00005E660000}"/>
    <cellStyle name="Note 2 3 15" xfId="26209" xr:uid="{00000000-0005-0000-0000-00005F660000}"/>
    <cellStyle name="Note 2 3 15 2" xfId="26210" xr:uid="{00000000-0005-0000-0000-000060660000}"/>
    <cellStyle name="Note 2 3 15 2 2" xfId="26211" xr:uid="{00000000-0005-0000-0000-000061660000}"/>
    <cellStyle name="Note 2 3 15 2 3" xfId="26212" xr:uid="{00000000-0005-0000-0000-000062660000}"/>
    <cellStyle name="Note 2 3 15 3" xfId="26213" xr:uid="{00000000-0005-0000-0000-000063660000}"/>
    <cellStyle name="Note 2 3 15 4" xfId="26214" xr:uid="{00000000-0005-0000-0000-000064660000}"/>
    <cellStyle name="Note 2 3 16" xfId="26215" xr:uid="{00000000-0005-0000-0000-000065660000}"/>
    <cellStyle name="Note 2 3 16 2" xfId="26216" xr:uid="{00000000-0005-0000-0000-000066660000}"/>
    <cellStyle name="Note 2 3 16 2 2" xfId="26217" xr:uid="{00000000-0005-0000-0000-000067660000}"/>
    <cellStyle name="Note 2 3 16 2 3" xfId="26218" xr:uid="{00000000-0005-0000-0000-000068660000}"/>
    <cellStyle name="Note 2 3 16 3" xfId="26219" xr:uid="{00000000-0005-0000-0000-000069660000}"/>
    <cellStyle name="Note 2 3 16 4" xfId="26220" xr:uid="{00000000-0005-0000-0000-00006A660000}"/>
    <cellStyle name="Note 2 3 17" xfId="26221" xr:uid="{00000000-0005-0000-0000-00006B660000}"/>
    <cellStyle name="Note 2 3 17 2" xfId="26222" xr:uid="{00000000-0005-0000-0000-00006C660000}"/>
    <cellStyle name="Note 2 3 17 2 2" xfId="26223" xr:uid="{00000000-0005-0000-0000-00006D660000}"/>
    <cellStyle name="Note 2 3 17 2 3" xfId="26224" xr:uid="{00000000-0005-0000-0000-00006E660000}"/>
    <cellStyle name="Note 2 3 17 3" xfId="26225" xr:uid="{00000000-0005-0000-0000-00006F660000}"/>
    <cellStyle name="Note 2 3 17 4" xfId="26226" xr:uid="{00000000-0005-0000-0000-000070660000}"/>
    <cellStyle name="Note 2 3 18" xfId="26227" xr:uid="{00000000-0005-0000-0000-000071660000}"/>
    <cellStyle name="Note 2 3 18 2" xfId="26228" xr:uid="{00000000-0005-0000-0000-000072660000}"/>
    <cellStyle name="Note 2 3 18 3" xfId="26229" xr:uid="{00000000-0005-0000-0000-000073660000}"/>
    <cellStyle name="Note 2 3 18 4" xfId="26230" xr:uid="{00000000-0005-0000-0000-000074660000}"/>
    <cellStyle name="Note 2 3 19" xfId="26231" xr:uid="{00000000-0005-0000-0000-000075660000}"/>
    <cellStyle name="Note 2 3 19 2" xfId="26232" xr:uid="{00000000-0005-0000-0000-000076660000}"/>
    <cellStyle name="Note 2 3 19 3" xfId="26233" xr:uid="{00000000-0005-0000-0000-000077660000}"/>
    <cellStyle name="Note 2 3 2" xfId="26234" xr:uid="{00000000-0005-0000-0000-000078660000}"/>
    <cellStyle name="Note 2 3 2 2" xfId="26235" xr:uid="{00000000-0005-0000-0000-000079660000}"/>
    <cellStyle name="Note 2 3 2 2 2" xfId="26236" xr:uid="{00000000-0005-0000-0000-00007A660000}"/>
    <cellStyle name="Note 2 3 2 2 3" xfId="26237" xr:uid="{00000000-0005-0000-0000-00007B660000}"/>
    <cellStyle name="Note 2 3 2 3" xfId="26238" xr:uid="{00000000-0005-0000-0000-00007C660000}"/>
    <cellStyle name="Note 2 3 2 4" xfId="26239" xr:uid="{00000000-0005-0000-0000-00007D660000}"/>
    <cellStyle name="Note 2 3 2 5" xfId="26240" xr:uid="{00000000-0005-0000-0000-00007E660000}"/>
    <cellStyle name="Note 2 3 20" xfId="26241" xr:uid="{00000000-0005-0000-0000-00007F660000}"/>
    <cellStyle name="Note 2 3 20 2" xfId="26242" xr:uid="{00000000-0005-0000-0000-000080660000}"/>
    <cellStyle name="Note 2 3 21" xfId="26243" xr:uid="{00000000-0005-0000-0000-000081660000}"/>
    <cellStyle name="Note 2 3 22" xfId="26244" xr:uid="{00000000-0005-0000-0000-000082660000}"/>
    <cellStyle name="Note 2 3 23" xfId="26245" xr:uid="{00000000-0005-0000-0000-000083660000}"/>
    <cellStyle name="Note 2 3 24" xfId="26246" xr:uid="{00000000-0005-0000-0000-000084660000}"/>
    <cellStyle name="Note 2 3 3" xfId="26247" xr:uid="{00000000-0005-0000-0000-000085660000}"/>
    <cellStyle name="Note 2 3 3 2" xfId="26248" xr:uid="{00000000-0005-0000-0000-000086660000}"/>
    <cellStyle name="Note 2 3 3 2 2" xfId="26249" xr:uid="{00000000-0005-0000-0000-000087660000}"/>
    <cellStyle name="Note 2 3 3 2 3" xfId="26250" xr:uid="{00000000-0005-0000-0000-000088660000}"/>
    <cellStyle name="Note 2 3 3 3" xfId="26251" xr:uid="{00000000-0005-0000-0000-000089660000}"/>
    <cellStyle name="Note 2 3 3 4" xfId="26252" xr:uid="{00000000-0005-0000-0000-00008A660000}"/>
    <cellStyle name="Note 2 3 4" xfId="26253" xr:uid="{00000000-0005-0000-0000-00008B660000}"/>
    <cellStyle name="Note 2 3 4 2" xfId="26254" xr:uid="{00000000-0005-0000-0000-00008C660000}"/>
    <cellStyle name="Note 2 3 4 2 2" xfId="26255" xr:uid="{00000000-0005-0000-0000-00008D660000}"/>
    <cellStyle name="Note 2 3 4 2 3" xfId="26256" xr:uid="{00000000-0005-0000-0000-00008E660000}"/>
    <cellStyle name="Note 2 3 4 3" xfId="26257" xr:uid="{00000000-0005-0000-0000-00008F660000}"/>
    <cellStyle name="Note 2 3 4 4" xfId="26258" xr:uid="{00000000-0005-0000-0000-000090660000}"/>
    <cellStyle name="Note 2 3 5" xfId="26259" xr:uid="{00000000-0005-0000-0000-000091660000}"/>
    <cellStyle name="Note 2 3 5 2" xfId="26260" xr:uid="{00000000-0005-0000-0000-000092660000}"/>
    <cellStyle name="Note 2 3 5 2 2" xfId="26261" xr:uid="{00000000-0005-0000-0000-000093660000}"/>
    <cellStyle name="Note 2 3 5 2 3" xfId="26262" xr:uid="{00000000-0005-0000-0000-000094660000}"/>
    <cellStyle name="Note 2 3 5 3" xfId="26263" xr:uid="{00000000-0005-0000-0000-000095660000}"/>
    <cellStyle name="Note 2 3 5 4" xfId="26264" xr:uid="{00000000-0005-0000-0000-000096660000}"/>
    <cellStyle name="Note 2 3 6" xfId="26265" xr:uid="{00000000-0005-0000-0000-000097660000}"/>
    <cellStyle name="Note 2 3 6 2" xfId="26266" xr:uid="{00000000-0005-0000-0000-000098660000}"/>
    <cellStyle name="Note 2 3 6 2 2" xfId="26267" xr:uid="{00000000-0005-0000-0000-000099660000}"/>
    <cellStyle name="Note 2 3 6 2 3" xfId="26268" xr:uid="{00000000-0005-0000-0000-00009A660000}"/>
    <cellStyle name="Note 2 3 6 3" xfId="26269" xr:uid="{00000000-0005-0000-0000-00009B660000}"/>
    <cellStyle name="Note 2 3 6 4" xfId="26270" xr:uid="{00000000-0005-0000-0000-00009C660000}"/>
    <cellStyle name="Note 2 3 7" xfId="26271" xr:uid="{00000000-0005-0000-0000-00009D660000}"/>
    <cellStyle name="Note 2 3 7 2" xfId="26272" xr:uid="{00000000-0005-0000-0000-00009E660000}"/>
    <cellStyle name="Note 2 3 7 2 2" xfId="26273" xr:uid="{00000000-0005-0000-0000-00009F660000}"/>
    <cellStyle name="Note 2 3 7 2 3" xfId="26274" xr:uid="{00000000-0005-0000-0000-0000A0660000}"/>
    <cellStyle name="Note 2 3 7 3" xfId="26275" xr:uid="{00000000-0005-0000-0000-0000A1660000}"/>
    <cellStyle name="Note 2 3 7 4" xfId="26276" xr:uid="{00000000-0005-0000-0000-0000A2660000}"/>
    <cellStyle name="Note 2 3 8" xfId="26277" xr:uid="{00000000-0005-0000-0000-0000A3660000}"/>
    <cellStyle name="Note 2 3 8 2" xfId="26278" xr:uid="{00000000-0005-0000-0000-0000A4660000}"/>
    <cellStyle name="Note 2 3 8 2 2" xfId="26279" xr:uid="{00000000-0005-0000-0000-0000A5660000}"/>
    <cellStyle name="Note 2 3 8 2 3" xfId="26280" xr:uid="{00000000-0005-0000-0000-0000A6660000}"/>
    <cellStyle name="Note 2 3 8 3" xfId="26281" xr:uid="{00000000-0005-0000-0000-0000A7660000}"/>
    <cellStyle name="Note 2 3 8 4" xfId="26282" xr:uid="{00000000-0005-0000-0000-0000A8660000}"/>
    <cellStyle name="Note 2 3 9" xfId="26283" xr:uid="{00000000-0005-0000-0000-0000A9660000}"/>
    <cellStyle name="Note 2 3 9 2" xfId="26284" xr:uid="{00000000-0005-0000-0000-0000AA660000}"/>
    <cellStyle name="Note 2 3 9 2 2" xfId="26285" xr:uid="{00000000-0005-0000-0000-0000AB660000}"/>
    <cellStyle name="Note 2 3 9 2 3" xfId="26286" xr:uid="{00000000-0005-0000-0000-0000AC660000}"/>
    <cellStyle name="Note 2 3 9 3" xfId="26287" xr:uid="{00000000-0005-0000-0000-0000AD660000}"/>
    <cellStyle name="Note 2 3 9 4" xfId="26288" xr:uid="{00000000-0005-0000-0000-0000AE660000}"/>
    <cellStyle name="Note 2 4" xfId="26289" xr:uid="{00000000-0005-0000-0000-0000AF660000}"/>
    <cellStyle name="Note 2 4 2" xfId="26290" xr:uid="{00000000-0005-0000-0000-0000B0660000}"/>
    <cellStyle name="Note 2 4 2 2" xfId="26291" xr:uid="{00000000-0005-0000-0000-0000B1660000}"/>
    <cellStyle name="Note 2 4 2 3" xfId="26292" xr:uid="{00000000-0005-0000-0000-0000B2660000}"/>
    <cellStyle name="Note 2 4 2 4" xfId="26293" xr:uid="{00000000-0005-0000-0000-0000B3660000}"/>
    <cellStyle name="Note 2 4 2 5" xfId="26294" xr:uid="{00000000-0005-0000-0000-0000B4660000}"/>
    <cellStyle name="Note 2 4 2 5 2" xfId="26295" xr:uid="{00000000-0005-0000-0000-0000B5660000}"/>
    <cellStyle name="Note 2 4 2 6" xfId="26296" xr:uid="{00000000-0005-0000-0000-0000B6660000}"/>
    <cellStyle name="Note 2 4 3" xfId="26297" xr:uid="{00000000-0005-0000-0000-0000B7660000}"/>
    <cellStyle name="Note 2 4 3 2" xfId="26298" xr:uid="{00000000-0005-0000-0000-0000B8660000}"/>
    <cellStyle name="Note 2 4 3 3" xfId="26299" xr:uid="{00000000-0005-0000-0000-0000B9660000}"/>
    <cellStyle name="Note 2 4 4" xfId="26300" xr:uid="{00000000-0005-0000-0000-0000BA660000}"/>
    <cellStyle name="Note 2 4 4 2" xfId="26301" xr:uid="{00000000-0005-0000-0000-0000BB660000}"/>
    <cellStyle name="Note 2 4 5" xfId="26302" xr:uid="{00000000-0005-0000-0000-0000BC660000}"/>
    <cellStyle name="Note 2 4 6" xfId="26303" xr:uid="{00000000-0005-0000-0000-0000BD660000}"/>
    <cellStyle name="Note 2 4 7" xfId="26304" xr:uid="{00000000-0005-0000-0000-0000BE660000}"/>
    <cellStyle name="Note 2 5" xfId="26305" xr:uid="{00000000-0005-0000-0000-0000BF660000}"/>
    <cellStyle name="Note 2 5 2" xfId="26306" xr:uid="{00000000-0005-0000-0000-0000C0660000}"/>
    <cellStyle name="Note 2 5 2 2" xfId="26307" xr:uid="{00000000-0005-0000-0000-0000C1660000}"/>
    <cellStyle name="Note 2 5 3" xfId="26308" xr:uid="{00000000-0005-0000-0000-0000C2660000}"/>
    <cellStyle name="Note 2 5 3 2" xfId="26309" xr:uid="{00000000-0005-0000-0000-0000C3660000}"/>
    <cellStyle name="Note 2 5 4" xfId="26310" xr:uid="{00000000-0005-0000-0000-0000C4660000}"/>
    <cellStyle name="Note 2 5 5" xfId="26311" xr:uid="{00000000-0005-0000-0000-0000C5660000}"/>
    <cellStyle name="Note 2 6" xfId="26312" xr:uid="{00000000-0005-0000-0000-0000C6660000}"/>
    <cellStyle name="Note 2 6 2" xfId="26313" xr:uid="{00000000-0005-0000-0000-0000C7660000}"/>
    <cellStyle name="Note 2 6 2 2" xfId="26314" xr:uid="{00000000-0005-0000-0000-0000C8660000}"/>
    <cellStyle name="Note 2 6 3" xfId="26315" xr:uid="{00000000-0005-0000-0000-0000C9660000}"/>
    <cellStyle name="Note 2 6 3 2" xfId="26316" xr:uid="{00000000-0005-0000-0000-0000CA660000}"/>
    <cellStyle name="Note 2 6 4" xfId="26317" xr:uid="{00000000-0005-0000-0000-0000CB660000}"/>
    <cellStyle name="Note 2 6 5" xfId="26318" xr:uid="{00000000-0005-0000-0000-0000CC660000}"/>
    <cellStyle name="Note 2 7" xfId="26319" xr:uid="{00000000-0005-0000-0000-0000CD660000}"/>
    <cellStyle name="Note 2 7 2" xfId="26320" xr:uid="{00000000-0005-0000-0000-0000CE660000}"/>
    <cellStyle name="Note 2 7 3" xfId="26321" xr:uid="{00000000-0005-0000-0000-0000CF660000}"/>
    <cellStyle name="Note 2 8" xfId="26322" xr:uid="{00000000-0005-0000-0000-0000D0660000}"/>
    <cellStyle name="Note 2 8 2" xfId="26323" xr:uid="{00000000-0005-0000-0000-0000D1660000}"/>
    <cellStyle name="Note 2 8 3" xfId="26324" xr:uid="{00000000-0005-0000-0000-0000D2660000}"/>
    <cellStyle name="Note 2 8 4" xfId="26325" xr:uid="{00000000-0005-0000-0000-0000D3660000}"/>
    <cellStyle name="Note 2 9" xfId="26326" xr:uid="{00000000-0005-0000-0000-0000D4660000}"/>
    <cellStyle name="Note 2 9 2" xfId="26327" xr:uid="{00000000-0005-0000-0000-0000D5660000}"/>
    <cellStyle name="Note 20" xfId="26328" xr:uid="{00000000-0005-0000-0000-0000D6660000}"/>
    <cellStyle name="Note 20 2" xfId="26329" xr:uid="{00000000-0005-0000-0000-0000D7660000}"/>
    <cellStyle name="Note 20 2 10" xfId="26330" xr:uid="{00000000-0005-0000-0000-0000D8660000}"/>
    <cellStyle name="Note 20 2 10 2" xfId="26331" xr:uid="{00000000-0005-0000-0000-0000D9660000}"/>
    <cellStyle name="Note 20 2 10 2 2" xfId="26332" xr:uid="{00000000-0005-0000-0000-0000DA660000}"/>
    <cellStyle name="Note 20 2 10 2 3" xfId="26333" xr:uid="{00000000-0005-0000-0000-0000DB660000}"/>
    <cellStyle name="Note 20 2 10 3" xfId="26334" xr:uid="{00000000-0005-0000-0000-0000DC660000}"/>
    <cellStyle name="Note 20 2 10 4" xfId="26335" xr:uid="{00000000-0005-0000-0000-0000DD660000}"/>
    <cellStyle name="Note 20 2 11" xfId="26336" xr:uid="{00000000-0005-0000-0000-0000DE660000}"/>
    <cellStyle name="Note 20 2 11 2" xfId="26337" xr:uid="{00000000-0005-0000-0000-0000DF660000}"/>
    <cellStyle name="Note 20 2 11 2 2" xfId="26338" xr:uid="{00000000-0005-0000-0000-0000E0660000}"/>
    <cellStyle name="Note 20 2 11 2 3" xfId="26339" xr:uid="{00000000-0005-0000-0000-0000E1660000}"/>
    <cellStyle name="Note 20 2 11 3" xfId="26340" xr:uid="{00000000-0005-0000-0000-0000E2660000}"/>
    <cellStyle name="Note 20 2 11 4" xfId="26341" xr:uid="{00000000-0005-0000-0000-0000E3660000}"/>
    <cellStyle name="Note 20 2 12" xfId="26342" xr:uid="{00000000-0005-0000-0000-0000E4660000}"/>
    <cellStyle name="Note 20 2 12 2" xfId="26343" xr:uid="{00000000-0005-0000-0000-0000E5660000}"/>
    <cellStyle name="Note 20 2 12 2 2" xfId="26344" xr:uid="{00000000-0005-0000-0000-0000E6660000}"/>
    <cellStyle name="Note 20 2 12 2 3" xfId="26345" xr:uid="{00000000-0005-0000-0000-0000E7660000}"/>
    <cellStyle name="Note 20 2 12 3" xfId="26346" xr:uid="{00000000-0005-0000-0000-0000E8660000}"/>
    <cellStyle name="Note 20 2 12 4" xfId="26347" xr:uid="{00000000-0005-0000-0000-0000E9660000}"/>
    <cellStyle name="Note 20 2 13" xfId="26348" xr:uid="{00000000-0005-0000-0000-0000EA660000}"/>
    <cellStyle name="Note 20 2 13 2" xfId="26349" xr:uid="{00000000-0005-0000-0000-0000EB660000}"/>
    <cellStyle name="Note 20 2 13 2 2" xfId="26350" xr:uid="{00000000-0005-0000-0000-0000EC660000}"/>
    <cellStyle name="Note 20 2 13 2 3" xfId="26351" xr:uid="{00000000-0005-0000-0000-0000ED660000}"/>
    <cellStyle name="Note 20 2 13 3" xfId="26352" xr:uid="{00000000-0005-0000-0000-0000EE660000}"/>
    <cellStyle name="Note 20 2 13 4" xfId="26353" xr:uid="{00000000-0005-0000-0000-0000EF660000}"/>
    <cellStyle name="Note 20 2 14" xfId="26354" xr:uid="{00000000-0005-0000-0000-0000F0660000}"/>
    <cellStyle name="Note 20 2 14 2" xfId="26355" xr:uid="{00000000-0005-0000-0000-0000F1660000}"/>
    <cellStyle name="Note 20 2 14 2 2" xfId="26356" xr:uid="{00000000-0005-0000-0000-0000F2660000}"/>
    <cellStyle name="Note 20 2 14 2 3" xfId="26357" xr:uid="{00000000-0005-0000-0000-0000F3660000}"/>
    <cellStyle name="Note 20 2 14 3" xfId="26358" xr:uid="{00000000-0005-0000-0000-0000F4660000}"/>
    <cellStyle name="Note 20 2 14 4" xfId="26359" xr:uid="{00000000-0005-0000-0000-0000F5660000}"/>
    <cellStyle name="Note 20 2 15" xfId="26360" xr:uid="{00000000-0005-0000-0000-0000F6660000}"/>
    <cellStyle name="Note 20 2 15 2" xfId="26361" xr:uid="{00000000-0005-0000-0000-0000F7660000}"/>
    <cellStyle name="Note 20 2 15 2 2" xfId="26362" xr:uid="{00000000-0005-0000-0000-0000F8660000}"/>
    <cellStyle name="Note 20 2 15 2 3" xfId="26363" xr:uid="{00000000-0005-0000-0000-0000F9660000}"/>
    <cellStyle name="Note 20 2 15 3" xfId="26364" xr:uid="{00000000-0005-0000-0000-0000FA660000}"/>
    <cellStyle name="Note 20 2 15 4" xfId="26365" xr:uid="{00000000-0005-0000-0000-0000FB660000}"/>
    <cellStyle name="Note 20 2 16" xfId="26366" xr:uid="{00000000-0005-0000-0000-0000FC660000}"/>
    <cellStyle name="Note 20 2 16 2" xfId="26367" xr:uid="{00000000-0005-0000-0000-0000FD660000}"/>
    <cellStyle name="Note 20 2 16 2 2" xfId="26368" xr:uid="{00000000-0005-0000-0000-0000FE660000}"/>
    <cellStyle name="Note 20 2 16 2 3" xfId="26369" xr:uid="{00000000-0005-0000-0000-0000FF660000}"/>
    <cellStyle name="Note 20 2 16 3" xfId="26370" xr:uid="{00000000-0005-0000-0000-000000670000}"/>
    <cellStyle name="Note 20 2 16 4" xfId="26371" xr:uid="{00000000-0005-0000-0000-000001670000}"/>
    <cellStyle name="Note 20 2 17" xfId="26372" xr:uid="{00000000-0005-0000-0000-000002670000}"/>
    <cellStyle name="Note 20 2 17 2" xfId="26373" xr:uid="{00000000-0005-0000-0000-000003670000}"/>
    <cellStyle name="Note 20 2 17 2 2" xfId="26374" xr:uid="{00000000-0005-0000-0000-000004670000}"/>
    <cellStyle name="Note 20 2 17 2 3" xfId="26375" xr:uid="{00000000-0005-0000-0000-000005670000}"/>
    <cellStyle name="Note 20 2 17 3" xfId="26376" xr:uid="{00000000-0005-0000-0000-000006670000}"/>
    <cellStyle name="Note 20 2 17 4" xfId="26377" xr:uid="{00000000-0005-0000-0000-000007670000}"/>
    <cellStyle name="Note 20 2 18" xfId="26378" xr:uid="{00000000-0005-0000-0000-000008670000}"/>
    <cellStyle name="Note 20 2 18 2" xfId="26379" xr:uid="{00000000-0005-0000-0000-000009670000}"/>
    <cellStyle name="Note 20 2 18 3" xfId="26380" xr:uid="{00000000-0005-0000-0000-00000A670000}"/>
    <cellStyle name="Note 20 2 18 4" xfId="26381" xr:uid="{00000000-0005-0000-0000-00000B670000}"/>
    <cellStyle name="Note 20 2 19" xfId="26382" xr:uid="{00000000-0005-0000-0000-00000C670000}"/>
    <cellStyle name="Note 20 2 2" xfId="26383" xr:uid="{00000000-0005-0000-0000-00000D670000}"/>
    <cellStyle name="Note 20 2 2 2" xfId="26384" xr:uid="{00000000-0005-0000-0000-00000E670000}"/>
    <cellStyle name="Note 20 2 2 2 2" xfId="26385" xr:uid="{00000000-0005-0000-0000-00000F670000}"/>
    <cellStyle name="Note 20 2 2 2 3" xfId="26386" xr:uid="{00000000-0005-0000-0000-000010670000}"/>
    <cellStyle name="Note 20 2 2 3" xfId="26387" xr:uid="{00000000-0005-0000-0000-000011670000}"/>
    <cellStyle name="Note 20 2 2 4" xfId="26388" xr:uid="{00000000-0005-0000-0000-000012670000}"/>
    <cellStyle name="Note 20 2 20" xfId="26389" xr:uid="{00000000-0005-0000-0000-000013670000}"/>
    <cellStyle name="Note 20 2 21" xfId="26390" xr:uid="{00000000-0005-0000-0000-000014670000}"/>
    <cellStyle name="Note 20 2 3" xfId="26391" xr:uid="{00000000-0005-0000-0000-000015670000}"/>
    <cellStyle name="Note 20 2 3 2" xfId="26392" xr:uid="{00000000-0005-0000-0000-000016670000}"/>
    <cellStyle name="Note 20 2 3 2 2" xfId="26393" xr:uid="{00000000-0005-0000-0000-000017670000}"/>
    <cellStyle name="Note 20 2 3 2 3" xfId="26394" xr:uid="{00000000-0005-0000-0000-000018670000}"/>
    <cellStyle name="Note 20 2 3 3" xfId="26395" xr:uid="{00000000-0005-0000-0000-000019670000}"/>
    <cellStyle name="Note 20 2 3 4" xfId="26396" xr:uid="{00000000-0005-0000-0000-00001A670000}"/>
    <cellStyle name="Note 20 2 4" xfId="26397" xr:uid="{00000000-0005-0000-0000-00001B670000}"/>
    <cellStyle name="Note 20 2 4 2" xfId="26398" xr:uid="{00000000-0005-0000-0000-00001C670000}"/>
    <cellStyle name="Note 20 2 4 2 2" xfId="26399" xr:uid="{00000000-0005-0000-0000-00001D670000}"/>
    <cellStyle name="Note 20 2 4 2 3" xfId="26400" xr:uid="{00000000-0005-0000-0000-00001E670000}"/>
    <cellStyle name="Note 20 2 4 3" xfId="26401" xr:uid="{00000000-0005-0000-0000-00001F670000}"/>
    <cellStyle name="Note 20 2 4 4" xfId="26402" xr:uid="{00000000-0005-0000-0000-000020670000}"/>
    <cellStyle name="Note 20 2 5" xfId="26403" xr:uid="{00000000-0005-0000-0000-000021670000}"/>
    <cellStyle name="Note 20 2 5 2" xfId="26404" xr:uid="{00000000-0005-0000-0000-000022670000}"/>
    <cellStyle name="Note 20 2 5 2 2" xfId="26405" xr:uid="{00000000-0005-0000-0000-000023670000}"/>
    <cellStyle name="Note 20 2 5 2 3" xfId="26406" xr:uid="{00000000-0005-0000-0000-000024670000}"/>
    <cellStyle name="Note 20 2 5 3" xfId="26407" xr:uid="{00000000-0005-0000-0000-000025670000}"/>
    <cellStyle name="Note 20 2 5 4" xfId="26408" xr:uid="{00000000-0005-0000-0000-000026670000}"/>
    <cellStyle name="Note 20 2 6" xfId="26409" xr:uid="{00000000-0005-0000-0000-000027670000}"/>
    <cellStyle name="Note 20 2 6 2" xfId="26410" xr:uid="{00000000-0005-0000-0000-000028670000}"/>
    <cellStyle name="Note 20 2 6 2 2" xfId="26411" xr:uid="{00000000-0005-0000-0000-000029670000}"/>
    <cellStyle name="Note 20 2 6 2 3" xfId="26412" xr:uid="{00000000-0005-0000-0000-00002A670000}"/>
    <cellStyle name="Note 20 2 6 3" xfId="26413" xr:uid="{00000000-0005-0000-0000-00002B670000}"/>
    <cellStyle name="Note 20 2 6 4" xfId="26414" xr:uid="{00000000-0005-0000-0000-00002C670000}"/>
    <cellStyle name="Note 20 2 7" xfId="26415" xr:uid="{00000000-0005-0000-0000-00002D670000}"/>
    <cellStyle name="Note 20 2 7 2" xfId="26416" xr:uid="{00000000-0005-0000-0000-00002E670000}"/>
    <cellStyle name="Note 20 2 7 2 2" xfId="26417" xr:uid="{00000000-0005-0000-0000-00002F670000}"/>
    <cellStyle name="Note 20 2 7 2 3" xfId="26418" xr:uid="{00000000-0005-0000-0000-000030670000}"/>
    <cellStyle name="Note 20 2 7 3" xfId="26419" xr:uid="{00000000-0005-0000-0000-000031670000}"/>
    <cellStyle name="Note 20 2 7 4" xfId="26420" xr:uid="{00000000-0005-0000-0000-000032670000}"/>
    <cellStyle name="Note 20 2 8" xfId="26421" xr:uid="{00000000-0005-0000-0000-000033670000}"/>
    <cellStyle name="Note 20 2 8 2" xfId="26422" xr:uid="{00000000-0005-0000-0000-000034670000}"/>
    <cellStyle name="Note 20 2 8 2 2" xfId="26423" xr:uid="{00000000-0005-0000-0000-000035670000}"/>
    <cellStyle name="Note 20 2 8 2 3" xfId="26424" xr:uid="{00000000-0005-0000-0000-000036670000}"/>
    <cellStyle name="Note 20 2 8 3" xfId="26425" xr:uid="{00000000-0005-0000-0000-000037670000}"/>
    <cellStyle name="Note 20 2 8 4" xfId="26426" xr:uid="{00000000-0005-0000-0000-000038670000}"/>
    <cellStyle name="Note 20 2 9" xfId="26427" xr:uid="{00000000-0005-0000-0000-000039670000}"/>
    <cellStyle name="Note 20 2 9 2" xfId="26428" xr:uid="{00000000-0005-0000-0000-00003A670000}"/>
    <cellStyle name="Note 20 2 9 2 2" xfId="26429" xr:uid="{00000000-0005-0000-0000-00003B670000}"/>
    <cellStyle name="Note 20 2 9 2 3" xfId="26430" xr:uid="{00000000-0005-0000-0000-00003C670000}"/>
    <cellStyle name="Note 20 2 9 3" xfId="26431" xr:uid="{00000000-0005-0000-0000-00003D670000}"/>
    <cellStyle name="Note 20 2 9 4" xfId="26432" xr:uid="{00000000-0005-0000-0000-00003E670000}"/>
    <cellStyle name="Note 20 3" xfId="26433" xr:uid="{00000000-0005-0000-0000-00003F670000}"/>
    <cellStyle name="Note 20 3 2" xfId="26434" xr:uid="{00000000-0005-0000-0000-000040670000}"/>
    <cellStyle name="Note 20 3 2 2" xfId="26435" xr:uid="{00000000-0005-0000-0000-000041670000}"/>
    <cellStyle name="Note 20 3 2 3" xfId="26436" xr:uid="{00000000-0005-0000-0000-000042670000}"/>
    <cellStyle name="Note 20 3 3" xfId="26437" xr:uid="{00000000-0005-0000-0000-000043670000}"/>
    <cellStyle name="Note 20 3 4" xfId="26438" xr:uid="{00000000-0005-0000-0000-000044670000}"/>
    <cellStyle name="Note 20 4" xfId="26439" xr:uid="{00000000-0005-0000-0000-000045670000}"/>
    <cellStyle name="Note 20 5" xfId="26440" xr:uid="{00000000-0005-0000-0000-000046670000}"/>
    <cellStyle name="Note 21" xfId="26441" xr:uid="{00000000-0005-0000-0000-000047670000}"/>
    <cellStyle name="Note 21 2" xfId="26442" xr:uid="{00000000-0005-0000-0000-000048670000}"/>
    <cellStyle name="Note 21 2 10" xfId="26443" xr:uid="{00000000-0005-0000-0000-000049670000}"/>
    <cellStyle name="Note 21 2 10 2" xfId="26444" xr:uid="{00000000-0005-0000-0000-00004A670000}"/>
    <cellStyle name="Note 21 2 10 2 2" xfId="26445" xr:uid="{00000000-0005-0000-0000-00004B670000}"/>
    <cellStyle name="Note 21 2 10 2 3" xfId="26446" xr:uid="{00000000-0005-0000-0000-00004C670000}"/>
    <cellStyle name="Note 21 2 10 3" xfId="26447" xr:uid="{00000000-0005-0000-0000-00004D670000}"/>
    <cellStyle name="Note 21 2 10 4" xfId="26448" xr:uid="{00000000-0005-0000-0000-00004E670000}"/>
    <cellStyle name="Note 21 2 11" xfId="26449" xr:uid="{00000000-0005-0000-0000-00004F670000}"/>
    <cellStyle name="Note 21 2 11 2" xfId="26450" xr:uid="{00000000-0005-0000-0000-000050670000}"/>
    <cellStyle name="Note 21 2 11 2 2" xfId="26451" xr:uid="{00000000-0005-0000-0000-000051670000}"/>
    <cellStyle name="Note 21 2 11 2 3" xfId="26452" xr:uid="{00000000-0005-0000-0000-000052670000}"/>
    <cellStyle name="Note 21 2 11 3" xfId="26453" xr:uid="{00000000-0005-0000-0000-000053670000}"/>
    <cellStyle name="Note 21 2 11 4" xfId="26454" xr:uid="{00000000-0005-0000-0000-000054670000}"/>
    <cellStyle name="Note 21 2 12" xfId="26455" xr:uid="{00000000-0005-0000-0000-000055670000}"/>
    <cellStyle name="Note 21 2 12 2" xfId="26456" xr:uid="{00000000-0005-0000-0000-000056670000}"/>
    <cellStyle name="Note 21 2 12 2 2" xfId="26457" xr:uid="{00000000-0005-0000-0000-000057670000}"/>
    <cellStyle name="Note 21 2 12 2 3" xfId="26458" xr:uid="{00000000-0005-0000-0000-000058670000}"/>
    <cellStyle name="Note 21 2 12 3" xfId="26459" xr:uid="{00000000-0005-0000-0000-000059670000}"/>
    <cellStyle name="Note 21 2 12 4" xfId="26460" xr:uid="{00000000-0005-0000-0000-00005A670000}"/>
    <cellStyle name="Note 21 2 13" xfId="26461" xr:uid="{00000000-0005-0000-0000-00005B670000}"/>
    <cellStyle name="Note 21 2 13 2" xfId="26462" xr:uid="{00000000-0005-0000-0000-00005C670000}"/>
    <cellStyle name="Note 21 2 13 2 2" xfId="26463" xr:uid="{00000000-0005-0000-0000-00005D670000}"/>
    <cellStyle name="Note 21 2 13 2 3" xfId="26464" xr:uid="{00000000-0005-0000-0000-00005E670000}"/>
    <cellStyle name="Note 21 2 13 3" xfId="26465" xr:uid="{00000000-0005-0000-0000-00005F670000}"/>
    <cellStyle name="Note 21 2 13 4" xfId="26466" xr:uid="{00000000-0005-0000-0000-000060670000}"/>
    <cellStyle name="Note 21 2 14" xfId="26467" xr:uid="{00000000-0005-0000-0000-000061670000}"/>
    <cellStyle name="Note 21 2 14 2" xfId="26468" xr:uid="{00000000-0005-0000-0000-000062670000}"/>
    <cellStyle name="Note 21 2 14 2 2" xfId="26469" xr:uid="{00000000-0005-0000-0000-000063670000}"/>
    <cellStyle name="Note 21 2 14 2 3" xfId="26470" xr:uid="{00000000-0005-0000-0000-000064670000}"/>
    <cellStyle name="Note 21 2 14 3" xfId="26471" xr:uid="{00000000-0005-0000-0000-000065670000}"/>
    <cellStyle name="Note 21 2 14 4" xfId="26472" xr:uid="{00000000-0005-0000-0000-000066670000}"/>
    <cellStyle name="Note 21 2 15" xfId="26473" xr:uid="{00000000-0005-0000-0000-000067670000}"/>
    <cellStyle name="Note 21 2 15 2" xfId="26474" xr:uid="{00000000-0005-0000-0000-000068670000}"/>
    <cellStyle name="Note 21 2 15 2 2" xfId="26475" xr:uid="{00000000-0005-0000-0000-000069670000}"/>
    <cellStyle name="Note 21 2 15 2 3" xfId="26476" xr:uid="{00000000-0005-0000-0000-00006A670000}"/>
    <cellStyle name="Note 21 2 15 3" xfId="26477" xr:uid="{00000000-0005-0000-0000-00006B670000}"/>
    <cellStyle name="Note 21 2 15 4" xfId="26478" xr:uid="{00000000-0005-0000-0000-00006C670000}"/>
    <cellStyle name="Note 21 2 16" xfId="26479" xr:uid="{00000000-0005-0000-0000-00006D670000}"/>
    <cellStyle name="Note 21 2 16 2" xfId="26480" xr:uid="{00000000-0005-0000-0000-00006E670000}"/>
    <cellStyle name="Note 21 2 16 2 2" xfId="26481" xr:uid="{00000000-0005-0000-0000-00006F670000}"/>
    <cellStyle name="Note 21 2 16 2 3" xfId="26482" xr:uid="{00000000-0005-0000-0000-000070670000}"/>
    <cellStyle name="Note 21 2 16 3" xfId="26483" xr:uid="{00000000-0005-0000-0000-000071670000}"/>
    <cellStyle name="Note 21 2 16 4" xfId="26484" xr:uid="{00000000-0005-0000-0000-000072670000}"/>
    <cellStyle name="Note 21 2 17" xfId="26485" xr:uid="{00000000-0005-0000-0000-000073670000}"/>
    <cellStyle name="Note 21 2 17 2" xfId="26486" xr:uid="{00000000-0005-0000-0000-000074670000}"/>
    <cellStyle name="Note 21 2 17 2 2" xfId="26487" xr:uid="{00000000-0005-0000-0000-000075670000}"/>
    <cellStyle name="Note 21 2 17 2 3" xfId="26488" xr:uid="{00000000-0005-0000-0000-000076670000}"/>
    <cellStyle name="Note 21 2 17 3" xfId="26489" xr:uid="{00000000-0005-0000-0000-000077670000}"/>
    <cellStyle name="Note 21 2 17 4" xfId="26490" xr:uid="{00000000-0005-0000-0000-000078670000}"/>
    <cellStyle name="Note 21 2 18" xfId="26491" xr:uid="{00000000-0005-0000-0000-000079670000}"/>
    <cellStyle name="Note 21 2 18 2" xfId="26492" xr:uid="{00000000-0005-0000-0000-00007A670000}"/>
    <cellStyle name="Note 21 2 18 3" xfId="26493" xr:uid="{00000000-0005-0000-0000-00007B670000}"/>
    <cellStyle name="Note 21 2 18 4" xfId="26494" xr:uid="{00000000-0005-0000-0000-00007C670000}"/>
    <cellStyle name="Note 21 2 19" xfId="26495" xr:uid="{00000000-0005-0000-0000-00007D670000}"/>
    <cellStyle name="Note 21 2 2" xfId="26496" xr:uid="{00000000-0005-0000-0000-00007E670000}"/>
    <cellStyle name="Note 21 2 2 2" xfId="26497" xr:uid="{00000000-0005-0000-0000-00007F670000}"/>
    <cellStyle name="Note 21 2 2 2 2" xfId="26498" xr:uid="{00000000-0005-0000-0000-000080670000}"/>
    <cellStyle name="Note 21 2 2 2 3" xfId="26499" xr:uid="{00000000-0005-0000-0000-000081670000}"/>
    <cellStyle name="Note 21 2 2 3" xfId="26500" xr:uid="{00000000-0005-0000-0000-000082670000}"/>
    <cellStyle name="Note 21 2 2 4" xfId="26501" xr:uid="{00000000-0005-0000-0000-000083670000}"/>
    <cellStyle name="Note 21 2 20" xfId="26502" xr:uid="{00000000-0005-0000-0000-000084670000}"/>
    <cellStyle name="Note 21 2 21" xfId="26503" xr:uid="{00000000-0005-0000-0000-000085670000}"/>
    <cellStyle name="Note 21 2 3" xfId="26504" xr:uid="{00000000-0005-0000-0000-000086670000}"/>
    <cellStyle name="Note 21 2 3 2" xfId="26505" xr:uid="{00000000-0005-0000-0000-000087670000}"/>
    <cellStyle name="Note 21 2 3 2 2" xfId="26506" xr:uid="{00000000-0005-0000-0000-000088670000}"/>
    <cellStyle name="Note 21 2 3 2 3" xfId="26507" xr:uid="{00000000-0005-0000-0000-000089670000}"/>
    <cellStyle name="Note 21 2 3 3" xfId="26508" xr:uid="{00000000-0005-0000-0000-00008A670000}"/>
    <cellStyle name="Note 21 2 3 4" xfId="26509" xr:uid="{00000000-0005-0000-0000-00008B670000}"/>
    <cellStyle name="Note 21 2 4" xfId="26510" xr:uid="{00000000-0005-0000-0000-00008C670000}"/>
    <cellStyle name="Note 21 2 4 2" xfId="26511" xr:uid="{00000000-0005-0000-0000-00008D670000}"/>
    <cellStyle name="Note 21 2 4 2 2" xfId="26512" xr:uid="{00000000-0005-0000-0000-00008E670000}"/>
    <cellStyle name="Note 21 2 4 2 3" xfId="26513" xr:uid="{00000000-0005-0000-0000-00008F670000}"/>
    <cellStyle name="Note 21 2 4 3" xfId="26514" xr:uid="{00000000-0005-0000-0000-000090670000}"/>
    <cellStyle name="Note 21 2 4 4" xfId="26515" xr:uid="{00000000-0005-0000-0000-000091670000}"/>
    <cellStyle name="Note 21 2 5" xfId="26516" xr:uid="{00000000-0005-0000-0000-000092670000}"/>
    <cellStyle name="Note 21 2 5 2" xfId="26517" xr:uid="{00000000-0005-0000-0000-000093670000}"/>
    <cellStyle name="Note 21 2 5 2 2" xfId="26518" xr:uid="{00000000-0005-0000-0000-000094670000}"/>
    <cellStyle name="Note 21 2 5 2 3" xfId="26519" xr:uid="{00000000-0005-0000-0000-000095670000}"/>
    <cellStyle name="Note 21 2 5 3" xfId="26520" xr:uid="{00000000-0005-0000-0000-000096670000}"/>
    <cellStyle name="Note 21 2 5 4" xfId="26521" xr:uid="{00000000-0005-0000-0000-000097670000}"/>
    <cellStyle name="Note 21 2 6" xfId="26522" xr:uid="{00000000-0005-0000-0000-000098670000}"/>
    <cellStyle name="Note 21 2 6 2" xfId="26523" xr:uid="{00000000-0005-0000-0000-000099670000}"/>
    <cellStyle name="Note 21 2 6 2 2" xfId="26524" xr:uid="{00000000-0005-0000-0000-00009A670000}"/>
    <cellStyle name="Note 21 2 6 2 3" xfId="26525" xr:uid="{00000000-0005-0000-0000-00009B670000}"/>
    <cellStyle name="Note 21 2 6 3" xfId="26526" xr:uid="{00000000-0005-0000-0000-00009C670000}"/>
    <cellStyle name="Note 21 2 6 4" xfId="26527" xr:uid="{00000000-0005-0000-0000-00009D670000}"/>
    <cellStyle name="Note 21 2 7" xfId="26528" xr:uid="{00000000-0005-0000-0000-00009E670000}"/>
    <cellStyle name="Note 21 2 7 2" xfId="26529" xr:uid="{00000000-0005-0000-0000-00009F670000}"/>
    <cellStyle name="Note 21 2 7 2 2" xfId="26530" xr:uid="{00000000-0005-0000-0000-0000A0670000}"/>
    <cellStyle name="Note 21 2 7 2 3" xfId="26531" xr:uid="{00000000-0005-0000-0000-0000A1670000}"/>
    <cellStyle name="Note 21 2 7 3" xfId="26532" xr:uid="{00000000-0005-0000-0000-0000A2670000}"/>
    <cellStyle name="Note 21 2 7 4" xfId="26533" xr:uid="{00000000-0005-0000-0000-0000A3670000}"/>
    <cellStyle name="Note 21 2 8" xfId="26534" xr:uid="{00000000-0005-0000-0000-0000A4670000}"/>
    <cellStyle name="Note 21 2 8 2" xfId="26535" xr:uid="{00000000-0005-0000-0000-0000A5670000}"/>
    <cellStyle name="Note 21 2 8 2 2" xfId="26536" xr:uid="{00000000-0005-0000-0000-0000A6670000}"/>
    <cellStyle name="Note 21 2 8 2 3" xfId="26537" xr:uid="{00000000-0005-0000-0000-0000A7670000}"/>
    <cellStyle name="Note 21 2 8 3" xfId="26538" xr:uid="{00000000-0005-0000-0000-0000A8670000}"/>
    <cellStyle name="Note 21 2 8 4" xfId="26539" xr:uid="{00000000-0005-0000-0000-0000A9670000}"/>
    <cellStyle name="Note 21 2 9" xfId="26540" xr:uid="{00000000-0005-0000-0000-0000AA670000}"/>
    <cellStyle name="Note 21 2 9 2" xfId="26541" xr:uid="{00000000-0005-0000-0000-0000AB670000}"/>
    <cellStyle name="Note 21 2 9 2 2" xfId="26542" xr:uid="{00000000-0005-0000-0000-0000AC670000}"/>
    <cellStyle name="Note 21 2 9 2 3" xfId="26543" xr:uid="{00000000-0005-0000-0000-0000AD670000}"/>
    <cellStyle name="Note 21 2 9 3" xfId="26544" xr:uid="{00000000-0005-0000-0000-0000AE670000}"/>
    <cellStyle name="Note 21 2 9 4" xfId="26545" xr:uid="{00000000-0005-0000-0000-0000AF670000}"/>
    <cellStyle name="Note 21 3" xfId="26546" xr:uid="{00000000-0005-0000-0000-0000B0670000}"/>
    <cellStyle name="Note 21 3 2" xfId="26547" xr:uid="{00000000-0005-0000-0000-0000B1670000}"/>
    <cellStyle name="Note 21 3 2 2" xfId="26548" xr:uid="{00000000-0005-0000-0000-0000B2670000}"/>
    <cellStyle name="Note 21 3 2 3" xfId="26549" xr:uid="{00000000-0005-0000-0000-0000B3670000}"/>
    <cellStyle name="Note 21 3 3" xfId="26550" xr:uid="{00000000-0005-0000-0000-0000B4670000}"/>
    <cellStyle name="Note 21 3 4" xfId="26551" xr:uid="{00000000-0005-0000-0000-0000B5670000}"/>
    <cellStyle name="Note 21 4" xfId="26552" xr:uid="{00000000-0005-0000-0000-0000B6670000}"/>
    <cellStyle name="Note 21 5" xfId="26553" xr:uid="{00000000-0005-0000-0000-0000B7670000}"/>
    <cellStyle name="Note 22" xfId="26554" xr:uid="{00000000-0005-0000-0000-0000B8670000}"/>
    <cellStyle name="Note 22 2" xfId="26555" xr:uid="{00000000-0005-0000-0000-0000B9670000}"/>
    <cellStyle name="Note 22 2 10" xfId="26556" xr:uid="{00000000-0005-0000-0000-0000BA670000}"/>
    <cellStyle name="Note 22 2 10 2" xfId="26557" xr:uid="{00000000-0005-0000-0000-0000BB670000}"/>
    <cellStyle name="Note 22 2 10 2 2" xfId="26558" xr:uid="{00000000-0005-0000-0000-0000BC670000}"/>
    <cellStyle name="Note 22 2 10 2 3" xfId="26559" xr:uid="{00000000-0005-0000-0000-0000BD670000}"/>
    <cellStyle name="Note 22 2 10 3" xfId="26560" xr:uid="{00000000-0005-0000-0000-0000BE670000}"/>
    <cellStyle name="Note 22 2 10 4" xfId="26561" xr:uid="{00000000-0005-0000-0000-0000BF670000}"/>
    <cellStyle name="Note 22 2 11" xfId="26562" xr:uid="{00000000-0005-0000-0000-0000C0670000}"/>
    <cellStyle name="Note 22 2 11 2" xfId="26563" xr:uid="{00000000-0005-0000-0000-0000C1670000}"/>
    <cellStyle name="Note 22 2 11 2 2" xfId="26564" xr:uid="{00000000-0005-0000-0000-0000C2670000}"/>
    <cellStyle name="Note 22 2 11 2 3" xfId="26565" xr:uid="{00000000-0005-0000-0000-0000C3670000}"/>
    <cellStyle name="Note 22 2 11 3" xfId="26566" xr:uid="{00000000-0005-0000-0000-0000C4670000}"/>
    <cellStyle name="Note 22 2 11 4" xfId="26567" xr:uid="{00000000-0005-0000-0000-0000C5670000}"/>
    <cellStyle name="Note 22 2 12" xfId="26568" xr:uid="{00000000-0005-0000-0000-0000C6670000}"/>
    <cellStyle name="Note 22 2 12 2" xfId="26569" xr:uid="{00000000-0005-0000-0000-0000C7670000}"/>
    <cellStyle name="Note 22 2 12 2 2" xfId="26570" xr:uid="{00000000-0005-0000-0000-0000C8670000}"/>
    <cellStyle name="Note 22 2 12 2 3" xfId="26571" xr:uid="{00000000-0005-0000-0000-0000C9670000}"/>
    <cellStyle name="Note 22 2 12 3" xfId="26572" xr:uid="{00000000-0005-0000-0000-0000CA670000}"/>
    <cellStyle name="Note 22 2 12 4" xfId="26573" xr:uid="{00000000-0005-0000-0000-0000CB670000}"/>
    <cellStyle name="Note 22 2 13" xfId="26574" xr:uid="{00000000-0005-0000-0000-0000CC670000}"/>
    <cellStyle name="Note 22 2 13 2" xfId="26575" xr:uid="{00000000-0005-0000-0000-0000CD670000}"/>
    <cellStyle name="Note 22 2 13 2 2" xfId="26576" xr:uid="{00000000-0005-0000-0000-0000CE670000}"/>
    <cellStyle name="Note 22 2 13 2 3" xfId="26577" xr:uid="{00000000-0005-0000-0000-0000CF670000}"/>
    <cellStyle name="Note 22 2 13 3" xfId="26578" xr:uid="{00000000-0005-0000-0000-0000D0670000}"/>
    <cellStyle name="Note 22 2 13 4" xfId="26579" xr:uid="{00000000-0005-0000-0000-0000D1670000}"/>
    <cellStyle name="Note 22 2 14" xfId="26580" xr:uid="{00000000-0005-0000-0000-0000D2670000}"/>
    <cellStyle name="Note 22 2 14 2" xfId="26581" xr:uid="{00000000-0005-0000-0000-0000D3670000}"/>
    <cellStyle name="Note 22 2 14 2 2" xfId="26582" xr:uid="{00000000-0005-0000-0000-0000D4670000}"/>
    <cellStyle name="Note 22 2 14 2 3" xfId="26583" xr:uid="{00000000-0005-0000-0000-0000D5670000}"/>
    <cellStyle name="Note 22 2 14 3" xfId="26584" xr:uid="{00000000-0005-0000-0000-0000D6670000}"/>
    <cellStyle name="Note 22 2 14 4" xfId="26585" xr:uid="{00000000-0005-0000-0000-0000D7670000}"/>
    <cellStyle name="Note 22 2 15" xfId="26586" xr:uid="{00000000-0005-0000-0000-0000D8670000}"/>
    <cellStyle name="Note 22 2 15 2" xfId="26587" xr:uid="{00000000-0005-0000-0000-0000D9670000}"/>
    <cellStyle name="Note 22 2 15 2 2" xfId="26588" xr:uid="{00000000-0005-0000-0000-0000DA670000}"/>
    <cellStyle name="Note 22 2 15 2 3" xfId="26589" xr:uid="{00000000-0005-0000-0000-0000DB670000}"/>
    <cellStyle name="Note 22 2 15 3" xfId="26590" xr:uid="{00000000-0005-0000-0000-0000DC670000}"/>
    <cellStyle name="Note 22 2 15 4" xfId="26591" xr:uid="{00000000-0005-0000-0000-0000DD670000}"/>
    <cellStyle name="Note 22 2 16" xfId="26592" xr:uid="{00000000-0005-0000-0000-0000DE670000}"/>
    <cellStyle name="Note 22 2 16 2" xfId="26593" xr:uid="{00000000-0005-0000-0000-0000DF670000}"/>
    <cellStyle name="Note 22 2 16 2 2" xfId="26594" xr:uid="{00000000-0005-0000-0000-0000E0670000}"/>
    <cellStyle name="Note 22 2 16 2 3" xfId="26595" xr:uid="{00000000-0005-0000-0000-0000E1670000}"/>
    <cellStyle name="Note 22 2 16 3" xfId="26596" xr:uid="{00000000-0005-0000-0000-0000E2670000}"/>
    <cellStyle name="Note 22 2 16 4" xfId="26597" xr:uid="{00000000-0005-0000-0000-0000E3670000}"/>
    <cellStyle name="Note 22 2 17" xfId="26598" xr:uid="{00000000-0005-0000-0000-0000E4670000}"/>
    <cellStyle name="Note 22 2 17 2" xfId="26599" xr:uid="{00000000-0005-0000-0000-0000E5670000}"/>
    <cellStyle name="Note 22 2 17 2 2" xfId="26600" xr:uid="{00000000-0005-0000-0000-0000E6670000}"/>
    <cellStyle name="Note 22 2 17 2 3" xfId="26601" xr:uid="{00000000-0005-0000-0000-0000E7670000}"/>
    <cellStyle name="Note 22 2 17 3" xfId="26602" xr:uid="{00000000-0005-0000-0000-0000E8670000}"/>
    <cellStyle name="Note 22 2 17 4" xfId="26603" xr:uid="{00000000-0005-0000-0000-0000E9670000}"/>
    <cellStyle name="Note 22 2 18" xfId="26604" xr:uid="{00000000-0005-0000-0000-0000EA670000}"/>
    <cellStyle name="Note 22 2 18 2" xfId="26605" xr:uid="{00000000-0005-0000-0000-0000EB670000}"/>
    <cellStyle name="Note 22 2 18 3" xfId="26606" xr:uid="{00000000-0005-0000-0000-0000EC670000}"/>
    <cellStyle name="Note 22 2 18 4" xfId="26607" xr:uid="{00000000-0005-0000-0000-0000ED670000}"/>
    <cellStyle name="Note 22 2 19" xfId="26608" xr:uid="{00000000-0005-0000-0000-0000EE670000}"/>
    <cellStyle name="Note 22 2 2" xfId="26609" xr:uid="{00000000-0005-0000-0000-0000EF670000}"/>
    <cellStyle name="Note 22 2 2 2" xfId="26610" xr:uid="{00000000-0005-0000-0000-0000F0670000}"/>
    <cellStyle name="Note 22 2 2 2 2" xfId="26611" xr:uid="{00000000-0005-0000-0000-0000F1670000}"/>
    <cellStyle name="Note 22 2 2 2 3" xfId="26612" xr:uid="{00000000-0005-0000-0000-0000F2670000}"/>
    <cellStyle name="Note 22 2 2 3" xfId="26613" xr:uid="{00000000-0005-0000-0000-0000F3670000}"/>
    <cellStyle name="Note 22 2 2 4" xfId="26614" xr:uid="{00000000-0005-0000-0000-0000F4670000}"/>
    <cellStyle name="Note 22 2 20" xfId="26615" xr:uid="{00000000-0005-0000-0000-0000F5670000}"/>
    <cellStyle name="Note 22 2 21" xfId="26616" xr:uid="{00000000-0005-0000-0000-0000F6670000}"/>
    <cellStyle name="Note 22 2 3" xfId="26617" xr:uid="{00000000-0005-0000-0000-0000F7670000}"/>
    <cellStyle name="Note 22 2 3 2" xfId="26618" xr:uid="{00000000-0005-0000-0000-0000F8670000}"/>
    <cellStyle name="Note 22 2 3 2 2" xfId="26619" xr:uid="{00000000-0005-0000-0000-0000F9670000}"/>
    <cellStyle name="Note 22 2 3 2 3" xfId="26620" xr:uid="{00000000-0005-0000-0000-0000FA670000}"/>
    <cellStyle name="Note 22 2 3 3" xfId="26621" xr:uid="{00000000-0005-0000-0000-0000FB670000}"/>
    <cellStyle name="Note 22 2 3 4" xfId="26622" xr:uid="{00000000-0005-0000-0000-0000FC670000}"/>
    <cellStyle name="Note 22 2 4" xfId="26623" xr:uid="{00000000-0005-0000-0000-0000FD670000}"/>
    <cellStyle name="Note 22 2 4 2" xfId="26624" xr:uid="{00000000-0005-0000-0000-0000FE670000}"/>
    <cellStyle name="Note 22 2 4 2 2" xfId="26625" xr:uid="{00000000-0005-0000-0000-0000FF670000}"/>
    <cellStyle name="Note 22 2 4 2 3" xfId="26626" xr:uid="{00000000-0005-0000-0000-000000680000}"/>
    <cellStyle name="Note 22 2 4 3" xfId="26627" xr:uid="{00000000-0005-0000-0000-000001680000}"/>
    <cellStyle name="Note 22 2 4 4" xfId="26628" xr:uid="{00000000-0005-0000-0000-000002680000}"/>
    <cellStyle name="Note 22 2 5" xfId="26629" xr:uid="{00000000-0005-0000-0000-000003680000}"/>
    <cellStyle name="Note 22 2 5 2" xfId="26630" xr:uid="{00000000-0005-0000-0000-000004680000}"/>
    <cellStyle name="Note 22 2 5 2 2" xfId="26631" xr:uid="{00000000-0005-0000-0000-000005680000}"/>
    <cellStyle name="Note 22 2 5 2 3" xfId="26632" xr:uid="{00000000-0005-0000-0000-000006680000}"/>
    <cellStyle name="Note 22 2 5 3" xfId="26633" xr:uid="{00000000-0005-0000-0000-000007680000}"/>
    <cellStyle name="Note 22 2 5 4" xfId="26634" xr:uid="{00000000-0005-0000-0000-000008680000}"/>
    <cellStyle name="Note 22 2 6" xfId="26635" xr:uid="{00000000-0005-0000-0000-000009680000}"/>
    <cellStyle name="Note 22 2 6 2" xfId="26636" xr:uid="{00000000-0005-0000-0000-00000A680000}"/>
    <cellStyle name="Note 22 2 6 2 2" xfId="26637" xr:uid="{00000000-0005-0000-0000-00000B680000}"/>
    <cellStyle name="Note 22 2 6 2 3" xfId="26638" xr:uid="{00000000-0005-0000-0000-00000C680000}"/>
    <cellStyle name="Note 22 2 6 3" xfId="26639" xr:uid="{00000000-0005-0000-0000-00000D680000}"/>
    <cellStyle name="Note 22 2 6 4" xfId="26640" xr:uid="{00000000-0005-0000-0000-00000E680000}"/>
    <cellStyle name="Note 22 2 7" xfId="26641" xr:uid="{00000000-0005-0000-0000-00000F680000}"/>
    <cellStyle name="Note 22 2 7 2" xfId="26642" xr:uid="{00000000-0005-0000-0000-000010680000}"/>
    <cellStyle name="Note 22 2 7 2 2" xfId="26643" xr:uid="{00000000-0005-0000-0000-000011680000}"/>
    <cellStyle name="Note 22 2 7 2 3" xfId="26644" xr:uid="{00000000-0005-0000-0000-000012680000}"/>
    <cellStyle name="Note 22 2 7 3" xfId="26645" xr:uid="{00000000-0005-0000-0000-000013680000}"/>
    <cellStyle name="Note 22 2 7 4" xfId="26646" xr:uid="{00000000-0005-0000-0000-000014680000}"/>
    <cellStyle name="Note 22 2 8" xfId="26647" xr:uid="{00000000-0005-0000-0000-000015680000}"/>
    <cellStyle name="Note 22 2 8 2" xfId="26648" xr:uid="{00000000-0005-0000-0000-000016680000}"/>
    <cellStyle name="Note 22 2 8 2 2" xfId="26649" xr:uid="{00000000-0005-0000-0000-000017680000}"/>
    <cellStyle name="Note 22 2 8 2 3" xfId="26650" xr:uid="{00000000-0005-0000-0000-000018680000}"/>
    <cellStyle name="Note 22 2 8 3" xfId="26651" xr:uid="{00000000-0005-0000-0000-000019680000}"/>
    <cellStyle name="Note 22 2 8 4" xfId="26652" xr:uid="{00000000-0005-0000-0000-00001A680000}"/>
    <cellStyle name="Note 22 2 9" xfId="26653" xr:uid="{00000000-0005-0000-0000-00001B680000}"/>
    <cellStyle name="Note 22 2 9 2" xfId="26654" xr:uid="{00000000-0005-0000-0000-00001C680000}"/>
    <cellStyle name="Note 22 2 9 2 2" xfId="26655" xr:uid="{00000000-0005-0000-0000-00001D680000}"/>
    <cellStyle name="Note 22 2 9 2 3" xfId="26656" xr:uid="{00000000-0005-0000-0000-00001E680000}"/>
    <cellStyle name="Note 22 2 9 3" xfId="26657" xr:uid="{00000000-0005-0000-0000-00001F680000}"/>
    <cellStyle name="Note 22 2 9 4" xfId="26658" xr:uid="{00000000-0005-0000-0000-000020680000}"/>
    <cellStyle name="Note 22 3" xfId="26659" xr:uid="{00000000-0005-0000-0000-000021680000}"/>
    <cellStyle name="Note 22 3 2" xfId="26660" xr:uid="{00000000-0005-0000-0000-000022680000}"/>
    <cellStyle name="Note 22 3 2 2" xfId="26661" xr:uid="{00000000-0005-0000-0000-000023680000}"/>
    <cellStyle name="Note 22 3 2 3" xfId="26662" xr:uid="{00000000-0005-0000-0000-000024680000}"/>
    <cellStyle name="Note 22 3 3" xfId="26663" xr:uid="{00000000-0005-0000-0000-000025680000}"/>
    <cellStyle name="Note 22 3 4" xfId="26664" xr:uid="{00000000-0005-0000-0000-000026680000}"/>
    <cellStyle name="Note 22 4" xfId="26665" xr:uid="{00000000-0005-0000-0000-000027680000}"/>
    <cellStyle name="Note 22 5" xfId="26666" xr:uid="{00000000-0005-0000-0000-000028680000}"/>
    <cellStyle name="Note 23" xfId="26667" xr:uid="{00000000-0005-0000-0000-000029680000}"/>
    <cellStyle name="Note 23 2" xfId="26668" xr:uid="{00000000-0005-0000-0000-00002A680000}"/>
    <cellStyle name="Note 23 2 10" xfId="26669" xr:uid="{00000000-0005-0000-0000-00002B680000}"/>
    <cellStyle name="Note 23 2 10 2" xfId="26670" xr:uid="{00000000-0005-0000-0000-00002C680000}"/>
    <cellStyle name="Note 23 2 10 2 2" xfId="26671" xr:uid="{00000000-0005-0000-0000-00002D680000}"/>
    <cellStyle name="Note 23 2 10 2 3" xfId="26672" xr:uid="{00000000-0005-0000-0000-00002E680000}"/>
    <cellStyle name="Note 23 2 10 3" xfId="26673" xr:uid="{00000000-0005-0000-0000-00002F680000}"/>
    <cellStyle name="Note 23 2 10 4" xfId="26674" xr:uid="{00000000-0005-0000-0000-000030680000}"/>
    <cellStyle name="Note 23 2 11" xfId="26675" xr:uid="{00000000-0005-0000-0000-000031680000}"/>
    <cellStyle name="Note 23 2 11 2" xfId="26676" xr:uid="{00000000-0005-0000-0000-000032680000}"/>
    <cellStyle name="Note 23 2 11 2 2" xfId="26677" xr:uid="{00000000-0005-0000-0000-000033680000}"/>
    <cellStyle name="Note 23 2 11 2 3" xfId="26678" xr:uid="{00000000-0005-0000-0000-000034680000}"/>
    <cellStyle name="Note 23 2 11 3" xfId="26679" xr:uid="{00000000-0005-0000-0000-000035680000}"/>
    <cellStyle name="Note 23 2 11 4" xfId="26680" xr:uid="{00000000-0005-0000-0000-000036680000}"/>
    <cellStyle name="Note 23 2 12" xfId="26681" xr:uid="{00000000-0005-0000-0000-000037680000}"/>
    <cellStyle name="Note 23 2 12 2" xfId="26682" xr:uid="{00000000-0005-0000-0000-000038680000}"/>
    <cellStyle name="Note 23 2 12 2 2" xfId="26683" xr:uid="{00000000-0005-0000-0000-000039680000}"/>
    <cellStyle name="Note 23 2 12 2 3" xfId="26684" xr:uid="{00000000-0005-0000-0000-00003A680000}"/>
    <cellStyle name="Note 23 2 12 3" xfId="26685" xr:uid="{00000000-0005-0000-0000-00003B680000}"/>
    <cellStyle name="Note 23 2 12 4" xfId="26686" xr:uid="{00000000-0005-0000-0000-00003C680000}"/>
    <cellStyle name="Note 23 2 13" xfId="26687" xr:uid="{00000000-0005-0000-0000-00003D680000}"/>
    <cellStyle name="Note 23 2 13 2" xfId="26688" xr:uid="{00000000-0005-0000-0000-00003E680000}"/>
    <cellStyle name="Note 23 2 13 2 2" xfId="26689" xr:uid="{00000000-0005-0000-0000-00003F680000}"/>
    <cellStyle name="Note 23 2 13 2 3" xfId="26690" xr:uid="{00000000-0005-0000-0000-000040680000}"/>
    <cellStyle name="Note 23 2 13 3" xfId="26691" xr:uid="{00000000-0005-0000-0000-000041680000}"/>
    <cellStyle name="Note 23 2 13 4" xfId="26692" xr:uid="{00000000-0005-0000-0000-000042680000}"/>
    <cellStyle name="Note 23 2 14" xfId="26693" xr:uid="{00000000-0005-0000-0000-000043680000}"/>
    <cellStyle name="Note 23 2 14 2" xfId="26694" xr:uid="{00000000-0005-0000-0000-000044680000}"/>
    <cellStyle name="Note 23 2 14 2 2" xfId="26695" xr:uid="{00000000-0005-0000-0000-000045680000}"/>
    <cellStyle name="Note 23 2 14 2 3" xfId="26696" xr:uid="{00000000-0005-0000-0000-000046680000}"/>
    <cellStyle name="Note 23 2 14 3" xfId="26697" xr:uid="{00000000-0005-0000-0000-000047680000}"/>
    <cellStyle name="Note 23 2 14 4" xfId="26698" xr:uid="{00000000-0005-0000-0000-000048680000}"/>
    <cellStyle name="Note 23 2 15" xfId="26699" xr:uid="{00000000-0005-0000-0000-000049680000}"/>
    <cellStyle name="Note 23 2 15 2" xfId="26700" xr:uid="{00000000-0005-0000-0000-00004A680000}"/>
    <cellStyle name="Note 23 2 15 2 2" xfId="26701" xr:uid="{00000000-0005-0000-0000-00004B680000}"/>
    <cellStyle name="Note 23 2 15 2 3" xfId="26702" xr:uid="{00000000-0005-0000-0000-00004C680000}"/>
    <cellStyle name="Note 23 2 15 3" xfId="26703" xr:uid="{00000000-0005-0000-0000-00004D680000}"/>
    <cellStyle name="Note 23 2 15 4" xfId="26704" xr:uid="{00000000-0005-0000-0000-00004E680000}"/>
    <cellStyle name="Note 23 2 16" xfId="26705" xr:uid="{00000000-0005-0000-0000-00004F680000}"/>
    <cellStyle name="Note 23 2 16 2" xfId="26706" xr:uid="{00000000-0005-0000-0000-000050680000}"/>
    <cellStyle name="Note 23 2 16 2 2" xfId="26707" xr:uid="{00000000-0005-0000-0000-000051680000}"/>
    <cellStyle name="Note 23 2 16 2 3" xfId="26708" xr:uid="{00000000-0005-0000-0000-000052680000}"/>
    <cellStyle name="Note 23 2 16 3" xfId="26709" xr:uid="{00000000-0005-0000-0000-000053680000}"/>
    <cellStyle name="Note 23 2 16 4" xfId="26710" xr:uid="{00000000-0005-0000-0000-000054680000}"/>
    <cellStyle name="Note 23 2 17" xfId="26711" xr:uid="{00000000-0005-0000-0000-000055680000}"/>
    <cellStyle name="Note 23 2 17 2" xfId="26712" xr:uid="{00000000-0005-0000-0000-000056680000}"/>
    <cellStyle name="Note 23 2 17 2 2" xfId="26713" xr:uid="{00000000-0005-0000-0000-000057680000}"/>
    <cellStyle name="Note 23 2 17 2 3" xfId="26714" xr:uid="{00000000-0005-0000-0000-000058680000}"/>
    <cellStyle name="Note 23 2 17 3" xfId="26715" xr:uid="{00000000-0005-0000-0000-000059680000}"/>
    <cellStyle name="Note 23 2 17 4" xfId="26716" xr:uid="{00000000-0005-0000-0000-00005A680000}"/>
    <cellStyle name="Note 23 2 18" xfId="26717" xr:uid="{00000000-0005-0000-0000-00005B680000}"/>
    <cellStyle name="Note 23 2 18 2" xfId="26718" xr:uid="{00000000-0005-0000-0000-00005C680000}"/>
    <cellStyle name="Note 23 2 18 3" xfId="26719" xr:uid="{00000000-0005-0000-0000-00005D680000}"/>
    <cellStyle name="Note 23 2 18 4" xfId="26720" xr:uid="{00000000-0005-0000-0000-00005E680000}"/>
    <cellStyle name="Note 23 2 19" xfId="26721" xr:uid="{00000000-0005-0000-0000-00005F680000}"/>
    <cellStyle name="Note 23 2 2" xfId="26722" xr:uid="{00000000-0005-0000-0000-000060680000}"/>
    <cellStyle name="Note 23 2 2 2" xfId="26723" xr:uid="{00000000-0005-0000-0000-000061680000}"/>
    <cellStyle name="Note 23 2 2 2 2" xfId="26724" xr:uid="{00000000-0005-0000-0000-000062680000}"/>
    <cellStyle name="Note 23 2 2 2 3" xfId="26725" xr:uid="{00000000-0005-0000-0000-000063680000}"/>
    <cellStyle name="Note 23 2 2 3" xfId="26726" xr:uid="{00000000-0005-0000-0000-000064680000}"/>
    <cellStyle name="Note 23 2 2 4" xfId="26727" xr:uid="{00000000-0005-0000-0000-000065680000}"/>
    <cellStyle name="Note 23 2 20" xfId="26728" xr:uid="{00000000-0005-0000-0000-000066680000}"/>
    <cellStyle name="Note 23 2 21" xfId="26729" xr:uid="{00000000-0005-0000-0000-000067680000}"/>
    <cellStyle name="Note 23 2 3" xfId="26730" xr:uid="{00000000-0005-0000-0000-000068680000}"/>
    <cellStyle name="Note 23 2 3 2" xfId="26731" xr:uid="{00000000-0005-0000-0000-000069680000}"/>
    <cellStyle name="Note 23 2 3 2 2" xfId="26732" xr:uid="{00000000-0005-0000-0000-00006A680000}"/>
    <cellStyle name="Note 23 2 3 2 3" xfId="26733" xr:uid="{00000000-0005-0000-0000-00006B680000}"/>
    <cellStyle name="Note 23 2 3 3" xfId="26734" xr:uid="{00000000-0005-0000-0000-00006C680000}"/>
    <cellStyle name="Note 23 2 3 4" xfId="26735" xr:uid="{00000000-0005-0000-0000-00006D680000}"/>
    <cellStyle name="Note 23 2 4" xfId="26736" xr:uid="{00000000-0005-0000-0000-00006E680000}"/>
    <cellStyle name="Note 23 2 4 2" xfId="26737" xr:uid="{00000000-0005-0000-0000-00006F680000}"/>
    <cellStyle name="Note 23 2 4 2 2" xfId="26738" xr:uid="{00000000-0005-0000-0000-000070680000}"/>
    <cellStyle name="Note 23 2 4 2 3" xfId="26739" xr:uid="{00000000-0005-0000-0000-000071680000}"/>
    <cellStyle name="Note 23 2 4 3" xfId="26740" xr:uid="{00000000-0005-0000-0000-000072680000}"/>
    <cellStyle name="Note 23 2 4 4" xfId="26741" xr:uid="{00000000-0005-0000-0000-000073680000}"/>
    <cellStyle name="Note 23 2 5" xfId="26742" xr:uid="{00000000-0005-0000-0000-000074680000}"/>
    <cellStyle name="Note 23 2 5 2" xfId="26743" xr:uid="{00000000-0005-0000-0000-000075680000}"/>
    <cellStyle name="Note 23 2 5 2 2" xfId="26744" xr:uid="{00000000-0005-0000-0000-000076680000}"/>
    <cellStyle name="Note 23 2 5 2 3" xfId="26745" xr:uid="{00000000-0005-0000-0000-000077680000}"/>
    <cellStyle name="Note 23 2 5 3" xfId="26746" xr:uid="{00000000-0005-0000-0000-000078680000}"/>
    <cellStyle name="Note 23 2 5 4" xfId="26747" xr:uid="{00000000-0005-0000-0000-000079680000}"/>
    <cellStyle name="Note 23 2 6" xfId="26748" xr:uid="{00000000-0005-0000-0000-00007A680000}"/>
    <cellStyle name="Note 23 2 6 2" xfId="26749" xr:uid="{00000000-0005-0000-0000-00007B680000}"/>
    <cellStyle name="Note 23 2 6 2 2" xfId="26750" xr:uid="{00000000-0005-0000-0000-00007C680000}"/>
    <cellStyle name="Note 23 2 6 2 3" xfId="26751" xr:uid="{00000000-0005-0000-0000-00007D680000}"/>
    <cellStyle name="Note 23 2 6 3" xfId="26752" xr:uid="{00000000-0005-0000-0000-00007E680000}"/>
    <cellStyle name="Note 23 2 6 4" xfId="26753" xr:uid="{00000000-0005-0000-0000-00007F680000}"/>
    <cellStyle name="Note 23 2 7" xfId="26754" xr:uid="{00000000-0005-0000-0000-000080680000}"/>
    <cellStyle name="Note 23 2 7 2" xfId="26755" xr:uid="{00000000-0005-0000-0000-000081680000}"/>
    <cellStyle name="Note 23 2 7 2 2" xfId="26756" xr:uid="{00000000-0005-0000-0000-000082680000}"/>
    <cellStyle name="Note 23 2 7 2 3" xfId="26757" xr:uid="{00000000-0005-0000-0000-000083680000}"/>
    <cellStyle name="Note 23 2 7 3" xfId="26758" xr:uid="{00000000-0005-0000-0000-000084680000}"/>
    <cellStyle name="Note 23 2 7 4" xfId="26759" xr:uid="{00000000-0005-0000-0000-000085680000}"/>
    <cellStyle name="Note 23 2 8" xfId="26760" xr:uid="{00000000-0005-0000-0000-000086680000}"/>
    <cellStyle name="Note 23 2 8 2" xfId="26761" xr:uid="{00000000-0005-0000-0000-000087680000}"/>
    <cellStyle name="Note 23 2 8 2 2" xfId="26762" xr:uid="{00000000-0005-0000-0000-000088680000}"/>
    <cellStyle name="Note 23 2 8 2 3" xfId="26763" xr:uid="{00000000-0005-0000-0000-000089680000}"/>
    <cellStyle name="Note 23 2 8 3" xfId="26764" xr:uid="{00000000-0005-0000-0000-00008A680000}"/>
    <cellStyle name="Note 23 2 8 4" xfId="26765" xr:uid="{00000000-0005-0000-0000-00008B680000}"/>
    <cellStyle name="Note 23 2 9" xfId="26766" xr:uid="{00000000-0005-0000-0000-00008C680000}"/>
    <cellStyle name="Note 23 2 9 2" xfId="26767" xr:uid="{00000000-0005-0000-0000-00008D680000}"/>
    <cellStyle name="Note 23 2 9 2 2" xfId="26768" xr:uid="{00000000-0005-0000-0000-00008E680000}"/>
    <cellStyle name="Note 23 2 9 2 3" xfId="26769" xr:uid="{00000000-0005-0000-0000-00008F680000}"/>
    <cellStyle name="Note 23 2 9 3" xfId="26770" xr:uid="{00000000-0005-0000-0000-000090680000}"/>
    <cellStyle name="Note 23 2 9 4" xfId="26771" xr:uid="{00000000-0005-0000-0000-000091680000}"/>
    <cellStyle name="Note 23 3" xfId="26772" xr:uid="{00000000-0005-0000-0000-000092680000}"/>
    <cellStyle name="Note 23 3 2" xfId="26773" xr:uid="{00000000-0005-0000-0000-000093680000}"/>
    <cellStyle name="Note 23 3 2 2" xfId="26774" xr:uid="{00000000-0005-0000-0000-000094680000}"/>
    <cellStyle name="Note 23 3 2 3" xfId="26775" xr:uid="{00000000-0005-0000-0000-000095680000}"/>
    <cellStyle name="Note 23 3 3" xfId="26776" xr:uid="{00000000-0005-0000-0000-000096680000}"/>
    <cellStyle name="Note 23 3 4" xfId="26777" xr:uid="{00000000-0005-0000-0000-000097680000}"/>
    <cellStyle name="Note 23 4" xfId="26778" xr:uid="{00000000-0005-0000-0000-000098680000}"/>
    <cellStyle name="Note 23 5" xfId="26779" xr:uid="{00000000-0005-0000-0000-000099680000}"/>
    <cellStyle name="Note 24" xfId="26780" xr:uid="{00000000-0005-0000-0000-00009A680000}"/>
    <cellStyle name="Note 24 2" xfId="26781" xr:uid="{00000000-0005-0000-0000-00009B680000}"/>
    <cellStyle name="Note 24 2 10" xfId="26782" xr:uid="{00000000-0005-0000-0000-00009C680000}"/>
    <cellStyle name="Note 24 2 10 2" xfId="26783" xr:uid="{00000000-0005-0000-0000-00009D680000}"/>
    <cellStyle name="Note 24 2 10 2 2" xfId="26784" xr:uid="{00000000-0005-0000-0000-00009E680000}"/>
    <cellStyle name="Note 24 2 10 2 3" xfId="26785" xr:uid="{00000000-0005-0000-0000-00009F680000}"/>
    <cellStyle name="Note 24 2 10 3" xfId="26786" xr:uid="{00000000-0005-0000-0000-0000A0680000}"/>
    <cellStyle name="Note 24 2 10 4" xfId="26787" xr:uid="{00000000-0005-0000-0000-0000A1680000}"/>
    <cellStyle name="Note 24 2 11" xfId="26788" xr:uid="{00000000-0005-0000-0000-0000A2680000}"/>
    <cellStyle name="Note 24 2 11 2" xfId="26789" xr:uid="{00000000-0005-0000-0000-0000A3680000}"/>
    <cellStyle name="Note 24 2 11 2 2" xfId="26790" xr:uid="{00000000-0005-0000-0000-0000A4680000}"/>
    <cellStyle name="Note 24 2 11 2 3" xfId="26791" xr:uid="{00000000-0005-0000-0000-0000A5680000}"/>
    <cellStyle name="Note 24 2 11 3" xfId="26792" xr:uid="{00000000-0005-0000-0000-0000A6680000}"/>
    <cellStyle name="Note 24 2 11 4" xfId="26793" xr:uid="{00000000-0005-0000-0000-0000A7680000}"/>
    <cellStyle name="Note 24 2 12" xfId="26794" xr:uid="{00000000-0005-0000-0000-0000A8680000}"/>
    <cellStyle name="Note 24 2 12 2" xfId="26795" xr:uid="{00000000-0005-0000-0000-0000A9680000}"/>
    <cellStyle name="Note 24 2 12 2 2" xfId="26796" xr:uid="{00000000-0005-0000-0000-0000AA680000}"/>
    <cellStyle name="Note 24 2 12 2 3" xfId="26797" xr:uid="{00000000-0005-0000-0000-0000AB680000}"/>
    <cellStyle name="Note 24 2 12 3" xfId="26798" xr:uid="{00000000-0005-0000-0000-0000AC680000}"/>
    <cellStyle name="Note 24 2 12 4" xfId="26799" xr:uid="{00000000-0005-0000-0000-0000AD680000}"/>
    <cellStyle name="Note 24 2 13" xfId="26800" xr:uid="{00000000-0005-0000-0000-0000AE680000}"/>
    <cellStyle name="Note 24 2 13 2" xfId="26801" xr:uid="{00000000-0005-0000-0000-0000AF680000}"/>
    <cellStyle name="Note 24 2 13 2 2" xfId="26802" xr:uid="{00000000-0005-0000-0000-0000B0680000}"/>
    <cellStyle name="Note 24 2 13 2 3" xfId="26803" xr:uid="{00000000-0005-0000-0000-0000B1680000}"/>
    <cellStyle name="Note 24 2 13 3" xfId="26804" xr:uid="{00000000-0005-0000-0000-0000B2680000}"/>
    <cellStyle name="Note 24 2 13 4" xfId="26805" xr:uid="{00000000-0005-0000-0000-0000B3680000}"/>
    <cellStyle name="Note 24 2 14" xfId="26806" xr:uid="{00000000-0005-0000-0000-0000B4680000}"/>
    <cellStyle name="Note 24 2 14 2" xfId="26807" xr:uid="{00000000-0005-0000-0000-0000B5680000}"/>
    <cellStyle name="Note 24 2 14 2 2" xfId="26808" xr:uid="{00000000-0005-0000-0000-0000B6680000}"/>
    <cellStyle name="Note 24 2 14 2 3" xfId="26809" xr:uid="{00000000-0005-0000-0000-0000B7680000}"/>
    <cellStyle name="Note 24 2 14 3" xfId="26810" xr:uid="{00000000-0005-0000-0000-0000B8680000}"/>
    <cellStyle name="Note 24 2 14 4" xfId="26811" xr:uid="{00000000-0005-0000-0000-0000B9680000}"/>
    <cellStyle name="Note 24 2 15" xfId="26812" xr:uid="{00000000-0005-0000-0000-0000BA680000}"/>
    <cellStyle name="Note 24 2 15 2" xfId="26813" xr:uid="{00000000-0005-0000-0000-0000BB680000}"/>
    <cellStyle name="Note 24 2 15 2 2" xfId="26814" xr:uid="{00000000-0005-0000-0000-0000BC680000}"/>
    <cellStyle name="Note 24 2 15 2 3" xfId="26815" xr:uid="{00000000-0005-0000-0000-0000BD680000}"/>
    <cellStyle name="Note 24 2 15 3" xfId="26816" xr:uid="{00000000-0005-0000-0000-0000BE680000}"/>
    <cellStyle name="Note 24 2 15 4" xfId="26817" xr:uid="{00000000-0005-0000-0000-0000BF680000}"/>
    <cellStyle name="Note 24 2 16" xfId="26818" xr:uid="{00000000-0005-0000-0000-0000C0680000}"/>
    <cellStyle name="Note 24 2 16 2" xfId="26819" xr:uid="{00000000-0005-0000-0000-0000C1680000}"/>
    <cellStyle name="Note 24 2 16 2 2" xfId="26820" xr:uid="{00000000-0005-0000-0000-0000C2680000}"/>
    <cellStyle name="Note 24 2 16 2 3" xfId="26821" xr:uid="{00000000-0005-0000-0000-0000C3680000}"/>
    <cellStyle name="Note 24 2 16 3" xfId="26822" xr:uid="{00000000-0005-0000-0000-0000C4680000}"/>
    <cellStyle name="Note 24 2 16 4" xfId="26823" xr:uid="{00000000-0005-0000-0000-0000C5680000}"/>
    <cellStyle name="Note 24 2 17" xfId="26824" xr:uid="{00000000-0005-0000-0000-0000C6680000}"/>
    <cellStyle name="Note 24 2 17 2" xfId="26825" xr:uid="{00000000-0005-0000-0000-0000C7680000}"/>
    <cellStyle name="Note 24 2 17 2 2" xfId="26826" xr:uid="{00000000-0005-0000-0000-0000C8680000}"/>
    <cellStyle name="Note 24 2 17 2 3" xfId="26827" xr:uid="{00000000-0005-0000-0000-0000C9680000}"/>
    <cellStyle name="Note 24 2 17 3" xfId="26828" xr:uid="{00000000-0005-0000-0000-0000CA680000}"/>
    <cellStyle name="Note 24 2 17 4" xfId="26829" xr:uid="{00000000-0005-0000-0000-0000CB680000}"/>
    <cellStyle name="Note 24 2 18" xfId="26830" xr:uid="{00000000-0005-0000-0000-0000CC680000}"/>
    <cellStyle name="Note 24 2 18 2" xfId="26831" xr:uid="{00000000-0005-0000-0000-0000CD680000}"/>
    <cellStyle name="Note 24 2 18 3" xfId="26832" xr:uid="{00000000-0005-0000-0000-0000CE680000}"/>
    <cellStyle name="Note 24 2 18 4" xfId="26833" xr:uid="{00000000-0005-0000-0000-0000CF680000}"/>
    <cellStyle name="Note 24 2 19" xfId="26834" xr:uid="{00000000-0005-0000-0000-0000D0680000}"/>
    <cellStyle name="Note 24 2 2" xfId="26835" xr:uid="{00000000-0005-0000-0000-0000D1680000}"/>
    <cellStyle name="Note 24 2 2 2" xfId="26836" xr:uid="{00000000-0005-0000-0000-0000D2680000}"/>
    <cellStyle name="Note 24 2 2 2 2" xfId="26837" xr:uid="{00000000-0005-0000-0000-0000D3680000}"/>
    <cellStyle name="Note 24 2 2 2 3" xfId="26838" xr:uid="{00000000-0005-0000-0000-0000D4680000}"/>
    <cellStyle name="Note 24 2 2 3" xfId="26839" xr:uid="{00000000-0005-0000-0000-0000D5680000}"/>
    <cellStyle name="Note 24 2 2 4" xfId="26840" xr:uid="{00000000-0005-0000-0000-0000D6680000}"/>
    <cellStyle name="Note 24 2 20" xfId="26841" xr:uid="{00000000-0005-0000-0000-0000D7680000}"/>
    <cellStyle name="Note 24 2 21" xfId="26842" xr:uid="{00000000-0005-0000-0000-0000D8680000}"/>
    <cellStyle name="Note 24 2 3" xfId="26843" xr:uid="{00000000-0005-0000-0000-0000D9680000}"/>
    <cellStyle name="Note 24 2 3 2" xfId="26844" xr:uid="{00000000-0005-0000-0000-0000DA680000}"/>
    <cellStyle name="Note 24 2 3 2 2" xfId="26845" xr:uid="{00000000-0005-0000-0000-0000DB680000}"/>
    <cellStyle name="Note 24 2 3 2 3" xfId="26846" xr:uid="{00000000-0005-0000-0000-0000DC680000}"/>
    <cellStyle name="Note 24 2 3 3" xfId="26847" xr:uid="{00000000-0005-0000-0000-0000DD680000}"/>
    <cellStyle name="Note 24 2 3 4" xfId="26848" xr:uid="{00000000-0005-0000-0000-0000DE680000}"/>
    <cellStyle name="Note 24 2 4" xfId="26849" xr:uid="{00000000-0005-0000-0000-0000DF680000}"/>
    <cellStyle name="Note 24 2 4 2" xfId="26850" xr:uid="{00000000-0005-0000-0000-0000E0680000}"/>
    <cellStyle name="Note 24 2 4 2 2" xfId="26851" xr:uid="{00000000-0005-0000-0000-0000E1680000}"/>
    <cellStyle name="Note 24 2 4 2 3" xfId="26852" xr:uid="{00000000-0005-0000-0000-0000E2680000}"/>
    <cellStyle name="Note 24 2 4 3" xfId="26853" xr:uid="{00000000-0005-0000-0000-0000E3680000}"/>
    <cellStyle name="Note 24 2 4 4" xfId="26854" xr:uid="{00000000-0005-0000-0000-0000E4680000}"/>
    <cellStyle name="Note 24 2 5" xfId="26855" xr:uid="{00000000-0005-0000-0000-0000E5680000}"/>
    <cellStyle name="Note 24 2 5 2" xfId="26856" xr:uid="{00000000-0005-0000-0000-0000E6680000}"/>
    <cellStyle name="Note 24 2 5 2 2" xfId="26857" xr:uid="{00000000-0005-0000-0000-0000E7680000}"/>
    <cellStyle name="Note 24 2 5 2 3" xfId="26858" xr:uid="{00000000-0005-0000-0000-0000E8680000}"/>
    <cellStyle name="Note 24 2 5 3" xfId="26859" xr:uid="{00000000-0005-0000-0000-0000E9680000}"/>
    <cellStyle name="Note 24 2 5 4" xfId="26860" xr:uid="{00000000-0005-0000-0000-0000EA680000}"/>
    <cellStyle name="Note 24 2 6" xfId="26861" xr:uid="{00000000-0005-0000-0000-0000EB680000}"/>
    <cellStyle name="Note 24 2 6 2" xfId="26862" xr:uid="{00000000-0005-0000-0000-0000EC680000}"/>
    <cellStyle name="Note 24 2 6 2 2" xfId="26863" xr:uid="{00000000-0005-0000-0000-0000ED680000}"/>
    <cellStyle name="Note 24 2 6 2 3" xfId="26864" xr:uid="{00000000-0005-0000-0000-0000EE680000}"/>
    <cellStyle name="Note 24 2 6 3" xfId="26865" xr:uid="{00000000-0005-0000-0000-0000EF680000}"/>
    <cellStyle name="Note 24 2 6 4" xfId="26866" xr:uid="{00000000-0005-0000-0000-0000F0680000}"/>
    <cellStyle name="Note 24 2 7" xfId="26867" xr:uid="{00000000-0005-0000-0000-0000F1680000}"/>
    <cellStyle name="Note 24 2 7 2" xfId="26868" xr:uid="{00000000-0005-0000-0000-0000F2680000}"/>
    <cellStyle name="Note 24 2 7 2 2" xfId="26869" xr:uid="{00000000-0005-0000-0000-0000F3680000}"/>
    <cellStyle name="Note 24 2 7 2 3" xfId="26870" xr:uid="{00000000-0005-0000-0000-0000F4680000}"/>
    <cellStyle name="Note 24 2 7 3" xfId="26871" xr:uid="{00000000-0005-0000-0000-0000F5680000}"/>
    <cellStyle name="Note 24 2 7 4" xfId="26872" xr:uid="{00000000-0005-0000-0000-0000F6680000}"/>
    <cellStyle name="Note 24 2 8" xfId="26873" xr:uid="{00000000-0005-0000-0000-0000F7680000}"/>
    <cellStyle name="Note 24 2 8 2" xfId="26874" xr:uid="{00000000-0005-0000-0000-0000F8680000}"/>
    <cellStyle name="Note 24 2 8 2 2" xfId="26875" xr:uid="{00000000-0005-0000-0000-0000F9680000}"/>
    <cellStyle name="Note 24 2 8 2 3" xfId="26876" xr:uid="{00000000-0005-0000-0000-0000FA680000}"/>
    <cellStyle name="Note 24 2 8 3" xfId="26877" xr:uid="{00000000-0005-0000-0000-0000FB680000}"/>
    <cellStyle name="Note 24 2 8 4" xfId="26878" xr:uid="{00000000-0005-0000-0000-0000FC680000}"/>
    <cellStyle name="Note 24 2 9" xfId="26879" xr:uid="{00000000-0005-0000-0000-0000FD680000}"/>
    <cellStyle name="Note 24 2 9 2" xfId="26880" xr:uid="{00000000-0005-0000-0000-0000FE680000}"/>
    <cellStyle name="Note 24 2 9 2 2" xfId="26881" xr:uid="{00000000-0005-0000-0000-0000FF680000}"/>
    <cellStyle name="Note 24 2 9 2 3" xfId="26882" xr:uid="{00000000-0005-0000-0000-000000690000}"/>
    <cellStyle name="Note 24 2 9 3" xfId="26883" xr:uid="{00000000-0005-0000-0000-000001690000}"/>
    <cellStyle name="Note 24 2 9 4" xfId="26884" xr:uid="{00000000-0005-0000-0000-000002690000}"/>
    <cellStyle name="Note 24 3" xfId="26885" xr:uid="{00000000-0005-0000-0000-000003690000}"/>
    <cellStyle name="Note 24 3 2" xfId="26886" xr:uid="{00000000-0005-0000-0000-000004690000}"/>
    <cellStyle name="Note 24 3 2 2" xfId="26887" xr:uid="{00000000-0005-0000-0000-000005690000}"/>
    <cellStyle name="Note 24 3 2 3" xfId="26888" xr:uid="{00000000-0005-0000-0000-000006690000}"/>
    <cellStyle name="Note 24 3 3" xfId="26889" xr:uid="{00000000-0005-0000-0000-000007690000}"/>
    <cellStyle name="Note 24 3 4" xfId="26890" xr:uid="{00000000-0005-0000-0000-000008690000}"/>
    <cellStyle name="Note 24 4" xfId="26891" xr:uid="{00000000-0005-0000-0000-000009690000}"/>
    <cellStyle name="Note 24 5" xfId="26892" xr:uid="{00000000-0005-0000-0000-00000A690000}"/>
    <cellStyle name="Note 25" xfId="26893" xr:uid="{00000000-0005-0000-0000-00000B690000}"/>
    <cellStyle name="Note 25 2" xfId="26894" xr:uid="{00000000-0005-0000-0000-00000C690000}"/>
    <cellStyle name="Note 25 2 10" xfId="26895" xr:uid="{00000000-0005-0000-0000-00000D690000}"/>
    <cellStyle name="Note 25 2 10 2" xfId="26896" xr:uid="{00000000-0005-0000-0000-00000E690000}"/>
    <cellStyle name="Note 25 2 10 2 2" xfId="26897" xr:uid="{00000000-0005-0000-0000-00000F690000}"/>
    <cellStyle name="Note 25 2 10 2 3" xfId="26898" xr:uid="{00000000-0005-0000-0000-000010690000}"/>
    <cellStyle name="Note 25 2 10 3" xfId="26899" xr:uid="{00000000-0005-0000-0000-000011690000}"/>
    <cellStyle name="Note 25 2 10 4" xfId="26900" xr:uid="{00000000-0005-0000-0000-000012690000}"/>
    <cellStyle name="Note 25 2 11" xfId="26901" xr:uid="{00000000-0005-0000-0000-000013690000}"/>
    <cellStyle name="Note 25 2 11 2" xfId="26902" xr:uid="{00000000-0005-0000-0000-000014690000}"/>
    <cellStyle name="Note 25 2 11 2 2" xfId="26903" xr:uid="{00000000-0005-0000-0000-000015690000}"/>
    <cellStyle name="Note 25 2 11 2 3" xfId="26904" xr:uid="{00000000-0005-0000-0000-000016690000}"/>
    <cellStyle name="Note 25 2 11 3" xfId="26905" xr:uid="{00000000-0005-0000-0000-000017690000}"/>
    <cellStyle name="Note 25 2 11 4" xfId="26906" xr:uid="{00000000-0005-0000-0000-000018690000}"/>
    <cellStyle name="Note 25 2 12" xfId="26907" xr:uid="{00000000-0005-0000-0000-000019690000}"/>
    <cellStyle name="Note 25 2 12 2" xfId="26908" xr:uid="{00000000-0005-0000-0000-00001A690000}"/>
    <cellStyle name="Note 25 2 12 2 2" xfId="26909" xr:uid="{00000000-0005-0000-0000-00001B690000}"/>
    <cellStyle name="Note 25 2 12 2 3" xfId="26910" xr:uid="{00000000-0005-0000-0000-00001C690000}"/>
    <cellStyle name="Note 25 2 12 3" xfId="26911" xr:uid="{00000000-0005-0000-0000-00001D690000}"/>
    <cellStyle name="Note 25 2 12 4" xfId="26912" xr:uid="{00000000-0005-0000-0000-00001E690000}"/>
    <cellStyle name="Note 25 2 13" xfId="26913" xr:uid="{00000000-0005-0000-0000-00001F690000}"/>
    <cellStyle name="Note 25 2 13 2" xfId="26914" xr:uid="{00000000-0005-0000-0000-000020690000}"/>
    <cellStyle name="Note 25 2 13 2 2" xfId="26915" xr:uid="{00000000-0005-0000-0000-000021690000}"/>
    <cellStyle name="Note 25 2 13 2 3" xfId="26916" xr:uid="{00000000-0005-0000-0000-000022690000}"/>
    <cellStyle name="Note 25 2 13 3" xfId="26917" xr:uid="{00000000-0005-0000-0000-000023690000}"/>
    <cellStyle name="Note 25 2 13 4" xfId="26918" xr:uid="{00000000-0005-0000-0000-000024690000}"/>
    <cellStyle name="Note 25 2 14" xfId="26919" xr:uid="{00000000-0005-0000-0000-000025690000}"/>
    <cellStyle name="Note 25 2 14 2" xfId="26920" xr:uid="{00000000-0005-0000-0000-000026690000}"/>
    <cellStyle name="Note 25 2 14 2 2" xfId="26921" xr:uid="{00000000-0005-0000-0000-000027690000}"/>
    <cellStyle name="Note 25 2 14 2 3" xfId="26922" xr:uid="{00000000-0005-0000-0000-000028690000}"/>
    <cellStyle name="Note 25 2 14 3" xfId="26923" xr:uid="{00000000-0005-0000-0000-000029690000}"/>
    <cellStyle name="Note 25 2 14 4" xfId="26924" xr:uid="{00000000-0005-0000-0000-00002A690000}"/>
    <cellStyle name="Note 25 2 15" xfId="26925" xr:uid="{00000000-0005-0000-0000-00002B690000}"/>
    <cellStyle name="Note 25 2 15 2" xfId="26926" xr:uid="{00000000-0005-0000-0000-00002C690000}"/>
    <cellStyle name="Note 25 2 15 2 2" xfId="26927" xr:uid="{00000000-0005-0000-0000-00002D690000}"/>
    <cellStyle name="Note 25 2 15 2 3" xfId="26928" xr:uid="{00000000-0005-0000-0000-00002E690000}"/>
    <cellStyle name="Note 25 2 15 3" xfId="26929" xr:uid="{00000000-0005-0000-0000-00002F690000}"/>
    <cellStyle name="Note 25 2 15 4" xfId="26930" xr:uid="{00000000-0005-0000-0000-000030690000}"/>
    <cellStyle name="Note 25 2 16" xfId="26931" xr:uid="{00000000-0005-0000-0000-000031690000}"/>
    <cellStyle name="Note 25 2 16 2" xfId="26932" xr:uid="{00000000-0005-0000-0000-000032690000}"/>
    <cellStyle name="Note 25 2 16 2 2" xfId="26933" xr:uid="{00000000-0005-0000-0000-000033690000}"/>
    <cellStyle name="Note 25 2 16 2 3" xfId="26934" xr:uid="{00000000-0005-0000-0000-000034690000}"/>
    <cellStyle name="Note 25 2 16 3" xfId="26935" xr:uid="{00000000-0005-0000-0000-000035690000}"/>
    <cellStyle name="Note 25 2 16 4" xfId="26936" xr:uid="{00000000-0005-0000-0000-000036690000}"/>
    <cellStyle name="Note 25 2 17" xfId="26937" xr:uid="{00000000-0005-0000-0000-000037690000}"/>
    <cellStyle name="Note 25 2 17 2" xfId="26938" xr:uid="{00000000-0005-0000-0000-000038690000}"/>
    <cellStyle name="Note 25 2 17 2 2" xfId="26939" xr:uid="{00000000-0005-0000-0000-000039690000}"/>
    <cellStyle name="Note 25 2 17 2 3" xfId="26940" xr:uid="{00000000-0005-0000-0000-00003A690000}"/>
    <cellStyle name="Note 25 2 17 3" xfId="26941" xr:uid="{00000000-0005-0000-0000-00003B690000}"/>
    <cellStyle name="Note 25 2 17 4" xfId="26942" xr:uid="{00000000-0005-0000-0000-00003C690000}"/>
    <cellStyle name="Note 25 2 18" xfId="26943" xr:uid="{00000000-0005-0000-0000-00003D690000}"/>
    <cellStyle name="Note 25 2 18 2" xfId="26944" xr:uid="{00000000-0005-0000-0000-00003E690000}"/>
    <cellStyle name="Note 25 2 18 3" xfId="26945" xr:uid="{00000000-0005-0000-0000-00003F690000}"/>
    <cellStyle name="Note 25 2 18 4" xfId="26946" xr:uid="{00000000-0005-0000-0000-000040690000}"/>
    <cellStyle name="Note 25 2 19" xfId="26947" xr:uid="{00000000-0005-0000-0000-000041690000}"/>
    <cellStyle name="Note 25 2 2" xfId="26948" xr:uid="{00000000-0005-0000-0000-000042690000}"/>
    <cellStyle name="Note 25 2 2 2" xfId="26949" xr:uid="{00000000-0005-0000-0000-000043690000}"/>
    <cellStyle name="Note 25 2 2 2 2" xfId="26950" xr:uid="{00000000-0005-0000-0000-000044690000}"/>
    <cellStyle name="Note 25 2 2 2 3" xfId="26951" xr:uid="{00000000-0005-0000-0000-000045690000}"/>
    <cellStyle name="Note 25 2 2 3" xfId="26952" xr:uid="{00000000-0005-0000-0000-000046690000}"/>
    <cellStyle name="Note 25 2 2 4" xfId="26953" xr:uid="{00000000-0005-0000-0000-000047690000}"/>
    <cellStyle name="Note 25 2 20" xfId="26954" xr:uid="{00000000-0005-0000-0000-000048690000}"/>
    <cellStyle name="Note 25 2 21" xfId="26955" xr:uid="{00000000-0005-0000-0000-000049690000}"/>
    <cellStyle name="Note 25 2 3" xfId="26956" xr:uid="{00000000-0005-0000-0000-00004A690000}"/>
    <cellStyle name="Note 25 2 3 2" xfId="26957" xr:uid="{00000000-0005-0000-0000-00004B690000}"/>
    <cellStyle name="Note 25 2 3 2 2" xfId="26958" xr:uid="{00000000-0005-0000-0000-00004C690000}"/>
    <cellStyle name="Note 25 2 3 2 3" xfId="26959" xr:uid="{00000000-0005-0000-0000-00004D690000}"/>
    <cellStyle name="Note 25 2 3 3" xfId="26960" xr:uid="{00000000-0005-0000-0000-00004E690000}"/>
    <cellStyle name="Note 25 2 3 4" xfId="26961" xr:uid="{00000000-0005-0000-0000-00004F690000}"/>
    <cellStyle name="Note 25 2 4" xfId="26962" xr:uid="{00000000-0005-0000-0000-000050690000}"/>
    <cellStyle name="Note 25 2 4 2" xfId="26963" xr:uid="{00000000-0005-0000-0000-000051690000}"/>
    <cellStyle name="Note 25 2 4 2 2" xfId="26964" xr:uid="{00000000-0005-0000-0000-000052690000}"/>
    <cellStyle name="Note 25 2 4 2 3" xfId="26965" xr:uid="{00000000-0005-0000-0000-000053690000}"/>
    <cellStyle name="Note 25 2 4 3" xfId="26966" xr:uid="{00000000-0005-0000-0000-000054690000}"/>
    <cellStyle name="Note 25 2 4 4" xfId="26967" xr:uid="{00000000-0005-0000-0000-000055690000}"/>
    <cellStyle name="Note 25 2 5" xfId="26968" xr:uid="{00000000-0005-0000-0000-000056690000}"/>
    <cellStyle name="Note 25 2 5 2" xfId="26969" xr:uid="{00000000-0005-0000-0000-000057690000}"/>
    <cellStyle name="Note 25 2 5 2 2" xfId="26970" xr:uid="{00000000-0005-0000-0000-000058690000}"/>
    <cellStyle name="Note 25 2 5 2 3" xfId="26971" xr:uid="{00000000-0005-0000-0000-000059690000}"/>
    <cellStyle name="Note 25 2 5 3" xfId="26972" xr:uid="{00000000-0005-0000-0000-00005A690000}"/>
    <cellStyle name="Note 25 2 5 4" xfId="26973" xr:uid="{00000000-0005-0000-0000-00005B690000}"/>
    <cellStyle name="Note 25 2 6" xfId="26974" xr:uid="{00000000-0005-0000-0000-00005C690000}"/>
    <cellStyle name="Note 25 2 6 2" xfId="26975" xr:uid="{00000000-0005-0000-0000-00005D690000}"/>
    <cellStyle name="Note 25 2 6 2 2" xfId="26976" xr:uid="{00000000-0005-0000-0000-00005E690000}"/>
    <cellStyle name="Note 25 2 6 2 3" xfId="26977" xr:uid="{00000000-0005-0000-0000-00005F690000}"/>
    <cellStyle name="Note 25 2 6 3" xfId="26978" xr:uid="{00000000-0005-0000-0000-000060690000}"/>
    <cellStyle name="Note 25 2 6 4" xfId="26979" xr:uid="{00000000-0005-0000-0000-000061690000}"/>
    <cellStyle name="Note 25 2 7" xfId="26980" xr:uid="{00000000-0005-0000-0000-000062690000}"/>
    <cellStyle name="Note 25 2 7 2" xfId="26981" xr:uid="{00000000-0005-0000-0000-000063690000}"/>
    <cellStyle name="Note 25 2 7 2 2" xfId="26982" xr:uid="{00000000-0005-0000-0000-000064690000}"/>
    <cellStyle name="Note 25 2 7 2 3" xfId="26983" xr:uid="{00000000-0005-0000-0000-000065690000}"/>
    <cellStyle name="Note 25 2 7 3" xfId="26984" xr:uid="{00000000-0005-0000-0000-000066690000}"/>
    <cellStyle name="Note 25 2 7 4" xfId="26985" xr:uid="{00000000-0005-0000-0000-000067690000}"/>
    <cellStyle name="Note 25 2 8" xfId="26986" xr:uid="{00000000-0005-0000-0000-000068690000}"/>
    <cellStyle name="Note 25 2 8 2" xfId="26987" xr:uid="{00000000-0005-0000-0000-000069690000}"/>
    <cellStyle name="Note 25 2 8 2 2" xfId="26988" xr:uid="{00000000-0005-0000-0000-00006A690000}"/>
    <cellStyle name="Note 25 2 8 2 3" xfId="26989" xr:uid="{00000000-0005-0000-0000-00006B690000}"/>
    <cellStyle name="Note 25 2 8 3" xfId="26990" xr:uid="{00000000-0005-0000-0000-00006C690000}"/>
    <cellStyle name="Note 25 2 8 4" xfId="26991" xr:uid="{00000000-0005-0000-0000-00006D690000}"/>
    <cellStyle name="Note 25 2 9" xfId="26992" xr:uid="{00000000-0005-0000-0000-00006E690000}"/>
    <cellStyle name="Note 25 2 9 2" xfId="26993" xr:uid="{00000000-0005-0000-0000-00006F690000}"/>
    <cellStyle name="Note 25 2 9 2 2" xfId="26994" xr:uid="{00000000-0005-0000-0000-000070690000}"/>
    <cellStyle name="Note 25 2 9 2 3" xfId="26995" xr:uid="{00000000-0005-0000-0000-000071690000}"/>
    <cellStyle name="Note 25 2 9 3" xfId="26996" xr:uid="{00000000-0005-0000-0000-000072690000}"/>
    <cellStyle name="Note 25 2 9 4" xfId="26997" xr:uid="{00000000-0005-0000-0000-000073690000}"/>
    <cellStyle name="Note 25 3" xfId="26998" xr:uid="{00000000-0005-0000-0000-000074690000}"/>
    <cellStyle name="Note 25 3 2" xfId="26999" xr:uid="{00000000-0005-0000-0000-000075690000}"/>
    <cellStyle name="Note 25 3 2 2" xfId="27000" xr:uid="{00000000-0005-0000-0000-000076690000}"/>
    <cellStyle name="Note 25 3 2 3" xfId="27001" xr:uid="{00000000-0005-0000-0000-000077690000}"/>
    <cellStyle name="Note 25 3 3" xfId="27002" xr:uid="{00000000-0005-0000-0000-000078690000}"/>
    <cellStyle name="Note 25 3 4" xfId="27003" xr:uid="{00000000-0005-0000-0000-000079690000}"/>
    <cellStyle name="Note 25 4" xfId="27004" xr:uid="{00000000-0005-0000-0000-00007A690000}"/>
    <cellStyle name="Note 25 5" xfId="27005" xr:uid="{00000000-0005-0000-0000-00007B690000}"/>
    <cellStyle name="Note 26" xfId="27006" xr:uid="{00000000-0005-0000-0000-00007C690000}"/>
    <cellStyle name="Note 26 2" xfId="27007" xr:uid="{00000000-0005-0000-0000-00007D690000}"/>
    <cellStyle name="Note 26 2 10" xfId="27008" xr:uid="{00000000-0005-0000-0000-00007E690000}"/>
    <cellStyle name="Note 26 2 10 2" xfId="27009" xr:uid="{00000000-0005-0000-0000-00007F690000}"/>
    <cellStyle name="Note 26 2 10 2 2" xfId="27010" xr:uid="{00000000-0005-0000-0000-000080690000}"/>
    <cellStyle name="Note 26 2 10 2 3" xfId="27011" xr:uid="{00000000-0005-0000-0000-000081690000}"/>
    <cellStyle name="Note 26 2 10 3" xfId="27012" xr:uid="{00000000-0005-0000-0000-000082690000}"/>
    <cellStyle name="Note 26 2 10 4" xfId="27013" xr:uid="{00000000-0005-0000-0000-000083690000}"/>
    <cellStyle name="Note 26 2 11" xfId="27014" xr:uid="{00000000-0005-0000-0000-000084690000}"/>
    <cellStyle name="Note 26 2 11 2" xfId="27015" xr:uid="{00000000-0005-0000-0000-000085690000}"/>
    <cellStyle name="Note 26 2 11 2 2" xfId="27016" xr:uid="{00000000-0005-0000-0000-000086690000}"/>
    <cellStyle name="Note 26 2 11 2 3" xfId="27017" xr:uid="{00000000-0005-0000-0000-000087690000}"/>
    <cellStyle name="Note 26 2 11 3" xfId="27018" xr:uid="{00000000-0005-0000-0000-000088690000}"/>
    <cellStyle name="Note 26 2 11 4" xfId="27019" xr:uid="{00000000-0005-0000-0000-000089690000}"/>
    <cellStyle name="Note 26 2 12" xfId="27020" xr:uid="{00000000-0005-0000-0000-00008A690000}"/>
    <cellStyle name="Note 26 2 12 2" xfId="27021" xr:uid="{00000000-0005-0000-0000-00008B690000}"/>
    <cellStyle name="Note 26 2 12 2 2" xfId="27022" xr:uid="{00000000-0005-0000-0000-00008C690000}"/>
    <cellStyle name="Note 26 2 12 2 3" xfId="27023" xr:uid="{00000000-0005-0000-0000-00008D690000}"/>
    <cellStyle name="Note 26 2 12 3" xfId="27024" xr:uid="{00000000-0005-0000-0000-00008E690000}"/>
    <cellStyle name="Note 26 2 12 4" xfId="27025" xr:uid="{00000000-0005-0000-0000-00008F690000}"/>
    <cellStyle name="Note 26 2 13" xfId="27026" xr:uid="{00000000-0005-0000-0000-000090690000}"/>
    <cellStyle name="Note 26 2 13 2" xfId="27027" xr:uid="{00000000-0005-0000-0000-000091690000}"/>
    <cellStyle name="Note 26 2 13 2 2" xfId="27028" xr:uid="{00000000-0005-0000-0000-000092690000}"/>
    <cellStyle name="Note 26 2 13 2 3" xfId="27029" xr:uid="{00000000-0005-0000-0000-000093690000}"/>
    <cellStyle name="Note 26 2 13 3" xfId="27030" xr:uid="{00000000-0005-0000-0000-000094690000}"/>
    <cellStyle name="Note 26 2 13 4" xfId="27031" xr:uid="{00000000-0005-0000-0000-000095690000}"/>
    <cellStyle name="Note 26 2 14" xfId="27032" xr:uid="{00000000-0005-0000-0000-000096690000}"/>
    <cellStyle name="Note 26 2 14 2" xfId="27033" xr:uid="{00000000-0005-0000-0000-000097690000}"/>
    <cellStyle name="Note 26 2 14 2 2" xfId="27034" xr:uid="{00000000-0005-0000-0000-000098690000}"/>
    <cellStyle name="Note 26 2 14 2 3" xfId="27035" xr:uid="{00000000-0005-0000-0000-000099690000}"/>
    <cellStyle name="Note 26 2 14 3" xfId="27036" xr:uid="{00000000-0005-0000-0000-00009A690000}"/>
    <cellStyle name="Note 26 2 14 4" xfId="27037" xr:uid="{00000000-0005-0000-0000-00009B690000}"/>
    <cellStyle name="Note 26 2 15" xfId="27038" xr:uid="{00000000-0005-0000-0000-00009C690000}"/>
    <cellStyle name="Note 26 2 15 2" xfId="27039" xr:uid="{00000000-0005-0000-0000-00009D690000}"/>
    <cellStyle name="Note 26 2 15 2 2" xfId="27040" xr:uid="{00000000-0005-0000-0000-00009E690000}"/>
    <cellStyle name="Note 26 2 15 2 3" xfId="27041" xr:uid="{00000000-0005-0000-0000-00009F690000}"/>
    <cellStyle name="Note 26 2 15 3" xfId="27042" xr:uid="{00000000-0005-0000-0000-0000A0690000}"/>
    <cellStyle name="Note 26 2 15 4" xfId="27043" xr:uid="{00000000-0005-0000-0000-0000A1690000}"/>
    <cellStyle name="Note 26 2 16" xfId="27044" xr:uid="{00000000-0005-0000-0000-0000A2690000}"/>
    <cellStyle name="Note 26 2 16 2" xfId="27045" xr:uid="{00000000-0005-0000-0000-0000A3690000}"/>
    <cellStyle name="Note 26 2 16 2 2" xfId="27046" xr:uid="{00000000-0005-0000-0000-0000A4690000}"/>
    <cellStyle name="Note 26 2 16 2 3" xfId="27047" xr:uid="{00000000-0005-0000-0000-0000A5690000}"/>
    <cellStyle name="Note 26 2 16 3" xfId="27048" xr:uid="{00000000-0005-0000-0000-0000A6690000}"/>
    <cellStyle name="Note 26 2 16 4" xfId="27049" xr:uid="{00000000-0005-0000-0000-0000A7690000}"/>
    <cellStyle name="Note 26 2 17" xfId="27050" xr:uid="{00000000-0005-0000-0000-0000A8690000}"/>
    <cellStyle name="Note 26 2 17 2" xfId="27051" xr:uid="{00000000-0005-0000-0000-0000A9690000}"/>
    <cellStyle name="Note 26 2 17 2 2" xfId="27052" xr:uid="{00000000-0005-0000-0000-0000AA690000}"/>
    <cellStyle name="Note 26 2 17 2 3" xfId="27053" xr:uid="{00000000-0005-0000-0000-0000AB690000}"/>
    <cellStyle name="Note 26 2 17 3" xfId="27054" xr:uid="{00000000-0005-0000-0000-0000AC690000}"/>
    <cellStyle name="Note 26 2 17 4" xfId="27055" xr:uid="{00000000-0005-0000-0000-0000AD690000}"/>
    <cellStyle name="Note 26 2 18" xfId="27056" xr:uid="{00000000-0005-0000-0000-0000AE690000}"/>
    <cellStyle name="Note 26 2 18 2" xfId="27057" xr:uid="{00000000-0005-0000-0000-0000AF690000}"/>
    <cellStyle name="Note 26 2 18 3" xfId="27058" xr:uid="{00000000-0005-0000-0000-0000B0690000}"/>
    <cellStyle name="Note 26 2 18 4" xfId="27059" xr:uid="{00000000-0005-0000-0000-0000B1690000}"/>
    <cellStyle name="Note 26 2 19" xfId="27060" xr:uid="{00000000-0005-0000-0000-0000B2690000}"/>
    <cellStyle name="Note 26 2 2" xfId="27061" xr:uid="{00000000-0005-0000-0000-0000B3690000}"/>
    <cellStyle name="Note 26 2 2 2" xfId="27062" xr:uid="{00000000-0005-0000-0000-0000B4690000}"/>
    <cellStyle name="Note 26 2 2 2 2" xfId="27063" xr:uid="{00000000-0005-0000-0000-0000B5690000}"/>
    <cellStyle name="Note 26 2 2 2 3" xfId="27064" xr:uid="{00000000-0005-0000-0000-0000B6690000}"/>
    <cellStyle name="Note 26 2 2 3" xfId="27065" xr:uid="{00000000-0005-0000-0000-0000B7690000}"/>
    <cellStyle name="Note 26 2 2 4" xfId="27066" xr:uid="{00000000-0005-0000-0000-0000B8690000}"/>
    <cellStyle name="Note 26 2 20" xfId="27067" xr:uid="{00000000-0005-0000-0000-0000B9690000}"/>
    <cellStyle name="Note 26 2 21" xfId="27068" xr:uid="{00000000-0005-0000-0000-0000BA690000}"/>
    <cellStyle name="Note 26 2 3" xfId="27069" xr:uid="{00000000-0005-0000-0000-0000BB690000}"/>
    <cellStyle name="Note 26 2 3 2" xfId="27070" xr:uid="{00000000-0005-0000-0000-0000BC690000}"/>
    <cellStyle name="Note 26 2 3 2 2" xfId="27071" xr:uid="{00000000-0005-0000-0000-0000BD690000}"/>
    <cellStyle name="Note 26 2 3 2 3" xfId="27072" xr:uid="{00000000-0005-0000-0000-0000BE690000}"/>
    <cellStyle name="Note 26 2 3 3" xfId="27073" xr:uid="{00000000-0005-0000-0000-0000BF690000}"/>
    <cellStyle name="Note 26 2 3 4" xfId="27074" xr:uid="{00000000-0005-0000-0000-0000C0690000}"/>
    <cellStyle name="Note 26 2 4" xfId="27075" xr:uid="{00000000-0005-0000-0000-0000C1690000}"/>
    <cellStyle name="Note 26 2 4 2" xfId="27076" xr:uid="{00000000-0005-0000-0000-0000C2690000}"/>
    <cellStyle name="Note 26 2 4 2 2" xfId="27077" xr:uid="{00000000-0005-0000-0000-0000C3690000}"/>
    <cellStyle name="Note 26 2 4 2 3" xfId="27078" xr:uid="{00000000-0005-0000-0000-0000C4690000}"/>
    <cellStyle name="Note 26 2 4 3" xfId="27079" xr:uid="{00000000-0005-0000-0000-0000C5690000}"/>
    <cellStyle name="Note 26 2 4 4" xfId="27080" xr:uid="{00000000-0005-0000-0000-0000C6690000}"/>
    <cellStyle name="Note 26 2 5" xfId="27081" xr:uid="{00000000-0005-0000-0000-0000C7690000}"/>
    <cellStyle name="Note 26 2 5 2" xfId="27082" xr:uid="{00000000-0005-0000-0000-0000C8690000}"/>
    <cellStyle name="Note 26 2 5 2 2" xfId="27083" xr:uid="{00000000-0005-0000-0000-0000C9690000}"/>
    <cellStyle name="Note 26 2 5 2 3" xfId="27084" xr:uid="{00000000-0005-0000-0000-0000CA690000}"/>
    <cellStyle name="Note 26 2 5 3" xfId="27085" xr:uid="{00000000-0005-0000-0000-0000CB690000}"/>
    <cellStyle name="Note 26 2 5 4" xfId="27086" xr:uid="{00000000-0005-0000-0000-0000CC690000}"/>
    <cellStyle name="Note 26 2 6" xfId="27087" xr:uid="{00000000-0005-0000-0000-0000CD690000}"/>
    <cellStyle name="Note 26 2 6 2" xfId="27088" xr:uid="{00000000-0005-0000-0000-0000CE690000}"/>
    <cellStyle name="Note 26 2 6 2 2" xfId="27089" xr:uid="{00000000-0005-0000-0000-0000CF690000}"/>
    <cellStyle name="Note 26 2 6 2 3" xfId="27090" xr:uid="{00000000-0005-0000-0000-0000D0690000}"/>
    <cellStyle name="Note 26 2 6 3" xfId="27091" xr:uid="{00000000-0005-0000-0000-0000D1690000}"/>
    <cellStyle name="Note 26 2 6 4" xfId="27092" xr:uid="{00000000-0005-0000-0000-0000D2690000}"/>
    <cellStyle name="Note 26 2 7" xfId="27093" xr:uid="{00000000-0005-0000-0000-0000D3690000}"/>
    <cellStyle name="Note 26 2 7 2" xfId="27094" xr:uid="{00000000-0005-0000-0000-0000D4690000}"/>
    <cellStyle name="Note 26 2 7 2 2" xfId="27095" xr:uid="{00000000-0005-0000-0000-0000D5690000}"/>
    <cellStyle name="Note 26 2 7 2 3" xfId="27096" xr:uid="{00000000-0005-0000-0000-0000D6690000}"/>
    <cellStyle name="Note 26 2 7 3" xfId="27097" xr:uid="{00000000-0005-0000-0000-0000D7690000}"/>
    <cellStyle name="Note 26 2 7 4" xfId="27098" xr:uid="{00000000-0005-0000-0000-0000D8690000}"/>
    <cellStyle name="Note 26 2 8" xfId="27099" xr:uid="{00000000-0005-0000-0000-0000D9690000}"/>
    <cellStyle name="Note 26 2 8 2" xfId="27100" xr:uid="{00000000-0005-0000-0000-0000DA690000}"/>
    <cellStyle name="Note 26 2 8 2 2" xfId="27101" xr:uid="{00000000-0005-0000-0000-0000DB690000}"/>
    <cellStyle name="Note 26 2 8 2 3" xfId="27102" xr:uid="{00000000-0005-0000-0000-0000DC690000}"/>
    <cellStyle name="Note 26 2 8 3" xfId="27103" xr:uid="{00000000-0005-0000-0000-0000DD690000}"/>
    <cellStyle name="Note 26 2 8 4" xfId="27104" xr:uid="{00000000-0005-0000-0000-0000DE690000}"/>
    <cellStyle name="Note 26 2 9" xfId="27105" xr:uid="{00000000-0005-0000-0000-0000DF690000}"/>
    <cellStyle name="Note 26 2 9 2" xfId="27106" xr:uid="{00000000-0005-0000-0000-0000E0690000}"/>
    <cellStyle name="Note 26 2 9 2 2" xfId="27107" xr:uid="{00000000-0005-0000-0000-0000E1690000}"/>
    <cellStyle name="Note 26 2 9 2 3" xfId="27108" xr:uid="{00000000-0005-0000-0000-0000E2690000}"/>
    <cellStyle name="Note 26 2 9 3" xfId="27109" xr:uid="{00000000-0005-0000-0000-0000E3690000}"/>
    <cellStyle name="Note 26 2 9 4" xfId="27110" xr:uid="{00000000-0005-0000-0000-0000E4690000}"/>
    <cellStyle name="Note 26 3" xfId="27111" xr:uid="{00000000-0005-0000-0000-0000E5690000}"/>
    <cellStyle name="Note 26 3 2" xfId="27112" xr:uid="{00000000-0005-0000-0000-0000E6690000}"/>
    <cellStyle name="Note 26 3 2 2" xfId="27113" xr:uid="{00000000-0005-0000-0000-0000E7690000}"/>
    <cellStyle name="Note 26 3 2 3" xfId="27114" xr:uid="{00000000-0005-0000-0000-0000E8690000}"/>
    <cellStyle name="Note 26 3 3" xfId="27115" xr:uid="{00000000-0005-0000-0000-0000E9690000}"/>
    <cellStyle name="Note 26 3 4" xfId="27116" xr:uid="{00000000-0005-0000-0000-0000EA690000}"/>
    <cellStyle name="Note 26 4" xfId="27117" xr:uid="{00000000-0005-0000-0000-0000EB690000}"/>
    <cellStyle name="Note 26 5" xfId="27118" xr:uid="{00000000-0005-0000-0000-0000EC690000}"/>
    <cellStyle name="Note 27" xfId="27119" xr:uid="{00000000-0005-0000-0000-0000ED690000}"/>
    <cellStyle name="Note 27 2" xfId="27120" xr:uid="{00000000-0005-0000-0000-0000EE690000}"/>
    <cellStyle name="Note 27 2 10" xfId="27121" xr:uid="{00000000-0005-0000-0000-0000EF690000}"/>
    <cellStyle name="Note 27 2 10 2" xfId="27122" xr:uid="{00000000-0005-0000-0000-0000F0690000}"/>
    <cellStyle name="Note 27 2 10 2 2" xfId="27123" xr:uid="{00000000-0005-0000-0000-0000F1690000}"/>
    <cellStyle name="Note 27 2 10 2 3" xfId="27124" xr:uid="{00000000-0005-0000-0000-0000F2690000}"/>
    <cellStyle name="Note 27 2 10 3" xfId="27125" xr:uid="{00000000-0005-0000-0000-0000F3690000}"/>
    <cellStyle name="Note 27 2 10 4" xfId="27126" xr:uid="{00000000-0005-0000-0000-0000F4690000}"/>
    <cellStyle name="Note 27 2 11" xfId="27127" xr:uid="{00000000-0005-0000-0000-0000F5690000}"/>
    <cellStyle name="Note 27 2 11 2" xfId="27128" xr:uid="{00000000-0005-0000-0000-0000F6690000}"/>
    <cellStyle name="Note 27 2 11 2 2" xfId="27129" xr:uid="{00000000-0005-0000-0000-0000F7690000}"/>
    <cellStyle name="Note 27 2 11 2 3" xfId="27130" xr:uid="{00000000-0005-0000-0000-0000F8690000}"/>
    <cellStyle name="Note 27 2 11 3" xfId="27131" xr:uid="{00000000-0005-0000-0000-0000F9690000}"/>
    <cellStyle name="Note 27 2 11 4" xfId="27132" xr:uid="{00000000-0005-0000-0000-0000FA690000}"/>
    <cellStyle name="Note 27 2 12" xfId="27133" xr:uid="{00000000-0005-0000-0000-0000FB690000}"/>
    <cellStyle name="Note 27 2 12 2" xfId="27134" xr:uid="{00000000-0005-0000-0000-0000FC690000}"/>
    <cellStyle name="Note 27 2 12 2 2" xfId="27135" xr:uid="{00000000-0005-0000-0000-0000FD690000}"/>
    <cellStyle name="Note 27 2 12 2 3" xfId="27136" xr:uid="{00000000-0005-0000-0000-0000FE690000}"/>
    <cellStyle name="Note 27 2 12 3" xfId="27137" xr:uid="{00000000-0005-0000-0000-0000FF690000}"/>
    <cellStyle name="Note 27 2 12 4" xfId="27138" xr:uid="{00000000-0005-0000-0000-0000006A0000}"/>
    <cellStyle name="Note 27 2 13" xfId="27139" xr:uid="{00000000-0005-0000-0000-0000016A0000}"/>
    <cellStyle name="Note 27 2 13 2" xfId="27140" xr:uid="{00000000-0005-0000-0000-0000026A0000}"/>
    <cellStyle name="Note 27 2 13 2 2" xfId="27141" xr:uid="{00000000-0005-0000-0000-0000036A0000}"/>
    <cellStyle name="Note 27 2 13 2 3" xfId="27142" xr:uid="{00000000-0005-0000-0000-0000046A0000}"/>
    <cellStyle name="Note 27 2 13 3" xfId="27143" xr:uid="{00000000-0005-0000-0000-0000056A0000}"/>
    <cellStyle name="Note 27 2 13 4" xfId="27144" xr:uid="{00000000-0005-0000-0000-0000066A0000}"/>
    <cellStyle name="Note 27 2 14" xfId="27145" xr:uid="{00000000-0005-0000-0000-0000076A0000}"/>
    <cellStyle name="Note 27 2 14 2" xfId="27146" xr:uid="{00000000-0005-0000-0000-0000086A0000}"/>
    <cellStyle name="Note 27 2 14 2 2" xfId="27147" xr:uid="{00000000-0005-0000-0000-0000096A0000}"/>
    <cellStyle name="Note 27 2 14 2 3" xfId="27148" xr:uid="{00000000-0005-0000-0000-00000A6A0000}"/>
    <cellStyle name="Note 27 2 14 3" xfId="27149" xr:uid="{00000000-0005-0000-0000-00000B6A0000}"/>
    <cellStyle name="Note 27 2 14 4" xfId="27150" xr:uid="{00000000-0005-0000-0000-00000C6A0000}"/>
    <cellStyle name="Note 27 2 15" xfId="27151" xr:uid="{00000000-0005-0000-0000-00000D6A0000}"/>
    <cellStyle name="Note 27 2 15 2" xfId="27152" xr:uid="{00000000-0005-0000-0000-00000E6A0000}"/>
    <cellStyle name="Note 27 2 15 2 2" xfId="27153" xr:uid="{00000000-0005-0000-0000-00000F6A0000}"/>
    <cellStyle name="Note 27 2 15 2 3" xfId="27154" xr:uid="{00000000-0005-0000-0000-0000106A0000}"/>
    <cellStyle name="Note 27 2 15 3" xfId="27155" xr:uid="{00000000-0005-0000-0000-0000116A0000}"/>
    <cellStyle name="Note 27 2 15 4" xfId="27156" xr:uid="{00000000-0005-0000-0000-0000126A0000}"/>
    <cellStyle name="Note 27 2 16" xfId="27157" xr:uid="{00000000-0005-0000-0000-0000136A0000}"/>
    <cellStyle name="Note 27 2 16 2" xfId="27158" xr:uid="{00000000-0005-0000-0000-0000146A0000}"/>
    <cellStyle name="Note 27 2 16 2 2" xfId="27159" xr:uid="{00000000-0005-0000-0000-0000156A0000}"/>
    <cellStyle name="Note 27 2 16 2 3" xfId="27160" xr:uid="{00000000-0005-0000-0000-0000166A0000}"/>
    <cellStyle name="Note 27 2 16 3" xfId="27161" xr:uid="{00000000-0005-0000-0000-0000176A0000}"/>
    <cellStyle name="Note 27 2 16 4" xfId="27162" xr:uid="{00000000-0005-0000-0000-0000186A0000}"/>
    <cellStyle name="Note 27 2 17" xfId="27163" xr:uid="{00000000-0005-0000-0000-0000196A0000}"/>
    <cellStyle name="Note 27 2 17 2" xfId="27164" xr:uid="{00000000-0005-0000-0000-00001A6A0000}"/>
    <cellStyle name="Note 27 2 17 2 2" xfId="27165" xr:uid="{00000000-0005-0000-0000-00001B6A0000}"/>
    <cellStyle name="Note 27 2 17 2 3" xfId="27166" xr:uid="{00000000-0005-0000-0000-00001C6A0000}"/>
    <cellStyle name="Note 27 2 17 3" xfId="27167" xr:uid="{00000000-0005-0000-0000-00001D6A0000}"/>
    <cellStyle name="Note 27 2 17 4" xfId="27168" xr:uid="{00000000-0005-0000-0000-00001E6A0000}"/>
    <cellStyle name="Note 27 2 18" xfId="27169" xr:uid="{00000000-0005-0000-0000-00001F6A0000}"/>
    <cellStyle name="Note 27 2 18 2" xfId="27170" xr:uid="{00000000-0005-0000-0000-0000206A0000}"/>
    <cellStyle name="Note 27 2 18 3" xfId="27171" xr:uid="{00000000-0005-0000-0000-0000216A0000}"/>
    <cellStyle name="Note 27 2 18 4" xfId="27172" xr:uid="{00000000-0005-0000-0000-0000226A0000}"/>
    <cellStyle name="Note 27 2 19" xfId="27173" xr:uid="{00000000-0005-0000-0000-0000236A0000}"/>
    <cellStyle name="Note 27 2 2" xfId="27174" xr:uid="{00000000-0005-0000-0000-0000246A0000}"/>
    <cellStyle name="Note 27 2 2 2" xfId="27175" xr:uid="{00000000-0005-0000-0000-0000256A0000}"/>
    <cellStyle name="Note 27 2 2 2 2" xfId="27176" xr:uid="{00000000-0005-0000-0000-0000266A0000}"/>
    <cellStyle name="Note 27 2 2 2 3" xfId="27177" xr:uid="{00000000-0005-0000-0000-0000276A0000}"/>
    <cellStyle name="Note 27 2 2 3" xfId="27178" xr:uid="{00000000-0005-0000-0000-0000286A0000}"/>
    <cellStyle name="Note 27 2 2 4" xfId="27179" xr:uid="{00000000-0005-0000-0000-0000296A0000}"/>
    <cellStyle name="Note 27 2 20" xfId="27180" xr:uid="{00000000-0005-0000-0000-00002A6A0000}"/>
    <cellStyle name="Note 27 2 21" xfId="27181" xr:uid="{00000000-0005-0000-0000-00002B6A0000}"/>
    <cellStyle name="Note 27 2 3" xfId="27182" xr:uid="{00000000-0005-0000-0000-00002C6A0000}"/>
    <cellStyle name="Note 27 2 3 2" xfId="27183" xr:uid="{00000000-0005-0000-0000-00002D6A0000}"/>
    <cellStyle name="Note 27 2 3 2 2" xfId="27184" xr:uid="{00000000-0005-0000-0000-00002E6A0000}"/>
    <cellStyle name="Note 27 2 3 2 3" xfId="27185" xr:uid="{00000000-0005-0000-0000-00002F6A0000}"/>
    <cellStyle name="Note 27 2 3 3" xfId="27186" xr:uid="{00000000-0005-0000-0000-0000306A0000}"/>
    <cellStyle name="Note 27 2 3 4" xfId="27187" xr:uid="{00000000-0005-0000-0000-0000316A0000}"/>
    <cellStyle name="Note 27 2 4" xfId="27188" xr:uid="{00000000-0005-0000-0000-0000326A0000}"/>
    <cellStyle name="Note 27 2 4 2" xfId="27189" xr:uid="{00000000-0005-0000-0000-0000336A0000}"/>
    <cellStyle name="Note 27 2 4 2 2" xfId="27190" xr:uid="{00000000-0005-0000-0000-0000346A0000}"/>
    <cellStyle name="Note 27 2 4 2 3" xfId="27191" xr:uid="{00000000-0005-0000-0000-0000356A0000}"/>
    <cellStyle name="Note 27 2 4 3" xfId="27192" xr:uid="{00000000-0005-0000-0000-0000366A0000}"/>
    <cellStyle name="Note 27 2 4 4" xfId="27193" xr:uid="{00000000-0005-0000-0000-0000376A0000}"/>
    <cellStyle name="Note 27 2 5" xfId="27194" xr:uid="{00000000-0005-0000-0000-0000386A0000}"/>
    <cellStyle name="Note 27 2 5 2" xfId="27195" xr:uid="{00000000-0005-0000-0000-0000396A0000}"/>
    <cellStyle name="Note 27 2 5 2 2" xfId="27196" xr:uid="{00000000-0005-0000-0000-00003A6A0000}"/>
    <cellStyle name="Note 27 2 5 2 3" xfId="27197" xr:uid="{00000000-0005-0000-0000-00003B6A0000}"/>
    <cellStyle name="Note 27 2 5 3" xfId="27198" xr:uid="{00000000-0005-0000-0000-00003C6A0000}"/>
    <cellStyle name="Note 27 2 5 4" xfId="27199" xr:uid="{00000000-0005-0000-0000-00003D6A0000}"/>
    <cellStyle name="Note 27 2 6" xfId="27200" xr:uid="{00000000-0005-0000-0000-00003E6A0000}"/>
    <cellStyle name="Note 27 2 6 2" xfId="27201" xr:uid="{00000000-0005-0000-0000-00003F6A0000}"/>
    <cellStyle name="Note 27 2 6 2 2" xfId="27202" xr:uid="{00000000-0005-0000-0000-0000406A0000}"/>
    <cellStyle name="Note 27 2 6 2 3" xfId="27203" xr:uid="{00000000-0005-0000-0000-0000416A0000}"/>
    <cellStyle name="Note 27 2 6 3" xfId="27204" xr:uid="{00000000-0005-0000-0000-0000426A0000}"/>
    <cellStyle name="Note 27 2 6 4" xfId="27205" xr:uid="{00000000-0005-0000-0000-0000436A0000}"/>
    <cellStyle name="Note 27 2 7" xfId="27206" xr:uid="{00000000-0005-0000-0000-0000446A0000}"/>
    <cellStyle name="Note 27 2 7 2" xfId="27207" xr:uid="{00000000-0005-0000-0000-0000456A0000}"/>
    <cellStyle name="Note 27 2 7 2 2" xfId="27208" xr:uid="{00000000-0005-0000-0000-0000466A0000}"/>
    <cellStyle name="Note 27 2 7 2 3" xfId="27209" xr:uid="{00000000-0005-0000-0000-0000476A0000}"/>
    <cellStyle name="Note 27 2 7 3" xfId="27210" xr:uid="{00000000-0005-0000-0000-0000486A0000}"/>
    <cellStyle name="Note 27 2 7 4" xfId="27211" xr:uid="{00000000-0005-0000-0000-0000496A0000}"/>
    <cellStyle name="Note 27 2 8" xfId="27212" xr:uid="{00000000-0005-0000-0000-00004A6A0000}"/>
    <cellStyle name="Note 27 2 8 2" xfId="27213" xr:uid="{00000000-0005-0000-0000-00004B6A0000}"/>
    <cellStyle name="Note 27 2 8 2 2" xfId="27214" xr:uid="{00000000-0005-0000-0000-00004C6A0000}"/>
    <cellStyle name="Note 27 2 8 2 3" xfId="27215" xr:uid="{00000000-0005-0000-0000-00004D6A0000}"/>
    <cellStyle name="Note 27 2 8 3" xfId="27216" xr:uid="{00000000-0005-0000-0000-00004E6A0000}"/>
    <cellStyle name="Note 27 2 8 4" xfId="27217" xr:uid="{00000000-0005-0000-0000-00004F6A0000}"/>
    <cellStyle name="Note 27 2 9" xfId="27218" xr:uid="{00000000-0005-0000-0000-0000506A0000}"/>
    <cellStyle name="Note 27 2 9 2" xfId="27219" xr:uid="{00000000-0005-0000-0000-0000516A0000}"/>
    <cellStyle name="Note 27 2 9 2 2" xfId="27220" xr:uid="{00000000-0005-0000-0000-0000526A0000}"/>
    <cellStyle name="Note 27 2 9 2 3" xfId="27221" xr:uid="{00000000-0005-0000-0000-0000536A0000}"/>
    <cellStyle name="Note 27 2 9 3" xfId="27222" xr:uid="{00000000-0005-0000-0000-0000546A0000}"/>
    <cellStyle name="Note 27 2 9 4" xfId="27223" xr:uid="{00000000-0005-0000-0000-0000556A0000}"/>
    <cellStyle name="Note 27 3" xfId="27224" xr:uid="{00000000-0005-0000-0000-0000566A0000}"/>
    <cellStyle name="Note 27 3 2" xfId="27225" xr:uid="{00000000-0005-0000-0000-0000576A0000}"/>
    <cellStyle name="Note 27 3 2 2" xfId="27226" xr:uid="{00000000-0005-0000-0000-0000586A0000}"/>
    <cellStyle name="Note 27 3 2 3" xfId="27227" xr:uid="{00000000-0005-0000-0000-0000596A0000}"/>
    <cellStyle name="Note 27 3 3" xfId="27228" xr:uid="{00000000-0005-0000-0000-00005A6A0000}"/>
    <cellStyle name="Note 27 3 4" xfId="27229" xr:uid="{00000000-0005-0000-0000-00005B6A0000}"/>
    <cellStyle name="Note 27 4" xfId="27230" xr:uid="{00000000-0005-0000-0000-00005C6A0000}"/>
    <cellStyle name="Note 27 5" xfId="27231" xr:uid="{00000000-0005-0000-0000-00005D6A0000}"/>
    <cellStyle name="Note 28" xfId="27232" xr:uid="{00000000-0005-0000-0000-00005E6A0000}"/>
    <cellStyle name="Note 28 2" xfId="27233" xr:uid="{00000000-0005-0000-0000-00005F6A0000}"/>
    <cellStyle name="Note 28 2 10" xfId="27234" xr:uid="{00000000-0005-0000-0000-0000606A0000}"/>
    <cellStyle name="Note 28 2 10 2" xfId="27235" xr:uid="{00000000-0005-0000-0000-0000616A0000}"/>
    <cellStyle name="Note 28 2 10 2 2" xfId="27236" xr:uid="{00000000-0005-0000-0000-0000626A0000}"/>
    <cellStyle name="Note 28 2 10 2 3" xfId="27237" xr:uid="{00000000-0005-0000-0000-0000636A0000}"/>
    <cellStyle name="Note 28 2 10 3" xfId="27238" xr:uid="{00000000-0005-0000-0000-0000646A0000}"/>
    <cellStyle name="Note 28 2 10 4" xfId="27239" xr:uid="{00000000-0005-0000-0000-0000656A0000}"/>
    <cellStyle name="Note 28 2 11" xfId="27240" xr:uid="{00000000-0005-0000-0000-0000666A0000}"/>
    <cellStyle name="Note 28 2 11 2" xfId="27241" xr:uid="{00000000-0005-0000-0000-0000676A0000}"/>
    <cellStyle name="Note 28 2 11 2 2" xfId="27242" xr:uid="{00000000-0005-0000-0000-0000686A0000}"/>
    <cellStyle name="Note 28 2 11 2 3" xfId="27243" xr:uid="{00000000-0005-0000-0000-0000696A0000}"/>
    <cellStyle name="Note 28 2 11 3" xfId="27244" xr:uid="{00000000-0005-0000-0000-00006A6A0000}"/>
    <cellStyle name="Note 28 2 11 4" xfId="27245" xr:uid="{00000000-0005-0000-0000-00006B6A0000}"/>
    <cellStyle name="Note 28 2 12" xfId="27246" xr:uid="{00000000-0005-0000-0000-00006C6A0000}"/>
    <cellStyle name="Note 28 2 12 2" xfId="27247" xr:uid="{00000000-0005-0000-0000-00006D6A0000}"/>
    <cellStyle name="Note 28 2 12 2 2" xfId="27248" xr:uid="{00000000-0005-0000-0000-00006E6A0000}"/>
    <cellStyle name="Note 28 2 12 2 3" xfId="27249" xr:uid="{00000000-0005-0000-0000-00006F6A0000}"/>
    <cellStyle name="Note 28 2 12 3" xfId="27250" xr:uid="{00000000-0005-0000-0000-0000706A0000}"/>
    <cellStyle name="Note 28 2 12 4" xfId="27251" xr:uid="{00000000-0005-0000-0000-0000716A0000}"/>
    <cellStyle name="Note 28 2 13" xfId="27252" xr:uid="{00000000-0005-0000-0000-0000726A0000}"/>
    <cellStyle name="Note 28 2 13 2" xfId="27253" xr:uid="{00000000-0005-0000-0000-0000736A0000}"/>
    <cellStyle name="Note 28 2 13 2 2" xfId="27254" xr:uid="{00000000-0005-0000-0000-0000746A0000}"/>
    <cellStyle name="Note 28 2 13 2 3" xfId="27255" xr:uid="{00000000-0005-0000-0000-0000756A0000}"/>
    <cellStyle name="Note 28 2 13 3" xfId="27256" xr:uid="{00000000-0005-0000-0000-0000766A0000}"/>
    <cellStyle name="Note 28 2 13 4" xfId="27257" xr:uid="{00000000-0005-0000-0000-0000776A0000}"/>
    <cellStyle name="Note 28 2 14" xfId="27258" xr:uid="{00000000-0005-0000-0000-0000786A0000}"/>
    <cellStyle name="Note 28 2 14 2" xfId="27259" xr:uid="{00000000-0005-0000-0000-0000796A0000}"/>
    <cellStyle name="Note 28 2 14 2 2" xfId="27260" xr:uid="{00000000-0005-0000-0000-00007A6A0000}"/>
    <cellStyle name="Note 28 2 14 2 3" xfId="27261" xr:uid="{00000000-0005-0000-0000-00007B6A0000}"/>
    <cellStyle name="Note 28 2 14 3" xfId="27262" xr:uid="{00000000-0005-0000-0000-00007C6A0000}"/>
    <cellStyle name="Note 28 2 14 4" xfId="27263" xr:uid="{00000000-0005-0000-0000-00007D6A0000}"/>
    <cellStyle name="Note 28 2 15" xfId="27264" xr:uid="{00000000-0005-0000-0000-00007E6A0000}"/>
    <cellStyle name="Note 28 2 15 2" xfId="27265" xr:uid="{00000000-0005-0000-0000-00007F6A0000}"/>
    <cellStyle name="Note 28 2 15 2 2" xfId="27266" xr:uid="{00000000-0005-0000-0000-0000806A0000}"/>
    <cellStyle name="Note 28 2 15 2 3" xfId="27267" xr:uid="{00000000-0005-0000-0000-0000816A0000}"/>
    <cellStyle name="Note 28 2 15 3" xfId="27268" xr:uid="{00000000-0005-0000-0000-0000826A0000}"/>
    <cellStyle name="Note 28 2 15 4" xfId="27269" xr:uid="{00000000-0005-0000-0000-0000836A0000}"/>
    <cellStyle name="Note 28 2 16" xfId="27270" xr:uid="{00000000-0005-0000-0000-0000846A0000}"/>
    <cellStyle name="Note 28 2 16 2" xfId="27271" xr:uid="{00000000-0005-0000-0000-0000856A0000}"/>
    <cellStyle name="Note 28 2 16 2 2" xfId="27272" xr:uid="{00000000-0005-0000-0000-0000866A0000}"/>
    <cellStyle name="Note 28 2 16 2 3" xfId="27273" xr:uid="{00000000-0005-0000-0000-0000876A0000}"/>
    <cellStyle name="Note 28 2 16 3" xfId="27274" xr:uid="{00000000-0005-0000-0000-0000886A0000}"/>
    <cellStyle name="Note 28 2 16 4" xfId="27275" xr:uid="{00000000-0005-0000-0000-0000896A0000}"/>
    <cellStyle name="Note 28 2 17" xfId="27276" xr:uid="{00000000-0005-0000-0000-00008A6A0000}"/>
    <cellStyle name="Note 28 2 17 2" xfId="27277" xr:uid="{00000000-0005-0000-0000-00008B6A0000}"/>
    <cellStyle name="Note 28 2 17 2 2" xfId="27278" xr:uid="{00000000-0005-0000-0000-00008C6A0000}"/>
    <cellStyle name="Note 28 2 17 2 3" xfId="27279" xr:uid="{00000000-0005-0000-0000-00008D6A0000}"/>
    <cellStyle name="Note 28 2 17 3" xfId="27280" xr:uid="{00000000-0005-0000-0000-00008E6A0000}"/>
    <cellStyle name="Note 28 2 17 4" xfId="27281" xr:uid="{00000000-0005-0000-0000-00008F6A0000}"/>
    <cellStyle name="Note 28 2 18" xfId="27282" xr:uid="{00000000-0005-0000-0000-0000906A0000}"/>
    <cellStyle name="Note 28 2 18 2" xfId="27283" xr:uid="{00000000-0005-0000-0000-0000916A0000}"/>
    <cellStyle name="Note 28 2 18 3" xfId="27284" xr:uid="{00000000-0005-0000-0000-0000926A0000}"/>
    <cellStyle name="Note 28 2 18 4" xfId="27285" xr:uid="{00000000-0005-0000-0000-0000936A0000}"/>
    <cellStyle name="Note 28 2 19" xfId="27286" xr:uid="{00000000-0005-0000-0000-0000946A0000}"/>
    <cellStyle name="Note 28 2 2" xfId="27287" xr:uid="{00000000-0005-0000-0000-0000956A0000}"/>
    <cellStyle name="Note 28 2 2 2" xfId="27288" xr:uid="{00000000-0005-0000-0000-0000966A0000}"/>
    <cellStyle name="Note 28 2 2 2 2" xfId="27289" xr:uid="{00000000-0005-0000-0000-0000976A0000}"/>
    <cellStyle name="Note 28 2 2 2 3" xfId="27290" xr:uid="{00000000-0005-0000-0000-0000986A0000}"/>
    <cellStyle name="Note 28 2 2 3" xfId="27291" xr:uid="{00000000-0005-0000-0000-0000996A0000}"/>
    <cellStyle name="Note 28 2 2 4" xfId="27292" xr:uid="{00000000-0005-0000-0000-00009A6A0000}"/>
    <cellStyle name="Note 28 2 20" xfId="27293" xr:uid="{00000000-0005-0000-0000-00009B6A0000}"/>
    <cellStyle name="Note 28 2 21" xfId="27294" xr:uid="{00000000-0005-0000-0000-00009C6A0000}"/>
    <cellStyle name="Note 28 2 3" xfId="27295" xr:uid="{00000000-0005-0000-0000-00009D6A0000}"/>
    <cellStyle name="Note 28 2 3 2" xfId="27296" xr:uid="{00000000-0005-0000-0000-00009E6A0000}"/>
    <cellStyle name="Note 28 2 3 2 2" xfId="27297" xr:uid="{00000000-0005-0000-0000-00009F6A0000}"/>
    <cellStyle name="Note 28 2 3 2 3" xfId="27298" xr:uid="{00000000-0005-0000-0000-0000A06A0000}"/>
    <cellStyle name="Note 28 2 3 3" xfId="27299" xr:uid="{00000000-0005-0000-0000-0000A16A0000}"/>
    <cellStyle name="Note 28 2 3 4" xfId="27300" xr:uid="{00000000-0005-0000-0000-0000A26A0000}"/>
    <cellStyle name="Note 28 2 4" xfId="27301" xr:uid="{00000000-0005-0000-0000-0000A36A0000}"/>
    <cellStyle name="Note 28 2 4 2" xfId="27302" xr:uid="{00000000-0005-0000-0000-0000A46A0000}"/>
    <cellStyle name="Note 28 2 4 2 2" xfId="27303" xr:uid="{00000000-0005-0000-0000-0000A56A0000}"/>
    <cellStyle name="Note 28 2 4 2 3" xfId="27304" xr:uid="{00000000-0005-0000-0000-0000A66A0000}"/>
    <cellStyle name="Note 28 2 4 3" xfId="27305" xr:uid="{00000000-0005-0000-0000-0000A76A0000}"/>
    <cellStyle name="Note 28 2 4 4" xfId="27306" xr:uid="{00000000-0005-0000-0000-0000A86A0000}"/>
    <cellStyle name="Note 28 2 5" xfId="27307" xr:uid="{00000000-0005-0000-0000-0000A96A0000}"/>
    <cellStyle name="Note 28 2 5 2" xfId="27308" xr:uid="{00000000-0005-0000-0000-0000AA6A0000}"/>
    <cellStyle name="Note 28 2 5 2 2" xfId="27309" xr:uid="{00000000-0005-0000-0000-0000AB6A0000}"/>
    <cellStyle name="Note 28 2 5 2 3" xfId="27310" xr:uid="{00000000-0005-0000-0000-0000AC6A0000}"/>
    <cellStyle name="Note 28 2 5 3" xfId="27311" xr:uid="{00000000-0005-0000-0000-0000AD6A0000}"/>
    <cellStyle name="Note 28 2 5 4" xfId="27312" xr:uid="{00000000-0005-0000-0000-0000AE6A0000}"/>
    <cellStyle name="Note 28 2 6" xfId="27313" xr:uid="{00000000-0005-0000-0000-0000AF6A0000}"/>
    <cellStyle name="Note 28 2 6 2" xfId="27314" xr:uid="{00000000-0005-0000-0000-0000B06A0000}"/>
    <cellStyle name="Note 28 2 6 2 2" xfId="27315" xr:uid="{00000000-0005-0000-0000-0000B16A0000}"/>
    <cellStyle name="Note 28 2 6 2 3" xfId="27316" xr:uid="{00000000-0005-0000-0000-0000B26A0000}"/>
    <cellStyle name="Note 28 2 6 3" xfId="27317" xr:uid="{00000000-0005-0000-0000-0000B36A0000}"/>
    <cellStyle name="Note 28 2 6 4" xfId="27318" xr:uid="{00000000-0005-0000-0000-0000B46A0000}"/>
    <cellStyle name="Note 28 2 7" xfId="27319" xr:uid="{00000000-0005-0000-0000-0000B56A0000}"/>
    <cellStyle name="Note 28 2 7 2" xfId="27320" xr:uid="{00000000-0005-0000-0000-0000B66A0000}"/>
    <cellStyle name="Note 28 2 7 2 2" xfId="27321" xr:uid="{00000000-0005-0000-0000-0000B76A0000}"/>
    <cellStyle name="Note 28 2 7 2 3" xfId="27322" xr:uid="{00000000-0005-0000-0000-0000B86A0000}"/>
    <cellStyle name="Note 28 2 7 3" xfId="27323" xr:uid="{00000000-0005-0000-0000-0000B96A0000}"/>
    <cellStyle name="Note 28 2 7 4" xfId="27324" xr:uid="{00000000-0005-0000-0000-0000BA6A0000}"/>
    <cellStyle name="Note 28 2 8" xfId="27325" xr:uid="{00000000-0005-0000-0000-0000BB6A0000}"/>
    <cellStyle name="Note 28 2 8 2" xfId="27326" xr:uid="{00000000-0005-0000-0000-0000BC6A0000}"/>
    <cellStyle name="Note 28 2 8 2 2" xfId="27327" xr:uid="{00000000-0005-0000-0000-0000BD6A0000}"/>
    <cellStyle name="Note 28 2 8 2 3" xfId="27328" xr:uid="{00000000-0005-0000-0000-0000BE6A0000}"/>
    <cellStyle name="Note 28 2 8 3" xfId="27329" xr:uid="{00000000-0005-0000-0000-0000BF6A0000}"/>
    <cellStyle name="Note 28 2 8 4" xfId="27330" xr:uid="{00000000-0005-0000-0000-0000C06A0000}"/>
    <cellStyle name="Note 28 2 9" xfId="27331" xr:uid="{00000000-0005-0000-0000-0000C16A0000}"/>
    <cellStyle name="Note 28 2 9 2" xfId="27332" xr:uid="{00000000-0005-0000-0000-0000C26A0000}"/>
    <cellStyle name="Note 28 2 9 2 2" xfId="27333" xr:uid="{00000000-0005-0000-0000-0000C36A0000}"/>
    <cellStyle name="Note 28 2 9 2 3" xfId="27334" xr:uid="{00000000-0005-0000-0000-0000C46A0000}"/>
    <cellStyle name="Note 28 2 9 3" xfId="27335" xr:uid="{00000000-0005-0000-0000-0000C56A0000}"/>
    <cellStyle name="Note 28 2 9 4" xfId="27336" xr:uid="{00000000-0005-0000-0000-0000C66A0000}"/>
    <cellStyle name="Note 28 3" xfId="27337" xr:uid="{00000000-0005-0000-0000-0000C76A0000}"/>
    <cellStyle name="Note 28 3 2" xfId="27338" xr:uid="{00000000-0005-0000-0000-0000C86A0000}"/>
    <cellStyle name="Note 28 3 2 2" xfId="27339" xr:uid="{00000000-0005-0000-0000-0000C96A0000}"/>
    <cellStyle name="Note 28 3 2 3" xfId="27340" xr:uid="{00000000-0005-0000-0000-0000CA6A0000}"/>
    <cellStyle name="Note 28 3 3" xfId="27341" xr:uid="{00000000-0005-0000-0000-0000CB6A0000}"/>
    <cellStyle name="Note 28 3 4" xfId="27342" xr:uid="{00000000-0005-0000-0000-0000CC6A0000}"/>
    <cellStyle name="Note 28 4" xfId="27343" xr:uid="{00000000-0005-0000-0000-0000CD6A0000}"/>
    <cellStyle name="Note 28 5" xfId="27344" xr:uid="{00000000-0005-0000-0000-0000CE6A0000}"/>
    <cellStyle name="Note 29" xfId="27345" xr:uid="{00000000-0005-0000-0000-0000CF6A0000}"/>
    <cellStyle name="Note 29 2" xfId="27346" xr:uid="{00000000-0005-0000-0000-0000D06A0000}"/>
    <cellStyle name="Note 29 2 10" xfId="27347" xr:uid="{00000000-0005-0000-0000-0000D16A0000}"/>
    <cellStyle name="Note 29 2 10 2" xfId="27348" xr:uid="{00000000-0005-0000-0000-0000D26A0000}"/>
    <cellStyle name="Note 29 2 10 2 2" xfId="27349" xr:uid="{00000000-0005-0000-0000-0000D36A0000}"/>
    <cellStyle name="Note 29 2 10 2 3" xfId="27350" xr:uid="{00000000-0005-0000-0000-0000D46A0000}"/>
    <cellStyle name="Note 29 2 10 3" xfId="27351" xr:uid="{00000000-0005-0000-0000-0000D56A0000}"/>
    <cellStyle name="Note 29 2 10 4" xfId="27352" xr:uid="{00000000-0005-0000-0000-0000D66A0000}"/>
    <cellStyle name="Note 29 2 11" xfId="27353" xr:uid="{00000000-0005-0000-0000-0000D76A0000}"/>
    <cellStyle name="Note 29 2 11 2" xfId="27354" xr:uid="{00000000-0005-0000-0000-0000D86A0000}"/>
    <cellStyle name="Note 29 2 11 2 2" xfId="27355" xr:uid="{00000000-0005-0000-0000-0000D96A0000}"/>
    <cellStyle name="Note 29 2 11 2 3" xfId="27356" xr:uid="{00000000-0005-0000-0000-0000DA6A0000}"/>
    <cellStyle name="Note 29 2 11 3" xfId="27357" xr:uid="{00000000-0005-0000-0000-0000DB6A0000}"/>
    <cellStyle name="Note 29 2 11 4" xfId="27358" xr:uid="{00000000-0005-0000-0000-0000DC6A0000}"/>
    <cellStyle name="Note 29 2 12" xfId="27359" xr:uid="{00000000-0005-0000-0000-0000DD6A0000}"/>
    <cellStyle name="Note 29 2 12 2" xfId="27360" xr:uid="{00000000-0005-0000-0000-0000DE6A0000}"/>
    <cellStyle name="Note 29 2 12 2 2" xfId="27361" xr:uid="{00000000-0005-0000-0000-0000DF6A0000}"/>
    <cellStyle name="Note 29 2 12 2 3" xfId="27362" xr:uid="{00000000-0005-0000-0000-0000E06A0000}"/>
    <cellStyle name="Note 29 2 12 3" xfId="27363" xr:uid="{00000000-0005-0000-0000-0000E16A0000}"/>
    <cellStyle name="Note 29 2 12 4" xfId="27364" xr:uid="{00000000-0005-0000-0000-0000E26A0000}"/>
    <cellStyle name="Note 29 2 13" xfId="27365" xr:uid="{00000000-0005-0000-0000-0000E36A0000}"/>
    <cellStyle name="Note 29 2 13 2" xfId="27366" xr:uid="{00000000-0005-0000-0000-0000E46A0000}"/>
    <cellStyle name="Note 29 2 13 2 2" xfId="27367" xr:uid="{00000000-0005-0000-0000-0000E56A0000}"/>
    <cellStyle name="Note 29 2 13 2 3" xfId="27368" xr:uid="{00000000-0005-0000-0000-0000E66A0000}"/>
    <cellStyle name="Note 29 2 13 3" xfId="27369" xr:uid="{00000000-0005-0000-0000-0000E76A0000}"/>
    <cellStyle name="Note 29 2 13 4" xfId="27370" xr:uid="{00000000-0005-0000-0000-0000E86A0000}"/>
    <cellStyle name="Note 29 2 14" xfId="27371" xr:uid="{00000000-0005-0000-0000-0000E96A0000}"/>
    <cellStyle name="Note 29 2 14 2" xfId="27372" xr:uid="{00000000-0005-0000-0000-0000EA6A0000}"/>
    <cellStyle name="Note 29 2 14 2 2" xfId="27373" xr:uid="{00000000-0005-0000-0000-0000EB6A0000}"/>
    <cellStyle name="Note 29 2 14 2 3" xfId="27374" xr:uid="{00000000-0005-0000-0000-0000EC6A0000}"/>
    <cellStyle name="Note 29 2 14 3" xfId="27375" xr:uid="{00000000-0005-0000-0000-0000ED6A0000}"/>
    <cellStyle name="Note 29 2 14 4" xfId="27376" xr:uid="{00000000-0005-0000-0000-0000EE6A0000}"/>
    <cellStyle name="Note 29 2 15" xfId="27377" xr:uid="{00000000-0005-0000-0000-0000EF6A0000}"/>
    <cellStyle name="Note 29 2 15 2" xfId="27378" xr:uid="{00000000-0005-0000-0000-0000F06A0000}"/>
    <cellStyle name="Note 29 2 15 2 2" xfId="27379" xr:uid="{00000000-0005-0000-0000-0000F16A0000}"/>
    <cellStyle name="Note 29 2 15 2 3" xfId="27380" xr:uid="{00000000-0005-0000-0000-0000F26A0000}"/>
    <cellStyle name="Note 29 2 15 3" xfId="27381" xr:uid="{00000000-0005-0000-0000-0000F36A0000}"/>
    <cellStyle name="Note 29 2 15 4" xfId="27382" xr:uid="{00000000-0005-0000-0000-0000F46A0000}"/>
    <cellStyle name="Note 29 2 16" xfId="27383" xr:uid="{00000000-0005-0000-0000-0000F56A0000}"/>
    <cellStyle name="Note 29 2 16 2" xfId="27384" xr:uid="{00000000-0005-0000-0000-0000F66A0000}"/>
    <cellStyle name="Note 29 2 16 2 2" xfId="27385" xr:uid="{00000000-0005-0000-0000-0000F76A0000}"/>
    <cellStyle name="Note 29 2 16 2 3" xfId="27386" xr:uid="{00000000-0005-0000-0000-0000F86A0000}"/>
    <cellStyle name="Note 29 2 16 3" xfId="27387" xr:uid="{00000000-0005-0000-0000-0000F96A0000}"/>
    <cellStyle name="Note 29 2 16 4" xfId="27388" xr:uid="{00000000-0005-0000-0000-0000FA6A0000}"/>
    <cellStyle name="Note 29 2 17" xfId="27389" xr:uid="{00000000-0005-0000-0000-0000FB6A0000}"/>
    <cellStyle name="Note 29 2 17 2" xfId="27390" xr:uid="{00000000-0005-0000-0000-0000FC6A0000}"/>
    <cellStyle name="Note 29 2 17 2 2" xfId="27391" xr:uid="{00000000-0005-0000-0000-0000FD6A0000}"/>
    <cellStyle name="Note 29 2 17 2 3" xfId="27392" xr:uid="{00000000-0005-0000-0000-0000FE6A0000}"/>
    <cellStyle name="Note 29 2 17 3" xfId="27393" xr:uid="{00000000-0005-0000-0000-0000FF6A0000}"/>
    <cellStyle name="Note 29 2 17 4" xfId="27394" xr:uid="{00000000-0005-0000-0000-0000006B0000}"/>
    <cellStyle name="Note 29 2 18" xfId="27395" xr:uid="{00000000-0005-0000-0000-0000016B0000}"/>
    <cellStyle name="Note 29 2 18 2" xfId="27396" xr:uid="{00000000-0005-0000-0000-0000026B0000}"/>
    <cellStyle name="Note 29 2 18 3" xfId="27397" xr:uid="{00000000-0005-0000-0000-0000036B0000}"/>
    <cellStyle name="Note 29 2 18 4" xfId="27398" xr:uid="{00000000-0005-0000-0000-0000046B0000}"/>
    <cellStyle name="Note 29 2 19" xfId="27399" xr:uid="{00000000-0005-0000-0000-0000056B0000}"/>
    <cellStyle name="Note 29 2 2" xfId="27400" xr:uid="{00000000-0005-0000-0000-0000066B0000}"/>
    <cellStyle name="Note 29 2 2 2" xfId="27401" xr:uid="{00000000-0005-0000-0000-0000076B0000}"/>
    <cellStyle name="Note 29 2 2 2 2" xfId="27402" xr:uid="{00000000-0005-0000-0000-0000086B0000}"/>
    <cellStyle name="Note 29 2 2 2 3" xfId="27403" xr:uid="{00000000-0005-0000-0000-0000096B0000}"/>
    <cellStyle name="Note 29 2 2 3" xfId="27404" xr:uid="{00000000-0005-0000-0000-00000A6B0000}"/>
    <cellStyle name="Note 29 2 2 4" xfId="27405" xr:uid="{00000000-0005-0000-0000-00000B6B0000}"/>
    <cellStyle name="Note 29 2 20" xfId="27406" xr:uid="{00000000-0005-0000-0000-00000C6B0000}"/>
    <cellStyle name="Note 29 2 21" xfId="27407" xr:uid="{00000000-0005-0000-0000-00000D6B0000}"/>
    <cellStyle name="Note 29 2 3" xfId="27408" xr:uid="{00000000-0005-0000-0000-00000E6B0000}"/>
    <cellStyle name="Note 29 2 3 2" xfId="27409" xr:uid="{00000000-0005-0000-0000-00000F6B0000}"/>
    <cellStyle name="Note 29 2 3 2 2" xfId="27410" xr:uid="{00000000-0005-0000-0000-0000106B0000}"/>
    <cellStyle name="Note 29 2 3 2 3" xfId="27411" xr:uid="{00000000-0005-0000-0000-0000116B0000}"/>
    <cellStyle name="Note 29 2 3 3" xfId="27412" xr:uid="{00000000-0005-0000-0000-0000126B0000}"/>
    <cellStyle name="Note 29 2 3 4" xfId="27413" xr:uid="{00000000-0005-0000-0000-0000136B0000}"/>
    <cellStyle name="Note 29 2 4" xfId="27414" xr:uid="{00000000-0005-0000-0000-0000146B0000}"/>
    <cellStyle name="Note 29 2 4 2" xfId="27415" xr:uid="{00000000-0005-0000-0000-0000156B0000}"/>
    <cellStyle name="Note 29 2 4 2 2" xfId="27416" xr:uid="{00000000-0005-0000-0000-0000166B0000}"/>
    <cellStyle name="Note 29 2 4 2 3" xfId="27417" xr:uid="{00000000-0005-0000-0000-0000176B0000}"/>
    <cellStyle name="Note 29 2 4 3" xfId="27418" xr:uid="{00000000-0005-0000-0000-0000186B0000}"/>
    <cellStyle name="Note 29 2 4 4" xfId="27419" xr:uid="{00000000-0005-0000-0000-0000196B0000}"/>
    <cellStyle name="Note 29 2 5" xfId="27420" xr:uid="{00000000-0005-0000-0000-00001A6B0000}"/>
    <cellStyle name="Note 29 2 5 2" xfId="27421" xr:uid="{00000000-0005-0000-0000-00001B6B0000}"/>
    <cellStyle name="Note 29 2 5 2 2" xfId="27422" xr:uid="{00000000-0005-0000-0000-00001C6B0000}"/>
    <cellStyle name="Note 29 2 5 2 3" xfId="27423" xr:uid="{00000000-0005-0000-0000-00001D6B0000}"/>
    <cellStyle name="Note 29 2 5 3" xfId="27424" xr:uid="{00000000-0005-0000-0000-00001E6B0000}"/>
    <cellStyle name="Note 29 2 5 4" xfId="27425" xr:uid="{00000000-0005-0000-0000-00001F6B0000}"/>
    <cellStyle name="Note 29 2 6" xfId="27426" xr:uid="{00000000-0005-0000-0000-0000206B0000}"/>
    <cellStyle name="Note 29 2 6 2" xfId="27427" xr:uid="{00000000-0005-0000-0000-0000216B0000}"/>
    <cellStyle name="Note 29 2 6 2 2" xfId="27428" xr:uid="{00000000-0005-0000-0000-0000226B0000}"/>
    <cellStyle name="Note 29 2 6 2 3" xfId="27429" xr:uid="{00000000-0005-0000-0000-0000236B0000}"/>
    <cellStyle name="Note 29 2 6 3" xfId="27430" xr:uid="{00000000-0005-0000-0000-0000246B0000}"/>
    <cellStyle name="Note 29 2 6 4" xfId="27431" xr:uid="{00000000-0005-0000-0000-0000256B0000}"/>
    <cellStyle name="Note 29 2 7" xfId="27432" xr:uid="{00000000-0005-0000-0000-0000266B0000}"/>
    <cellStyle name="Note 29 2 7 2" xfId="27433" xr:uid="{00000000-0005-0000-0000-0000276B0000}"/>
    <cellStyle name="Note 29 2 7 2 2" xfId="27434" xr:uid="{00000000-0005-0000-0000-0000286B0000}"/>
    <cellStyle name="Note 29 2 7 2 3" xfId="27435" xr:uid="{00000000-0005-0000-0000-0000296B0000}"/>
    <cellStyle name="Note 29 2 7 3" xfId="27436" xr:uid="{00000000-0005-0000-0000-00002A6B0000}"/>
    <cellStyle name="Note 29 2 7 4" xfId="27437" xr:uid="{00000000-0005-0000-0000-00002B6B0000}"/>
    <cellStyle name="Note 29 2 8" xfId="27438" xr:uid="{00000000-0005-0000-0000-00002C6B0000}"/>
    <cellStyle name="Note 29 2 8 2" xfId="27439" xr:uid="{00000000-0005-0000-0000-00002D6B0000}"/>
    <cellStyle name="Note 29 2 8 2 2" xfId="27440" xr:uid="{00000000-0005-0000-0000-00002E6B0000}"/>
    <cellStyle name="Note 29 2 8 2 3" xfId="27441" xr:uid="{00000000-0005-0000-0000-00002F6B0000}"/>
    <cellStyle name="Note 29 2 8 3" xfId="27442" xr:uid="{00000000-0005-0000-0000-0000306B0000}"/>
    <cellStyle name="Note 29 2 8 4" xfId="27443" xr:uid="{00000000-0005-0000-0000-0000316B0000}"/>
    <cellStyle name="Note 29 2 9" xfId="27444" xr:uid="{00000000-0005-0000-0000-0000326B0000}"/>
    <cellStyle name="Note 29 2 9 2" xfId="27445" xr:uid="{00000000-0005-0000-0000-0000336B0000}"/>
    <cellStyle name="Note 29 2 9 2 2" xfId="27446" xr:uid="{00000000-0005-0000-0000-0000346B0000}"/>
    <cellStyle name="Note 29 2 9 2 3" xfId="27447" xr:uid="{00000000-0005-0000-0000-0000356B0000}"/>
    <cellStyle name="Note 29 2 9 3" xfId="27448" xr:uid="{00000000-0005-0000-0000-0000366B0000}"/>
    <cellStyle name="Note 29 2 9 4" xfId="27449" xr:uid="{00000000-0005-0000-0000-0000376B0000}"/>
    <cellStyle name="Note 29 3" xfId="27450" xr:uid="{00000000-0005-0000-0000-0000386B0000}"/>
    <cellStyle name="Note 29 3 2" xfId="27451" xr:uid="{00000000-0005-0000-0000-0000396B0000}"/>
    <cellStyle name="Note 29 3 2 2" xfId="27452" xr:uid="{00000000-0005-0000-0000-00003A6B0000}"/>
    <cellStyle name="Note 29 3 2 3" xfId="27453" xr:uid="{00000000-0005-0000-0000-00003B6B0000}"/>
    <cellStyle name="Note 29 3 3" xfId="27454" xr:uid="{00000000-0005-0000-0000-00003C6B0000}"/>
    <cellStyle name="Note 29 3 4" xfId="27455" xr:uid="{00000000-0005-0000-0000-00003D6B0000}"/>
    <cellStyle name="Note 29 4" xfId="27456" xr:uid="{00000000-0005-0000-0000-00003E6B0000}"/>
    <cellStyle name="Note 29 5" xfId="27457" xr:uid="{00000000-0005-0000-0000-00003F6B0000}"/>
    <cellStyle name="Note 3" xfId="27458" xr:uid="{00000000-0005-0000-0000-0000406B0000}"/>
    <cellStyle name="Note 3 10" xfId="27459" xr:uid="{00000000-0005-0000-0000-0000416B0000}"/>
    <cellStyle name="Note 3 11" xfId="27460" xr:uid="{00000000-0005-0000-0000-0000426B0000}"/>
    <cellStyle name="Note 3 2" xfId="27461" xr:uid="{00000000-0005-0000-0000-0000436B0000}"/>
    <cellStyle name="Note 3 2 10" xfId="27462" xr:uid="{00000000-0005-0000-0000-0000446B0000}"/>
    <cellStyle name="Note 3 2 10 2" xfId="27463" xr:uid="{00000000-0005-0000-0000-0000456B0000}"/>
    <cellStyle name="Note 3 2 10 2 2" xfId="27464" xr:uid="{00000000-0005-0000-0000-0000466B0000}"/>
    <cellStyle name="Note 3 2 10 2 3" xfId="27465" xr:uid="{00000000-0005-0000-0000-0000476B0000}"/>
    <cellStyle name="Note 3 2 10 3" xfId="27466" xr:uid="{00000000-0005-0000-0000-0000486B0000}"/>
    <cellStyle name="Note 3 2 10 4" xfId="27467" xr:uid="{00000000-0005-0000-0000-0000496B0000}"/>
    <cellStyle name="Note 3 2 11" xfId="27468" xr:uid="{00000000-0005-0000-0000-00004A6B0000}"/>
    <cellStyle name="Note 3 2 11 2" xfId="27469" xr:uid="{00000000-0005-0000-0000-00004B6B0000}"/>
    <cellStyle name="Note 3 2 11 2 2" xfId="27470" xr:uid="{00000000-0005-0000-0000-00004C6B0000}"/>
    <cellStyle name="Note 3 2 11 2 3" xfId="27471" xr:uid="{00000000-0005-0000-0000-00004D6B0000}"/>
    <cellStyle name="Note 3 2 11 3" xfId="27472" xr:uid="{00000000-0005-0000-0000-00004E6B0000}"/>
    <cellStyle name="Note 3 2 11 4" xfId="27473" xr:uid="{00000000-0005-0000-0000-00004F6B0000}"/>
    <cellStyle name="Note 3 2 12" xfId="27474" xr:uid="{00000000-0005-0000-0000-0000506B0000}"/>
    <cellStyle name="Note 3 2 12 2" xfId="27475" xr:uid="{00000000-0005-0000-0000-0000516B0000}"/>
    <cellStyle name="Note 3 2 12 2 2" xfId="27476" xr:uid="{00000000-0005-0000-0000-0000526B0000}"/>
    <cellStyle name="Note 3 2 12 2 3" xfId="27477" xr:uid="{00000000-0005-0000-0000-0000536B0000}"/>
    <cellStyle name="Note 3 2 12 3" xfId="27478" xr:uid="{00000000-0005-0000-0000-0000546B0000}"/>
    <cellStyle name="Note 3 2 12 4" xfId="27479" xr:uid="{00000000-0005-0000-0000-0000556B0000}"/>
    <cellStyle name="Note 3 2 13" xfId="27480" xr:uid="{00000000-0005-0000-0000-0000566B0000}"/>
    <cellStyle name="Note 3 2 13 2" xfId="27481" xr:uid="{00000000-0005-0000-0000-0000576B0000}"/>
    <cellStyle name="Note 3 2 13 2 2" xfId="27482" xr:uid="{00000000-0005-0000-0000-0000586B0000}"/>
    <cellStyle name="Note 3 2 13 2 3" xfId="27483" xr:uid="{00000000-0005-0000-0000-0000596B0000}"/>
    <cellStyle name="Note 3 2 13 3" xfId="27484" xr:uid="{00000000-0005-0000-0000-00005A6B0000}"/>
    <cellStyle name="Note 3 2 13 4" xfId="27485" xr:uid="{00000000-0005-0000-0000-00005B6B0000}"/>
    <cellStyle name="Note 3 2 14" xfId="27486" xr:uid="{00000000-0005-0000-0000-00005C6B0000}"/>
    <cellStyle name="Note 3 2 14 2" xfId="27487" xr:uid="{00000000-0005-0000-0000-00005D6B0000}"/>
    <cellStyle name="Note 3 2 14 2 2" xfId="27488" xr:uid="{00000000-0005-0000-0000-00005E6B0000}"/>
    <cellStyle name="Note 3 2 14 2 3" xfId="27489" xr:uid="{00000000-0005-0000-0000-00005F6B0000}"/>
    <cellStyle name="Note 3 2 14 3" xfId="27490" xr:uid="{00000000-0005-0000-0000-0000606B0000}"/>
    <cellStyle name="Note 3 2 14 4" xfId="27491" xr:uid="{00000000-0005-0000-0000-0000616B0000}"/>
    <cellStyle name="Note 3 2 15" xfId="27492" xr:uid="{00000000-0005-0000-0000-0000626B0000}"/>
    <cellStyle name="Note 3 2 15 2" xfId="27493" xr:uid="{00000000-0005-0000-0000-0000636B0000}"/>
    <cellStyle name="Note 3 2 15 2 2" xfId="27494" xr:uid="{00000000-0005-0000-0000-0000646B0000}"/>
    <cellStyle name="Note 3 2 15 2 3" xfId="27495" xr:uid="{00000000-0005-0000-0000-0000656B0000}"/>
    <cellStyle name="Note 3 2 15 3" xfId="27496" xr:uid="{00000000-0005-0000-0000-0000666B0000}"/>
    <cellStyle name="Note 3 2 15 4" xfId="27497" xr:uid="{00000000-0005-0000-0000-0000676B0000}"/>
    <cellStyle name="Note 3 2 16" xfId="27498" xr:uid="{00000000-0005-0000-0000-0000686B0000}"/>
    <cellStyle name="Note 3 2 16 2" xfId="27499" xr:uid="{00000000-0005-0000-0000-0000696B0000}"/>
    <cellStyle name="Note 3 2 16 2 2" xfId="27500" xr:uid="{00000000-0005-0000-0000-00006A6B0000}"/>
    <cellStyle name="Note 3 2 16 2 3" xfId="27501" xr:uid="{00000000-0005-0000-0000-00006B6B0000}"/>
    <cellStyle name="Note 3 2 16 3" xfId="27502" xr:uid="{00000000-0005-0000-0000-00006C6B0000}"/>
    <cellStyle name="Note 3 2 16 4" xfId="27503" xr:uid="{00000000-0005-0000-0000-00006D6B0000}"/>
    <cellStyle name="Note 3 2 17" xfId="27504" xr:uid="{00000000-0005-0000-0000-00006E6B0000}"/>
    <cellStyle name="Note 3 2 17 2" xfId="27505" xr:uid="{00000000-0005-0000-0000-00006F6B0000}"/>
    <cellStyle name="Note 3 2 17 2 2" xfId="27506" xr:uid="{00000000-0005-0000-0000-0000706B0000}"/>
    <cellStyle name="Note 3 2 17 2 3" xfId="27507" xr:uid="{00000000-0005-0000-0000-0000716B0000}"/>
    <cellStyle name="Note 3 2 17 3" xfId="27508" xr:uid="{00000000-0005-0000-0000-0000726B0000}"/>
    <cellStyle name="Note 3 2 17 4" xfId="27509" xr:uid="{00000000-0005-0000-0000-0000736B0000}"/>
    <cellStyle name="Note 3 2 18" xfId="27510" xr:uid="{00000000-0005-0000-0000-0000746B0000}"/>
    <cellStyle name="Note 3 2 18 2" xfId="27511" xr:uid="{00000000-0005-0000-0000-0000756B0000}"/>
    <cellStyle name="Note 3 2 18 3" xfId="27512" xr:uid="{00000000-0005-0000-0000-0000766B0000}"/>
    <cellStyle name="Note 3 2 18 4" xfId="27513" xr:uid="{00000000-0005-0000-0000-0000776B0000}"/>
    <cellStyle name="Note 3 2 19" xfId="27514" xr:uid="{00000000-0005-0000-0000-0000786B0000}"/>
    <cellStyle name="Note 3 2 19 2" xfId="27515" xr:uid="{00000000-0005-0000-0000-0000796B0000}"/>
    <cellStyle name="Note 3 2 19 3" xfId="27516" xr:uid="{00000000-0005-0000-0000-00007A6B0000}"/>
    <cellStyle name="Note 3 2 2" xfId="27517" xr:uid="{00000000-0005-0000-0000-00007B6B0000}"/>
    <cellStyle name="Note 3 2 2 2" xfId="27518" xr:uid="{00000000-0005-0000-0000-00007C6B0000}"/>
    <cellStyle name="Note 3 2 2 2 2" xfId="27519" xr:uid="{00000000-0005-0000-0000-00007D6B0000}"/>
    <cellStyle name="Note 3 2 2 2 3" xfId="27520" xr:uid="{00000000-0005-0000-0000-00007E6B0000}"/>
    <cellStyle name="Note 3 2 2 2 4" xfId="27521" xr:uid="{00000000-0005-0000-0000-00007F6B0000}"/>
    <cellStyle name="Note 3 2 2 2 5" xfId="27522" xr:uid="{00000000-0005-0000-0000-0000806B0000}"/>
    <cellStyle name="Note 3 2 2 2 5 2" xfId="27523" xr:uid="{00000000-0005-0000-0000-0000816B0000}"/>
    <cellStyle name="Note 3 2 2 2 6" xfId="27524" xr:uid="{00000000-0005-0000-0000-0000826B0000}"/>
    <cellStyle name="Note 3 2 2 3" xfId="27525" xr:uid="{00000000-0005-0000-0000-0000836B0000}"/>
    <cellStyle name="Note 3 2 2 3 2" xfId="27526" xr:uid="{00000000-0005-0000-0000-0000846B0000}"/>
    <cellStyle name="Note 3 2 2 3 3" xfId="27527" xr:uid="{00000000-0005-0000-0000-0000856B0000}"/>
    <cellStyle name="Note 3 2 2 4" xfId="27528" xr:uid="{00000000-0005-0000-0000-0000866B0000}"/>
    <cellStyle name="Note 3 2 2 4 2" xfId="27529" xr:uid="{00000000-0005-0000-0000-0000876B0000}"/>
    <cellStyle name="Note 3 2 2 5" xfId="27530" xr:uid="{00000000-0005-0000-0000-0000886B0000}"/>
    <cellStyle name="Note 3 2 2 6" xfId="27531" xr:uid="{00000000-0005-0000-0000-0000896B0000}"/>
    <cellStyle name="Note 3 2 2 7" xfId="27532" xr:uid="{00000000-0005-0000-0000-00008A6B0000}"/>
    <cellStyle name="Note 3 2 20" xfId="27533" xr:uid="{00000000-0005-0000-0000-00008B6B0000}"/>
    <cellStyle name="Note 3 2 20 2" xfId="27534" xr:uid="{00000000-0005-0000-0000-00008C6B0000}"/>
    <cellStyle name="Note 3 2 21" xfId="27535" xr:uid="{00000000-0005-0000-0000-00008D6B0000}"/>
    <cellStyle name="Note 3 2 22" xfId="27536" xr:uid="{00000000-0005-0000-0000-00008E6B0000}"/>
    <cellStyle name="Note 3 2 23" xfId="27537" xr:uid="{00000000-0005-0000-0000-00008F6B0000}"/>
    <cellStyle name="Note 3 2 3" xfId="27538" xr:uid="{00000000-0005-0000-0000-0000906B0000}"/>
    <cellStyle name="Note 3 2 3 2" xfId="27539" xr:uid="{00000000-0005-0000-0000-0000916B0000}"/>
    <cellStyle name="Note 3 2 3 2 2" xfId="27540" xr:uid="{00000000-0005-0000-0000-0000926B0000}"/>
    <cellStyle name="Note 3 2 3 2 3" xfId="27541" xr:uid="{00000000-0005-0000-0000-0000936B0000}"/>
    <cellStyle name="Note 3 2 3 3" xfId="27542" xr:uid="{00000000-0005-0000-0000-0000946B0000}"/>
    <cellStyle name="Note 3 2 3 4" xfId="27543" xr:uid="{00000000-0005-0000-0000-0000956B0000}"/>
    <cellStyle name="Note 3 2 4" xfId="27544" xr:uid="{00000000-0005-0000-0000-0000966B0000}"/>
    <cellStyle name="Note 3 2 4 2" xfId="27545" xr:uid="{00000000-0005-0000-0000-0000976B0000}"/>
    <cellStyle name="Note 3 2 4 2 2" xfId="27546" xr:uid="{00000000-0005-0000-0000-0000986B0000}"/>
    <cellStyle name="Note 3 2 4 2 3" xfId="27547" xr:uid="{00000000-0005-0000-0000-0000996B0000}"/>
    <cellStyle name="Note 3 2 4 3" xfId="27548" xr:uid="{00000000-0005-0000-0000-00009A6B0000}"/>
    <cellStyle name="Note 3 2 4 4" xfId="27549" xr:uid="{00000000-0005-0000-0000-00009B6B0000}"/>
    <cellStyle name="Note 3 2 5" xfId="27550" xr:uid="{00000000-0005-0000-0000-00009C6B0000}"/>
    <cellStyle name="Note 3 2 5 2" xfId="27551" xr:uid="{00000000-0005-0000-0000-00009D6B0000}"/>
    <cellStyle name="Note 3 2 5 2 2" xfId="27552" xr:uid="{00000000-0005-0000-0000-00009E6B0000}"/>
    <cellStyle name="Note 3 2 5 2 3" xfId="27553" xr:uid="{00000000-0005-0000-0000-00009F6B0000}"/>
    <cellStyle name="Note 3 2 5 3" xfId="27554" xr:uid="{00000000-0005-0000-0000-0000A06B0000}"/>
    <cellStyle name="Note 3 2 5 4" xfId="27555" xr:uid="{00000000-0005-0000-0000-0000A16B0000}"/>
    <cellStyle name="Note 3 2 6" xfId="27556" xr:uid="{00000000-0005-0000-0000-0000A26B0000}"/>
    <cellStyle name="Note 3 2 6 2" xfId="27557" xr:uid="{00000000-0005-0000-0000-0000A36B0000}"/>
    <cellStyle name="Note 3 2 6 2 2" xfId="27558" xr:uid="{00000000-0005-0000-0000-0000A46B0000}"/>
    <cellStyle name="Note 3 2 6 2 3" xfId="27559" xr:uid="{00000000-0005-0000-0000-0000A56B0000}"/>
    <cellStyle name="Note 3 2 6 3" xfId="27560" xr:uid="{00000000-0005-0000-0000-0000A66B0000}"/>
    <cellStyle name="Note 3 2 6 4" xfId="27561" xr:uid="{00000000-0005-0000-0000-0000A76B0000}"/>
    <cellStyle name="Note 3 2 7" xfId="27562" xr:uid="{00000000-0005-0000-0000-0000A86B0000}"/>
    <cellStyle name="Note 3 2 7 2" xfId="27563" xr:uid="{00000000-0005-0000-0000-0000A96B0000}"/>
    <cellStyle name="Note 3 2 7 2 2" xfId="27564" xr:uid="{00000000-0005-0000-0000-0000AA6B0000}"/>
    <cellStyle name="Note 3 2 7 2 3" xfId="27565" xr:uid="{00000000-0005-0000-0000-0000AB6B0000}"/>
    <cellStyle name="Note 3 2 7 3" xfId="27566" xr:uid="{00000000-0005-0000-0000-0000AC6B0000}"/>
    <cellStyle name="Note 3 2 7 4" xfId="27567" xr:uid="{00000000-0005-0000-0000-0000AD6B0000}"/>
    <cellStyle name="Note 3 2 8" xfId="27568" xr:uid="{00000000-0005-0000-0000-0000AE6B0000}"/>
    <cellStyle name="Note 3 2 8 2" xfId="27569" xr:uid="{00000000-0005-0000-0000-0000AF6B0000}"/>
    <cellStyle name="Note 3 2 8 2 2" xfId="27570" xr:uid="{00000000-0005-0000-0000-0000B06B0000}"/>
    <cellStyle name="Note 3 2 8 2 3" xfId="27571" xr:uid="{00000000-0005-0000-0000-0000B16B0000}"/>
    <cellStyle name="Note 3 2 8 3" xfId="27572" xr:uid="{00000000-0005-0000-0000-0000B26B0000}"/>
    <cellStyle name="Note 3 2 8 4" xfId="27573" xr:uid="{00000000-0005-0000-0000-0000B36B0000}"/>
    <cellStyle name="Note 3 2 9" xfId="27574" xr:uid="{00000000-0005-0000-0000-0000B46B0000}"/>
    <cellStyle name="Note 3 2 9 2" xfId="27575" xr:uid="{00000000-0005-0000-0000-0000B56B0000}"/>
    <cellStyle name="Note 3 2 9 2 2" xfId="27576" xr:uid="{00000000-0005-0000-0000-0000B66B0000}"/>
    <cellStyle name="Note 3 2 9 2 3" xfId="27577" xr:uid="{00000000-0005-0000-0000-0000B76B0000}"/>
    <cellStyle name="Note 3 2 9 3" xfId="27578" xr:uid="{00000000-0005-0000-0000-0000B86B0000}"/>
    <cellStyle name="Note 3 2 9 4" xfId="27579" xr:uid="{00000000-0005-0000-0000-0000B96B0000}"/>
    <cellStyle name="Note 3 3" xfId="27580" xr:uid="{00000000-0005-0000-0000-0000BA6B0000}"/>
    <cellStyle name="Note 3 3 2" xfId="27581" xr:uid="{00000000-0005-0000-0000-0000BB6B0000}"/>
    <cellStyle name="Note 3 3 2 2" xfId="27582" xr:uid="{00000000-0005-0000-0000-0000BC6B0000}"/>
    <cellStyle name="Note 3 3 2 3" xfId="27583" xr:uid="{00000000-0005-0000-0000-0000BD6B0000}"/>
    <cellStyle name="Note 3 3 2 4" xfId="27584" xr:uid="{00000000-0005-0000-0000-0000BE6B0000}"/>
    <cellStyle name="Note 3 3 2 5" xfId="27585" xr:uid="{00000000-0005-0000-0000-0000BF6B0000}"/>
    <cellStyle name="Note 3 3 2 5 2" xfId="27586" xr:uid="{00000000-0005-0000-0000-0000C06B0000}"/>
    <cellStyle name="Note 3 3 2 6" xfId="27587" xr:uid="{00000000-0005-0000-0000-0000C16B0000}"/>
    <cellStyle name="Note 3 3 3" xfId="27588" xr:uid="{00000000-0005-0000-0000-0000C26B0000}"/>
    <cellStyle name="Note 3 3 3 2" xfId="27589" xr:uid="{00000000-0005-0000-0000-0000C36B0000}"/>
    <cellStyle name="Note 3 3 4" xfId="27590" xr:uid="{00000000-0005-0000-0000-0000C46B0000}"/>
    <cellStyle name="Note 3 3 5" xfId="27591" xr:uid="{00000000-0005-0000-0000-0000C56B0000}"/>
    <cellStyle name="Note 3 3 6" xfId="27592" xr:uid="{00000000-0005-0000-0000-0000C66B0000}"/>
    <cellStyle name="Note 3 4" xfId="27593" xr:uid="{00000000-0005-0000-0000-0000C76B0000}"/>
    <cellStyle name="Note 3 4 2" xfId="27594" xr:uid="{00000000-0005-0000-0000-0000C86B0000}"/>
    <cellStyle name="Note 3 4 2 2" xfId="27595" xr:uid="{00000000-0005-0000-0000-0000C96B0000}"/>
    <cellStyle name="Note 3 4 3" xfId="27596" xr:uid="{00000000-0005-0000-0000-0000CA6B0000}"/>
    <cellStyle name="Note 3 4 3 2" xfId="27597" xr:uid="{00000000-0005-0000-0000-0000CB6B0000}"/>
    <cellStyle name="Note 3 4 4" xfId="27598" xr:uid="{00000000-0005-0000-0000-0000CC6B0000}"/>
    <cellStyle name="Note 3 4 5" xfId="27599" xr:uid="{00000000-0005-0000-0000-0000CD6B0000}"/>
    <cellStyle name="Note 3 5" xfId="27600" xr:uid="{00000000-0005-0000-0000-0000CE6B0000}"/>
    <cellStyle name="Note 3 5 2" xfId="27601" xr:uid="{00000000-0005-0000-0000-0000CF6B0000}"/>
    <cellStyle name="Note 3 5 2 2" xfId="27602" xr:uid="{00000000-0005-0000-0000-0000D06B0000}"/>
    <cellStyle name="Note 3 5 3" xfId="27603" xr:uid="{00000000-0005-0000-0000-0000D16B0000}"/>
    <cellStyle name="Note 3 5 3 2" xfId="27604" xr:uid="{00000000-0005-0000-0000-0000D26B0000}"/>
    <cellStyle name="Note 3 5 4" xfId="27605" xr:uid="{00000000-0005-0000-0000-0000D36B0000}"/>
    <cellStyle name="Note 3 5 5" xfId="27606" xr:uid="{00000000-0005-0000-0000-0000D46B0000}"/>
    <cellStyle name="Note 3 6" xfId="27607" xr:uid="{00000000-0005-0000-0000-0000D56B0000}"/>
    <cellStyle name="Note 3 6 2" xfId="27608" xr:uid="{00000000-0005-0000-0000-0000D66B0000}"/>
    <cellStyle name="Note 3 6 2 2" xfId="27609" xr:uid="{00000000-0005-0000-0000-0000D76B0000}"/>
    <cellStyle name="Note 3 6 3" xfId="27610" xr:uid="{00000000-0005-0000-0000-0000D86B0000}"/>
    <cellStyle name="Note 3 6 3 2" xfId="27611" xr:uid="{00000000-0005-0000-0000-0000D96B0000}"/>
    <cellStyle name="Note 3 6 4" xfId="27612" xr:uid="{00000000-0005-0000-0000-0000DA6B0000}"/>
    <cellStyle name="Note 3 6 5" xfId="27613" xr:uid="{00000000-0005-0000-0000-0000DB6B0000}"/>
    <cellStyle name="Note 3 7" xfId="27614" xr:uid="{00000000-0005-0000-0000-0000DC6B0000}"/>
    <cellStyle name="Note 3 7 2" xfId="27615" xr:uid="{00000000-0005-0000-0000-0000DD6B0000}"/>
    <cellStyle name="Note 3 7 3" xfId="27616" xr:uid="{00000000-0005-0000-0000-0000DE6B0000}"/>
    <cellStyle name="Note 3 8" xfId="27617" xr:uid="{00000000-0005-0000-0000-0000DF6B0000}"/>
    <cellStyle name="Note 3 8 2" xfId="27618" xr:uid="{00000000-0005-0000-0000-0000E06B0000}"/>
    <cellStyle name="Note 3 9" xfId="27619" xr:uid="{00000000-0005-0000-0000-0000E16B0000}"/>
    <cellStyle name="Note 30" xfId="27620" xr:uid="{00000000-0005-0000-0000-0000E26B0000}"/>
    <cellStyle name="Note 30 2" xfId="27621" xr:uid="{00000000-0005-0000-0000-0000E36B0000}"/>
    <cellStyle name="Note 30 2 10" xfId="27622" xr:uid="{00000000-0005-0000-0000-0000E46B0000}"/>
    <cellStyle name="Note 30 2 10 2" xfId="27623" xr:uid="{00000000-0005-0000-0000-0000E56B0000}"/>
    <cellStyle name="Note 30 2 10 2 2" xfId="27624" xr:uid="{00000000-0005-0000-0000-0000E66B0000}"/>
    <cellStyle name="Note 30 2 10 2 3" xfId="27625" xr:uid="{00000000-0005-0000-0000-0000E76B0000}"/>
    <cellStyle name="Note 30 2 10 3" xfId="27626" xr:uid="{00000000-0005-0000-0000-0000E86B0000}"/>
    <cellStyle name="Note 30 2 10 4" xfId="27627" xr:uid="{00000000-0005-0000-0000-0000E96B0000}"/>
    <cellStyle name="Note 30 2 11" xfId="27628" xr:uid="{00000000-0005-0000-0000-0000EA6B0000}"/>
    <cellStyle name="Note 30 2 11 2" xfId="27629" xr:uid="{00000000-0005-0000-0000-0000EB6B0000}"/>
    <cellStyle name="Note 30 2 11 2 2" xfId="27630" xr:uid="{00000000-0005-0000-0000-0000EC6B0000}"/>
    <cellStyle name="Note 30 2 11 2 3" xfId="27631" xr:uid="{00000000-0005-0000-0000-0000ED6B0000}"/>
    <cellStyle name="Note 30 2 11 3" xfId="27632" xr:uid="{00000000-0005-0000-0000-0000EE6B0000}"/>
    <cellStyle name="Note 30 2 11 4" xfId="27633" xr:uid="{00000000-0005-0000-0000-0000EF6B0000}"/>
    <cellStyle name="Note 30 2 12" xfId="27634" xr:uid="{00000000-0005-0000-0000-0000F06B0000}"/>
    <cellStyle name="Note 30 2 12 2" xfId="27635" xr:uid="{00000000-0005-0000-0000-0000F16B0000}"/>
    <cellStyle name="Note 30 2 12 2 2" xfId="27636" xr:uid="{00000000-0005-0000-0000-0000F26B0000}"/>
    <cellStyle name="Note 30 2 12 2 3" xfId="27637" xr:uid="{00000000-0005-0000-0000-0000F36B0000}"/>
    <cellStyle name="Note 30 2 12 3" xfId="27638" xr:uid="{00000000-0005-0000-0000-0000F46B0000}"/>
    <cellStyle name="Note 30 2 12 4" xfId="27639" xr:uid="{00000000-0005-0000-0000-0000F56B0000}"/>
    <cellStyle name="Note 30 2 13" xfId="27640" xr:uid="{00000000-0005-0000-0000-0000F66B0000}"/>
    <cellStyle name="Note 30 2 13 2" xfId="27641" xr:uid="{00000000-0005-0000-0000-0000F76B0000}"/>
    <cellStyle name="Note 30 2 13 2 2" xfId="27642" xr:uid="{00000000-0005-0000-0000-0000F86B0000}"/>
    <cellStyle name="Note 30 2 13 2 3" xfId="27643" xr:uid="{00000000-0005-0000-0000-0000F96B0000}"/>
    <cellStyle name="Note 30 2 13 3" xfId="27644" xr:uid="{00000000-0005-0000-0000-0000FA6B0000}"/>
    <cellStyle name="Note 30 2 13 4" xfId="27645" xr:uid="{00000000-0005-0000-0000-0000FB6B0000}"/>
    <cellStyle name="Note 30 2 14" xfId="27646" xr:uid="{00000000-0005-0000-0000-0000FC6B0000}"/>
    <cellStyle name="Note 30 2 14 2" xfId="27647" xr:uid="{00000000-0005-0000-0000-0000FD6B0000}"/>
    <cellStyle name="Note 30 2 14 2 2" xfId="27648" xr:uid="{00000000-0005-0000-0000-0000FE6B0000}"/>
    <cellStyle name="Note 30 2 14 2 3" xfId="27649" xr:uid="{00000000-0005-0000-0000-0000FF6B0000}"/>
    <cellStyle name="Note 30 2 14 3" xfId="27650" xr:uid="{00000000-0005-0000-0000-0000006C0000}"/>
    <cellStyle name="Note 30 2 14 4" xfId="27651" xr:uid="{00000000-0005-0000-0000-0000016C0000}"/>
    <cellStyle name="Note 30 2 15" xfId="27652" xr:uid="{00000000-0005-0000-0000-0000026C0000}"/>
    <cellStyle name="Note 30 2 15 2" xfId="27653" xr:uid="{00000000-0005-0000-0000-0000036C0000}"/>
    <cellStyle name="Note 30 2 15 2 2" xfId="27654" xr:uid="{00000000-0005-0000-0000-0000046C0000}"/>
    <cellStyle name="Note 30 2 15 2 3" xfId="27655" xr:uid="{00000000-0005-0000-0000-0000056C0000}"/>
    <cellStyle name="Note 30 2 15 3" xfId="27656" xr:uid="{00000000-0005-0000-0000-0000066C0000}"/>
    <cellStyle name="Note 30 2 15 4" xfId="27657" xr:uid="{00000000-0005-0000-0000-0000076C0000}"/>
    <cellStyle name="Note 30 2 16" xfId="27658" xr:uid="{00000000-0005-0000-0000-0000086C0000}"/>
    <cellStyle name="Note 30 2 16 2" xfId="27659" xr:uid="{00000000-0005-0000-0000-0000096C0000}"/>
    <cellStyle name="Note 30 2 16 2 2" xfId="27660" xr:uid="{00000000-0005-0000-0000-00000A6C0000}"/>
    <cellStyle name="Note 30 2 16 2 3" xfId="27661" xr:uid="{00000000-0005-0000-0000-00000B6C0000}"/>
    <cellStyle name="Note 30 2 16 3" xfId="27662" xr:uid="{00000000-0005-0000-0000-00000C6C0000}"/>
    <cellStyle name="Note 30 2 16 4" xfId="27663" xr:uid="{00000000-0005-0000-0000-00000D6C0000}"/>
    <cellStyle name="Note 30 2 17" xfId="27664" xr:uid="{00000000-0005-0000-0000-00000E6C0000}"/>
    <cellStyle name="Note 30 2 17 2" xfId="27665" xr:uid="{00000000-0005-0000-0000-00000F6C0000}"/>
    <cellStyle name="Note 30 2 17 2 2" xfId="27666" xr:uid="{00000000-0005-0000-0000-0000106C0000}"/>
    <cellStyle name="Note 30 2 17 2 3" xfId="27667" xr:uid="{00000000-0005-0000-0000-0000116C0000}"/>
    <cellStyle name="Note 30 2 17 3" xfId="27668" xr:uid="{00000000-0005-0000-0000-0000126C0000}"/>
    <cellStyle name="Note 30 2 17 4" xfId="27669" xr:uid="{00000000-0005-0000-0000-0000136C0000}"/>
    <cellStyle name="Note 30 2 18" xfId="27670" xr:uid="{00000000-0005-0000-0000-0000146C0000}"/>
    <cellStyle name="Note 30 2 18 2" xfId="27671" xr:uid="{00000000-0005-0000-0000-0000156C0000}"/>
    <cellStyle name="Note 30 2 18 3" xfId="27672" xr:uid="{00000000-0005-0000-0000-0000166C0000}"/>
    <cellStyle name="Note 30 2 18 4" xfId="27673" xr:uid="{00000000-0005-0000-0000-0000176C0000}"/>
    <cellStyle name="Note 30 2 19" xfId="27674" xr:uid="{00000000-0005-0000-0000-0000186C0000}"/>
    <cellStyle name="Note 30 2 2" xfId="27675" xr:uid="{00000000-0005-0000-0000-0000196C0000}"/>
    <cellStyle name="Note 30 2 2 2" xfId="27676" xr:uid="{00000000-0005-0000-0000-00001A6C0000}"/>
    <cellStyle name="Note 30 2 2 2 2" xfId="27677" xr:uid="{00000000-0005-0000-0000-00001B6C0000}"/>
    <cellStyle name="Note 30 2 2 2 3" xfId="27678" xr:uid="{00000000-0005-0000-0000-00001C6C0000}"/>
    <cellStyle name="Note 30 2 2 3" xfId="27679" xr:uid="{00000000-0005-0000-0000-00001D6C0000}"/>
    <cellStyle name="Note 30 2 2 4" xfId="27680" xr:uid="{00000000-0005-0000-0000-00001E6C0000}"/>
    <cellStyle name="Note 30 2 20" xfId="27681" xr:uid="{00000000-0005-0000-0000-00001F6C0000}"/>
    <cellStyle name="Note 30 2 21" xfId="27682" xr:uid="{00000000-0005-0000-0000-0000206C0000}"/>
    <cellStyle name="Note 30 2 3" xfId="27683" xr:uid="{00000000-0005-0000-0000-0000216C0000}"/>
    <cellStyle name="Note 30 2 3 2" xfId="27684" xr:uid="{00000000-0005-0000-0000-0000226C0000}"/>
    <cellStyle name="Note 30 2 3 2 2" xfId="27685" xr:uid="{00000000-0005-0000-0000-0000236C0000}"/>
    <cellStyle name="Note 30 2 3 2 3" xfId="27686" xr:uid="{00000000-0005-0000-0000-0000246C0000}"/>
    <cellStyle name="Note 30 2 3 3" xfId="27687" xr:uid="{00000000-0005-0000-0000-0000256C0000}"/>
    <cellStyle name="Note 30 2 3 4" xfId="27688" xr:uid="{00000000-0005-0000-0000-0000266C0000}"/>
    <cellStyle name="Note 30 2 4" xfId="27689" xr:uid="{00000000-0005-0000-0000-0000276C0000}"/>
    <cellStyle name="Note 30 2 4 2" xfId="27690" xr:uid="{00000000-0005-0000-0000-0000286C0000}"/>
    <cellStyle name="Note 30 2 4 2 2" xfId="27691" xr:uid="{00000000-0005-0000-0000-0000296C0000}"/>
    <cellStyle name="Note 30 2 4 2 3" xfId="27692" xr:uid="{00000000-0005-0000-0000-00002A6C0000}"/>
    <cellStyle name="Note 30 2 4 3" xfId="27693" xr:uid="{00000000-0005-0000-0000-00002B6C0000}"/>
    <cellStyle name="Note 30 2 4 4" xfId="27694" xr:uid="{00000000-0005-0000-0000-00002C6C0000}"/>
    <cellStyle name="Note 30 2 5" xfId="27695" xr:uid="{00000000-0005-0000-0000-00002D6C0000}"/>
    <cellStyle name="Note 30 2 5 2" xfId="27696" xr:uid="{00000000-0005-0000-0000-00002E6C0000}"/>
    <cellStyle name="Note 30 2 5 2 2" xfId="27697" xr:uid="{00000000-0005-0000-0000-00002F6C0000}"/>
    <cellStyle name="Note 30 2 5 2 3" xfId="27698" xr:uid="{00000000-0005-0000-0000-0000306C0000}"/>
    <cellStyle name="Note 30 2 5 3" xfId="27699" xr:uid="{00000000-0005-0000-0000-0000316C0000}"/>
    <cellStyle name="Note 30 2 5 4" xfId="27700" xr:uid="{00000000-0005-0000-0000-0000326C0000}"/>
    <cellStyle name="Note 30 2 6" xfId="27701" xr:uid="{00000000-0005-0000-0000-0000336C0000}"/>
    <cellStyle name="Note 30 2 6 2" xfId="27702" xr:uid="{00000000-0005-0000-0000-0000346C0000}"/>
    <cellStyle name="Note 30 2 6 2 2" xfId="27703" xr:uid="{00000000-0005-0000-0000-0000356C0000}"/>
    <cellStyle name="Note 30 2 6 2 3" xfId="27704" xr:uid="{00000000-0005-0000-0000-0000366C0000}"/>
    <cellStyle name="Note 30 2 6 3" xfId="27705" xr:uid="{00000000-0005-0000-0000-0000376C0000}"/>
    <cellStyle name="Note 30 2 6 4" xfId="27706" xr:uid="{00000000-0005-0000-0000-0000386C0000}"/>
    <cellStyle name="Note 30 2 7" xfId="27707" xr:uid="{00000000-0005-0000-0000-0000396C0000}"/>
    <cellStyle name="Note 30 2 7 2" xfId="27708" xr:uid="{00000000-0005-0000-0000-00003A6C0000}"/>
    <cellStyle name="Note 30 2 7 2 2" xfId="27709" xr:uid="{00000000-0005-0000-0000-00003B6C0000}"/>
    <cellStyle name="Note 30 2 7 2 3" xfId="27710" xr:uid="{00000000-0005-0000-0000-00003C6C0000}"/>
    <cellStyle name="Note 30 2 7 3" xfId="27711" xr:uid="{00000000-0005-0000-0000-00003D6C0000}"/>
    <cellStyle name="Note 30 2 7 4" xfId="27712" xr:uid="{00000000-0005-0000-0000-00003E6C0000}"/>
    <cellStyle name="Note 30 2 8" xfId="27713" xr:uid="{00000000-0005-0000-0000-00003F6C0000}"/>
    <cellStyle name="Note 30 2 8 2" xfId="27714" xr:uid="{00000000-0005-0000-0000-0000406C0000}"/>
    <cellStyle name="Note 30 2 8 2 2" xfId="27715" xr:uid="{00000000-0005-0000-0000-0000416C0000}"/>
    <cellStyle name="Note 30 2 8 2 3" xfId="27716" xr:uid="{00000000-0005-0000-0000-0000426C0000}"/>
    <cellStyle name="Note 30 2 8 3" xfId="27717" xr:uid="{00000000-0005-0000-0000-0000436C0000}"/>
    <cellStyle name="Note 30 2 8 4" xfId="27718" xr:uid="{00000000-0005-0000-0000-0000446C0000}"/>
    <cellStyle name="Note 30 2 9" xfId="27719" xr:uid="{00000000-0005-0000-0000-0000456C0000}"/>
    <cellStyle name="Note 30 2 9 2" xfId="27720" xr:uid="{00000000-0005-0000-0000-0000466C0000}"/>
    <cellStyle name="Note 30 2 9 2 2" xfId="27721" xr:uid="{00000000-0005-0000-0000-0000476C0000}"/>
    <cellStyle name="Note 30 2 9 2 3" xfId="27722" xr:uid="{00000000-0005-0000-0000-0000486C0000}"/>
    <cellStyle name="Note 30 2 9 3" xfId="27723" xr:uid="{00000000-0005-0000-0000-0000496C0000}"/>
    <cellStyle name="Note 30 2 9 4" xfId="27724" xr:uid="{00000000-0005-0000-0000-00004A6C0000}"/>
    <cellStyle name="Note 30 3" xfId="27725" xr:uid="{00000000-0005-0000-0000-00004B6C0000}"/>
    <cellStyle name="Note 30 3 2" xfId="27726" xr:uid="{00000000-0005-0000-0000-00004C6C0000}"/>
    <cellStyle name="Note 30 3 2 2" xfId="27727" xr:uid="{00000000-0005-0000-0000-00004D6C0000}"/>
    <cellStyle name="Note 30 3 2 3" xfId="27728" xr:uid="{00000000-0005-0000-0000-00004E6C0000}"/>
    <cellStyle name="Note 30 3 3" xfId="27729" xr:uid="{00000000-0005-0000-0000-00004F6C0000}"/>
    <cellStyle name="Note 30 3 4" xfId="27730" xr:uid="{00000000-0005-0000-0000-0000506C0000}"/>
    <cellStyle name="Note 30 4" xfId="27731" xr:uid="{00000000-0005-0000-0000-0000516C0000}"/>
    <cellStyle name="Note 30 5" xfId="27732" xr:uid="{00000000-0005-0000-0000-0000526C0000}"/>
    <cellStyle name="Note 31" xfId="27733" xr:uid="{00000000-0005-0000-0000-0000536C0000}"/>
    <cellStyle name="Note 31 2" xfId="27734" xr:uid="{00000000-0005-0000-0000-0000546C0000}"/>
    <cellStyle name="Note 31 2 10" xfId="27735" xr:uid="{00000000-0005-0000-0000-0000556C0000}"/>
    <cellStyle name="Note 31 2 10 2" xfId="27736" xr:uid="{00000000-0005-0000-0000-0000566C0000}"/>
    <cellStyle name="Note 31 2 10 2 2" xfId="27737" xr:uid="{00000000-0005-0000-0000-0000576C0000}"/>
    <cellStyle name="Note 31 2 10 2 3" xfId="27738" xr:uid="{00000000-0005-0000-0000-0000586C0000}"/>
    <cellStyle name="Note 31 2 10 3" xfId="27739" xr:uid="{00000000-0005-0000-0000-0000596C0000}"/>
    <cellStyle name="Note 31 2 10 4" xfId="27740" xr:uid="{00000000-0005-0000-0000-00005A6C0000}"/>
    <cellStyle name="Note 31 2 11" xfId="27741" xr:uid="{00000000-0005-0000-0000-00005B6C0000}"/>
    <cellStyle name="Note 31 2 11 2" xfId="27742" xr:uid="{00000000-0005-0000-0000-00005C6C0000}"/>
    <cellStyle name="Note 31 2 11 2 2" xfId="27743" xr:uid="{00000000-0005-0000-0000-00005D6C0000}"/>
    <cellStyle name="Note 31 2 11 2 3" xfId="27744" xr:uid="{00000000-0005-0000-0000-00005E6C0000}"/>
    <cellStyle name="Note 31 2 11 3" xfId="27745" xr:uid="{00000000-0005-0000-0000-00005F6C0000}"/>
    <cellStyle name="Note 31 2 11 4" xfId="27746" xr:uid="{00000000-0005-0000-0000-0000606C0000}"/>
    <cellStyle name="Note 31 2 12" xfId="27747" xr:uid="{00000000-0005-0000-0000-0000616C0000}"/>
    <cellStyle name="Note 31 2 12 2" xfId="27748" xr:uid="{00000000-0005-0000-0000-0000626C0000}"/>
    <cellStyle name="Note 31 2 12 2 2" xfId="27749" xr:uid="{00000000-0005-0000-0000-0000636C0000}"/>
    <cellStyle name="Note 31 2 12 2 3" xfId="27750" xr:uid="{00000000-0005-0000-0000-0000646C0000}"/>
    <cellStyle name="Note 31 2 12 3" xfId="27751" xr:uid="{00000000-0005-0000-0000-0000656C0000}"/>
    <cellStyle name="Note 31 2 12 4" xfId="27752" xr:uid="{00000000-0005-0000-0000-0000666C0000}"/>
    <cellStyle name="Note 31 2 13" xfId="27753" xr:uid="{00000000-0005-0000-0000-0000676C0000}"/>
    <cellStyle name="Note 31 2 13 2" xfId="27754" xr:uid="{00000000-0005-0000-0000-0000686C0000}"/>
    <cellStyle name="Note 31 2 13 2 2" xfId="27755" xr:uid="{00000000-0005-0000-0000-0000696C0000}"/>
    <cellStyle name="Note 31 2 13 2 3" xfId="27756" xr:uid="{00000000-0005-0000-0000-00006A6C0000}"/>
    <cellStyle name="Note 31 2 13 3" xfId="27757" xr:uid="{00000000-0005-0000-0000-00006B6C0000}"/>
    <cellStyle name="Note 31 2 13 4" xfId="27758" xr:uid="{00000000-0005-0000-0000-00006C6C0000}"/>
    <cellStyle name="Note 31 2 14" xfId="27759" xr:uid="{00000000-0005-0000-0000-00006D6C0000}"/>
    <cellStyle name="Note 31 2 14 2" xfId="27760" xr:uid="{00000000-0005-0000-0000-00006E6C0000}"/>
    <cellStyle name="Note 31 2 14 2 2" xfId="27761" xr:uid="{00000000-0005-0000-0000-00006F6C0000}"/>
    <cellStyle name="Note 31 2 14 2 3" xfId="27762" xr:uid="{00000000-0005-0000-0000-0000706C0000}"/>
    <cellStyle name="Note 31 2 14 3" xfId="27763" xr:uid="{00000000-0005-0000-0000-0000716C0000}"/>
    <cellStyle name="Note 31 2 14 4" xfId="27764" xr:uid="{00000000-0005-0000-0000-0000726C0000}"/>
    <cellStyle name="Note 31 2 15" xfId="27765" xr:uid="{00000000-0005-0000-0000-0000736C0000}"/>
    <cellStyle name="Note 31 2 15 2" xfId="27766" xr:uid="{00000000-0005-0000-0000-0000746C0000}"/>
    <cellStyle name="Note 31 2 15 2 2" xfId="27767" xr:uid="{00000000-0005-0000-0000-0000756C0000}"/>
    <cellStyle name="Note 31 2 15 2 3" xfId="27768" xr:uid="{00000000-0005-0000-0000-0000766C0000}"/>
    <cellStyle name="Note 31 2 15 3" xfId="27769" xr:uid="{00000000-0005-0000-0000-0000776C0000}"/>
    <cellStyle name="Note 31 2 15 4" xfId="27770" xr:uid="{00000000-0005-0000-0000-0000786C0000}"/>
    <cellStyle name="Note 31 2 16" xfId="27771" xr:uid="{00000000-0005-0000-0000-0000796C0000}"/>
    <cellStyle name="Note 31 2 16 2" xfId="27772" xr:uid="{00000000-0005-0000-0000-00007A6C0000}"/>
    <cellStyle name="Note 31 2 16 2 2" xfId="27773" xr:uid="{00000000-0005-0000-0000-00007B6C0000}"/>
    <cellStyle name="Note 31 2 16 2 3" xfId="27774" xr:uid="{00000000-0005-0000-0000-00007C6C0000}"/>
    <cellStyle name="Note 31 2 16 3" xfId="27775" xr:uid="{00000000-0005-0000-0000-00007D6C0000}"/>
    <cellStyle name="Note 31 2 16 4" xfId="27776" xr:uid="{00000000-0005-0000-0000-00007E6C0000}"/>
    <cellStyle name="Note 31 2 17" xfId="27777" xr:uid="{00000000-0005-0000-0000-00007F6C0000}"/>
    <cellStyle name="Note 31 2 17 2" xfId="27778" xr:uid="{00000000-0005-0000-0000-0000806C0000}"/>
    <cellStyle name="Note 31 2 17 2 2" xfId="27779" xr:uid="{00000000-0005-0000-0000-0000816C0000}"/>
    <cellStyle name="Note 31 2 17 2 3" xfId="27780" xr:uid="{00000000-0005-0000-0000-0000826C0000}"/>
    <cellStyle name="Note 31 2 17 3" xfId="27781" xr:uid="{00000000-0005-0000-0000-0000836C0000}"/>
    <cellStyle name="Note 31 2 17 4" xfId="27782" xr:uid="{00000000-0005-0000-0000-0000846C0000}"/>
    <cellStyle name="Note 31 2 18" xfId="27783" xr:uid="{00000000-0005-0000-0000-0000856C0000}"/>
    <cellStyle name="Note 31 2 18 2" xfId="27784" xr:uid="{00000000-0005-0000-0000-0000866C0000}"/>
    <cellStyle name="Note 31 2 18 3" xfId="27785" xr:uid="{00000000-0005-0000-0000-0000876C0000}"/>
    <cellStyle name="Note 31 2 18 4" xfId="27786" xr:uid="{00000000-0005-0000-0000-0000886C0000}"/>
    <cellStyle name="Note 31 2 19" xfId="27787" xr:uid="{00000000-0005-0000-0000-0000896C0000}"/>
    <cellStyle name="Note 31 2 2" xfId="27788" xr:uid="{00000000-0005-0000-0000-00008A6C0000}"/>
    <cellStyle name="Note 31 2 2 2" xfId="27789" xr:uid="{00000000-0005-0000-0000-00008B6C0000}"/>
    <cellStyle name="Note 31 2 2 2 2" xfId="27790" xr:uid="{00000000-0005-0000-0000-00008C6C0000}"/>
    <cellStyle name="Note 31 2 2 2 3" xfId="27791" xr:uid="{00000000-0005-0000-0000-00008D6C0000}"/>
    <cellStyle name="Note 31 2 2 3" xfId="27792" xr:uid="{00000000-0005-0000-0000-00008E6C0000}"/>
    <cellStyle name="Note 31 2 2 4" xfId="27793" xr:uid="{00000000-0005-0000-0000-00008F6C0000}"/>
    <cellStyle name="Note 31 2 20" xfId="27794" xr:uid="{00000000-0005-0000-0000-0000906C0000}"/>
    <cellStyle name="Note 31 2 21" xfId="27795" xr:uid="{00000000-0005-0000-0000-0000916C0000}"/>
    <cellStyle name="Note 31 2 3" xfId="27796" xr:uid="{00000000-0005-0000-0000-0000926C0000}"/>
    <cellStyle name="Note 31 2 3 2" xfId="27797" xr:uid="{00000000-0005-0000-0000-0000936C0000}"/>
    <cellStyle name="Note 31 2 3 2 2" xfId="27798" xr:uid="{00000000-0005-0000-0000-0000946C0000}"/>
    <cellStyle name="Note 31 2 3 2 3" xfId="27799" xr:uid="{00000000-0005-0000-0000-0000956C0000}"/>
    <cellStyle name="Note 31 2 3 3" xfId="27800" xr:uid="{00000000-0005-0000-0000-0000966C0000}"/>
    <cellStyle name="Note 31 2 3 4" xfId="27801" xr:uid="{00000000-0005-0000-0000-0000976C0000}"/>
    <cellStyle name="Note 31 2 4" xfId="27802" xr:uid="{00000000-0005-0000-0000-0000986C0000}"/>
    <cellStyle name="Note 31 2 4 2" xfId="27803" xr:uid="{00000000-0005-0000-0000-0000996C0000}"/>
    <cellStyle name="Note 31 2 4 2 2" xfId="27804" xr:uid="{00000000-0005-0000-0000-00009A6C0000}"/>
    <cellStyle name="Note 31 2 4 2 3" xfId="27805" xr:uid="{00000000-0005-0000-0000-00009B6C0000}"/>
    <cellStyle name="Note 31 2 4 3" xfId="27806" xr:uid="{00000000-0005-0000-0000-00009C6C0000}"/>
    <cellStyle name="Note 31 2 4 4" xfId="27807" xr:uid="{00000000-0005-0000-0000-00009D6C0000}"/>
    <cellStyle name="Note 31 2 5" xfId="27808" xr:uid="{00000000-0005-0000-0000-00009E6C0000}"/>
    <cellStyle name="Note 31 2 5 2" xfId="27809" xr:uid="{00000000-0005-0000-0000-00009F6C0000}"/>
    <cellStyle name="Note 31 2 5 2 2" xfId="27810" xr:uid="{00000000-0005-0000-0000-0000A06C0000}"/>
    <cellStyle name="Note 31 2 5 2 3" xfId="27811" xr:uid="{00000000-0005-0000-0000-0000A16C0000}"/>
    <cellStyle name="Note 31 2 5 3" xfId="27812" xr:uid="{00000000-0005-0000-0000-0000A26C0000}"/>
    <cellStyle name="Note 31 2 5 4" xfId="27813" xr:uid="{00000000-0005-0000-0000-0000A36C0000}"/>
    <cellStyle name="Note 31 2 6" xfId="27814" xr:uid="{00000000-0005-0000-0000-0000A46C0000}"/>
    <cellStyle name="Note 31 2 6 2" xfId="27815" xr:uid="{00000000-0005-0000-0000-0000A56C0000}"/>
    <cellStyle name="Note 31 2 6 2 2" xfId="27816" xr:uid="{00000000-0005-0000-0000-0000A66C0000}"/>
    <cellStyle name="Note 31 2 6 2 3" xfId="27817" xr:uid="{00000000-0005-0000-0000-0000A76C0000}"/>
    <cellStyle name="Note 31 2 6 3" xfId="27818" xr:uid="{00000000-0005-0000-0000-0000A86C0000}"/>
    <cellStyle name="Note 31 2 6 4" xfId="27819" xr:uid="{00000000-0005-0000-0000-0000A96C0000}"/>
    <cellStyle name="Note 31 2 7" xfId="27820" xr:uid="{00000000-0005-0000-0000-0000AA6C0000}"/>
    <cellStyle name="Note 31 2 7 2" xfId="27821" xr:uid="{00000000-0005-0000-0000-0000AB6C0000}"/>
    <cellStyle name="Note 31 2 7 2 2" xfId="27822" xr:uid="{00000000-0005-0000-0000-0000AC6C0000}"/>
    <cellStyle name="Note 31 2 7 2 3" xfId="27823" xr:uid="{00000000-0005-0000-0000-0000AD6C0000}"/>
    <cellStyle name="Note 31 2 7 3" xfId="27824" xr:uid="{00000000-0005-0000-0000-0000AE6C0000}"/>
    <cellStyle name="Note 31 2 7 4" xfId="27825" xr:uid="{00000000-0005-0000-0000-0000AF6C0000}"/>
    <cellStyle name="Note 31 2 8" xfId="27826" xr:uid="{00000000-0005-0000-0000-0000B06C0000}"/>
    <cellStyle name="Note 31 2 8 2" xfId="27827" xr:uid="{00000000-0005-0000-0000-0000B16C0000}"/>
    <cellStyle name="Note 31 2 8 2 2" xfId="27828" xr:uid="{00000000-0005-0000-0000-0000B26C0000}"/>
    <cellStyle name="Note 31 2 8 2 3" xfId="27829" xr:uid="{00000000-0005-0000-0000-0000B36C0000}"/>
    <cellStyle name="Note 31 2 8 3" xfId="27830" xr:uid="{00000000-0005-0000-0000-0000B46C0000}"/>
    <cellStyle name="Note 31 2 8 4" xfId="27831" xr:uid="{00000000-0005-0000-0000-0000B56C0000}"/>
    <cellStyle name="Note 31 2 9" xfId="27832" xr:uid="{00000000-0005-0000-0000-0000B66C0000}"/>
    <cellStyle name="Note 31 2 9 2" xfId="27833" xr:uid="{00000000-0005-0000-0000-0000B76C0000}"/>
    <cellStyle name="Note 31 2 9 2 2" xfId="27834" xr:uid="{00000000-0005-0000-0000-0000B86C0000}"/>
    <cellStyle name="Note 31 2 9 2 3" xfId="27835" xr:uid="{00000000-0005-0000-0000-0000B96C0000}"/>
    <cellStyle name="Note 31 2 9 3" xfId="27836" xr:uid="{00000000-0005-0000-0000-0000BA6C0000}"/>
    <cellStyle name="Note 31 2 9 4" xfId="27837" xr:uid="{00000000-0005-0000-0000-0000BB6C0000}"/>
    <cellStyle name="Note 31 3" xfId="27838" xr:uid="{00000000-0005-0000-0000-0000BC6C0000}"/>
    <cellStyle name="Note 31 3 2" xfId="27839" xr:uid="{00000000-0005-0000-0000-0000BD6C0000}"/>
    <cellStyle name="Note 31 3 2 2" xfId="27840" xr:uid="{00000000-0005-0000-0000-0000BE6C0000}"/>
    <cellStyle name="Note 31 3 2 3" xfId="27841" xr:uid="{00000000-0005-0000-0000-0000BF6C0000}"/>
    <cellStyle name="Note 31 3 3" xfId="27842" xr:uid="{00000000-0005-0000-0000-0000C06C0000}"/>
    <cellStyle name="Note 31 3 4" xfId="27843" xr:uid="{00000000-0005-0000-0000-0000C16C0000}"/>
    <cellStyle name="Note 31 4" xfId="27844" xr:uid="{00000000-0005-0000-0000-0000C26C0000}"/>
    <cellStyle name="Note 31 5" xfId="27845" xr:uid="{00000000-0005-0000-0000-0000C36C0000}"/>
    <cellStyle name="Note 32" xfId="27846" xr:uid="{00000000-0005-0000-0000-0000C46C0000}"/>
    <cellStyle name="Note 32 2" xfId="27847" xr:uid="{00000000-0005-0000-0000-0000C56C0000}"/>
    <cellStyle name="Note 32 2 10" xfId="27848" xr:uid="{00000000-0005-0000-0000-0000C66C0000}"/>
    <cellStyle name="Note 32 2 10 2" xfId="27849" xr:uid="{00000000-0005-0000-0000-0000C76C0000}"/>
    <cellStyle name="Note 32 2 10 2 2" xfId="27850" xr:uid="{00000000-0005-0000-0000-0000C86C0000}"/>
    <cellStyle name="Note 32 2 10 2 3" xfId="27851" xr:uid="{00000000-0005-0000-0000-0000C96C0000}"/>
    <cellStyle name="Note 32 2 10 3" xfId="27852" xr:uid="{00000000-0005-0000-0000-0000CA6C0000}"/>
    <cellStyle name="Note 32 2 10 4" xfId="27853" xr:uid="{00000000-0005-0000-0000-0000CB6C0000}"/>
    <cellStyle name="Note 32 2 11" xfId="27854" xr:uid="{00000000-0005-0000-0000-0000CC6C0000}"/>
    <cellStyle name="Note 32 2 11 2" xfId="27855" xr:uid="{00000000-0005-0000-0000-0000CD6C0000}"/>
    <cellStyle name="Note 32 2 11 2 2" xfId="27856" xr:uid="{00000000-0005-0000-0000-0000CE6C0000}"/>
    <cellStyle name="Note 32 2 11 2 3" xfId="27857" xr:uid="{00000000-0005-0000-0000-0000CF6C0000}"/>
    <cellStyle name="Note 32 2 11 3" xfId="27858" xr:uid="{00000000-0005-0000-0000-0000D06C0000}"/>
    <cellStyle name="Note 32 2 11 4" xfId="27859" xr:uid="{00000000-0005-0000-0000-0000D16C0000}"/>
    <cellStyle name="Note 32 2 12" xfId="27860" xr:uid="{00000000-0005-0000-0000-0000D26C0000}"/>
    <cellStyle name="Note 32 2 12 2" xfId="27861" xr:uid="{00000000-0005-0000-0000-0000D36C0000}"/>
    <cellStyle name="Note 32 2 12 2 2" xfId="27862" xr:uid="{00000000-0005-0000-0000-0000D46C0000}"/>
    <cellStyle name="Note 32 2 12 2 3" xfId="27863" xr:uid="{00000000-0005-0000-0000-0000D56C0000}"/>
    <cellStyle name="Note 32 2 12 3" xfId="27864" xr:uid="{00000000-0005-0000-0000-0000D66C0000}"/>
    <cellStyle name="Note 32 2 12 4" xfId="27865" xr:uid="{00000000-0005-0000-0000-0000D76C0000}"/>
    <cellStyle name="Note 32 2 13" xfId="27866" xr:uid="{00000000-0005-0000-0000-0000D86C0000}"/>
    <cellStyle name="Note 32 2 13 2" xfId="27867" xr:uid="{00000000-0005-0000-0000-0000D96C0000}"/>
    <cellStyle name="Note 32 2 13 2 2" xfId="27868" xr:uid="{00000000-0005-0000-0000-0000DA6C0000}"/>
    <cellStyle name="Note 32 2 13 2 3" xfId="27869" xr:uid="{00000000-0005-0000-0000-0000DB6C0000}"/>
    <cellStyle name="Note 32 2 13 3" xfId="27870" xr:uid="{00000000-0005-0000-0000-0000DC6C0000}"/>
    <cellStyle name="Note 32 2 13 4" xfId="27871" xr:uid="{00000000-0005-0000-0000-0000DD6C0000}"/>
    <cellStyle name="Note 32 2 14" xfId="27872" xr:uid="{00000000-0005-0000-0000-0000DE6C0000}"/>
    <cellStyle name="Note 32 2 14 2" xfId="27873" xr:uid="{00000000-0005-0000-0000-0000DF6C0000}"/>
    <cellStyle name="Note 32 2 14 2 2" xfId="27874" xr:uid="{00000000-0005-0000-0000-0000E06C0000}"/>
    <cellStyle name="Note 32 2 14 2 3" xfId="27875" xr:uid="{00000000-0005-0000-0000-0000E16C0000}"/>
    <cellStyle name="Note 32 2 14 3" xfId="27876" xr:uid="{00000000-0005-0000-0000-0000E26C0000}"/>
    <cellStyle name="Note 32 2 14 4" xfId="27877" xr:uid="{00000000-0005-0000-0000-0000E36C0000}"/>
    <cellStyle name="Note 32 2 15" xfId="27878" xr:uid="{00000000-0005-0000-0000-0000E46C0000}"/>
    <cellStyle name="Note 32 2 15 2" xfId="27879" xr:uid="{00000000-0005-0000-0000-0000E56C0000}"/>
    <cellStyle name="Note 32 2 15 2 2" xfId="27880" xr:uid="{00000000-0005-0000-0000-0000E66C0000}"/>
    <cellStyle name="Note 32 2 15 2 3" xfId="27881" xr:uid="{00000000-0005-0000-0000-0000E76C0000}"/>
    <cellStyle name="Note 32 2 15 3" xfId="27882" xr:uid="{00000000-0005-0000-0000-0000E86C0000}"/>
    <cellStyle name="Note 32 2 15 4" xfId="27883" xr:uid="{00000000-0005-0000-0000-0000E96C0000}"/>
    <cellStyle name="Note 32 2 16" xfId="27884" xr:uid="{00000000-0005-0000-0000-0000EA6C0000}"/>
    <cellStyle name="Note 32 2 16 2" xfId="27885" xr:uid="{00000000-0005-0000-0000-0000EB6C0000}"/>
    <cellStyle name="Note 32 2 16 2 2" xfId="27886" xr:uid="{00000000-0005-0000-0000-0000EC6C0000}"/>
    <cellStyle name="Note 32 2 16 2 3" xfId="27887" xr:uid="{00000000-0005-0000-0000-0000ED6C0000}"/>
    <cellStyle name="Note 32 2 16 3" xfId="27888" xr:uid="{00000000-0005-0000-0000-0000EE6C0000}"/>
    <cellStyle name="Note 32 2 16 4" xfId="27889" xr:uid="{00000000-0005-0000-0000-0000EF6C0000}"/>
    <cellStyle name="Note 32 2 17" xfId="27890" xr:uid="{00000000-0005-0000-0000-0000F06C0000}"/>
    <cellStyle name="Note 32 2 17 2" xfId="27891" xr:uid="{00000000-0005-0000-0000-0000F16C0000}"/>
    <cellStyle name="Note 32 2 17 2 2" xfId="27892" xr:uid="{00000000-0005-0000-0000-0000F26C0000}"/>
    <cellStyle name="Note 32 2 17 2 3" xfId="27893" xr:uid="{00000000-0005-0000-0000-0000F36C0000}"/>
    <cellStyle name="Note 32 2 17 3" xfId="27894" xr:uid="{00000000-0005-0000-0000-0000F46C0000}"/>
    <cellStyle name="Note 32 2 17 4" xfId="27895" xr:uid="{00000000-0005-0000-0000-0000F56C0000}"/>
    <cellStyle name="Note 32 2 18" xfId="27896" xr:uid="{00000000-0005-0000-0000-0000F66C0000}"/>
    <cellStyle name="Note 32 2 18 2" xfId="27897" xr:uid="{00000000-0005-0000-0000-0000F76C0000}"/>
    <cellStyle name="Note 32 2 18 3" xfId="27898" xr:uid="{00000000-0005-0000-0000-0000F86C0000}"/>
    <cellStyle name="Note 32 2 18 4" xfId="27899" xr:uid="{00000000-0005-0000-0000-0000F96C0000}"/>
    <cellStyle name="Note 32 2 19" xfId="27900" xr:uid="{00000000-0005-0000-0000-0000FA6C0000}"/>
    <cellStyle name="Note 32 2 2" xfId="27901" xr:uid="{00000000-0005-0000-0000-0000FB6C0000}"/>
    <cellStyle name="Note 32 2 2 2" xfId="27902" xr:uid="{00000000-0005-0000-0000-0000FC6C0000}"/>
    <cellStyle name="Note 32 2 2 2 2" xfId="27903" xr:uid="{00000000-0005-0000-0000-0000FD6C0000}"/>
    <cellStyle name="Note 32 2 2 2 3" xfId="27904" xr:uid="{00000000-0005-0000-0000-0000FE6C0000}"/>
    <cellStyle name="Note 32 2 2 3" xfId="27905" xr:uid="{00000000-0005-0000-0000-0000FF6C0000}"/>
    <cellStyle name="Note 32 2 2 4" xfId="27906" xr:uid="{00000000-0005-0000-0000-0000006D0000}"/>
    <cellStyle name="Note 32 2 20" xfId="27907" xr:uid="{00000000-0005-0000-0000-0000016D0000}"/>
    <cellStyle name="Note 32 2 21" xfId="27908" xr:uid="{00000000-0005-0000-0000-0000026D0000}"/>
    <cellStyle name="Note 32 2 3" xfId="27909" xr:uid="{00000000-0005-0000-0000-0000036D0000}"/>
    <cellStyle name="Note 32 2 3 2" xfId="27910" xr:uid="{00000000-0005-0000-0000-0000046D0000}"/>
    <cellStyle name="Note 32 2 3 2 2" xfId="27911" xr:uid="{00000000-0005-0000-0000-0000056D0000}"/>
    <cellStyle name="Note 32 2 3 2 3" xfId="27912" xr:uid="{00000000-0005-0000-0000-0000066D0000}"/>
    <cellStyle name="Note 32 2 3 3" xfId="27913" xr:uid="{00000000-0005-0000-0000-0000076D0000}"/>
    <cellStyle name="Note 32 2 3 4" xfId="27914" xr:uid="{00000000-0005-0000-0000-0000086D0000}"/>
    <cellStyle name="Note 32 2 4" xfId="27915" xr:uid="{00000000-0005-0000-0000-0000096D0000}"/>
    <cellStyle name="Note 32 2 4 2" xfId="27916" xr:uid="{00000000-0005-0000-0000-00000A6D0000}"/>
    <cellStyle name="Note 32 2 4 2 2" xfId="27917" xr:uid="{00000000-0005-0000-0000-00000B6D0000}"/>
    <cellStyle name="Note 32 2 4 2 3" xfId="27918" xr:uid="{00000000-0005-0000-0000-00000C6D0000}"/>
    <cellStyle name="Note 32 2 4 3" xfId="27919" xr:uid="{00000000-0005-0000-0000-00000D6D0000}"/>
    <cellStyle name="Note 32 2 4 4" xfId="27920" xr:uid="{00000000-0005-0000-0000-00000E6D0000}"/>
    <cellStyle name="Note 32 2 5" xfId="27921" xr:uid="{00000000-0005-0000-0000-00000F6D0000}"/>
    <cellStyle name="Note 32 2 5 2" xfId="27922" xr:uid="{00000000-0005-0000-0000-0000106D0000}"/>
    <cellStyle name="Note 32 2 5 2 2" xfId="27923" xr:uid="{00000000-0005-0000-0000-0000116D0000}"/>
    <cellStyle name="Note 32 2 5 2 3" xfId="27924" xr:uid="{00000000-0005-0000-0000-0000126D0000}"/>
    <cellStyle name="Note 32 2 5 3" xfId="27925" xr:uid="{00000000-0005-0000-0000-0000136D0000}"/>
    <cellStyle name="Note 32 2 5 4" xfId="27926" xr:uid="{00000000-0005-0000-0000-0000146D0000}"/>
    <cellStyle name="Note 32 2 6" xfId="27927" xr:uid="{00000000-0005-0000-0000-0000156D0000}"/>
    <cellStyle name="Note 32 2 6 2" xfId="27928" xr:uid="{00000000-0005-0000-0000-0000166D0000}"/>
    <cellStyle name="Note 32 2 6 2 2" xfId="27929" xr:uid="{00000000-0005-0000-0000-0000176D0000}"/>
    <cellStyle name="Note 32 2 6 2 3" xfId="27930" xr:uid="{00000000-0005-0000-0000-0000186D0000}"/>
    <cellStyle name="Note 32 2 6 3" xfId="27931" xr:uid="{00000000-0005-0000-0000-0000196D0000}"/>
    <cellStyle name="Note 32 2 6 4" xfId="27932" xr:uid="{00000000-0005-0000-0000-00001A6D0000}"/>
    <cellStyle name="Note 32 2 7" xfId="27933" xr:uid="{00000000-0005-0000-0000-00001B6D0000}"/>
    <cellStyle name="Note 32 2 7 2" xfId="27934" xr:uid="{00000000-0005-0000-0000-00001C6D0000}"/>
    <cellStyle name="Note 32 2 7 2 2" xfId="27935" xr:uid="{00000000-0005-0000-0000-00001D6D0000}"/>
    <cellStyle name="Note 32 2 7 2 3" xfId="27936" xr:uid="{00000000-0005-0000-0000-00001E6D0000}"/>
    <cellStyle name="Note 32 2 7 3" xfId="27937" xr:uid="{00000000-0005-0000-0000-00001F6D0000}"/>
    <cellStyle name="Note 32 2 7 4" xfId="27938" xr:uid="{00000000-0005-0000-0000-0000206D0000}"/>
    <cellStyle name="Note 32 2 8" xfId="27939" xr:uid="{00000000-0005-0000-0000-0000216D0000}"/>
    <cellStyle name="Note 32 2 8 2" xfId="27940" xr:uid="{00000000-0005-0000-0000-0000226D0000}"/>
    <cellStyle name="Note 32 2 8 2 2" xfId="27941" xr:uid="{00000000-0005-0000-0000-0000236D0000}"/>
    <cellStyle name="Note 32 2 8 2 3" xfId="27942" xr:uid="{00000000-0005-0000-0000-0000246D0000}"/>
    <cellStyle name="Note 32 2 8 3" xfId="27943" xr:uid="{00000000-0005-0000-0000-0000256D0000}"/>
    <cellStyle name="Note 32 2 8 4" xfId="27944" xr:uid="{00000000-0005-0000-0000-0000266D0000}"/>
    <cellStyle name="Note 32 2 9" xfId="27945" xr:uid="{00000000-0005-0000-0000-0000276D0000}"/>
    <cellStyle name="Note 32 2 9 2" xfId="27946" xr:uid="{00000000-0005-0000-0000-0000286D0000}"/>
    <cellStyle name="Note 32 2 9 2 2" xfId="27947" xr:uid="{00000000-0005-0000-0000-0000296D0000}"/>
    <cellStyle name="Note 32 2 9 2 3" xfId="27948" xr:uid="{00000000-0005-0000-0000-00002A6D0000}"/>
    <cellStyle name="Note 32 2 9 3" xfId="27949" xr:uid="{00000000-0005-0000-0000-00002B6D0000}"/>
    <cellStyle name="Note 32 2 9 4" xfId="27950" xr:uid="{00000000-0005-0000-0000-00002C6D0000}"/>
    <cellStyle name="Note 32 3" xfId="27951" xr:uid="{00000000-0005-0000-0000-00002D6D0000}"/>
    <cellStyle name="Note 32 3 2" xfId="27952" xr:uid="{00000000-0005-0000-0000-00002E6D0000}"/>
    <cellStyle name="Note 32 3 2 2" xfId="27953" xr:uid="{00000000-0005-0000-0000-00002F6D0000}"/>
    <cellStyle name="Note 32 3 2 3" xfId="27954" xr:uid="{00000000-0005-0000-0000-0000306D0000}"/>
    <cellStyle name="Note 32 3 3" xfId="27955" xr:uid="{00000000-0005-0000-0000-0000316D0000}"/>
    <cellStyle name="Note 32 3 4" xfId="27956" xr:uid="{00000000-0005-0000-0000-0000326D0000}"/>
    <cellStyle name="Note 32 4" xfId="27957" xr:uid="{00000000-0005-0000-0000-0000336D0000}"/>
    <cellStyle name="Note 32 5" xfId="27958" xr:uid="{00000000-0005-0000-0000-0000346D0000}"/>
    <cellStyle name="Note 33" xfId="27959" xr:uid="{00000000-0005-0000-0000-0000356D0000}"/>
    <cellStyle name="Note 33 2" xfId="27960" xr:uid="{00000000-0005-0000-0000-0000366D0000}"/>
    <cellStyle name="Note 33 2 10" xfId="27961" xr:uid="{00000000-0005-0000-0000-0000376D0000}"/>
    <cellStyle name="Note 33 2 10 2" xfId="27962" xr:uid="{00000000-0005-0000-0000-0000386D0000}"/>
    <cellStyle name="Note 33 2 10 2 2" xfId="27963" xr:uid="{00000000-0005-0000-0000-0000396D0000}"/>
    <cellStyle name="Note 33 2 10 2 3" xfId="27964" xr:uid="{00000000-0005-0000-0000-00003A6D0000}"/>
    <cellStyle name="Note 33 2 10 3" xfId="27965" xr:uid="{00000000-0005-0000-0000-00003B6D0000}"/>
    <cellStyle name="Note 33 2 10 4" xfId="27966" xr:uid="{00000000-0005-0000-0000-00003C6D0000}"/>
    <cellStyle name="Note 33 2 11" xfId="27967" xr:uid="{00000000-0005-0000-0000-00003D6D0000}"/>
    <cellStyle name="Note 33 2 11 2" xfId="27968" xr:uid="{00000000-0005-0000-0000-00003E6D0000}"/>
    <cellStyle name="Note 33 2 11 2 2" xfId="27969" xr:uid="{00000000-0005-0000-0000-00003F6D0000}"/>
    <cellStyle name="Note 33 2 11 2 3" xfId="27970" xr:uid="{00000000-0005-0000-0000-0000406D0000}"/>
    <cellStyle name="Note 33 2 11 3" xfId="27971" xr:uid="{00000000-0005-0000-0000-0000416D0000}"/>
    <cellStyle name="Note 33 2 11 4" xfId="27972" xr:uid="{00000000-0005-0000-0000-0000426D0000}"/>
    <cellStyle name="Note 33 2 12" xfId="27973" xr:uid="{00000000-0005-0000-0000-0000436D0000}"/>
    <cellStyle name="Note 33 2 12 2" xfId="27974" xr:uid="{00000000-0005-0000-0000-0000446D0000}"/>
    <cellStyle name="Note 33 2 12 2 2" xfId="27975" xr:uid="{00000000-0005-0000-0000-0000456D0000}"/>
    <cellStyle name="Note 33 2 12 2 3" xfId="27976" xr:uid="{00000000-0005-0000-0000-0000466D0000}"/>
    <cellStyle name="Note 33 2 12 3" xfId="27977" xr:uid="{00000000-0005-0000-0000-0000476D0000}"/>
    <cellStyle name="Note 33 2 12 4" xfId="27978" xr:uid="{00000000-0005-0000-0000-0000486D0000}"/>
    <cellStyle name="Note 33 2 13" xfId="27979" xr:uid="{00000000-0005-0000-0000-0000496D0000}"/>
    <cellStyle name="Note 33 2 13 2" xfId="27980" xr:uid="{00000000-0005-0000-0000-00004A6D0000}"/>
    <cellStyle name="Note 33 2 13 2 2" xfId="27981" xr:uid="{00000000-0005-0000-0000-00004B6D0000}"/>
    <cellStyle name="Note 33 2 13 2 3" xfId="27982" xr:uid="{00000000-0005-0000-0000-00004C6D0000}"/>
    <cellStyle name="Note 33 2 13 3" xfId="27983" xr:uid="{00000000-0005-0000-0000-00004D6D0000}"/>
    <cellStyle name="Note 33 2 13 4" xfId="27984" xr:uid="{00000000-0005-0000-0000-00004E6D0000}"/>
    <cellStyle name="Note 33 2 14" xfId="27985" xr:uid="{00000000-0005-0000-0000-00004F6D0000}"/>
    <cellStyle name="Note 33 2 14 2" xfId="27986" xr:uid="{00000000-0005-0000-0000-0000506D0000}"/>
    <cellStyle name="Note 33 2 14 2 2" xfId="27987" xr:uid="{00000000-0005-0000-0000-0000516D0000}"/>
    <cellStyle name="Note 33 2 14 2 3" xfId="27988" xr:uid="{00000000-0005-0000-0000-0000526D0000}"/>
    <cellStyle name="Note 33 2 14 3" xfId="27989" xr:uid="{00000000-0005-0000-0000-0000536D0000}"/>
    <cellStyle name="Note 33 2 14 4" xfId="27990" xr:uid="{00000000-0005-0000-0000-0000546D0000}"/>
    <cellStyle name="Note 33 2 15" xfId="27991" xr:uid="{00000000-0005-0000-0000-0000556D0000}"/>
    <cellStyle name="Note 33 2 15 2" xfId="27992" xr:uid="{00000000-0005-0000-0000-0000566D0000}"/>
    <cellStyle name="Note 33 2 15 2 2" xfId="27993" xr:uid="{00000000-0005-0000-0000-0000576D0000}"/>
    <cellStyle name="Note 33 2 15 2 3" xfId="27994" xr:uid="{00000000-0005-0000-0000-0000586D0000}"/>
    <cellStyle name="Note 33 2 15 3" xfId="27995" xr:uid="{00000000-0005-0000-0000-0000596D0000}"/>
    <cellStyle name="Note 33 2 15 4" xfId="27996" xr:uid="{00000000-0005-0000-0000-00005A6D0000}"/>
    <cellStyle name="Note 33 2 16" xfId="27997" xr:uid="{00000000-0005-0000-0000-00005B6D0000}"/>
    <cellStyle name="Note 33 2 16 2" xfId="27998" xr:uid="{00000000-0005-0000-0000-00005C6D0000}"/>
    <cellStyle name="Note 33 2 16 2 2" xfId="27999" xr:uid="{00000000-0005-0000-0000-00005D6D0000}"/>
    <cellStyle name="Note 33 2 16 2 3" xfId="28000" xr:uid="{00000000-0005-0000-0000-00005E6D0000}"/>
    <cellStyle name="Note 33 2 16 3" xfId="28001" xr:uid="{00000000-0005-0000-0000-00005F6D0000}"/>
    <cellStyle name="Note 33 2 16 4" xfId="28002" xr:uid="{00000000-0005-0000-0000-0000606D0000}"/>
    <cellStyle name="Note 33 2 17" xfId="28003" xr:uid="{00000000-0005-0000-0000-0000616D0000}"/>
    <cellStyle name="Note 33 2 17 2" xfId="28004" xr:uid="{00000000-0005-0000-0000-0000626D0000}"/>
    <cellStyle name="Note 33 2 17 2 2" xfId="28005" xr:uid="{00000000-0005-0000-0000-0000636D0000}"/>
    <cellStyle name="Note 33 2 17 2 3" xfId="28006" xr:uid="{00000000-0005-0000-0000-0000646D0000}"/>
    <cellStyle name="Note 33 2 17 3" xfId="28007" xr:uid="{00000000-0005-0000-0000-0000656D0000}"/>
    <cellStyle name="Note 33 2 17 4" xfId="28008" xr:uid="{00000000-0005-0000-0000-0000666D0000}"/>
    <cellStyle name="Note 33 2 18" xfId="28009" xr:uid="{00000000-0005-0000-0000-0000676D0000}"/>
    <cellStyle name="Note 33 2 18 2" xfId="28010" xr:uid="{00000000-0005-0000-0000-0000686D0000}"/>
    <cellStyle name="Note 33 2 18 3" xfId="28011" xr:uid="{00000000-0005-0000-0000-0000696D0000}"/>
    <cellStyle name="Note 33 2 18 4" xfId="28012" xr:uid="{00000000-0005-0000-0000-00006A6D0000}"/>
    <cellStyle name="Note 33 2 19" xfId="28013" xr:uid="{00000000-0005-0000-0000-00006B6D0000}"/>
    <cellStyle name="Note 33 2 2" xfId="28014" xr:uid="{00000000-0005-0000-0000-00006C6D0000}"/>
    <cellStyle name="Note 33 2 2 2" xfId="28015" xr:uid="{00000000-0005-0000-0000-00006D6D0000}"/>
    <cellStyle name="Note 33 2 2 2 2" xfId="28016" xr:uid="{00000000-0005-0000-0000-00006E6D0000}"/>
    <cellStyle name="Note 33 2 2 2 3" xfId="28017" xr:uid="{00000000-0005-0000-0000-00006F6D0000}"/>
    <cellStyle name="Note 33 2 2 3" xfId="28018" xr:uid="{00000000-0005-0000-0000-0000706D0000}"/>
    <cellStyle name="Note 33 2 2 4" xfId="28019" xr:uid="{00000000-0005-0000-0000-0000716D0000}"/>
    <cellStyle name="Note 33 2 20" xfId="28020" xr:uid="{00000000-0005-0000-0000-0000726D0000}"/>
    <cellStyle name="Note 33 2 21" xfId="28021" xr:uid="{00000000-0005-0000-0000-0000736D0000}"/>
    <cellStyle name="Note 33 2 3" xfId="28022" xr:uid="{00000000-0005-0000-0000-0000746D0000}"/>
    <cellStyle name="Note 33 2 3 2" xfId="28023" xr:uid="{00000000-0005-0000-0000-0000756D0000}"/>
    <cellStyle name="Note 33 2 3 2 2" xfId="28024" xr:uid="{00000000-0005-0000-0000-0000766D0000}"/>
    <cellStyle name="Note 33 2 3 2 3" xfId="28025" xr:uid="{00000000-0005-0000-0000-0000776D0000}"/>
    <cellStyle name="Note 33 2 3 3" xfId="28026" xr:uid="{00000000-0005-0000-0000-0000786D0000}"/>
    <cellStyle name="Note 33 2 3 4" xfId="28027" xr:uid="{00000000-0005-0000-0000-0000796D0000}"/>
    <cellStyle name="Note 33 2 4" xfId="28028" xr:uid="{00000000-0005-0000-0000-00007A6D0000}"/>
    <cellStyle name="Note 33 2 4 2" xfId="28029" xr:uid="{00000000-0005-0000-0000-00007B6D0000}"/>
    <cellStyle name="Note 33 2 4 2 2" xfId="28030" xr:uid="{00000000-0005-0000-0000-00007C6D0000}"/>
    <cellStyle name="Note 33 2 4 2 3" xfId="28031" xr:uid="{00000000-0005-0000-0000-00007D6D0000}"/>
    <cellStyle name="Note 33 2 4 3" xfId="28032" xr:uid="{00000000-0005-0000-0000-00007E6D0000}"/>
    <cellStyle name="Note 33 2 4 4" xfId="28033" xr:uid="{00000000-0005-0000-0000-00007F6D0000}"/>
    <cellStyle name="Note 33 2 5" xfId="28034" xr:uid="{00000000-0005-0000-0000-0000806D0000}"/>
    <cellStyle name="Note 33 2 5 2" xfId="28035" xr:uid="{00000000-0005-0000-0000-0000816D0000}"/>
    <cellStyle name="Note 33 2 5 2 2" xfId="28036" xr:uid="{00000000-0005-0000-0000-0000826D0000}"/>
    <cellStyle name="Note 33 2 5 2 3" xfId="28037" xr:uid="{00000000-0005-0000-0000-0000836D0000}"/>
    <cellStyle name="Note 33 2 5 3" xfId="28038" xr:uid="{00000000-0005-0000-0000-0000846D0000}"/>
    <cellStyle name="Note 33 2 5 4" xfId="28039" xr:uid="{00000000-0005-0000-0000-0000856D0000}"/>
    <cellStyle name="Note 33 2 6" xfId="28040" xr:uid="{00000000-0005-0000-0000-0000866D0000}"/>
    <cellStyle name="Note 33 2 6 2" xfId="28041" xr:uid="{00000000-0005-0000-0000-0000876D0000}"/>
    <cellStyle name="Note 33 2 6 2 2" xfId="28042" xr:uid="{00000000-0005-0000-0000-0000886D0000}"/>
    <cellStyle name="Note 33 2 6 2 3" xfId="28043" xr:uid="{00000000-0005-0000-0000-0000896D0000}"/>
    <cellStyle name="Note 33 2 6 3" xfId="28044" xr:uid="{00000000-0005-0000-0000-00008A6D0000}"/>
    <cellStyle name="Note 33 2 6 4" xfId="28045" xr:uid="{00000000-0005-0000-0000-00008B6D0000}"/>
    <cellStyle name="Note 33 2 7" xfId="28046" xr:uid="{00000000-0005-0000-0000-00008C6D0000}"/>
    <cellStyle name="Note 33 2 7 2" xfId="28047" xr:uid="{00000000-0005-0000-0000-00008D6D0000}"/>
    <cellStyle name="Note 33 2 7 2 2" xfId="28048" xr:uid="{00000000-0005-0000-0000-00008E6D0000}"/>
    <cellStyle name="Note 33 2 7 2 3" xfId="28049" xr:uid="{00000000-0005-0000-0000-00008F6D0000}"/>
    <cellStyle name="Note 33 2 7 3" xfId="28050" xr:uid="{00000000-0005-0000-0000-0000906D0000}"/>
    <cellStyle name="Note 33 2 7 4" xfId="28051" xr:uid="{00000000-0005-0000-0000-0000916D0000}"/>
    <cellStyle name="Note 33 2 8" xfId="28052" xr:uid="{00000000-0005-0000-0000-0000926D0000}"/>
    <cellStyle name="Note 33 2 8 2" xfId="28053" xr:uid="{00000000-0005-0000-0000-0000936D0000}"/>
    <cellStyle name="Note 33 2 8 2 2" xfId="28054" xr:uid="{00000000-0005-0000-0000-0000946D0000}"/>
    <cellStyle name="Note 33 2 8 2 3" xfId="28055" xr:uid="{00000000-0005-0000-0000-0000956D0000}"/>
    <cellStyle name="Note 33 2 8 3" xfId="28056" xr:uid="{00000000-0005-0000-0000-0000966D0000}"/>
    <cellStyle name="Note 33 2 8 4" xfId="28057" xr:uid="{00000000-0005-0000-0000-0000976D0000}"/>
    <cellStyle name="Note 33 2 9" xfId="28058" xr:uid="{00000000-0005-0000-0000-0000986D0000}"/>
    <cellStyle name="Note 33 2 9 2" xfId="28059" xr:uid="{00000000-0005-0000-0000-0000996D0000}"/>
    <cellStyle name="Note 33 2 9 2 2" xfId="28060" xr:uid="{00000000-0005-0000-0000-00009A6D0000}"/>
    <cellStyle name="Note 33 2 9 2 3" xfId="28061" xr:uid="{00000000-0005-0000-0000-00009B6D0000}"/>
    <cellStyle name="Note 33 2 9 3" xfId="28062" xr:uid="{00000000-0005-0000-0000-00009C6D0000}"/>
    <cellStyle name="Note 33 2 9 4" xfId="28063" xr:uid="{00000000-0005-0000-0000-00009D6D0000}"/>
    <cellStyle name="Note 33 3" xfId="28064" xr:uid="{00000000-0005-0000-0000-00009E6D0000}"/>
    <cellStyle name="Note 33 3 2" xfId="28065" xr:uid="{00000000-0005-0000-0000-00009F6D0000}"/>
    <cellStyle name="Note 33 3 2 2" xfId="28066" xr:uid="{00000000-0005-0000-0000-0000A06D0000}"/>
    <cellStyle name="Note 33 3 2 3" xfId="28067" xr:uid="{00000000-0005-0000-0000-0000A16D0000}"/>
    <cellStyle name="Note 33 3 3" xfId="28068" xr:uid="{00000000-0005-0000-0000-0000A26D0000}"/>
    <cellStyle name="Note 33 3 4" xfId="28069" xr:uid="{00000000-0005-0000-0000-0000A36D0000}"/>
    <cellStyle name="Note 33 4" xfId="28070" xr:uid="{00000000-0005-0000-0000-0000A46D0000}"/>
    <cellStyle name="Note 33 5" xfId="28071" xr:uid="{00000000-0005-0000-0000-0000A56D0000}"/>
    <cellStyle name="Note 34" xfId="28072" xr:uid="{00000000-0005-0000-0000-0000A66D0000}"/>
    <cellStyle name="Note 34 2" xfId="28073" xr:uid="{00000000-0005-0000-0000-0000A76D0000}"/>
    <cellStyle name="Note 34 2 10" xfId="28074" xr:uid="{00000000-0005-0000-0000-0000A86D0000}"/>
    <cellStyle name="Note 34 2 10 2" xfId="28075" xr:uid="{00000000-0005-0000-0000-0000A96D0000}"/>
    <cellStyle name="Note 34 2 10 2 2" xfId="28076" xr:uid="{00000000-0005-0000-0000-0000AA6D0000}"/>
    <cellStyle name="Note 34 2 10 2 3" xfId="28077" xr:uid="{00000000-0005-0000-0000-0000AB6D0000}"/>
    <cellStyle name="Note 34 2 10 3" xfId="28078" xr:uid="{00000000-0005-0000-0000-0000AC6D0000}"/>
    <cellStyle name="Note 34 2 10 4" xfId="28079" xr:uid="{00000000-0005-0000-0000-0000AD6D0000}"/>
    <cellStyle name="Note 34 2 11" xfId="28080" xr:uid="{00000000-0005-0000-0000-0000AE6D0000}"/>
    <cellStyle name="Note 34 2 11 2" xfId="28081" xr:uid="{00000000-0005-0000-0000-0000AF6D0000}"/>
    <cellStyle name="Note 34 2 11 2 2" xfId="28082" xr:uid="{00000000-0005-0000-0000-0000B06D0000}"/>
    <cellStyle name="Note 34 2 11 2 3" xfId="28083" xr:uid="{00000000-0005-0000-0000-0000B16D0000}"/>
    <cellStyle name="Note 34 2 11 3" xfId="28084" xr:uid="{00000000-0005-0000-0000-0000B26D0000}"/>
    <cellStyle name="Note 34 2 11 4" xfId="28085" xr:uid="{00000000-0005-0000-0000-0000B36D0000}"/>
    <cellStyle name="Note 34 2 12" xfId="28086" xr:uid="{00000000-0005-0000-0000-0000B46D0000}"/>
    <cellStyle name="Note 34 2 12 2" xfId="28087" xr:uid="{00000000-0005-0000-0000-0000B56D0000}"/>
    <cellStyle name="Note 34 2 12 2 2" xfId="28088" xr:uid="{00000000-0005-0000-0000-0000B66D0000}"/>
    <cellStyle name="Note 34 2 12 2 3" xfId="28089" xr:uid="{00000000-0005-0000-0000-0000B76D0000}"/>
    <cellStyle name="Note 34 2 12 3" xfId="28090" xr:uid="{00000000-0005-0000-0000-0000B86D0000}"/>
    <cellStyle name="Note 34 2 12 4" xfId="28091" xr:uid="{00000000-0005-0000-0000-0000B96D0000}"/>
    <cellStyle name="Note 34 2 13" xfId="28092" xr:uid="{00000000-0005-0000-0000-0000BA6D0000}"/>
    <cellStyle name="Note 34 2 13 2" xfId="28093" xr:uid="{00000000-0005-0000-0000-0000BB6D0000}"/>
    <cellStyle name="Note 34 2 13 2 2" xfId="28094" xr:uid="{00000000-0005-0000-0000-0000BC6D0000}"/>
    <cellStyle name="Note 34 2 13 2 3" xfId="28095" xr:uid="{00000000-0005-0000-0000-0000BD6D0000}"/>
    <cellStyle name="Note 34 2 13 3" xfId="28096" xr:uid="{00000000-0005-0000-0000-0000BE6D0000}"/>
    <cellStyle name="Note 34 2 13 4" xfId="28097" xr:uid="{00000000-0005-0000-0000-0000BF6D0000}"/>
    <cellStyle name="Note 34 2 14" xfId="28098" xr:uid="{00000000-0005-0000-0000-0000C06D0000}"/>
    <cellStyle name="Note 34 2 14 2" xfId="28099" xr:uid="{00000000-0005-0000-0000-0000C16D0000}"/>
    <cellStyle name="Note 34 2 14 2 2" xfId="28100" xr:uid="{00000000-0005-0000-0000-0000C26D0000}"/>
    <cellStyle name="Note 34 2 14 2 3" xfId="28101" xr:uid="{00000000-0005-0000-0000-0000C36D0000}"/>
    <cellStyle name="Note 34 2 14 3" xfId="28102" xr:uid="{00000000-0005-0000-0000-0000C46D0000}"/>
    <cellStyle name="Note 34 2 14 4" xfId="28103" xr:uid="{00000000-0005-0000-0000-0000C56D0000}"/>
    <cellStyle name="Note 34 2 15" xfId="28104" xr:uid="{00000000-0005-0000-0000-0000C66D0000}"/>
    <cellStyle name="Note 34 2 15 2" xfId="28105" xr:uid="{00000000-0005-0000-0000-0000C76D0000}"/>
    <cellStyle name="Note 34 2 15 2 2" xfId="28106" xr:uid="{00000000-0005-0000-0000-0000C86D0000}"/>
    <cellStyle name="Note 34 2 15 2 3" xfId="28107" xr:uid="{00000000-0005-0000-0000-0000C96D0000}"/>
    <cellStyle name="Note 34 2 15 3" xfId="28108" xr:uid="{00000000-0005-0000-0000-0000CA6D0000}"/>
    <cellStyle name="Note 34 2 15 4" xfId="28109" xr:uid="{00000000-0005-0000-0000-0000CB6D0000}"/>
    <cellStyle name="Note 34 2 16" xfId="28110" xr:uid="{00000000-0005-0000-0000-0000CC6D0000}"/>
    <cellStyle name="Note 34 2 16 2" xfId="28111" xr:uid="{00000000-0005-0000-0000-0000CD6D0000}"/>
    <cellStyle name="Note 34 2 16 2 2" xfId="28112" xr:uid="{00000000-0005-0000-0000-0000CE6D0000}"/>
    <cellStyle name="Note 34 2 16 2 3" xfId="28113" xr:uid="{00000000-0005-0000-0000-0000CF6D0000}"/>
    <cellStyle name="Note 34 2 16 3" xfId="28114" xr:uid="{00000000-0005-0000-0000-0000D06D0000}"/>
    <cellStyle name="Note 34 2 16 4" xfId="28115" xr:uid="{00000000-0005-0000-0000-0000D16D0000}"/>
    <cellStyle name="Note 34 2 17" xfId="28116" xr:uid="{00000000-0005-0000-0000-0000D26D0000}"/>
    <cellStyle name="Note 34 2 17 2" xfId="28117" xr:uid="{00000000-0005-0000-0000-0000D36D0000}"/>
    <cellStyle name="Note 34 2 17 2 2" xfId="28118" xr:uid="{00000000-0005-0000-0000-0000D46D0000}"/>
    <cellStyle name="Note 34 2 17 2 3" xfId="28119" xr:uid="{00000000-0005-0000-0000-0000D56D0000}"/>
    <cellStyle name="Note 34 2 17 3" xfId="28120" xr:uid="{00000000-0005-0000-0000-0000D66D0000}"/>
    <cellStyle name="Note 34 2 17 4" xfId="28121" xr:uid="{00000000-0005-0000-0000-0000D76D0000}"/>
    <cellStyle name="Note 34 2 18" xfId="28122" xr:uid="{00000000-0005-0000-0000-0000D86D0000}"/>
    <cellStyle name="Note 34 2 18 2" xfId="28123" xr:uid="{00000000-0005-0000-0000-0000D96D0000}"/>
    <cellStyle name="Note 34 2 18 3" xfId="28124" xr:uid="{00000000-0005-0000-0000-0000DA6D0000}"/>
    <cellStyle name="Note 34 2 18 4" xfId="28125" xr:uid="{00000000-0005-0000-0000-0000DB6D0000}"/>
    <cellStyle name="Note 34 2 19" xfId="28126" xr:uid="{00000000-0005-0000-0000-0000DC6D0000}"/>
    <cellStyle name="Note 34 2 2" xfId="28127" xr:uid="{00000000-0005-0000-0000-0000DD6D0000}"/>
    <cellStyle name="Note 34 2 2 2" xfId="28128" xr:uid="{00000000-0005-0000-0000-0000DE6D0000}"/>
    <cellStyle name="Note 34 2 2 2 2" xfId="28129" xr:uid="{00000000-0005-0000-0000-0000DF6D0000}"/>
    <cellStyle name="Note 34 2 2 2 3" xfId="28130" xr:uid="{00000000-0005-0000-0000-0000E06D0000}"/>
    <cellStyle name="Note 34 2 2 3" xfId="28131" xr:uid="{00000000-0005-0000-0000-0000E16D0000}"/>
    <cellStyle name="Note 34 2 2 4" xfId="28132" xr:uid="{00000000-0005-0000-0000-0000E26D0000}"/>
    <cellStyle name="Note 34 2 20" xfId="28133" xr:uid="{00000000-0005-0000-0000-0000E36D0000}"/>
    <cellStyle name="Note 34 2 21" xfId="28134" xr:uid="{00000000-0005-0000-0000-0000E46D0000}"/>
    <cellStyle name="Note 34 2 3" xfId="28135" xr:uid="{00000000-0005-0000-0000-0000E56D0000}"/>
    <cellStyle name="Note 34 2 3 2" xfId="28136" xr:uid="{00000000-0005-0000-0000-0000E66D0000}"/>
    <cellStyle name="Note 34 2 3 2 2" xfId="28137" xr:uid="{00000000-0005-0000-0000-0000E76D0000}"/>
    <cellStyle name="Note 34 2 3 2 3" xfId="28138" xr:uid="{00000000-0005-0000-0000-0000E86D0000}"/>
    <cellStyle name="Note 34 2 3 3" xfId="28139" xr:uid="{00000000-0005-0000-0000-0000E96D0000}"/>
    <cellStyle name="Note 34 2 3 4" xfId="28140" xr:uid="{00000000-0005-0000-0000-0000EA6D0000}"/>
    <cellStyle name="Note 34 2 4" xfId="28141" xr:uid="{00000000-0005-0000-0000-0000EB6D0000}"/>
    <cellStyle name="Note 34 2 4 2" xfId="28142" xr:uid="{00000000-0005-0000-0000-0000EC6D0000}"/>
    <cellStyle name="Note 34 2 4 2 2" xfId="28143" xr:uid="{00000000-0005-0000-0000-0000ED6D0000}"/>
    <cellStyle name="Note 34 2 4 2 3" xfId="28144" xr:uid="{00000000-0005-0000-0000-0000EE6D0000}"/>
    <cellStyle name="Note 34 2 4 3" xfId="28145" xr:uid="{00000000-0005-0000-0000-0000EF6D0000}"/>
    <cellStyle name="Note 34 2 4 4" xfId="28146" xr:uid="{00000000-0005-0000-0000-0000F06D0000}"/>
    <cellStyle name="Note 34 2 5" xfId="28147" xr:uid="{00000000-0005-0000-0000-0000F16D0000}"/>
    <cellStyle name="Note 34 2 5 2" xfId="28148" xr:uid="{00000000-0005-0000-0000-0000F26D0000}"/>
    <cellStyle name="Note 34 2 5 2 2" xfId="28149" xr:uid="{00000000-0005-0000-0000-0000F36D0000}"/>
    <cellStyle name="Note 34 2 5 2 3" xfId="28150" xr:uid="{00000000-0005-0000-0000-0000F46D0000}"/>
    <cellStyle name="Note 34 2 5 3" xfId="28151" xr:uid="{00000000-0005-0000-0000-0000F56D0000}"/>
    <cellStyle name="Note 34 2 5 4" xfId="28152" xr:uid="{00000000-0005-0000-0000-0000F66D0000}"/>
    <cellStyle name="Note 34 2 6" xfId="28153" xr:uid="{00000000-0005-0000-0000-0000F76D0000}"/>
    <cellStyle name="Note 34 2 6 2" xfId="28154" xr:uid="{00000000-0005-0000-0000-0000F86D0000}"/>
    <cellStyle name="Note 34 2 6 2 2" xfId="28155" xr:uid="{00000000-0005-0000-0000-0000F96D0000}"/>
    <cellStyle name="Note 34 2 6 2 3" xfId="28156" xr:uid="{00000000-0005-0000-0000-0000FA6D0000}"/>
    <cellStyle name="Note 34 2 6 3" xfId="28157" xr:uid="{00000000-0005-0000-0000-0000FB6D0000}"/>
    <cellStyle name="Note 34 2 6 4" xfId="28158" xr:uid="{00000000-0005-0000-0000-0000FC6D0000}"/>
    <cellStyle name="Note 34 2 7" xfId="28159" xr:uid="{00000000-0005-0000-0000-0000FD6D0000}"/>
    <cellStyle name="Note 34 2 7 2" xfId="28160" xr:uid="{00000000-0005-0000-0000-0000FE6D0000}"/>
    <cellStyle name="Note 34 2 7 2 2" xfId="28161" xr:uid="{00000000-0005-0000-0000-0000FF6D0000}"/>
    <cellStyle name="Note 34 2 7 2 3" xfId="28162" xr:uid="{00000000-0005-0000-0000-0000006E0000}"/>
    <cellStyle name="Note 34 2 7 3" xfId="28163" xr:uid="{00000000-0005-0000-0000-0000016E0000}"/>
    <cellStyle name="Note 34 2 7 4" xfId="28164" xr:uid="{00000000-0005-0000-0000-0000026E0000}"/>
    <cellStyle name="Note 34 2 8" xfId="28165" xr:uid="{00000000-0005-0000-0000-0000036E0000}"/>
    <cellStyle name="Note 34 2 8 2" xfId="28166" xr:uid="{00000000-0005-0000-0000-0000046E0000}"/>
    <cellStyle name="Note 34 2 8 2 2" xfId="28167" xr:uid="{00000000-0005-0000-0000-0000056E0000}"/>
    <cellStyle name="Note 34 2 8 2 3" xfId="28168" xr:uid="{00000000-0005-0000-0000-0000066E0000}"/>
    <cellStyle name="Note 34 2 8 3" xfId="28169" xr:uid="{00000000-0005-0000-0000-0000076E0000}"/>
    <cellStyle name="Note 34 2 8 4" xfId="28170" xr:uid="{00000000-0005-0000-0000-0000086E0000}"/>
    <cellStyle name="Note 34 2 9" xfId="28171" xr:uid="{00000000-0005-0000-0000-0000096E0000}"/>
    <cellStyle name="Note 34 2 9 2" xfId="28172" xr:uid="{00000000-0005-0000-0000-00000A6E0000}"/>
    <cellStyle name="Note 34 2 9 2 2" xfId="28173" xr:uid="{00000000-0005-0000-0000-00000B6E0000}"/>
    <cellStyle name="Note 34 2 9 2 3" xfId="28174" xr:uid="{00000000-0005-0000-0000-00000C6E0000}"/>
    <cellStyle name="Note 34 2 9 3" xfId="28175" xr:uid="{00000000-0005-0000-0000-00000D6E0000}"/>
    <cellStyle name="Note 34 2 9 4" xfId="28176" xr:uid="{00000000-0005-0000-0000-00000E6E0000}"/>
    <cellStyle name="Note 34 3" xfId="28177" xr:uid="{00000000-0005-0000-0000-00000F6E0000}"/>
    <cellStyle name="Note 34 3 2" xfId="28178" xr:uid="{00000000-0005-0000-0000-0000106E0000}"/>
    <cellStyle name="Note 34 3 2 2" xfId="28179" xr:uid="{00000000-0005-0000-0000-0000116E0000}"/>
    <cellStyle name="Note 34 3 2 3" xfId="28180" xr:uid="{00000000-0005-0000-0000-0000126E0000}"/>
    <cellStyle name="Note 34 3 3" xfId="28181" xr:uid="{00000000-0005-0000-0000-0000136E0000}"/>
    <cellStyle name="Note 34 3 4" xfId="28182" xr:uid="{00000000-0005-0000-0000-0000146E0000}"/>
    <cellStyle name="Note 34 4" xfId="28183" xr:uid="{00000000-0005-0000-0000-0000156E0000}"/>
    <cellStyle name="Note 34 5" xfId="28184" xr:uid="{00000000-0005-0000-0000-0000166E0000}"/>
    <cellStyle name="Note 35" xfId="28185" xr:uid="{00000000-0005-0000-0000-0000176E0000}"/>
    <cellStyle name="Note 35 2" xfId="28186" xr:uid="{00000000-0005-0000-0000-0000186E0000}"/>
    <cellStyle name="Note 35 2 10" xfId="28187" xr:uid="{00000000-0005-0000-0000-0000196E0000}"/>
    <cellStyle name="Note 35 2 10 2" xfId="28188" xr:uid="{00000000-0005-0000-0000-00001A6E0000}"/>
    <cellStyle name="Note 35 2 10 2 2" xfId="28189" xr:uid="{00000000-0005-0000-0000-00001B6E0000}"/>
    <cellStyle name="Note 35 2 10 2 3" xfId="28190" xr:uid="{00000000-0005-0000-0000-00001C6E0000}"/>
    <cellStyle name="Note 35 2 10 3" xfId="28191" xr:uid="{00000000-0005-0000-0000-00001D6E0000}"/>
    <cellStyle name="Note 35 2 10 4" xfId="28192" xr:uid="{00000000-0005-0000-0000-00001E6E0000}"/>
    <cellStyle name="Note 35 2 11" xfId="28193" xr:uid="{00000000-0005-0000-0000-00001F6E0000}"/>
    <cellStyle name="Note 35 2 11 2" xfId="28194" xr:uid="{00000000-0005-0000-0000-0000206E0000}"/>
    <cellStyle name="Note 35 2 11 2 2" xfId="28195" xr:uid="{00000000-0005-0000-0000-0000216E0000}"/>
    <cellStyle name="Note 35 2 11 2 3" xfId="28196" xr:uid="{00000000-0005-0000-0000-0000226E0000}"/>
    <cellStyle name="Note 35 2 11 3" xfId="28197" xr:uid="{00000000-0005-0000-0000-0000236E0000}"/>
    <cellStyle name="Note 35 2 11 4" xfId="28198" xr:uid="{00000000-0005-0000-0000-0000246E0000}"/>
    <cellStyle name="Note 35 2 12" xfId="28199" xr:uid="{00000000-0005-0000-0000-0000256E0000}"/>
    <cellStyle name="Note 35 2 12 2" xfId="28200" xr:uid="{00000000-0005-0000-0000-0000266E0000}"/>
    <cellStyle name="Note 35 2 12 2 2" xfId="28201" xr:uid="{00000000-0005-0000-0000-0000276E0000}"/>
    <cellStyle name="Note 35 2 12 2 3" xfId="28202" xr:uid="{00000000-0005-0000-0000-0000286E0000}"/>
    <cellStyle name="Note 35 2 12 3" xfId="28203" xr:uid="{00000000-0005-0000-0000-0000296E0000}"/>
    <cellStyle name="Note 35 2 12 4" xfId="28204" xr:uid="{00000000-0005-0000-0000-00002A6E0000}"/>
    <cellStyle name="Note 35 2 13" xfId="28205" xr:uid="{00000000-0005-0000-0000-00002B6E0000}"/>
    <cellStyle name="Note 35 2 13 2" xfId="28206" xr:uid="{00000000-0005-0000-0000-00002C6E0000}"/>
    <cellStyle name="Note 35 2 13 2 2" xfId="28207" xr:uid="{00000000-0005-0000-0000-00002D6E0000}"/>
    <cellStyle name="Note 35 2 13 2 3" xfId="28208" xr:uid="{00000000-0005-0000-0000-00002E6E0000}"/>
    <cellStyle name="Note 35 2 13 3" xfId="28209" xr:uid="{00000000-0005-0000-0000-00002F6E0000}"/>
    <cellStyle name="Note 35 2 13 4" xfId="28210" xr:uid="{00000000-0005-0000-0000-0000306E0000}"/>
    <cellStyle name="Note 35 2 14" xfId="28211" xr:uid="{00000000-0005-0000-0000-0000316E0000}"/>
    <cellStyle name="Note 35 2 14 2" xfId="28212" xr:uid="{00000000-0005-0000-0000-0000326E0000}"/>
    <cellStyle name="Note 35 2 14 2 2" xfId="28213" xr:uid="{00000000-0005-0000-0000-0000336E0000}"/>
    <cellStyle name="Note 35 2 14 2 3" xfId="28214" xr:uid="{00000000-0005-0000-0000-0000346E0000}"/>
    <cellStyle name="Note 35 2 14 3" xfId="28215" xr:uid="{00000000-0005-0000-0000-0000356E0000}"/>
    <cellStyle name="Note 35 2 14 4" xfId="28216" xr:uid="{00000000-0005-0000-0000-0000366E0000}"/>
    <cellStyle name="Note 35 2 15" xfId="28217" xr:uid="{00000000-0005-0000-0000-0000376E0000}"/>
    <cellStyle name="Note 35 2 15 2" xfId="28218" xr:uid="{00000000-0005-0000-0000-0000386E0000}"/>
    <cellStyle name="Note 35 2 15 2 2" xfId="28219" xr:uid="{00000000-0005-0000-0000-0000396E0000}"/>
    <cellStyle name="Note 35 2 15 2 3" xfId="28220" xr:uid="{00000000-0005-0000-0000-00003A6E0000}"/>
    <cellStyle name="Note 35 2 15 3" xfId="28221" xr:uid="{00000000-0005-0000-0000-00003B6E0000}"/>
    <cellStyle name="Note 35 2 15 4" xfId="28222" xr:uid="{00000000-0005-0000-0000-00003C6E0000}"/>
    <cellStyle name="Note 35 2 16" xfId="28223" xr:uid="{00000000-0005-0000-0000-00003D6E0000}"/>
    <cellStyle name="Note 35 2 16 2" xfId="28224" xr:uid="{00000000-0005-0000-0000-00003E6E0000}"/>
    <cellStyle name="Note 35 2 16 2 2" xfId="28225" xr:uid="{00000000-0005-0000-0000-00003F6E0000}"/>
    <cellStyle name="Note 35 2 16 2 3" xfId="28226" xr:uid="{00000000-0005-0000-0000-0000406E0000}"/>
    <cellStyle name="Note 35 2 16 3" xfId="28227" xr:uid="{00000000-0005-0000-0000-0000416E0000}"/>
    <cellStyle name="Note 35 2 16 4" xfId="28228" xr:uid="{00000000-0005-0000-0000-0000426E0000}"/>
    <cellStyle name="Note 35 2 17" xfId="28229" xr:uid="{00000000-0005-0000-0000-0000436E0000}"/>
    <cellStyle name="Note 35 2 17 2" xfId="28230" xr:uid="{00000000-0005-0000-0000-0000446E0000}"/>
    <cellStyle name="Note 35 2 17 2 2" xfId="28231" xr:uid="{00000000-0005-0000-0000-0000456E0000}"/>
    <cellStyle name="Note 35 2 17 2 3" xfId="28232" xr:uid="{00000000-0005-0000-0000-0000466E0000}"/>
    <cellStyle name="Note 35 2 17 3" xfId="28233" xr:uid="{00000000-0005-0000-0000-0000476E0000}"/>
    <cellStyle name="Note 35 2 17 4" xfId="28234" xr:uid="{00000000-0005-0000-0000-0000486E0000}"/>
    <cellStyle name="Note 35 2 18" xfId="28235" xr:uid="{00000000-0005-0000-0000-0000496E0000}"/>
    <cellStyle name="Note 35 2 18 2" xfId="28236" xr:uid="{00000000-0005-0000-0000-00004A6E0000}"/>
    <cellStyle name="Note 35 2 18 3" xfId="28237" xr:uid="{00000000-0005-0000-0000-00004B6E0000}"/>
    <cellStyle name="Note 35 2 18 4" xfId="28238" xr:uid="{00000000-0005-0000-0000-00004C6E0000}"/>
    <cellStyle name="Note 35 2 19" xfId="28239" xr:uid="{00000000-0005-0000-0000-00004D6E0000}"/>
    <cellStyle name="Note 35 2 2" xfId="28240" xr:uid="{00000000-0005-0000-0000-00004E6E0000}"/>
    <cellStyle name="Note 35 2 2 2" xfId="28241" xr:uid="{00000000-0005-0000-0000-00004F6E0000}"/>
    <cellStyle name="Note 35 2 2 2 2" xfId="28242" xr:uid="{00000000-0005-0000-0000-0000506E0000}"/>
    <cellStyle name="Note 35 2 2 2 3" xfId="28243" xr:uid="{00000000-0005-0000-0000-0000516E0000}"/>
    <cellStyle name="Note 35 2 2 3" xfId="28244" xr:uid="{00000000-0005-0000-0000-0000526E0000}"/>
    <cellStyle name="Note 35 2 2 4" xfId="28245" xr:uid="{00000000-0005-0000-0000-0000536E0000}"/>
    <cellStyle name="Note 35 2 20" xfId="28246" xr:uid="{00000000-0005-0000-0000-0000546E0000}"/>
    <cellStyle name="Note 35 2 21" xfId="28247" xr:uid="{00000000-0005-0000-0000-0000556E0000}"/>
    <cellStyle name="Note 35 2 3" xfId="28248" xr:uid="{00000000-0005-0000-0000-0000566E0000}"/>
    <cellStyle name="Note 35 2 3 2" xfId="28249" xr:uid="{00000000-0005-0000-0000-0000576E0000}"/>
    <cellStyle name="Note 35 2 3 2 2" xfId="28250" xr:uid="{00000000-0005-0000-0000-0000586E0000}"/>
    <cellStyle name="Note 35 2 3 2 3" xfId="28251" xr:uid="{00000000-0005-0000-0000-0000596E0000}"/>
    <cellStyle name="Note 35 2 3 3" xfId="28252" xr:uid="{00000000-0005-0000-0000-00005A6E0000}"/>
    <cellStyle name="Note 35 2 3 4" xfId="28253" xr:uid="{00000000-0005-0000-0000-00005B6E0000}"/>
    <cellStyle name="Note 35 2 4" xfId="28254" xr:uid="{00000000-0005-0000-0000-00005C6E0000}"/>
    <cellStyle name="Note 35 2 4 2" xfId="28255" xr:uid="{00000000-0005-0000-0000-00005D6E0000}"/>
    <cellStyle name="Note 35 2 4 2 2" xfId="28256" xr:uid="{00000000-0005-0000-0000-00005E6E0000}"/>
    <cellStyle name="Note 35 2 4 2 3" xfId="28257" xr:uid="{00000000-0005-0000-0000-00005F6E0000}"/>
    <cellStyle name="Note 35 2 4 3" xfId="28258" xr:uid="{00000000-0005-0000-0000-0000606E0000}"/>
    <cellStyle name="Note 35 2 4 4" xfId="28259" xr:uid="{00000000-0005-0000-0000-0000616E0000}"/>
    <cellStyle name="Note 35 2 5" xfId="28260" xr:uid="{00000000-0005-0000-0000-0000626E0000}"/>
    <cellStyle name="Note 35 2 5 2" xfId="28261" xr:uid="{00000000-0005-0000-0000-0000636E0000}"/>
    <cellStyle name="Note 35 2 5 2 2" xfId="28262" xr:uid="{00000000-0005-0000-0000-0000646E0000}"/>
    <cellStyle name="Note 35 2 5 2 3" xfId="28263" xr:uid="{00000000-0005-0000-0000-0000656E0000}"/>
    <cellStyle name="Note 35 2 5 3" xfId="28264" xr:uid="{00000000-0005-0000-0000-0000666E0000}"/>
    <cellStyle name="Note 35 2 5 4" xfId="28265" xr:uid="{00000000-0005-0000-0000-0000676E0000}"/>
    <cellStyle name="Note 35 2 6" xfId="28266" xr:uid="{00000000-0005-0000-0000-0000686E0000}"/>
    <cellStyle name="Note 35 2 6 2" xfId="28267" xr:uid="{00000000-0005-0000-0000-0000696E0000}"/>
    <cellStyle name="Note 35 2 6 2 2" xfId="28268" xr:uid="{00000000-0005-0000-0000-00006A6E0000}"/>
    <cellStyle name="Note 35 2 6 2 3" xfId="28269" xr:uid="{00000000-0005-0000-0000-00006B6E0000}"/>
    <cellStyle name="Note 35 2 6 3" xfId="28270" xr:uid="{00000000-0005-0000-0000-00006C6E0000}"/>
    <cellStyle name="Note 35 2 6 4" xfId="28271" xr:uid="{00000000-0005-0000-0000-00006D6E0000}"/>
    <cellStyle name="Note 35 2 7" xfId="28272" xr:uid="{00000000-0005-0000-0000-00006E6E0000}"/>
    <cellStyle name="Note 35 2 7 2" xfId="28273" xr:uid="{00000000-0005-0000-0000-00006F6E0000}"/>
    <cellStyle name="Note 35 2 7 2 2" xfId="28274" xr:uid="{00000000-0005-0000-0000-0000706E0000}"/>
    <cellStyle name="Note 35 2 7 2 3" xfId="28275" xr:uid="{00000000-0005-0000-0000-0000716E0000}"/>
    <cellStyle name="Note 35 2 7 3" xfId="28276" xr:uid="{00000000-0005-0000-0000-0000726E0000}"/>
    <cellStyle name="Note 35 2 7 4" xfId="28277" xr:uid="{00000000-0005-0000-0000-0000736E0000}"/>
    <cellStyle name="Note 35 2 8" xfId="28278" xr:uid="{00000000-0005-0000-0000-0000746E0000}"/>
    <cellStyle name="Note 35 2 8 2" xfId="28279" xr:uid="{00000000-0005-0000-0000-0000756E0000}"/>
    <cellStyle name="Note 35 2 8 2 2" xfId="28280" xr:uid="{00000000-0005-0000-0000-0000766E0000}"/>
    <cellStyle name="Note 35 2 8 2 3" xfId="28281" xr:uid="{00000000-0005-0000-0000-0000776E0000}"/>
    <cellStyle name="Note 35 2 8 3" xfId="28282" xr:uid="{00000000-0005-0000-0000-0000786E0000}"/>
    <cellStyle name="Note 35 2 8 4" xfId="28283" xr:uid="{00000000-0005-0000-0000-0000796E0000}"/>
    <cellStyle name="Note 35 2 9" xfId="28284" xr:uid="{00000000-0005-0000-0000-00007A6E0000}"/>
    <cellStyle name="Note 35 2 9 2" xfId="28285" xr:uid="{00000000-0005-0000-0000-00007B6E0000}"/>
    <cellStyle name="Note 35 2 9 2 2" xfId="28286" xr:uid="{00000000-0005-0000-0000-00007C6E0000}"/>
    <cellStyle name="Note 35 2 9 2 3" xfId="28287" xr:uid="{00000000-0005-0000-0000-00007D6E0000}"/>
    <cellStyle name="Note 35 2 9 3" xfId="28288" xr:uid="{00000000-0005-0000-0000-00007E6E0000}"/>
    <cellStyle name="Note 35 2 9 4" xfId="28289" xr:uid="{00000000-0005-0000-0000-00007F6E0000}"/>
    <cellStyle name="Note 35 3" xfId="28290" xr:uid="{00000000-0005-0000-0000-0000806E0000}"/>
    <cellStyle name="Note 35 3 2" xfId="28291" xr:uid="{00000000-0005-0000-0000-0000816E0000}"/>
    <cellStyle name="Note 35 3 2 2" xfId="28292" xr:uid="{00000000-0005-0000-0000-0000826E0000}"/>
    <cellStyle name="Note 35 3 2 3" xfId="28293" xr:uid="{00000000-0005-0000-0000-0000836E0000}"/>
    <cellStyle name="Note 35 3 3" xfId="28294" xr:uid="{00000000-0005-0000-0000-0000846E0000}"/>
    <cellStyle name="Note 35 3 4" xfId="28295" xr:uid="{00000000-0005-0000-0000-0000856E0000}"/>
    <cellStyle name="Note 35 4" xfId="28296" xr:uid="{00000000-0005-0000-0000-0000866E0000}"/>
    <cellStyle name="Note 35 5" xfId="28297" xr:uid="{00000000-0005-0000-0000-0000876E0000}"/>
    <cellStyle name="Note 36" xfId="28298" xr:uid="{00000000-0005-0000-0000-0000886E0000}"/>
    <cellStyle name="Note 36 2" xfId="28299" xr:uid="{00000000-0005-0000-0000-0000896E0000}"/>
    <cellStyle name="Note 36 2 10" xfId="28300" xr:uid="{00000000-0005-0000-0000-00008A6E0000}"/>
    <cellStyle name="Note 36 2 10 2" xfId="28301" xr:uid="{00000000-0005-0000-0000-00008B6E0000}"/>
    <cellStyle name="Note 36 2 10 2 2" xfId="28302" xr:uid="{00000000-0005-0000-0000-00008C6E0000}"/>
    <cellStyle name="Note 36 2 10 2 3" xfId="28303" xr:uid="{00000000-0005-0000-0000-00008D6E0000}"/>
    <cellStyle name="Note 36 2 10 3" xfId="28304" xr:uid="{00000000-0005-0000-0000-00008E6E0000}"/>
    <cellStyle name="Note 36 2 10 4" xfId="28305" xr:uid="{00000000-0005-0000-0000-00008F6E0000}"/>
    <cellStyle name="Note 36 2 11" xfId="28306" xr:uid="{00000000-0005-0000-0000-0000906E0000}"/>
    <cellStyle name="Note 36 2 11 2" xfId="28307" xr:uid="{00000000-0005-0000-0000-0000916E0000}"/>
    <cellStyle name="Note 36 2 11 2 2" xfId="28308" xr:uid="{00000000-0005-0000-0000-0000926E0000}"/>
    <cellStyle name="Note 36 2 11 2 3" xfId="28309" xr:uid="{00000000-0005-0000-0000-0000936E0000}"/>
    <cellStyle name="Note 36 2 11 3" xfId="28310" xr:uid="{00000000-0005-0000-0000-0000946E0000}"/>
    <cellStyle name="Note 36 2 11 4" xfId="28311" xr:uid="{00000000-0005-0000-0000-0000956E0000}"/>
    <cellStyle name="Note 36 2 12" xfId="28312" xr:uid="{00000000-0005-0000-0000-0000966E0000}"/>
    <cellStyle name="Note 36 2 12 2" xfId="28313" xr:uid="{00000000-0005-0000-0000-0000976E0000}"/>
    <cellStyle name="Note 36 2 12 2 2" xfId="28314" xr:uid="{00000000-0005-0000-0000-0000986E0000}"/>
    <cellStyle name="Note 36 2 12 2 3" xfId="28315" xr:uid="{00000000-0005-0000-0000-0000996E0000}"/>
    <cellStyle name="Note 36 2 12 3" xfId="28316" xr:uid="{00000000-0005-0000-0000-00009A6E0000}"/>
    <cellStyle name="Note 36 2 12 4" xfId="28317" xr:uid="{00000000-0005-0000-0000-00009B6E0000}"/>
    <cellStyle name="Note 36 2 13" xfId="28318" xr:uid="{00000000-0005-0000-0000-00009C6E0000}"/>
    <cellStyle name="Note 36 2 13 2" xfId="28319" xr:uid="{00000000-0005-0000-0000-00009D6E0000}"/>
    <cellStyle name="Note 36 2 13 2 2" xfId="28320" xr:uid="{00000000-0005-0000-0000-00009E6E0000}"/>
    <cellStyle name="Note 36 2 13 2 3" xfId="28321" xr:uid="{00000000-0005-0000-0000-00009F6E0000}"/>
    <cellStyle name="Note 36 2 13 3" xfId="28322" xr:uid="{00000000-0005-0000-0000-0000A06E0000}"/>
    <cellStyle name="Note 36 2 13 4" xfId="28323" xr:uid="{00000000-0005-0000-0000-0000A16E0000}"/>
    <cellStyle name="Note 36 2 14" xfId="28324" xr:uid="{00000000-0005-0000-0000-0000A26E0000}"/>
    <cellStyle name="Note 36 2 14 2" xfId="28325" xr:uid="{00000000-0005-0000-0000-0000A36E0000}"/>
    <cellStyle name="Note 36 2 14 2 2" xfId="28326" xr:uid="{00000000-0005-0000-0000-0000A46E0000}"/>
    <cellStyle name="Note 36 2 14 2 3" xfId="28327" xr:uid="{00000000-0005-0000-0000-0000A56E0000}"/>
    <cellStyle name="Note 36 2 14 3" xfId="28328" xr:uid="{00000000-0005-0000-0000-0000A66E0000}"/>
    <cellStyle name="Note 36 2 14 4" xfId="28329" xr:uid="{00000000-0005-0000-0000-0000A76E0000}"/>
    <cellStyle name="Note 36 2 15" xfId="28330" xr:uid="{00000000-0005-0000-0000-0000A86E0000}"/>
    <cellStyle name="Note 36 2 15 2" xfId="28331" xr:uid="{00000000-0005-0000-0000-0000A96E0000}"/>
    <cellStyle name="Note 36 2 15 2 2" xfId="28332" xr:uid="{00000000-0005-0000-0000-0000AA6E0000}"/>
    <cellStyle name="Note 36 2 15 2 3" xfId="28333" xr:uid="{00000000-0005-0000-0000-0000AB6E0000}"/>
    <cellStyle name="Note 36 2 15 3" xfId="28334" xr:uid="{00000000-0005-0000-0000-0000AC6E0000}"/>
    <cellStyle name="Note 36 2 15 4" xfId="28335" xr:uid="{00000000-0005-0000-0000-0000AD6E0000}"/>
    <cellStyle name="Note 36 2 16" xfId="28336" xr:uid="{00000000-0005-0000-0000-0000AE6E0000}"/>
    <cellStyle name="Note 36 2 16 2" xfId="28337" xr:uid="{00000000-0005-0000-0000-0000AF6E0000}"/>
    <cellStyle name="Note 36 2 16 2 2" xfId="28338" xr:uid="{00000000-0005-0000-0000-0000B06E0000}"/>
    <cellStyle name="Note 36 2 16 2 3" xfId="28339" xr:uid="{00000000-0005-0000-0000-0000B16E0000}"/>
    <cellStyle name="Note 36 2 16 3" xfId="28340" xr:uid="{00000000-0005-0000-0000-0000B26E0000}"/>
    <cellStyle name="Note 36 2 16 4" xfId="28341" xr:uid="{00000000-0005-0000-0000-0000B36E0000}"/>
    <cellStyle name="Note 36 2 17" xfId="28342" xr:uid="{00000000-0005-0000-0000-0000B46E0000}"/>
    <cellStyle name="Note 36 2 17 2" xfId="28343" xr:uid="{00000000-0005-0000-0000-0000B56E0000}"/>
    <cellStyle name="Note 36 2 17 2 2" xfId="28344" xr:uid="{00000000-0005-0000-0000-0000B66E0000}"/>
    <cellStyle name="Note 36 2 17 2 3" xfId="28345" xr:uid="{00000000-0005-0000-0000-0000B76E0000}"/>
    <cellStyle name="Note 36 2 17 3" xfId="28346" xr:uid="{00000000-0005-0000-0000-0000B86E0000}"/>
    <cellStyle name="Note 36 2 17 4" xfId="28347" xr:uid="{00000000-0005-0000-0000-0000B96E0000}"/>
    <cellStyle name="Note 36 2 18" xfId="28348" xr:uid="{00000000-0005-0000-0000-0000BA6E0000}"/>
    <cellStyle name="Note 36 2 18 2" xfId="28349" xr:uid="{00000000-0005-0000-0000-0000BB6E0000}"/>
    <cellStyle name="Note 36 2 18 3" xfId="28350" xr:uid="{00000000-0005-0000-0000-0000BC6E0000}"/>
    <cellStyle name="Note 36 2 18 4" xfId="28351" xr:uid="{00000000-0005-0000-0000-0000BD6E0000}"/>
    <cellStyle name="Note 36 2 19" xfId="28352" xr:uid="{00000000-0005-0000-0000-0000BE6E0000}"/>
    <cellStyle name="Note 36 2 2" xfId="28353" xr:uid="{00000000-0005-0000-0000-0000BF6E0000}"/>
    <cellStyle name="Note 36 2 2 2" xfId="28354" xr:uid="{00000000-0005-0000-0000-0000C06E0000}"/>
    <cellStyle name="Note 36 2 2 2 2" xfId="28355" xr:uid="{00000000-0005-0000-0000-0000C16E0000}"/>
    <cellStyle name="Note 36 2 2 2 3" xfId="28356" xr:uid="{00000000-0005-0000-0000-0000C26E0000}"/>
    <cellStyle name="Note 36 2 2 3" xfId="28357" xr:uid="{00000000-0005-0000-0000-0000C36E0000}"/>
    <cellStyle name="Note 36 2 2 4" xfId="28358" xr:uid="{00000000-0005-0000-0000-0000C46E0000}"/>
    <cellStyle name="Note 36 2 20" xfId="28359" xr:uid="{00000000-0005-0000-0000-0000C56E0000}"/>
    <cellStyle name="Note 36 2 21" xfId="28360" xr:uid="{00000000-0005-0000-0000-0000C66E0000}"/>
    <cellStyle name="Note 36 2 3" xfId="28361" xr:uid="{00000000-0005-0000-0000-0000C76E0000}"/>
    <cellStyle name="Note 36 2 3 2" xfId="28362" xr:uid="{00000000-0005-0000-0000-0000C86E0000}"/>
    <cellStyle name="Note 36 2 3 2 2" xfId="28363" xr:uid="{00000000-0005-0000-0000-0000C96E0000}"/>
    <cellStyle name="Note 36 2 3 2 3" xfId="28364" xr:uid="{00000000-0005-0000-0000-0000CA6E0000}"/>
    <cellStyle name="Note 36 2 3 3" xfId="28365" xr:uid="{00000000-0005-0000-0000-0000CB6E0000}"/>
    <cellStyle name="Note 36 2 3 4" xfId="28366" xr:uid="{00000000-0005-0000-0000-0000CC6E0000}"/>
    <cellStyle name="Note 36 2 4" xfId="28367" xr:uid="{00000000-0005-0000-0000-0000CD6E0000}"/>
    <cellStyle name="Note 36 2 4 2" xfId="28368" xr:uid="{00000000-0005-0000-0000-0000CE6E0000}"/>
    <cellStyle name="Note 36 2 4 2 2" xfId="28369" xr:uid="{00000000-0005-0000-0000-0000CF6E0000}"/>
    <cellStyle name="Note 36 2 4 2 3" xfId="28370" xr:uid="{00000000-0005-0000-0000-0000D06E0000}"/>
    <cellStyle name="Note 36 2 4 3" xfId="28371" xr:uid="{00000000-0005-0000-0000-0000D16E0000}"/>
    <cellStyle name="Note 36 2 4 4" xfId="28372" xr:uid="{00000000-0005-0000-0000-0000D26E0000}"/>
    <cellStyle name="Note 36 2 5" xfId="28373" xr:uid="{00000000-0005-0000-0000-0000D36E0000}"/>
    <cellStyle name="Note 36 2 5 2" xfId="28374" xr:uid="{00000000-0005-0000-0000-0000D46E0000}"/>
    <cellStyle name="Note 36 2 5 2 2" xfId="28375" xr:uid="{00000000-0005-0000-0000-0000D56E0000}"/>
    <cellStyle name="Note 36 2 5 2 3" xfId="28376" xr:uid="{00000000-0005-0000-0000-0000D66E0000}"/>
    <cellStyle name="Note 36 2 5 3" xfId="28377" xr:uid="{00000000-0005-0000-0000-0000D76E0000}"/>
    <cellStyle name="Note 36 2 5 4" xfId="28378" xr:uid="{00000000-0005-0000-0000-0000D86E0000}"/>
    <cellStyle name="Note 36 2 6" xfId="28379" xr:uid="{00000000-0005-0000-0000-0000D96E0000}"/>
    <cellStyle name="Note 36 2 6 2" xfId="28380" xr:uid="{00000000-0005-0000-0000-0000DA6E0000}"/>
    <cellStyle name="Note 36 2 6 2 2" xfId="28381" xr:uid="{00000000-0005-0000-0000-0000DB6E0000}"/>
    <cellStyle name="Note 36 2 6 2 3" xfId="28382" xr:uid="{00000000-0005-0000-0000-0000DC6E0000}"/>
    <cellStyle name="Note 36 2 6 3" xfId="28383" xr:uid="{00000000-0005-0000-0000-0000DD6E0000}"/>
    <cellStyle name="Note 36 2 6 4" xfId="28384" xr:uid="{00000000-0005-0000-0000-0000DE6E0000}"/>
    <cellStyle name="Note 36 2 7" xfId="28385" xr:uid="{00000000-0005-0000-0000-0000DF6E0000}"/>
    <cellStyle name="Note 36 2 7 2" xfId="28386" xr:uid="{00000000-0005-0000-0000-0000E06E0000}"/>
    <cellStyle name="Note 36 2 7 2 2" xfId="28387" xr:uid="{00000000-0005-0000-0000-0000E16E0000}"/>
    <cellStyle name="Note 36 2 7 2 3" xfId="28388" xr:uid="{00000000-0005-0000-0000-0000E26E0000}"/>
    <cellStyle name="Note 36 2 7 3" xfId="28389" xr:uid="{00000000-0005-0000-0000-0000E36E0000}"/>
    <cellStyle name="Note 36 2 7 4" xfId="28390" xr:uid="{00000000-0005-0000-0000-0000E46E0000}"/>
    <cellStyle name="Note 36 2 8" xfId="28391" xr:uid="{00000000-0005-0000-0000-0000E56E0000}"/>
    <cellStyle name="Note 36 2 8 2" xfId="28392" xr:uid="{00000000-0005-0000-0000-0000E66E0000}"/>
    <cellStyle name="Note 36 2 8 2 2" xfId="28393" xr:uid="{00000000-0005-0000-0000-0000E76E0000}"/>
    <cellStyle name="Note 36 2 8 2 3" xfId="28394" xr:uid="{00000000-0005-0000-0000-0000E86E0000}"/>
    <cellStyle name="Note 36 2 8 3" xfId="28395" xr:uid="{00000000-0005-0000-0000-0000E96E0000}"/>
    <cellStyle name="Note 36 2 8 4" xfId="28396" xr:uid="{00000000-0005-0000-0000-0000EA6E0000}"/>
    <cellStyle name="Note 36 2 9" xfId="28397" xr:uid="{00000000-0005-0000-0000-0000EB6E0000}"/>
    <cellStyle name="Note 36 2 9 2" xfId="28398" xr:uid="{00000000-0005-0000-0000-0000EC6E0000}"/>
    <cellStyle name="Note 36 2 9 2 2" xfId="28399" xr:uid="{00000000-0005-0000-0000-0000ED6E0000}"/>
    <cellStyle name="Note 36 2 9 2 3" xfId="28400" xr:uid="{00000000-0005-0000-0000-0000EE6E0000}"/>
    <cellStyle name="Note 36 2 9 3" xfId="28401" xr:uid="{00000000-0005-0000-0000-0000EF6E0000}"/>
    <cellStyle name="Note 36 2 9 4" xfId="28402" xr:uid="{00000000-0005-0000-0000-0000F06E0000}"/>
    <cellStyle name="Note 36 3" xfId="28403" xr:uid="{00000000-0005-0000-0000-0000F16E0000}"/>
    <cellStyle name="Note 36 3 2" xfId="28404" xr:uid="{00000000-0005-0000-0000-0000F26E0000}"/>
    <cellStyle name="Note 36 3 2 2" xfId="28405" xr:uid="{00000000-0005-0000-0000-0000F36E0000}"/>
    <cellStyle name="Note 36 3 2 3" xfId="28406" xr:uid="{00000000-0005-0000-0000-0000F46E0000}"/>
    <cellStyle name="Note 36 3 3" xfId="28407" xr:uid="{00000000-0005-0000-0000-0000F56E0000}"/>
    <cellStyle name="Note 36 3 4" xfId="28408" xr:uid="{00000000-0005-0000-0000-0000F66E0000}"/>
    <cellStyle name="Note 36 4" xfId="28409" xr:uid="{00000000-0005-0000-0000-0000F76E0000}"/>
    <cellStyle name="Note 36 5" xfId="28410" xr:uid="{00000000-0005-0000-0000-0000F86E0000}"/>
    <cellStyle name="Note 37" xfId="28411" xr:uid="{00000000-0005-0000-0000-0000F96E0000}"/>
    <cellStyle name="Note 37 2" xfId="28412" xr:uid="{00000000-0005-0000-0000-0000FA6E0000}"/>
    <cellStyle name="Note 37 2 10" xfId="28413" xr:uid="{00000000-0005-0000-0000-0000FB6E0000}"/>
    <cellStyle name="Note 37 2 10 2" xfId="28414" xr:uid="{00000000-0005-0000-0000-0000FC6E0000}"/>
    <cellStyle name="Note 37 2 10 2 2" xfId="28415" xr:uid="{00000000-0005-0000-0000-0000FD6E0000}"/>
    <cellStyle name="Note 37 2 10 2 3" xfId="28416" xr:uid="{00000000-0005-0000-0000-0000FE6E0000}"/>
    <cellStyle name="Note 37 2 10 3" xfId="28417" xr:uid="{00000000-0005-0000-0000-0000FF6E0000}"/>
    <cellStyle name="Note 37 2 10 4" xfId="28418" xr:uid="{00000000-0005-0000-0000-0000006F0000}"/>
    <cellStyle name="Note 37 2 11" xfId="28419" xr:uid="{00000000-0005-0000-0000-0000016F0000}"/>
    <cellStyle name="Note 37 2 11 2" xfId="28420" xr:uid="{00000000-0005-0000-0000-0000026F0000}"/>
    <cellStyle name="Note 37 2 11 2 2" xfId="28421" xr:uid="{00000000-0005-0000-0000-0000036F0000}"/>
    <cellStyle name="Note 37 2 11 2 3" xfId="28422" xr:uid="{00000000-0005-0000-0000-0000046F0000}"/>
    <cellStyle name="Note 37 2 11 3" xfId="28423" xr:uid="{00000000-0005-0000-0000-0000056F0000}"/>
    <cellStyle name="Note 37 2 11 4" xfId="28424" xr:uid="{00000000-0005-0000-0000-0000066F0000}"/>
    <cellStyle name="Note 37 2 12" xfId="28425" xr:uid="{00000000-0005-0000-0000-0000076F0000}"/>
    <cellStyle name="Note 37 2 12 2" xfId="28426" xr:uid="{00000000-0005-0000-0000-0000086F0000}"/>
    <cellStyle name="Note 37 2 12 2 2" xfId="28427" xr:uid="{00000000-0005-0000-0000-0000096F0000}"/>
    <cellStyle name="Note 37 2 12 2 3" xfId="28428" xr:uid="{00000000-0005-0000-0000-00000A6F0000}"/>
    <cellStyle name="Note 37 2 12 3" xfId="28429" xr:uid="{00000000-0005-0000-0000-00000B6F0000}"/>
    <cellStyle name="Note 37 2 12 4" xfId="28430" xr:uid="{00000000-0005-0000-0000-00000C6F0000}"/>
    <cellStyle name="Note 37 2 13" xfId="28431" xr:uid="{00000000-0005-0000-0000-00000D6F0000}"/>
    <cellStyle name="Note 37 2 13 2" xfId="28432" xr:uid="{00000000-0005-0000-0000-00000E6F0000}"/>
    <cellStyle name="Note 37 2 13 2 2" xfId="28433" xr:uid="{00000000-0005-0000-0000-00000F6F0000}"/>
    <cellStyle name="Note 37 2 13 2 3" xfId="28434" xr:uid="{00000000-0005-0000-0000-0000106F0000}"/>
    <cellStyle name="Note 37 2 13 3" xfId="28435" xr:uid="{00000000-0005-0000-0000-0000116F0000}"/>
    <cellStyle name="Note 37 2 13 4" xfId="28436" xr:uid="{00000000-0005-0000-0000-0000126F0000}"/>
    <cellStyle name="Note 37 2 14" xfId="28437" xr:uid="{00000000-0005-0000-0000-0000136F0000}"/>
    <cellStyle name="Note 37 2 14 2" xfId="28438" xr:uid="{00000000-0005-0000-0000-0000146F0000}"/>
    <cellStyle name="Note 37 2 14 2 2" xfId="28439" xr:uid="{00000000-0005-0000-0000-0000156F0000}"/>
    <cellStyle name="Note 37 2 14 2 3" xfId="28440" xr:uid="{00000000-0005-0000-0000-0000166F0000}"/>
    <cellStyle name="Note 37 2 14 3" xfId="28441" xr:uid="{00000000-0005-0000-0000-0000176F0000}"/>
    <cellStyle name="Note 37 2 14 4" xfId="28442" xr:uid="{00000000-0005-0000-0000-0000186F0000}"/>
    <cellStyle name="Note 37 2 15" xfId="28443" xr:uid="{00000000-0005-0000-0000-0000196F0000}"/>
    <cellStyle name="Note 37 2 15 2" xfId="28444" xr:uid="{00000000-0005-0000-0000-00001A6F0000}"/>
    <cellStyle name="Note 37 2 15 2 2" xfId="28445" xr:uid="{00000000-0005-0000-0000-00001B6F0000}"/>
    <cellStyle name="Note 37 2 15 2 3" xfId="28446" xr:uid="{00000000-0005-0000-0000-00001C6F0000}"/>
    <cellStyle name="Note 37 2 15 3" xfId="28447" xr:uid="{00000000-0005-0000-0000-00001D6F0000}"/>
    <cellStyle name="Note 37 2 15 4" xfId="28448" xr:uid="{00000000-0005-0000-0000-00001E6F0000}"/>
    <cellStyle name="Note 37 2 16" xfId="28449" xr:uid="{00000000-0005-0000-0000-00001F6F0000}"/>
    <cellStyle name="Note 37 2 16 2" xfId="28450" xr:uid="{00000000-0005-0000-0000-0000206F0000}"/>
    <cellStyle name="Note 37 2 16 2 2" xfId="28451" xr:uid="{00000000-0005-0000-0000-0000216F0000}"/>
    <cellStyle name="Note 37 2 16 2 3" xfId="28452" xr:uid="{00000000-0005-0000-0000-0000226F0000}"/>
    <cellStyle name="Note 37 2 16 3" xfId="28453" xr:uid="{00000000-0005-0000-0000-0000236F0000}"/>
    <cellStyle name="Note 37 2 16 4" xfId="28454" xr:uid="{00000000-0005-0000-0000-0000246F0000}"/>
    <cellStyle name="Note 37 2 17" xfId="28455" xr:uid="{00000000-0005-0000-0000-0000256F0000}"/>
    <cellStyle name="Note 37 2 17 2" xfId="28456" xr:uid="{00000000-0005-0000-0000-0000266F0000}"/>
    <cellStyle name="Note 37 2 17 2 2" xfId="28457" xr:uid="{00000000-0005-0000-0000-0000276F0000}"/>
    <cellStyle name="Note 37 2 17 2 3" xfId="28458" xr:uid="{00000000-0005-0000-0000-0000286F0000}"/>
    <cellStyle name="Note 37 2 17 3" xfId="28459" xr:uid="{00000000-0005-0000-0000-0000296F0000}"/>
    <cellStyle name="Note 37 2 17 4" xfId="28460" xr:uid="{00000000-0005-0000-0000-00002A6F0000}"/>
    <cellStyle name="Note 37 2 18" xfId="28461" xr:uid="{00000000-0005-0000-0000-00002B6F0000}"/>
    <cellStyle name="Note 37 2 18 2" xfId="28462" xr:uid="{00000000-0005-0000-0000-00002C6F0000}"/>
    <cellStyle name="Note 37 2 18 3" xfId="28463" xr:uid="{00000000-0005-0000-0000-00002D6F0000}"/>
    <cellStyle name="Note 37 2 18 4" xfId="28464" xr:uid="{00000000-0005-0000-0000-00002E6F0000}"/>
    <cellStyle name="Note 37 2 19" xfId="28465" xr:uid="{00000000-0005-0000-0000-00002F6F0000}"/>
    <cellStyle name="Note 37 2 2" xfId="28466" xr:uid="{00000000-0005-0000-0000-0000306F0000}"/>
    <cellStyle name="Note 37 2 2 2" xfId="28467" xr:uid="{00000000-0005-0000-0000-0000316F0000}"/>
    <cellStyle name="Note 37 2 2 2 2" xfId="28468" xr:uid="{00000000-0005-0000-0000-0000326F0000}"/>
    <cellStyle name="Note 37 2 2 2 3" xfId="28469" xr:uid="{00000000-0005-0000-0000-0000336F0000}"/>
    <cellStyle name="Note 37 2 2 3" xfId="28470" xr:uid="{00000000-0005-0000-0000-0000346F0000}"/>
    <cellStyle name="Note 37 2 2 4" xfId="28471" xr:uid="{00000000-0005-0000-0000-0000356F0000}"/>
    <cellStyle name="Note 37 2 20" xfId="28472" xr:uid="{00000000-0005-0000-0000-0000366F0000}"/>
    <cellStyle name="Note 37 2 21" xfId="28473" xr:uid="{00000000-0005-0000-0000-0000376F0000}"/>
    <cellStyle name="Note 37 2 3" xfId="28474" xr:uid="{00000000-0005-0000-0000-0000386F0000}"/>
    <cellStyle name="Note 37 2 3 2" xfId="28475" xr:uid="{00000000-0005-0000-0000-0000396F0000}"/>
    <cellStyle name="Note 37 2 3 2 2" xfId="28476" xr:uid="{00000000-0005-0000-0000-00003A6F0000}"/>
    <cellStyle name="Note 37 2 3 2 3" xfId="28477" xr:uid="{00000000-0005-0000-0000-00003B6F0000}"/>
    <cellStyle name="Note 37 2 3 3" xfId="28478" xr:uid="{00000000-0005-0000-0000-00003C6F0000}"/>
    <cellStyle name="Note 37 2 3 4" xfId="28479" xr:uid="{00000000-0005-0000-0000-00003D6F0000}"/>
    <cellStyle name="Note 37 2 4" xfId="28480" xr:uid="{00000000-0005-0000-0000-00003E6F0000}"/>
    <cellStyle name="Note 37 2 4 2" xfId="28481" xr:uid="{00000000-0005-0000-0000-00003F6F0000}"/>
    <cellStyle name="Note 37 2 4 2 2" xfId="28482" xr:uid="{00000000-0005-0000-0000-0000406F0000}"/>
    <cellStyle name="Note 37 2 4 2 3" xfId="28483" xr:uid="{00000000-0005-0000-0000-0000416F0000}"/>
    <cellStyle name="Note 37 2 4 3" xfId="28484" xr:uid="{00000000-0005-0000-0000-0000426F0000}"/>
    <cellStyle name="Note 37 2 4 4" xfId="28485" xr:uid="{00000000-0005-0000-0000-0000436F0000}"/>
    <cellStyle name="Note 37 2 5" xfId="28486" xr:uid="{00000000-0005-0000-0000-0000446F0000}"/>
    <cellStyle name="Note 37 2 5 2" xfId="28487" xr:uid="{00000000-0005-0000-0000-0000456F0000}"/>
    <cellStyle name="Note 37 2 5 2 2" xfId="28488" xr:uid="{00000000-0005-0000-0000-0000466F0000}"/>
    <cellStyle name="Note 37 2 5 2 3" xfId="28489" xr:uid="{00000000-0005-0000-0000-0000476F0000}"/>
    <cellStyle name="Note 37 2 5 3" xfId="28490" xr:uid="{00000000-0005-0000-0000-0000486F0000}"/>
    <cellStyle name="Note 37 2 5 4" xfId="28491" xr:uid="{00000000-0005-0000-0000-0000496F0000}"/>
    <cellStyle name="Note 37 2 6" xfId="28492" xr:uid="{00000000-0005-0000-0000-00004A6F0000}"/>
    <cellStyle name="Note 37 2 6 2" xfId="28493" xr:uid="{00000000-0005-0000-0000-00004B6F0000}"/>
    <cellStyle name="Note 37 2 6 2 2" xfId="28494" xr:uid="{00000000-0005-0000-0000-00004C6F0000}"/>
    <cellStyle name="Note 37 2 6 2 3" xfId="28495" xr:uid="{00000000-0005-0000-0000-00004D6F0000}"/>
    <cellStyle name="Note 37 2 6 3" xfId="28496" xr:uid="{00000000-0005-0000-0000-00004E6F0000}"/>
    <cellStyle name="Note 37 2 6 4" xfId="28497" xr:uid="{00000000-0005-0000-0000-00004F6F0000}"/>
    <cellStyle name="Note 37 2 7" xfId="28498" xr:uid="{00000000-0005-0000-0000-0000506F0000}"/>
    <cellStyle name="Note 37 2 7 2" xfId="28499" xr:uid="{00000000-0005-0000-0000-0000516F0000}"/>
    <cellStyle name="Note 37 2 7 2 2" xfId="28500" xr:uid="{00000000-0005-0000-0000-0000526F0000}"/>
    <cellStyle name="Note 37 2 7 2 3" xfId="28501" xr:uid="{00000000-0005-0000-0000-0000536F0000}"/>
    <cellStyle name="Note 37 2 7 3" xfId="28502" xr:uid="{00000000-0005-0000-0000-0000546F0000}"/>
    <cellStyle name="Note 37 2 7 4" xfId="28503" xr:uid="{00000000-0005-0000-0000-0000556F0000}"/>
    <cellStyle name="Note 37 2 8" xfId="28504" xr:uid="{00000000-0005-0000-0000-0000566F0000}"/>
    <cellStyle name="Note 37 2 8 2" xfId="28505" xr:uid="{00000000-0005-0000-0000-0000576F0000}"/>
    <cellStyle name="Note 37 2 8 2 2" xfId="28506" xr:uid="{00000000-0005-0000-0000-0000586F0000}"/>
    <cellStyle name="Note 37 2 8 2 3" xfId="28507" xr:uid="{00000000-0005-0000-0000-0000596F0000}"/>
    <cellStyle name="Note 37 2 8 3" xfId="28508" xr:uid="{00000000-0005-0000-0000-00005A6F0000}"/>
    <cellStyle name="Note 37 2 8 4" xfId="28509" xr:uid="{00000000-0005-0000-0000-00005B6F0000}"/>
    <cellStyle name="Note 37 2 9" xfId="28510" xr:uid="{00000000-0005-0000-0000-00005C6F0000}"/>
    <cellStyle name="Note 37 2 9 2" xfId="28511" xr:uid="{00000000-0005-0000-0000-00005D6F0000}"/>
    <cellStyle name="Note 37 2 9 2 2" xfId="28512" xr:uid="{00000000-0005-0000-0000-00005E6F0000}"/>
    <cellStyle name="Note 37 2 9 2 3" xfId="28513" xr:uid="{00000000-0005-0000-0000-00005F6F0000}"/>
    <cellStyle name="Note 37 2 9 3" xfId="28514" xr:uid="{00000000-0005-0000-0000-0000606F0000}"/>
    <cellStyle name="Note 37 2 9 4" xfId="28515" xr:uid="{00000000-0005-0000-0000-0000616F0000}"/>
    <cellStyle name="Note 37 3" xfId="28516" xr:uid="{00000000-0005-0000-0000-0000626F0000}"/>
    <cellStyle name="Note 37 3 2" xfId="28517" xr:uid="{00000000-0005-0000-0000-0000636F0000}"/>
    <cellStyle name="Note 37 3 2 2" xfId="28518" xr:uid="{00000000-0005-0000-0000-0000646F0000}"/>
    <cellStyle name="Note 37 3 2 3" xfId="28519" xr:uid="{00000000-0005-0000-0000-0000656F0000}"/>
    <cellStyle name="Note 37 3 3" xfId="28520" xr:uid="{00000000-0005-0000-0000-0000666F0000}"/>
    <cellStyle name="Note 37 3 4" xfId="28521" xr:uid="{00000000-0005-0000-0000-0000676F0000}"/>
    <cellStyle name="Note 37 4" xfId="28522" xr:uid="{00000000-0005-0000-0000-0000686F0000}"/>
    <cellStyle name="Note 37 5" xfId="28523" xr:uid="{00000000-0005-0000-0000-0000696F0000}"/>
    <cellStyle name="Note 38" xfId="28524" xr:uid="{00000000-0005-0000-0000-00006A6F0000}"/>
    <cellStyle name="Note 38 2" xfId="28525" xr:uid="{00000000-0005-0000-0000-00006B6F0000}"/>
    <cellStyle name="Note 38 2 10" xfId="28526" xr:uid="{00000000-0005-0000-0000-00006C6F0000}"/>
    <cellStyle name="Note 38 2 10 2" xfId="28527" xr:uid="{00000000-0005-0000-0000-00006D6F0000}"/>
    <cellStyle name="Note 38 2 10 2 2" xfId="28528" xr:uid="{00000000-0005-0000-0000-00006E6F0000}"/>
    <cellStyle name="Note 38 2 10 2 3" xfId="28529" xr:uid="{00000000-0005-0000-0000-00006F6F0000}"/>
    <cellStyle name="Note 38 2 10 3" xfId="28530" xr:uid="{00000000-0005-0000-0000-0000706F0000}"/>
    <cellStyle name="Note 38 2 10 4" xfId="28531" xr:uid="{00000000-0005-0000-0000-0000716F0000}"/>
    <cellStyle name="Note 38 2 11" xfId="28532" xr:uid="{00000000-0005-0000-0000-0000726F0000}"/>
    <cellStyle name="Note 38 2 11 2" xfId="28533" xr:uid="{00000000-0005-0000-0000-0000736F0000}"/>
    <cellStyle name="Note 38 2 11 2 2" xfId="28534" xr:uid="{00000000-0005-0000-0000-0000746F0000}"/>
    <cellStyle name="Note 38 2 11 2 3" xfId="28535" xr:uid="{00000000-0005-0000-0000-0000756F0000}"/>
    <cellStyle name="Note 38 2 11 3" xfId="28536" xr:uid="{00000000-0005-0000-0000-0000766F0000}"/>
    <cellStyle name="Note 38 2 11 4" xfId="28537" xr:uid="{00000000-0005-0000-0000-0000776F0000}"/>
    <cellStyle name="Note 38 2 12" xfId="28538" xr:uid="{00000000-0005-0000-0000-0000786F0000}"/>
    <cellStyle name="Note 38 2 12 2" xfId="28539" xr:uid="{00000000-0005-0000-0000-0000796F0000}"/>
    <cellStyle name="Note 38 2 12 2 2" xfId="28540" xr:uid="{00000000-0005-0000-0000-00007A6F0000}"/>
    <cellStyle name="Note 38 2 12 2 3" xfId="28541" xr:uid="{00000000-0005-0000-0000-00007B6F0000}"/>
    <cellStyle name="Note 38 2 12 3" xfId="28542" xr:uid="{00000000-0005-0000-0000-00007C6F0000}"/>
    <cellStyle name="Note 38 2 12 4" xfId="28543" xr:uid="{00000000-0005-0000-0000-00007D6F0000}"/>
    <cellStyle name="Note 38 2 13" xfId="28544" xr:uid="{00000000-0005-0000-0000-00007E6F0000}"/>
    <cellStyle name="Note 38 2 13 2" xfId="28545" xr:uid="{00000000-0005-0000-0000-00007F6F0000}"/>
    <cellStyle name="Note 38 2 13 2 2" xfId="28546" xr:uid="{00000000-0005-0000-0000-0000806F0000}"/>
    <cellStyle name="Note 38 2 13 2 3" xfId="28547" xr:uid="{00000000-0005-0000-0000-0000816F0000}"/>
    <cellStyle name="Note 38 2 13 3" xfId="28548" xr:uid="{00000000-0005-0000-0000-0000826F0000}"/>
    <cellStyle name="Note 38 2 13 4" xfId="28549" xr:uid="{00000000-0005-0000-0000-0000836F0000}"/>
    <cellStyle name="Note 38 2 14" xfId="28550" xr:uid="{00000000-0005-0000-0000-0000846F0000}"/>
    <cellStyle name="Note 38 2 14 2" xfId="28551" xr:uid="{00000000-0005-0000-0000-0000856F0000}"/>
    <cellStyle name="Note 38 2 14 2 2" xfId="28552" xr:uid="{00000000-0005-0000-0000-0000866F0000}"/>
    <cellStyle name="Note 38 2 14 2 3" xfId="28553" xr:uid="{00000000-0005-0000-0000-0000876F0000}"/>
    <cellStyle name="Note 38 2 14 3" xfId="28554" xr:uid="{00000000-0005-0000-0000-0000886F0000}"/>
    <cellStyle name="Note 38 2 14 4" xfId="28555" xr:uid="{00000000-0005-0000-0000-0000896F0000}"/>
    <cellStyle name="Note 38 2 15" xfId="28556" xr:uid="{00000000-0005-0000-0000-00008A6F0000}"/>
    <cellStyle name="Note 38 2 15 2" xfId="28557" xr:uid="{00000000-0005-0000-0000-00008B6F0000}"/>
    <cellStyle name="Note 38 2 15 2 2" xfId="28558" xr:uid="{00000000-0005-0000-0000-00008C6F0000}"/>
    <cellStyle name="Note 38 2 15 2 3" xfId="28559" xr:uid="{00000000-0005-0000-0000-00008D6F0000}"/>
    <cellStyle name="Note 38 2 15 3" xfId="28560" xr:uid="{00000000-0005-0000-0000-00008E6F0000}"/>
    <cellStyle name="Note 38 2 15 4" xfId="28561" xr:uid="{00000000-0005-0000-0000-00008F6F0000}"/>
    <cellStyle name="Note 38 2 16" xfId="28562" xr:uid="{00000000-0005-0000-0000-0000906F0000}"/>
    <cellStyle name="Note 38 2 16 2" xfId="28563" xr:uid="{00000000-0005-0000-0000-0000916F0000}"/>
    <cellStyle name="Note 38 2 16 2 2" xfId="28564" xr:uid="{00000000-0005-0000-0000-0000926F0000}"/>
    <cellStyle name="Note 38 2 16 2 3" xfId="28565" xr:uid="{00000000-0005-0000-0000-0000936F0000}"/>
    <cellStyle name="Note 38 2 16 3" xfId="28566" xr:uid="{00000000-0005-0000-0000-0000946F0000}"/>
    <cellStyle name="Note 38 2 16 4" xfId="28567" xr:uid="{00000000-0005-0000-0000-0000956F0000}"/>
    <cellStyle name="Note 38 2 17" xfId="28568" xr:uid="{00000000-0005-0000-0000-0000966F0000}"/>
    <cellStyle name="Note 38 2 17 2" xfId="28569" xr:uid="{00000000-0005-0000-0000-0000976F0000}"/>
    <cellStyle name="Note 38 2 17 2 2" xfId="28570" xr:uid="{00000000-0005-0000-0000-0000986F0000}"/>
    <cellStyle name="Note 38 2 17 2 3" xfId="28571" xr:uid="{00000000-0005-0000-0000-0000996F0000}"/>
    <cellStyle name="Note 38 2 17 3" xfId="28572" xr:uid="{00000000-0005-0000-0000-00009A6F0000}"/>
    <cellStyle name="Note 38 2 17 4" xfId="28573" xr:uid="{00000000-0005-0000-0000-00009B6F0000}"/>
    <cellStyle name="Note 38 2 18" xfId="28574" xr:uid="{00000000-0005-0000-0000-00009C6F0000}"/>
    <cellStyle name="Note 38 2 18 2" xfId="28575" xr:uid="{00000000-0005-0000-0000-00009D6F0000}"/>
    <cellStyle name="Note 38 2 18 3" xfId="28576" xr:uid="{00000000-0005-0000-0000-00009E6F0000}"/>
    <cellStyle name="Note 38 2 18 4" xfId="28577" xr:uid="{00000000-0005-0000-0000-00009F6F0000}"/>
    <cellStyle name="Note 38 2 19" xfId="28578" xr:uid="{00000000-0005-0000-0000-0000A06F0000}"/>
    <cellStyle name="Note 38 2 2" xfId="28579" xr:uid="{00000000-0005-0000-0000-0000A16F0000}"/>
    <cellStyle name="Note 38 2 2 2" xfId="28580" xr:uid="{00000000-0005-0000-0000-0000A26F0000}"/>
    <cellStyle name="Note 38 2 2 2 2" xfId="28581" xr:uid="{00000000-0005-0000-0000-0000A36F0000}"/>
    <cellStyle name="Note 38 2 2 2 3" xfId="28582" xr:uid="{00000000-0005-0000-0000-0000A46F0000}"/>
    <cellStyle name="Note 38 2 2 3" xfId="28583" xr:uid="{00000000-0005-0000-0000-0000A56F0000}"/>
    <cellStyle name="Note 38 2 2 4" xfId="28584" xr:uid="{00000000-0005-0000-0000-0000A66F0000}"/>
    <cellStyle name="Note 38 2 20" xfId="28585" xr:uid="{00000000-0005-0000-0000-0000A76F0000}"/>
    <cellStyle name="Note 38 2 21" xfId="28586" xr:uid="{00000000-0005-0000-0000-0000A86F0000}"/>
    <cellStyle name="Note 38 2 3" xfId="28587" xr:uid="{00000000-0005-0000-0000-0000A96F0000}"/>
    <cellStyle name="Note 38 2 3 2" xfId="28588" xr:uid="{00000000-0005-0000-0000-0000AA6F0000}"/>
    <cellStyle name="Note 38 2 3 2 2" xfId="28589" xr:uid="{00000000-0005-0000-0000-0000AB6F0000}"/>
    <cellStyle name="Note 38 2 3 2 3" xfId="28590" xr:uid="{00000000-0005-0000-0000-0000AC6F0000}"/>
    <cellStyle name="Note 38 2 3 3" xfId="28591" xr:uid="{00000000-0005-0000-0000-0000AD6F0000}"/>
    <cellStyle name="Note 38 2 3 4" xfId="28592" xr:uid="{00000000-0005-0000-0000-0000AE6F0000}"/>
    <cellStyle name="Note 38 2 4" xfId="28593" xr:uid="{00000000-0005-0000-0000-0000AF6F0000}"/>
    <cellStyle name="Note 38 2 4 2" xfId="28594" xr:uid="{00000000-0005-0000-0000-0000B06F0000}"/>
    <cellStyle name="Note 38 2 4 2 2" xfId="28595" xr:uid="{00000000-0005-0000-0000-0000B16F0000}"/>
    <cellStyle name="Note 38 2 4 2 3" xfId="28596" xr:uid="{00000000-0005-0000-0000-0000B26F0000}"/>
    <cellStyle name="Note 38 2 4 3" xfId="28597" xr:uid="{00000000-0005-0000-0000-0000B36F0000}"/>
    <cellStyle name="Note 38 2 4 4" xfId="28598" xr:uid="{00000000-0005-0000-0000-0000B46F0000}"/>
    <cellStyle name="Note 38 2 5" xfId="28599" xr:uid="{00000000-0005-0000-0000-0000B56F0000}"/>
    <cellStyle name="Note 38 2 5 2" xfId="28600" xr:uid="{00000000-0005-0000-0000-0000B66F0000}"/>
    <cellStyle name="Note 38 2 5 2 2" xfId="28601" xr:uid="{00000000-0005-0000-0000-0000B76F0000}"/>
    <cellStyle name="Note 38 2 5 2 3" xfId="28602" xr:uid="{00000000-0005-0000-0000-0000B86F0000}"/>
    <cellStyle name="Note 38 2 5 3" xfId="28603" xr:uid="{00000000-0005-0000-0000-0000B96F0000}"/>
    <cellStyle name="Note 38 2 5 4" xfId="28604" xr:uid="{00000000-0005-0000-0000-0000BA6F0000}"/>
    <cellStyle name="Note 38 2 6" xfId="28605" xr:uid="{00000000-0005-0000-0000-0000BB6F0000}"/>
    <cellStyle name="Note 38 2 6 2" xfId="28606" xr:uid="{00000000-0005-0000-0000-0000BC6F0000}"/>
    <cellStyle name="Note 38 2 6 2 2" xfId="28607" xr:uid="{00000000-0005-0000-0000-0000BD6F0000}"/>
    <cellStyle name="Note 38 2 6 2 3" xfId="28608" xr:uid="{00000000-0005-0000-0000-0000BE6F0000}"/>
    <cellStyle name="Note 38 2 6 3" xfId="28609" xr:uid="{00000000-0005-0000-0000-0000BF6F0000}"/>
    <cellStyle name="Note 38 2 6 4" xfId="28610" xr:uid="{00000000-0005-0000-0000-0000C06F0000}"/>
    <cellStyle name="Note 38 2 7" xfId="28611" xr:uid="{00000000-0005-0000-0000-0000C16F0000}"/>
    <cellStyle name="Note 38 2 7 2" xfId="28612" xr:uid="{00000000-0005-0000-0000-0000C26F0000}"/>
    <cellStyle name="Note 38 2 7 2 2" xfId="28613" xr:uid="{00000000-0005-0000-0000-0000C36F0000}"/>
    <cellStyle name="Note 38 2 7 2 3" xfId="28614" xr:uid="{00000000-0005-0000-0000-0000C46F0000}"/>
    <cellStyle name="Note 38 2 7 3" xfId="28615" xr:uid="{00000000-0005-0000-0000-0000C56F0000}"/>
    <cellStyle name="Note 38 2 7 4" xfId="28616" xr:uid="{00000000-0005-0000-0000-0000C66F0000}"/>
    <cellStyle name="Note 38 2 8" xfId="28617" xr:uid="{00000000-0005-0000-0000-0000C76F0000}"/>
    <cellStyle name="Note 38 2 8 2" xfId="28618" xr:uid="{00000000-0005-0000-0000-0000C86F0000}"/>
    <cellStyle name="Note 38 2 8 2 2" xfId="28619" xr:uid="{00000000-0005-0000-0000-0000C96F0000}"/>
    <cellStyle name="Note 38 2 8 2 3" xfId="28620" xr:uid="{00000000-0005-0000-0000-0000CA6F0000}"/>
    <cellStyle name="Note 38 2 8 3" xfId="28621" xr:uid="{00000000-0005-0000-0000-0000CB6F0000}"/>
    <cellStyle name="Note 38 2 8 4" xfId="28622" xr:uid="{00000000-0005-0000-0000-0000CC6F0000}"/>
    <cellStyle name="Note 38 2 9" xfId="28623" xr:uid="{00000000-0005-0000-0000-0000CD6F0000}"/>
    <cellStyle name="Note 38 2 9 2" xfId="28624" xr:uid="{00000000-0005-0000-0000-0000CE6F0000}"/>
    <cellStyle name="Note 38 2 9 2 2" xfId="28625" xr:uid="{00000000-0005-0000-0000-0000CF6F0000}"/>
    <cellStyle name="Note 38 2 9 2 3" xfId="28626" xr:uid="{00000000-0005-0000-0000-0000D06F0000}"/>
    <cellStyle name="Note 38 2 9 3" xfId="28627" xr:uid="{00000000-0005-0000-0000-0000D16F0000}"/>
    <cellStyle name="Note 38 2 9 4" xfId="28628" xr:uid="{00000000-0005-0000-0000-0000D26F0000}"/>
    <cellStyle name="Note 38 3" xfId="28629" xr:uid="{00000000-0005-0000-0000-0000D36F0000}"/>
    <cellStyle name="Note 38 3 2" xfId="28630" xr:uid="{00000000-0005-0000-0000-0000D46F0000}"/>
    <cellStyle name="Note 38 3 2 2" xfId="28631" xr:uid="{00000000-0005-0000-0000-0000D56F0000}"/>
    <cellStyle name="Note 38 3 2 3" xfId="28632" xr:uid="{00000000-0005-0000-0000-0000D66F0000}"/>
    <cellStyle name="Note 38 3 3" xfId="28633" xr:uid="{00000000-0005-0000-0000-0000D76F0000}"/>
    <cellStyle name="Note 38 3 4" xfId="28634" xr:uid="{00000000-0005-0000-0000-0000D86F0000}"/>
    <cellStyle name="Note 38 4" xfId="28635" xr:uid="{00000000-0005-0000-0000-0000D96F0000}"/>
    <cellStyle name="Note 38 5" xfId="28636" xr:uid="{00000000-0005-0000-0000-0000DA6F0000}"/>
    <cellStyle name="Note 39" xfId="28637" xr:uid="{00000000-0005-0000-0000-0000DB6F0000}"/>
    <cellStyle name="Note 39 2" xfId="28638" xr:uid="{00000000-0005-0000-0000-0000DC6F0000}"/>
    <cellStyle name="Note 39 2 10" xfId="28639" xr:uid="{00000000-0005-0000-0000-0000DD6F0000}"/>
    <cellStyle name="Note 39 2 10 2" xfId="28640" xr:uid="{00000000-0005-0000-0000-0000DE6F0000}"/>
    <cellStyle name="Note 39 2 10 2 2" xfId="28641" xr:uid="{00000000-0005-0000-0000-0000DF6F0000}"/>
    <cellStyle name="Note 39 2 10 2 3" xfId="28642" xr:uid="{00000000-0005-0000-0000-0000E06F0000}"/>
    <cellStyle name="Note 39 2 10 3" xfId="28643" xr:uid="{00000000-0005-0000-0000-0000E16F0000}"/>
    <cellStyle name="Note 39 2 10 4" xfId="28644" xr:uid="{00000000-0005-0000-0000-0000E26F0000}"/>
    <cellStyle name="Note 39 2 11" xfId="28645" xr:uid="{00000000-0005-0000-0000-0000E36F0000}"/>
    <cellStyle name="Note 39 2 11 2" xfId="28646" xr:uid="{00000000-0005-0000-0000-0000E46F0000}"/>
    <cellStyle name="Note 39 2 11 2 2" xfId="28647" xr:uid="{00000000-0005-0000-0000-0000E56F0000}"/>
    <cellStyle name="Note 39 2 11 2 3" xfId="28648" xr:uid="{00000000-0005-0000-0000-0000E66F0000}"/>
    <cellStyle name="Note 39 2 11 3" xfId="28649" xr:uid="{00000000-0005-0000-0000-0000E76F0000}"/>
    <cellStyle name="Note 39 2 11 4" xfId="28650" xr:uid="{00000000-0005-0000-0000-0000E86F0000}"/>
    <cellStyle name="Note 39 2 12" xfId="28651" xr:uid="{00000000-0005-0000-0000-0000E96F0000}"/>
    <cellStyle name="Note 39 2 12 2" xfId="28652" xr:uid="{00000000-0005-0000-0000-0000EA6F0000}"/>
    <cellStyle name="Note 39 2 12 2 2" xfId="28653" xr:uid="{00000000-0005-0000-0000-0000EB6F0000}"/>
    <cellStyle name="Note 39 2 12 2 3" xfId="28654" xr:uid="{00000000-0005-0000-0000-0000EC6F0000}"/>
    <cellStyle name="Note 39 2 12 3" xfId="28655" xr:uid="{00000000-0005-0000-0000-0000ED6F0000}"/>
    <cellStyle name="Note 39 2 12 4" xfId="28656" xr:uid="{00000000-0005-0000-0000-0000EE6F0000}"/>
    <cellStyle name="Note 39 2 13" xfId="28657" xr:uid="{00000000-0005-0000-0000-0000EF6F0000}"/>
    <cellStyle name="Note 39 2 13 2" xfId="28658" xr:uid="{00000000-0005-0000-0000-0000F06F0000}"/>
    <cellStyle name="Note 39 2 13 2 2" xfId="28659" xr:uid="{00000000-0005-0000-0000-0000F16F0000}"/>
    <cellStyle name="Note 39 2 13 2 3" xfId="28660" xr:uid="{00000000-0005-0000-0000-0000F26F0000}"/>
    <cellStyle name="Note 39 2 13 3" xfId="28661" xr:uid="{00000000-0005-0000-0000-0000F36F0000}"/>
    <cellStyle name="Note 39 2 13 4" xfId="28662" xr:uid="{00000000-0005-0000-0000-0000F46F0000}"/>
    <cellStyle name="Note 39 2 14" xfId="28663" xr:uid="{00000000-0005-0000-0000-0000F56F0000}"/>
    <cellStyle name="Note 39 2 14 2" xfId="28664" xr:uid="{00000000-0005-0000-0000-0000F66F0000}"/>
    <cellStyle name="Note 39 2 14 2 2" xfId="28665" xr:uid="{00000000-0005-0000-0000-0000F76F0000}"/>
    <cellStyle name="Note 39 2 14 2 3" xfId="28666" xr:uid="{00000000-0005-0000-0000-0000F86F0000}"/>
    <cellStyle name="Note 39 2 14 3" xfId="28667" xr:uid="{00000000-0005-0000-0000-0000F96F0000}"/>
    <cellStyle name="Note 39 2 14 4" xfId="28668" xr:uid="{00000000-0005-0000-0000-0000FA6F0000}"/>
    <cellStyle name="Note 39 2 15" xfId="28669" xr:uid="{00000000-0005-0000-0000-0000FB6F0000}"/>
    <cellStyle name="Note 39 2 15 2" xfId="28670" xr:uid="{00000000-0005-0000-0000-0000FC6F0000}"/>
    <cellStyle name="Note 39 2 15 2 2" xfId="28671" xr:uid="{00000000-0005-0000-0000-0000FD6F0000}"/>
    <cellStyle name="Note 39 2 15 2 3" xfId="28672" xr:uid="{00000000-0005-0000-0000-0000FE6F0000}"/>
    <cellStyle name="Note 39 2 15 3" xfId="28673" xr:uid="{00000000-0005-0000-0000-0000FF6F0000}"/>
    <cellStyle name="Note 39 2 15 4" xfId="28674" xr:uid="{00000000-0005-0000-0000-000000700000}"/>
    <cellStyle name="Note 39 2 16" xfId="28675" xr:uid="{00000000-0005-0000-0000-000001700000}"/>
    <cellStyle name="Note 39 2 16 2" xfId="28676" xr:uid="{00000000-0005-0000-0000-000002700000}"/>
    <cellStyle name="Note 39 2 16 2 2" xfId="28677" xr:uid="{00000000-0005-0000-0000-000003700000}"/>
    <cellStyle name="Note 39 2 16 2 3" xfId="28678" xr:uid="{00000000-0005-0000-0000-000004700000}"/>
    <cellStyle name="Note 39 2 16 3" xfId="28679" xr:uid="{00000000-0005-0000-0000-000005700000}"/>
    <cellStyle name="Note 39 2 16 4" xfId="28680" xr:uid="{00000000-0005-0000-0000-000006700000}"/>
    <cellStyle name="Note 39 2 17" xfId="28681" xr:uid="{00000000-0005-0000-0000-000007700000}"/>
    <cellStyle name="Note 39 2 17 2" xfId="28682" xr:uid="{00000000-0005-0000-0000-000008700000}"/>
    <cellStyle name="Note 39 2 17 2 2" xfId="28683" xr:uid="{00000000-0005-0000-0000-000009700000}"/>
    <cellStyle name="Note 39 2 17 2 3" xfId="28684" xr:uid="{00000000-0005-0000-0000-00000A700000}"/>
    <cellStyle name="Note 39 2 17 3" xfId="28685" xr:uid="{00000000-0005-0000-0000-00000B700000}"/>
    <cellStyle name="Note 39 2 17 4" xfId="28686" xr:uid="{00000000-0005-0000-0000-00000C700000}"/>
    <cellStyle name="Note 39 2 18" xfId="28687" xr:uid="{00000000-0005-0000-0000-00000D700000}"/>
    <cellStyle name="Note 39 2 18 2" xfId="28688" xr:uid="{00000000-0005-0000-0000-00000E700000}"/>
    <cellStyle name="Note 39 2 18 3" xfId="28689" xr:uid="{00000000-0005-0000-0000-00000F700000}"/>
    <cellStyle name="Note 39 2 18 4" xfId="28690" xr:uid="{00000000-0005-0000-0000-000010700000}"/>
    <cellStyle name="Note 39 2 19" xfId="28691" xr:uid="{00000000-0005-0000-0000-000011700000}"/>
    <cellStyle name="Note 39 2 2" xfId="28692" xr:uid="{00000000-0005-0000-0000-000012700000}"/>
    <cellStyle name="Note 39 2 2 2" xfId="28693" xr:uid="{00000000-0005-0000-0000-000013700000}"/>
    <cellStyle name="Note 39 2 2 2 2" xfId="28694" xr:uid="{00000000-0005-0000-0000-000014700000}"/>
    <cellStyle name="Note 39 2 2 2 3" xfId="28695" xr:uid="{00000000-0005-0000-0000-000015700000}"/>
    <cellStyle name="Note 39 2 2 3" xfId="28696" xr:uid="{00000000-0005-0000-0000-000016700000}"/>
    <cellStyle name="Note 39 2 2 4" xfId="28697" xr:uid="{00000000-0005-0000-0000-000017700000}"/>
    <cellStyle name="Note 39 2 20" xfId="28698" xr:uid="{00000000-0005-0000-0000-000018700000}"/>
    <cellStyle name="Note 39 2 21" xfId="28699" xr:uid="{00000000-0005-0000-0000-000019700000}"/>
    <cellStyle name="Note 39 2 3" xfId="28700" xr:uid="{00000000-0005-0000-0000-00001A700000}"/>
    <cellStyle name="Note 39 2 3 2" xfId="28701" xr:uid="{00000000-0005-0000-0000-00001B700000}"/>
    <cellStyle name="Note 39 2 3 2 2" xfId="28702" xr:uid="{00000000-0005-0000-0000-00001C700000}"/>
    <cellStyle name="Note 39 2 3 2 3" xfId="28703" xr:uid="{00000000-0005-0000-0000-00001D700000}"/>
    <cellStyle name="Note 39 2 3 3" xfId="28704" xr:uid="{00000000-0005-0000-0000-00001E700000}"/>
    <cellStyle name="Note 39 2 3 4" xfId="28705" xr:uid="{00000000-0005-0000-0000-00001F700000}"/>
    <cellStyle name="Note 39 2 4" xfId="28706" xr:uid="{00000000-0005-0000-0000-000020700000}"/>
    <cellStyle name="Note 39 2 4 2" xfId="28707" xr:uid="{00000000-0005-0000-0000-000021700000}"/>
    <cellStyle name="Note 39 2 4 2 2" xfId="28708" xr:uid="{00000000-0005-0000-0000-000022700000}"/>
    <cellStyle name="Note 39 2 4 2 3" xfId="28709" xr:uid="{00000000-0005-0000-0000-000023700000}"/>
    <cellStyle name="Note 39 2 4 3" xfId="28710" xr:uid="{00000000-0005-0000-0000-000024700000}"/>
    <cellStyle name="Note 39 2 4 4" xfId="28711" xr:uid="{00000000-0005-0000-0000-000025700000}"/>
    <cellStyle name="Note 39 2 5" xfId="28712" xr:uid="{00000000-0005-0000-0000-000026700000}"/>
    <cellStyle name="Note 39 2 5 2" xfId="28713" xr:uid="{00000000-0005-0000-0000-000027700000}"/>
    <cellStyle name="Note 39 2 5 2 2" xfId="28714" xr:uid="{00000000-0005-0000-0000-000028700000}"/>
    <cellStyle name="Note 39 2 5 2 3" xfId="28715" xr:uid="{00000000-0005-0000-0000-000029700000}"/>
    <cellStyle name="Note 39 2 5 3" xfId="28716" xr:uid="{00000000-0005-0000-0000-00002A700000}"/>
    <cellStyle name="Note 39 2 5 4" xfId="28717" xr:uid="{00000000-0005-0000-0000-00002B700000}"/>
    <cellStyle name="Note 39 2 6" xfId="28718" xr:uid="{00000000-0005-0000-0000-00002C700000}"/>
    <cellStyle name="Note 39 2 6 2" xfId="28719" xr:uid="{00000000-0005-0000-0000-00002D700000}"/>
    <cellStyle name="Note 39 2 6 2 2" xfId="28720" xr:uid="{00000000-0005-0000-0000-00002E700000}"/>
    <cellStyle name="Note 39 2 6 2 3" xfId="28721" xr:uid="{00000000-0005-0000-0000-00002F700000}"/>
    <cellStyle name="Note 39 2 6 3" xfId="28722" xr:uid="{00000000-0005-0000-0000-000030700000}"/>
    <cellStyle name="Note 39 2 6 4" xfId="28723" xr:uid="{00000000-0005-0000-0000-000031700000}"/>
    <cellStyle name="Note 39 2 7" xfId="28724" xr:uid="{00000000-0005-0000-0000-000032700000}"/>
    <cellStyle name="Note 39 2 7 2" xfId="28725" xr:uid="{00000000-0005-0000-0000-000033700000}"/>
    <cellStyle name="Note 39 2 7 2 2" xfId="28726" xr:uid="{00000000-0005-0000-0000-000034700000}"/>
    <cellStyle name="Note 39 2 7 2 3" xfId="28727" xr:uid="{00000000-0005-0000-0000-000035700000}"/>
    <cellStyle name="Note 39 2 7 3" xfId="28728" xr:uid="{00000000-0005-0000-0000-000036700000}"/>
    <cellStyle name="Note 39 2 7 4" xfId="28729" xr:uid="{00000000-0005-0000-0000-000037700000}"/>
    <cellStyle name="Note 39 2 8" xfId="28730" xr:uid="{00000000-0005-0000-0000-000038700000}"/>
    <cellStyle name="Note 39 2 8 2" xfId="28731" xr:uid="{00000000-0005-0000-0000-000039700000}"/>
    <cellStyle name="Note 39 2 8 2 2" xfId="28732" xr:uid="{00000000-0005-0000-0000-00003A700000}"/>
    <cellStyle name="Note 39 2 8 2 3" xfId="28733" xr:uid="{00000000-0005-0000-0000-00003B700000}"/>
    <cellStyle name="Note 39 2 8 3" xfId="28734" xr:uid="{00000000-0005-0000-0000-00003C700000}"/>
    <cellStyle name="Note 39 2 8 4" xfId="28735" xr:uid="{00000000-0005-0000-0000-00003D700000}"/>
    <cellStyle name="Note 39 2 9" xfId="28736" xr:uid="{00000000-0005-0000-0000-00003E700000}"/>
    <cellStyle name="Note 39 2 9 2" xfId="28737" xr:uid="{00000000-0005-0000-0000-00003F700000}"/>
    <cellStyle name="Note 39 2 9 2 2" xfId="28738" xr:uid="{00000000-0005-0000-0000-000040700000}"/>
    <cellStyle name="Note 39 2 9 2 3" xfId="28739" xr:uid="{00000000-0005-0000-0000-000041700000}"/>
    <cellStyle name="Note 39 2 9 3" xfId="28740" xr:uid="{00000000-0005-0000-0000-000042700000}"/>
    <cellStyle name="Note 39 2 9 4" xfId="28741" xr:uid="{00000000-0005-0000-0000-000043700000}"/>
    <cellStyle name="Note 39 3" xfId="28742" xr:uid="{00000000-0005-0000-0000-000044700000}"/>
    <cellStyle name="Note 39 3 2" xfId="28743" xr:uid="{00000000-0005-0000-0000-000045700000}"/>
    <cellStyle name="Note 39 3 2 2" xfId="28744" xr:uid="{00000000-0005-0000-0000-000046700000}"/>
    <cellStyle name="Note 39 3 2 3" xfId="28745" xr:uid="{00000000-0005-0000-0000-000047700000}"/>
    <cellStyle name="Note 39 3 3" xfId="28746" xr:uid="{00000000-0005-0000-0000-000048700000}"/>
    <cellStyle name="Note 39 3 4" xfId="28747" xr:uid="{00000000-0005-0000-0000-000049700000}"/>
    <cellStyle name="Note 39 4" xfId="28748" xr:uid="{00000000-0005-0000-0000-00004A700000}"/>
    <cellStyle name="Note 39 5" xfId="28749" xr:uid="{00000000-0005-0000-0000-00004B700000}"/>
    <cellStyle name="Note 4" xfId="28750" xr:uid="{00000000-0005-0000-0000-00004C700000}"/>
    <cellStyle name="Note 4 10" xfId="28751" xr:uid="{00000000-0005-0000-0000-00004D700000}"/>
    <cellStyle name="Note 4 11" xfId="28752" xr:uid="{00000000-0005-0000-0000-00004E700000}"/>
    <cellStyle name="Note 4 2" xfId="28753" xr:uid="{00000000-0005-0000-0000-00004F700000}"/>
    <cellStyle name="Note 4 2 10" xfId="28754" xr:uid="{00000000-0005-0000-0000-000050700000}"/>
    <cellStyle name="Note 4 2 10 2" xfId="28755" xr:uid="{00000000-0005-0000-0000-000051700000}"/>
    <cellStyle name="Note 4 2 10 2 2" xfId="28756" xr:uid="{00000000-0005-0000-0000-000052700000}"/>
    <cellStyle name="Note 4 2 10 2 3" xfId="28757" xr:uid="{00000000-0005-0000-0000-000053700000}"/>
    <cellStyle name="Note 4 2 10 3" xfId="28758" xr:uid="{00000000-0005-0000-0000-000054700000}"/>
    <cellStyle name="Note 4 2 10 4" xfId="28759" xr:uid="{00000000-0005-0000-0000-000055700000}"/>
    <cellStyle name="Note 4 2 11" xfId="28760" xr:uid="{00000000-0005-0000-0000-000056700000}"/>
    <cellStyle name="Note 4 2 11 2" xfId="28761" xr:uid="{00000000-0005-0000-0000-000057700000}"/>
    <cellStyle name="Note 4 2 11 2 2" xfId="28762" xr:uid="{00000000-0005-0000-0000-000058700000}"/>
    <cellStyle name="Note 4 2 11 2 3" xfId="28763" xr:uid="{00000000-0005-0000-0000-000059700000}"/>
    <cellStyle name="Note 4 2 11 3" xfId="28764" xr:uid="{00000000-0005-0000-0000-00005A700000}"/>
    <cellStyle name="Note 4 2 11 4" xfId="28765" xr:uid="{00000000-0005-0000-0000-00005B700000}"/>
    <cellStyle name="Note 4 2 12" xfId="28766" xr:uid="{00000000-0005-0000-0000-00005C700000}"/>
    <cellStyle name="Note 4 2 12 2" xfId="28767" xr:uid="{00000000-0005-0000-0000-00005D700000}"/>
    <cellStyle name="Note 4 2 12 2 2" xfId="28768" xr:uid="{00000000-0005-0000-0000-00005E700000}"/>
    <cellStyle name="Note 4 2 12 2 3" xfId="28769" xr:uid="{00000000-0005-0000-0000-00005F700000}"/>
    <cellStyle name="Note 4 2 12 3" xfId="28770" xr:uid="{00000000-0005-0000-0000-000060700000}"/>
    <cellStyle name="Note 4 2 12 4" xfId="28771" xr:uid="{00000000-0005-0000-0000-000061700000}"/>
    <cellStyle name="Note 4 2 13" xfId="28772" xr:uid="{00000000-0005-0000-0000-000062700000}"/>
    <cellStyle name="Note 4 2 13 2" xfId="28773" xr:uid="{00000000-0005-0000-0000-000063700000}"/>
    <cellStyle name="Note 4 2 13 2 2" xfId="28774" xr:uid="{00000000-0005-0000-0000-000064700000}"/>
    <cellStyle name="Note 4 2 13 2 3" xfId="28775" xr:uid="{00000000-0005-0000-0000-000065700000}"/>
    <cellStyle name="Note 4 2 13 3" xfId="28776" xr:uid="{00000000-0005-0000-0000-000066700000}"/>
    <cellStyle name="Note 4 2 13 4" xfId="28777" xr:uid="{00000000-0005-0000-0000-000067700000}"/>
    <cellStyle name="Note 4 2 14" xfId="28778" xr:uid="{00000000-0005-0000-0000-000068700000}"/>
    <cellStyle name="Note 4 2 14 2" xfId="28779" xr:uid="{00000000-0005-0000-0000-000069700000}"/>
    <cellStyle name="Note 4 2 14 2 2" xfId="28780" xr:uid="{00000000-0005-0000-0000-00006A700000}"/>
    <cellStyle name="Note 4 2 14 2 3" xfId="28781" xr:uid="{00000000-0005-0000-0000-00006B700000}"/>
    <cellStyle name="Note 4 2 14 3" xfId="28782" xr:uid="{00000000-0005-0000-0000-00006C700000}"/>
    <cellStyle name="Note 4 2 14 4" xfId="28783" xr:uid="{00000000-0005-0000-0000-00006D700000}"/>
    <cellStyle name="Note 4 2 15" xfId="28784" xr:uid="{00000000-0005-0000-0000-00006E700000}"/>
    <cellStyle name="Note 4 2 15 2" xfId="28785" xr:uid="{00000000-0005-0000-0000-00006F700000}"/>
    <cellStyle name="Note 4 2 15 2 2" xfId="28786" xr:uid="{00000000-0005-0000-0000-000070700000}"/>
    <cellStyle name="Note 4 2 15 2 3" xfId="28787" xr:uid="{00000000-0005-0000-0000-000071700000}"/>
    <cellStyle name="Note 4 2 15 3" xfId="28788" xr:uid="{00000000-0005-0000-0000-000072700000}"/>
    <cellStyle name="Note 4 2 15 4" xfId="28789" xr:uid="{00000000-0005-0000-0000-000073700000}"/>
    <cellStyle name="Note 4 2 16" xfId="28790" xr:uid="{00000000-0005-0000-0000-000074700000}"/>
    <cellStyle name="Note 4 2 16 2" xfId="28791" xr:uid="{00000000-0005-0000-0000-000075700000}"/>
    <cellStyle name="Note 4 2 16 2 2" xfId="28792" xr:uid="{00000000-0005-0000-0000-000076700000}"/>
    <cellStyle name="Note 4 2 16 2 3" xfId="28793" xr:uid="{00000000-0005-0000-0000-000077700000}"/>
    <cellStyle name="Note 4 2 16 3" xfId="28794" xr:uid="{00000000-0005-0000-0000-000078700000}"/>
    <cellStyle name="Note 4 2 16 4" xfId="28795" xr:uid="{00000000-0005-0000-0000-000079700000}"/>
    <cellStyle name="Note 4 2 17" xfId="28796" xr:uid="{00000000-0005-0000-0000-00007A700000}"/>
    <cellStyle name="Note 4 2 17 2" xfId="28797" xr:uid="{00000000-0005-0000-0000-00007B700000}"/>
    <cellStyle name="Note 4 2 17 2 2" xfId="28798" xr:uid="{00000000-0005-0000-0000-00007C700000}"/>
    <cellStyle name="Note 4 2 17 2 3" xfId="28799" xr:uid="{00000000-0005-0000-0000-00007D700000}"/>
    <cellStyle name="Note 4 2 17 3" xfId="28800" xr:uid="{00000000-0005-0000-0000-00007E700000}"/>
    <cellStyle name="Note 4 2 17 4" xfId="28801" xr:uid="{00000000-0005-0000-0000-00007F700000}"/>
    <cellStyle name="Note 4 2 18" xfId="28802" xr:uid="{00000000-0005-0000-0000-000080700000}"/>
    <cellStyle name="Note 4 2 18 2" xfId="28803" xr:uid="{00000000-0005-0000-0000-000081700000}"/>
    <cellStyle name="Note 4 2 18 3" xfId="28804" xr:uid="{00000000-0005-0000-0000-000082700000}"/>
    <cellStyle name="Note 4 2 18 4" xfId="28805" xr:uid="{00000000-0005-0000-0000-000083700000}"/>
    <cellStyle name="Note 4 2 19" xfId="28806" xr:uid="{00000000-0005-0000-0000-000084700000}"/>
    <cellStyle name="Note 4 2 19 2" xfId="28807" xr:uid="{00000000-0005-0000-0000-000085700000}"/>
    <cellStyle name="Note 4 2 19 3" xfId="28808" xr:uid="{00000000-0005-0000-0000-000086700000}"/>
    <cellStyle name="Note 4 2 2" xfId="28809" xr:uid="{00000000-0005-0000-0000-000087700000}"/>
    <cellStyle name="Note 4 2 2 2" xfId="28810" xr:uid="{00000000-0005-0000-0000-000088700000}"/>
    <cellStyle name="Note 4 2 2 2 2" xfId="28811" xr:uid="{00000000-0005-0000-0000-000089700000}"/>
    <cellStyle name="Note 4 2 2 2 3" xfId="28812" xr:uid="{00000000-0005-0000-0000-00008A700000}"/>
    <cellStyle name="Note 4 2 2 2 4" xfId="28813" xr:uid="{00000000-0005-0000-0000-00008B700000}"/>
    <cellStyle name="Note 4 2 2 2 5" xfId="28814" xr:uid="{00000000-0005-0000-0000-00008C700000}"/>
    <cellStyle name="Note 4 2 2 2 5 2" xfId="28815" xr:uid="{00000000-0005-0000-0000-00008D700000}"/>
    <cellStyle name="Note 4 2 2 2 6" xfId="28816" xr:uid="{00000000-0005-0000-0000-00008E700000}"/>
    <cellStyle name="Note 4 2 2 3" xfId="28817" xr:uid="{00000000-0005-0000-0000-00008F700000}"/>
    <cellStyle name="Note 4 2 2 3 2" xfId="28818" xr:uid="{00000000-0005-0000-0000-000090700000}"/>
    <cellStyle name="Note 4 2 2 3 3" xfId="28819" xr:uid="{00000000-0005-0000-0000-000091700000}"/>
    <cellStyle name="Note 4 2 2 4" xfId="28820" xr:uid="{00000000-0005-0000-0000-000092700000}"/>
    <cellStyle name="Note 4 2 2 4 2" xfId="28821" xr:uid="{00000000-0005-0000-0000-000093700000}"/>
    <cellStyle name="Note 4 2 2 5" xfId="28822" xr:uid="{00000000-0005-0000-0000-000094700000}"/>
    <cellStyle name="Note 4 2 2 6" xfId="28823" xr:uid="{00000000-0005-0000-0000-000095700000}"/>
    <cellStyle name="Note 4 2 2 7" xfId="28824" xr:uid="{00000000-0005-0000-0000-000096700000}"/>
    <cellStyle name="Note 4 2 20" xfId="28825" xr:uid="{00000000-0005-0000-0000-000097700000}"/>
    <cellStyle name="Note 4 2 20 2" xfId="28826" xr:uid="{00000000-0005-0000-0000-000098700000}"/>
    <cellStyle name="Note 4 2 21" xfId="28827" xr:uid="{00000000-0005-0000-0000-000099700000}"/>
    <cellStyle name="Note 4 2 22" xfId="28828" xr:uid="{00000000-0005-0000-0000-00009A700000}"/>
    <cellStyle name="Note 4 2 23" xfId="28829" xr:uid="{00000000-0005-0000-0000-00009B700000}"/>
    <cellStyle name="Note 4 2 3" xfId="28830" xr:uid="{00000000-0005-0000-0000-00009C700000}"/>
    <cellStyle name="Note 4 2 3 2" xfId="28831" xr:uid="{00000000-0005-0000-0000-00009D700000}"/>
    <cellStyle name="Note 4 2 3 2 2" xfId="28832" xr:uid="{00000000-0005-0000-0000-00009E700000}"/>
    <cellStyle name="Note 4 2 3 2 3" xfId="28833" xr:uid="{00000000-0005-0000-0000-00009F700000}"/>
    <cellStyle name="Note 4 2 3 3" xfId="28834" xr:uid="{00000000-0005-0000-0000-0000A0700000}"/>
    <cellStyle name="Note 4 2 3 4" xfId="28835" xr:uid="{00000000-0005-0000-0000-0000A1700000}"/>
    <cellStyle name="Note 4 2 4" xfId="28836" xr:uid="{00000000-0005-0000-0000-0000A2700000}"/>
    <cellStyle name="Note 4 2 4 2" xfId="28837" xr:uid="{00000000-0005-0000-0000-0000A3700000}"/>
    <cellStyle name="Note 4 2 4 2 2" xfId="28838" xr:uid="{00000000-0005-0000-0000-0000A4700000}"/>
    <cellStyle name="Note 4 2 4 2 3" xfId="28839" xr:uid="{00000000-0005-0000-0000-0000A5700000}"/>
    <cellStyle name="Note 4 2 4 3" xfId="28840" xr:uid="{00000000-0005-0000-0000-0000A6700000}"/>
    <cellStyle name="Note 4 2 4 4" xfId="28841" xr:uid="{00000000-0005-0000-0000-0000A7700000}"/>
    <cellStyle name="Note 4 2 5" xfId="28842" xr:uid="{00000000-0005-0000-0000-0000A8700000}"/>
    <cellStyle name="Note 4 2 5 2" xfId="28843" xr:uid="{00000000-0005-0000-0000-0000A9700000}"/>
    <cellStyle name="Note 4 2 5 2 2" xfId="28844" xr:uid="{00000000-0005-0000-0000-0000AA700000}"/>
    <cellStyle name="Note 4 2 5 2 3" xfId="28845" xr:uid="{00000000-0005-0000-0000-0000AB700000}"/>
    <cellStyle name="Note 4 2 5 3" xfId="28846" xr:uid="{00000000-0005-0000-0000-0000AC700000}"/>
    <cellStyle name="Note 4 2 5 4" xfId="28847" xr:uid="{00000000-0005-0000-0000-0000AD700000}"/>
    <cellStyle name="Note 4 2 6" xfId="28848" xr:uid="{00000000-0005-0000-0000-0000AE700000}"/>
    <cellStyle name="Note 4 2 6 2" xfId="28849" xr:uid="{00000000-0005-0000-0000-0000AF700000}"/>
    <cellStyle name="Note 4 2 6 2 2" xfId="28850" xr:uid="{00000000-0005-0000-0000-0000B0700000}"/>
    <cellStyle name="Note 4 2 6 2 3" xfId="28851" xr:uid="{00000000-0005-0000-0000-0000B1700000}"/>
    <cellStyle name="Note 4 2 6 3" xfId="28852" xr:uid="{00000000-0005-0000-0000-0000B2700000}"/>
    <cellStyle name="Note 4 2 6 4" xfId="28853" xr:uid="{00000000-0005-0000-0000-0000B3700000}"/>
    <cellStyle name="Note 4 2 7" xfId="28854" xr:uid="{00000000-0005-0000-0000-0000B4700000}"/>
    <cellStyle name="Note 4 2 7 2" xfId="28855" xr:uid="{00000000-0005-0000-0000-0000B5700000}"/>
    <cellStyle name="Note 4 2 7 2 2" xfId="28856" xr:uid="{00000000-0005-0000-0000-0000B6700000}"/>
    <cellStyle name="Note 4 2 7 2 3" xfId="28857" xr:uid="{00000000-0005-0000-0000-0000B7700000}"/>
    <cellStyle name="Note 4 2 7 3" xfId="28858" xr:uid="{00000000-0005-0000-0000-0000B8700000}"/>
    <cellStyle name="Note 4 2 7 4" xfId="28859" xr:uid="{00000000-0005-0000-0000-0000B9700000}"/>
    <cellStyle name="Note 4 2 8" xfId="28860" xr:uid="{00000000-0005-0000-0000-0000BA700000}"/>
    <cellStyle name="Note 4 2 8 2" xfId="28861" xr:uid="{00000000-0005-0000-0000-0000BB700000}"/>
    <cellStyle name="Note 4 2 8 2 2" xfId="28862" xr:uid="{00000000-0005-0000-0000-0000BC700000}"/>
    <cellStyle name="Note 4 2 8 2 3" xfId="28863" xr:uid="{00000000-0005-0000-0000-0000BD700000}"/>
    <cellStyle name="Note 4 2 8 3" xfId="28864" xr:uid="{00000000-0005-0000-0000-0000BE700000}"/>
    <cellStyle name="Note 4 2 8 4" xfId="28865" xr:uid="{00000000-0005-0000-0000-0000BF700000}"/>
    <cellStyle name="Note 4 2 9" xfId="28866" xr:uid="{00000000-0005-0000-0000-0000C0700000}"/>
    <cellStyle name="Note 4 2 9 2" xfId="28867" xr:uid="{00000000-0005-0000-0000-0000C1700000}"/>
    <cellStyle name="Note 4 2 9 2 2" xfId="28868" xr:uid="{00000000-0005-0000-0000-0000C2700000}"/>
    <cellStyle name="Note 4 2 9 2 3" xfId="28869" xr:uid="{00000000-0005-0000-0000-0000C3700000}"/>
    <cellStyle name="Note 4 2 9 3" xfId="28870" xr:uid="{00000000-0005-0000-0000-0000C4700000}"/>
    <cellStyle name="Note 4 2 9 4" xfId="28871" xr:uid="{00000000-0005-0000-0000-0000C5700000}"/>
    <cellStyle name="Note 4 3" xfId="28872" xr:uid="{00000000-0005-0000-0000-0000C6700000}"/>
    <cellStyle name="Note 4 3 2" xfId="28873" xr:uid="{00000000-0005-0000-0000-0000C7700000}"/>
    <cellStyle name="Note 4 3 2 2" xfId="28874" xr:uid="{00000000-0005-0000-0000-0000C8700000}"/>
    <cellStyle name="Note 4 3 2 3" xfId="28875" xr:uid="{00000000-0005-0000-0000-0000C9700000}"/>
    <cellStyle name="Note 4 3 2 4" xfId="28876" xr:uid="{00000000-0005-0000-0000-0000CA700000}"/>
    <cellStyle name="Note 4 3 2 5" xfId="28877" xr:uid="{00000000-0005-0000-0000-0000CB700000}"/>
    <cellStyle name="Note 4 3 2 5 2" xfId="28878" xr:uid="{00000000-0005-0000-0000-0000CC700000}"/>
    <cellStyle name="Note 4 3 2 6" xfId="28879" xr:uid="{00000000-0005-0000-0000-0000CD700000}"/>
    <cellStyle name="Note 4 3 3" xfId="28880" xr:uid="{00000000-0005-0000-0000-0000CE700000}"/>
    <cellStyle name="Note 4 3 3 2" xfId="28881" xr:uid="{00000000-0005-0000-0000-0000CF700000}"/>
    <cellStyle name="Note 4 3 4" xfId="28882" xr:uid="{00000000-0005-0000-0000-0000D0700000}"/>
    <cellStyle name="Note 4 3 5" xfId="28883" xr:uid="{00000000-0005-0000-0000-0000D1700000}"/>
    <cellStyle name="Note 4 3 6" xfId="28884" xr:uid="{00000000-0005-0000-0000-0000D2700000}"/>
    <cellStyle name="Note 4 4" xfId="28885" xr:uid="{00000000-0005-0000-0000-0000D3700000}"/>
    <cellStyle name="Note 4 4 2" xfId="28886" xr:uid="{00000000-0005-0000-0000-0000D4700000}"/>
    <cellStyle name="Note 4 4 2 2" xfId="28887" xr:uid="{00000000-0005-0000-0000-0000D5700000}"/>
    <cellStyle name="Note 4 4 3" xfId="28888" xr:uid="{00000000-0005-0000-0000-0000D6700000}"/>
    <cellStyle name="Note 4 4 3 2" xfId="28889" xr:uid="{00000000-0005-0000-0000-0000D7700000}"/>
    <cellStyle name="Note 4 4 4" xfId="28890" xr:uid="{00000000-0005-0000-0000-0000D8700000}"/>
    <cellStyle name="Note 4 4 5" xfId="28891" xr:uid="{00000000-0005-0000-0000-0000D9700000}"/>
    <cellStyle name="Note 4 5" xfId="28892" xr:uid="{00000000-0005-0000-0000-0000DA700000}"/>
    <cellStyle name="Note 4 5 2" xfId="28893" xr:uid="{00000000-0005-0000-0000-0000DB700000}"/>
    <cellStyle name="Note 4 5 2 2" xfId="28894" xr:uid="{00000000-0005-0000-0000-0000DC700000}"/>
    <cellStyle name="Note 4 5 3" xfId="28895" xr:uid="{00000000-0005-0000-0000-0000DD700000}"/>
    <cellStyle name="Note 4 5 3 2" xfId="28896" xr:uid="{00000000-0005-0000-0000-0000DE700000}"/>
    <cellStyle name="Note 4 5 4" xfId="28897" xr:uid="{00000000-0005-0000-0000-0000DF700000}"/>
    <cellStyle name="Note 4 5 5" xfId="28898" xr:uid="{00000000-0005-0000-0000-0000E0700000}"/>
    <cellStyle name="Note 4 6" xfId="28899" xr:uid="{00000000-0005-0000-0000-0000E1700000}"/>
    <cellStyle name="Note 4 6 2" xfId="28900" xr:uid="{00000000-0005-0000-0000-0000E2700000}"/>
    <cellStyle name="Note 4 6 2 2" xfId="28901" xr:uid="{00000000-0005-0000-0000-0000E3700000}"/>
    <cellStyle name="Note 4 6 3" xfId="28902" xr:uid="{00000000-0005-0000-0000-0000E4700000}"/>
    <cellStyle name="Note 4 6 3 2" xfId="28903" xr:uid="{00000000-0005-0000-0000-0000E5700000}"/>
    <cellStyle name="Note 4 6 4" xfId="28904" xr:uid="{00000000-0005-0000-0000-0000E6700000}"/>
    <cellStyle name="Note 4 6 5" xfId="28905" xr:uid="{00000000-0005-0000-0000-0000E7700000}"/>
    <cellStyle name="Note 4 7" xfId="28906" xr:uid="{00000000-0005-0000-0000-0000E8700000}"/>
    <cellStyle name="Note 4 7 2" xfId="28907" xr:uid="{00000000-0005-0000-0000-0000E9700000}"/>
    <cellStyle name="Note 4 7 3" xfId="28908" xr:uid="{00000000-0005-0000-0000-0000EA700000}"/>
    <cellStyle name="Note 4 8" xfId="28909" xr:uid="{00000000-0005-0000-0000-0000EB700000}"/>
    <cellStyle name="Note 4 8 2" xfId="28910" xr:uid="{00000000-0005-0000-0000-0000EC700000}"/>
    <cellStyle name="Note 4 9" xfId="28911" xr:uid="{00000000-0005-0000-0000-0000ED700000}"/>
    <cellStyle name="Note 40" xfId="28912" xr:uid="{00000000-0005-0000-0000-0000EE700000}"/>
    <cellStyle name="Note 40 2" xfId="28913" xr:uid="{00000000-0005-0000-0000-0000EF700000}"/>
    <cellStyle name="Note 40 2 10" xfId="28914" xr:uid="{00000000-0005-0000-0000-0000F0700000}"/>
    <cellStyle name="Note 40 2 10 2" xfId="28915" xr:uid="{00000000-0005-0000-0000-0000F1700000}"/>
    <cellStyle name="Note 40 2 10 2 2" xfId="28916" xr:uid="{00000000-0005-0000-0000-0000F2700000}"/>
    <cellStyle name="Note 40 2 10 2 3" xfId="28917" xr:uid="{00000000-0005-0000-0000-0000F3700000}"/>
    <cellStyle name="Note 40 2 10 3" xfId="28918" xr:uid="{00000000-0005-0000-0000-0000F4700000}"/>
    <cellStyle name="Note 40 2 10 4" xfId="28919" xr:uid="{00000000-0005-0000-0000-0000F5700000}"/>
    <cellStyle name="Note 40 2 11" xfId="28920" xr:uid="{00000000-0005-0000-0000-0000F6700000}"/>
    <cellStyle name="Note 40 2 11 2" xfId="28921" xr:uid="{00000000-0005-0000-0000-0000F7700000}"/>
    <cellStyle name="Note 40 2 11 2 2" xfId="28922" xr:uid="{00000000-0005-0000-0000-0000F8700000}"/>
    <cellStyle name="Note 40 2 11 2 3" xfId="28923" xr:uid="{00000000-0005-0000-0000-0000F9700000}"/>
    <cellStyle name="Note 40 2 11 3" xfId="28924" xr:uid="{00000000-0005-0000-0000-0000FA700000}"/>
    <cellStyle name="Note 40 2 11 4" xfId="28925" xr:uid="{00000000-0005-0000-0000-0000FB700000}"/>
    <cellStyle name="Note 40 2 12" xfId="28926" xr:uid="{00000000-0005-0000-0000-0000FC700000}"/>
    <cellStyle name="Note 40 2 12 2" xfId="28927" xr:uid="{00000000-0005-0000-0000-0000FD700000}"/>
    <cellStyle name="Note 40 2 12 2 2" xfId="28928" xr:uid="{00000000-0005-0000-0000-0000FE700000}"/>
    <cellStyle name="Note 40 2 12 2 3" xfId="28929" xr:uid="{00000000-0005-0000-0000-0000FF700000}"/>
    <cellStyle name="Note 40 2 12 3" xfId="28930" xr:uid="{00000000-0005-0000-0000-000000710000}"/>
    <cellStyle name="Note 40 2 12 4" xfId="28931" xr:uid="{00000000-0005-0000-0000-000001710000}"/>
    <cellStyle name="Note 40 2 13" xfId="28932" xr:uid="{00000000-0005-0000-0000-000002710000}"/>
    <cellStyle name="Note 40 2 13 2" xfId="28933" xr:uid="{00000000-0005-0000-0000-000003710000}"/>
    <cellStyle name="Note 40 2 13 2 2" xfId="28934" xr:uid="{00000000-0005-0000-0000-000004710000}"/>
    <cellStyle name="Note 40 2 13 2 3" xfId="28935" xr:uid="{00000000-0005-0000-0000-000005710000}"/>
    <cellStyle name="Note 40 2 13 3" xfId="28936" xr:uid="{00000000-0005-0000-0000-000006710000}"/>
    <cellStyle name="Note 40 2 13 4" xfId="28937" xr:uid="{00000000-0005-0000-0000-000007710000}"/>
    <cellStyle name="Note 40 2 14" xfId="28938" xr:uid="{00000000-0005-0000-0000-000008710000}"/>
    <cellStyle name="Note 40 2 14 2" xfId="28939" xr:uid="{00000000-0005-0000-0000-000009710000}"/>
    <cellStyle name="Note 40 2 14 2 2" xfId="28940" xr:uid="{00000000-0005-0000-0000-00000A710000}"/>
    <cellStyle name="Note 40 2 14 2 3" xfId="28941" xr:uid="{00000000-0005-0000-0000-00000B710000}"/>
    <cellStyle name="Note 40 2 14 3" xfId="28942" xr:uid="{00000000-0005-0000-0000-00000C710000}"/>
    <cellStyle name="Note 40 2 14 4" xfId="28943" xr:uid="{00000000-0005-0000-0000-00000D710000}"/>
    <cellStyle name="Note 40 2 15" xfId="28944" xr:uid="{00000000-0005-0000-0000-00000E710000}"/>
    <cellStyle name="Note 40 2 15 2" xfId="28945" xr:uid="{00000000-0005-0000-0000-00000F710000}"/>
    <cellStyle name="Note 40 2 15 2 2" xfId="28946" xr:uid="{00000000-0005-0000-0000-000010710000}"/>
    <cellStyle name="Note 40 2 15 2 3" xfId="28947" xr:uid="{00000000-0005-0000-0000-000011710000}"/>
    <cellStyle name="Note 40 2 15 3" xfId="28948" xr:uid="{00000000-0005-0000-0000-000012710000}"/>
    <cellStyle name="Note 40 2 15 4" xfId="28949" xr:uid="{00000000-0005-0000-0000-000013710000}"/>
    <cellStyle name="Note 40 2 16" xfId="28950" xr:uid="{00000000-0005-0000-0000-000014710000}"/>
    <cellStyle name="Note 40 2 16 2" xfId="28951" xr:uid="{00000000-0005-0000-0000-000015710000}"/>
    <cellStyle name="Note 40 2 16 2 2" xfId="28952" xr:uid="{00000000-0005-0000-0000-000016710000}"/>
    <cellStyle name="Note 40 2 16 2 3" xfId="28953" xr:uid="{00000000-0005-0000-0000-000017710000}"/>
    <cellStyle name="Note 40 2 16 3" xfId="28954" xr:uid="{00000000-0005-0000-0000-000018710000}"/>
    <cellStyle name="Note 40 2 16 4" xfId="28955" xr:uid="{00000000-0005-0000-0000-000019710000}"/>
    <cellStyle name="Note 40 2 17" xfId="28956" xr:uid="{00000000-0005-0000-0000-00001A710000}"/>
    <cellStyle name="Note 40 2 17 2" xfId="28957" xr:uid="{00000000-0005-0000-0000-00001B710000}"/>
    <cellStyle name="Note 40 2 17 2 2" xfId="28958" xr:uid="{00000000-0005-0000-0000-00001C710000}"/>
    <cellStyle name="Note 40 2 17 2 3" xfId="28959" xr:uid="{00000000-0005-0000-0000-00001D710000}"/>
    <cellStyle name="Note 40 2 17 3" xfId="28960" xr:uid="{00000000-0005-0000-0000-00001E710000}"/>
    <cellStyle name="Note 40 2 17 4" xfId="28961" xr:uid="{00000000-0005-0000-0000-00001F710000}"/>
    <cellStyle name="Note 40 2 18" xfId="28962" xr:uid="{00000000-0005-0000-0000-000020710000}"/>
    <cellStyle name="Note 40 2 18 2" xfId="28963" xr:uid="{00000000-0005-0000-0000-000021710000}"/>
    <cellStyle name="Note 40 2 18 3" xfId="28964" xr:uid="{00000000-0005-0000-0000-000022710000}"/>
    <cellStyle name="Note 40 2 18 4" xfId="28965" xr:uid="{00000000-0005-0000-0000-000023710000}"/>
    <cellStyle name="Note 40 2 19" xfId="28966" xr:uid="{00000000-0005-0000-0000-000024710000}"/>
    <cellStyle name="Note 40 2 2" xfId="28967" xr:uid="{00000000-0005-0000-0000-000025710000}"/>
    <cellStyle name="Note 40 2 2 2" xfId="28968" xr:uid="{00000000-0005-0000-0000-000026710000}"/>
    <cellStyle name="Note 40 2 2 2 2" xfId="28969" xr:uid="{00000000-0005-0000-0000-000027710000}"/>
    <cellStyle name="Note 40 2 2 2 3" xfId="28970" xr:uid="{00000000-0005-0000-0000-000028710000}"/>
    <cellStyle name="Note 40 2 2 3" xfId="28971" xr:uid="{00000000-0005-0000-0000-000029710000}"/>
    <cellStyle name="Note 40 2 2 4" xfId="28972" xr:uid="{00000000-0005-0000-0000-00002A710000}"/>
    <cellStyle name="Note 40 2 20" xfId="28973" xr:uid="{00000000-0005-0000-0000-00002B710000}"/>
    <cellStyle name="Note 40 2 21" xfId="28974" xr:uid="{00000000-0005-0000-0000-00002C710000}"/>
    <cellStyle name="Note 40 2 3" xfId="28975" xr:uid="{00000000-0005-0000-0000-00002D710000}"/>
    <cellStyle name="Note 40 2 3 2" xfId="28976" xr:uid="{00000000-0005-0000-0000-00002E710000}"/>
    <cellStyle name="Note 40 2 3 2 2" xfId="28977" xr:uid="{00000000-0005-0000-0000-00002F710000}"/>
    <cellStyle name="Note 40 2 3 2 3" xfId="28978" xr:uid="{00000000-0005-0000-0000-000030710000}"/>
    <cellStyle name="Note 40 2 3 3" xfId="28979" xr:uid="{00000000-0005-0000-0000-000031710000}"/>
    <cellStyle name="Note 40 2 3 4" xfId="28980" xr:uid="{00000000-0005-0000-0000-000032710000}"/>
    <cellStyle name="Note 40 2 4" xfId="28981" xr:uid="{00000000-0005-0000-0000-000033710000}"/>
    <cellStyle name="Note 40 2 4 2" xfId="28982" xr:uid="{00000000-0005-0000-0000-000034710000}"/>
    <cellStyle name="Note 40 2 4 2 2" xfId="28983" xr:uid="{00000000-0005-0000-0000-000035710000}"/>
    <cellStyle name="Note 40 2 4 2 3" xfId="28984" xr:uid="{00000000-0005-0000-0000-000036710000}"/>
    <cellStyle name="Note 40 2 4 3" xfId="28985" xr:uid="{00000000-0005-0000-0000-000037710000}"/>
    <cellStyle name="Note 40 2 4 4" xfId="28986" xr:uid="{00000000-0005-0000-0000-000038710000}"/>
    <cellStyle name="Note 40 2 5" xfId="28987" xr:uid="{00000000-0005-0000-0000-000039710000}"/>
    <cellStyle name="Note 40 2 5 2" xfId="28988" xr:uid="{00000000-0005-0000-0000-00003A710000}"/>
    <cellStyle name="Note 40 2 5 2 2" xfId="28989" xr:uid="{00000000-0005-0000-0000-00003B710000}"/>
    <cellStyle name="Note 40 2 5 2 3" xfId="28990" xr:uid="{00000000-0005-0000-0000-00003C710000}"/>
    <cellStyle name="Note 40 2 5 3" xfId="28991" xr:uid="{00000000-0005-0000-0000-00003D710000}"/>
    <cellStyle name="Note 40 2 5 4" xfId="28992" xr:uid="{00000000-0005-0000-0000-00003E710000}"/>
    <cellStyle name="Note 40 2 6" xfId="28993" xr:uid="{00000000-0005-0000-0000-00003F710000}"/>
    <cellStyle name="Note 40 2 6 2" xfId="28994" xr:uid="{00000000-0005-0000-0000-000040710000}"/>
    <cellStyle name="Note 40 2 6 2 2" xfId="28995" xr:uid="{00000000-0005-0000-0000-000041710000}"/>
    <cellStyle name="Note 40 2 6 2 3" xfId="28996" xr:uid="{00000000-0005-0000-0000-000042710000}"/>
    <cellStyle name="Note 40 2 6 3" xfId="28997" xr:uid="{00000000-0005-0000-0000-000043710000}"/>
    <cellStyle name="Note 40 2 6 4" xfId="28998" xr:uid="{00000000-0005-0000-0000-000044710000}"/>
    <cellStyle name="Note 40 2 7" xfId="28999" xr:uid="{00000000-0005-0000-0000-000045710000}"/>
    <cellStyle name="Note 40 2 7 2" xfId="29000" xr:uid="{00000000-0005-0000-0000-000046710000}"/>
    <cellStyle name="Note 40 2 7 2 2" xfId="29001" xr:uid="{00000000-0005-0000-0000-000047710000}"/>
    <cellStyle name="Note 40 2 7 2 3" xfId="29002" xr:uid="{00000000-0005-0000-0000-000048710000}"/>
    <cellStyle name="Note 40 2 7 3" xfId="29003" xr:uid="{00000000-0005-0000-0000-000049710000}"/>
    <cellStyle name="Note 40 2 7 4" xfId="29004" xr:uid="{00000000-0005-0000-0000-00004A710000}"/>
    <cellStyle name="Note 40 2 8" xfId="29005" xr:uid="{00000000-0005-0000-0000-00004B710000}"/>
    <cellStyle name="Note 40 2 8 2" xfId="29006" xr:uid="{00000000-0005-0000-0000-00004C710000}"/>
    <cellStyle name="Note 40 2 8 2 2" xfId="29007" xr:uid="{00000000-0005-0000-0000-00004D710000}"/>
    <cellStyle name="Note 40 2 8 2 3" xfId="29008" xr:uid="{00000000-0005-0000-0000-00004E710000}"/>
    <cellStyle name="Note 40 2 8 3" xfId="29009" xr:uid="{00000000-0005-0000-0000-00004F710000}"/>
    <cellStyle name="Note 40 2 8 4" xfId="29010" xr:uid="{00000000-0005-0000-0000-000050710000}"/>
    <cellStyle name="Note 40 2 9" xfId="29011" xr:uid="{00000000-0005-0000-0000-000051710000}"/>
    <cellStyle name="Note 40 2 9 2" xfId="29012" xr:uid="{00000000-0005-0000-0000-000052710000}"/>
    <cellStyle name="Note 40 2 9 2 2" xfId="29013" xr:uid="{00000000-0005-0000-0000-000053710000}"/>
    <cellStyle name="Note 40 2 9 2 3" xfId="29014" xr:uid="{00000000-0005-0000-0000-000054710000}"/>
    <cellStyle name="Note 40 2 9 3" xfId="29015" xr:uid="{00000000-0005-0000-0000-000055710000}"/>
    <cellStyle name="Note 40 2 9 4" xfId="29016" xr:uid="{00000000-0005-0000-0000-000056710000}"/>
    <cellStyle name="Note 40 3" xfId="29017" xr:uid="{00000000-0005-0000-0000-000057710000}"/>
    <cellStyle name="Note 40 3 2" xfId="29018" xr:uid="{00000000-0005-0000-0000-000058710000}"/>
    <cellStyle name="Note 40 3 2 2" xfId="29019" xr:uid="{00000000-0005-0000-0000-000059710000}"/>
    <cellStyle name="Note 40 3 2 3" xfId="29020" xr:uid="{00000000-0005-0000-0000-00005A710000}"/>
    <cellStyle name="Note 40 3 3" xfId="29021" xr:uid="{00000000-0005-0000-0000-00005B710000}"/>
    <cellStyle name="Note 40 3 4" xfId="29022" xr:uid="{00000000-0005-0000-0000-00005C710000}"/>
    <cellStyle name="Note 40 4" xfId="29023" xr:uid="{00000000-0005-0000-0000-00005D710000}"/>
    <cellStyle name="Note 40 5" xfId="29024" xr:uid="{00000000-0005-0000-0000-00005E710000}"/>
    <cellStyle name="Note 41" xfId="29025" xr:uid="{00000000-0005-0000-0000-00005F710000}"/>
    <cellStyle name="Note 41 2" xfId="29026" xr:uid="{00000000-0005-0000-0000-000060710000}"/>
    <cellStyle name="Note 41 2 10" xfId="29027" xr:uid="{00000000-0005-0000-0000-000061710000}"/>
    <cellStyle name="Note 41 2 10 2" xfId="29028" xr:uid="{00000000-0005-0000-0000-000062710000}"/>
    <cellStyle name="Note 41 2 10 2 2" xfId="29029" xr:uid="{00000000-0005-0000-0000-000063710000}"/>
    <cellStyle name="Note 41 2 10 2 3" xfId="29030" xr:uid="{00000000-0005-0000-0000-000064710000}"/>
    <cellStyle name="Note 41 2 10 3" xfId="29031" xr:uid="{00000000-0005-0000-0000-000065710000}"/>
    <cellStyle name="Note 41 2 10 4" xfId="29032" xr:uid="{00000000-0005-0000-0000-000066710000}"/>
    <cellStyle name="Note 41 2 11" xfId="29033" xr:uid="{00000000-0005-0000-0000-000067710000}"/>
    <cellStyle name="Note 41 2 11 2" xfId="29034" xr:uid="{00000000-0005-0000-0000-000068710000}"/>
    <cellStyle name="Note 41 2 11 2 2" xfId="29035" xr:uid="{00000000-0005-0000-0000-000069710000}"/>
    <cellStyle name="Note 41 2 11 2 3" xfId="29036" xr:uid="{00000000-0005-0000-0000-00006A710000}"/>
    <cellStyle name="Note 41 2 11 3" xfId="29037" xr:uid="{00000000-0005-0000-0000-00006B710000}"/>
    <cellStyle name="Note 41 2 11 4" xfId="29038" xr:uid="{00000000-0005-0000-0000-00006C710000}"/>
    <cellStyle name="Note 41 2 12" xfId="29039" xr:uid="{00000000-0005-0000-0000-00006D710000}"/>
    <cellStyle name="Note 41 2 12 2" xfId="29040" xr:uid="{00000000-0005-0000-0000-00006E710000}"/>
    <cellStyle name="Note 41 2 12 2 2" xfId="29041" xr:uid="{00000000-0005-0000-0000-00006F710000}"/>
    <cellStyle name="Note 41 2 12 2 3" xfId="29042" xr:uid="{00000000-0005-0000-0000-000070710000}"/>
    <cellStyle name="Note 41 2 12 3" xfId="29043" xr:uid="{00000000-0005-0000-0000-000071710000}"/>
    <cellStyle name="Note 41 2 12 4" xfId="29044" xr:uid="{00000000-0005-0000-0000-000072710000}"/>
    <cellStyle name="Note 41 2 13" xfId="29045" xr:uid="{00000000-0005-0000-0000-000073710000}"/>
    <cellStyle name="Note 41 2 13 2" xfId="29046" xr:uid="{00000000-0005-0000-0000-000074710000}"/>
    <cellStyle name="Note 41 2 13 2 2" xfId="29047" xr:uid="{00000000-0005-0000-0000-000075710000}"/>
    <cellStyle name="Note 41 2 13 2 3" xfId="29048" xr:uid="{00000000-0005-0000-0000-000076710000}"/>
    <cellStyle name="Note 41 2 13 3" xfId="29049" xr:uid="{00000000-0005-0000-0000-000077710000}"/>
    <cellStyle name="Note 41 2 13 4" xfId="29050" xr:uid="{00000000-0005-0000-0000-000078710000}"/>
    <cellStyle name="Note 41 2 14" xfId="29051" xr:uid="{00000000-0005-0000-0000-000079710000}"/>
    <cellStyle name="Note 41 2 14 2" xfId="29052" xr:uid="{00000000-0005-0000-0000-00007A710000}"/>
    <cellStyle name="Note 41 2 14 2 2" xfId="29053" xr:uid="{00000000-0005-0000-0000-00007B710000}"/>
    <cellStyle name="Note 41 2 14 2 3" xfId="29054" xr:uid="{00000000-0005-0000-0000-00007C710000}"/>
    <cellStyle name="Note 41 2 14 3" xfId="29055" xr:uid="{00000000-0005-0000-0000-00007D710000}"/>
    <cellStyle name="Note 41 2 14 4" xfId="29056" xr:uid="{00000000-0005-0000-0000-00007E710000}"/>
    <cellStyle name="Note 41 2 15" xfId="29057" xr:uid="{00000000-0005-0000-0000-00007F710000}"/>
    <cellStyle name="Note 41 2 15 2" xfId="29058" xr:uid="{00000000-0005-0000-0000-000080710000}"/>
    <cellStyle name="Note 41 2 15 2 2" xfId="29059" xr:uid="{00000000-0005-0000-0000-000081710000}"/>
    <cellStyle name="Note 41 2 15 2 3" xfId="29060" xr:uid="{00000000-0005-0000-0000-000082710000}"/>
    <cellStyle name="Note 41 2 15 3" xfId="29061" xr:uid="{00000000-0005-0000-0000-000083710000}"/>
    <cellStyle name="Note 41 2 15 4" xfId="29062" xr:uid="{00000000-0005-0000-0000-000084710000}"/>
    <cellStyle name="Note 41 2 16" xfId="29063" xr:uid="{00000000-0005-0000-0000-000085710000}"/>
    <cellStyle name="Note 41 2 16 2" xfId="29064" xr:uid="{00000000-0005-0000-0000-000086710000}"/>
    <cellStyle name="Note 41 2 16 2 2" xfId="29065" xr:uid="{00000000-0005-0000-0000-000087710000}"/>
    <cellStyle name="Note 41 2 16 2 3" xfId="29066" xr:uid="{00000000-0005-0000-0000-000088710000}"/>
    <cellStyle name="Note 41 2 16 3" xfId="29067" xr:uid="{00000000-0005-0000-0000-000089710000}"/>
    <cellStyle name="Note 41 2 16 4" xfId="29068" xr:uid="{00000000-0005-0000-0000-00008A710000}"/>
    <cellStyle name="Note 41 2 17" xfId="29069" xr:uid="{00000000-0005-0000-0000-00008B710000}"/>
    <cellStyle name="Note 41 2 17 2" xfId="29070" xr:uid="{00000000-0005-0000-0000-00008C710000}"/>
    <cellStyle name="Note 41 2 17 2 2" xfId="29071" xr:uid="{00000000-0005-0000-0000-00008D710000}"/>
    <cellStyle name="Note 41 2 17 2 3" xfId="29072" xr:uid="{00000000-0005-0000-0000-00008E710000}"/>
    <cellStyle name="Note 41 2 17 3" xfId="29073" xr:uid="{00000000-0005-0000-0000-00008F710000}"/>
    <cellStyle name="Note 41 2 17 4" xfId="29074" xr:uid="{00000000-0005-0000-0000-000090710000}"/>
    <cellStyle name="Note 41 2 18" xfId="29075" xr:uid="{00000000-0005-0000-0000-000091710000}"/>
    <cellStyle name="Note 41 2 18 2" xfId="29076" xr:uid="{00000000-0005-0000-0000-000092710000}"/>
    <cellStyle name="Note 41 2 18 3" xfId="29077" xr:uid="{00000000-0005-0000-0000-000093710000}"/>
    <cellStyle name="Note 41 2 18 4" xfId="29078" xr:uid="{00000000-0005-0000-0000-000094710000}"/>
    <cellStyle name="Note 41 2 19" xfId="29079" xr:uid="{00000000-0005-0000-0000-000095710000}"/>
    <cellStyle name="Note 41 2 2" xfId="29080" xr:uid="{00000000-0005-0000-0000-000096710000}"/>
    <cellStyle name="Note 41 2 2 2" xfId="29081" xr:uid="{00000000-0005-0000-0000-000097710000}"/>
    <cellStyle name="Note 41 2 2 2 2" xfId="29082" xr:uid="{00000000-0005-0000-0000-000098710000}"/>
    <cellStyle name="Note 41 2 2 2 3" xfId="29083" xr:uid="{00000000-0005-0000-0000-000099710000}"/>
    <cellStyle name="Note 41 2 2 3" xfId="29084" xr:uid="{00000000-0005-0000-0000-00009A710000}"/>
    <cellStyle name="Note 41 2 2 4" xfId="29085" xr:uid="{00000000-0005-0000-0000-00009B710000}"/>
    <cellStyle name="Note 41 2 20" xfId="29086" xr:uid="{00000000-0005-0000-0000-00009C710000}"/>
    <cellStyle name="Note 41 2 21" xfId="29087" xr:uid="{00000000-0005-0000-0000-00009D710000}"/>
    <cellStyle name="Note 41 2 3" xfId="29088" xr:uid="{00000000-0005-0000-0000-00009E710000}"/>
    <cellStyle name="Note 41 2 3 2" xfId="29089" xr:uid="{00000000-0005-0000-0000-00009F710000}"/>
    <cellStyle name="Note 41 2 3 2 2" xfId="29090" xr:uid="{00000000-0005-0000-0000-0000A0710000}"/>
    <cellStyle name="Note 41 2 3 2 3" xfId="29091" xr:uid="{00000000-0005-0000-0000-0000A1710000}"/>
    <cellStyle name="Note 41 2 3 3" xfId="29092" xr:uid="{00000000-0005-0000-0000-0000A2710000}"/>
    <cellStyle name="Note 41 2 3 4" xfId="29093" xr:uid="{00000000-0005-0000-0000-0000A3710000}"/>
    <cellStyle name="Note 41 2 4" xfId="29094" xr:uid="{00000000-0005-0000-0000-0000A4710000}"/>
    <cellStyle name="Note 41 2 4 2" xfId="29095" xr:uid="{00000000-0005-0000-0000-0000A5710000}"/>
    <cellStyle name="Note 41 2 4 2 2" xfId="29096" xr:uid="{00000000-0005-0000-0000-0000A6710000}"/>
    <cellStyle name="Note 41 2 4 2 3" xfId="29097" xr:uid="{00000000-0005-0000-0000-0000A7710000}"/>
    <cellStyle name="Note 41 2 4 3" xfId="29098" xr:uid="{00000000-0005-0000-0000-0000A8710000}"/>
    <cellStyle name="Note 41 2 4 4" xfId="29099" xr:uid="{00000000-0005-0000-0000-0000A9710000}"/>
    <cellStyle name="Note 41 2 5" xfId="29100" xr:uid="{00000000-0005-0000-0000-0000AA710000}"/>
    <cellStyle name="Note 41 2 5 2" xfId="29101" xr:uid="{00000000-0005-0000-0000-0000AB710000}"/>
    <cellStyle name="Note 41 2 5 2 2" xfId="29102" xr:uid="{00000000-0005-0000-0000-0000AC710000}"/>
    <cellStyle name="Note 41 2 5 2 3" xfId="29103" xr:uid="{00000000-0005-0000-0000-0000AD710000}"/>
    <cellStyle name="Note 41 2 5 3" xfId="29104" xr:uid="{00000000-0005-0000-0000-0000AE710000}"/>
    <cellStyle name="Note 41 2 5 4" xfId="29105" xr:uid="{00000000-0005-0000-0000-0000AF710000}"/>
    <cellStyle name="Note 41 2 6" xfId="29106" xr:uid="{00000000-0005-0000-0000-0000B0710000}"/>
    <cellStyle name="Note 41 2 6 2" xfId="29107" xr:uid="{00000000-0005-0000-0000-0000B1710000}"/>
    <cellStyle name="Note 41 2 6 2 2" xfId="29108" xr:uid="{00000000-0005-0000-0000-0000B2710000}"/>
    <cellStyle name="Note 41 2 6 2 3" xfId="29109" xr:uid="{00000000-0005-0000-0000-0000B3710000}"/>
    <cellStyle name="Note 41 2 6 3" xfId="29110" xr:uid="{00000000-0005-0000-0000-0000B4710000}"/>
    <cellStyle name="Note 41 2 6 4" xfId="29111" xr:uid="{00000000-0005-0000-0000-0000B5710000}"/>
    <cellStyle name="Note 41 2 7" xfId="29112" xr:uid="{00000000-0005-0000-0000-0000B6710000}"/>
    <cellStyle name="Note 41 2 7 2" xfId="29113" xr:uid="{00000000-0005-0000-0000-0000B7710000}"/>
    <cellStyle name="Note 41 2 7 2 2" xfId="29114" xr:uid="{00000000-0005-0000-0000-0000B8710000}"/>
    <cellStyle name="Note 41 2 7 2 3" xfId="29115" xr:uid="{00000000-0005-0000-0000-0000B9710000}"/>
    <cellStyle name="Note 41 2 7 3" xfId="29116" xr:uid="{00000000-0005-0000-0000-0000BA710000}"/>
    <cellStyle name="Note 41 2 7 4" xfId="29117" xr:uid="{00000000-0005-0000-0000-0000BB710000}"/>
    <cellStyle name="Note 41 2 8" xfId="29118" xr:uid="{00000000-0005-0000-0000-0000BC710000}"/>
    <cellStyle name="Note 41 2 8 2" xfId="29119" xr:uid="{00000000-0005-0000-0000-0000BD710000}"/>
    <cellStyle name="Note 41 2 8 2 2" xfId="29120" xr:uid="{00000000-0005-0000-0000-0000BE710000}"/>
    <cellStyle name="Note 41 2 8 2 3" xfId="29121" xr:uid="{00000000-0005-0000-0000-0000BF710000}"/>
    <cellStyle name="Note 41 2 8 3" xfId="29122" xr:uid="{00000000-0005-0000-0000-0000C0710000}"/>
    <cellStyle name="Note 41 2 8 4" xfId="29123" xr:uid="{00000000-0005-0000-0000-0000C1710000}"/>
    <cellStyle name="Note 41 2 9" xfId="29124" xr:uid="{00000000-0005-0000-0000-0000C2710000}"/>
    <cellStyle name="Note 41 2 9 2" xfId="29125" xr:uid="{00000000-0005-0000-0000-0000C3710000}"/>
    <cellStyle name="Note 41 2 9 2 2" xfId="29126" xr:uid="{00000000-0005-0000-0000-0000C4710000}"/>
    <cellStyle name="Note 41 2 9 2 3" xfId="29127" xr:uid="{00000000-0005-0000-0000-0000C5710000}"/>
    <cellStyle name="Note 41 2 9 3" xfId="29128" xr:uid="{00000000-0005-0000-0000-0000C6710000}"/>
    <cellStyle name="Note 41 2 9 4" xfId="29129" xr:uid="{00000000-0005-0000-0000-0000C7710000}"/>
    <cellStyle name="Note 41 3" xfId="29130" xr:uid="{00000000-0005-0000-0000-0000C8710000}"/>
    <cellStyle name="Note 41 3 2" xfId="29131" xr:uid="{00000000-0005-0000-0000-0000C9710000}"/>
    <cellStyle name="Note 41 3 2 2" xfId="29132" xr:uid="{00000000-0005-0000-0000-0000CA710000}"/>
    <cellStyle name="Note 41 3 2 3" xfId="29133" xr:uid="{00000000-0005-0000-0000-0000CB710000}"/>
    <cellStyle name="Note 41 3 3" xfId="29134" xr:uid="{00000000-0005-0000-0000-0000CC710000}"/>
    <cellStyle name="Note 41 3 4" xfId="29135" xr:uid="{00000000-0005-0000-0000-0000CD710000}"/>
    <cellStyle name="Note 41 4" xfId="29136" xr:uid="{00000000-0005-0000-0000-0000CE710000}"/>
    <cellStyle name="Note 41 5" xfId="29137" xr:uid="{00000000-0005-0000-0000-0000CF710000}"/>
    <cellStyle name="Note 42" xfId="29138" xr:uid="{00000000-0005-0000-0000-0000D0710000}"/>
    <cellStyle name="Note 42 2" xfId="29139" xr:uid="{00000000-0005-0000-0000-0000D1710000}"/>
    <cellStyle name="Note 42 2 10" xfId="29140" xr:uid="{00000000-0005-0000-0000-0000D2710000}"/>
    <cellStyle name="Note 42 2 10 2" xfId="29141" xr:uid="{00000000-0005-0000-0000-0000D3710000}"/>
    <cellStyle name="Note 42 2 10 2 2" xfId="29142" xr:uid="{00000000-0005-0000-0000-0000D4710000}"/>
    <cellStyle name="Note 42 2 10 2 3" xfId="29143" xr:uid="{00000000-0005-0000-0000-0000D5710000}"/>
    <cellStyle name="Note 42 2 10 3" xfId="29144" xr:uid="{00000000-0005-0000-0000-0000D6710000}"/>
    <cellStyle name="Note 42 2 10 4" xfId="29145" xr:uid="{00000000-0005-0000-0000-0000D7710000}"/>
    <cellStyle name="Note 42 2 11" xfId="29146" xr:uid="{00000000-0005-0000-0000-0000D8710000}"/>
    <cellStyle name="Note 42 2 11 2" xfId="29147" xr:uid="{00000000-0005-0000-0000-0000D9710000}"/>
    <cellStyle name="Note 42 2 11 2 2" xfId="29148" xr:uid="{00000000-0005-0000-0000-0000DA710000}"/>
    <cellStyle name="Note 42 2 11 2 3" xfId="29149" xr:uid="{00000000-0005-0000-0000-0000DB710000}"/>
    <cellStyle name="Note 42 2 11 3" xfId="29150" xr:uid="{00000000-0005-0000-0000-0000DC710000}"/>
    <cellStyle name="Note 42 2 11 4" xfId="29151" xr:uid="{00000000-0005-0000-0000-0000DD710000}"/>
    <cellStyle name="Note 42 2 12" xfId="29152" xr:uid="{00000000-0005-0000-0000-0000DE710000}"/>
    <cellStyle name="Note 42 2 12 2" xfId="29153" xr:uid="{00000000-0005-0000-0000-0000DF710000}"/>
    <cellStyle name="Note 42 2 12 2 2" xfId="29154" xr:uid="{00000000-0005-0000-0000-0000E0710000}"/>
    <cellStyle name="Note 42 2 12 2 3" xfId="29155" xr:uid="{00000000-0005-0000-0000-0000E1710000}"/>
    <cellStyle name="Note 42 2 12 3" xfId="29156" xr:uid="{00000000-0005-0000-0000-0000E2710000}"/>
    <cellStyle name="Note 42 2 12 4" xfId="29157" xr:uid="{00000000-0005-0000-0000-0000E3710000}"/>
    <cellStyle name="Note 42 2 13" xfId="29158" xr:uid="{00000000-0005-0000-0000-0000E4710000}"/>
    <cellStyle name="Note 42 2 13 2" xfId="29159" xr:uid="{00000000-0005-0000-0000-0000E5710000}"/>
    <cellStyle name="Note 42 2 13 2 2" xfId="29160" xr:uid="{00000000-0005-0000-0000-0000E6710000}"/>
    <cellStyle name="Note 42 2 13 2 3" xfId="29161" xr:uid="{00000000-0005-0000-0000-0000E7710000}"/>
    <cellStyle name="Note 42 2 13 3" xfId="29162" xr:uid="{00000000-0005-0000-0000-0000E8710000}"/>
    <cellStyle name="Note 42 2 13 4" xfId="29163" xr:uid="{00000000-0005-0000-0000-0000E9710000}"/>
    <cellStyle name="Note 42 2 14" xfId="29164" xr:uid="{00000000-0005-0000-0000-0000EA710000}"/>
    <cellStyle name="Note 42 2 14 2" xfId="29165" xr:uid="{00000000-0005-0000-0000-0000EB710000}"/>
    <cellStyle name="Note 42 2 14 2 2" xfId="29166" xr:uid="{00000000-0005-0000-0000-0000EC710000}"/>
    <cellStyle name="Note 42 2 14 2 3" xfId="29167" xr:uid="{00000000-0005-0000-0000-0000ED710000}"/>
    <cellStyle name="Note 42 2 14 3" xfId="29168" xr:uid="{00000000-0005-0000-0000-0000EE710000}"/>
    <cellStyle name="Note 42 2 14 4" xfId="29169" xr:uid="{00000000-0005-0000-0000-0000EF710000}"/>
    <cellStyle name="Note 42 2 15" xfId="29170" xr:uid="{00000000-0005-0000-0000-0000F0710000}"/>
    <cellStyle name="Note 42 2 15 2" xfId="29171" xr:uid="{00000000-0005-0000-0000-0000F1710000}"/>
    <cellStyle name="Note 42 2 15 2 2" xfId="29172" xr:uid="{00000000-0005-0000-0000-0000F2710000}"/>
    <cellStyle name="Note 42 2 15 2 3" xfId="29173" xr:uid="{00000000-0005-0000-0000-0000F3710000}"/>
    <cellStyle name="Note 42 2 15 3" xfId="29174" xr:uid="{00000000-0005-0000-0000-0000F4710000}"/>
    <cellStyle name="Note 42 2 15 4" xfId="29175" xr:uid="{00000000-0005-0000-0000-0000F5710000}"/>
    <cellStyle name="Note 42 2 16" xfId="29176" xr:uid="{00000000-0005-0000-0000-0000F6710000}"/>
    <cellStyle name="Note 42 2 16 2" xfId="29177" xr:uid="{00000000-0005-0000-0000-0000F7710000}"/>
    <cellStyle name="Note 42 2 16 2 2" xfId="29178" xr:uid="{00000000-0005-0000-0000-0000F8710000}"/>
    <cellStyle name="Note 42 2 16 2 3" xfId="29179" xr:uid="{00000000-0005-0000-0000-0000F9710000}"/>
    <cellStyle name="Note 42 2 16 3" xfId="29180" xr:uid="{00000000-0005-0000-0000-0000FA710000}"/>
    <cellStyle name="Note 42 2 16 4" xfId="29181" xr:uid="{00000000-0005-0000-0000-0000FB710000}"/>
    <cellStyle name="Note 42 2 17" xfId="29182" xr:uid="{00000000-0005-0000-0000-0000FC710000}"/>
    <cellStyle name="Note 42 2 17 2" xfId="29183" xr:uid="{00000000-0005-0000-0000-0000FD710000}"/>
    <cellStyle name="Note 42 2 17 2 2" xfId="29184" xr:uid="{00000000-0005-0000-0000-0000FE710000}"/>
    <cellStyle name="Note 42 2 17 2 3" xfId="29185" xr:uid="{00000000-0005-0000-0000-0000FF710000}"/>
    <cellStyle name="Note 42 2 17 3" xfId="29186" xr:uid="{00000000-0005-0000-0000-000000720000}"/>
    <cellStyle name="Note 42 2 17 4" xfId="29187" xr:uid="{00000000-0005-0000-0000-000001720000}"/>
    <cellStyle name="Note 42 2 18" xfId="29188" xr:uid="{00000000-0005-0000-0000-000002720000}"/>
    <cellStyle name="Note 42 2 18 2" xfId="29189" xr:uid="{00000000-0005-0000-0000-000003720000}"/>
    <cellStyle name="Note 42 2 18 3" xfId="29190" xr:uid="{00000000-0005-0000-0000-000004720000}"/>
    <cellStyle name="Note 42 2 18 4" xfId="29191" xr:uid="{00000000-0005-0000-0000-000005720000}"/>
    <cellStyle name="Note 42 2 19" xfId="29192" xr:uid="{00000000-0005-0000-0000-000006720000}"/>
    <cellStyle name="Note 42 2 2" xfId="29193" xr:uid="{00000000-0005-0000-0000-000007720000}"/>
    <cellStyle name="Note 42 2 2 2" xfId="29194" xr:uid="{00000000-0005-0000-0000-000008720000}"/>
    <cellStyle name="Note 42 2 2 2 2" xfId="29195" xr:uid="{00000000-0005-0000-0000-000009720000}"/>
    <cellStyle name="Note 42 2 2 2 3" xfId="29196" xr:uid="{00000000-0005-0000-0000-00000A720000}"/>
    <cellStyle name="Note 42 2 2 3" xfId="29197" xr:uid="{00000000-0005-0000-0000-00000B720000}"/>
    <cellStyle name="Note 42 2 2 4" xfId="29198" xr:uid="{00000000-0005-0000-0000-00000C720000}"/>
    <cellStyle name="Note 42 2 20" xfId="29199" xr:uid="{00000000-0005-0000-0000-00000D720000}"/>
    <cellStyle name="Note 42 2 21" xfId="29200" xr:uid="{00000000-0005-0000-0000-00000E720000}"/>
    <cellStyle name="Note 42 2 3" xfId="29201" xr:uid="{00000000-0005-0000-0000-00000F720000}"/>
    <cellStyle name="Note 42 2 3 2" xfId="29202" xr:uid="{00000000-0005-0000-0000-000010720000}"/>
    <cellStyle name="Note 42 2 3 2 2" xfId="29203" xr:uid="{00000000-0005-0000-0000-000011720000}"/>
    <cellStyle name="Note 42 2 3 2 3" xfId="29204" xr:uid="{00000000-0005-0000-0000-000012720000}"/>
    <cellStyle name="Note 42 2 3 3" xfId="29205" xr:uid="{00000000-0005-0000-0000-000013720000}"/>
    <cellStyle name="Note 42 2 3 4" xfId="29206" xr:uid="{00000000-0005-0000-0000-000014720000}"/>
    <cellStyle name="Note 42 2 4" xfId="29207" xr:uid="{00000000-0005-0000-0000-000015720000}"/>
    <cellStyle name="Note 42 2 4 2" xfId="29208" xr:uid="{00000000-0005-0000-0000-000016720000}"/>
    <cellStyle name="Note 42 2 4 2 2" xfId="29209" xr:uid="{00000000-0005-0000-0000-000017720000}"/>
    <cellStyle name="Note 42 2 4 2 3" xfId="29210" xr:uid="{00000000-0005-0000-0000-000018720000}"/>
    <cellStyle name="Note 42 2 4 3" xfId="29211" xr:uid="{00000000-0005-0000-0000-000019720000}"/>
    <cellStyle name="Note 42 2 4 4" xfId="29212" xr:uid="{00000000-0005-0000-0000-00001A720000}"/>
    <cellStyle name="Note 42 2 5" xfId="29213" xr:uid="{00000000-0005-0000-0000-00001B720000}"/>
    <cellStyle name="Note 42 2 5 2" xfId="29214" xr:uid="{00000000-0005-0000-0000-00001C720000}"/>
    <cellStyle name="Note 42 2 5 2 2" xfId="29215" xr:uid="{00000000-0005-0000-0000-00001D720000}"/>
    <cellStyle name="Note 42 2 5 2 3" xfId="29216" xr:uid="{00000000-0005-0000-0000-00001E720000}"/>
    <cellStyle name="Note 42 2 5 3" xfId="29217" xr:uid="{00000000-0005-0000-0000-00001F720000}"/>
    <cellStyle name="Note 42 2 5 4" xfId="29218" xr:uid="{00000000-0005-0000-0000-000020720000}"/>
    <cellStyle name="Note 42 2 6" xfId="29219" xr:uid="{00000000-0005-0000-0000-000021720000}"/>
    <cellStyle name="Note 42 2 6 2" xfId="29220" xr:uid="{00000000-0005-0000-0000-000022720000}"/>
    <cellStyle name="Note 42 2 6 2 2" xfId="29221" xr:uid="{00000000-0005-0000-0000-000023720000}"/>
    <cellStyle name="Note 42 2 6 2 3" xfId="29222" xr:uid="{00000000-0005-0000-0000-000024720000}"/>
    <cellStyle name="Note 42 2 6 3" xfId="29223" xr:uid="{00000000-0005-0000-0000-000025720000}"/>
    <cellStyle name="Note 42 2 6 4" xfId="29224" xr:uid="{00000000-0005-0000-0000-000026720000}"/>
    <cellStyle name="Note 42 2 7" xfId="29225" xr:uid="{00000000-0005-0000-0000-000027720000}"/>
    <cellStyle name="Note 42 2 7 2" xfId="29226" xr:uid="{00000000-0005-0000-0000-000028720000}"/>
    <cellStyle name="Note 42 2 7 2 2" xfId="29227" xr:uid="{00000000-0005-0000-0000-000029720000}"/>
    <cellStyle name="Note 42 2 7 2 3" xfId="29228" xr:uid="{00000000-0005-0000-0000-00002A720000}"/>
    <cellStyle name="Note 42 2 7 3" xfId="29229" xr:uid="{00000000-0005-0000-0000-00002B720000}"/>
    <cellStyle name="Note 42 2 7 4" xfId="29230" xr:uid="{00000000-0005-0000-0000-00002C720000}"/>
    <cellStyle name="Note 42 2 8" xfId="29231" xr:uid="{00000000-0005-0000-0000-00002D720000}"/>
    <cellStyle name="Note 42 2 8 2" xfId="29232" xr:uid="{00000000-0005-0000-0000-00002E720000}"/>
    <cellStyle name="Note 42 2 8 2 2" xfId="29233" xr:uid="{00000000-0005-0000-0000-00002F720000}"/>
    <cellStyle name="Note 42 2 8 2 3" xfId="29234" xr:uid="{00000000-0005-0000-0000-000030720000}"/>
    <cellStyle name="Note 42 2 8 3" xfId="29235" xr:uid="{00000000-0005-0000-0000-000031720000}"/>
    <cellStyle name="Note 42 2 8 4" xfId="29236" xr:uid="{00000000-0005-0000-0000-000032720000}"/>
    <cellStyle name="Note 42 2 9" xfId="29237" xr:uid="{00000000-0005-0000-0000-000033720000}"/>
    <cellStyle name="Note 42 2 9 2" xfId="29238" xr:uid="{00000000-0005-0000-0000-000034720000}"/>
    <cellStyle name="Note 42 2 9 2 2" xfId="29239" xr:uid="{00000000-0005-0000-0000-000035720000}"/>
    <cellStyle name="Note 42 2 9 2 3" xfId="29240" xr:uid="{00000000-0005-0000-0000-000036720000}"/>
    <cellStyle name="Note 42 2 9 3" xfId="29241" xr:uid="{00000000-0005-0000-0000-000037720000}"/>
    <cellStyle name="Note 42 2 9 4" xfId="29242" xr:uid="{00000000-0005-0000-0000-000038720000}"/>
    <cellStyle name="Note 42 3" xfId="29243" xr:uid="{00000000-0005-0000-0000-000039720000}"/>
    <cellStyle name="Note 42 3 2" xfId="29244" xr:uid="{00000000-0005-0000-0000-00003A720000}"/>
    <cellStyle name="Note 42 3 2 2" xfId="29245" xr:uid="{00000000-0005-0000-0000-00003B720000}"/>
    <cellStyle name="Note 42 3 2 3" xfId="29246" xr:uid="{00000000-0005-0000-0000-00003C720000}"/>
    <cellStyle name="Note 42 3 3" xfId="29247" xr:uid="{00000000-0005-0000-0000-00003D720000}"/>
    <cellStyle name="Note 42 3 4" xfId="29248" xr:uid="{00000000-0005-0000-0000-00003E720000}"/>
    <cellStyle name="Note 42 4" xfId="29249" xr:uid="{00000000-0005-0000-0000-00003F720000}"/>
    <cellStyle name="Note 42 5" xfId="29250" xr:uid="{00000000-0005-0000-0000-000040720000}"/>
    <cellStyle name="Note 43" xfId="29251" xr:uid="{00000000-0005-0000-0000-000041720000}"/>
    <cellStyle name="Note 43 2" xfId="29252" xr:uid="{00000000-0005-0000-0000-000042720000}"/>
    <cellStyle name="Note 43 2 10" xfId="29253" xr:uid="{00000000-0005-0000-0000-000043720000}"/>
    <cellStyle name="Note 43 2 10 2" xfId="29254" xr:uid="{00000000-0005-0000-0000-000044720000}"/>
    <cellStyle name="Note 43 2 10 2 2" xfId="29255" xr:uid="{00000000-0005-0000-0000-000045720000}"/>
    <cellStyle name="Note 43 2 10 2 3" xfId="29256" xr:uid="{00000000-0005-0000-0000-000046720000}"/>
    <cellStyle name="Note 43 2 10 3" xfId="29257" xr:uid="{00000000-0005-0000-0000-000047720000}"/>
    <cellStyle name="Note 43 2 10 4" xfId="29258" xr:uid="{00000000-0005-0000-0000-000048720000}"/>
    <cellStyle name="Note 43 2 11" xfId="29259" xr:uid="{00000000-0005-0000-0000-000049720000}"/>
    <cellStyle name="Note 43 2 11 2" xfId="29260" xr:uid="{00000000-0005-0000-0000-00004A720000}"/>
    <cellStyle name="Note 43 2 11 2 2" xfId="29261" xr:uid="{00000000-0005-0000-0000-00004B720000}"/>
    <cellStyle name="Note 43 2 11 2 3" xfId="29262" xr:uid="{00000000-0005-0000-0000-00004C720000}"/>
    <cellStyle name="Note 43 2 11 3" xfId="29263" xr:uid="{00000000-0005-0000-0000-00004D720000}"/>
    <cellStyle name="Note 43 2 11 4" xfId="29264" xr:uid="{00000000-0005-0000-0000-00004E720000}"/>
    <cellStyle name="Note 43 2 12" xfId="29265" xr:uid="{00000000-0005-0000-0000-00004F720000}"/>
    <cellStyle name="Note 43 2 12 2" xfId="29266" xr:uid="{00000000-0005-0000-0000-000050720000}"/>
    <cellStyle name="Note 43 2 12 2 2" xfId="29267" xr:uid="{00000000-0005-0000-0000-000051720000}"/>
    <cellStyle name="Note 43 2 12 2 3" xfId="29268" xr:uid="{00000000-0005-0000-0000-000052720000}"/>
    <cellStyle name="Note 43 2 12 3" xfId="29269" xr:uid="{00000000-0005-0000-0000-000053720000}"/>
    <cellStyle name="Note 43 2 12 4" xfId="29270" xr:uid="{00000000-0005-0000-0000-000054720000}"/>
    <cellStyle name="Note 43 2 13" xfId="29271" xr:uid="{00000000-0005-0000-0000-000055720000}"/>
    <cellStyle name="Note 43 2 13 2" xfId="29272" xr:uid="{00000000-0005-0000-0000-000056720000}"/>
    <cellStyle name="Note 43 2 13 2 2" xfId="29273" xr:uid="{00000000-0005-0000-0000-000057720000}"/>
    <cellStyle name="Note 43 2 13 2 3" xfId="29274" xr:uid="{00000000-0005-0000-0000-000058720000}"/>
    <cellStyle name="Note 43 2 13 3" xfId="29275" xr:uid="{00000000-0005-0000-0000-000059720000}"/>
    <cellStyle name="Note 43 2 13 4" xfId="29276" xr:uid="{00000000-0005-0000-0000-00005A720000}"/>
    <cellStyle name="Note 43 2 14" xfId="29277" xr:uid="{00000000-0005-0000-0000-00005B720000}"/>
    <cellStyle name="Note 43 2 14 2" xfId="29278" xr:uid="{00000000-0005-0000-0000-00005C720000}"/>
    <cellStyle name="Note 43 2 14 2 2" xfId="29279" xr:uid="{00000000-0005-0000-0000-00005D720000}"/>
    <cellStyle name="Note 43 2 14 2 3" xfId="29280" xr:uid="{00000000-0005-0000-0000-00005E720000}"/>
    <cellStyle name="Note 43 2 14 3" xfId="29281" xr:uid="{00000000-0005-0000-0000-00005F720000}"/>
    <cellStyle name="Note 43 2 14 4" xfId="29282" xr:uid="{00000000-0005-0000-0000-000060720000}"/>
    <cellStyle name="Note 43 2 15" xfId="29283" xr:uid="{00000000-0005-0000-0000-000061720000}"/>
    <cellStyle name="Note 43 2 15 2" xfId="29284" xr:uid="{00000000-0005-0000-0000-000062720000}"/>
    <cellStyle name="Note 43 2 15 2 2" xfId="29285" xr:uid="{00000000-0005-0000-0000-000063720000}"/>
    <cellStyle name="Note 43 2 15 2 3" xfId="29286" xr:uid="{00000000-0005-0000-0000-000064720000}"/>
    <cellStyle name="Note 43 2 15 3" xfId="29287" xr:uid="{00000000-0005-0000-0000-000065720000}"/>
    <cellStyle name="Note 43 2 15 4" xfId="29288" xr:uid="{00000000-0005-0000-0000-000066720000}"/>
    <cellStyle name="Note 43 2 16" xfId="29289" xr:uid="{00000000-0005-0000-0000-000067720000}"/>
    <cellStyle name="Note 43 2 16 2" xfId="29290" xr:uid="{00000000-0005-0000-0000-000068720000}"/>
    <cellStyle name="Note 43 2 16 2 2" xfId="29291" xr:uid="{00000000-0005-0000-0000-000069720000}"/>
    <cellStyle name="Note 43 2 16 2 3" xfId="29292" xr:uid="{00000000-0005-0000-0000-00006A720000}"/>
    <cellStyle name="Note 43 2 16 3" xfId="29293" xr:uid="{00000000-0005-0000-0000-00006B720000}"/>
    <cellStyle name="Note 43 2 16 4" xfId="29294" xr:uid="{00000000-0005-0000-0000-00006C720000}"/>
    <cellStyle name="Note 43 2 17" xfId="29295" xr:uid="{00000000-0005-0000-0000-00006D720000}"/>
    <cellStyle name="Note 43 2 17 2" xfId="29296" xr:uid="{00000000-0005-0000-0000-00006E720000}"/>
    <cellStyle name="Note 43 2 17 2 2" xfId="29297" xr:uid="{00000000-0005-0000-0000-00006F720000}"/>
    <cellStyle name="Note 43 2 17 2 3" xfId="29298" xr:uid="{00000000-0005-0000-0000-000070720000}"/>
    <cellStyle name="Note 43 2 17 3" xfId="29299" xr:uid="{00000000-0005-0000-0000-000071720000}"/>
    <cellStyle name="Note 43 2 17 4" xfId="29300" xr:uid="{00000000-0005-0000-0000-000072720000}"/>
    <cellStyle name="Note 43 2 18" xfId="29301" xr:uid="{00000000-0005-0000-0000-000073720000}"/>
    <cellStyle name="Note 43 2 18 2" xfId="29302" xr:uid="{00000000-0005-0000-0000-000074720000}"/>
    <cellStyle name="Note 43 2 18 3" xfId="29303" xr:uid="{00000000-0005-0000-0000-000075720000}"/>
    <cellStyle name="Note 43 2 18 4" xfId="29304" xr:uid="{00000000-0005-0000-0000-000076720000}"/>
    <cellStyle name="Note 43 2 19" xfId="29305" xr:uid="{00000000-0005-0000-0000-000077720000}"/>
    <cellStyle name="Note 43 2 2" xfId="29306" xr:uid="{00000000-0005-0000-0000-000078720000}"/>
    <cellStyle name="Note 43 2 2 2" xfId="29307" xr:uid="{00000000-0005-0000-0000-000079720000}"/>
    <cellStyle name="Note 43 2 2 2 2" xfId="29308" xr:uid="{00000000-0005-0000-0000-00007A720000}"/>
    <cellStyle name="Note 43 2 2 2 3" xfId="29309" xr:uid="{00000000-0005-0000-0000-00007B720000}"/>
    <cellStyle name="Note 43 2 2 3" xfId="29310" xr:uid="{00000000-0005-0000-0000-00007C720000}"/>
    <cellStyle name="Note 43 2 2 4" xfId="29311" xr:uid="{00000000-0005-0000-0000-00007D720000}"/>
    <cellStyle name="Note 43 2 20" xfId="29312" xr:uid="{00000000-0005-0000-0000-00007E720000}"/>
    <cellStyle name="Note 43 2 21" xfId="29313" xr:uid="{00000000-0005-0000-0000-00007F720000}"/>
    <cellStyle name="Note 43 2 3" xfId="29314" xr:uid="{00000000-0005-0000-0000-000080720000}"/>
    <cellStyle name="Note 43 2 3 2" xfId="29315" xr:uid="{00000000-0005-0000-0000-000081720000}"/>
    <cellStyle name="Note 43 2 3 2 2" xfId="29316" xr:uid="{00000000-0005-0000-0000-000082720000}"/>
    <cellStyle name="Note 43 2 3 2 3" xfId="29317" xr:uid="{00000000-0005-0000-0000-000083720000}"/>
    <cellStyle name="Note 43 2 3 3" xfId="29318" xr:uid="{00000000-0005-0000-0000-000084720000}"/>
    <cellStyle name="Note 43 2 3 4" xfId="29319" xr:uid="{00000000-0005-0000-0000-000085720000}"/>
    <cellStyle name="Note 43 2 4" xfId="29320" xr:uid="{00000000-0005-0000-0000-000086720000}"/>
    <cellStyle name="Note 43 2 4 2" xfId="29321" xr:uid="{00000000-0005-0000-0000-000087720000}"/>
    <cellStyle name="Note 43 2 4 2 2" xfId="29322" xr:uid="{00000000-0005-0000-0000-000088720000}"/>
    <cellStyle name="Note 43 2 4 2 3" xfId="29323" xr:uid="{00000000-0005-0000-0000-000089720000}"/>
    <cellStyle name="Note 43 2 4 3" xfId="29324" xr:uid="{00000000-0005-0000-0000-00008A720000}"/>
    <cellStyle name="Note 43 2 4 4" xfId="29325" xr:uid="{00000000-0005-0000-0000-00008B720000}"/>
    <cellStyle name="Note 43 2 5" xfId="29326" xr:uid="{00000000-0005-0000-0000-00008C720000}"/>
    <cellStyle name="Note 43 2 5 2" xfId="29327" xr:uid="{00000000-0005-0000-0000-00008D720000}"/>
    <cellStyle name="Note 43 2 5 2 2" xfId="29328" xr:uid="{00000000-0005-0000-0000-00008E720000}"/>
    <cellStyle name="Note 43 2 5 2 3" xfId="29329" xr:uid="{00000000-0005-0000-0000-00008F720000}"/>
    <cellStyle name="Note 43 2 5 3" xfId="29330" xr:uid="{00000000-0005-0000-0000-000090720000}"/>
    <cellStyle name="Note 43 2 5 4" xfId="29331" xr:uid="{00000000-0005-0000-0000-000091720000}"/>
    <cellStyle name="Note 43 2 6" xfId="29332" xr:uid="{00000000-0005-0000-0000-000092720000}"/>
    <cellStyle name="Note 43 2 6 2" xfId="29333" xr:uid="{00000000-0005-0000-0000-000093720000}"/>
    <cellStyle name="Note 43 2 6 2 2" xfId="29334" xr:uid="{00000000-0005-0000-0000-000094720000}"/>
    <cellStyle name="Note 43 2 6 2 3" xfId="29335" xr:uid="{00000000-0005-0000-0000-000095720000}"/>
    <cellStyle name="Note 43 2 6 3" xfId="29336" xr:uid="{00000000-0005-0000-0000-000096720000}"/>
    <cellStyle name="Note 43 2 6 4" xfId="29337" xr:uid="{00000000-0005-0000-0000-000097720000}"/>
    <cellStyle name="Note 43 2 7" xfId="29338" xr:uid="{00000000-0005-0000-0000-000098720000}"/>
    <cellStyle name="Note 43 2 7 2" xfId="29339" xr:uid="{00000000-0005-0000-0000-000099720000}"/>
    <cellStyle name="Note 43 2 7 2 2" xfId="29340" xr:uid="{00000000-0005-0000-0000-00009A720000}"/>
    <cellStyle name="Note 43 2 7 2 3" xfId="29341" xr:uid="{00000000-0005-0000-0000-00009B720000}"/>
    <cellStyle name="Note 43 2 7 3" xfId="29342" xr:uid="{00000000-0005-0000-0000-00009C720000}"/>
    <cellStyle name="Note 43 2 7 4" xfId="29343" xr:uid="{00000000-0005-0000-0000-00009D720000}"/>
    <cellStyle name="Note 43 2 8" xfId="29344" xr:uid="{00000000-0005-0000-0000-00009E720000}"/>
    <cellStyle name="Note 43 2 8 2" xfId="29345" xr:uid="{00000000-0005-0000-0000-00009F720000}"/>
    <cellStyle name="Note 43 2 8 2 2" xfId="29346" xr:uid="{00000000-0005-0000-0000-0000A0720000}"/>
    <cellStyle name="Note 43 2 8 2 3" xfId="29347" xr:uid="{00000000-0005-0000-0000-0000A1720000}"/>
    <cellStyle name="Note 43 2 8 3" xfId="29348" xr:uid="{00000000-0005-0000-0000-0000A2720000}"/>
    <cellStyle name="Note 43 2 8 4" xfId="29349" xr:uid="{00000000-0005-0000-0000-0000A3720000}"/>
    <cellStyle name="Note 43 2 9" xfId="29350" xr:uid="{00000000-0005-0000-0000-0000A4720000}"/>
    <cellStyle name="Note 43 2 9 2" xfId="29351" xr:uid="{00000000-0005-0000-0000-0000A5720000}"/>
    <cellStyle name="Note 43 2 9 2 2" xfId="29352" xr:uid="{00000000-0005-0000-0000-0000A6720000}"/>
    <cellStyle name="Note 43 2 9 2 3" xfId="29353" xr:uid="{00000000-0005-0000-0000-0000A7720000}"/>
    <cellStyle name="Note 43 2 9 3" xfId="29354" xr:uid="{00000000-0005-0000-0000-0000A8720000}"/>
    <cellStyle name="Note 43 2 9 4" xfId="29355" xr:uid="{00000000-0005-0000-0000-0000A9720000}"/>
    <cellStyle name="Note 43 3" xfId="29356" xr:uid="{00000000-0005-0000-0000-0000AA720000}"/>
    <cellStyle name="Note 43 3 2" xfId="29357" xr:uid="{00000000-0005-0000-0000-0000AB720000}"/>
    <cellStyle name="Note 43 3 2 2" xfId="29358" xr:uid="{00000000-0005-0000-0000-0000AC720000}"/>
    <cellStyle name="Note 43 3 2 3" xfId="29359" xr:uid="{00000000-0005-0000-0000-0000AD720000}"/>
    <cellStyle name="Note 43 3 3" xfId="29360" xr:uid="{00000000-0005-0000-0000-0000AE720000}"/>
    <cellStyle name="Note 43 3 4" xfId="29361" xr:uid="{00000000-0005-0000-0000-0000AF720000}"/>
    <cellStyle name="Note 43 4" xfId="29362" xr:uid="{00000000-0005-0000-0000-0000B0720000}"/>
    <cellStyle name="Note 43 5" xfId="29363" xr:uid="{00000000-0005-0000-0000-0000B1720000}"/>
    <cellStyle name="Note 44" xfId="29364" xr:uid="{00000000-0005-0000-0000-0000B2720000}"/>
    <cellStyle name="Note 44 2" xfId="29365" xr:uid="{00000000-0005-0000-0000-0000B3720000}"/>
    <cellStyle name="Note 44 2 10" xfId="29366" xr:uid="{00000000-0005-0000-0000-0000B4720000}"/>
    <cellStyle name="Note 44 2 10 2" xfId="29367" xr:uid="{00000000-0005-0000-0000-0000B5720000}"/>
    <cellStyle name="Note 44 2 10 2 2" xfId="29368" xr:uid="{00000000-0005-0000-0000-0000B6720000}"/>
    <cellStyle name="Note 44 2 10 2 3" xfId="29369" xr:uid="{00000000-0005-0000-0000-0000B7720000}"/>
    <cellStyle name="Note 44 2 10 3" xfId="29370" xr:uid="{00000000-0005-0000-0000-0000B8720000}"/>
    <cellStyle name="Note 44 2 10 4" xfId="29371" xr:uid="{00000000-0005-0000-0000-0000B9720000}"/>
    <cellStyle name="Note 44 2 11" xfId="29372" xr:uid="{00000000-0005-0000-0000-0000BA720000}"/>
    <cellStyle name="Note 44 2 11 2" xfId="29373" xr:uid="{00000000-0005-0000-0000-0000BB720000}"/>
    <cellStyle name="Note 44 2 11 2 2" xfId="29374" xr:uid="{00000000-0005-0000-0000-0000BC720000}"/>
    <cellStyle name="Note 44 2 11 2 3" xfId="29375" xr:uid="{00000000-0005-0000-0000-0000BD720000}"/>
    <cellStyle name="Note 44 2 11 3" xfId="29376" xr:uid="{00000000-0005-0000-0000-0000BE720000}"/>
    <cellStyle name="Note 44 2 11 4" xfId="29377" xr:uid="{00000000-0005-0000-0000-0000BF720000}"/>
    <cellStyle name="Note 44 2 12" xfId="29378" xr:uid="{00000000-0005-0000-0000-0000C0720000}"/>
    <cellStyle name="Note 44 2 12 2" xfId="29379" xr:uid="{00000000-0005-0000-0000-0000C1720000}"/>
    <cellStyle name="Note 44 2 12 2 2" xfId="29380" xr:uid="{00000000-0005-0000-0000-0000C2720000}"/>
    <cellStyle name="Note 44 2 12 2 3" xfId="29381" xr:uid="{00000000-0005-0000-0000-0000C3720000}"/>
    <cellStyle name="Note 44 2 12 3" xfId="29382" xr:uid="{00000000-0005-0000-0000-0000C4720000}"/>
    <cellStyle name="Note 44 2 12 4" xfId="29383" xr:uid="{00000000-0005-0000-0000-0000C5720000}"/>
    <cellStyle name="Note 44 2 13" xfId="29384" xr:uid="{00000000-0005-0000-0000-0000C6720000}"/>
    <cellStyle name="Note 44 2 13 2" xfId="29385" xr:uid="{00000000-0005-0000-0000-0000C7720000}"/>
    <cellStyle name="Note 44 2 13 2 2" xfId="29386" xr:uid="{00000000-0005-0000-0000-0000C8720000}"/>
    <cellStyle name="Note 44 2 13 2 3" xfId="29387" xr:uid="{00000000-0005-0000-0000-0000C9720000}"/>
    <cellStyle name="Note 44 2 13 3" xfId="29388" xr:uid="{00000000-0005-0000-0000-0000CA720000}"/>
    <cellStyle name="Note 44 2 13 4" xfId="29389" xr:uid="{00000000-0005-0000-0000-0000CB720000}"/>
    <cellStyle name="Note 44 2 14" xfId="29390" xr:uid="{00000000-0005-0000-0000-0000CC720000}"/>
    <cellStyle name="Note 44 2 14 2" xfId="29391" xr:uid="{00000000-0005-0000-0000-0000CD720000}"/>
    <cellStyle name="Note 44 2 14 2 2" xfId="29392" xr:uid="{00000000-0005-0000-0000-0000CE720000}"/>
    <cellStyle name="Note 44 2 14 2 3" xfId="29393" xr:uid="{00000000-0005-0000-0000-0000CF720000}"/>
    <cellStyle name="Note 44 2 14 3" xfId="29394" xr:uid="{00000000-0005-0000-0000-0000D0720000}"/>
    <cellStyle name="Note 44 2 14 4" xfId="29395" xr:uid="{00000000-0005-0000-0000-0000D1720000}"/>
    <cellStyle name="Note 44 2 15" xfId="29396" xr:uid="{00000000-0005-0000-0000-0000D2720000}"/>
    <cellStyle name="Note 44 2 15 2" xfId="29397" xr:uid="{00000000-0005-0000-0000-0000D3720000}"/>
    <cellStyle name="Note 44 2 15 2 2" xfId="29398" xr:uid="{00000000-0005-0000-0000-0000D4720000}"/>
    <cellStyle name="Note 44 2 15 2 3" xfId="29399" xr:uid="{00000000-0005-0000-0000-0000D5720000}"/>
    <cellStyle name="Note 44 2 15 3" xfId="29400" xr:uid="{00000000-0005-0000-0000-0000D6720000}"/>
    <cellStyle name="Note 44 2 15 4" xfId="29401" xr:uid="{00000000-0005-0000-0000-0000D7720000}"/>
    <cellStyle name="Note 44 2 16" xfId="29402" xr:uid="{00000000-0005-0000-0000-0000D8720000}"/>
    <cellStyle name="Note 44 2 16 2" xfId="29403" xr:uid="{00000000-0005-0000-0000-0000D9720000}"/>
    <cellStyle name="Note 44 2 16 2 2" xfId="29404" xr:uid="{00000000-0005-0000-0000-0000DA720000}"/>
    <cellStyle name="Note 44 2 16 2 3" xfId="29405" xr:uid="{00000000-0005-0000-0000-0000DB720000}"/>
    <cellStyle name="Note 44 2 16 3" xfId="29406" xr:uid="{00000000-0005-0000-0000-0000DC720000}"/>
    <cellStyle name="Note 44 2 16 4" xfId="29407" xr:uid="{00000000-0005-0000-0000-0000DD720000}"/>
    <cellStyle name="Note 44 2 17" xfId="29408" xr:uid="{00000000-0005-0000-0000-0000DE720000}"/>
    <cellStyle name="Note 44 2 17 2" xfId="29409" xr:uid="{00000000-0005-0000-0000-0000DF720000}"/>
    <cellStyle name="Note 44 2 17 2 2" xfId="29410" xr:uid="{00000000-0005-0000-0000-0000E0720000}"/>
    <cellStyle name="Note 44 2 17 2 3" xfId="29411" xr:uid="{00000000-0005-0000-0000-0000E1720000}"/>
    <cellStyle name="Note 44 2 17 3" xfId="29412" xr:uid="{00000000-0005-0000-0000-0000E2720000}"/>
    <cellStyle name="Note 44 2 17 4" xfId="29413" xr:uid="{00000000-0005-0000-0000-0000E3720000}"/>
    <cellStyle name="Note 44 2 18" xfId="29414" xr:uid="{00000000-0005-0000-0000-0000E4720000}"/>
    <cellStyle name="Note 44 2 18 2" xfId="29415" xr:uid="{00000000-0005-0000-0000-0000E5720000}"/>
    <cellStyle name="Note 44 2 18 3" xfId="29416" xr:uid="{00000000-0005-0000-0000-0000E6720000}"/>
    <cellStyle name="Note 44 2 18 4" xfId="29417" xr:uid="{00000000-0005-0000-0000-0000E7720000}"/>
    <cellStyle name="Note 44 2 19" xfId="29418" xr:uid="{00000000-0005-0000-0000-0000E8720000}"/>
    <cellStyle name="Note 44 2 2" xfId="29419" xr:uid="{00000000-0005-0000-0000-0000E9720000}"/>
    <cellStyle name="Note 44 2 2 2" xfId="29420" xr:uid="{00000000-0005-0000-0000-0000EA720000}"/>
    <cellStyle name="Note 44 2 2 2 2" xfId="29421" xr:uid="{00000000-0005-0000-0000-0000EB720000}"/>
    <cellStyle name="Note 44 2 2 2 3" xfId="29422" xr:uid="{00000000-0005-0000-0000-0000EC720000}"/>
    <cellStyle name="Note 44 2 2 3" xfId="29423" xr:uid="{00000000-0005-0000-0000-0000ED720000}"/>
    <cellStyle name="Note 44 2 2 4" xfId="29424" xr:uid="{00000000-0005-0000-0000-0000EE720000}"/>
    <cellStyle name="Note 44 2 20" xfId="29425" xr:uid="{00000000-0005-0000-0000-0000EF720000}"/>
    <cellStyle name="Note 44 2 21" xfId="29426" xr:uid="{00000000-0005-0000-0000-0000F0720000}"/>
    <cellStyle name="Note 44 2 3" xfId="29427" xr:uid="{00000000-0005-0000-0000-0000F1720000}"/>
    <cellStyle name="Note 44 2 3 2" xfId="29428" xr:uid="{00000000-0005-0000-0000-0000F2720000}"/>
    <cellStyle name="Note 44 2 3 2 2" xfId="29429" xr:uid="{00000000-0005-0000-0000-0000F3720000}"/>
    <cellStyle name="Note 44 2 3 2 3" xfId="29430" xr:uid="{00000000-0005-0000-0000-0000F4720000}"/>
    <cellStyle name="Note 44 2 3 3" xfId="29431" xr:uid="{00000000-0005-0000-0000-0000F5720000}"/>
    <cellStyle name="Note 44 2 3 4" xfId="29432" xr:uid="{00000000-0005-0000-0000-0000F6720000}"/>
    <cellStyle name="Note 44 2 4" xfId="29433" xr:uid="{00000000-0005-0000-0000-0000F7720000}"/>
    <cellStyle name="Note 44 2 4 2" xfId="29434" xr:uid="{00000000-0005-0000-0000-0000F8720000}"/>
    <cellStyle name="Note 44 2 4 2 2" xfId="29435" xr:uid="{00000000-0005-0000-0000-0000F9720000}"/>
    <cellStyle name="Note 44 2 4 2 3" xfId="29436" xr:uid="{00000000-0005-0000-0000-0000FA720000}"/>
    <cellStyle name="Note 44 2 4 3" xfId="29437" xr:uid="{00000000-0005-0000-0000-0000FB720000}"/>
    <cellStyle name="Note 44 2 4 4" xfId="29438" xr:uid="{00000000-0005-0000-0000-0000FC720000}"/>
    <cellStyle name="Note 44 2 5" xfId="29439" xr:uid="{00000000-0005-0000-0000-0000FD720000}"/>
    <cellStyle name="Note 44 2 5 2" xfId="29440" xr:uid="{00000000-0005-0000-0000-0000FE720000}"/>
    <cellStyle name="Note 44 2 5 2 2" xfId="29441" xr:uid="{00000000-0005-0000-0000-0000FF720000}"/>
    <cellStyle name="Note 44 2 5 2 3" xfId="29442" xr:uid="{00000000-0005-0000-0000-000000730000}"/>
    <cellStyle name="Note 44 2 5 3" xfId="29443" xr:uid="{00000000-0005-0000-0000-000001730000}"/>
    <cellStyle name="Note 44 2 5 4" xfId="29444" xr:uid="{00000000-0005-0000-0000-000002730000}"/>
    <cellStyle name="Note 44 2 6" xfId="29445" xr:uid="{00000000-0005-0000-0000-000003730000}"/>
    <cellStyle name="Note 44 2 6 2" xfId="29446" xr:uid="{00000000-0005-0000-0000-000004730000}"/>
    <cellStyle name="Note 44 2 6 2 2" xfId="29447" xr:uid="{00000000-0005-0000-0000-000005730000}"/>
    <cellStyle name="Note 44 2 6 2 3" xfId="29448" xr:uid="{00000000-0005-0000-0000-000006730000}"/>
    <cellStyle name="Note 44 2 6 3" xfId="29449" xr:uid="{00000000-0005-0000-0000-000007730000}"/>
    <cellStyle name="Note 44 2 6 4" xfId="29450" xr:uid="{00000000-0005-0000-0000-000008730000}"/>
    <cellStyle name="Note 44 2 7" xfId="29451" xr:uid="{00000000-0005-0000-0000-000009730000}"/>
    <cellStyle name="Note 44 2 7 2" xfId="29452" xr:uid="{00000000-0005-0000-0000-00000A730000}"/>
    <cellStyle name="Note 44 2 7 2 2" xfId="29453" xr:uid="{00000000-0005-0000-0000-00000B730000}"/>
    <cellStyle name="Note 44 2 7 2 3" xfId="29454" xr:uid="{00000000-0005-0000-0000-00000C730000}"/>
    <cellStyle name="Note 44 2 7 3" xfId="29455" xr:uid="{00000000-0005-0000-0000-00000D730000}"/>
    <cellStyle name="Note 44 2 7 4" xfId="29456" xr:uid="{00000000-0005-0000-0000-00000E730000}"/>
    <cellStyle name="Note 44 2 8" xfId="29457" xr:uid="{00000000-0005-0000-0000-00000F730000}"/>
    <cellStyle name="Note 44 2 8 2" xfId="29458" xr:uid="{00000000-0005-0000-0000-000010730000}"/>
    <cellStyle name="Note 44 2 8 2 2" xfId="29459" xr:uid="{00000000-0005-0000-0000-000011730000}"/>
    <cellStyle name="Note 44 2 8 2 3" xfId="29460" xr:uid="{00000000-0005-0000-0000-000012730000}"/>
    <cellStyle name="Note 44 2 8 3" xfId="29461" xr:uid="{00000000-0005-0000-0000-000013730000}"/>
    <cellStyle name="Note 44 2 8 4" xfId="29462" xr:uid="{00000000-0005-0000-0000-000014730000}"/>
    <cellStyle name="Note 44 2 9" xfId="29463" xr:uid="{00000000-0005-0000-0000-000015730000}"/>
    <cellStyle name="Note 44 2 9 2" xfId="29464" xr:uid="{00000000-0005-0000-0000-000016730000}"/>
    <cellStyle name="Note 44 2 9 2 2" xfId="29465" xr:uid="{00000000-0005-0000-0000-000017730000}"/>
    <cellStyle name="Note 44 2 9 2 3" xfId="29466" xr:uid="{00000000-0005-0000-0000-000018730000}"/>
    <cellStyle name="Note 44 2 9 3" xfId="29467" xr:uid="{00000000-0005-0000-0000-000019730000}"/>
    <cellStyle name="Note 44 2 9 4" xfId="29468" xr:uid="{00000000-0005-0000-0000-00001A730000}"/>
    <cellStyle name="Note 44 3" xfId="29469" xr:uid="{00000000-0005-0000-0000-00001B730000}"/>
    <cellStyle name="Note 44 3 2" xfId="29470" xr:uid="{00000000-0005-0000-0000-00001C730000}"/>
    <cellStyle name="Note 44 3 2 2" xfId="29471" xr:uid="{00000000-0005-0000-0000-00001D730000}"/>
    <cellStyle name="Note 44 3 2 3" xfId="29472" xr:uid="{00000000-0005-0000-0000-00001E730000}"/>
    <cellStyle name="Note 44 3 3" xfId="29473" xr:uid="{00000000-0005-0000-0000-00001F730000}"/>
    <cellStyle name="Note 44 3 4" xfId="29474" xr:uid="{00000000-0005-0000-0000-000020730000}"/>
    <cellStyle name="Note 44 4" xfId="29475" xr:uid="{00000000-0005-0000-0000-000021730000}"/>
    <cellStyle name="Note 44 5" xfId="29476" xr:uid="{00000000-0005-0000-0000-000022730000}"/>
    <cellStyle name="Note 45" xfId="29477" xr:uid="{00000000-0005-0000-0000-000023730000}"/>
    <cellStyle name="Note 45 2" xfId="29478" xr:uid="{00000000-0005-0000-0000-000024730000}"/>
    <cellStyle name="Note 45 2 10" xfId="29479" xr:uid="{00000000-0005-0000-0000-000025730000}"/>
    <cellStyle name="Note 45 2 10 2" xfId="29480" xr:uid="{00000000-0005-0000-0000-000026730000}"/>
    <cellStyle name="Note 45 2 10 2 2" xfId="29481" xr:uid="{00000000-0005-0000-0000-000027730000}"/>
    <cellStyle name="Note 45 2 10 2 3" xfId="29482" xr:uid="{00000000-0005-0000-0000-000028730000}"/>
    <cellStyle name="Note 45 2 10 3" xfId="29483" xr:uid="{00000000-0005-0000-0000-000029730000}"/>
    <cellStyle name="Note 45 2 10 4" xfId="29484" xr:uid="{00000000-0005-0000-0000-00002A730000}"/>
    <cellStyle name="Note 45 2 11" xfId="29485" xr:uid="{00000000-0005-0000-0000-00002B730000}"/>
    <cellStyle name="Note 45 2 11 2" xfId="29486" xr:uid="{00000000-0005-0000-0000-00002C730000}"/>
    <cellStyle name="Note 45 2 11 2 2" xfId="29487" xr:uid="{00000000-0005-0000-0000-00002D730000}"/>
    <cellStyle name="Note 45 2 11 2 3" xfId="29488" xr:uid="{00000000-0005-0000-0000-00002E730000}"/>
    <cellStyle name="Note 45 2 11 3" xfId="29489" xr:uid="{00000000-0005-0000-0000-00002F730000}"/>
    <cellStyle name="Note 45 2 11 4" xfId="29490" xr:uid="{00000000-0005-0000-0000-000030730000}"/>
    <cellStyle name="Note 45 2 12" xfId="29491" xr:uid="{00000000-0005-0000-0000-000031730000}"/>
    <cellStyle name="Note 45 2 12 2" xfId="29492" xr:uid="{00000000-0005-0000-0000-000032730000}"/>
    <cellStyle name="Note 45 2 12 2 2" xfId="29493" xr:uid="{00000000-0005-0000-0000-000033730000}"/>
    <cellStyle name="Note 45 2 12 2 3" xfId="29494" xr:uid="{00000000-0005-0000-0000-000034730000}"/>
    <cellStyle name="Note 45 2 12 3" xfId="29495" xr:uid="{00000000-0005-0000-0000-000035730000}"/>
    <cellStyle name="Note 45 2 12 4" xfId="29496" xr:uid="{00000000-0005-0000-0000-000036730000}"/>
    <cellStyle name="Note 45 2 13" xfId="29497" xr:uid="{00000000-0005-0000-0000-000037730000}"/>
    <cellStyle name="Note 45 2 13 2" xfId="29498" xr:uid="{00000000-0005-0000-0000-000038730000}"/>
    <cellStyle name="Note 45 2 13 2 2" xfId="29499" xr:uid="{00000000-0005-0000-0000-000039730000}"/>
    <cellStyle name="Note 45 2 13 2 3" xfId="29500" xr:uid="{00000000-0005-0000-0000-00003A730000}"/>
    <cellStyle name="Note 45 2 13 3" xfId="29501" xr:uid="{00000000-0005-0000-0000-00003B730000}"/>
    <cellStyle name="Note 45 2 13 4" xfId="29502" xr:uid="{00000000-0005-0000-0000-00003C730000}"/>
    <cellStyle name="Note 45 2 14" xfId="29503" xr:uid="{00000000-0005-0000-0000-00003D730000}"/>
    <cellStyle name="Note 45 2 14 2" xfId="29504" xr:uid="{00000000-0005-0000-0000-00003E730000}"/>
    <cellStyle name="Note 45 2 14 2 2" xfId="29505" xr:uid="{00000000-0005-0000-0000-00003F730000}"/>
    <cellStyle name="Note 45 2 14 2 3" xfId="29506" xr:uid="{00000000-0005-0000-0000-000040730000}"/>
    <cellStyle name="Note 45 2 14 3" xfId="29507" xr:uid="{00000000-0005-0000-0000-000041730000}"/>
    <cellStyle name="Note 45 2 14 4" xfId="29508" xr:uid="{00000000-0005-0000-0000-000042730000}"/>
    <cellStyle name="Note 45 2 15" xfId="29509" xr:uid="{00000000-0005-0000-0000-000043730000}"/>
    <cellStyle name="Note 45 2 15 2" xfId="29510" xr:uid="{00000000-0005-0000-0000-000044730000}"/>
    <cellStyle name="Note 45 2 15 2 2" xfId="29511" xr:uid="{00000000-0005-0000-0000-000045730000}"/>
    <cellStyle name="Note 45 2 15 2 3" xfId="29512" xr:uid="{00000000-0005-0000-0000-000046730000}"/>
    <cellStyle name="Note 45 2 15 3" xfId="29513" xr:uid="{00000000-0005-0000-0000-000047730000}"/>
    <cellStyle name="Note 45 2 15 4" xfId="29514" xr:uid="{00000000-0005-0000-0000-000048730000}"/>
    <cellStyle name="Note 45 2 16" xfId="29515" xr:uid="{00000000-0005-0000-0000-000049730000}"/>
    <cellStyle name="Note 45 2 16 2" xfId="29516" xr:uid="{00000000-0005-0000-0000-00004A730000}"/>
    <cellStyle name="Note 45 2 16 2 2" xfId="29517" xr:uid="{00000000-0005-0000-0000-00004B730000}"/>
    <cellStyle name="Note 45 2 16 2 3" xfId="29518" xr:uid="{00000000-0005-0000-0000-00004C730000}"/>
    <cellStyle name="Note 45 2 16 3" xfId="29519" xr:uid="{00000000-0005-0000-0000-00004D730000}"/>
    <cellStyle name="Note 45 2 16 4" xfId="29520" xr:uid="{00000000-0005-0000-0000-00004E730000}"/>
    <cellStyle name="Note 45 2 17" xfId="29521" xr:uid="{00000000-0005-0000-0000-00004F730000}"/>
    <cellStyle name="Note 45 2 17 2" xfId="29522" xr:uid="{00000000-0005-0000-0000-000050730000}"/>
    <cellStyle name="Note 45 2 17 2 2" xfId="29523" xr:uid="{00000000-0005-0000-0000-000051730000}"/>
    <cellStyle name="Note 45 2 17 2 3" xfId="29524" xr:uid="{00000000-0005-0000-0000-000052730000}"/>
    <cellStyle name="Note 45 2 17 3" xfId="29525" xr:uid="{00000000-0005-0000-0000-000053730000}"/>
    <cellStyle name="Note 45 2 17 4" xfId="29526" xr:uid="{00000000-0005-0000-0000-000054730000}"/>
    <cellStyle name="Note 45 2 18" xfId="29527" xr:uid="{00000000-0005-0000-0000-000055730000}"/>
    <cellStyle name="Note 45 2 18 2" xfId="29528" xr:uid="{00000000-0005-0000-0000-000056730000}"/>
    <cellStyle name="Note 45 2 18 3" xfId="29529" xr:uid="{00000000-0005-0000-0000-000057730000}"/>
    <cellStyle name="Note 45 2 18 4" xfId="29530" xr:uid="{00000000-0005-0000-0000-000058730000}"/>
    <cellStyle name="Note 45 2 19" xfId="29531" xr:uid="{00000000-0005-0000-0000-000059730000}"/>
    <cellStyle name="Note 45 2 2" xfId="29532" xr:uid="{00000000-0005-0000-0000-00005A730000}"/>
    <cellStyle name="Note 45 2 2 2" xfId="29533" xr:uid="{00000000-0005-0000-0000-00005B730000}"/>
    <cellStyle name="Note 45 2 2 2 2" xfId="29534" xr:uid="{00000000-0005-0000-0000-00005C730000}"/>
    <cellStyle name="Note 45 2 2 2 3" xfId="29535" xr:uid="{00000000-0005-0000-0000-00005D730000}"/>
    <cellStyle name="Note 45 2 2 3" xfId="29536" xr:uid="{00000000-0005-0000-0000-00005E730000}"/>
    <cellStyle name="Note 45 2 2 4" xfId="29537" xr:uid="{00000000-0005-0000-0000-00005F730000}"/>
    <cellStyle name="Note 45 2 20" xfId="29538" xr:uid="{00000000-0005-0000-0000-000060730000}"/>
    <cellStyle name="Note 45 2 21" xfId="29539" xr:uid="{00000000-0005-0000-0000-000061730000}"/>
    <cellStyle name="Note 45 2 3" xfId="29540" xr:uid="{00000000-0005-0000-0000-000062730000}"/>
    <cellStyle name="Note 45 2 3 2" xfId="29541" xr:uid="{00000000-0005-0000-0000-000063730000}"/>
    <cellStyle name="Note 45 2 3 2 2" xfId="29542" xr:uid="{00000000-0005-0000-0000-000064730000}"/>
    <cellStyle name="Note 45 2 3 2 3" xfId="29543" xr:uid="{00000000-0005-0000-0000-000065730000}"/>
    <cellStyle name="Note 45 2 3 3" xfId="29544" xr:uid="{00000000-0005-0000-0000-000066730000}"/>
    <cellStyle name="Note 45 2 3 4" xfId="29545" xr:uid="{00000000-0005-0000-0000-000067730000}"/>
    <cellStyle name="Note 45 2 4" xfId="29546" xr:uid="{00000000-0005-0000-0000-000068730000}"/>
    <cellStyle name="Note 45 2 4 2" xfId="29547" xr:uid="{00000000-0005-0000-0000-000069730000}"/>
    <cellStyle name="Note 45 2 4 2 2" xfId="29548" xr:uid="{00000000-0005-0000-0000-00006A730000}"/>
    <cellStyle name="Note 45 2 4 2 3" xfId="29549" xr:uid="{00000000-0005-0000-0000-00006B730000}"/>
    <cellStyle name="Note 45 2 4 3" xfId="29550" xr:uid="{00000000-0005-0000-0000-00006C730000}"/>
    <cellStyle name="Note 45 2 4 4" xfId="29551" xr:uid="{00000000-0005-0000-0000-00006D730000}"/>
    <cellStyle name="Note 45 2 5" xfId="29552" xr:uid="{00000000-0005-0000-0000-00006E730000}"/>
    <cellStyle name="Note 45 2 5 2" xfId="29553" xr:uid="{00000000-0005-0000-0000-00006F730000}"/>
    <cellStyle name="Note 45 2 5 2 2" xfId="29554" xr:uid="{00000000-0005-0000-0000-000070730000}"/>
    <cellStyle name="Note 45 2 5 2 3" xfId="29555" xr:uid="{00000000-0005-0000-0000-000071730000}"/>
    <cellStyle name="Note 45 2 5 3" xfId="29556" xr:uid="{00000000-0005-0000-0000-000072730000}"/>
    <cellStyle name="Note 45 2 5 4" xfId="29557" xr:uid="{00000000-0005-0000-0000-000073730000}"/>
    <cellStyle name="Note 45 2 6" xfId="29558" xr:uid="{00000000-0005-0000-0000-000074730000}"/>
    <cellStyle name="Note 45 2 6 2" xfId="29559" xr:uid="{00000000-0005-0000-0000-000075730000}"/>
    <cellStyle name="Note 45 2 6 2 2" xfId="29560" xr:uid="{00000000-0005-0000-0000-000076730000}"/>
    <cellStyle name="Note 45 2 6 2 3" xfId="29561" xr:uid="{00000000-0005-0000-0000-000077730000}"/>
    <cellStyle name="Note 45 2 6 3" xfId="29562" xr:uid="{00000000-0005-0000-0000-000078730000}"/>
    <cellStyle name="Note 45 2 6 4" xfId="29563" xr:uid="{00000000-0005-0000-0000-000079730000}"/>
    <cellStyle name="Note 45 2 7" xfId="29564" xr:uid="{00000000-0005-0000-0000-00007A730000}"/>
    <cellStyle name="Note 45 2 7 2" xfId="29565" xr:uid="{00000000-0005-0000-0000-00007B730000}"/>
    <cellStyle name="Note 45 2 7 2 2" xfId="29566" xr:uid="{00000000-0005-0000-0000-00007C730000}"/>
    <cellStyle name="Note 45 2 7 2 3" xfId="29567" xr:uid="{00000000-0005-0000-0000-00007D730000}"/>
    <cellStyle name="Note 45 2 7 3" xfId="29568" xr:uid="{00000000-0005-0000-0000-00007E730000}"/>
    <cellStyle name="Note 45 2 7 4" xfId="29569" xr:uid="{00000000-0005-0000-0000-00007F730000}"/>
    <cellStyle name="Note 45 2 8" xfId="29570" xr:uid="{00000000-0005-0000-0000-000080730000}"/>
    <cellStyle name="Note 45 2 8 2" xfId="29571" xr:uid="{00000000-0005-0000-0000-000081730000}"/>
    <cellStyle name="Note 45 2 8 2 2" xfId="29572" xr:uid="{00000000-0005-0000-0000-000082730000}"/>
    <cellStyle name="Note 45 2 8 2 3" xfId="29573" xr:uid="{00000000-0005-0000-0000-000083730000}"/>
    <cellStyle name="Note 45 2 8 3" xfId="29574" xr:uid="{00000000-0005-0000-0000-000084730000}"/>
    <cellStyle name="Note 45 2 8 4" xfId="29575" xr:uid="{00000000-0005-0000-0000-000085730000}"/>
    <cellStyle name="Note 45 2 9" xfId="29576" xr:uid="{00000000-0005-0000-0000-000086730000}"/>
    <cellStyle name="Note 45 2 9 2" xfId="29577" xr:uid="{00000000-0005-0000-0000-000087730000}"/>
    <cellStyle name="Note 45 2 9 2 2" xfId="29578" xr:uid="{00000000-0005-0000-0000-000088730000}"/>
    <cellStyle name="Note 45 2 9 2 3" xfId="29579" xr:uid="{00000000-0005-0000-0000-000089730000}"/>
    <cellStyle name="Note 45 2 9 3" xfId="29580" xr:uid="{00000000-0005-0000-0000-00008A730000}"/>
    <cellStyle name="Note 45 2 9 4" xfId="29581" xr:uid="{00000000-0005-0000-0000-00008B730000}"/>
    <cellStyle name="Note 45 3" xfId="29582" xr:uid="{00000000-0005-0000-0000-00008C730000}"/>
    <cellStyle name="Note 45 3 2" xfId="29583" xr:uid="{00000000-0005-0000-0000-00008D730000}"/>
    <cellStyle name="Note 45 3 2 2" xfId="29584" xr:uid="{00000000-0005-0000-0000-00008E730000}"/>
    <cellStyle name="Note 45 3 2 3" xfId="29585" xr:uid="{00000000-0005-0000-0000-00008F730000}"/>
    <cellStyle name="Note 45 3 3" xfId="29586" xr:uid="{00000000-0005-0000-0000-000090730000}"/>
    <cellStyle name="Note 45 3 4" xfId="29587" xr:uid="{00000000-0005-0000-0000-000091730000}"/>
    <cellStyle name="Note 45 4" xfId="29588" xr:uid="{00000000-0005-0000-0000-000092730000}"/>
    <cellStyle name="Note 45 5" xfId="29589" xr:uid="{00000000-0005-0000-0000-000093730000}"/>
    <cellStyle name="Note 46" xfId="29590" xr:uid="{00000000-0005-0000-0000-000094730000}"/>
    <cellStyle name="Note 46 2" xfId="29591" xr:uid="{00000000-0005-0000-0000-000095730000}"/>
    <cellStyle name="Note 46 2 10" xfId="29592" xr:uid="{00000000-0005-0000-0000-000096730000}"/>
    <cellStyle name="Note 46 2 10 2" xfId="29593" xr:uid="{00000000-0005-0000-0000-000097730000}"/>
    <cellStyle name="Note 46 2 10 2 2" xfId="29594" xr:uid="{00000000-0005-0000-0000-000098730000}"/>
    <cellStyle name="Note 46 2 10 2 3" xfId="29595" xr:uid="{00000000-0005-0000-0000-000099730000}"/>
    <cellStyle name="Note 46 2 10 3" xfId="29596" xr:uid="{00000000-0005-0000-0000-00009A730000}"/>
    <cellStyle name="Note 46 2 10 4" xfId="29597" xr:uid="{00000000-0005-0000-0000-00009B730000}"/>
    <cellStyle name="Note 46 2 11" xfId="29598" xr:uid="{00000000-0005-0000-0000-00009C730000}"/>
    <cellStyle name="Note 46 2 11 2" xfId="29599" xr:uid="{00000000-0005-0000-0000-00009D730000}"/>
    <cellStyle name="Note 46 2 11 2 2" xfId="29600" xr:uid="{00000000-0005-0000-0000-00009E730000}"/>
    <cellStyle name="Note 46 2 11 2 3" xfId="29601" xr:uid="{00000000-0005-0000-0000-00009F730000}"/>
    <cellStyle name="Note 46 2 11 3" xfId="29602" xr:uid="{00000000-0005-0000-0000-0000A0730000}"/>
    <cellStyle name="Note 46 2 11 4" xfId="29603" xr:uid="{00000000-0005-0000-0000-0000A1730000}"/>
    <cellStyle name="Note 46 2 12" xfId="29604" xr:uid="{00000000-0005-0000-0000-0000A2730000}"/>
    <cellStyle name="Note 46 2 12 2" xfId="29605" xr:uid="{00000000-0005-0000-0000-0000A3730000}"/>
    <cellStyle name="Note 46 2 12 2 2" xfId="29606" xr:uid="{00000000-0005-0000-0000-0000A4730000}"/>
    <cellStyle name="Note 46 2 12 2 3" xfId="29607" xr:uid="{00000000-0005-0000-0000-0000A5730000}"/>
    <cellStyle name="Note 46 2 12 3" xfId="29608" xr:uid="{00000000-0005-0000-0000-0000A6730000}"/>
    <cellStyle name="Note 46 2 12 4" xfId="29609" xr:uid="{00000000-0005-0000-0000-0000A7730000}"/>
    <cellStyle name="Note 46 2 13" xfId="29610" xr:uid="{00000000-0005-0000-0000-0000A8730000}"/>
    <cellStyle name="Note 46 2 13 2" xfId="29611" xr:uid="{00000000-0005-0000-0000-0000A9730000}"/>
    <cellStyle name="Note 46 2 13 2 2" xfId="29612" xr:uid="{00000000-0005-0000-0000-0000AA730000}"/>
    <cellStyle name="Note 46 2 13 2 3" xfId="29613" xr:uid="{00000000-0005-0000-0000-0000AB730000}"/>
    <cellStyle name="Note 46 2 13 3" xfId="29614" xr:uid="{00000000-0005-0000-0000-0000AC730000}"/>
    <cellStyle name="Note 46 2 13 4" xfId="29615" xr:uid="{00000000-0005-0000-0000-0000AD730000}"/>
    <cellStyle name="Note 46 2 14" xfId="29616" xr:uid="{00000000-0005-0000-0000-0000AE730000}"/>
    <cellStyle name="Note 46 2 14 2" xfId="29617" xr:uid="{00000000-0005-0000-0000-0000AF730000}"/>
    <cellStyle name="Note 46 2 14 2 2" xfId="29618" xr:uid="{00000000-0005-0000-0000-0000B0730000}"/>
    <cellStyle name="Note 46 2 14 2 3" xfId="29619" xr:uid="{00000000-0005-0000-0000-0000B1730000}"/>
    <cellStyle name="Note 46 2 14 3" xfId="29620" xr:uid="{00000000-0005-0000-0000-0000B2730000}"/>
    <cellStyle name="Note 46 2 14 4" xfId="29621" xr:uid="{00000000-0005-0000-0000-0000B3730000}"/>
    <cellStyle name="Note 46 2 15" xfId="29622" xr:uid="{00000000-0005-0000-0000-0000B4730000}"/>
    <cellStyle name="Note 46 2 15 2" xfId="29623" xr:uid="{00000000-0005-0000-0000-0000B5730000}"/>
    <cellStyle name="Note 46 2 15 2 2" xfId="29624" xr:uid="{00000000-0005-0000-0000-0000B6730000}"/>
    <cellStyle name="Note 46 2 15 2 3" xfId="29625" xr:uid="{00000000-0005-0000-0000-0000B7730000}"/>
    <cellStyle name="Note 46 2 15 3" xfId="29626" xr:uid="{00000000-0005-0000-0000-0000B8730000}"/>
    <cellStyle name="Note 46 2 15 4" xfId="29627" xr:uid="{00000000-0005-0000-0000-0000B9730000}"/>
    <cellStyle name="Note 46 2 16" xfId="29628" xr:uid="{00000000-0005-0000-0000-0000BA730000}"/>
    <cellStyle name="Note 46 2 16 2" xfId="29629" xr:uid="{00000000-0005-0000-0000-0000BB730000}"/>
    <cellStyle name="Note 46 2 16 2 2" xfId="29630" xr:uid="{00000000-0005-0000-0000-0000BC730000}"/>
    <cellStyle name="Note 46 2 16 2 3" xfId="29631" xr:uid="{00000000-0005-0000-0000-0000BD730000}"/>
    <cellStyle name="Note 46 2 16 3" xfId="29632" xr:uid="{00000000-0005-0000-0000-0000BE730000}"/>
    <cellStyle name="Note 46 2 16 4" xfId="29633" xr:uid="{00000000-0005-0000-0000-0000BF730000}"/>
    <cellStyle name="Note 46 2 17" xfId="29634" xr:uid="{00000000-0005-0000-0000-0000C0730000}"/>
    <cellStyle name="Note 46 2 17 2" xfId="29635" xr:uid="{00000000-0005-0000-0000-0000C1730000}"/>
    <cellStyle name="Note 46 2 17 2 2" xfId="29636" xr:uid="{00000000-0005-0000-0000-0000C2730000}"/>
    <cellStyle name="Note 46 2 17 2 3" xfId="29637" xr:uid="{00000000-0005-0000-0000-0000C3730000}"/>
    <cellStyle name="Note 46 2 17 3" xfId="29638" xr:uid="{00000000-0005-0000-0000-0000C4730000}"/>
    <cellStyle name="Note 46 2 17 4" xfId="29639" xr:uid="{00000000-0005-0000-0000-0000C5730000}"/>
    <cellStyle name="Note 46 2 18" xfId="29640" xr:uid="{00000000-0005-0000-0000-0000C6730000}"/>
    <cellStyle name="Note 46 2 18 2" xfId="29641" xr:uid="{00000000-0005-0000-0000-0000C7730000}"/>
    <cellStyle name="Note 46 2 18 3" xfId="29642" xr:uid="{00000000-0005-0000-0000-0000C8730000}"/>
    <cellStyle name="Note 46 2 18 4" xfId="29643" xr:uid="{00000000-0005-0000-0000-0000C9730000}"/>
    <cellStyle name="Note 46 2 19" xfId="29644" xr:uid="{00000000-0005-0000-0000-0000CA730000}"/>
    <cellStyle name="Note 46 2 2" xfId="29645" xr:uid="{00000000-0005-0000-0000-0000CB730000}"/>
    <cellStyle name="Note 46 2 2 2" xfId="29646" xr:uid="{00000000-0005-0000-0000-0000CC730000}"/>
    <cellStyle name="Note 46 2 2 2 2" xfId="29647" xr:uid="{00000000-0005-0000-0000-0000CD730000}"/>
    <cellStyle name="Note 46 2 2 2 3" xfId="29648" xr:uid="{00000000-0005-0000-0000-0000CE730000}"/>
    <cellStyle name="Note 46 2 2 3" xfId="29649" xr:uid="{00000000-0005-0000-0000-0000CF730000}"/>
    <cellStyle name="Note 46 2 2 4" xfId="29650" xr:uid="{00000000-0005-0000-0000-0000D0730000}"/>
    <cellStyle name="Note 46 2 20" xfId="29651" xr:uid="{00000000-0005-0000-0000-0000D1730000}"/>
    <cellStyle name="Note 46 2 21" xfId="29652" xr:uid="{00000000-0005-0000-0000-0000D2730000}"/>
    <cellStyle name="Note 46 2 3" xfId="29653" xr:uid="{00000000-0005-0000-0000-0000D3730000}"/>
    <cellStyle name="Note 46 2 3 2" xfId="29654" xr:uid="{00000000-0005-0000-0000-0000D4730000}"/>
    <cellStyle name="Note 46 2 3 2 2" xfId="29655" xr:uid="{00000000-0005-0000-0000-0000D5730000}"/>
    <cellStyle name="Note 46 2 3 2 3" xfId="29656" xr:uid="{00000000-0005-0000-0000-0000D6730000}"/>
    <cellStyle name="Note 46 2 3 3" xfId="29657" xr:uid="{00000000-0005-0000-0000-0000D7730000}"/>
    <cellStyle name="Note 46 2 3 4" xfId="29658" xr:uid="{00000000-0005-0000-0000-0000D8730000}"/>
    <cellStyle name="Note 46 2 4" xfId="29659" xr:uid="{00000000-0005-0000-0000-0000D9730000}"/>
    <cellStyle name="Note 46 2 4 2" xfId="29660" xr:uid="{00000000-0005-0000-0000-0000DA730000}"/>
    <cellStyle name="Note 46 2 4 2 2" xfId="29661" xr:uid="{00000000-0005-0000-0000-0000DB730000}"/>
    <cellStyle name="Note 46 2 4 2 3" xfId="29662" xr:uid="{00000000-0005-0000-0000-0000DC730000}"/>
    <cellStyle name="Note 46 2 4 3" xfId="29663" xr:uid="{00000000-0005-0000-0000-0000DD730000}"/>
    <cellStyle name="Note 46 2 4 4" xfId="29664" xr:uid="{00000000-0005-0000-0000-0000DE730000}"/>
    <cellStyle name="Note 46 2 5" xfId="29665" xr:uid="{00000000-0005-0000-0000-0000DF730000}"/>
    <cellStyle name="Note 46 2 5 2" xfId="29666" xr:uid="{00000000-0005-0000-0000-0000E0730000}"/>
    <cellStyle name="Note 46 2 5 2 2" xfId="29667" xr:uid="{00000000-0005-0000-0000-0000E1730000}"/>
    <cellStyle name="Note 46 2 5 2 3" xfId="29668" xr:uid="{00000000-0005-0000-0000-0000E2730000}"/>
    <cellStyle name="Note 46 2 5 3" xfId="29669" xr:uid="{00000000-0005-0000-0000-0000E3730000}"/>
    <cellStyle name="Note 46 2 5 4" xfId="29670" xr:uid="{00000000-0005-0000-0000-0000E4730000}"/>
    <cellStyle name="Note 46 2 6" xfId="29671" xr:uid="{00000000-0005-0000-0000-0000E5730000}"/>
    <cellStyle name="Note 46 2 6 2" xfId="29672" xr:uid="{00000000-0005-0000-0000-0000E6730000}"/>
    <cellStyle name="Note 46 2 6 2 2" xfId="29673" xr:uid="{00000000-0005-0000-0000-0000E7730000}"/>
    <cellStyle name="Note 46 2 6 2 3" xfId="29674" xr:uid="{00000000-0005-0000-0000-0000E8730000}"/>
    <cellStyle name="Note 46 2 6 3" xfId="29675" xr:uid="{00000000-0005-0000-0000-0000E9730000}"/>
    <cellStyle name="Note 46 2 6 4" xfId="29676" xr:uid="{00000000-0005-0000-0000-0000EA730000}"/>
    <cellStyle name="Note 46 2 7" xfId="29677" xr:uid="{00000000-0005-0000-0000-0000EB730000}"/>
    <cellStyle name="Note 46 2 7 2" xfId="29678" xr:uid="{00000000-0005-0000-0000-0000EC730000}"/>
    <cellStyle name="Note 46 2 7 2 2" xfId="29679" xr:uid="{00000000-0005-0000-0000-0000ED730000}"/>
    <cellStyle name="Note 46 2 7 2 3" xfId="29680" xr:uid="{00000000-0005-0000-0000-0000EE730000}"/>
    <cellStyle name="Note 46 2 7 3" xfId="29681" xr:uid="{00000000-0005-0000-0000-0000EF730000}"/>
    <cellStyle name="Note 46 2 7 4" xfId="29682" xr:uid="{00000000-0005-0000-0000-0000F0730000}"/>
    <cellStyle name="Note 46 2 8" xfId="29683" xr:uid="{00000000-0005-0000-0000-0000F1730000}"/>
    <cellStyle name="Note 46 2 8 2" xfId="29684" xr:uid="{00000000-0005-0000-0000-0000F2730000}"/>
    <cellStyle name="Note 46 2 8 2 2" xfId="29685" xr:uid="{00000000-0005-0000-0000-0000F3730000}"/>
    <cellStyle name="Note 46 2 8 2 3" xfId="29686" xr:uid="{00000000-0005-0000-0000-0000F4730000}"/>
    <cellStyle name="Note 46 2 8 3" xfId="29687" xr:uid="{00000000-0005-0000-0000-0000F5730000}"/>
    <cellStyle name="Note 46 2 8 4" xfId="29688" xr:uid="{00000000-0005-0000-0000-0000F6730000}"/>
    <cellStyle name="Note 46 2 9" xfId="29689" xr:uid="{00000000-0005-0000-0000-0000F7730000}"/>
    <cellStyle name="Note 46 2 9 2" xfId="29690" xr:uid="{00000000-0005-0000-0000-0000F8730000}"/>
    <cellStyle name="Note 46 2 9 2 2" xfId="29691" xr:uid="{00000000-0005-0000-0000-0000F9730000}"/>
    <cellStyle name="Note 46 2 9 2 3" xfId="29692" xr:uid="{00000000-0005-0000-0000-0000FA730000}"/>
    <cellStyle name="Note 46 2 9 3" xfId="29693" xr:uid="{00000000-0005-0000-0000-0000FB730000}"/>
    <cellStyle name="Note 46 2 9 4" xfId="29694" xr:uid="{00000000-0005-0000-0000-0000FC730000}"/>
    <cellStyle name="Note 46 3" xfId="29695" xr:uid="{00000000-0005-0000-0000-0000FD730000}"/>
    <cellStyle name="Note 46 3 2" xfId="29696" xr:uid="{00000000-0005-0000-0000-0000FE730000}"/>
    <cellStyle name="Note 46 3 2 2" xfId="29697" xr:uid="{00000000-0005-0000-0000-0000FF730000}"/>
    <cellStyle name="Note 46 3 2 3" xfId="29698" xr:uid="{00000000-0005-0000-0000-000000740000}"/>
    <cellStyle name="Note 46 3 3" xfId="29699" xr:uid="{00000000-0005-0000-0000-000001740000}"/>
    <cellStyle name="Note 46 3 4" xfId="29700" xr:uid="{00000000-0005-0000-0000-000002740000}"/>
    <cellStyle name="Note 46 4" xfId="29701" xr:uid="{00000000-0005-0000-0000-000003740000}"/>
    <cellStyle name="Note 46 5" xfId="29702" xr:uid="{00000000-0005-0000-0000-000004740000}"/>
    <cellStyle name="Note 5" xfId="29703" xr:uid="{00000000-0005-0000-0000-000005740000}"/>
    <cellStyle name="Note 5 10" xfId="29704" xr:uid="{00000000-0005-0000-0000-000006740000}"/>
    <cellStyle name="Note 5 11" xfId="29705" xr:uid="{00000000-0005-0000-0000-000007740000}"/>
    <cellStyle name="Note 5 2" xfId="29706" xr:uid="{00000000-0005-0000-0000-000008740000}"/>
    <cellStyle name="Note 5 2 10" xfId="29707" xr:uid="{00000000-0005-0000-0000-000009740000}"/>
    <cellStyle name="Note 5 2 10 2" xfId="29708" xr:uid="{00000000-0005-0000-0000-00000A740000}"/>
    <cellStyle name="Note 5 2 10 2 2" xfId="29709" xr:uid="{00000000-0005-0000-0000-00000B740000}"/>
    <cellStyle name="Note 5 2 10 2 3" xfId="29710" xr:uid="{00000000-0005-0000-0000-00000C740000}"/>
    <cellStyle name="Note 5 2 10 3" xfId="29711" xr:uid="{00000000-0005-0000-0000-00000D740000}"/>
    <cellStyle name="Note 5 2 10 4" xfId="29712" xr:uid="{00000000-0005-0000-0000-00000E740000}"/>
    <cellStyle name="Note 5 2 11" xfId="29713" xr:uid="{00000000-0005-0000-0000-00000F740000}"/>
    <cellStyle name="Note 5 2 11 2" xfId="29714" xr:uid="{00000000-0005-0000-0000-000010740000}"/>
    <cellStyle name="Note 5 2 11 2 2" xfId="29715" xr:uid="{00000000-0005-0000-0000-000011740000}"/>
    <cellStyle name="Note 5 2 11 2 3" xfId="29716" xr:uid="{00000000-0005-0000-0000-000012740000}"/>
    <cellStyle name="Note 5 2 11 3" xfId="29717" xr:uid="{00000000-0005-0000-0000-000013740000}"/>
    <cellStyle name="Note 5 2 11 4" xfId="29718" xr:uid="{00000000-0005-0000-0000-000014740000}"/>
    <cellStyle name="Note 5 2 12" xfId="29719" xr:uid="{00000000-0005-0000-0000-000015740000}"/>
    <cellStyle name="Note 5 2 12 2" xfId="29720" xr:uid="{00000000-0005-0000-0000-000016740000}"/>
    <cellStyle name="Note 5 2 12 2 2" xfId="29721" xr:uid="{00000000-0005-0000-0000-000017740000}"/>
    <cellStyle name="Note 5 2 12 2 3" xfId="29722" xr:uid="{00000000-0005-0000-0000-000018740000}"/>
    <cellStyle name="Note 5 2 12 3" xfId="29723" xr:uid="{00000000-0005-0000-0000-000019740000}"/>
    <cellStyle name="Note 5 2 12 4" xfId="29724" xr:uid="{00000000-0005-0000-0000-00001A740000}"/>
    <cellStyle name="Note 5 2 13" xfId="29725" xr:uid="{00000000-0005-0000-0000-00001B740000}"/>
    <cellStyle name="Note 5 2 13 2" xfId="29726" xr:uid="{00000000-0005-0000-0000-00001C740000}"/>
    <cellStyle name="Note 5 2 13 2 2" xfId="29727" xr:uid="{00000000-0005-0000-0000-00001D740000}"/>
    <cellStyle name="Note 5 2 13 2 3" xfId="29728" xr:uid="{00000000-0005-0000-0000-00001E740000}"/>
    <cellStyle name="Note 5 2 13 3" xfId="29729" xr:uid="{00000000-0005-0000-0000-00001F740000}"/>
    <cellStyle name="Note 5 2 13 4" xfId="29730" xr:uid="{00000000-0005-0000-0000-000020740000}"/>
    <cellStyle name="Note 5 2 14" xfId="29731" xr:uid="{00000000-0005-0000-0000-000021740000}"/>
    <cellStyle name="Note 5 2 14 2" xfId="29732" xr:uid="{00000000-0005-0000-0000-000022740000}"/>
    <cellStyle name="Note 5 2 14 2 2" xfId="29733" xr:uid="{00000000-0005-0000-0000-000023740000}"/>
    <cellStyle name="Note 5 2 14 2 3" xfId="29734" xr:uid="{00000000-0005-0000-0000-000024740000}"/>
    <cellStyle name="Note 5 2 14 3" xfId="29735" xr:uid="{00000000-0005-0000-0000-000025740000}"/>
    <cellStyle name="Note 5 2 14 4" xfId="29736" xr:uid="{00000000-0005-0000-0000-000026740000}"/>
    <cellStyle name="Note 5 2 15" xfId="29737" xr:uid="{00000000-0005-0000-0000-000027740000}"/>
    <cellStyle name="Note 5 2 15 2" xfId="29738" xr:uid="{00000000-0005-0000-0000-000028740000}"/>
    <cellStyle name="Note 5 2 15 2 2" xfId="29739" xr:uid="{00000000-0005-0000-0000-000029740000}"/>
    <cellStyle name="Note 5 2 15 2 3" xfId="29740" xr:uid="{00000000-0005-0000-0000-00002A740000}"/>
    <cellStyle name="Note 5 2 15 3" xfId="29741" xr:uid="{00000000-0005-0000-0000-00002B740000}"/>
    <cellStyle name="Note 5 2 15 4" xfId="29742" xr:uid="{00000000-0005-0000-0000-00002C740000}"/>
    <cellStyle name="Note 5 2 16" xfId="29743" xr:uid="{00000000-0005-0000-0000-00002D740000}"/>
    <cellStyle name="Note 5 2 16 2" xfId="29744" xr:uid="{00000000-0005-0000-0000-00002E740000}"/>
    <cellStyle name="Note 5 2 16 2 2" xfId="29745" xr:uid="{00000000-0005-0000-0000-00002F740000}"/>
    <cellStyle name="Note 5 2 16 2 3" xfId="29746" xr:uid="{00000000-0005-0000-0000-000030740000}"/>
    <cellStyle name="Note 5 2 16 3" xfId="29747" xr:uid="{00000000-0005-0000-0000-000031740000}"/>
    <cellStyle name="Note 5 2 16 4" xfId="29748" xr:uid="{00000000-0005-0000-0000-000032740000}"/>
    <cellStyle name="Note 5 2 17" xfId="29749" xr:uid="{00000000-0005-0000-0000-000033740000}"/>
    <cellStyle name="Note 5 2 17 2" xfId="29750" xr:uid="{00000000-0005-0000-0000-000034740000}"/>
    <cellStyle name="Note 5 2 17 2 2" xfId="29751" xr:uid="{00000000-0005-0000-0000-000035740000}"/>
    <cellStyle name="Note 5 2 17 2 3" xfId="29752" xr:uid="{00000000-0005-0000-0000-000036740000}"/>
    <cellStyle name="Note 5 2 17 3" xfId="29753" xr:uid="{00000000-0005-0000-0000-000037740000}"/>
    <cellStyle name="Note 5 2 17 4" xfId="29754" xr:uid="{00000000-0005-0000-0000-000038740000}"/>
    <cellStyle name="Note 5 2 18" xfId="29755" xr:uid="{00000000-0005-0000-0000-000039740000}"/>
    <cellStyle name="Note 5 2 18 2" xfId="29756" xr:uid="{00000000-0005-0000-0000-00003A740000}"/>
    <cellStyle name="Note 5 2 18 3" xfId="29757" xr:uid="{00000000-0005-0000-0000-00003B740000}"/>
    <cellStyle name="Note 5 2 18 4" xfId="29758" xr:uid="{00000000-0005-0000-0000-00003C740000}"/>
    <cellStyle name="Note 5 2 19" xfId="29759" xr:uid="{00000000-0005-0000-0000-00003D740000}"/>
    <cellStyle name="Note 5 2 19 2" xfId="29760" xr:uid="{00000000-0005-0000-0000-00003E740000}"/>
    <cellStyle name="Note 5 2 19 3" xfId="29761" xr:uid="{00000000-0005-0000-0000-00003F740000}"/>
    <cellStyle name="Note 5 2 2" xfId="29762" xr:uid="{00000000-0005-0000-0000-000040740000}"/>
    <cellStyle name="Note 5 2 2 2" xfId="29763" xr:uid="{00000000-0005-0000-0000-000041740000}"/>
    <cellStyle name="Note 5 2 2 2 2" xfId="29764" xr:uid="{00000000-0005-0000-0000-000042740000}"/>
    <cellStyle name="Note 5 2 2 2 3" xfId="29765" xr:uid="{00000000-0005-0000-0000-000043740000}"/>
    <cellStyle name="Note 5 2 2 2 4" xfId="29766" xr:uid="{00000000-0005-0000-0000-000044740000}"/>
    <cellStyle name="Note 5 2 2 2 5" xfId="29767" xr:uid="{00000000-0005-0000-0000-000045740000}"/>
    <cellStyle name="Note 5 2 2 2 5 2" xfId="29768" xr:uid="{00000000-0005-0000-0000-000046740000}"/>
    <cellStyle name="Note 5 2 2 2 6" xfId="29769" xr:uid="{00000000-0005-0000-0000-000047740000}"/>
    <cellStyle name="Note 5 2 2 3" xfId="29770" xr:uid="{00000000-0005-0000-0000-000048740000}"/>
    <cellStyle name="Note 5 2 2 3 2" xfId="29771" xr:uid="{00000000-0005-0000-0000-000049740000}"/>
    <cellStyle name="Note 5 2 2 3 3" xfId="29772" xr:uid="{00000000-0005-0000-0000-00004A740000}"/>
    <cellStyle name="Note 5 2 2 4" xfId="29773" xr:uid="{00000000-0005-0000-0000-00004B740000}"/>
    <cellStyle name="Note 5 2 2 4 2" xfId="29774" xr:uid="{00000000-0005-0000-0000-00004C740000}"/>
    <cellStyle name="Note 5 2 2 5" xfId="29775" xr:uid="{00000000-0005-0000-0000-00004D740000}"/>
    <cellStyle name="Note 5 2 2 6" xfId="29776" xr:uid="{00000000-0005-0000-0000-00004E740000}"/>
    <cellStyle name="Note 5 2 2 7" xfId="29777" xr:uid="{00000000-0005-0000-0000-00004F740000}"/>
    <cellStyle name="Note 5 2 20" xfId="29778" xr:uid="{00000000-0005-0000-0000-000050740000}"/>
    <cellStyle name="Note 5 2 20 2" xfId="29779" xr:uid="{00000000-0005-0000-0000-000051740000}"/>
    <cellStyle name="Note 5 2 21" xfId="29780" xr:uid="{00000000-0005-0000-0000-000052740000}"/>
    <cellStyle name="Note 5 2 22" xfId="29781" xr:uid="{00000000-0005-0000-0000-000053740000}"/>
    <cellStyle name="Note 5 2 23" xfId="29782" xr:uid="{00000000-0005-0000-0000-000054740000}"/>
    <cellStyle name="Note 5 2 3" xfId="29783" xr:uid="{00000000-0005-0000-0000-000055740000}"/>
    <cellStyle name="Note 5 2 3 2" xfId="29784" xr:uid="{00000000-0005-0000-0000-000056740000}"/>
    <cellStyle name="Note 5 2 3 2 2" xfId="29785" xr:uid="{00000000-0005-0000-0000-000057740000}"/>
    <cellStyle name="Note 5 2 3 2 3" xfId="29786" xr:uid="{00000000-0005-0000-0000-000058740000}"/>
    <cellStyle name="Note 5 2 3 3" xfId="29787" xr:uid="{00000000-0005-0000-0000-000059740000}"/>
    <cellStyle name="Note 5 2 3 4" xfId="29788" xr:uid="{00000000-0005-0000-0000-00005A740000}"/>
    <cellStyle name="Note 5 2 4" xfId="29789" xr:uid="{00000000-0005-0000-0000-00005B740000}"/>
    <cellStyle name="Note 5 2 4 2" xfId="29790" xr:uid="{00000000-0005-0000-0000-00005C740000}"/>
    <cellStyle name="Note 5 2 4 2 2" xfId="29791" xr:uid="{00000000-0005-0000-0000-00005D740000}"/>
    <cellStyle name="Note 5 2 4 2 3" xfId="29792" xr:uid="{00000000-0005-0000-0000-00005E740000}"/>
    <cellStyle name="Note 5 2 4 3" xfId="29793" xr:uid="{00000000-0005-0000-0000-00005F740000}"/>
    <cellStyle name="Note 5 2 4 4" xfId="29794" xr:uid="{00000000-0005-0000-0000-000060740000}"/>
    <cellStyle name="Note 5 2 5" xfId="29795" xr:uid="{00000000-0005-0000-0000-000061740000}"/>
    <cellStyle name="Note 5 2 5 2" xfId="29796" xr:uid="{00000000-0005-0000-0000-000062740000}"/>
    <cellStyle name="Note 5 2 5 2 2" xfId="29797" xr:uid="{00000000-0005-0000-0000-000063740000}"/>
    <cellStyle name="Note 5 2 5 2 3" xfId="29798" xr:uid="{00000000-0005-0000-0000-000064740000}"/>
    <cellStyle name="Note 5 2 5 3" xfId="29799" xr:uid="{00000000-0005-0000-0000-000065740000}"/>
    <cellStyle name="Note 5 2 5 4" xfId="29800" xr:uid="{00000000-0005-0000-0000-000066740000}"/>
    <cellStyle name="Note 5 2 6" xfId="29801" xr:uid="{00000000-0005-0000-0000-000067740000}"/>
    <cellStyle name="Note 5 2 6 2" xfId="29802" xr:uid="{00000000-0005-0000-0000-000068740000}"/>
    <cellStyle name="Note 5 2 6 2 2" xfId="29803" xr:uid="{00000000-0005-0000-0000-000069740000}"/>
    <cellStyle name="Note 5 2 6 2 3" xfId="29804" xr:uid="{00000000-0005-0000-0000-00006A740000}"/>
    <cellStyle name="Note 5 2 6 3" xfId="29805" xr:uid="{00000000-0005-0000-0000-00006B740000}"/>
    <cellStyle name="Note 5 2 6 4" xfId="29806" xr:uid="{00000000-0005-0000-0000-00006C740000}"/>
    <cellStyle name="Note 5 2 7" xfId="29807" xr:uid="{00000000-0005-0000-0000-00006D740000}"/>
    <cellStyle name="Note 5 2 7 2" xfId="29808" xr:uid="{00000000-0005-0000-0000-00006E740000}"/>
    <cellStyle name="Note 5 2 7 2 2" xfId="29809" xr:uid="{00000000-0005-0000-0000-00006F740000}"/>
    <cellStyle name="Note 5 2 7 2 3" xfId="29810" xr:uid="{00000000-0005-0000-0000-000070740000}"/>
    <cellStyle name="Note 5 2 7 3" xfId="29811" xr:uid="{00000000-0005-0000-0000-000071740000}"/>
    <cellStyle name="Note 5 2 7 4" xfId="29812" xr:uid="{00000000-0005-0000-0000-000072740000}"/>
    <cellStyle name="Note 5 2 8" xfId="29813" xr:uid="{00000000-0005-0000-0000-000073740000}"/>
    <cellStyle name="Note 5 2 8 2" xfId="29814" xr:uid="{00000000-0005-0000-0000-000074740000}"/>
    <cellStyle name="Note 5 2 8 2 2" xfId="29815" xr:uid="{00000000-0005-0000-0000-000075740000}"/>
    <cellStyle name="Note 5 2 8 2 3" xfId="29816" xr:uid="{00000000-0005-0000-0000-000076740000}"/>
    <cellStyle name="Note 5 2 8 3" xfId="29817" xr:uid="{00000000-0005-0000-0000-000077740000}"/>
    <cellStyle name="Note 5 2 8 4" xfId="29818" xr:uid="{00000000-0005-0000-0000-000078740000}"/>
    <cellStyle name="Note 5 2 9" xfId="29819" xr:uid="{00000000-0005-0000-0000-000079740000}"/>
    <cellStyle name="Note 5 2 9 2" xfId="29820" xr:uid="{00000000-0005-0000-0000-00007A740000}"/>
    <cellStyle name="Note 5 2 9 2 2" xfId="29821" xr:uid="{00000000-0005-0000-0000-00007B740000}"/>
    <cellStyle name="Note 5 2 9 2 3" xfId="29822" xr:uid="{00000000-0005-0000-0000-00007C740000}"/>
    <cellStyle name="Note 5 2 9 3" xfId="29823" xr:uid="{00000000-0005-0000-0000-00007D740000}"/>
    <cellStyle name="Note 5 2 9 4" xfId="29824" xr:uid="{00000000-0005-0000-0000-00007E740000}"/>
    <cellStyle name="Note 5 3" xfId="29825" xr:uid="{00000000-0005-0000-0000-00007F740000}"/>
    <cellStyle name="Note 5 3 2" xfId="29826" xr:uid="{00000000-0005-0000-0000-000080740000}"/>
    <cellStyle name="Note 5 3 2 2" xfId="29827" xr:uid="{00000000-0005-0000-0000-000081740000}"/>
    <cellStyle name="Note 5 3 2 3" xfId="29828" xr:uid="{00000000-0005-0000-0000-000082740000}"/>
    <cellStyle name="Note 5 3 2 4" xfId="29829" xr:uid="{00000000-0005-0000-0000-000083740000}"/>
    <cellStyle name="Note 5 3 2 5" xfId="29830" xr:uid="{00000000-0005-0000-0000-000084740000}"/>
    <cellStyle name="Note 5 3 2 5 2" xfId="29831" xr:uid="{00000000-0005-0000-0000-000085740000}"/>
    <cellStyle name="Note 5 3 2 6" xfId="29832" xr:uid="{00000000-0005-0000-0000-000086740000}"/>
    <cellStyle name="Note 5 3 3" xfId="29833" xr:uid="{00000000-0005-0000-0000-000087740000}"/>
    <cellStyle name="Note 5 3 3 2" xfId="29834" xr:uid="{00000000-0005-0000-0000-000088740000}"/>
    <cellStyle name="Note 5 3 4" xfId="29835" xr:uid="{00000000-0005-0000-0000-000089740000}"/>
    <cellStyle name="Note 5 3 5" xfId="29836" xr:uid="{00000000-0005-0000-0000-00008A740000}"/>
    <cellStyle name="Note 5 3 6" xfId="29837" xr:uid="{00000000-0005-0000-0000-00008B740000}"/>
    <cellStyle name="Note 5 4" xfId="29838" xr:uid="{00000000-0005-0000-0000-00008C740000}"/>
    <cellStyle name="Note 5 4 2" xfId="29839" xr:uid="{00000000-0005-0000-0000-00008D740000}"/>
    <cellStyle name="Note 5 4 2 2" xfId="29840" xr:uid="{00000000-0005-0000-0000-00008E740000}"/>
    <cellStyle name="Note 5 4 3" xfId="29841" xr:uid="{00000000-0005-0000-0000-00008F740000}"/>
    <cellStyle name="Note 5 4 3 2" xfId="29842" xr:uid="{00000000-0005-0000-0000-000090740000}"/>
    <cellStyle name="Note 5 4 4" xfId="29843" xr:uid="{00000000-0005-0000-0000-000091740000}"/>
    <cellStyle name="Note 5 4 5" xfId="29844" xr:uid="{00000000-0005-0000-0000-000092740000}"/>
    <cellStyle name="Note 5 5" xfId="29845" xr:uid="{00000000-0005-0000-0000-000093740000}"/>
    <cellStyle name="Note 5 5 2" xfId="29846" xr:uid="{00000000-0005-0000-0000-000094740000}"/>
    <cellStyle name="Note 5 5 2 2" xfId="29847" xr:uid="{00000000-0005-0000-0000-000095740000}"/>
    <cellStyle name="Note 5 5 3" xfId="29848" xr:uid="{00000000-0005-0000-0000-000096740000}"/>
    <cellStyle name="Note 5 5 3 2" xfId="29849" xr:uid="{00000000-0005-0000-0000-000097740000}"/>
    <cellStyle name="Note 5 5 4" xfId="29850" xr:uid="{00000000-0005-0000-0000-000098740000}"/>
    <cellStyle name="Note 5 5 5" xfId="29851" xr:uid="{00000000-0005-0000-0000-000099740000}"/>
    <cellStyle name="Note 5 6" xfId="29852" xr:uid="{00000000-0005-0000-0000-00009A740000}"/>
    <cellStyle name="Note 5 6 2" xfId="29853" xr:uid="{00000000-0005-0000-0000-00009B740000}"/>
    <cellStyle name="Note 5 6 2 2" xfId="29854" xr:uid="{00000000-0005-0000-0000-00009C740000}"/>
    <cellStyle name="Note 5 6 3" xfId="29855" xr:uid="{00000000-0005-0000-0000-00009D740000}"/>
    <cellStyle name="Note 5 6 3 2" xfId="29856" xr:uid="{00000000-0005-0000-0000-00009E740000}"/>
    <cellStyle name="Note 5 6 4" xfId="29857" xr:uid="{00000000-0005-0000-0000-00009F740000}"/>
    <cellStyle name="Note 5 6 5" xfId="29858" xr:uid="{00000000-0005-0000-0000-0000A0740000}"/>
    <cellStyle name="Note 5 7" xfId="29859" xr:uid="{00000000-0005-0000-0000-0000A1740000}"/>
    <cellStyle name="Note 5 7 2" xfId="29860" xr:uid="{00000000-0005-0000-0000-0000A2740000}"/>
    <cellStyle name="Note 5 7 3" xfId="29861" xr:uid="{00000000-0005-0000-0000-0000A3740000}"/>
    <cellStyle name="Note 5 8" xfId="29862" xr:uid="{00000000-0005-0000-0000-0000A4740000}"/>
    <cellStyle name="Note 5 8 2" xfId="29863" xr:uid="{00000000-0005-0000-0000-0000A5740000}"/>
    <cellStyle name="Note 5 9" xfId="29864" xr:uid="{00000000-0005-0000-0000-0000A6740000}"/>
    <cellStyle name="Note 6" xfId="29865" xr:uid="{00000000-0005-0000-0000-0000A7740000}"/>
    <cellStyle name="Note 6 10" xfId="29866" xr:uid="{00000000-0005-0000-0000-0000A8740000}"/>
    <cellStyle name="Note 6 11" xfId="29867" xr:uid="{00000000-0005-0000-0000-0000A9740000}"/>
    <cellStyle name="Note 6 2" xfId="29868" xr:uid="{00000000-0005-0000-0000-0000AA740000}"/>
    <cellStyle name="Note 6 2 10" xfId="29869" xr:uid="{00000000-0005-0000-0000-0000AB740000}"/>
    <cellStyle name="Note 6 2 10 2" xfId="29870" xr:uid="{00000000-0005-0000-0000-0000AC740000}"/>
    <cellStyle name="Note 6 2 10 2 2" xfId="29871" xr:uid="{00000000-0005-0000-0000-0000AD740000}"/>
    <cellStyle name="Note 6 2 10 2 3" xfId="29872" xr:uid="{00000000-0005-0000-0000-0000AE740000}"/>
    <cellStyle name="Note 6 2 10 3" xfId="29873" xr:uid="{00000000-0005-0000-0000-0000AF740000}"/>
    <cellStyle name="Note 6 2 10 4" xfId="29874" xr:uid="{00000000-0005-0000-0000-0000B0740000}"/>
    <cellStyle name="Note 6 2 11" xfId="29875" xr:uid="{00000000-0005-0000-0000-0000B1740000}"/>
    <cellStyle name="Note 6 2 11 2" xfId="29876" xr:uid="{00000000-0005-0000-0000-0000B2740000}"/>
    <cellStyle name="Note 6 2 11 2 2" xfId="29877" xr:uid="{00000000-0005-0000-0000-0000B3740000}"/>
    <cellStyle name="Note 6 2 11 2 3" xfId="29878" xr:uid="{00000000-0005-0000-0000-0000B4740000}"/>
    <cellStyle name="Note 6 2 11 3" xfId="29879" xr:uid="{00000000-0005-0000-0000-0000B5740000}"/>
    <cellStyle name="Note 6 2 11 4" xfId="29880" xr:uid="{00000000-0005-0000-0000-0000B6740000}"/>
    <cellStyle name="Note 6 2 12" xfId="29881" xr:uid="{00000000-0005-0000-0000-0000B7740000}"/>
    <cellStyle name="Note 6 2 12 2" xfId="29882" xr:uid="{00000000-0005-0000-0000-0000B8740000}"/>
    <cellStyle name="Note 6 2 12 2 2" xfId="29883" xr:uid="{00000000-0005-0000-0000-0000B9740000}"/>
    <cellStyle name="Note 6 2 12 2 3" xfId="29884" xr:uid="{00000000-0005-0000-0000-0000BA740000}"/>
    <cellStyle name="Note 6 2 12 3" xfId="29885" xr:uid="{00000000-0005-0000-0000-0000BB740000}"/>
    <cellStyle name="Note 6 2 12 4" xfId="29886" xr:uid="{00000000-0005-0000-0000-0000BC740000}"/>
    <cellStyle name="Note 6 2 13" xfId="29887" xr:uid="{00000000-0005-0000-0000-0000BD740000}"/>
    <cellStyle name="Note 6 2 13 2" xfId="29888" xr:uid="{00000000-0005-0000-0000-0000BE740000}"/>
    <cellStyle name="Note 6 2 13 2 2" xfId="29889" xr:uid="{00000000-0005-0000-0000-0000BF740000}"/>
    <cellStyle name="Note 6 2 13 2 3" xfId="29890" xr:uid="{00000000-0005-0000-0000-0000C0740000}"/>
    <cellStyle name="Note 6 2 13 3" xfId="29891" xr:uid="{00000000-0005-0000-0000-0000C1740000}"/>
    <cellStyle name="Note 6 2 13 4" xfId="29892" xr:uid="{00000000-0005-0000-0000-0000C2740000}"/>
    <cellStyle name="Note 6 2 14" xfId="29893" xr:uid="{00000000-0005-0000-0000-0000C3740000}"/>
    <cellStyle name="Note 6 2 14 2" xfId="29894" xr:uid="{00000000-0005-0000-0000-0000C4740000}"/>
    <cellStyle name="Note 6 2 14 2 2" xfId="29895" xr:uid="{00000000-0005-0000-0000-0000C5740000}"/>
    <cellStyle name="Note 6 2 14 2 3" xfId="29896" xr:uid="{00000000-0005-0000-0000-0000C6740000}"/>
    <cellStyle name="Note 6 2 14 3" xfId="29897" xr:uid="{00000000-0005-0000-0000-0000C7740000}"/>
    <cellStyle name="Note 6 2 14 4" xfId="29898" xr:uid="{00000000-0005-0000-0000-0000C8740000}"/>
    <cellStyle name="Note 6 2 15" xfId="29899" xr:uid="{00000000-0005-0000-0000-0000C9740000}"/>
    <cellStyle name="Note 6 2 15 2" xfId="29900" xr:uid="{00000000-0005-0000-0000-0000CA740000}"/>
    <cellStyle name="Note 6 2 15 2 2" xfId="29901" xr:uid="{00000000-0005-0000-0000-0000CB740000}"/>
    <cellStyle name="Note 6 2 15 2 3" xfId="29902" xr:uid="{00000000-0005-0000-0000-0000CC740000}"/>
    <cellStyle name="Note 6 2 15 3" xfId="29903" xr:uid="{00000000-0005-0000-0000-0000CD740000}"/>
    <cellStyle name="Note 6 2 15 4" xfId="29904" xr:uid="{00000000-0005-0000-0000-0000CE740000}"/>
    <cellStyle name="Note 6 2 16" xfId="29905" xr:uid="{00000000-0005-0000-0000-0000CF740000}"/>
    <cellStyle name="Note 6 2 16 2" xfId="29906" xr:uid="{00000000-0005-0000-0000-0000D0740000}"/>
    <cellStyle name="Note 6 2 16 2 2" xfId="29907" xr:uid="{00000000-0005-0000-0000-0000D1740000}"/>
    <cellStyle name="Note 6 2 16 2 3" xfId="29908" xr:uid="{00000000-0005-0000-0000-0000D2740000}"/>
    <cellStyle name="Note 6 2 16 3" xfId="29909" xr:uid="{00000000-0005-0000-0000-0000D3740000}"/>
    <cellStyle name="Note 6 2 16 4" xfId="29910" xr:uid="{00000000-0005-0000-0000-0000D4740000}"/>
    <cellStyle name="Note 6 2 17" xfId="29911" xr:uid="{00000000-0005-0000-0000-0000D5740000}"/>
    <cellStyle name="Note 6 2 17 2" xfId="29912" xr:uid="{00000000-0005-0000-0000-0000D6740000}"/>
    <cellStyle name="Note 6 2 17 2 2" xfId="29913" xr:uid="{00000000-0005-0000-0000-0000D7740000}"/>
    <cellStyle name="Note 6 2 17 2 3" xfId="29914" xr:uid="{00000000-0005-0000-0000-0000D8740000}"/>
    <cellStyle name="Note 6 2 17 3" xfId="29915" xr:uid="{00000000-0005-0000-0000-0000D9740000}"/>
    <cellStyle name="Note 6 2 17 4" xfId="29916" xr:uid="{00000000-0005-0000-0000-0000DA740000}"/>
    <cellStyle name="Note 6 2 18" xfId="29917" xr:uid="{00000000-0005-0000-0000-0000DB740000}"/>
    <cellStyle name="Note 6 2 18 2" xfId="29918" xr:uid="{00000000-0005-0000-0000-0000DC740000}"/>
    <cellStyle name="Note 6 2 18 3" xfId="29919" xr:uid="{00000000-0005-0000-0000-0000DD740000}"/>
    <cellStyle name="Note 6 2 18 4" xfId="29920" xr:uid="{00000000-0005-0000-0000-0000DE740000}"/>
    <cellStyle name="Note 6 2 19" xfId="29921" xr:uid="{00000000-0005-0000-0000-0000DF740000}"/>
    <cellStyle name="Note 6 2 19 2" xfId="29922" xr:uid="{00000000-0005-0000-0000-0000E0740000}"/>
    <cellStyle name="Note 6 2 19 3" xfId="29923" xr:uid="{00000000-0005-0000-0000-0000E1740000}"/>
    <cellStyle name="Note 6 2 2" xfId="29924" xr:uid="{00000000-0005-0000-0000-0000E2740000}"/>
    <cellStyle name="Note 6 2 2 2" xfId="29925" xr:uid="{00000000-0005-0000-0000-0000E3740000}"/>
    <cellStyle name="Note 6 2 2 2 2" xfId="29926" xr:uid="{00000000-0005-0000-0000-0000E4740000}"/>
    <cellStyle name="Note 6 2 2 2 3" xfId="29927" xr:uid="{00000000-0005-0000-0000-0000E5740000}"/>
    <cellStyle name="Note 6 2 2 2 4" xfId="29928" xr:uid="{00000000-0005-0000-0000-0000E6740000}"/>
    <cellStyle name="Note 6 2 2 2 5" xfId="29929" xr:uid="{00000000-0005-0000-0000-0000E7740000}"/>
    <cellStyle name="Note 6 2 2 2 5 2" xfId="29930" xr:uid="{00000000-0005-0000-0000-0000E8740000}"/>
    <cellStyle name="Note 6 2 2 2 6" xfId="29931" xr:uid="{00000000-0005-0000-0000-0000E9740000}"/>
    <cellStyle name="Note 6 2 2 3" xfId="29932" xr:uid="{00000000-0005-0000-0000-0000EA740000}"/>
    <cellStyle name="Note 6 2 2 3 2" xfId="29933" xr:uid="{00000000-0005-0000-0000-0000EB740000}"/>
    <cellStyle name="Note 6 2 2 3 3" xfId="29934" xr:uid="{00000000-0005-0000-0000-0000EC740000}"/>
    <cellStyle name="Note 6 2 2 4" xfId="29935" xr:uid="{00000000-0005-0000-0000-0000ED740000}"/>
    <cellStyle name="Note 6 2 2 4 2" xfId="29936" xr:uid="{00000000-0005-0000-0000-0000EE740000}"/>
    <cellStyle name="Note 6 2 2 5" xfId="29937" xr:uid="{00000000-0005-0000-0000-0000EF740000}"/>
    <cellStyle name="Note 6 2 2 6" xfId="29938" xr:uid="{00000000-0005-0000-0000-0000F0740000}"/>
    <cellStyle name="Note 6 2 2 7" xfId="29939" xr:uid="{00000000-0005-0000-0000-0000F1740000}"/>
    <cellStyle name="Note 6 2 20" xfId="29940" xr:uid="{00000000-0005-0000-0000-0000F2740000}"/>
    <cellStyle name="Note 6 2 20 2" xfId="29941" xr:uid="{00000000-0005-0000-0000-0000F3740000}"/>
    <cellStyle name="Note 6 2 21" xfId="29942" xr:uid="{00000000-0005-0000-0000-0000F4740000}"/>
    <cellStyle name="Note 6 2 22" xfId="29943" xr:uid="{00000000-0005-0000-0000-0000F5740000}"/>
    <cellStyle name="Note 6 2 23" xfId="29944" xr:uid="{00000000-0005-0000-0000-0000F6740000}"/>
    <cellStyle name="Note 6 2 3" xfId="29945" xr:uid="{00000000-0005-0000-0000-0000F7740000}"/>
    <cellStyle name="Note 6 2 3 2" xfId="29946" xr:uid="{00000000-0005-0000-0000-0000F8740000}"/>
    <cellStyle name="Note 6 2 3 2 2" xfId="29947" xr:uid="{00000000-0005-0000-0000-0000F9740000}"/>
    <cellStyle name="Note 6 2 3 2 3" xfId="29948" xr:uid="{00000000-0005-0000-0000-0000FA740000}"/>
    <cellStyle name="Note 6 2 3 3" xfId="29949" xr:uid="{00000000-0005-0000-0000-0000FB740000}"/>
    <cellStyle name="Note 6 2 3 4" xfId="29950" xr:uid="{00000000-0005-0000-0000-0000FC740000}"/>
    <cellStyle name="Note 6 2 4" xfId="29951" xr:uid="{00000000-0005-0000-0000-0000FD740000}"/>
    <cellStyle name="Note 6 2 4 2" xfId="29952" xr:uid="{00000000-0005-0000-0000-0000FE740000}"/>
    <cellStyle name="Note 6 2 4 2 2" xfId="29953" xr:uid="{00000000-0005-0000-0000-0000FF740000}"/>
    <cellStyle name="Note 6 2 4 2 3" xfId="29954" xr:uid="{00000000-0005-0000-0000-000000750000}"/>
    <cellStyle name="Note 6 2 4 3" xfId="29955" xr:uid="{00000000-0005-0000-0000-000001750000}"/>
    <cellStyle name="Note 6 2 4 4" xfId="29956" xr:uid="{00000000-0005-0000-0000-000002750000}"/>
    <cellStyle name="Note 6 2 5" xfId="29957" xr:uid="{00000000-0005-0000-0000-000003750000}"/>
    <cellStyle name="Note 6 2 5 2" xfId="29958" xr:uid="{00000000-0005-0000-0000-000004750000}"/>
    <cellStyle name="Note 6 2 5 2 2" xfId="29959" xr:uid="{00000000-0005-0000-0000-000005750000}"/>
    <cellStyle name="Note 6 2 5 2 3" xfId="29960" xr:uid="{00000000-0005-0000-0000-000006750000}"/>
    <cellStyle name="Note 6 2 5 3" xfId="29961" xr:uid="{00000000-0005-0000-0000-000007750000}"/>
    <cellStyle name="Note 6 2 5 4" xfId="29962" xr:uid="{00000000-0005-0000-0000-000008750000}"/>
    <cellStyle name="Note 6 2 6" xfId="29963" xr:uid="{00000000-0005-0000-0000-000009750000}"/>
    <cellStyle name="Note 6 2 6 2" xfId="29964" xr:uid="{00000000-0005-0000-0000-00000A750000}"/>
    <cellStyle name="Note 6 2 6 2 2" xfId="29965" xr:uid="{00000000-0005-0000-0000-00000B750000}"/>
    <cellStyle name="Note 6 2 6 2 3" xfId="29966" xr:uid="{00000000-0005-0000-0000-00000C750000}"/>
    <cellStyle name="Note 6 2 6 3" xfId="29967" xr:uid="{00000000-0005-0000-0000-00000D750000}"/>
    <cellStyle name="Note 6 2 6 4" xfId="29968" xr:uid="{00000000-0005-0000-0000-00000E750000}"/>
    <cellStyle name="Note 6 2 7" xfId="29969" xr:uid="{00000000-0005-0000-0000-00000F750000}"/>
    <cellStyle name="Note 6 2 7 2" xfId="29970" xr:uid="{00000000-0005-0000-0000-000010750000}"/>
    <cellStyle name="Note 6 2 7 2 2" xfId="29971" xr:uid="{00000000-0005-0000-0000-000011750000}"/>
    <cellStyle name="Note 6 2 7 2 3" xfId="29972" xr:uid="{00000000-0005-0000-0000-000012750000}"/>
    <cellStyle name="Note 6 2 7 3" xfId="29973" xr:uid="{00000000-0005-0000-0000-000013750000}"/>
    <cellStyle name="Note 6 2 7 4" xfId="29974" xr:uid="{00000000-0005-0000-0000-000014750000}"/>
    <cellStyle name="Note 6 2 8" xfId="29975" xr:uid="{00000000-0005-0000-0000-000015750000}"/>
    <cellStyle name="Note 6 2 8 2" xfId="29976" xr:uid="{00000000-0005-0000-0000-000016750000}"/>
    <cellStyle name="Note 6 2 8 2 2" xfId="29977" xr:uid="{00000000-0005-0000-0000-000017750000}"/>
    <cellStyle name="Note 6 2 8 2 3" xfId="29978" xr:uid="{00000000-0005-0000-0000-000018750000}"/>
    <cellStyle name="Note 6 2 8 3" xfId="29979" xr:uid="{00000000-0005-0000-0000-000019750000}"/>
    <cellStyle name="Note 6 2 8 4" xfId="29980" xr:uid="{00000000-0005-0000-0000-00001A750000}"/>
    <cellStyle name="Note 6 2 9" xfId="29981" xr:uid="{00000000-0005-0000-0000-00001B750000}"/>
    <cellStyle name="Note 6 2 9 2" xfId="29982" xr:uid="{00000000-0005-0000-0000-00001C750000}"/>
    <cellStyle name="Note 6 2 9 2 2" xfId="29983" xr:uid="{00000000-0005-0000-0000-00001D750000}"/>
    <cellStyle name="Note 6 2 9 2 3" xfId="29984" xr:uid="{00000000-0005-0000-0000-00001E750000}"/>
    <cellStyle name="Note 6 2 9 3" xfId="29985" xr:uid="{00000000-0005-0000-0000-00001F750000}"/>
    <cellStyle name="Note 6 2 9 4" xfId="29986" xr:uid="{00000000-0005-0000-0000-000020750000}"/>
    <cellStyle name="Note 6 3" xfId="29987" xr:uid="{00000000-0005-0000-0000-000021750000}"/>
    <cellStyle name="Note 6 3 2" xfId="29988" xr:uid="{00000000-0005-0000-0000-000022750000}"/>
    <cellStyle name="Note 6 3 2 2" xfId="29989" xr:uid="{00000000-0005-0000-0000-000023750000}"/>
    <cellStyle name="Note 6 3 2 3" xfId="29990" xr:uid="{00000000-0005-0000-0000-000024750000}"/>
    <cellStyle name="Note 6 3 2 4" xfId="29991" xr:uid="{00000000-0005-0000-0000-000025750000}"/>
    <cellStyle name="Note 6 3 2 5" xfId="29992" xr:uid="{00000000-0005-0000-0000-000026750000}"/>
    <cellStyle name="Note 6 3 2 5 2" xfId="29993" xr:uid="{00000000-0005-0000-0000-000027750000}"/>
    <cellStyle name="Note 6 3 2 6" xfId="29994" xr:uid="{00000000-0005-0000-0000-000028750000}"/>
    <cellStyle name="Note 6 3 3" xfId="29995" xr:uid="{00000000-0005-0000-0000-000029750000}"/>
    <cellStyle name="Note 6 3 3 2" xfId="29996" xr:uid="{00000000-0005-0000-0000-00002A750000}"/>
    <cellStyle name="Note 6 3 4" xfId="29997" xr:uid="{00000000-0005-0000-0000-00002B750000}"/>
    <cellStyle name="Note 6 3 5" xfId="29998" xr:uid="{00000000-0005-0000-0000-00002C750000}"/>
    <cellStyle name="Note 6 3 6" xfId="29999" xr:uid="{00000000-0005-0000-0000-00002D750000}"/>
    <cellStyle name="Note 6 4" xfId="30000" xr:uid="{00000000-0005-0000-0000-00002E750000}"/>
    <cellStyle name="Note 6 4 2" xfId="30001" xr:uid="{00000000-0005-0000-0000-00002F750000}"/>
    <cellStyle name="Note 6 4 2 2" xfId="30002" xr:uid="{00000000-0005-0000-0000-000030750000}"/>
    <cellStyle name="Note 6 4 3" xfId="30003" xr:uid="{00000000-0005-0000-0000-000031750000}"/>
    <cellStyle name="Note 6 4 3 2" xfId="30004" xr:uid="{00000000-0005-0000-0000-000032750000}"/>
    <cellStyle name="Note 6 4 4" xfId="30005" xr:uid="{00000000-0005-0000-0000-000033750000}"/>
    <cellStyle name="Note 6 4 5" xfId="30006" xr:uid="{00000000-0005-0000-0000-000034750000}"/>
    <cellStyle name="Note 6 5" xfId="30007" xr:uid="{00000000-0005-0000-0000-000035750000}"/>
    <cellStyle name="Note 6 5 2" xfId="30008" xr:uid="{00000000-0005-0000-0000-000036750000}"/>
    <cellStyle name="Note 6 5 2 2" xfId="30009" xr:uid="{00000000-0005-0000-0000-000037750000}"/>
    <cellStyle name="Note 6 5 3" xfId="30010" xr:uid="{00000000-0005-0000-0000-000038750000}"/>
    <cellStyle name="Note 6 5 3 2" xfId="30011" xr:uid="{00000000-0005-0000-0000-000039750000}"/>
    <cellStyle name="Note 6 5 4" xfId="30012" xr:uid="{00000000-0005-0000-0000-00003A750000}"/>
    <cellStyle name="Note 6 5 5" xfId="30013" xr:uid="{00000000-0005-0000-0000-00003B750000}"/>
    <cellStyle name="Note 6 6" xfId="30014" xr:uid="{00000000-0005-0000-0000-00003C750000}"/>
    <cellStyle name="Note 6 6 2" xfId="30015" xr:uid="{00000000-0005-0000-0000-00003D750000}"/>
    <cellStyle name="Note 6 6 2 2" xfId="30016" xr:uid="{00000000-0005-0000-0000-00003E750000}"/>
    <cellStyle name="Note 6 6 3" xfId="30017" xr:uid="{00000000-0005-0000-0000-00003F750000}"/>
    <cellStyle name="Note 6 6 3 2" xfId="30018" xr:uid="{00000000-0005-0000-0000-000040750000}"/>
    <cellStyle name="Note 6 6 4" xfId="30019" xr:uid="{00000000-0005-0000-0000-000041750000}"/>
    <cellStyle name="Note 6 6 5" xfId="30020" xr:uid="{00000000-0005-0000-0000-000042750000}"/>
    <cellStyle name="Note 6 7" xfId="30021" xr:uid="{00000000-0005-0000-0000-000043750000}"/>
    <cellStyle name="Note 6 7 2" xfId="30022" xr:uid="{00000000-0005-0000-0000-000044750000}"/>
    <cellStyle name="Note 6 7 3" xfId="30023" xr:uid="{00000000-0005-0000-0000-000045750000}"/>
    <cellStyle name="Note 6 8" xfId="30024" xr:uid="{00000000-0005-0000-0000-000046750000}"/>
    <cellStyle name="Note 6 8 2" xfId="30025" xr:uid="{00000000-0005-0000-0000-000047750000}"/>
    <cellStyle name="Note 6 9" xfId="30026" xr:uid="{00000000-0005-0000-0000-000048750000}"/>
    <cellStyle name="Note 7" xfId="30027" xr:uid="{00000000-0005-0000-0000-000049750000}"/>
    <cellStyle name="Note 7 2" xfId="30028" xr:uid="{00000000-0005-0000-0000-00004A750000}"/>
    <cellStyle name="Note 7 2 10" xfId="30029" xr:uid="{00000000-0005-0000-0000-00004B750000}"/>
    <cellStyle name="Note 7 2 10 2" xfId="30030" xr:uid="{00000000-0005-0000-0000-00004C750000}"/>
    <cellStyle name="Note 7 2 10 2 2" xfId="30031" xr:uid="{00000000-0005-0000-0000-00004D750000}"/>
    <cellStyle name="Note 7 2 10 2 3" xfId="30032" xr:uid="{00000000-0005-0000-0000-00004E750000}"/>
    <cellStyle name="Note 7 2 10 3" xfId="30033" xr:uid="{00000000-0005-0000-0000-00004F750000}"/>
    <cellStyle name="Note 7 2 10 4" xfId="30034" xr:uid="{00000000-0005-0000-0000-000050750000}"/>
    <cellStyle name="Note 7 2 11" xfId="30035" xr:uid="{00000000-0005-0000-0000-000051750000}"/>
    <cellStyle name="Note 7 2 11 2" xfId="30036" xr:uid="{00000000-0005-0000-0000-000052750000}"/>
    <cellStyle name="Note 7 2 11 2 2" xfId="30037" xr:uid="{00000000-0005-0000-0000-000053750000}"/>
    <cellStyle name="Note 7 2 11 2 3" xfId="30038" xr:uid="{00000000-0005-0000-0000-000054750000}"/>
    <cellStyle name="Note 7 2 11 3" xfId="30039" xr:uid="{00000000-0005-0000-0000-000055750000}"/>
    <cellStyle name="Note 7 2 11 4" xfId="30040" xr:uid="{00000000-0005-0000-0000-000056750000}"/>
    <cellStyle name="Note 7 2 12" xfId="30041" xr:uid="{00000000-0005-0000-0000-000057750000}"/>
    <cellStyle name="Note 7 2 12 2" xfId="30042" xr:uid="{00000000-0005-0000-0000-000058750000}"/>
    <cellStyle name="Note 7 2 12 2 2" xfId="30043" xr:uid="{00000000-0005-0000-0000-000059750000}"/>
    <cellStyle name="Note 7 2 12 2 3" xfId="30044" xr:uid="{00000000-0005-0000-0000-00005A750000}"/>
    <cellStyle name="Note 7 2 12 3" xfId="30045" xr:uid="{00000000-0005-0000-0000-00005B750000}"/>
    <cellStyle name="Note 7 2 12 4" xfId="30046" xr:uid="{00000000-0005-0000-0000-00005C750000}"/>
    <cellStyle name="Note 7 2 13" xfId="30047" xr:uid="{00000000-0005-0000-0000-00005D750000}"/>
    <cellStyle name="Note 7 2 13 2" xfId="30048" xr:uid="{00000000-0005-0000-0000-00005E750000}"/>
    <cellStyle name="Note 7 2 13 2 2" xfId="30049" xr:uid="{00000000-0005-0000-0000-00005F750000}"/>
    <cellStyle name="Note 7 2 13 2 3" xfId="30050" xr:uid="{00000000-0005-0000-0000-000060750000}"/>
    <cellStyle name="Note 7 2 13 3" xfId="30051" xr:uid="{00000000-0005-0000-0000-000061750000}"/>
    <cellStyle name="Note 7 2 13 4" xfId="30052" xr:uid="{00000000-0005-0000-0000-000062750000}"/>
    <cellStyle name="Note 7 2 14" xfId="30053" xr:uid="{00000000-0005-0000-0000-000063750000}"/>
    <cellStyle name="Note 7 2 14 2" xfId="30054" xr:uid="{00000000-0005-0000-0000-000064750000}"/>
    <cellStyle name="Note 7 2 14 2 2" xfId="30055" xr:uid="{00000000-0005-0000-0000-000065750000}"/>
    <cellStyle name="Note 7 2 14 2 3" xfId="30056" xr:uid="{00000000-0005-0000-0000-000066750000}"/>
    <cellStyle name="Note 7 2 14 3" xfId="30057" xr:uid="{00000000-0005-0000-0000-000067750000}"/>
    <cellStyle name="Note 7 2 14 4" xfId="30058" xr:uid="{00000000-0005-0000-0000-000068750000}"/>
    <cellStyle name="Note 7 2 15" xfId="30059" xr:uid="{00000000-0005-0000-0000-000069750000}"/>
    <cellStyle name="Note 7 2 15 2" xfId="30060" xr:uid="{00000000-0005-0000-0000-00006A750000}"/>
    <cellStyle name="Note 7 2 15 2 2" xfId="30061" xr:uid="{00000000-0005-0000-0000-00006B750000}"/>
    <cellStyle name="Note 7 2 15 2 3" xfId="30062" xr:uid="{00000000-0005-0000-0000-00006C750000}"/>
    <cellStyle name="Note 7 2 15 3" xfId="30063" xr:uid="{00000000-0005-0000-0000-00006D750000}"/>
    <cellStyle name="Note 7 2 15 4" xfId="30064" xr:uid="{00000000-0005-0000-0000-00006E750000}"/>
    <cellStyle name="Note 7 2 16" xfId="30065" xr:uid="{00000000-0005-0000-0000-00006F750000}"/>
    <cellStyle name="Note 7 2 16 2" xfId="30066" xr:uid="{00000000-0005-0000-0000-000070750000}"/>
    <cellStyle name="Note 7 2 16 2 2" xfId="30067" xr:uid="{00000000-0005-0000-0000-000071750000}"/>
    <cellStyle name="Note 7 2 16 2 3" xfId="30068" xr:uid="{00000000-0005-0000-0000-000072750000}"/>
    <cellStyle name="Note 7 2 16 3" xfId="30069" xr:uid="{00000000-0005-0000-0000-000073750000}"/>
    <cellStyle name="Note 7 2 16 4" xfId="30070" xr:uid="{00000000-0005-0000-0000-000074750000}"/>
    <cellStyle name="Note 7 2 17" xfId="30071" xr:uid="{00000000-0005-0000-0000-000075750000}"/>
    <cellStyle name="Note 7 2 17 2" xfId="30072" xr:uid="{00000000-0005-0000-0000-000076750000}"/>
    <cellStyle name="Note 7 2 17 2 2" xfId="30073" xr:uid="{00000000-0005-0000-0000-000077750000}"/>
    <cellStyle name="Note 7 2 17 2 3" xfId="30074" xr:uid="{00000000-0005-0000-0000-000078750000}"/>
    <cellStyle name="Note 7 2 17 3" xfId="30075" xr:uid="{00000000-0005-0000-0000-000079750000}"/>
    <cellStyle name="Note 7 2 17 4" xfId="30076" xr:uid="{00000000-0005-0000-0000-00007A750000}"/>
    <cellStyle name="Note 7 2 18" xfId="30077" xr:uid="{00000000-0005-0000-0000-00007B750000}"/>
    <cellStyle name="Note 7 2 18 2" xfId="30078" xr:uid="{00000000-0005-0000-0000-00007C750000}"/>
    <cellStyle name="Note 7 2 18 3" xfId="30079" xr:uid="{00000000-0005-0000-0000-00007D750000}"/>
    <cellStyle name="Note 7 2 18 4" xfId="30080" xr:uid="{00000000-0005-0000-0000-00007E750000}"/>
    <cellStyle name="Note 7 2 19" xfId="30081" xr:uid="{00000000-0005-0000-0000-00007F750000}"/>
    <cellStyle name="Note 7 2 2" xfId="30082" xr:uid="{00000000-0005-0000-0000-000080750000}"/>
    <cellStyle name="Note 7 2 2 2" xfId="30083" xr:uid="{00000000-0005-0000-0000-000081750000}"/>
    <cellStyle name="Note 7 2 2 2 2" xfId="30084" xr:uid="{00000000-0005-0000-0000-000082750000}"/>
    <cellStyle name="Note 7 2 2 2 3" xfId="30085" xr:uid="{00000000-0005-0000-0000-000083750000}"/>
    <cellStyle name="Note 7 2 2 3" xfId="30086" xr:uid="{00000000-0005-0000-0000-000084750000}"/>
    <cellStyle name="Note 7 2 2 4" xfId="30087" xr:uid="{00000000-0005-0000-0000-000085750000}"/>
    <cellStyle name="Note 7 2 20" xfId="30088" xr:uid="{00000000-0005-0000-0000-000086750000}"/>
    <cellStyle name="Note 7 2 21" xfId="30089" xr:uid="{00000000-0005-0000-0000-000087750000}"/>
    <cellStyle name="Note 7 2 3" xfId="30090" xr:uid="{00000000-0005-0000-0000-000088750000}"/>
    <cellStyle name="Note 7 2 3 2" xfId="30091" xr:uid="{00000000-0005-0000-0000-000089750000}"/>
    <cellStyle name="Note 7 2 3 2 2" xfId="30092" xr:uid="{00000000-0005-0000-0000-00008A750000}"/>
    <cellStyle name="Note 7 2 3 2 3" xfId="30093" xr:uid="{00000000-0005-0000-0000-00008B750000}"/>
    <cellStyle name="Note 7 2 3 3" xfId="30094" xr:uid="{00000000-0005-0000-0000-00008C750000}"/>
    <cellStyle name="Note 7 2 3 4" xfId="30095" xr:uid="{00000000-0005-0000-0000-00008D750000}"/>
    <cellStyle name="Note 7 2 4" xfId="30096" xr:uid="{00000000-0005-0000-0000-00008E750000}"/>
    <cellStyle name="Note 7 2 4 2" xfId="30097" xr:uid="{00000000-0005-0000-0000-00008F750000}"/>
    <cellStyle name="Note 7 2 4 2 2" xfId="30098" xr:uid="{00000000-0005-0000-0000-000090750000}"/>
    <cellStyle name="Note 7 2 4 2 3" xfId="30099" xr:uid="{00000000-0005-0000-0000-000091750000}"/>
    <cellStyle name="Note 7 2 4 3" xfId="30100" xr:uid="{00000000-0005-0000-0000-000092750000}"/>
    <cellStyle name="Note 7 2 4 4" xfId="30101" xr:uid="{00000000-0005-0000-0000-000093750000}"/>
    <cellStyle name="Note 7 2 5" xfId="30102" xr:uid="{00000000-0005-0000-0000-000094750000}"/>
    <cellStyle name="Note 7 2 5 2" xfId="30103" xr:uid="{00000000-0005-0000-0000-000095750000}"/>
    <cellStyle name="Note 7 2 5 2 2" xfId="30104" xr:uid="{00000000-0005-0000-0000-000096750000}"/>
    <cellStyle name="Note 7 2 5 2 3" xfId="30105" xr:uid="{00000000-0005-0000-0000-000097750000}"/>
    <cellStyle name="Note 7 2 5 3" xfId="30106" xr:uid="{00000000-0005-0000-0000-000098750000}"/>
    <cellStyle name="Note 7 2 5 4" xfId="30107" xr:uid="{00000000-0005-0000-0000-000099750000}"/>
    <cellStyle name="Note 7 2 6" xfId="30108" xr:uid="{00000000-0005-0000-0000-00009A750000}"/>
    <cellStyle name="Note 7 2 6 2" xfId="30109" xr:uid="{00000000-0005-0000-0000-00009B750000}"/>
    <cellStyle name="Note 7 2 6 2 2" xfId="30110" xr:uid="{00000000-0005-0000-0000-00009C750000}"/>
    <cellStyle name="Note 7 2 6 2 3" xfId="30111" xr:uid="{00000000-0005-0000-0000-00009D750000}"/>
    <cellStyle name="Note 7 2 6 3" xfId="30112" xr:uid="{00000000-0005-0000-0000-00009E750000}"/>
    <cellStyle name="Note 7 2 6 4" xfId="30113" xr:uid="{00000000-0005-0000-0000-00009F750000}"/>
    <cellStyle name="Note 7 2 7" xfId="30114" xr:uid="{00000000-0005-0000-0000-0000A0750000}"/>
    <cellStyle name="Note 7 2 7 2" xfId="30115" xr:uid="{00000000-0005-0000-0000-0000A1750000}"/>
    <cellStyle name="Note 7 2 7 2 2" xfId="30116" xr:uid="{00000000-0005-0000-0000-0000A2750000}"/>
    <cellStyle name="Note 7 2 7 2 3" xfId="30117" xr:uid="{00000000-0005-0000-0000-0000A3750000}"/>
    <cellStyle name="Note 7 2 7 3" xfId="30118" xr:uid="{00000000-0005-0000-0000-0000A4750000}"/>
    <cellStyle name="Note 7 2 7 4" xfId="30119" xr:uid="{00000000-0005-0000-0000-0000A5750000}"/>
    <cellStyle name="Note 7 2 8" xfId="30120" xr:uid="{00000000-0005-0000-0000-0000A6750000}"/>
    <cellStyle name="Note 7 2 8 2" xfId="30121" xr:uid="{00000000-0005-0000-0000-0000A7750000}"/>
    <cellStyle name="Note 7 2 8 2 2" xfId="30122" xr:uid="{00000000-0005-0000-0000-0000A8750000}"/>
    <cellStyle name="Note 7 2 8 2 3" xfId="30123" xr:uid="{00000000-0005-0000-0000-0000A9750000}"/>
    <cellStyle name="Note 7 2 8 3" xfId="30124" xr:uid="{00000000-0005-0000-0000-0000AA750000}"/>
    <cellStyle name="Note 7 2 8 4" xfId="30125" xr:uid="{00000000-0005-0000-0000-0000AB750000}"/>
    <cellStyle name="Note 7 2 9" xfId="30126" xr:uid="{00000000-0005-0000-0000-0000AC750000}"/>
    <cellStyle name="Note 7 2 9 2" xfId="30127" xr:uid="{00000000-0005-0000-0000-0000AD750000}"/>
    <cellStyle name="Note 7 2 9 2 2" xfId="30128" xr:uid="{00000000-0005-0000-0000-0000AE750000}"/>
    <cellStyle name="Note 7 2 9 2 3" xfId="30129" xr:uid="{00000000-0005-0000-0000-0000AF750000}"/>
    <cellStyle name="Note 7 2 9 3" xfId="30130" xr:uid="{00000000-0005-0000-0000-0000B0750000}"/>
    <cellStyle name="Note 7 2 9 4" xfId="30131" xr:uid="{00000000-0005-0000-0000-0000B1750000}"/>
    <cellStyle name="Note 7 3" xfId="30132" xr:uid="{00000000-0005-0000-0000-0000B2750000}"/>
    <cellStyle name="Note 7 3 2" xfId="30133" xr:uid="{00000000-0005-0000-0000-0000B3750000}"/>
    <cellStyle name="Note 7 3 2 2" xfId="30134" xr:uid="{00000000-0005-0000-0000-0000B4750000}"/>
    <cellStyle name="Note 7 3 2 3" xfId="30135" xr:uid="{00000000-0005-0000-0000-0000B5750000}"/>
    <cellStyle name="Note 7 3 3" xfId="30136" xr:uid="{00000000-0005-0000-0000-0000B6750000}"/>
    <cellStyle name="Note 7 3 4" xfId="30137" xr:uid="{00000000-0005-0000-0000-0000B7750000}"/>
    <cellStyle name="Note 7 4" xfId="30138" xr:uid="{00000000-0005-0000-0000-0000B8750000}"/>
    <cellStyle name="Note 7 5" xfId="30139" xr:uid="{00000000-0005-0000-0000-0000B9750000}"/>
    <cellStyle name="Note 8" xfId="30140" xr:uid="{00000000-0005-0000-0000-0000BA750000}"/>
    <cellStyle name="Note 8 2" xfId="30141" xr:uid="{00000000-0005-0000-0000-0000BB750000}"/>
    <cellStyle name="Note 8 2 10" xfId="30142" xr:uid="{00000000-0005-0000-0000-0000BC750000}"/>
    <cellStyle name="Note 8 2 10 2" xfId="30143" xr:uid="{00000000-0005-0000-0000-0000BD750000}"/>
    <cellStyle name="Note 8 2 10 2 2" xfId="30144" xr:uid="{00000000-0005-0000-0000-0000BE750000}"/>
    <cellStyle name="Note 8 2 10 2 3" xfId="30145" xr:uid="{00000000-0005-0000-0000-0000BF750000}"/>
    <cellStyle name="Note 8 2 10 3" xfId="30146" xr:uid="{00000000-0005-0000-0000-0000C0750000}"/>
    <cellStyle name="Note 8 2 10 4" xfId="30147" xr:uid="{00000000-0005-0000-0000-0000C1750000}"/>
    <cellStyle name="Note 8 2 11" xfId="30148" xr:uid="{00000000-0005-0000-0000-0000C2750000}"/>
    <cellStyle name="Note 8 2 11 2" xfId="30149" xr:uid="{00000000-0005-0000-0000-0000C3750000}"/>
    <cellStyle name="Note 8 2 11 2 2" xfId="30150" xr:uid="{00000000-0005-0000-0000-0000C4750000}"/>
    <cellStyle name="Note 8 2 11 2 3" xfId="30151" xr:uid="{00000000-0005-0000-0000-0000C5750000}"/>
    <cellStyle name="Note 8 2 11 3" xfId="30152" xr:uid="{00000000-0005-0000-0000-0000C6750000}"/>
    <cellStyle name="Note 8 2 11 4" xfId="30153" xr:uid="{00000000-0005-0000-0000-0000C7750000}"/>
    <cellStyle name="Note 8 2 12" xfId="30154" xr:uid="{00000000-0005-0000-0000-0000C8750000}"/>
    <cellStyle name="Note 8 2 12 2" xfId="30155" xr:uid="{00000000-0005-0000-0000-0000C9750000}"/>
    <cellStyle name="Note 8 2 12 2 2" xfId="30156" xr:uid="{00000000-0005-0000-0000-0000CA750000}"/>
    <cellStyle name="Note 8 2 12 2 3" xfId="30157" xr:uid="{00000000-0005-0000-0000-0000CB750000}"/>
    <cellStyle name="Note 8 2 12 3" xfId="30158" xr:uid="{00000000-0005-0000-0000-0000CC750000}"/>
    <cellStyle name="Note 8 2 12 4" xfId="30159" xr:uid="{00000000-0005-0000-0000-0000CD750000}"/>
    <cellStyle name="Note 8 2 13" xfId="30160" xr:uid="{00000000-0005-0000-0000-0000CE750000}"/>
    <cellStyle name="Note 8 2 13 2" xfId="30161" xr:uid="{00000000-0005-0000-0000-0000CF750000}"/>
    <cellStyle name="Note 8 2 13 2 2" xfId="30162" xr:uid="{00000000-0005-0000-0000-0000D0750000}"/>
    <cellStyle name="Note 8 2 13 2 3" xfId="30163" xr:uid="{00000000-0005-0000-0000-0000D1750000}"/>
    <cellStyle name="Note 8 2 13 3" xfId="30164" xr:uid="{00000000-0005-0000-0000-0000D2750000}"/>
    <cellStyle name="Note 8 2 13 4" xfId="30165" xr:uid="{00000000-0005-0000-0000-0000D3750000}"/>
    <cellStyle name="Note 8 2 14" xfId="30166" xr:uid="{00000000-0005-0000-0000-0000D4750000}"/>
    <cellStyle name="Note 8 2 14 2" xfId="30167" xr:uid="{00000000-0005-0000-0000-0000D5750000}"/>
    <cellStyle name="Note 8 2 14 2 2" xfId="30168" xr:uid="{00000000-0005-0000-0000-0000D6750000}"/>
    <cellStyle name="Note 8 2 14 2 3" xfId="30169" xr:uid="{00000000-0005-0000-0000-0000D7750000}"/>
    <cellStyle name="Note 8 2 14 3" xfId="30170" xr:uid="{00000000-0005-0000-0000-0000D8750000}"/>
    <cellStyle name="Note 8 2 14 4" xfId="30171" xr:uid="{00000000-0005-0000-0000-0000D9750000}"/>
    <cellStyle name="Note 8 2 15" xfId="30172" xr:uid="{00000000-0005-0000-0000-0000DA750000}"/>
    <cellStyle name="Note 8 2 15 2" xfId="30173" xr:uid="{00000000-0005-0000-0000-0000DB750000}"/>
    <cellStyle name="Note 8 2 15 2 2" xfId="30174" xr:uid="{00000000-0005-0000-0000-0000DC750000}"/>
    <cellStyle name="Note 8 2 15 2 3" xfId="30175" xr:uid="{00000000-0005-0000-0000-0000DD750000}"/>
    <cellStyle name="Note 8 2 15 3" xfId="30176" xr:uid="{00000000-0005-0000-0000-0000DE750000}"/>
    <cellStyle name="Note 8 2 15 4" xfId="30177" xr:uid="{00000000-0005-0000-0000-0000DF750000}"/>
    <cellStyle name="Note 8 2 16" xfId="30178" xr:uid="{00000000-0005-0000-0000-0000E0750000}"/>
    <cellStyle name="Note 8 2 16 2" xfId="30179" xr:uid="{00000000-0005-0000-0000-0000E1750000}"/>
    <cellStyle name="Note 8 2 16 2 2" xfId="30180" xr:uid="{00000000-0005-0000-0000-0000E2750000}"/>
    <cellStyle name="Note 8 2 16 2 3" xfId="30181" xr:uid="{00000000-0005-0000-0000-0000E3750000}"/>
    <cellStyle name="Note 8 2 16 3" xfId="30182" xr:uid="{00000000-0005-0000-0000-0000E4750000}"/>
    <cellStyle name="Note 8 2 16 4" xfId="30183" xr:uid="{00000000-0005-0000-0000-0000E5750000}"/>
    <cellStyle name="Note 8 2 17" xfId="30184" xr:uid="{00000000-0005-0000-0000-0000E6750000}"/>
    <cellStyle name="Note 8 2 17 2" xfId="30185" xr:uid="{00000000-0005-0000-0000-0000E7750000}"/>
    <cellStyle name="Note 8 2 17 2 2" xfId="30186" xr:uid="{00000000-0005-0000-0000-0000E8750000}"/>
    <cellStyle name="Note 8 2 17 2 3" xfId="30187" xr:uid="{00000000-0005-0000-0000-0000E9750000}"/>
    <cellStyle name="Note 8 2 17 3" xfId="30188" xr:uid="{00000000-0005-0000-0000-0000EA750000}"/>
    <cellStyle name="Note 8 2 17 4" xfId="30189" xr:uid="{00000000-0005-0000-0000-0000EB750000}"/>
    <cellStyle name="Note 8 2 18" xfId="30190" xr:uid="{00000000-0005-0000-0000-0000EC750000}"/>
    <cellStyle name="Note 8 2 18 2" xfId="30191" xr:uid="{00000000-0005-0000-0000-0000ED750000}"/>
    <cellStyle name="Note 8 2 18 3" xfId="30192" xr:uid="{00000000-0005-0000-0000-0000EE750000}"/>
    <cellStyle name="Note 8 2 18 4" xfId="30193" xr:uid="{00000000-0005-0000-0000-0000EF750000}"/>
    <cellStyle name="Note 8 2 19" xfId="30194" xr:uid="{00000000-0005-0000-0000-0000F0750000}"/>
    <cellStyle name="Note 8 2 2" xfId="30195" xr:uid="{00000000-0005-0000-0000-0000F1750000}"/>
    <cellStyle name="Note 8 2 2 2" xfId="30196" xr:uid="{00000000-0005-0000-0000-0000F2750000}"/>
    <cellStyle name="Note 8 2 2 2 2" xfId="30197" xr:uid="{00000000-0005-0000-0000-0000F3750000}"/>
    <cellStyle name="Note 8 2 2 2 3" xfId="30198" xr:uid="{00000000-0005-0000-0000-0000F4750000}"/>
    <cellStyle name="Note 8 2 2 3" xfId="30199" xr:uid="{00000000-0005-0000-0000-0000F5750000}"/>
    <cellStyle name="Note 8 2 2 4" xfId="30200" xr:uid="{00000000-0005-0000-0000-0000F6750000}"/>
    <cellStyle name="Note 8 2 20" xfId="30201" xr:uid="{00000000-0005-0000-0000-0000F7750000}"/>
    <cellStyle name="Note 8 2 21" xfId="30202" xr:uid="{00000000-0005-0000-0000-0000F8750000}"/>
    <cellStyle name="Note 8 2 3" xfId="30203" xr:uid="{00000000-0005-0000-0000-0000F9750000}"/>
    <cellStyle name="Note 8 2 3 2" xfId="30204" xr:uid="{00000000-0005-0000-0000-0000FA750000}"/>
    <cellStyle name="Note 8 2 3 2 2" xfId="30205" xr:uid="{00000000-0005-0000-0000-0000FB750000}"/>
    <cellStyle name="Note 8 2 3 2 3" xfId="30206" xr:uid="{00000000-0005-0000-0000-0000FC750000}"/>
    <cellStyle name="Note 8 2 3 3" xfId="30207" xr:uid="{00000000-0005-0000-0000-0000FD750000}"/>
    <cellStyle name="Note 8 2 3 4" xfId="30208" xr:uid="{00000000-0005-0000-0000-0000FE750000}"/>
    <cellStyle name="Note 8 2 4" xfId="30209" xr:uid="{00000000-0005-0000-0000-0000FF750000}"/>
    <cellStyle name="Note 8 2 4 2" xfId="30210" xr:uid="{00000000-0005-0000-0000-000000760000}"/>
    <cellStyle name="Note 8 2 4 2 2" xfId="30211" xr:uid="{00000000-0005-0000-0000-000001760000}"/>
    <cellStyle name="Note 8 2 4 2 3" xfId="30212" xr:uid="{00000000-0005-0000-0000-000002760000}"/>
    <cellStyle name="Note 8 2 4 3" xfId="30213" xr:uid="{00000000-0005-0000-0000-000003760000}"/>
    <cellStyle name="Note 8 2 4 4" xfId="30214" xr:uid="{00000000-0005-0000-0000-000004760000}"/>
    <cellStyle name="Note 8 2 5" xfId="30215" xr:uid="{00000000-0005-0000-0000-000005760000}"/>
    <cellStyle name="Note 8 2 5 2" xfId="30216" xr:uid="{00000000-0005-0000-0000-000006760000}"/>
    <cellStyle name="Note 8 2 5 2 2" xfId="30217" xr:uid="{00000000-0005-0000-0000-000007760000}"/>
    <cellStyle name="Note 8 2 5 2 3" xfId="30218" xr:uid="{00000000-0005-0000-0000-000008760000}"/>
    <cellStyle name="Note 8 2 5 3" xfId="30219" xr:uid="{00000000-0005-0000-0000-000009760000}"/>
    <cellStyle name="Note 8 2 5 4" xfId="30220" xr:uid="{00000000-0005-0000-0000-00000A760000}"/>
    <cellStyle name="Note 8 2 6" xfId="30221" xr:uid="{00000000-0005-0000-0000-00000B760000}"/>
    <cellStyle name="Note 8 2 6 2" xfId="30222" xr:uid="{00000000-0005-0000-0000-00000C760000}"/>
    <cellStyle name="Note 8 2 6 2 2" xfId="30223" xr:uid="{00000000-0005-0000-0000-00000D760000}"/>
    <cellStyle name="Note 8 2 6 2 3" xfId="30224" xr:uid="{00000000-0005-0000-0000-00000E760000}"/>
    <cellStyle name="Note 8 2 6 3" xfId="30225" xr:uid="{00000000-0005-0000-0000-00000F760000}"/>
    <cellStyle name="Note 8 2 6 4" xfId="30226" xr:uid="{00000000-0005-0000-0000-000010760000}"/>
    <cellStyle name="Note 8 2 7" xfId="30227" xr:uid="{00000000-0005-0000-0000-000011760000}"/>
    <cellStyle name="Note 8 2 7 2" xfId="30228" xr:uid="{00000000-0005-0000-0000-000012760000}"/>
    <cellStyle name="Note 8 2 7 2 2" xfId="30229" xr:uid="{00000000-0005-0000-0000-000013760000}"/>
    <cellStyle name="Note 8 2 7 2 3" xfId="30230" xr:uid="{00000000-0005-0000-0000-000014760000}"/>
    <cellStyle name="Note 8 2 7 3" xfId="30231" xr:uid="{00000000-0005-0000-0000-000015760000}"/>
    <cellStyle name="Note 8 2 7 4" xfId="30232" xr:uid="{00000000-0005-0000-0000-000016760000}"/>
    <cellStyle name="Note 8 2 8" xfId="30233" xr:uid="{00000000-0005-0000-0000-000017760000}"/>
    <cellStyle name="Note 8 2 8 2" xfId="30234" xr:uid="{00000000-0005-0000-0000-000018760000}"/>
    <cellStyle name="Note 8 2 8 2 2" xfId="30235" xr:uid="{00000000-0005-0000-0000-000019760000}"/>
    <cellStyle name="Note 8 2 8 2 3" xfId="30236" xr:uid="{00000000-0005-0000-0000-00001A760000}"/>
    <cellStyle name="Note 8 2 8 3" xfId="30237" xr:uid="{00000000-0005-0000-0000-00001B760000}"/>
    <cellStyle name="Note 8 2 8 4" xfId="30238" xr:uid="{00000000-0005-0000-0000-00001C760000}"/>
    <cellStyle name="Note 8 2 9" xfId="30239" xr:uid="{00000000-0005-0000-0000-00001D760000}"/>
    <cellStyle name="Note 8 2 9 2" xfId="30240" xr:uid="{00000000-0005-0000-0000-00001E760000}"/>
    <cellStyle name="Note 8 2 9 2 2" xfId="30241" xr:uid="{00000000-0005-0000-0000-00001F760000}"/>
    <cellStyle name="Note 8 2 9 2 3" xfId="30242" xr:uid="{00000000-0005-0000-0000-000020760000}"/>
    <cellStyle name="Note 8 2 9 3" xfId="30243" xr:uid="{00000000-0005-0000-0000-000021760000}"/>
    <cellStyle name="Note 8 2 9 4" xfId="30244" xr:uid="{00000000-0005-0000-0000-000022760000}"/>
    <cellStyle name="Note 8 3" xfId="30245" xr:uid="{00000000-0005-0000-0000-000023760000}"/>
    <cellStyle name="Note 8 3 2" xfId="30246" xr:uid="{00000000-0005-0000-0000-000024760000}"/>
    <cellStyle name="Note 8 3 2 2" xfId="30247" xr:uid="{00000000-0005-0000-0000-000025760000}"/>
    <cellStyle name="Note 8 3 2 3" xfId="30248" xr:uid="{00000000-0005-0000-0000-000026760000}"/>
    <cellStyle name="Note 8 3 3" xfId="30249" xr:uid="{00000000-0005-0000-0000-000027760000}"/>
    <cellStyle name="Note 8 3 4" xfId="30250" xr:uid="{00000000-0005-0000-0000-000028760000}"/>
    <cellStyle name="Note 8 4" xfId="30251" xr:uid="{00000000-0005-0000-0000-000029760000}"/>
    <cellStyle name="Note 8 5" xfId="30252" xr:uid="{00000000-0005-0000-0000-00002A760000}"/>
    <cellStyle name="Note 9" xfId="30253" xr:uid="{00000000-0005-0000-0000-00002B760000}"/>
    <cellStyle name="Note 9 2" xfId="30254" xr:uid="{00000000-0005-0000-0000-00002C760000}"/>
    <cellStyle name="Note 9 2 10" xfId="30255" xr:uid="{00000000-0005-0000-0000-00002D760000}"/>
    <cellStyle name="Note 9 2 10 2" xfId="30256" xr:uid="{00000000-0005-0000-0000-00002E760000}"/>
    <cellStyle name="Note 9 2 10 2 2" xfId="30257" xr:uid="{00000000-0005-0000-0000-00002F760000}"/>
    <cellStyle name="Note 9 2 10 2 3" xfId="30258" xr:uid="{00000000-0005-0000-0000-000030760000}"/>
    <cellStyle name="Note 9 2 10 3" xfId="30259" xr:uid="{00000000-0005-0000-0000-000031760000}"/>
    <cellStyle name="Note 9 2 10 4" xfId="30260" xr:uid="{00000000-0005-0000-0000-000032760000}"/>
    <cellStyle name="Note 9 2 11" xfId="30261" xr:uid="{00000000-0005-0000-0000-000033760000}"/>
    <cellStyle name="Note 9 2 11 2" xfId="30262" xr:uid="{00000000-0005-0000-0000-000034760000}"/>
    <cellStyle name="Note 9 2 11 2 2" xfId="30263" xr:uid="{00000000-0005-0000-0000-000035760000}"/>
    <cellStyle name="Note 9 2 11 2 3" xfId="30264" xr:uid="{00000000-0005-0000-0000-000036760000}"/>
    <cellStyle name="Note 9 2 11 3" xfId="30265" xr:uid="{00000000-0005-0000-0000-000037760000}"/>
    <cellStyle name="Note 9 2 11 4" xfId="30266" xr:uid="{00000000-0005-0000-0000-000038760000}"/>
    <cellStyle name="Note 9 2 12" xfId="30267" xr:uid="{00000000-0005-0000-0000-000039760000}"/>
    <cellStyle name="Note 9 2 12 2" xfId="30268" xr:uid="{00000000-0005-0000-0000-00003A760000}"/>
    <cellStyle name="Note 9 2 12 2 2" xfId="30269" xr:uid="{00000000-0005-0000-0000-00003B760000}"/>
    <cellStyle name="Note 9 2 12 2 3" xfId="30270" xr:uid="{00000000-0005-0000-0000-00003C760000}"/>
    <cellStyle name="Note 9 2 12 3" xfId="30271" xr:uid="{00000000-0005-0000-0000-00003D760000}"/>
    <cellStyle name="Note 9 2 12 4" xfId="30272" xr:uid="{00000000-0005-0000-0000-00003E760000}"/>
    <cellStyle name="Note 9 2 13" xfId="30273" xr:uid="{00000000-0005-0000-0000-00003F760000}"/>
    <cellStyle name="Note 9 2 13 2" xfId="30274" xr:uid="{00000000-0005-0000-0000-000040760000}"/>
    <cellStyle name="Note 9 2 13 2 2" xfId="30275" xr:uid="{00000000-0005-0000-0000-000041760000}"/>
    <cellStyle name="Note 9 2 13 2 3" xfId="30276" xr:uid="{00000000-0005-0000-0000-000042760000}"/>
    <cellStyle name="Note 9 2 13 3" xfId="30277" xr:uid="{00000000-0005-0000-0000-000043760000}"/>
    <cellStyle name="Note 9 2 13 4" xfId="30278" xr:uid="{00000000-0005-0000-0000-000044760000}"/>
    <cellStyle name="Note 9 2 14" xfId="30279" xr:uid="{00000000-0005-0000-0000-000045760000}"/>
    <cellStyle name="Note 9 2 14 2" xfId="30280" xr:uid="{00000000-0005-0000-0000-000046760000}"/>
    <cellStyle name="Note 9 2 14 2 2" xfId="30281" xr:uid="{00000000-0005-0000-0000-000047760000}"/>
    <cellStyle name="Note 9 2 14 2 3" xfId="30282" xr:uid="{00000000-0005-0000-0000-000048760000}"/>
    <cellStyle name="Note 9 2 14 3" xfId="30283" xr:uid="{00000000-0005-0000-0000-000049760000}"/>
    <cellStyle name="Note 9 2 14 4" xfId="30284" xr:uid="{00000000-0005-0000-0000-00004A760000}"/>
    <cellStyle name="Note 9 2 15" xfId="30285" xr:uid="{00000000-0005-0000-0000-00004B760000}"/>
    <cellStyle name="Note 9 2 15 2" xfId="30286" xr:uid="{00000000-0005-0000-0000-00004C760000}"/>
    <cellStyle name="Note 9 2 15 2 2" xfId="30287" xr:uid="{00000000-0005-0000-0000-00004D760000}"/>
    <cellStyle name="Note 9 2 15 2 3" xfId="30288" xr:uid="{00000000-0005-0000-0000-00004E760000}"/>
    <cellStyle name="Note 9 2 15 3" xfId="30289" xr:uid="{00000000-0005-0000-0000-00004F760000}"/>
    <cellStyle name="Note 9 2 15 4" xfId="30290" xr:uid="{00000000-0005-0000-0000-000050760000}"/>
    <cellStyle name="Note 9 2 16" xfId="30291" xr:uid="{00000000-0005-0000-0000-000051760000}"/>
    <cellStyle name="Note 9 2 16 2" xfId="30292" xr:uid="{00000000-0005-0000-0000-000052760000}"/>
    <cellStyle name="Note 9 2 16 2 2" xfId="30293" xr:uid="{00000000-0005-0000-0000-000053760000}"/>
    <cellStyle name="Note 9 2 16 2 3" xfId="30294" xr:uid="{00000000-0005-0000-0000-000054760000}"/>
    <cellStyle name="Note 9 2 16 3" xfId="30295" xr:uid="{00000000-0005-0000-0000-000055760000}"/>
    <cellStyle name="Note 9 2 16 4" xfId="30296" xr:uid="{00000000-0005-0000-0000-000056760000}"/>
    <cellStyle name="Note 9 2 17" xfId="30297" xr:uid="{00000000-0005-0000-0000-000057760000}"/>
    <cellStyle name="Note 9 2 17 2" xfId="30298" xr:uid="{00000000-0005-0000-0000-000058760000}"/>
    <cellStyle name="Note 9 2 17 2 2" xfId="30299" xr:uid="{00000000-0005-0000-0000-000059760000}"/>
    <cellStyle name="Note 9 2 17 2 3" xfId="30300" xr:uid="{00000000-0005-0000-0000-00005A760000}"/>
    <cellStyle name="Note 9 2 17 3" xfId="30301" xr:uid="{00000000-0005-0000-0000-00005B760000}"/>
    <cellStyle name="Note 9 2 17 4" xfId="30302" xr:uid="{00000000-0005-0000-0000-00005C760000}"/>
    <cellStyle name="Note 9 2 18" xfId="30303" xr:uid="{00000000-0005-0000-0000-00005D760000}"/>
    <cellStyle name="Note 9 2 18 2" xfId="30304" xr:uid="{00000000-0005-0000-0000-00005E760000}"/>
    <cellStyle name="Note 9 2 18 3" xfId="30305" xr:uid="{00000000-0005-0000-0000-00005F760000}"/>
    <cellStyle name="Note 9 2 18 4" xfId="30306" xr:uid="{00000000-0005-0000-0000-000060760000}"/>
    <cellStyle name="Note 9 2 19" xfId="30307" xr:uid="{00000000-0005-0000-0000-000061760000}"/>
    <cellStyle name="Note 9 2 2" xfId="30308" xr:uid="{00000000-0005-0000-0000-000062760000}"/>
    <cellStyle name="Note 9 2 2 2" xfId="30309" xr:uid="{00000000-0005-0000-0000-000063760000}"/>
    <cellStyle name="Note 9 2 2 2 2" xfId="30310" xr:uid="{00000000-0005-0000-0000-000064760000}"/>
    <cellStyle name="Note 9 2 2 2 3" xfId="30311" xr:uid="{00000000-0005-0000-0000-000065760000}"/>
    <cellStyle name="Note 9 2 2 3" xfId="30312" xr:uid="{00000000-0005-0000-0000-000066760000}"/>
    <cellStyle name="Note 9 2 2 4" xfId="30313" xr:uid="{00000000-0005-0000-0000-000067760000}"/>
    <cellStyle name="Note 9 2 20" xfId="30314" xr:uid="{00000000-0005-0000-0000-000068760000}"/>
    <cellStyle name="Note 9 2 21" xfId="30315" xr:uid="{00000000-0005-0000-0000-000069760000}"/>
    <cellStyle name="Note 9 2 3" xfId="30316" xr:uid="{00000000-0005-0000-0000-00006A760000}"/>
    <cellStyle name="Note 9 2 3 2" xfId="30317" xr:uid="{00000000-0005-0000-0000-00006B760000}"/>
    <cellStyle name="Note 9 2 3 2 2" xfId="30318" xr:uid="{00000000-0005-0000-0000-00006C760000}"/>
    <cellStyle name="Note 9 2 3 2 3" xfId="30319" xr:uid="{00000000-0005-0000-0000-00006D760000}"/>
    <cellStyle name="Note 9 2 3 3" xfId="30320" xr:uid="{00000000-0005-0000-0000-00006E760000}"/>
    <cellStyle name="Note 9 2 3 4" xfId="30321" xr:uid="{00000000-0005-0000-0000-00006F760000}"/>
    <cellStyle name="Note 9 2 4" xfId="30322" xr:uid="{00000000-0005-0000-0000-000070760000}"/>
    <cellStyle name="Note 9 2 4 2" xfId="30323" xr:uid="{00000000-0005-0000-0000-000071760000}"/>
    <cellStyle name="Note 9 2 4 2 2" xfId="30324" xr:uid="{00000000-0005-0000-0000-000072760000}"/>
    <cellStyle name="Note 9 2 4 2 3" xfId="30325" xr:uid="{00000000-0005-0000-0000-000073760000}"/>
    <cellStyle name="Note 9 2 4 3" xfId="30326" xr:uid="{00000000-0005-0000-0000-000074760000}"/>
    <cellStyle name="Note 9 2 4 4" xfId="30327" xr:uid="{00000000-0005-0000-0000-000075760000}"/>
    <cellStyle name="Note 9 2 5" xfId="30328" xr:uid="{00000000-0005-0000-0000-000076760000}"/>
    <cellStyle name="Note 9 2 5 2" xfId="30329" xr:uid="{00000000-0005-0000-0000-000077760000}"/>
    <cellStyle name="Note 9 2 5 2 2" xfId="30330" xr:uid="{00000000-0005-0000-0000-000078760000}"/>
    <cellStyle name="Note 9 2 5 2 3" xfId="30331" xr:uid="{00000000-0005-0000-0000-000079760000}"/>
    <cellStyle name="Note 9 2 5 3" xfId="30332" xr:uid="{00000000-0005-0000-0000-00007A760000}"/>
    <cellStyle name="Note 9 2 5 4" xfId="30333" xr:uid="{00000000-0005-0000-0000-00007B760000}"/>
    <cellStyle name="Note 9 2 6" xfId="30334" xr:uid="{00000000-0005-0000-0000-00007C760000}"/>
    <cellStyle name="Note 9 2 6 2" xfId="30335" xr:uid="{00000000-0005-0000-0000-00007D760000}"/>
    <cellStyle name="Note 9 2 6 2 2" xfId="30336" xr:uid="{00000000-0005-0000-0000-00007E760000}"/>
    <cellStyle name="Note 9 2 6 2 3" xfId="30337" xr:uid="{00000000-0005-0000-0000-00007F760000}"/>
    <cellStyle name="Note 9 2 6 3" xfId="30338" xr:uid="{00000000-0005-0000-0000-000080760000}"/>
    <cellStyle name="Note 9 2 6 4" xfId="30339" xr:uid="{00000000-0005-0000-0000-000081760000}"/>
    <cellStyle name="Note 9 2 7" xfId="30340" xr:uid="{00000000-0005-0000-0000-000082760000}"/>
    <cellStyle name="Note 9 2 7 2" xfId="30341" xr:uid="{00000000-0005-0000-0000-000083760000}"/>
    <cellStyle name="Note 9 2 7 2 2" xfId="30342" xr:uid="{00000000-0005-0000-0000-000084760000}"/>
    <cellStyle name="Note 9 2 7 2 3" xfId="30343" xr:uid="{00000000-0005-0000-0000-000085760000}"/>
    <cellStyle name="Note 9 2 7 3" xfId="30344" xr:uid="{00000000-0005-0000-0000-000086760000}"/>
    <cellStyle name="Note 9 2 7 4" xfId="30345" xr:uid="{00000000-0005-0000-0000-000087760000}"/>
    <cellStyle name="Note 9 2 8" xfId="30346" xr:uid="{00000000-0005-0000-0000-000088760000}"/>
    <cellStyle name="Note 9 2 8 2" xfId="30347" xr:uid="{00000000-0005-0000-0000-000089760000}"/>
    <cellStyle name="Note 9 2 8 2 2" xfId="30348" xr:uid="{00000000-0005-0000-0000-00008A760000}"/>
    <cellStyle name="Note 9 2 8 2 3" xfId="30349" xr:uid="{00000000-0005-0000-0000-00008B760000}"/>
    <cellStyle name="Note 9 2 8 3" xfId="30350" xr:uid="{00000000-0005-0000-0000-00008C760000}"/>
    <cellStyle name="Note 9 2 8 4" xfId="30351" xr:uid="{00000000-0005-0000-0000-00008D760000}"/>
    <cellStyle name="Note 9 2 9" xfId="30352" xr:uid="{00000000-0005-0000-0000-00008E760000}"/>
    <cellStyle name="Note 9 2 9 2" xfId="30353" xr:uid="{00000000-0005-0000-0000-00008F760000}"/>
    <cellStyle name="Note 9 2 9 2 2" xfId="30354" xr:uid="{00000000-0005-0000-0000-000090760000}"/>
    <cellStyle name="Note 9 2 9 2 3" xfId="30355" xr:uid="{00000000-0005-0000-0000-000091760000}"/>
    <cellStyle name="Note 9 2 9 3" xfId="30356" xr:uid="{00000000-0005-0000-0000-000092760000}"/>
    <cellStyle name="Note 9 2 9 4" xfId="30357" xr:uid="{00000000-0005-0000-0000-000093760000}"/>
    <cellStyle name="Note 9 3" xfId="30358" xr:uid="{00000000-0005-0000-0000-000094760000}"/>
    <cellStyle name="Note 9 3 2" xfId="30359" xr:uid="{00000000-0005-0000-0000-000095760000}"/>
    <cellStyle name="Note 9 3 2 2" xfId="30360" xr:uid="{00000000-0005-0000-0000-000096760000}"/>
    <cellStyle name="Note 9 3 2 3" xfId="30361" xr:uid="{00000000-0005-0000-0000-000097760000}"/>
    <cellStyle name="Note 9 3 3" xfId="30362" xr:uid="{00000000-0005-0000-0000-000098760000}"/>
    <cellStyle name="Note 9 3 4" xfId="30363" xr:uid="{00000000-0005-0000-0000-000099760000}"/>
    <cellStyle name="Note 9 4" xfId="30364" xr:uid="{00000000-0005-0000-0000-00009A760000}"/>
    <cellStyle name="Note 9 5" xfId="30365" xr:uid="{00000000-0005-0000-0000-00009B760000}"/>
    <cellStyle name="Output 10" xfId="30366" xr:uid="{00000000-0005-0000-0000-00009C760000}"/>
    <cellStyle name="Output 10 2" xfId="30367" xr:uid="{00000000-0005-0000-0000-00009D760000}"/>
    <cellStyle name="Output 10 2 10" xfId="30368" xr:uid="{00000000-0005-0000-0000-00009E760000}"/>
    <cellStyle name="Output 10 2 10 2" xfId="30369" xr:uid="{00000000-0005-0000-0000-00009F760000}"/>
    <cellStyle name="Output 10 2 10 2 2" xfId="30370" xr:uid="{00000000-0005-0000-0000-0000A0760000}"/>
    <cellStyle name="Output 10 2 10 2 3" xfId="30371" xr:uid="{00000000-0005-0000-0000-0000A1760000}"/>
    <cellStyle name="Output 10 2 10 3" xfId="30372" xr:uid="{00000000-0005-0000-0000-0000A2760000}"/>
    <cellStyle name="Output 10 2 10 4" xfId="30373" xr:uid="{00000000-0005-0000-0000-0000A3760000}"/>
    <cellStyle name="Output 10 2 11" xfId="30374" xr:uid="{00000000-0005-0000-0000-0000A4760000}"/>
    <cellStyle name="Output 10 2 11 2" xfId="30375" xr:uid="{00000000-0005-0000-0000-0000A5760000}"/>
    <cellStyle name="Output 10 2 11 2 2" xfId="30376" xr:uid="{00000000-0005-0000-0000-0000A6760000}"/>
    <cellStyle name="Output 10 2 11 2 3" xfId="30377" xr:uid="{00000000-0005-0000-0000-0000A7760000}"/>
    <cellStyle name="Output 10 2 11 3" xfId="30378" xr:uid="{00000000-0005-0000-0000-0000A8760000}"/>
    <cellStyle name="Output 10 2 11 4" xfId="30379" xr:uid="{00000000-0005-0000-0000-0000A9760000}"/>
    <cellStyle name="Output 10 2 12" xfId="30380" xr:uid="{00000000-0005-0000-0000-0000AA760000}"/>
    <cellStyle name="Output 10 2 12 2" xfId="30381" xr:uid="{00000000-0005-0000-0000-0000AB760000}"/>
    <cellStyle name="Output 10 2 12 2 2" xfId="30382" xr:uid="{00000000-0005-0000-0000-0000AC760000}"/>
    <cellStyle name="Output 10 2 12 2 3" xfId="30383" xr:uid="{00000000-0005-0000-0000-0000AD760000}"/>
    <cellStyle name="Output 10 2 12 3" xfId="30384" xr:uid="{00000000-0005-0000-0000-0000AE760000}"/>
    <cellStyle name="Output 10 2 12 4" xfId="30385" xr:uid="{00000000-0005-0000-0000-0000AF760000}"/>
    <cellStyle name="Output 10 2 13" xfId="30386" xr:uid="{00000000-0005-0000-0000-0000B0760000}"/>
    <cellStyle name="Output 10 2 13 2" xfId="30387" xr:uid="{00000000-0005-0000-0000-0000B1760000}"/>
    <cellStyle name="Output 10 2 13 2 2" xfId="30388" xr:uid="{00000000-0005-0000-0000-0000B2760000}"/>
    <cellStyle name="Output 10 2 13 2 3" xfId="30389" xr:uid="{00000000-0005-0000-0000-0000B3760000}"/>
    <cellStyle name="Output 10 2 13 3" xfId="30390" xr:uid="{00000000-0005-0000-0000-0000B4760000}"/>
    <cellStyle name="Output 10 2 13 4" xfId="30391" xr:uid="{00000000-0005-0000-0000-0000B5760000}"/>
    <cellStyle name="Output 10 2 14" xfId="30392" xr:uid="{00000000-0005-0000-0000-0000B6760000}"/>
    <cellStyle name="Output 10 2 14 2" xfId="30393" xr:uid="{00000000-0005-0000-0000-0000B7760000}"/>
    <cellStyle name="Output 10 2 14 2 2" xfId="30394" xr:uid="{00000000-0005-0000-0000-0000B8760000}"/>
    <cellStyle name="Output 10 2 14 2 3" xfId="30395" xr:uid="{00000000-0005-0000-0000-0000B9760000}"/>
    <cellStyle name="Output 10 2 14 3" xfId="30396" xr:uid="{00000000-0005-0000-0000-0000BA760000}"/>
    <cellStyle name="Output 10 2 14 4" xfId="30397" xr:uid="{00000000-0005-0000-0000-0000BB760000}"/>
    <cellStyle name="Output 10 2 15" xfId="30398" xr:uid="{00000000-0005-0000-0000-0000BC760000}"/>
    <cellStyle name="Output 10 2 15 2" xfId="30399" xr:uid="{00000000-0005-0000-0000-0000BD760000}"/>
    <cellStyle name="Output 10 2 15 2 2" xfId="30400" xr:uid="{00000000-0005-0000-0000-0000BE760000}"/>
    <cellStyle name="Output 10 2 15 2 3" xfId="30401" xr:uid="{00000000-0005-0000-0000-0000BF760000}"/>
    <cellStyle name="Output 10 2 15 3" xfId="30402" xr:uid="{00000000-0005-0000-0000-0000C0760000}"/>
    <cellStyle name="Output 10 2 15 4" xfId="30403" xr:uid="{00000000-0005-0000-0000-0000C1760000}"/>
    <cellStyle name="Output 10 2 16" xfId="30404" xr:uid="{00000000-0005-0000-0000-0000C2760000}"/>
    <cellStyle name="Output 10 2 16 2" xfId="30405" xr:uid="{00000000-0005-0000-0000-0000C3760000}"/>
    <cellStyle name="Output 10 2 16 2 2" xfId="30406" xr:uid="{00000000-0005-0000-0000-0000C4760000}"/>
    <cellStyle name="Output 10 2 16 2 3" xfId="30407" xr:uid="{00000000-0005-0000-0000-0000C5760000}"/>
    <cellStyle name="Output 10 2 16 3" xfId="30408" xr:uid="{00000000-0005-0000-0000-0000C6760000}"/>
    <cellStyle name="Output 10 2 16 4" xfId="30409" xr:uid="{00000000-0005-0000-0000-0000C7760000}"/>
    <cellStyle name="Output 10 2 17" xfId="30410" xr:uid="{00000000-0005-0000-0000-0000C8760000}"/>
    <cellStyle name="Output 10 2 17 2" xfId="30411" xr:uid="{00000000-0005-0000-0000-0000C9760000}"/>
    <cellStyle name="Output 10 2 17 2 2" xfId="30412" xr:uid="{00000000-0005-0000-0000-0000CA760000}"/>
    <cellStyle name="Output 10 2 17 2 3" xfId="30413" xr:uid="{00000000-0005-0000-0000-0000CB760000}"/>
    <cellStyle name="Output 10 2 17 3" xfId="30414" xr:uid="{00000000-0005-0000-0000-0000CC760000}"/>
    <cellStyle name="Output 10 2 17 4" xfId="30415" xr:uid="{00000000-0005-0000-0000-0000CD760000}"/>
    <cellStyle name="Output 10 2 18" xfId="30416" xr:uid="{00000000-0005-0000-0000-0000CE760000}"/>
    <cellStyle name="Output 10 2 18 2" xfId="30417" xr:uid="{00000000-0005-0000-0000-0000CF760000}"/>
    <cellStyle name="Output 10 2 18 3" xfId="30418" xr:uid="{00000000-0005-0000-0000-0000D0760000}"/>
    <cellStyle name="Output 10 2 18 4" xfId="30419" xr:uid="{00000000-0005-0000-0000-0000D1760000}"/>
    <cellStyle name="Output 10 2 19" xfId="30420" xr:uid="{00000000-0005-0000-0000-0000D2760000}"/>
    <cellStyle name="Output 10 2 2" xfId="30421" xr:uid="{00000000-0005-0000-0000-0000D3760000}"/>
    <cellStyle name="Output 10 2 2 2" xfId="30422" xr:uid="{00000000-0005-0000-0000-0000D4760000}"/>
    <cellStyle name="Output 10 2 2 2 2" xfId="30423" xr:uid="{00000000-0005-0000-0000-0000D5760000}"/>
    <cellStyle name="Output 10 2 2 2 3" xfId="30424" xr:uid="{00000000-0005-0000-0000-0000D6760000}"/>
    <cellStyle name="Output 10 2 2 3" xfId="30425" xr:uid="{00000000-0005-0000-0000-0000D7760000}"/>
    <cellStyle name="Output 10 2 2 4" xfId="30426" xr:uid="{00000000-0005-0000-0000-0000D8760000}"/>
    <cellStyle name="Output 10 2 20" xfId="30427" xr:uid="{00000000-0005-0000-0000-0000D9760000}"/>
    <cellStyle name="Output 10 2 21" xfId="30428" xr:uid="{00000000-0005-0000-0000-0000DA760000}"/>
    <cellStyle name="Output 10 2 3" xfId="30429" xr:uid="{00000000-0005-0000-0000-0000DB760000}"/>
    <cellStyle name="Output 10 2 3 2" xfId="30430" xr:uid="{00000000-0005-0000-0000-0000DC760000}"/>
    <cellStyle name="Output 10 2 3 2 2" xfId="30431" xr:uid="{00000000-0005-0000-0000-0000DD760000}"/>
    <cellStyle name="Output 10 2 3 2 3" xfId="30432" xr:uid="{00000000-0005-0000-0000-0000DE760000}"/>
    <cellStyle name="Output 10 2 3 3" xfId="30433" xr:uid="{00000000-0005-0000-0000-0000DF760000}"/>
    <cellStyle name="Output 10 2 3 4" xfId="30434" xr:uid="{00000000-0005-0000-0000-0000E0760000}"/>
    <cellStyle name="Output 10 2 4" xfId="30435" xr:uid="{00000000-0005-0000-0000-0000E1760000}"/>
    <cellStyle name="Output 10 2 4 2" xfId="30436" xr:uid="{00000000-0005-0000-0000-0000E2760000}"/>
    <cellStyle name="Output 10 2 4 2 2" xfId="30437" xr:uid="{00000000-0005-0000-0000-0000E3760000}"/>
    <cellStyle name="Output 10 2 4 2 3" xfId="30438" xr:uid="{00000000-0005-0000-0000-0000E4760000}"/>
    <cellStyle name="Output 10 2 4 3" xfId="30439" xr:uid="{00000000-0005-0000-0000-0000E5760000}"/>
    <cellStyle name="Output 10 2 4 4" xfId="30440" xr:uid="{00000000-0005-0000-0000-0000E6760000}"/>
    <cellStyle name="Output 10 2 5" xfId="30441" xr:uid="{00000000-0005-0000-0000-0000E7760000}"/>
    <cellStyle name="Output 10 2 5 2" xfId="30442" xr:uid="{00000000-0005-0000-0000-0000E8760000}"/>
    <cellStyle name="Output 10 2 5 2 2" xfId="30443" xr:uid="{00000000-0005-0000-0000-0000E9760000}"/>
    <cellStyle name="Output 10 2 5 2 3" xfId="30444" xr:uid="{00000000-0005-0000-0000-0000EA760000}"/>
    <cellStyle name="Output 10 2 5 3" xfId="30445" xr:uid="{00000000-0005-0000-0000-0000EB760000}"/>
    <cellStyle name="Output 10 2 5 4" xfId="30446" xr:uid="{00000000-0005-0000-0000-0000EC760000}"/>
    <cellStyle name="Output 10 2 6" xfId="30447" xr:uid="{00000000-0005-0000-0000-0000ED760000}"/>
    <cellStyle name="Output 10 2 6 2" xfId="30448" xr:uid="{00000000-0005-0000-0000-0000EE760000}"/>
    <cellStyle name="Output 10 2 6 2 2" xfId="30449" xr:uid="{00000000-0005-0000-0000-0000EF760000}"/>
    <cellStyle name="Output 10 2 6 2 3" xfId="30450" xr:uid="{00000000-0005-0000-0000-0000F0760000}"/>
    <cellStyle name="Output 10 2 6 3" xfId="30451" xr:uid="{00000000-0005-0000-0000-0000F1760000}"/>
    <cellStyle name="Output 10 2 6 4" xfId="30452" xr:uid="{00000000-0005-0000-0000-0000F2760000}"/>
    <cellStyle name="Output 10 2 7" xfId="30453" xr:uid="{00000000-0005-0000-0000-0000F3760000}"/>
    <cellStyle name="Output 10 2 7 2" xfId="30454" xr:uid="{00000000-0005-0000-0000-0000F4760000}"/>
    <cellStyle name="Output 10 2 7 2 2" xfId="30455" xr:uid="{00000000-0005-0000-0000-0000F5760000}"/>
    <cellStyle name="Output 10 2 7 2 3" xfId="30456" xr:uid="{00000000-0005-0000-0000-0000F6760000}"/>
    <cellStyle name="Output 10 2 7 3" xfId="30457" xr:uid="{00000000-0005-0000-0000-0000F7760000}"/>
    <cellStyle name="Output 10 2 7 4" xfId="30458" xr:uid="{00000000-0005-0000-0000-0000F8760000}"/>
    <cellStyle name="Output 10 2 8" xfId="30459" xr:uid="{00000000-0005-0000-0000-0000F9760000}"/>
    <cellStyle name="Output 10 2 8 2" xfId="30460" xr:uid="{00000000-0005-0000-0000-0000FA760000}"/>
    <cellStyle name="Output 10 2 8 2 2" xfId="30461" xr:uid="{00000000-0005-0000-0000-0000FB760000}"/>
    <cellStyle name="Output 10 2 8 2 3" xfId="30462" xr:uid="{00000000-0005-0000-0000-0000FC760000}"/>
    <cellStyle name="Output 10 2 8 3" xfId="30463" xr:uid="{00000000-0005-0000-0000-0000FD760000}"/>
    <cellStyle name="Output 10 2 8 4" xfId="30464" xr:uid="{00000000-0005-0000-0000-0000FE760000}"/>
    <cellStyle name="Output 10 2 9" xfId="30465" xr:uid="{00000000-0005-0000-0000-0000FF760000}"/>
    <cellStyle name="Output 10 2 9 2" xfId="30466" xr:uid="{00000000-0005-0000-0000-000000770000}"/>
    <cellStyle name="Output 10 2 9 2 2" xfId="30467" xr:uid="{00000000-0005-0000-0000-000001770000}"/>
    <cellStyle name="Output 10 2 9 2 3" xfId="30468" xr:uid="{00000000-0005-0000-0000-000002770000}"/>
    <cellStyle name="Output 10 2 9 3" xfId="30469" xr:uid="{00000000-0005-0000-0000-000003770000}"/>
    <cellStyle name="Output 10 2 9 4" xfId="30470" xr:uid="{00000000-0005-0000-0000-000004770000}"/>
    <cellStyle name="Output 10 3" xfId="30471" xr:uid="{00000000-0005-0000-0000-000005770000}"/>
    <cellStyle name="Output 10 3 2" xfId="30472" xr:uid="{00000000-0005-0000-0000-000006770000}"/>
    <cellStyle name="Output 10 3 2 2" xfId="30473" xr:uid="{00000000-0005-0000-0000-000007770000}"/>
    <cellStyle name="Output 10 3 2 3" xfId="30474" xr:uid="{00000000-0005-0000-0000-000008770000}"/>
    <cellStyle name="Output 10 3 3" xfId="30475" xr:uid="{00000000-0005-0000-0000-000009770000}"/>
    <cellStyle name="Output 10 3 4" xfId="30476" xr:uid="{00000000-0005-0000-0000-00000A770000}"/>
    <cellStyle name="Output 10 4" xfId="30477" xr:uid="{00000000-0005-0000-0000-00000B770000}"/>
    <cellStyle name="Output 10 5" xfId="30478" xr:uid="{00000000-0005-0000-0000-00000C770000}"/>
    <cellStyle name="Output 11" xfId="30479" xr:uid="{00000000-0005-0000-0000-00000D770000}"/>
    <cellStyle name="Output 11 2" xfId="30480" xr:uid="{00000000-0005-0000-0000-00000E770000}"/>
    <cellStyle name="Output 11 2 10" xfId="30481" xr:uid="{00000000-0005-0000-0000-00000F770000}"/>
    <cellStyle name="Output 11 2 10 2" xfId="30482" xr:uid="{00000000-0005-0000-0000-000010770000}"/>
    <cellStyle name="Output 11 2 10 2 2" xfId="30483" xr:uid="{00000000-0005-0000-0000-000011770000}"/>
    <cellStyle name="Output 11 2 10 2 3" xfId="30484" xr:uid="{00000000-0005-0000-0000-000012770000}"/>
    <cellStyle name="Output 11 2 10 3" xfId="30485" xr:uid="{00000000-0005-0000-0000-000013770000}"/>
    <cellStyle name="Output 11 2 10 4" xfId="30486" xr:uid="{00000000-0005-0000-0000-000014770000}"/>
    <cellStyle name="Output 11 2 11" xfId="30487" xr:uid="{00000000-0005-0000-0000-000015770000}"/>
    <cellStyle name="Output 11 2 11 2" xfId="30488" xr:uid="{00000000-0005-0000-0000-000016770000}"/>
    <cellStyle name="Output 11 2 11 2 2" xfId="30489" xr:uid="{00000000-0005-0000-0000-000017770000}"/>
    <cellStyle name="Output 11 2 11 2 3" xfId="30490" xr:uid="{00000000-0005-0000-0000-000018770000}"/>
    <cellStyle name="Output 11 2 11 3" xfId="30491" xr:uid="{00000000-0005-0000-0000-000019770000}"/>
    <cellStyle name="Output 11 2 11 4" xfId="30492" xr:uid="{00000000-0005-0000-0000-00001A770000}"/>
    <cellStyle name="Output 11 2 12" xfId="30493" xr:uid="{00000000-0005-0000-0000-00001B770000}"/>
    <cellStyle name="Output 11 2 12 2" xfId="30494" xr:uid="{00000000-0005-0000-0000-00001C770000}"/>
    <cellStyle name="Output 11 2 12 2 2" xfId="30495" xr:uid="{00000000-0005-0000-0000-00001D770000}"/>
    <cellStyle name="Output 11 2 12 2 3" xfId="30496" xr:uid="{00000000-0005-0000-0000-00001E770000}"/>
    <cellStyle name="Output 11 2 12 3" xfId="30497" xr:uid="{00000000-0005-0000-0000-00001F770000}"/>
    <cellStyle name="Output 11 2 12 4" xfId="30498" xr:uid="{00000000-0005-0000-0000-000020770000}"/>
    <cellStyle name="Output 11 2 13" xfId="30499" xr:uid="{00000000-0005-0000-0000-000021770000}"/>
    <cellStyle name="Output 11 2 13 2" xfId="30500" xr:uid="{00000000-0005-0000-0000-000022770000}"/>
    <cellStyle name="Output 11 2 13 2 2" xfId="30501" xr:uid="{00000000-0005-0000-0000-000023770000}"/>
    <cellStyle name="Output 11 2 13 2 3" xfId="30502" xr:uid="{00000000-0005-0000-0000-000024770000}"/>
    <cellStyle name="Output 11 2 13 3" xfId="30503" xr:uid="{00000000-0005-0000-0000-000025770000}"/>
    <cellStyle name="Output 11 2 13 4" xfId="30504" xr:uid="{00000000-0005-0000-0000-000026770000}"/>
    <cellStyle name="Output 11 2 14" xfId="30505" xr:uid="{00000000-0005-0000-0000-000027770000}"/>
    <cellStyle name="Output 11 2 14 2" xfId="30506" xr:uid="{00000000-0005-0000-0000-000028770000}"/>
    <cellStyle name="Output 11 2 14 2 2" xfId="30507" xr:uid="{00000000-0005-0000-0000-000029770000}"/>
    <cellStyle name="Output 11 2 14 2 3" xfId="30508" xr:uid="{00000000-0005-0000-0000-00002A770000}"/>
    <cellStyle name="Output 11 2 14 3" xfId="30509" xr:uid="{00000000-0005-0000-0000-00002B770000}"/>
    <cellStyle name="Output 11 2 14 4" xfId="30510" xr:uid="{00000000-0005-0000-0000-00002C770000}"/>
    <cellStyle name="Output 11 2 15" xfId="30511" xr:uid="{00000000-0005-0000-0000-00002D770000}"/>
    <cellStyle name="Output 11 2 15 2" xfId="30512" xr:uid="{00000000-0005-0000-0000-00002E770000}"/>
    <cellStyle name="Output 11 2 15 2 2" xfId="30513" xr:uid="{00000000-0005-0000-0000-00002F770000}"/>
    <cellStyle name="Output 11 2 15 2 3" xfId="30514" xr:uid="{00000000-0005-0000-0000-000030770000}"/>
    <cellStyle name="Output 11 2 15 3" xfId="30515" xr:uid="{00000000-0005-0000-0000-000031770000}"/>
    <cellStyle name="Output 11 2 15 4" xfId="30516" xr:uid="{00000000-0005-0000-0000-000032770000}"/>
    <cellStyle name="Output 11 2 16" xfId="30517" xr:uid="{00000000-0005-0000-0000-000033770000}"/>
    <cellStyle name="Output 11 2 16 2" xfId="30518" xr:uid="{00000000-0005-0000-0000-000034770000}"/>
    <cellStyle name="Output 11 2 16 2 2" xfId="30519" xr:uid="{00000000-0005-0000-0000-000035770000}"/>
    <cellStyle name="Output 11 2 16 2 3" xfId="30520" xr:uid="{00000000-0005-0000-0000-000036770000}"/>
    <cellStyle name="Output 11 2 16 3" xfId="30521" xr:uid="{00000000-0005-0000-0000-000037770000}"/>
    <cellStyle name="Output 11 2 16 4" xfId="30522" xr:uid="{00000000-0005-0000-0000-000038770000}"/>
    <cellStyle name="Output 11 2 17" xfId="30523" xr:uid="{00000000-0005-0000-0000-000039770000}"/>
    <cellStyle name="Output 11 2 17 2" xfId="30524" xr:uid="{00000000-0005-0000-0000-00003A770000}"/>
    <cellStyle name="Output 11 2 17 2 2" xfId="30525" xr:uid="{00000000-0005-0000-0000-00003B770000}"/>
    <cellStyle name="Output 11 2 17 2 3" xfId="30526" xr:uid="{00000000-0005-0000-0000-00003C770000}"/>
    <cellStyle name="Output 11 2 17 3" xfId="30527" xr:uid="{00000000-0005-0000-0000-00003D770000}"/>
    <cellStyle name="Output 11 2 17 4" xfId="30528" xr:uid="{00000000-0005-0000-0000-00003E770000}"/>
    <cellStyle name="Output 11 2 18" xfId="30529" xr:uid="{00000000-0005-0000-0000-00003F770000}"/>
    <cellStyle name="Output 11 2 18 2" xfId="30530" xr:uid="{00000000-0005-0000-0000-000040770000}"/>
    <cellStyle name="Output 11 2 18 3" xfId="30531" xr:uid="{00000000-0005-0000-0000-000041770000}"/>
    <cellStyle name="Output 11 2 18 4" xfId="30532" xr:uid="{00000000-0005-0000-0000-000042770000}"/>
    <cellStyle name="Output 11 2 19" xfId="30533" xr:uid="{00000000-0005-0000-0000-000043770000}"/>
    <cellStyle name="Output 11 2 2" xfId="30534" xr:uid="{00000000-0005-0000-0000-000044770000}"/>
    <cellStyle name="Output 11 2 2 2" xfId="30535" xr:uid="{00000000-0005-0000-0000-000045770000}"/>
    <cellStyle name="Output 11 2 2 2 2" xfId="30536" xr:uid="{00000000-0005-0000-0000-000046770000}"/>
    <cellStyle name="Output 11 2 2 2 3" xfId="30537" xr:uid="{00000000-0005-0000-0000-000047770000}"/>
    <cellStyle name="Output 11 2 2 3" xfId="30538" xr:uid="{00000000-0005-0000-0000-000048770000}"/>
    <cellStyle name="Output 11 2 2 4" xfId="30539" xr:uid="{00000000-0005-0000-0000-000049770000}"/>
    <cellStyle name="Output 11 2 20" xfId="30540" xr:uid="{00000000-0005-0000-0000-00004A770000}"/>
    <cellStyle name="Output 11 2 21" xfId="30541" xr:uid="{00000000-0005-0000-0000-00004B770000}"/>
    <cellStyle name="Output 11 2 3" xfId="30542" xr:uid="{00000000-0005-0000-0000-00004C770000}"/>
    <cellStyle name="Output 11 2 3 2" xfId="30543" xr:uid="{00000000-0005-0000-0000-00004D770000}"/>
    <cellStyle name="Output 11 2 3 2 2" xfId="30544" xr:uid="{00000000-0005-0000-0000-00004E770000}"/>
    <cellStyle name="Output 11 2 3 2 3" xfId="30545" xr:uid="{00000000-0005-0000-0000-00004F770000}"/>
    <cellStyle name="Output 11 2 3 3" xfId="30546" xr:uid="{00000000-0005-0000-0000-000050770000}"/>
    <cellStyle name="Output 11 2 3 4" xfId="30547" xr:uid="{00000000-0005-0000-0000-000051770000}"/>
    <cellStyle name="Output 11 2 4" xfId="30548" xr:uid="{00000000-0005-0000-0000-000052770000}"/>
    <cellStyle name="Output 11 2 4 2" xfId="30549" xr:uid="{00000000-0005-0000-0000-000053770000}"/>
    <cellStyle name="Output 11 2 4 2 2" xfId="30550" xr:uid="{00000000-0005-0000-0000-000054770000}"/>
    <cellStyle name="Output 11 2 4 2 3" xfId="30551" xr:uid="{00000000-0005-0000-0000-000055770000}"/>
    <cellStyle name="Output 11 2 4 3" xfId="30552" xr:uid="{00000000-0005-0000-0000-000056770000}"/>
    <cellStyle name="Output 11 2 4 4" xfId="30553" xr:uid="{00000000-0005-0000-0000-000057770000}"/>
    <cellStyle name="Output 11 2 5" xfId="30554" xr:uid="{00000000-0005-0000-0000-000058770000}"/>
    <cellStyle name="Output 11 2 5 2" xfId="30555" xr:uid="{00000000-0005-0000-0000-000059770000}"/>
    <cellStyle name="Output 11 2 5 2 2" xfId="30556" xr:uid="{00000000-0005-0000-0000-00005A770000}"/>
    <cellStyle name="Output 11 2 5 2 3" xfId="30557" xr:uid="{00000000-0005-0000-0000-00005B770000}"/>
    <cellStyle name="Output 11 2 5 3" xfId="30558" xr:uid="{00000000-0005-0000-0000-00005C770000}"/>
    <cellStyle name="Output 11 2 5 4" xfId="30559" xr:uid="{00000000-0005-0000-0000-00005D770000}"/>
    <cellStyle name="Output 11 2 6" xfId="30560" xr:uid="{00000000-0005-0000-0000-00005E770000}"/>
    <cellStyle name="Output 11 2 6 2" xfId="30561" xr:uid="{00000000-0005-0000-0000-00005F770000}"/>
    <cellStyle name="Output 11 2 6 2 2" xfId="30562" xr:uid="{00000000-0005-0000-0000-000060770000}"/>
    <cellStyle name="Output 11 2 6 2 3" xfId="30563" xr:uid="{00000000-0005-0000-0000-000061770000}"/>
    <cellStyle name="Output 11 2 6 3" xfId="30564" xr:uid="{00000000-0005-0000-0000-000062770000}"/>
    <cellStyle name="Output 11 2 6 4" xfId="30565" xr:uid="{00000000-0005-0000-0000-000063770000}"/>
    <cellStyle name="Output 11 2 7" xfId="30566" xr:uid="{00000000-0005-0000-0000-000064770000}"/>
    <cellStyle name="Output 11 2 7 2" xfId="30567" xr:uid="{00000000-0005-0000-0000-000065770000}"/>
    <cellStyle name="Output 11 2 7 2 2" xfId="30568" xr:uid="{00000000-0005-0000-0000-000066770000}"/>
    <cellStyle name="Output 11 2 7 2 3" xfId="30569" xr:uid="{00000000-0005-0000-0000-000067770000}"/>
    <cellStyle name="Output 11 2 7 3" xfId="30570" xr:uid="{00000000-0005-0000-0000-000068770000}"/>
    <cellStyle name="Output 11 2 7 4" xfId="30571" xr:uid="{00000000-0005-0000-0000-000069770000}"/>
    <cellStyle name="Output 11 2 8" xfId="30572" xr:uid="{00000000-0005-0000-0000-00006A770000}"/>
    <cellStyle name="Output 11 2 8 2" xfId="30573" xr:uid="{00000000-0005-0000-0000-00006B770000}"/>
    <cellStyle name="Output 11 2 8 2 2" xfId="30574" xr:uid="{00000000-0005-0000-0000-00006C770000}"/>
    <cellStyle name="Output 11 2 8 2 3" xfId="30575" xr:uid="{00000000-0005-0000-0000-00006D770000}"/>
    <cellStyle name="Output 11 2 8 3" xfId="30576" xr:uid="{00000000-0005-0000-0000-00006E770000}"/>
    <cellStyle name="Output 11 2 8 4" xfId="30577" xr:uid="{00000000-0005-0000-0000-00006F770000}"/>
    <cellStyle name="Output 11 2 9" xfId="30578" xr:uid="{00000000-0005-0000-0000-000070770000}"/>
    <cellStyle name="Output 11 2 9 2" xfId="30579" xr:uid="{00000000-0005-0000-0000-000071770000}"/>
    <cellStyle name="Output 11 2 9 2 2" xfId="30580" xr:uid="{00000000-0005-0000-0000-000072770000}"/>
    <cellStyle name="Output 11 2 9 2 3" xfId="30581" xr:uid="{00000000-0005-0000-0000-000073770000}"/>
    <cellStyle name="Output 11 2 9 3" xfId="30582" xr:uid="{00000000-0005-0000-0000-000074770000}"/>
    <cellStyle name="Output 11 2 9 4" xfId="30583" xr:uid="{00000000-0005-0000-0000-000075770000}"/>
    <cellStyle name="Output 11 3" xfId="30584" xr:uid="{00000000-0005-0000-0000-000076770000}"/>
    <cellStyle name="Output 11 3 2" xfId="30585" xr:uid="{00000000-0005-0000-0000-000077770000}"/>
    <cellStyle name="Output 11 3 2 2" xfId="30586" xr:uid="{00000000-0005-0000-0000-000078770000}"/>
    <cellStyle name="Output 11 3 2 3" xfId="30587" xr:uid="{00000000-0005-0000-0000-000079770000}"/>
    <cellStyle name="Output 11 3 3" xfId="30588" xr:uid="{00000000-0005-0000-0000-00007A770000}"/>
    <cellStyle name="Output 11 3 4" xfId="30589" xr:uid="{00000000-0005-0000-0000-00007B770000}"/>
    <cellStyle name="Output 11 4" xfId="30590" xr:uid="{00000000-0005-0000-0000-00007C770000}"/>
    <cellStyle name="Output 11 5" xfId="30591" xr:uid="{00000000-0005-0000-0000-00007D770000}"/>
    <cellStyle name="Output 12" xfId="30592" xr:uid="{00000000-0005-0000-0000-00007E770000}"/>
    <cellStyle name="Output 12 2" xfId="30593" xr:uid="{00000000-0005-0000-0000-00007F770000}"/>
    <cellStyle name="Output 12 2 10" xfId="30594" xr:uid="{00000000-0005-0000-0000-000080770000}"/>
    <cellStyle name="Output 12 2 10 2" xfId="30595" xr:uid="{00000000-0005-0000-0000-000081770000}"/>
    <cellStyle name="Output 12 2 10 2 2" xfId="30596" xr:uid="{00000000-0005-0000-0000-000082770000}"/>
    <cellStyle name="Output 12 2 10 2 3" xfId="30597" xr:uid="{00000000-0005-0000-0000-000083770000}"/>
    <cellStyle name="Output 12 2 10 3" xfId="30598" xr:uid="{00000000-0005-0000-0000-000084770000}"/>
    <cellStyle name="Output 12 2 10 4" xfId="30599" xr:uid="{00000000-0005-0000-0000-000085770000}"/>
    <cellStyle name="Output 12 2 11" xfId="30600" xr:uid="{00000000-0005-0000-0000-000086770000}"/>
    <cellStyle name="Output 12 2 11 2" xfId="30601" xr:uid="{00000000-0005-0000-0000-000087770000}"/>
    <cellStyle name="Output 12 2 11 2 2" xfId="30602" xr:uid="{00000000-0005-0000-0000-000088770000}"/>
    <cellStyle name="Output 12 2 11 2 3" xfId="30603" xr:uid="{00000000-0005-0000-0000-000089770000}"/>
    <cellStyle name="Output 12 2 11 3" xfId="30604" xr:uid="{00000000-0005-0000-0000-00008A770000}"/>
    <cellStyle name="Output 12 2 11 4" xfId="30605" xr:uid="{00000000-0005-0000-0000-00008B770000}"/>
    <cellStyle name="Output 12 2 12" xfId="30606" xr:uid="{00000000-0005-0000-0000-00008C770000}"/>
    <cellStyle name="Output 12 2 12 2" xfId="30607" xr:uid="{00000000-0005-0000-0000-00008D770000}"/>
    <cellStyle name="Output 12 2 12 2 2" xfId="30608" xr:uid="{00000000-0005-0000-0000-00008E770000}"/>
    <cellStyle name="Output 12 2 12 2 3" xfId="30609" xr:uid="{00000000-0005-0000-0000-00008F770000}"/>
    <cellStyle name="Output 12 2 12 3" xfId="30610" xr:uid="{00000000-0005-0000-0000-000090770000}"/>
    <cellStyle name="Output 12 2 12 4" xfId="30611" xr:uid="{00000000-0005-0000-0000-000091770000}"/>
    <cellStyle name="Output 12 2 13" xfId="30612" xr:uid="{00000000-0005-0000-0000-000092770000}"/>
    <cellStyle name="Output 12 2 13 2" xfId="30613" xr:uid="{00000000-0005-0000-0000-000093770000}"/>
    <cellStyle name="Output 12 2 13 2 2" xfId="30614" xr:uid="{00000000-0005-0000-0000-000094770000}"/>
    <cellStyle name="Output 12 2 13 2 3" xfId="30615" xr:uid="{00000000-0005-0000-0000-000095770000}"/>
    <cellStyle name="Output 12 2 13 3" xfId="30616" xr:uid="{00000000-0005-0000-0000-000096770000}"/>
    <cellStyle name="Output 12 2 13 4" xfId="30617" xr:uid="{00000000-0005-0000-0000-000097770000}"/>
    <cellStyle name="Output 12 2 14" xfId="30618" xr:uid="{00000000-0005-0000-0000-000098770000}"/>
    <cellStyle name="Output 12 2 14 2" xfId="30619" xr:uid="{00000000-0005-0000-0000-000099770000}"/>
    <cellStyle name="Output 12 2 14 2 2" xfId="30620" xr:uid="{00000000-0005-0000-0000-00009A770000}"/>
    <cellStyle name="Output 12 2 14 2 3" xfId="30621" xr:uid="{00000000-0005-0000-0000-00009B770000}"/>
    <cellStyle name="Output 12 2 14 3" xfId="30622" xr:uid="{00000000-0005-0000-0000-00009C770000}"/>
    <cellStyle name="Output 12 2 14 4" xfId="30623" xr:uid="{00000000-0005-0000-0000-00009D770000}"/>
    <cellStyle name="Output 12 2 15" xfId="30624" xr:uid="{00000000-0005-0000-0000-00009E770000}"/>
    <cellStyle name="Output 12 2 15 2" xfId="30625" xr:uid="{00000000-0005-0000-0000-00009F770000}"/>
    <cellStyle name="Output 12 2 15 2 2" xfId="30626" xr:uid="{00000000-0005-0000-0000-0000A0770000}"/>
    <cellStyle name="Output 12 2 15 2 3" xfId="30627" xr:uid="{00000000-0005-0000-0000-0000A1770000}"/>
    <cellStyle name="Output 12 2 15 3" xfId="30628" xr:uid="{00000000-0005-0000-0000-0000A2770000}"/>
    <cellStyle name="Output 12 2 15 4" xfId="30629" xr:uid="{00000000-0005-0000-0000-0000A3770000}"/>
    <cellStyle name="Output 12 2 16" xfId="30630" xr:uid="{00000000-0005-0000-0000-0000A4770000}"/>
    <cellStyle name="Output 12 2 16 2" xfId="30631" xr:uid="{00000000-0005-0000-0000-0000A5770000}"/>
    <cellStyle name="Output 12 2 16 2 2" xfId="30632" xr:uid="{00000000-0005-0000-0000-0000A6770000}"/>
    <cellStyle name="Output 12 2 16 2 3" xfId="30633" xr:uid="{00000000-0005-0000-0000-0000A7770000}"/>
    <cellStyle name="Output 12 2 16 3" xfId="30634" xr:uid="{00000000-0005-0000-0000-0000A8770000}"/>
    <cellStyle name="Output 12 2 16 4" xfId="30635" xr:uid="{00000000-0005-0000-0000-0000A9770000}"/>
    <cellStyle name="Output 12 2 17" xfId="30636" xr:uid="{00000000-0005-0000-0000-0000AA770000}"/>
    <cellStyle name="Output 12 2 17 2" xfId="30637" xr:uid="{00000000-0005-0000-0000-0000AB770000}"/>
    <cellStyle name="Output 12 2 17 2 2" xfId="30638" xr:uid="{00000000-0005-0000-0000-0000AC770000}"/>
    <cellStyle name="Output 12 2 17 2 3" xfId="30639" xr:uid="{00000000-0005-0000-0000-0000AD770000}"/>
    <cellStyle name="Output 12 2 17 3" xfId="30640" xr:uid="{00000000-0005-0000-0000-0000AE770000}"/>
    <cellStyle name="Output 12 2 17 4" xfId="30641" xr:uid="{00000000-0005-0000-0000-0000AF770000}"/>
    <cellStyle name="Output 12 2 18" xfId="30642" xr:uid="{00000000-0005-0000-0000-0000B0770000}"/>
    <cellStyle name="Output 12 2 18 2" xfId="30643" xr:uid="{00000000-0005-0000-0000-0000B1770000}"/>
    <cellStyle name="Output 12 2 18 3" xfId="30644" xr:uid="{00000000-0005-0000-0000-0000B2770000}"/>
    <cellStyle name="Output 12 2 18 4" xfId="30645" xr:uid="{00000000-0005-0000-0000-0000B3770000}"/>
    <cellStyle name="Output 12 2 19" xfId="30646" xr:uid="{00000000-0005-0000-0000-0000B4770000}"/>
    <cellStyle name="Output 12 2 2" xfId="30647" xr:uid="{00000000-0005-0000-0000-0000B5770000}"/>
    <cellStyle name="Output 12 2 2 2" xfId="30648" xr:uid="{00000000-0005-0000-0000-0000B6770000}"/>
    <cellStyle name="Output 12 2 2 2 2" xfId="30649" xr:uid="{00000000-0005-0000-0000-0000B7770000}"/>
    <cellStyle name="Output 12 2 2 2 3" xfId="30650" xr:uid="{00000000-0005-0000-0000-0000B8770000}"/>
    <cellStyle name="Output 12 2 2 3" xfId="30651" xr:uid="{00000000-0005-0000-0000-0000B9770000}"/>
    <cellStyle name="Output 12 2 2 4" xfId="30652" xr:uid="{00000000-0005-0000-0000-0000BA770000}"/>
    <cellStyle name="Output 12 2 20" xfId="30653" xr:uid="{00000000-0005-0000-0000-0000BB770000}"/>
    <cellStyle name="Output 12 2 21" xfId="30654" xr:uid="{00000000-0005-0000-0000-0000BC770000}"/>
    <cellStyle name="Output 12 2 3" xfId="30655" xr:uid="{00000000-0005-0000-0000-0000BD770000}"/>
    <cellStyle name="Output 12 2 3 2" xfId="30656" xr:uid="{00000000-0005-0000-0000-0000BE770000}"/>
    <cellStyle name="Output 12 2 3 2 2" xfId="30657" xr:uid="{00000000-0005-0000-0000-0000BF770000}"/>
    <cellStyle name="Output 12 2 3 2 3" xfId="30658" xr:uid="{00000000-0005-0000-0000-0000C0770000}"/>
    <cellStyle name="Output 12 2 3 3" xfId="30659" xr:uid="{00000000-0005-0000-0000-0000C1770000}"/>
    <cellStyle name="Output 12 2 3 4" xfId="30660" xr:uid="{00000000-0005-0000-0000-0000C2770000}"/>
    <cellStyle name="Output 12 2 4" xfId="30661" xr:uid="{00000000-0005-0000-0000-0000C3770000}"/>
    <cellStyle name="Output 12 2 4 2" xfId="30662" xr:uid="{00000000-0005-0000-0000-0000C4770000}"/>
    <cellStyle name="Output 12 2 4 2 2" xfId="30663" xr:uid="{00000000-0005-0000-0000-0000C5770000}"/>
    <cellStyle name="Output 12 2 4 2 3" xfId="30664" xr:uid="{00000000-0005-0000-0000-0000C6770000}"/>
    <cellStyle name="Output 12 2 4 3" xfId="30665" xr:uid="{00000000-0005-0000-0000-0000C7770000}"/>
    <cellStyle name="Output 12 2 4 4" xfId="30666" xr:uid="{00000000-0005-0000-0000-0000C8770000}"/>
    <cellStyle name="Output 12 2 5" xfId="30667" xr:uid="{00000000-0005-0000-0000-0000C9770000}"/>
    <cellStyle name="Output 12 2 5 2" xfId="30668" xr:uid="{00000000-0005-0000-0000-0000CA770000}"/>
    <cellStyle name="Output 12 2 5 2 2" xfId="30669" xr:uid="{00000000-0005-0000-0000-0000CB770000}"/>
    <cellStyle name="Output 12 2 5 2 3" xfId="30670" xr:uid="{00000000-0005-0000-0000-0000CC770000}"/>
    <cellStyle name="Output 12 2 5 3" xfId="30671" xr:uid="{00000000-0005-0000-0000-0000CD770000}"/>
    <cellStyle name="Output 12 2 5 4" xfId="30672" xr:uid="{00000000-0005-0000-0000-0000CE770000}"/>
    <cellStyle name="Output 12 2 6" xfId="30673" xr:uid="{00000000-0005-0000-0000-0000CF770000}"/>
    <cellStyle name="Output 12 2 6 2" xfId="30674" xr:uid="{00000000-0005-0000-0000-0000D0770000}"/>
    <cellStyle name="Output 12 2 6 2 2" xfId="30675" xr:uid="{00000000-0005-0000-0000-0000D1770000}"/>
    <cellStyle name="Output 12 2 6 2 3" xfId="30676" xr:uid="{00000000-0005-0000-0000-0000D2770000}"/>
    <cellStyle name="Output 12 2 6 3" xfId="30677" xr:uid="{00000000-0005-0000-0000-0000D3770000}"/>
    <cellStyle name="Output 12 2 6 4" xfId="30678" xr:uid="{00000000-0005-0000-0000-0000D4770000}"/>
    <cellStyle name="Output 12 2 7" xfId="30679" xr:uid="{00000000-0005-0000-0000-0000D5770000}"/>
    <cellStyle name="Output 12 2 7 2" xfId="30680" xr:uid="{00000000-0005-0000-0000-0000D6770000}"/>
    <cellStyle name="Output 12 2 7 2 2" xfId="30681" xr:uid="{00000000-0005-0000-0000-0000D7770000}"/>
    <cellStyle name="Output 12 2 7 2 3" xfId="30682" xr:uid="{00000000-0005-0000-0000-0000D8770000}"/>
    <cellStyle name="Output 12 2 7 3" xfId="30683" xr:uid="{00000000-0005-0000-0000-0000D9770000}"/>
    <cellStyle name="Output 12 2 7 4" xfId="30684" xr:uid="{00000000-0005-0000-0000-0000DA770000}"/>
    <cellStyle name="Output 12 2 8" xfId="30685" xr:uid="{00000000-0005-0000-0000-0000DB770000}"/>
    <cellStyle name="Output 12 2 8 2" xfId="30686" xr:uid="{00000000-0005-0000-0000-0000DC770000}"/>
    <cellStyle name="Output 12 2 8 2 2" xfId="30687" xr:uid="{00000000-0005-0000-0000-0000DD770000}"/>
    <cellStyle name="Output 12 2 8 2 3" xfId="30688" xr:uid="{00000000-0005-0000-0000-0000DE770000}"/>
    <cellStyle name="Output 12 2 8 3" xfId="30689" xr:uid="{00000000-0005-0000-0000-0000DF770000}"/>
    <cellStyle name="Output 12 2 8 4" xfId="30690" xr:uid="{00000000-0005-0000-0000-0000E0770000}"/>
    <cellStyle name="Output 12 2 9" xfId="30691" xr:uid="{00000000-0005-0000-0000-0000E1770000}"/>
    <cellStyle name="Output 12 2 9 2" xfId="30692" xr:uid="{00000000-0005-0000-0000-0000E2770000}"/>
    <cellStyle name="Output 12 2 9 2 2" xfId="30693" xr:uid="{00000000-0005-0000-0000-0000E3770000}"/>
    <cellStyle name="Output 12 2 9 2 3" xfId="30694" xr:uid="{00000000-0005-0000-0000-0000E4770000}"/>
    <cellStyle name="Output 12 2 9 3" xfId="30695" xr:uid="{00000000-0005-0000-0000-0000E5770000}"/>
    <cellStyle name="Output 12 2 9 4" xfId="30696" xr:uid="{00000000-0005-0000-0000-0000E6770000}"/>
    <cellStyle name="Output 12 3" xfId="30697" xr:uid="{00000000-0005-0000-0000-0000E7770000}"/>
    <cellStyle name="Output 12 3 2" xfId="30698" xr:uid="{00000000-0005-0000-0000-0000E8770000}"/>
    <cellStyle name="Output 12 3 2 2" xfId="30699" xr:uid="{00000000-0005-0000-0000-0000E9770000}"/>
    <cellStyle name="Output 12 3 2 3" xfId="30700" xr:uid="{00000000-0005-0000-0000-0000EA770000}"/>
    <cellStyle name="Output 12 3 3" xfId="30701" xr:uid="{00000000-0005-0000-0000-0000EB770000}"/>
    <cellStyle name="Output 12 3 4" xfId="30702" xr:uid="{00000000-0005-0000-0000-0000EC770000}"/>
    <cellStyle name="Output 12 4" xfId="30703" xr:uid="{00000000-0005-0000-0000-0000ED770000}"/>
    <cellStyle name="Output 12 5" xfId="30704" xr:uid="{00000000-0005-0000-0000-0000EE770000}"/>
    <cellStyle name="Output 13" xfId="30705" xr:uid="{00000000-0005-0000-0000-0000EF770000}"/>
    <cellStyle name="Output 13 2" xfId="30706" xr:uid="{00000000-0005-0000-0000-0000F0770000}"/>
    <cellStyle name="Output 13 2 10" xfId="30707" xr:uid="{00000000-0005-0000-0000-0000F1770000}"/>
    <cellStyle name="Output 13 2 10 2" xfId="30708" xr:uid="{00000000-0005-0000-0000-0000F2770000}"/>
    <cellStyle name="Output 13 2 10 2 2" xfId="30709" xr:uid="{00000000-0005-0000-0000-0000F3770000}"/>
    <cellStyle name="Output 13 2 10 2 3" xfId="30710" xr:uid="{00000000-0005-0000-0000-0000F4770000}"/>
    <cellStyle name="Output 13 2 10 3" xfId="30711" xr:uid="{00000000-0005-0000-0000-0000F5770000}"/>
    <cellStyle name="Output 13 2 10 4" xfId="30712" xr:uid="{00000000-0005-0000-0000-0000F6770000}"/>
    <cellStyle name="Output 13 2 11" xfId="30713" xr:uid="{00000000-0005-0000-0000-0000F7770000}"/>
    <cellStyle name="Output 13 2 11 2" xfId="30714" xr:uid="{00000000-0005-0000-0000-0000F8770000}"/>
    <cellStyle name="Output 13 2 11 2 2" xfId="30715" xr:uid="{00000000-0005-0000-0000-0000F9770000}"/>
    <cellStyle name="Output 13 2 11 2 3" xfId="30716" xr:uid="{00000000-0005-0000-0000-0000FA770000}"/>
    <cellStyle name="Output 13 2 11 3" xfId="30717" xr:uid="{00000000-0005-0000-0000-0000FB770000}"/>
    <cellStyle name="Output 13 2 11 4" xfId="30718" xr:uid="{00000000-0005-0000-0000-0000FC770000}"/>
    <cellStyle name="Output 13 2 12" xfId="30719" xr:uid="{00000000-0005-0000-0000-0000FD770000}"/>
    <cellStyle name="Output 13 2 12 2" xfId="30720" xr:uid="{00000000-0005-0000-0000-0000FE770000}"/>
    <cellStyle name="Output 13 2 12 2 2" xfId="30721" xr:uid="{00000000-0005-0000-0000-0000FF770000}"/>
    <cellStyle name="Output 13 2 12 2 3" xfId="30722" xr:uid="{00000000-0005-0000-0000-000000780000}"/>
    <cellStyle name="Output 13 2 12 3" xfId="30723" xr:uid="{00000000-0005-0000-0000-000001780000}"/>
    <cellStyle name="Output 13 2 12 4" xfId="30724" xr:uid="{00000000-0005-0000-0000-000002780000}"/>
    <cellStyle name="Output 13 2 13" xfId="30725" xr:uid="{00000000-0005-0000-0000-000003780000}"/>
    <cellStyle name="Output 13 2 13 2" xfId="30726" xr:uid="{00000000-0005-0000-0000-000004780000}"/>
    <cellStyle name="Output 13 2 13 2 2" xfId="30727" xr:uid="{00000000-0005-0000-0000-000005780000}"/>
    <cellStyle name="Output 13 2 13 2 3" xfId="30728" xr:uid="{00000000-0005-0000-0000-000006780000}"/>
    <cellStyle name="Output 13 2 13 3" xfId="30729" xr:uid="{00000000-0005-0000-0000-000007780000}"/>
    <cellStyle name="Output 13 2 13 4" xfId="30730" xr:uid="{00000000-0005-0000-0000-000008780000}"/>
    <cellStyle name="Output 13 2 14" xfId="30731" xr:uid="{00000000-0005-0000-0000-000009780000}"/>
    <cellStyle name="Output 13 2 14 2" xfId="30732" xr:uid="{00000000-0005-0000-0000-00000A780000}"/>
    <cellStyle name="Output 13 2 14 2 2" xfId="30733" xr:uid="{00000000-0005-0000-0000-00000B780000}"/>
    <cellStyle name="Output 13 2 14 2 3" xfId="30734" xr:uid="{00000000-0005-0000-0000-00000C780000}"/>
    <cellStyle name="Output 13 2 14 3" xfId="30735" xr:uid="{00000000-0005-0000-0000-00000D780000}"/>
    <cellStyle name="Output 13 2 14 4" xfId="30736" xr:uid="{00000000-0005-0000-0000-00000E780000}"/>
    <cellStyle name="Output 13 2 15" xfId="30737" xr:uid="{00000000-0005-0000-0000-00000F780000}"/>
    <cellStyle name="Output 13 2 15 2" xfId="30738" xr:uid="{00000000-0005-0000-0000-000010780000}"/>
    <cellStyle name="Output 13 2 15 2 2" xfId="30739" xr:uid="{00000000-0005-0000-0000-000011780000}"/>
    <cellStyle name="Output 13 2 15 2 3" xfId="30740" xr:uid="{00000000-0005-0000-0000-000012780000}"/>
    <cellStyle name="Output 13 2 15 3" xfId="30741" xr:uid="{00000000-0005-0000-0000-000013780000}"/>
    <cellStyle name="Output 13 2 15 4" xfId="30742" xr:uid="{00000000-0005-0000-0000-000014780000}"/>
    <cellStyle name="Output 13 2 16" xfId="30743" xr:uid="{00000000-0005-0000-0000-000015780000}"/>
    <cellStyle name="Output 13 2 16 2" xfId="30744" xr:uid="{00000000-0005-0000-0000-000016780000}"/>
    <cellStyle name="Output 13 2 16 2 2" xfId="30745" xr:uid="{00000000-0005-0000-0000-000017780000}"/>
    <cellStyle name="Output 13 2 16 2 3" xfId="30746" xr:uid="{00000000-0005-0000-0000-000018780000}"/>
    <cellStyle name="Output 13 2 16 3" xfId="30747" xr:uid="{00000000-0005-0000-0000-000019780000}"/>
    <cellStyle name="Output 13 2 16 4" xfId="30748" xr:uid="{00000000-0005-0000-0000-00001A780000}"/>
    <cellStyle name="Output 13 2 17" xfId="30749" xr:uid="{00000000-0005-0000-0000-00001B780000}"/>
    <cellStyle name="Output 13 2 17 2" xfId="30750" xr:uid="{00000000-0005-0000-0000-00001C780000}"/>
    <cellStyle name="Output 13 2 17 2 2" xfId="30751" xr:uid="{00000000-0005-0000-0000-00001D780000}"/>
    <cellStyle name="Output 13 2 17 2 3" xfId="30752" xr:uid="{00000000-0005-0000-0000-00001E780000}"/>
    <cellStyle name="Output 13 2 17 3" xfId="30753" xr:uid="{00000000-0005-0000-0000-00001F780000}"/>
    <cellStyle name="Output 13 2 17 4" xfId="30754" xr:uid="{00000000-0005-0000-0000-000020780000}"/>
    <cellStyle name="Output 13 2 18" xfId="30755" xr:uid="{00000000-0005-0000-0000-000021780000}"/>
    <cellStyle name="Output 13 2 18 2" xfId="30756" xr:uid="{00000000-0005-0000-0000-000022780000}"/>
    <cellStyle name="Output 13 2 18 3" xfId="30757" xr:uid="{00000000-0005-0000-0000-000023780000}"/>
    <cellStyle name="Output 13 2 18 4" xfId="30758" xr:uid="{00000000-0005-0000-0000-000024780000}"/>
    <cellStyle name="Output 13 2 19" xfId="30759" xr:uid="{00000000-0005-0000-0000-000025780000}"/>
    <cellStyle name="Output 13 2 2" xfId="30760" xr:uid="{00000000-0005-0000-0000-000026780000}"/>
    <cellStyle name="Output 13 2 2 2" xfId="30761" xr:uid="{00000000-0005-0000-0000-000027780000}"/>
    <cellStyle name="Output 13 2 2 2 2" xfId="30762" xr:uid="{00000000-0005-0000-0000-000028780000}"/>
    <cellStyle name="Output 13 2 2 2 3" xfId="30763" xr:uid="{00000000-0005-0000-0000-000029780000}"/>
    <cellStyle name="Output 13 2 2 3" xfId="30764" xr:uid="{00000000-0005-0000-0000-00002A780000}"/>
    <cellStyle name="Output 13 2 2 4" xfId="30765" xr:uid="{00000000-0005-0000-0000-00002B780000}"/>
    <cellStyle name="Output 13 2 20" xfId="30766" xr:uid="{00000000-0005-0000-0000-00002C780000}"/>
    <cellStyle name="Output 13 2 21" xfId="30767" xr:uid="{00000000-0005-0000-0000-00002D780000}"/>
    <cellStyle name="Output 13 2 3" xfId="30768" xr:uid="{00000000-0005-0000-0000-00002E780000}"/>
    <cellStyle name="Output 13 2 3 2" xfId="30769" xr:uid="{00000000-0005-0000-0000-00002F780000}"/>
    <cellStyle name="Output 13 2 3 2 2" xfId="30770" xr:uid="{00000000-0005-0000-0000-000030780000}"/>
    <cellStyle name="Output 13 2 3 2 3" xfId="30771" xr:uid="{00000000-0005-0000-0000-000031780000}"/>
    <cellStyle name="Output 13 2 3 3" xfId="30772" xr:uid="{00000000-0005-0000-0000-000032780000}"/>
    <cellStyle name="Output 13 2 3 4" xfId="30773" xr:uid="{00000000-0005-0000-0000-000033780000}"/>
    <cellStyle name="Output 13 2 4" xfId="30774" xr:uid="{00000000-0005-0000-0000-000034780000}"/>
    <cellStyle name="Output 13 2 4 2" xfId="30775" xr:uid="{00000000-0005-0000-0000-000035780000}"/>
    <cellStyle name="Output 13 2 4 2 2" xfId="30776" xr:uid="{00000000-0005-0000-0000-000036780000}"/>
    <cellStyle name="Output 13 2 4 2 3" xfId="30777" xr:uid="{00000000-0005-0000-0000-000037780000}"/>
    <cellStyle name="Output 13 2 4 3" xfId="30778" xr:uid="{00000000-0005-0000-0000-000038780000}"/>
    <cellStyle name="Output 13 2 4 4" xfId="30779" xr:uid="{00000000-0005-0000-0000-000039780000}"/>
    <cellStyle name="Output 13 2 5" xfId="30780" xr:uid="{00000000-0005-0000-0000-00003A780000}"/>
    <cellStyle name="Output 13 2 5 2" xfId="30781" xr:uid="{00000000-0005-0000-0000-00003B780000}"/>
    <cellStyle name="Output 13 2 5 2 2" xfId="30782" xr:uid="{00000000-0005-0000-0000-00003C780000}"/>
    <cellStyle name="Output 13 2 5 2 3" xfId="30783" xr:uid="{00000000-0005-0000-0000-00003D780000}"/>
    <cellStyle name="Output 13 2 5 3" xfId="30784" xr:uid="{00000000-0005-0000-0000-00003E780000}"/>
    <cellStyle name="Output 13 2 5 4" xfId="30785" xr:uid="{00000000-0005-0000-0000-00003F780000}"/>
    <cellStyle name="Output 13 2 6" xfId="30786" xr:uid="{00000000-0005-0000-0000-000040780000}"/>
    <cellStyle name="Output 13 2 6 2" xfId="30787" xr:uid="{00000000-0005-0000-0000-000041780000}"/>
    <cellStyle name="Output 13 2 6 2 2" xfId="30788" xr:uid="{00000000-0005-0000-0000-000042780000}"/>
    <cellStyle name="Output 13 2 6 2 3" xfId="30789" xr:uid="{00000000-0005-0000-0000-000043780000}"/>
    <cellStyle name="Output 13 2 6 3" xfId="30790" xr:uid="{00000000-0005-0000-0000-000044780000}"/>
    <cellStyle name="Output 13 2 6 4" xfId="30791" xr:uid="{00000000-0005-0000-0000-000045780000}"/>
    <cellStyle name="Output 13 2 7" xfId="30792" xr:uid="{00000000-0005-0000-0000-000046780000}"/>
    <cellStyle name="Output 13 2 7 2" xfId="30793" xr:uid="{00000000-0005-0000-0000-000047780000}"/>
    <cellStyle name="Output 13 2 7 2 2" xfId="30794" xr:uid="{00000000-0005-0000-0000-000048780000}"/>
    <cellStyle name="Output 13 2 7 2 3" xfId="30795" xr:uid="{00000000-0005-0000-0000-000049780000}"/>
    <cellStyle name="Output 13 2 7 3" xfId="30796" xr:uid="{00000000-0005-0000-0000-00004A780000}"/>
    <cellStyle name="Output 13 2 7 4" xfId="30797" xr:uid="{00000000-0005-0000-0000-00004B780000}"/>
    <cellStyle name="Output 13 2 8" xfId="30798" xr:uid="{00000000-0005-0000-0000-00004C780000}"/>
    <cellStyle name="Output 13 2 8 2" xfId="30799" xr:uid="{00000000-0005-0000-0000-00004D780000}"/>
    <cellStyle name="Output 13 2 8 2 2" xfId="30800" xr:uid="{00000000-0005-0000-0000-00004E780000}"/>
    <cellStyle name="Output 13 2 8 2 3" xfId="30801" xr:uid="{00000000-0005-0000-0000-00004F780000}"/>
    <cellStyle name="Output 13 2 8 3" xfId="30802" xr:uid="{00000000-0005-0000-0000-000050780000}"/>
    <cellStyle name="Output 13 2 8 4" xfId="30803" xr:uid="{00000000-0005-0000-0000-000051780000}"/>
    <cellStyle name="Output 13 2 9" xfId="30804" xr:uid="{00000000-0005-0000-0000-000052780000}"/>
    <cellStyle name="Output 13 2 9 2" xfId="30805" xr:uid="{00000000-0005-0000-0000-000053780000}"/>
    <cellStyle name="Output 13 2 9 2 2" xfId="30806" xr:uid="{00000000-0005-0000-0000-000054780000}"/>
    <cellStyle name="Output 13 2 9 2 3" xfId="30807" xr:uid="{00000000-0005-0000-0000-000055780000}"/>
    <cellStyle name="Output 13 2 9 3" xfId="30808" xr:uid="{00000000-0005-0000-0000-000056780000}"/>
    <cellStyle name="Output 13 2 9 4" xfId="30809" xr:uid="{00000000-0005-0000-0000-000057780000}"/>
    <cellStyle name="Output 13 3" xfId="30810" xr:uid="{00000000-0005-0000-0000-000058780000}"/>
    <cellStyle name="Output 13 3 2" xfId="30811" xr:uid="{00000000-0005-0000-0000-000059780000}"/>
    <cellStyle name="Output 13 3 2 2" xfId="30812" xr:uid="{00000000-0005-0000-0000-00005A780000}"/>
    <cellStyle name="Output 13 3 2 3" xfId="30813" xr:uid="{00000000-0005-0000-0000-00005B780000}"/>
    <cellStyle name="Output 13 3 3" xfId="30814" xr:uid="{00000000-0005-0000-0000-00005C780000}"/>
    <cellStyle name="Output 13 3 4" xfId="30815" xr:uid="{00000000-0005-0000-0000-00005D780000}"/>
    <cellStyle name="Output 13 4" xfId="30816" xr:uid="{00000000-0005-0000-0000-00005E780000}"/>
    <cellStyle name="Output 13 5" xfId="30817" xr:uid="{00000000-0005-0000-0000-00005F780000}"/>
    <cellStyle name="Output 14" xfId="30818" xr:uid="{00000000-0005-0000-0000-000060780000}"/>
    <cellStyle name="Output 14 2" xfId="30819" xr:uid="{00000000-0005-0000-0000-000061780000}"/>
    <cellStyle name="Output 14 2 10" xfId="30820" xr:uid="{00000000-0005-0000-0000-000062780000}"/>
    <cellStyle name="Output 14 2 10 2" xfId="30821" xr:uid="{00000000-0005-0000-0000-000063780000}"/>
    <cellStyle name="Output 14 2 10 2 2" xfId="30822" xr:uid="{00000000-0005-0000-0000-000064780000}"/>
    <cellStyle name="Output 14 2 10 2 3" xfId="30823" xr:uid="{00000000-0005-0000-0000-000065780000}"/>
    <cellStyle name="Output 14 2 10 3" xfId="30824" xr:uid="{00000000-0005-0000-0000-000066780000}"/>
    <cellStyle name="Output 14 2 10 4" xfId="30825" xr:uid="{00000000-0005-0000-0000-000067780000}"/>
    <cellStyle name="Output 14 2 11" xfId="30826" xr:uid="{00000000-0005-0000-0000-000068780000}"/>
    <cellStyle name="Output 14 2 11 2" xfId="30827" xr:uid="{00000000-0005-0000-0000-000069780000}"/>
    <cellStyle name="Output 14 2 11 2 2" xfId="30828" xr:uid="{00000000-0005-0000-0000-00006A780000}"/>
    <cellStyle name="Output 14 2 11 2 3" xfId="30829" xr:uid="{00000000-0005-0000-0000-00006B780000}"/>
    <cellStyle name="Output 14 2 11 3" xfId="30830" xr:uid="{00000000-0005-0000-0000-00006C780000}"/>
    <cellStyle name="Output 14 2 11 4" xfId="30831" xr:uid="{00000000-0005-0000-0000-00006D780000}"/>
    <cellStyle name="Output 14 2 12" xfId="30832" xr:uid="{00000000-0005-0000-0000-00006E780000}"/>
    <cellStyle name="Output 14 2 12 2" xfId="30833" xr:uid="{00000000-0005-0000-0000-00006F780000}"/>
    <cellStyle name="Output 14 2 12 2 2" xfId="30834" xr:uid="{00000000-0005-0000-0000-000070780000}"/>
    <cellStyle name="Output 14 2 12 2 3" xfId="30835" xr:uid="{00000000-0005-0000-0000-000071780000}"/>
    <cellStyle name="Output 14 2 12 3" xfId="30836" xr:uid="{00000000-0005-0000-0000-000072780000}"/>
    <cellStyle name="Output 14 2 12 4" xfId="30837" xr:uid="{00000000-0005-0000-0000-000073780000}"/>
    <cellStyle name="Output 14 2 13" xfId="30838" xr:uid="{00000000-0005-0000-0000-000074780000}"/>
    <cellStyle name="Output 14 2 13 2" xfId="30839" xr:uid="{00000000-0005-0000-0000-000075780000}"/>
    <cellStyle name="Output 14 2 13 2 2" xfId="30840" xr:uid="{00000000-0005-0000-0000-000076780000}"/>
    <cellStyle name="Output 14 2 13 2 3" xfId="30841" xr:uid="{00000000-0005-0000-0000-000077780000}"/>
    <cellStyle name="Output 14 2 13 3" xfId="30842" xr:uid="{00000000-0005-0000-0000-000078780000}"/>
    <cellStyle name="Output 14 2 13 4" xfId="30843" xr:uid="{00000000-0005-0000-0000-000079780000}"/>
    <cellStyle name="Output 14 2 14" xfId="30844" xr:uid="{00000000-0005-0000-0000-00007A780000}"/>
    <cellStyle name="Output 14 2 14 2" xfId="30845" xr:uid="{00000000-0005-0000-0000-00007B780000}"/>
    <cellStyle name="Output 14 2 14 2 2" xfId="30846" xr:uid="{00000000-0005-0000-0000-00007C780000}"/>
    <cellStyle name="Output 14 2 14 2 3" xfId="30847" xr:uid="{00000000-0005-0000-0000-00007D780000}"/>
    <cellStyle name="Output 14 2 14 3" xfId="30848" xr:uid="{00000000-0005-0000-0000-00007E780000}"/>
    <cellStyle name="Output 14 2 14 4" xfId="30849" xr:uid="{00000000-0005-0000-0000-00007F780000}"/>
    <cellStyle name="Output 14 2 15" xfId="30850" xr:uid="{00000000-0005-0000-0000-000080780000}"/>
    <cellStyle name="Output 14 2 15 2" xfId="30851" xr:uid="{00000000-0005-0000-0000-000081780000}"/>
    <cellStyle name="Output 14 2 15 2 2" xfId="30852" xr:uid="{00000000-0005-0000-0000-000082780000}"/>
    <cellStyle name="Output 14 2 15 2 3" xfId="30853" xr:uid="{00000000-0005-0000-0000-000083780000}"/>
    <cellStyle name="Output 14 2 15 3" xfId="30854" xr:uid="{00000000-0005-0000-0000-000084780000}"/>
    <cellStyle name="Output 14 2 15 4" xfId="30855" xr:uid="{00000000-0005-0000-0000-000085780000}"/>
    <cellStyle name="Output 14 2 16" xfId="30856" xr:uid="{00000000-0005-0000-0000-000086780000}"/>
    <cellStyle name="Output 14 2 16 2" xfId="30857" xr:uid="{00000000-0005-0000-0000-000087780000}"/>
    <cellStyle name="Output 14 2 16 2 2" xfId="30858" xr:uid="{00000000-0005-0000-0000-000088780000}"/>
    <cellStyle name="Output 14 2 16 2 3" xfId="30859" xr:uid="{00000000-0005-0000-0000-000089780000}"/>
    <cellStyle name="Output 14 2 16 3" xfId="30860" xr:uid="{00000000-0005-0000-0000-00008A780000}"/>
    <cellStyle name="Output 14 2 16 4" xfId="30861" xr:uid="{00000000-0005-0000-0000-00008B780000}"/>
    <cellStyle name="Output 14 2 17" xfId="30862" xr:uid="{00000000-0005-0000-0000-00008C780000}"/>
    <cellStyle name="Output 14 2 17 2" xfId="30863" xr:uid="{00000000-0005-0000-0000-00008D780000}"/>
    <cellStyle name="Output 14 2 17 2 2" xfId="30864" xr:uid="{00000000-0005-0000-0000-00008E780000}"/>
    <cellStyle name="Output 14 2 17 2 3" xfId="30865" xr:uid="{00000000-0005-0000-0000-00008F780000}"/>
    <cellStyle name="Output 14 2 17 3" xfId="30866" xr:uid="{00000000-0005-0000-0000-000090780000}"/>
    <cellStyle name="Output 14 2 17 4" xfId="30867" xr:uid="{00000000-0005-0000-0000-000091780000}"/>
    <cellStyle name="Output 14 2 18" xfId="30868" xr:uid="{00000000-0005-0000-0000-000092780000}"/>
    <cellStyle name="Output 14 2 18 2" xfId="30869" xr:uid="{00000000-0005-0000-0000-000093780000}"/>
    <cellStyle name="Output 14 2 18 3" xfId="30870" xr:uid="{00000000-0005-0000-0000-000094780000}"/>
    <cellStyle name="Output 14 2 18 4" xfId="30871" xr:uid="{00000000-0005-0000-0000-000095780000}"/>
    <cellStyle name="Output 14 2 19" xfId="30872" xr:uid="{00000000-0005-0000-0000-000096780000}"/>
    <cellStyle name="Output 14 2 2" xfId="30873" xr:uid="{00000000-0005-0000-0000-000097780000}"/>
    <cellStyle name="Output 14 2 2 2" xfId="30874" xr:uid="{00000000-0005-0000-0000-000098780000}"/>
    <cellStyle name="Output 14 2 2 2 2" xfId="30875" xr:uid="{00000000-0005-0000-0000-000099780000}"/>
    <cellStyle name="Output 14 2 2 2 3" xfId="30876" xr:uid="{00000000-0005-0000-0000-00009A780000}"/>
    <cellStyle name="Output 14 2 2 3" xfId="30877" xr:uid="{00000000-0005-0000-0000-00009B780000}"/>
    <cellStyle name="Output 14 2 2 4" xfId="30878" xr:uid="{00000000-0005-0000-0000-00009C780000}"/>
    <cellStyle name="Output 14 2 20" xfId="30879" xr:uid="{00000000-0005-0000-0000-00009D780000}"/>
    <cellStyle name="Output 14 2 21" xfId="30880" xr:uid="{00000000-0005-0000-0000-00009E780000}"/>
    <cellStyle name="Output 14 2 3" xfId="30881" xr:uid="{00000000-0005-0000-0000-00009F780000}"/>
    <cellStyle name="Output 14 2 3 2" xfId="30882" xr:uid="{00000000-0005-0000-0000-0000A0780000}"/>
    <cellStyle name="Output 14 2 3 2 2" xfId="30883" xr:uid="{00000000-0005-0000-0000-0000A1780000}"/>
    <cellStyle name="Output 14 2 3 2 3" xfId="30884" xr:uid="{00000000-0005-0000-0000-0000A2780000}"/>
    <cellStyle name="Output 14 2 3 3" xfId="30885" xr:uid="{00000000-0005-0000-0000-0000A3780000}"/>
    <cellStyle name="Output 14 2 3 4" xfId="30886" xr:uid="{00000000-0005-0000-0000-0000A4780000}"/>
    <cellStyle name="Output 14 2 4" xfId="30887" xr:uid="{00000000-0005-0000-0000-0000A5780000}"/>
    <cellStyle name="Output 14 2 4 2" xfId="30888" xr:uid="{00000000-0005-0000-0000-0000A6780000}"/>
    <cellStyle name="Output 14 2 4 2 2" xfId="30889" xr:uid="{00000000-0005-0000-0000-0000A7780000}"/>
    <cellStyle name="Output 14 2 4 2 3" xfId="30890" xr:uid="{00000000-0005-0000-0000-0000A8780000}"/>
    <cellStyle name="Output 14 2 4 3" xfId="30891" xr:uid="{00000000-0005-0000-0000-0000A9780000}"/>
    <cellStyle name="Output 14 2 4 4" xfId="30892" xr:uid="{00000000-0005-0000-0000-0000AA780000}"/>
    <cellStyle name="Output 14 2 5" xfId="30893" xr:uid="{00000000-0005-0000-0000-0000AB780000}"/>
    <cellStyle name="Output 14 2 5 2" xfId="30894" xr:uid="{00000000-0005-0000-0000-0000AC780000}"/>
    <cellStyle name="Output 14 2 5 2 2" xfId="30895" xr:uid="{00000000-0005-0000-0000-0000AD780000}"/>
    <cellStyle name="Output 14 2 5 2 3" xfId="30896" xr:uid="{00000000-0005-0000-0000-0000AE780000}"/>
    <cellStyle name="Output 14 2 5 3" xfId="30897" xr:uid="{00000000-0005-0000-0000-0000AF780000}"/>
    <cellStyle name="Output 14 2 5 4" xfId="30898" xr:uid="{00000000-0005-0000-0000-0000B0780000}"/>
    <cellStyle name="Output 14 2 6" xfId="30899" xr:uid="{00000000-0005-0000-0000-0000B1780000}"/>
    <cellStyle name="Output 14 2 6 2" xfId="30900" xr:uid="{00000000-0005-0000-0000-0000B2780000}"/>
    <cellStyle name="Output 14 2 6 2 2" xfId="30901" xr:uid="{00000000-0005-0000-0000-0000B3780000}"/>
    <cellStyle name="Output 14 2 6 2 3" xfId="30902" xr:uid="{00000000-0005-0000-0000-0000B4780000}"/>
    <cellStyle name="Output 14 2 6 3" xfId="30903" xr:uid="{00000000-0005-0000-0000-0000B5780000}"/>
    <cellStyle name="Output 14 2 6 4" xfId="30904" xr:uid="{00000000-0005-0000-0000-0000B6780000}"/>
    <cellStyle name="Output 14 2 7" xfId="30905" xr:uid="{00000000-0005-0000-0000-0000B7780000}"/>
    <cellStyle name="Output 14 2 7 2" xfId="30906" xr:uid="{00000000-0005-0000-0000-0000B8780000}"/>
    <cellStyle name="Output 14 2 7 2 2" xfId="30907" xr:uid="{00000000-0005-0000-0000-0000B9780000}"/>
    <cellStyle name="Output 14 2 7 2 3" xfId="30908" xr:uid="{00000000-0005-0000-0000-0000BA780000}"/>
    <cellStyle name="Output 14 2 7 3" xfId="30909" xr:uid="{00000000-0005-0000-0000-0000BB780000}"/>
    <cellStyle name="Output 14 2 7 4" xfId="30910" xr:uid="{00000000-0005-0000-0000-0000BC780000}"/>
    <cellStyle name="Output 14 2 8" xfId="30911" xr:uid="{00000000-0005-0000-0000-0000BD780000}"/>
    <cellStyle name="Output 14 2 8 2" xfId="30912" xr:uid="{00000000-0005-0000-0000-0000BE780000}"/>
    <cellStyle name="Output 14 2 8 2 2" xfId="30913" xr:uid="{00000000-0005-0000-0000-0000BF780000}"/>
    <cellStyle name="Output 14 2 8 2 3" xfId="30914" xr:uid="{00000000-0005-0000-0000-0000C0780000}"/>
    <cellStyle name="Output 14 2 8 3" xfId="30915" xr:uid="{00000000-0005-0000-0000-0000C1780000}"/>
    <cellStyle name="Output 14 2 8 4" xfId="30916" xr:uid="{00000000-0005-0000-0000-0000C2780000}"/>
    <cellStyle name="Output 14 2 9" xfId="30917" xr:uid="{00000000-0005-0000-0000-0000C3780000}"/>
    <cellStyle name="Output 14 2 9 2" xfId="30918" xr:uid="{00000000-0005-0000-0000-0000C4780000}"/>
    <cellStyle name="Output 14 2 9 2 2" xfId="30919" xr:uid="{00000000-0005-0000-0000-0000C5780000}"/>
    <cellStyle name="Output 14 2 9 2 3" xfId="30920" xr:uid="{00000000-0005-0000-0000-0000C6780000}"/>
    <cellStyle name="Output 14 2 9 3" xfId="30921" xr:uid="{00000000-0005-0000-0000-0000C7780000}"/>
    <cellStyle name="Output 14 2 9 4" xfId="30922" xr:uid="{00000000-0005-0000-0000-0000C8780000}"/>
    <cellStyle name="Output 14 3" xfId="30923" xr:uid="{00000000-0005-0000-0000-0000C9780000}"/>
    <cellStyle name="Output 14 3 2" xfId="30924" xr:uid="{00000000-0005-0000-0000-0000CA780000}"/>
    <cellStyle name="Output 14 3 2 2" xfId="30925" xr:uid="{00000000-0005-0000-0000-0000CB780000}"/>
    <cellStyle name="Output 14 3 2 3" xfId="30926" xr:uid="{00000000-0005-0000-0000-0000CC780000}"/>
    <cellStyle name="Output 14 3 3" xfId="30927" xr:uid="{00000000-0005-0000-0000-0000CD780000}"/>
    <cellStyle name="Output 14 3 4" xfId="30928" xr:uid="{00000000-0005-0000-0000-0000CE780000}"/>
    <cellStyle name="Output 14 4" xfId="30929" xr:uid="{00000000-0005-0000-0000-0000CF780000}"/>
    <cellStyle name="Output 14 5" xfId="30930" xr:uid="{00000000-0005-0000-0000-0000D0780000}"/>
    <cellStyle name="Output 15" xfId="30931" xr:uid="{00000000-0005-0000-0000-0000D1780000}"/>
    <cellStyle name="Output 15 2" xfId="30932" xr:uid="{00000000-0005-0000-0000-0000D2780000}"/>
    <cellStyle name="Output 15 2 10" xfId="30933" xr:uid="{00000000-0005-0000-0000-0000D3780000}"/>
    <cellStyle name="Output 15 2 10 2" xfId="30934" xr:uid="{00000000-0005-0000-0000-0000D4780000}"/>
    <cellStyle name="Output 15 2 10 2 2" xfId="30935" xr:uid="{00000000-0005-0000-0000-0000D5780000}"/>
    <cellStyle name="Output 15 2 10 2 3" xfId="30936" xr:uid="{00000000-0005-0000-0000-0000D6780000}"/>
    <cellStyle name="Output 15 2 10 3" xfId="30937" xr:uid="{00000000-0005-0000-0000-0000D7780000}"/>
    <cellStyle name="Output 15 2 10 4" xfId="30938" xr:uid="{00000000-0005-0000-0000-0000D8780000}"/>
    <cellStyle name="Output 15 2 11" xfId="30939" xr:uid="{00000000-0005-0000-0000-0000D9780000}"/>
    <cellStyle name="Output 15 2 11 2" xfId="30940" xr:uid="{00000000-0005-0000-0000-0000DA780000}"/>
    <cellStyle name="Output 15 2 11 2 2" xfId="30941" xr:uid="{00000000-0005-0000-0000-0000DB780000}"/>
    <cellStyle name="Output 15 2 11 2 3" xfId="30942" xr:uid="{00000000-0005-0000-0000-0000DC780000}"/>
    <cellStyle name="Output 15 2 11 3" xfId="30943" xr:uid="{00000000-0005-0000-0000-0000DD780000}"/>
    <cellStyle name="Output 15 2 11 4" xfId="30944" xr:uid="{00000000-0005-0000-0000-0000DE780000}"/>
    <cellStyle name="Output 15 2 12" xfId="30945" xr:uid="{00000000-0005-0000-0000-0000DF780000}"/>
    <cellStyle name="Output 15 2 12 2" xfId="30946" xr:uid="{00000000-0005-0000-0000-0000E0780000}"/>
    <cellStyle name="Output 15 2 12 2 2" xfId="30947" xr:uid="{00000000-0005-0000-0000-0000E1780000}"/>
    <cellStyle name="Output 15 2 12 2 3" xfId="30948" xr:uid="{00000000-0005-0000-0000-0000E2780000}"/>
    <cellStyle name="Output 15 2 12 3" xfId="30949" xr:uid="{00000000-0005-0000-0000-0000E3780000}"/>
    <cellStyle name="Output 15 2 12 4" xfId="30950" xr:uid="{00000000-0005-0000-0000-0000E4780000}"/>
    <cellStyle name="Output 15 2 13" xfId="30951" xr:uid="{00000000-0005-0000-0000-0000E5780000}"/>
    <cellStyle name="Output 15 2 13 2" xfId="30952" xr:uid="{00000000-0005-0000-0000-0000E6780000}"/>
    <cellStyle name="Output 15 2 13 2 2" xfId="30953" xr:uid="{00000000-0005-0000-0000-0000E7780000}"/>
    <cellStyle name="Output 15 2 13 2 3" xfId="30954" xr:uid="{00000000-0005-0000-0000-0000E8780000}"/>
    <cellStyle name="Output 15 2 13 3" xfId="30955" xr:uid="{00000000-0005-0000-0000-0000E9780000}"/>
    <cellStyle name="Output 15 2 13 4" xfId="30956" xr:uid="{00000000-0005-0000-0000-0000EA780000}"/>
    <cellStyle name="Output 15 2 14" xfId="30957" xr:uid="{00000000-0005-0000-0000-0000EB780000}"/>
    <cellStyle name="Output 15 2 14 2" xfId="30958" xr:uid="{00000000-0005-0000-0000-0000EC780000}"/>
    <cellStyle name="Output 15 2 14 2 2" xfId="30959" xr:uid="{00000000-0005-0000-0000-0000ED780000}"/>
    <cellStyle name="Output 15 2 14 2 3" xfId="30960" xr:uid="{00000000-0005-0000-0000-0000EE780000}"/>
    <cellStyle name="Output 15 2 14 3" xfId="30961" xr:uid="{00000000-0005-0000-0000-0000EF780000}"/>
    <cellStyle name="Output 15 2 14 4" xfId="30962" xr:uid="{00000000-0005-0000-0000-0000F0780000}"/>
    <cellStyle name="Output 15 2 15" xfId="30963" xr:uid="{00000000-0005-0000-0000-0000F1780000}"/>
    <cellStyle name="Output 15 2 15 2" xfId="30964" xr:uid="{00000000-0005-0000-0000-0000F2780000}"/>
    <cellStyle name="Output 15 2 15 2 2" xfId="30965" xr:uid="{00000000-0005-0000-0000-0000F3780000}"/>
    <cellStyle name="Output 15 2 15 2 3" xfId="30966" xr:uid="{00000000-0005-0000-0000-0000F4780000}"/>
    <cellStyle name="Output 15 2 15 3" xfId="30967" xr:uid="{00000000-0005-0000-0000-0000F5780000}"/>
    <cellStyle name="Output 15 2 15 4" xfId="30968" xr:uid="{00000000-0005-0000-0000-0000F6780000}"/>
    <cellStyle name="Output 15 2 16" xfId="30969" xr:uid="{00000000-0005-0000-0000-0000F7780000}"/>
    <cellStyle name="Output 15 2 16 2" xfId="30970" xr:uid="{00000000-0005-0000-0000-0000F8780000}"/>
    <cellStyle name="Output 15 2 16 2 2" xfId="30971" xr:uid="{00000000-0005-0000-0000-0000F9780000}"/>
    <cellStyle name="Output 15 2 16 2 3" xfId="30972" xr:uid="{00000000-0005-0000-0000-0000FA780000}"/>
    <cellStyle name="Output 15 2 16 3" xfId="30973" xr:uid="{00000000-0005-0000-0000-0000FB780000}"/>
    <cellStyle name="Output 15 2 16 4" xfId="30974" xr:uid="{00000000-0005-0000-0000-0000FC780000}"/>
    <cellStyle name="Output 15 2 17" xfId="30975" xr:uid="{00000000-0005-0000-0000-0000FD780000}"/>
    <cellStyle name="Output 15 2 17 2" xfId="30976" xr:uid="{00000000-0005-0000-0000-0000FE780000}"/>
    <cellStyle name="Output 15 2 17 2 2" xfId="30977" xr:uid="{00000000-0005-0000-0000-0000FF780000}"/>
    <cellStyle name="Output 15 2 17 2 3" xfId="30978" xr:uid="{00000000-0005-0000-0000-000000790000}"/>
    <cellStyle name="Output 15 2 17 3" xfId="30979" xr:uid="{00000000-0005-0000-0000-000001790000}"/>
    <cellStyle name="Output 15 2 17 4" xfId="30980" xr:uid="{00000000-0005-0000-0000-000002790000}"/>
    <cellStyle name="Output 15 2 18" xfId="30981" xr:uid="{00000000-0005-0000-0000-000003790000}"/>
    <cellStyle name="Output 15 2 18 2" xfId="30982" xr:uid="{00000000-0005-0000-0000-000004790000}"/>
    <cellStyle name="Output 15 2 18 3" xfId="30983" xr:uid="{00000000-0005-0000-0000-000005790000}"/>
    <cellStyle name="Output 15 2 18 4" xfId="30984" xr:uid="{00000000-0005-0000-0000-000006790000}"/>
    <cellStyle name="Output 15 2 19" xfId="30985" xr:uid="{00000000-0005-0000-0000-000007790000}"/>
    <cellStyle name="Output 15 2 2" xfId="30986" xr:uid="{00000000-0005-0000-0000-000008790000}"/>
    <cellStyle name="Output 15 2 2 2" xfId="30987" xr:uid="{00000000-0005-0000-0000-000009790000}"/>
    <cellStyle name="Output 15 2 2 2 2" xfId="30988" xr:uid="{00000000-0005-0000-0000-00000A790000}"/>
    <cellStyle name="Output 15 2 2 2 3" xfId="30989" xr:uid="{00000000-0005-0000-0000-00000B790000}"/>
    <cellStyle name="Output 15 2 2 3" xfId="30990" xr:uid="{00000000-0005-0000-0000-00000C790000}"/>
    <cellStyle name="Output 15 2 2 4" xfId="30991" xr:uid="{00000000-0005-0000-0000-00000D790000}"/>
    <cellStyle name="Output 15 2 20" xfId="30992" xr:uid="{00000000-0005-0000-0000-00000E790000}"/>
    <cellStyle name="Output 15 2 21" xfId="30993" xr:uid="{00000000-0005-0000-0000-00000F790000}"/>
    <cellStyle name="Output 15 2 3" xfId="30994" xr:uid="{00000000-0005-0000-0000-000010790000}"/>
    <cellStyle name="Output 15 2 3 2" xfId="30995" xr:uid="{00000000-0005-0000-0000-000011790000}"/>
    <cellStyle name="Output 15 2 3 2 2" xfId="30996" xr:uid="{00000000-0005-0000-0000-000012790000}"/>
    <cellStyle name="Output 15 2 3 2 3" xfId="30997" xr:uid="{00000000-0005-0000-0000-000013790000}"/>
    <cellStyle name="Output 15 2 3 3" xfId="30998" xr:uid="{00000000-0005-0000-0000-000014790000}"/>
    <cellStyle name="Output 15 2 3 4" xfId="30999" xr:uid="{00000000-0005-0000-0000-000015790000}"/>
    <cellStyle name="Output 15 2 4" xfId="31000" xr:uid="{00000000-0005-0000-0000-000016790000}"/>
    <cellStyle name="Output 15 2 4 2" xfId="31001" xr:uid="{00000000-0005-0000-0000-000017790000}"/>
    <cellStyle name="Output 15 2 4 2 2" xfId="31002" xr:uid="{00000000-0005-0000-0000-000018790000}"/>
    <cellStyle name="Output 15 2 4 2 3" xfId="31003" xr:uid="{00000000-0005-0000-0000-000019790000}"/>
    <cellStyle name="Output 15 2 4 3" xfId="31004" xr:uid="{00000000-0005-0000-0000-00001A790000}"/>
    <cellStyle name="Output 15 2 4 4" xfId="31005" xr:uid="{00000000-0005-0000-0000-00001B790000}"/>
    <cellStyle name="Output 15 2 5" xfId="31006" xr:uid="{00000000-0005-0000-0000-00001C790000}"/>
    <cellStyle name="Output 15 2 5 2" xfId="31007" xr:uid="{00000000-0005-0000-0000-00001D790000}"/>
    <cellStyle name="Output 15 2 5 2 2" xfId="31008" xr:uid="{00000000-0005-0000-0000-00001E790000}"/>
    <cellStyle name="Output 15 2 5 2 3" xfId="31009" xr:uid="{00000000-0005-0000-0000-00001F790000}"/>
    <cellStyle name="Output 15 2 5 3" xfId="31010" xr:uid="{00000000-0005-0000-0000-000020790000}"/>
    <cellStyle name="Output 15 2 5 4" xfId="31011" xr:uid="{00000000-0005-0000-0000-000021790000}"/>
    <cellStyle name="Output 15 2 6" xfId="31012" xr:uid="{00000000-0005-0000-0000-000022790000}"/>
    <cellStyle name="Output 15 2 6 2" xfId="31013" xr:uid="{00000000-0005-0000-0000-000023790000}"/>
    <cellStyle name="Output 15 2 6 2 2" xfId="31014" xr:uid="{00000000-0005-0000-0000-000024790000}"/>
    <cellStyle name="Output 15 2 6 2 3" xfId="31015" xr:uid="{00000000-0005-0000-0000-000025790000}"/>
    <cellStyle name="Output 15 2 6 3" xfId="31016" xr:uid="{00000000-0005-0000-0000-000026790000}"/>
    <cellStyle name="Output 15 2 6 4" xfId="31017" xr:uid="{00000000-0005-0000-0000-000027790000}"/>
    <cellStyle name="Output 15 2 7" xfId="31018" xr:uid="{00000000-0005-0000-0000-000028790000}"/>
    <cellStyle name="Output 15 2 7 2" xfId="31019" xr:uid="{00000000-0005-0000-0000-000029790000}"/>
    <cellStyle name="Output 15 2 7 2 2" xfId="31020" xr:uid="{00000000-0005-0000-0000-00002A790000}"/>
    <cellStyle name="Output 15 2 7 2 3" xfId="31021" xr:uid="{00000000-0005-0000-0000-00002B790000}"/>
    <cellStyle name="Output 15 2 7 3" xfId="31022" xr:uid="{00000000-0005-0000-0000-00002C790000}"/>
    <cellStyle name="Output 15 2 7 4" xfId="31023" xr:uid="{00000000-0005-0000-0000-00002D790000}"/>
    <cellStyle name="Output 15 2 8" xfId="31024" xr:uid="{00000000-0005-0000-0000-00002E790000}"/>
    <cellStyle name="Output 15 2 8 2" xfId="31025" xr:uid="{00000000-0005-0000-0000-00002F790000}"/>
    <cellStyle name="Output 15 2 8 2 2" xfId="31026" xr:uid="{00000000-0005-0000-0000-000030790000}"/>
    <cellStyle name="Output 15 2 8 2 3" xfId="31027" xr:uid="{00000000-0005-0000-0000-000031790000}"/>
    <cellStyle name="Output 15 2 8 3" xfId="31028" xr:uid="{00000000-0005-0000-0000-000032790000}"/>
    <cellStyle name="Output 15 2 8 4" xfId="31029" xr:uid="{00000000-0005-0000-0000-000033790000}"/>
    <cellStyle name="Output 15 2 9" xfId="31030" xr:uid="{00000000-0005-0000-0000-000034790000}"/>
    <cellStyle name="Output 15 2 9 2" xfId="31031" xr:uid="{00000000-0005-0000-0000-000035790000}"/>
    <cellStyle name="Output 15 2 9 2 2" xfId="31032" xr:uid="{00000000-0005-0000-0000-000036790000}"/>
    <cellStyle name="Output 15 2 9 2 3" xfId="31033" xr:uid="{00000000-0005-0000-0000-000037790000}"/>
    <cellStyle name="Output 15 2 9 3" xfId="31034" xr:uid="{00000000-0005-0000-0000-000038790000}"/>
    <cellStyle name="Output 15 2 9 4" xfId="31035" xr:uid="{00000000-0005-0000-0000-000039790000}"/>
    <cellStyle name="Output 15 3" xfId="31036" xr:uid="{00000000-0005-0000-0000-00003A790000}"/>
    <cellStyle name="Output 15 3 2" xfId="31037" xr:uid="{00000000-0005-0000-0000-00003B790000}"/>
    <cellStyle name="Output 15 3 2 2" xfId="31038" xr:uid="{00000000-0005-0000-0000-00003C790000}"/>
    <cellStyle name="Output 15 3 2 3" xfId="31039" xr:uid="{00000000-0005-0000-0000-00003D790000}"/>
    <cellStyle name="Output 15 3 3" xfId="31040" xr:uid="{00000000-0005-0000-0000-00003E790000}"/>
    <cellStyle name="Output 15 3 4" xfId="31041" xr:uid="{00000000-0005-0000-0000-00003F790000}"/>
    <cellStyle name="Output 15 4" xfId="31042" xr:uid="{00000000-0005-0000-0000-000040790000}"/>
    <cellStyle name="Output 15 5" xfId="31043" xr:uid="{00000000-0005-0000-0000-000041790000}"/>
    <cellStyle name="Output 16" xfId="31044" xr:uid="{00000000-0005-0000-0000-000042790000}"/>
    <cellStyle name="Output 16 2" xfId="31045" xr:uid="{00000000-0005-0000-0000-000043790000}"/>
    <cellStyle name="Output 16 2 10" xfId="31046" xr:uid="{00000000-0005-0000-0000-000044790000}"/>
    <cellStyle name="Output 16 2 10 2" xfId="31047" xr:uid="{00000000-0005-0000-0000-000045790000}"/>
    <cellStyle name="Output 16 2 10 2 2" xfId="31048" xr:uid="{00000000-0005-0000-0000-000046790000}"/>
    <cellStyle name="Output 16 2 10 2 3" xfId="31049" xr:uid="{00000000-0005-0000-0000-000047790000}"/>
    <cellStyle name="Output 16 2 10 3" xfId="31050" xr:uid="{00000000-0005-0000-0000-000048790000}"/>
    <cellStyle name="Output 16 2 10 4" xfId="31051" xr:uid="{00000000-0005-0000-0000-000049790000}"/>
    <cellStyle name="Output 16 2 11" xfId="31052" xr:uid="{00000000-0005-0000-0000-00004A790000}"/>
    <cellStyle name="Output 16 2 11 2" xfId="31053" xr:uid="{00000000-0005-0000-0000-00004B790000}"/>
    <cellStyle name="Output 16 2 11 2 2" xfId="31054" xr:uid="{00000000-0005-0000-0000-00004C790000}"/>
    <cellStyle name="Output 16 2 11 2 3" xfId="31055" xr:uid="{00000000-0005-0000-0000-00004D790000}"/>
    <cellStyle name="Output 16 2 11 3" xfId="31056" xr:uid="{00000000-0005-0000-0000-00004E790000}"/>
    <cellStyle name="Output 16 2 11 4" xfId="31057" xr:uid="{00000000-0005-0000-0000-00004F790000}"/>
    <cellStyle name="Output 16 2 12" xfId="31058" xr:uid="{00000000-0005-0000-0000-000050790000}"/>
    <cellStyle name="Output 16 2 12 2" xfId="31059" xr:uid="{00000000-0005-0000-0000-000051790000}"/>
    <cellStyle name="Output 16 2 12 2 2" xfId="31060" xr:uid="{00000000-0005-0000-0000-000052790000}"/>
    <cellStyle name="Output 16 2 12 2 3" xfId="31061" xr:uid="{00000000-0005-0000-0000-000053790000}"/>
    <cellStyle name="Output 16 2 12 3" xfId="31062" xr:uid="{00000000-0005-0000-0000-000054790000}"/>
    <cellStyle name="Output 16 2 12 4" xfId="31063" xr:uid="{00000000-0005-0000-0000-000055790000}"/>
    <cellStyle name="Output 16 2 13" xfId="31064" xr:uid="{00000000-0005-0000-0000-000056790000}"/>
    <cellStyle name="Output 16 2 13 2" xfId="31065" xr:uid="{00000000-0005-0000-0000-000057790000}"/>
    <cellStyle name="Output 16 2 13 2 2" xfId="31066" xr:uid="{00000000-0005-0000-0000-000058790000}"/>
    <cellStyle name="Output 16 2 13 2 3" xfId="31067" xr:uid="{00000000-0005-0000-0000-000059790000}"/>
    <cellStyle name="Output 16 2 13 3" xfId="31068" xr:uid="{00000000-0005-0000-0000-00005A790000}"/>
    <cellStyle name="Output 16 2 13 4" xfId="31069" xr:uid="{00000000-0005-0000-0000-00005B790000}"/>
    <cellStyle name="Output 16 2 14" xfId="31070" xr:uid="{00000000-0005-0000-0000-00005C790000}"/>
    <cellStyle name="Output 16 2 14 2" xfId="31071" xr:uid="{00000000-0005-0000-0000-00005D790000}"/>
    <cellStyle name="Output 16 2 14 2 2" xfId="31072" xr:uid="{00000000-0005-0000-0000-00005E790000}"/>
    <cellStyle name="Output 16 2 14 2 3" xfId="31073" xr:uid="{00000000-0005-0000-0000-00005F790000}"/>
    <cellStyle name="Output 16 2 14 3" xfId="31074" xr:uid="{00000000-0005-0000-0000-000060790000}"/>
    <cellStyle name="Output 16 2 14 4" xfId="31075" xr:uid="{00000000-0005-0000-0000-000061790000}"/>
    <cellStyle name="Output 16 2 15" xfId="31076" xr:uid="{00000000-0005-0000-0000-000062790000}"/>
    <cellStyle name="Output 16 2 15 2" xfId="31077" xr:uid="{00000000-0005-0000-0000-000063790000}"/>
    <cellStyle name="Output 16 2 15 2 2" xfId="31078" xr:uid="{00000000-0005-0000-0000-000064790000}"/>
    <cellStyle name="Output 16 2 15 2 3" xfId="31079" xr:uid="{00000000-0005-0000-0000-000065790000}"/>
    <cellStyle name="Output 16 2 15 3" xfId="31080" xr:uid="{00000000-0005-0000-0000-000066790000}"/>
    <cellStyle name="Output 16 2 15 4" xfId="31081" xr:uid="{00000000-0005-0000-0000-000067790000}"/>
    <cellStyle name="Output 16 2 16" xfId="31082" xr:uid="{00000000-0005-0000-0000-000068790000}"/>
    <cellStyle name="Output 16 2 16 2" xfId="31083" xr:uid="{00000000-0005-0000-0000-000069790000}"/>
    <cellStyle name="Output 16 2 16 2 2" xfId="31084" xr:uid="{00000000-0005-0000-0000-00006A790000}"/>
    <cellStyle name="Output 16 2 16 2 3" xfId="31085" xr:uid="{00000000-0005-0000-0000-00006B790000}"/>
    <cellStyle name="Output 16 2 16 3" xfId="31086" xr:uid="{00000000-0005-0000-0000-00006C790000}"/>
    <cellStyle name="Output 16 2 16 4" xfId="31087" xr:uid="{00000000-0005-0000-0000-00006D790000}"/>
    <cellStyle name="Output 16 2 17" xfId="31088" xr:uid="{00000000-0005-0000-0000-00006E790000}"/>
    <cellStyle name="Output 16 2 17 2" xfId="31089" xr:uid="{00000000-0005-0000-0000-00006F790000}"/>
    <cellStyle name="Output 16 2 17 2 2" xfId="31090" xr:uid="{00000000-0005-0000-0000-000070790000}"/>
    <cellStyle name="Output 16 2 17 2 3" xfId="31091" xr:uid="{00000000-0005-0000-0000-000071790000}"/>
    <cellStyle name="Output 16 2 17 3" xfId="31092" xr:uid="{00000000-0005-0000-0000-000072790000}"/>
    <cellStyle name="Output 16 2 17 4" xfId="31093" xr:uid="{00000000-0005-0000-0000-000073790000}"/>
    <cellStyle name="Output 16 2 18" xfId="31094" xr:uid="{00000000-0005-0000-0000-000074790000}"/>
    <cellStyle name="Output 16 2 18 2" xfId="31095" xr:uid="{00000000-0005-0000-0000-000075790000}"/>
    <cellStyle name="Output 16 2 18 3" xfId="31096" xr:uid="{00000000-0005-0000-0000-000076790000}"/>
    <cellStyle name="Output 16 2 18 4" xfId="31097" xr:uid="{00000000-0005-0000-0000-000077790000}"/>
    <cellStyle name="Output 16 2 19" xfId="31098" xr:uid="{00000000-0005-0000-0000-000078790000}"/>
    <cellStyle name="Output 16 2 2" xfId="31099" xr:uid="{00000000-0005-0000-0000-000079790000}"/>
    <cellStyle name="Output 16 2 2 2" xfId="31100" xr:uid="{00000000-0005-0000-0000-00007A790000}"/>
    <cellStyle name="Output 16 2 2 2 2" xfId="31101" xr:uid="{00000000-0005-0000-0000-00007B790000}"/>
    <cellStyle name="Output 16 2 2 2 3" xfId="31102" xr:uid="{00000000-0005-0000-0000-00007C790000}"/>
    <cellStyle name="Output 16 2 2 3" xfId="31103" xr:uid="{00000000-0005-0000-0000-00007D790000}"/>
    <cellStyle name="Output 16 2 2 4" xfId="31104" xr:uid="{00000000-0005-0000-0000-00007E790000}"/>
    <cellStyle name="Output 16 2 20" xfId="31105" xr:uid="{00000000-0005-0000-0000-00007F790000}"/>
    <cellStyle name="Output 16 2 21" xfId="31106" xr:uid="{00000000-0005-0000-0000-000080790000}"/>
    <cellStyle name="Output 16 2 3" xfId="31107" xr:uid="{00000000-0005-0000-0000-000081790000}"/>
    <cellStyle name="Output 16 2 3 2" xfId="31108" xr:uid="{00000000-0005-0000-0000-000082790000}"/>
    <cellStyle name="Output 16 2 3 2 2" xfId="31109" xr:uid="{00000000-0005-0000-0000-000083790000}"/>
    <cellStyle name="Output 16 2 3 2 3" xfId="31110" xr:uid="{00000000-0005-0000-0000-000084790000}"/>
    <cellStyle name="Output 16 2 3 3" xfId="31111" xr:uid="{00000000-0005-0000-0000-000085790000}"/>
    <cellStyle name="Output 16 2 3 4" xfId="31112" xr:uid="{00000000-0005-0000-0000-000086790000}"/>
    <cellStyle name="Output 16 2 4" xfId="31113" xr:uid="{00000000-0005-0000-0000-000087790000}"/>
    <cellStyle name="Output 16 2 4 2" xfId="31114" xr:uid="{00000000-0005-0000-0000-000088790000}"/>
    <cellStyle name="Output 16 2 4 2 2" xfId="31115" xr:uid="{00000000-0005-0000-0000-000089790000}"/>
    <cellStyle name="Output 16 2 4 2 3" xfId="31116" xr:uid="{00000000-0005-0000-0000-00008A790000}"/>
    <cellStyle name="Output 16 2 4 3" xfId="31117" xr:uid="{00000000-0005-0000-0000-00008B790000}"/>
    <cellStyle name="Output 16 2 4 4" xfId="31118" xr:uid="{00000000-0005-0000-0000-00008C790000}"/>
    <cellStyle name="Output 16 2 5" xfId="31119" xr:uid="{00000000-0005-0000-0000-00008D790000}"/>
    <cellStyle name="Output 16 2 5 2" xfId="31120" xr:uid="{00000000-0005-0000-0000-00008E790000}"/>
    <cellStyle name="Output 16 2 5 2 2" xfId="31121" xr:uid="{00000000-0005-0000-0000-00008F790000}"/>
    <cellStyle name="Output 16 2 5 2 3" xfId="31122" xr:uid="{00000000-0005-0000-0000-000090790000}"/>
    <cellStyle name="Output 16 2 5 3" xfId="31123" xr:uid="{00000000-0005-0000-0000-000091790000}"/>
    <cellStyle name="Output 16 2 5 4" xfId="31124" xr:uid="{00000000-0005-0000-0000-000092790000}"/>
    <cellStyle name="Output 16 2 6" xfId="31125" xr:uid="{00000000-0005-0000-0000-000093790000}"/>
    <cellStyle name="Output 16 2 6 2" xfId="31126" xr:uid="{00000000-0005-0000-0000-000094790000}"/>
    <cellStyle name="Output 16 2 6 2 2" xfId="31127" xr:uid="{00000000-0005-0000-0000-000095790000}"/>
    <cellStyle name="Output 16 2 6 2 3" xfId="31128" xr:uid="{00000000-0005-0000-0000-000096790000}"/>
    <cellStyle name="Output 16 2 6 3" xfId="31129" xr:uid="{00000000-0005-0000-0000-000097790000}"/>
    <cellStyle name="Output 16 2 6 4" xfId="31130" xr:uid="{00000000-0005-0000-0000-000098790000}"/>
    <cellStyle name="Output 16 2 7" xfId="31131" xr:uid="{00000000-0005-0000-0000-000099790000}"/>
    <cellStyle name="Output 16 2 7 2" xfId="31132" xr:uid="{00000000-0005-0000-0000-00009A790000}"/>
    <cellStyle name="Output 16 2 7 2 2" xfId="31133" xr:uid="{00000000-0005-0000-0000-00009B790000}"/>
    <cellStyle name="Output 16 2 7 2 3" xfId="31134" xr:uid="{00000000-0005-0000-0000-00009C790000}"/>
    <cellStyle name="Output 16 2 7 3" xfId="31135" xr:uid="{00000000-0005-0000-0000-00009D790000}"/>
    <cellStyle name="Output 16 2 7 4" xfId="31136" xr:uid="{00000000-0005-0000-0000-00009E790000}"/>
    <cellStyle name="Output 16 2 8" xfId="31137" xr:uid="{00000000-0005-0000-0000-00009F790000}"/>
    <cellStyle name="Output 16 2 8 2" xfId="31138" xr:uid="{00000000-0005-0000-0000-0000A0790000}"/>
    <cellStyle name="Output 16 2 8 2 2" xfId="31139" xr:uid="{00000000-0005-0000-0000-0000A1790000}"/>
    <cellStyle name="Output 16 2 8 2 3" xfId="31140" xr:uid="{00000000-0005-0000-0000-0000A2790000}"/>
    <cellStyle name="Output 16 2 8 3" xfId="31141" xr:uid="{00000000-0005-0000-0000-0000A3790000}"/>
    <cellStyle name="Output 16 2 8 4" xfId="31142" xr:uid="{00000000-0005-0000-0000-0000A4790000}"/>
    <cellStyle name="Output 16 2 9" xfId="31143" xr:uid="{00000000-0005-0000-0000-0000A5790000}"/>
    <cellStyle name="Output 16 2 9 2" xfId="31144" xr:uid="{00000000-0005-0000-0000-0000A6790000}"/>
    <cellStyle name="Output 16 2 9 2 2" xfId="31145" xr:uid="{00000000-0005-0000-0000-0000A7790000}"/>
    <cellStyle name="Output 16 2 9 2 3" xfId="31146" xr:uid="{00000000-0005-0000-0000-0000A8790000}"/>
    <cellStyle name="Output 16 2 9 3" xfId="31147" xr:uid="{00000000-0005-0000-0000-0000A9790000}"/>
    <cellStyle name="Output 16 2 9 4" xfId="31148" xr:uid="{00000000-0005-0000-0000-0000AA790000}"/>
    <cellStyle name="Output 16 3" xfId="31149" xr:uid="{00000000-0005-0000-0000-0000AB790000}"/>
    <cellStyle name="Output 16 3 2" xfId="31150" xr:uid="{00000000-0005-0000-0000-0000AC790000}"/>
    <cellStyle name="Output 16 3 2 2" xfId="31151" xr:uid="{00000000-0005-0000-0000-0000AD790000}"/>
    <cellStyle name="Output 16 3 2 3" xfId="31152" xr:uid="{00000000-0005-0000-0000-0000AE790000}"/>
    <cellStyle name="Output 16 3 3" xfId="31153" xr:uid="{00000000-0005-0000-0000-0000AF790000}"/>
    <cellStyle name="Output 16 3 4" xfId="31154" xr:uid="{00000000-0005-0000-0000-0000B0790000}"/>
    <cellStyle name="Output 16 4" xfId="31155" xr:uid="{00000000-0005-0000-0000-0000B1790000}"/>
    <cellStyle name="Output 16 5" xfId="31156" xr:uid="{00000000-0005-0000-0000-0000B2790000}"/>
    <cellStyle name="Output 17" xfId="31157" xr:uid="{00000000-0005-0000-0000-0000B3790000}"/>
    <cellStyle name="Output 17 2" xfId="31158" xr:uid="{00000000-0005-0000-0000-0000B4790000}"/>
    <cellStyle name="Output 17 2 10" xfId="31159" xr:uid="{00000000-0005-0000-0000-0000B5790000}"/>
    <cellStyle name="Output 17 2 10 2" xfId="31160" xr:uid="{00000000-0005-0000-0000-0000B6790000}"/>
    <cellStyle name="Output 17 2 10 2 2" xfId="31161" xr:uid="{00000000-0005-0000-0000-0000B7790000}"/>
    <cellStyle name="Output 17 2 10 2 3" xfId="31162" xr:uid="{00000000-0005-0000-0000-0000B8790000}"/>
    <cellStyle name="Output 17 2 10 3" xfId="31163" xr:uid="{00000000-0005-0000-0000-0000B9790000}"/>
    <cellStyle name="Output 17 2 10 4" xfId="31164" xr:uid="{00000000-0005-0000-0000-0000BA790000}"/>
    <cellStyle name="Output 17 2 11" xfId="31165" xr:uid="{00000000-0005-0000-0000-0000BB790000}"/>
    <cellStyle name="Output 17 2 11 2" xfId="31166" xr:uid="{00000000-0005-0000-0000-0000BC790000}"/>
    <cellStyle name="Output 17 2 11 2 2" xfId="31167" xr:uid="{00000000-0005-0000-0000-0000BD790000}"/>
    <cellStyle name="Output 17 2 11 2 3" xfId="31168" xr:uid="{00000000-0005-0000-0000-0000BE790000}"/>
    <cellStyle name="Output 17 2 11 3" xfId="31169" xr:uid="{00000000-0005-0000-0000-0000BF790000}"/>
    <cellStyle name="Output 17 2 11 4" xfId="31170" xr:uid="{00000000-0005-0000-0000-0000C0790000}"/>
    <cellStyle name="Output 17 2 12" xfId="31171" xr:uid="{00000000-0005-0000-0000-0000C1790000}"/>
    <cellStyle name="Output 17 2 12 2" xfId="31172" xr:uid="{00000000-0005-0000-0000-0000C2790000}"/>
    <cellStyle name="Output 17 2 12 2 2" xfId="31173" xr:uid="{00000000-0005-0000-0000-0000C3790000}"/>
    <cellStyle name="Output 17 2 12 2 3" xfId="31174" xr:uid="{00000000-0005-0000-0000-0000C4790000}"/>
    <cellStyle name="Output 17 2 12 3" xfId="31175" xr:uid="{00000000-0005-0000-0000-0000C5790000}"/>
    <cellStyle name="Output 17 2 12 4" xfId="31176" xr:uid="{00000000-0005-0000-0000-0000C6790000}"/>
    <cellStyle name="Output 17 2 13" xfId="31177" xr:uid="{00000000-0005-0000-0000-0000C7790000}"/>
    <cellStyle name="Output 17 2 13 2" xfId="31178" xr:uid="{00000000-0005-0000-0000-0000C8790000}"/>
    <cellStyle name="Output 17 2 13 2 2" xfId="31179" xr:uid="{00000000-0005-0000-0000-0000C9790000}"/>
    <cellStyle name="Output 17 2 13 2 3" xfId="31180" xr:uid="{00000000-0005-0000-0000-0000CA790000}"/>
    <cellStyle name="Output 17 2 13 3" xfId="31181" xr:uid="{00000000-0005-0000-0000-0000CB790000}"/>
    <cellStyle name="Output 17 2 13 4" xfId="31182" xr:uid="{00000000-0005-0000-0000-0000CC790000}"/>
    <cellStyle name="Output 17 2 14" xfId="31183" xr:uid="{00000000-0005-0000-0000-0000CD790000}"/>
    <cellStyle name="Output 17 2 14 2" xfId="31184" xr:uid="{00000000-0005-0000-0000-0000CE790000}"/>
    <cellStyle name="Output 17 2 14 2 2" xfId="31185" xr:uid="{00000000-0005-0000-0000-0000CF790000}"/>
    <cellStyle name="Output 17 2 14 2 3" xfId="31186" xr:uid="{00000000-0005-0000-0000-0000D0790000}"/>
    <cellStyle name="Output 17 2 14 3" xfId="31187" xr:uid="{00000000-0005-0000-0000-0000D1790000}"/>
    <cellStyle name="Output 17 2 14 4" xfId="31188" xr:uid="{00000000-0005-0000-0000-0000D2790000}"/>
    <cellStyle name="Output 17 2 15" xfId="31189" xr:uid="{00000000-0005-0000-0000-0000D3790000}"/>
    <cellStyle name="Output 17 2 15 2" xfId="31190" xr:uid="{00000000-0005-0000-0000-0000D4790000}"/>
    <cellStyle name="Output 17 2 15 2 2" xfId="31191" xr:uid="{00000000-0005-0000-0000-0000D5790000}"/>
    <cellStyle name="Output 17 2 15 2 3" xfId="31192" xr:uid="{00000000-0005-0000-0000-0000D6790000}"/>
    <cellStyle name="Output 17 2 15 3" xfId="31193" xr:uid="{00000000-0005-0000-0000-0000D7790000}"/>
    <cellStyle name="Output 17 2 15 4" xfId="31194" xr:uid="{00000000-0005-0000-0000-0000D8790000}"/>
    <cellStyle name="Output 17 2 16" xfId="31195" xr:uid="{00000000-0005-0000-0000-0000D9790000}"/>
    <cellStyle name="Output 17 2 16 2" xfId="31196" xr:uid="{00000000-0005-0000-0000-0000DA790000}"/>
    <cellStyle name="Output 17 2 16 2 2" xfId="31197" xr:uid="{00000000-0005-0000-0000-0000DB790000}"/>
    <cellStyle name="Output 17 2 16 2 3" xfId="31198" xr:uid="{00000000-0005-0000-0000-0000DC790000}"/>
    <cellStyle name="Output 17 2 16 3" xfId="31199" xr:uid="{00000000-0005-0000-0000-0000DD790000}"/>
    <cellStyle name="Output 17 2 16 4" xfId="31200" xr:uid="{00000000-0005-0000-0000-0000DE790000}"/>
    <cellStyle name="Output 17 2 17" xfId="31201" xr:uid="{00000000-0005-0000-0000-0000DF790000}"/>
    <cellStyle name="Output 17 2 17 2" xfId="31202" xr:uid="{00000000-0005-0000-0000-0000E0790000}"/>
    <cellStyle name="Output 17 2 17 2 2" xfId="31203" xr:uid="{00000000-0005-0000-0000-0000E1790000}"/>
    <cellStyle name="Output 17 2 17 2 3" xfId="31204" xr:uid="{00000000-0005-0000-0000-0000E2790000}"/>
    <cellStyle name="Output 17 2 17 3" xfId="31205" xr:uid="{00000000-0005-0000-0000-0000E3790000}"/>
    <cellStyle name="Output 17 2 17 4" xfId="31206" xr:uid="{00000000-0005-0000-0000-0000E4790000}"/>
    <cellStyle name="Output 17 2 18" xfId="31207" xr:uid="{00000000-0005-0000-0000-0000E5790000}"/>
    <cellStyle name="Output 17 2 18 2" xfId="31208" xr:uid="{00000000-0005-0000-0000-0000E6790000}"/>
    <cellStyle name="Output 17 2 18 3" xfId="31209" xr:uid="{00000000-0005-0000-0000-0000E7790000}"/>
    <cellStyle name="Output 17 2 18 4" xfId="31210" xr:uid="{00000000-0005-0000-0000-0000E8790000}"/>
    <cellStyle name="Output 17 2 19" xfId="31211" xr:uid="{00000000-0005-0000-0000-0000E9790000}"/>
    <cellStyle name="Output 17 2 2" xfId="31212" xr:uid="{00000000-0005-0000-0000-0000EA790000}"/>
    <cellStyle name="Output 17 2 2 2" xfId="31213" xr:uid="{00000000-0005-0000-0000-0000EB790000}"/>
    <cellStyle name="Output 17 2 2 2 2" xfId="31214" xr:uid="{00000000-0005-0000-0000-0000EC790000}"/>
    <cellStyle name="Output 17 2 2 2 3" xfId="31215" xr:uid="{00000000-0005-0000-0000-0000ED790000}"/>
    <cellStyle name="Output 17 2 2 3" xfId="31216" xr:uid="{00000000-0005-0000-0000-0000EE790000}"/>
    <cellStyle name="Output 17 2 2 4" xfId="31217" xr:uid="{00000000-0005-0000-0000-0000EF790000}"/>
    <cellStyle name="Output 17 2 20" xfId="31218" xr:uid="{00000000-0005-0000-0000-0000F0790000}"/>
    <cellStyle name="Output 17 2 21" xfId="31219" xr:uid="{00000000-0005-0000-0000-0000F1790000}"/>
    <cellStyle name="Output 17 2 3" xfId="31220" xr:uid="{00000000-0005-0000-0000-0000F2790000}"/>
    <cellStyle name="Output 17 2 3 2" xfId="31221" xr:uid="{00000000-0005-0000-0000-0000F3790000}"/>
    <cellStyle name="Output 17 2 3 2 2" xfId="31222" xr:uid="{00000000-0005-0000-0000-0000F4790000}"/>
    <cellStyle name="Output 17 2 3 2 3" xfId="31223" xr:uid="{00000000-0005-0000-0000-0000F5790000}"/>
    <cellStyle name="Output 17 2 3 3" xfId="31224" xr:uid="{00000000-0005-0000-0000-0000F6790000}"/>
    <cellStyle name="Output 17 2 3 4" xfId="31225" xr:uid="{00000000-0005-0000-0000-0000F7790000}"/>
    <cellStyle name="Output 17 2 4" xfId="31226" xr:uid="{00000000-0005-0000-0000-0000F8790000}"/>
    <cellStyle name="Output 17 2 4 2" xfId="31227" xr:uid="{00000000-0005-0000-0000-0000F9790000}"/>
    <cellStyle name="Output 17 2 4 2 2" xfId="31228" xr:uid="{00000000-0005-0000-0000-0000FA790000}"/>
    <cellStyle name="Output 17 2 4 2 3" xfId="31229" xr:uid="{00000000-0005-0000-0000-0000FB790000}"/>
    <cellStyle name="Output 17 2 4 3" xfId="31230" xr:uid="{00000000-0005-0000-0000-0000FC790000}"/>
    <cellStyle name="Output 17 2 4 4" xfId="31231" xr:uid="{00000000-0005-0000-0000-0000FD790000}"/>
    <cellStyle name="Output 17 2 5" xfId="31232" xr:uid="{00000000-0005-0000-0000-0000FE790000}"/>
    <cellStyle name="Output 17 2 5 2" xfId="31233" xr:uid="{00000000-0005-0000-0000-0000FF790000}"/>
    <cellStyle name="Output 17 2 5 2 2" xfId="31234" xr:uid="{00000000-0005-0000-0000-0000007A0000}"/>
    <cellStyle name="Output 17 2 5 2 3" xfId="31235" xr:uid="{00000000-0005-0000-0000-0000017A0000}"/>
    <cellStyle name="Output 17 2 5 3" xfId="31236" xr:uid="{00000000-0005-0000-0000-0000027A0000}"/>
    <cellStyle name="Output 17 2 5 4" xfId="31237" xr:uid="{00000000-0005-0000-0000-0000037A0000}"/>
    <cellStyle name="Output 17 2 6" xfId="31238" xr:uid="{00000000-0005-0000-0000-0000047A0000}"/>
    <cellStyle name="Output 17 2 6 2" xfId="31239" xr:uid="{00000000-0005-0000-0000-0000057A0000}"/>
    <cellStyle name="Output 17 2 6 2 2" xfId="31240" xr:uid="{00000000-0005-0000-0000-0000067A0000}"/>
    <cellStyle name="Output 17 2 6 2 3" xfId="31241" xr:uid="{00000000-0005-0000-0000-0000077A0000}"/>
    <cellStyle name="Output 17 2 6 3" xfId="31242" xr:uid="{00000000-0005-0000-0000-0000087A0000}"/>
    <cellStyle name="Output 17 2 6 4" xfId="31243" xr:uid="{00000000-0005-0000-0000-0000097A0000}"/>
    <cellStyle name="Output 17 2 7" xfId="31244" xr:uid="{00000000-0005-0000-0000-00000A7A0000}"/>
    <cellStyle name="Output 17 2 7 2" xfId="31245" xr:uid="{00000000-0005-0000-0000-00000B7A0000}"/>
    <cellStyle name="Output 17 2 7 2 2" xfId="31246" xr:uid="{00000000-0005-0000-0000-00000C7A0000}"/>
    <cellStyle name="Output 17 2 7 2 3" xfId="31247" xr:uid="{00000000-0005-0000-0000-00000D7A0000}"/>
    <cellStyle name="Output 17 2 7 3" xfId="31248" xr:uid="{00000000-0005-0000-0000-00000E7A0000}"/>
    <cellStyle name="Output 17 2 7 4" xfId="31249" xr:uid="{00000000-0005-0000-0000-00000F7A0000}"/>
    <cellStyle name="Output 17 2 8" xfId="31250" xr:uid="{00000000-0005-0000-0000-0000107A0000}"/>
    <cellStyle name="Output 17 2 8 2" xfId="31251" xr:uid="{00000000-0005-0000-0000-0000117A0000}"/>
    <cellStyle name="Output 17 2 8 2 2" xfId="31252" xr:uid="{00000000-0005-0000-0000-0000127A0000}"/>
    <cellStyle name="Output 17 2 8 2 3" xfId="31253" xr:uid="{00000000-0005-0000-0000-0000137A0000}"/>
    <cellStyle name="Output 17 2 8 3" xfId="31254" xr:uid="{00000000-0005-0000-0000-0000147A0000}"/>
    <cellStyle name="Output 17 2 8 4" xfId="31255" xr:uid="{00000000-0005-0000-0000-0000157A0000}"/>
    <cellStyle name="Output 17 2 9" xfId="31256" xr:uid="{00000000-0005-0000-0000-0000167A0000}"/>
    <cellStyle name="Output 17 2 9 2" xfId="31257" xr:uid="{00000000-0005-0000-0000-0000177A0000}"/>
    <cellStyle name="Output 17 2 9 2 2" xfId="31258" xr:uid="{00000000-0005-0000-0000-0000187A0000}"/>
    <cellStyle name="Output 17 2 9 2 3" xfId="31259" xr:uid="{00000000-0005-0000-0000-0000197A0000}"/>
    <cellStyle name="Output 17 2 9 3" xfId="31260" xr:uid="{00000000-0005-0000-0000-00001A7A0000}"/>
    <cellStyle name="Output 17 2 9 4" xfId="31261" xr:uid="{00000000-0005-0000-0000-00001B7A0000}"/>
    <cellStyle name="Output 17 3" xfId="31262" xr:uid="{00000000-0005-0000-0000-00001C7A0000}"/>
    <cellStyle name="Output 17 3 2" xfId="31263" xr:uid="{00000000-0005-0000-0000-00001D7A0000}"/>
    <cellStyle name="Output 17 3 2 2" xfId="31264" xr:uid="{00000000-0005-0000-0000-00001E7A0000}"/>
    <cellStyle name="Output 17 3 2 3" xfId="31265" xr:uid="{00000000-0005-0000-0000-00001F7A0000}"/>
    <cellStyle name="Output 17 3 3" xfId="31266" xr:uid="{00000000-0005-0000-0000-0000207A0000}"/>
    <cellStyle name="Output 17 3 4" xfId="31267" xr:uid="{00000000-0005-0000-0000-0000217A0000}"/>
    <cellStyle name="Output 17 4" xfId="31268" xr:uid="{00000000-0005-0000-0000-0000227A0000}"/>
    <cellStyle name="Output 17 5" xfId="31269" xr:uid="{00000000-0005-0000-0000-0000237A0000}"/>
    <cellStyle name="Output 18" xfId="31270" xr:uid="{00000000-0005-0000-0000-0000247A0000}"/>
    <cellStyle name="Output 18 2" xfId="31271" xr:uid="{00000000-0005-0000-0000-0000257A0000}"/>
    <cellStyle name="Output 18 2 10" xfId="31272" xr:uid="{00000000-0005-0000-0000-0000267A0000}"/>
    <cellStyle name="Output 18 2 10 2" xfId="31273" xr:uid="{00000000-0005-0000-0000-0000277A0000}"/>
    <cellStyle name="Output 18 2 10 2 2" xfId="31274" xr:uid="{00000000-0005-0000-0000-0000287A0000}"/>
    <cellStyle name="Output 18 2 10 2 3" xfId="31275" xr:uid="{00000000-0005-0000-0000-0000297A0000}"/>
    <cellStyle name="Output 18 2 10 3" xfId="31276" xr:uid="{00000000-0005-0000-0000-00002A7A0000}"/>
    <cellStyle name="Output 18 2 10 4" xfId="31277" xr:uid="{00000000-0005-0000-0000-00002B7A0000}"/>
    <cellStyle name="Output 18 2 11" xfId="31278" xr:uid="{00000000-0005-0000-0000-00002C7A0000}"/>
    <cellStyle name="Output 18 2 11 2" xfId="31279" xr:uid="{00000000-0005-0000-0000-00002D7A0000}"/>
    <cellStyle name="Output 18 2 11 2 2" xfId="31280" xr:uid="{00000000-0005-0000-0000-00002E7A0000}"/>
    <cellStyle name="Output 18 2 11 2 3" xfId="31281" xr:uid="{00000000-0005-0000-0000-00002F7A0000}"/>
    <cellStyle name="Output 18 2 11 3" xfId="31282" xr:uid="{00000000-0005-0000-0000-0000307A0000}"/>
    <cellStyle name="Output 18 2 11 4" xfId="31283" xr:uid="{00000000-0005-0000-0000-0000317A0000}"/>
    <cellStyle name="Output 18 2 12" xfId="31284" xr:uid="{00000000-0005-0000-0000-0000327A0000}"/>
    <cellStyle name="Output 18 2 12 2" xfId="31285" xr:uid="{00000000-0005-0000-0000-0000337A0000}"/>
    <cellStyle name="Output 18 2 12 2 2" xfId="31286" xr:uid="{00000000-0005-0000-0000-0000347A0000}"/>
    <cellStyle name="Output 18 2 12 2 3" xfId="31287" xr:uid="{00000000-0005-0000-0000-0000357A0000}"/>
    <cellStyle name="Output 18 2 12 3" xfId="31288" xr:uid="{00000000-0005-0000-0000-0000367A0000}"/>
    <cellStyle name="Output 18 2 12 4" xfId="31289" xr:uid="{00000000-0005-0000-0000-0000377A0000}"/>
    <cellStyle name="Output 18 2 13" xfId="31290" xr:uid="{00000000-0005-0000-0000-0000387A0000}"/>
    <cellStyle name="Output 18 2 13 2" xfId="31291" xr:uid="{00000000-0005-0000-0000-0000397A0000}"/>
    <cellStyle name="Output 18 2 13 2 2" xfId="31292" xr:uid="{00000000-0005-0000-0000-00003A7A0000}"/>
    <cellStyle name="Output 18 2 13 2 3" xfId="31293" xr:uid="{00000000-0005-0000-0000-00003B7A0000}"/>
    <cellStyle name="Output 18 2 13 3" xfId="31294" xr:uid="{00000000-0005-0000-0000-00003C7A0000}"/>
    <cellStyle name="Output 18 2 13 4" xfId="31295" xr:uid="{00000000-0005-0000-0000-00003D7A0000}"/>
    <cellStyle name="Output 18 2 14" xfId="31296" xr:uid="{00000000-0005-0000-0000-00003E7A0000}"/>
    <cellStyle name="Output 18 2 14 2" xfId="31297" xr:uid="{00000000-0005-0000-0000-00003F7A0000}"/>
    <cellStyle name="Output 18 2 14 2 2" xfId="31298" xr:uid="{00000000-0005-0000-0000-0000407A0000}"/>
    <cellStyle name="Output 18 2 14 2 3" xfId="31299" xr:uid="{00000000-0005-0000-0000-0000417A0000}"/>
    <cellStyle name="Output 18 2 14 3" xfId="31300" xr:uid="{00000000-0005-0000-0000-0000427A0000}"/>
    <cellStyle name="Output 18 2 14 4" xfId="31301" xr:uid="{00000000-0005-0000-0000-0000437A0000}"/>
    <cellStyle name="Output 18 2 15" xfId="31302" xr:uid="{00000000-0005-0000-0000-0000447A0000}"/>
    <cellStyle name="Output 18 2 15 2" xfId="31303" xr:uid="{00000000-0005-0000-0000-0000457A0000}"/>
    <cellStyle name="Output 18 2 15 2 2" xfId="31304" xr:uid="{00000000-0005-0000-0000-0000467A0000}"/>
    <cellStyle name="Output 18 2 15 2 3" xfId="31305" xr:uid="{00000000-0005-0000-0000-0000477A0000}"/>
    <cellStyle name="Output 18 2 15 3" xfId="31306" xr:uid="{00000000-0005-0000-0000-0000487A0000}"/>
    <cellStyle name="Output 18 2 15 4" xfId="31307" xr:uid="{00000000-0005-0000-0000-0000497A0000}"/>
    <cellStyle name="Output 18 2 16" xfId="31308" xr:uid="{00000000-0005-0000-0000-00004A7A0000}"/>
    <cellStyle name="Output 18 2 16 2" xfId="31309" xr:uid="{00000000-0005-0000-0000-00004B7A0000}"/>
    <cellStyle name="Output 18 2 16 2 2" xfId="31310" xr:uid="{00000000-0005-0000-0000-00004C7A0000}"/>
    <cellStyle name="Output 18 2 16 2 3" xfId="31311" xr:uid="{00000000-0005-0000-0000-00004D7A0000}"/>
    <cellStyle name="Output 18 2 16 3" xfId="31312" xr:uid="{00000000-0005-0000-0000-00004E7A0000}"/>
    <cellStyle name="Output 18 2 16 4" xfId="31313" xr:uid="{00000000-0005-0000-0000-00004F7A0000}"/>
    <cellStyle name="Output 18 2 17" xfId="31314" xr:uid="{00000000-0005-0000-0000-0000507A0000}"/>
    <cellStyle name="Output 18 2 17 2" xfId="31315" xr:uid="{00000000-0005-0000-0000-0000517A0000}"/>
    <cellStyle name="Output 18 2 17 2 2" xfId="31316" xr:uid="{00000000-0005-0000-0000-0000527A0000}"/>
    <cellStyle name="Output 18 2 17 2 3" xfId="31317" xr:uid="{00000000-0005-0000-0000-0000537A0000}"/>
    <cellStyle name="Output 18 2 17 3" xfId="31318" xr:uid="{00000000-0005-0000-0000-0000547A0000}"/>
    <cellStyle name="Output 18 2 17 4" xfId="31319" xr:uid="{00000000-0005-0000-0000-0000557A0000}"/>
    <cellStyle name="Output 18 2 18" xfId="31320" xr:uid="{00000000-0005-0000-0000-0000567A0000}"/>
    <cellStyle name="Output 18 2 18 2" xfId="31321" xr:uid="{00000000-0005-0000-0000-0000577A0000}"/>
    <cellStyle name="Output 18 2 18 3" xfId="31322" xr:uid="{00000000-0005-0000-0000-0000587A0000}"/>
    <cellStyle name="Output 18 2 18 4" xfId="31323" xr:uid="{00000000-0005-0000-0000-0000597A0000}"/>
    <cellStyle name="Output 18 2 19" xfId="31324" xr:uid="{00000000-0005-0000-0000-00005A7A0000}"/>
    <cellStyle name="Output 18 2 2" xfId="31325" xr:uid="{00000000-0005-0000-0000-00005B7A0000}"/>
    <cellStyle name="Output 18 2 2 2" xfId="31326" xr:uid="{00000000-0005-0000-0000-00005C7A0000}"/>
    <cellStyle name="Output 18 2 2 2 2" xfId="31327" xr:uid="{00000000-0005-0000-0000-00005D7A0000}"/>
    <cellStyle name="Output 18 2 2 2 3" xfId="31328" xr:uid="{00000000-0005-0000-0000-00005E7A0000}"/>
    <cellStyle name="Output 18 2 2 3" xfId="31329" xr:uid="{00000000-0005-0000-0000-00005F7A0000}"/>
    <cellStyle name="Output 18 2 2 4" xfId="31330" xr:uid="{00000000-0005-0000-0000-0000607A0000}"/>
    <cellStyle name="Output 18 2 20" xfId="31331" xr:uid="{00000000-0005-0000-0000-0000617A0000}"/>
    <cellStyle name="Output 18 2 21" xfId="31332" xr:uid="{00000000-0005-0000-0000-0000627A0000}"/>
    <cellStyle name="Output 18 2 3" xfId="31333" xr:uid="{00000000-0005-0000-0000-0000637A0000}"/>
    <cellStyle name="Output 18 2 3 2" xfId="31334" xr:uid="{00000000-0005-0000-0000-0000647A0000}"/>
    <cellStyle name="Output 18 2 3 2 2" xfId="31335" xr:uid="{00000000-0005-0000-0000-0000657A0000}"/>
    <cellStyle name="Output 18 2 3 2 3" xfId="31336" xr:uid="{00000000-0005-0000-0000-0000667A0000}"/>
    <cellStyle name="Output 18 2 3 3" xfId="31337" xr:uid="{00000000-0005-0000-0000-0000677A0000}"/>
    <cellStyle name="Output 18 2 3 4" xfId="31338" xr:uid="{00000000-0005-0000-0000-0000687A0000}"/>
    <cellStyle name="Output 18 2 4" xfId="31339" xr:uid="{00000000-0005-0000-0000-0000697A0000}"/>
    <cellStyle name="Output 18 2 4 2" xfId="31340" xr:uid="{00000000-0005-0000-0000-00006A7A0000}"/>
    <cellStyle name="Output 18 2 4 2 2" xfId="31341" xr:uid="{00000000-0005-0000-0000-00006B7A0000}"/>
    <cellStyle name="Output 18 2 4 2 3" xfId="31342" xr:uid="{00000000-0005-0000-0000-00006C7A0000}"/>
    <cellStyle name="Output 18 2 4 3" xfId="31343" xr:uid="{00000000-0005-0000-0000-00006D7A0000}"/>
    <cellStyle name="Output 18 2 4 4" xfId="31344" xr:uid="{00000000-0005-0000-0000-00006E7A0000}"/>
    <cellStyle name="Output 18 2 5" xfId="31345" xr:uid="{00000000-0005-0000-0000-00006F7A0000}"/>
    <cellStyle name="Output 18 2 5 2" xfId="31346" xr:uid="{00000000-0005-0000-0000-0000707A0000}"/>
    <cellStyle name="Output 18 2 5 2 2" xfId="31347" xr:uid="{00000000-0005-0000-0000-0000717A0000}"/>
    <cellStyle name="Output 18 2 5 2 3" xfId="31348" xr:uid="{00000000-0005-0000-0000-0000727A0000}"/>
    <cellStyle name="Output 18 2 5 3" xfId="31349" xr:uid="{00000000-0005-0000-0000-0000737A0000}"/>
    <cellStyle name="Output 18 2 5 4" xfId="31350" xr:uid="{00000000-0005-0000-0000-0000747A0000}"/>
    <cellStyle name="Output 18 2 6" xfId="31351" xr:uid="{00000000-0005-0000-0000-0000757A0000}"/>
    <cellStyle name="Output 18 2 6 2" xfId="31352" xr:uid="{00000000-0005-0000-0000-0000767A0000}"/>
    <cellStyle name="Output 18 2 6 2 2" xfId="31353" xr:uid="{00000000-0005-0000-0000-0000777A0000}"/>
    <cellStyle name="Output 18 2 6 2 3" xfId="31354" xr:uid="{00000000-0005-0000-0000-0000787A0000}"/>
    <cellStyle name="Output 18 2 6 3" xfId="31355" xr:uid="{00000000-0005-0000-0000-0000797A0000}"/>
    <cellStyle name="Output 18 2 6 4" xfId="31356" xr:uid="{00000000-0005-0000-0000-00007A7A0000}"/>
    <cellStyle name="Output 18 2 7" xfId="31357" xr:uid="{00000000-0005-0000-0000-00007B7A0000}"/>
    <cellStyle name="Output 18 2 7 2" xfId="31358" xr:uid="{00000000-0005-0000-0000-00007C7A0000}"/>
    <cellStyle name="Output 18 2 7 2 2" xfId="31359" xr:uid="{00000000-0005-0000-0000-00007D7A0000}"/>
    <cellStyle name="Output 18 2 7 2 3" xfId="31360" xr:uid="{00000000-0005-0000-0000-00007E7A0000}"/>
    <cellStyle name="Output 18 2 7 3" xfId="31361" xr:uid="{00000000-0005-0000-0000-00007F7A0000}"/>
    <cellStyle name="Output 18 2 7 4" xfId="31362" xr:uid="{00000000-0005-0000-0000-0000807A0000}"/>
    <cellStyle name="Output 18 2 8" xfId="31363" xr:uid="{00000000-0005-0000-0000-0000817A0000}"/>
    <cellStyle name="Output 18 2 8 2" xfId="31364" xr:uid="{00000000-0005-0000-0000-0000827A0000}"/>
    <cellStyle name="Output 18 2 8 2 2" xfId="31365" xr:uid="{00000000-0005-0000-0000-0000837A0000}"/>
    <cellStyle name="Output 18 2 8 2 3" xfId="31366" xr:uid="{00000000-0005-0000-0000-0000847A0000}"/>
    <cellStyle name="Output 18 2 8 3" xfId="31367" xr:uid="{00000000-0005-0000-0000-0000857A0000}"/>
    <cellStyle name="Output 18 2 8 4" xfId="31368" xr:uid="{00000000-0005-0000-0000-0000867A0000}"/>
    <cellStyle name="Output 18 2 9" xfId="31369" xr:uid="{00000000-0005-0000-0000-0000877A0000}"/>
    <cellStyle name="Output 18 2 9 2" xfId="31370" xr:uid="{00000000-0005-0000-0000-0000887A0000}"/>
    <cellStyle name="Output 18 2 9 2 2" xfId="31371" xr:uid="{00000000-0005-0000-0000-0000897A0000}"/>
    <cellStyle name="Output 18 2 9 2 3" xfId="31372" xr:uid="{00000000-0005-0000-0000-00008A7A0000}"/>
    <cellStyle name="Output 18 2 9 3" xfId="31373" xr:uid="{00000000-0005-0000-0000-00008B7A0000}"/>
    <cellStyle name="Output 18 2 9 4" xfId="31374" xr:uid="{00000000-0005-0000-0000-00008C7A0000}"/>
    <cellStyle name="Output 18 3" xfId="31375" xr:uid="{00000000-0005-0000-0000-00008D7A0000}"/>
    <cellStyle name="Output 18 3 2" xfId="31376" xr:uid="{00000000-0005-0000-0000-00008E7A0000}"/>
    <cellStyle name="Output 18 3 2 2" xfId="31377" xr:uid="{00000000-0005-0000-0000-00008F7A0000}"/>
    <cellStyle name="Output 18 3 2 3" xfId="31378" xr:uid="{00000000-0005-0000-0000-0000907A0000}"/>
    <cellStyle name="Output 18 3 3" xfId="31379" xr:uid="{00000000-0005-0000-0000-0000917A0000}"/>
    <cellStyle name="Output 18 3 4" xfId="31380" xr:uid="{00000000-0005-0000-0000-0000927A0000}"/>
    <cellStyle name="Output 18 4" xfId="31381" xr:uid="{00000000-0005-0000-0000-0000937A0000}"/>
    <cellStyle name="Output 18 5" xfId="31382" xr:uid="{00000000-0005-0000-0000-0000947A0000}"/>
    <cellStyle name="Output 19" xfId="31383" xr:uid="{00000000-0005-0000-0000-0000957A0000}"/>
    <cellStyle name="Output 19 2" xfId="31384" xr:uid="{00000000-0005-0000-0000-0000967A0000}"/>
    <cellStyle name="Output 19 2 10" xfId="31385" xr:uid="{00000000-0005-0000-0000-0000977A0000}"/>
    <cellStyle name="Output 19 2 10 2" xfId="31386" xr:uid="{00000000-0005-0000-0000-0000987A0000}"/>
    <cellStyle name="Output 19 2 10 2 2" xfId="31387" xr:uid="{00000000-0005-0000-0000-0000997A0000}"/>
    <cellStyle name="Output 19 2 10 2 3" xfId="31388" xr:uid="{00000000-0005-0000-0000-00009A7A0000}"/>
    <cellStyle name="Output 19 2 10 3" xfId="31389" xr:uid="{00000000-0005-0000-0000-00009B7A0000}"/>
    <cellStyle name="Output 19 2 10 4" xfId="31390" xr:uid="{00000000-0005-0000-0000-00009C7A0000}"/>
    <cellStyle name="Output 19 2 11" xfId="31391" xr:uid="{00000000-0005-0000-0000-00009D7A0000}"/>
    <cellStyle name="Output 19 2 11 2" xfId="31392" xr:uid="{00000000-0005-0000-0000-00009E7A0000}"/>
    <cellStyle name="Output 19 2 11 2 2" xfId="31393" xr:uid="{00000000-0005-0000-0000-00009F7A0000}"/>
    <cellStyle name="Output 19 2 11 2 3" xfId="31394" xr:uid="{00000000-0005-0000-0000-0000A07A0000}"/>
    <cellStyle name="Output 19 2 11 3" xfId="31395" xr:uid="{00000000-0005-0000-0000-0000A17A0000}"/>
    <cellStyle name="Output 19 2 11 4" xfId="31396" xr:uid="{00000000-0005-0000-0000-0000A27A0000}"/>
    <cellStyle name="Output 19 2 12" xfId="31397" xr:uid="{00000000-0005-0000-0000-0000A37A0000}"/>
    <cellStyle name="Output 19 2 12 2" xfId="31398" xr:uid="{00000000-0005-0000-0000-0000A47A0000}"/>
    <cellStyle name="Output 19 2 12 2 2" xfId="31399" xr:uid="{00000000-0005-0000-0000-0000A57A0000}"/>
    <cellStyle name="Output 19 2 12 2 3" xfId="31400" xr:uid="{00000000-0005-0000-0000-0000A67A0000}"/>
    <cellStyle name="Output 19 2 12 3" xfId="31401" xr:uid="{00000000-0005-0000-0000-0000A77A0000}"/>
    <cellStyle name="Output 19 2 12 4" xfId="31402" xr:uid="{00000000-0005-0000-0000-0000A87A0000}"/>
    <cellStyle name="Output 19 2 13" xfId="31403" xr:uid="{00000000-0005-0000-0000-0000A97A0000}"/>
    <cellStyle name="Output 19 2 13 2" xfId="31404" xr:uid="{00000000-0005-0000-0000-0000AA7A0000}"/>
    <cellStyle name="Output 19 2 13 2 2" xfId="31405" xr:uid="{00000000-0005-0000-0000-0000AB7A0000}"/>
    <cellStyle name="Output 19 2 13 2 3" xfId="31406" xr:uid="{00000000-0005-0000-0000-0000AC7A0000}"/>
    <cellStyle name="Output 19 2 13 3" xfId="31407" xr:uid="{00000000-0005-0000-0000-0000AD7A0000}"/>
    <cellStyle name="Output 19 2 13 4" xfId="31408" xr:uid="{00000000-0005-0000-0000-0000AE7A0000}"/>
    <cellStyle name="Output 19 2 14" xfId="31409" xr:uid="{00000000-0005-0000-0000-0000AF7A0000}"/>
    <cellStyle name="Output 19 2 14 2" xfId="31410" xr:uid="{00000000-0005-0000-0000-0000B07A0000}"/>
    <cellStyle name="Output 19 2 14 2 2" xfId="31411" xr:uid="{00000000-0005-0000-0000-0000B17A0000}"/>
    <cellStyle name="Output 19 2 14 2 3" xfId="31412" xr:uid="{00000000-0005-0000-0000-0000B27A0000}"/>
    <cellStyle name="Output 19 2 14 3" xfId="31413" xr:uid="{00000000-0005-0000-0000-0000B37A0000}"/>
    <cellStyle name="Output 19 2 14 4" xfId="31414" xr:uid="{00000000-0005-0000-0000-0000B47A0000}"/>
    <cellStyle name="Output 19 2 15" xfId="31415" xr:uid="{00000000-0005-0000-0000-0000B57A0000}"/>
    <cellStyle name="Output 19 2 15 2" xfId="31416" xr:uid="{00000000-0005-0000-0000-0000B67A0000}"/>
    <cellStyle name="Output 19 2 15 2 2" xfId="31417" xr:uid="{00000000-0005-0000-0000-0000B77A0000}"/>
    <cellStyle name="Output 19 2 15 2 3" xfId="31418" xr:uid="{00000000-0005-0000-0000-0000B87A0000}"/>
    <cellStyle name="Output 19 2 15 3" xfId="31419" xr:uid="{00000000-0005-0000-0000-0000B97A0000}"/>
    <cellStyle name="Output 19 2 15 4" xfId="31420" xr:uid="{00000000-0005-0000-0000-0000BA7A0000}"/>
    <cellStyle name="Output 19 2 16" xfId="31421" xr:uid="{00000000-0005-0000-0000-0000BB7A0000}"/>
    <cellStyle name="Output 19 2 16 2" xfId="31422" xr:uid="{00000000-0005-0000-0000-0000BC7A0000}"/>
    <cellStyle name="Output 19 2 16 2 2" xfId="31423" xr:uid="{00000000-0005-0000-0000-0000BD7A0000}"/>
    <cellStyle name="Output 19 2 16 2 3" xfId="31424" xr:uid="{00000000-0005-0000-0000-0000BE7A0000}"/>
    <cellStyle name="Output 19 2 16 3" xfId="31425" xr:uid="{00000000-0005-0000-0000-0000BF7A0000}"/>
    <cellStyle name="Output 19 2 16 4" xfId="31426" xr:uid="{00000000-0005-0000-0000-0000C07A0000}"/>
    <cellStyle name="Output 19 2 17" xfId="31427" xr:uid="{00000000-0005-0000-0000-0000C17A0000}"/>
    <cellStyle name="Output 19 2 17 2" xfId="31428" xr:uid="{00000000-0005-0000-0000-0000C27A0000}"/>
    <cellStyle name="Output 19 2 17 2 2" xfId="31429" xr:uid="{00000000-0005-0000-0000-0000C37A0000}"/>
    <cellStyle name="Output 19 2 17 2 3" xfId="31430" xr:uid="{00000000-0005-0000-0000-0000C47A0000}"/>
    <cellStyle name="Output 19 2 17 3" xfId="31431" xr:uid="{00000000-0005-0000-0000-0000C57A0000}"/>
    <cellStyle name="Output 19 2 17 4" xfId="31432" xr:uid="{00000000-0005-0000-0000-0000C67A0000}"/>
    <cellStyle name="Output 19 2 18" xfId="31433" xr:uid="{00000000-0005-0000-0000-0000C77A0000}"/>
    <cellStyle name="Output 19 2 18 2" xfId="31434" xr:uid="{00000000-0005-0000-0000-0000C87A0000}"/>
    <cellStyle name="Output 19 2 18 3" xfId="31435" xr:uid="{00000000-0005-0000-0000-0000C97A0000}"/>
    <cellStyle name="Output 19 2 18 4" xfId="31436" xr:uid="{00000000-0005-0000-0000-0000CA7A0000}"/>
    <cellStyle name="Output 19 2 19" xfId="31437" xr:uid="{00000000-0005-0000-0000-0000CB7A0000}"/>
    <cellStyle name="Output 19 2 2" xfId="31438" xr:uid="{00000000-0005-0000-0000-0000CC7A0000}"/>
    <cellStyle name="Output 19 2 2 2" xfId="31439" xr:uid="{00000000-0005-0000-0000-0000CD7A0000}"/>
    <cellStyle name="Output 19 2 2 2 2" xfId="31440" xr:uid="{00000000-0005-0000-0000-0000CE7A0000}"/>
    <cellStyle name="Output 19 2 2 2 3" xfId="31441" xr:uid="{00000000-0005-0000-0000-0000CF7A0000}"/>
    <cellStyle name="Output 19 2 2 3" xfId="31442" xr:uid="{00000000-0005-0000-0000-0000D07A0000}"/>
    <cellStyle name="Output 19 2 2 4" xfId="31443" xr:uid="{00000000-0005-0000-0000-0000D17A0000}"/>
    <cellStyle name="Output 19 2 20" xfId="31444" xr:uid="{00000000-0005-0000-0000-0000D27A0000}"/>
    <cellStyle name="Output 19 2 21" xfId="31445" xr:uid="{00000000-0005-0000-0000-0000D37A0000}"/>
    <cellStyle name="Output 19 2 3" xfId="31446" xr:uid="{00000000-0005-0000-0000-0000D47A0000}"/>
    <cellStyle name="Output 19 2 3 2" xfId="31447" xr:uid="{00000000-0005-0000-0000-0000D57A0000}"/>
    <cellStyle name="Output 19 2 3 2 2" xfId="31448" xr:uid="{00000000-0005-0000-0000-0000D67A0000}"/>
    <cellStyle name="Output 19 2 3 2 3" xfId="31449" xr:uid="{00000000-0005-0000-0000-0000D77A0000}"/>
    <cellStyle name="Output 19 2 3 3" xfId="31450" xr:uid="{00000000-0005-0000-0000-0000D87A0000}"/>
    <cellStyle name="Output 19 2 3 4" xfId="31451" xr:uid="{00000000-0005-0000-0000-0000D97A0000}"/>
    <cellStyle name="Output 19 2 4" xfId="31452" xr:uid="{00000000-0005-0000-0000-0000DA7A0000}"/>
    <cellStyle name="Output 19 2 4 2" xfId="31453" xr:uid="{00000000-0005-0000-0000-0000DB7A0000}"/>
    <cellStyle name="Output 19 2 4 2 2" xfId="31454" xr:uid="{00000000-0005-0000-0000-0000DC7A0000}"/>
    <cellStyle name="Output 19 2 4 2 3" xfId="31455" xr:uid="{00000000-0005-0000-0000-0000DD7A0000}"/>
    <cellStyle name="Output 19 2 4 3" xfId="31456" xr:uid="{00000000-0005-0000-0000-0000DE7A0000}"/>
    <cellStyle name="Output 19 2 4 4" xfId="31457" xr:uid="{00000000-0005-0000-0000-0000DF7A0000}"/>
    <cellStyle name="Output 19 2 5" xfId="31458" xr:uid="{00000000-0005-0000-0000-0000E07A0000}"/>
    <cellStyle name="Output 19 2 5 2" xfId="31459" xr:uid="{00000000-0005-0000-0000-0000E17A0000}"/>
    <cellStyle name="Output 19 2 5 2 2" xfId="31460" xr:uid="{00000000-0005-0000-0000-0000E27A0000}"/>
    <cellStyle name="Output 19 2 5 2 3" xfId="31461" xr:uid="{00000000-0005-0000-0000-0000E37A0000}"/>
    <cellStyle name="Output 19 2 5 3" xfId="31462" xr:uid="{00000000-0005-0000-0000-0000E47A0000}"/>
    <cellStyle name="Output 19 2 5 4" xfId="31463" xr:uid="{00000000-0005-0000-0000-0000E57A0000}"/>
    <cellStyle name="Output 19 2 6" xfId="31464" xr:uid="{00000000-0005-0000-0000-0000E67A0000}"/>
    <cellStyle name="Output 19 2 6 2" xfId="31465" xr:uid="{00000000-0005-0000-0000-0000E77A0000}"/>
    <cellStyle name="Output 19 2 6 2 2" xfId="31466" xr:uid="{00000000-0005-0000-0000-0000E87A0000}"/>
    <cellStyle name="Output 19 2 6 2 3" xfId="31467" xr:uid="{00000000-0005-0000-0000-0000E97A0000}"/>
    <cellStyle name="Output 19 2 6 3" xfId="31468" xr:uid="{00000000-0005-0000-0000-0000EA7A0000}"/>
    <cellStyle name="Output 19 2 6 4" xfId="31469" xr:uid="{00000000-0005-0000-0000-0000EB7A0000}"/>
    <cellStyle name="Output 19 2 7" xfId="31470" xr:uid="{00000000-0005-0000-0000-0000EC7A0000}"/>
    <cellStyle name="Output 19 2 7 2" xfId="31471" xr:uid="{00000000-0005-0000-0000-0000ED7A0000}"/>
    <cellStyle name="Output 19 2 7 2 2" xfId="31472" xr:uid="{00000000-0005-0000-0000-0000EE7A0000}"/>
    <cellStyle name="Output 19 2 7 2 3" xfId="31473" xr:uid="{00000000-0005-0000-0000-0000EF7A0000}"/>
    <cellStyle name="Output 19 2 7 3" xfId="31474" xr:uid="{00000000-0005-0000-0000-0000F07A0000}"/>
    <cellStyle name="Output 19 2 7 4" xfId="31475" xr:uid="{00000000-0005-0000-0000-0000F17A0000}"/>
    <cellStyle name="Output 19 2 8" xfId="31476" xr:uid="{00000000-0005-0000-0000-0000F27A0000}"/>
    <cellStyle name="Output 19 2 8 2" xfId="31477" xr:uid="{00000000-0005-0000-0000-0000F37A0000}"/>
    <cellStyle name="Output 19 2 8 2 2" xfId="31478" xr:uid="{00000000-0005-0000-0000-0000F47A0000}"/>
    <cellStyle name="Output 19 2 8 2 3" xfId="31479" xr:uid="{00000000-0005-0000-0000-0000F57A0000}"/>
    <cellStyle name="Output 19 2 8 3" xfId="31480" xr:uid="{00000000-0005-0000-0000-0000F67A0000}"/>
    <cellStyle name="Output 19 2 8 4" xfId="31481" xr:uid="{00000000-0005-0000-0000-0000F77A0000}"/>
    <cellStyle name="Output 19 2 9" xfId="31482" xr:uid="{00000000-0005-0000-0000-0000F87A0000}"/>
    <cellStyle name="Output 19 2 9 2" xfId="31483" xr:uid="{00000000-0005-0000-0000-0000F97A0000}"/>
    <cellStyle name="Output 19 2 9 2 2" xfId="31484" xr:uid="{00000000-0005-0000-0000-0000FA7A0000}"/>
    <cellStyle name="Output 19 2 9 2 3" xfId="31485" xr:uid="{00000000-0005-0000-0000-0000FB7A0000}"/>
    <cellStyle name="Output 19 2 9 3" xfId="31486" xr:uid="{00000000-0005-0000-0000-0000FC7A0000}"/>
    <cellStyle name="Output 19 2 9 4" xfId="31487" xr:uid="{00000000-0005-0000-0000-0000FD7A0000}"/>
    <cellStyle name="Output 19 3" xfId="31488" xr:uid="{00000000-0005-0000-0000-0000FE7A0000}"/>
    <cellStyle name="Output 19 3 2" xfId="31489" xr:uid="{00000000-0005-0000-0000-0000FF7A0000}"/>
    <cellStyle name="Output 19 3 2 2" xfId="31490" xr:uid="{00000000-0005-0000-0000-0000007B0000}"/>
    <cellStyle name="Output 19 3 2 3" xfId="31491" xr:uid="{00000000-0005-0000-0000-0000017B0000}"/>
    <cellStyle name="Output 19 3 3" xfId="31492" xr:uid="{00000000-0005-0000-0000-0000027B0000}"/>
    <cellStyle name="Output 19 3 4" xfId="31493" xr:uid="{00000000-0005-0000-0000-0000037B0000}"/>
    <cellStyle name="Output 19 4" xfId="31494" xr:uid="{00000000-0005-0000-0000-0000047B0000}"/>
    <cellStyle name="Output 19 5" xfId="31495" xr:uid="{00000000-0005-0000-0000-0000057B0000}"/>
    <cellStyle name="Output 2" xfId="31496" xr:uid="{00000000-0005-0000-0000-0000067B0000}"/>
    <cellStyle name="Output 2 2" xfId="31497" xr:uid="{00000000-0005-0000-0000-0000077B0000}"/>
    <cellStyle name="Output 2 2 10" xfId="31498" xr:uid="{00000000-0005-0000-0000-0000087B0000}"/>
    <cellStyle name="Output 2 2 10 2" xfId="31499" xr:uid="{00000000-0005-0000-0000-0000097B0000}"/>
    <cellStyle name="Output 2 2 10 2 2" xfId="31500" xr:uid="{00000000-0005-0000-0000-00000A7B0000}"/>
    <cellStyle name="Output 2 2 10 2 3" xfId="31501" xr:uid="{00000000-0005-0000-0000-00000B7B0000}"/>
    <cellStyle name="Output 2 2 10 3" xfId="31502" xr:uid="{00000000-0005-0000-0000-00000C7B0000}"/>
    <cellStyle name="Output 2 2 10 4" xfId="31503" xr:uid="{00000000-0005-0000-0000-00000D7B0000}"/>
    <cellStyle name="Output 2 2 11" xfId="31504" xr:uid="{00000000-0005-0000-0000-00000E7B0000}"/>
    <cellStyle name="Output 2 2 11 2" xfId="31505" xr:uid="{00000000-0005-0000-0000-00000F7B0000}"/>
    <cellStyle name="Output 2 2 11 2 2" xfId="31506" xr:uid="{00000000-0005-0000-0000-0000107B0000}"/>
    <cellStyle name="Output 2 2 11 2 3" xfId="31507" xr:uid="{00000000-0005-0000-0000-0000117B0000}"/>
    <cellStyle name="Output 2 2 11 3" xfId="31508" xr:uid="{00000000-0005-0000-0000-0000127B0000}"/>
    <cellStyle name="Output 2 2 11 4" xfId="31509" xr:uid="{00000000-0005-0000-0000-0000137B0000}"/>
    <cellStyle name="Output 2 2 12" xfId="31510" xr:uid="{00000000-0005-0000-0000-0000147B0000}"/>
    <cellStyle name="Output 2 2 12 2" xfId="31511" xr:uid="{00000000-0005-0000-0000-0000157B0000}"/>
    <cellStyle name="Output 2 2 12 2 2" xfId="31512" xr:uid="{00000000-0005-0000-0000-0000167B0000}"/>
    <cellStyle name="Output 2 2 12 2 3" xfId="31513" xr:uid="{00000000-0005-0000-0000-0000177B0000}"/>
    <cellStyle name="Output 2 2 12 3" xfId="31514" xr:uid="{00000000-0005-0000-0000-0000187B0000}"/>
    <cellStyle name="Output 2 2 12 4" xfId="31515" xr:uid="{00000000-0005-0000-0000-0000197B0000}"/>
    <cellStyle name="Output 2 2 13" xfId="31516" xr:uid="{00000000-0005-0000-0000-00001A7B0000}"/>
    <cellStyle name="Output 2 2 13 2" xfId="31517" xr:uid="{00000000-0005-0000-0000-00001B7B0000}"/>
    <cellStyle name="Output 2 2 13 2 2" xfId="31518" xr:uid="{00000000-0005-0000-0000-00001C7B0000}"/>
    <cellStyle name="Output 2 2 13 2 3" xfId="31519" xr:uid="{00000000-0005-0000-0000-00001D7B0000}"/>
    <cellStyle name="Output 2 2 13 3" xfId="31520" xr:uid="{00000000-0005-0000-0000-00001E7B0000}"/>
    <cellStyle name="Output 2 2 13 4" xfId="31521" xr:uid="{00000000-0005-0000-0000-00001F7B0000}"/>
    <cellStyle name="Output 2 2 14" xfId="31522" xr:uid="{00000000-0005-0000-0000-0000207B0000}"/>
    <cellStyle name="Output 2 2 14 2" xfId="31523" xr:uid="{00000000-0005-0000-0000-0000217B0000}"/>
    <cellStyle name="Output 2 2 14 2 2" xfId="31524" xr:uid="{00000000-0005-0000-0000-0000227B0000}"/>
    <cellStyle name="Output 2 2 14 2 3" xfId="31525" xr:uid="{00000000-0005-0000-0000-0000237B0000}"/>
    <cellStyle name="Output 2 2 14 3" xfId="31526" xr:uid="{00000000-0005-0000-0000-0000247B0000}"/>
    <cellStyle name="Output 2 2 14 4" xfId="31527" xr:uid="{00000000-0005-0000-0000-0000257B0000}"/>
    <cellStyle name="Output 2 2 15" xfId="31528" xr:uid="{00000000-0005-0000-0000-0000267B0000}"/>
    <cellStyle name="Output 2 2 15 2" xfId="31529" xr:uid="{00000000-0005-0000-0000-0000277B0000}"/>
    <cellStyle name="Output 2 2 15 2 2" xfId="31530" xr:uid="{00000000-0005-0000-0000-0000287B0000}"/>
    <cellStyle name="Output 2 2 15 2 3" xfId="31531" xr:uid="{00000000-0005-0000-0000-0000297B0000}"/>
    <cellStyle name="Output 2 2 15 3" xfId="31532" xr:uid="{00000000-0005-0000-0000-00002A7B0000}"/>
    <cellStyle name="Output 2 2 15 4" xfId="31533" xr:uid="{00000000-0005-0000-0000-00002B7B0000}"/>
    <cellStyle name="Output 2 2 16" xfId="31534" xr:uid="{00000000-0005-0000-0000-00002C7B0000}"/>
    <cellStyle name="Output 2 2 16 2" xfId="31535" xr:uid="{00000000-0005-0000-0000-00002D7B0000}"/>
    <cellStyle name="Output 2 2 16 2 2" xfId="31536" xr:uid="{00000000-0005-0000-0000-00002E7B0000}"/>
    <cellStyle name="Output 2 2 16 2 3" xfId="31537" xr:uid="{00000000-0005-0000-0000-00002F7B0000}"/>
    <cellStyle name="Output 2 2 16 3" xfId="31538" xr:uid="{00000000-0005-0000-0000-0000307B0000}"/>
    <cellStyle name="Output 2 2 16 4" xfId="31539" xr:uid="{00000000-0005-0000-0000-0000317B0000}"/>
    <cellStyle name="Output 2 2 17" xfId="31540" xr:uid="{00000000-0005-0000-0000-0000327B0000}"/>
    <cellStyle name="Output 2 2 17 2" xfId="31541" xr:uid="{00000000-0005-0000-0000-0000337B0000}"/>
    <cellStyle name="Output 2 2 17 2 2" xfId="31542" xr:uid="{00000000-0005-0000-0000-0000347B0000}"/>
    <cellStyle name="Output 2 2 17 2 3" xfId="31543" xr:uid="{00000000-0005-0000-0000-0000357B0000}"/>
    <cellStyle name="Output 2 2 17 3" xfId="31544" xr:uid="{00000000-0005-0000-0000-0000367B0000}"/>
    <cellStyle name="Output 2 2 17 4" xfId="31545" xr:uid="{00000000-0005-0000-0000-0000377B0000}"/>
    <cellStyle name="Output 2 2 18" xfId="31546" xr:uid="{00000000-0005-0000-0000-0000387B0000}"/>
    <cellStyle name="Output 2 2 18 2" xfId="31547" xr:uid="{00000000-0005-0000-0000-0000397B0000}"/>
    <cellStyle name="Output 2 2 18 3" xfId="31548" xr:uid="{00000000-0005-0000-0000-00003A7B0000}"/>
    <cellStyle name="Output 2 2 18 4" xfId="31549" xr:uid="{00000000-0005-0000-0000-00003B7B0000}"/>
    <cellStyle name="Output 2 2 19" xfId="31550" xr:uid="{00000000-0005-0000-0000-00003C7B0000}"/>
    <cellStyle name="Output 2 2 2" xfId="31551" xr:uid="{00000000-0005-0000-0000-00003D7B0000}"/>
    <cellStyle name="Output 2 2 2 2" xfId="31552" xr:uid="{00000000-0005-0000-0000-00003E7B0000}"/>
    <cellStyle name="Output 2 2 2 2 2" xfId="31553" xr:uid="{00000000-0005-0000-0000-00003F7B0000}"/>
    <cellStyle name="Output 2 2 2 2 3" xfId="31554" xr:uid="{00000000-0005-0000-0000-0000407B0000}"/>
    <cellStyle name="Output 2 2 2 3" xfId="31555" xr:uid="{00000000-0005-0000-0000-0000417B0000}"/>
    <cellStyle name="Output 2 2 2 4" xfId="31556" xr:uid="{00000000-0005-0000-0000-0000427B0000}"/>
    <cellStyle name="Output 2 2 20" xfId="31557" xr:uid="{00000000-0005-0000-0000-0000437B0000}"/>
    <cellStyle name="Output 2 2 21" xfId="31558" xr:uid="{00000000-0005-0000-0000-0000447B0000}"/>
    <cellStyle name="Output 2 2 3" xfId="31559" xr:uid="{00000000-0005-0000-0000-0000457B0000}"/>
    <cellStyle name="Output 2 2 3 2" xfId="31560" xr:uid="{00000000-0005-0000-0000-0000467B0000}"/>
    <cellStyle name="Output 2 2 3 2 2" xfId="31561" xr:uid="{00000000-0005-0000-0000-0000477B0000}"/>
    <cellStyle name="Output 2 2 3 2 3" xfId="31562" xr:uid="{00000000-0005-0000-0000-0000487B0000}"/>
    <cellStyle name="Output 2 2 3 3" xfId="31563" xr:uid="{00000000-0005-0000-0000-0000497B0000}"/>
    <cellStyle name="Output 2 2 3 4" xfId="31564" xr:uid="{00000000-0005-0000-0000-00004A7B0000}"/>
    <cellStyle name="Output 2 2 4" xfId="31565" xr:uid="{00000000-0005-0000-0000-00004B7B0000}"/>
    <cellStyle name="Output 2 2 4 2" xfId="31566" xr:uid="{00000000-0005-0000-0000-00004C7B0000}"/>
    <cellStyle name="Output 2 2 4 2 2" xfId="31567" xr:uid="{00000000-0005-0000-0000-00004D7B0000}"/>
    <cellStyle name="Output 2 2 4 2 3" xfId="31568" xr:uid="{00000000-0005-0000-0000-00004E7B0000}"/>
    <cellStyle name="Output 2 2 4 3" xfId="31569" xr:uid="{00000000-0005-0000-0000-00004F7B0000}"/>
    <cellStyle name="Output 2 2 4 4" xfId="31570" xr:uid="{00000000-0005-0000-0000-0000507B0000}"/>
    <cellStyle name="Output 2 2 5" xfId="31571" xr:uid="{00000000-0005-0000-0000-0000517B0000}"/>
    <cellStyle name="Output 2 2 5 2" xfId="31572" xr:uid="{00000000-0005-0000-0000-0000527B0000}"/>
    <cellStyle name="Output 2 2 5 2 2" xfId="31573" xr:uid="{00000000-0005-0000-0000-0000537B0000}"/>
    <cellStyle name="Output 2 2 5 2 3" xfId="31574" xr:uid="{00000000-0005-0000-0000-0000547B0000}"/>
    <cellStyle name="Output 2 2 5 3" xfId="31575" xr:uid="{00000000-0005-0000-0000-0000557B0000}"/>
    <cellStyle name="Output 2 2 5 4" xfId="31576" xr:uid="{00000000-0005-0000-0000-0000567B0000}"/>
    <cellStyle name="Output 2 2 6" xfId="31577" xr:uid="{00000000-0005-0000-0000-0000577B0000}"/>
    <cellStyle name="Output 2 2 6 2" xfId="31578" xr:uid="{00000000-0005-0000-0000-0000587B0000}"/>
    <cellStyle name="Output 2 2 6 2 2" xfId="31579" xr:uid="{00000000-0005-0000-0000-0000597B0000}"/>
    <cellStyle name="Output 2 2 6 2 3" xfId="31580" xr:uid="{00000000-0005-0000-0000-00005A7B0000}"/>
    <cellStyle name="Output 2 2 6 3" xfId="31581" xr:uid="{00000000-0005-0000-0000-00005B7B0000}"/>
    <cellStyle name="Output 2 2 6 4" xfId="31582" xr:uid="{00000000-0005-0000-0000-00005C7B0000}"/>
    <cellStyle name="Output 2 2 7" xfId="31583" xr:uid="{00000000-0005-0000-0000-00005D7B0000}"/>
    <cellStyle name="Output 2 2 7 2" xfId="31584" xr:uid="{00000000-0005-0000-0000-00005E7B0000}"/>
    <cellStyle name="Output 2 2 7 2 2" xfId="31585" xr:uid="{00000000-0005-0000-0000-00005F7B0000}"/>
    <cellStyle name="Output 2 2 7 2 3" xfId="31586" xr:uid="{00000000-0005-0000-0000-0000607B0000}"/>
    <cellStyle name="Output 2 2 7 3" xfId="31587" xr:uid="{00000000-0005-0000-0000-0000617B0000}"/>
    <cellStyle name="Output 2 2 7 4" xfId="31588" xr:uid="{00000000-0005-0000-0000-0000627B0000}"/>
    <cellStyle name="Output 2 2 8" xfId="31589" xr:uid="{00000000-0005-0000-0000-0000637B0000}"/>
    <cellStyle name="Output 2 2 8 2" xfId="31590" xr:uid="{00000000-0005-0000-0000-0000647B0000}"/>
    <cellStyle name="Output 2 2 8 2 2" xfId="31591" xr:uid="{00000000-0005-0000-0000-0000657B0000}"/>
    <cellStyle name="Output 2 2 8 2 3" xfId="31592" xr:uid="{00000000-0005-0000-0000-0000667B0000}"/>
    <cellStyle name="Output 2 2 8 3" xfId="31593" xr:uid="{00000000-0005-0000-0000-0000677B0000}"/>
    <cellStyle name="Output 2 2 8 4" xfId="31594" xr:uid="{00000000-0005-0000-0000-0000687B0000}"/>
    <cellStyle name="Output 2 2 9" xfId="31595" xr:uid="{00000000-0005-0000-0000-0000697B0000}"/>
    <cellStyle name="Output 2 2 9 2" xfId="31596" xr:uid="{00000000-0005-0000-0000-00006A7B0000}"/>
    <cellStyle name="Output 2 2 9 2 2" xfId="31597" xr:uid="{00000000-0005-0000-0000-00006B7B0000}"/>
    <cellStyle name="Output 2 2 9 2 3" xfId="31598" xr:uid="{00000000-0005-0000-0000-00006C7B0000}"/>
    <cellStyle name="Output 2 2 9 3" xfId="31599" xr:uid="{00000000-0005-0000-0000-00006D7B0000}"/>
    <cellStyle name="Output 2 2 9 4" xfId="31600" xr:uid="{00000000-0005-0000-0000-00006E7B0000}"/>
    <cellStyle name="Output 2 3" xfId="31601" xr:uid="{00000000-0005-0000-0000-00006F7B0000}"/>
    <cellStyle name="Output 2 3 10" xfId="31602" xr:uid="{00000000-0005-0000-0000-0000707B0000}"/>
    <cellStyle name="Output 2 3 10 2" xfId="31603" xr:uid="{00000000-0005-0000-0000-0000717B0000}"/>
    <cellStyle name="Output 2 3 10 2 2" xfId="31604" xr:uid="{00000000-0005-0000-0000-0000727B0000}"/>
    <cellStyle name="Output 2 3 10 2 3" xfId="31605" xr:uid="{00000000-0005-0000-0000-0000737B0000}"/>
    <cellStyle name="Output 2 3 10 3" xfId="31606" xr:uid="{00000000-0005-0000-0000-0000747B0000}"/>
    <cellStyle name="Output 2 3 10 4" xfId="31607" xr:uid="{00000000-0005-0000-0000-0000757B0000}"/>
    <cellStyle name="Output 2 3 11" xfId="31608" xr:uid="{00000000-0005-0000-0000-0000767B0000}"/>
    <cellStyle name="Output 2 3 11 2" xfId="31609" xr:uid="{00000000-0005-0000-0000-0000777B0000}"/>
    <cellStyle name="Output 2 3 11 2 2" xfId="31610" xr:uid="{00000000-0005-0000-0000-0000787B0000}"/>
    <cellStyle name="Output 2 3 11 2 3" xfId="31611" xr:uid="{00000000-0005-0000-0000-0000797B0000}"/>
    <cellStyle name="Output 2 3 11 3" xfId="31612" xr:uid="{00000000-0005-0000-0000-00007A7B0000}"/>
    <cellStyle name="Output 2 3 11 4" xfId="31613" xr:uid="{00000000-0005-0000-0000-00007B7B0000}"/>
    <cellStyle name="Output 2 3 12" xfId="31614" xr:uid="{00000000-0005-0000-0000-00007C7B0000}"/>
    <cellStyle name="Output 2 3 12 2" xfId="31615" xr:uid="{00000000-0005-0000-0000-00007D7B0000}"/>
    <cellStyle name="Output 2 3 12 2 2" xfId="31616" xr:uid="{00000000-0005-0000-0000-00007E7B0000}"/>
    <cellStyle name="Output 2 3 12 2 3" xfId="31617" xr:uid="{00000000-0005-0000-0000-00007F7B0000}"/>
    <cellStyle name="Output 2 3 12 3" xfId="31618" xr:uid="{00000000-0005-0000-0000-0000807B0000}"/>
    <cellStyle name="Output 2 3 12 4" xfId="31619" xr:uid="{00000000-0005-0000-0000-0000817B0000}"/>
    <cellStyle name="Output 2 3 13" xfId="31620" xr:uid="{00000000-0005-0000-0000-0000827B0000}"/>
    <cellStyle name="Output 2 3 13 2" xfId="31621" xr:uid="{00000000-0005-0000-0000-0000837B0000}"/>
    <cellStyle name="Output 2 3 13 2 2" xfId="31622" xr:uid="{00000000-0005-0000-0000-0000847B0000}"/>
    <cellStyle name="Output 2 3 13 2 3" xfId="31623" xr:uid="{00000000-0005-0000-0000-0000857B0000}"/>
    <cellStyle name="Output 2 3 13 3" xfId="31624" xr:uid="{00000000-0005-0000-0000-0000867B0000}"/>
    <cellStyle name="Output 2 3 13 4" xfId="31625" xr:uid="{00000000-0005-0000-0000-0000877B0000}"/>
    <cellStyle name="Output 2 3 14" xfId="31626" xr:uid="{00000000-0005-0000-0000-0000887B0000}"/>
    <cellStyle name="Output 2 3 14 2" xfId="31627" xr:uid="{00000000-0005-0000-0000-0000897B0000}"/>
    <cellStyle name="Output 2 3 14 2 2" xfId="31628" xr:uid="{00000000-0005-0000-0000-00008A7B0000}"/>
    <cellStyle name="Output 2 3 14 2 3" xfId="31629" xr:uid="{00000000-0005-0000-0000-00008B7B0000}"/>
    <cellStyle name="Output 2 3 14 3" xfId="31630" xr:uid="{00000000-0005-0000-0000-00008C7B0000}"/>
    <cellStyle name="Output 2 3 14 4" xfId="31631" xr:uid="{00000000-0005-0000-0000-00008D7B0000}"/>
    <cellStyle name="Output 2 3 15" xfId="31632" xr:uid="{00000000-0005-0000-0000-00008E7B0000}"/>
    <cellStyle name="Output 2 3 15 2" xfId="31633" xr:uid="{00000000-0005-0000-0000-00008F7B0000}"/>
    <cellStyle name="Output 2 3 15 2 2" xfId="31634" xr:uid="{00000000-0005-0000-0000-0000907B0000}"/>
    <cellStyle name="Output 2 3 15 2 3" xfId="31635" xr:uid="{00000000-0005-0000-0000-0000917B0000}"/>
    <cellStyle name="Output 2 3 15 3" xfId="31636" xr:uid="{00000000-0005-0000-0000-0000927B0000}"/>
    <cellStyle name="Output 2 3 15 4" xfId="31637" xr:uid="{00000000-0005-0000-0000-0000937B0000}"/>
    <cellStyle name="Output 2 3 16" xfId="31638" xr:uid="{00000000-0005-0000-0000-0000947B0000}"/>
    <cellStyle name="Output 2 3 16 2" xfId="31639" xr:uid="{00000000-0005-0000-0000-0000957B0000}"/>
    <cellStyle name="Output 2 3 16 2 2" xfId="31640" xr:uid="{00000000-0005-0000-0000-0000967B0000}"/>
    <cellStyle name="Output 2 3 16 2 3" xfId="31641" xr:uid="{00000000-0005-0000-0000-0000977B0000}"/>
    <cellStyle name="Output 2 3 16 3" xfId="31642" xr:uid="{00000000-0005-0000-0000-0000987B0000}"/>
    <cellStyle name="Output 2 3 16 4" xfId="31643" xr:uid="{00000000-0005-0000-0000-0000997B0000}"/>
    <cellStyle name="Output 2 3 17" xfId="31644" xr:uid="{00000000-0005-0000-0000-00009A7B0000}"/>
    <cellStyle name="Output 2 3 17 2" xfId="31645" xr:uid="{00000000-0005-0000-0000-00009B7B0000}"/>
    <cellStyle name="Output 2 3 17 2 2" xfId="31646" xr:uid="{00000000-0005-0000-0000-00009C7B0000}"/>
    <cellStyle name="Output 2 3 17 2 3" xfId="31647" xr:uid="{00000000-0005-0000-0000-00009D7B0000}"/>
    <cellStyle name="Output 2 3 17 3" xfId="31648" xr:uid="{00000000-0005-0000-0000-00009E7B0000}"/>
    <cellStyle name="Output 2 3 17 4" xfId="31649" xr:uid="{00000000-0005-0000-0000-00009F7B0000}"/>
    <cellStyle name="Output 2 3 18" xfId="31650" xr:uid="{00000000-0005-0000-0000-0000A07B0000}"/>
    <cellStyle name="Output 2 3 18 2" xfId="31651" xr:uid="{00000000-0005-0000-0000-0000A17B0000}"/>
    <cellStyle name="Output 2 3 18 3" xfId="31652" xr:uid="{00000000-0005-0000-0000-0000A27B0000}"/>
    <cellStyle name="Output 2 3 18 4" xfId="31653" xr:uid="{00000000-0005-0000-0000-0000A37B0000}"/>
    <cellStyle name="Output 2 3 19" xfId="31654" xr:uid="{00000000-0005-0000-0000-0000A47B0000}"/>
    <cellStyle name="Output 2 3 2" xfId="31655" xr:uid="{00000000-0005-0000-0000-0000A57B0000}"/>
    <cellStyle name="Output 2 3 2 2" xfId="31656" xr:uid="{00000000-0005-0000-0000-0000A67B0000}"/>
    <cellStyle name="Output 2 3 2 2 2" xfId="31657" xr:uid="{00000000-0005-0000-0000-0000A77B0000}"/>
    <cellStyle name="Output 2 3 2 2 3" xfId="31658" xr:uid="{00000000-0005-0000-0000-0000A87B0000}"/>
    <cellStyle name="Output 2 3 2 3" xfId="31659" xr:uid="{00000000-0005-0000-0000-0000A97B0000}"/>
    <cellStyle name="Output 2 3 2 4" xfId="31660" xr:uid="{00000000-0005-0000-0000-0000AA7B0000}"/>
    <cellStyle name="Output 2 3 20" xfId="31661" xr:uid="{00000000-0005-0000-0000-0000AB7B0000}"/>
    <cellStyle name="Output 2 3 21" xfId="31662" xr:uid="{00000000-0005-0000-0000-0000AC7B0000}"/>
    <cellStyle name="Output 2 3 3" xfId="31663" xr:uid="{00000000-0005-0000-0000-0000AD7B0000}"/>
    <cellStyle name="Output 2 3 3 2" xfId="31664" xr:uid="{00000000-0005-0000-0000-0000AE7B0000}"/>
    <cellStyle name="Output 2 3 3 2 2" xfId="31665" xr:uid="{00000000-0005-0000-0000-0000AF7B0000}"/>
    <cellStyle name="Output 2 3 3 2 3" xfId="31666" xr:uid="{00000000-0005-0000-0000-0000B07B0000}"/>
    <cellStyle name="Output 2 3 3 3" xfId="31667" xr:uid="{00000000-0005-0000-0000-0000B17B0000}"/>
    <cellStyle name="Output 2 3 3 4" xfId="31668" xr:uid="{00000000-0005-0000-0000-0000B27B0000}"/>
    <cellStyle name="Output 2 3 4" xfId="31669" xr:uid="{00000000-0005-0000-0000-0000B37B0000}"/>
    <cellStyle name="Output 2 3 4 2" xfId="31670" xr:uid="{00000000-0005-0000-0000-0000B47B0000}"/>
    <cellStyle name="Output 2 3 4 2 2" xfId="31671" xr:uid="{00000000-0005-0000-0000-0000B57B0000}"/>
    <cellStyle name="Output 2 3 4 2 3" xfId="31672" xr:uid="{00000000-0005-0000-0000-0000B67B0000}"/>
    <cellStyle name="Output 2 3 4 3" xfId="31673" xr:uid="{00000000-0005-0000-0000-0000B77B0000}"/>
    <cellStyle name="Output 2 3 4 4" xfId="31674" xr:uid="{00000000-0005-0000-0000-0000B87B0000}"/>
    <cellStyle name="Output 2 3 5" xfId="31675" xr:uid="{00000000-0005-0000-0000-0000B97B0000}"/>
    <cellStyle name="Output 2 3 5 2" xfId="31676" xr:uid="{00000000-0005-0000-0000-0000BA7B0000}"/>
    <cellStyle name="Output 2 3 5 2 2" xfId="31677" xr:uid="{00000000-0005-0000-0000-0000BB7B0000}"/>
    <cellStyle name="Output 2 3 5 2 3" xfId="31678" xr:uid="{00000000-0005-0000-0000-0000BC7B0000}"/>
    <cellStyle name="Output 2 3 5 3" xfId="31679" xr:uid="{00000000-0005-0000-0000-0000BD7B0000}"/>
    <cellStyle name="Output 2 3 5 4" xfId="31680" xr:uid="{00000000-0005-0000-0000-0000BE7B0000}"/>
    <cellStyle name="Output 2 3 6" xfId="31681" xr:uid="{00000000-0005-0000-0000-0000BF7B0000}"/>
    <cellStyle name="Output 2 3 6 2" xfId="31682" xr:uid="{00000000-0005-0000-0000-0000C07B0000}"/>
    <cellStyle name="Output 2 3 6 2 2" xfId="31683" xr:uid="{00000000-0005-0000-0000-0000C17B0000}"/>
    <cellStyle name="Output 2 3 6 2 3" xfId="31684" xr:uid="{00000000-0005-0000-0000-0000C27B0000}"/>
    <cellStyle name="Output 2 3 6 3" xfId="31685" xr:uid="{00000000-0005-0000-0000-0000C37B0000}"/>
    <cellStyle name="Output 2 3 6 4" xfId="31686" xr:uid="{00000000-0005-0000-0000-0000C47B0000}"/>
    <cellStyle name="Output 2 3 7" xfId="31687" xr:uid="{00000000-0005-0000-0000-0000C57B0000}"/>
    <cellStyle name="Output 2 3 7 2" xfId="31688" xr:uid="{00000000-0005-0000-0000-0000C67B0000}"/>
    <cellStyle name="Output 2 3 7 2 2" xfId="31689" xr:uid="{00000000-0005-0000-0000-0000C77B0000}"/>
    <cellStyle name="Output 2 3 7 2 3" xfId="31690" xr:uid="{00000000-0005-0000-0000-0000C87B0000}"/>
    <cellStyle name="Output 2 3 7 3" xfId="31691" xr:uid="{00000000-0005-0000-0000-0000C97B0000}"/>
    <cellStyle name="Output 2 3 7 4" xfId="31692" xr:uid="{00000000-0005-0000-0000-0000CA7B0000}"/>
    <cellStyle name="Output 2 3 8" xfId="31693" xr:uid="{00000000-0005-0000-0000-0000CB7B0000}"/>
    <cellStyle name="Output 2 3 8 2" xfId="31694" xr:uid="{00000000-0005-0000-0000-0000CC7B0000}"/>
    <cellStyle name="Output 2 3 8 2 2" xfId="31695" xr:uid="{00000000-0005-0000-0000-0000CD7B0000}"/>
    <cellStyle name="Output 2 3 8 2 3" xfId="31696" xr:uid="{00000000-0005-0000-0000-0000CE7B0000}"/>
    <cellStyle name="Output 2 3 8 3" xfId="31697" xr:uid="{00000000-0005-0000-0000-0000CF7B0000}"/>
    <cellStyle name="Output 2 3 8 4" xfId="31698" xr:uid="{00000000-0005-0000-0000-0000D07B0000}"/>
    <cellStyle name="Output 2 3 9" xfId="31699" xr:uid="{00000000-0005-0000-0000-0000D17B0000}"/>
    <cellStyle name="Output 2 3 9 2" xfId="31700" xr:uid="{00000000-0005-0000-0000-0000D27B0000}"/>
    <cellStyle name="Output 2 3 9 2 2" xfId="31701" xr:uid="{00000000-0005-0000-0000-0000D37B0000}"/>
    <cellStyle name="Output 2 3 9 2 3" xfId="31702" xr:uid="{00000000-0005-0000-0000-0000D47B0000}"/>
    <cellStyle name="Output 2 3 9 3" xfId="31703" xr:uid="{00000000-0005-0000-0000-0000D57B0000}"/>
    <cellStyle name="Output 2 3 9 4" xfId="31704" xr:uid="{00000000-0005-0000-0000-0000D67B0000}"/>
    <cellStyle name="Output 2 4" xfId="31705" xr:uid="{00000000-0005-0000-0000-0000D77B0000}"/>
    <cellStyle name="Output 2 4 2" xfId="31706" xr:uid="{00000000-0005-0000-0000-0000D87B0000}"/>
    <cellStyle name="Output 2 4 2 2" xfId="31707" xr:uid="{00000000-0005-0000-0000-0000D97B0000}"/>
    <cellStyle name="Output 2 4 2 3" xfId="31708" xr:uid="{00000000-0005-0000-0000-0000DA7B0000}"/>
    <cellStyle name="Output 2 4 3" xfId="31709" xr:uid="{00000000-0005-0000-0000-0000DB7B0000}"/>
    <cellStyle name="Output 2 4 4" xfId="31710" xr:uid="{00000000-0005-0000-0000-0000DC7B0000}"/>
    <cellStyle name="Output 2 5" xfId="31711" xr:uid="{00000000-0005-0000-0000-0000DD7B0000}"/>
    <cellStyle name="Output 2 5 2" xfId="31712" xr:uid="{00000000-0005-0000-0000-0000DE7B0000}"/>
    <cellStyle name="Output 2 6" xfId="31713" xr:uid="{00000000-0005-0000-0000-0000DF7B0000}"/>
    <cellStyle name="Output 2 7" xfId="31714" xr:uid="{00000000-0005-0000-0000-0000E07B0000}"/>
    <cellStyle name="Output 2 8" xfId="31715" xr:uid="{00000000-0005-0000-0000-0000E17B0000}"/>
    <cellStyle name="Output 2 9" xfId="31716" xr:uid="{00000000-0005-0000-0000-0000E27B0000}"/>
    <cellStyle name="Output 20" xfId="31717" xr:uid="{00000000-0005-0000-0000-0000E37B0000}"/>
    <cellStyle name="Output 20 2" xfId="31718" xr:uid="{00000000-0005-0000-0000-0000E47B0000}"/>
    <cellStyle name="Output 20 2 10" xfId="31719" xr:uid="{00000000-0005-0000-0000-0000E57B0000}"/>
    <cellStyle name="Output 20 2 10 2" xfId="31720" xr:uid="{00000000-0005-0000-0000-0000E67B0000}"/>
    <cellStyle name="Output 20 2 10 2 2" xfId="31721" xr:uid="{00000000-0005-0000-0000-0000E77B0000}"/>
    <cellStyle name="Output 20 2 10 2 3" xfId="31722" xr:uid="{00000000-0005-0000-0000-0000E87B0000}"/>
    <cellStyle name="Output 20 2 10 3" xfId="31723" xr:uid="{00000000-0005-0000-0000-0000E97B0000}"/>
    <cellStyle name="Output 20 2 10 4" xfId="31724" xr:uid="{00000000-0005-0000-0000-0000EA7B0000}"/>
    <cellStyle name="Output 20 2 11" xfId="31725" xr:uid="{00000000-0005-0000-0000-0000EB7B0000}"/>
    <cellStyle name="Output 20 2 11 2" xfId="31726" xr:uid="{00000000-0005-0000-0000-0000EC7B0000}"/>
    <cellStyle name="Output 20 2 11 2 2" xfId="31727" xr:uid="{00000000-0005-0000-0000-0000ED7B0000}"/>
    <cellStyle name="Output 20 2 11 2 3" xfId="31728" xr:uid="{00000000-0005-0000-0000-0000EE7B0000}"/>
    <cellStyle name="Output 20 2 11 3" xfId="31729" xr:uid="{00000000-0005-0000-0000-0000EF7B0000}"/>
    <cellStyle name="Output 20 2 11 4" xfId="31730" xr:uid="{00000000-0005-0000-0000-0000F07B0000}"/>
    <cellStyle name="Output 20 2 12" xfId="31731" xr:uid="{00000000-0005-0000-0000-0000F17B0000}"/>
    <cellStyle name="Output 20 2 12 2" xfId="31732" xr:uid="{00000000-0005-0000-0000-0000F27B0000}"/>
    <cellStyle name="Output 20 2 12 2 2" xfId="31733" xr:uid="{00000000-0005-0000-0000-0000F37B0000}"/>
    <cellStyle name="Output 20 2 12 2 3" xfId="31734" xr:uid="{00000000-0005-0000-0000-0000F47B0000}"/>
    <cellStyle name="Output 20 2 12 3" xfId="31735" xr:uid="{00000000-0005-0000-0000-0000F57B0000}"/>
    <cellStyle name="Output 20 2 12 4" xfId="31736" xr:uid="{00000000-0005-0000-0000-0000F67B0000}"/>
    <cellStyle name="Output 20 2 13" xfId="31737" xr:uid="{00000000-0005-0000-0000-0000F77B0000}"/>
    <cellStyle name="Output 20 2 13 2" xfId="31738" xr:uid="{00000000-0005-0000-0000-0000F87B0000}"/>
    <cellStyle name="Output 20 2 13 2 2" xfId="31739" xr:uid="{00000000-0005-0000-0000-0000F97B0000}"/>
    <cellStyle name="Output 20 2 13 2 3" xfId="31740" xr:uid="{00000000-0005-0000-0000-0000FA7B0000}"/>
    <cellStyle name="Output 20 2 13 3" xfId="31741" xr:uid="{00000000-0005-0000-0000-0000FB7B0000}"/>
    <cellStyle name="Output 20 2 13 4" xfId="31742" xr:uid="{00000000-0005-0000-0000-0000FC7B0000}"/>
    <cellStyle name="Output 20 2 14" xfId="31743" xr:uid="{00000000-0005-0000-0000-0000FD7B0000}"/>
    <cellStyle name="Output 20 2 14 2" xfId="31744" xr:uid="{00000000-0005-0000-0000-0000FE7B0000}"/>
    <cellStyle name="Output 20 2 14 2 2" xfId="31745" xr:uid="{00000000-0005-0000-0000-0000FF7B0000}"/>
    <cellStyle name="Output 20 2 14 2 3" xfId="31746" xr:uid="{00000000-0005-0000-0000-0000007C0000}"/>
    <cellStyle name="Output 20 2 14 3" xfId="31747" xr:uid="{00000000-0005-0000-0000-0000017C0000}"/>
    <cellStyle name="Output 20 2 14 4" xfId="31748" xr:uid="{00000000-0005-0000-0000-0000027C0000}"/>
    <cellStyle name="Output 20 2 15" xfId="31749" xr:uid="{00000000-0005-0000-0000-0000037C0000}"/>
    <cellStyle name="Output 20 2 15 2" xfId="31750" xr:uid="{00000000-0005-0000-0000-0000047C0000}"/>
    <cellStyle name="Output 20 2 15 2 2" xfId="31751" xr:uid="{00000000-0005-0000-0000-0000057C0000}"/>
    <cellStyle name="Output 20 2 15 2 3" xfId="31752" xr:uid="{00000000-0005-0000-0000-0000067C0000}"/>
    <cellStyle name="Output 20 2 15 3" xfId="31753" xr:uid="{00000000-0005-0000-0000-0000077C0000}"/>
    <cellStyle name="Output 20 2 15 4" xfId="31754" xr:uid="{00000000-0005-0000-0000-0000087C0000}"/>
    <cellStyle name="Output 20 2 16" xfId="31755" xr:uid="{00000000-0005-0000-0000-0000097C0000}"/>
    <cellStyle name="Output 20 2 16 2" xfId="31756" xr:uid="{00000000-0005-0000-0000-00000A7C0000}"/>
    <cellStyle name="Output 20 2 16 2 2" xfId="31757" xr:uid="{00000000-0005-0000-0000-00000B7C0000}"/>
    <cellStyle name="Output 20 2 16 2 3" xfId="31758" xr:uid="{00000000-0005-0000-0000-00000C7C0000}"/>
    <cellStyle name="Output 20 2 16 3" xfId="31759" xr:uid="{00000000-0005-0000-0000-00000D7C0000}"/>
    <cellStyle name="Output 20 2 16 4" xfId="31760" xr:uid="{00000000-0005-0000-0000-00000E7C0000}"/>
    <cellStyle name="Output 20 2 17" xfId="31761" xr:uid="{00000000-0005-0000-0000-00000F7C0000}"/>
    <cellStyle name="Output 20 2 17 2" xfId="31762" xr:uid="{00000000-0005-0000-0000-0000107C0000}"/>
    <cellStyle name="Output 20 2 17 2 2" xfId="31763" xr:uid="{00000000-0005-0000-0000-0000117C0000}"/>
    <cellStyle name="Output 20 2 17 2 3" xfId="31764" xr:uid="{00000000-0005-0000-0000-0000127C0000}"/>
    <cellStyle name="Output 20 2 17 3" xfId="31765" xr:uid="{00000000-0005-0000-0000-0000137C0000}"/>
    <cellStyle name="Output 20 2 17 4" xfId="31766" xr:uid="{00000000-0005-0000-0000-0000147C0000}"/>
    <cellStyle name="Output 20 2 18" xfId="31767" xr:uid="{00000000-0005-0000-0000-0000157C0000}"/>
    <cellStyle name="Output 20 2 18 2" xfId="31768" xr:uid="{00000000-0005-0000-0000-0000167C0000}"/>
    <cellStyle name="Output 20 2 18 3" xfId="31769" xr:uid="{00000000-0005-0000-0000-0000177C0000}"/>
    <cellStyle name="Output 20 2 18 4" xfId="31770" xr:uid="{00000000-0005-0000-0000-0000187C0000}"/>
    <cellStyle name="Output 20 2 19" xfId="31771" xr:uid="{00000000-0005-0000-0000-0000197C0000}"/>
    <cellStyle name="Output 20 2 2" xfId="31772" xr:uid="{00000000-0005-0000-0000-00001A7C0000}"/>
    <cellStyle name="Output 20 2 2 2" xfId="31773" xr:uid="{00000000-0005-0000-0000-00001B7C0000}"/>
    <cellStyle name="Output 20 2 2 2 2" xfId="31774" xr:uid="{00000000-0005-0000-0000-00001C7C0000}"/>
    <cellStyle name="Output 20 2 2 2 3" xfId="31775" xr:uid="{00000000-0005-0000-0000-00001D7C0000}"/>
    <cellStyle name="Output 20 2 2 3" xfId="31776" xr:uid="{00000000-0005-0000-0000-00001E7C0000}"/>
    <cellStyle name="Output 20 2 2 4" xfId="31777" xr:uid="{00000000-0005-0000-0000-00001F7C0000}"/>
    <cellStyle name="Output 20 2 20" xfId="31778" xr:uid="{00000000-0005-0000-0000-0000207C0000}"/>
    <cellStyle name="Output 20 2 21" xfId="31779" xr:uid="{00000000-0005-0000-0000-0000217C0000}"/>
    <cellStyle name="Output 20 2 3" xfId="31780" xr:uid="{00000000-0005-0000-0000-0000227C0000}"/>
    <cellStyle name="Output 20 2 3 2" xfId="31781" xr:uid="{00000000-0005-0000-0000-0000237C0000}"/>
    <cellStyle name="Output 20 2 3 2 2" xfId="31782" xr:uid="{00000000-0005-0000-0000-0000247C0000}"/>
    <cellStyle name="Output 20 2 3 2 3" xfId="31783" xr:uid="{00000000-0005-0000-0000-0000257C0000}"/>
    <cellStyle name="Output 20 2 3 3" xfId="31784" xr:uid="{00000000-0005-0000-0000-0000267C0000}"/>
    <cellStyle name="Output 20 2 3 4" xfId="31785" xr:uid="{00000000-0005-0000-0000-0000277C0000}"/>
    <cellStyle name="Output 20 2 4" xfId="31786" xr:uid="{00000000-0005-0000-0000-0000287C0000}"/>
    <cellStyle name="Output 20 2 4 2" xfId="31787" xr:uid="{00000000-0005-0000-0000-0000297C0000}"/>
    <cellStyle name="Output 20 2 4 2 2" xfId="31788" xr:uid="{00000000-0005-0000-0000-00002A7C0000}"/>
    <cellStyle name="Output 20 2 4 2 3" xfId="31789" xr:uid="{00000000-0005-0000-0000-00002B7C0000}"/>
    <cellStyle name="Output 20 2 4 3" xfId="31790" xr:uid="{00000000-0005-0000-0000-00002C7C0000}"/>
    <cellStyle name="Output 20 2 4 4" xfId="31791" xr:uid="{00000000-0005-0000-0000-00002D7C0000}"/>
    <cellStyle name="Output 20 2 5" xfId="31792" xr:uid="{00000000-0005-0000-0000-00002E7C0000}"/>
    <cellStyle name="Output 20 2 5 2" xfId="31793" xr:uid="{00000000-0005-0000-0000-00002F7C0000}"/>
    <cellStyle name="Output 20 2 5 2 2" xfId="31794" xr:uid="{00000000-0005-0000-0000-0000307C0000}"/>
    <cellStyle name="Output 20 2 5 2 3" xfId="31795" xr:uid="{00000000-0005-0000-0000-0000317C0000}"/>
    <cellStyle name="Output 20 2 5 3" xfId="31796" xr:uid="{00000000-0005-0000-0000-0000327C0000}"/>
    <cellStyle name="Output 20 2 5 4" xfId="31797" xr:uid="{00000000-0005-0000-0000-0000337C0000}"/>
    <cellStyle name="Output 20 2 6" xfId="31798" xr:uid="{00000000-0005-0000-0000-0000347C0000}"/>
    <cellStyle name="Output 20 2 6 2" xfId="31799" xr:uid="{00000000-0005-0000-0000-0000357C0000}"/>
    <cellStyle name="Output 20 2 6 2 2" xfId="31800" xr:uid="{00000000-0005-0000-0000-0000367C0000}"/>
    <cellStyle name="Output 20 2 6 2 3" xfId="31801" xr:uid="{00000000-0005-0000-0000-0000377C0000}"/>
    <cellStyle name="Output 20 2 6 3" xfId="31802" xr:uid="{00000000-0005-0000-0000-0000387C0000}"/>
    <cellStyle name="Output 20 2 6 4" xfId="31803" xr:uid="{00000000-0005-0000-0000-0000397C0000}"/>
    <cellStyle name="Output 20 2 7" xfId="31804" xr:uid="{00000000-0005-0000-0000-00003A7C0000}"/>
    <cellStyle name="Output 20 2 7 2" xfId="31805" xr:uid="{00000000-0005-0000-0000-00003B7C0000}"/>
    <cellStyle name="Output 20 2 7 2 2" xfId="31806" xr:uid="{00000000-0005-0000-0000-00003C7C0000}"/>
    <cellStyle name="Output 20 2 7 2 3" xfId="31807" xr:uid="{00000000-0005-0000-0000-00003D7C0000}"/>
    <cellStyle name="Output 20 2 7 3" xfId="31808" xr:uid="{00000000-0005-0000-0000-00003E7C0000}"/>
    <cellStyle name="Output 20 2 7 4" xfId="31809" xr:uid="{00000000-0005-0000-0000-00003F7C0000}"/>
    <cellStyle name="Output 20 2 8" xfId="31810" xr:uid="{00000000-0005-0000-0000-0000407C0000}"/>
    <cellStyle name="Output 20 2 8 2" xfId="31811" xr:uid="{00000000-0005-0000-0000-0000417C0000}"/>
    <cellStyle name="Output 20 2 8 2 2" xfId="31812" xr:uid="{00000000-0005-0000-0000-0000427C0000}"/>
    <cellStyle name="Output 20 2 8 2 3" xfId="31813" xr:uid="{00000000-0005-0000-0000-0000437C0000}"/>
    <cellStyle name="Output 20 2 8 3" xfId="31814" xr:uid="{00000000-0005-0000-0000-0000447C0000}"/>
    <cellStyle name="Output 20 2 8 4" xfId="31815" xr:uid="{00000000-0005-0000-0000-0000457C0000}"/>
    <cellStyle name="Output 20 2 9" xfId="31816" xr:uid="{00000000-0005-0000-0000-0000467C0000}"/>
    <cellStyle name="Output 20 2 9 2" xfId="31817" xr:uid="{00000000-0005-0000-0000-0000477C0000}"/>
    <cellStyle name="Output 20 2 9 2 2" xfId="31818" xr:uid="{00000000-0005-0000-0000-0000487C0000}"/>
    <cellStyle name="Output 20 2 9 2 3" xfId="31819" xr:uid="{00000000-0005-0000-0000-0000497C0000}"/>
    <cellStyle name="Output 20 2 9 3" xfId="31820" xr:uid="{00000000-0005-0000-0000-00004A7C0000}"/>
    <cellStyle name="Output 20 2 9 4" xfId="31821" xr:uid="{00000000-0005-0000-0000-00004B7C0000}"/>
    <cellStyle name="Output 20 3" xfId="31822" xr:uid="{00000000-0005-0000-0000-00004C7C0000}"/>
    <cellStyle name="Output 20 3 2" xfId="31823" xr:uid="{00000000-0005-0000-0000-00004D7C0000}"/>
    <cellStyle name="Output 20 3 2 2" xfId="31824" xr:uid="{00000000-0005-0000-0000-00004E7C0000}"/>
    <cellStyle name="Output 20 3 2 3" xfId="31825" xr:uid="{00000000-0005-0000-0000-00004F7C0000}"/>
    <cellStyle name="Output 20 3 3" xfId="31826" xr:uid="{00000000-0005-0000-0000-0000507C0000}"/>
    <cellStyle name="Output 20 3 4" xfId="31827" xr:uid="{00000000-0005-0000-0000-0000517C0000}"/>
    <cellStyle name="Output 20 4" xfId="31828" xr:uid="{00000000-0005-0000-0000-0000527C0000}"/>
    <cellStyle name="Output 20 5" xfId="31829" xr:uid="{00000000-0005-0000-0000-0000537C0000}"/>
    <cellStyle name="Output 21" xfId="31830" xr:uid="{00000000-0005-0000-0000-0000547C0000}"/>
    <cellStyle name="Output 21 2" xfId="31831" xr:uid="{00000000-0005-0000-0000-0000557C0000}"/>
    <cellStyle name="Output 21 2 10" xfId="31832" xr:uid="{00000000-0005-0000-0000-0000567C0000}"/>
    <cellStyle name="Output 21 2 10 2" xfId="31833" xr:uid="{00000000-0005-0000-0000-0000577C0000}"/>
    <cellStyle name="Output 21 2 10 2 2" xfId="31834" xr:uid="{00000000-0005-0000-0000-0000587C0000}"/>
    <cellStyle name="Output 21 2 10 2 3" xfId="31835" xr:uid="{00000000-0005-0000-0000-0000597C0000}"/>
    <cellStyle name="Output 21 2 10 3" xfId="31836" xr:uid="{00000000-0005-0000-0000-00005A7C0000}"/>
    <cellStyle name="Output 21 2 10 4" xfId="31837" xr:uid="{00000000-0005-0000-0000-00005B7C0000}"/>
    <cellStyle name="Output 21 2 11" xfId="31838" xr:uid="{00000000-0005-0000-0000-00005C7C0000}"/>
    <cellStyle name="Output 21 2 11 2" xfId="31839" xr:uid="{00000000-0005-0000-0000-00005D7C0000}"/>
    <cellStyle name="Output 21 2 11 2 2" xfId="31840" xr:uid="{00000000-0005-0000-0000-00005E7C0000}"/>
    <cellStyle name="Output 21 2 11 2 3" xfId="31841" xr:uid="{00000000-0005-0000-0000-00005F7C0000}"/>
    <cellStyle name="Output 21 2 11 3" xfId="31842" xr:uid="{00000000-0005-0000-0000-0000607C0000}"/>
    <cellStyle name="Output 21 2 11 4" xfId="31843" xr:uid="{00000000-0005-0000-0000-0000617C0000}"/>
    <cellStyle name="Output 21 2 12" xfId="31844" xr:uid="{00000000-0005-0000-0000-0000627C0000}"/>
    <cellStyle name="Output 21 2 12 2" xfId="31845" xr:uid="{00000000-0005-0000-0000-0000637C0000}"/>
    <cellStyle name="Output 21 2 12 2 2" xfId="31846" xr:uid="{00000000-0005-0000-0000-0000647C0000}"/>
    <cellStyle name="Output 21 2 12 2 3" xfId="31847" xr:uid="{00000000-0005-0000-0000-0000657C0000}"/>
    <cellStyle name="Output 21 2 12 3" xfId="31848" xr:uid="{00000000-0005-0000-0000-0000667C0000}"/>
    <cellStyle name="Output 21 2 12 4" xfId="31849" xr:uid="{00000000-0005-0000-0000-0000677C0000}"/>
    <cellStyle name="Output 21 2 13" xfId="31850" xr:uid="{00000000-0005-0000-0000-0000687C0000}"/>
    <cellStyle name="Output 21 2 13 2" xfId="31851" xr:uid="{00000000-0005-0000-0000-0000697C0000}"/>
    <cellStyle name="Output 21 2 13 2 2" xfId="31852" xr:uid="{00000000-0005-0000-0000-00006A7C0000}"/>
    <cellStyle name="Output 21 2 13 2 3" xfId="31853" xr:uid="{00000000-0005-0000-0000-00006B7C0000}"/>
    <cellStyle name="Output 21 2 13 3" xfId="31854" xr:uid="{00000000-0005-0000-0000-00006C7C0000}"/>
    <cellStyle name="Output 21 2 13 4" xfId="31855" xr:uid="{00000000-0005-0000-0000-00006D7C0000}"/>
    <cellStyle name="Output 21 2 14" xfId="31856" xr:uid="{00000000-0005-0000-0000-00006E7C0000}"/>
    <cellStyle name="Output 21 2 14 2" xfId="31857" xr:uid="{00000000-0005-0000-0000-00006F7C0000}"/>
    <cellStyle name="Output 21 2 14 2 2" xfId="31858" xr:uid="{00000000-0005-0000-0000-0000707C0000}"/>
    <cellStyle name="Output 21 2 14 2 3" xfId="31859" xr:uid="{00000000-0005-0000-0000-0000717C0000}"/>
    <cellStyle name="Output 21 2 14 3" xfId="31860" xr:uid="{00000000-0005-0000-0000-0000727C0000}"/>
    <cellStyle name="Output 21 2 14 4" xfId="31861" xr:uid="{00000000-0005-0000-0000-0000737C0000}"/>
    <cellStyle name="Output 21 2 15" xfId="31862" xr:uid="{00000000-0005-0000-0000-0000747C0000}"/>
    <cellStyle name="Output 21 2 15 2" xfId="31863" xr:uid="{00000000-0005-0000-0000-0000757C0000}"/>
    <cellStyle name="Output 21 2 15 2 2" xfId="31864" xr:uid="{00000000-0005-0000-0000-0000767C0000}"/>
    <cellStyle name="Output 21 2 15 2 3" xfId="31865" xr:uid="{00000000-0005-0000-0000-0000777C0000}"/>
    <cellStyle name="Output 21 2 15 3" xfId="31866" xr:uid="{00000000-0005-0000-0000-0000787C0000}"/>
    <cellStyle name="Output 21 2 15 4" xfId="31867" xr:uid="{00000000-0005-0000-0000-0000797C0000}"/>
    <cellStyle name="Output 21 2 16" xfId="31868" xr:uid="{00000000-0005-0000-0000-00007A7C0000}"/>
    <cellStyle name="Output 21 2 16 2" xfId="31869" xr:uid="{00000000-0005-0000-0000-00007B7C0000}"/>
    <cellStyle name="Output 21 2 16 2 2" xfId="31870" xr:uid="{00000000-0005-0000-0000-00007C7C0000}"/>
    <cellStyle name="Output 21 2 16 2 3" xfId="31871" xr:uid="{00000000-0005-0000-0000-00007D7C0000}"/>
    <cellStyle name="Output 21 2 16 3" xfId="31872" xr:uid="{00000000-0005-0000-0000-00007E7C0000}"/>
    <cellStyle name="Output 21 2 16 4" xfId="31873" xr:uid="{00000000-0005-0000-0000-00007F7C0000}"/>
    <cellStyle name="Output 21 2 17" xfId="31874" xr:uid="{00000000-0005-0000-0000-0000807C0000}"/>
    <cellStyle name="Output 21 2 17 2" xfId="31875" xr:uid="{00000000-0005-0000-0000-0000817C0000}"/>
    <cellStyle name="Output 21 2 17 2 2" xfId="31876" xr:uid="{00000000-0005-0000-0000-0000827C0000}"/>
    <cellStyle name="Output 21 2 17 2 3" xfId="31877" xr:uid="{00000000-0005-0000-0000-0000837C0000}"/>
    <cellStyle name="Output 21 2 17 3" xfId="31878" xr:uid="{00000000-0005-0000-0000-0000847C0000}"/>
    <cellStyle name="Output 21 2 17 4" xfId="31879" xr:uid="{00000000-0005-0000-0000-0000857C0000}"/>
    <cellStyle name="Output 21 2 18" xfId="31880" xr:uid="{00000000-0005-0000-0000-0000867C0000}"/>
    <cellStyle name="Output 21 2 18 2" xfId="31881" xr:uid="{00000000-0005-0000-0000-0000877C0000}"/>
    <cellStyle name="Output 21 2 18 3" xfId="31882" xr:uid="{00000000-0005-0000-0000-0000887C0000}"/>
    <cellStyle name="Output 21 2 18 4" xfId="31883" xr:uid="{00000000-0005-0000-0000-0000897C0000}"/>
    <cellStyle name="Output 21 2 19" xfId="31884" xr:uid="{00000000-0005-0000-0000-00008A7C0000}"/>
    <cellStyle name="Output 21 2 2" xfId="31885" xr:uid="{00000000-0005-0000-0000-00008B7C0000}"/>
    <cellStyle name="Output 21 2 2 2" xfId="31886" xr:uid="{00000000-0005-0000-0000-00008C7C0000}"/>
    <cellStyle name="Output 21 2 2 2 2" xfId="31887" xr:uid="{00000000-0005-0000-0000-00008D7C0000}"/>
    <cellStyle name="Output 21 2 2 2 3" xfId="31888" xr:uid="{00000000-0005-0000-0000-00008E7C0000}"/>
    <cellStyle name="Output 21 2 2 3" xfId="31889" xr:uid="{00000000-0005-0000-0000-00008F7C0000}"/>
    <cellStyle name="Output 21 2 2 4" xfId="31890" xr:uid="{00000000-0005-0000-0000-0000907C0000}"/>
    <cellStyle name="Output 21 2 20" xfId="31891" xr:uid="{00000000-0005-0000-0000-0000917C0000}"/>
    <cellStyle name="Output 21 2 21" xfId="31892" xr:uid="{00000000-0005-0000-0000-0000927C0000}"/>
    <cellStyle name="Output 21 2 3" xfId="31893" xr:uid="{00000000-0005-0000-0000-0000937C0000}"/>
    <cellStyle name="Output 21 2 3 2" xfId="31894" xr:uid="{00000000-0005-0000-0000-0000947C0000}"/>
    <cellStyle name="Output 21 2 3 2 2" xfId="31895" xr:uid="{00000000-0005-0000-0000-0000957C0000}"/>
    <cellStyle name="Output 21 2 3 2 3" xfId="31896" xr:uid="{00000000-0005-0000-0000-0000967C0000}"/>
    <cellStyle name="Output 21 2 3 3" xfId="31897" xr:uid="{00000000-0005-0000-0000-0000977C0000}"/>
    <cellStyle name="Output 21 2 3 4" xfId="31898" xr:uid="{00000000-0005-0000-0000-0000987C0000}"/>
    <cellStyle name="Output 21 2 4" xfId="31899" xr:uid="{00000000-0005-0000-0000-0000997C0000}"/>
    <cellStyle name="Output 21 2 4 2" xfId="31900" xr:uid="{00000000-0005-0000-0000-00009A7C0000}"/>
    <cellStyle name="Output 21 2 4 2 2" xfId="31901" xr:uid="{00000000-0005-0000-0000-00009B7C0000}"/>
    <cellStyle name="Output 21 2 4 2 3" xfId="31902" xr:uid="{00000000-0005-0000-0000-00009C7C0000}"/>
    <cellStyle name="Output 21 2 4 3" xfId="31903" xr:uid="{00000000-0005-0000-0000-00009D7C0000}"/>
    <cellStyle name="Output 21 2 4 4" xfId="31904" xr:uid="{00000000-0005-0000-0000-00009E7C0000}"/>
    <cellStyle name="Output 21 2 5" xfId="31905" xr:uid="{00000000-0005-0000-0000-00009F7C0000}"/>
    <cellStyle name="Output 21 2 5 2" xfId="31906" xr:uid="{00000000-0005-0000-0000-0000A07C0000}"/>
    <cellStyle name="Output 21 2 5 2 2" xfId="31907" xr:uid="{00000000-0005-0000-0000-0000A17C0000}"/>
    <cellStyle name="Output 21 2 5 2 3" xfId="31908" xr:uid="{00000000-0005-0000-0000-0000A27C0000}"/>
    <cellStyle name="Output 21 2 5 3" xfId="31909" xr:uid="{00000000-0005-0000-0000-0000A37C0000}"/>
    <cellStyle name="Output 21 2 5 4" xfId="31910" xr:uid="{00000000-0005-0000-0000-0000A47C0000}"/>
    <cellStyle name="Output 21 2 6" xfId="31911" xr:uid="{00000000-0005-0000-0000-0000A57C0000}"/>
    <cellStyle name="Output 21 2 6 2" xfId="31912" xr:uid="{00000000-0005-0000-0000-0000A67C0000}"/>
    <cellStyle name="Output 21 2 6 2 2" xfId="31913" xr:uid="{00000000-0005-0000-0000-0000A77C0000}"/>
    <cellStyle name="Output 21 2 6 2 3" xfId="31914" xr:uid="{00000000-0005-0000-0000-0000A87C0000}"/>
    <cellStyle name="Output 21 2 6 3" xfId="31915" xr:uid="{00000000-0005-0000-0000-0000A97C0000}"/>
    <cellStyle name="Output 21 2 6 4" xfId="31916" xr:uid="{00000000-0005-0000-0000-0000AA7C0000}"/>
    <cellStyle name="Output 21 2 7" xfId="31917" xr:uid="{00000000-0005-0000-0000-0000AB7C0000}"/>
    <cellStyle name="Output 21 2 7 2" xfId="31918" xr:uid="{00000000-0005-0000-0000-0000AC7C0000}"/>
    <cellStyle name="Output 21 2 7 2 2" xfId="31919" xr:uid="{00000000-0005-0000-0000-0000AD7C0000}"/>
    <cellStyle name="Output 21 2 7 2 3" xfId="31920" xr:uid="{00000000-0005-0000-0000-0000AE7C0000}"/>
    <cellStyle name="Output 21 2 7 3" xfId="31921" xr:uid="{00000000-0005-0000-0000-0000AF7C0000}"/>
    <cellStyle name="Output 21 2 7 4" xfId="31922" xr:uid="{00000000-0005-0000-0000-0000B07C0000}"/>
    <cellStyle name="Output 21 2 8" xfId="31923" xr:uid="{00000000-0005-0000-0000-0000B17C0000}"/>
    <cellStyle name="Output 21 2 8 2" xfId="31924" xr:uid="{00000000-0005-0000-0000-0000B27C0000}"/>
    <cellStyle name="Output 21 2 8 2 2" xfId="31925" xr:uid="{00000000-0005-0000-0000-0000B37C0000}"/>
    <cellStyle name="Output 21 2 8 2 3" xfId="31926" xr:uid="{00000000-0005-0000-0000-0000B47C0000}"/>
    <cellStyle name="Output 21 2 8 3" xfId="31927" xr:uid="{00000000-0005-0000-0000-0000B57C0000}"/>
    <cellStyle name="Output 21 2 8 4" xfId="31928" xr:uid="{00000000-0005-0000-0000-0000B67C0000}"/>
    <cellStyle name="Output 21 2 9" xfId="31929" xr:uid="{00000000-0005-0000-0000-0000B77C0000}"/>
    <cellStyle name="Output 21 2 9 2" xfId="31930" xr:uid="{00000000-0005-0000-0000-0000B87C0000}"/>
    <cellStyle name="Output 21 2 9 2 2" xfId="31931" xr:uid="{00000000-0005-0000-0000-0000B97C0000}"/>
    <cellStyle name="Output 21 2 9 2 3" xfId="31932" xr:uid="{00000000-0005-0000-0000-0000BA7C0000}"/>
    <cellStyle name="Output 21 2 9 3" xfId="31933" xr:uid="{00000000-0005-0000-0000-0000BB7C0000}"/>
    <cellStyle name="Output 21 2 9 4" xfId="31934" xr:uid="{00000000-0005-0000-0000-0000BC7C0000}"/>
    <cellStyle name="Output 21 3" xfId="31935" xr:uid="{00000000-0005-0000-0000-0000BD7C0000}"/>
    <cellStyle name="Output 21 3 2" xfId="31936" xr:uid="{00000000-0005-0000-0000-0000BE7C0000}"/>
    <cellStyle name="Output 21 3 2 2" xfId="31937" xr:uid="{00000000-0005-0000-0000-0000BF7C0000}"/>
    <cellStyle name="Output 21 3 2 3" xfId="31938" xr:uid="{00000000-0005-0000-0000-0000C07C0000}"/>
    <cellStyle name="Output 21 3 3" xfId="31939" xr:uid="{00000000-0005-0000-0000-0000C17C0000}"/>
    <cellStyle name="Output 21 3 4" xfId="31940" xr:uid="{00000000-0005-0000-0000-0000C27C0000}"/>
    <cellStyle name="Output 21 4" xfId="31941" xr:uid="{00000000-0005-0000-0000-0000C37C0000}"/>
    <cellStyle name="Output 21 5" xfId="31942" xr:uid="{00000000-0005-0000-0000-0000C47C0000}"/>
    <cellStyle name="Output 22" xfId="31943" xr:uid="{00000000-0005-0000-0000-0000C57C0000}"/>
    <cellStyle name="Output 22 2" xfId="31944" xr:uid="{00000000-0005-0000-0000-0000C67C0000}"/>
    <cellStyle name="Output 22 2 10" xfId="31945" xr:uid="{00000000-0005-0000-0000-0000C77C0000}"/>
    <cellStyle name="Output 22 2 10 2" xfId="31946" xr:uid="{00000000-0005-0000-0000-0000C87C0000}"/>
    <cellStyle name="Output 22 2 10 2 2" xfId="31947" xr:uid="{00000000-0005-0000-0000-0000C97C0000}"/>
    <cellStyle name="Output 22 2 10 2 3" xfId="31948" xr:uid="{00000000-0005-0000-0000-0000CA7C0000}"/>
    <cellStyle name="Output 22 2 10 3" xfId="31949" xr:uid="{00000000-0005-0000-0000-0000CB7C0000}"/>
    <cellStyle name="Output 22 2 10 4" xfId="31950" xr:uid="{00000000-0005-0000-0000-0000CC7C0000}"/>
    <cellStyle name="Output 22 2 11" xfId="31951" xr:uid="{00000000-0005-0000-0000-0000CD7C0000}"/>
    <cellStyle name="Output 22 2 11 2" xfId="31952" xr:uid="{00000000-0005-0000-0000-0000CE7C0000}"/>
    <cellStyle name="Output 22 2 11 2 2" xfId="31953" xr:uid="{00000000-0005-0000-0000-0000CF7C0000}"/>
    <cellStyle name="Output 22 2 11 2 3" xfId="31954" xr:uid="{00000000-0005-0000-0000-0000D07C0000}"/>
    <cellStyle name="Output 22 2 11 3" xfId="31955" xr:uid="{00000000-0005-0000-0000-0000D17C0000}"/>
    <cellStyle name="Output 22 2 11 4" xfId="31956" xr:uid="{00000000-0005-0000-0000-0000D27C0000}"/>
    <cellStyle name="Output 22 2 12" xfId="31957" xr:uid="{00000000-0005-0000-0000-0000D37C0000}"/>
    <cellStyle name="Output 22 2 12 2" xfId="31958" xr:uid="{00000000-0005-0000-0000-0000D47C0000}"/>
    <cellStyle name="Output 22 2 12 2 2" xfId="31959" xr:uid="{00000000-0005-0000-0000-0000D57C0000}"/>
    <cellStyle name="Output 22 2 12 2 3" xfId="31960" xr:uid="{00000000-0005-0000-0000-0000D67C0000}"/>
    <cellStyle name="Output 22 2 12 3" xfId="31961" xr:uid="{00000000-0005-0000-0000-0000D77C0000}"/>
    <cellStyle name="Output 22 2 12 4" xfId="31962" xr:uid="{00000000-0005-0000-0000-0000D87C0000}"/>
    <cellStyle name="Output 22 2 13" xfId="31963" xr:uid="{00000000-0005-0000-0000-0000D97C0000}"/>
    <cellStyle name="Output 22 2 13 2" xfId="31964" xr:uid="{00000000-0005-0000-0000-0000DA7C0000}"/>
    <cellStyle name="Output 22 2 13 2 2" xfId="31965" xr:uid="{00000000-0005-0000-0000-0000DB7C0000}"/>
    <cellStyle name="Output 22 2 13 2 3" xfId="31966" xr:uid="{00000000-0005-0000-0000-0000DC7C0000}"/>
    <cellStyle name="Output 22 2 13 3" xfId="31967" xr:uid="{00000000-0005-0000-0000-0000DD7C0000}"/>
    <cellStyle name="Output 22 2 13 4" xfId="31968" xr:uid="{00000000-0005-0000-0000-0000DE7C0000}"/>
    <cellStyle name="Output 22 2 14" xfId="31969" xr:uid="{00000000-0005-0000-0000-0000DF7C0000}"/>
    <cellStyle name="Output 22 2 14 2" xfId="31970" xr:uid="{00000000-0005-0000-0000-0000E07C0000}"/>
    <cellStyle name="Output 22 2 14 2 2" xfId="31971" xr:uid="{00000000-0005-0000-0000-0000E17C0000}"/>
    <cellStyle name="Output 22 2 14 2 3" xfId="31972" xr:uid="{00000000-0005-0000-0000-0000E27C0000}"/>
    <cellStyle name="Output 22 2 14 3" xfId="31973" xr:uid="{00000000-0005-0000-0000-0000E37C0000}"/>
    <cellStyle name="Output 22 2 14 4" xfId="31974" xr:uid="{00000000-0005-0000-0000-0000E47C0000}"/>
    <cellStyle name="Output 22 2 15" xfId="31975" xr:uid="{00000000-0005-0000-0000-0000E57C0000}"/>
    <cellStyle name="Output 22 2 15 2" xfId="31976" xr:uid="{00000000-0005-0000-0000-0000E67C0000}"/>
    <cellStyle name="Output 22 2 15 2 2" xfId="31977" xr:uid="{00000000-0005-0000-0000-0000E77C0000}"/>
    <cellStyle name="Output 22 2 15 2 3" xfId="31978" xr:uid="{00000000-0005-0000-0000-0000E87C0000}"/>
    <cellStyle name="Output 22 2 15 3" xfId="31979" xr:uid="{00000000-0005-0000-0000-0000E97C0000}"/>
    <cellStyle name="Output 22 2 15 4" xfId="31980" xr:uid="{00000000-0005-0000-0000-0000EA7C0000}"/>
    <cellStyle name="Output 22 2 16" xfId="31981" xr:uid="{00000000-0005-0000-0000-0000EB7C0000}"/>
    <cellStyle name="Output 22 2 16 2" xfId="31982" xr:uid="{00000000-0005-0000-0000-0000EC7C0000}"/>
    <cellStyle name="Output 22 2 16 2 2" xfId="31983" xr:uid="{00000000-0005-0000-0000-0000ED7C0000}"/>
    <cellStyle name="Output 22 2 16 2 3" xfId="31984" xr:uid="{00000000-0005-0000-0000-0000EE7C0000}"/>
    <cellStyle name="Output 22 2 16 3" xfId="31985" xr:uid="{00000000-0005-0000-0000-0000EF7C0000}"/>
    <cellStyle name="Output 22 2 16 4" xfId="31986" xr:uid="{00000000-0005-0000-0000-0000F07C0000}"/>
    <cellStyle name="Output 22 2 17" xfId="31987" xr:uid="{00000000-0005-0000-0000-0000F17C0000}"/>
    <cellStyle name="Output 22 2 17 2" xfId="31988" xr:uid="{00000000-0005-0000-0000-0000F27C0000}"/>
    <cellStyle name="Output 22 2 17 2 2" xfId="31989" xr:uid="{00000000-0005-0000-0000-0000F37C0000}"/>
    <cellStyle name="Output 22 2 17 2 3" xfId="31990" xr:uid="{00000000-0005-0000-0000-0000F47C0000}"/>
    <cellStyle name="Output 22 2 17 3" xfId="31991" xr:uid="{00000000-0005-0000-0000-0000F57C0000}"/>
    <cellStyle name="Output 22 2 17 4" xfId="31992" xr:uid="{00000000-0005-0000-0000-0000F67C0000}"/>
    <cellStyle name="Output 22 2 18" xfId="31993" xr:uid="{00000000-0005-0000-0000-0000F77C0000}"/>
    <cellStyle name="Output 22 2 18 2" xfId="31994" xr:uid="{00000000-0005-0000-0000-0000F87C0000}"/>
    <cellStyle name="Output 22 2 18 3" xfId="31995" xr:uid="{00000000-0005-0000-0000-0000F97C0000}"/>
    <cellStyle name="Output 22 2 18 4" xfId="31996" xr:uid="{00000000-0005-0000-0000-0000FA7C0000}"/>
    <cellStyle name="Output 22 2 19" xfId="31997" xr:uid="{00000000-0005-0000-0000-0000FB7C0000}"/>
    <cellStyle name="Output 22 2 2" xfId="31998" xr:uid="{00000000-0005-0000-0000-0000FC7C0000}"/>
    <cellStyle name="Output 22 2 2 2" xfId="31999" xr:uid="{00000000-0005-0000-0000-0000FD7C0000}"/>
    <cellStyle name="Output 22 2 2 2 2" xfId="32000" xr:uid="{00000000-0005-0000-0000-0000FE7C0000}"/>
    <cellStyle name="Output 22 2 2 2 3" xfId="32001" xr:uid="{00000000-0005-0000-0000-0000FF7C0000}"/>
    <cellStyle name="Output 22 2 2 3" xfId="32002" xr:uid="{00000000-0005-0000-0000-0000007D0000}"/>
    <cellStyle name="Output 22 2 2 4" xfId="32003" xr:uid="{00000000-0005-0000-0000-0000017D0000}"/>
    <cellStyle name="Output 22 2 20" xfId="32004" xr:uid="{00000000-0005-0000-0000-0000027D0000}"/>
    <cellStyle name="Output 22 2 21" xfId="32005" xr:uid="{00000000-0005-0000-0000-0000037D0000}"/>
    <cellStyle name="Output 22 2 3" xfId="32006" xr:uid="{00000000-0005-0000-0000-0000047D0000}"/>
    <cellStyle name="Output 22 2 3 2" xfId="32007" xr:uid="{00000000-0005-0000-0000-0000057D0000}"/>
    <cellStyle name="Output 22 2 3 2 2" xfId="32008" xr:uid="{00000000-0005-0000-0000-0000067D0000}"/>
    <cellStyle name="Output 22 2 3 2 3" xfId="32009" xr:uid="{00000000-0005-0000-0000-0000077D0000}"/>
    <cellStyle name="Output 22 2 3 3" xfId="32010" xr:uid="{00000000-0005-0000-0000-0000087D0000}"/>
    <cellStyle name="Output 22 2 3 4" xfId="32011" xr:uid="{00000000-0005-0000-0000-0000097D0000}"/>
    <cellStyle name="Output 22 2 4" xfId="32012" xr:uid="{00000000-0005-0000-0000-00000A7D0000}"/>
    <cellStyle name="Output 22 2 4 2" xfId="32013" xr:uid="{00000000-0005-0000-0000-00000B7D0000}"/>
    <cellStyle name="Output 22 2 4 2 2" xfId="32014" xr:uid="{00000000-0005-0000-0000-00000C7D0000}"/>
    <cellStyle name="Output 22 2 4 2 3" xfId="32015" xr:uid="{00000000-0005-0000-0000-00000D7D0000}"/>
    <cellStyle name="Output 22 2 4 3" xfId="32016" xr:uid="{00000000-0005-0000-0000-00000E7D0000}"/>
    <cellStyle name="Output 22 2 4 4" xfId="32017" xr:uid="{00000000-0005-0000-0000-00000F7D0000}"/>
    <cellStyle name="Output 22 2 5" xfId="32018" xr:uid="{00000000-0005-0000-0000-0000107D0000}"/>
    <cellStyle name="Output 22 2 5 2" xfId="32019" xr:uid="{00000000-0005-0000-0000-0000117D0000}"/>
    <cellStyle name="Output 22 2 5 2 2" xfId="32020" xr:uid="{00000000-0005-0000-0000-0000127D0000}"/>
    <cellStyle name="Output 22 2 5 2 3" xfId="32021" xr:uid="{00000000-0005-0000-0000-0000137D0000}"/>
    <cellStyle name="Output 22 2 5 3" xfId="32022" xr:uid="{00000000-0005-0000-0000-0000147D0000}"/>
    <cellStyle name="Output 22 2 5 4" xfId="32023" xr:uid="{00000000-0005-0000-0000-0000157D0000}"/>
    <cellStyle name="Output 22 2 6" xfId="32024" xr:uid="{00000000-0005-0000-0000-0000167D0000}"/>
    <cellStyle name="Output 22 2 6 2" xfId="32025" xr:uid="{00000000-0005-0000-0000-0000177D0000}"/>
    <cellStyle name="Output 22 2 6 2 2" xfId="32026" xr:uid="{00000000-0005-0000-0000-0000187D0000}"/>
    <cellStyle name="Output 22 2 6 2 3" xfId="32027" xr:uid="{00000000-0005-0000-0000-0000197D0000}"/>
    <cellStyle name="Output 22 2 6 3" xfId="32028" xr:uid="{00000000-0005-0000-0000-00001A7D0000}"/>
    <cellStyle name="Output 22 2 6 4" xfId="32029" xr:uid="{00000000-0005-0000-0000-00001B7D0000}"/>
    <cellStyle name="Output 22 2 7" xfId="32030" xr:uid="{00000000-0005-0000-0000-00001C7D0000}"/>
    <cellStyle name="Output 22 2 7 2" xfId="32031" xr:uid="{00000000-0005-0000-0000-00001D7D0000}"/>
    <cellStyle name="Output 22 2 7 2 2" xfId="32032" xr:uid="{00000000-0005-0000-0000-00001E7D0000}"/>
    <cellStyle name="Output 22 2 7 2 3" xfId="32033" xr:uid="{00000000-0005-0000-0000-00001F7D0000}"/>
    <cellStyle name="Output 22 2 7 3" xfId="32034" xr:uid="{00000000-0005-0000-0000-0000207D0000}"/>
    <cellStyle name="Output 22 2 7 4" xfId="32035" xr:uid="{00000000-0005-0000-0000-0000217D0000}"/>
    <cellStyle name="Output 22 2 8" xfId="32036" xr:uid="{00000000-0005-0000-0000-0000227D0000}"/>
    <cellStyle name="Output 22 2 8 2" xfId="32037" xr:uid="{00000000-0005-0000-0000-0000237D0000}"/>
    <cellStyle name="Output 22 2 8 2 2" xfId="32038" xr:uid="{00000000-0005-0000-0000-0000247D0000}"/>
    <cellStyle name="Output 22 2 8 2 3" xfId="32039" xr:uid="{00000000-0005-0000-0000-0000257D0000}"/>
    <cellStyle name="Output 22 2 8 3" xfId="32040" xr:uid="{00000000-0005-0000-0000-0000267D0000}"/>
    <cellStyle name="Output 22 2 8 4" xfId="32041" xr:uid="{00000000-0005-0000-0000-0000277D0000}"/>
    <cellStyle name="Output 22 2 9" xfId="32042" xr:uid="{00000000-0005-0000-0000-0000287D0000}"/>
    <cellStyle name="Output 22 2 9 2" xfId="32043" xr:uid="{00000000-0005-0000-0000-0000297D0000}"/>
    <cellStyle name="Output 22 2 9 2 2" xfId="32044" xr:uid="{00000000-0005-0000-0000-00002A7D0000}"/>
    <cellStyle name="Output 22 2 9 2 3" xfId="32045" xr:uid="{00000000-0005-0000-0000-00002B7D0000}"/>
    <cellStyle name="Output 22 2 9 3" xfId="32046" xr:uid="{00000000-0005-0000-0000-00002C7D0000}"/>
    <cellStyle name="Output 22 2 9 4" xfId="32047" xr:uid="{00000000-0005-0000-0000-00002D7D0000}"/>
    <cellStyle name="Output 22 3" xfId="32048" xr:uid="{00000000-0005-0000-0000-00002E7D0000}"/>
    <cellStyle name="Output 22 3 2" xfId="32049" xr:uid="{00000000-0005-0000-0000-00002F7D0000}"/>
    <cellStyle name="Output 22 3 2 2" xfId="32050" xr:uid="{00000000-0005-0000-0000-0000307D0000}"/>
    <cellStyle name="Output 22 3 2 3" xfId="32051" xr:uid="{00000000-0005-0000-0000-0000317D0000}"/>
    <cellStyle name="Output 22 3 3" xfId="32052" xr:uid="{00000000-0005-0000-0000-0000327D0000}"/>
    <cellStyle name="Output 22 3 4" xfId="32053" xr:uid="{00000000-0005-0000-0000-0000337D0000}"/>
    <cellStyle name="Output 22 4" xfId="32054" xr:uid="{00000000-0005-0000-0000-0000347D0000}"/>
    <cellStyle name="Output 22 5" xfId="32055" xr:uid="{00000000-0005-0000-0000-0000357D0000}"/>
    <cellStyle name="Output 23" xfId="32056" xr:uid="{00000000-0005-0000-0000-0000367D0000}"/>
    <cellStyle name="Output 23 2" xfId="32057" xr:uid="{00000000-0005-0000-0000-0000377D0000}"/>
    <cellStyle name="Output 23 2 10" xfId="32058" xr:uid="{00000000-0005-0000-0000-0000387D0000}"/>
    <cellStyle name="Output 23 2 10 2" xfId="32059" xr:uid="{00000000-0005-0000-0000-0000397D0000}"/>
    <cellStyle name="Output 23 2 10 2 2" xfId="32060" xr:uid="{00000000-0005-0000-0000-00003A7D0000}"/>
    <cellStyle name="Output 23 2 10 2 3" xfId="32061" xr:uid="{00000000-0005-0000-0000-00003B7D0000}"/>
    <cellStyle name="Output 23 2 10 3" xfId="32062" xr:uid="{00000000-0005-0000-0000-00003C7D0000}"/>
    <cellStyle name="Output 23 2 10 4" xfId="32063" xr:uid="{00000000-0005-0000-0000-00003D7D0000}"/>
    <cellStyle name="Output 23 2 11" xfId="32064" xr:uid="{00000000-0005-0000-0000-00003E7D0000}"/>
    <cellStyle name="Output 23 2 11 2" xfId="32065" xr:uid="{00000000-0005-0000-0000-00003F7D0000}"/>
    <cellStyle name="Output 23 2 11 2 2" xfId="32066" xr:uid="{00000000-0005-0000-0000-0000407D0000}"/>
    <cellStyle name="Output 23 2 11 2 3" xfId="32067" xr:uid="{00000000-0005-0000-0000-0000417D0000}"/>
    <cellStyle name="Output 23 2 11 3" xfId="32068" xr:uid="{00000000-0005-0000-0000-0000427D0000}"/>
    <cellStyle name="Output 23 2 11 4" xfId="32069" xr:uid="{00000000-0005-0000-0000-0000437D0000}"/>
    <cellStyle name="Output 23 2 12" xfId="32070" xr:uid="{00000000-0005-0000-0000-0000447D0000}"/>
    <cellStyle name="Output 23 2 12 2" xfId="32071" xr:uid="{00000000-0005-0000-0000-0000457D0000}"/>
    <cellStyle name="Output 23 2 12 2 2" xfId="32072" xr:uid="{00000000-0005-0000-0000-0000467D0000}"/>
    <cellStyle name="Output 23 2 12 2 3" xfId="32073" xr:uid="{00000000-0005-0000-0000-0000477D0000}"/>
    <cellStyle name="Output 23 2 12 3" xfId="32074" xr:uid="{00000000-0005-0000-0000-0000487D0000}"/>
    <cellStyle name="Output 23 2 12 4" xfId="32075" xr:uid="{00000000-0005-0000-0000-0000497D0000}"/>
    <cellStyle name="Output 23 2 13" xfId="32076" xr:uid="{00000000-0005-0000-0000-00004A7D0000}"/>
    <cellStyle name="Output 23 2 13 2" xfId="32077" xr:uid="{00000000-0005-0000-0000-00004B7D0000}"/>
    <cellStyle name="Output 23 2 13 2 2" xfId="32078" xr:uid="{00000000-0005-0000-0000-00004C7D0000}"/>
    <cellStyle name="Output 23 2 13 2 3" xfId="32079" xr:uid="{00000000-0005-0000-0000-00004D7D0000}"/>
    <cellStyle name="Output 23 2 13 3" xfId="32080" xr:uid="{00000000-0005-0000-0000-00004E7D0000}"/>
    <cellStyle name="Output 23 2 13 4" xfId="32081" xr:uid="{00000000-0005-0000-0000-00004F7D0000}"/>
    <cellStyle name="Output 23 2 14" xfId="32082" xr:uid="{00000000-0005-0000-0000-0000507D0000}"/>
    <cellStyle name="Output 23 2 14 2" xfId="32083" xr:uid="{00000000-0005-0000-0000-0000517D0000}"/>
    <cellStyle name="Output 23 2 14 2 2" xfId="32084" xr:uid="{00000000-0005-0000-0000-0000527D0000}"/>
    <cellStyle name="Output 23 2 14 2 3" xfId="32085" xr:uid="{00000000-0005-0000-0000-0000537D0000}"/>
    <cellStyle name="Output 23 2 14 3" xfId="32086" xr:uid="{00000000-0005-0000-0000-0000547D0000}"/>
    <cellStyle name="Output 23 2 14 4" xfId="32087" xr:uid="{00000000-0005-0000-0000-0000557D0000}"/>
    <cellStyle name="Output 23 2 15" xfId="32088" xr:uid="{00000000-0005-0000-0000-0000567D0000}"/>
    <cellStyle name="Output 23 2 15 2" xfId="32089" xr:uid="{00000000-0005-0000-0000-0000577D0000}"/>
    <cellStyle name="Output 23 2 15 2 2" xfId="32090" xr:uid="{00000000-0005-0000-0000-0000587D0000}"/>
    <cellStyle name="Output 23 2 15 2 3" xfId="32091" xr:uid="{00000000-0005-0000-0000-0000597D0000}"/>
    <cellStyle name="Output 23 2 15 3" xfId="32092" xr:uid="{00000000-0005-0000-0000-00005A7D0000}"/>
    <cellStyle name="Output 23 2 15 4" xfId="32093" xr:uid="{00000000-0005-0000-0000-00005B7D0000}"/>
    <cellStyle name="Output 23 2 16" xfId="32094" xr:uid="{00000000-0005-0000-0000-00005C7D0000}"/>
    <cellStyle name="Output 23 2 16 2" xfId="32095" xr:uid="{00000000-0005-0000-0000-00005D7D0000}"/>
    <cellStyle name="Output 23 2 16 2 2" xfId="32096" xr:uid="{00000000-0005-0000-0000-00005E7D0000}"/>
    <cellStyle name="Output 23 2 16 2 3" xfId="32097" xr:uid="{00000000-0005-0000-0000-00005F7D0000}"/>
    <cellStyle name="Output 23 2 16 3" xfId="32098" xr:uid="{00000000-0005-0000-0000-0000607D0000}"/>
    <cellStyle name="Output 23 2 16 4" xfId="32099" xr:uid="{00000000-0005-0000-0000-0000617D0000}"/>
    <cellStyle name="Output 23 2 17" xfId="32100" xr:uid="{00000000-0005-0000-0000-0000627D0000}"/>
    <cellStyle name="Output 23 2 17 2" xfId="32101" xr:uid="{00000000-0005-0000-0000-0000637D0000}"/>
    <cellStyle name="Output 23 2 17 2 2" xfId="32102" xr:uid="{00000000-0005-0000-0000-0000647D0000}"/>
    <cellStyle name="Output 23 2 17 2 3" xfId="32103" xr:uid="{00000000-0005-0000-0000-0000657D0000}"/>
    <cellStyle name="Output 23 2 17 3" xfId="32104" xr:uid="{00000000-0005-0000-0000-0000667D0000}"/>
    <cellStyle name="Output 23 2 17 4" xfId="32105" xr:uid="{00000000-0005-0000-0000-0000677D0000}"/>
    <cellStyle name="Output 23 2 18" xfId="32106" xr:uid="{00000000-0005-0000-0000-0000687D0000}"/>
    <cellStyle name="Output 23 2 18 2" xfId="32107" xr:uid="{00000000-0005-0000-0000-0000697D0000}"/>
    <cellStyle name="Output 23 2 18 3" xfId="32108" xr:uid="{00000000-0005-0000-0000-00006A7D0000}"/>
    <cellStyle name="Output 23 2 18 4" xfId="32109" xr:uid="{00000000-0005-0000-0000-00006B7D0000}"/>
    <cellStyle name="Output 23 2 19" xfId="32110" xr:uid="{00000000-0005-0000-0000-00006C7D0000}"/>
    <cellStyle name="Output 23 2 2" xfId="32111" xr:uid="{00000000-0005-0000-0000-00006D7D0000}"/>
    <cellStyle name="Output 23 2 2 2" xfId="32112" xr:uid="{00000000-0005-0000-0000-00006E7D0000}"/>
    <cellStyle name="Output 23 2 2 2 2" xfId="32113" xr:uid="{00000000-0005-0000-0000-00006F7D0000}"/>
    <cellStyle name="Output 23 2 2 2 3" xfId="32114" xr:uid="{00000000-0005-0000-0000-0000707D0000}"/>
    <cellStyle name="Output 23 2 2 3" xfId="32115" xr:uid="{00000000-0005-0000-0000-0000717D0000}"/>
    <cellStyle name="Output 23 2 2 4" xfId="32116" xr:uid="{00000000-0005-0000-0000-0000727D0000}"/>
    <cellStyle name="Output 23 2 20" xfId="32117" xr:uid="{00000000-0005-0000-0000-0000737D0000}"/>
    <cellStyle name="Output 23 2 21" xfId="32118" xr:uid="{00000000-0005-0000-0000-0000747D0000}"/>
    <cellStyle name="Output 23 2 3" xfId="32119" xr:uid="{00000000-0005-0000-0000-0000757D0000}"/>
    <cellStyle name="Output 23 2 3 2" xfId="32120" xr:uid="{00000000-0005-0000-0000-0000767D0000}"/>
    <cellStyle name="Output 23 2 3 2 2" xfId="32121" xr:uid="{00000000-0005-0000-0000-0000777D0000}"/>
    <cellStyle name="Output 23 2 3 2 3" xfId="32122" xr:uid="{00000000-0005-0000-0000-0000787D0000}"/>
    <cellStyle name="Output 23 2 3 3" xfId="32123" xr:uid="{00000000-0005-0000-0000-0000797D0000}"/>
    <cellStyle name="Output 23 2 3 4" xfId="32124" xr:uid="{00000000-0005-0000-0000-00007A7D0000}"/>
    <cellStyle name="Output 23 2 4" xfId="32125" xr:uid="{00000000-0005-0000-0000-00007B7D0000}"/>
    <cellStyle name="Output 23 2 4 2" xfId="32126" xr:uid="{00000000-0005-0000-0000-00007C7D0000}"/>
    <cellStyle name="Output 23 2 4 2 2" xfId="32127" xr:uid="{00000000-0005-0000-0000-00007D7D0000}"/>
    <cellStyle name="Output 23 2 4 2 3" xfId="32128" xr:uid="{00000000-0005-0000-0000-00007E7D0000}"/>
    <cellStyle name="Output 23 2 4 3" xfId="32129" xr:uid="{00000000-0005-0000-0000-00007F7D0000}"/>
    <cellStyle name="Output 23 2 4 4" xfId="32130" xr:uid="{00000000-0005-0000-0000-0000807D0000}"/>
    <cellStyle name="Output 23 2 5" xfId="32131" xr:uid="{00000000-0005-0000-0000-0000817D0000}"/>
    <cellStyle name="Output 23 2 5 2" xfId="32132" xr:uid="{00000000-0005-0000-0000-0000827D0000}"/>
    <cellStyle name="Output 23 2 5 2 2" xfId="32133" xr:uid="{00000000-0005-0000-0000-0000837D0000}"/>
    <cellStyle name="Output 23 2 5 2 3" xfId="32134" xr:uid="{00000000-0005-0000-0000-0000847D0000}"/>
    <cellStyle name="Output 23 2 5 3" xfId="32135" xr:uid="{00000000-0005-0000-0000-0000857D0000}"/>
    <cellStyle name="Output 23 2 5 4" xfId="32136" xr:uid="{00000000-0005-0000-0000-0000867D0000}"/>
    <cellStyle name="Output 23 2 6" xfId="32137" xr:uid="{00000000-0005-0000-0000-0000877D0000}"/>
    <cellStyle name="Output 23 2 6 2" xfId="32138" xr:uid="{00000000-0005-0000-0000-0000887D0000}"/>
    <cellStyle name="Output 23 2 6 2 2" xfId="32139" xr:uid="{00000000-0005-0000-0000-0000897D0000}"/>
    <cellStyle name="Output 23 2 6 2 3" xfId="32140" xr:uid="{00000000-0005-0000-0000-00008A7D0000}"/>
    <cellStyle name="Output 23 2 6 3" xfId="32141" xr:uid="{00000000-0005-0000-0000-00008B7D0000}"/>
    <cellStyle name="Output 23 2 6 4" xfId="32142" xr:uid="{00000000-0005-0000-0000-00008C7D0000}"/>
    <cellStyle name="Output 23 2 7" xfId="32143" xr:uid="{00000000-0005-0000-0000-00008D7D0000}"/>
    <cellStyle name="Output 23 2 7 2" xfId="32144" xr:uid="{00000000-0005-0000-0000-00008E7D0000}"/>
    <cellStyle name="Output 23 2 7 2 2" xfId="32145" xr:uid="{00000000-0005-0000-0000-00008F7D0000}"/>
    <cellStyle name="Output 23 2 7 2 3" xfId="32146" xr:uid="{00000000-0005-0000-0000-0000907D0000}"/>
    <cellStyle name="Output 23 2 7 3" xfId="32147" xr:uid="{00000000-0005-0000-0000-0000917D0000}"/>
    <cellStyle name="Output 23 2 7 4" xfId="32148" xr:uid="{00000000-0005-0000-0000-0000927D0000}"/>
    <cellStyle name="Output 23 2 8" xfId="32149" xr:uid="{00000000-0005-0000-0000-0000937D0000}"/>
    <cellStyle name="Output 23 2 8 2" xfId="32150" xr:uid="{00000000-0005-0000-0000-0000947D0000}"/>
    <cellStyle name="Output 23 2 8 2 2" xfId="32151" xr:uid="{00000000-0005-0000-0000-0000957D0000}"/>
    <cellStyle name="Output 23 2 8 2 3" xfId="32152" xr:uid="{00000000-0005-0000-0000-0000967D0000}"/>
    <cellStyle name="Output 23 2 8 3" xfId="32153" xr:uid="{00000000-0005-0000-0000-0000977D0000}"/>
    <cellStyle name="Output 23 2 8 4" xfId="32154" xr:uid="{00000000-0005-0000-0000-0000987D0000}"/>
    <cellStyle name="Output 23 2 9" xfId="32155" xr:uid="{00000000-0005-0000-0000-0000997D0000}"/>
    <cellStyle name="Output 23 2 9 2" xfId="32156" xr:uid="{00000000-0005-0000-0000-00009A7D0000}"/>
    <cellStyle name="Output 23 2 9 2 2" xfId="32157" xr:uid="{00000000-0005-0000-0000-00009B7D0000}"/>
    <cellStyle name="Output 23 2 9 2 3" xfId="32158" xr:uid="{00000000-0005-0000-0000-00009C7D0000}"/>
    <cellStyle name="Output 23 2 9 3" xfId="32159" xr:uid="{00000000-0005-0000-0000-00009D7D0000}"/>
    <cellStyle name="Output 23 2 9 4" xfId="32160" xr:uid="{00000000-0005-0000-0000-00009E7D0000}"/>
    <cellStyle name="Output 23 3" xfId="32161" xr:uid="{00000000-0005-0000-0000-00009F7D0000}"/>
    <cellStyle name="Output 23 3 2" xfId="32162" xr:uid="{00000000-0005-0000-0000-0000A07D0000}"/>
    <cellStyle name="Output 23 3 2 2" xfId="32163" xr:uid="{00000000-0005-0000-0000-0000A17D0000}"/>
    <cellStyle name="Output 23 3 2 3" xfId="32164" xr:uid="{00000000-0005-0000-0000-0000A27D0000}"/>
    <cellStyle name="Output 23 3 3" xfId="32165" xr:uid="{00000000-0005-0000-0000-0000A37D0000}"/>
    <cellStyle name="Output 23 3 4" xfId="32166" xr:uid="{00000000-0005-0000-0000-0000A47D0000}"/>
    <cellStyle name="Output 23 4" xfId="32167" xr:uid="{00000000-0005-0000-0000-0000A57D0000}"/>
    <cellStyle name="Output 23 5" xfId="32168" xr:uid="{00000000-0005-0000-0000-0000A67D0000}"/>
    <cellStyle name="Output 24" xfId="32169" xr:uid="{00000000-0005-0000-0000-0000A77D0000}"/>
    <cellStyle name="Output 24 2" xfId="32170" xr:uid="{00000000-0005-0000-0000-0000A87D0000}"/>
    <cellStyle name="Output 24 2 10" xfId="32171" xr:uid="{00000000-0005-0000-0000-0000A97D0000}"/>
    <cellStyle name="Output 24 2 10 2" xfId="32172" xr:uid="{00000000-0005-0000-0000-0000AA7D0000}"/>
    <cellStyle name="Output 24 2 10 2 2" xfId="32173" xr:uid="{00000000-0005-0000-0000-0000AB7D0000}"/>
    <cellStyle name="Output 24 2 10 2 3" xfId="32174" xr:uid="{00000000-0005-0000-0000-0000AC7D0000}"/>
    <cellStyle name="Output 24 2 10 3" xfId="32175" xr:uid="{00000000-0005-0000-0000-0000AD7D0000}"/>
    <cellStyle name="Output 24 2 10 4" xfId="32176" xr:uid="{00000000-0005-0000-0000-0000AE7D0000}"/>
    <cellStyle name="Output 24 2 11" xfId="32177" xr:uid="{00000000-0005-0000-0000-0000AF7D0000}"/>
    <cellStyle name="Output 24 2 11 2" xfId="32178" xr:uid="{00000000-0005-0000-0000-0000B07D0000}"/>
    <cellStyle name="Output 24 2 11 2 2" xfId="32179" xr:uid="{00000000-0005-0000-0000-0000B17D0000}"/>
    <cellStyle name="Output 24 2 11 2 3" xfId="32180" xr:uid="{00000000-0005-0000-0000-0000B27D0000}"/>
    <cellStyle name="Output 24 2 11 3" xfId="32181" xr:uid="{00000000-0005-0000-0000-0000B37D0000}"/>
    <cellStyle name="Output 24 2 11 4" xfId="32182" xr:uid="{00000000-0005-0000-0000-0000B47D0000}"/>
    <cellStyle name="Output 24 2 12" xfId="32183" xr:uid="{00000000-0005-0000-0000-0000B57D0000}"/>
    <cellStyle name="Output 24 2 12 2" xfId="32184" xr:uid="{00000000-0005-0000-0000-0000B67D0000}"/>
    <cellStyle name="Output 24 2 12 2 2" xfId="32185" xr:uid="{00000000-0005-0000-0000-0000B77D0000}"/>
    <cellStyle name="Output 24 2 12 2 3" xfId="32186" xr:uid="{00000000-0005-0000-0000-0000B87D0000}"/>
    <cellStyle name="Output 24 2 12 3" xfId="32187" xr:uid="{00000000-0005-0000-0000-0000B97D0000}"/>
    <cellStyle name="Output 24 2 12 4" xfId="32188" xr:uid="{00000000-0005-0000-0000-0000BA7D0000}"/>
    <cellStyle name="Output 24 2 13" xfId="32189" xr:uid="{00000000-0005-0000-0000-0000BB7D0000}"/>
    <cellStyle name="Output 24 2 13 2" xfId="32190" xr:uid="{00000000-0005-0000-0000-0000BC7D0000}"/>
    <cellStyle name="Output 24 2 13 2 2" xfId="32191" xr:uid="{00000000-0005-0000-0000-0000BD7D0000}"/>
    <cellStyle name="Output 24 2 13 2 3" xfId="32192" xr:uid="{00000000-0005-0000-0000-0000BE7D0000}"/>
    <cellStyle name="Output 24 2 13 3" xfId="32193" xr:uid="{00000000-0005-0000-0000-0000BF7D0000}"/>
    <cellStyle name="Output 24 2 13 4" xfId="32194" xr:uid="{00000000-0005-0000-0000-0000C07D0000}"/>
    <cellStyle name="Output 24 2 14" xfId="32195" xr:uid="{00000000-0005-0000-0000-0000C17D0000}"/>
    <cellStyle name="Output 24 2 14 2" xfId="32196" xr:uid="{00000000-0005-0000-0000-0000C27D0000}"/>
    <cellStyle name="Output 24 2 14 2 2" xfId="32197" xr:uid="{00000000-0005-0000-0000-0000C37D0000}"/>
    <cellStyle name="Output 24 2 14 2 3" xfId="32198" xr:uid="{00000000-0005-0000-0000-0000C47D0000}"/>
    <cellStyle name="Output 24 2 14 3" xfId="32199" xr:uid="{00000000-0005-0000-0000-0000C57D0000}"/>
    <cellStyle name="Output 24 2 14 4" xfId="32200" xr:uid="{00000000-0005-0000-0000-0000C67D0000}"/>
    <cellStyle name="Output 24 2 15" xfId="32201" xr:uid="{00000000-0005-0000-0000-0000C77D0000}"/>
    <cellStyle name="Output 24 2 15 2" xfId="32202" xr:uid="{00000000-0005-0000-0000-0000C87D0000}"/>
    <cellStyle name="Output 24 2 15 2 2" xfId="32203" xr:uid="{00000000-0005-0000-0000-0000C97D0000}"/>
    <cellStyle name="Output 24 2 15 2 3" xfId="32204" xr:uid="{00000000-0005-0000-0000-0000CA7D0000}"/>
    <cellStyle name="Output 24 2 15 3" xfId="32205" xr:uid="{00000000-0005-0000-0000-0000CB7D0000}"/>
    <cellStyle name="Output 24 2 15 4" xfId="32206" xr:uid="{00000000-0005-0000-0000-0000CC7D0000}"/>
    <cellStyle name="Output 24 2 16" xfId="32207" xr:uid="{00000000-0005-0000-0000-0000CD7D0000}"/>
    <cellStyle name="Output 24 2 16 2" xfId="32208" xr:uid="{00000000-0005-0000-0000-0000CE7D0000}"/>
    <cellStyle name="Output 24 2 16 2 2" xfId="32209" xr:uid="{00000000-0005-0000-0000-0000CF7D0000}"/>
    <cellStyle name="Output 24 2 16 2 3" xfId="32210" xr:uid="{00000000-0005-0000-0000-0000D07D0000}"/>
    <cellStyle name="Output 24 2 16 3" xfId="32211" xr:uid="{00000000-0005-0000-0000-0000D17D0000}"/>
    <cellStyle name="Output 24 2 16 4" xfId="32212" xr:uid="{00000000-0005-0000-0000-0000D27D0000}"/>
    <cellStyle name="Output 24 2 17" xfId="32213" xr:uid="{00000000-0005-0000-0000-0000D37D0000}"/>
    <cellStyle name="Output 24 2 17 2" xfId="32214" xr:uid="{00000000-0005-0000-0000-0000D47D0000}"/>
    <cellStyle name="Output 24 2 17 2 2" xfId="32215" xr:uid="{00000000-0005-0000-0000-0000D57D0000}"/>
    <cellStyle name="Output 24 2 17 2 3" xfId="32216" xr:uid="{00000000-0005-0000-0000-0000D67D0000}"/>
    <cellStyle name="Output 24 2 17 3" xfId="32217" xr:uid="{00000000-0005-0000-0000-0000D77D0000}"/>
    <cellStyle name="Output 24 2 17 4" xfId="32218" xr:uid="{00000000-0005-0000-0000-0000D87D0000}"/>
    <cellStyle name="Output 24 2 18" xfId="32219" xr:uid="{00000000-0005-0000-0000-0000D97D0000}"/>
    <cellStyle name="Output 24 2 18 2" xfId="32220" xr:uid="{00000000-0005-0000-0000-0000DA7D0000}"/>
    <cellStyle name="Output 24 2 18 3" xfId="32221" xr:uid="{00000000-0005-0000-0000-0000DB7D0000}"/>
    <cellStyle name="Output 24 2 18 4" xfId="32222" xr:uid="{00000000-0005-0000-0000-0000DC7D0000}"/>
    <cellStyle name="Output 24 2 19" xfId="32223" xr:uid="{00000000-0005-0000-0000-0000DD7D0000}"/>
    <cellStyle name="Output 24 2 2" xfId="32224" xr:uid="{00000000-0005-0000-0000-0000DE7D0000}"/>
    <cellStyle name="Output 24 2 2 2" xfId="32225" xr:uid="{00000000-0005-0000-0000-0000DF7D0000}"/>
    <cellStyle name="Output 24 2 2 2 2" xfId="32226" xr:uid="{00000000-0005-0000-0000-0000E07D0000}"/>
    <cellStyle name="Output 24 2 2 2 3" xfId="32227" xr:uid="{00000000-0005-0000-0000-0000E17D0000}"/>
    <cellStyle name="Output 24 2 2 3" xfId="32228" xr:uid="{00000000-0005-0000-0000-0000E27D0000}"/>
    <cellStyle name="Output 24 2 2 4" xfId="32229" xr:uid="{00000000-0005-0000-0000-0000E37D0000}"/>
    <cellStyle name="Output 24 2 20" xfId="32230" xr:uid="{00000000-0005-0000-0000-0000E47D0000}"/>
    <cellStyle name="Output 24 2 21" xfId="32231" xr:uid="{00000000-0005-0000-0000-0000E57D0000}"/>
    <cellStyle name="Output 24 2 3" xfId="32232" xr:uid="{00000000-0005-0000-0000-0000E67D0000}"/>
    <cellStyle name="Output 24 2 3 2" xfId="32233" xr:uid="{00000000-0005-0000-0000-0000E77D0000}"/>
    <cellStyle name="Output 24 2 3 2 2" xfId="32234" xr:uid="{00000000-0005-0000-0000-0000E87D0000}"/>
    <cellStyle name="Output 24 2 3 2 3" xfId="32235" xr:uid="{00000000-0005-0000-0000-0000E97D0000}"/>
    <cellStyle name="Output 24 2 3 3" xfId="32236" xr:uid="{00000000-0005-0000-0000-0000EA7D0000}"/>
    <cellStyle name="Output 24 2 3 4" xfId="32237" xr:uid="{00000000-0005-0000-0000-0000EB7D0000}"/>
    <cellStyle name="Output 24 2 4" xfId="32238" xr:uid="{00000000-0005-0000-0000-0000EC7D0000}"/>
    <cellStyle name="Output 24 2 4 2" xfId="32239" xr:uid="{00000000-0005-0000-0000-0000ED7D0000}"/>
    <cellStyle name="Output 24 2 4 2 2" xfId="32240" xr:uid="{00000000-0005-0000-0000-0000EE7D0000}"/>
    <cellStyle name="Output 24 2 4 2 3" xfId="32241" xr:uid="{00000000-0005-0000-0000-0000EF7D0000}"/>
    <cellStyle name="Output 24 2 4 3" xfId="32242" xr:uid="{00000000-0005-0000-0000-0000F07D0000}"/>
    <cellStyle name="Output 24 2 4 4" xfId="32243" xr:uid="{00000000-0005-0000-0000-0000F17D0000}"/>
    <cellStyle name="Output 24 2 5" xfId="32244" xr:uid="{00000000-0005-0000-0000-0000F27D0000}"/>
    <cellStyle name="Output 24 2 5 2" xfId="32245" xr:uid="{00000000-0005-0000-0000-0000F37D0000}"/>
    <cellStyle name="Output 24 2 5 2 2" xfId="32246" xr:uid="{00000000-0005-0000-0000-0000F47D0000}"/>
    <cellStyle name="Output 24 2 5 2 3" xfId="32247" xr:uid="{00000000-0005-0000-0000-0000F57D0000}"/>
    <cellStyle name="Output 24 2 5 3" xfId="32248" xr:uid="{00000000-0005-0000-0000-0000F67D0000}"/>
    <cellStyle name="Output 24 2 5 4" xfId="32249" xr:uid="{00000000-0005-0000-0000-0000F77D0000}"/>
    <cellStyle name="Output 24 2 6" xfId="32250" xr:uid="{00000000-0005-0000-0000-0000F87D0000}"/>
    <cellStyle name="Output 24 2 6 2" xfId="32251" xr:uid="{00000000-0005-0000-0000-0000F97D0000}"/>
    <cellStyle name="Output 24 2 6 2 2" xfId="32252" xr:uid="{00000000-0005-0000-0000-0000FA7D0000}"/>
    <cellStyle name="Output 24 2 6 2 3" xfId="32253" xr:uid="{00000000-0005-0000-0000-0000FB7D0000}"/>
    <cellStyle name="Output 24 2 6 3" xfId="32254" xr:uid="{00000000-0005-0000-0000-0000FC7D0000}"/>
    <cellStyle name="Output 24 2 6 4" xfId="32255" xr:uid="{00000000-0005-0000-0000-0000FD7D0000}"/>
    <cellStyle name="Output 24 2 7" xfId="32256" xr:uid="{00000000-0005-0000-0000-0000FE7D0000}"/>
    <cellStyle name="Output 24 2 7 2" xfId="32257" xr:uid="{00000000-0005-0000-0000-0000FF7D0000}"/>
    <cellStyle name="Output 24 2 7 2 2" xfId="32258" xr:uid="{00000000-0005-0000-0000-0000007E0000}"/>
    <cellStyle name="Output 24 2 7 2 3" xfId="32259" xr:uid="{00000000-0005-0000-0000-0000017E0000}"/>
    <cellStyle name="Output 24 2 7 3" xfId="32260" xr:uid="{00000000-0005-0000-0000-0000027E0000}"/>
    <cellStyle name="Output 24 2 7 4" xfId="32261" xr:uid="{00000000-0005-0000-0000-0000037E0000}"/>
    <cellStyle name="Output 24 2 8" xfId="32262" xr:uid="{00000000-0005-0000-0000-0000047E0000}"/>
    <cellStyle name="Output 24 2 8 2" xfId="32263" xr:uid="{00000000-0005-0000-0000-0000057E0000}"/>
    <cellStyle name="Output 24 2 8 2 2" xfId="32264" xr:uid="{00000000-0005-0000-0000-0000067E0000}"/>
    <cellStyle name="Output 24 2 8 2 3" xfId="32265" xr:uid="{00000000-0005-0000-0000-0000077E0000}"/>
    <cellStyle name="Output 24 2 8 3" xfId="32266" xr:uid="{00000000-0005-0000-0000-0000087E0000}"/>
    <cellStyle name="Output 24 2 8 4" xfId="32267" xr:uid="{00000000-0005-0000-0000-0000097E0000}"/>
    <cellStyle name="Output 24 2 9" xfId="32268" xr:uid="{00000000-0005-0000-0000-00000A7E0000}"/>
    <cellStyle name="Output 24 2 9 2" xfId="32269" xr:uid="{00000000-0005-0000-0000-00000B7E0000}"/>
    <cellStyle name="Output 24 2 9 2 2" xfId="32270" xr:uid="{00000000-0005-0000-0000-00000C7E0000}"/>
    <cellStyle name="Output 24 2 9 2 3" xfId="32271" xr:uid="{00000000-0005-0000-0000-00000D7E0000}"/>
    <cellStyle name="Output 24 2 9 3" xfId="32272" xr:uid="{00000000-0005-0000-0000-00000E7E0000}"/>
    <cellStyle name="Output 24 2 9 4" xfId="32273" xr:uid="{00000000-0005-0000-0000-00000F7E0000}"/>
    <cellStyle name="Output 24 3" xfId="32274" xr:uid="{00000000-0005-0000-0000-0000107E0000}"/>
    <cellStyle name="Output 24 3 2" xfId="32275" xr:uid="{00000000-0005-0000-0000-0000117E0000}"/>
    <cellStyle name="Output 24 3 2 2" xfId="32276" xr:uid="{00000000-0005-0000-0000-0000127E0000}"/>
    <cellStyle name="Output 24 3 2 3" xfId="32277" xr:uid="{00000000-0005-0000-0000-0000137E0000}"/>
    <cellStyle name="Output 24 3 3" xfId="32278" xr:uid="{00000000-0005-0000-0000-0000147E0000}"/>
    <cellStyle name="Output 24 3 4" xfId="32279" xr:uid="{00000000-0005-0000-0000-0000157E0000}"/>
    <cellStyle name="Output 24 4" xfId="32280" xr:uid="{00000000-0005-0000-0000-0000167E0000}"/>
    <cellStyle name="Output 24 5" xfId="32281" xr:uid="{00000000-0005-0000-0000-0000177E0000}"/>
    <cellStyle name="Output 25" xfId="32282" xr:uid="{00000000-0005-0000-0000-0000187E0000}"/>
    <cellStyle name="Output 25 2" xfId="32283" xr:uid="{00000000-0005-0000-0000-0000197E0000}"/>
    <cellStyle name="Output 25 2 10" xfId="32284" xr:uid="{00000000-0005-0000-0000-00001A7E0000}"/>
    <cellStyle name="Output 25 2 10 2" xfId="32285" xr:uid="{00000000-0005-0000-0000-00001B7E0000}"/>
    <cellStyle name="Output 25 2 10 2 2" xfId="32286" xr:uid="{00000000-0005-0000-0000-00001C7E0000}"/>
    <cellStyle name="Output 25 2 10 2 3" xfId="32287" xr:uid="{00000000-0005-0000-0000-00001D7E0000}"/>
    <cellStyle name="Output 25 2 10 3" xfId="32288" xr:uid="{00000000-0005-0000-0000-00001E7E0000}"/>
    <cellStyle name="Output 25 2 10 4" xfId="32289" xr:uid="{00000000-0005-0000-0000-00001F7E0000}"/>
    <cellStyle name="Output 25 2 11" xfId="32290" xr:uid="{00000000-0005-0000-0000-0000207E0000}"/>
    <cellStyle name="Output 25 2 11 2" xfId="32291" xr:uid="{00000000-0005-0000-0000-0000217E0000}"/>
    <cellStyle name="Output 25 2 11 2 2" xfId="32292" xr:uid="{00000000-0005-0000-0000-0000227E0000}"/>
    <cellStyle name="Output 25 2 11 2 3" xfId="32293" xr:uid="{00000000-0005-0000-0000-0000237E0000}"/>
    <cellStyle name="Output 25 2 11 3" xfId="32294" xr:uid="{00000000-0005-0000-0000-0000247E0000}"/>
    <cellStyle name="Output 25 2 11 4" xfId="32295" xr:uid="{00000000-0005-0000-0000-0000257E0000}"/>
    <cellStyle name="Output 25 2 12" xfId="32296" xr:uid="{00000000-0005-0000-0000-0000267E0000}"/>
    <cellStyle name="Output 25 2 12 2" xfId="32297" xr:uid="{00000000-0005-0000-0000-0000277E0000}"/>
    <cellStyle name="Output 25 2 12 2 2" xfId="32298" xr:uid="{00000000-0005-0000-0000-0000287E0000}"/>
    <cellStyle name="Output 25 2 12 2 3" xfId="32299" xr:uid="{00000000-0005-0000-0000-0000297E0000}"/>
    <cellStyle name="Output 25 2 12 3" xfId="32300" xr:uid="{00000000-0005-0000-0000-00002A7E0000}"/>
    <cellStyle name="Output 25 2 12 4" xfId="32301" xr:uid="{00000000-0005-0000-0000-00002B7E0000}"/>
    <cellStyle name="Output 25 2 13" xfId="32302" xr:uid="{00000000-0005-0000-0000-00002C7E0000}"/>
    <cellStyle name="Output 25 2 13 2" xfId="32303" xr:uid="{00000000-0005-0000-0000-00002D7E0000}"/>
    <cellStyle name="Output 25 2 13 2 2" xfId="32304" xr:uid="{00000000-0005-0000-0000-00002E7E0000}"/>
    <cellStyle name="Output 25 2 13 2 3" xfId="32305" xr:uid="{00000000-0005-0000-0000-00002F7E0000}"/>
    <cellStyle name="Output 25 2 13 3" xfId="32306" xr:uid="{00000000-0005-0000-0000-0000307E0000}"/>
    <cellStyle name="Output 25 2 13 4" xfId="32307" xr:uid="{00000000-0005-0000-0000-0000317E0000}"/>
    <cellStyle name="Output 25 2 14" xfId="32308" xr:uid="{00000000-0005-0000-0000-0000327E0000}"/>
    <cellStyle name="Output 25 2 14 2" xfId="32309" xr:uid="{00000000-0005-0000-0000-0000337E0000}"/>
    <cellStyle name="Output 25 2 14 2 2" xfId="32310" xr:uid="{00000000-0005-0000-0000-0000347E0000}"/>
    <cellStyle name="Output 25 2 14 2 3" xfId="32311" xr:uid="{00000000-0005-0000-0000-0000357E0000}"/>
    <cellStyle name="Output 25 2 14 3" xfId="32312" xr:uid="{00000000-0005-0000-0000-0000367E0000}"/>
    <cellStyle name="Output 25 2 14 4" xfId="32313" xr:uid="{00000000-0005-0000-0000-0000377E0000}"/>
    <cellStyle name="Output 25 2 15" xfId="32314" xr:uid="{00000000-0005-0000-0000-0000387E0000}"/>
    <cellStyle name="Output 25 2 15 2" xfId="32315" xr:uid="{00000000-0005-0000-0000-0000397E0000}"/>
    <cellStyle name="Output 25 2 15 2 2" xfId="32316" xr:uid="{00000000-0005-0000-0000-00003A7E0000}"/>
    <cellStyle name="Output 25 2 15 2 3" xfId="32317" xr:uid="{00000000-0005-0000-0000-00003B7E0000}"/>
    <cellStyle name="Output 25 2 15 3" xfId="32318" xr:uid="{00000000-0005-0000-0000-00003C7E0000}"/>
    <cellStyle name="Output 25 2 15 4" xfId="32319" xr:uid="{00000000-0005-0000-0000-00003D7E0000}"/>
    <cellStyle name="Output 25 2 16" xfId="32320" xr:uid="{00000000-0005-0000-0000-00003E7E0000}"/>
    <cellStyle name="Output 25 2 16 2" xfId="32321" xr:uid="{00000000-0005-0000-0000-00003F7E0000}"/>
    <cellStyle name="Output 25 2 16 2 2" xfId="32322" xr:uid="{00000000-0005-0000-0000-0000407E0000}"/>
    <cellStyle name="Output 25 2 16 2 3" xfId="32323" xr:uid="{00000000-0005-0000-0000-0000417E0000}"/>
    <cellStyle name="Output 25 2 16 3" xfId="32324" xr:uid="{00000000-0005-0000-0000-0000427E0000}"/>
    <cellStyle name="Output 25 2 16 4" xfId="32325" xr:uid="{00000000-0005-0000-0000-0000437E0000}"/>
    <cellStyle name="Output 25 2 17" xfId="32326" xr:uid="{00000000-0005-0000-0000-0000447E0000}"/>
    <cellStyle name="Output 25 2 17 2" xfId="32327" xr:uid="{00000000-0005-0000-0000-0000457E0000}"/>
    <cellStyle name="Output 25 2 17 2 2" xfId="32328" xr:uid="{00000000-0005-0000-0000-0000467E0000}"/>
    <cellStyle name="Output 25 2 17 2 3" xfId="32329" xr:uid="{00000000-0005-0000-0000-0000477E0000}"/>
    <cellStyle name="Output 25 2 17 3" xfId="32330" xr:uid="{00000000-0005-0000-0000-0000487E0000}"/>
    <cellStyle name="Output 25 2 17 4" xfId="32331" xr:uid="{00000000-0005-0000-0000-0000497E0000}"/>
    <cellStyle name="Output 25 2 18" xfId="32332" xr:uid="{00000000-0005-0000-0000-00004A7E0000}"/>
    <cellStyle name="Output 25 2 18 2" xfId="32333" xr:uid="{00000000-0005-0000-0000-00004B7E0000}"/>
    <cellStyle name="Output 25 2 18 3" xfId="32334" xr:uid="{00000000-0005-0000-0000-00004C7E0000}"/>
    <cellStyle name="Output 25 2 18 4" xfId="32335" xr:uid="{00000000-0005-0000-0000-00004D7E0000}"/>
    <cellStyle name="Output 25 2 19" xfId="32336" xr:uid="{00000000-0005-0000-0000-00004E7E0000}"/>
    <cellStyle name="Output 25 2 2" xfId="32337" xr:uid="{00000000-0005-0000-0000-00004F7E0000}"/>
    <cellStyle name="Output 25 2 2 2" xfId="32338" xr:uid="{00000000-0005-0000-0000-0000507E0000}"/>
    <cellStyle name="Output 25 2 2 2 2" xfId="32339" xr:uid="{00000000-0005-0000-0000-0000517E0000}"/>
    <cellStyle name="Output 25 2 2 2 3" xfId="32340" xr:uid="{00000000-0005-0000-0000-0000527E0000}"/>
    <cellStyle name="Output 25 2 2 3" xfId="32341" xr:uid="{00000000-0005-0000-0000-0000537E0000}"/>
    <cellStyle name="Output 25 2 2 4" xfId="32342" xr:uid="{00000000-0005-0000-0000-0000547E0000}"/>
    <cellStyle name="Output 25 2 20" xfId="32343" xr:uid="{00000000-0005-0000-0000-0000557E0000}"/>
    <cellStyle name="Output 25 2 21" xfId="32344" xr:uid="{00000000-0005-0000-0000-0000567E0000}"/>
    <cellStyle name="Output 25 2 3" xfId="32345" xr:uid="{00000000-0005-0000-0000-0000577E0000}"/>
    <cellStyle name="Output 25 2 3 2" xfId="32346" xr:uid="{00000000-0005-0000-0000-0000587E0000}"/>
    <cellStyle name="Output 25 2 3 2 2" xfId="32347" xr:uid="{00000000-0005-0000-0000-0000597E0000}"/>
    <cellStyle name="Output 25 2 3 2 3" xfId="32348" xr:uid="{00000000-0005-0000-0000-00005A7E0000}"/>
    <cellStyle name="Output 25 2 3 3" xfId="32349" xr:uid="{00000000-0005-0000-0000-00005B7E0000}"/>
    <cellStyle name="Output 25 2 3 4" xfId="32350" xr:uid="{00000000-0005-0000-0000-00005C7E0000}"/>
    <cellStyle name="Output 25 2 4" xfId="32351" xr:uid="{00000000-0005-0000-0000-00005D7E0000}"/>
    <cellStyle name="Output 25 2 4 2" xfId="32352" xr:uid="{00000000-0005-0000-0000-00005E7E0000}"/>
    <cellStyle name="Output 25 2 4 2 2" xfId="32353" xr:uid="{00000000-0005-0000-0000-00005F7E0000}"/>
    <cellStyle name="Output 25 2 4 2 3" xfId="32354" xr:uid="{00000000-0005-0000-0000-0000607E0000}"/>
    <cellStyle name="Output 25 2 4 3" xfId="32355" xr:uid="{00000000-0005-0000-0000-0000617E0000}"/>
    <cellStyle name="Output 25 2 4 4" xfId="32356" xr:uid="{00000000-0005-0000-0000-0000627E0000}"/>
    <cellStyle name="Output 25 2 5" xfId="32357" xr:uid="{00000000-0005-0000-0000-0000637E0000}"/>
    <cellStyle name="Output 25 2 5 2" xfId="32358" xr:uid="{00000000-0005-0000-0000-0000647E0000}"/>
    <cellStyle name="Output 25 2 5 2 2" xfId="32359" xr:uid="{00000000-0005-0000-0000-0000657E0000}"/>
    <cellStyle name="Output 25 2 5 2 3" xfId="32360" xr:uid="{00000000-0005-0000-0000-0000667E0000}"/>
    <cellStyle name="Output 25 2 5 3" xfId="32361" xr:uid="{00000000-0005-0000-0000-0000677E0000}"/>
    <cellStyle name="Output 25 2 5 4" xfId="32362" xr:uid="{00000000-0005-0000-0000-0000687E0000}"/>
    <cellStyle name="Output 25 2 6" xfId="32363" xr:uid="{00000000-0005-0000-0000-0000697E0000}"/>
    <cellStyle name="Output 25 2 6 2" xfId="32364" xr:uid="{00000000-0005-0000-0000-00006A7E0000}"/>
    <cellStyle name="Output 25 2 6 2 2" xfId="32365" xr:uid="{00000000-0005-0000-0000-00006B7E0000}"/>
    <cellStyle name="Output 25 2 6 2 3" xfId="32366" xr:uid="{00000000-0005-0000-0000-00006C7E0000}"/>
    <cellStyle name="Output 25 2 6 3" xfId="32367" xr:uid="{00000000-0005-0000-0000-00006D7E0000}"/>
    <cellStyle name="Output 25 2 6 4" xfId="32368" xr:uid="{00000000-0005-0000-0000-00006E7E0000}"/>
    <cellStyle name="Output 25 2 7" xfId="32369" xr:uid="{00000000-0005-0000-0000-00006F7E0000}"/>
    <cellStyle name="Output 25 2 7 2" xfId="32370" xr:uid="{00000000-0005-0000-0000-0000707E0000}"/>
    <cellStyle name="Output 25 2 7 2 2" xfId="32371" xr:uid="{00000000-0005-0000-0000-0000717E0000}"/>
    <cellStyle name="Output 25 2 7 2 3" xfId="32372" xr:uid="{00000000-0005-0000-0000-0000727E0000}"/>
    <cellStyle name="Output 25 2 7 3" xfId="32373" xr:uid="{00000000-0005-0000-0000-0000737E0000}"/>
    <cellStyle name="Output 25 2 7 4" xfId="32374" xr:uid="{00000000-0005-0000-0000-0000747E0000}"/>
    <cellStyle name="Output 25 2 8" xfId="32375" xr:uid="{00000000-0005-0000-0000-0000757E0000}"/>
    <cellStyle name="Output 25 2 8 2" xfId="32376" xr:uid="{00000000-0005-0000-0000-0000767E0000}"/>
    <cellStyle name="Output 25 2 8 2 2" xfId="32377" xr:uid="{00000000-0005-0000-0000-0000777E0000}"/>
    <cellStyle name="Output 25 2 8 2 3" xfId="32378" xr:uid="{00000000-0005-0000-0000-0000787E0000}"/>
    <cellStyle name="Output 25 2 8 3" xfId="32379" xr:uid="{00000000-0005-0000-0000-0000797E0000}"/>
    <cellStyle name="Output 25 2 8 4" xfId="32380" xr:uid="{00000000-0005-0000-0000-00007A7E0000}"/>
    <cellStyle name="Output 25 2 9" xfId="32381" xr:uid="{00000000-0005-0000-0000-00007B7E0000}"/>
    <cellStyle name="Output 25 2 9 2" xfId="32382" xr:uid="{00000000-0005-0000-0000-00007C7E0000}"/>
    <cellStyle name="Output 25 2 9 2 2" xfId="32383" xr:uid="{00000000-0005-0000-0000-00007D7E0000}"/>
    <cellStyle name="Output 25 2 9 2 3" xfId="32384" xr:uid="{00000000-0005-0000-0000-00007E7E0000}"/>
    <cellStyle name="Output 25 2 9 3" xfId="32385" xr:uid="{00000000-0005-0000-0000-00007F7E0000}"/>
    <cellStyle name="Output 25 2 9 4" xfId="32386" xr:uid="{00000000-0005-0000-0000-0000807E0000}"/>
    <cellStyle name="Output 25 3" xfId="32387" xr:uid="{00000000-0005-0000-0000-0000817E0000}"/>
    <cellStyle name="Output 25 3 2" xfId="32388" xr:uid="{00000000-0005-0000-0000-0000827E0000}"/>
    <cellStyle name="Output 25 3 2 2" xfId="32389" xr:uid="{00000000-0005-0000-0000-0000837E0000}"/>
    <cellStyle name="Output 25 3 2 3" xfId="32390" xr:uid="{00000000-0005-0000-0000-0000847E0000}"/>
    <cellStyle name="Output 25 3 3" xfId="32391" xr:uid="{00000000-0005-0000-0000-0000857E0000}"/>
    <cellStyle name="Output 25 3 4" xfId="32392" xr:uid="{00000000-0005-0000-0000-0000867E0000}"/>
    <cellStyle name="Output 25 4" xfId="32393" xr:uid="{00000000-0005-0000-0000-0000877E0000}"/>
    <cellStyle name="Output 25 5" xfId="32394" xr:uid="{00000000-0005-0000-0000-0000887E0000}"/>
    <cellStyle name="Output 26" xfId="32395" xr:uid="{00000000-0005-0000-0000-0000897E0000}"/>
    <cellStyle name="Output 26 2" xfId="32396" xr:uid="{00000000-0005-0000-0000-00008A7E0000}"/>
    <cellStyle name="Output 26 2 10" xfId="32397" xr:uid="{00000000-0005-0000-0000-00008B7E0000}"/>
    <cellStyle name="Output 26 2 10 2" xfId="32398" xr:uid="{00000000-0005-0000-0000-00008C7E0000}"/>
    <cellStyle name="Output 26 2 10 2 2" xfId="32399" xr:uid="{00000000-0005-0000-0000-00008D7E0000}"/>
    <cellStyle name="Output 26 2 10 2 3" xfId="32400" xr:uid="{00000000-0005-0000-0000-00008E7E0000}"/>
    <cellStyle name="Output 26 2 10 3" xfId="32401" xr:uid="{00000000-0005-0000-0000-00008F7E0000}"/>
    <cellStyle name="Output 26 2 10 4" xfId="32402" xr:uid="{00000000-0005-0000-0000-0000907E0000}"/>
    <cellStyle name="Output 26 2 11" xfId="32403" xr:uid="{00000000-0005-0000-0000-0000917E0000}"/>
    <cellStyle name="Output 26 2 11 2" xfId="32404" xr:uid="{00000000-0005-0000-0000-0000927E0000}"/>
    <cellStyle name="Output 26 2 11 2 2" xfId="32405" xr:uid="{00000000-0005-0000-0000-0000937E0000}"/>
    <cellStyle name="Output 26 2 11 2 3" xfId="32406" xr:uid="{00000000-0005-0000-0000-0000947E0000}"/>
    <cellStyle name="Output 26 2 11 3" xfId="32407" xr:uid="{00000000-0005-0000-0000-0000957E0000}"/>
    <cellStyle name="Output 26 2 11 4" xfId="32408" xr:uid="{00000000-0005-0000-0000-0000967E0000}"/>
    <cellStyle name="Output 26 2 12" xfId="32409" xr:uid="{00000000-0005-0000-0000-0000977E0000}"/>
    <cellStyle name="Output 26 2 12 2" xfId="32410" xr:uid="{00000000-0005-0000-0000-0000987E0000}"/>
    <cellStyle name="Output 26 2 12 2 2" xfId="32411" xr:uid="{00000000-0005-0000-0000-0000997E0000}"/>
    <cellStyle name="Output 26 2 12 2 3" xfId="32412" xr:uid="{00000000-0005-0000-0000-00009A7E0000}"/>
    <cellStyle name="Output 26 2 12 3" xfId="32413" xr:uid="{00000000-0005-0000-0000-00009B7E0000}"/>
    <cellStyle name="Output 26 2 12 4" xfId="32414" xr:uid="{00000000-0005-0000-0000-00009C7E0000}"/>
    <cellStyle name="Output 26 2 13" xfId="32415" xr:uid="{00000000-0005-0000-0000-00009D7E0000}"/>
    <cellStyle name="Output 26 2 13 2" xfId="32416" xr:uid="{00000000-0005-0000-0000-00009E7E0000}"/>
    <cellStyle name="Output 26 2 13 2 2" xfId="32417" xr:uid="{00000000-0005-0000-0000-00009F7E0000}"/>
    <cellStyle name="Output 26 2 13 2 3" xfId="32418" xr:uid="{00000000-0005-0000-0000-0000A07E0000}"/>
    <cellStyle name="Output 26 2 13 3" xfId="32419" xr:uid="{00000000-0005-0000-0000-0000A17E0000}"/>
    <cellStyle name="Output 26 2 13 4" xfId="32420" xr:uid="{00000000-0005-0000-0000-0000A27E0000}"/>
    <cellStyle name="Output 26 2 14" xfId="32421" xr:uid="{00000000-0005-0000-0000-0000A37E0000}"/>
    <cellStyle name="Output 26 2 14 2" xfId="32422" xr:uid="{00000000-0005-0000-0000-0000A47E0000}"/>
    <cellStyle name="Output 26 2 14 2 2" xfId="32423" xr:uid="{00000000-0005-0000-0000-0000A57E0000}"/>
    <cellStyle name="Output 26 2 14 2 3" xfId="32424" xr:uid="{00000000-0005-0000-0000-0000A67E0000}"/>
    <cellStyle name="Output 26 2 14 3" xfId="32425" xr:uid="{00000000-0005-0000-0000-0000A77E0000}"/>
    <cellStyle name="Output 26 2 14 4" xfId="32426" xr:uid="{00000000-0005-0000-0000-0000A87E0000}"/>
    <cellStyle name="Output 26 2 15" xfId="32427" xr:uid="{00000000-0005-0000-0000-0000A97E0000}"/>
    <cellStyle name="Output 26 2 15 2" xfId="32428" xr:uid="{00000000-0005-0000-0000-0000AA7E0000}"/>
    <cellStyle name="Output 26 2 15 2 2" xfId="32429" xr:uid="{00000000-0005-0000-0000-0000AB7E0000}"/>
    <cellStyle name="Output 26 2 15 2 3" xfId="32430" xr:uid="{00000000-0005-0000-0000-0000AC7E0000}"/>
    <cellStyle name="Output 26 2 15 3" xfId="32431" xr:uid="{00000000-0005-0000-0000-0000AD7E0000}"/>
    <cellStyle name="Output 26 2 15 4" xfId="32432" xr:uid="{00000000-0005-0000-0000-0000AE7E0000}"/>
    <cellStyle name="Output 26 2 16" xfId="32433" xr:uid="{00000000-0005-0000-0000-0000AF7E0000}"/>
    <cellStyle name="Output 26 2 16 2" xfId="32434" xr:uid="{00000000-0005-0000-0000-0000B07E0000}"/>
    <cellStyle name="Output 26 2 16 2 2" xfId="32435" xr:uid="{00000000-0005-0000-0000-0000B17E0000}"/>
    <cellStyle name="Output 26 2 16 2 3" xfId="32436" xr:uid="{00000000-0005-0000-0000-0000B27E0000}"/>
    <cellStyle name="Output 26 2 16 3" xfId="32437" xr:uid="{00000000-0005-0000-0000-0000B37E0000}"/>
    <cellStyle name="Output 26 2 16 4" xfId="32438" xr:uid="{00000000-0005-0000-0000-0000B47E0000}"/>
    <cellStyle name="Output 26 2 17" xfId="32439" xr:uid="{00000000-0005-0000-0000-0000B57E0000}"/>
    <cellStyle name="Output 26 2 17 2" xfId="32440" xr:uid="{00000000-0005-0000-0000-0000B67E0000}"/>
    <cellStyle name="Output 26 2 17 2 2" xfId="32441" xr:uid="{00000000-0005-0000-0000-0000B77E0000}"/>
    <cellStyle name="Output 26 2 17 2 3" xfId="32442" xr:uid="{00000000-0005-0000-0000-0000B87E0000}"/>
    <cellStyle name="Output 26 2 17 3" xfId="32443" xr:uid="{00000000-0005-0000-0000-0000B97E0000}"/>
    <cellStyle name="Output 26 2 17 4" xfId="32444" xr:uid="{00000000-0005-0000-0000-0000BA7E0000}"/>
    <cellStyle name="Output 26 2 18" xfId="32445" xr:uid="{00000000-0005-0000-0000-0000BB7E0000}"/>
    <cellStyle name="Output 26 2 18 2" xfId="32446" xr:uid="{00000000-0005-0000-0000-0000BC7E0000}"/>
    <cellStyle name="Output 26 2 18 3" xfId="32447" xr:uid="{00000000-0005-0000-0000-0000BD7E0000}"/>
    <cellStyle name="Output 26 2 18 4" xfId="32448" xr:uid="{00000000-0005-0000-0000-0000BE7E0000}"/>
    <cellStyle name="Output 26 2 19" xfId="32449" xr:uid="{00000000-0005-0000-0000-0000BF7E0000}"/>
    <cellStyle name="Output 26 2 2" xfId="32450" xr:uid="{00000000-0005-0000-0000-0000C07E0000}"/>
    <cellStyle name="Output 26 2 2 2" xfId="32451" xr:uid="{00000000-0005-0000-0000-0000C17E0000}"/>
    <cellStyle name="Output 26 2 2 2 2" xfId="32452" xr:uid="{00000000-0005-0000-0000-0000C27E0000}"/>
    <cellStyle name="Output 26 2 2 2 3" xfId="32453" xr:uid="{00000000-0005-0000-0000-0000C37E0000}"/>
    <cellStyle name="Output 26 2 2 3" xfId="32454" xr:uid="{00000000-0005-0000-0000-0000C47E0000}"/>
    <cellStyle name="Output 26 2 2 4" xfId="32455" xr:uid="{00000000-0005-0000-0000-0000C57E0000}"/>
    <cellStyle name="Output 26 2 20" xfId="32456" xr:uid="{00000000-0005-0000-0000-0000C67E0000}"/>
    <cellStyle name="Output 26 2 21" xfId="32457" xr:uid="{00000000-0005-0000-0000-0000C77E0000}"/>
    <cellStyle name="Output 26 2 3" xfId="32458" xr:uid="{00000000-0005-0000-0000-0000C87E0000}"/>
    <cellStyle name="Output 26 2 3 2" xfId="32459" xr:uid="{00000000-0005-0000-0000-0000C97E0000}"/>
    <cellStyle name="Output 26 2 3 2 2" xfId="32460" xr:uid="{00000000-0005-0000-0000-0000CA7E0000}"/>
    <cellStyle name="Output 26 2 3 2 3" xfId="32461" xr:uid="{00000000-0005-0000-0000-0000CB7E0000}"/>
    <cellStyle name="Output 26 2 3 3" xfId="32462" xr:uid="{00000000-0005-0000-0000-0000CC7E0000}"/>
    <cellStyle name="Output 26 2 3 4" xfId="32463" xr:uid="{00000000-0005-0000-0000-0000CD7E0000}"/>
    <cellStyle name="Output 26 2 4" xfId="32464" xr:uid="{00000000-0005-0000-0000-0000CE7E0000}"/>
    <cellStyle name="Output 26 2 4 2" xfId="32465" xr:uid="{00000000-0005-0000-0000-0000CF7E0000}"/>
    <cellStyle name="Output 26 2 4 2 2" xfId="32466" xr:uid="{00000000-0005-0000-0000-0000D07E0000}"/>
    <cellStyle name="Output 26 2 4 2 3" xfId="32467" xr:uid="{00000000-0005-0000-0000-0000D17E0000}"/>
    <cellStyle name="Output 26 2 4 3" xfId="32468" xr:uid="{00000000-0005-0000-0000-0000D27E0000}"/>
    <cellStyle name="Output 26 2 4 4" xfId="32469" xr:uid="{00000000-0005-0000-0000-0000D37E0000}"/>
    <cellStyle name="Output 26 2 5" xfId="32470" xr:uid="{00000000-0005-0000-0000-0000D47E0000}"/>
    <cellStyle name="Output 26 2 5 2" xfId="32471" xr:uid="{00000000-0005-0000-0000-0000D57E0000}"/>
    <cellStyle name="Output 26 2 5 2 2" xfId="32472" xr:uid="{00000000-0005-0000-0000-0000D67E0000}"/>
    <cellStyle name="Output 26 2 5 2 3" xfId="32473" xr:uid="{00000000-0005-0000-0000-0000D77E0000}"/>
    <cellStyle name="Output 26 2 5 3" xfId="32474" xr:uid="{00000000-0005-0000-0000-0000D87E0000}"/>
    <cellStyle name="Output 26 2 5 4" xfId="32475" xr:uid="{00000000-0005-0000-0000-0000D97E0000}"/>
    <cellStyle name="Output 26 2 6" xfId="32476" xr:uid="{00000000-0005-0000-0000-0000DA7E0000}"/>
    <cellStyle name="Output 26 2 6 2" xfId="32477" xr:uid="{00000000-0005-0000-0000-0000DB7E0000}"/>
    <cellStyle name="Output 26 2 6 2 2" xfId="32478" xr:uid="{00000000-0005-0000-0000-0000DC7E0000}"/>
    <cellStyle name="Output 26 2 6 2 3" xfId="32479" xr:uid="{00000000-0005-0000-0000-0000DD7E0000}"/>
    <cellStyle name="Output 26 2 6 3" xfId="32480" xr:uid="{00000000-0005-0000-0000-0000DE7E0000}"/>
    <cellStyle name="Output 26 2 6 4" xfId="32481" xr:uid="{00000000-0005-0000-0000-0000DF7E0000}"/>
    <cellStyle name="Output 26 2 7" xfId="32482" xr:uid="{00000000-0005-0000-0000-0000E07E0000}"/>
    <cellStyle name="Output 26 2 7 2" xfId="32483" xr:uid="{00000000-0005-0000-0000-0000E17E0000}"/>
    <cellStyle name="Output 26 2 7 2 2" xfId="32484" xr:uid="{00000000-0005-0000-0000-0000E27E0000}"/>
    <cellStyle name="Output 26 2 7 2 3" xfId="32485" xr:uid="{00000000-0005-0000-0000-0000E37E0000}"/>
    <cellStyle name="Output 26 2 7 3" xfId="32486" xr:uid="{00000000-0005-0000-0000-0000E47E0000}"/>
    <cellStyle name="Output 26 2 7 4" xfId="32487" xr:uid="{00000000-0005-0000-0000-0000E57E0000}"/>
    <cellStyle name="Output 26 2 8" xfId="32488" xr:uid="{00000000-0005-0000-0000-0000E67E0000}"/>
    <cellStyle name="Output 26 2 8 2" xfId="32489" xr:uid="{00000000-0005-0000-0000-0000E77E0000}"/>
    <cellStyle name="Output 26 2 8 2 2" xfId="32490" xr:uid="{00000000-0005-0000-0000-0000E87E0000}"/>
    <cellStyle name="Output 26 2 8 2 3" xfId="32491" xr:uid="{00000000-0005-0000-0000-0000E97E0000}"/>
    <cellStyle name="Output 26 2 8 3" xfId="32492" xr:uid="{00000000-0005-0000-0000-0000EA7E0000}"/>
    <cellStyle name="Output 26 2 8 4" xfId="32493" xr:uid="{00000000-0005-0000-0000-0000EB7E0000}"/>
    <cellStyle name="Output 26 2 9" xfId="32494" xr:uid="{00000000-0005-0000-0000-0000EC7E0000}"/>
    <cellStyle name="Output 26 2 9 2" xfId="32495" xr:uid="{00000000-0005-0000-0000-0000ED7E0000}"/>
    <cellStyle name="Output 26 2 9 2 2" xfId="32496" xr:uid="{00000000-0005-0000-0000-0000EE7E0000}"/>
    <cellStyle name="Output 26 2 9 2 3" xfId="32497" xr:uid="{00000000-0005-0000-0000-0000EF7E0000}"/>
    <cellStyle name="Output 26 2 9 3" xfId="32498" xr:uid="{00000000-0005-0000-0000-0000F07E0000}"/>
    <cellStyle name="Output 26 2 9 4" xfId="32499" xr:uid="{00000000-0005-0000-0000-0000F17E0000}"/>
    <cellStyle name="Output 26 3" xfId="32500" xr:uid="{00000000-0005-0000-0000-0000F27E0000}"/>
    <cellStyle name="Output 26 3 2" xfId="32501" xr:uid="{00000000-0005-0000-0000-0000F37E0000}"/>
    <cellStyle name="Output 26 3 2 2" xfId="32502" xr:uid="{00000000-0005-0000-0000-0000F47E0000}"/>
    <cellStyle name="Output 26 3 2 3" xfId="32503" xr:uid="{00000000-0005-0000-0000-0000F57E0000}"/>
    <cellStyle name="Output 26 3 3" xfId="32504" xr:uid="{00000000-0005-0000-0000-0000F67E0000}"/>
    <cellStyle name="Output 26 3 4" xfId="32505" xr:uid="{00000000-0005-0000-0000-0000F77E0000}"/>
    <cellStyle name="Output 26 4" xfId="32506" xr:uid="{00000000-0005-0000-0000-0000F87E0000}"/>
    <cellStyle name="Output 26 5" xfId="32507" xr:uid="{00000000-0005-0000-0000-0000F97E0000}"/>
    <cellStyle name="Output 27" xfId="32508" xr:uid="{00000000-0005-0000-0000-0000FA7E0000}"/>
    <cellStyle name="Output 27 2" xfId="32509" xr:uid="{00000000-0005-0000-0000-0000FB7E0000}"/>
    <cellStyle name="Output 27 2 10" xfId="32510" xr:uid="{00000000-0005-0000-0000-0000FC7E0000}"/>
    <cellStyle name="Output 27 2 10 2" xfId="32511" xr:uid="{00000000-0005-0000-0000-0000FD7E0000}"/>
    <cellStyle name="Output 27 2 10 2 2" xfId="32512" xr:uid="{00000000-0005-0000-0000-0000FE7E0000}"/>
    <cellStyle name="Output 27 2 10 2 3" xfId="32513" xr:uid="{00000000-0005-0000-0000-0000FF7E0000}"/>
    <cellStyle name="Output 27 2 10 3" xfId="32514" xr:uid="{00000000-0005-0000-0000-0000007F0000}"/>
    <cellStyle name="Output 27 2 10 4" xfId="32515" xr:uid="{00000000-0005-0000-0000-0000017F0000}"/>
    <cellStyle name="Output 27 2 11" xfId="32516" xr:uid="{00000000-0005-0000-0000-0000027F0000}"/>
    <cellStyle name="Output 27 2 11 2" xfId="32517" xr:uid="{00000000-0005-0000-0000-0000037F0000}"/>
    <cellStyle name="Output 27 2 11 2 2" xfId="32518" xr:uid="{00000000-0005-0000-0000-0000047F0000}"/>
    <cellStyle name="Output 27 2 11 2 3" xfId="32519" xr:uid="{00000000-0005-0000-0000-0000057F0000}"/>
    <cellStyle name="Output 27 2 11 3" xfId="32520" xr:uid="{00000000-0005-0000-0000-0000067F0000}"/>
    <cellStyle name="Output 27 2 11 4" xfId="32521" xr:uid="{00000000-0005-0000-0000-0000077F0000}"/>
    <cellStyle name="Output 27 2 12" xfId="32522" xr:uid="{00000000-0005-0000-0000-0000087F0000}"/>
    <cellStyle name="Output 27 2 12 2" xfId="32523" xr:uid="{00000000-0005-0000-0000-0000097F0000}"/>
    <cellStyle name="Output 27 2 12 2 2" xfId="32524" xr:uid="{00000000-0005-0000-0000-00000A7F0000}"/>
    <cellStyle name="Output 27 2 12 2 3" xfId="32525" xr:uid="{00000000-0005-0000-0000-00000B7F0000}"/>
    <cellStyle name="Output 27 2 12 3" xfId="32526" xr:uid="{00000000-0005-0000-0000-00000C7F0000}"/>
    <cellStyle name="Output 27 2 12 4" xfId="32527" xr:uid="{00000000-0005-0000-0000-00000D7F0000}"/>
    <cellStyle name="Output 27 2 13" xfId="32528" xr:uid="{00000000-0005-0000-0000-00000E7F0000}"/>
    <cellStyle name="Output 27 2 13 2" xfId="32529" xr:uid="{00000000-0005-0000-0000-00000F7F0000}"/>
    <cellStyle name="Output 27 2 13 2 2" xfId="32530" xr:uid="{00000000-0005-0000-0000-0000107F0000}"/>
    <cellStyle name="Output 27 2 13 2 3" xfId="32531" xr:uid="{00000000-0005-0000-0000-0000117F0000}"/>
    <cellStyle name="Output 27 2 13 3" xfId="32532" xr:uid="{00000000-0005-0000-0000-0000127F0000}"/>
    <cellStyle name="Output 27 2 13 4" xfId="32533" xr:uid="{00000000-0005-0000-0000-0000137F0000}"/>
    <cellStyle name="Output 27 2 14" xfId="32534" xr:uid="{00000000-0005-0000-0000-0000147F0000}"/>
    <cellStyle name="Output 27 2 14 2" xfId="32535" xr:uid="{00000000-0005-0000-0000-0000157F0000}"/>
    <cellStyle name="Output 27 2 14 2 2" xfId="32536" xr:uid="{00000000-0005-0000-0000-0000167F0000}"/>
    <cellStyle name="Output 27 2 14 2 3" xfId="32537" xr:uid="{00000000-0005-0000-0000-0000177F0000}"/>
    <cellStyle name="Output 27 2 14 3" xfId="32538" xr:uid="{00000000-0005-0000-0000-0000187F0000}"/>
    <cellStyle name="Output 27 2 14 4" xfId="32539" xr:uid="{00000000-0005-0000-0000-0000197F0000}"/>
    <cellStyle name="Output 27 2 15" xfId="32540" xr:uid="{00000000-0005-0000-0000-00001A7F0000}"/>
    <cellStyle name="Output 27 2 15 2" xfId="32541" xr:uid="{00000000-0005-0000-0000-00001B7F0000}"/>
    <cellStyle name="Output 27 2 15 2 2" xfId="32542" xr:uid="{00000000-0005-0000-0000-00001C7F0000}"/>
    <cellStyle name="Output 27 2 15 2 3" xfId="32543" xr:uid="{00000000-0005-0000-0000-00001D7F0000}"/>
    <cellStyle name="Output 27 2 15 3" xfId="32544" xr:uid="{00000000-0005-0000-0000-00001E7F0000}"/>
    <cellStyle name="Output 27 2 15 4" xfId="32545" xr:uid="{00000000-0005-0000-0000-00001F7F0000}"/>
    <cellStyle name="Output 27 2 16" xfId="32546" xr:uid="{00000000-0005-0000-0000-0000207F0000}"/>
    <cellStyle name="Output 27 2 16 2" xfId="32547" xr:uid="{00000000-0005-0000-0000-0000217F0000}"/>
    <cellStyle name="Output 27 2 16 2 2" xfId="32548" xr:uid="{00000000-0005-0000-0000-0000227F0000}"/>
    <cellStyle name="Output 27 2 16 2 3" xfId="32549" xr:uid="{00000000-0005-0000-0000-0000237F0000}"/>
    <cellStyle name="Output 27 2 16 3" xfId="32550" xr:uid="{00000000-0005-0000-0000-0000247F0000}"/>
    <cellStyle name="Output 27 2 16 4" xfId="32551" xr:uid="{00000000-0005-0000-0000-0000257F0000}"/>
    <cellStyle name="Output 27 2 17" xfId="32552" xr:uid="{00000000-0005-0000-0000-0000267F0000}"/>
    <cellStyle name="Output 27 2 17 2" xfId="32553" xr:uid="{00000000-0005-0000-0000-0000277F0000}"/>
    <cellStyle name="Output 27 2 17 2 2" xfId="32554" xr:uid="{00000000-0005-0000-0000-0000287F0000}"/>
    <cellStyle name="Output 27 2 17 2 3" xfId="32555" xr:uid="{00000000-0005-0000-0000-0000297F0000}"/>
    <cellStyle name="Output 27 2 17 3" xfId="32556" xr:uid="{00000000-0005-0000-0000-00002A7F0000}"/>
    <cellStyle name="Output 27 2 17 4" xfId="32557" xr:uid="{00000000-0005-0000-0000-00002B7F0000}"/>
    <cellStyle name="Output 27 2 18" xfId="32558" xr:uid="{00000000-0005-0000-0000-00002C7F0000}"/>
    <cellStyle name="Output 27 2 18 2" xfId="32559" xr:uid="{00000000-0005-0000-0000-00002D7F0000}"/>
    <cellStyle name="Output 27 2 18 3" xfId="32560" xr:uid="{00000000-0005-0000-0000-00002E7F0000}"/>
    <cellStyle name="Output 27 2 18 4" xfId="32561" xr:uid="{00000000-0005-0000-0000-00002F7F0000}"/>
    <cellStyle name="Output 27 2 19" xfId="32562" xr:uid="{00000000-0005-0000-0000-0000307F0000}"/>
    <cellStyle name="Output 27 2 2" xfId="32563" xr:uid="{00000000-0005-0000-0000-0000317F0000}"/>
    <cellStyle name="Output 27 2 2 2" xfId="32564" xr:uid="{00000000-0005-0000-0000-0000327F0000}"/>
    <cellStyle name="Output 27 2 2 2 2" xfId="32565" xr:uid="{00000000-0005-0000-0000-0000337F0000}"/>
    <cellStyle name="Output 27 2 2 2 3" xfId="32566" xr:uid="{00000000-0005-0000-0000-0000347F0000}"/>
    <cellStyle name="Output 27 2 2 3" xfId="32567" xr:uid="{00000000-0005-0000-0000-0000357F0000}"/>
    <cellStyle name="Output 27 2 2 4" xfId="32568" xr:uid="{00000000-0005-0000-0000-0000367F0000}"/>
    <cellStyle name="Output 27 2 20" xfId="32569" xr:uid="{00000000-0005-0000-0000-0000377F0000}"/>
    <cellStyle name="Output 27 2 21" xfId="32570" xr:uid="{00000000-0005-0000-0000-0000387F0000}"/>
    <cellStyle name="Output 27 2 3" xfId="32571" xr:uid="{00000000-0005-0000-0000-0000397F0000}"/>
    <cellStyle name="Output 27 2 3 2" xfId="32572" xr:uid="{00000000-0005-0000-0000-00003A7F0000}"/>
    <cellStyle name="Output 27 2 3 2 2" xfId="32573" xr:uid="{00000000-0005-0000-0000-00003B7F0000}"/>
    <cellStyle name="Output 27 2 3 2 3" xfId="32574" xr:uid="{00000000-0005-0000-0000-00003C7F0000}"/>
    <cellStyle name="Output 27 2 3 3" xfId="32575" xr:uid="{00000000-0005-0000-0000-00003D7F0000}"/>
    <cellStyle name="Output 27 2 3 4" xfId="32576" xr:uid="{00000000-0005-0000-0000-00003E7F0000}"/>
    <cellStyle name="Output 27 2 4" xfId="32577" xr:uid="{00000000-0005-0000-0000-00003F7F0000}"/>
    <cellStyle name="Output 27 2 4 2" xfId="32578" xr:uid="{00000000-0005-0000-0000-0000407F0000}"/>
    <cellStyle name="Output 27 2 4 2 2" xfId="32579" xr:uid="{00000000-0005-0000-0000-0000417F0000}"/>
    <cellStyle name="Output 27 2 4 2 3" xfId="32580" xr:uid="{00000000-0005-0000-0000-0000427F0000}"/>
    <cellStyle name="Output 27 2 4 3" xfId="32581" xr:uid="{00000000-0005-0000-0000-0000437F0000}"/>
    <cellStyle name="Output 27 2 4 4" xfId="32582" xr:uid="{00000000-0005-0000-0000-0000447F0000}"/>
    <cellStyle name="Output 27 2 5" xfId="32583" xr:uid="{00000000-0005-0000-0000-0000457F0000}"/>
    <cellStyle name="Output 27 2 5 2" xfId="32584" xr:uid="{00000000-0005-0000-0000-0000467F0000}"/>
    <cellStyle name="Output 27 2 5 2 2" xfId="32585" xr:uid="{00000000-0005-0000-0000-0000477F0000}"/>
    <cellStyle name="Output 27 2 5 2 3" xfId="32586" xr:uid="{00000000-0005-0000-0000-0000487F0000}"/>
    <cellStyle name="Output 27 2 5 3" xfId="32587" xr:uid="{00000000-0005-0000-0000-0000497F0000}"/>
    <cellStyle name="Output 27 2 5 4" xfId="32588" xr:uid="{00000000-0005-0000-0000-00004A7F0000}"/>
    <cellStyle name="Output 27 2 6" xfId="32589" xr:uid="{00000000-0005-0000-0000-00004B7F0000}"/>
    <cellStyle name="Output 27 2 6 2" xfId="32590" xr:uid="{00000000-0005-0000-0000-00004C7F0000}"/>
    <cellStyle name="Output 27 2 6 2 2" xfId="32591" xr:uid="{00000000-0005-0000-0000-00004D7F0000}"/>
    <cellStyle name="Output 27 2 6 2 3" xfId="32592" xr:uid="{00000000-0005-0000-0000-00004E7F0000}"/>
    <cellStyle name="Output 27 2 6 3" xfId="32593" xr:uid="{00000000-0005-0000-0000-00004F7F0000}"/>
    <cellStyle name="Output 27 2 6 4" xfId="32594" xr:uid="{00000000-0005-0000-0000-0000507F0000}"/>
    <cellStyle name="Output 27 2 7" xfId="32595" xr:uid="{00000000-0005-0000-0000-0000517F0000}"/>
    <cellStyle name="Output 27 2 7 2" xfId="32596" xr:uid="{00000000-0005-0000-0000-0000527F0000}"/>
    <cellStyle name="Output 27 2 7 2 2" xfId="32597" xr:uid="{00000000-0005-0000-0000-0000537F0000}"/>
    <cellStyle name="Output 27 2 7 2 3" xfId="32598" xr:uid="{00000000-0005-0000-0000-0000547F0000}"/>
    <cellStyle name="Output 27 2 7 3" xfId="32599" xr:uid="{00000000-0005-0000-0000-0000557F0000}"/>
    <cellStyle name="Output 27 2 7 4" xfId="32600" xr:uid="{00000000-0005-0000-0000-0000567F0000}"/>
    <cellStyle name="Output 27 2 8" xfId="32601" xr:uid="{00000000-0005-0000-0000-0000577F0000}"/>
    <cellStyle name="Output 27 2 8 2" xfId="32602" xr:uid="{00000000-0005-0000-0000-0000587F0000}"/>
    <cellStyle name="Output 27 2 8 2 2" xfId="32603" xr:uid="{00000000-0005-0000-0000-0000597F0000}"/>
    <cellStyle name="Output 27 2 8 2 3" xfId="32604" xr:uid="{00000000-0005-0000-0000-00005A7F0000}"/>
    <cellStyle name="Output 27 2 8 3" xfId="32605" xr:uid="{00000000-0005-0000-0000-00005B7F0000}"/>
    <cellStyle name="Output 27 2 8 4" xfId="32606" xr:uid="{00000000-0005-0000-0000-00005C7F0000}"/>
    <cellStyle name="Output 27 2 9" xfId="32607" xr:uid="{00000000-0005-0000-0000-00005D7F0000}"/>
    <cellStyle name="Output 27 2 9 2" xfId="32608" xr:uid="{00000000-0005-0000-0000-00005E7F0000}"/>
    <cellStyle name="Output 27 2 9 2 2" xfId="32609" xr:uid="{00000000-0005-0000-0000-00005F7F0000}"/>
    <cellStyle name="Output 27 2 9 2 3" xfId="32610" xr:uid="{00000000-0005-0000-0000-0000607F0000}"/>
    <cellStyle name="Output 27 2 9 3" xfId="32611" xr:uid="{00000000-0005-0000-0000-0000617F0000}"/>
    <cellStyle name="Output 27 2 9 4" xfId="32612" xr:uid="{00000000-0005-0000-0000-0000627F0000}"/>
    <cellStyle name="Output 27 3" xfId="32613" xr:uid="{00000000-0005-0000-0000-0000637F0000}"/>
    <cellStyle name="Output 27 3 2" xfId="32614" xr:uid="{00000000-0005-0000-0000-0000647F0000}"/>
    <cellStyle name="Output 27 3 2 2" xfId="32615" xr:uid="{00000000-0005-0000-0000-0000657F0000}"/>
    <cellStyle name="Output 27 3 2 3" xfId="32616" xr:uid="{00000000-0005-0000-0000-0000667F0000}"/>
    <cellStyle name="Output 27 3 3" xfId="32617" xr:uid="{00000000-0005-0000-0000-0000677F0000}"/>
    <cellStyle name="Output 27 3 4" xfId="32618" xr:uid="{00000000-0005-0000-0000-0000687F0000}"/>
    <cellStyle name="Output 27 4" xfId="32619" xr:uid="{00000000-0005-0000-0000-0000697F0000}"/>
    <cellStyle name="Output 27 5" xfId="32620" xr:uid="{00000000-0005-0000-0000-00006A7F0000}"/>
    <cellStyle name="Output 28" xfId="32621" xr:uid="{00000000-0005-0000-0000-00006B7F0000}"/>
    <cellStyle name="Output 28 2" xfId="32622" xr:uid="{00000000-0005-0000-0000-00006C7F0000}"/>
    <cellStyle name="Output 28 2 10" xfId="32623" xr:uid="{00000000-0005-0000-0000-00006D7F0000}"/>
    <cellStyle name="Output 28 2 10 2" xfId="32624" xr:uid="{00000000-0005-0000-0000-00006E7F0000}"/>
    <cellStyle name="Output 28 2 10 2 2" xfId="32625" xr:uid="{00000000-0005-0000-0000-00006F7F0000}"/>
    <cellStyle name="Output 28 2 10 2 3" xfId="32626" xr:uid="{00000000-0005-0000-0000-0000707F0000}"/>
    <cellStyle name="Output 28 2 10 3" xfId="32627" xr:uid="{00000000-0005-0000-0000-0000717F0000}"/>
    <cellStyle name="Output 28 2 10 4" xfId="32628" xr:uid="{00000000-0005-0000-0000-0000727F0000}"/>
    <cellStyle name="Output 28 2 11" xfId="32629" xr:uid="{00000000-0005-0000-0000-0000737F0000}"/>
    <cellStyle name="Output 28 2 11 2" xfId="32630" xr:uid="{00000000-0005-0000-0000-0000747F0000}"/>
    <cellStyle name="Output 28 2 11 2 2" xfId="32631" xr:uid="{00000000-0005-0000-0000-0000757F0000}"/>
    <cellStyle name="Output 28 2 11 2 3" xfId="32632" xr:uid="{00000000-0005-0000-0000-0000767F0000}"/>
    <cellStyle name="Output 28 2 11 3" xfId="32633" xr:uid="{00000000-0005-0000-0000-0000777F0000}"/>
    <cellStyle name="Output 28 2 11 4" xfId="32634" xr:uid="{00000000-0005-0000-0000-0000787F0000}"/>
    <cellStyle name="Output 28 2 12" xfId="32635" xr:uid="{00000000-0005-0000-0000-0000797F0000}"/>
    <cellStyle name="Output 28 2 12 2" xfId="32636" xr:uid="{00000000-0005-0000-0000-00007A7F0000}"/>
    <cellStyle name="Output 28 2 12 2 2" xfId="32637" xr:uid="{00000000-0005-0000-0000-00007B7F0000}"/>
    <cellStyle name="Output 28 2 12 2 3" xfId="32638" xr:uid="{00000000-0005-0000-0000-00007C7F0000}"/>
    <cellStyle name="Output 28 2 12 3" xfId="32639" xr:uid="{00000000-0005-0000-0000-00007D7F0000}"/>
    <cellStyle name="Output 28 2 12 4" xfId="32640" xr:uid="{00000000-0005-0000-0000-00007E7F0000}"/>
    <cellStyle name="Output 28 2 13" xfId="32641" xr:uid="{00000000-0005-0000-0000-00007F7F0000}"/>
    <cellStyle name="Output 28 2 13 2" xfId="32642" xr:uid="{00000000-0005-0000-0000-0000807F0000}"/>
    <cellStyle name="Output 28 2 13 2 2" xfId="32643" xr:uid="{00000000-0005-0000-0000-0000817F0000}"/>
    <cellStyle name="Output 28 2 13 2 3" xfId="32644" xr:uid="{00000000-0005-0000-0000-0000827F0000}"/>
    <cellStyle name="Output 28 2 13 3" xfId="32645" xr:uid="{00000000-0005-0000-0000-0000837F0000}"/>
    <cellStyle name="Output 28 2 13 4" xfId="32646" xr:uid="{00000000-0005-0000-0000-0000847F0000}"/>
    <cellStyle name="Output 28 2 14" xfId="32647" xr:uid="{00000000-0005-0000-0000-0000857F0000}"/>
    <cellStyle name="Output 28 2 14 2" xfId="32648" xr:uid="{00000000-0005-0000-0000-0000867F0000}"/>
    <cellStyle name="Output 28 2 14 2 2" xfId="32649" xr:uid="{00000000-0005-0000-0000-0000877F0000}"/>
    <cellStyle name="Output 28 2 14 2 3" xfId="32650" xr:uid="{00000000-0005-0000-0000-0000887F0000}"/>
    <cellStyle name="Output 28 2 14 3" xfId="32651" xr:uid="{00000000-0005-0000-0000-0000897F0000}"/>
    <cellStyle name="Output 28 2 14 4" xfId="32652" xr:uid="{00000000-0005-0000-0000-00008A7F0000}"/>
    <cellStyle name="Output 28 2 15" xfId="32653" xr:uid="{00000000-0005-0000-0000-00008B7F0000}"/>
    <cellStyle name="Output 28 2 15 2" xfId="32654" xr:uid="{00000000-0005-0000-0000-00008C7F0000}"/>
    <cellStyle name="Output 28 2 15 2 2" xfId="32655" xr:uid="{00000000-0005-0000-0000-00008D7F0000}"/>
    <cellStyle name="Output 28 2 15 2 3" xfId="32656" xr:uid="{00000000-0005-0000-0000-00008E7F0000}"/>
    <cellStyle name="Output 28 2 15 3" xfId="32657" xr:uid="{00000000-0005-0000-0000-00008F7F0000}"/>
    <cellStyle name="Output 28 2 15 4" xfId="32658" xr:uid="{00000000-0005-0000-0000-0000907F0000}"/>
    <cellStyle name="Output 28 2 16" xfId="32659" xr:uid="{00000000-0005-0000-0000-0000917F0000}"/>
    <cellStyle name="Output 28 2 16 2" xfId="32660" xr:uid="{00000000-0005-0000-0000-0000927F0000}"/>
    <cellStyle name="Output 28 2 16 2 2" xfId="32661" xr:uid="{00000000-0005-0000-0000-0000937F0000}"/>
    <cellStyle name="Output 28 2 16 2 3" xfId="32662" xr:uid="{00000000-0005-0000-0000-0000947F0000}"/>
    <cellStyle name="Output 28 2 16 3" xfId="32663" xr:uid="{00000000-0005-0000-0000-0000957F0000}"/>
    <cellStyle name="Output 28 2 16 4" xfId="32664" xr:uid="{00000000-0005-0000-0000-0000967F0000}"/>
    <cellStyle name="Output 28 2 17" xfId="32665" xr:uid="{00000000-0005-0000-0000-0000977F0000}"/>
    <cellStyle name="Output 28 2 17 2" xfId="32666" xr:uid="{00000000-0005-0000-0000-0000987F0000}"/>
    <cellStyle name="Output 28 2 17 2 2" xfId="32667" xr:uid="{00000000-0005-0000-0000-0000997F0000}"/>
    <cellStyle name="Output 28 2 17 2 3" xfId="32668" xr:uid="{00000000-0005-0000-0000-00009A7F0000}"/>
    <cellStyle name="Output 28 2 17 3" xfId="32669" xr:uid="{00000000-0005-0000-0000-00009B7F0000}"/>
    <cellStyle name="Output 28 2 17 4" xfId="32670" xr:uid="{00000000-0005-0000-0000-00009C7F0000}"/>
    <cellStyle name="Output 28 2 18" xfId="32671" xr:uid="{00000000-0005-0000-0000-00009D7F0000}"/>
    <cellStyle name="Output 28 2 18 2" xfId="32672" xr:uid="{00000000-0005-0000-0000-00009E7F0000}"/>
    <cellStyle name="Output 28 2 18 3" xfId="32673" xr:uid="{00000000-0005-0000-0000-00009F7F0000}"/>
    <cellStyle name="Output 28 2 18 4" xfId="32674" xr:uid="{00000000-0005-0000-0000-0000A07F0000}"/>
    <cellStyle name="Output 28 2 19" xfId="32675" xr:uid="{00000000-0005-0000-0000-0000A17F0000}"/>
    <cellStyle name="Output 28 2 2" xfId="32676" xr:uid="{00000000-0005-0000-0000-0000A27F0000}"/>
    <cellStyle name="Output 28 2 2 2" xfId="32677" xr:uid="{00000000-0005-0000-0000-0000A37F0000}"/>
    <cellStyle name="Output 28 2 2 2 2" xfId="32678" xr:uid="{00000000-0005-0000-0000-0000A47F0000}"/>
    <cellStyle name="Output 28 2 2 2 3" xfId="32679" xr:uid="{00000000-0005-0000-0000-0000A57F0000}"/>
    <cellStyle name="Output 28 2 2 3" xfId="32680" xr:uid="{00000000-0005-0000-0000-0000A67F0000}"/>
    <cellStyle name="Output 28 2 2 4" xfId="32681" xr:uid="{00000000-0005-0000-0000-0000A77F0000}"/>
    <cellStyle name="Output 28 2 20" xfId="32682" xr:uid="{00000000-0005-0000-0000-0000A87F0000}"/>
    <cellStyle name="Output 28 2 21" xfId="32683" xr:uid="{00000000-0005-0000-0000-0000A97F0000}"/>
    <cellStyle name="Output 28 2 3" xfId="32684" xr:uid="{00000000-0005-0000-0000-0000AA7F0000}"/>
    <cellStyle name="Output 28 2 3 2" xfId="32685" xr:uid="{00000000-0005-0000-0000-0000AB7F0000}"/>
    <cellStyle name="Output 28 2 3 2 2" xfId="32686" xr:uid="{00000000-0005-0000-0000-0000AC7F0000}"/>
    <cellStyle name="Output 28 2 3 2 3" xfId="32687" xr:uid="{00000000-0005-0000-0000-0000AD7F0000}"/>
    <cellStyle name="Output 28 2 3 3" xfId="32688" xr:uid="{00000000-0005-0000-0000-0000AE7F0000}"/>
    <cellStyle name="Output 28 2 3 4" xfId="32689" xr:uid="{00000000-0005-0000-0000-0000AF7F0000}"/>
    <cellStyle name="Output 28 2 4" xfId="32690" xr:uid="{00000000-0005-0000-0000-0000B07F0000}"/>
    <cellStyle name="Output 28 2 4 2" xfId="32691" xr:uid="{00000000-0005-0000-0000-0000B17F0000}"/>
    <cellStyle name="Output 28 2 4 2 2" xfId="32692" xr:uid="{00000000-0005-0000-0000-0000B27F0000}"/>
    <cellStyle name="Output 28 2 4 2 3" xfId="32693" xr:uid="{00000000-0005-0000-0000-0000B37F0000}"/>
    <cellStyle name="Output 28 2 4 3" xfId="32694" xr:uid="{00000000-0005-0000-0000-0000B47F0000}"/>
    <cellStyle name="Output 28 2 4 4" xfId="32695" xr:uid="{00000000-0005-0000-0000-0000B57F0000}"/>
    <cellStyle name="Output 28 2 5" xfId="32696" xr:uid="{00000000-0005-0000-0000-0000B67F0000}"/>
    <cellStyle name="Output 28 2 5 2" xfId="32697" xr:uid="{00000000-0005-0000-0000-0000B77F0000}"/>
    <cellStyle name="Output 28 2 5 2 2" xfId="32698" xr:uid="{00000000-0005-0000-0000-0000B87F0000}"/>
    <cellStyle name="Output 28 2 5 2 3" xfId="32699" xr:uid="{00000000-0005-0000-0000-0000B97F0000}"/>
    <cellStyle name="Output 28 2 5 3" xfId="32700" xr:uid="{00000000-0005-0000-0000-0000BA7F0000}"/>
    <cellStyle name="Output 28 2 5 4" xfId="32701" xr:uid="{00000000-0005-0000-0000-0000BB7F0000}"/>
    <cellStyle name="Output 28 2 6" xfId="32702" xr:uid="{00000000-0005-0000-0000-0000BC7F0000}"/>
    <cellStyle name="Output 28 2 6 2" xfId="32703" xr:uid="{00000000-0005-0000-0000-0000BD7F0000}"/>
    <cellStyle name="Output 28 2 6 2 2" xfId="32704" xr:uid="{00000000-0005-0000-0000-0000BE7F0000}"/>
    <cellStyle name="Output 28 2 6 2 3" xfId="32705" xr:uid="{00000000-0005-0000-0000-0000BF7F0000}"/>
    <cellStyle name="Output 28 2 6 3" xfId="32706" xr:uid="{00000000-0005-0000-0000-0000C07F0000}"/>
    <cellStyle name="Output 28 2 6 4" xfId="32707" xr:uid="{00000000-0005-0000-0000-0000C17F0000}"/>
    <cellStyle name="Output 28 2 7" xfId="32708" xr:uid="{00000000-0005-0000-0000-0000C27F0000}"/>
    <cellStyle name="Output 28 2 7 2" xfId="32709" xr:uid="{00000000-0005-0000-0000-0000C37F0000}"/>
    <cellStyle name="Output 28 2 7 2 2" xfId="32710" xr:uid="{00000000-0005-0000-0000-0000C47F0000}"/>
    <cellStyle name="Output 28 2 7 2 3" xfId="32711" xr:uid="{00000000-0005-0000-0000-0000C57F0000}"/>
    <cellStyle name="Output 28 2 7 3" xfId="32712" xr:uid="{00000000-0005-0000-0000-0000C67F0000}"/>
    <cellStyle name="Output 28 2 7 4" xfId="32713" xr:uid="{00000000-0005-0000-0000-0000C77F0000}"/>
    <cellStyle name="Output 28 2 8" xfId="32714" xr:uid="{00000000-0005-0000-0000-0000C87F0000}"/>
    <cellStyle name="Output 28 2 8 2" xfId="32715" xr:uid="{00000000-0005-0000-0000-0000C97F0000}"/>
    <cellStyle name="Output 28 2 8 2 2" xfId="32716" xr:uid="{00000000-0005-0000-0000-0000CA7F0000}"/>
    <cellStyle name="Output 28 2 8 2 3" xfId="32717" xr:uid="{00000000-0005-0000-0000-0000CB7F0000}"/>
    <cellStyle name="Output 28 2 8 3" xfId="32718" xr:uid="{00000000-0005-0000-0000-0000CC7F0000}"/>
    <cellStyle name="Output 28 2 8 4" xfId="32719" xr:uid="{00000000-0005-0000-0000-0000CD7F0000}"/>
    <cellStyle name="Output 28 2 9" xfId="32720" xr:uid="{00000000-0005-0000-0000-0000CE7F0000}"/>
    <cellStyle name="Output 28 2 9 2" xfId="32721" xr:uid="{00000000-0005-0000-0000-0000CF7F0000}"/>
    <cellStyle name="Output 28 2 9 2 2" xfId="32722" xr:uid="{00000000-0005-0000-0000-0000D07F0000}"/>
    <cellStyle name="Output 28 2 9 2 3" xfId="32723" xr:uid="{00000000-0005-0000-0000-0000D17F0000}"/>
    <cellStyle name="Output 28 2 9 3" xfId="32724" xr:uid="{00000000-0005-0000-0000-0000D27F0000}"/>
    <cellStyle name="Output 28 2 9 4" xfId="32725" xr:uid="{00000000-0005-0000-0000-0000D37F0000}"/>
    <cellStyle name="Output 28 3" xfId="32726" xr:uid="{00000000-0005-0000-0000-0000D47F0000}"/>
    <cellStyle name="Output 28 3 2" xfId="32727" xr:uid="{00000000-0005-0000-0000-0000D57F0000}"/>
    <cellStyle name="Output 28 3 2 2" xfId="32728" xr:uid="{00000000-0005-0000-0000-0000D67F0000}"/>
    <cellStyle name="Output 28 3 2 3" xfId="32729" xr:uid="{00000000-0005-0000-0000-0000D77F0000}"/>
    <cellStyle name="Output 28 3 3" xfId="32730" xr:uid="{00000000-0005-0000-0000-0000D87F0000}"/>
    <cellStyle name="Output 28 3 4" xfId="32731" xr:uid="{00000000-0005-0000-0000-0000D97F0000}"/>
    <cellStyle name="Output 28 4" xfId="32732" xr:uid="{00000000-0005-0000-0000-0000DA7F0000}"/>
    <cellStyle name="Output 28 5" xfId="32733" xr:uid="{00000000-0005-0000-0000-0000DB7F0000}"/>
    <cellStyle name="Output 29" xfId="32734" xr:uid="{00000000-0005-0000-0000-0000DC7F0000}"/>
    <cellStyle name="Output 29 2" xfId="32735" xr:uid="{00000000-0005-0000-0000-0000DD7F0000}"/>
    <cellStyle name="Output 29 2 10" xfId="32736" xr:uid="{00000000-0005-0000-0000-0000DE7F0000}"/>
    <cellStyle name="Output 29 2 10 2" xfId="32737" xr:uid="{00000000-0005-0000-0000-0000DF7F0000}"/>
    <cellStyle name="Output 29 2 10 2 2" xfId="32738" xr:uid="{00000000-0005-0000-0000-0000E07F0000}"/>
    <cellStyle name="Output 29 2 10 2 3" xfId="32739" xr:uid="{00000000-0005-0000-0000-0000E17F0000}"/>
    <cellStyle name="Output 29 2 10 3" xfId="32740" xr:uid="{00000000-0005-0000-0000-0000E27F0000}"/>
    <cellStyle name="Output 29 2 10 4" xfId="32741" xr:uid="{00000000-0005-0000-0000-0000E37F0000}"/>
    <cellStyle name="Output 29 2 11" xfId="32742" xr:uid="{00000000-0005-0000-0000-0000E47F0000}"/>
    <cellStyle name="Output 29 2 11 2" xfId="32743" xr:uid="{00000000-0005-0000-0000-0000E57F0000}"/>
    <cellStyle name="Output 29 2 11 2 2" xfId="32744" xr:uid="{00000000-0005-0000-0000-0000E67F0000}"/>
    <cellStyle name="Output 29 2 11 2 3" xfId="32745" xr:uid="{00000000-0005-0000-0000-0000E77F0000}"/>
    <cellStyle name="Output 29 2 11 3" xfId="32746" xr:uid="{00000000-0005-0000-0000-0000E87F0000}"/>
    <cellStyle name="Output 29 2 11 4" xfId="32747" xr:uid="{00000000-0005-0000-0000-0000E97F0000}"/>
    <cellStyle name="Output 29 2 12" xfId="32748" xr:uid="{00000000-0005-0000-0000-0000EA7F0000}"/>
    <cellStyle name="Output 29 2 12 2" xfId="32749" xr:uid="{00000000-0005-0000-0000-0000EB7F0000}"/>
    <cellStyle name="Output 29 2 12 2 2" xfId="32750" xr:uid="{00000000-0005-0000-0000-0000EC7F0000}"/>
    <cellStyle name="Output 29 2 12 2 3" xfId="32751" xr:uid="{00000000-0005-0000-0000-0000ED7F0000}"/>
    <cellStyle name="Output 29 2 12 3" xfId="32752" xr:uid="{00000000-0005-0000-0000-0000EE7F0000}"/>
    <cellStyle name="Output 29 2 12 4" xfId="32753" xr:uid="{00000000-0005-0000-0000-0000EF7F0000}"/>
    <cellStyle name="Output 29 2 13" xfId="32754" xr:uid="{00000000-0005-0000-0000-0000F07F0000}"/>
    <cellStyle name="Output 29 2 13 2" xfId="32755" xr:uid="{00000000-0005-0000-0000-0000F17F0000}"/>
    <cellStyle name="Output 29 2 13 2 2" xfId="32756" xr:uid="{00000000-0005-0000-0000-0000F27F0000}"/>
    <cellStyle name="Output 29 2 13 2 3" xfId="32757" xr:uid="{00000000-0005-0000-0000-0000F37F0000}"/>
    <cellStyle name="Output 29 2 13 3" xfId="32758" xr:uid="{00000000-0005-0000-0000-0000F47F0000}"/>
    <cellStyle name="Output 29 2 13 4" xfId="32759" xr:uid="{00000000-0005-0000-0000-0000F57F0000}"/>
    <cellStyle name="Output 29 2 14" xfId="32760" xr:uid="{00000000-0005-0000-0000-0000F67F0000}"/>
    <cellStyle name="Output 29 2 14 2" xfId="32761" xr:uid="{00000000-0005-0000-0000-0000F77F0000}"/>
    <cellStyle name="Output 29 2 14 2 2" xfId="32762" xr:uid="{00000000-0005-0000-0000-0000F87F0000}"/>
    <cellStyle name="Output 29 2 14 2 3" xfId="32763" xr:uid="{00000000-0005-0000-0000-0000F97F0000}"/>
    <cellStyle name="Output 29 2 14 3" xfId="32764" xr:uid="{00000000-0005-0000-0000-0000FA7F0000}"/>
    <cellStyle name="Output 29 2 14 4" xfId="32765" xr:uid="{00000000-0005-0000-0000-0000FB7F0000}"/>
    <cellStyle name="Output 29 2 15" xfId="32766" xr:uid="{00000000-0005-0000-0000-0000FC7F0000}"/>
    <cellStyle name="Output 29 2 15 2" xfId="32767" xr:uid="{00000000-0005-0000-0000-0000FD7F0000}"/>
    <cellStyle name="Output 29 2 15 2 2" xfId="32768" xr:uid="{00000000-0005-0000-0000-0000FE7F0000}"/>
    <cellStyle name="Output 29 2 15 2 3" xfId="32769" xr:uid="{00000000-0005-0000-0000-0000FF7F0000}"/>
    <cellStyle name="Output 29 2 15 3" xfId="32770" xr:uid="{00000000-0005-0000-0000-000000800000}"/>
    <cellStyle name="Output 29 2 15 4" xfId="32771" xr:uid="{00000000-0005-0000-0000-000001800000}"/>
    <cellStyle name="Output 29 2 16" xfId="32772" xr:uid="{00000000-0005-0000-0000-000002800000}"/>
    <cellStyle name="Output 29 2 16 2" xfId="32773" xr:uid="{00000000-0005-0000-0000-000003800000}"/>
    <cellStyle name="Output 29 2 16 2 2" xfId="32774" xr:uid="{00000000-0005-0000-0000-000004800000}"/>
    <cellStyle name="Output 29 2 16 2 3" xfId="32775" xr:uid="{00000000-0005-0000-0000-000005800000}"/>
    <cellStyle name="Output 29 2 16 3" xfId="32776" xr:uid="{00000000-0005-0000-0000-000006800000}"/>
    <cellStyle name="Output 29 2 16 4" xfId="32777" xr:uid="{00000000-0005-0000-0000-000007800000}"/>
    <cellStyle name="Output 29 2 17" xfId="32778" xr:uid="{00000000-0005-0000-0000-000008800000}"/>
    <cellStyle name="Output 29 2 17 2" xfId="32779" xr:uid="{00000000-0005-0000-0000-000009800000}"/>
    <cellStyle name="Output 29 2 17 2 2" xfId="32780" xr:uid="{00000000-0005-0000-0000-00000A800000}"/>
    <cellStyle name="Output 29 2 17 2 3" xfId="32781" xr:uid="{00000000-0005-0000-0000-00000B800000}"/>
    <cellStyle name="Output 29 2 17 3" xfId="32782" xr:uid="{00000000-0005-0000-0000-00000C800000}"/>
    <cellStyle name="Output 29 2 17 4" xfId="32783" xr:uid="{00000000-0005-0000-0000-00000D800000}"/>
    <cellStyle name="Output 29 2 18" xfId="32784" xr:uid="{00000000-0005-0000-0000-00000E800000}"/>
    <cellStyle name="Output 29 2 18 2" xfId="32785" xr:uid="{00000000-0005-0000-0000-00000F800000}"/>
    <cellStyle name="Output 29 2 18 3" xfId="32786" xr:uid="{00000000-0005-0000-0000-000010800000}"/>
    <cellStyle name="Output 29 2 18 4" xfId="32787" xr:uid="{00000000-0005-0000-0000-000011800000}"/>
    <cellStyle name="Output 29 2 19" xfId="32788" xr:uid="{00000000-0005-0000-0000-000012800000}"/>
    <cellStyle name="Output 29 2 2" xfId="32789" xr:uid="{00000000-0005-0000-0000-000013800000}"/>
    <cellStyle name="Output 29 2 2 2" xfId="32790" xr:uid="{00000000-0005-0000-0000-000014800000}"/>
    <cellStyle name="Output 29 2 2 2 2" xfId="32791" xr:uid="{00000000-0005-0000-0000-000015800000}"/>
    <cellStyle name="Output 29 2 2 2 3" xfId="32792" xr:uid="{00000000-0005-0000-0000-000016800000}"/>
    <cellStyle name="Output 29 2 2 3" xfId="32793" xr:uid="{00000000-0005-0000-0000-000017800000}"/>
    <cellStyle name="Output 29 2 2 4" xfId="32794" xr:uid="{00000000-0005-0000-0000-000018800000}"/>
    <cellStyle name="Output 29 2 20" xfId="32795" xr:uid="{00000000-0005-0000-0000-000019800000}"/>
    <cellStyle name="Output 29 2 21" xfId="32796" xr:uid="{00000000-0005-0000-0000-00001A800000}"/>
    <cellStyle name="Output 29 2 3" xfId="32797" xr:uid="{00000000-0005-0000-0000-00001B800000}"/>
    <cellStyle name="Output 29 2 3 2" xfId="32798" xr:uid="{00000000-0005-0000-0000-00001C800000}"/>
    <cellStyle name="Output 29 2 3 2 2" xfId="32799" xr:uid="{00000000-0005-0000-0000-00001D800000}"/>
    <cellStyle name="Output 29 2 3 2 3" xfId="32800" xr:uid="{00000000-0005-0000-0000-00001E800000}"/>
    <cellStyle name="Output 29 2 3 3" xfId="32801" xr:uid="{00000000-0005-0000-0000-00001F800000}"/>
    <cellStyle name="Output 29 2 3 4" xfId="32802" xr:uid="{00000000-0005-0000-0000-000020800000}"/>
    <cellStyle name="Output 29 2 4" xfId="32803" xr:uid="{00000000-0005-0000-0000-000021800000}"/>
    <cellStyle name="Output 29 2 4 2" xfId="32804" xr:uid="{00000000-0005-0000-0000-000022800000}"/>
    <cellStyle name="Output 29 2 4 2 2" xfId="32805" xr:uid="{00000000-0005-0000-0000-000023800000}"/>
    <cellStyle name="Output 29 2 4 2 3" xfId="32806" xr:uid="{00000000-0005-0000-0000-000024800000}"/>
    <cellStyle name="Output 29 2 4 3" xfId="32807" xr:uid="{00000000-0005-0000-0000-000025800000}"/>
    <cellStyle name="Output 29 2 4 4" xfId="32808" xr:uid="{00000000-0005-0000-0000-000026800000}"/>
    <cellStyle name="Output 29 2 5" xfId="32809" xr:uid="{00000000-0005-0000-0000-000027800000}"/>
    <cellStyle name="Output 29 2 5 2" xfId="32810" xr:uid="{00000000-0005-0000-0000-000028800000}"/>
    <cellStyle name="Output 29 2 5 2 2" xfId="32811" xr:uid="{00000000-0005-0000-0000-000029800000}"/>
    <cellStyle name="Output 29 2 5 2 3" xfId="32812" xr:uid="{00000000-0005-0000-0000-00002A800000}"/>
    <cellStyle name="Output 29 2 5 3" xfId="32813" xr:uid="{00000000-0005-0000-0000-00002B800000}"/>
    <cellStyle name="Output 29 2 5 4" xfId="32814" xr:uid="{00000000-0005-0000-0000-00002C800000}"/>
    <cellStyle name="Output 29 2 6" xfId="32815" xr:uid="{00000000-0005-0000-0000-00002D800000}"/>
    <cellStyle name="Output 29 2 6 2" xfId="32816" xr:uid="{00000000-0005-0000-0000-00002E800000}"/>
    <cellStyle name="Output 29 2 6 2 2" xfId="32817" xr:uid="{00000000-0005-0000-0000-00002F800000}"/>
    <cellStyle name="Output 29 2 6 2 3" xfId="32818" xr:uid="{00000000-0005-0000-0000-000030800000}"/>
    <cellStyle name="Output 29 2 6 3" xfId="32819" xr:uid="{00000000-0005-0000-0000-000031800000}"/>
    <cellStyle name="Output 29 2 6 4" xfId="32820" xr:uid="{00000000-0005-0000-0000-000032800000}"/>
    <cellStyle name="Output 29 2 7" xfId="32821" xr:uid="{00000000-0005-0000-0000-000033800000}"/>
    <cellStyle name="Output 29 2 7 2" xfId="32822" xr:uid="{00000000-0005-0000-0000-000034800000}"/>
    <cellStyle name="Output 29 2 7 2 2" xfId="32823" xr:uid="{00000000-0005-0000-0000-000035800000}"/>
    <cellStyle name="Output 29 2 7 2 3" xfId="32824" xr:uid="{00000000-0005-0000-0000-000036800000}"/>
    <cellStyle name="Output 29 2 7 3" xfId="32825" xr:uid="{00000000-0005-0000-0000-000037800000}"/>
    <cellStyle name="Output 29 2 7 4" xfId="32826" xr:uid="{00000000-0005-0000-0000-000038800000}"/>
    <cellStyle name="Output 29 2 8" xfId="32827" xr:uid="{00000000-0005-0000-0000-000039800000}"/>
    <cellStyle name="Output 29 2 8 2" xfId="32828" xr:uid="{00000000-0005-0000-0000-00003A800000}"/>
    <cellStyle name="Output 29 2 8 2 2" xfId="32829" xr:uid="{00000000-0005-0000-0000-00003B800000}"/>
    <cellStyle name="Output 29 2 8 2 3" xfId="32830" xr:uid="{00000000-0005-0000-0000-00003C800000}"/>
    <cellStyle name="Output 29 2 8 3" xfId="32831" xr:uid="{00000000-0005-0000-0000-00003D800000}"/>
    <cellStyle name="Output 29 2 8 4" xfId="32832" xr:uid="{00000000-0005-0000-0000-00003E800000}"/>
    <cellStyle name="Output 29 2 9" xfId="32833" xr:uid="{00000000-0005-0000-0000-00003F800000}"/>
    <cellStyle name="Output 29 2 9 2" xfId="32834" xr:uid="{00000000-0005-0000-0000-000040800000}"/>
    <cellStyle name="Output 29 2 9 2 2" xfId="32835" xr:uid="{00000000-0005-0000-0000-000041800000}"/>
    <cellStyle name="Output 29 2 9 2 3" xfId="32836" xr:uid="{00000000-0005-0000-0000-000042800000}"/>
    <cellStyle name="Output 29 2 9 3" xfId="32837" xr:uid="{00000000-0005-0000-0000-000043800000}"/>
    <cellStyle name="Output 29 2 9 4" xfId="32838" xr:uid="{00000000-0005-0000-0000-000044800000}"/>
    <cellStyle name="Output 29 3" xfId="32839" xr:uid="{00000000-0005-0000-0000-000045800000}"/>
    <cellStyle name="Output 29 3 2" xfId="32840" xr:uid="{00000000-0005-0000-0000-000046800000}"/>
    <cellStyle name="Output 29 3 2 2" xfId="32841" xr:uid="{00000000-0005-0000-0000-000047800000}"/>
    <cellStyle name="Output 29 3 2 3" xfId="32842" xr:uid="{00000000-0005-0000-0000-000048800000}"/>
    <cellStyle name="Output 29 3 3" xfId="32843" xr:uid="{00000000-0005-0000-0000-000049800000}"/>
    <cellStyle name="Output 29 3 4" xfId="32844" xr:uid="{00000000-0005-0000-0000-00004A800000}"/>
    <cellStyle name="Output 29 4" xfId="32845" xr:uid="{00000000-0005-0000-0000-00004B800000}"/>
    <cellStyle name="Output 29 5" xfId="32846" xr:uid="{00000000-0005-0000-0000-00004C800000}"/>
    <cellStyle name="Output 3" xfId="32847" xr:uid="{00000000-0005-0000-0000-00004D800000}"/>
    <cellStyle name="Output 3 2" xfId="32848" xr:uid="{00000000-0005-0000-0000-00004E800000}"/>
    <cellStyle name="Output 3 2 10" xfId="32849" xr:uid="{00000000-0005-0000-0000-00004F800000}"/>
    <cellStyle name="Output 3 2 10 2" xfId="32850" xr:uid="{00000000-0005-0000-0000-000050800000}"/>
    <cellStyle name="Output 3 2 10 2 2" xfId="32851" xr:uid="{00000000-0005-0000-0000-000051800000}"/>
    <cellStyle name="Output 3 2 10 2 3" xfId="32852" xr:uid="{00000000-0005-0000-0000-000052800000}"/>
    <cellStyle name="Output 3 2 10 3" xfId="32853" xr:uid="{00000000-0005-0000-0000-000053800000}"/>
    <cellStyle name="Output 3 2 10 4" xfId="32854" xr:uid="{00000000-0005-0000-0000-000054800000}"/>
    <cellStyle name="Output 3 2 11" xfId="32855" xr:uid="{00000000-0005-0000-0000-000055800000}"/>
    <cellStyle name="Output 3 2 11 2" xfId="32856" xr:uid="{00000000-0005-0000-0000-000056800000}"/>
    <cellStyle name="Output 3 2 11 2 2" xfId="32857" xr:uid="{00000000-0005-0000-0000-000057800000}"/>
    <cellStyle name="Output 3 2 11 2 3" xfId="32858" xr:uid="{00000000-0005-0000-0000-000058800000}"/>
    <cellStyle name="Output 3 2 11 3" xfId="32859" xr:uid="{00000000-0005-0000-0000-000059800000}"/>
    <cellStyle name="Output 3 2 11 4" xfId="32860" xr:uid="{00000000-0005-0000-0000-00005A800000}"/>
    <cellStyle name="Output 3 2 12" xfId="32861" xr:uid="{00000000-0005-0000-0000-00005B800000}"/>
    <cellStyle name="Output 3 2 12 2" xfId="32862" xr:uid="{00000000-0005-0000-0000-00005C800000}"/>
    <cellStyle name="Output 3 2 12 2 2" xfId="32863" xr:uid="{00000000-0005-0000-0000-00005D800000}"/>
    <cellStyle name="Output 3 2 12 2 3" xfId="32864" xr:uid="{00000000-0005-0000-0000-00005E800000}"/>
    <cellStyle name="Output 3 2 12 3" xfId="32865" xr:uid="{00000000-0005-0000-0000-00005F800000}"/>
    <cellStyle name="Output 3 2 12 4" xfId="32866" xr:uid="{00000000-0005-0000-0000-000060800000}"/>
    <cellStyle name="Output 3 2 13" xfId="32867" xr:uid="{00000000-0005-0000-0000-000061800000}"/>
    <cellStyle name="Output 3 2 13 2" xfId="32868" xr:uid="{00000000-0005-0000-0000-000062800000}"/>
    <cellStyle name="Output 3 2 13 2 2" xfId="32869" xr:uid="{00000000-0005-0000-0000-000063800000}"/>
    <cellStyle name="Output 3 2 13 2 3" xfId="32870" xr:uid="{00000000-0005-0000-0000-000064800000}"/>
    <cellStyle name="Output 3 2 13 3" xfId="32871" xr:uid="{00000000-0005-0000-0000-000065800000}"/>
    <cellStyle name="Output 3 2 13 4" xfId="32872" xr:uid="{00000000-0005-0000-0000-000066800000}"/>
    <cellStyle name="Output 3 2 14" xfId="32873" xr:uid="{00000000-0005-0000-0000-000067800000}"/>
    <cellStyle name="Output 3 2 14 2" xfId="32874" xr:uid="{00000000-0005-0000-0000-000068800000}"/>
    <cellStyle name="Output 3 2 14 2 2" xfId="32875" xr:uid="{00000000-0005-0000-0000-000069800000}"/>
    <cellStyle name="Output 3 2 14 2 3" xfId="32876" xr:uid="{00000000-0005-0000-0000-00006A800000}"/>
    <cellStyle name="Output 3 2 14 3" xfId="32877" xr:uid="{00000000-0005-0000-0000-00006B800000}"/>
    <cellStyle name="Output 3 2 14 4" xfId="32878" xr:uid="{00000000-0005-0000-0000-00006C800000}"/>
    <cellStyle name="Output 3 2 15" xfId="32879" xr:uid="{00000000-0005-0000-0000-00006D800000}"/>
    <cellStyle name="Output 3 2 15 2" xfId="32880" xr:uid="{00000000-0005-0000-0000-00006E800000}"/>
    <cellStyle name="Output 3 2 15 2 2" xfId="32881" xr:uid="{00000000-0005-0000-0000-00006F800000}"/>
    <cellStyle name="Output 3 2 15 2 3" xfId="32882" xr:uid="{00000000-0005-0000-0000-000070800000}"/>
    <cellStyle name="Output 3 2 15 3" xfId="32883" xr:uid="{00000000-0005-0000-0000-000071800000}"/>
    <cellStyle name="Output 3 2 15 4" xfId="32884" xr:uid="{00000000-0005-0000-0000-000072800000}"/>
    <cellStyle name="Output 3 2 16" xfId="32885" xr:uid="{00000000-0005-0000-0000-000073800000}"/>
    <cellStyle name="Output 3 2 16 2" xfId="32886" xr:uid="{00000000-0005-0000-0000-000074800000}"/>
    <cellStyle name="Output 3 2 16 2 2" xfId="32887" xr:uid="{00000000-0005-0000-0000-000075800000}"/>
    <cellStyle name="Output 3 2 16 2 3" xfId="32888" xr:uid="{00000000-0005-0000-0000-000076800000}"/>
    <cellStyle name="Output 3 2 16 3" xfId="32889" xr:uid="{00000000-0005-0000-0000-000077800000}"/>
    <cellStyle name="Output 3 2 16 4" xfId="32890" xr:uid="{00000000-0005-0000-0000-000078800000}"/>
    <cellStyle name="Output 3 2 17" xfId="32891" xr:uid="{00000000-0005-0000-0000-000079800000}"/>
    <cellStyle name="Output 3 2 17 2" xfId="32892" xr:uid="{00000000-0005-0000-0000-00007A800000}"/>
    <cellStyle name="Output 3 2 17 2 2" xfId="32893" xr:uid="{00000000-0005-0000-0000-00007B800000}"/>
    <cellStyle name="Output 3 2 17 2 3" xfId="32894" xr:uid="{00000000-0005-0000-0000-00007C800000}"/>
    <cellStyle name="Output 3 2 17 3" xfId="32895" xr:uid="{00000000-0005-0000-0000-00007D800000}"/>
    <cellStyle name="Output 3 2 17 4" xfId="32896" xr:uid="{00000000-0005-0000-0000-00007E800000}"/>
    <cellStyle name="Output 3 2 18" xfId="32897" xr:uid="{00000000-0005-0000-0000-00007F800000}"/>
    <cellStyle name="Output 3 2 18 2" xfId="32898" xr:uid="{00000000-0005-0000-0000-000080800000}"/>
    <cellStyle name="Output 3 2 18 3" xfId="32899" xr:uid="{00000000-0005-0000-0000-000081800000}"/>
    <cellStyle name="Output 3 2 18 4" xfId="32900" xr:uid="{00000000-0005-0000-0000-000082800000}"/>
    <cellStyle name="Output 3 2 19" xfId="32901" xr:uid="{00000000-0005-0000-0000-000083800000}"/>
    <cellStyle name="Output 3 2 2" xfId="32902" xr:uid="{00000000-0005-0000-0000-000084800000}"/>
    <cellStyle name="Output 3 2 2 2" xfId="32903" xr:uid="{00000000-0005-0000-0000-000085800000}"/>
    <cellStyle name="Output 3 2 2 2 2" xfId="32904" xr:uid="{00000000-0005-0000-0000-000086800000}"/>
    <cellStyle name="Output 3 2 2 2 3" xfId="32905" xr:uid="{00000000-0005-0000-0000-000087800000}"/>
    <cellStyle name="Output 3 2 2 3" xfId="32906" xr:uid="{00000000-0005-0000-0000-000088800000}"/>
    <cellStyle name="Output 3 2 2 4" xfId="32907" xr:uid="{00000000-0005-0000-0000-000089800000}"/>
    <cellStyle name="Output 3 2 20" xfId="32908" xr:uid="{00000000-0005-0000-0000-00008A800000}"/>
    <cellStyle name="Output 3 2 21" xfId="32909" xr:uid="{00000000-0005-0000-0000-00008B800000}"/>
    <cellStyle name="Output 3 2 3" xfId="32910" xr:uid="{00000000-0005-0000-0000-00008C800000}"/>
    <cellStyle name="Output 3 2 3 2" xfId="32911" xr:uid="{00000000-0005-0000-0000-00008D800000}"/>
    <cellStyle name="Output 3 2 3 2 2" xfId="32912" xr:uid="{00000000-0005-0000-0000-00008E800000}"/>
    <cellStyle name="Output 3 2 3 2 3" xfId="32913" xr:uid="{00000000-0005-0000-0000-00008F800000}"/>
    <cellStyle name="Output 3 2 3 3" xfId="32914" xr:uid="{00000000-0005-0000-0000-000090800000}"/>
    <cellStyle name="Output 3 2 3 4" xfId="32915" xr:uid="{00000000-0005-0000-0000-000091800000}"/>
    <cellStyle name="Output 3 2 4" xfId="32916" xr:uid="{00000000-0005-0000-0000-000092800000}"/>
    <cellStyle name="Output 3 2 4 2" xfId="32917" xr:uid="{00000000-0005-0000-0000-000093800000}"/>
    <cellStyle name="Output 3 2 4 2 2" xfId="32918" xr:uid="{00000000-0005-0000-0000-000094800000}"/>
    <cellStyle name="Output 3 2 4 2 3" xfId="32919" xr:uid="{00000000-0005-0000-0000-000095800000}"/>
    <cellStyle name="Output 3 2 4 3" xfId="32920" xr:uid="{00000000-0005-0000-0000-000096800000}"/>
    <cellStyle name="Output 3 2 4 4" xfId="32921" xr:uid="{00000000-0005-0000-0000-000097800000}"/>
    <cellStyle name="Output 3 2 5" xfId="32922" xr:uid="{00000000-0005-0000-0000-000098800000}"/>
    <cellStyle name="Output 3 2 5 2" xfId="32923" xr:uid="{00000000-0005-0000-0000-000099800000}"/>
    <cellStyle name="Output 3 2 5 2 2" xfId="32924" xr:uid="{00000000-0005-0000-0000-00009A800000}"/>
    <cellStyle name="Output 3 2 5 2 3" xfId="32925" xr:uid="{00000000-0005-0000-0000-00009B800000}"/>
    <cellStyle name="Output 3 2 5 3" xfId="32926" xr:uid="{00000000-0005-0000-0000-00009C800000}"/>
    <cellStyle name="Output 3 2 5 4" xfId="32927" xr:uid="{00000000-0005-0000-0000-00009D800000}"/>
    <cellStyle name="Output 3 2 6" xfId="32928" xr:uid="{00000000-0005-0000-0000-00009E800000}"/>
    <cellStyle name="Output 3 2 6 2" xfId="32929" xr:uid="{00000000-0005-0000-0000-00009F800000}"/>
    <cellStyle name="Output 3 2 6 2 2" xfId="32930" xr:uid="{00000000-0005-0000-0000-0000A0800000}"/>
    <cellStyle name="Output 3 2 6 2 3" xfId="32931" xr:uid="{00000000-0005-0000-0000-0000A1800000}"/>
    <cellStyle name="Output 3 2 6 3" xfId="32932" xr:uid="{00000000-0005-0000-0000-0000A2800000}"/>
    <cellStyle name="Output 3 2 6 4" xfId="32933" xr:uid="{00000000-0005-0000-0000-0000A3800000}"/>
    <cellStyle name="Output 3 2 7" xfId="32934" xr:uid="{00000000-0005-0000-0000-0000A4800000}"/>
    <cellStyle name="Output 3 2 7 2" xfId="32935" xr:uid="{00000000-0005-0000-0000-0000A5800000}"/>
    <cellStyle name="Output 3 2 7 2 2" xfId="32936" xr:uid="{00000000-0005-0000-0000-0000A6800000}"/>
    <cellStyle name="Output 3 2 7 2 3" xfId="32937" xr:uid="{00000000-0005-0000-0000-0000A7800000}"/>
    <cellStyle name="Output 3 2 7 3" xfId="32938" xr:uid="{00000000-0005-0000-0000-0000A8800000}"/>
    <cellStyle name="Output 3 2 7 4" xfId="32939" xr:uid="{00000000-0005-0000-0000-0000A9800000}"/>
    <cellStyle name="Output 3 2 8" xfId="32940" xr:uid="{00000000-0005-0000-0000-0000AA800000}"/>
    <cellStyle name="Output 3 2 8 2" xfId="32941" xr:uid="{00000000-0005-0000-0000-0000AB800000}"/>
    <cellStyle name="Output 3 2 8 2 2" xfId="32942" xr:uid="{00000000-0005-0000-0000-0000AC800000}"/>
    <cellStyle name="Output 3 2 8 2 3" xfId="32943" xr:uid="{00000000-0005-0000-0000-0000AD800000}"/>
    <cellStyle name="Output 3 2 8 3" xfId="32944" xr:uid="{00000000-0005-0000-0000-0000AE800000}"/>
    <cellStyle name="Output 3 2 8 4" xfId="32945" xr:uid="{00000000-0005-0000-0000-0000AF800000}"/>
    <cellStyle name="Output 3 2 9" xfId="32946" xr:uid="{00000000-0005-0000-0000-0000B0800000}"/>
    <cellStyle name="Output 3 2 9 2" xfId="32947" xr:uid="{00000000-0005-0000-0000-0000B1800000}"/>
    <cellStyle name="Output 3 2 9 2 2" xfId="32948" xr:uid="{00000000-0005-0000-0000-0000B2800000}"/>
    <cellStyle name="Output 3 2 9 2 3" xfId="32949" xr:uid="{00000000-0005-0000-0000-0000B3800000}"/>
    <cellStyle name="Output 3 2 9 3" xfId="32950" xr:uid="{00000000-0005-0000-0000-0000B4800000}"/>
    <cellStyle name="Output 3 2 9 4" xfId="32951" xr:uid="{00000000-0005-0000-0000-0000B5800000}"/>
    <cellStyle name="Output 3 3" xfId="32952" xr:uid="{00000000-0005-0000-0000-0000B6800000}"/>
    <cellStyle name="Output 3 3 2" xfId="32953" xr:uid="{00000000-0005-0000-0000-0000B7800000}"/>
    <cellStyle name="Output 3 3 2 2" xfId="32954" xr:uid="{00000000-0005-0000-0000-0000B8800000}"/>
    <cellStyle name="Output 3 3 2 3" xfId="32955" xr:uid="{00000000-0005-0000-0000-0000B9800000}"/>
    <cellStyle name="Output 3 3 3" xfId="32956" xr:uid="{00000000-0005-0000-0000-0000BA800000}"/>
    <cellStyle name="Output 3 3 4" xfId="32957" xr:uid="{00000000-0005-0000-0000-0000BB800000}"/>
    <cellStyle name="Output 3 4" xfId="32958" xr:uid="{00000000-0005-0000-0000-0000BC800000}"/>
    <cellStyle name="Output 3 5" xfId="32959" xr:uid="{00000000-0005-0000-0000-0000BD800000}"/>
    <cellStyle name="Output 30" xfId="32960" xr:uid="{00000000-0005-0000-0000-0000BE800000}"/>
    <cellStyle name="Output 30 2" xfId="32961" xr:uid="{00000000-0005-0000-0000-0000BF800000}"/>
    <cellStyle name="Output 30 2 10" xfId="32962" xr:uid="{00000000-0005-0000-0000-0000C0800000}"/>
    <cellStyle name="Output 30 2 10 2" xfId="32963" xr:uid="{00000000-0005-0000-0000-0000C1800000}"/>
    <cellStyle name="Output 30 2 10 2 2" xfId="32964" xr:uid="{00000000-0005-0000-0000-0000C2800000}"/>
    <cellStyle name="Output 30 2 10 2 3" xfId="32965" xr:uid="{00000000-0005-0000-0000-0000C3800000}"/>
    <cellStyle name="Output 30 2 10 3" xfId="32966" xr:uid="{00000000-0005-0000-0000-0000C4800000}"/>
    <cellStyle name="Output 30 2 10 4" xfId="32967" xr:uid="{00000000-0005-0000-0000-0000C5800000}"/>
    <cellStyle name="Output 30 2 11" xfId="32968" xr:uid="{00000000-0005-0000-0000-0000C6800000}"/>
    <cellStyle name="Output 30 2 11 2" xfId="32969" xr:uid="{00000000-0005-0000-0000-0000C7800000}"/>
    <cellStyle name="Output 30 2 11 2 2" xfId="32970" xr:uid="{00000000-0005-0000-0000-0000C8800000}"/>
    <cellStyle name="Output 30 2 11 2 3" xfId="32971" xr:uid="{00000000-0005-0000-0000-0000C9800000}"/>
    <cellStyle name="Output 30 2 11 3" xfId="32972" xr:uid="{00000000-0005-0000-0000-0000CA800000}"/>
    <cellStyle name="Output 30 2 11 4" xfId="32973" xr:uid="{00000000-0005-0000-0000-0000CB800000}"/>
    <cellStyle name="Output 30 2 12" xfId="32974" xr:uid="{00000000-0005-0000-0000-0000CC800000}"/>
    <cellStyle name="Output 30 2 12 2" xfId="32975" xr:uid="{00000000-0005-0000-0000-0000CD800000}"/>
    <cellStyle name="Output 30 2 12 2 2" xfId="32976" xr:uid="{00000000-0005-0000-0000-0000CE800000}"/>
    <cellStyle name="Output 30 2 12 2 3" xfId="32977" xr:uid="{00000000-0005-0000-0000-0000CF800000}"/>
    <cellStyle name="Output 30 2 12 3" xfId="32978" xr:uid="{00000000-0005-0000-0000-0000D0800000}"/>
    <cellStyle name="Output 30 2 12 4" xfId="32979" xr:uid="{00000000-0005-0000-0000-0000D1800000}"/>
    <cellStyle name="Output 30 2 13" xfId="32980" xr:uid="{00000000-0005-0000-0000-0000D2800000}"/>
    <cellStyle name="Output 30 2 13 2" xfId="32981" xr:uid="{00000000-0005-0000-0000-0000D3800000}"/>
    <cellStyle name="Output 30 2 13 2 2" xfId="32982" xr:uid="{00000000-0005-0000-0000-0000D4800000}"/>
    <cellStyle name="Output 30 2 13 2 3" xfId="32983" xr:uid="{00000000-0005-0000-0000-0000D5800000}"/>
    <cellStyle name="Output 30 2 13 3" xfId="32984" xr:uid="{00000000-0005-0000-0000-0000D6800000}"/>
    <cellStyle name="Output 30 2 13 4" xfId="32985" xr:uid="{00000000-0005-0000-0000-0000D7800000}"/>
    <cellStyle name="Output 30 2 14" xfId="32986" xr:uid="{00000000-0005-0000-0000-0000D8800000}"/>
    <cellStyle name="Output 30 2 14 2" xfId="32987" xr:uid="{00000000-0005-0000-0000-0000D9800000}"/>
    <cellStyle name="Output 30 2 14 2 2" xfId="32988" xr:uid="{00000000-0005-0000-0000-0000DA800000}"/>
    <cellStyle name="Output 30 2 14 2 3" xfId="32989" xr:uid="{00000000-0005-0000-0000-0000DB800000}"/>
    <cellStyle name="Output 30 2 14 3" xfId="32990" xr:uid="{00000000-0005-0000-0000-0000DC800000}"/>
    <cellStyle name="Output 30 2 14 4" xfId="32991" xr:uid="{00000000-0005-0000-0000-0000DD800000}"/>
    <cellStyle name="Output 30 2 15" xfId="32992" xr:uid="{00000000-0005-0000-0000-0000DE800000}"/>
    <cellStyle name="Output 30 2 15 2" xfId="32993" xr:uid="{00000000-0005-0000-0000-0000DF800000}"/>
    <cellStyle name="Output 30 2 15 2 2" xfId="32994" xr:uid="{00000000-0005-0000-0000-0000E0800000}"/>
    <cellStyle name="Output 30 2 15 2 3" xfId="32995" xr:uid="{00000000-0005-0000-0000-0000E1800000}"/>
    <cellStyle name="Output 30 2 15 3" xfId="32996" xr:uid="{00000000-0005-0000-0000-0000E2800000}"/>
    <cellStyle name="Output 30 2 15 4" xfId="32997" xr:uid="{00000000-0005-0000-0000-0000E3800000}"/>
    <cellStyle name="Output 30 2 16" xfId="32998" xr:uid="{00000000-0005-0000-0000-0000E4800000}"/>
    <cellStyle name="Output 30 2 16 2" xfId="32999" xr:uid="{00000000-0005-0000-0000-0000E5800000}"/>
    <cellStyle name="Output 30 2 16 2 2" xfId="33000" xr:uid="{00000000-0005-0000-0000-0000E6800000}"/>
    <cellStyle name="Output 30 2 16 2 3" xfId="33001" xr:uid="{00000000-0005-0000-0000-0000E7800000}"/>
    <cellStyle name="Output 30 2 16 3" xfId="33002" xr:uid="{00000000-0005-0000-0000-0000E8800000}"/>
    <cellStyle name="Output 30 2 16 4" xfId="33003" xr:uid="{00000000-0005-0000-0000-0000E9800000}"/>
    <cellStyle name="Output 30 2 17" xfId="33004" xr:uid="{00000000-0005-0000-0000-0000EA800000}"/>
    <cellStyle name="Output 30 2 17 2" xfId="33005" xr:uid="{00000000-0005-0000-0000-0000EB800000}"/>
    <cellStyle name="Output 30 2 17 2 2" xfId="33006" xr:uid="{00000000-0005-0000-0000-0000EC800000}"/>
    <cellStyle name="Output 30 2 17 2 3" xfId="33007" xr:uid="{00000000-0005-0000-0000-0000ED800000}"/>
    <cellStyle name="Output 30 2 17 3" xfId="33008" xr:uid="{00000000-0005-0000-0000-0000EE800000}"/>
    <cellStyle name="Output 30 2 17 4" xfId="33009" xr:uid="{00000000-0005-0000-0000-0000EF800000}"/>
    <cellStyle name="Output 30 2 18" xfId="33010" xr:uid="{00000000-0005-0000-0000-0000F0800000}"/>
    <cellStyle name="Output 30 2 18 2" xfId="33011" xr:uid="{00000000-0005-0000-0000-0000F1800000}"/>
    <cellStyle name="Output 30 2 18 3" xfId="33012" xr:uid="{00000000-0005-0000-0000-0000F2800000}"/>
    <cellStyle name="Output 30 2 18 4" xfId="33013" xr:uid="{00000000-0005-0000-0000-0000F3800000}"/>
    <cellStyle name="Output 30 2 19" xfId="33014" xr:uid="{00000000-0005-0000-0000-0000F4800000}"/>
    <cellStyle name="Output 30 2 2" xfId="33015" xr:uid="{00000000-0005-0000-0000-0000F5800000}"/>
    <cellStyle name="Output 30 2 2 2" xfId="33016" xr:uid="{00000000-0005-0000-0000-0000F6800000}"/>
    <cellStyle name="Output 30 2 2 2 2" xfId="33017" xr:uid="{00000000-0005-0000-0000-0000F7800000}"/>
    <cellStyle name="Output 30 2 2 2 3" xfId="33018" xr:uid="{00000000-0005-0000-0000-0000F8800000}"/>
    <cellStyle name="Output 30 2 2 3" xfId="33019" xr:uid="{00000000-0005-0000-0000-0000F9800000}"/>
    <cellStyle name="Output 30 2 2 4" xfId="33020" xr:uid="{00000000-0005-0000-0000-0000FA800000}"/>
    <cellStyle name="Output 30 2 20" xfId="33021" xr:uid="{00000000-0005-0000-0000-0000FB800000}"/>
    <cellStyle name="Output 30 2 21" xfId="33022" xr:uid="{00000000-0005-0000-0000-0000FC800000}"/>
    <cellStyle name="Output 30 2 3" xfId="33023" xr:uid="{00000000-0005-0000-0000-0000FD800000}"/>
    <cellStyle name="Output 30 2 3 2" xfId="33024" xr:uid="{00000000-0005-0000-0000-0000FE800000}"/>
    <cellStyle name="Output 30 2 3 2 2" xfId="33025" xr:uid="{00000000-0005-0000-0000-0000FF800000}"/>
    <cellStyle name="Output 30 2 3 2 3" xfId="33026" xr:uid="{00000000-0005-0000-0000-000000810000}"/>
    <cellStyle name="Output 30 2 3 3" xfId="33027" xr:uid="{00000000-0005-0000-0000-000001810000}"/>
    <cellStyle name="Output 30 2 3 4" xfId="33028" xr:uid="{00000000-0005-0000-0000-000002810000}"/>
    <cellStyle name="Output 30 2 4" xfId="33029" xr:uid="{00000000-0005-0000-0000-000003810000}"/>
    <cellStyle name="Output 30 2 4 2" xfId="33030" xr:uid="{00000000-0005-0000-0000-000004810000}"/>
    <cellStyle name="Output 30 2 4 2 2" xfId="33031" xr:uid="{00000000-0005-0000-0000-000005810000}"/>
    <cellStyle name="Output 30 2 4 2 3" xfId="33032" xr:uid="{00000000-0005-0000-0000-000006810000}"/>
    <cellStyle name="Output 30 2 4 3" xfId="33033" xr:uid="{00000000-0005-0000-0000-000007810000}"/>
    <cellStyle name="Output 30 2 4 4" xfId="33034" xr:uid="{00000000-0005-0000-0000-000008810000}"/>
    <cellStyle name="Output 30 2 5" xfId="33035" xr:uid="{00000000-0005-0000-0000-000009810000}"/>
    <cellStyle name="Output 30 2 5 2" xfId="33036" xr:uid="{00000000-0005-0000-0000-00000A810000}"/>
    <cellStyle name="Output 30 2 5 2 2" xfId="33037" xr:uid="{00000000-0005-0000-0000-00000B810000}"/>
    <cellStyle name="Output 30 2 5 2 3" xfId="33038" xr:uid="{00000000-0005-0000-0000-00000C810000}"/>
    <cellStyle name="Output 30 2 5 3" xfId="33039" xr:uid="{00000000-0005-0000-0000-00000D810000}"/>
    <cellStyle name="Output 30 2 5 4" xfId="33040" xr:uid="{00000000-0005-0000-0000-00000E810000}"/>
    <cellStyle name="Output 30 2 6" xfId="33041" xr:uid="{00000000-0005-0000-0000-00000F810000}"/>
    <cellStyle name="Output 30 2 6 2" xfId="33042" xr:uid="{00000000-0005-0000-0000-000010810000}"/>
    <cellStyle name="Output 30 2 6 2 2" xfId="33043" xr:uid="{00000000-0005-0000-0000-000011810000}"/>
    <cellStyle name="Output 30 2 6 2 3" xfId="33044" xr:uid="{00000000-0005-0000-0000-000012810000}"/>
    <cellStyle name="Output 30 2 6 3" xfId="33045" xr:uid="{00000000-0005-0000-0000-000013810000}"/>
    <cellStyle name="Output 30 2 6 4" xfId="33046" xr:uid="{00000000-0005-0000-0000-000014810000}"/>
    <cellStyle name="Output 30 2 7" xfId="33047" xr:uid="{00000000-0005-0000-0000-000015810000}"/>
    <cellStyle name="Output 30 2 7 2" xfId="33048" xr:uid="{00000000-0005-0000-0000-000016810000}"/>
    <cellStyle name="Output 30 2 7 2 2" xfId="33049" xr:uid="{00000000-0005-0000-0000-000017810000}"/>
    <cellStyle name="Output 30 2 7 2 3" xfId="33050" xr:uid="{00000000-0005-0000-0000-000018810000}"/>
    <cellStyle name="Output 30 2 7 3" xfId="33051" xr:uid="{00000000-0005-0000-0000-000019810000}"/>
    <cellStyle name="Output 30 2 7 4" xfId="33052" xr:uid="{00000000-0005-0000-0000-00001A810000}"/>
    <cellStyle name="Output 30 2 8" xfId="33053" xr:uid="{00000000-0005-0000-0000-00001B810000}"/>
    <cellStyle name="Output 30 2 8 2" xfId="33054" xr:uid="{00000000-0005-0000-0000-00001C810000}"/>
    <cellStyle name="Output 30 2 8 2 2" xfId="33055" xr:uid="{00000000-0005-0000-0000-00001D810000}"/>
    <cellStyle name="Output 30 2 8 2 3" xfId="33056" xr:uid="{00000000-0005-0000-0000-00001E810000}"/>
    <cellStyle name="Output 30 2 8 3" xfId="33057" xr:uid="{00000000-0005-0000-0000-00001F810000}"/>
    <cellStyle name="Output 30 2 8 4" xfId="33058" xr:uid="{00000000-0005-0000-0000-000020810000}"/>
    <cellStyle name="Output 30 2 9" xfId="33059" xr:uid="{00000000-0005-0000-0000-000021810000}"/>
    <cellStyle name="Output 30 2 9 2" xfId="33060" xr:uid="{00000000-0005-0000-0000-000022810000}"/>
    <cellStyle name="Output 30 2 9 2 2" xfId="33061" xr:uid="{00000000-0005-0000-0000-000023810000}"/>
    <cellStyle name="Output 30 2 9 2 3" xfId="33062" xr:uid="{00000000-0005-0000-0000-000024810000}"/>
    <cellStyle name="Output 30 2 9 3" xfId="33063" xr:uid="{00000000-0005-0000-0000-000025810000}"/>
    <cellStyle name="Output 30 2 9 4" xfId="33064" xr:uid="{00000000-0005-0000-0000-000026810000}"/>
    <cellStyle name="Output 30 3" xfId="33065" xr:uid="{00000000-0005-0000-0000-000027810000}"/>
    <cellStyle name="Output 30 3 2" xfId="33066" xr:uid="{00000000-0005-0000-0000-000028810000}"/>
    <cellStyle name="Output 30 3 2 2" xfId="33067" xr:uid="{00000000-0005-0000-0000-000029810000}"/>
    <cellStyle name="Output 30 3 2 3" xfId="33068" xr:uid="{00000000-0005-0000-0000-00002A810000}"/>
    <cellStyle name="Output 30 3 3" xfId="33069" xr:uid="{00000000-0005-0000-0000-00002B810000}"/>
    <cellStyle name="Output 30 3 4" xfId="33070" xr:uid="{00000000-0005-0000-0000-00002C810000}"/>
    <cellStyle name="Output 30 4" xfId="33071" xr:uid="{00000000-0005-0000-0000-00002D810000}"/>
    <cellStyle name="Output 30 5" xfId="33072" xr:uid="{00000000-0005-0000-0000-00002E810000}"/>
    <cellStyle name="Output 31" xfId="33073" xr:uid="{00000000-0005-0000-0000-00002F810000}"/>
    <cellStyle name="Output 31 2" xfId="33074" xr:uid="{00000000-0005-0000-0000-000030810000}"/>
    <cellStyle name="Output 31 2 10" xfId="33075" xr:uid="{00000000-0005-0000-0000-000031810000}"/>
    <cellStyle name="Output 31 2 10 2" xfId="33076" xr:uid="{00000000-0005-0000-0000-000032810000}"/>
    <cellStyle name="Output 31 2 10 2 2" xfId="33077" xr:uid="{00000000-0005-0000-0000-000033810000}"/>
    <cellStyle name="Output 31 2 10 2 3" xfId="33078" xr:uid="{00000000-0005-0000-0000-000034810000}"/>
    <cellStyle name="Output 31 2 10 3" xfId="33079" xr:uid="{00000000-0005-0000-0000-000035810000}"/>
    <cellStyle name="Output 31 2 10 4" xfId="33080" xr:uid="{00000000-0005-0000-0000-000036810000}"/>
    <cellStyle name="Output 31 2 11" xfId="33081" xr:uid="{00000000-0005-0000-0000-000037810000}"/>
    <cellStyle name="Output 31 2 11 2" xfId="33082" xr:uid="{00000000-0005-0000-0000-000038810000}"/>
    <cellStyle name="Output 31 2 11 2 2" xfId="33083" xr:uid="{00000000-0005-0000-0000-000039810000}"/>
    <cellStyle name="Output 31 2 11 2 3" xfId="33084" xr:uid="{00000000-0005-0000-0000-00003A810000}"/>
    <cellStyle name="Output 31 2 11 3" xfId="33085" xr:uid="{00000000-0005-0000-0000-00003B810000}"/>
    <cellStyle name="Output 31 2 11 4" xfId="33086" xr:uid="{00000000-0005-0000-0000-00003C810000}"/>
    <cellStyle name="Output 31 2 12" xfId="33087" xr:uid="{00000000-0005-0000-0000-00003D810000}"/>
    <cellStyle name="Output 31 2 12 2" xfId="33088" xr:uid="{00000000-0005-0000-0000-00003E810000}"/>
    <cellStyle name="Output 31 2 12 2 2" xfId="33089" xr:uid="{00000000-0005-0000-0000-00003F810000}"/>
    <cellStyle name="Output 31 2 12 2 3" xfId="33090" xr:uid="{00000000-0005-0000-0000-000040810000}"/>
    <cellStyle name="Output 31 2 12 3" xfId="33091" xr:uid="{00000000-0005-0000-0000-000041810000}"/>
    <cellStyle name="Output 31 2 12 4" xfId="33092" xr:uid="{00000000-0005-0000-0000-000042810000}"/>
    <cellStyle name="Output 31 2 13" xfId="33093" xr:uid="{00000000-0005-0000-0000-000043810000}"/>
    <cellStyle name="Output 31 2 13 2" xfId="33094" xr:uid="{00000000-0005-0000-0000-000044810000}"/>
    <cellStyle name="Output 31 2 13 2 2" xfId="33095" xr:uid="{00000000-0005-0000-0000-000045810000}"/>
    <cellStyle name="Output 31 2 13 2 3" xfId="33096" xr:uid="{00000000-0005-0000-0000-000046810000}"/>
    <cellStyle name="Output 31 2 13 3" xfId="33097" xr:uid="{00000000-0005-0000-0000-000047810000}"/>
    <cellStyle name="Output 31 2 13 4" xfId="33098" xr:uid="{00000000-0005-0000-0000-000048810000}"/>
    <cellStyle name="Output 31 2 14" xfId="33099" xr:uid="{00000000-0005-0000-0000-000049810000}"/>
    <cellStyle name="Output 31 2 14 2" xfId="33100" xr:uid="{00000000-0005-0000-0000-00004A810000}"/>
    <cellStyle name="Output 31 2 14 2 2" xfId="33101" xr:uid="{00000000-0005-0000-0000-00004B810000}"/>
    <cellStyle name="Output 31 2 14 2 3" xfId="33102" xr:uid="{00000000-0005-0000-0000-00004C810000}"/>
    <cellStyle name="Output 31 2 14 3" xfId="33103" xr:uid="{00000000-0005-0000-0000-00004D810000}"/>
    <cellStyle name="Output 31 2 14 4" xfId="33104" xr:uid="{00000000-0005-0000-0000-00004E810000}"/>
    <cellStyle name="Output 31 2 15" xfId="33105" xr:uid="{00000000-0005-0000-0000-00004F810000}"/>
    <cellStyle name="Output 31 2 15 2" xfId="33106" xr:uid="{00000000-0005-0000-0000-000050810000}"/>
    <cellStyle name="Output 31 2 15 2 2" xfId="33107" xr:uid="{00000000-0005-0000-0000-000051810000}"/>
    <cellStyle name="Output 31 2 15 2 3" xfId="33108" xr:uid="{00000000-0005-0000-0000-000052810000}"/>
    <cellStyle name="Output 31 2 15 3" xfId="33109" xr:uid="{00000000-0005-0000-0000-000053810000}"/>
    <cellStyle name="Output 31 2 15 4" xfId="33110" xr:uid="{00000000-0005-0000-0000-000054810000}"/>
    <cellStyle name="Output 31 2 16" xfId="33111" xr:uid="{00000000-0005-0000-0000-000055810000}"/>
    <cellStyle name="Output 31 2 16 2" xfId="33112" xr:uid="{00000000-0005-0000-0000-000056810000}"/>
    <cellStyle name="Output 31 2 16 2 2" xfId="33113" xr:uid="{00000000-0005-0000-0000-000057810000}"/>
    <cellStyle name="Output 31 2 16 2 3" xfId="33114" xr:uid="{00000000-0005-0000-0000-000058810000}"/>
    <cellStyle name="Output 31 2 16 3" xfId="33115" xr:uid="{00000000-0005-0000-0000-000059810000}"/>
    <cellStyle name="Output 31 2 16 4" xfId="33116" xr:uid="{00000000-0005-0000-0000-00005A810000}"/>
    <cellStyle name="Output 31 2 17" xfId="33117" xr:uid="{00000000-0005-0000-0000-00005B810000}"/>
    <cellStyle name="Output 31 2 17 2" xfId="33118" xr:uid="{00000000-0005-0000-0000-00005C810000}"/>
    <cellStyle name="Output 31 2 17 2 2" xfId="33119" xr:uid="{00000000-0005-0000-0000-00005D810000}"/>
    <cellStyle name="Output 31 2 17 2 3" xfId="33120" xr:uid="{00000000-0005-0000-0000-00005E810000}"/>
    <cellStyle name="Output 31 2 17 3" xfId="33121" xr:uid="{00000000-0005-0000-0000-00005F810000}"/>
    <cellStyle name="Output 31 2 17 4" xfId="33122" xr:uid="{00000000-0005-0000-0000-000060810000}"/>
    <cellStyle name="Output 31 2 18" xfId="33123" xr:uid="{00000000-0005-0000-0000-000061810000}"/>
    <cellStyle name="Output 31 2 18 2" xfId="33124" xr:uid="{00000000-0005-0000-0000-000062810000}"/>
    <cellStyle name="Output 31 2 18 3" xfId="33125" xr:uid="{00000000-0005-0000-0000-000063810000}"/>
    <cellStyle name="Output 31 2 18 4" xfId="33126" xr:uid="{00000000-0005-0000-0000-000064810000}"/>
    <cellStyle name="Output 31 2 19" xfId="33127" xr:uid="{00000000-0005-0000-0000-000065810000}"/>
    <cellStyle name="Output 31 2 2" xfId="33128" xr:uid="{00000000-0005-0000-0000-000066810000}"/>
    <cellStyle name="Output 31 2 2 2" xfId="33129" xr:uid="{00000000-0005-0000-0000-000067810000}"/>
    <cellStyle name="Output 31 2 2 2 2" xfId="33130" xr:uid="{00000000-0005-0000-0000-000068810000}"/>
    <cellStyle name="Output 31 2 2 2 3" xfId="33131" xr:uid="{00000000-0005-0000-0000-000069810000}"/>
    <cellStyle name="Output 31 2 2 3" xfId="33132" xr:uid="{00000000-0005-0000-0000-00006A810000}"/>
    <cellStyle name="Output 31 2 2 4" xfId="33133" xr:uid="{00000000-0005-0000-0000-00006B810000}"/>
    <cellStyle name="Output 31 2 20" xfId="33134" xr:uid="{00000000-0005-0000-0000-00006C810000}"/>
    <cellStyle name="Output 31 2 21" xfId="33135" xr:uid="{00000000-0005-0000-0000-00006D810000}"/>
    <cellStyle name="Output 31 2 3" xfId="33136" xr:uid="{00000000-0005-0000-0000-00006E810000}"/>
    <cellStyle name="Output 31 2 3 2" xfId="33137" xr:uid="{00000000-0005-0000-0000-00006F810000}"/>
    <cellStyle name="Output 31 2 3 2 2" xfId="33138" xr:uid="{00000000-0005-0000-0000-000070810000}"/>
    <cellStyle name="Output 31 2 3 2 3" xfId="33139" xr:uid="{00000000-0005-0000-0000-000071810000}"/>
    <cellStyle name="Output 31 2 3 3" xfId="33140" xr:uid="{00000000-0005-0000-0000-000072810000}"/>
    <cellStyle name="Output 31 2 3 4" xfId="33141" xr:uid="{00000000-0005-0000-0000-000073810000}"/>
    <cellStyle name="Output 31 2 4" xfId="33142" xr:uid="{00000000-0005-0000-0000-000074810000}"/>
    <cellStyle name="Output 31 2 4 2" xfId="33143" xr:uid="{00000000-0005-0000-0000-000075810000}"/>
    <cellStyle name="Output 31 2 4 2 2" xfId="33144" xr:uid="{00000000-0005-0000-0000-000076810000}"/>
    <cellStyle name="Output 31 2 4 2 3" xfId="33145" xr:uid="{00000000-0005-0000-0000-000077810000}"/>
    <cellStyle name="Output 31 2 4 3" xfId="33146" xr:uid="{00000000-0005-0000-0000-000078810000}"/>
    <cellStyle name="Output 31 2 4 4" xfId="33147" xr:uid="{00000000-0005-0000-0000-000079810000}"/>
    <cellStyle name="Output 31 2 5" xfId="33148" xr:uid="{00000000-0005-0000-0000-00007A810000}"/>
    <cellStyle name="Output 31 2 5 2" xfId="33149" xr:uid="{00000000-0005-0000-0000-00007B810000}"/>
    <cellStyle name="Output 31 2 5 2 2" xfId="33150" xr:uid="{00000000-0005-0000-0000-00007C810000}"/>
    <cellStyle name="Output 31 2 5 2 3" xfId="33151" xr:uid="{00000000-0005-0000-0000-00007D810000}"/>
    <cellStyle name="Output 31 2 5 3" xfId="33152" xr:uid="{00000000-0005-0000-0000-00007E810000}"/>
    <cellStyle name="Output 31 2 5 4" xfId="33153" xr:uid="{00000000-0005-0000-0000-00007F810000}"/>
    <cellStyle name="Output 31 2 6" xfId="33154" xr:uid="{00000000-0005-0000-0000-000080810000}"/>
    <cellStyle name="Output 31 2 6 2" xfId="33155" xr:uid="{00000000-0005-0000-0000-000081810000}"/>
    <cellStyle name="Output 31 2 6 2 2" xfId="33156" xr:uid="{00000000-0005-0000-0000-000082810000}"/>
    <cellStyle name="Output 31 2 6 2 3" xfId="33157" xr:uid="{00000000-0005-0000-0000-000083810000}"/>
    <cellStyle name="Output 31 2 6 3" xfId="33158" xr:uid="{00000000-0005-0000-0000-000084810000}"/>
    <cellStyle name="Output 31 2 6 4" xfId="33159" xr:uid="{00000000-0005-0000-0000-000085810000}"/>
    <cellStyle name="Output 31 2 7" xfId="33160" xr:uid="{00000000-0005-0000-0000-000086810000}"/>
    <cellStyle name="Output 31 2 7 2" xfId="33161" xr:uid="{00000000-0005-0000-0000-000087810000}"/>
    <cellStyle name="Output 31 2 7 2 2" xfId="33162" xr:uid="{00000000-0005-0000-0000-000088810000}"/>
    <cellStyle name="Output 31 2 7 2 3" xfId="33163" xr:uid="{00000000-0005-0000-0000-000089810000}"/>
    <cellStyle name="Output 31 2 7 3" xfId="33164" xr:uid="{00000000-0005-0000-0000-00008A810000}"/>
    <cellStyle name="Output 31 2 7 4" xfId="33165" xr:uid="{00000000-0005-0000-0000-00008B810000}"/>
    <cellStyle name="Output 31 2 8" xfId="33166" xr:uid="{00000000-0005-0000-0000-00008C810000}"/>
    <cellStyle name="Output 31 2 8 2" xfId="33167" xr:uid="{00000000-0005-0000-0000-00008D810000}"/>
    <cellStyle name="Output 31 2 8 2 2" xfId="33168" xr:uid="{00000000-0005-0000-0000-00008E810000}"/>
    <cellStyle name="Output 31 2 8 2 3" xfId="33169" xr:uid="{00000000-0005-0000-0000-00008F810000}"/>
    <cellStyle name="Output 31 2 8 3" xfId="33170" xr:uid="{00000000-0005-0000-0000-000090810000}"/>
    <cellStyle name="Output 31 2 8 4" xfId="33171" xr:uid="{00000000-0005-0000-0000-000091810000}"/>
    <cellStyle name="Output 31 2 9" xfId="33172" xr:uid="{00000000-0005-0000-0000-000092810000}"/>
    <cellStyle name="Output 31 2 9 2" xfId="33173" xr:uid="{00000000-0005-0000-0000-000093810000}"/>
    <cellStyle name="Output 31 2 9 2 2" xfId="33174" xr:uid="{00000000-0005-0000-0000-000094810000}"/>
    <cellStyle name="Output 31 2 9 2 3" xfId="33175" xr:uid="{00000000-0005-0000-0000-000095810000}"/>
    <cellStyle name="Output 31 2 9 3" xfId="33176" xr:uid="{00000000-0005-0000-0000-000096810000}"/>
    <cellStyle name="Output 31 2 9 4" xfId="33177" xr:uid="{00000000-0005-0000-0000-000097810000}"/>
    <cellStyle name="Output 31 3" xfId="33178" xr:uid="{00000000-0005-0000-0000-000098810000}"/>
    <cellStyle name="Output 31 3 2" xfId="33179" xr:uid="{00000000-0005-0000-0000-000099810000}"/>
    <cellStyle name="Output 31 3 2 2" xfId="33180" xr:uid="{00000000-0005-0000-0000-00009A810000}"/>
    <cellStyle name="Output 31 3 2 3" xfId="33181" xr:uid="{00000000-0005-0000-0000-00009B810000}"/>
    <cellStyle name="Output 31 3 3" xfId="33182" xr:uid="{00000000-0005-0000-0000-00009C810000}"/>
    <cellStyle name="Output 31 3 4" xfId="33183" xr:uid="{00000000-0005-0000-0000-00009D810000}"/>
    <cellStyle name="Output 31 4" xfId="33184" xr:uid="{00000000-0005-0000-0000-00009E810000}"/>
    <cellStyle name="Output 31 5" xfId="33185" xr:uid="{00000000-0005-0000-0000-00009F810000}"/>
    <cellStyle name="Output 32" xfId="33186" xr:uid="{00000000-0005-0000-0000-0000A0810000}"/>
    <cellStyle name="Output 32 2" xfId="33187" xr:uid="{00000000-0005-0000-0000-0000A1810000}"/>
    <cellStyle name="Output 32 2 10" xfId="33188" xr:uid="{00000000-0005-0000-0000-0000A2810000}"/>
    <cellStyle name="Output 32 2 10 2" xfId="33189" xr:uid="{00000000-0005-0000-0000-0000A3810000}"/>
    <cellStyle name="Output 32 2 10 2 2" xfId="33190" xr:uid="{00000000-0005-0000-0000-0000A4810000}"/>
    <cellStyle name="Output 32 2 10 2 3" xfId="33191" xr:uid="{00000000-0005-0000-0000-0000A5810000}"/>
    <cellStyle name="Output 32 2 10 3" xfId="33192" xr:uid="{00000000-0005-0000-0000-0000A6810000}"/>
    <cellStyle name="Output 32 2 10 4" xfId="33193" xr:uid="{00000000-0005-0000-0000-0000A7810000}"/>
    <cellStyle name="Output 32 2 11" xfId="33194" xr:uid="{00000000-0005-0000-0000-0000A8810000}"/>
    <cellStyle name="Output 32 2 11 2" xfId="33195" xr:uid="{00000000-0005-0000-0000-0000A9810000}"/>
    <cellStyle name="Output 32 2 11 2 2" xfId="33196" xr:uid="{00000000-0005-0000-0000-0000AA810000}"/>
    <cellStyle name="Output 32 2 11 2 3" xfId="33197" xr:uid="{00000000-0005-0000-0000-0000AB810000}"/>
    <cellStyle name="Output 32 2 11 3" xfId="33198" xr:uid="{00000000-0005-0000-0000-0000AC810000}"/>
    <cellStyle name="Output 32 2 11 4" xfId="33199" xr:uid="{00000000-0005-0000-0000-0000AD810000}"/>
    <cellStyle name="Output 32 2 12" xfId="33200" xr:uid="{00000000-0005-0000-0000-0000AE810000}"/>
    <cellStyle name="Output 32 2 12 2" xfId="33201" xr:uid="{00000000-0005-0000-0000-0000AF810000}"/>
    <cellStyle name="Output 32 2 12 2 2" xfId="33202" xr:uid="{00000000-0005-0000-0000-0000B0810000}"/>
    <cellStyle name="Output 32 2 12 2 3" xfId="33203" xr:uid="{00000000-0005-0000-0000-0000B1810000}"/>
    <cellStyle name="Output 32 2 12 3" xfId="33204" xr:uid="{00000000-0005-0000-0000-0000B2810000}"/>
    <cellStyle name="Output 32 2 12 4" xfId="33205" xr:uid="{00000000-0005-0000-0000-0000B3810000}"/>
    <cellStyle name="Output 32 2 13" xfId="33206" xr:uid="{00000000-0005-0000-0000-0000B4810000}"/>
    <cellStyle name="Output 32 2 13 2" xfId="33207" xr:uid="{00000000-0005-0000-0000-0000B5810000}"/>
    <cellStyle name="Output 32 2 13 2 2" xfId="33208" xr:uid="{00000000-0005-0000-0000-0000B6810000}"/>
    <cellStyle name="Output 32 2 13 2 3" xfId="33209" xr:uid="{00000000-0005-0000-0000-0000B7810000}"/>
    <cellStyle name="Output 32 2 13 3" xfId="33210" xr:uid="{00000000-0005-0000-0000-0000B8810000}"/>
    <cellStyle name="Output 32 2 13 4" xfId="33211" xr:uid="{00000000-0005-0000-0000-0000B9810000}"/>
    <cellStyle name="Output 32 2 14" xfId="33212" xr:uid="{00000000-0005-0000-0000-0000BA810000}"/>
    <cellStyle name="Output 32 2 14 2" xfId="33213" xr:uid="{00000000-0005-0000-0000-0000BB810000}"/>
    <cellStyle name="Output 32 2 14 2 2" xfId="33214" xr:uid="{00000000-0005-0000-0000-0000BC810000}"/>
    <cellStyle name="Output 32 2 14 2 3" xfId="33215" xr:uid="{00000000-0005-0000-0000-0000BD810000}"/>
    <cellStyle name="Output 32 2 14 3" xfId="33216" xr:uid="{00000000-0005-0000-0000-0000BE810000}"/>
    <cellStyle name="Output 32 2 14 4" xfId="33217" xr:uid="{00000000-0005-0000-0000-0000BF810000}"/>
    <cellStyle name="Output 32 2 15" xfId="33218" xr:uid="{00000000-0005-0000-0000-0000C0810000}"/>
    <cellStyle name="Output 32 2 15 2" xfId="33219" xr:uid="{00000000-0005-0000-0000-0000C1810000}"/>
    <cellStyle name="Output 32 2 15 2 2" xfId="33220" xr:uid="{00000000-0005-0000-0000-0000C2810000}"/>
    <cellStyle name="Output 32 2 15 2 3" xfId="33221" xr:uid="{00000000-0005-0000-0000-0000C3810000}"/>
    <cellStyle name="Output 32 2 15 3" xfId="33222" xr:uid="{00000000-0005-0000-0000-0000C4810000}"/>
    <cellStyle name="Output 32 2 15 4" xfId="33223" xr:uid="{00000000-0005-0000-0000-0000C5810000}"/>
    <cellStyle name="Output 32 2 16" xfId="33224" xr:uid="{00000000-0005-0000-0000-0000C6810000}"/>
    <cellStyle name="Output 32 2 16 2" xfId="33225" xr:uid="{00000000-0005-0000-0000-0000C7810000}"/>
    <cellStyle name="Output 32 2 16 2 2" xfId="33226" xr:uid="{00000000-0005-0000-0000-0000C8810000}"/>
    <cellStyle name="Output 32 2 16 2 3" xfId="33227" xr:uid="{00000000-0005-0000-0000-0000C9810000}"/>
    <cellStyle name="Output 32 2 16 3" xfId="33228" xr:uid="{00000000-0005-0000-0000-0000CA810000}"/>
    <cellStyle name="Output 32 2 16 4" xfId="33229" xr:uid="{00000000-0005-0000-0000-0000CB810000}"/>
    <cellStyle name="Output 32 2 17" xfId="33230" xr:uid="{00000000-0005-0000-0000-0000CC810000}"/>
    <cellStyle name="Output 32 2 17 2" xfId="33231" xr:uid="{00000000-0005-0000-0000-0000CD810000}"/>
    <cellStyle name="Output 32 2 17 2 2" xfId="33232" xr:uid="{00000000-0005-0000-0000-0000CE810000}"/>
    <cellStyle name="Output 32 2 17 2 3" xfId="33233" xr:uid="{00000000-0005-0000-0000-0000CF810000}"/>
    <cellStyle name="Output 32 2 17 3" xfId="33234" xr:uid="{00000000-0005-0000-0000-0000D0810000}"/>
    <cellStyle name="Output 32 2 17 4" xfId="33235" xr:uid="{00000000-0005-0000-0000-0000D1810000}"/>
    <cellStyle name="Output 32 2 18" xfId="33236" xr:uid="{00000000-0005-0000-0000-0000D2810000}"/>
    <cellStyle name="Output 32 2 18 2" xfId="33237" xr:uid="{00000000-0005-0000-0000-0000D3810000}"/>
    <cellStyle name="Output 32 2 18 3" xfId="33238" xr:uid="{00000000-0005-0000-0000-0000D4810000}"/>
    <cellStyle name="Output 32 2 18 4" xfId="33239" xr:uid="{00000000-0005-0000-0000-0000D5810000}"/>
    <cellStyle name="Output 32 2 19" xfId="33240" xr:uid="{00000000-0005-0000-0000-0000D6810000}"/>
    <cellStyle name="Output 32 2 2" xfId="33241" xr:uid="{00000000-0005-0000-0000-0000D7810000}"/>
    <cellStyle name="Output 32 2 2 2" xfId="33242" xr:uid="{00000000-0005-0000-0000-0000D8810000}"/>
    <cellStyle name="Output 32 2 2 2 2" xfId="33243" xr:uid="{00000000-0005-0000-0000-0000D9810000}"/>
    <cellStyle name="Output 32 2 2 2 3" xfId="33244" xr:uid="{00000000-0005-0000-0000-0000DA810000}"/>
    <cellStyle name="Output 32 2 2 3" xfId="33245" xr:uid="{00000000-0005-0000-0000-0000DB810000}"/>
    <cellStyle name="Output 32 2 2 4" xfId="33246" xr:uid="{00000000-0005-0000-0000-0000DC810000}"/>
    <cellStyle name="Output 32 2 20" xfId="33247" xr:uid="{00000000-0005-0000-0000-0000DD810000}"/>
    <cellStyle name="Output 32 2 21" xfId="33248" xr:uid="{00000000-0005-0000-0000-0000DE810000}"/>
    <cellStyle name="Output 32 2 3" xfId="33249" xr:uid="{00000000-0005-0000-0000-0000DF810000}"/>
    <cellStyle name="Output 32 2 3 2" xfId="33250" xr:uid="{00000000-0005-0000-0000-0000E0810000}"/>
    <cellStyle name="Output 32 2 3 2 2" xfId="33251" xr:uid="{00000000-0005-0000-0000-0000E1810000}"/>
    <cellStyle name="Output 32 2 3 2 3" xfId="33252" xr:uid="{00000000-0005-0000-0000-0000E2810000}"/>
    <cellStyle name="Output 32 2 3 3" xfId="33253" xr:uid="{00000000-0005-0000-0000-0000E3810000}"/>
    <cellStyle name="Output 32 2 3 4" xfId="33254" xr:uid="{00000000-0005-0000-0000-0000E4810000}"/>
    <cellStyle name="Output 32 2 4" xfId="33255" xr:uid="{00000000-0005-0000-0000-0000E5810000}"/>
    <cellStyle name="Output 32 2 4 2" xfId="33256" xr:uid="{00000000-0005-0000-0000-0000E6810000}"/>
    <cellStyle name="Output 32 2 4 2 2" xfId="33257" xr:uid="{00000000-0005-0000-0000-0000E7810000}"/>
    <cellStyle name="Output 32 2 4 2 3" xfId="33258" xr:uid="{00000000-0005-0000-0000-0000E8810000}"/>
    <cellStyle name="Output 32 2 4 3" xfId="33259" xr:uid="{00000000-0005-0000-0000-0000E9810000}"/>
    <cellStyle name="Output 32 2 4 4" xfId="33260" xr:uid="{00000000-0005-0000-0000-0000EA810000}"/>
    <cellStyle name="Output 32 2 5" xfId="33261" xr:uid="{00000000-0005-0000-0000-0000EB810000}"/>
    <cellStyle name="Output 32 2 5 2" xfId="33262" xr:uid="{00000000-0005-0000-0000-0000EC810000}"/>
    <cellStyle name="Output 32 2 5 2 2" xfId="33263" xr:uid="{00000000-0005-0000-0000-0000ED810000}"/>
    <cellStyle name="Output 32 2 5 2 3" xfId="33264" xr:uid="{00000000-0005-0000-0000-0000EE810000}"/>
    <cellStyle name="Output 32 2 5 3" xfId="33265" xr:uid="{00000000-0005-0000-0000-0000EF810000}"/>
    <cellStyle name="Output 32 2 5 4" xfId="33266" xr:uid="{00000000-0005-0000-0000-0000F0810000}"/>
    <cellStyle name="Output 32 2 6" xfId="33267" xr:uid="{00000000-0005-0000-0000-0000F1810000}"/>
    <cellStyle name="Output 32 2 6 2" xfId="33268" xr:uid="{00000000-0005-0000-0000-0000F2810000}"/>
    <cellStyle name="Output 32 2 6 2 2" xfId="33269" xr:uid="{00000000-0005-0000-0000-0000F3810000}"/>
    <cellStyle name="Output 32 2 6 2 3" xfId="33270" xr:uid="{00000000-0005-0000-0000-0000F4810000}"/>
    <cellStyle name="Output 32 2 6 3" xfId="33271" xr:uid="{00000000-0005-0000-0000-0000F5810000}"/>
    <cellStyle name="Output 32 2 6 4" xfId="33272" xr:uid="{00000000-0005-0000-0000-0000F6810000}"/>
    <cellStyle name="Output 32 2 7" xfId="33273" xr:uid="{00000000-0005-0000-0000-0000F7810000}"/>
    <cellStyle name="Output 32 2 7 2" xfId="33274" xr:uid="{00000000-0005-0000-0000-0000F8810000}"/>
    <cellStyle name="Output 32 2 7 2 2" xfId="33275" xr:uid="{00000000-0005-0000-0000-0000F9810000}"/>
    <cellStyle name="Output 32 2 7 2 3" xfId="33276" xr:uid="{00000000-0005-0000-0000-0000FA810000}"/>
    <cellStyle name="Output 32 2 7 3" xfId="33277" xr:uid="{00000000-0005-0000-0000-0000FB810000}"/>
    <cellStyle name="Output 32 2 7 4" xfId="33278" xr:uid="{00000000-0005-0000-0000-0000FC810000}"/>
    <cellStyle name="Output 32 2 8" xfId="33279" xr:uid="{00000000-0005-0000-0000-0000FD810000}"/>
    <cellStyle name="Output 32 2 8 2" xfId="33280" xr:uid="{00000000-0005-0000-0000-0000FE810000}"/>
    <cellStyle name="Output 32 2 8 2 2" xfId="33281" xr:uid="{00000000-0005-0000-0000-0000FF810000}"/>
    <cellStyle name="Output 32 2 8 2 3" xfId="33282" xr:uid="{00000000-0005-0000-0000-000000820000}"/>
    <cellStyle name="Output 32 2 8 3" xfId="33283" xr:uid="{00000000-0005-0000-0000-000001820000}"/>
    <cellStyle name="Output 32 2 8 4" xfId="33284" xr:uid="{00000000-0005-0000-0000-000002820000}"/>
    <cellStyle name="Output 32 2 9" xfId="33285" xr:uid="{00000000-0005-0000-0000-000003820000}"/>
    <cellStyle name="Output 32 2 9 2" xfId="33286" xr:uid="{00000000-0005-0000-0000-000004820000}"/>
    <cellStyle name="Output 32 2 9 2 2" xfId="33287" xr:uid="{00000000-0005-0000-0000-000005820000}"/>
    <cellStyle name="Output 32 2 9 2 3" xfId="33288" xr:uid="{00000000-0005-0000-0000-000006820000}"/>
    <cellStyle name="Output 32 2 9 3" xfId="33289" xr:uid="{00000000-0005-0000-0000-000007820000}"/>
    <cellStyle name="Output 32 2 9 4" xfId="33290" xr:uid="{00000000-0005-0000-0000-000008820000}"/>
    <cellStyle name="Output 32 3" xfId="33291" xr:uid="{00000000-0005-0000-0000-000009820000}"/>
    <cellStyle name="Output 32 3 2" xfId="33292" xr:uid="{00000000-0005-0000-0000-00000A820000}"/>
    <cellStyle name="Output 32 3 2 2" xfId="33293" xr:uid="{00000000-0005-0000-0000-00000B820000}"/>
    <cellStyle name="Output 32 3 2 3" xfId="33294" xr:uid="{00000000-0005-0000-0000-00000C820000}"/>
    <cellStyle name="Output 32 3 3" xfId="33295" xr:uid="{00000000-0005-0000-0000-00000D820000}"/>
    <cellStyle name="Output 32 3 4" xfId="33296" xr:uid="{00000000-0005-0000-0000-00000E820000}"/>
    <cellStyle name="Output 32 4" xfId="33297" xr:uid="{00000000-0005-0000-0000-00000F820000}"/>
    <cellStyle name="Output 32 5" xfId="33298" xr:uid="{00000000-0005-0000-0000-000010820000}"/>
    <cellStyle name="Output 33" xfId="33299" xr:uid="{00000000-0005-0000-0000-000011820000}"/>
    <cellStyle name="Output 33 2" xfId="33300" xr:uid="{00000000-0005-0000-0000-000012820000}"/>
    <cellStyle name="Output 33 2 10" xfId="33301" xr:uid="{00000000-0005-0000-0000-000013820000}"/>
    <cellStyle name="Output 33 2 10 2" xfId="33302" xr:uid="{00000000-0005-0000-0000-000014820000}"/>
    <cellStyle name="Output 33 2 10 2 2" xfId="33303" xr:uid="{00000000-0005-0000-0000-000015820000}"/>
    <cellStyle name="Output 33 2 10 2 3" xfId="33304" xr:uid="{00000000-0005-0000-0000-000016820000}"/>
    <cellStyle name="Output 33 2 10 3" xfId="33305" xr:uid="{00000000-0005-0000-0000-000017820000}"/>
    <cellStyle name="Output 33 2 10 4" xfId="33306" xr:uid="{00000000-0005-0000-0000-000018820000}"/>
    <cellStyle name="Output 33 2 11" xfId="33307" xr:uid="{00000000-0005-0000-0000-000019820000}"/>
    <cellStyle name="Output 33 2 11 2" xfId="33308" xr:uid="{00000000-0005-0000-0000-00001A820000}"/>
    <cellStyle name="Output 33 2 11 2 2" xfId="33309" xr:uid="{00000000-0005-0000-0000-00001B820000}"/>
    <cellStyle name="Output 33 2 11 2 3" xfId="33310" xr:uid="{00000000-0005-0000-0000-00001C820000}"/>
    <cellStyle name="Output 33 2 11 3" xfId="33311" xr:uid="{00000000-0005-0000-0000-00001D820000}"/>
    <cellStyle name="Output 33 2 11 4" xfId="33312" xr:uid="{00000000-0005-0000-0000-00001E820000}"/>
    <cellStyle name="Output 33 2 12" xfId="33313" xr:uid="{00000000-0005-0000-0000-00001F820000}"/>
    <cellStyle name="Output 33 2 12 2" xfId="33314" xr:uid="{00000000-0005-0000-0000-000020820000}"/>
    <cellStyle name="Output 33 2 12 2 2" xfId="33315" xr:uid="{00000000-0005-0000-0000-000021820000}"/>
    <cellStyle name="Output 33 2 12 2 3" xfId="33316" xr:uid="{00000000-0005-0000-0000-000022820000}"/>
    <cellStyle name="Output 33 2 12 3" xfId="33317" xr:uid="{00000000-0005-0000-0000-000023820000}"/>
    <cellStyle name="Output 33 2 12 4" xfId="33318" xr:uid="{00000000-0005-0000-0000-000024820000}"/>
    <cellStyle name="Output 33 2 13" xfId="33319" xr:uid="{00000000-0005-0000-0000-000025820000}"/>
    <cellStyle name="Output 33 2 13 2" xfId="33320" xr:uid="{00000000-0005-0000-0000-000026820000}"/>
    <cellStyle name="Output 33 2 13 2 2" xfId="33321" xr:uid="{00000000-0005-0000-0000-000027820000}"/>
    <cellStyle name="Output 33 2 13 2 3" xfId="33322" xr:uid="{00000000-0005-0000-0000-000028820000}"/>
    <cellStyle name="Output 33 2 13 3" xfId="33323" xr:uid="{00000000-0005-0000-0000-000029820000}"/>
    <cellStyle name="Output 33 2 13 4" xfId="33324" xr:uid="{00000000-0005-0000-0000-00002A820000}"/>
    <cellStyle name="Output 33 2 14" xfId="33325" xr:uid="{00000000-0005-0000-0000-00002B820000}"/>
    <cellStyle name="Output 33 2 14 2" xfId="33326" xr:uid="{00000000-0005-0000-0000-00002C820000}"/>
    <cellStyle name="Output 33 2 14 2 2" xfId="33327" xr:uid="{00000000-0005-0000-0000-00002D820000}"/>
    <cellStyle name="Output 33 2 14 2 3" xfId="33328" xr:uid="{00000000-0005-0000-0000-00002E820000}"/>
    <cellStyle name="Output 33 2 14 3" xfId="33329" xr:uid="{00000000-0005-0000-0000-00002F820000}"/>
    <cellStyle name="Output 33 2 14 4" xfId="33330" xr:uid="{00000000-0005-0000-0000-000030820000}"/>
    <cellStyle name="Output 33 2 15" xfId="33331" xr:uid="{00000000-0005-0000-0000-000031820000}"/>
    <cellStyle name="Output 33 2 15 2" xfId="33332" xr:uid="{00000000-0005-0000-0000-000032820000}"/>
    <cellStyle name="Output 33 2 15 2 2" xfId="33333" xr:uid="{00000000-0005-0000-0000-000033820000}"/>
    <cellStyle name="Output 33 2 15 2 3" xfId="33334" xr:uid="{00000000-0005-0000-0000-000034820000}"/>
    <cellStyle name="Output 33 2 15 3" xfId="33335" xr:uid="{00000000-0005-0000-0000-000035820000}"/>
    <cellStyle name="Output 33 2 15 4" xfId="33336" xr:uid="{00000000-0005-0000-0000-000036820000}"/>
    <cellStyle name="Output 33 2 16" xfId="33337" xr:uid="{00000000-0005-0000-0000-000037820000}"/>
    <cellStyle name="Output 33 2 16 2" xfId="33338" xr:uid="{00000000-0005-0000-0000-000038820000}"/>
    <cellStyle name="Output 33 2 16 2 2" xfId="33339" xr:uid="{00000000-0005-0000-0000-000039820000}"/>
    <cellStyle name="Output 33 2 16 2 3" xfId="33340" xr:uid="{00000000-0005-0000-0000-00003A820000}"/>
    <cellStyle name="Output 33 2 16 3" xfId="33341" xr:uid="{00000000-0005-0000-0000-00003B820000}"/>
    <cellStyle name="Output 33 2 16 4" xfId="33342" xr:uid="{00000000-0005-0000-0000-00003C820000}"/>
    <cellStyle name="Output 33 2 17" xfId="33343" xr:uid="{00000000-0005-0000-0000-00003D820000}"/>
    <cellStyle name="Output 33 2 17 2" xfId="33344" xr:uid="{00000000-0005-0000-0000-00003E820000}"/>
    <cellStyle name="Output 33 2 17 2 2" xfId="33345" xr:uid="{00000000-0005-0000-0000-00003F820000}"/>
    <cellStyle name="Output 33 2 17 2 3" xfId="33346" xr:uid="{00000000-0005-0000-0000-000040820000}"/>
    <cellStyle name="Output 33 2 17 3" xfId="33347" xr:uid="{00000000-0005-0000-0000-000041820000}"/>
    <cellStyle name="Output 33 2 17 4" xfId="33348" xr:uid="{00000000-0005-0000-0000-000042820000}"/>
    <cellStyle name="Output 33 2 18" xfId="33349" xr:uid="{00000000-0005-0000-0000-000043820000}"/>
    <cellStyle name="Output 33 2 18 2" xfId="33350" xr:uid="{00000000-0005-0000-0000-000044820000}"/>
    <cellStyle name="Output 33 2 18 3" xfId="33351" xr:uid="{00000000-0005-0000-0000-000045820000}"/>
    <cellStyle name="Output 33 2 18 4" xfId="33352" xr:uid="{00000000-0005-0000-0000-000046820000}"/>
    <cellStyle name="Output 33 2 19" xfId="33353" xr:uid="{00000000-0005-0000-0000-000047820000}"/>
    <cellStyle name="Output 33 2 2" xfId="33354" xr:uid="{00000000-0005-0000-0000-000048820000}"/>
    <cellStyle name="Output 33 2 2 2" xfId="33355" xr:uid="{00000000-0005-0000-0000-000049820000}"/>
    <cellStyle name="Output 33 2 2 2 2" xfId="33356" xr:uid="{00000000-0005-0000-0000-00004A820000}"/>
    <cellStyle name="Output 33 2 2 2 3" xfId="33357" xr:uid="{00000000-0005-0000-0000-00004B820000}"/>
    <cellStyle name="Output 33 2 2 3" xfId="33358" xr:uid="{00000000-0005-0000-0000-00004C820000}"/>
    <cellStyle name="Output 33 2 2 4" xfId="33359" xr:uid="{00000000-0005-0000-0000-00004D820000}"/>
    <cellStyle name="Output 33 2 20" xfId="33360" xr:uid="{00000000-0005-0000-0000-00004E820000}"/>
    <cellStyle name="Output 33 2 21" xfId="33361" xr:uid="{00000000-0005-0000-0000-00004F820000}"/>
    <cellStyle name="Output 33 2 3" xfId="33362" xr:uid="{00000000-0005-0000-0000-000050820000}"/>
    <cellStyle name="Output 33 2 3 2" xfId="33363" xr:uid="{00000000-0005-0000-0000-000051820000}"/>
    <cellStyle name="Output 33 2 3 2 2" xfId="33364" xr:uid="{00000000-0005-0000-0000-000052820000}"/>
    <cellStyle name="Output 33 2 3 2 3" xfId="33365" xr:uid="{00000000-0005-0000-0000-000053820000}"/>
    <cellStyle name="Output 33 2 3 3" xfId="33366" xr:uid="{00000000-0005-0000-0000-000054820000}"/>
    <cellStyle name="Output 33 2 3 4" xfId="33367" xr:uid="{00000000-0005-0000-0000-000055820000}"/>
    <cellStyle name="Output 33 2 4" xfId="33368" xr:uid="{00000000-0005-0000-0000-000056820000}"/>
    <cellStyle name="Output 33 2 4 2" xfId="33369" xr:uid="{00000000-0005-0000-0000-000057820000}"/>
    <cellStyle name="Output 33 2 4 2 2" xfId="33370" xr:uid="{00000000-0005-0000-0000-000058820000}"/>
    <cellStyle name="Output 33 2 4 2 3" xfId="33371" xr:uid="{00000000-0005-0000-0000-000059820000}"/>
    <cellStyle name="Output 33 2 4 3" xfId="33372" xr:uid="{00000000-0005-0000-0000-00005A820000}"/>
    <cellStyle name="Output 33 2 4 4" xfId="33373" xr:uid="{00000000-0005-0000-0000-00005B820000}"/>
    <cellStyle name="Output 33 2 5" xfId="33374" xr:uid="{00000000-0005-0000-0000-00005C820000}"/>
    <cellStyle name="Output 33 2 5 2" xfId="33375" xr:uid="{00000000-0005-0000-0000-00005D820000}"/>
    <cellStyle name="Output 33 2 5 2 2" xfId="33376" xr:uid="{00000000-0005-0000-0000-00005E820000}"/>
    <cellStyle name="Output 33 2 5 2 3" xfId="33377" xr:uid="{00000000-0005-0000-0000-00005F820000}"/>
    <cellStyle name="Output 33 2 5 3" xfId="33378" xr:uid="{00000000-0005-0000-0000-000060820000}"/>
    <cellStyle name="Output 33 2 5 4" xfId="33379" xr:uid="{00000000-0005-0000-0000-000061820000}"/>
    <cellStyle name="Output 33 2 6" xfId="33380" xr:uid="{00000000-0005-0000-0000-000062820000}"/>
    <cellStyle name="Output 33 2 6 2" xfId="33381" xr:uid="{00000000-0005-0000-0000-000063820000}"/>
    <cellStyle name="Output 33 2 6 2 2" xfId="33382" xr:uid="{00000000-0005-0000-0000-000064820000}"/>
    <cellStyle name="Output 33 2 6 2 3" xfId="33383" xr:uid="{00000000-0005-0000-0000-000065820000}"/>
    <cellStyle name="Output 33 2 6 3" xfId="33384" xr:uid="{00000000-0005-0000-0000-000066820000}"/>
    <cellStyle name="Output 33 2 6 4" xfId="33385" xr:uid="{00000000-0005-0000-0000-000067820000}"/>
    <cellStyle name="Output 33 2 7" xfId="33386" xr:uid="{00000000-0005-0000-0000-000068820000}"/>
    <cellStyle name="Output 33 2 7 2" xfId="33387" xr:uid="{00000000-0005-0000-0000-000069820000}"/>
    <cellStyle name="Output 33 2 7 2 2" xfId="33388" xr:uid="{00000000-0005-0000-0000-00006A820000}"/>
    <cellStyle name="Output 33 2 7 2 3" xfId="33389" xr:uid="{00000000-0005-0000-0000-00006B820000}"/>
    <cellStyle name="Output 33 2 7 3" xfId="33390" xr:uid="{00000000-0005-0000-0000-00006C820000}"/>
    <cellStyle name="Output 33 2 7 4" xfId="33391" xr:uid="{00000000-0005-0000-0000-00006D820000}"/>
    <cellStyle name="Output 33 2 8" xfId="33392" xr:uid="{00000000-0005-0000-0000-00006E820000}"/>
    <cellStyle name="Output 33 2 8 2" xfId="33393" xr:uid="{00000000-0005-0000-0000-00006F820000}"/>
    <cellStyle name="Output 33 2 8 2 2" xfId="33394" xr:uid="{00000000-0005-0000-0000-000070820000}"/>
    <cellStyle name="Output 33 2 8 2 3" xfId="33395" xr:uid="{00000000-0005-0000-0000-000071820000}"/>
    <cellStyle name="Output 33 2 8 3" xfId="33396" xr:uid="{00000000-0005-0000-0000-000072820000}"/>
    <cellStyle name="Output 33 2 8 4" xfId="33397" xr:uid="{00000000-0005-0000-0000-000073820000}"/>
    <cellStyle name="Output 33 2 9" xfId="33398" xr:uid="{00000000-0005-0000-0000-000074820000}"/>
    <cellStyle name="Output 33 2 9 2" xfId="33399" xr:uid="{00000000-0005-0000-0000-000075820000}"/>
    <cellStyle name="Output 33 2 9 2 2" xfId="33400" xr:uid="{00000000-0005-0000-0000-000076820000}"/>
    <cellStyle name="Output 33 2 9 2 3" xfId="33401" xr:uid="{00000000-0005-0000-0000-000077820000}"/>
    <cellStyle name="Output 33 2 9 3" xfId="33402" xr:uid="{00000000-0005-0000-0000-000078820000}"/>
    <cellStyle name="Output 33 2 9 4" xfId="33403" xr:uid="{00000000-0005-0000-0000-000079820000}"/>
    <cellStyle name="Output 33 3" xfId="33404" xr:uid="{00000000-0005-0000-0000-00007A820000}"/>
    <cellStyle name="Output 33 3 2" xfId="33405" xr:uid="{00000000-0005-0000-0000-00007B820000}"/>
    <cellStyle name="Output 33 3 2 2" xfId="33406" xr:uid="{00000000-0005-0000-0000-00007C820000}"/>
    <cellStyle name="Output 33 3 2 3" xfId="33407" xr:uid="{00000000-0005-0000-0000-00007D820000}"/>
    <cellStyle name="Output 33 3 3" xfId="33408" xr:uid="{00000000-0005-0000-0000-00007E820000}"/>
    <cellStyle name="Output 33 3 4" xfId="33409" xr:uid="{00000000-0005-0000-0000-00007F820000}"/>
    <cellStyle name="Output 33 4" xfId="33410" xr:uid="{00000000-0005-0000-0000-000080820000}"/>
    <cellStyle name="Output 33 5" xfId="33411" xr:uid="{00000000-0005-0000-0000-000081820000}"/>
    <cellStyle name="Output 34" xfId="33412" xr:uid="{00000000-0005-0000-0000-000082820000}"/>
    <cellStyle name="Output 34 2" xfId="33413" xr:uid="{00000000-0005-0000-0000-000083820000}"/>
    <cellStyle name="Output 34 2 10" xfId="33414" xr:uid="{00000000-0005-0000-0000-000084820000}"/>
    <cellStyle name="Output 34 2 10 2" xfId="33415" xr:uid="{00000000-0005-0000-0000-000085820000}"/>
    <cellStyle name="Output 34 2 10 2 2" xfId="33416" xr:uid="{00000000-0005-0000-0000-000086820000}"/>
    <cellStyle name="Output 34 2 10 2 3" xfId="33417" xr:uid="{00000000-0005-0000-0000-000087820000}"/>
    <cellStyle name="Output 34 2 10 3" xfId="33418" xr:uid="{00000000-0005-0000-0000-000088820000}"/>
    <cellStyle name="Output 34 2 10 4" xfId="33419" xr:uid="{00000000-0005-0000-0000-000089820000}"/>
    <cellStyle name="Output 34 2 11" xfId="33420" xr:uid="{00000000-0005-0000-0000-00008A820000}"/>
    <cellStyle name="Output 34 2 11 2" xfId="33421" xr:uid="{00000000-0005-0000-0000-00008B820000}"/>
    <cellStyle name="Output 34 2 11 2 2" xfId="33422" xr:uid="{00000000-0005-0000-0000-00008C820000}"/>
    <cellStyle name="Output 34 2 11 2 3" xfId="33423" xr:uid="{00000000-0005-0000-0000-00008D820000}"/>
    <cellStyle name="Output 34 2 11 3" xfId="33424" xr:uid="{00000000-0005-0000-0000-00008E820000}"/>
    <cellStyle name="Output 34 2 11 4" xfId="33425" xr:uid="{00000000-0005-0000-0000-00008F820000}"/>
    <cellStyle name="Output 34 2 12" xfId="33426" xr:uid="{00000000-0005-0000-0000-000090820000}"/>
    <cellStyle name="Output 34 2 12 2" xfId="33427" xr:uid="{00000000-0005-0000-0000-000091820000}"/>
    <cellStyle name="Output 34 2 12 2 2" xfId="33428" xr:uid="{00000000-0005-0000-0000-000092820000}"/>
    <cellStyle name="Output 34 2 12 2 3" xfId="33429" xr:uid="{00000000-0005-0000-0000-000093820000}"/>
    <cellStyle name="Output 34 2 12 3" xfId="33430" xr:uid="{00000000-0005-0000-0000-000094820000}"/>
    <cellStyle name="Output 34 2 12 4" xfId="33431" xr:uid="{00000000-0005-0000-0000-000095820000}"/>
    <cellStyle name="Output 34 2 13" xfId="33432" xr:uid="{00000000-0005-0000-0000-000096820000}"/>
    <cellStyle name="Output 34 2 13 2" xfId="33433" xr:uid="{00000000-0005-0000-0000-000097820000}"/>
    <cellStyle name="Output 34 2 13 2 2" xfId="33434" xr:uid="{00000000-0005-0000-0000-000098820000}"/>
    <cellStyle name="Output 34 2 13 2 3" xfId="33435" xr:uid="{00000000-0005-0000-0000-000099820000}"/>
    <cellStyle name="Output 34 2 13 3" xfId="33436" xr:uid="{00000000-0005-0000-0000-00009A820000}"/>
    <cellStyle name="Output 34 2 13 4" xfId="33437" xr:uid="{00000000-0005-0000-0000-00009B820000}"/>
    <cellStyle name="Output 34 2 14" xfId="33438" xr:uid="{00000000-0005-0000-0000-00009C820000}"/>
    <cellStyle name="Output 34 2 14 2" xfId="33439" xr:uid="{00000000-0005-0000-0000-00009D820000}"/>
    <cellStyle name="Output 34 2 14 2 2" xfId="33440" xr:uid="{00000000-0005-0000-0000-00009E820000}"/>
    <cellStyle name="Output 34 2 14 2 3" xfId="33441" xr:uid="{00000000-0005-0000-0000-00009F820000}"/>
    <cellStyle name="Output 34 2 14 3" xfId="33442" xr:uid="{00000000-0005-0000-0000-0000A0820000}"/>
    <cellStyle name="Output 34 2 14 4" xfId="33443" xr:uid="{00000000-0005-0000-0000-0000A1820000}"/>
    <cellStyle name="Output 34 2 15" xfId="33444" xr:uid="{00000000-0005-0000-0000-0000A2820000}"/>
    <cellStyle name="Output 34 2 15 2" xfId="33445" xr:uid="{00000000-0005-0000-0000-0000A3820000}"/>
    <cellStyle name="Output 34 2 15 2 2" xfId="33446" xr:uid="{00000000-0005-0000-0000-0000A4820000}"/>
    <cellStyle name="Output 34 2 15 2 3" xfId="33447" xr:uid="{00000000-0005-0000-0000-0000A5820000}"/>
    <cellStyle name="Output 34 2 15 3" xfId="33448" xr:uid="{00000000-0005-0000-0000-0000A6820000}"/>
    <cellStyle name="Output 34 2 15 4" xfId="33449" xr:uid="{00000000-0005-0000-0000-0000A7820000}"/>
    <cellStyle name="Output 34 2 16" xfId="33450" xr:uid="{00000000-0005-0000-0000-0000A8820000}"/>
    <cellStyle name="Output 34 2 16 2" xfId="33451" xr:uid="{00000000-0005-0000-0000-0000A9820000}"/>
    <cellStyle name="Output 34 2 16 2 2" xfId="33452" xr:uid="{00000000-0005-0000-0000-0000AA820000}"/>
    <cellStyle name="Output 34 2 16 2 3" xfId="33453" xr:uid="{00000000-0005-0000-0000-0000AB820000}"/>
    <cellStyle name="Output 34 2 16 3" xfId="33454" xr:uid="{00000000-0005-0000-0000-0000AC820000}"/>
    <cellStyle name="Output 34 2 16 4" xfId="33455" xr:uid="{00000000-0005-0000-0000-0000AD820000}"/>
    <cellStyle name="Output 34 2 17" xfId="33456" xr:uid="{00000000-0005-0000-0000-0000AE820000}"/>
    <cellStyle name="Output 34 2 17 2" xfId="33457" xr:uid="{00000000-0005-0000-0000-0000AF820000}"/>
    <cellStyle name="Output 34 2 17 2 2" xfId="33458" xr:uid="{00000000-0005-0000-0000-0000B0820000}"/>
    <cellStyle name="Output 34 2 17 2 3" xfId="33459" xr:uid="{00000000-0005-0000-0000-0000B1820000}"/>
    <cellStyle name="Output 34 2 17 3" xfId="33460" xr:uid="{00000000-0005-0000-0000-0000B2820000}"/>
    <cellStyle name="Output 34 2 17 4" xfId="33461" xr:uid="{00000000-0005-0000-0000-0000B3820000}"/>
    <cellStyle name="Output 34 2 18" xfId="33462" xr:uid="{00000000-0005-0000-0000-0000B4820000}"/>
    <cellStyle name="Output 34 2 18 2" xfId="33463" xr:uid="{00000000-0005-0000-0000-0000B5820000}"/>
    <cellStyle name="Output 34 2 18 3" xfId="33464" xr:uid="{00000000-0005-0000-0000-0000B6820000}"/>
    <cellStyle name="Output 34 2 18 4" xfId="33465" xr:uid="{00000000-0005-0000-0000-0000B7820000}"/>
    <cellStyle name="Output 34 2 19" xfId="33466" xr:uid="{00000000-0005-0000-0000-0000B8820000}"/>
    <cellStyle name="Output 34 2 2" xfId="33467" xr:uid="{00000000-0005-0000-0000-0000B9820000}"/>
    <cellStyle name="Output 34 2 2 2" xfId="33468" xr:uid="{00000000-0005-0000-0000-0000BA820000}"/>
    <cellStyle name="Output 34 2 2 2 2" xfId="33469" xr:uid="{00000000-0005-0000-0000-0000BB820000}"/>
    <cellStyle name="Output 34 2 2 2 3" xfId="33470" xr:uid="{00000000-0005-0000-0000-0000BC820000}"/>
    <cellStyle name="Output 34 2 2 3" xfId="33471" xr:uid="{00000000-0005-0000-0000-0000BD820000}"/>
    <cellStyle name="Output 34 2 2 4" xfId="33472" xr:uid="{00000000-0005-0000-0000-0000BE820000}"/>
    <cellStyle name="Output 34 2 20" xfId="33473" xr:uid="{00000000-0005-0000-0000-0000BF820000}"/>
    <cellStyle name="Output 34 2 21" xfId="33474" xr:uid="{00000000-0005-0000-0000-0000C0820000}"/>
    <cellStyle name="Output 34 2 3" xfId="33475" xr:uid="{00000000-0005-0000-0000-0000C1820000}"/>
    <cellStyle name="Output 34 2 3 2" xfId="33476" xr:uid="{00000000-0005-0000-0000-0000C2820000}"/>
    <cellStyle name="Output 34 2 3 2 2" xfId="33477" xr:uid="{00000000-0005-0000-0000-0000C3820000}"/>
    <cellStyle name="Output 34 2 3 2 3" xfId="33478" xr:uid="{00000000-0005-0000-0000-0000C4820000}"/>
    <cellStyle name="Output 34 2 3 3" xfId="33479" xr:uid="{00000000-0005-0000-0000-0000C5820000}"/>
    <cellStyle name="Output 34 2 3 4" xfId="33480" xr:uid="{00000000-0005-0000-0000-0000C6820000}"/>
    <cellStyle name="Output 34 2 4" xfId="33481" xr:uid="{00000000-0005-0000-0000-0000C7820000}"/>
    <cellStyle name="Output 34 2 4 2" xfId="33482" xr:uid="{00000000-0005-0000-0000-0000C8820000}"/>
    <cellStyle name="Output 34 2 4 2 2" xfId="33483" xr:uid="{00000000-0005-0000-0000-0000C9820000}"/>
    <cellStyle name="Output 34 2 4 2 3" xfId="33484" xr:uid="{00000000-0005-0000-0000-0000CA820000}"/>
    <cellStyle name="Output 34 2 4 3" xfId="33485" xr:uid="{00000000-0005-0000-0000-0000CB820000}"/>
    <cellStyle name="Output 34 2 4 4" xfId="33486" xr:uid="{00000000-0005-0000-0000-0000CC820000}"/>
    <cellStyle name="Output 34 2 5" xfId="33487" xr:uid="{00000000-0005-0000-0000-0000CD820000}"/>
    <cellStyle name="Output 34 2 5 2" xfId="33488" xr:uid="{00000000-0005-0000-0000-0000CE820000}"/>
    <cellStyle name="Output 34 2 5 2 2" xfId="33489" xr:uid="{00000000-0005-0000-0000-0000CF820000}"/>
    <cellStyle name="Output 34 2 5 2 3" xfId="33490" xr:uid="{00000000-0005-0000-0000-0000D0820000}"/>
    <cellStyle name="Output 34 2 5 3" xfId="33491" xr:uid="{00000000-0005-0000-0000-0000D1820000}"/>
    <cellStyle name="Output 34 2 5 4" xfId="33492" xr:uid="{00000000-0005-0000-0000-0000D2820000}"/>
    <cellStyle name="Output 34 2 6" xfId="33493" xr:uid="{00000000-0005-0000-0000-0000D3820000}"/>
    <cellStyle name="Output 34 2 6 2" xfId="33494" xr:uid="{00000000-0005-0000-0000-0000D4820000}"/>
    <cellStyle name="Output 34 2 6 2 2" xfId="33495" xr:uid="{00000000-0005-0000-0000-0000D5820000}"/>
    <cellStyle name="Output 34 2 6 2 3" xfId="33496" xr:uid="{00000000-0005-0000-0000-0000D6820000}"/>
    <cellStyle name="Output 34 2 6 3" xfId="33497" xr:uid="{00000000-0005-0000-0000-0000D7820000}"/>
    <cellStyle name="Output 34 2 6 4" xfId="33498" xr:uid="{00000000-0005-0000-0000-0000D8820000}"/>
    <cellStyle name="Output 34 2 7" xfId="33499" xr:uid="{00000000-0005-0000-0000-0000D9820000}"/>
    <cellStyle name="Output 34 2 7 2" xfId="33500" xr:uid="{00000000-0005-0000-0000-0000DA820000}"/>
    <cellStyle name="Output 34 2 7 2 2" xfId="33501" xr:uid="{00000000-0005-0000-0000-0000DB820000}"/>
    <cellStyle name="Output 34 2 7 2 3" xfId="33502" xr:uid="{00000000-0005-0000-0000-0000DC820000}"/>
    <cellStyle name="Output 34 2 7 3" xfId="33503" xr:uid="{00000000-0005-0000-0000-0000DD820000}"/>
    <cellStyle name="Output 34 2 7 4" xfId="33504" xr:uid="{00000000-0005-0000-0000-0000DE820000}"/>
    <cellStyle name="Output 34 2 8" xfId="33505" xr:uid="{00000000-0005-0000-0000-0000DF820000}"/>
    <cellStyle name="Output 34 2 8 2" xfId="33506" xr:uid="{00000000-0005-0000-0000-0000E0820000}"/>
    <cellStyle name="Output 34 2 8 2 2" xfId="33507" xr:uid="{00000000-0005-0000-0000-0000E1820000}"/>
    <cellStyle name="Output 34 2 8 2 3" xfId="33508" xr:uid="{00000000-0005-0000-0000-0000E2820000}"/>
    <cellStyle name="Output 34 2 8 3" xfId="33509" xr:uid="{00000000-0005-0000-0000-0000E3820000}"/>
    <cellStyle name="Output 34 2 8 4" xfId="33510" xr:uid="{00000000-0005-0000-0000-0000E4820000}"/>
    <cellStyle name="Output 34 2 9" xfId="33511" xr:uid="{00000000-0005-0000-0000-0000E5820000}"/>
    <cellStyle name="Output 34 2 9 2" xfId="33512" xr:uid="{00000000-0005-0000-0000-0000E6820000}"/>
    <cellStyle name="Output 34 2 9 2 2" xfId="33513" xr:uid="{00000000-0005-0000-0000-0000E7820000}"/>
    <cellStyle name="Output 34 2 9 2 3" xfId="33514" xr:uid="{00000000-0005-0000-0000-0000E8820000}"/>
    <cellStyle name="Output 34 2 9 3" xfId="33515" xr:uid="{00000000-0005-0000-0000-0000E9820000}"/>
    <cellStyle name="Output 34 2 9 4" xfId="33516" xr:uid="{00000000-0005-0000-0000-0000EA820000}"/>
    <cellStyle name="Output 34 3" xfId="33517" xr:uid="{00000000-0005-0000-0000-0000EB820000}"/>
    <cellStyle name="Output 34 3 2" xfId="33518" xr:uid="{00000000-0005-0000-0000-0000EC820000}"/>
    <cellStyle name="Output 34 3 2 2" xfId="33519" xr:uid="{00000000-0005-0000-0000-0000ED820000}"/>
    <cellStyle name="Output 34 3 2 3" xfId="33520" xr:uid="{00000000-0005-0000-0000-0000EE820000}"/>
    <cellStyle name="Output 34 3 3" xfId="33521" xr:uid="{00000000-0005-0000-0000-0000EF820000}"/>
    <cellStyle name="Output 34 3 4" xfId="33522" xr:uid="{00000000-0005-0000-0000-0000F0820000}"/>
    <cellStyle name="Output 34 4" xfId="33523" xr:uid="{00000000-0005-0000-0000-0000F1820000}"/>
    <cellStyle name="Output 34 5" xfId="33524" xr:uid="{00000000-0005-0000-0000-0000F2820000}"/>
    <cellStyle name="Output 35" xfId="33525" xr:uid="{00000000-0005-0000-0000-0000F3820000}"/>
    <cellStyle name="Output 35 2" xfId="33526" xr:uid="{00000000-0005-0000-0000-0000F4820000}"/>
    <cellStyle name="Output 35 2 10" xfId="33527" xr:uid="{00000000-0005-0000-0000-0000F5820000}"/>
    <cellStyle name="Output 35 2 10 2" xfId="33528" xr:uid="{00000000-0005-0000-0000-0000F6820000}"/>
    <cellStyle name="Output 35 2 10 2 2" xfId="33529" xr:uid="{00000000-0005-0000-0000-0000F7820000}"/>
    <cellStyle name="Output 35 2 10 2 3" xfId="33530" xr:uid="{00000000-0005-0000-0000-0000F8820000}"/>
    <cellStyle name="Output 35 2 10 3" xfId="33531" xr:uid="{00000000-0005-0000-0000-0000F9820000}"/>
    <cellStyle name="Output 35 2 10 4" xfId="33532" xr:uid="{00000000-0005-0000-0000-0000FA820000}"/>
    <cellStyle name="Output 35 2 11" xfId="33533" xr:uid="{00000000-0005-0000-0000-0000FB820000}"/>
    <cellStyle name="Output 35 2 11 2" xfId="33534" xr:uid="{00000000-0005-0000-0000-0000FC820000}"/>
    <cellStyle name="Output 35 2 11 2 2" xfId="33535" xr:uid="{00000000-0005-0000-0000-0000FD820000}"/>
    <cellStyle name="Output 35 2 11 2 3" xfId="33536" xr:uid="{00000000-0005-0000-0000-0000FE820000}"/>
    <cellStyle name="Output 35 2 11 3" xfId="33537" xr:uid="{00000000-0005-0000-0000-0000FF820000}"/>
    <cellStyle name="Output 35 2 11 4" xfId="33538" xr:uid="{00000000-0005-0000-0000-000000830000}"/>
    <cellStyle name="Output 35 2 12" xfId="33539" xr:uid="{00000000-0005-0000-0000-000001830000}"/>
    <cellStyle name="Output 35 2 12 2" xfId="33540" xr:uid="{00000000-0005-0000-0000-000002830000}"/>
    <cellStyle name="Output 35 2 12 2 2" xfId="33541" xr:uid="{00000000-0005-0000-0000-000003830000}"/>
    <cellStyle name="Output 35 2 12 2 3" xfId="33542" xr:uid="{00000000-0005-0000-0000-000004830000}"/>
    <cellStyle name="Output 35 2 12 3" xfId="33543" xr:uid="{00000000-0005-0000-0000-000005830000}"/>
    <cellStyle name="Output 35 2 12 4" xfId="33544" xr:uid="{00000000-0005-0000-0000-000006830000}"/>
    <cellStyle name="Output 35 2 13" xfId="33545" xr:uid="{00000000-0005-0000-0000-000007830000}"/>
    <cellStyle name="Output 35 2 13 2" xfId="33546" xr:uid="{00000000-0005-0000-0000-000008830000}"/>
    <cellStyle name="Output 35 2 13 2 2" xfId="33547" xr:uid="{00000000-0005-0000-0000-000009830000}"/>
    <cellStyle name="Output 35 2 13 2 3" xfId="33548" xr:uid="{00000000-0005-0000-0000-00000A830000}"/>
    <cellStyle name="Output 35 2 13 3" xfId="33549" xr:uid="{00000000-0005-0000-0000-00000B830000}"/>
    <cellStyle name="Output 35 2 13 4" xfId="33550" xr:uid="{00000000-0005-0000-0000-00000C830000}"/>
    <cellStyle name="Output 35 2 14" xfId="33551" xr:uid="{00000000-0005-0000-0000-00000D830000}"/>
    <cellStyle name="Output 35 2 14 2" xfId="33552" xr:uid="{00000000-0005-0000-0000-00000E830000}"/>
    <cellStyle name="Output 35 2 14 2 2" xfId="33553" xr:uid="{00000000-0005-0000-0000-00000F830000}"/>
    <cellStyle name="Output 35 2 14 2 3" xfId="33554" xr:uid="{00000000-0005-0000-0000-000010830000}"/>
    <cellStyle name="Output 35 2 14 3" xfId="33555" xr:uid="{00000000-0005-0000-0000-000011830000}"/>
    <cellStyle name="Output 35 2 14 4" xfId="33556" xr:uid="{00000000-0005-0000-0000-000012830000}"/>
    <cellStyle name="Output 35 2 15" xfId="33557" xr:uid="{00000000-0005-0000-0000-000013830000}"/>
    <cellStyle name="Output 35 2 15 2" xfId="33558" xr:uid="{00000000-0005-0000-0000-000014830000}"/>
    <cellStyle name="Output 35 2 15 2 2" xfId="33559" xr:uid="{00000000-0005-0000-0000-000015830000}"/>
    <cellStyle name="Output 35 2 15 2 3" xfId="33560" xr:uid="{00000000-0005-0000-0000-000016830000}"/>
    <cellStyle name="Output 35 2 15 3" xfId="33561" xr:uid="{00000000-0005-0000-0000-000017830000}"/>
    <cellStyle name="Output 35 2 15 4" xfId="33562" xr:uid="{00000000-0005-0000-0000-000018830000}"/>
    <cellStyle name="Output 35 2 16" xfId="33563" xr:uid="{00000000-0005-0000-0000-000019830000}"/>
    <cellStyle name="Output 35 2 16 2" xfId="33564" xr:uid="{00000000-0005-0000-0000-00001A830000}"/>
    <cellStyle name="Output 35 2 16 2 2" xfId="33565" xr:uid="{00000000-0005-0000-0000-00001B830000}"/>
    <cellStyle name="Output 35 2 16 2 3" xfId="33566" xr:uid="{00000000-0005-0000-0000-00001C830000}"/>
    <cellStyle name="Output 35 2 16 3" xfId="33567" xr:uid="{00000000-0005-0000-0000-00001D830000}"/>
    <cellStyle name="Output 35 2 16 4" xfId="33568" xr:uid="{00000000-0005-0000-0000-00001E830000}"/>
    <cellStyle name="Output 35 2 17" xfId="33569" xr:uid="{00000000-0005-0000-0000-00001F830000}"/>
    <cellStyle name="Output 35 2 17 2" xfId="33570" xr:uid="{00000000-0005-0000-0000-000020830000}"/>
    <cellStyle name="Output 35 2 17 2 2" xfId="33571" xr:uid="{00000000-0005-0000-0000-000021830000}"/>
    <cellStyle name="Output 35 2 17 2 3" xfId="33572" xr:uid="{00000000-0005-0000-0000-000022830000}"/>
    <cellStyle name="Output 35 2 17 3" xfId="33573" xr:uid="{00000000-0005-0000-0000-000023830000}"/>
    <cellStyle name="Output 35 2 17 4" xfId="33574" xr:uid="{00000000-0005-0000-0000-000024830000}"/>
    <cellStyle name="Output 35 2 18" xfId="33575" xr:uid="{00000000-0005-0000-0000-000025830000}"/>
    <cellStyle name="Output 35 2 18 2" xfId="33576" xr:uid="{00000000-0005-0000-0000-000026830000}"/>
    <cellStyle name="Output 35 2 18 3" xfId="33577" xr:uid="{00000000-0005-0000-0000-000027830000}"/>
    <cellStyle name="Output 35 2 18 4" xfId="33578" xr:uid="{00000000-0005-0000-0000-000028830000}"/>
    <cellStyle name="Output 35 2 19" xfId="33579" xr:uid="{00000000-0005-0000-0000-000029830000}"/>
    <cellStyle name="Output 35 2 2" xfId="33580" xr:uid="{00000000-0005-0000-0000-00002A830000}"/>
    <cellStyle name="Output 35 2 2 2" xfId="33581" xr:uid="{00000000-0005-0000-0000-00002B830000}"/>
    <cellStyle name="Output 35 2 2 2 2" xfId="33582" xr:uid="{00000000-0005-0000-0000-00002C830000}"/>
    <cellStyle name="Output 35 2 2 2 3" xfId="33583" xr:uid="{00000000-0005-0000-0000-00002D830000}"/>
    <cellStyle name="Output 35 2 2 3" xfId="33584" xr:uid="{00000000-0005-0000-0000-00002E830000}"/>
    <cellStyle name="Output 35 2 2 4" xfId="33585" xr:uid="{00000000-0005-0000-0000-00002F830000}"/>
    <cellStyle name="Output 35 2 20" xfId="33586" xr:uid="{00000000-0005-0000-0000-000030830000}"/>
    <cellStyle name="Output 35 2 21" xfId="33587" xr:uid="{00000000-0005-0000-0000-000031830000}"/>
    <cellStyle name="Output 35 2 3" xfId="33588" xr:uid="{00000000-0005-0000-0000-000032830000}"/>
    <cellStyle name="Output 35 2 3 2" xfId="33589" xr:uid="{00000000-0005-0000-0000-000033830000}"/>
    <cellStyle name="Output 35 2 3 2 2" xfId="33590" xr:uid="{00000000-0005-0000-0000-000034830000}"/>
    <cellStyle name="Output 35 2 3 2 3" xfId="33591" xr:uid="{00000000-0005-0000-0000-000035830000}"/>
    <cellStyle name="Output 35 2 3 3" xfId="33592" xr:uid="{00000000-0005-0000-0000-000036830000}"/>
    <cellStyle name="Output 35 2 3 4" xfId="33593" xr:uid="{00000000-0005-0000-0000-000037830000}"/>
    <cellStyle name="Output 35 2 4" xfId="33594" xr:uid="{00000000-0005-0000-0000-000038830000}"/>
    <cellStyle name="Output 35 2 4 2" xfId="33595" xr:uid="{00000000-0005-0000-0000-000039830000}"/>
    <cellStyle name="Output 35 2 4 2 2" xfId="33596" xr:uid="{00000000-0005-0000-0000-00003A830000}"/>
    <cellStyle name="Output 35 2 4 2 3" xfId="33597" xr:uid="{00000000-0005-0000-0000-00003B830000}"/>
    <cellStyle name="Output 35 2 4 3" xfId="33598" xr:uid="{00000000-0005-0000-0000-00003C830000}"/>
    <cellStyle name="Output 35 2 4 4" xfId="33599" xr:uid="{00000000-0005-0000-0000-00003D830000}"/>
    <cellStyle name="Output 35 2 5" xfId="33600" xr:uid="{00000000-0005-0000-0000-00003E830000}"/>
    <cellStyle name="Output 35 2 5 2" xfId="33601" xr:uid="{00000000-0005-0000-0000-00003F830000}"/>
    <cellStyle name="Output 35 2 5 2 2" xfId="33602" xr:uid="{00000000-0005-0000-0000-000040830000}"/>
    <cellStyle name="Output 35 2 5 2 3" xfId="33603" xr:uid="{00000000-0005-0000-0000-000041830000}"/>
    <cellStyle name="Output 35 2 5 3" xfId="33604" xr:uid="{00000000-0005-0000-0000-000042830000}"/>
    <cellStyle name="Output 35 2 5 4" xfId="33605" xr:uid="{00000000-0005-0000-0000-000043830000}"/>
    <cellStyle name="Output 35 2 6" xfId="33606" xr:uid="{00000000-0005-0000-0000-000044830000}"/>
    <cellStyle name="Output 35 2 6 2" xfId="33607" xr:uid="{00000000-0005-0000-0000-000045830000}"/>
    <cellStyle name="Output 35 2 6 2 2" xfId="33608" xr:uid="{00000000-0005-0000-0000-000046830000}"/>
    <cellStyle name="Output 35 2 6 2 3" xfId="33609" xr:uid="{00000000-0005-0000-0000-000047830000}"/>
    <cellStyle name="Output 35 2 6 3" xfId="33610" xr:uid="{00000000-0005-0000-0000-000048830000}"/>
    <cellStyle name="Output 35 2 6 4" xfId="33611" xr:uid="{00000000-0005-0000-0000-000049830000}"/>
    <cellStyle name="Output 35 2 7" xfId="33612" xr:uid="{00000000-0005-0000-0000-00004A830000}"/>
    <cellStyle name="Output 35 2 7 2" xfId="33613" xr:uid="{00000000-0005-0000-0000-00004B830000}"/>
    <cellStyle name="Output 35 2 7 2 2" xfId="33614" xr:uid="{00000000-0005-0000-0000-00004C830000}"/>
    <cellStyle name="Output 35 2 7 2 3" xfId="33615" xr:uid="{00000000-0005-0000-0000-00004D830000}"/>
    <cellStyle name="Output 35 2 7 3" xfId="33616" xr:uid="{00000000-0005-0000-0000-00004E830000}"/>
    <cellStyle name="Output 35 2 7 4" xfId="33617" xr:uid="{00000000-0005-0000-0000-00004F830000}"/>
    <cellStyle name="Output 35 2 8" xfId="33618" xr:uid="{00000000-0005-0000-0000-000050830000}"/>
    <cellStyle name="Output 35 2 8 2" xfId="33619" xr:uid="{00000000-0005-0000-0000-000051830000}"/>
    <cellStyle name="Output 35 2 8 2 2" xfId="33620" xr:uid="{00000000-0005-0000-0000-000052830000}"/>
    <cellStyle name="Output 35 2 8 2 3" xfId="33621" xr:uid="{00000000-0005-0000-0000-000053830000}"/>
    <cellStyle name="Output 35 2 8 3" xfId="33622" xr:uid="{00000000-0005-0000-0000-000054830000}"/>
    <cellStyle name="Output 35 2 8 4" xfId="33623" xr:uid="{00000000-0005-0000-0000-000055830000}"/>
    <cellStyle name="Output 35 2 9" xfId="33624" xr:uid="{00000000-0005-0000-0000-000056830000}"/>
    <cellStyle name="Output 35 2 9 2" xfId="33625" xr:uid="{00000000-0005-0000-0000-000057830000}"/>
    <cellStyle name="Output 35 2 9 2 2" xfId="33626" xr:uid="{00000000-0005-0000-0000-000058830000}"/>
    <cellStyle name="Output 35 2 9 2 3" xfId="33627" xr:uid="{00000000-0005-0000-0000-000059830000}"/>
    <cellStyle name="Output 35 2 9 3" xfId="33628" xr:uid="{00000000-0005-0000-0000-00005A830000}"/>
    <cellStyle name="Output 35 2 9 4" xfId="33629" xr:uid="{00000000-0005-0000-0000-00005B830000}"/>
    <cellStyle name="Output 35 3" xfId="33630" xr:uid="{00000000-0005-0000-0000-00005C830000}"/>
    <cellStyle name="Output 35 3 2" xfId="33631" xr:uid="{00000000-0005-0000-0000-00005D830000}"/>
    <cellStyle name="Output 35 3 2 2" xfId="33632" xr:uid="{00000000-0005-0000-0000-00005E830000}"/>
    <cellStyle name="Output 35 3 2 3" xfId="33633" xr:uid="{00000000-0005-0000-0000-00005F830000}"/>
    <cellStyle name="Output 35 3 3" xfId="33634" xr:uid="{00000000-0005-0000-0000-000060830000}"/>
    <cellStyle name="Output 35 3 4" xfId="33635" xr:uid="{00000000-0005-0000-0000-000061830000}"/>
    <cellStyle name="Output 35 4" xfId="33636" xr:uid="{00000000-0005-0000-0000-000062830000}"/>
    <cellStyle name="Output 35 5" xfId="33637" xr:uid="{00000000-0005-0000-0000-000063830000}"/>
    <cellStyle name="Output 36" xfId="33638" xr:uid="{00000000-0005-0000-0000-000064830000}"/>
    <cellStyle name="Output 36 2" xfId="33639" xr:uid="{00000000-0005-0000-0000-000065830000}"/>
    <cellStyle name="Output 36 2 10" xfId="33640" xr:uid="{00000000-0005-0000-0000-000066830000}"/>
    <cellStyle name="Output 36 2 10 2" xfId="33641" xr:uid="{00000000-0005-0000-0000-000067830000}"/>
    <cellStyle name="Output 36 2 10 2 2" xfId="33642" xr:uid="{00000000-0005-0000-0000-000068830000}"/>
    <cellStyle name="Output 36 2 10 2 3" xfId="33643" xr:uid="{00000000-0005-0000-0000-000069830000}"/>
    <cellStyle name="Output 36 2 10 3" xfId="33644" xr:uid="{00000000-0005-0000-0000-00006A830000}"/>
    <cellStyle name="Output 36 2 10 4" xfId="33645" xr:uid="{00000000-0005-0000-0000-00006B830000}"/>
    <cellStyle name="Output 36 2 11" xfId="33646" xr:uid="{00000000-0005-0000-0000-00006C830000}"/>
    <cellStyle name="Output 36 2 11 2" xfId="33647" xr:uid="{00000000-0005-0000-0000-00006D830000}"/>
    <cellStyle name="Output 36 2 11 2 2" xfId="33648" xr:uid="{00000000-0005-0000-0000-00006E830000}"/>
    <cellStyle name="Output 36 2 11 2 3" xfId="33649" xr:uid="{00000000-0005-0000-0000-00006F830000}"/>
    <cellStyle name="Output 36 2 11 3" xfId="33650" xr:uid="{00000000-0005-0000-0000-000070830000}"/>
    <cellStyle name="Output 36 2 11 4" xfId="33651" xr:uid="{00000000-0005-0000-0000-000071830000}"/>
    <cellStyle name="Output 36 2 12" xfId="33652" xr:uid="{00000000-0005-0000-0000-000072830000}"/>
    <cellStyle name="Output 36 2 12 2" xfId="33653" xr:uid="{00000000-0005-0000-0000-000073830000}"/>
    <cellStyle name="Output 36 2 12 2 2" xfId="33654" xr:uid="{00000000-0005-0000-0000-000074830000}"/>
    <cellStyle name="Output 36 2 12 2 3" xfId="33655" xr:uid="{00000000-0005-0000-0000-000075830000}"/>
    <cellStyle name="Output 36 2 12 3" xfId="33656" xr:uid="{00000000-0005-0000-0000-000076830000}"/>
    <cellStyle name="Output 36 2 12 4" xfId="33657" xr:uid="{00000000-0005-0000-0000-000077830000}"/>
    <cellStyle name="Output 36 2 13" xfId="33658" xr:uid="{00000000-0005-0000-0000-000078830000}"/>
    <cellStyle name="Output 36 2 13 2" xfId="33659" xr:uid="{00000000-0005-0000-0000-000079830000}"/>
    <cellStyle name="Output 36 2 13 2 2" xfId="33660" xr:uid="{00000000-0005-0000-0000-00007A830000}"/>
    <cellStyle name="Output 36 2 13 2 3" xfId="33661" xr:uid="{00000000-0005-0000-0000-00007B830000}"/>
    <cellStyle name="Output 36 2 13 3" xfId="33662" xr:uid="{00000000-0005-0000-0000-00007C830000}"/>
    <cellStyle name="Output 36 2 13 4" xfId="33663" xr:uid="{00000000-0005-0000-0000-00007D830000}"/>
    <cellStyle name="Output 36 2 14" xfId="33664" xr:uid="{00000000-0005-0000-0000-00007E830000}"/>
    <cellStyle name="Output 36 2 14 2" xfId="33665" xr:uid="{00000000-0005-0000-0000-00007F830000}"/>
    <cellStyle name="Output 36 2 14 2 2" xfId="33666" xr:uid="{00000000-0005-0000-0000-000080830000}"/>
    <cellStyle name="Output 36 2 14 2 3" xfId="33667" xr:uid="{00000000-0005-0000-0000-000081830000}"/>
    <cellStyle name="Output 36 2 14 3" xfId="33668" xr:uid="{00000000-0005-0000-0000-000082830000}"/>
    <cellStyle name="Output 36 2 14 4" xfId="33669" xr:uid="{00000000-0005-0000-0000-000083830000}"/>
    <cellStyle name="Output 36 2 15" xfId="33670" xr:uid="{00000000-0005-0000-0000-000084830000}"/>
    <cellStyle name="Output 36 2 15 2" xfId="33671" xr:uid="{00000000-0005-0000-0000-000085830000}"/>
    <cellStyle name="Output 36 2 15 2 2" xfId="33672" xr:uid="{00000000-0005-0000-0000-000086830000}"/>
    <cellStyle name="Output 36 2 15 2 3" xfId="33673" xr:uid="{00000000-0005-0000-0000-000087830000}"/>
    <cellStyle name="Output 36 2 15 3" xfId="33674" xr:uid="{00000000-0005-0000-0000-000088830000}"/>
    <cellStyle name="Output 36 2 15 4" xfId="33675" xr:uid="{00000000-0005-0000-0000-000089830000}"/>
    <cellStyle name="Output 36 2 16" xfId="33676" xr:uid="{00000000-0005-0000-0000-00008A830000}"/>
    <cellStyle name="Output 36 2 16 2" xfId="33677" xr:uid="{00000000-0005-0000-0000-00008B830000}"/>
    <cellStyle name="Output 36 2 16 2 2" xfId="33678" xr:uid="{00000000-0005-0000-0000-00008C830000}"/>
    <cellStyle name="Output 36 2 16 2 3" xfId="33679" xr:uid="{00000000-0005-0000-0000-00008D830000}"/>
    <cellStyle name="Output 36 2 16 3" xfId="33680" xr:uid="{00000000-0005-0000-0000-00008E830000}"/>
    <cellStyle name="Output 36 2 16 4" xfId="33681" xr:uid="{00000000-0005-0000-0000-00008F830000}"/>
    <cellStyle name="Output 36 2 17" xfId="33682" xr:uid="{00000000-0005-0000-0000-000090830000}"/>
    <cellStyle name="Output 36 2 17 2" xfId="33683" xr:uid="{00000000-0005-0000-0000-000091830000}"/>
    <cellStyle name="Output 36 2 17 2 2" xfId="33684" xr:uid="{00000000-0005-0000-0000-000092830000}"/>
    <cellStyle name="Output 36 2 17 2 3" xfId="33685" xr:uid="{00000000-0005-0000-0000-000093830000}"/>
    <cellStyle name="Output 36 2 17 3" xfId="33686" xr:uid="{00000000-0005-0000-0000-000094830000}"/>
    <cellStyle name="Output 36 2 17 4" xfId="33687" xr:uid="{00000000-0005-0000-0000-000095830000}"/>
    <cellStyle name="Output 36 2 18" xfId="33688" xr:uid="{00000000-0005-0000-0000-000096830000}"/>
    <cellStyle name="Output 36 2 18 2" xfId="33689" xr:uid="{00000000-0005-0000-0000-000097830000}"/>
    <cellStyle name="Output 36 2 18 3" xfId="33690" xr:uid="{00000000-0005-0000-0000-000098830000}"/>
    <cellStyle name="Output 36 2 18 4" xfId="33691" xr:uid="{00000000-0005-0000-0000-000099830000}"/>
    <cellStyle name="Output 36 2 19" xfId="33692" xr:uid="{00000000-0005-0000-0000-00009A830000}"/>
    <cellStyle name="Output 36 2 2" xfId="33693" xr:uid="{00000000-0005-0000-0000-00009B830000}"/>
    <cellStyle name="Output 36 2 2 2" xfId="33694" xr:uid="{00000000-0005-0000-0000-00009C830000}"/>
    <cellStyle name="Output 36 2 2 2 2" xfId="33695" xr:uid="{00000000-0005-0000-0000-00009D830000}"/>
    <cellStyle name="Output 36 2 2 2 3" xfId="33696" xr:uid="{00000000-0005-0000-0000-00009E830000}"/>
    <cellStyle name="Output 36 2 2 3" xfId="33697" xr:uid="{00000000-0005-0000-0000-00009F830000}"/>
    <cellStyle name="Output 36 2 2 4" xfId="33698" xr:uid="{00000000-0005-0000-0000-0000A0830000}"/>
    <cellStyle name="Output 36 2 20" xfId="33699" xr:uid="{00000000-0005-0000-0000-0000A1830000}"/>
    <cellStyle name="Output 36 2 21" xfId="33700" xr:uid="{00000000-0005-0000-0000-0000A2830000}"/>
    <cellStyle name="Output 36 2 3" xfId="33701" xr:uid="{00000000-0005-0000-0000-0000A3830000}"/>
    <cellStyle name="Output 36 2 3 2" xfId="33702" xr:uid="{00000000-0005-0000-0000-0000A4830000}"/>
    <cellStyle name="Output 36 2 3 2 2" xfId="33703" xr:uid="{00000000-0005-0000-0000-0000A5830000}"/>
    <cellStyle name="Output 36 2 3 2 3" xfId="33704" xr:uid="{00000000-0005-0000-0000-0000A6830000}"/>
    <cellStyle name="Output 36 2 3 3" xfId="33705" xr:uid="{00000000-0005-0000-0000-0000A7830000}"/>
    <cellStyle name="Output 36 2 3 4" xfId="33706" xr:uid="{00000000-0005-0000-0000-0000A8830000}"/>
    <cellStyle name="Output 36 2 4" xfId="33707" xr:uid="{00000000-0005-0000-0000-0000A9830000}"/>
    <cellStyle name="Output 36 2 4 2" xfId="33708" xr:uid="{00000000-0005-0000-0000-0000AA830000}"/>
    <cellStyle name="Output 36 2 4 2 2" xfId="33709" xr:uid="{00000000-0005-0000-0000-0000AB830000}"/>
    <cellStyle name="Output 36 2 4 2 3" xfId="33710" xr:uid="{00000000-0005-0000-0000-0000AC830000}"/>
    <cellStyle name="Output 36 2 4 3" xfId="33711" xr:uid="{00000000-0005-0000-0000-0000AD830000}"/>
    <cellStyle name="Output 36 2 4 4" xfId="33712" xr:uid="{00000000-0005-0000-0000-0000AE830000}"/>
    <cellStyle name="Output 36 2 5" xfId="33713" xr:uid="{00000000-0005-0000-0000-0000AF830000}"/>
    <cellStyle name="Output 36 2 5 2" xfId="33714" xr:uid="{00000000-0005-0000-0000-0000B0830000}"/>
    <cellStyle name="Output 36 2 5 2 2" xfId="33715" xr:uid="{00000000-0005-0000-0000-0000B1830000}"/>
    <cellStyle name="Output 36 2 5 2 3" xfId="33716" xr:uid="{00000000-0005-0000-0000-0000B2830000}"/>
    <cellStyle name="Output 36 2 5 3" xfId="33717" xr:uid="{00000000-0005-0000-0000-0000B3830000}"/>
    <cellStyle name="Output 36 2 5 4" xfId="33718" xr:uid="{00000000-0005-0000-0000-0000B4830000}"/>
    <cellStyle name="Output 36 2 6" xfId="33719" xr:uid="{00000000-0005-0000-0000-0000B5830000}"/>
    <cellStyle name="Output 36 2 6 2" xfId="33720" xr:uid="{00000000-0005-0000-0000-0000B6830000}"/>
    <cellStyle name="Output 36 2 6 2 2" xfId="33721" xr:uid="{00000000-0005-0000-0000-0000B7830000}"/>
    <cellStyle name="Output 36 2 6 2 3" xfId="33722" xr:uid="{00000000-0005-0000-0000-0000B8830000}"/>
    <cellStyle name="Output 36 2 6 3" xfId="33723" xr:uid="{00000000-0005-0000-0000-0000B9830000}"/>
    <cellStyle name="Output 36 2 6 4" xfId="33724" xr:uid="{00000000-0005-0000-0000-0000BA830000}"/>
    <cellStyle name="Output 36 2 7" xfId="33725" xr:uid="{00000000-0005-0000-0000-0000BB830000}"/>
    <cellStyle name="Output 36 2 7 2" xfId="33726" xr:uid="{00000000-0005-0000-0000-0000BC830000}"/>
    <cellStyle name="Output 36 2 7 2 2" xfId="33727" xr:uid="{00000000-0005-0000-0000-0000BD830000}"/>
    <cellStyle name="Output 36 2 7 2 3" xfId="33728" xr:uid="{00000000-0005-0000-0000-0000BE830000}"/>
    <cellStyle name="Output 36 2 7 3" xfId="33729" xr:uid="{00000000-0005-0000-0000-0000BF830000}"/>
    <cellStyle name="Output 36 2 7 4" xfId="33730" xr:uid="{00000000-0005-0000-0000-0000C0830000}"/>
    <cellStyle name="Output 36 2 8" xfId="33731" xr:uid="{00000000-0005-0000-0000-0000C1830000}"/>
    <cellStyle name="Output 36 2 8 2" xfId="33732" xr:uid="{00000000-0005-0000-0000-0000C2830000}"/>
    <cellStyle name="Output 36 2 8 2 2" xfId="33733" xr:uid="{00000000-0005-0000-0000-0000C3830000}"/>
    <cellStyle name="Output 36 2 8 2 3" xfId="33734" xr:uid="{00000000-0005-0000-0000-0000C4830000}"/>
    <cellStyle name="Output 36 2 8 3" xfId="33735" xr:uid="{00000000-0005-0000-0000-0000C5830000}"/>
    <cellStyle name="Output 36 2 8 4" xfId="33736" xr:uid="{00000000-0005-0000-0000-0000C6830000}"/>
    <cellStyle name="Output 36 2 9" xfId="33737" xr:uid="{00000000-0005-0000-0000-0000C7830000}"/>
    <cellStyle name="Output 36 2 9 2" xfId="33738" xr:uid="{00000000-0005-0000-0000-0000C8830000}"/>
    <cellStyle name="Output 36 2 9 2 2" xfId="33739" xr:uid="{00000000-0005-0000-0000-0000C9830000}"/>
    <cellStyle name="Output 36 2 9 2 3" xfId="33740" xr:uid="{00000000-0005-0000-0000-0000CA830000}"/>
    <cellStyle name="Output 36 2 9 3" xfId="33741" xr:uid="{00000000-0005-0000-0000-0000CB830000}"/>
    <cellStyle name="Output 36 2 9 4" xfId="33742" xr:uid="{00000000-0005-0000-0000-0000CC830000}"/>
    <cellStyle name="Output 36 3" xfId="33743" xr:uid="{00000000-0005-0000-0000-0000CD830000}"/>
    <cellStyle name="Output 36 3 2" xfId="33744" xr:uid="{00000000-0005-0000-0000-0000CE830000}"/>
    <cellStyle name="Output 36 3 2 2" xfId="33745" xr:uid="{00000000-0005-0000-0000-0000CF830000}"/>
    <cellStyle name="Output 36 3 2 3" xfId="33746" xr:uid="{00000000-0005-0000-0000-0000D0830000}"/>
    <cellStyle name="Output 36 3 3" xfId="33747" xr:uid="{00000000-0005-0000-0000-0000D1830000}"/>
    <cellStyle name="Output 36 3 4" xfId="33748" xr:uid="{00000000-0005-0000-0000-0000D2830000}"/>
    <cellStyle name="Output 36 4" xfId="33749" xr:uid="{00000000-0005-0000-0000-0000D3830000}"/>
    <cellStyle name="Output 36 5" xfId="33750" xr:uid="{00000000-0005-0000-0000-0000D4830000}"/>
    <cellStyle name="Output 37" xfId="33751" xr:uid="{00000000-0005-0000-0000-0000D5830000}"/>
    <cellStyle name="Output 37 2" xfId="33752" xr:uid="{00000000-0005-0000-0000-0000D6830000}"/>
    <cellStyle name="Output 37 2 10" xfId="33753" xr:uid="{00000000-0005-0000-0000-0000D7830000}"/>
    <cellStyle name="Output 37 2 10 2" xfId="33754" xr:uid="{00000000-0005-0000-0000-0000D8830000}"/>
    <cellStyle name="Output 37 2 10 2 2" xfId="33755" xr:uid="{00000000-0005-0000-0000-0000D9830000}"/>
    <cellStyle name="Output 37 2 10 2 3" xfId="33756" xr:uid="{00000000-0005-0000-0000-0000DA830000}"/>
    <cellStyle name="Output 37 2 10 3" xfId="33757" xr:uid="{00000000-0005-0000-0000-0000DB830000}"/>
    <cellStyle name="Output 37 2 10 4" xfId="33758" xr:uid="{00000000-0005-0000-0000-0000DC830000}"/>
    <cellStyle name="Output 37 2 11" xfId="33759" xr:uid="{00000000-0005-0000-0000-0000DD830000}"/>
    <cellStyle name="Output 37 2 11 2" xfId="33760" xr:uid="{00000000-0005-0000-0000-0000DE830000}"/>
    <cellStyle name="Output 37 2 11 2 2" xfId="33761" xr:uid="{00000000-0005-0000-0000-0000DF830000}"/>
    <cellStyle name="Output 37 2 11 2 3" xfId="33762" xr:uid="{00000000-0005-0000-0000-0000E0830000}"/>
    <cellStyle name="Output 37 2 11 3" xfId="33763" xr:uid="{00000000-0005-0000-0000-0000E1830000}"/>
    <cellStyle name="Output 37 2 11 4" xfId="33764" xr:uid="{00000000-0005-0000-0000-0000E2830000}"/>
    <cellStyle name="Output 37 2 12" xfId="33765" xr:uid="{00000000-0005-0000-0000-0000E3830000}"/>
    <cellStyle name="Output 37 2 12 2" xfId="33766" xr:uid="{00000000-0005-0000-0000-0000E4830000}"/>
    <cellStyle name="Output 37 2 12 2 2" xfId="33767" xr:uid="{00000000-0005-0000-0000-0000E5830000}"/>
    <cellStyle name="Output 37 2 12 2 3" xfId="33768" xr:uid="{00000000-0005-0000-0000-0000E6830000}"/>
    <cellStyle name="Output 37 2 12 3" xfId="33769" xr:uid="{00000000-0005-0000-0000-0000E7830000}"/>
    <cellStyle name="Output 37 2 12 4" xfId="33770" xr:uid="{00000000-0005-0000-0000-0000E8830000}"/>
    <cellStyle name="Output 37 2 13" xfId="33771" xr:uid="{00000000-0005-0000-0000-0000E9830000}"/>
    <cellStyle name="Output 37 2 13 2" xfId="33772" xr:uid="{00000000-0005-0000-0000-0000EA830000}"/>
    <cellStyle name="Output 37 2 13 2 2" xfId="33773" xr:uid="{00000000-0005-0000-0000-0000EB830000}"/>
    <cellStyle name="Output 37 2 13 2 3" xfId="33774" xr:uid="{00000000-0005-0000-0000-0000EC830000}"/>
    <cellStyle name="Output 37 2 13 3" xfId="33775" xr:uid="{00000000-0005-0000-0000-0000ED830000}"/>
    <cellStyle name="Output 37 2 13 4" xfId="33776" xr:uid="{00000000-0005-0000-0000-0000EE830000}"/>
    <cellStyle name="Output 37 2 14" xfId="33777" xr:uid="{00000000-0005-0000-0000-0000EF830000}"/>
    <cellStyle name="Output 37 2 14 2" xfId="33778" xr:uid="{00000000-0005-0000-0000-0000F0830000}"/>
    <cellStyle name="Output 37 2 14 2 2" xfId="33779" xr:uid="{00000000-0005-0000-0000-0000F1830000}"/>
    <cellStyle name="Output 37 2 14 2 3" xfId="33780" xr:uid="{00000000-0005-0000-0000-0000F2830000}"/>
    <cellStyle name="Output 37 2 14 3" xfId="33781" xr:uid="{00000000-0005-0000-0000-0000F3830000}"/>
    <cellStyle name="Output 37 2 14 4" xfId="33782" xr:uid="{00000000-0005-0000-0000-0000F4830000}"/>
    <cellStyle name="Output 37 2 15" xfId="33783" xr:uid="{00000000-0005-0000-0000-0000F5830000}"/>
    <cellStyle name="Output 37 2 15 2" xfId="33784" xr:uid="{00000000-0005-0000-0000-0000F6830000}"/>
    <cellStyle name="Output 37 2 15 2 2" xfId="33785" xr:uid="{00000000-0005-0000-0000-0000F7830000}"/>
    <cellStyle name="Output 37 2 15 2 3" xfId="33786" xr:uid="{00000000-0005-0000-0000-0000F8830000}"/>
    <cellStyle name="Output 37 2 15 3" xfId="33787" xr:uid="{00000000-0005-0000-0000-0000F9830000}"/>
    <cellStyle name="Output 37 2 15 4" xfId="33788" xr:uid="{00000000-0005-0000-0000-0000FA830000}"/>
    <cellStyle name="Output 37 2 16" xfId="33789" xr:uid="{00000000-0005-0000-0000-0000FB830000}"/>
    <cellStyle name="Output 37 2 16 2" xfId="33790" xr:uid="{00000000-0005-0000-0000-0000FC830000}"/>
    <cellStyle name="Output 37 2 16 2 2" xfId="33791" xr:uid="{00000000-0005-0000-0000-0000FD830000}"/>
    <cellStyle name="Output 37 2 16 2 3" xfId="33792" xr:uid="{00000000-0005-0000-0000-0000FE830000}"/>
    <cellStyle name="Output 37 2 16 3" xfId="33793" xr:uid="{00000000-0005-0000-0000-0000FF830000}"/>
    <cellStyle name="Output 37 2 16 4" xfId="33794" xr:uid="{00000000-0005-0000-0000-000000840000}"/>
    <cellStyle name="Output 37 2 17" xfId="33795" xr:uid="{00000000-0005-0000-0000-000001840000}"/>
    <cellStyle name="Output 37 2 17 2" xfId="33796" xr:uid="{00000000-0005-0000-0000-000002840000}"/>
    <cellStyle name="Output 37 2 17 2 2" xfId="33797" xr:uid="{00000000-0005-0000-0000-000003840000}"/>
    <cellStyle name="Output 37 2 17 2 3" xfId="33798" xr:uid="{00000000-0005-0000-0000-000004840000}"/>
    <cellStyle name="Output 37 2 17 3" xfId="33799" xr:uid="{00000000-0005-0000-0000-000005840000}"/>
    <cellStyle name="Output 37 2 17 4" xfId="33800" xr:uid="{00000000-0005-0000-0000-000006840000}"/>
    <cellStyle name="Output 37 2 18" xfId="33801" xr:uid="{00000000-0005-0000-0000-000007840000}"/>
    <cellStyle name="Output 37 2 18 2" xfId="33802" xr:uid="{00000000-0005-0000-0000-000008840000}"/>
    <cellStyle name="Output 37 2 18 3" xfId="33803" xr:uid="{00000000-0005-0000-0000-000009840000}"/>
    <cellStyle name="Output 37 2 18 4" xfId="33804" xr:uid="{00000000-0005-0000-0000-00000A840000}"/>
    <cellStyle name="Output 37 2 19" xfId="33805" xr:uid="{00000000-0005-0000-0000-00000B840000}"/>
    <cellStyle name="Output 37 2 2" xfId="33806" xr:uid="{00000000-0005-0000-0000-00000C840000}"/>
    <cellStyle name="Output 37 2 2 2" xfId="33807" xr:uid="{00000000-0005-0000-0000-00000D840000}"/>
    <cellStyle name="Output 37 2 2 2 2" xfId="33808" xr:uid="{00000000-0005-0000-0000-00000E840000}"/>
    <cellStyle name="Output 37 2 2 2 3" xfId="33809" xr:uid="{00000000-0005-0000-0000-00000F840000}"/>
    <cellStyle name="Output 37 2 2 3" xfId="33810" xr:uid="{00000000-0005-0000-0000-000010840000}"/>
    <cellStyle name="Output 37 2 2 4" xfId="33811" xr:uid="{00000000-0005-0000-0000-000011840000}"/>
    <cellStyle name="Output 37 2 20" xfId="33812" xr:uid="{00000000-0005-0000-0000-000012840000}"/>
    <cellStyle name="Output 37 2 21" xfId="33813" xr:uid="{00000000-0005-0000-0000-000013840000}"/>
    <cellStyle name="Output 37 2 3" xfId="33814" xr:uid="{00000000-0005-0000-0000-000014840000}"/>
    <cellStyle name="Output 37 2 3 2" xfId="33815" xr:uid="{00000000-0005-0000-0000-000015840000}"/>
    <cellStyle name="Output 37 2 3 2 2" xfId="33816" xr:uid="{00000000-0005-0000-0000-000016840000}"/>
    <cellStyle name="Output 37 2 3 2 3" xfId="33817" xr:uid="{00000000-0005-0000-0000-000017840000}"/>
    <cellStyle name="Output 37 2 3 3" xfId="33818" xr:uid="{00000000-0005-0000-0000-000018840000}"/>
    <cellStyle name="Output 37 2 3 4" xfId="33819" xr:uid="{00000000-0005-0000-0000-000019840000}"/>
    <cellStyle name="Output 37 2 4" xfId="33820" xr:uid="{00000000-0005-0000-0000-00001A840000}"/>
    <cellStyle name="Output 37 2 4 2" xfId="33821" xr:uid="{00000000-0005-0000-0000-00001B840000}"/>
    <cellStyle name="Output 37 2 4 2 2" xfId="33822" xr:uid="{00000000-0005-0000-0000-00001C840000}"/>
    <cellStyle name="Output 37 2 4 2 3" xfId="33823" xr:uid="{00000000-0005-0000-0000-00001D840000}"/>
    <cellStyle name="Output 37 2 4 3" xfId="33824" xr:uid="{00000000-0005-0000-0000-00001E840000}"/>
    <cellStyle name="Output 37 2 4 4" xfId="33825" xr:uid="{00000000-0005-0000-0000-00001F840000}"/>
    <cellStyle name="Output 37 2 5" xfId="33826" xr:uid="{00000000-0005-0000-0000-000020840000}"/>
    <cellStyle name="Output 37 2 5 2" xfId="33827" xr:uid="{00000000-0005-0000-0000-000021840000}"/>
    <cellStyle name="Output 37 2 5 2 2" xfId="33828" xr:uid="{00000000-0005-0000-0000-000022840000}"/>
    <cellStyle name="Output 37 2 5 2 3" xfId="33829" xr:uid="{00000000-0005-0000-0000-000023840000}"/>
    <cellStyle name="Output 37 2 5 3" xfId="33830" xr:uid="{00000000-0005-0000-0000-000024840000}"/>
    <cellStyle name="Output 37 2 5 4" xfId="33831" xr:uid="{00000000-0005-0000-0000-000025840000}"/>
    <cellStyle name="Output 37 2 6" xfId="33832" xr:uid="{00000000-0005-0000-0000-000026840000}"/>
    <cellStyle name="Output 37 2 6 2" xfId="33833" xr:uid="{00000000-0005-0000-0000-000027840000}"/>
    <cellStyle name="Output 37 2 6 2 2" xfId="33834" xr:uid="{00000000-0005-0000-0000-000028840000}"/>
    <cellStyle name="Output 37 2 6 2 3" xfId="33835" xr:uid="{00000000-0005-0000-0000-000029840000}"/>
    <cellStyle name="Output 37 2 6 3" xfId="33836" xr:uid="{00000000-0005-0000-0000-00002A840000}"/>
    <cellStyle name="Output 37 2 6 4" xfId="33837" xr:uid="{00000000-0005-0000-0000-00002B840000}"/>
    <cellStyle name="Output 37 2 7" xfId="33838" xr:uid="{00000000-0005-0000-0000-00002C840000}"/>
    <cellStyle name="Output 37 2 7 2" xfId="33839" xr:uid="{00000000-0005-0000-0000-00002D840000}"/>
    <cellStyle name="Output 37 2 7 2 2" xfId="33840" xr:uid="{00000000-0005-0000-0000-00002E840000}"/>
    <cellStyle name="Output 37 2 7 2 3" xfId="33841" xr:uid="{00000000-0005-0000-0000-00002F840000}"/>
    <cellStyle name="Output 37 2 7 3" xfId="33842" xr:uid="{00000000-0005-0000-0000-000030840000}"/>
    <cellStyle name="Output 37 2 7 4" xfId="33843" xr:uid="{00000000-0005-0000-0000-000031840000}"/>
    <cellStyle name="Output 37 2 8" xfId="33844" xr:uid="{00000000-0005-0000-0000-000032840000}"/>
    <cellStyle name="Output 37 2 8 2" xfId="33845" xr:uid="{00000000-0005-0000-0000-000033840000}"/>
    <cellStyle name="Output 37 2 8 2 2" xfId="33846" xr:uid="{00000000-0005-0000-0000-000034840000}"/>
    <cellStyle name="Output 37 2 8 2 3" xfId="33847" xr:uid="{00000000-0005-0000-0000-000035840000}"/>
    <cellStyle name="Output 37 2 8 3" xfId="33848" xr:uid="{00000000-0005-0000-0000-000036840000}"/>
    <cellStyle name="Output 37 2 8 4" xfId="33849" xr:uid="{00000000-0005-0000-0000-000037840000}"/>
    <cellStyle name="Output 37 2 9" xfId="33850" xr:uid="{00000000-0005-0000-0000-000038840000}"/>
    <cellStyle name="Output 37 2 9 2" xfId="33851" xr:uid="{00000000-0005-0000-0000-000039840000}"/>
    <cellStyle name="Output 37 2 9 2 2" xfId="33852" xr:uid="{00000000-0005-0000-0000-00003A840000}"/>
    <cellStyle name="Output 37 2 9 2 3" xfId="33853" xr:uid="{00000000-0005-0000-0000-00003B840000}"/>
    <cellStyle name="Output 37 2 9 3" xfId="33854" xr:uid="{00000000-0005-0000-0000-00003C840000}"/>
    <cellStyle name="Output 37 2 9 4" xfId="33855" xr:uid="{00000000-0005-0000-0000-00003D840000}"/>
    <cellStyle name="Output 37 3" xfId="33856" xr:uid="{00000000-0005-0000-0000-00003E840000}"/>
    <cellStyle name="Output 37 3 2" xfId="33857" xr:uid="{00000000-0005-0000-0000-00003F840000}"/>
    <cellStyle name="Output 37 3 2 2" xfId="33858" xr:uid="{00000000-0005-0000-0000-000040840000}"/>
    <cellStyle name="Output 37 3 2 3" xfId="33859" xr:uid="{00000000-0005-0000-0000-000041840000}"/>
    <cellStyle name="Output 37 3 3" xfId="33860" xr:uid="{00000000-0005-0000-0000-000042840000}"/>
    <cellStyle name="Output 37 3 4" xfId="33861" xr:uid="{00000000-0005-0000-0000-000043840000}"/>
    <cellStyle name="Output 37 4" xfId="33862" xr:uid="{00000000-0005-0000-0000-000044840000}"/>
    <cellStyle name="Output 37 5" xfId="33863" xr:uid="{00000000-0005-0000-0000-000045840000}"/>
    <cellStyle name="Output 38" xfId="33864" xr:uid="{00000000-0005-0000-0000-000046840000}"/>
    <cellStyle name="Output 38 2" xfId="33865" xr:uid="{00000000-0005-0000-0000-000047840000}"/>
    <cellStyle name="Output 38 2 10" xfId="33866" xr:uid="{00000000-0005-0000-0000-000048840000}"/>
    <cellStyle name="Output 38 2 10 2" xfId="33867" xr:uid="{00000000-0005-0000-0000-000049840000}"/>
    <cellStyle name="Output 38 2 10 2 2" xfId="33868" xr:uid="{00000000-0005-0000-0000-00004A840000}"/>
    <cellStyle name="Output 38 2 10 2 3" xfId="33869" xr:uid="{00000000-0005-0000-0000-00004B840000}"/>
    <cellStyle name="Output 38 2 10 3" xfId="33870" xr:uid="{00000000-0005-0000-0000-00004C840000}"/>
    <cellStyle name="Output 38 2 10 4" xfId="33871" xr:uid="{00000000-0005-0000-0000-00004D840000}"/>
    <cellStyle name="Output 38 2 11" xfId="33872" xr:uid="{00000000-0005-0000-0000-00004E840000}"/>
    <cellStyle name="Output 38 2 11 2" xfId="33873" xr:uid="{00000000-0005-0000-0000-00004F840000}"/>
    <cellStyle name="Output 38 2 11 2 2" xfId="33874" xr:uid="{00000000-0005-0000-0000-000050840000}"/>
    <cellStyle name="Output 38 2 11 2 3" xfId="33875" xr:uid="{00000000-0005-0000-0000-000051840000}"/>
    <cellStyle name="Output 38 2 11 3" xfId="33876" xr:uid="{00000000-0005-0000-0000-000052840000}"/>
    <cellStyle name="Output 38 2 11 4" xfId="33877" xr:uid="{00000000-0005-0000-0000-000053840000}"/>
    <cellStyle name="Output 38 2 12" xfId="33878" xr:uid="{00000000-0005-0000-0000-000054840000}"/>
    <cellStyle name="Output 38 2 12 2" xfId="33879" xr:uid="{00000000-0005-0000-0000-000055840000}"/>
    <cellStyle name="Output 38 2 12 2 2" xfId="33880" xr:uid="{00000000-0005-0000-0000-000056840000}"/>
    <cellStyle name="Output 38 2 12 2 3" xfId="33881" xr:uid="{00000000-0005-0000-0000-000057840000}"/>
    <cellStyle name="Output 38 2 12 3" xfId="33882" xr:uid="{00000000-0005-0000-0000-000058840000}"/>
    <cellStyle name="Output 38 2 12 4" xfId="33883" xr:uid="{00000000-0005-0000-0000-000059840000}"/>
    <cellStyle name="Output 38 2 13" xfId="33884" xr:uid="{00000000-0005-0000-0000-00005A840000}"/>
    <cellStyle name="Output 38 2 13 2" xfId="33885" xr:uid="{00000000-0005-0000-0000-00005B840000}"/>
    <cellStyle name="Output 38 2 13 2 2" xfId="33886" xr:uid="{00000000-0005-0000-0000-00005C840000}"/>
    <cellStyle name="Output 38 2 13 2 3" xfId="33887" xr:uid="{00000000-0005-0000-0000-00005D840000}"/>
    <cellStyle name="Output 38 2 13 3" xfId="33888" xr:uid="{00000000-0005-0000-0000-00005E840000}"/>
    <cellStyle name="Output 38 2 13 4" xfId="33889" xr:uid="{00000000-0005-0000-0000-00005F840000}"/>
    <cellStyle name="Output 38 2 14" xfId="33890" xr:uid="{00000000-0005-0000-0000-000060840000}"/>
    <cellStyle name="Output 38 2 14 2" xfId="33891" xr:uid="{00000000-0005-0000-0000-000061840000}"/>
    <cellStyle name="Output 38 2 14 2 2" xfId="33892" xr:uid="{00000000-0005-0000-0000-000062840000}"/>
    <cellStyle name="Output 38 2 14 2 3" xfId="33893" xr:uid="{00000000-0005-0000-0000-000063840000}"/>
    <cellStyle name="Output 38 2 14 3" xfId="33894" xr:uid="{00000000-0005-0000-0000-000064840000}"/>
    <cellStyle name="Output 38 2 14 4" xfId="33895" xr:uid="{00000000-0005-0000-0000-000065840000}"/>
    <cellStyle name="Output 38 2 15" xfId="33896" xr:uid="{00000000-0005-0000-0000-000066840000}"/>
    <cellStyle name="Output 38 2 15 2" xfId="33897" xr:uid="{00000000-0005-0000-0000-000067840000}"/>
    <cellStyle name="Output 38 2 15 2 2" xfId="33898" xr:uid="{00000000-0005-0000-0000-000068840000}"/>
    <cellStyle name="Output 38 2 15 2 3" xfId="33899" xr:uid="{00000000-0005-0000-0000-000069840000}"/>
    <cellStyle name="Output 38 2 15 3" xfId="33900" xr:uid="{00000000-0005-0000-0000-00006A840000}"/>
    <cellStyle name="Output 38 2 15 4" xfId="33901" xr:uid="{00000000-0005-0000-0000-00006B840000}"/>
    <cellStyle name="Output 38 2 16" xfId="33902" xr:uid="{00000000-0005-0000-0000-00006C840000}"/>
    <cellStyle name="Output 38 2 16 2" xfId="33903" xr:uid="{00000000-0005-0000-0000-00006D840000}"/>
    <cellStyle name="Output 38 2 16 2 2" xfId="33904" xr:uid="{00000000-0005-0000-0000-00006E840000}"/>
    <cellStyle name="Output 38 2 16 2 3" xfId="33905" xr:uid="{00000000-0005-0000-0000-00006F840000}"/>
    <cellStyle name="Output 38 2 16 3" xfId="33906" xr:uid="{00000000-0005-0000-0000-000070840000}"/>
    <cellStyle name="Output 38 2 16 4" xfId="33907" xr:uid="{00000000-0005-0000-0000-000071840000}"/>
    <cellStyle name="Output 38 2 17" xfId="33908" xr:uid="{00000000-0005-0000-0000-000072840000}"/>
    <cellStyle name="Output 38 2 17 2" xfId="33909" xr:uid="{00000000-0005-0000-0000-000073840000}"/>
    <cellStyle name="Output 38 2 17 2 2" xfId="33910" xr:uid="{00000000-0005-0000-0000-000074840000}"/>
    <cellStyle name="Output 38 2 17 2 3" xfId="33911" xr:uid="{00000000-0005-0000-0000-000075840000}"/>
    <cellStyle name="Output 38 2 17 3" xfId="33912" xr:uid="{00000000-0005-0000-0000-000076840000}"/>
    <cellStyle name="Output 38 2 17 4" xfId="33913" xr:uid="{00000000-0005-0000-0000-000077840000}"/>
    <cellStyle name="Output 38 2 18" xfId="33914" xr:uid="{00000000-0005-0000-0000-000078840000}"/>
    <cellStyle name="Output 38 2 18 2" xfId="33915" xr:uid="{00000000-0005-0000-0000-000079840000}"/>
    <cellStyle name="Output 38 2 18 3" xfId="33916" xr:uid="{00000000-0005-0000-0000-00007A840000}"/>
    <cellStyle name="Output 38 2 18 4" xfId="33917" xr:uid="{00000000-0005-0000-0000-00007B840000}"/>
    <cellStyle name="Output 38 2 19" xfId="33918" xr:uid="{00000000-0005-0000-0000-00007C840000}"/>
    <cellStyle name="Output 38 2 2" xfId="33919" xr:uid="{00000000-0005-0000-0000-00007D840000}"/>
    <cellStyle name="Output 38 2 2 2" xfId="33920" xr:uid="{00000000-0005-0000-0000-00007E840000}"/>
    <cellStyle name="Output 38 2 2 2 2" xfId="33921" xr:uid="{00000000-0005-0000-0000-00007F840000}"/>
    <cellStyle name="Output 38 2 2 2 3" xfId="33922" xr:uid="{00000000-0005-0000-0000-000080840000}"/>
    <cellStyle name="Output 38 2 2 3" xfId="33923" xr:uid="{00000000-0005-0000-0000-000081840000}"/>
    <cellStyle name="Output 38 2 2 4" xfId="33924" xr:uid="{00000000-0005-0000-0000-000082840000}"/>
    <cellStyle name="Output 38 2 20" xfId="33925" xr:uid="{00000000-0005-0000-0000-000083840000}"/>
    <cellStyle name="Output 38 2 21" xfId="33926" xr:uid="{00000000-0005-0000-0000-000084840000}"/>
    <cellStyle name="Output 38 2 3" xfId="33927" xr:uid="{00000000-0005-0000-0000-000085840000}"/>
    <cellStyle name="Output 38 2 3 2" xfId="33928" xr:uid="{00000000-0005-0000-0000-000086840000}"/>
    <cellStyle name="Output 38 2 3 2 2" xfId="33929" xr:uid="{00000000-0005-0000-0000-000087840000}"/>
    <cellStyle name="Output 38 2 3 2 3" xfId="33930" xr:uid="{00000000-0005-0000-0000-000088840000}"/>
    <cellStyle name="Output 38 2 3 3" xfId="33931" xr:uid="{00000000-0005-0000-0000-000089840000}"/>
    <cellStyle name="Output 38 2 3 4" xfId="33932" xr:uid="{00000000-0005-0000-0000-00008A840000}"/>
    <cellStyle name="Output 38 2 4" xfId="33933" xr:uid="{00000000-0005-0000-0000-00008B840000}"/>
    <cellStyle name="Output 38 2 4 2" xfId="33934" xr:uid="{00000000-0005-0000-0000-00008C840000}"/>
    <cellStyle name="Output 38 2 4 2 2" xfId="33935" xr:uid="{00000000-0005-0000-0000-00008D840000}"/>
    <cellStyle name="Output 38 2 4 2 3" xfId="33936" xr:uid="{00000000-0005-0000-0000-00008E840000}"/>
    <cellStyle name="Output 38 2 4 3" xfId="33937" xr:uid="{00000000-0005-0000-0000-00008F840000}"/>
    <cellStyle name="Output 38 2 4 4" xfId="33938" xr:uid="{00000000-0005-0000-0000-000090840000}"/>
    <cellStyle name="Output 38 2 5" xfId="33939" xr:uid="{00000000-0005-0000-0000-000091840000}"/>
    <cellStyle name="Output 38 2 5 2" xfId="33940" xr:uid="{00000000-0005-0000-0000-000092840000}"/>
    <cellStyle name="Output 38 2 5 2 2" xfId="33941" xr:uid="{00000000-0005-0000-0000-000093840000}"/>
    <cellStyle name="Output 38 2 5 2 3" xfId="33942" xr:uid="{00000000-0005-0000-0000-000094840000}"/>
    <cellStyle name="Output 38 2 5 3" xfId="33943" xr:uid="{00000000-0005-0000-0000-000095840000}"/>
    <cellStyle name="Output 38 2 5 4" xfId="33944" xr:uid="{00000000-0005-0000-0000-000096840000}"/>
    <cellStyle name="Output 38 2 6" xfId="33945" xr:uid="{00000000-0005-0000-0000-000097840000}"/>
    <cellStyle name="Output 38 2 6 2" xfId="33946" xr:uid="{00000000-0005-0000-0000-000098840000}"/>
    <cellStyle name="Output 38 2 6 2 2" xfId="33947" xr:uid="{00000000-0005-0000-0000-000099840000}"/>
    <cellStyle name="Output 38 2 6 2 3" xfId="33948" xr:uid="{00000000-0005-0000-0000-00009A840000}"/>
    <cellStyle name="Output 38 2 6 3" xfId="33949" xr:uid="{00000000-0005-0000-0000-00009B840000}"/>
    <cellStyle name="Output 38 2 6 4" xfId="33950" xr:uid="{00000000-0005-0000-0000-00009C840000}"/>
    <cellStyle name="Output 38 2 7" xfId="33951" xr:uid="{00000000-0005-0000-0000-00009D840000}"/>
    <cellStyle name="Output 38 2 7 2" xfId="33952" xr:uid="{00000000-0005-0000-0000-00009E840000}"/>
    <cellStyle name="Output 38 2 7 2 2" xfId="33953" xr:uid="{00000000-0005-0000-0000-00009F840000}"/>
    <cellStyle name="Output 38 2 7 2 3" xfId="33954" xr:uid="{00000000-0005-0000-0000-0000A0840000}"/>
    <cellStyle name="Output 38 2 7 3" xfId="33955" xr:uid="{00000000-0005-0000-0000-0000A1840000}"/>
    <cellStyle name="Output 38 2 7 4" xfId="33956" xr:uid="{00000000-0005-0000-0000-0000A2840000}"/>
    <cellStyle name="Output 38 2 8" xfId="33957" xr:uid="{00000000-0005-0000-0000-0000A3840000}"/>
    <cellStyle name="Output 38 2 8 2" xfId="33958" xr:uid="{00000000-0005-0000-0000-0000A4840000}"/>
    <cellStyle name="Output 38 2 8 2 2" xfId="33959" xr:uid="{00000000-0005-0000-0000-0000A5840000}"/>
    <cellStyle name="Output 38 2 8 2 3" xfId="33960" xr:uid="{00000000-0005-0000-0000-0000A6840000}"/>
    <cellStyle name="Output 38 2 8 3" xfId="33961" xr:uid="{00000000-0005-0000-0000-0000A7840000}"/>
    <cellStyle name="Output 38 2 8 4" xfId="33962" xr:uid="{00000000-0005-0000-0000-0000A8840000}"/>
    <cellStyle name="Output 38 2 9" xfId="33963" xr:uid="{00000000-0005-0000-0000-0000A9840000}"/>
    <cellStyle name="Output 38 2 9 2" xfId="33964" xr:uid="{00000000-0005-0000-0000-0000AA840000}"/>
    <cellStyle name="Output 38 2 9 2 2" xfId="33965" xr:uid="{00000000-0005-0000-0000-0000AB840000}"/>
    <cellStyle name="Output 38 2 9 2 3" xfId="33966" xr:uid="{00000000-0005-0000-0000-0000AC840000}"/>
    <cellStyle name="Output 38 2 9 3" xfId="33967" xr:uid="{00000000-0005-0000-0000-0000AD840000}"/>
    <cellStyle name="Output 38 2 9 4" xfId="33968" xr:uid="{00000000-0005-0000-0000-0000AE840000}"/>
    <cellStyle name="Output 38 3" xfId="33969" xr:uid="{00000000-0005-0000-0000-0000AF840000}"/>
    <cellStyle name="Output 38 3 2" xfId="33970" xr:uid="{00000000-0005-0000-0000-0000B0840000}"/>
    <cellStyle name="Output 38 3 2 2" xfId="33971" xr:uid="{00000000-0005-0000-0000-0000B1840000}"/>
    <cellStyle name="Output 38 3 2 3" xfId="33972" xr:uid="{00000000-0005-0000-0000-0000B2840000}"/>
    <cellStyle name="Output 38 3 3" xfId="33973" xr:uid="{00000000-0005-0000-0000-0000B3840000}"/>
    <cellStyle name="Output 38 3 4" xfId="33974" xr:uid="{00000000-0005-0000-0000-0000B4840000}"/>
    <cellStyle name="Output 38 4" xfId="33975" xr:uid="{00000000-0005-0000-0000-0000B5840000}"/>
    <cellStyle name="Output 38 5" xfId="33976" xr:uid="{00000000-0005-0000-0000-0000B6840000}"/>
    <cellStyle name="Output 39" xfId="33977" xr:uid="{00000000-0005-0000-0000-0000B7840000}"/>
    <cellStyle name="Output 39 2" xfId="33978" xr:uid="{00000000-0005-0000-0000-0000B8840000}"/>
    <cellStyle name="Output 39 2 10" xfId="33979" xr:uid="{00000000-0005-0000-0000-0000B9840000}"/>
    <cellStyle name="Output 39 2 10 2" xfId="33980" xr:uid="{00000000-0005-0000-0000-0000BA840000}"/>
    <cellStyle name="Output 39 2 10 2 2" xfId="33981" xr:uid="{00000000-0005-0000-0000-0000BB840000}"/>
    <cellStyle name="Output 39 2 10 2 3" xfId="33982" xr:uid="{00000000-0005-0000-0000-0000BC840000}"/>
    <cellStyle name="Output 39 2 10 3" xfId="33983" xr:uid="{00000000-0005-0000-0000-0000BD840000}"/>
    <cellStyle name="Output 39 2 10 4" xfId="33984" xr:uid="{00000000-0005-0000-0000-0000BE840000}"/>
    <cellStyle name="Output 39 2 11" xfId="33985" xr:uid="{00000000-0005-0000-0000-0000BF840000}"/>
    <cellStyle name="Output 39 2 11 2" xfId="33986" xr:uid="{00000000-0005-0000-0000-0000C0840000}"/>
    <cellStyle name="Output 39 2 11 2 2" xfId="33987" xr:uid="{00000000-0005-0000-0000-0000C1840000}"/>
    <cellStyle name="Output 39 2 11 2 3" xfId="33988" xr:uid="{00000000-0005-0000-0000-0000C2840000}"/>
    <cellStyle name="Output 39 2 11 3" xfId="33989" xr:uid="{00000000-0005-0000-0000-0000C3840000}"/>
    <cellStyle name="Output 39 2 11 4" xfId="33990" xr:uid="{00000000-0005-0000-0000-0000C4840000}"/>
    <cellStyle name="Output 39 2 12" xfId="33991" xr:uid="{00000000-0005-0000-0000-0000C5840000}"/>
    <cellStyle name="Output 39 2 12 2" xfId="33992" xr:uid="{00000000-0005-0000-0000-0000C6840000}"/>
    <cellStyle name="Output 39 2 12 2 2" xfId="33993" xr:uid="{00000000-0005-0000-0000-0000C7840000}"/>
    <cellStyle name="Output 39 2 12 2 3" xfId="33994" xr:uid="{00000000-0005-0000-0000-0000C8840000}"/>
    <cellStyle name="Output 39 2 12 3" xfId="33995" xr:uid="{00000000-0005-0000-0000-0000C9840000}"/>
    <cellStyle name="Output 39 2 12 4" xfId="33996" xr:uid="{00000000-0005-0000-0000-0000CA840000}"/>
    <cellStyle name="Output 39 2 13" xfId="33997" xr:uid="{00000000-0005-0000-0000-0000CB840000}"/>
    <cellStyle name="Output 39 2 13 2" xfId="33998" xr:uid="{00000000-0005-0000-0000-0000CC840000}"/>
    <cellStyle name="Output 39 2 13 2 2" xfId="33999" xr:uid="{00000000-0005-0000-0000-0000CD840000}"/>
    <cellStyle name="Output 39 2 13 2 3" xfId="34000" xr:uid="{00000000-0005-0000-0000-0000CE840000}"/>
    <cellStyle name="Output 39 2 13 3" xfId="34001" xr:uid="{00000000-0005-0000-0000-0000CF840000}"/>
    <cellStyle name="Output 39 2 13 4" xfId="34002" xr:uid="{00000000-0005-0000-0000-0000D0840000}"/>
    <cellStyle name="Output 39 2 14" xfId="34003" xr:uid="{00000000-0005-0000-0000-0000D1840000}"/>
    <cellStyle name="Output 39 2 14 2" xfId="34004" xr:uid="{00000000-0005-0000-0000-0000D2840000}"/>
    <cellStyle name="Output 39 2 14 2 2" xfId="34005" xr:uid="{00000000-0005-0000-0000-0000D3840000}"/>
    <cellStyle name="Output 39 2 14 2 3" xfId="34006" xr:uid="{00000000-0005-0000-0000-0000D4840000}"/>
    <cellStyle name="Output 39 2 14 3" xfId="34007" xr:uid="{00000000-0005-0000-0000-0000D5840000}"/>
    <cellStyle name="Output 39 2 14 4" xfId="34008" xr:uid="{00000000-0005-0000-0000-0000D6840000}"/>
    <cellStyle name="Output 39 2 15" xfId="34009" xr:uid="{00000000-0005-0000-0000-0000D7840000}"/>
    <cellStyle name="Output 39 2 15 2" xfId="34010" xr:uid="{00000000-0005-0000-0000-0000D8840000}"/>
    <cellStyle name="Output 39 2 15 2 2" xfId="34011" xr:uid="{00000000-0005-0000-0000-0000D9840000}"/>
    <cellStyle name="Output 39 2 15 2 3" xfId="34012" xr:uid="{00000000-0005-0000-0000-0000DA840000}"/>
    <cellStyle name="Output 39 2 15 3" xfId="34013" xr:uid="{00000000-0005-0000-0000-0000DB840000}"/>
    <cellStyle name="Output 39 2 15 4" xfId="34014" xr:uid="{00000000-0005-0000-0000-0000DC840000}"/>
    <cellStyle name="Output 39 2 16" xfId="34015" xr:uid="{00000000-0005-0000-0000-0000DD840000}"/>
    <cellStyle name="Output 39 2 16 2" xfId="34016" xr:uid="{00000000-0005-0000-0000-0000DE840000}"/>
    <cellStyle name="Output 39 2 16 2 2" xfId="34017" xr:uid="{00000000-0005-0000-0000-0000DF840000}"/>
    <cellStyle name="Output 39 2 16 2 3" xfId="34018" xr:uid="{00000000-0005-0000-0000-0000E0840000}"/>
    <cellStyle name="Output 39 2 16 3" xfId="34019" xr:uid="{00000000-0005-0000-0000-0000E1840000}"/>
    <cellStyle name="Output 39 2 16 4" xfId="34020" xr:uid="{00000000-0005-0000-0000-0000E2840000}"/>
    <cellStyle name="Output 39 2 17" xfId="34021" xr:uid="{00000000-0005-0000-0000-0000E3840000}"/>
    <cellStyle name="Output 39 2 17 2" xfId="34022" xr:uid="{00000000-0005-0000-0000-0000E4840000}"/>
    <cellStyle name="Output 39 2 17 2 2" xfId="34023" xr:uid="{00000000-0005-0000-0000-0000E5840000}"/>
    <cellStyle name="Output 39 2 17 2 3" xfId="34024" xr:uid="{00000000-0005-0000-0000-0000E6840000}"/>
    <cellStyle name="Output 39 2 17 3" xfId="34025" xr:uid="{00000000-0005-0000-0000-0000E7840000}"/>
    <cellStyle name="Output 39 2 17 4" xfId="34026" xr:uid="{00000000-0005-0000-0000-0000E8840000}"/>
    <cellStyle name="Output 39 2 18" xfId="34027" xr:uid="{00000000-0005-0000-0000-0000E9840000}"/>
    <cellStyle name="Output 39 2 18 2" xfId="34028" xr:uid="{00000000-0005-0000-0000-0000EA840000}"/>
    <cellStyle name="Output 39 2 18 3" xfId="34029" xr:uid="{00000000-0005-0000-0000-0000EB840000}"/>
    <cellStyle name="Output 39 2 18 4" xfId="34030" xr:uid="{00000000-0005-0000-0000-0000EC840000}"/>
    <cellStyle name="Output 39 2 19" xfId="34031" xr:uid="{00000000-0005-0000-0000-0000ED840000}"/>
    <cellStyle name="Output 39 2 2" xfId="34032" xr:uid="{00000000-0005-0000-0000-0000EE840000}"/>
    <cellStyle name="Output 39 2 2 2" xfId="34033" xr:uid="{00000000-0005-0000-0000-0000EF840000}"/>
    <cellStyle name="Output 39 2 2 2 2" xfId="34034" xr:uid="{00000000-0005-0000-0000-0000F0840000}"/>
    <cellStyle name="Output 39 2 2 2 3" xfId="34035" xr:uid="{00000000-0005-0000-0000-0000F1840000}"/>
    <cellStyle name="Output 39 2 2 3" xfId="34036" xr:uid="{00000000-0005-0000-0000-0000F2840000}"/>
    <cellStyle name="Output 39 2 2 4" xfId="34037" xr:uid="{00000000-0005-0000-0000-0000F3840000}"/>
    <cellStyle name="Output 39 2 20" xfId="34038" xr:uid="{00000000-0005-0000-0000-0000F4840000}"/>
    <cellStyle name="Output 39 2 21" xfId="34039" xr:uid="{00000000-0005-0000-0000-0000F5840000}"/>
    <cellStyle name="Output 39 2 3" xfId="34040" xr:uid="{00000000-0005-0000-0000-0000F6840000}"/>
    <cellStyle name="Output 39 2 3 2" xfId="34041" xr:uid="{00000000-0005-0000-0000-0000F7840000}"/>
    <cellStyle name="Output 39 2 3 2 2" xfId="34042" xr:uid="{00000000-0005-0000-0000-0000F8840000}"/>
    <cellStyle name="Output 39 2 3 2 3" xfId="34043" xr:uid="{00000000-0005-0000-0000-0000F9840000}"/>
    <cellStyle name="Output 39 2 3 3" xfId="34044" xr:uid="{00000000-0005-0000-0000-0000FA840000}"/>
    <cellStyle name="Output 39 2 3 4" xfId="34045" xr:uid="{00000000-0005-0000-0000-0000FB840000}"/>
    <cellStyle name="Output 39 2 4" xfId="34046" xr:uid="{00000000-0005-0000-0000-0000FC840000}"/>
    <cellStyle name="Output 39 2 4 2" xfId="34047" xr:uid="{00000000-0005-0000-0000-0000FD840000}"/>
    <cellStyle name="Output 39 2 4 2 2" xfId="34048" xr:uid="{00000000-0005-0000-0000-0000FE840000}"/>
    <cellStyle name="Output 39 2 4 2 3" xfId="34049" xr:uid="{00000000-0005-0000-0000-0000FF840000}"/>
    <cellStyle name="Output 39 2 4 3" xfId="34050" xr:uid="{00000000-0005-0000-0000-000000850000}"/>
    <cellStyle name="Output 39 2 4 4" xfId="34051" xr:uid="{00000000-0005-0000-0000-000001850000}"/>
    <cellStyle name="Output 39 2 5" xfId="34052" xr:uid="{00000000-0005-0000-0000-000002850000}"/>
    <cellStyle name="Output 39 2 5 2" xfId="34053" xr:uid="{00000000-0005-0000-0000-000003850000}"/>
    <cellStyle name="Output 39 2 5 2 2" xfId="34054" xr:uid="{00000000-0005-0000-0000-000004850000}"/>
    <cellStyle name="Output 39 2 5 2 3" xfId="34055" xr:uid="{00000000-0005-0000-0000-000005850000}"/>
    <cellStyle name="Output 39 2 5 3" xfId="34056" xr:uid="{00000000-0005-0000-0000-000006850000}"/>
    <cellStyle name="Output 39 2 5 4" xfId="34057" xr:uid="{00000000-0005-0000-0000-000007850000}"/>
    <cellStyle name="Output 39 2 6" xfId="34058" xr:uid="{00000000-0005-0000-0000-000008850000}"/>
    <cellStyle name="Output 39 2 6 2" xfId="34059" xr:uid="{00000000-0005-0000-0000-000009850000}"/>
    <cellStyle name="Output 39 2 6 2 2" xfId="34060" xr:uid="{00000000-0005-0000-0000-00000A850000}"/>
    <cellStyle name="Output 39 2 6 2 3" xfId="34061" xr:uid="{00000000-0005-0000-0000-00000B850000}"/>
    <cellStyle name="Output 39 2 6 3" xfId="34062" xr:uid="{00000000-0005-0000-0000-00000C850000}"/>
    <cellStyle name="Output 39 2 6 4" xfId="34063" xr:uid="{00000000-0005-0000-0000-00000D850000}"/>
    <cellStyle name="Output 39 2 7" xfId="34064" xr:uid="{00000000-0005-0000-0000-00000E850000}"/>
    <cellStyle name="Output 39 2 7 2" xfId="34065" xr:uid="{00000000-0005-0000-0000-00000F850000}"/>
    <cellStyle name="Output 39 2 7 2 2" xfId="34066" xr:uid="{00000000-0005-0000-0000-000010850000}"/>
    <cellStyle name="Output 39 2 7 2 3" xfId="34067" xr:uid="{00000000-0005-0000-0000-000011850000}"/>
    <cellStyle name="Output 39 2 7 3" xfId="34068" xr:uid="{00000000-0005-0000-0000-000012850000}"/>
    <cellStyle name="Output 39 2 7 4" xfId="34069" xr:uid="{00000000-0005-0000-0000-000013850000}"/>
    <cellStyle name="Output 39 2 8" xfId="34070" xr:uid="{00000000-0005-0000-0000-000014850000}"/>
    <cellStyle name="Output 39 2 8 2" xfId="34071" xr:uid="{00000000-0005-0000-0000-000015850000}"/>
    <cellStyle name="Output 39 2 8 2 2" xfId="34072" xr:uid="{00000000-0005-0000-0000-000016850000}"/>
    <cellStyle name="Output 39 2 8 2 3" xfId="34073" xr:uid="{00000000-0005-0000-0000-000017850000}"/>
    <cellStyle name="Output 39 2 8 3" xfId="34074" xr:uid="{00000000-0005-0000-0000-000018850000}"/>
    <cellStyle name="Output 39 2 8 4" xfId="34075" xr:uid="{00000000-0005-0000-0000-000019850000}"/>
    <cellStyle name="Output 39 2 9" xfId="34076" xr:uid="{00000000-0005-0000-0000-00001A850000}"/>
    <cellStyle name="Output 39 2 9 2" xfId="34077" xr:uid="{00000000-0005-0000-0000-00001B850000}"/>
    <cellStyle name="Output 39 2 9 2 2" xfId="34078" xr:uid="{00000000-0005-0000-0000-00001C850000}"/>
    <cellStyle name="Output 39 2 9 2 3" xfId="34079" xr:uid="{00000000-0005-0000-0000-00001D850000}"/>
    <cellStyle name="Output 39 2 9 3" xfId="34080" xr:uid="{00000000-0005-0000-0000-00001E850000}"/>
    <cellStyle name="Output 39 2 9 4" xfId="34081" xr:uid="{00000000-0005-0000-0000-00001F850000}"/>
    <cellStyle name="Output 39 3" xfId="34082" xr:uid="{00000000-0005-0000-0000-000020850000}"/>
    <cellStyle name="Output 39 3 2" xfId="34083" xr:uid="{00000000-0005-0000-0000-000021850000}"/>
    <cellStyle name="Output 39 3 2 2" xfId="34084" xr:uid="{00000000-0005-0000-0000-000022850000}"/>
    <cellStyle name="Output 39 3 2 3" xfId="34085" xr:uid="{00000000-0005-0000-0000-000023850000}"/>
    <cellStyle name="Output 39 3 3" xfId="34086" xr:uid="{00000000-0005-0000-0000-000024850000}"/>
    <cellStyle name="Output 39 3 4" xfId="34087" xr:uid="{00000000-0005-0000-0000-000025850000}"/>
    <cellStyle name="Output 39 4" xfId="34088" xr:uid="{00000000-0005-0000-0000-000026850000}"/>
    <cellStyle name="Output 39 5" xfId="34089" xr:uid="{00000000-0005-0000-0000-000027850000}"/>
    <cellStyle name="Output 4" xfId="34090" xr:uid="{00000000-0005-0000-0000-000028850000}"/>
    <cellStyle name="Output 4 2" xfId="34091" xr:uid="{00000000-0005-0000-0000-000029850000}"/>
    <cellStyle name="Output 4 2 10" xfId="34092" xr:uid="{00000000-0005-0000-0000-00002A850000}"/>
    <cellStyle name="Output 4 2 10 2" xfId="34093" xr:uid="{00000000-0005-0000-0000-00002B850000}"/>
    <cellStyle name="Output 4 2 10 2 2" xfId="34094" xr:uid="{00000000-0005-0000-0000-00002C850000}"/>
    <cellStyle name="Output 4 2 10 2 3" xfId="34095" xr:uid="{00000000-0005-0000-0000-00002D850000}"/>
    <cellStyle name="Output 4 2 10 3" xfId="34096" xr:uid="{00000000-0005-0000-0000-00002E850000}"/>
    <cellStyle name="Output 4 2 10 4" xfId="34097" xr:uid="{00000000-0005-0000-0000-00002F850000}"/>
    <cellStyle name="Output 4 2 11" xfId="34098" xr:uid="{00000000-0005-0000-0000-000030850000}"/>
    <cellStyle name="Output 4 2 11 2" xfId="34099" xr:uid="{00000000-0005-0000-0000-000031850000}"/>
    <cellStyle name="Output 4 2 11 2 2" xfId="34100" xr:uid="{00000000-0005-0000-0000-000032850000}"/>
    <cellStyle name="Output 4 2 11 2 3" xfId="34101" xr:uid="{00000000-0005-0000-0000-000033850000}"/>
    <cellStyle name="Output 4 2 11 3" xfId="34102" xr:uid="{00000000-0005-0000-0000-000034850000}"/>
    <cellStyle name="Output 4 2 11 4" xfId="34103" xr:uid="{00000000-0005-0000-0000-000035850000}"/>
    <cellStyle name="Output 4 2 12" xfId="34104" xr:uid="{00000000-0005-0000-0000-000036850000}"/>
    <cellStyle name="Output 4 2 12 2" xfId="34105" xr:uid="{00000000-0005-0000-0000-000037850000}"/>
    <cellStyle name="Output 4 2 12 2 2" xfId="34106" xr:uid="{00000000-0005-0000-0000-000038850000}"/>
    <cellStyle name="Output 4 2 12 2 3" xfId="34107" xr:uid="{00000000-0005-0000-0000-000039850000}"/>
    <cellStyle name="Output 4 2 12 3" xfId="34108" xr:uid="{00000000-0005-0000-0000-00003A850000}"/>
    <cellStyle name="Output 4 2 12 4" xfId="34109" xr:uid="{00000000-0005-0000-0000-00003B850000}"/>
    <cellStyle name="Output 4 2 13" xfId="34110" xr:uid="{00000000-0005-0000-0000-00003C850000}"/>
    <cellStyle name="Output 4 2 13 2" xfId="34111" xr:uid="{00000000-0005-0000-0000-00003D850000}"/>
    <cellStyle name="Output 4 2 13 2 2" xfId="34112" xr:uid="{00000000-0005-0000-0000-00003E850000}"/>
    <cellStyle name="Output 4 2 13 2 3" xfId="34113" xr:uid="{00000000-0005-0000-0000-00003F850000}"/>
    <cellStyle name="Output 4 2 13 3" xfId="34114" xr:uid="{00000000-0005-0000-0000-000040850000}"/>
    <cellStyle name="Output 4 2 13 4" xfId="34115" xr:uid="{00000000-0005-0000-0000-000041850000}"/>
    <cellStyle name="Output 4 2 14" xfId="34116" xr:uid="{00000000-0005-0000-0000-000042850000}"/>
    <cellStyle name="Output 4 2 14 2" xfId="34117" xr:uid="{00000000-0005-0000-0000-000043850000}"/>
    <cellStyle name="Output 4 2 14 2 2" xfId="34118" xr:uid="{00000000-0005-0000-0000-000044850000}"/>
    <cellStyle name="Output 4 2 14 2 3" xfId="34119" xr:uid="{00000000-0005-0000-0000-000045850000}"/>
    <cellStyle name="Output 4 2 14 3" xfId="34120" xr:uid="{00000000-0005-0000-0000-000046850000}"/>
    <cellStyle name="Output 4 2 14 4" xfId="34121" xr:uid="{00000000-0005-0000-0000-000047850000}"/>
    <cellStyle name="Output 4 2 15" xfId="34122" xr:uid="{00000000-0005-0000-0000-000048850000}"/>
    <cellStyle name="Output 4 2 15 2" xfId="34123" xr:uid="{00000000-0005-0000-0000-000049850000}"/>
    <cellStyle name="Output 4 2 15 2 2" xfId="34124" xr:uid="{00000000-0005-0000-0000-00004A850000}"/>
    <cellStyle name="Output 4 2 15 2 3" xfId="34125" xr:uid="{00000000-0005-0000-0000-00004B850000}"/>
    <cellStyle name="Output 4 2 15 3" xfId="34126" xr:uid="{00000000-0005-0000-0000-00004C850000}"/>
    <cellStyle name="Output 4 2 15 4" xfId="34127" xr:uid="{00000000-0005-0000-0000-00004D850000}"/>
    <cellStyle name="Output 4 2 16" xfId="34128" xr:uid="{00000000-0005-0000-0000-00004E850000}"/>
    <cellStyle name="Output 4 2 16 2" xfId="34129" xr:uid="{00000000-0005-0000-0000-00004F850000}"/>
    <cellStyle name="Output 4 2 16 2 2" xfId="34130" xr:uid="{00000000-0005-0000-0000-000050850000}"/>
    <cellStyle name="Output 4 2 16 2 3" xfId="34131" xr:uid="{00000000-0005-0000-0000-000051850000}"/>
    <cellStyle name="Output 4 2 16 3" xfId="34132" xr:uid="{00000000-0005-0000-0000-000052850000}"/>
    <cellStyle name="Output 4 2 16 4" xfId="34133" xr:uid="{00000000-0005-0000-0000-000053850000}"/>
    <cellStyle name="Output 4 2 17" xfId="34134" xr:uid="{00000000-0005-0000-0000-000054850000}"/>
    <cellStyle name="Output 4 2 17 2" xfId="34135" xr:uid="{00000000-0005-0000-0000-000055850000}"/>
    <cellStyle name="Output 4 2 17 2 2" xfId="34136" xr:uid="{00000000-0005-0000-0000-000056850000}"/>
    <cellStyle name="Output 4 2 17 2 3" xfId="34137" xr:uid="{00000000-0005-0000-0000-000057850000}"/>
    <cellStyle name="Output 4 2 17 3" xfId="34138" xr:uid="{00000000-0005-0000-0000-000058850000}"/>
    <cellStyle name="Output 4 2 17 4" xfId="34139" xr:uid="{00000000-0005-0000-0000-000059850000}"/>
    <cellStyle name="Output 4 2 18" xfId="34140" xr:uid="{00000000-0005-0000-0000-00005A850000}"/>
    <cellStyle name="Output 4 2 18 2" xfId="34141" xr:uid="{00000000-0005-0000-0000-00005B850000}"/>
    <cellStyle name="Output 4 2 18 3" xfId="34142" xr:uid="{00000000-0005-0000-0000-00005C850000}"/>
    <cellStyle name="Output 4 2 18 4" xfId="34143" xr:uid="{00000000-0005-0000-0000-00005D850000}"/>
    <cellStyle name="Output 4 2 19" xfId="34144" xr:uid="{00000000-0005-0000-0000-00005E850000}"/>
    <cellStyle name="Output 4 2 2" xfId="34145" xr:uid="{00000000-0005-0000-0000-00005F850000}"/>
    <cellStyle name="Output 4 2 2 2" xfId="34146" xr:uid="{00000000-0005-0000-0000-000060850000}"/>
    <cellStyle name="Output 4 2 2 2 2" xfId="34147" xr:uid="{00000000-0005-0000-0000-000061850000}"/>
    <cellStyle name="Output 4 2 2 2 3" xfId="34148" xr:uid="{00000000-0005-0000-0000-000062850000}"/>
    <cellStyle name="Output 4 2 2 3" xfId="34149" xr:uid="{00000000-0005-0000-0000-000063850000}"/>
    <cellStyle name="Output 4 2 2 4" xfId="34150" xr:uid="{00000000-0005-0000-0000-000064850000}"/>
    <cellStyle name="Output 4 2 20" xfId="34151" xr:uid="{00000000-0005-0000-0000-000065850000}"/>
    <cellStyle name="Output 4 2 21" xfId="34152" xr:uid="{00000000-0005-0000-0000-000066850000}"/>
    <cellStyle name="Output 4 2 3" xfId="34153" xr:uid="{00000000-0005-0000-0000-000067850000}"/>
    <cellStyle name="Output 4 2 3 2" xfId="34154" xr:uid="{00000000-0005-0000-0000-000068850000}"/>
    <cellStyle name="Output 4 2 3 2 2" xfId="34155" xr:uid="{00000000-0005-0000-0000-000069850000}"/>
    <cellStyle name="Output 4 2 3 2 3" xfId="34156" xr:uid="{00000000-0005-0000-0000-00006A850000}"/>
    <cellStyle name="Output 4 2 3 3" xfId="34157" xr:uid="{00000000-0005-0000-0000-00006B850000}"/>
    <cellStyle name="Output 4 2 3 4" xfId="34158" xr:uid="{00000000-0005-0000-0000-00006C850000}"/>
    <cellStyle name="Output 4 2 4" xfId="34159" xr:uid="{00000000-0005-0000-0000-00006D850000}"/>
    <cellStyle name="Output 4 2 4 2" xfId="34160" xr:uid="{00000000-0005-0000-0000-00006E850000}"/>
    <cellStyle name="Output 4 2 4 2 2" xfId="34161" xr:uid="{00000000-0005-0000-0000-00006F850000}"/>
    <cellStyle name="Output 4 2 4 2 3" xfId="34162" xr:uid="{00000000-0005-0000-0000-000070850000}"/>
    <cellStyle name="Output 4 2 4 3" xfId="34163" xr:uid="{00000000-0005-0000-0000-000071850000}"/>
    <cellStyle name="Output 4 2 4 4" xfId="34164" xr:uid="{00000000-0005-0000-0000-000072850000}"/>
    <cellStyle name="Output 4 2 5" xfId="34165" xr:uid="{00000000-0005-0000-0000-000073850000}"/>
    <cellStyle name="Output 4 2 5 2" xfId="34166" xr:uid="{00000000-0005-0000-0000-000074850000}"/>
    <cellStyle name="Output 4 2 5 2 2" xfId="34167" xr:uid="{00000000-0005-0000-0000-000075850000}"/>
    <cellStyle name="Output 4 2 5 2 3" xfId="34168" xr:uid="{00000000-0005-0000-0000-000076850000}"/>
    <cellStyle name="Output 4 2 5 3" xfId="34169" xr:uid="{00000000-0005-0000-0000-000077850000}"/>
    <cellStyle name="Output 4 2 5 4" xfId="34170" xr:uid="{00000000-0005-0000-0000-000078850000}"/>
    <cellStyle name="Output 4 2 6" xfId="34171" xr:uid="{00000000-0005-0000-0000-000079850000}"/>
    <cellStyle name="Output 4 2 6 2" xfId="34172" xr:uid="{00000000-0005-0000-0000-00007A850000}"/>
    <cellStyle name="Output 4 2 6 2 2" xfId="34173" xr:uid="{00000000-0005-0000-0000-00007B850000}"/>
    <cellStyle name="Output 4 2 6 2 3" xfId="34174" xr:uid="{00000000-0005-0000-0000-00007C850000}"/>
    <cellStyle name="Output 4 2 6 3" xfId="34175" xr:uid="{00000000-0005-0000-0000-00007D850000}"/>
    <cellStyle name="Output 4 2 6 4" xfId="34176" xr:uid="{00000000-0005-0000-0000-00007E850000}"/>
    <cellStyle name="Output 4 2 7" xfId="34177" xr:uid="{00000000-0005-0000-0000-00007F850000}"/>
    <cellStyle name="Output 4 2 7 2" xfId="34178" xr:uid="{00000000-0005-0000-0000-000080850000}"/>
    <cellStyle name="Output 4 2 7 2 2" xfId="34179" xr:uid="{00000000-0005-0000-0000-000081850000}"/>
    <cellStyle name="Output 4 2 7 2 3" xfId="34180" xr:uid="{00000000-0005-0000-0000-000082850000}"/>
    <cellStyle name="Output 4 2 7 3" xfId="34181" xr:uid="{00000000-0005-0000-0000-000083850000}"/>
    <cellStyle name="Output 4 2 7 4" xfId="34182" xr:uid="{00000000-0005-0000-0000-000084850000}"/>
    <cellStyle name="Output 4 2 8" xfId="34183" xr:uid="{00000000-0005-0000-0000-000085850000}"/>
    <cellStyle name="Output 4 2 8 2" xfId="34184" xr:uid="{00000000-0005-0000-0000-000086850000}"/>
    <cellStyle name="Output 4 2 8 2 2" xfId="34185" xr:uid="{00000000-0005-0000-0000-000087850000}"/>
    <cellStyle name="Output 4 2 8 2 3" xfId="34186" xr:uid="{00000000-0005-0000-0000-000088850000}"/>
    <cellStyle name="Output 4 2 8 3" xfId="34187" xr:uid="{00000000-0005-0000-0000-000089850000}"/>
    <cellStyle name="Output 4 2 8 4" xfId="34188" xr:uid="{00000000-0005-0000-0000-00008A850000}"/>
    <cellStyle name="Output 4 2 9" xfId="34189" xr:uid="{00000000-0005-0000-0000-00008B850000}"/>
    <cellStyle name="Output 4 2 9 2" xfId="34190" xr:uid="{00000000-0005-0000-0000-00008C850000}"/>
    <cellStyle name="Output 4 2 9 2 2" xfId="34191" xr:uid="{00000000-0005-0000-0000-00008D850000}"/>
    <cellStyle name="Output 4 2 9 2 3" xfId="34192" xr:uid="{00000000-0005-0000-0000-00008E850000}"/>
    <cellStyle name="Output 4 2 9 3" xfId="34193" xr:uid="{00000000-0005-0000-0000-00008F850000}"/>
    <cellStyle name="Output 4 2 9 4" xfId="34194" xr:uid="{00000000-0005-0000-0000-000090850000}"/>
    <cellStyle name="Output 4 3" xfId="34195" xr:uid="{00000000-0005-0000-0000-000091850000}"/>
    <cellStyle name="Output 4 3 2" xfId="34196" xr:uid="{00000000-0005-0000-0000-000092850000}"/>
    <cellStyle name="Output 4 3 2 2" xfId="34197" xr:uid="{00000000-0005-0000-0000-000093850000}"/>
    <cellStyle name="Output 4 3 2 3" xfId="34198" xr:uid="{00000000-0005-0000-0000-000094850000}"/>
    <cellStyle name="Output 4 3 3" xfId="34199" xr:uid="{00000000-0005-0000-0000-000095850000}"/>
    <cellStyle name="Output 4 3 4" xfId="34200" xr:uid="{00000000-0005-0000-0000-000096850000}"/>
    <cellStyle name="Output 4 4" xfId="34201" xr:uid="{00000000-0005-0000-0000-000097850000}"/>
    <cellStyle name="Output 4 5" xfId="34202" xr:uid="{00000000-0005-0000-0000-000098850000}"/>
    <cellStyle name="Output 40" xfId="34203" xr:uid="{00000000-0005-0000-0000-000099850000}"/>
    <cellStyle name="Output 40 2" xfId="34204" xr:uid="{00000000-0005-0000-0000-00009A850000}"/>
    <cellStyle name="Output 40 2 10" xfId="34205" xr:uid="{00000000-0005-0000-0000-00009B850000}"/>
    <cellStyle name="Output 40 2 10 2" xfId="34206" xr:uid="{00000000-0005-0000-0000-00009C850000}"/>
    <cellStyle name="Output 40 2 10 2 2" xfId="34207" xr:uid="{00000000-0005-0000-0000-00009D850000}"/>
    <cellStyle name="Output 40 2 10 2 3" xfId="34208" xr:uid="{00000000-0005-0000-0000-00009E850000}"/>
    <cellStyle name="Output 40 2 10 3" xfId="34209" xr:uid="{00000000-0005-0000-0000-00009F850000}"/>
    <cellStyle name="Output 40 2 10 4" xfId="34210" xr:uid="{00000000-0005-0000-0000-0000A0850000}"/>
    <cellStyle name="Output 40 2 11" xfId="34211" xr:uid="{00000000-0005-0000-0000-0000A1850000}"/>
    <cellStyle name="Output 40 2 11 2" xfId="34212" xr:uid="{00000000-0005-0000-0000-0000A2850000}"/>
    <cellStyle name="Output 40 2 11 2 2" xfId="34213" xr:uid="{00000000-0005-0000-0000-0000A3850000}"/>
    <cellStyle name="Output 40 2 11 2 3" xfId="34214" xr:uid="{00000000-0005-0000-0000-0000A4850000}"/>
    <cellStyle name="Output 40 2 11 3" xfId="34215" xr:uid="{00000000-0005-0000-0000-0000A5850000}"/>
    <cellStyle name="Output 40 2 11 4" xfId="34216" xr:uid="{00000000-0005-0000-0000-0000A6850000}"/>
    <cellStyle name="Output 40 2 12" xfId="34217" xr:uid="{00000000-0005-0000-0000-0000A7850000}"/>
    <cellStyle name="Output 40 2 12 2" xfId="34218" xr:uid="{00000000-0005-0000-0000-0000A8850000}"/>
    <cellStyle name="Output 40 2 12 2 2" xfId="34219" xr:uid="{00000000-0005-0000-0000-0000A9850000}"/>
    <cellStyle name="Output 40 2 12 2 3" xfId="34220" xr:uid="{00000000-0005-0000-0000-0000AA850000}"/>
    <cellStyle name="Output 40 2 12 3" xfId="34221" xr:uid="{00000000-0005-0000-0000-0000AB850000}"/>
    <cellStyle name="Output 40 2 12 4" xfId="34222" xr:uid="{00000000-0005-0000-0000-0000AC850000}"/>
    <cellStyle name="Output 40 2 13" xfId="34223" xr:uid="{00000000-0005-0000-0000-0000AD850000}"/>
    <cellStyle name="Output 40 2 13 2" xfId="34224" xr:uid="{00000000-0005-0000-0000-0000AE850000}"/>
    <cellStyle name="Output 40 2 13 2 2" xfId="34225" xr:uid="{00000000-0005-0000-0000-0000AF850000}"/>
    <cellStyle name="Output 40 2 13 2 3" xfId="34226" xr:uid="{00000000-0005-0000-0000-0000B0850000}"/>
    <cellStyle name="Output 40 2 13 3" xfId="34227" xr:uid="{00000000-0005-0000-0000-0000B1850000}"/>
    <cellStyle name="Output 40 2 13 4" xfId="34228" xr:uid="{00000000-0005-0000-0000-0000B2850000}"/>
    <cellStyle name="Output 40 2 14" xfId="34229" xr:uid="{00000000-0005-0000-0000-0000B3850000}"/>
    <cellStyle name="Output 40 2 14 2" xfId="34230" xr:uid="{00000000-0005-0000-0000-0000B4850000}"/>
    <cellStyle name="Output 40 2 14 2 2" xfId="34231" xr:uid="{00000000-0005-0000-0000-0000B5850000}"/>
    <cellStyle name="Output 40 2 14 2 3" xfId="34232" xr:uid="{00000000-0005-0000-0000-0000B6850000}"/>
    <cellStyle name="Output 40 2 14 3" xfId="34233" xr:uid="{00000000-0005-0000-0000-0000B7850000}"/>
    <cellStyle name="Output 40 2 14 4" xfId="34234" xr:uid="{00000000-0005-0000-0000-0000B8850000}"/>
    <cellStyle name="Output 40 2 15" xfId="34235" xr:uid="{00000000-0005-0000-0000-0000B9850000}"/>
    <cellStyle name="Output 40 2 15 2" xfId="34236" xr:uid="{00000000-0005-0000-0000-0000BA850000}"/>
    <cellStyle name="Output 40 2 15 2 2" xfId="34237" xr:uid="{00000000-0005-0000-0000-0000BB850000}"/>
    <cellStyle name="Output 40 2 15 2 3" xfId="34238" xr:uid="{00000000-0005-0000-0000-0000BC850000}"/>
    <cellStyle name="Output 40 2 15 3" xfId="34239" xr:uid="{00000000-0005-0000-0000-0000BD850000}"/>
    <cellStyle name="Output 40 2 15 4" xfId="34240" xr:uid="{00000000-0005-0000-0000-0000BE850000}"/>
    <cellStyle name="Output 40 2 16" xfId="34241" xr:uid="{00000000-0005-0000-0000-0000BF850000}"/>
    <cellStyle name="Output 40 2 16 2" xfId="34242" xr:uid="{00000000-0005-0000-0000-0000C0850000}"/>
    <cellStyle name="Output 40 2 16 2 2" xfId="34243" xr:uid="{00000000-0005-0000-0000-0000C1850000}"/>
    <cellStyle name="Output 40 2 16 2 3" xfId="34244" xr:uid="{00000000-0005-0000-0000-0000C2850000}"/>
    <cellStyle name="Output 40 2 16 3" xfId="34245" xr:uid="{00000000-0005-0000-0000-0000C3850000}"/>
    <cellStyle name="Output 40 2 16 4" xfId="34246" xr:uid="{00000000-0005-0000-0000-0000C4850000}"/>
    <cellStyle name="Output 40 2 17" xfId="34247" xr:uid="{00000000-0005-0000-0000-0000C5850000}"/>
    <cellStyle name="Output 40 2 17 2" xfId="34248" xr:uid="{00000000-0005-0000-0000-0000C6850000}"/>
    <cellStyle name="Output 40 2 17 2 2" xfId="34249" xr:uid="{00000000-0005-0000-0000-0000C7850000}"/>
    <cellStyle name="Output 40 2 17 2 3" xfId="34250" xr:uid="{00000000-0005-0000-0000-0000C8850000}"/>
    <cellStyle name="Output 40 2 17 3" xfId="34251" xr:uid="{00000000-0005-0000-0000-0000C9850000}"/>
    <cellStyle name="Output 40 2 17 4" xfId="34252" xr:uid="{00000000-0005-0000-0000-0000CA850000}"/>
    <cellStyle name="Output 40 2 18" xfId="34253" xr:uid="{00000000-0005-0000-0000-0000CB850000}"/>
    <cellStyle name="Output 40 2 18 2" xfId="34254" xr:uid="{00000000-0005-0000-0000-0000CC850000}"/>
    <cellStyle name="Output 40 2 18 3" xfId="34255" xr:uid="{00000000-0005-0000-0000-0000CD850000}"/>
    <cellStyle name="Output 40 2 18 4" xfId="34256" xr:uid="{00000000-0005-0000-0000-0000CE850000}"/>
    <cellStyle name="Output 40 2 19" xfId="34257" xr:uid="{00000000-0005-0000-0000-0000CF850000}"/>
    <cellStyle name="Output 40 2 2" xfId="34258" xr:uid="{00000000-0005-0000-0000-0000D0850000}"/>
    <cellStyle name="Output 40 2 2 2" xfId="34259" xr:uid="{00000000-0005-0000-0000-0000D1850000}"/>
    <cellStyle name="Output 40 2 2 2 2" xfId="34260" xr:uid="{00000000-0005-0000-0000-0000D2850000}"/>
    <cellStyle name="Output 40 2 2 2 3" xfId="34261" xr:uid="{00000000-0005-0000-0000-0000D3850000}"/>
    <cellStyle name="Output 40 2 2 3" xfId="34262" xr:uid="{00000000-0005-0000-0000-0000D4850000}"/>
    <cellStyle name="Output 40 2 2 4" xfId="34263" xr:uid="{00000000-0005-0000-0000-0000D5850000}"/>
    <cellStyle name="Output 40 2 20" xfId="34264" xr:uid="{00000000-0005-0000-0000-0000D6850000}"/>
    <cellStyle name="Output 40 2 21" xfId="34265" xr:uid="{00000000-0005-0000-0000-0000D7850000}"/>
    <cellStyle name="Output 40 2 3" xfId="34266" xr:uid="{00000000-0005-0000-0000-0000D8850000}"/>
    <cellStyle name="Output 40 2 3 2" xfId="34267" xr:uid="{00000000-0005-0000-0000-0000D9850000}"/>
    <cellStyle name="Output 40 2 3 2 2" xfId="34268" xr:uid="{00000000-0005-0000-0000-0000DA850000}"/>
    <cellStyle name="Output 40 2 3 2 3" xfId="34269" xr:uid="{00000000-0005-0000-0000-0000DB850000}"/>
    <cellStyle name="Output 40 2 3 3" xfId="34270" xr:uid="{00000000-0005-0000-0000-0000DC850000}"/>
    <cellStyle name="Output 40 2 3 4" xfId="34271" xr:uid="{00000000-0005-0000-0000-0000DD850000}"/>
    <cellStyle name="Output 40 2 4" xfId="34272" xr:uid="{00000000-0005-0000-0000-0000DE850000}"/>
    <cellStyle name="Output 40 2 4 2" xfId="34273" xr:uid="{00000000-0005-0000-0000-0000DF850000}"/>
    <cellStyle name="Output 40 2 4 2 2" xfId="34274" xr:uid="{00000000-0005-0000-0000-0000E0850000}"/>
    <cellStyle name="Output 40 2 4 2 3" xfId="34275" xr:uid="{00000000-0005-0000-0000-0000E1850000}"/>
    <cellStyle name="Output 40 2 4 3" xfId="34276" xr:uid="{00000000-0005-0000-0000-0000E2850000}"/>
    <cellStyle name="Output 40 2 4 4" xfId="34277" xr:uid="{00000000-0005-0000-0000-0000E3850000}"/>
    <cellStyle name="Output 40 2 5" xfId="34278" xr:uid="{00000000-0005-0000-0000-0000E4850000}"/>
    <cellStyle name="Output 40 2 5 2" xfId="34279" xr:uid="{00000000-0005-0000-0000-0000E5850000}"/>
    <cellStyle name="Output 40 2 5 2 2" xfId="34280" xr:uid="{00000000-0005-0000-0000-0000E6850000}"/>
    <cellStyle name="Output 40 2 5 2 3" xfId="34281" xr:uid="{00000000-0005-0000-0000-0000E7850000}"/>
    <cellStyle name="Output 40 2 5 3" xfId="34282" xr:uid="{00000000-0005-0000-0000-0000E8850000}"/>
    <cellStyle name="Output 40 2 5 4" xfId="34283" xr:uid="{00000000-0005-0000-0000-0000E9850000}"/>
    <cellStyle name="Output 40 2 6" xfId="34284" xr:uid="{00000000-0005-0000-0000-0000EA850000}"/>
    <cellStyle name="Output 40 2 6 2" xfId="34285" xr:uid="{00000000-0005-0000-0000-0000EB850000}"/>
    <cellStyle name="Output 40 2 6 2 2" xfId="34286" xr:uid="{00000000-0005-0000-0000-0000EC850000}"/>
    <cellStyle name="Output 40 2 6 2 3" xfId="34287" xr:uid="{00000000-0005-0000-0000-0000ED850000}"/>
    <cellStyle name="Output 40 2 6 3" xfId="34288" xr:uid="{00000000-0005-0000-0000-0000EE850000}"/>
    <cellStyle name="Output 40 2 6 4" xfId="34289" xr:uid="{00000000-0005-0000-0000-0000EF850000}"/>
    <cellStyle name="Output 40 2 7" xfId="34290" xr:uid="{00000000-0005-0000-0000-0000F0850000}"/>
    <cellStyle name="Output 40 2 7 2" xfId="34291" xr:uid="{00000000-0005-0000-0000-0000F1850000}"/>
    <cellStyle name="Output 40 2 7 2 2" xfId="34292" xr:uid="{00000000-0005-0000-0000-0000F2850000}"/>
    <cellStyle name="Output 40 2 7 2 3" xfId="34293" xr:uid="{00000000-0005-0000-0000-0000F3850000}"/>
    <cellStyle name="Output 40 2 7 3" xfId="34294" xr:uid="{00000000-0005-0000-0000-0000F4850000}"/>
    <cellStyle name="Output 40 2 7 4" xfId="34295" xr:uid="{00000000-0005-0000-0000-0000F5850000}"/>
    <cellStyle name="Output 40 2 8" xfId="34296" xr:uid="{00000000-0005-0000-0000-0000F6850000}"/>
    <cellStyle name="Output 40 2 8 2" xfId="34297" xr:uid="{00000000-0005-0000-0000-0000F7850000}"/>
    <cellStyle name="Output 40 2 8 2 2" xfId="34298" xr:uid="{00000000-0005-0000-0000-0000F8850000}"/>
    <cellStyle name="Output 40 2 8 2 3" xfId="34299" xr:uid="{00000000-0005-0000-0000-0000F9850000}"/>
    <cellStyle name="Output 40 2 8 3" xfId="34300" xr:uid="{00000000-0005-0000-0000-0000FA850000}"/>
    <cellStyle name="Output 40 2 8 4" xfId="34301" xr:uid="{00000000-0005-0000-0000-0000FB850000}"/>
    <cellStyle name="Output 40 2 9" xfId="34302" xr:uid="{00000000-0005-0000-0000-0000FC850000}"/>
    <cellStyle name="Output 40 2 9 2" xfId="34303" xr:uid="{00000000-0005-0000-0000-0000FD850000}"/>
    <cellStyle name="Output 40 2 9 2 2" xfId="34304" xr:uid="{00000000-0005-0000-0000-0000FE850000}"/>
    <cellStyle name="Output 40 2 9 2 3" xfId="34305" xr:uid="{00000000-0005-0000-0000-0000FF850000}"/>
    <cellStyle name="Output 40 2 9 3" xfId="34306" xr:uid="{00000000-0005-0000-0000-000000860000}"/>
    <cellStyle name="Output 40 2 9 4" xfId="34307" xr:uid="{00000000-0005-0000-0000-000001860000}"/>
    <cellStyle name="Output 40 3" xfId="34308" xr:uid="{00000000-0005-0000-0000-000002860000}"/>
    <cellStyle name="Output 40 3 2" xfId="34309" xr:uid="{00000000-0005-0000-0000-000003860000}"/>
    <cellStyle name="Output 40 3 2 2" xfId="34310" xr:uid="{00000000-0005-0000-0000-000004860000}"/>
    <cellStyle name="Output 40 3 2 3" xfId="34311" xr:uid="{00000000-0005-0000-0000-000005860000}"/>
    <cellStyle name="Output 40 3 3" xfId="34312" xr:uid="{00000000-0005-0000-0000-000006860000}"/>
    <cellStyle name="Output 40 3 4" xfId="34313" xr:uid="{00000000-0005-0000-0000-000007860000}"/>
    <cellStyle name="Output 40 4" xfId="34314" xr:uid="{00000000-0005-0000-0000-000008860000}"/>
    <cellStyle name="Output 40 5" xfId="34315" xr:uid="{00000000-0005-0000-0000-000009860000}"/>
    <cellStyle name="Output 41" xfId="34316" xr:uid="{00000000-0005-0000-0000-00000A860000}"/>
    <cellStyle name="Output 41 2" xfId="34317" xr:uid="{00000000-0005-0000-0000-00000B860000}"/>
    <cellStyle name="Output 41 2 10" xfId="34318" xr:uid="{00000000-0005-0000-0000-00000C860000}"/>
    <cellStyle name="Output 41 2 10 2" xfId="34319" xr:uid="{00000000-0005-0000-0000-00000D860000}"/>
    <cellStyle name="Output 41 2 10 2 2" xfId="34320" xr:uid="{00000000-0005-0000-0000-00000E860000}"/>
    <cellStyle name="Output 41 2 10 2 3" xfId="34321" xr:uid="{00000000-0005-0000-0000-00000F860000}"/>
    <cellStyle name="Output 41 2 10 3" xfId="34322" xr:uid="{00000000-0005-0000-0000-000010860000}"/>
    <cellStyle name="Output 41 2 10 4" xfId="34323" xr:uid="{00000000-0005-0000-0000-000011860000}"/>
    <cellStyle name="Output 41 2 11" xfId="34324" xr:uid="{00000000-0005-0000-0000-000012860000}"/>
    <cellStyle name="Output 41 2 11 2" xfId="34325" xr:uid="{00000000-0005-0000-0000-000013860000}"/>
    <cellStyle name="Output 41 2 11 2 2" xfId="34326" xr:uid="{00000000-0005-0000-0000-000014860000}"/>
    <cellStyle name="Output 41 2 11 2 3" xfId="34327" xr:uid="{00000000-0005-0000-0000-000015860000}"/>
    <cellStyle name="Output 41 2 11 3" xfId="34328" xr:uid="{00000000-0005-0000-0000-000016860000}"/>
    <cellStyle name="Output 41 2 11 4" xfId="34329" xr:uid="{00000000-0005-0000-0000-000017860000}"/>
    <cellStyle name="Output 41 2 12" xfId="34330" xr:uid="{00000000-0005-0000-0000-000018860000}"/>
    <cellStyle name="Output 41 2 12 2" xfId="34331" xr:uid="{00000000-0005-0000-0000-000019860000}"/>
    <cellStyle name="Output 41 2 12 2 2" xfId="34332" xr:uid="{00000000-0005-0000-0000-00001A860000}"/>
    <cellStyle name="Output 41 2 12 2 3" xfId="34333" xr:uid="{00000000-0005-0000-0000-00001B860000}"/>
    <cellStyle name="Output 41 2 12 3" xfId="34334" xr:uid="{00000000-0005-0000-0000-00001C860000}"/>
    <cellStyle name="Output 41 2 12 4" xfId="34335" xr:uid="{00000000-0005-0000-0000-00001D860000}"/>
    <cellStyle name="Output 41 2 13" xfId="34336" xr:uid="{00000000-0005-0000-0000-00001E860000}"/>
    <cellStyle name="Output 41 2 13 2" xfId="34337" xr:uid="{00000000-0005-0000-0000-00001F860000}"/>
    <cellStyle name="Output 41 2 13 2 2" xfId="34338" xr:uid="{00000000-0005-0000-0000-000020860000}"/>
    <cellStyle name="Output 41 2 13 2 3" xfId="34339" xr:uid="{00000000-0005-0000-0000-000021860000}"/>
    <cellStyle name="Output 41 2 13 3" xfId="34340" xr:uid="{00000000-0005-0000-0000-000022860000}"/>
    <cellStyle name="Output 41 2 13 4" xfId="34341" xr:uid="{00000000-0005-0000-0000-000023860000}"/>
    <cellStyle name="Output 41 2 14" xfId="34342" xr:uid="{00000000-0005-0000-0000-000024860000}"/>
    <cellStyle name="Output 41 2 14 2" xfId="34343" xr:uid="{00000000-0005-0000-0000-000025860000}"/>
    <cellStyle name="Output 41 2 14 2 2" xfId="34344" xr:uid="{00000000-0005-0000-0000-000026860000}"/>
    <cellStyle name="Output 41 2 14 2 3" xfId="34345" xr:uid="{00000000-0005-0000-0000-000027860000}"/>
    <cellStyle name="Output 41 2 14 3" xfId="34346" xr:uid="{00000000-0005-0000-0000-000028860000}"/>
    <cellStyle name="Output 41 2 14 4" xfId="34347" xr:uid="{00000000-0005-0000-0000-000029860000}"/>
    <cellStyle name="Output 41 2 15" xfId="34348" xr:uid="{00000000-0005-0000-0000-00002A860000}"/>
    <cellStyle name="Output 41 2 15 2" xfId="34349" xr:uid="{00000000-0005-0000-0000-00002B860000}"/>
    <cellStyle name="Output 41 2 15 2 2" xfId="34350" xr:uid="{00000000-0005-0000-0000-00002C860000}"/>
    <cellStyle name="Output 41 2 15 2 3" xfId="34351" xr:uid="{00000000-0005-0000-0000-00002D860000}"/>
    <cellStyle name="Output 41 2 15 3" xfId="34352" xr:uid="{00000000-0005-0000-0000-00002E860000}"/>
    <cellStyle name="Output 41 2 15 4" xfId="34353" xr:uid="{00000000-0005-0000-0000-00002F860000}"/>
    <cellStyle name="Output 41 2 16" xfId="34354" xr:uid="{00000000-0005-0000-0000-000030860000}"/>
    <cellStyle name="Output 41 2 16 2" xfId="34355" xr:uid="{00000000-0005-0000-0000-000031860000}"/>
    <cellStyle name="Output 41 2 16 2 2" xfId="34356" xr:uid="{00000000-0005-0000-0000-000032860000}"/>
    <cellStyle name="Output 41 2 16 2 3" xfId="34357" xr:uid="{00000000-0005-0000-0000-000033860000}"/>
    <cellStyle name="Output 41 2 16 3" xfId="34358" xr:uid="{00000000-0005-0000-0000-000034860000}"/>
    <cellStyle name="Output 41 2 16 4" xfId="34359" xr:uid="{00000000-0005-0000-0000-000035860000}"/>
    <cellStyle name="Output 41 2 17" xfId="34360" xr:uid="{00000000-0005-0000-0000-000036860000}"/>
    <cellStyle name="Output 41 2 17 2" xfId="34361" xr:uid="{00000000-0005-0000-0000-000037860000}"/>
    <cellStyle name="Output 41 2 17 2 2" xfId="34362" xr:uid="{00000000-0005-0000-0000-000038860000}"/>
    <cellStyle name="Output 41 2 17 2 3" xfId="34363" xr:uid="{00000000-0005-0000-0000-000039860000}"/>
    <cellStyle name="Output 41 2 17 3" xfId="34364" xr:uid="{00000000-0005-0000-0000-00003A860000}"/>
    <cellStyle name="Output 41 2 17 4" xfId="34365" xr:uid="{00000000-0005-0000-0000-00003B860000}"/>
    <cellStyle name="Output 41 2 18" xfId="34366" xr:uid="{00000000-0005-0000-0000-00003C860000}"/>
    <cellStyle name="Output 41 2 18 2" xfId="34367" xr:uid="{00000000-0005-0000-0000-00003D860000}"/>
    <cellStyle name="Output 41 2 18 3" xfId="34368" xr:uid="{00000000-0005-0000-0000-00003E860000}"/>
    <cellStyle name="Output 41 2 18 4" xfId="34369" xr:uid="{00000000-0005-0000-0000-00003F860000}"/>
    <cellStyle name="Output 41 2 19" xfId="34370" xr:uid="{00000000-0005-0000-0000-000040860000}"/>
    <cellStyle name="Output 41 2 2" xfId="34371" xr:uid="{00000000-0005-0000-0000-000041860000}"/>
    <cellStyle name="Output 41 2 2 2" xfId="34372" xr:uid="{00000000-0005-0000-0000-000042860000}"/>
    <cellStyle name="Output 41 2 2 2 2" xfId="34373" xr:uid="{00000000-0005-0000-0000-000043860000}"/>
    <cellStyle name="Output 41 2 2 2 3" xfId="34374" xr:uid="{00000000-0005-0000-0000-000044860000}"/>
    <cellStyle name="Output 41 2 2 3" xfId="34375" xr:uid="{00000000-0005-0000-0000-000045860000}"/>
    <cellStyle name="Output 41 2 2 4" xfId="34376" xr:uid="{00000000-0005-0000-0000-000046860000}"/>
    <cellStyle name="Output 41 2 20" xfId="34377" xr:uid="{00000000-0005-0000-0000-000047860000}"/>
    <cellStyle name="Output 41 2 21" xfId="34378" xr:uid="{00000000-0005-0000-0000-000048860000}"/>
    <cellStyle name="Output 41 2 3" xfId="34379" xr:uid="{00000000-0005-0000-0000-000049860000}"/>
    <cellStyle name="Output 41 2 3 2" xfId="34380" xr:uid="{00000000-0005-0000-0000-00004A860000}"/>
    <cellStyle name="Output 41 2 3 2 2" xfId="34381" xr:uid="{00000000-0005-0000-0000-00004B860000}"/>
    <cellStyle name="Output 41 2 3 2 3" xfId="34382" xr:uid="{00000000-0005-0000-0000-00004C860000}"/>
    <cellStyle name="Output 41 2 3 3" xfId="34383" xr:uid="{00000000-0005-0000-0000-00004D860000}"/>
    <cellStyle name="Output 41 2 3 4" xfId="34384" xr:uid="{00000000-0005-0000-0000-00004E860000}"/>
    <cellStyle name="Output 41 2 4" xfId="34385" xr:uid="{00000000-0005-0000-0000-00004F860000}"/>
    <cellStyle name="Output 41 2 4 2" xfId="34386" xr:uid="{00000000-0005-0000-0000-000050860000}"/>
    <cellStyle name="Output 41 2 4 2 2" xfId="34387" xr:uid="{00000000-0005-0000-0000-000051860000}"/>
    <cellStyle name="Output 41 2 4 2 3" xfId="34388" xr:uid="{00000000-0005-0000-0000-000052860000}"/>
    <cellStyle name="Output 41 2 4 3" xfId="34389" xr:uid="{00000000-0005-0000-0000-000053860000}"/>
    <cellStyle name="Output 41 2 4 4" xfId="34390" xr:uid="{00000000-0005-0000-0000-000054860000}"/>
    <cellStyle name="Output 41 2 5" xfId="34391" xr:uid="{00000000-0005-0000-0000-000055860000}"/>
    <cellStyle name="Output 41 2 5 2" xfId="34392" xr:uid="{00000000-0005-0000-0000-000056860000}"/>
    <cellStyle name="Output 41 2 5 2 2" xfId="34393" xr:uid="{00000000-0005-0000-0000-000057860000}"/>
    <cellStyle name="Output 41 2 5 2 3" xfId="34394" xr:uid="{00000000-0005-0000-0000-000058860000}"/>
    <cellStyle name="Output 41 2 5 3" xfId="34395" xr:uid="{00000000-0005-0000-0000-000059860000}"/>
    <cellStyle name="Output 41 2 5 4" xfId="34396" xr:uid="{00000000-0005-0000-0000-00005A860000}"/>
    <cellStyle name="Output 41 2 6" xfId="34397" xr:uid="{00000000-0005-0000-0000-00005B860000}"/>
    <cellStyle name="Output 41 2 6 2" xfId="34398" xr:uid="{00000000-0005-0000-0000-00005C860000}"/>
    <cellStyle name="Output 41 2 6 2 2" xfId="34399" xr:uid="{00000000-0005-0000-0000-00005D860000}"/>
    <cellStyle name="Output 41 2 6 2 3" xfId="34400" xr:uid="{00000000-0005-0000-0000-00005E860000}"/>
    <cellStyle name="Output 41 2 6 3" xfId="34401" xr:uid="{00000000-0005-0000-0000-00005F860000}"/>
    <cellStyle name="Output 41 2 6 4" xfId="34402" xr:uid="{00000000-0005-0000-0000-000060860000}"/>
    <cellStyle name="Output 41 2 7" xfId="34403" xr:uid="{00000000-0005-0000-0000-000061860000}"/>
    <cellStyle name="Output 41 2 7 2" xfId="34404" xr:uid="{00000000-0005-0000-0000-000062860000}"/>
    <cellStyle name="Output 41 2 7 2 2" xfId="34405" xr:uid="{00000000-0005-0000-0000-000063860000}"/>
    <cellStyle name="Output 41 2 7 2 3" xfId="34406" xr:uid="{00000000-0005-0000-0000-000064860000}"/>
    <cellStyle name="Output 41 2 7 3" xfId="34407" xr:uid="{00000000-0005-0000-0000-000065860000}"/>
    <cellStyle name="Output 41 2 7 4" xfId="34408" xr:uid="{00000000-0005-0000-0000-000066860000}"/>
    <cellStyle name="Output 41 2 8" xfId="34409" xr:uid="{00000000-0005-0000-0000-000067860000}"/>
    <cellStyle name="Output 41 2 8 2" xfId="34410" xr:uid="{00000000-0005-0000-0000-000068860000}"/>
    <cellStyle name="Output 41 2 8 2 2" xfId="34411" xr:uid="{00000000-0005-0000-0000-000069860000}"/>
    <cellStyle name="Output 41 2 8 2 3" xfId="34412" xr:uid="{00000000-0005-0000-0000-00006A860000}"/>
    <cellStyle name="Output 41 2 8 3" xfId="34413" xr:uid="{00000000-0005-0000-0000-00006B860000}"/>
    <cellStyle name="Output 41 2 8 4" xfId="34414" xr:uid="{00000000-0005-0000-0000-00006C860000}"/>
    <cellStyle name="Output 41 2 9" xfId="34415" xr:uid="{00000000-0005-0000-0000-00006D860000}"/>
    <cellStyle name="Output 41 2 9 2" xfId="34416" xr:uid="{00000000-0005-0000-0000-00006E860000}"/>
    <cellStyle name="Output 41 2 9 2 2" xfId="34417" xr:uid="{00000000-0005-0000-0000-00006F860000}"/>
    <cellStyle name="Output 41 2 9 2 3" xfId="34418" xr:uid="{00000000-0005-0000-0000-000070860000}"/>
    <cellStyle name="Output 41 2 9 3" xfId="34419" xr:uid="{00000000-0005-0000-0000-000071860000}"/>
    <cellStyle name="Output 41 2 9 4" xfId="34420" xr:uid="{00000000-0005-0000-0000-000072860000}"/>
    <cellStyle name="Output 41 3" xfId="34421" xr:uid="{00000000-0005-0000-0000-000073860000}"/>
    <cellStyle name="Output 41 3 2" xfId="34422" xr:uid="{00000000-0005-0000-0000-000074860000}"/>
    <cellStyle name="Output 41 3 2 2" xfId="34423" xr:uid="{00000000-0005-0000-0000-000075860000}"/>
    <cellStyle name="Output 41 3 2 3" xfId="34424" xr:uid="{00000000-0005-0000-0000-000076860000}"/>
    <cellStyle name="Output 41 3 3" xfId="34425" xr:uid="{00000000-0005-0000-0000-000077860000}"/>
    <cellStyle name="Output 41 3 4" xfId="34426" xr:uid="{00000000-0005-0000-0000-000078860000}"/>
    <cellStyle name="Output 41 4" xfId="34427" xr:uid="{00000000-0005-0000-0000-000079860000}"/>
    <cellStyle name="Output 41 5" xfId="34428" xr:uid="{00000000-0005-0000-0000-00007A860000}"/>
    <cellStyle name="Output 42" xfId="34429" xr:uid="{00000000-0005-0000-0000-00007B860000}"/>
    <cellStyle name="Output 42 2" xfId="34430" xr:uid="{00000000-0005-0000-0000-00007C860000}"/>
    <cellStyle name="Output 42 2 10" xfId="34431" xr:uid="{00000000-0005-0000-0000-00007D860000}"/>
    <cellStyle name="Output 42 2 10 2" xfId="34432" xr:uid="{00000000-0005-0000-0000-00007E860000}"/>
    <cellStyle name="Output 42 2 10 2 2" xfId="34433" xr:uid="{00000000-0005-0000-0000-00007F860000}"/>
    <cellStyle name="Output 42 2 10 2 3" xfId="34434" xr:uid="{00000000-0005-0000-0000-000080860000}"/>
    <cellStyle name="Output 42 2 10 3" xfId="34435" xr:uid="{00000000-0005-0000-0000-000081860000}"/>
    <cellStyle name="Output 42 2 10 4" xfId="34436" xr:uid="{00000000-0005-0000-0000-000082860000}"/>
    <cellStyle name="Output 42 2 11" xfId="34437" xr:uid="{00000000-0005-0000-0000-000083860000}"/>
    <cellStyle name="Output 42 2 11 2" xfId="34438" xr:uid="{00000000-0005-0000-0000-000084860000}"/>
    <cellStyle name="Output 42 2 11 2 2" xfId="34439" xr:uid="{00000000-0005-0000-0000-000085860000}"/>
    <cellStyle name="Output 42 2 11 2 3" xfId="34440" xr:uid="{00000000-0005-0000-0000-000086860000}"/>
    <cellStyle name="Output 42 2 11 3" xfId="34441" xr:uid="{00000000-0005-0000-0000-000087860000}"/>
    <cellStyle name="Output 42 2 11 4" xfId="34442" xr:uid="{00000000-0005-0000-0000-000088860000}"/>
    <cellStyle name="Output 42 2 12" xfId="34443" xr:uid="{00000000-0005-0000-0000-000089860000}"/>
    <cellStyle name="Output 42 2 12 2" xfId="34444" xr:uid="{00000000-0005-0000-0000-00008A860000}"/>
    <cellStyle name="Output 42 2 12 2 2" xfId="34445" xr:uid="{00000000-0005-0000-0000-00008B860000}"/>
    <cellStyle name="Output 42 2 12 2 3" xfId="34446" xr:uid="{00000000-0005-0000-0000-00008C860000}"/>
    <cellStyle name="Output 42 2 12 3" xfId="34447" xr:uid="{00000000-0005-0000-0000-00008D860000}"/>
    <cellStyle name="Output 42 2 12 4" xfId="34448" xr:uid="{00000000-0005-0000-0000-00008E860000}"/>
    <cellStyle name="Output 42 2 13" xfId="34449" xr:uid="{00000000-0005-0000-0000-00008F860000}"/>
    <cellStyle name="Output 42 2 13 2" xfId="34450" xr:uid="{00000000-0005-0000-0000-000090860000}"/>
    <cellStyle name="Output 42 2 13 2 2" xfId="34451" xr:uid="{00000000-0005-0000-0000-000091860000}"/>
    <cellStyle name="Output 42 2 13 2 3" xfId="34452" xr:uid="{00000000-0005-0000-0000-000092860000}"/>
    <cellStyle name="Output 42 2 13 3" xfId="34453" xr:uid="{00000000-0005-0000-0000-000093860000}"/>
    <cellStyle name="Output 42 2 13 4" xfId="34454" xr:uid="{00000000-0005-0000-0000-000094860000}"/>
    <cellStyle name="Output 42 2 14" xfId="34455" xr:uid="{00000000-0005-0000-0000-000095860000}"/>
    <cellStyle name="Output 42 2 14 2" xfId="34456" xr:uid="{00000000-0005-0000-0000-000096860000}"/>
    <cellStyle name="Output 42 2 14 2 2" xfId="34457" xr:uid="{00000000-0005-0000-0000-000097860000}"/>
    <cellStyle name="Output 42 2 14 2 3" xfId="34458" xr:uid="{00000000-0005-0000-0000-000098860000}"/>
    <cellStyle name="Output 42 2 14 3" xfId="34459" xr:uid="{00000000-0005-0000-0000-000099860000}"/>
    <cellStyle name="Output 42 2 14 4" xfId="34460" xr:uid="{00000000-0005-0000-0000-00009A860000}"/>
    <cellStyle name="Output 42 2 15" xfId="34461" xr:uid="{00000000-0005-0000-0000-00009B860000}"/>
    <cellStyle name="Output 42 2 15 2" xfId="34462" xr:uid="{00000000-0005-0000-0000-00009C860000}"/>
    <cellStyle name="Output 42 2 15 2 2" xfId="34463" xr:uid="{00000000-0005-0000-0000-00009D860000}"/>
    <cellStyle name="Output 42 2 15 2 3" xfId="34464" xr:uid="{00000000-0005-0000-0000-00009E860000}"/>
    <cellStyle name="Output 42 2 15 3" xfId="34465" xr:uid="{00000000-0005-0000-0000-00009F860000}"/>
    <cellStyle name="Output 42 2 15 4" xfId="34466" xr:uid="{00000000-0005-0000-0000-0000A0860000}"/>
    <cellStyle name="Output 42 2 16" xfId="34467" xr:uid="{00000000-0005-0000-0000-0000A1860000}"/>
    <cellStyle name="Output 42 2 16 2" xfId="34468" xr:uid="{00000000-0005-0000-0000-0000A2860000}"/>
    <cellStyle name="Output 42 2 16 2 2" xfId="34469" xr:uid="{00000000-0005-0000-0000-0000A3860000}"/>
    <cellStyle name="Output 42 2 16 2 3" xfId="34470" xr:uid="{00000000-0005-0000-0000-0000A4860000}"/>
    <cellStyle name="Output 42 2 16 3" xfId="34471" xr:uid="{00000000-0005-0000-0000-0000A5860000}"/>
    <cellStyle name="Output 42 2 16 4" xfId="34472" xr:uid="{00000000-0005-0000-0000-0000A6860000}"/>
    <cellStyle name="Output 42 2 17" xfId="34473" xr:uid="{00000000-0005-0000-0000-0000A7860000}"/>
    <cellStyle name="Output 42 2 17 2" xfId="34474" xr:uid="{00000000-0005-0000-0000-0000A8860000}"/>
    <cellStyle name="Output 42 2 17 2 2" xfId="34475" xr:uid="{00000000-0005-0000-0000-0000A9860000}"/>
    <cellStyle name="Output 42 2 17 2 3" xfId="34476" xr:uid="{00000000-0005-0000-0000-0000AA860000}"/>
    <cellStyle name="Output 42 2 17 3" xfId="34477" xr:uid="{00000000-0005-0000-0000-0000AB860000}"/>
    <cellStyle name="Output 42 2 17 4" xfId="34478" xr:uid="{00000000-0005-0000-0000-0000AC860000}"/>
    <cellStyle name="Output 42 2 18" xfId="34479" xr:uid="{00000000-0005-0000-0000-0000AD860000}"/>
    <cellStyle name="Output 42 2 18 2" xfId="34480" xr:uid="{00000000-0005-0000-0000-0000AE860000}"/>
    <cellStyle name="Output 42 2 18 3" xfId="34481" xr:uid="{00000000-0005-0000-0000-0000AF860000}"/>
    <cellStyle name="Output 42 2 18 4" xfId="34482" xr:uid="{00000000-0005-0000-0000-0000B0860000}"/>
    <cellStyle name="Output 42 2 19" xfId="34483" xr:uid="{00000000-0005-0000-0000-0000B1860000}"/>
    <cellStyle name="Output 42 2 2" xfId="34484" xr:uid="{00000000-0005-0000-0000-0000B2860000}"/>
    <cellStyle name="Output 42 2 2 2" xfId="34485" xr:uid="{00000000-0005-0000-0000-0000B3860000}"/>
    <cellStyle name="Output 42 2 2 2 2" xfId="34486" xr:uid="{00000000-0005-0000-0000-0000B4860000}"/>
    <cellStyle name="Output 42 2 2 2 3" xfId="34487" xr:uid="{00000000-0005-0000-0000-0000B5860000}"/>
    <cellStyle name="Output 42 2 2 3" xfId="34488" xr:uid="{00000000-0005-0000-0000-0000B6860000}"/>
    <cellStyle name="Output 42 2 2 4" xfId="34489" xr:uid="{00000000-0005-0000-0000-0000B7860000}"/>
    <cellStyle name="Output 42 2 20" xfId="34490" xr:uid="{00000000-0005-0000-0000-0000B8860000}"/>
    <cellStyle name="Output 42 2 21" xfId="34491" xr:uid="{00000000-0005-0000-0000-0000B9860000}"/>
    <cellStyle name="Output 42 2 3" xfId="34492" xr:uid="{00000000-0005-0000-0000-0000BA860000}"/>
    <cellStyle name="Output 42 2 3 2" xfId="34493" xr:uid="{00000000-0005-0000-0000-0000BB860000}"/>
    <cellStyle name="Output 42 2 3 2 2" xfId="34494" xr:uid="{00000000-0005-0000-0000-0000BC860000}"/>
    <cellStyle name="Output 42 2 3 2 3" xfId="34495" xr:uid="{00000000-0005-0000-0000-0000BD860000}"/>
    <cellStyle name="Output 42 2 3 3" xfId="34496" xr:uid="{00000000-0005-0000-0000-0000BE860000}"/>
    <cellStyle name="Output 42 2 3 4" xfId="34497" xr:uid="{00000000-0005-0000-0000-0000BF860000}"/>
    <cellStyle name="Output 42 2 4" xfId="34498" xr:uid="{00000000-0005-0000-0000-0000C0860000}"/>
    <cellStyle name="Output 42 2 4 2" xfId="34499" xr:uid="{00000000-0005-0000-0000-0000C1860000}"/>
    <cellStyle name="Output 42 2 4 2 2" xfId="34500" xr:uid="{00000000-0005-0000-0000-0000C2860000}"/>
    <cellStyle name="Output 42 2 4 2 3" xfId="34501" xr:uid="{00000000-0005-0000-0000-0000C3860000}"/>
    <cellStyle name="Output 42 2 4 3" xfId="34502" xr:uid="{00000000-0005-0000-0000-0000C4860000}"/>
    <cellStyle name="Output 42 2 4 4" xfId="34503" xr:uid="{00000000-0005-0000-0000-0000C5860000}"/>
    <cellStyle name="Output 42 2 5" xfId="34504" xr:uid="{00000000-0005-0000-0000-0000C6860000}"/>
    <cellStyle name="Output 42 2 5 2" xfId="34505" xr:uid="{00000000-0005-0000-0000-0000C7860000}"/>
    <cellStyle name="Output 42 2 5 2 2" xfId="34506" xr:uid="{00000000-0005-0000-0000-0000C8860000}"/>
    <cellStyle name="Output 42 2 5 2 3" xfId="34507" xr:uid="{00000000-0005-0000-0000-0000C9860000}"/>
    <cellStyle name="Output 42 2 5 3" xfId="34508" xr:uid="{00000000-0005-0000-0000-0000CA860000}"/>
    <cellStyle name="Output 42 2 5 4" xfId="34509" xr:uid="{00000000-0005-0000-0000-0000CB860000}"/>
    <cellStyle name="Output 42 2 6" xfId="34510" xr:uid="{00000000-0005-0000-0000-0000CC860000}"/>
    <cellStyle name="Output 42 2 6 2" xfId="34511" xr:uid="{00000000-0005-0000-0000-0000CD860000}"/>
    <cellStyle name="Output 42 2 6 2 2" xfId="34512" xr:uid="{00000000-0005-0000-0000-0000CE860000}"/>
    <cellStyle name="Output 42 2 6 2 3" xfId="34513" xr:uid="{00000000-0005-0000-0000-0000CF860000}"/>
    <cellStyle name="Output 42 2 6 3" xfId="34514" xr:uid="{00000000-0005-0000-0000-0000D0860000}"/>
    <cellStyle name="Output 42 2 6 4" xfId="34515" xr:uid="{00000000-0005-0000-0000-0000D1860000}"/>
    <cellStyle name="Output 42 2 7" xfId="34516" xr:uid="{00000000-0005-0000-0000-0000D2860000}"/>
    <cellStyle name="Output 42 2 7 2" xfId="34517" xr:uid="{00000000-0005-0000-0000-0000D3860000}"/>
    <cellStyle name="Output 42 2 7 2 2" xfId="34518" xr:uid="{00000000-0005-0000-0000-0000D4860000}"/>
    <cellStyle name="Output 42 2 7 2 3" xfId="34519" xr:uid="{00000000-0005-0000-0000-0000D5860000}"/>
    <cellStyle name="Output 42 2 7 3" xfId="34520" xr:uid="{00000000-0005-0000-0000-0000D6860000}"/>
    <cellStyle name="Output 42 2 7 4" xfId="34521" xr:uid="{00000000-0005-0000-0000-0000D7860000}"/>
    <cellStyle name="Output 42 2 8" xfId="34522" xr:uid="{00000000-0005-0000-0000-0000D8860000}"/>
    <cellStyle name="Output 42 2 8 2" xfId="34523" xr:uid="{00000000-0005-0000-0000-0000D9860000}"/>
    <cellStyle name="Output 42 2 8 2 2" xfId="34524" xr:uid="{00000000-0005-0000-0000-0000DA860000}"/>
    <cellStyle name="Output 42 2 8 2 3" xfId="34525" xr:uid="{00000000-0005-0000-0000-0000DB860000}"/>
    <cellStyle name="Output 42 2 8 3" xfId="34526" xr:uid="{00000000-0005-0000-0000-0000DC860000}"/>
    <cellStyle name="Output 42 2 8 4" xfId="34527" xr:uid="{00000000-0005-0000-0000-0000DD860000}"/>
    <cellStyle name="Output 42 2 9" xfId="34528" xr:uid="{00000000-0005-0000-0000-0000DE860000}"/>
    <cellStyle name="Output 42 2 9 2" xfId="34529" xr:uid="{00000000-0005-0000-0000-0000DF860000}"/>
    <cellStyle name="Output 42 2 9 2 2" xfId="34530" xr:uid="{00000000-0005-0000-0000-0000E0860000}"/>
    <cellStyle name="Output 42 2 9 2 3" xfId="34531" xr:uid="{00000000-0005-0000-0000-0000E1860000}"/>
    <cellStyle name="Output 42 2 9 3" xfId="34532" xr:uid="{00000000-0005-0000-0000-0000E2860000}"/>
    <cellStyle name="Output 42 2 9 4" xfId="34533" xr:uid="{00000000-0005-0000-0000-0000E3860000}"/>
    <cellStyle name="Output 42 3" xfId="34534" xr:uid="{00000000-0005-0000-0000-0000E4860000}"/>
    <cellStyle name="Output 42 3 2" xfId="34535" xr:uid="{00000000-0005-0000-0000-0000E5860000}"/>
    <cellStyle name="Output 42 3 2 2" xfId="34536" xr:uid="{00000000-0005-0000-0000-0000E6860000}"/>
    <cellStyle name="Output 42 3 2 3" xfId="34537" xr:uid="{00000000-0005-0000-0000-0000E7860000}"/>
    <cellStyle name="Output 42 3 3" xfId="34538" xr:uid="{00000000-0005-0000-0000-0000E8860000}"/>
    <cellStyle name="Output 42 3 4" xfId="34539" xr:uid="{00000000-0005-0000-0000-0000E9860000}"/>
    <cellStyle name="Output 42 4" xfId="34540" xr:uid="{00000000-0005-0000-0000-0000EA860000}"/>
    <cellStyle name="Output 42 5" xfId="34541" xr:uid="{00000000-0005-0000-0000-0000EB860000}"/>
    <cellStyle name="Output 43" xfId="34542" xr:uid="{00000000-0005-0000-0000-0000EC860000}"/>
    <cellStyle name="Output 43 2" xfId="34543" xr:uid="{00000000-0005-0000-0000-0000ED860000}"/>
    <cellStyle name="Output 43 2 10" xfId="34544" xr:uid="{00000000-0005-0000-0000-0000EE860000}"/>
    <cellStyle name="Output 43 2 10 2" xfId="34545" xr:uid="{00000000-0005-0000-0000-0000EF860000}"/>
    <cellStyle name="Output 43 2 10 2 2" xfId="34546" xr:uid="{00000000-0005-0000-0000-0000F0860000}"/>
    <cellStyle name="Output 43 2 10 2 3" xfId="34547" xr:uid="{00000000-0005-0000-0000-0000F1860000}"/>
    <cellStyle name="Output 43 2 10 3" xfId="34548" xr:uid="{00000000-0005-0000-0000-0000F2860000}"/>
    <cellStyle name="Output 43 2 10 4" xfId="34549" xr:uid="{00000000-0005-0000-0000-0000F3860000}"/>
    <cellStyle name="Output 43 2 11" xfId="34550" xr:uid="{00000000-0005-0000-0000-0000F4860000}"/>
    <cellStyle name="Output 43 2 11 2" xfId="34551" xr:uid="{00000000-0005-0000-0000-0000F5860000}"/>
    <cellStyle name="Output 43 2 11 2 2" xfId="34552" xr:uid="{00000000-0005-0000-0000-0000F6860000}"/>
    <cellStyle name="Output 43 2 11 2 3" xfId="34553" xr:uid="{00000000-0005-0000-0000-0000F7860000}"/>
    <cellStyle name="Output 43 2 11 3" xfId="34554" xr:uid="{00000000-0005-0000-0000-0000F8860000}"/>
    <cellStyle name="Output 43 2 11 4" xfId="34555" xr:uid="{00000000-0005-0000-0000-0000F9860000}"/>
    <cellStyle name="Output 43 2 12" xfId="34556" xr:uid="{00000000-0005-0000-0000-0000FA860000}"/>
    <cellStyle name="Output 43 2 12 2" xfId="34557" xr:uid="{00000000-0005-0000-0000-0000FB860000}"/>
    <cellStyle name="Output 43 2 12 2 2" xfId="34558" xr:uid="{00000000-0005-0000-0000-0000FC860000}"/>
    <cellStyle name="Output 43 2 12 2 3" xfId="34559" xr:uid="{00000000-0005-0000-0000-0000FD860000}"/>
    <cellStyle name="Output 43 2 12 3" xfId="34560" xr:uid="{00000000-0005-0000-0000-0000FE860000}"/>
    <cellStyle name="Output 43 2 12 4" xfId="34561" xr:uid="{00000000-0005-0000-0000-0000FF860000}"/>
    <cellStyle name="Output 43 2 13" xfId="34562" xr:uid="{00000000-0005-0000-0000-000000870000}"/>
    <cellStyle name="Output 43 2 13 2" xfId="34563" xr:uid="{00000000-0005-0000-0000-000001870000}"/>
    <cellStyle name="Output 43 2 13 2 2" xfId="34564" xr:uid="{00000000-0005-0000-0000-000002870000}"/>
    <cellStyle name="Output 43 2 13 2 3" xfId="34565" xr:uid="{00000000-0005-0000-0000-000003870000}"/>
    <cellStyle name="Output 43 2 13 3" xfId="34566" xr:uid="{00000000-0005-0000-0000-000004870000}"/>
    <cellStyle name="Output 43 2 13 4" xfId="34567" xr:uid="{00000000-0005-0000-0000-000005870000}"/>
    <cellStyle name="Output 43 2 14" xfId="34568" xr:uid="{00000000-0005-0000-0000-000006870000}"/>
    <cellStyle name="Output 43 2 14 2" xfId="34569" xr:uid="{00000000-0005-0000-0000-000007870000}"/>
    <cellStyle name="Output 43 2 14 2 2" xfId="34570" xr:uid="{00000000-0005-0000-0000-000008870000}"/>
    <cellStyle name="Output 43 2 14 2 3" xfId="34571" xr:uid="{00000000-0005-0000-0000-000009870000}"/>
    <cellStyle name="Output 43 2 14 3" xfId="34572" xr:uid="{00000000-0005-0000-0000-00000A870000}"/>
    <cellStyle name="Output 43 2 14 4" xfId="34573" xr:uid="{00000000-0005-0000-0000-00000B870000}"/>
    <cellStyle name="Output 43 2 15" xfId="34574" xr:uid="{00000000-0005-0000-0000-00000C870000}"/>
    <cellStyle name="Output 43 2 15 2" xfId="34575" xr:uid="{00000000-0005-0000-0000-00000D870000}"/>
    <cellStyle name="Output 43 2 15 2 2" xfId="34576" xr:uid="{00000000-0005-0000-0000-00000E870000}"/>
    <cellStyle name="Output 43 2 15 2 3" xfId="34577" xr:uid="{00000000-0005-0000-0000-00000F870000}"/>
    <cellStyle name="Output 43 2 15 3" xfId="34578" xr:uid="{00000000-0005-0000-0000-000010870000}"/>
    <cellStyle name="Output 43 2 15 4" xfId="34579" xr:uid="{00000000-0005-0000-0000-000011870000}"/>
    <cellStyle name="Output 43 2 16" xfId="34580" xr:uid="{00000000-0005-0000-0000-000012870000}"/>
    <cellStyle name="Output 43 2 16 2" xfId="34581" xr:uid="{00000000-0005-0000-0000-000013870000}"/>
    <cellStyle name="Output 43 2 16 2 2" xfId="34582" xr:uid="{00000000-0005-0000-0000-000014870000}"/>
    <cellStyle name="Output 43 2 16 2 3" xfId="34583" xr:uid="{00000000-0005-0000-0000-000015870000}"/>
    <cellStyle name="Output 43 2 16 3" xfId="34584" xr:uid="{00000000-0005-0000-0000-000016870000}"/>
    <cellStyle name="Output 43 2 16 4" xfId="34585" xr:uid="{00000000-0005-0000-0000-000017870000}"/>
    <cellStyle name="Output 43 2 17" xfId="34586" xr:uid="{00000000-0005-0000-0000-000018870000}"/>
    <cellStyle name="Output 43 2 17 2" xfId="34587" xr:uid="{00000000-0005-0000-0000-000019870000}"/>
    <cellStyle name="Output 43 2 17 2 2" xfId="34588" xr:uid="{00000000-0005-0000-0000-00001A870000}"/>
    <cellStyle name="Output 43 2 17 2 3" xfId="34589" xr:uid="{00000000-0005-0000-0000-00001B870000}"/>
    <cellStyle name="Output 43 2 17 3" xfId="34590" xr:uid="{00000000-0005-0000-0000-00001C870000}"/>
    <cellStyle name="Output 43 2 17 4" xfId="34591" xr:uid="{00000000-0005-0000-0000-00001D870000}"/>
    <cellStyle name="Output 43 2 18" xfId="34592" xr:uid="{00000000-0005-0000-0000-00001E870000}"/>
    <cellStyle name="Output 43 2 18 2" xfId="34593" xr:uid="{00000000-0005-0000-0000-00001F870000}"/>
    <cellStyle name="Output 43 2 18 3" xfId="34594" xr:uid="{00000000-0005-0000-0000-000020870000}"/>
    <cellStyle name="Output 43 2 18 4" xfId="34595" xr:uid="{00000000-0005-0000-0000-000021870000}"/>
    <cellStyle name="Output 43 2 19" xfId="34596" xr:uid="{00000000-0005-0000-0000-000022870000}"/>
    <cellStyle name="Output 43 2 2" xfId="34597" xr:uid="{00000000-0005-0000-0000-000023870000}"/>
    <cellStyle name="Output 43 2 2 2" xfId="34598" xr:uid="{00000000-0005-0000-0000-000024870000}"/>
    <cellStyle name="Output 43 2 2 2 2" xfId="34599" xr:uid="{00000000-0005-0000-0000-000025870000}"/>
    <cellStyle name="Output 43 2 2 2 3" xfId="34600" xr:uid="{00000000-0005-0000-0000-000026870000}"/>
    <cellStyle name="Output 43 2 2 3" xfId="34601" xr:uid="{00000000-0005-0000-0000-000027870000}"/>
    <cellStyle name="Output 43 2 2 4" xfId="34602" xr:uid="{00000000-0005-0000-0000-000028870000}"/>
    <cellStyle name="Output 43 2 20" xfId="34603" xr:uid="{00000000-0005-0000-0000-000029870000}"/>
    <cellStyle name="Output 43 2 21" xfId="34604" xr:uid="{00000000-0005-0000-0000-00002A870000}"/>
    <cellStyle name="Output 43 2 3" xfId="34605" xr:uid="{00000000-0005-0000-0000-00002B870000}"/>
    <cellStyle name="Output 43 2 3 2" xfId="34606" xr:uid="{00000000-0005-0000-0000-00002C870000}"/>
    <cellStyle name="Output 43 2 3 2 2" xfId="34607" xr:uid="{00000000-0005-0000-0000-00002D870000}"/>
    <cellStyle name="Output 43 2 3 2 3" xfId="34608" xr:uid="{00000000-0005-0000-0000-00002E870000}"/>
    <cellStyle name="Output 43 2 3 3" xfId="34609" xr:uid="{00000000-0005-0000-0000-00002F870000}"/>
    <cellStyle name="Output 43 2 3 4" xfId="34610" xr:uid="{00000000-0005-0000-0000-000030870000}"/>
    <cellStyle name="Output 43 2 4" xfId="34611" xr:uid="{00000000-0005-0000-0000-000031870000}"/>
    <cellStyle name="Output 43 2 4 2" xfId="34612" xr:uid="{00000000-0005-0000-0000-000032870000}"/>
    <cellStyle name="Output 43 2 4 2 2" xfId="34613" xr:uid="{00000000-0005-0000-0000-000033870000}"/>
    <cellStyle name="Output 43 2 4 2 3" xfId="34614" xr:uid="{00000000-0005-0000-0000-000034870000}"/>
    <cellStyle name="Output 43 2 4 3" xfId="34615" xr:uid="{00000000-0005-0000-0000-000035870000}"/>
    <cellStyle name="Output 43 2 4 4" xfId="34616" xr:uid="{00000000-0005-0000-0000-000036870000}"/>
    <cellStyle name="Output 43 2 5" xfId="34617" xr:uid="{00000000-0005-0000-0000-000037870000}"/>
    <cellStyle name="Output 43 2 5 2" xfId="34618" xr:uid="{00000000-0005-0000-0000-000038870000}"/>
    <cellStyle name="Output 43 2 5 2 2" xfId="34619" xr:uid="{00000000-0005-0000-0000-000039870000}"/>
    <cellStyle name="Output 43 2 5 2 3" xfId="34620" xr:uid="{00000000-0005-0000-0000-00003A870000}"/>
    <cellStyle name="Output 43 2 5 3" xfId="34621" xr:uid="{00000000-0005-0000-0000-00003B870000}"/>
    <cellStyle name="Output 43 2 5 4" xfId="34622" xr:uid="{00000000-0005-0000-0000-00003C870000}"/>
    <cellStyle name="Output 43 2 6" xfId="34623" xr:uid="{00000000-0005-0000-0000-00003D870000}"/>
    <cellStyle name="Output 43 2 6 2" xfId="34624" xr:uid="{00000000-0005-0000-0000-00003E870000}"/>
    <cellStyle name="Output 43 2 6 2 2" xfId="34625" xr:uid="{00000000-0005-0000-0000-00003F870000}"/>
    <cellStyle name="Output 43 2 6 2 3" xfId="34626" xr:uid="{00000000-0005-0000-0000-000040870000}"/>
    <cellStyle name="Output 43 2 6 3" xfId="34627" xr:uid="{00000000-0005-0000-0000-000041870000}"/>
    <cellStyle name="Output 43 2 6 4" xfId="34628" xr:uid="{00000000-0005-0000-0000-000042870000}"/>
    <cellStyle name="Output 43 2 7" xfId="34629" xr:uid="{00000000-0005-0000-0000-000043870000}"/>
    <cellStyle name="Output 43 2 7 2" xfId="34630" xr:uid="{00000000-0005-0000-0000-000044870000}"/>
    <cellStyle name="Output 43 2 7 2 2" xfId="34631" xr:uid="{00000000-0005-0000-0000-000045870000}"/>
    <cellStyle name="Output 43 2 7 2 3" xfId="34632" xr:uid="{00000000-0005-0000-0000-000046870000}"/>
    <cellStyle name="Output 43 2 7 3" xfId="34633" xr:uid="{00000000-0005-0000-0000-000047870000}"/>
    <cellStyle name="Output 43 2 7 4" xfId="34634" xr:uid="{00000000-0005-0000-0000-000048870000}"/>
    <cellStyle name="Output 43 2 8" xfId="34635" xr:uid="{00000000-0005-0000-0000-000049870000}"/>
    <cellStyle name="Output 43 2 8 2" xfId="34636" xr:uid="{00000000-0005-0000-0000-00004A870000}"/>
    <cellStyle name="Output 43 2 8 2 2" xfId="34637" xr:uid="{00000000-0005-0000-0000-00004B870000}"/>
    <cellStyle name="Output 43 2 8 2 3" xfId="34638" xr:uid="{00000000-0005-0000-0000-00004C870000}"/>
    <cellStyle name="Output 43 2 8 3" xfId="34639" xr:uid="{00000000-0005-0000-0000-00004D870000}"/>
    <cellStyle name="Output 43 2 8 4" xfId="34640" xr:uid="{00000000-0005-0000-0000-00004E870000}"/>
    <cellStyle name="Output 43 2 9" xfId="34641" xr:uid="{00000000-0005-0000-0000-00004F870000}"/>
    <cellStyle name="Output 43 2 9 2" xfId="34642" xr:uid="{00000000-0005-0000-0000-000050870000}"/>
    <cellStyle name="Output 43 2 9 2 2" xfId="34643" xr:uid="{00000000-0005-0000-0000-000051870000}"/>
    <cellStyle name="Output 43 2 9 2 3" xfId="34644" xr:uid="{00000000-0005-0000-0000-000052870000}"/>
    <cellStyle name="Output 43 2 9 3" xfId="34645" xr:uid="{00000000-0005-0000-0000-000053870000}"/>
    <cellStyle name="Output 43 2 9 4" xfId="34646" xr:uid="{00000000-0005-0000-0000-000054870000}"/>
    <cellStyle name="Output 43 3" xfId="34647" xr:uid="{00000000-0005-0000-0000-000055870000}"/>
    <cellStyle name="Output 43 3 2" xfId="34648" xr:uid="{00000000-0005-0000-0000-000056870000}"/>
    <cellStyle name="Output 43 3 2 2" xfId="34649" xr:uid="{00000000-0005-0000-0000-000057870000}"/>
    <cellStyle name="Output 43 3 2 3" xfId="34650" xr:uid="{00000000-0005-0000-0000-000058870000}"/>
    <cellStyle name="Output 43 3 3" xfId="34651" xr:uid="{00000000-0005-0000-0000-000059870000}"/>
    <cellStyle name="Output 43 3 4" xfId="34652" xr:uid="{00000000-0005-0000-0000-00005A870000}"/>
    <cellStyle name="Output 43 4" xfId="34653" xr:uid="{00000000-0005-0000-0000-00005B870000}"/>
    <cellStyle name="Output 43 5" xfId="34654" xr:uid="{00000000-0005-0000-0000-00005C870000}"/>
    <cellStyle name="Output 44" xfId="34655" xr:uid="{00000000-0005-0000-0000-00005D870000}"/>
    <cellStyle name="Output 44 2" xfId="34656" xr:uid="{00000000-0005-0000-0000-00005E870000}"/>
    <cellStyle name="Output 44 2 10" xfId="34657" xr:uid="{00000000-0005-0000-0000-00005F870000}"/>
    <cellStyle name="Output 44 2 10 2" xfId="34658" xr:uid="{00000000-0005-0000-0000-000060870000}"/>
    <cellStyle name="Output 44 2 10 2 2" xfId="34659" xr:uid="{00000000-0005-0000-0000-000061870000}"/>
    <cellStyle name="Output 44 2 10 2 3" xfId="34660" xr:uid="{00000000-0005-0000-0000-000062870000}"/>
    <cellStyle name="Output 44 2 10 3" xfId="34661" xr:uid="{00000000-0005-0000-0000-000063870000}"/>
    <cellStyle name="Output 44 2 10 4" xfId="34662" xr:uid="{00000000-0005-0000-0000-000064870000}"/>
    <cellStyle name="Output 44 2 11" xfId="34663" xr:uid="{00000000-0005-0000-0000-000065870000}"/>
    <cellStyle name="Output 44 2 11 2" xfId="34664" xr:uid="{00000000-0005-0000-0000-000066870000}"/>
    <cellStyle name="Output 44 2 11 2 2" xfId="34665" xr:uid="{00000000-0005-0000-0000-000067870000}"/>
    <cellStyle name="Output 44 2 11 2 3" xfId="34666" xr:uid="{00000000-0005-0000-0000-000068870000}"/>
    <cellStyle name="Output 44 2 11 3" xfId="34667" xr:uid="{00000000-0005-0000-0000-000069870000}"/>
    <cellStyle name="Output 44 2 11 4" xfId="34668" xr:uid="{00000000-0005-0000-0000-00006A870000}"/>
    <cellStyle name="Output 44 2 12" xfId="34669" xr:uid="{00000000-0005-0000-0000-00006B870000}"/>
    <cellStyle name="Output 44 2 12 2" xfId="34670" xr:uid="{00000000-0005-0000-0000-00006C870000}"/>
    <cellStyle name="Output 44 2 12 2 2" xfId="34671" xr:uid="{00000000-0005-0000-0000-00006D870000}"/>
    <cellStyle name="Output 44 2 12 2 3" xfId="34672" xr:uid="{00000000-0005-0000-0000-00006E870000}"/>
    <cellStyle name="Output 44 2 12 3" xfId="34673" xr:uid="{00000000-0005-0000-0000-00006F870000}"/>
    <cellStyle name="Output 44 2 12 4" xfId="34674" xr:uid="{00000000-0005-0000-0000-000070870000}"/>
    <cellStyle name="Output 44 2 13" xfId="34675" xr:uid="{00000000-0005-0000-0000-000071870000}"/>
    <cellStyle name="Output 44 2 13 2" xfId="34676" xr:uid="{00000000-0005-0000-0000-000072870000}"/>
    <cellStyle name="Output 44 2 13 2 2" xfId="34677" xr:uid="{00000000-0005-0000-0000-000073870000}"/>
    <cellStyle name="Output 44 2 13 2 3" xfId="34678" xr:uid="{00000000-0005-0000-0000-000074870000}"/>
    <cellStyle name="Output 44 2 13 3" xfId="34679" xr:uid="{00000000-0005-0000-0000-000075870000}"/>
    <cellStyle name="Output 44 2 13 4" xfId="34680" xr:uid="{00000000-0005-0000-0000-000076870000}"/>
    <cellStyle name="Output 44 2 14" xfId="34681" xr:uid="{00000000-0005-0000-0000-000077870000}"/>
    <cellStyle name="Output 44 2 14 2" xfId="34682" xr:uid="{00000000-0005-0000-0000-000078870000}"/>
    <cellStyle name="Output 44 2 14 2 2" xfId="34683" xr:uid="{00000000-0005-0000-0000-000079870000}"/>
    <cellStyle name="Output 44 2 14 2 3" xfId="34684" xr:uid="{00000000-0005-0000-0000-00007A870000}"/>
    <cellStyle name="Output 44 2 14 3" xfId="34685" xr:uid="{00000000-0005-0000-0000-00007B870000}"/>
    <cellStyle name="Output 44 2 14 4" xfId="34686" xr:uid="{00000000-0005-0000-0000-00007C870000}"/>
    <cellStyle name="Output 44 2 15" xfId="34687" xr:uid="{00000000-0005-0000-0000-00007D870000}"/>
    <cellStyle name="Output 44 2 15 2" xfId="34688" xr:uid="{00000000-0005-0000-0000-00007E870000}"/>
    <cellStyle name="Output 44 2 15 2 2" xfId="34689" xr:uid="{00000000-0005-0000-0000-00007F870000}"/>
    <cellStyle name="Output 44 2 15 2 3" xfId="34690" xr:uid="{00000000-0005-0000-0000-000080870000}"/>
    <cellStyle name="Output 44 2 15 3" xfId="34691" xr:uid="{00000000-0005-0000-0000-000081870000}"/>
    <cellStyle name="Output 44 2 15 4" xfId="34692" xr:uid="{00000000-0005-0000-0000-000082870000}"/>
    <cellStyle name="Output 44 2 16" xfId="34693" xr:uid="{00000000-0005-0000-0000-000083870000}"/>
    <cellStyle name="Output 44 2 16 2" xfId="34694" xr:uid="{00000000-0005-0000-0000-000084870000}"/>
    <cellStyle name="Output 44 2 16 2 2" xfId="34695" xr:uid="{00000000-0005-0000-0000-000085870000}"/>
    <cellStyle name="Output 44 2 16 2 3" xfId="34696" xr:uid="{00000000-0005-0000-0000-000086870000}"/>
    <cellStyle name="Output 44 2 16 3" xfId="34697" xr:uid="{00000000-0005-0000-0000-000087870000}"/>
    <cellStyle name="Output 44 2 16 4" xfId="34698" xr:uid="{00000000-0005-0000-0000-000088870000}"/>
    <cellStyle name="Output 44 2 17" xfId="34699" xr:uid="{00000000-0005-0000-0000-000089870000}"/>
    <cellStyle name="Output 44 2 17 2" xfId="34700" xr:uid="{00000000-0005-0000-0000-00008A870000}"/>
    <cellStyle name="Output 44 2 17 2 2" xfId="34701" xr:uid="{00000000-0005-0000-0000-00008B870000}"/>
    <cellStyle name="Output 44 2 17 2 3" xfId="34702" xr:uid="{00000000-0005-0000-0000-00008C870000}"/>
    <cellStyle name="Output 44 2 17 3" xfId="34703" xr:uid="{00000000-0005-0000-0000-00008D870000}"/>
    <cellStyle name="Output 44 2 17 4" xfId="34704" xr:uid="{00000000-0005-0000-0000-00008E870000}"/>
    <cellStyle name="Output 44 2 18" xfId="34705" xr:uid="{00000000-0005-0000-0000-00008F870000}"/>
    <cellStyle name="Output 44 2 18 2" xfId="34706" xr:uid="{00000000-0005-0000-0000-000090870000}"/>
    <cellStyle name="Output 44 2 18 3" xfId="34707" xr:uid="{00000000-0005-0000-0000-000091870000}"/>
    <cellStyle name="Output 44 2 18 4" xfId="34708" xr:uid="{00000000-0005-0000-0000-000092870000}"/>
    <cellStyle name="Output 44 2 19" xfId="34709" xr:uid="{00000000-0005-0000-0000-000093870000}"/>
    <cellStyle name="Output 44 2 2" xfId="34710" xr:uid="{00000000-0005-0000-0000-000094870000}"/>
    <cellStyle name="Output 44 2 2 2" xfId="34711" xr:uid="{00000000-0005-0000-0000-000095870000}"/>
    <cellStyle name="Output 44 2 2 2 2" xfId="34712" xr:uid="{00000000-0005-0000-0000-000096870000}"/>
    <cellStyle name="Output 44 2 2 2 3" xfId="34713" xr:uid="{00000000-0005-0000-0000-000097870000}"/>
    <cellStyle name="Output 44 2 2 3" xfId="34714" xr:uid="{00000000-0005-0000-0000-000098870000}"/>
    <cellStyle name="Output 44 2 2 4" xfId="34715" xr:uid="{00000000-0005-0000-0000-000099870000}"/>
    <cellStyle name="Output 44 2 20" xfId="34716" xr:uid="{00000000-0005-0000-0000-00009A870000}"/>
    <cellStyle name="Output 44 2 21" xfId="34717" xr:uid="{00000000-0005-0000-0000-00009B870000}"/>
    <cellStyle name="Output 44 2 3" xfId="34718" xr:uid="{00000000-0005-0000-0000-00009C870000}"/>
    <cellStyle name="Output 44 2 3 2" xfId="34719" xr:uid="{00000000-0005-0000-0000-00009D870000}"/>
    <cellStyle name="Output 44 2 3 2 2" xfId="34720" xr:uid="{00000000-0005-0000-0000-00009E870000}"/>
    <cellStyle name="Output 44 2 3 2 3" xfId="34721" xr:uid="{00000000-0005-0000-0000-00009F870000}"/>
    <cellStyle name="Output 44 2 3 3" xfId="34722" xr:uid="{00000000-0005-0000-0000-0000A0870000}"/>
    <cellStyle name="Output 44 2 3 4" xfId="34723" xr:uid="{00000000-0005-0000-0000-0000A1870000}"/>
    <cellStyle name="Output 44 2 4" xfId="34724" xr:uid="{00000000-0005-0000-0000-0000A2870000}"/>
    <cellStyle name="Output 44 2 4 2" xfId="34725" xr:uid="{00000000-0005-0000-0000-0000A3870000}"/>
    <cellStyle name="Output 44 2 4 2 2" xfId="34726" xr:uid="{00000000-0005-0000-0000-0000A4870000}"/>
    <cellStyle name="Output 44 2 4 2 3" xfId="34727" xr:uid="{00000000-0005-0000-0000-0000A5870000}"/>
    <cellStyle name="Output 44 2 4 3" xfId="34728" xr:uid="{00000000-0005-0000-0000-0000A6870000}"/>
    <cellStyle name="Output 44 2 4 4" xfId="34729" xr:uid="{00000000-0005-0000-0000-0000A7870000}"/>
    <cellStyle name="Output 44 2 5" xfId="34730" xr:uid="{00000000-0005-0000-0000-0000A8870000}"/>
    <cellStyle name="Output 44 2 5 2" xfId="34731" xr:uid="{00000000-0005-0000-0000-0000A9870000}"/>
    <cellStyle name="Output 44 2 5 2 2" xfId="34732" xr:uid="{00000000-0005-0000-0000-0000AA870000}"/>
    <cellStyle name="Output 44 2 5 2 3" xfId="34733" xr:uid="{00000000-0005-0000-0000-0000AB870000}"/>
    <cellStyle name="Output 44 2 5 3" xfId="34734" xr:uid="{00000000-0005-0000-0000-0000AC870000}"/>
    <cellStyle name="Output 44 2 5 4" xfId="34735" xr:uid="{00000000-0005-0000-0000-0000AD870000}"/>
    <cellStyle name="Output 44 2 6" xfId="34736" xr:uid="{00000000-0005-0000-0000-0000AE870000}"/>
    <cellStyle name="Output 44 2 6 2" xfId="34737" xr:uid="{00000000-0005-0000-0000-0000AF870000}"/>
    <cellStyle name="Output 44 2 6 2 2" xfId="34738" xr:uid="{00000000-0005-0000-0000-0000B0870000}"/>
    <cellStyle name="Output 44 2 6 2 3" xfId="34739" xr:uid="{00000000-0005-0000-0000-0000B1870000}"/>
    <cellStyle name="Output 44 2 6 3" xfId="34740" xr:uid="{00000000-0005-0000-0000-0000B2870000}"/>
    <cellStyle name="Output 44 2 6 4" xfId="34741" xr:uid="{00000000-0005-0000-0000-0000B3870000}"/>
    <cellStyle name="Output 44 2 7" xfId="34742" xr:uid="{00000000-0005-0000-0000-0000B4870000}"/>
    <cellStyle name="Output 44 2 7 2" xfId="34743" xr:uid="{00000000-0005-0000-0000-0000B5870000}"/>
    <cellStyle name="Output 44 2 7 2 2" xfId="34744" xr:uid="{00000000-0005-0000-0000-0000B6870000}"/>
    <cellStyle name="Output 44 2 7 2 3" xfId="34745" xr:uid="{00000000-0005-0000-0000-0000B7870000}"/>
    <cellStyle name="Output 44 2 7 3" xfId="34746" xr:uid="{00000000-0005-0000-0000-0000B8870000}"/>
    <cellStyle name="Output 44 2 7 4" xfId="34747" xr:uid="{00000000-0005-0000-0000-0000B9870000}"/>
    <cellStyle name="Output 44 2 8" xfId="34748" xr:uid="{00000000-0005-0000-0000-0000BA870000}"/>
    <cellStyle name="Output 44 2 8 2" xfId="34749" xr:uid="{00000000-0005-0000-0000-0000BB870000}"/>
    <cellStyle name="Output 44 2 8 2 2" xfId="34750" xr:uid="{00000000-0005-0000-0000-0000BC870000}"/>
    <cellStyle name="Output 44 2 8 2 3" xfId="34751" xr:uid="{00000000-0005-0000-0000-0000BD870000}"/>
    <cellStyle name="Output 44 2 8 3" xfId="34752" xr:uid="{00000000-0005-0000-0000-0000BE870000}"/>
    <cellStyle name="Output 44 2 8 4" xfId="34753" xr:uid="{00000000-0005-0000-0000-0000BF870000}"/>
    <cellStyle name="Output 44 2 9" xfId="34754" xr:uid="{00000000-0005-0000-0000-0000C0870000}"/>
    <cellStyle name="Output 44 2 9 2" xfId="34755" xr:uid="{00000000-0005-0000-0000-0000C1870000}"/>
    <cellStyle name="Output 44 2 9 2 2" xfId="34756" xr:uid="{00000000-0005-0000-0000-0000C2870000}"/>
    <cellStyle name="Output 44 2 9 2 3" xfId="34757" xr:uid="{00000000-0005-0000-0000-0000C3870000}"/>
    <cellStyle name="Output 44 2 9 3" xfId="34758" xr:uid="{00000000-0005-0000-0000-0000C4870000}"/>
    <cellStyle name="Output 44 2 9 4" xfId="34759" xr:uid="{00000000-0005-0000-0000-0000C5870000}"/>
    <cellStyle name="Output 44 3" xfId="34760" xr:uid="{00000000-0005-0000-0000-0000C6870000}"/>
    <cellStyle name="Output 44 3 2" xfId="34761" xr:uid="{00000000-0005-0000-0000-0000C7870000}"/>
    <cellStyle name="Output 44 3 2 2" xfId="34762" xr:uid="{00000000-0005-0000-0000-0000C8870000}"/>
    <cellStyle name="Output 44 3 2 3" xfId="34763" xr:uid="{00000000-0005-0000-0000-0000C9870000}"/>
    <cellStyle name="Output 44 3 3" xfId="34764" xr:uid="{00000000-0005-0000-0000-0000CA870000}"/>
    <cellStyle name="Output 44 3 4" xfId="34765" xr:uid="{00000000-0005-0000-0000-0000CB870000}"/>
    <cellStyle name="Output 44 4" xfId="34766" xr:uid="{00000000-0005-0000-0000-0000CC870000}"/>
    <cellStyle name="Output 44 5" xfId="34767" xr:uid="{00000000-0005-0000-0000-0000CD870000}"/>
    <cellStyle name="Output 45" xfId="34768" xr:uid="{00000000-0005-0000-0000-0000CE870000}"/>
    <cellStyle name="Output 45 2" xfId="34769" xr:uid="{00000000-0005-0000-0000-0000CF870000}"/>
    <cellStyle name="Output 45 2 10" xfId="34770" xr:uid="{00000000-0005-0000-0000-0000D0870000}"/>
    <cellStyle name="Output 45 2 10 2" xfId="34771" xr:uid="{00000000-0005-0000-0000-0000D1870000}"/>
    <cellStyle name="Output 45 2 10 2 2" xfId="34772" xr:uid="{00000000-0005-0000-0000-0000D2870000}"/>
    <cellStyle name="Output 45 2 10 2 3" xfId="34773" xr:uid="{00000000-0005-0000-0000-0000D3870000}"/>
    <cellStyle name="Output 45 2 10 3" xfId="34774" xr:uid="{00000000-0005-0000-0000-0000D4870000}"/>
    <cellStyle name="Output 45 2 10 4" xfId="34775" xr:uid="{00000000-0005-0000-0000-0000D5870000}"/>
    <cellStyle name="Output 45 2 11" xfId="34776" xr:uid="{00000000-0005-0000-0000-0000D6870000}"/>
    <cellStyle name="Output 45 2 11 2" xfId="34777" xr:uid="{00000000-0005-0000-0000-0000D7870000}"/>
    <cellStyle name="Output 45 2 11 2 2" xfId="34778" xr:uid="{00000000-0005-0000-0000-0000D8870000}"/>
    <cellStyle name="Output 45 2 11 2 3" xfId="34779" xr:uid="{00000000-0005-0000-0000-0000D9870000}"/>
    <cellStyle name="Output 45 2 11 3" xfId="34780" xr:uid="{00000000-0005-0000-0000-0000DA870000}"/>
    <cellStyle name="Output 45 2 11 4" xfId="34781" xr:uid="{00000000-0005-0000-0000-0000DB870000}"/>
    <cellStyle name="Output 45 2 12" xfId="34782" xr:uid="{00000000-0005-0000-0000-0000DC870000}"/>
    <cellStyle name="Output 45 2 12 2" xfId="34783" xr:uid="{00000000-0005-0000-0000-0000DD870000}"/>
    <cellStyle name="Output 45 2 12 2 2" xfId="34784" xr:uid="{00000000-0005-0000-0000-0000DE870000}"/>
    <cellStyle name="Output 45 2 12 2 3" xfId="34785" xr:uid="{00000000-0005-0000-0000-0000DF870000}"/>
    <cellStyle name="Output 45 2 12 3" xfId="34786" xr:uid="{00000000-0005-0000-0000-0000E0870000}"/>
    <cellStyle name="Output 45 2 12 4" xfId="34787" xr:uid="{00000000-0005-0000-0000-0000E1870000}"/>
    <cellStyle name="Output 45 2 13" xfId="34788" xr:uid="{00000000-0005-0000-0000-0000E2870000}"/>
    <cellStyle name="Output 45 2 13 2" xfId="34789" xr:uid="{00000000-0005-0000-0000-0000E3870000}"/>
    <cellStyle name="Output 45 2 13 2 2" xfId="34790" xr:uid="{00000000-0005-0000-0000-0000E4870000}"/>
    <cellStyle name="Output 45 2 13 2 3" xfId="34791" xr:uid="{00000000-0005-0000-0000-0000E5870000}"/>
    <cellStyle name="Output 45 2 13 3" xfId="34792" xr:uid="{00000000-0005-0000-0000-0000E6870000}"/>
    <cellStyle name="Output 45 2 13 4" xfId="34793" xr:uid="{00000000-0005-0000-0000-0000E7870000}"/>
    <cellStyle name="Output 45 2 14" xfId="34794" xr:uid="{00000000-0005-0000-0000-0000E8870000}"/>
    <cellStyle name="Output 45 2 14 2" xfId="34795" xr:uid="{00000000-0005-0000-0000-0000E9870000}"/>
    <cellStyle name="Output 45 2 14 2 2" xfId="34796" xr:uid="{00000000-0005-0000-0000-0000EA870000}"/>
    <cellStyle name="Output 45 2 14 2 3" xfId="34797" xr:uid="{00000000-0005-0000-0000-0000EB870000}"/>
    <cellStyle name="Output 45 2 14 3" xfId="34798" xr:uid="{00000000-0005-0000-0000-0000EC870000}"/>
    <cellStyle name="Output 45 2 14 4" xfId="34799" xr:uid="{00000000-0005-0000-0000-0000ED870000}"/>
    <cellStyle name="Output 45 2 15" xfId="34800" xr:uid="{00000000-0005-0000-0000-0000EE870000}"/>
    <cellStyle name="Output 45 2 15 2" xfId="34801" xr:uid="{00000000-0005-0000-0000-0000EF870000}"/>
    <cellStyle name="Output 45 2 15 2 2" xfId="34802" xr:uid="{00000000-0005-0000-0000-0000F0870000}"/>
    <cellStyle name="Output 45 2 15 2 3" xfId="34803" xr:uid="{00000000-0005-0000-0000-0000F1870000}"/>
    <cellStyle name="Output 45 2 15 3" xfId="34804" xr:uid="{00000000-0005-0000-0000-0000F2870000}"/>
    <cellStyle name="Output 45 2 15 4" xfId="34805" xr:uid="{00000000-0005-0000-0000-0000F3870000}"/>
    <cellStyle name="Output 45 2 16" xfId="34806" xr:uid="{00000000-0005-0000-0000-0000F4870000}"/>
    <cellStyle name="Output 45 2 16 2" xfId="34807" xr:uid="{00000000-0005-0000-0000-0000F5870000}"/>
    <cellStyle name="Output 45 2 16 2 2" xfId="34808" xr:uid="{00000000-0005-0000-0000-0000F6870000}"/>
    <cellStyle name="Output 45 2 16 2 3" xfId="34809" xr:uid="{00000000-0005-0000-0000-0000F7870000}"/>
    <cellStyle name="Output 45 2 16 3" xfId="34810" xr:uid="{00000000-0005-0000-0000-0000F8870000}"/>
    <cellStyle name="Output 45 2 16 4" xfId="34811" xr:uid="{00000000-0005-0000-0000-0000F9870000}"/>
    <cellStyle name="Output 45 2 17" xfId="34812" xr:uid="{00000000-0005-0000-0000-0000FA870000}"/>
    <cellStyle name="Output 45 2 17 2" xfId="34813" xr:uid="{00000000-0005-0000-0000-0000FB870000}"/>
    <cellStyle name="Output 45 2 17 2 2" xfId="34814" xr:uid="{00000000-0005-0000-0000-0000FC870000}"/>
    <cellStyle name="Output 45 2 17 2 3" xfId="34815" xr:uid="{00000000-0005-0000-0000-0000FD870000}"/>
    <cellStyle name="Output 45 2 17 3" xfId="34816" xr:uid="{00000000-0005-0000-0000-0000FE870000}"/>
    <cellStyle name="Output 45 2 17 4" xfId="34817" xr:uid="{00000000-0005-0000-0000-0000FF870000}"/>
    <cellStyle name="Output 45 2 18" xfId="34818" xr:uid="{00000000-0005-0000-0000-000000880000}"/>
    <cellStyle name="Output 45 2 18 2" xfId="34819" xr:uid="{00000000-0005-0000-0000-000001880000}"/>
    <cellStyle name="Output 45 2 18 3" xfId="34820" xr:uid="{00000000-0005-0000-0000-000002880000}"/>
    <cellStyle name="Output 45 2 18 4" xfId="34821" xr:uid="{00000000-0005-0000-0000-000003880000}"/>
    <cellStyle name="Output 45 2 19" xfId="34822" xr:uid="{00000000-0005-0000-0000-000004880000}"/>
    <cellStyle name="Output 45 2 2" xfId="34823" xr:uid="{00000000-0005-0000-0000-000005880000}"/>
    <cellStyle name="Output 45 2 2 2" xfId="34824" xr:uid="{00000000-0005-0000-0000-000006880000}"/>
    <cellStyle name="Output 45 2 2 2 2" xfId="34825" xr:uid="{00000000-0005-0000-0000-000007880000}"/>
    <cellStyle name="Output 45 2 2 2 3" xfId="34826" xr:uid="{00000000-0005-0000-0000-000008880000}"/>
    <cellStyle name="Output 45 2 2 3" xfId="34827" xr:uid="{00000000-0005-0000-0000-000009880000}"/>
    <cellStyle name="Output 45 2 2 4" xfId="34828" xr:uid="{00000000-0005-0000-0000-00000A880000}"/>
    <cellStyle name="Output 45 2 20" xfId="34829" xr:uid="{00000000-0005-0000-0000-00000B880000}"/>
    <cellStyle name="Output 45 2 21" xfId="34830" xr:uid="{00000000-0005-0000-0000-00000C880000}"/>
    <cellStyle name="Output 45 2 3" xfId="34831" xr:uid="{00000000-0005-0000-0000-00000D880000}"/>
    <cellStyle name="Output 45 2 3 2" xfId="34832" xr:uid="{00000000-0005-0000-0000-00000E880000}"/>
    <cellStyle name="Output 45 2 3 2 2" xfId="34833" xr:uid="{00000000-0005-0000-0000-00000F880000}"/>
    <cellStyle name="Output 45 2 3 2 3" xfId="34834" xr:uid="{00000000-0005-0000-0000-000010880000}"/>
    <cellStyle name="Output 45 2 3 3" xfId="34835" xr:uid="{00000000-0005-0000-0000-000011880000}"/>
    <cellStyle name="Output 45 2 3 4" xfId="34836" xr:uid="{00000000-0005-0000-0000-000012880000}"/>
    <cellStyle name="Output 45 2 4" xfId="34837" xr:uid="{00000000-0005-0000-0000-000013880000}"/>
    <cellStyle name="Output 45 2 4 2" xfId="34838" xr:uid="{00000000-0005-0000-0000-000014880000}"/>
    <cellStyle name="Output 45 2 4 2 2" xfId="34839" xr:uid="{00000000-0005-0000-0000-000015880000}"/>
    <cellStyle name="Output 45 2 4 2 3" xfId="34840" xr:uid="{00000000-0005-0000-0000-000016880000}"/>
    <cellStyle name="Output 45 2 4 3" xfId="34841" xr:uid="{00000000-0005-0000-0000-000017880000}"/>
    <cellStyle name="Output 45 2 4 4" xfId="34842" xr:uid="{00000000-0005-0000-0000-000018880000}"/>
    <cellStyle name="Output 45 2 5" xfId="34843" xr:uid="{00000000-0005-0000-0000-000019880000}"/>
    <cellStyle name="Output 45 2 5 2" xfId="34844" xr:uid="{00000000-0005-0000-0000-00001A880000}"/>
    <cellStyle name="Output 45 2 5 2 2" xfId="34845" xr:uid="{00000000-0005-0000-0000-00001B880000}"/>
    <cellStyle name="Output 45 2 5 2 3" xfId="34846" xr:uid="{00000000-0005-0000-0000-00001C880000}"/>
    <cellStyle name="Output 45 2 5 3" xfId="34847" xr:uid="{00000000-0005-0000-0000-00001D880000}"/>
    <cellStyle name="Output 45 2 5 4" xfId="34848" xr:uid="{00000000-0005-0000-0000-00001E880000}"/>
    <cellStyle name="Output 45 2 6" xfId="34849" xr:uid="{00000000-0005-0000-0000-00001F880000}"/>
    <cellStyle name="Output 45 2 6 2" xfId="34850" xr:uid="{00000000-0005-0000-0000-000020880000}"/>
    <cellStyle name="Output 45 2 6 2 2" xfId="34851" xr:uid="{00000000-0005-0000-0000-000021880000}"/>
    <cellStyle name="Output 45 2 6 2 3" xfId="34852" xr:uid="{00000000-0005-0000-0000-000022880000}"/>
    <cellStyle name="Output 45 2 6 3" xfId="34853" xr:uid="{00000000-0005-0000-0000-000023880000}"/>
    <cellStyle name="Output 45 2 6 4" xfId="34854" xr:uid="{00000000-0005-0000-0000-000024880000}"/>
    <cellStyle name="Output 45 2 7" xfId="34855" xr:uid="{00000000-0005-0000-0000-000025880000}"/>
    <cellStyle name="Output 45 2 7 2" xfId="34856" xr:uid="{00000000-0005-0000-0000-000026880000}"/>
    <cellStyle name="Output 45 2 7 2 2" xfId="34857" xr:uid="{00000000-0005-0000-0000-000027880000}"/>
    <cellStyle name="Output 45 2 7 2 3" xfId="34858" xr:uid="{00000000-0005-0000-0000-000028880000}"/>
    <cellStyle name="Output 45 2 7 3" xfId="34859" xr:uid="{00000000-0005-0000-0000-000029880000}"/>
    <cellStyle name="Output 45 2 7 4" xfId="34860" xr:uid="{00000000-0005-0000-0000-00002A880000}"/>
    <cellStyle name="Output 45 2 8" xfId="34861" xr:uid="{00000000-0005-0000-0000-00002B880000}"/>
    <cellStyle name="Output 45 2 8 2" xfId="34862" xr:uid="{00000000-0005-0000-0000-00002C880000}"/>
    <cellStyle name="Output 45 2 8 2 2" xfId="34863" xr:uid="{00000000-0005-0000-0000-00002D880000}"/>
    <cellStyle name="Output 45 2 8 2 3" xfId="34864" xr:uid="{00000000-0005-0000-0000-00002E880000}"/>
    <cellStyle name="Output 45 2 8 3" xfId="34865" xr:uid="{00000000-0005-0000-0000-00002F880000}"/>
    <cellStyle name="Output 45 2 8 4" xfId="34866" xr:uid="{00000000-0005-0000-0000-000030880000}"/>
    <cellStyle name="Output 45 2 9" xfId="34867" xr:uid="{00000000-0005-0000-0000-000031880000}"/>
    <cellStyle name="Output 45 2 9 2" xfId="34868" xr:uid="{00000000-0005-0000-0000-000032880000}"/>
    <cellStyle name="Output 45 2 9 2 2" xfId="34869" xr:uid="{00000000-0005-0000-0000-000033880000}"/>
    <cellStyle name="Output 45 2 9 2 3" xfId="34870" xr:uid="{00000000-0005-0000-0000-000034880000}"/>
    <cellStyle name="Output 45 2 9 3" xfId="34871" xr:uid="{00000000-0005-0000-0000-000035880000}"/>
    <cellStyle name="Output 45 2 9 4" xfId="34872" xr:uid="{00000000-0005-0000-0000-000036880000}"/>
    <cellStyle name="Output 45 3" xfId="34873" xr:uid="{00000000-0005-0000-0000-000037880000}"/>
    <cellStyle name="Output 45 3 2" xfId="34874" xr:uid="{00000000-0005-0000-0000-000038880000}"/>
    <cellStyle name="Output 45 3 2 2" xfId="34875" xr:uid="{00000000-0005-0000-0000-000039880000}"/>
    <cellStyle name="Output 45 3 2 3" xfId="34876" xr:uid="{00000000-0005-0000-0000-00003A880000}"/>
    <cellStyle name="Output 45 3 3" xfId="34877" xr:uid="{00000000-0005-0000-0000-00003B880000}"/>
    <cellStyle name="Output 45 3 4" xfId="34878" xr:uid="{00000000-0005-0000-0000-00003C880000}"/>
    <cellStyle name="Output 45 4" xfId="34879" xr:uid="{00000000-0005-0000-0000-00003D880000}"/>
    <cellStyle name="Output 45 5" xfId="34880" xr:uid="{00000000-0005-0000-0000-00003E880000}"/>
    <cellStyle name="Output 46" xfId="34881" xr:uid="{00000000-0005-0000-0000-00003F880000}"/>
    <cellStyle name="Output 46 2" xfId="34882" xr:uid="{00000000-0005-0000-0000-000040880000}"/>
    <cellStyle name="Output 46 2 10" xfId="34883" xr:uid="{00000000-0005-0000-0000-000041880000}"/>
    <cellStyle name="Output 46 2 10 2" xfId="34884" xr:uid="{00000000-0005-0000-0000-000042880000}"/>
    <cellStyle name="Output 46 2 10 2 2" xfId="34885" xr:uid="{00000000-0005-0000-0000-000043880000}"/>
    <cellStyle name="Output 46 2 10 2 3" xfId="34886" xr:uid="{00000000-0005-0000-0000-000044880000}"/>
    <cellStyle name="Output 46 2 10 3" xfId="34887" xr:uid="{00000000-0005-0000-0000-000045880000}"/>
    <cellStyle name="Output 46 2 10 4" xfId="34888" xr:uid="{00000000-0005-0000-0000-000046880000}"/>
    <cellStyle name="Output 46 2 11" xfId="34889" xr:uid="{00000000-0005-0000-0000-000047880000}"/>
    <cellStyle name="Output 46 2 11 2" xfId="34890" xr:uid="{00000000-0005-0000-0000-000048880000}"/>
    <cellStyle name="Output 46 2 11 2 2" xfId="34891" xr:uid="{00000000-0005-0000-0000-000049880000}"/>
    <cellStyle name="Output 46 2 11 2 3" xfId="34892" xr:uid="{00000000-0005-0000-0000-00004A880000}"/>
    <cellStyle name="Output 46 2 11 3" xfId="34893" xr:uid="{00000000-0005-0000-0000-00004B880000}"/>
    <cellStyle name="Output 46 2 11 4" xfId="34894" xr:uid="{00000000-0005-0000-0000-00004C880000}"/>
    <cellStyle name="Output 46 2 12" xfId="34895" xr:uid="{00000000-0005-0000-0000-00004D880000}"/>
    <cellStyle name="Output 46 2 12 2" xfId="34896" xr:uid="{00000000-0005-0000-0000-00004E880000}"/>
    <cellStyle name="Output 46 2 12 2 2" xfId="34897" xr:uid="{00000000-0005-0000-0000-00004F880000}"/>
    <cellStyle name="Output 46 2 12 2 3" xfId="34898" xr:uid="{00000000-0005-0000-0000-000050880000}"/>
    <cellStyle name="Output 46 2 12 3" xfId="34899" xr:uid="{00000000-0005-0000-0000-000051880000}"/>
    <cellStyle name="Output 46 2 12 4" xfId="34900" xr:uid="{00000000-0005-0000-0000-000052880000}"/>
    <cellStyle name="Output 46 2 13" xfId="34901" xr:uid="{00000000-0005-0000-0000-000053880000}"/>
    <cellStyle name="Output 46 2 13 2" xfId="34902" xr:uid="{00000000-0005-0000-0000-000054880000}"/>
    <cellStyle name="Output 46 2 13 2 2" xfId="34903" xr:uid="{00000000-0005-0000-0000-000055880000}"/>
    <cellStyle name="Output 46 2 13 2 3" xfId="34904" xr:uid="{00000000-0005-0000-0000-000056880000}"/>
    <cellStyle name="Output 46 2 13 3" xfId="34905" xr:uid="{00000000-0005-0000-0000-000057880000}"/>
    <cellStyle name="Output 46 2 13 4" xfId="34906" xr:uid="{00000000-0005-0000-0000-000058880000}"/>
    <cellStyle name="Output 46 2 14" xfId="34907" xr:uid="{00000000-0005-0000-0000-000059880000}"/>
    <cellStyle name="Output 46 2 14 2" xfId="34908" xr:uid="{00000000-0005-0000-0000-00005A880000}"/>
    <cellStyle name="Output 46 2 14 2 2" xfId="34909" xr:uid="{00000000-0005-0000-0000-00005B880000}"/>
    <cellStyle name="Output 46 2 14 2 3" xfId="34910" xr:uid="{00000000-0005-0000-0000-00005C880000}"/>
    <cellStyle name="Output 46 2 14 3" xfId="34911" xr:uid="{00000000-0005-0000-0000-00005D880000}"/>
    <cellStyle name="Output 46 2 14 4" xfId="34912" xr:uid="{00000000-0005-0000-0000-00005E880000}"/>
    <cellStyle name="Output 46 2 15" xfId="34913" xr:uid="{00000000-0005-0000-0000-00005F880000}"/>
    <cellStyle name="Output 46 2 15 2" xfId="34914" xr:uid="{00000000-0005-0000-0000-000060880000}"/>
    <cellStyle name="Output 46 2 15 2 2" xfId="34915" xr:uid="{00000000-0005-0000-0000-000061880000}"/>
    <cellStyle name="Output 46 2 15 2 3" xfId="34916" xr:uid="{00000000-0005-0000-0000-000062880000}"/>
    <cellStyle name="Output 46 2 15 3" xfId="34917" xr:uid="{00000000-0005-0000-0000-000063880000}"/>
    <cellStyle name="Output 46 2 15 4" xfId="34918" xr:uid="{00000000-0005-0000-0000-000064880000}"/>
    <cellStyle name="Output 46 2 16" xfId="34919" xr:uid="{00000000-0005-0000-0000-000065880000}"/>
    <cellStyle name="Output 46 2 16 2" xfId="34920" xr:uid="{00000000-0005-0000-0000-000066880000}"/>
    <cellStyle name="Output 46 2 16 2 2" xfId="34921" xr:uid="{00000000-0005-0000-0000-000067880000}"/>
    <cellStyle name="Output 46 2 16 2 3" xfId="34922" xr:uid="{00000000-0005-0000-0000-000068880000}"/>
    <cellStyle name="Output 46 2 16 3" xfId="34923" xr:uid="{00000000-0005-0000-0000-000069880000}"/>
    <cellStyle name="Output 46 2 16 4" xfId="34924" xr:uid="{00000000-0005-0000-0000-00006A880000}"/>
    <cellStyle name="Output 46 2 17" xfId="34925" xr:uid="{00000000-0005-0000-0000-00006B880000}"/>
    <cellStyle name="Output 46 2 17 2" xfId="34926" xr:uid="{00000000-0005-0000-0000-00006C880000}"/>
    <cellStyle name="Output 46 2 17 2 2" xfId="34927" xr:uid="{00000000-0005-0000-0000-00006D880000}"/>
    <cellStyle name="Output 46 2 17 2 3" xfId="34928" xr:uid="{00000000-0005-0000-0000-00006E880000}"/>
    <cellStyle name="Output 46 2 17 3" xfId="34929" xr:uid="{00000000-0005-0000-0000-00006F880000}"/>
    <cellStyle name="Output 46 2 17 4" xfId="34930" xr:uid="{00000000-0005-0000-0000-000070880000}"/>
    <cellStyle name="Output 46 2 18" xfId="34931" xr:uid="{00000000-0005-0000-0000-000071880000}"/>
    <cellStyle name="Output 46 2 18 2" xfId="34932" xr:uid="{00000000-0005-0000-0000-000072880000}"/>
    <cellStyle name="Output 46 2 18 3" xfId="34933" xr:uid="{00000000-0005-0000-0000-000073880000}"/>
    <cellStyle name="Output 46 2 18 4" xfId="34934" xr:uid="{00000000-0005-0000-0000-000074880000}"/>
    <cellStyle name="Output 46 2 19" xfId="34935" xr:uid="{00000000-0005-0000-0000-000075880000}"/>
    <cellStyle name="Output 46 2 2" xfId="34936" xr:uid="{00000000-0005-0000-0000-000076880000}"/>
    <cellStyle name="Output 46 2 2 2" xfId="34937" xr:uid="{00000000-0005-0000-0000-000077880000}"/>
    <cellStyle name="Output 46 2 2 2 2" xfId="34938" xr:uid="{00000000-0005-0000-0000-000078880000}"/>
    <cellStyle name="Output 46 2 2 2 3" xfId="34939" xr:uid="{00000000-0005-0000-0000-000079880000}"/>
    <cellStyle name="Output 46 2 2 3" xfId="34940" xr:uid="{00000000-0005-0000-0000-00007A880000}"/>
    <cellStyle name="Output 46 2 2 4" xfId="34941" xr:uid="{00000000-0005-0000-0000-00007B880000}"/>
    <cellStyle name="Output 46 2 20" xfId="34942" xr:uid="{00000000-0005-0000-0000-00007C880000}"/>
    <cellStyle name="Output 46 2 21" xfId="34943" xr:uid="{00000000-0005-0000-0000-00007D880000}"/>
    <cellStyle name="Output 46 2 3" xfId="34944" xr:uid="{00000000-0005-0000-0000-00007E880000}"/>
    <cellStyle name="Output 46 2 3 2" xfId="34945" xr:uid="{00000000-0005-0000-0000-00007F880000}"/>
    <cellStyle name="Output 46 2 3 2 2" xfId="34946" xr:uid="{00000000-0005-0000-0000-000080880000}"/>
    <cellStyle name="Output 46 2 3 2 3" xfId="34947" xr:uid="{00000000-0005-0000-0000-000081880000}"/>
    <cellStyle name="Output 46 2 3 3" xfId="34948" xr:uid="{00000000-0005-0000-0000-000082880000}"/>
    <cellStyle name="Output 46 2 3 4" xfId="34949" xr:uid="{00000000-0005-0000-0000-000083880000}"/>
    <cellStyle name="Output 46 2 4" xfId="34950" xr:uid="{00000000-0005-0000-0000-000084880000}"/>
    <cellStyle name="Output 46 2 4 2" xfId="34951" xr:uid="{00000000-0005-0000-0000-000085880000}"/>
    <cellStyle name="Output 46 2 4 2 2" xfId="34952" xr:uid="{00000000-0005-0000-0000-000086880000}"/>
    <cellStyle name="Output 46 2 4 2 3" xfId="34953" xr:uid="{00000000-0005-0000-0000-000087880000}"/>
    <cellStyle name="Output 46 2 4 3" xfId="34954" xr:uid="{00000000-0005-0000-0000-000088880000}"/>
    <cellStyle name="Output 46 2 4 4" xfId="34955" xr:uid="{00000000-0005-0000-0000-000089880000}"/>
    <cellStyle name="Output 46 2 5" xfId="34956" xr:uid="{00000000-0005-0000-0000-00008A880000}"/>
    <cellStyle name="Output 46 2 5 2" xfId="34957" xr:uid="{00000000-0005-0000-0000-00008B880000}"/>
    <cellStyle name="Output 46 2 5 2 2" xfId="34958" xr:uid="{00000000-0005-0000-0000-00008C880000}"/>
    <cellStyle name="Output 46 2 5 2 3" xfId="34959" xr:uid="{00000000-0005-0000-0000-00008D880000}"/>
    <cellStyle name="Output 46 2 5 3" xfId="34960" xr:uid="{00000000-0005-0000-0000-00008E880000}"/>
    <cellStyle name="Output 46 2 5 4" xfId="34961" xr:uid="{00000000-0005-0000-0000-00008F880000}"/>
    <cellStyle name="Output 46 2 6" xfId="34962" xr:uid="{00000000-0005-0000-0000-000090880000}"/>
    <cellStyle name="Output 46 2 6 2" xfId="34963" xr:uid="{00000000-0005-0000-0000-000091880000}"/>
    <cellStyle name="Output 46 2 6 2 2" xfId="34964" xr:uid="{00000000-0005-0000-0000-000092880000}"/>
    <cellStyle name="Output 46 2 6 2 3" xfId="34965" xr:uid="{00000000-0005-0000-0000-000093880000}"/>
    <cellStyle name="Output 46 2 6 3" xfId="34966" xr:uid="{00000000-0005-0000-0000-000094880000}"/>
    <cellStyle name="Output 46 2 6 4" xfId="34967" xr:uid="{00000000-0005-0000-0000-000095880000}"/>
    <cellStyle name="Output 46 2 7" xfId="34968" xr:uid="{00000000-0005-0000-0000-000096880000}"/>
    <cellStyle name="Output 46 2 7 2" xfId="34969" xr:uid="{00000000-0005-0000-0000-000097880000}"/>
    <cellStyle name="Output 46 2 7 2 2" xfId="34970" xr:uid="{00000000-0005-0000-0000-000098880000}"/>
    <cellStyle name="Output 46 2 7 2 3" xfId="34971" xr:uid="{00000000-0005-0000-0000-000099880000}"/>
    <cellStyle name="Output 46 2 7 3" xfId="34972" xr:uid="{00000000-0005-0000-0000-00009A880000}"/>
    <cellStyle name="Output 46 2 7 4" xfId="34973" xr:uid="{00000000-0005-0000-0000-00009B880000}"/>
    <cellStyle name="Output 46 2 8" xfId="34974" xr:uid="{00000000-0005-0000-0000-00009C880000}"/>
    <cellStyle name="Output 46 2 8 2" xfId="34975" xr:uid="{00000000-0005-0000-0000-00009D880000}"/>
    <cellStyle name="Output 46 2 8 2 2" xfId="34976" xr:uid="{00000000-0005-0000-0000-00009E880000}"/>
    <cellStyle name="Output 46 2 8 2 3" xfId="34977" xr:uid="{00000000-0005-0000-0000-00009F880000}"/>
    <cellStyle name="Output 46 2 8 3" xfId="34978" xr:uid="{00000000-0005-0000-0000-0000A0880000}"/>
    <cellStyle name="Output 46 2 8 4" xfId="34979" xr:uid="{00000000-0005-0000-0000-0000A1880000}"/>
    <cellStyle name="Output 46 2 9" xfId="34980" xr:uid="{00000000-0005-0000-0000-0000A2880000}"/>
    <cellStyle name="Output 46 2 9 2" xfId="34981" xr:uid="{00000000-0005-0000-0000-0000A3880000}"/>
    <cellStyle name="Output 46 2 9 2 2" xfId="34982" xr:uid="{00000000-0005-0000-0000-0000A4880000}"/>
    <cellStyle name="Output 46 2 9 2 3" xfId="34983" xr:uid="{00000000-0005-0000-0000-0000A5880000}"/>
    <cellStyle name="Output 46 2 9 3" xfId="34984" xr:uid="{00000000-0005-0000-0000-0000A6880000}"/>
    <cellStyle name="Output 46 2 9 4" xfId="34985" xr:uid="{00000000-0005-0000-0000-0000A7880000}"/>
    <cellStyle name="Output 46 3" xfId="34986" xr:uid="{00000000-0005-0000-0000-0000A8880000}"/>
    <cellStyle name="Output 46 3 2" xfId="34987" xr:uid="{00000000-0005-0000-0000-0000A9880000}"/>
    <cellStyle name="Output 46 3 2 2" xfId="34988" xr:uid="{00000000-0005-0000-0000-0000AA880000}"/>
    <cellStyle name="Output 46 3 2 3" xfId="34989" xr:uid="{00000000-0005-0000-0000-0000AB880000}"/>
    <cellStyle name="Output 46 3 3" xfId="34990" xr:uid="{00000000-0005-0000-0000-0000AC880000}"/>
    <cellStyle name="Output 46 3 4" xfId="34991" xr:uid="{00000000-0005-0000-0000-0000AD880000}"/>
    <cellStyle name="Output 46 4" xfId="34992" xr:uid="{00000000-0005-0000-0000-0000AE880000}"/>
    <cellStyle name="Output 46 5" xfId="34993" xr:uid="{00000000-0005-0000-0000-0000AF880000}"/>
    <cellStyle name="Output 47" xfId="34994" xr:uid="{00000000-0005-0000-0000-0000B0880000}"/>
    <cellStyle name="Output 47 2" xfId="34995" xr:uid="{00000000-0005-0000-0000-0000B1880000}"/>
    <cellStyle name="Output 48" xfId="34996" xr:uid="{00000000-0005-0000-0000-0000B2880000}"/>
    <cellStyle name="Output 49" xfId="34997" xr:uid="{00000000-0005-0000-0000-0000B3880000}"/>
    <cellStyle name="Output 5" xfId="34998" xr:uid="{00000000-0005-0000-0000-0000B4880000}"/>
    <cellStyle name="Output 5 2" xfId="34999" xr:uid="{00000000-0005-0000-0000-0000B5880000}"/>
    <cellStyle name="Output 5 2 10" xfId="35000" xr:uid="{00000000-0005-0000-0000-0000B6880000}"/>
    <cellStyle name="Output 5 2 10 2" xfId="35001" xr:uid="{00000000-0005-0000-0000-0000B7880000}"/>
    <cellStyle name="Output 5 2 10 2 2" xfId="35002" xr:uid="{00000000-0005-0000-0000-0000B8880000}"/>
    <cellStyle name="Output 5 2 10 2 3" xfId="35003" xr:uid="{00000000-0005-0000-0000-0000B9880000}"/>
    <cellStyle name="Output 5 2 10 3" xfId="35004" xr:uid="{00000000-0005-0000-0000-0000BA880000}"/>
    <cellStyle name="Output 5 2 10 4" xfId="35005" xr:uid="{00000000-0005-0000-0000-0000BB880000}"/>
    <cellStyle name="Output 5 2 11" xfId="35006" xr:uid="{00000000-0005-0000-0000-0000BC880000}"/>
    <cellStyle name="Output 5 2 11 2" xfId="35007" xr:uid="{00000000-0005-0000-0000-0000BD880000}"/>
    <cellStyle name="Output 5 2 11 2 2" xfId="35008" xr:uid="{00000000-0005-0000-0000-0000BE880000}"/>
    <cellStyle name="Output 5 2 11 2 3" xfId="35009" xr:uid="{00000000-0005-0000-0000-0000BF880000}"/>
    <cellStyle name="Output 5 2 11 3" xfId="35010" xr:uid="{00000000-0005-0000-0000-0000C0880000}"/>
    <cellStyle name="Output 5 2 11 4" xfId="35011" xr:uid="{00000000-0005-0000-0000-0000C1880000}"/>
    <cellStyle name="Output 5 2 12" xfId="35012" xr:uid="{00000000-0005-0000-0000-0000C2880000}"/>
    <cellStyle name="Output 5 2 12 2" xfId="35013" xr:uid="{00000000-0005-0000-0000-0000C3880000}"/>
    <cellStyle name="Output 5 2 12 2 2" xfId="35014" xr:uid="{00000000-0005-0000-0000-0000C4880000}"/>
    <cellStyle name="Output 5 2 12 2 3" xfId="35015" xr:uid="{00000000-0005-0000-0000-0000C5880000}"/>
    <cellStyle name="Output 5 2 12 3" xfId="35016" xr:uid="{00000000-0005-0000-0000-0000C6880000}"/>
    <cellStyle name="Output 5 2 12 4" xfId="35017" xr:uid="{00000000-0005-0000-0000-0000C7880000}"/>
    <cellStyle name="Output 5 2 13" xfId="35018" xr:uid="{00000000-0005-0000-0000-0000C8880000}"/>
    <cellStyle name="Output 5 2 13 2" xfId="35019" xr:uid="{00000000-0005-0000-0000-0000C9880000}"/>
    <cellStyle name="Output 5 2 13 2 2" xfId="35020" xr:uid="{00000000-0005-0000-0000-0000CA880000}"/>
    <cellStyle name="Output 5 2 13 2 3" xfId="35021" xr:uid="{00000000-0005-0000-0000-0000CB880000}"/>
    <cellStyle name="Output 5 2 13 3" xfId="35022" xr:uid="{00000000-0005-0000-0000-0000CC880000}"/>
    <cellStyle name="Output 5 2 13 4" xfId="35023" xr:uid="{00000000-0005-0000-0000-0000CD880000}"/>
    <cellStyle name="Output 5 2 14" xfId="35024" xr:uid="{00000000-0005-0000-0000-0000CE880000}"/>
    <cellStyle name="Output 5 2 14 2" xfId="35025" xr:uid="{00000000-0005-0000-0000-0000CF880000}"/>
    <cellStyle name="Output 5 2 14 2 2" xfId="35026" xr:uid="{00000000-0005-0000-0000-0000D0880000}"/>
    <cellStyle name="Output 5 2 14 2 3" xfId="35027" xr:uid="{00000000-0005-0000-0000-0000D1880000}"/>
    <cellStyle name="Output 5 2 14 3" xfId="35028" xr:uid="{00000000-0005-0000-0000-0000D2880000}"/>
    <cellStyle name="Output 5 2 14 4" xfId="35029" xr:uid="{00000000-0005-0000-0000-0000D3880000}"/>
    <cellStyle name="Output 5 2 15" xfId="35030" xr:uid="{00000000-0005-0000-0000-0000D4880000}"/>
    <cellStyle name="Output 5 2 15 2" xfId="35031" xr:uid="{00000000-0005-0000-0000-0000D5880000}"/>
    <cellStyle name="Output 5 2 15 2 2" xfId="35032" xr:uid="{00000000-0005-0000-0000-0000D6880000}"/>
    <cellStyle name="Output 5 2 15 2 3" xfId="35033" xr:uid="{00000000-0005-0000-0000-0000D7880000}"/>
    <cellStyle name="Output 5 2 15 3" xfId="35034" xr:uid="{00000000-0005-0000-0000-0000D8880000}"/>
    <cellStyle name="Output 5 2 15 4" xfId="35035" xr:uid="{00000000-0005-0000-0000-0000D9880000}"/>
    <cellStyle name="Output 5 2 16" xfId="35036" xr:uid="{00000000-0005-0000-0000-0000DA880000}"/>
    <cellStyle name="Output 5 2 16 2" xfId="35037" xr:uid="{00000000-0005-0000-0000-0000DB880000}"/>
    <cellStyle name="Output 5 2 16 2 2" xfId="35038" xr:uid="{00000000-0005-0000-0000-0000DC880000}"/>
    <cellStyle name="Output 5 2 16 2 3" xfId="35039" xr:uid="{00000000-0005-0000-0000-0000DD880000}"/>
    <cellStyle name="Output 5 2 16 3" xfId="35040" xr:uid="{00000000-0005-0000-0000-0000DE880000}"/>
    <cellStyle name="Output 5 2 16 4" xfId="35041" xr:uid="{00000000-0005-0000-0000-0000DF880000}"/>
    <cellStyle name="Output 5 2 17" xfId="35042" xr:uid="{00000000-0005-0000-0000-0000E0880000}"/>
    <cellStyle name="Output 5 2 17 2" xfId="35043" xr:uid="{00000000-0005-0000-0000-0000E1880000}"/>
    <cellStyle name="Output 5 2 17 2 2" xfId="35044" xr:uid="{00000000-0005-0000-0000-0000E2880000}"/>
    <cellStyle name="Output 5 2 17 2 3" xfId="35045" xr:uid="{00000000-0005-0000-0000-0000E3880000}"/>
    <cellStyle name="Output 5 2 17 3" xfId="35046" xr:uid="{00000000-0005-0000-0000-0000E4880000}"/>
    <cellStyle name="Output 5 2 17 4" xfId="35047" xr:uid="{00000000-0005-0000-0000-0000E5880000}"/>
    <cellStyle name="Output 5 2 18" xfId="35048" xr:uid="{00000000-0005-0000-0000-0000E6880000}"/>
    <cellStyle name="Output 5 2 18 2" xfId="35049" xr:uid="{00000000-0005-0000-0000-0000E7880000}"/>
    <cellStyle name="Output 5 2 18 3" xfId="35050" xr:uid="{00000000-0005-0000-0000-0000E8880000}"/>
    <cellStyle name="Output 5 2 18 4" xfId="35051" xr:uid="{00000000-0005-0000-0000-0000E9880000}"/>
    <cellStyle name="Output 5 2 19" xfId="35052" xr:uid="{00000000-0005-0000-0000-0000EA880000}"/>
    <cellStyle name="Output 5 2 2" xfId="35053" xr:uid="{00000000-0005-0000-0000-0000EB880000}"/>
    <cellStyle name="Output 5 2 2 2" xfId="35054" xr:uid="{00000000-0005-0000-0000-0000EC880000}"/>
    <cellStyle name="Output 5 2 2 2 2" xfId="35055" xr:uid="{00000000-0005-0000-0000-0000ED880000}"/>
    <cellStyle name="Output 5 2 2 2 3" xfId="35056" xr:uid="{00000000-0005-0000-0000-0000EE880000}"/>
    <cellStyle name="Output 5 2 2 3" xfId="35057" xr:uid="{00000000-0005-0000-0000-0000EF880000}"/>
    <cellStyle name="Output 5 2 2 4" xfId="35058" xr:uid="{00000000-0005-0000-0000-0000F0880000}"/>
    <cellStyle name="Output 5 2 20" xfId="35059" xr:uid="{00000000-0005-0000-0000-0000F1880000}"/>
    <cellStyle name="Output 5 2 21" xfId="35060" xr:uid="{00000000-0005-0000-0000-0000F2880000}"/>
    <cellStyle name="Output 5 2 3" xfId="35061" xr:uid="{00000000-0005-0000-0000-0000F3880000}"/>
    <cellStyle name="Output 5 2 3 2" xfId="35062" xr:uid="{00000000-0005-0000-0000-0000F4880000}"/>
    <cellStyle name="Output 5 2 3 2 2" xfId="35063" xr:uid="{00000000-0005-0000-0000-0000F5880000}"/>
    <cellStyle name="Output 5 2 3 2 3" xfId="35064" xr:uid="{00000000-0005-0000-0000-0000F6880000}"/>
    <cellStyle name="Output 5 2 3 3" xfId="35065" xr:uid="{00000000-0005-0000-0000-0000F7880000}"/>
    <cellStyle name="Output 5 2 3 4" xfId="35066" xr:uid="{00000000-0005-0000-0000-0000F8880000}"/>
    <cellStyle name="Output 5 2 4" xfId="35067" xr:uid="{00000000-0005-0000-0000-0000F9880000}"/>
    <cellStyle name="Output 5 2 4 2" xfId="35068" xr:uid="{00000000-0005-0000-0000-0000FA880000}"/>
    <cellStyle name="Output 5 2 4 2 2" xfId="35069" xr:uid="{00000000-0005-0000-0000-0000FB880000}"/>
    <cellStyle name="Output 5 2 4 2 3" xfId="35070" xr:uid="{00000000-0005-0000-0000-0000FC880000}"/>
    <cellStyle name="Output 5 2 4 3" xfId="35071" xr:uid="{00000000-0005-0000-0000-0000FD880000}"/>
    <cellStyle name="Output 5 2 4 4" xfId="35072" xr:uid="{00000000-0005-0000-0000-0000FE880000}"/>
    <cellStyle name="Output 5 2 5" xfId="35073" xr:uid="{00000000-0005-0000-0000-0000FF880000}"/>
    <cellStyle name="Output 5 2 5 2" xfId="35074" xr:uid="{00000000-0005-0000-0000-000000890000}"/>
    <cellStyle name="Output 5 2 5 2 2" xfId="35075" xr:uid="{00000000-0005-0000-0000-000001890000}"/>
    <cellStyle name="Output 5 2 5 2 3" xfId="35076" xr:uid="{00000000-0005-0000-0000-000002890000}"/>
    <cellStyle name="Output 5 2 5 3" xfId="35077" xr:uid="{00000000-0005-0000-0000-000003890000}"/>
    <cellStyle name="Output 5 2 5 4" xfId="35078" xr:uid="{00000000-0005-0000-0000-000004890000}"/>
    <cellStyle name="Output 5 2 6" xfId="35079" xr:uid="{00000000-0005-0000-0000-000005890000}"/>
    <cellStyle name="Output 5 2 6 2" xfId="35080" xr:uid="{00000000-0005-0000-0000-000006890000}"/>
    <cellStyle name="Output 5 2 6 2 2" xfId="35081" xr:uid="{00000000-0005-0000-0000-000007890000}"/>
    <cellStyle name="Output 5 2 6 2 3" xfId="35082" xr:uid="{00000000-0005-0000-0000-000008890000}"/>
    <cellStyle name="Output 5 2 6 3" xfId="35083" xr:uid="{00000000-0005-0000-0000-000009890000}"/>
    <cellStyle name="Output 5 2 6 4" xfId="35084" xr:uid="{00000000-0005-0000-0000-00000A890000}"/>
    <cellStyle name="Output 5 2 7" xfId="35085" xr:uid="{00000000-0005-0000-0000-00000B890000}"/>
    <cellStyle name="Output 5 2 7 2" xfId="35086" xr:uid="{00000000-0005-0000-0000-00000C890000}"/>
    <cellStyle name="Output 5 2 7 2 2" xfId="35087" xr:uid="{00000000-0005-0000-0000-00000D890000}"/>
    <cellStyle name="Output 5 2 7 2 3" xfId="35088" xr:uid="{00000000-0005-0000-0000-00000E890000}"/>
    <cellStyle name="Output 5 2 7 3" xfId="35089" xr:uid="{00000000-0005-0000-0000-00000F890000}"/>
    <cellStyle name="Output 5 2 7 4" xfId="35090" xr:uid="{00000000-0005-0000-0000-000010890000}"/>
    <cellStyle name="Output 5 2 8" xfId="35091" xr:uid="{00000000-0005-0000-0000-000011890000}"/>
    <cellStyle name="Output 5 2 8 2" xfId="35092" xr:uid="{00000000-0005-0000-0000-000012890000}"/>
    <cellStyle name="Output 5 2 8 2 2" xfId="35093" xr:uid="{00000000-0005-0000-0000-000013890000}"/>
    <cellStyle name="Output 5 2 8 2 3" xfId="35094" xr:uid="{00000000-0005-0000-0000-000014890000}"/>
    <cellStyle name="Output 5 2 8 3" xfId="35095" xr:uid="{00000000-0005-0000-0000-000015890000}"/>
    <cellStyle name="Output 5 2 8 4" xfId="35096" xr:uid="{00000000-0005-0000-0000-000016890000}"/>
    <cellStyle name="Output 5 2 9" xfId="35097" xr:uid="{00000000-0005-0000-0000-000017890000}"/>
    <cellStyle name="Output 5 2 9 2" xfId="35098" xr:uid="{00000000-0005-0000-0000-000018890000}"/>
    <cellStyle name="Output 5 2 9 2 2" xfId="35099" xr:uid="{00000000-0005-0000-0000-000019890000}"/>
    <cellStyle name="Output 5 2 9 2 3" xfId="35100" xr:uid="{00000000-0005-0000-0000-00001A890000}"/>
    <cellStyle name="Output 5 2 9 3" xfId="35101" xr:uid="{00000000-0005-0000-0000-00001B890000}"/>
    <cellStyle name="Output 5 2 9 4" xfId="35102" xr:uid="{00000000-0005-0000-0000-00001C890000}"/>
    <cellStyle name="Output 5 3" xfId="35103" xr:uid="{00000000-0005-0000-0000-00001D890000}"/>
    <cellStyle name="Output 5 3 2" xfId="35104" xr:uid="{00000000-0005-0000-0000-00001E890000}"/>
    <cellStyle name="Output 5 3 2 2" xfId="35105" xr:uid="{00000000-0005-0000-0000-00001F890000}"/>
    <cellStyle name="Output 5 3 2 3" xfId="35106" xr:uid="{00000000-0005-0000-0000-000020890000}"/>
    <cellStyle name="Output 5 3 3" xfId="35107" xr:uid="{00000000-0005-0000-0000-000021890000}"/>
    <cellStyle name="Output 5 3 4" xfId="35108" xr:uid="{00000000-0005-0000-0000-000022890000}"/>
    <cellStyle name="Output 5 4" xfId="35109" xr:uid="{00000000-0005-0000-0000-000023890000}"/>
    <cellStyle name="Output 5 5" xfId="35110" xr:uid="{00000000-0005-0000-0000-000024890000}"/>
    <cellStyle name="Output 50" xfId="35111" xr:uid="{00000000-0005-0000-0000-000025890000}"/>
    <cellStyle name="Output 51" xfId="35112" xr:uid="{00000000-0005-0000-0000-000026890000}"/>
    <cellStyle name="Output 6" xfId="35113" xr:uid="{00000000-0005-0000-0000-000027890000}"/>
    <cellStyle name="Output 6 2" xfId="35114" xr:uid="{00000000-0005-0000-0000-000028890000}"/>
    <cellStyle name="Output 6 2 10" xfId="35115" xr:uid="{00000000-0005-0000-0000-000029890000}"/>
    <cellStyle name="Output 6 2 10 2" xfId="35116" xr:uid="{00000000-0005-0000-0000-00002A890000}"/>
    <cellStyle name="Output 6 2 10 2 2" xfId="35117" xr:uid="{00000000-0005-0000-0000-00002B890000}"/>
    <cellStyle name="Output 6 2 10 2 3" xfId="35118" xr:uid="{00000000-0005-0000-0000-00002C890000}"/>
    <cellStyle name="Output 6 2 10 3" xfId="35119" xr:uid="{00000000-0005-0000-0000-00002D890000}"/>
    <cellStyle name="Output 6 2 10 4" xfId="35120" xr:uid="{00000000-0005-0000-0000-00002E890000}"/>
    <cellStyle name="Output 6 2 11" xfId="35121" xr:uid="{00000000-0005-0000-0000-00002F890000}"/>
    <cellStyle name="Output 6 2 11 2" xfId="35122" xr:uid="{00000000-0005-0000-0000-000030890000}"/>
    <cellStyle name="Output 6 2 11 2 2" xfId="35123" xr:uid="{00000000-0005-0000-0000-000031890000}"/>
    <cellStyle name="Output 6 2 11 2 3" xfId="35124" xr:uid="{00000000-0005-0000-0000-000032890000}"/>
    <cellStyle name="Output 6 2 11 3" xfId="35125" xr:uid="{00000000-0005-0000-0000-000033890000}"/>
    <cellStyle name="Output 6 2 11 4" xfId="35126" xr:uid="{00000000-0005-0000-0000-000034890000}"/>
    <cellStyle name="Output 6 2 12" xfId="35127" xr:uid="{00000000-0005-0000-0000-000035890000}"/>
    <cellStyle name="Output 6 2 12 2" xfId="35128" xr:uid="{00000000-0005-0000-0000-000036890000}"/>
    <cellStyle name="Output 6 2 12 2 2" xfId="35129" xr:uid="{00000000-0005-0000-0000-000037890000}"/>
    <cellStyle name="Output 6 2 12 2 3" xfId="35130" xr:uid="{00000000-0005-0000-0000-000038890000}"/>
    <cellStyle name="Output 6 2 12 3" xfId="35131" xr:uid="{00000000-0005-0000-0000-000039890000}"/>
    <cellStyle name="Output 6 2 12 4" xfId="35132" xr:uid="{00000000-0005-0000-0000-00003A890000}"/>
    <cellStyle name="Output 6 2 13" xfId="35133" xr:uid="{00000000-0005-0000-0000-00003B890000}"/>
    <cellStyle name="Output 6 2 13 2" xfId="35134" xr:uid="{00000000-0005-0000-0000-00003C890000}"/>
    <cellStyle name="Output 6 2 13 2 2" xfId="35135" xr:uid="{00000000-0005-0000-0000-00003D890000}"/>
    <cellStyle name="Output 6 2 13 2 3" xfId="35136" xr:uid="{00000000-0005-0000-0000-00003E890000}"/>
    <cellStyle name="Output 6 2 13 3" xfId="35137" xr:uid="{00000000-0005-0000-0000-00003F890000}"/>
    <cellStyle name="Output 6 2 13 4" xfId="35138" xr:uid="{00000000-0005-0000-0000-000040890000}"/>
    <cellStyle name="Output 6 2 14" xfId="35139" xr:uid="{00000000-0005-0000-0000-000041890000}"/>
    <cellStyle name="Output 6 2 14 2" xfId="35140" xr:uid="{00000000-0005-0000-0000-000042890000}"/>
    <cellStyle name="Output 6 2 14 2 2" xfId="35141" xr:uid="{00000000-0005-0000-0000-000043890000}"/>
    <cellStyle name="Output 6 2 14 2 3" xfId="35142" xr:uid="{00000000-0005-0000-0000-000044890000}"/>
    <cellStyle name="Output 6 2 14 3" xfId="35143" xr:uid="{00000000-0005-0000-0000-000045890000}"/>
    <cellStyle name="Output 6 2 14 4" xfId="35144" xr:uid="{00000000-0005-0000-0000-000046890000}"/>
    <cellStyle name="Output 6 2 15" xfId="35145" xr:uid="{00000000-0005-0000-0000-000047890000}"/>
    <cellStyle name="Output 6 2 15 2" xfId="35146" xr:uid="{00000000-0005-0000-0000-000048890000}"/>
    <cellStyle name="Output 6 2 15 2 2" xfId="35147" xr:uid="{00000000-0005-0000-0000-000049890000}"/>
    <cellStyle name="Output 6 2 15 2 3" xfId="35148" xr:uid="{00000000-0005-0000-0000-00004A890000}"/>
    <cellStyle name="Output 6 2 15 3" xfId="35149" xr:uid="{00000000-0005-0000-0000-00004B890000}"/>
    <cellStyle name="Output 6 2 15 4" xfId="35150" xr:uid="{00000000-0005-0000-0000-00004C890000}"/>
    <cellStyle name="Output 6 2 16" xfId="35151" xr:uid="{00000000-0005-0000-0000-00004D890000}"/>
    <cellStyle name="Output 6 2 16 2" xfId="35152" xr:uid="{00000000-0005-0000-0000-00004E890000}"/>
    <cellStyle name="Output 6 2 16 2 2" xfId="35153" xr:uid="{00000000-0005-0000-0000-00004F890000}"/>
    <cellStyle name="Output 6 2 16 2 3" xfId="35154" xr:uid="{00000000-0005-0000-0000-000050890000}"/>
    <cellStyle name="Output 6 2 16 3" xfId="35155" xr:uid="{00000000-0005-0000-0000-000051890000}"/>
    <cellStyle name="Output 6 2 16 4" xfId="35156" xr:uid="{00000000-0005-0000-0000-000052890000}"/>
    <cellStyle name="Output 6 2 17" xfId="35157" xr:uid="{00000000-0005-0000-0000-000053890000}"/>
    <cellStyle name="Output 6 2 17 2" xfId="35158" xr:uid="{00000000-0005-0000-0000-000054890000}"/>
    <cellStyle name="Output 6 2 17 2 2" xfId="35159" xr:uid="{00000000-0005-0000-0000-000055890000}"/>
    <cellStyle name="Output 6 2 17 2 3" xfId="35160" xr:uid="{00000000-0005-0000-0000-000056890000}"/>
    <cellStyle name="Output 6 2 17 3" xfId="35161" xr:uid="{00000000-0005-0000-0000-000057890000}"/>
    <cellStyle name="Output 6 2 17 4" xfId="35162" xr:uid="{00000000-0005-0000-0000-000058890000}"/>
    <cellStyle name="Output 6 2 18" xfId="35163" xr:uid="{00000000-0005-0000-0000-000059890000}"/>
    <cellStyle name="Output 6 2 18 2" xfId="35164" xr:uid="{00000000-0005-0000-0000-00005A890000}"/>
    <cellStyle name="Output 6 2 18 3" xfId="35165" xr:uid="{00000000-0005-0000-0000-00005B890000}"/>
    <cellStyle name="Output 6 2 18 4" xfId="35166" xr:uid="{00000000-0005-0000-0000-00005C890000}"/>
    <cellStyle name="Output 6 2 19" xfId="35167" xr:uid="{00000000-0005-0000-0000-00005D890000}"/>
    <cellStyle name="Output 6 2 2" xfId="35168" xr:uid="{00000000-0005-0000-0000-00005E890000}"/>
    <cellStyle name="Output 6 2 2 2" xfId="35169" xr:uid="{00000000-0005-0000-0000-00005F890000}"/>
    <cellStyle name="Output 6 2 2 2 2" xfId="35170" xr:uid="{00000000-0005-0000-0000-000060890000}"/>
    <cellStyle name="Output 6 2 2 2 3" xfId="35171" xr:uid="{00000000-0005-0000-0000-000061890000}"/>
    <cellStyle name="Output 6 2 2 3" xfId="35172" xr:uid="{00000000-0005-0000-0000-000062890000}"/>
    <cellStyle name="Output 6 2 2 4" xfId="35173" xr:uid="{00000000-0005-0000-0000-000063890000}"/>
    <cellStyle name="Output 6 2 20" xfId="35174" xr:uid="{00000000-0005-0000-0000-000064890000}"/>
    <cellStyle name="Output 6 2 21" xfId="35175" xr:uid="{00000000-0005-0000-0000-000065890000}"/>
    <cellStyle name="Output 6 2 3" xfId="35176" xr:uid="{00000000-0005-0000-0000-000066890000}"/>
    <cellStyle name="Output 6 2 3 2" xfId="35177" xr:uid="{00000000-0005-0000-0000-000067890000}"/>
    <cellStyle name="Output 6 2 3 2 2" xfId="35178" xr:uid="{00000000-0005-0000-0000-000068890000}"/>
    <cellStyle name="Output 6 2 3 2 3" xfId="35179" xr:uid="{00000000-0005-0000-0000-000069890000}"/>
    <cellStyle name="Output 6 2 3 3" xfId="35180" xr:uid="{00000000-0005-0000-0000-00006A890000}"/>
    <cellStyle name="Output 6 2 3 4" xfId="35181" xr:uid="{00000000-0005-0000-0000-00006B890000}"/>
    <cellStyle name="Output 6 2 4" xfId="35182" xr:uid="{00000000-0005-0000-0000-00006C890000}"/>
    <cellStyle name="Output 6 2 4 2" xfId="35183" xr:uid="{00000000-0005-0000-0000-00006D890000}"/>
    <cellStyle name="Output 6 2 4 2 2" xfId="35184" xr:uid="{00000000-0005-0000-0000-00006E890000}"/>
    <cellStyle name="Output 6 2 4 2 3" xfId="35185" xr:uid="{00000000-0005-0000-0000-00006F890000}"/>
    <cellStyle name="Output 6 2 4 3" xfId="35186" xr:uid="{00000000-0005-0000-0000-000070890000}"/>
    <cellStyle name="Output 6 2 4 4" xfId="35187" xr:uid="{00000000-0005-0000-0000-000071890000}"/>
    <cellStyle name="Output 6 2 5" xfId="35188" xr:uid="{00000000-0005-0000-0000-000072890000}"/>
    <cellStyle name="Output 6 2 5 2" xfId="35189" xr:uid="{00000000-0005-0000-0000-000073890000}"/>
    <cellStyle name="Output 6 2 5 2 2" xfId="35190" xr:uid="{00000000-0005-0000-0000-000074890000}"/>
    <cellStyle name="Output 6 2 5 2 3" xfId="35191" xr:uid="{00000000-0005-0000-0000-000075890000}"/>
    <cellStyle name="Output 6 2 5 3" xfId="35192" xr:uid="{00000000-0005-0000-0000-000076890000}"/>
    <cellStyle name="Output 6 2 5 4" xfId="35193" xr:uid="{00000000-0005-0000-0000-000077890000}"/>
    <cellStyle name="Output 6 2 6" xfId="35194" xr:uid="{00000000-0005-0000-0000-000078890000}"/>
    <cellStyle name="Output 6 2 6 2" xfId="35195" xr:uid="{00000000-0005-0000-0000-000079890000}"/>
    <cellStyle name="Output 6 2 6 2 2" xfId="35196" xr:uid="{00000000-0005-0000-0000-00007A890000}"/>
    <cellStyle name="Output 6 2 6 2 3" xfId="35197" xr:uid="{00000000-0005-0000-0000-00007B890000}"/>
    <cellStyle name="Output 6 2 6 3" xfId="35198" xr:uid="{00000000-0005-0000-0000-00007C890000}"/>
    <cellStyle name="Output 6 2 6 4" xfId="35199" xr:uid="{00000000-0005-0000-0000-00007D890000}"/>
    <cellStyle name="Output 6 2 7" xfId="35200" xr:uid="{00000000-0005-0000-0000-00007E890000}"/>
    <cellStyle name="Output 6 2 7 2" xfId="35201" xr:uid="{00000000-0005-0000-0000-00007F890000}"/>
    <cellStyle name="Output 6 2 7 2 2" xfId="35202" xr:uid="{00000000-0005-0000-0000-000080890000}"/>
    <cellStyle name="Output 6 2 7 2 3" xfId="35203" xr:uid="{00000000-0005-0000-0000-000081890000}"/>
    <cellStyle name="Output 6 2 7 3" xfId="35204" xr:uid="{00000000-0005-0000-0000-000082890000}"/>
    <cellStyle name="Output 6 2 7 4" xfId="35205" xr:uid="{00000000-0005-0000-0000-000083890000}"/>
    <cellStyle name="Output 6 2 8" xfId="35206" xr:uid="{00000000-0005-0000-0000-000084890000}"/>
    <cellStyle name="Output 6 2 8 2" xfId="35207" xr:uid="{00000000-0005-0000-0000-000085890000}"/>
    <cellStyle name="Output 6 2 8 2 2" xfId="35208" xr:uid="{00000000-0005-0000-0000-000086890000}"/>
    <cellStyle name="Output 6 2 8 2 3" xfId="35209" xr:uid="{00000000-0005-0000-0000-000087890000}"/>
    <cellStyle name="Output 6 2 8 3" xfId="35210" xr:uid="{00000000-0005-0000-0000-000088890000}"/>
    <cellStyle name="Output 6 2 8 4" xfId="35211" xr:uid="{00000000-0005-0000-0000-000089890000}"/>
    <cellStyle name="Output 6 2 9" xfId="35212" xr:uid="{00000000-0005-0000-0000-00008A890000}"/>
    <cellStyle name="Output 6 2 9 2" xfId="35213" xr:uid="{00000000-0005-0000-0000-00008B890000}"/>
    <cellStyle name="Output 6 2 9 2 2" xfId="35214" xr:uid="{00000000-0005-0000-0000-00008C890000}"/>
    <cellStyle name="Output 6 2 9 2 3" xfId="35215" xr:uid="{00000000-0005-0000-0000-00008D890000}"/>
    <cellStyle name="Output 6 2 9 3" xfId="35216" xr:uid="{00000000-0005-0000-0000-00008E890000}"/>
    <cellStyle name="Output 6 2 9 4" xfId="35217" xr:uid="{00000000-0005-0000-0000-00008F890000}"/>
    <cellStyle name="Output 6 3" xfId="35218" xr:uid="{00000000-0005-0000-0000-000090890000}"/>
    <cellStyle name="Output 6 3 2" xfId="35219" xr:uid="{00000000-0005-0000-0000-000091890000}"/>
    <cellStyle name="Output 6 3 2 2" xfId="35220" xr:uid="{00000000-0005-0000-0000-000092890000}"/>
    <cellStyle name="Output 6 3 2 3" xfId="35221" xr:uid="{00000000-0005-0000-0000-000093890000}"/>
    <cellStyle name="Output 6 3 3" xfId="35222" xr:uid="{00000000-0005-0000-0000-000094890000}"/>
    <cellStyle name="Output 6 3 4" xfId="35223" xr:uid="{00000000-0005-0000-0000-000095890000}"/>
    <cellStyle name="Output 6 4" xfId="35224" xr:uid="{00000000-0005-0000-0000-000096890000}"/>
    <cellStyle name="Output 6 5" xfId="35225" xr:uid="{00000000-0005-0000-0000-000097890000}"/>
    <cellStyle name="Output 7" xfId="35226" xr:uid="{00000000-0005-0000-0000-000098890000}"/>
    <cellStyle name="Output 7 2" xfId="35227" xr:uid="{00000000-0005-0000-0000-000099890000}"/>
    <cellStyle name="Output 7 2 10" xfId="35228" xr:uid="{00000000-0005-0000-0000-00009A890000}"/>
    <cellStyle name="Output 7 2 10 2" xfId="35229" xr:uid="{00000000-0005-0000-0000-00009B890000}"/>
    <cellStyle name="Output 7 2 10 2 2" xfId="35230" xr:uid="{00000000-0005-0000-0000-00009C890000}"/>
    <cellStyle name="Output 7 2 10 2 3" xfId="35231" xr:uid="{00000000-0005-0000-0000-00009D890000}"/>
    <cellStyle name="Output 7 2 10 3" xfId="35232" xr:uid="{00000000-0005-0000-0000-00009E890000}"/>
    <cellStyle name="Output 7 2 10 4" xfId="35233" xr:uid="{00000000-0005-0000-0000-00009F890000}"/>
    <cellStyle name="Output 7 2 11" xfId="35234" xr:uid="{00000000-0005-0000-0000-0000A0890000}"/>
    <cellStyle name="Output 7 2 11 2" xfId="35235" xr:uid="{00000000-0005-0000-0000-0000A1890000}"/>
    <cellStyle name="Output 7 2 11 2 2" xfId="35236" xr:uid="{00000000-0005-0000-0000-0000A2890000}"/>
    <cellStyle name="Output 7 2 11 2 3" xfId="35237" xr:uid="{00000000-0005-0000-0000-0000A3890000}"/>
    <cellStyle name="Output 7 2 11 3" xfId="35238" xr:uid="{00000000-0005-0000-0000-0000A4890000}"/>
    <cellStyle name="Output 7 2 11 4" xfId="35239" xr:uid="{00000000-0005-0000-0000-0000A5890000}"/>
    <cellStyle name="Output 7 2 12" xfId="35240" xr:uid="{00000000-0005-0000-0000-0000A6890000}"/>
    <cellStyle name="Output 7 2 12 2" xfId="35241" xr:uid="{00000000-0005-0000-0000-0000A7890000}"/>
    <cellStyle name="Output 7 2 12 2 2" xfId="35242" xr:uid="{00000000-0005-0000-0000-0000A8890000}"/>
    <cellStyle name="Output 7 2 12 2 3" xfId="35243" xr:uid="{00000000-0005-0000-0000-0000A9890000}"/>
    <cellStyle name="Output 7 2 12 3" xfId="35244" xr:uid="{00000000-0005-0000-0000-0000AA890000}"/>
    <cellStyle name="Output 7 2 12 4" xfId="35245" xr:uid="{00000000-0005-0000-0000-0000AB890000}"/>
    <cellStyle name="Output 7 2 13" xfId="35246" xr:uid="{00000000-0005-0000-0000-0000AC890000}"/>
    <cellStyle name="Output 7 2 13 2" xfId="35247" xr:uid="{00000000-0005-0000-0000-0000AD890000}"/>
    <cellStyle name="Output 7 2 13 2 2" xfId="35248" xr:uid="{00000000-0005-0000-0000-0000AE890000}"/>
    <cellStyle name="Output 7 2 13 2 3" xfId="35249" xr:uid="{00000000-0005-0000-0000-0000AF890000}"/>
    <cellStyle name="Output 7 2 13 3" xfId="35250" xr:uid="{00000000-0005-0000-0000-0000B0890000}"/>
    <cellStyle name="Output 7 2 13 4" xfId="35251" xr:uid="{00000000-0005-0000-0000-0000B1890000}"/>
    <cellStyle name="Output 7 2 14" xfId="35252" xr:uid="{00000000-0005-0000-0000-0000B2890000}"/>
    <cellStyle name="Output 7 2 14 2" xfId="35253" xr:uid="{00000000-0005-0000-0000-0000B3890000}"/>
    <cellStyle name="Output 7 2 14 2 2" xfId="35254" xr:uid="{00000000-0005-0000-0000-0000B4890000}"/>
    <cellStyle name="Output 7 2 14 2 3" xfId="35255" xr:uid="{00000000-0005-0000-0000-0000B5890000}"/>
    <cellStyle name="Output 7 2 14 3" xfId="35256" xr:uid="{00000000-0005-0000-0000-0000B6890000}"/>
    <cellStyle name="Output 7 2 14 4" xfId="35257" xr:uid="{00000000-0005-0000-0000-0000B7890000}"/>
    <cellStyle name="Output 7 2 15" xfId="35258" xr:uid="{00000000-0005-0000-0000-0000B8890000}"/>
    <cellStyle name="Output 7 2 15 2" xfId="35259" xr:uid="{00000000-0005-0000-0000-0000B9890000}"/>
    <cellStyle name="Output 7 2 15 2 2" xfId="35260" xr:uid="{00000000-0005-0000-0000-0000BA890000}"/>
    <cellStyle name="Output 7 2 15 2 3" xfId="35261" xr:uid="{00000000-0005-0000-0000-0000BB890000}"/>
    <cellStyle name="Output 7 2 15 3" xfId="35262" xr:uid="{00000000-0005-0000-0000-0000BC890000}"/>
    <cellStyle name="Output 7 2 15 4" xfId="35263" xr:uid="{00000000-0005-0000-0000-0000BD890000}"/>
    <cellStyle name="Output 7 2 16" xfId="35264" xr:uid="{00000000-0005-0000-0000-0000BE890000}"/>
    <cellStyle name="Output 7 2 16 2" xfId="35265" xr:uid="{00000000-0005-0000-0000-0000BF890000}"/>
    <cellStyle name="Output 7 2 16 2 2" xfId="35266" xr:uid="{00000000-0005-0000-0000-0000C0890000}"/>
    <cellStyle name="Output 7 2 16 2 3" xfId="35267" xr:uid="{00000000-0005-0000-0000-0000C1890000}"/>
    <cellStyle name="Output 7 2 16 3" xfId="35268" xr:uid="{00000000-0005-0000-0000-0000C2890000}"/>
    <cellStyle name="Output 7 2 16 4" xfId="35269" xr:uid="{00000000-0005-0000-0000-0000C3890000}"/>
    <cellStyle name="Output 7 2 17" xfId="35270" xr:uid="{00000000-0005-0000-0000-0000C4890000}"/>
    <cellStyle name="Output 7 2 17 2" xfId="35271" xr:uid="{00000000-0005-0000-0000-0000C5890000}"/>
    <cellStyle name="Output 7 2 17 2 2" xfId="35272" xr:uid="{00000000-0005-0000-0000-0000C6890000}"/>
    <cellStyle name="Output 7 2 17 2 3" xfId="35273" xr:uid="{00000000-0005-0000-0000-0000C7890000}"/>
    <cellStyle name="Output 7 2 17 3" xfId="35274" xr:uid="{00000000-0005-0000-0000-0000C8890000}"/>
    <cellStyle name="Output 7 2 17 4" xfId="35275" xr:uid="{00000000-0005-0000-0000-0000C9890000}"/>
    <cellStyle name="Output 7 2 18" xfId="35276" xr:uid="{00000000-0005-0000-0000-0000CA890000}"/>
    <cellStyle name="Output 7 2 18 2" xfId="35277" xr:uid="{00000000-0005-0000-0000-0000CB890000}"/>
    <cellStyle name="Output 7 2 18 3" xfId="35278" xr:uid="{00000000-0005-0000-0000-0000CC890000}"/>
    <cellStyle name="Output 7 2 18 4" xfId="35279" xr:uid="{00000000-0005-0000-0000-0000CD890000}"/>
    <cellStyle name="Output 7 2 19" xfId="35280" xr:uid="{00000000-0005-0000-0000-0000CE890000}"/>
    <cellStyle name="Output 7 2 2" xfId="35281" xr:uid="{00000000-0005-0000-0000-0000CF890000}"/>
    <cellStyle name="Output 7 2 2 2" xfId="35282" xr:uid="{00000000-0005-0000-0000-0000D0890000}"/>
    <cellStyle name="Output 7 2 2 2 2" xfId="35283" xr:uid="{00000000-0005-0000-0000-0000D1890000}"/>
    <cellStyle name="Output 7 2 2 2 3" xfId="35284" xr:uid="{00000000-0005-0000-0000-0000D2890000}"/>
    <cellStyle name="Output 7 2 2 3" xfId="35285" xr:uid="{00000000-0005-0000-0000-0000D3890000}"/>
    <cellStyle name="Output 7 2 2 4" xfId="35286" xr:uid="{00000000-0005-0000-0000-0000D4890000}"/>
    <cellStyle name="Output 7 2 20" xfId="35287" xr:uid="{00000000-0005-0000-0000-0000D5890000}"/>
    <cellStyle name="Output 7 2 21" xfId="35288" xr:uid="{00000000-0005-0000-0000-0000D6890000}"/>
    <cellStyle name="Output 7 2 3" xfId="35289" xr:uid="{00000000-0005-0000-0000-0000D7890000}"/>
    <cellStyle name="Output 7 2 3 2" xfId="35290" xr:uid="{00000000-0005-0000-0000-0000D8890000}"/>
    <cellStyle name="Output 7 2 3 2 2" xfId="35291" xr:uid="{00000000-0005-0000-0000-0000D9890000}"/>
    <cellStyle name="Output 7 2 3 2 3" xfId="35292" xr:uid="{00000000-0005-0000-0000-0000DA890000}"/>
    <cellStyle name="Output 7 2 3 3" xfId="35293" xr:uid="{00000000-0005-0000-0000-0000DB890000}"/>
    <cellStyle name="Output 7 2 3 4" xfId="35294" xr:uid="{00000000-0005-0000-0000-0000DC890000}"/>
    <cellStyle name="Output 7 2 4" xfId="35295" xr:uid="{00000000-0005-0000-0000-0000DD890000}"/>
    <cellStyle name="Output 7 2 4 2" xfId="35296" xr:uid="{00000000-0005-0000-0000-0000DE890000}"/>
    <cellStyle name="Output 7 2 4 2 2" xfId="35297" xr:uid="{00000000-0005-0000-0000-0000DF890000}"/>
    <cellStyle name="Output 7 2 4 2 3" xfId="35298" xr:uid="{00000000-0005-0000-0000-0000E0890000}"/>
    <cellStyle name="Output 7 2 4 3" xfId="35299" xr:uid="{00000000-0005-0000-0000-0000E1890000}"/>
    <cellStyle name="Output 7 2 4 4" xfId="35300" xr:uid="{00000000-0005-0000-0000-0000E2890000}"/>
    <cellStyle name="Output 7 2 5" xfId="35301" xr:uid="{00000000-0005-0000-0000-0000E3890000}"/>
    <cellStyle name="Output 7 2 5 2" xfId="35302" xr:uid="{00000000-0005-0000-0000-0000E4890000}"/>
    <cellStyle name="Output 7 2 5 2 2" xfId="35303" xr:uid="{00000000-0005-0000-0000-0000E5890000}"/>
    <cellStyle name="Output 7 2 5 2 3" xfId="35304" xr:uid="{00000000-0005-0000-0000-0000E6890000}"/>
    <cellStyle name="Output 7 2 5 3" xfId="35305" xr:uid="{00000000-0005-0000-0000-0000E7890000}"/>
    <cellStyle name="Output 7 2 5 4" xfId="35306" xr:uid="{00000000-0005-0000-0000-0000E8890000}"/>
    <cellStyle name="Output 7 2 6" xfId="35307" xr:uid="{00000000-0005-0000-0000-0000E9890000}"/>
    <cellStyle name="Output 7 2 6 2" xfId="35308" xr:uid="{00000000-0005-0000-0000-0000EA890000}"/>
    <cellStyle name="Output 7 2 6 2 2" xfId="35309" xr:uid="{00000000-0005-0000-0000-0000EB890000}"/>
    <cellStyle name="Output 7 2 6 2 3" xfId="35310" xr:uid="{00000000-0005-0000-0000-0000EC890000}"/>
    <cellStyle name="Output 7 2 6 3" xfId="35311" xr:uid="{00000000-0005-0000-0000-0000ED890000}"/>
    <cellStyle name="Output 7 2 6 4" xfId="35312" xr:uid="{00000000-0005-0000-0000-0000EE890000}"/>
    <cellStyle name="Output 7 2 7" xfId="35313" xr:uid="{00000000-0005-0000-0000-0000EF890000}"/>
    <cellStyle name="Output 7 2 7 2" xfId="35314" xr:uid="{00000000-0005-0000-0000-0000F0890000}"/>
    <cellStyle name="Output 7 2 7 2 2" xfId="35315" xr:uid="{00000000-0005-0000-0000-0000F1890000}"/>
    <cellStyle name="Output 7 2 7 2 3" xfId="35316" xr:uid="{00000000-0005-0000-0000-0000F2890000}"/>
    <cellStyle name="Output 7 2 7 3" xfId="35317" xr:uid="{00000000-0005-0000-0000-0000F3890000}"/>
    <cellStyle name="Output 7 2 7 4" xfId="35318" xr:uid="{00000000-0005-0000-0000-0000F4890000}"/>
    <cellStyle name="Output 7 2 8" xfId="35319" xr:uid="{00000000-0005-0000-0000-0000F5890000}"/>
    <cellStyle name="Output 7 2 8 2" xfId="35320" xr:uid="{00000000-0005-0000-0000-0000F6890000}"/>
    <cellStyle name="Output 7 2 8 2 2" xfId="35321" xr:uid="{00000000-0005-0000-0000-0000F7890000}"/>
    <cellStyle name="Output 7 2 8 2 3" xfId="35322" xr:uid="{00000000-0005-0000-0000-0000F8890000}"/>
    <cellStyle name="Output 7 2 8 3" xfId="35323" xr:uid="{00000000-0005-0000-0000-0000F9890000}"/>
    <cellStyle name="Output 7 2 8 4" xfId="35324" xr:uid="{00000000-0005-0000-0000-0000FA890000}"/>
    <cellStyle name="Output 7 2 9" xfId="35325" xr:uid="{00000000-0005-0000-0000-0000FB890000}"/>
    <cellStyle name="Output 7 2 9 2" xfId="35326" xr:uid="{00000000-0005-0000-0000-0000FC890000}"/>
    <cellStyle name="Output 7 2 9 2 2" xfId="35327" xr:uid="{00000000-0005-0000-0000-0000FD890000}"/>
    <cellStyle name="Output 7 2 9 2 3" xfId="35328" xr:uid="{00000000-0005-0000-0000-0000FE890000}"/>
    <cellStyle name="Output 7 2 9 3" xfId="35329" xr:uid="{00000000-0005-0000-0000-0000FF890000}"/>
    <cellStyle name="Output 7 2 9 4" xfId="35330" xr:uid="{00000000-0005-0000-0000-0000008A0000}"/>
    <cellStyle name="Output 7 3" xfId="35331" xr:uid="{00000000-0005-0000-0000-0000018A0000}"/>
    <cellStyle name="Output 7 3 2" xfId="35332" xr:uid="{00000000-0005-0000-0000-0000028A0000}"/>
    <cellStyle name="Output 7 3 2 2" xfId="35333" xr:uid="{00000000-0005-0000-0000-0000038A0000}"/>
    <cellStyle name="Output 7 3 2 3" xfId="35334" xr:uid="{00000000-0005-0000-0000-0000048A0000}"/>
    <cellStyle name="Output 7 3 3" xfId="35335" xr:uid="{00000000-0005-0000-0000-0000058A0000}"/>
    <cellStyle name="Output 7 3 4" xfId="35336" xr:uid="{00000000-0005-0000-0000-0000068A0000}"/>
    <cellStyle name="Output 7 4" xfId="35337" xr:uid="{00000000-0005-0000-0000-0000078A0000}"/>
    <cellStyle name="Output 7 5" xfId="35338" xr:uid="{00000000-0005-0000-0000-0000088A0000}"/>
    <cellStyle name="Output 8" xfId="35339" xr:uid="{00000000-0005-0000-0000-0000098A0000}"/>
    <cellStyle name="Output 8 2" xfId="35340" xr:uid="{00000000-0005-0000-0000-00000A8A0000}"/>
    <cellStyle name="Output 8 2 10" xfId="35341" xr:uid="{00000000-0005-0000-0000-00000B8A0000}"/>
    <cellStyle name="Output 8 2 10 2" xfId="35342" xr:uid="{00000000-0005-0000-0000-00000C8A0000}"/>
    <cellStyle name="Output 8 2 10 2 2" xfId="35343" xr:uid="{00000000-0005-0000-0000-00000D8A0000}"/>
    <cellStyle name="Output 8 2 10 2 3" xfId="35344" xr:uid="{00000000-0005-0000-0000-00000E8A0000}"/>
    <cellStyle name="Output 8 2 10 3" xfId="35345" xr:uid="{00000000-0005-0000-0000-00000F8A0000}"/>
    <cellStyle name="Output 8 2 10 4" xfId="35346" xr:uid="{00000000-0005-0000-0000-0000108A0000}"/>
    <cellStyle name="Output 8 2 11" xfId="35347" xr:uid="{00000000-0005-0000-0000-0000118A0000}"/>
    <cellStyle name="Output 8 2 11 2" xfId="35348" xr:uid="{00000000-0005-0000-0000-0000128A0000}"/>
    <cellStyle name="Output 8 2 11 2 2" xfId="35349" xr:uid="{00000000-0005-0000-0000-0000138A0000}"/>
    <cellStyle name="Output 8 2 11 2 3" xfId="35350" xr:uid="{00000000-0005-0000-0000-0000148A0000}"/>
    <cellStyle name="Output 8 2 11 3" xfId="35351" xr:uid="{00000000-0005-0000-0000-0000158A0000}"/>
    <cellStyle name="Output 8 2 11 4" xfId="35352" xr:uid="{00000000-0005-0000-0000-0000168A0000}"/>
    <cellStyle name="Output 8 2 12" xfId="35353" xr:uid="{00000000-0005-0000-0000-0000178A0000}"/>
    <cellStyle name="Output 8 2 12 2" xfId="35354" xr:uid="{00000000-0005-0000-0000-0000188A0000}"/>
    <cellStyle name="Output 8 2 12 2 2" xfId="35355" xr:uid="{00000000-0005-0000-0000-0000198A0000}"/>
    <cellStyle name="Output 8 2 12 2 3" xfId="35356" xr:uid="{00000000-0005-0000-0000-00001A8A0000}"/>
    <cellStyle name="Output 8 2 12 3" xfId="35357" xr:uid="{00000000-0005-0000-0000-00001B8A0000}"/>
    <cellStyle name="Output 8 2 12 4" xfId="35358" xr:uid="{00000000-0005-0000-0000-00001C8A0000}"/>
    <cellStyle name="Output 8 2 13" xfId="35359" xr:uid="{00000000-0005-0000-0000-00001D8A0000}"/>
    <cellStyle name="Output 8 2 13 2" xfId="35360" xr:uid="{00000000-0005-0000-0000-00001E8A0000}"/>
    <cellStyle name="Output 8 2 13 2 2" xfId="35361" xr:uid="{00000000-0005-0000-0000-00001F8A0000}"/>
    <cellStyle name="Output 8 2 13 2 3" xfId="35362" xr:uid="{00000000-0005-0000-0000-0000208A0000}"/>
    <cellStyle name="Output 8 2 13 3" xfId="35363" xr:uid="{00000000-0005-0000-0000-0000218A0000}"/>
    <cellStyle name="Output 8 2 13 4" xfId="35364" xr:uid="{00000000-0005-0000-0000-0000228A0000}"/>
    <cellStyle name="Output 8 2 14" xfId="35365" xr:uid="{00000000-0005-0000-0000-0000238A0000}"/>
    <cellStyle name="Output 8 2 14 2" xfId="35366" xr:uid="{00000000-0005-0000-0000-0000248A0000}"/>
    <cellStyle name="Output 8 2 14 2 2" xfId="35367" xr:uid="{00000000-0005-0000-0000-0000258A0000}"/>
    <cellStyle name="Output 8 2 14 2 3" xfId="35368" xr:uid="{00000000-0005-0000-0000-0000268A0000}"/>
    <cellStyle name="Output 8 2 14 3" xfId="35369" xr:uid="{00000000-0005-0000-0000-0000278A0000}"/>
    <cellStyle name="Output 8 2 14 4" xfId="35370" xr:uid="{00000000-0005-0000-0000-0000288A0000}"/>
    <cellStyle name="Output 8 2 15" xfId="35371" xr:uid="{00000000-0005-0000-0000-0000298A0000}"/>
    <cellStyle name="Output 8 2 15 2" xfId="35372" xr:uid="{00000000-0005-0000-0000-00002A8A0000}"/>
    <cellStyle name="Output 8 2 15 2 2" xfId="35373" xr:uid="{00000000-0005-0000-0000-00002B8A0000}"/>
    <cellStyle name="Output 8 2 15 2 3" xfId="35374" xr:uid="{00000000-0005-0000-0000-00002C8A0000}"/>
    <cellStyle name="Output 8 2 15 3" xfId="35375" xr:uid="{00000000-0005-0000-0000-00002D8A0000}"/>
    <cellStyle name="Output 8 2 15 4" xfId="35376" xr:uid="{00000000-0005-0000-0000-00002E8A0000}"/>
    <cellStyle name="Output 8 2 16" xfId="35377" xr:uid="{00000000-0005-0000-0000-00002F8A0000}"/>
    <cellStyle name="Output 8 2 16 2" xfId="35378" xr:uid="{00000000-0005-0000-0000-0000308A0000}"/>
    <cellStyle name="Output 8 2 16 2 2" xfId="35379" xr:uid="{00000000-0005-0000-0000-0000318A0000}"/>
    <cellStyle name="Output 8 2 16 2 3" xfId="35380" xr:uid="{00000000-0005-0000-0000-0000328A0000}"/>
    <cellStyle name="Output 8 2 16 3" xfId="35381" xr:uid="{00000000-0005-0000-0000-0000338A0000}"/>
    <cellStyle name="Output 8 2 16 4" xfId="35382" xr:uid="{00000000-0005-0000-0000-0000348A0000}"/>
    <cellStyle name="Output 8 2 17" xfId="35383" xr:uid="{00000000-0005-0000-0000-0000358A0000}"/>
    <cellStyle name="Output 8 2 17 2" xfId="35384" xr:uid="{00000000-0005-0000-0000-0000368A0000}"/>
    <cellStyle name="Output 8 2 17 2 2" xfId="35385" xr:uid="{00000000-0005-0000-0000-0000378A0000}"/>
    <cellStyle name="Output 8 2 17 2 3" xfId="35386" xr:uid="{00000000-0005-0000-0000-0000388A0000}"/>
    <cellStyle name="Output 8 2 17 3" xfId="35387" xr:uid="{00000000-0005-0000-0000-0000398A0000}"/>
    <cellStyle name="Output 8 2 17 4" xfId="35388" xr:uid="{00000000-0005-0000-0000-00003A8A0000}"/>
    <cellStyle name="Output 8 2 18" xfId="35389" xr:uid="{00000000-0005-0000-0000-00003B8A0000}"/>
    <cellStyle name="Output 8 2 18 2" xfId="35390" xr:uid="{00000000-0005-0000-0000-00003C8A0000}"/>
    <cellStyle name="Output 8 2 18 3" xfId="35391" xr:uid="{00000000-0005-0000-0000-00003D8A0000}"/>
    <cellStyle name="Output 8 2 18 4" xfId="35392" xr:uid="{00000000-0005-0000-0000-00003E8A0000}"/>
    <cellStyle name="Output 8 2 19" xfId="35393" xr:uid="{00000000-0005-0000-0000-00003F8A0000}"/>
    <cellStyle name="Output 8 2 2" xfId="35394" xr:uid="{00000000-0005-0000-0000-0000408A0000}"/>
    <cellStyle name="Output 8 2 2 2" xfId="35395" xr:uid="{00000000-0005-0000-0000-0000418A0000}"/>
    <cellStyle name="Output 8 2 2 2 2" xfId="35396" xr:uid="{00000000-0005-0000-0000-0000428A0000}"/>
    <cellStyle name="Output 8 2 2 2 3" xfId="35397" xr:uid="{00000000-0005-0000-0000-0000438A0000}"/>
    <cellStyle name="Output 8 2 2 3" xfId="35398" xr:uid="{00000000-0005-0000-0000-0000448A0000}"/>
    <cellStyle name="Output 8 2 2 4" xfId="35399" xr:uid="{00000000-0005-0000-0000-0000458A0000}"/>
    <cellStyle name="Output 8 2 20" xfId="35400" xr:uid="{00000000-0005-0000-0000-0000468A0000}"/>
    <cellStyle name="Output 8 2 21" xfId="35401" xr:uid="{00000000-0005-0000-0000-0000478A0000}"/>
    <cellStyle name="Output 8 2 3" xfId="35402" xr:uid="{00000000-0005-0000-0000-0000488A0000}"/>
    <cellStyle name="Output 8 2 3 2" xfId="35403" xr:uid="{00000000-0005-0000-0000-0000498A0000}"/>
    <cellStyle name="Output 8 2 3 2 2" xfId="35404" xr:uid="{00000000-0005-0000-0000-00004A8A0000}"/>
    <cellStyle name="Output 8 2 3 2 3" xfId="35405" xr:uid="{00000000-0005-0000-0000-00004B8A0000}"/>
    <cellStyle name="Output 8 2 3 3" xfId="35406" xr:uid="{00000000-0005-0000-0000-00004C8A0000}"/>
    <cellStyle name="Output 8 2 3 4" xfId="35407" xr:uid="{00000000-0005-0000-0000-00004D8A0000}"/>
    <cellStyle name="Output 8 2 4" xfId="35408" xr:uid="{00000000-0005-0000-0000-00004E8A0000}"/>
    <cellStyle name="Output 8 2 4 2" xfId="35409" xr:uid="{00000000-0005-0000-0000-00004F8A0000}"/>
    <cellStyle name="Output 8 2 4 2 2" xfId="35410" xr:uid="{00000000-0005-0000-0000-0000508A0000}"/>
    <cellStyle name="Output 8 2 4 2 3" xfId="35411" xr:uid="{00000000-0005-0000-0000-0000518A0000}"/>
    <cellStyle name="Output 8 2 4 3" xfId="35412" xr:uid="{00000000-0005-0000-0000-0000528A0000}"/>
    <cellStyle name="Output 8 2 4 4" xfId="35413" xr:uid="{00000000-0005-0000-0000-0000538A0000}"/>
    <cellStyle name="Output 8 2 5" xfId="35414" xr:uid="{00000000-0005-0000-0000-0000548A0000}"/>
    <cellStyle name="Output 8 2 5 2" xfId="35415" xr:uid="{00000000-0005-0000-0000-0000558A0000}"/>
    <cellStyle name="Output 8 2 5 2 2" xfId="35416" xr:uid="{00000000-0005-0000-0000-0000568A0000}"/>
    <cellStyle name="Output 8 2 5 2 3" xfId="35417" xr:uid="{00000000-0005-0000-0000-0000578A0000}"/>
    <cellStyle name="Output 8 2 5 3" xfId="35418" xr:uid="{00000000-0005-0000-0000-0000588A0000}"/>
    <cellStyle name="Output 8 2 5 4" xfId="35419" xr:uid="{00000000-0005-0000-0000-0000598A0000}"/>
    <cellStyle name="Output 8 2 6" xfId="35420" xr:uid="{00000000-0005-0000-0000-00005A8A0000}"/>
    <cellStyle name="Output 8 2 6 2" xfId="35421" xr:uid="{00000000-0005-0000-0000-00005B8A0000}"/>
    <cellStyle name="Output 8 2 6 2 2" xfId="35422" xr:uid="{00000000-0005-0000-0000-00005C8A0000}"/>
    <cellStyle name="Output 8 2 6 2 3" xfId="35423" xr:uid="{00000000-0005-0000-0000-00005D8A0000}"/>
    <cellStyle name="Output 8 2 6 3" xfId="35424" xr:uid="{00000000-0005-0000-0000-00005E8A0000}"/>
    <cellStyle name="Output 8 2 6 4" xfId="35425" xr:uid="{00000000-0005-0000-0000-00005F8A0000}"/>
    <cellStyle name="Output 8 2 7" xfId="35426" xr:uid="{00000000-0005-0000-0000-0000608A0000}"/>
    <cellStyle name="Output 8 2 7 2" xfId="35427" xr:uid="{00000000-0005-0000-0000-0000618A0000}"/>
    <cellStyle name="Output 8 2 7 2 2" xfId="35428" xr:uid="{00000000-0005-0000-0000-0000628A0000}"/>
    <cellStyle name="Output 8 2 7 2 3" xfId="35429" xr:uid="{00000000-0005-0000-0000-0000638A0000}"/>
    <cellStyle name="Output 8 2 7 3" xfId="35430" xr:uid="{00000000-0005-0000-0000-0000648A0000}"/>
    <cellStyle name="Output 8 2 7 4" xfId="35431" xr:uid="{00000000-0005-0000-0000-0000658A0000}"/>
    <cellStyle name="Output 8 2 8" xfId="35432" xr:uid="{00000000-0005-0000-0000-0000668A0000}"/>
    <cellStyle name="Output 8 2 8 2" xfId="35433" xr:uid="{00000000-0005-0000-0000-0000678A0000}"/>
    <cellStyle name="Output 8 2 8 2 2" xfId="35434" xr:uid="{00000000-0005-0000-0000-0000688A0000}"/>
    <cellStyle name="Output 8 2 8 2 3" xfId="35435" xr:uid="{00000000-0005-0000-0000-0000698A0000}"/>
    <cellStyle name="Output 8 2 8 3" xfId="35436" xr:uid="{00000000-0005-0000-0000-00006A8A0000}"/>
    <cellStyle name="Output 8 2 8 4" xfId="35437" xr:uid="{00000000-0005-0000-0000-00006B8A0000}"/>
    <cellStyle name="Output 8 2 9" xfId="35438" xr:uid="{00000000-0005-0000-0000-00006C8A0000}"/>
    <cellStyle name="Output 8 2 9 2" xfId="35439" xr:uid="{00000000-0005-0000-0000-00006D8A0000}"/>
    <cellStyle name="Output 8 2 9 2 2" xfId="35440" xr:uid="{00000000-0005-0000-0000-00006E8A0000}"/>
    <cellStyle name="Output 8 2 9 2 3" xfId="35441" xr:uid="{00000000-0005-0000-0000-00006F8A0000}"/>
    <cellStyle name="Output 8 2 9 3" xfId="35442" xr:uid="{00000000-0005-0000-0000-0000708A0000}"/>
    <cellStyle name="Output 8 2 9 4" xfId="35443" xr:uid="{00000000-0005-0000-0000-0000718A0000}"/>
    <cellStyle name="Output 8 3" xfId="35444" xr:uid="{00000000-0005-0000-0000-0000728A0000}"/>
    <cellStyle name="Output 8 3 2" xfId="35445" xr:uid="{00000000-0005-0000-0000-0000738A0000}"/>
    <cellStyle name="Output 8 3 2 2" xfId="35446" xr:uid="{00000000-0005-0000-0000-0000748A0000}"/>
    <cellStyle name="Output 8 3 2 3" xfId="35447" xr:uid="{00000000-0005-0000-0000-0000758A0000}"/>
    <cellStyle name="Output 8 3 3" xfId="35448" xr:uid="{00000000-0005-0000-0000-0000768A0000}"/>
    <cellStyle name="Output 8 3 4" xfId="35449" xr:uid="{00000000-0005-0000-0000-0000778A0000}"/>
    <cellStyle name="Output 8 4" xfId="35450" xr:uid="{00000000-0005-0000-0000-0000788A0000}"/>
    <cellStyle name="Output 8 5" xfId="35451" xr:uid="{00000000-0005-0000-0000-0000798A0000}"/>
    <cellStyle name="Output 9" xfId="35452" xr:uid="{00000000-0005-0000-0000-00007A8A0000}"/>
    <cellStyle name="Output 9 2" xfId="35453" xr:uid="{00000000-0005-0000-0000-00007B8A0000}"/>
    <cellStyle name="Output 9 2 10" xfId="35454" xr:uid="{00000000-0005-0000-0000-00007C8A0000}"/>
    <cellStyle name="Output 9 2 10 2" xfId="35455" xr:uid="{00000000-0005-0000-0000-00007D8A0000}"/>
    <cellStyle name="Output 9 2 10 2 2" xfId="35456" xr:uid="{00000000-0005-0000-0000-00007E8A0000}"/>
    <cellStyle name="Output 9 2 10 2 3" xfId="35457" xr:uid="{00000000-0005-0000-0000-00007F8A0000}"/>
    <cellStyle name="Output 9 2 10 3" xfId="35458" xr:uid="{00000000-0005-0000-0000-0000808A0000}"/>
    <cellStyle name="Output 9 2 10 4" xfId="35459" xr:uid="{00000000-0005-0000-0000-0000818A0000}"/>
    <cellStyle name="Output 9 2 11" xfId="35460" xr:uid="{00000000-0005-0000-0000-0000828A0000}"/>
    <cellStyle name="Output 9 2 11 2" xfId="35461" xr:uid="{00000000-0005-0000-0000-0000838A0000}"/>
    <cellStyle name="Output 9 2 11 2 2" xfId="35462" xr:uid="{00000000-0005-0000-0000-0000848A0000}"/>
    <cellStyle name="Output 9 2 11 2 3" xfId="35463" xr:uid="{00000000-0005-0000-0000-0000858A0000}"/>
    <cellStyle name="Output 9 2 11 3" xfId="35464" xr:uid="{00000000-0005-0000-0000-0000868A0000}"/>
    <cellStyle name="Output 9 2 11 4" xfId="35465" xr:uid="{00000000-0005-0000-0000-0000878A0000}"/>
    <cellStyle name="Output 9 2 12" xfId="35466" xr:uid="{00000000-0005-0000-0000-0000888A0000}"/>
    <cellStyle name="Output 9 2 12 2" xfId="35467" xr:uid="{00000000-0005-0000-0000-0000898A0000}"/>
    <cellStyle name="Output 9 2 12 2 2" xfId="35468" xr:uid="{00000000-0005-0000-0000-00008A8A0000}"/>
    <cellStyle name="Output 9 2 12 2 3" xfId="35469" xr:uid="{00000000-0005-0000-0000-00008B8A0000}"/>
    <cellStyle name="Output 9 2 12 3" xfId="35470" xr:uid="{00000000-0005-0000-0000-00008C8A0000}"/>
    <cellStyle name="Output 9 2 12 4" xfId="35471" xr:uid="{00000000-0005-0000-0000-00008D8A0000}"/>
    <cellStyle name="Output 9 2 13" xfId="35472" xr:uid="{00000000-0005-0000-0000-00008E8A0000}"/>
    <cellStyle name="Output 9 2 13 2" xfId="35473" xr:uid="{00000000-0005-0000-0000-00008F8A0000}"/>
    <cellStyle name="Output 9 2 13 2 2" xfId="35474" xr:uid="{00000000-0005-0000-0000-0000908A0000}"/>
    <cellStyle name="Output 9 2 13 2 3" xfId="35475" xr:uid="{00000000-0005-0000-0000-0000918A0000}"/>
    <cellStyle name="Output 9 2 13 3" xfId="35476" xr:uid="{00000000-0005-0000-0000-0000928A0000}"/>
    <cellStyle name="Output 9 2 13 4" xfId="35477" xr:uid="{00000000-0005-0000-0000-0000938A0000}"/>
    <cellStyle name="Output 9 2 14" xfId="35478" xr:uid="{00000000-0005-0000-0000-0000948A0000}"/>
    <cellStyle name="Output 9 2 14 2" xfId="35479" xr:uid="{00000000-0005-0000-0000-0000958A0000}"/>
    <cellStyle name="Output 9 2 14 2 2" xfId="35480" xr:uid="{00000000-0005-0000-0000-0000968A0000}"/>
    <cellStyle name="Output 9 2 14 2 3" xfId="35481" xr:uid="{00000000-0005-0000-0000-0000978A0000}"/>
    <cellStyle name="Output 9 2 14 3" xfId="35482" xr:uid="{00000000-0005-0000-0000-0000988A0000}"/>
    <cellStyle name="Output 9 2 14 4" xfId="35483" xr:uid="{00000000-0005-0000-0000-0000998A0000}"/>
    <cellStyle name="Output 9 2 15" xfId="35484" xr:uid="{00000000-0005-0000-0000-00009A8A0000}"/>
    <cellStyle name="Output 9 2 15 2" xfId="35485" xr:uid="{00000000-0005-0000-0000-00009B8A0000}"/>
    <cellStyle name="Output 9 2 15 2 2" xfId="35486" xr:uid="{00000000-0005-0000-0000-00009C8A0000}"/>
    <cellStyle name="Output 9 2 15 2 3" xfId="35487" xr:uid="{00000000-0005-0000-0000-00009D8A0000}"/>
    <cellStyle name="Output 9 2 15 3" xfId="35488" xr:uid="{00000000-0005-0000-0000-00009E8A0000}"/>
    <cellStyle name="Output 9 2 15 4" xfId="35489" xr:uid="{00000000-0005-0000-0000-00009F8A0000}"/>
    <cellStyle name="Output 9 2 16" xfId="35490" xr:uid="{00000000-0005-0000-0000-0000A08A0000}"/>
    <cellStyle name="Output 9 2 16 2" xfId="35491" xr:uid="{00000000-0005-0000-0000-0000A18A0000}"/>
    <cellStyle name="Output 9 2 16 2 2" xfId="35492" xr:uid="{00000000-0005-0000-0000-0000A28A0000}"/>
    <cellStyle name="Output 9 2 16 2 3" xfId="35493" xr:uid="{00000000-0005-0000-0000-0000A38A0000}"/>
    <cellStyle name="Output 9 2 16 3" xfId="35494" xr:uid="{00000000-0005-0000-0000-0000A48A0000}"/>
    <cellStyle name="Output 9 2 16 4" xfId="35495" xr:uid="{00000000-0005-0000-0000-0000A58A0000}"/>
    <cellStyle name="Output 9 2 17" xfId="35496" xr:uid="{00000000-0005-0000-0000-0000A68A0000}"/>
    <cellStyle name="Output 9 2 17 2" xfId="35497" xr:uid="{00000000-0005-0000-0000-0000A78A0000}"/>
    <cellStyle name="Output 9 2 17 2 2" xfId="35498" xr:uid="{00000000-0005-0000-0000-0000A88A0000}"/>
    <cellStyle name="Output 9 2 17 2 3" xfId="35499" xr:uid="{00000000-0005-0000-0000-0000A98A0000}"/>
    <cellStyle name="Output 9 2 17 3" xfId="35500" xr:uid="{00000000-0005-0000-0000-0000AA8A0000}"/>
    <cellStyle name="Output 9 2 17 4" xfId="35501" xr:uid="{00000000-0005-0000-0000-0000AB8A0000}"/>
    <cellStyle name="Output 9 2 18" xfId="35502" xr:uid="{00000000-0005-0000-0000-0000AC8A0000}"/>
    <cellStyle name="Output 9 2 18 2" xfId="35503" xr:uid="{00000000-0005-0000-0000-0000AD8A0000}"/>
    <cellStyle name="Output 9 2 18 3" xfId="35504" xr:uid="{00000000-0005-0000-0000-0000AE8A0000}"/>
    <cellStyle name="Output 9 2 18 4" xfId="35505" xr:uid="{00000000-0005-0000-0000-0000AF8A0000}"/>
    <cellStyle name="Output 9 2 19" xfId="35506" xr:uid="{00000000-0005-0000-0000-0000B08A0000}"/>
    <cellStyle name="Output 9 2 2" xfId="35507" xr:uid="{00000000-0005-0000-0000-0000B18A0000}"/>
    <cellStyle name="Output 9 2 2 2" xfId="35508" xr:uid="{00000000-0005-0000-0000-0000B28A0000}"/>
    <cellStyle name="Output 9 2 2 2 2" xfId="35509" xr:uid="{00000000-0005-0000-0000-0000B38A0000}"/>
    <cellStyle name="Output 9 2 2 2 3" xfId="35510" xr:uid="{00000000-0005-0000-0000-0000B48A0000}"/>
    <cellStyle name="Output 9 2 2 3" xfId="35511" xr:uid="{00000000-0005-0000-0000-0000B58A0000}"/>
    <cellStyle name="Output 9 2 2 4" xfId="35512" xr:uid="{00000000-0005-0000-0000-0000B68A0000}"/>
    <cellStyle name="Output 9 2 20" xfId="35513" xr:uid="{00000000-0005-0000-0000-0000B78A0000}"/>
    <cellStyle name="Output 9 2 21" xfId="35514" xr:uid="{00000000-0005-0000-0000-0000B88A0000}"/>
    <cellStyle name="Output 9 2 3" xfId="35515" xr:uid="{00000000-0005-0000-0000-0000B98A0000}"/>
    <cellStyle name="Output 9 2 3 2" xfId="35516" xr:uid="{00000000-0005-0000-0000-0000BA8A0000}"/>
    <cellStyle name="Output 9 2 3 2 2" xfId="35517" xr:uid="{00000000-0005-0000-0000-0000BB8A0000}"/>
    <cellStyle name="Output 9 2 3 2 3" xfId="35518" xr:uid="{00000000-0005-0000-0000-0000BC8A0000}"/>
    <cellStyle name="Output 9 2 3 3" xfId="35519" xr:uid="{00000000-0005-0000-0000-0000BD8A0000}"/>
    <cellStyle name="Output 9 2 3 4" xfId="35520" xr:uid="{00000000-0005-0000-0000-0000BE8A0000}"/>
    <cellStyle name="Output 9 2 4" xfId="35521" xr:uid="{00000000-0005-0000-0000-0000BF8A0000}"/>
    <cellStyle name="Output 9 2 4 2" xfId="35522" xr:uid="{00000000-0005-0000-0000-0000C08A0000}"/>
    <cellStyle name="Output 9 2 4 2 2" xfId="35523" xr:uid="{00000000-0005-0000-0000-0000C18A0000}"/>
    <cellStyle name="Output 9 2 4 2 3" xfId="35524" xr:uid="{00000000-0005-0000-0000-0000C28A0000}"/>
    <cellStyle name="Output 9 2 4 3" xfId="35525" xr:uid="{00000000-0005-0000-0000-0000C38A0000}"/>
    <cellStyle name="Output 9 2 4 4" xfId="35526" xr:uid="{00000000-0005-0000-0000-0000C48A0000}"/>
    <cellStyle name="Output 9 2 5" xfId="35527" xr:uid="{00000000-0005-0000-0000-0000C58A0000}"/>
    <cellStyle name="Output 9 2 5 2" xfId="35528" xr:uid="{00000000-0005-0000-0000-0000C68A0000}"/>
    <cellStyle name="Output 9 2 5 2 2" xfId="35529" xr:uid="{00000000-0005-0000-0000-0000C78A0000}"/>
    <cellStyle name="Output 9 2 5 2 3" xfId="35530" xr:uid="{00000000-0005-0000-0000-0000C88A0000}"/>
    <cellStyle name="Output 9 2 5 3" xfId="35531" xr:uid="{00000000-0005-0000-0000-0000C98A0000}"/>
    <cellStyle name="Output 9 2 5 4" xfId="35532" xr:uid="{00000000-0005-0000-0000-0000CA8A0000}"/>
    <cellStyle name="Output 9 2 6" xfId="35533" xr:uid="{00000000-0005-0000-0000-0000CB8A0000}"/>
    <cellStyle name="Output 9 2 6 2" xfId="35534" xr:uid="{00000000-0005-0000-0000-0000CC8A0000}"/>
    <cellStyle name="Output 9 2 6 2 2" xfId="35535" xr:uid="{00000000-0005-0000-0000-0000CD8A0000}"/>
    <cellStyle name="Output 9 2 6 2 3" xfId="35536" xr:uid="{00000000-0005-0000-0000-0000CE8A0000}"/>
    <cellStyle name="Output 9 2 6 3" xfId="35537" xr:uid="{00000000-0005-0000-0000-0000CF8A0000}"/>
    <cellStyle name="Output 9 2 6 4" xfId="35538" xr:uid="{00000000-0005-0000-0000-0000D08A0000}"/>
    <cellStyle name="Output 9 2 7" xfId="35539" xr:uid="{00000000-0005-0000-0000-0000D18A0000}"/>
    <cellStyle name="Output 9 2 7 2" xfId="35540" xr:uid="{00000000-0005-0000-0000-0000D28A0000}"/>
    <cellStyle name="Output 9 2 7 2 2" xfId="35541" xr:uid="{00000000-0005-0000-0000-0000D38A0000}"/>
    <cellStyle name="Output 9 2 7 2 3" xfId="35542" xr:uid="{00000000-0005-0000-0000-0000D48A0000}"/>
    <cellStyle name="Output 9 2 7 3" xfId="35543" xr:uid="{00000000-0005-0000-0000-0000D58A0000}"/>
    <cellStyle name="Output 9 2 7 4" xfId="35544" xr:uid="{00000000-0005-0000-0000-0000D68A0000}"/>
    <cellStyle name="Output 9 2 8" xfId="35545" xr:uid="{00000000-0005-0000-0000-0000D78A0000}"/>
    <cellStyle name="Output 9 2 8 2" xfId="35546" xr:uid="{00000000-0005-0000-0000-0000D88A0000}"/>
    <cellStyle name="Output 9 2 8 2 2" xfId="35547" xr:uid="{00000000-0005-0000-0000-0000D98A0000}"/>
    <cellStyle name="Output 9 2 8 2 3" xfId="35548" xr:uid="{00000000-0005-0000-0000-0000DA8A0000}"/>
    <cellStyle name="Output 9 2 8 3" xfId="35549" xr:uid="{00000000-0005-0000-0000-0000DB8A0000}"/>
    <cellStyle name="Output 9 2 8 4" xfId="35550" xr:uid="{00000000-0005-0000-0000-0000DC8A0000}"/>
    <cellStyle name="Output 9 2 9" xfId="35551" xr:uid="{00000000-0005-0000-0000-0000DD8A0000}"/>
    <cellStyle name="Output 9 2 9 2" xfId="35552" xr:uid="{00000000-0005-0000-0000-0000DE8A0000}"/>
    <cellStyle name="Output 9 2 9 2 2" xfId="35553" xr:uid="{00000000-0005-0000-0000-0000DF8A0000}"/>
    <cellStyle name="Output 9 2 9 2 3" xfId="35554" xr:uid="{00000000-0005-0000-0000-0000E08A0000}"/>
    <cellStyle name="Output 9 2 9 3" xfId="35555" xr:uid="{00000000-0005-0000-0000-0000E18A0000}"/>
    <cellStyle name="Output 9 2 9 4" xfId="35556" xr:uid="{00000000-0005-0000-0000-0000E28A0000}"/>
    <cellStyle name="Output 9 3" xfId="35557" xr:uid="{00000000-0005-0000-0000-0000E38A0000}"/>
    <cellStyle name="Output 9 3 2" xfId="35558" xr:uid="{00000000-0005-0000-0000-0000E48A0000}"/>
    <cellStyle name="Output 9 3 2 2" xfId="35559" xr:uid="{00000000-0005-0000-0000-0000E58A0000}"/>
    <cellStyle name="Output 9 3 2 3" xfId="35560" xr:uid="{00000000-0005-0000-0000-0000E68A0000}"/>
    <cellStyle name="Output 9 3 3" xfId="35561" xr:uid="{00000000-0005-0000-0000-0000E78A0000}"/>
    <cellStyle name="Output 9 3 4" xfId="35562" xr:uid="{00000000-0005-0000-0000-0000E88A0000}"/>
    <cellStyle name="Output 9 4" xfId="35563" xr:uid="{00000000-0005-0000-0000-0000E98A0000}"/>
    <cellStyle name="Output 9 5" xfId="35564" xr:uid="{00000000-0005-0000-0000-0000EA8A0000}"/>
    <cellStyle name="Percent" xfId="21" builtinId="5"/>
    <cellStyle name="Percent 10" xfId="35565" xr:uid="{00000000-0005-0000-0000-0000EC8A0000}"/>
    <cellStyle name="Percent 10 2" xfId="35566" xr:uid="{00000000-0005-0000-0000-0000ED8A0000}"/>
    <cellStyle name="Percent 10 3" xfId="35567" xr:uid="{00000000-0005-0000-0000-0000EE8A0000}"/>
    <cellStyle name="Percent 10 4" xfId="35568" xr:uid="{00000000-0005-0000-0000-0000EF8A0000}"/>
    <cellStyle name="Percent 11" xfId="35569" xr:uid="{00000000-0005-0000-0000-0000F08A0000}"/>
    <cellStyle name="Percent 11 2" xfId="35570" xr:uid="{00000000-0005-0000-0000-0000F18A0000}"/>
    <cellStyle name="Percent 2" xfId="35571" xr:uid="{00000000-0005-0000-0000-0000F28A0000}"/>
    <cellStyle name="Percent 2 10" xfId="35572" xr:uid="{00000000-0005-0000-0000-0000F38A0000}"/>
    <cellStyle name="Percent 2 10 2" xfId="35573" xr:uid="{00000000-0005-0000-0000-0000F48A0000}"/>
    <cellStyle name="Percent 2 11" xfId="35574" xr:uid="{00000000-0005-0000-0000-0000F58A0000}"/>
    <cellStyle name="Percent 2 2" xfId="35575" xr:uid="{00000000-0005-0000-0000-0000F68A0000}"/>
    <cellStyle name="Percent 2 2 2" xfId="35576" xr:uid="{00000000-0005-0000-0000-0000F78A0000}"/>
    <cellStyle name="Percent 2 2 2 2" xfId="35577" xr:uid="{00000000-0005-0000-0000-0000F88A0000}"/>
    <cellStyle name="Percent 2 2 2 2 2" xfId="35578" xr:uid="{00000000-0005-0000-0000-0000F98A0000}"/>
    <cellStyle name="Percent 2 2 2 3" xfId="35579" xr:uid="{00000000-0005-0000-0000-0000FA8A0000}"/>
    <cellStyle name="Percent 2 2 2 4" xfId="35580" xr:uid="{00000000-0005-0000-0000-0000FB8A0000}"/>
    <cellStyle name="Percent 2 2 3" xfId="35581" xr:uid="{00000000-0005-0000-0000-0000FC8A0000}"/>
    <cellStyle name="Percent 2 2 3 2" xfId="35582" xr:uid="{00000000-0005-0000-0000-0000FD8A0000}"/>
    <cellStyle name="Percent 2 2 4" xfId="35583" xr:uid="{00000000-0005-0000-0000-0000FE8A0000}"/>
    <cellStyle name="Percent 2 2 4 2" xfId="35584" xr:uid="{00000000-0005-0000-0000-0000FF8A0000}"/>
    <cellStyle name="Percent 2 2 5" xfId="35585" xr:uid="{00000000-0005-0000-0000-0000008B0000}"/>
    <cellStyle name="Percent 2 2 6" xfId="35586" xr:uid="{00000000-0005-0000-0000-0000018B0000}"/>
    <cellStyle name="Percent 2 3" xfId="35587" xr:uid="{00000000-0005-0000-0000-0000028B0000}"/>
    <cellStyle name="Percent 2 3 2" xfId="35588" xr:uid="{00000000-0005-0000-0000-0000038B0000}"/>
    <cellStyle name="Percent 2 3 2 2" xfId="35589" xr:uid="{00000000-0005-0000-0000-0000048B0000}"/>
    <cellStyle name="Percent 2 3 2 2 2" xfId="35590" xr:uid="{00000000-0005-0000-0000-0000058B0000}"/>
    <cellStyle name="Percent 2 3 2 2 2 2" xfId="35591" xr:uid="{00000000-0005-0000-0000-0000068B0000}"/>
    <cellStyle name="Percent 2 3 2 2 3" xfId="35592" xr:uid="{00000000-0005-0000-0000-0000078B0000}"/>
    <cellStyle name="Percent 2 3 2 3" xfId="35593" xr:uid="{00000000-0005-0000-0000-0000088B0000}"/>
    <cellStyle name="Percent 2 3 2 3 2" xfId="35594" xr:uid="{00000000-0005-0000-0000-0000098B0000}"/>
    <cellStyle name="Percent 2 3 2 3 3" xfId="35595" xr:uid="{00000000-0005-0000-0000-00000A8B0000}"/>
    <cellStyle name="Percent 2 3 2 4" xfId="35596" xr:uid="{00000000-0005-0000-0000-00000B8B0000}"/>
    <cellStyle name="Percent 2 3 2 4 2" xfId="35597" xr:uid="{00000000-0005-0000-0000-00000C8B0000}"/>
    <cellStyle name="Percent 2 3 2 4 3" xfId="35598" xr:uid="{00000000-0005-0000-0000-00000D8B0000}"/>
    <cellStyle name="Percent 2 3 2 5" xfId="35599" xr:uid="{00000000-0005-0000-0000-00000E8B0000}"/>
    <cellStyle name="Percent 2 3 2 6" xfId="35600" xr:uid="{00000000-0005-0000-0000-00000F8B0000}"/>
    <cellStyle name="Percent 2 3 3" xfId="35601" xr:uid="{00000000-0005-0000-0000-0000108B0000}"/>
    <cellStyle name="Percent 2 3 4" xfId="35602" xr:uid="{00000000-0005-0000-0000-0000118B0000}"/>
    <cellStyle name="Percent 2 3 5" xfId="35603" xr:uid="{00000000-0005-0000-0000-0000128B0000}"/>
    <cellStyle name="Percent 2 4" xfId="35604" xr:uid="{00000000-0005-0000-0000-0000138B0000}"/>
    <cellStyle name="Percent 2 4 2" xfId="35605" xr:uid="{00000000-0005-0000-0000-0000148B0000}"/>
    <cellStyle name="Percent 2 4 2 2" xfId="35606" xr:uid="{00000000-0005-0000-0000-0000158B0000}"/>
    <cellStyle name="Percent 2 4 3" xfId="35607" xr:uid="{00000000-0005-0000-0000-0000168B0000}"/>
    <cellStyle name="Percent 2 4 3 2" xfId="35608" xr:uid="{00000000-0005-0000-0000-0000178B0000}"/>
    <cellStyle name="Percent 2 5" xfId="35609" xr:uid="{00000000-0005-0000-0000-0000188B0000}"/>
    <cellStyle name="Percent 2 5 2" xfId="35610" xr:uid="{00000000-0005-0000-0000-0000198B0000}"/>
    <cellStyle name="Percent 2 5 2 2" xfId="35611" xr:uid="{00000000-0005-0000-0000-00001A8B0000}"/>
    <cellStyle name="Percent 2 5 2 3" xfId="35612" xr:uid="{00000000-0005-0000-0000-00001B8B0000}"/>
    <cellStyle name="Percent 2 5 3" xfId="35613" xr:uid="{00000000-0005-0000-0000-00001C8B0000}"/>
    <cellStyle name="Percent 2 5 4" xfId="35614" xr:uid="{00000000-0005-0000-0000-00001D8B0000}"/>
    <cellStyle name="Percent 2 5 5" xfId="35615" xr:uid="{00000000-0005-0000-0000-00001E8B0000}"/>
    <cellStyle name="Percent 2 6" xfId="35616" xr:uid="{00000000-0005-0000-0000-00001F8B0000}"/>
    <cellStyle name="Percent 2 6 2" xfId="35617" xr:uid="{00000000-0005-0000-0000-0000208B0000}"/>
    <cellStyle name="Percent 2 6 2 2" xfId="35618" xr:uid="{00000000-0005-0000-0000-0000218B0000}"/>
    <cellStyle name="Percent 2 6 3" xfId="35619" xr:uid="{00000000-0005-0000-0000-0000228B0000}"/>
    <cellStyle name="Percent 2 6 4" xfId="23" xr:uid="{00000000-0005-0000-0000-0000238B0000}"/>
    <cellStyle name="Percent 2 6 5" xfId="35620" xr:uid="{00000000-0005-0000-0000-0000248B0000}"/>
    <cellStyle name="Percent 2 7" xfId="35621" xr:uid="{00000000-0005-0000-0000-0000258B0000}"/>
    <cellStyle name="Percent 2 7 2" xfId="35622" xr:uid="{00000000-0005-0000-0000-0000268B0000}"/>
    <cellStyle name="Percent 2 7 2 2" xfId="35623" xr:uid="{00000000-0005-0000-0000-0000278B0000}"/>
    <cellStyle name="Percent 2 7 2 3" xfId="35624" xr:uid="{00000000-0005-0000-0000-0000288B0000}"/>
    <cellStyle name="Percent 2 7 2 4" xfId="35625" xr:uid="{00000000-0005-0000-0000-0000298B0000}"/>
    <cellStyle name="Percent 2 7 3" xfId="35626" xr:uid="{00000000-0005-0000-0000-00002A8B0000}"/>
    <cellStyle name="Percent 2 7 4" xfId="35627" xr:uid="{00000000-0005-0000-0000-00002B8B0000}"/>
    <cellStyle name="Percent 2 7 5" xfId="35628" xr:uid="{00000000-0005-0000-0000-00002C8B0000}"/>
    <cellStyle name="Percent 2 8" xfId="35629" xr:uid="{00000000-0005-0000-0000-00002D8B0000}"/>
    <cellStyle name="Percent 2 8 2" xfId="35630" xr:uid="{00000000-0005-0000-0000-00002E8B0000}"/>
    <cellStyle name="Percent 2 9" xfId="35631" xr:uid="{00000000-0005-0000-0000-00002F8B0000}"/>
    <cellStyle name="Percent 2 9 2" xfId="35632" xr:uid="{00000000-0005-0000-0000-0000308B0000}"/>
    <cellStyle name="Percent 3" xfId="35633" xr:uid="{00000000-0005-0000-0000-0000318B0000}"/>
    <cellStyle name="Percent 3 10" xfId="35634" xr:uid="{00000000-0005-0000-0000-0000328B0000}"/>
    <cellStyle name="Percent 3 10 2" xfId="35635" xr:uid="{00000000-0005-0000-0000-0000338B0000}"/>
    <cellStyle name="Percent 3 10 3" xfId="35636" xr:uid="{00000000-0005-0000-0000-0000348B0000}"/>
    <cellStyle name="Percent 3 11" xfId="35637" xr:uid="{00000000-0005-0000-0000-0000358B0000}"/>
    <cellStyle name="Percent 3 11 2" xfId="35638" xr:uid="{00000000-0005-0000-0000-0000368B0000}"/>
    <cellStyle name="Percent 3 11 3" xfId="35639" xr:uid="{00000000-0005-0000-0000-0000378B0000}"/>
    <cellStyle name="Percent 3 12" xfId="35640" xr:uid="{00000000-0005-0000-0000-0000388B0000}"/>
    <cellStyle name="Percent 3 12 2" xfId="35641" xr:uid="{00000000-0005-0000-0000-0000398B0000}"/>
    <cellStyle name="Percent 3 12 3" xfId="35642" xr:uid="{00000000-0005-0000-0000-00003A8B0000}"/>
    <cellStyle name="Percent 3 13" xfId="35643" xr:uid="{00000000-0005-0000-0000-00003B8B0000}"/>
    <cellStyle name="Percent 3 13 2" xfId="35644" xr:uid="{00000000-0005-0000-0000-00003C8B0000}"/>
    <cellStyle name="Percent 3 13 3" xfId="35645" xr:uid="{00000000-0005-0000-0000-00003D8B0000}"/>
    <cellStyle name="Percent 3 14" xfId="35646" xr:uid="{00000000-0005-0000-0000-00003E8B0000}"/>
    <cellStyle name="Percent 3 14 2" xfId="35647" xr:uid="{00000000-0005-0000-0000-00003F8B0000}"/>
    <cellStyle name="Percent 3 14 3" xfId="35648" xr:uid="{00000000-0005-0000-0000-0000408B0000}"/>
    <cellStyle name="Percent 3 15" xfId="35649" xr:uid="{00000000-0005-0000-0000-0000418B0000}"/>
    <cellStyle name="Percent 3 15 2" xfId="35650" xr:uid="{00000000-0005-0000-0000-0000428B0000}"/>
    <cellStyle name="Percent 3 15 3" xfId="35651" xr:uid="{00000000-0005-0000-0000-0000438B0000}"/>
    <cellStyle name="Percent 3 16" xfId="35652" xr:uid="{00000000-0005-0000-0000-0000448B0000}"/>
    <cellStyle name="Percent 3 16 2" xfId="35653" xr:uid="{00000000-0005-0000-0000-0000458B0000}"/>
    <cellStyle name="Percent 3 16 3" xfId="35654" xr:uid="{00000000-0005-0000-0000-0000468B0000}"/>
    <cellStyle name="Percent 3 17" xfId="35655" xr:uid="{00000000-0005-0000-0000-0000478B0000}"/>
    <cellStyle name="Percent 3 17 2" xfId="35656" xr:uid="{00000000-0005-0000-0000-0000488B0000}"/>
    <cellStyle name="Percent 3 17 3" xfId="35657" xr:uid="{00000000-0005-0000-0000-0000498B0000}"/>
    <cellStyle name="Percent 3 18" xfId="35658" xr:uid="{00000000-0005-0000-0000-00004A8B0000}"/>
    <cellStyle name="Percent 3 18 2" xfId="35659" xr:uid="{00000000-0005-0000-0000-00004B8B0000}"/>
    <cellStyle name="Percent 3 18 3" xfId="35660" xr:uid="{00000000-0005-0000-0000-00004C8B0000}"/>
    <cellStyle name="Percent 3 19" xfId="35661" xr:uid="{00000000-0005-0000-0000-00004D8B0000}"/>
    <cellStyle name="Percent 3 19 2" xfId="35662" xr:uid="{00000000-0005-0000-0000-00004E8B0000}"/>
    <cellStyle name="Percent 3 19 3" xfId="35663" xr:uid="{00000000-0005-0000-0000-00004F8B0000}"/>
    <cellStyle name="Percent 3 2" xfId="35664" xr:uid="{00000000-0005-0000-0000-0000508B0000}"/>
    <cellStyle name="Percent 3 2 2" xfId="35665" xr:uid="{00000000-0005-0000-0000-0000518B0000}"/>
    <cellStyle name="Percent 3 2 2 2" xfId="35666" xr:uid="{00000000-0005-0000-0000-0000528B0000}"/>
    <cellStyle name="Percent 3 2 2 2 2" xfId="35667" xr:uid="{00000000-0005-0000-0000-0000538B0000}"/>
    <cellStyle name="Percent 3 2 2 3" xfId="35668" xr:uid="{00000000-0005-0000-0000-0000548B0000}"/>
    <cellStyle name="Percent 3 2 2 4" xfId="35669" xr:uid="{00000000-0005-0000-0000-0000558B0000}"/>
    <cellStyle name="Percent 3 2 2 5" xfId="35670" xr:uid="{00000000-0005-0000-0000-0000568B0000}"/>
    <cellStyle name="Percent 3 2 3" xfId="35671" xr:uid="{00000000-0005-0000-0000-0000578B0000}"/>
    <cellStyle name="Percent 3 2 3 2" xfId="35672" xr:uid="{00000000-0005-0000-0000-0000588B0000}"/>
    <cellStyle name="Percent 3 2 3 2 2" xfId="35673" xr:uid="{00000000-0005-0000-0000-0000598B0000}"/>
    <cellStyle name="Percent 3 2 3 3" xfId="35674" xr:uid="{00000000-0005-0000-0000-00005A8B0000}"/>
    <cellStyle name="Percent 3 2 4" xfId="35675" xr:uid="{00000000-0005-0000-0000-00005B8B0000}"/>
    <cellStyle name="Percent 3 2 4 2" xfId="35676" xr:uid="{00000000-0005-0000-0000-00005C8B0000}"/>
    <cellStyle name="Percent 3 2 4 3" xfId="35677" xr:uid="{00000000-0005-0000-0000-00005D8B0000}"/>
    <cellStyle name="Percent 3 2 5" xfId="35678" xr:uid="{00000000-0005-0000-0000-00005E8B0000}"/>
    <cellStyle name="Percent 3 2 5 2" xfId="35679" xr:uid="{00000000-0005-0000-0000-00005F8B0000}"/>
    <cellStyle name="Percent 3 2 5 3" xfId="35680" xr:uid="{00000000-0005-0000-0000-0000608B0000}"/>
    <cellStyle name="Percent 3 2 6" xfId="35681" xr:uid="{00000000-0005-0000-0000-0000618B0000}"/>
    <cellStyle name="Percent 3 2 6 2" xfId="35682" xr:uid="{00000000-0005-0000-0000-0000628B0000}"/>
    <cellStyle name="Percent 3 2 7" xfId="35683" xr:uid="{00000000-0005-0000-0000-0000638B0000}"/>
    <cellStyle name="Percent 3 2 8" xfId="35684" xr:uid="{00000000-0005-0000-0000-0000648B0000}"/>
    <cellStyle name="Percent 3 2 9" xfId="35685" xr:uid="{00000000-0005-0000-0000-0000658B0000}"/>
    <cellStyle name="Percent 3 20" xfId="35686" xr:uid="{00000000-0005-0000-0000-0000668B0000}"/>
    <cellStyle name="Percent 3 20 2" xfId="35687" xr:uid="{00000000-0005-0000-0000-0000678B0000}"/>
    <cellStyle name="Percent 3 20 3" xfId="35688" xr:uid="{00000000-0005-0000-0000-0000688B0000}"/>
    <cellStyle name="Percent 3 21" xfId="35689" xr:uid="{00000000-0005-0000-0000-0000698B0000}"/>
    <cellStyle name="Percent 3 21 2" xfId="35690" xr:uid="{00000000-0005-0000-0000-00006A8B0000}"/>
    <cellStyle name="Percent 3 21 3" xfId="35691" xr:uid="{00000000-0005-0000-0000-00006B8B0000}"/>
    <cellStyle name="Percent 3 22" xfId="35692" xr:uid="{00000000-0005-0000-0000-00006C8B0000}"/>
    <cellStyle name="Percent 3 22 2" xfId="35693" xr:uid="{00000000-0005-0000-0000-00006D8B0000}"/>
    <cellStyle name="Percent 3 22 3" xfId="35694" xr:uid="{00000000-0005-0000-0000-00006E8B0000}"/>
    <cellStyle name="Percent 3 23" xfId="35695" xr:uid="{00000000-0005-0000-0000-00006F8B0000}"/>
    <cellStyle name="Percent 3 23 2" xfId="35696" xr:uid="{00000000-0005-0000-0000-0000708B0000}"/>
    <cellStyle name="Percent 3 23 3" xfId="35697" xr:uid="{00000000-0005-0000-0000-0000718B0000}"/>
    <cellStyle name="Percent 3 24" xfId="35698" xr:uid="{00000000-0005-0000-0000-0000728B0000}"/>
    <cellStyle name="Percent 3 24 2" xfId="35699" xr:uid="{00000000-0005-0000-0000-0000738B0000}"/>
    <cellStyle name="Percent 3 24 3" xfId="35700" xr:uid="{00000000-0005-0000-0000-0000748B0000}"/>
    <cellStyle name="Percent 3 25" xfId="35701" xr:uid="{00000000-0005-0000-0000-0000758B0000}"/>
    <cellStyle name="Percent 3 25 2" xfId="35702" xr:uid="{00000000-0005-0000-0000-0000768B0000}"/>
    <cellStyle name="Percent 3 25 3" xfId="35703" xr:uid="{00000000-0005-0000-0000-0000778B0000}"/>
    <cellStyle name="Percent 3 26" xfId="35704" xr:uid="{00000000-0005-0000-0000-0000788B0000}"/>
    <cellStyle name="Percent 3 26 2" xfId="35705" xr:uid="{00000000-0005-0000-0000-0000798B0000}"/>
    <cellStyle name="Percent 3 26 3" xfId="35706" xr:uid="{00000000-0005-0000-0000-00007A8B0000}"/>
    <cellStyle name="Percent 3 27" xfId="35707" xr:uid="{00000000-0005-0000-0000-00007B8B0000}"/>
    <cellStyle name="Percent 3 27 2" xfId="35708" xr:uid="{00000000-0005-0000-0000-00007C8B0000}"/>
    <cellStyle name="Percent 3 27 3" xfId="35709" xr:uid="{00000000-0005-0000-0000-00007D8B0000}"/>
    <cellStyle name="Percent 3 28" xfId="35710" xr:uid="{00000000-0005-0000-0000-00007E8B0000}"/>
    <cellStyle name="Percent 3 28 2" xfId="35711" xr:uid="{00000000-0005-0000-0000-00007F8B0000}"/>
    <cellStyle name="Percent 3 29" xfId="35712" xr:uid="{00000000-0005-0000-0000-0000808B0000}"/>
    <cellStyle name="Percent 3 3" xfId="35713" xr:uid="{00000000-0005-0000-0000-0000818B0000}"/>
    <cellStyle name="Percent 3 3 2" xfId="35714" xr:uid="{00000000-0005-0000-0000-0000828B0000}"/>
    <cellStyle name="Percent 3 3 2 2" xfId="35715" xr:uid="{00000000-0005-0000-0000-0000838B0000}"/>
    <cellStyle name="Percent 3 3 2 3" xfId="35716" xr:uid="{00000000-0005-0000-0000-0000848B0000}"/>
    <cellStyle name="Percent 3 3 3" xfId="35717" xr:uid="{00000000-0005-0000-0000-0000858B0000}"/>
    <cellStyle name="Percent 3 3 3 2" xfId="35718" xr:uid="{00000000-0005-0000-0000-0000868B0000}"/>
    <cellStyle name="Percent 3 3 4" xfId="35719" xr:uid="{00000000-0005-0000-0000-0000878B0000}"/>
    <cellStyle name="Percent 3 3 5" xfId="35720" xr:uid="{00000000-0005-0000-0000-0000888B0000}"/>
    <cellStyle name="Percent 3 4" xfId="35721" xr:uid="{00000000-0005-0000-0000-0000898B0000}"/>
    <cellStyle name="Percent 3 4 2" xfId="35722" xr:uid="{00000000-0005-0000-0000-00008A8B0000}"/>
    <cellStyle name="Percent 3 4 2 2" xfId="35723" xr:uid="{00000000-0005-0000-0000-00008B8B0000}"/>
    <cellStyle name="Percent 3 4 3" xfId="35724" xr:uid="{00000000-0005-0000-0000-00008C8B0000}"/>
    <cellStyle name="Percent 3 4 3 2" xfId="35725" xr:uid="{00000000-0005-0000-0000-00008D8B0000}"/>
    <cellStyle name="Percent 3 4 4" xfId="35726" xr:uid="{00000000-0005-0000-0000-00008E8B0000}"/>
    <cellStyle name="Percent 3 4 5" xfId="35727" xr:uid="{00000000-0005-0000-0000-00008F8B0000}"/>
    <cellStyle name="Percent 3 5" xfId="35728" xr:uid="{00000000-0005-0000-0000-0000908B0000}"/>
    <cellStyle name="Percent 3 5 2" xfId="35729" xr:uid="{00000000-0005-0000-0000-0000918B0000}"/>
    <cellStyle name="Percent 3 5 2 2" xfId="35730" xr:uid="{00000000-0005-0000-0000-0000928B0000}"/>
    <cellStyle name="Percent 3 5 2 3" xfId="35731" xr:uid="{00000000-0005-0000-0000-0000938B0000}"/>
    <cellStyle name="Percent 3 5 3" xfId="35732" xr:uid="{00000000-0005-0000-0000-0000948B0000}"/>
    <cellStyle name="Percent 3 5 4" xfId="35733" xr:uid="{00000000-0005-0000-0000-0000958B0000}"/>
    <cellStyle name="Percent 3 5 5" xfId="35734" xr:uid="{00000000-0005-0000-0000-0000968B0000}"/>
    <cellStyle name="Percent 3 6" xfId="35735" xr:uid="{00000000-0005-0000-0000-0000978B0000}"/>
    <cellStyle name="Percent 3 6 2" xfId="35736" xr:uid="{00000000-0005-0000-0000-0000988B0000}"/>
    <cellStyle name="Percent 3 6 2 2" xfId="35737" xr:uid="{00000000-0005-0000-0000-0000998B0000}"/>
    <cellStyle name="Percent 3 6 3" xfId="35738" xr:uid="{00000000-0005-0000-0000-00009A8B0000}"/>
    <cellStyle name="Percent 3 6 4" xfId="35739" xr:uid="{00000000-0005-0000-0000-00009B8B0000}"/>
    <cellStyle name="Percent 3 6 5" xfId="35740" xr:uid="{00000000-0005-0000-0000-00009C8B0000}"/>
    <cellStyle name="Percent 3 7" xfId="35741" xr:uid="{00000000-0005-0000-0000-00009D8B0000}"/>
    <cellStyle name="Percent 3 7 2" xfId="35742" xr:uid="{00000000-0005-0000-0000-00009E8B0000}"/>
    <cellStyle name="Percent 3 7 3" xfId="35743" xr:uid="{00000000-0005-0000-0000-00009F8B0000}"/>
    <cellStyle name="Percent 3 8" xfId="35744" xr:uid="{00000000-0005-0000-0000-0000A08B0000}"/>
    <cellStyle name="Percent 3 8 2" xfId="35745" xr:uid="{00000000-0005-0000-0000-0000A18B0000}"/>
    <cellStyle name="Percent 3 8 3" xfId="35746" xr:uid="{00000000-0005-0000-0000-0000A28B0000}"/>
    <cellStyle name="Percent 3 9" xfId="35747" xr:uid="{00000000-0005-0000-0000-0000A38B0000}"/>
    <cellStyle name="Percent 3 9 2" xfId="35748" xr:uid="{00000000-0005-0000-0000-0000A48B0000}"/>
    <cellStyle name="Percent 3 9 3" xfId="35749" xr:uid="{00000000-0005-0000-0000-0000A58B0000}"/>
    <cellStyle name="Percent 34" xfId="35750" xr:uid="{00000000-0005-0000-0000-0000A68B0000}"/>
    <cellStyle name="Percent 34 2" xfId="35751" xr:uid="{00000000-0005-0000-0000-0000A78B0000}"/>
    <cellStyle name="Percent 34 3" xfId="35752" xr:uid="{00000000-0005-0000-0000-0000A88B0000}"/>
    <cellStyle name="Percent 4" xfId="35753" xr:uid="{00000000-0005-0000-0000-0000A98B0000}"/>
    <cellStyle name="Percent 4 2" xfId="35754" xr:uid="{00000000-0005-0000-0000-0000AA8B0000}"/>
    <cellStyle name="Percent 4 2 2" xfId="35755" xr:uid="{00000000-0005-0000-0000-0000AB8B0000}"/>
    <cellStyle name="Percent 4 2 2 2" xfId="35756" xr:uid="{00000000-0005-0000-0000-0000AC8B0000}"/>
    <cellStyle name="Percent 4 2 3" xfId="35757" xr:uid="{00000000-0005-0000-0000-0000AD8B0000}"/>
    <cellStyle name="Percent 4 2 4" xfId="35758" xr:uid="{00000000-0005-0000-0000-0000AE8B0000}"/>
    <cellStyle name="Percent 4 2 5" xfId="35759" xr:uid="{00000000-0005-0000-0000-0000AF8B0000}"/>
    <cellStyle name="Percent 4 3" xfId="35760" xr:uid="{00000000-0005-0000-0000-0000B08B0000}"/>
    <cellStyle name="Percent 4 3 2" xfId="35761" xr:uid="{00000000-0005-0000-0000-0000B18B0000}"/>
    <cellStyle name="Percent 4 3 2 2" xfId="35762" xr:uid="{00000000-0005-0000-0000-0000B28B0000}"/>
    <cellStyle name="Percent 4 3 2 3" xfId="35763" xr:uid="{00000000-0005-0000-0000-0000B38B0000}"/>
    <cellStyle name="Percent 4 3 3" xfId="35764" xr:uid="{00000000-0005-0000-0000-0000B48B0000}"/>
    <cellStyle name="Percent 4 3 3 2" xfId="35765" xr:uid="{00000000-0005-0000-0000-0000B58B0000}"/>
    <cellStyle name="Percent 4 3 3 3" xfId="35766" xr:uid="{00000000-0005-0000-0000-0000B68B0000}"/>
    <cellStyle name="Percent 4 3 4" xfId="35767" xr:uid="{00000000-0005-0000-0000-0000B78B0000}"/>
    <cellStyle name="Percent 4 3 4 2" xfId="35768" xr:uid="{00000000-0005-0000-0000-0000B88B0000}"/>
    <cellStyle name="Percent 4 3 5" xfId="35769" xr:uid="{00000000-0005-0000-0000-0000B98B0000}"/>
    <cellStyle name="Percent 4 3 6" xfId="35770" xr:uid="{00000000-0005-0000-0000-0000BA8B0000}"/>
    <cellStyle name="Percent 4 3 7" xfId="35771" xr:uid="{00000000-0005-0000-0000-0000BB8B0000}"/>
    <cellStyle name="Percent 4 4" xfId="35772" xr:uid="{00000000-0005-0000-0000-0000BC8B0000}"/>
    <cellStyle name="Percent 4 4 2" xfId="35773" xr:uid="{00000000-0005-0000-0000-0000BD8B0000}"/>
    <cellStyle name="Percent 4 5" xfId="35774" xr:uid="{00000000-0005-0000-0000-0000BE8B0000}"/>
    <cellStyle name="Percent 4 6" xfId="35775" xr:uid="{00000000-0005-0000-0000-0000BF8B0000}"/>
    <cellStyle name="Percent 4 7" xfId="35776" xr:uid="{00000000-0005-0000-0000-0000C08B0000}"/>
    <cellStyle name="Percent 5" xfId="35777" xr:uid="{00000000-0005-0000-0000-0000C18B0000}"/>
    <cellStyle name="Percent 5 2" xfId="35778" xr:uid="{00000000-0005-0000-0000-0000C28B0000}"/>
    <cellStyle name="Percent 5 2 2" xfId="35779" xr:uid="{00000000-0005-0000-0000-0000C38B0000}"/>
    <cellStyle name="Percent 5 2 2 2" xfId="35780" xr:uid="{00000000-0005-0000-0000-0000C48B0000}"/>
    <cellStyle name="Percent 5 2 3" xfId="35781" xr:uid="{00000000-0005-0000-0000-0000C58B0000}"/>
    <cellStyle name="Percent 5 2 4" xfId="35782" xr:uid="{00000000-0005-0000-0000-0000C68B0000}"/>
    <cellStyle name="Percent 5 2 5" xfId="35783" xr:uid="{00000000-0005-0000-0000-0000C78B0000}"/>
    <cellStyle name="Percent 5 3" xfId="35784" xr:uid="{00000000-0005-0000-0000-0000C88B0000}"/>
    <cellStyle name="Percent 5 3 2" xfId="35785" xr:uid="{00000000-0005-0000-0000-0000C98B0000}"/>
    <cellStyle name="Percent 5 3 3" xfId="35786" xr:uid="{00000000-0005-0000-0000-0000CA8B0000}"/>
    <cellStyle name="Percent 5 4" xfId="35787" xr:uid="{00000000-0005-0000-0000-0000CB8B0000}"/>
    <cellStyle name="Percent 5 4 2" xfId="35788" xr:uid="{00000000-0005-0000-0000-0000CC8B0000}"/>
    <cellStyle name="Percent 5 4 3" xfId="35789" xr:uid="{00000000-0005-0000-0000-0000CD8B0000}"/>
    <cellStyle name="Percent 5 5" xfId="35790" xr:uid="{00000000-0005-0000-0000-0000CE8B0000}"/>
    <cellStyle name="Percent 5 6" xfId="35791" xr:uid="{00000000-0005-0000-0000-0000CF8B0000}"/>
    <cellStyle name="Percent 5 7" xfId="35792" xr:uid="{00000000-0005-0000-0000-0000D08B0000}"/>
    <cellStyle name="Percent 6" xfId="35793" xr:uid="{00000000-0005-0000-0000-0000D18B0000}"/>
    <cellStyle name="Percent 6 2" xfId="35794" xr:uid="{00000000-0005-0000-0000-0000D28B0000}"/>
    <cellStyle name="Percent 6 3" xfId="35795" xr:uid="{00000000-0005-0000-0000-0000D38B0000}"/>
    <cellStyle name="Percent 7" xfId="35796" xr:uid="{00000000-0005-0000-0000-0000D48B0000}"/>
    <cellStyle name="Percent 7 2" xfId="35797" xr:uid="{00000000-0005-0000-0000-0000D58B0000}"/>
    <cellStyle name="Percent 7 3" xfId="35798" xr:uid="{00000000-0005-0000-0000-0000D68B0000}"/>
    <cellStyle name="Percent 7 4" xfId="35799" xr:uid="{00000000-0005-0000-0000-0000D78B0000}"/>
    <cellStyle name="Percent 7 5" xfId="35800" xr:uid="{00000000-0005-0000-0000-0000D88B0000}"/>
    <cellStyle name="Percent 8" xfId="35801" xr:uid="{00000000-0005-0000-0000-0000D98B0000}"/>
    <cellStyle name="Percent 8 2" xfId="35802" xr:uid="{00000000-0005-0000-0000-0000DA8B0000}"/>
    <cellStyle name="Percent 8 2 2" xfId="35803" xr:uid="{00000000-0005-0000-0000-0000DB8B0000}"/>
    <cellStyle name="Percent 8 2 3" xfId="35804" xr:uid="{00000000-0005-0000-0000-0000DC8B0000}"/>
    <cellStyle name="Percent 8 3" xfId="35805" xr:uid="{00000000-0005-0000-0000-0000DD8B0000}"/>
    <cellStyle name="Percent 8 3 2" xfId="35806" xr:uid="{00000000-0005-0000-0000-0000DE8B0000}"/>
    <cellStyle name="Percent 8 3 3" xfId="35807" xr:uid="{00000000-0005-0000-0000-0000DF8B0000}"/>
    <cellStyle name="Percent 8 4" xfId="35808" xr:uid="{00000000-0005-0000-0000-0000E08B0000}"/>
    <cellStyle name="Percent 8 5" xfId="35809" xr:uid="{00000000-0005-0000-0000-0000E18B0000}"/>
    <cellStyle name="Percent 9" xfId="35810" xr:uid="{00000000-0005-0000-0000-0000E28B0000}"/>
    <cellStyle name="Percent 9 2" xfId="35811" xr:uid="{00000000-0005-0000-0000-0000E38B0000}"/>
    <cellStyle name="Percent 9 2 2" xfId="35812" xr:uid="{00000000-0005-0000-0000-0000E48B0000}"/>
    <cellStyle name="Percent 9 2 3" xfId="35813" xr:uid="{00000000-0005-0000-0000-0000E58B0000}"/>
    <cellStyle name="Percent 9 3" xfId="35814" xr:uid="{00000000-0005-0000-0000-0000E68B0000}"/>
    <cellStyle name="Percent 9 4" xfId="35815" xr:uid="{00000000-0005-0000-0000-0000E78B0000}"/>
    <cellStyle name="PSChar" xfId="35816" xr:uid="{00000000-0005-0000-0000-0000E88B0000}"/>
    <cellStyle name="PSChar 2" xfId="35817" xr:uid="{00000000-0005-0000-0000-0000E98B0000}"/>
    <cellStyle name="PSChar 3" xfId="35818" xr:uid="{00000000-0005-0000-0000-0000EA8B0000}"/>
    <cellStyle name="PSDate" xfId="35819" xr:uid="{00000000-0005-0000-0000-0000EB8B0000}"/>
    <cellStyle name="PSDate 2" xfId="35820" xr:uid="{00000000-0005-0000-0000-0000EC8B0000}"/>
    <cellStyle name="PSDate 3" xfId="35821" xr:uid="{00000000-0005-0000-0000-0000ED8B0000}"/>
    <cellStyle name="PSDec" xfId="35822" xr:uid="{00000000-0005-0000-0000-0000EE8B0000}"/>
    <cellStyle name="PSDec 2" xfId="35823" xr:uid="{00000000-0005-0000-0000-0000EF8B0000}"/>
    <cellStyle name="PSDec 3" xfId="35824" xr:uid="{00000000-0005-0000-0000-0000F08B0000}"/>
    <cellStyle name="PSHeading" xfId="35825" xr:uid="{00000000-0005-0000-0000-0000F18B0000}"/>
    <cellStyle name="PSHeading 2" xfId="35826" xr:uid="{00000000-0005-0000-0000-0000F28B0000}"/>
    <cellStyle name="PSHeading 3" xfId="35827" xr:uid="{00000000-0005-0000-0000-0000F38B0000}"/>
    <cellStyle name="PSInt" xfId="35828" xr:uid="{00000000-0005-0000-0000-0000F48B0000}"/>
    <cellStyle name="PSInt 2" xfId="35829" xr:uid="{00000000-0005-0000-0000-0000F58B0000}"/>
    <cellStyle name="PSInt 3" xfId="35830" xr:uid="{00000000-0005-0000-0000-0000F68B0000}"/>
    <cellStyle name="PSSpacer" xfId="35831" xr:uid="{00000000-0005-0000-0000-0000F78B0000}"/>
    <cellStyle name="PSSpacer 2" xfId="35832" xr:uid="{00000000-0005-0000-0000-0000F88B0000}"/>
    <cellStyle name="Style 1" xfId="35833" xr:uid="{00000000-0005-0000-0000-0000F98B0000}"/>
    <cellStyle name="Style 1 2" xfId="35834" xr:uid="{00000000-0005-0000-0000-0000FA8B0000}"/>
    <cellStyle name="Style 1 3" xfId="35835" xr:uid="{00000000-0005-0000-0000-0000FB8B0000}"/>
    <cellStyle name="Style 1 4" xfId="35836" xr:uid="{00000000-0005-0000-0000-0000FC8B0000}"/>
    <cellStyle name="Title 10" xfId="35837" xr:uid="{00000000-0005-0000-0000-0000FD8B0000}"/>
    <cellStyle name="Title 10 2" xfId="35838" xr:uid="{00000000-0005-0000-0000-0000FE8B0000}"/>
    <cellStyle name="Title 10 3" xfId="35839" xr:uid="{00000000-0005-0000-0000-0000FF8B0000}"/>
    <cellStyle name="Title 11" xfId="35840" xr:uid="{00000000-0005-0000-0000-0000008C0000}"/>
    <cellStyle name="Title 11 2" xfId="35841" xr:uid="{00000000-0005-0000-0000-0000018C0000}"/>
    <cellStyle name="Title 11 3" xfId="35842" xr:uid="{00000000-0005-0000-0000-0000028C0000}"/>
    <cellStyle name="Title 12" xfId="35843" xr:uid="{00000000-0005-0000-0000-0000038C0000}"/>
    <cellStyle name="Title 12 2" xfId="35844" xr:uid="{00000000-0005-0000-0000-0000048C0000}"/>
    <cellStyle name="Title 12 3" xfId="35845" xr:uid="{00000000-0005-0000-0000-0000058C0000}"/>
    <cellStyle name="Title 13" xfId="35846" xr:uid="{00000000-0005-0000-0000-0000068C0000}"/>
    <cellStyle name="Title 13 2" xfId="35847" xr:uid="{00000000-0005-0000-0000-0000078C0000}"/>
    <cellStyle name="Title 13 3" xfId="35848" xr:uid="{00000000-0005-0000-0000-0000088C0000}"/>
    <cellStyle name="Title 14" xfId="35849" xr:uid="{00000000-0005-0000-0000-0000098C0000}"/>
    <cellStyle name="Title 14 2" xfId="35850" xr:uid="{00000000-0005-0000-0000-00000A8C0000}"/>
    <cellStyle name="Title 14 3" xfId="35851" xr:uid="{00000000-0005-0000-0000-00000B8C0000}"/>
    <cellStyle name="Title 15" xfId="35852" xr:uid="{00000000-0005-0000-0000-00000C8C0000}"/>
    <cellStyle name="Title 15 2" xfId="35853" xr:uid="{00000000-0005-0000-0000-00000D8C0000}"/>
    <cellStyle name="Title 15 3" xfId="35854" xr:uid="{00000000-0005-0000-0000-00000E8C0000}"/>
    <cellStyle name="Title 16" xfId="35855" xr:uid="{00000000-0005-0000-0000-00000F8C0000}"/>
    <cellStyle name="Title 16 2" xfId="35856" xr:uid="{00000000-0005-0000-0000-0000108C0000}"/>
    <cellStyle name="Title 16 3" xfId="35857" xr:uid="{00000000-0005-0000-0000-0000118C0000}"/>
    <cellStyle name="Title 17" xfId="35858" xr:uid="{00000000-0005-0000-0000-0000128C0000}"/>
    <cellStyle name="Title 17 2" xfId="35859" xr:uid="{00000000-0005-0000-0000-0000138C0000}"/>
    <cellStyle name="Title 17 3" xfId="35860" xr:uid="{00000000-0005-0000-0000-0000148C0000}"/>
    <cellStyle name="Title 18" xfId="35861" xr:uid="{00000000-0005-0000-0000-0000158C0000}"/>
    <cellStyle name="Title 18 2" xfId="35862" xr:uid="{00000000-0005-0000-0000-0000168C0000}"/>
    <cellStyle name="Title 18 3" xfId="35863" xr:uid="{00000000-0005-0000-0000-0000178C0000}"/>
    <cellStyle name="Title 19" xfId="35864" xr:uid="{00000000-0005-0000-0000-0000188C0000}"/>
    <cellStyle name="Title 19 2" xfId="35865" xr:uid="{00000000-0005-0000-0000-0000198C0000}"/>
    <cellStyle name="Title 19 3" xfId="35866" xr:uid="{00000000-0005-0000-0000-00001A8C0000}"/>
    <cellStyle name="Title 2" xfId="35867" xr:uid="{00000000-0005-0000-0000-00001B8C0000}"/>
    <cellStyle name="Title 2 2" xfId="35868" xr:uid="{00000000-0005-0000-0000-00001C8C0000}"/>
    <cellStyle name="Title 2 2 2" xfId="35869" xr:uid="{00000000-0005-0000-0000-00001D8C0000}"/>
    <cellStyle name="Title 2 2 3" xfId="35870" xr:uid="{00000000-0005-0000-0000-00001E8C0000}"/>
    <cellStyle name="Title 2 3" xfId="35871" xr:uid="{00000000-0005-0000-0000-00001F8C0000}"/>
    <cellStyle name="Title 2 3 2" xfId="35872" xr:uid="{00000000-0005-0000-0000-0000208C0000}"/>
    <cellStyle name="Title 2 4" xfId="35873" xr:uid="{00000000-0005-0000-0000-0000218C0000}"/>
    <cellStyle name="Title 2 5" xfId="35874" xr:uid="{00000000-0005-0000-0000-0000228C0000}"/>
    <cellStyle name="Title 2 6" xfId="35875" xr:uid="{00000000-0005-0000-0000-0000238C0000}"/>
    <cellStyle name="Title 2 7" xfId="35876" xr:uid="{00000000-0005-0000-0000-0000248C0000}"/>
    <cellStyle name="Title 20" xfId="35877" xr:uid="{00000000-0005-0000-0000-0000258C0000}"/>
    <cellStyle name="Title 20 2" xfId="35878" xr:uid="{00000000-0005-0000-0000-0000268C0000}"/>
    <cellStyle name="Title 20 3" xfId="35879" xr:uid="{00000000-0005-0000-0000-0000278C0000}"/>
    <cellStyle name="Title 21" xfId="35880" xr:uid="{00000000-0005-0000-0000-0000288C0000}"/>
    <cellStyle name="Title 21 2" xfId="35881" xr:uid="{00000000-0005-0000-0000-0000298C0000}"/>
    <cellStyle name="Title 21 3" xfId="35882" xr:uid="{00000000-0005-0000-0000-00002A8C0000}"/>
    <cellStyle name="Title 22" xfId="35883" xr:uid="{00000000-0005-0000-0000-00002B8C0000}"/>
    <cellStyle name="Title 22 2" xfId="35884" xr:uid="{00000000-0005-0000-0000-00002C8C0000}"/>
    <cellStyle name="Title 22 3" xfId="35885" xr:uid="{00000000-0005-0000-0000-00002D8C0000}"/>
    <cellStyle name="Title 23" xfId="35886" xr:uid="{00000000-0005-0000-0000-00002E8C0000}"/>
    <cellStyle name="Title 23 2" xfId="35887" xr:uid="{00000000-0005-0000-0000-00002F8C0000}"/>
    <cellStyle name="Title 23 3" xfId="35888" xr:uid="{00000000-0005-0000-0000-0000308C0000}"/>
    <cellStyle name="Title 24" xfId="35889" xr:uid="{00000000-0005-0000-0000-0000318C0000}"/>
    <cellStyle name="Title 24 2" xfId="35890" xr:uid="{00000000-0005-0000-0000-0000328C0000}"/>
    <cellStyle name="Title 24 3" xfId="35891" xr:uid="{00000000-0005-0000-0000-0000338C0000}"/>
    <cellStyle name="Title 25" xfId="35892" xr:uid="{00000000-0005-0000-0000-0000348C0000}"/>
    <cellStyle name="Title 25 2" xfId="35893" xr:uid="{00000000-0005-0000-0000-0000358C0000}"/>
    <cellStyle name="Title 25 3" xfId="35894" xr:uid="{00000000-0005-0000-0000-0000368C0000}"/>
    <cellStyle name="Title 26" xfId="35895" xr:uid="{00000000-0005-0000-0000-0000378C0000}"/>
    <cellStyle name="Title 26 2" xfId="35896" xr:uid="{00000000-0005-0000-0000-0000388C0000}"/>
    <cellStyle name="Title 26 3" xfId="35897" xr:uid="{00000000-0005-0000-0000-0000398C0000}"/>
    <cellStyle name="Title 27" xfId="35898" xr:uid="{00000000-0005-0000-0000-00003A8C0000}"/>
    <cellStyle name="Title 27 2" xfId="35899" xr:uid="{00000000-0005-0000-0000-00003B8C0000}"/>
    <cellStyle name="Title 27 3" xfId="35900" xr:uid="{00000000-0005-0000-0000-00003C8C0000}"/>
    <cellStyle name="Title 28" xfId="35901" xr:uid="{00000000-0005-0000-0000-00003D8C0000}"/>
    <cellStyle name="Title 28 2" xfId="35902" xr:uid="{00000000-0005-0000-0000-00003E8C0000}"/>
    <cellStyle name="Title 28 3" xfId="35903" xr:uid="{00000000-0005-0000-0000-00003F8C0000}"/>
    <cellStyle name="Title 29" xfId="35904" xr:uid="{00000000-0005-0000-0000-0000408C0000}"/>
    <cellStyle name="Title 29 2" xfId="35905" xr:uid="{00000000-0005-0000-0000-0000418C0000}"/>
    <cellStyle name="Title 29 3" xfId="35906" xr:uid="{00000000-0005-0000-0000-0000428C0000}"/>
    <cellStyle name="Title 3" xfId="35907" xr:uid="{00000000-0005-0000-0000-0000438C0000}"/>
    <cellStyle name="Title 3 2" xfId="35908" xr:uid="{00000000-0005-0000-0000-0000448C0000}"/>
    <cellStyle name="Title 3 3" xfId="35909" xr:uid="{00000000-0005-0000-0000-0000458C0000}"/>
    <cellStyle name="Title 30" xfId="35910" xr:uid="{00000000-0005-0000-0000-0000468C0000}"/>
    <cellStyle name="Title 30 2" xfId="35911" xr:uid="{00000000-0005-0000-0000-0000478C0000}"/>
    <cellStyle name="Title 30 3" xfId="35912" xr:uid="{00000000-0005-0000-0000-0000488C0000}"/>
    <cellStyle name="Title 31" xfId="35913" xr:uid="{00000000-0005-0000-0000-0000498C0000}"/>
    <cellStyle name="Title 31 2" xfId="35914" xr:uid="{00000000-0005-0000-0000-00004A8C0000}"/>
    <cellStyle name="Title 31 3" xfId="35915" xr:uid="{00000000-0005-0000-0000-00004B8C0000}"/>
    <cellStyle name="Title 32" xfId="35916" xr:uid="{00000000-0005-0000-0000-00004C8C0000}"/>
    <cellStyle name="Title 32 2" xfId="35917" xr:uid="{00000000-0005-0000-0000-00004D8C0000}"/>
    <cellStyle name="Title 32 3" xfId="35918" xr:uid="{00000000-0005-0000-0000-00004E8C0000}"/>
    <cellStyle name="Title 33" xfId="35919" xr:uid="{00000000-0005-0000-0000-00004F8C0000}"/>
    <cellStyle name="Title 33 2" xfId="35920" xr:uid="{00000000-0005-0000-0000-0000508C0000}"/>
    <cellStyle name="Title 33 3" xfId="35921" xr:uid="{00000000-0005-0000-0000-0000518C0000}"/>
    <cellStyle name="Title 34" xfId="35922" xr:uid="{00000000-0005-0000-0000-0000528C0000}"/>
    <cellStyle name="Title 34 2" xfId="35923" xr:uid="{00000000-0005-0000-0000-0000538C0000}"/>
    <cellStyle name="Title 34 3" xfId="35924" xr:uid="{00000000-0005-0000-0000-0000548C0000}"/>
    <cellStyle name="Title 35" xfId="35925" xr:uid="{00000000-0005-0000-0000-0000558C0000}"/>
    <cellStyle name="Title 35 2" xfId="35926" xr:uid="{00000000-0005-0000-0000-0000568C0000}"/>
    <cellStyle name="Title 35 3" xfId="35927" xr:uid="{00000000-0005-0000-0000-0000578C0000}"/>
    <cellStyle name="Title 36" xfId="35928" xr:uid="{00000000-0005-0000-0000-0000588C0000}"/>
    <cellStyle name="Title 36 2" xfId="35929" xr:uid="{00000000-0005-0000-0000-0000598C0000}"/>
    <cellStyle name="Title 36 3" xfId="35930" xr:uid="{00000000-0005-0000-0000-00005A8C0000}"/>
    <cellStyle name="Title 37" xfId="35931" xr:uid="{00000000-0005-0000-0000-00005B8C0000}"/>
    <cellStyle name="Title 37 2" xfId="35932" xr:uid="{00000000-0005-0000-0000-00005C8C0000}"/>
    <cellStyle name="Title 37 3" xfId="35933" xr:uid="{00000000-0005-0000-0000-00005D8C0000}"/>
    <cellStyle name="Title 38" xfId="35934" xr:uid="{00000000-0005-0000-0000-00005E8C0000}"/>
    <cellStyle name="Title 38 2" xfId="35935" xr:uid="{00000000-0005-0000-0000-00005F8C0000}"/>
    <cellStyle name="Title 38 3" xfId="35936" xr:uid="{00000000-0005-0000-0000-0000608C0000}"/>
    <cellStyle name="Title 39" xfId="35937" xr:uid="{00000000-0005-0000-0000-0000618C0000}"/>
    <cellStyle name="Title 39 2" xfId="35938" xr:uid="{00000000-0005-0000-0000-0000628C0000}"/>
    <cellStyle name="Title 39 3" xfId="35939" xr:uid="{00000000-0005-0000-0000-0000638C0000}"/>
    <cellStyle name="Title 4" xfId="35940" xr:uid="{00000000-0005-0000-0000-0000648C0000}"/>
    <cellStyle name="Title 4 2" xfId="35941" xr:uid="{00000000-0005-0000-0000-0000658C0000}"/>
    <cellStyle name="Title 4 3" xfId="35942" xr:uid="{00000000-0005-0000-0000-0000668C0000}"/>
    <cellStyle name="Title 40" xfId="35943" xr:uid="{00000000-0005-0000-0000-0000678C0000}"/>
    <cellStyle name="Title 40 2" xfId="35944" xr:uid="{00000000-0005-0000-0000-0000688C0000}"/>
    <cellStyle name="Title 40 3" xfId="35945" xr:uid="{00000000-0005-0000-0000-0000698C0000}"/>
    <cellStyle name="Title 41" xfId="35946" xr:uid="{00000000-0005-0000-0000-00006A8C0000}"/>
    <cellStyle name="Title 41 2" xfId="35947" xr:uid="{00000000-0005-0000-0000-00006B8C0000}"/>
    <cellStyle name="Title 41 3" xfId="35948" xr:uid="{00000000-0005-0000-0000-00006C8C0000}"/>
    <cellStyle name="Title 42" xfId="35949" xr:uid="{00000000-0005-0000-0000-00006D8C0000}"/>
    <cellStyle name="Title 42 2" xfId="35950" xr:uid="{00000000-0005-0000-0000-00006E8C0000}"/>
    <cellStyle name="Title 42 3" xfId="35951" xr:uid="{00000000-0005-0000-0000-00006F8C0000}"/>
    <cellStyle name="Title 43" xfId="35952" xr:uid="{00000000-0005-0000-0000-0000708C0000}"/>
    <cellStyle name="Title 43 2" xfId="35953" xr:uid="{00000000-0005-0000-0000-0000718C0000}"/>
    <cellStyle name="Title 43 3" xfId="35954" xr:uid="{00000000-0005-0000-0000-0000728C0000}"/>
    <cellStyle name="Title 44" xfId="35955" xr:uid="{00000000-0005-0000-0000-0000738C0000}"/>
    <cellStyle name="Title 44 2" xfId="35956" xr:uid="{00000000-0005-0000-0000-0000748C0000}"/>
    <cellStyle name="Title 44 3" xfId="35957" xr:uid="{00000000-0005-0000-0000-0000758C0000}"/>
    <cellStyle name="Title 45" xfId="35958" xr:uid="{00000000-0005-0000-0000-0000768C0000}"/>
    <cellStyle name="Title 45 2" xfId="35959" xr:uid="{00000000-0005-0000-0000-0000778C0000}"/>
    <cellStyle name="Title 45 3" xfId="35960" xr:uid="{00000000-0005-0000-0000-0000788C0000}"/>
    <cellStyle name="Title 46" xfId="35961" xr:uid="{00000000-0005-0000-0000-0000798C0000}"/>
    <cellStyle name="Title 46 2" xfId="35962" xr:uid="{00000000-0005-0000-0000-00007A8C0000}"/>
    <cellStyle name="Title 46 3" xfId="35963" xr:uid="{00000000-0005-0000-0000-00007B8C0000}"/>
    <cellStyle name="Title 47" xfId="35964" xr:uid="{00000000-0005-0000-0000-00007C8C0000}"/>
    <cellStyle name="Title 48" xfId="35965" xr:uid="{00000000-0005-0000-0000-00007D8C0000}"/>
    <cellStyle name="Title 5" xfId="35966" xr:uid="{00000000-0005-0000-0000-00007E8C0000}"/>
    <cellStyle name="Title 5 2" xfId="35967" xr:uid="{00000000-0005-0000-0000-00007F8C0000}"/>
    <cellStyle name="Title 5 3" xfId="35968" xr:uid="{00000000-0005-0000-0000-0000808C0000}"/>
    <cellStyle name="Title 6" xfId="35969" xr:uid="{00000000-0005-0000-0000-0000818C0000}"/>
    <cellStyle name="Title 6 2" xfId="35970" xr:uid="{00000000-0005-0000-0000-0000828C0000}"/>
    <cellStyle name="Title 6 3" xfId="35971" xr:uid="{00000000-0005-0000-0000-0000838C0000}"/>
    <cellStyle name="Title 7" xfId="35972" xr:uid="{00000000-0005-0000-0000-0000848C0000}"/>
    <cellStyle name="Title 7 2" xfId="35973" xr:uid="{00000000-0005-0000-0000-0000858C0000}"/>
    <cellStyle name="Title 7 3" xfId="35974" xr:uid="{00000000-0005-0000-0000-0000868C0000}"/>
    <cellStyle name="Title 8" xfId="35975" xr:uid="{00000000-0005-0000-0000-0000878C0000}"/>
    <cellStyle name="Title 8 2" xfId="35976" xr:uid="{00000000-0005-0000-0000-0000888C0000}"/>
    <cellStyle name="Title 8 3" xfId="35977" xr:uid="{00000000-0005-0000-0000-0000898C0000}"/>
    <cellStyle name="Title 9" xfId="35978" xr:uid="{00000000-0005-0000-0000-00008A8C0000}"/>
    <cellStyle name="Title 9 2" xfId="35979" xr:uid="{00000000-0005-0000-0000-00008B8C0000}"/>
    <cellStyle name="Title 9 3" xfId="35980" xr:uid="{00000000-0005-0000-0000-00008C8C0000}"/>
    <cellStyle name="Total 10" xfId="35981" xr:uid="{00000000-0005-0000-0000-00008D8C0000}"/>
    <cellStyle name="Total 10 2" xfId="35982" xr:uid="{00000000-0005-0000-0000-00008E8C0000}"/>
    <cellStyle name="Total 10 2 10" xfId="35983" xr:uid="{00000000-0005-0000-0000-00008F8C0000}"/>
    <cellStyle name="Total 10 2 10 2" xfId="35984" xr:uid="{00000000-0005-0000-0000-0000908C0000}"/>
    <cellStyle name="Total 10 2 10 2 2" xfId="35985" xr:uid="{00000000-0005-0000-0000-0000918C0000}"/>
    <cellStyle name="Total 10 2 10 2 3" xfId="35986" xr:uid="{00000000-0005-0000-0000-0000928C0000}"/>
    <cellStyle name="Total 10 2 10 3" xfId="35987" xr:uid="{00000000-0005-0000-0000-0000938C0000}"/>
    <cellStyle name="Total 10 2 10 4" xfId="35988" xr:uid="{00000000-0005-0000-0000-0000948C0000}"/>
    <cellStyle name="Total 10 2 11" xfId="35989" xr:uid="{00000000-0005-0000-0000-0000958C0000}"/>
    <cellStyle name="Total 10 2 11 2" xfId="35990" xr:uid="{00000000-0005-0000-0000-0000968C0000}"/>
    <cellStyle name="Total 10 2 11 2 2" xfId="35991" xr:uid="{00000000-0005-0000-0000-0000978C0000}"/>
    <cellStyle name="Total 10 2 11 2 3" xfId="35992" xr:uid="{00000000-0005-0000-0000-0000988C0000}"/>
    <cellStyle name="Total 10 2 11 3" xfId="35993" xr:uid="{00000000-0005-0000-0000-0000998C0000}"/>
    <cellStyle name="Total 10 2 11 4" xfId="35994" xr:uid="{00000000-0005-0000-0000-00009A8C0000}"/>
    <cellStyle name="Total 10 2 12" xfId="35995" xr:uid="{00000000-0005-0000-0000-00009B8C0000}"/>
    <cellStyle name="Total 10 2 12 2" xfId="35996" xr:uid="{00000000-0005-0000-0000-00009C8C0000}"/>
    <cellStyle name="Total 10 2 12 2 2" xfId="35997" xr:uid="{00000000-0005-0000-0000-00009D8C0000}"/>
    <cellStyle name="Total 10 2 12 2 3" xfId="35998" xr:uid="{00000000-0005-0000-0000-00009E8C0000}"/>
    <cellStyle name="Total 10 2 12 3" xfId="35999" xr:uid="{00000000-0005-0000-0000-00009F8C0000}"/>
    <cellStyle name="Total 10 2 12 4" xfId="36000" xr:uid="{00000000-0005-0000-0000-0000A08C0000}"/>
    <cellStyle name="Total 10 2 13" xfId="36001" xr:uid="{00000000-0005-0000-0000-0000A18C0000}"/>
    <cellStyle name="Total 10 2 13 2" xfId="36002" xr:uid="{00000000-0005-0000-0000-0000A28C0000}"/>
    <cellStyle name="Total 10 2 13 2 2" xfId="36003" xr:uid="{00000000-0005-0000-0000-0000A38C0000}"/>
    <cellStyle name="Total 10 2 13 2 3" xfId="36004" xr:uid="{00000000-0005-0000-0000-0000A48C0000}"/>
    <cellStyle name="Total 10 2 13 3" xfId="36005" xr:uid="{00000000-0005-0000-0000-0000A58C0000}"/>
    <cellStyle name="Total 10 2 13 4" xfId="36006" xr:uid="{00000000-0005-0000-0000-0000A68C0000}"/>
    <cellStyle name="Total 10 2 14" xfId="36007" xr:uid="{00000000-0005-0000-0000-0000A78C0000}"/>
    <cellStyle name="Total 10 2 14 2" xfId="36008" xr:uid="{00000000-0005-0000-0000-0000A88C0000}"/>
    <cellStyle name="Total 10 2 14 2 2" xfId="36009" xr:uid="{00000000-0005-0000-0000-0000A98C0000}"/>
    <cellStyle name="Total 10 2 14 2 3" xfId="36010" xr:uid="{00000000-0005-0000-0000-0000AA8C0000}"/>
    <cellStyle name="Total 10 2 14 3" xfId="36011" xr:uid="{00000000-0005-0000-0000-0000AB8C0000}"/>
    <cellStyle name="Total 10 2 14 4" xfId="36012" xr:uid="{00000000-0005-0000-0000-0000AC8C0000}"/>
    <cellStyle name="Total 10 2 15" xfId="36013" xr:uid="{00000000-0005-0000-0000-0000AD8C0000}"/>
    <cellStyle name="Total 10 2 15 2" xfId="36014" xr:uid="{00000000-0005-0000-0000-0000AE8C0000}"/>
    <cellStyle name="Total 10 2 15 2 2" xfId="36015" xr:uid="{00000000-0005-0000-0000-0000AF8C0000}"/>
    <cellStyle name="Total 10 2 15 2 3" xfId="36016" xr:uid="{00000000-0005-0000-0000-0000B08C0000}"/>
    <cellStyle name="Total 10 2 15 3" xfId="36017" xr:uid="{00000000-0005-0000-0000-0000B18C0000}"/>
    <cellStyle name="Total 10 2 15 4" xfId="36018" xr:uid="{00000000-0005-0000-0000-0000B28C0000}"/>
    <cellStyle name="Total 10 2 16" xfId="36019" xr:uid="{00000000-0005-0000-0000-0000B38C0000}"/>
    <cellStyle name="Total 10 2 16 2" xfId="36020" xr:uid="{00000000-0005-0000-0000-0000B48C0000}"/>
    <cellStyle name="Total 10 2 16 2 2" xfId="36021" xr:uid="{00000000-0005-0000-0000-0000B58C0000}"/>
    <cellStyle name="Total 10 2 16 2 3" xfId="36022" xr:uid="{00000000-0005-0000-0000-0000B68C0000}"/>
    <cellStyle name="Total 10 2 16 3" xfId="36023" xr:uid="{00000000-0005-0000-0000-0000B78C0000}"/>
    <cellStyle name="Total 10 2 16 4" xfId="36024" xr:uid="{00000000-0005-0000-0000-0000B88C0000}"/>
    <cellStyle name="Total 10 2 17" xfId="36025" xr:uid="{00000000-0005-0000-0000-0000B98C0000}"/>
    <cellStyle name="Total 10 2 17 2" xfId="36026" xr:uid="{00000000-0005-0000-0000-0000BA8C0000}"/>
    <cellStyle name="Total 10 2 17 2 2" xfId="36027" xr:uid="{00000000-0005-0000-0000-0000BB8C0000}"/>
    <cellStyle name="Total 10 2 17 2 3" xfId="36028" xr:uid="{00000000-0005-0000-0000-0000BC8C0000}"/>
    <cellStyle name="Total 10 2 17 3" xfId="36029" xr:uid="{00000000-0005-0000-0000-0000BD8C0000}"/>
    <cellStyle name="Total 10 2 17 4" xfId="36030" xr:uid="{00000000-0005-0000-0000-0000BE8C0000}"/>
    <cellStyle name="Total 10 2 18" xfId="36031" xr:uid="{00000000-0005-0000-0000-0000BF8C0000}"/>
    <cellStyle name="Total 10 2 18 2" xfId="36032" xr:uid="{00000000-0005-0000-0000-0000C08C0000}"/>
    <cellStyle name="Total 10 2 18 3" xfId="36033" xr:uid="{00000000-0005-0000-0000-0000C18C0000}"/>
    <cellStyle name="Total 10 2 18 4" xfId="36034" xr:uid="{00000000-0005-0000-0000-0000C28C0000}"/>
    <cellStyle name="Total 10 2 19" xfId="36035" xr:uid="{00000000-0005-0000-0000-0000C38C0000}"/>
    <cellStyle name="Total 10 2 2" xfId="36036" xr:uid="{00000000-0005-0000-0000-0000C48C0000}"/>
    <cellStyle name="Total 10 2 2 2" xfId="36037" xr:uid="{00000000-0005-0000-0000-0000C58C0000}"/>
    <cellStyle name="Total 10 2 2 2 2" xfId="36038" xr:uid="{00000000-0005-0000-0000-0000C68C0000}"/>
    <cellStyle name="Total 10 2 2 2 3" xfId="36039" xr:uid="{00000000-0005-0000-0000-0000C78C0000}"/>
    <cellStyle name="Total 10 2 2 3" xfId="36040" xr:uid="{00000000-0005-0000-0000-0000C88C0000}"/>
    <cellStyle name="Total 10 2 2 4" xfId="36041" xr:uid="{00000000-0005-0000-0000-0000C98C0000}"/>
    <cellStyle name="Total 10 2 20" xfId="36042" xr:uid="{00000000-0005-0000-0000-0000CA8C0000}"/>
    <cellStyle name="Total 10 2 21" xfId="36043" xr:uid="{00000000-0005-0000-0000-0000CB8C0000}"/>
    <cellStyle name="Total 10 2 3" xfId="36044" xr:uid="{00000000-0005-0000-0000-0000CC8C0000}"/>
    <cellStyle name="Total 10 2 3 2" xfId="36045" xr:uid="{00000000-0005-0000-0000-0000CD8C0000}"/>
    <cellStyle name="Total 10 2 3 2 2" xfId="36046" xr:uid="{00000000-0005-0000-0000-0000CE8C0000}"/>
    <cellStyle name="Total 10 2 3 2 3" xfId="36047" xr:uid="{00000000-0005-0000-0000-0000CF8C0000}"/>
    <cellStyle name="Total 10 2 3 3" xfId="36048" xr:uid="{00000000-0005-0000-0000-0000D08C0000}"/>
    <cellStyle name="Total 10 2 3 4" xfId="36049" xr:uid="{00000000-0005-0000-0000-0000D18C0000}"/>
    <cellStyle name="Total 10 2 4" xfId="36050" xr:uid="{00000000-0005-0000-0000-0000D28C0000}"/>
    <cellStyle name="Total 10 2 4 2" xfId="36051" xr:uid="{00000000-0005-0000-0000-0000D38C0000}"/>
    <cellStyle name="Total 10 2 4 2 2" xfId="36052" xr:uid="{00000000-0005-0000-0000-0000D48C0000}"/>
    <cellStyle name="Total 10 2 4 2 3" xfId="36053" xr:uid="{00000000-0005-0000-0000-0000D58C0000}"/>
    <cellStyle name="Total 10 2 4 3" xfId="36054" xr:uid="{00000000-0005-0000-0000-0000D68C0000}"/>
    <cellStyle name="Total 10 2 4 4" xfId="36055" xr:uid="{00000000-0005-0000-0000-0000D78C0000}"/>
    <cellStyle name="Total 10 2 5" xfId="36056" xr:uid="{00000000-0005-0000-0000-0000D88C0000}"/>
    <cellStyle name="Total 10 2 5 2" xfId="36057" xr:uid="{00000000-0005-0000-0000-0000D98C0000}"/>
    <cellStyle name="Total 10 2 5 2 2" xfId="36058" xr:uid="{00000000-0005-0000-0000-0000DA8C0000}"/>
    <cellStyle name="Total 10 2 5 2 3" xfId="36059" xr:uid="{00000000-0005-0000-0000-0000DB8C0000}"/>
    <cellStyle name="Total 10 2 5 3" xfId="36060" xr:uid="{00000000-0005-0000-0000-0000DC8C0000}"/>
    <cellStyle name="Total 10 2 5 4" xfId="36061" xr:uid="{00000000-0005-0000-0000-0000DD8C0000}"/>
    <cellStyle name="Total 10 2 6" xfId="36062" xr:uid="{00000000-0005-0000-0000-0000DE8C0000}"/>
    <cellStyle name="Total 10 2 6 2" xfId="36063" xr:uid="{00000000-0005-0000-0000-0000DF8C0000}"/>
    <cellStyle name="Total 10 2 6 2 2" xfId="36064" xr:uid="{00000000-0005-0000-0000-0000E08C0000}"/>
    <cellStyle name="Total 10 2 6 2 3" xfId="36065" xr:uid="{00000000-0005-0000-0000-0000E18C0000}"/>
    <cellStyle name="Total 10 2 6 3" xfId="36066" xr:uid="{00000000-0005-0000-0000-0000E28C0000}"/>
    <cellStyle name="Total 10 2 6 4" xfId="36067" xr:uid="{00000000-0005-0000-0000-0000E38C0000}"/>
    <cellStyle name="Total 10 2 7" xfId="36068" xr:uid="{00000000-0005-0000-0000-0000E48C0000}"/>
    <cellStyle name="Total 10 2 7 2" xfId="36069" xr:uid="{00000000-0005-0000-0000-0000E58C0000}"/>
    <cellStyle name="Total 10 2 7 2 2" xfId="36070" xr:uid="{00000000-0005-0000-0000-0000E68C0000}"/>
    <cellStyle name="Total 10 2 7 2 3" xfId="36071" xr:uid="{00000000-0005-0000-0000-0000E78C0000}"/>
    <cellStyle name="Total 10 2 7 3" xfId="36072" xr:uid="{00000000-0005-0000-0000-0000E88C0000}"/>
    <cellStyle name="Total 10 2 7 4" xfId="36073" xr:uid="{00000000-0005-0000-0000-0000E98C0000}"/>
    <cellStyle name="Total 10 2 8" xfId="36074" xr:uid="{00000000-0005-0000-0000-0000EA8C0000}"/>
    <cellStyle name="Total 10 2 8 2" xfId="36075" xr:uid="{00000000-0005-0000-0000-0000EB8C0000}"/>
    <cellStyle name="Total 10 2 8 2 2" xfId="36076" xr:uid="{00000000-0005-0000-0000-0000EC8C0000}"/>
    <cellStyle name="Total 10 2 8 2 3" xfId="36077" xr:uid="{00000000-0005-0000-0000-0000ED8C0000}"/>
    <cellStyle name="Total 10 2 8 3" xfId="36078" xr:uid="{00000000-0005-0000-0000-0000EE8C0000}"/>
    <cellStyle name="Total 10 2 8 4" xfId="36079" xr:uid="{00000000-0005-0000-0000-0000EF8C0000}"/>
    <cellStyle name="Total 10 2 9" xfId="36080" xr:uid="{00000000-0005-0000-0000-0000F08C0000}"/>
    <cellStyle name="Total 10 2 9 2" xfId="36081" xr:uid="{00000000-0005-0000-0000-0000F18C0000}"/>
    <cellStyle name="Total 10 2 9 2 2" xfId="36082" xr:uid="{00000000-0005-0000-0000-0000F28C0000}"/>
    <cellStyle name="Total 10 2 9 2 3" xfId="36083" xr:uid="{00000000-0005-0000-0000-0000F38C0000}"/>
    <cellStyle name="Total 10 2 9 3" xfId="36084" xr:uid="{00000000-0005-0000-0000-0000F48C0000}"/>
    <cellStyle name="Total 10 2 9 4" xfId="36085" xr:uid="{00000000-0005-0000-0000-0000F58C0000}"/>
    <cellStyle name="Total 10 3" xfId="36086" xr:uid="{00000000-0005-0000-0000-0000F68C0000}"/>
    <cellStyle name="Total 10 3 2" xfId="36087" xr:uid="{00000000-0005-0000-0000-0000F78C0000}"/>
    <cellStyle name="Total 10 3 2 2" xfId="36088" xr:uid="{00000000-0005-0000-0000-0000F88C0000}"/>
    <cellStyle name="Total 10 3 2 3" xfId="36089" xr:uid="{00000000-0005-0000-0000-0000F98C0000}"/>
    <cellStyle name="Total 10 3 3" xfId="36090" xr:uid="{00000000-0005-0000-0000-0000FA8C0000}"/>
    <cellStyle name="Total 10 3 4" xfId="36091" xr:uid="{00000000-0005-0000-0000-0000FB8C0000}"/>
    <cellStyle name="Total 10 4" xfId="36092" xr:uid="{00000000-0005-0000-0000-0000FC8C0000}"/>
    <cellStyle name="Total 10 5" xfId="36093" xr:uid="{00000000-0005-0000-0000-0000FD8C0000}"/>
    <cellStyle name="Total 11" xfId="36094" xr:uid="{00000000-0005-0000-0000-0000FE8C0000}"/>
    <cellStyle name="Total 11 2" xfId="36095" xr:uid="{00000000-0005-0000-0000-0000FF8C0000}"/>
    <cellStyle name="Total 11 2 10" xfId="36096" xr:uid="{00000000-0005-0000-0000-0000008D0000}"/>
    <cellStyle name="Total 11 2 10 2" xfId="36097" xr:uid="{00000000-0005-0000-0000-0000018D0000}"/>
    <cellStyle name="Total 11 2 10 2 2" xfId="36098" xr:uid="{00000000-0005-0000-0000-0000028D0000}"/>
    <cellStyle name="Total 11 2 10 2 3" xfId="36099" xr:uid="{00000000-0005-0000-0000-0000038D0000}"/>
    <cellStyle name="Total 11 2 10 3" xfId="36100" xr:uid="{00000000-0005-0000-0000-0000048D0000}"/>
    <cellStyle name="Total 11 2 10 4" xfId="36101" xr:uid="{00000000-0005-0000-0000-0000058D0000}"/>
    <cellStyle name="Total 11 2 11" xfId="36102" xr:uid="{00000000-0005-0000-0000-0000068D0000}"/>
    <cellStyle name="Total 11 2 11 2" xfId="36103" xr:uid="{00000000-0005-0000-0000-0000078D0000}"/>
    <cellStyle name="Total 11 2 11 2 2" xfId="36104" xr:uid="{00000000-0005-0000-0000-0000088D0000}"/>
    <cellStyle name="Total 11 2 11 2 3" xfId="36105" xr:uid="{00000000-0005-0000-0000-0000098D0000}"/>
    <cellStyle name="Total 11 2 11 3" xfId="36106" xr:uid="{00000000-0005-0000-0000-00000A8D0000}"/>
    <cellStyle name="Total 11 2 11 4" xfId="36107" xr:uid="{00000000-0005-0000-0000-00000B8D0000}"/>
    <cellStyle name="Total 11 2 12" xfId="36108" xr:uid="{00000000-0005-0000-0000-00000C8D0000}"/>
    <cellStyle name="Total 11 2 12 2" xfId="36109" xr:uid="{00000000-0005-0000-0000-00000D8D0000}"/>
    <cellStyle name="Total 11 2 12 2 2" xfId="36110" xr:uid="{00000000-0005-0000-0000-00000E8D0000}"/>
    <cellStyle name="Total 11 2 12 2 3" xfId="36111" xr:uid="{00000000-0005-0000-0000-00000F8D0000}"/>
    <cellStyle name="Total 11 2 12 3" xfId="36112" xr:uid="{00000000-0005-0000-0000-0000108D0000}"/>
    <cellStyle name="Total 11 2 12 4" xfId="36113" xr:uid="{00000000-0005-0000-0000-0000118D0000}"/>
    <cellStyle name="Total 11 2 13" xfId="36114" xr:uid="{00000000-0005-0000-0000-0000128D0000}"/>
    <cellStyle name="Total 11 2 13 2" xfId="36115" xr:uid="{00000000-0005-0000-0000-0000138D0000}"/>
    <cellStyle name="Total 11 2 13 2 2" xfId="36116" xr:uid="{00000000-0005-0000-0000-0000148D0000}"/>
    <cellStyle name="Total 11 2 13 2 3" xfId="36117" xr:uid="{00000000-0005-0000-0000-0000158D0000}"/>
    <cellStyle name="Total 11 2 13 3" xfId="36118" xr:uid="{00000000-0005-0000-0000-0000168D0000}"/>
    <cellStyle name="Total 11 2 13 4" xfId="36119" xr:uid="{00000000-0005-0000-0000-0000178D0000}"/>
    <cellStyle name="Total 11 2 14" xfId="36120" xr:uid="{00000000-0005-0000-0000-0000188D0000}"/>
    <cellStyle name="Total 11 2 14 2" xfId="36121" xr:uid="{00000000-0005-0000-0000-0000198D0000}"/>
    <cellStyle name="Total 11 2 14 2 2" xfId="36122" xr:uid="{00000000-0005-0000-0000-00001A8D0000}"/>
    <cellStyle name="Total 11 2 14 2 3" xfId="36123" xr:uid="{00000000-0005-0000-0000-00001B8D0000}"/>
    <cellStyle name="Total 11 2 14 3" xfId="36124" xr:uid="{00000000-0005-0000-0000-00001C8D0000}"/>
    <cellStyle name="Total 11 2 14 4" xfId="36125" xr:uid="{00000000-0005-0000-0000-00001D8D0000}"/>
    <cellStyle name="Total 11 2 15" xfId="36126" xr:uid="{00000000-0005-0000-0000-00001E8D0000}"/>
    <cellStyle name="Total 11 2 15 2" xfId="36127" xr:uid="{00000000-0005-0000-0000-00001F8D0000}"/>
    <cellStyle name="Total 11 2 15 2 2" xfId="36128" xr:uid="{00000000-0005-0000-0000-0000208D0000}"/>
    <cellStyle name="Total 11 2 15 2 3" xfId="36129" xr:uid="{00000000-0005-0000-0000-0000218D0000}"/>
    <cellStyle name="Total 11 2 15 3" xfId="36130" xr:uid="{00000000-0005-0000-0000-0000228D0000}"/>
    <cellStyle name="Total 11 2 15 4" xfId="36131" xr:uid="{00000000-0005-0000-0000-0000238D0000}"/>
    <cellStyle name="Total 11 2 16" xfId="36132" xr:uid="{00000000-0005-0000-0000-0000248D0000}"/>
    <cellStyle name="Total 11 2 16 2" xfId="36133" xr:uid="{00000000-0005-0000-0000-0000258D0000}"/>
    <cellStyle name="Total 11 2 16 2 2" xfId="36134" xr:uid="{00000000-0005-0000-0000-0000268D0000}"/>
    <cellStyle name="Total 11 2 16 2 3" xfId="36135" xr:uid="{00000000-0005-0000-0000-0000278D0000}"/>
    <cellStyle name="Total 11 2 16 3" xfId="36136" xr:uid="{00000000-0005-0000-0000-0000288D0000}"/>
    <cellStyle name="Total 11 2 16 4" xfId="36137" xr:uid="{00000000-0005-0000-0000-0000298D0000}"/>
    <cellStyle name="Total 11 2 17" xfId="36138" xr:uid="{00000000-0005-0000-0000-00002A8D0000}"/>
    <cellStyle name="Total 11 2 17 2" xfId="36139" xr:uid="{00000000-0005-0000-0000-00002B8D0000}"/>
    <cellStyle name="Total 11 2 17 2 2" xfId="36140" xr:uid="{00000000-0005-0000-0000-00002C8D0000}"/>
    <cellStyle name="Total 11 2 17 2 3" xfId="36141" xr:uid="{00000000-0005-0000-0000-00002D8D0000}"/>
    <cellStyle name="Total 11 2 17 3" xfId="36142" xr:uid="{00000000-0005-0000-0000-00002E8D0000}"/>
    <cellStyle name="Total 11 2 17 4" xfId="36143" xr:uid="{00000000-0005-0000-0000-00002F8D0000}"/>
    <cellStyle name="Total 11 2 18" xfId="36144" xr:uid="{00000000-0005-0000-0000-0000308D0000}"/>
    <cellStyle name="Total 11 2 18 2" xfId="36145" xr:uid="{00000000-0005-0000-0000-0000318D0000}"/>
    <cellStyle name="Total 11 2 18 3" xfId="36146" xr:uid="{00000000-0005-0000-0000-0000328D0000}"/>
    <cellStyle name="Total 11 2 18 4" xfId="36147" xr:uid="{00000000-0005-0000-0000-0000338D0000}"/>
    <cellStyle name="Total 11 2 19" xfId="36148" xr:uid="{00000000-0005-0000-0000-0000348D0000}"/>
    <cellStyle name="Total 11 2 2" xfId="36149" xr:uid="{00000000-0005-0000-0000-0000358D0000}"/>
    <cellStyle name="Total 11 2 2 2" xfId="36150" xr:uid="{00000000-0005-0000-0000-0000368D0000}"/>
    <cellStyle name="Total 11 2 2 2 2" xfId="36151" xr:uid="{00000000-0005-0000-0000-0000378D0000}"/>
    <cellStyle name="Total 11 2 2 2 3" xfId="36152" xr:uid="{00000000-0005-0000-0000-0000388D0000}"/>
    <cellStyle name="Total 11 2 2 3" xfId="36153" xr:uid="{00000000-0005-0000-0000-0000398D0000}"/>
    <cellStyle name="Total 11 2 2 4" xfId="36154" xr:uid="{00000000-0005-0000-0000-00003A8D0000}"/>
    <cellStyle name="Total 11 2 20" xfId="36155" xr:uid="{00000000-0005-0000-0000-00003B8D0000}"/>
    <cellStyle name="Total 11 2 21" xfId="36156" xr:uid="{00000000-0005-0000-0000-00003C8D0000}"/>
    <cellStyle name="Total 11 2 3" xfId="36157" xr:uid="{00000000-0005-0000-0000-00003D8D0000}"/>
    <cellStyle name="Total 11 2 3 2" xfId="36158" xr:uid="{00000000-0005-0000-0000-00003E8D0000}"/>
    <cellStyle name="Total 11 2 3 2 2" xfId="36159" xr:uid="{00000000-0005-0000-0000-00003F8D0000}"/>
    <cellStyle name="Total 11 2 3 2 3" xfId="36160" xr:uid="{00000000-0005-0000-0000-0000408D0000}"/>
    <cellStyle name="Total 11 2 3 3" xfId="36161" xr:uid="{00000000-0005-0000-0000-0000418D0000}"/>
    <cellStyle name="Total 11 2 3 4" xfId="36162" xr:uid="{00000000-0005-0000-0000-0000428D0000}"/>
    <cellStyle name="Total 11 2 4" xfId="36163" xr:uid="{00000000-0005-0000-0000-0000438D0000}"/>
    <cellStyle name="Total 11 2 4 2" xfId="36164" xr:uid="{00000000-0005-0000-0000-0000448D0000}"/>
    <cellStyle name="Total 11 2 4 2 2" xfId="36165" xr:uid="{00000000-0005-0000-0000-0000458D0000}"/>
    <cellStyle name="Total 11 2 4 2 3" xfId="36166" xr:uid="{00000000-0005-0000-0000-0000468D0000}"/>
    <cellStyle name="Total 11 2 4 3" xfId="36167" xr:uid="{00000000-0005-0000-0000-0000478D0000}"/>
    <cellStyle name="Total 11 2 4 4" xfId="36168" xr:uid="{00000000-0005-0000-0000-0000488D0000}"/>
    <cellStyle name="Total 11 2 5" xfId="36169" xr:uid="{00000000-0005-0000-0000-0000498D0000}"/>
    <cellStyle name="Total 11 2 5 2" xfId="36170" xr:uid="{00000000-0005-0000-0000-00004A8D0000}"/>
    <cellStyle name="Total 11 2 5 2 2" xfId="36171" xr:uid="{00000000-0005-0000-0000-00004B8D0000}"/>
    <cellStyle name="Total 11 2 5 2 3" xfId="36172" xr:uid="{00000000-0005-0000-0000-00004C8D0000}"/>
    <cellStyle name="Total 11 2 5 3" xfId="36173" xr:uid="{00000000-0005-0000-0000-00004D8D0000}"/>
    <cellStyle name="Total 11 2 5 4" xfId="36174" xr:uid="{00000000-0005-0000-0000-00004E8D0000}"/>
    <cellStyle name="Total 11 2 6" xfId="36175" xr:uid="{00000000-0005-0000-0000-00004F8D0000}"/>
    <cellStyle name="Total 11 2 6 2" xfId="36176" xr:uid="{00000000-0005-0000-0000-0000508D0000}"/>
    <cellStyle name="Total 11 2 6 2 2" xfId="36177" xr:uid="{00000000-0005-0000-0000-0000518D0000}"/>
    <cellStyle name="Total 11 2 6 2 3" xfId="36178" xr:uid="{00000000-0005-0000-0000-0000528D0000}"/>
    <cellStyle name="Total 11 2 6 3" xfId="36179" xr:uid="{00000000-0005-0000-0000-0000538D0000}"/>
    <cellStyle name="Total 11 2 6 4" xfId="36180" xr:uid="{00000000-0005-0000-0000-0000548D0000}"/>
    <cellStyle name="Total 11 2 7" xfId="36181" xr:uid="{00000000-0005-0000-0000-0000558D0000}"/>
    <cellStyle name="Total 11 2 7 2" xfId="36182" xr:uid="{00000000-0005-0000-0000-0000568D0000}"/>
    <cellStyle name="Total 11 2 7 2 2" xfId="36183" xr:uid="{00000000-0005-0000-0000-0000578D0000}"/>
    <cellStyle name="Total 11 2 7 2 3" xfId="36184" xr:uid="{00000000-0005-0000-0000-0000588D0000}"/>
    <cellStyle name="Total 11 2 7 3" xfId="36185" xr:uid="{00000000-0005-0000-0000-0000598D0000}"/>
    <cellStyle name="Total 11 2 7 4" xfId="36186" xr:uid="{00000000-0005-0000-0000-00005A8D0000}"/>
    <cellStyle name="Total 11 2 8" xfId="36187" xr:uid="{00000000-0005-0000-0000-00005B8D0000}"/>
    <cellStyle name="Total 11 2 8 2" xfId="36188" xr:uid="{00000000-0005-0000-0000-00005C8D0000}"/>
    <cellStyle name="Total 11 2 8 2 2" xfId="36189" xr:uid="{00000000-0005-0000-0000-00005D8D0000}"/>
    <cellStyle name="Total 11 2 8 2 3" xfId="36190" xr:uid="{00000000-0005-0000-0000-00005E8D0000}"/>
    <cellStyle name="Total 11 2 8 3" xfId="36191" xr:uid="{00000000-0005-0000-0000-00005F8D0000}"/>
    <cellStyle name="Total 11 2 8 4" xfId="36192" xr:uid="{00000000-0005-0000-0000-0000608D0000}"/>
    <cellStyle name="Total 11 2 9" xfId="36193" xr:uid="{00000000-0005-0000-0000-0000618D0000}"/>
    <cellStyle name="Total 11 2 9 2" xfId="36194" xr:uid="{00000000-0005-0000-0000-0000628D0000}"/>
    <cellStyle name="Total 11 2 9 2 2" xfId="36195" xr:uid="{00000000-0005-0000-0000-0000638D0000}"/>
    <cellStyle name="Total 11 2 9 2 3" xfId="36196" xr:uid="{00000000-0005-0000-0000-0000648D0000}"/>
    <cellStyle name="Total 11 2 9 3" xfId="36197" xr:uid="{00000000-0005-0000-0000-0000658D0000}"/>
    <cellStyle name="Total 11 2 9 4" xfId="36198" xr:uid="{00000000-0005-0000-0000-0000668D0000}"/>
    <cellStyle name="Total 11 3" xfId="36199" xr:uid="{00000000-0005-0000-0000-0000678D0000}"/>
    <cellStyle name="Total 11 3 2" xfId="36200" xr:uid="{00000000-0005-0000-0000-0000688D0000}"/>
    <cellStyle name="Total 11 3 2 2" xfId="36201" xr:uid="{00000000-0005-0000-0000-0000698D0000}"/>
    <cellStyle name="Total 11 3 2 3" xfId="36202" xr:uid="{00000000-0005-0000-0000-00006A8D0000}"/>
    <cellStyle name="Total 11 3 3" xfId="36203" xr:uid="{00000000-0005-0000-0000-00006B8D0000}"/>
    <cellStyle name="Total 11 3 4" xfId="36204" xr:uid="{00000000-0005-0000-0000-00006C8D0000}"/>
    <cellStyle name="Total 11 4" xfId="36205" xr:uid="{00000000-0005-0000-0000-00006D8D0000}"/>
    <cellStyle name="Total 11 5" xfId="36206" xr:uid="{00000000-0005-0000-0000-00006E8D0000}"/>
    <cellStyle name="Total 12" xfId="36207" xr:uid="{00000000-0005-0000-0000-00006F8D0000}"/>
    <cellStyle name="Total 12 2" xfId="36208" xr:uid="{00000000-0005-0000-0000-0000708D0000}"/>
    <cellStyle name="Total 12 2 10" xfId="36209" xr:uid="{00000000-0005-0000-0000-0000718D0000}"/>
    <cellStyle name="Total 12 2 10 2" xfId="36210" xr:uid="{00000000-0005-0000-0000-0000728D0000}"/>
    <cellStyle name="Total 12 2 10 2 2" xfId="36211" xr:uid="{00000000-0005-0000-0000-0000738D0000}"/>
    <cellStyle name="Total 12 2 10 2 3" xfId="36212" xr:uid="{00000000-0005-0000-0000-0000748D0000}"/>
    <cellStyle name="Total 12 2 10 3" xfId="36213" xr:uid="{00000000-0005-0000-0000-0000758D0000}"/>
    <cellStyle name="Total 12 2 10 4" xfId="36214" xr:uid="{00000000-0005-0000-0000-0000768D0000}"/>
    <cellStyle name="Total 12 2 11" xfId="36215" xr:uid="{00000000-0005-0000-0000-0000778D0000}"/>
    <cellStyle name="Total 12 2 11 2" xfId="36216" xr:uid="{00000000-0005-0000-0000-0000788D0000}"/>
    <cellStyle name="Total 12 2 11 2 2" xfId="36217" xr:uid="{00000000-0005-0000-0000-0000798D0000}"/>
    <cellStyle name="Total 12 2 11 2 3" xfId="36218" xr:uid="{00000000-0005-0000-0000-00007A8D0000}"/>
    <cellStyle name="Total 12 2 11 3" xfId="36219" xr:uid="{00000000-0005-0000-0000-00007B8D0000}"/>
    <cellStyle name="Total 12 2 11 4" xfId="36220" xr:uid="{00000000-0005-0000-0000-00007C8D0000}"/>
    <cellStyle name="Total 12 2 12" xfId="36221" xr:uid="{00000000-0005-0000-0000-00007D8D0000}"/>
    <cellStyle name="Total 12 2 12 2" xfId="36222" xr:uid="{00000000-0005-0000-0000-00007E8D0000}"/>
    <cellStyle name="Total 12 2 12 2 2" xfId="36223" xr:uid="{00000000-0005-0000-0000-00007F8D0000}"/>
    <cellStyle name="Total 12 2 12 2 3" xfId="36224" xr:uid="{00000000-0005-0000-0000-0000808D0000}"/>
    <cellStyle name="Total 12 2 12 3" xfId="36225" xr:uid="{00000000-0005-0000-0000-0000818D0000}"/>
    <cellStyle name="Total 12 2 12 4" xfId="36226" xr:uid="{00000000-0005-0000-0000-0000828D0000}"/>
    <cellStyle name="Total 12 2 13" xfId="36227" xr:uid="{00000000-0005-0000-0000-0000838D0000}"/>
    <cellStyle name="Total 12 2 13 2" xfId="36228" xr:uid="{00000000-0005-0000-0000-0000848D0000}"/>
    <cellStyle name="Total 12 2 13 2 2" xfId="36229" xr:uid="{00000000-0005-0000-0000-0000858D0000}"/>
    <cellStyle name="Total 12 2 13 2 3" xfId="36230" xr:uid="{00000000-0005-0000-0000-0000868D0000}"/>
    <cellStyle name="Total 12 2 13 3" xfId="36231" xr:uid="{00000000-0005-0000-0000-0000878D0000}"/>
    <cellStyle name="Total 12 2 13 4" xfId="36232" xr:uid="{00000000-0005-0000-0000-0000888D0000}"/>
    <cellStyle name="Total 12 2 14" xfId="36233" xr:uid="{00000000-0005-0000-0000-0000898D0000}"/>
    <cellStyle name="Total 12 2 14 2" xfId="36234" xr:uid="{00000000-0005-0000-0000-00008A8D0000}"/>
    <cellStyle name="Total 12 2 14 2 2" xfId="36235" xr:uid="{00000000-0005-0000-0000-00008B8D0000}"/>
    <cellStyle name="Total 12 2 14 2 3" xfId="36236" xr:uid="{00000000-0005-0000-0000-00008C8D0000}"/>
    <cellStyle name="Total 12 2 14 3" xfId="36237" xr:uid="{00000000-0005-0000-0000-00008D8D0000}"/>
    <cellStyle name="Total 12 2 14 4" xfId="36238" xr:uid="{00000000-0005-0000-0000-00008E8D0000}"/>
    <cellStyle name="Total 12 2 15" xfId="36239" xr:uid="{00000000-0005-0000-0000-00008F8D0000}"/>
    <cellStyle name="Total 12 2 15 2" xfId="36240" xr:uid="{00000000-0005-0000-0000-0000908D0000}"/>
    <cellStyle name="Total 12 2 15 2 2" xfId="36241" xr:uid="{00000000-0005-0000-0000-0000918D0000}"/>
    <cellStyle name="Total 12 2 15 2 3" xfId="36242" xr:uid="{00000000-0005-0000-0000-0000928D0000}"/>
    <cellStyle name="Total 12 2 15 3" xfId="36243" xr:uid="{00000000-0005-0000-0000-0000938D0000}"/>
    <cellStyle name="Total 12 2 15 4" xfId="36244" xr:uid="{00000000-0005-0000-0000-0000948D0000}"/>
    <cellStyle name="Total 12 2 16" xfId="36245" xr:uid="{00000000-0005-0000-0000-0000958D0000}"/>
    <cellStyle name="Total 12 2 16 2" xfId="36246" xr:uid="{00000000-0005-0000-0000-0000968D0000}"/>
    <cellStyle name="Total 12 2 16 2 2" xfId="36247" xr:uid="{00000000-0005-0000-0000-0000978D0000}"/>
    <cellStyle name="Total 12 2 16 2 3" xfId="36248" xr:uid="{00000000-0005-0000-0000-0000988D0000}"/>
    <cellStyle name="Total 12 2 16 3" xfId="36249" xr:uid="{00000000-0005-0000-0000-0000998D0000}"/>
    <cellStyle name="Total 12 2 16 4" xfId="36250" xr:uid="{00000000-0005-0000-0000-00009A8D0000}"/>
    <cellStyle name="Total 12 2 17" xfId="36251" xr:uid="{00000000-0005-0000-0000-00009B8D0000}"/>
    <cellStyle name="Total 12 2 17 2" xfId="36252" xr:uid="{00000000-0005-0000-0000-00009C8D0000}"/>
    <cellStyle name="Total 12 2 17 2 2" xfId="36253" xr:uid="{00000000-0005-0000-0000-00009D8D0000}"/>
    <cellStyle name="Total 12 2 17 2 3" xfId="36254" xr:uid="{00000000-0005-0000-0000-00009E8D0000}"/>
    <cellStyle name="Total 12 2 17 3" xfId="36255" xr:uid="{00000000-0005-0000-0000-00009F8D0000}"/>
    <cellStyle name="Total 12 2 17 4" xfId="36256" xr:uid="{00000000-0005-0000-0000-0000A08D0000}"/>
    <cellStyle name="Total 12 2 18" xfId="36257" xr:uid="{00000000-0005-0000-0000-0000A18D0000}"/>
    <cellStyle name="Total 12 2 18 2" xfId="36258" xr:uid="{00000000-0005-0000-0000-0000A28D0000}"/>
    <cellStyle name="Total 12 2 18 3" xfId="36259" xr:uid="{00000000-0005-0000-0000-0000A38D0000}"/>
    <cellStyle name="Total 12 2 18 4" xfId="36260" xr:uid="{00000000-0005-0000-0000-0000A48D0000}"/>
    <cellStyle name="Total 12 2 19" xfId="36261" xr:uid="{00000000-0005-0000-0000-0000A58D0000}"/>
    <cellStyle name="Total 12 2 2" xfId="36262" xr:uid="{00000000-0005-0000-0000-0000A68D0000}"/>
    <cellStyle name="Total 12 2 2 2" xfId="36263" xr:uid="{00000000-0005-0000-0000-0000A78D0000}"/>
    <cellStyle name="Total 12 2 2 2 2" xfId="36264" xr:uid="{00000000-0005-0000-0000-0000A88D0000}"/>
    <cellStyle name="Total 12 2 2 2 3" xfId="36265" xr:uid="{00000000-0005-0000-0000-0000A98D0000}"/>
    <cellStyle name="Total 12 2 2 3" xfId="36266" xr:uid="{00000000-0005-0000-0000-0000AA8D0000}"/>
    <cellStyle name="Total 12 2 2 4" xfId="36267" xr:uid="{00000000-0005-0000-0000-0000AB8D0000}"/>
    <cellStyle name="Total 12 2 20" xfId="36268" xr:uid="{00000000-0005-0000-0000-0000AC8D0000}"/>
    <cellStyle name="Total 12 2 21" xfId="36269" xr:uid="{00000000-0005-0000-0000-0000AD8D0000}"/>
    <cellStyle name="Total 12 2 3" xfId="36270" xr:uid="{00000000-0005-0000-0000-0000AE8D0000}"/>
    <cellStyle name="Total 12 2 3 2" xfId="36271" xr:uid="{00000000-0005-0000-0000-0000AF8D0000}"/>
    <cellStyle name="Total 12 2 3 2 2" xfId="36272" xr:uid="{00000000-0005-0000-0000-0000B08D0000}"/>
    <cellStyle name="Total 12 2 3 2 3" xfId="36273" xr:uid="{00000000-0005-0000-0000-0000B18D0000}"/>
    <cellStyle name="Total 12 2 3 3" xfId="36274" xr:uid="{00000000-0005-0000-0000-0000B28D0000}"/>
    <cellStyle name="Total 12 2 3 4" xfId="36275" xr:uid="{00000000-0005-0000-0000-0000B38D0000}"/>
    <cellStyle name="Total 12 2 4" xfId="36276" xr:uid="{00000000-0005-0000-0000-0000B48D0000}"/>
    <cellStyle name="Total 12 2 4 2" xfId="36277" xr:uid="{00000000-0005-0000-0000-0000B58D0000}"/>
    <cellStyle name="Total 12 2 4 2 2" xfId="36278" xr:uid="{00000000-0005-0000-0000-0000B68D0000}"/>
    <cellStyle name="Total 12 2 4 2 3" xfId="36279" xr:uid="{00000000-0005-0000-0000-0000B78D0000}"/>
    <cellStyle name="Total 12 2 4 3" xfId="36280" xr:uid="{00000000-0005-0000-0000-0000B88D0000}"/>
    <cellStyle name="Total 12 2 4 4" xfId="36281" xr:uid="{00000000-0005-0000-0000-0000B98D0000}"/>
    <cellStyle name="Total 12 2 5" xfId="36282" xr:uid="{00000000-0005-0000-0000-0000BA8D0000}"/>
    <cellStyle name="Total 12 2 5 2" xfId="36283" xr:uid="{00000000-0005-0000-0000-0000BB8D0000}"/>
    <cellStyle name="Total 12 2 5 2 2" xfId="36284" xr:uid="{00000000-0005-0000-0000-0000BC8D0000}"/>
    <cellStyle name="Total 12 2 5 2 3" xfId="36285" xr:uid="{00000000-0005-0000-0000-0000BD8D0000}"/>
    <cellStyle name="Total 12 2 5 3" xfId="36286" xr:uid="{00000000-0005-0000-0000-0000BE8D0000}"/>
    <cellStyle name="Total 12 2 5 4" xfId="36287" xr:uid="{00000000-0005-0000-0000-0000BF8D0000}"/>
    <cellStyle name="Total 12 2 6" xfId="36288" xr:uid="{00000000-0005-0000-0000-0000C08D0000}"/>
    <cellStyle name="Total 12 2 6 2" xfId="36289" xr:uid="{00000000-0005-0000-0000-0000C18D0000}"/>
    <cellStyle name="Total 12 2 6 2 2" xfId="36290" xr:uid="{00000000-0005-0000-0000-0000C28D0000}"/>
    <cellStyle name="Total 12 2 6 2 3" xfId="36291" xr:uid="{00000000-0005-0000-0000-0000C38D0000}"/>
    <cellStyle name="Total 12 2 6 3" xfId="36292" xr:uid="{00000000-0005-0000-0000-0000C48D0000}"/>
    <cellStyle name="Total 12 2 6 4" xfId="36293" xr:uid="{00000000-0005-0000-0000-0000C58D0000}"/>
    <cellStyle name="Total 12 2 7" xfId="36294" xr:uid="{00000000-0005-0000-0000-0000C68D0000}"/>
    <cellStyle name="Total 12 2 7 2" xfId="36295" xr:uid="{00000000-0005-0000-0000-0000C78D0000}"/>
    <cellStyle name="Total 12 2 7 2 2" xfId="36296" xr:uid="{00000000-0005-0000-0000-0000C88D0000}"/>
    <cellStyle name="Total 12 2 7 2 3" xfId="36297" xr:uid="{00000000-0005-0000-0000-0000C98D0000}"/>
    <cellStyle name="Total 12 2 7 3" xfId="36298" xr:uid="{00000000-0005-0000-0000-0000CA8D0000}"/>
    <cellStyle name="Total 12 2 7 4" xfId="36299" xr:uid="{00000000-0005-0000-0000-0000CB8D0000}"/>
    <cellStyle name="Total 12 2 8" xfId="36300" xr:uid="{00000000-0005-0000-0000-0000CC8D0000}"/>
    <cellStyle name="Total 12 2 8 2" xfId="36301" xr:uid="{00000000-0005-0000-0000-0000CD8D0000}"/>
    <cellStyle name="Total 12 2 8 2 2" xfId="36302" xr:uid="{00000000-0005-0000-0000-0000CE8D0000}"/>
    <cellStyle name="Total 12 2 8 2 3" xfId="36303" xr:uid="{00000000-0005-0000-0000-0000CF8D0000}"/>
    <cellStyle name="Total 12 2 8 3" xfId="36304" xr:uid="{00000000-0005-0000-0000-0000D08D0000}"/>
    <cellStyle name="Total 12 2 8 4" xfId="36305" xr:uid="{00000000-0005-0000-0000-0000D18D0000}"/>
    <cellStyle name="Total 12 2 9" xfId="36306" xr:uid="{00000000-0005-0000-0000-0000D28D0000}"/>
    <cellStyle name="Total 12 2 9 2" xfId="36307" xr:uid="{00000000-0005-0000-0000-0000D38D0000}"/>
    <cellStyle name="Total 12 2 9 2 2" xfId="36308" xr:uid="{00000000-0005-0000-0000-0000D48D0000}"/>
    <cellStyle name="Total 12 2 9 2 3" xfId="36309" xr:uid="{00000000-0005-0000-0000-0000D58D0000}"/>
    <cellStyle name="Total 12 2 9 3" xfId="36310" xr:uid="{00000000-0005-0000-0000-0000D68D0000}"/>
    <cellStyle name="Total 12 2 9 4" xfId="36311" xr:uid="{00000000-0005-0000-0000-0000D78D0000}"/>
    <cellStyle name="Total 12 3" xfId="36312" xr:uid="{00000000-0005-0000-0000-0000D88D0000}"/>
    <cellStyle name="Total 12 3 2" xfId="36313" xr:uid="{00000000-0005-0000-0000-0000D98D0000}"/>
    <cellStyle name="Total 12 3 2 2" xfId="36314" xr:uid="{00000000-0005-0000-0000-0000DA8D0000}"/>
    <cellStyle name="Total 12 3 2 3" xfId="36315" xr:uid="{00000000-0005-0000-0000-0000DB8D0000}"/>
    <cellStyle name="Total 12 3 3" xfId="36316" xr:uid="{00000000-0005-0000-0000-0000DC8D0000}"/>
    <cellStyle name="Total 12 3 4" xfId="36317" xr:uid="{00000000-0005-0000-0000-0000DD8D0000}"/>
    <cellStyle name="Total 12 4" xfId="36318" xr:uid="{00000000-0005-0000-0000-0000DE8D0000}"/>
    <cellStyle name="Total 12 5" xfId="36319" xr:uid="{00000000-0005-0000-0000-0000DF8D0000}"/>
    <cellStyle name="Total 13" xfId="36320" xr:uid="{00000000-0005-0000-0000-0000E08D0000}"/>
    <cellStyle name="Total 13 2" xfId="36321" xr:uid="{00000000-0005-0000-0000-0000E18D0000}"/>
    <cellStyle name="Total 13 2 10" xfId="36322" xr:uid="{00000000-0005-0000-0000-0000E28D0000}"/>
    <cellStyle name="Total 13 2 10 2" xfId="36323" xr:uid="{00000000-0005-0000-0000-0000E38D0000}"/>
    <cellStyle name="Total 13 2 10 2 2" xfId="36324" xr:uid="{00000000-0005-0000-0000-0000E48D0000}"/>
    <cellStyle name="Total 13 2 10 2 3" xfId="36325" xr:uid="{00000000-0005-0000-0000-0000E58D0000}"/>
    <cellStyle name="Total 13 2 10 3" xfId="36326" xr:uid="{00000000-0005-0000-0000-0000E68D0000}"/>
    <cellStyle name="Total 13 2 10 4" xfId="36327" xr:uid="{00000000-0005-0000-0000-0000E78D0000}"/>
    <cellStyle name="Total 13 2 11" xfId="36328" xr:uid="{00000000-0005-0000-0000-0000E88D0000}"/>
    <cellStyle name="Total 13 2 11 2" xfId="36329" xr:uid="{00000000-0005-0000-0000-0000E98D0000}"/>
    <cellStyle name="Total 13 2 11 2 2" xfId="36330" xr:uid="{00000000-0005-0000-0000-0000EA8D0000}"/>
    <cellStyle name="Total 13 2 11 2 3" xfId="36331" xr:uid="{00000000-0005-0000-0000-0000EB8D0000}"/>
    <cellStyle name="Total 13 2 11 3" xfId="36332" xr:uid="{00000000-0005-0000-0000-0000EC8D0000}"/>
    <cellStyle name="Total 13 2 11 4" xfId="36333" xr:uid="{00000000-0005-0000-0000-0000ED8D0000}"/>
    <cellStyle name="Total 13 2 12" xfId="36334" xr:uid="{00000000-0005-0000-0000-0000EE8D0000}"/>
    <cellStyle name="Total 13 2 12 2" xfId="36335" xr:uid="{00000000-0005-0000-0000-0000EF8D0000}"/>
    <cellStyle name="Total 13 2 12 2 2" xfId="36336" xr:uid="{00000000-0005-0000-0000-0000F08D0000}"/>
    <cellStyle name="Total 13 2 12 2 3" xfId="36337" xr:uid="{00000000-0005-0000-0000-0000F18D0000}"/>
    <cellStyle name="Total 13 2 12 3" xfId="36338" xr:uid="{00000000-0005-0000-0000-0000F28D0000}"/>
    <cellStyle name="Total 13 2 12 4" xfId="36339" xr:uid="{00000000-0005-0000-0000-0000F38D0000}"/>
    <cellStyle name="Total 13 2 13" xfId="36340" xr:uid="{00000000-0005-0000-0000-0000F48D0000}"/>
    <cellStyle name="Total 13 2 13 2" xfId="36341" xr:uid="{00000000-0005-0000-0000-0000F58D0000}"/>
    <cellStyle name="Total 13 2 13 2 2" xfId="36342" xr:uid="{00000000-0005-0000-0000-0000F68D0000}"/>
    <cellStyle name="Total 13 2 13 2 3" xfId="36343" xr:uid="{00000000-0005-0000-0000-0000F78D0000}"/>
    <cellStyle name="Total 13 2 13 3" xfId="36344" xr:uid="{00000000-0005-0000-0000-0000F88D0000}"/>
    <cellStyle name="Total 13 2 13 4" xfId="36345" xr:uid="{00000000-0005-0000-0000-0000F98D0000}"/>
    <cellStyle name="Total 13 2 14" xfId="36346" xr:uid="{00000000-0005-0000-0000-0000FA8D0000}"/>
    <cellStyle name="Total 13 2 14 2" xfId="36347" xr:uid="{00000000-0005-0000-0000-0000FB8D0000}"/>
    <cellStyle name="Total 13 2 14 2 2" xfId="36348" xr:uid="{00000000-0005-0000-0000-0000FC8D0000}"/>
    <cellStyle name="Total 13 2 14 2 3" xfId="36349" xr:uid="{00000000-0005-0000-0000-0000FD8D0000}"/>
    <cellStyle name="Total 13 2 14 3" xfId="36350" xr:uid="{00000000-0005-0000-0000-0000FE8D0000}"/>
    <cellStyle name="Total 13 2 14 4" xfId="36351" xr:uid="{00000000-0005-0000-0000-0000FF8D0000}"/>
    <cellStyle name="Total 13 2 15" xfId="36352" xr:uid="{00000000-0005-0000-0000-0000008E0000}"/>
    <cellStyle name="Total 13 2 15 2" xfId="36353" xr:uid="{00000000-0005-0000-0000-0000018E0000}"/>
    <cellStyle name="Total 13 2 15 2 2" xfId="36354" xr:uid="{00000000-0005-0000-0000-0000028E0000}"/>
    <cellStyle name="Total 13 2 15 2 3" xfId="36355" xr:uid="{00000000-0005-0000-0000-0000038E0000}"/>
    <cellStyle name="Total 13 2 15 3" xfId="36356" xr:uid="{00000000-0005-0000-0000-0000048E0000}"/>
    <cellStyle name="Total 13 2 15 4" xfId="36357" xr:uid="{00000000-0005-0000-0000-0000058E0000}"/>
    <cellStyle name="Total 13 2 16" xfId="36358" xr:uid="{00000000-0005-0000-0000-0000068E0000}"/>
    <cellStyle name="Total 13 2 16 2" xfId="36359" xr:uid="{00000000-0005-0000-0000-0000078E0000}"/>
    <cellStyle name="Total 13 2 16 2 2" xfId="36360" xr:uid="{00000000-0005-0000-0000-0000088E0000}"/>
    <cellStyle name="Total 13 2 16 2 3" xfId="36361" xr:uid="{00000000-0005-0000-0000-0000098E0000}"/>
    <cellStyle name="Total 13 2 16 3" xfId="36362" xr:uid="{00000000-0005-0000-0000-00000A8E0000}"/>
    <cellStyle name="Total 13 2 16 4" xfId="36363" xr:uid="{00000000-0005-0000-0000-00000B8E0000}"/>
    <cellStyle name="Total 13 2 17" xfId="36364" xr:uid="{00000000-0005-0000-0000-00000C8E0000}"/>
    <cellStyle name="Total 13 2 17 2" xfId="36365" xr:uid="{00000000-0005-0000-0000-00000D8E0000}"/>
    <cellStyle name="Total 13 2 17 2 2" xfId="36366" xr:uid="{00000000-0005-0000-0000-00000E8E0000}"/>
    <cellStyle name="Total 13 2 17 2 3" xfId="36367" xr:uid="{00000000-0005-0000-0000-00000F8E0000}"/>
    <cellStyle name="Total 13 2 17 3" xfId="36368" xr:uid="{00000000-0005-0000-0000-0000108E0000}"/>
    <cellStyle name="Total 13 2 17 4" xfId="36369" xr:uid="{00000000-0005-0000-0000-0000118E0000}"/>
    <cellStyle name="Total 13 2 18" xfId="36370" xr:uid="{00000000-0005-0000-0000-0000128E0000}"/>
    <cellStyle name="Total 13 2 18 2" xfId="36371" xr:uid="{00000000-0005-0000-0000-0000138E0000}"/>
    <cellStyle name="Total 13 2 18 3" xfId="36372" xr:uid="{00000000-0005-0000-0000-0000148E0000}"/>
    <cellStyle name="Total 13 2 18 4" xfId="36373" xr:uid="{00000000-0005-0000-0000-0000158E0000}"/>
    <cellStyle name="Total 13 2 19" xfId="36374" xr:uid="{00000000-0005-0000-0000-0000168E0000}"/>
    <cellStyle name="Total 13 2 2" xfId="36375" xr:uid="{00000000-0005-0000-0000-0000178E0000}"/>
    <cellStyle name="Total 13 2 2 2" xfId="36376" xr:uid="{00000000-0005-0000-0000-0000188E0000}"/>
    <cellStyle name="Total 13 2 2 2 2" xfId="36377" xr:uid="{00000000-0005-0000-0000-0000198E0000}"/>
    <cellStyle name="Total 13 2 2 2 3" xfId="36378" xr:uid="{00000000-0005-0000-0000-00001A8E0000}"/>
    <cellStyle name="Total 13 2 2 3" xfId="36379" xr:uid="{00000000-0005-0000-0000-00001B8E0000}"/>
    <cellStyle name="Total 13 2 2 4" xfId="36380" xr:uid="{00000000-0005-0000-0000-00001C8E0000}"/>
    <cellStyle name="Total 13 2 20" xfId="36381" xr:uid="{00000000-0005-0000-0000-00001D8E0000}"/>
    <cellStyle name="Total 13 2 21" xfId="36382" xr:uid="{00000000-0005-0000-0000-00001E8E0000}"/>
    <cellStyle name="Total 13 2 3" xfId="36383" xr:uid="{00000000-0005-0000-0000-00001F8E0000}"/>
    <cellStyle name="Total 13 2 3 2" xfId="36384" xr:uid="{00000000-0005-0000-0000-0000208E0000}"/>
    <cellStyle name="Total 13 2 3 2 2" xfId="36385" xr:uid="{00000000-0005-0000-0000-0000218E0000}"/>
    <cellStyle name="Total 13 2 3 2 3" xfId="36386" xr:uid="{00000000-0005-0000-0000-0000228E0000}"/>
    <cellStyle name="Total 13 2 3 3" xfId="36387" xr:uid="{00000000-0005-0000-0000-0000238E0000}"/>
    <cellStyle name="Total 13 2 3 4" xfId="36388" xr:uid="{00000000-0005-0000-0000-0000248E0000}"/>
    <cellStyle name="Total 13 2 4" xfId="36389" xr:uid="{00000000-0005-0000-0000-0000258E0000}"/>
    <cellStyle name="Total 13 2 4 2" xfId="36390" xr:uid="{00000000-0005-0000-0000-0000268E0000}"/>
    <cellStyle name="Total 13 2 4 2 2" xfId="36391" xr:uid="{00000000-0005-0000-0000-0000278E0000}"/>
    <cellStyle name="Total 13 2 4 2 3" xfId="36392" xr:uid="{00000000-0005-0000-0000-0000288E0000}"/>
    <cellStyle name="Total 13 2 4 3" xfId="36393" xr:uid="{00000000-0005-0000-0000-0000298E0000}"/>
    <cellStyle name="Total 13 2 4 4" xfId="36394" xr:uid="{00000000-0005-0000-0000-00002A8E0000}"/>
    <cellStyle name="Total 13 2 5" xfId="36395" xr:uid="{00000000-0005-0000-0000-00002B8E0000}"/>
    <cellStyle name="Total 13 2 5 2" xfId="36396" xr:uid="{00000000-0005-0000-0000-00002C8E0000}"/>
    <cellStyle name="Total 13 2 5 2 2" xfId="36397" xr:uid="{00000000-0005-0000-0000-00002D8E0000}"/>
    <cellStyle name="Total 13 2 5 2 3" xfId="36398" xr:uid="{00000000-0005-0000-0000-00002E8E0000}"/>
    <cellStyle name="Total 13 2 5 3" xfId="36399" xr:uid="{00000000-0005-0000-0000-00002F8E0000}"/>
    <cellStyle name="Total 13 2 5 4" xfId="36400" xr:uid="{00000000-0005-0000-0000-0000308E0000}"/>
    <cellStyle name="Total 13 2 6" xfId="36401" xr:uid="{00000000-0005-0000-0000-0000318E0000}"/>
    <cellStyle name="Total 13 2 6 2" xfId="36402" xr:uid="{00000000-0005-0000-0000-0000328E0000}"/>
    <cellStyle name="Total 13 2 6 2 2" xfId="36403" xr:uid="{00000000-0005-0000-0000-0000338E0000}"/>
    <cellStyle name="Total 13 2 6 2 3" xfId="36404" xr:uid="{00000000-0005-0000-0000-0000348E0000}"/>
    <cellStyle name="Total 13 2 6 3" xfId="36405" xr:uid="{00000000-0005-0000-0000-0000358E0000}"/>
    <cellStyle name="Total 13 2 6 4" xfId="36406" xr:uid="{00000000-0005-0000-0000-0000368E0000}"/>
    <cellStyle name="Total 13 2 7" xfId="36407" xr:uid="{00000000-0005-0000-0000-0000378E0000}"/>
    <cellStyle name="Total 13 2 7 2" xfId="36408" xr:uid="{00000000-0005-0000-0000-0000388E0000}"/>
    <cellStyle name="Total 13 2 7 2 2" xfId="36409" xr:uid="{00000000-0005-0000-0000-0000398E0000}"/>
    <cellStyle name="Total 13 2 7 2 3" xfId="36410" xr:uid="{00000000-0005-0000-0000-00003A8E0000}"/>
    <cellStyle name="Total 13 2 7 3" xfId="36411" xr:uid="{00000000-0005-0000-0000-00003B8E0000}"/>
    <cellStyle name="Total 13 2 7 4" xfId="36412" xr:uid="{00000000-0005-0000-0000-00003C8E0000}"/>
    <cellStyle name="Total 13 2 8" xfId="36413" xr:uid="{00000000-0005-0000-0000-00003D8E0000}"/>
    <cellStyle name="Total 13 2 8 2" xfId="36414" xr:uid="{00000000-0005-0000-0000-00003E8E0000}"/>
    <cellStyle name="Total 13 2 8 2 2" xfId="36415" xr:uid="{00000000-0005-0000-0000-00003F8E0000}"/>
    <cellStyle name="Total 13 2 8 2 3" xfId="36416" xr:uid="{00000000-0005-0000-0000-0000408E0000}"/>
    <cellStyle name="Total 13 2 8 3" xfId="36417" xr:uid="{00000000-0005-0000-0000-0000418E0000}"/>
    <cellStyle name="Total 13 2 8 4" xfId="36418" xr:uid="{00000000-0005-0000-0000-0000428E0000}"/>
    <cellStyle name="Total 13 2 9" xfId="36419" xr:uid="{00000000-0005-0000-0000-0000438E0000}"/>
    <cellStyle name="Total 13 2 9 2" xfId="36420" xr:uid="{00000000-0005-0000-0000-0000448E0000}"/>
    <cellStyle name="Total 13 2 9 2 2" xfId="36421" xr:uid="{00000000-0005-0000-0000-0000458E0000}"/>
    <cellStyle name="Total 13 2 9 2 3" xfId="36422" xr:uid="{00000000-0005-0000-0000-0000468E0000}"/>
    <cellStyle name="Total 13 2 9 3" xfId="36423" xr:uid="{00000000-0005-0000-0000-0000478E0000}"/>
    <cellStyle name="Total 13 2 9 4" xfId="36424" xr:uid="{00000000-0005-0000-0000-0000488E0000}"/>
    <cellStyle name="Total 13 3" xfId="36425" xr:uid="{00000000-0005-0000-0000-0000498E0000}"/>
    <cellStyle name="Total 13 3 2" xfId="36426" xr:uid="{00000000-0005-0000-0000-00004A8E0000}"/>
    <cellStyle name="Total 13 3 2 2" xfId="36427" xr:uid="{00000000-0005-0000-0000-00004B8E0000}"/>
    <cellStyle name="Total 13 3 2 3" xfId="36428" xr:uid="{00000000-0005-0000-0000-00004C8E0000}"/>
    <cellStyle name="Total 13 3 3" xfId="36429" xr:uid="{00000000-0005-0000-0000-00004D8E0000}"/>
    <cellStyle name="Total 13 3 4" xfId="36430" xr:uid="{00000000-0005-0000-0000-00004E8E0000}"/>
    <cellStyle name="Total 13 4" xfId="36431" xr:uid="{00000000-0005-0000-0000-00004F8E0000}"/>
    <cellStyle name="Total 13 5" xfId="36432" xr:uid="{00000000-0005-0000-0000-0000508E0000}"/>
    <cellStyle name="Total 14" xfId="36433" xr:uid="{00000000-0005-0000-0000-0000518E0000}"/>
    <cellStyle name="Total 14 2" xfId="36434" xr:uid="{00000000-0005-0000-0000-0000528E0000}"/>
    <cellStyle name="Total 14 2 10" xfId="36435" xr:uid="{00000000-0005-0000-0000-0000538E0000}"/>
    <cellStyle name="Total 14 2 10 2" xfId="36436" xr:uid="{00000000-0005-0000-0000-0000548E0000}"/>
    <cellStyle name="Total 14 2 10 2 2" xfId="36437" xr:uid="{00000000-0005-0000-0000-0000558E0000}"/>
    <cellStyle name="Total 14 2 10 2 3" xfId="36438" xr:uid="{00000000-0005-0000-0000-0000568E0000}"/>
    <cellStyle name="Total 14 2 10 3" xfId="36439" xr:uid="{00000000-0005-0000-0000-0000578E0000}"/>
    <cellStyle name="Total 14 2 10 4" xfId="36440" xr:uid="{00000000-0005-0000-0000-0000588E0000}"/>
    <cellStyle name="Total 14 2 11" xfId="36441" xr:uid="{00000000-0005-0000-0000-0000598E0000}"/>
    <cellStyle name="Total 14 2 11 2" xfId="36442" xr:uid="{00000000-0005-0000-0000-00005A8E0000}"/>
    <cellStyle name="Total 14 2 11 2 2" xfId="36443" xr:uid="{00000000-0005-0000-0000-00005B8E0000}"/>
    <cellStyle name="Total 14 2 11 2 3" xfId="36444" xr:uid="{00000000-0005-0000-0000-00005C8E0000}"/>
    <cellStyle name="Total 14 2 11 3" xfId="36445" xr:uid="{00000000-0005-0000-0000-00005D8E0000}"/>
    <cellStyle name="Total 14 2 11 4" xfId="36446" xr:uid="{00000000-0005-0000-0000-00005E8E0000}"/>
    <cellStyle name="Total 14 2 12" xfId="36447" xr:uid="{00000000-0005-0000-0000-00005F8E0000}"/>
    <cellStyle name="Total 14 2 12 2" xfId="36448" xr:uid="{00000000-0005-0000-0000-0000608E0000}"/>
    <cellStyle name="Total 14 2 12 2 2" xfId="36449" xr:uid="{00000000-0005-0000-0000-0000618E0000}"/>
    <cellStyle name="Total 14 2 12 2 3" xfId="36450" xr:uid="{00000000-0005-0000-0000-0000628E0000}"/>
    <cellStyle name="Total 14 2 12 3" xfId="36451" xr:uid="{00000000-0005-0000-0000-0000638E0000}"/>
    <cellStyle name="Total 14 2 12 4" xfId="36452" xr:uid="{00000000-0005-0000-0000-0000648E0000}"/>
    <cellStyle name="Total 14 2 13" xfId="36453" xr:uid="{00000000-0005-0000-0000-0000658E0000}"/>
    <cellStyle name="Total 14 2 13 2" xfId="36454" xr:uid="{00000000-0005-0000-0000-0000668E0000}"/>
    <cellStyle name="Total 14 2 13 2 2" xfId="36455" xr:uid="{00000000-0005-0000-0000-0000678E0000}"/>
    <cellStyle name="Total 14 2 13 2 3" xfId="36456" xr:uid="{00000000-0005-0000-0000-0000688E0000}"/>
    <cellStyle name="Total 14 2 13 3" xfId="36457" xr:uid="{00000000-0005-0000-0000-0000698E0000}"/>
    <cellStyle name="Total 14 2 13 4" xfId="36458" xr:uid="{00000000-0005-0000-0000-00006A8E0000}"/>
    <cellStyle name="Total 14 2 14" xfId="36459" xr:uid="{00000000-0005-0000-0000-00006B8E0000}"/>
    <cellStyle name="Total 14 2 14 2" xfId="36460" xr:uid="{00000000-0005-0000-0000-00006C8E0000}"/>
    <cellStyle name="Total 14 2 14 2 2" xfId="36461" xr:uid="{00000000-0005-0000-0000-00006D8E0000}"/>
    <cellStyle name="Total 14 2 14 2 3" xfId="36462" xr:uid="{00000000-0005-0000-0000-00006E8E0000}"/>
    <cellStyle name="Total 14 2 14 3" xfId="36463" xr:uid="{00000000-0005-0000-0000-00006F8E0000}"/>
    <cellStyle name="Total 14 2 14 4" xfId="36464" xr:uid="{00000000-0005-0000-0000-0000708E0000}"/>
    <cellStyle name="Total 14 2 15" xfId="36465" xr:uid="{00000000-0005-0000-0000-0000718E0000}"/>
    <cellStyle name="Total 14 2 15 2" xfId="36466" xr:uid="{00000000-0005-0000-0000-0000728E0000}"/>
    <cellStyle name="Total 14 2 15 2 2" xfId="36467" xr:uid="{00000000-0005-0000-0000-0000738E0000}"/>
    <cellStyle name="Total 14 2 15 2 3" xfId="36468" xr:uid="{00000000-0005-0000-0000-0000748E0000}"/>
    <cellStyle name="Total 14 2 15 3" xfId="36469" xr:uid="{00000000-0005-0000-0000-0000758E0000}"/>
    <cellStyle name="Total 14 2 15 4" xfId="36470" xr:uid="{00000000-0005-0000-0000-0000768E0000}"/>
    <cellStyle name="Total 14 2 16" xfId="36471" xr:uid="{00000000-0005-0000-0000-0000778E0000}"/>
    <cellStyle name="Total 14 2 16 2" xfId="36472" xr:uid="{00000000-0005-0000-0000-0000788E0000}"/>
    <cellStyle name="Total 14 2 16 2 2" xfId="36473" xr:uid="{00000000-0005-0000-0000-0000798E0000}"/>
    <cellStyle name="Total 14 2 16 2 3" xfId="36474" xr:uid="{00000000-0005-0000-0000-00007A8E0000}"/>
    <cellStyle name="Total 14 2 16 3" xfId="36475" xr:uid="{00000000-0005-0000-0000-00007B8E0000}"/>
    <cellStyle name="Total 14 2 16 4" xfId="36476" xr:uid="{00000000-0005-0000-0000-00007C8E0000}"/>
    <cellStyle name="Total 14 2 17" xfId="36477" xr:uid="{00000000-0005-0000-0000-00007D8E0000}"/>
    <cellStyle name="Total 14 2 17 2" xfId="36478" xr:uid="{00000000-0005-0000-0000-00007E8E0000}"/>
    <cellStyle name="Total 14 2 17 2 2" xfId="36479" xr:uid="{00000000-0005-0000-0000-00007F8E0000}"/>
    <cellStyle name="Total 14 2 17 2 3" xfId="36480" xr:uid="{00000000-0005-0000-0000-0000808E0000}"/>
    <cellStyle name="Total 14 2 17 3" xfId="36481" xr:uid="{00000000-0005-0000-0000-0000818E0000}"/>
    <cellStyle name="Total 14 2 17 4" xfId="36482" xr:uid="{00000000-0005-0000-0000-0000828E0000}"/>
    <cellStyle name="Total 14 2 18" xfId="36483" xr:uid="{00000000-0005-0000-0000-0000838E0000}"/>
    <cellStyle name="Total 14 2 18 2" xfId="36484" xr:uid="{00000000-0005-0000-0000-0000848E0000}"/>
    <cellStyle name="Total 14 2 18 3" xfId="36485" xr:uid="{00000000-0005-0000-0000-0000858E0000}"/>
    <cellStyle name="Total 14 2 18 4" xfId="36486" xr:uid="{00000000-0005-0000-0000-0000868E0000}"/>
    <cellStyle name="Total 14 2 19" xfId="36487" xr:uid="{00000000-0005-0000-0000-0000878E0000}"/>
    <cellStyle name="Total 14 2 2" xfId="36488" xr:uid="{00000000-0005-0000-0000-0000888E0000}"/>
    <cellStyle name="Total 14 2 2 2" xfId="36489" xr:uid="{00000000-0005-0000-0000-0000898E0000}"/>
    <cellStyle name="Total 14 2 2 2 2" xfId="36490" xr:uid="{00000000-0005-0000-0000-00008A8E0000}"/>
    <cellStyle name="Total 14 2 2 2 3" xfId="36491" xr:uid="{00000000-0005-0000-0000-00008B8E0000}"/>
    <cellStyle name="Total 14 2 2 3" xfId="36492" xr:uid="{00000000-0005-0000-0000-00008C8E0000}"/>
    <cellStyle name="Total 14 2 2 4" xfId="36493" xr:uid="{00000000-0005-0000-0000-00008D8E0000}"/>
    <cellStyle name="Total 14 2 20" xfId="36494" xr:uid="{00000000-0005-0000-0000-00008E8E0000}"/>
    <cellStyle name="Total 14 2 21" xfId="36495" xr:uid="{00000000-0005-0000-0000-00008F8E0000}"/>
    <cellStyle name="Total 14 2 3" xfId="36496" xr:uid="{00000000-0005-0000-0000-0000908E0000}"/>
    <cellStyle name="Total 14 2 3 2" xfId="36497" xr:uid="{00000000-0005-0000-0000-0000918E0000}"/>
    <cellStyle name="Total 14 2 3 2 2" xfId="36498" xr:uid="{00000000-0005-0000-0000-0000928E0000}"/>
    <cellStyle name="Total 14 2 3 2 3" xfId="36499" xr:uid="{00000000-0005-0000-0000-0000938E0000}"/>
    <cellStyle name="Total 14 2 3 3" xfId="36500" xr:uid="{00000000-0005-0000-0000-0000948E0000}"/>
    <cellStyle name="Total 14 2 3 4" xfId="36501" xr:uid="{00000000-0005-0000-0000-0000958E0000}"/>
    <cellStyle name="Total 14 2 4" xfId="36502" xr:uid="{00000000-0005-0000-0000-0000968E0000}"/>
    <cellStyle name="Total 14 2 4 2" xfId="36503" xr:uid="{00000000-0005-0000-0000-0000978E0000}"/>
    <cellStyle name="Total 14 2 4 2 2" xfId="36504" xr:uid="{00000000-0005-0000-0000-0000988E0000}"/>
    <cellStyle name="Total 14 2 4 2 3" xfId="36505" xr:uid="{00000000-0005-0000-0000-0000998E0000}"/>
    <cellStyle name="Total 14 2 4 3" xfId="36506" xr:uid="{00000000-0005-0000-0000-00009A8E0000}"/>
    <cellStyle name="Total 14 2 4 4" xfId="36507" xr:uid="{00000000-0005-0000-0000-00009B8E0000}"/>
    <cellStyle name="Total 14 2 5" xfId="36508" xr:uid="{00000000-0005-0000-0000-00009C8E0000}"/>
    <cellStyle name="Total 14 2 5 2" xfId="36509" xr:uid="{00000000-0005-0000-0000-00009D8E0000}"/>
    <cellStyle name="Total 14 2 5 2 2" xfId="36510" xr:uid="{00000000-0005-0000-0000-00009E8E0000}"/>
    <cellStyle name="Total 14 2 5 2 3" xfId="36511" xr:uid="{00000000-0005-0000-0000-00009F8E0000}"/>
    <cellStyle name="Total 14 2 5 3" xfId="36512" xr:uid="{00000000-0005-0000-0000-0000A08E0000}"/>
    <cellStyle name="Total 14 2 5 4" xfId="36513" xr:uid="{00000000-0005-0000-0000-0000A18E0000}"/>
    <cellStyle name="Total 14 2 6" xfId="36514" xr:uid="{00000000-0005-0000-0000-0000A28E0000}"/>
    <cellStyle name="Total 14 2 6 2" xfId="36515" xr:uid="{00000000-0005-0000-0000-0000A38E0000}"/>
    <cellStyle name="Total 14 2 6 2 2" xfId="36516" xr:uid="{00000000-0005-0000-0000-0000A48E0000}"/>
    <cellStyle name="Total 14 2 6 2 3" xfId="36517" xr:uid="{00000000-0005-0000-0000-0000A58E0000}"/>
    <cellStyle name="Total 14 2 6 3" xfId="36518" xr:uid="{00000000-0005-0000-0000-0000A68E0000}"/>
    <cellStyle name="Total 14 2 6 4" xfId="36519" xr:uid="{00000000-0005-0000-0000-0000A78E0000}"/>
    <cellStyle name="Total 14 2 7" xfId="36520" xr:uid="{00000000-0005-0000-0000-0000A88E0000}"/>
    <cellStyle name="Total 14 2 7 2" xfId="36521" xr:uid="{00000000-0005-0000-0000-0000A98E0000}"/>
    <cellStyle name="Total 14 2 7 2 2" xfId="36522" xr:uid="{00000000-0005-0000-0000-0000AA8E0000}"/>
    <cellStyle name="Total 14 2 7 2 3" xfId="36523" xr:uid="{00000000-0005-0000-0000-0000AB8E0000}"/>
    <cellStyle name="Total 14 2 7 3" xfId="36524" xr:uid="{00000000-0005-0000-0000-0000AC8E0000}"/>
    <cellStyle name="Total 14 2 7 4" xfId="36525" xr:uid="{00000000-0005-0000-0000-0000AD8E0000}"/>
    <cellStyle name="Total 14 2 8" xfId="36526" xr:uid="{00000000-0005-0000-0000-0000AE8E0000}"/>
    <cellStyle name="Total 14 2 8 2" xfId="36527" xr:uid="{00000000-0005-0000-0000-0000AF8E0000}"/>
    <cellStyle name="Total 14 2 8 2 2" xfId="36528" xr:uid="{00000000-0005-0000-0000-0000B08E0000}"/>
    <cellStyle name="Total 14 2 8 2 3" xfId="36529" xr:uid="{00000000-0005-0000-0000-0000B18E0000}"/>
    <cellStyle name="Total 14 2 8 3" xfId="36530" xr:uid="{00000000-0005-0000-0000-0000B28E0000}"/>
    <cellStyle name="Total 14 2 8 4" xfId="36531" xr:uid="{00000000-0005-0000-0000-0000B38E0000}"/>
    <cellStyle name="Total 14 2 9" xfId="36532" xr:uid="{00000000-0005-0000-0000-0000B48E0000}"/>
    <cellStyle name="Total 14 2 9 2" xfId="36533" xr:uid="{00000000-0005-0000-0000-0000B58E0000}"/>
    <cellStyle name="Total 14 2 9 2 2" xfId="36534" xr:uid="{00000000-0005-0000-0000-0000B68E0000}"/>
    <cellStyle name="Total 14 2 9 2 3" xfId="36535" xr:uid="{00000000-0005-0000-0000-0000B78E0000}"/>
    <cellStyle name="Total 14 2 9 3" xfId="36536" xr:uid="{00000000-0005-0000-0000-0000B88E0000}"/>
    <cellStyle name="Total 14 2 9 4" xfId="36537" xr:uid="{00000000-0005-0000-0000-0000B98E0000}"/>
    <cellStyle name="Total 14 3" xfId="36538" xr:uid="{00000000-0005-0000-0000-0000BA8E0000}"/>
    <cellStyle name="Total 14 3 2" xfId="36539" xr:uid="{00000000-0005-0000-0000-0000BB8E0000}"/>
    <cellStyle name="Total 14 3 2 2" xfId="36540" xr:uid="{00000000-0005-0000-0000-0000BC8E0000}"/>
    <cellStyle name="Total 14 3 2 3" xfId="36541" xr:uid="{00000000-0005-0000-0000-0000BD8E0000}"/>
    <cellStyle name="Total 14 3 3" xfId="36542" xr:uid="{00000000-0005-0000-0000-0000BE8E0000}"/>
    <cellStyle name="Total 14 3 4" xfId="36543" xr:uid="{00000000-0005-0000-0000-0000BF8E0000}"/>
    <cellStyle name="Total 14 4" xfId="36544" xr:uid="{00000000-0005-0000-0000-0000C08E0000}"/>
    <cellStyle name="Total 14 5" xfId="36545" xr:uid="{00000000-0005-0000-0000-0000C18E0000}"/>
    <cellStyle name="Total 15" xfId="36546" xr:uid="{00000000-0005-0000-0000-0000C28E0000}"/>
    <cellStyle name="Total 15 2" xfId="36547" xr:uid="{00000000-0005-0000-0000-0000C38E0000}"/>
    <cellStyle name="Total 15 2 10" xfId="36548" xr:uid="{00000000-0005-0000-0000-0000C48E0000}"/>
    <cellStyle name="Total 15 2 10 2" xfId="36549" xr:uid="{00000000-0005-0000-0000-0000C58E0000}"/>
    <cellStyle name="Total 15 2 10 2 2" xfId="36550" xr:uid="{00000000-0005-0000-0000-0000C68E0000}"/>
    <cellStyle name="Total 15 2 10 2 3" xfId="36551" xr:uid="{00000000-0005-0000-0000-0000C78E0000}"/>
    <cellStyle name="Total 15 2 10 3" xfId="36552" xr:uid="{00000000-0005-0000-0000-0000C88E0000}"/>
    <cellStyle name="Total 15 2 10 4" xfId="36553" xr:uid="{00000000-0005-0000-0000-0000C98E0000}"/>
    <cellStyle name="Total 15 2 11" xfId="36554" xr:uid="{00000000-0005-0000-0000-0000CA8E0000}"/>
    <cellStyle name="Total 15 2 11 2" xfId="36555" xr:uid="{00000000-0005-0000-0000-0000CB8E0000}"/>
    <cellStyle name="Total 15 2 11 2 2" xfId="36556" xr:uid="{00000000-0005-0000-0000-0000CC8E0000}"/>
    <cellStyle name="Total 15 2 11 2 3" xfId="36557" xr:uid="{00000000-0005-0000-0000-0000CD8E0000}"/>
    <cellStyle name="Total 15 2 11 3" xfId="36558" xr:uid="{00000000-0005-0000-0000-0000CE8E0000}"/>
    <cellStyle name="Total 15 2 11 4" xfId="36559" xr:uid="{00000000-0005-0000-0000-0000CF8E0000}"/>
    <cellStyle name="Total 15 2 12" xfId="36560" xr:uid="{00000000-0005-0000-0000-0000D08E0000}"/>
    <cellStyle name="Total 15 2 12 2" xfId="36561" xr:uid="{00000000-0005-0000-0000-0000D18E0000}"/>
    <cellStyle name="Total 15 2 12 2 2" xfId="36562" xr:uid="{00000000-0005-0000-0000-0000D28E0000}"/>
    <cellStyle name="Total 15 2 12 2 3" xfId="36563" xr:uid="{00000000-0005-0000-0000-0000D38E0000}"/>
    <cellStyle name="Total 15 2 12 3" xfId="36564" xr:uid="{00000000-0005-0000-0000-0000D48E0000}"/>
    <cellStyle name="Total 15 2 12 4" xfId="36565" xr:uid="{00000000-0005-0000-0000-0000D58E0000}"/>
    <cellStyle name="Total 15 2 13" xfId="36566" xr:uid="{00000000-0005-0000-0000-0000D68E0000}"/>
    <cellStyle name="Total 15 2 13 2" xfId="36567" xr:uid="{00000000-0005-0000-0000-0000D78E0000}"/>
    <cellStyle name="Total 15 2 13 2 2" xfId="36568" xr:uid="{00000000-0005-0000-0000-0000D88E0000}"/>
    <cellStyle name="Total 15 2 13 2 3" xfId="36569" xr:uid="{00000000-0005-0000-0000-0000D98E0000}"/>
    <cellStyle name="Total 15 2 13 3" xfId="36570" xr:uid="{00000000-0005-0000-0000-0000DA8E0000}"/>
    <cellStyle name="Total 15 2 13 4" xfId="36571" xr:uid="{00000000-0005-0000-0000-0000DB8E0000}"/>
    <cellStyle name="Total 15 2 14" xfId="36572" xr:uid="{00000000-0005-0000-0000-0000DC8E0000}"/>
    <cellStyle name="Total 15 2 14 2" xfId="36573" xr:uid="{00000000-0005-0000-0000-0000DD8E0000}"/>
    <cellStyle name="Total 15 2 14 2 2" xfId="36574" xr:uid="{00000000-0005-0000-0000-0000DE8E0000}"/>
    <cellStyle name="Total 15 2 14 2 3" xfId="36575" xr:uid="{00000000-0005-0000-0000-0000DF8E0000}"/>
    <cellStyle name="Total 15 2 14 3" xfId="36576" xr:uid="{00000000-0005-0000-0000-0000E08E0000}"/>
    <cellStyle name="Total 15 2 14 4" xfId="36577" xr:uid="{00000000-0005-0000-0000-0000E18E0000}"/>
    <cellStyle name="Total 15 2 15" xfId="36578" xr:uid="{00000000-0005-0000-0000-0000E28E0000}"/>
    <cellStyle name="Total 15 2 15 2" xfId="36579" xr:uid="{00000000-0005-0000-0000-0000E38E0000}"/>
    <cellStyle name="Total 15 2 15 2 2" xfId="36580" xr:uid="{00000000-0005-0000-0000-0000E48E0000}"/>
    <cellStyle name="Total 15 2 15 2 3" xfId="36581" xr:uid="{00000000-0005-0000-0000-0000E58E0000}"/>
    <cellStyle name="Total 15 2 15 3" xfId="36582" xr:uid="{00000000-0005-0000-0000-0000E68E0000}"/>
    <cellStyle name="Total 15 2 15 4" xfId="36583" xr:uid="{00000000-0005-0000-0000-0000E78E0000}"/>
    <cellStyle name="Total 15 2 16" xfId="36584" xr:uid="{00000000-0005-0000-0000-0000E88E0000}"/>
    <cellStyle name="Total 15 2 16 2" xfId="36585" xr:uid="{00000000-0005-0000-0000-0000E98E0000}"/>
    <cellStyle name="Total 15 2 16 2 2" xfId="36586" xr:uid="{00000000-0005-0000-0000-0000EA8E0000}"/>
    <cellStyle name="Total 15 2 16 2 3" xfId="36587" xr:uid="{00000000-0005-0000-0000-0000EB8E0000}"/>
    <cellStyle name="Total 15 2 16 3" xfId="36588" xr:uid="{00000000-0005-0000-0000-0000EC8E0000}"/>
    <cellStyle name="Total 15 2 16 4" xfId="36589" xr:uid="{00000000-0005-0000-0000-0000ED8E0000}"/>
    <cellStyle name="Total 15 2 17" xfId="36590" xr:uid="{00000000-0005-0000-0000-0000EE8E0000}"/>
    <cellStyle name="Total 15 2 17 2" xfId="36591" xr:uid="{00000000-0005-0000-0000-0000EF8E0000}"/>
    <cellStyle name="Total 15 2 17 2 2" xfId="36592" xr:uid="{00000000-0005-0000-0000-0000F08E0000}"/>
    <cellStyle name="Total 15 2 17 2 3" xfId="36593" xr:uid="{00000000-0005-0000-0000-0000F18E0000}"/>
    <cellStyle name="Total 15 2 17 3" xfId="36594" xr:uid="{00000000-0005-0000-0000-0000F28E0000}"/>
    <cellStyle name="Total 15 2 17 4" xfId="36595" xr:uid="{00000000-0005-0000-0000-0000F38E0000}"/>
    <cellStyle name="Total 15 2 18" xfId="36596" xr:uid="{00000000-0005-0000-0000-0000F48E0000}"/>
    <cellStyle name="Total 15 2 18 2" xfId="36597" xr:uid="{00000000-0005-0000-0000-0000F58E0000}"/>
    <cellStyle name="Total 15 2 18 3" xfId="36598" xr:uid="{00000000-0005-0000-0000-0000F68E0000}"/>
    <cellStyle name="Total 15 2 18 4" xfId="36599" xr:uid="{00000000-0005-0000-0000-0000F78E0000}"/>
    <cellStyle name="Total 15 2 19" xfId="36600" xr:uid="{00000000-0005-0000-0000-0000F88E0000}"/>
    <cellStyle name="Total 15 2 2" xfId="36601" xr:uid="{00000000-0005-0000-0000-0000F98E0000}"/>
    <cellStyle name="Total 15 2 2 2" xfId="36602" xr:uid="{00000000-0005-0000-0000-0000FA8E0000}"/>
    <cellStyle name="Total 15 2 2 2 2" xfId="36603" xr:uid="{00000000-0005-0000-0000-0000FB8E0000}"/>
    <cellStyle name="Total 15 2 2 2 3" xfId="36604" xr:uid="{00000000-0005-0000-0000-0000FC8E0000}"/>
    <cellStyle name="Total 15 2 2 3" xfId="36605" xr:uid="{00000000-0005-0000-0000-0000FD8E0000}"/>
    <cellStyle name="Total 15 2 2 4" xfId="36606" xr:uid="{00000000-0005-0000-0000-0000FE8E0000}"/>
    <cellStyle name="Total 15 2 20" xfId="36607" xr:uid="{00000000-0005-0000-0000-0000FF8E0000}"/>
    <cellStyle name="Total 15 2 21" xfId="36608" xr:uid="{00000000-0005-0000-0000-0000008F0000}"/>
    <cellStyle name="Total 15 2 3" xfId="36609" xr:uid="{00000000-0005-0000-0000-0000018F0000}"/>
    <cellStyle name="Total 15 2 3 2" xfId="36610" xr:uid="{00000000-0005-0000-0000-0000028F0000}"/>
    <cellStyle name="Total 15 2 3 2 2" xfId="36611" xr:uid="{00000000-0005-0000-0000-0000038F0000}"/>
    <cellStyle name="Total 15 2 3 2 3" xfId="36612" xr:uid="{00000000-0005-0000-0000-0000048F0000}"/>
    <cellStyle name="Total 15 2 3 3" xfId="36613" xr:uid="{00000000-0005-0000-0000-0000058F0000}"/>
    <cellStyle name="Total 15 2 3 4" xfId="36614" xr:uid="{00000000-0005-0000-0000-0000068F0000}"/>
    <cellStyle name="Total 15 2 4" xfId="36615" xr:uid="{00000000-0005-0000-0000-0000078F0000}"/>
    <cellStyle name="Total 15 2 4 2" xfId="36616" xr:uid="{00000000-0005-0000-0000-0000088F0000}"/>
    <cellStyle name="Total 15 2 4 2 2" xfId="36617" xr:uid="{00000000-0005-0000-0000-0000098F0000}"/>
    <cellStyle name="Total 15 2 4 2 3" xfId="36618" xr:uid="{00000000-0005-0000-0000-00000A8F0000}"/>
    <cellStyle name="Total 15 2 4 3" xfId="36619" xr:uid="{00000000-0005-0000-0000-00000B8F0000}"/>
    <cellStyle name="Total 15 2 4 4" xfId="36620" xr:uid="{00000000-0005-0000-0000-00000C8F0000}"/>
    <cellStyle name="Total 15 2 5" xfId="36621" xr:uid="{00000000-0005-0000-0000-00000D8F0000}"/>
    <cellStyle name="Total 15 2 5 2" xfId="36622" xr:uid="{00000000-0005-0000-0000-00000E8F0000}"/>
    <cellStyle name="Total 15 2 5 2 2" xfId="36623" xr:uid="{00000000-0005-0000-0000-00000F8F0000}"/>
    <cellStyle name="Total 15 2 5 2 3" xfId="36624" xr:uid="{00000000-0005-0000-0000-0000108F0000}"/>
    <cellStyle name="Total 15 2 5 3" xfId="36625" xr:uid="{00000000-0005-0000-0000-0000118F0000}"/>
    <cellStyle name="Total 15 2 5 4" xfId="36626" xr:uid="{00000000-0005-0000-0000-0000128F0000}"/>
    <cellStyle name="Total 15 2 6" xfId="36627" xr:uid="{00000000-0005-0000-0000-0000138F0000}"/>
    <cellStyle name="Total 15 2 6 2" xfId="36628" xr:uid="{00000000-0005-0000-0000-0000148F0000}"/>
    <cellStyle name="Total 15 2 6 2 2" xfId="36629" xr:uid="{00000000-0005-0000-0000-0000158F0000}"/>
    <cellStyle name="Total 15 2 6 2 3" xfId="36630" xr:uid="{00000000-0005-0000-0000-0000168F0000}"/>
    <cellStyle name="Total 15 2 6 3" xfId="36631" xr:uid="{00000000-0005-0000-0000-0000178F0000}"/>
    <cellStyle name="Total 15 2 6 4" xfId="36632" xr:uid="{00000000-0005-0000-0000-0000188F0000}"/>
    <cellStyle name="Total 15 2 7" xfId="36633" xr:uid="{00000000-0005-0000-0000-0000198F0000}"/>
    <cellStyle name="Total 15 2 7 2" xfId="36634" xr:uid="{00000000-0005-0000-0000-00001A8F0000}"/>
    <cellStyle name="Total 15 2 7 2 2" xfId="36635" xr:uid="{00000000-0005-0000-0000-00001B8F0000}"/>
    <cellStyle name="Total 15 2 7 2 3" xfId="36636" xr:uid="{00000000-0005-0000-0000-00001C8F0000}"/>
    <cellStyle name="Total 15 2 7 3" xfId="36637" xr:uid="{00000000-0005-0000-0000-00001D8F0000}"/>
    <cellStyle name="Total 15 2 7 4" xfId="36638" xr:uid="{00000000-0005-0000-0000-00001E8F0000}"/>
    <cellStyle name="Total 15 2 8" xfId="36639" xr:uid="{00000000-0005-0000-0000-00001F8F0000}"/>
    <cellStyle name="Total 15 2 8 2" xfId="36640" xr:uid="{00000000-0005-0000-0000-0000208F0000}"/>
    <cellStyle name="Total 15 2 8 2 2" xfId="36641" xr:uid="{00000000-0005-0000-0000-0000218F0000}"/>
    <cellStyle name="Total 15 2 8 2 3" xfId="36642" xr:uid="{00000000-0005-0000-0000-0000228F0000}"/>
    <cellStyle name="Total 15 2 8 3" xfId="36643" xr:uid="{00000000-0005-0000-0000-0000238F0000}"/>
    <cellStyle name="Total 15 2 8 4" xfId="36644" xr:uid="{00000000-0005-0000-0000-0000248F0000}"/>
    <cellStyle name="Total 15 2 9" xfId="36645" xr:uid="{00000000-0005-0000-0000-0000258F0000}"/>
    <cellStyle name="Total 15 2 9 2" xfId="36646" xr:uid="{00000000-0005-0000-0000-0000268F0000}"/>
    <cellStyle name="Total 15 2 9 2 2" xfId="36647" xr:uid="{00000000-0005-0000-0000-0000278F0000}"/>
    <cellStyle name="Total 15 2 9 2 3" xfId="36648" xr:uid="{00000000-0005-0000-0000-0000288F0000}"/>
    <cellStyle name="Total 15 2 9 3" xfId="36649" xr:uid="{00000000-0005-0000-0000-0000298F0000}"/>
    <cellStyle name="Total 15 2 9 4" xfId="36650" xr:uid="{00000000-0005-0000-0000-00002A8F0000}"/>
    <cellStyle name="Total 15 3" xfId="36651" xr:uid="{00000000-0005-0000-0000-00002B8F0000}"/>
    <cellStyle name="Total 15 3 2" xfId="36652" xr:uid="{00000000-0005-0000-0000-00002C8F0000}"/>
    <cellStyle name="Total 15 3 2 2" xfId="36653" xr:uid="{00000000-0005-0000-0000-00002D8F0000}"/>
    <cellStyle name="Total 15 3 2 3" xfId="36654" xr:uid="{00000000-0005-0000-0000-00002E8F0000}"/>
    <cellStyle name="Total 15 3 3" xfId="36655" xr:uid="{00000000-0005-0000-0000-00002F8F0000}"/>
    <cellStyle name="Total 15 3 4" xfId="36656" xr:uid="{00000000-0005-0000-0000-0000308F0000}"/>
    <cellStyle name="Total 15 4" xfId="36657" xr:uid="{00000000-0005-0000-0000-0000318F0000}"/>
    <cellStyle name="Total 15 5" xfId="36658" xr:uid="{00000000-0005-0000-0000-0000328F0000}"/>
    <cellStyle name="Total 16" xfId="36659" xr:uid="{00000000-0005-0000-0000-0000338F0000}"/>
    <cellStyle name="Total 16 2" xfId="36660" xr:uid="{00000000-0005-0000-0000-0000348F0000}"/>
    <cellStyle name="Total 16 2 10" xfId="36661" xr:uid="{00000000-0005-0000-0000-0000358F0000}"/>
    <cellStyle name="Total 16 2 10 2" xfId="36662" xr:uid="{00000000-0005-0000-0000-0000368F0000}"/>
    <cellStyle name="Total 16 2 10 2 2" xfId="36663" xr:uid="{00000000-0005-0000-0000-0000378F0000}"/>
    <cellStyle name="Total 16 2 10 2 3" xfId="36664" xr:uid="{00000000-0005-0000-0000-0000388F0000}"/>
    <cellStyle name="Total 16 2 10 3" xfId="36665" xr:uid="{00000000-0005-0000-0000-0000398F0000}"/>
    <cellStyle name="Total 16 2 10 4" xfId="36666" xr:uid="{00000000-0005-0000-0000-00003A8F0000}"/>
    <cellStyle name="Total 16 2 11" xfId="36667" xr:uid="{00000000-0005-0000-0000-00003B8F0000}"/>
    <cellStyle name="Total 16 2 11 2" xfId="36668" xr:uid="{00000000-0005-0000-0000-00003C8F0000}"/>
    <cellStyle name="Total 16 2 11 2 2" xfId="36669" xr:uid="{00000000-0005-0000-0000-00003D8F0000}"/>
    <cellStyle name="Total 16 2 11 2 3" xfId="36670" xr:uid="{00000000-0005-0000-0000-00003E8F0000}"/>
    <cellStyle name="Total 16 2 11 3" xfId="36671" xr:uid="{00000000-0005-0000-0000-00003F8F0000}"/>
    <cellStyle name="Total 16 2 11 4" xfId="36672" xr:uid="{00000000-0005-0000-0000-0000408F0000}"/>
    <cellStyle name="Total 16 2 12" xfId="36673" xr:uid="{00000000-0005-0000-0000-0000418F0000}"/>
    <cellStyle name="Total 16 2 12 2" xfId="36674" xr:uid="{00000000-0005-0000-0000-0000428F0000}"/>
    <cellStyle name="Total 16 2 12 2 2" xfId="36675" xr:uid="{00000000-0005-0000-0000-0000438F0000}"/>
    <cellStyle name="Total 16 2 12 2 3" xfId="36676" xr:uid="{00000000-0005-0000-0000-0000448F0000}"/>
    <cellStyle name="Total 16 2 12 3" xfId="36677" xr:uid="{00000000-0005-0000-0000-0000458F0000}"/>
    <cellStyle name="Total 16 2 12 4" xfId="36678" xr:uid="{00000000-0005-0000-0000-0000468F0000}"/>
    <cellStyle name="Total 16 2 13" xfId="36679" xr:uid="{00000000-0005-0000-0000-0000478F0000}"/>
    <cellStyle name="Total 16 2 13 2" xfId="36680" xr:uid="{00000000-0005-0000-0000-0000488F0000}"/>
    <cellStyle name="Total 16 2 13 2 2" xfId="36681" xr:uid="{00000000-0005-0000-0000-0000498F0000}"/>
    <cellStyle name="Total 16 2 13 2 3" xfId="36682" xr:uid="{00000000-0005-0000-0000-00004A8F0000}"/>
    <cellStyle name="Total 16 2 13 3" xfId="36683" xr:uid="{00000000-0005-0000-0000-00004B8F0000}"/>
    <cellStyle name="Total 16 2 13 4" xfId="36684" xr:uid="{00000000-0005-0000-0000-00004C8F0000}"/>
    <cellStyle name="Total 16 2 14" xfId="36685" xr:uid="{00000000-0005-0000-0000-00004D8F0000}"/>
    <cellStyle name="Total 16 2 14 2" xfId="36686" xr:uid="{00000000-0005-0000-0000-00004E8F0000}"/>
    <cellStyle name="Total 16 2 14 2 2" xfId="36687" xr:uid="{00000000-0005-0000-0000-00004F8F0000}"/>
    <cellStyle name="Total 16 2 14 2 3" xfId="36688" xr:uid="{00000000-0005-0000-0000-0000508F0000}"/>
    <cellStyle name="Total 16 2 14 3" xfId="36689" xr:uid="{00000000-0005-0000-0000-0000518F0000}"/>
    <cellStyle name="Total 16 2 14 4" xfId="36690" xr:uid="{00000000-0005-0000-0000-0000528F0000}"/>
    <cellStyle name="Total 16 2 15" xfId="36691" xr:uid="{00000000-0005-0000-0000-0000538F0000}"/>
    <cellStyle name="Total 16 2 15 2" xfId="36692" xr:uid="{00000000-0005-0000-0000-0000548F0000}"/>
    <cellStyle name="Total 16 2 15 2 2" xfId="36693" xr:uid="{00000000-0005-0000-0000-0000558F0000}"/>
    <cellStyle name="Total 16 2 15 2 3" xfId="36694" xr:uid="{00000000-0005-0000-0000-0000568F0000}"/>
    <cellStyle name="Total 16 2 15 3" xfId="36695" xr:uid="{00000000-0005-0000-0000-0000578F0000}"/>
    <cellStyle name="Total 16 2 15 4" xfId="36696" xr:uid="{00000000-0005-0000-0000-0000588F0000}"/>
    <cellStyle name="Total 16 2 16" xfId="36697" xr:uid="{00000000-0005-0000-0000-0000598F0000}"/>
    <cellStyle name="Total 16 2 16 2" xfId="36698" xr:uid="{00000000-0005-0000-0000-00005A8F0000}"/>
    <cellStyle name="Total 16 2 16 2 2" xfId="36699" xr:uid="{00000000-0005-0000-0000-00005B8F0000}"/>
    <cellStyle name="Total 16 2 16 2 3" xfId="36700" xr:uid="{00000000-0005-0000-0000-00005C8F0000}"/>
    <cellStyle name="Total 16 2 16 3" xfId="36701" xr:uid="{00000000-0005-0000-0000-00005D8F0000}"/>
    <cellStyle name="Total 16 2 16 4" xfId="36702" xr:uid="{00000000-0005-0000-0000-00005E8F0000}"/>
    <cellStyle name="Total 16 2 17" xfId="36703" xr:uid="{00000000-0005-0000-0000-00005F8F0000}"/>
    <cellStyle name="Total 16 2 17 2" xfId="36704" xr:uid="{00000000-0005-0000-0000-0000608F0000}"/>
    <cellStyle name="Total 16 2 17 2 2" xfId="36705" xr:uid="{00000000-0005-0000-0000-0000618F0000}"/>
    <cellStyle name="Total 16 2 17 2 3" xfId="36706" xr:uid="{00000000-0005-0000-0000-0000628F0000}"/>
    <cellStyle name="Total 16 2 17 3" xfId="36707" xr:uid="{00000000-0005-0000-0000-0000638F0000}"/>
    <cellStyle name="Total 16 2 17 4" xfId="36708" xr:uid="{00000000-0005-0000-0000-0000648F0000}"/>
    <cellStyle name="Total 16 2 18" xfId="36709" xr:uid="{00000000-0005-0000-0000-0000658F0000}"/>
    <cellStyle name="Total 16 2 18 2" xfId="36710" xr:uid="{00000000-0005-0000-0000-0000668F0000}"/>
    <cellStyle name="Total 16 2 18 3" xfId="36711" xr:uid="{00000000-0005-0000-0000-0000678F0000}"/>
    <cellStyle name="Total 16 2 18 4" xfId="36712" xr:uid="{00000000-0005-0000-0000-0000688F0000}"/>
    <cellStyle name="Total 16 2 19" xfId="36713" xr:uid="{00000000-0005-0000-0000-0000698F0000}"/>
    <cellStyle name="Total 16 2 2" xfId="36714" xr:uid="{00000000-0005-0000-0000-00006A8F0000}"/>
    <cellStyle name="Total 16 2 2 2" xfId="36715" xr:uid="{00000000-0005-0000-0000-00006B8F0000}"/>
    <cellStyle name="Total 16 2 2 2 2" xfId="36716" xr:uid="{00000000-0005-0000-0000-00006C8F0000}"/>
    <cellStyle name="Total 16 2 2 2 3" xfId="36717" xr:uid="{00000000-0005-0000-0000-00006D8F0000}"/>
    <cellStyle name="Total 16 2 2 3" xfId="36718" xr:uid="{00000000-0005-0000-0000-00006E8F0000}"/>
    <cellStyle name="Total 16 2 2 4" xfId="36719" xr:uid="{00000000-0005-0000-0000-00006F8F0000}"/>
    <cellStyle name="Total 16 2 20" xfId="36720" xr:uid="{00000000-0005-0000-0000-0000708F0000}"/>
    <cellStyle name="Total 16 2 21" xfId="36721" xr:uid="{00000000-0005-0000-0000-0000718F0000}"/>
    <cellStyle name="Total 16 2 3" xfId="36722" xr:uid="{00000000-0005-0000-0000-0000728F0000}"/>
    <cellStyle name="Total 16 2 3 2" xfId="36723" xr:uid="{00000000-0005-0000-0000-0000738F0000}"/>
    <cellStyle name="Total 16 2 3 2 2" xfId="36724" xr:uid="{00000000-0005-0000-0000-0000748F0000}"/>
    <cellStyle name="Total 16 2 3 2 3" xfId="36725" xr:uid="{00000000-0005-0000-0000-0000758F0000}"/>
    <cellStyle name="Total 16 2 3 3" xfId="36726" xr:uid="{00000000-0005-0000-0000-0000768F0000}"/>
    <cellStyle name="Total 16 2 3 4" xfId="36727" xr:uid="{00000000-0005-0000-0000-0000778F0000}"/>
    <cellStyle name="Total 16 2 4" xfId="36728" xr:uid="{00000000-0005-0000-0000-0000788F0000}"/>
    <cellStyle name="Total 16 2 4 2" xfId="36729" xr:uid="{00000000-0005-0000-0000-0000798F0000}"/>
    <cellStyle name="Total 16 2 4 2 2" xfId="36730" xr:uid="{00000000-0005-0000-0000-00007A8F0000}"/>
    <cellStyle name="Total 16 2 4 2 3" xfId="36731" xr:uid="{00000000-0005-0000-0000-00007B8F0000}"/>
    <cellStyle name="Total 16 2 4 3" xfId="36732" xr:uid="{00000000-0005-0000-0000-00007C8F0000}"/>
    <cellStyle name="Total 16 2 4 4" xfId="36733" xr:uid="{00000000-0005-0000-0000-00007D8F0000}"/>
    <cellStyle name="Total 16 2 5" xfId="36734" xr:uid="{00000000-0005-0000-0000-00007E8F0000}"/>
    <cellStyle name="Total 16 2 5 2" xfId="36735" xr:uid="{00000000-0005-0000-0000-00007F8F0000}"/>
    <cellStyle name="Total 16 2 5 2 2" xfId="36736" xr:uid="{00000000-0005-0000-0000-0000808F0000}"/>
    <cellStyle name="Total 16 2 5 2 3" xfId="36737" xr:uid="{00000000-0005-0000-0000-0000818F0000}"/>
    <cellStyle name="Total 16 2 5 3" xfId="36738" xr:uid="{00000000-0005-0000-0000-0000828F0000}"/>
    <cellStyle name="Total 16 2 5 4" xfId="36739" xr:uid="{00000000-0005-0000-0000-0000838F0000}"/>
    <cellStyle name="Total 16 2 6" xfId="36740" xr:uid="{00000000-0005-0000-0000-0000848F0000}"/>
    <cellStyle name="Total 16 2 6 2" xfId="36741" xr:uid="{00000000-0005-0000-0000-0000858F0000}"/>
    <cellStyle name="Total 16 2 6 2 2" xfId="36742" xr:uid="{00000000-0005-0000-0000-0000868F0000}"/>
    <cellStyle name="Total 16 2 6 2 3" xfId="36743" xr:uid="{00000000-0005-0000-0000-0000878F0000}"/>
    <cellStyle name="Total 16 2 6 3" xfId="36744" xr:uid="{00000000-0005-0000-0000-0000888F0000}"/>
    <cellStyle name="Total 16 2 6 4" xfId="36745" xr:uid="{00000000-0005-0000-0000-0000898F0000}"/>
    <cellStyle name="Total 16 2 7" xfId="36746" xr:uid="{00000000-0005-0000-0000-00008A8F0000}"/>
    <cellStyle name="Total 16 2 7 2" xfId="36747" xr:uid="{00000000-0005-0000-0000-00008B8F0000}"/>
    <cellStyle name="Total 16 2 7 2 2" xfId="36748" xr:uid="{00000000-0005-0000-0000-00008C8F0000}"/>
    <cellStyle name="Total 16 2 7 2 3" xfId="36749" xr:uid="{00000000-0005-0000-0000-00008D8F0000}"/>
    <cellStyle name="Total 16 2 7 3" xfId="36750" xr:uid="{00000000-0005-0000-0000-00008E8F0000}"/>
    <cellStyle name="Total 16 2 7 4" xfId="36751" xr:uid="{00000000-0005-0000-0000-00008F8F0000}"/>
    <cellStyle name="Total 16 2 8" xfId="36752" xr:uid="{00000000-0005-0000-0000-0000908F0000}"/>
    <cellStyle name="Total 16 2 8 2" xfId="36753" xr:uid="{00000000-0005-0000-0000-0000918F0000}"/>
    <cellStyle name="Total 16 2 8 2 2" xfId="36754" xr:uid="{00000000-0005-0000-0000-0000928F0000}"/>
    <cellStyle name="Total 16 2 8 2 3" xfId="36755" xr:uid="{00000000-0005-0000-0000-0000938F0000}"/>
    <cellStyle name="Total 16 2 8 3" xfId="36756" xr:uid="{00000000-0005-0000-0000-0000948F0000}"/>
    <cellStyle name="Total 16 2 8 4" xfId="36757" xr:uid="{00000000-0005-0000-0000-0000958F0000}"/>
    <cellStyle name="Total 16 2 9" xfId="36758" xr:uid="{00000000-0005-0000-0000-0000968F0000}"/>
    <cellStyle name="Total 16 2 9 2" xfId="36759" xr:uid="{00000000-0005-0000-0000-0000978F0000}"/>
    <cellStyle name="Total 16 2 9 2 2" xfId="36760" xr:uid="{00000000-0005-0000-0000-0000988F0000}"/>
    <cellStyle name="Total 16 2 9 2 3" xfId="36761" xr:uid="{00000000-0005-0000-0000-0000998F0000}"/>
    <cellStyle name="Total 16 2 9 3" xfId="36762" xr:uid="{00000000-0005-0000-0000-00009A8F0000}"/>
    <cellStyle name="Total 16 2 9 4" xfId="36763" xr:uid="{00000000-0005-0000-0000-00009B8F0000}"/>
    <cellStyle name="Total 16 3" xfId="36764" xr:uid="{00000000-0005-0000-0000-00009C8F0000}"/>
    <cellStyle name="Total 16 3 2" xfId="36765" xr:uid="{00000000-0005-0000-0000-00009D8F0000}"/>
    <cellStyle name="Total 16 3 2 2" xfId="36766" xr:uid="{00000000-0005-0000-0000-00009E8F0000}"/>
    <cellStyle name="Total 16 3 2 3" xfId="36767" xr:uid="{00000000-0005-0000-0000-00009F8F0000}"/>
    <cellStyle name="Total 16 3 3" xfId="36768" xr:uid="{00000000-0005-0000-0000-0000A08F0000}"/>
    <cellStyle name="Total 16 3 4" xfId="36769" xr:uid="{00000000-0005-0000-0000-0000A18F0000}"/>
    <cellStyle name="Total 16 4" xfId="36770" xr:uid="{00000000-0005-0000-0000-0000A28F0000}"/>
    <cellStyle name="Total 16 5" xfId="36771" xr:uid="{00000000-0005-0000-0000-0000A38F0000}"/>
    <cellStyle name="Total 17" xfId="36772" xr:uid="{00000000-0005-0000-0000-0000A48F0000}"/>
    <cellStyle name="Total 17 2" xfId="36773" xr:uid="{00000000-0005-0000-0000-0000A58F0000}"/>
    <cellStyle name="Total 17 2 10" xfId="36774" xr:uid="{00000000-0005-0000-0000-0000A68F0000}"/>
    <cellStyle name="Total 17 2 10 2" xfId="36775" xr:uid="{00000000-0005-0000-0000-0000A78F0000}"/>
    <cellStyle name="Total 17 2 10 2 2" xfId="36776" xr:uid="{00000000-0005-0000-0000-0000A88F0000}"/>
    <cellStyle name="Total 17 2 10 2 3" xfId="36777" xr:uid="{00000000-0005-0000-0000-0000A98F0000}"/>
    <cellStyle name="Total 17 2 10 3" xfId="36778" xr:uid="{00000000-0005-0000-0000-0000AA8F0000}"/>
    <cellStyle name="Total 17 2 10 4" xfId="36779" xr:uid="{00000000-0005-0000-0000-0000AB8F0000}"/>
    <cellStyle name="Total 17 2 11" xfId="36780" xr:uid="{00000000-0005-0000-0000-0000AC8F0000}"/>
    <cellStyle name="Total 17 2 11 2" xfId="36781" xr:uid="{00000000-0005-0000-0000-0000AD8F0000}"/>
    <cellStyle name="Total 17 2 11 2 2" xfId="36782" xr:uid="{00000000-0005-0000-0000-0000AE8F0000}"/>
    <cellStyle name="Total 17 2 11 2 3" xfId="36783" xr:uid="{00000000-0005-0000-0000-0000AF8F0000}"/>
    <cellStyle name="Total 17 2 11 3" xfId="36784" xr:uid="{00000000-0005-0000-0000-0000B08F0000}"/>
    <cellStyle name="Total 17 2 11 4" xfId="36785" xr:uid="{00000000-0005-0000-0000-0000B18F0000}"/>
    <cellStyle name="Total 17 2 12" xfId="36786" xr:uid="{00000000-0005-0000-0000-0000B28F0000}"/>
    <cellStyle name="Total 17 2 12 2" xfId="36787" xr:uid="{00000000-0005-0000-0000-0000B38F0000}"/>
    <cellStyle name="Total 17 2 12 2 2" xfId="36788" xr:uid="{00000000-0005-0000-0000-0000B48F0000}"/>
    <cellStyle name="Total 17 2 12 2 3" xfId="36789" xr:uid="{00000000-0005-0000-0000-0000B58F0000}"/>
    <cellStyle name="Total 17 2 12 3" xfId="36790" xr:uid="{00000000-0005-0000-0000-0000B68F0000}"/>
    <cellStyle name="Total 17 2 12 4" xfId="36791" xr:uid="{00000000-0005-0000-0000-0000B78F0000}"/>
    <cellStyle name="Total 17 2 13" xfId="36792" xr:uid="{00000000-0005-0000-0000-0000B88F0000}"/>
    <cellStyle name="Total 17 2 13 2" xfId="36793" xr:uid="{00000000-0005-0000-0000-0000B98F0000}"/>
    <cellStyle name="Total 17 2 13 2 2" xfId="36794" xr:uid="{00000000-0005-0000-0000-0000BA8F0000}"/>
    <cellStyle name="Total 17 2 13 2 3" xfId="36795" xr:uid="{00000000-0005-0000-0000-0000BB8F0000}"/>
    <cellStyle name="Total 17 2 13 3" xfId="36796" xr:uid="{00000000-0005-0000-0000-0000BC8F0000}"/>
    <cellStyle name="Total 17 2 13 4" xfId="36797" xr:uid="{00000000-0005-0000-0000-0000BD8F0000}"/>
    <cellStyle name="Total 17 2 14" xfId="36798" xr:uid="{00000000-0005-0000-0000-0000BE8F0000}"/>
    <cellStyle name="Total 17 2 14 2" xfId="36799" xr:uid="{00000000-0005-0000-0000-0000BF8F0000}"/>
    <cellStyle name="Total 17 2 14 2 2" xfId="36800" xr:uid="{00000000-0005-0000-0000-0000C08F0000}"/>
    <cellStyle name="Total 17 2 14 2 3" xfId="36801" xr:uid="{00000000-0005-0000-0000-0000C18F0000}"/>
    <cellStyle name="Total 17 2 14 3" xfId="36802" xr:uid="{00000000-0005-0000-0000-0000C28F0000}"/>
    <cellStyle name="Total 17 2 14 4" xfId="36803" xr:uid="{00000000-0005-0000-0000-0000C38F0000}"/>
    <cellStyle name="Total 17 2 15" xfId="36804" xr:uid="{00000000-0005-0000-0000-0000C48F0000}"/>
    <cellStyle name="Total 17 2 15 2" xfId="36805" xr:uid="{00000000-0005-0000-0000-0000C58F0000}"/>
    <cellStyle name="Total 17 2 15 2 2" xfId="36806" xr:uid="{00000000-0005-0000-0000-0000C68F0000}"/>
    <cellStyle name="Total 17 2 15 2 3" xfId="36807" xr:uid="{00000000-0005-0000-0000-0000C78F0000}"/>
    <cellStyle name="Total 17 2 15 3" xfId="36808" xr:uid="{00000000-0005-0000-0000-0000C88F0000}"/>
    <cellStyle name="Total 17 2 15 4" xfId="36809" xr:uid="{00000000-0005-0000-0000-0000C98F0000}"/>
    <cellStyle name="Total 17 2 16" xfId="36810" xr:uid="{00000000-0005-0000-0000-0000CA8F0000}"/>
    <cellStyle name="Total 17 2 16 2" xfId="36811" xr:uid="{00000000-0005-0000-0000-0000CB8F0000}"/>
    <cellStyle name="Total 17 2 16 2 2" xfId="36812" xr:uid="{00000000-0005-0000-0000-0000CC8F0000}"/>
    <cellStyle name="Total 17 2 16 2 3" xfId="36813" xr:uid="{00000000-0005-0000-0000-0000CD8F0000}"/>
    <cellStyle name="Total 17 2 16 3" xfId="36814" xr:uid="{00000000-0005-0000-0000-0000CE8F0000}"/>
    <cellStyle name="Total 17 2 16 4" xfId="36815" xr:uid="{00000000-0005-0000-0000-0000CF8F0000}"/>
    <cellStyle name="Total 17 2 17" xfId="36816" xr:uid="{00000000-0005-0000-0000-0000D08F0000}"/>
    <cellStyle name="Total 17 2 17 2" xfId="36817" xr:uid="{00000000-0005-0000-0000-0000D18F0000}"/>
    <cellStyle name="Total 17 2 17 2 2" xfId="36818" xr:uid="{00000000-0005-0000-0000-0000D28F0000}"/>
    <cellStyle name="Total 17 2 17 2 3" xfId="36819" xr:uid="{00000000-0005-0000-0000-0000D38F0000}"/>
    <cellStyle name="Total 17 2 17 3" xfId="36820" xr:uid="{00000000-0005-0000-0000-0000D48F0000}"/>
    <cellStyle name="Total 17 2 17 4" xfId="36821" xr:uid="{00000000-0005-0000-0000-0000D58F0000}"/>
    <cellStyle name="Total 17 2 18" xfId="36822" xr:uid="{00000000-0005-0000-0000-0000D68F0000}"/>
    <cellStyle name="Total 17 2 18 2" xfId="36823" xr:uid="{00000000-0005-0000-0000-0000D78F0000}"/>
    <cellStyle name="Total 17 2 18 3" xfId="36824" xr:uid="{00000000-0005-0000-0000-0000D88F0000}"/>
    <cellStyle name="Total 17 2 18 4" xfId="36825" xr:uid="{00000000-0005-0000-0000-0000D98F0000}"/>
    <cellStyle name="Total 17 2 19" xfId="36826" xr:uid="{00000000-0005-0000-0000-0000DA8F0000}"/>
    <cellStyle name="Total 17 2 2" xfId="36827" xr:uid="{00000000-0005-0000-0000-0000DB8F0000}"/>
    <cellStyle name="Total 17 2 2 2" xfId="36828" xr:uid="{00000000-0005-0000-0000-0000DC8F0000}"/>
    <cellStyle name="Total 17 2 2 2 2" xfId="36829" xr:uid="{00000000-0005-0000-0000-0000DD8F0000}"/>
    <cellStyle name="Total 17 2 2 2 3" xfId="36830" xr:uid="{00000000-0005-0000-0000-0000DE8F0000}"/>
    <cellStyle name="Total 17 2 2 3" xfId="36831" xr:uid="{00000000-0005-0000-0000-0000DF8F0000}"/>
    <cellStyle name="Total 17 2 2 4" xfId="36832" xr:uid="{00000000-0005-0000-0000-0000E08F0000}"/>
    <cellStyle name="Total 17 2 20" xfId="36833" xr:uid="{00000000-0005-0000-0000-0000E18F0000}"/>
    <cellStyle name="Total 17 2 21" xfId="36834" xr:uid="{00000000-0005-0000-0000-0000E28F0000}"/>
    <cellStyle name="Total 17 2 3" xfId="36835" xr:uid="{00000000-0005-0000-0000-0000E38F0000}"/>
    <cellStyle name="Total 17 2 3 2" xfId="36836" xr:uid="{00000000-0005-0000-0000-0000E48F0000}"/>
    <cellStyle name="Total 17 2 3 2 2" xfId="36837" xr:uid="{00000000-0005-0000-0000-0000E58F0000}"/>
    <cellStyle name="Total 17 2 3 2 3" xfId="36838" xr:uid="{00000000-0005-0000-0000-0000E68F0000}"/>
    <cellStyle name="Total 17 2 3 3" xfId="36839" xr:uid="{00000000-0005-0000-0000-0000E78F0000}"/>
    <cellStyle name="Total 17 2 3 4" xfId="36840" xr:uid="{00000000-0005-0000-0000-0000E88F0000}"/>
    <cellStyle name="Total 17 2 4" xfId="36841" xr:uid="{00000000-0005-0000-0000-0000E98F0000}"/>
    <cellStyle name="Total 17 2 4 2" xfId="36842" xr:uid="{00000000-0005-0000-0000-0000EA8F0000}"/>
    <cellStyle name="Total 17 2 4 2 2" xfId="36843" xr:uid="{00000000-0005-0000-0000-0000EB8F0000}"/>
    <cellStyle name="Total 17 2 4 2 3" xfId="36844" xr:uid="{00000000-0005-0000-0000-0000EC8F0000}"/>
    <cellStyle name="Total 17 2 4 3" xfId="36845" xr:uid="{00000000-0005-0000-0000-0000ED8F0000}"/>
    <cellStyle name="Total 17 2 4 4" xfId="36846" xr:uid="{00000000-0005-0000-0000-0000EE8F0000}"/>
    <cellStyle name="Total 17 2 5" xfId="36847" xr:uid="{00000000-0005-0000-0000-0000EF8F0000}"/>
    <cellStyle name="Total 17 2 5 2" xfId="36848" xr:uid="{00000000-0005-0000-0000-0000F08F0000}"/>
    <cellStyle name="Total 17 2 5 2 2" xfId="36849" xr:uid="{00000000-0005-0000-0000-0000F18F0000}"/>
    <cellStyle name="Total 17 2 5 2 3" xfId="36850" xr:uid="{00000000-0005-0000-0000-0000F28F0000}"/>
    <cellStyle name="Total 17 2 5 3" xfId="36851" xr:uid="{00000000-0005-0000-0000-0000F38F0000}"/>
    <cellStyle name="Total 17 2 5 4" xfId="36852" xr:uid="{00000000-0005-0000-0000-0000F48F0000}"/>
    <cellStyle name="Total 17 2 6" xfId="36853" xr:uid="{00000000-0005-0000-0000-0000F58F0000}"/>
    <cellStyle name="Total 17 2 6 2" xfId="36854" xr:uid="{00000000-0005-0000-0000-0000F68F0000}"/>
    <cellStyle name="Total 17 2 6 2 2" xfId="36855" xr:uid="{00000000-0005-0000-0000-0000F78F0000}"/>
    <cellStyle name="Total 17 2 6 2 3" xfId="36856" xr:uid="{00000000-0005-0000-0000-0000F88F0000}"/>
    <cellStyle name="Total 17 2 6 3" xfId="36857" xr:uid="{00000000-0005-0000-0000-0000F98F0000}"/>
    <cellStyle name="Total 17 2 6 4" xfId="36858" xr:uid="{00000000-0005-0000-0000-0000FA8F0000}"/>
    <cellStyle name="Total 17 2 7" xfId="36859" xr:uid="{00000000-0005-0000-0000-0000FB8F0000}"/>
    <cellStyle name="Total 17 2 7 2" xfId="36860" xr:uid="{00000000-0005-0000-0000-0000FC8F0000}"/>
    <cellStyle name="Total 17 2 7 2 2" xfId="36861" xr:uid="{00000000-0005-0000-0000-0000FD8F0000}"/>
    <cellStyle name="Total 17 2 7 2 3" xfId="36862" xr:uid="{00000000-0005-0000-0000-0000FE8F0000}"/>
    <cellStyle name="Total 17 2 7 3" xfId="36863" xr:uid="{00000000-0005-0000-0000-0000FF8F0000}"/>
    <cellStyle name="Total 17 2 7 4" xfId="36864" xr:uid="{00000000-0005-0000-0000-000000900000}"/>
    <cellStyle name="Total 17 2 8" xfId="36865" xr:uid="{00000000-0005-0000-0000-000001900000}"/>
    <cellStyle name="Total 17 2 8 2" xfId="36866" xr:uid="{00000000-0005-0000-0000-000002900000}"/>
    <cellStyle name="Total 17 2 8 2 2" xfId="36867" xr:uid="{00000000-0005-0000-0000-000003900000}"/>
    <cellStyle name="Total 17 2 8 2 3" xfId="36868" xr:uid="{00000000-0005-0000-0000-000004900000}"/>
    <cellStyle name="Total 17 2 8 3" xfId="36869" xr:uid="{00000000-0005-0000-0000-000005900000}"/>
    <cellStyle name="Total 17 2 8 4" xfId="36870" xr:uid="{00000000-0005-0000-0000-000006900000}"/>
    <cellStyle name="Total 17 2 9" xfId="36871" xr:uid="{00000000-0005-0000-0000-000007900000}"/>
    <cellStyle name="Total 17 2 9 2" xfId="36872" xr:uid="{00000000-0005-0000-0000-000008900000}"/>
    <cellStyle name="Total 17 2 9 2 2" xfId="36873" xr:uid="{00000000-0005-0000-0000-000009900000}"/>
    <cellStyle name="Total 17 2 9 2 3" xfId="36874" xr:uid="{00000000-0005-0000-0000-00000A900000}"/>
    <cellStyle name="Total 17 2 9 3" xfId="36875" xr:uid="{00000000-0005-0000-0000-00000B900000}"/>
    <cellStyle name="Total 17 2 9 4" xfId="36876" xr:uid="{00000000-0005-0000-0000-00000C900000}"/>
    <cellStyle name="Total 17 3" xfId="36877" xr:uid="{00000000-0005-0000-0000-00000D900000}"/>
    <cellStyle name="Total 17 3 2" xfId="36878" xr:uid="{00000000-0005-0000-0000-00000E900000}"/>
    <cellStyle name="Total 17 3 2 2" xfId="36879" xr:uid="{00000000-0005-0000-0000-00000F900000}"/>
    <cellStyle name="Total 17 3 2 3" xfId="36880" xr:uid="{00000000-0005-0000-0000-000010900000}"/>
    <cellStyle name="Total 17 3 3" xfId="36881" xr:uid="{00000000-0005-0000-0000-000011900000}"/>
    <cellStyle name="Total 17 3 4" xfId="36882" xr:uid="{00000000-0005-0000-0000-000012900000}"/>
    <cellStyle name="Total 17 4" xfId="36883" xr:uid="{00000000-0005-0000-0000-000013900000}"/>
    <cellStyle name="Total 17 5" xfId="36884" xr:uid="{00000000-0005-0000-0000-000014900000}"/>
    <cellStyle name="Total 18" xfId="36885" xr:uid="{00000000-0005-0000-0000-000015900000}"/>
    <cellStyle name="Total 18 2" xfId="36886" xr:uid="{00000000-0005-0000-0000-000016900000}"/>
    <cellStyle name="Total 18 2 10" xfId="36887" xr:uid="{00000000-0005-0000-0000-000017900000}"/>
    <cellStyle name="Total 18 2 10 2" xfId="36888" xr:uid="{00000000-0005-0000-0000-000018900000}"/>
    <cellStyle name="Total 18 2 10 2 2" xfId="36889" xr:uid="{00000000-0005-0000-0000-000019900000}"/>
    <cellStyle name="Total 18 2 10 2 3" xfId="36890" xr:uid="{00000000-0005-0000-0000-00001A900000}"/>
    <cellStyle name="Total 18 2 10 3" xfId="36891" xr:uid="{00000000-0005-0000-0000-00001B900000}"/>
    <cellStyle name="Total 18 2 10 4" xfId="36892" xr:uid="{00000000-0005-0000-0000-00001C900000}"/>
    <cellStyle name="Total 18 2 11" xfId="36893" xr:uid="{00000000-0005-0000-0000-00001D900000}"/>
    <cellStyle name="Total 18 2 11 2" xfId="36894" xr:uid="{00000000-0005-0000-0000-00001E900000}"/>
    <cellStyle name="Total 18 2 11 2 2" xfId="36895" xr:uid="{00000000-0005-0000-0000-00001F900000}"/>
    <cellStyle name="Total 18 2 11 2 3" xfId="36896" xr:uid="{00000000-0005-0000-0000-000020900000}"/>
    <cellStyle name="Total 18 2 11 3" xfId="36897" xr:uid="{00000000-0005-0000-0000-000021900000}"/>
    <cellStyle name="Total 18 2 11 4" xfId="36898" xr:uid="{00000000-0005-0000-0000-000022900000}"/>
    <cellStyle name="Total 18 2 12" xfId="36899" xr:uid="{00000000-0005-0000-0000-000023900000}"/>
    <cellStyle name="Total 18 2 12 2" xfId="36900" xr:uid="{00000000-0005-0000-0000-000024900000}"/>
    <cellStyle name="Total 18 2 12 2 2" xfId="36901" xr:uid="{00000000-0005-0000-0000-000025900000}"/>
    <cellStyle name="Total 18 2 12 2 3" xfId="36902" xr:uid="{00000000-0005-0000-0000-000026900000}"/>
    <cellStyle name="Total 18 2 12 3" xfId="36903" xr:uid="{00000000-0005-0000-0000-000027900000}"/>
    <cellStyle name="Total 18 2 12 4" xfId="36904" xr:uid="{00000000-0005-0000-0000-000028900000}"/>
    <cellStyle name="Total 18 2 13" xfId="36905" xr:uid="{00000000-0005-0000-0000-000029900000}"/>
    <cellStyle name="Total 18 2 13 2" xfId="36906" xr:uid="{00000000-0005-0000-0000-00002A900000}"/>
    <cellStyle name="Total 18 2 13 2 2" xfId="36907" xr:uid="{00000000-0005-0000-0000-00002B900000}"/>
    <cellStyle name="Total 18 2 13 2 3" xfId="36908" xr:uid="{00000000-0005-0000-0000-00002C900000}"/>
    <cellStyle name="Total 18 2 13 3" xfId="36909" xr:uid="{00000000-0005-0000-0000-00002D900000}"/>
    <cellStyle name="Total 18 2 13 4" xfId="36910" xr:uid="{00000000-0005-0000-0000-00002E900000}"/>
    <cellStyle name="Total 18 2 14" xfId="36911" xr:uid="{00000000-0005-0000-0000-00002F900000}"/>
    <cellStyle name="Total 18 2 14 2" xfId="36912" xr:uid="{00000000-0005-0000-0000-000030900000}"/>
    <cellStyle name="Total 18 2 14 2 2" xfId="36913" xr:uid="{00000000-0005-0000-0000-000031900000}"/>
    <cellStyle name="Total 18 2 14 2 3" xfId="36914" xr:uid="{00000000-0005-0000-0000-000032900000}"/>
    <cellStyle name="Total 18 2 14 3" xfId="36915" xr:uid="{00000000-0005-0000-0000-000033900000}"/>
    <cellStyle name="Total 18 2 14 4" xfId="36916" xr:uid="{00000000-0005-0000-0000-000034900000}"/>
    <cellStyle name="Total 18 2 15" xfId="36917" xr:uid="{00000000-0005-0000-0000-000035900000}"/>
    <cellStyle name="Total 18 2 15 2" xfId="36918" xr:uid="{00000000-0005-0000-0000-000036900000}"/>
    <cellStyle name="Total 18 2 15 2 2" xfId="36919" xr:uid="{00000000-0005-0000-0000-000037900000}"/>
    <cellStyle name="Total 18 2 15 2 3" xfId="36920" xr:uid="{00000000-0005-0000-0000-000038900000}"/>
    <cellStyle name="Total 18 2 15 3" xfId="36921" xr:uid="{00000000-0005-0000-0000-000039900000}"/>
    <cellStyle name="Total 18 2 15 4" xfId="36922" xr:uid="{00000000-0005-0000-0000-00003A900000}"/>
    <cellStyle name="Total 18 2 16" xfId="36923" xr:uid="{00000000-0005-0000-0000-00003B900000}"/>
    <cellStyle name="Total 18 2 16 2" xfId="36924" xr:uid="{00000000-0005-0000-0000-00003C900000}"/>
    <cellStyle name="Total 18 2 16 2 2" xfId="36925" xr:uid="{00000000-0005-0000-0000-00003D900000}"/>
    <cellStyle name="Total 18 2 16 2 3" xfId="36926" xr:uid="{00000000-0005-0000-0000-00003E900000}"/>
    <cellStyle name="Total 18 2 16 3" xfId="36927" xr:uid="{00000000-0005-0000-0000-00003F900000}"/>
    <cellStyle name="Total 18 2 16 4" xfId="36928" xr:uid="{00000000-0005-0000-0000-000040900000}"/>
    <cellStyle name="Total 18 2 17" xfId="36929" xr:uid="{00000000-0005-0000-0000-000041900000}"/>
    <cellStyle name="Total 18 2 17 2" xfId="36930" xr:uid="{00000000-0005-0000-0000-000042900000}"/>
    <cellStyle name="Total 18 2 17 2 2" xfId="36931" xr:uid="{00000000-0005-0000-0000-000043900000}"/>
    <cellStyle name="Total 18 2 17 2 3" xfId="36932" xr:uid="{00000000-0005-0000-0000-000044900000}"/>
    <cellStyle name="Total 18 2 17 3" xfId="36933" xr:uid="{00000000-0005-0000-0000-000045900000}"/>
    <cellStyle name="Total 18 2 17 4" xfId="36934" xr:uid="{00000000-0005-0000-0000-000046900000}"/>
    <cellStyle name="Total 18 2 18" xfId="36935" xr:uid="{00000000-0005-0000-0000-000047900000}"/>
    <cellStyle name="Total 18 2 18 2" xfId="36936" xr:uid="{00000000-0005-0000-0000-000048900000}"/>
    <cellStyle name="Total 18 2 18 3" xfId="36937" xr:uid="{00000000-0005-0000-0000-000049900000}"/>
    <cellStyle name="Total 18 2 18 4" xfId="36938" xr:uid="{00000000-0005-0000-0000-00004A900000}"/>
    <cellStyle name="Total 18 2 19" xfId="36939" xr:uid="{00000000-0005-0000-0000-00004B900000}"/>
    <cellStyle name="Total 18 2 2" xfId="36940" xr:uid="{00000000-0005-0000-0000-00004C900000}"/>
    <cellStyle name="Total 18 2 2 2" xfId="36941" xr:uid="{00000000-0005-0000-0000-00004D900000}"/>
    <cellStyle name="Total 18 2 2 2 2" xfId="36942" xr:uid="{00000000-0005-0000-0000-00004E900000}"/>
    <cellStyle name="Total 18 2 2 2 3" xfId="36943" xr:uid="{00000000-0005-0000-0000-00004F900000}"/>
    <cellStyle name="Total 18 2 2 3" xfId="36944" xr:uid="{00000000-0005-0000-0000-000050900000}"/>
    <cellStyle name="Total 18 2 2 4" xfId="36945" xr:uid="{00000000-0005-0000-0000-000051900000}"/>
    <cellStyle name="Total 18 2 20" xfId="36946" xr:uid="{00000000-0005-0000-0000-000052900000}"/>
    <cellStyle name="Total 18 2 21" xfId="36947" xr:uid="{00000000-0005-0000-0000-000053900000}"/>
    <cellStyle name="Total 18 2 3" xfId="36948" xr:uid="{00000000-0005-0000-0000-000054900000}"/>
    <cellStyle name="Total 18 2 3 2" xfId="36949" xr:uid="{00000000-0005-0000-0000-000055900000}"/>
    <cellStyle name="Total 18 2 3 2 2" xfId="36950" xr:uid="{00000000-0005-0000-0000-000056900000}"/>
    <cellStyle name="Total 18 2 3 2 3" xfId="36951" xr:uid="{00000000-0005-0000-0000-000057900000}"/>
    <cellStyle name="Total 18 2 3 3" xfId="36952" xr:uid="{00000000-0005-0000-0000-000058900000}"/>
    <cellStyle name="Total 18 2 3 4" xfId="36953" xr:uid="{00000000-0005-0000-0000-000059900000}"/>
    <cellStyle name="Total 18 2 4" xfId="36954" xr:uid="{00000000-0005-0000-0000-00005A900000}"/>
    <cellStyle name="Total 18 2 4 2" xfId="36955" xr:uid="{00000000-0005-0000-0000-00005B900000}"/>
    <cellStyle name="Total 18 2 4 2 2" xfId="36956" xr:uid="{00000000-0005-0000-0000-00005C900000}"/>
    <cellStyle name="Total 18 2 4 2 3" xfId="36957" xr:uid="{00000000-0005-0000-0000-00005D900000}"/>
    <cellStyle name="Total 18 2 4 3" xfId="36958" xr:uid="{00000000-0005-0000-0000-00005E900000}"/>
    <cellStyle name="Total 18 2 4 4" xfId="36959" xr:uid="{00000000-0005-0000-0000-00005F900000}"/>
    <cellStyle name="Total 18 2 5" xfId="36960" xr:uid="{00000000-0005-0000-0000-000060900000}"/>
    <cellStyle name="Total 18 2 5 2" xfId="36961" xr:uid="{00000000-0005-0000-0000-000061900000}"/>
    <cellStyle name="Total 18 2 5 2 2" xfId="36962" xr:uid="{00000000-0005-0000-0000-000062900000}"/>
    <cellStyle name="Total 18 2 5 2 3" xfId="36963" xr:uid="{00000000-0005-0000-0000-000063900000}"/>
    <cellStyle name="Total 18 2 5 3" xfId="36964" xr:uid="{00000000-0005-0000-0000-000064900000}"/>
    <cellStyle name="Total 18 2 5 4" xfId="36965" xr:uid="{00000000-0005-0000-0000-000065900000}"/>
    <cellStyle name="Total 18 2 6" xfId="36966" xr:uid="{00000000-0005-0000-0000-000066900000}"/>
    <cellStyle name="Total 18 2 6 2" xfId="36967" xr:uid="{00000000-0005-0000-0000-000067900000}"/>
    <cellStyle name="Total 18 2 6 2 2" xfId="36968" xr:uid="{00000000-0005-0000-0000-000068900000}"/>
    <cellStyle name="Total 18 2 6 2 3" xfId="36969" xr:uid="{00000000-0005-0000-0000-000069900000}"/>
    <cellStyle name="Total 18 2 6 3" xfId="36970" xr:uid="{00000000-0005-0000-0000-00006A900000}"/>
    <cellStyle name="Total 18 2 6 4" xfId="36971" xr:uid="{00000000-0005-0000-0000-00006B900000}"/>
    <cellStyle name="Total 18 2 7" xfId="36972" xr:uid="{00000000-0005-0000-0000-00006C900000}"/>
    <cellStyle name="Total 18 2 7 2" xfId="36973" xr:uid="{00000000-0005-0000-0000-00006D900000}"/>
    <cellStyle name="Total 18 2 7 2 2" xfId="36974" xr:uid="{00000000-0005-0000-0000-00006E900000}"/>
    <cellStyle name="Total 18 2 7 2 3" xfId="36975" xr:uid="{00000000-0005-0000-0000-00006F900000}"/>
    <cellStyle name="Total 18 2 7 3" xfId="36976" xr:uid="{00000000-0005-0000-0000-000070900000}"/>
    <cellStyle name="Total 18 2 7 4" xfId="36977" xr:uid="{00000000-0005-0000-0000-000071900000}"/>
    <cellStyle name="Total 18 2 8" xfId="36978" xr:uid="{00000000-0005-0000-0000-000072900000}"/>
    <cellStyle name="Total 18 2 8 2" xfId="36979" xr:uid="{00000000-0005-0000-0000-000073900000}"/>
    <cellStyle name="Total 18 2 8 2 2" xfId="36980" xr:uid="{00000000-0005-0000-0000-000074900000}"/>
    <cellStyle name="Total 18 2 8 2 3" xfId="36981" xr:uid="{00000000-0005-0000-0000-000075900000}"/>
    <cellStyle name="Total 18 2 8 3" xfId="36982" xr:uid="{00000000-0005-0000-0000-000076900000}"/>
    <cellStyle name="Total 18 2 8 4" xfId="36983" xr:uid="{00000000-0005-0000-0000-000077900000}"/>
    <cellStyle name="Total 18 2 9" xfId="36984" xr:uid="{00000000-0005-0000-0000-000078900000}"/>
    <cellStyle name="Total 18 2 9 2" xfId="36985" xr:uid="{00000000-0005-0000-0000-000079900000}"/>
    <cellStyle name="Total 18 2 9 2 2" xfId="36986" xr:uid="{00000000-0005-0000-0000-00007A900000}"/>
    <cellStyle name="Total 18 2 9 2 3" xfId="36987" xr:uid="{00000000-0005-0000-0000-00007B900000}"/>
    <cellStyle name="Total 18 2 9 3" xfId="36988" xr:uid="{00000000-0005-0000-0000-00007C900000}"/>
    <cellStyle name="Total 18 2 9 4" xfId="36989" xr:uid="{00000000-0005-0000-0000-00007D900000}"/>
    <cellStyle name="Total 18 3" xfId="36990" xr:uid="{00000000-0005-0000-0000-00007E900000}"/>
    <cellStyle name="Total 18 3 2" xfId="36991" xr:uid="{00000000-0005-0000-0000-00007F900000}"/>
    <cellStyle name="Total 18 3 2 2" xfId="36992" xr:uid="{00000000-0005-0000-0000-000080900000}"/>
    <cellStyle name="Total 18 3 2 3" xfId="36993" xr:uid="{00000000-0005-0000-0000-000081900000}"/>
    <cellStyle name="Total 18 3 3" xfId="36994" xr:uid="{00000000-0005-0000-0000-000082900000}"/>
    <cellStyle name="Total 18 3 4" xfId="36995" xr:uid="{00000000-0005-0000-0000-000083900000}"/>
    <cellStyle name="Total 18 4" xfId="36996" xr:uid="{00000000-0005-0000-0000-000084900000}"/>
    <cellStyle name="Total 18 5" xfId="36997" xr:uid="{00000000-0005-0000-0000-000085900000}"/>
    <cellStyle name="Total 19" xfId="36998" xr:uid="{00000000-0005-0000-0000-000086900000}"/>
    <cellStyle name="Total 19 2" xfId="36999" xr:uid="{00000000-0005-0000-0000-000087900000}"/>
    <cellStyle name="Total 19 2 10" xfId="37000" xr:uid="{00000000-0005-0000-0000-000088900000}"/>
    <cellStyle name="Total 19 2 10 2" xfId="37001" xr:uid="{00000000-0005-0000-0000-000089900000}"/>
    <cellStyle name="Total 19 2 10 2 2" xfId="37002" xr:uid="{00000000-0005-0000-0000-00008A900000}"/>
    <cellStyle name="Total 19 2 10 2 3" xfId="37003" xr:uid="{00000000-0005-0000-0000-00008B900000}"/>
    <cellStyle name="Total 19 2 10 3" xfId="37004" xr:uid="{00000000-0005-0000-0000-00008C900000}"/>
    <cellStyle name="Total 19 2 10 4" xfId="37005" xr:uid="{00000000-0005-0000-0000-00008D900000}"/>
    <cellStyle name="Total 19 2 11" xfId="37006" xr:uid="{00000000-0005-0000-0000-00008E900000}"/>
    <cellStyle name="Total 19 2 11 2" xfId="37007" xr:uid="{00000000-0005-0000-0000-00008F900000}"/>
    <cellStyle name="Total 19 2 11 2 2" xfId="37008" xr:uid="{00000000-0005-0000-0000-000090900000}"/>
    <cellStyle name="Total 19 2 11 2 3" xfId="37009" xr:uid="{00000000-0005-0000-0000-000091900000}"/>
    <cellStyle name="Total 19 2 11 3" xfId="37010" xr:uid="{00000000-0005-0000-0000-000092900000}"/>
    <cellStyle name="Total 19 2 11 4" xfId="37011" xr:uid="{00000000-0005-0000-0000-000093900000}"/>
    <cellStyle name="Total 19 2 12" xfId="37012" xr:uid="{00000000-0005-0000-0000-000094900000}"/>
    <cellStyle name="Total 19 2 12 2" xfId="37013" xr:uid="{00000000-0005-0000-0000-000095900000}"/>
    <cellStyle name="Total 19 2 12 2 2" xfId="37014" xr:uid="{00000000-0005-0000-0000-000096900000}"/>
    <cellStyle name="Total 19 2 12 2 3" xfId="37015" xr:uid="{00000000-0005-0000-0000-000097900000}"/>
    <cellStyle name="Total 19 2 12 3" xfId="37016" xr:uid="{00000000-0005-0000-0000-000098900000}"/>
    <cellStyle name="Total 19 2 12 4" xfId="37017" xr:uid="{00000000-0005-0000-0000-000099900000}"/>
    <cellStyle name="Total 19 2 13" xfId="37018" xr:uid="{00000000-0005-0000-0000-00009A900000}"/>
    <cellStyle name="Total 19 2 13 2" xfId="37019" xr:uid="{00000000-0005-0000-0000-00009B900000}"/>
    <cellStyle name="Total 19 2 13 2 2" xfId="37020" xr:uid="{00000000-0005-0000-0000-00009C900000}"/>
    <cellStyle name="Total 19 2 13 2 3" xfId="37021" xr:uid="{00000000-0005-0000-0000-00009D900000}"/>
    <cellStyle name="Total 19 2 13 3" xfId="37022" xr:uid="{00000000-0005-0000-0000-00009E900000}"/>
    <cellStyle name="Total 19 2 13 4" xfId="37023" xr:uid="{00000000-0005-0000-0000-00009F900000}"/>
    <cellStyle name="Total 19 2 14" xfId="37024" xr:uid="{00000000-0005-0000-0000-0000A0900000}"/>
    <cellStyle name="Total 19 2 14 2" xfId="37025" xr:uid="{00000000-0005-0000-0000-0000A1900000}"/>
    <cellStyle name="Total 19 2 14 2 2" xfId="37026" xr:uid="{00000000-0005-0000-0000-0000A2900000}"/>
    <cellStyle name="Total 19 2 14 2 3" xfId="37027" xr:uid="{00000000-0005-0000-0000-0000A3900000}"/>
    <cellStyle name="Total 19 2 14 3" xfId="37028" xr:uid="{00000000-0005-0000-0000-0000A4900000}"/>
    <cellStyle name="Total 19 2 14 4" xfId="37029" xr:uid="{00000000-0005-0000-0000-0000A5900000}"/>
    <cellStyle name="Total 19 2 15" xfId="37030" xr:uid="{00000000-0005-0000-0000-0000A6900000}"/>
    <cellStyle name="Total 19 2 15 2" xfId="37031" xr:uid="{00000000-0005-0000-0000-0000A7900000}"/>
    <cellStyle name="Total 19 2 15 2 2" xfId="37032" xr:uid="{00000000-0005-0000-0000-0000A8900000}"/>
    <cellStyle name="Total 19 2 15 2 3" xfId="37033" xr:uid="{00000000-0005-0000-0000-0000A9900000}"/>
    <cellStyle name="Total 19 2 15 3" xfId="37034" xr:uid="{00000000-0005-0000-0000-0000AA900000}"/>
    <cellStyle name="Total 19 2 15 4" xfId="37035" xr:uid="{00000000-0005-0000-0000-0000AB900000}"/>
    <cellStyle name="Total 19 2 16" xfId="37036" xr:uid="{00000000-0005-0000-0000-0000AC900000}"/>
    <cellStyle name="Total 19 2 16 2" xfId="37037" xr:uid="{00000000-0005-0000-0000-0000AD900000}"/>
    <cellStyle name="Total 19 2 16 2 2" xfId="37038" xr:uid="{00000000-0005-0000-0000-0000AE900000}"/>
    <cellStyle name="Total 19 2 16 2 3" xfId="37039" xr:uid="{00000000-0005-0000-0000-0000AF900000}"/>
    <cellStyle name="Total 19 2 16 3" xfId="37040" xr:uid="{00000000-0005-0000-0000-0000B0900000}"/>
    <cellStyle name="Total 19 2 16 4" xfId="37041" xr:uid="{00000000-0005-0000-0000-0000B1900000}"/>
    <cellStyle name="Total 19 2 17" xfId="37042" xr:uid="{00000000-0005-0000-0000-0000B2900000}"/>
    <cellStyle name="Total 19 2 17 2" xfId="37043" xr:uid="{00000000-0005-0000-0000-0000B3900000}"/>
    <cellStyle name="Total 19 2 17 2 2" xfId="37044" xr:uid="{00000000-0005-0000-0000-0000B4900000}"/>
    <cellStyle name="Total 19 2 17 2 3" xfId="37045" xr:uid="{00000000-0005-0000-0000-0000B5900000}"/>
    <cellStyle name="Total 19 2 17 3" xfId="37046" xr:uid="{00000000-0005-0000-0000-0000B6900000}"/>
    <cellStyle name="Total 19 2 17 4" xfId="37047" xr:uid="{00000000-0005-0000-0000-0000B7900000}"/>
    <cellStyle name="Total 19 2 18" xfId="37048" xr:uid="{00000000-0005-0000-0000-0000B8900000}"/>
    <cellStyle name="Total 19 2 18 2" xfId="37049" xr:uid="{00000000-0005-0000-0000-0000B9900000}"/>
    <cellStyle name="Total 19 2 18 3" xfId="37050" xr:uid="{00000000-0005-0000-0000-0000BA900000}"/>
    <cellStyle name="Total 19 2 18 4" xfId="37051" xr:uid="{00000000-0005-0000-0000-0000BB900000}"/>
    <cellStyle name="Total 19 2 19" xfId="37052" xr:uid="{00000000-0005-0000-0000-0000BC900000}"/>
    <cellStyle name="Total 19 2 2" xfId="37053" xr:uid="{00000000-0005-0000-0000-0000BD900000}"/>
    <cellStyle name="Total 19 2 2 2" xfId="37054" xr:uid="{00000000-0005-0000-0000-0000BE900000}"/>
    <cellStyle name="Total 19 2 2 2 2" xfId="37055" xr:uid="{00000000-0005-0000-0000-0000BF900000}"/>
    <cellStyle name="Total 19 2 2 2 3" xfId="37056" xr:uid="{00000000-0005-0000-0000-0000C0900000}"/>
    <cellStyle name="Total 19 2 2 3" xfId="37057" xr:uid="{00000000-0005-0000-0000-0000C1900000}"/>
    <cellStyle name="Total 19 2 2 4" xfId="37058" xr:uid="{00000000-0005-0000-0000-0000C2900000}"/>
    <cellStyle name="Total 19 2 20" xfId="37059" xr:uid="{00000000-0005-0000-0000-0000C3900000}"/>
    <cellStyle name="Total 19 2 21" xfId="37060" xr:uid="{00000000-0005-0000-0000-0000C4900000}"/>
    <cellStyle name="Total 19 2 3" xfId="37061" xr:uid="{00000000-0005-0000-0000-0000C5900000}"/>
    <cellStyle name="Total 19 2 3 2" xfId="37062" xr:uid="{00000000-0005-0000-0000-0000C6900000}"/>
    <cellStyle name="Total 19 2 3 2 2" xfId="37063" xr:uid="{00000000-0005-0000-0000-0000C7900000}"/>
    <cellStyle name="Total 19 2 3 2 3" xfId="37064" xr:uid="{00000000-0005-0000-0000-0000C8900000}"/>
    <cellStyle name="Total 19 2 3 3" xfId="37065" xr:uid="{00000000-0005-0000-0000-0000C9900000}"/>
    <cellStyle name="Total 19 2 3 4" xfId="37066" xr:uid="{00000000-0005-0000-0000-0000CA900000}"/>
    <cellStyle name="Total 19 2 4" xfId="37067" xr:uid="{00000000-0005-0000-0000-0000CB900000}"/>
    <cellStyle name="Total 19 2 4 2" xfId="37068" xr:uid="{00000000-0005-0000-0000-0000CC900000}"/>
    <cellStyle name="Total 19 2 4 2 2" xfId="37069" xr:uid="{00000000-0005-0000-0000-0000CD900000}"/>
    <cellStyle name="Total 19 2 4 2 3" xfId="37070" xr:uid="{00000000-0005-0000-0000-0000CE900000}"/>
    <cellStyle name="Total 19 2 4 3" xfId="37071" xr:uid="{00000000-0005-0000-0000-0000CF900000}"/>
    <cellStyle name="Total 19 2 4 4" xfId="37072" xr:uid="{00000000-0005-0000-0000-0000D0900000}"/>
    <cellStyle name="Total 19 2 5" xfId="37073" xr:uid="{00000000-0005-0000-0000-0000D1900000}"/>
    <cellStyle name="Total 19 2 5 2" xfId="37074" xr:uid="{00000000-0005-0000-0000-0000D2900000}"/>
    <cellStyle name="Total 19 2 5 2 2" xfId="37075" xr:uid="{00000000-0005-0000-0000-0000D3900000}"/>
    <cellStyle name="Total 19 2 5 2 3" xfId="37076" xr:uid="{00000000-0005-0000-0000-0000D4900000}"/>
    <cellStyle name="Total 19 2 5 3" xfId="37077" xr:uid="{00000000-0005-0000-0000-0000D5900000}"/>
    <cellStyle name="Total 19 2 5 4" xfId="37078" xr:uid="{00000000-0005-0000-0000-0000D6900000}"/>
    <cellStyle name="Total 19 2 6" xfId="37079" xr:uid="{00000000-0005-0000-0000-0000D7900000}"/>
    <cellStyle name="Total 19 2 6 2" xfId="37080" xr:uid="{00000000-0005-0000-0000-0000D8900000}"/>
    <cellStyle name="Total 19 2 6 2 2" xfId="37081" xr:uid="{00000000-0005-0000-0000-0000D9900000}"/>
    <cellStyle name="Total 19 2 6 2 3" xfId="37082" xr:uid="{00000000-0005-0000-0000-0000DA900000}"/>
    <cellStyle name="Total 19 2 6 3" xfId="37083" xr:uid="{00000000-0005-0000-0000-0000DB900000}"/>
    <cellStyle name="Total 19 2 6 4" xfId="37084" xr:uid="{00000000-0005-0000-0000-0000DC900000}"/>
    <cellStyle name="Total 19 2 7" xfId="37085" xr:uid="{00000000-0005-0000-0000-0000DD900000}"/>
    <cellStyle name="Total 19 2 7 2" xfId="37086" xr:uid="{00000000-0005-0000-0000-0000DE900000}"/>
    <cellStyle name="Total 19 2 7 2 2" xfId="37087" xr:uid="{00000000-0005-0000-0000-0000DF900000}"/>
    <cellStyle name="Total 19 2 7 2 3" xfId="37088" xr:uid="{00000000-0005-0000-0000-0000E0900000}"/>
    <cellStyle name="Total 19 2 7 3" xfId="37089" xr:uid="{00000000-0005-0000-0000-0000E1900000}"/>
    <cellStyle name="Total 19 2 7 4" xfId="37090" xr:uid="{00000000-0005-0000-0000-0000E2900000}"/>
    <cellStyle name="Total 19 2 8" xfId="37091" xr:uid="{00000000-0005-0000-0000-0000E3900000}"/>
    <cellStyle name="Total 19 2 8 2" xfId="37092" xr:uid="{00000000-0005-0000-0000-0000E4900000}"/>
    <cellStyle name="Total 19 2 8 2 2" xfId="37093" xr:uid="{00000000-0005-0000-0000-0000E5900000}"/>
    <cellStyle name="Total 19 2 8 2 3" xfId="37094" xr:uid="{00000000-0005-0000-0000-0000E6900000}"/>
    <cellStyle name="Total 19 2 8 3" xfId="37095" xr:uid="{00000000-0005-0000-0000-0000E7900000}"/>
    <cellStyle name="Total 19 2 8 4" xfId="37096" xr:uid="{00000000-0005-0000-0000-0000E8900000}"/>
    <cellStyle name="Total 19 2 9" xfId="37097" xr:uid="{00000000-0005-0000-0000-0000E9900000}"/>
    <cellStyle name="Total 19 2 9 2" xfId="37098" xr:uid="{00000000-0005-0000-0000-0000EA900000}"/>
    <cellStyle name="Total 19 2 9 2 2" xfId="37099" xr:uid="{00000000-0005-0000-0000-0000EB900000}"/>
    <cellStyle name="Total 19 2 9 2 3" xfId="37100" xr:uid="{00000000-0005-0000-0000-0000EC900000}"/>
    <cellStyle name="Total 19 2 9 3" xfId="37101" xr:uid="{00000000-0005-0000-0000-0000ED900000}"/>
    <cellStyle name="Total 19 2 9 4" xfId="37102" xr:uid="{00000000-0005-0000-0000-0000EE900000}"/>
    <cellStyle name="Total 19 3" xfId="37103" xr:uid="{00000000-0005-0000-0000-0000EF900000}"/>
    <cellStyle name="Total 19 3 2" xfId="37104" xr:uid="{00000000-0005-0000-0000-0000F0900000}"/>
    <cellStyle name="Total 19 3 2 2" xfId="37105" xr:uid="{00000000-0005-0000-0000-0000F1900000}"/>
    <cellStyle name="Total 19 3 2 3" xfId="37106" xr:uid="{00000000-0005-0000-0000-0000F2900000}"/>
    <cellStyle name="Total 19 3 3" xfId="37107" xr:uid="{00000000-0005-0000-0000-0000F3900000}"/>
    <cellStyle name="Total 19 3 4" xfId="37108" xr:uid="{00000000-0005-0000-0000-0000F4900000}"/>
    <cellStyle name="Total 19 4" xfId="37109" xr:uid="{00000000-0005-0000-0000-0000F5900000}"/>
    <cellStyle name="Total 19 5" xfId="37110" xr:uid="{00000000-0005-0000-0000-0000F6900000}"/>
    <cellStyle name="Total 2" xfId="37111" xr:uid="{00000000-0005-0000-0000-0000F7900000}"/>
    <cellStyle name="Total 2 2" xfId="37112" xr:uid="{00000000-0005-0000-0000-0000F8900000}"/>
    <cellStyle name="Total 2 2 10" xfId="37113" xr:uid="{00000000-0005-0000-0000-0000F9900000}"/>
    <cellStyle name="Total 2 2 10 2" xfId="37114" xr:uid="{00000000-0005-0000-0000-0000FA900000}"/>
    <cellStyle name="Total 2 2 10 2 2" xfId="37115" xr:uid="{00000000-0005-0000-0000-0000FB900000}"/>
    <cellStyle name="Total 2 2 10 2 3" xfId="37116" xr:uid="{00000000-0005-0000-0000-0000FC900000}"/>
    <cellStyle name="Total 2 2 10 3" xfId="37117" xr:uid="{00000000-0005-0000-0000-0000FD900000}"/>
    <cellStyle name="Total 2 2 10 4" xfId="37118" xr:uid="{00000000-0005-0000-0000-0000FE900000}"/>
    <cellStyle name="Total 2 2 11" xfId="37119" xr:uid="{00000000-0005-0000-0000-0000FF900000}"/>
    <cellStyle name="Total 2 2 11 2" xfId="37120" xr:uid="{00000000-0005-0000-0000-000000910000}"/>
    <cellStyle name="Total 2 2 11 2 2" xfId="37121" xr:uid="{00000000-0005-0000-0000-000001910000}"/>
    <cellStyle name="Total 2 2 11 2 3" xfId="37122" xr:uid="{00000000-0005-0000-0000-000002910000}"/>
    <cellStyle name="Total 2 2 11 3" xfId="37123" xr:uid="{00000000-0005-0000-0000-000003910000}"/>
    <cellStyle name="Total 2 2 11 4" xfId="37124" xr:uid="{00000000-0005-0000-0000-000004910000}"/>
    <cellStyle name="Total 2 2 12" xfId="37125" xr:uid="{00000000-0005-0000-0000-000005910000}"/>
    <cellStyle name="Total 2 2 12 2" xfId="37126" xr:uid="{00000000-0005-0000-0000-000006910000}"/>
    <cellStyle name="Total 2 2 12 2 2" xfId="37127" xr:uid="{00000000-0005-0000-0000-000007910000}"/>
    <cellStyle name="Total 2 2 12 2 3" xfId="37128" xr:uid="{00000000-0005-0000-0000-000008910000}"/>
    <cellStyle name="Total 2 2 12 3" xfId="37129" xr:uid="{00000000-0005-0000-0000-000009910000}"/>
    <cellStyle name="Total 2 2 12 4" xfId="37130" xr:uid="{00000000-0005-0000-0000-00000A910000}"/>
    <cellStyle name="Total 2 2 13" xfId="37131" xr:uid="{00000000-0005-0000-0000-00000B910000}"/>
    <cellStyle name="Total 2 2 13 2" xfId="37132" xr:uid="{00000000-0005-0000-0000-00000C910000}"/>
    <cellStyle name="Total 2 2 13 2 2" xfId="37133" xr:uid="{00000000-0005-0000-0000-00000D910000}"/>
    <cellStyle name="Total 2 2 13 2 3" xfId="37134" xr:uid="{00000000-0005-0000-0000-00000E910000}"/>
    <cellStyle name="Total 2 2 13 3" xfId="37135" xr:uid="{00000000-0005-0000-0000-00000F910000}"/>
    <cellStyle name="Total 2 2 13 4" xfId="37136" xr:uid="{00000000-0005-0000-0000-000010910000}"/>
    <cellStyle name="Total 2 2 14" xfId="37137" xr:uid="{00000000-0005-0000-0000-000011910000}"/>
    <cellStyle name="Total 2 2 14 2" xfId="37138" xr:uid="{00000000-0005-0000-0000-000012910000}"/>
    <cellStyle name="Total 2 2 14 2 2" xfId="37139" xr:uid="{00000000-0005-0000-0000-000013910000}"/>
    <cellStyle name="Total 2 2 14 2 3" xfId="37140" xr:uid="{00000000-0005-0000-0000-000014910000}"/>
    <cellStyle name="Total 2 2 14 3" xfId="37141" xr:uid="{00000000-0005-0000-0000-000015910000}"/>
    <cellStyle name="Total 2 2 14 4" xfId="37142" xr:uid="{00000000-0005-0000-0000-000016910000}"/>
    <cellStyle name="Total 2 2 15" xfId="37143" xr:uid="{00000000-0005-0000-0000-000017910000}"/>
    <cellStyle name="Total 2 2 15 2" xfId="37144" xr:uid="{00000000-0005-0000-0000-000018910000}"/>
    <cellStyle name="Total 2 2 15 2 2" xfId="37145" xr:uid="{00000000-0005-0000-0000-000019910000}"/>
    <cellStyle name="Total 2 2 15 2 3" xfId="37146" xr:uid="{00000000-0005-0000-0000-00001A910000}"/>
    <cellStyle name="Total 2 2 15 3" xfId="37147" xr:uid="{00000000-0005-0000-0000-00001B910000}"/>
    <cellStyle name="Total 2 2 15 4" xfId="37148" xr:uid="{00000000-0005-0000-0000-00001C910000}"/>
    <cellStyle name="Total 2 2 16" xfId="37149" xr:uid="{00000000-0005-0000-0000-00001D910000}"/>
    <cellStyle name="Total 2 2 16 2" xfId="37150" xr:uid="{00000000-0005-0000-0000-00001E910000}"/>
    <cellStyle name="Total 2 2 16 2 2" xfId="37151" xr:uid="{00000000-0005-0000-0000-00001F910000}"/>
    <cellStyle name="Total 2 2 16 2 3" xfId="37152" xr:uid="{00000000-0005-0000-0000-000020910000}"/>
    <cellStyle name="Total 2 2 16 3" xfId="37153" xr:uid="{00000000-0005-0000-0000-000021910000}"/>
    <cellStyle name="Total 2 2 16 4" xfId="37154" xr:uid="{00000000-0005-0000-0000-000022910000}"/>
    <cellStyle name="Total 2 2 17" xfId="37155" xr:uid="{00000000-0005-0000-0000-000023910000}"/>
    <cellStyle name="Total 2 2 17 2" xfId="37156" xr:uid="{00000000-0005-0000-0000-000024910000}"/>
    <cellStyle name="Total 2 2 17 2 2" xfId="37157" xr:uid="{00000000-0005-0000-0000-000025910000}"/>
    <cellStyle name="Total 2 2 17 2 3" xfId="37158" xr:uid="{00000000-0005-0000-0000-000026910000}"/>
    <cellStyle name="Total 2 2 17 3" xfId="37159" xr:uid="{00000000-0005-0000-0000-000027910000}"/>
    <cellStyle name="Total 2 2 17 4" xfId="37160" xr:uid="{00000000-0005-0000-0000-000028910000}"/>
    <cellStyle name="Total 2 2 18" xfId="37161" xr:uid="{00000000-0005-0000-0000-000029910000}"/>
    <cellStyle name="Total 2 2 18 2" xfId="37162" xr:uid="{00000000-0005-0000-0000-00002A910000}"/>
    <cellStyle name="Total 2 2 18 3" xfId="37163" xr:uid="{00000000-0005-0000-0000-00002B910000}"/>
    <cellStyle name="Total 2 2 18 4" xfId="37164" xr:uid="{00000000-0005-0000-0000-00002C910000}"/>
    <cellStyle name="Total 2 2 19" xfId="37165" xr:uid="{00000000-0005-0000-0000-00002D910000}"/>
    <cellStyle name="Total 2 2 2" xfId="37166" xr:uid="{00000000-0005-0000-0000-00002E910000}"/>
    <cellStyle name="Total 2 2 2 2" xfId="37167" xr:uid="{00000000-0005-0000-0000-00002F910000}"/>
    <cellStyle name="Total 2 2 2 2 2" xfId="37168" xr:uid="{00000000-0005-0000-0000-000030910000}"/>
    <cellStyle name="Total 2 2 2 2 3" xfId="37169" xr:uid="{00000000-0005-0000-0000-000031910000}"/>
    <cellStyle name="Total 2 2 2 3" xfId="37170" xr:uid="{00000000-0005-0000-0000-000032910000}"/>
    <cellStyle name="Total 2 2 2 4" xfId="37171" xr:uid="{00000000-0005-0000-0000-000033910000}"/>
    <cellStyle name="Total 2 2 20" xfId="37172" xr:uid="{00000000-0005-0000-0000-000034910000}"/>
    <cellStyle name="Total 2 2 21" xfId="37173" xr:uid="{00000000-0005-0000-0000-000035910000}"/>
    <cellStyle name="Total 2 2 3" xfId="37174" xr:uid="{00000000-0005-0000-0000-000036910000}"/>
    <cellStyle name="Total 2 2 3 2" xfId="37175" xr:uid="{00000000-0005-0000-0000-000037910000}"/>
    <cellStyle name="Total 2 2 3 2 2" xfId="37176" xr:uid="{00000000-0005-0000-0000-000038910000}"/>
    <cellStyle name="Total 2 2 3 2 3" xfId="37177" xr:uid="{00000000-0005-0000-0000-000039910000}"/>
    <cellStyle name="Total 2 2 3 3" xfId="37178" xr:uid="{00000000-0005-0000-0000-00003A910000}"/>
    <cellStyle name="Total 2 2 3 4" xfId="37179" xr:uid="{00000000-0005-0000-0000-00003B910000}"/>
    <cellStyle name="Total 2 2 4" xfId="37180" xr:uid="{00000000-0005-0000-0000-00003C910000}"/>
    <cellStyle name="Total 2 2 4 2" xfId="37181" xr:uid="{00000000-0005-0000-0000-00003D910000}"/>
    <cellStyle name="Total 2 2 4 2 2" xfId="37182" xr:uid="{00000000-0005-0000-0000-00003E910000}"/>
    <cellStyle name="Total 2 2 4 2 3" xfId="37183" xr:uid="{00000000-0005-0000-0000-00003F910000}"/>
    <cellStyle name="Total 2 2 4 3" xfId="37184" xr:uid="{00000000-0005-0000-0000-000040910000}"/>
    <cellStyle name="Total 2 2 4 4" xfId="37185" xr:uid="{00000000-0005-0000-0000-000041910000}"/>
    <cellStyle name="Total 2 2 5" xfId="37186" xr:uid="{00000000-0005-0000-0000-000042910000}"/>
    <cellStyle name="Total 2 2 5 2" xfId="37187" xr:uid="{00000000-0005-0000-0000-000043910000}"/>
    <cellStyle name="Total 2 2 5 2 2" xfId="37188" xr:uid="{00000000-0005-0000-0000-000044910000}"/>
    <cellStyle name="Total 2 2 5 2 3" xfId="37189" xr:uid="{00000000-0005-0000-0000-000045910000}"/>
    <cellStyle name="Total 2 2 5 3" xfId="37190" xr:uid="{00000000-0005-0000-0000-000046910000}"/>
    <cellStyle name="Total 2 2 5 4" xfId="37191" xr:uid="{00000000-0005-0000-0000-000047910000}"/>
    <cellStyle name="Total 2 2 6" xfId="37192" xr:uid="{00000000-0005-0000-0000-000048910000}"/>
    <cellStyle name="Total 2 2 6 2" xfId="37193" xr:uid="{00000000-0005-0000-0000-000049910000}"/>
    <cellStyle name="Total 2 2 6 2 2" xfId="37194" xr:uid="{00000000-0005-0000-0000-00004A910000}"/>
    <cellStyle name="Total 2 2 6 2 3" xfId="37195" xr:uid="{00000000-0005-0000-0000-00004B910000}"/>
    <cellStyle name="Total 2 2 6 3" xfId="37196" xr:uid="{00000000-0005-0000-0000-00004C910000}"/>
    <cellStyle name="Total 2 2 6 4" xfId="37197" xr:uid="{00000000-0005-0000-0000-00004D910000}"/>
    <cellStyle name="Total 2 2 7" xfId="37198" xr:uid="{00000000-0005-0000-0000-00004E910000}"/>
    <cellStyle name="Total 2 2 7 2" xfId="37199" xr:uid="{00000000-0005-0000-0000-00004F910000}"/>
    <cellStyle name="Total 2 2 7 2 2" xfId="37200" xr:uid="{00000000-0005-0000-0000-000050910000}"/>
    <cellStyle name="Total 2 2 7 2 3" xfId="37201" xr:uid="{00000000-0005-0000-0000-000051910000}"/>
    <cellStyle name="Total 2 2 7 3" xfId="37202" xr:uid="{00000000-0005-0000-0000-000052910000}"/>
    <cellStyle name="Total 2 2 7 4" xfId="37203" xr:uid="{00000000-0005-0000-0000-000053910000}"/>
    <cellStyle name="Total 2 2 8" xfId="37204" xr:uid="{00000000-0005-0000-0000-000054910000}"/>
    <cellStyle name="Total 2 2 8 2" xfId="37205" xr:uid="{00000000-0005-0000-0000-000055910000}"/>
    <cellStyle name="Total 2 2 8 2 2" xfId="37206" xr:uid="{00000000-0005-0000-0000-000056910000}"/>
    <cellStyle name="Total 2 2 8 2 3" xfId="37207" xr:uid="{00000000-0005-0000-0000-000057910000}"/>
    <cellStyle name="Total 2 2 8 3" xfId="37208" xr:uid="{00000000-0005-0000-0000-000058910000}"/>
    <cellStyle name="Total 2 2 8 4" xfId="37209" xr:uid="{00000000-0005-0000-0000-000059910000}"/>
    <cellStyle name="Total 2 2 9" xfId="37210" xr:uid="{00000000-0005-0000-0000-00005A910000}"/>
    <cellStyle name="Total 2 2 9 2" xfId="37211" xr:uid="{00000000-0005-0000-0000-00005B910000}"/>
    <cellStyle name="Total 2 2 9 2 2" xfId="37212" xr:uid="{00000000-0005-0000-0000-00005C910000}"/>
    <cellStyle name="Total 2 2 9 2 3" xfId="37213" xr:uid="{00000000-0005-0000-0000-00005D910000}"/>
    <cellStyle name="Total 2 2 9 3" xfId="37214" xr:uid="{00000000-0005-0000-0000-00005E910000}"/>
    <cellStyle name="Total 2 2 9 4" xfId="37215" xr:uid="{00000000-0005-0000-0000-00005F910000}"/>
    <cellStyle name="Total 2 3" xfId="37216" xr:uid="{00000000-0005-0000-0000-000060910000}"/>
    <cellStyle name="Total 2 3 2" xfId="37217" xr:uid="{00000000-0005-0000-0000-000061910000}"/>
    <cellStyle name="Total 2 4" xfId="37218" xr:uid="{00000000-0005-0000-0000-000062910000}"/>
    <cellStyle name="Total 2 5" xfId="37219" xr:uid="{00000000-0005-0000-0000-000063910000}"/>
    <cellStyle name="Total 2 6" xfId="37220" xr:uid="{00000000-0005-0000-0000-000064910000}"/>
    <cellStyle name="Total 2 7" xfId="37221" xr:uid="{00000000-0005-0000-0000-000065910000}"/>
    <cellStyle name="Total 20" xfId="37222" xr:uid="{00000000-0005-0000-0000-000066910000}"/>
    <cellStyle name="Total 20 2" xfId="37223" xr:uid="{00000000-0005-0000-0000-000067910000}"/>
    <cellStyle name="Total 20 2 10" xfId="37224" xr:uid="{00000000-0005-0000-0000-000068910000}"/>
    <cellStyle name="Total 20 2 10 2" xfId="37225" xr:uid="{00000000-0005-0000-0000-000069910000}"/>
    <cellStyle name="Total 20 2 10 2 2" xfId="37226" xr:uid="{00000000-0005-0000-0000-00006A910000}"/>
    <cellStyle name="Total 20 2 10 2 3" xfId="37227" xr:uid="{00000000-0005-0000-0000-00006B910000}"/>
    <cellStyle name="Total 20 2 10 3" xfId="37228" xr:uid="{00000000-0005-0000-0000-00006C910000}"/>
    <cellStyle name="Total 20 2 10 4" xfId="37229" xr:uid="{00000000-0005-0000-0000-00006D910000}"/>
    <cellStyle name="Total 20 2 11" xfId="37230" xr:uid="{00000000-0005-0000-0000-00006E910000}"/>
    <cellStyle name="Total 20 2 11 2" xfId="37231" xr:uid="{00000000-0005-0000-0000-00006F910000}"/>
    <cellStyle name="Total 20 2 11 2 2" xfId="37232" xr:uid="{00000000-0005-0000-0000-000070910000}"/>
    <cellStyle name="Total 20 2 11 2 3" xfId="37233" xr:uid="{00000000-0005-0000-0000-000071910000}"/>
    <cellStyle name="Total 20 2 11 3" xfId="37234" xr:uid="{00000000-0005-0000-0000-000072910000}"/>
    <cellStyle name="Total 20 2 11 4" xfId="37235" xr:uid="{00000000-0005-0000-0000-000073910000}"/>
    <cellStyle name="Total 20 2 12" xfId="37236" xr:uid="{00000000-0005-0000-0000-000074910000}"/>
    <cellStyle name="Total 20 2 12 2" xfId="37237" xr:uid="{00000000-0005-0000-0000-000075910000}"/>
    <cellStyle name="Total 20 2 12 2 2" xfId="37238" xr:uid="{00000000-0005-0000-0000-000076910000}"/>
    <cellStyle name="Total 20 2 12 2 3" xfId="37239" xr:uid="{00000000-0005-0000-0000-000077910000}"/>
    <cellStyle name="Total 20 2 12 3" xfId="37240" xr:uid="{00000000-0005-0000-0000-000078910000}"/>
    <cellStyle name="Total 20 2 12 4" xfId="37241" xr:uid="{00000000-0005-0000-0000-000079910000}"/>
    <cellStyle name="Total 20 2 13" xfId="37242" xr:uid="{00000000-0005-0000-0000-00007A910000}"/>
    <cellStyle name="Total 20 2 13 2" xfId="37243" xr:uid="{00000000-0005-0000-0000-00007B910000}"/>
    <cellStyle name="Total 20 2 13 2 2" xfId="37244" xr:uid="{00000000-0005-0000-0000-00007C910000}"/>
    <cellStyle name="Total 20 2 13 2 3" xfId="37245" xr:uid="{00000000-0005-0000-0000-00007D910000}"/>
    <cellStyle name="Total 20 2 13 3" xfId="37246" xr:uid="{00000000-0005-0000-0000-00007E910000}"/>
    <cellStyle name="Total 20 2 13 4" xfId="37247" xr:uid="{00000000-0005-0000-0000-00007F910000}"/>
    <cellStyle name="Total 20 2 14" xfId="37248" xr:uid="{00000000-0005-0000-0000-000080910000}"/>
    <cellStyle name="Total 20 2 14 2" xfId="37249" xr:uid="{00000000-0005-0000-0000-000081910000}"/>
    <cellStyle name="Total 20 2 14 2 2" xfId="37250" xr:uid="{00000000-0005-0000-0000-000082910000}"/>
    <cellStyle name="Total 20 2 14 2 3" xfId="37251" xr:uid="{00000000-0005-0000-0000-000083910000}"/>
    <cellStyle name="Total 20 2 14 3" xfId="37252" xr:uid="{00000000-0005-0000-0000-000084910000}"/>
    <cellStyle name="Total 20 2 14 4" xfId="37253" xr:uid="{00000000-0005-0000-0000-000085910000}"/>
    <cellStyle name="Total 20 2 15" xfId="37254" xr:uid="{00000000-0005-0000-0000-000086910000}"/>
    <cellStyle name="Total 20 2 15 2" xfId="37255" xr:uid="{00000000-0005-0000-0000-000087910000}"/>
    <cellStyle name="Total 20 2 15 2 2" xfId="37256" xr:uid="{00000000-0005-0000-0000-000088910000}"/>
    <cellStyle name="Total 20 2 15 2 3" xfId="37257" xr:uid="{00000000-0005-0000-0000-000089910000}"/>
    <cellStyle name="Total 20 2 15 3" xfId="37258" xr:uid="{00000000-0005-0000-0000-00008A910000}"/>
    <cellStyle name="Total 20 2 15 4" xfId="37259" xr:uid="{00000000-0005-0000-0000-00008B910000}"/>
    <cellStyle name="Total 20 2 16" xfId="37260" xr:uid="{00000000-0005-0000-0000-00008C910000}"/>
    <cellStyle name="Total 20 2 16 2" xfId="37261" xr:uid="{00000000-0005-0000-0000-00008D910000}"/>
    <cellStyle name="Total 20 2 16 2 2" xfId="37262" xr:uid="{00000000-0005-0000-0000-00008E910000}"/>
    <cellStyle name="Total 20 2 16 2 3" xfId="37263" xr:uid="{00000000-0005-0000-0000-00008F910000}"/>
    <cellStyle name="Total 20 2 16 3" xfId="37264" xr:uid="{00000000-0005-0000-0000-000090910000}"/>
    <cellStyle name="Total 20 2 16 4" xfId="37265" xr:uid="{00000000-0005-0000-0000-000091910000}"/>
    <cellStyle name="Total 20 2 17" xfId="37266" xr:uid="{00000000-0005-0000-0000-000092910000}"/>
    <cellStyle name="Total 20 2 17 2" xfId="37267" xr:uid="{00000000-0005-0000-0000-000093910000}"/>
    <cellStyle name="Total 20 2 17 2 2" xfId="37268" xr:uid="{00000000-0005-0000-0000-000094910000}"/>
    <cellStyle name="Total 20 2 17 2 3" xfId="37269" xr:uid="{00000000-0005-0000-0000-000095910000}"/>
    <cellStyle name="Total 20 2 17 3" xfId="37270" xr:uid="{00000000-0005-0000-0000-000096910000}"/>
    <cellStyle name="Total 20 2 17 4" xfId="37271" xr:uid="{00000000-0005-0000-0000-000097910000}"/>
    <cellStyle name="Total 20 2 18" xfId="37272" xr:uid="{00000000-0005-0000-0000-000098910000}"/>
    <cellStyle name="Total 20 2 18 2" xfId="37273" xr:uid="{00000000-0005-0000-0000-000099910000}"/>
    <cellStyle name="Total 20 2 18 3" xfId="37274" xr:uid="{00000000-0005-0000-0000-00009A910000}"/>
    <cellStyle name="Total 20 2 18 4" xfId="37275" xr:uid="{00000000-0005-0000-0000-00009B910000}"/>
    <cellStyle name="Total 20 2 19" xfId="37276" xr:uid="{00000000-0005-0000-0000-00009C910000}"/>
    <cellStyle name="Total 20 2 2" xfId="37277" xr:uid="{00000000-0005-0000-0000-00009D910000}"/>
    <cellStyle name="Total 20 2 2 2" xfId="37278" xr:uid="{00000000-0005-0000-0000-00009E910000}"/>
    <cellStyle name="Total 20 2 2 2 2" xfId="37279" xr:uid="{00000000-0005-0000-0000-00009F910000}"/>
    <cellStyle name="Total 20 2 2 2 3" xfId="37280" xr:uid="{00000000-0005-0000-0000-0000A0910000}"/>
    <cellStyle name="Total 20 2 2 3" xfId="37281" xr:uid="{00000000-0005-0000-0000-0000A1910000}"/>
    <cellStyle name="Total 20 2 2 4" xfId="37282" xr:uid="{00000000-0005-0000-0000-0000A2910000}"/>
    <cellStyle name="Total 20 2 20" xfId="37283" xr:uid="{00000000-0005-0000-0000-0000A3910000}"/>
    <cellStyle name="Total 20 2 21" xfId="37284" xr:uid="{00000000-0005-0000-0000-0000A4910000}"/>
    <cellStyle name="Total 20 2 3" xfId="37285" xr:uid="{00000000-0005-0000-0000-0000A5910000}"/>
    <cellStyle name="Total 20 2 3 2" xfId="37286" xr:uid="{00000000-0005-0000-0000-0000A6910000}"/>
    <cellStyle name="Total 20 2 3 2 2" xfId="37287" xr:uid="{00000000-0005-0000-0000-0000A7910000}"/>
    <cellStyle name="Total 20 2 3 2 3" xfId="37288" xr:uid="{00000000-0005-0000-0000-0000A8910000}"/>
    <cellStyle name="Total 20 2 3 3" xfId="37289" xr:uid="{00000000-0005-0000-0000-0000A9910000}"/>
    <cellStyle name="Total 20 2 3 4" xfId="37290" xr:uid="{00000000-0005-0000-0000-0000AA910000}"/>
    <cellStyle name="Total 20 2 4" xfId="37291" xr:uid="{00000000-0005-0000-0000-0000AB910000}"/>
    <cellStyle name="Total 20 2 4 2" xfId="37292" xr:uid="{00000000-0005-0000-0000-0000AC910000}"/>
    <cellStyle name="Total 20 2 4 2 2" xfId="37293" xr:uid="{00000000-0005-0000-0000-0000AD910000}"/>
    <cellStyle name="Total 20 2 4 2 3" xfId="37294" xr:uid="{00000000-0005-0000-0000-0000AE910000}"/>
    <cellStyle name="Total 20 2 4 3" xfId="37295" xr:uid="{00000000-0005-0000-0000-0000AF910000}"/>
    <cellStyle name="Total 20 2 4 4" xfId="37296" xr:uid="{00000000-0005-0000-0000-0000B0910000}"/>
    <cellStyle name="Total 20 2 5" xfId="37297" xr:uid="{00000000-0005-0000-0000-0000B1910000}"/>
    <cellStyle name="Total 20 2 5 2" xfId="37298" xr:uid="{00000000-0005-0000-0000-0000B2910000}"/>
    <cellStyle name="Total 20 2 5 2 2" xfId="37299" xr:uid="{00000000-0005-0000-0000-0000B3910000}"/>
    <cellStyle name="Total 20 2 5 2 3" xfId="37300" xr:uid="{00000000-0005-0000-0000-0000B4910000}"/>
    <cellStyle name="Total 20 2 5 3" xfId="37301" xr:uid="{00000000-0005-0000-0000-0000B5910000}"/>
    <cellStyle name="Total 20 2 5 4" xfId="37302" xr:uid="{00000000-0005-0000-0000-0000B6910000}"/>
    <cellStyle name="Total 20 2 6" xfId="37303" xr:uid="{00000000-0005-0000-0000-0000B7910000}"/>
    <cellStyle name="Total 20 2 6 2" xfId="37304" xr:uid="{00000000-0005-0000-0000-0000B8910000}"/>
    <cellStyle name="Total 20 2 6 2 2" xfId="37305" xr:uid="{00000000-0005-0000-0000-0000B9910000}"/>
    <cellStyle name="Total 20 2 6 2 3" xfId="37306" xr:uid="{00000000-0005-0000-0000-0000BA910000}"/>
    <cellStyle name="Total 20 2 6 3" xfId="37307" xr:uid="{00000000-0005-0000-0000-0000BB910000}"/>
    <cellStyle name="Total 20 2 6 4" xfId="37308" xr:uid="{00000000-0005-0000-0000-0000BC910000}"/>
    <cellStyle name="Total 20 2 7" xfId="37309" xr:uid="{00000000-0005-0000-0000-0000BD910000}"/>
    <cellStyle name="Total 20 2 7 2" xfId="37310" xr:uid="{00000000-0005-0000-0000-0000BE910000}"/>
    <cellStyle name="Total 20 2 7 2 2" xfId="37311" xr:uid="{00000000-0005-0000-0000-0000BF910000}"/>
    <cellStyle name="Total 20 2 7 2 3" xfId="37312" xr:uid="{00000000-0005-0000-0000-0000C0910000}"/>
    <cellStyle name="Total 20 2 7 3" xfId="37313" xr:uid="{00000000-0005-0000-0000-0000C1910000}"/>
    <cellStyle name="Total 20 2 7 4" xfId="37314" xr:uid="{00000000-0005-0000-0000-0000C2910000}"/>
    <cellStyle name="Total 20 2 8" xfId="37315" xr:uid="{00000000-0005-0000-0000-0000C3910000}"/>
    <cellStyle name="Total 20 2 8 2" xfId="37316" xr:uid="{00000000-0005-0000-0000-0000C4910000}"/>
    <cellStyle name="Total 20 2 8 2 2" xfId="37317" xr:uid="{00000000-0005-0000-0000-0000C5910000}"/>
    <cellStyle name="Total 20 2 8 2 3" xfId="37318" xr:uid="{00000000-0005-0000-0000-0000C6910000}"/>
    <cellStyle name="Total 20 2 8 3" xfId="37319" xr:uid="{00000000-0005-0000-0000-0000C7910000}"/>
    <cellStyle name="Total 20 2 8 4" xfId="37320" xr:uid="{00000000-0005-0000-0000-0000C8910000}"/>
    <cellStyle name="Total 20 2 9" xfId="37321" xr:uid="{00000000-0005-0000-0000-0000C9910000}"/>
    <cellStyle name="Total 20 2 9 2" xfId="37322" xr:uid="{00000000-0005-0000-0000-0000CA910000}"/>
    <cellStyle name="Total 20 2 9 2 2" xfId="37323" xr:uid="{00000000-0005-0000-0000-0000CB910000}"/>
    <cellStyle name="Total 20 2 9 2 3" xfId="37324" xr:uid="{00000000-0005-0000-0000-0000CC910000}"/>
    <cellStyle name="Total 20 2 9 3" xfId="37325" xr:uid="{00000000-0005-0000-0000-0000CD910000}"/>
    <cellStyle name="Total 20 2 9 4" xfId="37326" xr:uid="{00000000-0005-0000-0000-0000CE910000}"/>
    <cellStyle name="Total 20 3" xfId="37327" xr:uid="{00000000-0005-0000-0000-0000CF910000}"/>
    <cellStyle name="Total 20 3 2" xfId="37328" xr:uid="{00000000-0005-0000-0000-0000D0910000}"/>
    <cellStyle name="Total 20 3 2 2" xfId="37329" xr:uid="{00000000-0005-0000-0000-0000D1910000}"/>
    <cellStyle name="Total 20 3 2 3" xfId="37330" xr:uid="{00000000-0005-0000-0000-0000D2910000}"/>
    <cellStyle name="Total 20 3 3" xfId="37331" xr:uid="{00000000-0005-0000-0000-0000D3910000}"/>
    <cellStyle name="Total 20 3 4" xfId="37332" xr:uid="{00000000-0005-0000-0000-0000D4910000}"/>
    <cellStyle name="Total 20 4" xfId="37333" xr:uid="{00000000-0005-0000-0000-0000D5910000}"/>
    <cellStyle name="Total 20 5" xfId="37334" xr:uid="{00000000-0005-0000-0000-0000D6910000}"/>
    <cellStyle name="Total 21" xfId="37335" xr:uid="{00000000-0005-0000-0000-0000D7910000}"/>
    <cellStyle name="Total 21 2" xfId="37336" xr:uid="{00000000-0005-0000-0000-0000D8910000}"/>
    <cellStyle name="Total 21 2 10" xfId="37337" xr:uid="{00000000-0005-0000-0000-0000D9910000}"/>
    <cellStyle name="Total 21 2 10 2" xfId="37338" xr:uid="{00000000-0005-0000-0000-0000DA910000}"/>
    <cellStyle name="Total 21 2 10 2 2" xfId="37339" xr:uid="{00000000-0005-0000-0000-0000DB910000}"/>
    <cellStyle name="Total 21 2 10 2 3" xfId="37340" xr:uid="{00000000-0005-0000-0000-0000DC910000}"/>
    <cellStyle name="Total 21 2 10 3" xfId="37341" xr:uid="{00000000-0005-0000-0000-0000DD910000}"/>
    <cellStyle name="Total 21 2 10 4" xfId="37342" xr:uid="{00000000-0005-0000-0000-0000DE910000}"/>
    <cellStyle name="Total 21 2 11" xfId="37343" xr:uid="{00000000-0005-0000-0000-0000DF910000}"/>
    <cellStyle name="Total 21 2 11 2" xfId="37344" xr:uid="{00000000-0005-0000-0000-0000E0910000}"/>
    <cellStyle name="Total 21 2 11 2 2" xfId="37345" xr:uid="{00000000-0005-0000-0000-0000E1910000}"/>
    <cellStyle name="Total 21 2 11 2 3" xfId="37346" xr:uid="{00000000-0005-0000-0000-0000E2910000}"/>
    <cellStyle name="Total 21 2 11 3" xfId="37347" xr:uid="{00000000-0005-0000-0000-0000E3910000}"/>
    <cellStyle name="Total 21 2 11 4" xfId="37348" xr:uid="{00000000-0005-0000-0000-0000E4910000}"/>
    <cellStyle name="Total 21 2 12" xfId="37349" xr:uid="{00000000-0005-0000-0000-0000E5910000}"/>
    <cellStyle name="Total 21 2 12 2" xfId="37350" xr:uid="{00000000-0005-0000-0000-0000E6910000}"/>
    <cellStyle name="Total 21 2 12 2 2" xfId="37351" xr:uid="{00000000-0005-0000-0000-0000E7910000}"/>
    <cellStyle name="Total 21 2 12 2 3" xfId="37352" xr:uid="{00000000-0005-0000-0000-0000E8910000}"/>
    <cellStyle name="Total 21 2 12 3" xfId="37353" xr:uid="{00000000-0005-0000-0000-0000E9910000}"/>
    <cellStyle name="Total 21 2 12 4" xfId="37354" xr:uid="{00000000-0005-0000-0000-0000EA910000}"/>
    <cellStyle name="Total 21 2 13" xfId="37355" xr:uid="{00000000-0005-0000-0000-0000EB910000}"/>
    <cellStyle name="Total 21 2 13 2" xfId="37356" xr:uid="{00000000-0005-0000-0000-0000EC910000}"/>
    <cellStyle name="Total 21 2 13 2 2" xfId="37357" xr:uid="{00000000-0005-0000-0000-0000ED910000}"/>
    <cellStyle name="Total 21 2 13 2 3" xfId="37358" xr:uid="{00000000-0005-0000-0000-0000EE910000}"/>
    <cellStyle name="Total 21 2 13 3" xfId="37359" xr:uid="{00000000-0005-0000-0000-0000EF910000}"/>
    <cellStyle name="Total 21 2 13 4" xfId="37360" xr:uid="{00000000-0005-0000-0000-0000F0910000}"/>
    <cellStyle name="Total 21 2 14" xfId="37361" xr:uid="{00000000-0005-0000-0000-0000F1910000}"/>
    <cellStyle name="Total 21 2 14 2" xfId="37362" xr:uid="{00000000-0005-0000-0000-0000F2910000}"/>
    <cellStyle name="Total 21 2 14 2 2" xfId="37363" xr:uid="{00000000-0005-0000-0000-0000F3910000}"/>
    <cellStyle name="Total 21 2 14 2 3" xfId="37364" xr:uid="{00000000-0005-0000-0000-0000F4910000}"/>
    <cellStyle name="Total 21 2 14 3" xfId="37365" xr:uid="{00000000-0005-0000-0000-0000F5910000}"/>
    <cellStyle name="Total 21 2 14 4" xfId="37366" xr:uid="{00000000-0005-0000-0000-0000F6910000}"/>
    <cellStyle name="Total 21 2 15" xfId="37367" xr:uid="{00000000-0005-0000-0000-0000F7910000}"/>
    <cellStyle name="Total 21 2 15 2" xfId="37368" xr:uid="{00000000-0005-0000-0000-0000F8910000}"/>
    <cellStyle name="Total 21 2 15 2 2" xfId="37369" xr:uid="{00000000-0005-0000-0000-0000F9910000}"/>
    <cellStyle name="Total 21 2 15 2 3" xfId="37370" xr:uid="{00000000-0005-0000-0000-0000FA910000}"/>
    <cellStyle name="Total 21 2 15 3" xfId="37371" xr:uid="{00000000-0005-0000-0000-0000FB910000}"/>
    <cellStyle name="Total 21 2 15 4" xfId="37372" xr:uid="{00000000-0005-0000-0000-0000FC910000}"/>
    <cellStyle name="Total 21 2 16" xfId="37373" xr:uid="{00000000-0005-0000-0000-0000FD910000}"/>
    <cellStyle name="Total 21 2 16 2" xfId="37374" xr:uid="{00000000-0005-0000-0000-0000FE910000}"/>
    <cellStyle name="Total 21 2 16 2 2" xfId="37375" xr:uid="{00000000-0005-0000-0000-0000FF910000}"/>
    <cellStyle name="Total 21 2 16 2 3" xfId="37376" xr:uid="{00000000-0005-0000-0000-000000920000}"/>
    <cellStyle name="Total 21 2 16 3" xfId="37377" xr:uid="{00000000-0005-0000-0000-000001920000}"/>
    <cellStyle name="Total 21 2 16 4" xfId="37378" xr:uid="{00000000-0005-0000-0000-000002920000}"/>
    <cellStyle name="Total 21 2 17" xfId="37379" xr:uid="{00000000-0005-0000-0000-000003920000}"/>
    <cellStyle name="Total 21 2 17 2" xfId="37380" xr:uid="{00000000-0005-0000-0000-000004920000}"/>
    <cellStyle name="Total 21 2 17 2 2" xfId="37381" xr:uid="{00000000-0005-0000-0000-000005920000}"/>
    <cellStyle name="Total 21 2 17 2 3" xfId="37382" xr:uid="{00000000-0005-0000-0000-000006920000}"/>
    <cellStyle name="Total 21 2 17 3" xfId="37383" xr:uid="{00000000-0005-0000-0000-000007920000}"/>
    <cellStyle name="Total 21 2 17 4" xfId="37384" xr:uid="{00000000-0005-0000-0000-000008920000}"/>
    <cellStyle name="Total 21 2 18" xfId="37385" xr:uid="{00000000-0005-0000-0000-000009920000}"/>
    <cellStyle name="Total 21 2 18 2" xfId="37386" xr:uid="{00000000-0005-0000-0000-00000A920000}"/>
    <cellStyle name="Total 21 2 18 3" xfId="37387" xr:uid="{00000000-0005-0000-0000-00000B920000}"/>
    <cellStyle name="Total 21 2 18 4" xfId="37388" xr:uid="{00000000-0005-0000-0000-00000C920000}"/>
    <cellStyle name="Total 21 2 19" xfId="37389" xr:uid="{00000000-0005-0000-0000-00000D920000}"/>
    <cellStyle name="Total 21 2 2" xfId="37390" xr:uid="{00000000-0005-0000-0000-00000E920000}"/>
    <cellStyle name="Total 21 2 2 2" xfId="37391" xr:uid="{00000000-0005-0000-0000-00000F920000}"/>
    <cellStyle name="Total 21 2 2 2 2" xfId="37392" xr:uid="{00000000-0005-0000-0000-000010920000}"/>
    <cellStyle name="Total 21 2 2 2 3" xfId="37393" xr:uid="{00000000-0005-0000-0000-000011920000}"/>
    <cellStyle name="Total 21 2 2 3" xfId="37394" xr:uid="{00000000-0005-0000-0000-000012920000}"/>
    <cellStyle name="Total 21 2 2 4" xfId="37395" xr:uid="{00000000-0005-0000-0000-000013920000}"/>
    <cellStyle name="Total 21 2 20" xfId="37396" xr:uid="{00000000-0005-0000-0000-000014920000}"/>
    <cellStyle name="Total 21 2 21" xfId="37397" xr:uid="{00000000-0005-0000-0000-000015920000}"/>
    <cellStyle name="Total 21 2 3" xfId="37398" xr:uid="{00000000-0005-0000-0000-000016920000}"/>
    <cellStyle name="Total 21 2 3 2" xfId="37399" xr:uid="{00000000-0005-0000-0000-000017920000}"/>
    <cellStyle name="Total 21 2 3 2 2" xfId="37400" xr:uid="{00000000-0005-0000-0000-000018920000}"/>
    <cellStyle name="Total 21 2 3 2 3" xfId="37401" xr:uid="{00000000-0005-0000-0000-000019920000}"/>
    <cellStyle name="Total 21 2 3 3" xfId="37402" xr:uid="{00000000-0005-0000-0000-00001A920000}"/>
    <cellStyle name="Total 21 2 3 4" xfId="37403" xr:uid="{00000000-0005-0000-0000-00001B920000}"/>
    <cellStyle name="Total 21 2 4" xfId="37404" xr:uid="{00000000-0005-0000-0000-00001C920000}"/>
    <cellStyle name="Total 21 2 4 2" xfId="37405" xr:uid="{00000000-0005-0000-0000-00001D920000}"/>
    <cellStyle name="Total 21 2 4 2 2" xfId="37406" xr:uid="{00000000-0005-0000-0000-00001E920000}"/>
    <cellStyle name="Total 21 2 4 2 3" xfId="37407" xr:uid="{00000000-0005-0000-0000-00001F920000}"/>
    <cellStyle name="Total 21 2 4 3" xfId="37408" xr:uid="{00000000-0005-0000-0000-000020920000}"/>
    <cellStyle name="Total 21 2 4 4" xfId="37409" xr:uid="{00000000-0005-0000-0000-000021920000}"/>
    <cellStyle name="Total 21 2 5" xfId="37410" xr:uid="{00000000-0005-0000-0000-000022920000}"/>
    <cellStyle name="Total 21 2 5 2" xfId="37411" xr:uid="{00000000-0005-0000-0000-000023920000}"/>
    <cellStyle name="Total 21 2 5 2 2" xfId="37412" xr:uid="{00000000-0005-0000-0000-000024920000}"/>
    <cellStyle name="Total 21 2 5 2 3" xfId="37413" xr:uid="{00000000-0005-0000-0000-000025920000}"/>
    <cellStyle name="Total 21 2 5 3" xfId="37414" xr:uid="{00000000-0005-0000-0000-000026920000}"/>
    <cellStyle name="Total 21 2 5 4" xfId="37415" xr:uid="{00000000-0005-0000-0000-000027920000}"/>
    <cellStyle name="Total 21 2 6" xfId="37416" xr:uid="{00000000-0005-0000-0000-000028920000}"/>
    <cellStyle name="Total 21 2 6 2" xfId="37417" xr:uid="{00000000-0005-0000-0000-000029920000}"/>
    <cellStyle name="Total 21 2 6 2 2" xfId="37418" xr:uid="{00000000-0005-0000-0000-00002A920000}"/>
    <cellStyle name="Total 21 2 6 2 3" xfId="37419" xr:uid="{00000000-0005-0000-0000-00002B920000}"/>
    <cellStyle name="Total 21 2 6 3" xfId="37420" xr:uid="{00000000-0005-0000-0000-00002C920000}"/>
    <cellStyle name="Total 21 2 6 4" xfId="37421" xr:uid="{00000000-0005-0000-0000-00002D920000}"/>
    <cellStyle name="Total 21 2 7" xfId="37422" xr:uid="{00000000-0005-0000-0000-00002E920000}"/>
    <cellStyle name="Total 21 2 7 2" xfId="37423" xr:uid="{00000000-0005-0000-0000-00002F920000}"/>
    <cellStyle name="Total 21 2 7 2 2" xfId="37424" xr:uid="{00000000-0005-0000-0000-000030920000}"/>
    <cellStyle name="Total 21 2 7 2 3" xfId="37425" xr:uid="{00000000-0005-0000-0000-000031920000}"/>
    <cellStyle name="Total 21 2 7 3" xfId="37426" xr:uid="{00000000-0005-0000-0000-000032920000}"/>
    <cellStyle name="Total 21 2 7 4" xfId="37427" xr:uid="{00000000-0005-0000-0000-000033920000}"/>
    <cellStyle name="Total 21 2 8" xfId="37428" xr:uid="{00000000-0005-0000-0000-000034920000}"/>
    <cellStyle name="Total 21 2 8 2" xfId="37429" xr:uid="{00000000-0005-0000-0000-000035920000}"/>
    <cellStyle name="Total 21 2 8 2 2" xfId="37430" xr:uid="{00000000-0005-0000-0000-000036920000}"/>
    <cellStyle name="Total 21 2 8 2 3" xfId="37431" xr:uid="{00000000-0005-0000-0000-000037920000}"/>
    <cellStyle name="Total 21 2 8 3" xfId="37432" xr:uid="{00000000-0005-0000-0000-000038920000}"/>
    <cellStyle name="Total 21 2 8 4" xfId="37433" xr:uid="{00000000-0005-0000-0000-000039920000}"/>
    <cellStyle name="Total 21 2 9" xfId="37434" xr:uid="{00000000-0005-0000-0000-00003A920000}"/>
    <cellStyle name="Total 21 2 9 2" xfId="37435" xr:uid="{00000000-0005-0000-0000-00003B920000}"/>
    <cellStyle name="Total 21 2 9 2 2" xfId="37436" xr:uid="{00000000-0005-0000-0000-00003C920000}"/>
    <cellStyle name="Total 21 2 9 2 3" xfId="37437" xr:uid="{00000000-0005-0000-0000-00003D920000}"/>
    <cellStyle name="Total 21 2 9 3" xfId="37438" xr:uid="{00000000-0005-0000-0000-00003E920000}"/>
    <cellStyle name="Total 21 2 9 4" xfId="37439" xr:uid="{00000000-0005-0000-0000-00003F920000}"/>
    <cellStyle name="Total 21 3" xfId="37440" xr:uid="{00000000-0005-0000-0000-000040920000}"/>
    <cellStyle name="Total 21 3 2" xfId="37441" xr:uid="{00000000-0005-0000-0000-000041920000}"/>
    <cellStyle name="Total 21 3 2 2" xfId="37442" xr:uid="{00000000-0005-0000-0000-000042920000}"/>
    <cellStyle name="Total 21 3 2 3" xfId="37443" xr:uid="{00000000-0005-0000-0000-000043920000}"/>
    <cellStyle name="Total 21 3 3" xfId="37444" xr:uid="{00000000-0005-0000-0000-000044920000}"/>
    <cellStyle name="Total 21 3 4" xfId="37445" xr:uid="{00000000-0005-0000-0000-000045920000}"/>
    <cellStyle name="Total 21 4" xfId="37446" xr:uid="{00000000-0005-0000-0000-000046920000}"/>
    <cellStyle name="Total 21 5" xfId="37447" xr:uid="{00000000-0005-0000-0000-000047920000}"/>
    <cellStyle name="Total 22" xfId="37448" xr:uid="{00000000-0005-0000-0000-000048920000}"/>
    <cellStyle name="Total 22 2" xfId="37449" xr:uid="{00000000-0005-0000-0000-000049920000}"/>
    <cellStyle name="Total 22 2 10" xfId="37450" xr:uid="{00000000-0005-0000-0000-00004A920000}"/>
    <cellStyle name="Total 22 2 10 2" xfId="37451" xr:uid="{00000000-0005-0000-0000-00004B920000}"/>
    <cellStyle name="Total 22 2 10 2 2" xfId="37452" xr:uid="{00000000-0005-0000-0000-00004C920000}"/>
    <cellStyle name="Total 22 2 10 2 3" xfId="37453" xr:uid="{00000000-0005-0000-0000-00004D920000}"/>
    <cellStyle name="Total 22 2 10 3" xfId="37454" xr:uid="{00000000-0005-0000-0000-00004E920000}"/>
    <cellStyle name="Total 22 2 10 4" xfId="37455" xr:uid="{00000000-0005-0000-0000-00004F920000}"/>
    <cellStyle name="Total 22 2 11" xfId="37456" xr:uid="{00000000-0005-0000-0000-000050920000}"/>
    <cellStyle name="Total 22 2 11 2" xfId="37457" xr:uid="{00000000-0005-0000-0000-000051920000}"/>
    <cellStyle name="Total 22 2 11 2 2" xfId="37458" xr:uid="{00000000-0005-0000-0000-000052920000}"/>
    <cellStyle name="Total 22 2 11 2 3" xfId="37459" xr:uid="{00000000-0005-0000-0000-000053920000}"/>
    <cellStyle name="Total 22 2 11 3" xfId="37460" xr:uid="{00000000-0005-0000-0000-000054920000}"/>
    <cellStyle name="Total 22 2 11 4" xfId="37461" xr:uid="{00000000-0005-0000-0000-000055920000}"/>
    <cellStyle name="Total 22 2 12" xfId="37462" xr:uid="{00000000-0005-0000-0000-000056920000}"/>
    <cellStyle name="Total 22 2 12 2" xfId="37463" xr:uid="{00000000-0005-0000-0000-000057920000}"/>
    <cellStyle name="Total 22 2 12 2 2" xfId="37464" xr:uid="{00000000-0005-0000-0000-000058920000}"/>
    <cellStyle name="Total 22 2 12 2 3" xfId="37465" xr:uid="{00000000-0005-0000-0000-000059920000}"/>
    <cellStyle name="Total 22 2 12 3" xfId="37466" xr:uid="{00000000-0005-0000-0000-00005A920000}"/>
    <cellStyle name="Total 22 2 12 4" xfId="37467" xr:uid="{00000000-0005-0000-0000-00005B920000}"/>
    <cellStyle name="Total 22 2 13" xfId="37468" xr:uid="{00000000-0005-0000-0000-00005C920000}"/>
    <cellStyle name="Total 22 2 13 2" xfId="37469" xr:uid="{00000000-0005-0000-0000-00005D920000}"/>
    <cellStyle name="Total 22 2 13 2 2" xfId="37470" xr:uid="{00000000-0005-0000-0000-00005E920000}"/>
    <cellStyle name="Total 22 2 13 2 3" xfId="37471" xr:uid="{00000000-0005-0000-0000-00005F920000}"/>
    <cellStyle name="Total 22 2 13 3" xfId="37472" xr:uid="{00000000-0005-0000-0000-000060920000}"/>
    <cellStyle name="Total 22 2 13 4" xfId="37473" xr:uid="{00000000-0005-0000-0000-000061920000}"/>
    <cellStyle name="Total 22 2 14" xfId="37474" xr:uid="{00000000-0005-0000-0000-000062920000}"/>
    <cellStyle name="Total 22 2 14 2" xfId="37475" xr:uid="{00000000-0005-0000-0000-000063920000}"/>
    <cellStyle name="Total 22 2 14 2 2" xfId="37476" xr:uid="{00000000-0005-0000-0000-000064920000}"/>
    <cellStyle name="Total 22 2 14 2 3" xfId="37477" xr:uid="{00000000-0005-0000-0000-000065920000}"/>
    <cellStyle name="Total 22 2 14 3" xfId="37478" xr:uid="{00000000-0005-0000-0000-000066920000}"/>
    <cellStyle name="Total 22 2 14 4" xfId="37479" xr:uid="{00000000-0005-0000-0000-000067920000}"/>
    <cellStyle name="Total 22 2 15" xfId="37480" xr:uid="{00000000-0005-0000-0000-000068920000}"/>
    <cellStyle name="Total 22 2 15 2" xfId="37481" xr:uid="{00000000-0005-0000-0000-000069920000}"/>
    <cellStyle name="Total 22 2 15 2 2" xfId="37482" xr:uid="{00000000-0005-0000-0000-00006A920000}"/>
    <cellStyle name="Total 22 2 15 2 3" xfId="37483" xr:uid="{00000000-0005-0000-0000-00006B920000}"/>
    <cellStyle name="Total 22 2 15 3" xfId="37484" xr:uid="{00000000-0005-0000-0000-00006C920000}"/>
    <cellStyle name="Total 22 2 15 4" xfId="37485" xr:uid="{00000000-0005-0000-0000-00006D920000}"/>
    <cellStyle name="Total 22 2 16" xfId="37486" xr:uid="{00000000-0005-0000-0000-00006E920000}"/>
    <cellStyle name="Total 22 2 16 2" xfId="37487" xr:uid="{00000000-0005-0000-0000-00006F920000}"/>
    <cellStyle name="Total 22 2 16 2 2" xfId="37488" xr:uid="{00000000-0005-0000-0000-000070920000}"/>
    <cellStyle name="Total 22 2 16 2 3" xfId="37489" xr:uid="{00000000-0005-0000-0000-000071920000}"/>
    <cellStyle name="Total 22 2 16 3" xfId="37490" xr:uid="{00000000-0005-0000-0000-000072920000}"/>
    <cellStyle name="Total 22 2 16 4" xfId="37491" xr:uid="{00000000-0005-0000-0000-000073920000}"/>
    <cellStyle name="Total 22 2 17" xfId="37492" xr:uid="{00000000-0005-0000-0000-000074920000}"/>
    <cellStyle name="Total 22 2 17 2" xfId="37493" xr:uid="{00000000-0005-0000-0000-000075920000}"/>
    <cellStyle name="Total 22 2 17 2 2" xfId="37494" xr:uid="{00000000-0005-0000-0000-000076920000}"/>
    <cellStyle name="Total 22 2 17 2 3" xfId="37495" xr:uid="{00000000-0005-0000-0000-000077920000}"/>
    <cellStyle name="Total 22 2 17 3" xfId="37496" xr:uid="{00000000-0005-0000-0000-000078920000}"/>
    <cellStyle name="Total 22 2 17 4" xfId="37497" xr:uid="{00000000-0005-0000-0000-000079920000}"/>
    <cellStyle name="Total 22 2 18" xfId="37498" xr:uid="{00000000-0005-0000-0000-00007A920000}"/>
    <cellStyle name="Total 22 2 18 2" xfId="37499" xr:uid="{00000000-0005-0000-0000-00007B920000}"/>
    <cellStyle name="Total 22 2 18 3" xfId="37500" xr:uid="{00000000-0005-0000-0000-00007C920000}"/>
    <cellStyle name="Total 22 2 18 4" xfId="37501" xr:uid="{00000000-0005-0000-0000-00007D920000}"/>
    <cellStyle name="Total 22 2 19" xfId="37502" xr:uid="{00000000-0005-0000-0000-00007E920000}"/>
    <cellStyle name="Total 22 2 2" xfId="37503" xr:uid="{00000000-0005-0000-0000-00007F920000}"/>
    <cellStyle name="Total 22 2 2 2" xfId="37504" xr:uid="{00000000-0005-0000-0000-000080920000}"/>
    <cellStyle name="Total 22 2 2 2 2" xfId="37505" xr:uid="{00000000-0005-0000-0000-000081920000}"/>
    <cellStyle name="Total 22 2 2 2 3" xfId="37506" xr:uid="{00000000-0005-0000-0000-000082920000}"/>
    <cellStyle name="Total 22 2 2 3" xfId="37507" xr:uid="{00000000-0005-0000-0000-000083920000}"/>
    <cellStyle name="Total 22 2 2 4" xfId="37508" xr:uid="{00000000-0005-0000-0000-000084920000}"/>
    <cellStyle name="Total 22 2 20" xfId="37509" xr:uid="{00000000-0005-0000-0000-000085920000}"/>
    <cellStyle name="Total 22 2 21" xfId="37510" xr:uid="{00000000-0005-0000-0000-000086920000}"/>
    <cellStyle name="Total 22 2 3" xfId="37511" xr:uid="{00000000-0005-0000-0000-000087920000}"/>
    <cellStyle name="Total 22 2 3 2" xfId="37512" xr:uid="{00000000-0005-0000-0000-000088920000}"/>
    <cellStyle name="Total 22 2 3 2 2" xfId="37513" xr:uid="{00000000-0005-0000-0000-000089920000}"/>
    <cellStyle name="Total 22 2 3 2 3" xfId="37514" xr:uid="{00000000-0005-0000-0000-00008A920000}"/>
    <cellStyle name="Total 22 2 3 3" xfId="37515" xr:uid="{00000000-0005-0000-0000-00008B920000}"/>
    <cellStyle name="Total 22 2 3 4" xfId="37516" xr:uid="{00000000-0005-0000-0000-00008C920000}"/>
    <cellStyle name="Total 22 2 4" xfId="37517" xr:uid="{00000000-0005-0000-0000-00008D920000}"/>
    <cellStyle name="Total 22 2 4 2" xfId="37518" xr:uid="{00000000-0005-0000-0000-00008E920000}"/>
    <cellStyle name="Total 22 2 4 2 2" xfId="37519" xr:uid="{00000000-0005-0000-0000-00008F920000}"/>
    <cellStyle name="Total 22 2 4 2 3" xfId="37520" xr:uid="{00000000-0005-0000-0000-000090920000}"/>
    <cellStyle name="Total 22 2 4 3" xfId="37521" xr:uid="{00000000-0005-0000-0000-000091920000}"/>
    <cellStyle name="Total 22 2 4 4" xfId="37522" xr:uid="{00000000-0005-0000-0000-000092920000}"/>
    <cellStyle name="Total 22 2 5" xfId="37523" xr:uid="{00000000-0005-0000-0000-000093920000}"/>
    <cellStyle name="Total 22 2 5 2" xfId="37524" xr:uid="{00000000-0005-0000-0000-000094920000}"/>
    <cellStyle name="Total 22 2 5 2 2" xfId="37525" xr:uid="{00000000-0005-0000-0000-000095920000}"/>
    <cellStyle name="Total 22 2 5 2 3" xfId="37526" xr:uid="{00000000-0005-0000-0000-000096920000}"/>
    <cellStyle name="Total 22 2 5 3" xfId="37527" xr:uid="{00000000-0005-0000-0000-000097920000}"/>
    <cellStyle name="Total 22 2 5 4" xfId="37528" xr:uid="{00000000-0005-0000-0000-000098920000}"/>
    <cellStyle name="Total 22 2 6" xfId="37529" xr:uid="{00000000-0005-0000-0000-000099920000}"/>
    <cellStyle name="Total 22 2 6 2" xfId="37530" xr:uid="{00000000-0005-0000-0000-00009A920000}"/>
    <cellStyle name="Total 22 2 6 2 2" xfId="37531" xr:uid="{00000000-0005-0000-0000-00009B920000}"/>
    <cellStyle name="Total 22 2 6 2 3" xfId="37532" xr:uid="{00000000-0005-0000-0000-00009C920000}"/>
    <cellStyle name="Total 22 2 6 3" xfId="37533" xr:uid="{00000000-0005-0000-0000-00009D920000}"/>
    <cellStyle name="Total 22 2 6 4" xfId="37534" xr:uid="{00000000-0005-0000-0000-00009E920000}"/>
    <cellStyle name="Total 22 2 7" xfId="37535" xr:uid="{00000000-0005-0000-0000-00009F920000}"/>
    <cellStyle name="Total 22 2 7 2" xfId="37536" xr:uid="{00000000-0005-0000-0000-0000A0920000}"/>
    <cellStyle name="Total 22 2 7 2 2" xfId="37537" xr:uid="{00000000-0005-0000-0000-0000A1920000}"/>
    <cellStyle name="Total 22 2 7 2 3" xfId="37538" xr:uid="{00000000-0005-0000-0000-0000A2920000}"/>
    <cellStyle name="Total 22 2 7 3" xfId="37539" xr:uid="{00000000-0005-0000-0000-0000A3920000}"/>
    <cellStyle name="Total 22 2 7 4" xfId="37540" xr:uid="{00000000-0005-0000-0000-0000A4920000}"/>
    <cellStyle name="Total 22 2 8" xfId="37541" xr:uid="{00000000-0005-0000-0000-0000A5920000}"/>
    <cellStyle name="Total 22 2 8 2" xfId="37542" xr:uid="{00000000-0005-0000-0000-0000A6920000}"/>
    <cellStyle name="Total 22 2 8 2 2" xfId="37543" xr:uid="{00000000-0005-0000-0000-0000A7920000}"/>
    <cellStyle name="Total 22 2 8 2 3" xfId="37544" xr:uid="{00000000-0005-0000-0000-0000A8920000}"/>
    <cellStyle name="Total 22 2 8 3" xfId="37545" xr:uid="{00000000-0005-0000-0000-0000A9920000}"/>
    <cellStyle name="Total 22 2 8 4" xfId="37546" xr:uid="{00000000-0005-0000-0000-0000AA920000}"/>
    <cellStyle name="Total 22 2 9" xfId="37547" xr:uid="{00000000-0005-0000-0000-0000AB920000}"/>
    <cellStyle name="Total 22 2 9 2" xfId="37548" xr:uid="{00000000-0005-0000-0000-0000AC920000}"/>
    <cellStyle name="Total 22 2 9 2 2" xfId="37549" xr:uid="{00000000-0005-0000-0000-0000AD920000}"/>
    <cellStyle name="Total 22 2 9 2 3" xfId="37550" xr:uid="{00000000-0005-0000-0000-0000AE920000}"/>
    <cellStyle name="Total 22 2 9 3" xfId="37551" xr:uid="{00000000-0005-0000-0000-0000AF920000}"/>
    <cellStyle name="Total 22 2 9 4" xfId="37552" xr:uid="{00000000-0005-0000-0000-0000B0920000}"/>
    <cellStyle name="Total 22 3" xfId="37553" xr:uid="{00000000-0005-0000-0000-0000B1920000}"/>
    <cellStyle name="Total 22 3 2" xfId="37554" xr:uid="{00000000-0005-0000-0000-0000B2920000}"/>
    <cellStyle name="Total 22 3 2 2" xfId="37555" xr:uid="{00000000-0005-0000-0000-0000B3920000}"/>
    <cellStyle name="Total 22 3 2 3" xfId="37556" xr:uid="{00000000-0005-0000-0000-0000B4920000}"/>
    <cellStyle name="Total 22 3 3" xfId="37557" xr:uid="{00000000-0005-0000-0000-0000B5920000}"/>
    <cellStyle name="Total 22 3 4" xfId="37558" xr:uid="{00000000-0005-0000-0000-0000B6920000}"/>
    <cellStyle name="Total 22 4" xfId="37559" xr:uid="{00000000-0005-0000-0000-0000B7920000}"/>
    <cellStyle name="Total 22 5" xfId="37560" xr:uid="{00000000-0005-0000-0000-0000B8920000}"/>
    <cellStyle name="Total 23" xfId="37561" xr:uid="{00000000-0005-0000-0000-0000B9920000}"/>
    <cellStyle name="Total 23 2" xfId="37562" xr:uid="{00000000-0005-0000-0000-0000BA920000}"/>
    <cellStyle name="Total 23 2 10" xfId="37563" xr:uid="{00000000-0005-0000-0000-0000BB920000}"/>
    <cellStyle name="Total 23 2 10 2" xfId="37564" xr:uid="{00000000-0005-0000-0000-0000BC920000}"/>
    <cellStyle name="Total 23 2 10 2 2" xfId="37565" xr:uid="{00000000-0005-0000-0000-0000BD920000}"/>
    <cellStyle name="Total 23 2 10 2 3" xfId="37566" xr:uid="{00000000-0005-0000-0000-0000BE920000}"/>
    <cellStyle name="Total 23 2 10 3" xfId="37567" xr:uid="{00000000-0005-0000-0000-0000BF920000}"/>
    <cellStyle name="Total 23 2 10 4" xfId="37568" xr:uid="{00000000-0005-0000-0000-0000C0920000}"/>
    <cellStyle name="Total 23 2 11" xfId="37569" xr:uid="{00000000-0005-0000-0000-0000C1920000}"/>
    <cellStyle name="Total 23 2 11 2" xfId="37570" xr:uid="{00000000-0005-0000-0000-0000C2920000}"/>
    <cellStyle name="Total 23 2 11 2 2" xfId="37571" xr:uid="{00000000-0005-0000-0000-0000C3920000}"/>
    <cellStyle name="Total 23 2 11 2 3" xfId="37572" xr:uid="{00000000-0005-0000-0000-0000C4920000}"/>
    <cellStyle name="Total 23 2 11 3" xfId="37573" xr:uid="{00000000-0005-0000-0000-0000C5920000}"/>
    <cellStyle name="Total 23 2 11 4" xfId="37574" xr:uid="{00000000-0005-0000-0000-0000C6920000}"/>
    <cellStyle name="Total 23 2 12" xfId="37575" xr:uid="{00000000-0005-0000-0000-0000C7920000}"/>
    <cellStyle name="Total 23 2 12 2" xfId="37576" xr:uid="{00000000-0005-0000-0000-0000C8920000}"/>
    <cellStyle name="Total 23 2 12 2 2" xfId="37577" xr:uid="{00000000-0005-0000-0000-0000C9920000}"/>
    <cellStyle name="Total 23 2 12 2 3" xfId="37578" xr:uid="{00000000-0005-0000-0000-0000CA920000}"/>
    <cellStyle name="Total 23 2 12 3" xfId="37579" xr:uid="{00000000-0005-0000-0000-0000CB920000}"/>
    <cellStyle name="Total 23 2 12 4" xfId="37580" xr:uid="{00000000-0005-0000-0000-0000CC920000}"/>
    <cellStyle name="Total 23 2 13" xfId="37581" xr:uid="{00000000-0005-0000-0000-0000CD920000}"/>
    <cellStyle name="Total 23 2 13 2" xfId="37582" xr:uid="{00000000-0005-0000-0000-0000CE920000}"/>
    <cellStyle name="Total 23 2 13 2 2" xfId="37583" xr:uid="{00000000-0005-0000-0000-0000CF920000}"/>
    <cellStyle name="Total 23 2 13 2 3" xfId="37584" xr:uid="{00000000-0005-0000-0000-0000D0920000}"/>
    <cellStyle name="Total 23 2 13 3" xfId="37585" xr:uid="{00000000-0005-0000-0000-0000D1920000}"/>
    <cellStyle name="Total 23 2 13 4" xfId="37586" xr:uid="{00000000-0005-0000-0000-0000D2920000}"/>
    <cellStyle name="Total 23 2 14" xfId="37587" xr:uid="{00000000-0005-0000-0000-0000D3920000}"/>
    <cellStyle name="Total 23 2 14 2" xfId="37588" xr:uid="{00000000-0005-0000-0000-0000D4920000}"/>
    <cellStyle name="Total 23 2 14 2 2" xfId="37589" xr:uid="{00000000-0005-0000-0000-0000D5920000}"/>
    <cellStyle name="Total 23 2 14 2 3" xfId="37590" xr:uid="{00000000-0005-0000-0000-0000D6920000}"/>
    <cellStyle name="Total 23 2 14 3" xfId="37591" xr:uid="{00000000-0005-0000-0000-0000D7920000}"/>
    <cellStyle name="Total 23 2 14 4" xfId="37592" xr:uid="{00000000-0005-0000-0000-0000D8920000}"/>
    <cellStyle name="Total 23 2 15" xfId="37593" xr:uid="{00000000-0005-0000-0000-0000D9920000}"/>
    <cellStyle name="Total 23 2 15 2" xfId="37594" xr:uid="{00000000-0005-0000-0000-0000DA920000}"/>
    <cellStyle name="Total 23 2 15 2 2" xfId="37595" xr:uid="{00000000-0005-0000-0000-0000DB920000}"/>
    <cellStyle name="Total 23 2 15 2 3" xfId="37596" xr:uid="{00000000-0005-0000-0000-0000DC920000}"/>
    <cellStyle name="Total 23 2 15 3" xfId="37597" xr:uid="{00000000-0005-0000-0000-0000DD920000}"/>
    <cellStyle name="Total 23 2 15 4" xfId="37598" xr:uid="{00000000-0005-0000-0000-0000DE920000}"/>
    <cellStyle name="Total 23 2 16" xfId="37599" xr:uid="{00000000-0005-0000-0000-0000DF920000}"/>
    <cellStyle name="Total 23 2 16 2" xfId="37600" xr:uid="{00000000-0005-0000-0000-0000E0920000}"/>
    <cellStyle name="Total 23 2 16 2 2" xfId="37601" xr:uid="{00000000-0005-0000-0000-0000E1920000}"/>
    <cellStyle name="Total 23 2 16 2 3" xfId="37602" xr:uid="{00000000-0005-0000-0000-0000E2920000}"/>
    <cellStyle name="Total 23 2 16 3" xfId="37603" xr:uid="{00000000-0005-0000-0000-0000E3920000}"/>
    <cellStyle name="Total 23 2 16 4" xfId="37604" xr:uid="{00000000-0005-0000-0000-0000E4920000}"/>
    <cellStyle name="Total 23 2 17" xfId="37605" xr:uid="{00000000-0005-0000-0000-0000E5920000}"/>
    <cellStyle name="Total 23 2 17 2" xfId="37606" xr:uid="{00000000-0005-0000-0000-0000E6920000}"/>
    <cellStyle name="Total 23 2 17 2 2" xfId="37607" xr:uid="{00000000-0005-0000-0000-0000E7920000}"/>
    <cellStyle name="Total 23 2 17 2 3" xfId="37608" xr:uid="{00000000-0005-0000-0000-0000E8920000}"/>
    <cellStyle name="Total 23 2 17 3" xfId="37609" xr:uid="{00000000-0005-0000-0000-0000E9920000}"/>
    <cellStyle name="Total 23 2 17 4" xfId="37610" xr:uid="{00000000-0005-0000-0000-0000EA920000}"/>
    <cellStyle name="Total 23 2 18" xfId="37611" xr:uid="{00000000-0005-0000-0000-0000EB920000}"/>
    <cellStyle name="Total 23 2 18 2" xfId="37612" xr:uid="{00000000-0005-0000-0000-0000EC920000}"/>
    <cellStyle name="Total 23 2 18 3" xfId="37613" xr:uid="{00000000-0005-0000-0000-0000ED920000}"/>
    <cellStyle name="Total 23 2 18 4" xfId="37614" xr:uid="{00000000-0005-0000-0000-0000EE920000}"/>
    <cellStyle name="Total 23 2 19" xfId="37615" xr:uid="{00000000-0005-0000-0000-0000EF920000}"/>
    <cellStyle name="Total 23 2 2" xfId="37616" xr:uid="{00000000-0005-0000-0000-0000F0920000}"/>
    <cellStyle name="Total 23 2 2 2" xfId="37617" xr:uid="{00000000-0005-0000-0000-0000F1920000}"/>
    <cellStyle name="Total 23 2 2 2 2" xfId="37618" xr:uid="{00000000-0005-0000-0000-0000F2920000}"/>
    <cellStyle name="Total 23 2 2 2 3" xfId="37619" xr:uid="{00000000-0005-0000-0000-0000F3920000}"/>
    <cellStyle name="Total 23 2 2 3" xfId="37620" xr:uid="{00000000-0005-0000-0000-0000F4920000}"/>
    <cellStyle name="Total 23 2 2 4" xfId="37621" xr:uid="{00000000-0005-0000-0000-0000F5920000}"/>
    <cellStyle name="Total 23 2 20" xfId="37622" xr:uid="{00000000-0005-0000-0000-0000F6920000}"/>
    <cellStyle name="Total 23 2 21" xfId="37623" xr:uid="{00000000-0005-0000-0000-0000F7920000}"/>
    <cellStyle name="Total 23 2 3" xfId="37624" xr:uid="{00000000-0005-0000-0000-0000F8920000}"/>
    <cellStyle name="Total 23 2 3 2" xfId="37625" xr:uid="{00000000-0005-0000-0000-0000F9920000}"/>
    <cellStyle name="Total 23 2 3 2 2" xfId="37626" xr:uid="{00000000-0005-0000-0000-0000FA920000}"/>
    <cellStyle name="Total 23 2 3 2 3" xfId="37627" xr:uid="{00000000-0005-0000-0000-0000FB920000}"/>
    <cellStyle name="Total 23 2 3 3" xfId="37628" xr:uid="{00000000-0005-0000-0000-0000FC920000}"/>
    <cellStyle name="Total 23 2 3 4" xfId="37629" xr:uid="{00000000-0005-0000-0000-0000FD920000}"/>
    <cellStyle name="Total 23 2 4" xfId="37630" xr:uid="{00000000-0005-0000-0000-0000FE920000}"/>
    <cellStyle name="Total 23 2 4 2" xfId="37631" xr:uid="{00000000-0005-0000-0000-0000FF920000}"/>
    <cellStyle name="Total 23 2 4 2 2" xfId="37632" xr:uid="{00000000-0005-0000-0000-000000930000}"/>
    <cellStyle name="Total 23 2 4 2 3" xfId="37633" xr:uid="{00000000-0005-0000-0000-000001930000}"/>
    <cellStyle name="Total 23 2 4 3" xfId="37634" xr:uid="{00000000-0005-0000-0000-000002930000}"/>
    <cellStyle name="Total 23 2 4 4" xfId="37635" xr:uid="{00000000-0005-0000-0000-000003930000}"/>
    <cellStyle name="Total 23 2 5" xfId="37636" xr:uid="{00000000-0005-0000-0000-000004930000}"/>
    <cellStyle name="Total 23 2 5 2" xfId="37637" xr:uid="{00000000-0005-0000-0000-000005930000}"/>
    <cellStyle name="Total 23 2 5 2 2" xfId="37638" xr:uid="{00000000-0005-0000-0000-000006930000}"/>
    <cellStyle name="Total 23 2 5 2 3" xfId="37639" xr:uid="{00000000-0005-0000-0000-000007930000}"/>
    <cellStyle name="Total 23 2 5 3" xfId="37640" xr:uid="{00000000-0005-0000-0000-000008930000}"/>
    <cellStyle name="Total 23 2 5 4" xfId="37641" xr:uid="{00000000-0005-0000-0000-000009930000}"/>
    <cellStyle name="Total 23 2 6" xfId="37642" xr:uid="{00000000-0005-0000-0000-00000A930000}"/>
    <cellStyle name="Total 23 2 6 2" xfId="37643" xr:uid="{00000000-0005-0000-0000-00000B930000}"/>
    <cellStyle name="Total 23 2 6 2 2" xfId="37644" xr:uid="{00000000-0005-0000-0000-00000C930000}"/>
    <cellStyle name="Total 23 2 6 2 3" xfId="37645" xr:uid="{00000000-0005-0000-0000-00000D930000}"/>
    <cellStyle name="Total 23 2 6 3" xfId="37646" xr:uid="{00000000-0005-0000-0000-00000E930000}"/>
    <cellStyle name="Total 23 2 6 4" xfId="37647" xr:uid="{00000000-0005-0000-0000-00000F930000}"/>
    <cellStyle name="Total 23 2 7" xfId="37648" xr:uid="{00000000-0005-0000-0000-000010930000}"/>
    <cellStyle name="Total 23 2 7 2" xfId="37649" xr:uid="{00000000-0005-0000-0000-000011930000}"/>
    <cellStyle name="Total 23 2 7 2 2" xfId="37650" xr:uid="{00000000-0005-0000-0000-000012930000}"/>
    <cellStyle name="Total 23 2 7 2 3" xfId="37651" xr:uid="{00000000-0005-0000-0000-000013930000}"/>
    <cellStyle name="Total 23 2 7 3" xfId="37652" xr:uid="{00000000-0005-0000-0000-000014930000}"/>
    <cellStyle name="Total 23 2 7 4" xfId="37653" xr:uid="{00000000-0005-0000-0000-000015930000}"/>
    <cellStyle name="Total 23 2 8" xfId="37654" xr:uid="{00000000-0005-0000-0000-000016930000}"/>
    <cellStyle name="Total 23 2 8 2" xfId="37655" xr:uid="{00000000-0005-0000-0000-000017930000}"/>
    <cellStyle name="Total 23 2 8 2 2" xfId="37656" xr:uid="{00000000-0005-0000-0000-000018930000}"/>
    <cellStyle name="Total 23 2 8 2 3" xfId="37657" xr:uid="{00000000-0005-0000-0000-000019930000}"/>
    <cellStyle name="Total 23 2 8 3" xfId="37658" xr:uid="{00000000-0005-0000-0000-00001A930000}"/>
    <cellStyle name="Total 23 2 8 4" xfId="37659" xr:uid="{00000000-0005-0000-0000-00001B930000}"/>
    <cellStyle name="Total 23 2 9" xfId="37660" xr:uid="{00000000-0005-0000-0000-00001C930000}"/>
    <cellStyle name="Total 23 2 9 2" xfId="37661" xr:uid="{00000000-0005-0000-0000-00001D930000}"/>
    <cellStyle name="Total 23 2 9 2 2" xfId="37662" xr:uid="{00000000-0005-0000-0000-00001E930000}"/>
    <cellStyle name="Total 23 2 9 2 3" xfId="37663" xr:uid="{00000000-0005-0000-0000-00001F930000}"/>
    <cellStyle name="Total 23 2 9 3" xfId="37664" xr:uid="{00000000-0005-0000-0000-000020930000}"/>
    <cellStyle name="Total 23 2 9 4" xfId="37665" xr:uid="{00000000-0005-0000-0000-000021930000}"/>
    <cellStyle name="Total 23 3" xfId="37666" xr:uid="{00000000-0005-0000-0000-000022930000}"/>
    <cellStyle name="Total 23 3 2" xfId="37667" xr:uid="{00000000-0005-0000-0000-000023930000}"/>
    <cellStyle name="Total 23 3 2 2" xfId="37668" xr:uid="{00000000-0005-0000-0000-000024930000}"/>
    <cellStyle name="Total 23 3 2 3" xfId="37669" xr:uid="{00000000-0005-0000-0000-000025930000}"/>
    <cellStyle name="Total 23 3 3" xfId="37670" xr:uid="{00000000-0005-0000-0000-000026930000}"/>
    <cellStyle name="Total 23 3 4" xfId="37671" xr:uid="{00000000-0005-0000-0000-000027930000}"/>
    <cellStyle name="Total 23 4" xfId="37672" xr:uid="{00000000-0005-0000-0000-000028930000}"/>
    <cellStyle name="Total 23 5" xfId="37673" xr:uid="{00000000-0005-0000-0000-000029930000}"/>
    <cellStyle name="Total 24" xfId="37674" xr:uid="{00000000-0005-0000-0000-00002A930000}"/>
    <cellStyle name="Total 24 2" xfId="37675" xr:uid="{00000000-0005-0000-0000-00002B930000}"/>
    <cellStyle name="Total 24 2 10" xfId="37676" xr:uid="{00000000-0005-0000-0000-00002C930000}"/>
    <cellStyle name="Total 24 2 10 2" xfId="37677" xr:uid="{00000000-0005-0000-0000-00002D930000}"/>
    <cellStyle name="Total 24 2 10 2 2" xfId="37678" xr:uid="{00000000-0005-0000-0000-00002E930000}"/>
    <cellStyle name="Total 24 2 10 2 3" xfId="37679" xr:uid="{00000000-0005-0000-0000-00002F930000}"/>
    <cellStyle name="Total 24 2 10 3" xfId="37680" xr:uid="{00000000-0005-0000-0000-000030930000}"/>
    <cellStyle name="Total 24 2 10 4" xfId="37681" xr:uid="{00000000-0005-0000-0000-000031930000}"/>
    <cellStyle name="Total 24 2 11" xfId="37682" xr:uid="{00000000-0005-0000-0000-000032930000}"/>
    <cellStyle name="Total 24 2 11 2" xfId="37683" xr:uid="{00000000-0005-0000-0000-000033930000}"/>
    <cellStyle name="Total 24 2 11 2 2" xfId="37684" xr:uid="{00000000-0005-0000-0000-000034930000}"/>
    <cellStyle name="Total 24 2 11 2 3" xfId="37685" xr:uid="{00000000-0005-0000-0000-000035930000}"/>
    <cellStyle name="Total 24 2 11 3" xfId="37686" xr:uid="{00000000-0005-0000-0000-000036930000}"/>
    <cellStyle name="Total 24 2 11 4" xfId="37687" xr:uid="{00000000-0005-0000-0000-000037930000}"/>
    <cellStyle name="Total 24 2 12" xfId="37688" xr:uid="{00000000-0005-0000-0000-000038930000}"/>
    <cellStyle name="Total 24 2 12 2" xfId="37689" xr:uid="{00000000-0005-0000-0000-000039930000}"/>
    <cellStyle name="Total 24 2 12 2 2" xfId="37690" xr:uid="{00000000-0005-0000-0000-00003A930000}"/>
    <cellStyle name="Total 24 2 12 2 3" xfId="37691" xr:uid="{00000000-0005-0000-0000-00003B930000}"/>
    <cellStyle name="Total 24 2 12 3" xfId="37692" xr:uid="{00000000-0005-0000-0000-00003C930000}"/>
    <cellStyle name="Total 24 2 12 4" xfId="37693" xr:uid="{00000000-0005-0000-0000-00003D930000}"/>
    <cellStyle name="Total 24 2 13" xfId="37694" xr:uid="{00000000-0005-0000-0000-00003E930000}"/>
    <cellStyle name="Total 24 2 13 2" xfId="37695" xr:uid="{00000000-0005-0000-0000-00003F930000}"/>
    <cellStyle name="Total 24 2 13 2 2" xfId="37696" xr:uid="{00000000-0005-0000-0000-000040930000}"/>
    <cellStyle name="Total 24 2 13 2 3" xfId="37697" xr:uid="{00000000-0005-0000-0000-000041930000}"/>
    <cellStyle name="Total 24 2 13 3" xfId="37698" xr:uid="{00000000-0005-0000-0000-000042930000}"/>
    <cellStyle name="Total 24 2 13 4" xfId="37699" xr:uid="{00000000-0005-0000-0000-000043930000}"/>
    <cellStyle name="Total 24 2 14" xfId="37700" xr:uid="{00000000-0005-0000-0000-000044930000}"/>
    <cellStyle name="Total 24 2 14 2" xfId="37701" xr:uid="{00000000-0005-0000-0000-000045930000}"/>
    <cellStyle name="Total 24 2 14 2 2" xfId="37702" xr:uid="{00000000-0005-0000-0000-000046930000}"/>
    <cellStyle name="Total 24 2 14 2 3" xfId="37703" xr:uid="{00000000-0005-0000-0000-000047930000}"/>
    <cellStyle name="Total 24 2 14 3" xfId="37704" xr:uid="{00000000-0005-0000-0000-000048930000}"/>
    <cellStyle name="Total 24 2 14 4" xfId="37705" xr:uid="{00000000-0005-0000-0000-000049930000}"/>
    <cellStyle name="Total 24 2 15" xfId="37706" xr:uid="{00000000-0005-0000-0000-00004A930000}"/>
    <cellStyle name="Total 24 2 15 2" xfId="37707" xr:uid="{00000000-0005-0000-0000-00004B930000}"/>
    <cellStyle name="Total 24 2 15 2 2" xfId="37708" xr:uid="{00000000-0005-0000-0000-00004C930000}"/>
    <cellStyle name="Total 24 2 15 2 3" xfId="37709" xr:uid="{00000000-0005-0000-0000-00004D930000}"/>
    <cellStyle name="Total 24 2 15 3" xfId="37710" xr:uid="{00000000-0005-0000-0000-00004E930000}"/>
    <cellStyle name="Total 24 2 15 4" xfId="37711" xr:uid="{00000000-0005-0000-0000-00004F930000}"/>
    <cellStyle name="Total 24 2 16" xfId="37712" xr:uid="{00000000-0005-0000-0000-000050930000}"/>
    <cellStyle name="Total 24 2 16 2" xfId="37713" xr:uid="{00000000-0005-0000-0000-000051930000}"/>
    <cellStyle name="Total 24 2 16 2 2" xfId="37714" xr:uid="{00000000-0005-0000-0000-000052930000}"/>
    <cellStyle name="Total 24 2 16 2 3" xfId="37715" xr:uid="{00000000-0005-0000-0000-000053930000}"/>
    <cellStyle name="Total 24 2 16 3" xfId="37716" xr:uid="{00000000-0005-0000-0000-000054930000}"/>
    <cellStyle name="Total 24 2 16 4" xfId="37717" xr:uid="{00000000-0005-0000-0000-000055930000}"/>
    <cellStyle name="Total 24 2 17" xfId="37718" xr:uid="{00000000-0005-0000-0000-000056930000}"/>
    <cellStyle name="Total 24 2 17 2" xfId="37719" xr:uid="{00000000-0005-0000-0000-000057930000}"/>
    <cellStyle name="Total 24 2 17 2 2" xfId="37720" xr:uid="{00000000-0005-0000-0000-000058930000}"/>
    <cellStyle name="Total 24 2 17 2 3" xfId="37721" xr:uid="{00000000-0005-0000-0000-000059930000}"/>
    <cellStyle name="Total 24 2 17 3" xfId="37722" xr:uid="{00000000-0005-0000-0000-00005A930000}"/>
    <cellStyle name="Total 24 2 17 4" xfId="37723" xr:uid="{00000000-0005-0000-0000-00005B930000}"/>
    <cellStyle name="Total 24 2 18" xfId="37724" xr:uid="{00000000-0005-0000-0000-00005C930000}"/>
    <cellStyle name="Total 24 2 18 2" xfId="37725" xr:uid="{00000000-0005-0000-0000-00005D930000}"/>
    <cellStyle name="Total 24 2 18 3" xfId="37726" xr:uid="{00000000-0005-0000-0000-00005E930000}"/>
    <cellStyle name="Total 24 2 18 4" xfId="37727" xr:uid="{00000000-0005-0000-0000-00005F930000}"/>
    <cellStyle name="Total 24 2 19" xfId="37728" xr:uid="{00000000-0005-0000-0000-000060930000}"/>
    <cellStyle name="Total 24 2 2" xfId="37729" xr:uid="{00000000-0005-0000-0000-000061930000}"/>
    <cellStyle name="Total 24 2 2 2" xfId="37730" xr:uid="{00000000-0005-0000-0000-000062930000}"/>
    <cellStyle name="Total 24 2 2 2 2" xfId="37731" xr:uid="{00000000-0005-0000-0000-000063930000}"/>
    <cellStyle name="Total 24 2 2 2 3" xfId="37732" xr:uid="{00000000-0005-0000-0000-000064930000}"/>
    <cellStyle name="Total 24 2 2 3" xfId="37733" xr:uid="{00000000-0005-0000-0000-000065930000}"/>
    <cellStyle name="Total 24 2 2 4" xfId="37734" xr:uid="{00000000-0005-0000-0000-000066930000}"/>
    <cellStyle name="Total 24 2 20" xfId="37735" xr:uid="{00000000-0005-0000-0000-000067930000}"/>
    <cellStyle name="Total 24 2 21" xfId="37736" xr:uid="{00000000-0005-0000-0000-000068930000}"/>
    <cellStyle name="Total 24 2 3" xfId="37737" xr:uid="{00000000-0005-0000-0000-000069930000}"/>
    <cellStyle name="Total 24 2 3 2" xfId="37738" xr:uid="{00000000-0005-0000-0000-00006A930000}"/>
    <cellStyle name="Total 24 2 3 2 2" xfId="37739" xr:uid="{00000000-0005-0000-0000-00006B930000}"/>
    <cellStyle name="Total 24 2 3 2 3" xfId="37740" xr:uid="{00000000-0005-0000-0000-00006C930000}"/>
    <cellStyle name="Total 24 2 3 3" xfId="37741" xr:uid="{00000000-0005-0000-0000-00006D930000}"/>
    <cellStyle name="Total 24 2 3 4" xfId="37742" xr:uid="{00000000-0005-0000-0000-00006E930000}"/>
    <cellStyle name="Total 24 2 4" xfId="37743" xr:uid="{00000000-0005-0000-0000-00006F930000}"/>
    <cellStyle name="Total 24 2 4 2" xfId="37744" xr:uid="{00000000-0005-0000-0000-000070930000}"/>
    <cellStyle name="Total 24 2 4 2 2" xfId="37745" xr:uid="{00000000-0005-0000-0000-000071930000}"/>
    <cellStyle name="Total 24 2 4 2 3" xfId="37746" xr:uid="{00000000-0005-0000-0000-000072930000}"/>
    <cellStyle name="Total 24 2 4 3" xfId="37747" xr:uid="{00000000-0005-0000-0000-000073930000}"/>
    <cellStyle name="Total 24 2 4 4" xfId="37748" xr:uid="{00000000-0005-0000-0000-000074930000}"/>
    <cellStyle name="Total 24 2 5" xfId="37749" xr:uid="{00000000-0005-0000-0000-000075930000}"/>
    <cellStyle name="Total 24 2 5 2" xfId="37750" xr:uid="{00000000-0005-0000-0000-000076930000}"/>
    <cellStyle name="Total 24 2 5 2 2" xfId="37751" xr:uid="{00000000-0005-0000-0000-000077930000}"/>
    <cellStyle name="Total 24 2 5 2 3" xfId="37752" xr:uid="{00000000-0005-0000-0000-000078930000}"/>
    <cellStyle name="Total 24 2 5 3" xfId="37753" xr:uid="{00000000-0005-0000-0000-000079930000}"/>
    <cellStyle name="Total 24 2 5 4" xfId="37754" xr:uid="{00000000-0005-0000-0000-00007A930000}"/>
    <cellStyle name="Total 24 2 6" xfId="37755" xr:uid="{00000000-0005-0000-0000-00007B930000}"/>
    <cellStyle name="Total 24 2 6 2" xfId="37756" xr:uid="{00000000-0005-0000-0000-00007C930000}"/>
    <cellStyle name="Total 24 2 6 2 2" xfId="37757" xr:uid="{00000000-0005-0000-0000-00007D930000}"/>
    <cellStyle name="Total 24 2 6 2 3" xfId="37758" xr:uid="{00000000-0005-0000-0000-00007E930000}"/>
    <cellStyle name="Total 24 2 6 3" xfId="37759" xr:uid="{00000000-0005-0000-0000-00007F930000}"/>
    <cellStyle name="Total 24 2 6 4" xfId="37760" xr:uid="{00000000-0005-0000-0000-000080930000}"/>
    <cellStyle name="Total 24 2 7" xfId="37761" xr:uid="{00000000-0005-0000-0000-000081930000}"/>
    <cellStyle name="Total 24 2 7 2" xfId="37762" xr:uid="{00000000-0005-0000-0000-000082930000}"/>
    <cellStyle name="Total 24 2 7 2 2" xfId="37763" xr:uid="{00000000-0005-0000-0000-000083930000}"/>
    <cellStyle name="Total 24 2 7 2 3" xfId="37764" xr:uid="{00000000-0005-0000-0000-000084930000}"/>
    <cellStyle name="Total 24 2 7 3" xfId="37765" xr:uid="{00000000-0005-0000-0000-000085930000}"/>
    <cellStyle name="Total 24 2 7 4" xfId="37766" xr:uid="{00000000-0005-0000-0000-000086930000}"/>
    <cellStyle name="Total 24 2 8" xfId="37767" xr:uid="{00000000-0005-0000-0000-000087930000}"/>
    <cellStyle name="Total 24 2 8 2" xfId="37768" xr:uid="{00000000-0005-0000-0000-000088930000}"/>
    <cellStyle name="Total 24 2 8 2 2" xfId="37769" xr:uid="{00000000-0005-0000-0000-000089930000}"/>
    <cellStyle name="Total 24 2 8 2 3" xfId="37770" xr:uid="{00000000-0005-0000-0000-00008A930000}"/>
    <cellStyle name="Total 24 2 8 3" xfId="37771" xr:uid="{00000000-0005-0000-0000-00008B930000}"/>
    <cellStyle name="Total 24 2 8 4" xfId="37772" xr:uid="{00000000-0005-0000-0000-00008C930000}"/>
    <cellStyle name="Total 24 2 9" xfId="37773" xr:uid="{00000000-0005-0000-0000-00008D930000}"/>
    <cellStyle name="Total 24 2 9 2" xfId="37774" xr:uid="{00000000-0005-0000-0000-00008E930000}"/>
    <cellStyle name="Total 24 2 9 2 2" xfId="37775" xr:uid="{00000000-0005-0000-0000-00008F930000}"/>
    <cellStyle name="Total 24 2 9 2 3" xfId="37776" xr:uid="{00000000-0005-0000-0000-000090930000}"/>
    <cellStyle name="Total 24 2 9 3" xfId="37777" xr:uid="{00000000-0005-0000-0000-000091930000}"/>
    <cellStyle name="Total 24 2 9 4" xfId="37778" xr:uid="{00000000-0005-0000-0000-000092930000}"/>
    <cellStyle name="Total 24 3" xfId="37779" xr:uid="{00000000-0005-0000-0000-000093930000}"/>
    <cellStyle name="Total 24 3 2" xfId="37780" xr:uid="{00000000-0005-0000-0000-000094930000}"/>
    <cellStyle name="Total 24 3 2 2" xfId="37781" xr:uid="{00000000-0005-0000-0000-000095930000}"/>
    <cellStyle name="Total 24 3 2 3" xfId="37782" xr:uid="{00000000-0005-0000-0000-000096930000}"/>
    <cellStyle name="Total 24 3 3" xfId="37783" xr:uid="{00000000-0005-0000-0000-000097930000}"/>
    <cellStyle name="Total 24 3 4" xfId="37784" xr:uid="{00000000-0005-0000-0000-000098930000}"/>
    <cellStyle name="Total 24 4" xfId="37785" xr:uid="{00000000-0005-0000-0000-000099930000}"/>
    <cellStyle name="Total 24 5" xfId="37786" xr:uid="{00000000-0005-0000-0000-00009A930000}"/>
    <cellStyle name="Total 25" xfId="37787" xr:uid="{00000000-0005-0000-0000-00009B930000}"/>
    <cellStyle name="Total 25 2" xfId="37788" xr:uid="{00000000-0005-0000-0000-00009C930000}"/>
    <cellStyle name="Total 25 2 10" xfId="37789" xr:uid="{00000000-0005-0000-0000-00009D930000}"/>
    <cellStyle name="Total 25 2 10 2" xfId="37790" xr:uid="{00000000-0005-0000-0000-00009E930000}"/>
    <cellStyle name="Total 25 2 10 2 2" xfId="37791" xr:uid="{00000000-0005-0000-0000-00009F930000}"/>
    <cellStyle name="Total 25 2 10 2 3" xfId="37792" xr:uid="{00000000-0005-0000-0000-0000A0930000}"/>
    <cellStyle name="Total 25 2 10 3" xfId="37793" xr:uid="{00000000-0005-0000-0000-0000A1930000}"/>
    <cellStyle name="Total 25 2 10 4" xfId="37794" xr:uid="{00000000-0005-0000-0000-0000A2930000}"/>
    <cellStyle name="Total 25 2 11" xfId="37795" xr:uid="{00000000-0005-0000-0000-0000A3930000}"/>
    <cellStyle name="Total 25 2 11 2" xfId="37796" xr:uid="{00000000-0005-0000-0000-0000A4930000}"/>
    <cellStyle name="Total 25 2 11 2 2" xfId="37797" xr:uid="{00000000-0005-0000-0000-0000A5930000}"/>
    <cellStyle name="Total 25 2 11 2 3" xfId="37798" xr:uid="{00000000-0005-0000-0000-0000A6930000}"/>
    <cellStyle name="Total 25 2 11 3" xfId="37799" xr:uid="{00000000-0005-0000-0000-0000A7930000}"/>
    <cellStyle name="Total 25 2 11 4" xfId="37800" xr:uid="{00000000-0005-0000-0000-0000A8930000}"/>
    <cellStyle name="Total 25 2 12" xfId="37801" xr:uid="{00000000-0005-0000-0000-0000A9930000}"/>
    <cellStyle name="Total 25 2 12 2" xfId="37802" xr:uid="{00000000-0005-0000-0000-0000AA930000}"/>
    <cellStyle name="Total 25 2 12 2 2" xfId="37803" xr:uid="{00000000-0005-0000-0000-0000AB930000}"/>
    <cellStyle name="Total 25 2 12 2 3" xfId="37804" xr:uid="{00000000-0005-0000-0000-0000AC930000}"/>
    <cellStyle name="Total 25 2 12 3" xfId="37805" xr:uid="{00000000-0005-0000-0000-0000AD930000}"/>
    <cellStyle name="Total 25 2 12 4" xfId="37806" xr:uid="{00000000-0005-0000-0000-0000AE930000}"/>
    <cellStyle name="Total 25 2 13" xfId="37807" xr:uid="{00000000-0005-0000-0000-0000AF930000}"/>
    <cellStyle name="Total 25 2 13 2" xfId="37808" xr:uid="{00000000-0005-0000-0000-0000B0930000}"/>
    <cellStyle name="Total 25 2 13 2 2" xfId="37809" xr:uid="{00000000-0005-0000-0000-0000B1930000}"/>
    <cellStyle name="Total 25 2 13 2 3" xfId="37810" xr:uid="{00000000-0005-0000-0000-0000B2930000}"/>
    <cellStyle name="Total 25 2 13 3" xfId="37811" xr:uid="{00000000-0005-0000-0000-0000B3930000}"/>
    <cellStyle name="Total 25 2 13 4" xfId="37812" xr:uid="{00000000-0005-0000-0000-0000B4930000}"/>
    <cellStyle name="Total 25 2 14" xfId="37813" xr:uid="{00000000-0005-0000-0000-0000B5930000}"/>
    <cellStyle name="Total 25 2 14 2" xfId="37814" xr:uid="{00000000-0005-0000-0000-0000B6930000}"/>
    <cellStyle name="Total 25 2 14 2 2" xfId="37815" xr:uid="{00000000-0005-0000-0000-0000B7930000}"/>
    <cellStyle name="Total 25 2 14 2 3" xfId="37816" xr:uid="{00000000-0005-0000-0000-0000B8930000}"/>
    <cellStyle name="Total 25 2 14 3" xfId="37817" xr:uid="{00000000-0005-0000-0000-0000B9930000}"/>
    <cellStyle name="Total 25 2 14 4" xfId="37818" xr:uid="{00000000-0005-0000-0000-0000BA930000}"/>
    <cellStyle name="Total 25 2 15" xfId="37819" xr:uid="{00000000-0005-0000-0000-0000BB930000}"/>
    <cellStyle name="Total 25 2 15 2" xfId="37820" xr:uid="{00000000-0005-0000-0000-0000BC930000}"/>
    <cellStyle name="Total 25 2 15 2 2" xfId="37821" xr:uid="{00000000-0005-0000-0000-0000BD930000}"/>
    <cellStyle name="Total 25 2 15 2 3" xfId="37822" xr:uid="{00000000-0005-0000-0000-0000BE930000}"/>
    <cellStyle name="Total 25 2 15 3" xfId="37823" xr:uid="{00000000-0005-0000-0000-0000BF930000}"/>
    <cellStyle name="Total 25 2 15 4" xfId="37824" xr:uid="{00000000-0005-0000-0000-0000C0930000}"/>
    <cellStyle name="Total 25 2 16" xfId="37825" xr:uid="{00000000-0005-0000-0000-0000C1930000}"/>
    <cellStyle name="Total 25 2 16 2" xfId="37826" xr:uid="{00000000-0005-0000-0000-0000C2930000}"/>
    <cellStyle name="Total 25 2 16 2 2" xfId="37827" xr:uid="{00000000-0005-0000-0000-0000C3930000}"/>
    <cellStyle name="Total 25 2 16 2 3" xfId="37828" xr:uid="{00000000-0005-0000-0000-0000C4930000}"/>
    <cellStyle name="Total 25 2 16 3" xfId="37829" xr:uid="{00000000-0005-0000-0000-0000C5930000}"/>
    <cellStyle name="Total 25 2 16 4" xfId="37830" xr:uid="{00000000-0005-0000-0000-0000C6930000}"/>
    <cellStyle name="Total 25 2 17" xfId="37831" xr:uid="{00000000-0005-0000-0000-0000C7930000}"/>
    <cellStyle name="Total 25 2 17 2" xfId="37832" xr:uid="{00000000-0005-0000-0000-0000C8930000}"/>
    <cellStyle name="Total 25 2 17 2 2" xfId="37833" xr:uid="{00000000-0005-0000-0000-0000C9930000}"/>
    <cellStyle name="Total 25 2 17 2 3" xfId="37834" xr:uid="{00000000-0005-0000-0000-0000CA930000}"/>
    <cellStyle name="Total 25 2 17 3" xfId="37835" xr:uid="{00000000-0005-0000-0000-0000CB930000}"/>
    <cellStyle name="Total 25 2 17 4" xfId="37836" xr:uid="{00000000-0005-0000-0000-0000CC930000}"/>
    <cellStyle name="Total 25 2 18" xfId="37837" xr:uid="{00000000-0005-0000-0000-0000CD930000}"/>
    <cellStyle name="Total 25 2 18 2" xfId="37838" xr:uid="{00000000-0005-0000-0000-0000CE930000}"/>
    <cellStyle name="Total 25 2 18 3" xfId="37839" xr:uid="{00000000-0005-0000-0000-0000CF930000}"/>
    <cellStyle name="Total 25 2 18 4" xfId="37840" xr:uid="{00000000-0005-0000-0000-0000D0930000}"/>
    <cellStyle name="Total 25 2 19" xfId="37841" xr:uid="{00000000-0005-0000-0000-0000D1930000}"/>
    <cellStyle name="Total 25 2 2" xfId="37842" xr:uid="{00000000-0005-0000-0000-0000D2930000}"/>
    <cellStyle name="Total 25 2 2 2" xfId="37843" xr:uid="{00000000-0005-0000-0000-0000D3930000}"/>
    <cellStyle name="Total 25 2 2 2 2" xfId="37844" xr:uid="{00000000-0005-0000-0000-0000D4930000}"/>
    <cellStyle name="Total 25 2 2 2 3" xfId="37845" xr:uid="{00000000-0005-0000-0000-0000D5930000}"/>
    <cellStyle name="Total 25 2 2 3" xfId="37846" xr:uid="{00000000-0005-0000-0000-0000D6930000}"/>
    <cellStyle name="Total 25 2 2 4" xfId="37847" xr:uid="{00000000-0005-0000-0000-0000D7930000}"/>
    <cellStyle name="Total 25 2 20" xfId="37848" xr:uid="{00000000-0005-0000-0000-0000D8930000}"/>
    <cellStyle name="Total 25 2 21" xfId="37849" xr:uid="{00000000-0005-0000-0000-0000D9930000}"/>
    <cellStyle name="Total 25 2 3" xfId="37850" xr:uid="{00000000-0005-0000-0000-0000DA930000}"/>
    <cellStyle name="Total 25 2 3 2" xfId="37851" xr:uid="{00000000-0005-0000-0000-0000DB930000}"/>
    <cellStyle name="Total 25 2 3 2 2" xfId="37852" xr:uid="{00000000-0005-0000-0000-0000DC930000}"/>
    <cellStyle name="Total 25 2 3 2 3" xfId="37853" xr:uid="{00000000-0005-0000-0000-0000DD930000}"/>
    <cellStyle name="Total 25 2 3 3" xfId="37854" xr:uid="{00000000-0005-0000-0000-0000DE930000}"/>
    <cellStyle name="Total 25 2 3 4" xfId="37855" xr:uid="{00000000-0005-0000-0000-0000DF930000}"/>
    <cellStyle name="Total 25 2 4" xfId="37856" xr:uid="{00000000-0005-0000-0000-0000E0930000}"/>
    <cellStyle name="Total 25 2 4 2" xfId="37857" xr:uid="{00000000-0005-0000-0000-0000E1930000}"/>
    <cellStyle name="Total 25 2 4 2 2" xfId="37858" xr:uid="{00000000-0005-0000-0000-0000E2930000}"/>
    <cellStyle name="Total 25 2 4 2 3" xfId="37859" xr:uid="{00000000-0005-0000-0000-0000E3930000}"/>
    <cellStyle name="Total 25 2 4 3" xfId="37860" xr:uid="{00000000-0005-0000-0000-0000E4930000}"/>
    <cellStyle name="Total 25 2 4 4" xfId="37861" xr:uid="{00000000-0005-0000-0000-0000E5930000}"/>
    <cellStyle name="Total 25 2 5" xfId="37862" xr:uid="{00000000-0005-0000-0000-0000E6930000}"/>
    <cellStyle name="Total 25 2 5 2" xfId="37863" xr:uid="{00000000-0005-0000-0000-0000E7930000}"/>
    <cellStyle name="Total 25 2 5 2 2" xfId="37864" xr:uid="{00000000-0005-0000-0000-0000E8930000}"/>
    <cellStyle name="Total 25 2 5 2 3" xfId="37865" xr:uid="{00000000-0005-0000-0000-0000E9930000}"/>
    <cellStyle name="Total 25 2 5 3" xfId="37866" xr:uid="{00000000-0005-0000-0000-0000EA930000}"/>
    <cellStyle name="Total 25 2 5 4" xfId="37867" xr:uid="{00000000-0005-0000-0000-0000EB930000}"/>
    <cellStyle name="Total 25 2 6" xfId="37868" xr:uid="{00000000-0005-0000-0000-0000EC930000}"/>
    <cellStyle name="Total 25 2 6 2" xfId="37869" xr:uid="{00000000-0005-0000-0000-0000ED930000}"/>
    <cellStyle name="Total 25 2 6 2 2" xfId="37870" xr:uid="{00000000-0005-0000-0000-0000EE930000}"/>
    <cellStyle name="Total 25 2 6 2 3" xfId="37871" xr:uid="{00000000-0005-0000-0000-0000EF930000}"/>
    <cellStyle name="Total 25 2 6 3" xfId="37872" xr:uid="{00000000-0005-0000-0000-0000F0930000}"/>
    <cellStyle name="Total 25 2 6 4" xfId="37873" xr:uid="{00000000-0005-0000-0000-0000F1930000}"/>
    <cellStyle name="Total 25 2 7" xfId="37874" xr:uid="{00000000-0005-0000-0000-0000F2930000}"/>
    <cellStyle name="Total 25 2 7 2" xfId="37875" xr:uid="{00000000-0005-0000-0000-0000F3930000}"/>
    <cellStyle name="Total 25 2 7 2 2" xfId="37876" xr:uid="{00000000-0005-0000-0000-0000F4930000}"/>
    <cellStyle name="Total 25 2 7 2 3" xfId="37877" xr:uid="{00000000-0005-0000-0000-0000F5930000}"/>
    <cellStyle name="Total 25 2 7 3" xfId="37878" xr:uid="{00000000-0005-0000-0000-0000F6930000}"/>
    <cellStyle name="Total 25 2 7 4" xfId="37879" xr:uid="{00000000-0005-0000-0000-0000F7930000}"/>
    <cellStyle name="Total 25 2 8" xfId="37880" xr:uid="{00000000-0005-0000-0000-0000F8930000}"/>
    <cellStyle name="Total 25 2 8 2" xfId="37881" xr:uid="{00000000-0005-0000-0000-0000F9930000}"/>
    <cellStyle name="Total 25 2 8 2 2" xfId="37882" xr:uid="{00000000-0005-0000-0000-0000FA930000}"/>
    <cellStyle name="Total 25 2 8 2 3" xfId="37883" xr:uid="{00000000-0005-0000-0000-0000FB930000}"/>
    <cellStyle name="Total 25 2 8 3" xfId="37884" xr:uid="{00000000-0005-0000-0000-0000FC930000}"/>
    <cellStyle name="Total 25 2 8 4" xfId="37885" xr:uid="{00000000-0005-0000-0000-0000FD930000}"/>
    <cellStyle name="Total 25 2 9" xfId="37886" xr:uid="{00000000-0005-0000-0000-0000FE930000}"/>
    <cellStyle name="Total 25 2 9 2" xfId="37887" xr:uid="{00000000-0005-0000-0000-0000FF930000}"/>
    <cellStyle name="Total 25 2 9 2 2" xfId="37888" xr:uid="{00000000-0005-0000-0000-000000940000}"/>
    <cellStyle name="Total 25 2 9 2 3" xfId="37889" xr:uid="{00000000-0005-0000-0000-000001940000}"/>
    <cellStyle name="Total 25 2 9 3" xfId="37890" xr:uid="{00000000-0005-0000-0000-000002940000}"/>
    <cellStyle name="Total 25 2 9 4" xfId="37891" xr:uid="{00000000-0005-0000-0000-000003940000}"/>
    <cellStyle name="Total 25 3" xfId="37892" xr:uid="{00000000-0005-0000-0000-000004940000}"/>
    <cellStyle name="Total 25 3 2" xfId="37893" xr:uid="{00000000-0005-0000-0000-000005940000}"/>
    <cellStyle name="Total 25 3 2 2" xfId="37894" xr:uid="{00000000-0005-0000-0000-000006940000}"/>
    <cellStyle name="Total 25 3 2 3" xfId="37895" xr:uid="{00000000-0005-0000-0000-000007940000}"/>
    <cellStyle name="Total 25 3 3" xfId="37896" xr:uid="{00000000-0005-0000-0000-000008940000}"/>
    <cellStyle name="Total 25 3 4" xfId="37897" xr:uid="{00000000-0005-0000-0000-000009940000}"/>
    <cellStyle name="Total 25 4" xfId="37898" xr:uid="{00000000-0005-0000-0000-00000A940000}"/>
    <cellStyle name="Total 25 5" xfId="37899" xr:uid="{00000000-0005-0000-0000-00000B940000}"/>
    <cellStyle name="Total 26" xfId="37900" xr:uid="{00000000-0005-0000-0000-00000C940000}"/>
    <cellStyle name="Total 26 2" xfId="37901" xr:uid="{00000000-0005-0000-0000-00000D940000}"/>
    <cellStyle name="Total 26 2 10" xfId="37902" xr:uid="{00000000-0005-0000-0000-00000E940000}"/>
    <cellStyle name="Total 26 2 10 2" xfId="37903" xr:uid="{00000000-0005-0000-0000-00000F940000}"/>
    <cellStyle name="Total 26 2 10 2 2" xfId="37904" xr:uid="{00000000-0005-0000-0000-000010940000}"/>
    <cellStyle name="Total 26 2 10 2 3" xfId="37905" xr:uid="{00000000-0005-0000-0000-000011940000}"/>
    <cellStyle name="Total 26 2 10 3" xfId="37906" xr:uid="{00000000-0005-0000-0000-000012940000}"/>
    <cellStyle name="Total 26 2 10 4" xfId="37907" xr:uid="{00000000-0005-0000-0000-000013940000}"/>
    <cellStyle name="Total 26 2 11" xfId="37908" xr:uid="{00000000-0005-0000-0000-000014940000}"/>
    <cellStyle name="Total 26 2 11 2" xfId="37909" xr:uid="{00000000-0005-0000-0000-000015940000}"/>
    <cellStyle name="Total 26 2 11 2 2" xfId="37910" xr:uid="{00000000-0005-0000-0000-000016940000}"/>
    <cellStyle name="Total 26 2 11 2 3" xfId="37911" xr:uid="{00000000-0005-0000-0000-000017940000}"/>
    <cellStyle name="Total 26 2 11 3" xfId="37912" xr:uid="{00000000-0005-0000-0000-000018940000}"/>
    <cellStyle name="Total 26 2 11 4" xfId="37913" xr:uid="{00000000-0005-0000-0000-000019940000}"/>
    <cellStyle name="Total 26 2 12" xfId="37914" xr:uid="{00000000-0005-0000-0000-00001A940000}"/>
    <cellStyle name="Total 26 2 12 2" xfId="37915" xr:uid="{00000000-0005-0000-0000-00001B940000}"/>
    <cellStyle name="Total 26 2 12 2 2" xfId="37916" xr:uid="{00000000-0005-0000-0000-00001C940000}"/>
    <cellStyle name="Total 26 2 12 2 3" xfId="37917" xr:uid="{00000000-0005-0000-0000-00001D940000}"/>
    <cellStyle name="Total 26 2 12 3" xfId="37918" xr:uid="{00000000-0005-0000-0000-00001E940000}"/>
    <cellStyle name="Total 26 2 12 4" xfId="37919" xr:uid="{00000000-0005-0000-0000-00001F940000}"/>
    <cellStyle name="Total 26 2 13" xfId="37920" xr:uid="{00000000-0005-0000-0000-000020940000}"/>
    <cellStyle name="Total 26 2 13 2" xfId="37921" xr:uid="{00000000-0005-0000-0000-000021940000}"/>
    <cellStyle name="Total 26 2 13 2 2" xfId="37922" xr:uid="{00000000-0005-0000-0000-000022940000}"/>
    <cellStyle name="Total 26 2 13 2 3" xfId="37923" xr:uid="{00000000-0005-0000-0000-000023940000}"/>
    <cellStyle name="Total 26 2 13 3" xfId="37924" xr:uid="{00000000-0005-0000-0000-000024940000}"/>
    <cellStyle name="Total 26 2 13 4" xfId="37925" xr:uid="{00000000-0005-0000-0000-000025940000}"/>
    <cellStyle name="Total 26 2 14" xfId="37926" xr:uid="{00000000-0005-0000-0000-000026940000}"/>
    <cellStyle name="Total 26 2 14 2" xfId="37927" xr:uid="{00000000-0005-0000-0000-000027940000}"/>
    <cellStyle name="Total 26 2 14 2 2" xfId="37928" xr:uid="{00000000-0005-0000-0000-000028940000}"/>
    <cellStyle name="Total 26 2 14 2 3" xfId="37929" xr:uid="{00000000-0005-0000-0000-000029940000}"/>
    <cellStyle name="Total 26 2 14 3" xfId="37930" xr:uid="{00000000-0005-0000-0000-00002A940000}"/>
    <cellStyle name="Total 26 2 14 4" xfId="37931" xr:uid="{00000000-0005-0000-0000-00002B940000}"/>
    <cellStyle name="Total 26 2 15" xfId="37932" xr:uid="{00000000-0005-0000-0000-00002C940000}"/>
    <cellStyle name="Total 26 2 15 2" xfId="37933" xr:uid="{00000000-0005-0000-0000-00002D940000}"/>
    <cellStyle name="Total 26 2 15 2 2" xfId="37934" xr:uid="{00000000-0005-0000-0000-00002E940000}"/>
    <cellStyle name="Total 26 2 15 2 3" xfId="37935" xr:uid="{00000000-0005-0000-0000-00002F940000}"/>
    <cellStyle name="Total 26 2 15 3" xfId="37936" xr:uid="{00000000-0005-0000-0000-000030940000}"/>
    <cellStyle name="Total 26 2 15 4" xfId="37937" xr:uid="{00000000-0005-0000-0000-000031940000}"/>
    <cellStyle name="Total 26 2 16" xfId="37938" xr:uid="{00000000-0005-0000-0000-000032940000}"/>
    <cellStyle name="Total 26 2 16 2" xfId="37939" xr:uid="{00000000-0005-0000-0000-000033940000}"/>
    <cellStyle name="Total 26 2 16 2 2" xfId="37940" xr:uid="{00000000-0005-0000-0000-000034940000}"/>
    <cellStyle name="Total 26 2 16 2 3" xfId="37941" xr:uid="{00000000-0005-0000-0000-000035940000}"/>
    <cellStyle name="Total 26 2 16 3" xfId="37942" xr:uid="{00000000-0005-0000-0000-000036940000}"/>
    <cellStyle name="Total 26 2 16 4" xfId="37943" xr:uid="{00000000-0005-0000-0000-000037940000}"/>
    <cellStyle name="Total 26 2 17" xfId="37944" xr:uid="{00000000-0005-0000-0000-000038940000}"/>
    <cellStyle name="Total 26 2 17 2" xfId="37945" xr:uid="{00000000-0005-0000-0000-000039940000}"/>
    <cellStyle name="Total 26 2 17 2 2" xfId="37946" xr:uid="{00000000-0005-0000-0000-00003A940000}"/>
    <cellStyle name="Total 26 2 17 2 3" xfId="37947" xr:uid="{00000000-0005-0000-0000-00003B940000}"/>
    <cellStyle name="Total 26 2 17 3" xfId="37948" xr:uid="{00000000-0005-0000-0000-00003C940000}"/>
    <cellStyle name="Total 26 2 17 4" xfId="37949" xr:uid="{00000000-0005-0000-0000-00003D940000}"/>
    <cellStyle name="Total 26 2 18" xfId="37950" xr:uid="{00000000-0005-0000-0000-00003E940000}"/>
    <cellStyle name="Total 26 2 18 2" xfId="37951" xr:uid="{00000000-0005-0000-0000-00003F940000}"/>
    <cellStyle name="Total 26 2 18 3" xfId="37952" xr:uid="{00000000-0005-0000-0000-000040940000}"/>
    <cellStyle name="Total 26 2 18 4" xfId="37953" xr:uid="{00000000-0005-0000-0000-000041940000}"/>
    <cellStyle name="Total 26 2 19" xfId="37954" xr:uid="{00000000-0005-0000-0000-000042940000}"/>
    <cellStyle name="Total 26 2 2" xfId="37955" xr:uid="{00000000-0005-0000-0000-000043940000}"/>
    <cellStyle name="Total 26 2 2 2" xfId="37956" xr:uid="{00000000-0005-0000-0000-000044940000}"/>
    <cellStyle name="Total 26 2 2 2 2" xfId="37957" xr:uid="{00000000-0005-0000-0000-000045940000}"/>
    <cellStyle name="Total 26 2 2 2 3" xfId="37958" xr:uid="{00000000-0005-0000-0000-000046940000}"/>
    <cellStyle name="Total 26 2 2 3" xfId="37959" xr:uid="{00000000-0005-0000-0000-000047940000}"/>
    <cellStyle name="Total 26 2 2 4" xfId="37960" xr:uid="{00000000-0005-0000-0000-000048940000}"/>
    <cellStyle name="Total 26 2 20" xfId="37961" xr:uid="{00000000-0005-0000-0000-000049940000}"/>
    <cellStyle name="Total 26 2 21" xfId="37962" xr:uid="{00000000-0005-0000-0000-00004A940000}"/>
    <cellStyle name="Total 26 2 3" xfId="37963" xr:uid="{00000000-0005-0000-0000-00004B940000}"/>
    <cellStyle name="Total 26 2 3 2" xfId="37964" xr:uid="{00000000-0005-0000-0000-00004C940000}"/>
    <cellStyle name="Total 26 2 3 2 2" xfId="37965" xr:uid="{00000000-0005-0000-0000-00004D940000}"/>
    <cellStyle name="Total 26 2 3 2 3" xfId="37966" xr:uid="{00000000-0005-0000-0000-00004E940000}"/>
    <cellStyle name="Total 26 2 3 3" xfId="37967" xr:uid="{00000000-0005-0000-0000-00004F940000}"/>
    <cellStyle name="Total 26 2 3 4" xfId="37968" xr:uid="{00000000-0005-0000-0000-000050940000}"/>
    <cellStyle name="Total 26 2 4" xfId="37969" xr:uid="{00000000-0005-0000-0000-000051940000}"/>
    <cellStyle name="Total 26 2 4 2" xfId="37970" xr:uid="{00000000-0005-0000-0000-000052940000}"/>
    <cellStyle name="Total 26 2 4 2 2" xfId="37971" xr:uid="{00000000-0005-0000-0000-000053940000}"/>
    <cellStyle name="Total 26 2 4 2 3" xfId="37972" xr:uid="{00000000-0005-0000-0000-000054940000}"/>
    <cellStyle name="Total 26 2 4 3" xfId="37973" xr:uid="{00000000-0005-0000-0000-000055940000}"/>
    <cellStyle name="Total 26 2 4 4" xfId="37974" xr:uid="{00000000-0005-0000-0000-000056940000}"/>
    <cellStyle name="Total 26 2 5" xfId="37975" xr:uid="{00000000-0005-0000-0000-000057940000}"/>
    <cellStyle name="Total 26 2 5 2" xfId="37976" xr:uid="{00000000-0005-0000-0000-000058940000}"/>
    <cellStyle name="Total 26 2 5 2 2" xfId="37977" xr:uid="{00000000-0005-0000-0000-000059940000}"/>
    <cellStyle name="Total 26 2 5 2 3" xfId="37978" xr:uid="{00000000-0005-0000-0000-00005A940000}"/>
    <cellStyle name="Total 26 2 5 3" xfId="37979" xr:uid="{00000000-0005-0000-0000-00005B940000}"/>
    <cellStyle name="Total 26 2 5 4" xfId="37980" xr:uid="{00000000-0005-0000-0000-00005C940000}"/>
    <cellStyle name="Total 26 2 6" xfId="37981" xr:uid="{00000000-0005-0000-0000-00005D940000}"/>
    <cellStyle name="Total 26 2 6 2" xfId="37982" xr:uid="{00000000-0005-0000-0000-00005E940000}"/>
    <cellStyle name="Total 26 2 6 2 2" xfId="37983" xr:uid="{00000000-0005-0000-0000-00005F940000}"/>
    <cellStyle name="Total 26 2 6 2 3" xfId="37984" xr:uid="{00000000-0005-0000-0000-000060940000}"/>
    <cellStyle name="Total 26 2 6 3" xfId="37985" xr:uid="{00000000-0005-0000-0000-000061940000}"/>
    <cellStyle name="Total 26 2 6 4" xfId="37986" xr:uid="{00000000-0005-0000-0000-000062940000}"/>
    <cellStyle name="Total 26 2 7" xfId="37987" xr:uid="{00000000-0005-0000-0000-000063940000}"/>
    <cellStyle name="Total 26 2 7 2" xfId="37988" xr:uid="{00000000-0005-0000-0000-000064940000}"/>
    <cellStyle name="Total 26 2 7 2 2" xfId="37989" xr:uid="{00000000-0005-0000-0000-000065940000}"/>
    <cellStyle name="Total 26 2 7 2 3" xfId="37990" xr:uid="{00000000-0005-0000-0000-000066940000}"/>
    <cellStyle name="Total 26 2 7 3" xfId="37991" xr:uid="{00000000-0005-0000-0000-000067940000}"/>
    <cellStyle name="Total 26 2 7 4" xfId="37992" xr:uid="{00000000-0005-0000-0000-000068940000}"/>
    <cellStyle name="Total 26 2 8" xfId="37993" xr:uid="{00000000-0005-0000-0000-000069940000}"/>
    <cellStyle name="Total 26 2 8 2" xfId="37994" xr:uid="{00000000-0005-0000-0000-00006A940000}"/>
    <cellStyle name="Total 26 2 8 2 2" xfId="37995" xr:uid="{00000000-0005-0000-0000-00006B940000}"/>
    <cellStyle name="Total 26 2 8 2 3" xfId="37996" xr:uid="{00000000-0005-0000-0000-00006C940000}"/>
    <cellStyle name="Total 26 2 8 3" xfId="37997" xr:uid="{00000000-0005-0000-0000-00006D940000}"/>
    <cellStyle name="Total 26 2 8 4" xfId="37998" xr:uid="{00000000-0005-0000-0000-00006E940000}"/>
    <cellStyle name="Total 26 2 9" xfId="37999" xr:uid="{00000000-0005-0000-0000-00006F940000}"/>
    <cellStyle name="Total 26 2 9 2" xfId="38000" xr:uid="{00000000-0005-0000-0000-000070940000}"/>
    <cellStyle name="Total 26 2 9 2 2" xfId="38001" xr:uid="{00000000-0005-0000-0000-000071940000}"/>
    <cellStyle name="Total 26 2 9 2 3" xfId="38002" xr:uid="{00000000-0005-0000-0000-000072940000}"/>
    <cellStyle name="Total 26 2 9 3" xfId="38003" xr:uid="{00000000-0005-0000-0000-000073940000}"/>
    <cellStyle name="Total 26 2 9 4" xfId="38004" xr:uid="{00000000-0005-0000-0000-000074940000}"/>
    <cellStyle name="Total 26 3" xfId="38005" xr:uid="{00000000-0005-0000-0000-000075940000}"/>
    <cellStyle name="Total 26 3 2" xfId="38006" xr:uid="{00000000-0005-0000-0000-000076940000}"/>
    <cellStyle name="Total 26 3 2 2" xfId="38007" xr:uid="{00000000-0005-0000-0000-000077940000}"/>
    <cellStyle name="Total 26 3 2 3" xfId="38008" xr:uid="{00000000-0005-0000-0000-000078940000}"/>
    <cellStyle name="Total 26 3 3" xfId="38009" xr:uid="{00000000-0005-0000-0000-000079940000}"/>
    <cellStyle name="Total 26 3 4" xfId="38010" xr:uid="{00000000-0005-0000-0000-00007A940000}"/>
    <cellStyle name="Total 26 4" xfId="38011" xr:uid="{00000000-0005-0000-0000-00007B940000}"/>
    <cellStyle name="Total 26 5" xfId="38012" xr:uid="{00000000-0005-0000-0000-00007C940000}"/>
    <cellStyle name="Total 27" xfId="38013" xr:uid="{00000000-0005-0000-0000-00007D940000}"/>
    <cellStyle name="Total 27 2" xfId="38014" xr:uid="{00000000-0005-0000-0000-00007E940000}"/>
    <cellStyle name="Total 27 2 10" xfId="38015" xr:uid="{00000000-0005-0000-0000-00007F940000}"/>
    <cellStyle name="Total 27 2 10 2" xfId="38016" xr:uid="{00000000-0005-0000-0000-000080940000}"/>
    <cellStyle name="Total 27 2 10 2 2" xfId="38017" xr:uid="{00000000-0005-0000-0000-000081940000}"/>
    <cellStyle name="Total 27 2 10 2 3" xfId="38018" xr:uid="{00000000-0005-0000-0000-000082940000}"/>
    <cellStyle name="Total 27 2 10 3" xfId="38019" xr:uid="{00000000-0005-0000-0000-000083940000}"/>
    <cellStyle name="Total 27 2 10 4" xfId="38020" xr:uid="{00000000-0005-0000-0000-000084940000}"/>
    <cellStyle name="Total 27 2 11" xfId="38021" xr:uid="{00000000-0005-0000-0000-000085940000}"/>
    <cellStyle name="Total 27 2 11 2" xfId="38022" xr:uid="{00000000-0005-0000-0000-000086940000}"/>
    <cellStyle name="Total 27 2 11 2 2" xfId="38023" xr:uid="{00000000-0005-0000-0000-000087940000}"/>
    <cellStyle name="Total 27 2 11 2 3" xfId="38024" xr:uid="{00000000-0005-0000-0000-000088940000}"/>
    <cellStyle name="Total 27 2 11 3" xfId="38025" xr:uid="{00000000-0005-0000-0000-000089940000}"/>
    <cellStyle name="Total 27 2 11 4" xfId="38026" xr:uid="{00000000-0005-0000-0000-00008A940000}"/>
    <cellStyle name="Total 27 2 12" xfId="38027" xr:uid="{00000000-0005-0000-0000-00008B940000}"/>
    <cellStyle name="Total 27 2 12 2" xfId="38028" xr:uid="{00000000-0005-0000-0000-00008C940000}"/>
    <cellStyle name="Total 27 2 12 2 2" xfId="38029" xr:uid="{00000000-0005-0000-0000-00008D940000}"/>
    <cellStyle name="Total 27 2 12 2 3" xfId="38030" xr:uid="{00000000-0005-0000-0000-00008E940000}"/>
    <cellStyle name="Total 27 2 12 3" xfId="38031" xr:uid="{00000000-0005-0000-0000-00008F940000}"/>
    <cellStyle name="Total 27 2 12 4" xfId="38032" xr:uid="{00000000-0005-0000-0000-000090940000}"/>
    <cellStyle name="Total 27 2 13" xfId="38033" xr:uid="{00000000-0005-0000-0000-000091940000}"/>
    <cellStyle name="Total 27 2 13 2" xfId="38034" xr:uid="{00000000-0005-0000-0000-000092940000}"/>
    <cellStyle name="Total 27 2 13 2 2" xfId="38035" xr:uid="{00000000-0005-0000-0000-000093940000}"/>
    <cellStyle name="Total 27 2 13 2 3" xfId="38036" xr:uid="{00000000-0005-0000-0000-000094940000}"/>
    <cellStyle name="Total 27 2 13 3" xfId="38037" xr:uid="{00000000-0005-0000-0000-000095940000}"/>
    <cellStyle name="Total 27 2 13 4" xfId="38038" xr:uid="{00000000-0005-0000-0000-000096940000}"/>
    <cellStyle name="Total 27 2 14" xfId="38039" xr:uid="{00000000-0005-0000-0000-000097940000}"/>
    <cellStyle name="Total 27 2 14 2" xfId="38040" xr:uid="{00000000-0005-0000-0000-000098940000}"/>
    <cellStyle name="Total 27 2 14 2 2" xfId="38041" xr:uid="{00000000-0005-0000-0000-000099940000}"/>
    <cellStyle name="Total 27 2 14 2 3" xfId="38042" xr:uid="{00000000-0005-0000-0000-00009A940000}"/>
    <cellStyle name="Total 27 2 14 3" xfId="38043" xr:uid="{00000000-0005-0000-0000-00009B940000}"/>
    <cellStyle name="Total 27 2 14 4" xfId="38044" xr:uid="{00000000-0005-0000-0000-00009C940000}"/>
    <cellStyle name="Total 27 2 15" xfId="38045" xr:uid="{00000000-0005-0000-0000-00009D940000}"/>
    <cellStyle name="Total 27 2 15 2" xfId="38046" xr:uid="{00000000-0005-0000-0000-00009E940000}"/>
    <cellStyle name="Total 27 2 15 2 2" xfId="38047" xr:uid="{00000000-0005-0000-0000-00009F940000}"/>
    <cellStyle name="Total 27 2 15 2 3" xfId="38048" xr:uid="{00000000-0005-0000-0000-0000A0940000}"/>
    <cellStyle name="Total 27 2 15 3" xfId="38049" xr:uid="{00000000-0005-0000-0000-0000A1940000}"/>
    <cellStyle name="Total 27 2 15 4" xfId="38050" xr:uid="{00000000-0005-0000-0000-0000A2940000}"/>
    <cellStyle name="Total 27 2 16" xfId="38051" xr:uid="{00000000-0005-0000-0000-0000A3940000}"/>
    <cellStyle name="Total 27 2 16 2" xfId="38052" xr:uid="{00000000-0005-0000-0000-0000A4940000}"/>
    <cellStyle name="Total 27 2 16 2 2" xfId="38053" xr:uid="{00000000-0005-0000-0000-0000A5940000}"/>
    <cellStyle name="Total 27 2 16 2 3" xfId="38054" xr:uid="{00000000-0005-0000-0000-0000A6940000}"/>
    <cellStyle name="Total 27 2 16 3" xfId="38055" xr:uid="{00000000-0005-0000-0000-0000A7940000}"/>
    <cellStyle name="Total 27 2 16 4" xfId="38056" xr:uid="{00000000-0005-0000-0000-0000A8940000}"/>
    <cellStyle name="Total 27 2 17" xfId="38057" xr:uid="{00000000-0005-0000-0000-0000A9940000}"/>
    <cellStyle name="Total 27 2 17 2" xfId="38058" xr:uid="{00000000-0005-0000-0000-0000AA940000}"/>
    <cellStyle name="Total 27 2 17 2 2" xfId="38059" xr:uid="{00000000-0005-0000-0000-0000AB940000}"/>
    <cellStyle name="Total 27 2 17 2 3" xfId="38060" xr:uid="{00000000-0005-0000-0000-0000AC940000}"/>
    <cellStyle name="Total 27 2 17 3" xfId="38061" xr:uid="{00000000-0005-0000-0000-0000AD940000}"/>
    <cellStyle name="Total 27 2 17 4" xfId="38062" xr:uid="{00000000-0005-0000-0000-0000AE940000}"/>
    <cellStyle name="Total 27 2 18" xfId="38063" xr:uid="{00000000-0005-0000-0000-0000AF940000}"/>
    <cellStyle name="Total 27 2 18 2" xfId="38064" xr:uid="{00000000-0005-0000-0000-0000B0940000}"/>
    <cellStyle name="Total 27 2 18 3" xfId="38065" xr:uid="{00000000-0005-0000-0000-0000B1940000}"/>
    <cellStyle name="Total 27 2 18 4" xfId="38066" xr:uid="{00000000-0005-0000-0000-0000B2940000}"/>
    <cellStyle name="Total 27 2 19" xfId="38067" xr:uid="{00000000-0005-0000-0000-0000B3940000}"/>
    <cellStyle name="Total 27 2 2" xfId="38068" xr:uid="{00000000-0005-0000-0000-0000B4940000}"/>
    <cellStyle name="Total 27 2 2 2" xfId="38069" xr:uid="{00000000-0005-0000-0000-0000B5940000}"/>
    <cellStyle name="Total 27 2 2 2 2" xfId="38070" xr:uid="{00000000-0005-0000-0000-0000B6940000}"/>
    <cellStyle name="Total 27 2 2 2 3" xfId="38071" xr:uid="{00000000-0005-0000-0000-0000B7940000}"/>
    <cellStyle name="Total 27 2 2 3" xfId="38072" xr:uid="{00000000-0005-0000-0000-0000B8940000}"/>
    <cellStyle name="Total 27 2 2 4" xfId="38073" xr:uid="{00000000-0005-0000-0000-0000B9940000}"/>
    <cellStyle name="Total 27 2 20" xfId="38074" xr:uid="{00000000-0005-0000-0000-0000BA940000}"/>
    <cellStyle name="Total 27 2 21" xfId="38075" xr:uid="{00000000-0005-0000-0000-0000BB940000}"/>
    <cellStyle name="Total 27 2 3" xfId="38076" xr:uid="{00000000-0005-0000-0000-0000BC940000}"/>
    <cellStyle name="Total 27 2 3 2" xfId="38077" xr:uid="{00000000-0005-0000-0000-0000BD940000}"/>
    <cellStyle name="Total 27 2 3 2 2" xfId="38078" xr:uid="{00000000-0005-0000-0000-0000BE940000}"/>
    <cellStyle name="Total 27 2 3 2 3" xfId="38079" xr:uid="{00000000-0005-0000-0000-0000BF940000}"/>
    <cellStyle name="Total 27 2 3 3" xfId="38080" xr:uid="{00000000-0005-0000-0000-0000C0940000}"/>
    <cellStyle name="Total 27 2 3 4" xfId="38081" xr:uid="{00000000-0005-0000-0000-0000C1940000}"/>
    <cellStyle name="Total 27 2 4" xfId="38082" xr:uid="{00000000-0005-0000-0000-0000C2940000}"/>
    <cellStyle name="Total 27 2 4 2" xfId="38083" xr:uid="{00000000-0005-0000-0000-0000C3940000}"/>
    <cellStyle name="Total 27 2 4 2 2" xfId="38084" xr:uid="{00000000-0005-0000-0000-0000C4940000}"/>
    <cellStyle name="Total 27 2 4 2 3" xfId="38085" xr:uid="{00000000-0005-0000-0000-0000C5940000}"/>
    <cellStyle name="Total 27 2 4 3" xfId="38086" xr:uid="{00000000-0005-0000-0000-0000C6940000}"/>
    <cellStyle name="Total 27 2 4 4" xfId="38087" xr:uid="{00000000-0005-0000-0000-0000C7940000}"/>
    <cellStyle name="Total 27 2 5" xfId="38088" xr:uid="{00000000-0005-0000-0000-0000C8940000}"/>
    <cellStyle name="Total 27 2 5 2" xfId="38089" xr:uid="{00000000-0005-0000-0000-0000C9940000}"/>
    <cellStyle name="Total 27 2 5 2 2" xfId="38090" xr:uid="{00000000-0005-0000-0000-0000CA940000}"/>
    <cellStyle name="Total 27 2 5 2 3" xfId="38091" xr:uid="{00000000-0005-0000-0000-0000CB940000}"/>
    <cellStyle name="Total 27 2 5 3" xfId="38092" xr:uid="{00000000-0005-0000-0000-0000CC940000}"/>
    <cellStyle name="Total 27 2 5 4" xfId="38093" xr:uid="{00000000-0005-0000-0000-0000CD940000}"/>
    <cellStyle name="Total 27 2 6" xfId="38094" xr:uid="{00000000-0005-0000-0000-0000CE940000}"/>
    <cellStyle name="Total 27 2 6 2" xfId="38095" xr:uid="{00000000-0005-0000-0000-0000CF940000}"/>
    <cellStyle name="Total 27 2 6 2 2" xfId="38096" xr:uid="{00000000-0005-0000-0000-0000D0940000}"/>
    <cellStyle name="Total 27 2 6 2 3" xfId="38097" xr:uid="{00000000-0005-0000-0000-0000D1940000}"/>
    <cellStyle name="Total 27 2 6 3" xfId="38098" xr:uid="{00000000-0005-0000-0000-0000D2940000}"/>
    <cellStyle name="Total 27 2 6 4" xfId="38099" xr:uid="{00000000-0005-0000-0000-0000D3940000}"/>
    <cellStyle name="Total 27 2 7" xfId="38100" xr:uid="{00000000-0005-0000-0000-0000D4940000}"/>
    <cellStyle name="Total 27 2 7 2" xfId="38101" xr:uid="{00000000-0005-0000-0000-0000D5940000}"/>
    <cellStyle name="Total 27 2 7 2 2" xfId="38102" xr:uid="{00000000-0005-0000-0000-0000D6940000}"/>
    <cellStyle name="Total 27 2 7 2 3" xfId="38103" xr:uid="{00000000-0005-0000-0000-0000D7940000}"/>
    <cellStyle name="Total 27 2 7 3" xfId="38104" xr:uid="{00000000-0005-0000-0000-0000D8940000}"/>
    <cellStyle name="Total 27 2 7 4" xfId="38105" xr:uid="{00000000-0005-0000-0000-0000D9940000}"/>
    <cellStyle name="Total 27 2 8" xfId="38106" xr:uid="{00000000-0005-0000-0000-0000DA940000}"/>
    <cellStyle name="Total 27 2 8 2" xfId="38107" xr:uid="{00000000-0005-0000-0000-0000DB940000}"/>
    <cellStyle name="Total 27 2 8 2 2" xfId="38108" xr:uid="{00000000-0005-0000-0000-0000DC940000}"/>
    <cellStyle name="Total 27 2 8 2 3" xfId="38109" xr:uid="{00000000-0005-0000-0000-0000DD940000}"/>
    <cellStyle name="Total 27 2 8 3" xfId="38110" xr:uid="{00000000-0005-0000-0000-0000DE940000}"/>
    <cellStyle name="Total 27 2 8 4" xfId="38111" xr:uid="{00000000-0005-0000-0000-0000DF940000}"/>
    <cellStyle name="Total 27 2 9" xfId="38112" xr:uid="{00000000-0005-0000-0000-0000E0940000}"/>
    <cellStyle name="Total 27 2 9 2" xfId="38113" xr:uid="{00000000-0005-0000-0000-0000E1940000}"/>
    <cellStyle name="Total 27 2 9 2 2" xfId="38114" xr:uid="{00000000-0005-0000-0000-0000E2940000}"/>
    <cellStyle name="Total 27 2 9 2 3" xfId="38115" xr:uid="{00000000-0005-0000-0000-0000E3940000}"/>
    <cellStyle name="Total 27 2 9 3" xfId="38116" xr:uid="{00000000-0005-0000-0000-0000E4940000}"/>
    <cellStyle name="Total 27 2 9 4" xfId="38117" xr:uid="{00000000-0005-0000-0000-0000E5940000}"/>
    <cellStyle name="Total 27 3" xfId="38118" xr:uid="{00000000-0005-0000-0000-0000E6940000}"/>
    <cellStyle name="Total 27 3 2" xfId="38119" xr:uid="{00000000-0005-0000-0000-0000E7940000}"/>
    <cellStyle name="Total 27 3 2 2" xfId="38120" xr:uid="{00000000-0005-0000-0000-0000E8940000}"/>
    <cellStyle name="Total 27 3 2 3" xfId="38121" xr:uid="{00000000-0005-0000-0000-0000E9940000}"/>
    <cellStyle name="Total 27 3 3" xfId="38122" xr:uid="{00000000-0005-0000-0000-0000EA940000}"/>
    <cellStyle name="Total 27 3 4" xfId="38123" xr:uid="{00000000-0005-0000-0000-0000EB940000}"/>
    <cellStyle name="Total 27 4" xfId="38124" xr:uid="{00000000-0005-0000-0000-0000EC940000}"/>
    <cellStyle name="Total 27 5" xfId="38125" xr:uid="{00000000-0005-0000-0000-0000ED940000}"/>
    <cellStyle name="Total 28" xfId="38126" xr:uid="{00000000-0005-0000-0000-0000EE940000}"/>
    <cellStyle name="Total 28 2" xfId="38127" xr:uid="{00000000-0005-0000-0000-0000EF940000}"/>
    <cellStyle name="Total 28 2 10" xfId="38128" xr:uid="{00000000-0005-0000-0000-0000F0940000}"/>
    <cellStyle name="Total 28 2 10 2" xfId="38129" xr:uid="{00000000-0005-0000-0000-0000F1940000}"/>
    <cellStyle name="Total 28 2 10 2 2" xfId="38130" xr:uid="{00000000-0005-0000-0000-0000F2940000}"/>
    <cellStyle name="Total 28 2 10 2 3" xfId="38131" xr:uid="{00000000-0005-0000-0000-0000F3940000}"/>
    <cellStyle name="Total 28 2 10 3" xfId="38132" xr:uid="{00000000-0005-0000-0000-0000F4940000}"/>
    <cellStyle name="Total 28 2 10 4" xfId="38133" xr:uid="{00000000-0005-0000-0000-0000F5940000}"/>
    <cellStyle name="Total 28 2 11" xfId="38134" xr:uid="{00000000-0005-0000-0000-0000F6940000}"/>
    <cellStyle name="Total 28 2 11 2" xfId="38135" xr:uid="{00000000-0005-0000-0000-0000F7940000}"/>
    <cellStyle name="Total 28 2 11 2 2" xfId="38136" xr:uid="{00000000-0005-0000-0000-0000F8940000}"/>
    <cellStyle name="Total 28 2 11 2 3" xfId="38137" xr:uid="{00000000-0005-0000-0000-0000F9940000}"/>
    <cellStyle name="Total 28 2 11 3" xfId="38138" xr:uid="{00000000-0005-0000-0000-0000FA940000}"/>
    <cellStyle name="Total 28 2 11 4" xfId="38139" xr:uid="{00000000-0005-0000-0000-0000FB940000}"/>
    <cellStyle name="Total 28 2 12" xfId="38140" xr:uid="{00000000-0005-0000-0000-0000FC940000}"/>
    <cellStyle name="Total 28 2 12 2" xfId="38141" xr:uid="{00000000-0005-0000-0000-0000FD940000}"/>
    <cellStyle name="Total 28 2 12 2 2" xfId="38142" xr:uid="{00000000-0005-0000-0000-0000FE940000}"/>
    <cellStyle name="Total 28 2 12 2 3" xfId="38143" xr:uid="{00000000-0005-0000-0000-0000FF940000}"/>
    <cellStyle name="Total 28 2 12 3" xfId="38144" xr:uid="{00000000-0005-0000-0000-000000950000}"/>
    <cellStyle name="Total 28 2 12 4" xfId="38145" xr:uid="{00000000-0005-0000-0000-000001950000}"/>
    <cellStyle name="Total 28 2 13" xfId="38146" xr:uid="{00000000-0005-0000-0000-000002950000}"/>
    <cellStyle name="Total 28 2 13 2" xfId="38147" xr:uid="{00000000-0005-0000-0000-000003950000}"/>
    <cellStyle name="Total 28 2 13 2 2" xfId="38148" xr:uid="{00000000-0005-0000-0000-000004950000}"/>
    <cellStyle name="Total 28 2 13 2 3" xfId="38149" xr:uid="{00000000-0005-0000-0000-000005950000}"/>
    <cellStyle name="Total 28 2 13 3" xfId="38150" xr:uid="{00000000-0005-0000-0000-000006950000}"/>
    <cellStyle name="Total 28 2 13 4" xfId="38151" xr:uid="{00000000-0005-0000-0000-000007950000}"/>
    <cellStyle name="Total 28 2 14" xfId="38152" xr:uid="{00000000-0005-0000-0000-000008950000}"/>
    <cellStyle name="Total 28 2 14 2" xfId="38153" xr:uid="{00000000-0005-0000-0000-000009950000}"/>
    <cellStyle name="Total 28 2 14 2 2" xfId="38154" xr:uid="{00000000-0005-0000-0000-00000A950000}"/>
    <cellStyle name="Total 28 2 14 2 3" xfId="38155" xr:uid="{00000000-0005-0000-0000-00000B950000}"/>
    <cellStyle name="Total 28 2 14 3" xfId="38156" xr:uid="{00000000-0005-0000-0000-00000C950000}"/>
    <cellStyle name="Total 28 2 14 4" xfId="38157" xr:uid="{00000000-0005-0000-0000-00000D950000}"/>
    <cellStyle name="Total 28 2 15" xfId="38158" xr:uid="{00000000-0005-0000-0000-00000E950000}"/>
    <cellStyle name="Total 28 2 15 2" xfId="38159" xr:uid="{00000000-0005-0000-0000-00000F950000}"/>
    <cellStyle name="Total 28 2 15 2 2" xfId="38160" xr:uid="{00000000-0005-0000-0000-000010950000}"/>
    <cellStyle name="Total 28 2 15 2 3" xfId="38161" xr:uid="{00000000-0005-0000-0000-000011950000}"/>
    <cellStyle name="Total 28 2 15 3" xfId="38162" xr:uid="{00000000-0005-0000-0000-000012950000}"/>
    <cellStyle name="Total 28 2 15 4" xfId="38163" xr:uid="{00000000-0005-0000-0000-000013950000}"/>
    <cellStyle name="Total 28 2 16" xfId="38164" xr:uid="{00000000-0005-0000-0000-000014950000}"/>
    <cellStyle name="Total 28 2 16 2" xfId="38165" xr:uid="{00000000-0005-0000-0000-000015950000}"/>
    <cellStyle name="Total 28 2 16 2 2" xfId="38166" xr:uid="{00000000-0005-0000-0000-000016950000}"/>
    <cellStyle name="Total 28 2 16 2 3" xfId="38167" xr:uid="{00000000-0005-0000-0000-000017950000}"/>
    <cellStyle name="Total 28 2 16 3" xfId="38168" xr:uid="{00000000-0005-0000-0000-000018950000}"/>
    <cellStyle name="Total 28 2 16 4" xfId="38169" xr:uid="{00000000-0005-0000-0000-000019950000}"/>
    <cellStyle name="Total 28 2 17" xfId="38170" xr:uid="{00000000-0005-0000-0000-00001A950000}"/>
    <cellStyle name="Total 28 2 17 2" xfId="38171" xr:uid="{00000000-0005-0000-0000-00001B950000}"/>
    <cellStyle name="Total 28 2 17 2 2" xfId="38172" xr:uid="{00000000-0005-0000-0000-00001C950000}"/>
    <cellStyle name="Total 28 2 17 2 3" xfId="38173" xr:uid="{00000000-0005-0000-0000-00001D950000}"/>
    <cellStyle name="Total 28 2 17 3" xfId="38174" xr:uid="{00000000-0005-0000-0000-00001E950000}"/>
    <cellStyle name="Total 28 2 17 4" xfId="38175" xr:uid="{00000000-0005-0000-0000-00001F950000}"/>
    <cellStyle name="Total 28 2 18" xfId="38176" xr:uid="{00000000-0005-0000-0000-000020950000}"/>
    <cellStyle name="Total 28 2 18 2" xfId="38177" xr:uid="{00000000-0005-0000-0000-000021950000}"/>
    <cellStyle name="Total 28 2 18 3" xfId="38178" xr:uid="{00000000-0005-0000-0000-000022950000}"/>
    <cellStyle name="Total 28 2 18 4" xfId="38179" xr:uid="{00000000-0005-0000-0000-000023950000}"/>
    <cellStyle name="Total 28 2 19" xfId="38180" xr:uid="{00000000-0005-0000-0000-000024950000}"/>
    <cellStyle name="Total 28 2 2" xfId="38181" xr:uid="{00000000-0005-0000-0000-000025950000}"/>
    <cellStyle name="Total 28 2 2 2" xfId="38182" xr:uid="{00000000-0005-0000-0000-000026950000}"/>
    <cellStyle name="Total 28 2 2 2 2" xfId="38183" xr:uid="{00000000-0005-0000-0000-000027950000}"/>
    <cellStyle name="Total 28 2 2 2 3" xfId="38184" xr:uid="{00000000-0005-0000-0000-000028950000}"/>
    <cellStyle name="Total 28 2 2 3" xfId="38185" xr:uid="{00000000-0005-0000-0000-000029950000}"/>
    <cellStyle name="Total 28 2 2 4" xfId="38186" xr:uid="{00000000-0005-0000-0000-00002A950000}"/>
    <cellStyle name="Total 28 2 20" xfId="38187" xr:uid="{00000000-0005-0000-0000-00002B950000}"/>
    <cellStyle name="Total 28 2 21" xfId="38188" xr:uid="{00000000-0005-0000-0000-00002C950000}"/>
    <cellStyle name="Total 28 2 3" xfId="38189" xr:uid="{00000000-0005-0000-0000-00002D950000}"/>
    <cellStyle name="Total 28 2 3 2" xfId="38190" xr:uid="{00000000-0005-0000-0000-00002E950000}"/>
    <cellStyle name="Total 28 2 3 2 2" xfId="38191" xr:uid="{00000000-0005-0000-0000-00002F950000}"/>
    <cellStyle name="Total 28 2 3 2 3" xfId="38192" xr:uid="{00000000-0005-0000-0000-000030950000}"/>
    <cellStyle name="Total 28 2 3 3" xfId="38193" xr:uid="{00000000-0005-0000-0000-000031950000}"/>
    <cellStyle name="Total 28 2 3 4" xfId="38194" xr:uid="{00000000-0005-0000-0000-000032950000}"/>
    <cellStyle name="Total 28 2 4" xfId="38195" xr:uid="{00000000-0005-0000-0000-000033950000}"/>
    <cellStyle name="Total 28 2 4 2" xfId="38196" xr:uid="{00000000-0005-0000-0000-000034950000}"/>
    <cellStyle name="Total 28 2 4 2 2" xfId="38197" xr:uid="{00000000-0005-0000-0000-000035950000}"/>
    <cellStyle name="Total 28 2 4 2 3" xfId="38198" xr:uid="{00000000-0005-0000-0000-000036950000}"/>
    <cellStyle name="Total 28 2 4 3" xfId="38199" xr:uid="{00000000-0005-0000-0000-000037950000}"/>
    <cellStyle name="Total 28 2 4 4" xfId="38200" xr:uid="{00000000-0005-0000-0000-000038950000}"/>
    <cellStyle name="Total 28 2 5" xfId="38201" xr:uid="{00000000-0005-0000-0000-000039950000}"/>
    <cellStyle name="Total 28 2 5 2" xfId="38202" xr:uid="{00000000-0005-0000-0000-00003A950000}"/>
    <cellStyle name="Total 28 2 5 2 2" xfId="38203" xr:uid="{00000000-0005-0000-0000-00003B950000}"/>
    <cellStyle name="Total 28 2 5 2 3" xfId="38204" xr:uid="{00000000-0005-0000-0000-00003C950000}"/>
    <cellStyle name="Total 28 2 5 3" xfId="38205" xr:uid="{00000000-0005-0000-0000-00003D950000}"/>
    <cellStyle name="Total 28 2 5 4" xfId="38206" xr:uid="{00000000-0005-0000-0000-00003E950000}"/>
    <cellStyle name="Total 28 2 6" xfId="38207" xr:uid="{00000000-0005-0000-0000-00003F950000}"/>
    <cellStyle name="Total 28 2 6 2" xfId="38208" xr:uid="{00000000-0005-0000-0000-000040950000}"/>
    <cellStyle name="Total 28 2 6 2 2" xfId="38209" xr:uid="{00000000-0005-0000-0000-000041950000}"/>
    <cellStyle name="Total 28 2 6 2 3" xfId="38210" xr:uid="{00000000-0005-0000-0000-000042950000}"/>
    <cellStyle name="Total 28 2 6 3" xfId="38211" xr:uid="{00000000-0005-0000-0000-000043950000}"/>
    <cellStyle name="Total 28 2 6 4" xfId="38212" xr:uid="{00000000-0005-0000-0000-000044950000}"/>
    <cellStyle name="Total 28 2 7" xfId="38213" xr:uid="{00000000-0005-0000-0000-000045950000}"/>
    <cellStyle name="Total 28 2 7 2" xfId="38214" xr:uid="{00000000-0005-0000-0000-000046950000}"/>
    <cellStyle name="Total 28 2 7 2 2" xfId="38215" xr:uid="{00000000-0005-0000-0000-000047950000}"/>
    <cellStyle name="Total 28 2 7 2 3" xfId="38216" xr:uid="{00000000-0005-0000-0000-000048950000}"/>
    <cellStyle name="Total 28 2 7 3" xfId="38217" xr:uid="{00000000-0005-0000-0000-000049950000}"/>
    <cellStyle name="Total 28 2 7 4" xfId="38218" xr:uid="{00000000-0005-0000-0000-00004A950000}"/>
    <cellStyle name="Total 28 2 8" xfId="38219" xr:uid="{00000000-0005-0000-0000-00004B950000}"/>
    <cellStyle name="Total 28 2 8 2" xfId="38220" xr:uid="{00000000-0005-0000-0000-00004C950000}"/>
    <cellStyle name="Total 28 2 8 2 2" xfId="38221" xr:uid="{00000000-0005-0000-0000-00004D950000}"/>
    <cellStyle name="Total 28 2 8 2 3" xfId="38222" xr:uid="{00000000-0005-0000-0000-00004E950000}"/>
    <cellStyle name="Total 28 2 8 3" xfId="38223" xr:uid="{00000000-0005-0000-0000-00004F950000}"/>
    <cellStyle name="Total 28 2 8 4" xfId="38224" xr:uid="{00000000-0005-0000-0000-000050950000}"/>
    <cellStyle name="Total 28 2 9" xfId="38225" xr:uid="{00000000-0005-0000-0000-000051950000}"/>
    <cellStyle name="Total 28 2 9 2" xfId="38226" xr:uid="{00000000-0005-0000-0000-000052950000}"/>
    <cellStyle name="Total 28 2 9 2 2" xfId="38227" xr:uid="{00000000-0005-0000-0000-000053950000}"/>
    <cellStyle name="Total 28 2 9 2 3" xfId="38228" xr:uid="{00000000-0005-0000-0000-000054950000}"/>
    <cellStyle name="Total 28 2 9 3" xfId="38229" xr:uid="{00000000-0005-0000-0000-000055950000}"/>
    <cellStyle name="Total 28 2 9 4" xfId="38230" xr:uid="{00000000-0005-0000-0000-000056950000}"/>
    <cellStyle name="Total 28 3" xfId="38231" xr:uid="{00000000-0005-0000-0000-000057950000}"/>
    <cellStyle name="Total 28 3 2" xfId="38232" xr:uid="{00000000-0005-0000-0000-000058950000}"/>
    <cellStyle name="Total 28 3 2 2" xfId="38233" xr:uid="{00000000-0005-0000-0000-000059950000}"/>
    <cellStyle name="Total 28 3 2 3" xfId="38234" xr:uid="{00000000-0005-0000-0000-00005A950000}"/>
    <cellStyle name="Total 28 3 3" xfId="38235" xr:uid="{00000000-0005-0000-0000-00005B950000}"/>
    <cellStyle name="Total 28 3 4" xfId="38236" xr:uid="{00000000-0005-0000-0000-00005C950000}"/>
    <cellStyle name="Total 28 4" xfId="38237" xr:uid="{00000000-0005-0000-0000-00005D950000}"/>
    <cellStyle name="Total 28 5" xfId="38238" xr:uid="{00000000-0005-0000-0000-00005E950000}"/>
    <cellStyle name="Total 29" xfId="38239" xr:uid="{00000000-0005-0000-0000-00005F950000}"/>
    <cellStyle name="Total 29 2" xfId="38240" xr:uid="{00000000-0005-0000-0000-000060950000}"/>
    <cellStyle name="Total 29 2 10" xfId="38241" xr:uid="{00000000-0005-0000-0000-000061950000}"/>
    <cellStyle name="Total 29 2 10 2" xfId="38242" xr:uid="{00000000-0005-0000-0000-000062950000}"/>
    <cellStyle name="Total 29 2 10 2 2" xfId="38243" xr:uid="{00000000-0005-0000-0000-000063950000}"/>
    <cellStyle name="Total 29 2 10 2 3" xfId="38244" xr:uid="{00000000-0005-0000-0000-000064950000}"/>
    <cellStyle name="Total 29 2 10 3" xfId="38245" xr:uid="{00000000-0005-0000-0000-000065950000}"/>
    <cellStyle name="Total 29 2 10 4" xfId="38246" xr:uid="{00000000-0005-0000-0000-000066950000}"/>
    <cellStyle name="Total 29 2 11" xfId="38247" xr:uid="{00000000-0005-0000-0000-000067950000}"/>
    <cellStyle name="Total 29 2 11 2" xfId="38248" xr:uid="{00000000-0005-0000-0000-000068950000}"/>
    <cellStyle name="Total 29 2 11 2 2" xfId="38249" xr:uid="{00000000-0005-0000-0000-000069950000}"/>
    <cellStyle name="Total 29 2 11 2 3" xfId="38250" xr:uid="{00000000-0005-0000-0000-00006A950000}"/>
    <cellStyle name="Total 29 2 11 3" xfId="38251" xr:uid="{00000000-0005-0000-0000-00006B950000}"/>
    <cellStyle name="Total 29 2 11 4" xfId="38252" xr:uid="{00000000-0005-0000-0000-00006C950000}"/>
    <cellStyle name="Total 29 2 12" xfId="38253" xr:uid="{00000000-0005-0000-0000-00006D950000}"/>
    <cellStyle name="Total 29 2 12 2" xfId="38254" xr:uid="{00000000-0005-0000-0000-00006E950000}"/>
    <cellStyle name="Total 29 2 12 2 2" xfId="38255" xr:uid="{00000000-0005-0000-0000-00006F950000}"/>
    <cellStyle name="Total 29 2 12 2 3" xfId="38256" xr:uid="{00000000-0005-0000-0000-000070950000}"/>
    <cellStyle name="Total 29 2 12 3" xfId="38257" xr:uid="{00000000-0005-0000-0000-000071950000}"/>
    <cellStyle name="Total 29 2 12 4" xfId="38258" xr:uid="{00000000-0005-0000-0000-000072950000}"/>
    <cellStyle name="Total 29 2 13" xfId="38259" xr:uid="{00000000-0005-0000-0000-000073950000}"/>
    <cellStyle name="Total 29 2 13 2" xfId="38260" xr:uid="{00000000-0005-0000-0000-000074950000}"/>
    <cellStyle name="Total 29 2 13 2 2" xfId="38261" xr:uid="{00000000-0005-0000-0000-000075950000}"/>
    <cellStyle name="Total 29 2 13 2 3" xfId="38262" xr:uid="{00000000-0005-0000-0000-000076950000}"/>
    <cellStyle name="Total 29 2 13 3" xfId="38263" xr:uid="{00000000-0005-0000-0000-000077950000}"/>
    <cellStyle name="Total 29 2 13 4" xfId="38264" xr:uid="{00000000-0005-0000-0000-000078950000}"/>
    <cellStyle name="Total 29 2 14" xfId="38265" xr:uid="{00000000-0005-0000-0000-000079950000}"/>
    <cellStyle name="Total 29 2 14 2" xfId="38266" xr:uid="{00000000-0005-0000-0000-00007A950000}"/>
    <cellStyle name="Total 29 2 14 2 2" xfId="38267" xr:uid="{00000000-0005-0000-0000-00007B950000}"/>
    <cellStyle name="Total 29 2 14 2 3" xfId="38268" xr:uid="{00000000-0005-0000-0000-00007C950000}"/>
    <cellStyle name="Total 29 2 14 3" xfId="38269" xr:uid="{00000000-0005-0000-0000-00007D950000}"/>
    <cellStyle name="Total 29 2 14 4" xfId="38270" xr:uid="{00000000-0005-0000-0000-00007E950000}"/>
    <cellStyle name="Total 29 2 15" xfId="38271" xr:uid="{00000000-0005-0000-0000-00007F950000}"/>
    <cellStyle name="Total 29 2 15 2" xfId="38272" xr:uid="{00000000-0005-0000-0000-000080950000}"/>
    <cellStyle name="Total 29 2 15 2 2" xfId="38273" xr:uid="{00000000-0005-0000-0000-000081950000}"/>
    <cellStyle name="Total 29 2 15 2 3" xfId="38274" xr:uid="{00000000-0005-0000-0000-000082950000}"/>
    <cellStyle name="Total 29 2 15 3" xfId="38275" xr:uid="{00000000-0005-0000-0000-000083950000}"/>
    <cellStyle name="Total 29 2 15 4" xfId="38276" xr:uid="{00000000-0005-0000-0000-000084950000}"/>
    <cellStyle name="Total 29 2 16" xfId="38277" xr:uid="{00000000-0005-0000-0000-000085950000}"/>
    <cellStyle name="Total 29 2 16 2" xfId="38278" xr:uid="{00000000-0005-0000-0000-000086950000}"/>
    <cellStyle name="Total 29 2 16 2 2" xfId="38279" xr:uid="{00000000-0005-0000-0000-000087950000}"/>
    <cellStyle name="Total 29 2 16 2 3" xfId="38280" xr:uid="{00000000-0005-0000-0000-000088950000}"/>
    <cellStyle name="Total 29 2 16 3" xfId="38281" xr:uid="{00000000-0005-0000-0000-000089950000}"/>
    <cellStyle name="Total 29 2 16 4" xfId="38282" xr:uid="{00000000-0005-0000-0000-00008A950000}"/>
    <cellStyle name="Total 29 2 17" xfId="38283" xr:uid="{00000000-0005-0000-0000-00008B950000}"/>
    <cellStyle name="Total 29 2 17 2" xfId="38284" xr:uid="{00000000-0005-0000-0000-00008C950000}"/>
    <cellStyle name="Total 29 2 17 2 2" xfId="38285" xr:uid="{00000000-0005-0000-0000-00008D950000}"/>
    <cellStyle name="Total 29 2 17 2 3" xfId="38286" xr:uid="{00000000-0005-0000-0000-00008E950000}"/>
    <cellStyle name="Total 29 2 17 3" xfId="38287" xr:uid="{00000000-0005-0000-0000-00008F950000}"/>
    <cellStyle name="Total 29 2 17 4" xfId="38288" xr:uid="{00000000-0005-0000-0000-000090950000}"/>
    <cellStyle name="Total 29 2 18" xfId="38289" xr:uid="{00000000-0005-0000-0000-000091950000}"/>
    <cellStyle name="Total 29 2 18 2" xfId="38290" xr:uid="{00000000-0005-0000-0000-000092950000}"/>
    <cellStyle name="Total 29 2 18 3" xfId="38291" xr:uid="{00000000-0005-0000-0000-000093950000}"/>
    <cellStyle name="Total 29 2 18 4" xfId="38292" xr:uid="{00000000-0005-0000-0000-000094950000}"/>
    <cellStyle name="Total 29 2 19" xfId="38293" xr:uid="{00000000-0005-0000-0000-000095950000}"/>
    <cellStyle name="Total 29 2 2" xfId="38294" xr:uid="{00000000-0005-0000-0000-000096950000}"/>
    <cellStyle name="Total 29 2 2 2" xfId="38295" xr:uid="{00000000-0005-0000-0000-000097950000}"/>
    <cellStyle name="Total 29 2 2 2 2" xfId="38296" xr:uid="{00000000-0005-0000-0000-000098950000}"/>
    <cellStyle name="Total 29 2 2 2 3" xfId="38297" xr:uid="{00000000-0005-0000-0000-000099950000}"/>
    <cellStyle name="Total 29 2 2 3" xfId="38298" xr:uid="{00000000-0005-0000-0000-00009A950000}"/>
    <cellStyle name="Total 29 2 2 4" xfId="38299" xr:uid="{00000000-0005-0000-0000-00009B950000}"/>
    <cellStyle name="Total 29 2 20" xfId="38300" xr:uid="{00000000-0005-0000-0000-00009C950000}"/>
    <cellStyle name="Total 29 2 21" xfId="38301" xr:uid="{00000000-0005-0000-0000-00009D950000}"/>
    <cellStyle name="Total 29 2 3" xfId="38302" xr:uid="{00000000-0005-0000-0000-00009E950000}"/>
    <cellStyle name="Total 29 2 3 2" xfId="38303" xr:uid="{00000000-0005-0000-0000-00009F950000}"/>
    <cellStyle name="Total 29 2 3 2 2" xfId="38304" xr:uid="{00000000-0005-0000-0000-0000A0950000}"/>
    <cellStyle name="Total 29 2 3 2 3" xfId="38305" xr:uid="{00000000-0005-0000-0000-0000A1950000}"/>
    <cellStyle name="Total 29 2 3 3" xfId="38306" xr:uid="{00000000-0005-0000-0000-0000A2950000}"/>
    <cellStyle name="Total 29 2 3 4" xfId="38307" xr:uid="{00000000-0005-0000-0000-0000A3950000}"/>
    <cellStyle name="Total 29 2 4" xfId="38308" xr:uid="{00000000-0005-0000-0000-0000A4950000}"/>
    <cellStyle name="Total 29 2 4 2" xfId="38309" xr:uid="{00000000-0005-0000-0000-0000A5950000}"/>
    <cellStyle name="Total 29 2 4 2 2" xfId="38310" xr:uid="{00000000-0005-0000-0000-0000A6950000}"/>
    <cellStyle name="Total 29 2 4 2 3" xfId="38311" xr:uid="{00000000-0005-0000-0000-0000A7950000}"/>
    <cellStyle name="Total 29 2 4 3" xfId="38312" xr:uid="{00000000-0005-0000-0000-0000A8950000}"/>
    <cellStyle name="Total 29 2 4 4" xfId="38313" xr:uid="{00000000-0005-0000-0000-0000A9950000}"/>
    <cellStyle name="Total 29 2 5" xfId="38314" xr:uid="{00000000-0005-0000-0000-0000AA950000}"/>
    <cellStyle name="Total 29 2 5 2" xfId="38315" xr:uid="{00000000-0005-0000-0000-0000AB950000}"/>
    <cellStyle name="Total 29 2 5 2 2" xfId="38316" xr:uid="{00000000-0005-0000-0000-0000AC950000}"/>
    <cellStyle name="Total 29 2 5 2 3" xfId="38317" xr:uid="{00000000-0005-0000-0000-0000AD950000}"/>
    <cellStyle name="Total 29 2 5 3" xfId="38318" xr:uid="{00000000-0005-0000-0000-0000AE950000}"/>
    <cellStyle name="Total 29 2 5 4" xfId="38319" xr:uid="{00000000-0005-0000-0000-0000AF950000}"/>
    <cellStyle name="Total 29 2 6" xfId="38320" xr:uid="{00000000-0005-0000-0000-0000B0950000}"/>
    <cellStyle name="Total 29 2 6 2" xfId="38321" xr:uid="{00000000-0005-0000-0000-0000B1950000}"/>
    <cellStyle name="Total 29 2 6 2 2" xfId="38322" xr:uid="{00000000-0005-0000-0000-0000B2950000}"/>
    <cellStyle name="Total 29 2 6 2 3" xfId="38323" xr:uid="{00000000-0005-0000-0000-0000B3950000}"/>
    <cellStyle name="Total 29 2 6 3" xfId="38324" xr:uid="{00000000-0005-0000-0000-0000B4950000}"/>
    <cellStyle name="Total 29 2 6 4" xfId="38325" xr:uid="{00000000-0005-0000-0000-0000B5950000}"/>
    <cellStyle name="Total 29 2 7" xfId="38326" xr:uid="{00000000-0005-0000-0000-0000B6950000}"/>
    <cellStyle name="Total 29 2 7 2" xfId="38327" xr:uid="{00000000-0005-0000-0000-0000B7950000}"/>
    <cellStyle name="Total 29 2 7 2 2" xfId="38328" xr:uid="{00000000-0005-0000-0000-0000B8950000}"/>
    <cellStyle name="Total 29 2 7 2 3" xfId="38329" xr:uid="{00000000-0005-0000-0000-0000B9950000}"/>
    <cellStyle name="Total 29 2 7 3" xfId="38330" xr:uid="{00000000-0005-0000-0000-0000BA950000}"/>
    <cellStyle name="Total 29 2 7 4" xfId="38331" xr:uid="{00000000-0005-0000-0000-0000BB950000}"/>
    <cellStyle name="Total 29 2 8" xfId="38332" xr:uid="{00000000-0005-0000-0000-0000BC950000}"/>
    <cellStyle name="Total 29 2 8 2" xfId="38333" xr:uid="{00000000-0005-0000-0000-0000BD950000}"/>
    <cellStyle name="Total 29 2 8 2 2" xfId="38334" xr:uid="{00000000-0005-0000-0000-0000BE950000}"/>
    <cellStyle name="Total 29 2 8 2 3" xfId="38335" xr:uid="{00000000-0005-0000-0000-0000BF950000}"/>
    <cellStyle name="Total 29 2 8 3" xfId="38336" xr:uid="{00000000-0005-0000-0000-0000C0950000}"/>
    <cellStyle name="Total 29 2 8 4" xfId="38337" xr:uid="{00000000-0005-0000-0000-0000C1950000}"/>
    <cellStyle name="Total 29 2 9" xfId="38338" xr:uid="{00000000-0005-0000-0000-0000C2950000}"/>
    <cellStyle name="Total 29 2 9 2" xfId="38339" xr:uid="{00000000-0005-0000-0000-0000C3950000}"/>
    <cellStyle name="Total 29 2 9 2 2" xfId="38340" xr:uid="{00000000-0005-0000-0000-0000C4950000}"/>
    <cellStyle name="Total 29 2 9 2 3" xfId="38341" xr:uid="{00000000-0005-0000-0000-0000C5950000}"/>
    <cellStyle name="Total 29 2 9 3" xfId="38342" xr:uid="{00000000-0005-0000-0000-0000C6950000}"/>
    <cellStyle name="Total 29 2 9 4" xfId="38343" xr:uid="{00000000-0005-0000-0000-0000C7950000}"/>
    <cellStyle name="Total 29 3" xfId="38344" xr:uid="{00000000-0005-0000-0000-0000C8950000}"/>
    <cellStyle name="Total 29 3 2" xfId="38345" xr:uid="{00000000-0005-0000-0000-0000C9950000}"/>
    <cellStyle name="Total 29 3 2 2" xfId="38346" xr:uid="{00000000-0005-0000-0000-0000CA950000}"/>
    <cellStyle name="Total 29 3 2 3" xfId="38347" xr:uid="{00000000-0005-0000-0000-0000CB950000}"/>
    <cellStyle name="Total 29 3 3" xfId="38348" xr:uid="{00000000-0005-0000-0000-0000CC950000}"/>
    <cellStyle name="Total 29 3 4" xfId="38349" xr:uid="{00000000-0005-0000-0000-0000CD950000}"/>
    <cellStyle name="Total 29 4" xfId="38350" xr:uid="{00000000-0005-0000-0000-0000CE950000}"/>
    <cellStyle name="Total 29 5" xfId="38351" xr:uid="{00000000-0005-0000-0000-0000CF950000}"/>
    <cellStyle name="Total 3" xfId="38352" xr:uid="{00000000-0005-0000-0000-0000D0950000}"/>
    <cellStyle name="Total 3 2" xfId="38353" xr:uid="{00000000-0005-0000-0000-0000D1950000}"/>
    <cellStyle name="Total 3 2 10" xfId="38354" xr:uid="{00000000-0005-0000-0000-0000D2950000}"/>
    <cellStyle name="Total 3 2 10 2" xfId="38355" xr:uid="{00000000-0005-0000-0000-0000D3950000}"/>
    <cellStyle name="Total 3 2 10 2 2" xfId="38356" xr:uid="{00000000-0005-0000-0000-0000D4950000}"/>
    <cellStyle name="Total 3 2 10 2 3" xfId="38357" xr:uid="{00000000-0005-0000-0000-0000D5950000}"/>
    <cellStyle name="Total 3 2 10 3" xfId="38358" xr:uid="{00000000-0005-0000-0000-0000D6950000}"/>
    <cellStyle name="Total 3 2 10 4" xfId="38359" xr:uid="{00000000-0005-0000-0000-0000D7950000}"/>
    <cellStyle name="Total 3 2 11" xfId="38360" xr:uid="{00000000-0005-0000-0000-0000D8950000}"/>
    <cellStyle name="Total 3 2 11 2" xfId="38361" xr:uid="{00000000-0005-0000-0000-0000D9950000}"/>
    <cellStyle name="Total 3 2 11 2 2" xfId="38362" xr:uid="{00000000-0005-0000-0000-0000DA950000}"/>
    <cellStyle name="Total 3 2 11 2 3" xfId="38363" xr:uid="{00000000-0005-0000-0000-0000DB950000}"/>
    <cellStyle name="Total 3 2 11 3" xfId="38364" xr:uid="{00000000-0005-0000-0000-0000DC950000}"/>
    <cellStyle name="Total 3 2 11 4" xfId="38365" xr:uid="{00000000-0005-0000-0000-0000DD950000}"/>
    <cellStyle name="Total 3 2 12" xfId="38366" xr:uid="{00000000-0005-0000-0000-0000DE950000}"/>
    <cellStyle name="Total 3 2 12 2" xfId="38367" xr:uid="{00000000-0005-0000-0000-0000DF950000}"/>
    <cellStyle name="Total 3 2 12 2 2" xfId="38368" xr:uid="{00000000-0005-0000-0000-0000E0950000}"/>
    <cellStyle name="Total 3 2 12 2 3" xfId="38369" xr:uid="{00000000-0005-0000-0000-0000E1950000}"/>
    <cellStyle name="Total 3 2 12 3" xfId="38370" xr:uid="{00000000-0005-0000-0000-0000E2950000}"/>
    <cellStyle name="Total 3 2 12 4" xfId="38371" xr:uid="{00000000-0005-0000-0000-0000E3950000}"/>
    <cellStyle name="Total 3 2 13" xfId="38372" xr:uid="{00000000-0005-0000-0000-0000E4950000}"/>
    <cellStyle name="Total 3 2 13 2" xfId="38373" xr:uid="{00000000-0005-0000-0000-0000E5950000}"/>
    <cellStyle name="Total 3 2 13 2 2" xfId="38374" xr:uid="{00000000-0005-0000-0000-0000E6950000}"/>
    <cellStyle name="Total 3 2 13 2 3" xfId="38375" xr:uid="{00000000-0005-0000-0000-0000E7950000}"/>
    <cellStyle name="Total 3 2 13 3" xfId="38376" xr:uid="{00000000-0005-0000-0000-0000E8950000}"/>
    <cellStyle name="Total 3 2 13 4" xfId="38377" xr:uid="{00000000-0005-0000-0000-0000E9950000}"/>
    <cellStyle name="Total 3 2 14" xfId="38378" xr:uid="{00000000-0005-0000-0000-0000EA950000}"/>
    <cellStyle name="Total 3 2 14 2" xfId="38379" xr:uid="{00000000-0005-0000-0000-0000EB950000}"/>
    <cellStyle name="Total 3 2 14 2 2" xfId="38380" xr:uid="{00000000-0005-0000-0000-0000EC950000}"/>
    <cellStyle name="Total 3 2 14 2 3" xfId="38381" xr:uid="{00000000-0005-0000-0000-0000ED950000}"/>
    <cellStyle name="Total 3 2 14 3" xfId="38382" xr:uid="{00000000-0005-0000-0000-0000EE950000}"/>
    <cellStyle name="Total 3 2 14 4" xfId="38383" xr:uid="{00000000-0005-0000-0000-0000EF950000}"/>
    <cellStyle name="Total 3 2 15" xfId="38384" xr:uid="{00000000-0005-0000-0000-0000F0950000}"/>
    <cellStyle name="Total 3 2 15 2" xfId="38385" xr:uid="{00000000-0005-0000-0000-0000F1950000}"/>
    <cellStyle name="Total 3 2 15 2 2" xfId="38386" xr:uid="{00000000-0005-0000-0000-0000F2950000}"/>
    <cellStyle name="Total 3 2 15 2 3" xfId="38387" xr:uid="{00000000-0005-0000-0000-0000F3950000}"/>
    <cellStyle name="Total 3 2 15 3" xfId="38388" xr:uid="{00000000-0005-0000-0000-0000F4950000}"/>
    <cellStyle name="Total 3 2 15 4" xfId="38389" xr:uid="{00000000-0005-0000-0000-0000F5950000}"/>
    <cellStyle name="Total 3 2 16" xfId="38390" xr:uid="{00000000-0005-0000-0000-0000F6950000}"/>
    <cellStyle name="Total 3 2 16 2" xfId="38391" xr:uid="{00000000-0005-0000-0000-0000F7950000}"/>
    <cellStyle name="Total 3 2 16 2 2" xfId="38392" xr:uid="{00000000-0005-0000-0000-0000F8950000}"/>
    <cellStyle name="Total 3 2 16 2 3" xfId="38393" xr:uid="{00000000-0005-0000-0000-0000F9950000}"/>
    <cellStyle name="Total 3 2 16 3" xfId="38394" xr:uid="{00000000-0005-0000-0000-0000FA950000}"/>
    <cellStyle name="Total 3 2 16 4" xfId="38395" xr:uid="{00000000-0005-0000-0000-0000FB950000}"/>
    <cellStyle name="Total 3 2 17" xfId="38396" xr:uid="{00000000-0005-0000-0000-0000FC950000}"/>
    <cellStyle name="Total 3 2 17 2" xfId="38397" xr:uid="{00000000-0005-0000-0000-0000FD950000}"/>
    <cellStyle name="Total 3 2 17 2 2" xfId="38398" xr:uid="{00000000-0005-0000-0000-0000FE950000}"/>
    <cellStyle name="Total 3 2 17 2 3" xfId="38399" xr:uid="{00000000-0005-0000-0000-0000FF950000}"/>
    <cellStyle name="Total 3 2 17 3" xfId="38400" xr:uid="{00000000-0005-0000-0000-000000960000}"/>
    <cellStyle name="Total 3 2 17 4" xfId="38401" xr:uid="{00000000-0005-0000-0000-000001960000}"/>
    <cellStyle name="Total 3 2 18" xfId="38402" xr:uid="{00000000-0005-0000-0000-000002960000}"/>
    <cellStyle name="Total 3 2 18 2" xfId="38403" xr:uid="{00000000-0005-0000-0000-000003960000}"/>
    <cellStyle name="Total 3 2 18 3" xfId="38404" xr:uid="{00000000-0005-0000-0000-000004960000}"/>
    <cellStyle name="Total 3 2 18 4" xfId="38405" xr:uid="{00000000-0005-0000-0000-000005960000}"/>
    <cellStyle name="Total 3 2 19" xfId="38406" xr:uid="{00000000-0005-0000-0000-000006960000}"/>
    <cellStyle name="Total 3 2 2" xfId="38407" xr:uid="{00000000-0005-0000-0000-000007960000}"/>
    <cellStyle name="Total 3 2 2 2" xfId="38408" xr:uid="{00000000-0005-0000-0000-000008960000}"/>
    <cellStyle name="Total 3 2 2 2 2" xfId="38409" xr:uid="{00000000-0005-0000-0000-000009960000}"/>
    <cellStyle name="Total 3 2 2 2 3" xfId="38410" xr:uid="{00000000-0005-0000-0000-00000A960000}"/>
    <cellStyle name="Total 3 2 2 3" xfId="38411" xr:uid="{00000000-0005-0000-0000-00000B960000}"/>
    <cellStyle name="Total 3 2 2 4" xfId="38412" xr:uid="{00000000-0005-0000-0000-00000C960000}"/>
    <cellStyle name="Total 3 2 20" xfId="38413" xr:uid="{00000000-0005-0000-0000-00000D960000}"/>
    <cellStyle name="Total 3 2 21" xfId="38414" xr:uid="{00000000-0005-0000-0000-00000E960000}"/>
    <cellStyle name="Total 3 2 3" xfId="38415" xr:uid="{00000000-0005-0000-0000-00000F960000}"/>
    <cellStyle name="Total 3 2 3 2" xfId="38416" xr:uid="{00000000-0005-0000-0000-000010960000}"/>
    <cellStyle name="Total 3 2 3 2 2" xfId="38417" xr:uid="{00000000-0005-0000-0000-000011960000}"/>
    <cellStyle name="Total 3 2 3 2 3" xfId="38418" xr:uid="{00000000-0005-0000-0000-000012960000}"/>
    <cellStyle name="Total 3 2 3 3" xfId="38419" xr:uid="{00000000-0005-0000-0000-000013960000}"/>
    <cellStyle name="Total 3 2 3 4" xfId="38420" xr:uid="{00000000-0005-0000-0000-000014960000}"/>
    <cellStyle name="Total 3 2 4" xfId="38421" xr:uid="{00000000-0005-0000-0000-000015960000}"/>
    <cellStyle name="Total 3 2 4 2" xfId="38422" xr:uid="{00000000-0005-0000-0000-000016960000}"/>
    <cellStyle name="Total 3 2 4 2 2" xfId="38423" xr:uid="{00000000-0005-0000-0000-000017960000}"/>
    <cellStyle name="Total 3 2 4 2 3" xfId="38424" xr:uid="{00000000-0005-0000-0000-000018960000}"/>
    <cellStyle name="Total 3 2 4 3" xfId="38425" xr:uid="{00000000-0005-0000-0000-000019960000}"/>
    <cellStyle name="Total 3 2 4 4" xfId="38426" xr:uid="{00000000-0005-0000-0000-00001A960000}"/>
    <cellStyle name="Total 3 2 5" xfId="38427" xr:uid="{00000000-0005-0000-0000-00001B960000}"/>
    <cellStyle name="Total 3 2 5 2" xfId="38428" xr:uid="{00000000-0005-0000-0000-00001C960000}"/>
    <cellStyle name="Total 3 2 5 2 2" xfId="38429" xr:uid="{00000000-0005-0000-0000-00001D960000}"/>
    <cellStyle name="Total 3 2 5 2 3" xfId="38430" xr:uid="{00000000-0005-0000-0000-00001E960000}"/>
    <cellStyle name="Total 3 2 5 3" xfId="38431" xr:uid="{00000000-0005-0000-0000-00001F960000}"/>
    <cellStyle name="Total 3 2 5 4" xfId="38432" xr:uid="{00000000-0005-0000-0000-000020960000}"/>
    <cellStyle name="Total 3 2 6" xfId="38433" xr:uid="{00000000-0005-0000-0000-000021960000}"/>
    <cellStyle name="Total 3 2 6 2" xfId="38434" xr:uid="{00000000-0005-0000-0000-000022960000}"/>
    <cellStyle name="Total 3 2 6 2 2" xfId="38435" xr:uid="{00000000-0005-0000-0000-000023960000}"/>
    <cellStyle name="Total 3 2 6 2 3" xfId="38436" xr:uid="{00000000-0005-0000-0000-000024960000}"/>
    <cellStyle name="Total 3 2 6 3" xfId="38437" xr:uid="{00000000-0005-0000-0000-000025960000}"/>
    <cellStyle name="Total 3 2 6 4" xfId="38438" xr:uid="{00000000-0005-0000-0000-000026960000}"/>
    <cellStyle name="Total 3 2 7" xfId="38439" xr:uid="{00000000-0005-0000-0000-000027960000}"/>
    <cellStyle name="Total 3 2 7 2" xfId="38440" xr:uid="{00000000-0005-0000-0000-000028960000}"/>
    <cellStyle name="Total 3 2 7 2 2" xfId="38441" xr:uid="{00000000-0005-0000-0000-000029960000}"/>
    <cellStyle name="Total 3 2 7 2 3" xfId="38442" xr:uid="{00000000-0005-0000-0000-00002A960000}"/>
    <cellStyle name="Total 3 2 7 3" xfId="38443" xr:uid="{00000000-0005-0000-0000-00002B960000}"/>
    <cellStyle name="Total 3 2 7 4" xfId="38444" xr:uid="{00000000-0005-0000-0000-00002C960000}"/>
    <cellStyle name="Total 3 2 8" xfId="38445" xr:uid="{00000000-0005-0000-0000-00002D960000}"/>
    <cellStyle name="Total 3 2 8 2" xfId="38446" xr:uid="{00000000-0005-0000-0000-00002E960000}"/>
    <cellStyle name="Total 3 2 8 2 2" xfId="38447" xr:uid="{00000000-0005-0000-0000-00002F960000}"/>
    <cellStyle name="Total 3 2 8 2 3" xfId="38448" xr:uid="{00000000-0005-0000-0000-000030960000}"/>
    <cellStyle name="Total 3 2 8 3" xfId="38449" xr:uid="{00000000-0005-0000-0000-000031960000}"/>
    <cellStyle name="Total 3 2 8 4" xfId="38450" xr:uid="{00000000-0005-0000-0000-000032960000}"/>
    <cellStyle name="Total 3 2 9" xfId="38451" xr:uid="{00000000-0005-0000-0000-000033960000}"/>
    <cellStyle name="Total 3 2 9 2" xfId="38452" xr:uid="{00000000-0005-0000-0000-000034960000}"/>
    <cellStyle name="Total 3 2 9 2 2" xfId="38453" xr:uid="{00000000-0005-0000-0000-000035960000}"/>
    <cellStyle name="Total 3 2 9 2 3" xfId="38454" xr:uid="{00000000-0005-0000-0000-000036960000}"/>
    <cellStyle name="Total 3 2 9 3" xfId="38455" xr:uid="{00000000-0005-0000-0000-000037960000}"/>
    <cellStyle name="Total 3 2 9 4" xfId="38456" xr:uid="{00000000-0005-0000-0000-000038960000}"/>
    <cellStyle name="Total 3 3" xfId="38457" xr:uid="{00000000-0005-0000-0000-000039960000}"/>
    <cellStyle name="Total 3 3 2" xfId="38458" xr:uid="{00000000-0005-0000-0000-00003A960000}"/>
    <cellStyle name="Total 3 3 2 2" xfId="38459" xr:uid="{00000000-0005-0000-0000-00003B960000}"/>
    <cellStyle name="Total 3 3 2 3" xfId="38460" xr:uid="{00000000-0005-0000-0000-00003C960000}"/>
    <cellStyle name="Total 3 3 3" xfId="38461" xr:uid="{00000000-0005-0000-0000-00003D960000}"/>
    <cellStyle name="Total 3 3 4" xfId="38462" xr:uid="{00000000-0005-0000-0000-00003E960000}"/>
    <cellStyle name="Total 3 4" xfId="38463" xr:uid="{00000000-0005-0000-0000-00003F960000}"/>
    <cellStyle name="Total 3 5" xfId="38464" xr:uid="{00000000-0005-0000-0000-000040960000}"/>
    <cellStyle name="Total 30" xfId="38465" xr:uid="{00000000-0005-0000-0000-000041960000}"/>
    <cellStyle name="Total 30 2" xfId="38466" xr:uid="{00000000-0005-0000-0000-000042960000}"/>
    <cellStyle name="Total 30 2 10" xfId="38467" xr:uid="{00000000-0005-0000-0000-000043960000}"/>
    <cellStyle name="Total 30 2 10 2" xfId="38468" xr:uid="{00000000-0005-0000-0000-000044960000}"/>
    <cellStyle name="Total 30 2 10 2 2" xfId="38469" xr:uid="{00000000-0005-0000-0000-000045960000}"/>
    <cellStyle name="Total 30 2 10 2 3" xfId="38470" xr:uid="{00000000-0005-0000-0000-000046960000}"/>
    <cellStyle name="Total 30 2 10 3" xfId="38471" xr:uid="{00000000-0005-0000-0000-000047960000}"/>
    <cellStyle name="Total 30 2 10 4" xfId="38472" xr:uid="{00000000-0005-0000-0000-000048960000}"/>
    <cellStyle name="Total 30 2 11" xfId="38473" xr:uid="{00000000-0005-0000-0000-000049960000}"/>
    <cellStyle name="Total 30 2 11 2" xfId="38474" xr:uid="{00000000-0005-0000-0000-00004A960000}"/>
    <cellStyle name="Total 30 2 11 2 2" xfId="38475" xr:uid="{00000000-0005-0000-0000-00004B960000}"/>
    <cellStyle name="Total 30 2 11 2 3" xfId="38476" xr:uid="{00000000-0005-0000-0000-00004C960000}"/>
    <cellStyle name="Total 30 2 11 3" xfId="38477" xr:uid="{00000000-0005-0000-0000-00004D960000}"/>
    <cellStyle name="Total 30 2 11 4" xfId="38478" xr:uid="{00000000-0005-0000-0000-00004E960000}"/>
    <cellStyle name="Total 30 2 12" xfId="38479" xr:uid="{00000000-0005-0000-0000-00004F960000}"/>
    <cellStyle name="Total 30 2 12 2" xfId="38480" xr:uid="{00000000-0005-0000-0000-000050960000}"/>
    <cellStyle name="Total 30 2 12 2 2" xfId="38481" xr:uid="{00000000-0005-0000-0000-000051960000}"/>
    <cellStyle name="Total 30 2 12 2 3" xfId="38482" xr:uid="{00000000-0005-0000-0000-000052960000}"/>
    <cellStyle name="Total 30 2 12 3" xfId="38483" xr:uid="{00000000-0005-0000-0000-000053960000}"/>
    <cellStyle name="Total 30 2 12 4" xfId="38484" xr:uid="{00000000-0005-0000-0000-000054960000}"/>
    <cellStyle name="Total 30 2 13" xfId="38485" xr:uid="{00000000-0005-0000-0000-000055960000}"/>
    <cellStyle name="Total 30 2 13 2" xfId="38486" xr:uid="{00000000-0005-0000-0000-000056960000}"/>
    <cellStyle name="Total 30 2 13 2 2" xfId="38487" xr:uid="{00000000-0005-0000-0000-000057960000}"/>
    <cellStyle name="Total 30 2 13 2 3" xfId="38488" xr:uid="{00000000-0005-0000-0000-000058960000}"/>
    <cellStyle name="Total 30 2 13 3" xfId="38489" xr:uid="{00000000-0005-0000-0000-000059960000}"/>
    <cellStyle name="Total 30 2 13 4" xfId="38490" xr:uid="{00000000-0005-0000-0000-00005A960000}"/>
    <cellStyle name="Total 30 2 14" xfId="38491" xr:uid="{00000000-0005-0000-0000-00005B960000}"/>
    <cellStyle name="Total 30 2 14 2" xfId="38492" xr:uid="{00000000-0005-0000-0000-00005C960000}"/>
    <cellStyle name="Total 30 2 14 2 2" xfId="38493" xr:uid="{00000000-0005-0000-0000-00005D960000}"/>
    <cellStyle name="Total 30 2 14 2 3" xfId="38494" xr:uid="{00000000-0005-0000-0000-00005E960000}"/>
    <cellStyle name="Total 30 2 14 3" xfId="38495" xr:uid="{00000000-0005-0000-0000-00005F960000}"/>
    <cellStyle name="Total 30 2 14 4" xfId="38496" xr:uid="{00000000-0005-0000-0000-000060960000}"/>
    <cellStyle name="Total 30 2 15" xfId="38497" xr:uid="{00000000-0005-0000-0000-000061960000}"/>
    <cellStyle name="Total 30 2 15 2" xfId="38498" xr:uid="{00000000-0005-0000-0000-000062960000}"/>
    <cellStyle name="Total 30 2 15 2 2" xfId="38499" xr:uid="{00000000-0005-0000-0000-000063960000}"/>
    <cellStyle name="Total 30 2 15 2 3" xfId="38500" xr:uid="{00000000-0005-0000-0000-000064960000}"/>
    <cellStyle name="Total 30 2 15 3" xfId="38501" xr:uid="{00000000-0005-0000-0000-000065960000}"/>
    <cellStyle name="Total 30 2 15 4" xfId="38502" xr:uid="{00000000-0005-0000-0000-000066960000}"/>
    <cellStyle name="Total 30 2 16" xfId="38503" xr:uid="{00000000-0005-0000-0000-000067960000}"/>
    <cellStyle name="Total 30 2 16 2" xfId="38504" xr:uid="{00000000-0005-0000-0000-000068960000}"/>
    <cellStyle name="Total 30 2 16 2 2" xfId="38505" xr:uid="{00000000-0005-0000-0000-000069960000}"/>
    <cellStyle name="Total 30 2 16 2 3" xfId="38506" xr:uid="{00000000-0005-0000-0000-00006A960000}"/>
    <cellStyle name="Total 30 2 16 3" xfId="38507" xr:uid="{00000000-0005-0000-0000-00006B960000}"/>
    <cellStyle name="Total 30 2 16 4" xfId="38508" xr:uid="{00000000-0005-0000-0000-00006C960000}"/>
    <cellStyle name="Total 30 2 17" xfId="38509" xr:uid="{00000000-0005-0000-0000-00006D960000}"/>
    <cellStyle name="Total 30 2 17 2" xfId="38510" xr:uid="{00000000-0005-0000-0000-00006E960000}"/>
    <cellStyle name="Total 30 2 17 2 2" xfId="38511" xr:uid="{00000000-0005-0000-0000-00006F960000}"/>
    <cellStyle name="Total 30 2 17 2 3" xfId="38512" xr:uid="{00000000-0005-0000-0000-000070960000}"/>
    <cellStyle name="Total 30 2 17 3" xfId="38513" xr:uid="{00000000-0005-0000-0000-000071960000}"/>
    <cellStyle name="Total 30 2 17 4" xfId="38514" xr:uid="{00000000-0005-0000-0000-000072960000}"/>
    <cellStyle name="Total 30 2 18" xfId="38515" xr:uid="{00000000-0005-0000-0000-000073960000}"/>
    <cellStyle name="Total 30 2 18 2" xfId="38516" xr:uid="{00000000-0005-0000-0000-000074960000}"/>
    <cellStyle name="Total 30 2 18 3" xfId="38517" xr:uid="{00000000-0005-0000-0000-000075960000}"/>
    <cellStyle name="Total 30 2 18 4" xfId="38518" xr:uid="{00000000-0005-0000-0000-000076960000}"/>
    <cellStyle name="Total 30 2 19" xfId="38519" xr:uid="{00000000-0005-0000-0000-000077960000}"/>
    <cellStyle name="Total 30 2 2" xfId="38520" xr:uid="{00000000-0005-0000-0000-000078960000}"/>
    <cellStyle name="Total 30 2 2 2" xfId="38521" xr:uid="{00000000-0005-0000-0000-000079960000}"/>
    <cellStyle name="Total 30 2 2 2 2" xfId="38522" xr:uid="{00000000-0005-0000-0000-00007A960000}"/>
    <cellStyle name="Total 30 2 2 2 3" xfId="38523" xr:uid="{00000000-0005-0000-0000-00007B960000}"/>
    <cellStyle name="Total 30 2 2 3" xfId="38524" xr:uid="{00000000-0005-0000-0000-00007C960000}"/>
    <cellStyle name="Total 30 2 2 4" xfId="38525" xr:uid="{00000000-0005-0000-0000-00007D960000}"/>
    <cellStyle name="Total 30 2 20" xfId="38526" xr:uid="{00000000-0005-0000-0000-00007E960000}"/>
    <cellStyle name="Total 30 2 21" xfId="38527" xr:uid="{00000000-0005-0000-0000-00007F960000}"/>
    <cellStyle name="Total 30 2 3" xfId="38528" xr:uid="{00000000-0005-0000-0000-000080960000}"/>
    <cellStyle name="Total 30 2 3 2" xfId="38529" xr:uid="{00000000-0005-0000-0000-000081960000}"/>
    <cellStyle name="Total 30 2 3 2 2" xfId="38530" xr:uid="{00000000-0005-0000-0000-000082960000}"/>
    <cellStyle name="Total 30 2 3 2 3" xfId="38531" xr:uid="{00000000-0005-0000-0000-000083960000}"/>
    <cellStyle name="Total 30 2 3 3" xfId="38532" xr:uid="{00000000-0005-0000-0000-000084960000}"/>
    <cellStyle name="Total 30 2 3 4" xfId="38533" xr:uid="{00000000-0005-0000-0000-000085960000}"/>
    <cellStyle name="Total 30 2 4" xfId="38534" xr:uid="{00000000-0005-0000-0000-000086960000}"/>
    <cellStyle name="Total 30 2 4 2" xfId="38535" xr:uid="{00000000-0005-0000-0000-000087960000}"/>
    <cellStyle name="Total 30 2 4 2 2" xfId="38536" xr:uid="{00000000-0005-0000-0000-000088960000}"/>
    <cellStyle name="Total 30 2 4 2 3" xfId="38537" xr:uid="{00000000-0005-0000-0000-000089960000}"/>
    <cellStyle name="Total 30 2 4 3" xfId="38538" xr:uid="{00000000-0005-0000-0000-00008A960000}"/>
    <cellStyle name="Total 30 2 4 4" xfId="38539" xr:uid="{00000000-0005-0000-0000-00008B960000}"/>
    <cellStyle name="Total 30 2 5" xfId="38540" xr:uid="{00000000-0005-0000-0000-00008C960000}"/>
    <cellStyle name="Total 30 2 5 2" xfId="38541" xr:uid="{00000000-0005-0000-0000-00008D960000}"/>
    <cellStyle name="Total 30 2 5 2 2" xfId="38542" xr:uid="{00000000-0005-0000-0000-00008E960000}"/>
    <cellStyle name="Total 30 2 5 2 3" xfId="38543" xr:uid="{00000000-0005-0000-0000-00008F960000}"/>
    <cellStyle name="Total 30 2 5 3" xfId="38544" xr:uid="{00000000-0005-0000-0000-000090960000}"/>
    <cellStyle name="Total 30 2 5 4" xfId="38545" xr:uid="{00000000-0005-0000-0000-000091960000}"/>
    <cellStyle name="Total 30 2 6" xfId="38546" xr:uid="{00000000-0005-0000-0000-000092960000}"/>
    <cellStyle name="Total 30 2 6 2" xfId="38547" xr:uid="{00000000-0005-0000-0000-000093960000}"/>
    <cellStyle name="Total 30 2 6 2 2" xfId="38548" xr:uid="{00000000-0005-0000-0000-000094960000}"/>
    <cellStyle name="Total 30 2 6 2 3" xfId="38549" xr:uid="{00000000-0005-0000-0000-000095960000}"/>
    <cellStyle name="Total 30 2 6 3" xfId="38550" xr:uid="{00000000-0005-0000-0000-000096960000}"/>
    <cellStyle name="Total 30 2 6 4" xfId="38551" xr:uid="{00000000-0005-0000-0000-000097960000}"/>
    <cellStyle name="Total 30 2 7" xfId="38552" xr:uid="{00000000-0005-0000-0000-000098960000}"/>
    <cellStyle name="Total 30 2 7 2" xfId="38553" xr:uid="{00000000-0005-0000-0000-000099960000}"/>
    <cellStyle name="Total 30 2 7 2 2" xfId="38554" xr:uid="{00000000-0005-0000-0000-00009A960000}"/>
    <cellStyle name="Total 30 2 7 2 3" xfId="38555" xr:uid="{00000000-0005-0000-0000-00009B960000}"/>
    <cellStyle name="Total 30 2 7 3" xfId="38556" xr:uid="{00000000-0005-0000-0000-00009C960000}"/>
    <cellStyle name="Total 30 2 7 4" xfId="38557" xr:uid="{00000000-0005-0000-0000-00009D960000}"/>
    <cellStyle name="Total 30 2 8" xfId="38558" xr:uid="{00000000-0005-0000-0000-00009E960000}"/>
    <cellStyle name="Total 30 2 8 2" xfId="38559" xr:uid="{00000000-0005-0000-0000-00009F960000}"/>
    <cellStyle name="Total 30 2 8 2 2" xfId="38560" xr:uid="{00000000-0005-0000-0000-0000A0960000}"/>
    <cellStyle name="Total 30 2 8 2 3" xfId="38561" xr:uid="{00000000-0005-0000-0000-0000A1960000}"/>
    <cellStyle name="Total 30 2 8 3" xfId="38562" xr:uid="{00000000-0005-0000-0000-0000A2960000}"/>
    <cellStyle name="Total 30 2 8 4" xfId="38563" xr:uid="{00000000-0005-0000-0000-0000A3960000}"/>
    <cellStyle name="Total 30 2 9" xfId="38564" xr:uid="{00000000-0005-0000-0000-0000A4960000}"/>
    <cellStyle name="Total 30 2 9 2" xfId="38565" xr:uid="{00000000-0005-0000-0000-0000A5960000}"/>
    <cellStyle name="Total 30 2 9 2 2" xfId="38566" xr:uid="{00000000-0005-0000-0000-0000A6960000}"/>
    <cellStyle name="Total 30 2 9 2 3" xfId="38567" xr:uid="{00000000-0005-0000-0000-0000A7960000}"/>
    <cellStyle name="Total 30 2 9 3" xfId="38568" xr:uid="{00000000-0005-0000-0000-0000A8960000}"/>
    <cellStyle name="Total 30 2 9 4" xfId="38569" xr:uid="{00000000-0005-0000-0000-0000A9960000}"/>
    <cellStyle name="Total 30 3" xfId="38570" xr:uid="{00000000-0005-0000-0000-0000AA960000}"/>
    <cellStyle name="Total 30 3 2" xfId="38571" xr:uid="{00000000-0005-0000-0000-0000AB960000}"/>
    <cellStyle name="Total 30 3 2 2" xfId="38572" xr:uid="{00000000-0005-0000-0000-0000AC960000}"/>
    <cellStyle name="Total 30 3 2 3" xfId="38573" xr:uid="{00000000-0005-0000-0000-0000AD960000}"/>
    <cellStyle name="Total 30 3 3" xfId="38574" xr:uid="{00000000-0005-0000-0000-0000AE960000}"/>
    <cellStyle name="Total 30 3 4" xfId="38575" xr:uid="{00000000-0005-0000-0000-0000AF960000}"/>
    <cellStyle name="Total 30 4" xfId="38576" xr:uid="{00000000-0005-0000-0000-0000B0960000}"/>
    <cellStyle name="Total 30 5" xfId="38577" xr:uid="{00000000-0005-0000-0000-0000B1960000}"/>
    <cellStyle name="Total 31" xfId="38578" xr:uid="{00000000-0005-0000-0000-0000B2960000}"/>
    <cellStyle name="Total 31 2" xfId="38579" xr:uid="{00000000-0005-0000-0000-0000B3960000}"/>
    <cellStyle name="Total 31 2 10" xfId="38580" xr:uid="{00000000-0005-0000-0000-0000B4960000}"/>
    <cellStyle name="Total 31 2 10 2" xfId="38581" xr:uid="{00000000-0005-0000-0000-0000B5960000}"/>
    <cellStyle name="Total 31 2 10 2 2" xfId="38582" xr:uid="{00000000-0005-0000-0000-0000B6960000}"/>
    <cellStyle name="Total 31 2 10 2 3" xfId="38583" xr:uid="{00000000-0005-0000-0000-0000B7960000}"/>
    <cellStyle name="Total 31 2 10 3" xfId="38584" xr:uid="{00000000-0005-0000-0000-0000B8960000}"/>
    <cellStyle name="Total 31 2 10 4" xfId="38585" xr:uid="{00000000-0005-0000-0000-0000B9960000}"/>
    <cellStyle name="Total 31 2 11" xfId="38586" xr:uid="{00000000-0005-0000-0000-0000BA960000}"/>
    <cellStyle name="Total 31 2 11 2" xfId="38587" xr:uid="{00000000-0005-0000-0000-0000BB960000}"/>
    <cellStyle name="Total 31 2 11 2 2" xfId="38588" xr:uid="{00000000-0005-0000-0000-0000BC960000}"/>
    <cellStyle name="Total 31 2 11 2 3" xfId="38589" xr:uid="{00000000-0005-0000-0000-0000BD960000}"/>
    <cellStyle name="Total 31 2 11 3" xfId="38590" xr:uid="{00000000-0005-0000-0000-0000BE960000}"/>
    <cellStyle name="Total 31 2 11 4" xfId="38591" xr:uid="{00000000-0005-0000-0000-0000BF960000}"/>
    <cellStyle name="Total 31 2 12" xfId="38592" xr:uid="{00000000-0005-0000-0000-0000C0960000}"/>
    <cellStyle name="Total 31 2 12 2" xfId="38593" xr:uid="{00000000-0005-0000-0000-0000C1960000}"/>
    <cellStyle name="Total 31 2 12 2 2" xfId="38594" xr:uid="{00000000-0005-0000-0000-0000C2960000}"/>
    <cellStyle name="Total 31 2 12 2 3" xfId="38595" xr:uid="{00000000-0005-0000-0000-0000C3960000}"/>
    <cellStyle name="Total 31 2 12 3" xfId="38596" xr:uid="{00000000-0005-0000-0000-0000C4960000}"/>
    <cellStyle name="Total 31 2 12 4" xfId="38597" xr:uid="{00000000-0005-0000-0000-0000C5960000}"/>
    <cellStyle name="Total 31 2 13" xfId="38598" xr:uid="{00000000-0005-0000-0000-0000C6960000}"/>
    <cellStyle name="Total 31 2 13 2" xfId="38599" xr:uid="{00000000-0005-0000-0000-0000C7960000}"/>
    <cellStyle name="Total 31 2 13 2 2" xfId="38600" xr:uid="{00000000-0005-0000-0000-0000C8960000}"/>
    <cellStyle name="Total 31 2 13 2 3" xfId="38601" xr:uid="{00000000-0005-0000-0000-0000C9960000}"/>
    <cellStyle name="Total 31 2 13 3" xfId="38602" xr:uid="{00000000-0005-0000-0000-0000CA960000}"/>
    <cellStyle name="Total 31 2 13 4" xfId="38603" xr:uid="{00000000-0005-0000-0000-0000CB960000}"/>
    <cellStyle name="Total 31 2 14" xfId="38604" xr:uid="{00000000-0005-0000-0000-0000CC960000}"/>
    <cellStyle name="Total 31 2 14 2" xfId="38605" xr:uid="{00000000-0005-0000-0000-0000CD960000}"/>
    <cellStyle name="Total 31 2 14 2 2" xfId="38606" xr:uid="{00000000-0005-0000-0000-0000CE960000}"/>
    <cellStyle name="Total 31 2 14 2 3" xfId="38607" xr:uid="{00000000-0005-0000-0000-0000CF960000}"/>
    <cellStyle name="Total 31 2 14 3" xfId="38608" xr:uid="{00000000-0005-0000-0000-0000D0960000}"/>
    <cellStyle name="Total 31 2 14 4" xfId="38609" xr:uid="{00000000-0005-0000-0000-0000D1960000}"/>
    <cellStyle name="Total 31 2 15" xfId="38610" xr:uid="{00000000-0005-0000-0000-0000D2960000}"/>
    <cellStyle name="Total 31 2 15 2" xfId="38611" xr:uid="{00000000-0005-0000-0000-0000D3960000}"/>
    <cellStyle name="Total 31 2 15 2 2" xfId="38612" xr:uid="{00000000-0005-0000-0000-0000D4960000}"/>
    <cellStyle name="Total 31 2 15 2 3" xfId="38613" xr:uid="{00000000-0005-0000-0000-0000D5960000}"/>
    <cellStyle name="Total 31 2 15 3" xfId="38614" xr:uid="{00000000-0005-0000-0000-0000D6960000}"/>
    <cellStyle name="Total 31 2 15 4" xfId="38615" xr:uid="{00000000-0005-0000-0000-0000D7960000}"/>
    <cellStyle name="Total 31 2 16" xfId="38616" xr:uid="{00000000-0005-0000-0000-0000D8960000}"/>
    <cellStyle name="Total 31 2 16 2" xfId="38617" xr:uid="{00000000-0005-0000-0000-0000D9960000}"/>
    <cellStyle name="Total 31 2 16 2 2" xfId="38618" xr:uid="{00000000-0005-0000-0000-0000DA960000}"/>
    <cellStyle name="Total 31 2 16 2 3" xfId="38619" xr:uid="{00000000-0005-0000-0000-0000DB960000}"/>
    <cellStyle name="Total 31 2 16 3" xfId="38620" xr:uid="{00000000-0005-0000-0000-0000DC960000}"/>
    <cellStyle name="Total 31 2 16 4" xfId="38621" xr:uid="{00000000-0005-0000-0000-0000DD960000}"/>
    <cellStyle name="Total 31 2 17" xfId="38622" xr:uid="{00000000-0005-0000-0000-0000DE960000}"/>
    <cellStyle name="Total 31 2 17 2" xfId="38623" xr:uid="{00000000-0005-0000-0000-0000DF960000}"/>
    <cellStyle name="Total 31 2 17 2 2" xfId="38624" xr:uid="{00000000-0005-0000-0000-0000E0960000}"/>
    <cellStyle name="Total 31 2 17 2 3" xfId="38625" xr:uid="{00000000-0005-0000-0000-0000E1960000}"/>
    <cellStyle name="Total 31 2 17 3" xfId="38626" xr:uid="{00000000-0005-0000-0000-0000E2960000}"/>
    <cellStyle name="Total 31 2 17 4" xfId="38627" xr:uid="{00000000-0005-0000-0000-0000E3960000}"/>
    <cellStyle name="Total 31 2 18" xfId="38628" xr:uid="{00000000-0005-0000-0000-0000E4960000}"/>
    <cellStyle name="Total 31 2 18 2" xfId="38629" xr:uid="{00000000-0005-0000-0000-0000E5960000}"/>
    <cellStyle name="Total 31 2 18 3" xfId="38630" xr:uid="{00000000-0005-0000-0000-0000E6960000}"/>
    <cellStyle name="Total 31 2 18 4" xfId="38631" xr:uid="{00000000-0005-0000-0000-0000E7960000}"/>
    <cellStyle name="Total 31 2 19" xfId="38632" xr:uid="{00000000-0005-0000-0000-0000E8960000}"/>
    <cellStyle name="Total 31 2 2" xfId="38633" xr:uid="{00000000-0005-0000-0000-0000E9960000}"/>
    <cellStyle name="Total 31 2 2 2" xfId="38634" xr:uid="{00000000-0005-0000-0000-0000EA960000}"/>
    <cellStyle name="Total 31 2 2 2 2" xfId="38635" xr:uid="{00000000-0005-0000-0000-0000EB960000}"/>
    <cellStyle name="Total 31 2 2 2 3" xfId="38636" xr:uid="{00000000-0005-0000-0000-0000EC960000}"/>
    <cellStyle name="Total 31 2 2 3" xfId="38637" xr:uid="{00000000-0005-0000-0000-0000ED960000}"/>
    <cellStyle name="Total 31 2 2 4" xfId="38638" xr:uid="{00000000-0005-0000-0000-0000EE960000}"/>
    <cellStyle name="Total 31 2 20" xfId="38639" xr:uid="{00000000-0005-0000-0000-0000EF960000}"/>
    <cellStyle name="Total 31 2 21" xfId="38640" xr:uid="{00000000-0005-0000-0000-0000F0960000}"/>
    <cellStyle name="Total 31 2 3" xfId="38641" xr:uid="{00000000-0005-0000-0000-0000F1960000}"/>
    <cellStyle name="Total 31 2 3 2" xfId="38642" xr:uid="{00000000-0005-0000-0000-0000F2960000}"/>
    <cellStyle name="Total 31 2 3 2 2" xfId="38643" xr:uid="{00000000-0005-0000-0000-0000F3960000}"/>
    <cellStyle name="Total 31 2 3 2 3" xfId="38644" xr:uid="{00000000-0005-0000-0000-0000F4960000}"/>
    <cellStyle name="Total 31 2 3 3" xfId="38645" xr:uid="{00000000-0005-0000-0000-0000F5960000}"/>
    <cellStyle name="Total 31 2 3 4" xfId="38646" xr:uid="{00000000-0005-0000-0000-0000F6960000}"/>
    <cellStyle name="Total 31 2 4" xfId="38647" xr:uid="{00000000-0005-0000-0000-0000F7960000}"/>
    <cellStyle name="Total 31 2 4 2" xfId="38648" xr:uid="{00000000-0005-0000-0000-0000F8960000}"/>
    <cellStyle name="Total 31 2 4 2 2" xfId="38649" xr:uid="{00000000-0005-0000-0000-0000F9960000}"/>
    <cellStyle name="Total 31 2 4 2 3" xfId="38650" xr:uid="{00000000-0005-0000-0000-0000FA960000}"/>
    <cellStyle name="Total 31 2 4 3" xfId="38651" xr:uid="{00000000-0005-0000-0000-0000FB960000}"/>
    <cellStyle name="Total 31 2 4 4" xfId="38652" xr:uid="{00000000-0005-0000-0000-0000FC960000}"/>
    <cellStyle name="Total 31 2 5" xfId="38653" xr:uid="{00000000-0005-0000-0000-0000FD960000}"/>
    <cellStyle name="Total 31 2 5 2" xfId="38654" xr:uid="{00000000-0005-0000-0000-0000FE960000}"/>
    <cellStyle name="Total 31 2 5 2 2" xfId="38655" xr:uid="{00000000-0005-0000-0000-0000FF960000}"/>
    <cellStyle name="Total 31 2 5 2 3" xfId="38656" xr:uid="{00000000-0005-0000-0000-000000970000}"/>
    <cellStyle name="Total 31 2 5 3" xfId="38657" xr:uid="{00000000-0005-0000-0000-000001970000}"/>
    <cellStyle name="Total 31 2 5 4" xfId="38658" xr:uid="{00000000-0005-0000-0000-000002970000}"/>
    <cellStyle name="Total 31 2 6" xfId="38659" xr:uid="{00000000-0005-0000-0000-000003970000}"/>
    <cellStyle name="Total 31 2 6 2" xfId="38660" xr:uid="{00000000-0005-0000-0000-000004970000}"/>
    <cellStyle name="Total 31 2 6 2 2" xfId="38661" xr:uid="{00000000-0005-0000-0000-000005970000}"/>
    <cellStyle name="Total 31 2 6 2 3" xfId="38662" xr:uid="{00000000-0005-0000-0000-000006970000}"/>
    <cellStyle name="Total 31 2 6 3" xfId="38663" xr:uid="{00000000-0005-0000-0000-000007970000}"/>
    <cellStyle name="Total 31 2 6 4" xfId="38664" xr:uid="{00000000-0005-0000-0000-000008970000}"/>
    <cellStyle name="Total 31 2 7" xfId="38665" xr:uid="{00000000-0005-0000-0000-000009970000}"/>
    <cellStyle name="Total 31 2 7 2" xfId="38666" xr:uid="{00000000-0005-0000-0000-00000A970000}"/>
    <cellStyle name="Total 31 2 7 2 2" xfId="38667" xr:uid="{00000000-0005-0000-0000-00000B970000}"/>
    <cellStyle name="Total 31 2 7 2 3" xfId="38668" xr:uid="{00000000-0005-0000-0000-00000C970000}"/>
    <cellStyle name="Total 31 2 7 3" xfId="38669" xr:uid="{00000000-0005-0000-0000-00000D970000}"/>
    <cellStyle name="Total 31 2 7 4" xfId="38670" xr:uid="{00000000-0005-0000-0000-00000E970000}"/>
    <cellStyle name="Total 31 2 8" xfId="38671" xr:uid="{00000000-0005-0000-0000-00000F970000}"/>
    <cellStyle name="Total 31 2 8 2" xfId="38672" xr:uid="{00000000-0005-0000-0000-000010970000}"/>
    <cellStyle name="Total 31 2 8 2 2" xfId="38673" xr:uid="{00000000-0005-0000-0000-000011970000}"/>
    <cellStyle name="Total 31 2 8 2 3" xfId="38674" xr:uid="{00000000-0005-0000-0000-000012970000}"/>
    <cellStyle name="Total 31 2 8 3" xfId="38675" xr:uid="{00000000-0005-0000-0000-000013970000}"/>
    <cellStyle name="Total 31 2 8 4" xfId="38676" xr:uid="{00000000-0005-0000-0000-000014970000}"/>
    <cellStyle name="Total 31 2 9" xfId="38677" xr:uid="{00000000-0005-0000-0000-000015970000}"/>
    <cellStyle name="Total 31 2 9 2" xfId="38678" xr:uid="{00000000-0005-0000-0000-000016970000}"/>
    <cellStyle name="Total 31 2 9 2 2" xfId="38679" xr:uid="{00000000-0005-0000-0000-000017970000}"/>
    <cellStyle name="Total 31 2 9 2 3" xfId="38680" xr:uid="{00000000-0005-0000-0000-000018970000}"/>
    <cellStyle name="Total 31 2 9 3" xfId="38681" xr:uid="{00000000-0005-0000-0000-000019970000}"/>
    <cellStyle name="Total 31 2 9 4" xfId="38682" xr:uid="{00000000-0005-0000-0000-00001A970000}"/>
    <cellStyle name="Total 31 3" xfId="38683" xr:uid="{00000000-0005-0000-0000-00001B970000}"/>
    <cellStyle name="Total 31 3 2" xfId="38684" xr:uid="{00000000-0005-0000-0000-00001C970000}"/>
    <cellStyle name="Total 31 3 2 2" xfId="38685" xr:uid="{00000000-0005-0000-0000-00001D970000}"/>
    <cellStyle name="Total 31 3 2 3" xfId="38686" xr:uid="{00000000-0005-0000-0000-00001E970000}"/>
    <cellStyle name="Total 31 3 3" xfId="38687" xr:uid="{00000000-0005-0000-0000-00001F970000}"/>
    <cellStyle name="Total 31 3 4" xfId="38688" xr:uid="{00000000-0005-0000-0000-000020970000}"/>
    <cellStyle name="Total 31 4" xfId="38689" xr:uid="{00000000-0005-0000-0000-000021970000}"/>
    <cellStyle name="Total 31 5" xfId="38690" xr:uid="{00000000-0005-0000-0000-000022970000}"/>
    <cellStyle name="Total 32" xfId="38691" xr:uid="{00000000-0005-0000-0000-000023970000}"/>
    <cellStyle name="Total 32 2" xfId="38692" xr:uid="{00000000-0005-0000-0000-000024970000}"/>
    <cellStyle name="Total 32 2 10" xfId="38693" xr:uid="{00000000-0005-0000-0000-000025970000}"/>
    <cellStyle name="Total 32 2 10 2" xfId="38694" xr:uid="{00000000-0005-0000-0000-000026970000}"/>
    <cellStyle name="Total 32 2 10 2 2" xfId="38695" xr:uid="{00000000-0005-0000-0000-000027970000}"/>
    <cellStyle name="Total 32 2 10 2 3" xfId="38696" xr:uid="{00000000-0005-0000-0000-000028970000}"/>
    <cellStyle name="Total 32 2 10 3" xfId="38697" xr:uid="{00000000-0005-0000-0000-000029970000}"/>
    <cellStyle name="Total 32 2 10 4" xfId="38698" xr:uid="{00000000-0005-0000-0000-00002A970000}"/>
    <cellStyle name="Total 32 2 11" xfId="38699" xr:uid="{00000000-0005-0000-0000-00002B970000}"/>
    <cellStyle name="Total 32 2 11 2" xfId="38700" xr:uid="{00000000-0005-0000-0000-00002C970000}"/>
    <cellStyle name="Total 32 2 11 2 2" xfId="38701" xr:uid="{00000000-0005-0000-0000-00002D970000}"/>
    <cellStyle name="Total 32 2 11 2 3" xfId="38702" xr:uid="{00000000-0005-0000-0000-00002E970000}"/>
    <cellStyle name="Total 32 2 11 3" xfId="38703" xr:uid="{00000000-0005-0000-0000-00002F970000}"/>
    <cellStyle name="Total 32 2 11 4" xfId="38704" xr:uid="{00000000-0005-0000-0000-000030970000}"/>
    <cellStyle name="Total 32 2 12" xfId="38705" xr:uid="{00000000-0005-0000-0000-000031970000}"/>
    <cellStyle name="Total 32 2 12 2" xfId="38706" xr:uid="{00000000-0005-0000-0000-000032970000}"/>
    <cellStyle name="Total 32 2 12 2 2" xfId="38707" xr:uid="{00000000-0005-0000-0000-000033970000}"/>
    <cellStyle name="Total 32 2 12 2 3" xfId="38708" xr:uid="{00000000-0005-0000-0000-000034970000}"/>
    <cellStyle name="Total 32 2 12 3" xfId="38709" xr:uid="{00000000-0005-0000-0000-000035970000}"/>
    <cellStyle name="Total 32 2 12 4" xfId="38710" xr:uid="{00000000-0005-0000-0000-000036970000}"/>
    <cellStyle name="Total 32 2 13" xfId="38711" xr:uid="{00000000-0005-0000-0000-000037970000}"/>
    <cellStyle name="Total 32 2 13 2" xfId="38712" xr:uid="{00000000-0005-0000-0000-000038970000}"/>
    <cellStyle name="Total 32 2 13 2 2" xfId="38713" xr:uid="{00000000-0005-0000-0000-000039970000}"/>
    <cellStyle name="Total 32 2 13 2 3" xfId="38714" xr:uid="{00000000-0005-0000-0000-00003A970000}"/>
    <cellStyle name="Total 32 2 13 3" xfId="38715" xr:uid="{00000000-0005-0000-0000-00003B970000}"/>
    <cellStyle name="Total 32 2 13 4" xfId="38716" xr:uid="{00000000-0005-0000-0000-00003C970000}"/>
    <cellStyle name="Total 32 2 14" xfId="38717" xr:uid="{00000000-0005-0000-0000-00003D970000}"/>
    <cellStyle name="Total 32 2 14 2" xfId="38718" xr:uid="{00000000-0005-0000-0000-00003E970000}"/>
    <cellStyle name="Total 32 2 14 2 2" xfId="38719" xr:uid="{00000000-0005-0000-0000-00003F970000}"/>
    <cellStyle name="Total 32 2 14 2 3" xfId="38720" xr:uid="{00000000-0005-0000-0000-000040970000}"/>
    <cellStyle name="Total 32 2 14 3" xfId="38721" xr:uid="{00000000-0005-0000-0000-000041970000}"/>
    <cellStyle name="Total 32 2 14 4" xfId="38722" xr:uid="{00000000-0005-0000-0000-000042970000}"/>
    <cellStyle name="Total 32 2 15" xfId="38723" xr:uid="{00000000-0005-0000-0000-000043970000}"/>
    <cellStyle name="Total 32 2 15 2" xfId="38724" xr:uid="{00000000-0005-0000-0000-000044970000}"/>
    <cellStyle name="Total 32 2 15 2 2" xfId="38725" xr:uid="{00000000-0005-0000-0000-000045970000}"/>
    <cellStyle name="Total 32 2 15 2 3" xfId="38726" xr:uid="{00000000-0005-0000-0000-000046970000}"/>
    <cellStyle name="Total 32 2 15 3" xfId="38727" xr:uid="{00000000-0005-0000-0000-000047970000}"/>
    <cellStyle name="Total 32 2 15 4" xfId="38728" xr:uid="{00000000-0005-0000-0000-000048970000}"/>
    <cellStyle name="Total 32 2 16" xfId="38729" xr:uid="{00000000-0005-0000-0000-000049970000}"/>
    <cellStyle name="Total 32 2 16 2" xfId="38730" xr:uid="{00000000-0005-0000-0000-00004A970000}"/>
    <cellStyle name="Total 32 2 16 2 2" xfId="38731" xr:uid="{00000000-0005-0000-0000-00004B970000}"/>
    <cellStyle name="Total 32 2 16 2 3" xfId="38732" xr:uid="{00000000-0005-0000-0000-00004C970000}"/>
    <cellStyle name="Total 32 2 16 3" xfId="38733" xr:uid="{00000000-0005-0000-0000-00004D970000}"/>
    <cellStyle name="Total 32 2 16 4" xfId="38734" xr:uid="{00000000-0005-0000-0000-00004E970000}"/>
    <cellStyle name="Total 32 2 17" xfId="38735" xr:uid="{00000000-0005-0000-0000-00004F970000}"/>
    <cellStyle name="Total 32 2 17 2" xfId="38736" xr:uid="{00000000-0005-0000-0000-000050970000}"/>
    <cellStyle name="Total 32 2 17 2 2" xfId="38737" xr:uid="{00000000-0005-0000-0000-000051970000}"/>
    <cellStyle name="Total 32 2 17 2 3" xfId="38738" xr:uid="{00000000-0005-0000-0000-000052970000}"/>
    <cellStyle name="Total 32 2 17 3" xfId="38739" xr:uid="{00000000-0005-0000-0000-000053970000}"/>
    <cellStyle name="Total 32 2 17 4" xfId="38740" xr:uid="{00000000-0005-0000-0000-000054970000}"/>
    <cellStyle name="Total 32 2 18" xfId="38741" xr:uid="{00000000-0005-0000-0000-000055970000}"/>
    <cellStyle name="Total 32 2 18 2" xfId="38742" xr:uid="{00000000-0005-0000-0000-000056970000}"/>
    <cellStyle name="Total 32 2 18 3" xfId="38743" xr:uid="{00000000-0005-0000-0000-000057970000}"/>
    <cellStyle name="Total 32 2 18 4" xfId="38744" xr:uid="{00000000-0005-0000-0000-000058970000}"/>
    <cellStyle name="Total 32 2 19" xfId="38745" xr:uid="{00000000-0005-0000-0000-000059970000}"/>
    <cellStyle name="Total 32 2 2" xfId="38746" xr:uid="{00000000-0005-0000-0000-00005A970000}"/>
    <cellStyle name="Total 32 2 2 2" xfId="38747" xr:uid="{00000000-0005-0000-0000-00005B970000}"/>
    <cellStyle name="Total 32 2 2 2 2" xfId="38748" xr:uid="{00000000-0005-0000-0000-00005C970000}"/>
    <cellStyle name="Total 32 2 2 2 3" xfId="38749" xr:uid="{00000000-0005-0000-0000-00005D970000}"/>
    <cellStyle name="Total 32 2 2 3" xfId="38750" xr:uid="{00000000-0005-0000-0000-00005E970000}"/>
    <cellStyle name="Total 32 2 2 4" xfId="38751" xr:uid="{00000000-0005-0000-0000-00005F970000}"/>
    <cellStyle name="Total 32 2 20" xfId="38752" xr:uid="{00000000-0005-0000-0000-000060970000}"/>
    <cellStyle name="Total 32 2 21" xfId="38753" xr:uid="{00000000-0005-0000-0000-000061970000}"/>
    <cellStyle name="Total 32 2 3" xfId="38754" xr:uid="{00000000-0005-0000-0000-000062970000}"/>
    <cellStyle name="Total 32 2 3 2" xfId="38755" xr:uid="{00000000-0005-0000-0000-000063970000}"/>
    <cellStyle name="Total 32 2 3 2 2" xfId="38756" xr:uid="{00000000-0005-0000-0000-000064970000}"/>
    <cellStyle name="Total 32 2 3 2 3" xfId="38757" xr:uid="{00000000-0005-0000-0000-000065970000}"/>
    <cellStyle name="Total 32 2 3 3" xfId="38758" xr:uid="{00000000-0005-0000-0000-000066970000}"/>
    <cellStyle name="Total 32 2 3 4" xfId="38759" xr:uid="{00000000-0005-0000-0000-000067970000}"/>
    <cellStyle name="Total 32 2 4" xfId="38760" xr:uid="{00000000-0005-0000-0000-000068970000}"/>
    <cellStyle name="Total 32 2 4 2" xfId="38761" xr:uid="{00000000-0005-0000-0000-000069970000}"/>
    <cellStyle name="Total 32 2 4 2 2" xfId="38762" xr:uid="{00000000-0005-0000-0000-00006A970000}"/>
    <cellStyle name="Total 32 2 4 2 3" xfId="38763" xr:uid="{00000000-0005-0000-0000-00006B970000}"/>
    <cellStyle name="Total 32 2 4 3" xfId="38764" xr:uid="{00000000-0005-0000-0000-00006C970000}"/>
    <cellStyle name="Total 32 2 4 4" xfId="38765" xr:uid="{00000000-0005-0000-0000-00006D970000}"/>
    <cellStyle name="Total 32 2 5" xfId="38766" xr:uid="{00000000-0005-0000-0000-00006E970000}"/>
    <cellStyle name="Total 32 2 5 2" xfId="38767" xr:uid="{00000000-0005-0000-0000-00006F970000}"/>
    <cellStyle name="Total 32 2 5 2 2" xfId="38768" xr:uid="{00000000-0005-0000-0000-000070970000}"/>
    <cellStyle name="Total 32 2 5 2 3" xfId="38769" xr:uid="{00000000-0005-0000-0000-000071970000}"/>
    <cellStyle name="Total 32 2 5 3" xfId="38770" xr:uid="{00000000-0005-0000-0000-000072970000}"/>
    <cellStyle name="Total 32 2 5 4" xfId="38771" xr:uid="{00000000-0005-0000-0000-000073970000}"/>
    <cellStyle name="Total 32 2 6" xfId="38772" xr:uid="{00000000-0005-0000-0000-000074970000}"/>
    <cellStyle name="Total 32 2 6 2" xfId="38773" xr:uid="{00000000-0005-0000-0000-000075970000}"/>
    <cellStyle name="Total 32 2 6 2 2" xfId="38774" xr:uid="{00000000-0005-0000-0000-000076970000}"/>
    <cellStyle name="Total 32 2 6 2 3" xfId="38775" xr:uid="{00000000-0005-0000-0000-000077970000}"/>
    <cellStyle name="Total 32 2 6 3" xfId="38776" xr:uid="{00000000-0005-0000-0000-000078970000}"/>
    <cellStyle name="Total 32 2 6 4" xfId="38777" xr:uid="{00000000-0005-0000-0000-000079970000}"/>
    <cellStyle name="Total 32 2 7" xfId="38778" xr:uid="{00000000-0005-0000-0000-00007A970000}"/>
    <cellStyle name="Total 32 2 7 2" xfId="38779" xr:uid="{00000000-0005-0000-0000-00007B970000}"/>
    <cellStyle name="Total 32 2 7 2 2" xfId="38780" xr:uid="{00000000-0005-0000-0000-00007C970000}"/>
    <cellStyle name="Total 32 2 7 2 3" xfId="38781" xr:uid="{00000000-0005-0000-0000-00007D970000}"/>
    <cellStyle name="Total 32 2 7 3" xfId="38782" xr:uid="{00000000-0005-0000-0000-00007E970000}"/>
    <cellStyle name="Total 32 2 7 4" xfId="38783" xr:uid="{00000000-0005-0000-0000-00007F970000}"/>
    <cellStyle name="Total 32 2 8" xfId="38784" xr:uid="{00000000-0005-0000-0000-000080970000}"/>
    <cellStyle name="Total 32 2 8 2" xfId="38785" xr:uid="{00000000-0005-0000-0000-000081970000}"/>
    <cellStyle name="Total 32 2 8 2 2" xfId="38786" xr:uid="{00000000-0005-0000-0000-000082970000}"/>
    <cellStyle name="Total 32 2 8 2 3" xfId="38787" xr:uid="{00000000-0005-0000-0000-000083970000}"/>
    <cellStyle name="Total 32 2 8 3" xfId="38788" xr:uid="{00000000-0005-0000-0000-000084970000}"/>
    <cellStyle name="Total 32 2 8 4" xfId="38789" xr:uid="{00000000-0005-0000-0000-000085970000}"/>
    <cellStyle name="Total 32 2 9" xfId="38790" xr:uid="{00000000-0005-0000-0000-000086970000}"/>
    <cellStyle name="Total 32 2 9 2" xfId="38791" xr:uid="{00000000-0005-0000-0000-000087970000}"/>
    <cellStyle name="Total 32 2 9 2 2" xfId="38792" xr:uid="{00000000-0005-0000-0000-000088970000}"/>
    <cellStyle name="Total 32 2 9 2 3" xfId="38793" xr:uid="{00000000-0005-0000-0000-000089970000}"/>
    <cellStyle name="Total 32 2 9 3" xfId="38794" xr:uid="{00000000-0005-0000-0000-00008A970000}"/>
    <cellStyle name="Total 32 2 9 4" xfId="38795" xr:uid="{00000000-0005-0000-0000-00008B970000}"/>
    <cellStyle name="Total 32 3" xfId="38796" xr:uid="{00000000-0005-0000-0000-00008C970000}"/>
    <cellStyle name="Total 32 3 2" xfId="38797" xr:uid="{00000000-0005-0000-0000-00008D970000}"/>
    <cellStyle name="Total 32 3 2 2" xfId="38798" xr:uid="{00000000-0005-0000-0000-00008E970000}"/>
    <cellStyle name="Total 32 3 2 3" xfId="38799" xr:uid="{00000000-0005-0000-0000-00008F970000}"/>
    <cellStyle name="Total 32 3 3" xfId="38800" xr:uid="{00000000-0005-0000-0000-000090970000}"/>
    <cellStyle name="Total 32 3 4" xfId="38801" xr:uid="{00000000-0005-0000-0000-000091970000}"/>
    <cellStyle name="Total 32 4" xfId="38802" xr:uid="{00000000-0005-0000-0000-000092970000}"/>
    <cellStyle name="Total 32 5" xfId="38803" xr:uid="{00000000-0005-0000-0000-000093970000}"/>
    <cellStyle name="Total 33" xfId="38804" xr:uid="{00000000-0005-0000-0000-000094970000}"/>
    <cellStyle name="Total 33 2" xfId="38805" xr:uid="{00000000-0005-0000-0000-000095970000}"/>
    <cellStyle name="Total 33 2 10" xfId="38806" xr:uid="{00000000-0005-0000-0000-000096970000}"/>
    <cellStyle name="Total 33 2 10 2" xfId="38807" xr:uid="{00000000-0005-0000-0000-000097970000}"/>
    <cellStyle name="Total 33 2 10 2 2" xfId="38808" xr:uid="{00000000-0005-0000-0000-000098970000}"/>
    <cellStyle name="Total 33 2 10 2 3" xfId="38809" xr:uid="{00000000-0005-0000-0000-000099970000}"/>
    <cellStyle name="Total 33 2 10 3" xfId="38810" xr:uid="{00000000-0005-0000-0000-00009A970000}"/>
    <cellStyle name="Total 33 2 10 4" xfId="38811" xr:uid="{00000000-0005-0000-0000-00009B970000}"/>
    <cellStyle name="Total 33 2 11" xfId="38812" xr:uid="{00000000-0005-0000-0000-00009C970000}"/>
    <cellStyle name="Total 33 2 11 2" xfId="38813" xr:uid="{00000000-0005-0000-0000-00009D970000}"/>
    <cellStyle name="Total 33 2 11 2 2" xfId="38814" xr:uid="{00000000-0005-0000-0000-00009E970000}"/>
    <cellStyle name="Total 33 2 11 2 3" xfId="38815" xr:uid="{00000000-0005-0000-0000-00009F970000}"/>
    <cellStyle name="Total 33 2 11 3" xfId="38816" xr:uid="{00000000-0005-0000-0000-0000A0970000}"/>
    <cellStyle name="Total 33 2 11 4" xfId="38817" xr:uid="{00000000-0005-0000-0000-0000A1970000}"/>
    <cellStyle name="Total 33 2 12" xfId="38818" xr:uid="{00000000-0005-0000-0000-0000A2970000}"/>
    <cellStyle name="Total 33 2 12 2" xfId="38819" xr:uid="{00000000-0005-0000-0000-0000A3970000}"/>
    <cellStyle name="Total 33 2 12 2 2" xfId="38820" xr:uid="{00000000-0005-0000-0000-0000A4970000}"/>
    <cellStyle name="Total 33 2 12 2 3" xfId="38821" xr:uid="{00000000-0005-0000-0000-0000A5970000}"/>
    <cellStyle name="Total 33 2 12 3" xfId="38822" xr:uid="{00000000-0005-0000-0000-0000A6970000}"/>
    <cellStyle name="Total 33 2 12 4" xfId="38823" xr:uid="{00000000-0005-0000-0000-0000A7970000}"/>
    <cellStyle name="Total 33 2 13" xfId="38824" xr:uid="{00000000-0005-0000-0000-0000A8970000}"/>
    <cellStyle name="Total 33 2 13 2" xfId="38825" xr:uid="{00000000-0005-0000-0000-0000A9970000}"/>
    <cellStyle name="Total 33 2 13 2 2" xfId="38826" xr:uid="{00000000-0005-0000-0000-0000AA970000}"/>
    <cellStyle name="Total 33 2 13 2 3" xfId="38827" xr:uid="{00000000-0005-0000-0000-0000AB970000}"/>
    <cellStyle name="Total 33 2 13 3" xfId="38828" xr:uid="{00000000-0005-0000-0000-0000AC970000}"/>
    <cellStyle name="Total 33 2 13 4" xfId="38829" xr:uid="{00000000-0005-0000-0000-0000AD970000}"/>
    <cellStyle name="Total 33 2 14" xfId="38830" xr:uid="{00000000-0005-0000-0000-0000AE970000}"/>
    <cellStyle name="Total 33 2 14 2" xfId="38831" xr:uid="{00000000-0005-0000-0000-0000AF970000}"/>
    <cellStyle name="Total 33 2 14 2 2" xfId="38832" xr:uid="{00000000-0005-0000-0000-0000B0970000}"/>
    <cellStyle name="Total 33 2 14 2 3" xfId="38833" xr:uid="{00000000-0005-0000-0000-0000B1970000}"/>
    <cellStyle name="Total 33 2 14 3" xfId="38834" xr:uid="{00000000-0005-0000-0000-0000B2970000}"/>
    <cellStyle name="Total 33 2 14 4" xfId="38835" xr:uid="{00000000-0005-0000-0000-0000B3970000}"/>
    <cellStyle name="Total 33 2 15" xfId="38836" xr:uid="{00000000-0005-0000-0000-0000B4970000}"/>
    <cellStyle name="Total 33 2 15 2" xfId="38837" xr:uid="{00000000-0005-0000-0000-0000B5970000}"/>
    <cellStyle name="Total 33 2 15 2 2" xfId="38838" xr:uid="{00000000-0005-0000-0000-0000B6970000}"/>
    <cellStyle name="Total 33 2 15 2 3" xfId="38839" xr:uid="{00000000-0005-0000-0000-0000B7970000}"/>
    <cellStyle name="Total 33 2 15 3" xfId="38840" xr:uid="{00000000-0005-0000-0000-0000B8970000}"/>
    <cellStyle name="Total 33 2 15 4" xfId="38841" xr:uid="{00000000-0005-0000-0000-0000B9970000}"/>
    <cellStyle name="Total 33 2 16" xfId="38842" xr:uid="{00000000-0005-0000-0000-0000BA970000}"/>
    <cellStyle name="Total 33 2 16 2" xfId="38843" xr:uid="{00000000-0005-0000-0000-0000BB970000}"/>
    <cellStyle name="Total 33 2 16 2 2" xfId="38844" xr:uid="{00000000-0005-0000-0000-0000BC970000}"/>
    <cellStyle name="Total 33 2 16 2 3" xfId="38845" xr:uid="{00000000-0005-0000-0000-0000BD970000}"/>
    <cellStyle name="Total 33 2 16 3" xfId="38846" xr:uid="{00000000-0005-0000-0000-0000BE970000}"/>
    <cellStyle name="Total 33 2 16 4" xfId="38847" xr:uid="{00000000-0005-0000-0000-0000BF970000}"/>
    <cellStyle name="Total 33 2 17" xfId="38848" xr:uid="{00000000-0005-0000-0000-0000C0970000}"/>
    <cellStyle name="Total 33 2 17 2" xfId="38849" xr:uid="{00000000-0005-0000-0000-0000C1970000}"/>
    <cellStyle name="Total 33 2 17 2 2" xfId="38850" xr:uid="{00000000-0005-0000-0000-0000C2970000}"/>
    <cellStyle name="Total 33 2 17 2 3" xfId="38851" xr:uid="{00000000-0005-0000-0000-0000C3970000}"/>
    <cellStyle name="Total 33 2 17 3" xfId="38852" xr:uid="{00000000-0005-0000-0000-0000C4970000}"/>
    <cellStyle name="Total 33 2 17 4" xfId="38853" xr:uid="{00000000-0005-0000-0000-0000C5970000}"/>
    <cellStyle name="Total 33 2 18" xfId="38854" xr:uid="{00000000-0005-0000-0000-0000C6970000}"/>
    <cellStyle name="Total 33 2 18 2" xfId="38855" xr:uid="{00000000-0005-0000-0000-0000C7970000}"/>
    <cellStyle name="Total 33 2 18 3" xfId="38856" xr:uid="{00000000-0005-0000-0000-0000C8970000}"/>
    <cellStyle name="Total 33 2 18 4" xfId="38857" xr:uid="{00000000-0005-0000-0000-0000C9970000}"/>
    <cellStyle name="Total 33 2 19" xfId="38858" xr:uid="{00000000-0005-0000-0000-0000CA970000}"/>
    <cellStyle name="Total 33 2 2" xfId="38859" xr:uid="{00000000-0005-0000-0000-0000CB970000}"/>
    <cellStyle name="Total 33 2 2 2" xfId="38860" xr:uid="{00000000-0005-0000-0000-0000CC970000}"/>
    <cellStyle name="Total 33 2 2 2 2" xfId="38861" xr:uid="{00000000-0005-0000-0000-0000CD970000}"/>
    <cellStyle name="Total 33 2 2 2 3" xfId="38862" xr:uid="{00000000-0005-0000-0000-0000CE970000}"/>
    <cellStyle name="Total 33 2 2 3" xfId="38863" xr:uid="{00000000-0005-0000-0000-0000CF970000}"/>
    <cellStyle name="Total 33 2 2 4" xfId="38864" xr:uid="{00000000-0005-0000-0000-0000D0970000}"/>
    <cellStyle name="Total 33 2 20" xfId="38865" xr:uid="{00000000-0005-0000-0000-0000D1970000}"/>
    <cellStyle name="Total 33 2 21" xfId="38866" xr:uid="{00000000-0005-0000-0000-0000D2970000}"/>
    <cellStyle name="Total 33 2 3" xfId="38867" xr:uid="{00000000-0005-0000-0000-0000D3970000}"/>
    <cellStyle name="Total 33 2 3 2" xfId="38868" xr:uid="{00000000-0005-0000-0000-0000D4970000}"/>
    <cellStyle name="Total 33 2 3 2 2" xfId="38869" xr:uid="{00000000-0005-0000-0000-0000D5970000}"/>
    <cellStyle name="Total 33 2 3 2 3" xfId="38870" xr:uid="{00000000-0005-0000-0000-0000D6970000}"/>
    <cellStyle name="Total 33 2 3 3" xfId="38871" xr:uid="{00000000-0005-0000-0000-0000D7970000}"/>
    <cellStyle name="Total 33 2 3 4" xfId="38872" xr:uid="{00000000-0005-0000-0000-0000D8970000}"/>
    <cellStyle name="Total 33 2 4" xfId="38873" xr:uid="{00000000-0005-0000-0000-0000D9970000}"/>
    <cellStyle name="Total 33 2 4 2" xfId="38874" xr:uid="{00000000-0005-0000-0000-0000DA970000}"/>
    <cellStyle name="Total 33 2 4 2 2" xfId="38875" xr:uid="{00000000-0005-0000-0000-0000DB970000}"/>
    <cellStyle name="Total 33 2 4 2 3" xfId="38876" xr:uid="{00000000-0005-0000-0000-0000DC970000}"/>
    <cellStyle name="Total 33 2 4 3" xfId="38877" xr:uid="{00000000-0005-0000-0000-0000DD970000}"/>
    <cellStyle name="Total 33 2 4 4" xfId="38878" xr:uid="{00000000-0005-0000-0000-0000DE970000}"/>
    <cellStyle name="Total 33 2 5" xfId="38879" xr:uid="{00000000-0005-0000-0000-0000DF970000}"/>
    <cellStyle name="Total 33 2 5 2" xfId="38880" xr:uid="{00000000-0005-0000-0000-0000E0970000}"/>
    <cellStyle name="Total 33 2 5 2 2" xfId="38881" xr:uid="{00000000-0005-0000-0000-0000E1970000}"/>
    <cellStyle name="Total 33 2 5 2 3" xfId="38882" xr:uid="{00000000-0005-0000-0000-0000E2970000}"/>
    <cellStyle name="Total 33 2 5 3" xfId="38883" xr:uid="{00000000-0005-0000-0000-0000E3970000}"/>
    <cellStyle name="Total 33 2 5 4" xfId="38884" xr:uid="{00000000-0005-0000-0000-0000E4970000}"/>
    <cellStyle name="Total 33 2 6" xfId="38885" xr:uid="{00000000-0005-0000-0000-0000E5970000}"/>
    <cellStyle name="Total 33 2 6 2" xfId="38886" xr:uid="{00000000-0005-0000-0000-0000E6970000}"/>
    <cellStyle name="Total 33 2 6 2 2" xfId="38887" xr:uid="{00000000-0005-0000-0000-0000E7970000}"/>
    <cellStyle name="Total 33 2 6 2 3" xfId="38888" xr:uid="{00000000-0005-0000-0000-0000E8970000}"/>
    <cellStyle name="Total 33 2 6 3" xfId="38889" xr:uid="{00000000-0005-0000-0000-0000E9970000}"/>
    <cellStyle name="Total 33 2 6 4" xfId="38890" xr:uid="{00000000-0005-0000-0000-0000EA970000}"/>
    <cellStyle name="Total 33 2 7" xfId="38891" xr:uid="{00000000-0005-0000-0000-0000EB970000}"/>
    <cellStyle name="Total 33 2 7 2" xfId="38892" xr:uid="{00000000-0005-0000-0000-0000EC970000}"/>
    <cellStyle name="Total 33 2 7 2 2" xfId="38893" xr:uid="{00000000-0005-0000-0000-0000ED970000}"/>
    <cellStyle name="Total 33 2 7 2 3" xfId="38894" xr:uid="{00000000-0005-0000-0000-0000EE970000}"/>
    <cellStyle name="Total 33 2 7 3" xfId="38895" xr:uid="{00000000-0005-0000-0000-0000EF970000}"/>
    <cellStyle name="Total 33 2 7 4" xfId="38896" xr:uid="{00000000-0005-0000-0000-0000F0970000}"/>
    <cellStyle name="Total 33 2 8" xfId="38897" xr:uid="{00000000-0005-0000-0000-0000F1970000}"/>
    <cellStyle name="Total 33 2 8 2" xfId="38898" xr:uid="{00000000-0005-0000-0000-0000F2970000}"/>
    <cellStyle name="Total 33 2 8 2 2" xfId="38899" xr:uid="{00000000-0005-0000-0000-0000F3970000}"/>
    <cellStyle name="Total 33 2 8 2 3" xfId="38900" xr:uid="{00000000-0005-0000-0000-0000F4970000}"/>
    <cellStyle name="Total 33 2 8 3" xfId="38901" xr:uid="{00000000-0005-0000-0000-0000F5970000}"/>
    <cellStyle name="Total 33 2 8 4" xfId="38902" xr:uid="{00000000-0005-0000-0000-0000F6970000}"/>
    <cellStyle name="Total 33 2 9" xfId="38903" xr:uid="{00000000-0005-0000-0000-0000F7970000}"/>
    <cellStyle name="Total 33 2 9 2" xfId="38904" xr:uid="{00000000-0005-0000-0000-0000F8970000}"/>
    <cellStyle name="Total 33 2 9 2 2" xfId="38905" xr:uid="{00000000-0005-0000-0000-0000F9970000}"/>
    <cellStyle name="Total 33 2 9 2 3" xfId="38906" xr:uid="{00000000-0005-0000-0000-0000FA970000}"/>
    <cellStyle name="Total 33 2 9 3" xfId="38907" xr:uid="{00000000-0005-0000-0000-0000FB970000}"/>
    <cellStyle name="Total 33 2 9 4" xfId="38908" xr:uid="{00000000-0005-0000-0000-0000FC970000}"/>
    <cellStyle name="Total 33 3" xfId="38909" xr:uid="{00000000-0005-0000-0000-0000FD970000}"/>
    <cellStyle name="Total 33 3 2" xfId="38910" xr:uid="{00000000-0005-0000-0000-0000FE970000}"/>
    <cellStyle name="Total 33 3 2 2" xfId="38911" xr:uid="{00000000-0005-0000-0000-0000FF970000}"/>
    <cellStyle name="Total 33 3 2 3" xfId="38912" xr:uid="{00000000-0005-0000-0000-000000980000}"/>
    <cellStyle name="Total 33 3 3" xfId="38913" xr:uid="{00000000-0005-0000-0000-000001980000}"/>
    <cellStyle name="Total 33 3 4" xfId="38914" xr:uid="{00000000-0005-0000-0000-000002980000}"/>
    <cellStyle name="Total 33 4" xfId="38915" xr:uid="{00000000-0005-0000-0000-000003980000}"/>
    <cellStyle name="Total 33 5" xfId="38916" xr:uid="{00000000-0005-0000-0000-000004980000}"/>
    <cellStyle name="Total 34" xfId="38917" xr:uid="{00000000-0005-0000-0000-000005980000}"/>
    <cellStyle name="Total 34 2" xfId="38918" xr:uid="{00000000-0005-0000-0000-000006980000}"/>
    <cellStyle name="Total 34 2 10" xfId="38919" xr:uid="{00000000-0005-0000-0000-000007980000}"/>
    <cellStyle name="Total 34 2 10 2" xfId="38920" xr:uid="{00000000-0005-0000-0000-000008980000}"/>
    <cellStyle name="Total 34 2 10 2 2" xfId="38921" xr:uid="{00000000-0005-0000-0000-000009980000}"/>
    <cellStyle name="Total 34 2 10 2 3" xfId="38922" xr:uid="{00000000-0005-0000-0000-00000A980000}"/>
    <cellStyle name="Total 34 2 10 3" xfId="38923" xr:uid="{00000000-0005-0000-0000-00000B980000}"/>
    <cellStyle name="Total 34 2 10 4" xfId="38924" xr:uid="{00000000-0005-0000-0000-00000C980000}"/>
    <cellStyle name="Total 34 2 11" xfId="38925" xr:uid="{00000000-0005-0000-0000-00000D980000}"/>
    <cellStyle name="Total 34 2 11 2" xfId="38926" xr:uid="{00000000-0005-0000-0000-00000E980000}"/>
    <cellStyle name="Total 34 2 11 2 2" xfId="38927" xr:uid="{00000000-0005-0000-0000-00000F980000}"/>
    <cellStyle name="Total 34 2 11 2 3" xfId="38928" xr:uid="{00000000-0005-0000-0000-000010980000}"/>
    <cellStyle name="Total 34 2 11 3" xfId="38929" xr:uid="{00000000-0005-0000-0000-000011980000}"/>
    <cellStyle name="Total 34 2 11 4" xfId="38930" xr:uid="{00000000-0005-0000-0000-000012980000}"/>
    <cellStyle name="Total 34 2 12" xfId="38931" xr:uid="{00000000-0005-0000-0000-000013980000}"/>
    <cellStyle name="Total 34 2 12 2" xfId="38932" xr:uid="{00000000-0005-0000-0000-000014980000}"/>
    <cellStyle name="Total 34 2 12 2 2" xfId="38933" xr:uid="{00000000-0005-0000-0000-000015980000}"/>
    <cellStyle name="Total 34 2 12 2 3" xfId="38934" xr:uid="{00000000-0005-0000-0000-000016980000}"/>
    <cellStyle name="Total 34 2 12 3" xfId="38935" xr:uid="{00000000-0005-0000-0000-000017980000}"/>
    <cellStyle name="Total 34 2 12 4" xfId="38936" xr:uid="{00000000-0005-0000-0000-000018980000}"/>
    <cellStyle name="Total 34 2 13" xfId="38937" xr:uid="{00000000-0005-0000-0000-000019980000}"/>
    <cellStyle name="Total 34 2 13 2" xfId="38938" xr:uid="{00000000-0005-0000-0000-00001A980000}"/>
    <cellStyle name="Total 34 2 13 2 2" xfId="38939" xr:uid="{00000000-0005-0000-0000-00001B980000}"/>
    <cellStyle name="Total 34 2 13 2 3" xfId="38940" xr:uid="{00000000-0005-0000-0000-00001C980000}"/>
    <cellStyle name="Total 34 2 13 3" xfId="38941" xr:uid="{00000000-0005-0000-0000-00001D980000}"/>
    <cellStyle name="Total 34 2 13 4" xfId="38942" xr:uid="{00000000-0005-0000-0000-00001E980000}"/>
    <cellStyle name="Total 34 2 14" xfId="38943" xr:uid="{00000000-0005-0000-0000-00001F980000}"/>
    <cellStyle name="Total 34 2 14 2" xfId="38944" xr:uid="{00000000-0005-0000-0000-000020980000}"/>
    <cellStyle name="Total 34 2 14 2 2" xfId="38945" xr:uid="{00000000-0005-0000-0000-000021980000}"/>
    <cellStyle name="Total 34 2 14 2 3" xfId="38946" xr:uid="{00000000-0005-0000-0000-000022980000}"/>
    <cellStyle name="Total 34 2 14 3" xfId="38947" xr:uid="{00000000-0005-0000-0000-000023980000}"/>
    <cellStyle name="Total 34 2 14 4" xfId="38948" xr:uid="{00000000-0005-0000-0000-000024980000}"/>
    <cellStyle name="Total 34 2 15" xfId="38949" xr:uid="{00000000-0005-0000-0000-000025980000}"/>
    <cellStyle name="Total 34 2 15 2" xfId="38950" xr:uid="{00000000-0005-0000-0000-000026980000}"/>
    <cellStyle name="Total 34 2 15 2 2" xfId="38951" xr:uid="{00000000-0005-0000-0000-000027980000}"/>
    <cellStyle name="Total 34 2 15 2 3" xfId="38952" xr:uid="{00000000-0005-0000-0000-000028980000}"/>
    <cellStyle name="Total 34 2 15 3" xfId="38953" xr:uid="{00000000-0005-0000-0000-000029980000}"/>
    <cellStyle name="Total 34 2 15 4" xfId="38954" xr:uid="{00000000-0005-0000-0000-00002A980000}"/>
    <cellStyle name="Total 34 2 16" xfId="38955" xr:uid="{00000000-0005-0000-0000-00002B980000}"/>
    <cellStyle name="Total 34 2 16 2" xfId="38956" xr:uid="{00000000-0005-0000-0000-00002C980000}"/>
    <cellStyle name="Total 34 2 16 2 2" xfId="38957" xr:uid="{00000000-0005-0000-0000-00002D980000}"/>
    <cellStyle name="Total 34 2 16 2 3" xfId="38958" xr:uid="{00000000-0005-0000-0000-00002E980000}"/>
    <cellStyle name="Total 34 2 16 3" xfId="38959" xr:uid="{00000000-0005-0000-0000-00002F980000}"/>
    <cellStyle name="Total 34 2 16 4" xfId="38960" xr:uid="{00000000-0005-0000-0000-000030980000}"/>
    <cellStyle name="Total 34 2 17" xfId="38961" xr:uid="{00000000-0005-0000-0000-000031980000}"/>
    <cellStyle name="Total 34 2 17 2" xfId="38962" xr:uid="{00000000-0005-0000-0000-000032980000}"/>
    <cellStyle name="Total 34 2 17 2 2" xfId="38963" xr:uid="{00000000-0005-0000-0000-000033980000}"/>
    <cellStyle name="Total 34 2 17 2 3" xfId="38964" xr:uid="{00000000-0005-0000-0000-000034980000}"/>
    <cellStyle name="Total 34 2 17 3" xfId="38965" xr:uid="{00000000-0005-0000-0000-000035980000}"/>
    <cellStyle name="Total 34 2 17 4" xfId="38966" xr:uid="{00000000-0005-0000-0000-000036980000}"/>
    <cellStyle name="Total 34 2 18" xfId="38967" xr:uid="{00000000-0005-0000-0000-000037980000}"/>
    <cellStyle name="Total 34 2 18 2" xfId="38968" xr:uid="{00000000-0005-0000-0000-000038980000}"/>
    <cellStyle name="Total 34 2 18 3" xfId="38969" xr:uid="{00000000-0005-0000-0000-000039980000}"/>
    <cellStyle name="Total 34 2 18 4" xfId="38970" xr:uid="{00000000-0005-0000-0000-00003A980000}"/>
    <cellStyle name="Total 34 2 19" xfId="38971" xr:uid="{00000000-0005-0000-0000-00003B980000}"/>
    <cellStyle name="Total 34 2 2" xfId="38972" xr:uid="{00000000-0005-0000-0000-00003C980000}"/>
    <cellStyle name="Total 34 2 2 2" xfId="38973" xr:uid="{00000000-0005-0000-0000-00003D980000}"/>
    <cellStyle name="Total 34 2 2 2 2" xfId="38974" xr:uid="{00000000-0005-0000-0000-00003E980000}"/>
    <cellStyle name="Total 34 2 2 2 3" xfId="38975" xr:uid="{00000000-0005-0000-0000-00003F980000}"/>
    <cellStyle name="Total 34 2 2 3" xfId="38976" xr:uid="{00000000-0005-0000-0000-000040980000}"/>
    <cellStyle name="Total 34 2 2 4" xfId="38977" xr:uid="{00000000-0005-0000-0000-000041980000}"/>
    <cellStyle name="Total 34 2 20" xfId="38978" xr:uid="{00000000-0005-0000-0000-000042980000}"/>
    <cellStyle name="Total 34 2 21" xfId="38979" xr:uid="{00000000-0005-0000-0000-000043980000}"/>
    <cellStyle name="Total 34 2 3" xfId="38980" xr:uid="{00000000-0005-0000-0000-000044980000}"/>
    <cellStyle name="Total 34 2 3 2" xfId="38981" xr:uid="{00000000-0005-0000-0000-000045980000}"/>
    <cellStyle name="Total 34 2 3 2 2" xfId="38982" xr:uid="{00000000-0005-0000-0000-000046980000}"/>
    <cellStyle name="Total 34 2 3 2 3" xfId="38983" xr:uid="{00000000-0005-0000-0000-000047980000}"/>
    <cellStyle name="Total 34 2 3 3" xfId="38984" xr:uid="{00000000-0005-0000-0000-000048980000}"/>
    <cellStyle name="Total 34 2 3 4" xfId="38985" xr:uid="{00000000-0005-0000-0000-000049980000}"/>
    <cellStyle name="Total 34 2 4" xfId="38986" xr:uid="{00000000-0005-0000-0000-00004A980000}"/>
    <cellStyle name="Total 34 2 4 2" xfId="38987" xr:uid="{00000000-0005-0000-0000-00004B980000}"/>
    <cellStyle name="Total 34 2 4 2 2" xfId="38988" xr:uid="{00000000-0005-0000-0000-00004C980000}"/>
    <cellStyle name="Total 34 2 4 2 3" xfId="38989" xr:uid="{00000000-0005-0000-0000-00004D980000}"/>
    <cellStyle name="Total 34 2 4 3" xfId="38990" xr:uid="{00000000-0005-0000-0000-00004E980000}"/>
    <cellStyle name="Total 34 2 4 4" xfId="38991" xr:uid="{00000000-0005-0000-0000-00004F980000}"/>
    <cellStyle name="Total 34 2 5" xfId="38992" xr:uid="{00000000-0005-0000-0000-000050980000}"/>
    <cellStyle name="Total 34 2 5 2" xfId="38993" xr:uid="{00000000-0005-0000-0000-000051980000}"/>
    <cellStyle name="Total 34 2 5 2 2" xfId="38994" xr:uid="{00000000-0005-0000-0000-000052980000}"/>
    <cellStyle name="Total 34 2 5 2 3" xfId="38995" xr:uid="{00000000-0005-0000-0000-000053980000}"/>
    <cellStyle name="Total 34 2 5 3" xfId="38996" xr:uid="{00000000-0005-0000-0000-000054980000}"/>
    <cellStyle name="Total 34 2 5 4" xfId="38997" xr:uid="{00000000-0005-0000-0000-000055980000}"/>
    <cellStyle name="Total 34 2 6" xfId="38998" xr:uid="{00000000-0005-0000-0000-000056980000}"/>
    <cellStyle name="Total 34 2 6 2" xfId="38999" xr:uid="{00000000-0005-0000-0000-000057980000}"/>
    <cellStyle name="Total 34 2 6 2 2" xfId="39000" xr:uid="{00000000-0005-0000-0000-000058980000}"/>
    <cellStyle name="Total 34 2 6 2 3" xfId="39001" xr:uid="{00000000-0005-0000-0000-000059980000}"/>
    <cellStyle name="Total 34 2 6 3" xfId="39002" xr:uid="{00000000-0005-0000-0000-00005A980000}"/>
    <cellStyle name="Total 34 2 6 4" xfId="39003" xr:uid="{00000000-0005-0000-0000-00005B980000}"/>
    <cellStyle name="Total 34 2 7" xfId="39004" xr:uid="{00000000-0005-0000-0000-00005C980000}"/>
    <cellStyle name="Total 34 2 7 2" xfId="39005" xr:uid="{00000000-0005-0000-0000-00005D980000}"/>
    <cellStyle name="Total 34 2 7 2 2" xfId="39006" xr:uid="{00000000-0005-0000-0000-00005E980000}"/>
    <cellStyle name="Total 34 2 7 2 3" xfId="39007" xr:uid="{00000000-0005-0000-0000-00005F980000}"/>
    <cellStyle name="Total 34 2 7 3" xfId="39008" xr:uid="{00000000-0005-0000-0000-000060980000}"/>
    <cellStyle name="Total 34 2 7 4" xfId="39009" xr:uid="{00000000-0005-0000-0000-000061980000}"/>
    <cellStyle name="Total 34 2 8" xfId="39010" xr:uid="{00000000-0005-0000-0000-000062980000}"/>
    <cellStyle name="Total 34 2 8 2" xfId="39011" xr:uid="{00000000-0005-0000-0000-000063980000}"/>
    <cellStyle name="Total 34 2 8 2 2" xfId="39012" xr:uid="{00000000-0005-0000-0000-000064980000}"/>
    <cellStyle name="Total 34 2 8 2 3" xfId="39013" xr:uid="{00000000-0005-0000-0000-000065980000}"/>
    <cellStyle name="Total 34 2 8 3" xfId="39014" xr:uid="{00000000-0005-0000-0000-000066980000}"/>
    <cellStyle name="Total 34 2 8 4" xfId="39015" xr:uid="{00000000-0005-0000-0000-000067980000}"/>
    <cellStyle name="Total 34 2 9" xfId="39016" xr:uid="{00000000-0005-0000-0000-000068980000}"/>
    <cellStyle name="Total 34 2 9 2" xfId="39017" xr:uid="{00000000-0005-0000-0000-000069980000}"/>
    <cellStyle name="Total 34 2 9 2 2" xfId="39018" xr:uid="{00000000-0005-0000-0000-00006A980000}"/>
    <cellStyle name="Total 34 2 9 2 3" xfId="39019" xr:uid="{00000000-0005-0000-0000-00006B980000}"/>
    <cellStyle name="Total 34 2 9 3" xfId="39020" xr:uid="{00000000-0005-0000-0000-00006C980000}"/>
    <cellStyle name="Total 34 2 9 4" xfId="39021" xr:uid="{00000000-0005-0000-0000-00006D980000}"/>
    <cellStyle name="Total 34 3" xfId="39022" xr:uid="{00000000-0005-0000-0000-00006E980000}"/>
    <cellStyle name="Total 34 3 2" xfId="39023" xr:uid="{00000000-0005-0000-0000-00006F980000}"/>
    <cellStyle name="Total 34 3 2 2" xfId="39024" xr:uid="{00000000-0005-0000-0000-000070980000}"/>
    <cellStyle name="Total 34 3 2 3" xfId="39025" xr:uid="{00000000-0005-0000-0000-000071980000}"/>
    <cellStyle name="Total 34 3 3" xfId="39026" xr:uid="{00000000-0005-0000-0000-000072980000}"/>
    <cellStyle name="Total 34 3 4" xfId="39027" xr:uid="{00000000-0005-0000-0000-000073980000}"/>
    <cellStyle name="Total 34 4" xfId="39028" xr:uid="{00000000-0005-0000-0000-000074980000}"/>
    <cellStyle name="Total 34 5" xfId="39029" xr:uid="{00000000-0005-0000-0000-000075980000}"/>
    <cellStyle name="Total 35" xfId="39030" xr:uid="{00000000-0005-0000-0000-000076980000}"/>
    <cellStyle name="Total 35 2" xfId="39031" xr:uid="{00000000-0005-0000-0000-000077980000}"/>
    <cellStyle name="Total 35 2 10" xfId="39032" xr:uid="{00000000-0005-0000-0000-000078980000}"/>
    <cellStyle name="Total 35 2 10 2" xfId="39033" xr:uid="{00000000-0005-0000-0000-000079980000}"/>
    <cellStyle name="Total 35 2 10 2 2" xfId="39034" xr:uid="{00000000-0005-0000-0000-00007A980000}"/>
    <cellStyle name="Total 35 2 10 2 3" xfId="39035" xr:uid="{00000000-0005-0000-0000-00007B980000}"/>
    <cellStyle name="Total 35 2 10 3" xfId="39036" xr:uid="{00000000-0005-0000-0000-00007C980000}"/>
    <cellStyle name="Total 35 2 10 4" xfId="39037" xr:uid="{00000000-0005-0000-0000-00007D980000}"/>
    <cellStyle name="Total 35 2 11" xfId="39038" xr:uid="{00000000-0005-0000-0000-00007E980000}"/>
    <cellStyle name="Total 35 2 11 2" xfId="39039" xr:uid="{00000000-0005-0000-0000-00007F980000}"/>
    <cellStyle name="Total 35 2 11 2 2" xfId="39040" xr:uid="{00000000-0005-0000-0000-000080980000}"/>
    <cellStyle name="Total 35 2 11 2 3" xfId="39041" xr:uid="{00000000-0005-0000-0000-000081980000}"/>
    <cellStyle name="Total 35 2 11 3" xfId="39042" xr:uid="{00000000-0005-0000-0000-000082980000}"/>
    <cellStyle name="Total 35 2 11 4" xfId="39043" xr:uid="{00000000-0005-0000-0000-000083980000}"/>
    <cellStyle name="Total 35 2 12" xfId="39044" xr:uid="{00000000-0005-0000-0000-000084980000}"/>
    <cellStyle name="Total 35 2 12 2" xfId="39045" xr:uid="{00000000-0005-0000-0000-000085980000}"/>
    <cellStyle name="Total 35 2 12 2 2" xfId="39046" xr:uid="{00000000-0005-0000-0000-000086980000}"/>
    <cellStyle name="Total 35 2 12 2 3" xfId="39047" xr:uid="{00000000-0005-0000-0000-000087980000}"/>
    <cellStyle name="Total 35 2 12 3" xfId="39048" xr:uid="{00000000-0005-0000-0000-000088980000}"/>
    <cellStyle name="Total 35 2 12 4" xfId="39049" xr:uid="{00000000-0005-0000-0000-000089980000}"/>
    <cellStyle name="Total 35 2 13" xfId="39050" xr:uid="{00000000-0005-0000-0000-00008A980000}"/>
    <cellStyle name="Total 35 2 13 2" xfId="39051" xr:uid="{00000000-0005-0000-0000-00008B980000}"/>
    <cellStyle name="Total 35 2 13 2 2" xfId="39052" xr:uid="{00000000-0005-0000-0000-00008C980000}"/>
    <cellStyle name="Total 35 2 13 2 3" xfId="39053" xr:uid="{00000000-0005-0000-0000-00008D980000}"/>
    <cellStyle name="Total 35 2 13 3" xfId="39054" xr:uid="{00000000-0005-0000-0000-00008E980000}"/>
    <cellStyle name="Total 35 2 13 4" xfId="39055" xr:uid="{00000000-0005-0000-0000-00008F980000}"/>
    <cellStyle name="Total 35 2 14" xfId="39056" xr:uid="{00000000-0005-0000-0000-000090980000}"/>
    <cellStyle name="Total 35 2 14 2" xfId="39057" xr:uid="{00000000-0005-0000-0000-000091980000}"/>
    <cellStyle name="Total 35 2 14 2 2" xfId="39058" xr:uid="{00000000-0005-0000-0000-000092980000}"/>
    <cellStyle name="Total 35 2 14 2 3" xfId="39059" xr:uid="{00000000-0005-0000-0000-000093980000}"/>
    <cellStyle name="Total 35 2 14 3" xfId="39060" xr:uid="{00000000-0005-0000-0000-000094980000}"/>
    <cellStyle name="Total 35 2 14 4" xfId="39061" xr:uid="{00000000-0005-0000-0000-000095980000}"/>
    <cellStyle name="Total 35 2 15" xfId="39062" xr:uid="{00000000-0005-0000-0000-000096980000}"/>
    <cellStyle name="Total 35 2 15 2" xfId="39063" xr:uid="{00000000-0005-0000-0000-000097980000}"/>
    <cellStyle name="Total 35 2 15 2 2" xfId="39064" xr:uid="{00000000-0005-0000-0000-000098980000}"/>
    <cellStyle name="Total 35 2 15 2 3" xfId="39065" xr:uid="{00000000-0005-0000-0000-000099980000}"/>
    <cellStyle name="Total 35 2 15 3" xfId="39066" xr:uid="{00000000-0005-0000-0000-00009A980000}"/>
    <cellStyle name="Total 35 2 15 4" xfId="39067" xr:uid="{00000000-0005-0000-0000-00009B980000}"/>
    <cellStyle name="Total 35 2 16" xfId="39068" xr:uid="{00000000-0005-0000-0000-00009C980000}"/>
    <cellStyle name="Total 35 2 16 2" xfId="39069" xr:uid="{00000000-0005-0000-0000-00009D980000}"/>
    <cellStyle name="Total 35 2 16 2 2" xfId="39070" xr:uid="{00000000-0005-0000-0000-00009E980000}"/>
    <cellStyle name="Total 35 2 16 2 3" xfId="39071" xr:uid="{00000000-0005-0000-0000-00009F980000}"/>
    <cellStyle name="Total 35 2 16 3" xfId="39072" xr:uid="{00000000-0005-0000-0000-0000A0980000}"/>
    <cellStyle name="Total 35 2 16 4" xfId="39073" xr:uid="{00000000-0005-0000-0000-0000A1980000}"/>
    <cellStyle name="Total 35 2 17" xfId="39074" xr:uid="{00000000-0005-0000-0000-0000A2980000}"/>
    <cellStyle name="Total 35 2 17 2" xfId="39075" xr:uid="{00000000-0005-0000-0000-0000A3980000}"/>
    <cellStyle name="Total 35 2 17 2 2" xfId="39076" xr:uid="{00000000-0005-0000-0000-0000A4980000}"/>
    <cellStyle name="Total 35 2 17 2 3" xfId="39077" xr:uid="{00000000-0005-0000-0000-0000A5980000}"/>
    <cellStyle name="Total 35 2 17 3" xfId="39078" xr:uid="{00000000-0005-0000-0000-0000A6980000}"/>
    <cellStyle name="Total 35 2 17 4" xfId="39079" xr:uid="{00000000-0005-0000-0000-0000A7980000}"/>
    <cellStyle name="Total 35 2 18" xfId="39080" xr:uid="{00000000-0005-0000-0000-0000A8980000}"/>
    <cellStyle name="Total 35 2 18 2" xfId="39081" xr:uid="{00000000-0005-0000-0000-0000A9980000}"/>
    <cellStyle name="Total 35 2 18 3" xfId="39082" xr:uid="{00000000-0005-0000-0000-0000AA980000}"/>
    <cellStyle name="Total 35 2 18 4" xfId="39083" xr:uid="{00000000-0005-0000-0000-0000AB980000}"/>
    <cellStyle name="Total 35 2 19" xfId="39084" xr:uid="{00000000-0005-0000-0000-0000AC980000}"/>
    <cellStyle name="Total 35 2 2" xfId="39085" xr:uid="{00000000-0005-0000-0000-0000AD980000}"/>
    <cellStyle name="Total 35 2 2 2" xfId="39086" xr:uid="{00000000-0005-0000-0000-0000AE980000}"/>
    <cellStyle name="Total 35 2 2 2 2" xfId="39087" xr:uid="{00000000-0005-0000-0000-0000AF980000}"/>
    <cellStyle name="Total 35 2 2 2 3" xfId="39088" xr:uid="{00000000-0005-0000-0000-0000B0980000}"/>
    <cellStyle name="Total 35 2 2 3" xfId="39089" xr:uid="{00000000-0005-0000-0000-0000B1980000}"/>
    <cellStyle name="Total 35 2 2 4" xfId="39090" xr:uid="{00000000-0005-0000-0000-0000B2980000}"/>
    <cellStyle name="Total 35 2 20" xfId="39091" xr:uid="{00000000-0005-0000-0000-0000B3980000}"/>
    <cellStyle name="Total 35 2 21" xfId="39092" xr:uid="{00000000-0005-0000-0000-0000B4980000}"/>
    <cellStyle name="Total 35 2 3" xfId="39093" xr:uid="{00000000-0005-0000-0000-0000B5980000}"/>
    <cellStyle name="Total 35 2 3 2" xfId="39094" xr:uid="{00000000-0005-0000-0000-0000B6980000}"/>
    <cellStyle name="Total 35 2 3 2 2" xfId="39095" xr:uid="{00000000-0005-0000-0000-0000B7980000}"/>
    <cellStyle name="Total 35 2 3 2 3" xfId="39096" xr:uid="{00000000-0005-0000-0000-0000B8980000}"/>
    <cellStyle name="Total 35 2 3 3" xfId="39097" xr:uid="{00000000-0005-0000-0000-0000B9980000}"/>
    <cellStyle name="Total 35 2 3 4" xfId="39098" xr:uid="{00000000-0005-0000-0000-0000BA980000}"/>
    <cellStyle name="Total 35 2 4" xfId="39099" xr:uid="{00000000-0005-0000-0000-0000BB980000}"/>
    <cellStyle name="Total 35 2 4 2" xfId="39100" xr:uid="{00000000-0005-0000-0000-0000BC980000}"/>
    <cellStyle name="Total 35 2 4 2 2" xfId="39101" xr:uid="{00000000-0005-0000-0000-0000BD980000}"/>
    <cellStyle name="Total 35 2 4 2 3" xfId="39102" xr:uid="{00000000-0005-0000-0000-0000BE980000}"/>
    <cellStyle name="Total 35 2 4 3" xfId="39103" xr:uid="{00000000-0005-0000-0000-0000BF980000}"/>
    <cellStyle name="Total 35 2 4 4" xfId="39104" xr:uid="{00000000-0005-0000-0000-0000C0980000}"/>
    <cellStyle name="Total 35 2 5" xfId="39105" xr:uid="{00000000-0005-0000-0000-0000C1980000}"/>
    <cellStyle name="Total 35 2 5 2" xfId="39106" xr:uid="{00000000-0005-0000-0000-0000C2980000}"/>
    <cellStyle name="Total 35 2 5 2 2" xfId="39107" xr:uid="{00000000-0005-0000-0000-0000C3980000}"/>
    <cellStyle name="Total 35 2 5 2 3" xfId="39108" xr:uid="{00000000-0005-0000-0000-0000C4980000}"/>
    <cellStyle name="Total 35 2 5 3" xfId="39109" xr:uid="{00000000-0005-0000-0000-0000C5980000}"/>
    <cellStyle name="Total 35 2 5 4" xfId="39110" xr:uid="{00000000-0005-0000-0000-0000C6980000}"/>
    <cellStyle name="Total 35 2 6" xfId="39111" xr:uid="{00000000-0005-0000-0000-0000C7980000}"/>
    <cellStyle name="Total 35 2 6 2" xfId="39112" xr:uid="{00000000-0005-0000-0000-0000C8980000}"/>
    <cellStyle name="Total 35 2 6 2 2" xfId="39113" xr:uid="{00000000-0005-0000-0000-0000C9980000}"/>
    <cellStyle name="Total 35 2 6 2 3" xfId="39114" xr:uid="{00000000-0005-0000-0000-0000CA980000}"/>
    <cellStyle name="Total 35 2 6 3" xfId="39115" xr:uid="{00000000-0005-0000-0000-0000CB980000}"/>
    <cellStyle name="Total 35 2 6 4" xfId="39116" xr:uid="{00000000-0005-0000-0000-0000CC980000}"/>
    <cellStyle name="Total 35 2 7" xfId="39117" xr:uid="{00000000-0005-0000-0000-0000CD980000}"/>
    <cellStyle name="Total 35 2 7 2" xfId="39118" xr:uid="{00000000-0005-0000-0000-0000CE980000}"/>
    <cellStyle name="Total 35 2 7 2 2" xfId="39119" xr:uid="{00000000-0005-0000-0000-0000CF980000}"/>
    <cellStyle name="Total 35 2 7 2 3" xfId="39120" xr:uid="{00000000-0005-0000-0000-0000D0980000}"/>
    <cellStyle name="Total 35 2 7 3" xfId="39121" xr:uid="{00000000-0005-0000-0000-0000D1980000}"/>
    <cellStyle name="Total 35 2 7 4" xfId="39122" xr:uid="{00000000-0005-0000-0000-0000D2980000}"/>
    <cellStyle name="Total 35 2 8" xfId="39123" xr:uid="{00000000-0005-0000-0000-0000D3980000}"/>
    <cellStyle name="Total 35 2 8 2" xfId="39124" xr:uid="{00000000-0005-0000-0000-0000D4980000}"/>
    <cellStyle name="Total 35 2 8 2 2" xfId="39125" xr:uid="{00000000-0005-0000-0000-0000D5980000}"/>
    <cellStyle name="Total 35 2 8 2 3" xfId="39126" xr:uid="{00000000-0005-0000-0000-0000D6980000}"/>
    <cellStyle name="Total 35 2 8 3" xfId="39127" xr:uid="{00000000-0005-0000-0000-0000D7980000}"/>
    <cellStyle name="Total 35 2 8 4" xfId="39128" xr:uid="{00000000-0005-0000-0000-0000D8980000}"/>
    <cellStyle name="Total 35 2 9" xfId="39129" xr:uid="{00000000-0005-0000-0000-0000D9980000}"/>
    <cellStyle name="Total 35 2 9 2" xfId="39130" xr:uid="{00000000-0005-0000-0000-0000DA980000}"/>
    <cellStyle name="Total 35 2 9 2 2" xfId="39131" xr:uid="{00000000-0005-0000-0000-0000DB980000}"/>
    <cellStyle name="Total 35 2 9 2 3" xfId="39132" xr:uid="{00000000-0005-0000-0000-0000DC980000}"/>
    <cellStyle name="Total 35 2 9 3" xfId="39133" xr:uid="{00000000-0005-0000-0000-0000DD980000}"/>
    <cellStyle name="Total 35 2 9 4" xfId="39134" xr:uid="{00000000-0005-0000-0000-0000DE980000}"/>
    <cellStyle name="Total 35 3" xfId="39135" xr:uid="{00000000-0005-0000-0000-0000DF980000}"/>
    <cellStyle name="Total 35 3 2" xfId="39136" xr:uid="{00000000-0005-0000-0000-0000E0980000}"/>
    <cellStyle name="Total 35 3 2 2" xfId="39137" xr:uid="{00000000-0005-0000-0000-0000E1980000}"/>
    <cellStyle name="Total 35 3 2 3" xfId="39138" xr:uid="{00000000-0005-0000-0000-0000E2980000}"/>
    <cellStyle name="Total 35 3 3" xfId="39139" xr:uid="{00000000-0005-0000-0000-0000E3980000}"/>
    <cellStyle name="Total 35 3 4" xfId="39140" xr:uid="{00000000-0005-0000-0000-0000E4980000}"/>
    <cellStyle name="Total 35 4" xfId="39141" xr:uid="{00000000-0005-0000-0000-0000E5980000}"/>
    <cellStyle name="Total 35 5" xfId="39142" xr:uid="{00000000-0005-0000-0000-0000E6980000}"/>
    <cellStyle name="Total 36" xfId="39143" xr:uid="{00000000-0005-0000-0000-0000E7980000}"/>
    <cellStyle name="Total 36 2" xfId="39144" xr:uid="{00000000-0005-0000-0000-0000E8980000}"/>
    <cellStyle name="Total 36 2 10" xfId="39145" xr:uid="{00000000-0005-0000-0000-0000E9980000}"/>
    <cellStyle name="Total 36 2 10 2" xfId="39146" xr:uid="{00000000-0005-0000-0000-0000EA980000}"/>
    <cellStyle name="Total 36 2 10 2 2" xfId="39147" xr:uid="{00000000-0005-0000-0000-0000EB980000}"/>
    <cellStyle name="Total 36 2 10 2 3" xfId="39148" xr:uid="{00000000-0005-0000-0000-0000EC980000}"/>
    <cellStyle name="Total 36 2 10 3" xfId="39149" xr:uid="{00000000-0005-0000-0000-0000ED980000}"/>
    <cellStyle name="Total 36 2 10 4" xfId="39150" xr:uid="{00000000-0005-0000-0000-0000EE980000}"/>
    <cellStyle name="Total 36 2 11" xfId="39151" xr:uid="{00000000-0005-0000-0000-0000EF980000}"/>
    <cellStyle name="Total 36 2 11 2" xfId="39152" xr:uid="{00000000-0005-0000-0000-0000F0980000}"/>
    <cellStyle name="Total 36 2 11 2 2" xfId="39153" xr:uid="{00000000-0005-0000-0000-0000F1980000}"/>
    <cellStyle name="Total 36 2 11 2 3" xfId="39154" xr:uid="{00000000-0005-0000-0000-0000F2980000}"/>
    <cellStyle name="Total 36 2 11 3" xfId="39155" xr:uid="{00000000-0005-0000-0000-0000F3980000}"/>
    <cellStyle name="Total 36 2 11 4" xfId="39156" xr:uid="{00000000-0005-0000-0000-0000F4980000}"/>
    <cellStyle name="Total 36 2 12" xfId="39157" xr:uid="{00000000-0005-0000-0000-0000F5980000}"/>
    <cellStyle name="Total 36 2 12 2" xfId="39158" xr:uid="{00000000-0005-0000-0000-0000F6980000}"/>
    <cellStyle name="Total 36 2 12 2 2" xfId="39159" xr:uid="{00000000-0005-0000-0000-0000F7980000}"/>
    <cellStyle name="Total 36 2 12 2 3" xfId="39160" xr:uid="{00000000-0005-0000-0000-0000F8980000}"/>
    <cellStyle name="Total 36 2 12 3" xfId="39161" xr:uid="{00000000-0005-0000-0000-0000F9980000}"/>
    <cellStyle name="Total 36 2 12 4" xfId="39162" xr:uid="{00000000-0005-0000-0000-0000FA980000}"/>
    <cellStyle name="Total 36 2 13" xfId="39163" xr:uid="{00000000-0005-0000-0000-0000FB980000}"/>
    <cellStyle name="Total 36 2 13 2" xfId="39164" xr:uid="{00000000-0005-0000-0000-0000FC980000}"/>
    <cellStyle name="Total 36 2 13 2 2" xfId="39165" xr:uid="{00000000-0005-0000-0000-0000FD980000}"/>
    <cellStyle name="Total 36 2 13 2 3" xfId="39166" xr:uid="{00000000-0005-0000-0000-0000FE980000}"/>
    <cellStyle name="Total 36 2 13 3" xfId="39167" xr:uid="{00000000-0005-0000-0000-0000FF980000}"/>
    <cellStyle name="Total 36 2 13 4" xfId="39168" xr:uid="{00000000-0005-0000-0000-000000990000}"/>
    <cellStyle name="Total 36 2 14" xfId="39169" xr:uid="{00000000-0005-0000-0000-000001990000}"/>
    <cellStyle name="Total 36 2 14 2" xfId="39170" xr:uid="{00000000-0005-0000-0000-000002990000}"/>
    <cellStyle name="Total 36 2 14 2 2" xfId="39171" xr:uid="{00000000-0005-0000-0000-000003990000}"/>
    <cellStyle name="Total 36 2 14 2 3" xfId="39172" xr:uid="{00000000-0005-0000-0000-000004990000}"/>
    <cellStyle name="Total 36 2 14 3" xfId="39173" xr:uid="{00000000-0005-0000-0000-000005990000}"/>
    <cellStyle name="Total 36 2 14 4" xfId="39174" xr:uid="{00000000-0005-0000-0000-000006990000}"/>
    <cellStyle name="Total 36 2 15" xfId="39175" xr:uid="{00000000-0005-0000-0000-000007990000}"/>
    <cellStyle name="Total 36 2 15 2" xfId="39176" xr:uid="{00000000-0005-0000-0000-000008990000}"/>
    <cellStyle name="Total 36 2 15 2 2" xfId="39177" xr:uid="{00000000-0005-0000-0000-000009990000}"/>
    <cellStyle name="Total 36 2 15 2 3" xfId="39178" xr:uid="{00000000-0005-0000-0000-00000A990000}"/>
    <cellStyle name="Total 36 2 15 3" xfId="39179" xr:uid="{00000000-0005-0000-0000-00000B990000}"/>
    <cellStyle name="Total 36 2 15 4" xfId="39180" xr:uid="{00000000-0005-0000-0000-00000C990000}"/>
    <cellStyle name="Total 36 2 16" xfId="39181" xr:uid="{00000000-0005-0000-0000-00000D990000}"/>
    <cellStyle name="Total 36 2 16 2" xfId="39182" xr:uid="{00000000-0005-0000-0000-00000E990000}"/>
    <cellStyle name="Total 36 2 16 2 2" xfId="39183" xr:uid="{00000000-0005-0000-0000-00000F990000}"/>
    <cellStyle name="Total 36 2 16 2 3" xfId="39184" xr:uid="{00000000-0005-0000-0000-000010990000}"/>
    <cellStyle name="Total 36 2 16 3" xfId="39185" xr:uid="{00000000-0005-0000-0000-000011990000}"/>
    <cellStyle name="Total 36 2 16 4" xfId="39186" xr:uid="{00000000-0005-0000-0000-000012990000}"/>
    <cellStyle name="Total 36 2 17" xfId="39187" xr:uid="{00000000-0005-0000-0000-000013990000}"/>
    <cellStyle name="Total 36 2 17 2" xfId="39188" xr:uid="{00000000-0005-0000-0000-000014990000}"/>
    <cellStyle name="Total 36 2 17 2 2" xfId="39189" xr:uid="{00000000-0005-0000-0000-000015990000}"/>
    <cellStyle name="Total 36 2 17 2 3" xfId="39190" xr:uid="{00000000-0005-0000-0000-000016990000}"/>
    <cellStyle name="Total 36 2 17 3" xfId="39191" xr:uid="{00000000-0005-0000-0000-000017990000}"/>
    <cellStyle name="Total 36 2 17 4" xfId="39192" xr:uid="{00000000-0005-0000-0000-000018990000}"/>
    <cellStyle name="Total 36 2 18" xfId="39193" xr:uid="{00000000-0005-0000-0000-000019990000}"/>
    <cellStyle name="Total 36 2 18 2" xfId="39194" xr:uid="{00000000-0005-0000-0000-00001A990000}"/>
    <cellStyle name="Total 36 2 18 3" xfId="39195" xr:uid="{00000000-0005-0000-0000-00001B990000}"/>
    <cellStyle name="Total 36 2 18 4" xfId="39196" xr:uid="{00000000-0005-0000-0000-00001C990000}"/>
    <cellStyle name="Total 36 2 19" xfId="39197" xr:uid="{00000000-0005-0000-0000-00001D990000}"/>
    <cellStyle name="Total 36 2 2" xfId="39198" xr:uid="{00000000-0005-0000-0000-00001E990000}"/>
    <cellStyle name="Total 36 2 2 2" xfId="39199" xr:uid="{00000000-0005-0000-0000-00001F990000}"/>
    <cellStyle name="Total 36 2 2 2 2" xfId="39200" xr:uid="{00000000-0005-0000-0000-000020990000}"/>
    <cellStyle name="Total 36 2 2 2 3" xfId="39201" xr:uid="{00000000-0005-0000-0000-000021990000}"/>
    <cellStyle name="Total 36 2 2 3" xfId="39202" xr:uid="{00000000-0005-0000-0000-000022990000}"/>
    <cellStyle name="Total 36 2 2 4" xfId="39203" xr:uid="{00000000-0005-0000-0000-000023990000}"/>
    <cellStyle name="Total 36 2 20" xfId="39204" xr:uid="{00000000-0005-0000-0000-000024990000}"/>
    <cellStyle name="Total 36 2 21" xfId="39205" xr:uid="{00000000-0005-0000-0000-000025990000}"/>
    <cellStyle name="Total 36 2 3" xfId="39206" xr:uid="{00000000-0005-0000-0000-000026990000}"/>
    <cellStyle name="Total 36 2 3 2" xfId="39207" xr:uid="{00000000-0005-0000-0000-000027990000}"/>
    <cellStyle name="Total 36 2 3 2 2" xfId="39208" xr:uid="{00000000-0005-0000-0000-000028990000}"/>
    <cellStyle name="Total 36 2 3 2 3" xfId="39209" xr:uid="{00000000-0005-0000-0000-000029990000}"/>
    <cellStyle name="Total 36 2 3 3" xfId="39210" xr:uid="{00000000-0005-0000-0000-00002A990000}"/>
    <cellStyle name="Total 36 2 3 4" xfId="39211" xr:uid="{00000000-0005-0000-0000-00002B990000}"/>
    <cellStyle name="Total 36 2 4" xfId="39212" xr:uid="{00000000-0005-0000-0000-00002C990000}"/>
    <cellStyle name="Total 36 2 4 2" xfId="39213" xr:uid="{00000000-0005-0000-0000-00002D990000}"/>
    <cellStyle name="Total 36 2 4 2 2" xfId="39214" xr:uid="{00000000-0005-0000-0000-00002E990000}"/>
    <cellStyle name="Total 36 2 4 2 3" xfId="39215" xr:uid="{00000000-0005-0000-0000-00002F990000}"/>
    <cellStyle name="Total 36 2 4 3" xfId="39216" xr:uid="{00000000-0005-0000-0000-000030990000}"/>
    <cellStyle name="Total 36 2 4 4" xfId="39217" xr:uid="{00000000-0005-0000-0000-000031990000}"/>
    <cellStyle name="Total 36 2 5" xfId="39218" xr:uid="{00000000-0005-0000-0000-000032990000}"/>
    <cellStyle name="Total 36 2 5 2" xfId="39219" xr:uid="{00000000-0005-0000-0000-000033990000}"/>
    <cellStyle name="Total 36 2 5 2 2" xfId="39220" xr:uid="{00000000-0005-0000-0000-000034990000}"/>
    <cellStyle name="Total 36 2 5 2 3" xfId="39221" xr:uid="{00000000-0005-0000-0000-000035990000}"/>
    <cellStyle name="Total 36 2 5 3" xfId="39222" xr:uid="{00000000-0005-0000-0000-000036990000}"/>
    <cellStyle name="Total 36 2 5 4" xfId="39223" xr:uid="{00000000-0005-0000-0000-000037990000}"/>
    <cellStyle name="Total 36 2 6" xfId="39224" xr:uid="{00000000-0005-0000-0000-000038990000}"/>
    <cellStyle name="Total 36 2 6 2" xfId="39225" xr:uid="{00000000-0005-0000-0000-000039990000}"/>
    <cellStyle name="Total 36 2 6 2 2" xfId="39226" xr:uid="{00000000-0005-0000-0000-00003A990000}"/>
    <cellStyle name="Total 36 2 6 2 3" xfId="39227" xr:uid="{00000000-0005-0000-0000-00003B990000}"/>
    <cellStyle name="Total 36 2 6 3" xfId="39228" xr:uid="{00000000-0005-0000-0000-00003C990000}"/>
    <cellStyle name="Total 36 2 6 4" xfId="39229" xr:uid="{00000000-0005-0000-0000-00003D990000}"/>
    <cellStyle name="Total 36 2 7" xfId="39230" xr:uid="{00000000-0005-0000-0000-00003E990000}"/>
    <cellStyle name="Total 36 2 7 2" xfId="39231" xr:uid="{00000000-0005-0000-0000-00003F990000}"/>
    <cellStyle name="Total 36 2 7 2 2" xfId="39232" xr:uid="{00000000-0005-0000-0000-000040990000}"/>
    <cellStyle name="Total 36 2 7 2 3" xfId="39233" xr:uid="{00000000-0005-0000-0000-000041990000}"/>
    <cellStyle name="Total 36 2 7 3" xfId="39234" xr:uid="{00000000-0005-0000-0000-000042990000}"/>
    <cellStyle name="Total 36 2 7 4" xfId="39235" xr:uid="{00000000-0005-0000-0000-000043990000}"/>
    <cellStyle name="Total 36 2 8" xfId="39236" xr:uid="{00000000-0005-0000-0000-000044990000}"/>
    <cellStyle name="Total 36 2 8 2" xfId="39237" xr:uid="{00000000-0005-0000-0000-000045990000}"/>
    <cellStyle name="Total 36 2 8 2 2" xfId="39238" xr:uid="{00000000-0005-0000-0000-000046990000}"/>
    <cellStyle name="Total 36 2 8 2 3" xfId="39239" xr:uid="{00000000-0005-0000-0000-000047990000}"/>
    <cellStyle name="Total 36 2 8 3" xfId="39240" xr:uid="{00000000-0005-0000-0000-000048990000}"/>
    <cellStyle name="Total 36 2 8 4" xfId="39241" xr:uid="{00000000-0005-0000-0000-000049990000}"/>
    <cellStyle name="Total 36 2 9" xfId="39242" xr:uid="{00000000-0005-0000-0000-00004A990000}"/>
    <cellStyle name="Total 36 2 9 2" xfId="39243" xr:uid="{00000000-0005-0000-0000-00004B990000}"/>
    <cellStyle name="Total 36 2 9 2 2" xfId="39244" xr:uid="{00000000-0005-0000-0000-00004C990000}"/>
    <cellStyle name="Total 36 2 9 2 3" xfId="39245" xr:uid="{00000000-0005-0000-0000-00004D990000}"/>
    <cellStyle name="Total 36 2 9 3" xfId="39246" xr:uid="{00000000-0005-0000-0000-00004E990000}"/>
    <cellStyle name="Total 36 2 9 4" xfId="39247" xr:uid="{00000000-0005-0000-0000-00004F990000}"/>
    <cellStyle name="Total 36 3" xfId="39248" xr:uid="{00000000-0005-0000-0000-000050990000}"/>
    <cellStyle name="Total 36 3 2" xfId="39249" xr:uid="{00000000-0005-0000-0000-000051990000}"/>
    <cellStyle name="Total 36 3 2 2" xfId="39250" xr:uid="{00000000-0005-0000-0000-000052990000}"/>
    <cellStyle name="Total 36 3 2 3" xfId="39251" xr:uid="{00000000-0005-0000-0000-000053990000}"/>
    <cellStyle name="Total 36 3 3" xfId="39252" xr:uid="{00000000-0005-0000-0000-000054990000}"/>
    <cellStyle name="Total 36 3 4" xfId="39253" xr:uid="{00000000-0005-0000-0000-000055990000}"/>
    <cellStyle name="Total 36 4" xfId="39254" xr:uid="{00000000-0005-0000-0000-000056990000}"/>
    <cellStyle name="Total 36 5" xfId="39255" xr:uid="{00000000-0005-0000-0000-000057990000}"/>
    <cellStyle name="Total 37" xfId="39256" xr:uid="{00000000-0005-0000-0000-000058990000}"/>
    <cellStyle name="Total 37 2" xfId="39257" xr:uid="{00000000-0005-0000-0000-000059990000}"/>
    <cellStyle name="Total 37 2 10" xfId="39258" xr:uid="{00000000-0005-0000-0000-00005A990000}"/>
    <cellStyle name="Total 37 2 10 2" xfId="39259" xr:uid="{00000000-0005-0000-0000-00005B990000}"/>
    <cellStyle name="Total 37 2 10 2 2" xfId="39260" xr:uid="{00000000-0005-0000-0000-00005C990000}"/>
    <cellStyle name="Total 37 2 10 2 3" xfId="39261" xr:uid="{00000000-0005-0000-0000-00005D990000}"/>
    <cellStyle name="Total 37 2 10 3" xfId="39262" xr:uid="{00000000-0005-0000-0000-00005E990000}"/>
    <cellStyle name="Total 37 2 10 4" xfId="39263" xr:uid="{00000000-0005-0000-0000-00005F990000}"/>
    <cellStyle name="Total 37 2 11" xfId="39264" xr:uid="{00000000-0005-0000-0000-000060990000}"/>
    <cellStyle name="Total 37 2 11 2" xfId="39265" xr:uid="{00000000-0005-0000-0000-000061990000}"/>
    <cellStyle name="Total 37 2 11 2 2" xfId="39266" xr:uid="{00000000-0005-0000-0000-000062990000}"/>
    <cellStyle name="Total 37 2 11 2 3" xfId="39267" xr:uid="{00000000-0005-0000-0000-000063990000}"/>
    <cellStyle name="Total 37 2 11 3" xfId="39268" xr:uid="{00000000-0005-0000-0000-000064990000}"/>
    <cellStyle name="Total 37 2 11 4" xfId="39269" xr:uid="{00000000-0005-0000-0000-000065990000}"/>
    <cellStyle name="Total 37 2 12" xfId="39270" xr:uid="{00000000-0005-0000-0000-000066990000}"/>
    <cellStyle name="Total 37 2 12 2" xfId="39271" xr:uid="{00000000-0005-0000-0000-000067990000}"/>
    <cellStyle name="Total 37 2 12 2 2" xfId="39272" xr:uid="{00000000-0005-0000-0000-000068990000}"/>
    <cellStyle name="Total 37 2 12 2 3" xfId="39273" xr:uid="{00000000-0005-0000-0000-000069990000}"/>
    <cellStyle name="Total 37 2 12 3" xfId="39274" xr:uid="{00000000-0005-0000-0000-00006A990000}"/>
    <cellStyle name="Total 37 2 12 4" xfId="39275" xr:uid="{00000000-0005-0000-0000-00006B990000}"/>
    <cellStyle name="Total 37 2 13" xfId="39276" xr:uid="{00000000-0005-0000-0000-00006C990000}"/>
    <cellStyle name="Total 37 2 13 2" xfId="39277" xr:uid="{00000000-0005-0000-0000-00006D990000}"/>
    <cellStyle name="Total 37 2 13 2 2" xfId="39278" xr:uid="{00000000-0005-0000-0000-00006E990000}"/>
    <cellStyle name="Total 37 2 13 2 3" xfId="39279" xr:uid="{00000000-0005-0000-0000-00006F990000}"/>
    <cellStyle name="Total 37 2 13 3" xfId="39280" xr:uid="{00000000-0005-0000-0000-000070990000}"/>
    <cellStyle name="Total 37 2 13 4" xfId="39281" xr:uid="{00000000-0005-0000-0000-000071990000}"/>
    <cellStyle name="Total 37 2 14" xfId="39282" xr:uid="{00000000-0005-0000-0000-000072990000}"/>
    <cellStyle name="Total 37 2 14 2" xfId="39283" xr:uid="{00000000-0005-0000-0000-000073990000}"/>
    <cellStyle name="Total 37 2 14 2 2" xfId="39284" xr:uid="{00000000-0005-0000-0000-000074990000}"/>
    <cellStyle name="Total 37 2 14 2 3" xfId="39285" xr:uid="{00000000-0005-0000-0000-000075990000}"/>
    <cellStyle name="Total 37 2 14 3" xfId="39286" xr:uid="{00000000-0005-0000-0000-000076990000}"/>
    <cellStyle name="Total 37 2 14 4" xfId="39287" xr:uid="{00000000-0005-0000-0000-000077990000}"/>
    <cellStyle name="Total 37 2 15" xfId="39288" xr:uid="{00000000-0005-0000-0000-000078990000}"/>
    <cellStyle name="Total 37 2 15 2" xfId="39289" xr:uid="{00000000-0005-0000-0000-000079990000}"/>
    <cellStyle name="Total 37 2 15 2 2" xfId="39290" xr:uid="{00000000-0005-0000-0000-00007A990000}"/>
    <cellStyle name="Total 37 2 15 2 3" xfId="39291" xr:uid="{00000000-0005-0000-0000-00007B990000}"/>
    <cellStyle name="Total 37 2 15 3" xfId="39292" xr:uid="{00000000-0005-0000-0000-00007C990000}"/>
    <cellStyle name="Total 37 2 15 4" xfId="39293" xr:uid="{00000000-0005-0000-0000-00007D990000}"/>
    <cellStyle name="Total 37 2 16" xfId="39294" xr:uid="{00000000-0005-0000-0000-00007E990000}"/>
    <cellStyle name="Total 37 2 16 2" xfId="39295" xr:uid="{00000000-0005-0000-0000-00007F990000}"/>
    <cellStyle name="Total 37 2 16 2 2" xfId="39296" xr:uid="{00000000-0005-0000-0000-000080990000}"/>
    <cellStyle name="Total 37 2 16 2 3" xfId="39297" xr:uid="{00000000-0005-0000-0000-000081990000}"/>
    <cellStyle name="Total 37 2 16 3" xfId="39298" xr:uid="{00000000-0005-0000-0000-000082990000}"/>
    <cellStyle name="Total 37 2 16 4" xfId="39299" xr:uid="{00000000-0005-0000-0000-000083990000}"/>
    <cellStyle name="Total 37 2 17" xfId="39300" xr:uid="{00000000-0005-0000-0000-000084990000}"/>
    <cellStyle name="Total 37 2 17 2" xfId="39301" xr:uid="{00000000-0005-0000-0000-000085990000}"/>
    <cellStyle name="Total 37 2 17 2 2" xfId="39302" xr:uid="{00000000-0005-0000-0000-000086990000}"/>
    <cellStyle name="Total 37 2 17 2 3" xfId="39303" xr:uid="{00000000-0005-0000-0000-000087990000}"/>
    <cellStyle name="Total 37 2 17 3" xfId="39304" xr:uid="{00000000-0005-0000-0000-000088990000}"/>
    <cellStyle name="Total 37 2 17 4" xfId="39305" xr:uid="{00000000-0005-0000-0000-000089990000}"/>
    <cellStyle name="Total 37 2 18" xfId="39306" xr:uid="{00000000-0005-0000-0000-00008A990000}"/>
    <cellStyle name="Total 37 2 18 2" xfId="39307" xr:uid="{00000000-0005-0000-0000-00008B990000}"/>
    <cellStyle name="Total 37 2 18 3" xfId="39308" xr:uid="{00000000-0005-0000-0000-00008C990000}"/>
    <cellStyle name="Total 37 2 18 4" xfId="39309" xr:uid="{00000000-0005-0000-0000-00008D990000}"/>
    <cellStyle name="Total 37 2 19" xfId="39310" xr:uid="{00000000-0005-0000-0000-00008E990000}"/>
    <cellStyle name="Total 37 2 2" xfId="39311" xr:uid="{00000000-0005-0000-0000-00008F990000}"/>
    <cellStyle name="Total 37 2 2 2" xfId="39312" xr:uid="{00000000-0005-0000-0000-000090990000}"/>
    <cellStyle name="Total 37 2 2 2 2" xfId="39313" xr:uid="{00000000-0005-0000-0000-000091990000}"/>
    <cellStyle name="Total 37 2 2 2 3" xfId="39314" xr:uid="{00000000-0005-0000-0000-000092990000}"/>
    <cellStyle name="Total 37 2 2 3" xfId="39315" xr:uid="{00000000-0005-0000-0000-000093990000}"/>
    <cellStyle name="Total 37 2 2 4" xfId="39316" xr:uid="{00000000-0005-0000-0000-000094990000}"/>
    <cellStyle name="Total 37 2 20" xfId="39317" xr:uid="{00000000-0005-0000-0000-000095990000}"/>
    <cellStyle name="Total 37 2 21" xfId="39318" xr:uid="{00000000-0005-0000-0000-000096990000}"/>
    <cellStyle name="Total 37 2 3" xfId="39319" xr:uid="{00000000-0005-0000-0000-000097990000}"/>
    <cellStyle name="Total 37 2 3 2" xfId="39320" xr:uid="{00000000-0005-0000-0000-000098990000}"/>
    <cellStyle name="Total 37 2 3 2 2" xfId="39321" xr:uid="{00000000-0005-0000-0000-000099990000}"/>
    <cellStyle name="Total 37 2 3 2 3" xfId="39322" xr:uid="{00000000-0005-0000-0000-00009A990000}"/>
    <cellStyle name="Total 37 2 3 3" xfId="39323" xr:uid="{00000000-0005-0000-0000-00009B990000}"/>
    <cellStyle name="Total 37 2 3 4" xfId="39324" xr:uid="{00000000-0005-0000-0000-00009C990000}"/>
    <cellStyle name="Total 37 2 4" xfId="39325" xr:uid="{00000000-0005-0000-0000-00009D990000}"/>
    <cellStyle name="Total 37 2 4 2" xfId="39326" xr:uid="{00000000-0005-0000-0000-00009E990000}"/>
    <cellStyle name="Total 37 2 4 2 2" xfId="39327" xr:uid="{00000000-0005-0000-0000-00009F990000}"/>
    <cellStyle name="Total 37 2 4 2 3" xfId="39328" xr:uid="{00000000-0005-0000-0000-0000A0990000}"/>
    <cellStyle name="Total 37 2 4 3" xfId="39329" xr:uid="{00000000-0005-0000-0000-0000A1990000}"/>
    <cellStyle name="Total 37 2 4 4" xfId="39330" xr:uid="{00000000-0005-0000-0000-0000A2990000}"/>
    <cellStyle name="Total 37 2 5" xfId="39331" xr:uid="{00000000-0005-0000-0000-0000A3990000}"/>
    <cellStyle name="Total 37 2 5 2" xfId="39332" xr:uid="{00000000-0005-0000-0000-0000A4990000}"/>
    <cellStyle name="Total 37 2 5 2 2" xfId="39333" xr:uid="{00000000-0005-0000-0000-0000A5990000}"/>
    <cellStyle name="Total 37 2 5 2 3" xfId="39334" xr:uid="{00000000-0005-0000-0000-0000A6990000}"/>
    <cellStyle name="Total 37 2 5 3" xfId="39335" xr:uid="{00000000-0005-0000-0000-0000A7990000}"/>
    <cellStyle name="Total 37 2 5 4" xfId="39336" xr:uid="{00000000-0005-0000-0000-0000A8990000}"/>
    <cellStyle name="Total 37 2 6" xfId="39337" xr:uid="{00000000-0005-0000-0000-0000A9990000}"/>
    <cellStyle name="Total 37 2 6 2" xfId="39338" xr:uid="{00000000-0005-0000-0000-0000AA990000}"/>
    <cellStyle name="Total 37 2 6 2 2" xfId="39339" xr:uid="{00000000-0005-0000-0000-0000AB990000}"/>
    <cellStyle name="Total 37 2 6 2 3" xfId="39340" xr:uid="{00000000-0005-0000-0000-0000AC990000}"/>
    <cellStyle name="Total 37 2 6 3" xfId="39341" xr:uid="{00000000-0005-0000-0000-0000AD990000}"/>
    <cellStyle name="Total 37 2 6 4" xfId="39342" xr:uid="{00000000-0005-0000-0000-0000AE990000}"/>
    <cellStyle name="Total 37 2 7" xfId="39343" xr:uid="{00000000-0005-0000-0000-0000AF990000}"/>
    <cellStyle name="Total 37 2 7 2" xfId="39344" xr:uid="{00000000-0005-0000-0000-0000B0990000}"/>
    <cellStyle name="Total 37 2 7 2 2" xfId="39345" xr:uid="{00000000-0005-0000-0000-0000B1990000}"/>
    <cellStyle name="Total 37 2 7 2 3" xfId="39346" xr:uid="{00000000-0005-0000-0000-0000B2990000}"/>
    <cellStyle name="Total 37 2 7 3" xfId="39347" xr:uid="{00000000-0005-0000-0000-0000B3990000}"/>
    <cellStyle name="Total 37 2 7 4" xfId="39348" xr:uid="{00000000-0005-0000-0000-0000B4990000}"/>
    <cellStyle name="Total 37 2 8" xfId="39349" xr:uid="{00000000-0005-0000-0000-0000B5990000}"/>
    <cellStyle name="Total 37 2 8 2" xfId="39350" xr:uid="{00000000-0005-0000-0000-0000B6990000}"/>
    <cellStyle name="Total 37 2 8 2 2" xfId="39351" xr:uid="{00000000-0005-0000-0000-0000B7990000}"/>
    <cellStyle name="Total 37 2 8 2 3" xfId="39352" xr:uid="{00000000-0005-0000-0000-0000B8990000}"/>
    <cellStyle name="Total 37 2 8 3" xfId="39353" xr:uid="{00000000-0005-0000-0000-0000B9990000}"/>
    <cellStyle name="Total 37 2 8 4" xfId="39354" xr:uid="{00000000-0005-0000-0000-0000BA990000}"/>
    <cellStyle name="Total 37 2 9" xfId="39355" xr:uid="{00000000-0005-0000-0000-0000BB990000}"/>
    <cellStyle name="Total 37 2 9 2" xfId="39356" xr:uid="{00000000-0005-0000-0000-0000BC990000}"/>
    <cellStyle name="Total 37 2 9 2 2" xfId="39357" xr:uid="{00000000-0005-0000-0000-0000BD990000}"/>
    <cellStyle name="Total 37 2 9 2 3" xfId="39358" xr:uid="{00000000-0005-0000-0000-0000BE990000}"/>
    <cellStyle name="Total 37 2 9 3" xfId="39359" xr:uid="{00000000-0005-0000-0000-0000BF990000}"/>
    <cellStyle name="Total 37 2 9 4" xfId="39360" xr:uid="{00000000-0005-0000-0000-0000C0990000}"/>
    <cellStyle name="Total 37 3" xfId="39361" xr:uid="{00000000-0005-0000-0000-0000C1990000}"/>
    <cellStyle name="Total 37 3 2" xfId="39362" xr:uid="{00000000-0005-0000-0000-0000C2990000}"/>
    <cellStyle name="Total 37 3 2 2" xfId="39363" xr:uid="{00000000-0005-0000-0000-0000C3990000}"/>
    <cellStyle name="Total 37 3 2 3" xfId="39364" xr:uid="{00000000-0005-0000-0000-0000C4990000}"/>
    <cellStyle name="Total 37 3 3" xfId="39365" xr:uid="{00000000-0005-0000-0000-0000C5990000}"/>
    <cellStyle name="Total 37 3 4" xfId="39366" xr:uid="{00000000-0005-0000-0000-0000C6990000}"/>
    <cellStyle name="Total 37 4" xfId="39367" xr:uid="{00000000-0005-0000-0000-0000C7990000}"/>
    <cellStyle name="Total 37 5" xfId="39368" xr:uid="{00000000-0005-0000-0000-0000C8990000}"/>
    <cellStyle name="Total 38" xfId="39369" xr:uid="{00000000-0005-0000-0000-0000C9990000}"/>
    <cellStyle name="Total 38 2" xfId="39370" xr:uid="{00000000-0005-0000-0000-0000CA990000}"/>
    <cellStyle name="Total 38 2 10" xfId="39371" xr:uid="{00000000-0005-0000-0000-0000CB990000}"/>
    <cellStyle name="Total 38 2 10 2" xfId="39372" xr:uid="{00000000-0005-0000-0000-0000CC990000}"/>
    <cellStyle name="Total 38 2 10 2 2" xfId="39373" xr:uid="{00000000-0005-0000-0000-0000CD990000}"/>
    <cellStyle name="Total 38 2 10 2 3" xfId="39374" xr:uid="{00000000-0005-0000-0000-0000CE990000}"/>
    <cellStyle name="Total 38 2 10 3" xfId="39375" xr:uid="{00000000-0005-0000-0000-0000CF990000}"/>
    <cellStyle name="Total 38 2 10 4" xfId="39376" xr:uid="{00000000-0005-0000-0000-0000D0990000}"/>
    <cellStyle name="Total 38 2 11" xfId="39377" xr:uid="{00000000-0005-0000-0000-0000D1990000}"/>
    <cellStyle name="Total 38 2 11 2" xfId="39378" xr:uid="{00000000-0005-0000-0000-0000D2990000}"/>
    <cellStyle name="Total 38 2 11 2 2" xfId="39379" xr:uid="{00000000-0005-0000-0000-0000D3990000}"/>
    <cellStyle name="Total 38 2 11 2 3" xfId="39380" xr:uid="{00000000-0005-0000-0000-0000D4990000}"/>
    <cellStyle name="Total 38 2 11 3" xfId="39381" xr:uid="{00000000-0005-0000-0000-0000D5990000}"/>
    <cellStyle name="Total 38 2 11 4" xfId="39382" xr:uid="{00000000-0005-0000-0000-0000D6990000}"/>
    <cellStyle name="Total 38 2 12" xfId="39383" xr:uid="{00000000-0005-0000-0000-0000D7990000}"/>
    <cellStyle name="Total 38 2 12 2" xfId="39384" xr:uid="{00000000-0005-0000-0000-0000D8990000}"/>
    <cellStyle name="Total 38 2 12 2 2" xfId="39385" xr:uid="{00000000-0005-0000-0000-0000D9990000}"/>
    <cellStyle name="Total 38 2 12 2 3" xfId="39386" xr:uid="{00000000-0005-0000-0000-0000DA990000}"/>
    <cellStyle name="Total 38 2 12 3" xfId="39387" xr:uid="{00000000-0005-0000-0000-0000DB990000}"/>
    <cellStyle name="Total 38 2 12 4" xfId="39388" xr:uid="{00000000-0005-0000-0000-0000DC990000}"/>
    <cellStyle name="Total 38 2 13" xfId="39389" xr:uid="{00000000-0005-0000-0000-0000DD990000}"/>
    <cellStyle name="Total 38 2 13 2" xfId="39390" xr:uid="{00000000-0005-0000-0000-0000DE990000}"/>
    <cellStyle name="Total 38 2 13 2 2" xfId="39391" xr:uid="{00000000-0005-0000-0000-0000DF990000}"/>
    <cellStyle name="Total 38 2 13 2 3" xfId="39392" xr:uid="{00000000-0005-0000-0000-0000E0990000}"/>
    <cellStyle name="Total 38 2 13 3" xfId="39393" xr:uid="{00000000-0005-0000-0000-0000E1990000}"/>
    <cellStyle name="Total 38 2 13 4" xfId="39394" xr:uid="{00000000-0005-0000-0000-0000E2990000}"/>
    <cellStyle name="Total 38 2 14" xfId="39395" xr:uid="{00000000-0005-0000-0000-0000E3990000}"/>
    <cellStyle name="Total 38 2 14 2" xfId="39396" xr:uid="{00000000-0005-0000-0000-0000E4990000}"/>
    <cellStyle name="Total 38 2 14 2 2" xfId="39397" xr:uid="{00000000-0005-0000-0000-0000E5990000}"/>
    <cellStyle name="Total 38 2 14 2 3" xfId="39398" xr:uid="{00000000-0005-0000-0000-0000E6990000}"/>
    <cellStyle name="Total 38 2 14 3" xfId="39399" xr:uid="{00000000-0005-0000-0000-0000E7990000}"/>
    <cellStyle name="Total 38 2 14 4" xfId="39400" xr:uid="{00000000-0005-0000-0000-0000E8990000}"/>
    <cellStyle name="Total 38 2 15" xfId="39401" xr:uid="{00000000-0005-0000-0000-0000E9990000}"/>
    <cellStyle name="Total 38 2 15 2" xfId="39402" xr:uid="{00000000-0005-0000-0000-0000EA990000}"/>
    <cellStyle name="Total 38 2 15 2 2" xfId="39403" xr:uid="{00000000-0005-0000-0000-0000EB990000}"/>
    <cellStyle name="Total 38 2 15 2 3" xfId="39404" xr:uid="{00000000-0005-0000-0000-0000EC990000}"/>
    <cellStyle name="Total 38 2 15 3" xfId="39405" xr:uid="{00000000-0005-0000-0000-0000ED990000}"/>
    <cellStyle name="Total 38 2 15 4" xfId="39406" xr:uid="{00000000-0005-0000-0000-0000EE990000}"/>
    <cellStyle name="Total 38 2 16" xfId="39407" xr:uid="{00000000-0005-0000-0000-0000EF990000}"/>
    <cellStyle name="Total 38 2 16 2" xfId="39408" xr:uid="{00000000-0005-0000-0000-0000F0990000}"/>
    <cellStyle name="Total 38 2 16 2 2" xfId="39409" xr:uid="{00000000-0005-0000-0000-0000F1990000}"/>
    <cellStyle name="Total 38 2 16 2 3" xfId="39410" xr:uid="{00000000-0005-0000-0000-0000F2990000}"/>
    <cellStyle name="Total 38 2 16 3" xfId="39411" xr:uid="{00000000-0005-0000-0000-0000F3990000}"/>
    <cellStyle name="Total 38 2 16 4" xfId="39412" xr:uid="{00000000-0005-0000-0000-0000F4990000}"/>
    <cellStyle name="Total 38 2 17" xfId="39413" xr:uid="{00000000-0005-0000-0000-0000F5990000}"/>
    <cellStyle name="Total 38 2 17 2" xfId="39414" xr:uid="{00000000-0005-0000-0000-0000F6990000}"/>
    <cellStyle name="Total 38 2 17 2 2" xfId="39415" xr:uid="{00000000-0005-0000-0000-0000F7990000}"/>
    <cellStyle name="Total 38 2 17 2 3" xfId="39416" xr:uid="{00000000-0005-0000-0000-0000F8990000}"/>
    <cellStyle name="Total 38 2 17 3" xfId="39417" xr:uid="{00000000-0005-0000-0000-0000F9990000}"/>
    <cellStyle name="Total 38 2 17 4" xfId="39418" xr:uid="{00000000-0005-0000-0000-0000FA990000}"/>
    <cellStyle name="Total 38 2 18" xfId="39419" xr:uid="{00000000-0005-0000-0000-0000FB990000}"/>
    <cellStyle name="Total 38 2 18 2" xfId="39420" xr:uid="{00000000-0005-0000-0000-0000FC990000}"/>
    <cellStyle name="Total 38 2 18 3" xfId="39421" xr:uid="{00000000-0005-0000-0000-0000FD990000}"/>
    <cellStyle name="Total 38 2 18 4" xfId="39422" xr:uid="{00000000-0005-0000-0000-0000FE990000}"/>
    <cellStyle name="Total 38 2 19" xfId="39423" xr:uid="{00000000-0005-0000-0000-0000FF990000}"/>
    <cellStyle name="Total 38 2 2" xfId="39424" xr:uid="{00000000-0005-0000-0000-0000009A0000}"/>
    <cellStyle name="Total 38 2 2 2" xfId="39425" xr:uid="{00000000-0005-0000-0000-0000019A0000}"/>
    <cellStyle name="Total 38 2 2 2 2" xfId="39426" xr:uid="{00000000-0005-0000-0000-0000029A0000}"/>
    <cellStyle name="Total 38 2 2 2 3" xfId="39427" xr:uid="{00000000-0005-0000-0000-0000039A0000}"/>
    <cellStyle name="Total 38 2 2 3" xfId="39428" xr:uid="{00000000-0005-0000-0000-0000049A0000}"/>
    <cellStyle name="Total 38 2 2 4" xfId="39429" xr:uid="{00000000-0005-0000-0000-0000059A0000}"/>
    <cellStyle name="Total 38 2 20" xfId="39430" xr:uid="{00000000-0005-0000-0000-0000069A0000}"/>
    <cellStyle name="Total 38 2 21" xfId="39431" xr:uid="{00000000-0005-0000-0000-0000079A0000}"/>
    <cellStyle name="Total 38 2 3" xfId="39432" xr:uid="{00000000-0005-0000-0000-0000089A0000}"/>
    <cellStyle name="Total 38 2 3 2" xfId="39433" xr:uid="{00000000-0005-0000-0000-0000099A0000}"/>
    <cellStyle name="Total 38 2 3 2 2" xfId="39434" xr:uid="{00000000-0005-0000-0000-00000A9A0000}"/>
    <cellStyle name="Total 38 2 3 2 3" xfId="39435" xr:uid="{00000000-0005-0000-0000-00000B9A0000}"/>
    <cellStyle name="Total 38 2 3 3" xfId="39436" xr:uid="{00000000-0005-0000-0000-00000C9A0000}"/>
    <cellStyle name="Total 38 2 3 4" xfId="39437" xr:uid="{00000000-0005-0000-0000-00000D9A0000}"/>
    <cellStyle name="Total 38 2 4" xfId="39438" xr:uid="{00000000-0005-0000-0000-00000E9A0000}"/>
    <cellStyle name="Total 38 2 4 2" xfId="39439" xr:uid="{00000000-0005-0000-0000-00000F9A0000}"/>
    <cellStyle name="Total 38 2 4 2 2" xfId="39440" xr:uid="{00000000-0005-0000-0000-0000109A0000}"/>
    <cellStyle name="Total 38 2 4 2 3" xfId="39441" xr:uid="{00000000-0005-0000-0000-0000119A0000}"/>
    <cellStyle name="Total 38 2 4 3" xfId="39442" xr:uid="{00000000-0005-0000-0000-0000129A0000}"/>
    <cellStyle name="Total 38 2 4 4" xfId="39443" xr:uid="{00000000-0005-0000-0000-0000139A0000}"/>
    <cellStyle name="Total 38 2 5" xfId="39444" xr:uid="{00000000-0005-0000-0000-0000149A0000}"/>
    <cellStyle name="Total 38 2 5 2" xfId="39445" xr:uid="{00000000-0005-0000-0000-0000159A0000}"/>
    <cellStyle name="Total 38 2 5 2 2" xfId="39446" xr:uid="{00000000-0005-0000-0000-0000169A0000}"/>
    <cellStyle name="Total 38 2 5 2 3" xfId="39447" xr:uid="{00000000-0005-0000-0000-0000179A0000}"/>
    <cellStyle name="Total 38 2 5 3" xfId="39448" xr:uid="{00000000-0005-0000-0000-0000189A0000}"/>
    <cellStyle name="Total 38 2 5 4" xfId="39449" xr:uid="{00000000-0005-0000-0000-0000199A0000}"/>
    <cellStyle name="Total 38 2 6" xfId="39450" xr:uid="{00000000-0005-0000-0000-00001A9A0000}"/>
    <cellStyle name="Total 38 2 6 2" xfId="39451" xr:uid="{00000000-0005-0000-0000-00001B9A0000}"/>
    <cellStyle name="Total 38 2 6 2 2" xfId="39452" xr:uid="{00000000-0005-0000-0000-00001C9A0000}"/>
    <cellStyle name="Total 38 2 6 2 3" xfId="39453" xr:uid="{00000000-0005-0000-0000-00001D9A0000}"/>
    <cellStyle name="Total 38 2 6 3" xfId="39454" xr:uid="{00000000-0005-0000-0000-00001E9A0000}"/>
    <cellStyle name="Total 38 2 6 4" xfId="39455" xr:uid="{00000000-0005-0000-0000-00001F9A0000}"/>
    <cellStyle name="Total 38 2 7" xfId="39456" xr:uid="{00000000-0005-0000-0000-0000209A0000}"/>
    <cellStyle name="Total 38 2 7 2" xfId="39457" xr:uid="{00000000-0005-0000-0000-0000219A0000}"/>
    <cellStyle name="Total 38 2 7 2 2" xfId="39458" xr:uid="{00000000-0005-0000-0000-0000229A0000}"/>
    <cellStyle name="Total 38 2 7 2 3" xfId="39459" xr:uid="{00000000-0005-0000-0000-0000239A0000}"/>
    <cellStyle name="Total 38 2 7 3" xfId="39460" xr:uid="{00000000-0005-0000-0000-0000249A0000}"/>
    <cellStyle name="Total 38 2 7 4" xfId="39461" xr:uid="{00000000-0005-0000-0000-0000259A0000}"/>
    <cellStyle name="Total 38 2 8" xfId="39462" xr:uid="{00000000-0005-0000-0000-0000269A0000}"/>
    <cellStyle name="Total 38 2 8 2" xfId="39463" xr:uid="{00000000-0005-0000-0000-0000279A0000}"/>
    <cellStyle name="Total 38 2 8 2 2" xfId="39464" xr:uid="{00000000-0005-0000-0000-0000289A0000}"/>
    <cellStyle name="Total 38 2 8 2 3" xfId="39465" xr:uid="{00000000-0005-0000-0000-0000299A0000}"/>
    <cellStyle name="Total 38 2 8 3" xfId="39466" xr:uid="{00000000-0005-0000-0000-00002A9A0000}"/>
    <cellStyle name="Total 38 2 8 4" xfId="39467" xr:uid="{00000000-0005-0000-0000-00002B9A0000}"/>
    <cellStyle name="Total 38 2 9" xfId="39468" xr:uid="{00000000-0005-0000-0000-00002C9A0000}"/>
    <cellStyle name="Total 38 2 9 2" xfId="39469" xr:uid="{00000000-0005-0000-0000-00002D9A0000}"/>
    <cellStyle name="Total 38 2 9 2 2" xfId="39470" xr:uid="{00000000-0005-0000-0000-00002E9A0000}"/>
    <cellStyle name="Total 38 2 9 2 3" xfId="39471" xr:uid="{00000000-0005-0000-0000-00002F9A0000}"/>
    <cellStyle name="Total 38 2 9 3" xfId="39472" xr:uid="{00000000-0005-0000-0000-0000309A0000}"/>
    <cellStyle name="Total 38 2 9 4" xfId="39473" xr:uid="{00000000-0005-0000-0000-0000319A0000}"/>
    <cellStyle name="Total 38 3" xfId="39474" xr:uid="{00000000-0005-0000-0000-0000329A0000}"/>
    <cellStyle name="Total 38 3 2" xfId="39475" xr:uid="{00000000-0005-0000-0000-0000339A0000}"/>
    <cellStyle name="Total 38 3 2 2" xfId="39476" xr:uid="{00000000-0005-0000-0000-0000349A0000}"/>
    <cellStyle name="Total 38 3 2 3" xfId="39477" xr:uid="{00000000-0005-0000-0000-0000359A0000}"/>
    <cellStyle name="Total 38 3 3" xfId="39478" xr:uid="{00000000-0005-0000-0000-0000369A0000}"/>
    <cellStyle name="Total 38 3 4" xfId="39479" xr:uid="{00000000-0005-0000-0000-0000379A0000}"/>
    <cellStyle name="Total 38 4" xfId="39480" xr:uid="{00000000-0005-0000-0000-0000389A0000}"/>
    <cellStyle name="Total 38 5" xfId="39481" xr:uid="{00000000-0005-0000-0000-0000399A0000}"/>
    <cellStyle name="Total 39" xfId="39482" xr:uid="{00000000-0005-0000-0000-00003A9A0000}"/>
    <cellStyle name="Total 39 2" xfId="39483" xr:uid="{00000000-0005-0000-0000-00003B9A0000}"/>
    <cellStyle name="Total 39 2 10" xfId="39484" xr:uid="{00000000-0005-0000-0000-00003C9A0000}"/>
    <cellStyle name="Total 39 2 10 2" xfId="39485" xr:uid="{00000000-0005-0000-0000-00003D9A0000}"/>
    <cellStyle name="Total 39 2 10 2 2" xfId="39486" xr:uid="{00000000-0005-0000-0000-00003E9A0000}"/>
    <cellStyle name="Total 39 2 10 2 3" xfId="39487" xr:uid="{00000000-0005-0000-0000-00003F9A0000}"/>
    <cellStyle name="Total 39 2 10 3" xfId="39488" xr:uid="{00000000-0005-0000-0000-0000409A0000}"/>
    <cellStyle name="Total 39 2 10 4" xfId="39489" xr:uid="{00000000-0005-0000-0000-0000419A0000}"/>
    <cellStyle name="Total 39 2 11" xfId="39490" xr:uid="{00000000-0005-0000-0000-0000429A0000}"/>
    <cellStyle name="Total 39 2 11 2" xfId="39491" xr:uid="{00000000-0005-0000-0000-0000439A0000}"/>
    <cellStyle name="Total 39 2 11 2 2" xfId="39492" xr:uid="{00000000-0005-0000-0000-0000449A0000}"/>
    <cellStyle name="Total 39 2 11 2 3" xfId="39493" xr:uid="{00000000-0005-0000-0000-0000459A0000}"/>
    <cellStyle name="Total 39 2 11 3" xfId="39494" xr:uid="{00000000-0005-0000-0000-0000469A0000}"/>
    <cellStyle name="Total 39 2 11 4" xfId="39495" xr:uid="{00000000-0005-0000-0000-0000479A0000}"/>
    <cellStyle name="Total 39 2 12" xfId="39496" xr:uid="{00000000-0005-0000-0000-0000489A0000}"/>
    <cellStyle name="Total 39 2 12 2" xfId="39497" xr:uid="{00000000-0005-0000-0000-0000499A0000}"/>
    <cellStyle name="Total 39 2 12 2 2" xfId="39498" xr:uid="{00000000-0005-0000-0000-00004A9A0000}"/>
    <cellStyle name="Total 39 2 12 2 3" xfId="39499" xr:uid="{00000000-0005-0000-0000-00004B9A0000}"/>
    <cellStyle name="Total 39 2 12 3" xfId="39500" xr:uid="{00000000-0005-0000-0000-00004C9A0000}"/>
    <cellStyle name="Total 39 2 12 4" xfId="39501" xr:uid="{00000000-0005-0000-0000-00004D9A0000}"/>
    <cellStyle name="Total 39 2 13" xfId="39502" xr:uid="{00000000-0005-0000-0000-00004E9A0000}"/>
    <cellStyle name="Total 39 2 13 2" xfId="39503" xr:uid="{00000000-0005-0000-0000-00004F9A0000}"/>
    <cellStyle name="Total 39 2 13 2 2" xfId="39504" xr:uid="{00000000-0005-0000-0000-0000509A0000}"/>
    <cellStyle name="Total 39 2 13 2 3" xfId="39505" xr:uid="{00000000-0005-0000-0000-0000519A0000}"/>
    <cellStyle name="Total 39 2 13 3" xfId="39506" xr:uid="{00000000-0005-0000-0000-0000529A0000}"/>
    <cellStyle name="Total 39 2 13 4" xfId="39507" xr:uid="{00000000-0005-0000-0000-0000539A0000}"/>
    <cellStyle name="Total 39 2 14" xfId="39508" xr:uid="{00000000-0005-0000-0000-0000549A0000}"/>
    <cellStyle name="Total 39 2 14 2" xfId="39509" xr:uid="{00000000-0005-0000-0000-0000559A0000}"/>
    <cellStyle name="Total 39 2 14 2 2" xfId="39510" xr:uid="{00000000-0005-0000-0000-0000569A0000}"/>
    <cellStyle name="Total 39 2 14 2 3" xfId="39511" xr:uid="{00000000-0005-0000-0000-0000579A0000}"/>
    <cellStyle name="Total 39 2 14 3" xfId="39512" xr:uid="{00000000-0005-0000-0000-0000589A0000}"/>
    <cellStyle name="Total 39 2 14 4" xfId="39513" xr:uid="{00000000-0005-0000-0000-0000599A0000}"/>
    <cellStyle name="Total 39 2 15" xfId="39514" xr:uid="{00000000-0005-0000-0000-00005A9A0000}"/>
    <cellStyle name="Total 39 2 15 2" xfId="39515" xr:uid="{00000000-0005-0000-0000-00005B9A0000}"/>
    <cellStyle name="Total 39 2 15 2 2" xfId="39516" xr:uid="{00000000-0005-0000-0000-00005C9A0000}"/>
    <cellStyle name="Total 39 2 15 2 3" xfId="39517" xr:uid="{00000000-0005-0000-0000-00005D9A0000}"/>
    <cellStyle name="Total 39 2 15 3" xfId="39518" xr:uid="{00000000-0005-0000-0000-00005E9A0000}"/>
    <cellStyle name="Total 39 2 15 4" xfId="39519" xr:uid="{00000000-0005-0000-0000-00005F9A0000}"/>
    <cellStyle name="Total 39 2 16" xfId="39520" xr:uid="{00000000-0005-0000-0000-0000609A0000}"/>
    <cellStyle name="Total 39 2 16 2" xfId="39521" xr:uid="{00000000-0005-0000-0000-0000619A0000}"/>
    <cellStyle name="Total 39 2 16 2 2" xfId="39522" xr:uid="{00000000-0005-0000-0000-0000629A0000}"/>
    <cellStyle name="Total 39 2 16 2 3" xfId="39523" xr:uid="{00000000-0005-0000-0000-0000639A0000}"/>
    <cellStyle name="Total 39 2 16 3" xfId="39524" xr:uid="{00000000-0005-0000-0000-0000649A0000}"/>
    <cellStyle name="Total 39 2 16 4" xfId="39525" xr:uid="{00000000-0005-0000-0000-0000659A0000}"/>
    <cellStyle name="Total 39 2 17" xfId="39526" xr:uid="{00000000-0005-0000-0000-0000669A0000}"/>
    <cellStyle name="Total 39 2 17 2" xfId="39527" xr:uid="{00000000-0005-0000-0000-0000679A0000}"/>
    <cellStyle name="Total 39 2 17 2 2" xfId="39528" xr:uid="{00000000-0005-0000-0000-0000689A0000}"/>
    <cellStyle name="Total 39 2 17 2 3" xfId="39529" xr:uid="{00000000-0005-0000-0000-0000699A0000}"/>
    <cellStyle name="Total 39 2 17 3" xfId="39530" xr:uid="{00000000-0005-0000-0000-00006A9A0000}"/>
    <cellStyle name="Total 39 2 17 4" xfId="39531" xr:uid="{00000000-0005-0000-0000-00006B9A0000}"/>
    <cellStyle name="Total 39 2 18" xfId="39532" xr:uid="{00000000-0005-0000-0000-00006C9A0000}"/>
    <cellStyle name="Total 39 2 18 2" xfId="39533" xr:uid="{00000000-0005-0000-0000-00006D9A0000}"/>
    <cellStyle name="Total 39 2 18 3" xfId="39534" xr:uid="{00000000-0005-0000-0000-00006E9A0000}"/>
    <cellStyle name="Total 39 2 18 4" xfId="39535" xr:uid="{00000000-0005-0000-0000-00006F9A0000}"/>
    <cellStyle name="Total 39 2 19" xfId="39536" xr:uid="{00000000-0005-0000-0000-0000709A0000}"/>
    <cellStyle name="Total 39 2 2" xfId="39537" xr:uid="{00000000-0005-0000-0000-0000719A0000}"/>
    <cellStyle name="Total 39 2 2 2" xfId="39538" xr:uid="{00000000-0005-0000-0000-0000729A0000}"/>
    <cellStyle name="Total 39 2 2 2 2" xfId="39539" xr:uid="{00000000-0005-0000-0000-0000739A0000}"/>
    <cellStyle name="Total 39 2 2 2 3" xfId="39540" xr:uid="{00000000-0005-0000-0000-0000749A0000}"/>
    <cellStyle name="Total 39 2 2 3" xfId="39541" xr:uid="{00000000-0005-0000-0000-0000759A0000}"/>
    <cellStyle name="Total 39 2 2 4" xfId="39542" xr:uid="{00000000-0005-0000-0000-0000769A0000}"/>
    <cellStyle name="Total 39 2 20" xfId="39543" xr:uid="{00000000-0005-0000-0000-0000779A0000}"/>
    <cellStyle name="Total 39 2 21" xfId="39544" xr:uid="{00000000-0005-0000-0000-0000789A0000}"/>
    <cellStyle name="Total 39 2 3" xfId="39545" xr:uid="{00000000-0005-0000-0000-0000799A0000}"/>
    <cellStyle name="Total 39 2 3 2" xfId="39546" xr:uid="{00000000-0005-0000-0000-00007A9A0000}"/>
    <cellStyle name="Total 39 2 3 2 2" xfId="39547" xr:uid="{00000000-0005-0000-0000-00007B9A0000}"/>
    <cellStyle name="Total 39 2 3 2 3" xfId="39548" xr:uid="{00000000-0005-0000-0000-00007C9A0000}"/>
    <cellStyle name="Total 39 2 3 3" xfId="39549" xr:uid="{00000000-0005-0000-0000-00007D9A0000}"/>
    <cellStyle name="Total 39 2 3 4" xfId="39550" xr:uid="{00000000-0005-0000-0000-00007E9A0000}"/>
    <cellStyle name="Total 39 2 4" xfId="39551" xr:uid="{00000000-0005-0000-0000-00007F9A0000}"/>
    <cellStyle name="Total 39 2 4 2" xfId="39552" xr:uid="{00000000-0005-0000-0000-0000809A0000}"/>
    <cellStyle name="Total 39 2 4 2 2" xfId="39553" xr:uid="{00000000-0005-0000-0000-0000819A0000}"/>
    <cellStyle name="Total 39 2 4 2 3" xfId="39554" xr:uid="{00000000-0005-0000-0000-0000829A0000}"/>
    <cellStyle name="Total 39 2 4 3" xfId="39555" xr:uid="{00000000-0005-0000-0000-0000839A0000}"/>
    <cellStyle name="Total 39 2 4 4" xfId="39556" xr:uid="{00000000-0005-0000-0000-0000849A0000}"/>
    <cellStyle name="Total 39 2 5" xfId="39557" xr:uid="{00000000-0005-0000-0000-0000859A0000}"/>
    <cellStyle name="Total 39 2 5 2" xfId="39558" xr:uid="{00000000-0005-0000-0000-0000869A0000}"/>
    <cellStyle name="Total 39 2 5 2 2" xfId="39559" xr:uid="{00000000-0005-0000-0000-0000879A0000}"/>
    <cellStyle name="Total 39 2 5 2 3" xfId="39560" xr:uid="{00000000-0005-0000-0000-0000889A0000}"/>
    <cellStyle name="Total 39 2 5 3" xfId="39561" xr:uid="{00000000-0005-0000-0000-0000899A0000}"/>
    <cellStyle name="Total 39 2 5 4" xfId="39562" xr:uid="{00000000-0005-0000-0000-00008A9A0000}"/>
    <cellStyle name="Total 39 2 6" xfId="39563" xr:uid="{00000000-0005-0000-0000-00008B9A0000}"/>
    <cellStyle name="Total 39 2 6 2" xfId="39564" xr:uid="{00000000-0005-0000-0000-00008C9A0000}"/>
    <cellStyle name="Total 39 2 6 2 2" xfId="39565" xr:uid="{00000000-0005-0000-0000-00008D9A0000}"/>
    <cellStyle name="Total 39 2 6 2 3" xfId="39566" xr:uid="{00000000-0005-0000-0000-00008E9A0000}"/>
    <cellStyle name="Total 39 2 6 3" xfId="39567" xr:uid="{00000000-0005-0000-0000-00008F9A0000}"/>
    <cellStyle name="Total 39 2 6 4" xfId="39568" xr:uid="{00000000-0005-0000-0000-0000909A0000}"/>
    <cellStyle name="Total 39 2 7" xfId="39569" xr:uid="{00000000-0005-0000-0000-0000919A0000}"/>
    <cellStyle name="Total 39 2 7 2" xfId="39570" xr:uid="{00000000-0005-0000-0000-0000929A0000}"/>
    <cellStyle name="Total 39 2 7 2 2" xfId="39571" xr:uid="{00000000-0005-0000-0000-0000939A0000}"/>
    <cellStyle name="Total 39 2 7 2 3" xfId="39572" xr:uid="{00000000-0005-0000-0000-0000949A0000}"/>
    <cellStyle name="Total 39 2 7 3" xfId="39573" xr:uid="{00000000-0005-0000-0000-0000959A0000}"/>
    <cellStyle name="Total 39 2 7 4" xfId="39574" xr:uid="{00000000-0005-0000-0000-0000969A0000}"/>
    <cellStyle name="Total 39 2 8" xfId="39575" xr:uid="{00000000-0005-0000-0000-0000979A0000}"/>
    <cellStyle name="Total 39 2 8 2" xfId="39576" xr:uid="{00000000-0005-0000-0000-0000989A0000}"/>
    <cellStyle name="Total 39 2 8 2 2" xfId="39577" xr:uid="{00000000-0005-0000-0000-0000999A0000}"/>
    <cellStyle name="Total 39 2 8 2 3" xfId="39578" xr:uid="{00000000-0005-0000-0000-00009A9A0000}"/>
    <cellStyle name="Total 39 2 8 3" xfId="39579" xr:uid="{00000000-0005-0000-0000-00009B9A0000}"/>
    <cellStyle name="Total 39 2 8 4" xfId="39580" xr:uid="{00000000-0005-0000-0000-00009C9A0000}"/>
    <cellStyle name="Total 39 2 9" xfId="39581" xr:uid="{00000000-0005-0000-0000-00009D9A0000}"/>
    <cellStyle name="Total 39 2 9 2" xfId="39582" xr:uid="{00000000-0005-0000-0000-00009E9A0000}"/>
    <cellStyle name="Total 39 2 9 2 2" xfId="39583" xr:uid="{00000000-0005-0000-0000-00009F9A0000}"/>
    <cellStyle name="Total 39 2 9 2 3" xfId="39584" xr:uid="{00000000-0005-0000-0000-0000A09A0000}"/>
    <cellStyle name="Total 39 2 9 3" xfId="39585" xr:uid="{00000000-0005-0000-0000-0000A19A0000}"/>
    <cellStyle name="Total 39 2 9 4" xfId="39586" xr:uid="{00000000-0005-0000-0000-0000A29A0000}"/>
    <cellStyle name="Total 39 3" xfId="39587" xr:uid="{00000000-0005-0000-0000-0000A39A0000}"/>
    <cellStyle name="Total 39 3 2" xfId="39588" xr:uid="{00000000-0005-0000-0000-0000A49A0000}"/>
    <cellStyle name="Total 39 3 2 2" xfId="39589" xr:uid="{00000000-0005-0000-0000-0000A59A0000}"/>
    <cellStyle name="Total 39 3 2 3" xfId="39590" xr:uid="{00000000-0005-0000-0000-0000A69A0000}"/>
    <cellStyle name="Total 39 3 3" xfId="39591" xr:uid="{00000000-0005-0000-0000-0000A79A0000}"/>
    <cellStyle name="Total 39 3 4" xfId="39592" xr:uid="{00000000-0005-0000-0000-0000A89A0000}"/>
    <cellStyle name="Total 39 4" xfId="39593" xr:uid="{00000000-0005-0000-0000-0000A99A0000}"/>
    <cellStyle name="Total 39 5" xfId="39594" xr:uid="{00000000-0005-0000-0000-0000AA9A0000}"/>
    <cellStyle name="Total 4" xfId="39595" xr:uid="{00000000-0005-0000-0000-0000AB9A0000}"/>
    <cellStyle name="Total 4 2" xfId="39596" xr:uid="{00000000-0005-0000-0000-0000AC9A0000}"/>
    <cellStyle name="Total 4 2 10" xfId="39597" xr:uid="{00000000-0005-0000-0000-0000AD9A0000}"/>
    <cellStyle name="Total 4 2 10 2" xfId="39598" xr:uid="{00000000-0005-0000-0000-0000AE9A0000}"/>
    <cellStyle name="Total 4 2 10 2 2" xfId="39599" xr:uid="{00000000-0005-0000-0000-0000AF9A0000}"/>
    <cellStyle name="Total 4 2 10 2 3" xfId="39600" xr:uid="{00000000-0005-0000-0000-0000B09A0000}"/>
    <cellStyle name="Total 4 2 10 3" xfId="39601" xr:uid="{00000000-0005-0000-0000-0000B19A0000}"/>
    <cellStyle name="Total 4 2 10 4" xfId="39602" xr:uid="{00000000-0005-0000-0000-0000B29A0000}"/>
    <cellStyle name="Total 4 2 11" xfId="39603" xr:uid="{00000000-0005-0000-0000-0000B39A0000}"/>
    <cellStyle name="Total 4 2 11 2" xfId="39604" xr:uid="{00000000-0005-0000-0000-0000B49A0000}"/>
    <cellStyle name="Total 4 2 11 2 2" xfId="39605" xr:uid="{00000000-0005-0000-0000-0000B59A0000}"/>
    <cellStyle name="Total 4 2 11 2 3" xfId="39606" xr:uid="{00000000-0005-0000-0000-0000B69A0000}"/>
    <cellStyle name="Total 4 2 11 3" xfId="39607" xr:uid="{00000000-0005-0000-0000-0000B79A0000}"/>
    <cellStyle name="Total 4 2 11 4" xfId="39608" xr:uid="{00000000-0005-0000-0000-0000B89A0000}"/>
    <cellStyle name="Total 4 2 12" xfId="39609" xr:uid="{00000000-0005-0000-0000-0000B99A0000}"/>
    <cellStyle name="Total 4 2 12 2" xfId="39610" xr:uid="{00000000-0005-0000-0000-0000BA9A0000}"/>
    <cellStyle name="Total 4 2 12 2 2" xfId="39611" xr:uid="{00000000-0005-0000-0000-0000BB9A0000}"/>
    <cellStyle name="Total 4 2 12 2 3" xfId="39612" xr:uid="{00000000-0005-0000-0000-0000BC9A0000}"/>
    <cellStyle name="Total 4 2 12 3" xfId="39613" xr:uid="{00000000-0005-0000-0000-0000BD9A0000}"/>
    <cellStyle name="Total 4 2 12 4" xfId="39614" xr:uid="{00000000-0005-0000-0000-0000BE9A0000}"/>
    <cellStyle name="Total 4 2 13" xfId="39615" xr:uid="{00000000-0005-0000-0000-0000BF9A0000}"/>
    <cellStyle name="Total 4 2 13 2" xfId="39616" xr:uid="{00000000-0005-0000-0000-0000C09A0000}"/>
    <cellStyle name="Total 4 2 13 2 2" xfId="39617" xr:uid="{00000000-0005-0000-0000-0000C19A0000}"/>
    <cellStyle name="Total 4 2 13 2 3" xfId="39618" xr:uid="{00000000-0005-0000-0000-0000C29A0000}"/>
    <cellStyle name="Total 4 2 13 3" xfId="39619" xr:uid="{00000000-0005-0000-0000-0000C39A0000}"/>
    <cellStyle name="Total 4 2 13 4" xfId="39620" xr:uid="{00000000-0005-0000-0000-0000C49A0000}"/>
    <cellStyle name="Total 4 2 14" xfId="39621" xr:uid="{00000000-0005-0000-0000-0000C59A0000}"/>
    <cellStyle name="Total 4 2 14 2" xfId="39622" xr:uid="{00000000-0005-0000-0000-0000C69A0000}"/>
    <cellStyle name="Total 4 2 14 2 2" xfId="39623" xr:uid="{00000000-0005-0000-0000-0000C79A0000}"/>
    <cellStyle name="Total 4 2 14 2 3" xfId="39624" xr:uid="{00000000-0005-0000-0000-0000C89A0000}"/>
    <cellStyle name="Total 4 2 14 3" xfId="39625" xr:uid="{00000000-0005-0000-0000-0000C99A0000}"/>
    <cellStyle name="Total 4 2 14 4" xfId="39626" xr:uid="{00000000-0005-0000-0000-0000CA9A0000}"/>
    <cellStyle name="Total 4 2 15" xfId="39627" xr:uid="{00000000-0005-0000-0000-0000CB9A0000}"/>
    <cellStyle name="Total 4 2 15 2" xfId="39628" xr:uid="{00000000-0005-0000-0000-0000CC9A0000}"/>
    <cellStyle name="Total 4 2 15 2 2" xfId="39629" xr:uid="{00000000-0005-0000-0000-0000CD9A0000}"/>
    <cellStyle name="Total 4 2 15 2 3" xfId="39630" xr:uid="{00000000-0005-0000-0000-0000CE9A0000}"/>
    <cellStyle name="Total 4 2 15 3" xfId="39631" xr:uid="{00000000-0005-0000-0000-0000CF9A0000}"/>
    <cellStyle name="Total 4 2 15 4" xfId="39632" xr:uid="{00000000-0005-0000-0000-0000D09A0000}"/>
    <cellStyle name="Total 4 2 16" xfId="39633" xr:uid="{00000000-0005-0000-0000-0000D19A0000}"/>
    <cellStyle name="Total 4 2 16 2" xfId="39634" xr:uid="{00000000-0005-0000-0000-0000D29A0000}"/>
    <cellStyle name="Total 4 2 16 2 2" xfId="39635" xr:uid="{00000000-0005-0000-0000-0000D39A0000}"/>
    <cellStyle name="Total 4 2 16 2 3" xfId="39636" xr:uid="{00000000-0005-0000-0000-0000D49A0000}"/>
    <cellStyle name="Total 4 2 16 3" xfId="39637" xr:uid="{00000000-0005-0000-0000-0000D59A0000}"/>
    <cellStyle name="Total 4 2 16 4" xfId="39638" xr:uid="{00000000-0005-0000-0000-0000D69A0000}"/>
    <cellStyle name="Total 4 2 17" xfId="39639" xr:uid="{00000000-0005-0000-0000-0000D79A0000}"/>
    <cellStyle name="Total 4 2 17 2" xfId="39640" xr:uid="{00000000-0005-0000-0000-0000D89A0000}"/>
    <cellStyle name="Total 4 2 17 2 2" xfId="39641" xr:uid="{00000000-0005-0000-0000-0000D99A0000}"/>
    <cellStyle name="Total 4 2 17 2 3" xfId="39642" xr:uid="{00000000-0005-0000-0000-0000DA9A0000}"/>
    <cellStyle name="Total 4 2 17 3" xfId="39643" xr:uid="{00000000-0005-0000-0000-0000DB9A0000}"/>
    <cellStyle name="Total 4 2 17 4" xfId="39644" xr:uid="{00000000-0005-0000-0000-0000DC9A0000}"/>
    <cellStyle name="Total 4 2 18" xfId="39645" xr:uid="{00000000-0005-0000-0000-0000DD9A0000}"/>
    <cellStyle name="Total 4 2 18 2" xfId="39646" xr:uid="{00000000-0005-0000-0000-0000DE9A0000}"/>
    <cellStyle name="Total 4 2 18 3" xfId="39647" xr:uid="{00000000-0005-0000-0000-0000DF9A0000}"/>
    <cellStyle name="Total 4 2 18 4" xfId="39648" xr:uid="{00000000-0005-0000-0000-0000E09A0000}"/>
    <cellStyle name="Total 4 2 19" xfId="39649" xr:uid="{00000000-0005-0000-0000-0000E19A0000}"/>
    <cellStyle name="Total 4 2 2" xfId="39650" xr:uid="{00000000-0005-0000-0000-0000E29A0000}"/>
    <cellStyle name="Total 4 2 2 2" xfId="39651" xr:uid="{00000000-0005-0000-0000-0000E39A0000}"/>
    <cellStyle name="Total 4 2 2 2 2" xfId="39652" xr:uid="{00000000-0005-0000-0000-0000E49A0000}"/>
    <cellStyle name="Total 4 2 2 2 3" xfId="39653" xr:uid="{00000000-0005-0000-0000-0000E59A0000}"/>
    <cellStyle name="Total 4 2 2 3" xfId="39654" xr:uid="{00000000-0005-0000-0000-0000E69A0000}"/>
    <cellStyle name="Total 4 2 2 4" xfId="39655" xr:uid="{00000000-0005-0000-0000-0000E79A0000}"/>
    <cellStyle name="Total 4 2 20" xfId="39656" xr:uid="{00000000-0005-0000-0000-0000E89A0000}"/>
    <cellStyle name="Total 4 2 21" xfId="39657" xr:uid="{00000000-0005-0000-0000-0000E99A0000}"/>
    <cellStyle name="Total 4 2 3" xfId="39658" xr:uid="{00000000-0005-0000-0000-0000EA9A0000}"/>
    <cellStyle name="Total 4 2 3 2" xfId="39659" xr:uid="{00000000-0005-0000-0000-0000EB9A0000}"/>
    <cellStyle name="Total 4 2 3 2 2" xfId="39660" xr:uid="{00000000-0005-0000-0000-0000EC9A0000}"/>
    <cellStyle name="Total 4 2 3 2 3" xfId="39661" xr:uid="{00000000-0005-0000-0000-0000ED9A0000}"/>
    <cellStyle name="Total 4 2 3 3" xfId="39662" xr:uid="{00000000-0005-0000-0000-0000EE9A0000}"/>
    <cellStyle name="Total 4 2 3 4" xfId="39663" xr:uid="{00000000-0005-0000-0000-0000EF9A0000}"/>
    <cellStyle name="Total 4 2 4" xfId="39664" xr:uid="{00000000-0005-0000-0000-0000F09A0000}"/>
    <cellStyle name="Total 4 2 4 2" xfId="39665" xr:uid="{00000000-0005-0000-0000-0000F19A0000}"/>
    <cellStyle name="Total 4 2 4 2 2" xfId="39666" xr:uid="{00000000-0005-0000-0000-0000F29A0000}"/>
    <cellStyle name="Total 4 2 4 2 3" xfId="39667" xr:uid="{00000000-0005-0000-0000-0000F39A0000}"/>
    <cellStyle name="Total 4 2 4 3" xfId="39668" xr:uid="{00000000-0005-0000-0000-0000F49A0000}"/>
    <cellStyle name="Total 4 2 4 4" xfId="39669" xr:uid="{00000000-0005-0000-0000-0000F59A0000}"/>
    <cellStyle name="Total 4 2 5" xfId="39670" xr:uid="{00000000-0005-0000-0000-0000F69A0000}"/>
    <cellStyle name="Total 4 2 5 2" xfId="39671" xr:uid="{00000000-0005-0000-0000-0000F79A0000}"/>
    <cellStyle name="Total 4 2 5 2 2" xfId="39672" xr:uid="{00000000-0005-0000-0000-0000F89A0000}"/>
    <cellStyle name="Total 4 2 5 2 3" xfId="39673" xr:uid="{00000000-0005-0000-0000-0000F99A0000}"/>
    <cellStyle name="Total 4 2 5 3" xfId="39674" xr:uid="{00000000-0005-0000-0000-0000FA9A0000}"/>
    <cellStyle name="Total 4 2 5 4" xfId="39675" xr:uid="{00000000-0005-0000-0000-0000FB9A0000}"/>
    <cellStyle name="Total 4 2 6" xfId="39676" xr:uid="{00000000-0005-0000-0000-0000FC9A0000}"/>
    <cellStyle name="Total 4 2 6 2" xfId="39677" xr:uid="{00000000-0005-0000-0000-0000FD9A0000}"/>
    <cellStyle name="Total 4 2 6 2 2" xfId="39678" xr:uid="{00000000-0005-0000-0000-0000FE9A0000}"/>
    <cellStyle name="Total 4 2 6 2 3" xfId="39679" xr:uid="{00000000-0005-0000-0000-0000FF9A0000}"/>
    <cellStyle name="Total 4 2 6 3" xfId="39680" xr:uid="{00000000-0005-0000-0000-0000009B0000}"/>
    <cellStyle name="Total 4 2 6 4" xfId="39681" xr:uid="{00000000-0005-0000-0000-0000019B0000}"/>
    <cellStyle name="Total 4 2 7" xfId="39682" xr:uid="{00000000-0005-0000-0000-0000029B0000}"/>
    <cellStyle name="Total 4 2 7 2" xfId="39683" xr:uid="{00000000-0005-0000-0000-0000039B0000}"/>
    <cellStyle name="Total 4 2 7 2 2" xfId="39684" xr:uid="{00000000-0005-0000-0000-0000049B0000}"/>
    <cellStyle name="Total 4 2 7 2 3" xfId="39685" xr:uid="{00000000-0005-0000-0000-0000059B0000}"/>
    <cellStyle name="Total 4 2 7 3" xfId="39686" xr:uid="{00000000-0005-0000-0000-0000069B0000}"/>
    <cellStyle name="Total 4 2 7 4" xfId="39687" xr:uid="{00000000-0005-0000-0000-0000079B0000}"/>
    <cellStyle name="Total 4 2 8" xfId="39688" xr:uid="{00000000-0005-0000-0000-0000089B0000}"/>
    <cellStyle name="Total 4 2 8 2" xfId="39689" xr:uid="{00000000-0005-0000-0000-0000099B0000}"/>
    <cellStyle name="Total 4 2 8 2 2" xfId="39690" xr:uid="{00000000-0005-0000-0000-00000A9B0000}"/>
    <cellStyle name="Total 4 2 8 2 3" xfId="39691" xr:uid="{00000000-0005-0000-0000-00000B9B0000}"/>
    <cellStyle name="Total 4 2 8 3" xfId="39692" xr:uid="{00000000-0005-0000-0000-00000C9B0000}"/>
    <cellStyle name="Total 4 2 8 4" xfId="39693" xr:uid="{00000000-0005-0000-0000-00000D9B0000}"/>
    <cellStyle name="Total 4 2 9" xfId="39694" xr:uid="{00000000-0005-0000-0000-00000E9B0000}"/>
    <cellStyle name="Total 4 2 9 2" xfId="39695" xr:uid="{00000000-0005-0000-0000-00000F9B0000}"/>
    <cellStyle name="Total 4 2 9 2 2" xfId="39696" xr:uid="{00000000-0005-0000-0000-0000109B0000}"/>
    <cellStyle name="Total 4 2 9 2 3" xfId="39697" xr:uid="{00000000-0005-0000-0000-0000119B0000}"/>
    <cellStyle name="Total 4 2 9 3" xfId="39698" xr:uid="{00000000-0005-0000-0000-0000129B0000}"/>
    <cellStyle name="Total 4 2 9 4" xfId="39699" xr:uid="{00000000-0005-0000-0000-0000139B0000}"/>
    <cellStyle name="Total 4 3" xfId="39700" xr:uid="{00000000-0005-0000-0000-0000149B0000}"/>
    <cellStyle name="Total 4 3 2" xfId="39701" xr:uid="{00000000-0005-0000-0000-0000159B0000}"/>
    <cellStyle name="Total 4 3 2 2" xfId="39702" xr:uid="{00000000-0005-0000-0000-0000169B0000}"/>
    <cellStyle name="Total 4 3 2 3" xfId="39703" xr:uid="{00000000-0005-0000-0000-0000179B0000}"/>
    <cellStyle name="Total 4 3 3" xfId="39704" xr:uid="{00000000-0005-0000-0000-0000189B0000}"/>
    <cellStyle name="Total 4 3 4" xfId="39705" xr:uid="{00000000-0005-0000-0000-0000199B0000}"/>
    <cellStyle name="Total 4 4" xfId="39706" xr:uid="{00000000-0005-0000-0000-00001A9B0000}"/>
    <cellStyle name="Total 4 5" xfId="39707" xr:uid="{00000000-0005-0000-0000-00001B9B0000}"/>
    <cellStyle name="Total 40" xfId="39708" xr:uid="{00000000-0005-0000-0000-00001C9B0000}"/>
    <cellStyle name="Total 40 2" xfId="39709" xr:uid="{00000000-0005-0000-0000-00001D9B0000}"/>
    <cellStyle name="Total 40 2 10" xfId="39710" xr:uid="{00000000-0005-0000-0000-00001E9B0000}"/>
    <cellStyle name="Total 40 2 10 2" xfId="39711" xr:uid="{00000000-0005-0000-0000-00001F9B0000}"/>
    <cellStyle name="Total 40 2 10 2 2" xfId="39712" xr:uid="{00000000-0005-0000-0000-0000209B0000}"/>
    <cellStyle name="Total 40 2 10 2 3" xfId="39713" xr:uid="{00000000-0005-0000-0000-0000219B0000}"/>
    <cellStyle name="Total 40 2 10 3" xfId="39714" xr:uid="{00000000-0005-0000-0000-0000229B0000}"/>
    <cellStyle name="Total 40 2 10 4" xfId="39715" xr:uid="{00000000-0005-0000-0000-0000239B0000}"/>
    <cellStyle name="Total 40 2 11" xfId="39716" xr:uid="{00000000-0005-0000-0000-0000249B0000}"/>
    <cellStyle name="Total 40 2 11 2" xfId="39717" xr:uid="{00000000-0005-0000-0000-0000259B0000}"/>
    <cellStyle name="Total 40 2 11 2 2" xfId="39718" xr:uid="{00000000-0005-0000-0000-0000269B0000}"/>
    <cellStyle name="Total 40 2 11 2 3" xfId="39719" xr:uid="{00000000-0005-0000-0000-0000279B0000}"/>
    <cellStyle name="Total 40 2 11 3" xfId="39720" xr:uid="{00000000-0005-0000-0000-0000289B0000}"/>
    <cellStyle name="Total 40 2 11 4" xfId="39721" xr:uid="{00000000-0005-0000-0000-0000299B0000}"/>
    <cellStyle name="Total 40 2 12" xfId="39722" xr:uid="{00000000-0005-0000-0000-00002A9B0000}"/>
    <cellStyle name="Total 40 2 12 2" xfId="39723" xr:uid="{00000000-0005-0000-0000-00002B9B0000}"/>
    <cellStyle name="Total 40 2 12 2 2" xfId="39724" xr:uid="{00000000-0005-0000-0000-00002C9B0000}"/>
    <cellStyle name="Total 40 2 12 2 3" xfId="39725" xr:uid="{00000000-0005-0000-0000-00002D9B0000}"/>
    <cellStyle name="Total 40 2 12 3" xfId="39726" xr:uid="{00000000-0005-0000-0000-00002E9B0000}"/>
    <cellStyle name="Total 40 2 12 4" xfId="39727" xr:uid="{00000000-0005-0000-0000-00002F9B0000}"/>
    <cellStyle name="Total 40 2 13" xfId="39728" xr:uid="{00000000-0005-0000-0000-0000309B0000}"/>
    <cellStyle name="Total 40 2 13 2" xfId="39729" xr:uid="{00000000-0005-0000-0000-0000319B0000}"/>
    <cellStyle name="Total 40 2 13 2 2" xfId="39730" xr:uid="{00000000-0005-0000-0000-0000329B0000}"/>
    <cellStyle name="Total 40 2 13 2 3" xfId="39731" xr:uid="{00000000-0005-0000-0000-0000339B0000}"/>
    <cellStyle name="Total 40 2 13 3" xfId="39732" xr:uid="{00000000-0005-0000-0000-0000349B0000}"/>
    <cellStyle name="Total 40 2 13 4" xfId="39733" xr:uid="{00000000-0005-0000-0000-0000359B0000}"/>
    <cellStyle name="Total 40 2 14" xfId="39734" xr:uid="{00000000-0005-0000-0000-0000369B0000}"/>
    <cellStyle name="Total 40 2 14 2" xfId="39735" xr:uid="{00000000-0005-0000-0000-0000379B0000}"/>
    <cellStyle name="Total 40 2 14 2 2" xfId="39736" xr:uid="{00000000-0005-0000-0000-0000389B0000}"/>
    <cellStyle name="Total 40 2 14 2 3" xfId="39737" xr:uid="{00000000-0005-0000-0000-0000399B0000}"/>
    <cellStyle name="Total 40 2 14 3" xfId="39738" xr:uid="{00000000-0005-0000-0000-00003A9B0000}"/>
    <cellStyle name="Total 40 2 14 4" xfId="39739" xr:uid="{00000000-0005-0000-0000-00003B9B0000}"/>
    <cellStyle name="Total 40 2 15" xfId="39740" xr:uid="{00000000-0005-0000-0000-00003C9B0000}"/>
    <cellStyle name="Total 40 2 15 2" xfId="39741" xr:uid="{00000000-0005-0000-0000-00003D9B0000}"/>
    <cellStyle name="Total 40 2 15 2 2" xfId="39742" xr:uid="{00000000-0005-0000-0000-00003E9B0000}"/>
    <cellStyle name="Total 40 2 15 2 3" xfId="39743" xr:uid="{00000000-0005-0000-0000-00003F9B0000}"/>
    <cellStyle name="Total 40 2 15 3" xfId="39744" xr:uid="{00000000-0005-0000-0000-0000409B0000}"/>
    <cellStyle name="Total 40 2 15 4" xfId="39745" xr:uid="{00000000-0005-0000-0000-0000419B0000}"/>
    <cellStyle name="Total 40 2 16" xfId="39746" xr:uid="{00000000-0005-0000-0000-0000429B0000}"/>
    <cellStyle name="Total 40 2 16 2" xfId="39747" xr:uid="{00000000-0005-0000-0000-0000439B0000}"/>
    <cellStyle name="Total 40 2 16 2 2" xfId="39748" xr:uid="{00000000-0005-0000-0000-0000449B0000}"/>
    <cellStyle name="Total 40 2 16 2 3" xfId="39749" xr:uid="{00000000-0005-0000-0000-0000459B0000}"/>
    <cellStyle name="Total 40 2 16 3" xfId="39750" xr:uid="{00000000-0005-0000-0000-0000469B0000}"/>
    <cellStyle name="Total 40 2 16 4" xfId="39751" xr:uid="{00000000-0005-0000-0000-0000479B0000}"/>
    <cellStyle name="Total 40 2 17" xfId="39752" xr:uid="{00000000-0005-0000-0000-0000489B0000}"/>
    <cellStyle name="Total 40 2 17 2" xfId="39753" xr:uid="{00000000-0005-0000-0000-0000499B0000}"/>
    <cellStyle name="Total 40 2 17 2 2" xfId="39754" xr:uid="{00000000-0005-0000-0000-00004A9B0000}"/>
    <cellStyle name="Total 40 2 17 2 3" xfId="39755" xr:uid="{00000000-0005-0000-0000-00004B9B0000}"/>
    <cellStyle name="Total 40 2 17 3" xfId="39756" xr:uid="{00000000-0005-0000-0000-00004C9B0000}"/>
    <cellStyle name="Total 40 2 17 4" xfId="39757" xr:uid="{00000000-0005-0000-0000-00004D9B0000}"/>
    <cellStyle name="Total 40 2 18" xfId="39758" xr:uid="{00000000-0005-0000-0000-00004E9B0000}"/>
    <cellStyle name="Total 40 2 18 2" xfId="39759" xr:uid="{00000000-0005-0000-0000-00004F9B0000}"/>
    <cellStyle name="Total 40 2 18 3" xfId="39760" xr:uid="{00000000-0005-0000-0000-0000509B0000}"/>
    <cellStyle name="Total 40 2 18 4" xfId="39761" xr:uid="{00000000-0005-0000-0000-0000519B0000}"/>
    <cellStyle name="Total 40 2 19" xfId="39762" xr:uid="{00000000-0005-0000-0000-0000529B0000}"/>
    <cellStyle name="Total 40 2 2" xfId="39763" xr:uid="{00000000-0005-0000-0000-0000539B0000}"/>
    <cellStyle name="Total 40 2 2 2" xfId="39764" xr:uid="{00000000-0005-0000-0000-0000549B0000}"/>
    <cellStyle name="Total 40 2 2 2 2" xfId="39765" xr:uid="{00000000-0005-0000-0000-0000559B0000}"/>
    <cellStyle name="Total 40 2 2 2 3" xfId="39766" xr:uid="{00000000-0005-0000-0000-0000569B0000}"/>
    <cellStyle name="Total 40 2 2 3" xfId="39767" xr:uid="{00000000-0005-0000-0000-0000579B0000}"/>
    <cellStyle name="Total 40 2 2 4" xfId="39768" xr:uid="{00000000-0005-0000-0000-0000589B0000}"/>
    <cellStyle name="Total 40 2 20" xfId="39769" xr:uid="{00000000-0005-0000-0000-0000599B0000}"/>
    <cellStyle name="Total 40 2 21" xfId="39770" xr:uid="{00000000-0005-0000-0000-00005A9B0000}"/>
    <cellStyle name="Total 40 2 3" xfId="39771" xr:uid="{00000000-0005-0000-0000-00005B9B0000}"/>
    <cellStyle name="Total 40 2 3 2" xfId="39772" xr:uid="{00000000-0005-0000-0000-00005C9B0000}"/>
    <cellStyle name="Total 40 2 3 2 2" xfId="39773" xr:uid="{00000000-0005-0000-0000-00005D9B0000}"/>
    <cellStyle name="Total 40 2 3 2 3" xfId="39774" xr:uid="{00000000-0005-0000-0000-00005E9B0000}"/>
    <cellStyle name="Total 40 2 3 3" xfId="39775" xr:uid="{00000000-0005-0000-0000-00005F9B0000}"/>
    <cellStyle name="Total 40 2 3 4" xfId="39776" xr:uid="{00000000-0005-0000-0000-0000609B0000}"/>
    <cellStyle name="Total 40 2 4" xfId="39777" xr:uid="{00000000-0005-0000-0000-0000619B0000}"/>
    <cellStyle name="Total 40 2 4 2" xfId="39778" xr:uid="{00000000-0005-0000-0000-0000629B0000}"/>
    <cellStyle name="Total 40 2 4 2 2" xfId="39779" xr:uid="{00000000-0005-0000-0000-0000639B0000}"/>
    <cellStyle name="Total 40 2 4 2 3" xfId="39780" xr:uid="{00000000-0005-0000-0000-0000649B0000}"/>
    <cellStyle name="Total 40 2 4 3" xfId="39781" xr:uid="{00000000-0005-0000-0000-0000659B0000}"/>
    <cellStyle name="Total 40 2 4 4" xfId="39782" xr:uid="{00000000-0005-0000-0000-0000669B0000}"/>
    <cellStyle name="Total 40 2 5" xfId="39783" xr:uid="{00000000-0005-0000-0000-0000679B0000}"/>
    <cellStyle name="Total 40 2 5 2" xfId="39784" xr:uid="{00000000-0005-0000-0000-0000689B0000}"/>
    <cellStyle name="Total 40 2 5 2 2" xfId="39785" xr:uid="{00000000-0005-0000-0000-0000699B0000}"/>
    <cellStyle name="Total 40 2 5 2 3" xfId="39786" xr:uid="{00000000-0005-0000-0000-00006A9B0000}"/>
    <cellStyle name="Total 40 2 5 3" xfId="39787" xr:uid="{00000000-0005-0000-0000-00006B9B0000}"/>
    <cellStyle name="Total 40 2 5 4" xfId="39788" xr:uid="{00000000-0005-0000-0000-00006C9B0000}"/>
    <cellStyle name="Total 40 2 6" xfId="39789" xr:uid="{00000000-0005-0000-0000-00006D9B0000}"/>
    <cellStyle name="Total 40 2 6 2" xfId="39790" xr:uid="{00000000-0005-0000-0000-00006E9B0000}"/>
    <cellStyle name="Total 40 2 6 2 2" xfId="39791" xr:uid="{00000000-0005-0000-0000-00006F9B0000}"/>
    <cellStyle name="Total 40 2 6 2 3" xfId="39792" xr:uid="{00000000-0005-0000-0000-0000709B0000}"/>
    <cellStyle name="Total 40 2 6 3" xfId="39793" xr:uid="{00000000-0005-0000-0000-0000719B0000}"/>
    <cellStyle name="Total 40 2 6 4" xfId="39794" xr:uid="{00000000-0005-0000-0000-0000729B0000}"/>
    <cellStyle name="Total 40 2 7" xfId="39795" xr:uid="{00000000-0005-0000-0000-0000739B0000}"/>
    <cellStyle name="Total 40 2 7 2" xfId="39796" xr:uid="{00000000-0005-0000-0000-0000749B0000}"/>
    <cellStyle name="Total 40 2 7 2 2" xfId="39797" xr:uid="{00000000-0005-0000-0000-0000759B0000}"/>
    <cellStyle name="Total 40 2 7 2 3" xfId="39798" xr:uid="{00000000-0005-0000-0000-0000769B0000}"/>
    <cellStyle name="Total 40 2 7 3" xfId="39799" xr:uid="{00000000-0005-0000-0000-0000779B0000}"/>
    <cellStyle name="Total 40 2 7 4" xfId="39800" xr:uid="{00000000-0005-0000-0000-0000789B0000}"/>
    <cellStyle name="Total 40 2 8" xfId="39801" xr:uid="{00000000-0005-0000-0000-0000799B0000}"/>
    <cellStyle name="Total 40 2 8 2" xfId="39802" xr:uid="{00000000-0005-0000-0000-00007A9B0000}"/>
    <cellStyle name="Total 40 2 8 2 2" xfId="39803" xr:uid="{00000000-0005-0000-0000-00007B9B0000}"/>
    <cellStyle name="Total 40 2 8 2 3" xfId="39804" xr:uid="{00000000-0005-0000-0000-00007C9B0000}"/>
    <cellStyle name="Total 40 2 8 3" xfId="39805" xr:uid="{00000000-0005-0000-0000-00007D9B0000}"/>
    <cellStyle name="Total 40 2 8 4" xfId="39806" xr:uid="{00000000-0005-0000-0000-00007E9B0000}"/>
    <cellStyle name="Total 40 2 9" xfId="39807" xr:uid="{00000000-0005-0000-0000-00007F9B0000}"/>
    <cellStyle name="Total 40 2 9 2" xfId="39808" xr:uid="{00000000-0005-0000-0000-0000809B0000}"/>
    <cellStyle name="Total 40 2 9 2 2" xfId="39809" xr:uid="{00000000-0005-0000-0000-0000819B0000}"/>
    <cellStyle name="Total 40 2 9 2 3" xfId="39810" xr:uid="{00000000-0005-0000-0000-0000829B0000}"/>
    <cellStyle name="Total 40 2 9 3" xfId="39811" xr:uid="{00000000-0005-0000-0000-0000839B0000}"/>
    <cellStyle name="Total 40 2 9 4" xfId="39812" xr:uid="{00000000-0005-0000-0000-0000849B0000}"/>
    <cellStyle name="Total 40 3" xfId="39813" xr:uid="{00000000-0005-0000-0000-0000859B0000}"/>
    <cellStyle name="Total 40 3 2" xfId="39814" xr:uid="{00000000-0005-0000-0000-0000869B0000}"/>
    <cellStyle name="Total 40 3 2 2" xfId="39815" xr:uid="{00000000-0005-0000-0000-0000879B0000}"/>
    <cellStyle name="Total 40 3 2 3" xfId="39816" xr:uid="{00000000-0005-0000-0000-0000889B0000}"/>
    <cellStyle name="Total 40 3 3" xfId="39817" xr:uid="{00000000-0005-0000-0000-0000899B0000}"/>
    <cellStyle name="Total 40 3 4" xfId="39818" xr:uid="{00000000-0005-0000-0000-00008A9B0000}"/>
    <cellStyle name="Total 40 4" xfId="39819" xr:uid="{00000000-0005-0000-0000-00008B9B0000}"/>
    <cellStyle name="Total 40 5" xfId="39820" xr:uid="{00000000-0005-0000-0000-00008C9B0000}"/>
    <cellStyle name="Total 41" xfId="39821" xr:uid="{00000000-0005-0000-0000-00008D9B0000}"/>
    <cellStyle name="Total 41 2" xfId="39822" xr:uid="{00000000-0005-0000-0000-00008E9B0000}"/>
    <cellStyle name="Total 41 2 10" xfId="39823" xr:uid="{00000000-0005-0000-0000-00008F9B0000}"/>
    <cellStyle name="Total 41 2 10 2" xfId="39824" xr:uid="{00000000-0005-0000-0000-0000909B0000}"/>
    <cellStyle name="Total 41 2 10 2 2" xfId="39825" xr:uid="{00000000-0005-0000-0000-0000919B0000}"/>
    <cellStyle name="Total 41 2 10 2 3" xfId="39826" xr:uid="{00000000-0005-0000-0000-0000929B0000}"/>
    <cellStyle name="Total 41 2 10 3" xfId="39827" xr:uid="{00000000-0005-0000-0000-0000939B0000}"/>
    <cellStyle name="Total 41 2 10 4" xfId="39828" xr:uid="{00000000-0005-0000-0000-0000949B0000}"/>
    <cellStyle name="Total 41 2 11" xfId="39829" xr:uid="{00000000-0005-0000-0000-0000959B0000}"/>
    <cellStyle name="Total 41 2 11 2" xfId="39830" xr:uid="{00000000-0005-0000-0000-0000969B0000}"/>
    <cellStyle name="Total 41 2 11 2 2" xfId="39831" xr:uid="{00000000-0005-0000-0000-0000979B0000}"/>
    <cellStyle name="Total 41 2 11 2 3" xfId="39832" xr:uid="{00000000-0005-0000-0000-0000989B0000}"/>
    <cellStyle name="Total 41 2 11 3" xfId="39833" xr:uid="{00000000-0005-0000-0000-0000999B0000}"/>
    <cellStyle name="Total 41 2 11 4" xfId="39834" xr:uid="{00000000-0005-0000-0000-00009A9B0000}"/>
    <cellStyle name="Total 41 2 12" xfId="39835" xr:uid="{00000000-0005-0000-0000-00009B9B0000}"/>
    <cellStyle name="Total 41 2 12 2" xfId="39836" xr:uid="{00000000-0005-0000-0000-00009C9B0000}"/>
    <cellStyle name="Total 41 2 12 2 2" xfId="39837" xr:uid="{00000000-0005-0000-0000-00009D9B0000}"/>
    <cellStyle name="Total 41 2 12 2 3" xfId="39838" xr:uid="{00000000-0005-0000-0000-00009E9B0000}"/>
    <cellStyle name="Total 41 2 12 3" xfId="39839" xr:uid="{00000000-0005-0000-0000-00009F9B0000}"/>
    <cellStyle name="Total 41 2 12 4" xfId="39840" xr:uid="{00000000-0005-0000-0000-0000A09B0000}"/>
    <cellStyle name="Total 41 2 13" xfId="39841" xr:uid="{00000000-0005-0000-0000-0000A19B0000}"/>
    <cellStyle name="Total 41 2 13 2" xfId="39842" xr:uid="{00000000-0005-0000-0000-0000A29B0000}"/>
    <cellStyle name="Total 41 2 13 2 2" xfId="39843" xr:uid="{00000000-0005-0000-0000-0000A39B0000}"/>
    <cellStyle name="Total 41 2 13 2 3" xfId="39844" xr:uid="{00000000-0005-0000-0000-0000A49B0000}"/>
    <cellStyle name="Total 41 2 13 3" xfId="39845" xr:uid="{00000000-0005-0000-0000-0000A59B0000}"/>
    <cellStyle name="Total 41 2 13 4" xfId="39846" xr:uid="{00000000-0005-0000-0000-0000A69B0000}"/>
    <cellStyle name="Total 41 2 14" xfId="39847" xr:uid="{00000000-0005-0000-0000-0000A79B0000}"/>
    <cellStyle name="Total 41 2 14 2" xfId="39848" xr:uid="{00000000-0005-0000-0000-0000A89B0000}"/>
    <cellStyle name="Total 41 2 14 2 2" xfId="39849" xr:uid="{00000000-0005-0000-0000-0000A99B0000}"/>
    <cellStyle name="Total 41 2 14 2 3" xfId="39850" xr:uid="{00000000-0005-0000-0000-0000AA9B0000}"/>
    <cellStyle name="Total 41 2 14 3" xfId="39851" xr:uid="{00000000-0005-0000-0000-0000AB9B0000}"/>
    <cellStyle name="Total 41 2 14 4" xfId="39852" xr:uid="{00000000-0005-0000-0000-0000AC9B0000}"/>
    <cellStyle name="Total 41 2 15" xfId="39853" xr:uid="{00000000-0005-0000-0000-0000AD9B0000}"/>
    <cellStyle name="Total 41 2 15 2" xfId="39854" xr:uid="{00000000-0005-0000-0000-0000AE9B0000}"/>
    <cellStyle name="Total 41 2 15 2 2" xfId="39855" xr:uid="{00000000-0005-0000-0000-0000AF9B0000}"/>
    <cellStyle name="Total 41 2 15 2 3" xfId="39856" xr:uid="{00000000-0005-0000-0000-0000B09B0000}"/>
    <cellStyle name="Total 41 2 15 3" xfId="39857" xr:uid="{00000000-0005-0000-0000-0000B19B0000}"/>
    <cellStyle name="Total 41 2 15 4" xfId="39858" xr:uid="{00000000-0005-0000-0000-0000B29B0000}"/>
    <cellStyle name="Total 41 2 16" xfId="39859" xr:uid="{00000000-0005-0000-0000-0000B39B0000}"/>
    <cellStyle name="Total 41 2 16 2" xfId="39860" xr:uid="{00000000-0005-0000-0000-0000B49B0000}"/>
    <cellStyle name="Total 41 2 16 2 2" xfId="39861" xr:uid="{00000000-0005-0000-0000-0000B59B0000}"/>
    <cellStyle name="Total 41 2 16 2 3" xfId="39862" xr:uid="{00000000-0005-0000-0000-0000B69B0000}"/>
    <cellStyle name="Total 41 2 16 3" xfId="39863" xr:uid="{00000000-0005-0000-0000-0000B79B0000}"/>
    <cellStyle name="Total 41 2 16 4" xfId="39864" xr:uid="{00000000-0005-0000-0000-0000B89B0000}"/>
    <cellStyle name="Total 41 2 17" xfId="39865" xr:uid="{00000000-0005-0000-0000-0000B99B0000}"/>
    <cellStyle name="Total 41 2 17 2" xfId="39866" xr:uid="{00000000-0005-0000-0000-0000BA9B0000}"/>
    <cellStyle name="Total 41 2 17 2 2" xfId="39867" xr:uid="{00000000-0005-0000-0000-0000BB9B0000}"/>
    <cellStyle name="Total 41 2 17 2 3" xfId="39868" xr:uid="{00000000-0005-0000-0000-0000BC9B0000}"/>
    <cellStyle name="Total 41 2 17 3" xfId="39869" xr:uid="{00000000-0005-0000-0000-0000BD9B0000}"/>
    <cellStyle name="Total 41 2 17 4" xfId="39870" xr:uid="{00000000-0005-0000-0000-0000BE9B0000}"/>
    <cellStyle name="Total 41 2 18" xfId="39871" xr:uid="{00000000-0005-0000-0000-0000BF9B0000}"/>
    <cellStyle name="Total 41 2 18 2" xfId="39872" xr:uid="{00000000-0005-0000-0000-0000C09B0000}"/>
    <cellStyle name="Total 41 2 18 3" xfId="39873" xr:uid="{00000000-0005-0000-0000-0000C19B0000}"/>
    <cellStyle name="Total 41 2 18 4" xfId="39874" xr:uid="{00000000-0005-0000-0000-0000C29B0000}"/>
    <cellStyle name="Total 41 2 19" xfId="39875" xr:uid="{00000000-0005-0000-0000-0000C39B0000}"/>
    <cellStyle name="Total 41 2 2" xfId="39876" xr:uid="{00000000-0005-0000-0000-0000C49B0000}"/>
    <cellStyle name="Total 41 2 2 2" xfId="39877" xr:uid="{00000000-0005-0000-0000-0000C59B0000}"/>
    <cellStyle name="Total 41 2 2 2 2" xfId="39878" xr:uid="{00000000-0005-0000-0000-0000C69B0000}"/>
    <cellStyle name="Total 41 2 2 2 3" xfId="39879" xr:uid="{00000000-0005-0000-0000-0000C79B0000}"/>
    <cellStyle name="Total 41 2 2 3" xfId="39880" xr:uid="{00000000-0005-0000-0000-0000C89B0000}"/>
    <cellStyle name="Total 41 2 2 4" xfId="39881" xr:uid="{00000000-0005-0000-0000-0000C99B0000}"/>
    <cellStyle name="Total 41 2 20" xfId="39882" xr:uid="{00000000-0005-0000-0000-0000CA9B0000}"/>
    <cellStyle name="Total 41 2 21" xfId="39883" xr:uid="{00000000-0005-0000-0000-0000CB9B0000}"/>
    <cellStyle name="Total 41 2 3" xfId="39884" xr:uid="{00000000-0005-0000-0000-0000CC9B0000}"/>
    <cellStyle name="Total 41 2 3 2" xfId="39885" xr:uid="{00000000-0005-0000-0000-0000CD9B0000}"/>
    <cellStyle name="Total 41 2 3 2 2" xfId="39886" xr:uid="{00000000-0005-0000-0000-0000CE9B0000}"/>
    <cellStyle name="Total 41 2 3 2 3" xfId="39887" xr:uid="{00000000-0005-0000-0000-0000CF9B0000}"/>
    <cellStyle name="Total 41 2 3 3" xfId="39888" xr:uid="{00000000-0005-0000-0000-0000D09B0000}"/>
    <cellStyle name="Total 41 2 3 4" xfId="39889" xr:uid="{00000000-0005-0000-0000-0000D19B0000}"/>
    <cellStyle name="Total 41 2 4" xfId="39890" xr:uid="{00000000-0005-0000-0000-0000D29B0000}"/>
    <cellStyle name="Total 41 2 4 2" xfId="39891" xr:uid="{00000000-0005-0000-0000-0000D39B0000}"/>
    <cellStyle name="Total 41 2 4 2 2" xfId="39892" xr:uid="{00000000-0005-0000-0000-0000D49B0000}"/>
    <cellStyle name="Total 41 2 4 2 3" xfId="39893" xr:uid="{00000000-0005-0000-0000-0000D59B0000}"/>
    <cellStyle name="Total 41 2 4 3" xfId="39894" xr:uid="{00000000-0005-0000-0000-0000D69B0000}"/>
    <cellStyle name="Total 41 2 4 4" xfId="39895" xr:uid="{00000000-0005-0000-0000-0000D79B0000}"/>
    <cellStyle name="Total 41 2 5" xfId="39896" xr:uid="{00000000-0005-0000-0000-0000D89B0000}"/>
    <cellStyle name="Total 41 2 5 2" xfId="39897" xr:uid="{00000000-0005-0000-0000-0000D99B0000}"/>
    <cellStyle name="Total 41 2 5 2 2" xfId="39898" xr:uid="{00000000-0005-0000-0000-0000DA9B0000}"/>
    <cellStyle name="Total 41 2 5 2 3" xfId="39899" xr:uid="{00000000-0005-0000-0000-0000DB9B0000}"/>
    <cellStyle name="Total 41 2 5 3" xfId="39900" xr:uid="{00000000-0005-0000-0000-0000DC9B0000}"/>
    <cellStyle name="Total 41 2 5 4" xfId="39901" xr:uid="{00000000-0005-0000-0000-0000DD9B0000}"/>
    <cellStyle name="Total 41 2 6" xfId="39902" xr:uid="{00000000-0005-0000-0000-0000DE9B0000}"/>
    <cellStyle name="Total 41 2 6 2" xfId="39903" xr:uid="{00000000-0005-0000-0000-0000DF9B0000}"/>
    <cellStyle name="Total 41 2 6 2 2" xfId="39904" xr:uid="{00000000-0005-0000-0000-0000E09B0000}"/>
    <cellStyle name="Total 41 2 6 2 3" xfId="39905" xr:uid="{00000000-0005-0000-0000-0000E19B0000}"/>
    <cellStyle name="Total 41 2 6 3" xfId="39906" xr:uid="{00000000-0005-0000-0000-0000E29B0000}"/>
    <cellStyle name="Total 41 2 6 4" xfId="39907" xr:uid="{00000000-0005-0000-0000-0000E39B0000}"/>
    <cellStyle name="Total 41 2 7" xfId="39908" xr:uid="{00000000-0005-0000-0000-0000E49B0000}"/>
    <cellStyle name="Total 41 2 7 2" xfId="39909" xr:uid="{00000000-0005-0000-0000-0000E59B0000}"/>
    <cellStyle name="Total 41 2 7 2 2" xfId="39910" xr:uid="{00000000-0005-0000-0000-0000E69B0000}"/>
    <cellStyle name="Total 41 2 7 2 3" xfId="39911" xr:uid="{00000000-0005-0000-0000-0000E79B0000}"/>
    <cellStyle name="Total 41 2 7 3" xfId="39912" xr:uid="{00000000-0005-0000-0000-0000E89B0000}"/>
    <cellStyle name="Total 41 2 7 4" xfId="39913" xr:uid="{00000000-0005-0000-0000-0000E99B0000}"/>
    <cellStyle name="Total 41 2 8" xfId="39914" xr:uid="{00000000-0005-0000-0000-0000EA9B0000}"/>
    <cellStyle name="Total 41 2 8 2" xfId="39915" xr:uid="{00000000-0005-0000-0000-0000EB9B0000}"/>
    <cellStyle name="Total 41 2 8 2 2" xfId="39916" xr:uid="{00000000-0005-0000-0000-0000EC9B0000}"/>
    <cellStyle name="Total 41 2 8 2 3" xfId="39917" xr:uid="{00000000-0005-0000-0000-0000ED9B0000}"/>
    <cellStyle name="Total 41 2 8 3" xfId="39918" xr:uid="{00000000-0005-0000-0000-0000EE9B0000}"/>
    <cellStyle name="Total 41 2 8 4" xfId="39919" xr:uid="{00000000-0005-0000-0000-0000EF9B0000}"/>
    <cellStyle name="Total 41 2 9" xfId="39920" xr:uid="{00000000-0005-0000-0000-0000F09B0000}"/>
    <cellStyle name="Total 41 2 9 2" xfId="39921" xr:uid="{00000000-0005-0000-0000-0000F19B0000}"/>
    <cellStyle name="Total 41 2 9 2 2" xfId="39922" xr:uid="{00000000-0005-0000-0000-0000F29B0000}"/>
    <cellStyle name="Total 41 2 9 2 3" xfId="39923" xr:uid="{00000000-0005-0000-0000-0000F39B0000}"/>
    <cellStyle name="Total 41 2 9 3" xfId="39924" xr:uid="{00000000-0005-0000-0000-0000F49B0000}"/>
    <cellStyle name="Total 41 2 9 4" xfId="39925" xr:uid="{00000000-0005-0000-0000-0000F59B0000}"/>
    <cellStyle name="Total 41 3" xfId="39926" xr:uid="{00000000-0005-0000-0000-0000F69B0000}"/>
    <cellStyle name="Total 41 3 2" xfId="39927" xr:uid="{00000000-0005-0000-0000-0000F79B0000}"/>
    <cellStyle name="Total 41 3 2 2" xfId="39928" xr:uid="{00000000-0005-0000-0000-0000F89B0000}"/>
    <cellStyle name="Total 41 3 2 3" xfId="39929" xr:uid="{00000000-0005-0000-0000-0000F99B0000}"/>
    <cellStyle name="Total 41 3 3" xfId="39930" xr:uid="{00000000-0005-0000-0000-0000FA9B0000}"/>
    <cellStyle name="Total 41 3 4" xfId="39931" xr:uid="{00000000-0005-0000-0000-0000FB9B0000}"/>
    <cellStyle name="Total 41 4" xfId="39932" xr:uid="{00000000-0005-0000-0000-0000FC9B0000}"/>
    <cellStyle name="Total 41 5" xfId="39933" xr:uid="{00000000-0005-0000-0000-0000FD9B0000}"/>
    <cellStyle name="Total 42" xfId="39934" xr:uid="{00000000-0005-0000-0000-0000FE9B0000}"/>
    <cellStyle name="Total 42 2" xfId="39935" xr:uid="{00000000-0005-0000-0000-0000FF9B0000}"/>
    <cellStyle name="Total 42 2 10" xfId="39936" xr:uid="{00000000-0005-0000-0000-0000009C0000}"/>
    <cellStyle name="Total 42 2 10 2" xfId="39937" xr:uid="{00000000-0005-0000-0000-0000019C0000}"/>
    <cellStyle name="Total 42 2 10 2 2" xfId="39938" xr:uid="{00000000-0005-0000-0000-0000029C0000}"/>
    <cellStyle name="Total 42 2 10 2 3" xfId="39939" xr:uid="{00000000-0005-0000-0000-0000039C0000}"/>
    <cellStyle name="Total 42 2 10 3" xfId="39940" xr:uid="{00000000-0005-0000-0000-0000049C0000}"/>
    <cellStyle name="Total 42 2 10 4" xfId="39941" xr:uid="{00000000-0005-0000-0000-0000059C0000}"/>
    <cellStyle name="Total 42 2 11" xfId="39942" xr:uid="{00000000-0005-0000-0000-0000069C0000}"/>
    <cellStyle name="Total 42 2 11 2" xfId="39943" xr:uid="{00000000-0005-0000-0000-0000079C0000}"/>
    <cellStyle name="Total 42 2 11 2 2" xfId="39944" xr:uid="{00000000-0005-0000-0000-0000089C0000}"/>
    <cellStyle name="Total 42 2 11 2 3" xfId="39945" xr:uid="{00000000-0005-0000-0000-0000099C0000}"/>
    <cellStyle name="Total 42 2 11 3" xfId="39946" xr:uid="{00000000-0005-0000-0000-00000A9C0000}"/>
    <cellStyle name="Total 42 2 11 4" xfId="39947" xr:uid="{00000000-0005-0000-0000-00000B9C0000}"/>
    <cellStyle name="Total 42 2 12" xfId="39948" xr:uid="{00000000-0005-0000-0000-00000C9C0000}"/>
    <cellStyle name="Total 42 2 12 2" xfId="39949" xr:uid="{00000000-0005-0000-0000-00000D9C0000}"/>
    <cellStyle name="Total 42 2 12 2 2" xfId="39950" xr:uid="{00000000-0005-0000-0000-00000E9C0000}"/>
    <cellStyle name="Total 42 2 12 2 3" xfId="39951" xr:uid="{00000000-0005-0000-0000-00000F9C0000}"/>
    <cellStyle name="Total 42 2 12 3" xfId="39952" xr:uid="{00000000-0005-0000-0000-0000109C0000}"/>
    <cellStyle name="Total 42 2 12 4" xfId="39953" xr:uid="{00000000-0005-0000-0000-0000119C0000}"/>
    <cellStyle name="Total 42 2 13" xfId="39954" xr:uid="{00000000-0005-0000-0000-0000129C0000}"/>
    <cellStyle name="Total 42 2 13 2" xfId="39955" xr:uid="{00000000-0005-0000-0000-0000139C0000}"/>
    <cellStyle name="Total 42 2 13 2 2" xfId="39956" xr:uid="{00000000-0005-0000-0000-0000149C0000}"/>
    <cellStyle name="Total 42 2 13 2 3" xfId="39957" xr:uid="{00000000-0005-0000-0000-0000159C0000}"/>
    <cellStyle name="Total 42 2 13 3" xfId="39958" xr:uid="{00000000-0005-0000-0000-0000169C0000}"/>
    <cellStyle name="Total 42 2 13 4" xfId="39959" xr:uid="{00000000-0005-0000-0000-0000179C0000}"/>
    <cellStyle name="Total 42 2 14" xfId="39960" xr:uid="{00000000-0005-0000-0000-0000189C0000}"/>
    <cellStyle name="Total 42 2 14 2" xfId="39961" xr:uid="{00000000-0005-0000-0000-0000199C0000}"/>
    <cellStyle name="Total 42 2 14 2 2" xfId="39962" xr:uid="{00000000-0005-0000-0000-00001A9C0000}"/>
    <cellStyle name="Total 42 2 14 2 3" xfId="39963" xr:uid="{00000000-0005-0000-0000-00001B9C0000}"/>
    <cellStyle name="Total 42 2 14 3" xfId="39964" xr:uid="{00000000-0005-0000-0000-00001C9C0000}"/>
    <cellStyle name="Total 42 2 14 4" xfId="39965" xr:uid="{00000000-0005-0000-0000-00001D9C0000}"/>
    <cellStyle name="Total 42 2 15" xfId="39966" xr:uid="{00000000-0005-0000-0000-00001E9C0000}"/>
    <cellStyle name="Total 42 2 15 2" xfId="39967" xr:uid="{00000000-0005-0000-0000-00001F9C0000}"/>
    <cellStyle name="Total 42 2 15 2 2" xfId="39968" xr:uid="{00000000-0005-0000-0000-0000209C0000}"/>
    <cellStyle name="Total 42 2 15 2 3" xfId="39969" xr:uid="{00000000-0005-0000-0000-0000219C0000}"/>
    <cellStyle name="Total 42 2 15 3" xfId="39970" xr:uid="{00000000-0005-0000-0000-0000229C0000}"/>
    <cellStyle name="Total 42 2 15 4" xfId="39971" xr:uid="{00000000-0005-0000-0000-0000239C0000}"/>
    <cellStyle name="Total 42 2 16" xfId="39972" xr:uid="{00000000-0005-0000-0000-0000249C0000}"/>
    <cellStyle name="Total 42 2 16 2" xfId="39973" xr:uid="{00000000-0005-0000-0000-0000259C0000}"/>
    <cellStyle name="Total 42 2 16 2 2" xfId="39974" xr:uid="{00000000-0005-0000-0000-0000269C0000}"/>
    <cellStyle name="Total 42 2 16 2 3" xfId="39975" xr:uid="{00000000-0005-0000-0000-0000279C0000}"/>
    <cellStyle name="Total 42 2 16 3" xfId="39976" xr:uid="{00000000-0005-0000-0000-0000289C0000}"/>
    <cellStyle name="Total 42 2 16 4" xfId="39977" xr:uid="{00000000-0005-0000-0000-0000299C0000}"/>
    <cellStyle name="Total 42 2 17" xfId="39978" xr:uid="{00000000-0005-0000-0000-00002A9C0000}"/>
    <cellStyle name="Total 42 2 17 2" xfId="39979" xr:uid="{00000000-0005-0000-0000-00002B9C0000}"/>
    <cellStyle name="Total 42 2 17 2 2" xfId="39980" xr:uid="{00000000-0005-0000-0000-00002C9C0000}"/>
    <cellStyle name="Total 42 2 17 2 3" xfId="39981" xr:uid="{00000000-0005-0000-0000-00002D9C0000}"/>
    <cellStyle name="Total 42 2 17 3" xfId="39982" xr:uid="{00000000-0005-0000-0000-00002E9C0000}"/>
    <cellStyle name="Total 42 2 17 4" xfId="39983" xr:uid="{00000000-0005-0000-0000-00002F9C0000}"/>
    <cellStyle name="Total 42 2 18" xfId="39984" xr:uid="{00000000-0005-0000-0000-0000309C0000}"/>
    <cellStyle name="Total 42 2 18 2" xfId="39985" xr:uid="{00000000-0005-0000-0000-0000319C0000}"/>
    <cellStyle name="Total 42 2 18 3" xfId="39986" xr:uid="{00000000-0005-0000-0000-0000329C0000}"/>
    <cellStyle name="Total 42 2 18 4" xfId="39987" xr:uid="{00000000-0005-0000-0000-0000339C0000}"/>
    <cellStyle name="Total 42 2 19" xfId="39988" xr:uid="{00000000-0005-0000-0000-0000349C0000}"/>
    <cellStyle name="Total 42 2 2" xfId="39989" xr:uid="{00000000-0005-0000-0000-0000359C0000}"/>
    <cellStyle name="Total 42 2 2 2" xfId="39990" xr:uid="{00000000-0005-0000-0000-0000369C0000}"/>
    <cellStyle name="Total 42 2 2 2 2" xfId="39991" xr:uid="{00000000-0005-0000-0000-0000379C0000}"/>
    <cellStyle name="Total 42 2 2 2 3" xfId="39992" xr:uid="{00000000-0005-0000-0000-0000389C0000}"/>
    <cellStyle name="Total 42 2 2 3" xfId="39993" xr:uid="{00000000-0005-0000-0000-0000399C0000}"/>
    <cellStyle name="Total 42 2 2 4" xfId="39994" xr:uid="{00000000-0005-0000-0000-00003A9C0000}"/>
    <cellStyle name="Total 42 2 20" xfId="39995" xr:uid="{00000000-0005-0000-0000-00003B9C0000}"/>
    <cellStyle name="Total 42 2 21" xfId="39996" xr:uid="{00000000-0005-0000-0000-00003C9C0000}"/>
    <cellStyle name="Total 42 2 3" xfId="39997" xr:uid="{00000000-0005-0000-0000-00003D9C0000}"/>
    <cellStyle name="Total 42 2 3 2" xfId="39998" xr:uid="{00000000-0005-0000-0000-00003E9C0000}"/>
    <cellStyle name="Total 42 2 3 2 2" xfId="39999" xr:uid="{00000000-0005-0000-0000-00003F9C0000}"/>
    <cellStyle name="Total 42 2 3 2 3" xfId="40000" xr:uid="{00000000-0005-0000-0000-0000409C0000}"/>
    <cellStyle name="Total 42 2 3 3" xfId="40001" xr:uid="{00000000-0005-0000-0000-0000419C0000}"/>
    <cellStyle name="Total 42 2 3 4" xfId="40002" xr:uid="{00000000-0005-0000-0000-0000429C0000}"/>
    <cellStyle name="Total 42 2 4" xfId="40003" xr:uid="{00000000-0005-0000-0000-0000439C0000}"/>
    <cellStyle name="Total 42 2 4 2" xfId="40004" xr:uid="{00000000-0005-0000-0000-0000449C0000}"/>
    <cellStyle name="Total 42 2 4 2 2" xfId="40005" xr:uid="{00000000-0005-0000-0000-0000459C0000}"/>
    <cellStyle name="Total 42 2 4 2 3" xfId="40006" xr:uid="{00000000-0005-0000-0000-0000469C0000}"/>
    <cellStyle name="Total 42 2 4 3" xfId="40007" xr:uid="{00000000-0005-0000-0000-0000479C0000}"/>
    <cellStyle name="Total 42 2 4 4" xfId="40008" xr:uid="{00000000-0005-0000-0000-0000489C0000}"/>
    <cellStyle name="Total 42 2 5" xfId="40009" xr:uid="{00000000-0005-0000-0000-0000499C0000}"/>
    <cellStyle name="Total 42 2 5 2" xfId="40010" xr:uid="{00000000-0005-0000-0000-00004A9C0000}"/>
    <cellStyle name="Total 42 2 5 2 2" xfId="40011" xr:uid="{00000000-0005-0000-0000-00004B9C0000}"/>
    <cellStyle name="Total 42 2 5 2 3" xfId="40012" xr:uid="{00000000-0005-0000-0000-00004C9C0000}"/>
    <cellStyle name="Total 42 2 5 3" xfId="40013" xr:uid="{00000000-0005-0000-0000-00004D9C0000}"/>
    <cellStyle name="Total 42 2 5 4" xfId="40014" xr:uid="{00000000-0005-0000-0000-00004E9C0000}"/>
    <cellStyle name="Total 42 2 6" xfId="40015" xr:uid="{00000000-0005-0000-0000-00004F9C0000}"/>
    <cellStyle name="Total 42 2 6 2" xfId="40016" xr:uid="{00000000-0005-0000-0000-0000509C0000}"/>
    <cellStyle name="Total 42 2 6 2 2" xfId="40017" xr:uid="{00000000-0005-0000-0000-0000519C0000}"/>
    <cellStyle name="Total 42 2 6 2 3" xfId="40018" xr:uid="{00000000-0005-0000-0000-0000529C0000}"/>
    <cellStyle name="Total 42 2 6 3" xfId="40019" xr:uid="{00000000-0005-0000-0000-0000539C0000}"/>
    <cellStyle name="Total 42 2 6 4" xfId="40020" xr:uid="{00000000-0005-0000-0000-0000549C0000}"/>
    <cellStyle name="Total 42 2 7" xfId="40021" xr:uid="{00000000-0005-0000-0000-0000559C0000}"/>
    <cellStyle name="Total 42 2 7 2" xfId="40022" xr:uid="{00000000-0005-0000-0000-0000569C0000}"/>
    <cellStyle name="Total 42 2 7 2 2" xfId="40023" xr:uid="{00000000-0005-0000-0000-0000579C0000}"/>
    <cellStyle name="Total 42 2 7 2 3" xfId="40024" xr:uid="{00000000-0005-0000-0000-0000589C0000}"/>
    <cellStyle name="Total 42 2 7 3" xfId="40025" xr:uid="{00000000-0005-0000-0000-0000599C0000}"/>
    <cellStyle name="Total 42 2 7 4" xfId="40026" xr:uid="{00000000-0005-0000-0000-00005A9C0000}"/>
    <cellStyle name="Total 42 2 8" xfId="40027" xr:uid="{00000000-0005-0000-0000-00005B9C0000}"/>
    <cellStyle name="Total 42 2 8 2" xfId="40028" xr:uid="{00000000-0005-0000-0000-00005C9C0000}"/>
    <cellStyle name="Total 42 2 8 2 2" xfId="40029" xr:uid="{00000000-0005-0000-0000-00005D9C0000}"/>
    <cellStyle name="Total 42 2 8 2 3" xfId="40030" xr:uid="{00000000-0005-0000-0000-00005E9C0000}"/>
    <cellStyle name="Total 42 2 8 3" xfId="40031" xr:uid="{00000000-0005-0000-0000-00005F9C0000}"/>
    <cellStyle name="Total 42 2 8 4" xfId="40032" xr:uid="{00000000-0005-0000-0000-0000609C0000}"/>
    <cellStyle name="Total 42 2 9" xfId="40033" xr:uid="{00000000-0005-0000-0000-0000619C0000}"/>
    <cellStyle name="Total 42 2 9 2" xfId="40034" xr:uid="{00000000-0005-0000-0000-0000629C0000}"/>
    <cellStyle name="Total 42 2 9 2 2" xfId="40035" xr:uid="{00000000-0005-0000-0000-0000639C0000}"/>
    <cellStyle name="Total 42 2 9 2 3" xfId="40036" xr:uid="{00000000-0005-0000-0000-0000649C0000}"/>
    <cellStyle name="Total 42 2 9 3" xfId="40037" xr:uid="{00000000-0005-0000-0000-0000659C0000}"/>
    <cellStyle name="Total 42 2 9 4" xfId="40038" xr:uid="{00000000-0005-0000-0000-0000669C0000}"/>
    <cellStyle name="Total 42 3" xfId="40039" xr:uid="{00000000-0005-0000-0000-0000679C0000}"/>
    <cellStyle name="Total 42 3 2" xfId="40040" xr:uid="{00000000-0005-0000-0000-0000689C0000}"/>
    <cellStyle name="Total 42 3 2 2" xfId="40041" xr:uid="{00000000-0005-0000-0000-0000699C0000}"/>
    <cellStyle name="Total 42 3 2 3" xfId="40042" xr:uid="{00000000-0005-0000-0000-00006A9C0000}"/>
    <cellStyle name="Total 42 3 3" xfId="40043" xr:uid="{00000000-0005-0000-0000-00006B9C0000}"/>
    <cellStyle name="Total 42 3 4" xfId="40044" xr:uid="{00000000-0005-0000-0000-00006C9C0000}"/>
    <cellStyle name="Total 42 4" xfId="40045" xr:uid="{00000000-0005-0000-0000-00006D9C0000}"/>
    <cellStyle name="Total 42 5" xfId="40046" xr:uid="{00000000-0005-0000-0000-00006E9C0000}"/>
    <cellStyle name="Total 43" xfId="40047" xr:uid="{00000000-0005-0000-0000-00006F9C0000}"/>
    <cellStyle name="Total 43 2" xfId="40048" xr:uid="{00000000-0005-0000-0000-0000709C0000}"/>
    <cellStyle name="Total 43 2 10" xfId="40049" xr:uid="{00000000-0005-0000-0000-0000719C0000}"/>
    <cellStyle name="Total 43 2 10 2" xfId="40050" xr:uid="{00000000-0005-0000-0000-0000729C0000}"/>
    <cellStyle name="Total 43 2 10 2 2" xfId="40051" xr:uid="{00000000-0005-0000-0000-0000739C0000}"/>
    <cellStyle name="Total 43 2 10 2 3" xfId="40052" xr:uid="{00000000-0005-0000-0000-0000749C0000}"/>
    <cellStyle name="Total 43 2 10 3" xfId="40053" xr:uid="{00000000-0005-0000-0000-0000759C0000}"/>
    <cellStyle name="Total 43 2 10 4" xfId="40054" xr:uid="{00000000-0005-0000-0000-0000769C0000}"/>
    <cellStyle name="Total 43 2 11" xfId="40055" xr:uid="{00000000-0005-0000-0000-0000779C0000}"/>
    <cellStyle name="Total 43 2 11 2" xfId="40056" xr:uid="{00000000-0005-0000-0000-0000789C0000}"/>
    <cellStyle name="Total 43 2 11 2 2" xfId="40057" xr:uid="{00000000-0005-0000-0000-0000799C0000}"/>
    <cellStyle name="Total 43 2 11 2 3" xfId="40058" xr:uid="{00000000-0005-0000-0000-00007A9C0000}"/>
    <cellStyle name="Total 43 2 11 3" xfId="40059" xr:uid="{00000000-0005-0000-0000-00007B9C0000}"/>
    <cellStyle name="Total 43 2 11 4" xfId="40060" xr:uid="{00000000-0005-0000-0000-00007C9C0000}"/>
    <cellStyle name="Total 43 2 12" xfId="40061" xr:uid="{00000000-0005-0000-0000-00007D9C0000}"/>
    <cellStyle name="Total 43 2 12 2" xfId="40062" xr:uid="{00000000-0005-0000-0000-00007E9C0000}"/>
    <cellStyle name="Total 43 2 12 2 2" xfId="40063" xr:uid="{00000000-0005-0000-0000-00007F9C0000}"/>
    <cellStyle name="Total 43 2 12 2 3" xfId="40064" xr:uid="{00000000-0005-0000-0000-0000809C0000}"/>
    <cellStyle name="Total 43 2 12 3" xfId="40065" xr:uid="{00000000-0005-0000-0000-0000819C0000}"/>
    <cellStyle name="Total 43 2 12 4" xfId="40066" xr:uid="{00000000-0005-0000-0000-0000829C0000}"/>
    <cellStyle name="Total 43 2 13" xfId="40067" xr:uid="{00000000-0005-0000-0000-0000839C0000}"/>
    <cellStyle name="Total 43 2 13 2" xfId="40068" xr:uid="{00000000-0005-0000-0000-0000849C0000}"/>
    <cellStyle name="Total 43 2 13 2 2" xfId="40069" xr:uid="{00000000-0005-0000-0000-0000859C0000}"/>
    <cellStyle name="Total 43 2 13 2 3" xfId="40070" xr:uid="{00000000-0005-0000-0000-0000869C0000}"/>
    <cellStyle name="Total 43 2 13 3" xfId="40071" xr:uid="{00000000-0005-0000-0000-0000879C0000}"/>
    <cellStyle name="Total 43 2 13 4" xfId="40072" xr:uid="{00000000-0005-0000-0000-0000889C0000}"/>
    <cellStyle name="Total 43 2 14" xfId="40073" xr:uid="{00000000-0005-0000-0000-0000899C0000}"/>
    <cellStyle name="Total 43 2 14 2" xfId="40074" xr:uid="{00000000-0005-0000-0000-00008A9C0000}"/>
    <cellStyle name="Total 43 2 14 2 2" xfId="40075" xr:uid="{00000000-0005-0000-0000-00008B9C0000}"/>
    <cellStyle name="Total 43 2 14 2 3" xfId="40076" xr:uid="{00000000-0005-0000-0000-00008C9C0000}"/>
    <cellStyle name="Total 43 2 14 3" xfId="40077" xr:uid="{00000000-0005-0000-0000-00008D9C0000}"/>
    <cellStyle name="Total 43 2 14 4" xfId="40078" xr:uid="{00000000-0005-0000-0000-00008E9C0000}"/>
    <cellStyle name="Total 43 2 15" xfId="40079" xr:uid="{00000000-0005-0000-0000-00008F9C0000}"/>
    <cellStyle name="Total 43 2 15 2" xfId="40080" xr:uid="{00000000-0005-0000-0000-0000909C0000}"/>
    <cellStyle name="Total 43 2 15 2 2" xfId="40081" xr:uid="{00000000-0005-0000-0000-0000919C0000}"/>
    <cellStyle name="Total 43 2 15 2 3" xfId="40082" xr:uid="{00000000-0005-0000-0000-0000929C0000}"/>
    <cellStyle name="Total 43 2 15 3" xfId="40083" xr:uid="{00000000-0005-0000-0000-0000939C0000}"/>
    <cellStyle name="Total 43 2 15 4" xfId="40084" xr:uid="{00000000-0005-0000-0000-0000949C0000}"/>
    <cellStyle name="Total 43 2 16" xfId="40085" xr:uid="{00000000-0005-0000-0000-0000959C0000}"/>
    <cellStyle name="Total 43 2 16 2" xfId="40086" xr:uid="{00000000-0005-0000-0000-0000969C0000}"/>
    <cellStyle name="Total 43 2 16 2 2" xfId="40087" xr:uid="{00000000-0005-0000-0000-0000979C0000}"/>
    <cellStyle name="Total 43 2 16 2 3" xfId="40088" xr:uid="{00000000-0005-0000-0000-0000989C0000}"/>
    <cellStyle name="Total 43 2 16 3" xfId="40089" xr:uid="{00000000-0005-0000-0000-0000999C0000}"/>
    <cellStyle name="Total 43 2 16 4" xfId="40090" xr:uid="{00000000-0005-0000-0000-00009A9C0000}"/>
    <cellStyle name="Total 43 2 17" xfId="40091" xr:uid="{00000000-0005-0000-0000-00009B9C0000}"/>
    <cellStyle name="Total 43 2 17 2" xfId="40092" xr:uid="{00000000-0005-0000-0000-00009C9C0000}"/>
    <cellStyle name="Total 43 2 17 2 2" xfId="40093" xr:uid="{00000000-0005-0000-0000-00009D9C0000}"/>
    <cellStyle name="Total 43 2 17 2 3" xfId="40094" xr:uid="{00000000-0005-0000-0000-00009E9C0000}"/>
    <cellStyle name="Total 43 2 17 3" xfId="40095" xr:uid="{00000000-0005-0000-0000-00009F9C0000}"/>
    <cellStyle name="Total 43 2 17 4" xfId="40096" xr:uid="{00000000-0005-0000-0000-0000A09C0000}"/>
    <cellStyle name="Total 43 2 18" xfId="40097" xr:uid="{00000000-0005-0000-0000-0000A19C0000}"/>
    <cellStyle name="Total 43 2 18 2" xfId="40098" xr:uid="{00000000-0005-0000-0000-0000A29C0000}"/>
    <cellStyle name="Total 43 2 18 3" xfId="40099" xr:uid="{00000000-0005-0000-0000-0000A39C0000}"/>
    <cellStyle name="Total 43 2 18 4" xfId="40100" xr:uid="{00000000-0005-0000-0000-0000A49C0000}"/>
    <cellStyle name="Total 43 2 19" xfId="40101" xr:uid="{00000000-0005-0000-0000-0000A59C0000}"/>
    <cellStyle name="Total 43 2 2" xfId="40102" xr:uid="{00000000-0005-0000-0000-0000A69C0000}"/>
    <cellStyle name="Total 43 2 2 2" xfId="40103" xr:uid="{00000000-0005-0000-0000-0000A79C0000}"/>
    <cellStyle name="Total 43 2 2 2 2" xfId="40104" xr:uid="{00000000-0005-0000-0000-0000A89C0000}"/>
    <cellStyle name="Total 43 2 2 2 3" xfId="40105" xr:uid="{00000000-0005-0000-0000-0000A99C0000}"/>
    <cellStyle name="Total 43 2 2 3" xfId="40106" xr:uid="{00000000-0005-0000-0000-0000AA9C0000}"/>
    <cellStyle name="Total 43 2 2 4" xfId="40107" xr:uid="{00000000-0005-0000-0000-0000AB9C0000}"/>
    <cellStyle name="Total 43 2 20" xfId="40108" xr:uid="{00000000-0005-0000-0000-0000AC9C0000}"/>
    <cellStyle name="Total 43 2 21" xfId="40109" xr:uid="{00000000-0005-0000-0000-0000AD9C0000}"/>
    <cellStyle name="Total 43 2 3" xfId="40110" xr:uid="{00000000-0005-0000-0000-0000AE9C0000}"/>
    <cellStyle name="Total 43 2 3 2" xfId="40111" xr:uid="{00000000-0005-0000-0000-0000AF9C0000}"/>
    <cellStyle name="Total 43 2 3 2 2" xfId="40112" xr:uid="{00000000-0005-0000-0000-0000B09C0000}"/>
    <cellStyle name="Total 43 2 3 2 3" xfId="40113" xr:uid="{00000000-0005-0000-0000-0000B19C0000}"/>
    <cellStyle name="Total 43 2 3 3" xfId="40114" xr:uid="{00000000-0005-0000-0000-0000B29C0000}"/>
    <cellStyle name="Total 43 2 3 4" xfId="40115" xr:uid="{00000000-0005-0000-0000-0000B39C0000}"/>
    <cellStyle name="Total 43 2 4" xfId="40116" xr:uid="{00000000-0005-0000-0000-0000B49C0000}"/>
    <cellStyle name="Total 43 2 4 2" xfId="40117" xr:uid="{00000000-0005-0000-0000-0000B59C0000}"/>
    <cellStyle name="Total 43 2 4 2 2" xfId="40118" xr:uid="{00000000-0005-0000-0000-0000B69C0000}"/>
    <cellStyle name="Total 43 2 4 2 3" xfId="40119" xr:uid="{00000000-0005-0000-0000-0000B79C0000}"/>
    <cellStyle name="Total 43 2 4 3" xfId="40120" xr:uid="{00000000-0005-0000-0000-0000B89C0000}"/>
    <cellStyle name="Total 43 2 4 4" xfId="40121" xr:uid="{00000000-0005-0000-0000-0000B99C0000}"/>
    <cellStyle name="Total 43 2 5" xfId="40122" xr:uid="{00000000-0005-0000-0000-0000BA9C0000}"/>
    <cellStyle name="Total 43 2 5 2" xfId="40123" xr:uid="{00000000-0005-0000-0000-0000BB9C0000}"/>
    <cellStyle name="Total 43 2 5 2 2" xfId="40124" xr:uid="{00000000-0005-0000-0000-0000BC9C0000}"/>
    <cellStyle name="Total 43 2 5 2 3" xfId="40125" xr:uid="{00000000-0005-0000-0000-0000BD9C0000}"/>
    <cellStyle name="Total 43 2 5 3" xfId="40126" xr:uid="{00000000-0005-0000-0000-0000BE9C0000}"/>
    <cellStyle name="Total 43 2 5 4" xfId="40127" xr:uid="{00000000-0005-0000-0000-0000BF9C0000}"/>
    <cellStyle name="Total 43 2 6" xfId="40128" xr:uid="{00000000-0005-0000-0000-0000C09C0000}"/>
    <cellStyle name="Total 43 2 6 2" xfId="40129" xr:uid="{00000000-0005-0000-0000-0000C19C0000}"/>
    <cellStyle name="Total 43 2 6 2 2" xfId="40130" xr:uid="{00000000-0005-0000-0000-0000C29C0000}"/>
    <cellStyle name="Total 43 2 6 2 3" xfId="40131" xr:uid="{00000000-0005-0000-0000-0000C39C0000}"/>
    <cellStyle name="Total 43 2 6 3" xfId="40132" xr:uid="{00000000-0005-0000-0000-0000C49C0000}"/>
    <cellStyle name="Total 43 2 6 4" xfId="40133" xr:uid="{00000000-0005-0000-0000-0000C59C0000}"/>
    <cellStyle name="Total 43 2 7" xfId="40134" xr:uid="{00000000-0005-0000-0000-0000C69C0000}"/>
    <cellStyle name="Total 43 2 7 2" xfId="40135" xr:uid="{00000000-0005-0000-0000-0000C79C0000}"/>
    <cellStyle name="Total 43 2 7 2 2" xfId="40136" xr:uid="{00000000-0005-0000-0000-0000C89C0000}"/>
    <cellStyle name="Total 43 2 7 2 3" xfId="40137" xr:uid="{00000000-0005-0000-0000-0000C99C0000}"/>
    <cellStyle name="Total 43 2 7 3" xfId="40138" xr:uid="{00000000-0005-0000-0000-0000CA9C0000}"/>
    <cellStyle name="Total 43 2 7 4" xfId="40139" xr:uid="{00000000-0005-0000-0000-0000CB9C0000}"/>
    <cellStyle name="Total 43 2 8" xfId="40140" xr:uid="{00000000-0005-0000-0000-0000CC9C0000}"/>
    <cellStyle name="Total 43 2 8 2" xfId="40141" xr:uid="{00000000-0005-0000-0000-0000CD9C0000}"/>
    <cellStyle name="Total 43 2 8 2 2" xfId="40142" xr:uid="{00000000-0005-0000-0000-0000CE9C0000}"/>
    <cellStyle name="Total 43 2 8 2 3" xfId="40143" xr:uid="{00000000-0005-0000-0000-0000CF9C0000}"/>
    <cellStyle name="Total 43 2 8 3" xfId="40144" xr:uid="{00000000-0005-0000-0000-0000D09C0000}"/>
    <cellStyle name="Total 43 2 8 4" xfId="40145" xr:uid="{00000000-0005-0000-0000-0000D19C0000}"/>
    <cellStyle name="Total 43 2 9" xfId="40146" xr:uid="{00000000-0005-0000-0000-0000D29C0000}"/>
    <cellStyle name="Total 43 2 9 2" xfId="40147" xr:uid="{00000000-0005-0000-0000-0000D39C0000}"/>
    <cellStyle name="Total 43 2 9 2 2" xfId="40148" xr:uid="{00000000-0005-0000-0000-0000D49C0000}"/>
    <cellStyle name="Total 43 2 9 2 3" xfId="40149" xr:uid="{00000000-0005-0000-0000-0000D59C0000}"/>
    <cellStyle name="Total 43 2 9 3" xfId="40150" xr:uid="{00000000-0005-0000-0000-0000D69C0000}"/>
    <cellStyle name="Total 43 2 9 4" xfId="40151" xr:uid="{00000000-0005-0000-0000-0000D79C0000}"/>
    <cellStyle name="Total 43 3" xfId="40152" xr:uid="{00000000-0005-0000-0000-0000D89C0000}"/>
    <cellStyle name="Total 43 3 2" xfId="40153" xr:uid="{00000000-0005-0000-0000-0000D99C0000}"/>
    <cellStyle name="Total 43 3 2 2" xfId="40154" xr:uid="{00000000-0005-0000-0000-0000DA9C0000}"/>
    <cellStyle name="Total 43 3 2 3" xfId="40155" xr:uid="{00000000-0005-0000-0000-0000DB9C0000}"/>
    <cellStyle name="Total 43 3 3" xfId="40156" xr:uid="{00000000-0005-0000-0000-0000DC9C0000}"/>
    <cellStyle name="Total 43 3 4" xfId="40157" xr:uid="{00000000-0005-0000-0000-0000DD9C0000}"/>
    <cellStyle name="Total 43 4" xfId="40158" xr:uid="{00000000-0005-0000-0000-0000DE9C0000}"/>
    <cellStyle name="Total 43 5" xfId="40159" xr:uid="{00000000-0005-0000-0000-0000DF9C0000}"/>
    <cellStyle name="Total 44" xfId="40160" xr:uid="{00000000-0005-0000-0000-0000E09C0000}"/>
    <cellStyle name="Total 44 2" xfId="40161" xr:uid="{00000000-0005-0000-0000-0000E19C0000}"/>
    <cellStyle name="Total 44 2 10" xfId="40162" xr:uid="{00000000-0005-0000-0000-0000E29C0000}"/>
    <cellStyle name="Total 44 2 10 2" xfId="40163" xr:uid="{00000000-0005-0000-0000-0000E39C0000}"/>
    <cellStyle name="Total 44 2 10 2 2" xfId="40164" xr:uid="{00000000-0005-0000-0000-0000E49C0000}"/>
    <cellStyle name="Total 44 2 10 2 3" xfId="40165" xr:uid="{00000000-0005-0000-0000-0000E59C0000}"/>
    <cellStyle name="Total 44 2 10 3" xfId="40166" xr:uid="{00000000-0005-0000-0000-0000E69C0000}"/>
    <cellStyle name="Total 44 2 10 4" xfId="40167" xr:uid="{00000000-0005-0000-0000-0000E79C0000}"/>
    <cellStyle name="Total 44 2 11" xfId="40168" xr:uid="{00000000-0005-0000-0000-0000E89C0000}"/>
    <cellStyle name="Total 44 2 11 2" xfId="40169" xr:uid="{00000000-0005-0000-0000-0000E99C0000}"/>
    <cellStyle name="Total 44 2 11 2 2" xfId="40170" xr:uid="{00000000-0005-0000-0000-0000EA9C0000}"/>
    <cellStyle name="Total 44 2 11 2 3" xfId="40171" xr:uid="{00000000-0005-0000-0000-0000EB9C0000}"/>
    <cellStyle name="Total 44 2 11 3" xfId="40172" xr:uid="{00000000-0005-0000-0000-0000EC9C0000}"/>
    <cellStyle name="Total 44 2 11 4" xfId="40173" xr:uid="{00000000-0005-0000-0000-0000ED9C0000}"/>
    <cellStyle name="Total 44 2 12" xfId="40174" xr:uid="{00000000-0005-0000-0000-0000EE9C0000}"/>
    <cellStyle name="Total 44 2 12 2" xfId="40175" xr:uid="{00000000-0005-0000-0000-0000EF9C0000}"/>
    <cellStyle name="Total 44 2 12 2 2" xfId="40176" xr:uid="{00000000-0005-0000-0000-0000F09C0000}"/>
    <cellStyle name="Total 44 2 12 2 3" xfId="40177" xr:uid="{00000000-0005-0000-0000-0000F19C0000}"/>
    <cellStyle name="Total 44 2 12 3" xfId="40178" xr:uid="{00000000-0005-0000-0000-0000F29C0000}"/>
    <cellStyle name="Total 44 2 12 4" xfId="40179" xr:uid="{00000000-0005-0000-0000-0000F39C0000}"/>
    <cellStyle name="Total 44 2 13" xfId="40180" xr:uid="{00000000-0005-0000-0000-0000F49C0000}"/>
    <cellStyle name="Total 44 2 13 2" xfId="40181" xr:uid="{00000000-0005-0000-0000-0000F59C0000}"/>
    <cellStyle name="Total 44 2 13 2 2" xfId="40182" xr:uid="{00000000-0005-0000-0000-0000F69C0000}"/>
    <cellStyle name="Total 44 2 13 2 3" xfId="40183" xr:uid="{00000000-0005-0000-0000-0000F79C0000}"/>
    <cellStyle name="Total 44 2 13 3" xfId="40184" xr:uid="{00000000-0005-0000-0000-0000F89C0000}"/>
    <cellStyle name="Total 44 2 13 4" xfId="40185" xr:uid="{00000000-0005-0000-0000-0000F99C0000}"/>
    <cellStyle name="Total 44 2 14" xfId="40186" xr:uid="{00000000-0005-0000-0000-0000FA9C0000}"/>
    <cellStyle name="Total 44 2 14 2" xfId="40187" xr:uid="{00000000-0005-0000-0000-0000FB9C0000}"/>
    <cellStyle name="Total 44 2 14 2 2" xfId="40188" xr:uid="{00000000-0005-0000-0000-0000FC9C0000}"/>
    <cellStyle name="Total 44 2 14 2 3" xfId="40189" xr:uid="{00000000-0005-0000-0000-0000FD9C0000}"/>
    <cellStyle name="Total 44 2 14 3" xfId="40190" xr:uid="{00000000-0005-0000-0000-0000FE9C0000}"/>
    <cellStyle name="Total 44 2 14 4" xfId="40191" xr:uid="{00000000-0005-0000-0000-0000FF9C0000}"/>
    <cellStyle name="Total 44 2 15" xfId="40192" xr:uid="{00000000-0005-0000-0000-0000009D0000}"/>
    <cellStyle name="Total 44 2 15 2" xfId="40193" xr:uid="{00000000-0005-0000-0000-0000019D0000}"/>
    <cellStyle name="Total 44 2 15 2 2" xfId="40194" xr:uid="{00000000-0005-0000-0000-0000029D0000}"/>
    <cellStyle name="Total 44 2 15 2 3" xfId="40195" xr:uid="{00000000-0005-0000-0000-0000039D0000}"/>
    <cellStyle name="Total 44 2 15 3" xfId="40196" xr:uid="{00000000-0005-0000-0000-0000049D0000}"/>
    <cellStyle name="Total 44 2 15 4" xfId="40197" xr:uid="{00000000-0005-0000-0000-0000059D0000}"/>
    <cellStyle name="Total 44 2 16" xfId="40198" xr:uid="{00000000-0005-0000-0000-0000069D0000}"/>
    <cellStyle name="Total 44 2 16 2" xfId="40199" xr:uid="{00000000-0005-0000-0000-0000079D0000}"/>
    <cellStyle name="Total 44 2 16 2 2" xfId="40200" xr:uid="{00000000-0005-0000-0000-0000089D0000}"/>
    <cellStyle name="Total 44 2 16 2 3" xfId="40201" xr:uid="{00000000-0005-0000-0000-0000099D0000}"/>
    <cellStyle name="Total 44 2 16 3" xfId="40202" xr:uid="{00000000-0005-0000-0000-00000A9D0000}"/>
    <cellStyle name="Total 44 2 16 4" xfId="40203" xr:uid="{00000000-0005-0000-0000-00000B9D0000}"/>
    <cellStyle name="Total 44 2 17" xfId="40204" xr:uid="{00000000-0005-0000-0000-00000C9D0000}"/>
    <cellStyle name="Total 44 2 17 2" xfId="40205" xr:uid="{00000000-0005-0000-0000-00000D9D0000}"/>
    <cellStyle name="Total 44 2 17 2 2" xfId="40206" xr:uid="{00000000-0005-0000-0000-00000E9D0000}"/>
    <cellStyle name="Total 44 2 17 2 3" xfId="40207" xr:uid="{00000000-0005-0000-0000-00000F9D0000}"/>
    <cellStyle name="Total 44 2 17 3" xfId="40208" xr:uid="{00000000-0005-0000-0000-0000109D0000}"/>
    <cellStyle name="Total 44 2 17 4" xfId="40209" xr:uid="{00000000-0005-0000-0000-0000119D0000}"/>
    <cellStyle name="Total 44 2 18" xfId="40210" xr:uid="{00000000-0005-0000-0000-0000129D0000}"/>
    <cellStyle name="Total 44 2 18 2" xfId="40211" xr:uid="{00000000-0005-0000-0000-0000139D0000}"/>
    <cellStyle name="Total 44 2 18 3" xfId="40212" xr:uid="{00000000-0005-0000-0000-0000149D0000}"/>
    <cellStyle name="Total 44 2 18 4" xfId="40213" xr:uid="{00000000-0005-0000-0000-0000159D0000}"/>
    <cellStyle name="Total 44 2 19" xfId="40214" xr:uid="{00000000-0005-0000-0000-0000169D0000}"/>
    <cellStyle name="Total 44 2 2" xfId="40215" xr:uid="{00000000-0005-0000-0000-0000179D0000}"/>
    <cellStyle name="Total 44 2 2 2" xfId="40216" xr:uid="{00000000-0005-0000-0000-0000189D0000}"/>
    <cellStyle name="Total 44 2 2 2 2" xfId="40217" xr:uid="{00000000-0005-0000-0000-0000199D0000}"/>
    <cellStyle name="Total 44 2 2 2 3" xfId="40218" xr:uid="{00000000-0005-0000-0000-00001A9D0000}"/>
    <cellStyle name="Total 44 2 2 3" xfId="40219" xr:uid="{00000000-0005-0000-0000-00001B9D0000}"/>
    <cellStyle name="Total 44 2 2 4" xfId="40220" xr:uid="{00000000-0005-0000-0000-00001C9D0000}"/>
    <cellStyle name="Total 44 2 20" xfId="40221" xr:uid="{00000000-0005-0000-0000-00001D9D0000}"/>
    <cellStyle name="Total 44 2 21" xfId="40222" xr:uid="{00000000-0005-0000-0000-00001E9D0000}"/>
    <cellStyle name="Total 44 2 3" xfId="40223" xr:uid="{00000000-0005-0000-0000-00001F9D0000}"/>
    <cellStyle name="Total 44 2 3 2" xfId="40224" xr:uid="{00000000-0005-0000-0000-0000209D0000}"/>
    <cellStyle name="Total 44 2 3 2 2" xfId="40225" xr:uid="{00000000-0005-0000-0000-0000219D0000}"/>
    <cellStyle name="Total 44 2 3 2 3" xfId="40226" xr:uid="{00000000-0005-0000-0000-0000229D0000}"/>
    <cellStyle name="Total 44 2 3 3" xfId="40227" xr:uid="{00000000-0005-0000-0000-0000239D0000}"/>
    <cellStyle name="Total 44 2 3 4" xfId="40228" xr:uid="{00000000-0005-0000-0000-0000249D0000}"/>
    <cellStyle name="Total 44 2 4" xfId="40229" xr:uid="{00000000-0005-0000-0000-0000259D0000}"/>
    <cellStyle name="Total 44 2 4 2" xfId="40230" xr:uid="{00000000-0005-0000-0000-0000269D0000}"/>
    <cellStyle name="Total 44 2 4 2 2" xfId="40231" xr:uid="{00000000-0005-0000-0000-0000279D0000}"/>
    <cellStyle name="Total 44 2 4 2 3" xfId="40232" xr:uid="{00000000-0005-0000-0000-0000289D0000}"/>
    <cellStyle name="Total 44 2 4 3" xfId="40233" xr:uid="{00000000-0005-0000-0000-0000299D0000}"/>
    <cellStyle name="Total 44 2 4 4" xfId="40234" xr:uid="{00000000-0005-0000-0000-00002A9D0000}"/>
    <cellStyle name="Total 44 2 5" xfId="40235" xr:uid="{00000000-0005-0000-0000-00002B9D0000}"/>
    <cellStyle name="Total 44 2 5 2" xfId="40236" xr:uid="{00000000-0005-0000-0000-00002C9D0000}"/>
    <cellStyle name="Total 44 2 5 2 2" xfId="40237" xr:uid="{00000000-0005-0000-0000-00002D9D0000}"/>
    <cellStyle name="Total 44 2 5 2 3" xfId="40238" xr:uid="{00000000-0005-0000-0000-00002E9D0000}"/>
    <cellStyle name="Total 44 2 5 3" xfId="40239" xr:uid="{00000000-0005-0000-0000-00002F9D0000}"/>
    <cellStyle name="Total 44 2 5 4" xfId="40240" xr:uid="{00000000-0005-0000-0000-0000309D0000}"/>
    <cellStyle name="Total 44 2 6" xfId="40241" xr:uid="{00000000-0005-0000-0000-0000319D0000}"/>
    <cellStyle name="Total 44 2 6 2" xfId="40242" xr:uid="{00000000-0005-0000-0000-0000329D0000}"/>
    <cellStyle name="Total 44 2 6 2 2" xfId="40243" xr:uid="{00000000-0005-0000-0000-0000339D0000}"/>
    <cellStyle name="Total 44 2 6 2 3" xfId="40244" xr:uid="{00000000-0005-0000-0000-0000349D0000}"/>
    <cellStyle name="Total 44 2 6 3" xfId="40245" xr:uid="{00000000-0005-0000-0000-0000359D0000}"/>
    <cellStyle name="Total 44 2 6 4" xfId="40246" xr:uid="{00000000-0005-0000-0000-0000369D0000}"/>
    <cellStyle name="Total 44 2 7" xfId="40247" xr:uid="{00000000-0005-0000-0000-0000379D0000}"/>
    <cellStyle name="Total 44 2 7 2" xfId="40248" xr:uid="{00000000-0005-0000-0000-0000389D0000}"/>
    <cellStyle name="Total 44 2 7 2 2" xfId="40249" xr:uid="{00000000-0005-0000-0000-0000399D0000}"/>
    <cellStyle name="Total 44 2 7 2 3" xfId="40250" xr:uid="{00000000-0005-0000-0000-00003A9D0000}"/>
    <cellStyle name="Total 44 2 7 3" xfId="40251" xr:uid="{00000000-0005-0000-0000-00003B9D0000}"/>
    <cellStyle name="Total 44 2 7 4" xfId="40252" xr:uid="{00000000-0005-0000-0000-00003C9D0000}"/>
    <cellStyle name="Total 44 2 8" xfId="40253" xr:uid="{00000000-0005-0000-0000-00003D9D0000}"/>
    <cellStyle name="Total 44 2 8 2" xfId="40254" xr:uid="{00000000-0005-0000-0000-00003E9D0000}"/>
    <cellStyle name="Total 44 2 8 2 2" xfId="40255" xr:uid="{00000000-0005-0000-0000-00003F9D0000}"/>
    <cellStyle name="Total 44 2 8 2 3" xfId="40256" xr:uid="{00000000-0005-0000-0000-0000409D0000}"/>
    <cellStyle name="Total 44 2 8 3" xfId="40257" xr:uid="{00000000-0005-0000-0000-0000419D0000}"/>
    <cellStyle name="Total 44 2 8 4" xfId="40258" xr:uid="{00000000-0005-0000-0000-0000429D0000}"/>
    <cellStyle name="Total 44 2 9" xfId="40259" xr:uid="{00000000-0005-0000-0000-0000439D0000}"/>
    <cellStyle name="Total 44 2 9 2" xfId="40260" xr:uid="{00000000-0005-0000-0000-0000449D0000}"/>
    <cellStyle name="Total 44 2 9 2 2" xfId="40261" xr:uid="{00000000-0005-0000-0000-0000459D0000}"/>
    <cellStyle name="Total 44 2 9 2 3" xfId="40262" xr:uid="{00000000-0005-0000-0000-0000469D0000}"/>
    <cellStyle name="Total 44 2 9 3" xfId="40263" xr:uid="{00000000-0005-0000-0000-0000479D0000}"/>
    <cellStyle name="Total 44 2 9 4" xfId="40264" xr:uid="{00000000-0005-0000-0000-0000489D0000}"/>
    <cellStyle name="Total 44 3" xfId="40265" xr:uid="{00000000-0005-0000-0000-0000499D0000}"/>
    <cellStyle name="Total 44 3 2" xfId="40266" xr:uid="{00000000-0005-0000-0000-00004A9D0000}"/>
    <cellStyle name="Total 44 3 2 2" xfId="40267" xr:uid="{00000000-0005-0000-0000-00004B9D0000}"/>
    <cellStyle name="Total 44 3 2 3" xfId="40268" xr:uid="{00000000-0005-0000-0000-00004C9D0000}"/>
    <cellStyle name="Total 44 3 3" xfId="40269" xr:uid="{00000000-0005-0000-0000-00004D9D0000}"/>
    <cellStyle name="Total 44 3 4" xfId="40270" xr:uid="{00000000-0005-0000-0000-00004E9D0000}"/>
    <cellStyle name="Total 44 4" xfId="40271" xr:uid="{00000000-0005-0000-0000-00004F9D0000}"/>
    <cellStyle name="Total 44 5" xfId="40272" xr:uid="{00000000-0005-0000-0000-0000509D0000}"/>
    <cellStyle name="Total 45" xfId="40273" xr:uid="{00000000-0005-0000-0000-0000519D0000}"/>
    <cellStyle name="Total 45 2" xfId="40274" xr:uid="{00000000-0005-0000-0000-0000529D0000}"/>
    <cellStyle name="Total 45 2 10" xfId="40275" xr:uid="{00000000-0005-0000-0000-0000539D0000}"/>
    <cellStyle name="Total 45 2 10 2" xfId="40276" xr:uid="{00000000-0005-0000-0000-0000549D0000}"/>
    <cellStyle name="Total 45 2 10 2 2" xfId="40277" xr:uid="{00000000-0005-0000-0000-0000559D0000}"/>
    <cellStyle name="Total 45 2 10 2 3" xfId="40278" xr:uid="{00000000-0005-0000-0000-0000569D0000}"/>
    <cellStyle name="Total 45 2 10 3" xfId="40279" xr:uid="{00000000-0005-0000-0000-0000579D0000}"/>
    <cellStyle name="Total 45 2 10 4" xfId="40280" xr:uid="{00000000-0005-0000-0000-0000589D0000}"/>
    <cellStyle name="Total 45 2 11" xfId="40281" xr:uid="{00000000-0005-0000-0000-0000599D0000}"/>
    <cellStyle name="Total 45 2 11 2" xfId="40282" xr:uid="{00000000-0005-0000-0000-00005A9D0000}"/>
    <cellStyle name="Total 45 2 11 2 2" xfId="40283" xr:uid="{00000000-0005-0000-0000-00005B9D0000}"/>
    <cellStyle name="Total 45 2 11 2 3" xfId="40284" xr:uid="{00000000-0005-0000-0000-00005C9D0000}"/>
    <cellStyle name="Total 45 2 11 3" xfId="40285" xr:uid="{00000000-0005-0000-0000-00005D9D0000}"/>
    <cellStyle name="Total 45 2 11 4" xfId="40286" xr:uid="{00000000-0005-0000-0000-00005E9D0000}"/>
    <cellStyle name="Total 45 2 12" xfId="40287" xr:uid="{00000000-0005-0000-0000-00005F9D0000}"/>
    <cellStyle name="Total 45 2 12 2" xfId="40288" xr:uid="{00000000-0005-0000-0000-0000609D0000}"/>
    <cellStyle name="Total 45 2 12 2 2" xfId="40289" xr:uid="{00000000-0005-0000-0000-0000619D0000}"/>
    <cellStyle name="Total 45 2 12 2 3" xfId="40290" xr:uid="{00000000-0005-0000-0000-0000629D0000}"/>
    <cellStyle name="Total 45 2 12 3" xfId="40291" xr:uid="{00000000-0005-0000-0000-0000639D0000}"/>
    <cellStyle name="Total 45 2 12 4" xfId="40292" xr:uid="{00000000-0005-0000-0000-0000649D0000}"/>
    <cellStyle name="Total 45 2 13" xfId="40293" xr:uid="{00000000-0005-0000-0000-0000659D0000}"/>
    <cellStyle name="Total 45 2 13 2" xfId="40294" xr:uid="{00000000-0005-0000-0000-0000669D0000}"/>
    <cellStyle name="Total 45 2 13 2 2" xfId="40295" xr:uid="{00000000-0005-0000-0000-0000679D0000}"/>
    <cellStyle name="Total 45 2 13 2 3" xfId="40296" xr:uid="{00000000-0005-0000-0000-0000689D0000}"/>
    <cellStyle name="Total 45 2 13 3" xfId="40297" xr:uid="{00000000-0005-0000-0000-0000699D0000}"/>
    <cellStyle name="Total 45 2 13 4" xfId="40298" xr:uid="{00000000-0005-0000-0000-00006A9D0000}"/>
    <cellStyle name="Total 45 2 14" xfId="40299" xr:uid="{00000000-0005-0000-0000-00006B9D0000}"/>
    <cellStyle name="Total 45 2 14 2" xfId="40300" xr:uid="{00000000-0005-0000-0000-00006C9D0000}"/>
    <cellStyle name="Total 45 2 14 2 2" xfId="40301" xr:uid="{00000000-0005-0000-0000-00006D9D0000}"/>
    <cellStyle name="Total 45 2 14 2 3" xfId="40302" xr:uid="{00000000-0005-0000-0000-00006E9D0000}"/>
    <cellStyle name="Total 45 2 14 3" xfId="40303" xr:uid="{00000000-0005-0000-0000-00006F9D0000}"/>
    <cellStyle name="Total 45 2 14 4" xfId="40304" xr:uid="{00000000-0005-0000-0000-0000709D0000}"/>
    <cellStyle name="Total 45 2 15" xfId="40305" xr:uid="{00000000-0005-0000-0000-0000719D0000}"/>
    <cellStyle name="Total 45 2 15 2" xfId="40306" xr:uid="{00000000-0005-0000-0000-0000729D0000}"/>
    <cellStyle name="Total 45 2 15 2 2" xfId="40307" xr:uid="{00000000-0005-0000-0000-0000739D0000}"/>
    <cellStyle name="Total 45 2 15 2 3" xfId="40308" xr:uid="{00000000-0005-0000-0000-0000749D0000}"/>
    <cellStyle name="Total 45 2 15 3" xfId="40309" xr:uid="{00000000-0005-0000-0000-0000759D0000}"/>
    <cellStyle name="Total 45 2 15 4" xfId="40310" xr:uid="{00000000-0005-0000-0000-0000769D0000}"/>
    <cellStyle name="Total 45 2 16" xfId="40311" xr:uid="{00000000-0005-0000-0000-0000779D0000}"/>
    <cellStyle name="Total 45 2 16 2" xfId="40312" xr:uid="{00000000-0005-0000-0000-0000789D0000}"/>
    <cellStyle name="Total 45 2 16 2 2" xfId="40313" xr:uid="{00000000-0005-0000-0000-0000799D0000}"/>
    <cellStyle name="Total 45 2 16 2 3" xfId="40314" xr:uid="{00000000-0005-0000-0000-00007A9D0000}"/>
    <cellStyle name="Total 45 2 16 3" xfId="40315" xr:uid="{00000000-0005-0000-0000-00007B9D0000}"/>
    <cellStyle name="Total 45 2 16 4" xfId="40316" xr:uid="{00000000-0005-0000-0000-00007C9D0000}"/>
    <cellStyle name="Total 45 2 17" xfId="40317" xr:uid="{00000000-0005-0000-0000-00007D9D0000}"/>
    <cellStyle name="Total 45 2 17 2" xfId="40318" xr:uid="{00000000-0005-0000-0000-00007E9D0000}"/>
    <cellStyle name="Total 45 2 17 2 2" xfId="40319" xr:uid="{00000000-0005-0000-0000-00007F9D0000}"/>
    <cellStyle name="Total 45 2 17 2 3" xfId="40320" xr:uid="{00000000-0005-0000-0000-0000809D0000}"/>
    <cellStyle name="Total 45 2 17 3" xfId="40321" xr:uid="{00000000-0005-0000-0000-0000819D0000}"/>
    <cellStyle name="Total 45 2 17 4" xfId="40322" xr:uid="{00000000-0005-0000-0000-0000829D0000}"/>
    <cellStyle name="Total 45 2 18" xfId="40323" xr:uid="{00000000-0005-0000-0000-0000839D0000}"/>
    <cellStyle name="Total 45 2 18 2" xfId="40324" xr:uid="{00000000-0005-0000-0000-0000849D0000}"/>
    <cellStyle name="Total 45 2 18 3" xfId="40325" xr:uid="{00000000-0005-0000-0000-0000859D0000}"/>
    <cellStyle name="Total 45 2 18 4" xfId="40326" xr:uid="{00000000-0005-0000-0000-0000869D0000}"/>
    <cellStyle name="Total 45 2 19" xfId="40327" xr:uid="{00000000-0005-0000-0000-0000879D0000}"/>
    <cellStyle name="Total 45 2 2" xfId="40328" xr:uid="{00000000-0005-0000-0000-0000889D0000}"/>
    <cellStyle name="Total 45 2 2 2" xfId="40329" xr:uid="{00000000-0005-0000-0000-0000899D0000}"/>
    <cellStyle name="Total 45 2 2 2 2" xfId="40330" xr:uid="{00000000-0005-0000-0000-00008A9D0000}"/>
    <cellStyle name="Total 45 2 2 2 3" xfId="40331" xr:uid="{00000000-0005-0000-0000-00008B9D0000}"/>
    <cellStyle name="Total 45 2 2 3" xfId="40332" xr:uid="{00000000-0005-0000-0000-00008C9D0000}"/>
    <cellStyle name="Total 45 2 2 4" xfId="40333" xr:uid="{00000000-0005-0000-0000-00008D9D0000}"/>
    <cellStyle name="Total 45 2 20" xfId="40334" xr:uid="{00000000-0005-0000-0000-00008E9D0000}"/>
    <cellStyle name="Total 45 2 21" xfId="40335" xr:uid="{00000000-0005-0000-0000-00008F9D0000}"/>
    <cellStyle name="Total 45 2 3" xfId="40336" xr:uid="{00000000-0005-0000-0000-0000909D0000}"/>
    <cellStyle name="Total 45 2 3 2" xfId="40337" xr:uid="{00000000-0005-0000-0000-0000919D0000}"/>
    <cellStyle name="Total 45 2 3 2 2" xfId="40338" xr:uid="{00000000-0005-0000-0000-0000929D0000}"/>
    <cellStyle name="Total 45 2 3 2 3" xfId="40339" xr:uid="{00000000-0005-0000-0000-0000939D0000}"/>
    <cellStyle name="Total 45 2 3 3" xfId="40340" xr:uid="{00000000-0005-0000-0000-0000949D0000}"/>
    <cellStyle name="Total 45 2 3 4" xfId="40341" xr:uid="{00000000-0005-0000-0000-0000959D0000}"/>
    <cellStyle name="Total 45 2 4" xfId="40342" xr:uid="{00000000-0005-0000-0000-0000969D0000}"/>
    <cellStyle name="Total 45 2 4 2" xfId="40343" xr:uid="{00000000-0005-0000-0000-0000979D0000}"/>
    <cellStyle name="Total 45 2 4 2 2" xfId="40344" xr:uid="{00000000-0005-0000-0000-0000989D0000}"/>
    <cellStyle name="Total 45 2 4 2 3" xfId="40345" xr:uid="{00000000-0005-0000-0000-0000999D0000}"/>
    <cellStyle name="Total 45 2 4 3" xfId="40346" xr:uid="{00000000-0005-0000-0000-00009A9D0000}"/>
    <cellStyle name="Total 45 2 4 4" xfId="40347" xr:uid="{00000000-0005-0000-0000-00009B9D0000}"/>
    <cellStyle name="Total 45 2 5" xfId="40348" xr:uid="{00000000-0005-0000-0000-00009C9D0000}"/>
    <cellStyle name="Total 45 2 5 2" xfId="40349" xr:uid="{00000000-0005-0000-0000-00009D9D0000}"/>
    <cellStyle name="Total 45 2 5 2 2" xfId="40350" xr:uid="{00000000-0005-0000-0000-00009E9D0000}"/>
    <cellStyle name="Total 45 2 5 2 3" xfId="40351" xr:uid="{00000000-0005-0000-0000-00009F9D0000}"/>
    <cellStyle name="Total 45 2 5 3" xfId="40352" xr:uid="{00000000-0005-0000-0000-0000A09D0000}"/>
    <cellStyle name="Total 45 2 5 4" xfId="40353" xr:uid="{00000000-0005-0000-0000-0000A19D0000}"/>
    <cellStyle name="Total 45 2 6" xfId="40354" xr:uid="{00000000-0005-0000-0000-0000A29D0000}"/>
    <cellStyle name="Total 45 2 6 2" xfId="40355" xr:uid="{00000000-0005-0000-0000-0000A39D0000}"/>
    <cellStyle name="Total 45 2 6 2 2" xfId="40356" xr:uid="{00000000-0005-0000-0000-0000A49D0000}"/>
    <cellStyle name="Total 45 2 6 2 3" xfId="40357" xr:uid="{00000000-0005-0000-0000-0000A59D0000}"/>
    <cellStyle name="Total 45 2 6 3" xfId="40358" xr:uid="{00000000-0005-0000-0000-0000A69D0000}"/>
    <cellStyle name="Total 45 2 6 4" xfId="40359" xr:uid="{00000000-0005-0000-0000-0000A79D0000}"/>
    <cellStyle name="Total 45 2 7" xfId="40360" xr:uid="{00000000-0005-0000-0000-0000A89D0000}"/>
    <cellStyle name="Total 45 2 7 2" xfId="40361" xr:uid="{00000000-0005-0000-0000-0000A99D0000}"/>
    <cellStyle name="Total 45 2 7 2 2" xfId="40362" xr:uid="{00000000-0005-0000-0000-0000AA9D0000}"/>
    <cellStyle name="Total 45 2 7 2 3" xfId="40363" xr:uid="{00000000-0005-0000-0000-0000AB9D0000}"/>
    <cellStyle name="Total 45 2 7 3" xfId="40364" xr:uid="{00000000-0005-0000-0000-0000AC9D0000}"/>
    <cellStyle name="Total 45 2 7 4" xfId="40365" xr:uid="{00000000-0005-0000-0000-0000AD9D0000}"/>
    <cellStyle name="Total 45 2 8" xfId="40366" xr:uid="{00000000-0005-0000-0000-0000AE9D0000}"/>
    <cellStyle name="Total 45 2 8 2" xfId="40367" xr:uid="{00000000-0005-0000-0000-0000AF9D0000}"/>
    <cellStyle name="Total 45 2 8 2 2" xfId="40368" xr:uid="{00000000-0005-0000-0000-0000B09D0000}"/>
    <cellStyle name="Total 45 2 8 2 3" xfId="40369" xr:uid="{00000000-0005-0000-0000-0000B19D0000}"/>
    <cellStyle name="Total 45 2 8 3" xfId="40370" xr:uid="{00000000-0005-0000-0000-0000B29D0000}"/>
    <cellStyle name="Total 45 2 8 4" xfId="40371" xr:uid="{00000000-0005-0000-0000-0000B39D0000}"/>
    <cellStyle name="Total 45 2 9" xfId="40372" xr:uid="{00000000-0005-0000-0000-0000B49D0000}"/>
    <cellStyle name="Total 45 2 9 2" xfId="40373" xr:uid="{00000000-0005-0000-0000-0000B59D0000}"/>
    <cellStyle name="Total 45 2 9 2 2" xfId="40374" xr:uid="{00000000-0005-0000-0000-0000B69D0000}"/>
    <cellStyle name="Total 45 2 9 2 3" xfId="40375" xr:uid="{00000000-0005-0000-0000-0000B79D0000}"/>
    <cellStyle name="Total 45 2 9 3" xfId="40376" xr:uid="{00000000-0005-0000-0000-0000B89D0000}"/>
    <cellStyle name="Total 45 2 9 4" xfId="40377" xr:uid="{00000000-0005-0000-0000-0000B99D0000}"/>
    <cellStyle name="Total 45 3" xfId="40378" xr:uid="{00000000-0005-0000-0000-0000BA9D0000}"/>
    <cellStyle name="Total 45 3 2" xfId="40379" xr:uid="{00000000-0005-0000-0000-0000BB9D0000}"/>
    <cellStyle name="Total 45 3 2 2" xfId="40380" xr:uid="{00000000-0005-0000-0000-0000BC9D0000}"/>
    <cellStyle name="Total 45 3 2 3" xfId="40381" xr:uid="{00000000-0005-0000-0000-0000BD9D0000}"/>
    <cellStyle name="Total 45 3 3" xfId="40382" xr:uid="{00000000-0005-0000-0000-0000BE9D0000}"/>
    <cellStyle name="Total 45 3 4" xfId="40383" xr:uid="{00000000-0005-0000-0000-0000BF9D0000}"/>
    <cellStyle name="Total 45 4" xfId="40384" xr:uid="{00000000-0005-0000-0000-0000C09D0000}"/>
    <cellStyle name="Total 45 5" xfId="40385" xr:uid="{00000000-0005-0000-0000-0000C19D0000}"/>
    <cellStyle name="Total 46" xfId="40386" xr:uid="{00000000-0005-0000-0000-0000C29D0000}"/>
    <cellStyle name="Total 46 2" xfId="40387" xr:uid="{00000000-0005-0000-0000-0000C39D0000}"/>
    <cellStyle name="Total 46 2 10" xfId="40388" xr:uid="{00000000-0005-0000-0000-0000C49D0000}"/>
    <cellStyle name="Total 46 2 10 2" xfId="40389" xr:uid="{00000000-0005-0000-0000-0000C59D0000}"/>
    <cellStyle name="Total 46 2 10 2 2" xfId="40390" xr:uid="{00000000-0005-0000-0000-0000C69D0000}"/>
    <cellStyle name="Total 46 2 10 2 3" xfId="40391" xr:uid="{00000000-0005-0000-0000-0000C79D0000}"/>
    <cellStyle name="Total 46 2 10 3" xfId="40392" xr:uid="{00000000-0005-0000-0000-0000C89D0000}"/>
    <cellStyle name="Total 46 2 10 4" xfId="40393" xr:uid="{00000000-0005-0000-0000-0000C99D0000}"/>
    <cellStyle name="Total 46 2 11" xfId="40394" xr:uid="{00000000-0005-0000-0000-0000CA9D0000}"/>
    <cellStyle name="Total 46 2 11 2" xfId="40395" xr:uid="{00000000-0005-0000-0000-0000CB9D0000}"/>
    <cellStyle name="Total 46 2 11 2 2" xfId="40396" xr:uid="{00000000-0005-0000-0000-0000CC9D0000}"/>
    <cellStyle name="Total 46 2 11 2 3" xfId="40397" xr:uid="{00000000-0005-0000-0000-0000CD9D0000}"/>
    <cellStyle name="Total 46 2 11 3" xfId="40398" xr:uid="{00000000-0005-0000-0000-0000CE9D0000}"/>
    <cellStyle name="Total 46 2 11 4" xfId="40399" xr:uid="{00000000-0005-0000-0000-0000CF9D0000}"/>
    <cellStyle name="Total 46 2 12" xfId="40400" xr:uid="{00000000-0005-0000-0000-0000D09D0000}"/>
    <cellStyle name="Total 46 2 12 2" xfId="40401" xr:uid="{00000000-0005-0000-0000-0000D19D0000}"/>
    <cellStyle name="Total 46 2 12 2 2" xfId="40402" xr:uid="{00000000-0005-0000-0000-0000D29D0000}"/>
    <cellStyle name="Total 46 2 12 2 3" xfId="40403" xr:uid="{00000000-0005-0000-0000-0000D39D0000}"/>
    <cellStyle name="Total 46 2 12 3" xfId="40404" xr:uid="{00000000-0005-0000-0000-0000D49D0000}"/>
    <cellStyle name="Total 46 2 12 4" xfId="40405" xr:uid="{00000000-0005-0000-0000-0000D59D0000}"/>
    <cellStyle name="Total 46 2 13" xfId="40406" xr:uid="{00000000-0005-0000-0000-0000D69D0000}"/>
    <cellStyle name="Total 46 2 13 2" xfId="40407" xr:uid="{00000000-0005-0000-0000-0000D79D0000}"/>
    <cellStyle name="Total 46 2 13 2 2" xfId="40408" xr:uid="{00000000-0005-0000-0000-0000D89D0000}"/>
    <cellStyle name="Total 46 2 13 2 3" xfId="40409" xr:uid="{00000000-0005-0000-0000-0000D99D0000}"/>
    <cellStyle name="Total 46 2 13 3" xfId="40410" xr:uid="{00000000-0005-0000-0000-0000DA9D0000}"/>
    <cellStyle name="Total 46 2 13 4" xfId="40411" xr:uid="{00000000-0005-0000-0000-0000DB9D0000}"/>
    <cellStyle name="Total 46 2 14" xfId="40412" xr:uid="{00000000-0005-0000-0000-0000DC9D0000}"/>
    <cellStyle name="Total 46 2 14 2" xfId="40413" xr:uid="{00000000-0005-0000-0000-0000DD9D0000}"/>
    <cellStyle name="Total 46 2 14 2 2" xfId="40414" xr:uid="{00000000-0005-0000-0000-0000DE9D0000}"/>
    <cellStyle name="Total 46 2 14 2 3" xfId="40415" xr:uid="{00000000-0005-0000-0000-0000DF9D0000}"/>
    <cellStyle name="Total 46 2 14 3" xfId="40416" xr:uid="{00000000-0005-0000-0000-0000E09D0000}"/>
    <cellStyle name="Total 46 2 14 4" xfId="40417" xr:uid="{00000000-0005-0000-0000-0000E19D0000}"/>
    <cellStyle name="Total 46 2 15" xfId="40418" xr:uid="{00000000-0005-0000-0000-0000E29D0000}"/>
    <cellStyle name="Total 46 2 15 2" xfId="40419" xr:uid="{00000000-0005-0000-0000-0000E39D0000}"/>
    <cellStyle name="Total 46 2 15 2 2" xfId="40420" xr:uid="{00000000-0005-0000-0000-0000E49D0000}"/>
    <cellStyle name="Total 46 2 15 2 3" xfId="40421" xr:uid="{00000000-0005-0000-0000-0000E59D0000}"/>
    <cellStyle name="Total 46 2 15 3" xfId="40422" xr:uid="{00000000-0005-0000-0000-0000E69D0000}"/>
    <cellStyle name="Total 46 2 15 4" xfId="40423" xr:uid="{00000000-0005-0000-0000-0000E79D0000}"/>
    <cellStyle name="Total 46 2 16" xfId="40424" xr:uid="{00000000-0005-0000-0000-0000E89D0000}"/>
    <cellStyle name="Total 46 2 16 2" xfId="40425" xr:uid="{00000000-0005-0000-0000-0000E99D0000}"/>
    <cellStyle name="Total 46 2 16 2 2" xfId="40426" xr:uid="{00000000-0005-0000-0000-0000EA9D0000}"/>
    <cellStyle name="Total 46 2 16 2 3" xfId="40427" xr:uid="{00000000-0005-0000-0000-0000EB9D0000}"/>
    <cellStyle name="Total 46 2 16 3" xfId="40428" xr:uid="{00000000-0005-0000-0000-0000EC9D0000}"/>
    <cellStyle name="Total 46 2 16 4" xfId="40429" xr:uid="{00000000-0005-0000-0000-0000ED9D0000}"/>
    <cellStyle name="Total 46 2 17" xfId="40430" xr:uid="{00000000-0005-0000-0000-0000EE9D0000}"/>
    <cellStyle name="Total 46 2 17 2" xfId="40431" xr:uid="{00000000-0005-0000-0000-0000EF9D0000}"/>
    <cellStyle name="Total 46 2 17 2 2" xfId="40432" xr:uid="{00000000-0005-0000-0000-0000F09D0000}"/>
    <cellStyle name="Total 46 2 17 2 3" xfId="40433" xr:uid="{00000000-0005-0000-0000-0000F19D0000}"/>
    <cellStyle name="Total 46 2 17 3" xfId="40434" xr:uid="{00000000-0005-0000-0000-0000F29D0000}"/>
    <cellStyle name="Total 46 2 17 4" xfId="40435" xr:uid="{00000000-0005-0000-0000-0000F39D0000}"/>
    <cellStyle name="Total 46 2 18" xfId="40436" xr:uid="{00000000-0005-0000-0000-0000F49D0000}"/>
    <cellStyle name="Total 46 2 18 2" xfId="40437" xr:uid="{00000000-0005-0000-0000-0000F59D0000}"/>
    <cellStyle name="Total 46 2 18 3" xfId="40438" xr:uid="{00000000-0005-0000-0000-0000F69D0000}"/>
    <cellStyle name="Total 46 2 18 4" xfId="40439" xr:uid="{00000000-0005-0000-0000-0000F79D0000}"/>
    <cellStyle name="Total 46 2 19" xfId="40440" xr:uid="{00000000-0005-0000-0000-0000F89D0000}"/>
    <cellStyle name="Total 46 2 2" xfId="40441" xr:uid="{00000000-0005-0000-0000-0000F99D0000}"/>
    <cellStyle name="Total 46 2 2 2" xfId="40442" xr:uid="{00000000-0005-0000-0000-0000FA9D0000}"/>
    <cellStyle name="Total 46 2 2 2 2" xfId="40443" xr:uid="{00000000-0005-0000-0000-0000FB9D0000}"/>
    <cellStyle name="Total 46 2 2 2 3" xfId="40444" xr:uid="{00000000-0005-0000-0000-0000FC9D0000}"/>
    <cellStyle name="Total 46 2 2 3" xfId="40445" xr:uid="{00000000-0005-0000-0000-0000FD9D0000}"/>
    <cellStyle name="Total 46 2 2 4" xfId="40446" xr:uid="{00000000-0005-0000-0000-0000FE9D0000}"/>
    <cellStyle name="Total 46 2 20" xfId="40447" xr:uid="{00000000-0005-0000-0000-0000FF9D0000}"/>
    <cellStyle name="Total 46 2 21" xfId="40448" xr:uid="{00000000-0005-0000-0000-0000009E0000}"/>
    <cellStyle name="Total 46 2 3" xfId="40449" xr:uid="{00000000-0005-0000-0000-0000019E0000}"/>
    <cellStyle name="Total 46 2 3 2" xfId="40450" xr:uid="{00000000-0005-0000-0000-0000029E0000}"/>
    <cellStyle name="Total 46 2 3 2 2" xfId="40451" xr:uid="{00000000-0005-0000-0000-0000039E0000}"/>
    <cellStyle name="Total 46 2 3 2 3" xfId="40452" xr:uid="{00000000-0005-0000-0000-0000049E0000}"/>
    <cellStyle name="Total 46 2 3 3" xfId="40453" xr:uid="{00000000-0005-0000-0000-0000059E0000}"/>
    <cellStyle name="Total 46 2 3 4" xfId="40454" xr:uid="{00000000-0005-0000-0000-0000069E0000}"/>
    <cellStyle name="Total 46 2 4" xfId="40455" xr:uid="{00000000-0005-0000-0000-0000079E0000}"/>
    <cellStyle name="Total 46 2 4 2" xfId="40456" xr:uid="{00000000-0005-0000-0000-0000089E0000}"/>
    <cellStyle name="Total 46 2 4 2 2" xfId="40457" xr:uid="{00000000-0005-0000-0000-0000099E0000}"/>
    <cellStyle name="Total 46 2 4 2 3" xfId="40458" xr:uid="{00000000-0005-0000-0000-00000A9E0000}"/>
    <cellStyle name="Total 46 2 4 3" xfId="40459" xr:uid="{00000000-0005-0000-0000-00000B9E0000}"/>
    <cellStyle name="Total 46 2 4 4" xfId="40460" xr:uid="{00000000-0005-0000-0000-00000C9E0000}"/>
    <cellStyle name="Total 46 2 5" xfId="40461" xr:uid="{00000000-0005-0000-0000-00000D9E0000}"/>
    <cellStyle name="Total 46 2 5 2" xfId="40462" xr:uid="{00000000-0005-0000-0000-00000E9E0000}"/>
    <cellStyle name="Total 46 2 5 2 2" xfId="40463" xr:uid="{00000000-0005-0000-0000-00000F9E0000}"/>
    <cellStyle name="Total 46 2 5 2 3" xfId="40464" xr:uid="{00000000-0005-0000-0000-0000109E0000}"/>
    <cellStyle name="Total 46 2 5 3" xfId="40465" xr:uid="{00000000-0005-0000-0000-0000119E0000}"/>
    <cellStyle name="Total 46 2 5 4" xfId="40466" xr:uid="{00000000-0005-0000-0000-0000129E0000}"/>
    <cellStyle name="Total 46 2 6" xfId="40467" xr:uid="{00000000-0005-0000-0000-0000139E0000}"/>
    <cellStyle name="Total 46 2 6 2" xfId="40468" xr:uid="{00000000-0005-0000-0000-0000149E0000}"/>
    <cellStyle name="Total 46 2 6 2 2" xfId="40469" xr:uid="{00000000-0005-0000-0000-0000159E0000}"/>
    <cellStyle name="Total 46 2 6 2 3" xfId="40470" xr:uid="{00000000-0005-0000-0000-0000169E0000}"/>
    <cellStyle name="Total 46 2 6 3" xfId="40471" xr:uid="{00000000-0005-0000-0000-0000179E0000}"/>
    <cellStyle name="Total 46 2 6 4" xfId="40472" xr:uid="{00000000-0005-0000-0000-0000189E0000}"/>
    <cellStyle name="Total 46 2 7" xfId="40473" xr:uid="{00000000-0005-0000-0000-0000199E0000}"/>
    <cellStyle name="Total 46 2 7 2" xfId="40474" xr:uid="{00000000-0005-0000-0000-00001A9E0000}"/>
    <cellStyle name="Total 46 2 7 2 2" xfId="40475" xr:uid="{00000000-0005-0000-0000-00001B9E0000}"/>
    <cellStyle name="Total 46 2 7 2 3" xfId="40476" xr:uid="{00000000-0005-0000-0000-00001C9E0000}"/>
    <cellStyle name="Total 46 2 7 3" xfId="40477" xr:uid="{00000000-0005-0000-0000-00001D9E0000}"/>
    <cellStyle name="Total 46 2 7 4" xfId="40478" xr:uid="{00000000-0005-0000-0000-00001E9E0000}"/>
    <cellStyle name="Total 46 2 8" xfId="40479" xr:uid="{00000000-0005-0000-0000-00001F9E0000}"/>
    <cellStyle name="Total 46 2 8 2" xfId="40480" xr:uid="{00000000-0005-0000-0000-0000209E0000}"/>
    <cellStyle name="Total 46 2 8 2 2" xfId="40481" xr:uid="{00000000-0005-0000-0000-0000219E0000}"/>
    <cellStyle name="Total 46 2 8 2 3" xfId="40482" xr:uid="{00000000-0005-0000-0000-0000229E0000}"/>
    <cellStyle name="Total 46 2 8 3" xfId="40483" xr:uid="{00000000-0005-0000-0000-0000239E0000}"/>
    <cellStyle name="Total 46 2 8 4" xfId="40484" xr:uid="{00000000-0005-0000-0000-0000249E0000}"/>
    <cellStyle name="Total 46 2 9" xfId="40485" xr:uid="{00000000-0005-0000-0000-0000259E0000}"/>
    <cellStyle name="Total 46 2 9 2" xfId="40486" xr:uid="{00000000-0005-0000-0000-0000269E0000}"/>
    <cellStyle name="Total 46 2 9 2 2" xfId="40487" xr:uid="{00000000-0005-0000-0000-0000279E0000}"/>
    <cellStyle name="Total 46 2 9 2 3" xfId="40488" xr:uid="{00000000-0005-0000-0000-0000289E0000}"/>
    <cellStyle name="Total 46 2 9 3" xfId="40489" xr:uid="{00000000-0005-0000-0000-0000299E0000}"/>
    <cellStyle name="Total 46 2 9 4" xfId="40490" xr:uid="{00000000-0005-0000-0000-00002A9E0000}"/>
    <cellStyle name="Total 46 3" xfId="40491" xr:uid="{00000000-0005-0000-0000-00002B9E0000}"/>
    <cellStyle name="Total 46 3 2" xfId="40492" xr:uid="{00000000-0005-0000-0000-00002C9E0000}"/>
    <cellStyle name="Total 46 3 2 2" xfId="40493" xr:uid="{00000000-0005-0000-0000-00002D9E0000}"/>
    <cellStyle name="Total 46 3 2 3" xfId="40494" xr:uid="{00000000-0005-0000-0000-00002E9E0000}"/>
    <cellStyle name="Total 46 3 3" xfId="40495" xr:uid="{00000000-0005-0000-0000-00002F9E0000}"/>
    <cellStyle name="Total 46 3 4" xfId="40496" xr:uid="{00000000-0005-0000-0000-0000309E0000}"/>
    <cellStyle name="Total 46 4" xfId="40497" xr:uid="{00000000-0005-0000-0000-0000319E0000}"/>
    <cellStyle name="Total 46 5" xfId="40498" xr:uid="{00000000-0005-0000-0000-0000329E0000}"/>
    <cellStyle name="Total 47" xfId="40499" xr:uid="{00000000-0005-0000-0000-0000339E0000}"/>
    <cellStyle name="Total 47 2" xfId="40500" xr:uid="{00000000-0005-0000-0000-0000349E0000}"/>
    <cellStyle name="Total 47 2 10" xfId="40501" xr:uid="{00000000-0005-0000-0000-0000359E0000}"/>
    <cellStyle name="Total 47 2 10 2" xfId="40502" xr:uid="{00000000-0005-0000-0000-0000369E0000}"/>
    <cellStyle name="Total 47 2 10 2 2" xfId="40503" xr:uid="{00000000-0005-0000-0000-0000379E0000}"/>
    <cellStyle name="Total 47 2 10 2 3" xfId="40504" xr:uid="{00000000-0005-0000-0000-0000389E0000}"/>
    <cellStyle name="Total 47 2 10 3" xfId="40505" xr:uid="{00000000-0005-0000-0000-0000399E0000}"/>
    <cellStyle name="Total 47 2 10 4" xfId="40506" xr:uid="{00000000-0005-0000-0000-00003A9E0000}"/>
    <cellStyle name="Total 47 2 11" xfId="40507" xr:uid="{00000000-0005-0000-0000-00003B9E0000}"/>
    <cellStyle name="Total 47 2 11 2" xfId="40508" xr:uid="{00000000-0005-0000-0000-00003C9E0000}"/>
    <cellStyle name="Total 47 2 11 2 2" xfId="40509" xr:uid="{00000000-0005-0000-0000-00003D9E0000}"/>
    <cellStyle name="Total 47 2 11 2 3" xfId="40510" xr:uid="{00000000-0005-0000-0000-00003E9E0000}"/>
    <cellStyle name="Total 47 2 11 3" xfId="40511" xr:uid="{00000000-0005-0000-0000-00003F9E0000}"/>
    <cellStyle name="Total 47 2 11 4" xfId="40512" xr:uid="{00000000-0005-0000-0000-0000409E0000}"/>
    <cellStyle name="Total 47 2 12" xfId="40513" xr:uid="{00000000-0005-0000-0000-0000419E0000}"/>
    <cellStyle name="Total 47 2 12 2" xfId="40514" xr:uid="{00000000-0005-0000-0000-0000429E0000}"/>
    <cellStyle name="Total 47 2 12 2 2" xfId="40515" xr:uid="{00000000-0005-0000-0000-0000439E0000}"/>
    <cellStyle name="Total 47 2 12 2 3" xfId="40516" xr:uid="{00000000-0005-0000-0000-0000449E0000}"/>
    <cellStyle name="Total 47 2 12 3" xfId="40517" xr:uid="{00000000-0005-0000-0000-0000459E0000}"/>
    <cellStyle name="Total 47 2 12 4" xfId="40518" xr:uid="{00000000-0005-0000-0000-0000469E0000}"/>
    <cellStyle name="Total 47 2 13" xfId="40519" xr:uid="{00000000-0005-0000-0000-0000479E0000}"/>
    <cellStyle name="Total 47 2 13 2" xfId="40520" xr:uid="{00000000-0005-0000-0000-0000489E0000}"/>
    <cellStyle name="Total 47 2 13 2 2" xfId="40521" xr:uid="{00000000-0005-0000-0000-0000499E0000}"/>
    <cellStyle name="Total 47 2 13 2 3" xfId="40522" xr:uid="{00000000-0005-0000-0000-00004A9E0000}"/>
    <cellStyle name="Total 47 2 13 3" xfId="40523" xr:uid="{00000000-0005-0000-0000-00004B9E0000}"/>
    <cellStyle name="Total 47 2 13 4" xfId="40524" xr:uid="{00000000-0005-0000-0000-00004C9E0000}"/>
    <cellStyle name="Total 47 2 14" xfId="40525" xr:uid="{00000000-0005-0000-0000-00004D9E0000}"/>
    <cellStyle name="Total 47 2 14 2" xfId="40526" xr:uid="{00000000-0005-0000-0000-00004E9E0000}"/>
    <cellStyle name="Total 47 2 14 2 2" xfId="40527" xr:uid="{00000000-0005-0000-0000-00004F9E0000}"/>
    <cellStyle name="Total 47 2 14 2 3" xfId="40528" xr:uid="{00000000-0005-0000-0000-0000509E0000}"/>
    <cellStyle name="Total 47 2 14 3" xfId="40529" xr:uid="{00000000-0005-0000-0000-0000519E0000}"/>
    <cellStyle name="Total 47 2 14 4" xfId="40530" xr:uid="{00000000-0005-0000-0000-0000529E0000}"/>
    <cellStyle name="Total 47 2 15" xfId="40531" xr:uid="{00000000-0005-0000-0000-0000539E0000}"/>
    <cellStyle name="Total 47 2 15 2" xfId="40532" xr:uid="{00000000-0005-0000-0000-0000549E0000}"/>
    <cellStyle name="Total 47 2 15 2 2" xfId="40533" xr:uid="{00000000-0005-0000-0000-0000559E0000}"/>
    <cellStyle name="Total 47 2 15 2 3" xfId="40534" xr:uid="{00000000-0005-0000-0000-0000569E0000}"/>
    <cellStyle name="Total 47 2 15 3" xfId="40535" xr:uid="{00000000-0005-0000-0000-0000579E0000}"/>
    <cellStyle name="Total 47 2 15 4" xfId="40536" xr:uid="{00000000-0005-0000-0000-0000589E0000}"/>
    <cellStyle name="Total 47 2 16" xfId="40537" xr:uid="{00000000-0005-0000-0000-0000599E0000}"/>
    <cellStyle name="Total 47 2 16 2" xfId="40538" xr:uid="{00000000-0005-0000-0000-00005A9E0000}"/>
    <cellStyle name="Total 47 2 16 2 2" xfId="40539" xr:uid="{00000000-0005-0000-0000-00005B9E0000}"/>
    <cellStyle name="Total 47 2 16 2 3" xfId="40540" xr:uid="{00000000-0005-0000-0000-00005C9E0000}"/>
    <cellStyle name="Total 47 2 16 3" xfId="40541" xr:uid="{00000000-0005-0000-0000-00005D9E0000}"/>
    <cellStyle name="Total 47 2 16 4" xfId="40542" xr:uid="{00000000-0005-0000-0000-00005E9E0000}"/>
    <cellStyle name="Total 47 2 17" xfId="40543" xr:uid="{00000000-0005-0000-0000-00005F9E0000}"/>
    <cellStyle name="Total 47 2 17 2" xfId="40544" xr:uid="{00000000-0005-0000-0000-0000609E0000}"/>
    <cellStyle name="Total 47 2 17 2 2" xfId="40545" xr:uid="{00000000-0005-0000-0000-0000619E0000}"/>
    <cellStyle name="Total 47 2 17 2 3" xfId="40546" xr:uid="{00000000-0005-0000-0000-0000629E0000}"/>
    <cellStyle name="Total 47 2 17 3" xfId="40547" xr:uid="{00000000-0005-0000-0000-0000639E0000}"/>
    <cellStyle name="Total 47 2 17 4" xfId="40548" xr:uid="{00000000-0005-0000-0000-0000649E0000}"/>
    <cellStyle name="Total 47 2 18" xfId="40549" xr:uid="{00000000-0005-0000-0000-0000659E0000}"/>
    <cellStyle name="Total 47 2 18 2" xfId="40550" xr:uid="{00000000-0005-0000-0000-0000669E0000}"/>
    <cellStyle name="Total 47 2 18 3" xfId="40551" xr:uid="{00000000-0005-0000-0000-0000679E0000}"/>
    <cellStyle name="Total 47 2 18 4" xfId="40552" xr:uid="{00000000-0005-0000-0000-0000689E0000}"/>
    <cellStyle name="Total 47 2 19" xfId="40553" xr:uid="{00000000-0005-0000-0000-0000699E0000}"/>
    <cellStyle name="Total 47 2 2" xfId="40554" xr:uid="{00000000-0005-0000-0000-00006A9E0000}"/>
    <cellStyle name="Total 47 2 2 2" xfId="40555" xr:uid="{00000000-0005-0000-0000-00006B9E0000}"/>
    <cellStyle name="Total 47 2 2 2 2" xfId="40556" xr:uid="{00000000-0005-0000-0000-00006C9E0000}"/>
    <cellStyle name="Total 47 2 2 2 3" xfId="40557" xr:uid="{00000000-0005-0000-0000-00006D9E0000}"/>
    <cellStyle name="Total 47 2 2 3" xfId="40558" xr:uid="{00000000-0005-0000-0000-00006E9E0000}"/>
    <cellStyle name="Total 47 2 2 4" xfId="40559" xr:uid="{00000000-0005-0000-0000-00006F9E0000}"/>
    <cellStyle name="Total 47 2 20" xfId="40560" xr:uid="{00000000-0005-0000-0000-0000709E0000}"/>
    <cellStyle name="Total 47 2 21" xfId="40561" xr:uid="{00000000-0005-0000-0000-0000719E0000}"/>
    <cellStyle name="Total 47 2 3" xfId="40562" xr:uid="{00000000-0005-0000-0000-0000729E0000}"/>
    <cellStyle name="Total 47 2 3 2" xfId="40563" xr:uid="{00000000-0005-0000-0000-0000739E0000}"/>
    <cellStyle name="Total 47 2 3 2 2" xfId="40564" xr:uid="{00000000-0005-0000-0000-0000749E0000}"/>
    <cellStyle name="Total 47 2 3 2 3" xfId="40565" xr:uid="{00000000-0005-0000-0000-0000759E0000}"/>
    <cellStyle name="Total 47 2 3 3" xfId="40566" xr:uid="{00000000-0005-0000-0000-0000769E0000}"/>
    <cellStyle name="Total 47 2 3 4" xfId="40567" xr:uid="{00000000-0005-0000-0000-0000779E0000}"/>
    <cellStyle name="Total 47 2 4" xfId="40568" xr:uid="{00000000-0005-0000-0000-0000789E0000}"/>
    <cellStyle name="Total 47 2 4 2" xfId="40569" xr:uid="{00000000-0005-0000-0000-0000799E0000}"/>
    <cellStyle name="Total 47 2 4 2 2" xfId="40570" xr:uid="{00000000-0005-0000-0000-00007A9E0000}"/>
    <cellStyle name="Total 47 2 4 2 3" xfId="40571" xr:uid="{00000000-0005-0000-0000-00007B9E0000}"/>
    <cellStyle name="Total 47 2 4 3" xfId="40572" xr:uid="{00000000-0005-0000-0000-00007C9E0000}"/>
    <cellStyle name="Total 47 2 4 4" xfId="40573" xr:uid="{00000000-0005-0000-0000-00007D9E0000}"/>
    <cellStyle name="Total 47 2 5" xfId="40574" xr:uid="{00000000-0005-0000-0000-00007E9E0000}"/>
    <cellStyle name="Total 47 2 5 2" xfId="40575" xr:uid="{00000000-0005-0000-0000-00007F9E0000}"/>
    <cellStyle name="Total 47 2 5 2 2" xfId="40576" xr:uid="{00000000-0005-0000-0000-0000809E0000}"/>
    <cellStyle name="Total 47 2 5 2 3" xfId="40577" xr:uid="{00000000-0005-0000-0000-0000819E0000}"/>
    <cellStyle name="Total 47 2 5 3" xfId="40578" xr:uid="{00000000-0005-0000-0000-0000829E0000}"/>
    <cellStyle name="Total 47 2 5 4" xfId="40579" xr:uid="{00000000-0005-0000-0000-0000839E0000}"/>
    <cellStyle name="Total 47 2 6" xfId="40580" xr:uid="{00000000-0005-0000-0000-0000849E0000}"/>
    <cellStyle name="Total 47 2 6 2" xfId="40581" xr:uid="{00000000-0005-0000-0000-0000859E0000}"/>
    <cellStyle name="Total 47 2 6 2 2" xfId="40582" xr:uid="{00000000-0005-0000-0000-0000869E0000}"/>
    <cellStyle name="Total 47 2 6 2 3" xfId="40583" xr:uid="{00000000-0005-0000-0000-0000879E0000}"/>
    <cellStyle name="Total 47 2 6 3" xfId="40584" xr:uid="{00000000-0005-0000-0000-0000889E0000}"/>
    <cellStyle name="Total 47 2 6 4" xfId="40585" xr:uid="{00000000-0005-0000-0000-0000899E0000}"/>
    <cellStyle name="Total 47 2 7" xfId="40586" xr:uid="{00000000-0005-0000-0000-00008A9E0000}"/>
    <cellStyle name="Total 47 2 7 2" xfId="40587" xr:uid="{00000000-0005-0000-0000-00008B9E0000}"/>
    <cellStyle name="Total 47 2 7 2 2" xfId="40588" xr:uid="{00000000-0005-0000-0000-00008C9E0000}"/>
    <cellStyle name="Total 47 2 7 2 3" xfId="40589" xr:uid="{00000000-0005-0000-0000-00008D9E0000}"/>
    <cellStyle name="Total 47 2 7 3" xfId="40590" xr:uid="{00000000-0005-0000-0000-00008E9E0000}"/>
    <cellStyle name="Total 47 2 7 4" xfId="40591" xr:uid="{00000000-0005-0000-0000-00008F9E0000}"/>
    <cellStyle name="Total 47 2 8" xfId="40592" xr:uid="{00000000-0005-0000-0000-0000909E0000}"/>
    <cellStyle name="Total 47 2 8 2" xfId="40593" xr:uid="{00000000-0005-0000-0000-0000919E0000}"/>
    <cellStyle name="Total 47 2 8 2 2" xfId="40594" xr:uid="{00000000-0005-0000-0000-0000929E0000}"/>
    <cellStyle name="Total 47 2 8 2 3" xfId="40595" xr:uid="{00000000-0005-0000-0000-0000939E0000}"/>
    <cellStyle name="Total 47 2 8 3" xfId="40596" xr:uid="{00000000-0005-0000-0000-0000949E0000}"/>
    <cellStyle name="Total 47 2 8 4" xfId="40597" xr:uid="{00000000-0005-0000-0000-0000959E0000}"/>
    <cellStyle name="Total 47 2 9" xfId="40598" xr:uid="{00000000-0005-0000-0000-0000969E0000}"/>
    <cellStyle name="Total 47 2 9 2" xfId="40599" xr:uid="{00000000-0005-0000-0000-0000979E0000}"/>
    <cellStyle name="Total 47 2 9 2 2" xfId="40600" xr:uid="{00000000-0005-0000-0000-0000989E0000}"/>
    <cellStyle name="Total 47 2 9 2 3" xfId="40601" xr:uid="{00000000-0005-0000-0000-0000999E0000}"/>
    <cellStyle name="Total 47 2 9 3" xfId="40602" xr:uid="{00000000-0005-0000-0000-00009A9E0000}"/>
    <cellStyle name="Total 47 2 9 4" xfId="40603" xr:uid="{00000000-0005-0000-0000-00009B9E0000}"/>
    <cellStyle name="Total 47 3" xfId="40604" xr:uid="{00000000-0005-0000-0000-00009C9E0000}"/>
    <cellStyle name="Total 47 3 2" xfId="40605" xr:uid="{00000000-0005-0000-0000-00009D9E0000}"/>
    <cellStyle name="Total 47 3 2 2" xfId="40606" xr:uid="{00000000-0005-0000-0000-00009E9E0000}"/>
    <cellStyle name="Total 47 3 2 3" xfId="40607" xr:uid="{00000000-0005-0000-0000-00009F9E0000}"/>
    <cellStyle name="Total 47 3 3" xfId="40608" xr:uid="{00000000-0005-0000-0000-0000A09E0000}"/>
    <cellStyle name="Total 47 3 4" xfId="40609" xr:uid="{00000000-0005-0000-0000-0000A19E0000}"/>
    <cellStyle name="Total 47 4" xfId="40610" xr:uid="{00000000-0005-0000-0000-0000A29E0000}"/>
    <cellStyle name="Total 47 5" xfId="40611" xr:uid="{00000000-0005-0000-0000-0000A39E0000}"/>
    <cellStyle name="Total 48" xfId="40612" xr:uid="{00000000-0005-0000-0000-0000A49E0000}"/>
    <cellStyle name="Total 48 2" xfId="40613" xr:uid="{00000000-0005-0000-0000-0000A59E0000}"/>
    <cellStyle name="Total 49" xfId="40614" xr:uid="{00000000-0005-0000-0000-0000A69E0000}"/>
    <cellStyle name="Total 5" xfId="40615" xr:uid="{00000000-0005-0000-0000-0000A79E0000}"/>
    <cellStyle name="Total 5 2" xfId="40616" xr:uid="{00000000-0005-0000-0000-0000A89E0000}"/>
    <cellStyle name="Total 5 2 10" xfId="40617" xr:uid="{00000000-0005-0000-0000-0000A99E0000}"/>
    <cellStyle name="Total 5 2 10 2" xfId="40618" xr:uid="{00000000-0005-0000-0000-0000AA9E0000}"/>
    <cellStyle name="Total 5 2 10 2 2" xfId="40619" xr:uid="{00000000-0005-0000-0000-0000AB9E0000}"/>
    <cellStyle name="Total 5 2 10 2 3" xfId="40620" xr:uid="{00000000-0005-0000-0000-0000AC9E0000}"/>
    <cellStyle name="Total 5 2 10 3" xfId="40621" xr:uid="{00000000-0005-0000-0000-0000AD9E0000}"/>
    <cellStyle name="Total 5 2 10 4" xfId="40622" xr:uid="{00000000-0005-0000-0000-0000AE9E0000}"/>
    <cellStyle name="Total 5 2 11" xfId="40623" xr:uid="{00000000-0005-0000-0000-0000AF9E0000}"/>
    <cellStyle name="Total 5 2 11 2" xfId="40624" xr:uid="{00000000-0005-0000-0000-0000B09E0000}"/>
    <cellStyle name="Total 5 2 11 2 2" xfId="40625" xr:uid="{00000000-0005-0000-0000-0000B19E0000}"/>
    <cellStyle name="Total 5 2 11 2 3" xfId="40626" xr:uid="{00000000-0005-0000-0000-0000B29E0000}"/>
    <cellStyle name="Total 5 2 11 3" xfId="40627" xr:uid="{00000000-0005-0000-0000-0000B39E0000}"/>
    <cellStyle name="Total 5 2 11 4" xfId="40628" xr:uid="{00000000-0005-0000-0000-0000B49E0000}"/>
    <cellStyle name="Total 5 2 12" xfId="40629" xr:uid="{00000000-0005-0000-0000-0000B59E0000}"/>
    <cellStyle name="Total 5 2 12 2" xfId="40630" xr:uid="{00000000-0005-0000-0000-0000B69E0000}"/>
    <cellStyle name="Total 5 2 12 2 2" xfId="40631" xr:uid="{00000000-0005-0000-0000-0000B79E0000}"/>
    <cellStyle name="Total 5 2 12 2 3" xfId="40632" xr:uid="{00000000-0005-0000-0000-0000B89E0000}"/>
    <cellStyle name="Total 5 2 12 3" xfId="40633" xr:uid="{00000000-0005-0000-0000-0000B99E0000}"/>
    <cellStyle name="Total 5 2 12 4" xfId="40634" xr:uid="{00000000-0005-0000-0000-0000BA9E0000}"/>
    <cellStyle name="Total 5 2 13" xfId="40635" xr:uid="{00000000-0005-0000-0000-0000BB9E0000}"/>
    <cellStyle name="Total 5 2 13 2" xfId="40636" xr:uid="{00000000-0005-0000-0000-0000BC9E0000}"/>
    <cellStyle name="Total 5 2 13 2 2" xfId="40637" xr:uid="{00000000-0005-0000-0000-0000BD9E0000}"/>
    <cellStyle name="Total 5 2 13 2 3" xfId="40638" xr:uid="{00000000-0005-0000-0000-0000BE9E0000}"/>
    <cellStyle name="Total 5 2 13 3" xfId="40639" xr:uid="{00000000-0005-0000-0000-0000BF9E0000}"/>
    <cellStyle name="Total 5 2 13 4" xfId="40640" xr:uid="{00000000-0005-0000-0000-0000C09E0000}"/>
    <cellStyle name="Total 5 2 14" xfId="40641" xr:uid="{00000000-0005-0000-0000-0000C19E0000}"/>
    <cellStyle name="Total 5 2 14 2" xfId="40642" xr:uid="{00000000-0005-0000-0000-0000C29E0000}"/>
    <cellStyle name="Total 5 2 14 2 2" xfId="40643" xr:uid="{00000000-0005-0000-0000-0000C39E0000}"/>
    <cellStyle name="Total 5 2 14 2 3" xfId="40644" xr:uid="{00000000-0005-0000-0000-0000C49E0000}"/>
    <cellStyle name="Total 5 2 14 3" xfId="40645" xr:uid="{00000000-0005-0000-0000-0000C59E0000}"/>
    <cellStyle name="Total 5 2 14 4" xfId="40646" xr:uid="{00000000-0005-0000-0000-0000C69E0000}"/>
    <cellStyle name="Total 5 2 15" xfId="40647" xr:uid="{00000000-0005-0000-0000-0000C79E0000}"/>
    <cellStyle name="Total 5 2 15 2" xfId="40648" xr:uid="{00000000-0005-0000-0000-0000C89E0000}"/>
    <cellStyle name="Total 5 2 15 2 2" xfId="40649" xr:uid="{00000000-0005-0000-0000-0000C99E0000}"/>
    <cellStyle name="Total 5 2 15 2 3" xfId="40650" xr:uid="{00000000-0005-0000-0000-0000CA9E0000}"/>
    <cellStyle name="Total 5 2 15 3" xfId="40651" xr:uid="{00000000-0005-0000-0000-0000CB9E0000}"/>
    <cellStyle name="Total 5 2 15 4" xfId="40652" xr:uid="{00000000-0005-0000-0000-0000CC9E0000}"/>
    <cellStyle name="Total 5 2 16" xfId="40653" xr:uid="{00000000-0005-0000-0000-0000CD9E0000}"/>
    <cellStyle name="Total 5 2 16 2" xfId="40654" xr:uid="{00000000-0005-0000-0000-0000CE9E0000}"/>
    <cellStyle name="Total 5 2 16 2 2" xfId="40655" xr:uid="{00000000-0005-0000-0000-0000CF9E0000}"/>
    <cellStyle name="Total 5 2 16 2 3" xfId="40656" xr:uid="{00000000-0005-0000-0000-0000D09E0000}"/>
    <cellStyle name="Total 5 2 16 3" xfId="40657" xr:uid="{00000000-0005-0000-0000-0000D19E0000}"/>
    <cellStyle name="Total 5 2 16 4" xfId="40658" xr:uid="{00000000-0005-0000-0000-0000D29E0000}"/>
    <cellStyle name="Total 5 2 17" xfId="40659" xr:uid="{00000000-0005-0000-0000-0000D39E0000}"/>
    <cellStyle name="Total 5 2 17 2" xfId="40660" xr:uid="{00000000-0005-0000-0000-0000D49E0000}"/>
    <cellStyle name="Total 5 2 17 2 2" xfId="40661" xr:uid="{00000000-0005-0000-0000-0000D59E0000}"/>
    <cellStyle name="Total 5 2 17 2 3" xfId="40662" xr:uid="{00000000-0005-0000-0000-0000D69E0000}"/>
    <cellStyle name="Total 5 2 17 3" xfId="40663" xr:uid="{00000000-0005-0000-0000-0000D79E0000}"/>
    <cellStyle name="Total 5 2 17 4" xfId="40664" xr:uid="{00000000-0005-0000-0000-0000D89E0000}"/>
    <cellStyle name="Total 5 2 18" xfId="40665" xr:uid="{00000000-0005-0000-0000-0000D99E0000}"/>
    <cellStyle name="Total 5 2 18 2" xfId="40666" xr:uid="{00000000-0005-0000-0000-0000DA9E0000}"/>
    <cellStyle name="Total 5 2 18 3" xfId="40667" xr:uid="{00000000-0005-0000-0000-0000DB9E0000}"/>
    <cellStyle name="Total 5 2 18 4" xfId="40668" xr:uid="{00000000-0005-0000-0000-0000DC9E0000}"/>
    <cellStyle name="Total 5 2 19" xfId="40669" xr:uid="{00000000-0005-0000-0000-0000DD9E0000}"/>
    <cellStyle name="Total 5 2 2" xfId="40670" xr:uid="{00000000-0005-0000-0000-0000DE9E0000}"/>
    <cellStyle name="Total 5 2 2 2" xfId="40671" xr:uid="{00000000-0005-0000-0000-0000DF9E0000}"/>
    <cellStyle name="Total 5 2 2 2 2" xfId="40672" xr:uid="{00000000-0005-0000-0000-0000E09E0000}"/>
    <cellStyle name="Total 5 2 2 2 3" xfId="40673" xr:uid="{00000000-0005-0000-0000-0000E19E0000}"/>
    <cellStyle name="Total 5 2 2 3" xfId="40674" xr:uid="{00000000-0005-0000-0000-0000E29E0000}"/>
    <cellStyle name="Total 5 2 2 4" xfId="40675" xr:uid="{00000000-0005-0000-0000-0000E39E0000}"/>
    <cellStyle name="Total 5 2 20" xfId="40676" xr:uid="{00000000-0005-0000-0000-0000E49E0000}"/>
    <cellStyle name="Total 5 2 21" xfId="40677" xr:uid="{00000000-0005-0000-0000-0000E59E0000}"/>
    <cellStyle name="Total 5 2 3" xfId="40678" xr:uid="{00000000-0005-0000-0000-0000E69E0000}"/>
    <cellStyle name="Total 5 2 3 2" xfId="40679" xr:uid="{00000000-0005-0000-0000-0000E79E0000}"/>
    <cellStyle name="Total 5 2 3 2 2" xfId="40680" xr:uid="{00000000-0005-0000-0000-0000E89E0000}"/>
    <cellStyle name="Total 5 2 3 2 3" xfId="40681" xr:uid="{00000000-0005-0000-0000-0000E99E0000}"/>
    <cellStyle name="Total 5 2 3 3" xfId="40682" xr:uid="{00000000-0005-0000-0000-0000EA9E0000}"/>
    <cellStyle name="Total 5 2 3 4" xfId="40683" xr:uid="{00000000-0005-0000-0000-0000EB9E0000}"/>
    <cellStyle name="Total 5 2 4" xfId="40684" xr:uid="{00000000-0005-0000-0000-0000EC9E0000}"/>
    <cellStyle name="Total 5 2 4 2" xfId="40685" xr:uid="{00000000-0005-0000-0000-0000ED9E0000}"/>
    <cellStyle name="Total 5 2 4 2 2" xfId="40686" xr:uid="{00000000-0005-0000-0000-0000EE9E0000}"/>
    <cellStyle name="Total 5 2 4 2 3" xfId="40687" xr:uid="{00000000-0005-0000-0000-0000EF9E0000}"/>
    <cellStyle name="Total 5 2 4 3" xfId="40688" xr:uid="{00000000-0005-0000-0000-0000F09E0000}"/>
    <cellStyle name="Total 5 2 4 4" xfId="40689" xr:uid="{00000000-0005-0000-0000-0000F19E0000}"/>
    <cellStyle name="Total 5 2 5" xfId="40690" xr:uid="{00000000-0005-0000-0000-0000F29E0000}"/>
    <cellStyle name="Total 5 2 5 2" xfId="40691" xr:uid="{00000000-0005-0000-0000-0000F39E0000}"/>
    <cellStyle name="Total 5 2 5 2 2" xfId="40692" xr:uid="{00000000-0005-0000-0000-0000F49E0000}"/>
    <cellStyle name="Total 5 2 5 2 3" xfId="40693" xr:uid="{00000000-0005-0000-0000-0000F59E0000}"/>
    <cellStyle name="Total 5 2 5 3" xfId="40694" xr:uid="{00000000-0005-0000-0000-0000F69E0000}"/>
    <cellStyle name="Total 5 2 5 4" xfId="40695" xr:uid="{00000000-0005-0000-0000-0000F79E0000}"/>
    <cellStyle name="Total 5 2 6" xfId="40696" xr:uid="{00000000-0005-0000-0000-0000F89E0000}"/>
    <cellStyle name="Total 5 2 6 2" xfId="40697" xr:uid="{00000000-0005-0000-0000-0000F99E0000}"/>
    <cellStyle name="Total 5 2 6 2 2" xfId="40698" xr:uid="{00000000-0005-0000-0000-0000FA9E0000}"/>
    <cellStyle name="Total 5 2 6 2 3" xfId="40699" xr:uid="{00000000-0005-0000-0000-0000FB9E0000}"/>
    <cellStyle name="Total 5 2 6 3" xfId="40700" xr:uid="{00000000-0005-0000-0000-0000FC9E0000}"/>
    <cellStyle name="Total 5 2 6 4" xfId="40701" xr:uid="{00000000-0005-0000-0000-0000FD9E0000}"/>
    <cellStyle name="Total 5 2 7" xfId="40702" xr:uid="{00000000-0005-0000-0000-0000FE9E0000}"/>
    <cellStyle name="Total 5 2 7 2" xfId="40703" xr:uid="{00000000-0005-0000-0000-0000FF9E0000}"/>
    <cellStyle name="Total 5 2 7 2 2" xfId="40704" xr:uid="{00000000-0005-0000-0000-0000009F0000}"/>
    <cellStyle name="Total 5 2 7 2 3" xfId="40705" xr:uid="{00000000-0005-0000-0000-0000019F0000}"/>
    <cellStyle name="Total 5 2 7 3" xfId="40706" xr:uid="{00000000-0005-0000-0000-0000029F0000}"/>
    <cellStyle name="Total 5 2 7 4" xfId="40707" xr:uid="{00000000-0005-0000-0000-0000039F0000}"/>
    <cellStyle name="Total 5 2 8" xfId="40708" xr:uid="{00000000-0005-0000-0000-0000049F0000}"/>
    <cellStyle name="Total 5 2 8 2" xfId="40709" xr:uid="{00000000-0005-0000-0000-0000059F0000}"/>
    <cellStyle name="Total 5 2 8 2 2" xfId="40710" xr:uid="{00000000-0005-0000-0000-0000069F0000}"/>
    <cellStyle name="Total 5 2 8 2 3" xfId="40711" xr:uid="{00000000-0005-0000-0000-0000079F0000}"/>
    <cellStyle name="Total 5 2 8 3" xfId="40712" xr:uid="{00000000-0005-0000-0000-0000089F0000}"/>
    <cellStyle name="Total 5 2 8 4" xfId="40713" xr:uid="{00000000-0005-0000-0000-0000099F0000}"/>
    <cellStyle name="Total 5 2 9" xfId="40714" xr:uid="{00000000-0005-0000-0000-00000A9F0000}"/>
    <cellStyle name="Total 5 2 9 2" xfId="40715" xr:uid="{00000000-0005-0000-0000-00000B9F0000}"/>
    <cellStyle name="Total 5 2 9 2 2" xfId="40716" xr:uid="{00000000-0005-0000-0000-00000C9F0000}"/>
    <cellStyle name="Total 5 2 9 2 3" xfId="40717" xr:uid="{00000000-0005-0000-0000-00000D9F0000}"/>
    <cellStyle name="Total 5 2 9 3" xfId="40718" xr:uid="{00000000-0005-0000-0000-00000E9F0000}"/>
    <cellStyle name="Total 5 2 9 4" xfId="40719" xr:uid="{00000000-0005-0000-0000-00000F9F0000}"/>
    <cellStyle name="Total 5 3" xfId="40720" xr:uid="{00000000-0005-0000-0000-0000109F0000}"/>
    <cellStyle name="Total 5 3 2" xfId="40721" xr:uid="{00000000-0005-0000-0000-0000119F0000}"/>
    <cellStyle name="Total 5 3 2 2" xfId="40722" xr:uid="{00000000-0005-0000-0000-0000129F0000}"/>
    <cellStyle name="Total 5 3 2 3" xfId="40723" xr:uid="{00000000-0005-0000-0000-0000139F0000}"/>
    <cellStyle name="Total 5 3 3" xfId="40724" xr:uid="{00000000-0005-0000-0000-0000149F0000}"/>
    <cellStyle name="Total 5 3 4" xfId="40725" xr:uid="{00000000-0005-0000-0000-0000159F0000}"/>
    <cellStyle name="Total 5 4" xfId="40726" xr:uid="{00000000-0005-0000-0000-0000169F0000}"/>
    <cellStyle name="Total 5 5" xfId="40727" xr:uid="{00000000-0005-0000-0000-0000179F0000}"/>
    <cellStyle name="Total 50" xfId="40728" xr:uid="{00000000-0005-0000-0000-0000189F0000}"/>
    <cellStyle name="Total 51" xfId="40729" xr:uid="{00000000-0005-0000-0000-0000199F0000}"/>
    <cellStyle name="Total 52" xfId="40730" xr:uid="{00000000-0005-0000-0000-00001A9F0000}"/>
    <cellStyle name="Total 6" xfId="40731" xr:uid="{00000000-0005-0000-0000-00001B9F0000}"/>
    <cellStyle name="Total 6 2" xfId="40732" xr:uid="{00000000-0005-0000-0000-00001C9F0000}"/>
    <cellStyle name="Total 6 2 10" xfId="40733" xr:uid="{00000000-0005-0000-0000-00001D9F0000}"/>
    <cellStyle name="Total 6 2 10 2" xfId="40734" xr:uid="{00000000-0005-0000-0000-00001E9F0000}"/>
    <cellStyle name="Total 6 2 10 2 2" xfId="40735" xr:uid="{00000000-0005-0000-0000-00001F9F0000}"/>
    <cellStyle name="Total 6 2 10 2 3" xfId="40736" xr:uid="{00000000-0005-0000-0000-0000209F0000}"/>
    <cellStyle name="Total 6 2 10 3" xfId="40737" xr:uid="{00000000-0005-0000-0000-0000219F0000}"/>
    <cellStyle name="Total 6 2 10 4" xfId="40738" xr:uid="{00000000-0005-0000-0000-0000229F0000}"/>
    <cellStyle name="Total 6 2 11" xfId="40739" xr:uid="{00000000-0005-0000-0000-0000239F0000}"/>
    <cellStyle name="Total 6 2 11 2" xfId="40740" xr:uid="{00000000-0005-0000-0000-0000249F0000}"/>
    <cellStyle name="Total 6 2 11 2 2" xfId="40741" xr:uid="{00000000-0005-0000-0000-0000259F0000}"/>
    <cellStyle name="Total 6 2 11 2 3" xfId="40742" xr:uid="{00000000-0005-0000-0000-0000269F0000}"/>
    <cellStyle name="Total 6 2 11 3" xfId="40743" xr:uid="{00000000-0005-0000-0000-0000279F0000}"/>
    <cellStyle name="Total 6 2 11 4" xfId="40744" xr:uid="{00000000-0005-0000-0000-0000289F0000}"/>
    <cellStyle name="Total 6 2 12" xfId="40745" xr:uid="{00000000-0005-0000-0000-0000299F0000}"/>
    <cellStyle name="Total 6 2 12 2" xfId="40746" xr:uid="{00000000-0005-0000-0000-00002A9F0000}"/>
    <cellStyle name="Total 6 2 12 2 2" xfId="40747" xr:uid="{00000000-0005-0000-0000-00002B9F0000}"/>
    <cellStyle name="Total 6 2 12 2 3" xfId="40748" xr:uid="{00000000-0005-0000-0000-00002C9F0000}"/>
    <cellStyle name="Total 6 2 12 3" xfId="40749" xr:uid="{00000000-0005-0000-0000-00002D9F0000}"/>
    <cellStyle name="Total 6 2 12 4" xfId="40750" xr:uid="{00000000-0005-0000-0000-00002E9F0000}"/>
    <cellStyle name="Total 6 2 13" xfId="40751" xr:uid="{00000000-0005-0000-0000-00002F9F0000}"/>
    <cellStyle name="Total 6 2 13 2" xfId="40752" xr:uid="{00000000-0005-0000-0000-0000309F0000}"/>
    <cellStyle name="Total 6 2 13 2 2" xfId="40753" xr:uid="{00000000-0005-0000-0000-0000319F0000}"/>
    <cellStyle name="Total 6 2 13 2 3" xfId="40754" xr:uid="{00000000-0005-0000-0000-0000329F0000}"/>
    <cellStyle name="Total 6 2 13 3" xfId="40755" xr:uid="{00000000-0005-0000-0000-0000339F0000}"/>
    <cellStyle name="Total 6 2 13 4" xfId="40756" xr:uid="{00000000-0005-0000-0000-0000349F0000}"/>
    <cellStyle name="Total 6 2 14" xfId="40757" xr:uid="{00000000-0005-0000-0000-0000359F0000}"/>
    <cellStyle name="Total 6 2 14 2" xfId="40758" xr:uid="{00000000-0005-0000-0000-0000369F0000}"/>
    <cellStyle name="Total 6 2 14 2 2" xfId="40759" xr:uid="{00000000-0005-0000-0000-0000379F0000}"/>
    <cellStyle name="Total 6 2 14 2 3" xfId="40760" xr:uid="{00000000-0005-0000-0000-0000389F0000}"/>
    <cellStyle name="Total 6 2 14 3" xfId="40761" xr:uid="{00000000-0005-0000-0000-0000399F0000}"/>
    <cellStyle name="Total 6 2 14 4" xfId="40762" xr:uid="{00000000-0005-0000-0000-00003A9F0000}"/>
    <cellStyle name="Total 6 2 15" xfId="40763" xr:uid="{00000000-0005-0000-0000-00003B9F0000}"/>
    <cellStyle name="Total 6 2 15 2" xfId="40764" xr:uid="{00000000-0005-0000-0000-00003C9F0000}"/>
    <cellStyle name="Total 6 2 15 2 2" xfId="40765" xr:uid="{00000000-0005-0000-0000-00003D9F0000}"/>
    <cellStyle name="Total 6 2 15 2 3" xfId="40766" xr:uid="{00000000-0005-0000-0000-00003E9F0000}"/>
    <cellStyle name="Total 6 2 15 3" xfId="40767" xr:uid="{00000000-0005-0000-0000-00003F9F0000}"/>
    <cellStyle name="Total 6 2 15 4" xfId="40768" xr:uid="{00000000-0005-0000-0000-0000409F0000}"/>
    <cellStyle name="Total 6 2 16" xfId="40769" xr:uid="{00000000-0005-0000-0000-0000419F0000}"/>
    <cellStyle name="Total 6 2 16 2" xfId="40770" xr:uid="{00000000-0005-0000-0000-0000429F0000}"/>
    <cellStyle name="Total 6 2 16 2 2" xfId="40771" xr:uid="{00000000-0005-0000-0000-0000439F0000}"/>
    <cellStyle name="Total 6 2 16 2 3" xfId="40772" xr:uid="{00000000-0005-0000-0000-0000449F0000}"/>
    <cellStyle name="Total 6 2 16 3" xfId="40773" xr:uid="{00000000-0005-0000-0000-0000459F0000}"/>
    <cellStyle name="Total 6 2 16 4" xfId="40774" xr:uid="{00000000-0005-0000-0000-0000469F0000}"/>
    <cellStyle name="Total 6 2 17" xfId="40775" xr:uid="{00000000-0005-0000-0000-0000479F0000}"/>
    <cellStyle name="Total 6 2 17 2" xfId="40776" xr:uid="{00000000-0005-0000-0000-0000489F0000}"/>
    <cellStyle name="Total 6 2 17 2 2" xfId="40777" xr:uid="{00000000-0005-0000-0000-0000499F0000}"/>
    <cellStyle name="Total 6 2 17 2 3" xfId="40778" xr:uid="{00000000-0005-0000-0000-00004A9F0000}"/>
    <cellStyle name="Total 6 2 17 3" xfId="40779" xr:uid="{00000000-0005-0000-0000-00004B9F0000}"/>
    <cellStyle name="Total 6 2 17 4" xfId="40780" xr:uid="{00000000-0005-0000-0000-00004C9F0000}"/>
    <cellStyle name="Total 6 2 18" xfId="40781" xr:uid="{00000000-0005-0000-0000-00004D9F0000}"/>
    <cellStyle name="Total 6 2 18 2" xfId="40782" xr:uid="{00000000-0005-0000-0000-00004E9F0000}"/>
    <cellStyle name="Total 6 2 18 3" xfId="40783" xr:uid="{00000000-0005-0000-0000-00004F9F0000}"/>
    <cellStyle name="Total 6 2 18 4" xfId="40784" xr:uid="{00000000-0005-0000-0000-0000509F0000}"/>
    <cellStyle name="Total 6 2 19" xfId="40785" xr:uid="{00000000-0005-0000-0000-0000519F0000}"/>
    <cellStyle name="Total 6 2 2" xfId="40786" xr:uid="{00000000-0005-0000-0000-0000529F0000}"/>
    <cellStyle name="Total 6 2 2 2" xfId="40787" xr:uid="{00000000-0005-0000-0000-0000539F0000}"/>
    <cellStyle name="Total 6 2 2 2 2" xfId="40788" xr:uid="{00000000-0005-0000-0000-0000549F0000}"/>
    <cellStyle name="Total 6 2 2 2 3" xfId="40789" xr:uid="{00000000-0005-0000-0000-0000559F0000}"/>
    <cellStyle name="Total 6 2 2 3" xfId="40790" xr:uid="{00000000-0005-0000-0000-0000569F0000}"/>
    <cellStyle name="Total 6 2 2 4" xfId="40791" xr:uid="{00000000-0005-0000-0000-0000579F0000}"/>
    <cellStyle name="Total 6 2 20" xfId="40792" xr:uid="{00000000-0005-0000-0000-0000589F0000}"/>
    <cellStyle name="Total 6 2 21" xfId="40793" xr:uid="{00000000-0005-0000-0000-0000599F0000}"/>
    <cellStyle name="Total 6 2 3" xfId="40794" xr:uid="{00000000-0005-0000-0000-00005A9F0000}"/>
    <cellStyle name="Total 6 2 3 2" xfId="40795" xr:uid="{00000000-0005-0000-0000-00005B9F0000}"/>
    <cellStyle name="Total 6 2 3 2 2" xfId="40796" xr:uid="{00000000-0005-0000-0000-00005C9F0000}"/>
    <cellStyle name="Total 6 2 3 2 3" xfId="40797" xr:uid="{00000000-0005-0000-0000-00005D9F0000}"/>
    <cellStyle name="Total 6 2 3 3" xfId="40798" xr:uid="{00000000-0005-0000-0000-00005E9F0000}"/>
    <cellStyle name="Total 6 2 3 4" xfId="40799" xr:uid="{00000000-0005-0000-0000-00005F9F0000}"/>
    <cellStyle name="Total 6 2 4" xfId="40800" xr:uid="{00000000-0005-0000-0000-0000609F0000}"/>
    <cellStyle name="Total 6 2 4 2" xfId="40801" xr:uid="{00000000-0005-0000-0000-0000619F0000}"/>
    <cellStyle name="Total 6 2 4 2 2" xfId="40802" xr:uid="{00000000-0005-0000-0000-0000629F0000}"/>
    <cellStyle name="Total 6 2 4 2 3" xfId="40803" xr:uid="{00000000-0005-0000-0000-0000639F0000}"/>
    <cellStyle name="Total 6 2 4 3" xfId="40804" xr:uid="{00000000-0005-0000-0000-0000649F0000}"/>
    <cellStyle name="Total 6 2 4 4" xfId="40805" xr:uid="{00000000-0005-0000-0000-0000659F0000}"/>
    <cellStyle name="Total 6 2 5" xfId="40806" xr:uid="{00000000-0005-0000-0000-0000669F0000}"/>
    <cellStyle name="Total 6 2 5 2" xfId="40807" xr:uid="{00000000-0005-0000-0000-0000679F0000}"/>
    <cellStyle name="Total 6 2 5 2 2" xfId="40808" xr:uid="{00000000-0005-0000-0000-0000689F0000}"/>
    <cellStyle name="Total 6 2 5 2 3" xfId="40809" xr:uid="{00000000-0005-0000-0000-0000699F0000}"/>
    <cellStyle name="Total 6 2 5 3" xfId="40810" xr:uid="{00000000-0005-0000-0000-00006A9F0000}"/>
    <cellStyle name="Total 6 2 5 4" xfId="40811" xr:uid="{00000000-0005-0000-0000-00006B9F0000}"/>
    <cellStyle name="Total 6 2 6" xfId="40812" xr:uid="{00000000-0005-0000-0000-00006C9F0000}"/>
    <cellStyle name="Total 6 2 6 2" xfId="40813" xr:uid="{00000000-0005-0000-0000-00006D9F0000}"/>
    <cellStyle name="Total 6 2 6 2 2" xfId="40814" xr:uid="{00000000-0005-0000-0000-00006E9F0000}"/>
    <cellStyle name="Total 6 2 6 2 3" xfId="40815" xr:uid="{00000000-0005-0000-0000-00006F9F0000}"/>
    <cellStyle name="Total 6 2 6 3" xfId="40816" xr:uid="{00000000-0005-0000-0000-0000709F0000}"/>
    <cellStyle name="Total 6 2 6 4" xfId="40817" xr:uid="{00000000-0005-0000-0000-0000719F0000}"/>
    <cellStyle name="Total 6 2 7" xfId="40818" xr:uid="{00000000-0005-0000-0000-0000729F0000}"/>
    <cellStyle name="Total 6 2 7 2" xfId="40819" xr:uid="{00000000-0005-0000-0000-0000739F0000}"/>
    <cellStyle name="Total 6 2 7 2 2" xfId="40820" xr:uid="{00000000-0005-0000-0000-0000749F0000}"/>
    <cellStyle name="Total 6 2 7 2 3" xfId="40821" xr:uid="{00000000-0005-0000-0000-0000759F0000}"/>
    <cellStyle name="Total 6 2 7 3" xfId="40822" xr:uid="{00000000-0005-0000-0000-0000769F0000}"/>
    <cellStyle name="Total 6 2 7 4" xfId="40823" xr:uid="{00000000-0005-0000-0000-0000779F0000}"/>
    <cellStyle name="Total 6 2 8" xfId="40824" xr:uid="{00000000-0005-0000-0000-0000789F0000}"/>
    <cellStyle name="Total 6 2 8 2" xfId="40825" xr:uid="{00000000-0005-0000-0000-0000799F0000}"/>
    <cellStyle name="Total 6 2 8 2 2" xfId="40826" xr:uid="{00000000-0005-0000-0000-00007A9F0000}"/>
    <cellStyle name="Total 6 2 8 2 3" xfId="40827" xr:uid="{00000000-0005-0000-0000-00007B9F0000}"/>
    <cellStyle name="Total 6 2 8 3" xfId="40828" xr:uid="{00000000-0005-0000-0000-00007C9F0000}"/>
    <cellStyle name="Total 6 2 8 4" xfId="40829" xr:uid="{00000000-0005-0000-0000-00007D9F0000}"/>
    <cellStyle name="Total 6 2 9" xfId="40830" xr:uid="{00000000-0005-0000-0000-00007E9F0000}"/>
    <cellStyle name="Total 6 2 9 2" xfId="40831" xr:uid="{00000000-0005-0000-0000-00007F9F0000}"/>
    <cellStyle name="Total 6 2 9 2 2" xfId="40832" xr:uid="{00000000-0005-0000-0000-0000809F0000}"/>
    <cellStyle name="Total 6 2 9 2 3" xfId="40833" xr:uid="{00000000-0005-0000-0000-0000819F0000}"/>
    <cellStyle name="Total 6 2 9 3" xfId="40834" xr:uid="{00000000-0005-0000-0000-0000829F0000}"/>
    <cellStyle name="Total 6 2 9 4" xfId="40835" xr:uid="{00000000-0005-0000-0000-0000839F0000}"/>
    <cellStyle name="Total 6 3" xfId="40836" xr:uid="{00000000-0005-0000-0000-0000849F0000}"/>
    <cellStyle name="Total 6 3 2" xfId="40837" xr:uid="{00000000-0005-0000-0000-0000859F0000}"/>
    <cellStyle name="Total 6 3 2 2" xfId="40838" xr:uid="{00000000-0005-0000-0000-0000869F0000}"/>
    <cellStyle name="Total 6 3 2 3" xfId="40839" xr:uid="{00000000-0005-0000-0000-0000879F0000}"/>
    <cellStyle name="Total 6 3 3" xfId="40840" xr:uid="{00000000-0005-0000-0000-0000889F0000}"/>
    <cellStyle name="Total 6 3 4" xfId="40841" xr:uid="{00000000-0005-0000-0000-0000899F0000}"/>
    <cellStyle name="Total 6 4" xfId="40842" xr:uid="{00000000-0005-0000-0000-00008A9F0000}"/>
    <cellStyle name="Total 6 5" xfId="40843" xr:uid="{00000000-0005-0000-0000-00008B9F0000}"/>
    <cellStyle name="Total 7" xfId="40844" xr:uid="{00000000-0005-0000-0000-00008C9F0000}"/>
    <cellStyle name="Total 7 2" xfId="40845" xr:uid="{00000000-0005-0000-0000-00008D9F0000}"/>
    <cellStyle name="Total 7 2 10" xfId="40846" xr:uid="{00000000-0005-0000-0000-00008E9F0000}"/>
    <cellStyle name="Total 7 2 10 2" xfId="40847" xr:uid="{00000000-0005-0000-0000-00008F9F0000}"/>
    <cellStyle name="Total 7 2 10 2 2" xfId="40848" xr:uid="{00000000-0005-0000-0000-0000909F0000}"/>
    <cellStyle name="Total 7 2 10 2 3" xfId="40849" xr:uid="{00000000-0005-0000-0000-0000919F0000}"/>
    <cellStyle name="Total 7 2 10 3" xfId="40850" xr:uid="{00000000-0005-0000-0000-0000929F0000}"/>
    <cellStyle name="Total 7 2 10 4" xfId="40851" xr:uid="{00000000-0005-0000-0000-0000939F0000}"/>
    <cellStyle name="Total 7 2 11" xfId="40852" xr:uid="{00000000-0005-0000-0000-0000949F0000}"/>
    <cellStyle name="Total 7 2 11 2" xfId="40853" xr:uid="{00000000-0005-0000-0000-0000959F0000}"/>
    <cellStyle name="Total 7 2 11 2 2" xfId="40854" xr:uid="{00000000-0005-0000-0000-0000969F0000}"/>
    <cellStyle name="Total 7 2 11 2 3" xfId="40855" xr:uid="{00000000-0005-0000-0000-0000979F0000}"/>
    <cellStyle name="Total 7 2 11 3" xfId="40856" xr:uid="{00000000-0005-0000-0000-0000989F0000}"/>
    <cellStyle name="Total 7 2 11 4" xfId="40857" xr:uid="{00000000-0005-0000-0000-0000999F0000}"/>
    <cellStyle name="Total 7 2 12" xfId="40858" xr:uid="{00000000-0005-0000-0000-00009A9F0000}"/>
    <cellStyle name="Total 7 2 12 2" xfId="40859" xr:uid="{00000000-0005-0000-0000-00009B9F0000}"/>
    <cellStyle name="Total 7 2 12 2 2" xfId="40860" xr:uid="{00000000-0005-0000-0000-00009C9F0000}"/>
    <cellStyle name="Total 7 2 12 2 3" xfId="40861" xr:uid="{00000000-0005-0000-0000-00009D9F0000}"/>
    <cellStyle name="Total 7 2 12 3" xfId="40862" xr:uid="{00000000-0005-0000-0000-00009E9F0000}"/>
    <cellStyle name="Total 7 2 12 4" xfId="40863" xr:uid="{00000000-0005-0000-0000-00009F9F0000}"/>
    <cellStyle name="Total 7 2 13" xfId="40864" xr:uid="{00000000-0005-0000-0000-0000A09F0000}"/>
    <cellStyle name="Total 7 2 13 2" xfId="40865" xr:uid="{00000000-0005-0000-0000-0000A19F0000}"/>
    <cellStyle name="Total 7 2 13 2 2" xfId="40866" xr:uid="{00000000-0005-0000-0000-0000A29F0000}"/>
    <cellStyle name="Total 7 2 13 2 3" xfId="40867" xr:uid="{00000000-0005-0000-0000-0000A39F0000}"/>
    <cellStyle name="Total 7 2 13 3" xfId="40868" xr:uid="{00000000-0005-0000-0000-0000A49F0000}"/>
    <cellStyle name="Total 7 2 13 4" xfId="40869" xr:uid="{00000000-0005-0000-0000-0000A59F0000}"/>
    <cellStyle name="Total 7 2 14" xfId="40870" xr:uid="{00000000-0005-0000-0000-0000A69F0000}"/>
    <cellStyle name="Total 7 2 14 2" xfId="40871" xr:uid="{00000000-0005-0000-0000-0000A79F0000}"/>
    <cellStyle name="Total 7 2 14 2 2" xfId="40872" xr:uid="{00000000-0005-0000-0000-0000A89F0000}"/>
    <cellStyle name="Total 7 2 14 2 3" xfId="40873" xr:uid="{00000000-0005-0000-0000-0000A99F0000}"/>
    <cellStyle name="Total 7 2 14 3" xfId="40874" xr:uid="{00000000-0005-0000-0000-0000AA9F0000}"/>
    <cellStyle name="Total 7 2 14 4" xfId="40875" xr:uid="{00000000-0005-0000-0000-0000AB9F0000}"/>
    <cellStyle name="Total 7 2 15" xfId="40876" xr:uid="{00000000-0005-0000-0000-0000AC9F0000}"/>
    <cellStyle name="Total 7 2 15 2" xfId="40877" xr:uid="{00000000-0005-0000-0000-0000AD9F0000}"/>
    <cellStyle name="Total 7 2 15 2 2" xfId="40878" xr:uid="{00000000-0005-0000-0000-0000AE9F0000}"/>
    <cellStyle name="Total 7 2 15 2 3" xfId="40879" xr:uid="{00000000-0005-0000-0000-0000AF9F0000}"/>
    <cellStyle name="Total 7 2 15 3" xfId="40880" xr:uid="{00000000-0005-0000-0000-0000B09F0000}"/>
    <cellStyle name="Total 7 2 15 4" xfId="40881" xr:uid="{00000000-0005-0000-0000-0000B19F0000}"/>
    <cellStyle name="Total 7 2 16" xfId="40882" xr:uid="{00000000-0005-0000-0000-0000B29F0000}"/>
    <cellStyle name="Total 7 2 16 2" xfId="40883" xr:uid="{00000000-0005-0000-0000-0000B39F0000}"/>
    <cellStyle name="Total 7 2 16 2 2" xfId="40884" xr:uid="{00000000-0005-0000-0000-0000B49F0000}"/>
    <cellStyle name="Total 7 2 16 2 3" xfId="40885" xr:uid="{00000000-0005-0000-0000-0000B59F0000}"/>
    <cellStyle name="Total 7 2 16 3" xfId="40886" xr:uid="{00000000-0005-0000-0000-0000B69F0000}"/>
    <cellStyle name="Total 7 2 16 4" xfId="40887" xr:uid="{00000000-0005-0000-0000-0000B79F0000}"/>
    <cellStyle name="Total 7 2 17" xfId="40888" xr:uid="{00000000-0005-0000-0000-0000B89F0000}"/>
    <cellStyle name="Total 7 2 17 2" xfId="40889" xr:uid="{00000000-0005-0000-0000-0000B99F0000}"/>
    <cellStyle name="Total 7 2 17 2 2" xfId="40890" xr:uid="{00000000-0005-0000-0000-0000BA9F0000}"/>
    <cellStyle name="Total 7 2 17 2 3" xfId="40891" xr:uid="{00000000-0005-0000-0000-0000BB9F0000}"/>
    <cellStyle name="Total 7 2 17 3" xfId="40892" xr:uid="{00000000-0005-0000-0000-0000BC9F0000}"/>
    <cellStyle name="Total 7 2 17 4" xfId="40893" xr:uid="{00000000-0005-0000-0000-0000BD9F0000}"/>
    <cellStyle name="Total 7 2 18" xfId="40894" xr:uid="{00000000-0005-0000-0000-0000BE9F0000}"/>
    <cellStyle name="Total 7 2 18 2" xfId="40895" xr:uid="{00000000-0005-0000-0000-0000BF9F0000}"/>
    <cellStyle name="Total 7 2 18 3" xfId="40896" xr:uid="{00000000-0005-0000-0000-0000C09F0000}"/>
    <cellStyle name="Total 7 2 18 4" xfId="40897" xr:uid="{00000000-0005-0000-0000-0000C19F0000}"/>
    <cellStyle name="Total 7 2 19" xfId="40898" xr:uid="{00000000-0005-0000-0000-0000C29F0000}"/>
    <cellStyle name="Total 7 2 2" xfId="40899" xr:uid="{00000000-0005-0000-0000-0000C39F0000}"/>
    <cellStyle name="Total 7 2 2 2" xfId="40900" xr:uid="{00000000-0005-0000-0000-0000C49F0000}"/>
    <cellStyle name="Total 7 2 2 2 2" xfId="40901" xr:uid="{00000000-0005-0000-0000-0000C59F0000}"/>
    <cellStyle name="Total 7 2 2 2 3" xfId="40902" xr:uid="{00000000-0005-0000-0000-0000C69F0000}"/>
    <cellStyle name="Total 7 2 2 3" xfId="40903" xr:uid="{00000000-0005-0000-0000-0000C79F0000}"/>
    <cellStyle name="Total 7 2 2 4" xfId="40904" xr:uid="{00000000-0005-0000-0000-0000C89F0000}"/>
    <cellStyle name="Total 7 2 20" xfId="40905" xr:uid="{00000000-0005-0000-0000-0000C99F0000}"/>
    <cellStyle name="Total 7 2 21" xfId="40906" xr:uid="{00000000-0005-0000-0000-0000CA9F0000}"/>
    <cellStyle name="Total 7 2 3" xfId="40907" xr:uid="{00000000-0005-0000-0000-0000CB9F0000}"/>
    <cellStyle name="Total 7 2 3 2" xfId="40908" xr:uid="{00000000-0005-0000-0000-0000CC9F0000}"/>
    <cellStyle name="Total 7 2 3 2 2" xfId="40909" xr:uid="{00000000-0005-0000-0000-0000CD9F0000}"/>
    <cellStyle name="Total 7 2 3 2 3" xfId="40910" xr:uid="{00000000-0005-0000-0000-0000CE9F0000}"/>
    <cellStyle name="Total 7 2 3 3" xfId="40911" xr:uid="{00000000-0005-0000-0000-0000CF9F0000}"/>
    <cellStyle name="Total 7 2 3 4" xfId="40912" xr:uid="{00000000-0005-0000-0000-0000D09F0000}"/>
    <cellStyle name="Total 7 2 4" xfId="40913" xr:uid="{00000000-0005-0000-0000-0000D19F0000}"/>
    <cellStyle name="Total 7 2 4 2" xfId="40914" xr:uid="{00000000-0005-0000-0000-0000D29F0000}"/>
    <cellStyle name="Total 7 2 4 2 2" xfId="40915" xr:uid="{00000000-0005-0000-0000-0000D39F0000}"/>
    <cellStyle name="Total 7 2 4 2 3" xfId="40916" xr:uid="{00000000-0005-0000-0000-0000D49F0000}"/>
    <cellStyle name="Total 7 2 4 3" xfId="40917" xr:uid="{00000000-0005-0000-0000-0000D59F0000}"/>
    <cellStyle name="Total 7 2 4 4" xfId="40918" xr:uid="{00000000-0005-0000-0000-0000D69F0000}"/>
    <cellStyle name="Total 7 2 5" xfId="40919" xr:uid="{00000000-0005-0000-0000-0000D79F0000}"/>
    <cellStyle name="Total 7 2 5 2" xfId="40920" xr:uid="{00000000-0005-0000-0000-0000D89F0000}"/>
    <cellStyle name="Total 7 2 5 2 2" xfId="40921" xr:uid="{00000000-0005-0000-0000-0000D99F0000}"/>
    <cellStyle name="Total 7 2 5 2 3" xfId="40922" xr:uid="{00000000-0005-0000-0000-0000DA9F0000}"/>
    <cellStyle name="Total 7 2 5 3" xfId="40923" xr:uid="{00000000-0005-0000-0000-0000DB9F0000}"/>
    <cellStyle name="Total 7 2 5 4" xfId="40924" xr:uid="{00000000-0005-0000-0000-0000DC9F0000}"/>
    <cellStyle name="Total 7 2 6" xfId="40925" xr:uid="{00000000-0005-0000-0000-0000DD9F0000}"/>
    <cellStyle name="Total 7 2 6 2" xfId="40926" xr:uid="{00000000-0005-0000-0000-0000DE9F0000}"/>
    <cellStyle name="Total 7 2 6 2 2" xfId="40927" xr:uid="{00000000-0005-0000-0000-0000DF9F0000}"/>
    <cellStyle name="Total 7 2 6 2 3" xfId="40928" xr:uid="{00000000-0005-0000-0000-0000E09F0000}"/>
    <cellStyle name="Total 7 2 6 3" xfId="40929" xr:uid="{00000000-0005-0000-0000-0000E19F0000}"/>
    <cellStyle name="Total 7 2 6 4" xfId="40930" xr:uid="{00000000-0005-0000-0000-0000E29F0000}"/>
    <cellStyle name="Total 7 2 7" xfId="40931" xr:uid="{00000000-0005-0000-0000-0000E39F0000}"/>
    <cellStyle name="Total 7 2 7 2" xfId="40932" xr:uid="{00000000-0005-0000-0000-0000E49F0000}"/>
    <cellStyle name="Total 7 2 7 2 2" xfId="40933" xr:uid="{00000000-0005-0000-0000-0000E59F0000}"/>
    <cellStyle name="Total 7 2 7 2 3" xfId="40934" xr:uid="{00000000-0005-0000-0000-0000E69F0000}"/>
    <cellStyle name="Total 7 2 7 3" xfId="40935" xr:uid="{00000000-0005-0000-0000-0000E79F0000}"/>
    <cellStyle name="Total 7 2 7 4" xfId="40936" xr:uid="{00000000-0005-0000-0000-0000E89F0000}"/>
    <cellStyle name="Total 7 2 8" xfId="40937" xr:uid="{00000000-0005-0000-0000-0000E99F0000}"/>
    <cellStyle name="Total 7 2 8 2" xfId="40938" xr:uid="{00000000-0005-0000-0000-0000EA9F0000}"/>
    <cellStyle name="Total 7 2 8 2 2" xfId="40939" xr:uid="{00000000-0005-0000-0000-0000EB9F0000}"/>
    <cellStyle name="Total 7 2 8 2 3" xfId="40940" xr:uid="{00000000-0005-0000-0000-0000EC9F0000}"/>
    <cellStyle name="Total 7 2 8 3" xfId="40941" xr:uid="{00000000-0005-0000-0000-0000ED9F0000}"/>
    <cellStyle name="Total 7 2 8 4" xfId="40942" xr:uid="{00000000-0005-0000-0000-0000EE9F0000}"/>
    <cellStyle name="Total 7 2 9" xfId="40943" xr:uid="{00000000-0005-0000-0000-0000EF9F0000}"/>
    <cellStyle name="Total 7 2 9 2" xfId="40944" xr:uid="{00000000-0005-0000-0000-0000F09F0000}"/>
    <cellStyle name="Total 7 2 9 2 2" xfId="40945" xr:uid="{00000000-0005-0000-0000-0000F19F0000}"/>
    <cellStyle name="Total 7 2 9 2 3" xfId="40946" xr:uid="{00000000-0005-0000-0000-0000F29F0000}"/>
    <cellStyle name="Total 7 2 9 3" xfId="40947" xr:uid="{00000000-0005-0000-0000-0000F39F0000}"/>
    <cellStyle name="Total 7 2 9 4" xfId="40948" xr:uid="{00000000-0005-0000-0000-0000F49F0000}"/>
    <cellStyle name="Total 7 3" xfId="40949" xr:uid="{00000000-0005-0000-0000-0000F59F0000}"/>
    <cellStyle name="Total 7 3 2" xfId="40950" xr:uid="{00000000-0005-0000-0000-0000F69F0000}"/>
    <cellStyle name="Total 7 3 2 2" xfId="40951" xr:uid="{00000000-0005-0000-0000-0000F79F0000}"/>
    <cellStyle name="Total 7 3 2 3" xfId="40952" xr:uid="{00000000-0005-0000-0000-0000F89F0000}"/>
    <cellStyle name="Total 7 3 3" xfId="40953" xr:uid="{00000000-0005-0000-0000-0000F99F0000}"/>
    <cellStyle name="Total 7 3 4" xfId="40954" xr:uid="{00000000-0005-0000-0000-0000FA9F0000}"/>
    <cellStyle name="Total 7 4" xfId="40955" xr:uid="{00000000-0005-0000-0000-0000FB9F0000}"/>
    <cellStyle name="Total 7 5" xfId="40956" xr:uid="{00000000-0005-0000-0000-0000FC9F0000}"/>
    <cellStyle name="Total 8" xfId="40957" xr:uid="{00000000-0005-0000-0000-0000FD9F0000}"/>
    <cellStyle name="Total 8 2" xfId="40958" xr:uid="{00000000-0005-0000-0000-0000FE9F0000}"/>
    <cellStyle name="Total 8 2 10" xfId="40959" xr:uid="{00000000-0005-0000-0000-0000FF9F0000}"/>
    <cellStyle name="Total 8 2 10 2" xfId="40960" xr:uid="{00000000-0005-0000-0000-000000A00000}"/>
    <cellStyle name="Total 8 2 10 2 2" xfId="40961" xr:uid="{00000000-0005-0000-0000-000001A00000}"/>
    <cellStyle name="Total 8 2 10 2 3" xfId="40962" xr:uid="{00000000-0005-0000-0000-000002A00000}"/>
    <cellStyle name="Total 8 2 10 3" xfId="40963" xr:uid="{00000000-0005-0000-0000-000003A00000}"/>
    <cellStyle name="Total 8 2 10 4" xfId="40964" xr:uid="{00000000-0005-0000-0000-000004A00000}"/>
    <cellStyle name="Total 8 2 11" xfId="40965" xr:uid="{00000000-0005-0000-0000-000005A00000}"/>
    <cellStyle name="Total 8 2 11 2" xfId="40966" xr:uid="{00000000-0005-0000-0000-000006A00000}"/>
    <cellStyle name="Total 8 2 11 2 2" xfId="40967" xr:uid="{00000000-0005-0000-0000-000007A00000}"/>
    <cellStyle name="Total 8 2 11 2 3" xfId="40968" xr:uid="{00000000-0005-0000-0000-000008A00000}"/>
    <cellStyle name="Total 8 2 11 3" xfId="40969" xr:uid="{00000000-0005-0000-0000-000009A00000}"/>
    <cellStyle name="Total 8 2 11 4" xfId="40970" xr:uid="{00000000-0005-0000-0000-00000AA00000}"/>
    <cellStyle name="Total 8 2 12" xfId="40971" xr:uid="{00000000-0005-0000-0000-00000BA00000}"/>
    <cellStyle name="Total 8 2 12 2" xfId="40972" xr:uid="{00000000-0005-0000-0000-00000CA00000}"/>
    <cellStyle name="Total 8 2 12 2 2" xfId="40973" xr:uid="{00000000-0005-0000-0000-00000DA00000}"/>
    <cellStyle name="Total 8 2 12 2 3" xfId="40974" xr:uid="{00000000-0005-0000-0000-00000EA00000}"/>
    <cellStyle name="Total 8 2 12 3" xfId="40975" xr:uid="{00000000-0005-0000-0000-00000FA00000}"/>
    <cellStyle name="Total 8 2 12 4" xfId="40976" xr:uid="{00000000-0005-0000-0000-000010A00000}"/>
    <cellStyle name="Total 8 2 13" xfId="40977" xr:uid="{00000000-0005-0000-0000-000011A00000}"/>
    <cellStyle name="Total 8 2 13 2" xfId="40978" xr:uid="{00000000-0005-0000-0000-000012A00000}"/>
    <cellStyle name="Total 8 2 13 2 2" xfId="40979" xr:uid="{00000000-0005-0000-0000-000013A00000}"/>
    <cellStyle name="Total 8 2 13 2 3" xfId="40980" xr:uid="{00000000-0005-0000-0000-000014A00000}"/>
    <cellStyle name="Total 8 2 13 3" xfId="40981" xr:uid="{00000000-0005-0000-0000-000015A00000}"/>
    <cellStyle name="Total 8 2 13 4" xfId="40982" xr:uid="{00000000-0005-0000-0000-000016A00000}"/>
    <cellStyle name="Total 8 2 14" xfId="40983" xr:uid="{00000000-0005-0000-0000-000017A00000}"/>
    <cellStyle name="Total 8 2 14 2" xfId="40984" xr:uid="{00000000-0005-0000-0000-000018A00000}"/>
    <cellStyle name="Total 8 2 14 2 2" xfId="40985" xr:uid="{00000000-0005-0000-0000-000019A00000}"/>
    <cellStyle name="Total 8 2 14 2 3" xfId="40986" xr:uid="{00000000-0005-0000-0000-00001AA00000}"/>
    <cellStyle name="Total 8 2 14 3" xfId="40987" xr:uid="{00000000-0005-0000-0000-00001BA00000}"/>
    <cellStyle name="Total 8 2 14 4" xfId="40988" xr:uid="{00000000-0005-0000-0000-00001CA00000}"/>
    <cellStyle name="Total 8 2 15" xfId="40989" xr:uid="{00000000-0005-0000-0000-00001DA00000}"/>
    <cellStyle name="Total 8 2 15 2" xfId="40990" xr:uid="{00000000-0005-0000-0000-00001EA00000}"/>
    <cellStyle name="Total 8 2 15 2 2" xfId="40991" xr:uid="{00000000-0005-0000-0000-00001FA00000}"/>
    <cellStyle name="Total 8 2 15 2 3" xfId="40992" xr:uid="{00000000-0005-0000-0000-000020A00000}"/>
    <cellStyle name="Total 8 2 15 3" xfId="40993" xr:uid="{00000000-0005-0000-0000-000021A00000}"/>
    <cellStyle name="Total 8 2 15 4" xfId="40994" xr:uid="{00000000-0005-0000-0000-000022A00000}"/>
    <cellStyle name="Total 8 2 16" xfId="40995" xr:uid="{00000000-0005-0000-0000-000023A00000}"/>
    <cellStyle name="Total 8 2 16 2" xfId="40996" xr:uid="{00000000-0005-0000-0000-000024A00000}"/>
    <cellStyle name="Total 8 2 16 2 2" xfId="40997" xr:uid="{00000000-0005-0000-0000-000025A00000}"/>
    <cellStyle name="Total 8 2 16 2 3" xfId="40998" xr:uid="{00000000-0005-0000-0000-000026A00000}"/>
    <cellStyle name="Total 8 2 16 3" xfId="40999" xr:uid="{00000000-0005-0000-0000-000027A00000}"/>
    <cellStyle name="Total 8 2 16 4" xfId="41000" xr:uid="{00000000-0005-0000-0000-000028A00000}"/>
    <cellStyle name="Total 8 2 17" xfId="41001" xr:uid="{00000000-0005-0000-0000-000029A00000}"/>
    <cellStyle name="Total 8 2 17 2" xfId="41002" xr:uid="{00000000-0005-0000-0000-00002AA00000}"/>
    <cellStyle name="Total 8 2 17 2 2" xfId="41003" xr:uid="{00000000-0005-0000-0000-00002BA00000}"/>
    <cellStyle name="Total 8 2 17 2 3" xfId="41004" xr:uid="{00000000-0005-0000-0000-00002CA00000}"/>
    <cellStyle name="Total 8 2 17 3" xfId="41005" xr:uid="{00000000-0005-0000-0000-00002DA00000}"/>
    <cellStyle name="Total 8 2 17 4" xfId="41006" xr:uid="{00000000-0005-0000-0000-00002EA00000}"/>
    <cellStyle name="Total 8 2 18" xfId="41007" xr:uid="{00000000-0005-0000-0000-00002FA00000}"/>
    <cellStyle name="Total 8 2 18 2" xfId="41008" xr:uid="{00000000-0005-0000-0000-000030A00000}"/>
    <cellStyle name="Total 8 2 18 3" xfId="41009" xr:uid="{00000000-0005-0000-0000-000031A00000}"/>
    <cellStyle name="Total 8 2 18 4" xfId="41010" xr:uid="{00000000-0005-0000-0000-000032A00000}"/>
    <cellStyle name="Total 8 2 19" xfId="41011" xr:uid="{00000000-0005-0000-0000-000033A00000}"/>
    <cellStyle name="Total 8 2 2" xfId="41012" xr:uid="{00000000-0005-0000-0000-000034A00000}"/>
    <cellStyle name="Total 8 2 2 2" xfId="41013" xr:uid="{00000000-0005-0000-0000-000035A00000}"/>
    <cellStyle name="Total 8 2 2 2 2" xfId="41014" xr:uid="{00000000-0005-0000-0000-000036A00000}"/>
    <cellStyle name="Total 8 2 2 2 3" xfId="41015" xr:uid="{00000000-0005-0000-0000-000037A00000}"/>
    <cellStyle name="Total 8 2 2 3" xfId="41016" xr:uid="{00000000-0005-0000-0000-000038A00000}"/>
    <cellStyle name="Total 8 2 2 4" xfId="41017" xr:uid="{00000000-0005-0000-0000-000039A00000}"/>
    <cellStyle name="Total 8 2 20" xfId="41018" xr:uid="{00000000-0005-0000-0000-00003AA00000}"/>
    <cellStyle name="Total 8 2 21" xfId="41019" xr:uid="{00000000-0005-0000-0000-00003BA00000}"/>
    <cellStyle name="Total 8 2 3" xfId="41020" xr:uid="{00000000-0005-0000-0000-00003CA00000}"/>
    <cellStyle name="Total 8 2 3 2" xfId="41021" xr:uid="{00000000-0005-0000-0000-00003DA00000}"/>
    <cellStyle name="Total 8 2 3 2 2" xfId="41022" xr:uid="{00000000-0005-0000-0000-00003EA00000}"/>
    <cellStyle name="Total 8 2 3 2 3" xfId="41023" xr:uid="{00000000-0005-0000-0000-00003FA00000}"/>
    <cellStyle name="Total 8 2 3 3" xfId="41024" xr:uid="{00000000-0005-0000-0000-000040A00000}"/>
    <cellStyle name="Total 8 2 3 4" xfId="41025" xr:uid="{00000000-0005-0000-0000-000041A00000}"/>
    <cellStyle name="Total 8 2 4" xfId="41026" xr:uid="{00000000-0005-0000-0000-000042A00000}"/>
    <cellStyle name="Total 8 2 4 2" xfId="41027" xr:uid="{00000000-0005-0000-0000-000043A00000}"/>
    <cellStyle name="Total 8 2 4 2 2" xfId="41028" xr:uid="{00000000-0005-0000-0000-000044A00000}"/>
    <cellStyle name="Total 8 2 4 2 3" xfId="41029" xr:uid="{00000000-0005-0000-0000-000045A00000}"/>
    <cellStyle name="Total 8 2 4 3" xfId="41030" xr:uid="{00000000-0005-0000-0000-000046A00000}"/>
    <cellStyle name="Total 8 2 4 4" xfId="41031" xr:uid="{00000000-0005-0000-0000-000047A00000}"/>
    <cellStyle name="Total 8 2 5" xfId="41032" xr:uid="{00000000-0005-0000-0000-000048A00000}"/>
    <cellStyle name="Total 8 2 5 2" xfId="41033" xr:uid="{00000000-0005-0000-0000-000049A00000}"/>
    <cellStyle name="Total 8 2 5 2 2" xfId="41034" xr:uid="{00000000-0005-0000-0000-00004AA00000}"/>
    <cellStyle name="Total 8 2 5 2 3" xfId="41035" xr:uid="{00000000-0005-0000-0000-00004BA00000}"/>
    <cellStyle name="Total 8 2 5 3" xfId="41036" xr:uid="{00000000-0005-0000-0000-00004CA00000}"/>
    <cellStyle name="Total 8 2 5 4" xfId="41037" xr:uid="{00000000-0005-0000-0000-00004DA00000}"/>
    <cellStyle name="Total 8 2 6" xfId="41038" xr:uid="{00000000-0005-0000-0000-00004EA00000}"/>
    <cellStyle name="Total 8 2 6 2" xfId="41039" xr:uid="{00000000-0005-0000-0000-00004FA00000}"/>
    <cellStyle name="Total 8 2 6 2 2" xfId="41040" xr:uid="{00000000-0005-0000-0000-000050A00000}"/>
    <cellStyle name="Total 8 2 6 2 3" xfId="41041" xr:uid="{00000000-0005-0000-0000-000051A00000}"/>
    <cellStyle name="Total 8 2 6 3" xfId="41042" xr:uid="{00000000-0005-0000-0000-000052A00000}"/>
    <cellStyle name="Total 8 2 6 4" xfId="41043" xr:uid="{00000000-0005-0000-0000-000053A00000}"/>
    <cellStyle name="Total 8 2 7" xfId="41044" xr:uid="{00000000-0005-0000-0000-000054A00000}"/>
    <cellStyle name="Total 8 2 7 2" xfId="41045" xr:uid="{00000000-0005-0000-0000-000055A00000}"/>
    <cellStyle name="Total 8 2 7 2 2" xfId="41046" xr:uid="{00000000-0005-0000-0000-000056A00000}"/>
    <cellStyle name="Total 8 2 7 2 3" xfId="41047" xr:uid="{00000000-0005-0000-0000-000057A00000}"/>
    <cellStyle name="Total 8 2 7 3" xfId="41048" xr:uid="{00000000-0005-0000-0000-000058A00000}"/>
    <cellStyle name="Total 8 2 7 4" xfId="41049" xr:uid="{00000000-0005-0000-0000-000059A00000}"/>
    <cellStyle name="Total 8 2 8" xfId="41050" xr:uid="{00000000-0005-0000-0000-00005AA00000}"/>
    <cellStyle name="Total 8 2 8 2" xfId="41051" xr:uid="{00000000-0005-0000-0000-00005BA00000}"/>
    <cellStyle name="Total 8 2 8 2 2" xfId="41052" xr:uid="{00000000-0005-0000-0000-00005CA00000}"/>
    <cellStyle name="Total 8 2 8 2 3" xfId="41053" xr:uid="{00000000-0005-0000-0000-00005DA00000}"/>
    <cellStyle name="Total 8 2 8 3" xfId="41054" xr:uid="{00000000-0005-0000-0000-00005EA00000}"/>
    <cellStyle name="Total 8 2 8 4" xfId="41055" xr:uid="{00000000-0005-0000-0000-00005FA00000}"/>
    <cellStyle name="Total 8 2 9" xfId="41056" xr:uid="{00000000-0005-0000-0000-000060A00000}"/>
    <cellStyle name="Total 8 2 9 2" xfId="41057" xr:uid="{00000000-0005-0000-0000-000061A00000}"/>
    <cellStyle name="Total 8 2 9 2 2" xfId="41058" xr:uid="{00000000-0005-0000-0000-000062A00000}"/>
    <cellStyle name="Total 8 2 9 2 3" xfId="41059" xr:uid="{00000000-0005-0000-0000-000063A00000}"/>
    <cellStyle name="Total 8 2 9 3" xfId="41060" xr:uid="{00000000-0005-0000-0000-000064A00000}"/>
    <cellStyle name="Total 8 2 9 4" xfId="41061" xr:uid="{00000000-0005-0000-0000-000065A00000}"/>
    <cellStyle name="Total 8 3" xfId="41062" xr:uid="{00000000-0005-0000-0000-000066A00000}"/>
    <cellStyle name="Total 8 3 2" xfId="41063" xr:uid="{00000000-0005-0000-0000-000067A00000}"/>
    <cellStyle name="Total 8 3 2 2" xfId="41064" xr:uid="{00000000-0005-0000-0000-000068A00000}"/>
    <cellStyle name="Total 8 3 2 3" xfId="41065" xr:uid="{00000000-0005-0000-0000-000069A00000}"/>
    <cellStyle name="Total 8 3 3" xfId="41066" xr:uid="{00000000-0005-0000-0000-00006AA00000}"/>
    <cellStyle name="Total 8 3 4" xfId="41067" xr:uid="{00000000-0005-0000-0000-00006BA00000}"/>
    <cellStyle name="Total 8 4" xfId="41068" xr:uid="{00000000-0005-0000-0000-00006CA00000}"/>
    <cellStyle name="Total 8 5" xfId="41069" xr:uid="{00000000-0005-0000-0000-00006DA00000}"/>
    <cellStyle name="Total 9" xfId="41070" xr:uid="{00000000-0005-0000-0000-00006EA00000}"/>
    <cellStyle name="Total 9 2" xfId="41071" xr:uid="{00000000-0005-0000-0000-00006FA00000}"/>
    <cellStyle name="Total 9 2 10" xfId="41072" xr:uid="{00000000-0005-0000-0000-000070A00000}"/>
    <cellStyle name="Total 9 2 10 2" xfId="41073" xr:uid="{00000000-0005-0000-0000-000071A00000}"/>
    <cellStyle name="Total 9 2 10 2 2" xfId="41074" xr:uid="{00000000-0005-0000-0000-000072A00000}"/>
    <cellStyle name="Total 9 2 10 2 3" xfId="41075" xr:uid="{00000000-0005-0000-0000-000073A00000}"/>
    <cellStyle name="Total 9 2 10 3" xfId="41076" xr:uid="{00000000-0005-0000-0000-000074A00000}"/>
    <cellStyle name="Total 9 2 10 4" xfId="41077" xr:uid="{00000000-0005-0000-0000-000075A00000}"/>
    <cellStyle name="Total 9 2 11" xfId="41078" xr:uid="{00000000-0005-0000-0000-000076A00000}"/>
    <cellStyle name="Total 9 2 11 2" xfId="41079" xr:uid="{00000000-0005-0000-0000-000077A00000}"/>
    <cellStyle name="Total 9 2 11 2 2" xfId="41080" xr:uid="{00000000-0005-0000-0000-000078A00000}"/>
    <cellStyle name="Total 9 2 11 2 3" xfId="41081" xr:uid="{00000000-0005-0000-0000-000079A00000}"/>
    <cellStyle name="Total 9 2 11 3" xfId="41082" xr:uid="{00000000-0005-0000-0000-00007AA00000}"/>
    <cellStyle name="Total 9 2 11 4" xfId="41083" xr:uid="{00000000-0005-0000-0000-00007BA00000}"/>
    <cellStyle name="Total 9 2 12" xfId="41084" xr:uid="{00000000-0005-0000-0000-00007CA00000}"/>
    <cellStyle name="Total 9 2 12 2" xfId="41085" xr:uid="{00000000-0005-0000-0000-00007DA00000}"/>
    <cellStyle name="Total 9 2 12 2 2" xfId="41086" xr:uid="{00000000-0005-0000-0000-00007EA00000}"/>
    <cellStyle name="Total 9 2 12 2 3" xfId="41087" xr:uid="{00000000-0005-0000-0000-00007FA00000}"/>
    <cellStyle name="Total 9 2 12 3" xfId="41088" xr:uid="{00000000-0005-0000-0000-000080A00000}"/>
    <cellStyle name="Total 9 2 12 4" xfId="41089" xr:uid="{00000000-0005-0000-0000-000081A00000}"/>
    <cellStyle name="Total 9 2 13" xfId="41090" xr:uid="{00000000-0005-0000-0000-000082A00000}"/>
    <cellStyle name="Total 9 2 13 2" xfId="41091" xr:uid="{00000000-0005-0000-0000-000083A00000}"/>
    <cellStyle name="Total 9 2 13 2 2" xfId="41092" xr:uid="{00000000-0005-0000-0000-000084A00000}"/>
    <cellStyle name="Total 9 2 13 2 3" xfId="41093" xr:uid="{00000000-0005-0000-0000-000085A00000}"/>
    <cellStyle name="Total 9 2 13 3" xfId="41094" xr:uid="{00000000-0005-0000-0000-000086A00000}"/>
    <cellStyle name="Total 9 2 13 4" xfId="41095" xr:uid="{00000000-0005-0000-0000-000087A00000}"/>
    <cellStyle name="Total 9 2 14" xfId="41096" xr:uid="{00000000-0005-0000-0000-000088A00000}"/>
    <cellStyle name="Total 9 2 14 2" xfId="41097" xr:uid="{00000000-0005-0000-0000-000089A00000}"/>
    <cellStyle name="Total 9 2 14 2 2" xfId="41098" xr:uid="{00000000-0005-0000-0000-00008AA00000}"/>
    <cellStyle name="Total 9 2 14 2 3" xfId="41099" xr:uid="{00000000-0005-0000-0000-00008BA00000}"/>
    <cellStyle name="Total 9 2 14 3" xfId="41100" xr:uid="{00000000-0005-0000-0000-00008CA00000}"/>
    <cellStyle name="Total 9 2 14 4" xfId="41101" xr:uid="{00000000-0005-0000-0000-00008DA00000}"/>
    <cellStyle name="Total 9 2 15" xfId="41102" xr:uid="{00000000-0005-0000-0000-00008EA00000}"/>
    <cellStyle name="Total 9 2 15 2" xfId="41103" xr:uid="{00000000-0005-0000-0000-00008FA00000}"/>
    <cellStyle name="Total 9 2 15 2 2" xfId="41104" xr:uid="{00000000-0005-0000-0000-000090A00000}"/>
    <cellStyle name="Total 9 2 15 2 3" xfId="41105" xr:uid="{00000000-0005-0000-0000-000091A00000}"/>
    <cellStyle name="Total 9 2 15 3" xfId="41106" xr:uid="{00000000-0005-0000-0000-000092A00000}"/>
    <cellStyle name="Total 9 2 15 4" xfId="41107" xr:uid="{00000000-0005-0000-0000-000093A00000}"/>
    <cellStyle name="Total 9 2 16" xfId="41108" xr:uid="{00000000-0005-0000-0000-000094A00000}"/>
    <cellStyle name="Total 9 2 16 2" xfId="41109" xr:uid="{00000000-0005-0000-0000-000095A00000}"/>
    <cellStyle name="Total 9 2 16 2 2" xfId="41110" xr:uid="{00000000-0005-0000-0000-000096A00000}"/>
    <cellStyle name="Total 9 2 16 2 3" xfId="41111" xr:uid="{00000000-0005-0000-0000-000097A00000}"/>
    <cellStyle name="Total 9 2 16 3" xfId="41112" xr:uid="{00000000-0005-0000-0000-000098A00000}"/>
    <cellStyle name="Total 9 2 16 4" xfId="41113" xr:uid="{00000000-0005-0000-0000-000099A00000}"/>
    <cellStyle name="Total 9 2 17" xfId="41114" xr:uid="{00000000-0005-0000-0000-00009AA00000}"/>
    <cellStyle name="Total 9 2 17 2" xfId="41115" xr:uid="{00000000-0005-0000-0000-00009BA00000}"/>
    <cellStyle name="Total 9 2 17 2 2" xfId="41116" xr:uid="{00000000-0005-0000-0000-00009CA00000}"/>
    <cellStyle name="Total 9 2 17 2 3" xfId="41117" xr:uid="{00000000-0005-0000-0000-00009DA00000}"/>
    <cellStyle name="Total 9 2 17 3" xfId="41118" xr:uid="{00000000-0005-0000-0000-00009EA00000}"/>
    <cellStyle name="Total 9 2 17 4" xfId="41119" xr:uid="{00000000-0005-0000-0000-00009FA00000}"/>
    <cellStyle name="Total 9 2 18" xfId="41120" xr:uid="{00000000-0005-0000-0000-0000A0A00000}"/>
    <cellStyle name="Total 9 2 18 2" xfId="41121" xr:uid="{00000000-0005-0000-0000-0000A1A00000}"/>
    <cellStyle name="Total 9 2 18 3" xfId="41122" xr:uid="{00000000-0005-0000-0000-0000A2A00000}"/>
    <cellStyle name="Total 9 2 18 4" xfId="41123" xr:uid="{00000000-0005-0000-0000-0000A3A00000}"/>
    <cellStyle name="Total 9 2 19" xfId="41124" xr:uid="{00000000-0005-0000-0000-0000A4A00000}"/>
    <cellStyle name="Total 9 2 2" xfId="41125" xr:uid="{00000000-0005-0000-0000-0000A5A00000}"/>
    <cellStyle name="Total 9 2 2 2" xfId="41126" xr:uid="{00000000-0005-0000-0000-0000A6A00000}"/>
    <cellStyle name="Total 9 2 2 2 2" xfId="41127" xr:uid="{00000000-0005-0000-0000-0000A7A00000}"/>
    <cellStyle name="Total 9 2 2 2 3" xfId="41128" xr:uid="{00000000-0005-0000-0000-0000A8A00000}"/>
    <cellStyle name="Total 9 2 2 3" xfId="41129" xr:uid="{00000000-0005-0000-0000-0000A9A00000}"/>
    <cellStyle name="Total 9 2 2 4" xfId="41130" xr:uid="{00000000-0005-0000-0000-0000AAA00000}"/>
    <cellStyle name="Total 9 2 20" xfId="41131" xr:uid="{00000000-0005-0000-0000-0000ABA00000}"/>
    <cellStyle name="Total 9 2 21" xfId="41132" xr:uid="{00000000-0005-0000-0000-0000ACA00000}"/>
    <cellStyle name="Total 9 2 3" xfId="41133" xr:uid="{00000000-0005-0000-0000-0000ADA00000}"/>
    <cellStyle name="Total 9 2 3 2" xfId="41134" xr:uid="{00000000-0005-0000-0000-0000AEA00000}"/>
    <cellStyle name="Total 9 2 3 2 2" xfId="41135" xr:uid="{00000000-0005-0000-0000-0000AFA00000}"/>
    <cellStyle name="Total 9 2 3 2 3" xfId="41136" xr:uid="{00000000-0005-0000-0000-0000B0A00000}"/>
    <cellStyle name="Total 9 2 3 3" xfId="41137" xr:uid="{00000000-0005-0000-0000-0000B1A00000}"/>
    <cellStyle name="Total 9 2 3 4" xfId="41138" xr:uid="{00000000-0005-0000-0000-0000B2A00000}"/>
    <cellStyle name="Total 9 2 4" xfId="41139" xr:uid="{00000000-0005-0000-0000-0000B3A00000}"/>
    <cellStyle name="Total 9 2 4 2" xfId="41140" xr:uid="{00000000-0005-0000-0000-0000B4A00000}"/>
    <cellStyle name="Total 9 2 4 2 2" xfId="41141" xr:uid="{00000000-0005-0000-0000-0000B5A00000}"/>
    <cellStyle name="Total 9 2 4 2 3" xfId="41142" xr:uid="{00000000-0005-0000-0000-0000B6A00000}"/>
    <cellStyle name="Total 9 2 4 3" xfId="41143" xr:uid="{00000000-0005-0000-0000-0000B7A00000}"/>
    <cellStyle name="Total 9 2 4 4" xfId="41144" xr:uid="{00000000-0005-0000-0000-0000B8A00000}"/>
    <cellStyle name="Total 9 2 5" xfId="41145" xr:uid="{00000000-0005-0000-0000-0000B9A00000}"/>
    <cellStyle name="Total 9 2 5 2" xfId="41146" xr:uid="{00000000-0005-0000-0000-0000BAA00000}"/>
    <cellStyle name="Total 9 2 5 2 2" xfId="41147" xr:uid="{00000000-0005-0000-0000-0000BBA00000}"/>
    <cellStyle name="Total 9 2 5 2 3" xfId="41148" xr:uid="{00000000-0005-0000-0000-0000BCA00000}"/>
    <cellStyle name="Total 9 2 5 3" xfId="41149" xr:uid="{00000000-0005-0000-0000-0000BDA00000}"/>
    <cellStyle name="Total 9 2 5 4" xfId="41150" xr:uid="{00000000-0005-0000-0000-0000BEA00000}"/>
    <cellStyle name="Total 9 2 6" xfId="41151" xr:uid="{00000000-0005-0000-0000-0000BFA00000}"/>
    <cellStyle name="Total 9 2 6 2" xfId="41152" xr:uid="{00000000-0005-0000-0000-0000C0A00000}"/>
    <cellStyle name="Total 9 2 6 2 2" xfId="41153" xr:uid="{00000000-0005-0000-0000-0000C1A00000}"/>
    <cellStyle name="Total 9 2 6 2 3" xfId="41154" xr:uid="{00000000-0005-0000-0000-0000C2A00000}"/>
    <cellStyle name="Total 9 2 6 3" xfId="41155" xr:uid="{00000000-0005-0000-0000-0000C3A00000}"/>
    <cellStyle name="Total 9 2 6 4" xfId="41156" xr:uid="{00000000-0005-0000-0000-0000C4A00000}"/>
    <cellStyle name="Total 9 2 7" xfId="41157" xr:uid="{00000000-0005-0000-0000-0000C5A00000}"/>
    <cellStyle name="Total 9 2 7 2" xfId="41158" xr:uid="{00000000-0005-0000-0000-0000C6A00000}"/>
    <cellStyle name="Total 9 2 7 2 2" xfId="41159" xr:uid="{00000000-0005-0000-0000-0000C7A00000}"/>
    <cellStyle name="Total 9 2 7 2 3" xfId="41160" xr:uid="{00000000-0005-0000-0000-0000C8A00000}"/>
    <cellStyle name="Total 9 2 7 3" xfId="41161" xr:uid="{00000000-0005-0000-0000-0000C9A00000}"/>
    <cellStyle name="Total 9 2 7 4" xfId="41162" xr:uid="{00000000-0005-0000-0000-0000CAA00000}"/>
    <cellStyle name="Total 9 2 8" xfId="41163" xr:uid="{00000000-0005-0000-0000-0000CBA00000}"/>
    <cellStyle name="Total 9 2 8 2" xfId="41164" xr:uid="{00000000-0005-0000-0000-0000CCA00000}"/>
    <cellStyle name="Total 9 2 8 2 2" xfId="41165" xr:uid="{00000000-0005-0000-0000-0000CDA00000}"/>
    <cellStyle name="Total 9 2 8 2 3" xfId="41166" xr:uid="{00000000-0005-0000-0000-0000CEA00000}"/>
    <cellStyle name="Total 9 2 8 3" xfId="41167" xr:uid="{00000000-0005-0000-0000-0000CFA00000}"/>
    <cellStyle name="Total 9 2 8 4" xfId="41168" xr:uid="{00000000-0005-0000-0000-0000D0A00000}"/>
    <cellStyle name="Total 9 2 9" xfId="41169" xr:uid="{00000000-0005-0000-0000-0000D1A00000}"/>
    <cellStyle name="Total 9 2 9 2" xfId="41170" xr:uid="{00000000-0005-0000-0000-0000D2A00000}"/>
    <cellStyle name="Total 9 2 9 2 2" xfId="41171" xr:uid="{00000000-0005-0000-0000-0000D3A00000}"/>
    <cellStyle name="Total 9 2 9 2 3" xfId="41172" xr:uid="{00000000-0005-0000-0000-0000D4A00000}"/>
    <cellStyle name="Total 9 2 9 3" xfId="41173" xr:uid="{00000000-0005-0000-0000-0000D5A00000}"/>
    <cellStyle name="Total 9 2 9 4" xfId="41174" xr:uid="{00000000-0005-0000-0000-0000D6A00000}"/>
    <cellStyle name="Total 9 3" xfId="41175" xr:uid="{00000000-0005-0000-0000-0000D7A00000}"/>
    <cellStyle name="Total 9 3 2" xfId="41176" xr:uid="{00000000-0005-0000-0000-0000D8A00000}"/>
    <cellStyle name="Total 9 3 2 2" xfId="41177" xr:uid="{00000000-0005-0000-0000-0000D9A00000}"/>
    <cellStyle name="Total 9 3 2 3" xfId="41178" xr:uid="{00000000-0005-0000-0000-0000DAA00000}"/>
    <cellStyle name="Total 9 3 3" xfId="41179" xr:uid="{00000000-0005-0000-0000-0000DBA00000}"/>
    <cellStyle name="Total 9 3 4" xfId="41180" xr:uid="{00000000-0005-0000-0000-0000DCA00000}"/>
    <cellStyle name="Total 9 4" xfId="41181" xr:uid="{00000000-0005-0000-0000-0000DDA00000}"/>
    <cellStyle name="Total 9 5" xfId="41182" xr:uid="{00000000-0005-0000-0000-0000DEA00000}"/>
    <cellStyle name="Warning Text 10" xfId="41183" xr:uid="{00000000-0005-0000-0000-0000DFA00000}"/>
    <cellStyle name="Warning Text 10 2" xfId="41184" xr:uid="{00000000-0005-0000-0000-0000E0A00000}"/>
    <cellStyle name="Warning Text 10 3" xfId="41185" xr:uid="{00000000-0005-0000-0000-0000E1A00000}"/>
    <cellStyle name="Warning Text 11" xfId="41186" xr:uid="{00000000-0005-0000-0000-0000E2A00000}"/>
    <cellStyle name="Warning Text 11 2" xfId="41187" xr:uid="{00000000-0005-0000-0000-0000E3A00000}"/>
    <cellStyle name="Warning Text 11 3" xfId="41188" xr:uid="{00000000-0005-0000-0000-0000E4A00000}"/>
    <cellStyle name="Warning Text 12" xfId="41189" xr:uid="{00000000-0005-0000-0000-0000E5A00000}"/>
    <cellStyle name="Warning Text 12 2" xfId="41190" xr:uid="{00000000-0005-0000-0000-0000E6A00000}"/>
    <cellStyle name="Warning Text 12 3" xfId="41191" xr:uid="{00000000-0005-0000-0000-0000E7A00000}"/>
    <cellStyle name="Warning Text 13" xfId="41192" xr:uid="{00000000-0005-0000-0000-0000E8A00000}"/>
    <cellStyle name="Warning Text 13 2" xfId="41193" xr:uid="{00000000-0005-0000-0000-0000E9A00000}"/>
    <cellStyle name="Warning Text 13 3" xfId="41194" xr:uid="{00000000-0005-0000-0000-0000EAA00000}"/>
    <cellStyle name="Warning Text 14" xfId="41195" xr:uid="{00000000-0005-0000-0000-0000EBA00000}"/>
    <cellStyle name="Warning Text 14 2" xfId="41196" xr:uid="{00000000-0005-0000-0000-0000ECA00000}"/>
    <cellStyle name="Warning Text 14 3" xfId="41197" xr:uid="{00000000-0005-0000-0000-0000EDA00000}"/>
    <cellStyle name="Warning Text 15" xfId="41198" xr:uid="{00000000-0005-0000-0000-0000EEA00000}"/>
    <cellStyle name="Warning Text 15 2" xfId="41199" xr:uid="{00000000-0005-0000-0000-0000EFA00000}"/>
    <cellStyle name="Warning Text 15 3" xfId="41200" xr:uid="{00000000-0005-0000-0000-0000F0A00000}"/>
    <cellStyle name="Warning Text 16" xfId="41201" xr:uid="{00000000-0005-0000-0000-0000F1A00000}"/>
    <cellStyle name="Warning Text 16 2" xfId="41202" xr:uid="{00000000-0005-0000-0000-0000F2A00000}"/>
    <cellStyle name="Warning Text 16 3" xfId="41203" xr:uid="{00000000-0005-0000-0000-0000F3A00000}"/>
    <cellStyle name="Warning Text 17" xfId="41204" xr:uid="{00000000-0005-0000-0000-0000F4A00000}"/>
    <cellStyle name="Warning Text 17 2" xfId="41205" xr:uid="{00000000-0005-0000-0000-0000F5A00000}"/>
    <cellStyle name="Warning Text 17 3" xfId="41206" xr:uid="{00000000-0005-0000-0000-0000F6A00000}"/>
    <cellStyle name="Warning Text 18" xfId="41207" xr:uid="{00000000-0005-0000-0000-0000F7A00000}"/>
    <cellStyle name="Warning Text 18 2" xfId="41208" xr:uid="{00000000-0005-0000-0000-0000F8A00000}"/>
    <cellStyle name="Warning Text 18 3" xfId="41209" xr:uid="{00000000-0005-0000-0000-0000F9A00000}"/>
    <cellStyle name="Warning Text 19" xfId="41210" xr:uid="{00000000-0005-0000-0000-0000FAA00000}"/>
    <cellStyle name="Warning Text 19 2" xfId="41211" xr:uid="{00000000-0005-0000-0000-0000FBA00000}"/>
    <cellStyle name="Warning Text 19 3" xfId="41212" xr:uid="{00000000-0005-0000-0000-0000FCA00000}"/>
    <cellStyle name="Warning Text 2" xfId="41213" xr:uid="{00000000-0005-0000-0000-0000FDA00000}"/>
    <cellStyle name="Warning Text 2 2" xfId="41214" xr:uid="{00000000-0005-0000-0000-0000FEA00000}"/>
    <cellStyle name="Warning Text 2 3" xfId="41215" xr:uid="{00000000-0005-0000-0000-0000FFA00000}"/>
    <cellStyle name="Warning Text 20" xfId="41216" xr:uid="{00000000-0005-0000-0000-000000A10000}"/>
    <cellStyle name="Warning Text 20 2" xfId="41217" xr:uid="{00000000-0005-0000-0000-000001A10000}"/>
    <cellStyle name="Warning Text 20 3" xfId="41218" xr:uid="{00000000-0005-0000-0000-000002A10000}"/>
    <cellStyle name="Warning Text 21" xfId="41219" xr:uid="{00000000-0005-0000-0000-000003A10000}"/>
    <cellStyle name="Warning Text 21 2" xfId="41220" xr:uid="{00000000-0005-0000-0000-000004A10000}"/>
    <cellStyle name="Warning Text 21 3" xfId="41221" xr:uid="{00000000-0005-0000-0000-000005A10000}"/>
    <cellStyle name="Warning Text 22" xfId="41222" xr:uid="{00000000-0005-0000-0000-000006A10000}"/>
    <cellStyle name="Warning Text 22 2" xfId="41223" xr:uid="{00000000-0005-0000-0000-000007A10000}"/>
    <cellStyle name="Warning Text 22 3" xfId="41224" xr:uid="{00000000-0005-0000-0000-000008A10000}"/>
    <cellStyle name="Warning Text 23" xfId="41225" xr:uid="{00000000-0005-0000-0000-000009A10000}"/>
    <cellStyle name="Warning Text 23 2" xfId="41226" xr:uid="{00000000-0005-0000-0000-00000AA10000}"/>
    <cellStyle name="Warning Text 23 3" xfId="41227" xr:uid="{00000000-0005-0000-0000-00000BA10000}"/>
    <cellStyle name="Warning Text 24" xfId="41228" xr:uid="{00000000-0005-0000-0000-00000CA10000}"/>
    <cellStyle name="Warning Text 24 2" xfId="41229" xr:uid="{00000000-0005-0000-0000-00000DA10000}"/>
    <cellStyle name="Warning Text 24 3" xfId="41230" xr:uid="{00000000-0005-0000-0000-00000EA10000}"/>
    <cellStyle name="Warning Text 25" xfId="41231" xr:uid="{00000000-0005-0000-0000-00000FA10000}"/>
    <cellStyle name="Warning Text 25 2" xfId="41232" xr:uid="{00000000-0005-0000-0000-000010A10000}"/>
    <cellStyle name="Warning Text 25 3" xfId="41233" xr:uid="{00000000-0005-0000-0000-000011A10000}"/>
    <cellStyle name="Warning Text 26" xfId="41234" xr:uid="{00000000-0005-0000-0000-000012A10000}"/>
    <cellStyle name="Warning Text 26 2" xfId="41235" xr:uid="{00000000-0005-0000-0000-000013A10000}"/>
    <cellStyle name="Warning Text 26 3" xfId="41236" xr:uid="{00000000-0005-0000-0000-000014A10000}"/>
    <cellStyle name="Warning Text 27" xfId="41237" xr:uid="{00000000-0005-0000-0000-000015A10000}"/>
    <cellStyle name="Warning Text 27 2" xfId="41238" xr:uid="{00000000-0005-0000-0000-000016A10000}"/>
    <cellStyle name="Warning Text 27 3" xfId="41239" xr:uid="{00000000-0005-0000-0000-000017A10000}"/>
    <cellStyle name="Warning Text 28" xfId="41240" xr:uid="{00000000-0005-0000-0000-000018A10000}"/>
    <cellStyle name="Warning Text 28 2" xfId="41241" xr:uid="{00000000-0005-0000-0000-000019A10000}"/>
    <cellStyle name="Warning Text 28 3" xfId="41242" xr:uid="{00000000-0005-0000-0000-00001AA10000}"/>
    <cellStyle name="Warning Text 29" xfId="41243" xr:uid="{00000000-0005-0000-0000-00001BA10000}"/>
    <cellStyle name="Warning Text 29 2" xfId="41244" xr:uid="{00000000-0005-0000-0000-00001CA10000}"/>
    <cellStyle name="Warning Text 29 3" xfId="41245" xr:uid="{00000000-0005-0000-0000-00001DA10000}"/>
    <cellStyle name="Warning Text 3" xfId="41246" xr:uid="{00000000-0005-0000-0000-00001EA10000}"/>
    <cellStyle name="Warning Text 3 2" xfId="41247" xr:uid="{00000000-0005-0000-0000-00001FA10000}"/>
    <cellStyle name="Warning Text 3 3" xfId="41248" xr:uid="{00000000-0005-0000-0000-000020A10000}"/>
    <cellStyle name="Warning Text 30" xfId="41249" xr:uid="{00000000-0005-0000-0000-000021A10000}"/>
    <cellStyle name="Warning Text 30 2" xfId="41250" xr:uid="{00000000-0005-0000-0000-000022A10000}"/>
    <cellStyle name="Warning Text 30 3" xfId="41251" xr:uid="{00000000-0005-0000-0000-000023A10000}"/>
    <cellStyle name="Warning Text 31" xfId="41252" xr:uid="{00000000-0005-0000-0000-000024A10000}"/>
    <cellStyle name="Warning Text 31 2" xfId="41253" xr:uid="{00000000-0005-0000-0000-000025A10000}"/>
    <cellStyle name="Warning Text 31 3" xfId="41254" xr:uid="{00000000-0005-0000-0000-000026A10000}"/>
    <cellStyle name="Warning Text 32" xfId="41255" xr:uid="{00000000-0005-0000-0000-000027A10000}"/>
    <cellStyle name="Warning Text 32 2" xfId="41256" xr:uid="{00000000-0005-0000-0000-000028A10000}"/>
    <cellStyle name="Warning Text 32 3" xfId="41257" xr:uid="{00000000-0005-0000-0000-000029A10000}"/>
    <cellStyle name="Warning Text 33" xfId="41258" xr:uid="{00000000-0005-0000-0000-00002AA10000}"/>
    <cellStyle name="Warning Text 33 2" xfId="41259" xr:uid="{00000000-0005-0000-0000-00002BA10000}"/>
    <cellStyle name="Warning Text 33 3" xfId="41260" xr:uid="{00000000-0005-0000-0000-00002CA10000}"/>
    <cellStyle name="Warning Text 34" xfId="41261" xr:uid="{00000000-0005-0000-0000-00002DA10000}"/>
    <cellStyle name="Warning Text 34 2" xfId="41262" xr:uid="{00000000-0005-0000-0000-00002EA10000}"/>
    <cellStyle name="Warning Text 34 3" xfId="41263" xr:uid="{00000000-0005-0000-0000-00002FA10000}"/>
    <cellStyle name="Warning Text 35" xfId="41264" xr:uid="{00000000-0005-0000-0000-000030A10000}"/>
    <cellStyle name="Warning Text 35 2" xfId="41265" xr:uid="{00000000-0005-0000-0000-000031A10000}"/>
    <cellStyle name="Warning Text 35 3" xfId="41266" xr:uid="{00000000-0005-0000-0000-000032A10000}"/>
    <cellStyle name="Warning Text 36" xfId="41267" xr:uid="{00000000-0005-0000-0000-000033A10000}"/>
    <cellStyle name="Warning Text 36 2" xfId="41268" xr:uid="{00000000-0005-0000-0000-000034A10000}"/>
    <cellStyle name="Warning Text 36 3" xfId="41269" xr:uid="{00000000-0005-0000-0000-000035A10000}"/>
    <cellStyle name="Warning Text 37" xfId="41270" xr:uid="{00000000-0005-0000-0000-000036A10000}"/>
    <cellStyle name="Warning Text 37 2" xfId="41271" xr:uid="{00000000-0005-0000-0000-000037A10000}"/>
    <cellStyle name="Warning Text 37 3" xfId="41272" xr:uid="{00000000-0005-0000-0000-000038A10000}"/>
    <cellStyle name="Warning Text 38" xfId="41273" xr:uid="{00000000-0005-0000-0000-000039A10000}"/>
    <cellStyle name="Warning Text 38 2" xfId="41274" xr:uid="{00000000-0005-0000-0000-00003AA10000}"/>
    <cellStyle name="Warning Text 38 3" xfId="41275" xr:uid="{00000000-0005-0000-0000-00003BA10000}"/>
    <cellStyle name="Warning Text 39" xfId="41276" xr:uid="{00000000-0005-0000-0000-00003CA10000}"/>
    <cellStyle name="Warning Text 39 2" xfId="41277" xr:uid="{00000000-0005-0000-0000-00003DA10000}"/>
    <cellStyle name="Warning Text 39 3" xfId="41278" xr:uid="{00000000-0005-0000-0000-00003EA10000}"/>
    <cellStyle name="Warning Text 4" xfId="41279" xr:uid="{00000000-0005-0000-0000-00003FA10000}"/>
    <cellStyle name="Warning Text 4 2" xfId="41280" xr:uid="{00000000-0005-0000-0000-000040A10000}"/>
    <cellStyle name="Warning Text 4 3" xfId="41281" xr:uid="{00000000-0005-0000-0000-000041A10000}"/>
    <cellStyle name="Warning Text 40" xfId="41282" xr:uid="{00000000-0005-0000-0000-000042A10000}"/>
    <cellStyle name="Warning Text 40 2" xfId="41283" xr:uid="{00000000-0005-0000-0000-000043A10000}"/>
    <cellStyle name="Warning Text 40 3" xfId="41284" xr:uid="{00000000-0005-0000-0000-000044A10000}"/>
    <cellStyle name="Warning Text 41" xfId="41285" xr:uid="{00000000-0005-0000-0000-000045A10000}"/>
    <cellStyle name="Warning Text 41 2" xfId="41286" xr:uid="{00000000-0005-0000-0000-000046A10000}"/>
    <cellStyle name="Warning Text 41 3" xfId="41287" xr:uid="{00000000-0005-0000-0000-000047A10000}"/>
    <cellStyle name="Warning Text 42" xfId="41288" xr:uid="{00000000-0005-0000-0000-000048A10000}"/>
    <cellStyle name="Warning Text 42 2" xfId="41289" xr:uid="{00000000-0005-0000-0000-000049A10000}"/>
    <cellStyle name="Warning Text 42 3" xfId="41290" xr:uid="{00000000-0005-0000-0000-00004AA10000}"/>
    <cellStyle name="Warning Text 43" xfId="41291" xr:uid="{00000000-0005-0000-0000-00004BA10000}"/>
    <cellStyle name="Warning Text 43 2" xfId="41292" xr:uid="{00000000-0005-0000-0000-00004CA10000}"/>
    <cellStyle name="Warning Text 43 3" xfId="41293" xr:uid="{00000000-0005-0000-0000-00004DA10000}"/>
    <cellStyle name="Warning Text 44" xfId="41294" xr:uid="{00000000-0005-0000-0000-00004EA10000}"/>
    <cellStyle name="Warning Text 44 2" xfId="41295" xr:uid="{00000000-0005-0000-0000-00004FA10000}"/>
    <cellStyle name="Warning Text 44 3" xfId="41296" xr:uid="{00000000-0005-0000-0000-000050A10000}"/>
    <cellStyle name="Warning Text 45" xfId="41297" xr:uid="{00000000-0005-0000-0000-000051A10000}"/>
    <cellStyle name="Warning Text 45 2" xfId="41298" xr:uid="{00000000-0005-0000-0000-000052A10000}"/>
    <cellStyle name="Warning Text 45 3" xfId="41299" xr:uid="{00000000-0005-0000-0000-000053A10000}"/>
    <cellStyle name="Warning Text 46" xfId="41300" xr:uid="{00000000-0005-0000-0000-000054A10000}"/>
    <cellStyle name="Warning Text 46 2" xfId="41301" xr:uid="{00000000-0005-0000-0000-000055A10000}"/>
    <cellStyle name="Warning Text 46 3" xfId="41302" xr:uid="{00000000-0005-0000-0000-000056A10000}"/>
    <cellStyle name="Warning Text 47" xfId="41303" xr:uid="{00000000-0005-0000-0000-000057A10000}"/>
    <cellStyle name="Warning Text 47 2" xfId="41304" xr:uid="{00000000-0005-0000-0000-000058A10000}"/>
    <cellStyle name="Warning Text 48" xfId="41305" xr:uid="{00000000-0005-0000-0000-000059A10000}"/>
    <cellStyle name="Warning Text 49" xfId="41306" xr:uid="{00000000-0005-0000-0000-00005AA10000}"/>
    <cellStyle name="Warning Text 5" xfId="41307" xr:uid="{00000000-0005-0000-0000-00005BA10000}"/>
    <cellStyle name="Warning Text 5 2" xfId="41308" xr:uid="{00000000-0005-0000-0000-00005CA10000}"/>
    <cellStyle name="Warning Text 5 3" xfId="41309" xr:uid="{00000000-0005-0000-0000-00005DA10000}"/>
    <cellStyle name="Warning Text 50" xfId="41310" xr:uid="{00000000-0005-0000-0000-00005EA10000}"/>
    <cellStyle name="Warning Text 51" xfId="41311" xr:uid="{00000000-0005-0000-0000-00005FA10000}"/>
    <cellStyle name="Warning Text 6" xfId="41312" xr:uid="{00000000-0005-0000-0000-000060A10000}"/>
    <cellStyle name="Warning Text 6 2" xfId="41313" xr:uid="{00000000-0005-0000-0000-000061A10000}"/>
    <cellStyle name="Warning Text 6 3" xfId="41314" xr:uid="{00000000-0005-0000-0000-000062A10000}"/>
    <cellStyle name="Warning Text 7" xfId="41315" xr:uid="{00000000-0005-0000-0000-000063A10000}"/>
    <cellStyle name="Warning Text 7 2" xfId="41316" xr:uid="{00000000-0005-0000-0000-000064A10000}"/>
    <cellStyle name="Warning Text 7 3" xfId="41317" xr:uid="{00000000-0005-0000-0000-000065A10000}"/>
    <cellStyle name="Warning Text 8" xfId="41318" xr:uid="{00000000-0005-0000-0000-000066A10000}"/>
    <cellStyle name="Warning Text 8 2" xfId="41319" xr:uid="{00000000-0005-0000-0000-000067A10000}"/>
    <cellStyle name="Warning Text 8 3" xfId="41320" xr:uid="{00000000-0005-0000-0000-000068A10000}"/>
    <cellStyle name="Warning Text 9" xfId="41321" xr:uid="{00000000-0005-0000-0000-000069A10000}"/>
    <cellStyle name="Warning Text 9 2" xfId="41322" xr:uid="{00000000-0005-0000-0000-00006AA10000}"/>
    <cellStyle name="Warning Text 9 3" xfId="41323" xr:uid="{00000000-0005-0000-0000-00006BA10000}"/>
    <cellStyle name="표준_ENERGY CONSUMP" xfId="41324" xr:uid="{00000000-0005-0000-0000-00006CA10000}"/>
    <cellStyle name="常规_海外市场服务网站资料操作BOM" xfId="41325" xr:uid="{00000000-0005-0000-0000-00006DA10000}"/>
  </cellStyles>
  <dxfs count="161">
    <dxf>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rgb="FFDDDDDD"/>
        <name val="Cambria"/>
        <scheme val="none"/>
      </font>
    </dxf>
    <dxf>
      <font>
        <color theme="0"/>
      </font>
    </dxf>
    <dxf>
      <font>
        <color theme="0"/>
      </font>
    </dxf>
    <dxf>
      <font>
        <color theme="0" tint="-0.14996795556505021"/>
      </font>
    </dxf>
    <dxf>
      <font>
        <color rgb="FFDDDDDD"/>
      </font>
    </dxf>
    <dxf>
      <font>
        <color theme="0" tint="-0.14996795556505021"/>
      </font>
      <fill>
        <patternFill patternType="solid">
          <bgColor theme="0" tint="-0.14996795556505021"/>
        </patternFill>
      </fill>
    </dxf>
    <dxf>
      <font>
        <color theme="0"/>
      </font>
    </dxf>
    <dxf>
      <font>
        <color rgb="FFFFFFFF"/>
        <name val="Cambria"/>
        <scheme val="none"/>
      </font>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dxf>
    <dxf>
      <font>
        <color theme="1"/>
      </font>
      <fill>
        <patternFill>
          <bgColor rgb="FF009999"/>
        </patternFill>
      </fill>
      <border>
        <left style="thin">
          <color auto="1"/>
        </left>
        <right style="thin">
          <color auto="1"/>
        </right>
        <top style="thin">
          <color auto="1"/>
        </top>
        <bottom style="thin">
          <color auto="1"/>
        </bottom>
        <vertical/>
        <horizontal/>
      </border>
    </dxf>
    <dxf>
      <font>
        <color theme="1"/>
      </font>
      <fill>
        <patternFill>
          <bgColor rgb="FF009999"/>
        </patternFill>
      </fill>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color theme="0"/>
      </font>
    </dxf>
    <dxf>
      <font>
        <color rgb="FFCCFFFF"/>
      </font>
    </dxf>
    <dxf>
      <font>
        <color rgb="FFFFFFFF"/>
      </font>
    </dxf>
    <dxf>
      <font>
        <color rgb="FFCCFFFF"/>
      </font>
    </dxf>
    <dxf>
      <font>
        <color rgb="FFCCFFFF"/>
      </font>
    </dxf>
    <dxf>
      <font>
        <color theme="0"/>
      </font>
    </dxf>
    <dxf>
      <font>
        <color theme="0"/>
      </font>
    </dxf>
    <dxf>
      <font>
        <color rgb="FFCCFFFF"/>
      </font>
      <fill>
        <patternFill>
          <bgColor rgb="FFCCFFFF"/>
        </patternFill>
      </fill>
    </dxf>
    <dxf>
      <fill>
        <patternFill>
          <bgColor theme="0"/>
        </patternFill>
      </fill>
    </dxf>
    <dxf>
      <font>
        <color rgb="FFCCFFFF"/>
      </font>
    </dxf>
    <dxf>
      <font>
        <color theme="0"/>
      </font>
    </dxf>
    <dxf>
      <font>
        <color theme="0"/>
      </font>
    </dxf>
    <dxf>
      <font>
        <color rgb="FF99CCFF"/>
      </font>
    </dxf>
    <dxf>
      <font>
        <color rgb="FF9ACEEE"/>
        <name val="Cambria"/>
        <scheme val="none"/>
      </font>
    </dxf>
    <dxf>
      <font>
        <color theme="0"/>
      </font>
    </dxf>
    <dxf>
      <font>
        <color rgb="FFFFFFFF"/>
      </font>
    </dxf>
    <dxf>
      <font>
        <color theme="0"/>
      </font>
    </dxf>
    <dxf>
      <font>
        <color theme="0"/>
      </font>
    </dxf>
    <dxf>
      <font>
        <color theme="1"/>
      </font>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0"/>
      </font>
    </dxf>
    <dxf>
      <font>
        <color auto="1"/>
      </font>
      <fill>
        <patternFill>
          <bgColor rgb="FF99CCFF"/>
        </patternFill>
      </fill>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vertical/>
        <horizontal/>
      </border>
    </dxf>
    <dxf>
      <fill>
        <patternFill>
          <bgColor rgb="FF009999"/>
        </patternFill>
      </fill>
      <border>
        <left style="thin">
          <color auto="1"/>
        </left>
        <right style="thin">
          <color auto="1"/>
        </right>
        <top style="thin">
          <color auto="1"/>
        </top>
        <bottom style="thin">
          <color auto="1"/>
        </bottom>
      </border>
    </dxf>
    <dxf>
      <font>
        <color theme="0"/>
      </font>
    </dxf>
    <dxf>
      <font>
        <color theme="1"/>
      </font>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vertical/>
        <horizontal/>
      </border>
    </dxf>
    <dxf>
      <font>
        <b val="0"/>
        <i val="0"/>
        <u/>
      </font>
    </dxf>
    <dxf>
      <fill>
        <patternFill>
          <bgColor rgb="FF009999"/>
        </patternFill>
      </fill>
      <border>
        <left style="thin">
          <color auto="1"/>
        </left>
        <right style="thin">
          <color auto="1"/>
        </right>
        <top style="thin">
          <color auto="1"/>
        </top>
        <bottom style="thin">
          <color auto="1"/>
        </bottom>
      </border>
    </dxf>
    <dxf>
      <font>
        <color theme="0"/>
      </font>
    </dxf>
    <dxf>
      <font>
        <color theme="1"/>
      </font>
      <border>
        <left style="thin">
          <color auto="1"/>
        </left>
        <right style="thin">
          <color auto="1"/>
        </right>
        <top style="thin">
          <color auto="1"/>
        </top>
        <bottom style="thin">
          <color auto="1"/>
        </bottom>
        <vertical/>
        <horizontal/>
      </border>
    </dxf>
    <dxf>
      <font>
        <color theme="1" tint="4.9989318521683403E-2"/>
      </font>
      <fill>
        <patternFill>
          <bgColor rgb="FF99CCFF"/>
        </patternFill>
      </fill>
      <border>
        <left style="thin">
          <color auto="1"/>
        </left>
        <right style="thin">
          <color auto="1"/>
        </right>
        <top style="thin">
          <color auto="1"/>
        </top>
        <bottom style="thin">
          <color auto="1"/>
        </bottom>
      </border>
    </dxf>
    <dxf>
      <font>
        <color auto="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border>
        <left/>
        <right/>
        <top/>
        <bottom/>
        <vertical/>
        <horizontal/>
      </border>
    </dxf>
    <dxf>
      <font>
        <color theme="1"/>
      </font>
      <fill>
        <patternFill>
          <bgColor theme="0"/>
        </patternFill>
      </fill>
      <border>
        <left/>
        <right/>
        <top/>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theme="1"/>
      </font>
      <fill>
        <patternFill patternType="none">
          <bgColor auto="1"/>
        </patternFill>
      </fill>
      <border>
        <left style="thin">
          <color auto="1"/>
        </left>
        <right style="thin">
          <color auto="1"/>
        </right>
        <top style="thin">
          <color auto="1"/>
        </top>
        <bottom style="thin">
          <color auto="1"/>
        </bottom>
        <vertical/>
        <horizontal/>
      </border>
    </dxf>
    <dxf>
      <font>
        <color auto="1"/>
      </font>
      <fill>
        <patternFill>
          <bgColor theme="0"/>
        </patternFill>
      </fill>
      <border>
        <left/>
        <right/>
        <top/>
        <bottom/>
        <vertical/>
        <horizontal/>
      </border>
    </dxf>
    <dxf>
      <font>
        <color auto="1"/>
      </font>
      <border>
        <left style="thin">
          <color auto="1"/>
        </left>
        <right style="thin">
          <color auto="1"/>
        </right>
        <top style="thin">
          <color auto="1"/>
        </top>
        <bottom style="thin">
          <color auto="1"/>
        </bottom>
        <vertical/>
        <horizontal/>
      </border>
    </dxf>
    <dxf>
      <border>
        <left/>
        <right/>
        <top/>
        <bottom/>
        <vertical/>
        <horizontal/>
      </border>
    </dxf>
    <dxf>
      <font>
        <color auto="1"/>
      </font>
      <fill>
        <patternFill>
          <bgColor rgb="FF99CCFF"/>
        </patternFill>
      </fill>
      <border>
        <left style="thin">
          <color auto="1"/>
        </left>
        <right style="thin">
          <color auto="1"/>
        </right>
        <top style="thin">
          <color auto="1"/>
        </top>
        <bottom style="thin">
          <color auto="1"/>
        </bottom>
        <vertical/>
        <horizontal/>
      </border>
    </dxf>
    <dxf>
      <font>
        <color auto="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fill>
        <patternFill patternType="none">
          <bgColor auto="1"/>
        </patternFill>
      </fill>
      <border>
        <left/>
        <right/>
        <top/>
        <bottom/>
        <vertical/>
        <horizontal/>
      </border>
    </dxf>
    <dxf>
      <border>
        <left/>
        <right/>
        <top/>
        <bottom/>
        <vertical/>
        <horizontal/>
      </border>
    </dxf>
    <dxf>
      <font>
        <color theme="1"/>
      </font>
      <fill>
        <patternFill>
          <bgColor rgb="FF99CCFF"/>
        </patternFill>
      </fill>
      <border>
        <left style="thin">
          <color auto="1"/>
        </left>
        <right style="thin">
          <color auto="1"/>
        </right>
        <top style="thin">
          <color auto="1"/>
        </top>
        <bottom style="thin">
          <color auto="1"/>
        </bottom>
        <vertical/>
        <horizontal/>
      </border>
    </dxf>
    <dxf>
      <font>
        <b val="0"/>
        <i val="0"/>
        <color theme="1"/>
      </font>
      <fill>
        <patternFill>
          <bgColor rgb="FF99CCFF"/>
        </patternFill>
      </fill>
      <border>
        <left style="thin">
          <color auto="1"/>
        </left>
        <right style="thin">
          <color auto="1"/>
        </right>
        <top style="thin">
          <color auto="1"/>
        </top>
        <bottom style="thin">
          <color auto="1"/>
        </bottom>
        <vertical/>
        <horizontal/>
      </border>
    </dxf>
    <dxf>
      <font>
        <color rgb="FFCCFFFF"/>
      </font>
    </dxf>
    <dxf>
      <font>
        <color rgb="FFCCFFFF"/>
      </font>
    </dxf>
    <dxf>
      <font>
        <color theme="0"/>
      </font>
    </dxf>
    <dxf>
      <fill>
        <patternFill patternType="solid">
          <bgColor rgb="FFFFFF00"/>
        </patternFill>
      </fill>
    </dxf>
    <dxf>
      <fill>
        <patternFill>
          <bgColor rgb="FFFFFF00"/>
        </patternFill>
      </fill>
    </dxf>
    <dxf>
      <fill>
        <patternFill patternType="solid">
          <bgColor rgb="FFFFFF00"/>
        </patternFill>
      </fill>
    </dxf>
    <dxf>
      <fill>
        <patternFill patternType="solid">
          <bgColor rgb="FFFFFF00"/>
        </patternFill>
      </fill>
    </dxf>
    <dxf>
      <font>
        <color rgb="FFCCFFFF"/>
      </font>
    </dxf>
    <dxf>
      <font>
        <color rgb="FFCCFFFF"/>
      </font>
    </dxf>
    <dxf>
      <font>
        <color rgb="FFCCFFFF"/>
      </font>
    </dxf>
    <dxf>
      <font>
        <color auto="1"/>
      </font>
      <fill>
        <patternFill>
          <bgColor theme="1"/>
        </patternFill>
      </fill>
    </dxf>
    <dxf>
      <font>
        <color theme="0"/>
      </font>
    </dxf>
    <dxf>
      <fill>
        <patternFill>
          <bgColor rgb="FFFFFF00"/>
        </patternFill>
      </fill>
    </dxf>
    <dxf>
      <font>
        <color theme="0"/>
      </font>
    </dxf>
    <dxf>
      <font>
        <color theme="0"/>
      </font>
    </dxf>
    <dxf>
      <font>
        <color theme="0"/>
      </font>
    </dxf>
    <dxf>
      <fill>
        <patternFill>
          <bgColor rgb="FFFFFF00"/>
        </patternFill>
      </fill>
    </dxf>
    <dxf>
      <fill>
        <patternFill>
          <bgColor rgb="FFFFFF00"/>
        </patternFill>
      </fill>
    </dxf>
    <dxf>
      <font>
        <color theme="0"/>
      </font>
    </dxf>
    <dxf>
      <font>
        <color theme="0"/>
      </font>
    </dxf>
    <dxf>
      <fill>
        <patternFill>
          <bgColor rgb="FFFF0000"/>
        </patternFill>
      </fill>
    </dxf>
    <dxf>
      <fill>
        <patternFill>
          <bgColor rgb="FFFF0000"/>
        </patternFill>
      </fill>
    </dxf>
    <dxf>
      <font>
        <color rgb="FFCCFFFF"/>
      </font>
    </dxf>
    <dxf>
      <font>
        <color theme="1" tint="0.499984740745262"/>
      </font>
      <fill>
        <patternFill>
          <bgColor theme="1" tint="0.499984740745262"/>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1" tint="0.499984740745262"/>
      </font>
      <fill>
        <patternFill>
          <bgColor theme="1" tint="0.499984740745262"/>
        </patternFill>
      </fill>
    </dxf>
    <dxf>
      <fill>
        <patternFill>
          <bgColor theme="0"/>
        </patternFill>
      </fill>
    </dxf>
    <dxf>
      <font>
        <color theme="0" tint="-0.499984740745262"/>
      </font>
      <fill>
        <patternFill>
          <bgColor theme="0" tint="-0.499984740745262"/>
        </patternFill>
      </fill>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ont>
        <color theme="1" tint="0.499984740745262"/>
      </font>
      <fill>
        <patternFill>
          <bgColor theme="1" tint="0.499984740745262"/>
        </patternFill>
      </fill>
    </dxf>
    <dxf>
      <font>
        <color theme="1" tint="0.499984740745262"/>
      </font>
      <fill>
        <patternFill>
          <bgColor theme="1" tint="0.499984740745262"/>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ACEEE"/>
        <name val="Cambria"/>
        <scheme val="none"/>
      </font>
    </dxf>
    <dxf>
      <fill>
        <patternFill>
          <bgColor rgb="FFFFFF00"/>
        </patternFill>
      </fill>
    </dxf>
    <dxf>
      <fill>
        <patternFill>
          <bgColor rgb="FFFFFF00"/>
        </patternFill>
      </fill>
    </dxf>
    <dxf>
      <font>
        <color theme="0"/>
      </font>
    </dxf>
    <dxf>
      <font>
        <color theme="0"/>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rgb="FFFFFF00"/>
        </patternFill>
      </fill>
    </dxf>
    <dxf>
      <fill>
        <patternFill>
          <bgColor rgb="FFFFFF00"/>
        </patternFill>
      </fill>
    </dxf>
    <dxf>
      <font>
        <color auto="1"/>
      </font>
      <fill>
        <patternFill>
          <bgColor rgb="FFFFFF00"/>
        </patternFill>
      </fill>
    </dxf>
    <dxf>
      <fill>
        <patternFill>
          <bgColor rgb="FFFF0000"/>
        </patternFill>
      </fill>
    </dxf>
    <dxf>
      <font>
        <color theme="0"/>
      </font>
    </dxf>
    <dxf>
      <font>
        <color rgb="FFCCFFFF"/>
      </font>
    </dxf>
    <dxf>
      <font>
        <color rgb="FFCCFFFF"/>
      </font>
    </dxf>
    <dxf>
      <font>
        <b val="0"/>
        <i val="0"/>
        <strike val="0"/>
        <condense val="0"/>
        <extend val="0"/>
        <outline val="0"/>
        <shadow val="0"/>
        <u val="none"/>
        <vertAlign val="baseline"/>
        <sz val="12"/>
        <color theme="1"/>
        <name val="Arial"/>
        <family val="2"/>
        <scheme val="none"/>
      </font>
      <fill>
        <patternFill patternType="solid">
          <fgColor indexed="64"/>
          <bgColor theme="7"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8"/>
        <name val="Arial"/>
        <family val="2"/>
        <scheme val="none"/>
      </font>
      <fill>
        <patternFill patternType="solid">
          <fgColor indexed="64"/>
          <bgColor theme="7" tint="0.5999938962981048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indexed="8"/>
        <name val="Arial"/>
        <family val="2"/>
        <scheme val="none"/>
      </font>
      <fill>
        <patternFill patternType="solid">
          <fgColor indexed="64"/>
          <bgColor theme="7" tint="0.59999389629810485"/>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top style="thin">
          <color indexed="64"/>
        </top>
        <bottom style="thin">
          <color indexed="64"/>
        </bottom>
      </border>
    </dxf>
    <dxf>
      <border outline="0">
        <bottom style="thin">
          <color indexed="64"/>
        </bottom>
      </border>
    </dxf>
  </dxfs>
  <tableStyles count="0" defaultTableStyle="TableStyleMedium9" defaultPivotStyle="PivotStyleLight16"/>
  <colors>
    <mruColors>
      <color rgb="FFFFFF66"/>
      <color rgb="FFCCFFFF"/>
      <color rgb="FFEAEAEA"/>
      <color rgb="FF99CCFF"/>
      <color rgb="FFCCECFF"/>
      <color rgb="FF009999"/>
      <color rgb="FF0000FF"/>
      <color rgb="FF66CCFF"/>
      <color rgb="FF8DB4E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alcChain" Target="calcChain.xml"/></Relationships>
</file>

<file path=xl/ctrlProps/ctrlProp1.xml><?xml version="1.0" encoding="utf-8"?>
<formControlPr xmlns="http://schemas.microsoft.com/office/spreadsheetml/2009/9/main" objectType="Radio" checked="Checked" firstButton="1" fmlaLink="$BB$3" noThreeD="1"/>
</file>

<file path=xl/ctrlProps/ctrlProp2.xml><?xml version="1.0" encoding="utf-8"?>
<formControlPr xmlns="http://schemas.microsoft.com/office/spreadsheetml/2009/9/main" objectType="Radio"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png"/><Relationship Id="rId18" Type="http://schemas.openxmlformats.org/officeDocument/2006/relationships/image" Target="../media/image24.pn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jpeg"/><Relationship Id="rId16" Type="http://schemas.openxmlformats.org/officeDocument/2006/relationships/image" Target="../media/image22.pn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jpeg"/><Relationship Id="rId9" Type="http://schemas.openxmlformats.org/officeDocument/2006/relationships/image" Target="../media/image15.jpeg"/><Relationship Id="rId1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jpeg"/><Relationship Id="rId5" Type="http://schemas.openxmlformats.org/officeDocument/2006/relationships/image" Target="../media/image29.png"/><Relationship Id="rId4"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61</xdr:row>
      <xdr:rowOff>66675</xdr:rowOff>
    </xdr:from>
    <xdr:to>
      <xdr:col>29</xdr:col>
      <xdr:colOff>105554</xdr:colOff>
      <xdr:row>66</xdr:row>
      <xdr:rowOff>181164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409575" y="11696700"/>
          <a:ext cx="5582429" cy="1352739"/>
        </a:xfrm>
        <a:prstGeom prst="rect">
          <a:avLst/>
        </a:prstGeom>
      </xdr:spPr>
    </xdr:pic>
    <xdr:clientData/>
  </xdr:twoCellAnchor>
  <xdr:twoCellAnchor editAs="absolute">
    <xdr:from>
      <xdr:col>0</xdr:col>
      <xdr:colOff>361950</xdr:colOff>
      <xdr:row>0</xdr:row>
      <xdr:rowOff>9525</xdr:rowOff>
    </xdr:from>
    <xdr:to>
      <xdr:col>39</xdr:col>
      <xdr:colOff>1476375</xdr:colOff>
      <xdr:row>11</xdr:row>
      <xdr:rowOff>65199</xdr:rowOff>
    </xdr:to>
    <xdr:pic>
      <xdr:nvPicPr>
        <xdr:cNvPr id="11429" name="Picture 1" descr="IP_Letterhead_Color_non-bleed">
          <a:extLst>
            <a:ext uri="{FF2B5EF4-FFF2-40B4-BE49-F238E27FC236}">
              <a16:creationId xmlns:a16="http://schemas.microsoft.com/office/drawing/2014/main" id="{00000000-0008-0000-0000-0000A52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61950" y="9525"/>
          <a:ext cx="8801100" cy="1732074"/>
        </a:xfrm>
        <a:prstGeom prst="rect">
          <a:avLst/>
        </a:prstGeom>
        <a:noFill/>
        <a:ln w="9525">
          <a:noFill/>
          <a:miter lim="800000"/>
          <a:headEnd/>
          <a:tailEnd/>
        </a:ln>
      </xdr:spPr>
    </xdr:pic>
    <xdr:clientData/>
  </xdr:twoCellAnchor>
  <xdr:twoCellAnchor editAs="absolute">
    <xdr:from>
      <xdr:col>0</xdr:col>
      <xdr:colOff>0</xdr:colOff>
      <xdr:row>5</xdr:row>
      <xdr:rowOff>85725</xdr:rowOff>
    </xdr:from>
    <xdr:to>
      <xdr:col>18</xdr:col>
      <xdr:colOff>114300</xdr:colOff>
      <xdr:row>14</xdr:row>
      <xdr:rowOff>9525</xdr:rowOff>
    </xdr:to>
    <xdr:sp macro="" textlink="">
      <xdr:nvSpPr>
        <xdr:cNvPr id="3" name="Text Box 2">
          <a:extLst>
            <a:ext uri="{FF2B5EF4-FFF2-40B4-BE49-F238E27FC236}">
              <a16:creationId xmlns:a16="http://schemas.microsoft.com/office/drawing/2014/main" id="{00000000-0008-0000-0000-000003000000}"/>
            </a:ext>
          </a:extLst>
        </xdr:cNvPr>
        <xdr:cNvSpPr txBox="1">
          <a:spLocks noChangeArrowheads="1"/>
        </xdr:cNvSpPr>
      </xdr:nvSpPr>
      <xdr:spPr bwMode="auto">
        <a:xfrm>
          <a:off x="0" y="847725"/>
          <a:ext cx="3686175" cy="1228725"/>
        </a:xfrm>
        <a:prstGeom prst="rect">
          <a:avLst/>
        </a:prstGeom>
        <a:solidFill>
          <a:srgbClr val="008080">
            <a:alpha val="0"/>
          </a:srgbClr>
        </a:solidFill>
        <a:ln w="9525">
          <a:noFill/>
          <a:miter lim="800000"/>
          <a:headEnd/>
          <a:tailEnd/>
        </a:ln>
      </xdr:spPr>
      <xdr:txBody>
        <a:bodyPr vertOverflow="clip" wrap="square" lIns="36576" tIns="27432" rIns="36576" bIns="0" anchor="t" upright="1"/>
        <a:lstStyle/>
        <a:p>
          <a:pPr algn="l" rtl="0">
            <a:defRPr sz="1000"/>
          </a:pPr>
          <a:r>
            <a:rPr lang="en-US" sz="1400" b="1" i="0" strike="noStrike">
              <a:solidFill>
                <a:srgbClr val="008080"/>
              </a:solidFill>
              <a:latin typeface="Arial"/>
              <a:cs typeface="Arial"/>
            </a:rPr>
            <a:t>Welcome to Idaho Power's</a:t>
          </a:r>
        </a:p>
        <a:p>
          <a:pPr algn="l" rtl="0">
            <a:defRPr sz="1000"/>
          </a:pPr>
          <a:r>
            <a:rPr lang="en-US" sz="2400" b="1" i="1" strike="noStrike">
              <a:solidFill>
                <a:srgbClr val="008080"/>
              </a:solidFill>
              <a:latin typeface="Arial"/>
              <a:cs typeface="Arial"/>
            </a:rPr>
            <a:t>Lighting</a:t>
          </a:r>
          <a:r>
            <a:rPr lang="en-US" sz="2400" b="1" i="1" strike="noStrike" baseline="0">
              <a:solidFill>
                <a:srgbClr val="008080"/>
              </a:solidFill>
              <a:latin typeface="Arial"/>
              <a:cs typeface="Arial"/>
            </a:rPr>
            <a:t> Tool</a:t>
          </a:r>
          <a:endParaRPr lang="en-US" sz="1400" b="1" i="0" strike="noStrike">
            <a:solidFill>
              <a:srgbClr val="008080"/>
            </a:solidFill>
            <a:latin typeface="Arial"/>
            <a:cs typeface="Arial"/>
          </a:endParaRPr>
        </a:p>
        <a:p>
          <a:pPr algn="l" rtl="0">
            <a:defRPr sz="1000"/>
          </a:pPr>
          <a:r>
            <a:rPr lang="en-US" sz="1400" b="1" i="0" strike="noStrike">
              <a:solidFill>
                <a:srgbClr val="008080"/>
              </a:solidFill>
              <a:latin typeface="Arial"/>
              <a:cs typeface="Arial"/>
            </a:rPr>
            <a:t>interactive calculator for energy-saving</a:t>
          </a:r>
        </a:p>
        <a:p>
          <a:pPr algn="l" rtl="0">
            <a:defRPr sz="1000"/>
          </a:pPr>
          <a:r>
            <a:rPr lang="en-US" sz="1400" b="1" i="0" strike="noStrike">
              <a:solidFill>
                <a:srgbClr val="008080"/>
              </a:solidFill>
              <a:latin typeface="Arial"/>
              <a:cs typeface="Arial"/>
            </a:rPr>
            <a:t>lighting retrofit and controls projects</a:t>
          </a:r>
        </a:p>
        <a:p>
          <a:pPr algn="l" rtl="0">
            <a:defRPr sz="1000"/>
          </a:pPr>
          <a:r>
            <a:rPr lang="en-US" sz="1400" b="1" i="0" strike="noStrike">
              <a:solidFill>
                <a:srgbClr val="008080"/>
              </a:solidFill>
              <a:latin typeface="Arial"/>
              <a:cs typeface="Arial"/>
            </a:rPr>
            <a:t>in Commercial-Industrial facilities</a:t>
          </a:r>
        </a:p>
      </xdr:txBody>
    </xdr:sp>
    <xdr:clientData/>
  </xdr:twoCellAnchor>
  <xdr:twoCellAnchor>
    <xdr:from>
      <xdr:col>1</xdr:col>
      <xdr:colOff>47625</xdr:colOff>
      <xdr:row>63</xdr:row>
      <xdr:rowOff>114300</xdr:rowOff>
    </xdr:from>
    <xdr:to>
      <xdr:col>1</xdr:col>
      <xdr:colOff>190500</xdr:colOff>
      <xdr:row>64</xdr:row>
      <xdr:rowOff>19050</xdr:rowOff>
    </xdr:to>
    <xdr:sp macro="" textlink="">
      <xdr:nvSpPr>
        <xdr:cNvPr id="4" name="Right Arrow 3">
          <a:extLst>
            <a:ext uri="{FF2B5EF4-FFF2-40B4-BE49-F238E27FC236}">
              <a16:creationId xmlns:a16="http://schemas.microsoft.com/office/drawing/2014/main" id="{00000000-0008-0000-0000-000004000000}"/>
            </a:ext>
          </a:extLst>
        </xdr:cNvPr>
        <xdr:cNvSpPr/>
      </xdr:nvSpPr>
      <xdr:spPr>
        <a:xfrm>
          <a:off x="466725" y="12239625"/>
          <a:ext cx="142875" cy="152400"/>
        </a:xfrm>
        <a:prstGeom prst="right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400050</xdr:colOff>
      <xdr:row>68</xdr:row>
      <xdr:rowOff>152400</xdr:rowOff>
    </xdr:from>
    <xdr:to>
      <xdr:col>9</xdr:col>
      <xdr:colOff>104569</xdr:colOff>
      <xdr:row>74</xdr:row>
      <xdr:rowOff>132958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00050" y="13515975"/>
          <a:ext cx="1657144" cy="31333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876300</xdr:colOff>
      <xdr:row>0</xdr:row>
      <xdr:rowOff>76200</xdr:rowOff>
    </xdr:from>
    <xdr:to>
      <xdr:col>11</xdr:col>
      <xdr:colOff>571500</xdr:colOff>
      <xdr:row>2</xdr:row>
      <xdr:rowOff>212230</xdr:rowOff>
    </xdr:to>
    <xdr:pic>
      <xdr:nvPicPr>
        <xdr:cNvPr id="3" name="Picture 4">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38850" y="76200"/>
          <a:ext cx="1685925" cy="62180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200026</xdr:colOff>
      <xdr:row>0</xdr:row>
      <xdr:rowOff>28576</xdr:rowOff>
    </xdr:from>
    <xdr:to>
      <xdr:col>11</xdr:col>
      <xdr:colOff>583400</xdr:colOff>
      <xdr:row>3</xdr:row>
      <xdr:rowOff>75276</xdr:rowOff>
    </xdr:to>
    <xdr:pic>
      <xdr:nvPicPr>
        <xdr:cNvPr id="2" name="Picture 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829301" y="28576"/>
          <a:ext cx="1754974" cy="656300"/>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oneCellAnchor>
    <xdr:from>
      <xdr:col>4</xdr:col>
      <xdr:colOff>809625</xdr:colOff>
      <xdr:row>0</xdr:row>
      <xdr:rowOff>19050</xdr:rowOff>
    </xdr:from>
    <xdr:ext cx="1352550" cy="498850"/>
    <xdr:pic>
      <xdr:nvPicPr>
        <xdr:cNvPr id="2" name="Picture 4">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48000" y="19050"/>
          <a:ext cx="1352550" cy="498850"/>
        </a:xfrm>
        <a:prstGeom prst="rect">
          <a:avLst/>
        </a:prstGeom>
        <a:noFill/>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22</xdr:col>
      <xdr:colOff>2790825</xdr:colOff>
      <xdr:row>0</xdr:row>
      <xdr:rowOff>95250</xdr:rowOff>
    </xdr:from>
    <xdr:to>
      <xdr:col>26</xdr:col>
      <xdr:colOff>504826</xdr:colOff>
      <xdr:row>2</xdr:row>
      <xdr:rowOff>9824</xdr:rowOff>
    </xdr:to>
    <xdr:pic>
      <xdr:nvPicPr>
        <xdr:cNvPr id="9220" name="Picture 4">
          <a:extLst>
            <a:ext uri="{FF2B5EF4-FFF2-40B4-BE49-F238E27FC236}">
              <a16:creationId xmlns:a16="http://schemas.microsoft.com/office/drawing/2014/main" id="{00000000-0008-0000-0D00-0000042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868025" y="95250"/>
          <a:ext cx="1685926" cy="61942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32</xdr:col>
      <xdr:colOff>171450</xdr:colOff>
      <xdr:row>0</xdr:row>
      <xdr:rowOff>47625</xdr:rowOff>
    </xdr:from>
    <xdr:to>
      <xdr:col>40</xdr:col>
      <xdr:colOff>208817</xdr:colOff>
      <xdr:row>4</xdr:row>
      <xdr:rowOff>132220</xdr:rowOff>
    </xdr:to>
    <xdr:pic>
      <xdr:nvPicPr>
        <xdr:cNvPr id="3" name="Picture 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57900" y="47625"/>
          <a:ext cx="1685925" cy="621805"/>
        </a:xfrm>
        <a:prstGeom prst="rect">
          <a:avLst/>
        </a:prstGeom>
        <a:noFill/>
      </xdr:spPr>
    </xdr:pic>
    <xdr:clientData/>
  </xdr:twoCellAnchor>
  <mc:AlternateContent xmlns:mc="http://schemas.openxmlformats.org/markup-compatibility/2006">
    <mc:Choice xmlns:a14="http://schemas.microsoft.com/office/drawing/2010/main" Requires="a14">
      <xdr:twoCellAnchor editAs="absolute">
        <xdr:from>
          <xdr:col>29</xdr:col>
          <xdr:colOff>238125</xdr:colOff>
          <xdr:row>18</xdr:row>
          <xdr:rowOff>9525</xdr:rowOff>
        </xdr:from>
        <xdr:to>
          <xdr:col>34</xdr:col>
          <xdr:colOff>200025</xdr:colOff>
          <xdr:row>18</xdr:row>
          <xdr:rowOff>209550</xdr:rowOff>
        </xdr:to>
        <xdr:sp macro="" textlink="">
          <xdr:nvSpPr>
            <xdr:cNvPr id="3074" name="Option Butto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Account Number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34</xdr:col>
          <xdr:colOff>180975</xdr:colOff>
          <xdr:row>17</xdr:row>
          <xdr:rowOff>247650</xdr:rowOff>
        </xdr:from>
        <xdr:to>
          <xdr:col>39</xdr:col>
          <xdr:colOff>142875</xdr:colOff>
          <xdr:row>19</xdr:row>
          <xdr:rowOff>0</xdr:rowOff>
        </xdr:to>
        <xdr:sp macro="" textlink="">
          <xdr:nvSpPr>
            <xdr:cNvPr id="3075" name="Option Button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Meter Number</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1028700</xdr:colOff>
      <xdr:row>2</xdr:row>
      <xdr:rowOff>209213</xdr:rowOff>
    </xdr:to>
    <xdr:pic>
      <xdr:nvPicPr>
        <xdr:cNvPr id="2" name="Picture 4">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150" y="76200"/>
          <a:ext cx="1476375" cy="552113"/>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99</xdr:col>
      <xdr:colOff>666750</xdr:colOff>
      <xdr:row>0</xdr:row>
      <xdr:rowOff>79375</xdr:rowOff>
    </xdr:from>
    <xdr:to>
      <xdr:col>105</xdr:col>
      <xdr:colOff>443868</xdr:colOff>
      <xdr:row>3</xdr:row>
      <xdr:rowOff>58420</xdr:rowOff>
    </xdr:to>
    <xdr:pic>
      <xdr:nvPicPr>
        <xdr:cNvPr id="3" name="Picture 4">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002625" y="79375"/>
          <a:ext cx="1926483" cy="73152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41</xdr:col>
      <xdr:colOff>247650</xdr:colOff>
      <xdr:row>0</xdr:row>
      <xdr:rowOff>180975</xdr:rowOff>
    </xdr:from>
    <xdr:to>
      <xdr:col>42</xdr:col>
      <xdr:colOff>1238252</xdr:colOff>
      <xdr:row>3</xdr:row>
      <xdr:rowOff>21730</xdr:rowOff>
    </xdr:to>
    <xdr:pic>
      <xdr:nvPicPr>
        <xdr:cNvPr id="3" name="Picture 4">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068300" y="180975"/>
          <a:ext cx="1685925" cy="62180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9526</xdr:colOff>
      <xdr:row>0</xdr:row>
      <xdr:rowOff>28576</xdr:rowOff>
    </xdr:from>
    <xdr:to>
      <xdr:col>27</xdr:col>
      <xdr:colOff>219076</xdr:colOff>
      <xdr:row>1</xdr:row>
      <xdr:rowOff>232151</xdr:rowOff>
    </xdr:to>
    <xdr:pic>
      <xdr:nvPicPr>
        <xdr:cNvPr id="3" name="Picture 4">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19926" y="28576"/>
          <a:ext cx="1352550" cy="49885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19050</xdr:colOff>
      <xdr:row>0</xdr:row>
      <xdr:rowOff>28575</xdr:rowOff>
    </xdr:from>
    <xdr:to>
      <xdr:col>27</xdr:col>
      <xdr:colOff>228600</xdr:colOff>
      <xdr:row>1</xdr:row>
      <xdr:rowOff>276600</xdr:rowOff>
    </xdr:to>
    <xdr:pic>
      <xdr:nvPicPr>
        <xdr:cNvPr id="4" name="Picture 4">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29400" y="28575"/>
          <a:ext cx="1352550" cy="49885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215031</xdr:colOff>
      <xdr:row>9</xdr:row>
      <xdr:rowOff>602423</xdr:rowOff>
    </xdr:from>
    <xdr:ext cx="758825" cy="790575"/>
    <xdr:pic>
      <xdr:nvPicPr>
        <xdr:cNvPr id="3" name="Picture 2" descr="Soraa 00945 - LED MR16 - 7.5 Watt - 525 Lumens Image">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631" y="2097848"/>
          <a:ext cx="758825" cy="7905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76070</xdr:colOff>
      <xdr:row>9</xdr:row>
      <xdr:rowOff>487080</xdr:rowOff>
    </xdr:from>
    <xdr:ext cx="969963" cy="971854"/>
    <xdr:pic>
      <xdr:nvPicPr>
        <xdr:cNvPr id="4" name="Picture 3" descr="Image result for gu10 led">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870" y="2096805"/>
          <a:ext cx="969963" cy="97185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558538</xdr:colOff>
      <xdr:row>9</xdr:row>
      <xdr:rowOff>457200</xdr:rowOff>
    </xdr:from>
    <xdr:ext cx="544951" cy="999194"/>
    <xdr:pic>
      <xdr:nvPicPr>
        <xdr:cNvPr id="8" name="Picture 7" descr="https://www.led-llc.com/assets/site/img/technical-documents/led7334-g2-v-sm.jpg">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3538" y="3552825"/>
          <a:ext cx="544951" cy="9991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222787</xdr:colOff>
      <xdr:row>12</xdr:row>
      <xdr:rowOff>763847</xdr:rowOff>
    </xdr:from>
    <xdr:ext cx="1041023" cy="1083432"/>
    <xdr:pic>
      <xdr:nvPicPr>
        <xdr:cNvPr id="10" name="Picture 9" descr="Image result for corn cob led">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27787" y="5802572"/>
          <a:ext cx="1041023" cy="10834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147443</xdr:colOff>
      <xdr:row>12</xdr:row>
      <xdr:rowOff>841201</xdr:rowOff>
    </xdr:from>
    <xdr:ext cx="1131121" cy="1057371"/>
    <xdr:pic>
      <xdr:nvPicPr>
        <xdr:cNvPr id="11" name="Picture 10" descr="Image result for corn cob led">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5143" y="5879926"/>
          <a:ext cx="1131121" cy="10573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34910</xdr:colOff>
      <xdr:row>12</xdr:row>
      <xdr:rowOff>761055</xdr:rowOff>
    </xdr:from>
    <xdr:ext cx="1222151" cy="1231888"/>
    <xdr:pic>
      <xdr:nvPicPr>
        <xdr:cNvPr id="12" name="Picture 11" descr="LED Lamp,High/Low Bay Bulb Shape,5773 lm">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2535" y="5799780"/>
          <a:ext cx="1222151" cy="12318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633235</xdr:colOff>
      <xdr:row>12</xdr:row>
      <xdr:rowOff>881847</xdr:rowOff>
    </xdr:from>
    <xdr:ext cx="1075894" cy="1081338"/>
    <xdr:pic>
      <xdr:nvPicPr>
        <xdr:cNvPr id="13" name="Picture 12" descr="https://www.led-llc.com/assets/site/img/technical-documents/LED-8055M_400x400.jpg">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0060" y="5920572"/>
          <a:ext cx="1075894" cy="10813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422437</xdr:colOff>
      <xdr:row>22</xdr:row>
      <xdr:rowOff>1533152</xdr:rowOff>
    </xdr:from>
    <xdr:ext cx="1361544" cy="1340855"/>
    <xdr:pic>
      <xdr:nvPicPr>
        <xdr:cNvPr id="14" name="Picture 13" descr="https://encrypted-tbn2.gstatic.com/shopping?q=tbn:ANd9GcTJtLJE7v1X8HJ6ivD58DBuLMnHdjc5hefCsnlTIhwA8wgtrKaXBLDqipQ6rGTOLlTyISNTQwg&amp;usqp=CAE">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908837" y="4571627"/>
          <a:ext cx="1361544" cy="13408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375495</xdr:colOff>
      <xdr:row>22</xdr:row>
      <xdr:rowOff>1765909</xdr:rowOff>
    </xdr:from>
    <xdr:ext cx="1579463" cy="1034301"/>
    <xdr:pic>
      <xdr:nvPicPr>
        <xdr:cNvPr id="15" name="Picture 14" descr="Image result for philips evokit">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85095" y="4575784"/>
          <a:ext cx="1579463" cy="10343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444777</xdr:colOff>
      <xdr:row>22</xdr:row>
      <xdr:rowOff>1704132</xdr:rowOff>
    </xdr:from>
    <xdr:ext cx="2015017" cy="1132749"/>
    <xdr:pic>
      <xdr:nvPicPr>
        <xdr:cNvPr id="16" name="Picture 15" descr="Image result for philips evokit">
          <a:extLst>
            <a:ext uri="{FF2B5EF4-FFF2-40B4-BE49-F238E27FC236}">
              <a16:creationId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883177" y="4571157"/>
          <a:ext cx="2015017" cy="1132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30076</xdr:colOff>
      <xdr:row>22</xdr:row>
      <xdr:rowOff>1385035</xdr:rowOff>
    </xdr:from>
    <xdr:ext cx="1405772" cy="1455107"/>
    <xdr:pic>
      <xdr:nvPicPr>
        <xdr:cNvPr id="17" name="Picture 16" descr="https://encrypted-tbn1.gstatic.com/shopping?q=tbn:ANd9GcQrXczXK0niwzRaEbWXnLItRX6-OcF9A-LfYIp5Ll75BaYATsCzrmDpJFs2bTxN1CfhpYMOHno&amp;usqp=CAE">
          <a:extLst>
            <a:ext uri="{FF2B5EF4-FFF2-40B4-BE49-F238E27FC236}">
              <a16:creationId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174076" y="4575910"/>
          <a:ext cx="1405772" cy="14551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779274</xdr:colOff>
      <xdr:row>22</xdr:row>
      <xdr:rowOff>1350039</xdr:rowOff>
    </xdr:from>
    <xdr:ext cx="1906808" cy="1393027"/>
    <xdr:pic>
      <xdr:nvPicPr>
        <xdr:cNvPr id="25" name="Picture 24">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2"/>
        <a:stretch>
          <a:fillRect/>
        </a:stretch>
      </xdr:blipFill>
      <xdr:spPr>
        <a:xfrm>
          <a:off x="7313424" y="4569489"/>
          <a:ext cx="1906808" cy="1393027"/>
        </a:xfrm>
        <a:prstGeom prst="rect">
          <a:avLst/>
        </a:prstGeom>
      </xdr:spPr>
    </xdr:pic>
    <xdr:clientData/>
  </xdr:oneCellAnchor>
  <xdr:oneCellAnchor>
    <xdr:from>
      <xdr:col>1</xdr:col>
      <xdr:colOff>107248</xdr:colOff>
      <xdr:row>15</xdr:row>
      <xdr:rowOff>1859014</xdr:rowOff>
    </xdr:from>
    <xdr:ext cx="10151177" cy="1031039"/>
    <xdr:pic>
      <xdr:nvPicPr>
        <xdr:cNvPr id="26" name="Picture 25">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3"/>
        <a:stretch>
          <a:fillRect/>
        </a:stretch>
      </xdr:blipFill>
      <xdr:spPr>
        <a:xfrm>
          <a:off x="716848" y="3240139"/>
          <a:ext cx="10151177" cy="1031039"/>
        </a:xfrm>
        <a:prstGeom prst="rect">
          <a:avLst/>
        </a:prstGeom>
      </xdr:spPr>
    </xdr:pic>
    <xdr:clientData/>
  </xdr:oneCellAnchor>
  <xdr:oneCellAnchor>
    <xdr:from>
      <xdr:col>1</xdr:col>
      <xdr:colOff>548217</xdr:colOff>
      <xdr:row>18</xdr:row>
      <xdr:rowOff>485774</xdr:rowOff>
    </xdr:from>
    <xdr:ext cx="1643411" cy="1090596"/>
    <xdr:pic>
      <xdr:nvPicPr>
        <xdr:cNvPr id="27" name="Picture 26">
          <a:extLst>
            <a:ext uri="{FF2B5EF4-FFF2-40B4-BE49-F238E27FC236}">
              <a16:creationId xmlns:a16="http://schemas.microsoft.com/office/drawing/2014/main" id="{00000000-0008-0000-0700-00001B000000}"/>
            </a:ext>
          </a:extLst>
        </xdr:cNvPr>
        <xdr:cNvPicPr>
          <a:picLocks noChangeAspect="1"/>
        </xdr:cNvPicPr>
      </xdr:nvPicPr>
      <xdr:blipFill>
        <a:blip xmlns:r="http://schemas.openxmlformats.org/officeDocument/2006/relationships" r:embed="rId14"/>
        <a:stretch>
          <a:fillRect/>
        </a:stretch>
      </xdr:blipFill>
      <xdr:spPr>
        <a:xfrm>
          <a:off x="614892" y="11534774"/>
          <a:ext cx="1643411" cy="1090596"/>
        </a:xfrm>
        <a:prstGeom prst="rect">
          <a:avLst/>
        </a:prstGeom>
      </xdr:spPr>
    </xdr:pic>
    <xdr:clientData/>
  </xdr:oneCellAnchor>
  <xdr:oneCellAnchor>
    <xdr:from>
      <xdr:col>5</xdr:col>
      <xdr:colOff>137583</xdr:colOff>
      <xdr:row>18</xdr:row>
      <xdr:rowOff>497417</xdr:rowOff>
    </xdr:from>
    <xdr:ext cx="1331809" cy="898000"/>
    <xdr:pic>
      <xdr:nvPicPr>
        <xdr:cNvPr id="28" name="Picture 27">
          <a:extLst>
            <a:ext uri="{FF2B5EF4-FFF2-40B4-BE49-F238E27FC236}">
              <a16:creationId xmlns:a16="http://schemas.microsoft.com/office/drawing/2014/main" id="{00000000-0008-0000-0700-00001C000000}"/>
            </a:ext>
          </a:extLst>
        </xdr:cNvPr>
        <xdr:cNvPicPr>
          <a:picLocks noChangeAspect="1"/>
        </xdr:cNvPicPr>
      </xdr:nvPicPr>
      <xdr:blipFill>
        <a:blip xmlns:r="http://schemas.openxmlformats.org/officeDocument/2006/relationships" r:embed="rId15"/>
        <a:stretch>
          <a:fillRect/>
        </a:stretch>
      </xdr:blipFill>
      <xdr:spPr>
        <a:xfrm>
          <a:off x="2909358" y="11546417"/>
          <a:ext cx="1331809" cy="898000"/>
        </a:xfrm>
        <a:prstGeom prst="rect">
          <a:avLst/>
        </a:prstGeom>
      </xdr:spPr>
    </xdr:pic>
    <xdr:clientData/>
  </xdr:oneCellAnchor>
  <xdr:oneCellAnchor>
    <xdr:from>
      <xdr:col>9</xdr:col>
      <xdr:colOff>119592</xdr:colOff>
      <xdr:row>18</xdr:row>
      <xdr:rowOff>78316</xdr:rowOff>
    </xdr:from>
    <xdr:ext cx="1704789" cy="1240084"/>
    <xdr:pic>
      <xdr:nvPicPr>
        <xdr:cNvPr id="29" name="Picture 28">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6"/>
        <a:stretch>
          <a:fillRect/>
        </a:stretch>
      </xdr:blipFill>
      <xdr:spPr>
        <a:xfrm>
          <a:off x="4586817" y="11127316"/>
          <a:ext cx="1704789" cy="1240084"/>
        </a:xfrm>
        <a:prstGeom prst="rect">
          <a:avLst/>
        </a:prstGeom>
      </xdr:spPr>
    </xdr:pic>
    <xdr:clientData/>
  </xdr:oneCellAnchor>
  <xdr:oneCellAnchor>
    <xdr:from>
      <xdr:col>11</xdr:col>
      <xdr:colOff>649816</xdr:colOff>
      <xdr:row>18</xdr:row>
      <xdr:rowOff>123430</xdr:rowOff>
    </xdr:from>
    <xdr:ext cx="1798109" cy="1406434"/>
    <xdr:pic>
      <xdr:nvPicPr>
        <xdr:cNvPr id="30" name="Picture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7"/>
        <a:stretch>
          <a:fillRect/>
        </a:stretch>
      </xdr:blipFill>
      <xdr:spPr>
        <a:xfrm>
          <a:off x="6507691" y="11172430"/>
          <a:ext cx="1798109" cy="1406434"/>
        </a:xfrm>
        <a:prstGeom prst="rect">
          <a:avLst/>
        </a:prstGeom>
      </xdr:spPr>
    </xdr:pic>
    <xdr:clientData/>
  </xdr:oneCellAnchor>
  <xdr:oneCellAnchor>
    <xdr:from>
      <xdr:col>2</xdr:col>
      <xdr:colOff>419100</xdr:colOff>
      <xdr:row>26</xdr:row>
      <xdr:rowOff>904875</xdr:rowOff>
    </xdr:from>
    <xdr:ext cx="8831530" cy="1326223"/>
    <xdr:pic>
      <xdr:nvPicPr>
        <xdr:cNvPr id="31" name="Picture 30">
          <a:extLst>
            <a:ext uri="{FF2B5EF4-FFF2-40B4-BE49-F238E27FC236}">
              <a16:creationId xmlns:a16="http://schemas.microsoft.com/office/drawing/2014/main" id="{00000000-0008-0000-0700-00001F000000}"/>
            </a:ext>
          </a:extLst>
        </xdr:cNvPr>
        <xdr:cNvPicPr>
          <a:picLocks noChangeAspect="1"/>
        </xdr:cNvPicPr>
      </xdr:nvPicPr>
      <xdr:blipFill>
        <a:blip xmlns:r="http://schemas.openxmlformats.org/officeDocument/2006/relationships" r:embed="rId18"/>
        <a:stretch>
          <a:fillRect/>
        </a:stretch>
      </xdr:blipFill>
      <xdr:spPr>
        <a:xfrm>
          <a:off x="1066800" y="16878300"/>
          <a:ext cx="8831530" cy="1326223"/>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540809</xdr:colOff>
      <xdr:row>2</xdr:row>
      <xdr:rowOff>2610381</xdr:rowOff>
    </xdr:from>
    <xdr:ext cx="1951566" cy="1410042"/>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540809" y="3239031"/>
          <a:ext cx="1951566" cy="1410042"/>
        </a:xfrm>
        <a:prstGeom prst="rect">
          <a:avLst/>
        </a:prstGeom>
      </xdr:spPr>
    </xdr:pic>
    <xdr:clientData/>
  </xdr:oneCellAnchor>
  <xdr:oneCellAnchor>
    <xdr:from>
      <xdr:col>8</xdr:col>
      <xdr:colOff>86784</xdr:colOff>
      <xdr:row>2</xdr:row>
      <xdr:rowOff>2589478</xdr:rowOff>
    </xdr:from>
    <xdr:ext cx="1260744" cy="1426632"/>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5630334" y="3218128"/>
          <a:ext cx="1260744" cy="1426632"/>
        </a:xfrm>
        <a:prstGeom prst="rect">
          <a:avLst/>
        </a:prstGeom>
      </xdr:spPr>
    </xdr:pic>
    <xdr:clientData/>
  </xdr:oneCellAnchor>
  <xdr:oneCellAnchor>
    <xdr:from>
      <xdr:col>4</xdr:col>
      <xdr:colOff>239450</xdr:colOff>
      <xdr:row>2</xdr:row>
      <xdr:rowOff>2721806</xdr:rowOff>
    </xdr:from>
    <xdr:ext cx="1902618" cy="1263749"/>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96950" y="3350456"/>
          <a:ext cx="1902618" cy="1263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136525</xdr:colOff>
      <xdr:row>7</xdr:row>
      <xdr:rowOff>263525</xdr:rowOff>
    </xdr:from>
    <xdr:to>
      <xdr:col>2</xdr:col>
      <xdr:colOff>60325</xdr:colOff>
      <xdr:row>7</xdr:row>
      <xdr:rowOff>1479591</xdr:rowOff>
    </xdr:to>
    <xdr:pic>
      <xdr:nvPicPr>
        <xdr:cNvPr id="7" name="Picture 6" descr="Image result for led display case lighting">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6525" y="6292850"/>
          <a:ext cx="1543050" cy="121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9899</xdr:colOff>
      <xdr:row>7</xdr:row>
      <xdr:rowOff>255060</xdr:rowOff>
    </xdr:from>
    <xdr:to>
      <xdr:col>4</xdr:col>
      <xdr:colOff>379943</xdr:colOff>
      <xdr:row>7</xdr:row>
      <xdr:rowOff>1520444</xdr:rowOff>
    </xdr:to>
    <xdr:pic>
      <xdr:nvPicPr>
        <xdr:cNvPr id="9" name="Picture 8" descr="Image result for led refrigerated case lighting">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48274" y="6284385"/>
          <a:ext cx="989169" cy="12653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269081</xdr:colOff>
      <xdr:row>7</xdr:row>
      <xdr:rowOff>236075</xdr:rowOff>
    </xdr:from>
    <xdr:to>
      <xdr:col>8</xdr:col>
      <xdr:colOff>24341</xdr:colOff>
      <xdr:row>7</xdr:row>
      <xdr:rowOff>1545429</xdr:rowOff>
    </xdr:to>
    <xdr:pic>
      <xdr:nvPicPr>
        <xdr:cNvPr id="10" name="Picture 9" descr="Image result for led refrigerated case lighting">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5706" y="6265400"/>
          <a:ext cx="1822185" cy="130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lmore\CommercialIndustrial\Users\Angela\AppData\Local\Microsoft\Windows\INetCache\Content.Outlook\9L2SYQ2O\Lighting_ToolAPR_8_2016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lcome"/>
      <sheetName val="Standard Incentives"/>
      <sheetName val="CLU"/>
      <sheetName val="Data Entry"/>
      <sheetName val="Proposed Lighting"/>
      <sheetName val="Lighting Controls"/>
      <sheetName val="Summary"/>
      <sheetName val="Project Summary"/>
      <sheetName val="Pre-Approval Application"/>
      <sheetName val="Payment Application"/>
      <sheetName val="Lists"/>
      <sheetName val="2013 Alternative Costs"/>
      <sheetName val="Inspection Sheet"/>
      <sheetName val="Resources"/>
      <sheetName val="Project Information"/>
      <sheetName val="Sheet1"/>
    </sheetNames>
    <sheetDataSet>
      <sheetData sheetId="0" refreshError="1"/>
      <sheetData sheetId="1" refreshError="1"/>
      <sheetData sheetId="2" refreshError="1"/>
      <sheetData sheetId="3" refreshError="1"/>
      <sheetData sheetId="4">
        <row r="8">
          <cell r="DO8" t="str">
            <v>----------------------------------------------</v>
          </cell>
        </row>
        <row r="9">
          <cell r="DO9" t="str">
            <v>**LEDs**</v>
          </cell>
        </row>
        <row r="10">
          <cell r="DO10" t="str">
            <v>----------------------------------------------</v>
          </cell>
        </row>
        <row r="11">
          <cell r="DO11" t="str">
            <v>Screw-in or pin-base LED (Interior)</v>
          </cell>
        </row>
        <row r="12">
          <cell r="DO12" t="str">
            <v>Screw-in or pin-base LED (Exterior)</v>
          </cell>
        </row>
        <row r="13">
          <cell r="DO13" t="str">
            <v>LED (Interior) – New fixture or fixture retrofit kit</v>
          </cell>
        </row>
        <row r="14">
          <cell r="DO14" t="str">
            <v>LED (Exterior) – New fixture or fixture retrofit kit</v>
          </cell>
        </row>
        <row r="15">
          <cell r="DO15" t="str">
            <v>2ft LED Tube</v>
          </cell>
        </row>
        <row r="16">
          <cell r="DO16" t="str">
            <v>3ft LED Tube</v>
          </cell>
        </row>
        <row r="17">
          <cell r="DO17" t="str">
            <v>4ft LED Tube</v>
          </cell>
        </row>
        <row r="18">
          <cell r="DO18" t="str">
            <v>5ft LED Tube</v>
          </cell>
        </row>
        <row r="19">
          <cell r="DO19" t="str">
            <v>6ft LED Tube</v>
          </cell>
        </row>
        <row r="20">
          <cell r="DO20" t="str">
            <v>8ft LED Tube</v>
          </cell>
        </row>
        <row r="21">
          <cell r="DO21" t="str">
            <v>----------------------------------------------</v>
          </cell>
        </row>
        <row r="22">
          <cell r="DO22" t="str">
            <v>**CASE/WALK-IN LIGHTING**</v>
          </cell>
        </row>
        <row r="23">
          <cell r="DO23" t="str">
            <v>----------------------------------------------</v>
          </cell>
        </row>
        <row r="24">
          <cell r="DO24" t="str">
            <v>Case #1 T8 fluorescent case lighting (enter # of lamps in quantity)</v>
          </cell>
        </row>
        <row r="25">
          <cell r="DO25" t="str">
            <v>Case #2 LED display case lighting (enter linear feet in quantity)</v>
          </cell>
        </row>
        <row r="26">
          <cell r="DO26" t="str">
            <v>Case #3 LED display case lighting (enter linear feet in quantity)</v>
          </cell>
        </row>
        <row r="27">
          <cell r="DO27" t="str">
            <v>Case #4 TLED display case lighting (enter linear feet in quantity)</v>
          </cell>
        </row>
        <row r="28">
          <cell r="DO28" t="str">
            <v>Case #5 TLED display case lighting (enter linear feet in quantity)</v>
          </cell>
        </row>
        <row r="29">
          <cell r="DO29" t="str">
            <v>----------------------------------------------</v>
          </cell>
        </row>
        <row r="30">
          <cell r="DO30" t="str">
            <v>**EXIT SIGNS**</v>
          </cell>
        </row>
        <row r="31">
          <cell r="DO31" t="str">
            <v>----------------------------------------------</v>
          </cell>
        </row>
        <row r="32">
          <cell r="DO32" t="str">
            <v>LED/electroluminescent &lt; 5 watt</v>
          </cell>
        </row>
        <row r="33">
          <cell r="DO33" t="str">
            <v>----------------------------------------------</v>
          </cell>
        </row>
        <row r="34">
          <cell r="DO34" t="str">
            <v>**T8 FIXTURE - 4FT OR LESS**</v>
          </cell>
        </row>
        <row r="35">
          <cell r="DO35" t="str">
            <v>----------------------------------------------</v>
          </cell>
        </row>
        <row r="36">
          <cell r="DO36" t="str">
            <v>2ft, 1 lamp F17 T8</v>
          </cell>
        </row>
        <row r="37">
          <cell r="DO37" t="str">
            <v>2ft, 2 lamp F17 T8</v>
          </cell>
        </row>
        <row r="38">
          <cell r="DO38" t="str">
            <v>2ft, 3 lamp F17 T8</v>
          </cell>
        </row>
        <row r="39">
          <cell r="DO39" t="str">
            <v>2ft, 4 lamp F17 T8</v>
          </cell>
        </row>
        <row r="40">
          <cell r="DO40" t="str">
            <v>2ft, 1 lamp F32 T8 U Bent</v>
          </cell>
        </row>
        <row r="41">
          <cell r="DO41" t="str">
            <v>2ft, 2 lamp F32 T8 U Bent</v>
          </cell>
        </row>
        <row r="42">
          <cell r="DO42" t="str">
            <v>3ft, 1 lamp F25 T8</v>
          </cell>
        </row>
        <row r="43">
          <cell r="DO43" t="str">
            <v>3ft, 2 lamp F25 T8</v>
          </cell>
        </row>
        <row r="44">
          <cell r="DO44" t="str">
            <v>3ft, 3 lamp F25 T8</v>
          </cell>
        </row>
        <row r="45">
          <cell r="DO45" t="str">
            <v>3ft, 4 lamp F25 T8</v>
          </cell>
        </row>
        <row r="46">
          <cell r="DO46" t="str">
            <v>4ft, 1 lamp T8  Low BF</v>
          </cell>
        </row>
        <row r="47">
          <cell r="DO47" t="str">
            <v>4ft, 1 lamp T8  Normal BF</v>
          </cell>
        </row>
        <row r="48">
          <cell r="DO48" t="str">
            <v>4ft, 2 lamp T8  Low BF</v>
          </cell>
        </row>
        <row r="49">
          <cell r="DO49" t="str">
            <v>4ft, 2 lamp T8  Normal BF</v>
          </cell>
        </row>
        <row r="50">
          <cell r="DO50" t="str">
            <v>4ft, 2 lamp T8 , High BF</v>
          </cell>
        </row>
        <row r="51">
          <cell r="DO51" t="str">
            <v>4ft, 3 lamp T8  Low BF</v>
          </cell>
        </row>
        <row r="52">
          <cell r="DO52" t="str">
            <v>4ft, 3 lamp T8  Normal BF</v>
          </cell>
        </row>
        <row r="53">
          <cell r="DO53" t="str">
            <v>4ft, 3 lamp T8 , High BF</v>
          </cell>
        </row>
        <row r="54">
          <cell r="DO54" t="str">
            <v>4ft, 4 lamp T8  Low BF</v>
          </cell>
        </row>
        <row r="55">
          <cell r="DO55" t="str">
            <v>4ft, 4 lamp T8  Normal BF</v>
          </cell>
        </row>
        <row r="56">
          <cell r="DO56" t="str">
            <v>4ft, 4 lamp T8 , High BF</v>
          </cell>
        </row>
        <row r="57">
          <cell r="DO57" t="str">
            <v>4ft, 6 lamp T8  Normal BF</v>
          </cell>
        </row>
        <row r="58">
          <cell r="DO58" t="str">
            <v>4ft, 6 lamp T8 , High BF</v>
          </cell>
        </row>
        <row r="59">
          <cell r="DO59" t="str">
            <v>4ft, 8 lamp T8  Normal BF</v>
          </cell>
        </row>
        <row r="60">
          <cell r="DO60" t="str">
            <v>4ft, 8 lamp T8 , High BF</v>
          </cell>
        </row>
        <row r="61">
          <cell r="DO61" t="str">
            <v>4ft, 10 lamp T8  Normal BF</v>
          </cell>
        </row>
        <row r="62">
          <cell r="DO62" t="str">
            <v>4ft, 10 lamp T8 , High BF</v>
          </cell>
        </row>
        <row r="63">
          <cell r="DO63" t="str">
            <v>4ft, 12 lamp T8  Normal BF</v>
          </cell>
        </row>
        <row r="64">
          <cell r="DO64" t="str">
            <v>4ft, 12 lamp T8 , High BF</v>
          </cell>
        </row>
        <row r="65">
          <cell r="DO65" t="str">
            <v>**(Reduced Wattage)**</v>
          </cell>
        </row>
        <row r="66">
          <cell r="DO66" t="str">
            <v>4ft, 1 lamp T8 28 watt,  Low BF</v>
          </cell>
        </row>
        <row r="67">
          <cell r="DO67" t="str">
            <v>4ft, 1 lamp T8 28 watt,  Normal BF</v>
          </cell>
        </row>
        <row r="68">
          <cell r="DO68" t="str">
            <v>4ft, 2 lamp T8 28 watt,  Low BF</v>
          </cell>
        </row>
        <row r="69">
          <cell r="DO69" t="str">
            <v>4ft, 2 lamp T8 28 watt,  Normal BF</v>
          </cell>
        </row>
        <row r="70">
          <cell r="DO70" t="str">
            <v>4ft, 2 lamp T8 28 watt,  High BF</v>
          </cell>
        </row>
        <row r="71">
          <cell r="DO71" t="str">
            <v>4ft, 3 lamp T8 28 watt,  Low BF</v>
          </cell>
        </row>
        <row r="72">
          <cell r="DO72" t="str">
            <v>4ft, 3 lamp T8 28 watt,  Normal BF</v>
          </cell>
        </row>
        <row r="73">
          <cell r="DO73" t="str">
            <v>4ft, 3 lamp T8 28 watt,  High BF</v>
          </cell>
        </row>
        <row r="74">
          <cell r="DO74" t="str">
            <v>4ft, 4 lamp T8 28 watt,  Low BF</v>
          </cell>
        </row>
        <row r="75">
          <cell r="DO75" t="str">
            <v>4ft, 4 lamp T8 28 watt,  Normal BF</v>
          </cell>
        </row>
        <row r="76">
          <cell r="DO76" t="str">
            <v>4ft, 4 lamp T8 28 watt,  High BF</v>
          </cell>
        </row>
        <row r="77">
          <cell r="DO77" t="str">
            <v>4ft, 6 lamp T8 28 watt,  Low BF</v>
          </cell>
        </row>
        <row r="78">
          <cell r="DO78" t="str">
            <v>4ft, 6 lamp T8 28 watt,  Normal BF</v>
          </cell>
        </row>
        <row r="79">
          <cell r="DO79" t="str">
            <v>4ft, 6 lamp T8 28 watt,  High BF</v>
          </cell>
        </row>
        <row r="80">
          <cell r="DO80" t="str">
            <v>4ft, 8 lamp T8 28 watt,  Low BF</v>
          </cell>
        </row>
        <row r="81">
          <cell r="DO81" t="str">
            <v>4ft, 8 lamp T8 28 watt,  Normal BF</v>
          </cell>
        </row>
        <row r="82">
          <cell r="DO82" t="str">
            <v>4ft, 8 lamp T8 28 watt,  High BF</v>
          </cell>
        </row>
        <row r="83">
          <cell r="DO83" t="str">
            <v>4ft, 1 lamp T8 25 watt,  Low BF</v>
          </cell>
        </row>
        <row r="84">
          <cell r="DO84" t="str">
            <v>4ft, 1 lamp T8 25 watt,  Normal BF</v>
          </cell>
        </row>
        <row r="85">
          <cell r="DO85" t="str">
            <v>4ft, 2 lamp T8 25 watt,  Low BF</v>
          </cell>
        </row>
        <row r="86">
          <cell r="DO86" t="str">
            <v>4ft, 2 lamp T8 25 watt,  Normal BF</v>
          </cell>
        </row>
        <row r="87">
          <cell r="DO87" t="str">
            <v>4ft, 2 lamp T8 25 watt,  High BF</v>
          </cell>
        </row>
        <row r="88">
          <cell r="DO88" t="str">
            <v>4ft, 3 lamp T8 25 watt,  Low BF</v>
          </cell>
        </row>
        <row r="89">
          <cell r="DO89" t="str">
            <v>4ft, 3 lamp T8 25 watt,  Normal BF</v>
          </cell>
        </row>
        <row r="90">
          <cell r="DO90" t="str">
            <v>4ft, 3 lamp T8 25 watt,  High BF</v>
          </cell>
        </row>
        <row r="91">
          <cell r="DO91" t="str">
            <v>4ft, 4 lamp T8 25 watt,  Low BF</v>
          </cell>
        </row>
        <row r="92">
          <cell r="DO92" t="str">
            <v>4ft, 4 lamp T8 25 watt,  Normal BF</v>
          </cell>
        </row>
        <row r="93">
          <cell r="DO93" t="str">
            <v>4ft, 4 lamp T8 25 watt,  High BF</v>
          </cell>
        </row>
        <row r="94">
          <cell r="DO94" t="str">
            <v>4ft, 6 lamp T8 25 watt,  Low BF</v>
          </cell>
        </row>
        <row r="95">
          <cell r="DO95" t="str">
            <v>4ft, 6 lamp T8 25 watt,  Normal BF</v>
          </cell>
        </row>
        <row r="96">
          <cell r="DO96" t="str">
            <v>4ft, 6 lamp T8 25 watt,  High BF</v>
          </cell>
        </row>
        <row r="97">
          <cell r="DO97" t="str">
            <v>4ft, 8 lamp T8 25 watt,  Low BF</v>
          </cell>
        </row>
        <row r="98">
          <cell r="DO98" t="str">
            <v>4ft, 8 lamp T8 25 watt,  Normal BF</v>
          </cell>
        </row>
        <row r="99">
          <cell r="DO99" t="str">
            <v>4ft, 8 lamp T8 25 watt,  High BF</v>
          </cell>
        </row>
        <row r="100">
          <cell r="DO100" t="str">
            <v>----------------------------------------------</v>
          </cell>
        </row>
        <row r="101">
          <cell r="DO101" t="str">
            <v>**6FT T8 FLUORESCENT**</v>
          </cell>
        </row>
        <row r="102">
          <cell r="DO102" t="str">
            <v>----------------------------------------------</v>
          </cell>
        </row>
        <row r="103">
          <cell r="DO103" t="str">
            <v>6ft, 1 lamp F72T8</v>
          </cell>
        </row>
        <row r="104">
          <cell r="DO104" t="str">
            <v>6ft, 2 lamp F72T8</v>
          </cell>
        </row>
        <row r="105">
          <cell r="DO105" t="str">
            <v>6ft, 1 lamp F72HO T8</v>
          </cell>
        </row>
        <row r="106">
          <cell r="DO106" t="str">
            <v>6ft, 2 lamp F72HO T8</v>
          </cell>
        </row>
        <row r="107">
          <cell r="DO107" t="str">
            <v>----------------------------------------------</v>
          </cell>
        </row>
        <row r="108">
          <cell r="DO108" t="str">
            <v>**8-FOOT - T8's**</v>
          </cell>
        </row>
        <row r="109">
          <cell r="DO109" t="str">
            <v>----------------------------------------------</v>
          </cell>
        </row>
        <row r="110">
          <cell r="DO110" t="str">
            <v>8ft, 1 lamp F59 T8</v>
          </cell>
        </row>
        <row r="111">
          <cell r="DO111" t="str">
            <v>8ft, 2 lamp F59 T8</v>
          </cell>
        </row>
        <row r="112">
          <cell r="DO112" t="str">
            <v>8ft, 3 lamp F59 T8</v>
          </cell>
        </row>
        <row r="113">
          <cell r="DO113" t="str">
            <v>8ft, 4 lamp F59 T8</v>
          </cell>
        </row>
        <row r="114">
          <cell r="DO114" t="str">
            <v>8ft, 1 lamp F86HO T8</v>
          </cell>
        </row>
        <row r="115">
          <cell r="DO115" t="str">
            <v>8ft, 2 lamp F86HO T8</v>
          </cell>
        </row>
        <row r="116">
          <cell r="DO116" t="str">
            <v>8ft, 3 lamp F86HO T8</v>
          </cell>
        </row>
        <row r="117">
          <cell r="DO117" t="str">
            <v>8ft, 4 lamp F86HO T8</v>
          </cell>
        </row>
        <row r="118">
          <cell r="DO118" t="str">
            <v>----------------------------------------------</v>
          </cell>
        </row>
        <row r="119">
          <cell r="DO119" t="str">
            <v>**T5**</v>
          </cell>
        </row>
        <row r="120">
          <cell r="DO120" t="str">
            <v>----------------------------------------------</v>
          </cell>
        </row>
        <row r="121">
          <cell r="DO121" t="str">
            <v>4ft, 1 lamp F28 T5</v>
          </cell>
        </row>
        <row r="122">
          <cell r="DO122" t="str">
            <v>4ft, 2 lamp F28 T5</v>
          </cell>
        </row>
        <row r="123">
          <cell r="DO123" t="str">
            <v>4ft, 3 lamp F28 T5</v>
          </cell>
        </row>
        <row r="124">
          <cell r="DO124" t="str">
            <v>4ft, 4 lamp F28 T5</v>
          </cell>
        </row>
        <row r="125">
          <cell r="DO125" t="str">
            <v>4ft, 1 lamp F54 T5HO</v>
          </cell>
        </row>
        <row r="126">
          <cell r="DO126" t="str">
            <v>4ft, 2 lamp F54 T5HO</v>
          </cell>
        </row>
        <row r="127">
          <cell r="DO127" t="str">
            <v>4ft, 3 lamp F54 T5HO</v>
          </cell>
        </row>
        <row r="128">
          <cell r="DO128" t="str">
            <v>4ft, 4 lamp F54 T5HO</v>
          </cell>
        </row>
        <row r="129">
          <cell r="DO129" t="str">
            <v>4ft, 6 lamp F54 T5HO</v>
          </cell>
        </row>
        <row r="130">
          <cell r="DO130" t="str">
            <v>4ft, 8 lamp F54 T5HO</v>
          </cell>
        </row>
        <row r="131">
          <cell r="DO131" t="str">
            <v>4ft, 10 lamp F54 T5HO</v>
          </cell>
        </row>
        <row r="132">
          <cell r="DO132" t="str">
            <v>----------------------------------------------</v>
          </cell>
        </row>
        <row r="133">
          <cell r="DO133" t="str">
            <v>**T5HO (REDUCED WATTAGE)**</v>
          </cell>
        </row>
        <row r="134">
          <cell r="DO134" t="str">
            <v>----------------------------------------------</v>
          </cell>
        </row>
        <row r="135">
          <cell r="DO135" t="str">
            <v>4ft, 1 lamp F54 T5HO (47-50 watt lamp)</v>
          </cell>
        </row>
        <row r="136">
          <cell r="DO136" t="str">
            <v>4ft, 2 lamp F54 T5HO (47-50 watt lamp)</v>
          </cell>
        </row>
        <row r="137">
          <cell r="DO137" t="str">
            <v>4ft, 3 lamp F54 T5HO (47-50 watt lamp)</v>
          </cell>
        </row>
        <row r="138">
          <cell r="DO138" t="str">
            <v>4ft, 4 lamp F54 T5HO (47-50 watt lamp)</v>
          </cell>
        </row>
        <row r="139">
          <cell r="DO139" t="str">
            <v>4ft, 6 lamp F54 T5HO (47-50 watt lamp)</v>
          </cell>
        </row>
        <row r="140">
          <cell r="DO140" t="str">
            <v>4ft, 8 lamp F54 T5HO (47-50 watt lamp)</v>
          </cell>
        </row>
        <row r="141">
          <cell r="DO141" t="str">
            <v>4ft, 10 lamp F54 T5HO (47-50 watt lamp)</v>
          </cell>
        </row>
        <row r="142">
          <cell r="DO142" t="str">
            <v>----------------------------------------------</v>
          </cell>
        </row>
        <row r="143">
          <cell r="DO143" t="str">
            <v>**METAL HALIDE**</v>
          </cell>
        </row>
        <row r="144">
          <cell r="DO144" t="str">
            <v>----------------------------------------------</v>
          </cell>
        </row>
        <row r="145">
          <cell r="DO145" t="str">
            <v>Pulse Start/Electronic Metal Halide, 32 watts</v>
          </cell>
        </row>
        <row r="146">
          <cell r="DO146" t="str">
            <v>Pulse Start/Electronic Metal Halide, 50 watts</v>
          </cell>
        </row>
        <row r="147">
          <cell r="DO147" t="str">
            <v>Pulse Start/Electronic Metal Halide, 70 watts</v>
          </cell>
        </row>
        <row r="148">
          <cell r="DO148" t="str">
            <v>Pulse Start/Electronic Metal Halide, 100 watts</v>
          </cell>
        </row>
        <row r="149">
          <cell r="DO149" t="str">
            <v>Pulse Start/Electronic Metal Halide, 140 watts</v>
          </cell>
        </row>
        <row r="150">
          <cell r="DO150" t="str">
            <v>Pulse Start/Electronic Metal Halide, 150 watts</v>
          </cell>
        </row>
        <row r="151">
          <cell r="DO151" t="str">
            <v>Pulse Start/Electronic Metal Halide, 175 watts</v>
          </cell>
        </row>
        <row r="152">
          <cell r="DO152" t="str">
            <v>Pulse Start/Electronic Metal Halide, 200 watts</v>
          </cell>
        </row>
        <row r="153">
          <cell r="DO153" t="str">
            <v>Pulse Start/Electronic Metal Halide, 210 watts</v>
          </cell>
        </row>
        <row r="154">
          <cell r="DO154" t="str">
            <v>Pulse Start/Electronic Metal Halide, 250 watts</v>
          </cell>
        </row>
        <row r="155">
          <cell r="DO155" t="str">
            <v>Pulse Start/Electronic Metal Halide, 300 watts</v>
          </cell>
        </row>
        <row r="156">
          <cell r="DO156" t="str">
            <v>Pulse Start/Electronic Metal Halide, 315 watts</v>
          </cell>
        </row>
        <row r="157">
          <cell r="DO157" t="str">
            <v>Pulse Start/Electronic Metal Halide, 320 watts</v>
          </cell>
        </row>
        <row r="158">
          <cell r="DO158" t="str">
            <v>Pulse Start/Electronic Metal Halide, 350 watts</v>
          </cell>
        </row>
        <row r="159">
          <cell r="DO159" t="str">
            <v>Pulse Start/Electronic Metal Halide, 375 watts</v>
          </cell>
        </row>
        <row r="160">
          <cell r="DO160" t="str">
            <v>Pulse Start/Electronic Metal Halide, 400 watts</v>
          </cell>
        </row>
        <row r="161">
          <cell r="DO161" t="str">
            <v>Pulse Start/Electronic Metal Halide, 450 watts</v>
          </cell>
        </row>
        <row r="162">
          <cell r="DO162" t="str">
            <v>Pulse Start/Electronic Metal Halide, 575 watts</v>
          </cell>
        </row>
        <row r="163">
          <cell r="DO163" t="str">
            <v>Pulse Start/Electronic Metal Halide, 750 watts</v>
          </cell>
        </row>
        <row r="164">
          <cell r="DO164" t="str">
            <v>Pulse Start/Electronic Metal Halide, 875 watts</v>
          </cell>
        </row>
        <row r="165">
          <cell r="DO165" t="str">
            <v>Pulse Start/Electronic Metal Halide, 1000 watts</v>
          </cell>
        </row>
        <row r="166">
          <cell r="DO166" t="str">
            <v>Screw-in Reduced Wattage Metal Halide</v>
          </cell>
        </row>
        <row r="167">
          <cell r="DO167" t="str">
            <v>----------------------------------------------</v>
          </cell>
        </row>
        <row r="168">
          <cell r="DO168" t="str">
            <v>**COMPACT FLUORESCENT**</v>
          </cell>
        </row>
        <row r="169">
          <cell r="DO169" t="str">
            <v>----------------------------------------------</v>
          </cell>
        </row>
        <row r="170">
          <cell r="DO170" t="str">
            <v>CFL, screw in ≤ 32 watts</v>
          </cell>
        </row>
        <row r="171">
          <cell r="DO171" t="str">
            <v>CFL, screw in, 33 to 59 watts</v>
          </cell>
        </row>
        <row r="172">
          <cell r="DO172" t="str">
            <v>CFL, screw in, ≥ 60 watts</v>
          </cell>
        </row>
        <row r="173">
          <cell r="DO173" t="str">
            <v>Hard-wired CFL, ≤ 49 watts, elect. ballast</v>
          </cell>
        </row>
        <row r="174">
          <cell r="DO174" t="str">
            <v>Hard-wired CFL, 50 to 99 watts, elect. ballast</v>
          </cell>
        </row>
        <row r="175">
          <cell r="DO175" t="str">
            <v>Cold Cathode, screw in ≤ 32 watts</v>
          </cell>
        </row>
        <row r="176">
          <cell r="DO176" t="str">
            <v>Non-Standard Exterior (Induction, etc.)</v>
          </cell>
        </row>
        <row r="177">
          <cell r="DO177" t="str">
            <v>----------------------------------------------</v>
          </cell>
        </row>
        <row r="178">
          <cell r="DO178" t="str">
            <v>**NON-STANDARD OPTIONS**</v>
          </cell>
        </row>
        <row r="179">
          <cell r="DO179" t="str">
            <v>----------------------------------------------</v>
          </cell>
        </row>
        <row r="180">
          <cell r="DO180" t="str">
            <v>Non-Standard Interior (Induction, etc.)</v>
          </cell>
        </row>
        <row r="181">
          <cell r="DO181" t="str">
            <v>Non-Standard Exterior (Induction, etc.)</v>
          </cell>
        </row>
        <row r="182">
          <cell r="DO182" t="str">
            <v>----------------------------------------------</v>
          </cell>
        </row>
        <row r="183">
          <cell r="DO183" t="str">
            <v>**FIXTURE REMOVAL**</v>
          </cell>
        </row>
        <row r="184">
          <cell r="DO184" t="str">
            <v>Permanent Fixture Removal</v>
          </cell>
        </row>
        <row r="185">
          <cell r="DO185" t="str">
            <v>----------------------------------------------</v>
          </cell>
        </row>
        <row r="186">
          <cell r="DO186" t="str">
            <v>**EXTRA PROJECT COSTS**</v>
          </cell>
        </row>
        <row r="187">
          <cell r="DO187" t="str">
            <v>Additional Project Cost (Provide Description)</v>
          </cell>
        </row>
        <row r="188">
          <cell r="DO188" t="str">
            <v>----------------------------------------------</v>
          </cell>
        </row>
        <row r="190">
          <cell r="DQ190" t="str">
            <v>----------------------------------------------</v>
          </cell>
        </row>
        <row r="191">
          <cell r="DQ191" t="str">
            <v>**4FT T8's**</v>
          </cell>
        </row>
        <row r="192">
          <cell r="DQ192" t="str">
            <v>**(Reduced Wattage)**</v>
          </cell>
        </row>
        <row r="193">
          <cell r="DQ193" t="str">
            <v>----------------------------------------------</v>
          </cell>
        </row>
        <row r="194">
          <cell r="DQ194" t="str">
            <v>4ft, 1 lamp T8 25 watt,  Low BF</v>
          </cell>
        </row>
        <row r="195">
          <cell r="DQ195" t="str">
            <v>4ft, 1 lamp T8 25 watt,  Normal BF</v>
          </cell>
        </row>
        <row r="196">
          <cell r="DQ196" t="str">
            <v>4ft, 2 lamp T8 25 watt,  Low BF</v>
          </cell>
        </row>
        <row r="197">
          <cell r="DQ197" t="str">
            <v>4ft, 2 lamp T8 25 watt,  Normal BF</v>
          </cell>
        </row>
        <row r="198">
          <cell r="DQ198" t="str">
            <v>4ft, 2 lamp T8 25 watt,  High BF</v>
          </cell>
        </row>
        <row r="199">
          <cell r="DQ199" t="str">
            <v>4ft, 3 lamp T8 25 watt,  Low BF</v>
          </cell>
        </row>
        <row r="200">
          <cell r="DQ200" t="str">
            <v>4ft, 3 lamp T8 25 watt,  Normal BF</v>
          </cell>
        </row>
        <row r="201">
          <cell r="DQ201" t="str">
            <v>4ft, 3 lamp T8 25 watt,  High BF</v>
          </cell>
        </row>
        <row r="202">
          <cell r="DQ202" t="str">
            <v>4ft, 4 lamp T8 25 watt,  Low BF</v>
          </cell>
        </row>
        <row r="203">
          <cell r="DQ203" t="str">
            <v>4ft, 4 lamp T8 25 watt,  Normal BF</v>
          </cell>
        </row>
        <row r="204">
          <cell r="DQ204" t="str">
            <v>4ft, 4 lamp T8 25 watt,  High BF</v>
          </cell>
        </row>
        <row r="205">
          <cell r="DQ205" t="str">
            <v>4ft, 6 lamp T8 25 watt,  Low BF</v>
          </cell>
        </row>
        <row r="206">
          <cell r="DQ206" t="str">
            <v>4ft, 6 lamp T8 25 watt,  Normal BF</v>
          </cell>
        </row>
        <row r="207">
          <cell r="DQ207" t="str">
            <v>4ft, 6 lamp T8 25 watt,  High BF</v>
          </cell>
        </row>
        <row r="208">
          <cell r="DQ208" t="str">
            <v>4ft, 8 lamp T8 25 watt,  Low BF</v>
          </cell>
        </row>
        <row r="209">
          <cell r="DQ209" t="str">
            <v>4ft, 8 lamp T8 25 watt,  Normal BF</v>
          </cell>
        </row>
        <row r="210">
          <cell r="DQ210" t="str">
            <v>4ft, 8 lamp T8 25 watt,  High BF</v>
          </cell>
        </row>
        <row r="211">
          <cell r="DQ211" t="str">
            <v>4ft, 1 lamp T8 28 watt,  Low BF</v>
          </cell>
        </row>
        <row r="212">
          <cell r="DQ212" t="str">
            <v>4ft, 1 lamp T8 28 watt,  Normal BF</v>
          </cell>
        </row>
        <row r="213">
          <cell r="DQ213" t="str">
            <v>4ft, 2 lamp T8 28 watt,  Low BF</v>
          </cell>
        </row>
        <row r="214">
          <cell r="DQ214" t="str">
            <v>4ft, 2 lamp T8 28 watt,  Normal BF</v>
          </cell>
        </row>
        <row r="215">
          <cell r="DQ215" t="str">
            <v>4ft, 2 lamp T8 28 watt,  High BF</v>
          </cell>
        </row>
        <row r="216">
          <cell r="DQ216" t="str">
            <v>4ft, 3 lamp T8 28 watt,  Low BF</v>
          </cell>
        </row>
        <row r="217">
          <cell r="DQ217" t="str">
            <v>4ft, 3 lamp T8 28 watt,  Normal BF</v>
          </cell>
        </row>
        <row r="218">
          <cell r="DQ218" t="str">
            <v>4ft, 3 lamp T8 28 watt,  High BF</v>
          </cell>
        </row>
        <row r="219">
          <cell r="DQ219" t="str">
            <v>4ft, 4 lamp T8 28 watt,  Low BF</v>
          </cell>
        </row>
        <row r="220">
          <cell r="DQ220" t="str">
            <v>4ft, 4 lamp T8 28 watt,  Normal BF</v>
          </cell>
        </row>
        <row r="221">
          <cell r="DQ221" t="str">
            <v>4ft, 4 lamp T8 28 watt,  High BF</v>
          </cell>
        </row>
        <row r="222">
          <cell r="DQ222" t="str">
            <v>4ft, 6 lamp T8 28 watt,  Low BF</v>
          </cell>
        </row>
        <row r="223">
          <cell r="DQ223" t="str">
            <v>4ft, 6 lamp T8 28 watt,  Normal BF</v>
          </cell>
        </row>
        <row r="224">
          <cell r="DQ224" t="str">
            <v>4ft, 6 lamp T8 28 watt,  High BF</v>
          </cell>
        </row>
        <row r="225">
          <cell r="DQ225" t="str">
            <v>4ft, 8 lamp T8 28 watt,  Low BF</v>
          </cell>
        </row>
        <row r="226">
          <cell r="DQ226" t="str">
            <v>4ft, 8 lamp T8 28 watt,  Normal BF</v>
          </cell>
        </row>
        <row r="227">
          <cell r="DQ227" t="str">
            <v>4ft, 8 lamp T8 28 watt,  High BF</v>
          </cell>
        </row>
        <row r="228">
          <cell r="DQ228" t="str">
            <v>----------------------------------------------</v>
          </cell>
        </row>
        <row r="229">
          <cell r="DQ229" t="str">
            <v>T5HO (REDUCED WATTAGE)</v>
          </cell>
        </row>
        <row r="230">
          <cell r="DQ230" t="str">
            <v>----------------------------------------------</v>
          </cell>
        </row>
        <row r="231">
          <cell r="DQ231" t="str">
            <v>4ft, 1 lamp F54 T5HO (47-50 watt lamp)</v>
          </cell>
        </row>
        <row r="232">
          <cell r="DQ232" t="str">
            <v>4ft, 2 lamp F54 T5HO (47-50 watt lamp)</v>
          </cell>
        </row>
        <row r="233">
          <cell r="DQ233" t="str">
            <v>4ft, 3 lamp F54 T5HO (47-50 watt lamp)</v>
          </cell>
        </row>
        <row r="234">
          <cell r="DQ234" t="str">
            <v>4ft, 4 lamp F54 T5HO (47-50 watt lamp)</v>
          </cell>
        </row>
        <row r="235">
          <cell r="DQ235" t="str">
            <v>4ft, 6 lamp F54 T5HO (47-50 watt lamp)</v>
          </cell>
        </row>
        <row r="236">
          <cell r="DQ236" t="str">
            <v>4ft, 8 lamp F54 T5HO (47-50 watt lamp)</v>
          </cell>
        </row>
        <row r="237">
          <cell r="DQ237" t="str">
            <v>4ft, 10 lamp F54 T5HO (47-50 watt lamp)</v>
          </cell>
        </row>
        <row r="238">
          <cell r="DQ238" t="str">
            <v>----------------------------------------------</v>
          </cell>
        </row>
      </sheetData>
      <sheetData sheetId="5">
        <row r="9">
          <cell r="AW9" t="str">
            <v>Wall switch occupancy sensor</v>
          </cell>
        </row>
        <row r="10">
          <cell r="AW10" t="str">
            <v>Ceiling mount occupancy sensor</v>
          </cell>
        </row>
        <row r="11">
          <cell r="AW11" t="str">
            <v>Fixture mount occupancy sensor</v>
          </cell>
        </row>
        <row r="12">
          <cell r="AW12" t="str">
            <v>Interior photocell control (dimming or on-off switching)</v>
          </cell>
        </row>
        <row r="13">
          <cell r="AW13" t="str">
            <v>Exterior non-standard lighting control system</v>
          </cell>
        </row>
      </sheetData>
      <sheetData sheetId="6" refreshError="1"/>
      <sheetData sheetId="7" refreshError="1"/>
      <sheetData sheetId="8" refreshError="1"/>
      <sheetData sheetId="9" refreshError="1"/>
      <sheetData sheetId="10">
        <row r="10">
          <cell r="A10" t="str">
            <v>Please select</v>
          </cell>
        </row>
        <row r="11">
          <cell r="A11" t="str">
            <v>Pre-Approval Application</v>
          </cell>
        </row>
        <row r="12">
          <cell r="A12" t="str">
            <v>Payment Application</v>
          </cell>
        </row>
        <row r="20">
          <cell r="A20" t="str">
            <v>Please select</v>
          </cell>
        </row>
        <row r="21">
          <cell r="A21" t="str">
            <v>Airport</v>
          </cell>
        </row>
        <row r="22">
          <cell r="A22" t="str">
            <v>Assisted Living/Health/Veterinarian</v>
          </cell>
        </row>
        <row r="23">
          <cell r="A23" t="str">
            <v>Auto Dealership</v>
          </cell>
        </row>
        <row r="24">
          <cell r="A24" t="str">
            <v>Church</v>
          </cell>
        </row>
        <row r="25">
          <cell r="A25" t="str">
            <v>College or University</v>
          </cell>
        </row>
        <row r="26">
          <cell r="A26" t="str">
            <v>Correctional Facility</v>
          </cell>
        </row>
        <row r="27">
          <cell r="A27" t="str">
            <v>Dairy</v>
          </cell>
        </row>
        <row r="28">
          <cell r="A28" t="str">
            <v>Day Care/Pre-School</v>
          </cell>
        </row>
        <row r="29">
          <cell r="A29" t="str">
            <v>Equipment Rentals</v>
          </cell>
        </row>
        <row r="30">
          <cell r="A30" t="str">
            <v>Event Centers/Fairgrounds</v>
          </cell>
        </row>
        <row r="31">
          <cell r="A31" t="str">
            <v>Exterior</v>
          </cell>
        </row>
        <row r="32">
          <cell r="A32" t="str">
            <v>Financial</v>
          </cell>
        </row>
        <row r="33">
          <cell r="A33" t="str">
            <v>Fitness/Recreation Center</v>
          </cell>
        </row>
        <row r="34">
          <cell r="A34" t="str">
            <v>Food Processing</v>
          </cell>
        </row>
        <row r="35">
          <cell r="A35" t="str">
            <v>Heavy Equipment Sales</v>
          </cell>
        </row>
        <row r="36">
          <cell r="A36" t="str">
            <v>Hospital</v>
          </cell>
        </row>
        <row r="37">
          <cell r="A37" t="str">
            <v>Industrial/Manufacturing</v>
          </cell>
        </row>
        <row r="38">
          <cell r="A38" t="str">
            <v>K-12 School</v>
          </cell>
        </row>
        <row r="39">
          <cell r="A39" t="str">
            <v>Lodging</v>
          </cell>
        </row>
        <row r="40">
          <cell r="A40" t="str">
            <v xml:space="preserve">Medical Office Building </v>
          </cell>
        </row>
        <row r="41">
          <cell r="A41" t="str">
            <v>Military</v>
          </cell>
        </row>
        <row r="42">
          <cell r="A42" t="str">
            <v>Office</v>
          </cell>
        </row>
        <row r="43">
          <cell r="A43" t="str">
            <v>Restaurant</v>
          </cell>
        </row>
        <row r="44">
          <cell r="A44" t="str">
            <v>Retail</v>
          </cell>
        </row>
        <row r="45">
          <cell r="A45" t="str">
            <v>Retail Mini-Mart</v>
          </cell>
        </row>
        <row r="46">
          <cell r="A46" t="str">
            <v>Retail Supermarket</v>
          </cell>
        </row>
        <row r="47">
          <cell r="A47" t="str">
            <v>Semiconductor</v>
          </cell>
        </row>
        <row r="48">
          <cell r="A48" t="str">
            <v>Service Stations</v>
          </cell>
        </row>
        <row r="49">
          <cell r="A49" t="str">
            <v>Shop</v>
          </cell>
        </row>
        <row r="50">
          <cell r="A50" t="str">
            <v>Warehouse</v>
          </cell>
        </row>
        <row r="51">
          <cell r="A51" t="str">
            <v>Zoo</v>
          </cell>
        </row>
        <row r="53">
          <cell r="A53" t="str">
            <v>Please select</v>
          </cell>
        </row>
        <row r="54">
          <cell r="A54" t="str">
            <v>N/A</v>
          </cell>
        </row>
        <row r="55">
          <cell r="A55" t="str">
            <v>DLC</v>
          </cell>
        </row>
        <row r="56">
          <cell r="A56" t="str">
            <v>ENERGY STAR®</v>
          </cell>
        </row>
        <row r="57">
          <cell r="A57" t="str">
            <v>LDL</v>
          </cell>
        </row>
        <row r="60">
          <cell r="A60" t="str">
            <v xml:space="preserve">No </v>
          </cell>
        </row>
        <row r="61">
          <cell r="A61" t="str">
            <v>Yes</v>
          </cell>
        </row>
        <row r="64">
          <cell r="A64" t="str">
            <v>Interior</v>
          </cell>
        </row>
        <row r="65">
          <cell r="A65" t="str">
            <v>Exterior</v>
          </cell>
        </row>
      </sheetData>
      <sheetData sheetId="11">
        <row r="10">
          <cell r="AS10" t="str">
            <v>Load Shape</v>
          </cell>
          <cell r="AT10">
            <v>1</v>
          </cell>
          <cell r="AU10">
            <v>2</v>
          </cell>
          <cell r="AV10">
            <v>3</v>
          </cell>
          <cell r="AW10">
            <v>4</v>
          </cell>
          <cell r="AX10">
            <v>5</v>
          </cell>
          <cell r="AY10">
            <v>6</v>
          </cell>
          <cell r="AZ10">
            <v>7</v>
          </cell>
          <cell r="BA10">
            <v>8</v>
          </cell>
          <cell r="BB10">
            <v>9</v>
          </cell>
          <cell r="BC10">
            <v>10</v>
          </cell>
          <cell r="BD10">
            <v>11</v>
          </cell>
          <cell r="BE10">
            <v>12</v>
          </cell>
          <cell r="BF10">
            <v>13</v>
          </cell>
          <cell r="BG10">
            <v>14</v>
          </cell>
          <cell r="BH10">
            <v>15</v>
          </cell>
          <cell r="BI10">
            <v>16</v>
          </cell>
          <cell r="BJ10">
            <v>17</v>
          </cell>
          <cell r="BK10">
            <v>18</v>
          </cell>
          <cell r="BL10">
            <v>19</v>
          </cell>
          <cell r="BM10">
            <v>20</v>
          </cell>
          <cell r="BN10">
            <v>21</v>
          </cell>
          <cell r="BO10">
            <v>22</v>
          </cell>
          <cell r="BP10">
            <v>23</v>
          </cell>
          <cell r="BQ10">
            <v>24</v>
          </cell>
          <cell r="BR10">
            <v>25</v>
          </cell>
          <cell r="BS10">
            <v>26</v>
          </cell>
          <cell r="BT10">
            <v>27</v>
          </cell>
          <cell r="BU10">
            <v>28</v>
          </cell>
          <cell r="BV10">
            <v>29</v>
          </cell>
          <cell r="BW10">
            <v>30</v>
          </cell>
          <cell r="BX10">
            <v>31</v>
          </cell>
          <cell r="BY10">
            <v>32</v>
          </cell>
          <cell r="BZ10">
            <v>33</v>
          </cell>
          <cell r="CA10">
            <v>34</v>
          </cell>
          <cell r="CB10">
            <v>35</v>
          </cell>
          <cell r="CC10">
            <v>36</v>
          </cell>
          <cell r="CD10">
            <v>37</v>
          </cell>
          <cell r="CE10">
            <v>38</v>
          </cell>
          <cell r="CF10">
            <v>39</v>
          </cell>
          <cell r="CG10">
            <v>40</v>
          </cell>
          <cell r="CH10">
            <v>41</v>
          </cell>
          <cell r="CI10">
            <v>42</v>
          </cell>
          <cell r="CJ10">
            <v>43</v>
          </cell>
          <cell r="CK10">
            <v>44</v>
          </cell>
          <cell r="CL10">
            <v>45</v>
          </cell>
          <cell r="CM10">
            <v>46</v>
          </cell>
          <cell r="CN10">
            <v>47</v>
          </cell>
          <cell r="CO10">
            <v>48</v>
          </cell>
          <cell r="CP10">
            <v>49</v>
          </cell>
          <cell r="CQ10">
            <v>50</v>
          </cell>
        </row>
        <row r="11">
          <cell r="AJ11" t="str">
            <v>CUSTOM_LS1</v>
          </cell>
          <cell r="AK11">
            <v>0</v>
          </cell>
          <cell r="AL11">
            <v>0</v>
          </cell>
          <cell r="AM11">
            <v>0</v>
          </cell>
          <cell r="AN11">
            <v>0</v>
          </cell>
          <cell r="AO11">
            <v>0</v>
          </cell>
          <cell r="AP11">
            <v>0</v>
          </cell>
          <cell r="AS11" t="str">
            <v>CUSTOM_LS1</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AJ12" t="str">
            <v>ENComm_InsLt</v>
          </cell>
          <cell r="AK12">
            <v>7.9034811776632394E-2</v>
          </cell>
          <cell r="AL12">
            <v>0.12000063511792226</v>
          </cell>
          <cell r="AM12">
            <v>5.3606228466473477E-2</v>
          </cell>
          <cell r="AN12">
            <v>0.52342268617474241</v>
          </cell>
          <cell r="AO12">
            <v>0.22393563912471526</v>
          </cell>
          <cell r="AP12">
            <v>1.0000000006604859</v>
          </cell>
          <cell r="AS12" t="str">
            <v>ENComm_InsLt</v>
          </cell>
          <cell r="AT12">
            <v>5.5816130250953146E-2</v>
          </cell>
          <cell r="AU12">
            <v>0.1134985404086446</v>
          </cell>
          <cell r="AV12">
            <v>0.16983099983966152</v>
          </cell>
          <cell r="AW12">
            <v>0.22428484542161004</v>
          </cell>
          <cell r="AX12">
            <v>0.28648327442509874</v>
          </cell>
          <cell r="AY12">
            <v>0.34735817933953322</v>
          </cell>
          <cell r="AZ12">
            <v>0.40633266975313204</v>
          </cell>
          <cell r="BA12">
            <v>0.46393837081844197</v>
          </cell>
          <cell r="BB12">
            <v>0.52088322046685642</v>
          </cell>
          <cell r="BC12">
            <v>0.57633415670378074</v>
          </cell>
          <cell r="BD12">
            <v>0.6299345883324311</v>
          </cell>
          <cell r="BE12">
            <v>0.68172335434763331</v>
          </cell>
          <cell r="BF12">
            <v>0.73179683161167697</v>
          </cell>
          <cell r="BG12">
            <v>0.78032413776393783</v>
          </cell>
          <cell r="BH12">
            <v>0.82777673464322554</v>
          </cell>
          <cell r="BI12">
            <v>0.87378305830653635</v>
          </cell>
          <cell r="BJ12">
            <v>0.91893440237734603</v>
          </cell>
          <cell r="BK12">
            <v>0.97019706768192959</v>
          </cell>
          <cell r="BL12">
            <v>1.0206292038586247</v>
          </cell>
          <cell r="BM12">
            <v>1.0692054345633568</v>
          </cell>
          <cell r="BN12">
            <v>1.1159197251398654</v>
          </cell>
          <cell r="BO12">
            <v>1.1608471239552098</v>
          </cell>
          <cell r="BP12">
            <v>1.204126479767951</v>
          </cell>
          <cell r="BQ12">
            <v>1.2456315457678029</v>
          </cell>
          <cell r="BR12">
            <v>1.2855598860268089</v>
          </cell>
          <cell r="BS12">
            <v>1.3240276351343285</v>
          </cell>
          <cell r="BT12">
            <v>1.3610380588754023</v>
          </cell>
          <cell r="BU12">
            <v>1.3966972108659865</v>
          </cell>
          <cell r="BV12">
            <v>1.4310090125607382</v>
          </cell>
          <cell r="BW12">
            <v>1.4639431519307782</v>
          </cell>
          <cell r="BX12">
            <v>1.4956778338440402</v>
          </cell>
          <cell r="BY12">
            <v>1.5262205957842208</v>
          </cell>
          <cell r="BZ12">
            <v>1.5556180500961239</v>
          </cell>
          <cell r="CA12">
            <v>1.5839474895174523</v>
          </cell>
          <cell r="CB12">
            <v>1.6111569009223137</v>
          </cell>
          <cell r="CC12">
            <v>1.6373514642897209</v>
          </cell>
          <cell r="CD12">
            <v>1.6625964261168411</v>
          </cell>
          <cell r="CE12">
            <v>1.6869018163611145</v>
          </cell>
          <cell r="CF12">
            <v>1.7103273703806754</v>
          </cell>
          <cell r="CG12">
            <v>1.7328828515096046</v>
          </cell>
          <cell r="CH12">
            <v>1.7545610920527543</v>
          </cell>
          <cell r="CI12">
            <v>1.775475405266618</v>
          </cell>
          <cell r="CJ12">
            <v>1.7956159752435703</v>
          </cell>
          <cell r="CK12">
            <v>1.8150123587777853</v>
          </cell>
          <cell r="CL12">
            <v>1.8336929272304039</v>
          </cell>
          <cell r="CM12">
            <v>1.8516849173775456</v>
          </cell>
          <cell r="CN12">
            <v>1.8690144798928106</v>
          </cell>
          <cell r="CO12">
            <v>1.8857067255839446</v>
          </cell>
          <cell r="CP12">
            <v>1.9017857694968225</v>
          </cell>
          <cell r="CQ12">
            <v>1.9172747729937645</v>
          </cell>
        </row>
        <row r="13">
          <cell r="AJ13" t="str">
            <v>IPC_8760</v>
          </cell>
          <cell r="AK13">
            <v>5.8447488584474884E-2</v>
          </cell>
          <cell r="AL13">
            <v>0.1095890410958904</v>
          </cell>
          <cell r="AM13">
            <v>8.4018264840182655E-2</v>
          </cell>
          <cell r="AN13">
            <v>0.41278538812785387</v>
          </cell>
          <cell r="AO13">
            <v>0.33515981735159817</v>
          </cell>
          <cell r="AP13">
            <v>1</v>
          </cell>
          <cell r="AS13" t="str">
            <v>IPC_8760</v>
          </cell>
          <cell r="AT13">
            <v>4.9126625825779389E-2</v>
          </cell>
          <cell r="AU13">
            <v>0.10038190386165491</v>
          </cell>
          <cell r="AV13">
            <v>0.1505147812736467</v>
          </cell>
          <cell r="AW13">
            <v>0.19903349008659255</v>
          </cell>
          <cell r="AX13">
            <v>0.25565576027373638</v>
          </cell>
          <cell r="AY13">
            <v>0.31116602998695525</v>
          </cell>
          <cell r="AZ13">
            <v>0.36504969975777801</v>
          </cell>
          <cell r="BA13">
            <v>0.41776700055672994</v>
          </cell>
          <cell r="BB13">
            <v>0.46996716864434618</v>
          </cell>
          <cell r="BC13">
            <v>0.52079705669279175</v>
          </cell>
          <cell r="BD13">
            <v>0.56984948062178009</v>
          </cell>
          <cell r="BE13">
            <v>0.61727054314731811</v>
          </cell>
          <cell r="BF13">
            <v>0.66318404682205534</v>
          </cell>
          <cell r="BG13">
            <v>0.70773978945470239</v>
          </cell>
          <cell r="BH13">
            <v>0.7514110925358608</v>
          </cell>
          <cell r="BI13">
            <v>0.79375129940784594</v>
          </cell>
          <cell r="BJ13">
            <v>0.83538194897435403</v>
          </cell>
          <cell r="BK13">
            <v>0.8831467259466399</v>
          </cell>
          <cell r="BL13">
            <v>0.9302159278697828</v>
          </cell>
          <cell r="BM13">
            <v>0.97556754853019045</v>
          </cell>
          <cell r="BN13">
            <v>1.0192093108784979</v>
          </cell>
          <cell r="BO13">
            <v>1.0612084697680411</v>
          </cell>
          <cell r="BP13">
            <v>1.1016790463689803</v>
          </cell>
          <cell r="BQ13">
            <v>1.1405386190797353</v>
          </cell>
          <cell r="BR13">
            <v>1.177943843265175</v>
          </cell>
          <cell r="BS13">
            <v>1.2139907832611794</v>
          </cell>
          <cell r="BT13">
            <v>1.2486916756588089</v>
          </cell>
          <cell r="BU13">
            <v>1.2821344234772272</v>
          </cell>
          <cell r="BV13">
            <v>1.3143310668458126</v>
          </cell>
          <cell r="BW13">
            <v>1.3452680069588907</v>
          </cell>
          <cell r="BX13">
            <v>1.3750855352023987</v>
          </cell>
          <cell r="BY13">
            <v>1.4037974313968422</v>
          </cell>
          <cell r="BZ13">
            <v>1.4314460820975081</v>
          </cell>
          <cell r="CA13">
            <v>1.4580962829835715</v>
          </cell>
          <cell r="CB13">
            <v>1.4837169363700395</v>
          </cell>
          <cell r="CC13">
            <v>1.5083929312299382</v>
          </cell>
          <cell r="CD13">
            <v>1.5321793741621867</v>
          </cell>
          <cell r="CE13">
            <v>1.5550902961898971</v>
          </cell>
          <cell r="CF13">
            <v>1.5771762527360165</v>
          </cell>
          <cell r="CG13">
            <v>1.5984506188429424</v>
          </cell>
          <cell r="CH13">
            <v>1.6189140314633719</v>
          </cell>
          <cell r="CI13">
            <v>1.6386560154589389</v>
          </cell>
          <cell r="CJ13">
            <v>1.6576748374840302</v>
          </cell>
          <cell r="CK13">
            <v>1.6759976858173877</v>
          </cell>
          <cell r="CL13">
            <v>1.6936506838715724</v>
          </cell>
          <cell r="CM13">
            <v>1.7106589344418255</v>
          </cell>
          <cell r="CN13">
            <v>1.7270465619709308</v>
          </cell>
          <cell r="CO13">
            <v>1.7428367529268665</v>
          </cell>
          <cell r="CP13">
            <v>1.7580517943849179</v>
          </cell>
          <cell r="CQ13">
            <v>1.772713110901103</v>
          </cell>
        </row>
        <row r="14">
          <cell r="AJ14" t="str">
            <v>IPC_Outdoor Lighting</v>
          </cell>
          <cell r="AK14">
            <v>0</v>
          </cell>
          <cell r="AL14">
            <v>2.93E-2</v>
          </cell>
          <cell r="AM14">
            <v>0.18160000000000001</v>
          </cell>
          <cell r="AN14">
            <v>0.22020000000000001</v>
          </cell>
          <cell r="AO14">
            <v>0.56889999999999996</v>
          </cell>
          <cell r="AP14">
            <v>1</v>
          </cell>
          <cell r="AS14" t="str">
            <v>IPC_Outdoor Lighting</v>
          </cell>
          <cell r="AT14">
            <v>3.0594839269990001E-2</v>
          </cell>
          <cell r="AU14">
            <v>6.4090845495114013E-2</v>
          </cell>
          <cell r="AV14">
            <v>9.7157329852902305E-2</v>
          </cell>
          <cell r="AW14">
            <v>0.12937446311793116</v>
          </cell>
          <cell r="AX14">
            <v>0.17066080524145283</v>
          </cell>
          <cell r="AY14">
            <v>0.21142960804149288</v>
          </cell>
          <cell r="AZ14">
            <v>0.25137040709985981</v>
          </cell>
          <cell r="BA14">
            <v>0.29068672348185909</v>
          </cell>
          <cell r="BB14">
            <v>0.32989473533160957</v>
          </cell>
          <cell r="BC14">
            <v>0.36811107967725176</v>
          </cell>
          <cell r="BD14">
            <v>0.40478283716595909</v>
          </cell>
          <cell r="BE14">
            <v>0.44032575072517355</v>
          </cell>
          <cell r="BF14">
            <v>0.47495822087872935</v>
          </cell>
          <cell r="BG14">
            <v>0.50870366897653951</v>
          </cell>
          <cell r="BH14">
            <v>0.54205590801416714</v>
          </cell>
          <cell r="BI14">
            <v>0.57442338014273497</v>
          </cell>
          <cell r="BJ14">
            <v>0.60643273814648779</v>
          </cell>
          <cell r="BK14">
            <v>0.64468246097444326</v>
          </cell>
          <cell r="BL14">
            <v>0.68254675922489039</v>
          </cell>
          <cell r="BM14">
            <v>0.71907408637480197</v>
          </cell>
          <cell r="BN14">
            <v>0.75431165026391767</v>
          </cell>
          <cell r="BO14">
            <v>0.78830499184468872</v>
          </cell>
          <cell r="BP14">
            <v>0.8210980440393072</v>
          </cell>
          <cell r="BQ14">
            <v>0.85273318851852142</v>
          </cell>
          <cell r="BR14">
            <v>0.88325131047561667</v>
          </cell>
          <cell r="BS14">
            <v>0.91269185146635201</v>
          </cell>
          <cell r="BT14">
            <v>0.94109286038314266</v>
          </cell>
          <cell r="BU14">
            <v>0.96849104262936769</v>
          </cell>
          <cell r="BV14">
            <v>0.99492180755735471</v>
          </cell>
          <cell r="BW14">
            <v>1.0204193142313518</v>
          </cell>
          <cell r="BX14">
            <v>1.0450165155746287</v>
          </cell>
          <cell r="BY14">
            <v>1.0687452009577658</v>
          </cell>
          <cell r="BZ14">
            <v>1.0916360372831673</v>
          </cell>
          <cell r="CA14">
            <v>1.1137186086189015</v>
          </cell>
          <cell r="CB14">
            <v>1.1350214544330872</v>
          </cell>
          <cell r="CC14">
            <v>1.155572106478242</v>
          </cell>
          <cell r="CD14">
            <v>1.1753971243732586</v>
          </cell>
          <cell r="CE14">
            <v>1.1945221299290019</v>
          </cell>
          <cell r="CF14">
            <v>1.2129718402618814</v>
          </cell>
          <cell r="CG14">
            <v>1.2307700997382005</v>
          </cell>
          <cell r="CH14">
            <v>1.2479399107905644</v>
          </cell>
          <cell r="CI14">
            <v>1.2645034636461743</v>
          </cell>
          <cell r="CJ14">
            <v>1.2804821650054306</v>
          </cell>
          <cell r="CK14">
            <v>1.295896665707907</v>
          </cell>
          <cell r="CL14">
            <v>1.3107668874214509</v>
          </cell>
          <cell r="CM14">
            <v>1.3251120483889043</v>
          </cell>
          <cell r="CN14">
            <v>1.3389506882657209</v>
          </cell>
          <cell r="CO14">
            <v>1.3523006920805765</v>
          </cell>
          <cell r="CP14">
            <v>1.3651793133499419</v>
          </cell>
          <cell r="CQ14">
            <v>1.3776031963764903</v>
          </cell>
        </row>
      </sheetData>
      <sheetData sheetId="12" refreshError="1"/>
      <sheetData sheetId="13" refreshError="1"/>
      <sheetData sheetId="14">
        <row r="8">
          <cell r="A8" t="str">
            <v>A</v>
          </cell>
        </row>
        <row r="9">
          <cell r="A9" t="str">
            <v>B</v>
          </cell>
        </row>
        <row r="10">
          <cell r="A10" t="str">
            <v>C</v>
          </cell>
        </row>
        <row r="11">
          <cell r="A11" t="str">
            <v>D</v>
          </cell>
        </row>
        <row r="12">
          <cell r="A12" t="str">
            <v>E</v>
          </cell>
        </row>
        <row r="13">
          <cell r="A13" t="str">
            <v>F</v>
          </cell>
        </row>
        <row r="14">
          <cell r="A14" t="str">
            <v>G</v>
          </cell>
        </row>
        <row r="15">
          <cell r="A15" t="str">
            <v>H</v>
          </cell>
        </row>
        <row r="16">
          <cell r="A16" t="str">
            <v>I</v>
          </cell>
        </row>
        <row r="17">
          <cell r="A17" t="str">
            <v>J</v>
          </cell>
        </row>
        <row r="18">
          <cell r="A18" t="str">
            <v>K</v>
          </cell>
        </row>
        <row r="19">
          <cell r="A19" t="str">
            <v>L</v>
          </cell>
        </row>
        <row r="20">
          <cell r="A20" t="str">
            <v>M</v>
          </cell>
        </row>
        <row r="21">
          <cell r="A21" t="str">
            <v>N</v>
          </cell>
        </row>
        <row r="22">
          <cell r="A22" t="str">
            <v>O</v>
          </cell>
        </row>
        <row r="23">
          <cell r="A23" t="str">
            <v>P</v>
          </cell>
        </row>
        <row r="24">
          <cell r="A24" t="str">
            <v>Q</v>
          </cell>
        </row>
        <row r="25">
          <cell r="A25" t="str">
            <v>R</v>
          </cell>
        </row>
        <row r="26">
          <cell r="A26" t="str">
            <v>S</v>
          </cell>
        </row>
        <row r="27">
          <cell r="A27" t="str">
            <v>T</v>
          </cell>
        </row>
        <row r="28">
          <cell r="A28" t="str">
            <v>U</v>
          </cell>
        </row>
        <row r="29">
          <cell r="A29" t="str">
            <v>V</v>
          </cell>
        </row>
        <row r="30">
          <cell r="A30" t="str">
            <v>W</v>
          </cell>
        </row>
        <row r="31">
          <cell r="A31" t="str">
            <v>X</v>
          </cell>
        </row>
        <row r="32">
          <cell r="A32" t="str">
            <v>Y</v>
          </cell>
        </row>
        <row r="33">
          <cell r="A33" t="str">
            <v>Z</v>
          </cell>
        </row>
        <row r="34">
          <cell r="A34" t="str">
            <v>AA</v>
          </cell>
        </row>
        <row r="35">
          <cell r="A35" t="str">
            <v>BB</v>
          </cell>
        </row>
        <row r="36">
          <cell r="A36" t="str">
            <v>CC</v>
          </cell>
        </row>
        <row r="37">
          <cell r="A37" t="str">
            <v>DD</v>
          </cell>
        </row>
        <row r="38">
          <cell r="A38" t="str">
            <v>EE</v>
          </cell>
        </row>
        <row r="39">
          <cell r="A39" t="str">
            <v>FF</v>
          </cell>
        </row>
        <row r="40">
          <cell r="A40" t="str">
            <v>GG</v>
          </cell>
        </row>
        <row r="41">
          <cell r="A41" t="str">
            <v>HH</v>
          </cell>
        </row>
        <row r="42">
          <cell r="A42" t="str">
            <v>II</v>
          </cell>
        </row>
        <row r="43">
          <cell r="A43" t="str">
            <v>JJ</v>
          </cell>
        </row>
        <row r="44">
          <cell r="A44" t="str">
            <v>KK</v>
          </cell>
        </row>
        <row r="45">
          <cell r="A45" t="str">
            <v>LL</v>
          </cell>
        </row>
        <row r="46">
          <cell r="A46" t="str">
            <v>MM</v>
          </cell>
        </row>
        <row r="47">
          <cell r="A47" t="str">
            <v>NN</v>
          </cell>
        </row>
        <row r="48">
          <cell r="A48" t="str">
            <v>OO</v>
          </cell>
        </row>
        <row r="49">
          <cell r="A49" t="str">
            <v>PP</v>
          </cell>
        </row>
        <row r="50">
          <cell r="A50" t="str">
            <v>QQ</v>
          </cell>
        </row>
        <row r="51">
          <cell r="A51" t="str">
            <v>RR</v>
          </cell>
        </row>
        <row r="52">
          <cell r="A52" t="str">
            <v>SS</v>
          </cell>
        </row>
        <row r="53">
          <cell r="A53" t="str">
            <v>TT</v>
          </cell>
        </row>
        <row r="54">
          <cell r="A54" t="str">
            <v>UU</v>
          </cell>
        </row>
        <row r="55">
          <cell r="A55" t="str">
            <v>VV</v>
          </cell>
        </row>
        <row r="56">
          <cell r="A56" t="str">
            <v>WW</v>
          </cell>
        </row>
        <row r="57">
          <cell r="A57" t="str">
            <v>XX</v>
          </cell>
        </row>
        <row r="58">
          <cell r="A58" t="str">
            <v>YY</v>
          </cell>
        </row>
        <row r="59">
          <cell r="A59" t="str">
            <v>ZZ</v>
          </cell>
        </row>
      </sheetData>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Angela Pilant" id="{96464F63-2443-45E1-81DC-3BFE913D3798}" userId="S::Angela.Pilant@evergreen-efficiency.com::b9a95c6f-c76f-406b-ad3a-466e0d175fd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4C0DECA-1970-4086-A716-7B091CF07822}" name="Table1" displayName="Table1" ref="EB10:ED1007" totalsRowShown="0" headerRowBorderDxfId="160" tableBorderDxfId="159" totalsRowBorderDxfId="158">
  <autoFilter ref="EB10:ED1007" xr:uid="{24C0DECA-1970-4086-A716-7B091CF07822}"/>
  <tableColumns count="3">
    <tableColumn id="1" xr3:uid="{228CCA5F-B2B3-47F9-B3DB-F0DA5D0E10B8}" name="Column1" dataDxfId="157"/>
    <tableColumn id="2" xr3:uid="{4098B33F-ACCC-4F90-95B4-04741CC4E452}" name="Column2" dataDxfId="156"/>
    <tableColumn id="3" xr3:uid="{1080F714-645D-45DA-AAE5-4CD665D1503B}" name="Column3" dataDxfId="155"/>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Custom 8">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a:no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T11" dT="2021-01-08T17:45:30.70" personId="{96464F63-2443-45E1-81DC-3BFE913D3798}" id="{7D7358E1-A290-4344-9282-97E1BDEEEDA9}">
    <text>IPC:
Right now calculating the % WITH the lighting contorls costs and any additional costs…could change this to only show % with only the sum of S12:S411</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designlights.org/search/" TargetMode="External"/><Relationship Id="rId2" Type="http://schemas.openxmlformats.org/officeDocument/2006/relationships/hyperlink" Target="https://www.designlights.org/search/" TargetMode="External"/><Relationship Id="rId1" Type="http://schemas.openxmlformats.org/officeDocument/2006/relationships/hyperlink" Target="https://www.designlights.org/content/QPL/ProductSubmit/LinearReplacementLamps" TargetMode="External"/><Relationship Id="rId5" Type="http://schemas.openxmlformats.org/officeDocument/2006/relationships/drawing" Target="../drawings/drawing11.x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energystar.gov/productfinder/product/certified-light-fixtures/" TargetMode="External"/><Relationship Id="rId7" Type="http://schemas.openxmlformats.org/officeDocument/2006/relationships/drawing" Target="../drawings/drawing13.xml"/><Relationship Id="rId2" Type="http://schemas.openxmlformats.org/officeDocument/2006/relationships/hyperlink" Target="https://www.energystar.gov/productfinder/product/certified-light-bulbs/" TargetMode="External"/><Relationship Id="rId1" Type="http://schemas.openxmlformats.org/officeDocument/2006/relationships/hyperlink" Target="https://www.designlights.org/search/" TargetMode="External"/><Relationship Id="rId6" Type="http://schemas.openxmlformats.org/officeDocument/2006/relationships/printerSettings" Target="../printerSettings/printerSettings14.bin"/><Relationship Id="rId5" Type="http://schemas.openxmlformats.org/officeDocument/2006/relationships/hyperlink" Target="https://www.designlights.org/horticultural-lighting/search/" TargetMode="External"/><Relationship Id="rId4" Type="http://schemas.openxmlformats.org/officeDocument/2006/relationships/hyperlink" Target="https://www.designlights.org/lighting-controls/"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energystar.gov/productfinder/product/certified-light-fixtures/" TargetMode="External"/><Relationship Id="rId7" Type="http://schemas.openxmlformats.org/officeDocument/2006/relationships/printerSettings" Target="../printerSettings/printerSettings3.bin"/><Relationship Id="rId2" Type="http://schemas.openxmlformats.org/officeDocument/2006/relationships/hyperlink" Target="https://www.energystar.gov/productfinder/product/certified-light-bulbs/" TargetMode="External"/><Relationship Id="rId1" Type="http://schemas.openxmlformats.org/officeDocument/2006/relationships/hyperlink" Target="https://www.designlights.org/search/" TargetMode="External"/><Relationship Id="rId6" Type="http://schemas.openxmlformats.org/officeDocument/2006/relationships/hyperlink" Target="https://qpl.designlights.org/horticulture" TargetMode="External"/><Relationship Id="rId5" Type="http://schemas.openxmlformats.org/officeDocument/2006/relationships/hyperlink" Target="https://qpl.designlights.org/networked-lighting-controls" TargetMode="External"/><Relationship Id="rId4" Type="http://schemas.openxmlformats.org/officeDocument/2006/relationships/hyperlink" Target="https://qpl.designlights.org/solid-state-lighting"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energystar.gov/productfinder/product/certified-light-fixtures/" TargetMode="External"/><Relationship Id="rId7" Type="http://schemas.openxmlformats.org/officeDocument/2006/relationships/drawing" Target="../drawings/drawing4.xml"/><Relationship Id="rId2" Type="http://schemas.openxmlformats.org/officeDocument/2006/relationships/hyperlink" Target="https://www.energystar.gov/productfinder/product/certified-light-bulbs/" TargetMode="External"/><Relationship Id="rId1" Type="http://schemas.openxmlformats.org/officeDocument/2006/relationships/hyperlink" Target="https://qpl.designlights.org/solid-state-lighting" TargetMode="External"/><Relationship Id="rId6" Type="http://schemas.openxmlformats.org/officeDocument/2006/relationships/printerSettings" Target="../printerSettings/printerSettings4.bin"/><Relationship Id="rId5" Type="http://schemas.openxmlformats.org/officeDocument/2006/relationships/hyperlink" Target="https://qpl.designlights.org/horticulture" TargetMode="External"/><Relationship Id="rId10" Type="http://schemas.openxmlformats.org/officeDocument/2006/relationships/comments" Target="../comments1.xml"/><Relationship Id="rId4" Type="http://schemas.openxmlformats.org/officeDocument/2006/relationships/hyperlink" Target="https://qpl.designlights.org/networked-lighting-controls" TargetMode="External"/><Relationship Id="rId9"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idahopower.com/ways-to-save/savings-for-your-business/terms-conditions/" TargetMode="External"/><Relationship Id="rId1" Type="http://schemas.openxmlformats.org/officeDocument/2006/relationships/hyperlink" Target="https://docs.idahopower.com/pdfs/energyefficiency/business/proceduresManual.pdf"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docs.idahopower.com/pdfs/energyefficiency/business/proceduresManual.pdf" TargetMode="External"/><Relationship Id="rId2" Type="http://schemas.openxmlformats.org/officeDocument/2006/relationships/hyperlink" Target="http://www.idahopower.com/ways-to-save/savings-for-your-business/terms-conditions/" TargetMode="External"/><Relationship Id="rId1" Type="http://schemas.openxmlformats.org/officeDocument/2006/relationships/hyperlink" Target="https://docs.idahopower.com/pdfs/energyefficiency/business/proceduresManual.pdf" TargetMode="Externa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Z174"/>
  <sheetViews>
    <sheetView showGridLines="0" tabSelected="1" workbookViewId="0"/>
  </sheetViews>
  <sheetFormatPr defaultRowHeight="15"/>
  <cols>
    <col min="1" max="1" width="6.28515625" customWidth="1"/>
    <col min="2" max="2" width="4.5703125" customWidth="1"/>
    <col min="3" max="3" width="2.7109375" customWidth="1"/>
    <col min="4" max="4" width="1.42578125" customWidth="1"/>
    <col min="5" max="6" width="2.7109375" customWidth="1"/>
    <col min="7" max="7" width="3.42578125" customWidth="1"/>
    <col min="8" max="23" width="2.7109375" customWidth="1"/>
    <col min="24" max="24" width="1.7109375" customWidth="1"/>
    <col min="25" max="25" width="7.42578125" customWidth="1"/>
    <col min="26" max="26" width="2.7109375" customWidth="1"/>
    <col min="27" max="27" width="3.7109375" customWidth="1"/>
    <col min="28" max="39" width="2.7109375" customWidth="1"/>
    <col min="40" max="40" width="26.28515625" customWidth="1"/>
    <col min="41" max="57" width="2.7109375" customWidth="1"/>
  </cols>
  <sheetData>
    <row r="1" spans="1:78" ht="12"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109"/>
      <c r="AP1" s="109"/>
      <c r="AQ1" s="109"/>
      <c r="AR1" s="109"/>
      <c r="AS1" s="109"/>
      <c r="AT1" s="109"/>
      <c r="AU1" s="109"/>
      <c r="AV1" s="109"/>
      <c r="AW1" s="109"/>
      <c r="AX1" s="109"/>
      <c r="AY1" s="109"/>
      <c r="AZ1" s="34"/>
      <c r="BA1" s="34"/>
      <c r="BB1" s="34"/>
      <c r="BC1" s="34"/>
      <c r="BD1" s="34"/>
      <c r="BE1" s="34"/>
      <c r="BF1" s="34"/>
      <c r="BG1" s="34"/>
      <c r="BH1" s="34"/>
      <c r="BI1" s="34"/>
      <c r="BJ1" s="34"/>
      <c r="BK1" s="34"/>
      <c r="BL1" s="34"/>
      <c r="BM1" s="34"/>
      <c r="BN1" s="34"/>
      <c r="BO1" s="34"/>
      <c r="BP1" s="34"/>
      <c r="BQ1" s="34"/>
      <c r="BR1" s="34"/>
      <c r="BS1" s="34"/>
      <c r="BT1" s="34"/>
      <c r="BU1" s="34"/>
      <c r="BV1" s="34"/>
      <c r="BW1" s="34"/>
      <c r="BX1" s="34"/>
      <c r="BY1" s="34"/>
      <c r="BZ1" s="34"/>
    </row>
    <row r="2" spans="1:78" ht="12"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109"/>
      <c r="AP2" s="109"/>
      <c r="AQ2" s="109"/>
      <c r="AR2" s="109"/>
      <c r="AS2" s="109"/>
      <c r="AT2" s="109"/>
      <c r="AU2" s="109"/>
      <c r="AV2" s="109"/>
      <c r="AW2" s="109"/>
      <c r="AX2" s="109"/>
      <c r="AY2" s="109"/>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row>
    <row r="3" spans="1:78" ht="12" customHeight="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109"/>
      <c r="AP3" s="109"/>
      <c r="AQ3" s="109"/>
      <c r="AR3" s="109"/>
      <c r="AS3" s="109"/>
      <c r="AT3" s="109"/>
      <c r="AU3" s="109"/>
      <c r="AV3" s="109"/>
      <c r="AW3" s="109"/>
      <c r="AX3" s="109"/>
      <c r="AY3" s="109"/>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row>
    <row r="4" spans="1:78" ht="12"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109"/>
      <c r="AP4" s="109"/>
      <c r="AQ4" s="109"/>
      <c r="AR4" s="109"/>
      <c r="AS4" s="109"/>
      <c r="AT4" s="109"/>
      <c r="AU4" s="109"/>
      <c r="AV4" s="109"/>
      <c r="AW4" s="109"/>
      <c r="AX4" s="109"/>
      <c r="AY4" s="109"/>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row>
    <row r="5" spans="1:78" ht="12"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109"/>
      <c r="AP5" s="109"/>
      <c r="AQ5" s="109"/>
      <c r="AR5" s="109"/>
      <c r="AS5" s="110"/>
      <c r="AT5" s="109"/>
      <c r="AU5" s="109"/>
      <c r="AV5" s="109"/>
      <c r="AW5" s="109"/>
      <c r="AX5" s="109"/>
      <c r="AY5" s="109"/>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row>
    <row r="6" spans="1:78" ht="12"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109"/>
      <c r="AP6" s="109"/>
      <c r="AQ6" s="109"/>
      <c r="AR6" s="109"/>
      <c r="AS6" s="110"/>
      <c r="AT6" s="109"/>
      <c r="AU6" s="109"/>
      <c r="AV6" s="109"/>
      <c r="AW6" s="109"/>
      <c r="AX6" s="109"/>
      <c r="AY6" s="109"/>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row>
    <row r="7" spans="1:78" ht="12" customHeight="1">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109"/>
      <c r="AP7" s="109"/>
      <c r="AQ7" s="109"/>
      <c r="AR7" s="109"/>
      <c r="AS7" s="109"/>
      <c r="AT7" s="109"/>
      <c r="AU7" s="109"/>
      <c r="AV7" s="109"/>
      <c r="AW7" s="109"/>
      <c r="AX7" s="109"/>
      <c r="AY7" s="109"/>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row>
    <row r="8" spans="1:78" ht="12" customHeight="1">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109"/>
      <c r="AP8" s="109"/>
      <c r="AQ8" s="109"/>
      <c r="AR8" s="109"/>
      <c r="AS8" s="109"/>
      <c r="AT8" s="109"/>
      <c r="AU8" s="109"/>
      <c r="AV8" s="109"/>
      <c r="AW8" s="109"/>
      <c r="AX8" s="109"/>
      <c r="AY8" s="109"/>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row>
    <row r="9" spans="1:78" ht="12" customHeight="1">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109"/>
      <c r="AP9" s="109"/>
      <c r="AQ9" s="109"/>
      <c r="AR9" s="109"/>
      <c r="AS9" s="109"/>
      <c r="AT9" s="109"/>
      <c r="AU9" s="109"/>
      <c r="AV9" s="109"/>
      <c r="AW9" s="109"/>
      <c r="AX9" s="109"/>
      <c r="AY9" s="109"/>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row>
    <row r="10" spans="1:78" ht="12"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109"/>
      <c r="AP10" s="109"/>
      <c r="AQ10" s="109"/>
      <c r="AR10" s="109"/>
      <c r="AS10" s="109"/>
      <c r="AT10" s="109"/>
      <c r="AU10" s="109"/>
      <c r="AV10" s="109"/>
      <c r="AW10" s="109"/>
      <c r="AX10" s="109"/>
      <c r="AY10" s="109"/>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row>
    <row r="11" spans="1:78" ht="12"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109"/>
      <c r="AP11" s="109"/>
      <c r="AQ11" s="109"/>
      <c r="AR11" s="109"/>
      <c r="AS11" s="109"/>
      <c r="AT11" s="109"/>
      <c r="AU11" s="109"/>
      <c r="AV11" s="109"/>
      <c r="AW11" s="109"/>
      <c r="AX11" s="109"/>
      <c r="AY11" s="109"/>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row>
    <row r="12" spans="1:78" ht="12"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109"/>
      <c r="AP12" s="109"/>
      <c r="AQ12" s="109"/>
      <c r="AR12" s="109"/>
      <c r="AS12" s="109"/>
      <c r="AT12" s="109"/>
      <c r="AU12" s="109"/>
      <c r="AV12" s="109"/>
      <c r="AW12" s="109"/>
      <c r="AX12" s="109"/>
      <c r="AY12" s="109"/>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row>
    <row r="13" spans="1:78" ht="12" customHeight="1">
      <c r="A13" s="5"/>
      <c r="B13" s="5"/>
      <c r="C13" s="5"/>
      <c r="D13" s="5"/>
      <c r="E13" s="5"/>
      <c r="F13" s="5"/>
      <c r="G13" s="5"/>
      <c r="H13" s="5"/>
      <c r="I13" s="5"/>
      <c r="J13" s="5"/>
      <c r="K13" s="5"/>
      <c r="L13" s="5"/>
      <c r="M13" s="5"/>
      <c r="N13" s="5"/>
      <c r="O13" s="5"/>
      <c r="P13" s="5"/>
      <c r="Q13" s="5"/>
      <c r="R13" s="5"/>
      <c r="S13" s="205"/>
      <c r="T13" s="5"/>
      <c r="U13" s="5"/>
      <c r="W13" s="5"/>
      <c r="Y13" s="5"/>
      <c r="AA13" s="5"/>
      <c r="AB13" s="5"/>
      <c r="AC13" s="5"/>
      <c r="AD13" s="5"/>
      <c r="AE13" s="5"/>
      <c r="AF13" s="5"/>
      <c r="AG13" s="5"/>
      <c r="AH13" s="5"/>
      <c r="AI13" s="5"/>
      <c r="AJ13" s="5"/>
      <c r="AK13" s="5"/>
      <c r="AL13" s="5"/>
      <c r="AM13" s="5"/>
      <c r="AN13" s="5"/>
      <c r="AO13" s="109"/>
      <c r="AP13" s="109"/>
      <c r="AQ13" s="109"/>
      <c r="AR13" s="109"/>
      <c r="AS13" s="109"/>
      <c r="AT13" s="109"/>
      <c r="AU13" s="109"/>
      <c r="AV13" s="109"/>
      <c r="AW13" s="109"/>
      <c r="AX13" s="109"/>
      <c r="AY13" s="109"/>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row>
    <row r="14" spans="1:78" ht="6.7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109"/>
      <c r="AP14" s="109"/>
      <c r="AQ14" s="109"/>
      <c r="AR14" s="109"/>
      <c r="AS14" s="109"/>
      <c r="AT14" s="109"/>
      <c r="AU14" s="109"/>
      <c r="AV14" s="109"/>
      <c r="AW14" s="109"/>
      <c r="AX14" s="109"/>
      <c r="AY14" s="109"/>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row>
    <row r="15" spans="1:78" ht="3.7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109"/>
      <c r="AP15" s="109"/>
      <c r="AQ15" s="109"/>
      <c r="AR15" s="109"/>
      <c r="AS15" s="109"/>
      <c r="AT15" s="109"/>
      <c r="AU15" s="109"/>
      <c r="AV15" s="109"/>
      <c r="AW15" s="109"/>
      <c r="AX15" s="109"/>
      <c r="AY15" s="109"/>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row>
    <row r="16" spans="1:78" ht="13.5" hidden="1" customHeight="1">
      <c r="A16" s="111"/>
      <c r="B16" s="111"/>
      <c r="C16" s="111"/>
      <c r="D16" s="111"/>
      <c r="E16" s="111"/>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09"/>
      <c r="AP16" s="109"/>
      <c r="AQ16" s="109"/>
      <c r="AR16" s="109"/>
      <c r="AS16" s="109"/>
      <c r="AT16" s="109"/>
      <c r="AU16" s="109"/>
      <c r="AV16" s="109"/>
      <c r="AW16" s="109"/>
      <c r="AX16" s="109"/>
      <c r="AY16" s="109"/>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row>
    <row r="17" spans="1:78" ht="36" customHeight="1">
      <c r="A17" s="59"/>
      <c r="B17" s="615" t="s">
        <v>776</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109"/>
      <c r="AP17" s="109"/>
      <c r="AQ17" s="109"/>
      <c r="AR17" s="109"/>
      <c r="AS17" s="109"/>
      <c r="AT17" s="109"/>
      <c r="AU17" s="109"/>
      <c r="AV17" s="109"/>
      <c r="AW17" s="109"/>
      <c r="AX17" s="109"/>
      <c r="AY17" s="109"/>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row>
    <row r="18" spans="1:78" ht="10.5" customHeight="1">
      <c r="A18" s="59"/>
      <c r="B18" s="174"/>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109"/>
      <c r="AP18" s="109"/>
      <c r="AQ18" s="109"/>
      <c r="AR18" s="109"/>
      <c r="AS18" s="109"/>
      <c r="AT18" s="109"/>
      <c r="AU18" s="109"/>
      <c r="AV18" s="109"/>
      <c r="AW18" s="109"/>
      <c r="AX18" s="112"/>
      <c r="AY18" s="109"/>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row>
    <row r="19" spans="1:78" ht="15.75" customHeight="1">
      <c r="A19" s="59"/>
      <c r="B19" s="619" t="s">
        <v>779</v>
      </c>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109"/>
      <c r="AP19" s="109"/>
      <c r="AQ19" s="109"/>
      <c r="AR19" s="109"/>
      <c r="AS19" s="109"/>
      <c r="AT19" s="109"/>
      <c r="AU19" s="109"/>
      <c r="AV19" s="109"/>
      <c r="AW19" s="109"/>
      <c r="AX19" s="113"/>
      <c r="AY19" s="109"/>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row>
    <row r="20" spans="1:78" ht="21.75" customHeight="1">
      <c r="A20" s="59"/>
      <c r="B20" s="783" t="s">
        <v>1727</v>
      </c>
      <c r="C20" s="59"/>
      <c r="D20" s="59"/>
      <c r="E20" s="59"/>
      <c r="F20" s="59"/>
      <c r="G20" s="59"/>
      <c r="H20" s="59"/>
      <c r="I20" s="59"/>
      <c r="J20" s="59"/>
      <c r="K20" s="59"/>
      <c r="L20" s="59"/>
      <c r="M20" s="59"/>
      <c r="N20" s="59"/>
      <c r="O20" s="59"/>
      <c r="P20" s="59"/>
      <c r="Q20" s="59"/>
      <c r="R20" s="59"/>
      <c r="S20" s="59"/>
      <c r="T20" s="59"/>
      <c r="U20" s="59"/>
      <c r="V20" s="59"/>
      <c r="W20" s="59"/>
      <c r="X20" s="59"/>
      <c r="Y20" s="59"/>
      <c r="Z20" s="174"/>
      <c r="AA20" s="174"/>
      <c r="AB20" s="751"/>
      <c r="AC20" s="174"/>
      <c r="AD20" s="59"/>
      <c r="AE20" s="59"/>
      <c r="AF20" s="59"/>
      <c r="AG20" s="59"/>
      <c r="AH20" s="59"/>
      <c r="AI20" s="59"/>
      <c r="AJ20" s="59"/>
      <c r="AK20" s="59"/>
      <c r="AL20" s="59"/>
      <c r="AM20" s="59"/>
      <c r="AN20" s="59"/>
      <c r="AO20" s="109"/>
      <c r="AP20" s="109"/>
      <c r="AQ20" s="109"/>
      <c r="AR20" s="109"/>
      <c r="AS20" s="109"/>
      <c r="AT20" s="109"/>
      <c r="AU20" s="109"/>
      <c r="AV20" s="109"/>
      <c r="AW20" s="109"/>
      <c r="AX20" s="109"/>
      <c r="AY20" s="109"/>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row>
    <row r="21" spans="1:78" ht="30.75" customHeight="1">
      <c r="A21" s="784"/>
      <c r="B21" s="1620" t="s">
        <v>1628</v>
      </c>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c r="AL21" s="1620"/>
      <c r="AM21" s="1620"/>
      <c r="AN21" s="1620"/>
      <c r="AO21" s="109"/>
      <c r="AP21" s="109"/>
      <c r="AQ21" s="109"/>
      <c r="AR21" s="109"/>
      <c r="AS21" s="109"/>
      <c r="AT21" s="109"/>
      <c r="AU21" s="109"/>
      <c r="AV21" s="109"/>
      <c r="AW21" s="109"/>
      <c r="AX21" s="109"/>
      <c r="AY21" s="109"/>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row>
    <row r="22" spans="1:78" ht="32.25" customHeight="1">
      <c r="A22" s="122" t="s">
        <v>1619</v>
      </c>
      <c r="B22" s="174"/>
      <c r="C22" s="59"/>
      <c r="D22" s="59"/>
      <c r="E22" s="59"/>
      <c r="F22" s="59"/>
      <c r="G22" s="59"/>
      <c r="H22" s="59"/>
      <c r="I22" s="59"/>
      <c r="J22" s="59"/>
      <c r="K22" s="59"/>
      <c r="L22" s="59"/>
      <c r="M22" s="59"/>
      <c r="N22" s="59"/>
      <c r="O22" s="59"/>
      <c r="P22" s="59"/>
      <c r="Q22" s="59"/>
      <c r="R22" s="59"/>
      <c r="S22" s="59"/>
      <c r="T22" s="59"/>
      <c r="U22" s="59"/>
      <c r="V22" s="59"/>
      <c r="W22" s="59"/>
      <c r="X22" s="59"/>
      <c r="Y22" s="59"/>
      <c r="Z22" s="59"/>
      <c r="AA22" s="174"/>
      <c r="AB22" s="624"/>
      <c r="AC22" s="624"/>
      <c r="AD22" s="624"/>
      <c r="AE22" s="624"/>
      <c r="AF22" s="624"/>
      <c r="AG22" s="624"/>
      <c r="AH22" s="624"/>
      <c r="AI22" s="624"/>
      <c r="AJ22" s="624"/>
      <c r="AK22" s="624"/>
      <c r="AL22" s="624"/>
      <c r="AM22" s="624"/>
      <c r="AN22" s="624"/>
      <c r="AO22" s="109"/>
      <c r="AP22" s="109"/>
      <c r="AQ22" s="109"/>
      <c r="AR22" s="109"/>
      <c r="AS22" s="109"/>
      <c r="AT22" s="109"/>
      <c r="AU22" s="109"/>
      <c r="AV22" s="109"/>
      <c r="AW22" s="109"/>
      <c r="AX22" s="109"/>
      <c r="AY22" s="109"/>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row>
    <row r="23" spans="1:78" ht="22.5" customHeight="1">
      <c r="A23" s="59"/>
      <c r="B23" s="526"/>
      <c r="C23" s="536" t="s">
        <v>780</v>
      </c>
      <c r="D23" s="537"/>
      <c r="E23" s="537"/>
      <c r="F23" s="537"/>
      <c r="G23" s="537"/>
      <c r="H23" s="537"/>
      <c r="I23" s="537"/>
      <c r="J23" s="537"/>
      <c r="K23" s="537"/>
      <c r="L23" s="537"/>
      <c r="M23" s="537"/>
      <c r="N23" s="525"/>
      <c r="O23" s="525"/>
      <c r="P23" s="525"/>
      <c r="Q23" s="525"/>
      <c r="R23" s="525"/>
      <c r="S23" s="525"/>
      <c r="T23" s="525"/>
      <c r="U23" s="525"/>
      <c r="V23" s="628"/>
      <c r="W23" s="59"/>
      <c r="X23" s="59"/>
      <c r="Y23" s="59"/>
      <c r="Z23" s="1625" t="str">
        <f>IF('Data Entry'!A115&gt;0.9,"The following items on Data Entry Tab need to be entered prior to submitting to Idaho Power.",0)</f>
        <v>The following items on Data Entry Tab need to be entered prior to submitting to Idaho Power.</v>
      </c>
      <c r="AA23" s="1625"/>
      <c r="AB23" s="1625"/>
      <c r="AC23" s="1625"/>
      <c r="AD23" s="1625"/>
      <c r="AE23" s="1625"/>
      <c r="AF23" s="1625"/>
      <c r="AG23" s="1625"/>
      <c r="AH23" s="1625"/>
      <c r="AI23" s="1625"/>
      <c r="AJ23" s="1625"/>
      <c r="AK23" s="1625"/>
      <c r="AL23" s="1625"/>
      <c r="AM23" s="1625"/>
      <c r="AN23" s="1625"/>
      <c r="AO23" s="109"/>
      <c r="AP23" s="109"/>
      <c r="AQ23" s="109"/>
      <c r="AR23" s="109"/>
      <c r="AS23" s="109"/>
      <c r="AT23" s="109"/>
      <c r="AU23" s="109"/>
      <c r="AV23" s="109"/>
      <c r="AW23" s="109"/>
      <c r="AX23" s="109"/>
      <c r="AY23" s="109"/>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row>
    <row r="24" spans="1:78" ht="22.5" customHeight="1">
      <c r="A24" s="59"/>
      <c r="B24" s="627"/>
      <c r="C24" s="1623" t="s">
        <v>1742</v>
      </c>
      <c r="D24" s="1623"/>
      <c r="E24" s="1623"/>
      <c r="F24" s="1623"/>
      <c r="G24" s="1623"/>
      <c r="H24" s="1623"/>
      <c r="I24" s="1623"/>
      <c r="J24" s="1623"/>
      <c r="K24" s="1623"/>
      <c r="L24" s="1623"/>
      <c r="M24" s="1623"/>
      <c r="N24" s="1623"/>
      <c r="O24" s="1623"/>
      <c r="P24" s="1623"/>
      <c r="Q24" s="1623"/>
      <c r="R24" s="1623"/>
      <c r="S24" s="1623"/>
      <c r="T24" s="1623"/>
      <c r="U24" s="1623"/>
      <c r="V24" s="533"/>
      <c r="W24" s="114"/>
      <c r="X24" s="114"/>
      <c r="Y24" s="114"/>
      <c r="Z24" s="1625"/>
      <c r="AA24" s="1625"/>
      <c r="AB24" s="1625"/>
      <c r="AC24" s="1625"/>
      <c r="AD24" s="1625"/>
      <c r="AE24" s="1625"/>
      <c r="AF24" s="1625"/>
      <c r="AG24" s="1625"/>
      <c r="AH24" s="1625"/>
      <c r="AI24" s="1625"/>
      <c r="AJ24" s="1625"/>
      <c r="AK24" s="1625"/>
      <c r="AL24" s="1625"/>
      <c r="AM24" s="1625"/>
      <c r="AN24" s="1625"/>
      <c r="AO24" s="109"/>
      <c r="AP24" s="109"/>
      <c r="AQ24" s="109"/>
      <c r="AR24" s="109"/>
      <c r="AS24" s="109"/>
      <c r="AT24" s="109"/>
      <c r="AU24" s="109"/>
      <c r="AV24" s="109"/>
      <c r="AW24" s="109"/>
      <c r="AX24" s="109"/>
      <c r="AY24" s="109"/>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row>
    <row r="25" spans="1:78" ht="21" customHeight="1">
      <c r="A25" s="59"/>
      <c r="B25" s="527"/>
      <c r="C25" s="1548" t="s">
        <v>1895</v>
      </c>
      <c r="D25" s="174"/>
      <c r="E25" s="174"/>
      <c r="F25" s="174"/>
      <c r="G25" s="174"/>
      <c r="H25" s="174"/>
      <c r="I25" s="174"/>
      <c r="J25" s="174"/>
      <c r="K25" s="174"/>
      <c r="L25" s="174"/>
      <c r="M25" s="174"/>
      <c r="N25" s="174"/>
      <c r="O25" s="174"/>
      <c r="P25" s="174"/>
      <c r="Q25" s="174"/>
      <c r="R25" s="174"/>
      <c r="S25" s="174"/>
      <c r="T25" s="174"/>
      <c r="U25" s="174"/>
      <c r="V25" s="622"/>
      <c r="W25" s="114"/>
      <c r="X25" s="114"/>
      <c r="Y25" s="114"/>
      <c r="Z25" s="1625"/>
      <c r="AA25" s="1625"/>
      <c r="AB25" s="1625"/>
      <c r="AC25" s="1625"/>
      <c r="AD25" s="1625"/>
      <c r="AE25" s="1625"/>
      <c r="AF25" s="1625"/>
      <c r="AG25" s="1625"/>
      <c r="AH25" s="1625"/>
      <c r="AI25" s="1625"/>
      <c r="AJ25" s="1625"/>
      <c r="AK25" s="1625"/>
      <c r="AL25" s="1625"/>
      <c r="AM25" s="1625"/>
      <c r="AN25" s="1625"/>
      <c r="AO25" s="109"/>
      <c r="AP25" s="109"/>
      <c r="AQ25" s="109"/>
      <c r="AR25" s="109"/>
      <c r="AS25" s="109"/>
      <c r="AT25" s="109"/>
      <c r="AU25" s="109"/>
      <c r="AV25" s="109"/>
      <c r="AW25" s="109"/>
      <c r="AX25" s="109"/>
      <c r="AY25" s="109"/>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row>
    <row r="26" spans="1:78" ht="14.25" customHeight="1">
      <c r="A26" s="59"/>
      <c r="B26" s="527"/>
      <c r="C26" s="114"/>
      <c r="D26" s="114"/>
      <c r="E26" s="114"/>
      <c r="F26" s="114"/>
      <c r="G26" s="114"/>
      <c r="H26" s="114"/>
      <c r="I26" s="114"/>
      <c r="J26" s="114"/>
      <c r="K26" s="114"/>
      <c r="L26" s="114"/>
      <c r="M26" s="114"/>
      <c r="N26" s="114"/>
      <c r="O26" s="114"/>
      <c r="P26" s="114"/>
      <c r="Q26" s="114"/>
      <c r="R26" s="114"/>
      <c r="S26" s="114"/>
      <c r="T26" s="114"/>
      <c r="U26" s="114"/>
      <c r="V26" s="533"/>
      <c r="W26" s="114"/>
      <c r="X26" s="114"/>
      <c r="Y26" s="114"/>
      <c r="Z26" s="603" t="str">
        <f>IF('Data Entry'!A77=1,"X",0)</f>
        <v>X</v>
      </c>
      <c r="AA26" s="625" t="str">
        <f>IF('Data Entry'!A77=1,"Missing Project Status",0)</f>
        <v>Missing Project Status</v>
      </c>
      <c r="AB26" s="114"/>
      <c r="AC26" s="114"/>
      <c r="AD26" s="114"/>
      <c r="AE26" s="114"/>
      <c r="AF26" s="114"/>
      <c r="AG26" s="114"/>
      <c r="AH26" s="114"/>
      <c r="AI26" s="114"/>
      <c r="AJ26" s="114"/>
      <c r="AK26" s="114"/>
      <c r="AL26" s="114"/>
      <c r="AM26" s="114"/>
      <c r="AN26" s="114"/>
      <c r="AO26" s="109"/>
      <c r="AP26" s="109"/>
      <c r="AQ26" s="109"/>
      <c r="AR26" s="109"/>
      <c r="AS26" s="109"/>
      <c r="AT26" s="109"/>
      <c r="AU26" s="109"/>
      <c r="AV26" s="109"/>
      <c r="AW26" s="109"/>
      <c r="AX26" s="109"/>
      <c r="AY26" s="109"/>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row>
    <row r="27" spans="1:78" ht="15" customHeight="1">
      <c r="A27" s="59"/>
      <c r="B27" s="528"/>
      <c r="C27" s="841" t="s">
        <v>0</v>
      </c>
      <c r="D27" s="114"/>
      <c r="E27" s="1621" t="s">
        <v>732</v>
      </c>
      <c r="F27" s="1621"/>
      <c r="G27" s="1621"/>
      <c r="H27" s="1621"/>
      <c r="I27" s="1621"/>
      <c r="J27" s="1621"/>
      <c r="K27" s="1621"/>
      <c r="L27" s="1621"/>
      <c r="M27" s="1621"/>
      <c r="N27" s="1621"/>
      <c r="O27" s="1621"/>
      <c r="P27" s="1621"/>
      <c r="Q27" s="1621"/>
      <c r="R27" s="1621"/>
      <c r="S27" s="1621"/>
      <c r="T27" s="1621"/>
      <c r="U27" s="1621"/>
      <c r="V27" s="1622"/>
      <c r="W27" s="114"/>
      <c r="X27" s="114"/>
      <c r="Y27" s="114"/>
      <c r="Z27" s="603" t="str">
        <f>IF('Data Entry'!A78=1,"X",0)</f>
        <v>X</v>
      </c>
      <c r="AA27" s="625" t="str">
        <f>IF('Data Entry'!A78=1,"Missing Start Date",0)</f>
        <v>Missing Start Date</v>
      </c>
      <c r="AB27" s="114"/>
      <c r="AC27" s="114"/>
      <c r="AD27" s="114"/>
      <c r="AE27" s="114"/>
      <c r="AF27" s="114"/>
      <c r="AG27" s="114"/>
      <c r="AH27" s="114"/>
      <c r="AI27" s="114"/>
      <c r="AJ27" s="114"/>
      <c r="AK27" s="114"/>
      <c r="AL27" s="114"/>
      <c r="AM27" s="114"/>
      <c r="AN27" s="114"/>
      <c r="AO27" s="109"/>
      <c r="AP27" s="109"/>
      <c r="AQ27" s="109"/>
      <c r="AR27" s="109"/>
      <c r="AS27" s="109"/>
      <c r="AT27" s="109"/>
      <c r="AU27" s="109"/>
      <c r="AV27" s="109"/>
      <c r="AW27" s="109"/>
      <c r="AX27" s="109"/>
      <c r="AY27" s="109"/>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row>
    <row r="28" spans="1:78" ht="15" customHeight="1">
      <c r="A28" s="59"/>
      <c r="B28" s="527"/>
      <c r="C28" s="114"/>
      <c r="D28" s="114"/>
      <c r="E28" s="114"/>
      <c r="F28" s="114"/>
      <c r="G28" s="114"/>
      <c r="H28" s="114"/>
      <c r="I28" s="114"/>
      <c r="J28" s="114"/>
      <c r="K28" s="114"/>
      <c r="L28" s="114"/>
      <c r="M28" s="114"/>
      <c r="N28" s="114"/>
      <c r="O28" s="114"/>
      <c r="P28" s="114"/>
      <c r="Q28" s="114"/>
      <c r="R28" s="114"/>
      <c r="S28" s="114"/>
      <c r="T28" s="114"/>
      <c r="U28" s="114"/>
      <c r="V28" s="533"/>
      <c r="W28" s="114"/>
      <c r="X28" s="114"/>
      <c r="Y28" s="114"/>
      <c r="Z28" s="603" t="str">
        <f>IF('Data Entry'!A79=1,"X",0)</f>
        <v>X</v>
      </c>
      <c r="AA28" s="625" t="str">
        <f>IF('Data Entry'!A79=1,"Missing Completion Date",0)</f>
        <v>Missing Completion Date</v>
      </c>
      <c r="AB28" s="114"/>
      <c r="AC28" s="114"/>
      <c r="AD28" s="114"/>
      <c r="AE28" s="114"/>
      <c r="AF28" s="114"/>
      <c r="AG28" s="114"/>
      <c r="AH28" s="114"/>
      <c r="AI28" s="114"/>
      <c r="AJ28" s="114"/>
      <c r="AK28" s="114"/>
      <c r="AL28" s="114"/>
      <c r="AM28" s="114"/>
      <c r="AN28" s="114"/>
      <c r="AO28" s="109"/>
      <c r="AP28" s="109"/>
      <c r="AQ28" s="109"/>
      <c r="AR28" s="109"/>
      <c r="AS28" s="109"/>
      <c r="AT28" s="109"/>
      <c r="AU28" s="109"/>
      <c r="AV28" s="109"/>
      <c r="AW28" s="109"/>
      <c r="AX28" s="109"/>
      <c r="AY28" s="109"/>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row>
    <row r="29" spans="1:78" ht="15" customHeight="1">
      <c r="A29" s="59"/>
      <c r="B29" s="527"/>
      <c r="C29" s="841"/>
      <c r="D29" s="114"/>
      <c r="E29" s="1621" t="s">
        <v>733</v>
      </c>
      <c r="F29" s="1621"/>
      <c r="G29" s="1621"/>
      <c r="H29" s="1621"/>
      <c r="I29" s="1621"/>
      <c r="J29" s="1621"/>
      <c r="K29" s="1621"/>
      <c r="L29" s="1621"/>
      <c r="M29" s="1621"/>
      <c r="N29" s="1621"/>
      <c r="O29" s="1621"/>
      <c r="P29" s="1621"/>
      <c r="Q29" s="1621"/>
      <c r="R29" s="1621"/>
      <c r="S29" s="1621"/>
      <c r="T29" s="1621"/>
      <c r="U29" s="1621"/>
      <c r="V29" s="1622"/>
      <c r="W29" s="114"/>
      <c r="X29" s="114"/>
      <c r="Y29" s="114"/>
      <c r="Z29" s="603" t="str">
        <f>IF('Data Entry'!A95=1,"X",0)</f>
        <v>X</v>
      </c>
      <c r="AA29" s="625" t="str">
        <f>IF('Data Entry'!A95=1,"Missing Project Submitter Company Name",0)</f>
        <v>Missing Project Submitter Company Name</v>
      </c>
      <c r="AB29" s="174"/>
      <c r="AC29" s="174"/>
      <c r="AD29" s="174"/>
      <c r="AE29" s="174"/>
      <c r="AF29" s="174"/>
      <c r="AG29" s="174"/>
      <c r="AH29" s="174"/>
      <c r="AI29" s="174"/>
      <c r="AJ29" s="174"/>
      <c r="AK29" s="174"/>
      <c r="AL29" s="174"/>
      <c r="AM29" s="174"/>
      <c r="AN29" s="174"/>
      <c r="AO29" s="109"/>
      <c r="AP29" s="109"/>
      <c r="AQ29" s="109"/>
      <c r="AR29" s="109"/>
      <c r="AS29" s="109"/>
      <c r="AT29" s="109"/>
      <c r="AU29" s="109"/>
      <c r="AV29" s="109"/>
      <c r="AW29" s="109"/>
      <c r="AX29" s="109"/>
      <c r="AY29" s="109"/>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row>
    <row r="30" spans="1:78" ht="15" customHeight="1">
      <c r="A30" s="59"/>
      <c r="B30" s="527"/>
      <c r="C30" s="114"/>
      <c r="D30" s="114"/>
      <c r="E30" s="114"/>
      <c r="F30" s="114"/>
      <c r="G30" s="114"/>
      <c r="H30" s="114"/>
      <c r="I30" s="114"/>
      <c r="J30" s="114"/>
      <c r="K30" s="114"/>
      <c r="L30" s="114"/>
      <c r="M30" s="114"/>
      <c r="N30" s="114"/>
      <c r="O30" s="114"/>
      <c r="P30" s="114"/>
      <c r="Q30" s="114"/>
      <c r="R30" s="114"/>
      <c r="S30" s="114"/>
      <c r="T30" s="114"/>
      <c r="U30" s="114"/>
      <c r="V30" s="533"/>
      <c r="W30" s="114"/>
      <c r="X30" s="114"/>
      <c r="Y30" s="114"/>
      <c r="Z30" s="603" t="str">
        <f>IF('Data Entry'!A96=1,"X",0)</f>
        <v>X</v>
      </c>
      <c r="AA30" s="625" t="str">
        <f>IF('Data Entry'!A96=1,"Missing Project Submitter Contact Name",0)</f>
        <v>Missing Project Submitter Contact Name</v>
      </c>
      <c r="AB30" s="174"/>
      <c r="AC30" s="174"/>
      <c r="AD30" s="174"/>
      <c r="AE30" s="174"/>
      <c r="AF30" s="174"/>
      <c r="AG30" s="174"/>
      <c r="AH30" s="174"/>
      <c r="AI30" s="174"/>
      <c r="AJ30" s="174"/>
      <c r="AK30" s="174"/>
      <c r="AL30" s="174"/>
      <c r="AM30" s="174"/>
      <c r="AN30" s="174"/>
      <c r="AO30" s="109"/>
      <c r="AP30" s="109"/>
      <c r="AQ30" s="109"/>
      <c r="AR30" s="109"/>
      <c r="AS30" s="109"/>
      <c r="AT30" s="109"/>
      <c r="AU30" s="109"/>
      <c r="AV30" s="109"/>
      <c r="AW30" s="109"/>
      <c r="AX30" s="109"/>
      <c r="AY30" s="109"/>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row>
    <row r="31" spans="1:78" ht="15" customHeight="1">
      <c r="A31" s="59"/>
      <c r="B31" s="527"/>
      <c r="C31" s="841"/>
      <c r="D31" s="114"/>
      <c r="E31" s="1621" t="s">
        <v>734</v>
      </c>
      <c r="F31" s="1621"/>
      <c r="G31" s="1621"/>
      <c r="H31" s="1621"/>
      <c r="I31" s="1621"/>
      <c r="J31" s="1621"/>
      <c r="K31" s="1621"/>
      <c r="L31" s="1621"/>
      <c r="M31" s="1621"/>
      <c r="N31" s="1621"/>
      <c r="O31" s="1621"/>
      <c r="P31" s="1621"/>
      <c r="Q31" s="1621"/>
      <c r="R31" s="1621"/>
      <c r="S31" s="1621"/>
      <c r="T31" s="1621"/>
      <c r="U31" s="1621"/>
      <c r="V31" s="1622"/>
      <c r="W31" s="114"/>
      <c r="X31" s="114"/>
      <c r="Y31" s="114"/>
      <c r="Z31" s="603" t="str">
        <f>IF('Data Entry'!A97=1,"X",0)</f>
        <v>X</v>
      </c>
      <c r="AA31" s="625" t="str">
        <f>IF('Data Entry'!A97=1,"Missing Project Submitter Phone",0)</f>
        <v>Missing Project Submitter Phone</v>
      </c>
      <c r="AB31" s="174"/>
      <c r="AC31" s="174"/>
      <c r="AD31" s="174"/>
      <c r="AE31" s="174"/>
      <c r="AF31" s="174"/>
      <c r="AG31" s="174"/>
      <c r="AH31" s="174"/>
      <c r="AI31" s="174"/>
      <c r="AJ31" s="174"/>
      <c r="AK31" s="174"/>
      <c r="AL31" s="174"/>
      <c r="AM31" s="174"/>
      <c r="AN31" s="174"/>
      <c r="AO31" s="109"/>
      <c r="AP31" s="109"/>
      <c r="AQ31" s="109"/>
      <c r="AR31" s="109"/>
      <c r="AS31" s="109"/>
      <c r="AT31" s="109"/>
      <c r="AU31" s="109"/>
      <c r="AV31" s="109"/>
      <c r="AW31" s="109"/>
      <c r="AX31" s="109"/>
      <c r="AY31" s="109"/>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row>
    <row r="32" spans="1:78" ht="15" customHeight="1">
      <c r="A32" s="59"/>
      <c r="B32" s="529"/>
      <c r="C32" s="157"/>
      <c r="D32" s="114"/>
      <c r="E32" s="114"/>
      <c r="F32" s="114"/>
      <c r="G32" s="114"/>
      <c r="H32" s="114"/>
      <c r="I32" s="114"/>
      <c r="J32" s="114"/>
      <c r="K32" s="114"/>
      <c r="L32" s="114"/>
      <c r="M32" s="114"/>
      <c r="N32" s="114"/>
      <c r="O32" s="114"/>
      <c r="P32" s="114"/>
      <c r="Q32" s="114"/>
      <c r="R32" s="114"/>
      <c r="S32" s="114"/>
      <c r="T32" s="114"/>
      <c r="U32" s="114"/>
      <c r="V32" s="533"/>
      <c r="W32" s="114"/>
      <c r="X32" s="114"/>
      <c r="Y32" s="114"/>
      <c r="Z32" s="603" t="str">
        <f>IF('Data Entry'!A98=1,"X",0)</f>
        <v>X</v>
      </c>
      <c r="AA32" s="625" t="str">
        <f>IF('Data Entry'!A98=1,"Missing Project Submitter Email",0)</f>
        <v>Missing Project Submitter Email</v>
      </c>
      <c r="AB32" s="174"/>
      <c r="AC32" s="174"/>
      <c r="AD32" s="174"/>
      <c r="AE32" s="174"/>
      <c r="AF32" s="174"/>
      <c r="AG32" s="174"/>
      <c r="AH32" s="174"/>
      <c r="AI32" s="174"/>
      <c r="AJ32" s="174"/>
      <c r="AK32" s="174"/>
      <c r="AL32" s="174"/>
      <c r="AM32" s="174"/>
      <c r="AN32" s="174"/>
      <c r="AO32" s="109"/>
      <c r="AP32" s="109"/>
      <c r="AQ32" s="109"/>
      <c r="AR32" s="109"/>
      <c r="AS32" s="109"/>
      <c r="AT32" s="109"/>
      <c r="AU32" s="109"/>
      <c r="AV32" s="109"/>
      <c r="AW32" s="109"/>
      <c r="AX32" s="109"/>
      <c r="AY32" s="109"/>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row>
    <row r="33" spans="1:78" ht="15" customHeight="1">
      <c r="A33" s="59"/>
      <c r="B33" s="527"/>
      <c r="C33" s="535" t="s">
        <v>1620</v>
      </c>
      <c r="D33" s="114"/>
      <c r="E33" s="114"/>
      <c r="F33" s="114"/>
      <c r="G33" s="114"/>
      <c r="H33" s="114"/>
      <c r="I33" s="114"/>
      <c r="J33" s="114"/>
      <c r="K33" s="114"/>
      <c r="L33" s="114"/>
      <c r="M33" s="114"/>
      <c r="N33" s="114"/>
      <c r="O33" s="114"/>
      <c r="P33" s="114"/>
      <c r="Q33" s="114"/>
      <c r="R33" s="114"/>
      <c r="S33" s="114"/>
      <c r="T33" s="114"/>
      <c r="U33" s="114"/>
      <c r="V33" s="533"/>
      <c r="W33" s="114"/>
      <c r="X33" s="114"/>
      <c r="Y33" s="114"/>
      <c r="Z33" s="603" t="str">
        <f>IF('Data Entry'!A80=1,"X",0)</f>
        <v>X</v>
      </c>
      <c r="AA33" s="625" t="str">
        <f>IF('Data Entry'!A80=1,"Missing Customer Name",0)</f>
        <v>Missing Customer Name</v>
      </c>
      <c r="AB33" s="114"/>
      <c r="AC33" s="114"/>
      <c r="AD33" s="114"/>
      <c r="AE33" s="114"/>
      <c r="AF33" s="114"/>
      <c r="AG33" s="114"/>
      <c r="AH33" s="114"/>
      <c r="AI33" s="114"/>
      <c r="AJ33" s="114"/>
      <c r="AK33" s="114"/>
      <c r="AL33" s="114"/>
      <c r="AM33" s="114"/>
      <c r="AN33" s="114"/>
      <c r="AO33" s="109"/>
      <c r="AP33" s="109"/>
      <c r="AQ33" s="109"/>
      <c r="AR33" s="109"/>
      <c r="AS33" s="109"/>
      <c r="AT33" s="109"/>
      <c r="AU33" s="109"/>
      <c r="AV33" s="109"/>
      <c r="AW33" s="109"/>
      <c r="AX33" s="109"/>
      <c r="AY33" s="109"/>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row>
    <row r="34" spans="1:78" ht="15" customHeight="1">
      <c r="A34" s="59"/>
      <c r="B34" s="528"/>
      <c r="C34" s="114"/>
      <c r="D34" s="114"/>
      <c r="E34" s="114"/>
      <c r="F34" s="114"/>
      <c r="G34" s="114"/>
      <c r="H34" s="114"/>
      <c r="I34" s="114"/>
      <c r="J34" s="114"/>
      <c r="K34" s="114"/>
      <c r="L34" s="114"/>
      <c r="M34" s="114"/>
      <c r="N34" s="114"/>
      <c r="O34" s="114"/>
      <c r="P34" s="114"/>
      <c r="Q34" s="114"/>
      <c r="R34" s="114"/>
      <c r="S34" s="114"/>
      <c r="T34" s="114"/>
      <c r="U34" s="114"/>
      <c r="V34" s="533"/>
      <c r="W34" s="114"/>
      <c r="X34" s="114"/>
      <c r="Y34" s="114"/>
      <c r="Z34" s="603" t="str">
        <f>IF('Data Entry'!A81=1,"X",IF(ISNUMBER(SEARCH("begin",AA34)),"X",0))</f>
        <v>X</v>
      </c>
      <c r="AA34" s="625" t="str">
        <f>IF('Data Entry'!A81=1,"Missing Account/Meter Number",IF(AND('Data Entry'!BB3=1,'Data Entry'!BB4=1),"Account Number should begin with a 2",0))</f>
        <v>Missing Account/Meter Number</v>
      </c>
      <c r="AB34" s="114"/>
      <c r="AC34" s="114"/>
      <c r="AD34" s="114"/>
      <c r="AE34" s="114"/>
      <c r="AF34" s="114"/>
      <c r="AG34" s="114"/>
      <c r="AH34" s="114"/>
      <c r="AI34" s="114"/>
      <c r="AJ34" s="114"/>
      <c r="AK34" s="114"/>
      <c r="AL34" s="114"/>
      <c r="AM34" s="114"/>
      <c r="AN34" s="114"/>
      <c r="AO34" s="109"/>
      <c r="AP34" s="109"/>
      <c r="AQ34" s="109"/>
      <c r="AR34" s="109"/>
      <c r="AS34" s="109"/>
      <c r="AT34" s="109"/>
      <c r="AU34" s="109"/>
      <c r="AV34" s="109"/>
      <c r="AW34" s="109"/>
      <c r="AX34" s="109"/>
      <c r="AY34" s="109"/>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row>
    <row r="35" spans="1:78" ht="15" customHeight="1">
      <c r="A35" s="59"/>
      <c r="B35" s="527"/>
      <c r="C35" s="841"/>
      <c r="D35" s="114"/>
      <c r="E35" s="114" t="s">
        <v>777</v>
      </c>
      <c r="F35" s="114"/>
      <c r="G35" s="114"/>
      <c r="H35" s="114"/>
      <c r="I35" s="114"/>
      <c r="J35" s="114"/>
      <c r="K35" s="114"/>
      <c r="L35" s="114"/>
      <c r="M35" s="114"/>
      <c r="N35" s="114"/>
      <c r="O35" s="114"/>
      <c r="P35" s="114"/>
      <c r="Q35" s="114"/>
      <c r="R35" s="114"/>
      <c r="S35" s="114"/>
      <c r="T35" s="114"/>
      <c r="U35" s="114"/>
      <c r="V35" s="533"/>
      <c r="W35" s="114"/>
      <c r="X35" s="114"/>
      <c r="Y35" s="114"/>
      <c r="Z35" s="603" t="str">
        <f>IF('Data Entry'!A83=1,"X",0)</f>
        <v>X</v>
      </c>
      <c r="AA35" s="625" t="str">
        <f>IF('Data Entry'!A83=1,"Missing Building Type",0)</f>
        <v>Missing Building Type</v>
      </c>
      <c r="AB35" s="114"/>
      <c r="AC35" s="114"/>
      <c r="AD35" s="114"/>
      <c r="AE35" s="114"/>
      <c r="AF35" s="114"/>
      <c r="AG35" s="114"/>
      <c r="AH35" s="114"/>
      <c r="AI35" s="114"/>
      <c r="AJ35" s="114"/>
      <c r="AK35" s="114"/>
      <c r="AL35" s="114"/>
      <c r="AM35" s="114"/>
      <c r="AN35" s="114"/>
      <c r="AO35" s="109"/>
      <c r="AP35" s="109"/>
      <c r="AQ35" s="109"/>
      <c r="AR35" s="109"/>
      <c r="AS35" s="109"/>
      <c r="AT35" s="109"/>
      <c r="AU35" s="109"/>
      <c r="AV35" s="109"/>
      <c r="AW35" s="109"/>
      <c r="AX35" s="109"/>
      <c r="AY35" s="109"/>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row>
    <row r="36" spans="1:78" ht="15" customHeight="1">
      <c r="A36" s="59"/>
      <c r="B36" s="527"/>
      <c r="C36" s="114"/>
      <c r="D36" s="114"/>
      <c r="E36" s="114"/>
      <c r="F36" s="114"/>
      <c r="G36" s="114"/>
      <c r="H36" s="114"/>
      <c r="I36" s="114"/>
      <c r="J36" s="114"/>
      <c r="K36" s="114"/>
      <c r="L36" s="114"/>
      <c r="M36" s="114"/>
      <c r="N36" s="114"/>
      <c r="O36" s="114"/>
      <c r="P36" s="114"/>
      <c r="Q36" s="114"/>
      <c r="R36" s="114"/>
      <c r="S36" s="114"/>
      <c r="T36" s="114"/>
      <c r="U36" s="114"/>
      <c r="V36" s="533"/>
      <c r="W36" s="114"/>
      <c r="X36" s="114"/>
      <c r="Y36" s="114"/>
      <c r="Z36" s="603" t="str">
        <f>IF('Data Entry'!A82=1,"X",0)</f>
        <v>X</v>
      </c>
      <c r="AA36" s="631" t="str">
        <f>IF('Data Entry'!A82=1,"Missing Project Site Address",0)</f>
        <v>Missing Project Site Address</v>
      </c>
      <c r="AB36" s="114"/>
      <c r="AC36" s="114"/>
      <c r="AD36" s="114"/>
      <c r="AE36" s="114"/>
      <c r="AF36" s="114"/>
      <c r="AG36" s="114"/>
      <c r="AH36" s="114"/>
      <c r="AI36" s="114"/>
      <c r="AJ36" s="114"/>
      <c r="AK36" s="114"/>
      <c r="AL36" s="114"/>
      <c r="AM36" s="114"/>
      <c r="AN36" s="114"/>
      <c r="AO36" s="109"/>
      <c r="AP36" s="109"/>
      <c r="AQ36" s="109"/>
      <c r="AR36" s="109"/>
      <c r="AS36" s="109"/>
      <c r="AT36" s="109"/>
      <c r="AU36" s="109"/>
      <c r="AV36" s="109"/>
      <c r="AW36" s="109"/>
      <c r="AX36" s="109"/>
      <c r="AY36" s="109"/>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row>
    <row r="37" spans="1:78" ht="15" customHeight="1">
      <c r="A37" s="59"/>
      <c r="B37" s="527"/>
      <c r="C37" s="841"/>
      <c r="D37" s="114"/>
      <c r="E37" s="612" t="s">
        <v>733</v>
      </c>
      <c r="F37" s="612"/>
      <c r="G37" s="612"/>
      <c r="H37" s="612"/>
      <c r="I37" s="612"/>
      <c r="J37" s="612"/>
      <c r="K37" s="612"/>
      <c r="L37" s="612"/>
      <c r="M37" s="612"/>
      <c r="N37" s="612"/>
      <c r="O37" s="612"/>
      <c r="P37" s="612"/>
      <c r="Q37" s="612"/>
      <c r="R37" s="612"/>
      <c r="S37" s="612"/>
      <c r="T37" s="612"/>
      <c r="U37" s="612"/>
      <c r="V37" s="613"/>
      <c r="W37" s="114"/>
      <c r="X37" s="114"/>
      <c r="Y37" s="114"/>
      <c r="Z37" s="603" t="str">
        <f>IF('Data Entry'!A84=1,"X",0)</f>
        <v>X</v>
      </c>
      <c r="AA37" s="625" t="str">
        <f>IF('Data Entry'!A84=1,"Missing City",0)</f>
        <v>Missing City</v>
      </c>
      <c r="AB37" s="114"/>
      <c r="AC37" s="114"/>
      <c r="AD37" s="114"/>
      <c r="AE37" s="114"/>
      <c r="AF37" s="114"/>
      <c r="AG37" s="114"/>
      <c r="AH37" s="114"/>
      <c r="AI37" s="114"/>
      <c r="AJ37" s="114"/>
      <c r="AK37" s="114"/>
      <c r="AL37" s="114"/>
      <c r="AM37" s="114"/>
      <c r="AN37" s="114"/>
      <c r="AO37" s="109"/>
      <c r="AP37" s="109"/>
      <c r="AQ37" s="109"/>
      <c r="AR37" s="109"/>
      <c r="AS37" s="109"/>
      <c r="AT37" s="109"/>
      <c r="AU37" s="109"/>
      <c r="AV37" s="109"/>
      <c r="AW37" s="109"/>
      <c r="AX37" s="109"/>
      <c r="AY37" s="109"/>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row>
    <row r="38" spans="1:78" ht="15" customHeight="1">
      <c r="A38" s="59"/>
      <c r="B38" s="527"/>
      <c r="C38" s="59"/>
      <c r="D38" s="59"/>
      <c r="E38" s="59"/>
      <c r="F38" s="59"/>
      <c r="G38" s="59"/>
      <c r="H38" s="59"/>
      <c r="I38" s="59"/>
      <c r="J38" s="59"/>
      <c r="K38" s="59"/>
      <c r="L38" s="59"/>
      <c r="M38" s="59"/>
      <c r="N38" s="59"/>
      <c r="O38" s="59"/>
      <c r="P38" s="59"/>
      <c r="Q38" s="59"/>
      <c r="R38" s="59"/>
      <c r="S38" s="59"/>
      <c r="T38" s="59"/>
      <c r="U38" s="59"/>
      <c r="V38" s="534"/>
      <c r="W38" s="114"/>
      <c r="X38" s="114"/>
      <c r="Y38" s="114"/>
      <c r="Z38" s="603" t="str">
        <f>IF('Data Entry'!A85=1,"X",0)</f>
        <v>X</v>
      </c>
      <c r="AA38" s="625" t="str">
        <f>IF('Data Entry'!A85=1,"Missing State",0)</f>
        <v>Missing State</v>
      </c>
      <c r="AB38" s="114"/>
      <c r="AC38" s="114"/>
      <c r="AD38" s="114"/>
      <c r="AE38" s="114"/>
      <c r="AF38" s="114"/>
      <c r="AG38" s="114"/>
      <c r="AH38" s="114"/>
      <c r="AI38" s="114"/>
      <c r="AJ38" s="114"/>
      <c r="AK38" s="114"/>
      <c r="AL38" s="114"/>
      <c r="AM38" s="114"/>
      <c r="AN38" s="114"/>
      <c r="AO38" s="109"/>
      <c r="AP38" s="109"/>
      <c r="AQ38" s="109"/>
      <c r="AR38" s="109"/>
      <c r="AS38" s="109"/>
      <c r="AT38" s="109"/>
      <c r="AU38" s="109"/>
      <c r="AV38" s="109"/>
      <c r="AW38" s="109"/>
      <c r="AX38" s="109"/>
      <c r="AY38" s="109"/>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row>
    <row r="39" spans="1:78" ht="15" customHeight="1">
      <c r="A39" s="59"/>
      <c r="B39" s="528"/>
      <c r="C39" s="841"/>
      <c r="D39" s="114"/>
      <c r="E39" s="612" t="s">
        <v>781</v>
      </c>
      <c r="F39" s="612"/>
      <c r="G39" s="612"/>
      <c r="H39" s="612"/>
      <c r="I39" s="612"/>
      <c r="J39" s="612"/>
      <c r="K39" s="612"/>
      <c r="L39" s="612"/>
      <c r="M39" s="612"/>
      <c r="N39" s="612"/>
      <c r="O39" s="612"/>
      <c r="P39" s="612"/>
      <c r="Q39" s="612"/>
      <c r="R39" s="612"/>
      <c r="S39" s="612"/>
      <c r="T39" s="612"/>
      <c r="U39" s="612"/>
      <c r="V39" s="613"/>
      <c r="W39" s="114"/>
      <c r="X39" s="114"/>
      <c r="Y39" s="114"/>
      <c r="Z39" s="603" t="str">
        <f>IF('Data Entry'!A86=1,"X",0)</f>
        <v>X</v>
      </c>
      <c r="AA39" s="625" t="str">
        <f>IF('Data Entry'!A86=1,"Missing Zip Code",0)</f>
        <v>Missing Zip Code</v>
      </c>
      <c r="AB39" s="114"/>
      <c r="AC39" s="114"/>
      <c r="AD39" s="114"/>
      <c r="AE39" s="114"/>
      <c r="AF39" s="114"/>
      <c r="AG39" s="114"/>
      <c r="AH39" s="114"/>
      <c r="AI39" s="114"/>
      <c r="AJ39" s="114"/>
      <c r="AK39" s="114"/>
      <c r="AL39" s="114"/>
      <c r="AM39" s="114"/>
      <c r="AN39" s="114"/>
      <c r="AO39" s="109"/>
      <c r="AP39" s="109"/>
      <c r="AQ39" s="109"/>
      <c r="AR39" s="109"/>
      <c r="AS39" s="109"/>
      <c r="AT39" s="109"/>
      <c r="AU39" s="109"/>
      <c r="AV39" s="109"/>
      <c r="AW39" s="109"/>
      <c r="AX39" s="109"/>
      <c r="AY39" s="109"/>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row>
    <row r="40" spans="1:78" ht="15" customHeight="1">
      <c r="A40" s="59"/>
      <c r="B40" s="527"/>
      <c r="C40" s="59"/>
      <c r="D40" s="59"/>
      <c r="E40" s="59"/>
      <c r="F40" s="59"/>
      <c r="G40" s="59"/>
      <c r="H40" s="59"/>
      <c r="I40" s="59"/>
      <c r="J40" s="59"/>
      <c r="K40" s="59"/>
      <c r="L40" s="59"/>
      <c r="M40" s="59"/>
      <c r="N40" s="59"/>
      <c r="O40" s="59"/>
      <c r="P40" s="59"/>
      <c r="Q40" s="59"/>
      <c r="R40" s="59"/>
      <c r="S40" s="59"/>
      <c r="T40" s="59"/>
      <c r="U40" s="59"/>
      <c r="V40" s="534"/>
      <c r="W40" s="114"/>
      <c r="X40" s="114"/>
      <c r="Y40" s="114"/>
      <c r="Z40" s="603" t="str">
        <f>IF('Data Entry'!A87=1,"X",0)</f>
        <v>X</v>
      </c>
      <c r="AA40" s="625" t="str">
        <f>IF('Data Entry'!A87=1,"Missing Customer Contact Name",0)</f>
        <v>Missing Customer Contact Name</v>
      </c>
      <c r="AB40" s="114"/>
      <c r="AC40" s="114"/>
      <c r="AD40" s="114"/>
      <c r="AE40" s="114"/>
      <c r="AF40" s="114"/>
      <c r="AG40" s="114"/>
      <c r="AH40" s="114"/>
      <c r="AI40" s="114"/>
      <c r="AJ40" s="114"/>
      <c r="AK40" s="114"/>
      <c r="AL40" s="114"/>
      <c r="AM40" s="114"/>
      <c r="AN40" s="114"/>
      <c r="AO40" s="109"/>
      <c r="AP40" s="109"/>
      <c r="AQ40" s="109"/>
      <c r="AR40" s="109"/>
      <c r="AS40" s="109"/>
      <c r="AT40" s="109"/>
      <c r="AU40" s="109"/>
      <c r="AV40" s="109"/>
      <c r="AW40" s="109"/>
      <c r="AX40" s="109"/>
      <c r="AY40" s="109"/>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row>
    <row r="41" spans="1:78" ht="15" customHeight="1">
      <c r="A41" s="59"/>
      <c r="B41" s="527"/>
      <c r="C41" s="841"/>
      <c r="D41" s="114"/>
      <c r="E41" s="612" t="s">
        <v>734</v>
      </c>
      <c r="F41" s="612"/>
      <c r="G41" s="612"/>
      <c r="H41" s="612"/>
      <c r="I41" s="612"/>
      <c r="J41" s="612"/>
      <c r="K41" s="612"/>
      <c r="L41" s="612"/>
      <c r="M41" s="612"/>
      <c r="N41" s="612"/>
      <c r="O41" s="612"/>
      <c r="P41" s="612"/>
      <c r="Q41" s="612"/>
      <c r="R41" s="612"/>
      <c r="S41" s="612"/>
      <c r="T41" s="612"/>
      <c r="U41" s="612"/>
      <c r="V41" s="613"/>
      <c r="W41" s="59"/>
      <c r="X41" s="59"/>
      <c r="Y41" s="59"/>
      <c r="Z41" s="603" t="str">
        <f>IF('Data Entry'!A88=1,"X",0)</f>
        <v>X</v>
      </c>
      <c r="AA41" s="625" t="str">
        <f>IF('Data Entry'!A88=1,"Missing Customer Title",0)</f>
        <v>Missing Customer Title</v>
      </c>
      <c r="AB41" s="114"/>
      <c r="AC41" s="114"/>
      <c r="AD41" s="114"/>
      <c r="AE41" s="114"/>
      <c r="AF41" s="114"/>
      <c r="AG41" s="114"/>
      <c r="AH41" s="114"/>
      <c r="AI41" s="114"/>
      <c r="AJ41" s="114"/>
      <c r="AK41" s="114"/>
      <c r="AL41" s="114"/>
      <c r="AM41" s="114"/>
      <c r="AN41" s="114"/>
      <c r="AO41" s="109"/>
      <c r="AP41" s="109"/>
      <c r="AQ41" s="109"/>
      <c r="AR41" s="109"/>
      <c r="AS41" s="109"/>
      <c r="AT41" s="109"/>
      <c r="AU41" s="109"/>
      <c r="AV41" s="109"/>
      <c r="AW41" s="109"/>
      <c r="AX41" s="109"/>
      <c r="AY41" s="109"/>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row>
    <row r="42" spans="1:78" ht="15" customHeight="1">
      <c r="A42" s="59"/>
      <c r="B42" s="527"/>
      <c r="C42" s="59"/>
      <c r="D42" s="59"/>
      <c r="E42" s="157" t="s">
        <v>735</v>
      </c>
      <c r="F42" s="59"/>
      <c r="G42" s="59"/>
      <c r="H42" s="59"/>
      <c r="I42" s="59"/>
      <c r="J42" s="59"/>
      <c r="K42" s="59"/>
      <c r="L42" s="59"/>
      <c r="M42" s="59"/>
      <c r="N42" s="59"/>
      <c r="O42" s="59"/>
      <c r="P42" s="59"/>
      <c r="Q42" s="59"/>
      <c r="R42" s="59"/>
      <c r="S42" s="59"/>
      <c r="T42" s="59"/>
      <c r="U42" s="59"/>
      <c r="V42" s="534"/>
      <c r="W42" s="59"/>
      <c r="X42" s="59"/>
      <c r="Y42" s="59"/>
      <c r="Z42" s="603" t="str">
        <f>IF('Data Entry'!A89=1,"X",0)</f>
        <v>X</v>
      </c>
      <c r="AA42" s="625" t="str">
        <f>IF('Data Entry'!A89=1,"Missing Customer Phone",0)</f>
        <v>Missing Customer Phone</v>
      </c>
      <c r="AB42" s="114"/>
      <c r="AC42" s="114"/>
      <c r="AD42" s="114"/>
      <c r="AE42" s="114"/>
      <c r="AF42" s="114"/>
      <c r="AG42" s="114"/>
      <c r="AH42" s="114"/>
      <c r="AI42" s="114"/>
      <c r="AJ42" s="114"/>
      <c r="AK42" s="114"/>
      <c r="AL42" s="114"/>
      <c r="AM42" s="114"/>
      <c r="AN42" s="114"/>
      <c r="AO42" s="109"/>
      <c r="AP42" s="109"/>
      <c r="AQ42" s="109"/>
      <c r="AR42" s="109"/>
      <c r="AS42" s="109"/>
      <c r="AT42" s="109"/>
      <c r="AU42" s="109"/>
      <c r="AV42" s="109"/>
      <c r="AW42" s="109"/>
      <c r="AX42" s="109"/>
      <c r="AY42" s="109"/>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row>
    <row r="43" spans="1:78" ht="15" customHeight="1">
      <c r="A43" s="59"/>
      <c r="B43" s="527"/>
      <c r="C43" s="59"/>
      <c r="D43" s="59"/>
      <c r="E43" s="157"/>
      <c r="F43" s="59"/>
      <c r="G43" s="59"/>
      <c r="H43" s="59"/>
      <c r="I43" s="59"/>
      <c r="J43" s="59"/>
      <c r="K43" s="59"/>
      <c r="L43" s="59"/>
      <c r="M43" s="59"/>
      <c r="N43" s="59"/>
      <c r="O43" s="59"/>
      <c r="P43" s="59"/>
      <c r="Q43" s="59"/>
      <c r="R43" s="59"/>
      <c r="S43" s="59"/>
      <c r="T43" s="59"/>
      <c r="U43" s="59"/>
      <c r="V43" s="534"/>
      <c r="W43" s="59"/>
      <c r="X43" s="59"/>
      <c r="Y43" s="59"/>
      <c r="Z43" s="603" t="str">
        <f>IF('Data Entry'!A90=1,"X",0)</f>
        <v>X</v>
      </c>
      <c r="AA43" s="625" t="str">
        <f>IF('Data Entry'!A90=1,"Missing Customer Email",0)</f>
        <v>Missing Customer Email</v>
      </c>
      <c r="AB43" s="114"/>
      <c r="AC43" s="114"/>
      <c r="AD43" s="114"/>
      <c r="AE43" s="114"/>
      <c r="AF43" s="114"/>
      <c r="AG43" s="114"/>
      <c r="AH43" s="114"/>
      <c r="AI43" s="114"/>
      <c r="AJ43" s="114"/>
      <c r="AK43" s="114"/>
      <c r="AL43" s="114"/>
      <c r="AM43" s="114"/>
      <c r="AN43" s="114"/>
      <c r="AO43" s="109"/>
      <c r="AP43" s="109"/>
      <c r="AQ43" s="109"/>
      <c r="AR43" s="109"/>
      <c r="AS43" s="109"/>
      <c r="AT43" s="109"/>
      <c r="AU43" s="109"/>
      <c r="AV43" s="109"/>
      <c r="AW43" s="109"/>
      <c r="AX43" s="109"/>
      <c r="AY43" s="109"/>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row>
    <row r="44" spans="1:78" ht="15" customHeight="1">
      <c r="A44" s="59"/>
      <c r="B44" s="530"/>
      <c r="C44" s="841"/>
      <c r="D44" s="59"/>
      <c r="E44" s="612" t="s">
        <v>778</v>
      </c>
      <c r="F44" s="612"/>
      <c r="G44" s="612"/>
      <c r="H44" s="612"/>
      <c r="I44" s="612"/>
      <c r="J44" s="612"/>
      <c r="K44" s="612"/>
      <c r="L44" s="612"/>
      <c r="M44" s="612"/>
      <c r="N44" s="612"/>
      <c r="O44" s="612"/>
      <c r="P44" s="612"/>
      <c r="Q44" s="612"/>
      <c r="R44" s="612"/>
      <c r="S44" s="612"/>
      <c r="T44" s="612"/>
      <c r="U44" s="612"/>
      <c r="V44" s="613"/>
      <c r="W44" s="59"/>
      <c r="X44" s="59"/>
      <c r="Y44" s="59"/>
      <c r="Z44" s="603" t="str">
        <f>IF('Data Entry'!A91=1,"X",0)</f>
        <v>X</v>
      </c>
      <c r="AA44" s="625" t="str">
        <f>IF('Data Entry'!A91=1,"Missing Installation Contractor",0)</f>
        <v>Missing Installation Contractor</v>
      </c>
      <c r="AB44" s="114"/>
      <c r="AC44" s="114"/>
      <c r="AD44" s="114"/>
      <c r="AE44" s="114"/>
      <c r="AF44" s="114"/>
      <c r="AG44" s="114"/>
      <c r="AH44" s="114"/>
      <c r="AI44" s="114"/>
      <c r="AJ44" s="114"/>
      <c r="AK44" s="114"/>
      <c r="AL44" s="114"/>
      <c r="AM44" s="114"/>
      <c r="AN44" s="114"/>
      <c r="AO44" s="109"/>
      <c r="AP44" s="109"/>
      <c r="AQ44" s="109"/>
      <c r="AR44" s="109"/>
      <c r="AS44" s="109"/>
      <c r="AT44" s="109"/>
      <c r="AU44" s="109"/>
      <c r="AV44" s="109"/>
      <c r="AW44" s="109"/>
      <c r="AX44" s="109"/>
      <c r="AY44" s="109"/>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row>
    <row r="45" spans="1:78" ht="15" customHeight="1">
      <c r="A45" s="59"/>
      <c r="B45" s="530"/>
      <c r="C45" s="59"/>
      <c r="D45" s="59"/>
      <c r="E45" s="59"/>
      <c r="F45" s="59"/>
      <c r="G45" s="59"/>
      <c r="H45" s="59"/>
      <c r="I45" s="59"/>
      <c r="J45" s="59"/>
      <c r="K45" s="59"/>
      <c r="L45" s="59"/>
      <c r="M45" s="59"/>
      <c r="N45" s="59"/>
      <c r="O45" s="59"/>
      <c r="P45" s="59"/>
      <c r="Q45" s="59"/>
      <c r="R45" s="59"/>
      <c r="S45" s="59"/>
      <c r="T45" s="59"/>
      <c r="U45" s="59"/>
      <c r="V45" s="534"/>
      <c r="W45" s="59"/>
      <c r="X45" s="59"/>
      <c r="Y45" s="59"/>
      <c r="Z45" s="603" t="str">
        <f>IF('Data Entry'!A92=1,"X",0)</f>
        <v>X</v>
      </c>
      <c r="AA45" s="625" t="str">
        <f>IF('Data Entry'!A92=1,"Missing Installation Contractor License Number",0)</f>
        <v>Missing Installation Contractor License Number</v>
      </c>
      <c r="AB45" s="59"/>
      <c r="AC45" s="59"/>
      <c r="AD45" s="59"/>
      <c r="AE45" s="59"/>
      <c r="AF45" s="59"/>
      <c r="AG45" s="59"/>
      <c r="AH45" s="59"/>
      <c r="AI45" s="59"/>
      <c r="AJ45" s="59"/>
      <c r="AK45" s="59"/>
      <c r="AL45" s="59"/>
      <c r="AM45" s="59"/>
      <c r="AN45" s="59"/>
      <c r="AO45" s="109"/>
      <c r="AP45" s="109"/>
      <c r="AQ45" s="109"/>
      <c r="AR45" s="109"/>
      <c r="AS45" s="109"/>
      <c r="AT45" s="109"/>
      <c r="AU45" s="109"/>
      <c r="AV45" s="109"/>
      <c r="AW45" s="109"/>
      <c r="AX45" s="109"/>
      <c r="AY45" s="109"/>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row>
    <row r="46" spans="1:78" ht="15" customHeight="1">
      <c r="A46" s="59"/>
      <c r="B46" s="531"/>
      <c r="C46" s="535" t="s">
        <v>1629</v>
      </c>
      <c r="D46" s="59"/>
      <c r="E46" s="59"/>
      <c r="F46" s="59"/>
      <c r="G46" s="59"/>
      <c r="H46" s="59"/>
      <c r="I46" s="59"/>
      <c r="J46" s="59"/>
      <c r="K46" s="59"/>
      <c r="L46" s="59"/>
      <c r="M46" s="59"/>
      <c r="N46" s="59"/>
      <c r="O46" s="59"/>
      <c r="P46" s="59"/>
      <c r="Q46" s="59"/>
      <c r="R46" s="59"/>
      <c r="S46" s="59"/>
      <c r="T46" s="59"/>
      <c r="U46" s="59"/>
      <c r="V46" s="534"/>
      <c r="W46" s="59"/>
      <c r="X46" s="59"/>
      <c r="Y46" s="59"/>
      <c r="Z46" s="603" t="str">
        <f>IF('Data Entry'!A99=1,"X",0)</f>
        <v>X</v>
      </c>
      <c r="AA46" s="625" t="str">
        <f>IF('Data Entry'!A99=1,"Missing Installation Contractor Email",0)</f>
        <v>Missing Installation Contractor Email</v>
      </c>
      <c r="AB46" s="59"/>
      <c r="AC46" s="59"/>
      <c r="AD46" s="59"/>
      <c r="AE46" s="59"/>
      <c r="AF46" s="59"/>
      <c r="AG46" s="59"/>
      <c r="AH46" s="59"/>
      <c r="AI46" s="59"/>
      <c r="AJ46" s="59"/>
      <c r="AK46" s="59"/>
      <c r="AL46" s="59"/>
      <c r="AM46" s="59"/>
      <c r="AN46" s="59"/>
      <c r="AO46" s="109"/>
      <c r="AP46" s="109"/>
      <c r="AQ46" s="109"/>
      <c r="AR46" s="109"/>
      <c r="AS46" s="109"/>
      <c r="AT46" s="109"/>
      <c r="AU46" s="109"/>
      <c r="AV46" s="109"/>
      <c r="AW46" s="109"/>
      <c r="AX46" s="109"/>
      <c r="AY46" s="109"/>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row>
    <row r="47" spans="1:78" ht="15" customHeight="1">
      <c r="A47" s="59"/>
      <c r="B47" s="531"/>
      <c r="C47" s="59"/>
      <c r="D47" s="59"/>
      <c r="E47" s="59"/>
      <c r="F47" s="59"/>
      <c r="G47" s="59"/>
      <c r="H47" s="59"/>
      <c r="I47" s="59"/>
      <c r="J47" s="59"/>
      <c r="K47" s="59"/>
      <c r="L47" s="59"/>
      <c r="M47" s="59"/>
      <c r="N47" s="59"/>
      <c r="O47" s="59"/>
      <c r="P47" s="59"/>
      <c r="Q47" s="59"/>
      <c r="R47" s="59"/>
      <c r="S47" s="59"/>
      <c r="T47" s="59"/>
      <c r="U47" s="59"/>
      <c r="V47" s="534"/>
      <c r="W47" s="59"/>
      <c r="X47" s="59"/>
      <c r="Y47" s="59"/>
      <c r="Z47" s="603" t="str">
        <f>IF('Data Entry'!A93=1,"X",0)</f>
        <v>X</v>
      </c>
      <c r="AA47" s="625" t="str">
        <f>IF('Data Entry'!A93=1,"Missing Electrical Supplier",0)</f>
        <v>Missing Electrical Supplier</v>
      </c>
      <c r="AB47" s="59"/>
      <c r="AC47" s="59"/>
      <c r="AD47" s="59"/>
      <c r="AE47" s="59"/>
      <c r="AF47" s="59"/>
      <c r="AG47" s="59"/>
      <c r="AH47" s="59"/>
      <c r="AI47" s="59"/>
      <c r="AJ47" s="59"/>
      <c r="AK47" s="59"/>
      <c r="AL47" s="59"/>
      <c r="AM47" s="59"/>
      <c r="AN47" s="59"/>
      <c r="AO47" s="109"/>
      <c r="AP47" s="109"/>
      <c r="AQ47" s="109"/>
      <c r="AR47" s="109"/>
      <c r="AS47" s="109"/>
      <c r="AT47" s="109"/>
      <c r="AU47" s="109"/>
      <c r="AV47" s="109"/>
      <c r="AW47" s="109"/>
      <c r="AX47" s="109"/>
      <c r="AY47" s="109"/>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row>
    <row r="48" spans="1:78" ht="15" customHeight="1">
      <c r="A48" s="59"/>
      <c r="B48" s="531"/>
      <c r="C48" s="841"/>
      <c r="D48" s="114"/>
      <c r="E48" s="114" t="s">
        <v>777</v>
      </c>
      <c r="F48" s="114"/>
      <c r="G48" s="59"/>
      <c r="H48" s="59"/>
      <c r="I48" s="59"/>
      <c r="J48" s="59"/>
      <c r="K48" s="59"/>
      <c r="L48" s="59"/>
      <c r="M48" s="59"/>
      <c r="N48" s="59"/>
      <c r="O48" s="59"/>
      <c r="P48" s="59"/>
      <c r="Q48" s="59"/>
      <c r="R48" s="59"/>
      <c r="S48" s="59"/>
      <c r="T48" s="59"/>
      <c r="U48" s="59"/>
      <c r="V48" s="534"/>
      <c r="W48" s="59"/>
      <c r="X48" s="59"/>
      <c r="Y48" s="59"/>
      <c r="Z48" s="603" t="str">
        <f>IF('Data Entry'!A94=1,"X",0)</f>
        <v>X</v>
      </c>
      <c r="AA48" s="625" t="str">
        <f>IF('Data Entry'!A94=1,"Missing Electrical Supplier Contact Name",0)</f>
        <v>Missing Electrical Supplier Contact Name</v>
      </c>
      <c r="AB48" s="59"/>
      <c r="AC48" s="59"/>
      <c r="AD48" s="59"/>
      <c r="AE48" s="59"/>
      <c r="AF48" s="59"/>
      <c r="AG48" s="59"/>
      <c r="AH48" s="59"/>
      <c r="AI48" s="59"/>
      <c r="AJ48" s="59"/>
      <c r="AK48" s="59"/>
      <c r="AL48" s="59"/>
      <c r="AM48" s="59"/>
      <c r="AN48" s="59"/>
      <c r="AO48" s="109"/>
      <c r="AP48" s="109"/>
      <c r="AQ48" s="109"/>
      <c r="AR48" s="109"/>
      <c r="AS48" s="109"/>
      <c r="AT48" s="109"/>
      <c r="AU48" s="109"/>
      <c r="AV48" s="109"/>
      <c r="AW48" s="109"/>
      <c r="AX48" s="109"/>
      <c r="AY48" s="109"/>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row>
    <row r="49" spans="1:78" ht="15" customHeight="1">
      <c r="A49" s="59"/>
      <c r="B49" s="531"/>
      <c r="C49" s="114"/>
      <c r="D49" s="114"/>
      <c r="E49" s="114"/>
      <c r="F49" s="114"/>
      <c r="G49" s="59"/>
      <c r="H49" s="59"/>
      <c r="I49" s="59"/>
      <c r="J49" s="59"/>
      <c r="K49" s="59"/>
      <c r="L49" s="59"/>
      <c r="M49" s="59"/>
      <c r="N49" s="59"/>
      <c r="O49" s="59"/>
      <c r="P49" s="59"/>
      <c r="Q49" s="59"/>
      <c r="R49" s="59"/>
      <c r="S49" s="59"/>
      <c r="T49" s="59"/>
      <c r="U49" s="59"/>
      <c r="V49" s="534"/>
      <c r="W49" s="59"/>
      <c r="X49" s="59"/>
      <c r="Y49" s="59"/>
      <c r="Z49" s="603" t="str">
        <f>IF('Data Entry'!A100=1,"X",0)</f>
        <v>X</v>
      </c>
      <c r="AA49" s="625" t="str">
        <f>IF('Data Entry'!A100=1,"Missing Electrical Supplier Email",0)</f>
        <v>Missing Electrical Supplier Email</v>
      </c>
      <c r="AB49" s="59"/>
      <c r="AC49" s="59"/>
      <c r="AD49" s="59"/>
      <c r="AE49" s="59"/>
      <c r="AF49" s="59"/>
      <c r="AG49" s="59"/>
      <c r="AH49" s="59"/>
      <c r="AI49" s="59"/>
      <c r="AJ49" s="59"/>
      <c r="AK49" s="59"/>
      <c r="AL49" s="59"/>
      <c r="AM49" s="59"/>
      <c r="AN49" s="59"/>
      <c r="AO49" s="109"/>
      <c r="AP49" s="109"/>
      <c r="AQ49" s="109"/>
      <c r="AR49" s="109"/>
      <c r="AS49" s="109"/>
      <c r="AT49" s="109"/>
      <c r="AU49" s="109"/>
      <c r="AV49" s="109"/>
      <c r="AW49" s="109"/>
      <c r="AX49" s="109"/>
      <c r="AY49" s="109"/>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row>
    <row r="50" spans="1:78" ht="15" customHeight="1">
      <c r="A50" s="59"/>
      <c r="B50" s="531"/>
      <c r="C50" s="841"/>
      <c r="D50" s="114"/>
      <c r="E50" s="612" t="s">
        <v>733</v>
      </c>
      <c r="F50" s="612"/>
      <c r="G50" s="612"/>
      <c r="H50" s="612"/>
      <c r="I50" s="612"/>
      <c r="J50" s="612"/>
      <c r="K50" s="612"/>
      <c r="L50" s="612"/>
      <c r="M50" s="612"/>
      <c r="N50" s="612"/>
      <c r="O50" s="612"/>
      <c r="P50" s="612"/>
      <c r="Q50" s="612"/>
      <c r="R50" s="612"/>
      <c r="S50" s="612"/>
      <c r="T50" s="612"/>
      <c r="U50" s="612"/>
      <c r="V50" s="613"/>
      <c r="W50" s="59"/>
      <c r="X50" s="59"/>
      <c r="Y50" s="59"/>
      <c r="Z50" s="59"/>
      <c r="AA50" s="59"/>
      <c r="AB50" s="59"/>
      <c r="AC50" s="59"/>
      <c r="AD50" s="59"/>
      <c r="AE50" s="59"/>
      <c r="AF50" s="59"/>
      <c r="AG50" s="59"/>
      <c r="AH50" s="59"/>
      <c r="AI50" s="59"/>
      <c r="AJ50" s="59"/>
      <c r="AK50" s="59"/>
      <c r="AL50" s="59"/>
      <c r="AM50" s="59"/>
      <c r="AN50" s="59"/>
      <c r="AO50" s="109"/>
      <c r="AP50" s="109"/>
      <c r="AQ50" s="109"/>
      <c r="AR50" s="109"/>
      <c r="AS50" s="109"/>
      <c r="AT50" s="109"/>
      <c r="AU50" s="109"/>
      <c r="AV50" s="109"/>
      <c r="AW50" s="109"/>
      <c r="AX50" s="109"/>
      <c r="AY50" s="109"/>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row>
    <row r="51" spans="1:78" ht="15" customHeight="1">
      <c r="A51" s="59"/>
      <c r="B51" s="531"/>
      <c r="C51" s="59"/>
      <c r="D51" s="59"/>
      <c r="E51" s="59"/>
      <c r="F51" s="59"/>
      <c r="G51" s="59"/>
      <c r="H51" s="59"/>
      <c r="I51" s="59"/>
      <c r="J51" s="59"/>
      <c r="K51" s="59"/>
      <c r="L51" s="59"/>
      <c r="M51" s="59"/>
      <c r="N51" s="59"/>
      <c r="O51" s="59"/>
      <c r="P51" s="59"/>
      <c r="Q51" s="59"/>
      <c r="R51" s="59"/>
      <c r="S51" s="59"/>
      <c r="T51" s="59"/>
      <c r="U51" s="59"/>
      <c r="V51" s="534"/>
      <c r="W51" s="59"/>
      <c r="X51" s="59"/>
      <c r="Y51" s="59"/>
      <c r="Z51" s="1624" t="s">
        <v>1766</v>
      </c>
      <c r="AA51" s="1624"/>
      <c r="AB51" s="1624"/>
      <c r="AC51" s="1624"/>
      <c r="AD51" s="1624"/>
      <c r="AE51" s="1624"/>
      <c r="AF51" s="1624"/>
      <c r="AG51" s="1624"/>
      <c r="AH51" s="1624"/>
      <c r="AI51" s="1624"/>
      <c r="AJ51" s="1624"/>
      <c r="AK51" s="1624"/>
      <c r="AL51" s="1624"/>
      <c r="AM51" s="1624"/>
      <c r="AN51" s="1624"/>
      <c r="AO51" s="109"/>
      <c r="AP51" s="109"/>
      <c r="AQ51" s="109"/>
      <c r="AR51" s="109"/>
      <c r="AS51" s="109"/>
      <c r="AT51" s="109"/>
      <c r="AU51" s="109"/>
      <c r="AV51" s="109"/>
      <c r="AW51" s="109"/>
      <c r="AX51" s="109"/>
      <c r="AY51" s="109"/>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row>
    <row r="52" spans="1:78" ht="15" customHeight="1">
      <c r="A52" s="59"/>
      <c r="B52" s="531"/>
      <c r="C52" s="841"/>
      <c r="D52" s="114"/>
      <c r="E52" s="612" t="s">
        <v>781</v>
      </c>
      <c r="F52" s="612"/>
      <c r="G52" s="612"/>
      <c r="H52" s="612"/>
      <c r="I52" s="612"/>
      <c r="J52" s="612"/>
      <c r="K52" s="612"/>
      <c r="L52" s="612"/>
      <c r="M52" s="612"/>
      <c r="N52" s="612"/>
      <c r="O52" s="612"/>
      <c r="P52" s="612"/>
      <c r="Q52" s="612"/>
      <c r="R52" s="612"/>
      <c r="S52" s="612"/>
      <c r="T52" s="612"/>
      <c r="U52" s="612"/>
      <c r="V52" s="613"/>
      <c r="W52" s="59"/>
      <c r="X52" s="59"/>
      <c r="Y52" s="59"/>
      <c r="Z52" s="1624"/>
      <c r="AA52" s="1624"/>
      <c r="AB52" s="1624"/>
      <c r="AC52" s="1624"/>
      <c r="AD52" s="1624"/>
      <c r="AE52" s="1624"/>
      <c r="AF52" s="1624"/>
      <c r="AG52" s="1624"/>
      <c r="AH52" s="1624"/>
      <c r="AI52" s="1624"/>
      <c r="AJ52" s="1624"/>
      <c r="AK52" s="1624"/>
      <c r="AL52" s="1624"/>
      <c r="AM52" s="1624"/>
      <c r="AN52" s="1624"/>
      <c r="AO52" s="109"/>
      <c r="AP52" s="109"/>
      <c r="AQ52" s="109"/>
      <c r="AR52" s="109"/>
      <c r="AS52" s="109"/>
      <c r="AT52" s="109"/>
      <c r="AU52" s="109"/>
      <c r="AV52" s="109"/>
      <c r="AW52" s="109"/>
      <c r="AX52" s="109"/>
      <c r="AY52" s="109"/>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row>
    <row r="53" spans="1:78" ht="15" customHeight="1">
      <c r="A53" s="59"/>
      <c r="B53" s="531"/>
      <c r="C53" s="59"/>
      <c r="D53" s="59"/>
      <c r="E53" s="59"/>
      <c r="F53" s="59"/>
      <c r="G53" s="59"/>
      <c r="H53" s="59"/>
      <c r="I53" s="59"/>
      <c r="J53" s="59"/>
      <c r="K53" s="59"/>
      <c r="L53" s="59"/>
      <c r="M53" s="59"/>
      <c r="N53" s="59"/>
      <c r="O53" s="59"/>
      <c r="P53" s="59"/>
      <c r="Q53" s="59"/>
      <c r="R53" s="59"/>
      <c r="S53" s="59"/>
      <c r="T53" s="59"/>
      <c r="U53" s="59"/>
      <c r="V53" s="534"/>
      <c r="W53" s="59"/>
      <c r="X53" s="59"/>
      <c r="Y53" s="59"/>
      <c r="Z53" s="1624"/>
      <c r="AA53" s="1624"/>
      <c r="AB53" s="1624"/>
      <c r="AC53" s="1624"/>
      <c r="AD53" s="1624"/>
      <c r="AE53" s="1624"/>
      <c r="AF53" s="1624"/>
      <c r="AG53" s="1624"/>
      <c r="AH53" s="1624"/>
      <c r="AI53" s="1624"/>
      <c r="AJ53" s="1624"/>
      <c r="AK53" s="1624"/>
      <c r="AL53" s="1624"/>
      <c r="AM53" s="1624"/>
      <c r="AN53" s="1624"/>
      <c r="AO53" s="109"/>
      <c r="AP53" s="109"/>
      <c r="AQ53" s="109"/>
      <c r="AR53" s="109"/>
      <c r="AS53" s="109"/>
      <c r="AT53" s="109"/>
      <c r="AU53" s="109"/>
      <c r="AV53" s="109"/>
      <c r="AW53" s="109"/>
      <c r="AX53" s="109"/>
      <c r="AY53" s="109"/>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row>
    <row r="54" spans="1:78" ht="15" customHeight="1">
      <c r="A54" s="59"/>
      <c r="B54" s="531"/>
      <c r="C54" s="841"/>
      <c r="D54" s="114"/>
      <c r="E54" s="612" t="s">
        <v>734</v>
      </c>
      <c r="F54" s="612"/>
      <c r="G54" s="612"/>
      <c r="H54" s="612"/>
      <c r="I54" s="612"/>
      <c r="J54" s="612"/>
      <c r="K54" s="612"/>
      <c r="L54" s="612"/>
      <c r="M54" s="612"/>
      <c r="N54" s="612"/>
      <c r="O54" s="612"/>
      <c r="P54" s="612"/>
      <c r="Q54" s="612"/>
      <c r="R54" s="612"/>
      <c r="S54" s="612"/>
      <c r="T54" s="612"/>
      <c r="U54" s="612"/>
      <c r="V54" s="613"/>
      <c r="W54" s="59"/>
      <c r="X54" s="59"/>
      <c r="Y54" s="59"/>
      <c r="Z54" s="1624"/>
      <c r="AA54" s="1624"/>
      <c r="AB54" s="1624"/>
      <c r="AC54" s="1624"/>
      <c r="AD54" s="1624"/>
      <c r="AE54" s="1624"/>
      <c r="AF54" s="1624"/>
      <c r="AG54" s="1624"/>
      <c r="AH54" s="1624"/>
      <c r="AI54" s="1624"/>
      <c r="AJ54" s="1624"/>
      <c r="AK54" s="1624"/>
      <c r="AL54" s="1624"/>
      <c r="AM54" s="1624"/>
      <c r="AN54" s="1624"/>
      <c r="AO54" s="109"/>
      <c r="AP54" s="109"/>
      <c r="AQ54" s="109"/>
      <c r="AR54" s="109"/>
      <c r="AS54" s="109"/>
      <c r="AT54" s="109"/>
      <c r="AU54" s="109"/>
      <c r="AV54" s="109"/>
      <c r="AW54" s="109"/>
      <c r="AX54" s="109"/>
      <c r="AY54" s="109"/>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row>
    <row r="55" spans="1:78" ht="15" customHeight="1">
      <c r="A55" s="59"/>
      <c r="B55" s="532"/>
      <c r="C55" s="59"/>
      <c r="D55" s="59"/>
      <c r="E55" s="59"/>
      <c r="F55" s="59"/>
      <c r="G55" s="59"/>
      <c r="H55" s="59"/>
      <c r="I55" s="59"/>
      <c r="J55" s="59"/>
      <c r="K55" s="59"/>
      <c r="L55" s="59"/>
      <c r="M55" s="59"/>
      <c r="N55" s="59"/>
      <c r="O55" s="59"/>
      <c r="P55" s="59"/>
      <c r="Q55" s="59"/>
      <c r="R55" s="59"/>
      <c r="S55" s="59"/>
      <c r="T55" s="59"/>
      <c r="U55" s="59"/>
      <c r="V55" s="534"/>
      <c r="W55" s="59"/>
      <c r="X55" s="59"/>
      <c r="Y55" s="59"/>
      <c r="Z55" s="1624"/>
      <c r="AA55" s="1624"/>
      <c r="AB55" s="1624"/>
      <c r="AC55" s="1624"/>
      <c r="AD55" s="1624"/>
      <c r="AE55" s="1624"/>
      <c r="AF55" s="1624"/>
      <c r="AG55" s="1624"/>
      <c r="AH55" s="1624"/>
      <c r="AI55" s="1624"/>
      <c r="AJ55" s="1624"/>
      <c r="AK55" s="1624"/>
      <c r="AL55" s="1624"/>
      <c r="AM55" s="1624"/>
      <c r="AN55" s="1624"/>
      <c r="AO55" s="109"/>
      <c r="AP55" s="109"/>
      <c r="AQ55" s="109"/>
      <c r="AR55" s="109"/>
      <c r="AS55" s="109"/>
      <c r="AT55" s="109"/>
      <c r="AU55" s="109"/>
      <c r="AV55" s="109"/>
      <c r="AW55" s="109"/>
      <c r="AX55" s="109"/>
      <c r="AY55" s="109"/>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4"/>
    </row>
    <row r="56" spans="1:78" ht="15" customHeight="1">
      <c r="A56" s="59"/>
      <c r="B56" s="531"/>
      <c r="C56" s="841"/>
      <c r="D56" s="114"/>
      <c r="E56" s="1621" t="s">
        <v>778</v>
      </c>
      <c r="F56" s="1621"/>
      <c r="G56" s="1621"/>
      <c r="H56" s="1621"/>
      <c r="I56" s="1621"/>
      <c r="J56" s="1621"/>
      <c r="K56" s="1621"/>
      <c r="L56" s="1621"/>
      <c r="M56" s="1621"/>
      <c r="N56" s="1621"/>
      <c r="O56" s="1621"/>
      <c r="P56" s="1621"/>
      <c r="Q56" s="1621"/>
      <c r="R56" s="1621"/>
      <c r="S56" s="1621"/>
      <c r="T56" s="1621"/>
      <c r="U56" s="1621"/>
      <c r="V56" s="1622"/>
      <c r="W56" s="59"/>
      <c r="X56" s="59"/>
      <c r="Y56" s="59"/>
      <c r="Z56" s="1624"/>
      <c r="AA56" s="1624"/>
      <c r="AB56" s="1624"/>
      <c r="AC56" s="1624"/>
      <c r="AD56" s="1624"/>
      <c r="AE56" s="1624"/>
      <c r="AF56" s="1624"/>
      <c r="AG56" s="1624"/>
      <c r="AH56" s="1624"/>
      <c r="AI56" s="1624"/>
      <c r="AJ56" s="1624"/>
      <c r="AK56" s="1624"/>
      <c r="AL56" s="1624"/>
      <c r="AM56" s="1624"/>
      <c r="AN56" s="1624"/>
      <c r="AO56" s="109"/>
      <c r="AP56" s="109"/>
      <c r="AQ56" s="109"/>
      <c r="AR56" s="109"/>
      <c r="AS56" s="109"/>
      <c r="AT56" s="109"/>
      <c r="AU56" s="109"/>
      <c r="AV56" s="109"/>
      <c r="AW56" s="109"/>
      <c r="AX56" s="109"/>
      <c r="AY56" s="109"/>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row>
    <row r="57" spans="1:78" ht="15" customHeight="1">
      <c r="A57" s="59"/>
      <c r="B57" s="616"/>
      <c r="C57" s="617"/>
      <c r="D57" s="617"/>
      <c r="E57" s="617"/>
      <c r="F57" s="617"/>
      <c r="G57" s="617"/>
      <c r="H57" s="617"/>
      <c r="I57" s="617"/>
      <c r="J57" s="617"/>
      <c r="K57" s="617"/>
      <c r="L57" s="617"/>
      <c r="M57" s="617"/>
      <c r="N57" s="617"/>
      <c r="O57" s="617"/>
      <c r="P57" s="617"/>
      <c r="Q57" s="617"/>
      <c r="R57" s="617"/>
      <c r="S57" s="617"/>
      <c r="T57" s="617"/>
      <c r="U57" s="617"/>
      <c r="V57" s="618"/>
      <c r="W57" s="59"/>
      <c r="X57" s="59"/>
      <c r="Y57" s="59"/>
      <c r="Z57" s="1624"/>
      <c r="AA57" s="1624"/>
      <c r="AB57" s="1624"/>
      <c r="AC57" s="1624"/>
      <c r="AD57" s="1624"/>
      <c r="AE57" s="1624"/>
      <c r="AF57" s="1624"/>
      <c r="AG57" s="1624"/>
      <c r="AH57" s="1624"/>
      <c r="AI57" s="1624"/>
      <c r="AJ57" s="1624"/>
      <c r="AK57" s="1624"/>
      <c r="AL57" s="1624"/>
      <c r="AM57" s="1624"/>
      <c r="AN57" s="1624"/>
      <c r="AO57" s="109"/>
      <c r="AP57" s="109"/>
      <c r="AQ57" s="109"/>
      <c r="AR57" s="109"/>
      <c r="AS57" s="109"/>
      <c r="AT57" s="109"/>
      <c r="AU57" s="109"/>
      <c r="AV57" s="109"/>
      <c r="AW57" s="109"/>
      <c r="AX57" s="109"/>
      <c r="AY57" s="109"/>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row>
    <row r="58" spans="1:78" ht="15" customHeight="1">
      <c r="A58" s="117"/>
      <c r="B58" s="174"/>
      <c r="C58" s="174"/>
      <c r="D58" s="174"/>
      <c r="E58" s="174"/>
      <c r="F58" s="174"/>
      <c r="G58" s="174"/>
      <c r="H58" s="174"/>
      <c r="I58" s="174"/>
      <c r="J58" s="174"/>
      <c r="K58" s="174"/>
      <c r="L58" s="174"/>
      <c r="M58" s="174"/>
      <c r="N58" s="174"/>
      <c r="O58" s="174"/>
      <c r="P58" s="174"/>
      <c r="Q58" s="174"/>
      <c r="R58" s="174"/>
      <c r="S58" s="174"/>
      <c r="T58" s="174"/>
      <c r="U58" s="174"/>
      <c r="V58" s="174"/>
      <c r="W58" s="59"/>
      <c r="X58" s="59"/>
      <c r="Y58" s="59"/>
      <c r="Z58" s="59"/>
      <c r="AA58" s="59"/>
      <c r="AB58" s="59"/>
      <c r="AC58" s="59"/>
      <c r="AD58" s="59"/>
      <c r="AE58" s="59"/>
      <c r="AF58" s="59"/>
      <c r="AG58" s="59"/>
      <c r="AH58" s="59"/>
      <c r="AI58" s="59"/>
      <c r="AJ58" s="59"/>
      <c r="AK58" s="59"/>
      <c r="AL58" s="59"/>
      <c r="AM58" s="59"/>
      <c r="AN58" s="59"/>
      <c r="AO58" s="109"/>
      <c r="AP58" s="109"/>
      <c r="AQ58" s="109"/>
      <c r="AR58" s="109"/>
      <c r="AS58" s="109"/>
      <c r="AT58" s="109"/>
      <c r="AU58" s="109"/>
      <c r="AV58" s="109"/>
      <c r="AW58" s="109"/>
      <c r="AX58" s="109"/>
      <c r="AY58" s="109"/>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4"/>
    </row>
    <row r="59" spans="1:78" ht="15" customHeight="1">
      <c r="A59" s="59"/>
      <c r="B59" s="535" t="s">
        <v>1430</v>
      </c>
      <c r="C59" s="202"/>
      <c r="D59" s="202"/>
      <c r="E59" s="202"/>
      <c r="F59" s="202"/>
      <c r="G59" s="202"/>
      <c r="H59" s="202"/>
      <c r="I59" s="202"/>
      <c r="J59" s="202"/>
      <c r="K59" s="202"/>
      <c r="L59" s="202"/>
      <c r="M59" s="202"/>
      <c r="N59" s="202"/>
      <c r="O59" s="202"/>
      <c r="P59" s="202"/>
      <c r="Q59" s="202"/>
      <c r="R59" s="202"/>
      <c r="S59" s="202"/>
      <c r="T59" s="174"/>
      <c r="U59" s="174"/>
      <c r="V59" s="174"/>
      <c r="W59" s="59"/>
      <c r="X59" s="59"/>
      <c r="Y59" s="59"/>
      <c r="Z59" s="59"/>
      <c r="AA59" s="59"/>
      <c r="AB59" s="59"/>
      <c r="AC59" s="59"/>
      <c r="AD59" s="59"/>
      <c r="AE59" s="59"/>
      <c r="AF59" s="59"/>
      <c r="AG59" s="59"/>
      <c r="AH59" s="59"/>
      <c r="AI59" s="59"/>
      <c r="AJ59" s="59"/>
      <c r="AK59" s="59"/>
      <c r="AL59" s="59"/>
      <c r="AM59" s="59"/>
      <c r="AN59" s="59"/>
      <c r="AO59" s="109"/>
      <c r="AP59" s="109"/>
      <c r="AQ59" s="109"/>
      <c r="AR59" s="109"/>
      <c r="AS59" s="109"/>
      <c r="AT59" s="109"/>
      <c r="AU59" s="109"/>
      <c r="AV59" s="109"/>
      <c r="AW59" s="109"/>
      <c r="AX59" s="109"/>
      <c r="AY59" s="109"/>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4"/>
    </row>
    <row r="60" spans="1:78" ht="6.75" customHeight="1">
      <c r="A60" s="59"/>
      <c r="B60" s="202"/>
      <c r="C60" s="202"/>
      <c r="D60" s="202"/>
      <c r="E60" s="202"/>
      <c r="F60" s="202"/>
      <c r="G60" s="202"/>
      <c r="H60" s="202"/>
      <c r="I60" s="202"/>
      <c r="J60" s="202"/>
      <c r="K60" s="202"/>
      <c r="L60" s="202"/>
      <c r="M60" s="202"/>
      <c r="N60" s="202"/>
      <c r="O60" s="202"/>
      <c r="P60" s="202"/>
      <c r="Q60" s="202"/>
      <c r="R60" s="202"/>
      <c r="S60" s="202"/>
      <c r="T60" s="174"/>
      <c r="U60" s="174"/>
      <c r="V60" s="174"/>
      <c r="W60" s="59"/>
      <c r="X60" s="59"/>
      <c r="Y60" s="59"/>
      <c r="Z60" s="59"/>
      <c r="AA60" s="59"/>
      <c r="AB60" s="59"/>
      <c r="AC60" s="59"/>
      <c r="AD60" s="59"/>
      <c r="AE60" s="59"/>
      <c r="AF60" s="59"/>
      <c r="AG60" s="59"/>
      <c r="AH60" s="59"/>
      <c r="AI60" s="59"/>
      <c r="AJ60" s="59"/>
      <c r="AK60" s="59"/>
      <c r="AL60" s="59"/>
      <c r="AM60" s="59"/>
      <c r="AN60" s="59"/>
      <c r="AO60" s="109"/>
      <c r="AP60" s="109"/>
      <c r="AQ60" s="109"/>
      <c r="AR60" s="109"/>
      <c r="AS60" s="109"/>
      <c r="AT60" s="109"/>
      <c r="AU60" s="109"/>
      <c r="AV60" s="109"/>
      <c r="AW60" s="109"/>
      <c r="AX60" s="109"/>
      <c r="AY60" s="109"/>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4"/>
    </row>
    <row r="61" spans="1:78" ht="20.100000000000001" customHeight="1">
      <c r="A61" s="59"/>
      <c r="B61" s="114" t="s">
        <v>1431</v>
      </c>
      <c r="C61" s="114"/>
      <c r="D61" s="114"/>
      <c r="E61" s="114"/>
      <c r="F61" s="114"/>
      <c r="G61" s="114"/>
      <c r="H61" s="621"/>
      <c r="I61" s="114"/>
      <c r="J61" s="114"/>
      <c r="K61" s="114"/>
      <c r="L61" s="114"/>
      <c r="M61" s="114"/>
      <c r="N61" s="114"/>
      <c r="O61" s="114"/>
      <c r="P61" s="114"/>
      <c r="Q61" s="114"/>
      <c r="R61" s="114"/>
      <c r="S61" s="114"/>
      <c r="T61" s="59"/>
      <c r="U61" s="59"/>
      <c r="V61" s="59"/>
      <c r="W61" s="59"/>
      <c r="X61" s="59"/>
      <c r="Y61" s="59"/>
      <c r="Z61" s="667"/>
      <c r="AA61" s="59"/>
      <c r="AB61" s="59"/>
      <c r="AC61" s="59"/>
      <c r="AD61" s="59"/>
      <c r="AE61" s="59"/>
      <c r="AF61" s="59"/>
      <c r="AG61" s="59"/>
      <c r="AH61" s="59"/>
      <c r="AI61" s="59"/>
      <c r="AJ61" s="59"/>
      <c r="AK61" s="59"/>
      <c r="AL61" s="59"/>
      <c r="AM61" s="59"/>
      <c r="AN61" s="59"/>
      <c r="AO61" s="109"/>
      <c r="AP61" s="109"/>
      <c r="AQ61" s="109"/>
      <c r="AR61" s="109"/>
      <c r="AS61" s="109"/>
      <c r="AT61" s="109"/>
      <c r="AU61" s="109"/>
      <c r="AV61" s="109"/>
      <c r="AW61" s="109"/>
      <c r="AX61" s="109"/>
      <c r="AY61" s="109"/>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4"/>
    </row>
    <row r="62" spans="1:78" ht="20.100000000000001" customHeight="1">
      <c r="A62" s="59"/>
      <c r="B62" s="116"/>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109"/>
      <c r="AP62" s="109"/>
      <c r="AQ62" s="109"/>
      <c r="AR62" s="109"/>
      <c r="AS62" s="109"/>
      <c r="AT62" s="109"/>
      <c r="AU62" s="109"/>
      <c r="AV62" s="109"/>
      <c r="AW62" s="109"/>
      <c r="AX62" s="109"/>
      <c r="AY62" s="109"/>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4"/>
    </row>
    <row r="63" spans="1:78" ht="20.100000000000001" customHeight="1">
      <c r="A63" s="59"/>
      <c r="B63" s="202"/>
      <c r="C63" s="202"/>
      <c r="D63" s="122"/>
      <c r="E63" s="202"/>
      <c r="F63" s="122"/>
      <c r="G63" s="122"/>
      <c r="H63" s="174"/>
      <c r="I63" s="174"/>
      <c r="J63" s="122"/>
      <c r="K63" s="620"/>
      <c r="L63" s="122"/>
      <c r="M63" s="122"/>
      <c r="N63" s="122"/>
      <c r="O63" s="174"/>
      <c r="P63" s="122"/>
      <c r="Q63" s="122"/>
      <c r="R63" s="122"/>
      <c r="S63" s="122"/>
      <c r="T63" s="538"/>
      <c r="U63" s="538"/>
      <c r="V63" s="59"/>
      <c r="W63" s="59"/>
      <c r="X63" s="59"/>
      <c r="Y63" s="59"/>
      <c r="Z63" s="59"/>
      <c r="AA63" s="59"/>
      <c r="AB63" s="59"/>
      <c r="AC63" s="59"/>
      <c r="AD63" s="59"/>
      <c r="AE63" s="59"/>
      <c r="AF63" s="59"/>
      <c r="AG63" s="59"/>
      <c r="AH63" s="59"/>
      <c r="AI63" s="59"/>
      <c r="AJ63" s="59"/>
      <c r="AK63" s="59"/>
      <c r="AL63" s="59"/>
      <c r="AM63" s="59"/>
      <c r="AN63" s="59"/>
      <c r="AO63" s="109"/>
      <c r="AP63" s="109"/>
      <c r="AQ63" s="109"/>
      <c r="AR63" s="109"/>
      <c r="AS63" s="109"/>
      <c r="AT63" s="109"/>
      <c r="AU63" s="109"/>
      <c r="AV63" s="109"/>
      <c r="AW63" s="109"/>
      <c r="AX63" s="109"/>
      <c r="AY63" s="109"/>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row>
    <row r="64" spans="1:78" ht="20.100000000000001" customHeight="1">
      <c r="A64" s="59"/>
      <c r="B64" s="116"/>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109"/>
      <c r="AP64" s="109"/>
      <c r="AQ64" s="109"/>
      <c r="AR64" s="109"/>
      <c r="AS64" s="109"/>
      <c r="AT64" s="109"/>
      <c r="AU64" s="109"/>
      <c r="AV64" s="109"/>
      <c r="AW64" s="109"/>
      <c r="AX64" s="109"/>
      <c r="AY64" s="109"/>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4"/>
    </row>
    <row r="65" spans="1:78" ht="20.100000000000001" customHeight="1">
      <c r="A65" s="59"/>
      <c r="B65" s="116"/>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109"/>
      <c r="AP65" s="109"/>
      <c r="AQ65" s="109"/>
      <c r="AR65" s="109"/>
      <c r="AS65" s="109"/>
      <c r="AT65" s="109"/>
      <c r="AU65" s="109"/>
      <c r="AV65" s="109"/>
      <c r="AW65" s="109"/>
      <c r="AX65" s="109"/>
      <c r="AY65" s="109"/>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4"/>
    </row>
    <row r="66" spans="1:78" ht="20.100000000000001" customHeight="1">
      <c r="A66" s="59"/>
      <c r="B66" s="116"/>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109"/>
      <c r="AP66" s="109"/>
      <c r="AQ66" s="109"/>
      <c r="AR66" s="109"/>
      <c r="AS66" s="109"/>
      <c r="AT66" s="109"/>
      <c r="AU66" s="109"/>
      <c r="AV66" s="109"/>
      <c r="AW66" s="109"/>
      <c r="AX66" s="109"/>
      <c r="AY66" s="109"/>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4"/>
    </row>
    <row r="67" spans="1:78" ht="20.100000000000001" customHeight="1">
      <c r="A67" s="59"/>
      <c r="B67" s="116"/>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109"/>
      <c r="AP67" s="109"/>
      <c r="AQ67" s="109"/>
      <c r="AR67" s="109"/>
      <c r="AS67" s="109"/>
      <c r="AT67" s="109"/>
      <c r="AU67" s="109"/>
      <c r="AV67" s="109"/>
      <c r="AW67" s="109"/>
      <c r="AX67" s="109"/>
      <c r="AY67" s="109"/>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4"/>
    </row>
    <row r="68" spans="1:78" ht="20.100000000000001" customHeight="1">
      <c r="A68" s="59"/>
      <c r="B68" s="114" t="s">
        <v>1432</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109"/>
      <c r="AP68" s="109"/>
      <c r="AQ68" s="109"/>
      <c r="AR68" s="109"/>
      <c r="AS68" s="109"/>
      <c r="AT68" s="109"/>
      <c r="AU68" s="109"/>
      <c r="AV68" s="109"/>
      <c r="AW68" s="109"/>
      <c r="AX68" s="109"/>
      <c r="AY68" s="109"/>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row>
    <row r="69" spans="1:78" ht="20.100000000000001" customHeight="1">
      <c r="A69" s="117" t="s">
        <v>0</v>
      </c>
      <c r="B69" s="184"/>
      <c r="C69" s="59"/>
      <c r="D69" s="59"/>
      <c r="E69" s="59"/>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109"/>
      <c r="AP69" s="109"/>
      <c r="AQ69" s="109"/>
      <c r="AR69" s="109"/>
      <c r="AS69" s="109"/>
      <c r="AT69" s="109"/>
      <c r="AU69" s="109"/>
      <c r="AV69" s="109"/>
      <c r="AW69" s="109"/>
      <c r="AX69" s="109"/>
      <c r="AY69" s="109"/>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row>
    <row r="70" spans="1:78" ht="33.75" customHeight="1">
      <c r="A70" s="623"/>
      <c r="B70" s="115"/>
      <c r="C70" s="59"/>
      <c r="D70" s="59"/>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109"/>
      <c r="AP70" s="109"/>
      <c r="AQ70" s="109"/>
      <c r="AR70" s="109"/>
      <c r="AS70" s="109"/>
      <c r="AT70" s="109"/>
      <c r="AU70" s="109"/>
      <c r="AV70" s="109"/>
      <c r="AW70" s="109"/>
      <c r="AX70" s="109"/>
      <c r="AY70" s="109"/>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row>
    <row r="71" spans="1:78" ht="46.5" customHeight="1">
      <c r="A71" s="59"/>
      <c r="B71" s="59"/>
      <c r="C71" s="59"/>
      <c r="D71" s="118"/>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109"/>
      <c r="AP71" s="109"/>
      <c r="AQ71" s="109"/>
      <c r="AR71" s="109"/>
      <c r="AS71" s="109"/>
      <c r="AT71" s="109"/>
      <c r="AU71" s="109"/>
      <c r="AV71" s="109"/>
      <c r="AW71" s="109"/>
      <c r="AX71" s="109"/>
      <c r="AY71" s="109"/>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row>
    <row r="72" spans="1:78" ht="57" customHeight="1">
      <c r="A72" s="59"/>
      <c r="B72" s="119" t="s">
        <v>0</v>
      </c>
      <c r="C72" s="59"/>
      <c r="D72" s="59"/>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109"/>
      <c r="AP72" s="109"/>
      <c r="AQ72" s="109"/>
      <c r="AR72" s="109"/>
      <c r="AS72" s="109"/>
      <c r="AT72" s="109"/>
      <c r="AU72" s="109"/>
      <c r="AV72" s="109"/>
      <c r="AW72" s="109"/>
      <c r="AX72" s="109"/>
      <c r="AY72" s="109"/>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row>
    <row r="73" spans="1:78" ht="72" customHeight="1">
      <c r="A73" s="59"/>
      <c r="B73" s="119"/>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109"/>
      <c r="AP73" s="109"/>
      <c r="AQ73" s="109"/>
      <c r="AR73" s="109"/>
      <c r="AS73" s="109"/>
      <c r="AT73" s="109"/>
      <c r="AU73" s="109"/>
      <c r="AV73" s="109"/>
      <c r="AW73" s="109"/>
      <c r="AX73" s="109"/>
      <c r="AY73" s="109"/>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row>
    <row r="74" spans="1:78" ht="20.100000000000001" customHeight="1">
      <c r="A74" s="59"/>
      <c r="B74" s="611"/>
      <c r="C74" s="611"/>
      <c r="D74" s="611"/>
      <c r="E74" s="611"/>
      <c r="F74" s="611"/>
      <c r="G74" s="611"/>
      <c r="H74" s="611"/>
      <c r="I74" s="611"/>
      <c r="J74" s="611"/>
      <c r="K74" s="611"/>
      <c r="L74" s="611"/>
      <c r="M74" s="611"/>
      <c r="N74" s="611"/>
      <c r="O74" s="611"/>
      <c r="P74" s="611"/>
      <c r="Q74" s="611"/>
      <c r="R74" s="611"/>
      <c r="S74" s="611"/>
      <c r="T74" s="611"/>
      <c r="U74" s="611"/>
      <c r="V74" s="611"/>
      <c r="W74" s="59"/>
      <c r="X74" s="59"/>
      <c r="Y74" s="59"/>
      <c r="Z74" s="59"/>
      <c r="AA74" s="59"/>
      <c r="AB74" s="59"/>
      <c r="AC74" s="59"/>
      <c r="AD74" s="59"/>
      <c r="AE74" s="59"/>
      <c r="AF74" s="59"/>
      <c r="AG74" s="59"/>
      <c r="AH74" s="59"/>
      <c r="AI74" s="59"/>
      <c r="AJ74" s="59"/>
      <c r="AK74" s="59"/>
      <c r="AL74" s="59"/>
      <c r="AM74" s="59"/>
      <c r="AN74" s="59"/>
      <c r="AO74" s="109"/>
      <c r="AP74" s="109"/>
      <c r="AQ74" s="109"/>
      <c r="AR74" s="109"/>
      <c r="AS74" s="109"/>
      <c r="AT74" s="109"/>
      <c r="AU74" s="109"/>
      <c r="AV74" s="109"/>
      <c r="AW74" s="109"/>
      <c r="AX74" s="109"/>
      <c r="AY74" s="109"/>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row>
    <row r="75" spans="1:78" s="85" customFormat="1" ht="20.100000000000001" customHeight="1">
      <c r="A75" s="611"/>
      <c r="B75" s="611"/>
      <c r="C75" s="611"/>
      <c r="D75" s="611"/>
      <c r="E75" s="611"/>
      <c r="F75" s="611"/>
      <c r="G75" s="611"/>
      <c r="H75" s="611"/>
      <c r="I75" s="611"/>
      <c r="J75" s="611"/>
      <c r="K75" s="611"/>
      <c r="L75" s="611"/>
      <c r="M75" s="611"/>
      <c r="N75" s="611"/>
      <c r="O75" s="611"/>
      <c r="P75" s="611"/>
      <c r="Q75" s="611"/>
      <c r="R75" s="611"/>
      <c r="S75" s="611"/>
      <c r="T75" s="611"/>
      <c r="U75" s="611"/>
      <c r="V75" s="611"/>
      <c r="W75" s="611"/>
      <c r="X75" s="611"/>
      <c r="Y75" s="611"/>
      <c r="Z75" s="59"/>
      <c r="AA75" s="59"/>
      <c r="AB75" s="59"/>
      <c r="AC75" s="59"/>
      <c r="AD75" s="59"/>
      <c r="AE75" s="59"/>
      <c r="AF75" s="59"/>
      <c r="AG75" s="59"/>
      <c r="AH75" s="59"/>
      <c r="AI75" s="59"/>
      <c r="AJ75" s="59"/>
      <c r="AK75" s="59"/>
      <c r="AL75" s="59"/>
      <c r="AM75" s="59"/>
      <c r="AN75" s="59"/>
      <c r="AO75" s="120"/>
      <c r="AP75" s="120"/>
      <c r="AQ75" s="120"/>
      <c r="AR75" s="120"/>
      <c r="AS75" s="120"/>
      <c r="AT75" s="120"/>
      <c r="AU75" s="120"/>
      <c r="AV75" s="120"/>
      <c r="AW75" s="120"/>
      <c r="AX75" s="120"/>
      <c r="AY75" s="120"/>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row>
    <row r="76" spans="1:78" s="85" customFormat="1" ht="20.100000000000001" hidden="1" customHeight="1">
      <c r="A76" s="611"/>
      <c r="B76" s="201"/>
      <c r="C76" s="201"/>
      <c r="D76" s="201"/>
      <c r="E76" s="201"/>
      <c r="F76" s="201"/>
      <c r="G76" s="201"/>
      <c r="H76" s="201"/>
      <c r="I76" s="201"/>
      <c r="J76" s="201"/>
      <c r="K76" s="201"/>
      <c r="L76" s="201"/>
      <c r="M76" s="201"/>
      <c r="N76" s="201"/>
      <c r="O76" s="201"/>
      <c r="P76" s="201"/>
      <c r="Q76" s="201"/>
      <c r="R76" s="201"/>
      <c r="S76" s="201"/>
      <c r="T76" s="201"/>
      <c r="U76" s="201"/>
      <c r="V76" s="201"/>
      <c r="W76" s="611"/>
      <c r="X76" s="611"/>
      <c r="Y76" s="611"/>
      <c r="Z76" s="611"/>
      <c r="AA76" s="611"/>
      <c r="AB76" s="611"/>
      <c r="AC76" s="611"/>
      <c r="AD76" s="611"/>
      <c r="AE76" s="611"/>
      <c r="AF76" s="611"/>
      <c r="AG76" s="611"/>
      <c r="AH76" s="611"/>
      <c r="AI76" s="611"/>
      <c r="AJ76" s="611"/>
      <c r="AK76" s="611"/>
      <c r="AL76" s="611"/>
      <c r="AM76" s="611"/>
      <c r="AN76" s="611"/>
      <c r="AO76" s="120"/>
      <c r="AP76" s="120"/>
      <c r="AQ76" s="120"/>
      <c r="AR76" s="120"/>
      <c r="AS76" s="120"/>
      <c r="AT76" s="120"/>
      <c r="AU76" s="120"/>
      <c r="AV76" s="120"/>
      <c r="AW76" s="120"/>
      <c r="AX76" s="120"/>
      <c r="AY76" s="120"/>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row>
    <row r="77" spans="1:78" s="85" customFormat="1" ht="20.100000000000001" customHeight="1">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611"/>
      <c r="AA77" s="611"/>
      <c r="AB77" s="611"/>
      <c r="AC77" s="611"/>
      <c r="AD77" s="611"/>
      <c r="AE77" s="611"/>
      <c r="AF77" s="611"/>
      <c r="AG77" s="611"/>
      <c r="AH77" s="611"/>
      <c r="AI77" s="611"/>
      <c r="AJ77" s="611"/>
      <c r="AK77" s="611"/>
      <c r="AL77" s="611"/>
      <c r="AM77" s="611"/>
      <c r="AN77" s="611"/>
      <c r="AO77" s="120"/>
      <c r="AP77" s="120"/>
      <c r="AQ77" s="120"/>
      <c r="AR77" s="120"/>
      <c r="AS77" s="120"/>
      <c r="AT77" s="120"/>
      <c r="AU77" s="120"/>
      <c r="AV77" s="120"/>
      <c r="AW77" s="120"/>
      <c r="AX77" s="120"/>
      <c r="AY77" s="120"/>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row>
    <row r="78" spans="1:78" s="85" customFormat="1" ht="15" customHeight="1">
      <c r="A78" s="1549" t="s">
        <v>1897</v>
      </c>
      <c r="B78" s="203"/>
      <c r="C78" s="203"/>
      <c r="D78" s="203"/>
      <c r="E78" s="203"/>
      <c r="F78" s="203"/>
      <c r="G78" s="203"/>
      <c r="H78" s="203"/>
      <c r="I78" s="203"/>
      <c r="J78" s="203"/>
      <c r="K78" s="203"/>
      <c r="L78" s="203"/>
      <c r="M78" s="203"/>
      <c r="N78" s="203"/>
      <c r="O78" s="203"/>
      <c r="P78" s="203"/>
      <c r="Q78" s="203"/>
      <c r="R78" s="203"/>
      <c r="S78" s="203"/>
      <c r="T78" s="203"/>
      <c r="U78" s="203"/>
      <c r="V78" s="203"/>
      <c r="W78" s="201"/>
      <c r="X78" s="201"/>
      <c r="Y78" s="201"/>
      <c r="Z78" s="201"/>
      <c r="AA78" s="201"/>
      <c r="AB78" s="201"/>
      <c r="AC78" s="201"/>
      <c r="AD78" s="201"/>
      <c r="AE78" s="201"/>
      <c r="AF78" s="201"/>
      <c r="AG78" s="201"/>
      <c r="AH78" s="201"/>
      <c r="AI78" s="201"/>
      <c r="AJ78" s="201"/>
      <c r="AK78" s="201"/>
      <c r="AL78" s="201"/>
      <c r="AM78" s="201"/>
      <c r="AN78" s="201"/>
      <c r="AO78" s="120"/>
      <c r="AP78" s="120"/>
      <c r="AQ78" s="120"/>
      <c r="AR78" s="120"/>
      <c r="AS78" s="120"/>
      <c r="AT78" s="120"/>
      <c r="AU78" s="120"/>
      <c r="AV78" s="120"/>
      <c r="AW78" s="120"/>
      <c r="AX78" s="120"/>
      <c r="AY78" s="120"/>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row>
    <row r="79" spans="1:78" ht="3.75" customHeight="1">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09"/>
      <c r="AP79" s="109"/>
      <c r="AQ79" s="109"/>
      <c r="AR79" s="109"/>
      <c r="AS79" s="109"/>
      <c r="AT79" s="109"/>
      <c r="AU79" s="109"/>
      <c r="AV79" s="109"/>
      <c r="AW79" s="109"/>
      <c r="AX79" s="109"/>
      <c r="AY79" s="109"/>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row>
    <row r="80" spans="1:78" ht="12" hidden="1" customHeight="1">
      <c r="A80" s="109"/>
      <c r="B80" s="109"/>
      <c r="C80" s="109"/>
      <c r="D80" s="109"/>
      <c r="E80" s="109"/>
      <c r="F80" s="109"/>
      <c r="G80" s="109"/>
      <c r="H80" s="109"/>
      <c r="I80" s="109"/>
      <c r="J80" s="109"/>
      <c r="K80" s="109"/>
      <c r="L80" s="109"/>
      <c r="M80" s="109"/>
      <c r="N80" s="109"/>
      <c r="O80" s="109"/>
      <c r="P80" s="109"/>
      <c r="Q80" s="109"/>
      <c r="R80" s="109"/>
      <c r="S80" s="109"/>
      <c r="T80" s="109"/>
      <c r="U80" s="109"/>
      <c r="V80" s="109"/>
      <c r="W80" s="109"/>
      <c r="X80" s="109"/>
      <c r="Y80" s="109"/>
      <c r="Z80" s="111"/>
      <c r="AA80" s="111"/>
      <c r="AB80" s="111"/>
      <c r="AC80" s="111"/>
      <c r="AD80" s="111"/>
      <c r="AE80" s="111"/>
      <c r="AF80" s="111"/>
      <c r="AG80" s="111"/>
      <c r="AH80" s="111"/>
      <c r="AI80" s="111"/>
      <c r="AJ80" s="111"/>
      <c r="AK80" s="111"/>
      <c r="AL80" s="111"/>
      <c r="AM80" s="111"/>
      <c r="AN80" s="111"/>
      <c r="AO80" s="109"/>
      <c r="AP80" s="109"/>
      <c r="AQ80" s="109"/>
      <c r="AR80" s="109"/>
      <c r="AS80" s="109"/>
      <c r="AT80" s="109"/>
      <c r="AU80" s="109"/>
      <c r="AV80" s="109"/>
      <c r="AW80" s="109"/>
      <c r="AX80" s="109"/>
      <c r="AY80" s="109"/>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row>
    <row r="81" spans="1:78" ht="12" customHeight="1">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109"/>
      <c r="AK81" s="109"/>
      <c r="AL81" s="109"/>
      <c r="AM81" s="109"/>
      <c r="AN81" s="109"/>
      <c r="AO81" s="109"/>
      <c r="AP81" s="109"/>
      <c r="AQ81" s="109"/>
      <c r="AR81" s="109"/>
      <c r="AS81" s="109"/>
      <c r="AT81" s="109"/>
      <c r="AU81" s="109"/>
      <c r="AV81" s="109"/>
      <c r="AW81" s="109"/>
      <c r="AX81" s="109"/>
      <c r="AY81" s="109"/>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row>
    <row r="82" spans="1:78" ht="12" customHeight="1">
      <c r="A82" s="109"/>
      <c r="B82" s="109"/>
      <c r="C82" s="109"/>
      <c r="D82" s="109"/>
      <c r="E82" s="109"/>
      <c r="F82" s="109"/>
      <c r="G82" s="109"/>
      <c r="H82" s="109"/>
      <c r="I82" s="109"/>
      <c r="J82" s="109"/>
      <c r="K82" s="109"/>
      <c r="L82" s="109"/>
      <c r="M82" s="109"/>
      <c r="N82" s="109"/>
      <c r="O82" s="109"/>
      <c r="P82" s="109"/>
      <c r="Q82" s="109"/>
      <c r="R82" s="109"/>
      <c r="S82" s="109"/>
      <c r="T82" s="109"/>
      <c r="U82" s="109"/>
      <c r="V82" s="109"/>
      <c r="W82" s="109"/>
      <c r="X82" s="109"/>
      <c r="Y82" s="109"/>
      <c r="Z82" s="109"/>
      <c r="AA82" s="109"/>
      <c r="AB82" s="109"/>
      <c r="AC82" s="109"/>
      <c r="AD82" s="109"/>
      <c r="AE82" s="109"/>
      <c r="AF82" s="109"/>
      <c r="AG82" s="109"/>
      <c r="AH82" s="109"/>
      <c r="AI82" s="109"/>
      <c r="AJ82" s="109"/>
      <c r="AK82" s="109"/>
      <c r="AL82" s="109"/>
      <c r="AM82" s="109"/>
      <c r="AN82" s="109"/>
      <c r="AO82" s="109"/>
      <c r="AP82" s="109"/>
      <c r="AQ82" s="109"/>
      <c r="AR82" s="109"/>
      <c r="AS82" s="109"/>
      <c r="AT82" s="109"/>
      <c r="AU82" s="109"/>
      <c r="AV82" s="109"/>
      <c r="AW82" s="109"/>
      <c r="AX82" s="109"/>
      <c r="AY82" s="109"/>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row>
    <row r="83" spans="1:78" ht="12" customHeight="1">
      <c r="A83" s="109"/>
      <c r="B83" s="109"/>
      <c r="C83" s="109"/>
      <c r="D83" s="109"/>
      <c r="E83" s="109"/>
      <c r="F83" s="109"/>
      <c r="G83" s="109"/>
      <c r="H83" s="109"/>
      <c r="I83" s="109"/>
      <c r="J83" s="109"/>
      <c r="K83" s="109"/>
      <c r="L83" s="109"/>
      <c r="M83" s="109"/>
      <c r="N83" s="109"/>
      <c r="O83" s="109"/>
      <c r="P83" s="109"/>
      <c r="Q83" s="109"/>
      <c r="R83" s="109"/>
      <c r="S83" s="109"/>
      <c r="T83" s="109"/>
      <c r="U83" s="109"/>
      <c r="V83" s="109"/>
      <c r="W83" s="109"/>
      <c r="X83" s="109"/>
      <c r="Y83" s="109"/>
      <c r="Z83" s="109"/>
      <c r="AA83" s="109"/>
      <c r="AB83" s="109"/>
      <c r="AC83" s="109"/>
      <c r="AD83" s="109"/>
      <c r="AE83" s="109"/>
      <c r="AF83" s="109"/>
      <c r="AG83" s="109"/>
      <c r="AH83" s="109"/>
      <c r="AI83" s="109"/>
      <c r="AJ83" s="109"/>
      <c r="AK83" s="109"/>
      <c r="AL83" s="109"/>
      <c r="AM83" s="109"/>
      <c r="AN83" s="109"/>
      <c r="AO83" s="109"/>
      <c r="AP83" s="109"/>
      <c r="AQ83" s="109"/>
      <c r="AR83" s="109"/>
      <c r="AS83" s="109"/>
      <c r="AT83" s="109"/>
      <c r="AU83" s="109"/>
      <c r="AV83" s="109"/>
      <c r="AW83" s="109"/>
      <c r="AX83" s="109"/>
      <c r="AY83" s="109"/>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row>
    <row r="84" spans="1:78" ht="12" customHeight="1">
      <c r="A84" s="109"/>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09"/>
      <c r="AQ84" s="109"/>
      <c r="AR84" s="109"/>
      <c r="AS84" s="109"/>
      <c r="AT84" s="109"/>
      <c r="AU84" s="109"/>
      <c r="AV84" s="109"/>
      <c r="AW84" s="109"/>
      <c r="AX84" s="109"/>
      <c r="AY84" s="109"/>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row>
    <row r="85" spans="1:78" ht="12" customHeight="1">
      <c r="A85" s="109"/>
      <c r="B85" s="34"/>
      <c r="C85" s="34"/>
      <c r="D85" s="34"/>
      <c r="E85" s="34"/>
      <c r="F85" s="34"/>
      <c r="G85" s="34"/>
      <c r="H85" s="34"/>
      <c r="I85" s="34"/>
      <c r="J85" s="34"/>
      <c r="K85" s="34"/>
      <c r="L85" s="34"/>
      <c r="M85" s="34"/>
      <c r="N85" s="34"/>
      <c r="O85" s="34"/>
      <c r="P85" s="34"/>
      <c r="Q85" s="34"/>
      <c r="R85" s="34"/>
      <c r="S85" s="34"/>
      <c r="T85" s="34"/>
      <c r="U85" s="34"/>
      <c r="V85" s="34"/>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c r="AY85" s="109"/>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row>
    <row r="86" spans="1:78" ht="12" customHeight="1">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109"/>
      <c r="AA86" s="109"/>
      <c r="AB86" s="109"/>
      <c r="AC86" s="109"/>
      <c r="AD86" s="109"/>
      <c r="AE86" s="109"/>
      <c r="AF86" s="109"/>
      <c r="AG86" s="109"/>
      <c r="AH86" s="109"/>
      <c r="AI86" s="109"/>
      <c r="AJ86" s="109"/>
      <c r="AK86" s="109"/>
      <c r="AL86" s="109"/>
      <c r="AM86" s="109"/>
      <c r="AN86" s="109"/>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row>
    <row r="87" spans="1:78" ht="12" customHeight="1">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row>
    <row r="88" spans="1:78" ht="12" customHeight="1">
      <c r="A88" s="34"/>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row>
    <row r="89" spans="1:78" ht="12" customHeight="1">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row>
    <row r="90" spans="1:78" ht="12" customHeight="1">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34"/>
      <c r="BZ90" s="34"/>
    </row>
    <row r="91" spans="1:78" ht="12" customHeight="1">
      <c r="A91" s="34"/>
      <c r="B91" s="34"/>
      <c r="C91" s="34"/>
      <c r="D91" s="34"/>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34"/>
      <c r="BZ91" s="34"/>
    </row>
    <row r="92" spans="1:78" ht="12" customHeight="1">
      <c r="A92" s="34"/>
      <c r="B92" s="34"/>
      <c r="C92" s="34"/>
      <c r="D92" s="34"/>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4"/>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34"/>
      <c r="BZ92" s="34"/>
    </row>
    <row r="93" spans="1:78" ht="12" customHeight="1">
      <c r="A93" s="34"/>
      <c r="B93" s="34"/>
      <c r="C93" s="34"/>
      <c r="D93" s="34"/>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34"/>
      <c r="BZ93" s="34"/>
    </row>
    <row r="94" spans="1:78" ht="12" customHeight="1">
      <c r="A94" s="34"/>
      <c r="B94" s="34"/>
      <c r="C94" s="34"/>
      <c r="D94" s="34"/>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4"/>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34"/>
      <c r="BZ94" s="34"/>
    </row>
    <row r="95" spans="1:78" ht="12" customHeight="1">
      <c r="A95" s="34"/>
      <c r="B95" s="34"/>
      <c r="C95" s="34"/>
      <c r="D95" s="34"/>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4"/>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34"/>
      <c r="BZ95" s="34"/>
    </row>
    <row r="96" spans="1:78" ht="12" customHeight="1">
      <c r="A96" s="34"/>
      <c r="B96" s="34"/>
      <c r="C96" s="34"/>
      <c r="D96" s="34"/>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4"/>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34"/>
      <c r="BZ96" s="34"/>
    </row>
    <row r="97" spans="1:78" ht="12" customHeight="1">
      <c r="A97" s="34"/>
      <c r="B97" s="34"/>
      <c r="C97" s="34"/>
      <c r="D97" s="34"/>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34"/>
      <c r="BZ97" s="34"/>
    </row>
    <row r="98" spans="1:78" ht="12" customHeight="1">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row>
    <row r="99" spans="1:78" ht="12" customHeight="1">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c r="BK99" s="34"/>
      <c r="BL99" s="34"/>
      <c r="BM99" s="34"/>
      <c r="BN99" s="34"/>
      <c r="BO99" s="34"/>
      <c r="BP99" s="34"/>
      <c r="BQ99" s="34"/>
      <c r="BR99" s="34"/>
      <c r="BS99" s="34"/>
      <c r="BT99" s="34"/>
      <c r="BU99" s="34"/>
      <c r="BV99" s="34"/>
      <c r="BW99" s="34"/>
      <c r="BX99" s="34"/>
      <c r="BY99" s="34"/>
      <c r="BZ99" s="34"/>
    </row>
    <row r="100" spans="1:78" ht="12" customHeight="1">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c r="AT100" s="34"/>
      <c r="AU100" s="34"/>
      <c r="AV100" s="34"/>
      <c r="AW100" s="34"/>
      <c r="AX100" s="34"/>
      <c r="AY100" s="34"/>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34"/>
      <c r="BZ100" s="34"/>
    </row>
    <row r="101" spans="1:78" ht="12" customHeight="1">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34"/>
      <c r="BZ101" s="34"/>
    </row>
    <row r="102" spans="1:78" ht="12" customHeight="1">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c r="AT102" s="34"/>
      <c r="AU102" s="34"/>
      <c r="AV102" s="34"/>
      <c r="AW102" s="34"/>
      <c r="AX102" s="34"/>
      <c r="AY102" s="34"/>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34"/>
      <c r="BZ102" s="34"/>
    </row>
    <row r="103" spans="1:78" ht="12" customHeight="1">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34"/>
      <c r="BZ103" s="34"/>
    </row>
    <row r="104" spans="1:78" ht="12" customHeight="1">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c r="AT104" s="34"/>
      <c r="AU104" s="34"/>
      <c r="AV104" s="34"/>
      <c r="AW104" s="34"/>
      <c r="AX104" s="34"/>
      <c r="AY104" s="34"/>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34"/>
      <c r="BZ104" s="34"/>
    </row>
    <row r="105" spans="1:78" ht="12" customHeight="1">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34"/>
      <c r="BZ105" s="34"/>
    </row>
    <row r="106" spans="1:78" ht="12" customHeight="1">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c r="AT106" s="34"/>
      <c r="AU106" s="34"/>
      <c r="AV106" s="34"/>
      <c r="AW106" s="34"/>
      <c r="AX106" s="34"/>
      <c r="AY106" s="34"/>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34"/>
    </row>
    <row r="107" spans="1:78" ht="12" customHeight="1">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34"/>
      <c r="BW107" s="34"/>
      <c r="BX107" s="34"/>
      <c r="BY107" s="34"/>
      <c r="BZ107" s="34"/>
    </row>
    <row r="108" spans="1:78" ht="12" customHeight="1">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34"/>
    </row>
    <row r="109" spans="1:78" ht="12" customHeight="1">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34"/>
    </row>
    <row r="110" spans="1:78" ht="12" customHeight="1">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row>
    <row r="111" spans="1:78" ht="12" customHeight="1">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c r="AT111" s="34"/>
      <c r="AU111" s="34"/>
      <c r="AV111" s="34"/>
      <c r="AW111" s="34"/>
      <c r="AX111" s="34"/>
      <c r="AY111" s="34"/>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4"/>
    </row>
    <row r="112" spans="1:78" ht="12" customHeight="1">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c r="AT112" s="34"/>
      <c r="AU112" s="34"/>
      <c r="AV112" s="34"/>
      <c r="AW112" s="34"/>
      <c r="AX112" s="34"/>
      <c r="AY112" s="34"/>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4"/>
    </row>
    <row r="113" spans="1:78" ht="12" customHeight="1">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4"/>
    </row>
    <row r="114" spans="1:78" ht="12" customHeight="1">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c r="AL114" s="34"/>
      <c r="AM114" s="34"/>
      <c r="AN114" s="34"/>
      <c r="AO114" s="34"/>
      <c r="AP114" s="34"/>
      <c r="AQ114" s="34"/>
      <c r="AR114" s="34"/>
      <c r="AS114" s="34"/>
      <c r="AT114" s="34"/>
      <c r="AU114" s="34"/>
      <c r="AV114" s="34"/>
      <c r="AW114" s="34"/>
      <c r="AX114" s="34"/>
      <c r="AY114" s="34"/>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4"/>
    </row>
    <row r="115" spans="1:78" ht="12" customHeight="1">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4"/>
    </row>
    <row r="116" spans="1:78" ht="12" customHeight="1">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4"/>
    </row>
    <row r="117" spans="1:78" ht="12" customHeight="1">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4"/>
    </row>
    <row r="118" spans="1:78" ht="12" customHeight="1">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4"/>
    </row>
    <row r="119" spans="1:78" ht="12" customHeight="1">
      <c r="B119" s="34"/>
      <c r="C119" s="34"/>
      <c r="D119" s="34"/>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4"/>
    </row>
    <row r="120" spans="1:78" ht="12" customHeight="1">
      <c r="B120" s="34"/>
      <c r="C120" s="34"/>
      <c r="D120" s="34"/>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4"/>
    </row>
    <row r="121" spans="1:78" ht="12" customHeight="1">
      <c r="B121" s="34"/>
      <c r="C121" s="34"/>
      <c r="D121" s="34"/>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4"/>
    </row>
    <row r="122" spans="1:78" ht="12" customHeight="1">
      <c r="B122" s="34"/>
      <c r="C122" s="34"/>
      <c r="D122" s="34"/>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4"/>
    </row>
    <row r="123" spans="1:78" ht="12" customHeight="1">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4"/>
    </row>
    <row r="124" spans="1:78" ht="12" customHeight="1">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4"/>
    </row>
    <row r="125" spans="1:78" ht="12" customHeight="1">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4"/>
    </row>
    <row r="126" spans="1:78" ht="12" customHeight="1">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4"/>
    </row>
    <row r="127" spans="1:78" ht="12" customHeight="1">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4"/>
    </row>
    <row r="128" spans="1:78" ht="12" customHeight="1">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4"/>
    </row>
    <row r="129" spans="2:78" ht="12" customHeight="1">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4"/>
    </row>
    <row r="130" spans="2:78" ht="12" customHeight="1">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4"/>
    </row>
    <row r="131" spans="2:78" ht="12" customHeight="1">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4"/>
    </row>
    <row r="132" spans="2:78" ht="12" customHeight="1">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c r="AL132" s="34"/>
      <c r="AM132" s="34"/>
      <c r="AN132" s="34"/>
      <c r="AO132" s="34"/>
      <c r="AP132" s="34"/>
      <c r="AQ132" s="34"/>
      <c r="AR132" s="34"/>
      <c r="AS132" s="34"/>
      <c r="AT132" s="34"/>
      <c r="AU132" s="34"/>
      <c r="AV132" s="34"/>
      <c r="AW132" s="34"/>
      <c r="AX132" s="34"/>
      <c r="AY132" s="34"/>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4"/>
    </row>
    <row r="133" spans="2:78" ht="12" customHeight="1">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4"/>
    </row>
    <row r="134" spans="2:78" ht="12" customHeight="1">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4"/>
    </row>
    <row r="135" spans="2:78" ht="12" customHeight="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4"/>
    </row>
    <row r="136" spans="2:78" ht="12" customHeight="1">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4"/>
    </row>
    <row r="137" spans="2:78" ht="12" customHeight="1">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4"/>
    </row>
    <row r="138" spans="2:78" ht="12" customHeight="1">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4"/>
    </row>
    <row r="139" spans="2:78" ht="12" customHeight="1">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4"/>
    </row>
    <row r="140" spans="2:78" ht="12" customHeight="1">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c r="AL140" s="34"/>
      <c r="AM140" s="34"/>
      <c r="AN140" s="34"/>
      <c r="AO140" s="34"/>
      <c r="AP140" s="34"/>
      <c r="AQ140" s="34"/>
      <c r="AR140" s="34"/>
      <c r="AS140" s="34"/>
      <c r="AT140" s="34"/>
      <c r="AU140" s="34"/>
      <c r="AV140" s="34"/>
      <c r="AW140" s="34"/>
      <c r="AX140" s="34"/>
      <c r="AY140" s="34"/>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4"/>
    </row>
    <row r="141" spans="2:78" ht="12" customHeight="1">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4"/>
    </row>
    <row r="142" spans="2:78" ht="12" customHeight="1">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34"/>
      <c r="BW142" s="34"/>
      <c r="BX142" s="34"/>
      <c r="BY142" s="34"/>
      <c r="BZ142" s="34"/>
    </row>
    <row r="143" spans="2:78" ht="12" customHeight="1">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34"/>
      <c r="BW143" s="34"/>
      <c r="BX143" s="34"/>
      <c r="BY143" s="34"/>
      <c r="BZ143" s="34"/>
    </row>
    <row r="144" spans="2:78" ht="12" customHeight="1">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c r="AL144" s="34"/>
      <c r="AM144" s="34"/>
      <c r="AN144" s="34"/>
      <c r="AO144" s="34"/>
      <c r="AP144" s="34"/>
      <c r="AQ144" s="34"/>
      <c r="AR144" s="34"/>
      <c r="AS144" s="34"/>
      <c r="AT144" s="34"/>
      <c r="AU144" s="34"/>
      <c r="AV144" s="34"/>
      <c r="AW144" s="34"/>
      <c r="AX144" s="34"/>
      <c r="AY144" s="34"/>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34"/>
      <c r="BZ144" s="34"/>
    </row>
    <row r="145" spans="2:78" ht="12" customHeight="1">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34"/>
      <c r="BZ145" s="34"/>
    </row>
    <row r="146" spans="2:78" ht="12" customHeight="1">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c r="AL146" s="34"/>
      <c r="AM146" s="34"/>
      <c r="AN146" s="34"/>
      <c r="AO146" s="34"/>
      <c r="AP146" s="34"/>
      <c r="AQ146" s="34"/>
      <c r="AR146" s="34"/>
      <c r="AS146" s="34"/>
      <c r="AT146" s="34"/>
      <c r="AU146" s="34"/>
      <c r="AV146" s="34"/>
      <c r="AW146" s="34"/>
      <c r="AX146" s="34"/>
      <c r="AY146" s="34"/>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4"/>
    </row>
    <row r="147" spans="2:78" ht="12" customHeight="1">
      <c r="B147" s="34"/>
      <c r="C147" s="34"/>
      <c r="D147" s="34"/>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4"/>
    </row>
    <row r="148" spans="2:78" ht="12" customHeight="1">
      <c r="B148" s="34"/>
      <c r="C148" s="34"/>
      <c r="D148" s="34"/>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34"/>
      <c r="AJ148" s="34"/>
      <c r="AK148" s="34"/>
      <c r="AL148" s="34"/>
      <c r="AM148" s="34"/>
      <c r="AN148" s="34"/>
      <c r="AO148" s="34"/>
      <c r="AP148" s="34"/>
      <c r="AQ148" s="34"/>
      <c r="AR148" s="34"/>
      <c r="AS148" s="34"/>
      <c r="AT148" s="34"/>
      <c r="AU148" s="34"/>
      <c r="AV148" s="34"/>
      <c r="AW148" s="34"/>
      <c r="AX148" s="34"/>
      <c r="AY148" s="34"/>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4"/>
    </row>
    <row r="149" spans="2:78" ht="12" customHeight="1">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4"/>
    </row>
    <row r="150" spans="2:78" ht="12" customHeight="1">
      <c r="B150" s="34"/>
      <c r="C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4"/>
    </row>
    <row r="151" spans="2:78" ht="12" customHeight="1">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34"/>
    </row>
    <row r="152" spans="2:78" ht="12" customHeight="1">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c r="AM152" s="34"/>
      <c r="AN152" s="34"/>
      <c r="AO152" s="34"/>
      <c r="AP152" s="34"/>
      <c r="AQ152" s="34"/>
      <c r="AR152" s="34"/>
      <c r="AS152" s="34"/>
      <c r="AT152" s="34"/>
      <c r="AU152" s="34"/>
      <c r="AV152" s="34"/>
      <c r="AW152" s="34"/>
      <c r="AX152" s="34"/>
      <c r="AY152" s="34"/>
      <c r="AZ152" s="34"/>
      <c r="BA152" s="34"/>
      <c r="BB152" s="34"/>
      <c r="BC152" s="34"/>
      <c r="BD152" s="34"/>
      <c r="BE152" s="34"/>
      <c r="BF152" s="34"/>
      <c r="BG152" s="34"/>
      <c r="BH152" s="34"/>
      <c r="BI152" s="34"/>
      <c r="BJ152" s="34"/>
      <c r="BK152" s="34"/>
      <c r="BL152" s="34"/>
      <c r="BM152" s="34"/>
      <c r="BN152" s="34"/>
      <c r="BO152" s="34"/>
      <c r="BP152" s="34"/>
      <c r="BQ152" s="34"/>
      <c r="BR152" s="34"/>
      <c r="BS152" s="34"/>
      <c r="BT152" s="34"/>
      <c r="BU152" s="34"/>
      <c r="BV152" s="34"/>
      <c r="BW152" s="34"/>
      <c r="BX152" s="34"/>
      <c r="BY152" s="34"/>
      <c r="BZ152" s="34"/>
    </row>
    <row r="153" spans="2:78" ht="12" customHeight="1">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c r="BI153" s="34"/>
      <c r="BJ153" s="34"/>
      <c r="BK153" s="34"/>
      <c r="BL153" s="34"/>
      <c r="BM153" s="34"/>
      <c r="BN153" s="34"/>
      <c r="BO153" s="34"/>
      <c r="BP153" s="34"/>
      <c r="BQ153" s="34"/>
      <c r="BR153" s="34"/>
      <c r="BS153" s="34"/>
      <c r="BT153" s="34"/>
      <c r="BU153" s="34"/>
      <c r="BV153" s="34"/>
      <c r="BW153" s="34"/>
      <c r="BX153" s="34"/>
      <c r="BY153" s="34"/>
      <c r="BZ153" s="34"/>
    </row>
    <row r="154" spans="2:78" ht="12" customHeight="1">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c r="AL154" s="34"/>
      <c r="AM154" s="34"/>
      <c r="AN154" s="34"/>
      <c r="AO154" s="34"/>
      <c r="AP154" s="34"/>
      <c r="AQ154" s="34"/>
      <c r="AR154" s="34"/>
      <c r="AS154" s="34"/>
      <c r="AT154" s="34"/>
      <c r="AU154" s="34"/>
      <c r="AV154" s="34"/>
      <c r="AW154" s="34"/>
      <c r="AX154" s="34"/>
      <c r="AY154" s="34"/>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34"/>
      <c r="BW154" s="34"/>
      <c r="BX154" s="34"/>
      <c r="BY154" s="34"/>
      <c r="BZ154" s="34"/>
    </row>
    <row r="155" spans="2:78" ht="12" customHeight="1">
      <c r="W155" s="34"/>
      <c r="X155" s="34"/>
      <c r="Y155" s="34"/>
      <c r="Z155" s="34"/>
      <c r="AA155" s="34"/>
      <c r="AB155" s="34"/>
      <c r="AC155" s="34"/>
      <c r="AD155" s="34"/>
      <c r="AE155" s="34"/>
      <c r="AF155" s="34"/>
      <c r="AG155" s="34"/>
      <c r="AH155" s="34"/>
      <c r="AI155" s="34"/>
      <c r="AJ155" s="34"/>
      <c r="AK155" s="34"/>
      <c r="AL155" s="34"/>
      <c r="AM155" s="34"/>
      <c r="AN155" s="34"/>
      <c r="AO155" s="34"/>
      <c r="AP155" s="34"/>
      <c r="AQ155" s="34"/>
      <c r="AR155" s="34"/>
      <c r="AS155" s="34"/>
      <c r="AT155" s="34"/>
      <c r="AU155" s="34"/>
      <c r="AV155" s="34"/>
      <c r="AW155" s="34"/>
      <c r="AX155" s="34"/>
      <c r="AY155" s="34"/>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4"/>
    </row>
    <row r="156" spans="2:78" ht="12" customHeight="1">
      <c r="Z156" s="34"/>
      <c r="AA156" s="34"/>
      <c r="AB156" s="34"/>
      <c r="AC156" s="34"/>
      <c r="AD156" s="34"/>
      <c r="AE156" s="34"/>
      <c r="AF156" s="34"/>
      <c r="AG156" s="34"/>
      <c r="AH156" s="34"/>
      <c r="AI156" s="34"/>
      <c r="AJ156" s="34"/>
      <c r="AK156" s="34"/>
      <c r="AL156" s="34"/>
      <c r="AM156" s="34"/>
      <c r="AN156" s="34"/>
    </row>
    <row r="157" spans="2:78" ht="12" customHeight="1"/>
    <row r="158" spans="2:78" ht="12" customHeight="1"/>
    <row r="159" spans="2:78" ht="12" customHeight="1"/>
    <row r="160" spans="2:78"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sheetData>
  <sheetProtection algorithmName="SHA-512" hashValue="OHoOCdf39kbRnn1b+ekL7GTN1zGCKvLObb8GQjPSIT/KVhxblkCnwD0LpM59epd5fwljtjYtKuhf6NSKmPLaLw==" saltValue="3YQqY5voLLksc/0L/6ToYQ==" spinCount="100000" sheet="1" objects="1" scenarios="1"/>
  <mergeCells count="8">
    <mergeCell ref="B21:AN21"/>
    <mergeCell ref="E56:V56"/>
    <mergeCell ref="C24:U24"/>
    <mergeCell ref="E27:V27"/>
    <mergeCell ref="E29:V29"/>
    <mergeCell ref="E31:V31"/>
    <mergeCell ref="Z51:AN57"/>
    <mergeCell ref="Z23:AN25"/>
  </mergeCells>
  <conditionalFormatting sqref="Z26:AA49">
    <cfRule type="cellIs" dxfId="154" priority="1" operator="equal">
      <formula>0</formula>
    </cfRule>
  </conditionalFormatting>
  <conditionalFormatting sqref="AA36">
    <cfRule type="cellIs" dxfId="153" priority="6" operator="equal">
      <formula>0</formula>
    </cfRule>
  </conditionalFormatting>
  <printOptions horizontalCentered="1"/>
  <pageMargins left="0.25" right="0.25" top="0.75" bottom="0.75" header="0.3" footer="0.3"/>
  <pageSetup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59999389629810485"/>
  </sheetPr>
  <dimension ref="A1:O89"/>
  <sheetViews>
    <sheetView showGridLines="0" workbookViewId="0"/>
  </sheetViews>
  <sheetFormatPr defaultRowHeight="15"/>
  <cols>
    <col min="1" max="1" width="14.7109375" customWidth="1"/>
    <col min="2" max="2" width="9.5703125" customWidth="1"/>
    <col min="3" max="5" width="9.28515625" style="35"/>
    <col min="7" max="7" width="12.7109375" customWidth="1"/>
    <col min="13" max="13" width="9.28515625" customWidth="1"/>
    <col min="14" max="14" width="0" hidden="1" customWidth="1"/>
    <col min="15" max="15" width="14.5703125" customWidth="1"/>
  </cols>
  <sheetData>
    <row r="1" spans="1:15" ht="30" customHeight="1">
      <c r="A1" s="1064" t="s">
        <v>1373</v>
      </c>
    </row>
    <row r="2" spans="1:15" ht="19.5" customHeight="1">
      <c r="O2" s="1462" t="s">
        <v>0</v>
      </c>
    </row>
    <row r="3" spans="1:15" ht="327" customHeight="1">
      <c r="A3" s="1981" t="s">
        <v>1658</v>
      </c>
      <c r="B3" s="1982"/>
      <c r="C3" s="1982"/>
      <c r="D3" s="1982"/>
      <c r="E3" s="1982"/>
      <c r="F3" s="1982"/>
      <c r="G3" s="1982"/>
      <c r="H3" s="1982"/>
      <c r="I3" s="1982"/>
      <c r="J3" s="1982"/>
      <c r="K3" s="1982"/>
      <c r="L3" s="1982"/>
      <c r="M3" s="1982"/>
      <c r="N3" s="1283"/>
      <c r="O3" s="1370" t="s">
        <v>1833</v>
      </c>
    </row>
    <row r="4" spans="1:15" ht="12.4" customHeight="1">
      <c r="A4" s="967"/>
      <c r="B4" s="967"/>
      <c r="C4" s="967"/>
      <c r="D4" s="967"/>
      <c r="E4" s="967"/>
      <c r="F4" s="967"/>
      <c r="G4" s="967"/>
      <c r="H4" s="967"/>
      <c r="I4" s="967"/>
      <c r="J4" s="967"/>
      <c r="K4" s="967"/>
      <c r="L4" s="967"/>
      <c r="M4" s="967"/>
      <c r="N4" s="967"/>
      <c r="O4" s="967"/>
    </row>
    <row r="5" spans="1:15" ht="21" customHeight="1">
      <c r="A5" s="1057" t="s">
        <v>1659</v>
      </c>
      <c r="B5" s="49"/>
      <c r="C5" s="1060"/>
      <c r="D5" s="1060"/>
      <c r="E5" s="1060"/>
      <c r="F5" s="49"/>
      <c r="G5" s="49"/>
      <c r="H5" s="49"/>
      <c r="I5" s="49"/>
      <c r="J5" s="49"/>
      <c r="K5" s="49"/>
      <c r="L5" s="49"/>
      <c r="M5" s="49"/>
      <c r="N5" s="49"/>
      <c r="O5" s="1477" t="s">
        <v>322</v>
      </c>
    </row>
    <row r="6" spans="1:15" ht="19.149999999999999" customHeight="1">
      <c r="A6" s="1985" t="s">
        <v>1515</v>
      </c>
      <c r="B6" s="1986"/>
      <c r="C6" s="1986"/>
      <c r="D6" s="1986"/>
      <c r="E6" s="1986"/>
      <c r="F6" s="1986"/>
      <c r="G6" s="1986"/>
      <c r="H6" s="1065"/>
      <c r="I6" s="1065"/>
      <c r="J6" s="1065"/>
      <c r="K6" s="1065"/>
      <c r="L6" s="1063"/>
      <c r="M6" s="1063" t="s">
        <v>1638</v>
      </c>
      <c r="N6" s="1065"/>
      <c r="O6" s="1976" t="s">
        <v>1631</v>
      </c>
    </row>
    <row r="7" spans="1:15" ht="78.75" customHeight="1">
      <c r="A7" s="1983" t="s">
        <v>1672</v>
      </c>
      <c r="B7" s="1984"/>
      <c r="C7" s="1984"/>
      <c r="D7" s="1984"/>
      <c r="E7" s="1984"/>
      <c r="F7" s="1984"/>
      <c r="G7" s="1984"/>
      <c r="H7" s="1984"/>
      <c r="I7" s="1984"/>
      <c r="J7" s="1984"/>
      <c r="K7" s="1984"/>
      <c r="L7" s="1300"/>
      <c r="M7" s="1361" t="s">
        <v>1639</v>
      </c>
      <c r="N7" s="1300"/>
      <c r="O7" s="1976"/>
    </row>
    <row r="8" spans="1:15" ht="122.25" customHeight="1">
      <c r="A8" s="1058"/>
      <c r="B8" s="987"/>
      <c r="C8" s="1061"/>
      <c r="D8" s="1061"/>
      <c r="E8" s="1061"/>
      <c r="F8" s="987"/>
      <c r="G8" s="987"/>
      <c r="H8" s="987"/>
      <c r="I8" s="987"/>
      <c r="J8" s="987"/>
      <c r="K8" s="987"/>
      <c r="L8" s="987"/>
      <c r="M8" s="987"/>
      <c r="N8" s="987"/>
      <c r="O8" s="1977"/>
    </row>
    <row r="9" spans="1:15" ht="12.75" customHeight="1">
      <c r="A9" s="3"/>
    </row>
    <row r="10" spans="1:15" ht="25.15" customHeight="1">
      <c r="B10" s="782"/>
      <c r="C10" s="1066"/>
      <c r="D10" s="1066"/>
      <c r="E10" s="1066"/>
      <c r="F10" s="782"/>
      <c r="G10" s="782"/>
      <c r="H10" s="782"/>
      <c r="I10" s="782"/>
      <c r="J10" s="782"/>
      <c r="K10" s="782"/>
      <c r="L10" s="782"/>
    </row>
    <row r="11" spans="1:15" ht="18.399999999999999" hidden="1" customHeight="1">
      <c r="A11" s="1980" t="s">
        <v>0</v>
      </c>
      <c r="B11" s="1980"/>
      <c r="C11" s="1980"/>
      <c r="D11" s="1980"/>
      <c r="E11" s="1980"/>
      <c r="F11" s="1980"/>
      <c r="G11" s="1980"/>
      <c r="H11" s="1980"/>
      <c r="I11" s="1980"/>
      <c r="J11" s="1980"/>
      <c r="K11" s="1980"/>
      <c r="L11" s="1980"/>
    </row>
    <row r="12" spans="1:15" ht="4.5" customHeight="1"/>
    <row r="13" spans="1:15" hidden="1"/>
    <row r="14" spans="1:15" hidden="1"/>
    <row r="15" spans="1:15" hidden="1"/>
    <row r="16" spans="1:15" hidden="1"/>
    <row r="17" spans="1:11" hidden="1"/>
    <row r="18" spans="1:11" hidden="1"/>
    <row r="19" spans="1:11" hidden="1"/>
    <row r="20" spans="1:11" ht="14.25" customHeight="1">
      <c r="A20" s="960" t="s">
        <v>1442</v>
      </c>
      <c r="G20" s="960" t="s">
        <v>0</v>
      </c>
    </row>
    <row r="21" spans="1:11" ht="31.5" customHeight="1">
      <c r="A21" s="1978" t="s">
        <v>1514</v>
      </c>
      <c r="B21" s="1978"/>
      <c r="C21" s="1978"/>
      <c r="D21" s="1978"/>
      <c r="E21" s="1978"/>
      <c r="G21" s="1979"/>
      <c r="H21" s="1979"/>
      <c r="I21" s="1979"/>
      <c r="J21" s="1979"/>
      <c r="K21" s="1979"/>
    </row>
    <row r="22" spans="1:11" ht="38.25" customHeight="1">
      <c r="A22" s="883" t="s">
        <v>1313</v>
      </c>
      <c r="B22" s="883" t="s">
        <v>1314</v>
      </c>
      <c r="C22" s="883" t="s">
        <v>1315</v>
      </c>
      <c r="D22" s="883" t="s">
        <v>1316</v>
      </c>
      <c r="E22" s="931" t="s">
        <v>1398</v>
      </c>
      <c r="G22" s="1062"/>
      <c r="H22" s="1062"/>
      <c r="I22" s="1062"/>
      <c r="J22" s="1062"/>
      <c r="K22" s="1062"/>
    </row>
    <row r="23" spans="1:11">
      <c r="A23" s="884" t="s">
        <v>1317</v>
      </c>
      <c r="B23" s="884" t="s">
        <v>1318</v>
      </c>
      <c r="C23" s="885" t="s">
        <v>1319</v>
      </c>
      <c r="D23" s="885">
        <v>15</v>
      </c>
      <c r="E23" s="885">
        <v>18</v>
      </c>
      <c r="G23" s="1063"/>
      <c r="H23" s="894"/>
      <c r="I23" s="1062"/>
      <c r="J23" s="1062"/>
      <c r="K23" s="1062"/>
    </row>
    <row r="24" spans="1:11">
      <c r="A24" s="884" t="s">
        <v>1320</v>
      </c>
      <c r="B24" s="884" t="s">
        <v>1318</v>
      </c>
      <c r="C24" s="885" t="s">
        <v>1321</v>
      </c>
      <c r="D24" s="885">
        <v>15</v>
      </c>
      <c r="E24" s="885">
        <v>18</v>
      </c>
      <c r="G24" s="3"/>
      <c r="H24" s="3"/>
      <c r="I24" s="244"/>
      <c r="J24" s="244"/>
      <c r="K24" s="244"/>
    </row>
    <row r="25" spans="1:11">
      <c r="A25" s="884" t="s">
        <v>1322</v>
      </c>
      <c r="B25" s="884" t="s">
        <v>1323</v>
      </c>
      <c r="C25" s="885" t="s">
        <v>1319</v>
      </c>
      <c r="D25" s="885">
        <v>17</v>
      </c>
      <c r="E25" s="885">
        <v>18</v>
      </c>
      <c r="G25" s="3"/>
      <c r="H25" s="3"/>
      <c r="I25" s="244"/>
      <c r="J25" s="244"/>
      <c r="K25" s="244"/>
    </row>
    <row r="26" spans="1:11">
      <c r="A26" s="1381" t="s">
        <v>1677</v>
      </c>
      <c r="B26" s="1381" t="s">
        <v>1318</v>
      </c>
      <c r="C26" s="1382" t="s">
        <v>1321</v>
      </c>
      <c r="D26" s="1380">
        <v>25</v>
      </c>
      <c r="E26" s="1380">
        <v>30</v>
      </c>
      <c r="G26" s="3"/>
      <c r="H26" s="3"/>
      <c r="I26" s="244"/>
      <c r="J26" s="244"/>
      <c r="K26" s="244"/>
    </row>
    <row r="27" spans="1:11">
      <c r="A27" s="884" t="s">
        <v>1324</v>
      </c>
      <c r="B27" s="884" t="s">
        <v>1323</v>
      </c>
      <c r="C27" s="885" t="s">
        <v>1321</v>
      </c>
      <c r="D27" s="885">
        <v>20</v>
      </c>
      <c r="E27" s="885">
        <v>28</v>
      </c>
      <c r="G27" s="3"/>
      <c r="H27" s="3"/>
      <c r="I27" s="244"/>
      <c r="J27" s="244"/>
      <c r="K27" s="244"/>
    </row>
    <row r="28" spans="1:11">
      <c r="A28" s="884" t="s">
        <v>1325</v>
      </c>
      <c r="B28" s="884" t="s">
        <v>1323</v>
      </c>
      <c r="C28" s="885" t="s">
        <v>1321</v>
      </c>
      <c r="D28" s="885">
        <v>35</v>
      </c>
      <c r="E28" s="885">
        <v>45</v>
      </c>
      <c r="G28" s="3"/>
      <c r="H28" s="3"/>
      <c r="I28" s="244"/>
      <c r="J28" s="244"/>
      <c r="K28" s="244"/>
    </row>
    <row r="29" spans="1:11">
      <c r="A29" s="884" t="s">
        <v>1326</v>
      </c>
      <c r="B29" s="884" t="s">
        <v>1327</v>
      </c>
      <c r="C29" s="885" t="s">
        <v>1321</v>
      </c>
      <c r="D29" s="885">
        <v>42</v>
      </c>
      <c r="E29" s="885">
        <v>50</v>
      </c>
      <c r="G29" s="3"/>
      <c r="H29" s="3"/>
      <c r="I29" s="244"/>
      <c r="J29" s="244"/>
      <c r="K29" s="244"/>
    </row>
    <row r="30" spans="1:11">
      <c r="A30" s="884" t="s">
        <v>1328</v>
      </c>
      <c r="B30" s="884" t="s">
        <v>1329</v>
      </c>
      <c r="C30" s="885" t="s">
        <v>1319</v>
      </c>
      <c r="D30" s="885">
        <v>25</v>
      </c>
      <c r="E30" s="885">
        <v>28</v>
      </c>
      <c r="G30" s="3"/>
      <c r="H30" s="3"/>
      <c r="I30" s="244"/>
      <c r="J30" s="244"/>
      <c r="K30" s="244"/>
    </row>
    <row r="31" spans="1:11">
      <c r="A31" s="884" t="s">
        <v>1330</v>
      </c>
      <c r="B31" s="884" t="s">
        <v>1329</v>
      </c>
      <c r="C31" s="885" t="s">
        <v>1321</v>
      </c>
      <c r="D31" s="885">
        <v>30</v>
      </c>
      <c r="E31" s="885">
        <v>37</v>
      </c>
      <c r="G31" s="3"/>
      <c r="H31" s="3"/>
      <c r="I31" s="244"/>
      <c r="J31" s="244"/>
      <c r="K31" s="244"/>
    </row>
    <row r="32" spans="1:11">
      <c r="A32" s="884" t="s">
        <v>1331</v>
      </c>
      <c r="B32" s="884" t="s">
        <v>1332</v>
      </c>
      <c r="C32" s="885" t="s">
        <v>1321</v>
      </c>
      <c r="D32" s="885">
        <v>50</v>
      </c>
      <c r="E32" s="885">
        <v>57</v>
      </c>
      <c r="G32" s="3"/>
      <c r="H32" s="3"/>
      <c r="I32" s="244"/>
      <c r="J32" s="244"/>
      <c r="K32" s="244"/>
    </row>
    <row r="33" spans="1:11">
      <c r="A33" s="884" t="s">
        <v>1333</v>
      </c>
      <c r="B33" s="884" t="s">
        <v>1334</v>
      </c>
      <c r="C33" s="885" t="s">
        <v>1321</v>
      </c>
      <c r="D33" s="885">
        <v>35</v>
      </c>
      <c r="E33" s="885">
        <v>36.5</v>
      </c>
      <c r="G33" s="3"/>
      <c r="H33" s="3"/>
      <c r="I33" s="244"/>
      <c r="J33" s="244"/>
      <c r="K33" s="244"/>
    </row>
    <row r="34" spans="1:11">
      <c r="A34" s="884" t="s">
        <v>1335</v>
      </c>
      <c r="B34" s="884" t="s">
        <v>1334</v>
      </c>
      <c r="C34" s="885" t="s">
        <v>1321</v>
      </c>
      <c r="D34" s="885">
        <v>55</v>
      </c>
      <c r="E34" s="885">
        <v>67.5</v>
      </c>
      <c r="G34" s="3"/>
      <c r="H34" s="3"/>
      <c r="I34" s="244"/>
      <c r="J34" s="244"/>
      <c r="K34" s="244"/>
    </row>
    <row r="35" spans="1:11">
      <c r="A35" s="884" t="s">
        <v>1336</v>
      </c>
      <c r="B35" s="884" t="s">
        <v>1337</v>
      </c>
      <c r="C35" s="885" t="s">
        <v>1319</v>
      </c>
      <c r="D35" s="885">
        <v>32</v>
      </c>
      <c r="E35" s="885">
        <v>31</v>
      </c>
      <c r="G35" s="3"/>
      <c r="H35" s="3"/>
      <c r="I35" s="244"/>
      <c r="J35" s="244"/>
      <c r="K35" s="244"/>
    </row>
    <row r="36" spans="1:11">
      <c r="A36" s="884" t="s">
        <v>1338</v>
      </c>
      <c r="B36" s="884" t="s">
        <v>1337</v>
      </c>
      <c r="C36" s="885" t="s">
        <v>1319</v>
      </c>
      <c r="D36" s="885">
        <v>44</v>
      </c>
      <c r="E36" s="885">
        <v>50</v>
      </c>
      <c r="G36" s="3"/>
      <c r="H36" s="3"/>
      <c r="I36" s="244"/>
      <c r="J36" s="244"/>
      <c r="K36" s="244"/>
    </row>
    <row r="37" spans="1:11">
      <c r="A37" s="884" t="s">
        <v>1339</v>
      </c>
      <c r="B37" s="884" t="s">
        <v>1337</v>
      </c>
      <c r="C37" s="885" t="s">
        <v>1321</v>
      </c>
      <c r="D37" s="885">
        <v>39</v>
      </c>
      <c r="E37" s="885">
        <v>37</v>
      </c>
      <c r="G37" s="3"/>
      <c r="H37" s="3"/>
      <c r="I37" s="244"/>
      <c r="J37" s="244"/>
      <c r="K37" s="244"/>
    </row>
    <row r="38" spans="1:11">
      <c r="A38" s="884" t="s">
        <v>1340</v>
      </c>
      <c r="B38" s="884" t="s">
        <v>1337</v>
      </c>
      <c r="C38" s="885" t="s">
        <v>1321</v>
      </c>
      <c r="D38" s="885">
        <v>60</v>
      </c>
      <c r="E38" s="885">
        <v>72.5</v>
      </c>
      <c r="G38" s="3"/>
      <c r="H38" s="3"/>
      <c r="I38" s="244"/>
      <c r="J38" s="244"/>
      <c r="K38" s="244"/>
    </row>
    <row r="39" spans="1:11">
      <c r="A39" s="884" t="s">
        <v>1341</v>
      </c>
      <c r="B39" s="884" t="s">
        <v>1337</v>
      </c>
      <c r="C39" s="885" t="s">
        <v>1321</v>
      </c>
      <c r="D39" s="885">
        <v>110</v>
      </c>
      <c r="E39" s="885">
        <v>121</v>
      </c>
      <c r="G39" s="3"/>
      <c r="H39" s="3"/>
      <c r="I39" s="244"/>
      <c r="J39" s="244"/>
      <c r="K39" s="244"/>
    </row>
    <row r="40" spans="1:11">
      <c r="A40" s="884" t="s">
        <v>1342</v>
      </c>
      <c r="B40" s="884" t="s">
        <v>1343</v>
      </c>
      <c r="C40" s="885" t="s">
        <v>1319</v>
      </c>
      <c r="D40" s="885">
        <v>40</v>
      </c>
      <c r="E40" s="885">
        <v>36.5</v>
      </c>
      <c r="G40" s="3"/>
      <c r="H40" s="3"/>
      <c r="I40" s="244"/>
      <c r="J40" s="244"/>
      <c r="K40" s="244"/>
    </row>
    <row r="41" spans="1:11">
      <c r="A41" s="884" t="s">
        <v>1344</v>
      </c>
      <c r="B41" s="884" t="s">
        <v>1343</v>
      </c>
      <c r="C41" s="885" t="s">
        <v>1319</v>
      </c>
      <c r="D41" s="885">
        <v>55</v>
      </c>
      <c r="E41" s="885">
        <v>64.5</v>
      </c>
      <c r="G41" s="3"/>
      <c r="H41" s="3"/>
      <c r="I41" s="244"/>
      <c r="J41" s="244"/>
      <c r="K41" s="244"/>
    </row>
    <row r="42" spans="1:11">
      <c r="A42" s="884" t="s">
        <v>1345</v>
      </c>
      <c r="B42" s="884" t="s">
        <v>1343</v>
      </c>
      <c r="C42" s="885" t="s">
        <v>1321</v>
      </c>
      <c r="D42" s="885">
        <v>50</v>
      </c>
      <c r="E42" s="885">
        <v>64</v>
      </c>
      <c r="G42" s="3"/>
      <c r="H42" s="3"/>
      <c r="I42" s="244"/>
      <c r="J42" s="244"/>
      <c r="K42" s="244"/>
    </row>
    <row r="43" spans="1:11">
      <c r="A43" s="884" t="s">
        <v>1346</v>
      </c>
      <c r="B43" s="884" t="s">
        <v>1343</v>
      </c>
      <c r="C43" s="885" t="s">
        <v>1321</v>
      </c>
      <c r="D43" s="885">
        <v>75</v>
      </c>
      <c r="E43" s="885">
        <v>84</v>
      </c>
      <c r="G43" s="3"/>
      <c r="H43" s="3"/>
      <c r="I43" s="244"/>
      <c r="J43" s="244"/>
      <c r="K43" s="244"/>
    </row>
    <row r="44" spans="1:11">
      <c r="A44" s="884" t="s">
        <v>1347</v>
      </c>
      <c r="B44" s="884" t="s">
        <v>1343</v>
      </c>
      <c r="C44" s="885" t="s">
        <v>1321</v>
      </c>
      <c r="D44" s="885">
        <v>135</v>
      </c>
      <c r="E44" s="885">
        <v>155</v>
      </c>
      <c r="G44" s="3"/>
      <c r="H44" s="3"/>
      <c r="I44" s="244"/>
      <c r="J44" s="244"/>
      <c r="K44" s="244"/>
    </row>
    <row r="45" spans="1:11">
      <c r="A45" s="884" t="s">
        <v>1348</v>
      </c>
      <c r="B45" s="884" t="s">
        <v>1349</v>
      </c>
      <c r="C45" s="885" t="s">
        <v>1321</v>
      </c>
      <c r="D45" s="885">
        <v>80</v>
      </c>
      <c r="E45" s="885">
        <v>87.5</v>
      </c>
    </row>
    <row r="46" spans="1:11">
      <c r="A46" s="884" t="s">
        <v>1350</v>
      </c>
      <c r="B46" s="884" t="s">
        <v>1351</v>
      </c>
      <c r="C46" s="885" t="s">
        <v>1319</v>
      </c>
      <c r="D46" s="885">
        <v>46</v>
      </c>
      <c r="E46" s="885">
        <v>43</v>
      </c>
    </row>
    <row r="47" spans="1:11">
      <c r="A47" s="884" t="s">
        <v>1352</v>
      </c>
      <c r="B47" s="884" t="s">
        <v>1351</v>
      </c>
      <c r="C47" s="885" t="s">
        <v>1319</v>
      </c>
      <c r="D47" s="885">
        <v>66</v>
      </c>
      <c r="E47" s="885">
        <v>80</v>
      </c>
    </row>
    <row r="48" spans="1:11">
      <c r="A48" s="884" t="s">
        <v>1353</v>
      </c>
      <c r="B48" s="884" t="s">
        <v>1351</v>
      </c>
      <c r="C48" s="885" t="s">
        <v>1321</v>
      </c>
      <c r="D48" s="885">
        <v>55</v>
      </c>
      <c r="E48" s="885">
        <v>61</v>
      </c>
    </row>
    <row r="49" spans="1:11">
      <c r="A49" s="884" t="s">
        <v>1354</v>
      </c>
      <c r="B49" s="884" t="s">
        <v>1351</v>
      </c>
      <c r="C49" s="885" t="s">
        <v>1321</v>
      </c>
      <c r="D49" s="885">
        <v>85</v>
      </c>
      <c r="E49" s="885">
        <v>97</v>
      </c>
    </row>
    <row r="50" spans="1:11">
      <c r="A50" s="884" t="s">
        <v>1355</v>
      </c>
      <c r="B50" s="884" t="s">
        <v>1351</v>
      </c>
      <c r="C50" s="885" t="s">
        <v>1321</v>
      </c>
      <c r="D50" s="885">
        <v>168</v>
      </c>
      <c r="E50" s="885">
        <v>157</v>
      </c>
    </row>
    <row r="51" spans="1:11">
      <c r="A51" s="884" t="s">
        <v>1356</v>
      </c>
      <c r="B51" s="884" t="s">
        <v>1357</v>
      </c>
      <c r="C51" s="885" t="s">
        <v>1321</v>
      </c>
      <c r="D51" s="885">
        <v>100</v>
      </c>
      <c r="E51" s="885">
        <v>109.5</v>
      </c>
    </row>
    <row r="52" spans="1:11">
      <c r="A52" s="884" t="s">
        <v>1358</v>
      </c>
      <c r="B52" s="884" t="s">
        <v>1359</v>
      </c>
      <c r="C52" s="885" t="s">
        <v>1319</v>
      </c>
      <c r="D52" s="885">
        <v>59</v>
      </c>
      <c r="E52" s="885">
        <v>55</v>
      </c>
    </row>
    <row r="53" spans="1:11">
      <c r="A53" s="884" t="s">
        <v>1360</v>
      </c>
      <c r="B53" s="884" t="s">
        <v>1359</v>
      </c>
      <c r="C53" s="885" t="s">
        <v>1319</v>
      </c>
      <c r="D53" s="885">
        <v>86</v>
      </c>
      <c r="E53" s="885">
        <v>80</v>
      </c>
    </row>
    <row r="54" spans="1:11">
      <c r="A54" s="884" t="s">
        <v>1361</v>
      </c>
      <c r="B54" s="884" t="s">
        <v>1359</v>
      </c>
      <c r="C54" s="885" t="s">
        <v>1321</v>
      </c>
      <c r="D54" s="885">
        <v>60</v>
      </c>
      <c r="E54" s="885">
        <v>69</v>
      </c>
    </row>
    <row r="55" spans="1:11">
      <c r="A55" s="884" t="s">
        <v>1362</v>
      </c>
      <c r="B55" s="884" t="s">
        <v>1359</v>
      </c>
      <c r="C55" s="885" t="s">
        <v>1321</v>
      </c>
      <c r="D55" s="885">
        <v>110</v>
      </c>
      <c r="E55" s="885">
        <v>113.5</v>
      </c>
    </row>
    <row r="56" spans="1:11">
      <c r="A56" s="884" t="s">
        <v>1363</v>
      </c>
      <c r="B56" s="884" t="s">
        <v>1359</v>
      </c>
      <c r="C56" s="885" t="s">
        <v>1321</v>
      </c>
      <c r="D56" s="885">
        <v>185</v>
      </c>
      <c r="E56" s="885">
        <v>200</v>
      </c>
      <c r="G56" s="894"/>
      <c r="H56" s="894"/>
      <c r="I56" s="894"/>
      <c r="J56" s="894"/>
      <c r="K56" s="894"/>
    </row>
    <row r="57" spans="1:11">
      <c r="A57" s="884" t="s">
        <v>1364</v>
      </c>
      <c r="B57" s="884" t="s">
        <v>1365</v>
      </c>
      <c r="C57" s="885" t="s">
        <v>1321</v>
      </c>
      <c r="D57" s="885">
        <v>124</v>
      </c>
      <c r="E57" s="885">
        <v>129</v>
      </c>
      <c r="G57" s="894"/>
      <c r="H57" s="894"/>
      <c r="I57" s="894"/>
      <c r="J57" s="894"/>
      <c r="K57" s="894"/>
    </row>
    <row r="58" spans="1:11">
      <c r="A58" s="884" t="s">
        <v>1366</v>
      </c>
      <c r="B58" s="884" t="s">
        <v>1367</v>
      </c>
      <c r="C58" s="885" t="s">
        <v>1321</v>
      </c>
      <c r="D58" s="885">
        <v>132</v>
      </c>
      <c r="E58" s="885">
        <v>137</v>
      </c>
    </row>
    <row r="59" spans="1:11">
      <c r="A59" s="884" t="s">
        <v>1368</v>
      </c>
      <c r="B59" s="884" t="s">
        <v>1369</v>
      </c>
      <c r="C59" s="885" t="s">
        <v>1321</v>
      </c>
      <c r="D59" s="885">
        <v>135</v>
      </c>
      <c r="E59" s="885">
        <v>140.5</v>
      </c>
    </row>
    <row r="60" spans="1:11" ht="26.25" customHeight="1">
      <c r="A60" s="941">
        <v>45174</v>
      </c>
    </row>
    <row r="61" spans="1:11" ht="8.25" customHeight="1">
      <c r="B61" s="894"/>
      <c r="C61" s="894"/>
      <c r="D61" s="894"/>
      <c r="E61" s="894"/>
      <c r="F61" s="894"/>
    </row>
    <row r="62" spans="1:11" ht="19.5" customHeight="1">
      <c r="B62" s="894"/>
      <c r="C62" s="894"/>
      <c r="D62" s="894"/>
      <c r="E62" s="894"/>
      <c r="F62" s="894"/>
    </row>
    <row r="63" spans="1:11" ht="20.25" customHeight="1"/>
    <row r="64" spans="1:11" ht="6" customHeight="1"/>
    <row r="66" spans="2:11" ht="6.75" customHeight="1"/>
    <row r="68" spans="2:11" ht="6.75" customHeight="1"/>
    <row r="70" spans="2:11" ht="6" customHeight="1">
      <c r="G70" s="895"/>
      <c r="H70" s="895"/>
      <c r="I70" s="895"/>
      <c r="J70" s="895"/>
      <c r="K70" s="895"/>
    </row>
    <row r="71" spans="2:11">
      <c r="G71" s="895"/>
      <c r="H71" s="895"/>
      <c r="I71" s="895"/>
      <c r="J71" s="895"/>
      <c r="K71" s="895"/>
    </row>
    <row r="72" spans="2:11" ht="5.25" customHeight="1"/>
    <row r="74" spans="2:11" ht="13.5" customHeight="1"/>
    <row r="76" spans="2:11" ht="15" customHeight="1">
      <c r="B76" s="895"/>
      <c r="C76" s="895"/>
      <c r="D76" s="895"/>
      <c r="E76" s="895"/>
      <c r="F76" s="895"/>
    </row>
    <row r="77" spans="2:11">
      <c r="B77" s="895"/>
      <c r="C77" s="895"/>
      <c r="D77" s="895"/>
      <c r="E77" s="895"/>
      <c r="F77" s="895"/>
    </row>
    <row r="78" spans="2:11" ht="25.5" customHeight="1"/>
    <row r="79" spans="2:11" ht="1.5" customHeight="1"/>
    <row r="81" ht="6" customHeight="1"/>
    <row r="83" ht="6" customHeight="1"/>
    <row r="85" ht="6" customHeight="1"/>
    <row r="87" ht="6" customHeight="1"/>
    <row r="89" ht="6" customHeight="1"/>
  </sheetData>
  <sheetProtection algorithmName="SHA-512" hashValue="aJmZQF/nZy/LWJfCaigrcK39KGSwVbwIPhhMWI5KKqXPpWwAyW5M0IhzHwIpb03AKHEQjlxOl0mOzfs0Io0fRg==" saltValue="a87hKRazxACWcsrEGUXRXQ==" spinCount="100000" sheet="1" objects="1" scenarios="1"/>
  <mergeCells count="7">
    <mergeCell ref="O6:O8"/>
    <mergeCell ref="A21:E21"/>
    <mergeCell ref="G21:K21"/>
    <mergeCell ref="A11:L11"/>
    <mergeCell ref="A3:M3"/>
    <mergeCell ref="A7:K7"/>
    <mergeCell ref="A6:G6"/>
  </mergeCells>
  <pageMargins left="0.7" right="0.7" top="0.75" bottom="0.25" header="0.3" footer="0.3"/>
  <pageSetup scale="54" fitToHeight="2" orientation="portrait" horizontalDpi="4294967293" vertic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1">
    <pageSetUpPr fitToPage="1"/>
  </sheetPr>
  <dimension ref="A1:L57"/>
  <sheetViews>
    <sheetView showGridLines="0" workbookViewId="0"/>
  </sheetViews>
  <sheetFormatPr defaultRowHeight="15"/>
  <cols>
    <col min="1" max="1" width="4.28515625" customWidth="1"/>
    <col min="3" max="4" width="10.28515625" customWidth="1"/>
    <col min="9" max="9" width="8.7109375" customWidth="1"/>
    <col min="10" max="10" width="20.7109375" customWidth="1"/>
  </cols>
  <sheetData>
    <row r="1" spans="1:12" ht="20.25">
      <c r="A1" s="6"/>
      <c r="B1" s="7" t="s">
        <v>30</v>
      </c>
      <c r="C1" s="6"/>
      <c r="D1" s="6"/>
      <c r="E1" s="6"/>
      <c r="F1" s="6"/>
      <c r="G1" s="6"/>
      <c r="H1" s="6"/>
      <c r="I1" s="6"/>
      <c r="J1" s="6"/>
      <c r="K1" s="6" t="s">
        <v>0</v>
      </c>
      <c r="L1" s="6"/>
    </row>
    <row r="2" spans="1:12" ht="18">
      <c r="A2" s="6"/>
      <c r="B2" s="8"/>
      <c r="C2" s="6"/>
      <c r="D2" s="6"/>
      <c r="E2" s="6"/>
      <c r="F2" s="6"/>
      <c r="G2" s="6"/>
      <c r="H2" s="6"/>
      <c r="I2" s="6"/>
      <c r="J2" s="6"/>
      <c r="K2" s="6"/>
      <c r="L2" s="6"/>
    </row>
    <row r="3" spans="1:12" ht="18">
      <c r="A3" s="6"/>
      <c r="B3" s="8"/>
      <c r="C3" s="6"/>
      <c r="D3" s="6"/>
      <c r="E3" s="6"/>
      <c r="F3" s="6"/>
      <c r="G3" s="6"/>
      <c r="H3" s="6"/>
      <c r="I3" s="6"/>
      <c r="J3" s="6"/>
      <c r="K3" s="6"/>
      <c r="L3" s="6"/>
    </row>
    <row r="4" spans="1:12" ht="18">
      <c r="A4" s="6"/>
      <c r="B4" s="8"/>
      <c r="C4" s="6"/>
      <c r="D4" s="6"/>
      <c r="E4" s="6"/>
      <c r="F4" s="6"/>
      <c r="G4" s="6"/>
      <c r="H4" s="6"/>
      <c r="I4" s="6"/>
      <c r="J4" s="6"/>
      <c r="K4" s="6"/>
      <c r="L4" s="6"/>
    </row>
    <row r="5" spans="1:12" ht="18">
      <c r="A5" s="6"/>
      <c r="B5" s="8"/>
      <c r="C5" s="6"/>
      <c r="D5" s="6"/>
      <c r="E5" s="6"/>
      <c r="F5" s="6"/>
      <c r="G5" s="6"/>
      <c r="H5" s="6"/>
      <c r="I5" s="6"/>
      <c r="J5" s="6"/>
      <c r="K5" s="6"/>
      <c r="L5" s="6"/>
    </row>
    <row r="6" spans="1:12" ht="15.75" thickBot="1">
      <c r="A6" s="6"/>
      <c r="B6" s="9" t="s">
        <v>31</v>
      </c>
      <c r="C6" s="10"/>
      <c r="D6" s="10"/>
      <c r="E6" s="10"/>
      <c r="F6" s="10"/>
      <c r="G6" s="10"/>
      <c r="H6" s="10"/>
      <c r="I6" s="10"/>
      <c r="J6" s="10"/>
      <c r="K6" s="10"/>
      <c r="L6" s="10"/>
    </row>
    <row r="7" spans="1:12" ht="15.75" thickTop="1">
      <c r="A7" s="6"/>
      <c r="B7" s="707"/>
      <c r="C7" s="6"/>
      <c r="D7" s="6"/>
      <c r="E7" s="6"/>
      <c r="F7" s="6"/>
      <c r="G7" s="6"/>
      <c r="H7" s="6"/>
      <c r="I7" s="6"/>
      <c r="J7" s="6"/>
      <c r="K7" s="6"/>
      <c r="L7" s="6"/>
    </row>
    <row r="8" spans="1:12" ht="15.75">
      <c r="A8" s="6"/>
      <c r="B8" s="129" t="s">
        <v>1743</v>
      </c>
      <c r="C8" s="6"/>
      <c r="D8" s="1987">
        <f>'Data Entry'!B19</f>
        <v>0</v>
      </c>
      <c r="E8" s="1987"/>
      <c r="F8" s="1987"/>
      <c r="G8" s="1987"/>
      <c r="H8" s="1987"/>
      <c r="I8" s="1987"/>
      <c r="J8" s="1987"/>
      <c r="K8" s="1987"/>
      <c r="L8" s="1987"/>
    </row>
    <row r="9" spans="1:12">
      <c r="A9" s="6"/>
      <c r="B9" s="6"/>
      <c r="C9" s="6"/>
      <c r="D9" s="6"/>
      <c r="E9" s="6"/>
      <c r="F9" s="6"/>
      <c r="G9" s="6"/>
      <c r="H9" s="6"/>
      <c r="I9" s="6"/>
      <c r="J9" s="6"/>
      <c r="K9" s="6"/>
      <c r="L9" s="6"/>
    </row>
    <row r="10" spans="1:12" ht="15.75">
      <c r="A10" s="6"/>
      <c r="B10" s="11" t="s">
        <v>7</v>
      </c>
      <c r="C10" s="12"/>
      <c r="D10" s="1990">
        <f>'Data Entry'!B21</f>
        <v>0</v>
      </c>
      <c r="E10" s="1990"/>
      <c r="F10" s="1990"/>
      <c r="G10" s="1990"/>
      <c r="H10" s="1990"/>
      <c r="I10" s="1990"/>
      <c r="J10" s="1990"/>
      <c r="K10" s="1990"/>
      <c r="L10" s="1990"/>
    </row>
    <row r="11" spans="1:12" ht="15.75">
      <c r="A11" s="6"/>
      <c r="B11" s="11"/>
      <c r="C11" s="12"/>
      <c r="D11" s="12"/>
      <c r="E11" s="12"/>
      <c r="F11" s="12"/>
      <c r="G11" s="12"/>
      <c r="H11" s="12"/>
      <c r="I11" s="6"/>
      <c r="J11" s="6"/>
      <c r="K11" s="6"/>
      <c r="L11" s="6"/>
    </row>
    <row r="12" spans="1:12" ht="15.75">
      <c r="A12" s="6"/>
      <c r="B12" s="11" t="s">
        <v>283</v>
      </c>
      <c r="C12" s="12"/>
      <c r="D12" s="1990" t="str">
        <f>'Data Entry'!B33&amp;", " &amp;'Data Entry'!B39</f>
        <v xml:space="preserve">, </v>
      </c>
      <c r="E12" s="1990"/>
      <c r="F12" s="1990"/>
      <c r="G12" s="1990"/>
      <c r="H12" s="1990"/>
      <c r="I12" s="1990"/>
      <c r="J12" s="1990"/>
      <c r="K12" s="1990"/>
      <c r="L12" s="1990"/>
    </row>
    <row r="13" spans="1:12" ht="15.75">
      <c r="A13" s="6"/>
      <c r="B13" s="11"/>
      <c r="C13" s="6"/>
      <c r="D13" s="6"/>
      <c r="E13" s="6"/>
      <c r="F13" s="6"/>
      <c r="G13" s="6"/>
      <c r="H13" s="6"/>
      <c r="I13" s="6"/>
      <c r="J13" s="6"/>
      <c r="K13" s="6"/>
      <c r="L13" s="6"/>
    </row>
    <row r="14" spans="1:12" ht="15.75">
      <c r="A14" s="6"/>
      <c r="B14" s="11" t="s">
        <v>289</v>
      </c>
      <c r="C14" s="6"/>
      <c r="D14" s="1987">
        <f>'Data Entry'!B43</f>
        <v>0</v>
      </c>
      <c r="E14" s="1987"/>
      <c r="F14" s="1987"/>
      <c r="G14" s="1987"/>
      <c r="H14" s="1987"/>
      <c r="I14" s="1987"/>
      <c r="J14" s="1987"/>
      <c r="K14" s="1987"/>
      <c r="L14" s="1987"/>
    </row>
    <row r="15" spans="1:12">
      <c r="A15" s="6"/>
      <c r="B15" s="6"/>
      <c r="C15" s="6"/>
      <c r="D15" s="6"/>
      <c r="E15" s="6"/>
      <c r="F15" s="6"/>
      <c r="G15" s="6"/>
      <c r="H15" s="6"/>
      <c r="I15" s="6"/>
      <c r="J15" s="6"/>
      <c r="K15" s="6"/>
      <c r="L15" s="6"/>
    </row>
    <row r="16" spans="1:12" ht="18.75" thickBot="1">
      <c r="A16" s="6"/>
      <c r="B16" s="1989" t="s">
        <v>22</v>
      </c>
      <c r="C16" s="1989"/>
      <c r="D16" s="1989"/>
      <c r="E16" s="1989"/>
      <c r="F16" s="1989"/>
      <c r="G16" s="1989"/>
      <c r="H16" s="1989"/>
      <c r="I16" s="1989"/>
      <c r="J16" s="1989"/>
      <c r="K16" s="1989"/>
      <c r="L16" s="1989"/>
    </row>
    <row r="17" spans="1:12" ht="15.75" thickTop="1">
      <c r="A17" s="6"/>
      <c r="B17" s="13"/>
      <c r="C17" s="6"/>
      <c r="D17" s="6"/>
      <c r="E17" s="6"/>
      <c r="F17" s="6"/>
      <c r="G17" s="6"/>
      <c r="H17" s="6"/>
      <c r="I17" s="6"/>
      <c r="J17" s="6"/>
      <c r="K17" s="6"/>
      <c r="L17" s="14"/>
    </row>
    <row r="18" spans="1:12" ht="8.25" customHeight="1">
      <c r="A18" s="6"/>
      <c r="B18" s="15"/>
      <c r="C18" s="6"/>
      <c r="D18" s="6"/>
      <c r="E18" s="6"/>
      <c r="F18" s="6"/>
      <c r="G18" s="6"/>
      <c r="H18" s="6"/>
      <c r="I18" s="6"/>
      <c r="J18" s="6"/>
      <c r="K18" s="6"/>
      <c r="L18" s="16"/>
    </row>
    <row r="19" spans="1:12" ht="18">
      <c r="A19" s="6"/>
      <c r="B19" s="15"/>
      <c r="C19" s="17" t="s">
        <v>422</v>
      </c>
      <c r="D19" s="6"/>
      <c r="E19" s="6"/>
      <c r="F19" s="6"/>
      <c r="G19" s="6"/>
      <c r="H19" s="6"/>
      <c r="I19" s="18"/>
      <c r="J19" s="18">
        <f>'Proposed Lighting'!DA314</f>
        <v>0</v>
      </c>
      <c r="K19" s="19" t="s">
        <v>16</v>
      </c>
      <c r="L19" s="16"/>
    </row>
    <row r="20" spans="1:12" ht="18">
      <c r="A20" s="6"/>
      <c r="B20" s="15"/>
      <c r="C20" s="17" t="s">
        <v>471</v>
      </c>
      <c r="D20" s="6"/>
      <c r="E20" s="6"/>
      <c r="F20" s="6"/>
      <c r="G20" s="6"/>
      <c r="H20" s="6"/>
      <c r="I20" s="20"/>
      <c r="J20" s="188">
        <f>'Proposed Lighting'!DA318</f>
        <v>0</v>
      </c>
      <c r="K20" s="21" t="s">
        <v>42</v>
      </c>
      <c r="L20" s="16"/>
    </row>
    <row r="21" spans="1:12" ht="18">
      <c r="A21" s="6"/>
      <c r="B21" s="15"/>
      <c r="C21" s="17"/>
      <c r="D21" s="6"/>
      <c r="E21" s="6"/>
      <c r="F21" s="6"/>
      <c r="G21" s="6"/>
      <c r="H21" s="6"/>
      <c r="I21" s="17"/>
      <c r="J21" s="188"/>
      <c r="K21" s="17"/>
      <c r="L21" s="16"/>
    </row>
    <row r="22" spans="1:12" ht="18">
      <c r="A22" s="6"/>
      <c r="B22" s="15"/>
      <c r="C22" s="17" t="s">
        <v>23</v>
      </c>
      <c r="D22" s="6"/>
      <c r="E22" s="6"/>
      <c r="F22" s="6"/>
      <c r="G22" s="6"/>
      <c r="H22" s="6"/>
      <c r="I22" s="20"/>
      <c r="J22" s="188">
        <f>'Proposed Lighting'!AL318</f>
        <v>0</v>
      </c>
      <c r="K22" s="17"/>
      <c r="L22" s="16"/>
    </row>
    <row r="23" spans="1:12" ht="18" customHeight="1">
      <c r="A23" s="6"/>
      <c r="B23" s="15"/>
      <c r="C23" s="227"/>
      <c r="D23" s="6"/>
      <c r="E23" s="6"/>
      <c r="F23" s="6"/>
      <c r="G23" s="6"/>
      <c r="H23" s="6"/>
      <c r="I23" s="22"/>
      <c r="J23" s="650"/>
      <c r="K23" s="17"/>
      <c r="L23" s="16"/>
    </row>
    <row r="24" spans="1:12" ht="18">
      <c r="A24" s="6"/>
      <c r="B24" s="15"/>
      <c r="C24" s="17" t="s">
        <v>784</v>
      </c>
      <c r="D24" s="632"/>
      <c r="E24" s="633"/>
      <c r="F24" s="512"/>
      <c r="G24" s="6"/>
      <c r="H24" s="634">
        <f>IF(J23&gt;0.1,"(Includes CLU Bonus)",0)</f>
        <v>0</v>
      </c>
      <c r="I24" s="22"/>
      <c r="J24" s="188">
        <f>'Proposed Lighting'!AL321</f>
        <v>0</v>
      </c>
      <c r="K24" s="17"/>
      <c r="L24" s="16"/>
    </row>
    <row r="25" spans="1:12" ht="34.5" customHeight="1">
      <c r="A25" s="6"/>
      <c r="B25" s="15"/>
      <c r="C25" s="8" t="s">
        <v>729</v>
      </c>
      <c r="D25" s="6"/>
      <c r="E25" s="6"/>
      <c r="F25" s="6"/>
      <c r="G25" s="6"/>
      <c r="H25" s="6"/>
      <c r="I25" s="20"/>
      <c r="J25" s="513">
        <f>J22-J24</f>
        <v>0</v>
      </c>
      <c r="K25" s="17"/>
      <c r="L25" s="16"/>
    </row>
    <row r="26" spans="1:12" ht="18">
      <c r="A26" s="6"/>
      <c r="B26" s="23"/>
      <c r="C26" s="24"/>
      <c r="D26" s="25"/>
      <c r="E26" s="25"/>
      <c r="F26" s="25"/>
      <c r="G26" s="25"/>
      <c r="H26" s="25"/>
      <c r="I26" s="26"/>
      <c r="J26" s="26"/>
      <c r="K26" s="24"/>
      <c r="L26" s="27"/>
    </row>
    <row r="27" spans="1:12" ht="18">
      <c r="A27" s="6"/>
      <c r="B27" s="6"/>
      <c r="C27" s="6"/>
      <c r="D27" s="6"/>
      <c r="E27" s="6"/>
      <c r="F27" s="6"/>
      <c r="G27" s="6"/>
      <c r="H27" s="6"/>
      <c r="I27" s="17"/>
      <c r="J27" s="17"/>
      <c r="K27" s="17"/>
      <c r="L27" s="6"/>
    </row>
    <row r="28" spans="1:12">
      <c r="A28" s="6"/>
      <c r="B28" s="5"/>
      <c r="C28" s="5"/>
      <c r="D28" s="5"/>
      <c r="E28" s="5"/>
      <c r="F28" s="5"/>
      <c r="G28" s="5"/>
      <c r="H28" s="5"/>
      <c r="I28" s="5"/>
      <c r="J28" s="5"/>
      <c r="K28" s="5"/>
      <c r="L28" s="5"/>
    </row>
    <row r="29" spans="1:12" ht="18.75" thickBot="1">
      <c r="A29" s="6"/>
      <c r="B29" s="1989" t="s">
        <v>24</v>
      </c>
      <c r="C29" s="1989"/>
      <c r="D29" s="1989"/>
      <c r="E29" s="1989"/>
      <c r="F29" s="1989"/>
      <c r="G29" s="1989"/>
      <c r="H29" s="1989"/>
      <c r="I29" s="1989"/>
      <c r="J29" s="1989"/>
      <c r="K29" s="1989"/>
      <c r="L29" s="1989"/>
    </row>
    <row r="30" spans="1:12" ht="18.75" thickTop="1">
      <c r="A30" s="6"/>
      <c r="B30" s="13"/>
      <c r="C30" s="6"/>
      <c r="D30" s="6"/>
      <c r="E30" s="6"/>
      <c r="F30" s="6"/>
      <c r="G30" s="6"/>
      <c r="H30" s="6"/>
      <c r="I30" s="17"/>
      <c r="J30" s="17"/>
      <c r="K30" s="17"/>
      <c r="L30" s="14"/>
    </row>
    <row r="31" spans="1:12" ht="18">
      <c r="A31" s="6"/>
      <c r="B31" s="15"/>
      <c r="C31" s="17" t="s">
        <v>171</v>
      </c>
      <c r="D31" s="6"/>
      <c r="E31" s="6"/>
      <c r="F31" s="6"/>
      <c r="G31" s="6"/>
      <c r="H31" s="6"/>
      <c r="I31" s="20"/>
      <c r="J31" s="188">
        <f>J25</f>
        <v>0</v>
      </c>
      <c r="K31" s="17"/>
      <c r="L31" s="16"/>
    </row>
    <row r="32" spans="1:12" ht="18">
      <c r="A32" s="6"/>
      <c r="B32" s="15"/>
      <c r="C32" s="17" t="s">
        <v>471</v>
      </c>
      <c r="D32" s="6"/>
      <c r="E32" s="6"/>
      <c r="F32" s="6"/>
      <c r="G32" s="6"/>
      <c r="H32" s="6"/>
      <c r="I32" s="20"/>
      <c r="J32" s="189">
        <f>J20</f>
        <v>0</v>
      </c>
      <c r="K32" s="17"/>
      <c r="L32" s="16"/>
    </row>
    <row r="33" spans="1:12" ht="18">
      <c r="A33" s="6"/>
      <c r="B33" s="15"/>
      <c r="C33" s="17"/>
      <c r="D33" s="6"/>
      <c r="E33" s="6"/>
      <c r="F33" s="6"/>
      <c r="G33" s="6"/>
      <c r="H33" s="6"/>
      <c r="I33" s="28"/>
      <c r="J33" s="28"/>
      <c r="K33" s="17"/>
      <c r="L33" s="16"/>
    </row>
    <row r="34" spans="1:12" ht="18">
      <c r="A34" s="6"/>
      <c r="B34" s="15"/>
      <c r="C34" s="29" t="s">
        <v>433</v>
      </c>
      <c r="D34" s="6"/>
      <c r="E34" s="6"/>
      <c r="F34" s="6"/>
      <c r="G34" s="6"/>
      <c r="H34" s="6"/>
      <c r="I34" s="30"/>
      <c r="J34" s="30" t="e">
        <f>J25/J32</f>
        <v>#DIV/0!</v>
      </c>
      <c r="K34" s="8" t="s">
        <v>1</v>
      </c>
      <c r="L34" s="16"/>
    </row>
    <row r="35" spans="1:12" ht="18">
      <c r="A35" s="6"/>
      <c r="B35" s="15"/>
      <c r="C35" s="1991" t="s">
        <v>434</v>
      </c>
      <c r="D35" s="6"/>
      <c r="E35" s="6"/>
      <c r="F35" s="6"/>
      <c r="G35" s="6"/>
      <c r="H35" s="6"/>
      <c r="I35" s="31"/>
      <c r="J35" s="1992" t="e">
        <f>J32/J25</f>
        <v>#DIV/0!</v>
      </c>
      <c r="K35" s="17"/>
      <c r="L35" s="16"/>
    </row>
    <row r="36" spans="1:12">
      <c r="A36" s="6"/>
      <c r="B36" s="15"/>
      <c r="C36" s="1991"/>
      <c r="D36" s="6"/>
      <c r="E36" s="6"/>
      <c r="F36" s="6"/>
      <c r="G36" s="6"/>
      <c r="H36" s="6"/>
      <c r="I36" s="6"/>
      <c r="J36" s="1992"/>
      <c r="K36" s="6"/>
      <c r="L36" s="16"/>
    </row>
    <row r="37" spans="1:12" ht="18">
      <c r="A37" s="6"/>
      <c r="B37" s="15"/>
      <c r="C37" s="29" t="s">
        <v>458</v>
      </c>
      <c r="D37" s="6"/>
      <c r="E37" s="6"/>
      <c r="F37" s="6"/>
      <c r="G37" s="6"/>
      <c r="H37" s="6"/>
      <c r="I37" s="6"/>
      <c r="J37" s="302">
        <f>J20/12</f>
        <v>0</v>
      </c>
      <c r="K37" s="29" t="s">
        <v>457</v>
      </c>
      <c r="L37" s="16"/>
    </row>
    <row r="38" spans="1:12" ht="18">
      <c r="A38" s="6"/>
      <c r="B38" s="15"/>
      <c r="C38" s="32"/>
      <c r="D38" s="6"/>
      <c r="E38" s="6"/>
      <c r="F38" s="6"/>
      <c r="G38" s="6"/>
      <c r="H38" s="6"/>
      <c r="I38" s="6"/>
      <c r="J38" s="6"/>
      <c r="K38" s="6"/>
      <c r="L38" s="16"/>
    </row>
    <row r="39" spans="1:12" ht="15.75">
      <c r="A39" s="6"/>
      <c r="B39" s="23"/>
      <c r="C39" s="1553" t="s">
        <v>1899</v>
      </c>
      <c r="D39" s="25"/>
      <c r="E39" s="25"/>
      <c r="F39" s="25"/>
      <c r="G39" s="25"/>
      <c r="H39" s="25"/>
      <c r="I39" s="25"/>
      <c r="J39" s="25"/>
      <c r="K39" s="25"/>
      <c r="L39" s="27"/>
    </row>
    <row r="40" spans="1:12">
      <c r="A40" s="6"/>
      <c r="B40" s="6"/>
      <c r="C40" s="6"/>
      <c r="D40" s="6"/>
      <c r="E40" s="6"/>
      <c r="F40" s="6"/>
      <c r="G40" s="6"/>
      <c r="H40" s="6"/>
      <c r="I40" s="6"/>
      <c r="J40" s="6"/>
      <c r="K40" s="6"/>
      <c r="L40" s="6"/>
    </row>
    <row r="41" spans="1:12">
      <c r="A41" s="6"/>
      <c r="B41" s="272" t="s">
        <v>431</v>
      </c>
      <c r="C41" s="6"/>
      <c r="D41" s="6"/>
      <c r="E41" s="6"/>
      <c r="F41" s="6"/>
      <c r="G41" s="6"/>
      <c r="H41" s="6"/>
      <c r="I41" s="6"/>
      <c r="J41" s="6"/>
      <c r="K41" s="6"/>
      <c r="L41" s="6"/>
    </row>
    <row r="42" spans="1:12">
      <c r="A42" s="6"/>
      <c r="B42" s="272" t="s">
        <v>432</v>
      </c>
      <c r="C42" s="6"/>
      <c r="D42" s="6"/>
      <c r="E42" s="6"/>
      <c r="F42" s="6"/>
      <c r="G42" s="6"/>
      <c r="H42" s="6"/>
      <c r="I42" s="6"/>
      <c r="J42" s="6"/>
      <c r="K42" s="6"/>
      <c r="L42" s="6"/>
    </row>
    <row r="43" spans="1:12" ht="11.25" customHeight="1">
      <c r="A43" s="6"/>
      <c r="B43" s="48"/>
      <c r="C43" s="6"/>
      <c r="D43" s="6"/>
      <c r="E43" s="6"/>
      <c r="F43" s="6"/>
      <c r="G43" s="6"/>
      <c r="H43" s="6"/>
      <c r="I43" s="6"/>
      <c r="J43" s="6"/>
      <c r="K43" s="6"/>
      <c r="L43" s="6"/>
    </row>
    <row r="44" spans="1:12">
      <c r="A44" s="6"/>
      <c r="B44" s="33" t="s">
        <v>26</v>
      </c>
      <c r="C44" s="6"/>
      <c r="D44" s="6"/>
      <c r="E44" s="6"/>
      <c r="F44" s="6"/>
      <c r="G44" s="6"/>
      <c r="H44" s="6"/>
      <c r="I44" s="6"/>
      <c r="J44" s="6"/>
      <c r="K44" s="6"/>
      <c r="L44" s="6"/>
    </row>
    <row r="45" spans="1:12">
      <c r="A45" s="6"/>
      <c r="B45" s="33" t="s">
        <v>27</v>
      </c>
      <c r="C45" s="6"/>
      <c r="D45" s="6"/>
      <c r="E45" s="6"/>
      <c r="F45" s="6"/>
      <c r="G45" s="6"/>
      <c r="H45" s="6"/>
      <c r="I45" s="6"/>
      <c r="J45" s="6"/>
      <c r="K45" s="6"/>
      <c r="L45" s="6"/>
    </row>
    <row r="46" spans="1:12">
      <c r="A46" s="6"/>
      <c r="B46" s="33" t="s">
        <v>28</v>
      </c>
      <c r="C46" s="6"/>
      <c r="D46" s="6"/>
      <c r="E46" s="6"/>
      <c r="F46" s="6"/>
      <c r="G46" s="6"/>
      <c r="H46" s="6"/>
      <c r="I46" s="6"/>
      <c r="J46" s="6"/>
      <c r="K46" s="6"/>
      <c r="L46" s="6"/>
    </row>
    <row r="47" spans="1:12">
      <c r="A47" s="6"/>
      <c r="B47" s="33" t="s">
        <v>29</v>
      </c>
      <c r="C47" s="6"/>
      <c r="D47" s="6"/>
      <c r="E47" s="6"/>
      <c r="F47" s="6"/>
      <c r="G47" s="6"/>
      <c r="H47" s="6"/>
      <c r="I47" s="6"/>
      <c r="J47" s="6"/>
      <c r="K47" s="6"/>
      <c r="L47" s="6"/>
    </row>
    <row r="48" spans="1:12">
      <c r="A48" s="6"/>
      <c r="B48" s="25"/>
      <c r="C48" s="25"/>
      <c r="D48" s="25"/>
      <c r="E48" s="25"/>
      <c r="F48" s="25"/>
      <c r="G48" s="25"/>
      <c r="H48" s="25"/>
      <c r="I48" s="25"/>
      <c r="J48" s="25"/>
      <c r="K48" s="25"/>
      <c r="L48" s="25"/>
    </row>
    <row r="49" spans="1:12">
      <c r="A49" s="6"/>
      <c r="B49" s="5"/>
      <c r="C49" s="6"/>
      <c r="D49" s="6"/>
      <c r="E49" s="6"/>
      <c r="F49" s="6"/>
      <c r="G49" s="6"/>
      <c r="H49" s="6"/>
      <c r="I49" s="6"/>
      <c r="J49" s="6"/>
      <c r="K49" s="6"/>
      <c r="L49" s="6"/>
    </row>
    <row r="50" spans="1:12">
      <c r="A50" s="6"/>
      <c r="B50" s="6" t="s">
        <v>50</v>
      </c>
      <c r="C50" s="6"/>
      <c r="D50" s="6"/>
      <c r="E50" s="6"/>
      <c r="F50" s="6"/>
      <c r="G50" s="6"/>
      <c r="H50" s="6"/>
      <c r="I50" s="6"/>
      <c r="J50" s="6"/>
      <c r="K50" s="6"/>
      <c r="L50" s="6"/>
    </row>
    <row r="51" spans="1:12" ht="4.5" customHeight="1">
      <c r="A51" s="6"/>
      <c r="B51" s="6" t="s">
        <v>0</v>
      </c>
      <c r="C51" s="6"/>
      <c r="D51" s="6"/>
      <c r="E51" s="6"/>
      <c r="F51" s="6"/>
      <c r="G51" s="6"/>
      <c r="H51" s="6"/>
      <c r="I51" s="6"/>
      <c r="J51" s="6"/>
      <c r="K51" s="6"/>
      <c r="L51" s="6"/>
    </row>
    <row r="52" spans="1:12">
      <c r="A52" s="6"/>
      <c r="B52" s="1552">
        <f>'Sign &amp; Case Lighting'!A60</f>
        <v>45174</v>
      </c>
      <c r="C52" s="6"/>
      <c r="D52" s="6"/>
      <c r="E52" s="6"/>
      <c r="F52" s="6"/>
      <c r="G52" s="6"/>
      <c r="H52" s="6"/>
      <c r="I52" s="6"/>
      <c r="J52" s="6"/>
      <c r="K52" s="1988">
        <f ca="1">TODAY()</f>
        <v>45170</v>
      </c>
      <c r="L52" s="1988"/>
    </row>
    <row r="53" spans="1:12" ht="6.75" customHeight="1"/>
    <row r="57" spans="1:12">
      <c r="H57" t="s">
        <v>0</v>
      </c>
    </row>
  </sheetData>
  <sheetProtection algorithmName="SHA-512" hashValue="LQ0VhG50HxAd9OJLXhe/b9DDnkRClQJoPIxzw2oFXjUq4MFU0t57OvPQjsB15kWpX2Vi92+9GTcaFrFU/Hdv8w==" saltValue="cbAQF2v0u/RIS4HFBFmsog==" spinCount="100000" sheet="1" objects="1" scenarios="1"/>
  <mergeCells count="9">
    <mergeCell ref="D8:L8"/>
    <mergeCell ref="K52:L52"/>
    <mergeCell ref="B16:L16"/>
    <mergeCell ref="B29:L29"/>
    <mergeCell ref="D10:L10"/>
    <mergeCell ref="D12:L12"/>
    <mergeCell ref="D14:L14"/>
    <mergeCell ref="C35:C36"/>
    <mergeCell ref="J35:J36"/>
  </mergeCells>
  <conditionalFormatting sqref="C23:J23">
    <cfRule type="cellIs" dxfId="9" priority="3" operator="equal">
      <formula>0</formula>
    </cfRule>
  </conditionalFormatting>
  <conditionalFormatting sqref="D10:D12 E11:G11">
    <cfRule type="cellIs" dxfId="8" priority="10" stopIfTrue="1" operator="equal">
      <formula>0</formula>
    </cfRule>
  </conditionalFormatting>
  <conditionalFormatting sqref="D14 D24">
    <cfRule type="cellIs" dxfId="7" priority="8" stopIfTrue="1" operator="equal">
      <formula>0</formula>
    </cfRule>
  </conditionalFormatting>
  <conditionalFormatting sqref="D8:L8">
    <cfRule type="cellIs" dxfId="6" priority="1" operator="equal">
      <formula>0</formula>
    </cfRule>
  </conditionalFormatting>
  <conditionalFormatting sqref="H24">
    <cfRule type="cellIs" dxfId="5" priority="2" operator="equal">
      <formula>0</formula>
    </cfRule>
  </conditionalFormatting>
  <conditionalFormatting sqref="J34:J35">
    <cfRule type="containsErrors" dxfId="4" priority="9" stopIfTrue="1">
      <formula>ISERROR(J34)</formula>
    </cfRule>
  </conditionalFormatting>
  <pageMargins left="0.7" right="0.7" top="0.75" bottom="0.75" header="0.3" footer="0.3"/>
  <pageSetup scale="76" orientation="portrait" horizontalDpi="4294967293" vertic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3:T43"/>
  <sheetViews>
    <sheetView workbookViewId="0"/>
  </sheetViews>
  <sheetFormatPr defaultRowHeight="15"/>
  <cols>
    <col min="4" max="4" width="4.7109375" customWidth="1"/>
    <col min="5" max="5" width="12" customWidth="1"/>
    <col min="6" max="6" width="12.7109375" customWidth="1"/>
    <col min="11" max="11" width="11.42578125" customWidth="1"/>
  </cols>
  <sheetData>
    <row r="3" spans="1:20" ht="18">
      <c r="A3" s="808" t="s">
        <v>1235</v>
      </c>
    </row>
    <row r="5" spans="1:20" ht="15.75">
      <c r="A5" s="809" t="s">
        <v>1240</v>
      </c>
      <c r="B5" s="85"/>
      <c r="C5" s="85"/>
      <c r="D5" s="85"/>
      <c r="E5" s="85"/>
      <c r="F5" s="85"/>
      <c r="G5" s="85"/>
      <c r="H5" s="85"/>
      <c r="I5" s="85"/>
      <c r="J5" s="85"/>
      <c r="K5" s="85"/>
      <c r="L5" s="85"/>
    </row>
    <row r="6" spans="1:20" ht="15.75">
      <c r="A6" s="85" t="s">
        <v>1241</v>
      </c>
      <c r="B6" s="85"/>
      <c r="C6" s="85"/>
      <c r="D6" s="85"/>
      <c r="E6" s="85"/>
      <c r="F6" s="85"/>
      <c r="G6" s="85"/>
      <c r="H6" s="85"/>
      <c r="I6" s="85"/>
      <c r="J6" s="85"/>
      <c r="K6" s="85"/>
      <c r="L6" s="85"/>
    </row>
    <row r="7" spans="1:20" ht="15.75" customHeight="1">
      <c r="A7" s="85" t="s">
        <v>1242</v>
      </c>
      <c r="B7" s="85"/>
      <c r="C7" s="85"/>
      <c r="D7" s="85"/>
      <c r="E7" s="85"/>
      <c r="F7" s="85"/>
      <c r="G7" s="85"/>
      <c r="H7" s="85"/>
      <c r="I7" s="85"/>
      <c r="J7" s="85"/>
      <c r="K7" s="85"/>
      <c r="L7" s="85"/>
    </row>
    <row r="8" spans="1:20" ht="15.75" customHeight="1">
      <c r="A8" s="85" t="s">
        <v>1243</v>
      </c>
      <c r="B8" s="85"/>
      <c r="C8" s="85"/>
      <c r="D8" s="85"/>
      <c r="E8" s="85"/>
      <c r="F8" s="85"/>
      <c r="G8" s="85"/>
      <c r="H8" s="85"/>
      <c r="I8" s="85"/>
      <c r="J8" s="85"/>
      <c r="K8" s="85"/>
      <c r="L8" s="85"/>
    </row>
    <row r="9" spans="1:20" ht="9.75" customHeight="1">
      <c r="A9" s="787"/>
      <c r="B9" s="787"/>
      <c r="C9" s="787"/>
      <c r="D9" s="787"/>
      <c r="E9" s="787"/>
      <c r="F9" s="787"/>
      <c r="G9" s="787"/>
      <c r="H9" s="787"/>
      <c r="I9" s="787"/>
      <c r="J9" s="787"/>
      <c r="K9" s="787"/>
      <c r="L9" s="787"/>
      <c r="M9" s="306"/>
    </row>
    <row r="10" spans="1:20" ht="65.25" customHeight="1">
      <c r="A10" s="1994" t="s">
        <v>1244</v>
      </c>
      <c r="B10" s="1994"/>
      <c r="C10" s="1994"/>
      <c r="D10" s="1994"/>
      <c r="E10" s="1994"/>
      <c r="F10" s="1994"/>
      <c r="G10" s="1994"/>
      <c r="H10" s="1994"/>
      <c r="I10" s="1994"/>
      <c r="J10" s="1994"/>
      <c r="K10" s="1994"/>
      <c r="L10" s="1994"/>
      <c r="M10" s="306"/>
    </row>
    <row r="11" spans="1:20" ht="7.5" customHeight="1">
      <c r="A11" s="787"/>
      <c r="B11" s="787"/>
      <c r="C11" s="787"/>
      <c r="D11" s="787"/>
      <c r="E11" s="787"/>
      <c r="F11" s="787"/>
      <c r="G11" s="787"/>
      <c r="H11" s="787"/>
      <c r="I11" s="787"/>
      <c r="J11" s="787"/>
      <c r="K11" s="787"/>
      <c r="L11" s="787"/>
      <c r="M11" s="306"/>
    </row>
    <row r="12" spans="1:20" ht="77.25" customHeight="1">
      <c r="A12" s="1994" t="s">
        <v>1245</v>
      </c>
      <c r="B12" s="1994"/>
      <c r="C12" s="1994"/>
      <c r="D12" s="1994"/>
      <c r="E12" s="1994"/>
      <c r="F12" s="1994"/>
      <c r="G12" s="1994"/>
      <c r="H12" s="1994"/>
      <c r="I12" s="1994"/>
      <c r="J12" s="1994"/>
      <c r="K12" s="1994"/>
      <c r="L12" s="1994"/>
      <c r="M12" s="306"/>
      <c r="T12" s="763"/>
    </row>
    <row r="13" spans="1:20" ht="1.5" customHeight="1">
      <c r="A13" s="787"/>
      <c r="B13" s="787"/>
      <c r="C13" s="787"/>
      <c r="D13" s="787"/>
      <c r="E13" s="787"/>
      <c r="F13" s="787"/>
      <c r="G13" s="787"/>
      <c r="H13" s="787"/>
      <c r="I13" s="787"/>
      <c r="J13" s="787"/>
      <c r="K13" s="787"/>
      <c r="L13" s="787"/>
      <c r="M13" s="306"/>
      <c r="S13" s="764" t="s">
        <v>0</v>
      </c>
      <c r="T13" s="763"/>
    </row>
    <row r="14" spans="1:20" ht="66" customHeight="1">
      <c r="A14" s="1994" t="s">
        <v>1246</v>
      </c>
      <c r="B14" s="1994"/>
      <c r="C14" s="1994"/>
      <c r="D14" s="1994"/>
      <c r="E14" s="1994"/>
      <c r="F14" s="1994"/>
      <c r="G14" s="1994"/>
      <c r="H14" s="1994"/>
      <c r="I14" s="1994"/>
      <c r="J14" s="1994"/>
      <c r="K14" s="1994"/>
      <c r="L14" s="1994"/>
      <c r="M14" s="306"/>
    </row>
    <row r="15" spans="1:20" ht="7.5" customHeight="1">
      <c r="A15" s="787"/>
      <c r="B15" s="787"/>
      <c r="C15" s="787"/>
      <c r="D15" s="787"/>
      <c r="E15" s="787"/>
      <c r="F15" s="787"/>
      <c r="G15" s="787"/>
      <c r="H15" s="787"/>
      <c r="I15" s="787"/>
      <c r="J15" s="787"/>
      <c r="K15" s="787"/>
      <c r="L15" s="787"/>
      <c r="M15" s="306"/>
    </row>
    <row r="16" spans="1:20" ht="45.75" customHeight="1">
      <c r="A16" s="1994" t="s">
        <v>1247</v>
      </c>
      <c r="B16" s="1994"/>
      <c r="C16" s="1994"/>
      <c r="D16" s="1994"/>
      <c r="E16" s="1994"/>
      <c r="F16" s="1994"/>
      <c r="G16" s="1994"/>
      <c r="H16" s="1994"/>
      <c r="I16" s="1994"/>
      <c r="J16" s="1994"/>
      <c r="K16" s="1994"/>
      <c r="L16" s="1994"/>
      <c r="M16" s="306"/>
    </row>
    <row r="17" spans="1:19" ht="25.5" customHeight="1">
      <c r="A17" s="810" t="s">
        <v>1207</v>
      </c>
      <c r="B17" s="787"/>
      <c r="C17" s="787"/>
      <c r="D17" s="787"/>
      <c r="E17" s="787"/>
      <c r="F17" s="787"/>
      <c r="G17" s="787"/>
      <c r="H17" s="787"/>
      <c r="I17" s="787"/>
      <c r="J17" s="787"/>
      <c r="K17" s="787"/>
      <c r="L17" s="787"/>
      <c r="M17" s="306"/>
    </row>
    <row r="18" spans="1:19" ht="21.75" customHeight="1">
      <c r="A18" s="812" t="s">
        <v>1439</v>
      </c>
      <c r="B18" s="497"/>
      <c r="C18" s="497"/>
      <c r="D18" s="497"/>
      <c r="E18" s="497"/>
      <c r="F18" s="497"/>
      <c r="G18" s="497"/>
      <c r="H18" s="497"/>
      <c r="I18" s="497"/>
      <c r="J18" s="497"/>
      <c r="K18" s="497"/>
      <c r="L18" s="497"/>
      <c r="M18" s="306"/>
    </row>
    <row r="19" spans="1:19" ht="15.75" customHeight="1">
      <c r="A19" s="812" t="s">
        <v>1236</v>
      </c>
      <c r="B19" s="497"/>
      <c r="C19" s="497"/>
      <c r="D19" s="497"/>
      <c r="E19" s="497"/>
      <c r="F19" s="497"/>
      <c r="G19" s="497"/>
      <c r="H19" s="497"/>
      <c r="I19" s="497"/>
      <c r="J19" s="497"/>
      <c r="K19" s="497"/>
      <c r="L19" s="497"/>
      <c r="M19" s="306"/>
    </row>
    <row r="20" spans="1:19" ht="14.25" customHeight="1">
      <c r="A20" s="497" t="s">
        <v>1248</v>
      </c>
      <c r="B20" s="497"/>
      <c r="C20" s="497"/>
      <c r="D20" s="497"/>
      <c r="E20" s="497"/>
      <c r="F20" s="497"/>
      <c r="G20" s="497"/>
      <c r="H20" s="497"/>
      <c r="I20" s="497"/>
      <c r="J20" s="497"/>
      <c r="K20" s="497"/>
      <c r="L20" s="497"/>
      <c r="M20" s="306"/>
      <c r="S20" s="762"/>
    </row>
    <row r="21" spans="1:19" ht="2.25" customHeight="1">
      <c r="A21" s="397"/>
      <c r="B21" s="497"/>
      <c r="C21" s="497"/>
      <c r="D21" s="497"/>
      <c r="E21" s="497"/>
      <c r="F21" s="497"/>
      <c r="G21" s="497"/>
      <c r="H21" s="497"/>
      <c r="I21" s="497"/>
      <c r="J21" s="497"/>
      <c r="K21" s="497"/>
      <c r="L21" s="497"/>
      <c r="M21" s="306"/>
    </row>
    <row r="22" spans="1:19" ht="18.75" customHeight="1">
      <c r="A22" s="813" t="s">
        <v>1249</v>
      </c>
      <c r="B22" s="497"/>
      <c r="C22" s="497"/>
      <c r="D22" s="497"/>
      <c r="E22" s="497"/>
      <c r="F22" s="497"/>
      <c r="G22" s="497"/>
      <c r="H22" s="497"/>
      <c r="I22" s="497"/>
      <c r="J22" s="497"/>
      <c r="K22" s="497"/>
      <c r="L22" s="497"/>
      <c r="M22" s="306"/>
    </row>
    <row r="23" spans="1:19" ht="22.5" customHeight="1">
      <c r="A23" s="811" t="s">
        <v>1250</v>
      </c>
    </row>
    <row r="24" spans="1:19" ht="72" customHeight="1">
      <c r="A24" s="1995" t="s">
        <v>1251</v>
      </c>
      <c r="B24" s="1995"/>
      <c r="C24" s="1995"/>
      <c r="D24" s="1995"/>
      <c r="E24" s="1995"/>
      <c r="F24" s="1995"/>
      <c r="G24" s="1995"/>
      <c r="H24" s="1995"/>
      <c r="I24" s="1995"/>
      <c r="J24" s="1995"/>
      <c r="K24" s="1995"/>
      <c r="L24" s="1995"/>
    </row>
    <row r="25" spans="1:19" ht="7.5" customHeight="1">
      <c r="A25" s="814"/>
      <c r="B25" s="814"/>
      <c r="C25" s="814"/>
      <c r="D25" s="814"/>
      <c r="E25" s="814"/>
      <c r="F25" s="814"/>
      <c r="G25" s="814"/>
      <c r="H25" s="814"/>
      <c r="I25" s="814"/>
      <c r="J25" s="814"/>
      <c r="K25" s="814"/>
      <c r="L25" s="814"/>
    </row>
    <row r="26" spans="1:19" ht="56.25" customHeight="1">
      <c r="A26" s="1996" t="s">
        <v>1445</v>
      </c>
      <c r="B26" s="1996"/>
      <c r="C26" s="1996"/>
      <c r="D26" s="1996"/>
      <c r="E26" s="1996"/>
      <c r="F26" s="1996"/>
      <c r="G26" s="1996"/>
      <c r="H26" s="1996"/>
      <c r="I26" s="1996"/>
      <c r="J26" s="1996"/>
      <c r="K26" s="1996"/>
      <c r="L26" s="1996"/>
    </row>
    <row r="27" spans="1:19" ht="8.25" customHeight="1">
      <c r="A27" s="497"/>
      <c r="B27" s="85"/>
      <c r="C27" s="85"/>
      <c r="D27" s="85"/>
      <c r="E27" s="85"/>
      <c r="F27" s="85"/>
      <c r="G27" s="85"/>
      <c r="H27" s="85"/>
      <c r="I27" s="85"/>
      <c r="J27" s="85"/>
      <c r="K27" s="85"/>
    </row>
    <row r="28" spans="1:19" ht="60" customHeight="1">
      <c r="A28" s="1997" t="s">
        <v>1252</v>
      </c>
      <c r="B28" s="1997"/>
      <c r="C28" s="1997"/>
      <c r="D28" s="1997"/>
      <c r="E28" s="1997"/>
      <c r="F28" s="1997"/>
      <c r="G28" s="1997"/>
      <c r="H28" s="1997"/>
      <c r="I28" s="1997"/>
      <c r="J28" s="1997"/>
      <c r="K28" s="1997"/>
      <c r="L28" s="1997"/>
    </row>
    <row r="29" spans="1:19" ht="5.25" customHeight="1">
      <c r="A29" s="377"/>
      <c r="B29" s="85"/>
      <c r="C29" s="85"/>
      <c r="D29" s="85"/>
      <c r="E29" s="85"/>
      <c r="F29" s="85"/>
      <c r="G29" s="85"/>
      <c r="H29" s="85"/>
      <c r="I29" s="85"/>
      <c r="J29" s="85"/>
      <c r="K29" s="85"/>
      <c r="N29" s="84"/>
    </row>
    <row r="30" spans="1:19" ht="16.5" customHeight="1">
      <c r="A30" s="1998" t="s">
        <v>1253</v>
      </c>
      <c r="B30" s="1998"/>
      <c r="C30" s="1998"/>
      <c r="D30" s="1998"/>
      <c r="E30" s="1998"/>
      <c r="F30" s="1998"/>
      <c r="G30" s="1998"/>
      <c r="H30" s="1998"/>
      <c r="I30" s="1998"/>
      <c r="J30" s="1998"/>
      <c r="K30" s="1998"/>
      <c r="L30" s="1998"/>
    </row>
    <row r="31" spans="1:19" ht="27.75" customHeight="1">
      <c r="A31" s="356" t="s">
        <v>1440</v>
      </c>
      <c r="B31" s="786"/>
      <c r="C31" s="786"/>
      <c r="D31" s="786"/>
      <c r="E31" s="786"/>
      <c r="F31" s="786"/>
      <c r="G31" s="786"/>
      <c r="H31" s="786"/>
      <c r="I31" s="786"/>
      <c r="J31" s="786"/>
      <c r="K31" s="786"/>
    </row>
    <row r="32" spans="1:19" ht="18" customHeight="1">
      <c r="A32" s="959" t="s">
        <v>1441</v>
      </c>
      <c r="B32" s="786"/>
      <c r="C32" s="786"/>
      <c r="D32" s="786"/>
      <c r="E32" s="786"/>
      <c r="F32" s="1999" t="s">
        <v>1394</v>
      </c>
      <c r="G32" s="1999"/>
      <c r="H32" s="1999"/>
      <c r="I32" s="1999"/>
      <c r="J32" s="1999"/>
      <c r="K32" s="1999"/>
    </row>
    <row r="33" spans="1:11" ht="28.5" customHeight="1">
      <c r="A33" s="699" t="s">
        <v>1255</v>
      </c>
      <c r="B33" s="85"/>
      <c r="C33" s="85"/>
      <c r="D33" s="85"/>
      <c r="E33" s="85"/>
      <c r="F33" s="85"/>
      <c r="G33" s="85"/>
      <c r="H33" s="85"/>
      <c r="I33" s="85"/>
      <c r="J33" s="85"/>
      <c r="K33" s="85"/>
    </row>
    <row r="34" spans="1:11" ht="15.75">
      <c r="A34" s="818" t="s">
        <v>1254</v>
      </c>
      <c r="B34" s="85"/>
      <c r="C34" s="85"/>
      <c r="D34" s="85"/>
      <c r="E34" s="85"/>
      <c r="F34" s="85"/>
      <c r="G34" s="85"/>
      <c r="H34" s="85"/>
      <c r="I34" s="85"/>
      <c r="J34" s="85"/>
      <c r="K34" s="85"/>
    </row>
    <row r="35" spans="1:11" ht="0.75" customHeight="1">
      <c r="B35" s="85"/>
      <c r="C35" s="85"/>
      <c r="D35" s="85"/>
      <c r="E35" s="85"/>
      <c r="F35" s="85"/>
      <c r="G35" s="85"/>
      <c r="H35" s="85"/>
      <c r="I35" s="85"/>
      <c r="J35" s="85"/>
      <c r="K35" s="85"/>
    </row>
    <row r="36" spans="1:11" ht="15" hidden="1" customHeight="1">
      <c r="A36" s="819"/>
      <c r="B36" s="85"/>
      <c r="C36" s="85"/>
      <c r="D36" s="85"/>
      <c r="E36" s="85"/>
      <c r="F36" s="85"/>
      <c r="G36" s="85"/>
      <c r="H36" s="85"/>
      <c r="I36" s="85"/>
      <c r="J36" s="85"/>
      <c r="K36" s="85"/>
    </row>
    <row r="37" spans="1:11" ht="24.75" customHeight="1">
      <c r="A37" s="1993" t="str">
        <f>CLU!B64</f>
        <v>9/5/2023 .</v>
      </c>
      <c r="B37" s="1993"/>
      <c r="C37" s="85"/>
      <c r="D37" s="85"/>
      <c r="E37" s="85"/>
      <c r="F37" s="85"/>
      <c r="G37" s="85"/>
      <c r="H37" s="85"/>
      <c r="I37" s="85"/>
      <c r="J37" s="85"/>
      <c r="K37" s="85"/>
    </row>
    <row r="38" spans="1:11" ht="29.25" customHeight="1">
      <c r="D38" s="789"/>
    </row>
    <row r="39" spans="1:11" ht="28.5" customHeight="1"/>
    <row r="40" spans="1:11" ht="16.5" customHeight="1"/>
    <row r="41" spans="1:11" ht="9.75" hidden="1" customHeight="1">
      <c r="A41" s="788" t="s">
        <v>0</v>
      </c>
    </row>
    <row r="42" spans="1:11" ht="21.75" customHeight="1"/>
    <row r="43" spans="1:11" ht="25.5" customHeight="1"/>
  </sheetData>
  <mergeCells count="10">
    <mergeCell ref="A37:B37"/>
    <mergeCell ref="A10:L10"/>
    <mergeCell ref="A12:L12"/>
    <mergeCell ref="A14:L14"/>
    <mergeCell ref="A16:L16"/>
    <mergeCell ref="A24:L24"/>
    <mergeCell ref="A26:L26"/>
    <mergeCell ref="A28:L28"/>
    <mergeCell ref="A30:L30"/>
    <mergeCell ref="F32:K32"/>
  </mergeCells>
  <hyperlinks>
    <hyperlink ref="A34" r:id="rId1" location="PrimaryUseDesignations" xr:uid="{00000000-0004-0000-0C00-000000000000}"/>
    <hyperlink ref="F32" r:id="rId2" xr:uid="{00000000-0004-0000-0C00-000001000000}"/>
    <hyperlink ref="F32:K32" r:id="rId3" display="https://www.designlights.org/search/" xr:uid="{00000000-0004-0000-0C00-000002000000}"/>
  </hyperlinks>
  <pageMargins left="0.7" right="0.7" top="0.75" bottom="0.75" header="0.3" footer="0.3"/>
  <pageSetup scale="78" orientation="portrait" horizontalDpi="4294967293" verticalDpi="4294967293"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F65"/>
  <sheetViews>
    <sheetView workbookViewId="0"/>
  </sheetViews>
  <sheetFormatPr defaultColWidth="9.28515625" defaultRowHeight="15"/>
  <cols>
    <col min="1" max="1" width="0.5703125" customWidth="1"/>
    <col min="2" max="3" width="30.42578125" customWidth="1"/>
    <col min="4" max="4" width="31" customWidth="1"/>
    <col min="5" max="5" width="23.7109375" customWidth="1"/>
  </cols>
  <sheetData>
    <row r="1" spans="2:6" ht="20.25" customHeight="1">
      <c r="B1" s="2001" t="s">
        <v>1166</v>
      </c>
      <c r="C1" s="2001"/>
      <c r="D1" s="2001"/>
    </row>
    <row r="2" spans="2:6" ht="13.5" customHeight="1">
      <c r="B2" s="2001"/>
      <c r="C2" s="2001"/>
      <c r="D2" s="2001"/>
    </row>
    <row r="3" spans="2:6" ht="20.25" customHeight="1">
      <c r="F3" s="765"/>
    </row>
    <row r="4" spans="2:6" ht="33.75" customHeight="1">
      <c r="B4" s="2002" t="s">
        <v>1415</v>
      </c>
      <c r="C4" s="2002"/>
      <c r="D4" s="2002"/>
      <c r="E4" s="2002"/>
      <c r="F4" s="2002"/>
    </row>
    <row r="5" spans="2:6" ht="6.75" hidden="1" customHeight="1">
      <c r="B5" s="766"/>
      <c r="C5" s="766"/>
      <c r="D5" s="766"/>
      <c r="E5" s="766"/>
    </row>
    <row r="6" spans="2:6" ht="18.75" hidden="1">
      <c r="B6" s="767" t="s">
        <v>1167</v>
      </c>
      <c r="D6" s="766"/>
      <c r="E6" s="766"/>
    </row>
    <row r="7" spans="2:6" ht="18.75" hidden="1">
      <c r="B7" s="767" t="s">
        <v>1168</v>
      </c>
      <c r="D7" s="766"/>
      <c r="E7" s="766"/>
    </row>
    <row r="8" spans="2:6" ht="18.75" hidden="1">
      <c r="B8" s="767" t="s">
        <v>1169</v>
      </c>
      <c r="D8" s="766"/>
      <c r="E8" s="766"/>
    </row>
    <row r="9" spans="2:6" ht="21.75" hidden="1" customHeight="1"/>
    <row r="10" spans="2:6" ht="32.25" customHeight="1">
      <c r="B10" s="768" t="s">
        <v>1170</v>
      </c>
      <c r="C10" s="769"/>
    </row>
    <row r="11" spans="2:6" s="85" customFormat="1" ht="12.75" customHeight="1">
      <c r="B11" s="2003" t="s">
        <v>1414</v>
      </c>
      <c r="C11" s="2003"/>
      <c r="D11" s="2003"/>
      <c r="E11" s="2003"/>
      <c r="F11" s="2003"/>
    </row>
    <row r="12" spans="2:6" s="85" customFormat="1" ht="16.149999999999999" customHeight="1">
      <c r="B12" s="2003"/>
      <c r="C12" s="2003"/>
      <c r="D12" s="2003"/>
      <c r="E12" s="2003"/>
      <c r="F12" s="2003"/>
    </row>
    <row r="13" spans="2:6" s="85" customFormat="1" ht="16.149999999999999" customHeight="1">
      <c r="B13" s="2003"/>
      <c r="C13" s="2003"/>
      <c r="D13" s="2003"/>
      <c r="E13" s="2003"/>
      <c r="F13" s="2003"/>
    </row>
    <row r="14" spans="2:6" s="85" customFormat="1" ht="16.149999999999999" hidden="1" customHeight="1">
      <c r="B14" s="2003"/>
      <c r="C14" s="2003"/>
      <c r="D14" s="2003"/>
      <c r="E14" s="2003"/>
      <c r="F14" s="2003"/>
    </row>
    <row r="15" spans="2:6" hidden="1">
      <c r="B15" s="2003"/>
      <c r="C15" s="2003"/>
      <c r="D15" s="2003"/>
      <c r="E15" s="2003"/>
      <c r="F15" s="2003"/>
    </row>
    <row r="16" spans="2:6" ht="15.75" hidden="1" customHeight="1">
      <c r="B16" s="770"/>
      <c r="C16" s="770"/>
      <c r="D16" s="770"/>
      <c r="E16" s="770"/>
      <c r="F16" s="770"/>
    </row>
    <row r="17" spans="2:6" ht="27.75" customHeight="1">
      <c r="B17" s="768" t="s">
        <v>1171</v>
      </c>
      <c r="C17" s="771"/>
      <c r="D17" s="772"/>
    </row>
    <row r="18" spans="2:6" ht="18.75" customHeight="1">
      <c r="B18" s="271" t="s">
        <v>1172</v>
      </c>
      <c r="C18" s="271"/>
      <c r="D18" s="271"/>
      <c r="E18" s="271"/>
      <c r="F18" s="271"/>
    </row>
    <row r="19" spans="2:6" ht="18.75" customHeight="1">
      <c r="B19" s="773" t="s">
        <v>1173</v>
      </c>
      <c r="C19" s="774"/>
      <c r="D19" s="774"/>
      <c r="E19" s="774"/>
      <c r="F19" s="271"/>
    </row>
    <row r="20" spans="2:6" ht="15.75" customHeight="1">
      <c r="B20" s="773" t="s">
        <v>1174</v>
      </c>
      <c r="C20" s="271"/>
      <c r="D20" s="271"/>
      <c r="E20" s="271"/>
      <c r="F20" s="271"/>
    </row>
    <row r="21" spans="2:6" ht="15.75" customHeight="1">
      <c r="B21" s="773" t="s">
        <v>1175</v>
      </c>
      <c r="C21" s="271"/>
      <c r="D21" s="271"/>
      <c r="E21" s="271"/>
      <c r="F21" s="271"/>
    </row>
    <row r="22" spans="2:6" ht="15.75" customHeight="1">
      <c r="B22" s="773" t="s">
        <v>1265</v>
      </c>
      <c r="C22" s="271"/>
      <c r="D22" s="271"/>
      <c r="E22" s="271"/>
      <c r="F22" s="271"/>
    </row>
    <row r="23" spans="2:6" ht="16.5" customHeight="1">
      <c r="B23" s="775" t="s">
        <v>1176</v>
      </c>
      <c r="C23" s="271"/>
      <c r="D23" s="271"/>
      <c r="E23" s="271"/>
      <c r="F23" s="271"/>
    </row>
    <row r="24" spans="2:6">
      <c r="B24" s="775" t="s">
        <v>1177</v>
      </c>
      <c r="C24" s="271"/>
      <c r="D24" s="271"/>
      <c r="E24" s="271"/>
      <c r="F24" s="271"/>
    </row>
    <row r="25" spans="2:6" hidden="1">
      <c r="B25" s="775"/>
      <c r="C25" s="271"/>
      <c r="D25" s="271"/>
      <c r="E25" s="271"/>
      <c r="F25" s="271"/>
    </row>
    <row r="26" spans="2:6">
      <c r="B26" s="775" t="s">
        <v>1178</v>
      </c>
      <c r="C26" s="271"/>
      <c r="D26" s="271"/>
      <c r="E26" s="271"/>
      <c r="F26" s="271"/>
    </row>
    <row r="27" spans="2:6">
      <c r="B27" s="775" t="s">
        <v>1179</v>
      </c>
      <c r="C27" s="271"/>
      <c r="D27" s="271"/>
      <c r="E27" s="271"/>
      <c r="F27" s="271"/>
    </row>
    <row r="28" spans="2:6">
      <c r="B28" s="775" t="s">
        <v>1180</v>
      </c>
      <c r="C28" s="271"/>
      <c r="D28" s="271"/>
      <c r="E28" s="271"/>
      <c r="F28" s="271"/>
    </row>
    <row r="29" spans="2:6" ht="15" customHeight="1">
      <c r="B29" s="775" t="s">
        <v>1181</v>
      </c>
      <c r="C29" s="271"/>
      <c r="D29" s="271"/>
      <c r="E29" s="271"/>
      <c r="F29" s="271"/>
    </row>
    <row r="30" spans="2:6" hidden="1">
      <c r="B30" s="776"/>
      <c r="C30" s="776"/>
      <c r="D30" s="776"/>
      <c r="E30" s="776"/>
      <c r="F30" s="271"/>
    </row>
    <row r="31" spans="2:6" ht="14.25" hidden="1" customHeight="1">
      <c r="B31" s="271" t="s">
        <v>1182</v>
      </c>
      <c r="C31" s="271"/>
      <c r="D31" s="271"/>
      <c r="E31" s="271"/>
      <c r="F31" s="271"/>
    </row>
    <row r="32" spans="2:6" ht="26.25" hidden="1" customHeight="1">
      <c r="B32" s="271"/>
      <c r="C32" s="271"/>
      <c r="D32" s="271"/>
      <c r="E32" s="271"/>
      <c r="F32" s="271"/>
    </row>
    <row r="33" spans="1:6" ht="15" hidden="1" customHeight="1">
      <c r="B33" s="271"/>
      <c r="C33" s="777" t="s">
        <v>1183</v>
      </c>
      <c r="D33" s="2004" t="s">
        <v>495</v>
      </c>
      <c r="E33" s="2006" t="s">
        <v>1184</v>
      </c>
      <c r="F33" s="271"/>
    </row>
    <row r="34" spans="1:6" ht="24" hidden="1" customHeight="1">
      <c r="B34" s="271"/>
      <c r="C34" s="777" t="s">
        <v>1185</v>
      </c>
      <c r="D34" s="2005"/>
      <c r="E34" s="2006"/>
      <c r="F34" s="271"/>
    </row>
    <row r="35" spans="1:6" ht="21.75" customHeight="1">
      <c r="B35" s="778" t="s">
        <v>1186</v>
      </c>
      <c r="C35" s="271"/>
      <c r="D35" s="271"/>
      <c r="E35" s="271"/>
      <c r="F35" s="271"/>
    </row>
    <row r="36" spans="1:6">
      <c r="B36" s="773" t="s">
        <v>1465</v>
      </c>
      <c r="C36" s="271"/>
      <c r="D36" s="271"/>
      <c r="E36" s="271"/>
      <c r="F36" s="271"/>
    </row>
    <row r="37" spans="1:6">
      <c r="B37" s="775" t="s">
        <v>1187</v>
      </c>
      <c r="C37" s="271"/>
      <c r="D37" s="271"/>
      <c r="E37" s="271"/>
      <c r="F37" s="271"/>
    </row>
    <row r="38" spans="1:6">
      <c r="B38" s="775" t="s">
        <v>1188</v>
      </c>
      <c r="C38" s="271"/>
      <c r="D38" s="271"/>
      <c r="E38" s="271"/>
      <c r="F38" s="271"/>
    </row>
    <row r="39" spans="1:6">
      <c r="B39" s="775" t="s">
        <v>1189</v>
      </c>
      <c r="C39" s="271"/>
      <c r="D39" s="271"/>
      <c r="E39" s="271"/>
      <c r="F39" s="271"/>
    </row>
    <row r="40" spans="1:6">
      <c r="B40" s="775" t="s">
        <v>1190</v>
      </c>
      <c r="C40" s="271"/>
      <c r="D40" s="271"/>
      <c r="E40" s="271"/>
      <c r="F40" s="271"/>
    </row>
    <row r="41" spans="1:6">
      <c r="B41" s="775"/>
      <c r="C41" s="271"/>
      <c r="D41" s="271"/>
      <c r="E41" s="271"/>
      <c r="F41" s="271"/>
    </row>
    <row r="42" spans="1:6">
      <c r="B42" s="2007" t="s">
        <v>1191</v>
      </c>
      <c r="C42" s="2007"/>
    </row>
    <row r="43" spans="1:6" ht="18.75">
      <c r="A43" s="782"/>
      <c r="B43" s="271" t="s">
        <v>1192</v>
      </c>
      <c r="C43" s="271"/>
      <c r="D43" s="271"/>
      <c r="E43" s="271"/>
      <c r="F43" s="271"/>
    </row>
    <row r="44" spans="1:6" ht="18.75">
      <c r="A44" s="782"/>
      <c r="B44" s="271" t="s">
        <v>1193</v>
      </c>
      <c r="C44" s="271"/>
      <c r="D44" s="271"/>
      <c r="E44" s="271"/>
      <c r="F44" s="271"/>
    </row>
    <row r="45" spans="1:6" ht="18.75">
      <c r="A45" s="782"/>
      <c r="B45" s="271"/>
      <c r="C45" s="271"/>
      <c r="D45" s="271"/>
      <c r="E45" s="271"/>
      <c r="F45" s="271"/>
    </row>
    <row r="46" spans="1:6" ht="18.75">
      <c r="A46" s="782"/>
      <c r="B46" s="271" t="s">
        <v>1194</v>
      </c>
      <c r="C46" s="271"/>
      <c r="D46" s="271"/>
      <c r="E46" s="271"/>
      <c r="F46" s="271"/>
    </row>
    <row r="47" spans="1:6" ht="18.75">
      <c r="A47" s="782"/>
      <c r="B47" s="271" t="s">
        <v>1195</v>
      </c>
      <c r="C47" s="271"/>
      <c r="D47" s="271"/>
      <c r="E47" s="271"/>
      <c r="F47" s="271"/>
    </row>
    <row r="48" spans="1:6" ht="15" customHeight="1">
      <c r="A48" s="782"/>
      <c r="B48" s="271" t="s">
        <v>1196</v>
      </c>
      <c r="C48" s="271"/>
      <c r="D48" s="271"/>
      <c r="E48" s="271"/>
      <c r="F48" s="271"/>
    </row>
    <row r="49" spans="1:6" ht="18.75" customHeight="1">
      <c r="A49" s="782"/>
      <c r="B49" s="271"/>
      <c r="C49" s="271"/>
      <c r="D49" s="271"/>
      <c r="E49" s="271"/>
      <c r="F49" s="271"/>
    </row>
    <row r="50" spans="1:6" ht="18.75">
      <c r="A50" s="782"/>
      <c r="B50" s="271" t="s">
        <v>1197</v>
      </c>
      <c r="C50" s="271"/>
      <c r="D50" s="271"/>
      <c r="E50" s="271"/>
      <c r="F50" s="271"/>
    </row>
    <row r="51" spans="1:6" ht="18.75">
      <c r="A51" s="782"/>
      <c r="B51" s="271" t="s">
        <v>1198</v>
      </c>
      <c r="C51" s="271"/>
      <c r="D51" s="271"/>
      <c r="E51" s="271"/>
      <c r="F51" s="271"/>
    </row>
    <row r="52" spans="1:6" ht="17.25" customHeight="1">
      <c r="A52" s="782"/>
      <c r="B52" s="779"/>
      <c r="C52" s="271"/>
      <c r="D52" s="271"/>
      <c r="E52" s="271"/>
      <c r="F52" s="271"/>
    </row>
    <row r="53" spans="1:6" ht="18.75" hidden="1">
      <c r="A53" s="782"/>
      <c r="B53" s="780"/>
      <c r="C53" s="271"/>
      <c r="D53" s="271"/>
      <c r="E53" s="271"/>
      <c r="F53" s="271"/>
    </row>
    <row r="54" spans="1:6" ht="18.75" hidden="1">
      <c r="A54" s="782"/>
      <c r="B54" s="780"/>
      <c r="C54" s="271"/>
      <c r="D54" s="271"/>
      <c r="E54" s="271"/>
      <c r="F54" s="271"/>
    </row>
    <row r="55" spans="1:6" ht="17.25" hidden="1" customHeight="1">
      <c r="A55" s="782"/>
      <c r="B55" s="780"/>
      <c r="C55" s="271"/>
      <c r="D55" s="271"/>
      <c r="E55" s="271"/>
      <c r="F55" s="271"/>
    </row>
    <row r="56" spans="1:6" ht="18.75">
      <c r="A56" s="782"/>
      <c r="B56" s="780" t="s">
        <v>1199</v>
      </c>
      <c r="C56" s="271"/>
      <c r="D56" s="271"/>
      <c r="E56" s="271"/>
      <c r="F56" s="271"/>
    </row>
    <row r="57" spans="1:6" ht="18.75">
      <c r="A57" s="782"/>
      <c r="B57" s="780" t="s">
        <v>1200</v>
      </c>
      <c r="C57" s="271"/>
      <c r="D57" s="271"/>
      <c r="E57" s="271"/>
      <c r="F57" s="271"/>
    </row>
    <row r="58" spans="1:6" ht="17.25" customHeight="1">
      <c r="A58" s="782"/>
      <c r="B58" s="780"/>
      <c r="C58" s="271"/>
      <c r="D58" s="271"/>
      <c r="E58" s="271"/>
      <c r="F58" s="271"/>
    </row>
    <row r="59" spans="1:6" ht="18.75">
      <c r="A59" s="782"/>
      <c r="B59" s="780" t="s">
        <v>1201</v>
      </c>
      <c r="C59" s="271"/>
      <c r="D59" s="271"/>
      <c r="E59" s="271"/>
      <c r="F59" s="271"/>
    </row>
    <row r="60" spans="1:6" ht="14.25" customHeight="1">
      <c r="A60" s="782"/>
      <c r="B60" s="780" t="s">
        <v>1202</v>
      </c>
      <c r="C60" s="271"/>
      <c r="D60" s="271"/>
      <c r="E60" s="271"/>
      <c r="F60" s="271"/>
    </row>
    <row r="61" spans="1:6" ht="14.25" customHeight="1">
      <c r="A61" s="782"/>
      <c r="B61" s="780"/>
      <c r="C61" s="271"/>
      <c r="D61" s="271"/>
      <c r="E61" s="271"/>
      <c r="F61" s="271"/>
    </row>
    <row r="62" spans="1:6" ht="14.25" customHeight="1">
      <c r="A62" s="782"/>
      <c r="B62" s="2000" t="s">
        <v>1203</v>
      </c>
      <c r="C62" s="2000"/>
      <c r="D62" s="2000"/>
      <c r="E62" s="2000"/>
      <c r="F62" s="2000"/>
    </row>
    <row r="63" spans="1:6" ht="14.25" customHeight="1">
      <c r="A63" s="782"/>
      <c r="B63" s="780"/>
      <c r="C63" s="271"/>
      <c r="D63" s="271"/>
      <c r="E63" s="271"/>
      <c r="F63" s="271"/>
    </row>
    <row r="64" spans="1:6" ht="18.75" customHeight="1">
      <c r="A64" s="782"/>
      <c r="B64" s="941" t="str">
        <f>Welcome!A78</f>
        <v>9/5/2023 .</v>
      </c>
    </row>
    <row r="65" spans="2:6">
      <c r="B65" s="781"/>
      <c r="C65" s="781"/>
      <c r="D65" s="781"/>
      <c r="E65" s="781"/>
      <c r="F65" s="781"/>
    </row>
  </sheetData>
  <mergeCells count="7">
    <mergeCell ref="B62:F62"/>
    <mergeCell ref="B1:D2"/>
    <mergeCell ref="B4:F4"/>
    <mergeCell ref="B11:F15"/>
    <mergeCell ref="D33:D34"/>
    <mergeCell ref="E33:E34"/>
    <mergeCell ref="B42:C42"/>
  </mergeCells>
  <pageMargins left="0.25" right="0.25" top="0.75" bottom="0.75" header="0.3" footer="0.3"/>
  <pageSetup scale="80" orientation="portrait" horizontalDpi="4294967293" vertic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S141"/>
  <sheetViews>
    <sheetView showGridLines="0" workbookViewId="0"/>
  </sheetViews>
  <sheetFormatPr defaultRowHeight="15"/>
  <cols>
    <col min="1" max="3" width="3.5703125" customWidth="1"/>
    <col min="4" max="4" width="45.85546875" customWidth="1"/>
    <col min="5" max="5" width="3.28515625" customWidth="1"/>
    <col min="6" max="9" width="3.5703125" customWidth="1"/>
    <col min="10" max="10" width="2.5703125" customWidth="1"/>
    <col min="11" max="11" width="2.7109375" customWidth="1"/>
    <col min="12" max="12" width="4.5703125" customWidth="1"/>
    <col min="13" max="13" width="4.28515625" customWidth="1"/>
    <col min="14" max="20" width="3.5703125" customWidth="1"/>
    <col min="21" max="21" width="4.140625" customWidth="1"/>
    <col min="22" max="22" width="3.7109375" customWidth="1"/>
    <col min="23" max="23" width="49.85546875" customWidth="1"/>
    <col min="24" max="25" width="3.5703125" customWidth="1"/>
    <col min="26" max="26" width="2.5703125" customWidth="1"/>
    <col min="27" max="27" width="8.42578125" customWidth="1"/>
    <col min="28" max="28" width="18.28515625" customWidth="1"/>
    <col min="29" max="31" width="9.28515625" hidden="1" customWidth="1"/>
    <col min="32" max="32" width="9.28515625" customWidth="1"/>
    <col min="33" max="34" width="9.28515625" hidden="1" customWidth="1"/>
    <col min="35" max="36" width="15.7109375" customWidth="1"/>
  </cols>
  <sheetData>
    <row r="1" spans="1:34" s="72" customFormat="1" ht="40.5" customHeight="1">
      <c r="A1" s="1309" t="s">
        <v>304</v>
      </c>
      <c r="B1" s="1309"/>
      <c r="C1" s="1309"/>
      <c r="D1" s="1309"/>
      <c r="E1" s="1309"/>
      <c r="F1" s="1309"/>
      <c r="G1" s="823"/>
      <c r="H1" s="823"/>
      <c r="J1" s="1119" t="s">
        <v>0</v>
      </c>
      <c r="AD1" s="427"/>
      <c r="AE1" s="427"/>
      <c r="AF1" s="427"/>
      <c r="AG1" s="427"/>
      <c r="AH1" s="427"/>
    </row>
    <row r="2" spans="1:34" s="72" customFormat="1" ht="15" customHeight="1">
      <c r="A2" s="1309"/>
      <c r="B2" s="1309"/>
      <c r="C2" s="1309"/>
      <c r="D2" s="1309"/>
      <c r="E2" s="1309"/>
      <c r="F2" s="1309"/>
      <c r="G2" s="823"/>
      <c r="H2" s="428"/>
      <c r="I2" s="72" t="s">
        <v>0</v>
      </c>
      <c r="AD2" s="427"/>
      <c r="AE2" s="427"/>
      <c r="AF2" s="427"/>
      <c r="AG2" s="427"/>
      <c r="AH2" s="427"/>
    </row>
    <row r="3" spans="1:34" s="196" customFormat="1" ht="27" customHeight="1">
      <c r="A3" s="196" t="s">
        <v>0</v>
      </c>
      <c r="M3" s="1475" t="s">
        <v>0</v>
      </c>
      <c r="AD3" s="429"/>
      <c r="AE3" s="429"/>
      <c r="AF3" s="429"/>
      <c r="AG3" s="429"/>
      <c r="AH3" s="429"/>
    </row>
    <row r="4" spans="1:34" s="72" customFormat="1" ht="25.15" customHeight="1">
      <c r="A4" s="2008" t="s">
        <v>1837</v>
      </c>
      <c r="B4" s="2008"/>
      <c r="C4" s="2008"/>
      <c r="D4" s="2008"/>
      <c r="E4" s="2008"/>
      <c r="F4" s="2008"/>
      <c r="G4" s="2008"/>
      <c r="H4" s="2008"/>
      <c r="I4" s="2008"/>
      <c r="J4" s="2008"/>
      <c r="K4" s="2008"/>
      <c r="L4" s="2008"/>
      <c r="M4" s="2008"/>
      <c r="N4" s="2008"/>
      <c r="O4" s="2008"/>
      <c r="P4" s="2008"/>
      <c r="Q4" s="2008"/>
      <c r="R4" s="2008"/>
      <c r="S4" s="2008"/>
      <c r="T4" s="2008"/>
      <c r="U4" s="2008"/>
      <c r="V4" s="2008"/>
      <c r="W4" s="2008"/>
      <c r="X4" s="2008"/>
      <c r="Y4" s="2008"/>
      <c r="Z4" s="2008"/>
      <c r="AA4" s="2008"/>
      <c r="AB4" s="1474"/>
      <c r="AC4" s="430"/>
      <c r="AD4" s="427"/>
      <c r="AE4" s="427"/>
      <c r="AF4" s="427"/>
      <c r="AG4" s="427"/>
      <c r="AH4" s="427"/>
    </row>
    <row r="5" spans="1:34" s="72" customFormat="1" ht="12.75" customHeight="1">
      <c r="A5" s="2009"/>
      <c r="B5" s="2009"/>
      <c r="C5" s="2009"/>
      <c r="D5" s="2009"/>
      <c r="E5" s="2009"/>
      <c r="F5" s="2009"/>
      <c r="G5" s="2009"/>
      <c r="H5" s="2009"/>
      <c r="I5" s="2009"/>
      <c r="J5" s="2009"/>
      <c r="K5" s="2009"/>
      <c r="L5" s="2009"/>
      <c r="M5" s="2009"/>
      <c r="N5" s="2009"/>
      <c r="O5" s="2009"/>
      <c r="P5" s="2009"/>
      <c r="Q5" s="2009"/>
      <c r="R5" s="2009"/>
      <c r="S5" s="2009"/>
      <c r="T5" s="2009"/>
      <c r="U5" s="2009"/>
      <c r="V5" s="2009"/>
      <c r="W5" s="2009"/>
      <c r="X5" s="2009"/>
      <c r="Y5" s="2009"/>
      <c r="Z5" s="2009"/>
      <c r="AA5" s="2009"/>
      <c r="AB5" s="1474"/>
      <c r="AC5" s="430"/>
      <c r="AD5" s="427"/>
      <c r="AE5" s="427"/>
      <c r="AF5" s="427"/>
      <c r="AG5" s="427"/>
      <c r="AH5" s="427"/>
    </row>
    <row r="6" spans="1:34" s="72" customFormat="1" ht="47.25" customHeight="1">
      <c r="A6" s="2010"/>
      <c r="B6" s="2010"/>
      <c r="C6" s="2010"/>
      <c r="D6" s="2010"/>
      <c r="E6" s="2010"/>
      <c r="F6" s="2010"/>
      <c r="G6" s="2010"/>
      <c r="H6" s="2010"/>
      <c r="I6" s="2010"/>
      <c r="J6" s="2010"/>
      <c r="K6" s="2010"/>
      <c r="L6" s="2010"/>
      <c r="M6" s="2010"/>
      <c r="N6" s="2010"/>
      <c r="O6" s="2010"/>
      <c r="P6" s="2010"/>
      <c r="Q6" s="2010"/>
      <c r="R6" s="2010"/>
      <c r="S6" s="2010"/>
      <c r="T6" s="2010"/>
      <c r="U6" s="2010"/>
      <c r="V6" s="2010"/>
      <c r="W6" s="2010"/>
      <c r="X6" s="2010"/>
      <c r="Y6" s="2010"/>
      <c r="Z6" s="2010"/>
      <c r="AA6" s="2010"/>
      <c r="AB6" s="1474"/>
      <c r="AC6" s="430"/>
      <c r="AD6" s="427"/>
      <c r="AE6" s="427"/>
      <c r="AF6" s="427"/>
      <c r="AG6" s="427"/>
      <c r="AH6" s="427"/>
    </row>
    <row r="7" spans="1:34" s="72" customFormat="1" ht="34.5" customHeight="1">
      <c r="A7" s="2108" t="s">
        <v>320</v>
      </c>
      <c r="B7" s="2109"/>
      <c r="C7" s="2109"/>
      <c r="D7" s="2110"/>
      <c r="E7" s="2108" t="s">
        <v>321</v>
      </c>
      <c r="F7" s="2109"/>
      <c r="G7" s="2109"/>
      <c r="H7" s="2109"/>
      <c r="I7" s="2109"/>
      <c r="J7" s="2109"/>
      <c r="K7" s="2109"/>
      <c r="L7" s="2109"/>
      <c r="M7" s="2109"/>
      <c r="N7" s="2109"/>
      <c r="O7" s="2109"/>
      <c r="P7" s="2109"/>
      <c r="Q7" s="2109"/>
      <c r="R7" s="2109"/>
      <c r="S7" s="2109"/>
      <c r="T7" s="2109"/>
      <c r="U7" s="2109"/>
      <c r="V7" s="2109"/>
      <c r="W7" s="2110"/>
      <c r="X7" s="2011" t="s">
        <v>1834</v>
      </c>
      <c r="Y7" s="2012"/>
      <c r="Z7" s="2012"/>
      <c r="AA7" s="2013"/>
      <c r="AB7" s="1465"/>
      <c r="AC7" s="226" t="s">
        <v>519</v>
      </c>
      <c r="AD7" s="1466"/>
      <c r="AE7" s="1466"/>
      <c r="AF7" s="1466"/>
      <c r="AG7" s="1466"/>
      <c r="AH7" s="427"/>
    </row>
    <row r="8" spans="1:34" s="72" customFormat="1" ht="28.5" customHeight="1">
      <c r="A8" s="224"/>
      <c r="B8" s="225"/>
      <c r="C8" s="225"/>
      <c r="D8" s="225"/>
      <c r="E8" s="2111" t="s">
        <v>323</v>
      </c>
      <c r="F8" s="2112"/>
      <c r="G8" s="2112"/>
      <c r="H8" s="2112"/>
      <c r="I8" s="2112"/>
      <c r="J8" s="2112"/>
      <c r="K8" s="2112"/>
      <c r="L8" s="2112"/>
      <c r="M8" s="2112"/>
      <c r="N8" s="2112"/>
      <c r="O8" s="2112"/>
      <c r="P8" s="2112"/>
      <c r="Q8" s="2112"/>
      <c r="R8" s="2112"/>
      <c r="S8" s="2112"/>
      <c r="T8" s="2112"/>
      <c r="U8" s="2112"/>
      <c r="V8" s="2112"/>
      <c r="W8" s="2113"/>
      <c r="X8" s="2014"/>
      <c r="Y8" s="2015"/>
      <c r="Z8" s="2015"/>
      <c r="AA8" s="2016"/>
      <c r="AB8" s="1465"/>
      <c r="AC8" s="226" t="s">
        <v>520</v>
      </c>
      <c r="AD8" s="1466"/>
      <c r="AE8" s="1466"/>
      <c r="AF8" s="1466"/>
      <c r="AG8" s="1466"/>
      <c r="AH8" s="427"/>
    </row>
    <row r="9" spans="1:34" s="72" customFormat="1" ht="24.4" customHeight="1">
      <c r="A9" s="830" t="s">
        <v>1625</v>
      </c>
      <c r="E9" s="209"/>
      <c r="F9" s="209"/>
      <c r="G9" s="209"/>
      <c r="H9" s="209"/>
      <c r="I9" s="209"/>
      <c r="J9" s="209"/>
      <c r="K9" s="209"/>
      <c r="L9" s="209"/>
      <c r="M9" s="209"/>
      <c r="N9" s="209"/>
      <c r="O9" s="209"/>
      <c r="P9" s="209"/>
      <c r="Q9" s="209"/>
      <c r="R9" s="209"/>
      <c r="S9" s="209"/>
      <c r="T9" s="209"/>
      <c r="U9" s="209"/>
      <c r="V9" s="209"/>
      <c r="W9" s="209"/>
      <c r="X9" s="159"/>
      <c r="AD9" s="427"/>
      <c r="AE9" s="427"/>
      <c r="AF9" s="427"/>
      <c r="AG9" s="427"/>
      <c r="AH9" s="427"/>
    </row>
    <row r="10" spans="1:34" s="72" customFormat="1" ht="27.75" customHeight="1">
      <c r="A10" s="1056" t="s">
        <v>1871</v>
      </c>
      <c r="E10" s="209"/>
      <c r="F10" s="209"/>
      <c r="G10" s="209"/>
      <c r="H10" s="209"/>
      <c r="I10" s="209"/>
      <c r="J10" s="209"/>
      <c r="K10" s="209"/>
      <c r="L10" s="209"/>
      <c r="M10" s="209"/>
      <c r="N10" s="209"/>
      <c r="O10" s="209"/>
      <c r="P10" s="209"/>
      <c r="Q10" s="209"/>
      <c r="R10" s="209"/>
      <c r="S10" s="209"/>
      <c r="T10" s="209"/>
      <c r="U10" s="209"/>
      <c r="V10" s="209"/>
      <c r="W10" s="209"/>
      <c r="X10" s="159"/>
      <c r="AD10" s="427"/>
      <c r="AE10" s="427"/>
      <c r="AF10" s="427"/>
      <c r="AG10" s="427"/>
      <c r="AH10" s="427"/>
    </row>
    <row r="11" spans="1:34" s="72" customFormat="1" ht="37.5" customHeight="1">
      <c r="A11" s="2026" t="s">
        <v>1093</v>
      </c>
      <c r="B11" s="2026"/>
      <c r="C11" s="2026"/>
      <c r="D11" s="2026"/>
      <c r="E11" s="2040" t="s">
        <v>1753</v>
      </c>
      <c r="F11" s="2041"/>
      <c r="G11" s="2041"/>
      <c r="H11" s="2041"/>
      <c r="I11" s="2041"/>
      <c r="J11" s="2041"/>
      <c r="K11" s="2041"/>
      <c r="L11" s="2041"/>
      <c r="M11" s="2041"/>
      <c r="N11" s="2041"/>
      <c r="O11" s="2041"/>
      <c r="P11" s="2041"/>
      <c r="Q11" s="2041"/>
      <c r="R11" s="2041"/>
      <c r="S11" s="2041"/>
      <c r="T11" s="2041"/>
      <c r="U11" s="2041"/>
      <c r="V11" s="2041"/>
      <c r="W11" s="2042"/>
      <c r="X11" s="2050" t="s">
        <v>1299</v>
      </c>
      <c r="Y11" s="2051"/>
      <c r="Z11" s="2051"/>
      <c r="AA11" s="2052"/>
      <c r="AB11" s="2047"/>
      <c r="AC11" s="2047"/>
      <c r="AD11" s="2047"/>
      <c r="AE11" s="2047"/>
      <c r="AF11" s="427"/>
      <c r="AG11" s="427"/>
      <c r="AH11" s="427"/>
    </row>
    <row r="12" spans="1:34" s="72" customFormat="1" ht="37.5" customHeight="1">
      <c r="A12" s="2093" t="s">
        <v>1300</v>
      </c>
      <c r="B12" s="2093"/>
      <c r="C12" s="2093"/>
      <c r="D12" s="2093"/>
      <c r="E12" s="2094" t="s">
        <v>1509</v>
      </c>
      <c r="F12" s="2053"/>
      <c r="G12" s="2053"/>
      <c r="H12" s="2053"/>
      <c r="I12" s="2053"/>
      <c r="J12" s="2053"/>
      <c r="K12" s="2053"/>
      <c r="L12" s="2053"/>
      <c r="M12" s="2053"/>
      <c r="N12" s="2053"/>
      <c r="O12" s="2053"/>
      <c r="P12" s="2053"/>
      <c r="Q12" s="2053"/>
      <c r="R12" s="2053"/>
      <c r="S12" s="2053"/>
      <c r="T12" s="2053"/>
      <c r="U12" s="2053"/>
      <c r="V12" s="2053"/>
      <c r="W12" s="2095"/>
      <c r="X12" s="2050" t="s">
        <v>1539</v>
      </c>
      <c r="Y12" s="2051"/>
      <c r="Z12" s="2051"/>
      <c r="AA12" s="2052"/>
      <c r="AB12" s="2047"/>
      <c r="AC12" s="2047"/>
      <c r="AD12" s="2047"/>
      <c r="AE12" s="2047"/>
      <c r="AF12" s="440"/>
      <c r="AG12" s="440"/>
      <c r="AH12" s="440"/>
    </row>
    <row r="13" spans="1:34" s="72" customFormat="1" ht="36.75" customHeight="1">
      <c r="A13" s="2093" t="s">
        <v>1093</v>
      </c>
      <c r="B13" s="2093"/>
      <c r="C13" s="2093"/>
      <c r="D13" s="2093"/>
      <c r="E13" s="2022" t="s">
        <v>1526</v>
      </c>
      <c r="F13" s="2022"/>
      <c r="G13" s="2022"/>
      <c r="H13" s="2022"/>
      <c r="I13" s="2022"/>
      <c r="J13" s="2022"/>
      <c r="K13" s="2022"/>
      <c r="L13" s="2022"/>
      <c r="M13" s="2022"/>
      <c r="N13" s="2022"/>
      <c r="O13" s="2022"/>
      <c r="P13" s="2022"/>
      <c r="Q13" s="2022"/>
      <c r="R13" s="2022"/>
      <c r="S13" s="2022"/>
      <c r="T13" s="2022"/>
      <c r="U13" s="2022"/>
      <c r="V13" s="2022"/>
      <c r="W13" s="2022"/>
      <c r="X13" s="2021" t="s">
        <v>1812</v>
      </c>
      <c r="Y13" s="2021"/>
      <c r="Z13" s="2021"/>
      <c r="AA13" s="2021"/>
      <c r="AB13" s="1468"/>
      <c r="AC13" s="843"/>
      <c r="AD13" s="440"/>
      <c r="AE13" s="440"/>
      <c r="AF13" s="440"/>
      <c r="AG13" s="440"/>
      <c r="AH13" s="440"/>
    </row>
    <row r="14" spans="1:34" s="72" customFormat="1" ht="37.5" customHeight="1">
      <c r="A14" s="2093" t="s">
        <v>1093</v>
      </c>
      <c r="B14" s="2093"/>
      <c r="C14" s="2093"/>
      <c r="D14" s="2093"/>
      <c r="E14" s="2022" t="s">
        <v>1527</v>
      </c>
      <c r="F14" s="2022"/>
      <c r="G14" s="2022"/>
      <c r="H14" s="2022"/>
      <c r="I14" s="2022"/>
      <c r="J14" s="2022"/>
      <c r="K14" s="2022"/>
      <c r="L14" s="2022"/>
      <c r="M14" s="2022"/>
      <c r="N14" s="2022"/>
      <c r="O14" s="2022"/>
      <c r="P14" s="2022"/>
      <c r="Q14" s="2022"/>
      <c r="R14" s="2022"/>
      <c r="S14" s="2022"/>
      <c r="T14" s="2022"/>
      <c r="U14" s="2022"/>
      <c r="V14" s="2022"/>
      <c r="W14" s="2022"/>
      <c r="X14" s="2021" t="s">
        <v>1304</v>
      </c>
      <c r="Y14" s="2021"/>
      <c r="Z14" s="2021"/>
      <c r="AA14" s="2021"/>
      <c r="AB14" s="1467"/>
      <c r="AC14" s="843"/>
      <c r="AD14" s="440"/>
      <c r="AE14" s="440"/>
      <c r="AF14" s="440"/>
      <c r="AG14" s="440"/>
      <c r="AH14" s="440"/>
    </row>
    <row r="15" spans="1:34" s="72" customFormat="1" ht="37.5" customHeight="1">
      <c r="A15" s="2026" t="s">
        <v>1093</v>
      </c>
      <c r="B15" s="2026"/>
      <c r="C15" s="2026"/>
      <c r="D15" s="2026"/>
      <c r="E15" s="2037" t="s">
        <v>1827</v>
      </c>
      <c r="F15" s="2048"/>
      <c r="G15" s="2048"/>
      <c r="H15" s="2048"/>
      <c r="I15" s="2048"/>
      <c r="J15" s="2048"/>
      <c r="K15" s="2048"/>
      <c r="L15" s="2048"/>
      <c r="M15" s="2048"/>
      <c r="N15" s="2048"/>
      <c r="O15" s="2048"/>
      <c r="P15" s="2048"/>
      <c r="Q15" s="2048"/>
      <c r="R15" s="2048"/>
      <c r="S15" s="2048"/>
      <c r="T15" s="2048"/>
      <c r="U15" s="2048"/>
      <c r="V15" s="2048"/>
      <c r="W15" s="2049"/>
      <c r="X15" s="2021" t="s">
        <v>1813</v>
      </c>
      <c r="Y15" s="2021"/>
      <c r="Z15" s="2021"/>
      <c r="AA15" s="2021"/>
      <c r="AB15" s="1467"/>
      <c r="AC15" s="843"/>
      <c r="AD15" s="440"/>
      <c r="AE15" s="440"/>
      <c r="AF15" s="440"/>
      <c r="AG15" s="440"/>
      <c r="AH15" s="440"/>
    </row>
    <row r="16" spans="1:34" s="160" customFormat="1" ht="37.5" customHeight="1">
      <c r="A16" s="2026" t="s">
        <v>1093</v>
      </c>
      <c r="B16" s="2026"/>
      <c r="C16" s="2026"/>
      <c r="D16" s="2026"/>
      <c r="E16" s="2037" t="s">
        <v>1814</v>
      </c>
      <c r="F16" s="2048"/>
      <c r="G16" s="2048"/>
      <c r="H16" s="2048"/>
      <c r="I16" s="2048"/>
      <c r="J16" s="2048"/>
      <c r="K16" s="2048"/>
      <c r="L16" s="2048"/>
      <c r="M16" s="2048"/>
      <c r="N16" s="2048"/>
      <c r="O16" s="2048"/>
      <c r="P16" s="2048"/>
      <c r="Q16" s="2048"/>
      <c r="R16" s="2048"/>
      <c r="S16" s="2048"/>
      <c r="T16" s="2048"/>
      <c r="U16" s="2048"/>
      <c r="V16" s="2048"/>
      <c r="W16" s="2049"/>
      <c r="X16" s="2021" t="s">
        <v>1818</v>
      </c>
      <c r="Y16" s="2021"/>
      <c r="Z16" s="2021"/>
      <c r="AA16" s="2021"/>
      <c r="AB16" s="1467"/>
      <c r="AC16" s="843"/>
      <c r="AD16" s="440"/>
      <c r="AE16" s="440"/>
      <c r="AF16" s="440"/>
      <c r="AG16" s="440"/>
      <c r="AH16" s="440"/>
    </row>
    <row r="17" spans="1:34" s="160" customFormat="1" ht="37.5" customHeight="1">
      <c r="A17" s="2026" t="s">
        <v>1093</v>
      </c>
      <c r="B17" s="2026"/>
      <c r="C17" s="2026"/>
      <c r="D17" s="2026"/>
      <c r="E17" s="2037" t="s">
        <v>1815</v>
      </c>
      <c r="F17" s="2048"/>
      <c r="G17" s="2048"/>
      <c r="H17" s="2048"/>
      <c r="I17" s="2048"/>
      <c r="J17" s="2048"/>
      <c r="K17" s="2048"/>
      <c r="L17" s="2048"/>
      <c r="M17" s="2048"/>
      <c r="N17" s="2048"/>
      <c r="O17" s="2048"/>
      <c r="P17" s="2048"/>
      <c r="Q17" s="2048"/>
      <c r="R17" s="2048"/>
      <c r="S17" s="2048"/>
      <c r="T17" s="2048"/>
      <c r="U17" s="2048"/>
      <c r="V17" s="2048"/>
      <c r="W17" s="2049"/>
      <c r="X17" s="2021" t="s">
        <v>1819</v>
      </c>
      <c r="Y17" s="2021"/>
      <c r="Z17" s="2021"/>
      <c r="AA17" s="2021"/>
      <c r="AB17" s="1467"/>
      <c r="AC17" s="843"/>
      <c r="AD17" s="440"/>
      <c r="AE17" s="440"/>
      <c r="AF17" s="440"/>
      <c r="AG17" s="440"/>
      <c r="AH17" s="440"/>
    </row>
    <row r="18" spans="1:34" s="160" customFormat="1" ht="37.5" customHeight="1">
      <c r="A18" s="2027" t="s">
        <v>1093</v>
      </c>
      <c r="B18" s="2028"/>
      <c r="C18" s="2028"/>
      <c r="D18" s="2029"/>
      <c r="E18" s="2037" t="s">
        <v>1828</v>
      </c>
      <c r="F18" s="2048"/>
      <c r="G18" s="2048"/>
      <c r="H18" s="2048"/>
      <c r="I18" s="2048"/>
      <c r="J18" s="2048"/>
      <c r="K18" s="2048"/>
      <c r="L18" s="2048"/>
      <c r="M18" s="2048"/>
      <c r="N18" s="2048"/>
      <c r="O18" s="2048"/>
      <c r="P18" s="2048"/>
      <c r="Q18" s="2048"/>
      <c r="R18" s="2048"/>
      <c r="S18" s="2048"/>
      <c r="T18" s="2048"/>
      <c r="U18" s="2048"/>
      <c r="V18" s="2048"/>
      <c r="W18" s="2049"/>
      <c r="X18" s="2050" t="s">
        <v>1820</v>
      </c>
      <c r="Y18" s="2051"/>
      <c r="Z18" s="2051"/>
      <c r="AA18" s="2052"/>
      <c r="AB18" s="1467"/>
      <c r="AC18" s="846"/>
      <c r="AD18" s="427"/>
      <c r="AE18" s="427"/>
      <c r="AF18" s="427"/>
      <c r="AG18" s="427"/>
      <c r="AH18" s="427"/>
    </row>
    <row r="19" spans="1:34" s="160" customFormat="1" ht="37.5" customHeight="1">
      <c r="A19" s="2027" t="s">
        <v>1093</v>
      </c>
      <c r="B19" s="2028"/>
      <c r="C19" s="2028"/>
      <c r="D19" s="2029"/>
      <c r="E19" s="2037" t="s">
        <v>1821</v>
      </c>
      <c r="F19" s="2048"/>
      <c r="G19" s="2048"/>
      <c r="H19" s="2048"/>
      <c r="I19" s="2048"/>
      <c r="J19" s="2048"/>
      <c r="K19" s="2048"/>
      <c r="L19" s="2048"/>
      <c r="M19" s="2048"/>
      <c r="N19" s="2048"/>
      <c r="O19" s="2048"/>
      <c r="P19" s="2048"/>
      <c r="Q19" s="2048"/>
      <c r="R19" s="2048"/>
      <c r="S19" s="2048"/>
      <c r="T19" s="2048"/>
      <c r="U19" s="2048"/>
      <c r="V19" s="2048"/>
      <c r="W19" s="2049"/>
      <c r="X19" s="2050" t="s">
        <v>1822</v>
      </c>
      <c r="Y19" s="2051"/>
      <c r="Z19" s="2051"/>
      <c r="AA19" s="2052"/>
      <c r="AB19" s="1467"/>
      <c r="AC19" s="846"/>
      <c r="AD19" s="427"/>
      <c r="AE19" s="427"/>
      <c r="AF19" s="427"/>
      <c r="AG19" s="427"/>
      <c r="AH19" s="427"/>
    </row>
    <row r="20" spans="1:34" s="72" customFormat="1" ht="37.5" customHeight="1">
      <c r="A20" s="2026" t="s">
        <v>1093</v>
      </c>
      <c r="B20" s="2026"/>
      <c r="C20" s="2026"/>
      <c r="D20" s="2026"/>
      <c r="E20" s="2096" t="s">
        <v>1769</v>
      </c>
      <c r="F20" s="2096"/>
      <c r="G20" s="2096"/>
      <c r="H20" s="2096"/>
      <c r="I20" s="2096"/>
      <c r="J20" s="2096"/>
      <c r="K20" s="2096"/>
      <c r="L20" s="2096"/>
      <c r="M20" s="2096"/>
      <c r="N20" s="2096"/>
      <c r="O20" s="2096"/>
      <c r="P20" s="2096"/>
      <c r="Q20" s="2096"/>
      <c r="R20" s="2096"/>
      <c r="S20" s="2096"/>
      <c r="T20" s="2096"/>
      <c r="U20" s="2096"/>
      <c r="V20" s="2096"/>
      <c r="W20" s="2096"/>
      <c r="X20" s="2021" t="s">
        <v>1302</v>
      </c>
      <c r="Y20" s="2021"/>
      <c r="Z20" s="2021"/>
      <c r="AA20" s="2021"/>
      <c r="AB20" s="2047"/>
      <c r="AC20" s="2047"/>
      <c r="AD20" s="2047"/>
      <c r="AE20" s="2047"/>
      <c r="AF20" s="440"/>
      <c r="AG20" s="440"/>
      <c r="AH20" s="440"/>
    </row>
    <row r="21" spans="1:34" s="160" customFormat="1" ht="37.5" customHeight="1">
      <c r="A21" s="2026" t="s">
        <v>1093</v>
      </c>
      <c r="B21" s="2026"/>
      <c r="C21" s="2026"/>
      <c r="D21" s="2026"/>
      <c r="E21" s="2096" t="s">
        <v>1816</v>
      </c>
      <c r="F21" s="2096"/>
      <c r="G21" s="2096"/>
      <c r="H21" s="2096"/>
      <c r="I21" s="2096"/>
      <c r="J21" s="2096"/>
      <c r="K21" s="2096"/>
      <c r="L21" s="2096"/>
      <c r="M21" s="2096"/>
      <c r="N21" s="2096"/>
      <c r="O21" s="2096"/>
      <c r="P21" s="2096"/>
      <c r="Q21" s="2096"/>
      <c r="R21" s="2096"/>
      <c r="S21" s="2096"/>
      <c r="T21" s="2096"/>
      <c r="U21" s="2096"/>
      <c r="V21" s="2096"/>
      <c r="W21" s="2096"/>
      <c r="X21" s="2021" t="s">
        <v>1823</v>
      </c>
      <c r="Y21" s="2021"/>
      <c r="Z21" s="2021"/>
      <c r="AA21" s="2021"/>
      <c r="AB21" s="2047"/>
      <c r="AC21" s="2047"/>
      <c r="AD21" s="2047"/>
      <c r="AE21" s="2047"/>
      <c r="AF21" s="440"/>
      <c r="AG21" s="440"/>
      <c r="AH21" s="440"/>
    </row>
    <row r="22" spans="1:34" s="160" customFormat="1" ht="37.5" customHeight="1">
      <c r="A22" s="2026" t="s">
        <v>1093</v>
      </c>
      <c r="B22" s="2026"/>
      <c r="C22" s="2026"/>
      <c r="D22" s="2026"/>
      <c r="E22" s="2096" t="s">
        <v>1817</v>
      </c>
      <c r="F22" s="2096"/>
      <c r="G22" s="2096"/>
      <c r="H22" s="2096"/>
      <c r="I22" s="2096"/>
      <c r="J22" s="2096"/>
      <c r="K22" s="2096"/>
      <c r="L22" s="2096"/>
      <c r="M22" s="2096"/>
      <c r="N22" s="2096"/>
      <c r="O22" s="2096"/>
      <c r="P22" s="2096"/>
      <c r="Q22" s="2096"/>
      <c r="R22" s="2096"/>
      <c r="S22" s="2096"/>
      <c r="T22" s="2096"/>
      <c r="U22" s="2096"/>
      <c r="V22" s="2096"/>
      <c r="W22" s="2096"/>
      <c r="X22" s="2021" t="s">
        <v>1540</v>
      </c>
      <c r="Y22" s="2021"/>
      <c r="Z22" s="2021"/>
      <c r="AA22" s="2021"/>
      <c r="AB22" s="2047"/>
      <c r="AC22" s="2047"/>
      <c r="AD22" s="2047"/>
      <c r="AE22" s="2047"/>
      <c r="AF22" s="440"/>
      <c r="AG22" s="440"/>
      <c r="AH22" s="440"/>
    </row>
    <row r="23" spans="1:34" s="160" customFormat="1" ht="37.5" customHeight="1">
      <c r="A23" s="2027" t="s">
        <v>1093</v>
      </c>
      <c r="B23" s="2028"/>
      <c r="C23" s="2028"/>
      <c r="D23" s="2029"/>
      <c r="E23" s="2037" t="s">
        <v>1832</v>
      </c>
      <c r="F23" s="2038"/>
      <c r="G23" s="2038"/>
      <c r="H23" s="2038"/>
      <c r="I23" s="2038"/>
      <c r="J23" s="2038"/>
      <c r="K23" s="2038"/>
      <c r="L23" s="2038"/>
      <c r="M23" s="2038"/>
      <c r="N23" s="2038"/>
      <c r="O23" s="2038"/>
      <c r="P23" s="2038"/>
      <c r="Q23" s="2038"/>
      <c r="R23" s="2038"/>
      <c r="S23" s="2038"/>
      <c r="T23" s="2038"/>
      <c r="U23" s="2038"/>
      <c r="V23" s="2038"/>
      <c r="W23" s="2039"/>
      <c r="X23" s="2050" t="s">
        <v>1541</v>
      </c>
      <c r="Y23" s="2051"/>
      <c r="Z23" s="2051"/>
      <c r="AA23" s="2052"/>
      <c r="AB23" s="2047"/>
      <c r="AC23" s="2047"/>
      <c r="AD23" s="2047"/>
      <c r="AE23" s="2047"/>
      <c r="AF23" s="427"/>
      <c r="AG23" s="427"/>
      <c r="AH23" s="427"/>
    </row>
    <row r="24" spans="1:34" s="72" customFormat="1" ht="37.5" customHeight="1">
      <c r="A24" s="2027" t="s">
        <v>1093</v>
      </c>
      <c r="B24" s="2028"/>
      <c r="C24" s="2028"/>
      <c r="D24" s="2029"/>
      <c r="E24" s="2037" t="s">
        <v>1824</v>
      </c>
      <c r="F24" s="2038"/>
      <c r="G24" s="2038"/>
      <c r="H24" s="2038"/>
      <c r="I24" s="2038"/>
      <c r="J24" s="2038"/>
      <c r="K24" s="2038"/>
      <c r="L24" s="2038"/>
      <c r="M24" s="2038"/>
      <c r="N24" s="2038"/>
      <c r="O24" s="2038"/>
      <c r="P24" s="2038"/>
      <c r="Q24" s="2038"/>
      <c r="R24" s="2038"/>
      <c r="S24" s="2038"/>
      <c r="T24" s="2038"/>
      <c r="U24" s="2038"/>
      <c r="V24" s="2038"/>
      <c r="W24" s="2039"/>
      <c r="X24" s="2050" t="s">
        <v>1825</v>
      </c>
      <c r="Y24" s="2051"/>
      <c r="Z24" s="2051"/>
      <c r="AA24" s="2052"/>
      <c r="AB24" s="2047"/>
      <c r="AC24" s="2047"/>
      <c r="AD24" s="2047"/>
      <c r="AE24" s="2047"/>
      <c r="AF24" s="427"/>
      <c r="AG24" s="427"/>
      <c r="AH24" s="427"/>
    </row>
    <row r="25" spans="1:34" s="72" customFormat="1" ht="25.15" hidden="1" customHeight="1">
      <c r="A25" s="828"/>
      <c r="B25" s="829"/>
      <c r="C25" s="829"/>
      <c r="D25" s="829"/>
      <c r="E25" s="2034"/>
      <c r="F25" s="2035"/>
      <c r="G25" s="2035"/>
      <c r="H25" s="2035"/>
      <c r="I25" s="2035"/>
      <c r="J25" s="2035"/>
      <c r="K25" s="2035"/>
      <c r="L25" s="2035"/>
      <c r="M25" s="2035"/>
      <c r="N25" s="2035"/>
      <c r="O25" s="2035"/>
      <c r="P25" s="2035"/>
      <c r="Q25" s="2035"/>
      <c r="R25" s="2035"/>
      <c r="S25" s="2035"/>
      <c r="T25" s="2035"/>
      <c r="U25" s="2035"/>
      <c r="V25" s="2035"/>
      <c r="W25" s="2036"/>
      <c r="X25" s="2023"/>
      <c r="Y25" s="2024"/>
      <c r="Z25" s="2024"/>
      <c r="AA25" s="2025"/>
      <c r="AB25" s="1463"/>
      <c r="AC25" s="846">
        <v>14</v>
      </c>
      <c r="AD25" s="2092" t="s">
        <v>521</v>
      </c>
      <c r="AE25" s="2092"/>
      <c r="AF25" s="2092"/>
      <c r="AG25" s="2092"/>
      <c r="AH25" s="2092"/>
    </row>
    <row r="26" spans="1:34" s="72" customFormat="1" ht="25.15" hidden="1" customHeight="1">
      <c r="A26" s="828"/>
      <c r="B26" s="829"/>
      <c r="C26" s="829"/>
      <c r="D26" s="829"/>
      <c r="E26" s="2034"/>
      <c r="F26" s="2035"/>
      <c r="G26" s="2035"/>
      <c r="H26" s="2035"/>
      <c r="I26" s="2035"/>
      <c r="J26" s="2035"/>
      <c r="K26" s="2035"/>
      <c r="L26" s="2035"/>
      <c r="M26" s="2035"/>
      <c r="N26" s="2035"/>
      <c r="O26" s="2035"/>
      <c r="P26" s="2035"/>
      <c r="Q26" s="2035"/>
      <c r="R26" s="2035"/>
      <c r="S26" s="2035"/>
      <c r="T26" s="2035"/>
      <c r="U26" s="2035"/>
      <c r="V26" s="2035"/>
      <c r="W26" s="2036"/>
      <c r="X26" s="2023"/>
      <c r="Y26" s="2024"/>
      <c r="Z26" s="2024"/>
      <c r="AA26" s="2025"/>
      <c r="AB26" s="1463"/>
      <c r="AC26" s="846">
        <v>35</v>
      </c>
      <c r="AD26" s="2092"/>
      <c r="AE26" s="2092"/>
      <c r="AF26" s="2092"/>
      <c r="AG26" s="2092"/>
      <c r="AH26" s="2092"/>
    </row>
    <row r="27" spans="1:34" s="72" customFormat="1" ht="31.9" customHeight="1">
      <c r="A27" s="830" t="s">
        <v>1517</v>
      </c>
      <c r="B27" s="227"/>
      <c r="C27" s="227"/>
      <c r="D27" s="227"/>
      <c r="E27" s="2033"/>
      <c r="F27" s="2033"/>
      <c r="G27" s="2033"/>
      <c r="H27" s="2033"/>
      <c r="I27" s="2033"/>
      <c r="J27" s="2033"/>
      <c r="K27" s="2033"/>
      <c r="L27" s="2033"/>
      <c r="M27" s="2033"/>
      <c r="N27" s="2033"/>
      <c r="O27" s="2033"/>
      <c r="P27" s="2033"/>
      <c r="Q27" s="2033"/>
      <c r="R27" s="2033"/>
      <c r="S27" s="2033"/>
      <c r="T27" s="2033"/>
      <c r="U27" s="2033"/>
      <c r="V27" s="2033"/>
      <c r="W27" s="2033"/>
      <c r="X27" s="227"/>
      <c r="Y27" s="227"/>
      <c r="Z27" s="227"/>
      <c r="AA27" s="227"/>
      <c r="AB27" s="227"/>
      <c r="AC27" s="846">
        <v>42</v>
      </c>
      <c r="AD27" s="427" t="s">
        <v>522</v>
      </c>
      <c r="AE27" s="427"/>
      <c r="AF27" s="427"/>
      <c r="AG27" s="427"/>
      <c r="AH27" s="427"/>
    </row>
    <row r="28" spans="1:34" s="72" customFormat="1" ht="37.5" customHeight="1">
      <c r="A28" s="1093" t="s">
        <v>1667</v>
      </c>
      <c r="B28" s="1094"/>
      <c r="C28" s="1094"/>
      <c r="D28" s="1095"/>
      <c r="E28" s="2040" t="s">
        <v>326</v>
      </c>
      <c r="F28" s="2041"/>
      <c r="G28" s="2041"/>
      <c r="H28" s="2041"/>
      <c r="I28" s="2041"/>
      <c r="J28" s="2041"/>
      <c r="K28" s="2041"/>
      <c r="L28" s="2041"/>
      <c r="M28" s="2041"/>
      <c r="N28" s="2041"/>
      <c r="O28" s="2041"/>
      <c r="P28" s="2041"/>
      <c r="Q28" s="2041"/>
      <c r="R28" s="2041"/>
      <c r="S28" s="2041"/>
      <c r="T28" s="2041"/>
      <c r="U28" s="2041"/>
      <c r="V28" s="2041"/>
      <c r="W28" s="2042"/>
      <c r="X28" s="2030">
        <v>40</v>
      </c>
      <c r="Y28" s="2031"/>
      <c r="Z28" s="2031"/>
      <c r="AA28" s="2032"/>
      <c r="AB28" s="1468"/>
      <c r="AC28" s="1469"/>
      <c r="AD28" s="427"/>
      <c r="AE28" s="427"/>
      <c r="AF28" s="427"/>
      <c r="AG28" s="427"/>
      <c r="AH28" s="427"/>
    </row>
    <row r="29" spans="1:34" s="72" customFormat="1" ht="38.65" customHeight="1">
      <c r="A29" s="2027" t="s">
        <v>1668</v>
      </c>
      <c r="B29" s="2028"/>
      <c r="C29" s="2028"/>
      <c r="D29" s="2029"/>
      <c r="E29" s="2022" t="s">
        <v>1626</v>
      </c>
      <c r="F29" s="2022"/>
      <c r="G29" s="2022"/>
      <c r="H29" s="2022"/>
      <c r="I29" s="2022"/>
      <c r="J29" s="2022"/>
      <c r="K29" s="2022"/>
      <c r="L29" s="2022"/>
      <c r="M29" s="2022"/>
      <c r="N29" s="2022"/>
      <c r="O29" s="2022"/>
      <c r="P29" s="2022"/>
      <c r="Q29" s="2022"/>
      <c r="R29" s="2022"/>
      <c r="S29" s="2022"/>
      <c r="T29" s="2022"/>
      <c r="U29" s="2022"/>
      <c r="V29" s="2022"/>
      <c r="W29" s="2022"/>
      <c r="X29" s="2021" t="s">
        <v>1303</v>
      </c>
      <c r="Y29" s="2021"/>
      <c r="Z29" s="2021"/>
      <c r="AA29" s="2021"/>
      <c r="AB29" s="2047"/>
      <c r="AC29" s="2047"/>
      <c r="AD29" s="2047"/>
      <c r="AE29" s="2047"/>
      <c r="AF29" s="427"/>
      <c r="AG29" s="427"/>
      <c r="AH29" s="427"/>
    </row>
    <row r="30" spans="1:34" s="227" customFormat="1" ht="18" hidden="1" customHeight="1">
      <c r="A30" s="2097"/>
      <c r="B30" s="2097"/>
      <c r="C30" s="2097"/>
      <c r="D30" s="72"/>
      <c r="E30" s="416"/>
      <c r="F30" s="416"/>
      <c r="G30" s="416"/>
      <c r="H30" s="416"/>
      <c r="I30" s="416"/>
      <c r="J30" s="416"/>
      <c r="K30" s="416"/>
      <c r="L30" s="416"/>
      <c r="M30" s="416"/>
      <c r="N30" s="416"/>
      <c r="O30" s="416"/>
      <c r="P30" s="416"/>
      <c r="Q30" s="416"/>
      <c r="R30" s="416"/>
      <c r="S30" s="416"/>
      <c r="T30" s="416"/>
      <c r="U30" s="416"/>
      <c r="V30" s="416"/>
      <c r="W30" s="416"/>
      <c r="X30" s="847"/>
      <c r="Y30" s="847"/>
      <c r="Z30" s="847"/>
      <c r="AA30" s="847"/>
      <c r="AB30" s="847"/>
      <c r="AC30" s="845"/>
      <c r="AD30" s="1470"/>
      <c r="AE30" s="1470"/>
      <c r="AF30" s="1470"/>
      <c r="AG30" s="1470"/>
      <c r="AH30" s="1470"/>
    </row>
    <row r="31" spans="1:34" s="227" customFormat="1" ht="6.4" customHeight="1">
      <c r="AC31" s="845"/>
      <c r="AD31" s="1470"/>
      <c r="AE31" s="1470"/>
      <c r="AF31" s="1470"/>
      <c r="AG31" s="1470"/>
      <c r="AH31" s="1470"/>
    </row>
    <row r="32" spans="1:34" s="72" customFormat="1" ht="25.5" customHeight="1">
      <c r="A32" s="830" t="s">
        <v>1627</v>
      </c>
      <c r="AC32" s="209"/>
      <c r="AD32" s="427"/>
      <c r="AE32" s="427"/>
      <c r="AF32" s="427"/>
      <c r="AG32" s="427"/>
      <c r="AH32" s="427"/>
    </row>
    <row r="33" spans="1:35" s="72" customFormat="1" ht="37.5" customHeight="1">
      <c r="A33" s="1093" t="s">
        <v>524</v>
      </c>
      <c r="B33" s="1094"/>
      <c r="C33" s="1094"/>
      <c r="D33" s="1095"/>
      <c r="E33" s="2040" t="s">
        <v>451</v>
      </c>
      <c r="F33" s="2041"/>
      <c r="G33" s="2041"/>
      <c r="H33" s="2041"/>
      <c r="I33" s="2041"/>
      <c r="J33" s="2041"/>
      <c r="K33" s="2041"/>
      <c r="L33" s="2041"/>
      <c r="M33" s="2041"/>
      <c r="N33" s="2041"/>
      <c r="O33" s="2041"/>
      <c r="P33" s="2041"/>
      <c r="Q33" s="2041"/>
      <c r="R33" s="2041"/>
      <c r="S33" s="2041"/>
      <c r="T33" s="2041"/>
      <c r="U33" s="2041"/>
      <c r="V33" s="2041"/>
      <c r="W33" s="2042"/>
      <c r="X33" s="2030">
        <v>20</v>
      </c>
      <c r="Y33" s="2031"/>
      <c r="Z33" s="2031"/>
      <c r="AA33" s="2032"/>
      <c r="AB33" s="1471"/>
      <c r="AC33" s="227"/>
      <c r="AD33" s="1470"/>
      <c r="AE33" s="1470"/>
      <c r="AF33" s="1470"/>
      <c r="AG33" s="1470"/>
      <c r="AH33" s="1470"/>
    </row>
    <row r="34" spans="1:35" s="72" customFormat="1" ht="37.5" customHeight="1">
      <c r="A34" s="1093" t="s">
        <v>1669</v>
      </c>
      <c r="B34" s="1094"/>
      <c r="C34" s="1094"/>
      <c r="D34" s="1095"/>
      <c r="E34" s="2040" t="s">
        <v>451</v>
      </c>
      <c r="F34" s="2041"/>
      <c r="G34" s="2041"/>
      <c r="H34" s="2041"/>
      <c r="I34" s="2041"/>
      <c r="J34" s="2041"/>
      <c r="K34" s="2041"/>
      <c r="L34" s="2041"/>
      <c r="M34" s="2041"/>
      <c r="N34" s="2041"/>
      <c r="O34" s="2041"/>
      <c r="P34" s="2041"/>
      <c r="Q34" s="2041"/>
      <c r="R34" s="2041"/>
      <c r="S34" s="2041"/>
      <c r="T34" s="2041"/>
      <c r="U34" s="2041"/>
      <c r="V34" s="2041"/>
      <c r="W34" s="2042"/>
      <c r="X34" s="2030">
        <v>30</v>
      </c>
      <c r="Y34" s="2031"/>
      <c r="Z34" s="2031"/>
      <c r="AA34" s="2032"/>
      <c r="AB34" s="2091"/>
      <c r="AC34" s="2091"/>
      <c r="AD34" s="2091"/>
      <c r="AE34" s="2091"/>
      <c r="AF34" s="427"/>
      <c r="AG34" s="427"/>
      <c r="AH34" s="427"/>
    </row>
    <row r="35" spans="1:35" s="72" customFormat="1" ht="0.75" customHeight="1">
      <c r="AC35" s="846"/>
      <c r="AD35" s="2081" t="s">
        <v>525</v>
      </c>
      <c r="AE35" s="2081"/>
      <c r="AF35" s="2081"/>
      <c r="AG35" s="2081"/>
      <c r="AH35" s="2081"/>
    </row>
    <row r="36" spans="1:35" s="72" customFormat="1" ht="21.75" hidden="1" customHeight="1">
      <c r="B36" s="227"/>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846"/>
      <c r="AD36" s="2081"/>
      <c r="AE36" s="2081"/>
      <c r="AF36" s="2081"/>
      <c r="AG36" s="2081"/>
      <c r="AH36" s="2081"/>
    </row>
    <row r="37" spans="1:35" s="72" customFormat="1" ht="21.75" hidden="1" customHeight="1">
      <c r="A37" s="825" t="s">
        <v>0</v>
      </c>
      <c r="B37" s="826"/>
      <c r="C37" s="826"/>
      <c r="D37" s="824"/>
      <c r="E37" s="2034" t="s">
        <v>0</v>
      </c>
      <c r="F37" s="2035"/>
      <c r="G37" s="2035"/>
      <c r="H37" s="2035"/>
      <c r="I37" s="2035"/>
      <c r="J37" s="2035"/>
      <c r="K37" s="2035"/>
      <c r="L37" s="2035"/>
      <c r="M37" s="2035"/>
      <c r="N37" s="2035"/>
      <c r="O37" s="2035"/>
      <c r="P37" s="2035"/>
      <c r="Q37" s="2035"/>
      <c r="R37" s="2035"/>
      <c r="S37" s="2035"/>
      <c r="T37" s="2035"/>
      <c r="U37" s="2035"/>
      <c r="V37" s="2035"/>
      <c r="W37" s="2036"/>
      <c r="X37" s="2023" t="s">
        <v>0</v>
      </c>
      <c r="Y37" s="2024"/>
      <c r="Z37" s="2024"/>
      <c r="AA37" s="2025"/>
      <c r="AB37" s="1472" t="s">
        <v>0</v>
      </c>
      <c r="AC37" s="846"/>
      <c r="AD37" s="2081"/>
      <c r="AE37" s="2081"/>
      <c r="AF37" s="2081"/>
      <c r="AG37" s="2081"/>
      <c r="AH37" s="2081"/>
    </row>
    <row r="38" spans="1:35" s="72" customFormat="1" ht="21.75" hidden="1" customHeight="1">
      <c r="A38" s="825" t="s">
        <v>0</v>
      </c>
      <c r="B38" s="826"/>
      <c r="C38" s="826"/>
      <c r="D38" s="824"/>
      <c r="E38" s="2034" t="s">
        <v>0</v>
      </c>
      <c r="F38" s="2035"/>
      <c r="G38" s="2035"/>
      <c r="H38" s="2035"/>
      <c r="I38" s="2035"/>
      <c r="J38" s="2035"/>
      <c r="K38" s="2035"/>
      <c r="L38" s="2035"/>
      <c r="M38" s="2035"/>
      <c r="N38" s="2035"/>
      <c r="O38" s="2035"/>
      <c r="P38" s="2035"/>
      <c r="Q38" s="2035"/>
      <c r="R38" s="2035"/>
      <c r="S38" s="2035"/>
      <c r="T38" s="2035"/>
      <c r="U38" s="2035"/>
      <c r="V38" s="2035"/>
      <c r="W38" s="2036"/>
      <c r="X38" s="2023" t="s">
        <v>0</v>
      </c>
      <c r="Y38" s="2024"/>
      <c r="Z38" s="2024"/>
      <c r="AA38" s="2025"/>
      <c r="AB38" s="1463" t="s">
        <v>0</v>
      </c>
      <c r="AC38" s="846"/>
      <c r="AD38" s="2081"/>
      <c r="AE38" s="2081"/>
      <c r="AF38" s="2081"/>
      <c r="AG38" s="2081"/>
      <c r="AH38" s="2081"/>
    </row>
    <row r="39" spans="1:35" s="72" customFormat="1" ht="3.75" customHeight="1">
      <c r="A39" s="827"/>
      <c r="B39" s="827"/>
      <c r="C39" s="827"/>
      <c r="D39" s="827"/>
      <c r="E39" s="2083"/>
      <c r="F39" s="2083"/>
      <c r="G39" s="2083"/>
      <c r="H39" s="2083"/>
      <c r="I39" s="2083"/>
      <c r="J39" s="2083"/>
      <c r="K39" s="2083"/>
      <c r="L39" s="2083"/>
      <c r="M39" s="2083"/>
      <c r="N39" s="2083"/>
      <c r="O39" s="2083"/>
      <c r="P39" s="2083"/>
      <c r="Q39" s="2083"/>
      <c r="R39" s="2083"/>
      <c r="S39" s="2083"/>
      <c r="T39" s="2083"/>
      <c r="U39" s="2083"/>
      <c r="V39" s="2083"/>
      <c r="W39" s="2083"/>
      <c r="X39" s="2086"/>
      <c r="Y39" s="2086"/>
      <c r="Z39" s="2086"/>
      <c r="AA39" s="2086"/>
      <c r="AB39" s="1463"/>
      <c r="AC39" s="843"/>
      <c r="AD39" s="2081"/>
      <c r="AE39" s="2081"/>
      <c r="AF39" s="2081"/>
      <c r="AG39" s="2081"/>
      <c r="AH39" s="2081"/>
    </row>
    <row r="40" spans="1:35" s="72" customFormat="1" ht="9.75" hidden="1" customHeight="1">
      <c r="A40" s="222"/>
      <c r="B40" s="233"/>
      <c r="C40" s="233"/>
      <c r="D40" s="233"/>
      <c r="E40" s="2098"/>
      <c r="F40" s="2098"/>
      <c r="G40" s="2098"/>
      <c r="H40" s="2098"/>
      <c r="I40" s="2098"/>
      <c r="J40" s="2098"/>
      <c r="K40" s="2098"/>
      <c r="L40" s="2098"/>
      <c r="M40" s="2098"/>
      <c r="N40" s="2098"/>
      <c r="O40" s="2098"/>
      <c r="P40" s="2098"/>
      <c r="Q40" s="2098"/>
      <c r="R40" s="2098"/>
      <c r="S40" s="2098"/>
      <c r="T40" s="2098"/>
      <c r="U40" s="2098"/>
      <c r="V40" s="2098"/>
      <c r="W40" s="2098"/>
      <c r="X40" s="2090"/>
      <c r="Y40" s="2090"/>
      <c r="Z40" s="2090"/>
      <c r="AA40" s="2090"/>
      <c r="AB40" s="843"/>
      <c r="AC40" s="843"/>
      <c r="AD40" s="2081"/>
      <c r="AE40" s="2081"/>
      <c r="AF40" s="2081"/>
      <c r="AG40" s="2081"/>
      <c r="AH40" s="2081"/>
    </row>
    <row r="41" spans="1:35" s="72" customFormat="1" ht="32.25" hidden="1" customHeight="1">
      <c r="A41" s="2099"/>
      <c r="B41" s="2100"/>
      <c r="C41" s="2100"/>
      <c r="D41" s="2101"/>
      <c r="E41" s="2054"/>
      <c r="F41" s="2055"/>
      <c r="G41" s="2055"/>
      <c r="H41" s="2055"/>
      <c r="I41" s="2055"/>
      <c r="J41" s="2055"/>
      <c r="K41" s="2055"/>
      <c r="L41" s="2055"/>
      <c r="M41" s="2055"/>
      <c r="N41" s="2055"/>
      <c r="O41" s="2055"/>
      <c r="P41" s="2055"/>
      <c r="Q41" s="2055"/>
      <c r="R41" s="2055"/>
      <c r="S41" s="2055"/>
      <c r="T41" s="2055"/>
      <c r="U41" s="2055"/>
      <c r="V41" s="2055"/>
      <c r="W41" s="2056"/>
      <c r="X41" s="2105"/>
      <c r="Y41" s="2090"/>
      <c r="Z41" s="2090"/>
      <c r="AA41" s="2090"/>
      <c r="AB41" s="2090"/>
      <c r="AC41" s="843"/>
      <c r="AD41" s="2081"/>
      <c r="AE41" s="2081"/>
      <c r="AF41" s="2081"/>
      <c r="AG41" s="2081"/>
      <c r="AH41" s="2081"/>
    </row>
    <row r="42" spans="1:35" s="72" customFormat="1" ht="20.100000000000001" hidden="1" customHeight="1">
      <c r="A42" s="2102"/>
      <c r="B42" s="2103"/>
      <c r="C42" s="2103"/>
      <c r="D42" s="2104"/>
      <c r="E42" s="2057"/>
      <c r="F42" s="2058"/>
      <c r="G42" s="2058"/>
      <c r="H42" s="2058"/>
      <c r="I42" s="2058"/>
      <c r="J42" s="2058"/>
      <c r="K42" s="2058"/>
      <c r="L42" s="2058"/>
      <c r="M42" s="2058"/>
      <c r="N42" s="2058"/>
      <c r="O42" s="2058"/>
      <c r="P42" s="2058"/>
      <c r="Q42" s="2058"/>
      <c r="R42" s="2058"/>
      <c r="S42" s="2058"/>
      <c r="T42" s="2058"/>
      <c r="U42" s="2058"/>
      <c r="V42" s="2058"/>
      <c r="W42" s="2059"/>
      <c r="X42" s="2106"/>
      <c r="Y42" s="2107"/>
      <c r="Z42" s="2107"/>
      <c r="AA42" s="2107"/>
      <c r="AB42" s="2090"/>
      <c r="AC42" s="843"/>
      <c r="AD42" s="427"/>
      <c r="AE42" s="427"/>
      <c r="AF42" s="427"/>
      <c r="AG42" s="427"/>
      <c r="AH42" s="427"/>
    </row>
    <row r="43" spans="1:35" s="72" customFormat="1" ht="20.100000000000001" hidden="1" customHeight="1">
      <c r="A43" s="233"/>
      <c r="B43" s="233"/>
      <c r="C43" s="233"/>
      <c r="D43" s="233"/>
      <c r="E43" s="844"/>
      <c r="F43" s="844"/>
      <c r="G43" s="844"/>
      <c r="H43" s="844"/>
      <c r="I43" s="844"/>
      <c r="J43" s="844"/>
      <c r="K43" s="844"/>
      <c r="L43" s="844"/>
      <c r="M43" s="844"/>
      <c r="N43" s="844"/>
      <c r="O43" s="844"/>
      <c r="P43" s="844"/>
      <c r="Q43" s="844"/>
      <c r="R43" s="844"/>
      <c r="S43" s="844"/>
      <c r="T43" s="844"/>
      <c r="U43" s="844"/>
      <c r="V43" s="844"/>
      <c r="W43" s="844"/>
      <c r="X43" s="843"/>
      <c r="Y43" s="843"/>
      <c r="Z43" s="843"/>
      <c r="AA43" s="843"/>
      <c r="AB43" s="843"/>
      <c r="AC43" s="845"/>
      <c r="AD43" s="427"/>
      <c r="AE43" s="427"/>
      <c r="AF43" s="427"/>
      <c r="AG43" s="427"/>
      <c r="AH43" s="427"/>
    </row>
    <row r="44" spans="1:35" s="72" customFormat="1" ht="19.5" hidden="1" customHeight="1">
      <c r="A44" s="2088"/>
      <c r="B44" s="2088"/>
      <c r="C44" s="2088"/>
      <c r="D44" s="2088"/>
      <c r="E44" s="2088"/>
      <c r="F44" s="2088"/>
      <c r="G44" s="2088"/>
      <c r="H44" s="2088"/>
      <c r="I44" s="2088"/>
      <c r="J44" s="2088"/>
      <c r="K44" s="2088"/>
      <c r="L44" s="2088"/>
      <c r="M44" s="2088"/>
      <c r="N44" s="2088"/>
      <c r="O44" s="2088"/>
      <c r="P44" s="2088"/>
      <c r="Q44" s="2088"/>
      <c r="R44" s="2088"/>
      <c r="S44" s="2088"/>
      <c r="T44" s="2088"/>
      <c r="U44" s="2088"/>
      <c r="V44" s="2088"/>
      <c r="W44" s="2088"/>
      <c r="X44" s="2060"/>
      <c r="Y44" s="2060"/>
      <c r="Z44" s="2060"/>
      <c r="AA44" s="2060"/>
      <c r="AB44" s="845"/>
      <c r="AC44" s="845"/>
      <c r="AD44" s="427"/>
      <c r="AE44" s="427"/>
      <c r="AF44" s="427"/>
      <c r="AG44" s="427"/>
      <c r="AH44" s="427"/>
    </row>
    <row r="45" spans="1:35" s="72" customFormat="1" ht="15" hidden="1" customHeight="1">
      <c r="A45" s="2088"/>
      <c r="B45" s="2088"/>
      <c r="C45" s="2088"/>
      <c r="D45" s="2088"/>
      <c r="E45" s="2088"/>
      <c r="F45" s="2088"/>
      <c r="G45" s="2088"/>
      <c r="H45" s="2088"/>
      <c r="I45" s="2088"/>
      <c r="J45" s="2088"/>
      <c r="K45" s="2088"/>
      <c r="L45" s="2088"/>
      <c r="M45" s="2088"/>
      <c r="N45" s="2088"/>
      <c r="O45" s="2088"/>
      <c r="P45" s="2088"/>
      <c r="Q45" s="2088"/>
      <c r="R45" s="2088"/>
      <c r="S45" s="2088"/>
      <c r="T45" s="2088"/>
      <c r="U45" s="2088"/>
      <c r="V45" s="2088"/>
      <c r="W45" s="2088"/>
      <c r="X45" s="2060"/>
      <c r="Y45" s="2060"/>
      <c r="Z45" s="2060"/>
      <c r="AA45" s="2060"/>
      <c r="AB45" s="845"/>
      <c r="AC45" s="846"/>
      <c r="AD45" s="427"/>
      <c r="AE45" s="427"/>
      <c r="AF45" s="427"/>
      <c r="AG45" s="427"/>
      <c r="AH45" s="427"/>
      <c r="AI45" s="72" t="s">
        <v>0</v>
      </c>
    </row>
    <row r="46" spans="1:35" s="72" customFormat="1" ht="21.75" hidden="1" customHeight="1">
      <c r="A46" s="827"/>
      <c r="B46" s="827"/>
      <c r="C46" s="827"/>
      <c r="D46" s="827"/>
      <c r="E46" s="2083"/>
      <c r="F46" s="2083"/>
      <c r="G46" s="2083"/>
      <c r="H46" s="2083"/>
      <c r="I46" s="2083"/>
      <c r="J46" s="2083"/>
      <c r="K46" s="2083"/>
      <c r="L46" s="2083"/>
      <c r="M46" s="2083"/>
      <c r="N46" s="2083"/>
      <c r="O46" s="2083"/>
      <c r="P46" s="2083"/>
      <c r="Q46" s="2083"/>
      <c r="R46" s="2083"/>
      <c r="S46" s="2083"/>
      <c r="T46" s="2083"/>
      <c r="U46" s="2083"/>
      <c r="V46" s="2083"/>
      <c r="W46" s="2083"/>
      <c r="X46" s="2086"/>
      <c r="Y46" s="2086"/>
      <c r="Z46" s="2086"/>
      <c r="AA46" s="2086"/>
      <c r="AB46" s="846"/>
      <c r="AC46" s="846"/>
      <c r="AD46" s="427"/>
      <c r="AE46" s="427"/>
      <c r="AF46" s="427"/>
      <c r="AG46" s="427"/>
      <c r="AH46" s="427"/>
    </row>
    <row r="47" spans="1:35" s="72" customFormat="1" ht="21.75" hidden="1" customHeight="1">
      <c r="A47" s="827"/>
      <c r="B47" s="827"/>
      <c r="C47" s="827"/>
      <c r="D47" s="827"/>
      <c r="E47" s="2083"/>
      <c r="F47" s="2083"/>
      <c r="G47" s="2083"/>
      <c r="H47" s="2083"/>
      <c r="I47" s="2083"/>
      <c r="J47" s="2083"/>
      <c r="K47" s="2083"/>
      <c r="L47" s="2083"/>
      <c r="M47" s="2083"/>
      <c r="N47" s="2083"/>
      <c r="O47" s="2083"/>
      <c r="P47" s="2083"/>
      <c r="Q47" s="2083"/>
      <c r="R47" s="2083"/>
      <c r="S47" s="2083"/>
      <c r="T47" s="2083"/>
      <c r="U47" s="2083"/>
      <c r="V47" s="2083"/>
      <c r="W47" s="2083"/>
      <c r="X47" s="2086"/>
      <c r="Y47" s="2086"/>
      <c r="Z47" s="2086"/>
      <c r="AA47" s="2086"/>
      <c r="AB47" s="846"/>
      <c r="AC47" s="846"/>
      <c r="AD47" s="427"/>
      <c r="AE47" s="427"/>
      <c r="AF47" s="427"/>
      <c r="AG47" s="427"/>
      <c r="AH47" s="427"/>
    </row>
    <row r="48" spans="1:35" s="160" customFormat="1" ht="21.75" hidden="1" customHeight="1">
      <c r="A48" s="827"/>
      <c r="B48" s="827"/>
      <c r="C48" s="827"/>
      <c r="D48" s="827"/>
      <c r="E48" s="2083"/>
      <c r="F48" s="2083"/>
      <c r="G48" s="2083"/>
      <c r="H48" s="2083"/>
      <c r="I48" s="2083"/>
      <c r="J48" s="2083"/>
      <c r="K48" s="2083"/>
      <c r="L48" s="2083"/>
      <c r="M48" s="2083"/>
      <c r="N48" s="2083"/>
      <c r="O48" s="2083"/>
      <c r="P48" s="2083"/>
      <c r="Q48" s="2083"/>
      <c r="R48" s="2083"/>
      <c r="S48" s="2083"/>
      <c r="T48" s="2083"/>
      <c r="U48" s="2083"/>
      <c r="V48" s="2083"/>
      <c r="W48" s="2083"/>
      <c r="X48" s="2086"/>
      <c r="Y48" s="2086"/>
      <c r="Z48" s="2086"/>
      <c r="AA48" s="2086"/>
      <c r="AB48" s="846"/>
      <c r="AC48" s="222"/>
      <c r="AD48" s="427"/>
      <c r="AE48" s="427"/>
      <c r="AF48" s="427"/>
      <c r="AG48" s="427"/>
      <c r="AH48" s="427"/>
    </row>
    <row r="49" spans="1:42" s="72" customFormat="1" ht="21.75" hidden="1" customHeight="1">
      <c r="A49" s="827"/>
      <c r="B49" s="827"/>
      <c r="C49" s="827"/>
      <c r="D49" s="827"/>
      <c r="E49" s="2083"/>
      <c r="F49" s="2083"/>
      <c r="G49" s="2083"/>
      <c r="H49" s="2083"/>
      <c r="I49" s="2083"/>
      <c r="J49" s="2083"/>
      <c r="K49" s="2083"/>
      <c r="L49" s="2083"/>
      <c r="M49" s="2083"/>
      <c r="N49" s="2083"/>
      <c r="O49" s="2083"/>
      <c r="P49" s="2083"/>
      <c r="Q49" s="2083"/>
      <c r="R49" s="2083"/>
      <c r="S49" s="2083"/>
      <c r="T49" s="2083"/>
      <c r="U49" s="2083"/>
      <c r="V49" s="2083"/>
      <c r="W49" s="2083"/>
      <c r="X49" s="2087"/>
      <c r="Y49" s="2087"/>
      <c r="Z49" s="2087"/>
      <c r="AA49" s="2087"/>
      <c r="AB49" s="846"/>
      <c r="AC49" s="431"/>
      <c r="AD49" s="427"/>
      <c r="AE49" s="427"/>
      <c r="AF49" s="427"/>
      <c r="AG49" s="427"/>
      <c r="AH49" s="427"/>
    </row>
    <row r="50" spans="1:42" s="72" customFormat="1" ht="21.75" hidden="1" customHeight="1">
      <c r="A50" s="827"/>
      <c r="B50" s="827"/>
      <c r="C50" s="827"/>
      <c r="D50" s="827"/>
      <c r="E50" s="2083"/>
      <c r="F50" s="2083"/>
      <c r="G50" s="2083"/>
      <c r="H50" s="2083"/>
      <c r="I50" s="2083"/>
      <c r="J50" s="2083"/>
      <c r="K50" s="2083"/>
      <c r="L50" s="2083"/>
      <c r="M50" s="2083"/>
      <c r="N50" s="2083"/>
      <c r="O50" s="2083"/>
      <c r="P50" s="2083"/>
      <c r="Q50" s="2083"/>
      <c r="R50" s="2083"/>
      <c r="S50" s="2083"/>
      <c r="T50" s="2083"/>
      <c r="U50" s="2083"/>
      <c r="V50" s="2083"/>
      <c r="W50" s="2083"/>
      <c r="X50" s="2087"/>
      <c r="Y50" s="2087"/>
      <c r="Z50" s="2087"/>
      <c r="AA50" s="2087"/>
      <c r="AB50" s="846"/>
      <c r="AC50" s="431"/>
      <c r="AD50" s="427"/>
      <c r="AE50" s="427"/>
      <c r="AF50" s="427"/>
      <c r="AG50" s="427"/>
      <c r="AH50" s="427"/>
    </row>
    <row r="51" spans="1:42" s="72" customFormat="1" ht="21.75" hidden="1" customHeight="1">
      <c r="A51" s="867"/>
      <c r="B51" s="222"/>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222"/>
      <c r="AB51" s="222"/>
      <c r="AC51" s="431"/>
      <c r="AD51" s="427"/>
      <c r="AE51" s="427"/>
      <c r="AF51" s="427"/>
      <c r="AG51" s="427"/>
      <c r="AH51" s="427"/>
    </row>
    <row r="52" spans="1:42" s="72" customFormat="1" ht="19.5" hidden="1" customHeight="1">
      <c r="A52" s="272"/>
      <c r="B52" s="432"/>
      <c r="C52" s="432"/>
      <c r="D52" s="432"/>
      <c r="E52" s="432"/>
      <c r="F52" s="432"/>
      <c r="G52" s="432"/>
      <c r="H52" s="432"/>
      <c r="I52" s="433"/>
      <c r="J52" s="432"/>
      <c r="X52"/>
      <c r="Y52" s="431"/>
      <c r="Z52" s="431"/>
      <c r="AA52" s="431"/>
      <c r="AB52" s="431"/>
      <c r="AC52" s="431"/>
      <c r="AD52" s="427"/>
      <c r="AE52" s="427"/>
      <c r="AF52" s="427"/>
      <c r="AG52" s="427"/>
      <c r="AH52" s="427"/>
      <c r="AI52" s="223"/>
      <c r="AJ52" s="223"/>
      <c r="AK52" s="223"/>
      <c r="AL52" s="223"/>
    </row>
    <row r="53" spans="1:42" s="72" customFormat="1" ht="17.25" hidden="1" customHeight="1">
      <c r="B53" s="432"/>
      <c r="C53" s="432"/>
      <c r="D53" s="432"/>
      <c r="E53" s="432"/>
      <c r="F53" s="432"/>
      <c r="G53" s="432"/>
      <c r="H53" s="432"/>
      <c r="I53" s="433"/>
      <c r="J53" s="432"/>
      <c r="X53"/>
      <c r="Y53" s="431"/>
      <c r="Z53" s="431"/>
      <c r="AA53" s="431"/>
      <c r="AB53" s="431"/>
      <c r="AC53" s="437"/>
      <c r="AD53" s="226"/>
      <c r="AE53" s="226"/>
      <c r="AF53" s="427"/>
      <c r="AG53" s="427"/>
      <c r="AH53" s="427"/>
      <c r="AI53" s="223"/>
      <c r="AJ53" s="223"/>
      <c r="AK53" s="223"/>
      <c r="AL53" s="223"/>
    </row>
    <row r="54" spans="1:42" s="72" customFormat="1" ht="24" hidden="1" customHeight="1">
      <c r="A54" s="868"/>
      <c r="B54" s="432"/>
      <c r="C54" s="432"/>
      <c r="D54" s="432"/>
      <c r="E54" s="432"/>
      <c r="F54" s="432"/>
      <c r="G54" s="432"/>
      <c r="H54" s="432"/>
      <c r="I54" s="433"/>
      <c r="J54" s="432"/>
      <c r="X54" s="2085"/>
      <c r="Y54" s="2085"/>
      <c r="Z54" s="2085"/>
      <c r="AA54" s="2085"/>
      <c r="AB54" s="2085"/>
      <c r="AC54" s="226"/>
      <c r="AD54" s="226"/>
      <c r="AE54" s="226"/>
      <c r="AF54" s="427"/>
      <c r="AG54" s="427"/>
      <c r="AH54" s="427"/>
      <c r="AI54" s="223"/>
      <c r="AJ54" s="223"/>
      <c r="AK54" s="210"/>
      <c r="AL54" s="210"/>
      <c r="AM54" s="210"/>
    </row>
    <row r="55" spans="1:42" s="72" customFormat="1" ht="17.25" hidden="1" customHeight="1">
      <c r="A55" s="869"/>
      <c r="B55" s="432"/>
      <c r="C55" s="432"/>
      <c r="D55" s="432"/>
      <c r="E55" s="432"/>
      <c r="F55" s="432"/>
      <c r="G55" s="432"/>
      <c r="H55" s="432"/>
      <c r="I55" s="433"/>
      <c r="J55" s="432"/>
      <c r="X55" s="2085"/>
      <c r="Y55" s="2085"/>
      <c r="Z55" s="2085"/>
      <c r="AA55" s="2085"/>
      <c r="AB55" s="2085"/>
      <c r="AC55" s="431"/>
      <c r="AD55" s="427"/>
      <c r="AE55" s="427"/>
      <c r="AF55" s="427"/>
      <c r="AG55" s="427"/>
      <c r="AH55" s="427"/>
      <c r="AI55" s="223"/>
      <c r="AJ55" s="223"/>
      <c r="AK55" s="210"/>
      <c r="AL55" s="210"/>
      <c r="AM55" s="210"/>
    </row>
    <row r="56" spans="1:42" s="72" customFormat="1" ht="34.5" hidden="1" customHeight="1">
      <c r="A56" s="2089"/>
      <c r="B56" s="2089"/>
      <c r="C56" s="2089"/>
      <c r="D56" s="2089"/>
      <c r="E56" s="2082"/>
      <c r="F56" s="2082"/>
      <c r="G56" s="2082"/>
      <c r="H56" s="2082"/>
      <c r="I56" s="2082"/>
      <c r="J56" s="2082"/>
      <c r="K56" s="2082"/>
      <c r="L56" s="2082"/>
      <c r="M56" s="2082"/>
      <c r="N56" s="2082"/>
      <c r="O56" s="2082"/>
      <c r="P56" s="2082"/>
      <c r="Q56" s="2082"/>
      <c r="R56" s="2082"/>
      <c r="S56" s="2082"/>
      <c r="T56" s="2082"/>
      <c r="U56" s="2082"/>
      <c r="V56" s="2082"/>
      <c r="W56" s="2082"/>
      <c r="X56" s="2084"/>
      <c r="Y56" s="2084"/>
      <c r="Z56" s="2084"/>
      <c r="AA56" s="2084"/>
      <c r="AB56" s="2084"/>
      <c r="AC56"/>
      <c r="AD56" s="427"/>
      <c r="AE56" s="427"/>
      <c r="AF56" s="427"/>
      <c r="AG56" s="427"/>
      <c r="AH56" s="427"/>
      <c r="AI56" s="223"/>
      <c r="AJ56" s="223"/>
      <c r="AK56" s="210"/>
      <c r="AL56" s="210"/>
      <c r="AM56" s="210"/>
    </row>
    <row r="57" spans="1:42" s="72" customFormat="1" ht="4.5" customHeight="1">
      <c r="B57" s="432"/>
      <c r="C57" s="432"/>
      <c r="D57" s="432"/>
      <c r="E57" s="432"/>
      <c r="F57" s="432"/>
      <c r="G57" s="432"/>
      <c r="H57" s="432"/>
      <c r="I57" s="433"/>
      <c r="J57" s="432"/>
      <c r="X57"/>
      <c r="Y57" s="431"/>
      <c r="Z57" s="431"/>
      <c r="AA57" s="431"/>
      <c r="AB57" s="431"/>
      <c r="AC57" s="439"/>
      <c r="AD57" s="440"/>
      <c r="AE57" s="440"/>
      <c r="AF57" s="440"/>
      <c r="AG57" s="440"/>
      <c r="AH57" s="440"/>
      <c r="AI57" s="210"/>
      <c r="AJ57" s="210"/>
      <c r="AK57" s="210"/>
      <c r="AL57" s="210"/>
      <c r="AM57" s="210"/>
    </row>
    <row r="58" spans="1:42" s="72" customFormat="1" ht="24.75" customHeight="1">
      <c r="A58" s="830" t="s">
        <v>1657</v>
      </c>
      <c r="B58" s="468"/>
      <c r="C58" s="468"/>
      <c r="D58" s="468"/>
      <c r="E58" s="468"/>
      <c r="F58" s="468"/>
      <c r="G58" s="468"/>
      <c r="H58" s="468"/>
      <c r="I58" s="468"/>
      <c r="J58" s="468"/>
      <c r="K58" s="468"/>
      <c r="L58" s="468"/>
      <c r="M58" s="468"/>
      <c r="N58" s="468"/>
      <c r="O58" s="468"/>
      <c r="P58" s="468"/>
      <c r="Q58" s="468"/>
      <c r="R58" s="468"/>
      <c r="S58" s="468"/>
      <c r="T58" s="468"/>
      <c r="U58" s="468"/>
      <c r="V58" s="468"/>
      <c r="W58" s="468"/>
      <c r="X58" s="226"/>
      <c r="Y58" s="226"/>
      <c r="Z58" s="226"/>
      <c r="AA58" s="226"/>
      <c r="AB58" s="845"/>
      <c r="AD58" s="427"/>
      <c r="AE58" s="427"/>
      <c r="AF58" s="427"/>
      <c r="AG58" s="427"/>
      <c r="AH58" s="427"/>
      <c r="AI58" s="210"/>
      <c r="AJ58" s="210"/>
      <c r="AK58" s="210"/>
      <c r="AL58" s="210"/>
      <c r="AM58" s="210"/>
    </row>
    <row r="59" spans="1:42" s="72" customFormat="1" ht="18" customHeight="1">
      <c r="A59" s="469" t="s">
        <v>0</v>
      </c>
      <c r="B59" s="468"/>
      <c r="C59" s="468"/>
      <c r="D59" s="468"/>
      <c r="E59" s="468"/>
      <c r="F59" s="468"/>
      <c r="G59" s="468"/>
      <c r="H59" s="468"/>
      <c r="I59" s="468"/>
      <c r="J59" s="468"/>
      <c r="K59" s="468"/>
      <c r="L59" s="468"/>
      <c r="M59" s="468"/>
      <c r="N59" s="468"/>
      <c r="O59" s="468"/>
      <c r="P59" s="468"/>
      <c r="Q59" s="468"/>
      <c r="R59" s="468"/>
      <c r="S59" s="468"/>
      <c r="T59" s="468"/>
      <c r="U59" s="468"/>
      <c r="V59" s="468"/>
      <c r="W59" s="468"/>
      <c r="X59" s="437"/>
      <c r="Y59" s="437"/>
      <c r="Z59" s="437" t="s">
        <v>0</v>
      </c>
      <c r="AB59" s="226"/>
      <c r="AC59" s="37"/>
      <c r="AD59" s="37"/>
      <c r="AE59" s="37"/>
      <c r="AF59" s="37"/>
      <c r="AG59" s="37"/>
      <c r="AH59" s="37"/>
      <c r="AI59" s="210"/>
      <c r="AJ59" s="210"/>
      <c r="AK59" s="210"/>
      <c r="AL59" s="210"/>
      <c r="AM59" s="210"/>
    </row>
    <row r="60" spans="1:42" s="72" customFormat="1" ht="37.5" customHeight="1">
      <c r="A60" s="1093" t="s">
        <v>1773</v>
      </c>
      <c r="B60" s="1094"/>
      <c r="C60" s="1094"/>
      <c r="D60" s="1095"/>
      <c r="E60" s="2040" t="s">
        <v>192</v>
      </c>
      <c r="F60" s="2041"/>
      <c r="G60" s="2041"/>
      <c r="H60" s="2041"/>
      <c r="I60" s="2041"/>
      <c r="J60" s="2041"/>
      <c r="K60" s="2041"/>
      <c r="L60" s="2041"/>
      <c r="M60" s="2041"/>
      <c r="N60" s="2041"/>
      <c r="O60" s="2041"/>
      <c r="P60" s="2041"/>
      <c r="Q60" s="2041"/>
      <c r="R60" s="2041"/>
      <c r="S60" s="2041"/>
      <c r="T60" s="2041"/>
      <c r="U60" s="2041"/>
      <c r="V60" s="2041"/>
      <c r="W60" s="2042"/>
      <c r="X60" s="2030" t="s">
        <v>1663</v>
      </c>
      <c r="Y60" s="2031"/>
      <c r="Z60" s="2031"/>
      <c r="AA60" s="2032"/>
      <c r="AB60" s="1468"/>
      <c r="AC60" s="37"/>
      <c r="AD60" s="37"/>
      <c r="AE60" s="37"/>
      <c r="AF60" s="37"/>
      <c r="AG60" s="441"/>
      <c r="AH60" s="441"/>
      <c r="AI60" s="210"/>
      <c r="AJ60" s="744" t="s">
        <v>0</v>
      </c>
      <c r="AK60" s="744"/>
      <c r="AL60" s="744"/>
      <c r="AM60" s="744"/>
      <c r="AN60" s="744"/>
      <c r="AO60" s="744"/>
      <c r="AP60" s="744"/>
    </row>
    <row r="61" spans="1:42" s="72" customFormat="1" ht="37.5" customHeight="1">
      <c r="A61" s="1093" t="s">
        <v>1773</v>
      </c>
      <c r="B61" s="1094"/>
      <c r="C61" s="1094"/>
      <c r="D61" s="1095"/>
      <c r="E61" s="2040" t="s">
        <v>481</v>
      </c>
      <c r="F61" s="2041"/>
      <c r="G61" s="2041"/>
      <c r="H61" s="2041"/>
      <c r="I61" s="2041"/>
      <c r="J61" s="2041"/>
      <c r="K61" s="2041"/>
      <c r="L61" s="2041"/>
      <c r="M61" s="2041"/>
      <c r="N61" s="2041"/>
      <c r="O61" s="2041"/>
      <c r="P61" s="2041"/>
      <c r="Q61" s="2041"/>
      <c r="R61" s="2041"/>
      <c r="S61" s="2041"/>
      <c r="T61" s="2041"/>
      <c r="U61" s="2041"/>
      <c r="V61" s="2041"/>
      <c r="W61" s="2042"/>
      <c r="X61" s="2030" t="s">
        <v>1664</v>
      </c>
      <c r="Y61" s="2031"/>
      <c r="Z61" s="2031"/>
      <c r="AA61" s="2032"/>
      <c r="AB61" s="1468"/>
      <c r="AC61" s="37"/>
      <c r="AD61" s="37"/>
      <c r="AE61" s="37"/>
      <c r="AF61" s="37"/>
      <c r="AG61" s="37"/>
      <c r="AH61" s="441"/>
      <c r="AJ61" s="744"/>
      <c r="AK61" s="744"/>
      <c r="AL61" s="744"/>
      <c r="AM61" s="744"/>
      <c r="AN61" s="744"/>
      <c r="AO61" s="744"/>
      <c r="AP61" s="744"/>
    </row>
    <row r="62" spans="1:42" s="72" customFormat="1" ht="37.5" customHeight="1">
      <c r="A62" s="1093" t="s">
        <v>1773</v>
      </c>
      <c r="B62" s="1094"/>
      <c r="C62" s="1094"/>
      <c r="D62" s="1095"/>
      <c r="E62" s="2040" t="s">
        <v>193</v>
      </c>
      <c r="F62" s="2041"/>
      <c r="G62" s="2041"/>
      <c r="H62" s="2041"/>
      <c r="I62" s="2041"/>
      <c r="J62" s="2041"/>
      <c r="K62" s="2041"/>
      <c r="L62" s="2041"/>
      <c r="M62" s="2041"/>
      <c r="N62" s="2041"/>
      <c r="O62" s="2041"/>
      <c r="P62" s="2041"/>
      <c r="Q62" s="2041"/>
      <c r="R62" s="2041"/>
      <c r="S62" s="2041"/>
      <c r="T62" s="2041"/>
      <c r="U62" s="2041"/>
      <c r="V62" s="2041"/>
      <c r="W62" s="2042"/>
      <c r="X62" s="2043" t="s">
        <v>1868</v>
      </c>
      <c r="Y62" s="2043"/>
      <c r="Z62" s="2043"/>
      <c r="AA62" s="2043"/>
      <c r="AB62" s="1468"/>
      <c r="AC62" s="37"/>
      <c r="AD62" s="37"/>
      <c r="AE62" s="37"/>
      <c r="AF62" s="37"/>
      <c r="AG62" s="37"/>
      <c r="AH62" s="441"/>
      <c r="AJ62" s="744"/>
      <c r="AK62" s="744"/>
      <c r="AL62" s="744"/>
      <c r="AM62" s="744"/>
      <c r="AN62" s="744"/>
      <c r="AO62" s="744"/>
      <c r="AP62" s="744"/>
    </row>
    <row r="63" spans="1:42" s="72" customFormat="1" ht="37.5" customHeight="1">
      <c r="A63" s="1305" t="s">
        <v>325</v>
      </c>
      <c r="B63" s="1306"/>
      <c r="C63" s="1306"/>
      <c r="D63" s="1307"/>
      <c r="E63" s="2044" t="s">
        <v>1865</v>
      </c>
      <c r="F63" s="2045"/>
      <c r="G63" s="2045"/>
      <c r="H63" s="2045"/>
      <c r="I63" s="2045"/>
      <c r="J63" s="2045"/>
      <c r="K63" s="2045"/>
      <c r="L63" s="2045"/>
      <c r="M63" s="2045"/>
      <c r="N63" s="2045"/>
      <c r="O63" s="2045"/>
      <c r="P63" s="2045"/>
      <c r="Q63" s="2045"/>
      <c r="R63" s="2045"/>
      <c r="S63" s="2045"/>
      <c r="T63" s="2045"/>
      <c r="U63" s="2045"/>
      <c r="V63" s="2045"/>
      <c r="W63" s="2046"/>
      <c r="X63" s="2043" t="s">
        <v>1665</v>
      </c>
      <c r="Y63" s="2043"/>
      <c r="Z63" s="2043"/>
      <c r="AA63" s="2043"/>
      <c r="AB63" s="1468"/>
      <c r="AC63" s="441"/>
      <c r="AD63" s="441"/>
      <c r="AE63" s="441"/>
      <c r="AF63" s="441"/>
      <c r="AG63" s="441"/>
      <c r="AH63" s="441"/>
      <c r="AJ63" s="744"/>
      <c r="AK63" s="744"/>
      <c r="AL63" s="744"/>
      <c r="AM63" s="744"/>
      <c r="AN63" s="744"/>
      <c r="AO63" s="744"/>
      <c r="AP63" s="744"/>
    </row>
    <row r="64" spans="1:42" s="72" customFormat="1" ht="43.5" customHeight="1">
      <c r="A64" s="1093" t="s">
        <v>325</v>
      </c>
      <c r="B64" s="1094"/>
      <c r="C64" s="1094"/>
      <c r="D64" s="1095"/>
      <c r="E64" s="2094" t="s">
        <v>1836</v>
      </c>
      <c r="F64" s="2053"/>
      <c r="G64" s="2053"/>
      <c r="H64" s="2053"/>
      <c r="I64" s="2053"/>
      <c r="J64" s="2053"/>
      <c r="K64" s="2053"/>
      <c r="L64" s="2053"/>
      <c r="M64" s="2053"/>
      <c r="N64" s="2053"/>
      <c r="O64" s="2053"/>
      <c r="P64" s="2053"/>
      <c r="Q64" s="2053"/>
      <c r="R64" s="2053"/>
      <c r="S64" s="2053"/>
      <c r="T64" s="2053"/>
      <c r="U64" s="2053"/>
      <c r="V64" s="2053"/>
      <c r="W64" s="2095"/>
      <c r="X64" s="2030" t="s">
        <v>1869</v>
      </c>
      <c r="Y64" s="2031"/>
      <c r="Z64" s="2031"/>
      <c r="AA64" s="2121"/>
      <c r="AB64" s="1468"/>
      <c r="AC64" s="37"/>
      <c r="AD64" s="37"/>
      <c r="AE64" s="37"/>
      <c r="AF64" s="37"/>
      <c r="AG64" s="37"/>
      <c r="AH64" s="37"/>
      <c r="AJ64" s="744"/>
      <c r="AK64" s="744"/>
      <c r="AL64" s="744"/>
      <c r="AM64" s="744"/>
      <c r="AN64" s="744"/>
      <c r="AO64" s="744"/>
      <c r="AP64" s="744"/>
    </row>
    <row r="65" spans="1:44" s="72" customFormat="1" ht="28.5" customHeight="1">
      <c r="A65" s="1360" t="s">
        <v>0</v>
      </c>
      <c r="B65" s="1308"/>
      <c r="C65" s="1308"/>
      <c r="D65" s="1308"/>
      <c r="E65" s="2053" t="s">
        <v>1829</v>
      </c>
      <c r="F65" s="2053"/>
      <c r="G65" s="2053"/>
      <c r="H65" s="2053"/>
      <c r="I65" s="2053"/>
      <c r="J65" s="2053"/>
      <c r="K65" s="2053"/>
      <c r="L65" s="2053"/>
      <c r="M65" s="2053"/>
      <c r="N65" s="2053"/>
      <c r="O65" s="2053"/>
      <c r="P65" s="2053"/>
      <c r="Q65" s="2053"/>
      <c r="R65" s="2053"/>
      <c r="S65" s="2053"/>
      <c r="T65" s="2053"/>
      <c r="U65" s="2053"/>
      <c r="V65" s="2053"/>
      <c r="W65" s="2053"/>
      <c r="X65" s="1359"/>
      <c r="Y65" s="1359"/>
      <c r="Z65" s="1359"/>
      <c r="AA65" s="1358"/>
      <c r="AB65" s="1316"/>
      <c r="AC65" s="37"/>
      <c r="AD65" s="37"/>
      <c r="AE65" s="37"/>
      <c r="AF65" s="37"/>
      <c r="AG65" s="37"/>
      <c r="AH65" s="37"/>
      <c r="AJ65" s="744"/>
      <c r="AK65" s="744"/>
      <c r="AL65" s="744"/>
      <c r="AM65" s="744"/>
      <c r="AN65" s="744"/>
      <c r="AO65" s="744"/>
      <c r="AP65" s="744"/>
    </row>
    <row r="66" spans="1:44" s="72" customFormat="1" ht="6.75" customHeight="1">
      <c r="A66" s="2061"/>
      <c r="B66" s="2061"/>
      <c r="C66" s="2061"/>
      <c r="D66" s="2061"/>
      <c r="E66" s="1317"/>
      <c r="F66" s="1317"/>
      <c r="G66" s="1317"/>
      <c r="H66" s="1317"/>
      <c r="I66" s="1317"/>
      <c r="J66" s="1317"/>
      <c r="K66" s="1317"/>
      <c r="L66" s="1317"/>
      <c r="M66" s="1317"/>
      <c r="N66" s="1317"/>
      <c r="O66" s="1317"/>
      <c r="P66" s="1317"/>
      <c r="Q66" s="1317"/>
      <c r="R66" s="1317"/>
      <c r="S66" s="1317"/>
      <c r="T66" s="1317"/>
      <c r="U66" s="1317"/>
      <c r="V66" s="1317"/>
      <c r="W66" s="1317"/>
      <c r="X66" s="1316"/>
      <c r="Y66" s="1316"/>
      <c r="Z66" s="1316"/>
      <c r="AA66" s="1316"/>
      <c r="AB66" s="1316"/>
      <c r="AC66" s="37"/>
      <c r="AD66" s="37"/>
      <c r="AE66" s="37"/>
      <c r="AF66" s="37"/>
      <c r="AG66" s="37"/>
      <c r="AH66" s="37"/>
      <c r="AJ66" s="744"/>
      <c r="AK66" s="744"/>
      <c r="AL66" s="744"/>
      <c r="AM66" s="744"/>
      <c r="AN66" s="744"/>
      <c r="AO66" s="744"/>
      <c r="AP66" s="744"/>
    </row>
    <row r="67" spans="1:44" s="72" customFormat="1" ht="11.25" customHeight="1">
      <c r="A67" s="233"/>
      <c r="B67" s="233"/>
      <c r="C67" s="233"/>
      <c r="D67" s="233"/>
      <c r="E67" s="844"/>
      <c r="F67" s="844"/>
      <c r="G67" s="844"/>
      <c r="H67" s="844"/>
      <c r="I67" s="844"/>
      <c r="J67" s="844"/>
      <c r="K67" s="844"/>
      <c r="L67" s="844"/>
      <c r="M67" s="844"/>
      <c r="N67" s="844"/>
      <c r="O67" s="844"/>
      <c r="P67" s="844"/>
      <c r="Q67" s="844"/>
      <c r="R67" s="844"/>
      <c r="S67" s="844"/>
      <c r="T67" s="844"/>
      <c r="U67" s="844"/>
      <c r="V67" s="844"/>
      <c r="W67" s="844"/>
      <c r="X67" s="843"/>
      <c r="Y67" s="843"/>
      <c r="Z67" s="843"/>
      <c r="AA67" s="843"/>
      <c r="AB67" s="843"/>
      <c r="AC67" s="37"/>
      <c r="AD67" s="37"/>
      <c r="AE67" s="37"/>
      <c r="AF67" s="37"/>
      <c r="AG67" s="37"/>
      <c r="AH67" s="37"/>
      <c r="AJ67" s="744"/>
      <c r="AK67" s="744"/>
      <c r="AL67" s="744"/>
      <c r="AM67" s="744"/>
      <c r="AN67" s="744"/>
      <c r="AO67" s="744"/>
      <c r="AP67" s="744"/>
    </row>
    <row r="68" spans="1:44" s="72" customFormat="1" ht="25.5" customHeight="1">
      <c r="A68" s="831" t="s">
        <v>1662</v>
      </c>
      <c r="B68" s="831"/>
      <c r="C68" s="831"/>
      <c r="D68" s="831"/>
      <c r="E68" s="831"/>
      <c r="F68" s="831"/>
      <c r="G68" s="831"/>
      <c r="H68" s="831"/>
      <c r="I68" s="831"/>
      <c r="J68" s="831"/>
      <c r="K68" s="831"/>
      <c r="L68" s="831"/>
      <c r="M68" s="831"/>
      <c r="N68" s="831"/>
      <c r="O68" s="831"/>
      <c r="P68" s="831"/>
      <c r="Q68" s="831"/>
      <c r="R68" s="831"/>
      <c r="S68" s="831"/>
      <c r="T68" s="831"/>
      <c r="U68" s="831"/>
      <c r="V68" s="831"/>
      <c r="W68" s="831"/>
      <c r="X68" s="1336"/>
      <c r="Y68" s="1336"/>
      <c r="Z68" s="1336"/>
      <c r="AA68" s="1336"/>
      <c r="AB68" s="845"/>
      <c r="AC68" s="37"/>
      <c r="AD68" s="37"/>
      <c r="AE68" s="37"/>
      <c r="AF68" s="37"/>
      <c r="AG68" s="37"/>
      <c r="AH68" s="37"/>
      <c r="AR68" s="158"/>
    </row>
    <row r="69" spans="1:44" s="72" customFormat="1" ht="15.75" customHeight="1">
      <c r="A69" s="873" t="s">
        <v>1375</v>
      </c>
      <c r="B69" s="874"/>
      <c r="C69" s="874"/>
      <c r="D69" s="874"/>
      <c r="E69" s="874"/>
      <c r="F69" s="874"/>
      <c r="G69" s="874"/>
      <c r="H69" s="874"/>
      <c r="I69" s="874"/>
      <c r="J69" s="874"/>
      <c r="K69" s="874"/>
      <c r="L69" s="874"/>
      <c r="M69" s="874"/>
      <c r="N69" s="874"/>
      <c r="O69" s="874"/>
      <c r="P69" s="874"/>
      <c r="Q69" s="874"/>
      <c r="R69" s="874"/>
      <c r="S69" s="874"/>
      <c r="T69" s="874"/>
      <c r="U69" s="874"/>
      <c r="V69" s="874"/>
      <c r="W69" s="874"/>
      <c r="X69" s="1336"/>
      <c r="Y69" s="1336"/>
      <c r="Z69" s="437" t="s">
        <v>0</v>
      </c>
      <c r="AA69" s="1336"/>
      <c r="AB69" s="845"/>
      <c r="AC69" s="37"/>
      <c r="AD69" s="37"/>
      <c r="AE69" s="37"/>
      <c r="AF69" s="37"/>
      <c r="AG69" s="37"/>
      <c r="AH69" s="37"/>
      <c r="AR69" s="158"/>
    </row>
    <row r="70" spans="1:44" s="72" customFormat="1" ht="36.75" customHeight="1">
      <c r="A70" s="1093" t="s">
        <v>1305</v>
      </c>
      <c r="B70" s="1094"/>
      <c r="C70" s="1094"/>
      <c r="D70" s="1095"/>
      <c r="E70" s="2040" t="s">
        <v>1306</v>
      </c>
      <c r="F70" s="2041"/>
      <c r="G70" s="2041"/>
      <c r="H70" s="2041"/>
      <c r="I70" s="2041"/>
      <c r="J70" s="2041"/>
      <c r="K70" s="2041"/>
      <c r="L70" s="2041"/>
      <c r="M70" s="2041"/>
      <c r="N70" s="2041"/>
      <c r="O70" s="2041"/>
      <c r="P70" s="2041"/>
      <c r="Q70" s="2041"/>
      <c r="R70" s="2041"/>
      <c r="S70" s="2041"/>
      <c r="T70" s="2041"/>
      <c r="U70" s="2041"/>
      <c r="V70" s="2041"/>
      <c r="W70" s="2042"/>
      <c r="X70" s="2021" t="s">
        <v>1301</v>
      </c>
      <c r="Y70" s="2021"/>
      <c r="Z70" s="2021"/>
      <c r="AA70" s="2021"/>
      <c r="AB70" s="1468"/>
      <c r="AC70" s="37"/>
      <c r="AD70" s="37"/>
      <c r="AE70" s="37"/>
      <c r="AF70" s="37"/>
      <c r="AG70" s="37"/>
      <c r="AJ70" s="744"/>
      <c r="AK70" s="744"/>
      <c r="AL70" s="744"/>
      <c r="AM70" s="744"/>
      <c r="AN70" s="744"/>
      <c r="AO70" s="744"/>
      <c r="AP70" s="744"/>
      <c r="AQ70" s="158"/>
      <c r="AR70" s="158"/>
    </row>
    <row r="71" spans="1:44" s="72" customFormat="1" ht="38.25" customHeight="1">
      <c r="A71" s="1093" t="s">
        <v>1307</v>
      </c>
      <c r="B71" s="1094"/>
      <c r="C71" s="1094"/>
      <c r="D71" s="1095"/>
      <c r="E71" s="2040" t="s">
        <v>1308</v>
      </c>
      <c r="F71" s="2041"/>
      <c r="G71" s="2041"/>
      <c r="H71" s="2041"/>
      <c r="I71" s="2041"/>
      <c r="J71" s="2041"/>
      <c r="K71" s="2041"/>
      <c r="L71" s="2041"/>
      <c r="M71" s="2041"/>
      <c r="N71" s="2041"/>
      <c r="O71" s="2041"/>
      <c r="P71" s="2041"/>
      <c r="Q71" s="2041"/>
      <c r="R71" s="2041"/>
      <c r="S71" s="2041"/>
      <c r="T71" s="2041"/>
      <c r="U71" s="2041"/>
      <c r="V71" s="2041"/>
      <c r="W71" s="2042"/>
      <c r="X71" s="2050" t="s">
        <v>1094</v>
      </c>
      <c r="Y71" s="2051"/>
      <c r="Z71" s="2051"/>
      <c r="AA71" s="2052"/>
      <c r="AB71" s="1468"/>
      <c r="AC71" s="37"/>
      <c r="AD71" s="37"/>
      <c r="AE71" s="37"/>
      <c r="AF71" s="37"/>
      <c r="AG71" s="37"/>
      <c r="AH71" s="37"/>
      <c r="AI71" s="211"/>
      <c r="AJ71" s="661"/>
      <c r="AK71" s="744"/>
      <c r="AL71" s="744"/>
      <c r="AM71" s="744"/>
      <c r="AN71" s="744"/>
      <c r="AO71" s="744"/>
      <c r="AP71" s="744"/>
    </row>
    <row r="72" spans="1:44" s="72" customFormat="1" ht="14.25" hidden="1" customHeight="1">
      <c r="A72" s="870"/>
      <c r="B72" s="871"/>
      <c r="C72" s="871"/>
      <c r="D72" s="871"/>
      <c r="E72" s="2122"/>
      <c r="F72" s="2122"/>
      <c r="G72" s="2122"/>
      <c r="H72" s="2122" t="s">
        <v>0</v>
      </c>
      <c r="I72" s="2122"/>
      <c r="J72" s="2122"/>
      <c r="K72" s="2122"/>
      <c r="L72" s="2122"/>
      <c r="M72" s="2122"/>
      <c r="N72" s="2122" t="s">
        <v>1215</v>
      </c>
      <c r="O72" s="2122"/>
      <c r="P72" s="2122"/>
      <c r="Q72" s="2122"/>
      <c r="R72" s="2122"/>
      <c r="S72" s="2122"/>
      <c r="T72" s="2122"/>
      <c r="U72" s="2122"/>
      <c r="V72" s="2122"/>
      <c r="W72" s="2122"/>
      <c r="X72" s="872"/>
      <c r="Y72" s="872"/>
      <c r="Z72" s="872"/>
      <c r="AA72" s="872"/>
      <c r="AB72" s="1473"/>
      <c r="AC72" s="37"/>
      <c r="AD72" s="37"/>
      <c r="AE72" s="37"/>
      <c r="AF72" s="37"/>
      <c r="AG72" s="37"/>
      <c r="AH72" s="37"/>
      <c r="AI72" s="211"/>
      <c r="AJ72" s="443"/>
      <c r="AK72" s="744"/>
      <c r="AL72" s="744"/>
      <c r="AM72" s="744"/>
      <c r="AN72" s="744"/>
      <c r="AO72" s="744"/>
      <c r="AP72" s="744"/>
    </row>
    <row r="73" spans="1:44" s="72" customFormat="1" ht="18.75" hidden="1" customHeight="1">
      <c r="A73" s="834"/>
      <c r="B73" s="223"/>
      <c r="C73" s="443"/>
      <c r="D73" s="443"/>
      <c r="E73" s="443"/>
      <c r="F73" s="443"/>
      <c r="G73" s="443"/>
      <c r="H73" s="443"/>
      <c r="I73" s="443"/>
      <c r="J73" s="443"/>
      <c r="K73" s="441"/>
      <c r="L73" s="441"/>
      <c r="M73" s="223"/>
      <c r="N73" s="223"/>
      <c r="O73" s="223"/>
      <c r="P73" s="223"/>
      <c r="Q73" s="223"/>
      <c r="R73" s="223"/>
      <c r="S73" s="223"/>
      <c r="T73" s="223"/>
      <c r="U73" s="223"/>
      <c r="V73" s="223"/>
      <c r="W73" s="223"/>
      <c r="X73" s="223"/>
      <c r="Y73" s="223"/>
      <c r="Z73" s="223"/>
      <c r="AA73" s="223"/>
      <c r="AB73" s="223"/>
      <c r="AC73" s="37"/>
      <c r="AD73" s="37"/>
      <c r="AE73" s="37"/>
      <c r="AF73" s="37"/>
      <c r="AG73" s="37"/>
      <c r="AH73" s="37"/>
      <c r="AJ73" s="441"/>
      <c r="AK73" s="744"/>
      <c r="AL73" s="744"/>
      <c r="AM73" s="744"/>
      <c r="AN73" s="744"/>
      <c r="AO73" s="744"/>
      <c r="AP73" s="744"/>
    </row>
    <row r="74" spans="1:44" s="72" customFormat="1" ht="4.9000000000000004" customHeight="1">
      <c r="A74" s="868"/>
      <c r="B74" s="432"/>
      <c r="C74" s="432"/>
      <c r="D74" s="432"/>
      <c r="E74" s="432"/>
      <c r="F74" s="1054"/>
      <c r="G74" s="432"/>
      <c r="H74" s="432"/>
      <c r="I74" s="433"/>
      <c r="J74" s="432"/>
      <c r="X74" s="875"/>
      <c r="Y74" s="875"/>
      <c r="Z74" s="875"/>
      <c r="AA74" s="875"/>
      <c r="AB74" s="875"/>
      <c r="AC74" s="442"/>
      <c r="AD74" s="444"/>
      <c r="AE74" s="444"/>
      <c r="AF74" s="444"/>
      <c r="AG74" s="444"/>
      <c r="AH74" s="37"/>
      <c r="AJ74" s="744"/>
      <c r="AK74" s="744"/>
      <c r="AL74" s="744"/>
      <c r="AM74" s="744"/>
      <c r="AN74" s="744"/>
      <c r="AO74" s="744"/>
      <c r="AP74" s="744"/>
    </row>
    <row r="75" spans="1:44" s="72" customFormat="1" ht="24" hidden="1" customHeight="1">
      <c r="A75" s="832"/>
      <c r="B75" s="434"/>
      <c r="C75" s="434"/>
      <c r="D75" s="434"/>
      <c r="E75" s="434"/>
      <c r="F75" s="1054"/>
      <c r="G75" s="434"/>
      <c r="H75" s="434"/>
      <c r="I75" s="435"/>
      <c r="J75" s="434"/>
      <c r="K75" s="304"/>
      <c r="L75" s="304"/>
      <c r="M75" s="304"/>
      <c r="N75" s="304"/>
      <c r="O75" s="304"/>
      <c r="P75" s="304"/>
      <c r="Q75" s="304"/>
      <c r="R75" s="304"/>
      <c r="S75" s="304"/>
      <c r="T75" s="304"/>
      <c r="U75" s="304"/>
      <c r="V75" s="304"/>
      <c r="W75" s="304"/>
      <c r="X75" s="2062"/>
      <c r="Y75" s="2063"/>
      <c r="Z75" s="2063"/>
      <c r="AA75" s="2063"/>
      <c r="AB75" s="2064"/>
      <c r="AC75" s="442"/>
      <c r="AD75" s="444"/>
      <c r="AE75" s="444"/>
      <c r="AF75" s="444"/>
      <c r="AG75" s="444"/>
      <c r="AH75" s="37"/>
      <c r="AJ75" s="744"/>
      <c r="AK75" s="744"/>
      <c r="AL75" s="744"/>
      <c r="AM75" s="744"/>
      <c r="AN75" s="744"/>
      <c r="AO75" s="744"/>
      <c r="AP75" s="744"/>
    </row>
    <row r="76" spans="1:44" s="195" customFormat="1" ht="18" hidden="1" customHeight="1">
      <c r="A76" s="436"/>
      <c r="B76" s="432"/>
      <c r="C76" s="432"/>
      <c r="D76" s="432"/>
      <c r="E76" s="432"/>
      <c r="F76" s="432"/>
      <c r="G76" s="432"/>
      <c r="H76" s="432"/>
      <c r="I76" s="433"/>
      <c r="J76" s="432"/>
      <c r="K76" s="72"/>
      <c r="L76" s="72"/>
      <c r="M76" s="72"/>
      <c r="N76" s="72"/>
      <c r="O76" s="72"/>
      <c r="P76" s="72"/>
      <c r="Q76" s="72"/>
      <c r="R76" s="72"/>
      <c r="S76" s="72"/>
      <c r="T76" s="72"/>
      <c r="U76" s="72"/>
      <c r="V76" s="72"/>
      <c r="W76" s="72"/>
      <c r="X76" s="2065"/>
      <c r="Y76" s="2066"/>
      <c r="Z76" s="2066"/>
      <c r="AA76" s="2066"/>
      <c r="AB76" s="2067"/>
      <c r="AC76" s="37"/>
      <c r="AD76" s="37"/>
      <c r="AE76" s="37"/>
      <c r="AF76" s="37"/>
      <c r="AG76" s="37"/>
      <c r="AH76" s="37"/>
      <c r="AJ76" s="744"/>
      <c r="AK76" s="744"/>
      <c r="AL76" s="744"/>
      <c r="AM76" s="744"/>
      <c r="AN76" s="744"/>
      <c r="AO76" s="744"/>
      <c r="AP76" s="744"/>
    </row>
    <row r="77" spans="1:44" s="72" customFormat="1" ht="39" hidden="1" customHeight="1">
      <c r="A77" s="2068"/>
      <c r="B77" s="2069"/>
      <c r="C77" s="2069"/>
      <c r="D77" s="2070"/>
      <c r="E77" s="2114"/>
      <c r="F77" s="2115"/>
      <c r="G77" s="2116"/>
      <c r="H77" s="2116"/>
      <c r="I77" s="2116"/>
      <c r="J77" s="2116"/>
      <c r="K77" s="2116"/>
      <c r="L77" s="2116"/>
      <c r="M77" s="2116"/>
      <c r="N77" s="2116"/>
      <c r="O77" s="2116"/>
      <c r="P77" s="2116"/>
      <c r="Q77" s="2116"/>
      <c r="R77" s="2116"/>
      <c r="S77" s="2116"/>
      <c r="T77" s="2116"/>
      <c r="U77" s="2116"/>
      <c r="V77" s="2116"/>
      <c r="W77" s="2117"/>
      <c r="X77" s="2118"/>
      <c r="Y77" s="2119"/>
      <c r="Z77" s="2119"/>
      <c r="AA77" s="2119"/>
      <c r="AB77" s="2120"/>
      <c r="AC77" s="37"/>
      <c r="AD77" s="445"/>
      <c r="AE77" s="445"/>
      <c r="AF77" s="445"/>
      <c r="AG77" s="445"/>
      <c r="AH77" s="445"/>
      <c r="AJ77" s="744"/>
      <c r="AK77" s="744"/>
      <c r="AL77" s="744"/>
      <c r="AM77" s="744"/>
      <c r="AN77" s="744"/>
      <c r="AO77" s="744"/>
      <c r="AP77" s="744"/>
    </row>
    <row r="78" spans="1:44" s="72" customFormat="1" ht="25.9" customHeight="1">
      <c r="A78" s="896" t="s">
        <v>1433</v>
      </c>
      <c r="B78" s="432"/>
      <c r="C78" s="432"/>
      <c r="D78" s="432"/>
      <c r="E78" s="432"/>
      <c r="F78" s="1054"/>
      <c r="G78" s="432"/>
      <c r="H78" s="432"/>
      <c r="I78" s="433"/>
      <c r="J78" s="432"/>
      <c r="X78"/>
      <c r="Y78" s="431"/>
      <c r="Z78" s="431"/>
      <c r="AA78" s="431"/>
      <c r="AB78" s="431"/>
      <c r="AC78" s="663"/>
      <c r="AD78" s="663"/>
      <c r="AE78" s="446"/>
      <c r="AF78" s="446"/>
      <c r="AG78" s="445"/>
      <c r="AH78" s="445"/>
      <c r="AJ78" s="744"/>
      <c r="AK78" s="744"/>
      <c r="AL78" s="744"/>
      <c r="AM78" s="744"/>
      <c r="AN78" s="744"/>
      <c r="AO78" s="744"/>
      <c r="AP78" s="744"/>
    </row>
    <row r="79" spans="1:44" s="72" customFormat="1" ht="21.75" customHeight="1">
      <c r="A79" s="922"/>
      <c r="B79" s="438"/>
      <c r="C79" s="438"/>
      <c r="D79" s="438"/>
      <c r="E79" s="304"/>
      <c r="F79" s="947" t="s">
        <v>1528</v>
      </c>
      <c r="G79" s="304"/>
      <c r="H79" s="434"/>
      <c r="I79" s="304"/>
      <c r="J79" s="304"/>
      <c r="K79" s="304"/>
      <c r="L79" s="303"/>
      <c r="M79" s="304"/>
      <c r="N79" s="930" t="s">
        <v>1394</v>
      </c>
      <c r="O79" s="303"/>
      <c r="P79" s="303"/>
      <c r="Q79" s="303"/>
      <c r="R79" s="303"/>
      <c r="S79" s="303"/>
      <c r="T79" s="303"/>
      <c r="U79" s="303"/>
      <c r="V79" s="303"/>
      <c r="W79" s="303"/>
      <c r="X79" s="49"/>
      <c r="Y79" s="49"/>
      <c r="Z79" s="49"/>
      <c r="AA79" s="1366"/>
      <c r="AB79" s="439"/>
      <c r="AC79" s="663"/>
      <c r="AD79" s="663"/>
      <c r="AE79" s="446"/>
      <c r="AF79" s="446"/>
      <c r="AG79" s="37"/>
      <c r="AH79" s="37"/>
      <c r="AJ79" s="744"/>
      <c r="AK79" s="744"/>
      <c r="AL79" s="744"/>
      <c r="AM79" s="744"/>
      <c r="AN79" s="744"/>
      <c r="AO79" s="744"/>
      <c r="AP79" s="744"/>
    </row>
    <row r="80" spans="1:44" s="72" customFormat="1" ht="19.5" customHeight="1">
      <c r="A80" s="1099"/>
      <c r="B80" s="918"/>
      <c r="C80" s="918"/>
      <c r="E80" s="1098" t="s">
        <v>1666</v>
      </c>
      <c r="F80" s="1098"/>
      <c r="G80" s="1098"/>
      <c r="H80" s="1098"/>
      <c r="I80" s="1098"/>
      <c r="J80" s="1098"/>
      <c r="K80" s="1098"/>
      <c r="N80" s="929" t="s">
        <v>1392</v>
      </c>
      <c r="O80" s="919"/>
      <c r="Q80" s="919"/>
      <c r="R80" s="919"/>
      <c r="S80" s="919"/>
      <c r="T80" s="919"/>
      <c r="U80" s="919"/>
      <c r="V80" s="919"/>
      <c r="W80" s="919"/>
      <c r="X80" s="919"/>
      <c r="Y80" s="919"/>
      <c r="Z80" s="919"/>
      <c r="AA80" s="1476"/>
      <c r="AC80" s="663"/>
      <c r="AD80" s="663"/>
      <c r="AE80" s="446"/>
      <c r="AF80" s="446"/>
      <c r="AI80" s="441"/>
      <c r="AJ80" s="441"/>
      <c r="AK80" s="744"/>
      <c r="AL80" s="744"/>
      <c r="AM80" s="744"/>
      <c r="AN80" s="744"/>
      <c r="AO80" s="744"/>
      <c r="AP80" s="744"/>
    </row>
    <row r="81" spans="1:45" s="72" customFormat="1" ht="17.25" customHeight="1">
      <c r="A81" s="944"/>
      <c r="B81" s="441"/>
      <c r="C81" s="441"/>
      <c r="D81" s="441"/>
      <c r="G81" s="791" t="s">
        <v>1434</v>
      </c>
      <c r="J81" s="441"/>
      <c r="N81" s="945" t="s">
        <v>1393</v>
      </c>
      <c r="O81" s="441"/>
      <c r="P81" s="441"/>
      <c r="Q81" s="441"/>
      <c r="R81" s="441"/>
      <c r="S81" s="441"/>
      <c r="T81" s="441"/>
      <c r="U81" s="441"/>
      <c r="V81" s="441"/>
      <c r="W81" s="441"/>
      <c r="X81" s="441"/>
      <c r="Y81" s="441"/>
      <c r="Z81" s="441"/>
      <c r="AA81" s="946"/>
      <c r="AB81" s="441"/>
      <c r="AC81" s="37"/>
      <c r="AD81" s="447"/>
      <c r="AE81" s="447"/>
      <c r="AF81" s="447"/>
      <c r="AG81" s="447"/>
      <c r="AH81" s="447"/>
    </row>
    <row r="82" spans="1:45" s="72" customFormat="1" ht="19.5" customHeight="1">
      <c r="A82" s="2073" t="s">
        <v>1529</v>
      </c>
      <c r="B82" s="2074"/>
      <c r="C82" s="2074"/>
      <c r="D82" s="2074"/>
      <c r="E82" s="2074"/>
      <c r="F82" s="2074"/>
      <c r="G82" s="2074"/>
      <c r="H82" s="2074"/>
      <c r="I82" s="2074"/>
      <c r="J82" s="2074"/>
      <c r="K82" s="2074"/>
      <c r="L82" s="2074"/>
      <c r="M82" s="2074"/>
      <c r="N82" s="1091" t="s">
        <v>1405</v>
      </c>
      <c r="O82" s="441"/>
      <c r="P82" s="441"/>
      <c r="Q82" s="441"/>
      <c r="R82" s="441"/>
      <c r="S82" s="441"/>
      <c r="T82" s="441"/>
      <c r="U82" s="441"/>
      <c r="V82" s="441"/>
      <c r="W82" s="441"/>
      <c r="X82" s="441"/>
      <c r="Y82" s="441"/>
      <c r="Z82" s="441"/>
      <c r="AA82" s="946"/>
      <c r="AB82" s="441"/>
      <c r="AC82" s="37"/>
      <c r="AD82" s="447"/>
      <c r="AE82" s="447"/>
      <c r="AF82" s="447"/>
      <c r="AG82" s="447"/>
      <c r="AH82" s="447"/>
    </row>
    <row r="83" spans="1:45" s="72" customFormat="1" ht="22.9" customHeight="1">
      <c r="A83" s="2075" t="s">
        <v>1530</v>
      </c>
      <c r="B83" s="2076"/>
      <c r="C83" s="2076"/>
      <c r="D83" s="2076"/>
      <c r="E83" s="2076"/>
      <c r="F83" s="2076"/>
      <c r="G83" s="2076"/>
      <c r="H83" s="2076"/>
      <c r="I83" s="2076"/>
      <c r="J83" s="2076"/>
      <c r="K83" s="2076"/>
      <c r="L83" s="2076"/>
      <c r="M83" s="2076"/>
      <c r="N83" s="1097" t="s">
        <v>1495</v>
      </c>
      <c r="O83" s="921"/>
      <c r="P83" s="921"/>
      <c r="Q83" s="921"/>
      <c r="R83" s="921"/>
      <c r="S83" s="921"/>
      <c r="T83" s="921"/>
      <c r="U83" s="921"/>
      <c r="V83" s="921"/>
      <c r="W83" s="921"/>
      <c r="X83" s="921"/>
      <c r="Y83" s="921"/>
      <c r="Z83" s="921"/>
      <c r="AA83" s="923"/>
      <c r="AB83" s="441"/>
      <c r="AC83" s="37"/>
      <c r="AD83" s="447"/>
      <c r="AE83" s="447"/>
      <c r="AF83" s="447"/>
      <c r="AG83" s="447"/>
      <c r="AH83" s="447"/>
    </row>
    <row r="84" spans="1:45" s="72" customFormat="1" ht="23.65" customHeight="1">
      <c r="A84" s="833" t="s">
        <v>327</v>
      </c>
      <c r="B84" s="223"/>
      <c r="C84" s="223"/>
      <c r="D84" s="223"/>
      <c r="E84" s="223"/>
      <c r="F84" s="223"/>
      <c r="G84" s="223"/>
      <c r="H84" s="223"/>
      <c r="I84" s="223"/>
      <c r="J84" s="223"/>
      <c r="K84" s="223"/>
      <c r="L84" s="441"/>
      <c r="M84" s="925" t="s">
        <v>1396</v>
      </c>
      <c r="N84" s="661"/>
      <c r="O84" s="223"/>
      <c r="P84" s="880"/>
      <c r="Q84" s="880"/>
      <c r="R84" s="880"/>
      <c r="S84" s="880"/>
      <c r="T84" s="880"/>
      <c r="U84" s="880"/>
      <c r="V84" s="880"/>
      <c r="W84" s="880"/>
      <c r="X84" s="441"/>
      <c r="Y84" s="441"/>
      <c r="Z84" s="441"/>
      <c r="AA84" s="441"/>
      <c r="AB84" s="441"/>
      <c r="AC84" s="441"/>
      <c r="AD84" s="37"/>
      <c r="AE84" s="37"/>
      <c r="AF84" s="37"/>
      <c r="AG84" s="37"/>
      <c r="AH84" s="37"/>
      <c r="AI84" s="306"/>
      <c r="AJ84" s="306"/>
      <c r="AK84" s="306"/>
      <c r="AL84" s="306"/>
      <c r="AM84" s="306"/>
      <c r="AN84" s="306"/>
      <c r="AO84" s="306"/>
      <c r="AP84" s="306"/>
      <c r="AQ84" s="306"/>
      <c r="AR84" s="306"/>
      <c r="AS84" s="306"/>
    </row>
    <row r="85" spans="1:45" s="72" customFormat="1" ht="17.25" customHeight="1">
      <c r="A85" s="2071" t="s">
        <v>328</v>
      </c>
      <c r="B85" s="2018" t="s">
        <v>1826</v>
      </c>
      <c r="C85" s="2018"/>
      <c r="D85" s="2018"/>
      <c r="E85" s="2018"/>
      <c r="F85" s="2018"/>
      <c r="G85" s="2018"/>
      <c r="H85" s="2018"/>
      <c r="I85" s="2018"/>
      <c r="J85" s="441"/>
      <c r="K85" s="441"/>
      <c r="L85" s="441"/>
      <c r="M85" s="954" t="s">
        <v>1156</v>
      </c>
      <c r="N85" s="2018" t="s">
        <v>1438</v>
      </c>
      <c r="O85" s="2018"/>
      <c r="P85" s="2018"/>
      <c r="Q85" s="2018"/>
      <c r="R85" s="2018"/>
      <c r="S85" s="2018"/>
      <c r="T85" s="2018"/>
      <c r="U85" s="2018"/>
      <c r="V85" s="2018"/>
      <c r="W85" s="2018"/>
      <c r="X85" s="2018"/>
      <c r="Y85" s="2018"/>
      <c r="Z85" s="2018"/>
      <c r="AA85" s="2018"/>
      <c r="AB85" s="449"/>
      <c r="AC85" s="879"/>
      <c r="AD85" s="879"/>
      <c r="AE85" s="879"/>
      <c r="AF85" s="879"/>
      <c r="AG85" s="37"/>
      <c r="AH85" s="37"/>
      <c r="AI85" s="306"/>
      <c r="AK85" s="306"/>
      <c r="AL85" s="306"/>
      <c r="AM85" s="306"/>
      <c r="AN85" s="306"/>
      <c r="AO85" s="306"/>
      <c r="AP85" s="306"/>
      <c r="AQ85" s="306"/>
      <c r="AR85" s="306"/>
      <c r="AS85" s="306"/>
    </row>
    <row r="86" spans="1:45" s="72" customFormat="1" ht="22.5" customHeight="1">
      <c r="A86" s="2071"/>
      <c r="B86" s="2018"/>
      <c r="C86" s="2018"/>
      <c r="D86" s="2018"/>
      <c r="E86" s="2018"/>
      <c r="F86" s="2018"/>
      <c r="G86" s="2018"/>
      <c r="H86" s="2018"/>
      <c r="I86" s="2018"/>
      <c r="J86" s="441"/>
      <c r="K86" s="441"/>
      <c r="L86" s="441"/>
      <c r="M86" s="746"/>
      <c r="N86" s="2018"/>
      <c r="O86" s="2018"/>
      <c r="P86" s="2018"/>
      <c r="Q86" s="2018"/>
      <c r="R86" s="2018"/>
      <c r="S86" s="2018"/>
      <c r="T86" s="2018"/>
      <c r="U86" s="2018"/>
      <c r="V86" s="2018"/>
      <c r="W86" s="2018"/>
      <c r="X86" s="2018"/>
      <c r="Y86" s="2018"/>
      <c r="Z86" s="2018"/>
      <c r="AA86" s="2018"/>
      <c r="AB86" s="449"/>
      <c r="AC86" s="879"/>
      <c r="AD86" s="879"/>
      <c r="AE86" s="879"/>
      <c r="AF86" s="879"/>
      <c r="AG86" s="37"/>
      <c r="AH86" s="441" t="s">
        <v>0</v>
      </c>
      <c r="AI86" s="306"/>
      <c r="AJ86" s="306"/>
      <c r="AK86" s="306"/>
      <c r="AL86" s="306"/>
      <c r="AM86" s="306"/>
      <c r="AN86" s="306"/>
      <c r="AO86" s="306"/>
      <c r="AP86" s="306"/>
      <c r="AQ86" s="306"/>
      <c r="AR86" s="306"/>
      <c r="AS86" s="306"/>
    </row>
    <row r="87" spans="1:45" s="72" customFormat="1" ht="36" customHeight="1">
      <c r="A87" s="1284" t="s">
        <v>328</v>
      </c>
      <c r="B87" s="2078" t="s">
        <v>1437</v>
      </c>
      <c r="C87" s="2078"/>
      <c r="D87" s="2078"/>
      <c r="E87" s="2078"/>
      <c r="F87" s="2078"/>
      <c r="G87" s="2078"/>
      <c r="H87" s="2078"/>
      <c r="I87" s="2078"/>
      <c r="J87" s="2078"/>
      <c r="K87" s="2078"/>
      <c r="L87" s="441"/>
      <c r="M87" s="746"/>
      <c r="N87" s="2018"/>
      <c r="O87" s="2018"/>
      <c r="P87" s="2018"/>
      <c r="Q87" s="2018"/>
      <c r="R87" s="2018"/>
      <c r="S87" s="2018"/>
      <c r="T87" s="2018"/>
      <c r="U87" s="2018"/>
      <c r="V87" s="2018"/>
      <c r="W87" s="2018"/>
      <c r="X87" s="2018"/>
      <c r="Y87" s="2018"/>
      <c r="Z87" s="2018"/>
      <c r="AA87" s="2018"/>
      <c r="AB87" s="449"/>
      <c r="AC87" s="879"/>
      <c r="AD87" s="879"/>
      <c r="AE87" s="879"/>
      <c r="AF87" s="879"/>
      <c r="AG87" s="37"/>
      <c r="AH87" s="444" t="s">
        <v>0</v>
      </c>
    </row>
    <row r="88" spans="1:45" s="72" customFormat="1" ht="14.25" customHeight="1">
      <c r="A88" s="2080" t="s">
        <v>328</v>
      </c>
      <c r="B88" s="2079" t="s">
        <v>1634</v>
      </c>
      <c r="C88" s="2079"/>
      <c r="D88" s="2079"/>
      <c r="E88" s="2079"/>
      <c r="F88" s="2079"/>
      <c r="G88" s="2079"/>
      <c r="H88" s="2079"/>
      <c r="I88" s="2079"/>
      <c r="J88" s="2079"/>
      <c r="K88" s="444"/>
      <c r="L88" s="441"/>
      <c r="M88" s="1349" t="s">
        <v>1157</v>
      </c>
      <c r="N88" s="2019" t="s">
        <v>1259</v>
      </c>
      <c r="O88" s="2019"/>
      <c r="P88" s="2019"/>
      <c r="Q88" s="2019"/>
      <c r="R88" s="2019"/>
      <c r="S88" s="2019"/>
      <c r="T88" s="2019"/>
      <c r="U88" s="2019"/>
      <c r="V88" s="2019"/>
      <c r="W88" s="2019"/>
      <c r="X88" s="2019"/>
      <c r="Y88" s="2019"/>
      <c r="Z88" s="2019"/>
      <c r="AA88" s="2019"/>
      <c r="AB88" s="1478"/>
      <c r="AC88" s="37"/>
      <c r="AD88" s="37"/>
      <c r="AE88" s="37"/>
      <c r="AF88" s="37"/>
      <c r="AG88" s="37"/>
    </row>
    <row r="89" spans="1:45" ht="15" customHeight="1">
      <c r="A89" s="2080"/>
      <c r="B89" s="2079"/>
      <c r="C89" s="2079"/>
      <c r="D89" s="2079"/>
      <c r="E89" s="2079"/>
      <c r="F89" s="2079"/>
      <c r="G89" s="2079"/>
      <c r="H89" s="2079"/>
      <c r="I89" s="2079"/>
      <c r="J89" s="2079"/>
      <c r="K89" s="449"/>
      <c r="L89" s="441"/>
      <c r="M89" s="210"/>
      <c r="N89" s="2019"/>
      <c r="O89" s="2019"/>
      <c r="P89" s="2019"/>
      <c r="Q89" s="2019"/>
      <c r="R89" s="2019"/>
      <c r="S89" s="2019"/>
      <c r="T89" s="2019"/>
      <c r="U89" s="2019"/>
      <c r="V89" s="2019"/>
      <c r="W89" s="2019"/>
      <c r="X89" s="2019"/>
      <c r="Y89" s="2019"/>
      <c r="Z89" s="2019"/>
      <c r="AA89" s="2019"/>
      <c r="AB89" s="1478"/>
      <c r="AC89" s="37"/>
      <c r="AD89" s="449"/>
      <c r="AE89" s="449"/>
      <c r="AF89" s="449"/>
      <c r="AG89" s="37"/>
      <c r="AH89" s="37"/>
    </row>
    <row r="90" spans="1:45" ht="20.65" customHeight="1">
      <c r="A90" s="1284"/>
      <c r="B90" s="2079"/>
      <c r="C90" s="2079"/>
      <c r="D90" s="2079"/>
      <c r="E90" s="2079"/>
      <c r="F90" s="2079"/>
      <c r="G90" s="2079"/>
      <c r="H90" s="2079"/>
      <c r="I90" s="2079"/>
      <c r="J90" s="2079"/>
      <c r="K90" s="449"/>
      <c r="L90" s="441"/>
      <c r="N90" s="2019"/>
      <c r="O90" s="2019"/>
      <c r="P90" s="2019"/>
      <c r="Q90" s="2019"/>
      <c r="R90" s="2019"/>
      <c r="S90" s="2019"/>
      <c r="T90" s="2019"/>
      <c r="U90" s="2019"/>
      <c r="V90" s="2019"/>
      <c r="W90" s="2019"/>
      <c r="X90" s="2019"/>
      <c r="Y90" s="2019"/>
      <c r="Z90" s="2019"/>
      <c r="AA90" s="2019"/>
      <c r="AB90" s="1478"/>
      <c r="AC90" s="37"/>
      <c r="AD90" s="449"/>
      <c r="AE90" s="449"/>
      <c r="AF90" s="449"/>
      <c r="AG90" s="37"/>
      <c r="AH90" s="450" t="s">
        <v>0</v>
      </c>
    </row>
    <row r="91" spans="1:45" ht="15.75" customHeight="1">
      <c r="A91" s="1284"/>
      <c r="B91" s="2079"/>
      <c r="C91" s="2079"/>
      <c r="D91" s="2079"/>
      <c r="E91" s="2079"/>
      <c r="F91" s="2079"/>
      <c r="G91" s="2079"/>
      <c r="H91" s="2079"/>
      <c r="I91" s="2079"/>
      <c r="J91" s="2079"/>
      <c r="K91" s="449"/>
      <c r="L91" s="441"/>
      <c r="M91" s="745"/>
      <c r="N91" s="2019"/>
      <c r="O91" s="2019"/>
      <c r="P91" s="2019"/>
      <c r="Q91" s="2019"/>
      <c r="R91" s="2019"/>
      <c r="S91" s="2019"/>
      <c r="T91" s="2019"/>
      <c r="U91" s="2019"/>
      <c r="V91" s="2019"/>
      <c r="W91" s="2019"/>
      <c r="X91" s="2019"/>
      <c r="Y91" s="2019"/>
      <c r="Z91" s="2019"/>
      <c r="AA91" s="2019"/>
      <c r="AB91" s="1478"/>
      <c r="AC91" s="37"/>
      <c r="AD91" s="661"/>
      <c r="AE91" s="661"/>
      <c r="AF91" s="661"/>
      <c r="AG91" s="443"/>
      <c r="AH91" s="450"/>
    </row>
    <row r="92" spans="1:45" ht="16.5" customHeight="1">
      <c r="A92" s="878" t="s">
        <v>328</v>
      </c>
      <c r="B92" s="2018" t="s">
        <v>1831</v>
      </c>
      <c r="C92" s="2018"/>
      <c r="D92" s="2018"/>
      <c r="E92" s="2018"/>
      <c r="F92" s="2018"/>
      <c r="G92" s="2018"/>
      <c r="H92" s="2018"/>
      <c r="I92" s="2018"/>
      <c r="J92" s="449"/>
      <c r="K92" s="449"/>
      <c r="L92" s="441"/>
      <c r="M92" s="441"/>
      <c r="N92" s="1478"/>
      <c r="O92" s="1478"/>
      <c r="P92" s="1478"/>
      <c r="Q92" s="1478"/>
      <c r="R92" s="1478"/>
      <c r="S92" s="1478"/>
      <c r="T92" s="1478"/>
      <c r="U92" s="1478"/>
      <c r="V92" s="1478"/>
      <c r="W92" s="1478"/>
      <c r="X92" s="1478"/>
      <c r="Y92" s="1478"/>
      <c r="Z92" s="1478"/>
      <c r="AA92" s="1478"/>
      <c r="AB92" s="1478"/>
      <c r="AC92" s="37"/>
      <c r="AD92" s="449"/>
      <c r="AE92" s="449"/>
      <c r="AF92" s="449"/>
      <c r="AG92" s="449"/>
      <c r="AH92" s="37"/>
    </row>
    <row r="93" spans="1:45" ht="30.75" customHeight="1">
      <c r="A93" s="878" t="s">
        <v>328</v>
      </c>
      <c r="B93" s="444" t="s">
        <v>329</v>
      </c>
      <c r="C93" s="449"/>
      <c r="D93" s="449"/>
      <c r="E93" s="449"/>
      <c r="F93" s="449"/>
      <c r="G93" s="449"/>
      <c r="H93" s="449"/>
      <c r="I93" s="449"/>
      <c r="J93" s="441"/>
      <c r="K93" s="441"/>
      <c r="L93" s="441"/>
      <c r="M93" s="951" t="s">
        <v>1158</v>
      </c>
      <c r="N93" s="2077" t="s">
        <v>1835</v>
      </c>
      <c r="O93" s="2077"/>
      <c r="P93" s="2077"/>
      <c r="Q93" s="2077"/>
      <c r="R93" s="2077"/>
      <c r="S93" s="2077"/>
      <c r="T93" s="2077"/>
      <c r="U93" s="2077"/>
      <c r="V93" s="2077"/>
      <c r="W93" s="2077"/>
      <c r="X93" s="2077"/>
      <c r="Y93" s="2077"/>
      <c r="Z93" s="2077"/>
      <c r="AA93" s="2077"/>
      <c r="AB93" s="2077"/>
      <c r="AC93" s="37"/>
      <c r="AD93" s="449"/>
      <c r="AE93" s="449"/>
      <c r="AF93" s="449"/>
      <c r="AG93" s="449"/>
      <c r="AH93" s="37"/>
      <c r="AJ93" s="441"/>
    </row>
    <row r="94" spans="1:45" ht="3.4" customHeight="1">
      <c r="B94" s="449"/>
      <c r="C94" s="449"/>
      <c r="D94" s="449"/>
      <c r="E94" s="449"/>
      <c r="F94" s="449"/>
      <c r="G94" s="449"/>
      <c r="H94" s="449"/>
      <c r="I94" s="449"/>
      <c r="J94" s="441"/>
      <c r="K94" s="441"/>
      <c r="L94" s="441"/>
      <c r="N94" s="210"/>
      <c r="O94" s="886"/>
      <c r="P94" s="886"/>
      <c r="Q94" s="886"/>
      <c r="R94" s="886"/>
      <c r="S94" s="886"/>
      <c r="T94" s="886"/>
      <c r="U94" s="886"/>
      <c r="V94" s="886"/>
      <c r="W94" s="886"/>
      <c r="X94" s="886"/>
      <c r="Y94" s="886"/>
      <c r="Z94" s="886"/>
      <c r="AA94" s="886"/>
      <c r="AB94" s="886"/>
      <c r="AC94" s="37"/>
      <c r="AD94" s="449"/>
      <c r="AE94" s="449"/>
      <c r="AF94" s="449"/>
      <c r="AG94" s="449"/>
      <c r="AH94" s="37"/>
    </row>
    <row r="95" spans="1:45" ht="19.5" customHeight="1">
      <c r="A95" s="2071" t="s">
        <v>328</v>
      </c>
      <c r="B95" s="2072" t="s">
        <v>1621</v>
      </c>
      <c r="C95" s="2072"/>
      <c r="D95" s="2072"/>
      <c r="E95" s="2072"/>
      <c r="F95" s="2072"/>
      <c r="G95" s="2072"/>
      <c r="H95" s="2072"/>
      <c r="I95" s="2072"/>
      <c r="J95" s="2072"/>
      <c r="K95" s="2072"/>
      <c r="L95" s="441"/>
      <c r="M95" s="951" t="s">
        <v>1611</v>
      </c>
      <c r="N95" s="441" t="s">
        <v>1731</v>
      </c>
      <c r="O95" s="452"/>
      <c r="P95" s="452"/>
      <c r="Q95" s="452"/>
      <c r="R95" s="452"/>
      <c r="S95" s="452"/>
      <c r="T95" s="452"/>
      <c r="U95" s="452"/>
      <c r="V95" s="452"/>
      <c r="W95" s="452"/>
      <c r="X95" s="452"/>
      <c r="Y95" s="452"/>
      <c r="Z95" s="452"/>
      <c r="AA95" s="452"/>
      <c r="AB95" s="452"/>
      <c r="AC95" s="879"/>
      <c r="AD95" s="879"/>
      <c r="AE95" s="879"/>
      <c r="AF95" s="879"/>
      <c r="AH95" s="37"/>
      <c r="AJ95" s="441"/>
    </row>
    <row r="96" spans="1:45" ht="16.5" customHeight="1">
      <c r="A96" s="2071"/>
      <c r="B96" s="2019" t="s">
        <v>1622</v>
      </c>
      <c r="C96" s="2019"/>
      <c r="D96" s="2019"/>
      <c r="E96" s="2019"/>
      <c r="F96" s="2019"/>
      <c r="G96" s="2019"/>
      <c r="H96" s="443"/>
      <c r="I96" s="443"/>
      <c r="J96" s="443"/>
      <c r="K96" s="441"/>
      <c r="L96" s="441"/>
      <c r="M96" s="951"/>
      <c r="N96" s="443" t="s">
        <v>1732</v>
      </c>
      <c r="O96" s="452"/>
      <c r="P96" s="452"/>
      <c r="Q96" s="452"/>
      <c r="R96" s="452"/>
      <c r="S96" s="452"/>
      <c r="T96" s="452"/>
      <c r="U96" s="452"/>
      <c r="V96" s="452"/>
      <c r="W96" s="452"/>
      <c r="X96" s="452"/>
      <c r="Y96" s="452"/>
      <c r="Z96" s="452"/>
      <c r="AA96" s="452"/>
      <c r="AB96" s="452"/>
      <c r="AC96" s="879"/>
      <c r="AD96" s="879"/>
      <c r="AE96" s="879"/>
      <c r="AF96" s="879"/>
      <c r="AG96" s="37"/>
      <c r="AH96" s="37"/>
      <c r="AJ96" s="441"/>
    </row>
    <row r="97" spans="1:35" ht="10.5" customHeight="1">
      <c r="A97" s="835"/>
      <c r="C97" s="887"/>
      <c r="D97" s="887"/>
      <c r="E97" s="887"/>
      <c r="F97" s="887"/>
      <c r="G97" s="887"/>
      <c r="H97" s="887"/>
      <c r="I97" s="441"/>
      <c r="J97" s="441"/>
      <c r="K97" s="441"/>
      <c r="L97" s="441"/>
      <c r="O97" s="441"/>
      <c r="P97" s="441"/>
      <c r="Q97" s="441"/>
      <c r="R97" s="441"/>
      <c r="S97" s="441"/>
      <c r="T97" s="441"/>
      <c r="U97" s="441"/>
      <c r="V97" s="441"/>
      <c r="W97" s="441"/>
      <c r="X97" s="441"/>
      <c r="Y97" s="441"/>
      <c r="Z97" s="441"/>
      <c r="AA97" s="441"/>
      <c r="AB97" s="441"/>
      <c r="AC97" s="442"/>
      <c r="AD97" s="377"/>
      <c r="AE97" s="377"/>
      <c r="AF97" s="377"/>
      <c r="AG97" s="377"/>
      <c r="AH97" s="377"/>
    </row>
    <row r="98" spans="1:35" ht="15" customHeight="1">
      <c r="A98" s="2071" t="s">
        <v>328</v>
      </c>
      <c r="B98" s="2079" t="s">
        <v>1262</v>
      </c>
      <c r="C98" s="2079"/>
      <c r="D98" s="2079"/>
      <c r="E98" s="2079"/>
      <c r="F98" s="2079"/>
      <c r="G98" s="2079"/>
      <c r="H98" s="887"/>
      <c r="I98" s="441"/>
      <c r="J98" s="441"/>
      <c r="K98" s="441"/>
      <c r="L98" s="441"/>
      <c r="M98" s="954" t="s">
        <v>0</v>
      </c>
      <c r="N98" s="2077" t="s">
        <v>1443</v>
      </c>
      <c r="O98" s="2077"/>
      <c r="P98" s="2077"/>
      <c r="Q98" s="2077"/>
      <c r="R98" s="2077"/>
      <c r="S98" s="2077"/>
      <c r="T98" s="2077"/>
      <c r="U98" s="2077"/>
      <c r="V98" s="2077"/>
      <c r="W98" s="2077"/>
      <c r="X98" s="2077"/>
      <c r="Y98" s="2077"/>
      <c r="Z98" s="2077"/>
      <c r="AA98" s="2077"/>
      <c r="AB98" s="2077"/>
      <c r="AC98" s="2077"/>
      <c r="AD98" s="2077"/>
      <c r="AE98" s="2077"/>
      <c r="AF98" s="2077"/>
      <c r="AG98" s="2077"/>
      <c r="AH98" s="2077"/>
      <c r="AI98" s="2077"/>
    </row>
    <row r="99" spans="1:35" ht="18" customHeight="1">
      <c r="A99" s="2071"/>
      <c r="B99" s="2079"/>
      <c r="C99" s="2079"/>
      <c r="D99" s="2079"/>
      <c r="E99" s="2079"/>
      <c r="F99" s="2079"/>
      <c r="G99" s="2079"/>
      <c r="H99" s="887"/>
      <c r="I99" s="441"/>
      <c r="J99" s="441"/>
      <c r="K99" s="441"/>
      <c r="L99" s="441"/>
      <c r="N99" s="2018" t="s">
        <v>1444</v>
      </c>
      <c r="O99" s="2018"/>
      <c r="P99" s="2018"/>
      <c r="Q99" s="2018"/>
      <c r="R99" s="2018"/>
      <c r="S99" s="2018"/>
      <c r="T99" s="2018"/>
      <c r="U99" s="2018"/>
      <c r="V99" s="2018"/>
      <c r="W99" s="2018"/>
      <c r="X99" s="2018"/>
      <c r="Y99" s="2018"/>
      <c r="Z99" s="2018"/>
      <c r="AA99" s="2018"/>
      <c r="AB99" s="2018"/>
      <c r="AC99" s="37"/>
      <c r="AD99" s="377"/>
      <c r="AE99" s="377"/>
      <c r="AF99" s="377"/>
      <c r="AG99" s="377"/>
      <c r="AH99" s="377"/>
    </row>
    <row r="100" spans="1:35" ht="8.25" customHeight="1">
      <c r="A100" s="866"/>
      <c r="B100" s="887"/>
      <c r="C100" s="887"/>
      <c r="D100" s="887"/>
      <c r="E100" s="887"/>
      <c r="F100" s="887"/>
      <c r="G100" s="887"/>
      <c r="H100" s="887"/>
      <c r="I100" s="663"/>
      <c r="J100" s="441"/>
      <c r="K100" s="441"/>
      <c r="L100" s="441"/>
      <c r="M100" s="745"/>
      <c r="N100" s="443"/>
      <c r="O100" s="443"/>
      <c r="P100" s="443"/>
      <c r="Q100" s="443"/>
      <c r="R100" s="443"/>
      <c r="S100" s="443"/>
      <c r="T100" s="443"/>
      <c r="U100" s="443"/>
      <c r="V100" s="443"/>
      <c r="W100" s="443"/>
      <c r="X100" s="443"/>
      <c r="Y100" s="443"/>
      <c r="Z100" s="443"/>
      <c r="AA100" s="443"/>
      <c r="AB100" s="443"/>
      <c r="AC100" s="37"/>
      <c r="AD100" s="452"/>
      <c r="AE100" s="452"/>
      <c r="AF100" s="452"/>
      <c r="AG100" s="452"/>
      <c r="AH100" s="377"/>
    </row>
    <row r="101" spans="1:35" ht="18.75" customHeight="1">
      <c r="A101" s="878" t="s">
        <v>328</v>
      </c>
      <c r="B101" s="1096" t="s">
        <v>1391</v>
      </c>
      <c r="C101" s="1304"/>
      <c r="D101" s="1304"/>
      <c r="E101" s="1304"/>
      <c r="F101" s="1304"/>
      <c r="G101" s="1304"/>
      <c r="H101" s="1304"/>
      <c r="I101" s="1304"/>
      <c r="J101" s="1304"/>
      <c r="K101" s="1304"/>
      <c r="L101" s="441"/>
      <c r="M101" s="951" t="s">
        <v>1612</v>
      </c>
      <c r="N101" s="441" t="s">
        <v>1516</v>
      </c>
    </row>
    <row r="102" spans="1:35" ht="11.25" customHeight="1">
      <c r="A102" s="878" t="s">
        <v>0</v>
      </c>
      <c r="B102" s="1304"/>
      <c r="C102" s="1304"/>
      <c r="D102" s="1304"/>
      <c r="E102" s="1304"/>
      <c r="F102" s="1304"/>
      <c r="G102" s="1304"/>
      <c r="H102" s="1304"/>
      <c r="I102" s="1304"/>
      <c r="J102" s="1304"/>
      <c r="K102" s="1304"/>
      <c r="L102" s="441"/>
      <c r="AC102" s="879"/>
      <c r="AD102" s="879"/>
      <c r="AE102" s="879"/>
      <c r="AF102" s="879"/>
      <c r="AG102" s="377"/>
      <c r="AH102" s="377"/>
    </row>
    <row r="103" spans="1:35" ht="17.25" customHeight="1">
      <c r="A103" s="952" t="s">
        <v>328</v>
      </c>
      <c r="B103" s="2078" t="s">
        <v>1496</v>
      </c>
      <c r="C103" s="2078"/>
      <c r="D103" s="2078"/>
      <c r="E103" s="2078"/>
      <c r="F103" s="2078"/>
      <c r="G103" s="2078"/>
      <c r="H103" s="2078"/>
      <c r="I103" s="2078"/>
      <c r="J103" s="2078"/>
      <c r="K103" s="2078"/>
      <c r="L103" s="2078"/>
      <c r="M103" s="1287" t="s">
        <v>1613</v>
      </c>
      <c r="N103" s="1286" t="s">
        <v>1870</v>
      </c>
      <c r="O103" s="452"/>
      <c r="P103" s="452"/>
      <c r="Q103" s="452"/>
      <c r="R103" s="452"/>
      <c r="S103" s="452"/>
      <c r="T103" s="452"/>
      <c r="U103" s="452"/>
      <c r="V103" s="452"/>
      <c r="W103" s="452"/>
      <c r="X103" s="452"/>
      <c r="Y103" s="452"/>
      <c r="Z103" s="452"/>
      <c r="AA103" s="452"/>
      <c r="AB103" s="452"/>
      <c r="AC103" s="37"/>
      <c r="AD103" s="441"/>
      <c r="AE103" s="441"/>
      <c r="AF103" s="441"/>
      <c r="AG103" s="377"/>
      <c r="AH103" s="377"/>
    </row>
    <row r="104" spans="1:35" ht="23.25" hidden="1" customHeight="1">
      <c r="A104" s="835"/>
      <c r="B104" s="1304"/>
      <c r="C104" s="1304"/>
      <c r="D104" s="1304"/>
      <c r="E104" s="1304"/>
      <c r="F104" s="1304"/>
      <c r="G104" s="1304"/>
      <c r="H104" s="1304"/>
      <c r="I104" s="1304"/>
      <c r="J104" s="1304"/>
      <c r="K104" s="1304"/>
      <c r="L104" s="441"/>
      <c r="N104" s="449"/>
      <c r="O104" s="449"/>
      <c r="P104" s="449"/>
      <c r="Q104" s="449"/>
      <c r="R104" s="449"/>
      <c r="S104" s="449"/>
      <c r="T104" s="449"/>
      <c r="U104" s="449"/>
      <c r="V104" s="449"/>
      <c r="W104" s="449"/>
      <c r="X104" s="449"/>
      <c r="Y104" s="449"/>
      <c r="Z104" s="449"/>
      <c r="AA104" s="449"/>
      <c r="AB104" s="449"/>
      <c r="AC104" s="447"/>
      <c r="AD104" s="444"/>
      <c r="AE104" s="444"/>
      <c r="AF104" s="444"/>
      <c r="AG104" s="377"/>
      <c r="AH104" s="377"/>
    </row>
    <row r="105" spans="1:35" ht="18.75" hidden="1" customHeight="1">
      <c r="A105" s="835" t="s">
        <v>0</v>
      </c>
      <c r="B105" s="1304"/>
      <c r="C105" s="1304"/>
      <c r="D105" s="1304"/>
      <c r="E105" s="1304"/>
      <c r="F105" s="1304"/>
      <c r="G105" s="1304"/>
      <c r="H105" s="1304"/>
      <c r="I105" s="1304"/>
      <c r="J105" s="1304"/>
      <c r="K105" s="1304"/>
      <c r="L105" s="441"/>
      <c r="M105" s="222"/>
      <c r="O105" s="222"/>
      <c r="P105" s="222"/>
      <c r="Q105" s="222"/>
      <c r="R105" s="222"/>
      <c r="S105" s="222"/>
      <c r="T105" s="222"/>
      <c r="U105" s="222"/>
      <c r="V105" s="222"/>
      <c r="W105" s="222"/>
      <c r="X105" s="222"/>
      <c r="Y105" s="222"/>
      <c r="Z105" s="222"/>
      <c r="AA105" s="222"/>
      <c r="AB105" s="663"/>
      <c r="AC105" s="37"/>
      <c r="AD105" s="662"/>
      <c r="AE105" s="662"/>
      <c r="AF105" s="662"/>
      <c r="AG105" s="37"/>
      <c r="AH105" s="37"/>
    </row>
    <row r="106" spans="1:35" ht="15" hidden="1" customHeight="1">
      <c r="B106" s="1304"/>
      <c r="C106" s="1304"/>
      <c r="D106" s="1304"/>
      <c r="E106" s="1304"/>
      <c r="F106" s="1304"/>
      <c r="G106" s="1304"/>
      <c r="H106" s="1304"/>
      <c r="I106" s="1304"/>
      <c r="J106" s="1304"/>
      <c r="K106" s="1304"/>
      <c r="L106" s="443"/>
      <c r="M106" s="210"/>
      <c r="N106" s="210"/>
      <c r="O106" s="210"/>
      <c r="P106" s="222"/>
      <c r="Q106" s="222"/>
      <c r="R106" s="222"/>
      <c r="S106" s="222"/>
      <c r="T106" s="222"/>
      <c r="U106" s="222"/>
      <c r="V106" s="222"/>
      <c r="W106" s="222"/>
      <c r="X106" s="222"/>
      <c r="Y106" s="222"/>
      <c r="Z106" s="222"/>
      <c r="AA106" s="222"/>
      <c r="AB106" s="663"/>
      <c r="AC106" s="37"/>
      <c r="AD106" s="662"/>
      <c r="AE106" s="662"/>
      <c r="AF106" s="662"/>
      <c r="AG106" s="37"/>
      <c r="AH106" s="37"/>
    </row>
    <row r="107" spans="1:35" ht="15" hidden="1" customHeight="1">
      <c r="A107" s="866"/>
      <c r="B107" s="1304"/>
      <c r="C107" s="1304"/>
      <c r="D107" s="1304"/>
      <c r="E107" s="1304"/>
      <c r="F107" s="1304"/>
      <c r="G107" s="1304"/>
      <c r="H107" s="1304"/>
      <c r="I107" s="1304"/>
      <c r="J107" s="1304"/>
      <c r="K107" s="1304"/>
      <c r="L107" s="441"/>
      <c r="N107" s="210"/>
      <c r="O107" s="443"/>
      <c r="P107" s="443"/>
      <c r="Q107" s="443"/>
      <c r="R107" s="443"/>
      <c r="S107" s="443"/>
      <c r="T107" s="443"/>
      <c r="U107" s="443"/>
      <c r="V107" s="443"/>
      <c r="W107" s="443"/>
      <c r="X107" s="443"/>
      <c r="Y107" s="443"/>
      <c r="Z107" s="443"/>
      <c r="AA107" s="443"/>
      <c r="AB107" s="441"/>
      <c r="AC107" s="37"/>
      <c r="AD107" s="662"/>
      <c r="AE107" s="662"/>
      <c r="AF107" s="662"/>
      <c r="AG107" s="37"/>
      <c r="AH107" s="37"/>
    </row>
    <row r="108" spans="1:35" ht="7.5" customHeight="1">
      <c r="B108" s="1304"/>
      <c r="C108" s="1304"/>
      <c r="D108" s="1304"/>
      <c r="E108" s="1304"/>
      <c r="F108" s="1304"/>
      <c r="G108" s="1304"/>
      <c r="H108" s="1304"/>
      <c r="I108" s="1304"/>
      <c r="J108" s="1304"/>
      <c r="K108" s="1304"/>
      <c r="L108" s="441"/>
      <c r="O108" s="449"/>
      <c r="P108" s="449"/>
      <c r="Q108" s="449"/>
      <c r="R108" s="449"/>
      <c r="S108" s="449"/>
      <c r="T108" s="449"/>
      <c r="U108" s="449"/>
      <c r="V108" s="449"/>
      <c r="W108" s="449"/>
      <c r="X108" s="449"/>
      <c r="Y108" s="449"/>
      <c r="Z108" s="449"/>
      <c r="AA108" s="449"/>
      <c r="AB108" s="449"/>
      <c r="AC108" s="37"/>
      <c r="AD108" s="662"/>
      <c r="AE108" s="662"/>
      <c r="AF108" s="662"/>
      <c r="AG108" s="37"/>
      <c r="AH108" s="37"/>
    </row>
    <row r="109" spans="1:35" ht="11.25" hidden="1" customHeight="1">
      <c r="H109" s="449"/>
      <c r="I109" s="449"/>
      <c r="J109" s="449"/>
      <c r="K109" s="449"/>
      <c r="L109" s="441"/>
      <c r="M109" s="210"/>
      <c r="N109" s="210"/>
      <c r="O109" s="222"/>
      <c r="P109" s="449"/>
      <c r="Q109" s="449"/>
      <c r="R109" s="449"/>
      <c r="S109" s="449"/>
      <c r="T109" s="449"/>
      <c r="U109" s="449"/>
      <c r="V109" s="449"/>
      <c r="W109" s="449"/>
      <c r="X109" s="449"/>
      <c r="Y109" s="449"/>
      <c r="Z109" s="449"/>
      <c r="AA109" s="449"/>
      <c r="AB109" s="449"/>
      <c r="AC109" s="37"/>
      <c r="AD109" s="377"/>
      <c r="AE109" s="377"/>
      <c r="AF109" s="377"/>
      <c r="AG109" s="377"/>
      <c r="AH109" s="377"/>
    </row>
    <row r="110" spans="1:35" ht="21.75" hidden="1" customHeight="1">
      <c r="A110" s="888"/>
      <c r="B110" s="449"/>
      <c r="C110" s="449"/>
      <c r="D110" s="449"/>
      <c r="E110" s="449"/>
      <c r="F110" s="449"/>
      <c r="G110" s="449"/>
      <c r="H110" s="449"/>
      <c r="I110" s="449"/>
      <c r="J110" s="441"/>
      <c r="K110" s="441"/>
      <c r="L110" s="441"/>
      <c r="M110" s="441"/>
      <c r="N110" s="449"/>
      <c r="O110" s="449"/>
      <c r="P110" s="449"/>
      <c r="Q110" s="449"/>
      <c r="R110" s="449"/>
      <c r="S110" s="449"/>
      <c r="T110" s="449"/>
      <c r="U110" s="449"/>
      <c r="V110" s="449"/>
      <c r="W110" s="449"/>
      <c r="X110" s="449"/>
      <c r="Y110" s="449"/>
      <c r="Z110" s="449"/>
      <c r="AA110" s="449"/>
      <c r="AB110" s="441"/>
      <c r="AC110" s="879"/>
      <c r="AD110" s="377"/>
      <c r="AE110" s="377"/>
      <c r="AF110" s="377"/>
      <c r="AG110" s="377"/>
      <c r="AH110" s="377"/>
    </row>
    <row r="111" spans="1:35" ht="8.25" hidden="1" customHeight="1">
      <c r="A111" s="878"/>
      <c r="L111" s="441"/>
      <c r="AC111" s="879"/>
      <c r="AD111" s="377"/>
      <c r="AE111" s="377"/>
      <c r="AF111" s="377"/>
      <c r="AG111" s="377"/>
      <c r="AH111" s="377"/>
    </row>
    <row r="112" spans="1:35" ht="6" customHeight="1">
      <c r="A112" s="835"/>
      <c r="L112" s="441"/>
      <c r="AC112" s="661"/>
      <c r="AD112" s="661"/>
      <c r="AE112" s="661"/>
      <c r="AF112" s="661"/>
      <c r="AG112" s="377"/>
      <c r="AH112" s="377"/>
    </row>
    <row r="113" spans="1:34" ht="16.5" customHeight="1">
      <c r="A113" s="878" t="s">
        <v>328</v>
      </c>
      <c r="B113" s="444" t="s">
        <v>1436</v>
      </c>
      <c r="C113" s="449"/>
      <c r="D113" s="449"/>
      <c r="E113" s="449"/>
      <c r="F113" s="449"/>
      <c r="G113" s="449"/>
      <c r="H113" s="449"/>
      <c r="I113" s="441"/>
      <c r="J113" s="441"/>
      <c r="K113" s="441"/>
      <c r="L113" s="441"/>
      <c r="M113" s="2124" t="s">
        <v>1159</v>
      </c>
      <c r="N113" s="2020" t="s">
        <v>1435</v>
      </c>
      <c r="O113" s="2020"/>
      <c r="P113" s="2020"/>
      <c r="Q113" s="2020"/>
      <c r="R113" s="2020"/>
      <c r="S113" s="2020"/>
      <c r="T113" s="2020"/>
      <c r="U113" s="2020"/>
      <c r="V113" s="2020"/>
      <c r="W113" s="2020"/>
      <c r="X113" s="2020"/>
      <c r="Y113" s="2020"/>
      <c r="Z113" s="2020"/>
      <c r="AA113" s="2020"/>
      <c r="AB113" s="957"/>
      <c r="AC113" s="661"/>
      <c r="AD113" s="661"/>
      <c r="AE113" s="661"/>
      <c r="AF113" s="661"/>
      <c r="AG113" s="377"/>
      <c r="AH113" s="377"/>
    </row>
    <row r="114" spans="1:34" ht="6" customHeight="1">
      <c r="A114" s="889"/>
      <c r="B114" s="449"/>
      <c r="C114" s="449"/>
      <c r="D114" s="449"/>
      <c r="E114" s="449"/>
      <c r="F114" s="449"/>
      <c r="G114" s="449"/>
      <c r="H114" s="449"/>
      <c r="I114" s="443"/>
      <c r="J114" s="443"/>
      <c r="K114" s="441"/>
      <c r="L114" s="441"/>
      <c r="M114" s="2124"/>
      <c r="N114" s="2020"/>
      <c r="O114" s="2020"/>
      <c r="P114" s="2020"/>
      <c r="Q114" s="2020"/>
      <c r="R114" s="2020"/>
      <c r="S114" s="2020"/>
      <c r="T114" s="2020"/>
      <c r="U114" s="2020"/>
      <c r="V114" s="2020"/>
      <c r="W114" s="2020"/>
      <c r="X114" s="2020"/>
      <c r="Y114" s="2020"/>
      <c r="Z114" s="2020"/>
      <c r="AA114" s="2020"/>
      <c r="AB114" s="957"/>
      <c r="AC114" s="663"/>
    </row>
    <row r="115" spans="1:34" ht="14.25" customHeight="1">
      <c r="A115" s="2080" t="s">
        <v>328</v>
      </c>
      <c r="B115" s="2079" t="s">
        <v>1623</v>
      </c>
      <c r="C115" s="2079"/>
      <c r="D115" s="2079"/>
      <c r="E115" s="2079"/>
      <c r="F115" s="2079"/>
      <c r="G115" s="2079"/>
      <c r="H115" s="2079"/>
      <c r="I115" s="443"/>
      <c r="J115" s="443"/>
      <c r="K115" s="441"/>
      <c r="L115" s="441"/>
      <c r="N115" s="2020"/>
      <c r="O115" s="2020"/>
      <c r="P115" s="2020"/>
      <c r="Q115" s="2020"/>
      <c r="R115" s="2020"/>
      <c r="S115" s="2020"/>
      <c r="T115" s="2020"/>
      <c r="U115" s="2020"/>
      <c r="V115" s="2020"/>
      <c r="W115" s="2020"/>
      <c r="X115" s="2020"/>
      <c r="Y115" s="2020"/>
      <c r="Z115" s="2020"/>
      <c r="AA115" s="2020"/>
      <c r="AB115" s="957"/>
      <c r="AC115" s="452"/>
      <c r="AD115" s="452"/>
      <c r="AE115" s="452"/>
      <c r="AF115" s="452"/>
    </row>
    <row r="116" spans="1:34" ht="18.399999999999999" customHeight="1">
      <c r="A116" s="2080"/>
      <c r="B116" s="2079"/>
      <c r="C116" s="2079"/>
      <c r="D116" s="2079"/>
      <c r="E116" s="2079"/>
      <c r="F116" s="2079"/>
      <c r="G116" s="2079"/>
      <c r="H116" s="2079"/>
      <c r="I116" s="444"/>
      <c r="J116" s="448"/>
      <c r="K116" s="448"/>
      <c r="L116" s="441"/>
      <c r="M116" s="1173" t="s">
        <v>0</v>
      </c>
      <c r="N116" s="2020"/>
      <c r="O116" s="2020"/>
      <c r="P116" s="2020"/>
      <c r="Q116" s="2020"/>
      <c r="R116" s="2020"/>
      <c r="S116" s="2020"/>
      <c r="T116" s="2020"/>
      <c r="U116" s="2020"/>
      <c r="V116" s="2020"/>
      <c r="W116" s="2020"/>
      <c r="X116" s="2020"/>
      <c r="Y116" s="2020"/>
      <c r="Z116" s="2020"/>
      <c r="AA116" s="2020"/>
      <c r="AB116" s="957"/>
      <c r="AC116" s="449"/>
      <c r="AD116" s="449"/>
      <c r="AE116" s="449"/>
      <c r="AF116" s="449"/>
    </row>
    <row r="117" spans="1:34" ht="3.75" customHeight="1">
      <c r="A117" s="878"/>
      <c r="B117" s="888"/>
      <c r="C117" s="888"/>
      <c r="D117" s="888"/>
      <c r="E117" s="888"/>
      <c r="F117" s="888"/>
      <c r="G117" s="888"/>
      <c r="H117" s="888"/>
      <c r="I117" s="444"/>
      <c r="J117" s="448"/>
      <c r="K117" s="448"/>
      <c r="L117" s="441"/>
      <c r="M117" s="953"/>
      <c r="N117" s="1055"/>
      <c r="O117" s="1055"/>
      <c r="P117" s="1055"/>
      <c r="Q117" s="1055"/>
      <c r="R117" s="1055"/>
      <c r="S117" s="1055"/>
      <c r="T117" s="1055"/>
      <c r="U117" s="1055"/>
      <c r="V117" s="1055"/>
      <c r="W117" s="1055"/>
      <c r="X117" s="1055"/>
      <c r="Y117" s="1055"/>
      <c r="Z117" s="1055"/>
      <c r="AA117" s="1055"/>
      <c r="AB117" s="1055"/>
      <c r="AC117" s="449"/>
      <c r="AD117" s="449"/>
      <c r="AE117" s="449"/>
      <c r="AF117" s="449"/>
    </row>
    <row r="118" spans="1:34" ht="15" customHeight="1">
      <c r="A118" s="878" t="s">
        <v>328</v>
      </c>
      <c r="B118" s="2079" t="s">
        <v>330</v>
      </c>
      <c r="C118" s="2079"/>
      <c r="D118" s="2079"/>
      <c r="E118" s="2079"/>
      <c r="F118" s="2079"/>
      <c r="G118" s="2079"/>
      <c r="H118" s="2079"/>
      <c r="I118" s="2079"/>
      <c r="J118" s="2079"/>
      <c r="K118" s="958"/>
      <c r="L118" s="441"/>
      <c r="M118" s="1287" t="s">
        <v>1160</v>
      </c>
      <c r="N118" s="2078" t="s">
        <v>1830</v>
      </c>
      <c r="O118" s="2078"/>
      <c r="P118" s="2078"/>
      <c r="Q118" s="2078"/>
      <c r="R118" s="2078"/>
      <c r="S118" s="2078"/>
      <c r="T118" s="2078"/>
      <c r="U118" s="2078"/>
      <c r="V118" s="2078"/>
      <c r="W118" s="2078"/>
      <c r="X118" s="2078"/>
      <c r="Y118" s="2078"/>
      <c r="Z118" s="2078"/>
      <c r="AA118" s="2078"/>
      <c r="AB118" s="1055"/>
      <c r="AC118" s="449"/>
      <c r="AD118" s="449"/>
      <c r="AE118" s="449"/>
      <c r="AF118" s="449"/>
    </row>
    <row r="119" spans="1:34" ht="21" customHeight="1">
      <c r="A119" s="2080" t="s">
        <v>328</v>
      </c>
      <c r="B119" s="2125" t="s">
        <v>1215</v>
      </c>
      <c r="C119" s="2125"/>
      <c r="D119" s="2125"/>
      <c r="E119" s="2125"/>
      <c r="F119" s="2125"/>
      <c r="G119" s="2125"/>
      <c r="H119" s="958"/>
      <c r="I119" s="958"/>
      <c r="J119" s="958"/>
      <c r="K119" s="958"/>
      <c r="L119" s="448"/>
      <c r="M119" s="747"/>
      <c r="N119" s="2078"/>
      <c r="O119" s="2078"/>
      <c r="P119" s="2078"/>
      <c r="Q119" s="2078"/>
      <c r="R119" s="2078"/>
      <c r="S119" s="2078"/>
      <c r="T119" s="2078"/>
      <c r="U119" s="2078"/>
      <c r="V119" s="2078"/>
      <c r="W119" s="2078"/>
      <c r="X119" s="2078"/>
      <c r="Y119" s="2078"/>
      <c r="Z119" s="2078"/>
      <c r="AA119" s="2078"/>
      <c r="AB119" s="1055"/>
      <c r="AC119" s="890"/>
    </row>
    <row r="120" spans="1:34" ht="9.75" customHeight="1">
      <c r="A120" s="2080"/>
      <c r="B120" s="2125"/>
      <c r="C120" s="2125"/>
      <c r="D120" s="2125"/>
      <c r="E120" s="2125"/>
      <c r="F120" s="2125"/>
      <c r="G120" s="2125"/>
      <c r="H120" s="888"/>
      <c r="I120" s="449"/>
      <c r="J120" s="449"/>
      <c r="K120" s="448"/>
      <c r="L120" s="448"/>
      <c r="M120" s="2123" t="s">
        <v>1660</v>
      </c>
      <c r="N120" s="2126" t="s">
        <v>1661</v>
      </c>
      <c r="O120" s="2126"/>
      <c r="P120" s="2126"/>
      <c r="Q120" s="2126"/>
      <c r="R120" s="2126"/>
      <c r="S120" s="2126"/>
      <c r="T120" s="2126"/>
      <c r="U120" s="2126"/>
      <c r="V120" s="2126"/>
      <c r="W120" s="2126"/>
      <c r="X120" s="2126"/>
      <c r="Y120" s="2126"/>
      <c r="Z120" s="2126"/>
      <c r="AA120" s="2126"/>
      <c r="AB120" s="1055"/>
      <c r="AC120" s="1089"/>
      <c r="AD120" s="1089"/>
      <c r="AE120" s="1089"/>
      <c r="AF120" s="1089"/>
    </row>
    <row r="121" spans="1:34" ht="19.5" customHeight="1">
      <c r="A121" s="878" t="s">
        <v>328</v>
      </c>
      <c r="B121" s="880" t="s">
        <v>1204</v>
      </c>
      <c r="C121" s="888"/>
      <c r="D121" s="888"/>
      <c r="E121" s="888"/>
      <c r="F121" s="888"/>
      <c r="G121" s="888"/>
      <c r="H121" s="888"/>
      <c r="I121" s="449"/>
      <c r="J121" s="449"/>
      <c r="K121" s="448"/>
      <c r="L121" s="448"/>
      <c r="M121" s="2123"/>
      <c r="N121" s="2126"/>
      <c r="O121" s="2126"/>
      <c r="P121" s="2126"/>
      <c r="Q121" s="2126"/>
      <c r="R121" s="2126"/>
      <c r="S121" s="2126"/>
      <c r="T121" s="2126"/>
      <c r="U121" s="2126"/>
      <c r="V121" s="2126"/>
      <c r="W121" s="2126"/>
      <c r="X121" s="2126"/>
      <c r="Y121" s="2126"/>
      <c r="Z121" s="2126"/>
      <c r="AA121" s="2126"/>
      <c r="AB121" s="1092"/>
      <c r="AC121" s="1089"/>
      <c r="AD121" s="1089"/>
      <c r="AE121" s="1089"/>
      <c r="AF121" s="1089"/>
    </row>
    <row r="122" spans="1:34" ht="7.5" hidden="1" customHeight="1">
      <c r="C122" s="444"/>
      <c r="D122" s="444"/>
      <c r="E122" s="444"/>
      <c r="F122" s="444"/>
      <c r="G122" s="444"/>
      <c r="H122" s="444"/>
      <c r="I122" s="444"/>
      <c r="J122" s="449"/>
      <c r="K122" s="890"/>
      <c r="L122" s="890"/>
      <c r="N122" s="957"/>
      <c r="O122" s="957"/>
      <c r="P122" s="957"/>
      <c r="Q122" s="957"/>
      <c r="R122" s="957"/>
      <c r="S122" s="957"/>
      <c r="T122" s="957"/>
      <c r="U122" s="957"/>
      <c r="V122" s="957"/>
      <c r="W122" s="957"/>
      <c r="X122" s="957"/>
      <c r="Y122" s="957"/>
      <c r="Z122" s="957"/>
      <c r="AA122" s="957"/>
      <c r="AB122" s="957"/>
      <c r="AC122" s="958"/>
      <c r="AD122" s="958"/>
      <c r="AE122" s="958"/>
      <c r="AF122" s="958"/>
    </row>
    <row r="123" spans="1:34" ht="14.65" hidden="1" customHeight="1">
      <c r="A123" s="878"/>
      <c r="B123" s="2077" t="s">
        <v>1831</v>
      </c>
      <c r="C123" s="2077"/>
      <c r="D123" s="2077"/>
      <c r="E123" s="2077"/>
      <c r="F123" s="2077"/>
      <c r="G123" s="2077"/>
      <c r="H123" s="2077"/>
      <c r="I123" s="2077"/>
      <c r="J123" s="2077"/>
      <c r="K123" s="449"/>
      <c r="L123" s="890"/>
      <c r="M123" s="745" t="s">
        <v>0</v>
      </c>
      <c r="N123" s="223" t="s">
        <v>0</v>
      </c>
      <c r="O123" s="958"/>
      <c r="P123" s="958"/>
      <c r="Q123" s="958"/>
      <c r="R123" s="958"/>
      <c r="S123" s="958"/>
      <c r="T123" s="444"/>
      <c r="U123" s="958"/>
      <c r="V123" s="958"/>
      <c r="W123" s="958"/>
      <c r="X123" s="958"/>
      <c r="Y123" s="958"/>
      <c r="Z123" s="958"/>
      <c r="AA123" s="958"/>
      <c r="AB123" s="958"/>
      <c r="AC123" s="958"/>
      <c r="AD123" s="958"/>
      <c r="AE123" s="958"/>
      <c r="AF123" s="958"/>
    </row>
    <row r="124" spans="1:34" ht="6" hidden="1" customHeight="1">
      <c r="A124" s="1464"/>
      <c r="B124" s="958"/>
      <c r="C124" s="958"/>
      <c r="D124" s="958"/>
      <c r="E124" s="958"/>
      <c r="F124" s="958"/>
      <c r="G124" s="958"/>
      <c r="H124" s="958"/>
      <c r="I124" s="958"/>
      <c r="J124" s="958"/>
      <c r="K124" s="449"/>
      <c r="L124" s="890"/>
    </row>
    <row r="125" spans="1:34" ht="10.5" hidden="1" customHeight="1">
      <c r="A125" s="2080" t="s">
        <v>328</v>
      </c>
      <c r="B125" s="2079" t="s">
        <v>1624</v>
      </c>
      <c r="C125" s="2079"/>
      <c r="D125" s="2079"/>
      <c r="E125" s="2079"/>
      <c r="F125" s="2079"/>
      <c r="G125" s="2079"/>
      <c r="H125" s="2079"/>
      <c r="I125" s="2079"/>
      <c r="J125" s="890"/>
      <c r="K125" s="890"/>
      <c r="L125" s="890"/>
      <c r="M125" s="745"/>
      <c r="O125" s="1055"/>
      <c r="P125" s="1055"/>
      <c r="Q125" s="1055"/>
      <c r="R125" s="1055"/>
      <c r="S125" s="1055"/>
      <c r="T125" s="1055"/>
      <c r="U125" s="1055"/>
      <c r="V125" s="1055"/>
      <c r="W125" s="1055"/>
      <c r="X125" s="1055"/>
      <c r="Y125" s="1055"/>
      <c r="Z125" s="1055"/>
      <c r="AA125" s="1055"/>
      <c r="AB125" s="1055"/>
      <c r="AC125" s="1055"/>
      <c r="AD125" s="1055"/>
      <c r="AE125" s="1055"/>
      <c r="AF125" s="1055"/>
    </row>
    <row r="126" spans="1:34" ht="34.5" customHeight="1">
      <c r="A126" s="2080"/>
      <c r="B126" s="2079"/>
      <c r="C126" s="2079"/>
      <c r="D126" s="2079"/>
      <c r="E126" s="2079"/>
      <c r="F126" s="2079"/>
      <c r="G126" s="2079"/>
      <c r="H126" s="2079"/>
      <c r="I126" s="2079"/>
      <c r="J126" s="890"/>
      <c r="K126" s="890"/>
      <c r="L126" s="890"/>
      <c r="M126" s="956" t="s">
        <v>0</v>
      </c>
      <c r="AC126" s="1055"/>
      <c r="AD126" s="1055"/>
      <c r="AE126" s="1055"/>
      <c r="AF126" s="1055"/>
    </row>
    <row r="127" spans="1:34" ht="34.5" customHeight="1">
      <c r="A127" s="952" t="s">
        <v>328</v>
      </c>
      <c r="B127" s="2078" t="s">
        <v>1428</v>
      </c>
      <c r="C127" s="2078"/>
      <c r="D127" s="2078"/>
      <c r="E127" s="2078"/>
      <c r="F127" s="2078"/>
      <c r="G127" s="2078"/>
      <c r="H127" s="2078"/>
      <c r="I127" s="2078"/>
      <c r="J127" s="2078"/>
      <c r="K127" s="2078"/>
      <c r="L127" s="890"/>
      <c r="AC127" s="1055"/>
      <c r="AD127" s="1055"/>
      <c r="AE127" s="1055"/>
      <c r="AF127" s="1055"/>
    </row>
    <row r="128" spans="1:34" ht="31.5" customHeight="1">
      <c r="A128" s="1285"/>
      <c r="B128" s="2078"/>
      <c r="C128" s="2078"/>
      <c r="D128" s="2078"/>
      <c r="E128" s="2078"/>
      <c r="F128" s="2078"/>
      <c r="G128" s="2078"/>
      <c r="H128" s="2078"/>
      <c r="I128" s="2078"/>
      <c r="J128" s="2078"/>
      <c r="K128" s="2078"/>
      <c r="L128" s="890"/>
      <c r="M128" s="956" t="s">
        <v>0</v>
      </c>
      <c r="N128" s="957" t="s">
        <v>0</v>
      </c>
      <c r="O128" s="957"/>
      <c r="P128" s="957"/>
      <c r="Q128" s="957"/>
      <c r="R128" s="957"/>
      <c r="S128" s="957"/>
      <c r="T128" s="957"/>
      <c r="U128" s="957"/>
      <c r="V128" s="957"/>
      <c r="W128" s="957" t="s">
        <v>0</v>
      </c>
      <c r="X128" s="957"/>
      <c r="Y128" s="957"/>
      <c r="Z128" s="957"/>
      <c r="AA128" s="957"/>
      <c r="AB128" s="957"/>
      <c r="AC128" s="957"/>
      <c r="AD128" s="957"/>
      <c r="AE128" s="957"/>
      <c r="AF128" s="957"/>
    </row>
    <row r="129" spans="1:32" ht="3" customHeight="1">
      <c r="A129" s="1284"/>
      <c r="B129" s="2078"/>
      <c r="C129" s="2078"/>
      <c r="D129" s="2078"/>
      <c r="E129" s="2078"/>
      <c r="F129" s="2078"/>
      <c r="G129" s="2078"/>
      <c r="H129" s="2078"/>
      <c r="I129" s="2078"/>
      <c r="J129" s="2078"/>
      <c r="K129" s="2078"/>
      <c r="L129" s="890"/>
      <c r="N129" s="957"/>
      <c r="O129" s="957"/>
      <c r="P129" s="957"/>
      <c r="Q129" s="957"/>
      <c r="R129" s="957"/>
      <c r="S129" s="957"/>
      <c r="T129" s="957"/>
      <c r="U129" s="957"/>
      <c r="V129" s="957"/>
      <c r="W129" s="957"/>
      <c r="X129" s="957"/>
      <c r="Y129" s="957"/>
      <c r="Z129" s="957"/>
      <c r="AA129" s="957"/>
      <c r="AB129" s="957"/>
      <c r="AC129" s="957"/>
      <c r="AD129" s="957"/>
      <c r="AE129" s="957"/>
      <c r="AF129" s="957"/>
    </row>
    <row r="130" spans="1:32" ht="9.75" customHeight="1">
      <c r="C130" s="1055"/>
      <c r="D130" s="1055"/>
      <c r="E130" s="1055"/>
      <c r="F130" s="1055"/>
      <c r="G130" s="1055"/>
      <c r="H130" s="1055"/>
      <c r="I130" s="1055"/>
      <c r="J130" s="1055"/>
      <c r="K130" s="1055"/>
      <c r="L130" s="890"/>
      <c r="M130" s="747"/>
      <c r="N130" s="957"/>
      <c r="O130" s="957"/>
      <c r="P130" s="957"/>
      <c r="Q130" s="957"/>
      <c r="R130" s="957"/>
      <c r="S130" s="957"/>
      <c r="T130" s="957"/>
      <c r="U130" s="957"/>
      <c r="V130" s="957"/>
      <c r="W130" s="957"/>
      <c r="X130" s="957"/>
      <c r="Y130" s="957"/>
      <c r="Z130" s="957"/>
      <c r="AA130" s="957"/>
      <c r="AB130" s="957"/>
      <c r="AC130" s="957"/>
      <c r="AD130" s="957"/>
      <c r="AE130" s="957"/>
      <c r="AF130" s="957"/>
    </row>
    <row r="131" spans="1:32" ht="78" customHeight="1">
      <c r="A131" s="952" t="s">
        <v>328</v>
      </c>
      <c r="B131" s="2078" t="s">
        <v>1537</v>
      </c>
      <c r="C131" s="2078"/>
      <c r="D131" s="2078"/>
      <c r="E131" s="2078"/>
      <c r="F131" s="2078"/>
      <c r="G131" s="2078"/>
      <c r="H131" s="2078"/>
      <c r="I131" s="2078"/>
      <c r="J131" s="2078"/>
      <c r="K131" s="2078"/>
      <c r="L131" s="2078"/>
      <c r="AC131" s="1092"/>
      <c r="AD131" s="1092"/>
      <c r="AE131" s="1092"/>
      <c r="AF131" s="1092"/>
    </row>
    <row r="132" spans="1:32" ht="15.4" customHeight="1">
      <c r="A132" s="876" t="s">
        <v>1671</v>
      </c>
      <c r="B132" s="876"/>
      <c r="C132" s="876"/>
      <c r="D132" s="876"/>
      <c r="E132" s="452"/>
      <c r="F132" s="452"/>
      <c r="G132" s="452"/>
      <c r="H132" s="452"/>
      <c r="I132" s="443"/>
      <c r="J132" s="890"/>
      <c r="K132" s="890"/>
      <c r="L132" s="890"/>
      <c r="M132" s="747"/>
      <c r="N132" s="957"/>
      <c r="O132" s="957"/>
      <c r="P132" s="957"/>
      <c r="Q132" s="957"/>
      <c r="R132" s="957"/>
      <c r="S132" s="957"/>
      <c r="T132" s="957"/>
      <c r="U132" s="957"/>
      <c r="V132" s="957"/>
      <c r="W132" s="957"/>
      <c r="X132" s="957"/>
      <c r="Y132" s="957"/>
      <c r="Z132" s="957"/>
      <c r="AA132" s="957"/>
      <c r="AB132" s="957"/>
      <c r="AC132" s="662"/>
    </row>
    <row r="133" spans="1:32" ht="49.5" customHeight="1">
      <c r="A133" s="2017" t="s">
        <v>1670</v>
      </c>
      <c r="B133" s="2017"/>
      <c r="C133" s="2017"/>
      <c r="D133" s="2017"/>
      <c r="E133" s="2017"/>
      <c r="F133" s="2017"/>
      <c r="G133" s="2017"/>
      <c r="H133" s="2017"/>
      <c r="I133" s="2017"/>
      <c r="J133" s="2017"/>
      <c r="K133" s="2017"/>
      <c r="L133" s="2017"/>
      <c r="M133" s="2017"/>
      <c r="N133" s="2017"/>
      <c r="O133" s="2017"/>
      <c r="P133" s="2017"/>
      <c r="Q133" s="2017"/>
      <c r="R133" s="2017"/>
      <c r="S133" s="2017"/>
      <c r="T133" s="2017"/>
      <c r="U133" s="2017"/>
      <c r="V133" s="2017"/>
      <c r="W133" s="2017"/>
      <c r="X133" s="2017"/>
      <c r="Y133" s="2017"/>
      <c r="Z133" s="2017"/>
      <c r="AA133" s="2017"/>
      <c r="AB133" s="891"/>
      <c r="AC133" s="662"/>
    </row>
    <row r="134" spans="1:32" ht="15" hidden="1" customHeight="1">
      <c r="A134" s="891"/>
      <c r="B134" s="891"/>
      <c r="C134" s="891"/>
      <c r="D134" s="891"/>
      <c r="E134" s="891"/>
      <c r="F134" s="891"/>
      <c r="G134" s="891"/>
      <c r="H134" s="891"/>
      <c r="I134" s="891"/>
      <c r="J134" s="891"/>
      <c r="K134" s="891"/>
      <c r="L134" s="891"/>
      <c r="M134" s="891"/>
      <c r="N134" s="891"/>
      <c r="O134" s="891"/>
      <c r="P134" s="891"/>
      <c r="Q134" s="891"/>
      <c r="R134" s="891"/>
      <c r="S134" s="891"/>
      <c r="T134" s="891"/>
      <c r="U134" s="891"/>
      <c r="V134" s="891"/>
      <c r="W134" s="891"/>
      <c r="X134" s="891"/>
      <c r="Y134" s="891"/>
      <c r="Z134" s="891"/>
      <c r="AA134" s="891"/>
      <c r="AB134" s="891"/>
      <c r="AC134" s="662"/>
    </row>
    <row r="135" spans="1:32" ht="15" hidden="1" customHeight="1">
      <c r="A135" s="891"/>
      <c r="B135" s="891"/>
      <c r="C135" s="891"/>
      <c r="D135" s="891"/>
      <c r="E135" s="891"/>
      <c r="F135" s="891"/>
      <c r="G135" s="891"/>
      <c r="H135" s="891"/>
      <c r="I135" s="891"/>
      <c r="J135" s="891"/>
      <c r="K135" s="891"/>
      <c r="L135" s="891"/>
      <c r="M135" s="891"/>
      <c r="N135" s="891"/>
      <c r="O135" s="891"/>
      <c r="P135" s="891"/>
      <c r="Q135" s="891"/>
      <c r="R135" s="891"/>
      <c r="S135" s="891"/>
      <c r="T135" s="891"/>
      <c r="U135" s="891"/>
      <c r="V135" s="891"/>
      <c r="W135" s="891"/>
      <c r="X135" s="891"/>
      <c r="Y135" s="891"/>
      <c r="Z135" s="891"/>
      <c r="AA135" s="891"/>
      <c r="AB135" s="891"/>
      <c r="AC135" s="890"/>
    </row>
    <row r="136" spans="1:32" ht="15" hidden="1" customHeight="1">
      <c r="A136" s="891"/>
      <c r="B136" s="891"/>
      <c r="C136" s="891"/>
      <c r="D136" s="891"/>
      <c r="E136" s="891"/>
      <c r="F136" s="891"/>
      <c r="G136" s="891"/>
      <c r="H136" s="891"/>
      <c r="I136" s="891"/>
      <c r="J136" s="891"/>
      <c r="K136" s="891"/>
      <c r="L136" s="891"/>
      <c r="M136" s="891"/>
      <c r="N136" s="891"/>
      <c r="O136" s="891"/>
      <c r="P136" s="891"/>
      <c r="Q136" s="891"/>
      <c r="R136" s="891"/>
      <c r="S136" s="891"/>
      <c r="T136" s="891"/>
      <c r="U136" s="891"/>
      <c r="V136" s="891"/>
      <c r="W136" s="891"/>
      <c r="X136" s="891"/>
      <c r="Y136" s="891"/>
      <c r="Z136" s="891"/>
      <c r="AA136" s="891"/>
      <c r="AB136" s="891"/>
      <c r="AC136" s="890"/>
    </row>
    <row r="137" spans="1:32" ht="5.25" customHeight="1">
      <c r="A137" s="662"/>
      <c r="B137" s="662"/>
      <c r="C137" s="662"/>
      <c r="D137" s="662"/>
      <c r="E137" s="662"/>
      <c r="F137" s="662"/>
      <c r="G137" s="662"/>
      <c r="H137" s="662"/>
      <c r="I137" s="662"/>
      <c r="J137" s="662"/>
      <c r="K137" s="662"/>
      <c r="L137" s="662"/>
      <c r="M137" s="662"/>
      <c r="N137" s="662"/>
      <c r="O137" s="662"/>
      <c r="P137" s="662"/>
      <c r="Q137" s="662"/>
      <c r="R137" s="662"/>
      <c r="S137" s="662"/>
      <c r="T137" s="662"/>
      <c r="U137" s="662"/>
      <c r="V137" s="662"/>
      <c r="W137" s="662"/>
      <c r="X137" s="662"/>
      <c r="Y137" s="662"/>
      <c r="Z137" s="662"/>
      <c r="AA137" s="662"/>
      <c r="AB137" s="662"/>
      <c r="AC137" s="890"/>
    </row>
    <row r="138" spans="1:32" ht="15" customHeight="1">
      <c r="A138" s="876" t="s">
        <v>417</v>
      </c>
      <c r="B138" s="890"/>
      <c r="C138" s="890"/>
      <c r="D138" s="890"/>
      <c r="E138" s="890"/>
      <c r="F138" s="890"/>
      <c r="G138" s="890"/>
      <c r="H138" s="890"/>
      <c r="I138" s="890"/>
      <c r="J138" s="890"/>
      <c r="K138" s="890"/>
      <c r="L138" s="890"/>
      <c r="M138" s="890"/>
      <c r="N138" s="890"/>
      <c r="O138" s="890"/>
      <c r="P138" s="890"/>
      <c r="Q138" s="890"/>
      <c r="R138" s="890"/>
      <c r="S138" s="890"/>
      <c r="T138" s="890"/>
      <c r="U138" s="890"/>
      <c r="V138" s="890"/>
      <c r="W138" s="890"/>
      <c r="X138" s="890"/>
      <c r="Y138" s="890"/>
      <c r="Z138" s="890"/>
      <c r="AA138" s="890"/>
      <c r="AB138" s="890"/>
      <c r="AC138" s="890"/>
    </row>
    <row r="139" spans="1:32" ht="15" customHeight="1">
      <c r="A139" s="892" t="s">
        <v>727</v>
      </c>
      <c r="B139" s="890"/>
      <c r="C139" s="890"/>
      <c r="D139" s="890"/>
      <c r="E139" s="890"/>
      <c r="F139" s="890"/>
      <c r="G139" s="890"/>
      <c r="H139" s="890"/>
      <c r="I139" s="890"/>
      <c r="J139" s="890"/>
      <c r="K139" s="890"/>
      <c r="L139" s="890"/>
      <c r="M139" s="890"/>
      <c r="N139" s="890"/>
      <c r="O139" s="890"/>
      <c r="P139" s="890"/>
      <c r="Q139" s="890"/>
      <c r="R139" s="890"/>
      <c r="S139" s="890"/>
      <c r="T139" s="890"/>
      <c r="U139" s="890"/>
      <c r="V139" s="890"/>
      <c r="W139" s="890"/>
      <c r="X139" s="890"/>
      <c r="Y139" s="890"/>
      <c r="Z139" s="890"/>
      <c r="AA139" s="969"/>
      <c r="AB139" s="969"/>
      <c r="AC139" s="969"/>
    </row>
    <row r="140" spans="1:32" ht="18" customHeight="1">
      <c r="A140" s="892" t="s">
        <v>1450</v>
      </c>
    </row>
    <row r="141" spans="1:32" ht="15" customHeight="1">
      <c r="A141" s="869" t="s">
        <v>1451</v>
      </c>
      <c r="B141" s="167"/>
      <c r="C141" s="167"/>
      <c r="D141" s="167"/>
      <c r="AB141" s="970"/>
    </row>
  </sheetData>
  <sheetProtection algorithmName="SHA-512" hashValue="MlPEp55HBxjnqYJxuVqQMjyehrrQSyUjVCk9a0JuwJuCdViTFdhLx54LiFXNea/eDNfZqmzHGR/MqNnH0jIuNg==" saltValue="aiMXanKWTEhpNq/oFzpZcA==" spinCount="100000" sheet="1" objects="1" scenarios="1"/>
  <mergeCells count="158">
    <mergeCell ref="B118:J118"/>
    <mergeCell ref="A119:A120"/>
    <mergeCell ref="B119:G120"/>
    <mergeCell ref="N118:AA119"/>
    <mergeCell ref="N120:AA121"/>
    <mergeCell ref="B127:K129"/>
    <mergeCell ref="N98:AI98"/>
    <mergeCell ref="B98:G99"/>
    <mergeCell ref="A125:A126"/>
    <mergeCell ref="B123:J123"/>
    <mergeCell ref="N99:AB99"/>
    <mergeCell ref="B131:L131"/>
    <mergeCell ref="B103:L103"/>
    <mergeCell ref="E7:W7"/>
    <mergeCell ref="E8:W8"/>
    <mergeCell ref="A7:D7"/>
    <mergeCell ref="E77:W77"/>
    <mergeCell ref="X77:AB77"/>
    <mergeCell ref="B85:I86"/>
    <mergeCell ref="E64:W64"/>
    <mergeCell ref="A16:D16"/>
    <mergeCell ref="X64:AA64"/>
    <mergeCell ref="X70:AA70"/>
    <mergeCell ref="E71:W71"/>
    <mergeCell ref="X71:AA71"/>
    <mergeCell ref="E72:W72"/>
    <mergeCell ref="A14:D14"/>
    <mergeCell ref="E14:W14"/>
    <mergeCell ref="X14:AA14"/>
    <mergeCell ref="M120:M121"/>
    <mergeCell ref="A115:A116"/>
    <mergeCell ref="B115:H116"/>
    <mergeCell ref="B125:I126"/>
    <mergeCell ref="A98:A99"/>
    <mergeCell ref="M113:M114"/>
    <mergeCell ref="A29:D29"/>
    <mergeCell ref="E38:W38"/>
    <mergeCell ref="X49:AA49"/>
    <mergeCell ref="E48:W48"/>
    <mergeCell ref="A30:C30"/>
    <mergeCell ref="E33:W33"/>
    <mergeCell ref="A21:D21"/>
    <mergeCell ref="A23:D23"/>
    <mergeCell ref="E21:W21"/>
    <mergeCell ref="A22:D22"/>
    <mergeCell ref="E26:W26"/>
    <mergeCell ref="E40:W40"/>
    <mergeCell ref="E37:W37"/>
    <mergeCell ref="X33:AA33"/>
    <mergeCell ref="E49:W49"/>
    <mergeCell ref="A41:D42"/>
    <mergeCell ref="E47:W47"/>
    <mergeCell ref="X47:AA47"/>
    <mergeCell ref="X41:AA42"/>
    <mergeCell ref="A24:D24"/>
    <mergeCell ref="E28:W28"/>
    <mergeCell ref="AB29:AE29"/>
    <mergeCell ref="AB24:AE24"/>
    <mergeCell ref="AD25:AH26"/>
    <mergeCell ref="X24:AA24"/>
    <mergeCell ref="A11:D11"/>
    <mergeCell ref="A13:D13"/>
    <mergeCell ref="A12:D12"/>
    <mergeCell ref="E12:W12"/>
    <mergeCell ref="X21:AA21"/>
    <mergeCell ref="E22:W22"/>
    <mergeCell ref="X23:AA23"/>
    <mergeCell ref="E11:W11"/>
    <mergeCell ref="E13:W13"/>
    <mergeCell ref="X13:AA13"/>
    <mergeCell ref="X12:AA12"/>
    <mergeCell ref="X11:AA11"/>
    <mergeCell ref="E23:W23"/>
    <mergeCell ref="E16:W16"/>
    <mergeCell ref="X16:AA16"/>
    <mergeCell ref="E17:W17"/>
    <mergeCell ref="X17:AA17"/>
    <mergeCell ref="E18:W18"/>
    <mergeCell ref="X18:AA18"/>
    <mergeCell ref="E20:W20"/>
    <mergeCell ref="AD35:AH41"/>
    <mergeCell ref="X34:AA34"/>
    <mergeCell ref="X38:AA38"/>
    <mergeCell ref="E56:W56"/>
    <mergeCell ref="E46:W46"/>
    <mergeCell ref="X56:AB56"/>
    <mergeCell ref="E34:W34"/>
    <mergeCell ref="X54:AB55"/>
    <mergeCell ref="X48:AA48"/>
    <mergeCell ref="X46:AA46"/>
    <mergeCell ref="E50:W50"/>
    <mergeCell ref="X50:AA50"/>
    <mergeCell ref="A44:W45"/>
    <mergeCell ref="X45:AA45"/>
    <mergeCell ref="A56:D56"/>
    <mergeCell ref="AB41:AB42"/>
    <mergeCell ref="X37:AA37"/>
    <mergeCell ref="X39:AA39"/>
    <mergeCell ref="E39:W39"/>
    <mergeCell ref="AB34:AE34"/>
    <mergeCell ref="X40:AA40"/>
    <mergeCell ref="E65:W65"/>
    <mergeCell ref="E41:W42"/>
    <mergeCell ref="X44:AA44"/>
    <mergeCell ref="E60:W60"/>
    <mergeCell ref="X60:AA60"/>
    <mergeCell ref="A66:D66"/>
    <mergeCell ref="B96:G96"/>
    <mergeCell ref="X75:AB76"/>
    <mergeCell ref="A77:D77"/>
    <mergeCell ref="A95:A96"/>
    <mergeCell ref="B95:K95"/>
    <mergeCell ref="A82:M82"/>
    <mergeCell ref="A83:M83"/>
    <mergeCell ref="A85:A86"/>
    <mergeCell ref="N93:AB93"/>
    <mergeCell ref="E61:W61"/>
    <mergeCell ref="B87:K87"/>
    <mergeCell ref="B88:J91"/>
    <mergeCell ref="A88:A89"/>
    <mergeCell ref="B92:I92"/>
    <mergeCell ref="AB11:AE11"/>
    <mergeCell ref="AB12:AE12"/>
    <mergeCell ref="A19:D19"/>
    <mergeCell ref="E19:W19"/>
    <mergeCell ref="X19:AA19"/>
    <mergeCell ref="AB20:AE20"/>
    <mergeCell ref="AB21:AE21"/>
    <mergeCell ref="AB22:AE22"/>
    <mergeCell ref="AB23:AE23"/>
    <mergeCell ref="X20:AA20"/>
    <mergeCell ref="A15:D15"/>
    <mergeCell ref="E15:W15"/>
    <mergeCell ref="X15:AA15"/>
    <mergeCell ref="A4:AA6"/>
    <mergeCell ref="X7:AA8"/>
    <mergeCell ref="A133:AA133"/>
    <mergeCell ref="N85:AA87"/>
    <mergeCell ref="N88:AA91"/>
    <mergeCell ref="N113:AA116"/>
    <mergeCell ref="X29:AA29"/>
    <mergeCell ref="E29:W29"/>
    <mergeCell ref="X26:AA26"/>
    <mergeCell ref="A17:D17"/>
    <mergeCell ref="A18:D18"/>
    <mergeCell ref="A20:D20"/>
    <mergeCell ref="X28:AA28"/>
    <mergeCell ref="E27:W27"/>
    <mergeCell ref="E25:W25"/>
    <mergeCell ref="E24:W24"/>
    <mergeCell ref="X22:AA22"/>
    <mergeCell ref="X25:AA25"/>
    <mergeCell ref="X61:AA61"/>
    <mergeCell ref="E62:W62"/>
    <mergeCell ref="X62:AA62"/>
    <mergeCell ref="E70:W70"/>
    <mergeCell ref="E63:W63"/>
    <mergeCell ref="X63:AA63"/>
  </mergeCells>
  <hyperlinks>
    <hyperlink ref="N79" r:id="rId1" xr:uid="{00000000-0004-0000-0800-000000000000}"/>
    <hyperlink ref="N80" r:id="rId2" xr:uid="{00000000-0004-0000-0800-000001000000}"/>
    <hyperlink ref="N81" r:id="rId3" xr:uid="{00000000-0004-0000-0800-000002000000}"/>
    <hyperlink ref="N82" r:id="rId4" xr:uid="{00000000-0004-0000-0800-000003000000}"/>
    <hyperlink ref="N83" r:id="rId5" xr:uid="{A2B94BFA-44DF-4EE6-B8C1-01A0CADDC5A9}"/>
  </hyperlinks>
  <printOptions horizontalCentered="1"/>
  <pageMargins left="0.28000000000000003" right="0.1" top="0.5" bottom="0.5" header="0.3" footer="0.3"/>
  <pageSetup scale="51" fitToHeight="2" orientation="portrait" horizontalDpi="4294967293" verticalDpi="4294967293" r:id="rId6"/>
  <headerFooter>
    <oddFooter>&amp;L© 9/5/2023 Idaho Power</oddFooter>
  </headerFooter>
  <rowBreaks count="1" manualBreakCount="1">
    <brk id="77" max="26" man="1"/>
  </rowBreaks>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Y557"/>
  <sheetViews>
    <sheetView showGridLines="0" workbookViewId="0">
      <selection activeCell="O322" sqref="O322"/>
    </sheetView>
  </sheetViews>
  <sheetFormatPr defaultRowHeight="15"/>
  <cols>
    <col min="1" max="1" width="4.7109375" style="289" customWidth="1"/>
    <col min="2" max="2" width="19.28515625" style="289" customWidth="1"/>
    <col min="3" max="3" width="5.7109375" customWidth="1"/>
    <col min="4" max="4" width="19.7109375" style="289" customWidth="1"/>
    <col min="5" max="5" width="10" customWidth="1"/>
    <col min="6" max="6" width="7.28515625" style="289" customWidth="1"/>
    <col min="7" max="7" width="7.5703125" customWidth="1"/>
    <col min="8" max="8" width="10.5703125" style="290" customWidth="1"/>
    <col min="9" max="9" width="23.42578125" style="290" customWidth="1"/>
    <col min="10" max="11" width="6.5703125" style="290" customWidth="1"/>
    <col min="12" max="12" width="6.7109375" customWidth="1"/>
    <col min="13" max="13" width="8.42578125" style="289" customWidth="1"/>
    <col min="14" max="14" width="6.5703125" customWidth="1"/>
    <col min="15" max="15" width="5.7109375" customWidth="1"/>
    <col min="16" max="16" width="37" style="291" customWidth="1"/>
    <col min="17" max="17" width="10" style="289" customWidth="1"/>
    <col min="18" max="18" width="7.28515625" customWidth="1"/>
    <col min="19" max="19" width="10.5703125" customWidth="1"/>
    <col min="20" max="20" width="24.7109375" customWidth="1"/>
    <col min="21" max="21" width="5.28515625" style="290" customWidth="1"/>
    <col min="22" max="22" width="6.7109375" customWidth="1"/>
    <col min="23" max="23" width="8" customWidth="1"/>
    <col min="24" max="25" width="7.7109375" customWidth="1"/>
  </cols>
  <sheetData>
    <row r="1" spans="1:25" ht="32.25" customHeight="1">
      <c r="A1" s="672"/>
      <c r="B1" s="156"/>
      <c r="C1" s="156"/>
      <c r="D1" s="156"/>
      <c r="E1" s="984"/>
      <c r="F1" s="688" t="s">
        <v>454</v>
      </c>
      <c r="G1" s="156"/>
      <c r="H1" s="673"/>
      <c r="I1" s="156"/>
      <c r="J1" s="156"/>
      <c r="K1" s="821"/>
      <c r="M1" s="674"/>
      <c r="N1" s="156"/>
      <c r="O1" s="1315">
        <f>IF('Proposed Lighting'!CA309&gt;0,"NLC Checklist &amp; Inspection Sheet Required",0)</f>
        <v>0</v>
      </c>
      <c r="P1" s="675"/>
      <c r="Q1" s="674"/>
      <c r="R1" s="796" t="s">
        <v>448</v>
      </c>
      <c r="S1" s="156"/>
      <c r="T1" s="156"/>
      <c r="U1" s="673"/>
      <c r="V1" s="156"/>
      <c r="W1" s="2151">
        <f>IF('Data Entry'!F69=0,0,'Data Entry'!F69)</f>
        <v>0</v>
      </c>
      <c r="X1" s="2151"/>
    </row>
    <row r="2" spans="1:25" ht="36" customHeight="1">
      <c r="A2" s="2139" t="s">
        <v>428</v>
      </c>
      <c r="B2" s="2139"/>
      <c r="C2" s="1299">
        <f>'Data Entry'!B19</f>
        <v>0</v>
      </c>
      <c r="D2" s="676"/>
      <c r="E2" s="677"/>
      <c r="F2" s="986" t="s">
        <v>453</v>
      </c>
      <c r="G2" s="677"/>
      <c r="H2" s="673"/>
      <c r="I2" s="156"/>
      <c r="J2" s="156"/>
      <c r="K2" s="821"/>
      <c r="M2" s="678"/>
      <c r="N2" s="678"/>
      <c r="P2" s="678"/>
      <c r="Q2" s="2139" t="s">
        <v>447</v>
      </c>
      <c r="R2" s="2139"/>
      <c r="S2" s="2152"/>
      <c r="T2" s="2152"/>
      <c r="U2" s="2152"/>
      <c r="V2" s="2152"/>
      <c r="W2" s="2152"/>
      <c r="X2" s="2152"/>
      <c r="Y2" s="987"/>
    </row>
    <row r="3" spans="1:25" ht="15" customHeight="1">
      <c r="A3" s="674"/>
      <c r="B3" s="674"/>
      <c r="C3" s="156"/>
      <c r="D3" s="674"/>
      <c r="E3" s="156"/>
      <c r="F3" s="985"/>
      <c r="G3" s="156"/>
      <c r="H3" s="673"/>
      <c r="I3" s="673"/>
      <c r="J3" s="990">
        <v>1</v>
      </c>
      <c r="K3" s="990">
        <v>2</v>
      </c>
      <c r="L3" s="990">
        <v>3</v>
      </c>
      <c r="M3" s="990" t="s">
        <v>273</v>
      </c>
      <c r="N3" s="678" t="s">
        <v>0</v>
      </c>
      <c r="O3" s="678" t="s">
        <v>0</v>
      </c>
      <c r="P3" s="678"/>
      <c r="Q3" s="679"/>
      <c r="R3" s="680"/>
      <c r="S3" s="156"/>
      <c r="T3" s="156"/>
      <c r="U3" s="673"/>
      <c r="V3" s="156"/>
      <c r="W3" s="156"/>
      <c r="X3" s="156"/>
    </row>
    <row r="4" spans="1:25" ht="20.25" customHeight="1">
      <c r="A4" s="2139" t="s">
        <v>452</v>
      </c>
      <c r="B4" s="2139"/>
      <c r="C4" s="2141">
        <f>'Data Entry'!B21</f>
        <v>0</v>
      </c>
      <c r="D4" s="2141"/>
      <c r="E4" s="2141"/>
      <c r="F4" s="681"/>
      <c r="G4" s="682"/>
      <c r="H4" s="673"/>
      <c r="I4" s="989" t="s">
        <v>67</v>
      </c>
      <c r="J4" s="1298">
        <f>'Data Entry'!K57</f>
        <v>0</v>
      </c>
      <c r="K4" s="1298">
        <f>'Data Entry'!O57</f>
        <v>0</v>
      </c>
      <c r="L4" s="1298">
        <f>'Data Entry'!S57</f>
        <v>0</v>
      </c>
      <c r="M4" s="1298">
        <f>'Data Entry'!W57</f>
        <v>0</v>
      </c>
      <c r="N4" s="248"/>
      <c r="O4" s="679" t="s">
        <v>1461</v>
      </c>
      <c r="P4" s="992"/>
      <c r="Q4" s="2139" t="s">
        <v>428</v>
      </c>
      <c r="R4" s="2139"/>
      <c r="S4" s="2138"/>
      <c r="T4" s="2138"/>
      <c r="U4" s="2138"/>
      <c r="V4" s="2138"/>
      <c r="W4" s="2138"/>
      <c r="X4" s="2138"/>
      <c r="Y4" s="987"/>
    </row>
    <row r="5" spans="1:25" ht="20.25" customHeight="1">
      <c r="A5" s="679"/>
      <c r="B5" s="674"/>
      <c r="C5" s="156"/>
      <c r="D5" s="245"/>
      <c r="E5" s="472"/>
      <c r="F5" s="245"/>
      <c r="G5" s="472"/>
      <c r="H5" s="673"/>
      <c r="I5" s="989" t="s">
        <v>68</v>
      </c>
      <c r="J5" s="1298">
        <f>'Data Entry'!K58</f>
        <v>0</v>
      </c>
      <c r="K5" s="1298">
        <f>'Data Entry'!O58</f>
        <v>0</v>
      </c>
      <c r="L5" s="1298">
        <f>'Data Entry'!S58</f>
        <v>0</v>
      </c>
      <c r="M5" s="1298">
        <f>'Data Entry'!W58</f>
        <v>0</v>
      </c>
      <c r="N5" s="991"/>
      <c r="O5" s="679" t="s">
        <v>0</v>
      </c>
      <c r="P5" s="675"/>
      <c r="Q5" s="679"/>
      <c r="R5" s="680"/>
      <c r="S5" s="156"/>
      <c r="T5" s="156"/>
      <c r="U5" s="673"/>
      <c r="V5" s="156"/>
      <c r="W5" s="156"/>
      <c r="X5" s="156"/>
    </row>
    <row r="6" spans="1:25" ht="20.25" customHeight="1">
      <c r="A6" s="683"/>
      <c r="B6" s="684" t="s">
        <v>435</v>
      </c>
      <c r="C6" s="2141">
        <f>'Data Entry'!F68</f>
        <v>0</v>
      </c>
      <c r="D6" s="2141"/>
      <c r="E6" s="472"/>
      <c r="G6" s="806"/>
      <c r="H6" s="673"/>
      <c r="I6" s="989" t="s">
        <v>3</v>
      </c>
      <c r="J6" s="1298">
        <f>'Data Entry'!K59</f>
        <v>0</v>
      </c>
      <c r="K6" s="1298">
        <f>'Data Entry'!O59</f>
        <v>0</v>
      </c>
      <c r="L6" s="1298">
        <f>'Data Entry'!S59</f>
        <v>0</v>
      </c>
      <c r="M6" s="1298">
        <f>'Data Entry'!W59</f>
        <v>0</v>
      </c>
      <c r="O6" s="679" t="s">
        <v>1462</v>
      </c>
      <c r="P6" s="993"/>
      <c r="Q6" s="2139" t="s">
        <v>283</v>
      </c>
      <c r="R6" s="2139"/>
      <c r="S6" s="2138"/>
      <c r="T6" s="2138"/>
      <c r="U6" s="2138"/>
      <c r="V6" s="2138"/>
      <c r="W6" s="2138"/>
      <c r="X6" s="2138"/>
      <c r="Y6" s="987"/>
    </row>
    <row r="7" spans="1:25" ht="20.25" customHeight="1">
      <c r="A7" s="674"/>
      <c r="B7" s="674"/>
      <c r="C7" s="156"/>
      <c r="D7" s="245"/>
      <c r="E7" s="472"/>
      <c r="F7" s="679"/>
      <c r="G7" s="472"/>
      <c r="H7" s="673"/>
      <c r="I7" s="989" t="s">
        <v>4</v>
      </c>
      <c r="J7" s="1298">
        <f>'Data Entry'!K60</f>
        <v>0</v>
      </c>
      <c r="K7" s="1298">
        <f>'Data Entry'!O60</f>
        <v>0</v>
      </c>
      <c r="L7" s="1298">
        <f>'Data Entry'!S60</f>
        <v>0</v>
      </c>
      <c r="M7" s="1298">
        <f>'Data Entry'!W60</f>
        <v>0</v>
      </c>
      <c r="N7" s="156"/>
      <c r="P7" s="678"/>
      <c r="Q7" s="679"/>
      <c r="R7" s="680"/>
      <c r="S7" s="156"/>
      <c r="T7" s="156"/>
      <c r="U7" s="673"/>
      <c r="V7" s="156"/>
      <c r="W7" s="156"/>
      <c r="X7" s="156"/>
    </row>
    <row r="8" spans="1:25" ht="20.25" customHeight="1">
      <c r="A8" s="2139" t="s">
        <v>437</v>
      </c>
      <c r="B8" s="2139"/>
      <c r="C8" s="682"/>
      <c r="D8" s="682"/>
      <c r="E8" s="472"/>
      <c r="G8" s="806"/>
      <c r="H8" s="673"/>
      <c r="I8" s="989" t="s">
        <v>5</v>
      </c>
      <c r="J8" s="1298">
        <f>'Data Entry'!K61</f>
        <v>0</v>
      </c>
      <c r="K8" s="1298">
        <f>'Data Entry'!O61</f>
        <v>0</v>
      </c>
      <c r="L8" s="1298">
        <f>'Data Entry'!S61</f>
        <v>0</v>
      </c>
      <c r="M8" s="1298">
        <f>'Data Entry'!W61</f>
        <v>0</v>
      </c>
      <c r="N8" s="678"/>
      <c r="O8" s="679" t="s">
        <v>1463</v>
      </c>
      <c r="P8" s="686"/>
      <c r="Q8" s="2139" t="s">
        <v>289</v>
      </c>
      <c r="R8" s="2139"/>
      <c r="S8" s="2138"/>
      <c r="T8" s="2138"/>
      <c r="U8" s="2138"/>
      <c r="V8" s="2138"/>
      <c r="W8" s="2138"/>
      <c r="X8" s="2138"/>
      <c r="Y8" s="987"/>
    </row>
    <row r="9" spans="1:25" ht="20.25" customHeight="1">
      <c r="A9" s="156"/>
      <c r="B9" s="156"/>
      <c r="C9" s="156"/>
      <c r="D9" s="674"/>
      <c r="E9" s="156"/>
      <c r="F9" s="683"/>
      <c r="G9" s="156"/>
      <c r="H9" s="673"/>
      <c r="I9" s="989" t="s">
        <v>6</v>
      </c>
      <c r="J9" s="1298">
        <f>'Data Entry'!K62</f>
        <v>0</v>
      </c>
      <c r="K9" s="1298">
        <f>'Data Entry'!O62</f>
        <v>0</v>
      </c>
      <c r="L9" s="1298">
        <f>'Data Entry'!S62</f>
        <v>0</v>
      </c>
      <c r="M9" s="1298">
        <f>'Data Entry'!W62</f>
        <v>0</v>
      </c>
      <c r="N9" s="678"/>
      <c r="O9" s="156"/>
      <c r="P9" s="675"/>
      <c r="Q9" s="679"/>
      <c r="R9" s="680"/>
      <c r="S9" s="156"/>
      <c r="T9" s="156"/>
      <c r="U9" s="673"/>
      <c r="V9" s="156"/>
      <c r="W9" s="156"/>
      <c r="X9" s="156"/>
    </row>
    <row r="10" spans="1:25" ht="20.25" customHeight="1">
      <c r="A10" s="2139" t="s">
        <v>436</v>
      </c>
      <c r="B10" s="2139"/>
      <c r="C10" s="677"/>
      <c r="D10" s="676"/>
      <c r="E10" s="156"/>
      <c r="G10" s="156"/>
      <c r="H10" s="673"/>
      <c r="I10" s="989" t="s">
        <v>2</v>
      </c>
      <c r="J10" s="1298">
        <f>'Data Entry'!K63</f>
        <v>0</v>
      </c>
      <c r="K10" s="1298">
        <f>'Data Entry'!O63</f>
        <v>0</v>
      </c>
      <c r="L10" s="1298">
        <f>'Data Entry'!S63</f>
        <v>0</v>
      </c>
      <c r="M10" s="1298">
        <f>'Data Entry'!W63</f>
        <v>0</v>
      </c>
      <c r="N10" s="156"/>
      <c r="O10" s="1010" t="s">
        <v>1497</v>
      </c>
      <c r="P10" s="992"/>
      <c r="Q10" s="2139" t="s">
        <v>1213</v>
      </c>
      <c r="R10" s="2139"/>
      <c r="S10" s="2138"/>
      <c r="T10" s="2138"/>
      <c r="U10" s="2138"/>
      <c r="V10" s="2138"/>
      <c r="W10" s="2138"/>
      <c r="X10" s="2138"/>
      <c r="Y10" s="987"/>
    </row>
    <row r="11" spans="1:25" ht="20.25" customHeight="1">
      <c r="A11" s="973"/>
      <c r="B11" s="973"/>
      <c r="C11" s="156"/>
      <c r="D11" s="674"/>
      <c r="E11" s="156"/>
      <c r="G11" s="156"/>
      <c r="H11" s="673"/>
      <c r="I11" s="989"/>
      <c r="J11" s="974"/>
      <c r="K11" s="690"/>
      <c r="L11" s="690"/>
      <c r="M11" s="1050">
        <f>IF('Data Entry'!$AA$64=TRUE,"D/D Schedule",0)</f>
        <v>0</v>
      </c>
      <c r="N11" s="156"/>
      <c r="O11" s="156"/>
      <c r="P11" s="675"/>
      <c r="Q11" s="973"/>
      <c r="R11" s="973"/>
      <c r="S11" s="821"/>
      <c r="T11" s="821"/>
      <c r="U11" s="821"/>
      <c r="V11" s="821"/>
      <c r="W11" s="821"/>
      <c r="X11" s="821"/>
    </row>
    <row r="12" spans="1:25" ht="20.25" customHeight="1">
      <c r="A12"/>
      <c r="B12" s="973" t="s">
        <v>1464</v>
      </c>
      <c r="C12" s="677"/>
      <c r="D12" s="676"/>
      <c r="E12" s="156"/>
      <c r="G12" s="156"/>
      <c r="H12" s="673"/>
      <c r="I12" s="989" t="s">
        <v>1506</v>
      </c>
      <c r="J12" s="2142">
        <f>IF('Data Entry'!AB57&gt;0.01,'Data Entry'!AB57,0)</f>
        <v>0</v>
      </c>
      <c r="K12" s="2143"/>
      <c r="L12" s="690"/>
      <c r="M12" s="690"/>
      <c r="N12" s="156"/>
      <c r="O12" s="156"/>
      <c r="P12" s="675"/>
      <c r="Q12" s="2151" t="s">
        <v>1460</v>
      </c>
      <c r="R12" s="2151"/>
      <c r="S12" s="972"/>
      <c r="T12" s="972"/>
      <c r="U12" s="972"/>
      <c r="V12" s="972"/>
      <c r="W12" s="972"/>
      <c r="X12" s="972"/>
      <c r="Y12" s="987"/>
    </row>
    <row r="13" spans="1:25" ht="19.5">
      <c r="A13" s="683"/>
      <c r="B13" s="684" t="s">
        <v>0</v>
      </c>
      <c r="C13" s="156" t="s">
        <v>0</v>
      </c>
      <c r="D13" s="674"/>
      <c r="E13" s="156"/>
      <c r="F13" s="674"/>
      <c r="G13" s="156"/>
      <c r="H13" s="439" t="s">
        <v>0</v>
      </c>
      <c r="I13" s="439"/>
      <c r="J13" s="439"/>
      <c r="K13" s="822"/>
      <c r="L13" s="988"/>
      <c r="M13" s="685"/>
      <c r="N13" s="156"/>
      <c r="O13" s="439"/>
      <c r="P13" s="439"/>
      <c r="Q13" s="674"/>
      <c r="R13" s="156"/>
      <c r="S13" s="156"/>
      <c r="T13" s="156"/>
      <c r="U13" s="673"/>
      <c r="V13" s="156"/>
      <c r="W13" s="156"/>
      <c r="X13" s="156"/>
    </row>
    <row r="14" spans="1:25" ht="7.5" customHeight="1">
      <c r="A14" s="674"/>
      <c r="B14" s="687"/>
      <c r="C14" s="156"/>
      <c r="D14" s="674"/>
      <c r="E14" s="156"/>
      <c r="F14" s="674"/>
      <c r="G14" s="156"/>
      <c r="H14" s="673"/>
      <c r="I14" s="673"/>
      <c r="J14" s="673"/>
      <c r="K14" s="673"/>
      <c r="L14" s="156"/>
      <c r="M14" s="674"/>
      <c r="N14" s="688"/>
      <c r="O14" s="688"/>
      <c r="P14" s="688"/>
      <c r="Q14" s="674"/>
      <c r="R14" s="156"/>
      <c r="S14" s="156"/>
      <c r="T14" s="156"/>
      <c r="U14" s="673"/>
      <c r="V14" s="156"/>
      <c r="W14" s="156"/>
      <c r="X14" s="156"/>
    </row>
    <row r="15" spans="1:25" ht="15.75" customHeight="1">
      <c r="A15" s="2147" t="s">
        <v>438</v>
      </c>
      <c r="B15" s="2148"/>
      <c r="C15" s="2149"/>
      <c r="D15" s="2149"/>
      <c r="E15" s="2149"/>
      <c r="F15" s="2149"/>
      <c r="G15" s="2149"/>
      <c r="H15" s="2149"/>
      <c r="I15" s="2149"/>
      <c r="J15" s="2150"/>
      <c r="K15" s="821"/>
      <c r="L15" s="982" t="s">
        <v>446</v>
      </c>
      <c r="M15" s="983"/>
      <c r="N15" s="689"/>
      <c r="O15" s="689"/>
      <c r="P15" s="689"/>
      <c r="Q15" s="689"/>
      <c r="R15" s="689"/>
      <c r="S15" s="689"/>
      <c r="T15" s="689"/>
      <c r="U15" s="689"/>
      <c r="V15" s="689"/>
      <c r="W15" s="689"/>
      <c r="X15" s="689"/>
      <c r="Y15" s="51"/>
    </row>
    <row r="16" spans="1:25" ht="17.25" customHeight="1">
      <c r="A16" s="977"/>
      <c r="B16" s="677"/>
      <c r="C16" s="677"/>
      <c r="D16" s="677"/>
      <c r="E16" s="677"/>
      <c r="F16" s="677"/>
      <c r="G16" s="677"/>
      <c r="H16" s="677"/>
      <c r="I16" s="677"/>
      <c r="J16" s="978"/>
      <c r="K16" s="821"/>
      <c r="L16" s="975"/>
      <c r="M16" s="156"/>
      <c r="N16" s="156"/>
      <c r="O16" s="156"/>
      <c r="P16" s="156"/>
      <c r="Q16" s="156"/>
      <c r="R16" s="156"/>
      <c r="S16" s="156"/>
      <c r="T16" s="156"/>
      <c r="U16" s="156"/>
      <c r="V16" s="156"/>
      <c r="W16" s="156"/>
      <c r="X16" s="156"/>
      <c r="Y16" s="994"/>
    </row>
    <row r="17" spans="1:25" ht="25.15" customHeight="1">
      <c r="A17" s="979"/>
      <c r="B17" s="980"/>
      <c r="C17" s="980"/>
      <c r="D17" s="980"/>
      <c r="E17" s="980"/>
      <c r="F17" s="980"/>
      <c r="G17" s="980"/>
      <c r="H17" s="980"/>
      <c r="I17" s="980"/>
      <c r="J17" s="981"/>
      <c r="K17" s="821"/>
      <c r="L17" s="979"/>
      <c r="M17" s="980"/>
      <c r="N17" s="980"/>
      <c r="O17" s="980"/>
      <c r="P17" s="980"/>
      <c r="Q17" s="980"/>
      <c r="R17" s="980"/>
      <c r="S17" s="980"/>
      <c r="T17" s="980"/>
      <c r="U17" s="980"/>
      <c r="V17" s="980"/>
      <c r="W17" s="980"/>
      <c r="X17" s="980"/>
      <c r="Y17" s="2"/>
    </row>
    <row r="18" spans="1:25" ht="25.15" customHeight="1">
      <c r="A18" s="977"/>
      <c r="B18" s="677"/>
      <c r="C18" s="677"/>
      <c r="D18" s="677"/>
      <c r="E18" s="677"/>
      <c r="F18" s="677"/>
      <c r="G18" s="677"/>
      <c r="H18" s="677"/>
      <c r="I18" s="677"/>
      <c r="J18" s="978"/>
      <c r="K18" s="821"/>
      <c r="L18" s="979"/>
      <c r="M18" s="980"/>
      <c r="N18" s="980"/>
      <c r="O18" s="980"/>
      <c r="P18" s="980"/>
      <c r="Q18" s="980"/>
      <c r="R18" s="980"/>
      <c r="S18" s="980"/>
      <c r="T18" s="980"/>
      <c r="U18" s="980"/>
      <c r="V18" s="980"/>
      <c r="W18" s="980"/>
      <c r="X18" s="980"/>
      <c r="Y18" s="2"/>
    </row>
    <row r="19" spans="1:25" ht="25.15" customHeight="1">
      <c r="A19" s="975"/>
      <c r="B19" s="156"/>
      <c r="C19" s="156"/>
      <c r="D19" s="156"/>
      <c r="E19" s="156"/>
      <c r="F19" s="156"/>
      <c r="G19" s="156"/>
      <c r="H19" s="156"/>
      <c r="I19" s="156"/>
      <c r="J19" s="976"/>
      <c r="K19" s="821"/>
      <c r="L19" s="979"/>
      <c r="M19" s="980"/>
      <c r="N19" s="980"/>
      <c r="O19" s="980"/>
      <c r="P19" s="980"/>
      <c r="Q19" s="980"/>
      <c r="R19" s="980"/>
      <c r="S19" s="980"/>
      <c r="T19" s="980"/>
      <c r="U19" s="980"/>
      <c r="V19" s="980"/>
      <c r="W19" s="980"/>
      <c r="X19" s="980"/>
      <c r="Y19" s="2"/>
    </row>
    <row r="20" spans="1:25" ht="25.15" customHeight="1">
      <c r="A20" s="1000"/>
      <c r="B20" s="689"/>
      <c r="C20" s="689"/>
      <c r="D20" s="689"/>
      <c r="E20" s="689"/>
      <c r="F20" s="689"/>
      <c r="G20" s="689"/>
      <c r="H20" s="689"/>
      <c r="I20" s="689"/>
      <c r="J20" s="999"/>
      <c r="K20" s="821"/>
      <c r="L20" s="1000"/>
      <c r="M20" s="689"/>
      <c r="N20" s="689"/>
      <c r="O20" s="689"/>
      <c r="P20" s="689"/>
      <c r="Q20" s="689"/>
      <c r="R20" s="689"/>
      <c r="S20" s="689"/>
      <c r="T20" s="689"/>
      <c r="U20" s="689"/>
      <c r="V20" s="689"/>
      <c r="W20" s="689"/>
      <c r="X20" s="689"/>
      <c r="Y20" s="51"/>
    </row>
    <row r="21" spans="1:25" ht="25.15" customHeight="1">
      <c r="A21" s="1001"/>
      <c r="B21" s="1002"/>
      <c r="C21" s="1002"/>
      <c r="D21" s="1002"/>
      <c r="E21" s="1004" t="s">
        <v>439</v>
      </c>
      <c r="F21" s="1002"/>
      <c r="G21" s="1002"/>
      <c r="H21" s="1002"/>
      <c r="I21" s="1002"/>
      <c r="J21" s="1002"/>
      <c r="K21" s="1003"/>
      <c r="L21" s="1002"/>
      <c r="M21" s="1002"/>
      <c r="N21" s="1350"/>
      <c r="O21" s="1357"/>
      <c r="P21" s="1350"/>
      <c r="Q21" s="1355" t="s">
        <v>1468</v>
      </c>
      <c r="R21" s="1350"/>
      <c r="S21" s="1350"/>
      <c r="T21" s="1350"/>
      <c r="U21" s="1350"/>
      <c r="V21" s="1350"/>
      <c r="W21" s="1350"/>
      <c r="X21" s="1350"/>
      <c r="Y21" s="1356"/>
    </row>
    <row r="22" spans="1:25" s="289" customFormat="1" ht="67.5" customHeight="1">
      <c r="A22" s="1046"/>
      <c r="B22" s="693" t="s">
        <v>44</v>
      </c>
      <c r="C22" s="693" t="s">
        <v>1456</v>
      </c>
      <c r="D22" s="693" t="s">
        <v>439</v>
      </c>
      <c r="E22" s="693" t="s">
        <v>440</v>
      </c>
      <c r="F22" s="693" t="s">
        <v>441</v>
      </c>
      <c r="G22" s="1047" t="s">
        <v>731</v>
      </c>
      <c r="H22" s="694" t="s">
        <v>11</v>
      </c>
      <c r="I22" s="695" t="s">
        <v>205</v>
      </c>
      <c r="J22" s="695" t="s">
        <v>443</v>
      </c>
      <c r="K22" s="695" t="s">
        <v>444</v>
      </c>
      <c r="L22" s="695" t="s">
        <v>1457</v>
      </c>
      <c r="M22" s="695" t="s">
        <v>1458</v>
      </c>
      <c r="N22" s="1048" t="s">
        <v>445</v>
      </c>
      <c r="O22" s="1351" t="s">
        <v>1466</v>
      </c>
      <c r="P22" s="1352" t="s">
        <v>442</v>
      </c>
      <c r="Q22" s="1352" t="s">
        <v>440</v>
      </c>
      <c r="R22" s="1352" t="s">
        <v>441</v>
      </c>
      <c r="S22" s="1353" t="s">
        <v>11</v>
      </c>
      <c r="T22" s="1354" t="s">
        <v>205</v>
      </c>
      <c r="U22" s="1352" t="s">
        <v>443</v>
      </c>
      <c r="V22" s="1352" t="s">
        <v>444</v>
      </c>
      <c r="W22" s="1354" t="s">
        <v>1457</v>
      </c>
      <c r="X22" s="1352" t="s">
        <v>1469</v>
      </c>
      <c r="Y22" s="1352" t="s">
        <v>445</v>
      </c>
    </row>
    <row r="23" spans="1:25" ht="50.1" customHeight="1">
      <c r="A23" s="1290">
        <v>1</v>
      </c>
      <c r="B23" s="1291">
        <f>'Proposed Lighting'!B9</f>
        <v>0</v>
      </c>
      <c r="C23" s="1291">
        <f>IF('Proposed Lighting'!M9="Sch 1","Sch 1",IF('Proposed Lighting'!M9="Sch 1-C", "Sch 1-C",IF('Proposed Lighting'!M9="Sch 2","Sch 2",IF('Proposed Lighting'!M9="Sch 2-C","Sch 2-C",IF('Proposed Lighting'!M9="Sch 3","Sch 3",IF('Proposed Lighting'!M9="Sch 3-C", "Sch 3-C",IF('Proposed Lighting'!M9="E", "E",IF('Proposed Lighting'!M9="E-C", "E-C",IF('Proposed Lighting'!M9="Dusk to Dawn","Sch D-D",IF('Proposed Lighting'!M9="Dusk to Dawn-C", "Sch DD-C",IF('Proposed Lighting'!M9="Seasonal", "SEA",IF('Proposed Lighting'!M9="Seasonal-C", "SEA-C",0))))))))))))</f>
        <v>0</v>
      </c>
      <c r="D23" s="1292">
        <f>'Proposed Lighting'!F9</f>
        <v>0</v>
      </c>
      <c r="E23" s="1293">
        <f>'Proposed Lighting'!N9</f>
        <v>0</v>
      </c>
      <c r="F23" s="996"/>
      <c r="G23" s="1294">
        <f>'Proposed Lighting'!K9</f>
        <v>0</v>
      </c>
      <c r="H23" s="1295">
        <f>IF('Proposed Lighting'!P9&gt;0.2,'Proposed Lighting'!P9,0)</f>
        <v>0</v>
      </c>
      <c r="I23" s="995">
        <f>'Proposed Lighting'!J9</f>
        <v>0</v>
      </c>
      <c r="J23" s="996"/>
      <c r="K23" s="996"/>
      <c r="L23" s="996"/>
      <c r="M23" s="996"/>
      <c r="N23" s="1005"/>
      <c r="O23" s="1296" t="str">
        <f>'Proposed Lighting'!Z9&amp;", "&amp;'Proposed Lighting'!EK9</f>
        <v xml:space="preserve">, </v>
      </c>
      <c r="P23" s="1292">
        <f>'Proposed Lighting'!T9</f>
        <v>0</v>
      </c>
      <c r="Q23" s="1293">
        <f>'Proposed Lighting'!AA9</f>
        <v>0</v>
      </c>
      <c r="R23" s="996"/>
      <c r="S23" s="1297">
        <f>IF('Proposed Lighting'!AR9=0,0,IF('Proposed Lighting'!AT9&gt;0.2,'Proposed Lighting'!AT9,0))</f>
        <v>0</v>
      </c>
      <c r="T23" s="997">
        <f>'Proposed Lighting'!X9</f>
        <v>0</v>
      </c>
      <c r="U23" s="998"/>
      <c r="V23" s="998"/>
      <c r="W23" s="1378">
        <f>IF('Proposed Lighting'!AF9=4,"WS",IF('Proposed Lighting'!AF9=5,"CM",IF('Proposed Lighting'!AF9=1.6,"PHOT",IF('Proposed Lighting'!AF9=1.5,"FM",IF('Proposed Lighting'!CT9=0.5,"LED-MS",IF('Proposed Lighting'!CB9&gt;1,"Non-S",IF('Proposed Lighting'!CT9=0.6,"LED-SS",IF('Proposed Lighting'!CT9=2,"LED-NW",IF('Proposed Lighting'!CT9=3,"LLLC",0)))))))))</f>
        <v>0</v>
      </c>
      <c r="X23" s="1293">
        <f>'Proposed Lighting'!EE9</f>
        <v>0</v>
      </c>
      <c r="Y23" s="1293">
        <f>'Proposed Lighting'!EF9</f>
        <v>0</v>
      </c>
    </row>
    <row r="24" spans="1:25" ht="50.1" customHeight="1">
      <c r="A24" s="1290">
        <v>2</v>
      </c>
      <c r="B24" s="1291">
        <f>'Proposed Lighting'!B10</f>
        <v>0</v>
      </c>
      <c r="C24" s="1291">
        <f>IF('Proposed Lighting'!M10="Sch 1","Sch 1",IF('Proposed Lighting'!M10="Sch 1-C", "Sch 1-C",IF('Proposed Lighting'!M10="Sch 2","Sch 2",IF('Proposed Lighting'!M10="Sch 2-C","Sch 2-C",IF('Proposed Lighting'!M10="Sch 3","Sch 3",IF('Proposed Lighting'!M10="Sch 3-C", "Sch 3-C",IF('Proposed Lighting'!M10="E", "E",IF('Proposed Lighting'!M10="E-C", "E-C",IF('Proposed Lighting'!M10="Dusk to Dawn","Sch D-D",IF('Proposed Lighting'!M10="Dusk to Dawn-C", "Sch DD-C",IF('Proposed Lighting'!M10="Seasonal", "SEA",IF('Proposed Lighting'!M10="Seasonal-C", "SEA-C",0))))))))))))</f>
        <v>0</v>
      </c>
      <c r="D24" s="1292">
        <f>'Proposed Lighting'!F10</f>
        <v>0</v>
      </c>
      <c r="E24" s="1293">
        <f>'Proposed Lighting'!N10</f>
        <v>0</v>
      </c>
      <c r="F24" s="996"/>
      <c r="G24" s="1294">
        <f>'Proposed Lighting'!K10</f>
        <v>0</v>
      </c>
      <c r="H24" s="1295">
        <f>IF('Proposed Lighting'!P10&gt;0.2,'Proposed Lighting'!P10,0)</f>
        <v>0</v>
      </c>
      <c r="I24" s="995">
        <f>'Proposed Lighting'!J10</f>
        <v>0</v>
      </c>
      <c r="J24" s="996"/>
      <c r="K24" s="996"/>
      <c r="L24" s="996"/>
      <c r="M24" s="996"/>
      <c r="N24" s="1005"/>
      <c r="O24" s="1296" t="str">
        <f>'Proposed Lighting'!Z10&amp;", "&amp;'Proposed Lighting'!EK10</f>
        <v xml:space="preserve">, </v>
      </c>
      <c r="P24" s="1292">
        <f>'Proposed Lighting'!T10</f>
        <v>0</v>
      </c>
      <c r="Q24" s="1293">
        <f>'Proposed Lighting'!AA10</f>
        <v>0</v>
      </c>
      <c r="R24" s="996"/>
      <c r="S24" s="1297">
        <f>IF('Proposed Lighting'!AR10=0,0,IF('Proposed Lighting'!AT10&gt;0.2,'Proposed Lighting'!AT10,0))</f>
        <v>0</v>
      </c>
      <c r="T24" s="997">
        <f>'Proposed Lighting'!X10</f>
        <v>0</v>
      </c>
      <c r="U24" s="998"/>
      <c r="V24" s="998"/>
      <c r="W24" s="1378">
        <f>IF('Proposed Lighting'!AF10=4,"WS",IF('Proposed Lighting'!AF10=5,"CM",IF('Proposed Lighting'!AF10=1.6,"PHOT",IF('Proposed Lighting'!AF10=1.5,"FM",IF('Proposed Lighting'!CT10=0.5,"LED-MS",IF('Proposed Lighting'!CB10&gt;1,"Non-S",IF('Proposed Lighting'!CT10=0.6,"LED-SS",IF('Proposed Lighting'!CT10=2,"LED-NW",IF('Proposed Lighting'!CT10=3,"LLLC",0)))))))))</f>
        <v>0</v>
      </c>
      <c r="X24" s="1293">
        <f>'Proposed Lighting'!EE10</f>
        <v>0</v>
      </c>
      <c r="Y24" s="1293">
        <f>'Proposed Lighting'!EF10</f>
        <v>0</v>
      </c>
    </row>
    <row r="25" spans="1:25" ht="50.1" customHeight="1">
      <c r="A25" s="1290">
        <v>3</v>
      </c>
      <c r="B25" s="1291">
        <f>'Proposed Lighting'!B11</f>
        <v>0</v>
      </c>
      <c r="C25" s="1291">
        <f>IF('Proposed Lighting'!M11="Sch 1","Sch 1",IF('Proposed Lighting'!M11="Sch 1-C", "Sch 1-C",IF('Proposed Lighting'!M11="Sch 2","Sch 2",IF('Proposed Lighting'!M11="Sch 2-C","Sch 2-C",IF('Proposed Lighting'!M11="Sch 3","Sch 3",IF('Proposed Lighting'!M11="Sch 3-C", "Sch 3-C",IF('Proposed Lighting'!M11="E", "E",IF('Proposed Lighting'!M11="E-C", "E-C",IF('Proposed Lighting'!M11="Dusk to Dawn","Sch D-D",IF('Proposed Lighting'!M11="Dusk to Dawn-C", "Sch DD-C",IF('Proposed Lighting'!M11="Seasonal", "SEA",IF('Proposed Lighting'!M11="Seasonal-C", "SEA-C",0))))))))))))</f>
        <v>0</v>
      </c>
      <c r="D25" s="1292">
        <f>'Proposed Lighting'!F11</f>
        <v>0</v>
      </c>
      <c r="E25" s="1293">
        <f>'Proposed Lighting'!N11</f>
        <v>0</v>
      </c>
      <c r="F25" s="996"/>
      <c r="G25" s="1294">
        <f>'Proposed Lighting'!K11</f>
        <v>0</v>
      </c>
      <c r="H25" s="1295">
        <f>IF('Proposed Lighting'!P11&gt;0.2,'Proposed Lighting'!P11,0)</f>
        <v>0</v>
      </c>
      <c r="I25" s="995">
        <f>'Proposed Lighting'!J11</f>
        <v>0</v>
      </c>
      <c r="J25" s="996"/>
      <c r="K25" s="996"/>
      <c r="L25" s="996"/>
      <c r="M25" s="996"/>
      <c r="N25" s="1005"/>
      <c r="O25" s="1296" t="str">
        <f>'Proposed Lighting'!Z11&amp;", "&amp;'Proposed Lighting'!EK11</f>
        <v xml:space="preserve">, </v>
      </c>
      <c r="P25" s="1292">
        <f>'Proposed Lighting'!T11</f>
        <v>0</v>
      </c>
      <c r="Q25" s="1293">
        <f>'Proposed Lighting'!AA11</f>
        <v>0</v>
      </c>
      <c r="R25" s="996"/>
      <c r="S25" s="1297">
        <f>IF('Proposed Lighting'!AR11=0,0,IF('Proposed Lighting'!AT11&gt;0.2,'Proposed Lighting'!AT11,0))</f>
        <v>0</v>
      </c>
      <c r="T25" s="997">
        <f>'Proposed Lighting'!X11</f>
        <v>0</v>
      </c>
      <c r="U25" s="998"/>
      <c r="V25" s="998"/>
      <c r="W25" s="1378">
        <f>IF('Proposed Lighting'!AF11=4,"WS",IF('Proposed Lighting'!AF11=5,"CM",IF('Proposed Lighting'!AF11=1.6,"PHOT",IF('Proposed Lighting'!AF11=1.5,"FM",IF('Proposed Lighting'!CT11=0.5,"LED-MS",IF('Proposed Lighting'!CB11&gt;1,"Non-S",IF('Proposed Lighting'!CT11=0.6,"LED-SS",IF('Proposed Lighting'!CT11=2,"LED-NW",IF('Proposed Lighting'!CT11=3,"LLLC",0)))))))))</f>
        <v>0</v>
      </c>
      <c r="X25" s="1293">
        <f>'Proposed Lighting'!EE11</f>
        <v>0</v>
      </c>
      <c r="Y25" s="1293">
        <f>'Proposed Lighting'!EF11</f>
        <v>0</v>
      </c>
    </row>
    <row r="26" spans="1:25" ht="51.4" customHeight="1">
      <c r="A26" s="1290">
        <v>4</v>
      </c>
      <c r="B26" s="1291">
        <f>'Proposed Lighting'!B12</f>
        <v>0</v>
      </c>
      <c r="C26" s="1291">
        <f>IF('Proposed Lighting'!M12="Sch 1","Sch 1",IF('Proposed Lighting'!M12="Sch 1-C", "Sch 1-C",IF('Proposed Lighting'!M12="Sch 2","Sch 2",IF('Proposed Lighting'!M12="Sch 2-C","Sch 2-C",IF('Proposed Lighting'!M12="Sch 3","Sch 3",IF('Proposed Lighting'!M12="Sch 3-C", "Sch 3-C",IF('Proposed Lighting'!M12="E", "E",IF('Proposed Lighting'!M12="E-C", "E-C",IF('Proposed Lighting'!M12="Dusk to Dawn","Sch D-D",IF('Proposed Lighting'!M12="Dusk to Dawn-C", "Sch DD-C",IF('Proposed Lighting'!M12="Seasonal", "SEA",IF('Proposed Lighting'!M12="Seasonal-C", "SEA-C",0))))))))))))</f>
        <v>0</v>
      </c>
      <c r="D26" s="1292">
        <f>'Proposed Lighting'!F12</f>
        <v>0</v>
      </c>
      <c r="E26" s="1293">
        <f>'Proposed Lighting'!N12</f>
        <v>0</v>
      </c>
      <c r="F26" s="996"/>
      <c r="G26" s="1294">
        <f>'Proposed Lighting'!K12</f>
        <v>0</v>
      </c>
      <c r="H26" s="1295">
        <f>IF('Proposed Lighting'!P12&gt;0.2,'Proposed Lighting'!P12,0)</f>
        <v>0</v>
      </c>
      <c r="I26" s="995">
        <f>'Proposed Lighting'!J12</f>
        <v>0</v>
      </c>
      <c r="J26" s="996"/>
      <c r="K26" s="996"/>
      <c r="L26" s="996"/>
      <c r="M26" s="996"/>
      <c r="N26" s="1005"/>
      <c r="O26" s="1296" t="str">
        <f>'Proposed Lighting'!Z12&amp;", "&amp;'Proposed Lighting'!EK12</f>
        <v xml:space="preserve">, </v>
      </c>
      <c r="P26" s="1292">
        <f>'Proposed Lighting'!T12</f>
        <v>0</v>
      </c>
      <c r="Q26" s="1293">
        <f>'Proposed Lighting'!AA12</f>
        <v>0</v>
      </c>
      <c r="R26" s="996"/>
      <c r="S26" s="1297">
        <f>IF('Proposed Lighting'!AR12=0,0,IF('Proposed Lighting'!AT12&gt;0.2,'Proposed Lighting'!AT12,0))</f>
        <v>0</v>
      </c>
      <c r="T26" s="997">
        <f>'Proposed Lighting'!X12</f>
        <v>0</v>
      </c>
      <c r="U26" s="998"/>
      <c r="V26" s="998"/>
      <c r="W26" s="1378">
        <f>IF('Proposed Lighting'!AF12=4,"WS",IF('Proposed Lighting'!AF12=5,"CM",IF('Proposed Lighting'!AF12=1.6,"PHOT",IF('Proposed Lighting'!AF12=1.5,"FM",IF('Proposed Lighting'!CT12=0.5,"LED-MS",IF('Proposed Lighting'!CB12&gt;1,"Non-S",IF('Proposed Lighting'!CT12=0.6,"LED-SS",IF('Proposed Lighting'!CT12=2,"LED-NW",IF('Proposed Lighting'!CT12=3,"LLLC",0)))))))))</f>
        <v>0</v>
      </c>
      <c r="X26" s="1293">
        <f>'Proposed Lighting'!EE12</f>
        <v>0</v>
      </c>
      <c r="Y26" s="1293">
        <f>'Proposed Lighting'!EF12</f>
        <v>0</v>
      </c>
    </row>
    <row r="27" spans="1:25" ht="50.1" customHeight="1">
      <c r="A27" s="1290">
        <v>5</v>
      </c>
      <c r="B27" s="1291">
        <f>'Proposed Lighting'!B13</f>
        <v>0</v>
      </c>
      <c r="C27" s="1291">
        <f>IF('Proposed Lighting'!M13="Sch 1","Sch 1",IF('Proposed Lighting'!M13="Sch 1-C", "Sch 1-C",IF('Proposed Lighting'!M13="Sch 2","Sch 2",IF('Proposed Lighting'!M13="Sch 2-C","Sch 2-C",IF('Proposed Lighting'!M13="Sch 3","Sch 3",IF('Proposed Lighting'!M13="Sch 3-C", "Sch 3-C",IF('Proposed Lighting'!M13="E", "E",IF('Proposed Lighting'!M13="E-C", "E-C",IF('Proposed Lighting'!M13="Dusk to Dawn","Sch D-D",IF('Proposed Lighting'!M13="Dusk to Dawn-C", "Sch DD-C",IF('Proposed Lighting'!M13="Seasonal", "SEA",IF('Proposed Lighting'!M13="Seasonal-C", "SEA-C",0))))))))))))</f>
        <v>0</v>
      </c>
      <c r="D27" s="1292">
        <f>'Proposed Lighting'!F13</f>
        <v>0</v>
      </c>
      <c r="E27" s="1293">
        <f>'Proposed Lighting'!N13</f>
        <v>0</v>
      </c>
      <c r="F27" s="996"/>
      <c r="G27" s="1294">
        <f>'Proposed Lighting'!K13</f>
        <v>0</v>
      </c>
      <c r="H27" s="1295">
        <f>IF('Proposed Lighting'!P13&gt;0.2,'Proposed Lighting'!P13,0)</f>
        <v>0</v>
      </c>
      <c r="I27" s="995">
        <f>'Proposed Lighting'!J13</f>
        <v>0</v>
      </c>
      <c r="J27" s="996"/>
      <c r="K27" s="996"/>
      <c r="L27" s="996"/>
      <c r="M27" s="996"/>
      <c r="N27" s="1005"/>
      <c r="O27" s="1296" t="str">
        <f>'Proposed Lighting'!Z13&amp;", "&amp;'Proposed Lighting'!EK13</f>
        <v xml:space="preserve">, </v>
      </c>
      <c r="P27" s="1292">
        <f>'Proposed Lighting'!T13</f>
        <v>0</v>
      </c>
      <c r="Q27" s="1293">
        <f>'Proposed Lighting'!AA13</f>
        <v>0</v>
      </c>
      <c r="R27" s="996"/>
      <c r="S27" s="1297">
        <f>IF('Proposed Lighting'!AR13=0,0,IF('Proposed Lighting'!AT13&gt;0.2,'Proposed Lighting'!AT13,0))</f>
        <v>0</v>
      </c>
      <c r="T27" s="997">
        <f>'Proposed Lighting'!X13</f>
        <v>0</v>
      </c>
      <c r="U27" s="998"/>
      <c r="V27" s="998"/>
      <c r="W27" s="1378">
        <f>IF('Proposed Lighting'!AF13=4,"WS",IF('Proposed Lighting'!AF13=5,"CM",IF('Proposed Lighting'!AF13=1.6,"PHOT",IF('Proposed Lighting'!AF13=1.5,"FM",IF('Proposed Lighting'!CT13=0.5,"LED-MS",IF('Proposed Lighting'!CB13&gt;1,"Non-S",IF('Proposed Lighting'!CT13=0.6,"LED-SS",IF('Proposed Lighting'!CT13=2,"LED-NW",IF('Proposed Lighting'!CT13=3,"LLLC",0)))))))))</f>
        <v>0</v>
      </c>
      <c r="X27" s="1293">
        <f>'Proposed Lighting'!EE13</f>
        <v>0</v>
      </c>
      <c r="Y27" s="1293">
        <f>'Proposed Lighting'!EF13</f>
        <v>0</v>
      </c>
    </row>
    <row r="28" spans="1:25" ht="50.1" customHeight="1">
      <c r="A28" s="1290">
        <v>6</v>
      </c>
      <c r="B28" s="1291">
        <f>'Proposed Lighting'!B14</f>
        <v>0</v>
      </c>
      <c r="C28" s="1291">
        <f>IF('Proposed Lighting'!M14="Sch 1","Sch 1",IF('Proposed Lighting'!M14="Sch 1-C", "Sch 1-C",IF('Proposed Lighting'!M14="Sch 2","Sch 2",IF('Proposed Lighting'!M14="Sch 2-C","Sch 2-C",IF('Proposed Lighting'!M14="Sch 3","Sch 3",IF('Proposed Lighting'!M14="Sch 3-C", "Sch 3-C",IF('Proposed Lighting'!M14="E", "E",IF('Proposed Lighting'!M14="E-C", "E-C",IF('Proposed Lighting'!M14="Dusk to Dawn","Sch D-D",IF('Proposed Lighting'!M14="Dusk to Dawn-C", "Sch DD-C",IF('Proposed Lighting'!M14="Seasonal", "SEA",IF('Proposed Lighting'!M14="Seasonal-C", "SEA-C",0))))))))))))</f>
        <v>0</v>
      </c>
      <c r="D28" s="1292">
        <f>'Proposed Lighting'!F14</f>
        <v>0</v>
      </c>
      <c r="E28" s="1293">
        <f>'Proposed Lighting'!N14</f>
        <v>0</v>
      </c>
      <c r="F28" s="996"/>
      <c r="G28" s="1294">
        <f>'Proposed Lighting'!K14</f>
        <v>0</v>
      </c>
      <c r="H28" s="1295">
        <f>IF('Proposed Lighting'!P14&gt;0.2,'Proposed Lighting'!P14,0)</f>
        <v>0</v>
      </c>
      <c r="I28" s="995">
        <f>'Proposed Lighting'!J14</f>
        <v>0</v>
      </c>
      <c r="J28" s="996"/>
      <c r="K28" s="996"/>
      <c r="L28" s="996"/>
      <c r="M28" s="996"/>
      <c r="N28" s="1005"/>
      <c r="O28" s="1296" t="str">
        <f>'Proposed Lighting'!Z14&amp;", "&amp;'Proposed Lighting'!EK14</f>
        <v xml:space="preserve">, </v>
      </c>
      <c r="P28" s="1292">
        <f>'Proposed Lighting'!T14</f>
        <v>0</v>
      </c>
      <c r="Q28" s="1293">
        <f>'Proposed Lighting'!AA14</f>
        <v>0</v>
      </c>
      <c r="R28" s="996"/>
      <c r="S28" s="1297">
        <f>IF('Proposed Lighting'!AR14=0,0,IF('Proposed Lighting'!AT14&gt;0.2,'Proposed Lighting'!AT14,0))</f>
        <v>0</v>
      </c>
      <c r="T28" s="997">
        <f>'Proposed Lighting'!X14</f>
        <v>0</v>
      </c>
      <c r="U28" s="998"/>
      <c r="V28" s="998"/>
      <c r="W28" s="1378">
        <f>IF('Proposed Lighting'!AF14=4,"WS",IF('Proposed Lighting'!AF14=5,"CM",IF('Proposed Lighting'!AF14=1.6,"PHOT",IF('Proposed Lighting'!AF14=1.5,"FM",IF('Proposed Lighting'!CT14=0.5,"LED-MS",IF('Proposed Lighting'!CB14&gt;1,"Non-S",IF('Proposed Lighting'!CT14=0.6,"LED-SS",IF('Proposed Lighting'!CT14=2,"LED-NW",IF('Proposed Lighting'!CT14=3,"LLLC",0)))))))))</f>
        <v>0</v>
      </c>
      <c r="X28" s="1293">
        <f>'Proposed Lighting'!EE14</f>
        <v>0</v>
      </c>
      <c r="Y28" s="1293">
        <f>'Proposed Lighting'!EF14</f>
        <v>0</v>
      </c>
    </row>
    <row r="29" spans="1:25" ht="50.1" customHeight="1">
      <c r="A29" s="1290">
        <v>7</v>
      </c>
      <c r="B29" s="1291">
        <f>'Proposed Lighting'!B15</f>
        <v>0</v>
      </c>
      <c r="C29" s="1291">
        <f>IF('Proposed Lighting'!M15="Sch 1","Sch 1",IF('Proposed Lighting'!M15="Sch 1-C", "Sch 1-C",IF('Proposed Lighting'!M15="Sch 2","Sch 2",IF('Proposed Lighting'!M15="Sch 2-C","Sch 2-C",IF('Proposed Lighting'!M15="Sch 3","Sch 3",IF('Proposed Lighting'!M15="Sch 3-C", "Sch 3-C",IF('Proposed Lighting'!M15="E", "E",IF('Proposed Lighting'!M15="E-C", "E-C",IF('Proposed Lighting'!M15="Dusk to Dawn","Sch D-D",IF('Proposed Lighting'!M15="Dusk to Dawn-C", "Sch DD-C",IF('Proposed Lighting'!M15="Seasonal", "SEA",IF('Proposed Lighting'!M15="Seasonal-C", "SEA-C",0))))))))))))</f>
        <v>0</v>
      </c>
      <c r="D29" s="1292">
        <f>'Proposed Lighting'!F15</f>
        <v>0</v>
      </c>
      <c r="E29" s="1293">
        <f>'Proposed Lighting'!N15</f>
        <v>0</v>
      </c>
      <c r="F29" s="996"/>
      <c r="G29" s="1294">
        <f>'Proposed Lighting'!K15</f>
        <v>0</v>
      </c>
      <c r="H29" s="1295">
        <f>IF('Proposed Lighting'!P15&gt;0.2,'Proposed Lighting'!P15,0)</f>
        <v>0</v>
      </c>
      <c r="I29" s="995">
        <f>'Proposed Lighting'!J15</f>
        <v>0</v>
      </c>
      <c r="J29" s="996"/>
      <c r="K29" s="996"/>
      <c r="L29" s="996"/>
      <c r="M29" s="996"/>
      <c r="N29" s="1005"/>
      <c r="O29" s="1296" t="str">
        <f>'Proposed Lighting'!Z15&amp;", "&amp;'Proposed Lighting'!EK15</f>
        <v xml:space="preserve">, </v>
      </c>
      <c r="P29" s="1292">
        <f>'Proposed Lighting'!T15</f>
        <v>0</v>
      </c>
      <c r="Q29" s="1293">
        <f>'Proposed Lighting'!AA15</f>
        <v>0</v>
      </c>
      <c r="R29" s="996"/>
      <c r="S29" s="1297">
        <f>IF('Proposed Lighting'!AR15=0,0,IF('Proposed Lighting'!AT15&gt;0.2,'Proposed Lighting'!AT15,0))</f>
        <v>0</v>
      </c>
      <c r="T29" s="997">
        <f>'Proposed Lighting'!X15</f>
        <v>0</v>
      </c>
      <c r="U29" s="998"/>
      <c r="V29" s="998"/>
      <c r="W29" s="1378">
        <f>IF('Proposed Lighting'!AF15=4,"WS",IF('Proposed Lighting'!AF15=5,"CM",IF('Proposed Lighting'!AF15=1.6,"PHOT",IF('Proposed Lighting'!AF15=1.5,"FM",IF('Proposed Lighting'!CT15=0.5,"LED-MS",IF('Proposed Lighting'!CB15&gt;1,"Non-S",IF('Proposed Lighting'!CT15=0.6,"LED-SS",IF('Proposed Lighting'!CT15=2,"LED-NW",IF('Proposed Lighting'!CT15=3,"LLLC",0)))))))))</f>
        <v>0</v>
      </c>
      <c r="X29" s="1293">
        <f>'Proposed Lighting'!EE15</f>
        <v>0</v>
      </c>
      <c r="Y29" s="1293">
        <f>'Proposed Lighting'!EF15</f>
        <v>0</v>
      </c>
    </row>
    <row r="30" spans="1:25" ht="50.1" customHeight="1">
      <c r="A30" s="1290">
        <v>8</v>
      </c>
      <c r="B30" s="1291">
        <f>'Proposed Lighting'!B16</f>
        <v>0</v>
      </c>
      <c r="C30" s="1291">
        <f>IF('Proposed Lighting'!M16="Sch 1","Sch 1",IF('Proposed Lighting'!M16="Sch 1-C", "Sch 1-C",IF('Proposed Lighting'!M16="Sch 2","Sch 2",IF('Proposed Lighting'!M16="Sch 2-C","Sch 2-C",IF('Proposed Lighting'!M16="Sch 3","Sch 3",IF('Proposed Lighting'!M16="Sch 3-C", "Sch 3-C",IF('Proposed Lighting'!M16="E", "E",IF('Proposed Lighting'!M16="E-C", "E-C",IF('Proposed Lighting'!M16="Dusk to Dawn","Sch D-D",IF('Proposed Lighting'!M16="Dusk to Dawn-C", "Sch DD-C",IF('Proposed Lighting'!M16="Seasonal", "SEA",IF('Proposed Lighting'!M16="Seasonal-C", "SEA-C",0))))))))))))</f>
        <v>0</v>
      </c>
      <c r="D30" s="1292">
        <f>'Proposed Lighting'!F16</f>
        <v>0</v>
      </c>
      <c r="E30" s="1293">
        <f>'Proposed Lighting'!N16</f>
        <v>0</v>
      </c>
      <c r="F30" s="996"/>
      <c r="G30" s="1294">
        <f>'Proposed Lighting'!K16</f>
        <v>0</v>
      </c>
      <c r="H30" s="1295">
        <f>IF('Proposed Lighting'!P16&gt;0.2,'Proposed Lighting'!P16,0)</f>
        <v>0</v>
      </c>
      <c r="I30" s="995">
        <f>'Proposed Lighting'!J16</f>
        <v>0</v>
      </c>
      <c r="J30" s="996"/>
      <c r="K30" s="996"/>
      <c r="L30" s="996"/>
      <c r="M30" s="996"/>
      <c r="N30" s="1005"/>
      <c r="O30" s="1296" t="str">
        <f>'Proposed Lighting'!Z16&amp;", "&amp;'Proposed Lighting'!EK16</f>
        <v xml:space="preserve">, </v>
      </c>
      <c r="P30" s="1292">
        <f>'Proposed Lighting'!T16</f>
        <v>0</v>
      </c>
      <c r="Q30" s="1293">
        <f>'Proposed Lighting'!AA16</f>
        <v>0</v>
      </c>
      <c r="R30" s="996"/>
      <c r="S30" s="1297">
        <f>IF('Proposed Lighting'!AR16=0,0,IF('Proposed Lighting'!AT16&gt;0.2,'Proposed Lighting'!AT16,0))</f>
        <v>0</v>
      </c>
      <c r="T30" s="997">
        <f>'Proposed Lighting'!X16</f>
        <v>0</v>
      </c>
      <c r="U30" s="998"/>
      <c r="V30" s="998"/>
      <c r="W30" s="1378">
        <f>IF('Proposed Lighting'!AF16=4,"WS",IF('Proposed Lighting'!AF16=5,"CM",IF('Proposed Lighting'!AF16=1.6,"PHOT",IF('Proposed Lighting'!AF16=1.5,"FM",IF('Proposed Lighting'!CT16=0.5,"LED-MS",IF('Proposed Lighting'!CB16&gt;1,"Non-S",IF('Proposed Lighting'!CT16=0.6,"LED-SS",IF('Proposed Lighting'!CT16=2,"LED-NW",IF('Proposed Lighting'!CT16=3,"LLLC",0)))))))))</f>
        <v>0</v>
      </c>
      <c r="X30" s="1293">
        <f>'Proposed Lighting'!EE16</f>
        <v>0</v>
      </c>
      <c r="Y30" s="1293">
        <f>'Proposed Lighting'!EF16</f>
        <v>0</v>
      </c>
    </row>
    <row r="31" spans="1:25" ht="50.1" customHeight="1">
      <c r="A31" s="1290">
        <v>9</v>
      </c>
      <c r="B31" s="1291">
        <f>'Proposed Lighting'!B17</f>
        <v>0</v>
      </c>
      <c r="C31" s="1291">
        <f>IF('Proposed Lighting'!M17="Sch 1","Sch 1",IF('Proposed Lighting'!M17="Sch 1-C", "Sch 1-C",IF('Proposed Lighting'!M17="Sch 2","Sch 2",IF('Proposed Lighting'!M17="Sch 2-C","Sch 2-C",IF('Proposed Lighting'!M17="Sch 3","Sch 3",IF('Proposed Lighting'!M17="Sch 3-C", "Sch 3-C",IF('Proposed Lighting'!M17="E", "E",IF('Proposed Lighting'!M17="E-C", "E-C",IF('Proposed Lighting'!M17="Dusk to Dawn","Sch D-D",IF('Proposed Lighting'!M17="Dusk to Dawn-C", "Sch DD-C",IF('Proposed Lighting'!M17="Seasonal", "SEA",IF('Proposed Lighting'!M17="Seasonal-C", "SEA-C",0))))))))))))</f>
        <v>0</v>
      </c>
      <c r="D31" s="1292">
        <f>'Proposed Lighting'!F17</f>
        <v>0</v>
      </c>
      <c r="E31" s="1293">
        <f>'Proposed Lighting'!N17</f>
        <v>0</v>
      </c>
      <c r="F31" s="996"/>
      <c r="G31" s="1294">
        <f>'Proposed Lighting'!K17</f>
        <v>0</v>
      </c>
      <c r="H31" s="1295">
        <f>IF('Proposed Lighting'!P17&gt;0.2,'Proposed Lighting'!P17,0)</f>
        <v>0</v>
      </c>
      <c r="I31" s="995">
        <f>'Proposed Lighting'!J17</f>
        <v>0</v>
      </c>
      <c r="J31" s="996"/>
      <c r="K31" s="996"/>
      <c r="L31" s="996"/>
      <c r="M31" s="996"/>
      <c r="N31" s="1005"/>
      <c r="O31" s="1296" t="str">
        <f>'Proposed Lighting'!Z17&amp;", "&amp;'Proposed Lighting'!EK17</f>
        <v xml:space="preserve">, </v>
      </c>
      <c r="P31" s="1292">
        <f>'Proposed Lighting'!T17</f>
        <v>0</v>
      </c>
      <c r="Q31" s="1293">
        <f>'Proposed Lighting'!AA17</f>
        <v>0</v>
      </c>
      <c r="R31" s="996"/>
      <c r="S31" s="1297">
        <f>IF('Proposed Lighting'!AR17=0,0,IF('Proposed Lighting'!AT17&gt;0.2,'Proposed Lighting'!AT17,0))</f>
        <v>0</v>
      </c>
      <c r="T31" s="997">
        <f>'Proposed Lighting'!X17</f>
        <v>0</v>
      </c>
      <c r="U31" s="998"/>
      <c r="V31" s="998"/>
      <c r="W31" s="1378">
        <f>IF('Proposed Lighting'!AF17=4,"WS",IF('Proposed Lighting'!AF17=5,"CM",IF('Proposed Lighting'!AF17=1.6,"PHOT",IF('Proposed Lighting'!AF17=1.5,"FM",IF('Proposed Lighting'!CT17=0.5,"LED-MS",IF('Proposed Lighting'!CB17&gt;1,"Non-S",IF('Proposed Lighting'!CT17=0.6,"LED-SS",IF('Proposed Lighting'!CT17=2,"LED-NW",IF('Proposed Lighting'!CT17=3,"LLLC",0)))))))))</f>
        <v>0</v>
      </c>
      <c r="X31" s="1293">
        <f>'Proposed Lighting'!EE17</f>
        <v>0</v>
      </c>
      <c r="Y31" s="1293">
        <f>'Proposed Lighting'!EF17</f>
        <v>0</v>
      </c>
    </row>
    <row r="32" spans="1:25" ht="50.1" customHeight="1">
      <c r="A32" s="1290">
        <v>10</v>
      </c>
      <c r="B32" s="1291">
        <f>'Proposed Lighting'!B18</f>
        <v>0</v>
      </c>
      <c r="C32" s="1291">
        <f>IF('Proposed Lighting'!M18="Sch 1","Sch 1",IF('Proposed Lighting'!M18="Sch 1-C", "Sch 1-C",IF('Proposed Lighting'!M18="Sch 2","Sch 2",IF('Proposed Lighting'!M18="Sch 2-C","Sch 2-C",IF('Proposed Lighting'!M18="Sch 3","Sch 3",IF('Proposed Lighting'!M18="Sch 3-C", "Sch 3-C",IF('Proposed Lighting'!M18="E", "E",IF('Proposed Lighting'!M18="E-C", "E-C",IF('Proposed Lighting'!M18="Dusk to Dawn","Sch D-D",IF('Proposed Lighting'!M18="Dusk to Dawn-C", "Sch DD-C",IF('Proposed Lighting'!M18="Seasonal", "SEA",IF('Proposed Lighting'!M18="Seasonal-C", "SEA-C",0))))))))))))</f>
        <v>0</v>
      </c>
      <c r="D32" s="1292">
        <f>'Proposed Lighting'!F18</f>
        <v>0</v>
      </c>
      <c r="E32" s="1293">
        <f>'Proposed Lighting'!N18</f>
        <v>0</v>
      </c>
      <c r="F32" s="996"/>
      <c r="G32" s="1294">
        <f>'Proposed Lighting'!K18</f>
        <v>0</v>
      </c>
      <c r="H32" s="1295">
        <f>IF('Proposed Lighting'!P18&gt;0.2,'Proposed Lighting'!P18,0)</f>
        <v>0</v>
      </c>
      <c r="I32" s="995">
        <f>'Proposed Lighting'!J18</f>
        <v>0</v>
      </c>
      <c r="J32" s="996"/>
      <c r="K32" s="996"/>
      <c r="L32" s="996"/>
      <c r="M32" s="996"/>
      <c r="N32" s="1005"/>
      <c r="O32" s="1296" t="str">
        <f>'Proposed Lighting'!Z18&amp;", "&amp;'Proposed Lighting'!EK18</f>
        <v xml:space="preserve">, </v>
      </c>
      <c r="P32" s="1292">
        <f>'Proposed Lighting'!T18</f>
        <v>0</v>
      </c>
      <c r="Q32" s="1293">
        <f>'Proposed Lighting'!AA18</f>
        <v>0</v>
      </c>
      <c r="R32" s="996"/>
      <c r="S32" s="1297">
        <f>IF('Proposed Lighting'!AR18=0,0,IF('Proposed Lighting'!AT18&gt;0.2,'Proposed Lighting'!AT18,0))</f>
        <v>0</v>
      </c>
      <c r="T32" s="997">
        <f>'Proposed Lighting'!X18</f>
        <v>0</v>
      </c>
      <c r="U32" s="998"/>
      <c r="V32" s="998"/>
      <c r="W32" s="1378">
        <f>IF('Proposed Lighting'!AF18=4,"WS",IF('Proposed Lighting'!AF18=5,"CM",IF('Proposed Lighting'!AF18=1.6,"PHOT",IF('Proposed Lighting'!AF18=1.5,"FM",IF('Proposed Lighting'!CT18=0.5,"LED-MS",IF('Proposed Lighting'!CB18&gt;1,"Non-S",IF('Proposed Lighting'!CT18=0.6,"LED-SS",IF('Proposed Lighting'!CT18=2,"LED-NW",IF('Proposed Lighting'!CT18=3,"LLLC",0)))))))))</f>
        <v>0</v>
      </c>
      <c r="X32" s="1293">
        <f>'Proposed Lighting'!EE18</f>
        <v>0</v>
      </c>
      <c r="Y32" s="1293">
        <f>'Proposed Lighting'!EF18</f>
        <v>0</v>
      </c>
    </row>
    <row r="33" spans="1:25" ht="50.1" customHeight="1">
      <c r="A33" s="1290">
        <v>11</v>
      </c>
      <c r="B33" s="1291">
        <f>'Proposed Lighting'!B19</f>
        <v>0</v>
      </c>
      <c r="C33" s="1291">
        <f>IF('Proposed Lighting'!M19="Sch 1","Sch 1",IF('Proposed Lighting'!M19="Sch 1-C", "Sch 1-C",IF('Proposed Lighting'!M19="Sch 2","Sch 2",IF('Proposed Lighting'!M19="Sch 2-C","Sch 2-C",IF('Proposed Lighting'!M19="Sch 3","Sch 3",IF('Proposed Lighting'!M19="Sch 3-C", "Sch 3-C",IF('Proposed Lighting'!M19="E", "E",IF('Proposed Lighting'!M19="E-C", "E-C",IF('Proposed Lighting'!M19="Dusk to Dawn","Sch D-D",IF('Proposed Lighting'!M19="Dusk to Dawn-C", "Sch DD-C",IF('Proposed Lighting'!M19="Seasonal", "SEA",IF('Proposed Lighting'!M19="Seasonal-C", "SEA-C",0))))))))))))</f>
        <v>0</v>
      </c>
      <c r="D33" s="1292">
        <f>'Proposed Lighting'!F19</f>
        <v>0</v>
      </c>
      <c r="E33" s="1293">
        <f>'Proposed Lighting'!N19</f>
        <v>0</v>
      </c>
      <c r="F33" s="996"/>
      <c r="G33" s="1294">
        <f>'Proposed Lighting'!K19</f>
        <v>0</v>
      </c>
      <c r="H33" s="1295">
        <f>IF('Proposed Lighting'!P19&gt;0.2,'Proposed Lighting'!P19,0)</f>
        <v>0</v>
      </c>
      <c r="I33" s="995">
        <f>'Proposed Lighting'!J19</f>
        <v>0</v>
      </c>
      <c r="J33" s="996"/>
      <c r="K33" s="996"/>
      <c r="L33" s="996"/>
      <c r="M33" s="996"/>
      <c r="N33" s="1005"/>
      <c r="O33" s="1296" t="str">
        <f>'Proposed Lighting'!Z19&amp;", "&amp;'Proposed Lighting'!EK19</f>
        <v xml:space="preserve">, </v>
      </c>
      <c r="P33" s="1292">
        <f>'Proposed Lighting'!T19</f>
        <v>0</v>
      </c>
      <c r="Q33" s="1293">
        <f>'Proposed Lighting'!AA19</f>
        <v>0</v>
      </c>
      <c r="R33" s="996"/>
      <c r="S33" s="1297">
        <f>IF('Proposed Lighting'!AR19=0,0,IF('Proposed Lighting'!AT19&gt;0.2,'Proposed Lighting'!AT19,0))</f>
        <v>0</v>
      </c>
      <c r="T33" s="997">
        <f>'Proposed Lighting'!X19</f>
        <v>0</v>
      </c>
      <c r="U33" s="998"/>
      <c r="V33" s="998"/>
      <c r="W33" s="1378">
        <f>IF('Proposed Lighting'!AF19=4,"WS",IF('Proposed Lighting'!AF19=5,"CM",IF('Proposed Lighting'!AF19=1.6,"PHOT",IF('Proposed Lighting'!AF19=1.5,"FM",IF('Proposed Lighting'!CT19=0.5,"LED-MS",IF('Proposed Lighting'!CB19&gt;1,"Non-S",IF('Proposed Lighting'!CT19=0.6,"LED-SS",IF('Proposed Lighting'!CT19=2,"LED-NW",IF('Proposed Lighting'!CT19=3,"LLLC",0)))))))))</f>
        <v>0</v>
      </c>
      <c r="X33" s="1293">
        <f>'Proposed Lighting'!EE19</f>
        <v>0</v>
      </c>
      <c r="Y33" s="1293">
        <f>'Proposed Lighting'!EF19</f>
        <v>0</v>
      </c>
    </row>
    <row r="34" spans="1:25" ht="50.1" customHeight="1">
      <c r="A34" s="1290">
        <v>12</v>
      </c>
      <c r="B34" s="1291">
        <f>'Proposed Lighting'!B20</f>
        <v>0</v>
      </c>
      <c r="C34" s="1291">
        <f>IF('Proposed Lighting'!M20="Sch 1","Sch 1",IF('Proposed Lighting'!M20="Sch 1-C", "Sch 1-C",IF('Proposed Lighting'!M20="Sch 2","Sch 2",IF('Proposed Lighting'!M20="Sch 2-C","Sch 2-C",IF('Proposed Lighting'!M20="Sch 3","Sch 3",IF('Proposed Lighting'!M20="Sch 3-C", "Sch 3-C",IF('Proposed Lighting'!M20="E", "E",IF('Proposed Lighting'!M20="E-C", "E-C",IF('Proposed Lighting'!M20="Dusk to Dawn","Sch D-D",IF('Proposed Lighting'!M20="Dusk to Dawn-C", "Sch DD-C",IF('Proposed Lighting'!M20="Seasonal", "SEA",IF('Proposed Lighting'!M20="Seasonal-C", "SEA-C",0))))))))))))</f>
        <v>0</v>
      </c>
      <c r="D34" s="1292">
        <f>'Proposed Lighting'!F20</f>
        <v>0</v>
      </c>
      <c r="E34" s="1293">
        <f>'Proposed Lighting'!N20</f>
        <v>0</v>
      </c>
      <c r="F34" s="996"/>
      <c r="G34" s="1294">
        <f>'Proposed Lighting'!K20</f>
        <v>0</v>
      </c>
      <c r="H34" s="1295">
        <f>IF('Proposed Lighting'!P20&gt;0.2,'Proposed Lighting'!P20,0)</f>
        <v>0</v>
      </c>
      <c r="I34" s="995">
        <f>'Proposed Lighting'!J20</f>
        <v>0</v>
      </c>
      <c r="J34" s="996"/>
      <c r="K34" s="996"/>
      <c r="L34" s="996"/>
      <c r="M34" s="996"/>
      <c r="N34" s="1005"/>
      <c r="O34" s="1296" t="str">
        <f>'Proposed Lighting'!Z20&amp;", "&amp;'Proposed Lighting'!EK20</f>
        <v xml:space="preserve">, </v>
      </c>
      <c r="P34" s="1292">
        <f>'Proposed Lighting'!T20</f>
        <v>0</v>
      </c>
      <c r="Q34" s="1293">
        <f>'Proposed Lighting'!AA20</f>
        <v>0</v>
      </c>
      <c r="R34" s="996"/>
      <c r="S34" s="1297">
        <f>IF('Proposed Lighting'!AR20=0,0,IF('Proposed Lighting'!AT20&gt;0.2,'Proposed Lighting'!AT20,0))</f>
        <v>0</v>
      </c>
      <c r="T34" s="997">
        <f>'Proposed Lighting'!X20</f>
        <v>0</v>
      </c>
      <c r="U34" s="998"/>
      <c r="V34" s="998"/>
      <c r="W34" s="1378">
        <f>IF('Proposed Lighting'!AF20=4,"WS",IF('Proposed Lighting'!AF20=5,"CM",IF('Proposed Lighting'!AF20=1.6,"PHOT",IF('Proposed Lighting'!AF20=1.5,"FM",IF('Proposed Lighting'!CT20=0.5,"LED-MS",IF('Proposed Lighting'!CB20&gt;1,"Non-S",IF('Proposed Lighting'!CT20=0.6,"LED-SS",IF('Proposed Lighting'!CT20=2,"LED-NW",IF('Proposed Lighting'!CT20=3,"LLLC",0)))))))))</f>
        <v>0</v>
      </c>
      <c r="X34" s="1293">
        <f>'Proposed Lighting'!EE20</f>
        <v>0</v>
      </c>
      <c r="Y34" s="1293">
        <f>'Proposed Lighting'!EF20</f>
        <v>0</v>
      </c>
    </row>
    <row r="35" spans="1:25" ht="50.1" customHeight="1">
      <c r="A35" s="1290">
        <v>13</v>
      </c>
      <c r="B35" s="1291">
        <f>'Proposed Lighting'!B21</f>
        <v>0</v>
      </c>
      <c r="C35" s="1291">
        <f>IF('Proposed Lighting'!M21="Sch 1","Sch 1",IF('Proposed Lighting'!M21="Sch 1-C", "Sch 1-C",IF('Proposed Lighting'!M21="Sch 2","Sch 2",IF('Proposed Lighting'!M21="Sch 2-C","Sch 2-C",IF('Proposed Lighting'!M21="Sch 3","Sch 3",IF('Proposed Lighting'!M21="Sch 3-C", "Sch 3-C",IF('Proposed Lighting'!M21="E", "E",IF('Proposed Lighting'!M21="E-C", "E-C",IF('Proposed Lighting'!M21="Dusk to Dawn","Sch D-D",IF('Proposed Lighting'!M21="Dusk to Dawn-C", "Sch DD-C",IF('Proposed Lighting'!M21="Seasonal", "SEA",IF('Proposed Lighting'!M21="Seasonal-C", "SEA-C",0))))))))))))</f>
        <v>0</v>
      </c>
      <c r="D35" s="1292">
        <f>'Proposed Lighting'!F21</f>
        <v>0</v>
      </c>
      <c r="E35" s="1293">
        <f>'Proposed Lighting'!N21</f>
        <v>0</v>
      </c>
      <c r="F35" s="996"/>
      <c r="G35" s="1294">
        <f>'Proposed Lighting'!K21</f>
        <v>0</v>
      </c>
      <c r="H35" s="1295">
        <f>IF('Proposed Lighting'!P21&gt;0.2,'Proposed Lighting'!P21,0)</f>
        <v>0</v>
      </c>
      <c r="I35" s="995">
        <f>'Proposed Lighting'!J21</f>
        <v>0</v>
      </c>
      <c r="J35" s="996"/>
      <c r="K35" s="996"/>
      <c r="L35" s="996"/>
      <c r="M35" s="996"/>
      <c r="N35" s="1005"/>
      <c r="O35" s="1296" t="str">
        <f>'Proposed Lighting'!Z21&amp;", "&amp;'Proposed Lighting'!EK21</f>
        <v xml:space="preserve">, </v>
      </c>
      <c r="P35" s="1292">
        <f>'Proposed Lighting'!T21</f>
        <v>0</v>
      </c>
      <c r="Q35" s="1293">
        <f>'Proposed Lighting'!AA21</f>
        <v>0</v>
      </c>
      <c r="R35" s="996"/>
      <c r="S35" s="1297">
        <f>IF('Proposed Lighting'!AR21=0,0,IF('Proposed Lighting'!AT21&gt;0.2,'Proposed Lighting'!AT21,0))</f>
        <v>0</v>
      </c>
      <c r="T35" s="997">
        <f>'Proposed Lighting'!X21</f>
        <v>0</v>
      </c>
      <c r="U35" s="998"/>
      <c r="V35" s="998"/>
      <c r="W35" s="1378">
        <f>IF('Proposed Lighting'!AF21=4,"WS",IF('Proposed Lighting'!AF21=5,"CM",IF('Proposed Lighting'!AF21=1.6,"PHOT",IF('Proposed Lighting'!AF21=1.5,"FM",IF('Proposed Lighting'!CT21=0.5,"LED-MS",IF('Proposed Lighting'!CB21&gt;1,"Non-S",IF('Proposed Lighting'!CT21=0.6,"LED-SS",IF('Proposed Lighting'!CT21=2,"LED-NW",IF('Proposed Lighting'!CT21=3,"LLLC",0)))))))))</f>
        <v>0</v>
      </c>
      <c r="X35" s="1293">
        <f>'Proposed Lighting'!EE21</f>
        <v>0</v>
      </c>
      <c r="Y35" s="1293">
        <f>'Proposed Lighting'!EF21</f>
        <v>0</v>
      </c>
    </row>
    <row r="36" spans="1:25" ht="50.1" customHeight="1">
      <c r="A36" s="1290">
        <v>14</v>
      </c>
      <c r="B36" s="1291">
        <f>'Proposed Lighting'!B22</f>
        <v>0</v>
      </c>
      <c r="C36" s="1291">
        <f>IF('Proposed Lighting'!M22="Sch 1","Sch 1",IF('Proposed Lighting'!M22="Sch 1-C", "Sch 1-C",IF('Proposed Lighting'!M22="Sch 2","Sch 2",IF('Proposed Lighting'!M22="Sch 2-C","Sch 2-C",IF('Proposed Lighting'!M22="Sch 3","Sch 3",IF('Proposed Lighting'!M22="Sch 3-C", "Sch 3-C",IF('Proposed Lighting'!M22="E", "E",IF('Proposed Lighting'!M22="E-C", "E-C",IF('Proposed Lighting'!M22="Dusk to Dawn","Sch D-D",IF('Proposed Lighting'!M22="Dusk to Dawn-C", "Sch DD-C",IF('Proposed Lighting'!M22="Seasonal", "SEA",IF('Proposed Lighting'!M22="Seasonal-C", "SEA-C",0))))))))))))</f>
        <v>0</v>
      </c>
      <c r="D36" s="1292">
        <f>'Proposed Lighting'!F22</f>
        <v>0</v>
      </c>
      <c r="E36" s="1293">
        <f>'Proposed Lighting'!N22</f>
        <v>0</v>
      </c>
      <c r="F36" s="996"/>
      <c r="G36" s="1294">
        <f>'Proposed Lighting'!K22</f>
        <v>0</v>
      </c>
      <c r="H36" s="1295">
        <f>IF('Proposed Lighting'!P22&gt;0.2,'Proposed Lighting'!P22,0)</f>
        <v>0</v>
      </c>
      <c r="I36" s="995">
        <f>'Proposed Lighting'!J22</f>
        <v>0</v>
      </c>
      <c r="J36" s="996"/>
      <c r="K36" s="996"/>
      <c r="L36" s="996"/>
      <c r="M36" s="996"/>
      <c r="N36" s="1005"/>
      <c r="O36" s="1296" t="str">
        <f>'Proposed Lighting'!Z22&amp;", "&amp;'Proposed Lighting'!EK22</f>
        <v xml:space="preserve">, </v>
      </c>
      <c r="P36" s="1292">
        <f>'Proposed Lighting'!T22</f>
        <v>0</v>
      </c>
      <c r="Q36" s="1293">
        <f>'Proposed Lighting'!AA22</f>
        <v>0</v>
      </c>
      <c r="R36" s="996"/>
      <c r="S36" s="1297">
        <f>IF('Proposed Lighting'!AR22=0,0,IF('Proposed Lighting'!AT22&gt;0.2,'Proposed Lighting'!AT22,0))</f>
        <v>0</v>
      </c>
      <c r="T36" s="997">
        <f>'Proposed Lighting'!X22</f>
        <v>0</v>
      </c>
      <c r="U36" s="998"/>
      <c r="V36" s="998"/>
      <c r="W36" s="1378">
        <f>IF('Proposed Lighting'!AF22=4,"WS",IF('Proposed Lighting'!AF22=5,"CM",IF('Proposed Lighting'!AF22=1.6,"PHOT",IF('Proposed Lighting'!AF22=1.5,"FM",IF('Proposed Lighting'!CT22=0.5,"LED-MS",IF('Proposed Lighting'!CB22&gt;1,"Non-S",IF('Proposed Lighting'!CT22=0.6,"LED-SS",IF('Proposed Lighting'!CT22=2,"LED-NW",IF('Proposed Lighting'!CT22=3,"LLLC",0)))))))))</f>
        <v>0</v>
      </c>
      <c r="X36" s="1293">
        <f>'Proposed Lighting'!EE22</f>
        <v>0</v>
      </c>
      <c r="Y36" s="1293">
        <f>'Proposed Lighting'!EF22</f>
        <v>0</v>
      </c>
    </row>
    <row r="37" spans="1:25" ht="50.1" customHeight="1">
      <c r="A37" s="1290">
        <v>15</v>
      </c>
      <c r="B37" s="1291">
        <f>'Proposed Lighting'!B23</f>
        <v>0</v>
      </c>
      <c r="C37" s="1291">
        <f>IF('Proposed Lighting'!M23="Sch 1","Sch 1",IF('Proposed Lighting'!M23="Sch 1-C", "Sch 1-C",IF('Proposed Lighting'!M23="Sch 2","Sch 2",IF('Proposed Lighting'!M23="Sch 2-C","Sch 2-C",IF('Proposed Lighting'!M23="Sch 3","Sch 3",IF('Proposed Lighting'!M23="Sch 3-C", "Sch 3-C",IF('Proposed Lighting'!M23="E", "E",IF('Proposed Lighting'!M23="E-C", "E-C",IF('Proposed Lighting'!M23="Dusk to Dawn","Sch D-D",IF('Proposed Lighting'!M23="Dusk to Dawn-C", "Sch DD-C",IF('Proposed Lighting'!M23="Seasonal", "SEA",IF('Proposed Lighting'!M23="Seasonal-C", "SEA-C",0))))))))))))</f>
        <v>0</v>
      </c>
      <c r="D37" s="1292">
        <f>'Proposed Lighting'!F23</f>
        <v>0</v>
      </c>
      <c r="E37" s="1293">
        <f>'Proposed Lighting'!N23</f>
        <v>0</v>
      </c>
      <c r="F37" s="996"/>
      <c r="G37" s="1294">
        <f>'Proposed Lighting'!K23</f>
        <v>0</v>
      </c>
      <c r="H37" s="1295">
        <f>IF('Proposed Lighting'!P23&gt;0.2,'Proposed Lighting'!P23,0)</f>
        <v>0</v>
      </c>
      <c r="I37" s="995">
        <f>'Proposed Lighting'!J23</f>
        <v>0</v>
      </c>
      <c r="J37" s="996"/>
      <c r="K37" s="996"/>
      <c r="L37" s="996"/>
      <c r="M37" s="996"/>
      <c r="N37" s="1005"/>
      <c r="O37" s="1296" t="str">
        <f>'Proposed Lighting'!Z23&amp;", "&amp;'Proposed Lighting'!EK23</f>
        <v xml:space="preserve">, </v>
      </c>
      <c r="P37" s="1292">
        <f>'Proposed Lighting'!T23</f>
        <v>0</v>
      </c>
      <c r="Q37" s="1293">
        <f>'Proposed Lighting'!AA23</f>
        <v>0</v>
      </c>
      <c r="R37" s="996"/>
      <c r="S37" s="1297">
        <f>IF('Proposed Lighting'!AR23=0,0,IF('Proposed Lighting'!AT23&gt;0.2,'Proposed Lighting'!AT23,0))</f>
        <v>0</v>
      </c>
      <c r="T37" s="997">
        <f>'Proposed Lighting'!X23</f>
        <v>0</v>
      </c>
      <c r="U37" s="998"/>
      <c r="V37" s="998"/>
      <c r="W37" s="1378">
        <f>IF('Proposed Lighting'!AF23=4,"WS",IF('Proposed Lighting'!AF23=5,"CM",IF('Proposed Lighting'!AF23=1.6,"PHOT",IF('Proposed Lighting'!AF23=1.5,"FM",IF('Proposed Lighting'!CT23=0.5,"LED-MS",IF('Proposed Lighting'!CB23&gt;1,"Non-S",IF('Proposed Lighting'!CT23=0.6,"LED-SS",IF('Proposed Lighting'!CT23=2,"LED-NW",IF('Proposed Lighting'!CT23=3,"LLLC",0)))))))))</f>
        <v>0</v>
      </c>
      <c r="X37" s="1293">
        <f>'Proposed Lighting'!EE23</f>
        <v>0</v>
      </c>
      <c r="Y37" s="1293">
        <f>'Proposed Lighting'!EF23</f>
        <v>0</v>
      </c>
    </row>
    <row r="38" spans="1:25" ht="50.1" customHeight="1">
      <c r="A38" s="1290">
        <v>16</v>
      </c>
      <c r="B38" s="1291">
        <f>'Proposed Lighting'!B24</f>
        <v>0</v>
      </c>
      <c r="C38" s="1291">
        <f>IF('Proposed Lighting'!M24="Sch 1","Sch 1",IF('Proposed Lighting'!M24="Sch 1-C", "Sch 1-C",IF('Proposed Lighting'!M24="Sch 2","Sch 2",IF('Proposed Lighting'!M24="Sch 2-C","Sch 2-C",IF('Proposed Lighting'!M24="Sch 3","Sch 3",IF('Proposed Lighting'!M24="Sch 3-C", "Sch 3-C",IF('Proposed Lighting'!M24="E", "E",IF('Proposed Lighting'!M24="E-C", "E-C",IF('Proposed Lighting'!M24="Dusk to Dawn","Sch D-D",IF('Proposed Lighting'!M24="Dusk to Dawn-C", "Sch DD-C",IF('Proposed Lighting'!M24="Seasonal", "SEA",IF('Proposed Lighting'!M24="Seasonal-C", "SEA-C",0))))))))))))</f>
        <v>0</v>
      </c>
      <c r="D38" s="1292">
        <f>'Proposed Lighting'!F24</f>
        <v>0</v>
      </c>
      <c r="E38" s="1293">
        <f>'Proposed Lighting'!N24</f>
        <v>0</v>
      </c>
      <c r="F38" s="996"/>
      <c r="G38" s="1294">
        <f>'Proposed Lighting'!K24</f>
        <v>0</v>
      </c>
      <c r="H38" s="1295">
        <f>IF('Proposed Lighting'!P24&gt;0.2,'Proposed Lighting'!P24,0)</f>
        <v>0</v>
      </c>
      <c r="I38" s="995">
        <f>'Proposed Lighting'!J24</f>
        <v>0</v>
      </c>
      <c r="J38" s="996"/>
      <c r="K38" s="996"/>
      <c r="L38" s="996"/>
      <c r="M38" s="996"/>
      <c r="N38" s="1005"/>
      <c r="O38" s="1296" t="str">
        <f>'Proposed Lighting'!Z24&amp;", "&amp;'Proposed Lighting'!EK24</f>
        <v xml:space="preserve">, </v>
      </c>
      <c r="P38" s="1292">
        <f>'Proposed Lighting'!T24</f>
        <v>0</v>
      </c>
      <c r="Q38" s="1293">
        <f>'Proposed Lighting'!AA24</f>
        <v>0</v>
      </c>
      <c r="R38" s="996"/>
      <c r="S38" s="1297">
        <f>IF('Proposed Lighting'!AR24=0,0,IF('Proposed Lighting'!AT24&gt;0.2,'Proposed Lighting'!AT24,0))</f>
        <v>0</v>
      </c>
      <c r="T38" s="997">
        <f>'Proposed Lighting'!X24</f>
        <v>0</v>
      </c>
      <c r="U38" s="998"/>
      <c r="V38" s="998"/>
      <c r="W38" s="1378">
        <f>IF('Proposed Lighting'!AF24=4,"WS",IF('Proposed Lighting'!AF24=5,"CM",IF('Proposed Lighting'!AF24=1.6,"PHOT",IF('Proposed Lighting'!AF24=1.5,"FM",IF('Proposed Lighting'!CT24=0.5,"LED-MS",IF('Proposed Lighting'!CB24&gt;1,"Non-S",IF('Proposed Lighting'!CT24=0.6,"LED-SS",IF('Proposed Lighting'!CT24=2,"LED-NW",IF('Proposed Lighting'!CT24=3,"LLLC",0)))))))))</f>
        <v>0</v>
      </c>
      <c r="X38" s="1293">
        <f>'Proposed Lighting'!EE24</f>
        <v>0</v>
      </c>
      <c r="Y38" s="1293">
        <f>'Proposed Lighting'!EF24</f>
        <v>0</v>
      </c>
    </row>
    <row r="39" spans="1:25" ht="50.1" customHeight="1">
      <c r="A39" s="1290">
        <v>17</v>
      </c>
      <c r="B39" s="1291">
        <f>'Proposed Lighting'!B25</f>
        <v>0</v>
      </c>
      <c r="C39" s="1291">
        <f>IF('Proposed Lighting'!M25="Sch 1","Sch 1",IF('Proposed Lighting'!M25="Sch 1-C", "Sch 1-C",IF('Proposed Lighting'!M25="Sch 2","Sch 2",IF('Proposed Lighting'!M25="Sch 2-C","Sch 2-C",IF('Proposed Lighting'!M25="Sch 3","Sch 3",IF('Proposed Lighting'!M25="Sch 3-C", "Sch 3-C",IF('Proposed Lighting'!M25="E", "E",IF('Proposed Lighting'!M25="E-C", "E-C",IF('Proposed Lighting'!M25="Dusk to Dawn","Sch D-D",IF('Proposed Lighting'!M25="Dusk to Dawn-C", "Sch DD-C",IF('Proposed Lighting'!M25="Seasonal", "SEA",IF('Proposed Lighting'!M25="Seasonal-C", "SEA-C",0))))))))))))</f>
        <v>0</v>
      </c>
      <c r="D39" s="1292">
        <f>'Proposed Lighting'!F25</f>
        <v>0</v>
      </c>
      <c r="E39" s="1293">
        <f>'Proposed Lighting'!N25</f>
        <v>0</v>
      </c>
      <c r="F39" s="996"/>
      <c r="G39" s="1294">
        <f>'Proposed Lighting'!K25</f>
        <v>0</v>
      </c>
      <c r="H39" s="1295">
        <f>IF('Proposed Lighting'!P25&gt;0.2,'Proposed Lighting'!P25,0)</f>
        <v>0</v>
      </c>
      <c r="I39" s="995">
        <f>'Proposed Lighting'!J25</f>
        <v>0</v>
      </c>
      <c r="J39" s="996"/>
      <c r="K39" s="996"/>
      <c r="L39" s="996"/>
      <c r="M39" s="996"/>
      <c r="N39" s="1005"/>
      <c r="O39" s="1296" t="str">
        <f>'Proposed Lighting'!Z25&amp;", "&amp;'Proposed Lighting'!EK25</f>
        <v xml:space="preserve">, </v>
      </c>
      <c r="P39" s="1292">
        <f>'Proposed Lighting'!T25</f>
        <v>0</v>
      </c>
      <c r="Q39" s="1293">
        <f>'Proposed Lighting'!AA25</f>
        <v>0</v>
      </c>
      <c r="R39" s="996"/>
      <c r="S39" s="1297">
        <f>IF('Proposed Lighting'!AR25=0,0,IF('Proposed Lighting'!AT25&gt;0.2,'Proposed Lighting'!AT25,0))</f>
        <v>0</v>
      </c>
      <c r="T39" s="997">
        <f>'Proposed Lighting'!X25</f>
        <v>0</v>
      </c>
      <c r="U39" s="998"/>
      <c r="V39" s="998"/>
      <c r="W39" s="1378">
        <f>IF('Proposed Lighting'!AF25=4,"WS",IF('Proposed Lighting'!AF25=5,"CM",IF('Proposed Lighting'!AF25=1.6,"PHOT",IF('Proposed Lighting'!AF25=1.5,"FM",IF('Proposed Lighting'!CT25=0.5,"LED-MS",IF('Proposed Lighting'!CB25&gt;1,"Non-S",IF('Proposed Lighting'!CT25=0.6,"LED-SS",IF('Proposed Lighting'!CT25=2,"LED-NW",IF('Proposed Lighting'!CT25=3,"LLLC",0)))))))))</f>
        <v>0</v>
      </c>
      <c r="X39" s="1293">
        <f>'Proposed Lighting'!EE25</f>
        <v>0</v>
      </c>
      <c r="Y39" s="1293">
        <f>'Proposed Lighting'!EF25</f>
        <v>0</v>
      </c>
    </row>
    <row r="40" spans="1:25" ht="50.1" customHeight="1">
      <c r="A40" s="1290">
        <v>18</v>
      </c>
      <c r="B40" s="1291">
        <f>'Proposed Lighting'!B26</f>
        <v>0</v>
      </c>
      <c r="C40" s="1291">
        <f>IF('Proposed Lighting'!M26="Sch 1","Sch 1",IF('Proposed Lighting'!M26="Sch 1-C", "Sch 1-C",IF('Proposed Lighting'!M26="Sch 2","Sch 2",IF('Proposed Lighting'!M26="Sch 2-C","Sch 2-C",IF('Proposed Lighting'!M26="Sch 3","Sch 3",IF('Proposed Lighting'!M26="Sch 3-C", "Sch 3-C",IF('Proposed Lighting'!M26="E", "E",IF('Proposed Lighting'!M26="E-C", "E-C",IF('Proposed Lighting'!M26="Dusk to Dawn","Sch D-D",IF('Proposed Lighting'!M26="Dusk to Dawn-C", "Sch DD-C",IF('Proposed Lighting'!M26="Seasonal", "SEA",IF('Proposed Lighting'!M26="Seasonal-C", "SEA-C",0))))))))))))</f>
        <v>0</v>
      </c>
      <c r="D40" s="1292">
        <f>'Proposed Lighting'!F26</f>
        <v>0</v>
      </c>
      <c r="E40" s="1293">
        <f>'Proposed Lighting'!N26</f>
        <v>0</v>
      </c>
      <c r="F40" s="996"/>
      <c r="G40" s="1294">
        <f>'Proposed Lighting'!K26</f>
        <v>0</v>
      </c>
      <c r="H40" s="1295">
        <f>IF('Proposed Lighting'!P26&gt;0.2,'Proposed Lighting'!P26,0)</f>
        <v>0</v>
      </c>
      <c r="I40" s="995">
        <f>'Proposed Lighting'!J26</f>
        <v>0</v>
      </c>
      <c r="J40" s="996"/>
      <c r="K40" s="996"/>
      <c r="L40" s="996"/>
      <c r="M40" s="996"/>
      <c r="N40" s="1005"/>
      <c r="O40" s="1296" t="str">
        <f>'Proposed Lighting'!Z26&amp;", "&amp;'Proposed Lighting'!EK26</f>
        <v xml:space="preserve">, </v>
      </c>
      <c r="P40" s="1292">
        <f>'Proposed Lighting'!T26</f>
        <v>0</v>
      </c>
      <c r="Q40" s="1293">
        <f>'Proposed Lighting'!AA26</f>
        <v>0</v>
      </c>
      <c r="R40" s="996"/>
      <c r="S40" s="1297">
        <f>IF('Proposed Lighting'!AR26=0,0,IF('Proposed Lighting'!AT26&gt;0.2,'Proposed Lighting'!AT26,0))</f>
        <v>0</v>
      </c>
      <c r="T40" s="997">
        <f>'Proposed Lighting'!X26</f>
        <v>0</v>
      </c>
      <c r="U40" s="998"/>
      <c r="V40" s="998"/>
      <c r="W40" s="1378">
        <f>IF('Proposed Lighting'!AF26=4,"WS",IF('Proposed Lighting'!AF26=5,"CM",IF('Proposed Lighting'!AF26=1.6,"PHOT",IF('Proposed Lighting'!AF26=1.5,"FM",IF('Proposed Lighting'!CT26=0.5,"LED-MS",IF('Proposed Lighting'!CB26&gt;1,"Non-S",IF('Proposed Lighting'!CT26=0.6,"LED-SS",IF('Proposed Lighting'!CT26=2,"LED-NW",IF('Proposed Lighting'!CT26=3,"LLLC",0)))))))))</f>
        <v>0</v>
      </c>
      <c r="X40" s="1293">
        <f>'Proposed Lighting'!EE26</f>
        <v>0</v>
      </c>
      <c r="Y40" s="1293">
        <f>'Proposed Lighting'!EF26</f>
        <v>0</v>
      </c>
    </row>
    <row r="41" spans="1:25" ht="50.1" customHeight="1">
      <c r="A41" s="1290">
        <v>19</v>
      </c>
      <c r="B41" s="1291">
        <f>'Proposed Lighting'!B27</f>
        <v>0</v>
      </c>
      <c r="C41" s="1291">
        <f>IF('Proposed Lighting'!M27="Sch 1","Sch 1",IF('Proposed Lighting'!M27="Sch 1-C", "Sch 1-C",IF('Proposed Lighting'!M27="Sch 2","Sch 2",IF('Proposed Lighting'!M27="Sch 2-C","Sch 2-C",IF('Proposed Lighting'!M27="Sch 3","Sch 3",IF('Proposed Lighting'!M27="Sch 3-C", "Sch 3-C",IF('Proposed Lighting'!M27="E", "E",IF('Proposed Lighting'!M27="E-C", "E-C",IF('Proposed Lighting'!M27="Dusk to Dawn","Sch D-D",IF('Proposed Lighting'!M27="Dusk to Dawn-C", "Sch DD-C",IF('Proposed Lighting'!M27="Seasonal", "SEA",IF('Proposed Lighting'!M27="Seasonal-C", "SEA-C",0))))))))))))</f>
        <v>0</v>
      </c>
      <c r="D41" s="1292">
        <f>'Proposed Lighting'!F27</f>
        <v>0</v>
      </c>
      <c r="E41" s="1293">
        <f>'Proposed Lighting'!N27</f>
        <v>0</v>
      </c>
      <c r="F41" s="996"/>
      <c r="G41" s="1294">
        <f>'Proposed Lighting'!K27</f>
        <v>0</v>
      </c>
      <c r="H41" s="1295">
        <f>IF('Proposed Lighting'!P27&gt;0.2,'Proposed Lighting'!P27,0)</f>
        <v>0</v>
      </c>
      <c r="I41" s="995">
        <f>'Proposed Lighting'!J27</f>
        <v>0</v>
      </c>
      <c r="J41" s="996"/>
      <c r="K41" s="996"/>
      <c r="L41" s="996"/>
      <c r="M41" s="996"/>
      <c r="N41" s="1005"/>
      <c r="O41" s="1296" t="str">
        <f>'Proposed Lighting'!Z27&amp;", "&amp;'Proposed Lighting'!EK27</f>
        <v xml:space="preserve">, </v>
      </c>
      <c r="P41" s="1292">
        <f>'Proposed Lighting'!T27</f>
        <v>0</v>
      </c>
      <c r="Q41" s="1293">
        <f>'Proposed Lighting'!AA27</f>
        <v>0</v>
      </c>
      <c r="R41" s="996"/>
      <c r="S41" s="1297">
        <f>IF('Proposed Lighting'!AR27=0,0,IF('Proposed Lighting'!AT27&gt;0.2,'Proposed Lighting'!AT27,0))</f>
        <v>0</v>
      </c>
      <c r="T41" s="997">
        <f>'Proposed Lighting'!X27</f>
        <v>0</v>
      </c>
      <c r="U41" s="998"/>
      <c r="V41" s="998"/>
      <c r="W41" s="1378">
        <f>IF('Proposed Lighting'!AF27=4,"WS",IF('Proposed Lighting'!AF27=5,"CM",IF('Proposed Lighting'!AF27=1.6,"PHOT",IF('Proposed Lighting'!AF27=1.5,"FM",IF('Proposed Lighting'!CT27=0.5,"LED-MS",IF('Proposed Lighting'!CB27&gt;1,"Non-S",IF('Proposed Lighting'!CT27=0.6,"LED-SS",IF('Proposed Lighting'!CT27=2,"LED-NW",IF('Proposed Lighting'!CT27=3,"LLLC",0)))))))))</f>
        <v>0</v>
      </c>
      <c r="X41" s="1293">
        <f>'Proposed Lighting'!EE27</f>
        <v>0</v>
      </c>
      <c r="Y41" s="1293">
        <f>'Proposed Lighting'!EF27</f>
        <v>0</v>
      </c>
    </row>
    <row r="42" spans="1:25" ht="50.1" customHeight="1">
      <c r="A42" s="1290">
        <v>20</v>
      </c>
      <c r="B42" s="1291">
        <f>'Proposed Lighting'!B28</f>
        <v>0</v>
      </c>
      <c r="C42" s="1291">
        <f>IF('Proposed Lighting'!M28="Sch 1","Sch 1",IF('Proposed Lighting'!M28="Sch 1-C", "Sch 1-C",IF('Proposed Lighting'!M28="Sch 2","Sch 2",IF('Proposed Lighting'!M28="Sch 2-C","Sch 2-C",IF('Proposed Lighting'!M28="Sch 3","Sch 3",IF('Proposed Lighting'!M28="Sch 3-C", "Sch 3-C",IF('Proposed Lighting'!M28="E", "E",IF('Proposed Lighting'!M28="E-C", "E-C",IF('Proposed Lighting'!M28="Dusk to Dawn","Sch D-D",IF('Proposed Lighting'!M28="Dusk to Dawn-C", "Sch DD-C",IF('Proposed Lighting'!M28="Seasonal", "SEA",IF('Proposed Lighting'!M28="Seasonal-C", "SEA-C",0))))))))))))</f>
        <v>0</v>
      </c>
      <c r="D42" s="1292">
        <f>'Proposed Lighting'!F28</f>
        <v>0</v>
      </c>
      <c r="E42" s="1293">
        <f>'Proposed Lighting'!N28</f>
        <v>0</v>
      </c>
      <c r="F42" s="996"/>
      <c r="G42" s="1294">
        <f>'Proposed Lighting'!K28</f>
        <v>0</v>
      </c>
      <c r="H42" s="1295">
        <f>IF('Proposed Lighting'!P28&gt;0.2,'Proposed Lighting'!P28,0)</f>
        <v>0</v>
      </c>
      <c r="I42" s="995">
        <f>'Proposed Lighting'!J28</f>
        <v>0</v>
      </c>
      <c r="J42" s="996"/>
      <c r="K42" s="996"/>
      <c r="L42" s="996"/>
      <c r="M42" s="996"/>
      <c r="N42" s="1005"/>
      <c r="O42" s="1296" t="str">
        <f>'Proposed Lighting'!Z28&amp;", "&amp;'Proposed Lighting'!EK28</f>
        <v xml:space="preserve">, </v>
      </c>
      <c r="P42" s="1292">
        <f>'Proposed Lighting'!T28</f>
        <v>0</v>
      </c>
      <c r="Q42" s="1293">
        <f>'Proposed Lighting'!AA28</f>
        <v>0</v>
      </c>
      <c r="R42" s="996"/>
      <c r="S42" s="1297">
        <f>IF('Proposed Lighting'!AR28=0,0,IF('Proposed Lighting'!AT28&gt;0.2,'Proposed Lighting'!AT28,0))</f>
        <v>0</v>
      </c>
      <c r="T42" s="997">
        <f>'Proposed Lighting'!X28</f>
        <v>0</v>
      </c>
      <c r="U42" s="998"/>
      <c r="V42" s="998"/>
      <c r="W42" s="1378">
        <f>IF('Proposed Lighting'!AF28=4,"WS",IF('Proposed Lighting'!AF28=5,"CM",IF('Proposed Lighting'!AF28=1.6,"PHOT",IF('Proposed Lighting'!AF28=1.5,"FM",IF('Proposed Lighting'!CT28=0.5,"LED-MS",IF('Proposed Lighting'!CB28&gt;1,"Non-S",IF('Proposed Lighting'!CT28=0.6,"LED-SS",IF('Proposed Lighting'!CT28=2,"LED-NW",IF('Proposed Lighting'!CT28=3,"LLLC",0)))))))))</f>
        <v>0</v>
      </c>
      <c r="X42" s="1293">
        <f>'Proposed Lighting'!EE28</f>
        <v>0</v>
      </c>
      <c r="Y42" s="1293">
        <f>'Proposed Lighting'!EF28</f>
        <v>0</v>
      </c>
    </row>
    <row r="43" spans="1:25" ht="50.1" customHeight="1">
      <c r="A43" s="1290">
        <v>21</v>
      </c>
      <c r="B43" s="1291">
        <f>'Proposed Lighting'!B29</f>
        <v>0</v>
      </c>
      <c r="C43" s="1291">
        <f>IF('Proposed Lighting'!M29="Sch 1","Sch 1",IF('Proposed Lighting'!M29="Sch 1-C", "Sch 1-C",IF('Proposed Lighting'!M29="Sch 2","Sch 2",IF('Proposed Lighting'!M29="Sch 2-C","Sch 2-C",IF('Proposed Lighting'!M29="Sch 3","Sch 3",IF('Proposed Lighting'!M29="Sch 3-C", "Sch 3-C",IF('Proposed Lighting'!M29="E", "E",IF('Proposed Lighting'!M29="E-C", "E-C",IF('Proposed Lighting'!M29="Dusk to Dawn","Sch D-D",IF('Proposed Lighting'!M29="Dusk to Dawn-C", "Sch DD-C",IF('Proposed Lighting'!M29="Seasonal", "SEA",IF('Proposed Lighting'!M29="Seasonal-C", "SEA-C",0))))))))))))</f>
        <v>0</v>
      </c>
      <c r="D43" s="1292">
        <f>'Proposed Lighting'!F29</f>
        <v>0</v>
      </c>
      <c r="E43" s="1293">
        <f>'Proposed Lighting'!N29</f>
        <v>0</v>
      </c>
      <c r="F43" s="996"/>
      <c r="G43" s="1294">
        <f>'Proposed Lighting'!K29</f>
        <v>0</v>
      </c>
      <c r="H43" s="1295">
        <f>IF('Proposed Lighting'!P29&gt;0.2,'Proposed Lighting'!P29,0)</f>
        <v>0</v>
      </c>
      <c r="I43" s="995">
        <f>'Proposed Lighting'!J29</f>
        <v>0</v>
      </c>
      <c r="J43" s="996"/>
      <c r="K43" s="996"/>
      <c r="L43" s="996"/>
      <c r="M43" s="996"/>
      <c r="N43" s="1005"/>
      <c r="O43" s="1296" t="str">
        <f>'Proposed Lighting'!Z29&amp;", "&amp;'Proposed Lighting'!EK29</f>
        <v xml:space="preserve">, </v>
      </c>
      <c r="P43" s="1292">
        <f>'Proposed Lighting'!T29</f>
        <v>0</v>
      </c>
      <c r="Q43" s="1293">
        <f>'Proposed Lighting'!AA29</f>
        <v>0</v>
      </c>
      <c r="R43" s="996"/>
      <c r="S43" s="1297">
        <f>IF('Proposed Lighting'!AR29=0,0,IF('Proposed Lighting'!AT29&gt;0.2,'Proposed Lighting'!AT29,0))</f>
        <v>0</v>
      </c>
      <c r="T43" s="997">
        <f>'Proposed Lighting'!X29</f>
        <v>0</v>
      </c>
      <c r="U43" s="998"/>
      <c r="V43" s="998"/>
      <c r="W43" s="1378">
        <f>IF('Proposed Lighting'!AF29=4,"WS",IF('Proposed Lighting'!AF29=5,"CM",IF('Proposed Lighting'!AF29=1.6,"PHOT",IF('Proposed Lighting'!AF29=1.5,"FM",IF('Proposed Lighting'!CT29=0.5,"LED-MS",IF('Proposed Lighting'!CB29&gt;1,"Non-S",IF('Proposed Lighting'!CT29=0.6,"LED-SS",IF('Proposed Lighting'!CT29=2,"LED-NW",IF('Proposed Lighting'!CT29=3,"LLLC",0)))))))))</f>
        <v>0</v>
      </c>
      <c r="X43" s="1293">
        <f>'Proposed Lighting'!EE29</f>
        <v>0</v>
      </c>
      <c r="Y43" s="1293">
        <f>'Proposed Lighting'!EF29</f>
        <v>0</v>
      </c>
    </row>
    <row r="44" spans="1:25" ht="50.1" customHeight="1">
      <c r="A44" s="1290">
        <v>22</v>
      </c>
      <c r="B44" s="1291">
        <f>'Proposed Lighting'!B30</f>
        <v>0</v>
      </c>
      <c r="C44" s="1291">
        <f>IF('Proposed Lighting'!M30="Sch 1","Sch 1",IF('Proposed Lighting'!M30="Sch 1-C", "Sch 1-C",IF('Proposed Lighting'!M30="Sch 2","Sch 2",IF('Proposed Lighting'!M30="Sch 2-C","Sch 2-C",IF('Proposed Lighting'!M30="Sch 3","Sch 3",IF('Proposed Lighting'!M30="Sch 3-C", "Sch 3-C",IF('Proposed Lighting'!M30="E", "E",IF('Proposed Lighting'!M30="E-C", "E-C",IF('Proposed Lighting'!M30="Dusk to Dawn","Sch D-D",IF('Proposed Lighting'!M30="Dusk to Dawn-C", "Sch DD-C",IF('Proposed Lighting'!M30="Seasonal", "SEA",IF('Proposed Lighting'!M30="Seasonal-C", "SEA-C",0))))))))))))</f>
        <v>0</v>
      </c>
      <c r="D44" s="1292">
        <f>'Proposed Lighting'!F30</f>
        <v>0</v>
      </c>
      <c r="E44" s="1293">
        <f>'Proposed Lighting'!N30</f>
        <v>0</v>
      </c>
      <c r="F44" s="996"/>
      <c r="G44" s="1294">
        <f>'Proposed Lighting'!K30</f>
        <v>0</v>
      </c>
      <c r="H44" s="1295">
        <f>IF('Proposed Lighting'!P30&gt;0.2,'Proposed Lighting'!P30,0)</f>
        <v>0</v>
      </c>
      <c r="I44" s="995">
        <f>'Proposed Lighting'!J30</f>
        <v>0</v>
      </c>
      <c r="J44" s="996"/>
      <c r="K44" s="996"/>
      <c r="L44" s="996"/>
      <c r="M44" s="996"/>
      <c r="N44" s="1005"/>
      <c r="O44" s="1296" t="str">
        <f>'Proposed Lighting'!Z30&amp;", "&amp;'Proposed Lighting'!EK30</f>
        <v xml:space="preserve">, </v>
      </c>
      <c r="P44" s="1292">
        <f>'Proposed Lighting'!T30</f>
        <v>0</v>
      </c>
      <c r="Q44" s="1293">
        <f>'Proposed Lighting'!AA30</f>
        <v>0</v>
      </c>
      <c r="R44" s="996"/>
      <c r="S44" s="1297">
        <f>IF('Proposed Lighting'!AR30=0,0,IF('Proposed Lighting'!AT30&gt;0.2,'Proposed Lighting'!AT30,0))</f>
        <v>0</v>
      </c>
      <c r="T44" s="997">
        <f>'Proposed Lighting'!X30</f>
        <v>0</v>
      </c>
      <c r="U44" s="998"/>
      <c r="V44" s="998"/>
      <c r="W44" s="1378">
        <f>IF('Proposed Lighting'!AF30=4,"WS",IF('Proposed Lighting'!AF30=5,"CM",IF('Proposed Lighting'!AF30=1.6,"PHOT",IF('Proposed Lighting'!AF30=1.5,"FM",IF('Proposed Lighting'!CT30=0.5,"LED-MS",IF('Proposed Lighting'!CB30&gt;1,"Non-S",IF('Proposed Lighting'!CT30=0.6,"LED-SS",IF('Proposed Lighting'!CT30=2,"LED-NW",IF('Proposed Lighting'!CT30=3,"LLLC",0)))))))))</f>
        <v>0</v>
      </c>
      <c r="X44" s="1293">
        <f>'Proposed Lighting'!EE30</f>
        <v>0</v>
      </c>
      <c r="Y44" s="1293">
        <f>'Proposed Lighting'!EF30</f>
        <v>0</v>
      </c>
    </row>
    <row r="45" spans="1:25" ht="50.1" customHeight="1">
      <c r="A45" s="1290">
        <v>23</v>
      </c>
      <c r="B45" s="1291">
        <f>'Proposed Lighting'!B31</f>
        <v>0</v>
      </c>
      <c r="C45" s="1291">
        <f>IF('Proposed Lighting'!M31="Sch 1","Sch 1",IF('Proposed Lighting'!M31="Sch 1-C", "Sch 1-C",IF('Proposed Lighting'!M31="Sch 2","Sch 2",IF('Proposed Lighting'!M31="Sch 2-C","Sch 2-C",IF('Proposed Lighting'!M31="Sch 3","Sch 3",IF('Proposed Lighting'!M31="Sch 3-C", "Sch 3-C",IF('Proposed Lighting'!M31="E", "E",IF('Proposed Lighting'!M31="E-C", "E-C",IF('Proposed Lighting'!M31="Dusk to Dawn","Sch D-D",IF('Proposed Lighting'!M31="Dusk to Dawn-C", "Sch DD-C",IF('Proposed Lighting'!M31="Seasonal", "SEA",IF('Proposed Lighting'!M31="Seasonal-C", "SEA-C",0))))))))))))</f>
        <v>0</v>
      </c>
      <c r="D45" s="1292">
        <f>'Proposed Lighting'!F31</f>
        <v>0</v>
      </c>
      <c r="E45" s="1293">
        <f>'Proposed Lighting'!N31</f>
        <v>0</v>
      </c>
      <c r="F45" s="996"/>
      <c r="G45" s="1294">
        <f>'Proposed Lighting'!K31</f>
        <v>0</v>
      </c>
      <c r="H45" s="1295">
        <f>IF('Proposed Lighting'!P31&gt;0.2,'Proposed Lighting'!P31,0)</f>
        <v>0</v>
      </c>
      <c r="I45" s="995">
        <f>'Proposed Lighting'!J31</f>
        <v>0</v>
      </c>
      <c r="J45" s="996"/>
      <c r="K45" s="996"/>
      <c r="L45" s="996"/>
      <c r="M45" s="996"/>
      <c r="N45" s="1005"/>
      <c r="O45" s="1296" t="str">
        <f>'Proposed Lighting'!Z31&amp;", "&amp;'Proposed Lighting'!EK31</f>
        <v xml:space="preserve">, </v>
      </c>
      <c r="P45" s="1292">
        <f>'Proposed Lighting'!T31</f>
        <v>0</v>
      </c>
      <c r="Q45" s="1293">
        <f>'Proposed Lighting'!AA31</f>
        <v>0</v>
      </c>
      <c r="R45" s="996"/>
      <c r="S45" s="1297">
        <f>IF('Proposed Lighting'!AR31=0,0,IF('Proposed Lighting'!AT31&gt;0.2,'Proposed Lighting'!AT31,0))</f>
        <v>0</v>
      </c>
      <c r="T45" s="997">
        <f>'Proposed Lighting'!X31</f>
        <v>0</v>
      </c>
      <c r="U45" s="998"/>
      <c r="V45" s="998"/>
      <c r="W45" s="1378">
        <f>IF('Proposed Lighting'!AF31=4,"WS",IF('Proposed Lighting'!AF31=5,"CM",IF('Proposed Lighting'!AF31=1.6,"PHOT",IF('Proposed Lighting'!AF31=1.5,"FM",IF('Proposed Lighting'!CT31=0.5,"LED-MS",IF('Proposed Lighting'!CB31&gt;1,"Non-S",IF('Proposed Lighting'!CT31=0.6,"LED-SS",IF('Proposed Lighting'!CT31=2,"LED-NW",IF('Proposed Lighting'!CT31=3,"LLLC",0)))))))))</f>
        <v>0</v>
      </c>
      <c r="X45" s="1293">
        <f>'Proposed Lighting'!EE31</f>
        <v>0</v>
      </c>
      <c r="Y45" s="1293">
        <f>'Proposed Lighting'!EF31</f>
        <v>0</v>
      </c>
    </row>
    <row r="46" spans="1:25" ht="50.1" customHeight="1">
      <c r="A46" s="1290">
        <v>24</v>
      </c>
      <c r="B46" s="1291">
        <f>'Proposed Lighting'!B32</f>
        <v>0</v>
      </c>
      <c r="C46" s="1291">
        <f>IF('Proposed Lighting'!M32="Sch 1","Sch 1",IF('Proposed Lighting'!M32="Sch 1-C", "Sch 1-C",IF('Proposed Lighting'!M32="Sch 2","Sch 2",IF('Proposed Lighting'!M32="Sch 2-C","Sch 2-C",IF('Proposed Lighting'!M32="Sch 3","Sch 3",IF('Proposed Lighting'!M32="Sch 3-C", "Sch 3-C",IF('Proposed Lighting'!M32="E", "E",IF('Proposed Lighting'!M32="E-C", "E-C",IF('Proposed Lighting'!M32="Dusk to Dawn","Sch D-D",IF('Proposed Lighting'!M32="Dusk to Dawn-C", "Sch DD-C",IF('Proposed Lighting'!M32="Seasonal", "SEA",IF('Proposed Lighting'!M32="Seasonal-C", "SEA-C",0))))))))))))</f>
        <v>0</v>
      </c>
      <c r="D46" s="1292">
        <f>'Proposed Lighting'!F32</f>
        <v>0</v>
      </c>
      <c r="E46" s="1293">
        <f>'Proposed Lighting'!N32</f>
        <v>0</v>
      </c>
      <c r="F46" s="996"/>
      <c r="G46" s="1294">
        <f>'Proposed Lighting'!K32</f>
        <v>0</v>
      </c>
      <c r="H46" s="1295">
        <f>IF('Proposed Lighting'!P32&gt;0.2,'Proposed Lighting'!P32,0)</f>
        <v>0</v>
      </c>
      <c r="I46" s="995">
        <f>'Proposed Lighting'!J32</f>
        <v>0</v>
      </c>
      <c r="J46" s="996"/>
      <c r="K46" s="996"/>
      <c r="L46" s="996"/>
      <c r="M46" s="996"/>
      <c r="N46" s="1005"/>
      <c r="O46" s="1296" t="str">
        <f>'Proposed Lighting'!Z32&amp;", "&amp;'Proposed Lighting'!EK32</f>
        <v xml:space="preserve">, </v>
      </c>
      <c r="P46" s="1292">
        <f>'Proposed Lighting'!T32</f>
        <v>0</v>
      </c>
      <c r="Q46" s="1293">
        <f>'Proposed Lighting'!AA32</f>
        <v>0</v>
      </c>
      <c r="R46" s="996"/>
      <c r="S46" s="1297">
        <f>IF('Proposed Lighting'!AR32=0,0,IF('Proposed Lighting'!AT32&gt;0.2,'Proposed Lighting'!AT32,0))</f>
        <v>0</v>
      </c>
      <c r="T46" s="997">
        <f>'Proposed Lighting'!X32</f>
        <v>0</v>
      </c>
      <c r="U46" s="998"/>
      <c r="V46" s="998"/>
      <c r="W46" s="1378">
        <f>IF('Proposed Lighting'!AF32=4,"WS",IF('Proposed Lighting'!AF32=5,"CM",IF('Proposed Lighting'!AF32=1.6,"PHOT",IF('Proposed Lighting'!AF32=1.5,"FM",IF('Proposed Lighting'!CT32=0.5,"LED-MS",IF('Proposed Lighting'!CB32&gt;1,"Non-S",IF('Proposed Lighting'!CT32=0.6,"LED-SS",IF('Proposed Lighting'!CT32=2,"LED-NW",IF('Proposed Lighting'!CT32=3,"LLLC",0)))))))))</f>
        <v>0</v>
      </c>
      <c r="X46" s="1293">
        <f>'Proposed Lighting'!EE32</f>
        <v>0</v>
      </c>
      <c r="Y46" s="1293">
        <f>'Proposed Lighting'!EF32</f>
        <v>0</v>
      </c>
    </row>
    <row r="47" spans="1:25" ht="50.1" customHeight="1">
      <c r="A47" s="1290">
        <v>25</v>
      </c>
      <c r="B47" s="1291">
        <f>'Proposed Lighting'!B33</f>
        <v>0</v>
      </c>
      <c r="C47" s="1291">
        <f>IF('Proposed Lighting'!M33="Sch 1","Sch 1",IF('Proposed Lighting'!M33="Sch 1-C", "Sch 1-C",IF('Proposed Lighting'!M33="Sch 2","Sch 2",IF('Proposed Lighting'!M33="Sch 2-C","Sch 2-C",IF('Proposed Lighting'!M33="Sch 3","Sch 3",IF('Proposed Lighting'!M33="Sch 3-C", "Sch 3-C",IF('Proposed Lighting'!M33="E", "E",IF('Proposed Lighting'!M33="E-C", "E-C",IF('Proposed Lighting'!M33="Dusk to Dawn","Sch D-D",IF('Proposed Lighting'!M33="Dusk to Dawn-C", "Sch DD-C",IF('Proposed Lighting'!M33="Seasonal", "SEA",IF('Proposed Lighting'!M33="Seasonal-C", "SEA-C",0))))))))))))</f>
        <v>0</v>
      </c>
      <c r="D47" s="1292">
        <f>'Proposed Lighting'!F33</f>
        <v>0</v>
      </c>
      <c r="E47" s="1293">
        <f>'Proposed Lighting'!N33</f>
        <v>0</v>
      </c>
      <c r="F47" s="996"/>
      <c r="G47" s="1294">
        <f>'Proposed Lighting'!K33</f>
        <v>0</v>
      </c>
      <c r="H47" s="1295">
        <f>IF('Proposed Lighting'!P33&gt;0.2,'Proposed Lighting'!P33,0)</f>
        <v>0</v>
      </c>
      <c r="I47" s="995">
        <f>'Proposed Lighting'!J33</f>
        <v>0</v>
      </c>
      <c r="J47" s="996"/>
      <c r="K47" s="996"/>
      <c r="L47" s="996"/>
      <c r="M47" s="996"/>
      <c r="N47" s="1005"/>
      <c r="O47" s="1296" t="str">
        <f>'Proposed Lighting'!Z33&amp;", "&amp;'Proposed Lighting'!EK33</f>
        <v xml:space="preserve">, </v>
      </c>
      <c r="P47" s="1292">
        <f>'Proposed Lighting'!T33</f>
        <v>0</v>
      </c>
      <c r="Q47" s="1293">
        <f>'Proposed Lighting'!AA33</f>
        <v>0</v>
      </c>
      <c r="R47" s="996"/>
      <c r="S47" s="1297">
        <f>IF('Proposed Lighting'!AR33=0,0,IF('Proposed Lighting'!AT33&gt;0.2,'Proposed Lighting'!AT33,0))</f>
        <v>0</v>
      </c>
      <c r="T47" s="997">
        <f>'Proposed Lighting'!X33</f>
        <v>0</v>
      </c>
      <c r="U47" s="998"/>
      <c r="V47" s="998"/>
      <c r="W47" s="1378">
        <f>IF('Proposed Lighting'!AF33=4,"WS",IF('Proposed Lighting'!AF33=5,"CM",IF('Proposed Lighting'!AF33=1.6,"PHOT",IF('Proposed Lighting'!AF33=1.5,"FM",IF('Proposed Lighting'!CT33=0.5,"LED-MS",IF('Proposed Lighting'!CB33&gt;1,"Non-S",IF('Proposed Lighting'!CT33=0.6,"LED-SS",IF('Proposed Lighting'!CT33=2,"LED-NW",IF('Proposed Lighting'!CT33=3,"LLLC",0)))))))))</f>
        <v>0</v>
      </c>
      <c r="X47" s="1293">
        <f>'Proposed Lighting'!EE33</f>
        <v>0</v>
      </c>
      <c r="Y47" s="1293">
        <f>'Proposed Lighting'!EF33</f>
        <v>0</v>
      </c>
    </row>
    <row r="48" spans="1:25" ht="50.1" customHeight="1">
      <c r="A48" s="1290">
        <v>26</v>
      </c>
      <c r="B48" s="1291">
        <f>'Proposed Lighting'!B34</f>
        <v>0</v>
      </c>
      <c r="C48" s="1291">
        <f>IF('Proposed Lighting'!M34="Sch 1","Sch 1",IF('Proposed Lighting'!M34="Sch 1-C", "Sch 1-C",IF('Proposed Lighting'!M34="Sch 2","Sch 2",IF('Proposed Lighting'!M34="Sch 2-C","Sch 2-C",IF('Proposed Lighting'!M34="Sch 3","Sch 3",IF('Proposed Lighting'!M34="Sch 3-C", "Sch 3-C",IF('Proposed Lighting'!M34="E", "E",IF('Proposed Lighting'!M34="E-C", "E-C",IF('Proposed Lighting'!M34="Dusk to Dawn","Sch D-D",IF('Proposed Lighting'!M34="Dusk to Dawn-C", "Sch DD-C",IF('Proposed Lighting'!M34="Seasonal", "SEA",IF('Proposed Lighting'!M34="Seasonal-C", "SEA-C",0))))))))))))</f>
        <v>0</v>
      </c>
      <c r="D48" s="1292">
        <f>'Proposed Lighting'!F34</f>
        <v>0</v>
      </c>
      <c r="E48" s="1293">
        <f>'Proposed Lighting'!N34</f>
        <v>0</v>
      </c>
      <c r="F48" s="996"/>
      <c r="G48" s="1294">
        <f>'Proposed Lighting'!K34</f>
        <v>0</v>
      </c>
      <c r="H48" s="1295">
        <f>IF('Proposed Lighting'!P34&gt;0.2,'Proposed Lighting'!P34,0)</f>
        <v>0</v>
      </c>
      <c r="I48" s="995">
        <f>'Proposed Lighting'!J34</f>
        <v>0</v>
      </c>
      <c r="J48" s="996"/>
      <c r="K48" s="996"/>
      <c r="L48" s="996"/>
      <c r="M48" s="996"/>
      <c r="N48" s="1005"/>
      <c r="O48" s="1296" t="str">
        <f>'Proposed Lighting'!Z34&amp;", "&amp;'Proposed Lighting'!EK34</f>
        <v xml:space="preserve">, </v>
      </c>
      <c r="P48" s="1292">
        <f>'Proposed Lighting'!T34</f>
        <v>0</v>
      </c>
      <c r="Q48" s="1293">
        <f>'Proposed Lighting'!AA34</f>
        <v>0</v>
      </c>
      <c r="R48" s="996"/>
      <c r="S48" s="1297">
        <f>IF('Proposed Lighting'!AR34=0,0,IF('Proposed Lighting'!AT34&gt;0.2,'Proposed Lighting'!AT34,0))</f>
        <v>0</v>
      </c>
      <c r="T48" s="997">
        <f>'Proposed Lighting'!X34</f>
        <v>0</v>
      </c>
      <c r="U48" s="998"/>
      <c r="V48" s="998"/>
      <c r="W48" s="1378">
        <f>IF('Proposed Lighting'!AF34=4,"WS",IF('Proposed Lighting'!AF34=5,"CM",IF('Proposed Lighting'!AF34=1.6,"PHOT",IF('Proposed Lighting'!AF34=1.5,"FM",IF('Proposed Lighting'!CT34=0.5,"LED-MS",IF('Proposed Lighting'!CB34&gt;1,"Non-S",IF('Proposed Lighting'!CT34=0.6,"LED-SS",IF('Proposed Lighting'!CT34=2,"LED-NW",IF('Proposed Lighting'!CT34=3,"LLLC",0)))))))))</f>
        <v>0</v>
      </c>
      <c r="X48" s="1293">
        <f>'Proposed Lighting'!EE34</f>
        <v>0</v>
      </c>
      <c r="Y48" s="1293">
        <f>'Proposed Lighting'!EF34</f>
        <v>0</v>
      </c>
    </row>
    <row r="49" spans="1:25" ht="50.1" customHeight="1">
      <c r="A49" s="1290">
        <v>27</v>
      </c>
      <c r="B49" s="1291">
        <f>'Proposed Lighting'!B35</f>
        <v>0</v>
      </c>
      <c r="C49" s="1291">
        <f>IF('Proposed Lighting'!M35="Sch 1","Sch 1",IF('Proposed Lighting'!M35="Sch 1-C", "Sch 1-C",IF('Proposed Lighting'!M35="Sch 2","Sch 2",IF('Proposed Lighting'!M35="Sch 2-C","Sch 2-C",IF('Proposed Lighting'!M35="Sch 3","Sch 3",IF('Proposed Lighting'!M35="Sch 3-C", "Sch 3-C",IF('Proposed Lighting'!M35="E", "E",IF('Proposed Lighting'!M35="E-C", "E-C",IF('Proposed Lighting'!M35="Dusk to Dawn","Sch D-D",IF('Proposed Lighting'!M35="Dusk to Dawn-C", "Sch DD-C",IF('Proposed Lighting'!M35="Seasonal", "SEA",IF('Proposed Lighting'!M35="Seasonal-C", "SEA-C",0))))))))))))</f>
        <v>0</v>
      </c>
      <c r="D49" s="1292">
        <f>'Proposed Lighting'!F35</f>
        <v>0</v>
      </c>
      <c r="E49" s="1293">
        <f>'Proposed Lighting'!N35</f>
        <v>0</v>
      </c>
      <c r="F49" s="996"/>
      <c r="G49" s="1294">
        <f>'Proposed Lighting'!K35</f>
        <v>0</v>
      </c>
      <c r="H49" s="1295">
        <f>IF('Proposed Lighting'!P35&gt;0.2,'Proposed Lighting'!P35,0)</f>
        <v>0</v>
      </c>
      <c r="I49" s="995">
        <f>'Proposed Lighting'!J35</f>
        <v>0</v>
      </c>
      <c r="J49" s="996"/>
      <c r="K49" s="996"/>
      <c r="L49" s="996"/>
      <c r="M49" s="996"/>
      <c r="N49" s="1005"/>
      <c r="O49" s="1296" t="str">
        <f>'Proposed Lighting'!Z35&amp;", "&amp;'Proposed Lighting'!EK35</f>
        <v xml:space="preserve">, </v>
      </c>
      <c r="P49" s="1292">
        <f>'Proposed Lighting'!T35</f>
        <v>0</v>
      </c>
      <c r="Q49" s="1293">
        <f>'Proposed Lighting'!AA35</f>
        <v>0</v>
      </c>
      <c r="R49" s="996"/>
      <c r="S49" s="1297">
        <f>IF('Proposed Lighting'!AR35=0,0,IF('Proposed Lighting'!AT35&gt;0.2,'Proposed Lighting'!AT35,0))</f>
        <v>0</v>
      </c>
      <c r="T49" s="997">
        <f>'Proposed Lighting'!X35</f>
        <v>0</v>
      </c>
      <c r="U49" s="998"/>
      <c r="V49" s="998"/>
      <c r="W49" s="1378">
        <f>IF('Proposed Lighting'!AF35=4,"WS",IF('Proposed Lighting'!AF35=5,"CM",IF('Proposed Lighting'!AF35=1.6,"PHOT",IF('Proposed Lighting'!AF35=1.5,"FM",IF('Proposed Lighting'!CT35=0.5,"LED-MS",IF('Proposed Lighting'!CB35&gt;1,"Non-S",IF('Proposed Lighting'!CT35=0.6,"LED-SS",IF('Proposed Lighting'!CT35=2,"LED-NW",IF('Proposed Lighting'!CT35=3,"LLLC",0)))))))))</f>
        <v>0</v>
      </c>
      <c r="X49" s="1293">
        <f>'Proposed Lighting'!EE35</f>
        <v>0</v>
      </c>
      <c r="Y49" s="1293">
        <f>'Proposed Lighting'!EF35</f>
        <v>0</v>
      </c>
    </row>
    <row r="50" spans="1:25" ht="50.1" customHeight="1">
      <c r="A50" s="1290">
        <v>28</v>
      </c>
      <c r="B50" s="1291">
        <f>'Proposed Lighting'!B36</f>
        <v>0</v>
      </c>
      <c r="C50" s="1291">
        <f>IF('Proposed Lighting'!M36="Sch 1","Sch 1",IF('Proposed Lighting'!M36="Sch 1-C", "Sch 1-C",IF('Proposed Lighting'!M36="Sch 2","Sch 2",IF('Proposed Lighting'!M36="Sch 2-C","Sch 2-C",IF('Proposed Lighting'!M36="Sch 3","Sch 3",IF('Proposed Lighting'!M36="Sch 3-C", "Sch 3-C",IF('Proposed Lighting'!M36="E", "E",IF('Proposed Lighting'!M36="E-C", "E-C",IF('Proposed Lighting'!M36="Dusk to Dawn","Sch D-D",IF('Proposed Lighting'!M36="Dusk to Dawn-C", "Sch DD-C",IF('Proposed Lighting'!M36="Seasonal", "SEA",IF('Proposed Lighting'!M36="Seasonal-C", "SEA-C",0))))))))))))</f>
        <v>0</v>
      </c>
      <c r="D50" s="1292">
        <f>'Proposed Lighting'!F36</f>
        <v>0</v>
      </c>
      <c r="E50" s="1293">
        <f>'Proposed Lighting'!N36</f>
        <v>0</v>
      </c>
      <c r="F50" s="996"/>
      <c r="G50" s="1294">
        <f>'Proposed Lighting'!K36</f>
        <v>0</v>
      </c>
      <c r="H50" s="1295">
        <f>IF('Proposed Lighting'!P36&gt;0.2,'Proposed Lighting'!P36,0)</f>
        <v>0</v>
      </c>
      <c r="I50" s="995">
        <f>'Proposed Lighting'!J36</f>
        <v>0</v>
      </c>
      <c r="J50" s="996"/>
      <c r="K50" s="996"/>
      <c r="L50" s="996"/>
      <c r="M50" s="996"/>
      <c r="N50" s="1005"/>
      <c r="O50" s="1296" t="str">
        <f>'Proposed Lighting'!Z36&amp;", "&amp;'Proposed Lighting'!EK36</f>
        <v xml:space="preserve">, </v>
      </c>
      <c r="P50" s="1292">
        <f>'Proposed Lighting'!T36</f>
        <v>0</v>
      </c>
      <c r="Q50" s="1293">
        <f>'Proposed Lighting'!AA36</f>
        <v>0</v>
      </c>
      <c r="R50" s="996"/>
      <c r="S50" s="1297">
        <f>IF('Proposed Lighting'!AR36=0,0,IF('Proposed Lighting'!AT36&gt;0.2,'Proposed Lighting'!AT36,0))</f>
        <v>0</v>
      </c>
      <c r="T50" s="997">
        <f>'Proposed Lighting'!X36</f>
        <v>0</v>
      </c>
      <c r="U50" s="998"/>
      <c r="V50" s="998"/>
      <c r="W50" s="1378">
        <f>IF('Proposed Lighting'!AF36=4,"WS",IF('Proposed Lighting'!AF36=5,"CM",IF('Proposed Lighting'!AF36=1.6,"PHOT",IF('Proposed Lighting'!AF36=1.5,"FM",IF('Proposed Lighting'!CT36=0.5,"LED-MS",IF('Proposed Lighting'!CB36&gt;1,"Non-S",IF('Proposed Lighting'!CT36=0.6,"LED-SS",IF('Proposed Lighting'!CT36=2,"LED-NW",IF('Proposed Lighting'!CT36=3,"LLLC",0)))))))))</f>
        <v>0</v>
      </c>
      <c r="X50" s="1293">
        <f>'Proposed Lighting'!EE36</f>
        <v>0</v>
      </c>
      <c r="Y50" s="1293">
        <f>'Proposed Lighting'!EF36</f>
        <v>0</v>
      </c>
    </row>
    <row r="51" spans="1:25" ht="50.1" customHeight="1">
      <c r="A51" s="1290">
        <v>29</v>
      </c>
      <c r="B51" s="1291">
        <f>'Proposed Lighting'!B37</f>
        <v>0</v>
      </c>
      <c r="C51" s="1291">
        <f>IF('Proposed Lighting'!M37="Sch 1","Sch 1",IF('Proposed Lighting'!M37="Sch 1-C", "Sch 1-C",IF('Proposed Lighting'!M37="Sch 2","Sch 2",IF('Proposed Lighting'!M37="Sch 2-C","Sch 2-C",IF('Proposed Lighting'!M37="Sch 3","Sch 3",IF('Proposed Lighting'!M37="Sch 3-C", "Sch 3-C",IF('Proposed Lighting'!M37="E", "E",IF('Proposed Lighting'!M37="E-C", "E-C",IF('Proposed Lighting'!M37="Dusk to Dawn","Sch D-D",IF('Proposed Lighting'!M37="Dusk to Dawn-C", "Sch DD-C",IF('Proposed Lighting'!M37="Seasonal", "SEA",IF('Proposed Lighting'!M37="Seasonal-C", "SEA-C",0))))))))))))</f>
        <v>0</v>
      </c>
      <c r="D51" s="1292">
        <f>'Proposed Lighting'!F37</f>
        <v>0</v>
      </c>
      <c r="E51" s="1293">
        <f>'Proposed Lighting'!N37</f>
        <v>0</v>
      </c>
      <c r="F51" s="996"/>
      <c r="G51" s="1294">
        <f>'Proposed Lighting'!K37</f>
        <v>0</v>
      </c>
      <c r="H51" s="1295">
        <f>IF('Proposed Lighting'!P37&gt;0.2,'Proposed Lighting'!P37,0)</f>
        <v>0</v>
      </c>
      <c r="I51" s="995">
        <f>'Proposed Lighting'!J37</f>
        <v>0</v>
      </c>
      <c r="J51" s="996"/>
      <c r="K51" s="996"/>
      <c r="L51" s="996"/>
      <c r="M51" s="996"/>
      <c r="N51" s="1005"/>
      <c r="O51" s="1296" t="str">
        <f>'Proposed Lighting'!Z37&amp;", "&amp;'Proposed Lighting'!EK37</f>
        <v xml:space="preserve">, </v>
      </c>
      <c r="P51" s="1292">
        <f>'Proposed Lighting'!T37</f>
        <v>0</v>
      </c>
      <c r="Q51" s="1293">
        <f>'Proposed Lighting'!AA37</f>
        <v>0</v>
      </c>
      <c r="R51" s="996"/>
      <c r="S51" s="1297">
        <f>IF('Proposed Lighting'!AR37=0,0,IF('Proposed Lighting'!AT37&gt;0.2,'Proposed Lighting'!AT37,0))</f>
        <v>0</v>
      </c>
      <c r="T51" s="997">
        <f>'Proposed Lighting'!X37</f>
        <v>0</v>
      </c>
      <c r="U51" s="998"/>
      <c r="V51" s="998"/>
      <c r="W51" s="1378">
        <f>IF('Proposed Lighting'!AF37=4,"WS",IF('Proposed Lighting'!AF37=5,"CM",IF('Proposed Lighting'!AF37=1.6,"PHOT",IF('Proposed Lighting'!AF37=1.5,"FM",IF('Proposed Lighting'!CT37=0.5,"LED-MS",IF('Proposed Lighting'!CB37&gt;1,"Non-S",IF('Proposed Lighting'!CT37=0.6,"LED-SS",IF('Proposed Lighting'!CT37=2,"LED-NW",IF('Proposed Lighting'!CT37=3,"LLLC",0)))))))))</f>
        <v>0</v>
      </c>
      <c r="X51" s="1293">
        <f>'Proposed Lighting'!EE37</f>
        <v>0</v>
      </c>
      <c r="Y51" s="1293">
        <f>'Proposed Lighting'!EF37</f>
        <v>0</v>
      </c>
    </row>
    <row r="52" spans="1:25" ht="50.1" customHeight="1">
      <c r="A52" s="1290">
        <v>30</v>
      </c>
      <c r="B52" s="1291">
        <f>'Proposed Lighting'!B38</f>
        <v>0</v>
      </c>
      <c r="C52" s="1291">
        <f>IF('Proposed Lighting'!M38="Sch 1","Sch 1",IF('Proposed Lighting'!M38="Sch 1-C", "Sch 1-C",IF('Proposed Lighting'!M38="Sch 2","Sch 2",IF('Proposed Lighting'!M38="Sch 2-C","Sch 2-C",IF('Proposed Lighting'!M38="Sch 3","Sch 3",IF('Proposed Lighting'!M38="Sch 3-C", "Sch 3-C",IF('Proposed Lighting'!M38="E", "E",IF('Proposed Lighting'!M38="E-C", "E-C",IF('Proposed Lighting'!M38="Dusk to Dawn","Sch D-D",IF('Proposed Lighting'!M38="Dusk to Dawn-C", "Sch DD-C",IF('Proposed Lighting'!M38="Seasonal", "SEA",IF('Proposed Lighting'!M38="Seasonal-C", "SEA-C",0))))))))))))</f>
        <v>0</v>
      </c>
      <c r="D52" s="1292">
        <f>'Proposed Lighting'!F38</f>
        <v>0</v>
      </c>
      <c r="E52" s="1293">
        <f>'Proposed Lighting'!N38</f>
        <v>0</v>
      </c>
      <c r="F52" s="996"/>
      <c r="G52" s="1294">
        <f>'Proposed Lighting'!K38</f>
        <v>0</v>
      </c>
      <c r="H52" s="1295">
        <f>IF('Proposed Lighting'!P38&gt;0.2,'Proposed Lighting'!P38,0)</f>
        <v>0</v>
      </c>
      <c r="I52" s="995">
        <f>'Proposed Lighting'!J38</f>
        <v>0</v>
      </c>
      <c r="J52" s="996"/>
      <c r="K52" s="996"/>
      <c r="L52" s="996"/>
      <c r="M52" s="996"/>
      <c r="N52" s="1005"/>
      <c r="O52" s="1296" t="str">
        <f>'Proposed Lighting'!Z38&amp;", "&amp;'Proposed Lighting'!EK38</f>
        <v xml:space="preserve">, </v>
      </c>
      <c r="P52" s="1292">
        <f>'Proposed Lighting'!T38</f>
        <v>0</v>
      </c>
      <c r="Q52" s="1293">
        <f>'Proposed Lighting'!AA38</f>
        <v>0</v>
      </c>
      <c r="R52" s="996"/>
      <c r="S52" s="1297">
        <f>IF('Proposed Lighting'!AR38=0,0,IF('Proposed Lighting'!AT38&gt;0.2,'Proposed Lighting'!AT38,0))</f>
        <v>0</v>
      </c>
      <c r="T52" s="997">
        <f>'Proposed Lighting'!X38</f>
        <v>0</v>
      </c>
      <c r="U52" s="998"/>
      <c r="V52" s="998"/>
      <c r="W52" s="1378">
        <f>IF('Proposed Lighting'!AF38=4,"WS",IF('Proposed Lighting'!AF38=5,"CM",IF('Proposed Lighting'!AF38=1.6,"PHOT",IF('Proposed Lighting'!AF38=1.5,"FM",IF('Proposed Lighting'!CT38=0.5,"LED-MS",IF('Proposed Lighting'!CB38&gt;1,"Non-S",IF('Proposed Lighting'!CT38=0.6,"LED-SS",IF('Proposed Lighting'!CT38=2,"LED-NW",IF('Proposed Lighting'!CT38=3,"LLLC",0)))))))))</f>
        <v>0</v>
      </c>
      <c r="X52" s="1293">
        <f>'Proposed Lighting'!EE38</f>
        <v>0</v>
      </c>
      <c r="Y52" s="1293">
        <f>'Proposed Lighting'!EF38</f>
        <v>0</v>
      </c>
    </row>
    <row r="53" spans="1:25" ht="50.1" customHeight="1">
      <c r="A53" s="1290">
        <v>31</v>
      </c>
      <c r="B53" s="1291">
        <f>'Proposed Lighting'!B39</f>
        <v>0</v>
      </c>
      <c r="C53" s="1291">
        <f>IF('Proposed Lighting'!M39="Sch 1","Sch 1",IF('Proposed Lighting'!M39="Sch 1-C", "Sch 1-C",IF('Proposed Lighting'!M39="Sch 2","Sch 2",IF('Proposed Lighting'!M39="Sch 2-C","Sch 2-C",IF('Proposed Lighting'!M39="Sch 3","Sch 3",IF('Proposed Lighting'!M39="Sch 3-C", "Sch 3-C",IF('Proposed Lighting'!M39="E", "E",IF('Proposed Lighting'!M39="E-C", "E-C",IF('Proposed Lighting'!M39="Dusk to Dawn","Sch D-D",IF('Proposed Lighting'!M39="Dusk to Dawn-C", "Sch DD-C",IF('Proposed Lighting'!M39="Seasonal", "SEA",IF('Proposed Lighting'!M39="Seasonal-C", "SEA-C",0))))))))))))</f>
        <v>0</v>
      </c>
      <c r="D53" s="1292">
        <f>'Proposed Lighting'!F39</f>
        <v>0</v>
      </c>
      <c r="E53" s="1293">
        <f>'Proposed Lighting'!N39</f>
        <v>0</v>
      </c>
      <c r="F53" s="996"/>
      <c r="G53" s="1294">
        <f>'Proposed Lighting'!K39</f>
        <v>0</v>
      </c>
      <c r="H53" s="1295">
        <f>IF('Proposed Lighting'!P39&gt;0.2,'Proposed Lighting'!P39,0)</f>
        <v>0</v>
      </c>
      <c r="I53" s="995">
        <f>'Proposed Lighting'!J39</f>
        <v>0</v>
      </c>
      <c r="J53" s="996"/>
      <c r="K53" s="996"/>
      <c r="L53" s="996"/>
      <c r="M53" s="996"/>
      <c r="N53" s="1005"/>
      <c r="O53" s="1296" t="str">
        <f>'Proposed Lighting'!Z39&amp;", "&amp;'Proposed Lighting'!EK39</f>
        <v xml:space="preserve">, </v>
      </c>
      <c r="P53" s="1292">
        <f>'Proposed Lighting'!T39</f>
        <v>0</v>
      </c>
      <c r="Q53" s="1293">
        <f>'Proposed Lighting'!AA39</f>
        <v>0</v>
      </c>
      <c r="R53" s="996"/>
      <c r="S53" s="1297">
        <f>IF('Proposed Lighting'!AR39=0,0,IF('Proposed Lighting'!AT39&gt;0.2,'Proposed Lighting'!AT39,0))</f>
        <v>0</v>
      </c>
      <c r="T53" s="997">
        <f>'Proposed Lighting'!X39</f>
        <v>0</v>
      </c>
      <c r="U53" s="998"/>
      <c r="V53" s="998"/>
      <c r="W53" s="1378">
        <f>IF('Proposed Lighting'!AF39=4,"WS",IF('Proposed Lighting'!AF39=5,"CM",IF('Proposed Lighting'!AF39=1.6,"PHOT",IF('Proposed Lighting'!AF39=1.5,"FM",IF('Proposed Lighting'!CT39=0.5,"LED-MS",IF('Proposed Lighting'!CB39&gt;1,"Non-S",IF('Proposed Lighting'!CT39=0.6,"LED-SS",IF('Proposed Lighting'!CT39=2,"LED-NW",IF('Proposed Lighting'!CT39=3,"LLLC",0)))))))))</f>
        <v>0</v>
      </c>
      <c r="X53" s="1293">
        <f>'Proposed Lighting'!EE39</f>
        <v>0</v>
      </c>
      <c r="Y53" s="1293">
        <f>'Proposed Lighting'!EF39</f>
        <v>0</v>
      </c>
    </row>
    <row r="54" spans="1:25" ht="50.1" customHeight="1">
      <c r="A54" s="1290">
        <v>32</v>
      </c>
      <c r="B54" s="1291">
        <f>'Proposed Lighting'!B40</f>
        <v>0</v>
      </c>
      <c r="C54" s="1291">
        <f>IF('Proposed Lighting'!M40="Sch 1","Sch 1",IF('Proposed Lighting'!M40="Sch 1-C", "Sch 1-C",IF('Proposed Lighting'!M40="Sch 2","Sch 2",IF('Proposed Lighting'!M40="Sch 2-C","Sch 2-C",IF('Proposed Lighting'!M40="Sch 3","Sch 3",IF('Proposed Lighting'!M40="Sch 3-C", "Sch 3-C",IF('Proposed Lighting'!M40="E", "E",IF('Proposed Lighting'!M40="E-C", "E-C",IF('Proposed Lighting'!M40="Dusk to Dawn","Sch D-D",IF('Proposed Lighting'!M40="Dusk to Dawn-C", "Sch DD-C",IF('Proposed Lighting'!M40="Seasonal", "SEA",IF('Proposed Lighting'!M40="Seasonal-C", "SEA-C",0))))))))))))</f>
        <v>0</v>
      </c>
      <c r="D54" s="1292">
        <f>'Proposed Lighting'!F40</f>
        <v>0</v>
      </c>
      <c r="E54" s="1293">
        <f>'Proposed Lighting'!N40</f>
        <v>0</v>
      </c>
      <c r="F54" s="996"/>
      <c r="G54" s="1294">
        <f>'Proposed Lighting'!K40</f>
        <v>0</v>
      </c>
      <c r="H54" s="1295">
        <f>IF('Proposed Lighting'!P40&gt;0.2,'Proposed Lighting'!P40,0)</f>
        <v>0</v>
      </c>
      <c r="I54" s="995">
        <f>'Proposed Lighting'!J40</f>
        <v>0</v>
      </c>
      <c r="J54" s="996"/>
      <c r="K54" s="996"/>
      <c r="L54" s="996"/>
      <c r="M54" s="996"/>
      <c r="N54" s="1005"/>
      <c r="O54" s="1296" t="str">
        <f>'Proposed Lighting'!Z40&amp;", "&amp;'Proposed Lighting'!EK40</f>
        <v xml:space="preserve">, </v>
      </c>
      <c r="P54" s="1292">
        <f>'Proposed Lighting'!T40</f>
        <v>0</v>
      </c>
      <c r="Q54" s="1293">
        <f>'Proposed Lighting'!AA40</f>
        <v>0</v>
      </c>
      <c r="R54" s="996"/>
      <c r="S54" s="1297">
        <f>IF('Proposed Lighting'!AR40=0,0,IF('Proposed Lighting'!AT40&gt;0.2,'Proposed Lighting'!AT40,0))</f>
        <v>0</v>
      </c>
      <c r="T54" s="997">
        <f>'Proposed Lighting'!X40</f>
        <v>0</v>
      </c>
      <c r="U54" s="998"/>
      <c r="V54" s="998"/>
      <c r="W54" s="1378">
        <f>IF('Proposed Lighting'!AF40=4,"WS",IF('Proposed Lighting'!AF40=5,"CM",IF('Proposed Lighting'!AF40=1.6,"PHOT",IF('Proposed Lighting'!AF40=1.5,"FM",IF('Proposed Lighting'!CT40=0.5,"LED-MS",IF('Proposed Lighting'!CB40&gt;1,"Non-S",IF('Proposed Lighting'!CT40=0.6,"LED-SS",IF('Proposed Lighting'!CT40=2,"LED-NW",IF('Proposed Lighting'!CT40=3,"LLLC",0)))))))))</f>
        <v>0</v>
      </c>
      <c r="X54" s="1293">
        <f>'Proposed Lighting'!EE40</f>
        <v>0</v>
      </c>
      <c r="Y54" s="1293">
        <f>'Proposed Lighting'!EF40</f>
        <v>0</v>
      </c>
    </row>
    <row r="55" spans="1:25" ht="50.1" customHeight="1">
      <c r="A55" s="1290">
        <v>33</v>
      </c>
      <c r="B55" s="1291">
        <f>'Proposed Lighting'!B41</f>
        <v>0</v>
      </c>
      <c r="C55" s="1291">
        <f>IF('Proposed Lighting'!M41="Sch 1","Sch 1",IF('Proposed Lighting'!M41="Sch 1-C", "Sch 1-C",IF('Proposed Lighting'!M41="Sch 2","Sch 2",IF('Proposed Lighting'!M41="Sch 2-C","Sch 2-C",IF('Proposed Lighting'!M41="Sch 3","Sch 3",IF('Proposed Lighting'!M41="Sch 3-C", "Sch 3-C",IF('Proposed Lighting'!M41="E", "E",IF('Proposed Lighting'!M41="E-C", "E-C",IF('Proposed Lighting'!M41="Dusk to Dawn","Sch D-D",IF('Proposed Lighting'!M41="Dusk to Dawn-C", "Sch DD-C",IF('Proposed Lighting'!M41="Seasonal", "SEA",IF('Proposed Lighting'!M41="Seasonal-C", "SEA-C",0))))))))))))</f>
        <v>0</v>
      </c>
      <c r="D55" s="1292">
        <f>'Proposed Lighting'!F41</f>
        <v>0</v>
      </c>
      <c r="E55" s="1293">
        <f>'Proposed Lighting'!N41</f>
        <v>0</v>
      </c>
      <c r="F55" s="996"/>
      <c r="G55" s="1294">
        <f>'Proposed Lighting'!K41</f>
        <v>0</v>
      </c>
      <c r="H55" s="1295">
        <f>IF('Proposed Lighting'!P41&gt;0.2,'Proposed Lighting'!P41,0)</f>
        <v>0</v>
      </c>
      <c r="I55" s="995">
        <f>'Proposed Lighting'!J41</f>
        <v>0</v>
      </c>
      <c r="J55" s="996"/>
      <c r="K55" s="996"/>
      <c r="L55" s="996"/>
      <c r="M55" s="996"/>
      <c r="N55" s="1005"/>
      <c r="O55" s="1296" t="str">
        <f>'Proposed Lighting'!Z41&amp;", "&amp;'Proposed Lighting'!EK41</f>
        <v xml:space="preserve">, </v>
      </c>
      <c r="P55" s="1292">
        <f>'Proposed Lighting'!T41</f>
        <v>0</v>
      </c>
      <c r="Q55" s="1293">
        <f>'Proposed Lighting'!AA41</f>
        <v>0</v>
      </c>
      <c r="R55" s="996"/>
      <c r="S55" s="1297">
        <f>IF('Proposed Lighting'!AR41=0,0,IF('Proposed Lighting'!AT41&gt;0.2,'Proposed Lighting'!AT41,0))</f>
        <v>0</v>
      </c>
      <c r="T55" s="997">
        <f>'Proposed Lighting'!X41</f>
        <v>0</v>
      </c>
      <c r="U55" s="998"/>
      <c r="V55" s="998"/>
      <c r="W55" s="1378">
        <f>IF('Proposed Lighting'!AF41=4,"WS",IF('Proposed Lighting'!AF41=5,"CM",IF('Proposed Lighting'!AF41=1.6,"PHOT",IF('Proposed Lighting'!AF41=1.5,"FM",IF('Proposed Lighting'!CT41=0.5,"LED-MS",IF('Proposed Lighting'!CB41&gt;1,"Non-S",IF('Proposed Lighting'!CT41=0.6,"LED-SS",IF('Proposed Lighting'!CT41=2,"LED-NW",IF('Proposed Lighting'!CT41=3,"LLLC",0)))))))))</f>
        <v>0</v>
      </c>
      <c r="X55" s="1293">
        <f>'Proposed Lighting'!EE41</f>
        <v>0</v>
      </c>
      <c r="Y55" s="1293">
        <f>'Proposed Lighting'!EF41</f>
        <v>0</v>
      </c>
    </row>
    <row r="56" spans="1:25" ht="50.1" customHeight="1">
      <c r="A56" s="1290">
        <v>34</v>
      </c>
      <c r="B56" s="1291">
        <f>'Proposed Lighting'!B42</f>
        <v>0</v>
      </c>
      <c r="C56" s="1291">
        <f>IF('Proposed Lighting'!M42="Sch 1","Sch 1",IF('Proposed Lighting'!M42="Sch 1-C", "Sch 1-C",IF('Proposed Lighting'!M42="Sch 2","Sch 2",IF('Proposed Lighting'!M42="Sch 2-C","Sch 2-C",IF('Proposed Lighting'!M42="Sch 3","Sch 3",IF('Proposed Lighting'!M42="Sch 3-C", "Sch 3-C",IF('Proposed Lighting'!M42="E", "E",IF('Proposed Lighting'!M42="E-C", "E-C",IF('Proposed Lighting'!M42="Dusk to Dawn","Sch D-D",IF('Proposed Lighting'!M42="Dusk to Dawn-C", "Sch DD-C",IF('Proposed Lighting'!M42="Seasonal", "SEA",IF('Proposed Lighting'!M42="Seasonal-C", "SEA-C",0))))))))))))</f>
        <v>0</v>
      </c>
      <c r="D56" s="1292">
        <f>'Proposed Lighting'!F42</f>
        <v>0</v>
      </c>
      <c r="E56" s="1293">
        <f>'Proposed Lighting'!N42</f>
        <v>0</v>
      </c>
      <c r="F56" s="996"/>
      <c r="G56" s="1294">
        <f>'Proposed Lighting'!K42</f>
        <v>0</v>
      </c>
      <c r="H56" s="1295">
        <f>IF('Proposed Lighting'!P42&gt;0.2,'Proposed Lighting'!P42,0)</f>
        <v>0</v>
      </c>
      <c r="I56" s="995">
        <f>'Proposed Lighting'!J42</f>
        <v>0</v>
      </c>
      <c r="J56" s="996"/>
      <c r="K56" s="996"/>
      <c r="L56" s="996"/>
      <c r="M56" s="996"/>
      <c r="N56" s="1005"/>
      <c r="O56" s="1296" t="str">
        <f>'Proposed Lighting'!Z42&amp;", "&amp;'Proposed Lighting'!EK42</f>
        <v xml:space="preserve">, </v>
      </c>
      <c r="P56" s="1292">
        <f>'Proposed Lighting'!T42</f>
        <v>0</v>
      </c>
      <c r="Q56" s="1293">
        <f>'Proposed Lighting'!AA42</f>
        <v>0</v>
      </c>
      <c r="R56" s="996"/>
      <c r="S56" s="1297">
        <f>IF('Proposed Lighting'!AR42=0,0,IF('Proposed Lighting'!AT42&gt;0.2,'Proposed Lighting'!AT42,0))</f>
        <v>0</v>
      </c>
      <c r="T56" s="997">
        <f>'Proposed Lighting'!X42</f>
        <v>0</v>
      </c>
      <c r="U56" s="998"/>
      <c r="V56" s="998"/>
      <c r="W56" s="1378">
        <f>IF('Proposed Lighting'!AF42=4,"WS",IF('Proposed Lighting'!AF42=5,"CM",IF('Proposed Lighting'!AF42=1.6,"PHOT",IF('Proposed Lighting'!AF42=1.5,"FM",IF('Proposed Lighting'!CT42=0.5,"LED-MS",IF('Proposed Lighting'!CB42&gt;1,"Non-S",IF('Proposed Lighting'!CT42=0.6,"LED-SS",IF('Proposed Lighting'!CT42=2,"LED-NW",IF('Proposed Lighting'!CT42=3,"LLLC",0)))))))))</f>
        <v>0</v>
      </c>
      <c r="X56" s="1293">
        <f>'Proposed Lighting'!EE42</f>
        <v>0</v>
      </c>
      <c r="Y56" s="1293">
        <f>'Proposed Lighting'!EF42</f>
        <v>0</v>
      </c>
    </row>
    <row r="57" spans="1:25" ht="50.1" customHeight="1">
      <c r="A57" s="1290">
        <v>35</v>
      </c>
      <c r="B57" s="1291">
        <f>'Proposed Lighting'!B43</f>
        <v>0</v>
      </c>
      <c r="C57" s="1291">
        <f>IF('Proposed Lighting'!M43="Sch 1","Sch 1",IF('Proposed Lighting'!M43="Sch 1-C", "Sch 1-C",IF('Proposed Lighting'!M43="Sch 2","Sch 2",IF('Proposed Lighting'!M43="Sch 2-C","Sch 2-C",IF('Proposed Lighting'!M43="Sch 3","Sch 3",IF('Proposed Lighting'!M43="Sch 3-C", "Sch 3-C",IF('Proposed Lighting'!M43="E", "E",IF('Proposed Lighting'!M43="E-C", "E-C",IF('Proposed Lighting'!M43="Dusk to Dawn","Sch D-D",IF('Proposed Lighting'!M43="Dusk to Dawn-C", "Sch DD-C",IF('Proposed Lighting'!M43="Seasonal", "SEA",IF('Proposed Lighting'!M43="Seasonal-C", "SEA-C",0))))))))))))</f>
        <v>0</v>
      </c>
      <c r="D57" s="1292">
        <f>'Proposed Lighting'!F43</f>
        <v>0</v>
      </c>
      <c r="E57" s="1293">
        <f>'Proposed Lighting'!N43</f>
        <v>0</v>
      </c>
      <c r="F57" s="996"/>
      <c r="G57" s="1294">
        <f>'Proposed Lighting'!K43</f>
        <v>0</v>
      </c>
      <c r="H57" s="1295">
        <f>IF('Proposed Lighting'!P43&gt;0.2,'Proposed Lighting'!P43,0)</f>
        <v>0</v>
      </c>
      <c r="I57" s="995">
        <f>'Proposed Lighting'!J43</f>
        <v>0</v>
      </c>
      <c r="J57" s="996"/>
      <c r="K57" s="996"/>
      <c r="L57" s="996"/>
      <c r="M57" s="996"/>
      <c r="N57" s="1005"/>
      <c r="O57" s="1296" t="str">
        <f>'Proposed Lighting'!Z43&amp;", "&amp;'Proposed Lighting'!EK43</f>
        <v xml:space="preserve">, </v>
      </c>
      <c r="P57" s="1292">
        <f>'Proposed Lighting'!T43</f>
        <v>0</v>
      </c>
      <c r="Q57" s="1293">
        <f>'Proposed Lighting'!AA43</f>
        <v>0</v>
      </c>
      <c r="R57" s="996"/>
      <c r="S57" s="1297">
        <f>IF('Proposed Lighting'!AR43=0,0,IF('Proposed Lighting'!AT43&gt;0.2,'Proposed Lighting'!AT43,0))</f>
        <v>0</v>
      </c>
      <c r="T57" s="997">
        <f>'Proposed Lighting'!X43</f>
        <v>0</v>
      </c>
      <c r="U57" s="998"/>
      <c r="V57" s="998"/>
      <c r="W57" s="1378">
        <f>IF('Proposed Lighting'!AF43=4,"WS",IF('Proposed Lighting'!AF43=5,"CM",IF('Proposed Lighting'!AF43=1.6,"PHOT",IF('Proposed Lighting'!AF43=1.5,"FM",IF('Proposed Lighting'!CT43=0.5,"LED-MS",IF('Proposed Lighting'!CB43&gt;1,"Non-S",IF('Proposed Lighting'!CT43=0.6,"LED-SS",IF('Proposed Lighting'!CT43=2,"LED-NW",IF('Proposed Lighting'!CT43=3,"LLLC",0)))))))))</f>
        <v>0</v>
      </c>
      <c r="X57" s="1293">
        <f>'Proposed Lighting'!EE43</f>
        <v>0</v>
      </c>
      <c r="Y57" s="1293">
        <f>'Proposed Lighting'!EF43</f>
        <v>0</v>
      </c>
    </row>
    <row r="58" spans="1:25" ht="50.1" customHeight="1">
      <c r="A58" s="1290">
        <v>36</v>
      </c>
      <c r="B58" s="1291">
        <f>'Proposed Lighting'!B44</f>
        <v>0</v>
      </c>
      <c r="C58" s="1291">
        <f>IF('Proposed Lighting'!M44="Sch 1","Sch 1",IF('Proposed Lighting'!M44="Sch 1-C", "Sch 1-C",IF('Proposed Lighting'!M44="Sch 2","Sch 2",IF('Proposed Lighting'!M44="Sch 2-C","Sch 2-C",IF('Proposed Lighting'!M44="Sch 3","Sch 3",IF('Proposed Lighting'!M44="Sch 3-C", "Sch 3-C",IF('Proposed Lighting'!M44="E", "E",IF('Proposed Lighting'!M44="E-C", "E-C",IF('Proposed Lighting'!M44="Dusk to Dawn","Sch D-D",IF('Proposed Lighting'!M44="Dusk to Dawn-C", "Sch DD-C",IF('Proposed Lighting'!M44="Seasonal", "SEA",IF('Proposed Lighting'!M44="Seasonal-C", "SEA-C",0))))))))))))</f>
        <v>0</v>
      </c>
      <c r="D58" s="1292">
        <f>'Proposed Lighting'!F44</f>
        <v>0</v>
      </c>
      <c r="E58" s="1293">
        <f>'Proposed Lighting'!N44</f>
        <v>0</v>
      </c>
      <c r="F58" s="996"/>
      <c r="G58" s="1294">
        <f>'Proposed Lighting'!K44</f>
        <v>0</v>
      </c>
      <c r="H58" s="1295">
        <f>IF('Proposed Lighting'!P44&gt;0.2,'Proposed Lighting'!P44,0)</f>
        <v>0</v>
      </c>
      <c r="I58" s="995">
        <f>'Proposed Lighting'!J44</f>
        <v>0</v>
      </c>
      <c r="J58" s="996"/>
      <c r="K58" s="996"/>
      <c r="L58" s="996"/>
      <c r="M58" s="996"/>
      <c r="N58" s="1005"/>
      <c r="O58" s="1296" t="str">
        <f>'Proposed Lighting'!Z44&amp;", "&amp;'Proposed Lighting'!EK44</f>
        <v xml:space="preserve">, </v>
      </c>
      <c r="P58" s="1292">
        <f>'Proposed Lighting'!T44</f>
        <v>0</v>
      </c>
      <c r="Q58" s="1293">
        <f>'Proposed Lighting'!AA44</f>
        <v>0</v>
      </c>
      <c r="R58" s="996"/>
      <c r="S58" s="1297">
        <f>IF('Proposed Lighting'!AR44=0,0,IF('Proposed Lighting'!AT44&gt;0.2,'Proposed Lighting'!AT44,0))</f>
        <v>0</v>
      </c>
      <c r="T58" s="997">
        <f>'Proposed Lighting'!X44</f>
        <v>0</v>
      </c>
      <c r="U58" s="998"/>
      <c r="V58" s="998"/>
      <c r="W58" s="1378">
        <f>IF('Proposed Lighting'!AF44=4,"WS",IF('Proposed Lighting'!AF44=5,"CM",IF('Proposed Lighting'!AF44=1.6,"PHOT",IF('Proposed Lighting'!AF44=1.5,"FM",IF('Proposed Lighting'!CT44=0.5,"LED-MS",IF('Proposed Lighting'!CB44&gt;1,"Non-S",IF('Proposed Lighting'!CT44=0.6,"LED-SS",IF('Proposed Lighting'!CT44=2,"LED-NW",IF('Proposed Lighting'!CT44=3,"LLLC",0)))))))))</f>
        <v>0</v>
      </c>
      <c r="X58" s="1293">
        <f>'Proposed Lighting'!EE44</f>
        <v>0</v>
      </c>
      <c r="Y58" s="1293">
        <f>'Proposed Lighting'!EF44</f>
        <v>0</v>
      </c>
    </row>
    <row r="59" spans="1:25" ht="50.1" customHeight="1">
      <c r="A59" s="1290">
        <v>37</v>
      </c>
      <c r="B59" s="1291">
        <f>'Proposed Lighting'!B45</f>
        <v>0</v>
      </c>
      <c r="C59" s="1291">
        <f>IF('Proposed Lighting'!M45="Sch 1","Sch 1",IF('Proposed Lighting'!M45="Sch 1-C", "Sch 1-C",IF('Proposed Lighting'!M45="Sch 2","Sch 2",IF('Proposed Lighting'!M45="Sch 2-C","Sch 2-C",IF('Proposed Lighting'!M45="Sch 3","Sch 3",IF('Proposed Lighting'!M45="Sch 3-C", "Sch 3-C",IF('Proposed Lighting'!M45="E", "E",IF('Proposed Lighting'!M45="E-C", "E-C",IF('Proposed Lighting'!M45="Dusk to Dawn","Sch D-D",IF('Proposed Lighting'!M45="Dusk to Dawn-C", "Sch DD-C",IF('Proposed Lighting'!M45="Seasonal", "SEA",IF('Proposed Lighting'!M45="Seasonal-C", "SEA-C",0))))))))))))</f>
        <v>0</v>
      </c>
      <c r="D59" s="1292">
        <f>'Proposed Lighting'!F45</f>
        <v>0</v>
      </c>
      <c r="E59" s="1293">
        <f>'Proposed Lighting'!N45</f>
        <v>0</v>
      </c>
      <c r="F59" s="996"/>
      <c r="G59" s="1294">
        <f>'Proposed Lighting'!K45</f>
        <v>0</v>
      </c>
      <c r="H59" s="1295">
        <f>IF('Proposed Lighting'!P45&gt;0.2,'Proposed Lighting'!P45,0)</f>
        <v>0</v>
      </c>
      <c r="I59" s="995">
        <f>'Proposed Lighting'!J45</f>
        <v>0</v>
      </c>
      <c r="J59" s="996"/>
      <c r="K59" s="996"/>
      <c r="L59" s="996"/>
      <c r="M59" s="996"/>
      <c r="N59" s="1005"/>
      <c r="O59" s="1296" t="str">
        <f>'Proposed Lighting'!Z45&amp;", "&amp;'Proposed Lighting'!EK45</f>
        <v xml:space="preserve">, </v>
      </c>
      <c r="P59" s="1292">
        <f>'Proposed Lighting'!T45</f>
        <v>0</v>
      </c>
      <c r="Q59" s="1293">
        <f>'Proposed Lighting'!AA45</f>
        <v>0</v>
      </c>
      <c r="R59" s="996"/>
      <c r="S59" s="1297">
        <f>IF('Proposed Lighting'!AR45=0,0,IF('Proposed Lighting'!AT45&gt;0.2,'Proposed Lighting'!AT45,0))</f>
        <v>0</v>
      </c>
      <c r="T59" s="997">
        <f>'Proposed Lighting'!X45</f>
        <v>0</v>
      </c>
      <c r="U59" s="998"/>
      <c r="V59" s="998"/>
      <c r="W59" s="1378">
        <f>IF('Proposed Lighting'!AF45=4,"WS",IF('Proposed Lighting'!AF45=5,"CM",IF('Proposed Lighting'!AF45=1.6,"PHOT",IF('Proposed Lighting'!AF45=1.5,"FM",IF('Proposed Lighting'!CT45=0.5,"LED-MS",IF('Proposed Lighting'!CB45&gt;1,"Non-S",IF('Proposed Lighting'!CT45=0.6,"LED-SS",IF('Proposed Lighting'!CT45=2,"LED-NW",IF('Proposed Lighting'!CT45=3,"LLLC",0)))))))))</f>
        <v>0</v>
      </c>
      <c r="X59" s="1293">
        <f>'Proposed Lighting'!EE45</f>
        <v>0</v>
      </c>
      <c r="Y59" s="1293">
        <f>'Proposed Lighting'!EF45</f>
        <v>0</v>
      </c>
    </row>
    <row r="60" spans="1:25" ht="50.1" customHeight="1">
      <c r="A60" s="1290">
        <v>38</v>
      </c>
      <c r="B60" s="1291">
        <f>'Proposed Lighting'!B46</f>
        <v>0</v>
      </c>
      <c r="C60" s="1291">
        <f>IF('Proposed Lighting'!M46="Sch 1","Sch 1",IF('Proposed Lighting'!M46="Sch 1-C", "Sch 1-C",IF('Proposed Lighting'!M46="Sch 2","Sch 2",IF('Proposed Lighting'!M46="Sch 2-C","Sch 2-C",IF('Proposed Lighting'!M46="Sch 3","Sch 3",IF('Proposed Lighting'!M46="Sch 3-C", "Sch 3-C",IF('Proposed Lighting'!M46="E", "E",IF('Proposed Lighting'!M46="E-C", "E-C",IF('Proposed Lighting'!M46="Dusk to Dawn","Sch D-D",IF('Proposed Lighting'!M46="Dusk to Dawn-C", "Sch DD-C",IF('Proposed Lighting'!M46="Seasonal", "SEA",IF('Proposed Lighting'!M46="Seasonal-C", "SEA-C",0))))))))))))</f>
        <v>0</v>
      </c>
      <c r="D60" s="1292">
        <f>'Proposed Lighting'!F46</f>
        <v>0</v>
      </c>
      <c r="E60" s="1293">
        <f>'Proposed Lighting'!N46</f>
        <v>0</v>
      </c>
      <c r="F60" s="996"/>
      <c r="G60" s="1294">
        <f>'Proposed Lighting'!K46</f>
        <v>0</v>
      </c>
      <c r="H60" s="1295">
        <f>IF('Proposed Lighting'!P46&gt;0.2,'Proposed Lighting'!P46,0)</f>
        <v>0</v>
      </c>
      <c r="I60" s="995">
        <f>'Proposed Lighting'!J46</f>
        <v>0</v>
      </c>
      <c r="J60" s="996"/>
      <c r="K60" s="996"/>
      <c r="L60" s="996"/>
      <c r="M60" s="996"/>
      <c r="N60" s="1005"/>
      <c r="O60" s="1296" t="str">
        <f>'Proposed Lighting'!Z46&amp;", "&amp;'Proposed Lighting'!EK46</f>
        <v xml:space="preserve">, </v>
      </c>
      <c r="P60" s="1292">
        <f>'Proposed Lighting'!T46</f>
        <v>0</v>
      </c>
      <c r="Q60" s="1293">
        <f>'Proposed Lighting'!AA46</f>
        <v>0</v>
      </c>
      <c r="R60" s="996"/>
      <c r="S60" s="1297">
        <f>IF('Proposed Lighting'!AR46=0,0,IF('Proposed Lighting'!AT46&gt;0.2,'Proposed Lighting'!AT46,0))</f>
        <v>0</v>
      </c>
      <c r="T60" s="997">
        <f>'Proposed Lighting'!X46</f>
        <v>0</v>
      </c>
      <c r="U60" s="998"/>
      <c r="V60" s="998"/>
      <c r="W60" s="1378">
        <f>IF('Proposed Lighting'!AF46=4,"WS",IF('Proposed Lighting'!AF46=5,"CM",IF('Proposed Lighting'!AF46=1.6,"PHOT",IF('Proposed Lighting'!AF46=1.5,"FM",IF('Proposed Lighting'!CT46=0.5,"LED-MS",IF('Proposed Lighting'!CB46&gt;1,"Non-S",IF('Proposed Lighting'!CT46=0.6,"LED-SS",IF('Proposed Lighting'!CT46=2,"LED-NW",IF('Proposed Lighting'!CT46=3,"LLLC",0)))))))))</f>
        <v>0</v>
      </c>
      <c r="X60" s="1293">
        <f>'Proposed Lighting'!EE46</f>
        <v>0</v>
      </c>
      <c r="Y60" s="1293">
        <f>'Proposed Lighting'!EF46</f>
        <v>0</v>
      </c>
    </row>
    <row r="61" spans="1:25" ht="50.1" customHeight="1">
      <c r="A61" s="1290">
        <v>39</v>
      </c>
      <c r="B61" s="1291">
        <f>'Proposed Lighting'!B47</f>
        <v>0</v>
      </c>
      <c r="C61" s="1291">
        <f>IF('Proposed Lighting'!M47="Sch 1","Sch 1",IF('Proposed Lighting'!M47="Sch 1-C", "Sch 1-C",IF('Proposed Lighting'!M47="Sch 2","Sch 2",IF('Proposed Lighting'!M47="Sch 2-C","Sch 2-C",IF('Proposed Lighting'!M47="Sch 3","Sch 3",IF('Proposed Lighting'!M47="Sch 3-C", "Sch 3-C",IF('Proposed Lighting'!M47="E", "E",IF('Proposed Lighting'!M47="E-C", "E-C",IF('Proposed Lighting'!M47="Dusk to Dawn","Sch D-D",IF('Proposed Lighting'!M47="Dusk to Dawn-C", "Sch DD-C",IF('Proposed Lighting'!M47="Seasonal", "SEA",IF('Proposed Lighting'!M47="Seasonal-C", "SEA-C",0))))))))))))</f>
        <v>0</v>
      </c>
      <c r="D61" s="1292">
        <f>'Proposed Lighting'!F47</f>
        <v>0</v>
      </c>
      <c r="E61" s="1293">
        <f>'Proposed Lighting'!N47</f>
        <v>0</v>
      </c>
      <c r="F61" s="996"/>
      <c r="G61" s="1294">
        <f>'Proposed Lighting'!K47</f>
        <v>0</v>
      </c>
      <c r="H61" s="1295">
        <f>IF('Proposed Lighting'!P47&gt;0.2,'Proposed Lighting'!P47,0)</f>
        <v>0</v>
      </c>
      <c r="I61" s="995">
        <f>'Proposed Lighting'!J47</f>
        <v>0</v>
      </c>
      <c r="J61" s="996"/>
      <c r="K61" s="996"/>
      <c r="L61" s="996"/>
      <c r="M61" s="996"/>
      <c r="N61" s="1005"/>
      <c r="O61" s="1296" t="str">
        <f>'Proposed Lighting'!Z47&amp;", "&amp;'Proposed Lighting'!EK47</f>
        <v xml:space="preserve">, </v>
      </c>
      <c r="P61" s="1292">
        <f>'Proposed Lighting'!T47</f>
        <v>0</v>
      </c>
      <c r="Q61" s="1293">
        <f>'Proposed Lighting'!AA47</f>
        <v>0</v>
      </c>
      <c r="R61" s="996"/>
      <c r="S61" s="1297">
        <f>IF('Proposed Lighting'!AR47=0,0,IF('Proposed Lighting'!AT47&gt;0.2,'Proposed Lighting'!AT47,0))</f>
        <v>0</v>
      </c>
      <c r="T61" s="997">
        <f>'Proposed Lighting'!X47</f>
        <v>0</v>
      </c>
      <c r="U61" s="998"/>
      <c r="V61" s="998"/>
      <c r="W61" s="1378">
        <f>IF('Proposed Lighting'!AF47=4,"WS",IF('Proposed Lighting'!AF47=5,"CM",IF('Proposed Lighting'!AF47=1.6,"PHOT",IF('Proposed Lighting'!AF47=1.5,"FM",IF('Proposed Lighting'!CT47=0.5,"LED-MS",IF('Proposed Lighting'!CB47&gt;1,"Non-S",IF('Proposed Lighting'!CT47=0.6,"LED-SS",IF('Proposed Lighting'!CT47=2,"LED-NW",IF('Proposed Lighting'!CT47=3,"LLLC",0)))))))))</f>
        <v>0</v>
      </c>
      <c r="X61" s="1293">
        <f>'Proposed Lighting'!EE47</f>
        <v>0</v>
      </c>
      <c r="Y61" s="1293">
        <f>'Proposed Lighting'!EF47</f>
        <v>0</v>
      </c>
    </row>
    <row r="62" spans="1:25" ht="50.1" customHeight="1">
      <c r="A62" s="1290">
        <v>40</v>
      </c>
      <c r="B62" s="1291">
        <f>'Proposed Lighting'!B48</f>
        <v>0</v>
      </c>
      <c r="C62" s="1291">
        <f>IF('Proposed Lighting'!M48="Sch 1","Sch 1",IF('Proposed Lighting'!M48="Sch 1-C", "Sch 1-C",IF('Proposed Lighting'!M48="Sch 2","Sch 2",IF('Proposed Lighting'!M48="Sch 2-C","Sch 2-C",IF('Proposed Lighting'!M48="Sch 3","Sch 3",IF('Proposed Lighting'!M48="Sch 3-C", "Sch 3-C",IF('Proposed Lighting'!M48="E", "E",IF('Proposed Lighting'!M48="E-C", "E-C",IF('Proposed Lighting'!M48="Dusk to Dawn","Sch D-D",IF('Proposed Lighting'!M48="Dusk to Dawn-C", "Sch DD-C",IF('Proposed Lighting'!M48="Seasonal", "SEA",IF('Proposed Lighting'!M48="Seasonal-C", "SEA-C",0))))))))))))</f>
        <v>0</v>
      </c>
      <c r="D62" s="1292">
        <f>'Proposed Lighting'!F48</f>
        <v>0</v>
      </c>
      <c r="E62" s="1293">
        <f>'Proposed Lighting'!N48</f>
        <v>0</v>
      </c>
      <c r="F62" s="996"/>
      <c r="G62" s="1294">
        <f>'Proposed Lighting'!K48</f>
        <v>0</v>
      </c>
      <c r="H62" s="1295">
        <f>IF('Proposed Lighting'!P48&gt;0.2,'Proposed Lighting'!P48,0)</f>
        <v>0</v>
      </c>
      <c r="I62" s="995">
        <f>'Proposed Lighting'!J48</f>
        <v>0</v>
      </c>
      <c r="J62" s="996"/>
      <c r="K62" s="996"/>
      <c r="L62" s="996"/>
      <c r="M62" s="996"/>
      <c r="N62" s="1005"/>
      <c r="O62" s="1296" t="str">
        <f>'Proposed Lighting'!Z48&amp;", "&amp;'Proposed Lighting'!EK48</f>
        <v xml:space="preserve">, </v>
      </c>
      <c r="P62" s="1292">
        <f>'Proposed Lighting'!T48</f>
        <v>0</v>
      </c>
      <c r="Q62" s="1293">
        <f>'Proposed Lighting'!AA48</f>
        <v>0</v>
      </c>
      <c r="R62" s="996"/>
      <c r="S62" s="1297">
        <f>IF('Proposed Lighting'!AR48=0,0,IF('Proposed Lighting'!AT48&gt;0.2,'Proposed Lighting'!AT48,0))</f>
        <v>0</v>
      </c>
      <c r="T62" s="997">
        <f>'Proposed Lighting'!X48</f>
        <v>0</v>
      </c>
      <c r="U62" s="998"/>
      <c r="V62" s="998"/>
      <c r="W62" s="1378">
        <f>IF('Proposed Lighting'!AF48=4,"WS",IF('Proposed Lighting'!AF48=5,"CM",IF('Proposed Lighting'!AF48=1.6,"PHOT",IF('Proposed Lighting'!AF48=1.5,"FM",IF('Proposed Lighting'!CT48=0.5,"LED-MS",IF('Proposed Lighting'!CB48&gt;1,"Non-S",IF('Proposed Lighting'!CT48=0.6,"LED-SS",IF('Proposed Lighting'!CT48=2,"LED-NW",IF('Proposed Lighting'!CT48=3,"LLLC",0)))))))))</f>
        <v>0</v>
      </c>
      <c r="X62" s="1293">
        <f>'Proposed Lighting'!EE48</f>
        <v>0</v>
      </c>
      <c r="Y62" s="1293">
        <f>'Proposed Lighting'!EF48</f>
        <v>0</v>
      </c>
    </row>
    <row r="63" spans="1:25" ht="50.1" customHeight="1">
      <c r="A63" s="1290">
        <v>41</v>
      </c>
      <c r="B63" s="1291">
        <f>'Proposed Lighting'!B49</f>
        <v>0</v>
      </c>
      <c r="C63" s="1291">
        <f>IF('Proposed Lighting'!M49="Sch 1","Sch 1",IF('Proposed Lighting'!M49="Sch 1-C", "Sch 1-C",IF('Proposed Lighting'!M49="Sch 2","Sch 2",IF('Proposed Lighting'!M49="Sch 2-C","Sch 2-C",IF('Proposed Lighting'!M49="Sch 3","Sch 3",IF('Proposed Lighting'!M49="Sch 3-C", "Sch 3-C",IF('Proposed Lighting'!M49="E", "E",IF('Proposed Lighting'!M49="E-C", "E-C",IF('Proposed Lighting'!M49="Dusk to Dawn","Sch D-D",IF('Proposed Lighting'!M49="Dusk to Dawn-C", "Sch DD-C",IF('Proposed Lighting'!M49="Seasonal", "SEA",IF('Proposed Lighting'!M49="Seasonal-C", "SEA-C",0))))))))))))</f>
        <v>0</v>
      </c>
      <c r="D63" s="1292">
        <f>'Proposed Lighting'!F49</f>
        <v>0</v>
      </c>
      <c r="E63" s="1293">
        <f>'Proposed Lighting'!N49</f>
        <v>0</v>
      </c>
      <c r="F63" s="996"/>
      <c r="G63" s="1294">
        <f>'Proposed Lighting'!K49</f>
        <v>0</v>
      </c>
      <c r="H63" s="1295">
        <f>IF('Proposed Lighting'!P49&gt;0.2,'Proposed Lighting'!P49,0)</f>
        <v>0</v>
      </c>
      <c r="I63" s="995">
        <f>'Proposed Lighting'!J49</f>
        <v>0</v>
      </c>
      <c r="J63" s="996"/>
      <c r="K63" s="996"/>
      <c r="L63" s="996"/>
      <c r="M63" s="996"/>
      <c r="N63" s="1005"/>
      <c r="O63" s="1296" t="str">
        <f>'Proposed Lighting'!Z49&amp;", "&amp;'Proposed Lighting'!EK49</f>
        <v xml:space="preserve">, </v>
      </c>
      <c r="P63" s="1292">
        <f>'Proposed Lighting'!T49</f>
        <v>0</v>
      </c>
      <c r="Q63" s="1293">
        <f>'Proposed Lighting'!AA49</f>
        <v>0</v>
      </c>
      <c r="R63" s="996"/>
      <c r="S63" s="1297">
        <f>IF('Proposed Lighting'!AR49=0,0,IF('Proposed Lighting'!AT49&gt;0.2,'Proposed Lighting'!AT49,0))</f>
        <v>0</v>
      </c>
      <c r="T63" s="997">
        <f>'Proposed Lighting'!X49</f>
        <v>0</v>
      </c>
      <c r="U63" s="998"/>
      <c r="V63" s="998"/>
      <c r="W63" s="1378">
        <f>IF('Proposed Lighting'!AF49=4,"WS",IF('Proposed Lighting'!AF49=5,"CM",IF('Proposed Lighting'!AF49=1.6,"PHOT",IF('Proposed Lighting'!AF49=1.5,"FM",IF('Proposed Lighting'!CT49=0.5,"LED-MS",IF('Proposed Lighting'!CB49&gt;1,"Non-S",IF('Proposed Lighting'!CT49=0.6,"LED-SS",IF('Proposed Lighting'!CT49=2,"LED-NW",IF('Proposed Lighting'!CT49=3,"LLLC",0)))))))))</f>
        <v>0</v>
      </c>
      <c r="X63" s="1293">
        <f>'Proposed Lighting'!EE49</f>
        <v>0</v>
      </c>
      <c r="Y63" s="1293">
        <f>'Proposed Lighting'!EF49</f>
        <v>0</v>
      </c>
    </row>
    <row r="64" spans="1:25" ht="50.1" customHeight="1">
      <c r="A64" s="1290">
        <v>42</v>
      </c>
      <c r="B64" s="1291">
        <f>'Proposed Lighting'!B50</f>
        <v>0</v>
      </c>
      <c r="C64" s="1291">
        <f>IF('Proposed Lighting'!M50="Sch 1","Sch 1",IF('Proposed Lighting'!M50="Sch 1-C", "Sch 1-C",IF('Proposed Lighting'!M50="Sch 2","Sch 2",IF('Proposed Lighting'!M50="Sch 2-C","Sch 2-C",IF('Proposed Lighting'!M50="Sch 3","Sch 3",IF('Proposed Lighting'!M50="Sch 3-C", "Sch 3-C",IF('Proposed Lighting'!M50="E", "E",IF('Proposed Lighting'!M50="E-C", "E-C",IF('Proposed Lighting'!M50="Dusk to Dawn","Sch D-D",IF('Proposed Lighting'!M50="Dusk to Dawn-C", "Sch DD-C",IF('Proposed Lighting'!M50="Seasonal", "SEA",IF('Proposed Lighting'!M50="Seasonal-C", "SEA-C",0))))))))))))</f>
        <v>0</v>
      </c>
      <c r="D64" s="1292">
        <f>'Proposed Lighting'!F50</f>
        <v>0</v>
      </c>
      <c r="E64" s="1293">
        <f>'Proposed Lighting'!N50</f>
        <v>0</v>
      </c>
      <c r="F64" s="996"/>
      <c r="G64" s="1294">
        <f>'Proposed Lighting'!K50</f>
        <v>0</v>
      </c>
      <c r="H64" s="1295">
        <f>IF('Proposed Lighting'!P50&gt;0.2,'Proposed Lighting'!P50,0)</f>
        <v>0</v>
      </c>
      <c r="I64" s="995">
        <f>'Proposed Lighting'!J50</f>
        <v>0</v>
      </c>
      <c r="J64" s="996"/>
      <c r="K64" s="996"/>
      <c r="L64" s="996"/>
      <c r="M64" s="996"/>
      <c r="N64" s="1005"/>
      <c r="O64" s="1296" t="str">
        <f>'Proposed Lighting'!Z50&amp;", "&amp;'Proposed Lighting'!EK50</f>
        <v xml:space="preserve">, </v>
      </c>
      <c r="P64" s="1292">
        <f>'Proposed Lighting'!T50</f>
        <v>0</v>
      </c>
      <c r="Q64" s="1293">
        <f>'Proposed Lighting'!AA50</f>
        <v>0</v>
      </c>
      <c r="R64" s="996"/>
      <c r="S64" s="1297">
        <f>IF('Proposed Lighting'!AR50=0,0,IF('Proposed Lighting'!AT50&gt;0.2,'Proposed Lighting'!AT50,0))</f>
        <v>0</v>
      </c>
      <c r="T64" s="997">
        <f>'Proposed Lighting'!X50</f>
        <v>0</v>
      </c>
      <c r="U64" s="998"/>
      <c r="V64" s="998"/>
      <c r="W64" s="1378">
        <f>IF('Proposed Lighting'!AF50=4,"WS",IF('Proposed Lighting'!AF50=5,"CM",IF('Proposed Lighting'!AF50=1.6,"PHOT",IF('Proposed Lighting'!AF50=1.5,"FM",IF('Proposed Lighting'!CT50=0.5,"LED-MS",IF('Proposed Lighting'!CB50&gt;1,"Non-S",IF('Proposed Lighting'!CT50=0.6,"LED-SS",IF('Proposed Lighting'!CT50=2,"LED-NW",IF('Proposed Lighting'!CT50=3,"LLLC",0)))))))))</f>
        <v>0</v>
      </c>
      <c r="X64" s="1293">
        <f>'Proposed Lighting'!EE50</f>
        <v>0</v>
      </c>
      <c r="Y64" s="1293">
        <f>'Proposed Lighting'!EF50</f>
        <v>0</v>
      </c>
    </row>
    <row r="65" spans="1:25" ht="50.1" customHeight="1">
      <c r="A65" s="1290">
        <v>43</v>
      </c>
      <c r="B65" s="1291">
        <f>'Proposed Lighting'!B51</f>
        <v>0</v>
      </c>
      <c r="C65" s="1291">
        <f>IF('Proposed Lighting'!M51="Sch 1","Sch 1",IF('Proposed Lighting'!M51="Sch 1-C", "Sch 1-C",IF('Proposed Lighting'!M51="Sch 2","Sch 2",IF('Proposed Lighting'!M51="Sch 2-C","Sch 2-C",IF('Proposed Lighting'!M51="Sch 3","Sch 3",IF('Proposed Lighting'!M51="Sch 3-C", "Sch 3-C",IF('Proposed Lighting'!M51="E", "E",IF('Proposed Lighting'!M51="E-C", "E-C",IF('Proposed Lighting'!M51="Dusk to Dawn","Sch D-D",IF('Proposed Lighting'!M51="Dusk to Dawn-C", "Sch DD-C",IF('Proposed Lighting'!M51="Seasonal", "SEA",IF('Proposed Lighting'!M51="Seasonal-C", "SEA-C",0))))))))))))</f>
        <v>0</v>
      </c>
      <c r="D65" s="1292">
        <f>'Proposed Lighting'!F51</f>
        <v>0</v>
      </c>
      <c r="E65" s="1293">
        <f>'Proposed Lighting'!N51</f>
        <v>0</v>
      </c>
      <c r="F65" s="996"/>
      <c r="G65" s="1294">
        <f>'Proposed Lighting'!K51</f>
        <v>0</v>
      </c>
      <c r="H65" s="1295">
        <f>IF('Proposed Lighting'!P51&gt;0.2,'Proposed Lighting'!P51,0)</f>
        <v>0</v>
      </c>
      <c r="I65" s="995">
        <f>'Proposed Lighting'!J51</f>
        <v>0</v>
      </c>
      <c r="J65" s="996"/>
      <c r="K65" s="996"/>
      <c r="L65" s="996"/>
      <c r="M65" s="996"/>
      <c r="N65" s="1005"/>
      <c r="O65" s="1296" t="str">
        <f>'Proposed Lighting'!Z51&amp;", "&amp;'Proposed Lighting'!EK51</f>
        <v xml:space="preserve">, </v>
      </c>
      <c r="P65" s="1292">
        <f>'Proposed Lighting'!T51</f>
        <v>0</v>
      </c>
      <c r="Q65" s="1293">
        <f>'Proposed Lighting'!AA51</f>
        <v>0</v>
      </c>
      <c r="R65" s="996"/>
      <c r="S65" s="1297">
        <f>IF('Proposed Lighting'!AR51=0,0,IF('Proposed Lighting'!AT51&gt;0.2,'Proposed Lighting'!AT51,0))</f>
        <v>0</v>
      </c>
      <c r="T65" s="997">
        <f>'Proposed Lighting'!X51</f>
        <v>0</v>
      </c>
      <c r="U65" s="998"/>
      <c r="V65" s="998"/>
      <c r="W65" s="1378">
        <f>IF('Proposed Lighting'!AF51=4,"WS",IF('Proposed Lighting'!AF51=5,"CM",IF('Proposed Lighting'!AF51=1.6,"PHOT",IF('Proposed Lighting'!AF51=1.5,"FM",IF('Proposed Lighting'!CT51=0.5,"LED-MS",IF('Proposed Lighting'!CB51&gt;1,"Non-S",IF('Proposed Lighting'!CT51=0.6,"LED-SS",IF('Proposed Lighting'!CT51=2,"LED-NW",IF('Proposed Lighting'!CT51=3,"LLLC",0)))))))))</f>
        <v>0</v>
      </c>
      <c r="X65" s="1293">
        <f>'Proposed Lighting'!EE51</f>
        <v>0</v>
      </c>
      <c r="Y65" s="1293">
        <f>'Proposed Lighting'!EF51</f>
        <v>0</v>
      </c>
    </row>
    <row r="66" spans="1:25" ht="50.1" customHeight="1">
      <c r="A66" s="1290">
        <v>44</v>
      </c>
      <c r="B66" s="1291">
        <f>'Proposed Lighting'!B52</f>
        <v>0</v>
      </c>
      <c r="C66" s="1291">
        <f>IF('Proposed Lighting'!M52="Sch 1","Sch 1",IF('Proposed Lighting'!M52="Sch 1-C", "Sch 1-C",IF('Proposed Lighting'!M52="Sch 2","Sch 2",IF('Proposed Lighting'!M52="Sch 2-C","Sch 2-C",IF('Proposed Lighting'!M52="Sch 3","Sch 3",IF('Proposed Lighting'!M52="Sch 3-C", "Sch 3-C",IF('Proposed Lighting'!M52="E", "E",IF('Proposed Lighting'!M52="E-C", "E-C",IF('Proposed Lighting'!M52="Dusk to Dawn","Sch D-D",IF('Proposed Lighting'!M52="Dusk to Dawn-C", "Sch DD-C",IF('Proposed Lighting'!M52="Seasonal", "SEA",IF('Proposed Lighting'!M52="Seasonal-C", "SEA-C",0))))))))))))</f>
        <v>0</v>
      </c>
      <c r="D66" s="1292">
        <f>'Proposed Lighting'!F52</f>
        <v>0</v>
      </c>
      <c r="E66" s="1293">
        <f>'Proposed Lighting'!N52</f>
        <v>0</v>
      </c>
      <c r="F66" s="996"/>
      <c r="G66" s="1294">
        <f>'Proposed Lighting'!K52</f>
        <v>0</v>
      </c>
      <c r="H66" s="1295">
        <f>IF('Proposed Lighting'!P52&gt;0.2,'Proposed Lighting'!P52,0)</f>
        <v>0</v>
      </c>
      <c r="I66" s="995">
        <f>'Proposed Lighting'!J52</f>
        <v>0</v>
      </c>
      <c r="J66" s="996"/>
      <c r="K66" s="996"/>
      <c r="L66" s="996"/>
      <c r="M66" s="996"/>
      <c r="N66" s="1005"/>
      <c r="O66" s="1296" t="str">
        <f>'Proposed Lighting'!Z52&amp;", "&amp;'Proposed Lighting'!EK52</f>
        <v xml:space="preserve">, </v>
      </c>
      <c r="P66" s="1292">
        <f>'Proposed Lighting'!T52</f>
        <v>0</v>
      </c>
      <c r="Q66" s="1293">
        <f>'Proposed Lighting'!AA52</f>
        <v>0</v>
      </c>
      <c r="R66" s="996"/>
      <c r="S66" s="1297">
        <f>IF('Proposed Lighting'!AR52=0,0,IF('Proposed Lighting'!AT52&gt;0.2,'Proposed Lighting'!AT52,0))</f>
        <v>0</v>
      </c>
      <c r="T66" s="997">
        <f>'Proposed Lighting'!X52</f>
        <v>0</v>
      </c>
      <c r="U66" s="998"/>
      <c r="V66" s="998"/>
      <c r="W66" s="1378">
        <f>IF('Proposed Lighting'!AF52=4,"WS",IF('Proposed Lighting'!AF52=5,"CM",IF('Proposed Lighting'!AF52=1.6,"PHOT",IF('Proposed Lighting'!AF52=1.5,"FM",IF('Proposed Lighting'!CT52=0.5,"LED-MS",IF('Proposed Lighting'!CB52&gt;1,"Non-S",IF('Proposed Lighting'!CT52=0.6,"LED-SS",IF('Proposed Lighting'!CT52=2,"LED-NW",IF('Proposed Lighting'!CT52=3,"LLLC",0)))))))))</f>
        <v>0</v>
      </c>
      <c r="X66" s="1293">
        <f>'Proposed Lighting'!EE52</f>
        <v>0</v>
      </c>
      <c r="Y66" s="1293">
        <f>'Proposed Lighting'!EF52</f>
        <v>0</v>
      </c>
    </row>
    <row r="67" spans="1:25" ht="50.1" customHeight="1">
      <c r="A67" s="1290">
        <v>45</v>
      </c>
      <c r="B67" s="1291">
        <f>'Proposed Lighting'!B53</f>
        <v>0</v>
      </c>
      <c r="C67" s="1291">
        <f>IF('Proposed Lighting'!M53="Sch 1","Sch 1",IF('Proposed Lighting'!M53="Sch 1-C", "Sch 1-C",IF('Proposed Lighting'!M53="Sch 2","Sch 2",IF('Proposed Lighting'!M53="Sch 2-C","Sch 2-C",IF('Proposed Lighting'!M53="Sch 3","Sch 3",IF('Proposed Lighting'!M53="Sch 3-C", "Sch 3-C",IF('Proposed Lighting'!M53="E", "E",IF('Proposed Lighting'!M53="E-C", "E-C",IF('Proposed Lighting'!M53="Dusk to Dawn","Sch D-D",IF('Proposed Lighting'!M53="Dusk to Dawn-C", "Sch DD-C",IF('Proposed Lighting'!M53="Seasonal", "SEA",IF('Proposed Lighting'!M53="Seasonal-C", "SEA-C",0))))))))))))</f>
        <v>0</v>
      </c>
      <c r="D67" s="1292">
        <f>'Proposed Lighting'!F53</f>
        <v>0</v>
      </c>
      <c r="E67" s="1293">
        <f>'Proposed Lighting'!N53</f>
        <v>0</v>
      </c>
      <c r="F67" s="996"/>
      <c r="G67" s="1294">
        <f>'Proposed Lighting'!K53</f>
        <v>0</v>
      </c>
      <c r="H67" s="1295">
        <f>IF('Proposed Lighting'!P53&gt;0.2,'Proposed Lighting'!P53,0)</f>
        <v>0</v>
      </c>
      <c r="I67" s="995">
        <f>'Proposed Lighting'!J53</f>
        <v>0</v>
      </c>
      <c r="J67" s="996"/>
      <c r="K67" s="996"/>
      <c r="L67" s="996"/>
      <c r="M67" s="996"/>
      <c r="N67" s="1005"/>
      <c r="O67" s="1296" t="str">
        <f>'Proposed Lighting'!Z53&amp;", "&amp;'Proposed Lighting'!EK53</f>
        <v xml:space="preserve">, </v>
      </c>
      <c r="P67" s="1292">
        <f>'Proposed Lighting'!T53</f>
        <v>0</v>
      </c>
      <c r="Q67" s="1293">
        <f>'Proposed Lighting'!AA53</f>
        <v>0</v>
      </c>
      <c r="R67" s="996"/>
      <c r="S67" s="1297">
        <f>IF('Proposed Lighting'!AR53=0,0,IF('Proposed Lighting'!AT53&gt;0.2,'Proposed Lighting'!AT53,0))</f>
        <v>0</v>
      </c>
      <c r="T67" s="997">
        <f>'Proposed Lighting'!X53</f>
        <v>0</v>
      </c>
      <c r="U67" s="998"/>
      <c r="V67" s="998"/>
      <c r="W67" s="1378">
        <f>IF('Proposed Lighting'!AF53=4,"WS",IF('Proposed Lighting'!AF53=5,"CM",IF('Proposed Lighting'!AF53=1.6,"PHOT",IF('Proposed Lighting'!AF53=1.5,"FM",IF('Proposed Lighting'!CT53=0.5,"LED-MS",IF('Proposed Lighting'!CB53&gt;1,"Non-S",IF('Proposed Lighting'!CT53=0.6,"LED-SS",IF('Proposed Lighting'!CT53=2,"LED-NW",IF('Proposed Lighting'!CT53=3,"LLLC",0)))))))))</f>
        <v>0</v>
      </c>
      <c r="X67" s="1293">
        <f>'Proposed Lighting'!EE53</f>
        <v>0</v>
      </c>
      <c r="Y67" s="1293">
        <f>'Proposed Lighting'!EF53</f>
        <v>0</v>
      </c>
    </row>
    <row r="68" spans="1:25" ht="50.1" customHeight="1">
      <c r="A68" s="1290">
        <v>46</v>
      </c>
      <c r="B68" s="1291">
        <f>'Proposed Lighting'!B54</f>
        <v>0</v>
      </c>
      <c r="C68" s="1291">
        <f>IF('Proposed Lighting'!M54="Sch 1","Sch 1",IF('Proposed Lighting'!M54="Sch 1-C", "Sch 1-C",IF('Proposed Lighting'!M54="Sch 2","Sch 2",IF('Proposed Lighting'!M54="Sch 2-C","Sch 2-C",IF('Proposed Lighting'!M54="Sch 3","Sch 3",IF('Proposed Lighting'!M54="Sch 3-C", "Sch 3-C",IF('Proposed Lighting'!M54="E", "E",IF('Proposed Lighting'!M54="E-C", "E-C",IF('Proposed Lighting'!M54="Dusk to Dawn","Sch D-D",IF('Proposed Lighting'!M54="Dusk to Dawn-C", "Sch DD-C",IF('Proposed Lighting'!M54="Seasonal", "SEA",IF('Proposed Lighting'!M54="Seasonal-C", "SEA-C",0))))))))))))</f>
        <v>0</v>
      </c>
      <c r="D68" s="1292">
        <f>'Proposed Lighting'!F54</f>
        <v>0</v>
      </c>
      <c r="E68" s="1293">
        <f>'Proposed Lighting'!N54</f>
        <v>0</v>
      </c>
      <c r="F68" s="996"/>
      <c r="G68" s="1294">
        <f>'Proposed Lighting'!K54</f>
        <v>0</v>
      </c>
      <c r="H68" s="1295">
        <f>IF('Proposed Lighting'!P54&gt;0.2,'Proposed Lighting'!P54,0)</f>
        <v>0</v>
      </c>
      <c r="I68" s="995">
        <f>'Proposed Lighting'!J54</f>
        <v>0</v>
      </c>
      <c r="J68" s="996"/>
      <c r="K68" s="996"/>
      <c r="L68" s="996"/>
      <c r="M68" s="996"/>
      <c r="N68" s="1005"/>
      <c r="O68" s="1296" t="str">
        <f>'Proposed Lighting'!Z54&amp;", "&amp;'Proposed Lighting'!EK54</f>
        <v xml:space="preserve">, </v>
      </c>
      <c r="P68" s="1292">
        <f>'Proposed Lighting'!T54</f>
        <v>0</v>
      </c>
      <c r="Q68" s="1293">
        <f>'Proposed Lighting'!AA54</f>
        <v>0</v>
      </c>
      <c r="R68" s="996"/>
      <c r="S68" s="1297">
        <f>IF('Proposed Lighting'!AR54=0,0,IF('Proposed Lighting'!AT54&gt;0.2,'Proposed Lighting'!AT54,0))</f>
        <v>0</v>
      </c>
      <c r="T68" s="997">
        <f>'Proposed Lighting'!X54</f>
        <v>0</v>
      </c>
      <c r="U68" s="998"/>
      <c r="V68" s="998"/>
      <c r="W68" s="1378">
        <f>IF('Proposed Lighting'!AF54=4,"WS",IF('Proposed Lighting'!AF54=5,"CM",IF('Proposed Lighting'!AF54=1.6,"PHOT",IF('Proposed Lighting'!AF54=1.5,"FM",IF('Proposed Lighting'!CT54=0.5,"LED-MS",IF('Proposed Lighting'!CB54&gt;1,"Non-S",IF('Proposed Lighting'!CT54=0.6,"LED-SS",IF('Proposed Lighting'!CT54=2,"LED-NW",IF('Proposed Lighting'!CT54=3,"LLLC",0)))))))))</f>
        <v>0</v>
      </c>
      <c r="X68" s="1293">
        <f>'Proposed Lighting'!EE54</f>
        <v>0</v>
      </c>
      <c r="Y68" s="1293">
        <f>'Proposed Lighting'!EF54</f>
        <v>0</v>
      </c>
    </row>
    <row r="69" spans="1:25" ht="50.1" customHeight="1">
      <c r="A69" s="1290">
        <v>47</v>
      </c>
      <c r="B69" s="1291">
        <f>'Proposed Lighting'!B55</f>
        <v>0</v>
      </c>
      <c r="C69" s="1291">
        <f>IF('Proposed Lighting'!M55="Sch 1","Sch 1",IF('Proposed Lighting'!M55="Sch 1-C", "Sch 1-C",IF('Proposed Lighting'!M55="Sch 2","Sch 2",IF('Proposed Lighting'!M55="Sch 2-C","Sch 2-C",IF('Proposed Lighting'!M55="Sch 3","Sch 3",IF('Proposed Lighting'!M55="Sch 3-C", "Sch 3-C",IF('Proposed Lighting'!M55="E", "E",IF('Proposed Lighting'!M55="E-C", "E-C",IF('Proposed Lighting'!M55="Dusk to Dawn","Sch D-D",IF('Proposed Lighting'!M55="Dusk to Dawn-C", "Sch DD-C",IF('Proposed Lighting'!M55="Seasonal", "SEA",IF('Proposed Lighting'!M55="Seasonal-C", "SEA-C",0))))))))))))</f>
        <v>0</v>
      </c>
      <c r="D69" s="1292">
        <f>'Proposed Lighting'!F55</f>
        <v>0</v>
      </c>
      <c r="E69" s="1293">
        <f>'Proposed Lighting'!N55</f>
        <v>0</v>
      </c>
      <c r="F69" s="996"/>
      <c r="G69" s="1294">
        <f>'Proposed Lighting'!K55</f>
        <v>0</v>
      </c>
      <c r="H69" s="1295">
        <f>IF('Proposed Lighting'!P55&gt;0.2,'Proposed Lighting'!P55,0)</f>
        <v>0</v>
      </c>
      <c r="I69" s="995">
        <f>'Proposed Lighting'!J55</f>
        <v>0</v>
      </c>
      <c r="J69" s="996"/>
      <c r="K69" s="996"/>
      <c r="L69" s="996"/>
      <c r="M69" s="996"/>
      <c r="N69" s="1005"/>
      <c r="O69" s="1296" t="str">
        <f>'Proposed Lighting'!Z55&amp;", "&amp;'Proposed Lighting'!EK55</f>
        <v xml:space="preserve">, </v>
      </c>
      <c r="P69" s="1292">
        <f>'Proposed Lighting'!T55</f>
        <v>0</v>
      </c>
      <c r="Q69" s="1293">
        <f>'Proposed Lighting'!AA55</f>
        <v>0</v>
      </c>
      <c r="R69" s="996"/>
      <c r="S69" s="1297">
        <f>IF('Proposed Lighting'!AR55=0,0,IF('Proposed Lighting'!AT55&gt;0.2,'Proposed Lighting'!AT55,0))</f>
        <v>0</v>
      </c>
      <c r="T69" s="997">
        <f>'Proposed Lighting'!X55</f>
        <v>0</v>
      </c>
      <c r="U69" s="998"/>
      <c r="V69" s="998"/>
      <c r="W69" s="1378">
        <f>IF('Proposed Lighting'!AF55=4,"WS",IF('Proposed Lighting'!AF55=5,"CM",IF('Proposed Lighting'!AF55=1.6,"PHOT",IF('Proposed Lighting'!AF55=1.5,"FM",IF('Proposed Lighting'!CT55=0.5,"LED-MS",IF('Proposed Lighting'!CB55&gt;1,"Non-S",IF('Proposed Lighting'!CT55=0.6,"LED-SS",IF('Proposed Lighting'!CT55=2,"LED-NW",IF('Proposed Lighting'!CT55=3,"LLLC",0)))))))))</f>
        <v>0</v>
      </c>
      <c r="X69" s="1293">
        <f>'Proposed Lighting'!EE55</f>
        <v>0</v>
      </c>
      <c r="Y69" s="1293">
        <f>'Proposed Lighting'!EF55</f>
        <v>0</v>
      </c>
    </row>
    <row r="70" spans="1:25" ht="50.1" customHeight="1">
      <c r="A70" s="1290">
        <v>48</v>
      </c>
      <c r="B70" s="1291">
        <f>'Proposed Lighting'!B56</f>
        <v>0</v>
      </c>
      <c r="C70" s="1291">
        <f>IF('Proposed Lighting'!M56="Sch 1","Sch 1",IF('Proposed Lighting'!M56="Sch 1-C", "Sch 1-C",IF('Proposed Lighting'!M56="Sch 2","Sch 2",IF('Proposed Lighting'!M56="Sch 2-C","Sch 2-C",IF('Proposed Lighting'!M56="Sch 3","Sch 3",IF('Proposed Lighting'!M56="Sch 3-C", "Sch 3-C",IF('Proposed Lighting'!M56="E", "E",IF('Proposed Lighting'!M56="E-C", "E-C",IF('Proposed Lighting'!M56="Dusk to Dawn","Sch D-D",IF('Proposed Lighting'!M56="Dusk to Dawn-C", "Sch DD-C",IF('Proposed Lighting'!M56="Seasonal", "SEA",IF('Proposed Lighting'!M56="Seasonal-C", "SEA-C",0))))))))))))</f>
        <v>0</v>
      </c>
      <c r="D70" s="1292">
        <f>'Proposed Lighting'!F56</f>
        <v>0</v>
      </c>
      <c r="E70" s="1293">
        <f>'Proposed Lighting'!N56</f>
        <v>0</v>
      </c>
      <c r="F70" s="996"/>
      <c r="G70" s="1294">
        <f>'Proposed Lighting'!K56</f>
        <v>0</v>
      </c>
      <c r="H70" s="1295">
        <f>IF('Proposed Lighting'!P56&gt;0.2,'Proposed Lighting'!P56,0)</f>
        <v>0</v>
      </c>
      <c r="I70" s="995">
        <f>'Proposed Lighting'!J56</f>
        <v>0</v>
      </c>
      <c r="J70" s="996"/>
      <c r="K70" s="996"/>
      <c r="L70" s="996"/>
      <c r="M70" s="996"/>
      <c r="N70" s="1005"/>
      <c r="O70" s="1296" t="str">
        <f>'Proposed Lighting'!Z56&amp;", "&amp;'Proposed Lighting'!EK56</f>
        <v xml:space="preserve">, </v>
      </c>
      <c r="P70" s="1292">
        <f>'Proposed Lighting'!T56</f>
        <v>0</v>
      </c>
      <c r="Q70" s="1293">
        <f>'Proposed Lighting'!AA56</f>
        <v>0</v>
      </c>
      <c r="R70" s="996"/>
      <c r="S70" s="1297">
        <f>IF('Proposed Lighting'!AR56=0,0,IF('Proposed Lighting'!AT56&gt;0.2,'Proposed Lighting'!AT56,0))</f>
        <v>0</v>
      </c>
      <c r="T70" s="997">
        <f>'Proposed Lighting'!X56</f>
        <v>0</v>
      </c>
      <c r="U70" s="998"/>
      <c r="V70" s="998"/>
      <c r="W70" s="1378">
        <f>IF('Proposed Lighting'!AF56=4,"WS",IF('Proposed Lighting'!AF56=5,"CM",IF('Proposed Lighting'!AF56=1.6,"PHOT",IF('Proposed Lighting'!AF56=1.5,"FM",IF('Proposed Lighting'!CT56=0.5,"LED-MS",IF('Proposed Lighting'!CB56&gt;1,"Non-S",IF('Proposed Lighting'!CT56=0.6,"LED-SS",IF('Proposed Lighting'!CT56=2,"LED-NW",IF('Proposed Lighting'!CT56=3,"LLLC",0)))))))))</f>
        <v>0</v>
      </c>
      <c r="X70" s="1293">
        <f>'Proposed Lighting'!EE56</f>
        <v>0</v>
      </c>
      <c r="Y70" s="1293">
        <f>'Proposed Lighting'!EF56</f>
        <v>0</v>
      </c>
    </row>
    <row r="71" spans="1:25" ht="50.1" customHeight="1">
      <c r="A71" s="1290">
        <v>49</v>
      </c>
      <c r="B71" s="1291">
        <f>'Proposed Lighting'!B57</f>
        <v>0</v>
      </c>
      <c r="C71" s="1291">
        <f>IF('Proposed Lighting'!M57="Sch 1","Sch 1",IF('Proposed Lighting'!M57="Sch 1-C", "Sch 1-C",IF('Proposed Lighting'!M57="Sch 2","Sch 2",IF('Proposed Lighting'!M57="Sch 2-C","Sch 2-C",IF('Proposed Lighting'!M57="Sch 3","Sch 3",IF('Proposed Lighting'!M57="Sch 3-C", "Sch 3-C",IF('Proposed Lighting'!M57="E", "E",IF('Proposed Lighting'!M57="E-C", "E-C",IF('Proposed Lighting'!M57="Dusk to Dawn","Sch D-D",IF('Proposed Lighting'!M57="Dusk to Dawn-C", "Sch DD-C",IF('Proposed Lighting'!M57="Seasonal", "SEA",IF('Proposed Lighting'!M57="Seasonal-C", "SEA-C",0))))))))))))</f>
        <v>0</v>
      </c>
      <c r="D71" s="1292">
        <f>'Proposed Lighting'!F57</f>
        <v>0</v>
      </c>
      <c r="E71" s="1293">
        <f>'Proposed Lighting'!N57</f>
        <v>0</v>
      </c>
      <c r="F71" s="996"/>
      <c r="G71" s="1294">
        <f>'Proposed Lighting'!K57</f>
        <v>0</v>
      </c>
      <c r="H71" s="1295">
        <f>IF('Proposed Lighting'!P57&gt;0.2,'Proposed Lighting'!P57,0)</f>
        <v>0</v>
      </c>
      <c r="I71" s="995">
        <f>'Proposed Lighting'!J57</f>
        <v>0</v>
      </c>
      <c r="J71" s="996"/>
      <c r="K71" s="996"/>
      <c r="L71" s="996"/>
      <c r="M71" s="996"/>
      <c r="N71" s="1005"/>
      <c r="O71" s="1296" t="str">
        <f>'Proposed Lighting'!Z57&amp;", "&amp;'Proposed Lighting'!EK57</f>
        <v xml:space="preserve">, </v>
      </c>
      <c r="P71" s="1292">
        <f>'Proposed Lighting'!T57</f>
        <v>0</v>
      </c>
      <c r="Q71" s="1293">
        <f>'Proposed Lighting'!AA57</f>
        <v>0</v>
      </c>
      <c r="R71" s="996"/>
      <c r="S71" s="1297">
        <f>IF('Proposed Lighting'!AR57=0,0,IF('Proposed Lighting'!AT57&gt;0.2,'Proposed Lighting'!AT57,0))</f>
        <v>0</v>
      </c>
      <c r="T71" s="997">
        <f>'Proposed Lighting'!X57</f>
        <v>0</v>
      </c>
      <c r="U71" s="998"/>
      <c r="V71" s="998"/>
      <c r="W71" s="1378">
        <f>IF('Proposed Lighting'!AF57=4,"WS",IF('Proposed Lighting'!AF57=5,"CM",IF('Proposed Lighting'!AF57=1.6,"PHOT",IF('Proposed Lighting'!AF57=1.5,"FM",IF('Proposed Lighting'!CT57=0.5,"LED-MS",IF('Proposed Lighting'!CB57&gt;1,"Non-S",IF('Proposed Lighting'!CT57=0.6,"LED-SS",IF('Proposed Lighting'!CT57=2,"LED-NW",IF('Proposed Lighting'!CT57=3,"LLLC",0)))))))))</f>
        <v>0</v>
      </c>
      <c r="X71" s="1293">
        <f>'Proposed Lighting'!EE57</f>
        <v>0</v>
      </c>
      <c r="Y71" s="1293">
        <f>'Proposed Lighting'!EF57</f>
        <v>0</v>
      </c>
    </row>
    <row r="72" spans="1:25" ht="50.1" customHeight="1">
      <c r="A72" s="1290">
        <v>50</v>
      </c>
      <c r="B72" s="1291">
        <f>'Proposed Lighting'!B58</f>
        <v>0</v>
      </c>
      <c r="C72" s="1291">
        <f>IF('Proposed Lighting'!M58="Sch 1","Sch 1",IF('Proposed Lighting'!M58="Sch 1-C", "Sch 1-C",IF('Proposed Lighting'!M58="Sch 2","Sch 2",IF('Proposed Lighting'!M58="Sch 2-C","Sch 2-C",IF('Proposed Lighting'!M58="Sch 3","Sch 3",IF('Proposed Lighting'!M58="Sch 3-C", "Sch 3-C",IF('Proposed Lighting'!M58="E", "E",IF('Proposed Lighting'!M58="E-C", "E-C",IF('Proposed Lighting'!M58="Dusk to Dawn","Sch D-D",IF('Proposed Lighting'!M58="Dusk to Dawn-C", "Sch DD-C",IF('Proposed Lighting'!M58="Seasonal", "SEA",IF('Proposed Lighting'!M58="Seasonal-C", "SEA-C",0))))))))))))</f>
        <v>0</v>
      </c>
      <c r="D72" s="1292">
        <f>'Proposed Lighting'!F58</f>
        <v>0</v>
      </c>
      <c r="E72" s="1293">
        <f>'Proposed Lighting'!N58</f>
        <v>0</v>
      </c>
      <c r="F72" s="996"/>
      <c r="G72" s="1294">
        <f>'Proposed Lighting'!K58</f>
        <v>0</v>
      </c>
      <c r="H72" s="1295">
        <f>IF('Proposed Lighting'!P58&gt;0.2,'Proposed Lighting'!P58,0)</f>
        <v>0</v>
      </c>
      <c r="I72" s="995">
        <f>'Proposed Lighting'!J58</f>
        <v>0</v>
      </c>
      <c r="J72" s="996"/>
      <c r="K72" s="996"/>
      <c r="L72" s="996"/>
      <c r="M72" s="996"/>
      <c r="N72" s="1005"/>
      <c r="O72" s="1296" t="str">
        <f>'Proposed Lighting'!Z58&amp;", "&amp;'Proposed Lighting'!EK58</f>
        <v xml:space="preserve">, </v>
      </c>
      <c r="P72" s="1292">
        <f>'Proposed Lighting'!T58</f>
        <v>0</v>
      </c>
      <c r="Q72" s="1293">
        <f>'Proposed Lighting'!AA58</f>
        <v>0</v>
      </c>
      <c r="R72" s="996"/>
      <c r="S72" s="1297">
        <f>IF('Proposed Lighting'!AR58=0,0,IF('Proposed Lighting'!AT58&gt;0.2,'Proposed Lighting'!AT58,0))</f>
        <v>0</v>
      </c>
      <c r="T72" s="997">
        <f>'Proposed Lighting'!X58</f>
        <v>0</v>
      </c>
      <c r="U72" s="998"/>
      <c r="V72" s="998"/>
      <c r="W72" s="1378">
        <f>IF('Proposed Lighting'!AF58=4,"WS",IF('Proposed Lighting'!AF58=5,"CM",IF('Proposed Lighting'!AF58=1.6,"PHOT",IF('Proposed Lighting'!AF58=1.5,"FM",IF('Proposed Lighting'!CT58=0.5,"LED-MS",IF('Proposed Lighting'!CB58&gt;1,"Non-S",IF('Proposed Lighting'!CT58=0.6,"LED-SS",IF('Proposed Lighting'!CT58=2,"LED-NW",IF('Proposed Lighting'!CT58=3,"LLLC",0)))))))))</f>
        <v>0</v>
      </c>
      <c r="X72" s="1293">
        <f>'Proposed Lighting'!EE58</f>
        <v>0</v>
      </c>
      <c r="Y72" s="1293">
        <f>'Proposed Lighting'!EF58</f>
        <v>0</v>
      </c>
    </row>
    <row r="73" spans="1:25" ht="50.1" customHeight="1">
      <c r="A73" s="1290">
        <v>51</v>
      </c>
      <c r="B73" s="1291">
        <f>'Proposed Lighting'!B59</f>
        <v>0</v>
      </c>
      <c r="C73" s="1291">
        <f>IF('Proposed Lighting'!M59="Sch 1","Sch 1",IF('Proposed Lighting'!M59="Sch 1-C", "Sch 1-C",IF('Proposed Lighting'!M59="Sch 2","Sch 2",IF('Proposed Lighting'!M59="Sch 2-C","Sch 2-C",IF('Proposed Lighting'!M59="Sch 3","Sch 3",IF('Proposed Lighting'!M59="Sch 3-C", "Sch 3-C",IF('Proposed Lighting'!M59="E", "E",IF('Proposed Lighting'!M59="E-C", "E-C",IF('Proposed Lighting'!M59="Dusk to Dawn","Sch D-D",IF('Proposed Lighting'!M59="Dusk to Dawn-C", "Sch DD-C",IF('Proposed Lighting'!M59="Seasonal", "SEA",IF('Proposed Lighting'!M59="Seasonal-C", "SEA-C",0))))))))))))</f>
        <v>0</v>
      </c>
      <c r="D73" s="1292">
        <f>'Proposed Lighting'!F59</f>
        <v>0</v>
      </c>
      <c r="E73" s="1293">
        <f>'Proposed Lighting'!N59</f>
        <v>0</v>
      </c>
      <c r="F73" s="996"/>
      <c r="G73" s="1294">
        <f>'Proposed Lighting'!K59</f>
        <v>0</v>
      </c>
      <c r="H73" s="1295">
        <f>IF('Proposed Lighting'!P59&gt;0.2,'Proposed Lighting'!P59,0)</f>
        <v>0</v>
      </c>
      <c r="I73" s="995">
        <f>'Proposed Lighting'!J59</f>
        <v>0</v>
      </c>
      <c r="J73" s="996"/>
      <c r="K73" s="996"/>
      <c r="L73" s="996"/>
      <c r="M73" s="996"/>
      <c r="N73" s="1005"/>
      <c r="O73" s="1296" t="str">
        <f>'Proposed Lighting'!Z59&amp;", "&amp;'Proposed Lighting'!EK59</f>
        <v xml:space="preserve">, </v>
      </c>
      <c r="P73" s="1292">
        <f>'Proposed Lighting'!T59</f>
        <v>0</v>
      </c>
      <c r="Q73" s="1293">
        <f>'Proposed Lighting'!AA59</f>
        <v>0</v>
      </c>
      <c r="R73" s="996"/>
      <c r="S73" s="1297">
        <f>IF('Proposed Lighting'!AR59=0,0,IF('Proposed Lighting'!AT59&gt;0.2,'Proposed Lighting'!AT59,0))</f>
        <v>0</v>
      </c>
      <c r="T73" s="997">
        <f>'Proposed Lighting'!X59</f>
        <v>0</v>
      </c>
      <c r="U73" s="998"/>
      <c r="V73" s="998"/>
      <c r="W73" s="1378">
        <f>IF('Proposed Lighting'!AF59=4,"WS",IF('Proposed Lighting'!AF59=5,"CM",IF('Proposed Lighting'!AF59=1.6,"PHOT",IF('Proposed Lighting'!AF59=1.5,"FM",IF('Proposed Lighting'!CT59=0.5,"LED-MS",IF('Proposed Lighting'!CB59&gt;1,"Non-S",IF('Proposed Lighting'!CT59=0.6,"LED-SS",IF('Proposed Lighting'!CT59=2,"LED-NW",IF('Proposed Lighting'!CT59=3,"LLLC",0)))))))))</f>
        <v>0</v>
      </c>
      <c r="X73" s="1293">
        <f>'Proposed Lighting'!EE59</f>
        <v>0</v>
      </c>
      <c r="Y73" s="1293">
        <f>'Proposed Lighting'!EF59</f>
        <v>0</v>
      </c>
    </row>
    <row r="74" spans="1:25" ht="50.1" customHeight="1">
      <c r="A74" s="1290">
        <v>52</v>
      </c>
      <c r="B74" s="1291">
        <f>'Proposed Lighting'!B60</f>
        <v>0</v>
      </c>
      <c r="C74" s="1291">
        <f>IF('Proposed Lighting'!M60="Sch 1","Sch 1",IF('Proposed Lighting'!M60="Sch 1-C", "Sch 1-C",IF('Proposed Lighting'!M60="Sch 2","Sch 2",IF('Proposed Lighting'!M60="Sch 2-C","Sch 2-C",IF('Proposed Lighting'!M60="Sch 3","Sch 3",IF('Proposed Lighting'!M60="Sch 3-C", "Sch 3-C",IF('Proposed Lighting'!M60="E", "E",IF('Proposed Lighting'!M60="E-C", "E-C",IF('Proposed Lighting'!M60="Dusk to Dawn","Sch D-D",IF('Proposed Lighting'!M60="Dusk to Dawn-C", "Sch DD-C",IF('Proposed Lighting'!M60="Seasonal", "SEA",IF('Proposed Lighting'!M60="Seasonal-C", "SEA-C",0))))))))))))</f>
        <v>0</v>
      </c>
      <c r="D74" s="1292">
        <f>'Proposed Lighting'!F60</f>
        <v>0</v>
      </c>
      <c r="E74" s="1293">
        <f>'Proposed Lighting'!N60</f>
        <v>0</v>
      </c>
      <c r="F74" s="996"/>
      <c r="G74" s="1294">
        <f>'Proposed Lighting'!K60</f>
        <v>0</v>
      </c>
      <c r="H74" s="1295">
        <f>IF('Proposed Lighting'!P60&gt;0.2,'Proposed Lighting'!P60,0)</f>
        <v>0</v>
      </c>
      <c r="I74" s="995">
        <f>'Proposed Lighting'!J60</f>
        <v>0</v>
      </c>
      <c r="J74" s="996"/>
      <c r="K74" s="996"/>
      <c r="L74" s="996"/>
      <c r="M74" s="996"/>
      <c r="N74" s="1005"/>
      <c r="O74" s="1296" t="str">
        <f>'Proposed Lighting'!Z60&amp;", "&amp;'Proposed Lighting'!EK60</f>
        <v xml:space="preserve">, </v>
      </c>
      <c r="P74" s="1292">
        <f>'Proposed Lighting'!T60</f>
        <v>0</v>
      </c>
      <c r="Q74" s="1293">
        <f>'Proposed Lighting'!AA60</f>
        <v>0</v>
      </c>
      <c r="R74" s="996"/>
      <c r="S74" s="1297">
        <f>IF('Proposed Lighting'!AR60=0,0,IF('Proposed Lighting'!AT60&gt;0.2,'Proposed Lighting'!AT60,0))</f>
        <v>0</v>
      </c>
      <c r="T74" s="997">
        <f>'Proposed Lighting'!X60</f>
        <v>0</v>
      </c>
      <c r="U74" s="998"/>
      <c r="V74" s="998"/>
      <c r="W74" s="1378">
        <f>IF('Proposed Lighting'!AF60=4,"WS",IF('Proposed Lighting'!AF60=5,"CM",IF('Proposed Lighting'!AF60=1.6,"PHOT",IF('Proposed Lighting'!AF60=1.5,"FM",IF('Proposed Lighting'!CT60=0.5,"LED-MS",IF('Proposed Lighting'!CB60&gt;1,"Non-S",IF('Proposed Lighting'!CT60=0.6,"LED-SS",IF('Proposed Lighting'!CT60=2,"LED-NW",IF('Proposed Lighting'!CT60=3,"LLLC",0)))))))))</f>
        <v>0</v>
      </c>
      <c r="X74" s="1293">
        <f>'Proposed Lighting'!EE60</f>
        <v>0</v>
      </c>
      <c r="Y74" s="1293">
        <f>'Proposed Lighting'!EF60</f>
        <v>0</v>
      </c>
    </row>
    <row r="75" spans="1:25" ht="50.1" customHeight="1">
      <c r="A75" s="1290">
        <v>53</v>
      </c>
      <c r="B75" s="1291">
        <f>'Proposed Lighting'!B61</f>
        <v>0</v>
      </c>
      <c r="C75" s="1291">
        <f>IF('Proposed Lighting'!M61="Sch 1","Sch 1",IF('Proposed Lighting'!M61="Sch 1-C", "Sch 1-C",IF('Proposed Lighting'!M61="Sch 2","Sch 2",IF('Proposed Lighting'!M61="Sch 2-C","Sch 2-C",IF('Proposed Lighting'!M61="Sch 3","Sch 3",IF('Proposed Lighting'!M61="Sch 3-C", "Sch 3-C",IF('Proposed Lighting'!M61="E", "E",IF('Proposed Lighting'!M61="E-C", "E-C",IF('Proposed Lighting'!M61="Dusk to Dawn","Sch D-D",IF('Proposed Lighting'!M61="Dusk to Dawn-C", "Sch DD-C",IF('Proposed Lighting'!M61="Seasonal", "SEA",IF('Proposed Lighting'!M61="Seasonal-C", "SEA-C",0))))))))))))</f>
        <v>0</v>
      </c>
      <c r="D75" s="1292">
        <f>'Proposed Lighting'!F61</f>
        <v>0</v>
      </c>
      <c r="E75" s="1293">
        <f>'Proposed Lighting'!N61</f>
        <v>0</v>
      </c>
      <c r="F75" s="996"/>
      <c r="G75" s="1294">
        <f>'Proposed Lighting'!K61</f>
        <v>0</v>
      </c>
      <c r="H75" s="1295">
        <f>IF('Proposed Lighting'!P61&gt;0.2,'Proposed Lighting'!P61,0)</f>
        <v>0</v>
      </c>
      <c r="I75" s="995">
        <f>'Proposed Lighting'!J61</f>
        <v>0</v>
      </c>
      <c r="J75" s="996"/>
      <c r="K75" s="996"/>
      <c r="L75" s="996"/>
      <c r="M75" s="996"/>
      <c r="N75" s="1005"/>
      <c r="O75" s="1296" t="str">
        <f>'Proposed Lighting'!Z61&amp;", "&amp;'Proposed Lighting'!EK61</f>
        <v xml:space="preserve">, </v>
      </c>
      <c r="P75" s="1292">
        <f>'Proposed Lighting'!T61</f>
        <v>0</v>
      </c>
      <c r="Q75" s="1293">
        <f>'Proposed Lighting'!AA61</f>
        <v>0</v>
      </c>
      <c r="R75" s="996"/>
      <c r="S75" s="1297">
        <f>IF('Proposed Lighting'!AR61=0,0,IF('Proposed Lighting'!AT61&gt;0.2,'Proposed Lighting'!AT61,0))</f>
        <v>0</v>
      </c>
      <c r="T75" s="997">
        <f>'Proposed Lighting'!X61</f>
        <v>0</v>
      </c>
      <c r="U75" s="998"/>
      <c r="V75" s="998"/>
      <c r="W75" s="1378">
        <f>IF('Proposed Lighting'!AF61=4,"WS",IF('Proposed Lighting'!AF61=5,"CM",IF('Proposed Lighting'!AF61=1.6,"PHOT",IF('Proposed Lighting'!AF61=1.5,"FM",IF('Proposed Lighting'!CT61=0.5,"LED-MS",IF('Proposed Lighting'!CB61&gt;1,"Non-S",IF('Proposed Lighting'!CT61=0.6,"LED-SS",IF('Proposed Lighting'!CT61=2,"LED-NW",IF('Proposed Lighting'!CT61=3,"LLLC",0)))))))))</f>
        <v>0</v>
      </c>
      <c r="X75" s="1293">
        <f>'Proposed Lighting'!EE61</f>
        <v>0</v>
      </c>
      <c r="Y75" s="1293">
        <f>'Proposed Lighting'!EF61</f>
        <v>0</v>
      </c>
    </row>
    <row r="76" spans="1:25" ht="50.1" customHeight="1">
      <c r="A76" s="1290">
        <v>54</v>
      </c>
      <c r="B76" s="1291">
        <f>'Proposed Lighting'!B62</f>
        <v>0</v>
      </c>
      <c r="C76" s="1291">
        <f>IF('Proposed Lighting'!M62="Sch 1","Sch 1",IF('Proposed Lighting'!M62="Sch 1-C", "Sch 1-C",IF('Proposed Lighting'!M62="Sch 2","Sch 2",IF('Proposed Lighting'!M62="Sch 2-C","Sch 2-C",IF('Proposed Lighting'!M62="Sch 3","Sch 3",IF('Proposed Lighting'!M62="Sch 3-C", "Sch 3-C",IF('Proposed Lighting'!M62="E", "E",IF('Proposed Lighting'!M62="E-C", "E-C",IF('Proposed Lighting'!M62="Dusk to Dawn","Sch D-D",IF('Proposed Lighting'!M62="Dusk to Dawn-C", "Sch DD-C",IF('Proposed Lighting'!M62="Seasonal", "SEA",IF('Proposed Lighting'!M62="Seasonal-C", "SEA-C",0))))))))))))</f>
        <v>0</v>
      </c>
      <c r="D76" s="1292">
        <f>'Proposed Lighting'!F62</f>
        <v>0</v>
      </c>
      <c r="E76" s="1293">
        <f>'Proposed Lighting'!N62</f>
        <v>0</v>
      </c>
      <c r="F76" s="996"/>
      <c r="G76" s="1294">
        <f>'Proposed Lighting'!K62</f>
        <v>0</v>
      </c>
      <c r="H76" s="1295">
        <f>IF('Proposed Lighting'!P62&gt;0.2,'Proposed Lighting'!P62,0)</f>
        <v>0</v>
      </c>
      <c r="I76" s="995">
        <f>'Proposed Lighting'!J62</f>
        <v>0</v>
      </c>
      <c r="J76" s="996"/>
      <c r="K76" s="996"/>
      <c r="L76" s="996"/>
      <c r="M76" s="996"/>
      <c r="N76" s="1005"/>
      <c r="O76" s="1296" t="str">
        <f>'Proposed Lighting'!Z62&amp;", "&amp;'Proposed Lighting'!EK62</f>
        <v xml:space="preserve">, </v>
      </c>
      <c r="P76" s="1292">
        <f>'Proposed Lighting'!T62</f>
        <v>0</v>
      </c>
      <c r="Q76" s="1293">
        <f>'Proposed Lighting'!AA62</f>
        <v>0</v>
      </c>
      <c r="R76" s="996"/>
      <c r="S76" s="1297">
        <f>IF('Proposed Lighting'!AR62=0,0,IF('Proposed Lighting'!AT62&gt;0.2,'Proposed Lighting'!AT62,0))</f>
        <v>0</v>
      </c>
      <c r="T76" s="997">
        <f>'Proposed Lighting'!X62</f>
        <v>0</v>
      </c>
      <c r="U76" s="998"/>
      <c r="V76" s="998"/>
      <c r="W76" s="1378">
        <f>IF('Proposed Lighting'!AF62=4,"WS",IF('Proposed Lighting'!AF62=5,"CM",IF('Proposed Lighting'!AF62=1.6,"PHOT",IF('Proposed Lighting'!AF62=1.5,"FM",IF('Proposed Lighting'!CT62=0.5,"LED-MS",IF('Proposed Lighting'!CB62&gt;1,"Non-S",IF('Proposed Lighting'!CT62=0.6,"LED-SS",IF('Proposed Lighting'!CT62=2,"LED-NW",IF('Proposed Lighting'!CT62=3,"LLLC",0)))))))))</f>
        <v>0</v>
      </c>
      <c r="X76" s="1293">
        <f>'Proposed Lighting'!EE62</f>
        <v>0</v>
      </c>
      <c r="Y76" s="1293">
        <f>'Proposed Lighting'!EF62</f>
        <v>0</v>
      </c>
    </row>
    <row r="77" spans="1:25" ht="50.1" customHeight="1">
      <c r="A77" s="1290">
        <v>55</v>
      </c>
      <c r="B77" s="1291">
        <f>'Proposed Lighting'!B63</f>
        <v>0</v>
      </c>
      <c r="C77" s="1291">
        <f>IF('Proposed Lighting'!M63="Sch 1","Sch 1",IF('Proposed Lighting'!M63="Sch 1-C", "Sch 1-C",IF('Proposed Lighting'!M63="Sch 2","Sch 2",IF('Proposed Lighting'!M63="Sch 2-C","Sch 2-C",IF('Proposed Lighting'!M63="Sch 3","Sch 3",IF('Proposed Lighting'!M63="Sch 3-C", "Sch 3-C",IF('Proposed Lighting'!M63="E", "E",IF('Proposed Lighting'!M63="E-C", "E-C",IF('Proposed Lighting'!M63="Dusk to Dawn","Sch D-D",IF('Proposed Lighting'!M63="Dusk to Dawn-C", "Sch DD-C",IF('Proposed Lighting'!M63="Seasonal", "SEA",IF('Proposed Lighting'!M63="Seasonal-C", "SEA-C",0))))))))))))</f>
        <v>0</v>
      </c>
      <c r="D77" s="1292">
        <f>'Proposed Lighting'!F63</f>
        <v>0</v>
      </c>
      <c r="E77" s="1293">
        <f>'Proposed Lighting'!N63</f>
        <v>0</v>
      </c>
      <c r="F77" s="996"/>
      <c r="G77" s="1294">
        <f>'Proposed Lighting'!K63</f>
        <v>0</v>
      </c>
      <c r="H77" s="1295">
        <f>IF('Proposed Lighting'!P63&gt;0.2,'Proposed Lighting'!P63,0)</f>
        <v>0</v>
      </c>
      <c r="I77" s="995">
        <f>'Proposed Lighting'!J63</f>
        <v>0</v>
      </c>
      <c r="J77" s="996"/>
      <c r="K77" s="996"/>
      <c r="L77" s="996"/>
      <c r="M77" s="996"/>
      <c r="N77" s="1005"/>
      <c r="O77" s="1296" t="str">
        <f>'Proposed Lighting'!Z63&amp;", "&amp;'Proposed Lighting'!EK63</f>
        <v xml:space="preserve">, </v>
      </c>
      <c r="P77" s="1292">
        <f>'Proposed Lighting'!T63</f>
        <v>0</v>
      </c>
      <c r="Q77" s="1293">
        <f>'Proposed Lighting'!AA63</f>
        <v>0</v>
      </c>
      <c r="R77" s="996"/>
      <c r="S77" s="1297">
        <f>IF('Proposed Lighting'!AR63=0,0,IF('Proposed Lighting'!AT63&gt;0.2,'Proposed Lighting'!AT63,0))</f>
        <v>0</v>
      </c>
      <c r="T77" s="997">
        <f>'Proposed Lighting'!X63</f>
        <v>0</v>
      </c>
      <c r="U77" s="998"/>
      <c r="V77" s="998"/>
      <c r="W77" s="1378">
        <f>IF('Proposed Lighting'!AF63=4,"WS",IF('Proposed Lighting'!AF63=5,"CM",IF('Proposed Lighting'!AF63=1.6,"PHOT",IF('Proposed Lighting'!AF63=1.5,"FM",IF('Proposed Lighting'!CT63=0.5,"LED-MS",IF('Proposed Lighting'!CB63&gt;1,"Non-S",IF('Proposed Lighting'!CT63=0.6,"LED-SS",IF('Proposed Lighting'!CT63=2,"LED-NW",IF('Proposed Lighting'!CT63=3,"LLLC",0)))))))))</f>
        <v>0</v>
      </c>
      <c r="X77" s="1293">
        <f>'Proposed Lighting'!EE63</f>
        <v>0</v>
      </c>
      <c r="Y77" s="1293">
        <f>'Proposed Lighting'!EF63</f>
        <v>0</v>
      </c>
    </row>
    <row r="78" spans="1:25" ht="50.1" customHeight="1">
      <c r="A78" s="1290">
        <v>56</v>
      </c>
      <c r="B78" s="1291">
        <f>'Proposed Lighting'!B64</f>
        <v>0</v>
      </c>
      <c r="C78" s="1291">
        <f>IF('Proposed Lighting'!M64="Sch 1","Sch 1",IF('Proposed Lighting'!M64="Sch 1-C", "Sch 1-C",IF('Proposed Lighting'!M64="Sch 2","Sch 2",IF('Proposed Lighting'!M64="Sch 2-C","Sch 2-C",IF('Proposed Lighting'!M64="Sch 3","Sch 3",IF('Proposed Lighting'!M64="Sch 3-C", "Sch 3-C",IF('Proposed Lighting'!M64="E", "E",IF('Proposed Lighting'!M64="E-C", "E-C",IF('Proposed Lighting'!M64="Dusk to Dawn","Sch D-D",IF('Proposed Lighting'!M64="Dusk to Dawn-C", "Sch DD-C",IF('Proposed Lighting'!M64="Seasonal", "SEA",IF('Proposed Lighting'!M64="Seasonal-C", "SEA-C",0))))))))))))</f>
        <v>0</v>
      </c>
      <c r="D78" s="1292">
        <f>'Proposed Lighting'!F64</f>
        <v>0</v>
      </c>
      <c r="E78" s="1293">
        <f>'Proposed Lighting'!N64</f>
        <v>0</v>
      </c>
      <c r="F78" s="996"/>
      <c r="G78" s="1294">
        <f>'Proposed Lighting'!K64</f>
        <v>0</v>
      </c>
      <c r="H78" s="1295">
        <f>IF('Proposed Lighting'!P64&gt;0.2,'Proposed Lighting'!P64,0)</f>
        <v>0</v>
      </c>
      <c r="I78" s="995">
        <f>'Proposed Lighting'!J64</f>
        <v>0</v>
      </c>
      <c r="J78" s="996"/>
      <c r="K78" s="996"/>
      <c r="L78" s="996"/>
      <c r="M78" s="996"/>
      <c r="N78" s="1005"/>
      <c r="O78" s="1296" t="str">
        <f>'Proposed Lighting'!Z64&amp;", "&amp;'Proposed Lighting'!EK64</f>
        <v xml:space="preserve">, </v>
      </c>
      <c r="P78" s="1292">
        <f>'Proposed Lighting'!T64</f>
        <v>0</v>
      </c>
      <c r="Q78" s="1293">
        <f>'Proposed Lighting'!AA64</f>
        <v>0</v>
      </c>
      <c r="R78" s="996"/>
      <c r="S78" s="1297">
        <f>IF('Proposed Lighting'!AR64=0,0,IF('Proposed Lighting'!AT64&gt;0.2,'Proposed Lighting'!AT64,0))</f>
        <v>0</v>
      </c>
      <c r="T78" s="997">
        <f>'Proposed Lighting'!X64</f>
        <v>0</v>
      </c>
      <c r="U78" s="998"/>
      <c r="V78" s="998"/>
      <c r="W78" s="1378">
        <f>IF('Proposed Lighting'!AF64=4,"WS",IF('Proposed Lighting'!AF64=5,"CM",IF('Proposed Lighting'!AF64=1.6,"PHOT",IF('Proposed Lighting'!AF64=1.5,"FM",IF('Proposed Lighting'!CT64=0.5,"LED-MS",IF('Proposed Lighting'!CB64&gt;1,"Non-S",IF('Proposed Lighting'!CT64=0.6,"LED-SS",IF('Proposed Lighting'!CT64=2,"LED-NW",IF('Proposed Lighting'!CT64=3,"LLLC",0)))))))))</f>
        <v>0</v>
      </c>
      <c r="X78" s="1293">
        <f>'Proposed Lighting'!EE64</f>
        <v>0</v>
      </c>
      <c r="Y78" s="1293">
        <f>'Proposed Lighting'!EF64</f>
        <v>0</v>
      </c>
    </row>
    <row r="79" spans="1:25" ht="50.1" customHeight="1">
      <c r="A79" s="1290">
        <v>57</v>
      </c>
      <c r="B79" s="1291">
        <f>'Proposed Lighting'!B65</f>
        <v>0</v>
      </c>
      <c r="C79" s="1291">
        <f>IF('Proposed Lighting'!M65="Sch 1","Sch 1",IF('Proposed Lighting'!M65="Sch 1-C", "Sch 1-C",IF('Proposed Lighting'!M65="Sch 2","Sch 2",IF('Proposed Lighting'!M65="Sch 2-C","Sch 2-C",IF('Proposed Lighting'!M65="Sch 3","Sch 3",IF('Proposed Lighting'!M65="Sch 3-C", "Sch 3-C",IF('Proposed Lighting'!M65="E", "E",IF('Proposed Lighting'!M65="E-C", "E-C",IF('Proposed Lighting'!M65="Dusk to Dawn","Sch D-D",IF('Proposed Lighting'!M65="Dusk to Dawn-C", "Sch DD-C",IF('Proposed Lighting'!M65="Seasonal", "SEA",IF('Proposed Lighting'!M65="Seasonal-C", "SEA-C",0))))))))))))</f>
        <v>0</v>
      </c>
      <c r="D79" s="1292">
        <f>'Proposed Lighting'!F65</f>
        <v>0</v>
      </c>
      <c r="E79" s="1293">
        <f>'Proposed Lighting'!N65</f>
        <v>0</v>
      </c>
      <c r="F79" s="996"/>
      <c r="G79" s="1294">
        <f>'Proposed Lighting'!K65</f>
        <v>0</v>
      </c>
      <c r="H79" s="1295">
        <f>IF('Proposed Lighting'!P65&gt;0.2,'Proposed Lighting'!P65,0)</f>
        <v>0</v>
      </c>
      <c r="I79" s="995">
        <f>'Proposed Lighting'!J65</f>
        <v>0</v>
      </c>
      <c r="J79" s="996"/>
      <c r="K79" s="996"/>
      <c r="L79" s="996"/>
      <c r="M79" s="996"/>
      <c r="N79" s="1005"/>
      <c r="O79" s="1296" t="str">
        <f>'Proposed Lighting'!Z65&amp;", "&amp;'Proposed Lighting'!EK65</f>
        <v xml:space="preserve">, </v>
      </c>
      <c r="P79" s="1292">
        <f>'Proposed Lighting'!T65</f>
        <v>0</v>
      </c>
      <c r="Q79" s="1293">
        <f>'Proposed Lighting'!AA65</f>
        <v>0</v>
      </c>
      <c r="R79" s="996"/>
      <c r="S79" s="1297">
        <f>IF('Proposed Lighting'!AR65=0,0,IF('Proposed Lighting'!AT65&gt;0.2,'Proposed Lighting'!AT65,0))</f>
        <v>0</v>
      </c>
      <c r="T79" s="997">
        <f>'Proposed Lighting'!X65</f>
        <v>0</v>
      </c>
      <c r="U79" s="998"/>
      <c r="V79" s="998"/>
      <c r="W79" s="1378">
        <f>IF('Proposed Lighting'!AF65=4,"WS",IF('Proposed Lighting'!AF65=5,"CM",IF('Proposed Lighting'!AF65=1.6,"PHOT",IF('Proposed Lighting'!AF65=1.5,"FM",IF('Proposed Lighting'!CT65=0.5,"LED-MS",IF('Proposed Lighting'!CB65&gt;1,"Non-S",IF('Proposed Lighting'!CT65=0.6,"LED-SS",IF('Proposed Lighting'!CT65=2,"LED-NW",IF('Proposed Lighting'!CT65=3,"LLLC",0)))))))))</f>
        <v>0</v>
      </c>
      <c r="X79" s="1293">
        <f>'Proposed Lighting'!EE65</f>
        <v>0</v>
      </c>
      <c r="Y79" s="1293">
        <f>'Proposed Lighting'!EF65</f>
        <v>0</v>
      </c>
    </row>
    <row r="80" spans="1:25" ht="50.1" customHeight="1">
      <c r="A80" s="1290">
        <v>58</v>
      </c>
      <c r="B80" s="1291">
        <f>'Proposed Lighting'!B66</f>
        <v>0</v>
      </c>
      <c r="C80" s="1291">
        <f>IF('Proposed Lighting'!M66="Sch 1","Sch 1",IF('Proposed Lighting'!M66="Sch 1-C", "Sch 1-C",IF('Proposed Lighting'!M66="Sch 2","Sch 2",IF('Proposed Lighting'!M66="Sch 2-C","Sch 2-C",IF('Proposed Lighting'!M66="Sch 3","Sch 3",IF('Proposed Lighting'!M66="Sch 3-C", "Sch 3-C",IF('Proposed Lighting'!M66="E", "E",IF('Proposed Lighting'!M66="E-C", "E-C",IF('Proposed Lighting'!M66="Dusk to Dawn","Sch D-D",IF('Proposed Lighting'!M66="Dusk to Dawn-C", "Sch DD-C",IF('Proposed Lighting'!M66="Seasonal", "SEA",IF('Proposed Lighting'!M66="Seasonal-C", "SEA-C",0))))))))))))</f>
        <v>0</v>
      </c>
      <c r="D80" s="1292">
        <f>'Proposed Lighting'!F66</f>
        <v>0</v>
      </c>
      <c r="E80" s="1293">
        <f>'Proposed Lighting'!N66</f>
        <v>0</v>
      </c>
      <c r="F80" s="996"/>
      <c r="G80" s="1294">
        <f>'Proposed Lighting'!K66</f>
        <v>0</v>
      </c>
      <c r="H80" s="1295">
        <f>IF('Proposed Lighting'!P66&gt;0.2,'Proposed Lighting'!P66,0)</f>
        <v>0</v>
      </c>
      <c r="I80" s="995">
        <f>'Proposed Lighting'!J66</f>
        <v>0</v>
      </c>
      <c r="J80" s="996"/>
      <c r="K80" s="996"/>
      <c r="L80" s="996"/>
      <c r="M80" s="996"/>
      <c r="N80" s="1005"/>
      <c r="O80" s="1296" t="str">
        <f>'Proposed Lighting'!Z66&amp;", "&amp;'Proposed Lighting'!EK66</f>
        <v xml:space="preserve">, </v>
      </c>
      <c r="P80" s="1292">
        <f>'Proposed Lighting'!T66</f>
        <v>0</v>
      </c>
      <c r="Q80" s="1293">
        <f>'Proposed Lighting'!AA66</f>
        <v>0</v>
      </c>
      <c r="R80" s="996"/>
      <c r="S80" s="1297">
        <f>IF('Proposed Lighting'!AR66=0,0,IF('Proposed Lighting'!AT66&gt;0.2,'Proposed Lighting'!AT66,0))</f>
        <v>0</v>
      </c>
      <c r="T80" s="997">
        <f>'Proposed Lighting'!X66</f>
        <v>0</v>
      </c>
      <c r="U80" s="998"/>
      <c r="V80" s="998"/>
      <c r="W80" s="1378">
        <f>IF('Proposed Lighting'!AF66=4,"WS",IF('Proposed Lighting'!AF66=5,"CM",IF('Proposed Lighting'!AF66=1.6,"PHOT",IF('Proposed Lighting'!AF66=1.5,"FM",IF('Proposed Lighting'!CT66=0.5,"LED-MS",IF('Proposed Lighting'!CB66&gt;1,"Non-S",IF('Proposed Lighting'!CT66=0.6,"LED-SS",IF('Proposed Lighting'!CT66=2,"LED-NW",IF('Proposed Lighting'!CT66=3,"LLLC",0)))))))))</f>
        <v>0</v>
      </c>
      <c r="X80" s="1293">
        <f>'Proposed Lighting'!EE66</f>
        <v>0</v>
      </c>
      <c r="Y80" s="1293">
        <f>'Proposed Lighting'!EF66</f>
        <v>0</v>
      </c>
    </row>
    <row r="81" spans="1:25" ht="50.1" customHeight="1">
      <c r="A81" s="1290">
        <v>59</v>
      </c>
      <c r="B81" s="1291">
        <f>'Proposed Lighting'!B67</f>
        <v>0</v>
      </c>
      <c r="C81" s="1291">
        <f>IF('Proposed Lighting'!M67="Sch 1","Sch 1",IF('Proposed Lighting'!M67="Sch 1-C", "Sch 1-C",IF('Proposed Lighting'!M67="Sch 2","Sch 2",IF('Proposed Lighting'!M67="Sch 2-C","Sch 2-C",IF('Proposed Lighting'!M67="Sch 3","Sch 3",IF('Proposed Lighting'!M67="Sch 3-C", "Sch 3-C",IF('Proposed Lighting'!M67="E", "E",IF('Proposed Lighting'!M67="E-C", "E-C",IF('Proposed Lighting'!M67="Dusk to Dawn","Sch D-D",IF('Proposed Lighting'!M67="Dusk to Dawn-C", "Sch DD-C",IF('Proposed Lighting'!M67="Seasonal", "SEA",IF('Proposed Lighting'!M67="Seasonal-C", "SEA-C",0))))))))))))</f>
        <v>0</v>
      </c>
      <c r="D81" s="1292">
        <f>'Proposed Lighting'!F67</f>
        <v>0</v>
      </c>
      <c r="E81" s="1293">
        <f>'Proposed Lighting'!N67</f>
        <v>0</v>
      </c>
      <c r="F81" s="996"/>
      <c r="G81" s="1294">
        <f>'Proposed Lighting'!K67</f>
        <v>0</v>
      </c>
      <c r="H81" s="1295">
        <f>IF('Proposed Lighting'!P67&gt;0.2,'Proposed Lighting'!P67,0)</f>
        <v>0</v>
      </c>
      <c r="I81" s="995">
        <f>'Proposed Lighting'!J67</f>
        <v>0</v>
      </c>
      <c r="J81" s="996"/>
      <c r="K81" s="996"/>
      <c r="L81" s="996"/>
      <c r="M81" s="996"/>
      <c r="N81" s="1005"/>
      <c r="O81" s="1296" t="str">
        <f>'Proposed Lighting'!Z67&amp;", "&amp;'Proposed Lighting'!EK67</f>
        <v xml:space="preserve">, </v>
      </c>
      <c r="P81" s="1292">
        <f>'Proposed Lighting'!T67</f>
        <v>0</v>
      </c>
      <c r="Q81" s="1293">
        <f>'Proposed Lighting'!AA67</f>
        <v>0</v>
      </c>
      <c r="R81" s="996"/>
      <c r="S81" s="1297">
        <f>IF('Proposed Lighting'!AR67=0,0,IF('Proposed Lighting'!AT67&gt;0.2,'Proposed Lighting'!AT67,0))</f>
        <v>0</v>
      </c>
      <c r="T81" s="997">
        <f>'Proposed Lighting'!X67</f>
        <v>0</v>
      </c>
      <c r="U81" s="998"/>
      <c r="V81" s="998"/>
      <c r="W81" s="1378">
        <f>IF('Proposed Lighting'!AF67=4,"WS",IF('Proposed Lighting'!AF67=5,"CM",IF('Proposed Lighting'!AF67=1.6,"PHOT",IF('Proposed Lighting'!AF67=1.5,"FM",IF('Proposed Lighting'!CT67=0.5,"LED-MS",IF('Proposed Lighting'!CB67&gt;1,"Non-S",IF('Proposed Lighting'!CT67=0.6,"LED-SS",IF('Proposed Lighting'!CT67=2,"LED-NW",IF('Proposed Lighting'!CT67=3,"LLLC",0)))))))))</f>
        <v>0</v>
      </c>
      <c r="X81" s="1293">
        <f>'Proposed Lighting'!EE67</f>
        <v>0</v>
      </c>
      <c r="Y81" s="1293">
        <f>'Proposed Lighting'!EF67</f>
        <v>0</v>
      </c>
    </row>
    <row r="82" spans="1:25" ht="50.1" customHeight="1">
      <c r="A82" s="1290">
        <v>60</v>
      </c>
      <c r="B82" s="1291">
        <f>'Proposed Lighting'!B68</f>
        <v>0</v>
      </c>
      <c r="C82" s="1291">
        <f>IF('Proposed Lighting'!M68="Sch 1","Sch 1",IF('Proposed Lighting'!M68="Sch 1-C", "Sch 1-C",IF('Proposed Lighting'!M68="Sch 2","Sch 2",IF('Proposed Lighting'!M68="Sch 2-C","Sch 2-C",IF('Proposed Lighting'!M68="Sch 3","Sch 3",IF('Proposed Lighting'!M68="Sch 3-C", "Sch 3-C",IF('Proposed Lighting'!M68="E", "E",IF('Proposed Lighting'!M68="E-C", "E-C",IF('Proposed Lighting'!M68="Dusk to Dawn","Sch D-D",IF('Proposed Lighting'!M68="Dusk to Dawn-C", "Sch DD-C",IF('Proposed Lighting'!M68="Seasonal", "SEA",IF('Proposed Lighting'!M68="Seasonal-C", "SEA-C",0))))))))))))</f>
        <v>0</v>
      </c>
      <c r="D82" s="1292">
        <f>'Proposed Lighting'!F68</f>
        <v>0</v>
      </c>
      <c r="E82" s="1293">
        <f>'Proposed Lighting'!N68</f>
        <v>0</v>
      </c>
      <c r="F82" s="996"/>
      <c r="G82" s="1294">
        <f>'Proposed Lighting'!K68</f>
        <v>0</v>
      </c>
      <c r="H82" s="1295">
        <f>IF('Proposed Lighting'!P68&gt;0.2,'Proposed Lighting'!P68,0)</f>
        <v>0</v>
      </c>
      <c r="I82" s="995">
        <f>'Proposed Lighting'!J68</f>
        <v>0</v>
      </c>
      <c r="J82" s="996"/>
      <c r="K82" s="996"/>
      <c r="L82" s="996"/>
      <c r="M82" s="996"/>
      <c r="N82" s="1005"/>
      <c r="O82" s="1296" t="str">
        <f>'Proposed Lighting'!Z68&amp;", "&amp;'Proposed Lighting'!EK68</f>
        <v xml:space="preserve">, </v>
      </c>
      <c r="P82" s="1292">
        <f>'Proposed Lighting'!T68</f>
        <v>0</v>
      </c>
      <c r="Q82" s="1293">
        <f>'Proposed Lighting'!AA68</f>
        <v>0</v>
      </c>
      <c r="R82" s="996"/>
      <c r="S82" s="1297">
        <f>IF('Proposed Lighting'!AR68=0,0,IF('Proposed Lighting'!AT68&gt;0.2,'Proposed Lighting'!AT68,0))</f>
        <v>0</v>
      </c>
      <c r="T82" s="997">
        <f>'Proposed Lighting'!X68</f>
        <v>0</v>
      </c>
      <c r="U82" s="998"/>
      <c r="V82" s="998"/>
      <c r="W82" s="1378">
        <f>IF('Proposed Lighting'!AF68=4,"WS",IF('Proposed Lighting'!AF68=5,"CM",IF('Proposed Lighting'!AF68=1.6,"PHOT",IF('Proposed Lighting'!AF68=1.5,"FM",IF('Proposed Lighting'!CT68=0.5,"LED-MS",IF('Proposed Lighting'!CB68&gt;1,"Non-S",IF('Proposed Lighting'!CT68=0.6,"LED-SS",IF('Proposed Lighting'!CT68=2,"LED-NW",IF('Proposed Lighting'!CT68=3,"LLLC",0)))))))))</f>
        <v>0</v>
      </c>
      <c r="X82" s="1293">
        <f>'Proposed Lighting'!EE68</f>
        <v>0</v>
      </c>
      <c r="Y82" s="1293">
        <f>'Proposed Lighting'!EF68</f>
        <v>0</v>
      </c>
    </row>
    <row r="83" spans="1:25" ht="50.1" customHeight="1">
      <c r="A83" s="1290">
        <v>61</v>
      </c>
      <c r="B83" s="1291">
        <f>'Proposed Lighting'!B69</f>
        <v>0</v>
      </c>
      <c r="C83" s="1291">
        <f>IF('Proposed Lighting'!M69="Sch 1","Sch 1",IF('Proposed Lighting'!M69="Sch 1-C", "Sch 1-C",IF('Proposed Lighting'!M69="Sch 2","Sch 2",IF('Proposed Lighting'!M69="Sch 2-C","Sch 2-C",IF('Proposed Lighting'!M69="Sch 3","Sch 3",IF('Proposed Lighting'!M69="Sch 3-C", "Sch 3-C",IF('Proposed Lighting'!M69="E", "E",IF('Proposed Lighting'!M69="E-C", "E-C",IF('Proposed Lighting'!M69="Dusk to Dawn","Sch D-D",IF('Proposed Lighting'!M69="Dusk to Dawn-C", "Sch DD-C",IF('Proposed Lighting'!M69="Seasonal", "SEA",IF('Proposed Lighting'!M69="Seasonal-C", "SEA-C",0))))))))))))</f>
        <v>0</v>
      </c>
      <c r="D83" s="1292">
        <f>'Proposed Lighting'!F69</f>
        <v>0</v>
      </c>
      <c r="E83" s="1293">
        <f>'Proposed Lighting'!N69</f>
        <v>0</v>
      </c>
      <c r="F83" s="996"/>
      <c r="G83" s="1294">
        <f>'Proposed Lighting'!K69</f>
        <v>0</v>
      </c>
      <c r="H83" s="1295">
        <f>IF('Proposed Lighting'!P69&gt;0.2,'Proposed Lighting'!P69,0)</f>
        <v>0</v>
      </c>
      <c r="I83" s="995">
        <f>'Proposed Lighting'!J69</f>
        <v>0</v>
      </c>
      <c r="J83" s="996"/>
      <c r="K83" s="996"/>
      <c r="L83" s="996"/>
      <c r="M83" s="996"/>
      <c r="N83" s="1005"/>
      <c r="O83" s="1296" t="str">
        <f>'Proposed Lighting'!Z69&amp;", "&amp;'Proposed Lighting'!EK69</f>
        <v xml:space="preserve">, </v>
      </c>
      <c r="P83" s="1292">
        <f>'Proposed Lighting'!T69</f>
        <v>0</v>
      </c>
      <c r="Q83" s="1293">
        <f>'Proposed Lighting'!AA69</f>
        <v>0</v>
      </c>
      <c r="R83" s="996"/>
      <c r="S83" s="1297">
        <f>IF('Proposed Lighting'!AR69=0,0,IF('Proposed Lighting'!AT69&gt;0.2,'Proposed Lighting'!AT69,0))</f>
        <v>0</v>
      </c>
      <c r="T83" s="997">
        <f>'Proposed Lighting'!X69</f>
        <v>0</v>
      </c>
      <c r="U83" s="998"/>
      <c r="V83" s="998"/>
      <c r="W83" s="1378">
        <f>IF('Proposed Lighting'!AF69=4,"WS",IF('Proposed Lighting'!AF69=5,"CM",IF('Proposed Lighting'!AF69=1.6,"PHOT",IF('Proposed Lighting'!AF69=1.5,"FM",IF('Proposed Lighting'!CT69=0.5,"LED-MS",IF('Proposed Lighting'!CB69&gt;1,"Non-S",IF('Proposed Lighting'!CT69=0.6,"LED-SS",IF('Proposed Lighting'!CT69=2,"LED-NW",IF('Proposed Lighting'!CT69=3,"LLLC",0)))))))))</f>
        <v>0</v>
      </c>
      <c r="X83" s="1293">
        <f>'Proposed Lighting'!EE69</f>
        <v>0</v>
      </c>
      <c r="Y83" s="1293">
        <f>'Proposed Lighting'!EF69</f>
        <v>0</v>
      </c>
    </row>
    <row r="84" spans="1:25" ht="50.1" customHeight="1">
      <c r="A84" s="1290">
        <v>62</v>
      </c>
      <c r="B84" s="1291">
        <f>'Proposed Lighting'!B70</f>
        <v>0</v>
      </c>
      <c r="C84" s="1291">
        <f>IF('Proposed Lighting'!M70="Sch 1","Sch 1",IF('Proposed Lighting'!M70="Sch 1-C", "Sch 1-C",IF('Proposed Lighting'!M70="Sch 2","Sch 2",IF('Proposed Lighting'!M70="Sch 2-C","Sch 2-C",IF('Proposed Lighting'!M70="Sch 3","Sch 3",IF('Proposed Lighting'!M70="Sch 3-C", "Sch 3-C",IF('Proposed Lighting'!M70="E", "E",IF('Proposed Lighting'!M70="E-C", "E-C",IF('Proposed Lighting'!M70="Dusk to Dawn","Sch D-D",IF('Proposed Lighting'!M70="Dusk to Dawn-C", "Sch DD-C",IF('Proposed Lighting'!M70="Seasonal", "SEA",IF('Proposed Lighting'!M70="Seasonal-C", "SEA-C",0))))))))))))</f>
        <v>0</v>
      </c>
      <c r="D84" s="1292">
        <f>'Proposed Lighting'!F70</f>
        <v>0</v>
      </c>
      <c r="E84" s="1293">
        <f>'Proposed Lighting'!N70</f>
        <v>0</v>
      </c>
      <c r="F84" s="996"/>
      <c r="G84" s="1294">
        <f>'Proposed Lighting'!K70</f>
        <v>0</v>
      </c>
      <c r="H84" s="1295">
        <f>IF('Proposed Lighting'!P70&gt;0.2,'Proposed Lighting'!P70,0)</f>
        <v>0</v>
      </c>
      <c r="I84" s="995">
        <f>'Proposed Lighting'!J70</f>
        <v>0</v>
      </c>
      <c r="J84" s="996"/>
      <c r="K84" s="996"/>
      <c r="L84" s="996"/>
      <c r="M84" s="996"/>
      <c r="N84" s="1005"/>
      <c r="O84" s="1296" t="str">
        <f>'Proposed Lighting'!Z70&amp;", "&amp;'Proposed Lighting'!EK70</f>
        <v xml:space="preserve">, </v>
      </c>
      <c r="P84" s="1292">
        <f>'Proposed Lighting'!T70</f>
        <v>0</v>
      </c>
      <c r="Q84" s="1293">
        <f>'Proposed Lighting'!AA70</f>
        <v>0</v>
      </c>
      <c r="R84" s="996"/>
      <c r="S84" s="1297">
        <f>IF('Proposed Lighting'!AR70=0,0,IF('Proposed Lighting'!AT70&gt;0.2,'Proposed Lighting'!AT70,0))</f>
        <v>0</v>
      </c>
      <c r="T84" s="997">
        <f>'Proposed Lighting'!X70</f>
        <v>0</v>
      </c>
      <c r="U84" s="998"/>
      <c r="V84" s="998"/>
      <c r="W84" s="1378">
        <f>IF('Proposed Lighting'!AF70=4,"WS",IF('Proposed Lighting'!AF70=5,"CM",IF('Proposed Lighting'!AF70=1.6,"PHOT",IF('Proposed Lighting'!AF70=1.5,"FM",IF('Proposed Lighting'!CT70=0.5,"LED-MS",IF('Proposed Lighting'!CB70&gt;1,"Non-S",IF('Proposed Lighting'!CT70=0.6,"LED-SS",IF('Proposed Lighting'!CT70=2,"LED-NW",IF('Proposed Lighting'!CT70=3,"LLLC",0)))))))))</f>
        <v>0</v>
      </c>
      <c r="X84" s="1293">
        <f>'Proposed Lighting'!EE70</f>
        <v>0</v>
      </c>
      <c r="Y84" s="1293">
        <f>'Proposed Lighting'!EF70</f>
        <v>0</v>
      </c>
    </row>
    <row r="85" spans="1:25" ht="50.1" customHeight="1">
      <c r="A85" s="1290">
        <v>63</v>
      </c>
      <c r="B85" s="1291">
        <f>'Proposed Lighting'!B71</f>
        <v>0</v>
      </c>
      <c r="C85" s="1291">
        <f>IF('Proposed Lighting'!M71="Sch 1","Sch 1",IF('Proposed Lighting'!M71="Sch 1-C", "Sch 1-C",IF('Proposed Lighting'!M71="Sch 2","Sch 2",IF('Proposed Lighting'!M71="Sch 2-C","Sch 2-C",IF('Proposed Lighting'!M71="Sch 3","Sch 3",IF('Proposed Lighting'!M71="Sch 3-C", "Sch 3-C",IF('Proposed Lighting'!M71="E", "E",IF('Proposed Lighting'!M71="E-C", "E-C",IF('Proposed Lighting'!M71="Dusk to Dawn","Sch D-D",IF('Proposed Lighting'!M71="Dusk to Dawn-C", "Sch DD-C",IF('Proposed Lighting'!M71="Seasonal", "SEA",IF('Proposed Lighting'!M71="Seasonal-C", "SEA-C",0))))))))))))</f>
        <v>0</v>
      </c>
      <c r="D85" s="1292">
        <f>'Proposed Lighting'!F71</f>
        <v>0</v>
      </c>
      <c r="E85" s="1293">
        <f>'Proposed Lighting'!N71</f>
        <v>0</v>
      </c>
      <c r="F85" s="996"/>
      <c r="G85" s="1294">
        <f>'Proposed Lighting'!K71</f>
        <v>0</v>
      </c>
      <c r="H85" s="1295">
        <f>IF('Proposed Lighting'!P71&gt;0.2,'Proposed Lighting'!P71,0)</f>
        <v>0</v>
      </c>
      <c r="I85" s="995">
        <f>'Proposed Lighting'!J71</f>
        <v>0</v>
      </c>
      <c r="J85" s="996"/>
      <c r="K85" s="996"/>
      <c r="L85" s="996"/>
      <c r="M85" s="996"/>
      <c r="N85" s="1005"/>
      <c r="O85" s="1296" t="str">
        <f>'Proposed Lighting'!Z71&amp;", "&amp;'Proposed Lighting'!EK71</f>
        <v xml:space="preserve">, </v>
      </c>
      <c r="P85" s="1292">
        <f>'Proposed Lighting'!T71</f>
        <v>0</v>
      </c>
      <c r="Q85" s="1293">
        <f>'Proposed Lighting'!AA71</f>
        <v>0</v>
      </c>
      <c r="R85" s="996"/>
      <c r="S85" s="1297">
        <f>IF('Proposed Lighting'!AR71=0,0,IF('Proposed Lighting'!AT71&gt;0.2,'Proposed Lighting'!AT71,0))</f>
        <v>0</v>
      </c>
      <c r="T85" s="997">
        <f>'Proposed Lighting'!X71</f>
        <v>0</v>
      </c>
      <c r="U85" s="998"/>
      <c r="V85" s="998"/>
      <c r="W85" s="1378">
        <f>IF('Proposed Lighting'!AF71=4,"WS",IF('Proposed Lighting'!AF71=5,"CM",IF('Proposed Lighting'!AF71=1.6,"PHOT",IF('Proposed Lighting'!AF71=1.5,"FM",IF('Proposed Lighting'!CT71=0.5,"LED-MS",IF('Proposed Lighting'!CB71&gt;1,"Non-S",IF('Proposed Lighting'!CT71=0.6,"LED-SS",IF('Proposed Lighting'!CT71=2,"LED-NW",IF('Proposed Lighting'!CT71=3,"LLLC",0)))))))))</f>
        <v>0</v>
      </c>
      <c r="X85" s="1293">
        <f>'Proposed Lighting'!EE71</f>
        <v>0</v>
      </c>
      <c r="Y85" s="1293">
        <f>'Proposed Lighting'!EF71</f>
        <v>0</v>
      </c>
    </row>
    <row r="86" spans="1:25" ht="50.1" customHeight="1">
      <c r="A86" s="1290">
        <v>64</v>
      </c>
      <c r="B86" s="1291">
        <f>'Proposed Lighting'!B72</f>
        <v>0</v>
      </c>
      <c r="C86" s="1291">
        <f>IF('Proposed Lighting'!M72="Sch 1","Sch 1",IF('Proposed Lighting'!M72="Sch 1-C", "Sch 1-C",IF('Proposed Lighting'!M72="Sch 2","Sch 2",IF('Proposed Lighting'!M72="Sch 2-C","Sch 2-C",IF('Proposed Lighting'!M72="Sch 3","Sch 3",IF('Proposed Lighting'!M72="Sch 3-C", "Sch 3-C",IF('Proposed Lighting'!M72="E", "E",IF('Proposed Lighting'!M72="E-C", "E-C",IF('Proposed Lighting'!M72="Dusk to Dawn","Sch D-D",IF('Proposed Lighting'!M72="Dusk to Dawn-C", "Sch DD-C",IF('Proposed Lighting'!M72="Seasonal", "SEA",IF('Proposed Lighting'!M72="Seasonal-C", "SEA-C",0))))))))))))</f>
        <v>0</v>
      </c>
      <c r="D86" s="1292">
        <f>'Proposed Lighting'!F72</f>
        <v>0</v>
      </c>
      <c r="E86" s="1293">
        <f>'Proposed Lighting'!N72</f>
        <v>0</v>
      </c>
      <c r="F86" s="996"/>
      <c r="G86" s="1294">
        <f>'Proposed Lighting'!K72</f>
        <v>0</v>
      </c>
      <c r="H86" s="1295">
        <f>IF('Proposed Lighting'!P72&gt;0.2,'Proposed Lighting'!P72,0)</f>
        <v>0</v>
      </c>
      <c r="I86" s="995">
        <f>'Proposed Lighting'!J72</f>
        <v>0</v>
      </c>
      <c r="J86" s="996"/>
      <c r="K86" s="996"/>
      <c r="L86" s="996"/>
      <c r="M86" s="996"/>
      <c r="N86" s="1005"/>
      <c r="O86" s="1296" t="str">
        <f>'Proposed Lighting'!Z72&amp;", "&amp;'Proposed Lighting'!EK72</f>
        <v xml:space="preserve">, </v>
      </c>
      <c r="P86" s="1292">
        <f>'Proposed Lighting'!T72</f>
        <v>0</v>
      </c>
      <c r="Q86" s="1293">
        <f>'Proposed Lighting'!AA72</f>
        <v>0</v>
      </c>
      <c r="R86" s="996"/>
      <c r="S86" s="1297">
        <f>IF('Proposed Lighting'!AR72=0,0,IF('Proposed Lighting'!AT72&gt;0.2,'Proposed Lighting'!AT72,0))</f>
        <v>0</v>
      </c>
      <c r="T86" s="997">
        <f>'Proposed Lighting'!X72</f>
        <v>0</v>
      </c>
      <c r="U86" s="998"/>
      <c r="V86" s="998"/>
      <c r="W86" s="1378">
        <f>IF('Proposed Lighting'!AF72=4,"WS",IF('Proposed Lighting'!AF72=5,"CM",IF('Proposed Lighting'!AF72=1.6,"PHOT",IF('Proposed Lighting'!AF72=1.5,"FM",IF('Proposed Lighting'!CT72=0.5,"LED-MS",IF('Proposed Lighting'!CB72&gt;1,"Non-S",IF('Proposed Lighting'!CT72=0.6,"LED-SS",IF('Proposed Lighting'!CT72=2,"LED-NW",IF('Proposed Lighting'!CT72=3,"LLLC",0)))))))))</f>
        <v>0</v>
      </c>
      <c r="X86" s="1293">
        <f>'Proposed Lighting'!EE72</f>
        <v>0</v>
      </c>
      <c r="Y86" s="1293">
        <f>'Proposed Lighting'!EF72</f>
        <v>0</v>
      </c>
    </row>
    <row r="87" spans="1:25" ht="50.1" customHeight="1">
      <c r="A87" s="1290">
        <v>65</v>
      </c>
      <c r="B87" s="1291">
        <f>'Proposed Lighting'!B73</f>
        <v>0</v>
      </c>
      <c r="C87" s="1291">
        <f>IF('Proposed Lighting'!M73="Sch 1","Sch 1",IF('Proposed Lighting'!M73="Sch 1-C", "Sch 1-C",IF('Proposed Lighting'!M73="Sch 2","Sch 2",IF('Proposed Lighting'!M73="Sch 2-C","Sch 2-C",IF('Proposed Lighting'!M73="Sch 3","Sch 3",IF('Proposed Lighting'!M73="Sch 3-C", "Sch 3-C",IF('Proposed Lighting'!M73="E", "E",IF('Proposed Lighting'!M73="E-C", "E-C",IF('Proposed Lighting'!M73="Dusk to Dawn","Sch D-D",IF('Proposed Lighting'!M73="Dusk to Dawn-C", "Sch DD-C",IF('Proposed Lighting'!M73="Seasonal", "SEA",IF('Proposed Lighting'!M73="Seasonal-C", "SEA-C",0))))))))))))</f>
        <v>0</v>
      </c>
      <c r="D87" s="1292">
        <f>'Proposed Lighting'!F73</f>
        <v>0</v>
      </c>
      <c r="E87" s="1293">
        <f>'Proposed Lighting'!N73</f>
        <v>0</v>
      </c>
      <c r="F87" s="996"/>
      <c r="G87" s="1294">
        <f>'Proposed Lighting'!K73</f>
        <v>0</v>
      </c>
      <c r="H87" s="1295">
        <f>IF('Proposed Lighting'!P73&gt;0.2,'Proposed Lighting'!P73,0)</f>
        <v>0</v>
      </c>
      <c r="I87" s="995">
        <f>'Proposed Lighting'!J73</f>
        <v>0</v>
      </c>
      <c r="J87" s="996"/>
      <c r="K87" s="996"/>
      <c r="L87" s="996"/>
      <c r="M87" s="996"/>
      <c r="N87" s="1005"/>
      <c r="O87" s="1296" t="str">
        <f>'Proposed Lighting'!Z73&amp;", "&amp;'Proposed Lighting'!EK73</f>
        <v xml:space="preserve">, </v>
      </c>
      <c r="P87" s="1292">
        <f>'Proposed Lighting'!T73</f>
        <v>0</v>
      </c>
      <c r="Q87" s="1293">
        <f>'Proposed Lighting'!AA73</f>
        <v>0</v>
      </c>
      <c r="R87" s="996"/>
      <c r="S87" s="1297">
        <f>IF('Proposed Lighting'!AR73=0,0,IF('Proposed Lighting'!AT73&gt;0.2,'Proposed Lighting'!AT73,0))</f>
        <v>0</v>
      </c>
      <c r="T87" s="997">
        <f>'Proposed Lighting'!X73</f>
        <v>0</v>
      </c>
      <c r="U87" s="998"/>
      <c r="V87" s="998"/>
      <c r="W87" s="1378">
        <f>IF('Proposed Lighting'!AF73=4,"WS",IF('Proposed Lighting'!AF73=5,"CM",IF('Proposed Lighting'!AF73=1.6,"PHOT",IF('Proposed Lighting'!AF73=1.5,"FM",IF('Proposed Lighting'!CT73=0.5,"LED-MS",IF('Proposed Lighting'!CB73&gt;1,"Non-S",IF('Proposed Lighting'!CT73=0.6,"LED-SS",IF('Proposed Lighting'!CT73=2,"LED-NW",IF('Proposed Lighting'!CT73=3,"LLLC",0)))))))))</f>
        <v>0</v>
      </c>
      <c r="X87" s="1293">
        <f>'Proposed Lighting'!EE73</f>
        <v>0</v>
      </c>
      <c r="Y87" s="1293">
        <f>'Proposed Lighting'!EF73</f>
        <v>0</v>
      </c>
    </row>
    <row r="88" spans="1:25" ht="50.1" customHeight="1">
      <c r="A88" s="1290">
        <v>66</v>
      </c>
      <c r="B88" s="1291">
        <f>'Proposed Lighting'!B74</f>
        <v>0</v>
      </c>
      <c r="C88" s="1291">
        <f>IF('Proposed Lighting'!M74="Sch 1","Sch 1",IF('Proposed Lighting'!M74="Sch 1-C", "Sch 1-C",IF('Proposed Lighting'!M74="Sch 2","Sch 2",IF('Proposed Lighting'!M74="Sch 2-C","Sch 2-C",IF('Proposed Lighting'!M74="Sch 3","Sch 3",IF('Proposed Lighting'!M74="Sch 3-C", "Sch 3-C",IF('Proposed Lighting'!M74="E", "E",IF('Proposed Lighting'!M74="E-C", "E-C",IF('Proposed Lighting'!M74="Dusk to Dawn","Sch D-D",IF('Proposed Lighting'!M74="Dusk to Dawn-C", "Sch DD-C",IF('Proposed Lighting'!M74="Seasonal", "SEA",IF('Proposed Lighting'!M74="Seasonal-C", "SEA-C",0))))))))))))</f>
        <v>0</v>
      </c>
      <c r="D88" s="1292">
        <f>'Proposed Lighting'!F74</f>
        <v>0</v>
      </c>
      <c r="E88" s="1293">
        <f>'Proposed Lighting'!N74</f>
        <v>0</v>
      </c>
      <c r="F88" s="996"/>
      <c r="G88" s="1294">
        <f>'Proposed Lighting'!K74</f>
        <v>0</v>
      </c>
      <c r="H88" s="1295">
        <f>IF('Proposed Lighting'!P74&gt;0.2,'Proposed Lighting'!P74,0)</f>
        <v>0</v>
      </c>
      <c r="I88" s="995">
        <f>'Proposed Lighting'!J74</f>
        <v>0</v>
      </c>
      <c r="J88" s="996"/>
      <c r="K88" s="996"/>
      <c r="L88" s="996"/>
      <c r="M88" s="996"/>
      <c r="N88" s="1005"/>
      <c r="O88" s="1296" t="str">
        <f>'Proposed Lighting'!Z74&amp;", "&amp;'Proposed Lighting'!EK74</f>
        <v xml:space="preserve">, </v>
      </c>
      <c r="P88" s="1292">
        <f>'Proposed Lighting'!T74</f>
        <v>0</v>
      </c>
      <c r="Q88" s="1293">
        <f>'Proposed Lighting'!AA74</f>
        <v>0</v>
      </c>
      <c r="R88" s="996"/>
      <c r="S88" s="1297">
        <f>IF('Proposed Lighting'!AR74=0,0,IF('Proposed Lighting'!AT74&gt;0.2,'Proposed Lighting'!AT74,0))</f>
        <v>0</v>
      </c>
      <c r="T88" s="997">
        <f>'Proposed Lighting'!X74</f>
        <v>0</v>
      </c>
      <c r="U88" s="998"/>
      <c r="V88" s="998"/>
      <c r="W88" s="1378">
        <f>IF('Proposed Lighting'!AF74=4,"WS",IF('Proposed Lighting'!AF74=5,"CM",IF('Proposed Lighting'!AF74=1.6,"PHOT",IF('Proposed Lighting'!AF74=1.5,"FM",IF('Proposed Lighting'!CT74=0.5,"LED-MS",IF('Proposed Lighting'!CB74&gt;1,"Non-S",IF('Proposed Lighting'!CT74=0.6,"LED-SS",IF('Proposed Lighting'!CT74=2,"LED-NW",IF('Proposed Lighting'!CT74=3,"LLLC",0)))))))))</f>
        <v>0</v>
      </c>
      <c r="X88" s="1293">
        <f>'Proposed Lighting'!EE74</f>
        <v>0</v>
      </c>
      <c r="Y88" s="1293">
        <f>'Proposed Lighting'!EF74</f>
        <v>0</v>
      </c>
    </row>
    <row r="89" spans="1:25" ht="50.1" customHeight="1">
      <c r="A89" s="1290">
        <v>67</v>
      </c>
      <c r="B89" s="1291">
        <f>'Proposed Lighting'!B75</f>
        <v>0</v>
      </c>
      <c r="C89" s="1291">
        <f>IF('Proposed Lighting'!M75="Sch 1","Sch 1",IF('Proposed Lighting'!M75="Sch 1-C", "Sch 1-C",IF('Proposed Lighting'!M75="Sch 2","Sch 2",IF('Proposed Lighting'!M75="Sch 2-C","Sch 2-C",IF('Proposed Lighting'!M75="Sch 3","Sch 3",IF('Proposed Lighting'!M75="Sch 3-C", "Sch 3-C",IF('Proposed Lighting'!M75="E", "E",IF('Proposed Lighting'!M75="E-C", "E-C",IF('Proposed Lighting'!M75="Dusk to Dawn","Sch D-D",IF('Proposed Lighting'!M75="Dusk to Dawn-C", "Sch DD-C",IF('Proposed Lighting'!M75="Seasonal", "SEA",IF('Proposed Lighting'!M75="Seasonal-C", "SEA-C",0))))))))))))</f>
        <v>0</v>
      </c>
      <c r="D89" s="1292">
        <f>'Proposed Lighting'!F75</f>
        <v>0</v>
      </c>
      <c r="E89" s="1293">
        <f>'Proposed Lighting'!N75</f>
        <v>0</v>
      </c>
      <c r="F89" s="996"/>
      <c r="G89" s="1294">
        <f>'Proposed Lighting'!K75</f>
        <v>0</v>
      </c>
      <c r="H89" s="1295">
        <f>IF('Proposed Lighting'!P75&gt;0.2,'Proposed Lighting'!P75,0)</f>
        <v>0</v>
      </c>
      <c r="I89" s="995">
        <f>'Proposed Lighting'!J75</f>
        <v>0</v>
      </c>
      <c r="J89" s="996"/>
      <c r="K89" s="996"/>
      <c r="L89" s="996"/>
      <c r="M89" s="996"/>
      <c r="N89" s="1005"/>
      <c r="O89" s="1296" t="str">
        <f>'Proposed Lighting'!Z75&amp;", "&amp;'Proposed Lighting'!EK75</f>
        <v xml:space="preserve">, </v>
      </c>
      <c r="P89" s="1292">
        <f>'Proposed Lighting'!T75</f>
        <v>0</v>
      </c>
      <c r="Q89" s="1293">
        <f>'Proposed Lighting'!AA75</f>
        <v>0</v>
      </c>
      <c r="R89" s="996"/>
      <c r="S89" s="1297">
        <f>IF('Proposed Lighting'!AR75=0,0,IF('Proposed Lighting'!AT75&gt;0.2,'Proposed Lighting'!AT75,0))</f>
        <v>0</v>
      </c>
      <c r="T89" s="997">
        <f>'Proposed Lighting'!X75</f>
        <v>0</v>
      </c>
      <c r="U89" s="998"/>
      <c r="V89" s="998"/>
      <c r="W89" s="1378">
        <f>IF('Proposed Lighting'!AF75=4,"WS",IF('Proposed Lighting'!AF75=5,"CM",IF('Proposed Lighting'!AF75=1.6,"PHOT",IF('Proposed Lighting'!AF75=1.5,"FM",IF('Proposed Lighting'!CT75=0.5,"LED-MS",IF('Proposed Lighting'!CB75&gt;1,"Non-S",IF('Proposed Lighting'!CT75=0.6,"LED-SS",IF('Proposed Lighting'!CT75=2,"LED-NW",IF('Proposed Lighting'!CT75=3,"LLLC",0)))))))))</f>
        <v>0</v>
      </c>
      <c r="X89" s="1293">
        <f>'Proposed Lighting'!EE75</f>
        <v>0</v>
      </c>
      <c r="Y89" s="1293">
        <f>'Proposed Lighting'!EF75</f>
        <v>0</v>
      </c>
    </row>
    <row r="90" spans="1:25" ht="50.1" customHeight="1">
      <c r="A90" s="1290">
        <v>68</v>
      </c>
      <c r="B90" s="1291">
        <f>'Proposed Lighting'!B76</f>
        <v>0</v>
      </c>
      <c r="C90" s="1291">
        <f>IF('Proposed Lighting'!M76="Sch 1","Sch 1",IF('Proposed Lighting'!M76="Sch 1-C", "Sch 1-C",IF('Proposed Lighting'!M76="Sch 2","Sch 2",IF('Proposed Lighting'!M76="Sch 2-C","Sch 2-C",IF('Proposed Lighting'!M76="Sch 3","Sch 3",IF('Proposed Lighting'!M76="Sch 3-C", "Sch 3-C",IF('Proposed Lighting'!M76="E", "E",IF('Proposed Lighting'!M76="E-C", "E-C",IF('Proposed Lighting'!M76="Dusk to Dawn","Sch D-D",IF('Proposed Lighting'!M76="Dusk to Dawn-C", "Sch DD-C",IF('Proposed Lighting'!M76="Seasonal", "SEA",IF('Proposed Lighting'!M76="Seasonal-C", "SEA-C",0))))))))))))</f>
        <v>0</v>
      </c>
      <c r="D90" s="1292">
        <f>'Proposed Lighting'!F76</f>
        <v>0</v>
      </c>
      <c r="E90" s="1293">
        <f>'Proposed Lighting'!N76</f>
        <v>0</v>
      </c>
      <c r="F90" s="996"/>
      <c r="G90" s="1294">
        <f>'Proposed Lighting'!K76</f>
        <v>0</v>
      </c>
      <c r="H90" s="1295">
        <f>IF('Proposed Lighting'!P76&gt;0.2,'Proposed Lighting'!P76,0)</f>
        <v>0</v>
      </c>
      <c r="I90" s="995">
        <f>'Proposed Lighting'!J76</f>
        <v>0</v>
      </c>
      <c r="J90" s="996"/>
      <c r="K90" s="996"/>
      <c r="L90" s="996"/>
      <c r="M90" s="996"/>
      <c r="N90" s="1005"/>
      <c r="O90" s="1296" t="str">
        <f>'Proposed Lighting'!Z76&amp;", "&amp;'Proposed Lighting'!EK76</f>
        <v xml:space="preserve">, </v>
      </c>
      <c r="P90" s="1292">
        <f>'Proposed Lighting'!T76</f>
        <v>0</v>
      </c>
      <c r="Q90" s="1293">
        <f>'Proposed Lighting'!AA76</f>
        <v>0</v>
      </c>
      <c r="R90" s="996"/>
      <c r="S90" s="1297">
        <f>IF('Proposed Lighting'!AR76=0,0,IF('Proposed Lighting'!AT76&gt;0.2,'Proposed Lighting'!AT76,0))</f>
        <v>0</v>
      </c>
      <c r="T90" s="997">
        <f>'Proposed Lighting'!X76</f>
        <v>0</v>
      </c>
      <c r="U90" s="998"/>
      <c r="V90" s="998"/>
      <c r="W90" s="1378">
        <f>IF('Proposed Lighting'!AF76=4,"WS",IF('Proposed Lighting'!AF76=5,"CM",IF('Proposed Lighting'!AF76=1.6,"PHOT",IF('Proposed Lighting'!AF76=1.5,"FM",IF('Proposed Lighting'!CT76=0.5,"LED-MS",IF('Proposed Lighting'!CB76&gt;1,"Non-S",IF('Proposed Lighting'!CT76=0.6,"LED-SS",IF('Proposed Lighting'!CT76=2,"LED-NW",IF('Proposed Lighting'!CT76=3,"LLLC",0)))))))))</f>
        <v>0</v>
      </c>
      <c r="X90" s="1293">
        <f>'Proposed Lighting'!EE76</f>
        <v>0</v>
      </c>
      <c r="Y90" s="1293">
        <f>'Proposed Lighting'!EF76</f>
        <v>0</v>
      </c>
    </row>
    <row r="91" spans="1:25" ht="50.1" customHeight="1">
      <c r="A91" s="1290">
        <v>69</v>
      </c>
      <c r="B91" s="1291">
        <f>'Proposed Lighting'!B77</f>
        <v>0</v>
      </c>
      <c r="C91" s="1291">
        <f>IF('Proposed Lighting'!M77="Sch 1","Sch 1",IF('Proposed Lighting'!M77="Sch 1-C", "Sch 1-C",IF('Proposed Lighting'!M77="Sch 2","Sch 2",IF('Proposed Lighting'!M77="Sch 2-C","Sch 2-C",IF('Proposed Lighting'!M77="Sch 3","Sch 3",IF('Proposed Lighting'!M77="Sch 3-C", "Sch 3-C",IF('Proposed Lighting'!M77="E", "E",IF('Proposed Lighting'!M77="E-C", "E-C",IF('Proposed Lighting'!M77="Dusk to Dawn","Sch D-D",IF('Proposed Lighting'!M77="Dusk to Dawn-C", "Sch DD-C",IF('Proposed Lighting'!M77="Seasonal", "SEA",IF('Proposed Lighting'!M77="Seasonal-C", "SEA-C",0))))))))))))</f>
        <v>0</v>
      </c>
      <c r="D91" s="1292">
        <f>'Proposed Lighting'!F77</f>
        <v>0</v>
      </c>
      <c r="E91" s="1293">
        <f>'Proposed Lighting'!N77</f>
        <v>0</v>
      </c>
      <c r="F91" s="996"/>
      <c r="G91" s="1294">
        <f>'Proposed Lighting'!K77</f>
        <v>0</v>
      </c>
      <c r="H91" s="1295">
        <f>IF('Proposed Lighting'!P77&gt;0.2,'Proposed Lighting'!P77,0)</f>
        <v>0</v>
      </c>
      <c r="I91" s="995">
        <f>'Proposed Lighting'!J77</f>
        <v>0</v>
      </c>
      <c r="J91" s="996"/>
      <c r="K91" s="996"/>
      <c r="L91" s="996"/>
      <c r="M91" s="996"/>
      <c r="N91" s="1005"/>
      <c r="O91" s="1296" t="str">
        <f>'Proposed Lighting'!Z77&amp;", "&amp;'Proposed Lighting'!EK77</f>
        <v xml:space="preserve">, </v>
      </c>
      <c r="P91" s="1292">
        <f>'Proposed Lighting'!T77</f>
        <v>0</v>
      </c>
      <c r="Q91" s="1293">
        <f>'Proposed Lighting'!AA77</f>
        <v>0</v>
      </c>
      <c r="R91" s="996"/>
      <c r="S91" s="1297">
        <f>IF('Proposed Lighting'!AR77=0,0,IF('Proposed Lighting'!AT77&gt;0.2,'Proposed Lighting'!AT77,0))</f>
        <v>0</v>
      </c>
      <c r="T91" s="997">
        <f>'Proposed Lighting'!X77</f>
        <v>0</v>
      </c>
      <c r="U91" s="998"/>
      <c r="V91" s="998"/>
      <c r="W91" s="1378">
        <f>IF('Proposed Lighting'!AF77=4,"WS",IF('Proposed Lighting'!AF77=5,"CM",IF('Proposed Lighting'!AF77=1.6,"PHOT",IF('Proposed Lighting'!AF77=1.5,"FM",IF('Proposed Lighting'!CT77=0.5,"LED-MS",IF('Proposed Lighting'!CB77&gt;1,"Non-S",IF('Proposed Lighting'!CT77=0.6,"LED-SS",IF('Proposed Lighting'!CT77=2,"LED-NW",IF('Proposed Lighting'!CT77=3,"LLLC",0)))))))))</f>
        <v>0</v>
      </c>
      <c r="X91" s="1293">
        <f>'Proposed Lighting'!EE77</f>
        <v>0</v>
      </c>
      <c r="Y91" s="1293">
        <f>'Proposed Lighting'!EF77</f>
        <v>0</v>
      </c>
    </row>
    <row r="92" spans="1:25" ht="50.1" customHeight="1">
      <c r="A92" s="1290">
        <v>70</v>
      </c>
      <c r="B92" s="1291">
        <f>'Proposed Lighting'!B78</f>
        <v>0</v>
      </c>
      <c r="C92" s="1291">
        <f>IF('Proposed Lighting'!M78="Sch 1","Sch 1",IF('Proposed Lighting'!M78="Sch 1-C", "Sch 1-C",IF('Proposed Lighting'!M78="Sch 2","Sch 2",IF('Proposed Lighting'!M78="Sch 2-C","Sch 2-C",IF('Proposed Lighting'!M78="Sch 3","Sch 3",IF('Proposed Lighting'!M78="Sch 3-C", "Sch 3-C",IF('Proposed Lighting'!M78="E", "E",IF('Proposed Lighting'!M78="E-C", "E-C",IF('Proposed Lighting'!M78="Dusk to Dawn","Sch D-D",IF('Proposed Lighting'!M78="Dusk to Dawn-C", "Sch DD-C",IF('Proposed Lighting'!M78="Seasonal", "SEA",IF('Proposed Lighting'!M78="Seasonal-C", "SEA-C",0))))))))))))</f>
        <v>0</v>
      </c>
      <c r="D92" s="1292">
        <f>'Proposed Lighting'!F78</f>
        <v>0</v>
      </c>
      <c r="E92" s="1293">
        <f>'Proposed Lighting'!N78</f>
        <v>0</v>
      </c>
      <c r="F92" s="996"/>
      <c r="G92" s="1294">
        <f>'Proposed Lighting'!K78</f>
        <v>0</v>
      </c>
      <c r="H92" s="1295">
        <f>IF('Proposed Lighting'!P78&gt;0.2,'Proposed Lighting'!P78,0)</f>
        <v>0</v>
      </c>
      <c r="I92" s="995">
        <f>'Proposed Lighting'!J78</f>
        <v>0</v>
      </c>
      <c r="J92" s="996"/>
      <c r="K92" s="996"/>
      <c r="L92" s="996"/>
      <c r="M92" s="996"/>
      <c r="N92" s="1005"/>
      <c r="O92" s="1296" t="str">
        <f>'Proposed Lighting'!Z78&amp;", "&amp;'Proposed Lighting'!EK78</f>
        <v xml:space="preserve">, </v>
      </c>
      <c r="P92" s="1292">
        <f>'Proposed Lighting'!T78</f>
        <v>0</v>
      </c>
      <c r="Q92" s="1293">
        <f>'Proposed Lighting'!AA78</f>
        <v>0</v>
      </c>
      <c r="R92" s="996"/>
      <c r="S92" s="1297">
        <f>IF('Proposed Lighting'!AR78=0,0,IF('Proposed Lighting'!AT78&gt;0.2,'Proposed Lighting'!AT78,0))</f>
        <v>0</v>
      </c>
      <c r="T92" s="997">
        <f>'Proposed Lighting'!X78</f>
        <v>0</v>
      </c>
      <c r="U92" s="998"/>
      <c r="V92" s="998"/>
      <c r="W92" s="1378">
        <f>IF('Proposed Lighting'!AF78=4,"WS",IF('Proposed Lighting'!AF78=5,"CM",IF('Proposed Lighting'!AF78=1.6,"PHOT",IF('Proposed Lighting'!AF78=1.5,"FM",IF('Proposed Lighting'!CT78=0.5,"LED-MS",IF('Proposed Lighting'!CB78&gt;1,"Non-S",IF('Proposed Lighting'!CT78=0.6,"LED-SS",IF('Proposed Lighting'!CT78=2,"LED-NW",IF('Proposed Lighting'!CT78=3,"LLLC",0)))))))))</f>
        <v>0</v>
      </c>
      <c r="X92" s="1293">
        <f>'Proposed Lighting'!EE78</f>
        <v>0</v>
      </c>
      <c r="Y92" s="1293">
        <f>'Proposed Lighting'!EF78</f>
        <v>0</v>
      </c>
    </row>
    <row r="93" spans="1:25" ht="50.1" customHeight="1">
      <c r="A93" s="1290">
        <v>71</v>
      </c>
      <c r="B93" s="1291">
        <f>'Proposed Lighting'!B79</f>
        <v>0</v>
      </c>
      <c r="C93" s="1291">
        <f>IF('Proposed Lighting'!M79="Sch 1","Sch 1",IF('Proposed Lighting'!M79="Sch 1-C", "Sch 1-C",IF('Proposed Lighting'!M79="Sch 2","Sch 2",IF('Proposed Lighting'!M79="Sch 2-C","Sch 2-C",IF('Proposed Lighting'!M79="Sch 3","Sch 3",IF('Proposed Lighting'!M79="Sch 3-C", "Sch 3-C",IF('Proposed Lighting'!M79="E", "E",IF('Proposed Lighting'!M79="E-C", "E-C",IF('Proposed Lighting'!M79="Dusk to Dawn","Sch D-D",IF('Proposed Lighting'!M79="Dusk to Dawn-C", "Sch DD-C",IF('Proposed Lighting'!M79="Seasonal", "SEA",IF('Proposed Lighting'!M79="Seasonal-C", "SEA-C",0))))))))))))</f>
        <v>0</v>
      </c>
      <c r="D93" s="1292">
        <f>'Proposed Lighting'!F79</f>
        <v>0</v>
      </c>
      <c r="E93" s="1293">
        <f>'Proposed Lighting'!N79</f>
        <v>0</v>
      </c>
      <c r="F93" s="996"/>
      <c r="G93" s="1294">
        <f>'Proposed Lighting'!K79</f>
        <v>0</v>
      </c>
      <c r="H93" s="1295">
        <f>IF('Proposed Lighting'!P79&gt;0.2,'Proposed Lighting'!P79,0)</f>
        <v>0</v>
      </c>
      <c r="I93" s="995">
        <f>'Proposed Lighting'!J79</f>
        <v>0</v>
      </c>
      <c r="J93" s="996"/>
      <c r="K93" s="996"/>
      <c r="L93" s="996"/>
      <c r="M93" s="996"/>
      <c r="N93" s="1005"/>
      <c r="O93" s="1296" t="str">
        <f>'Proposed Lighting'!Z79&amp;", "&amp;'Proposed Lighting'!EK79</f>
        <v xml:space="preserve">, </v>
      </c>
      <c r="P93" s="1292">
        <f>'Proposed Lighting'!T79</f>
        <v>0</v>
      </c>
      <c r="Q93" s="1293">
        <f>'Proposed Lighting'!AA79</f>
        <v>0</v>
      </c>
      <c r="R93" s="996"/>
      <c r="S93" s="1297">
        <f>IF('Proposed Lighting'!AR79=0,0,IF('Proposed Lighting'!AT79&gt;0.2,'Proposed Lighting'!AT79,0))</f>
        <v>0</v>
      </c>
      <c r="T93" s="997">
        <f>'Proposed Lighting'!X79</f>
        <v>0</v>
      </c>
      <c r="U93" s="998"/>
      <c r="V93" s="998"/>
      <c r="W93" s="1378">
        <f>IF('Proposed Lighting'!AF79=4,"WS",IF('Proposed Lighting'!AF79=5,"CM",IF('Proposed Lighting'!AF79=1.6,"PHOT",IF('Proposed Lighting'!AF79=1.5,"FM",IF('Proposed Lighting'!CT79=0.5,"LED-MS",IF('Proposed Lighting'!CB79&gt;1,"Non-S",IF('Proposed Lighting'!CT79=0.6,"LED-SS",IF('Proposed Lighting'!CT79=2,"LED-NW",IF('Proposed Lighting'!CT79=3,"LLLC",0)))))))))</f>
        <v>0</v>
      </c>
      <c r="X93" s="1293">
        <f>'Proposed Lighting'!EE79</f>
        <v>0</v>
      </c>
      <c r="Y93" s="1293">
        <f>'Proposed Lighting'!EF79</f>
        <v>0</v>
      </c>
    </row>
    <row r="94" spans="1:25" ht="50.1" customHeight="1">
      <c r="A94" s="1290">
        <v>72</v>
      </c>
      <c r="B94" s="1291">
        <f>'Proposed Lighting'!B80</f>
        <v>0</v>
      </c>
      <c r="C94" s="1291">
        <f>IF('Proposed Lighting'!M80="Sch 1","Sch 1",IF('Proposed Lighting'!M80="Sch 1-C", "Sch 1-C",IF('Proposed Lighting'!M80="Sch 2","Sch 2",IF('Proposed Lighting'!M80="Sch 2-C","Sch 2-C",IF('Proposed Lighting'!M80="Sch 3","Sch 3",IF('Proposed Lighting'!M80="Sch 3-C", "Sch 3-C",IF('Proposed Lighting'!M80="E", "E",IF('Proposed Lighting'!M80="E-C", "E-C",IF('Proposed Lighting'!M80="Dusk to Dawn","Sch D-D",IF('Proposed Lighting'!M80="Dusk to Dawn-C", "Sch DD-C",IF('Proposed Lighting'!M80="Seasonal", "SEA",IF('Proposed Lighting'!M80="Seasonal-C", "SEA-C",0))))))))))))</f>
        <v>0</v>
      </c>
      <c r="D94" s="1292">
        <f>'Proposed Lighting'!F80</f>
        <v>0</v>
      </c>
      <c r="E94" s="1293">
        <f>'Proposed Lighting'!N80</f>
        <v>0</v>
      </c>
      <c r="F94" s="996"/>
      <c r="G94" s="1294">
        <f>'Proposed Lighting'!K80</f>
        <v>0</v>
      </c>
      <c r="H94" s="1295">
        <f>IF('Proposed Lighting'!P80&gt;0.2,'Proposed Lighting'!P80,0)</f>
        <v>0</v>
      </c>
      <c r="I94" s="995">
        <f>'Proposed Lighting'!J80</f>
        <v>0</v>
      </c>
      <c r="J94" s="996"/>
      <c r="K94" s="996"/>
      <c r="L94" s="996"/>
      <c r="M94" s="996"/>
      <c r="N94" s="1005"/>
      <c r="O94" s="1296" t="str">
        <f>'Proposed Lighting'!Z80&amp;", "&amp;'Proposed Lighting'!EK80</f>
        <v xml:space="preserve">, </v>
      </c>
      <c r="P94" s="1292">
        <f>'Proposed Lighting'!T80</f>
        <v>0</v>
      </c>
      <c r="Q94" s="1293">
        <f>'Proposed Lighting'!AA80</f>
        <v>0</v>
      </c>
      <c r="R94" s="996"/>
      <c r="S94" s="1297">
        <f>IF('Proposed Lighting'!AR80=0,0,IF('Proposed Lighting'!AT80&gt;0.2,'Proposed Lighting'!AT80,0))</f>
        <v>0</v>
      </c>
      <c r="T94" s="997">
        <f>'Proposed Lighting'!X80</f>
        <v>0</v>
      </c>
      <c r="U94" s="998"/>
      <c r="V94" s="998"/>
      <c r="W94" s="1378">
        <f>IF('Proposed Lighting'!AF80=4,"WS",IF('Proposed Lighting'!AF80=5,"CM",IF('Proposed Lighting'!AF80=1.6,"PHOT",IF('Proposed Lighting'!AF80=1.5,"FM",IF('Proposed Lighting'!CT80=0.5,"LED-MS",IF('Proposed Lighting'!CB80&gt;1,"Non-S",IF('Proposed Lighting'!CT80=0.6,"LED-SS",IF('Proposed Lighting'!CT80=2,"LED-NW",IF('Proposed Lighting'!CT80=3,"LLLC",0)))))))))</f>
        <v>0</v>
      </c>
      <c r="X94" s="1293">
        <f>'Proposed Lighting'!EE80</f>
        <v>0</v>
      </c>
      <c r="Y94" s="1293">
        <f>'Proposed Lighting'!EF80</f>
        <v>0</v>
      </c>
    </row>
    <row r="95" spans="1:25" ht="50.1" customHeight="1">
      <c r="A95" s="1290">
        <v>73</v>
      </c>
      <c r="B95" s="1291">
        <f>'Proposed Lighting'!B81</f>
        <v>0</v>
      </c>
      <c r="C95" s="1291">
        <f>IF('Proposed Lighting'!M81="Sch 1","Sch 1",IF('Proposed Lighting'!M81="Sch 1-C", "Sch 1-C",IF('Proposed Lighting'!M81="Sch 2","Sch 2",IF('Proposed Lighting'!M81="Sch 2-C","Sch 2-C",IF('Proposed Lighting'!M81="Sch 3","Sch 3",IF('Proposed Lighting'!M81="Sch 3-C", "Sch 3-C",IF('Proposed Lighting'!M81="E", "E",IF('Proposed Lighting'!M81="E-C", "E-C",IF('Proposed Lighting'!M81="Dusk to Dawn","Sch D-D",IF('Proposed Lighting'!M81="Dusk to Dawn-C", "Sch DD-C",IF('Proposed Lighting'!M81="Seasonal", "SEA",IF('Proposed Lighting'!M81="Seasonal-C", "SEA-C",0))))))))))))</f>
        <v>0</v>
      </c>
      <c r="D95" s="1292">
        <f>'Proposed Lighting'!F81</f>
        <v>0</v>
      </c>
      <c r="E95" s="1293">
        <f>'Proposed Lighting'!N81</f>
        <v>0</v>
      </c>
      <c r="F95" s="996"/>
      <c r="G95" s="1294">
        <f>'Proposed Lighting'!K81</f>
        <v>0</v>
      </c>
      <c r="H95" s="1295">
        <f>IF('Proposed Lighting'!P81&gt;0.2,'Proposed Lighting'!P81,0)</f>
        <v>0</v>
      </c>
      <c r="I95" s="995">
        <f>'Proposed Lighting'!J81</f>
        <v>0</v>
      </c>
      <c r="J95" s="996"/>
      <c r="K95" s="996"/>
      <c r="L95" s="996"/>
      <c r="M95" s="996"/>
      <c r="N95" s="1005"/>
      <c r="O95" s="1296" t="str">
        <f>'Proposed Lighting'!Z81&amp;", "&amp;'Proposed Lighting'!EK81</f>
        <v xml:space="preserve">, </v>
      </c>
      <c r="P95" s="1292">
        <f>'Proposed Lighting'!T81</f>
        <v>0</v>
      </c>
      <c r="Q95" s="1293">
        <f>'Proposed Lighting'!AA81</f>
        <v>0</v>
      </c>
      <c r="R95" s="996"/>
      <c r="S95" s="1297">
        <f>IF('Proposed Lighting'!AR81=0,0,IF('Proposed Lighting'!AT81&gt;0.2,'Proposed Lighting'!AT81,0))</f>
        <v>0</v>
      </c>
      <c r="T95" s="997">
        <f>'Proposed Lighting'!X81</f>
        <v>0</v>
      </c>
      <c r="U95" s="998"/>
      <c r="V95" s="998"/>
      <c r="W95" s="1378">
        <f>IF('Proposed Lighting'!AF81=4,"WS",IF('Proposed Lighting'!AF81=5,"CM",IF('Proposed Lighting'!AF81=1.6,"PHOT",IF('Proposed Lighting'!AF81=1.5,"FM",IF('Proposed Lighting'!CT81=0.5,"LED-MS",IF('Proposed Lighting'!CB81&gt;1,"Non-S",IF('Proposed Lighting'!CT81=0.6,"LED-SS",IF('Proposed Lighting'!CT81=2,"LED-NW",IF('Proposed Lighting'!CT81=3,"LLLC",0)))))))))</f>
        <v>0</v>
      </c>
      <c r="X95" s="1293">
        <f>'Proposed Lighting'!EE81</f>
        <v>0</v>
      </c>
      <c r="Y95" s="1293">
        <f>'Proposed Lighting'!EF81</f>
        <v>0</v>
      </c>
    </row>
    <row r="96" spans="1:25" ht="50.1" customHeight="1">
      <c r="A96" s="1290">
        <v>74</v>
      </c>
      <c r="B96" s="1291">
        <f>'Proposed Lighting'!B82</f>
        <v>0</v>
      </c>
      <c r="C96" s="1291">
        <f>IF('Proposed Lighting'!M82="Sch 1","Sch 1",IF('Proposed Lighting'!M82="Sch 1-C", "Sch 1-C",IF('Proposed Lighting'!M82="Sch 2","Sch 2",IF('Proposed Lighting'!M82="Sch 2-C","Sch 2-C",IF('Proposed Lighting'!M82="Sch 3","Sch 3",IF('Proposed Lighting'!M82="Sch 3-C", "Sch 3-C",IF('Proposed Lighting'!M82="E", "E",IF('Proposed Lighting'!M82="E-C", "E-C",IF('Proposed Lighting'!M82="Dusk to Dawn","Sch D-D",IF('Proposed Lighting'!M82="Dusk to Dawn-C", "Sch DD-C",IF('Proposed Lighting'!M82="Seasonal", "SEA",IF('Proposed Lighting'!M82="Seasonal-C", "SEA-C",0))))))))))))</f>
        <v>0</v>
      </c>
      <c r="D96" s="1292">
        <f>'Proposed Lighting'!F82</f>
        <v>0</v>
      </c>
      <c r="E96" s="1293">
        <f>'Proposed Lighting'!N82</f>
        <v>0</v>
      </c>
      <c r="F96" s="996"/>
      <c r="G96" s="1294">
        <f>'Proposed Lighting'!K82</f>
        <v>0</v>
      </c>
      <c r="H96" s="1295">
        <f>IF('Proposed Lighting'!P82&gt;0.2,'Proposed Lighting'!P82,0)</f>
        <v>0</v>
      </c>
      <c r="I96" s="995">
        <f>'Proposed Lighting'!J82</f>
        <v>0</v>
      </c>
      <c r="J96" s="996"/>
      <c r="K96" s="996"/>
      <c r="L96" s="996"/>
      <c r="M96" s="996"/>
      <c r="N96" s="1005"/>
      <c r="O96" s="1296" t="str">
        <f>'Proposed Lighting'!Z82&amp;", "&amp;'Proposed Lighting'!EK82</f>
        <v xml:space="preserve">, </v>
      </c>
      <c r="P96" s="1292">
        <f>'Proposed Lighting'!T82</f>
        <v>0</v>
      </c>
      <c r="Q96" s="1293">
        <f>'Proposed Lighting'!AA82</f>
        <v>0</v>
      </c>
      <c r="R96" s="996"/>
      <c r="S96" s="1297">
        <f>IF('Proposed Lighting'!AR82=0,0,IF('Proposed Lighting'!AT82&gt;0.2,'Proposed Lighting'!AT82,0))</f>
        <v>0</v>
      </c>
      <c r="T96" s="997">
        <f>'Proposed Lighting'!X82</f>
        <v>0</v>
      </c>
      <c r="U96" s="998"/>
      <c r="V96" s="998"/>
      <c r="W96" s="1378">
        <f>IF('Proposed Lighting'!AF82=4,"WS",IF('Proposed Lighting'!AF82=5,"CM",IF('Proposed Lighting'!AF82=1.6,"PHOT",IF('Proposed Lighting'!AF82=1.5,"FM",IF('Proposed Lighting'!CT82=0.5,"LED-MS",IF('Proposed Lighting'!CB82&gt;1,"Non-S",IF('Proposed Lighting'!CT82=0.6,"LED-SS",IF('Proposed Lighting'!CT82=2,"LED-NW",IF('Proposed Lighting'!CT82=3,"LLLC",0)))))))))</f>
        <v>0</v>
      </c>
      <c r="X96" s="1293">
        <f>'Proposed Lighting'!EE82</f>
        <v>0</v>
      </c>
      <c r="Y96" s="1293">
        <f>'Proposed Lighting'!EF82</f>
        <v>0</v>
      </c>
    </row>
    <row r="97" spans="1:25" ht="50.1" customHeight="1">
      <c r="A97" s="1290">
        <v>75</v>
      </c>
      <c r="B97" s="1291">
        <f>'Proposed Lighting'!B83</f>
        <v>0</v>
      </c>
      <c r="C97" s="1291">
        <f>IF('Proposed Lighting'!M83="Sch 1","Sch 1",IF('Proposed Lighting'!M83="Sch 1-C", "Sch 1-C",IF('Proposed Lighting'!M83="Sch 2","Sch 2",IF('Proposed Lighting'!M83="Sch 2-C","Sch 2-C",IF('Proposed Lighting'!M83="Sch 3","Sch 3",IF('Proposed Lighting'!M83="Sch 3-C", "Sch 3-C",IF('Proposed Lighting'!M83="E", "E",IF('Proposed Lighting'!M83="E-C", "E-C",IF('Proposed Lighting'!M83="Dusk to Dawn","Sch D-D",IF('Proposed Lighting'!M83="Dusk to Dawn-C", "Sch DD-C",IF('Proposed Lighting'!M83="Seasonal", "SEA",IF('Proposed Lighting'!M83="Seasonal-C", "SEA-C",0))))))))))))</f>
        <v>0</v>
      </c>
      <c r="D97" s="1292">
        <f>'Proposed Lighting'!F83</f>
        <v>0</v>
      </c>
      <c r="E97" s="1293">
        <f>'Proposed Lighting'!N83</f>
        <v>0</v>
      </c>
      <c r="F97" s="996"/>
      <c r="G97" s="1294">
        <f>'Proposed Lighting'!K83</f>
        <v>0</v>
      </c>
      <c r="H97" s="1295">
        <f>IF('Proposed Lighting'!P83&gt;0.2,'Proposed Lighting'!P83,0)</f>
        <v>0</v>
      </c>
      <c r="I97" s="995">
        <f>'Proposed Lighting'!J83</f>
        <v>0</v>
      </c>
      <c r="J97" s="996"/>
      <c r="K97" s="996"/>
      <c r="L97" s="996"/>
      <c r="M97" s="996"/>
      <c r="N97" s="1005"/>
      <c r="O97" s="1296" t="str">
        <f>'Proposed Lighting'!Z83&amp;", "&amp;'Proposed Lighting'!EK83</f>
        <v xml:space="preserve">, </v>
      </c>
      <c r="P97" s="1292">
        <f>'Proposed Lighting'!T83</f>
        <v>0</v>
      </c>
      <c r="Q97" s="1293">
        <f>'Proposed Lighting'!AA83</f>
        <v>0</v>
      </c>
      <c r="R97" s="996"/>
      <c r="S97" s="1297">
        <f>IF('Proposed Lighting'!AR83=0,0,IF('Proposed Lighting'!AT83&gt;0.2,'Proposed Lighting'!AT83,0))</f>
        <v>0</v>
      </c>
      <c r="T97" s="997">
        <f>'Proposed Lighting'!X83</f>
        <v>0</v>
      </c>
      <c r="U97" s="998"/>
      <c r="V97" s="998"/>
      <c r="W97" s="1378">
        <f>IF('Proposed Lighting'!AF83=4,"WS",IF('Proposed Lighting'!AF83=5,"CM",IF('Proposed Lighting'!AF83=1.6,"PHOT",IF('Proposed Lighting'!AF83=1.5,"FM",IF('Proposed Lighting'!CT83=0.5,"LED-MS",IF('Proposed Lighting'!CB83&gt;1,"Non-S",IF('Proposed Lighting'!CT83=0.6,"LED-SS",IF('Proposed Lighting'!CT83=2,"LED-NW",IF('Proposed Lighting'!CT83=3,"LLLC",0)))))))))</f>
        <v>0</v>
      </c>
      <c r="X97" s="1293">
        <f>'Proposed Lighting'!EE83</f>
        <v>0</v>
      </c>
      <c r="Y97" s="1293">
        <f>'Proposed Lighting'!EF83</f>
        <v>0</v>
      </c>
    </row>
    <row r="98" spans="1:25" ht="50.1" customHeight="1">
      <c r="A98" s="1290">
        <v>76</v>
      </c>
      <c r="B98" s="1291">
        <f>'Proposed Lighting'!B84</f>
        <v>0</v>
      </c>
      <c r="C98" s="1291">
        <f>IF('Proposed Lighting'!M84="Sch 1","Sch 1",IF('Proposed Lighting'!M84="Sch 1-C", "Sch 1-C",IF('Proposed Lighting'!M84="Sch 2","Sch 2",IF('Proposed Lighting'!M84="Sch 2-C","Sch 2-C",IF('Proposed Lighting'!M84="Sch 3","Sch 3",IF('Proposed Lighting'!M84="Sch 3-C", "Sch 3-C",IF('Proposed Lighting'!M84="E", "E",IF('Proposed Lighting'!M84="E-C", "E-C",IF('Proposed Lighting'!M84="Dusk to Dawn","Sch D-D",IF('Proposed Lighting'!M84="Dusk to Dawn-C", "Sch DD-C",IF('Proposed Lighting'!M84="Seasonal", "SEA",IF('Proposed Lighting'!M84="Seasonal-C", "SEA-C",0))))))))))))</f>
        <v>0</v>
      </c>
      <c r="D98" s="1292">
        <f>'Proposed Lighting'!F84</f>
        <v>0</v>
      </c>
      <c r="E98" s="1293">
        <f>'Proposed Lighting'!N84</f>
        <v>0</v>
      </c>
      <c r="F98" s="996"/>
      <c r="G98" s="1294">
        <f>'Proposed Lighting'!K84</f>
        <v>0</v>
      </c>
      <c r="H98" s="1295">
        <f>IF('Proposed Lighting'!P84&gt;0.2,'Proposed Lighting'!P84,0)</f>
        <v>0</v>
      </c>
      <c r="I98" s="995">
        <f>'Proposed Lighting'!J84</f>
        <v>0</v>
      </c>
      <c r="J98" s="996"/>
      <c r="K98" s="996"/>
      <c r="L98" s="996"/>
      <c r="M98" s="996"/>
      <c r="N98" s="1005"/>
      <c r="O98" s="1296" t="str">
        <f>'Proposed Lighting'!Z84&amp;", "&amp;'Proposed Lighting'!EK84</f>
        <v xml:space="preserve">, </v>
      </c>
      <c r="P98" s="1292">
        <f>'Proposed Lighting'!T84</f>
        <v>0</v>
      </c>
      <c r="Q98" s="1293">
        <f>'Proposed Lighting'!AA84</f>
        <v>0</v>
      </c>
      <c r="R98" s="996"/>
      <c r="S98" s="1297">
        <f>IF('Proposed Lighting'!AR84=0,0,IF('Proposed Lighting'!AT84&gt;0.2,'Proposed Lighting'!AT84,0))</f>
        <v>0</v>
      </c>
      <c r="T98" s="997">
        <f>'Proposed Lighting'!X84</f>
        <v>0</v>
      </c>
      <c r="U98" s="998"/>
      <c r="V98" s="998"/>
      <c r="W98" s="1378">
        <f>IF('Proposed Lighting'!AF84=4,"WS",IF('Proposed Lighting'!AF84=5,"CM",IF('Proposed Lighting'!AF84=1.6,"PHOT",IF('Proposed Lighting'!AF84=1.5,"FM",IF('Proposed Lighting'!CT84=0.5,"LED-MS",IF('Proposed Lighting'!CB84&gt;1,"Non-S",IF('Proposed Lighting'!CT84=0.6,"LED-SS",IF('Proposed Lighting'!CT84=2,"LED-NW",IF('Proposed Lighting'!CT84=3,"LLLC",0)))))))))</f>
        <v>0</v>
      </c>
      <c r="X98" s="1293">
        <f>'Proposed Lighting'!EE84</f>
        <v>0</v>
      </c>
      <c r="Y98" s="1293">
        <f>'Proposed Lighting'!EF84</f>
        <v>0</v>
      </c>
    </row>
    <row r="99" spans="1:25" ht="50.1" customHeight="1">
      <c r="A99" s="1290">
        <v>77</v>
      </c>
      <c r="B99" s="1291">
        <f>'Proposed Lighting'!B85</f>
        <v>0</v>
      </c>
      <c r="C99" s="1291">
        <f>IF('Proposed Lighting'!M85="Sch 1","Sch 1",IF('Proposed Lighting'!M85="Sch 1-C", "Sch 1-C",IF('Proposed Lighting'!M85="Sch 2","Sch 2",IF('Proposed Lighting'!M85="Sch 2-C","Sch 2-C",IF('Proposed Lighting'!M85="Sch 3","Sch 3",IF('Proposed Lighting'!M85="Sch 3-C", "Sch 3-C",IF('Proposed Lighting'!M85="E", "E",IF('Proposed Lighting'!M85="E-C", "E-C",IF('Proposed Lighting'!M85="Dusk to Dawn","Sch D-D",IF('Proposed Lighting'!M85="Dusk to Dawn-C", "Sch DD-C",IF('Proposed Lighting'!M85="Seasonal", "SEA",IF('Proposed Lighting'!M85="Seasonal-C", "SEA-C",0))))))))))))</f>
        <v>0</v>
      </c>
      <c r="D99" s="1292">
        <f>'Proposed Lighting'!F85</f>
        <v>0</v>
      </c>
      <c r="E99" s="1293">
        <f>'Proposed Lighting'!N85</f>
        <v>0</v>
      </c>
      <c r="F99" s="996"/>
      <c r="G99" s="1294">
        <f>'Proposed Lighting'!K85</f>
        <v>0</v>
      </c>
      <c r="H99" s="1295">
        <f>IF('Proposed Lighting'!P85&gt;0.2,'Proposed Lighting'!P85,0)</f>
        <v>0</v>
      </c>
      <c r="I99" s="995">
        <f>'Proposed Lighting'!J85</f>
        <v>0</v>
      </c>
      <c r="J99" s="996"/>
      <c r="K99" s="996"/>
      <c r="L99" s="996"/>
      <c r="M99" s="996"/>
      <c r="N99" s="1005"/>
      <c r="O99" s="1296" t="str">
        <f>'Proposed Lighting'!Z85&amp;", "&amp;'Proposed Lighting'!EK85</f>
        <v xml:space="preserve">, </v>
      </c>
      <c r="P99" s="1292">
        <f>'Proposed Lighting'!T85</f>
        <v>0</v>
      </c>
      <c r="Q99" s="1293">
        <f>'Proposed Lighting'!AA85</f>
        <v>0</v>
      </c>
      <c r="R99" s="996"/>
      <c r="S99" s="1297">
        <f>IF('Proposed Lighting'!AR85=0,0,IF('Proposed Lighting'!AT85&gt;0.2,'Proposed Lighting'!AT85,0))</f>
        <v>0</v>
      </c>
      <c r="T99" s="997">
        <f>'Proposed Lighting'!X85</f>
        <v>0</v>
      </c>
      <c r="U99" s="998"/>
      <c r="V99" s="998"/>
      <c r="W99" s="1378">
        <f>IF('Proposed Lighting'!AF85=4,"WS",IF('Proposed Lighting'!AF85=5,"CM",IF('Proposed Lighting'!AF85=1.6,"PHOT",IF('Proposed Lighting'!AF85=1.5,"FM",IF('Proposed Lighting'!CT85=0.5,"LED-MS",IF('Proposed Lighting'!CB85&gt;1,"Non-S",IF('Proposed Lighting'!CT85=0.6,"LED-SS",IF('Proposed Lighting'!CT85=2,"LED-NW",IF('Proposed Lighting'!CT85=3,"LLLC",0)))))))))</f>
        <v>0</v>
      </c>
      <c r="X99" s="1293">
        <f>'Proposed Lighting'!EE85</f>
        <v>0</v>
      </c>
      <c r="Y99" s="1293">
        <f>'Proposed Lighting'!EF85</f>
        <v>0</v>
      </c>
    </row>
    <row r="100" spans="1:25" ht="50.1" customHeight="1">
      <c r="A100" s="1290">
        <v>78</v>
      </c>
      <c r="B100" s="1291">
        <f>'Proposed Lighting'!B86</f>
        <v>0</v>
      </c>
      <c r="C100" s="1291">
        <f>IF('Proposed Lighting'!M86="Sch 1","Sch 1",IF('Proposed Lighting'!M86="Sch 1-C", "Sch 1-C",IF('Proposed Lighting'!M86="Sch 2","Sch 2",IF('Proposed Lighting'!M86="Sch 2-C","Sch 2-C",IF('Proposed Lighting'!M86="Sch 3","Sch 3",IF('Proposed Lighting'!M86="Sch 3-C", "Sch 3-C",IF('Proposed Lighting'!M86="E", "E",IF('Proposed Lighting'!M86="E-C", "E-C",IF('Proposed Lighting'!M86="Dusk to Dawn","Sch D-D",IF('Proposed Lighting'!M86="Dusk to Dawn-C", "Sch DD-C",IF('Proposed Lighting'!M86="Seasonal", "SEA",IF('Proposed Lighting'!M86="Seasonal-C", "SEA-C",0))))))))))))</f>
        <v>0</v>
      </c>
      <c r="D100" s="1292">
        <f>'Proposed Lighting'!F86</f>
        <v>0</v>
      </c>
      <c r="E100" s="1293">
        <f>'Proposed Lighting'!N86</f>
        <v>0</v>
      </c>
      <c r="F100" s="996"/>
      <c r="G100" s="1294">
        <f>'Proposed Lighting'!K86</f>
        <v>0</v>
      </c>
      <c r="H100" s="1295">
        <f>IF('Proposed Lighting'!P86&gt;0.2,'Proposed Lighting'!P86,0)</f>
        <v>0</v>
      </c>
      <c r="I100" s="995">
        <f>'Proposed Lighting'!J86</f>
        <v>0</v>
      </c>
      <c r="J100" s="996"/>
      <c r="K100" s="996"/>
      <c r="L100" s="996"/>
      <c r="M100" s="996"/>
      <c r="N100" s="1005"/>
      <c r="O100" s="1296" t="str">
        <f>'Proposed Lighting'!Z86&amp;", "&amp;'Proposed Lighting'!EK86</f>
        <v xml:space="preserve">, </v>
      </c>
      <c r="P100" s="1292">
        <f>'Proposed Lighting'!T86</f>
        <v>0</v>
      </c>
      <c r="Q100" s="1293">
        <f>'Proposed Lighting'!AA86</f>
        <v>0</v>
      </c>
      <c r="R100" s="996"/>
      <c r="S100" s="1297">
        <f>IF('Proposed Lighting'!AR86=0,0,IF('Proposed Lighting'!AT86&gt;0.2,'Proposed Lighting'!AT86,0))</f>
        <v>0</v>
      </c>
      <c r="T100" s="997">
        <f>'Proposed Lighting'!X86</f>
        <v>0</v>
      </c>
      <c r="U100" s="998"/>
      <c r="V100" s="998"/>
      <c r="W100" s="1378">
        <f>IF('Proposed Lighting'!AF86=4,"WS",IF('Proposed Lighting'!AF86=5,"CM",IF('Proposed Lighting'!AF86=1.6,"PHOT",IF('Proposed Lighting'!AF86=1.5,"FM",IF('Proposed Lighting'!CT86=0.5,"LED-MS",IF('Proposed Lighting'!CB86&gt;1,"Non-S",IF('Proposed Lighting'!CT86=0.6,"LED-SS",IF('Proposed Lighting'!CT86=2,"LED-NW",IF('Proposed Lighting'!CT86=3,"LLLC",0)))))))))</f>
        <v>0</v>
      </c>
      <c r="X100" s="1293">
        <f>'Proposed Lighting'!EE86</f>
        <v>0</v>
      </c>
      <c r="Y100" s="1293">
        <f>'Proposed Lighting'!EF86</f>
        <v>0</v>
      </c>
    </row>
    <row r="101" spans="1:25" ht="50.1" customHeight="1">
      <c r="A101" s="1290">
        <v>79</v>
      </c>
      <c r="B101" s="1291">
        <f>'Proposed Lighting'!B87</f>
        <v>0</v>
      </c>
      <c r="C101" s="1291">
        <f>IF('Proposed Lighting'!M87="Sch 1","Sch 1",IF('Proposed Lighting'!M87="Sch 1-C", "Sch 1-C",IF('Proposed Lighting'!M87="Sch 2","Sch 2",IF('Proposed Lighting'!M87="Sch 2-C","Sch 2-C",IF('Proposed Lighting'!M87="Sch 3","Sch 3",IF('Proposed Lighting'!M87="Sch 3-C", "Sch 3-C",IF('Proposed Lighting'!M87="E", "E",IF('Proposed Lighting'!M87="E-C", "E-C",IF('Proposed Lighting'!M87="Dusk to Dawn","Sch D-D",IF('Proposed Lighting'!M87="Dusk to Dawn-C", "Sch DD-C",IF('Proposed Lighting'!M87="Seasonal", "SEA",IF('Proposed Lighting'!M87="Seasonal-C", "SEA-C",0))))))))))))</f>
        <v>0</v>
      </c>
      <c r="D101" s="1292">
        <f>'Proposed Lighting'!F87</f>
        <v>0</v>
      </c>
      <c r="E101" s="1293">
        <f>'Proposed Lighting'!N87</f>
        <v>0</v>
      </c>
      <c r="F101" s="996"/>
      <c r="G101" s="1294">
        <f>'Proposed Lighting'!K87</f>
        <v>0</v>
      </c>
      <c r="H101" s="1295">
        <f>IF('Proposed Lighting'!P87&gt;0.2,'Proposed Lighting'!P87,0)</f>
        <v>0</v>
      </c>
      <c r="I101" s="995">
        <f>'Proposed Lighting'!J87</f>
        <v>0</v>
      </c>
      <c r="J101" s="996"/>
      <c r="K101" s="996"/>
      <c r="L101" s="996"/>
      <c r="M101" s="996"/>
      <c r="N101" s="1005"/>
      <c r="O101" s="1296" t="str">
        <f>'Proposed Lighting'!Z87&amp;", "&amp;'Proposed Lighting'!EK87</f>
        <v xml:space="preserve">, </v>
      </c>
      <c r="P101" s="1292">
        <f>'Proposed Lighting'!T87</f>
        <v>0</v>
      </c>
      <c r="Q101" s="1293">
        <f>'Proposed Lighting'!AA87</f>
        <v>0</v>
      </c>
      <c r="R101" s="996"/>
      <c r="S101" s="1297">
        <f>IF('Proposed Lighting'!AR87=0,0,IF('Proposed Lighting'!AT87&gt;0.2,'Proposed Lighting'!AT87,0))</f>
        <v>0</v>
      </c>
      <c r="T101" s="997">
        <f>'Proposed Lighting'!X87</f>
        <v>0</v>
      </c>
      <c r="U101" s="998"/>
      <c r="V101" s="998"/>
      <c r="W101" s="1378">
        <f>IF('Proposed Lighting'!AF87=4,"WS",IF('Proposed Lighting'!AF87=5,"CM",IF('Proposed Lighting'!AF87=1.6,"PHOT",IF('Proposed Lighting'!AF87=1.5,"FM",IF('Proposed Lighting'!CT87=0.5,"LED-MS",IF('Proposed Lighting'!CB87&gt;1,"Non-S",IF('Proposed Lighting'!CT87=0.6,"LED-SS",IF('Proposed Lighting'!CT87=2,"LED-NW",IF('Proposed Lighting'!CT87=3,"LLLC",0)))))))))</f>
        <v>0</v>
      </c>
      <c r="X101" s="1293">
        <f>'Proposed Lighting'!EE87</f>
        <v>0</v>
      </c>
      <c r="Y101" s="1293">
        <f>'Proposed Lighting'!EF87</f>
        <v>0</v>
      </c>
    </row>
    <row r="102" spans="1:25" ht="50.1" customHeight="1">
      <c r="A102" s="1290">
        <v>80</v>
      </c>
      <c r="B102" s="1291">
        <f>'Proposed Lighting'!B88</f>
        <v>0</v>
      </c>
      <c r="C102" s="1291">
        <f>IF('Proposed Lighting'!M88="Sch 1","Sch 1",IF('Proposed Lighting'!M88="Sch 1-C", "Sch 1-C",IF('Proposed Lighting'!M88="Sch 2","Sch 2",IF('Proposed Lighting'!M88="Sch 2-C","Sch 2-C",IF('Proposed Lighting'!M88="Sch 3","Sch 3",IF('Proposed Lighting'!M88="Sch 3-C", "Sch 3-C",IF('Proposed Lighting'!M88="E", "E",IF('Proposed Lighting'!M88="E-C", "E-C",IF('Proposed Lighting'!M88="Dusk to Dawn","Sch D-D",IF('Proposed Lighting'!M88="Dusk to Dawn-C", "Sch DD-C",IF('Proposed Lighting'!M88="Seasonal", "SEA",IF('Proposed Lighting'!M88="Seasonal-C", "SEA-C",0))))))))))))</f>
        <v>0</v>
      </c>
      <c r="D102" s="1292">
        <f>'Proposed Lighting'!F88</f>
        <v>0</v>
      </c>
      <c r="E102" s="1293">
        <f>'Proposed Lighting'!N88</f>
        <v>0</v>
      </c>
      <c r="F102" s="996"/>
      <c r="G102" s="1294">
        <f>'Proposed Lighting'!K88</f>
        <v>0</v>
      </c>
      <c r="H102" s="1295">
        <f>IF('Proposed Lighting'!P88&gt;0.2,'Proposed Lighting'!P88,0)</f>
        <v>0</v>
      </c>
      <c r="I102" s="995">
        <f>'Proposed Lighting'!J88</f>
        <v>0</v>
      </c>
      <c r="J102" s="996"/>
      <c r="K102" s="996"/>
      <c r="L102" s="996"/>
      <c r="M102" s="996"/>
      <c r="N102" s="1005"/>
      <c r="O102" s="1296" t="str">
        <f>'Proposed Lighting'!Z88&amp;", "&amp;'Proposed Lighting'!EK88</f>
        <v xml:space="preserve">, </v>
      </c>
      <c r="P102" s="1292">
        <f>'Proposed Lighting'!T88</f>
        <v>0</v>
      </c>
      <c r="Q102" s="1293">
        <f>'Proposed Lighting'!AA88</f>
        <v>0</v>
      </c>
      <c r="R102" s="996"/>
      <c r="S102" s="1297">
        <f>IF('Proposed Lighting'!AR88=0,0,IF('Proposed Lighting'!AT88&gt;0.2,'Proposed Lighting'!AT88,0))</f>
        <v>0</v>
      </c>
      <c r="T102" s="997">
        <f>'Proposed Lighting'!X88</f>
        <v>0</v>
      </c>
      <c r="U102" s="998"/>
      <c r="V102" s="998"/>
      <c r="W102" s="1378">
        <f>IF('Proposed Lighting'!AF88=4,"WS",IF('Proposed Lighting'!AF88=5,"CM",IF('Proposed Lighting'!AF88=1.6,"PHOT",IF('Proposed Lighting'!AF88=1.5,"FM",IF('Proposed Lighting'!CT88=0.5,"LED-MS",IF('Proposed Lighting'!CB88&gt;1,"Non-S",IF('Proposed Lighting'!CT88=0.6,"LED-SS",IF('Proposed Lighting'!CT88=2,"LED-NW",IF('Proposed Lighting'!CT88=3,"LLLC",0)))))))))</f>
        <v>0</v>
      </c>
      <c r="X102" s="1293">
        <f>'Proposed Lighting'!EE88</f>
        <v>0</v>
      </c>
      <c r="Y102" s="1293">
        <f>'Proposed Lighting'!EF88</f>
        <v>0</v>
      </c>
    </row>
    <row r="103" spans="1:25" ht="50.1" customHeight="1">
      <c r="A103" s="1290">
        <v>81</v>
      </c>
      <c r="B103" s="1291">
        <f>'Proposed Lighting'!B89</f>
        <v>0</v>
      </c>
      <c r="C103" s="1291">
        <f>IF('Proposed Lighting'!M89="Sch 1","Sch 1",IF('Proposed Lighting'!M89="Sch 1-C", "Sch 1-C",IF('Proposed Lighting'!M89="Sch 2","Sch 2",IF('Proposed Lighting'!M89="Sch 2-C","Sch 2-C",IF('Proposed Lighting'!M89="Sch 3","Sch 3",IF('Proposed Lighting'!M89="Sch 3-C", "Sch 3-C",IF('Proposed Lighting'!M89="E", "E",IF('Proposed Lighting'!M89="E-C", "E-C",IF('Proposed Lighting'!M89="Dusk to Dawn","Sch D-D",IF('Proposed Lighting'!M89="Dusk to Dawn-C", "Sch DD-C",IF('Proposed Lighting'!M89="Seasonal", "SEA",IF('Proposed Lighting'!M89="Seasonal-C", "SEA-C",0))))))))))))</f>
        <v>0</v>
      </c>
      <c r="D103" s="1292">
        <f>'Proposed Lighting'!F89</f>
        <v>0</v>
      </c>
      <c r="E103" s="1293">
        <f>'Proposed Lighting'!N89</f>
        <v>0</v>
      </c>
      <c r="F103" s="996"/>
      <c r="G103" s="1294">
        <f>'Proposed Lighting'!K89</f>
        <v>0</v>
      </c>
      <c r="H103" s="1295">
        <f>IF('Proposed Lighting'!P89&gt;0.2,'Proposed Lighting'!P89,0)</f>
        <v>0</v>
      </c>
      <c r="I103" s="995">
        <f>'Proposed Lighting'!J89</f>
        <v>0</v>
      </c>
      <c r="J103" s="996"/>
      <c r="K103" s="996"/>
      <c r="L103" s="996"/>
      <c r="M103" s="996"/>
      <c r="N103" s="1005"/>
      <c r="O103" s="1296" t="str">
        <f>'Proposed Lighting'!Z89&amp;", "&amp;'Proposed Lighting'!EK89</f>
        <v xml:space="preserve">, </v>
      </c>
      <c r="P103" s="1292">
        <f>'Proposed Lighting'!T89</f>
        <v>0</v>
      </c>
      <c r="Q103" s="1293">
        <f>'Proposed Lighting'!AA89</f>
        <v>0</v>
      </c>
      <c r="R103" s="996"/>
      <c r="S103" s="1297">
        <f>IF('Proposed Lighting'!AR89=0,0,IF('Proposed Lighting'!AT89&gt;0.2,'Proposed Lighting'!AT89,0))</f>
        <v>0</v>
      </c>
      <c r="T103" s="997">
        <f>'Proposed Lighting'!X89</f>
        <v>0</v>
      </c>
      <c r="U103" s="998"/>
      <c r="V103" s="998"/>
      <c r="W103" s="1378">
        <f>IF('Proposed Lighting'!AF89=4,"WS",IF('Proposed Lighting'!AF89=5,"CM",IF('Proposed Lighting'!AF89=1.6,"PHOT",IF('Proposed Lighting'!AF89=1.5,"FM",IF('Proposed Lighting'!CT89=0.5,"LED-MS",IF('Proposed Lighting'!CB89&gt;1,"Non-S",IF('Proposed Lighting'!CT89=0.6,"LED-SS",IF('Proposed Lighting'!CT89=2,"LED-NW",IF('Proposed Lighting'!CT89=3,"LLLC",0)))))))))</f>
        <v>0</v>
      </c>
      <c r="X103" s="1293">
        <f>'Proposed Lighting'!EE89</f>
        <v>0</v>
      </c>
      <c r="Y103" s="1293">
        <f>'Proposed Lighting'!EF89</f>
        <v>0</v>
      </c>
    </row>
    <row r="104" spans="1:25" ht="50.1" customHeight="1">
      <c r="A104" s="1290">
        <v>82</v>
      </c>
      <c r="B104" s="1291">
        <f>'Proposed Lighting'!B90</f>
        <v>0</v>
      </c>
      <c r="C104" s="1291">
        <f>IF('Proposed Lighting'!M90="Sch 1","Sch 1",IF('Proposed Lighting'!M90="Sch 1-C", "Sch 1-C",IF('Proposed Lighting'!M90="Sch 2","Sch 2",IF('Proposed Lighting'!M90="Sch 2-C","Sch 2-C",IF('Proposed Lighting'!M90="Sch 3","Sch 3",IF('Proposed Lighting'!M90="Sch 3-C", "Sch 3-C",IF('Proposed Lighting'!M90="E", "E",IF('Proposed Lighting'!M90="E-C", "E-C",IF('Proposed Lighting'!M90="Dusk to Dawn","Sch D-D",IF('Proposed Lighting'!M90="Dusk to Dawn-C", "Sch DD-C",IF('Proposed Lighting'!M90="Seasonal", "SEA",IF('Proposed Lighting'!M90="Seasonal-C", "SEA-C",0))))))))))))</f>
        <v>0</v>
      </c>
      <c r="D104" s="1292">
        <f>'Proposed Lighting'!F90</f>
        <v>0</v>
      </c>
      <c r="E104" s="1293">
        <f>'Proposed Lighting'!N90</f>
        <v>0</v>
      </c>
      <c r="F104" s="996"/>
      <c r="G104" s="1294">
        <f>'Proposed Lighting'!K90</f>
        <v>0</v>
      </c>
      <c r="H104" s="1295">
        <f>IF('Proposed Lighting'!P90&gt;0.2,'Proposed Lighting'!P90,0)</f>
        <v>0</v>
      </c>
      <c r="I104" s="995">
        <f>'Proposed Lighting'!J90</f>
        <v>0</v>
      </c>
      <c r="J104" s="996"/>
      <c r="K104" s="996"/>
      <c r="L104" s="996"/>
      <c r="M104" s="996"/>
      <c r="N104" s="1005"/>
      <c r="O104" s="1296" t="str">
        <f>'Proposed Lighting'!Z90&amp;", "&amp;'Proposed Lighting'!EK90</f>
        <v xml:space="preserve">, </v>
      </c>
      <c r="P104" s="1292">
        <f>'Proposed Lighting'!T90</f>
        <v>0</v>
      </c>
      <c r="Q104" s="1293">
        <f>'Proposed Lighting'!AA90</f>
        <v>0</v>
      </c>
      <c r="R104" s="996"/>
      <c r="S104" s="1297">
        <f>IF('Proposed Lighting'!AR90=0,0,IF('Proposed Lighting'!AT90&gt;0.2,'Proposed Lighting'!AT90,0))</f>
        <v>0</v>
      </c>
      <c r="T104" s="997">
        <f>'Proposed Lighting'!X90</f>
        <v>0</v>
      </c>
      <c r="U104" s="998"/>
      <c r="V104" s="998"/>
      <c r="W104" s="1378">
        <f>IF('Proposed Lighting'!AF90=4,"WS",IF('Proposed Lighting'!AF90=5,"CM",IF('Proposed Lighting'!AF90=1.6,"PHOT",IF('Proposed Lighting'!AF90=1.5,"FM",IF('Proposed Lighting'!CT90=0.5,"LED-MS",IF('Proposed Lighting'!CB90&gt;1,"Non-S",IF('Proposed Lighting'!CT90=0.6,"LED-SS",IF('Proposed Lighting'!CT90=2,"LED-NW",IF('Proposed Lighting'!CT90=3,"LLLC",0)))))))))</f>
        <v>0</v>
      </c>
      <c r="X104" s="1293">
        <f>'Proposed Lighting'!EE90</f>
        <v>0</v>
      </c>
      <c r="Y104" s="1293">
        <f>'Proposed Lighting'!EF90</f>
        <v>0</v>
      </c>
    </row>
    <row r="105" spans="1:25" ht="50.1" customHeight="1">
      <c r="A105" s="1290">
        <v>83</v>
      </c>
      <c r="B105" s="1291">
        <f>'Proposed Lighting'!B91</f>
        <v>0</v>
      </c>
      <c r="C105" s="1291">
        <f>IF('Proposed Lighting'!M91="Sch 1","Sch 1",IF('Proposed Lighting'!M91="Sch 1-C", "Sch 1-C",IF('Proposed Lighting'!M91="Sch 2","Sch 2",IF('Proposed Lighting'!M91="Sch 2-C","Sch 2-C",IF('Proposed Lighting'!M91="Sch 3","Sch 3",IF('Proposed Lighting'!M91="Sch 3-C", "Sch 3-C",IF('Proposed Lighting'!M91="E", "E",IF('Proposed Lighting'!M91="E-C", "E-C",IF('Proposed Lighting'!M91="Dusk to Dawn","Sch D-D",IF('Proposed Lighting'!M91="Dusk to Dawn-C", "Sch DD-C",IF('Proposed Lighting'!M91="Seasonal", "SEA",IF('Proposed Lighting'!M91="Seasonal-C", "SEA-C",0))))))))))))</f>
        <v>0</v>
      </c>
      <c r="D105" s="1292">
        <f>'Proposed Lighting'!F91</f>
        <v>0</v>
      </c>
      <c r="E105" s="1293">
        <f>'Proposed Lighting'!N91</f>
        <v>0</v>
      </c>
      <c r="F105" s="996"/>
      <c r="G105" s="1294">
        <f>'Proposed Lighting'!K91</f>
        <v>0</v>
      </c>
      <c r="H105" s="1295">
        <f>IF('Proposed Lighting'!P91&gt;0.2,'Proposed Lighting'!P91,0)</f>
        <v>0</v>
      </c>
      <c r="I105" s="995">
        <f>'Proposed Lighting'!J91</f>
        <v>0</v>
      </c>
      <c r="J105" s="996"/>
      <c r="K105" s="996"/>
      <c r="L105" s="996"/>
      <c r="M105" s="996"/>
      <c r="N105" s="1005"/>
      <c r="O105" s="1296" t="str">
        <f>'Proposed Lighting'!Z91&amp;", "&amp;'Proposed Lighting'!EK91</f>
        <v xml:space="preserve">, </v>
      </c>
      <c r="P105" s="1292">
        <f>'Proposed Lighting'!T91</f>
        <v>0</v>
      </c>
      <c r="Q105" s="1293">
        <f>'Proposed Lighting'!AA91</f>
        <v>0</v>
      </c>
      <c r="R105" s="996"/>
      <c r="S105" s="1297">
        <f>IF('Proposed Lighting'!AR91=0,0,IF('Proposed Lighting'!AT91&gt;0.2,'Proposed Lighting'!AT91,0))</f>
        <v>0</v>
      </c>
      <c r="T105" s="997">
        <f>'Proposed Lighting'!X91</f>
        <v>0</v>
      </c>
      <c r="U105" s="998"/>
      <c r="V105" s="998"/>
      <c r="W105" s="1378">
        <f>IF('Proposed Lighting'!AF91=4,"WS",IF('Proposed Lighting'!AF91=5,"CM",IF('Proposed Lighting'!AF91=1.6,"PHOT",IF('Proposed Lighting'!AF91=1.5,"FM",IF('Proposed Lighting'!CT91=0.5,"LED-MS",IF('Proposed Lighting'!CB91&gt;1,"Non-S",IF('Proposed Lighting'!CT91=0.6,"LED-SS",IF('Proposed Lighting'!CT91=2,"LED-NW",IF('Proposed Lighting'!CT91=3,"LLLC",0)))))))))</f>
        <v>0</v>
      </c>
      <c r="X105" s="1293">
        <f>'Proposed Lighting'!EE91</f>
        <v>0</v>
      </c>
      <c r="Y105" s="1293">
        <f>'Proposed Lighting'!EF91</f>
        <v>0</v>
      </c>
    </row>
    <row r="106" spans="1:25" ht="50.1" customHeight="1">
      <c r="A106" s="1290">
        <v>84</v>
      </c>
      <c r="B106" s="1291">
        <f>'Proposed Lighting'!B92</f>
        <v>0</v>
      </c>
      <c r="C106" s="1291">
        <f>IF('Proposed Lighting'!M92="Sch 1","Sch 1",IF('Proposed Lighting'!M92="Sch 1-C", "Sch 1-C",IF('Proposed Lighting'!M92="Sch 2","Sch 2",IF('Proposed Lighting'!M92="Sch 2-C","Sch 2-C",IF('Proposed Lighting'!M92="Sch 3","Sch 3",IF('Proposed Lighting'!M92="Sch 3-C", "Sch 3-C",IF('Proposed Lighting'!M92="E", "E",IF('Proposed Lighting'!M92="E-C", "E-C",IF('Proposed Lighting'!M92="Dusk to Dawn","Sch D-D",IF('Proposed Lighting'!M92="Dusk to Dawn-C", "Sch DD-C",IF('Proposed Lighting'!M92="Seasonal", "SEA",IF('Proposed Lighting'!M92="Seasonal-C", "SEA-C",0))))))))))))</f>
        <v>0</v>
      </c>
      <c r="D106" s="1292">
        <f>'Proposed Lighting'!F92</f>
        <v>0</v>
      </c>
      <c r="E106" s="1293">
        <f>'Proposed Lighting'!N92</f>
        <v>0</v>
      </c>
      <c r="F106" s="996"/>
      <c r="G106" s="1294">
        <f>'Proposed Lighting'!K92</f>
        <v>0</v>
      </c>
      <c r="H106" s="1295">
        <f>IF('Proposed Lighting'!P92&gt;0.2,'Proposed Lighting'!P92,0)</f>
        <v>0</v>
      </c>
      <c r="I106" s="995">
        <f>'Proposed Lighting'!J92</f>
        <v>0</v>
      </c>
      <c r="J106" s="996"/>
      <c r="K106" s="996"/>
      <c r="L106" s="996"/>
      <c r="M106" s="996"/>
      <c r="N106" s="1005"/>
      <c r="O106" s="1296" t="str">
        <f>'Proposed Lighting'!Z92&amp;", "&amp;'Proposed Lighting'!EK92</f>
        <v xml:space="preserve">, </v>
      </c>
      <c r="P106" s="1292">
        <f>'Proposed Lighting'!T92</f>
        <v>0</v>
      </c>
      <c r="Q106" s="1293">
        <f>'Proposed Lighting'!AA92</f>
        <v>0</v>
      </c>
      <c r="R106" s="996"/>
      <c r="S106" s="1297">
        <f>IF('Proposed Lighting'!AR92=0,0,IF('Proposed Lighting'!AT92&gt;0.2,'Proposed Lighting'!AT92,0))</f>
        <v>0</v>
      </c>
      <c r="T106" s="997">
        <f>'Proposed Lighting'!X92</f>
        <v>0</v>
      </c>
      <c r="U106" s="998"/>
      <c r="V106" s="998"/>
      <c r="W106" s="1378">
        <f>IF('Proposed Lighting'!AF92=4,"WS",IF('Proposed Lighting'!AF92=5,"CM",IF('Proposed Lighting'!AF92=1.6,"PHOT",IF('Proposed Lighting'!AF92=1.5,"FM",IF('Proposed Lighting'!CT92=0.5,"LED-MS",IF('Proposed Lighting'!CB92&gt;1,"Non-S",IF('Proposed Lighting'!CT92=0.6,"LED-SS",IF('Proposed Lighting'!CT92=2,"LED-NW",IF('Proposed Lighting'!CT92=3,"LLLC",0)))))))))</f>
        <v>0</v>
      </c>
      <c r="X106" s="1293">
        <f>'Proposed Lighting'!EE92</f>
        <v>0</v>
      </c>
      <c r="Y106" s="1293">
        <f>'Proposed Lighting'!EF92</f>
        <v>0</v>
      </c>
    </row>
    <row r="107" spans="1:25" ht="50.1" customHeight="1">
      <c r="A107" s="1290">
        <v>85</v>
      </c>
      <c r="B107" s="1291">
        <f>'Proposed Lighting'!B93</f>
        <v>0</v>
      </c>
      <c r="C107" s="1291">
        <f>IF('Proposed Lighting'!M93="Sch 1","Sch 1",IF('Proposed Lighting'!M93="Sch 1-C", "Sch 1-C",IF('Proposed Lighting'!M93="Sch 2","Sch 2",IF('Proposed Lighting'!M93="Sch 2-C","Sch 2-C",IF('Proposed Lighting'!M93="Sch 3","Sch 3",IF('Proposed Lighting'!M93="Sch 3-C", "Sch 3-C",IF('Proposed Lighting'!M93="E", "E",IF('Proposed Lighting'!M93="E-C", "E-C",IF('Proposed Lighting'!M93="Dusk to Dawn","Sch D-D",IF('Proposed Lighting'!M93="Dusk to Dawn-C", "Sch DD-C",IF('Proposed Lighting'!M93="Seasonal", "SEA",IF('Proposed Lighting'!M93="Seasonal-C", "SEA-C",0))))))))))))</f>
        <v>0</v>
      </c>
      <c r="D107" s="1292">
        <f>'Proposed Lighting'!F93</f>
        <v>0</v>
      </c>
      <c r="E107" s="1293">
        <f>'Proposed Lighting'!N93</f>
        <v>0</v>
      </c>
      <c r="F107" s="996"/>
      <c r="G107" s="1294">
        <f>'Proposed Lighting'!K93</f>
        <v>0</v>
      </c>
      <c r="H107" s="1295">
        <f>IF('Proposed Lighting'!P93&gt;0.2,'Proposed Lighting'!P93,0)</f>
        <v>0</v>
      </c>
      <c r="I107" s="995">
        <f>'Proposed Lighting'!J93</f>
        <v>0</v>
      </c>
      <c r="J107" s="996"/>
      <c r="K107" s="996"/>
      <c r="L107" s="996"/>
      <c r="M107" s="996"/>
      <c r="N107" s="1005"/>
      <c r="O107" s="1296" t="str">
        <f>'Proposed Lighting'!Z93&amp;", "&amp;'Proposed Lighting'!EK93</f>
        <v xml:space="preserve">, </v>
      </c>
      <c r="P107" s="1292">
        <f>'Proposed Lighting'!T93</f>
        <v>0</v>
      </c>
      <c r="Q107" s="1293">
        <f>'Proposed Lighting'!AA93</f>
        <v>0</v>
      </c>
      <c r="R107" s="996"/>
      <c r="S107" s="1297">
        <f>IF('Proposed Lighting'!AR93=0,0,IF('Proposed Lighting'!AT93&gt;0.2,'Proposed Lighting'!AT93,0))</f>
        <v>0</v>
      </c>
      <c r="T107" s="997">
        <f>'Proposed Lighting'!X93</f>
        <v>0</v>
      </c>
      <c r="U107" s="998"/>
      <c r="V107" s="998"/>
      <c r="W107" s="1378">
        <f>IF('Proposed Lighting'!AF93=4,"WS",IF('Proposed Lighting'!AF93=5,"CM",IF('Proposed Lighting'!AF93=1.6,"PHOT",IF('Proposed Lighting'!AF93=1.5,"FM",IF('Proposed Lighting'!CT93=0.5,"LED-MS",IF('Proposed Lighting'!CB93&gt;1,"Non-S",IF('Proposed Lighting'!CT93=0.6,"LED-SS",IF('Proposed Lighting'!CT93=2,"LED-NW",IF('Proposed Lighting'!CT93=3,"LLLC",0)))))))))</f>
        <v>0</v>
      </c>
      <c r="X107" s="1293">
        <f>'Proposed Lighting'!EE93</f>
        <v>0</v>
      </c>
      <c r="Y107" s="1293">
        <f>'Proposed Lighting'!EF93</f>
        <v>0</v>
      </c>
    </row>
    <row r="108" spans="1:25" ht="50.1" customHeight="1">
      <c r="A108" s="1290">
        <v>86</v>
      </c>
      <c r="B108" s="1291">
        <f>'Proposed Lighting'!B94</f>
        <v>0</v>
      </c>
      <c r="C108" s="1291">
        <f>IF('Proposed Lighting'!M94="Sch 1","Sch 1",IF('Proposed Lighting'!M94="Sch 1-C", "Sch 1-C",IF('Proposed Lighting'!M94="Sch 2","Sch 2",IF('Proposed Lighting'!M94="Sch 2-C","Sch 2-C",IF('Proposed Lighting'!M94="Sch 3","Sch 3",IF('Proposed Lighting'!M94="Sch 3-C", "Sch 3-C",IF('Proposed Lighting'!M94="E", "E",IF('Proposed Lighting'!M94="E-C", "E-C",IF('Proposed Lighting'!M94="Dusk to Dawn","Sch D-D",IF('Proposed Lighting'!M94="Dusk to Dawn-C", "Sch DD-C",IF('Proposed Lighting'!M94="Seasonal", "SEA",IF('Proposed Lighting'!M94="Seasonal-C", "SEA-C",0))))))))))))</f>
        <v>0</v>
      </c>
      <c r="D108" s="1292">
        <f>'Proposed Lighting'!F94</f>
        <v>0</v>
      </c>
      <c r="E108" s="1293">
        <f>'Proposed Lighting'!N94</f>
        <v>0</v>
      </c>
      <c r="F108" s="996"/>
      <c r="G108" s="1294">
        <f>'Proposed Lighting'!K94</f>
        <v>0</v>
      </c>
      <c r="H108" s="1295">
        <f>IF('Proposed Lighting'!P94&gt;0.2,'Proposed Lighting'!P94,0)</f>
        <v>0</v>
      </c>
      <c r="I108" s="995">
        <f>'Proposed Lighting'!J94</f>
        <v>0</v>
      </c>
      <c r="J108" s="996"/>
      <c r="K108" s="996"/>
      <c r="L108" s="996"/>
      <c r="M108" s="996"/>
      <c r="N108" s="1005"/>
      <c r="O108" s="1296" t="str">
        <f>'Proposed Lighting'!Z94&amp;", "&amp;'Proposed Lighting'!EK94</f>
        <v xml:space="preserve">, </v>
      </c>
      <c r="P108" s="1292">
        <f>'Proposed Lighting'!T94</f>
        <v>0</v>
      </c>
      <c r="Q108" s="1293">
        <f>'Proposed Lighting'!AA94</f>
        <v>0</v>
      </c>
      <c r="R108" s="996"/>
      <c r="S108" s="1297">
        <f>IF('Proposed Lighting'!AR94=0,0,IF('Proposed Lighting'!AT94&gt;0.2,'Proposed Lighting'!AT94,0))</f>
        <v>0</v>
      </c>
      <c r="T108" s="997">
        <f>'Proposed Lighting'!X94</f>
        <v>0</v>
      </c>
      <c r="U108" s="998"/>
      <c r="V108" s="998"/>
      <c r="W108" s="1378">
        <f>IF('Proposed Lighting'!AF94=4,"WS",IF('Proposed Lighting'!AF94=5,"CM",IF('Proposed Lighting'!AF94=1.6,"PHOT",IF('Proposed Lighting'!AF94=1.5,"FM",IF('Proposed Lighting'!CT94=0.5,"LED-MS",IF('Proposed Lighting'!CB94&gt;1,"Non-S",IF('Proposed Lighting'!CT94=0.6,"LED-SS",IF('Proposed Lighting'!CT94=2,"LED-NW",IF('Proposed Lighting'!CT94=3,"LLLC",0)))))))))</f>
        <v>0</v>
      </c>
      <c r="X108" s="1293">
        <f>'Proposed Lighting'!EE94</f>
        <v>0</v>
      </c>
      <c r="Y108" s="1293">
        <f>'Proposed Lighting'!EF94</f>
        <v>0</v>
      </c>
    </row>
    <row r="109" spans="1:25" ht="50.1" customHeight="1">
      <c r="A109" s="1290">
        <v>87</v>
      </c>
      <c r="B109" s="1291">
        <f>'Proposed Lighting'!B95</f>
        <v>0</v>
      </c>
      <c r="C109" s="1291">
        <f>IF('Proposed Lighting'!M95="Sch 1","Sch 1",IF('Proposed Lighting'!M95="Sch 1-C", "Sch 1-C",IF('Proposed Lighting'!M95="Sch 2","Sch 2",IF('Proposed Lighting'!M95="Sch 2-C","Sch 2-C",IF('Proposed Lighting'!M95="Sch 3","Sch 3",IF('Proposed Lighting'!M95="Sch 3-C", "Sch 3-C",IF('Proposed Lighting'!M95="E", "E",IF('Proposed Lighting'!M95="E-C", "E-C",IF('Proposed Lighting'!M95="Dusk to Dawn","Sch D-D",IF('Proposed Lighting'!M95="Dusk to Dawn-C", "Sch DD-C",IF('Proposed Lighting'!M95="Seasonal", "SEA",IF('Proposed Lighting'!M95="Seasonal-C", "SEA-C",0))))))))))))</f>
        <v>0</v>
      </c>
      <c r="D109" s="1292">
        <f>'Proposed Lighting'!F95</f>
        <v>0</v>
      </c>
      <c r="E109" s="1293">
        <f>'Proposed Lighting'!N95</f>
        <v>0</v>
      </c>
      <c r="F109" s="996"/>
      <c r="G109" s="1294">
        <f>'Proposed Lighting'!K95</f>
        <v>0</v>
      </c>
      <c r="H109" s="1295">
        <f>IF('Proposed Lighting'!P95&gt;0.2,'Proposed Lighting'!P95,0)</f>
        <v>0</v>
      </c>
      <c r="I109" s="995">
        <f>'Proposed Lighting'!J95</f>
        <v>0</v>
      </c>
      <c r="J109" s="996"/>
      <c r="K109" s="996"/>
      <c r="L109" s="996"/>
      <c r="M109" s="996"/>
      <c r="N109" s="1005"/>
      <c r="O109" s="1296" t="str">
        <f>'Proposed Lighting'!Z95&amp;", "&amp;'Proposed Lighting'!EK95</f>
        <v xml:space="preserve">, </v>
      </c>
      <c r="P109" s="1292">
        <f>'Proposed Lighting'!T95</f>
        <v>0</v>
      </c>
      <c r="Q109" s="1293">
        <f>'Proposed Lighting'!AA95</f>
        <v>0</v>
      </c>
      <c r="R109" s="996"/>
      <c r="S109" s="1297">
        <f>IF('Proposed Lighting'!AR95=0,0,IF('Proposed Lighting'!AT95&gt;0.2,'Proposed Lighting'!AT95,0))</f>
        <v>0</v>
      </c>
      <c r="T109" s="997">
        <f>'Proposed Lighting'!X95</f>
        <v>0</v>
      </c>
      <c r="U109" s="998"/>
      <c r="V109" s="998"/>
      <c r="W109" s="1378">
        <f>IF('Proposed Lighting'!AF95=4,"WS",IF('Proposed Lighting'!AF95=5,"CM",IF('Proposed Lighting'!AF95=1.6,"PHOT",IF('Proposed Lighting'!AF95=1.5,"FM",IF('Proposed Lighting'!CT95=0.5,"LED-MS",IF('Proposed Lighting'!CB95&gt;1,"Non-S",IF('Proposed Lighting'!CT95=0.6,"LED-SS",IF('Proposed Lighting'!CT95=2,"LED-NW",IF('Proposed Lighting'!CT95=3,"LLLC",0)))))))))</f>
        <v>0</v>
      </c>
      <c r="X109" s="1293">
        <f>'Proposed Lighting'!EE95</f>
        <v>0</v>
      </c>
      <c r="Y109" s="1293">
        <f>'Proposed Lighting'!EF95</f>
        <v>0</v>
      </c>
    </row>
    <row r="110" spans="1:25" ht="50.1" customHeight="1">
      <c r="A110" s="1290">
        <v>88</v>
      </c>
      <c r="B110" s="1291">
        <f>'Proposed Lighting'!B96</f>
        <v>0</v>
      </c>
      <c r="C110" s="1291">
        <f>IF('Proposed Lighting'!M96="Sch 1","Sch 1",IF('Proposed Lighting'!M96="Sch 1-C", "Sch 1-C",IF('Proposed Lighting'!M96="Sch 2","Sch 2",IF('Proposed Lighting'!M96="Sch 2-C","Sch 2-C",IF('Proposed Lighting'!M96="Sch 3","Sch 3",IF('Proposed Lighting'!M96="Sch 3-C", "Sch 3-C",IF('Proposed Lighting'!M96="E", "E",IF('Proposed Lighting'!M96="E-C", "E-C",IF('Proposed Lighting'!M96="Dusk to Dawn","Sch D-D",IF('Proposed Lighting'!M96="Dusk to Dawn-C", "Sch DD-C",IF('Proposed Lighting'!M96="Seasonal", "SEA",IF('Proposed Lighting'!M96="Seasonal-C", "SEA-C",0))))))))))))</f>
        <v>0</v>
      </c>
      <c r="D110" s="1292">
        <f>'Proposed Lighting'!F96</f>
        <v>0</v>
      </c>
      <c r="E110" s="1293">
        <f>'Proposed Lighting'!N96</f>
        <v>0</v>
      </c>
      <c r="F110" s="996"/>
      <c r="G110" s="1294">
        <f>'Proposed Lighting'!K96</f>
        <v>0</v>
      </c>
      <c r="H110" s="1295">
        <f>IF('Proposed Lighting'!P96&gt;0.2,'Proposed Lighting'!P96,0)</f>
        <v>0</v>
      </c>
      <c r="I110" s="995">
        <f>'Proposed Lighting'!J96</f>
        <v>0</v>
      </c>
      <c r="J110" s="996"/>
      <c r="K110" s="996"/>
      <c r="L110" s="996"/>
      <c r="M110" s="996"/>
      <c r="N110" s="1005"/>
      <c r="O110" s="1296" t="str">
        <f>'Proposed Lighting'!Z96&amp;", "&amp;'Proposed Lighting'!EK96</f>
        <v xml:space="preserve">, </v>
      </c>
      <c r="P110" s="1292">
        <f>'Proposed Lighting'!T96</f>
        <v>0</v>
      </c>
      <c r="Q110" s="1293">
        <f>'Proposed Lighting'!AA96</f>
        <v>0</v>
      </c>
      <c r="R110" s="996"/>
      <c r="S110" s="1297">
        <f>IF('Proposed Lighting'!AR96=0,0,IF('Proposed Lighting'!AT96&gt;0.2,'Proposed Lighting'!AT96,0))</f>
        <v>0</v>
      </c>
      <c r="T110" s="997">
        <f>'Proposed Lighting'!X96</f>
        <v>0</v>
      </c>
      <c r="U110" s="998"/>
      <c r="V110" s="998"/>
      <c r="W110" s="1378">
        <f>IF('Proposed Lighting'!AF96=4,"WS",IF('Proposed Lighting'!AF96=5,"CM",IF('Proposed Lighting'!AF96=1.6,"PHOT",IF('Proposed Lighting'!AF96=1.5,"FM",IF('Proposed Lighting'!CT96=0.5,"LED-MS",IF('Proposed Lighting'!CB96&gt;1,"Non-S",IF('Proposed Lighting'!CT96=0.6,"LED-SS",IF('Proposed Lighting'!CT96=2,"LED-NW",IF('Proposed Lighting'!CT96=3,"LLLC",0)))))))))</f>
        <v>0</v>
      </c>
      <c r="X110" s="1293">
        <f>'Proposed Lighting'!EE96</f>
        <v>0</v>
      </c>
      <c r="Y110" s="1293">
        <f>'Proposed Lighting'!EF96</f>
        <v>0</v>
      </c>
    </row>
    <row r="111" spans="1:25" ht="50.1" customHeight="1">
      <c r="A111" s="1290">
        <v>89</v>
      </c>
      <c r="B111" s="1291">
        <f>'Proposed Lighting'!B97</f>
        <v>0</v>
      </c>
      <c r="C111" s="1291">
        <f>IF('Proposed Lighting'!M97="Sch 1","Sch 1",IF('Proposed Lighting'!M97="Sch 1-C", "Sch 1-C",IF('Proposed Lighting'!M97="Sch 2","Sch 2",IF('Proposed Lighting'!M97="Sch 2-C","Sch 2-C",IF('Proposed Lighting'!M97="Sch 3","Sch 3",IF('Proposed Lighting'!M97="Sch 3-C", "Sch 3-C",IF('Proposed Lighting'!M97="E", "E",IF('Proposed Lighting'!M97="E-C", "E-C",IF('Proposed Lighting'!M97="Dusk to Dawn","Sch D-D",IF('Proposed Lighting'!M97="Dusk to Dawn-C", "Sch DD-C",IF('Proposed Lighting'!M97="Seasonal", "SEA",IF('Proposed Lighting'!M97="Seasonal-C", "SEA-C",0))))))))))))</f>
        <v>0</v>
      </c>
      <c r="D111" s="1292">
        <f>'Proposed Lighting'!F97</f>
        <v>0</v>
      </c>
      <c r="E111" s="1293">
        <f>'Proposed Lighting'!N97</f>
        <v>0</v>
      </c>
      <c r="F111" s="996"/>
      <c r="G111" s="1294">
        <f>'Proposed Lighting'!K97</f>
        <v>0</v>
      </c>
      <c r="H111" s="1295">
        <f>IF('Proposed Lighting'!P97&gt;0.2,'Proposed Lighting'!P97,0)</f>
        <v>0</v>
      </c>
      <c r="I111" s="995">
        <f>'Proposed Lighting'!J97</f>
        <v>0</v>
      </c>
      <c r="J111" s="996"/>
      <c r="K111" s="996"/>
      <c r="L111" s="996"/>
      <c r="M111" s="996"/>
      <c r="N111" s="1005"/>
      <c r="O111" s="1296" t="str">
        <f>'Proposed Lighting'!Z97&amp;", "&amp;'Proposed Lighting'!EK97</f>
        <v xml:space="preserve">, </v>
      </c>
      <c r="P111" s="1292">
        <f>'Proposed Lighting'!T97</f>
        <v>0</v>
      </c>
      <c r="Q111" s="1293">
        <f>'Proposed Lighting'!AA97</f>
        <v>0</v>
      </c>
      <c r="R111" s="996"/>
      <c r="S111" s="1297">
        <f>IF('Proposed Lighting'!AR97=0,0,IF('Proposed Lighting'!AT97&gt;0.2,'Proposed Lighting'!AT97,0))</f>
        <v>0</v>
      </c>
      <c r="T111" s="997">
        <f>'Proposed Lighting'!X97</f>
        <v>0</v>
      </c>
      <c r="U111" s="998"/>
      <c r="V111" s="998"/>
      <c r="W111" s="1378">
        <f>IF('Proposed Lighting'!AF97=4,"WS",IF('Proposed Lighting'!AF97=5,"CM",IF('Proposed Lighting'!AF97=1.6,"PHOT",IF('Proposed Lighting'!AF97=1.5,"FM",IF('Proposed Lighting'!CT97=0.5,"LED-MS",IF('Proposed Lighting'!CB97&gt;1,"Non-S",IF('Proposed Lighting'!CT97=0.6,"LED-SS",IF('Proposed Lighting'!CT97=2,"LED-NW",IF('Proposed Lighting'!CT97=3,"LLLC",0)))))))))</f>
        <v>0</v>
      </c>
      <c r="X111" s="1293">
        <f>'Proposed Lighting'!EE97</f>
        <v>0</v>
      </c>
      <c r="Y111" s="1293">
        <f>'Proposed Lighting'!EF97</f>
        <v>0</v>
      </c>
    </row>
    <row r="112" spans="1:25" ht="50.1" customHeight="1">
      <c r="A112" s="1290">
        <v>90</v>
      </c>
      <c r="B112" s="1291">
        <f>'Proposed Lighting'!B98</f>
        <v>0</v>
      </c>
      <c r="C112" s="1291">
        <f>IF('Proposed Lighting'!M98="Sch 1","Sch 1",IF('Proposed Lighting'!M98="Sch 1-C", "Sch 1-C",IF('Proposed Lighting'!M98="Sch 2","Sch 2",IF('Proposed Lighting'!M98="Sch 2-C","Sch 2-C",IF('Proposed Lighting'!M98="Sch 3","Sch 3",IF('Proposed Lighting'!M98="Sch 3-C", "Sch 3-C",IF('Proposed Lighting'!M98="E", "E",IF('Proposed Lighting'!M98="E-C", "E-C",IF('Proposed Lighting'!M98="Dusk to Dawn","Sch D-D",IF('Proposed Lighting'!M98="Dusk to Dawn-C", "Sch DD-C",IF('Proposed Lighting'!M98="Seasonal", "SEA",IF('Proposed Lighting'!M98="Seasonal-C", "SEA-C",0))))))))))))</f>
        <v>0</v>
      </c>
      <c r="D112" s="1292">
        <f>'Proposed Lighting'!F98</f>
        <v>0</v>
      </c>
      <c r="E112" s="1293">
        <f>'Proposed Lighting'!N98</f>
        <v>0</v>
      </c>
      <c r="F112" s="996"/>
      <c r="G112" s="1294">
        <f>'Proposed Lighting'!K98</f>
        <v>0</v>
      </c>
      <c r="H112" s="1295">
        <f>IF('Proposed Lighting'!P98&gt;0.2,'Proposed Lighting'!P98,0)</f>
        <v>0</v>
      </c>
      <c r="I112" s="995">
        <f>'Proposed Lighting'!J98</f>
        <v>0</v>
      </c>
      <c r="J112" s="996"/>
      <c r="K112" s="996"/>
      <c r="L112" s="996"/>
      <c r="M112" s="996"/>
      <c r="N112" s="1005"/>
      <c r="O112" s="1296" t="str">
        <f>'Proposed Lighting'!Z98&amp;", "&amp;'Proposed Lighting'!EK98</f>
        <v xml:space="preserve">, </v>
      </c>
      <c r="P112" s="1292">
        <f>'Proposed Lighting'!T98</f>
        <v>0</v>
      </c>
      <c r="Q112" s="1293">
        <f>'Proposed Lighting'!AA98</f>
        <v>0</v>
      </c>
      <c r="R112" s="996"/>
      <c r="S112" s="1297">
        <f>IF('Proposed Lighting'!AR98=0,0,IF('Proposed Lighting'!AT98&gt;0.2,'Proposed Lighting'!AT98,0))</f>
        <v>0</v>
      </c>
      <c r="T112" s="997">
        <f>'Proposed Lighting'!X98</f>
        <v>0</v>
      </c>
      <c r="U112" s="998"/>
      <c r="V112" s="998"/>
      <c r="W112" s="1378">
        <f>IF('Proposed Lighting'!AF98=4,"WS",IF('Proposed Lighting'!AF98=5,"CM",IF('Proposed Lighting'!AF98=1.6,"PHOT",IF('Proposed Lighting'!AF98=1.5,"FM",IF('Proposed Lighting'!CT98=0.5,"LED-MS",IF('Proposed Lighting'!CB98&gt;1,"Non-S",IF('Proposed Lighting'!CT98=0.6,"LED-SS",IF('Proposed Lighting'!CT98=2,"LED-NW",IF('Proposed Lighting'!CT98=3,"LLLC",0)))))))))</f>
        <v>0</v>
      </c>
      <c r="X112" s="1293">
        <f>'Proposed Lighting'!EE98</f>
        <v>0</v>
      </c>
      <c r="Y112" s="1293">
        <f>'Proposed Lighting'!EF98</f>
        <v>0</v>
      </c>
    </row>
    <row r="113" spans="1:25" ht="50.1" customHeight="1">
      <c r="A113" s="1290">
        <v>91</v>
      </c>
      <c r="B113" s="1291">
        <f>'Proposed Lighting'!B99</f>
        <v>0</v>
      </c>
      <c r="C113" s="1291">
        <f>IF('Proposed Lighting'!M99="Sch 1","Sch 1",IF('Proposed Lighting'!M99="Sch 1-C", "Sch 1-C",IF('Proposed Lighting'!M99="Sch 2","Sch 2",IF('Proposed Lighting'!M99="Sch 2-C","Sch 2-C",IF('Proposed Lighting'!M99="Sch 3","Sch 3",IF('Proposed Lighting'!M99="Sch 3-C", "Sch 3-C",IF('Proposed Lighting'!M99="E", "E",IF('Proposed Lighting'!M99="E-C", "E-C",IF('Proposed Lighting'!M99="Dusk to Dawn","Sch D-D",IF('Proposed Lighting'!M99="Dusk to Dawn-C", "Sch DD-C",IF('Proposed Lighting'!M99="Seasonal", "SEA",IF('Proposed Lighting'!M99="Seasonal-C", "SEA-C",0))))))))))))</f>
        <v>0</v>
      </c>
      <c r="D113" s="1292">
        <f>'Proposed Lighting'!F99</f>
        <v>0</v>
      </c>
      <c r="E113" s="1293">
        <f>'Proposed Lighting'!N99</f>
        <v>0</v>
      </c>
      <c r="F113" s="996"/>
      <c r="G113" s="1294">
        <f>'Proposed Lighting'!K99</f>
        <v>0</v>
      </c>
      <c r="H113" s="1295">
        <f>IF('Proposed Lighting'!P99&gt;0.2,'Proposed Lighting'!P99,0)</f>
        <v>0</v>
      </c>
      <c r="I113" s="995">
        <f>'Proposed Lighting'!J99</f>
        <v>0</v>
      </c>
      <c r="J113" s="996"/>
      <c r="K113" s="996"/>
      <c r="L113" s="996"/>
      <c r="M113" s="996"/>
      <c r="N113" s="1005"/>
      <c r="O113" s="1296" t="str">
        <f>'Proposed Lighting'!Z99&amp;", "&amp;'Proposed Lighting'!EK99</f>
        <v xml:space="preserve">, </v>
      </c>
      <c r="P113" s="1292">
        <f>'Proposed Lighting'!T99</f>
        <v>0</v>
      </c>
      <c r="Q113" s="1293">
        <f>'Proposed Lighting'!AA99</f>
        <v>0</v>
      </c>
      <c r="R113" s="996"/>
      <c r="S113" s="1297">
        <f>IF('Proposed Lighting'!AR99=0,0,IF('Proposed Lighting'!AT99&gt;0.2,'Proposed Lighting'!AT99,0))</f>
        <v>0</v>
      </c>
      <c r="T113" s="997">
        <f>'Proposed Lighting'!X99</f>
        <v>0</v>
      </c>
      <c r="U113" s="998"/>
      <c r="V113" s="998"/>
      <c r="W113" s="1378">
        <f>IF('Proposed Lighting'!AF99=4,"WS",IF('Proposed Lighting'!AF99=5,"CM",IF('Proposed Lighting'!AF99=1.6,"PHOT",IF('Proposed Lighting'!AF99=1.5,"FM",IF('Proposed Lighting'!CT99=0.5,"LED-MS",IF('Proposed Lighting'!CB99&gt;1,"Non-S",IF('Proposed Lighting'!CT99=0.6,"LED-SS",IF('Proposed Lighting'!CT99=2,"LED-NW",IF('Proposed Lighting'!CT99=3,"LLLC",0)))))))))</f>
        <v>0</v>
      </c>
      <c r="X113" s="1293">
        <f>'Proposed Lighting'!EE99</f>
        <v>0</v>
      </c>
      <c r="Y113" s="1293">
        <f>'Proposed Lighting'!EF99</f>
        <v>0</v>
      </c>
    </row>
    <row r="114" spans="1:25" ht="50.1" customHeight="1">
      <c r="A114" s="1290">
        <v>92</v>
      </c>
      <c r="B114" s="1291">
        <f>'Proposed Lighting'!B100</f>
        <v>0</v>
      </c>
      <c r="C114" s="1291">
        <f>IF('Proposed Lighting'!M100="Sch 1","Sch 1",IF('Proposed Lighting'!M100="Sch 1-C", "Sch 1-C",IF('Proposed Lighting'!M100="Sch 2","Sch 2",IF('Proposed Lighting'!M100="Sch 2-C","Sch 2-C",IF('Proposed Lighting'!M100="Sch 3","Sch 3",IF('Proposed Lighting'!M100="Sch 3-C", "Sch 3-C",IF('Proposed Lighting'!M100="E", "E",IF('Proposed Lighting'!M100="E-C", "E-C",IF('Proposed Lighting'!M100="Dusk to Dawn","Sch D-D",IF('Proposed Lighting'!M100="Dusk to Dawn-C", "Sch DD-C",IF('Proposed Lighting'!M100="Seasonal", "SEA",IF('Proposed Lighting'!M100="Seasonal-C", "SEA-C",0))))))))))))</f>
        <v>0</v>
      </c>
      <c r="D114" s="1292">
        <f>'Proposed Lighting'!F100</f>
        <v>0</v>
      </c>
      <c r="E114" s="1293">
        <f>'Proposed Lighting'!N100</f>
        <v>0</v>
      </c>
      <c r="F114" s="996"/>
      <c r="G114" s="1294">
        <f>'Proposed Lighting'!K100</f>
        <v>0</v>
      </c>
      <c r="H114" s="1295">
        <f>IF('Proposed Lighting'!P100&gt;0.2,'Proposed Lighting'!P100,0)</f>
        <v>0</v>
      </c>
      <c r="I114" s="995">
        <f>'Proposed Lighting'!J100</f>
        <v>0</v>
      </c>
      <c r="J114" s="996"/>
      <c r="K114" s="996"/>
      <c r="L114" s="996"/>
      <c r="M114" s="996"/>
      <c r="N114" s="1005"/>
      <c r="O114" s="1296" t="str">
        <f>'Proposed Lighting'!Z100&amp;", "&amp;'Proposed Lighting'!EK100</f>
        <v xml:space="preserve">, </v>
      </c>
      <c r="P114" s="1292">
        <f>'Proposed Lighting'!T100</f>
        <v>0</v>
      </c>
      <c r="Q114" s="1293">
        <f>'Proposed Lighting'!AA100</f>
        <v>0</v>
      </c>
      <c r="R114" s="996"/>
      <c r="S114" s="1297">
        <f>IF('Proposed Lighting'!AR100=0,0,IF('Proposed Lighting'!AT100&gt;0.2,'Proposed Lighting'!AT100,0))</f>
        <v>0</v>
      </c>
      <c r="T114" s="997">
        <f>'Proposed Lighting'!X100</f>
        <v>0</v>
      </c>
      <c r="U114" s="998"/>
      <c r="V114" s="998"/>
      <c r="W114" s="1378">
        <f>IF('Proposed Lighting'!AF100=4,"WS",IF('Proposed Lighting'!AF100=5,"CM",IF('Proposed Lighting'!AF100=1.6,"PHOT",IF('Proposed Lighting'!AF100=1.5,"FM",IF('Proposed Lighting'!CT100=0.5,"LED-MS",IF('Proposed Lighting'!CB100&gt;1,"Non-S",IF('Proposed Lighting'!CT100=0.6,"LED-SS",IF('Proposed Lighting'!CT100=2,"LED-NW",IF('Proposed Lighting'!CT100=3,"LLLC",0)))))))))</f>
        <v>0</v>
      </c>
      <c r="X114" s="1293">
        <f>'Proposed Lighting'!EE100</f>
        <v>0</v>
      </c>
      <c r="Y114" s="1293">
        <f>'Proposed Lighting'!EF100</f>
        <v>0</v>
      </c>
    </row>
    <row r="115" spans="1:25" ht="50.1" customHeight="1">
      <c r="A115" s="1290">
        <v>93</v>
      </c>
      <c r="B115" s="1291">
        <f>'Proposed Lighting'!B101</f>
        <v>0</v>
      </c>
      <c r="C115" s="1291">
        <f>IF('Proposed Lighting'!M101="Sch 1","Sch 1",IF('Proposed Lighting'!M101="Sch 1-C", "Sch 1-C",IF('Proposed Lighting'!M101="Sch 2","Sch 2",IF('Proposed Lighting'!M101="Sch 2-C","Sch 2-C",IF('Proposed Lighting'!M101="Sch 3","Sch 3",IF('Proposed Lighting'!M101="Sch 3-C", "Sch 3-C",IF('Proposed Lighting'!M101="E", "E",IF('Proposed Lighting'!M101="E-C", "E-C",IF('Proposed Lighting'!M101="Dusk to Dawn","Sch D-D",IF('Proposed Lighting'!M101="Dusk to Dawn-C", "Sch DD-C",IF('Proposed Lighting'!M101="Seasonal", "SEA",IF('Proposed Lighting'!M101="Seasonal-C", "SEA-C",0))))))))))))</f>
        <v>0</v>
      </c>
      <c r="D115" s="1292">
        <f>'Proposed Lighting'!F101</f>
        <v>0</v>
      </c>
      <c r="E115" s="1293">
        <f>'Proposed Lighting'!N101</f>
        <v>0</v>
      </c>
      <c r="F115" s="996"/>
      <c r="G115" s="1294">
        <f>'Proposed Lighting'!K101</f>
        <v>0</v>
      </c>
      <c r="H115" s="1295">
        <f>IF('Proposed Lighting'!P101&gt;0.2,'Proposed Lighting'!P101,0)</f>
        <v>0</v>
      </c>
      <c r="I115" s="995">
        <f>'Proposed Lighting'!J101</f>
        <v>0</v>
      </c>
      <c r="J115" s="996"/>
      <c r="K115" s="996"/>
      <c r="L115" s="996"/>
      <c r="M115" s="996"/>
      <c r="N115" s="1005"/>
      <c r="O115" s="1296" t="str">
        <f>'Proposed Lighting'!Z101&amp;", "&amp;'Proposed Lighting'!EK101</f>
        <v xml:space="preserve">, </v>
      </c>
      <c r="P115" s="1292">
        <f>'Proposed Lighting'!T101</f>
        <v>0</v>
      </c>
      <c r="Q115" s="1293">
        <f>'Proposed Lighting'!AA101</f>
        <v>0</v>
      </c>
      <c r="R115" s="996"/>
      <c r="S115" s="1297">
        <f>IF('Proposed Lighting'!AR101=0,0,IF('Proposed Lighting'!AT101&gt;0.2,'Proposed Lighting'!AT101,0))</f>
        <v>0</v>
      </c>
      <c r="T115" s="997">
        <f>'Proposed Lighting'!X101</f>
        <v>0</v>
      </c>
      <c r="U115" s="998"/>
      <c r="V115" s="998"/>
      <c r="W115" s="1378">
        <f>IF('Proposed Lighting'!AF101=4,"WS",IF('Proposed Lighting'!AF101=5,"CM",IF('Proposed Lighting'!AF101=1.6,"PHOT",IF('Proposed Lighting'!AF101=1.5,"FM",IF('Proposed Lighting'!CT101=0.5,"LED-MS",IF('Proposed Lighting'!CB101&gt;1,"Non-S",IF('Proposed Lighting'!CT101=0.6,"LED-SS",IF('Proposed Lighting'!CT101=2,"LED-NW",IF('Proposed Lighting'!CT101=3,"LLLC",0)))))))))</f>
        <v>0</v>
      </c>
      <c r="X115" s="1293">
        <f>'Proposed Lighting'!EE101</f>
        <v>0</v>
      </c>
      <c r="Y115" s="1293">
        <f>'Proposed Lighting'!EF101</f>
        <v>0</v>
      </c>
    </row>
    <row r="116" spans="1:25" ht="50.1" customHeight="1">
      <c r="A116" s="1290">
        <v>94</v>
      </c>
      <c r="B116" s="1291">
        <f>'Proposed Lighting'!B102</f>
        <v>0</v>
      </c>
      <c r="C116" s="1291">
        <f>IF('Proposed Lighting'!M102="Sch 1","Sch 1",IF('Proposed Lighting'!M102="Sch 1-C", "Sch 1-C",IF('Proposed Lighting'!M102="Sch 2","Sch 2",IF('Proposed Lighting'!M102="Sch 2-C","Sch 2-C",IF('Proposed Lighting'!M102="Sch 3","Sch 3",IF('Proposed Lighting'!M102="Sch 3-C", "Sch 3-C",IF('Proposed Lighting'!M102="E", "E",IF('Proposed Lighting'!M102="E-C", "E-C",IF('Proposed Lighting'!M102="Dusk to Dawn","Sch D-D",IF('Proposed Lighting'!M102="Dusk to Dawn-C", "Sch DD-C",IF('Proposed Lighting'!M102="Seasonal", "SEA",IF('Proposed Lighting'!M102="Seasonal-C", "SEA-C",0))))))))))))</f>
        <v>0</v>
      </c>
      <c r="D116" s="1292">
        <f>'Proposed Lighting'!F102</f>
        <v>0</v>
      </c>
      <c r="E116" s="1293">
        <f>'Proposed Lighting'!N102</f>
        <v>0</v>
      </c>
      <c r="F116" s="996"/>
      <c r="G116" s="1294">
        <f>'Proposed Lighting'!K102</f>
        <v>0</v>
      </c>
      <c r="H116" s="1295">
        <f>IF('Proposed Lighting'!P102&gt;0.2,'Proposed Lighting'!P102,0)</f>
        <v>0</v>
      </c>
      <c r="I116" s="995">
        <f>'Proposed Lighting'!J102</f>
        <v>0</v>
      </c>
      <c r="J116" s="996"/>
      <c r="K116" s="996"/>
      <c r="L116" s="996"/>
      <c r="M116" s="996"/>
      <c r="N116" s="1005"/>
      <c r="O116" s="1296" t="str">
        <f>'Proposed Lighting'!Z102&amp;", "&amp;'Proposed Lighting'!EK102</f>
        <v xml:space="preserve">, </v>
      </c>
      <c r="P116" s="1292">
        <f>'Proposed Lighting'!T102</f>
        <v>0</v>
      </c>
      <c r="Q116" s="1293">
        <f>'Proposed Lighting'!AA102</f>
        <v>0</v>
      </c>
      <c r="R116" s="996"/>
      <c r="S116" s="1297">
        <f>IF('Proposed Lighting'!AR102=0,0,IF('Proposed Lighting'!AT102&gt;0.2,'Proposed Lighting'!AT102,0))</f>
        <v>0</v>
      </c>
      <c r="T116" s="997">
        <f>'Proposed Lighting'!X102</f>
        <v>0</v>
      </c>
      <c r="U116" s="998"/>
      <c r="V116" s="998"/>
      <c r="W116" s="1378">
        <f>IF('Proposed Lighting'!AF102=4,"WS",IF('Proposed Lighting'!AF102=5,"CM",IF('Proposed Lighting'!AF102=1.6,"PHOT",IF('Proposed Lighting'!AF102=1.5,"FM",IF('Proposed Lighting'!CT102=0.5,"LED-MS",IF('Proposed Lighting'!CB102&gt;1,"Non-S",IF('Proposed Lighting'!CT102=0.6,"LED-SS",IF('Proposed Lighting'!CT102=2,"LED-NW",IF('Proposed Lighting'!CT102=3,"LLLC",0)))))))))</f>
        <v>0</v>
      </c>
      <c r="X116" s="1293">
        <f>'Proposed Lighting'!EE102</f>
        <v>0</v>
      </c>
      <c r="Y116" s="1293">
        <f>'Proposed Lighting'!EF102</f>
        <v>0</v>
      </c>
    </row>
    <row r="117" spans="1:25" ht="50.1" customHeight="1">
      <c r="A117" s="1290">
        <v>95</v>
      </c>
      <c r="B117" s="1291">
        <f>'Proposed Lighting'!B103</f>
        <v>0</v>
      </c>
      <c r="C117" s="1291">
        <f>IF('Proposed Lighting'!M103="Sch 1","Sch 1",IF('Proposed Lighting'!M103="Sch 1-C", "Sch 1-C",IF('Proposed Lighting'!M103="Sch 2","Sch 2",IF('Proposed Lighting'!M103="Sch 2-C","Sch 2-C",IF('Proposed Lighting'!M103="Sch 3","Sch 3",IF('Proposed Lighting'!M103="Sch 3-C", "Sch 3-C",IF('Proposed Lighting'!M103="E", "E",IF('Proposed Lighting'!M103="E-C", "E-C",IF('Proposed Lighting'!M103="Dusk to Dawn","Sch D-D",IF('Proposed Lighting'!M103="Dusk to Dawn-C", "Sch DD-C",IF('Proposed Lighting'!M103="Seasonal", "SEA",IF('Proposed Lighting'!M103="Seasonal-C", "SEA-C",0))))))))))))</f>
        <v>0</v>
      </c>
      <c r="D117" s="1292">
        <f>'Proposed Lighting'!F103</f>
        <v>0</v>
      </c>
      <c r="E117" s="1293">
        <f>'Proposed Lighting'!N103</f>
        <v>0</v>
      </c>
      <c r="F117" s="996"/>
      <c r="G117" s="1294">
        <f>'Proposed Lighting'!K103</f>
        <v>0</v>
      </c>
      <c r="H117" s="1295">
        <f>IF('Proposed Lighting'!P103&gt;0.2,'Proposed Lighting'!P103,0)</f>
        <v>0</v>
      </c>
      <c r="I117" s="995">
        <f>'Proposed Lighting'!J103</f>
        <v>0</v>
      </c>
      <c r="J117" s="996"/>
      <c r="K117" s="996"/>
      <c r="L117" s="996"/>
      <c r="M117" s="996"/>
      <c r="N117" s="1005"/>
      <c r="O117" s="1296" t="str">
        <f>'Proposed Lighting'!Z103&amp;", "&amp;'Proposed Lighting'!EK103</f>
        <v xml:space="preserve">, </v>
      </c>
      <c r="P117" s="1292">
        <f>'Proposed Lighting'!T103</f>
        <v>0</v>
      </c>
      <c r="Q117" s="1293">
        <f>'Proposed Lighting'!AA103</f>
        <v>0</v>
      </c>
      <c r="R117" s="996"/>
      <c r="S117" s="1297">
        <f>IF('Proposed Lighting'!AR103=0,0,IF('Proposed Lighting'!AT103&gt;0.2,'Proposed Lighting'!AT103,0))</f>
        <v>0</v>
      </c>
      <c r="T117" s="997">
        <f>'Proposed Lighting'!X103</f>
        <v>0</v>
      </c>
      <c r="U117" s="998"/>
      <c r="V117" s="998"/>
      <c r="W117" s="1378">
        <f>IF('Proposed Lighting'!AF103=4,"WS",IF('Proposed Lighting'!AF103=5,"CM",IF('Proposed Lighting'!AF103=1.6,"PHOT",IF('Proposed Lighting'!AF103=1.5,"FM",IF('Proposed Lighting'!CT103=0.5,"LED-MS",IF('Proposed Lighting'!CB103&gt;1,"Non-S",IF('Proposed Lighting'!CT103=0.6,"LED-SS",IF('Proposed Lighting'!CT103=2,"LED-NW",IF('Proposed Lighting'!CT103=3,"LLLC",0)))))))))</f>
        <v>0</v>
      </c>
      <c r="X117" s="1293">
        <f>'Proposed Lighting'!EE103</f>
        <v>0</v>
      </c>
      <c r="Y117" s="1293">
        <f>'Proposed Lighting'!EF103</f>
        <v>0</v>
      </c>
    </row>
    <row r="118" spans="1:25" ht="50.1" customHeight="1">
      <c r="A118" s="1290">
        <v>96</v>
      </c>
      <c r="B118" s="1291">
        <f>'Proposed Lighting'!B104</f>
        <v>0</v>
      </c>
      <c r="C118" s="1291">
        <f>IF('Proposed Lighting'!M104="Sch 1","Sch 1",IF('Proposed Lighting'!M104="Sch 1-C", "Sch 1-C",IF('Proposed Lighting'!M104="Sch 2","Sch 2",IF('Proposed Lighting'!M104="Sch 2-C","Sch 2-C",IF('Proposed Lighting'!M104="Sch 3","Sch 3",IF('Proposed Lighting'!M104="Sch 3-C", "Sch 3-C",IF('Proposed Lighting'!M104="E", "E",IF('Proposed Lighting'!M104="E-C", "E-C",IF('Proposed Lighting'!M104="Dusk to Dawn","Sch D-D",IF('Proposed Lighting'!M104="Dusk to Dawn-C", "Sch DD-C",IF('Proposed Lighting'!M104="Seasonal", "SEA",IF('Proposed Lighting'!M104="Seasonal-C", "SEA-C",0))))))))))))</f>
        <v>0</v>
      </c>
      <c r="D118" s="1292">
        <f>'Proposed Lighting'!F104</f>
        <v>0</v>
      </c>
      <c r="E118" s="1293">
        <f>'Proposed Lighting'!N104</f>
        <v>0</v>
      </c>
      <c r="F118" s="996"/>
      <c r="G118" s="1294">
        <f>'Proposed Lighting'!K104</f>
        <v>0</v>
      </c>
      <c r="H118" s="1295">
        <f>IF('Proposed Lighting'!P104&gt;0.2,'Proposed Lighting'!P104,0)</f>
        <v>0</v>
      </c>
      <c r="I118" s="995">
        <f>'Proposed Lighting'!J104</f>
        <v>0</v>
      </c>
      <c r="J118" s="996"/>
      <c r="K118" s="996"/>
      <c r="L118" s="996"/>
      <c r="M118" s="996"/>
      <c r="N118" s="1005"/>
      <c r="O118" s="1296" t="str">
        <f>'Proposed Lighting'!Z104&amp;", "&amp;'Proposed Lighting'!EK104</f>
        <v xml:space="preserve">, </v>
      </c>
      <c r="P118" s="1292">
        <f>'Proposed Lighting'!T104</f>
        <v>0</v>
      </c>
      <c r="Q118" s="1293">
        <f>'Proposed Lighting'!AA104</f>
        <v>0</v>
      </c>
      <c r="R118" s="996"/>
      <c r="S118" s="1297">
        <f>IF('Proposed Lighting'!AR104=0,0,IF('Proposed Lighting'!AT104&gt;0.2,'Proposed Lighting'!AT104,0))</f>
        <v>0</v>
      </c>
      <c r="T118" s="997">
        <f>'Proposed Lighting'!X104</f>
        <v>0</v>
      </c>
      <c r="U118" s="998"/>
      <c r="V118" s="998"/>
      <c r="W118" s="1378">
        <f>IF('Proposed Lighting'!AF104=4,"WS",IF('Proposed Lighting'!AF104=5,"CM",IF('Proposed Lighting'!AF104=1.6,"PHOT",IF('Proposed Lighting'!AF104=1.5,"FM",IF('Proposed Lighting'!CT104=0.5,"LED-MS",IF('Proposed Lighting'!CB104&gt;1,"Non-S",IF('Proposed Lighting'!CT104=0.6,"LED-SS",IF('Proposed Lighting'!CT104=2,"LED-NW",IF('Proposed Lighting'!CT104=3,"LLLC",0)))))))))</f>
        <v>0</v>
      </c>
      <c r="X118" s="1293">
        <f>'Proposed Lighting'!EE104</f>
        <v>0</v>
      </c>
      <c r="Y118" s="1293">
        <f>'Proposed Lighting'!EF104</f>
        <v>0</v>
      </c>
    </row>
    <row r="119" spans="1:25" ht="50.1" customHeight="1">
      <c r="A119" s="1290">
        <v>97</v>
      </c>
      <c r="B119" s="1291">
        <f>'Proposed Lighting'!B105</f>
        <v>0</v>
      </c>
      <c r="C119" s="1291">
        <f>IF('Proposed Lighting'!M105="Sch 1","Sch 1",IF('Proposed Lighting'!M105="Sch 1-C", "Sch 1-C",IF('Proposed Lighting'!M105="Sch 2","Sch 2",IF('Proposed Lighting'!M105="Sch 2-C","Sch 2-C",IF('Proposed Lighting'!M105="Sch 3","Sch 3",IF('Proposed Lighting'!M105="Sch 3-C", "Sch 3-C",IF('Proposed Lighting'!M105="E", "E",IF('Proposed Lighting'!M105="E-C", "E-C",IF('Proposed Lighting'!M105="Dusk to Dawn","Sch D-D",IF('Proposed Lighting'!M105="Dusk to Dawn-C", "Sch DD-C",IF('Proposed Lighting'!M105="Seasonal", "SEA",IF('Proposed Lighting'!M105="Seasonal-C", "SEA-C",0))))))))))))</f>
        <v>0</v>
      </c>
      <c r="D119" s="1292">
        <f>'Proposed Lighting'!F105</f>
        <v>0</v>
      </c>
      <c r="E119" s="1293">
        <f>'Proposed Lighting'!N105</f>
        <v>0</v>
      </c>
      <c r="F119" s="996"/>
      <c r="G119" s="1294">
        <f>'Proposed Lighting'!K105</f>
        <v>0</v>
      </c>
      <c r="H119" s="1295">
        <f>IF('Proposed Lighting'!P105&gt;0.2,'Proposed Lighting'!P105,0)</f>
        <v>0</v>
      </c>
      <c r="I119" s="995">
        <f>'Proposed Lighting'!J105</f>
        <v>0</v>
      </c>
      <c r="J119" s="996"/>
      <c r="K119" s="996"/>
      <c r="L119" s="996"/>
      <c r="M119" s="996"/>
      <c r="N119" s="1005"/>
      <c r="O119" s="1296" t="str">
        <f>'Proposed Lighting'!Z105&amp;", "&amp;'Proposed Lighting'!EK105</f>
        <v xml:space="preserve">, </v>
      </c>
      <c r="P119" s="1292">
        <f>'Proposed Lighting'!T105</f>
        <v>0</v>
      </c>
      <c r="Q119" s="1293">
        <f>'Proposed Lighting'!AA105</f>
        <v>0</v>
      </c>
      <c r="R119" s="996"/>
      <c r="S119" s="1297">
        <f>IF('Proposed Lighting'!AR105=0,0,IF('Proposed Lighting'!AT105&gt;0.2,'Proposed Lighting'!AT105,0))</f>
        <v>0</v>
      </c>
      <c r="T119" s="997">
        <f>'Proposed Lighting'!X105</f>
        <v>0</v>
      </c>
      <c r="U119" s="998"/>
      <c r="V119" s="998"/>
      <c r="W119" s="1378">
        <f>IF('Proposed Lighting'!AF105=4,"WS",IF('Proposed Lighting'!AF105=5,"CM",IF('Proposed Lighting'!AF105=1.6,"PHOT",IF('Proposed Lighting'!AF105=1.5,"FM",IF('Proposed Lighting'!CT105=0.5,"LED-MS",IF('Proposed Lighting'!CB105&gt;1,"Non-S",IF('Proposed Lighting'!CT105=0.6,"LED-SS",IF('Proposed Lighting'!CT105=2,"LED-NW",IF('Proposed Lighting'!CT105=3,"LLLC",0)))))))))</f>
        <v>0</v>
      </c>
      <c r="X119" s="1293">
        <f>'Proposed Lighting'!EE105</f>
        <v>0</v>
      </c>
      <c r="Y119" s="1293">
        <f>'Proposed Lighting'!EF105</f>
        <v>0</v>
      </c>
    </row>
    <row r="120" spans="1:25" ht="50.1" customHeight="1">
      <c r="A120" s="1290">
        <v>98</v>
      </c>
      <c r="B120" s="1291">
        <f>'Proposed Lighting'!B106</f>
        <v>0</v>
      </c>
      <c r="C120" s="1291">
        <f>IF('Proposed Lighting'!M106="Sch 1","Sch 1",IF('Proposed Lighting'!M106="Sch 1-C", "Sch 1-C",IF('Proposed Lighting'!M106="Sch 2","Sch 2",IF('Proposed Lighting'!M106="Sch 2-C","Sch 2-C",IF('Proposed Lighting'!M106="Sch 3","Sch 3",IF('Proposed Lighting'!M106="Sch 3-C", "Sch 3-C",IF('Proposed Lighting'!M106="E", "E",IF('Proposed Lighting'!M106="E-C", "E-C",IF('Proposed Lighting'!M106="Dusk to Dawn","Sch D-D",IF('Proposed Lighting'!M106="Dusk to Dawn-C", "Sch DD-C",IF('Proposed Lighting'!M106="Seasonal", "SEA",IF('Proposed Lighting'!M106="Seasonal-C", "SEA-C",0))))))))))))</f>
        <v>0</v>
      </c>
      <c r="D120" s="1292">
        <f>'Proposed Lighting'!F106</f>
        <v>0</v>
      </c>
      <c r="E120" s="1293">
        <f>'Proposed Lighting'!N106</f>
        <v>0</v>
      </c>
      <c r="F120" s="996"/>
      <c r="G120" s="1294">
        <f>'Proposed Lighting'!K106</f>
        <v>0</v>
      </c>
      <c r="H120" s="1295">
        <f>IF('Proposed Lighting'!P106&gt;0.2,'Proposed Lighting'!P106,0)</f>
        <v>0</v>
      </c>
      <c r="I120" s="995">
        <f>'Proposed Lighting'!J106</f>
        <v>0</v>
      </c>
      <c r="J120" s="996"/>
      <c r="K120" s="996"/>
      <c r="L120" s="996"/>
      <c r="M120" s="996"/>
      <c r="N120" s="1005"/>
      <c r="O120" s="1296" t="str">
        <f>'Proposed Lighting'!Z106&amp;", "&amp;'Proposed Lighting'!EK106</f>
        <v xml:space="preserve">, </v>
      </c>
      <c r="P120" s="1292">
        <f>'Proposed Lighting'!T106</f>
        <v>0</v>
      </c>
      <c r="Q120" s="1293">
        <f>'Proposed Lighting'!AA106</f>
        <v>0</v>
      </c>
      <c r="R120" s="996"/>
      <c r="S120" s="1297">
        <f>IF('Proposed Lighting'!AR106=0,0,IF('Proposed Lighting'!AT106&gt;0.2,'Proposed Lighting'!AT106,0))</f>
        <v>0</v>
      </c>
      <c r="T120" s="997">
        <f>'Proposed Lighting'!X106</f>
        <v>0</v>
      </c>
      <c r="U120" s="998"/>
      <c r="V120" s="998"/>
      <c r="W120" s="1378">
        <f>IF('Proposed Lighting'!AF106=4,"WS",IF('Proposed Lighting'!AF106=5,"CM",IF('Proposed Lighting'!AF106=1.6,"PHOT",IF('Proposed Lighting'!AF106=1.5,"FM",IF('Proposed Lighting'!CT106=0.5,"LED-MS",IF('Proposed Lighting'!CB106&gt;1,"Non-S",IF('Proposed Lighting'!CT106=0.6,"LED-SS",IF('Proposed Lighting'!CT106=2,"LED-NW",IF('Proposed Lighting'!CT106=3,"LLLC",0)))))))))</f>
        <v>0</v>
      </c>
      <c r="X120" s="1293">
        <f>'Proposed Lighting'!EE106</f>
        <v>0</v>
      </c>
      <c r="Y120" s="1293">
        <f>'Proposed Lighting'!EF106</f>
        <v>0</v>
      </c>
    </row>
    <row r="121" spans="1:25" ht="50.1" customHeight="1">
      <c r="A121" s="1290">
        <v>99</v>
      </c>
      <c r="B121" s="1291">
        <f>'Proposed Lighting'!B107</f>
        <v>0</v>
      </c>
      <c r="C121" s="1291">
        <f>IF('Proposed Lighting'!M107="Sch 1","Sch 1",IF('Proposed Lighting'!M107="Sch 1-C", "Sch 1-C",IF('Proposed Lighting'!M107="Sch 2","Sch 2",IF('Proposed Lighting'!M107="Sch 2-C","Sch 2-C",IF('Proposed Lighting'!M107="Sch 3","Sch 3",IF('Proposed Lighting'!M107="Sch 3-C", "Sch 3-C",IF('Proposed Lighting'!M107="E", "E",IF('Proposed Lighting'!M107="E-C", "E-C",IF('Proposed Lighting'!M107="Dusk to Dawn","Sch D-D",IF('Proposed Lighting'!M107="Dusk to Dawn-C", "Sch DD-C",IF('Proposed Lighting'!M107="Seasonal", "SEA",IF('Proposed Lighting'!M107="Seasonal-C", "SEA-C",0))))))))))))</f>
        <v>0</v>
      </c>
      <c r="D121" s="1292">
        <f>'Proposed Lighting'!F107</f>
        <v>0</v>
      </c>
      <c r="E121" s="1293">
        <f>'Proposed Lighting'!N107</f>
        <v>0</v>
      </c>
      <c r="F121" s="996"/>
      <c r="G121" s="1294">
        <f>'Proposed Lighting'!K107</f>
        <v>0</v>
      </c>
      <c r="H121" s="1295">
        <f>IF('Proposed Lighting'!P107&gt;0.2,'Proposed Lighting'!P107,0)</f>
        <v>0</v>
      </c>
      <c r="I121" s="995">
        <f>'Proposed Lighting'!J107</f>
        <v>0</v>
      </c>
      <c r="J121" s="996"/>
      <c r="K121" s="996"/>
      <c r="L121" s="996"/>
      <c r="M121" s="996"/>
      <c r="N121" s="1005"/>
      <c r="O121" s="1296" t="str">
        <f>'Proposed Lighting'!Z107&amp;", "&amp;'Proposed Lighting'!EK107</f>
        <v xml:space="preserve">, </v>
      </c>
      <c r="P121" s="1292">
        <f>'Proposed Lighting'!T107</f>
        <v>0</v>
      </c>
      <c r="Q121" s="1293">
        <f>'Proposed Lighting'!AA107</f>
        <v>0</v>
      </c>
      <c r="R121" s="996"/>
      <c r="S121" s="1297">
        <f>IF('Proposed Lighting'!AR107=0,0,IF('Proposed Lighting'!AT107&gt;0.2,'Proposed Lighting'!AT107,0))</f>
        <v>0</v>
      </c>
      <c r="T121" s="997">
        <f>'Proposed Lighting'!X107</f>
        <v>0</v>
      </c>
      <c r="U121" s="998"/>
      <c r="V121" s="998"/>
      <c r="W121" s="1378">
        <f>IF('Proposed Lighting'!AF107=4,"WS",IF('Proposed Lighting'!AF107=5,"CM",IF('Proposed Lighting'!AF107=1.6,"PHOT",IF('Proposed Lighting'!AF107=1.5,"FM",IF('Proposed Lighting'!CT107=0.5,"LED-MS",IF('Proposed Lighting'!CB107&gt;1,"Non-S",IF('Proposed Lighting'!CT107=0.6,"LED-SS",IF('Proposed Lighting'!CT107=2,"LED-NW",IF('Proposed Lighting'!CT107=3,"LLLC",0)))))))))</f>
        <v>0</v>
      </c>
      <c r="X121" s="1293">
        <f>'Proposed Lighting'!EE107</f>
        <v>0</v>
      </c>
      <c r="Y121" s="1293">
        <f>'Proposed Lighting'!EF107</f>
        <v>0</v>
      </c>
    </row>
    <row r="122" spans="1:25" ht="50.1" customHeight="1">
      <c r="A122" s="1290">
        <v>100</v>
      </c>
      <c r="B122" s="1291">
        <f>'Proposed Lighting'!B108</f>
        <v>0</v>
      </c>
      <c r="C122" s="1291">
        <f>IF('Proposed Lighting'!M108="Sch 1","Sch 1",IF('Proposed Lighting'!M108="Sch 1-C", "Sch 1-C",IF('Proposed Lighting'!M108="Sch 2","Sch 2",IF('Proposed Lighting'!M108="Sch 2-C","Sch 2-C",IF('Proposed Lighting'!M108="Sch 3","Sch 3",IF('Proposed Lighting'!M108="Sch 3-C", "Sch 3-C",IF('Proposed Lighting'!M108="E", "E",IF('Proposed Lighting'!M108="E-C", "E-C",IF('Proposed Lighting'!M108="Dusk to Dawn","Sch D-D",IF('Proposed Lighting'!M108="Dusk to Dawn-C", "Sch DD-C",IF('Proposed Lighting'!M108="Seasonal", "SEA",IF('Proposed Lighting'!M108="Seasonal-C", "SEA-C",0))))))))))))</f>
        <v>0</v>
      </c>
      <c r="D122" s="1292">
        <f>'Proposed Lighting'!F108</f>
        <v>0</v>
      </c>
      <c r="E122" s="1293">
        <f>'Proposed Lighting'!N108</f>
        <v>0</v>
      </c>
      <c r="F122" s="996"/>
      <c r="G122" s="1294">
        <f>'Proposed Lighting'!K108</f>
        <v>0</v>
      </c>
      <c r="H122" s="1295">
        <f>IF('Proposed Lighting'!P108&gt;0.2,'Proposed Lighting'!P108,0)</f>
        <v>0</v>
      </c>
      <c r="I122" s="995">
        <f>'Proposed Lighting'!J108</f>
        <v>0</v>
      </c>
      <c r="J122" s="996"/>
      <c r="K122" s="996"/>
      <c r="L122" s="996"/>
      <c r="M122" s="996"/>
      <c r="N122" s="1005"/>
      <c r="O122" s="1296" t="str">
        <f>'Proposed Lighting'!Z108&amp;", "&amp;'Proposed Lighting'!EK108</f>
        <v xml:space="preserve">, </v>
      </c>
      <c r="P122" s="1292">
        <f>'Proposed Lighting'!T108</f>
        <v>0</v>
      </c>
      <c r="Q122" s="1293">
        <f>'Proposed Lighting'!AA108</f>
        <v>0</v>
      </c>
      <c r="R122" s="996"/>
      <c r="S122" s="1297">
        <f>IF('Proposed Lighting'!AR108=0,0,IF('Proposed Lighting'!AT108&gt;0.2,'Proposed Lighting'!AT108,0))</f>
        <v>0</v>
      </c>
      <c r="T122" s="997">
        <f>'Proposed Lighting'!X108</f>
        <v>0</v>
      </c>
      <c r="U122" s="998"/>
      <c r="V122" s="998"/>
      <c r="W122" s="1378">
        <f>IF('Proposed Lighting'!AF108=4,"WS",IF('Proposed Lighting'!AF108=5,"CM",IF('Proposed Lighting'!AF108=1.6,"PHOT",IF('Proposed Lighting'!AF108=1.5,"FM",IF('Proposed Lighting'!CT108=0.5,"LED-MS",IF('Proposed Lighting'!CB108&gt;1,"Non-S",IF('Proposed Lighting'!CT108=0.6,"LED-SS",IF('Proposed Lighting'!CT108=2,"LED-NW",IF('Proposed Lighting'!CT108=3,"LLLC",0)))))))))</f>
        <v>0</v>
      </c>
      <c r="X122" s="1293">
        <f>'Proposed Lighting'!EE108</f>
        <v>0</v>
      </c>
      <c r="Y122" s="1293">
        <f>'Proposed Lighting'!EF108</f>
        <v>0</v>
      </c>
    </row>
    <row r="123" spans="1:25" ht="50.1" customHeight="1">
      <c r="A123" s="1290">
        <v>101</v>
      </c>
      <c r="B123" s="1291">
        <f>'Proposed Lighting'!B109</f>
        <v>0</v>
      </c>
      <c r="C123" s="1291">
        <f>IF('Proposed Lighting'!M109="Sch 1","Sch 1",IF('Proposed Lighting'!M109="Sch 1-C", "Sch 1-C",IF('Proposed Lighting'!M109="Sch 2","Sch 2",IF('Proposed Lighting'!M109="Sch 2-C","Sch 2-C",IF('Proposed Lighting'!M109="Sch 3","Sch 3",IF('Proposed Lighting'!M109="Sch 3-C", "Sch 3-C",IF('Proposed Lighting'!M109="E", "E",IF('Proposed Lighting'!M109="E-C", "E-C",IF('Proposed Lighting'!M109="Dusk to Dawn","Sch D-D",IF('Proposed Lighting'!M109="Dusk to Dawn-C", "Sch DD-C",IF('Proposed Lighting'!M109="Seasonal", "SEA",IF('Proposed Lighting'!M109="Seasonal-C", "SEA-C",0))))))))))))</f>
        <v>0</v>
      </c>
      <c r="D123" s="1292">
        <f>'Proposed Lighting'!F109</f>
        <v>0</v>
      </c>
      <c r="E123" s="1293">
        <f>'Proposed Lighting'!N109</f>
        <v>0</v>
      </c>
      <c r="F123" s="996"/>
      <c r="G123" s="1294">
        <f>'Proposed Lighting'!K109</f>
        <v>0</v>
      </c>
      <c r="H123" s="1295">
        <f>IF('Proposed Lighting'!P109&gt;0.2,'Proposed Lighting'!P109,0)</f>
        <v>0</v>
      </c>
      <c r="I123" s="995">
        <f>'Proposed Lighting'!J109</f>
        <v>0</v>
      </c>
      <c r="J123" s="996"/>
      <c r="K123" s="996"/>
      <c r="L123" s="996"/>
      <c r="M123" s="996"/>
      <c r="N123" s="1005"/>
      <c r="O123" s="1296" t="str">
        <f>'Proposed Lighting'!Z109&amp;", "&amp;'Proposed Lighting'!EK109</f>
        <v xml:space="preserve">, </v>
      </c>
      <c r="P123" s="1292">
        <f>'Proposed Lighting'!T109</f>
        <v>0</v>
      </c>
      <c r="Q123" s="1293">
        <f>'Proposed Lighting'!AA109</f>
        <v>0</v>
      </c>
      <c r="R123" s="996"/>
      <c r="S123" s="1297">
        <f>IF('Proposed Lighting'!AR109=0,0,IF('Proposed Lighting'!AT109&gt;0.2,'Proposed Lighting'!AT109,0))</f>
        <v>0</v>
      </c>
      <c r="T123" s="997">
        <f>'Proposed Lighting'!X109</f>
        <v>0</v>
      </c>
      <c r="U123" s="998"/>
      <c r="V123" s="998"/>
      <c r="W123" s="1378">
        <f>IF('Proposed Lighting'!AF109=4,"WS",IF('Proposed Lighting'!AF109=5,"CM",IF('Proposed Lighting'!AF109=1.6,"PHOT",IF('Proposed Lighting'!AF109=1.5,"FM",IF('Proposed Lighting'!CT109=0.5,"LED-MS",IF('Proposed Lighting'!CB109&gt;1,"Non-S",IF('Proposed Lighting'!CT109=0.6,"LED-SS",IF('Proposed Lighting'!CT109=2,"LED-NW",IF('Proposed Lighting'!CT109=3,"LLLC",0)))))))))</f>
        <v>0</v>
      </c>
      <c r="X123" s="1293">
        <f>'Proposed Lighting'!EE109</f>
        <v>0</v>
      </c>
      <c r="Y123" s="1293">
        <f>'Proposed Lighting'!EF109</f>
        <v>0</v>
      </c>
    </row>
    <row r="124" spans="1:25" ht="50.1" customHeight="1">
      <c r="A124" s="1290">
        <v>102</v>
      </c>
      <c r="B124" s="1291">
        <f>'Proposed Lighting'!B110</f>
        <v>0</v>
      </c>
      <c r="C124" s="1291">
        <f>IF('Proposed Lighting'!M110="Sch 1","Sch 1",IF('Proposed Lighting'!M110="Sch 1-C", "Sch 1-C",IF('Proposed Lighting'!M110="Sch 2","Sch 2",IF('Proposed Lighting'!M110="Sch 2-C","Sch 2-C",IF('Proposed Lighting'!M110="Sch 3","Sch 3",IF('Proposed Lighting'!M110="Sch 3-C", "Sch 3-C",IF('Proposed Lighting'!M110="E", "E",IF('Proposed Lighting'!M110="E-C", "E-C",IF('Proposed Lighting'!M110="Dusk to Dawn","Sch D-D",IF('Proposed Lighting'!M110="Dusk to Dawn-C", "Sch DD-C",IF('Proposed Lighting'!M110="Seasonal", "SEA",IF('Proposed Lighting'!M110="Seasonal-C", "SEA-C",0))))))))))))</f>
        <v>0</v>
      </c>
      <c r="D124" s="1292">
        <f>'Proposed Lighting'!F110</f>
        <v>0</v>
      </c>
      <c r="E124" s="1293">
        <f>'Proposed Lighting'!N110</f>
        <v>0</v>
      </c>
      <c r="F124" s="996"/>
      <c r="G124" s="1294">
        <f>'Proposed Lighting'!K110</f>
        <v>0</v>
      </c>
      <c r="H124" s="1295">
        <f>IF('Proposed Lighting'!P110&gt;0.2,'Proposed Lighting'!P110,0)</f>
        <v>0</v>
      </c>
      <c r="I124" s="995">
        <f>'Proposed Lighting'!J110</f>
        <v>0</v>
      </c>
      <c r="J124" s="996"/>
      <c r="K124" s="996"/>
      <c r="L124" s="996"/>
      <c r="M124" s="996"/>
      <c r="N124" s="1005"/>
      <c r="O124" s="1296" t="str">
        <f>'Proposed Lighting'!Z110&amp;", "&amp;'Proposed Lighting'!EK110</f>
        <v xml:space="preserve">, </v>
      </c>
      <c r="P124" s="1292">
        <f>'Proposed Lighting'!T110</f>
        <v>0</v>
      </c>
      <c r="Q124" s="1293">
        <f>'Proposed Lighting'!AA110</f>
        <v>0</v>
      </c>
      <c r="R124" s="996"/>
      <c r="S124" s="1297">
        <f>IF('Proposed Lighting'!AR110=0,0,IF('Proposed Lighting'!AT110&gt;0.2,'Proposed Lighting'!AT110,0))</f>
        <v>0</v>
      </c>
      <c r="T124" s="997">
        <f>'Proposed Lighting'!X110</f>
        <v>0</v>
      </c>
      <c r="U124" s="998"/>
      <c r="V124" s="998"/>
      <c r="W124" s="1378">
        <f>IF('Proposed Lighting'!AF110=4,"WS",IF('Proposed Lighting'!AF110=5,"CM",IF('Proposed Lighting'!AF110=1.6,"PHOT",IF('Proposed Lighting'!AF110=1.5,"FM",IF('Proposed Lighting'!CT110=0.5,"LED-MS",IF('Proposed Lighting'!CB110&gt;1,"Non-S",IF('Proposed Lighting'!CT110=0.6,"LED-SS",IF('Proposed Lighting'!CT110=2,"LED-NW",IF('Proposed Lighting'!CT110=3,"LLLC",0)))))))))</f>
        <v>0</v>
      </c>
      <c r="X124" s="1293">
        <f>'Proposed Lighting'!EE110</f>
        <v>0</v>
      </c>
      <c r="Y124" s="1293">
        <f>'Proposed Lighting'!EF110</f>
        <v>0</v>
      </c>
    </row>
    <row r="125" spans="1:25" ht="50.1" customHeight="1">
      <c r="A125" s="1290">
        <v>103</v>
      </c>
      <c r="B125" s="1291">
        <f>'Proposed Lighting'!B111</f>
        <v>0</v>
      </c>
      <c r="C125" s="1291">
        <f>IF('Proposed Lighting'!M111="Sch 1","Sch 1",IF('Proposed Lighting'!M111="Sch 1-C", "Sch 1-C",IF('Proposed Lighting'!M111="Sch 2","Sch 2",IF('Proposed Lighting'!M111="Sch 2-C","Sch 2-C",IF('Proposed Lighting'!M111="Sch 3","Sch 3",IF('Proposed Lighting'!M111="Sch 3-C", "Sch 3-C",IF('Proposed Lighting'!M111="E", "E",IF('Proposed Lighting'!M111="E-C", "E-C",IF('Proposed Lighting'!M111="Dusk to Dawn","Sch D-D",IF('Proposed Lighting'!M111="Dusk to Dawn-C", "Sch DD-C",IF('Proposed Lighting'!M111="Seasonal", "SEA",IF('Proposed Lighting'!M111="Seasonal-C", "SEA-C",0))))))))))))</f>
        <v>0</v>
      </c>
      <c r="D125" s="1292">
        <f>'Proposed Lighting'!F111</f>
        <v>0</v>
      </c>
      <c r="E125" s="1293">
        <f>'Proposed Lighting'!N111</f>
        <v>0</v>
      </c>
      <c r="F125" s="996"/>
      <c r="G125" s="1294">
        <f>'Proposed Lighting'!K111</f>
        <v>0</v>
      </c>
      <c r="H125" s="1295">
        <f>IF('Proposed Lighting'!P111&gt;0.2,'Proposed Lighting'!P111,0)</f>
        <v>0</v>
      </c>
      <c r="I125" s="995">
        <f>'Proposed Lighting'!J111</f>
        <v>0</v>
      </c>
      <c r="J125" s="996"/>
      <c r="K125" s="996"/>
      <c r="L125" s="996"/>
      <c r="M125" s="996"/>
      <c r="N125" s="1005"/>
      <c r="O125" s="1296" t="str">
        <f>'Proposed Lighting'!Z111&amp;", "&amp;'Proposed Lighting'!EK111</f>
        <v xml:space="preserve">, </v>
      </c>
      <c r="P125" s="1292">
        <f>'Proposed Lighting'!T111</f>
        <v>0</v>
      </c>
      <c r="Q125" s="1293">
        <f>'Proposed Lighting'!AA111</f>
        <v>0</v>
      </c>
      <c r="R125" s="996"/>
      <c r="S125" s="1297">
        <f>IF('Proposed Lighting'!AR111=0,0,IF('Proposed Lighting'!AT111&gt;0.2,'Proposed Lighting'!AT111,0))</f>
        <v>0</v>
      </c>
      <c r="T125" s="997">
        <f>'Proposed Lighting'!X111</f>
        <v>0</v>
      </c>
      <c r="U125" s="998"/>
      <c r="V125" s="998"/>
      <c r="W125" s="1378">
        <f>IF('Proposed Lighting'!AF111=4,"WS",IF('Proposed Lighting'!AF111=5,"CM",IF('Proposed Lighting'!AF111=1.6,"PHOT",IF('Proposed Lighting'!AF111=1.5,"FM",IF('Proposed Lighting'!CT111=0.5,"LED-MS",IF('Proposed Lighting'!CB111&gt;1,"Non-S",IF('Proposed Lighting'!CT111=0.6,"LED-SS",IF('Proposed Lighting'!CT111=2,"LED-NW",IF('Proposed Lighting'!CT111=3,"LLLC",0)))))))))</f>
        <v>0</v>
      </c>
      <c r="X125" s="1293">
        <f>'Proposed Lighting'!EE111</f>
        <v>0</v>
      </c>
      <c r="Y125" s="1293">
        <f>'Proposed Lighting'!EF111</f>
        <v>0</v>
      </c>
    </row>
    <row r="126" spans="1:25" ht="50.1" customHeight="1">
      <c r="A126" s="1290">
        <v>104</v>
      </c>
      <c r="B126" s="1291">
        <f>'Proposed Lighting'!B112</f>
        <v>0</v>
      </c>
      <c r="C126" s="1291">
        <f>IF('Proposed Lighting'!M112="Sch 1","Sch 1",IF('Proposed Lighting'!M112="Sch 1-C", "Sch 1-C",IF('Proposed Lighting'!M112="Sch 2","Sch 2",IF('Proposed Lighting'!M112="Sch 2-C","Sch 2-C",IF('Proposed Lighting'!M112="Sch 3","Sch 3",IF('Proposed Lighting'!M112="Sch 3-C", "Sch 3-C",IF('Proposed Lighting'!M112="E", "E",IF('Proposed Lighting'!M112="E-C", "E-C",IF('Proposed Lighting'!M112="Dusk to Dawn","Sch D-D",IF('Proposed Lighting'!M112="Dusk to Dawn-C", "Sch DD-C",IF('Proposed Lighting'!M112="Seasonal", "SEA",IF('Proposed Lighting'!M112="Seasonal-C", "SEA-C",0))))))))))))</f>
        <v>0</v>
      </c>
      <c r="D126" s="1292">
        <f>'Proposed Lighting'!F112</f>
        <v>0</v>
      </c>
      <c r="E126" s="1293">
        <f>'Proposed Lighting'!N112</f>
        <v>0</v>
      </c>
      <c r="F126" s="996"/>
      <c r="G126" s="1294">
        <f>'Proposed Lighting'!K112</f>
        <v>0</v>
      </c>
      <c r="H126" s="1295">
        <f>IF('Proposed Lighting'!P112&gt;0.2,'Proposed Lighting'!P112,0)</f>
        <v>0</v>
      </c>
      <c r="I126" s="995">
        <f>'Proposed Lighting'!J112</f>
        <v>0</v>
      </c>
      <c r="J126" s="996"/>
      <c r="K126" s="996"/>
      <c r="L126" s="996"/>
      <c r="M126" s="996"/>
      <c r="N126" s="1005"/>
      <c r="O126" s="1296" t="str">
        <f>'Proposed Lighting'!Z112&amp;", "&amp;'Proposed Lighting'!EK112</f>
        <v xml:space="preserve">, </v>
      </c>
      <c r="P126" s="1292">
        <f>'Proposed Lighting'!T112</f>
        <v>0</v>
      </c>
      <c r="Q126" s="1293">
        <f>'Proposed Lighting'!AA112</f>
        <v>0</v>
      </c>
      <c r="R126" s="996"/>
      <c r="S126" s="1297">
        <f>IF('Proposed Lighting'!AR112=0,0,IF('Proposed Lighting'!AT112&gt;0.2,'Proposed Lighting'!AT112,0))</f>
        <v>0</v>
      </c>
      <c r="T126" s="997">
        <f>'Proposed Lighting'!X112</f>
        <v>0</v>
      </c>
      <c r="U126" s="998"/>
      <c r="V126" s="998"/>
      <c r="W126" s="1378">
        <f>IF('Proposed Lighting'!AF112=4,"WS",IF('Proposed Lighting'!AF112=5,"CM",IF('Proposed Lighting'!AF112=1.6,"PHOT",IF('Proposed Lighting'!AF112=1.5,"FM",IF('Proposed Lighting'!CT112=0.5,"LED-MS",IF('Proposed Lighting'!CB112&gt;1,"Non-S",IF('Proposed Lighting'!CT112=0.6,"LED-SS",IF('Proposed Lighting'!CT112=2,"LED-NW",IF('Proposed Lighting'!CT112=3,"LLLC",0)))))))))</f>
        <v>0</v>
      </c>
      <c r="X126" s="1293">
        <f>'Proposed Lighting'!EE112</f>
        <v>0</v>
      </c>
      <c r="Y126" s="1293">
        <f>'Proposed Lighting'!EF112</f>
        <v>0</v>
      </c>
    </row>
    <row r="127" spans="1:25" ht="50.1" customHeight="1">
      <c r="A127" s="1290">
        <v>105</v>
      </c>
      <c r="B127" s="1291">
        <f>'Proposed Lighting'!B113</f>
        <v>0</v>
      </c>
      <c r="C127" s="1291">
        <f>IF('Proposed Lighting'!M113="Sch 1","Sch 1",IF('Proposed Lighting'!M113="Sch 1-C", "Sch 1-C",IF('Proposed Lighting'!M113="Sch 2","Sch 2",IF('Proposed Lighting'!M113="Sch 2-C","Sch 2-C",IF('Proposed Lighting'!M113="Sch 3","Sch 3",IF('Proposed Lighting'!M113="Sch 3-C", "Sch 3-C",IF('Proposed Lighting'!M113="E", "E",IF('Proposed Lighting'!M113="E-C", "E-C",IF('Proposed Lighting'!M113="Dusk to Dawn","Sch D-D",IF('Proposed Lighting'!M113="Dusk to Dawn-C", "Sch DD-C",IF('Proposed Lighting'!M113="Seasonal", "SEA",IF('Proposed Lighting'!M113="Seasonal-C", "SEA-C",0))))))))))))</f>
        <v>0</v>
      </c>
      <c r="D127" s="1292">
        <f>'Proposed Lighting'!F113</f>
        <v>0</v>
      </c>
      <c r="E127" s="1293">
        <f>'Proposed Lighting'!N113</f>
        <v>0</v>
      </c>
      <c r="F127" s="996"/>
      <c r="G127" s="1294">
        <f>'Proposed Lighting'!K113</f>
        <v>0</v>
      </c>
      <c r="H127" s="1295">
        <f>IF('Proposed Lighting'!P113&gt;0.2,'Proposed Lighting'!P113,0)</f>
        <v>0</v>
      </c>
      <c r="I127" s="995">
        <f>'Proposed Lighting'!J113</f>
        <v>0</v>
      </c>
      <c r="J127" s="996"/>
      <c r="K127" s="996"/>
      <c r="L127" s="996"/>
      <c r="M127" s="996"/>
      <c r="N127" s="1005"/>
      <c r="O127" s="1296" t="str">
        <f>'Proposed Lighting'!Z113&amp;", "&amp;'Proposed Lighting'!EK113</f>
        <v xml:space="preserve">, </v>
      </c>
      <c r="P127" s="1292">
        <f>'Proposed Lighting'!T113</f>
        <v>0</v>
      </c>
      <c r="Q127" s="1293">
        <f>'Proposed Lighting'!AA113</f>
        <v>0</v>
      </c>
      <c r="R127" s="996"/>
      <c r="S127" s="1297">
        <f>IF('Proposed Lighting'!AR113=0,0,IF('Proposed Lighting'!AT113&gt;0.2,'Proposed Lighting'!AT113,0))</f>
        <v>0</v>
      </c>
      <c r="T127" s="997">
        <f>'Proposed Lighting'!X113</f>
        <v>0</v>
      </c>
      <c r="U127" s="998"/>
      <c r="V127" s="998"/>
      <c r="W127" s="1378">
        <f>IF('Proposed Lighting'!AF113=4,"WS",IF('Proposed Lighting'!AF113=5,"CM",IF('Proposed Lighting'!AF113=1.6,"PHOT",IF('Proposed Lighting'!AF113=1.5,"FM",IF('Proposed Lighting'!CT113=0.5,"LED-MS",IF('Proposed Lighting'!CB113&gt;1,"Non-S",IF('Proposed Lighting'!CT113=0.6,"LED-SS",IF('Proposed Lighting'!CT113=2,"LED-NW",IF('Proposed Lighting'!CT113=3,"LLLC",0)))))))))</f>
        <v>0</v>
      </c>
      <c r="X127" s="1293">
        <f>'Proposed Lighting'!EE113</f>
        <v>0</v>
      </c>
      <c r="Y127" s="1293">
        <f>'Proposed Lighting'!EF113</f>
        <v>0</v>
      </c>
    </row>
    <row r="128" spans="1:25" ht="50.1" customHeight="1">
      <c r="A128" s="1290">
        <v>106</v>
      </c>
      <c r="B128" s="1291">
        <f>'Proposed Lighting'!B114</f>
        <v>0</v>
      </c>
      <c r="C128" s="1291">
        <f>IF('Proposed Lighting'!M114="Sch 1","Sch 1",IF('Proposed Lighting'!M114="Sch 1-C", "Sch 1-C",IF('Proposed Lighting'!M114="Sch 2","Sch 2",IF('Proposed Lighting'!M114="Sch 2-C","Sch 2-C",IF('Proposed Lighting'!M114="Sch 3","Sch 3",IF('Proposed Lighting'!M114="Sch 3-C", "Sch 3-C",IF('Proposed Lighting'!M114="E", "E",IF('Proposed Lighting'!M114="E-C", "E-C",IF('Proposed Lighting'!M114="Dusk to Dawn","Sch D-D",IF('Proposed Lighting'!M114="Dusk to Dawn-C", "Sch DD-C",IF('Proposed Lighting'!M114="Seasonal", "SEA",IF('Proposed Lighting'!M114="Seasonal-C", "SEA-C",0))))))))))))</f>
        <v>0</v>
      </c>
      <c r="D128" s="1292">
        <f>'Proposed Lighting'!F114</f>
        <v>0</v>
      </c>
      <c r="E128" s="1293">
        <f>'Proposed Lighting'!N114</f>
        <v>0</v>
      </c>
      <c r="F128" s="996"/>
      <c r="G128" s="1294">
        <f>'Proposed Lighting'!K114</f>
        <v>0</v>
      </c>
      <c r="H128" s="1295">
        <f>IF('Proposed Lighting'!P114&gt;0.2,'Proposed Lighting'!P114,0)</f>
        <v>0</v>
      </c>
      <c r="I128" s="995">
        <f>'Proposed Lighting'!J114</f>
        <v>0</v>
      </c>
      <c r="J128" s="996"/>
      <c r="K128" s="996"/>
      <c r="L128" s="996"/>
      <c r="M128" s="996"/>
      <c r="N128" s="1005"/>
      <c r="O128" s="1296" t="str">
        <f>'Proposed Lighting'!Z114&amp;", "&amp;'Proposed Lighting'!EK114</f>
        <v xml:space="preserve">, </v>
      </c>
      <c r="P128" s="1292">
        <f>'Proposed Lighting'!T114</f>
        <v>0</v>
      </c>
      <c r="Q128" s="1293">
        <f>'Proposed Lighting'!AA114</f>
        <v>0</v>
      </c>
      <c r="R128" s="996"/>
      <c r="S128" s="1297">
        <f>IF('Proposed Lighting'!AR114=0,0,IF('Proposed Lighting'!AT114&gt;0.2,'Proposed Lighting'!AT114,0))</f>
        <v>0</v>
      </c>
      <c r="T128" s="997">
        <f>'Proposed Lighting'!X114</f>
        <v>0</v>
      </c>
      <c r="U128" s="998"/>
      <c r="V128" s="998"/>
      <c r="W128" s="1378">
        <f>IF('Proposed Lighting'!AF114=4,"WS",IF('Proposed Lighting'!AF114=5,"CM",IF('Proposed Lighting'!AF114=1.6,"PHOT",IF('Proposed Lighting'!AF114=1.5,"FM",IF('Proposed Lighting'!CT114=0.5,"LED-MS",IF('Proposed Lighting'!CB114&gt;1,"Non-S",IF('Proposed Lighting'!CT114=0.6,"LED-SS",IF('Proposed Lighting'!CT114=2,"LED-NW",IF('Proposed Lighting'!CT114=3,"LLLC",0)))))))))</f>
        <v>0</v>
      </c>
      <c r="X128" s="1293">
        <f>'Proposed Lighting'!EE114</f>
        <v>0</v>
      </c>
      <c r="Y128" s="1293">
        <f>'Proposed Lighting'!EF114</f>
        <v>0</v>
      </c>
    </row>
    <row r="129" spans="1:25" ht="50.1" customHeight="1">
      <c r="A129" s="1290">
        <v>107</v>
      </c>
      <c r="B129" s="1291">
        <f>'Proposed Lighting'!B115</f>
        <v>0</v>
      </c>
      <c r="C129" s="1291">
        <f>IF('Proposed Lighting'!M115="Sch 1","Sch 1",IF('Proposed Lighting'!M115="Sch 1-C", "Sch 1-C",IF('Proposed Lighting'!M115="Sch 2","Sch 2",IF('Proposed Lighting'!M115="Sch 2-C","Sch 2-C",IF('Proposed Lighting'!M115="Sch 3","Sch 3",IF('Proposed Lighting'!M115="Sch 3-C", "Sch 3-C",IF('Proposed Lighting'!M115="E", "E",IF('Proposed Lighting'!M115="E-C", "E-C",IF('Proposed Lighting'!M115="Dusk to Dawn","Sch D-D",IF('Proposed Lighting'!M115="Dusk to Dawn-C", "Sch DD-C",IF('Proposed Lighting'!M115="Seasonal", "SEA",IF('Proposed Lighting'!M115="Seasonal-C", "SEA-C",0))))))))))))</f>
        <v>0</v>
      </c>
      <c r="D129" s="1292">
        <f>'Proposed Lighting'!F115</f>
        <v>0</v>
      </c>
      <c r="E129" s="1293">
        <f>'Proposed Lighting'!N115</f>
        <v>0</v>
      </c>
      <c r="F129" s="996"/>
      <c r="G129" s="1294">
        <f>'Proposed Lighting'!K115</f>
        <v>0</v>
      </c>
      <c r="H129" s="1295">
        <f>IF('Proposed Lighting'!P115&gt;0.2,'Proposed Lighting'!P115,0)</f>
        <v>0</v>
      </c>
      <c r="I129" s="995">
        <f>'Proposed Lighting'!J115</f>
        <v>0</v>
      </c>
      <c r="J129" s="996"/>
      <c r="K129" s="996"/>
      <c r="L129" s="996"/>
      <c r="M129" s="996"/>
      <c r="N129" s="1005"/>
      <c r="O129" s="1296" t="str">
        <f>'Proposed Lighting'!Z115&amp;", "&amp;'Proposed Lighting'!EK115</f>
        <v xml:space="preserve">, </v>
      </c>
      <c r="P129" s="1292">
        <f>'Proposed Lighting'!T115</f>
        <v>0</v>
      </c>
      <c r="Q129" s="1293">
        <f>'Proposed Lighting'!AA115</f>
        <v>0</v>
      </c>
      <c r="R129" s="996"/>
      <c r="S129" s="1297">
        <f>IF('Proposed Lighting'!AR115=0,0,IF('Proposed Lighting'!AT115&gt;0.2,'Proposed Lighting'!AT115,0))</f>
        <v>0</v>
      </c>
      <c r="T129" s="997">
        <f>'Proposed Lighting'!X115</f>
        <v>0</v>
      </c>
      <c r="U129" s="998"/>
      <c r="V129" s="998"/>
      <c r="W129" s="1378">
        <f>IF('Proposed Lighting'!AF115=4,"WS",IF('Proposed Lighting'!AF115=5,"CM",IF('Proposed Lighting'!AF115=1.6,"PHOT",IF('Proposed Lighting'!AF115=1.5,"FM",IF('Proposed Lighting'!CT115=0.5,"LED-MS",IF('Proposed Lighting'!CB115&gt;1,"Non-S",IF('Proposed Lighting'!CT115=0.6,"LED-SS",IF('Proposed Lighting'!CT115=2,"LED-NW",IF('Proposed Lighting'!CT115=3,"LLLC",0)))))))))</f>
        <v>0</v>
      </c>
      <c r="X129" s="1293">
        <f>'Proposed Lighting'!EE115</f>
        <v>0</v>
      </c>
      <c r="Y129" s="1293">
        <f>'Proposed Lighting'!EF115</f>
        <v>0</v>
      </c>
    </row>
    <row r="130" spans="1:25" ht="50.1" customHeight="1">
      <c r="A130" s="1290">
        <v>108</v>
      </c>
      <c r="B130" s="1291">
        <f>'Proposed Lighting'!B116</f>
        <v>0</v>
      </c>
      <c r="C130" s="1291">
        <f>IF('Proposed Lighting'!M116="Sch 1","Sch 1",IF('Proposed Lighting'!M116="Sch 1-C", "Sch 1-C",IF('Proposed Lighting'!M116="Sch 2","Sch 2",IF('Proposed Lighting'!M116="Sch 2-C","Sch 2-C",IF('Proposed Lighting'!M116="Sch 3","Sch 3",IF('Proposed Lighting'!M116="Sch 3-C", "Sch 3-C",IF('Proposed Lighting'!M116="E", "E",IF('Proposed Lighting'!M116="E-C", "E-C",IF('Proposed Lighting'!M116="Dusk to Dawn","Sch D-D",IF('Proposed Lighting'!M116="Dusk to Dawn-C", "Sch DD-C",IF('Proposed Lighting'!M116="Seasonal", "SEA",IF('Proposed Lighting'!M116="Seasonal-C", "SEA-C",0))))))))))))</f>
        <v>0</v>
      </c>
      <c r="D130" s="1292">
        <f>'Proposed Lighting'!F116</f>
        <v>0</v>
      </c>
      <c r="E130" s="1293">
        <f>'Proposed Lighting'!N116</f>
        <v>0</v>
      </c>
      <c r="F130" s="996"/>
      <c r="G130" s="1294">
        <f>'Proposed Lighting'!K116</f>
        <v>0</v>
      </c>
      <c r="H130" s="1295">
        <f>IF('Proposed Lighting'!P116&gt;0.2,'Proposed Lighting'!P116,0)</f>
        <v>0</v>
      </c>
      <c r="I130" s="995">
        <f>'Proposed Lighting'!J116</f>
        <v>0</v>
      </c>
      <c r="J130" s="996"/>
      <c r="K130" s="996"/>
      <c r="L130" s="996"/>
      <c r="M130" s="996"/>
      <c r="N130" s="1005"/>
      <c r="O130" s="1296" t="str">
        <f>'Proposed Lighting'!Z116&amp;", "&amp;'Proposed Lighting'!EK116</f>
        <v xml:space="preserve">, </v>
      </c>
      <c r="P130" s="1292">
        <f>'Proposed Lighting'!T116</f>
        <v>0</v>
      </c>
      <c r="Q130" s="1293">
        <f>'Proposed Lighting'!AA116</f>
        <v>0</v>
      </c>
      <c r="R130" s="996"/>
      <c r="S130" s="1297">
        <f>IF('Proposed Lighting'!AR116=0,0,IF('Proposed Lighting'!AT116&gt;0.2,'Proposed Lighting'!AT116,0))</f>
        <v>0</v>
      </c>
      <c r="T130" s="997">
        <f>'Proposed Lighting'!X116</f>
        <v>0</v>
      </c>
      <c r="U130" s="998"/>
      <c r="V130" s="998"/>
      <c r="W130" s="1378">
        <f>IF('Proposed Lighting'!AF116=4,"WS",IF('Proposed Lighting'!AF116=5,"CM",IF('Proposed Lighting'!AF116=1.6,"PHOT",IF('Proposed Lighting'!AF116=1.5,"FM",IF('Proposed Lighting'!CT116=0.5,"LED-MS",IF('Proposed Lighting'!CB116&gt;1,"Non-S",IF('Proposed Lighting'!CT116=0.6,"LED-SS",IF('Proposed Lighting'!CT116=2,"LED-NW",IF('Proposed Lighting'!CT116=3,"LLLC",0)))))))))</f>
        <v>0</v>
      </c>
      <c r="X130" s="1293">
        <f>'Proposed Lighting'!EE116</f>
        <v>0</v>
      </c>
      <c r="Y130" s="1293">
        <f>'Proposed Lighting'!EF116</f>
        <v>0</v>
      </c>
    </row>
    <row r="131" spans="1:25" ht="50.1" customHeight="1">
      <c r="A131" s="1290">
        <v>109</v>
      </c>
      <c r="B131" s="1291">
        <f>'Proposed Lighting'!B117</f>
        <v>0</v>
      </c>
      <c r="C131" s="1291">
        <f>IF('Proposed Lighting'!M117="Sch 1","Sch 1",IF('Proposed Lighting'!M117="Sch 1-C", "Sch 1-C",IF('Proposed Lighting'!M117="Sch 2","Sch 2",IF('Proposed Lighting'!M117="Sch 2-C","Sch 2-C",IF('Proposed Lighting'!M117="Sch 3","Sch 3",IF('Proposed Lighting'!M117="Sch 3-C", "Sch 3-C",IF('Proposed Lighting'!M117="E", "E",IF('Proposed Lighting'!M117="E-C", "E-C",IF('Proposed Lighting'!M117="Dusk to Dawn","Sch D-D",IF('Proposed Lighting'!M117="Dusk to Dawn-C", "Sch DD-C",IF('Proposed Lighting'!M117="Seasonal", "SEA",IF('Proposed Lighting'!M117="Seasonal-C", "SEA-C",0))))))))))))</f>
        <v>0</v>
      </c>
      <c r="D131" s="1292">
        <f>'Proposed Lighting'!F117</f>
        <v>0</v>
      </c>
      <c r="E131" s="1293">
        <f>'Proposed Lighting'!N117</f>
        <v>0</v>
      </c>
      <c r="F131" s="996"/>
      <c r="G131" s="1294">
        <f>'Proposed Lighting'!K117</f>
        <v>0</v>
      </c>
      <c r="H131" s="1295">
        <f>IF('Proposed Lighting'!P117&gt;0.2,'Proposed Lighting'!P117,0)</f>
        <v>0</v>
      </c>
      <c r="I131" s="995">
        <f>'Proposed Lighting'!J117</f>
        <v>0</v>
      </c>
      <c r="J131" s="996"/>
      <c r="K131" s="996"/>
      <c r="L131" s="996"/>
      <c r="M131" s="996"/>
      <c r="N131" s="1005"/>
      <c r="O131" s="1296" t="str">
        <f>'Proposed Lighting'!Z117&amp;", "&amp;'Proposed Lighting'!EK117</f>
        <v xml:space="preserve">, </v>
      </c>
      <c r="P131" s="1292">
        <f>'Proposed Lighting'!T117</f>
        <v>0</v>
      </c>
      <c r="Q131" s="1293">
        <f>'Proposed Lighting'!AA117</f>
        <v>0</v>
      </c>
      <c r="R131" s="996"/>
      <c r="S131" s="1297">
        <f>IF('Proposed Lighting'!AR117=0,0,IF('Proposed Lighting'!AT117&gt;0.2,'Proposed Lighting'!AT117,0))</f>
        <v>0</v>
      </c>
      <c r="T131" s="997">
        <f>'Proposed Lighting'!X117</f>
        <v>0</v>
      </c>
      <c r="U131" s="998"/>
      <c r="V131" s="998"/>
      <c r="W131" s="1378">
        <f>IF('Proposed Lighting'!AF117=4,"WS",IF('Proposed Lighting'!AF117=5,"CM",IF('Proposed Lighting'!AF117=1.6,"PHOT",IF('Proposed Lighting'!AF117=1.5,"FM",IF('Proposed Lighting'!CT117=0.5,"LED-MS",IF('Proposed Lighting'!CB117&gt;1,"Non-S",IF('Proposed Lighting'!CT117=0.6,"LED-SS",IF('Proposed Lighting'!CT117=2,"LED-NW",IF('Proposed Lighting'!CT117=3,"LLLC",0)))))))))</f>
        <v>0</v>
      </c>
      <c r="X131" s="1293">
        <f>'Proposed Lighting'!EE117</f>
        <v>0</v>
      </c>
      <c r="Y131" s="1293">
        <f>'Proposed Lighting'!EF117</f>
        <v>0</v>
      </c>
    </row>
    <row r="132" spans="1:25" ht="50.1" customHeight="1">
      <c r="A132" s="1290">
        <v>110</v>
      </c>
      <c r="B132" s="1291">
        <f>'Proposed Lighting'!B118</f>
        <v>0</v>
      </c>
      <c r="C132" s="1291">
        <f>IF('Proposed Lighting'!M118="Sch 1","Sch 1",IF('Proposed Lighting'!M118="Sch 1-C", "Sch 1-C",IF('Proposed Lighting'!M118="Sch 2","Sch 2",IF('Proposed Lighting'!M118="Sch 2-C","Sch 2-C",IF('Proposed Lighting'!M118="Sch 3","Sch 3",IF('Proposed Lighting'!M118="Sch 3-C", "Sch 3-C",IF('Proposed Lighting'!M118="E", "E",IF('Proposed Lighting'!M118="E-C", "E-C",IF('Proposed Lighting'!M118="Dusk to Dawn","Sch D-D",IF('Proposed Lighting'!M118="Dusk to Dawn-C", "Sch DD-C",IF('Proposed Lighting'!M118="Seasonal", "SEA",IF('Proposed Lighting'!M118="Seasonal-C", "SEA-C",0))))))))))))</f>
        <v>0</v>
      </c>
      <c r="D132" s="1292">
        <f>'Proposed Lighting'!F118</f>
        <v>0</v>
      </c>
      <c r="E132" s="1293">
        <f>'Proposed Lighting'!N118</f>
        <v>0</v>
      </c>
      <c r="F132" s="996"/>
      <c r="G132" s="1294">
        <f>'Proposed Lighting'!K118</f>
        <v>0</v>
      </c>
      <c r="H132" s="1295">
        <f>IF('Proposed Lighting'!P118&gt;0.2,'Proposed Lighting'!P118,0)</f>
        <v>0</v>
      </c>
      <c r="I132" s="995">
        <f>'Proposed Lighting'!J118</f>
        <v>0</v>
      </c>
      <c r="J132" s="996"/>
      <c r="K132" s="996"/>
      <c r="L132" s="996"/>
      <c r="M132" s="996"/>
      <c r="N132" s="1005"/>
      <c r="O132" s="1296" t="str">
        <f>'Proposed Lighting'!Z118&amp;", "&amp;'Proposed Lighting'!EK118</f>
        <v xml:space="preserve">, </v>
      </c>
      <c r="P132" s="1292">
        <f>'Proposed Lighting'!T118</f>
        <v>0</v>
      </c>
      <c r="Q132" s="1293">
        <f>'Proposed Lighting'!AA118</f>
        <v>0</v>
      </c>
      <c r="R132" s="996"/>
      <c r="S132" s="1297">
        <f>IF('Proposed Lighting'!AR118=0,0,IF('Proposed Lighting'!AT118&gt;0.2,'Proposed Lighting'!AT118,0))</f>
        <v>0</v>
      </c>
      <c r="T132" s="997">
        <f>'Proposed Lighting'!X118</f>
        <v>0</v>
      </c>
      <c r="U132" s="998"/>
      <c r="V132" s="998"/>
      <c r="W132" s="1378">
        <f>IF('Proposed Lighting'!AF118=4,"WS",IF('Proposed Lighting'!AF118=5,"CM",IF('Proposed Lighting'!AF118=1.6,"PHOT",IF('Proposed Lighting'!AF118=1.5,"FM",IF('Proposed Lighting'!CT118=0.5,"LED-MS",IF('Proposed Lighting'!CB118&gt;1,"Non-S",IF('Proposed Lighting'!CT118=0.6,"LED-SS",IF('Proposed Lighting'!CT118=2,"LED-NW",IF('Proposed Lighting'!CT118=3,"LLLC",0)))))))))</f>
        <v>0</v>
      </c>
      <c r="X132" s="1293">
        <f>'Proposed Lighting'!EE118</f>
        <v>0</v>
      </c>
      <c r="Y132" s="1293">
        <f>'Proposed Lighting'!EF118</f>
        <v>0</v>
      </c>
    </row>
    <row r="133" spans="1:25" ht="50.1" customHeight="1">
      <c r="A133" s="1290">
        <v>111</v>
      </c>
      <c r="B133" s="1291">
        <f>'Proposed Lighting'!B119</f>
        <v>0</v>
      </c>
      <c r="C133" s="1291">
        <f>IF('Proposed Lighting'!M119="Sch 1","Sch 1",IF('Proposed Lighting'!M119="Sch 1-C", "Sch 1-C",IF('Proposed Lighting'!M119="Sch 2","Sch 2",IF('Proposed Lighting'!M119="Sch 2-C","Sch 2-C",IF('Proposed Lighting'!M119="Sch 3","Sch 3",IF('Proposed Lighting'!M119="Sch 3-C", "Sch 3-C",IF('Proposed Lighting'!M119="E", "E",IF('Proposed Lighting'!M119="E-C", "E-C",IF('Proposed Lighting'!M119="Dusk to Dawn","Sch D-D",IF('Proposed Lighting'!M119="Dusk to Dawn-C", "Sch DD-C",IF('Proposed Lighting'!M119="Seasonal", "SEA",IF('Proposed Lighting'!M119="Seasonal-C", "SEA-C",0))))))))))))</f>
        <v>0</v>
      </c>
      <c r="D133" s="1292">
        <f>'Proposed Lighting'!F119</f>
        <v>0</v>
      </c>
      <c r="E133" s="1293">
        <f>'Proposed Lighting'!N119</f>
        <v>0</v>
      </c>
      <c r="F133" s="996"/>
      <c r="G133" s="1294">
        <f>'Proposed Lighting'!K119</f>
        <v>0</v>
      </c>
      <c r="H133" s="1295">
        <f>IF('Proposed Lighting'!P119&gt;0.2,'Proposed Lighting'!P119,0)</f>
        <v>0</v>
      </c>
      <c r="I133" s="995">
        <f>'Proposed Lighting'!J119</f>
        <v>0</v>
      </c>
      <c r="J133" s="996"/>
      <c r="K133" s="996"/>
      <c r="L133" s="996"/>
      <c r="M133" s="996"/>
      <c r="N133" s="1005"/>
      <c r="O133" s="1296" t="str">
        <f>'Proposed Lighting'!Z119&amp;", "&amp;'Proposed Lighting'!EK119</f>
        <v xml:space="preserve">, </v>
      </c>
      <c r="P133" s="1292">
        <f>'Proposed Lighting'!T119</f>
        <v>0</v>
      </c>
      <c r="Q133" s="1293">
        <f>'Proposed Lighting'!AA119</f>
        <v>0</v>
      </c>
      <c r="R133" s="996"/>
      <c r="S133" s="1297">
        <f>IF('Proposed Lighting'!AR119=0,0,IF('Proposed Lighting'!AT119&gt;0.2,'Proposed Lighting'!AT119,0))</f>
        <v>0</v>
      </c>
      <c r="T133" s="997">
        <f>'Proposed Lighting'!X119</f>
        <v>0</v>
      </c>
      <c r="U133" s="998"/>
      <c r="V133" s="998"/>
      <c r="W133" s="1378">
        <f>IF('Proposed Lighting'!AF119=4,"WS",IF('Proposed Lighting'!AF119=5,"CM",IF('Proposed Lighting'!AF119=1.6,"PHOT",IF('Proposed Lighting'!AF119=1.5,"FM",IF('Proposed Lighting'!CT119=0.5,"LED-MS",IF('Proposed Lighting'!CB119&gt;1,"Non-S",IF('Proposed Lighting'!CT119=0.6,"LED-SS",IF('Proposed Lighting'!CT119=2,"LED-NW",IF('Proposed Lighting'!CT119=3,"LLLC",0)))))))))</f>
        <v>0</v>
      </c>
      <c r="X133" s="1293">
        <f>'Proposed Lighting'!EE119</f>
        <v>0</v>
      </c>
      <c r="Y133" s="1293">
        <f>'Proposed Lighting'!EF119</f>
        <v>0</v>
      </c>
    </row>
    <row r="134" spans="1:25" ht="50.1" customHeight="1">
      <c r="A134" s="1290">
        <v>112</v>
      </c>
      <c r="B134" s="1291">
        <f>'Proposed Lighting'!B120</f>
        <v>0</v>
      </c>
      <c r="C134" s="1291">
        <f>IF('Proposed Lighting'!M120="Sch 1","Sch 1",IF('Proposed Lighting'!M120="Sch 1-C", "Sch 1-C",IF('Proposed Lighting'!M120="Sch 2","Sch 2",IF('Proposed Lighting'!M120="Sch 2-C","Sch 2-C",IF('Proposed Lighting'!M120="Sch 3","Sch 3",IF('Proposed Lighting'!M120="Sch 3-C", "Sch 3-C",IF('Proposed Lighting'!M120="E", "E",IF('Proposed Lighting'!M120="E-C", "E-C",IF('Proposed Lighting'!M120="Dusk to Dawn","Sch D-D",IF('Proposed Lighting'!M120="Dusk to Dawn-C", "Sch DD-C",IF('Proposed Lighting'!M120="Seasonal", "SEA",IF('Proposed Lighting'!M120="Seasonal-C", "SEA-C",0))))))))))))</f>
        <v>0</v>
      </c>
      <c r="D134" s="1292">
        <f>'Proposed Lighting'!F120</f>
        <v>0</v>
      </c>
      <c r="E134" s="1293">
        <f>'Proposed Lighting'!N120</f>
        <v>0</v>
      </c>
      <c r="F134" s="996"/>
      <c r="G134" s="1294">
        <f>'Proposed Lighting'!K120</f>
        <v>0</v>
      </c>
      <c r="H134" s="1295">
        <f>IF('Proposed Lighting'!P120&gt;0.2,'Proposed Lighting'!P120,0)</f>
        <v>0</v>
      </c>
      <c r="I134" s="995">
        <f>'Proposed Lighting'!J120</f>
        <v>0</v>
      </c>
      <c r="J134" s="996"/>
      <c r="K134" s="996"/>
      <c r="L134" s="996"/>
      <c r="M134" s="996"/>
      <c r="N134" s="1005"/>
      <c r="O134" s="1296" t="str">
        <f>'Proposed Lighting'!Z120&amp;", "&amp;'Proposed Lighting'!EK120</f>
        <v xml:space="preserve">, </v>
      </c>
      <c r="P134" s="1292">
        <f>'Proposed Lighting'!T120</f>
        <v>0</v>
      </c>
      <c r="Q134" s="1293">
        <f>'Proposed Lighting'!AA120</f>
        <v>0</v>
      </c>
      <c r="R134" s="996"/>
      <c r="S134" s="1297">
        <f>IF('Proposed Lighting'!AR120=0,0,IF('Proposed Lighting'!AT120&gt;0.2,'Proposed Lighting'!AT120,0))</f>
        <v>0</v>
      </c>
      <c r="T134" s="997">
        <f>'Proposed Lighting'!X120</f>
        <v>0</v>
      </c>
      <c r="U134" s="998"/>
      <c r="V134" s="998"/>
      <c r="W134" s="1378">
        <f>IF('Proposed Lighting'!AF120=4,"WS",IF('Proposed Lighting'!AF120=5,"CM",IF('Proposed Lighting'!AF120=1.6,"PHOT",IF('Proposed Lighting'!AF120=1.5,"FM",IF('Proposed Lighting'!CT120=0.5,"LED-MS",IF('Proposed Lighting'!CB120&gt;1,"Non-S",IF('Proposed Lighting'!CT120=0.6,"LED-SS",IF('Proposed Lighting'!CT120=2,"LED-NW",IF('Proposed Lighting'!CT120=3,"LLLC",0)))))))))</f>
        <v>0</v>
      </c>
      <c r="X134" s="1293">
        <f>'Proposed Lighting'!EE120</f>
        <v>0</v>
      </c>
      <c r="Y134" s="1293">
        <f>'Proposed Lighting'!EF120</f>
        <v>0</v>
      </c>
    </row>
    <row r="135" spans="1:25" ht="50.1" customHeight="1">
      <c r="A135" s="1290">
        <v>113</v>
      </c>
      <c r="B135" s="1291">
        <f>'Proposed Lighting'!B121</f>
        <v>0</v>
      </c>
      <c r="C135" s="1291">
        <f>IF('Proposed Lighting'!M121="Sch 1","Sch 1",IF('Proposed Lighting'!M121="Sch 1-C", "Sch 1-C",IF('Proposed Lighting'!M121="Sch 2","Sch 2",IF('Proposed Lighting'!M121="Sch 2-C","Sch 2-C",IF('Proposed Lighting'!M121="Sch 3","Sch 3",IF('Proposed Lighting'!M121="Sch 3-C", "Sch 3-C",IF('Proposed Lighting'!M121="E", "E",IF('Proposed Lighting'!M121="E-C", "E-C",IF('Proposed Lighting'!M121="Dusk to Dawn","Sch D-D",IF('Proposed Lighting'!M121="Dusk to Dawn-C", "Sch DD-C",IF('Proposed Lighting'!M121="Seasonal", "SEA",IF('Proposed Lighting'!M121="Seasonal-C", "SEA-C",0))))))))))))</f>
        <v>0</v>
      </c>
      <c r="D135" s="1292">
        <f>'Proposed Lighting'!F121</f>
        <v>0</v>
      </c>
      <c r="E135" s="1293">
        <f>'Proposed Lighting'!N121</f>
        <v>0</v>
      </c>
      <c r="F135" s="996"/>
      <c r="G135" s="1294">
        <f>'Proposed Lighting'!K121</f>
        <v>0</v>
      </c>
      <c r="H135" s="1295">
        <f>IF('Proposed Lighting'!P121&gt;0.2,'Proposed Lighting'!P121,0)</f>
        <v>0</v>
      </c>
      <c r="I135" s="995">
        <f>'Proposed Lighting'!J121</f>
        <v>0</v>
      </c>
      <c r="J135" s="996"/>
      <c r="K135" s="996"/>
      <c r="L135" s="996"/>
      <c r="M135" s="996"/>
      <c r="N135" s="1005"/>
      <c r="O135" s="1296" t="str">
        <f>'Proposed Lighting'!Z121&amp;", "&amp;'Proposed Lighting'!EK121</f>
        <v xml:space="preserve">, </v>
      </c>
      <c r="P135" s="1292">
        <f>'Proposed Lighting'!T121</f>
        <v>0</v>
      </c>
      <c r="Q135" s="1293">
        <f>'Proposed Lighting'!AA121</f>
        <v>0</v>
      </c>
      <c r="R135" s="996"/>
      <c r="S135" s="1297">
        <f>IF('Proposed Lighting'!AR121=0,0,IF('Proposed Lighting'!AT121&gt;0.2,'Proposed Lighting'!AT121,0))</f>
        <v>0</v>
      </c>
      <c r="T135" s="997">
        <f>'Proposed Lighting'!X121</f>
        <v>0</v>
      </c>
      <c r="U135" s="998"/>
      <c r="V135" s="998"/>
      <c r="W135" s="1378">
        <f>IF('Proposed Lighting'!AF121=4,"WS",IF('Proposed Lighting'!AF121=5,"CM",IF('Proposed Lighting'!AF121=1.6,"PHOT",IF('Proposed Lighting'!AF121=1.5,"FM",IF('Proposed Lighting'!CT121=0.5,"LED-MS",IF('Proposed Lighting'!CB121&gt;1,"Non-S",IF('Proposed Lighting'!CT121=0.6,"LED-SS",IF('Proposed Lighting'!CT121=2,"LED-NW",IF('Proposed Lighting'!CT121=3,"LLLC",0)))))))))</f>
        <v>0</v>
      </c>
      <c r="X135" s="1293">
        <f>'Proposed Lighting'!EE121</f>
        <v>0</v>
      </c>
      <c r="Y135" s="1293">
        <f>'Proposed Lighting'!EF121</f>
        <v>0</v>
      </c>
    </row>
    <row r="136" spans="1:25" ht="50.1" customHeight="1">
      <c r="A136" s="1290">
        <v>114</v>
      </c>
      <c r="B136" s="1291">
        <f>'Proposed Lighting'!B122</f>
        <v>0</v>
      </c>
      <c r="C136" s="1291">
        <f>IF('Proposed Lighting'!M122="Sch 1","Sch 1",IF('Proposed Lighting'!M122="Sch 1-C", "Sch 1-C",IF('Proposed Lighting'!M122="Sch 2","Sch 2",IF('Proposed Lighting'!M122="Sch 2-C","Sch 2-C",IF('Proposed Lighting'!M122="Sch 3","Sch 3",IF('Proposed Lighting'!M122="Sch 3-C", "Sch 3-C",IF('Proposed Lighting'!M122="E", "E",IF('Proposed Lighting'!M122="E-C", "E-C",IF('Proposed Lighting'!M122="Dusk to Dawn","Sch D-D",IF('Proposed Lighting'!M122="Dusk to Dawn-C", "Sch DD-C",IF('Proposed Lighting'!M122="Seasonal", "SEA",IF('Proposed Lighting'!M122="Seasonal-C", "SEA-C",0))))))))))))</f>
        <v>0</v>
      </c>
      <c r="D136" s="1292">
        <f>'Proposed Lighting'!F122</f>
        <v>0</v>
      </c>
      <c r="E136" s="1293">
        <f>'Proposed Lighting'!N122</f>
        <v>0</v>
      </c>
      <c r="F136" s="996"/>
      <c r="G136" s="1294">
        <f>'Proposed Lighting'!K122</f>
        <v>0</v>
      </c>
      <c r="H136" s="1295">
        <f>IF('Proposed Lighting'!P122&gt;0.2,'Proposed Lighting'!P122,0)</f>
        <v>0</v>
      </c>
      <c r="I136" s="995">
        <f>'Proposed Lighting'!J122</f>
        <v>0</v>
      </c>
      <c r="J136" s="996"/>
      <c r="K136" s="996"/>
      <c r="L136" s="996"/>
      <c r="M136" s="996"/>
      <c r="N136" s="1005"/>
      <c r="O136" s="1296" t="str">
        <f>'Proposed Lighting'!Z122&amp;", "&amp;'Proposed Lighting'!EK122</f>
        <v xml:space="preserve">, </v>
      </c>
      <c r="P136" s="1292">
        <f>'Proposed Lighting'!T122</f>
        <v>0</v>
      </c>
      <c r="Q136" s="1293">
        <f>'Proposed Lighting'!AA122</f>
        <v>0</v>
      </c>
      <c r="R136" s="996"/>
      <c r="S136" s="1297">
        <f>IF('Proposed Lighting'!AR122=0,0,IF('Proposed Lighting'!AT122&gt;0.2,'Proposed Lighting'!AT122,0))</f>
        <v>0</v>
      </c>
      <c r="T136" s="997">
        <f>'Proposed Lighting'!X122</f>
        <v>0</v>
      </c>
      <c r="U136" s="998"/>
      <c r="V136" s="998"/>
      <c r="W136" s="1378">
        <f>IF('Proposed Lighting'!AF122=4,"WS",IF('Proposed Lighting'!AF122=5,"CM",IF('Proposed Lighting'!AF122=1.6,"PHOT",IF('Proposed Lighting'!AF122=1.5,"FM",IF('Proposed Lighting'!CT122=0.5,"LED-MS",IF('Proposed Lighting'!CB122&gt;1,"Non-S",IF('Proposed Lighting'!CT122=0.6,"LED-SS",IF('Proposed Lighting'!CT122=2,"LED-NW",IF('Proposed Lighting'!CT122=3,"LLLC",0)))))))))</f>
        <v>0</v>
      </c>
      <c r="X136" s="1293">
        <f>'Proposed Lighting'!EE122</f>
        <v>0</v>
      </c>
      <c r="Y136" s="1293">
        <f>'Proposed Lighting'!EF122</f>
        <v>0</v>
      </c>
    </row>
    <row r="137" spans="1:25" ht="50.1" customHeight="1">
      <c r="A137" s="1290">
        <v>115</v>
      </c>
      <c r="B137" s="1291">
        <f>'Proposed Lighting'!B123</f>
        <v>0</v>
      </c>
      <c r="C137" s="1291">
        <f>IF('Proposed Lighting'!M123="Sch 1","Sch 1",IF('Proposed Lighting'!M123="Sch 1-C", "Sch 1-C",IF('Proposed Lighting'!M123="Sch 2","Sch 2",IF('Proposed Lighting'!M123="Sch 2-C","Sch 2-C",IF('Proposed Lighting'!M123="Sch 3","Sch 3",IF('Proposed Lighting'!M123="Sch 3-C", "Sch 3-C",IF('Proposed Lighting'!M123="E", "E",IF('Proposed Lighting'!M123="E-C", "E-C",IF('Proposed Lighting'!M123="Dusk to Dawn","Sch D-D",IF('Proposed Lighting'!M123="Dusk to Dawn-C", "Sch DD-C",IF('Proposed Lighting'!M123="Seasonal", "SEA",IF('Proposed Lighting'!M123="Seasonal-C", "SEA-C",0))))))))))))</f>
        <v>0</v>
      </c>
      <c r="D137" s="1292">
        <f>'Proposed Lighting'!F123</f>
        <v>0</v>
      </c>
      <c r="E137" s="1293">
        <f>'Proposed Lighting'!N123</f>
        <v>0</v>
      </c>
      <c r="F137" s="996"/>
      <c r="G137" s="1294">
        <f>'Proposed Lighting'!K123</f>
        <v>0</v>
      </c>
      <c r="H137" s="1295">
        <f>IF('Proposed Lighting'!P123&gt;0.2,'Proposed Lighting'!P123,0)</f>
        <v>0</v>
      </c>
      <c r="I137" s="995">
        <f>'Proposed Lighting'!J123</f>
        <v>0</v>
      </c>
      <c r="J137" s="996"/>
      <c r="K137" s="996"/>
      <c r="L137" s="996"/>
      <c r="M137" s="996"/>
      <c r="N137" s="1005"/>
      <c r="O137" s="1296" t="str">
        <f>'Proposed Lighting'!Z123&amp;", "&amp;'Proposed Lighting'!EK123</f>
        <v xml:space="preserve">, </v>
      </c>
      <c r="P137" s="1292">
        <f>'Proposed Lighting'!T123</f>
        <v>0</v>
      </c>
      <c r="Q137" s="1293">
        <f>'Proposed Lighting'!AA123</f>
        <v>0</v>
      </c>
      <c r="R137" s="996"/>
      <c r="S137" s="1297">
        <f>IF('Proposed Lighting'!AR123=0,0,IF('Proposed Lighting'!AT123&gt;0.2,'Proposed Lighting'!AT123,0))</f>
        <v>0</v>
      </c>
      <c r="T137" s="997">
        <f>'Proposed Lighting'!X123</f>
        <v>0</v>
      </c>
      <c r="U137" s="998"/>
      <c r="V137" s="998"/>
      <c r="W137" s="1378">
        <f>IF('Proposed Lighting'!AF123=4,"WS",IF('Proposed Lighting'!AF123=5,"CM",IF('Proposed Lighting'!AF123=1.6,"PHOT",IF('Proposed Lighting'!AF123=1.5,"FM",IF('Proposed Lighting'!CT123=0.5,"LED-MS",IF('Proposed Lighting'!CB123&gt;1,"Non-S",IF('Proposed Lighting'!CT123=0.6,"LED-SS",IF('Proposed Lighting'!CT123=2,"LED-NW",IF('Proposed Lighting'!CT123=3,"LLLC",0)))))))))</f>
        <v>0</v>
      </c>
      <c r="X137" s="1293">
        <f>'Proposed Lighting'!EE123</f>
        <v>0</v>
      </c>
      <c r="Y137" s="1293">
        <f>'Proposed Lighting'!EF123</f>
        <v>0</v>
      </c>
    </row>
    <row r="138" spans="1:25" ht="50.1" customHeight="1">
      <c r="A138" s="1290">
        <v>116</v>
      </c>
      <c r="B138" s="1291">
        <f>'Proposed Lighting'!B124</f>
        <v>0</v>
      </c>
      <c r="C138" s="1291">
        <f>IF('Proposed Lighting'!M124="Sch 1","Sch 1",IF('Proposed Lighting'!M124="Sch 1-C", "Sch 1-C",IF('Proposed Lighting'!M124="Sch 2","Sch 2",IF('Proposed Lighting'!M124="Sch 2-C","Sch 2-C",IF('Proposed Lighting'!M124="Sch 3","Sch 3",IF('Proposed Lighting'!M124="Sch 3-C", "Sch 3-C",IF('Proposed Lighting'!M124="E", "E",IF('Proposed Lighting'!M124="E-C", "E-C",IF('Proposed Lighting'!M124="Dusk to Dawn","Sch D-D",IF('Proposed Lighting'!M124="Dusk to Dawn-C", "Sch DD-C",IF('Proposed Lighting'!M124="Seasonal", "SEA",IF('Proposed Lighting'!M124="Seasonal-C", "SEA-C",0))))))))))))</f>
        <v>0</v>
      </c>
      <c r="D138" s="1292">
        <f>'Proposed Lighting'!F124</f>
        <v>0</v>
      </c>
      <c r="E138" s="1293">
        <f>'Proposed Lighting'!N124</f>
        <v>0</v>
      </c>
      <c r="F138" s="996"/>
      <c r="G138" s="1294">
        <f>'Proposed Lighting'!K124</f>
        <v>0</v>
      </c>
      <c r="H138" s="1295">
        <f>IF('Proposed Lighting'!P124&gt;0.2,'Proposed Lighting'!P124,0)</f>
        <v>0</v>
      </c>
      <c r="I138" s="995">
        <f>'Proposed Lighting'!J124</f>
        <v>0</v>
      </c>
      <c r="J138" s="996"/>
      <c r="K138" s="996"/>
      <c r="L138" s="996"/>
      <c r="M138" s="996"/>
      <c r="N138" s="1005"/>
      <c r="O138" s="1296" t="str">
        <f>'Proposed Lighting'!Z124&amp;", "&amp;'Proposed Lighting'!EK124</f>
        <v xml:space="preserve">, </v>
      </c>
      <c r="P138" s="1292">
        <f>'Proposed Lighting'!T124</f>
        <v>0</v>
      </c>
      <c r="Q138" s="1293">
        <f>'Proposed Lighting'!AA124</f>
        <v>0</v>
      </c>
      <c r="R138" s="996"/>
      <c r="S138" s="1297">
        <f>IF('Proposed Lighting'!AR124=0,0,IF('Proposed Lighting'!AT124&gt;0.2,'Proposed Lighting'!AT124,0))</f>
        <v>0</v>
      </c>
      <c r="T138" s="997">
        <f>'Proposed Lighting'!X124</f>
        <v>0</v>
      </c>
      <c r="U138" s="998"/>
      <c r="V138" s="998"/>
      <c r="W138" s="1378">
        <f>IF('Proposed Lighting'!AF124=4,"WS",IF('Proposed Lighting'!AF124=5,"CM",IF('Proposed Lighting'!AF124=1.6,"PHOT",IF('Proposed Lighting'!AF124=1.5,"FM",IF('Proposed Lighting'!CT124=0.5,"LED-MS",IF('Proposed Lighting'!CB124&gt;1,"Non-S",IF('Proposed Lighting'!CT124=0.6,"LED-SS",IF('Proposed Lighting'!CT124=2,"LED-NW",IF('Proposed Lighting'!CT124=3,"LLLC",0)))))))))</f>
        <v>0</v>
      </c>
      <c r="X138" s="1293">
        <f>'Proposed Lighting'!EE124</f>
        <v>0</v>
      </c>
      <c r="Y138" s="1293">
        <f>'Proposed Lighting'!EF124</f>
        <v>0</v>
      </c>
    </row>
    <row r="139" spans="1:25" ht="50.1" customHeight="1">
      <c r="A139" s="1290">
        <v>117</v>
      </c>
      <c r="B139" s="1291">
        <f>'Proposed Lighting'!B125</f>
        <v>0</v>
      </c>
      <c r="C139" s="1291">
        <f>IF('Proposed Lighting'!M125="Sch 1","Sch 1",IF('Proposed Lighting'!M125="Sch 1-C", "Sch 1-C",IF('Proposed Lighting'!M125="Sch 2","Sch 2",IF('Proposed Lighting'!M125="Sch 2-C","Sch 2-C",IF('Proposed Lighting'!M125="Sch 3","Sch 3",IF('Proposed Lighting'!M125="Sch 3-C", "Sch 3-C",IF('Proposed Lighting'!M125="E", "E",IF('Proposed Lighting'!M125="E-C", "E-C",IF('Proposed Lighting'!M125="Dusk to Dawn","Sch D-D",IF('Proposed Lighting'!M125="Dusk to Dawn-C", "Sch DD-C",IF('Proposed Lighting'!M125="Seasonal", "SEA",IF('Proposed Lighting'!M125="Seasonal-C", "SEA-C",0))))))))))))</f>
        <v>0</v>
      </c>
      <c r="D139" s="1292">
        <f>'Proposed Lighting'!F125</f>
        <v>0</v>
      </c>
      <c r="E139" s="1293">
        <f>'Proposed Lighting'!N125</f>
        <v>0</v>
      </c>
      <c r="F139" s="996"/>
      <c r="G139" s="1294">
        <f>'Proposed Lighting'!K125</f>
        <v>0</v>
      </c>
      <c r="H139" s="1295">
        <f>IF('Proposed Lighting'!P125&gt;0.2,'Proposed Lighting'!P125,0)</f>
        <v>0</v>
      </c>
      <c r="I139" s="995">
        <f>'Proposed Lighting'!J125</f>
        <v>0</v>
      </c>
      <c r="J139" s="996"/>
      <c r="K139" s="996"/>
      <c r="L139" s="996"/>
      <c r="M139" s="996"/>
      <c r="N139" s="1005"/>
      <c r="O139" s="1296" t="str">
        <f>'Proposed Lighting'!Z125&amp;", "&amp;'Proposed Lighting'!EK125</f>
        <v xml:space="preserve">, </v>
      </c>
      <c r="P139" s="1292">
        <f>'Proposed Lighting'!T125</f>
        <v>0</v>
      </c>
      <c r="Q139" s="1293">
        <f>'Proposed Lighting'!AA125</f>
        <v>0</v>
      </c>
      <c r="R139" s="996"/>
      <c r="S139" s="1297">
        <f>IF('Proposed Lighting'!AR125=0,0,IF('Proposed Lighting'!AT125&gt;0.2,'Proposed Lighting'!AT125,0))</f>
        <v>0</v>
      </c>
      <c r="T139" s="997">
        <f>'Proposed Lighting'!X125</f>
        <v>0</v>
      </c>
      <c r="U139" s="998"/>
      <c r="V139" s="998"/>
      <c r="W139" s="1378">
        <f>IF('Proposed Lighting'!AF125=4,"WS",IF('Proposed Lighting'!AF125=5,"CM",IF('Proposed Lighting'!AF125=1.6,"PHOT",IF('Proposed Lighting'!AF125=1.5,"FM",IF('Proposed Lighting'!CT125=0.5,"LED-MS",IF('Proposed Lighting'!CB125&gt;1,"Non-S",IF('Proposed Lighting'!CT125=0.6,"LED-SS",IF('Proposed Lighting'!CT125=2,"LED-NW",IF('Proposed Lighting'!CT125=3,"LLLC",0)))))))))</f>
        <v>0</v>
      </c>
      <c r="X139" s="1293">
        <f>'Proposed Lighting'!EE125</f>
        <v>0</v>
      </c>
      <c r="Y139" s="1293">
        <f>'Proposed Lighting'!EF125</f>
        <v>0</v>
      </c>
    </row>
    <row r="140" spans="1:25" ht="50.1" customHeight="1">
      <c r="A140" s="1290">
        <v>118</v>
      </c>
      <c r="B140" s="1291">
        <f>'Proposed Lighting'!B126</f>
        <v>0</v>
      </c>
      <c r="C140" s="1291">
        <f>IF('Proposed Lighting'!M126="Sch 1","Sch 1",IF('Proposed Lighting'!M126="Sch 1-C", "Sch 1-C",IF('Proposed Lighting'!M126="Sch 2","Sch 2",IF('Proposed Lighting'!M126="Sch 2-C","Sch 2-C",IF('Proposed Lighting'!M126="Sch 3","Sch 3",IF('Proposed Lighting'!M126="Sch 3-C", "Sch 3-C",IF('Proposed Lighting'!M126="E", "E",IF('Proposed Lighting'!M126="E-C", "E-C",IF('Proposed Lighting'!M126="Dusk to Dawn","Sch D-D",IF('Proposed Lighting'!M126="Dusk to Dawn-C", "Sch DD-C",IF('Proposed Lighting'!M126="Seasonal", "SEA",IF('Proposed Lighting'!M126="Seasonal-C", "SEA-C",0))))))))))))</f>
        <v>0</v>
      </c>
      <c r="D140" s="1292">
        <f>'Proposed Lighting'!F126</f>
        <v>0</v>
      </c>
      <c r="E140" s="1293">
        <f>'Proposed Lighting'!N126</f>
        <v>0</v>
      </c>
      <c r="F140" s="996"/>
      <c r="G140" s="1294">
        <f>'Proposed Lighting'!K126</f>
        <v>0</v>
      </c>
      <c r="H140" s="1295">
        <f>IF('Proposed Lighting'!P126&gt;0.2,'Proposed Lighting'!P126,0)</f>
        <v>0</v>
      </c>
      <c r="I140" s="995">
        <f>'Proposed Lighting'!J126</f>
        <v>0</v>
      </c>
      <c r="J140" s="996"/>
      <c r="K140" s="996"/>
      <c r="L140" s="996"/>
      <c r="M140" s="996"/>
      <c r="N140" s="1005"/>
      <c r="O140" s="1296" t="str">
        <f>'Proposed Lighting'!Z126&amp;", "&amp;'Proposed Lighting'!EK126</f>
        <v xml:space="preserve">, </v>
      </c>
      <c r="P140" s="1292">
        <f>'Proposed Lighting'!T126</f>
        <v>0</v>
      </c>
      <c r="Q140" s="1293">
        <f>'Proposed Lighting'!AA126</f>
        <v>0</v>
      </c>
      <c r="R140" s="996"/>
      <c r="S140" s="1297">
        <f>IF('Proposed Lighting'!AR126=0,0,IF('Proposed Lighting'!AT126&gt;0.2,'Proposed Lighting'!AT126,0))</f>
        <v>0</v>
      </c>
      <c r="T140" s="997">
        <f>'Proposed Lighting'!X126</f>
        <v>0</v>
      </c>
      <c r="U140" s="998"/>
      <c r="V140" s="998"/>
      <c r="W140" s="1378">
        <f>IF('Proposed Lighting'!AF126=4,"WS",IF('Proposed Lighting'!AF126=5,"CM",IF('Proposed Lighting'!AF126=1.6,"PHOT",IF('Proposed Lighting'!AF126=1.5,"FM",IF('Proposed Lighting'!CT126=0.5,"LED-MS",IF('Proposed Lighting'!CB126&gt;1,"Non-S",IF('Proposed Lighting'!CT126=0.6,"LED-SS",IF('Proposed Lighting'!CT126=2,"LED-NW",IF('Proposed Lighting'!CT126=3,"LLLC",0)))))))))</f>
        <v>0</v>
      </c>
      <c r="X140" s="1293">
        <f>'Proposed Lighting'!EE126</f>
        <v>0</v>
      </c>
      <c r="Y140" s="1293">
        <f>'Proposed Lighting'!EF126</f>
        <v>0</v>
      </c>
    </row>
    <row r="141" spans="1:25" ht="50.1" customHeight="1">
      <c r="A141" s="1290">
        <v>119</v>
      </c>
      <c r="B141" s="1291">
        <f>'Proposed Lighting'!B127</f>
        <v>0</v>
      </c>
      <c r="C141" s="1291">
        <f>IF('Proposed Lighting'!M127="Sch 1","Sch 1",IF('Proposed Lighting'!M127="Sch 1-C", "Sch 1-C",IF('Proposed Lighting'!M127="Sch 2","Sch 2",IF('Proposed Lighting'!M127="Sch 2-C","Sch 2-C",IF('Proposed Lighting'!M127="Sch 3","Sch 3",IF('Proposed Lighting'!M127="Sch 3-C", "Sch 3-C",IF('Proposed Lighting'!M127="E", "E",IF('Proposed Lighting'!M127="E-C", "E-C",IF('Proposed Lighting'!M127="Dusk to Dawn","Sch D-D",IF('Proposed Lighting'!M127="Dusk to Dawn-C", "Sch DD-C",IF('Proposed Lighting'!M127="Seasonal", "SEA",IF('Proposed Lighting'!M127="Seasonal-C", "SEA-C",0))))))))))))</f>
        <v>0</v>
      </c>
      <c r="D141" s="1292">
        <f>'Proposed Lighting'!F127</f>
        <v>0</v>
      </c>
      <c r="E141" s="1293">
        <f>'Proposed Lighting'!N127</f>
        <v>0</v>
      </c>
      <c r="F141" s="996"/>
      <c r="G141" s="1294">
        <f>'Proposed Lighting'!K127</f>
        <v>0</v>
      </c>
      <c r="H141" s="1295">
        <f>IF('Proposed Lighting'!P127&gt;0.2,'Proposed Lighting'!P127,0)</f>
        <v>0</v>
      </c>
      <c r="I141" s="995">
        <f>'Proposed Lighting'!J127</f>
        <v>0</v>
      </c>
      <c r="J141" s="996"/>
      <c r="K141" s="996"/>
      <c r="L141" s="996"/>
      <c r="M141" s="996"/>
      <c r="N141" s="1005"/>
      <c r="O141" s="1296" t="str">
        <f>'Proposed Lighting'!Z127&amp;", "&amp;'Proposed Lighting'!EK127</f>
        <v xml:space="preserve">, </v>
      </c>
      <c r="P141" s="1292">
        <f>'Proposed Lighting'!T127</f>
        <v>0</v>
      </c>
      <c r="Q141" s="1293">
        <f>'Proposed Lighting'!AA127</f>
        <v>0</v>
      </c>
      <c r="R141" s="996"/>
      <c r="S141" s="1297">
        <f>IF('Proposed Lighting'!AR127=0,0,IF('Proposed Lighting'!AT127&gt;0.2,'Proposed Lighting'!AT127,0))</f>
        <v>0</v>
      </c>
      <c r="T141" s="997">
        <f>'Proposed Lighting'!X127</f>
        <v>0</v>
      </c>
      <c r="U141" s="998"/>
      <c r="V141" s="998"/>
      <c r="W141" s="1378">
        <f>IF('Proposed Lighting'!AF127=4,"WS",IF('Proposed Lighting'!AF127=5,"CM",IF('Proposed Lighting'!AF127=1.6,"PHOT",IF('Proposed Lighting'!AF127=1.5,"FM",IF('Proposed Lighting'!CT127=0.5,"LED-MS",IF('Proposed Lighting'!CB127&gt;1,"Non-S",IF('Proposed Lighting'!CT127=0.6,"LED-SS",IF('Proposed Lighting'!CT127=2,"LED-NW",IF('Proposed Lighting'!CT127=3,"LLLC",0)))))))))</f>
        <v>0</v>
      </c>
      <c r="X141" s="1293">
        <f>'Proposed Lighting'!EE127</f>
        <v>0</v>
      </c>
      <c r="Y141" s="1293">
        <f>'Proposed Lighting'!EF127</f>
        <v>0</v>
      </c>
    </row>
    <row r="142" spans="1:25" ht="50.1" customHeight="1">
      <c r="A142" s="1290">
        <v>120</v>
      </c>
      <c r="B142" s="1291">
        <f>'Proposed Lighting'!B128</f>
        <v>0</v>
      </c>
      <c r="C142" s="1291">
        <f>IF('Proposed Lighting'!M128="Sch 1","Sch 1",IF('Proposed Lighting'!M128="Sch 1-C", "Sch 1-C",IF('Proposed Lighting'!M128="Sch 2","Sch 2",IF('Proposed Lighting'!M128="Sch 2-C","Sch 2-C",IF('Proposed Lighting'!M128="Sch 3","Sch 3",IF('Proposed Lighting'!M128="Sch 3-C", "Sch 3-C",IF('Proposed Lighting'!M128="E", "E",IF('Proposed Lighting'!M128="E-C", "E-C",IF('Proposed Lighting'!M128="Dusk to Dawn","Sch D-D",IF('Proposed Lighting'!M128="Dusk to Dawn-C", "Sch DD-C",IF('Proposed Lighting'!M128="Seasonal", "SEA",IF('Proposed Lighting'!M128="Seasonal-C", "SEA-C",0))))))))))))</f>
        <v>0</v>
      </c>
      <c r="D142" s="1292">
        <f>'Proposed Lighting'!F128</f>
        <v>0</v>
      </c>
      <c r="E142" s="1293">
        <f>'Proposed Lighting'!N128</f>
        <v>0</v>
      </c>
      <c r="F142" s="996"/>
      <c r="G142" s="1294">
        <f>'Proposed Lighting'!K128</f>
        <v>0</v>
      </c>
      <c r="H142" s="1295">
        <f>IF('Proposed Lighting'!P128&gt;0.2,'Proposed Lighting'!P128,0)</f>
        <v>0</v>
      </c>
      <c r="I142" s="995">
        <f>'Proposed Lighting'!J128</f>
        <v>0</v>
      </c>
      <c r="J142" s="996"/>
      <c r="K142" s="996"/>
      <c r="L142" s="996"/>
      <c r="M142" s="996"/>
      <c r="N142" s="1005"/>
      <c r="O142" s="1296" t="str">
        <f>'Proposed Lighting'!Z128&amp;", "&amp;'Proposed Lighting'!EK128</f>
        <v xml:space="preserve">, </v>
      </c>
      <c r="P142" s="1292">
        <f>'Proposed Lighting'!T128</f>
        <v>0</v>
      </c>
      <c r="Q142" s="1293">
        <f>'Proposed Lighting'!AA128</f>
        <v>0</v>
      </c>
      <c r="R142" s="996"/>
      <c r="S142" s="1297">
        <f>IF('Proposed Lighting'!AR128=0,0,IF('Proposed Lighting'!AT128&gt;0.2,'Proposed Lighting'!AT128,0))</f>
        <v>0</v>
      </c>
      <c r="T142" s="997">
        <f>'Proposed Lighting'!X128</f>
        <v>0</v>
      </c>
      <c r="U142" s="998"/>
      <c r="V142" s="998"/>
      <c r="W142" s="1378">
        <f>IF('Proposed Lighting'!AF128=4,"WS",IF('Proposed Lighting'!AF128=5,"CM",IF('Proposed Lighting'!AF128=1.6,"PHOT",IF('Proposed Lighting'!AF128=1.5,"FM",IF('Proposed Lighting'!CT128=0.5,"LED-MS",IF('Proposed Lighting'!CB128&gt;1,"Non-S",IF('Proposed Lighting'!CT128=0.6,"LED-SS",IF('Proposed Lighting'!CT128=2,"LED-NW",IF('Proposed Lighting'!CT128=3,"LLLC",0)))))))))</f>
        <v>0</v>
      </c>
      <c r="X142" s="1293">
        <f>'Proposed Lighting'!EE128</f>
        <v>0</v>
      </c>
      <c r="Y142" s="1293">
        <f>'Proposed Lighting'!EF128</f>
        <v>0</v>
      </c>
    </row>
    <row r="143" spans="1:25" ht="50.1" customHeight="1">
      <c r="A143" s="1290">
        <v>121</v>
      </c>
      <c r="B143" s="1291">
        <f>'Proposed Lighting'!B129</f>
        <v>0</v>
      </c>
      <c r="C143" s="1291">
        <f>IF('Proposed Lighting'!M129="Sch 1","Sch 1",IF('Proposed Lighting'!M129="Sch 1-C", "Sch 1-C",IF('Proposed Lighting'!M129="Sch 2","Sch 2",IF('Proposed Lighting'!M129="Sch 2-C","Sch 2-C",IF('Proposed Lighting'!M129="Sch 3","Sch 3",IF('Proposed Lighting'!M129="Sch 3-C", "Sch 3-C",IF('Proposed Lighting'!M129="E", "E",IF('Proposed Lighting'!M129="E-C", "E-C",IF('Proposed Lighting'!M129="Dusk to Dawn","Sch D-D",IF('Proposed Lighting'!M129="Dusk to Dawn-C", "Sch DD-C",IF('Proposed Lighting'!M129="Seasonal", "SEA",IF('Proposed Lighting'!M129="Seasonal-C", "SEA-C",0))))))))))))</f>
        <v>0</v>
      </c>
      <c r="D143" s="1292">
        <f>'Proposed Lighting'!F129</f>
        <v>0</v>
      </c>
      <c r="E143" s="1293">
        <f>'Proposed Lighting'!N129</f>
        <v>0</v>
      </c>
      <c r="F143" s="996"/>
      <c r="G143" s="1294">
        <f>'Proposed Lighting'!K129</f>
        <v>0</v>
      </c>
      <c r="H143" s="1295">
        <f>IF('Proposed Lighting'!P129&gt;0.2,'Proposed Lighting'!P129,0)</f>
        <v>0</v>
      </c>
      <c r="I143" s="995">
        <f>'Proposed Lighting'!J129</f>
        <v>0</v>
      </c>
      <c r="J143" s="996"/>
      <c r="K143" s="996"/>
      <c r="L143" s="996"/>
      <c r="M143" s="996"/>
      <c r="N143" s="1005"/>
      <c r="O143" s="1296" t="str">
        <f>'Proposed Lighting'!Z129&amp;", "&amp;'Proposed Lighting'!EK129</f>
        <v xml:space="preserve">, </v>
      </c>
      <c r="P143" s="1292">
        <f>'Proposed Lighting'!T129</f>
        <v>0</v>
      </c>
      <c r="Q143" s="1293">
        <f>'Proposed Lighting'!AA129</f>
        <v>0</v>
      </c>
      <c r="R143" s="996"/>
      <c r="S143" s="1297">
        <f>IF('Proposed Lighting'!AR129=0,0,IF('Proposed Lighting'!AT129&gt;0.2,'Proposed Lighting'!AT129,0))</f>
        <v>0</v>
      </c>
      <c r="T143" s="997">
        <f>'Proposed Lighting'!X129</f>
        <v>0</v>
      </c>
      <c r="U143" s="998"/>
      <c r="V143" s="998"/>
      <c r="W143" s="1378">
        <f>IF('Proposed Lighting'!AF129=4,"WS",IF('Proposed Lighting'!AF129=5,"CM",IF('Proposed Lighting'!AF129=1.6,"PHOT",IF('Proposed Lighting'!AF129=1.5,"FM",IF('Proposed Lighting'!CT129=0.5,"LED-MS",IF('Proposed Lighting'!CB129&gt;1,"Non-S",IF('Proposed Lighting'!CT129=0.6,"LED-SS",IF('Proposed Lighting'!CT129=2,"LED-NW",IF('Proposed Lighting'!CT129=3,"LLLC",0)))))))))</f>
        <v>0</v>
      </c>
      <c r="X143" s="1293">
        <f>'Proposed Lighting'!EE129</f>
        <v>0</v>
      </c>
      <c r="Y143" s="1293">
        <f>'Proposed Lighting'!EF129</f>
        <v>0</v>
      </c>
    </row>
    <row r="144" spans="1:25" ht="50.1" customHeight="1">
      <c r="A144" s="1290">
        <v>122</v>
      </c>
      <c r="B144" s="1291">
        <f>'Proposed Lighting'!B130</f>
        <v>0</v>
      </c>
      <c r="C144" s="1291">
        <f>IF('Proposed Lighting'!M130="Sch 1","Sch 1",IF('Proposed Lighting'!M130="Sch 1-C", "Sch 1-C",IF('Proposed Lighting'!M130="Sch 2","Sch 2",IF('Proposed Lighting'!M130="Sch 2-C","Sch 2-C",IF('Proposed Lighting'!M130="Sch 3","Sch 3",IF('Proposed Lighting'!M130="Sch 3-C", "Sch 3-C",IF('Proposed Lighting'!M130="E", "E",IF('Proposed Lighting'!M130="E-C", "E-C",IF('Proposed Lighting'!M130="Dusk to Dawn","Sch D-D",IF('Proposed Lighting'!M130="Dusk to Dawn-C", "Sch DD-C",IF('Proposed Lighting'!M130="Seasonal", "SEA",IF('Proposed Lighting'!M130="Seasonal-C", "SEA-C",0))))))))))))</f>
        <v>0</v>
      </c>
      <c r="D144" s="1292">
        <f>'Proposed Lighting'!F130</f>
        <v>0</v>
      </c>
      <c r="E144" s="1293">
        <f>'Proposed Lighting'!N130</f>
        <v>0</v>
      </c>
      <c r="F144" s="996"/>
      <c r="G144" s="1294">
        <f>'Proposed Lighting'!K130</f>
        <v>0</v>
      </c>
      <c r="H144" s="1295">
        <f>IF('Proposed Lighting'!P130&gt;0.2,'Proposed Lighting'!P130,0)</f>
        <v>0</v>
      </c>
      <c r="I144" s="995">
        <f>'Proposed Lighting'!J130</f>
        <v>0</v>
      </c>
      <c r="J144" s="996"/>
      <c r="K144" s="996"/>
      <c r="L144" s="996"/>
      <c r="M144" s="996"/>
      <c r="N144" s="1005"/>
      <c r="O144" s="1296" t="str">
        <f>'Proposed Lighting'!Z130&amp;", "&amp;'Proposed Lighting'!EK130</f>
        <v xml:space="preserve">, </v>
      </c>
      <c r="P144" s="1292">
        <f>'Proposed Lighting'!T130</f>
        <v>0</v>
      </c>
      <c r="Q144" s="1293">
        <f>'Proposed Lighting'!AA130</f>
        <v>0</v>
      </c>
      <c r="R144" s="996"/>
      <c r="S144" s="1297">
        <f>IF('Proposed Lighting'!AR130=0,0,IF('Proposed Lighting'!AT130&gt;0.2,'Proposed Lighting'!AT130,0))</f>
        <v>0</v>
      </c>
      <c r="T144" s="997">
        <f>'Proposed Lighting'!X130</f>
        <v>0</v>
      </c>
      <c r="U144" s="998"/>
      <c r="V144" s="998"/>
      <c r="W144" s="1378">
        <f>IF('Proposed Lighting'!AF130=4,"WS",IF('Proposed Lighting'!AF130=5,"CM",IF('Proposed Lighting'!AF130=1.6,"PHOT",IF('Proposed Lighting'!AF130=1.5,"FM",IF('Proposed Lighting'!CT130=0.5,"LED-MS",IF('Proposed Lighting'!CB130&gt;1,"Non-S",IF('Proposed Lighting'!CT130=0.6,"LED-SS",IF('Proposed Lighting'!CT130=2,"LED-NW",IF('Proposed Lighting'!CT130=3,"LLLC",0)))))))))</f>
        <v>0</v>
      </c>
      <c r="X144" s="1293">
        <f>'Proposed Lighting'!EE130</f>
        <v>0</v>
      </c>
      <c r="Y144" s="1293">
        <f>'Proposed Lighting'!EF130</f>
        <v>0</v>
      </c>
    </row>
    <row r="145" spans="1:25" ht="50.1" customHeight="1">
      <c r="A145" s="1290">
        <v>123</v>
      </c>
      <c r="B145" s="1291">
        <f>'Proposed Lighting'!B131</f>
        <v>0</v>
      </c>
      <c r="C145" s="1291">
        <f>IF('Proposed Lighting'!M131="Sch 1","Sch 1",IF('Proposed Lighting'!M131="Sch 1-C", "Sch 1-C",IF('Proposed Lighting'!M131="Sch 2","Sch 2",IF('Proposed Lighting'!M131="Sch 2-C","Sch 2-C",IF('Proposed Lighting'!M131="Sch 3","Sch 3",IF('Proposed Lighting'!M131="Sch 3-C", "Sch 3-C",IF('Proposed Lighting'!M131="E", "E",IF('Proposed Lighting'!M131="E-C", "E-C",IF('Proposed Lighting'!M131="Dusk to Dawn","Sch D-D",IF('Proposed Lighting'!M131="Dusk to Dawn-C", "Sch DD-C",IF('Proposed Lighting'!M131="Seasonal", "SEA",IF('Proposed Lighting'!M131="Seasonal-C", "SEA-C",0))))))))))))</f>
        <v>0</v>
      </c>
      <c r="D145" s="1292">
        <f>'Proposed Lighting'!F131</f>
        <v>0</v>
      </c>
      <c r="E145" s="1293">
        <f>'Proposed Lighting'!N131</f>
        <v>0</v>
      </c>
      <c r="F145" s="996"/>
      <c r="G145" s="1294">
        <f>'Proposed Lighting'!K131</f>
        <v>0</v>
      </c>
      <c r="H145" s="1295">
        <f>IF('Proposed Lighting'!P131&gt;0.2,'Proposed Lighting'!P131,0)</f>
        <v>0</v>
      </c>
      <c r="I145" s="995">
        <f>'Proposed Lighting'!J131</f>
        <v>0</v>
      </c>
      <c r="J145" s="996"/>
      <c r="K145" s="996"/>
      <c r="L145" s="996"/>
      <c r="M145" s="996"/>
      <c r="N145" s="1005"/>
      <c r="O145" s="1296" t="str">
        <f>'Proposed Lighting'!Z131&amp;", "&amp;'Proposed Lighting'!EK131</f>
        <v xml:space="preserve">, </v>
      </c>
      <c r="P145" s="1292">
        <f>'Proposed Lighting'!T131</f>
        <v>0</v>
      </c>
      <c r="Q145" s="1293">
        <f>'Proposed Lighting'!AA131</f>
        <v>0</v>
      </c>
      <c r="R145" s="996"/>
      <c r="S145" s="1297">
        <f>IF('Proposed Lighting'!AR131=0,0,IF('Proposed Lighting'!AT131&gt;0.2,'Proposed Lighting'!AT131,0))</f>
        <v>0</v>
      </c>
      <c r="T145" s="997">
        <f>'Proposed Lighting'!X131</f>
        <v>0</v>
      </c>
      <c r="U145" s="998"/>
      <c r="V145" s="998"/>
      <c r="W145" s="1378">
        <f>IF('Proposed Lighting'!AF131=4,"WS",IF('Proposed Lighting'!AF131=5,"CM",IF('Proposed Lighting'!AF131=1.6,"PHOT",IF('Proposed Lighting'!AF131=1.5,"FM",IF('Proposed Lighting'!CT131=0.5,"LED-MS",IF('Proposed Lighting'!CB131&gt;1,"Non-S",IF('Proposed Lighting'!CT131=0.6,"LED-SS",IF('Proposed Lighting'!CT131=2,"LED-NW",IF('Proposed Lighting'!CT131=3,"LLLC",0)))))))))</f>
        <v>0</v>
      </c>
      <c r="X145" s="1293">
        <f>'Proposed Lighting'!EE131</f>
        <v>0</v>
      </c>
      <c r="Y145" s="1293">
        <f>'Proposed Lighting'!EF131</f>
        <v>0</v>
      </c>
    </row>
    <row r="146" spans="1:25" ht="50.1" customHeight="1">
      <c r="A146" s="1290">
        <v>124</v>
      </c>
      <c r="B146" s="1291">
        <f>'Proposed Lighting'!B132</f>
        <v>0</v>
      </c>
      <c r="C146" s="1291">
        <f>IF('Proposed Lighting'!M132="Sch 1","Sch 1",IF('Proposed Lighting'!M132="Sch 1-C", "Sch 1-C",IF('Proposed Lighting'!M132="Sch 2","Sch 2",IF('Proposed Lighting'!M132="Sch 2-C","Sch 2-C",IF('Proposed Lighting'!M132="Sch 3","Sch 3",IF('Proposed Lighting'!M132="Sch 3-C", "Sch 3-C",IF('Proposed Lighting'!M132="E", "E",IF('Proposed Lighting'!M132="E-C", "E-C",IF('Proposed Lighting'!M132="Dusk to Dawn","Sch D-D",IF('Proposed Lighting'!M132="Dusk to Dawn-C", "Sch DD-C",IF('Proposed Lighting'!M132="Seasonal", "SEA",IF('Proposed Lighting'!M132="Seasonal-C", "SEA-C",0))))))))))))</f>
        <v>0</v>
      </c>
      <c r="D146" s="1292">
        <f>'Proposed Lighting'!F132</f>
        <v>0</v>
      </c>
      <c r="E146" s="1293">
        <f>'Proposed Lighting'!N132</f>
        <v>0</v>
      </c>
      <c r="F146" s="996"/>
      <c r="G146" s="1294">
        <f>'Proposed Lighting'!K132</f>
        <v>0</v>
      </c>
      <c r="H146" s="1295">
        <f>IF('Proposed Lighting'!P132&gt;0.2,'Proposed Lighting'!P132,0)</f>
        <v>0</v>
      </c>
      <c r="I146" s="995">
        <f>'Proposed Lighting'!J132</f>
        <v>0</v>
      </c>
      <c r="J146" s="996"/>
      <c r="K146" s="996"/>
      <c r="L146" s="996"/>
      <c r="M146" s="996"/>
      <c r="N146" s="1005"/>
      <c r="O146" s="1296" t="str">
        <f>'Proposed Lighting'!Z132&amp;", "&amp;'Proposed Lighting'!EK132</f>
        <v xml:space="preserve">, </v>
      </c>
      <c r="P146" s="1292">
        <f>'Proposed Lighting'!T132</f>
        <v>0</v>
      </c>
      <c r="Q146" s="1293">
        <f>'Proposed Lighting'!AA132</f>
        <v>0</v>
      </c>
      <c r="R146" s="996"/>
      <c r="S146" s="1297">
        <f>IF('Proposed Lighting'!AR132=0,0,IF('Proposed Lighting'!AT132&gt;0.2,'Proposed Lighting'!AT132,0))</f>
        <v>0</v>
      </c>
      <c r="T146" s="997">
        <f>'Proposed Lighting'!X132</f>
        <v>0</v>
      </c>
      <c r="U146" s="998"/>
      <c r="V146" s="998"/>
      <c r="W146" s="1378">
        <f>IF('Proposed Lighting'!AF132=4,"WS",IF('Proposed Lighting'!AF132=5,"CM",IF('Proposed Lighting'!AF132=1.6,"PHOT",IF('Proposed Lighting'!AF132=1.5,"FM",IF('Proposed Lighting'!CT132=0.5,"LED-MS",IF('Proposed Lighting'!CB132&gt;1,"Non-S",IF('Proposed Lighting'!CT132=0.6,"LED-SS",IF('Proposed Lighting'!CT132=2,"LED-NW",IF('Proposed Lighting'!CT132=3,"LLLC",0)))))))))</f>
        <v>0</v>
      </c>
      <c r="X146" s="1293">
        <f>'Proposed Lighting'!EE132</f>
        <v>0</v>
      </c>
      <c r="Y146" s="1293">
        <f>'Proposed Lighting'!EF132</f>
        <v>0</v>
      </c>
    </row>
    <row r="147" spans="1:25" ht="50.1" customHeight="1">
      <c r="A147" s="1290">
        <v>125</v>
      </c>
      <c r="B147" s="1291">
        <f>'Proposed Lighting'!B133</f>
        <v>0</v>
      </c>
      <c r="C147" s="1291">
        <f>IF('Proposed Lighting'!M133="Sch 1","Sch 1",IF('Proposed Lighting'!M133="Sch 1-C", "Sch 1-C",IF('Proposed Lighting'!M133="Sch 2","Sch 2",IF('Proposed Lighting'!M133="Sch 2-C","Sch 2-C",IF('Proposed Lighting'!M133="Sch 3","Sch 3",IF('Proposed Lighting'!M133="Sch 3-C", "Sch 3-C",IF('Proposed Lighting'!M133="E", "E",IF('Proposed Lighting'!M133="E-C", "E-C",IF('Proposed Lighting'!M133="Dusk to Dawn","Sch D-D",IF('Proposed Lighting'!M133="Dusk to Dawn-C", "Sch DD-C",IF('Proposed Lighting'!M133="Seasonal", "SEA",IF('Proposed Lighting'!M133="Seasonal-C", "SEA-C",0))))))))))))</f>
        <v>0</v>
      </c>
      <c r="D147" s="1292">
        <f>'Proposed Lighting'!F133</f>
        <v>0</v>
      </c>
      <c r="E147" s="1293">
        <f>'Proposed Lighting'!N133</f>
        <v>0</v>
      </c>
      <c r="F147" s="996"/>
      <c r="G147" s="1294">
        <f>'Proposed Lighting'!K133</f>
        <v>0</v>
      </c>
      <c r="H147" s="1295">
        <f>IF('Proposed Lighting'!P133&gt;0.2,'Proposed Lighting'!P133,0)</f>
        <v>0</v>
      </c>
      <c r="I147" s="995">
        <f>'Proposed Lighting'!J133</f>
        <v>0</v>
      </c>
      <c r="J147" s="996"/>
      <c r="K147" s="996"/>
      <c r="L147" s="996"/>
      <c r="M147" s="996"/>
      <c r="N147" s="1005"/>
      <c r="O147" s="1296" t="str">
        <f>'Proposed Lighting'!Z133&amp;", "&amp;'Proposed Lighting'!EK133</f>
        <v xml:space="preserve">, </v>
      </c>
      <c r="P147" s="1292">
        <f>'Proposed Lighting'!T133</f>
        <v>0</v>
      </c>
      <c r="Q147" s="1293">
        <f>'Proposed Lighting'!AA133</f>
        <v>0</v>
      </c>
      <c r="R147" s="996"/>
      <c r="S147" s="1297">
        <f>IF('Proposed Lighting'!AR133=0,0,IF('Proposed Lighting'!AT133&gt;0.2,'Proposed Lighting'!AT133,0))</f>
        <v>0</v>
      </c>
      <c r="T147" s="997">
        <f>'Proposed Lighting'!X133</f>
        <v>0</v>
      </c>
      <c r="U147" s="998"/>
      <c r="V147" s="998"/>
      <c r="W147" s="1378">
        <f>IF('Proposed Lighting'!AF133=4,"WS",IF('Proposed Lighting'!AF133=5,"CM",IF('Proposed Lighting'!AF133=1.6,"PHOT",IF('Proposed Lighting'!AF133=1.5,"FM",IF('Proposed Lighting'!CT133=0.5,"LED-MS",IF('Proposed Lighting'!CB133&gt;1,"Non-S",IF('Proposed Lighting'!CT133=0.6,"LED-SS",IF('Proposed Lighting'!CT133=2,"LED-NW",IF('Proposed Lighting'!CT133=3,"LLLC",0)))))))))</f>
        <v>0</v>
      </c>
      <c r="X147" s="1293">
        <f>'Proposed Lighting'!EE133</f>
        <v>0</v>
      </c>
      <c r="Y147" s="1293">
        <f>'Proposed Lighting'!EF133</f>
        <v>0</v>
      </c>
    </row>
    <row r="148" spans="1:25" ht="50.1" customHeight="1">
      <c r="A148" s="1290">
        <v>126</v>
      </c>
      <c r="B148" s="1291">
        <f>'Proposed Lighting'!B134</f>
        <v>0</v>
      </c>
      <c r="C148" s="1291">
        <f>IF('Proposed Lighting'!M134="Sch 1","Sch 1",IF('Proposed Lighting'!M134="Sch 1-C", "Sch 1-C",IF('Proposed Lighting'!M134="Sch 2","Sch 2",IF('Proposed Lighting'!M134="Sch 2-C","Sch 2-C",IF('Proposed Lighting'!M134="Sch 3","Sch 3",IF('Proposed Lighting'!M134="Sch 3-C", "Sch 3-C",IF('Proposed Lighting'!M134="E", "E",IF('Proposed Lighting'!M134="E-C", "E-C",IF('Proposed Lighting'!M134="Dusk to Dawn","Sch D-D",IF('Proposed Lighting'!M134="Dusk to Dawn-C", "Sch DD-C",IF('Proposed Lighting'!M134="Seasonal", "SEA",IF('Proposed Lighting'!M134="Seasonal-C", "SEA-C",0))))))))))))</f>
        <v>0</v>
      </c>
      <c r="D148" s="1292">
        <f>'Proposed Lighting'!F134</f>
        <v>0</v>
      </c>
      <c r="E148" s="1293">
        <f>'Proposed Lighting'!N134</f>
        <v>0</v>
      </c>
      <c r="F148" s="996"/>
      <c r="G148" s="1294">
        <f>'Proposed Lighting'!K134</f>
        <v>0</v>
      </c>
      <c r="H148" s="1295">
        <f>IF('Proposed Lighting'!P134&gt;0.2,'Proposed Lighting'!P134,0)</f>
        <v>0</v>
      </c>
      <c r="I148" s="995">
        <f>'Proposed Lighting'!J134</f>
        <v>0</v>
      </c>
      <c r="J148" s="996"/>
      <c r="K148" s="996"/>
      <c r="L148" s="996"/>
      <c r="M148" s="996"/>
      <c r="N148" s="1005"/>
      <c r="O148" s="1296" t="str">
        <f>'Proposed Lighting'!Z134&amp;", "&amp;'Proposed Lighting'!EK134</f>
        <v xml:space="preserve">, </v>
      </c>
      <c r="P148" s="1292">
        <f>'Proposed Lighting'!T134</f>
        <v>0</v>
      </c>
      <c r="Q148" s="1293">
        <f>'Proposed Lighting'!AA134</f>
        <v>0</v>
      </c>
      <c r="R148" s="996"/>
      <c r="S148" s="1297">
        <f>IF('Proposed Lighting'!AR134=0,0,IF('Proposed Lighting'!AT134&gt;0.2,'Proposed Lighting'!AT134,0))</f>
        <v>0</v>
      </c>
      <c r="T148" s="997">
        <f>'Proposed Lighting'!X134</f>
        <v>0</v>
      </c>
      <c r="U148" s="998"/>
      <c r="V148" s="998"/>
      <c r="W148" s="1378">
        <f>IF('Proposed Lighting'!AF134=4,"WS",IF('Proposed Lighting'!AF134=5,"CM",IF('Proposed Lighting'!AF134=1.6,"PHOT",IF('Proposed Lighting'!AF134=1.5,"FM",IF('Proposed Lighting'!CT134=0.5,"LED-MS",IF('Proposed Lighting'!CB134&gt;1,"Non-S",IF('Proposed Lighting'!CT134=0.6,"LED-SS",IF('Proposed Lighting'!CT134=2,"LED-NW",IF('Proposed Lighting'!CT134=3,"LLLC",0)))))))))</f>
        <v>0</v>
      </c>
      <c r="X148" s="1293">
        <f>'Proposed Lighting'!EE134</f>
        <v>0</v>
      </c>
      <c r="Y148" s="1293">
        <f>'Proposed Lighting'!EF134</f>
        <v>0</v>
      </c>
    </row>
    <row r="149" spans="1:25" ht="50.1" customHeight="1">
      <c r="A149" s="1290">
        <v>127</v>
      </c>
      <c r="B149" s="1291">
        <f>'Proposed Lighting'!B135</f>
        <v>0</v>
      </c>
      <c r="C149" s="1291">
        <f>IF('Proposed Lighting'!M135="Sch 1","Sch 1",IF('Proposed Lighting'!M135="Sch 1-C", "Sch 1-C",IF('Proposed Lighting'!M135="Sch 2","Sch 2",IF('Proposed Lighting'!M135="Sch 2-C","Sch 2-C",IF('Proposed Lighting'!M135="Sch 3","Sch 3",IF('Proposed Lighting'!M135="Sch 3-C", "Sch 3-C",IF('Proposed Lighting'!M135="E", "E",IF('Proposed Lighting'!M135="E-C", "E-C",IF('Proposed Lighting'!M135="Dusk to Dawn","Sch D-D",IF('Proposed Lighting'!M135="Dusk to Dawn-C", "Sch DD-C",IF('Proposed Lighting'!M135="Seasonal", "SEA",IF('Proposed Lighting'!M135="Seasonal-C", "SEA-C",0))))))))))))</f>
        <v>0</v>
      </c>
      <c r="D149" s="1292">
        <f>'Proposed Lighting'!F135</f>
        <v>0</v>
      </c>
      <c r="E149" s="1293">
        <f>'Proposed Lighting'!N135</f>
        <v>0</v>
      </c>
      <c r="F149" s="996"/>
      <c r="G149" s="1294">
        <f>'Proposed Lighting'!K135</f>
        <v>0</v>
      </c>
      <c r="H149" s="1295">
        <f>IF('Proposed Lighting'!P135&gt;0.2,'Proposed Lighting'!P135,0)</f>
        <v>0</v>
      </c>
      <c r="I149" s="995">
        <f>'Proposed Lighting'!J135</f>
        <v>0</v>
      </c>
      <c r="J149" s="996"/>
      <c r="K149" s="996"/>
      <c r="L149" s="996"/>
      <c r="M149" s="996"/>
      <c r="N149" s="1005"/>
      <c r="O149" s="1296" t="str">
        <f>'Proposed Lighting'!Z135&amp;", "&amp;'Proposed Lighting'!EK135</f>
        <v xml:space="preserve">, </v>
      </c>
      <c r="P149" s="1292">
        <f>'Proposed Lighting'!T135</f>
        <v>0</v>
      </c>
      <c r="Q149" s="1293">
        <f>'Proposed Lighting'!AA135</f>
        <v>0</v>
      </c>
      <c r="R149" s="996"/>
      <c r="S149" s="1297">
        <f>IF('Proposed Lighting'!AR135=0,0,IF('Proposed Lighting'!AT135&gt;0.2,'Proposed Lighting'!AT135,0))</f>
        <v>0</v>
      </c>
      <c r="T149" s="997">
        <f>'Proposed Lighting'!X135</f>
        <v>0</v>
      </c>
      <c r="U149" s="998"/>
      <c r="V149" s="998"/>
      <c r="W149" s="1378">
        <f>IF('Proposed Lighting'!AF135=4,"WS",IF('Proposed Lighting'!AF135=5,"CM",IF('Proposed Lighting'!AF135=1.6,"PHOT",IF('Proposed Lighting'!AF135=1.5,"FM",IF('Proposed Lighting'!CT135=0.5,"LED-MS",IF('Proposed Lighting'!CB135&gt;1,"Non-S",IF('Proposed Lighting'!CT135=0.6,"LED-SS",IF('Proposed Lighting'!CT135=2,"LED-NW",IF('Proposed Lighting'!CT135=3,"LLLC",0)))))))))</f>
        <v>0</v>
      </c>
      <c r="X149" s="1293">
        <f>'Proposed Lighting'!EE135</f>
        <v>0</v>
      </c>
      <c r="Y149" s="1293">
        <f>'Proposed Lighting'!EF135</f>
        <v>0</v>
      </c>
    </row>
    <row r="150" spans="1:25" ht="50.1" customHeight="1">
      <c r="A150" s="1290">
        <v>128</v>
      </c>
      <c r="B150" s="1291">
        <f>'Proposed Lighting'!B136</f>
        <v>0</v>
      </c>
      <c r="C150" s="1291">
        <f>IF('Proposed Lighting'!M136="Sch 1","Sch 1",IF('Proposed Lighting'!M136="Sch 1-C", "Sch 1-C",IF('Proposed Lighting'!M136="Sch 2","Sch 2",IF('Proposed Lighting'!M136="Sch 2-C","Sch 2-C",IF('Proposed Lighting'!M136="Sch 3","Sch 3",IF('Proposed Lighting'!M136="Sch 3-C", "Sch 3-C",IF('Proposed Lighting'!M136="E", "E",IF('Proposed Lighting'!M136="E-C", "E-C",IF('Proposed Lighting'!M136="Dusk to Dawn","Sch D-D",IF('Proposed Lighting'!M136="Dusk to Dawn-C", "Sch DD-C",IF('Proposed Lighting'!M136="Seasonal", "SEA",IF('Proposed Lighting'!M136="Seasonal-C", "SEA-C",0))))))))))))</f>
        <v>0</v>
      </c>
      <c r="D150" s="1292">
        <f>'Proposed Lighting'!F136</f>
        <v>0</v>
      </c>
      <c r="E150" s="1293">
        <f>'Proposed Lighting'!N136</f>
        <v>0</v>
      </c>
      <c r="F150" s="996"/>
      <c r="G150" s="1294">
        <f>'Proposed Lighting'!K136</f>
        <v>0</v>
      </c>
      <c r="H150" s="1295">
        <f>IF('Proposed Lighting'!P136&gt;0.2,'Proposed Lighting'!P136,0)</f>
        <v>0</v>
      </c>
      <c r="I150" s="995">
        <f>'Proposed Lighting'!J136</f>
        <v>0</v>
      </c>
      <c r="J150" s="996"/>
      <c r="K150" s="996"/>
      <c r="L150" s="996"/>
      <c r="M150" s="996"/>
      <c r="N150" s="1005"/>
      <c r="O150" s="1296" t="str">
        <f>'Proposed Lighting'!Z136&amp;", "&amp;'Proposed Lighting'!EK136</f>
        <v xml:space="preserve">, </v>
      </c>
      <c r="P150" s="1292">
        <f>'Proposed Lighting'!T136</f>
        <v>0</v>
      </c>
      <c r="Q150" s="1293">
        <f>'Proposed Lighting'!AA136</f>
        <v>0</v>
      </c>
      <c r="R150" s="996"/>
      <c r="S150" s="1297">
        <f>IF('Proposed Lighting'!AR136=0,0,IF('Proposed Lighting'!AT136&gt;0.2,'Proposed Lighting'!AT136,0))</f>
        <v>0</v>
      </c>
      <c r="T150" s="997">
        <f>'Proposed Lighting'!X136</f>
        <v>0</v>
      </c>
      <c r="U150" s="998"/>
      <c r="V150" s="998"/>
      <c r="W150" s="1378">
        <f>IF('Proposed Lighting'!AF136=4,"WS",IF('Proposed Lighting'!AF136=5,"CM",IF('Proposed Lighting'!AF136=1.6,"PHOT",IF('Proposed Lighting'!AF136=1.5,"FM",IF('Proposed Lighting'!CT136=0.5,"LED-MS",IF('Proposed Lighting'!CB136&gt;1,"Non-S",IF('Proposed Lighting'!CT136=0.6,"LED-SS",IF('Proposed Lighting'!CT136=2,"LED-NW",IF('Proposed Lighting'!CT136=3,"LLLC",0)))))))))</f>
        <v>0</v>
      </c>
      <c r="X150" s="1293">
        <f>'Proposed Lighting'!EE136</f>
        <v>0</v>
      </c>
      <c r="Y150" s="1293">
        <f>'Proposed Lighting'!EF136</f>
        <v>0</v>
      </c>
    </row>
    <row r="151" spans="1:25" ht="50.1" customHeight="1">
      <c r="A151" s="1290">
        <v>129</v>
      </c>
      <c r="B151" s="1291">
        <f>'Proposed Lighting'!B137</f>
        <v>0</v>
      </c>
      <c r="C151" s="1291">
        <f>IF('Proposed Lighting'!M137="Sch 1","Sch 1",IF('Proposed Lighting'!M137="Sch 1-C", "Sch 1-C",IF('Proposed Lighting'!M137="Sch 2","Sch 2",IF('Proposed Lighting'!M137="Sch 2-C","Sch 2-C",IF('Proposed Lighting'!M137="Sch 3","Sch 3",IF('Proposed Lighting'!M137="Sch 3-C", "Sch 3-C",IF('Proposed Lighting'!M137="E", "E",IF('Proposed Lighting'!M137="E-C", "E-C",IF('Proposed Lighting'!M137="Dusk to Dawn","Sch D-D",IF('Proposed Lighting'!M137="Dusk to Dawn-C", "Sch DD-C",IF('Proposed Lighting'!M137="Seasonal", "SEA",IF('Proposed Lighting'!M137="Seasonal-C", "SEA-C",0))))))))))))</f>
        <v>0</v>
      </c>
      <c r="D151" s="1292">
        <f>'Proposed Lighting'!F137</f>
        <v>0</v>
      </c>
      <c r="E151" s="1293">
        <f>'Proposed Lighting'!N137</f>
        <v>0</v>
      </c>
      <c r="F151" s="996"/>
      <c r="G151" s="1294">
        <f>'Proposed Lighting'!K137</f>
        <v>0</v>
      </c>
      <c r="H151" s="1295">
        <f>IF('Proposed Lighting'!P137&gt;0.2,'Proposed Lighting'!P137,0)</f>
        <v>0</v>
      </c>
      <c r="I151" s="995">
        <f>'Proposed Lighting'!J137</f>
        <v>0</v>
      </c>
      <c r="J151" s="996"/>
      <c r="K151" s="996"/>
      <c r="L151" s="996"/>
      <c r="M151" s="996"/>
      <c r="N151" s="1005"/>
      <c r="O151" s="1296" t="str">
        <f>'Proposed Lighting'!Z137&amp;", "&amp;'Proposed Lighting'!EK137</f>
        <v xml:space="preserve">, </v>
      </c>
      <c r="P151" s="1292">
        <f>'Proposed Lighting'!T137</f>
        <v>0</v>
      </c>
      <c r="Q151" s="1293">
        <f>'Proposed Lighting'!AA137</f>
        <v>0</v>
      </c>
      <c r="R151" s="996"/>
      <c r="S151" s="1297">
        <f>IF('Proposed Lighting'!AR137=0,0,IF('Proposed Lighting'!AT137&gt;0.2,'Proposed Lighting'!AT137,0))</f>
        <v>0</v>
      </c>
      <c r="T151" s="997">
        <f>'Proposed Lighting'!X137</f>
        <v>0</v>
      </c>
      <c r="U151" s="998"/>
      <c r="V151" s="998"/>
      <c r="W151" s="1378">
        <f>IF('Proposed Lighting'!AF137=4,"WS",IF('Proposed Lighting'!AF137=5,"CM",IF('Proposed Lighting'!AF137=1.6,"PHOT",IF('Proposed Lighting'!AF137=1.5,"FM",IF('Proposed Lighting'!CT137=0.5,"LED-MS",IF('Proposed Lighting'!CB137&gt;1,"Non-S",IF('Proposed Lighting'!CT137=0.6,"LED-SS",IF('Proposed Lighting'!CT137=2,"LED-NW",IF('Proposed Lighting'!CT137=3,"LLLC",0)))))))))</f>
        <v>0</v>
      </c>
      <c r="X151" s="1293">
        <f>'Proposed Lighting'!EE137</f>
        <v>0</v>
      </c>
      <c r="Y151" s="1293">
        <f>'Proposed Lighting'!EF137</f>
        <v>0</v>
      </c>
    </row>
    <row r="152" spans="1:25" ht="50.1" customHeight="1">
      <c r="A152" s="1290">
        <v>130</v>
      </c>
      <c r="B152" s="1291">
        <f>'Proposed Lighting'!B138</f>
        <v>0</v>
      </c>
      <c r="C152" s="1291">
        <f>IF('Proposed Lighting'!M138="Sch 1","Sch 1",IF('Proposed Lighting'!M138="Sch 1-C", "Sch 1-C",IF('Proposed Lighting'!M138="Sch 2","Sch 2",IF('Proposed Lighting'!M138="Sch 2-C","Sch 2-C",IF('Proposed Lighting'!M138="Sch 3","Sch 3",IF('Proposed Lighting'!M138="Sch 3-C", "Sch 3-C",IF('Proposed Lighting'!M138="E", "E",IF('Proposed Lighting'!M138="E-C", "E-C",IF('Proposed Lighting'!M138="Dusk to Dawn","Sch D-D",IF('Proposed Lighting'!M138="Dusk to Dawn-C", "Sch DD-C",IF('Proposed Lighting'!M138="Seasonal", "SEA",IF('Proposed Lighting'!M138="Seasonal-C", "SEA-C",0))))))))))))</f>
        <v>0</v>
      </c>
      <c r="D152" s="1292">
        <f>'Proposed Lighting'!F138</f>
        <v>0</v>
      </c>
      <c r="E152" s="1293">
        <f>'Proposed Lighting'!N138</f>
        <v>0</v>
      </c>
      <c r="F152" s="996"/>
      <c r="G152" s="1294">
        <f>'Proposed Lighting'!K138</f>
        <v>0</v>
      </c>
      <c r="H152" s="1295">
        <f>IF('Proposed Lighting'!P138&gt;0.2,'Proposed Lighting'!P138,0)</f>
        <v>0</v>
      </c>
      <c r="I152" s="995">
        <f>'Proposed Lighting'!J138</f>
        <v>0</v>
      </c>
      <c r="J152" s="996"/>
      <c r="K152" s="996"/>
      <c r="L152" s="996"/>
      <c r="M152" s="996"/>
      <c r="N152" s="1005"/>
      <c r="O152" s="1296" t="str">
        <f>'Proposed Lighting'!Z138&amp;", "&amp;'Proposed Lighting'!EK138</f>
        <v xml:space="preserve">, </v>
      </c>
      <c r="P152" s="1292">
        <f>'Proposed Lighting'!T138</f>
        <v>0</v>
      </c>
      <c r="Q152" s="1293">
        <f>'Proposed Lighting'!AA138</f>
        <v>0</v>
      </c>
      <c r="R152" s="996"/>
      <c r="S152" s="1297">
        <f>IF('Proposed Lighting'!AR138=0,0,IF('Proposed Lighting'!AT138&gt;0.2,'Proposed Lighting'!AT138,0))</f>
        <v>0</v>
      </c>
      <c r="T152" s="997">
        <f>'Proposed Lighting'!X138</f>
        <v>0</v>
      </c>
      <c r="U152" s="998"/>
      <c r="V152" s="998"/>
      <c r="W152" s="1378">
        <f>IF('Proposed Lighting'!AF138=4,"WS",IF('Proposed Lighting'!AF138=5,"CM",IF('Proposed Lighting'!AF138=1.6,"PHOT",IF('Proposed Lighting'!AF138=1.5,"FM",IF('Proposed Lighting'!CT138=0.5,"LED-MS",IF('Proposed Lighting'!CB138&gt;1,"Non-S",IF('Proposed Lighting'!CT138=0.6,"LED-SS",IF('Proposed Lighting'!CT138=2,"LED-NW",IF('Proposed Lighting'!CT138=3,"LLLC",0)))))))))</f>
        <v>0</v>
      </c>
      <c r="X152" s="1293">
        <f>'Proposed Lighting'!EE138</f>
        <v>0</v>
      </c>
      <c r="Y152" s="1293">
        <f>'Proposed Lighting'!EF138</f>
        <v>0</v>
      </c>
    </row>
    <row r="153" spans="1:25" ht="50.1" customHeight="1">
      <c r="A153" s="1290">
        <v>131</v>
      </c>
      <c r="B153" s="1291">
        <f>'Proposed Lighting'!B139</f>
        <v>0</v>
      </c>
      <c r="C153" s="1291">
        <f>IF('Proposed Lighting'!M139="Sch 1","Sch 1",IF('Proposed Lighting'!M139="Sch 1-C", "Sch 1-C",IF('Proposed Lighting'!M139="Sch 2","Sch 2",IF('Proposed Lighting'!M139="Sch 2-C","Sch 2-C",IF('Proposed Lighting'!M139="Sch 3","Sch 3",IF('Proposed Lighting'!M139="Sch 3-C", "Sch 3-C",IF('Proposed Lighting'!M139="E", "E",IF('Proposed Lighting'!M139="E-C", "E-C",IF('Proposed Lighting'!M139="Dusk to Dawn","Sch D-D",IF('Proposed Lighting'!M139="Dusk to Dawn-C", "Sch DD-C",IF('Proposed Lighting'!M139="Seasonal", "SEA",IF('Proposed Lighting'!M139="Seasonal-C", "SEA-C",0))))))))))))</f>
        <v>0</v>
      </c>
      <c r="D153" s="1292">
        <f>'Proposed Lighting'!F139</f>
        <v>0</v>
      </c>
      <c r="E153" s="1293">
        <f>'Proposed Lighting'!N139</f>
        <v>0</v>
      </c>
      <c r="F153" s="996"/>
      <c r="G153" s="1294">
        <f>'Proposed Lighting'!K139</f>
        <v>0</v>
      </c>
      <c r="H153" s="1295">
        <f>IF('Proposed Lighting'!P139&gt;0.2,'Proposed Lighting'!P139,0)</f>
        <v>0</v>
      </c>
      <c r="I153" s="995">
        <f>'Proposed Lighting'!J139</f>
        <v>0</v>
      </c>
      <c r="J153" s="996"/>
      <c r="K153" s="996"/>
      <c r="L153" s="996"/>
      <c r="M153" s="996"/>
      <c r="N153" s="1005"/>
      <c r="O153" s="1296" t="str">
        <f>'Proposed Lighting'!Z139&amp;", "&amp;'Proposed Lighting'!EK139</f>
        <v xml:space="preserve">, </v>
      </c>
      <c r="P153" s="1292">
        <f>'Proposed Lighting'!T139</f>
        <v>0</v>
      </c>
      <c r="Q153" s="1293">
        <f>'Proposed Lighting'!AA139</f>
        <v>0</v>
      </c>
      <c r="R153" s="996"/>
      <c r="S153" s="1297">
        <f>IF('Proposed Lighting'!AR139=0,0,IF('Proposed Lighting'!AT139&gt;0.2,'Proposed Lighting'!AT139,0))</f>
        <v>0</v>
      </c>
      <c r="T153" s="997">
        <f>'Proposed Lighting'!X139</f>
        <v>0</v>
      </c>
      <c r="U153" s="998"/>
      <c r="V153" s="998"/>
      <c r="W153" s="1378">
        <f>IF('Proposed Lighting'!AF139=4,"WS",IF('Proposed Lighting'!AF139=5,"CM",IF('Proposed Lighting'!AF139=1.6,"PHOT",IF('Proposed Lighting'!AF139=1.5,"FM",IF('Proposed Lighting'!CT139=0.5,"LED-MS",IF('Proposed Lighting'!CB139&gt;1,"Non-S",IF('Proposed Lighting'!CT139=0.6,"LED-SS",IF('Proposed Lighting'!CT139=2,"LED-NW",IF('Proposed Lighting'!CT139=3,"LLLC",0)))))))))</f>
        <v>0</v>
      </c>
      <c r="X153" s="1293">
        <f>'Proposed Lighting'!EE139</f>
        <v>0</v>
      </c>
      <c r="Y153" s="1293">
        <f>'Proposed Lighting'!EF139</f>
        <v>0</v>
      </c>
    </row>
    <row r="154" spans="1:25" ht="50.1" customHeight="1">
      <c r="A154" s="1290">
        <v>132</v>
      </c>
      <c r="B154" s="1291">
        <f>'Proposed Lighting'!B140</f>
        <v>0</v>
      </c>
      <c r="C154" s="1291">
        <f>IF('Proposed Lighting'!M140="Sch 1","Sch 1",IF('Proposed Lighting'!M140="Sch 1-C", "Sch 1-C",IF('Proposed Lighting'!M140="Sch 2","Sch 2",IF('Proposed Lighting'!M140="Sch 2-C","Sch 2-C",IF('Proposed Lighting'!M140="Sch 3","Sch 3",IF('Proposed Lighting'!M140="Sch 3-C", "Sch 3-C",IF('Proposed Lighting'!M140="E", "E",IF('Proposed Lighting'!M140="E-C", "E-C",IF('Proposed Lighting'!M140="Dusk to Dawn","Sch D-D",IF('Proposed Lighting'!M140="Dusk to Dawn-C", "Sch DD-C",IF('Proposed Lighting'!M140="Seasonal", "SEA",IF('Proposed Lighting'!M140="Seasonal-C", "SEA-C",0))))))))))))</f>
        <v>0</v>
      </c>
      <c r="D154" s="1292">
        <f>'Proposed Lighting'!F140</f>
        <v>0</v>
      </c>
      <c r="E154" s="1293">
        <f>'Proposed Lighting'!N140</f>
        <v>0</v>
      </c>
      <c r="F154" s="996"/>
      <c r="G154" s="1294">
        <f>'Proposed Lighting'!K140</f>
        <v>0</v>
      </c>
      <c r="H154" s="1295">
        <f>IF('Proposed Lighting'!P140&gt;0.2,'Proposed Lighting'!P140,0)</f>
        <v>0</v>
      </c>
      <c r="I154" s="995">
        <f>'Proposed Lighting'!J140</f>
        <v>0</v>
      </c>
      <c r="J154" s="996"/>
      <c r="K154" s="996"/>
      <c r="L154" s="996"/>
      <c r="M154" s="996"/>
      <c r="N154" s="1005"/>
      <c r="O154" s="1296" t="str">
        <f>'Proposed Lighting'!Z140&amp;", "&amp;'Proposed Lighting'!EK140</f>
        <v xml:space="preserve">, </v>
      </c>
      <c r="P154" s="1292">
        <f>'Proposed Lighting'!T140</f>
        <v>0</v>
      </c>
      <c r="Q154" s="1293">
        <f>'Proposed Lighting'!AA140</f>
        <v>0</v>
      </c>
      <c r="R154" s="996"/>
      <c r="S154" s="1297">
        <f>IF('Proposed Lighting'!AR140=0,0,IF('Proposed Lighting'!AT140&gt;0.2,'Proposed Lighting'!AT140,0))</f>
        <v>0</v>
      </c>
      <c r="T154" s="997">
        <f>'Proposed Lighting'!X140</f>
        <v>0</v>
      </c>
      <c r="U154" s="998"/>
      <c r="V154" s="998"/>
      <c r="W154" s="1378">
        <f>IF('Proposed Lighting'!AF140=4,"WS",IF('Proposed Lighting'!AF140=5,"CM",IF('Proposed Lighting'!AF140=1.6,"PHOT",IF('Proposed Lighting'!AF140=1.5,"FM",IF('Proposed Lighting'!CT140=0.5,"LED-MS",IF('Proposed Lighting'!CB140&gt;1,"Non-S",IF('Proposed Lighting'!CT140=0.6,"LED-SS",IF('Proposed Lighting'!CT140=2,"LED-NW",IF('Proposed Lighting'!CT140=3,"LLLC",0)))))))))</f>
        <v>0</v>
      </c>
      <c r="X154" s="1293">
        <f>'Proposed Lighting'!EE140</f>
        <v>0</v>
      </c>
      <c r="Y154" s="1293">
        <f>'Proposed Lighting'!EF140</f>
        <v>0</v>
      </c>
    </row>
    <row r="155" spans="1:25" ht="50.1" customHeight="1">
      <c r="A155" s="1290">
        <v>133</v>
      </c>
      <c r="B155" s="1291">
        <f>'Proposed Lighting'!B141</f>
        <v>0</v>
      </c>
      <c r="C155" s="1291">
        <f>IF('Proposed Lighting'!M141="Sch 1","Sch 1",IF('Proposed Lighting'!M141="Sch 1-C", "Sch 1-C",IF('Proposed Lighting'!M141="Sch 2","Sch 2",IF('Proposed Lighting'!M141="Sch 2-C","Sch 2-C",IF('Proposed Lighting'!M141="Sch 3","Sch 3",IF('Proposed Lighting'!M141="Sch 3-C", "Sch 3-C",IF('Proposed Lighting'!M141="E", "E",IF('Proposed Lighting'!M141="E-C", "E-C",IF('Proposed Lighting'!M141="Dusk to Dawn","Sch D-D",IF('Proposed Lighting'!M141="Dusk to Dawn-C", "Sch DD-C",IF('Proposed Lighting'!M141="Seasonal", "SEA",IF('Proposed Lighting'!M141="Seasonal-C", "SEA-C",0))))))))))))</f>
        <v>0</v>
      </c>
      <c r="D155" s="1292">
        <f>'Proposed Lighting'!F141</f>
        <v>0</v>
      </c>
      <c r="E155" s="1293">
        <f>'Proposed Lighting'!N141</f>
        <v>0</v>
      </c>
      <c r="F155" s="996"/>
      <c r="G155" s="1294">
        <f>'Proposed Lighting'!K141</f>
        <v>0</v>
      </c>
      <c r="H155" s="1295">
        <f>IF('Proposed Lighting'!P141&gt;0.2,'Proposed Lighting'!P141,0)</f>
        <v>0</v>
      </c>
      <c r="I155" s="995">
        <f>'Proposed Lighting'!J141</f>
        <v>0</v>
      </c>
      <c r="J155" s="996"/>
      <c r="K155" s="996"/>
      <c r="L155" s="996"/>
      <c r="M155" s="996"/>
      <c r="N155" s="1005"/>
      <c r="O155" s="1296" t="str">
        <f>'Proposed Lighting'!Z141&amp;", "&amp;'Proposed Lighting'!EK141</f>
        <v xml:space="preserve">, </v>
      </c>
      <c r="P155" s="1292">
        <f>'Proposed Lighting'!T141</f>
        <v>0</v>
      </c>
      <c r="Q155" s="1293">
        <f>'Proposed Lighting'!AA141</f>
        <v>0</v>
      </c>
      <c r="R155" s="996"/>
      <c r="S155" s="1297">
        <f>IF('Proposed Lighting'!AR141=0,0,IF('Proposed Lighting'!AT141&gt;0.2,'Proposed Lighting'!AT141,0))</f>
        <v>0</v>
      </c>
      <c r="T155" s="997">
        <f>'Proposed Lighting'!X141</f>
        <v>0</v>
      </c>
      <c r="U155" s="998"/>
      <c r="V155" s="998"/>
      <c r="W155" s="1378">
        <f>IF('Proposed Lighting'!AF141=4,"WS",IF('Proposed Lighting'!AF141=5,"CM",IF('Proposed Lighting'!AF141=1.6,"PHOT",IF('Proposed Lighting'!AF141=1.5,"FM",IF('Proposed Lighting'!CT141=0.5,"LED-MS",IF('Proposed Lighting'!CB141&gt;1,"Non-S",IF('Proposed Lighting'!CT141=0.6,"LED-SS",IF('Proposed Lighting'!CT141=2,"LED-NW",IF('Proposed Lighting'!CT141=3,"LLLC",0)))))))))</f>
        <v>0</v>
      </c>
      <c r="X155" s="1293">
        <f>'Proposed Lighting'!EE141</f>
        <v>0</v>
      </c>
      <c r="Y155" s="1293">
        <f>'Proposed Lighting'!EF141</f>
        <v>0</v>
      </c>
    </row>
    <row r="156" spans="1:25" ht="50.1" customHeight="1">
      <c r="A156" s="1290">
        <v>134</v>
      </c>
      <c r="B156" s="1291">
        <f>'Proposed Lighting'!B142</f>
        <v>0</v>
      </c>
      <c r="C156" s="1291">
        <f>IF('Proposed Lighting'!M142="Sch 1","Sch 1",IF('Proposed Lighting'!M142="Sch 1-C", "Sch 1-C",IF('Proposed Lighting'!M142="Sch 2","Sch 2",IF('Proposed Lighting'!M142="Sch 2-C","Sch 2-C",IF('Proposed Lighting'!M142="Sch 3","Sch 3",IF('Proposed Lighting'!M142="Sch 3-C", "Sch 3-C",IF('Proposed Lighting'!M142="E", "E",IF('Proposed Lighting'!M142="E-C", "E-C",IF('Proposed Lighting'!M142="Dusk to Dawn","Sch D-D",IF('Proposed Lighting'!M142="Dusk to Dawn-C", "Sch DD-C",IF('Proposed Lighting'!M142="Seasonal", "SEA",IF('Proposed Lighting'!M142="Seasonal-C", "SEA-C",0))))))))))))</f>
        <v>0</v>
      </c>
      <c r="D156" s="1292">
        <f>'Proposed Lighting'!F142</f>
        <v>0</v>
      </c>
      <c r="E156" s="1293">
        <f>'Proposed Lighting'!N142</f>
        <v>0</v>
      </c>
      <c r="F156" s="996"/>
      <c r="G156" s="1294">
        <f>'Proposed Lighting'!K142</f>
        <v>0</v>
      </c>
      <c r="H156" s="1295">
        <f>IF('Proposed Lighting'!P142&gt;0.2,'Proposed Lighting'!P142,0)</f>
        <v>0</v>
      </c>
      <c r="I156" s="995">
        <f>'Proposed Lighting'!J142</f>
        <v>0</v>
      </c>
      <c r="J156" s="996"/>
      <c r="K156" s="996"/>
      <c r="L156" s="996"/>
      <c r="M156" s="996"/>
      <c r="N156" s="1005"/>
      <c r="O156" s="1296" t="str">
        <f>'Proposed Lighting'!Z142&amp;", "&amp;'Proposed Lighting'!EK142</f>
        <v xml:space="preserve">, </v>
      </c>
      <c r="P156" s="1292">
        <f>'Proposed Lighting'!T142</f>
        <v>0</v>
      </c>
      <c r="Q156" s="1293">
        <f>'Proposed Lighting'!AA142</f>
        <v>0</v>
      </c>
      <c r="R156" s="996"/>
      <c r="S156" s="1297">
        <f>IF('Proposed Lighting'!AR142=0,0,IF('Proposed Lighting'!AT142&gt;0.2,'Proposed Lighting'!AT142,0))</f>
        <v>0</v>
      </c>
      <c r="T156" s="997">
        <f>'Proposed Lighting'!X142</f>
        <v>0</v>
      </c>
      <c r="U156" s="998"/>
      <c r="V156" s="998"/>
      <c r="W156" s="1378">
        <f>IF('Proposed Lighting'!AF142=4,"WS",IF('Proposed Lighting'!AF142=5,"CM",IF('Proposed Lighting'!AF142=1.6,"PHOT",IF('Proposed Lighting'!AF142=1.5,"FM",IF('Proposed Lighting'!CT142=0.5,"LED-MS",IF('Proposed Lighting'!CB142&gt;1,"Non-S",IF('Proposed Lighting'!CT142=0.6,"LED-SS",IF('Proposed Lighting'!CT142=2,"LED-NW",IF('Proposed Lighting'!CT142=3,"LLLC",0)))))))))</f>
        <v>0</v>
      </c>
      <c r="X156" s="1293">
        <f>'Proposed Lighting'!EE142</f>
        <v>0</v>
      </c>
      <c r="Y156" s="1293">
        <f>'Proposed Lighting'!EF142</f>
        <v>0</v>
      </c>
    </row>
    <row r="157" spans="1:25" ht="50.1" customHeight="1">
      <c r="A157" s="1290">
        <v>135</v>
      </c>
      <c r="B157" s="1291">
        <f>'Proposed Lighting'!B143</f>
        <v>0</v>
      </c>
      <c r="C157" s="1291">
        <f>IF('Proposed Lighting'!M143="Sch 1","Sch 1",IF('Proposed Lighting'!M143="Sch 1-C", "Sch 1-C",IF('Proposed Lighting'!M143="Sch 2","Sch 2",IF('Proposed Lighting'!M143="Sch 2-C","Sch 2-C",IF('Proposed Lighting'!M143="Sch 3","Sch 3",IF('Proposed Lighting'!M143="Sch 3-C", "Sch 3-C",IF('Proposed Lighting'!M143="E", "E",IF('Proposed Lighting'!M143="E-C", "E-C",IF('Proposed Lighting'!M143="Dusk to Dawn","Sch D-D",IF('Proposed Lighting'!M143="Dusk to Dawn-C", "Sch DD-C",IF('Proposed Lighting'!M143="Seasonal", "SEA",IF('Proposed Lighting'!M143="Seasonal-C", "SEA-C",0))))))))))))</f>
        <v>0</v>
      </c>
      <c r="D157" s="1292">
        <f>'Proposed Lighting'!F143</f>
        <v>0</v>
      </c>
      <c r="E157" s="1293">
        <f>'Proposed Lighting'!N143</f>
        <v>0</v>
      </c>
      <c r="F157" s="996"/>
      <c r="G157" s="1294">
        <f>'Proposed Lighting'!K143</f>
        <v>0</v>
      </c>
      <c r="H157" s="1295">
        <f>IF('Proposed Lighting'!P143&gt;0.2,'Proposed Lighting'!P143,0)</f>
        <v>0</v>
      </c>
      <c r="I157" s="995">
        <f>'Proposed Lighting'!J143</f>
        <v>0</v>
      </c>
      <c r="J157" s="996"/>
      <c r="K157" s="996"/>
      <c r="L157" s="996"/>
      <c r="M157" s="996"/>
      <c r="N157" s="1005"/>
      <c r="O157" s="1296" t="str">
        <f>'Proposed Lighting'!Z143&amp;", "&amp;'Proposed Lighting'!EK143</f>
        <v xml:space="preserve">, </v>
      </c>
      <c r="P157" s="1292">
        <f>'Proposed Lighting'!T143</f>
        <v>0</v>
      </c>
      <c r="Q157" s="1293">
        <f>'Proposed Lighting'!AA143</f>
        <v>0</v>
      </c>
      <c r="R157" s="996"/>
      <c r="S157" s="1297">
        <f>IF('Proposed Lighting'!AR143=0,0,IF('Proposed Lighting'!AT143&gt;0.2,'Proposed Lighting'!AT143,0))</f>
        <v>0</v>
      </c>
      <c r="T157" s="997">
        <f>'Proposed Lighting'!X143</f>
        <v>0</v>
      </c>
      <c r="U157" s="998"/>
      <c r="V157" s="998"/>
      <c r="W157" s="1378">
        <f>IF('Proposed Lighting'!AF143=4,"WS",IF('Proposed Lighting'!AF143=5,"CM",IF('Proposed Lighting'!AF143=1.6,"PHOT",IF('Proposed Lighting'!AF143=1.5,"FM",IF('Proposed Lighting'!CT143=0.5,"LED-MS",IF('Proposed Lighting'!CB143&gt;1,"Non-S",IF('Proposed Lighting'!CT143=0.6,"LED-SS",IF('Proposed Lighting'!CT143=2,"LED-NW",IF('Proposed Lighting'!CT143=3,"LLLC",0)))))))))</f>
        <v>0</v>
      </c>
      <c r="X157" s="1293">
        <f>'Proposed Lighting'!EE143</f>
        <v>0</v>
      </c>
      <c r="Y157" s="1293">
        <f>'Proposed Lighting'!EF143</f>
        <v>0</v>
      </c>
    </row>
    <row r="158" spans="1:25" ht="50.1" customHeight="1">
      <c r="A158" s="1290">
        <v>136</v>
      </c>
      <c r="B158" s="1291">
        <f>'Proposed Lighting'!B144</f>
        <v>0</v>
      </c>
      <c r="C158" s="1291">
        <f>IF('Proposed Lighting'!M144="Sch 1","Sch 1",IF('Proposed Lighting'!M144="Sch 1-C", "Sch 1-C",IF('Proposed Lighting'!M144="Sch 2","Sch 2",IF('Proposed Lighting'!M144="Sch 2-C","Sch 2-C",IF('Proposed Lighting'!M144="Sch 3","Sch 3",IF('Proposed Lighting'!M144="Sch 3-C", "Sch 3-C",IF('Proposed Lighting'!M144="E", "E",IF('Proposed Lighting'!M144="E-C", "E-C",IF('Proposed Lighting'!M144="Dusk to Dawn","Sch D-D",IF('Proposed Lighting'!M144="Dusk to Dawn-C", "Sch DD-C",IF('Proposed Lighting'!M144="Seasonal", "SEA",IF('Proposed Lighting'!M144="Seasonal-C", "SEA-C",0))))))))))))</f>
        <v>0</v>
      </c>
      <c r="D158" s="1292">
        <f>'Proposed Lighting'!F144</f>
        <v>0</v>
      </c>
      <c r="E158" s="1293">
        <f>'Proposed Lighting'!N144</f>
        <v>0</v>
      </c>
      <c r="F158" s="996"/>
      <c r="G158" s="1294">
        <f>'Proposed Lighting'!K144</f>
        <v>0</v>
      </c>
      <c r="H158" s="1295">
        <f>IF('Proposed Lighting'!P144&gt;0.2,'Proposed Lighting'!P144,0)</f>
        <v>0</v>
      </c>
      <c r="I158" s="995">
        <f>'Proposed Lighting'!J144</f>
        <v>0</v>
      </c>
      <c r="J158" s="996"/>
      <c r="K158" s="996"/>
      <c r="L158" s="996"/>
      <c r="M158" s="996"/>
      <c r="N158" s="1005"/>
      <c r="O158" s="1296" t="str">
        <f>'Proposed Lighting'!Z144&amp;", "&amp;'Proposed Lighting'!EK144</f>
        <v xml:space="preserve">, </v>
      </c>
      <c r="P158" s="1292">
        <f>'Proposed Lighting'!T144</f>
        <v>0</v>
      </c>
      <c r="Q158" s="1293">
        <f>'Proposed Lighting'!AA144</f>
        <v>0</v>
      </c>
      <c r="R158" s="996"/>
      <c r="S158" s="1297">
        <f>IF('Proposed Lighting'!AR144=0,0,IF('Proposed Lighting'!AT144&gt;0.2,'Proposed Lighting'!AT144,0))</f>
        <v>0</v>
      </c>
      <c r="T158" s="997">
        <f>'Proposed Lighting'!X144</f>
        <v>0</v>
      </c>
      <c r="U158" s="998"/>
      <c r="V158" s="998"/>
      <c r="W158" s="1378">
        <f>IF('Proposed Lighting'!AF144=4,"WS",IF('Proposed Lighting'!AF144=5,"CM",IF('Proposed Lighting'!AF144=1.6,"PHOT",IF('Proposed Lighting'!AF144=1.5,"FM",IF('Proposed Lighting'!CT144=0.5,"LED-MS",IF('Proposed Lighting'!CB144&gt;1,"Non-S",IF('Proposed Lighting'!CT144=0.6,"LED-SS",IF('Proposed Lighting'!CT144=2,"LED-NW",IF('Proposed Lighting'!CT144=3,"LLLC",0)))))))))</f>
        <v>0</v>
      </c>
      <c r="X158" s="1293">
        <f>'Proposed Lighting'!EE144</f>
        <v>0</v>
      </c>
      <c r="Y158" s="1293">
        <f>'Proposed Lighting'!EF144</f>
        <v>0</v>
      </c>
    </row>
    <row r="159" spans="1:25" ht="50.1" customHeight="1">
      <c r="A159" s="1290">
        <v>137</v>
      </c>
      <c r="B159" s="1291">
        <f>'Proposed Lighting'!B145</f>
        <v>0</v>
      </c>
      <c r="C159" s="1291">
        <f>IF('Proposed Lighting'!M145="Sch 1","Sch 1",IF('Proposed Lighting'!M145="Sch 1-C", "Sch 1-C",IF('Proposed Lighting'!M145="Sch 2","Sch 2",IF('Proposed Lighting'!M145="Sch 2-C","Sch 2-C",IF('Proposed Lighting'!M145="Sch 3","Sch 3",IF('Proposed Lighting'!M145="Sch 3-C", "Sch 3-C",IF('Proposed Lighting'!M145="E", "E",IF('Proposed Lighting'!M145="E-C", "E-C",IF('Proposed Lighting'!M145="Dusk to Dawn","Sch D-D",IF('Proposed Lighting'!M145="Dusk to Dawn-C", "Sch DD-C",IF('Proposed Lighting'!M145="Seasonal", "SEA",IF('Proposed Lighting'!M145="Seasonal-C", "SEA-C",0))))))))))))</f>
        <v>0</v>
      </c>
      <c r="D159" s="1292">
        <f>'Proposed Lighting'!F145</f>
        <v>0</v>
      </c>
      <c r="E159" s="1293">
        <f>'Proposed Lighting'!N145</f>
        <v>0</v>
      </c>
      <c r="F159" s="996"/>
      <c r="G159" s="1294">
        <f>'Proposed Lighting'!K145</f>
        <v>0</v>
      </c>
      <c r="H159" s="1295">
        <f>IF('Proposed Lighting'!P145&gt;0.2,'Proposed Lighting'!P145,0)</f>
        <v>0</v>
      </c>
      <c r="I159" s="995">
        <f>'Proposed Lighting'!J145</f>
        <v>0</v>
      </c>
      <c r="J159" s="996"/>
      <c r="K159" s="996"/>
      <c r="L159" s="996"/>
      <c r="M159" s="996"/>
      <c r="N159" s="1005"/>
      <c r="O159" s="1296" t="str">
        <f>'Proposed Lighting'!Z145&amp;", "&amp;'Proposed Lighting'!EK145</f>
        <v xml:space="preserve">, </v>
      </c>
      <c r="P159" s="1292">
        <f>'Proposed Lighting'!T145</f>
        <v>0</v>
      </c>
      <c r="Q159" s="1293">
        <f>'Proposed Lighting'!AA145</f>
        <v>0</v>
      </c>
      <c r="R159" s="996"/>
      <c r="S159" s="1297">
        <f>IF('Proposed Lighting'!AR145=0,0,IF('Proposed Lighting'!AT145&gt;0.2,'Proposed Lighting'!AT145,0))</f>
        <v>0</v>
      </c>
      <c r="T159" s="997">
        <f>'Proposed Lighting'!X145</f>
        <v>0</v>
      </c>
      <c r="U159" s="998"/>
      <c r="V159" s="998"/>
      <c r="W159" s="1378">
        <f>IF('Proposed Lighting'!AF145=4,"WS",IF('Proposed Lighting'!AF145=5,"CM",IF('Proposed Lighting'!AF145=1.6,"PHOT",IF('Proposed Lighting'!AF145=1.5,"FM",IF('Proposed Lighting'!CT145=0.5,"LED-MS",IF('Proposed Lighting'!CB145&gt;1,"Non-S",IF('Proposed Lighting'!CT145=0.6,"LED-SS",IF('Proposed Lighting'!CT145=2,"LED-NW",IF('Proposed Lighting'!CT145=3,"LLLC",0)))))))))</f>
        <v>0</v>
      </c>
      <c r="X159" s="1293">
        <f>'Proposed Lighting'!EE145</f>
        <v>0</v>
      </c>
      <c r="Y159" s="1293">
        <f>'Proposed Lighting'!EF145</f>
        <v>0</v>
      </c>
    </row>
    <row r="160" spans="1:25" ht="50.1" customHeight="1">
      <c r="A160" s="1290">
        <v>138</v>
      </c>
      <c r="B160" s="1291">
        <f>'Proposed Lighting'!B146</f>
        <v>0</v>
      </c>
      <c r="C160" s="1291">
        <f>IF('Proposed Lighting'!M146="Sch 1","Sch 1",IF('Proposed Lighting'!M146="Sch 1-C", "Sch 1-C",IF('Proposed Lighting'!M146="Sch 2","Sch 2",IF('Proposed Lighting'!M146="Sch 2-C","Sch 2-C",IF('Proposed Lighting'!M146="Sch 3","Sch 3",IF('Proposed Lighting'!M146="Sch 3-C", "Sch 3-C",IF('Proposed Lighting'!M146="E", "E",IF('Proposed Lighting'!M146="E-C", "E-C",IF('Proposed Lighting'!M146="Dusk to Dawn","Sch D-D",IF('Proposed Lighting'!M146="Dusk to Dawn-C", "Sch DD-C",IF('Proposed Lighting'!M146="Seasonal", "SEA",IF('Proposed Lighting'!M146="Seasonal-C", "SEA-C",0))))))))))))</f>
        <v>0</v>
      </c>
      <c r="D160" s="1292">
        <f>'Proposed Lighting'!F146</f>
        <v>0</v>
      </c>
      <c r="E160" s="1293">
        <f>'Proposed Lighting'!N146</f>
        <v>0</v>
      </c>
      <c r="F160" s="996"/>
      <c r="G160" s="1294">
        <f>'Proposed Lighting'!K146</f>
        <v>0</v>
      </c>
      <c r="H160" s="1295">
        <f>IF('Proposed Lighting'!P146&gt;0.2,'Proposed Lighting'!P146,0)</f>
        <v>0</v>
      </c>
      <c r="I160" s="995">
        <f>'Proposed Lighting'!J146</f>
        <v>0</v>
      </c>
      <c r="J160" s="996"/>
      <c r="K160" s="996"/>
      <c r="L160" s="996"/>
      <c r="M160" s="996"/>
      <c r="N160" s="1005"/>
      <c r="O160" s="1296" t="str">
        <f>'Proposed Lighting'!Z146&amp;", "&amp;'Proposed Lighting'!EK146</f>
        <v xml:space="preserve">, </v>
      </c>
      <c r="P160" s="1292">
        <f>'Proposed Lighting'!T146</f>
        <v>0</v>
      </c>
      <c r="Q160" s="1293">
        <f>'Proposed Lighting'!AA146</f>
        <v>0</v>
      </c>
      <c r="R160" s="996"/>
      <c r="S160" s="1297">
        <f>IF('Proposed Lighting'!AR146=0,0,IF('Proposed Lighting'!AT146&gt;0.2,'Proposed Lighting'!AT146,0))</f>
        <v>0</v>
      </c>
      <c r="T160" s="997">
        <f>'Proposed Lighting'!X146</f>
        <v>0</v>
      </c>
      <c r="U160" s="998"/>
      <c r="V160" s="998"/>
      <c r="W160" s="1378">
        <f>IF('Proposed Lighting'!AF146=4,"WS",IF('Proposed Lighting'!AF146=5,"CM",IF('Proposed Lighting'!AF146=1.6,"PHOT",IF('Proposed Lighting'!AF146=1.5,"FM",IF('Proposed Lighting'!CT146=0.5,"LED-MS",IF('Proposed Lighting'!CB146&gt;1,"Non-S",IF('Proposed Lighting'!CT146=0.6,"LED-SS",IF('Proposed Lighting'!CT146=2,"LED-NW",IF('Proposed Lighting'!CT146=3,"LLLC",0)))))))))</f>
        <v>0</v>
      </c>
      <c r="X160" s="1293">
        <f>'Proposed Lighting'!EE146</f>
        <v>0</v>
      </c>
      <c r="Y160" s="1293">
        <f>'Proposed Lighting'!EF146</f>
        <v>0</v>
      </c>
    </row>
    <row r="161" spans="1:25" ht="50.1" customHeight="1">
      <c r="A161" s="1290">
        <v>139</v>
      </c>
      <c r="B161" s="1291">
        <f>'Proposed Lighting'!B147</f>
        <v>0</v>
      </c>
      <c r="C161" s="1291">
        <f>IF('Proposed Lighting'!M147="Sch 1","Sch 1",IF('Proposed Lighting'!M147="Sch 1-C", "Sch 1-C",IF('Proposed Lighting'!M147="Sch 2","Sch 2",IF('Proposed Lighting'!M147="Sch 2-C","Sch 2-C",IF('Proposed Lighting'!M147="Sch 3","Sch 3",IF('Proposed Lighting'!M147="Sch 3-C", "Sch 3-C",IF('Proposed Lighting'!M147="E", "E",IF('Proposed Lighting'!M147="E-C", "E-C",IF('Proposed Lighting'!M147="Dusk to Dawn","Sch D-D",IF('Proposed Lighting'!M147="Dusk to Dawn-C", "Sch DD-C",IF('Proposed Lighting'!M147="Seasonal", "SEA",IF('Proposed Lighting'!M147="Seasonal-C", "SEA-C",0))))))))))))</f>
        <v>0</v>
      </c>
      <c r="D161" s="1292">
        <f>'Proposed Lighting'!F147</f>
        <v>0</v>
      </c>
      <c r="E161" s="1293">
        <f>'Proposed Lighting'!N147</f>
        <v>0</v>
      </c>
      <c r="F161" s="996"/>
      <c r="G161" s="1294">
        <f>'Proposed Lighting'!K147</f>
        <v>0</v>
      </c>
      <c r="H161" s="1295">
        <f>IF('Proposed Lighting'!P147&gt;0.2,'Proposed Lighting'!P147,0)</f>
        <v>0</v>
      </c>
      <c r="I161" s="995">
        <f>'Proposed Lighting'!J147</f>
        <v>0</v>
      </c>
      <c r="J161" s="996"/>
      <c r="K161" s="996"/>
      <c r="L161" s="996"/>
      <c r="M161" s="996"/>
      <c r="N161" s="1005"/>
      <c r="O161" s="1296" t="str">
        <f>'Proposed Lighting'!Z147&amp;", "&amp;'Proposed Lighting'!EK147</f>
        <v xml:space="preserve">, </v>
      </c>
      <c r="P161" s="1292">
        <f>'Proposed Lighting'!T147</f>
        <v>0</v>
      </c>
      <c r="Q161" s="1293">
        <f>'Proposed Lighting'!AA147</f>
        <v>0</v>
      </c>
      <c r="R161" s="996"/>
      <c r="S161" s="1297">
        <f>IF('Proposed Lighting'!AR147=0,0,IF('Proposed Lighting'!AT147&gt;0.2,'Proposed Lighting'!AT147,0))</f>
        <v>0</v>
      </c>
      <c r="T161" s="997">
        <f>'Proposed Lighting'!X147</f>
        <v>0</v>
      </c>
      <c r="U161" s="998"/>
      <c r="V161" s="998"/>
      <c r="W161" s="1378">
        <f>IF('Proposed Lighting'!AF147=4,"WS",IF('Proposed Lighting'!AF147=5,"CM",IF('Proposed Lighting'!AF147=1.6,"PHOT",IF('Proposed Lighting'!AF147=1.5,"FM",IF('Proposed Lighting'!CT147=0.5,"LED-MS",IF('Proposed Lighting'!CB147&gt;1,"Non-S",IF('Proposed Lighting'!CT147=0.6,"LED-SS",IF('Proposed Lighting'!CT147=2,"LED-NW",IF('Proposed Lighting'!CT147=3,"LLLC",0)))))))))</f>
        <v>0</v>
      </c>
      <c r="X161" s="1293">
        <f>'Proposed Lighting'!EE147</f>
        <v>0</v>
      </c>
      <c r="Y161" s="1293">
        <f>'Proposed Lighting'!EF147</f>
        <v>0</v>
      </c>
    </row>
    <row r="162" spans="1:25" ht="50.1" customHeight="1">
      <c r="A162" s="1290">
        <v>140</v>
      </c>
      <c r="B162" s="1291">
        <f>'Proposed Lighting'!B148</f>
        <v>0</v>
      </c>
      <c r="C162" s="1291">
        <f>IF('Proposed Lighting'!M148="Sch 1","Sch 1",IF('Proposed Lighting'!M148="Sch 1-C", "Sch 1-C",IF('Proposed Lighting'!M148="Sch 2","Sch 2",IF('Proposed Lighting'!M148="Sch 2-C","Sch 2-C",IF('Proposed Lighting'!M148="Sch 3","Sch 3",IF('Proposed Lighting'!M148="Sch 3-C", "Sch 3-C",IF('Proposed Lighting'!M148="E", "E",IF('Proposed Lighting'!M148="E-C", "E-C",IF('Proposed Lighting'!M148="Dusk to Dawn","Sch D-D",IF('Proposed Lighting'!M148="Dusk to Dawn-C", "Sch DD-C",IF('Proposed Lighting'!M148="Seasonal", "SEA",IF('Proposed Lighting'!M148="Seasonal-C", "SEA-C",0))))))))))))</f>
        <v>0</v>
      </c>
      <c r="D162" s="1292">
        <f>'Proposed Lighting'!F148</f>
        <v>0</v>
      </c>
      <c r="E162" s="1293">
        <f>'Proposed Lighting'!N148</f>
        <v>0</v>
      </c>
      <c r="F162" s="996"/>
      <c r="G162" s="1294">
        <f>'Proposed Lighting'!K148</f>
        <v>0</v>
      </c>
      <c r="H162" s="1295">
        <f>IF('Proposed Lighting'!P148&gt;0.2,'Proposed Lighting'!P148,0)</f>
        <v>0</v>
      </c>
      <c r="I162" s="995">
        <f>'Proposed Lighting'!J148</f>
        <v>0</v>
      </c>
      <c r="J162" s="996"/>
      <c r="K162" s="996"/>
      <c r="L162" s="996"/>
      <c r="M162" s="996"/>
      <c r="N162" s="1005"/>
      <c r="O162" s="1296" t="str">
        <f>'Proposed Lighting'!Z148&amp;", "&amp;'Proposed Lighting'!EK148</f>
        <v xml:space="preserve">, </v>
      </c>
      <c r="P162" s="1292">
        <f>'Proposed Lighting'!T148</f>
        <v>0</v>
      </c>
      <c r="Q162" s="1293">
        <f>'Proposed Lighting'!AA148</f>
        <v>0</v>
      </c>
      <c r="R162" s="996"/>
      <c r="S162" s="1297">
        <f>IF('Proposed Lighting'!AR148=0,0,IF('Proposed Lighting'!AT148&gt;0.2,'Proposed Lighting'!AT148,0))</f>
        <v>0</v>
      </c>
      <c r="T162" s="997">
        <f>'Proposed Lighting'!X148</f>
        <v>0</v>
      </c>
      <c r="U162" s="998"/>
      <c r="V162" s="998"/>
      <c r="W162" s="1378">
        <f>IF('Proposed Lighting'!AF148=4,"WS",IF('Proposed Lighting'!AF148=5,"CM",IF('Proposed Lighting'!AF148=1.6,"PHOT",IF('Proposed Lighting'!AF148=1.5,"FM",IF('Proposed Lighting'!CT148=0.5,"LED-MS",IF('Proposed Lighting'!CB148&gt;1,"Non-S",IF('Proposed Lighting'!CT148=0.6,"LED-SS",IF('Proposed Lighting'!CT148=2,"LED-NW",IF('Proposed Lighting'!CT148=3,"LLLC",0)))))))))</f>
        <v>0</v>
      </c>
      <c r="X162" s="1293">
        <f>'Proposed Lighting'!EE148</f>
        <v>0</v>
      </c>
      <c r="Y162" s="1293">
        <f>'Proposed Lighting'!EF148</f>
        <v>0</v>
      </c>
    </row>
    <row r="163" spans="1:25" ht="50.1" customHeight="1">
      <c r="A163" s="1290">
        <v>141</v>
      </c>
      <c r="B163" s="1291">
        <f>'Proposed Lighting'!B149</f>
        <v>0</v>
      </c>
      <c r="C163" s="1291">
        <f>IF('Proposed Lighting'!M149="Sch 1","Sch 1",IF('Proposed Lighting'!M149="Sch 1-C", "Sch 1-C",IF('Proposed Lighting'!M149="Sch 2","Sch 2",IF('Proposed Lighting'!M149="Sch 2-C","Sch 2-C",IF('Proposed Lighting'!M149="Sch 3","Sch 3",IF('Proposed Lighting'!M149="Sch 3-C", "Sch 3-C",IF('Proposed Lighting'!M149="E", "E",IF('Proposed Lighting'!M149="E-C", "E-C",IF('Proposed Lighting'!M149="Dusk to Dawn","Sch D-D",IF('Proposed Lighting'!M149="Dusk to Dawn-C", "Sch DD-C",IF('Proposed Lighting'!M149="Seasonal", "SEA",IF('Proposed Lighting'!M149="Seasonal-C", "SEA-C",0))))))))))))</f>
        <v>0</v>
      </c>
      <c r="D163" s="1292">
        <f>'Proposed Lighting'!F149</f>
        <v>0</v>
      </c>
      <c r="E163" s="1293">
        <f>'Proposed Lighting'!N149</f>
        <v>0</v>
      </c>
      <c r="F163" s="996"/>
      <c r="G163" s="1294">
        <f>'Proposed Lighting'!K149</f>
        <v>0</v>
      </c>
      <c r="H163" s="1295">
        <f>IF('Proposed Lighting'!P149&gt;0.2,'Proposed Lighting'!P149,0)</f>
        <v>0</v>
      </c>
      <c r="I163" s="995">
        <f>'Proposed Lighting'!J149</f>
        <v>0</v>
      </c>
      <c r="J163" s="996"/>
      <c r="K163" s="996"/>
      <c r="L163" s="996"/>
      <c r="M163" s="996"/>
      <c r="N163" s="1005"/>
      <c r="O163" s="1296" t="str">
        <f>'Proposed Lighting'!Z149&amp;", "&amp;'Proposed Lighting'!EK149</f>
        <v xml:space="preserve">, </v>
      </c>
      <c r="P163" s="1292">
        <f>'Proposed Lighting'!T149</f>
        <v>0</v>
      </c>
      <c r="Q163" s="1293">
        <f>'Proposed Lighting'!AA149</f>
        <v>0</v>
      </c>
      <c r="R163" s="996"/>
      <c r="S163" s="1297">
        <f>IF('Proposed Lighting'!AR149=0,0,IF('Proposed Lighting'!AT149&gt;0.2,'Proposed Lighting'!AT149,0))</f>
        <v>0</v>
      </c>
      <c r="T163" s="997">
        <f>'Proposed Lighting'!X149</f>
        <v>0</v>
      </c>
      <c r="U163" s="998"/>
      <c r="V163" s="998"/>
      <c r="W163" s="1378">
        <f>IF('Proposed Lighting'!AF149=4,"WS",IF('Proposed Lighting'!AF149=5,"CM",IF('Proposed Lighting'!AF149=1.6,"PHOT",IF('Proposed Lighting'!AF149=1.5,"FM",IF('Proposed Lighting'!CT149=0.5,"LED-MS",IF('Proposed Lighting'!CB149&gt;1,"Non-S",IF('Proposed Lighting'!CT149=0.6,"LED-SS",IF('Proposed Lighting'!CT149=2,"LED-NW",IF('Proposed Lighting'!CT149=3,"LLLC",0)))))))))</f>
        <v>0</v>
      </c>
      <c r="X163" s="1293">
        <f>'Proposed Lighting'!EE149</f>
        <v>0</v>
      </c>
      <c r="Y163" s="1293">
        <f>'Proposed Lighting'!EF149</f>
        <v>0</v>
      </c>
    </row>
    <row r="164" spans="1:25" ht="50.1" customHeight="1">
      <c r="A164" s="1290">
        <v>142</v>
      </c>
      <c r="B164" s="1291">
        <f>'Proposed Lighting'!B150</f>
        <v>0</v>
      </c>
      <c r="C164" s="1291">
        <f>IF('Proposed Lighting'!M150="Sch 1","Sch 1",IF('Proposed Lighting'!M150="Sch 1-C", "Sch 1-C",IF('Proposed Lighting'!M150="Sch 2","Sch 2",IF('Proposed Lighting'!M150="Sch 2-C","Sch 2-C",IF('Proposed Lighting'!M150="Sch 3","Sch 3",IF('Proposed Lighting'!M150="Sch 3-C", "Sch 3-C",IF('Proposed Lighting'!M150="E", "E",IF('Proposed Lighting'!M150="E-C", "E-C",IF('Proposed Lighting'!M150="Dusk to Dawn","Sch D-D",IF('Proposed Lighting'!M150="Dusk to Dawn-C", "Sch DD-C",IF('Proposed Lighting'!M150="Seasonal", "SEA",IF('Proposed Lighting'!M150="Seasonal-C", "SEA-C",0))))))))))))</f>
        <v>0</v>
      </c>
      <c r="D164" s="1292">
        <f>'Proposed Lighting'!F150</f>
        <v>0</v>
      </c>
      <c r="E164" s="1293">
        <f>'Proposed Lighting'!N150</f>
        <v>0</v>
      </c>
      <c r="F164" s="996"/>
      <c r="G164" s="1294">
        <f>'Proposed Lighting'!K150</f>
        <v>0</v>
      </c>
      <c r="H164" s="1295">
        <f>IF('Proposed Lighting'!P150&gt;0.2,'Proposed Lighting'!P150,0)</f>
        <v>0</v>
      </c>
      <c r="I164" s="995">
        <f>'Proposed Lighting'!J150</f>
        <v>0</v>
      </c>
      <c r="J164" s="996"/>
      <c r="K164" s="996"/>
      <c r="L164" s="996"/>
      <c r="M164" s="996"/>
      <c r="N164" s="1005"/>
      <c r="O164" s="1296" t="str">
        <f>'Proposed Lighting'!Z150&amp;", "&amp;'Proposed Lighting'!EK150</f>
        <v xml:space="preserve">, </v>
      </c>
      <c r="P164" s="1292">
        <f>'Proposed Lighting'!T150</f>
        <v>0</v>
      </c>
      <c r="Q164" s="1293">
        <f>'Proposed Lighting'!AA150</f>
        <v>0</v>
      </c>
      <c r="R164" s="996"/>
      <c r="S164" s="1297">
        <f>IF('Proposed Lighting'!AR150=0,0,IF('Proposed Lighting'!AT150&gt;0.2,'Proposed Lighting'!AT150,0))</f>
        <v>0</v>
      </c>
      <c r="T164" s="997">
        <f>'Proposed Lighting'!X150</f>
        <v>0</v>
      </c>
      <c r="U164" s="998"/>
      <c r="V164" s="998"/>
      <c r="W164" s="1378">
        <f>IF('Proposed Lighting'!AF150=4,"WS",IF('Proposed Lighting'!AF150=5,"CM",IF('Proposed Lighting'!AF150=1.6,"PHOT",IF('Proposed Lighting'!AF150=1.5,"FM",IF('Proposed Lighting'!CT150=0.5,"LED-MS",IF('Proposed Lighting'!CB150&gt;1,"Non-S",IF('Proposed Lighting'!CT150=0.6,"LED-SS",IF('Proposed Lighting'!CT150=2,"LED-NW",IF('Proposed Lighting'!CT150=3,"LLLC",0)))))))))</f>
        <v>0</v>
      </c>
      <c r="X164" s="1293">
        <f>'Proposed Lighting'!EE150</f>
        <v>0</v>
      </c>
      <c r="Y164" s="1293">
        <f>'Proposed Lighting'!EF150</f>
        <v>0</v>
      </c>
    </row>
    <row r="165" spans="1:25" ht="50.1" customHeight="1">
      <c r="A165" s="1290">
        <v>143</v>
      </c>
      <c r="B165" s="1291">
        <f>'Proposed Lighting'!B151</f>
        <v>0</v>
      </c>
      <c r="C165" s="1291">
        <f>IF('Proposed Lighting'!M151="Sch 1","Sch 1",IF('Proposed Lighting'!M151="Sch 1-C", "Sch 1-C",IF('Proposed Lighting'!M151="Sch 2","Sch 2",IF('Proposed Lighting'!M151="Sch 2-C","Sch 2-C",IF('Proposed Lighting'!M151="Sch 3","Sch 3",IF('Proposed Lighting'!M151="Sch 3-C", "Sch 3-C",IF('Proposed Lighting'!M151="E", "E",IF('Proposed Lighting'!M151="E-C", "E-C",IF('Proposed Lighting'!M151="Dusk to Dawn","Sch D-D",IF('Proposed Lighting'!M151="Dusk to Dawn-C", "Sch DD-C",IF('Proposed Lighting'!M151="Seasonal", "SEA",IF('Proposed Lighting'!M151="Seasonal-C", "SEA-C",0))))))))))))</f>
        <v>0</v>
      </c>
      <c r="D165" s="1292">
        <f>'Proposed Lighting'!F151</f>
        <v>0</v>
      </c>
      <c r="E165" s="1293">
        <f>'Proposed Lighting'!N151</f>
        <v>0</v>
      </c>
      <c r="F165" s="996"/>
      <c r="G165" s="1294">
        <f>'Proposed Lighting'!K151</f>
        <v>0</v>
      </c>
      <c r="H165" s="1295">
        <f>IF('Proposed Lighting'!P151&gt;0.2,'Proposed Lighting'!P151,0)</f>
        <v>0</v>
      </c>
      <c r="I165" s="995">
        <f>'Proposed Lighting'!J151</f>
        <v>0</v>
      </c>
      <c r="J165" s="996"/>
      <c r="K165" s="996"/>
      <c r="L165" s="996"/>
      <c r="M165" s="996"/>
      <c r="N165" s="1005"/>
      <c r="O165" s="1296" t="str">
        <f>'Proposed Lighting'!Z151&amp;", "&amp;'Proposed Lighting'!EK151</f>
        <v xml:space="preserve">, </v>
      </c>
      <c r="P165" s="1292">
        <f>'Proposed Lighting'!T151</f>
        <v>0</v>
      </c>
      <c r="Q165" s="1293">
        <f>'Proposed Lighting'!AA151</f>
        <v>0</v>
      </c>
      <c r="R165" s="996"/>
      <c r="S165" s="1297">
        <f>IF('Proposed Lighting'!AR151=0,0,IF('Proposed Lighting'!AT151&gt;0.2,'Proposed Lighting'!AT151,0))</f>
        <v>0</v>
      </c>
      <c r="T165" s="997">
        <f>'Proposed Lighting'!X151</f>
        <v>0</v>
      </c>
      <c r="U165" s="998"/>
      <c r="V165" s="998"/>
      <c r="W165" s="1378">
        <f>IF('Proposed Lighting'!AF151=4,"WS",IF('Proposed Lighting'!AF151=5,"CM",IF('Proposed Lighting'!AF151=1.6,"PHOT",IF('Proposed Lighting'!AF151=1.5,"FM",IF('Proposed Lighting'!CT151=0.5,"LED-MS",IF('Proposed Lighting'!CB151&gt;1,"Non-S",IF('Proposed Lighting'!CT151=0.6,"LED-SS",IF('Proposed Lighting'!CT151=2,"LED-NW",IF('Proposed Lighting'!CT151=3,"LLLC",0)))))))))</f>
        <v>0</v>
      </c>
      <c r="X165" s="1293">
        <f>'Proposed Lighting'!EE151</f>
        <v>0</v>
      </c>
      <c r="Y165" s="1293">
        <f>'Proposed Lighting'!EF151</f>
        <v>0</v>
      </c>
    </row>
    <row r="166" spans="1:25" ht="50.1" customHeight="1">
      <c r="A166" s="1290">
        <v>144</v>
      </c>
      <c r="B166" s="1291">
        <f>'Proposed Lighting'!B152</f>
        <v>0</v>
      </c>
      <c r="C166" s="1291">
        <f>IF('Proposed Lighting'!M152="Sch 1","Sch 1",IF('Proposed Lighting'!M152="Sch 1-C", "Sch 1-C",IF('Proposed Lighting'!M152="Sch 2","Sch 2",IF('Proposed Lighting'!M152="Sch 2-C","Sch 2-C",IF('Proposed Lighting'!M152="Sch 3","Sch 3",IF('Proposed Lighting'!M152="Sch 3-C", "Sch 3-C",IF('Proposed Lighting'!M152="E", "E",IF('Proposed Lighting'!M152="E-C", "E-C",IF('Proposed Lighting'!M152="Dusk to Dawn","Sch D-D",IF('Proposed Lighting'!M152="Dusk to Dawn-C", "Sch DD-C",IF('Proposed Lighting'!M152="Seasonal", "SEA",IF('Proposed Lighting'!M152="Seasonal-C", "SEA-C",0))))))))))))</f>
        <v>0</v>
      </c>
      <c r="D166" s="1292">
        <f>'Proposed Lighting'!F152</f>
        <v>0</v>
      </c>
      <c r="E166" s="1293">
        <f>'Proposed Lighting'!N152</f>
        <v>0</v>
      </c>
      <c r="F166" s="996"/>
      <c r="G166" s="1294">
        <f>'Proposed Lighting'!K152</f>
        <v>0</v>
      </c>
      <c r="H166" s="1295">
        <f>IF('Proposed Lighting'!P152&gt;0.2,'Proposed Lighting'!P152,0)</f>
        <v>0</v>
      </c>
      <c r="I166" s="995">
        <f>'Proposed Lighting'!J152</f>
        <v>0</v>
      </c>
      <c r="J166" s="996"/>
      <c r="K166" s="996"/>
      <c r="L166" s="996"/>
      <c r="M166" s="996"/>
      <c r="N166" s="1005"/>
      <c r="O166" s="1296" t="str">
        <f>'Proposed Lighting'!Z152&amp;", "&amp;'Proposed Lighting'!EK152</f>
        <v xml:space="preserve">, </v>
      </c>
      <c r="P166" s="1292">
        <f>'Proposed Lighting'!T152</f>
        <v>0</v>
      </c>
      <c r="Q166" s="1293">
        <f>'Proposed Lighting'!AA152</f>
        <v>0</v>
      </c>
      <c r="R166" s="996"/>
      <c r="S166" s="1297">
        <f>IF('Proposed Lighting'!AR152=0,0,IF('Proposed Lighting'!AT152&gt;0.2,'Proposed Lighting'!AT152,0))</f>
        <v>0</v>
      </c>
      <c r="T166" s="997">
        <f>'Proposed Lighting'!X152</f>
        <v>0</v>
      </c>
      <c r="U166" s="998"/>
      <c r="V166" s="998"/>
      <c r="W166" s="1378">
        <f>IF('Proposed Lighting'!AF152=4,"WS",IF('Proposed Lighting'!AF152=5,"CM",IF('Proposed Lighting'!AF152=1.6,"PHOT",IF('Proposed Lighting'!AF152=1.5,"FM",IF('Proposed Lighting'!CT152=0.5,"LED-MS",IF('Proposed Lighting'!CB152&gt;1,"Non-S",IF('Proposed Lighting'!CT152=0.6,"LED-SS",IF('Proposed Lighting'!CT152=2,"LED-NW",IF('Proposed Lighting'!CT152=3,"LLLC",0)))))))))</f>
        <v>0</v>
      </c>
      <c r="X166" s="1293">
        <f>'Proposed Lighting'!EE152</f>
        <v>0</v>
      </c>
      <c r="Y166" s="1293">
        <f>'Proposed Lighting'!EF152</f>
        <v>0</v>
      </c>
    </row>
    <row r="167" spans="1:25" ht="50.1" customHeight="1">
      <c r="A167" s="1290">
        <v>145</v>
      </c>
      <c r="B167" s="1291">
        <f>'Proposed Lighting'!B153</f>
        <v>0</v>
      </c>
      <c r="C167" s="1291">
        <f>IF('Proposed Lighting'!M153="Sch 1","Sch 1",IF('Proposed Lighting'!M153="Sch 1-C", "Sch 1-C",IF('Proposed Lighting'!M153="Sch 2","Sch 2",IF('Proposed Lighting'!M153="Sch 2-C","Sch 2-C",IF('Proposed Lighting'!M153="Sch 3","Sch 3",IF('Proposed Lighting'!M153="Sch 3-C", "Sch 3-C",IF('Proposed Lighting'!M153="E", "E",IF('Proposed Lighting'!M153="E-C", "E-C",IF('Proposed Lighting'!M153="Dusk to Dawn","Sch D-D",IF('Proposed Lighting'!M153="Dusk to Dawn-C", "Sch DD-C",IF('Proposed Lighting'!M153="Seasonal", "SEA",IF('Proposed Lighting'!M153="Seasonal-C", "SEA-C",0))))))))))))</f>
        <v>0</v>
      </c>
      <c r="D167" s="1292">
        <f>'Proposed Lighting'!F153</f>
        <v>0</v>
      </c>
      <c r="E167" s="1293">
        <f>'Proposed Lighting'!N153</f>
        <v>0</v>
      </c>
      <c r="F167" s="996"/>
      <c r="G167" s="1294">
        <f>'Proposed Lighting'!K153</f>
        <v>0</v>
      </c>
      <c r="H167" s="1295">
        <f>IF('Proposed Lighting'!P153&gt;0.2,'Proposed Lighting'!P153,0)</f>
        <v>0</v>
      </c>
      <c r="I167" s="995">
        <f>'Proposed Lighting'!J153</f>
        <v>0</v>
      </c>
      <c r="J167" s="996"/>
      <c r="K167" s="996"/>
      <c r="L167" s="996"/>
      <c r="M167" s="996"/>
      <c r="N167" s="1005"/>
      <c r="O167" s="1296" t="str">
        <f>'Proposed Lighting'!Z153&amp;", "&amp;'Proposed Lighting'!EK153</f>
        <v xml:space="preserve">, </v>
      </c>
      <c r="P167" s="1292">
        <f>'Proposed Lighting'!T153</f>
        <v>0</v>
      </c>
      <c r="Q167" s="1293">
        <f>'Proposed Lighting'!AA153</f>
        <v>0</v>
      </c>
      <c r="R167" s="996"/>
      <c r="S167" s="1297">
        <f>IF('Proposed Lighting'!AR153=0,0,IF('Proposed Lighting'!AT153&gt;0.2,'Proposed Lighting'!AT153,0))</f>
        <v>0</v>
      </c>
      <c r="T167" s="997">
        <f>'Proposed Lighting'!X153</f>
        <v>0</v>
      </c>
      <c r="U167" s="998"/>
      <c r="V167" s="998"/>
      <c r="W167" s="1378">
        <f>IF('Proposed Lighting'!AF153=4,"WS",IF('Proposed Lighting'!AF153=5,"CM",IF('Proposed Lighting'!AF153=1.6,"PHOT",IF('Proposed Lighting'!AF153=1.5,"FM",IF('Proposed Lighting'!CT153=0.5,"LED-MS",IF('Proposed Lighting'!CB153&gt;1,"Non-S",IF('Proposed Lighting'!CT153=0.6,"LED-SS",IF('Proposed Lighting'!CT153=2,"LED-NW",IF('Proposed Lighting'!CT153=3,"LLLC",0)))))))))</f>
        <v>0</v>
      </c>
      <c r="X167" s="1293">
        <f>'Proposed Lighting'!EE153</f>
        <v>0</v>
      </c>
      <c r="Y167" s="1293">
        <f>'Proposed Lighting'!EF153</f>
        <v>0</v>
      </c>
    </row>
    <row r="168" spans="1:25" ht="50.1" customHeight="1">
      <c r="A168" s="1290">
        <v>146</v>
      </c>
      <c r="B168" s="1291">
        <f>'Proposed Lighting'!B154</f>
        <v>0</v>
      </c>
      <c r="C168" s="1291">
        <f>IF('Proposed Lighting'!M154="Sch 1","Sch 1",IF('Proposed Lighting'!M154="Sch 1-C", "Sch 1-C",IF('Proposed Lighting'!M154="Sch 2","Sch 2",IF('Proposed Lighting'!M154="Sch 2-C","Sch 2-C",IF('Proposed Lighting'!M154="Sch 3","Sch 3",IF('Proposed Lighting'!M154="Sch 3-C", "Sch 3-C",IF('Proposed Lighting'!M154="E", "E",IF('Proposed Lighting'!M154="E-C", "E-C",IF('Proposed Lighting'!M154="Dusk to Dawn","Sch D-D",IF('Proposed Lighting'!M154="Dusk to Dawn-C", "Sch DD-C",IF('Proposed Lighting'!M154="Seasonal", "SEA",IF('Proposed Lighting'!M154="Seasonal-C", "SEA-C",0))))))))))))</f>
        <v>0</v>
      </c>
      <c r="D168" s="1292">
        <f>'Proposed Lighting'!F154</f>
        <v>0</v>
      </c>
      <c r="E168" s="1293">
        <f>'Proposed Lighting'!N154</f>
        <v>0</v>
      </c>
      <c r="F168" s="996"/>
      <c r="G168" s="1294">
        <f>'Proposed Lighting'!K154</f>
        <v>0</v>
      </c>
      <c r="H168" s="1295">
        <f>IF('Proposed Lighting'!P154&gt;0.2,'Proposed Lighting'!P154,0)</f>
        <v>0</v>
      </c>
      <c r="I168" s="995">
        <f>'Proposed Lighting'!J154</f>
        <v>0</v>
      </c>
      <c r="J168" s="996"/>
      <c r="K168" s="996"/>
      <c r="L168" s="996"/>
      <c r="M168" s="996"/>
      <c r="N168" s="1005"/>
      <c r="O168" s="1296" t="str">
        <f>'Proposed Lighting'!Z154&amp;", "&amp;'Proposed Lighting'!EK154</f>
        <v xml:space="preserve">, </v>
      </c>
      <c r="P168" s="1292">
        <f>'Proposed Lighting'!T154</f>
        <v>0</v>
      </c>
      <c r="Q168" s="1293">
        <f>'Proposed Lighting'!AA154</f>
        <v>0</v>
      </c>
      <c r="R168" s="996"/>
      <c r="S168" s="1297">
        <f>IF('Proposed Lighting'!AR154=0,0,IF('Proposed Lighting'!AT154&gt;0.2,'Proposed Lighting'!AT154,0))</f>
        <v>0</v>
      </c>
      <c r="T168" s="997">
        <f>'Proposed Lighting'!X154</f>
        <v>0</v>
      </c>
      <c r="U168" s="998"/>
      <c r="V168" s="998"/>
      <c r="W168" s="1378">
        <f>IF('Proposed Lighting'!AF154=4,"WS",IF('Proposed Lighting'!AF154=5,"CM",IF('Proposed Lighting'!AF154=1.6,"PHOT",IF('Proposed Lighting'!AF154=1.5,"FM",IF('Proposed Lighting'!CT154=0.5,"LED-MS",IF('Proposed Lighting'!CB154&gt;1,"Non-S",IF('Proposed Lighting'!CT154=0.6,"LED-SS",IF('Proposed Lighting'!CT154=2,"LED-NW",IF('Proposed Lighting'!CT154=3,"LLLC",0)))))))))</f>
        <v>0</v>
      </c>
      <c r="X168" s="1293">
        <f>'Proposed Lighting'!EE154</f>
        <v>0</v>
      </c>
      <c r="Y168" s="1293">
        <f>'Proposed Lighting'!EF154</f>
        <v>0</v>
      </c>
    </row>
    <row r="169" spans="1:25" ht="50.1" customHeight="1">
      <c r="A169" s="1290">
        <v>147</v>
      </c>
      <c r="B169" s="1291">
        <f>'Proposed Lighting'!B155</f>
        <v>0</v>
      </c>
      <c r="C169" s="1291">
        <f>IF('Proposed Lighting'!M155="Sch 1","Sch 1",IF('Proposed Lighting'!M155="Sch 1-C", "Sch 1-C",IF('Proposed Lighting'!M155="Sch 2","Sch 2",IF('Proposed Lighting'!M155="Sch 2-C","Sch 2-C",IF('Proposed Lighting'!M155="Sch 3","Sch 3",IF('Proposed Lighting'!M155="Sch 3-C", "Sch 3-C",IF('Proposed Lighting'!M155="E", "E",IF('Proposed Lighting'!M155="E-C", "E-C",IF('Proposed Lighting'!M155="Dusk to Dawn","Sch D-D",IF('Proposed Lighting'!M155="Dusk to Dawn-C", "Sch DD-C",IF('Proposed Lighting'!M155="Seasonal", "SEA",IF('Proposed Lighting'!M155="Seasonal-C", "SEA-C",0))))))))))))</f>
        <v>0</v>
      </c>
      <c r="D169" s="1292">
        <f>'Proposed Lighting'!F155</f>
        <v>0</v>
      </c>
      <c r="E169" s="1293">
        <f>'Proposed Lighting'!N155</f>
        <v>0</v>
      </c>
      <c r="F169" s="996"/>
      <c r="G169" s="1294">
        <f>'Proposed Lighting'!K155</f>
        <v>0</v>
      </c>
      <c r="H169" s="1295">
        <f>IF('Proposed Lighting'!P155&gt;0.2,'Proposed Lighting'!P155,0)</f>
        <v>0</v>
      </c>
      <c r="I169" s="995">
        <f>'Proposed Lighting'!J155</f>
        <v>0</v>
      </c>
      <c r="J169" s="996"/>
      <c r="K169" s="996"/>
      <c r="L169" s="996"/>
      <c r="M169" s="996"/>
      <c r="N169" s="1005"/>
      <c r="O169" s="1296" t="str">
        <f>'Proposed Lighting'!Z155&amp;", "&amp;'Proposed Lighting'!EK155</f>
        <v xml:space="preserve">, </v>
      </c>
      <c r="P169" s="1292">
        <f>'Proposed Lighting'!T155</f>
        <v>0</v>
      </c>
      <c r="Q169" s="1293">
        <f>'Proposed Lighting'!AA155</f>
        <v>0</v>
      </c>
      <c r="R169" s="996"/>
      <c r="S169" s="1297">
        <f>IF('Proposed Lighting'!AR155=0,0,IF('Proposed Lighting'!AT155&gt;0.2,'Proposed Lighting'!AT155,0))</f>
        <v>0</v>
      </c>
      <c r="T169" s="997">
        <f>'Proposed Lighting'!X155</f>
        <v>0</v>
      </c>
      <c r="U169" s="998"/>
      <c r="V169" s="998"/>
      <c r="W169" s="1378">
        <f>IF('Proposed Lighting'!AF155=4,"WS",IF('Proposed Lighting'!AF155=5,"CM",IF('Proposed Lighting'!AF155=1.6,"PHOT",IF('Proposed Lighting'!AF155=1.5,"FM",IF('Proposed Lighting'!CT155=0.5,"LED-MS",IF('Proposed Lighting'!CB155&gt;1,"Non-S",IF('Proposed Lighting'!CT155=0.6,"LED-SS",IF('Proposed Lighting'!CT155=2,"LED-NW",IF('Proposed Lighting'!CT155=3,"LLLC",0)))))))))</f>
        <v>0</v>
      </c>
      <c r="X169" s="1293">
        <f>'Proposed Lighting'!EE155</f>
        <v>0</v>
      </c>
      <c r="Y169" s="1293">
        <f>'Proposed Lighting'!EF155</f>
        <v>0</v>
      </c>
    </row>
    <row r="170" spans="1:25" ht="50.1" customHeight="1">
      <c r="A170" s="1290">
        <v>148</v>
      </c>
      <c r="B170" s="1291">
        <f>'Proposed Lighting'!B156</f>
        <v>0</v>
      </c>
      <c r="C170" s="1291">
        <f>IF('Proposed Lighting'!M156="Sch 1","Sch 1",IF('Proposed Lighting'!M156="Sch 1-C", "Sch 1-C",IF('Proposed Lighting'!M156="Sch 2","Sch 2",IF('Proposed Lighting'!M156="Sch 2-C","Sch 2-C",IF('Proposed Lighting'!M156="Sch 3","Sch 3",IF('Proposed Lighting'!M156="Sch 3-C", "Sch 3-C",IF('Proposed Lighting'!M156="E", "E",IF('Proposed Lighting'!M156="E-C", "E-C",IF('Proposed Lighting'!M156="Dusk to Dawn","Sch D-D",IF('Proposed Lighting'!M156="Dusk to Dawn-C", "Sch DD-C",IF('Proposed Lighting'!M156="Seasonal", "SEA",IF('Proposed Lighting'!M156="Seasonal-C", "SEA-C",0))))))))))))</f>
        <v>0</v>
      </c>
      <c r="D170" s="1292">
        <f>'Proposed Lighting'!F156</f>
        <v>0</v>
      </c>
      <c r="E170" s="1293">
        <f>'Proposed Lighting'!N156</f>
        <v>0</v>
      </c>
      <c r="F170" s="996"/>
      <c r="G170" s="1294">
        <f>'Proposed Lighting'!K156</f>
        <v>0</v>
      </c>
      <c r="H170" s="1295">
        <f>IF('Proposed Lighting'!P156&gt;0.2,'Proposed Lighting'!P156,0)</f>
        <v>0</v>
      </c>
      <c r="I170" s="995">
        <f>'Proposed Lighting'!J156</f>
        <v>0</v>
      </c>
      <c r="J170" s="996"/>
      <c r="K170" s="996"/>
      <c r="L170" s="996"/>
      <c r="M170" s="996"/>
      <c r="N170" s="1005"/>
      <c r="O170" s="1296" t="str">
        <f>'Proposed Lighting'!Z156&amp;", "&amp;'Proposed Lighting'!EK156</f>
        <v xml:space="preserve">, </v>
      </c>
      <c r="P170" s="1292">
        <f>'Proposed Lighting'!T156</f>
        <v>0</v>
      </c>
      <c r="Q170" s="1293">
        <f>'Proposed Lighting'!AA156</f>
        <v>0</v>
      </c>
      <c r="R170" s="996"/>
      <c r="S170" s="1297">
        <f>IF('Proposed Lighting'!AR156=0,0,IF('Proposed Lighting'!AT156&gt;0.2,'Proposed Lighting'!AT156,0))</f>
        <v>0</v>
      </c>
      <c r="T170" s="997">
        <f>'Proposed Lighting'!X156</f>
        <v>0</v>
      </c>
      <c r="U170" s="998"/>
      <c r="V170" s="998"/>
      <c r="W170" s="1378">
        <f>IF('Proposed Lighting'!AF156=4,"WS",IF('Proposed Lighting'!AF156=5,"CM",IF('Proposed Lighting'!AF156=1.6,"PHOT",IF('Proposed Lighting'!AF156=1.5,"FM",IF('Proposed Lighting'!CT156=0.5,"LED-MS",IF('Proposed Lighting'!CB156&gt;1,"Non-S",IF('Proposed Lighting'!CT156=0.6,"LED-SS",IF('Proposed Lighting'!CT156=2,"LED-NW",IF('Proposed Lighting'!CT156=3,"LLLC",0)))))))))</f>
        <v>0</v>
      </c>
      <c r="X170" s="1293">
        <f>'Proposed Lighting'!EE156</f>
        <v>0</v>
      </c>
      <c r="Y170" s="1293">
        <f>'Proposed Lighting'!EF156</f>
        <v>0</v>
      </c>
    </row>
    <row r="171" spans="1:25" ht="50.1" customHeight="1">
      <c r="A171" s="1290">
        <v>149</v>
      </c>
      <c r="B171" s="1291">
        <f>'Proposed Lighting'!B157</f>
        <v>0</v>
      </c>
      <c r="C171" s="1291">
        <f>IF('Proposed Lighting'!M157="Sch 1","Sch 1",IF('Proposed Lighting'!M157="Sch 1-C", "Sch 1-C",IF('Proposed Lighting'!M157="Sch 2","Sch 2",IF('Proposed Lighting'!M157="Sch 2-C","Sch 2-C",IF('Proposed Lighting'!M157="Sch 3","Sch 3",IF('Proposed Lighting'!M157="Sch 3-C", "Sch 3-C",IF('Proposed Lighting'!M157="E", "E",IF('Proposed Lighting'!M157="E-C", "E-C",IF('Proposed Lighting'!M157="Dusk to Dawn","Sch D-D",IF('Proposed Lighting'!M157="Dusk to Dawn-C", "Sch DD-C",IF('Proposed Lighting'!M157="Seasonal", "SEA",IF('Proposed Lighting'!M157="Seasonal-C", "SEA-C",0))))))))))))</f>
        <v>0</v>
      </c>
      <c r="D171" s="1292">
        <f>'Proposed Lighting'!F157</f>
        <v>0</v>
      </c>
      <c r="E171" s="1293">
        <f>'Proposed Lighting'!N157</f>
        <v>0</v>
      </c>
      <c r="F171" s="996"/>
      <c r="G171" s="1294">
        <f>'Proposed Lighting'!K157</f>
        <v>0</v>
      </c>
      <c r="H171" s="1295">
        <f>IF('Proposed Lighting'!P157&gt;0.2,'Proposed Lighting'!P157,0)</f>
        <v>0</v>
      </c>
      <c r="I171" s="995">
        <f>'Proposed Lighting'!J157</f>
        <v>0</v>
      </c>
      <c r="J171" s="996"/>
      <c r="K171" s="996"/>
      <c r="L171" s="996"/>
      <c r="M171" s="996"/>
      <c r="N171" s="1005"/>
      <c r="O171" s="1296" t="str">
        <f>'Proposed Lighting'!Z157&amp;", "&amp;'Proposed Lighting'!EK157</f>
        <v xml:space="preserve">, </v>
      </c>
      <c r="P171" s="1292">
        <f>'Proposed Lighting'!T157</f>
        <v>0</v>
      </c>
      <c r="Q171" s="1293">
        <f>'Proposed Lighting'!AA157</f>
        <v>0</v>
      </c>
      <c r="R171" s="996"/>
      <c r="S171" s="1297">
        <f>IF('Proposed Lighting'!AR157=0,0,IF('Proposed Lighting'!AT157&gt;0.2,'Proposed Lighting'!AT157,0))</f>
        <v>0</v>
      </c>
      <c r="T171" s="997">
        <f>'Proposed Lighting'!X157</f>
        <v>0</v>
      </c>
      <c r="U171" s="998"/>
      <c r="V171" s="998"/>
      <c r="W171" s="1378">
        <f>IF('Proposed Lighting'!AF157=4,"WS",IF('Proposed Lighting'!AF157=5,"CM",IF('Proposed Lighting'!AF157=1.6,"PHOT",IF('Proposed Lighting'!AF157=1.5,"FM",IF('Proposed Lighting'!CT157=0.5,"LED-MS",IF('Proposed Lighting'!CB157&gt;1,"Non-S",IF('Proposed Lighting'!CT157=0.6,"LED-SS",IF('Proposed Lighting'!CT157=2,"LED-NW",IF('Proposed Lighting'!CT157=3,"LLLC",0)))))))))</f>
        <v>0</v>
      </c>
      <c r="X171" s="1293">
        <f>'Proposed Lighting'!EE157</f>
        <v>0</v>
      </c>
      <c r="Y171" s="1293">
        <f>'Proposed Lighting'!EF157</f>
        <v>0</v>
      </c>
    </row>
    <row r="172" spans="1:25" ht="50.1" customHeight="1">
      <c r="A172" s="1290">
        <v>150</v>
      </c>
      <c r="B172" s="1291">
        <f>'Proposed Lighting'!B158</f>
        <v>0</v>
      </c>
      <c r="C172" s="1291">
        <f>IF('Proposed Lighting'!M158="Sch 1","Sch 1",IF('Proposed Lighting'!M158="Sch 1-C", "Sch 1-C",IF('Proposed Lighting'!M158="Sch 2","Sch 2",IF('Proposed Lighting'!M158="Sch 2-C","Sch 2-C",IF('Proposed Lighting'!M158="Sch 3","Sch 3",IF('Proposed Lighting'!M158="Sch 3-C", "Sch 3-C",IF('Proposed Lighting'!M158="E", "E",IF('Proposed Lighting'!M158="E-C", "E-C",IF('Proposed Lighting'!M158="Dusk to Dawn","Sch D-D",IF('Proposed Lighting'!M158="Dusk to Dawn-C", "Sch DD-C",IF('Proposed Lighting'!M158="Seasonal", "SEA",IF('Proposed Lighting'!M158="Seasonal-C", "SEA-C",0))))))))))))</f>
        <v>0</v>
      </c>
      <c r="D172" s="1292">
        <f>'Proposed Lighting'!F158</f>
        <v>0</v>
      </c>
      <c r="E172" s="1293">
        <f>'Proposed Lighting'!N158</f>
        <v>0</v>
      </c>
      <c r="F172" s="996"/>
      <c r="G172" s="1294">
        <f>'Proposed Lighting'!K158</f>
        <v>0</v>
      </c>
      <c r="H172" s="1295">
        <f>IF('Proposed Lighting'!P158&gt;0.2,'Proposed Lighting'!P158,0)</f>
        <v>0</v>
      </c>
      <c r="I172" s="995">
        <f>'Proposed Lighting'!J158</f>
        <v>0</v>
      </c>
      <c r="J172" s="996"/>
      <c r="K172" s="996"/>
      <c r="L172" s="996"/>
      <c r="M172" s="996"/>
      <c r="N172" s="1005"/>
      <c r="O172" s="1296" t="str">
        <f>'Proposed Lighting'!Z158&amp;", "&amp;'Proposed Lighting'!EK158</f>
        <v xml:space="preserve">, </v>
      </c>
      <c r="P172" s="1292">
        <f>'Proposed Lighting'!T158</f>
        <v>0</v>
      </c>
      <c r="Q172" s="1293">
        <f>'Proposed Lighting'!AA158</f>
        <v>0</v>
      </c>
      <c r="R172" s="996"/>
      <c r="S172" s="1297">
        <f>IF('Proposed Lighting'!AR158=0,0,IF('Proposed Lighting'!AT158&gt;0.2,'Proposed Lighting'!AT158,0))</f>
        <v>0</v>
      </c>
      <c r="T172" s="997">
        <f>'Proposed Lighting'!X158</f>
        <v>0</v>
      </c>
      <c r="U172" s="998"/>
      <c r="V172" s="998"/>
      <c r="W172" s="1378">
        <f>IF('Proposed Lighting'!AF158=4,"WS",IF('Proposed Lighting'!AF158=5,"CM",IF('Proposed Lighting'!AF158=1.6,"PHOT",IF('Proposed Lighting'!AF158=1.5,"FM",IF('Proposed Lighting'!CT158=0.5,"LED-MS",IF('Proposed Lighting'!CB158&gt;1,"Non-S",IF('Proposed Lighting'!CT158=0.6,"LED-SS",IF('Proposed Lighting'!CT158=2,"LED-NW",IF('Proposed Lighting'!CT158=3,"LLLC",0)))))))))</f>
        <v>0</v>
      </c>
      <c r="X172" s="1293">
        <f>'Proposed Lighting'!EE158</f>
        <v>0</v>
      </c>
      <c r="Y172" s="1293">
        <f>'Proposed Lighting'!EF158</f>
        <v>0</v>
      </c>
    </row>
    <row r="173" spans="1:25" ht="50.1" customHeight="1">
      <c r="A173" s="1290">
        <v>151</v>
      </c>
      <c r="B173" s="1291">
        <f>'Proposed Lighting'!B159</f>
        <v>0</v>
      </c>
      <c r="C173" s="1291">
        <f>IF('Proposed Lighting'!M159="Sch 1","Sch 1",IF('Proposed Lighting'!M159="Sch 1-C", "Sch 1-C",IF('Proposed Lighting'!M159="Sch 2","Sch 2",IF('Proposed Lighting'!M159="Sch 2-C","Sch 2-C",IF('Proposed Lighting'!M159="Sch 3","Sch 3",IF('Proposed Lighting'!M159="Sch 3-C", "Sch 3-C",IF('Proposed Lighting'!M159="E", "E",IF('Proposed Lighting'!M159="E-C", "E-C",IF('Proposed Lighting'!M159="Dusk to Dawn","Sch D-D",IF('Proposed Lighting'!M159="Dusk to Dawn-C", "Sch DD-C",IF('Proposed Lighting'!M159="Seasonal", "SEA",IF('Proposed Lighting'!M159="Seasonal-C", "SEA-C",0))))))))))))</f>
        <v>0</v>
      </c>
      <c r="D173" s="1292">
        <f>'Proposed Lighting'!F159</f>
        <v>0</v>
      </c>
      <c r="E173" s="1293">
        <f>'Proposed Lighting'!N159</f>
        <v>0</v>
      </c>
      <c r="F173" s="996"/>
      <c r="G173" s="1294">
        <f>'Proposed Lighting'!K159</f>
        <v>0</v>
      </c>
      <c r="H173" s="1295">
        <f>IF('Proposed Lighting'!P159&gt;0.2,'Proposed Lighting'!P159,0)</f>
        <v>0</v>
      </c>
      <c r="I173" s="995">
        <f>'Proposed Lighting'!J159</f>
        <v>0</v>
      </c>
      <c r="J173" s="996"/>
      <c r="K173" s="996"/>
      <c r="L173" s="996"/>
      <c r="M173" s="996"/>
      <c r="N173" s="1005"/>
      <c r="O173" s="1296" t="str">
        <f>'Proposed Lighting'!Z159&amp;", "&amp;'Proposed Lighting'!EK159</f>
        <v xml:space="preserve">, </v>
      </c>
      <c r="P173" s="1292">
        <f>'Proposed Lighting'!T159</f>
        <v>0</v>
      </c>
      <c r="Q173" s="1293">
        <f>'Proposed Lighting'!AA159</f>
        <v>0</v>
      </c>
      <c r="R173" s="996"/>
      <c r="S173" s="1297">
        <f>IF('Proposed Lighting'!AR159=0,0,IF('Proposed Lighting'!AT159&gt;0.2,'Proposed Lighting'!AT159,0))</f>
        <v>0</v>
      </c>
      <c r="T173" s="997">
        <f>'Proposed Lighting'!X159</f>
        <v>0</v>
      </c>
      <c r="U173" s="998"/>
      <c r="V173" s="998"/>
      <c r="W173" s="1378">
        <f>IF('Proposed Lighting'!AF159=4,"WS",IF('Proposed Lighting'!AF159=5,"CM",IF('Proposed Lighting'!AF159=1.6,"PHOT",IF('Proposed Lighting'!AF159=1.5,"FM",IF('Proposed Lighting'!CT159=0.5,"LED-MS",IF('Proposed Lighting'!CB159&gt;1,"Non-S",IF('Proposed Lighting'!CT159=0.6,"LED-SS",IF('Proposed Lighting'!CT159=2,"LED-NW",IF('Proposed Lighting'!CT159=3,"LLLC",0)))))))))</f>
        <v>0</v>
      </c>
      <c r="X173" s="1293">
        <f>'Proposed Lighting'!EE159</f>
        <v>0</v>
      </c>
      <c r="Y173" s="1293">
        <f>'Proposed Lighting'!EF159</f>
        <v>0</v>
      </c>
    </row>
    <row r="174" spans="1:25" ht="50.1" customHeight="1">
      <c r="A174" s="1290">
        <v>152</v>
      </c>
      <c r="B174" s="1291">
        <f>'Proposed Lighting'!B160</f>
        <v>0</v>
      </c>
      <c r="C174" s="1291">
        <f>IF('Proposed Lighting'!M160="Sch 1","Sch 1",IF('Proposed Lighting'!M160="Sch 1-C", "Sch 1-C",IF('Proposed Lighting'!M160="Sch 2","Sch 2",IF('Proposed Lighting'!M160="Sch 2-C","Sch 2-C",IF('Proposed Lighting'!M160="Sch 3","Sch 3",IF('Proposed Lighting'!M160="Sch 3-C", "Sch 3-C",IF('Proposed Lighting'!M160="E", "E",IF('Proposed Lighting'!M160="E-C", "E-C",IF('Proposed Lighting'!M160="Dusk to Dawn","Sch D-D",IF('Proposed Lighting'!M160="Dusk to Dawn-C", "Sch DD-C",IF('Proposed Lighting'!M160="Seasonal", "SEA",IF('Proposed Lighting'!M160="Seasonal-C", "SEA-C",0))))))))))))</f>
        <v>0</v>
      </c>
      <c r="D174" s="1292">
        <f>'Proposed Lighting'!F160</f>
        <v>0</v>
      </c>
      <c r="E174" s="1293">
        <f>'Proposed Lighting'!N160</f>
        <v>0</v>
      </c>
      <c r="F174" s="996"/>
      <c r="G174" s="1294">
        <f>'Proposed Lighting'!K160</f>
        <v>0</v>
      </c>
      <c r="H174" s="1295">
        <f>IF('Proposed Lighting'!P160&gt;0.2,'Proposed Lighting'!P160,0)</f>
        <v>0</v>
      </c>
      <c r="I174" s="995">
        <f>'Proposed Lighting'!J160</f>
        <v>0</v>
      </c>
      <c r="J174" s="996"/>
      <c r="K174" s="996"/>
      <c r="L174" s="996"/>
      <c r="M174" s="996"/>
      <c r="N174" s="1005"/>
      <c r="O174" s="1296" t="str">
        <f>'Proposed Lighting'!Z160&amp;", "&amp;'Proposed Lighting'!EK160</f>
        <v xml:space="preserve">, </v>
      </c>
      <c r="P174" s="1292">
        <f>'Proposed Lighting'!T160</f>
        <v>0</v>
      </c>
      <c r="Q174" s="1293">
        <f>'Proposed Lighting'!AA160</f>
        <v>0</v>
      </c>
      <c r="R174" s="996"/>
      <c r="S174" s="1297">
        <f>IF('Proposed Lighting'!AR160=0,0,IF('Proposed Lighting'!AT160&gt;0.2,'Proposed Lighting'!AT160,0))</f>
        <v>0</v>
      </c>
      <c r="T174" s="997">
        <f>'Proposed Lighting'!X160</f>
        <v>0</v>
      </c>
      <c r="U174" s="998"/>
      <c r="V174" s="998"/>
      <c r="W174" s="1378">
        <f>IF('Proposed Lighting'!AF160=4,"WS",IF('Proposed Lighting'!AF160=5,"CM",IF('Proposed Lighting'!AF160=1.6,"PHOT",IF('Proposed Lighting'!AF160=1.5,"FM",IF('Proposed Lighting'!CT160=0.5,"LED-MS",IF('Proposed Lighting'!CB160&gt;1,"Non-S",IF('Proposed Lighting'!CT160=0.6,"LED-SS",IF('Proposed Lighting'!CT160=2,"LED-NW",IF('Proposed Lighting'!CT160=3,"LLLC",0)))))))))</f>
        <v>0</v>
      </c>
      <c r="X174" s="1293">
        <f>'Proposed Lighting'!EE160</f>
        <v>0</v>
      </c>
      <c r="Y174" s="1293">
        <f>'Proposed Lighting'!EF160</f>
        <v>0</v>
      </c>
    </row>
    <row r="175" spans="1:25" ht="50.1" customHeight="1">
      <c r="A175" s="1290">
        <v>153</v>
      </c>
      <c r="B175" s="1291">
        <f>'Proposed Lighting'!B161</f>
        <v>0</v>
      </c>
      <c r="C175" s="1291">
        <f>IF('Proposed Lighting'!M161="Sch 1","Sch 1",IF('Proposed Lighting'!M161="Sch 1-C", "Sch 1-C",IF('Proposed Lighting'!M161="Sch 2","Sch 2",IF('Proposed Lighting'!M161="Sch 2-C","Sch 2-C",IF('Proposed Lighting'!M161="Sch 3","Sch 3",IF('Proposed Lighting'!M161="Sch 3-C", "Sch 3-C",IF('Proposed Lighting'!M161="E", "E",IF('Proposed Lighting'!M161="E-C", "E-C",IF('Proposed Lighting'!M161="Dusk to Dawn","Sch D-D",IF('Proposed Lighting'!M161="Dusk to Dawn-C", "Sch DD-C",IF('Proposed Lighting'!M161="Seasonal", "SEA",IF('Proposed Lighting'!M161="Seasonal-C", "SEA-C",0))))))))))))</f>
        <v>0</v>
      </c>
      <c r="D175" s="1292">
        <f>'Proposed Lighting'!F161</f>
        <v>0</v>
      </c>
      <c r="E175" s="1293">
        <f>'Proposed Lighting'!N161</f>
        <v>0</v>
      </c>
      <c r="F175" s="996"/>
      <c r="G175" s="1294">
        <f>'Proposed Lighting'!K161</f>
        <v>0</v>
      </c>
      <c r="H175" s="1295">
        <f>IF('Proposed Lighting'!P161&gt;0.2,'Proposed Lighting'!P161,0)</f>
        <v>0</v>
      </c>
      <c r="I175" s="995">
        <f>'Proposed Lighting'!J161</f>
        <v>0</v>
      </c>
      <c r="J175" s="996"/>
      <c r="K175" s="996"/>
      <c r="L175" s="996"/>
      <c r="M175" s="996"/>
      <c r="N175" s="1005"/>
      <c r="O175" s="1296" t="str">
        <f>'Proposed Lighting'!Z161&amp;", "&amp;'Proposed Lighting'!EK161</f>
        <v xml:space="preserve">, </v>
      </c>
      <c r="P175" s="1292">
        <f>'Proposed Lighting'!T161</f>
        <v>0</v>
      </c>
      <c r="Q175" s="1293">
        <f>'Proposed Lighting'!AA161</f>
        <v>0</v>
      </c>
      <c r="R175" s="996"/>
      <c r="S175" s="1297">
        <f>IF('Proposed Lighting'!AR161=0,0,IF('Proposed Lighting'!AT161&gt;0.2,'Proposed Lighting'!AT161,0))</f>
        <v>0</v>
      </c>
      <c r="T175" s="997">
        <f>'Proposed Lighting'!X161</f>
        <v>0</v>
      </c>
      <c r="U175" s="998"/>
      <c r="V175" s="998"/>
      <c r="W175" s="1378">
        <f>IF('Proposed Lighting'!AF161=4,"WS",IF('Proposed Lighting'!AF161=5,"CM",IF('Proposed Lighting'!AF161=1.6,"PHOT",IF('Proposed Lighting'!AF161=1.5,"FM",IF('Proposed Lighting'!CT161=0.5,"LED-MS",IF('Proposed Lighting'!CB161&gt;1,"Non-S",IF('Proposed Lighting'!CT161=0.6,"LED-SS",IF('Proposed Lighting'!CT161=2,"LED-NW",IF('Proposed Lighting'!CT161=3,"LLLC",0)))))))))</f>
        <v>0</v>
      </c>
      <c r="X175" s="1293">
        <f>'Proposed Lighting'!EE161</f>
        <v>0</v>
      </c>
      <c r="Y175" s="1293">
        <f>'Proposed Lighting'!EF161</f>
        <v>0</v>
      </c>
    </row>
    <row r="176" spans="1:25" ht="50.1" customHeight="1">
      <c r="A176" s="1290">
        <v>154</v>
      </c>
      <c r="B176" s="1291">
        <f>'Proposed Lighting'!B162</f>
        <v>0</v>
      </c>
      <c r="C176" s="1291">
        <f>IF('Proposed Lighting'!M162="Sch 1","Sch 1",IF('Proposed Lighting'!M162="Sch 1-C", "Sch 1-C",IF('Proposed Lighting'!M162="Sch 2","Sch 2",IF('Proposed Lighting'!M162="Sch 2-C","Sch 2-C",IF('Proposed Lighting'!M162="Sch 3","Sch 3",IF('Proposed Lighting'!M162="Sch 3-C", "Sch 3-C",IF('Proposed Lighting'!M162="E", "E",IF('Proposed Lighting'!M162="E-C", "E-C",IF('Proposed Lighting'!M162="Dusk to Dawn","Sch D-D",IF('Proposed Lighting'!M162="Dusk to Dawn-C", "Sch DD-C",IF('Proposed Lighting'!M162="Seasonal", "SEA",IF('Proposed Lighting'!M162="Seasonal-C", "SEA-C",0))))))))))))</f>
        <v>0</v>
      </c>
      <c r="D176" s="1292">
        <f>'Proposed Lighting'!F162</f>
        <v>0</v>
      </c>
      <c r="E176" s="1293">
        <f>'Proposed Lighting'!N162</f>
        <v>0</v>
      </c>
      <c r="F176" s="996"/>
      <c r="G176" s="1294">
        <f>'Proposed Lighting'!K162</f>
        <v>0</v>
      </c>
      <c r="H176" s="1295">
        <f>IF('Proposed Lighting'!P162&gt;0.2,'Proposed Lighting'!P162,0)</f>
        <v>0</v>
      </c>
      <c r="I176" s="995">
        <f>'Proposed Lighting'!J162</f>
        <v>0</v>
      </c>
      <c r="J176" s="996"/>
      <c r="K176" s="996"/>
      <c r="L176" s="996"/>
      <c r="M176" s="996"/>
      <c r="N176" s="1005"/>
      <c r="O176" s="1296" t="str">
        <f>'Proposed Lighting'!Z162&amp;", "&amp;'Proposed Lighting'!EK162</f>
        <v xml:space="preserve">, </v>
      </c>
      <c r="P176" s="1292">
        <f>'Proposed Lighting'!T162</f>
        <v>0</v>
      </c>
      <c r="Q176" s="1293">
        <f>'Proposed Lighting'!AA162</f>
        <v>0</v>
      </c>
      <c r="R176" s="996"/>
      <c r="S176" s="1297">
        <f>IF('Proposed Lighting'!AR162=0,0,IF('Proposed Lighting'!AT162&gt;0.2,'Proposed Lighting'!AT162,0))</f>
        <v>0</v>
      </c>
      <c r="T176" s="997">
        <f>'Proposed Lighting'!X162</f>
        <v>0</v>
      </c>
      <c r="U176" s="998"/>
      <c r="V176" s="998"/>
      <c r="W176" s="1378">
        <f>IF('Proposed Lighting'!AF162=4,"WS",IF('Proposed Lighting'!AF162=5,"CM",IF('Proposed Lighting'!AF162=1.6,"PHOT",IF('Proposed Lighting'!AF162=1.5,"FM",IF('Proposed Lighting'!CT162=0.5,"LED-MS",IF('Proposed Lighting'!CB162&gt;1,"Non-S",IF('Proposed Lighting'!CT162=0.6,"LED-SS",IF('Proposed Lighting'!CT162=2,"LED-NW",IF('Proposed Lighting'!CT162=3,"LLLC",0)))))))))</f>
        <v>0</v>
      </c>
      <c r="X176" s="1293">
        <f>'Proposed Lighting'!EE162</f>
        <v>0</v>
      </c>
      <c r="Y176" s="1293">
        <f>'Proposed Lighting'!EF162</f>
        <v>0</v>
      </c>
    </row>
    <row r="177" spans="1:25" ht="50.1" customHeight="1">
      <c r="A177" s="1290">
        <v>155</v>
      </c>
      <c r="B177" s="1291">
        <f>'Proposed Lighting'!B163</f>
        <v>0</v>
      </c>
      <c r="C177" s="1291">
        <f>IF('Proposed Lighting'!M163="Sch 1","Sch 1",IF('Proposed Lighting'!M163="Sch 1-C", "Sch 1-C",IF('Proposed Lighting'!M163="Sch 2","Sch 2",IF('Proposed Lighting'!M163="Sch 2-C","Sch 2-C",IF('Proposed Lighting'!M163="Sch 3","Sch 3",IF('Proposed Lighting'!M163="Sch 3-C", "Sch 3-C",IF('Proposed Lighting'!M163="E", "E",IF('Proposed Lighting'!M163="E-C", "E-C",IF('Proposed Lighting'!M163="Dusk to Dawn","Sch D-D",IF('Proposed Lighting'!M163="Dusk to Dawn-C", "Sch DD-C",IF('Proposed Lighting'!M163="Seasonal", "SEA",IF('Proposed Lighting'!M163="Seasonal-C", "SEA-C",0))))))))))))</f>
        <v>0</v>
      </c>
      <c r="D177" s="1292">
        <f>'Proposed Lighting'!F163</f>
        <v>0</v>
      </c>
      <c r="E177" s="1293">
        <f>'Proposed Lighting'!N163</f>
        <v>0</v>
      </c>
      <c r="F177" s="996"/>
      <c r="G177" s="1294">
        <f>'Proposed Lighting'!K163</f>
        <v>0</v>
      </c>
      <c r="H177" s="1295">
        <f>IF('Proposed Lighting'!P163&gt;0.2,'Proposed Lighting'!P163,0)</f>
        <v>0</v>
      </c>
      <c r="I177" s="995">
        <f>'Proposed Lighting'!J163</f>
        <v>0</v>
      </c>
      <c r="J177" s="996"/>
      <c r="K177" s="996"/>
      <c r="L177" s="996"/>
      <c r="M177" s="996"/>
      <c r="N177" s="1005"/>
      <c r="O177" s="1296" t="str">
        <f>'Proposed Lighting'!Z163&amp;", "&amp;'Proposed Lighting'!EK163</f>
        <v xml:space="preserve">, </v>
      </c>
      <c r="P177" s="1292">
        <f>'Proposed Lighting'!T163</f>
        <v>0</v>
      </c>
      <c r="Q177" s="1293">
        <f>'Proposed Lighting'!AA163</f>
        <v>0</v>
      </c>
      <c r="R177" s="996"/>
      <c r="S177" s="1297">
        <f>IF('Proposed Lighting'!AR163=0,0,IF('Proposed Lighting'!AT163&gt;0.2,'Proposed Lighting'!AT163,0))</f>
        <v>0</v>
      </c>
      <c r="T177" s="997">
        <f>'Proposed Lighting'!X163</f>
        <v>0</v>
      </c>
      <c r="U177" s="998"/>
      <c r="V177" s="998"/>
      <c r="W177" s="1378">
        <f>IF('Proposed Lighting'!AF163=4,"WS",IF('Proposed Lighting'!AF163=5,"CM",IF('Proposed Lighting'!AF163=1.6,"PHOT",IF('Proposed Lighting'!AF163=1.5,"FM",IF('Proposed Lighting'!CT163=0.5,"LED-MS",IF('Proposed Lighting'!CB163&gt;1,"Non-S",IF('Proposed Lighting'!CT163=0.6,"LED-SS",IF('Proposed Lighting'!CT163=2,"LED-NW",IF('Proposed Lighting'!CT163=3,"LLLC",0)))))))))</f>
        <v>0</v>
      </c>
      <c r="X177" s="1293">
        <f>'Proposed Lighting'!EE163</f>
        <v>0</v>
      </c>
      <c r="Y177" s="1293">
        <f>'Proposed Lighting'!EF163</f>
        <v>0</v>
      </c>
    </row>
    <row r="178" spans="1:25" ht="50.1" customHeight="1">
      <c r="A178" s="1290">
        <v>156</v>
      </c>
      <c r="B178" s="1291">
        <f>'Proposed Lighting'!B164</f>
        <v>0</v>
      </c>
      <c r="C178" s="1291">
        <f>IF('Proposed Lighting'!M164="Sch 1","Sch 1",IF('Proposed Lighting'!M164="Sch 1-C", "Sch 1-C",IF('Proposed Lighting'!M164="Sch 2","Sch 2",IF('Proposed Lighting'!M164="Sch 2-C","Sch 2-C",IF('Proposed Lighting'!M164="Sch 3","Sch 3",IF('Proposed Lighting'!M164="Sch 3-C", "Sch 3-C",IF('Proposed Lighting'!M164="E", "E",IF('Proposed Lighting'!M164="E-C", "E-C",IF('Proposed Lighting'!M164="Dusk to Dawn","Sch D-D",IF('Proposed Lighting'!M164="Dusk to Dawn-C", "Sch DD-C",IF('Proposed Lighting'!M164="Seasonal", "SEA",IF('Proposed Lighting'!M164="Seasonal-C", "SEA-C",0))))))))))))</f>
        <v>0</v>
      </c>
      <c r="D178" s="1292">
        <f>'Proposed Lighting'!F164</f>
        <v>0</v>
      </c>
      <c r="E178" s="1293">
        <f>'Proposed Lighting'!N164</f>
        <v>0</v>
      </c>
      <c r="F178" s="996"/>
      <c r="G178" s="1294">
        <f>'Proposed Lighting'!K164</f>
        <v>0</v>
      </c>
      <c r="H178" s="1295">
        <f>IF('Proposed Lighting'!P164&gt;0.2,'Proposed Lighting'!P164,0)</f>
        <v>0</v>
      </c>
      <c r="I178" s="995">
        <f>'Proposed Lighting'!J164</f>
        <v>0</v>
      </c>
      <c r="J178" s="996"/>
      <c r="K178" s="996"/>
      <c r="L178" s="996"/>
      <c r="M178" s="996"/>
      <c r="N178" s="1005"/>
      <c r="O178" s="1296" t="str">
        <f>'Proposed Lighting'!Z164&amp;", "&amp;'Proposed Lighting'!EK164</f>
        <v xml:space="preserve">, </v>
      </c>
      <c r="P178" s="1292">
        <f>'Proposed Lighting'!T164</f>
        <v>0</v>
      </c>
      <c r="Q178" s="1293">
        <f>'Proposed Lighting'!AA164</f>
        <v>0</v>
      </c>
      <c r="R178" s="996"/>
      <c r="S178" s="1297">
        <f>IF('Proposed Lighting'!AR164=0,0,IF('Proposed Lighting'!AT164&gt;0.2,'Proposed Lighting'!AT164,0))</f>
        <v>0</v>
      </c>
      <c r="T178" s="997">
        <f>'Proposed Lighting'!X164</f>
        <v>0</v>
      </c>
      <c r="U178" s="998"/>
      <c r="V178" s="998"/>
      <c r="W178" s="1378">
        <f>IF('Proposed Lighting'!AF164=4,"WS",IF('Proposed Lighting'!AF164=5,"CM",IF('Proposed Lighting'!AF164=1.6,"PHOT",IF('Proposed Lighting'!AF164=1.5,"FM",IF('Proposed Lighting'!CT164=0.5,"LED-MS",IF('Proposed Lighting'!CB164&gt;1,"Non-S",IF('Proposed Lighting'!CT164=0.6,"LED-SS",IF('Proposed Lighting'!CT164=2,"LED-NW",IF('Proposed Lighting'!CT164=3,"LLLC",0)))))))))</f>
        <v>0</v>
      </c>
      <c r="X178" s="1293">
        <f>'Proposed Lighting'!EE164</f>
        <v>0</v>
      </c>
      <c r="Y178" s="1293">
        <f>'Proposed Lighting'!EF164</f>
        <v>0</v>
      </c>
    </row>
    <row r="179" spans="1:25" ht="50.1" customHeight="1">
      <c r="A179" s="1290">
        <v>157</v>
      </c>
      <c r="B179" s="1291">
        <f>'Proposed Lighting'!B165</f>
        <v>0</v>
      </c>
      <c r="C179" s="1291">
        <f>IF('Proposed Lighting'!M165="Sch 1","Sch 1",IF('Proposed Lighting'!M165="Sch 1-C", "Sch 1-C",IF('Proposed Lighting'!M165="Sch 2","Sch 2",IF('Proposed Lighting'!M165="Sch 2-C","Sch 2-C",IF('Proposed Lighting'!M165="Sch 3","Sch 3",IF('Proposed Lighting'!M165="Sch 3-C", "Sch 3-C",IF('Proposed Lighting'!M165="E", "E",IF('Proposed Lighting'!M165="E-C", "E-C",IF('Proposed Lighting'!M165="Dusk to Dawn","Sch D-D",IF('Proposed Lighting'!M165="Dusk to Dawn-C", "Sch DD-C",IF('Proposed Lighting'!M165="Seasonal", "SEA",IF('Proposed Lighting'!M165="Seasonal-C", "SEA-C",0))))))))))))</f>
        <v>0</v>
      </c>
      <c r="D179" s="1292">
        <f>'Proposed Lighting'!F165</f>
        <v>0</v>
      </c>
      <c r="E179" s="1293">
        <f>'Proposed Lighting'!N165</f>
        <v>0</v>
      </c>
      <c r="F179" s="996"/>
      <c r="G179" s="1294">
        <f>'Proposed Lighting'!K165</f>
        <v>0</v>
      </c>
      <c r="H179" s="1295">
        <f>IF('Proposed Lighting'!P165&gt;0.2,'Proposed Lighting'!P165,0)</f>
        <v>0</v>
      </c>
      <c r="I179" s="995">
        <f>'Proposed Lighting'!J165</f>
        <v>0</v>
      </c>
      <c r="J179" s="996"/>
      <c r="K179" s="996"/>
      <c r="L179" s="996"/>
      <c r="M179" s="996"/>
      <c r="N179" s="1005"/>
      <c r="O179" s="1296" t="str">
        <f>'Proposed Lighting'!Z165&amp;", "&amp;'Proposed Lighting'!EK165</f>
        <v xml:space="preserve">, </v>
      </c>
      <c r="P179" s="1292">
        <f>'Proposed Lighting'!T165</f>
        <v>0</v>
      </c>
      <c r="Q179" s="1293">
        <f>'Proposed Lighting'!AA165</f>
        <v>0</v>
      </c>
      <c r="R179" s="996"/>
      <c r="S179" s="1297">
        <f>IF('Proposed Lighting'!AR165=0,0,IF('Proposed Lighting'!AT165&gt;0.2,'Proposed Lighting'!AT165,0))</f>
        <v>0</v>
      </c>
      <c r="T179" s="997">
        <f>'Proposed Lighting'!X165</f>
        <v>0</v>
      </c>
      <c r="U179" s="998"/>
      <c r="V179" s="998"/>
      <c r="W179" s="1378">
        <f>IF('Proposed Lighting'!AF165=4,"WS",IF('Proposed Lighting'!AF165=5,"CM",IF('Proposed Lighting'!AF165=1.6,"PHOT",IF('Proposed Lighting'!AF165=1.5,"FM",IF('Proposed Lighting'!CT165=0.5,"LED-MS",IF('Proposed Lighting'!CB165&gt;1,"Non-S",IF('Proposed Lighting'!CT165=0.6,"LED-SS",IF('Proposed Lighting'!CT165=2,"LED-NW",IF('Proposed Lighting'!CT165=3,"LLLC",0)))))))))</f>
        <v>0</v>
      </c>
      <c r="X179" s="1293">
        <f>'Proposed Lighting'!EE165</f>
        <v>0</v>
      </c>
      <c r="Y179" s="1293">
        <f>'Proposed Lighting'!EF165</f>
        <v>0</v>
      </c>
    </row>
    <row r="180" spans="1:25" ht="50.1" customHeight="1">
      <c r="A180" s="1290">
        <v>158</v>
      </c>
      <c r="B180" s="1291">
        <f>'Proposed Lighting'!B166</f>
        <v>0</v>
      </c>
      <c r="C180" s="1291">
        <f>IF('Proposed Lighting'!M166="Sch 1","Sch 1",IF('Proposed Lighting'!M166="Sch 1-C", "Sch 1-C",IF('Proposed Lighting'!M166="Sch 2","Sch 2",IF('Proposed Lighting'!M166="Sch 2-C","Sch 2-C",IF('Proposed Lighting'!M166="Sch 3","Sch 3",IF('Proposed Lighting'!M166="Sch 3-C", "Sch 3-C",IF('Proposed Lighting'!M166="E", "E",IF('Proposed Lighting'!M166="E-C", "E-C",IF('Proposed Lighting'!M166="Dusk to Dawn","Sch D-D",IF('Proposed Lighting'!M166="Dusk to Dawn-C", "Sch DD-C",IF('Proposed Lighting'!M166="Seasonal", "SEA",IF('Proposed Lighting'!M166="Seasonal-C", "SEA-C",0))))))))))))</f>
        <v>0</v>
      </c>
      <c r="D180" s="1292">
        <f>'Proposed Lighting'!F166</f>
        <v>0</v>
      </c>
      <c r="E180" s="1293">
        <f>'Proposed Lighting'!N166</f>
        <v>0</v>
      </c>
      <c r="F180" s="996"/>
      <c r="G180" s="1294">
        <f>'Proposed Lighting'!K166</f>
        <v>0</v>
      </c>
      <c r="H180" s="1295">
        <f>IF('Proposed Lighting'!P166&gt;0.2,'Proposed Lighting'!P166,0)</f>
        <v>0</v>
      </c>
      <c r="I180" s="995">
        <f>'Proposed Lighting'!J166</f>
        <v>0</v>
      </c>
      <c r="J180" s="996"/>
      <c r="K180" s="996"/>
      <c r="L180" s="996"/>
      <c r="M180" s="996"/>
      <c r="N180" s="1005"/>
      <c r="O180" s="1296" t="str">
        <f>'Proposed Lighting'!Z166&amp;", "&amp;'Proposed Lighting'!EK166</f>
        <v xml:space="preserve">, </v>
      </c>
      <c r="P180" s="1292">
        <f>'Proposed Lighting'!T166</f>
        <v>0</v>
      </c>
      <c r="Q180" s="1293">
        <f>'Proposed Lighting'!AA166</f>
        <v>0</v>
      </c>
      <c r="R180" s="996"/>
      <c r="S180" s="1297">
        <f>IF('Proposed Lighting'!AR166=0,0,IF('Proposed Lighting'!AT166&gt;0.2,'Proposed Lighting'!AT166,0))</f>
        <v>0</v>
      </c>
      <c r="T180" s="997">
        <f>'Proposed Lighting'!X166</f>
        <v>0</v>
      </c>
      <c r="U180" s="998"/>
      <c r="V180" s="998"/>
      <c r="W180" s="1378">
        <f>IF('Proposed Lighting'!AF166=4,"WS",IF('Proposed Lighting'!AF166=5,"CM",IF('Proposed Lighting'!AF166=1.6,"PHOT",IF('Proposed Lighting'!AF166=1.5,"FM",IF('Proposed Lighting'!CT166=0.5,"LED-MS",IF('Proposed Lighting'!CB166&gt;1,"Non-S",IF('Proposed Lighting'!CT166=0.6,"LED-SS",IF('Proposed Lighting'!CT166=2,"LED-NW",IF('Proposed Lighting'!CT166=3,"LLLC",0)))))))))</f>
        <v>0</v>
      </c>
      <c r="X180" s="1293">
        <f>'Proposed Lighting'!EE166</f>
        <v>0</v>
      </c>
      <c r="Y180" s="1293">
        <f>'Proposed Lighting'!EF166</f>
        <v>0</v>
      </c>
    </row>
    <row r="181" spans="1:25" ht="50.1" customHeight="1">
      <c r="A181" s="1290">
        <v>159</v>
      </c>
      <c r="B181" s="1291">
        <f>'Proposed Lighting'!B167</f>
        <v>0</v>
      </c>
      <c r="C181" s="1291">
        <f>IF('Proposed Lighting'!M167="Sch 1","Sch 1",IF('Proposed Lighting'!M167="Sch 1-C", "Sch 1-C",IF('Proposed Lighting'!M167="Sch 2","Sch 2",IF('Proposed Lighting'!M167="Sch 2-C","Sch 2-C",IF('Proposed Lighting'!M167="Sch 3","Sch 3",IF('Proposed Lighting'!M167="Sch 3-C", "Sch 3-C",IF('Proposed Lighting'!M167="E", "E",IF('Proposed Lighting'!M167="E-C", "E-C",IF('Proposed Lighting'!M167="Dusk to Dawn","Sch D-D",IF('Proposed Lighting'!M167="Dusk to Dawn-C", "Sch DD-C",IF('Proposed Lighting'!M167="Seasonal", "SEA",IF('Proposed Lighting'!M167="Seasonal-C", "SEA-C",0))))))))))))</f>
        <v>0</v>
      </c>
      <c r="D181" s="1292">
        <f>'Proposed Lighting'!F167</f>
        <v>0</v>
      </c>
      <c r="E181" s="1293">
        <f>'Proposed Lighting'!N167</f>
        <v>0</v>
      </c>
      <c r="F181" s="996"/>
      <c r="G181" s="1294">
        <f>'Proposed Lighting'!K167</f>
        <v>0</v>
      </c>
      <c r="H181" s="1295">
        <f>IF('Proposed Lighting'!P167&gt;0.2,'Proposed Lighting'!P167,0)</f>
        <v>0</v>
      </c>
      <c r="I181" s="995">
        <f>'Proposed Lighting'!J167</f>
        <v>0</v>
      </c>
      <c r="J181" s="996"/>
      <c r="K181" s="996"/>
      <c r="L181" s="996"/>
      <c r="M181" s="996"/>
      <c r="N181" s="1005"/>
      <c r="O181" s="1296" t="str">
        <f>'Proposed Lighting'!Z167&amp;", "&amp;'Proposed Lighting'!EK167</f>
        <v xml:space="preserve">, </v>
      </c>
      <c r="P181" s="1292">
        <f>'Proposed Lighting'!T167</f>
        <v>0</v>
      </c>
      <c r="Q181" s="1293">
        <f>'Proposed Lighting'!AA167</f>
        <v>0</v>
      </c>
      <c r="R181" s="996"/>
      <c r="S181" s="1297">
        <f>IF('Proposed Lighting'!AR167=0,0,IF('Proposed Lighting'!AT167&gt;0.2,'Proposed Lighting'!AT167,0))</f>
        <v>0</v>
      </c>
      <c r="T181" s="997">
        <f>'Proposed Lighting'!X167</f>
        <v>0</v>
      </c>
      <c r="U181" s="998"/>
      <c r="V181" s="998"/>
      <c r="W181" s="1378">
        <f>IF('Proposed Lighting'!AF167=4,"WS",IF('Proposed Lighting'!AF167=5,"CM",IF('Proposed Lighting'!AF167=1.6,"PHOT",IF('Proposed Lighting'!AF167=1.5,"FM",IF('Proposed Lighting'!CT167=0.5,"LED-MS",IF('Proposed Lighting'!CB167&gt;1,"Non-S",IF('Proposed Lighting'!CT167=0.6,"LED-SS",IF('Proposed Lighting'!CT167=2,"LED-NW",IF('Proposed Lighting'!CT167=3,"LLLC",0)))))))))</f>
        <v>0</v>
      </c>
      <c r="X181" s="1293">
        <f>'Proposed Lighting'!EE167</f>
        <v>0</v>
      </c>
      <c r="Y181" s="1293">
        <f>'Proposed Lighting'!EF167</f>
        <v>0</v>
      </c>
    </row>
    <row r="182" spans="1:25" ht="50.1" customHeight="1">
      <c r="A182" s="1290">
        <v>160</v>
      </c>
      <c r="B182" s="1291">
        <f>'Proposed Lighting'!B168</f>
        <v>0</v>
      </c>
      <c r="C182" s="1291">
        <f>IF('Proposed Lighting'!M168="Sch 1","Sch 1",IF('Proposed Lighting'!M168="Sch 1-C", "Sch 1-C",IF('Proposed Lighting'!M168="Sch 2","Sch 2",IF('Proposed Lighting'!M168="Sch 2-C","Sch 2-C",IF('Proposed Lighting'!M168="Sch 3","Sch 3",IF('Proposed Lighting'!M168="Sch 3-C", "Sch 3-C",IF('Proposed Lighting'!M168="E", "E",IF('Proposed Lighting'!M168="E-C", "E-C",IF('Proposed Lighting'!M168="Dusk to Dawn","Sch D-D",IF('Proposed Lighting'!M168="Dusk to Dawn-C", "Sch DD-C",IF('Proposed Lighting'!M168="Seasonal", "SEA",IF('Proposed Lighting'!M168="Seasonal-C", "SEA-C",0))))))))))))</f>
        <v>0</v>
      </c>
      <c r="D182" s="1292">
        <f>'Proposed Lighting'!F168</f>
        <v>0</v>
      </c>
      <c r="E182" s="1293">
        <f>'Proposed Lighting'!N168</f>
        <v>0</v>
      </c>
      <c r="F182" s="996"/>
      <c r="G182" s="1294">
        <f>'Proposed Lighting'!K168</f>
        <v>0</v>
      </c>
      <c r="H182" s="1295">
        <f>IF('Proposed Lighting'!P168&gt;0.2,'Proposed Lighting'!P168,0)</f>
        <v>0</v>
      </c>
      <c r="I182" s="995">
        <f>'Proposed Lighting'!J168</f>
        <v>0</v>
      </c>
      <c r="J182" s="996"/>
      <c r="K182" s="996"/>
      <c r="L182" s="996"/>
      <c r="M182" s="996"/>
      <c r="N182" s="1005"/>
      <c r="O182" s="1296" t="str">
        <f>'Proposed Lighting'!Z168&amp;", "&amp;'Proposed Lighting'!EK168</f>
        <v xml:space="preserve">, </v>
      </c>
      <c r="P182" s="1292">
        <f>'Proposed Lighting'!T168</f>
        <v>0</v>
      </c>
      <c r="Q182" s="1293">
        <f>'Proposed Lighting'!AA168</f>
        <v>0</v>
      </c>
      <c r="R182" s="996"/>
      <c r="S182" s="1297">
        <f>IF('Proposed Lighting'!AR168=0,0,IF('Proposed Lighting'!AT168&gt;0.2,'Proposed Lighting'!AT168,0))</f>
        <v>0</v>
      </c>
      <c r="T182" s="997">
        <f>'Proposed Lighting'!X168</f>
        <v>0</v>
      </c>
      <c r="U182" s="998"/>
      <c r="V182" s="998"/>
      <c r="W182" s="1378">
        <f>IF('Proposed Lighting'!AF168=4,"WS",IF('Proposed Lighting'!AF168=5,"CM",IF('Proposed Lighting'!AF168=1.6,"PHOT",IF('Proposed Lighting'!AF168=1.5,"FM",IF('Proposed Lighting'!CT168=0.5,"LED-MS",IF('Proposed Lighting'!CB168&gt;1,"Non-S",IF('Proposed Lighting'!CT168=0.6,"LED-SS",IF('Proposed Lighting'!CT168=2,"LED-NW",IF('Proposed Lighting'!CT168=3,"LLLC",0)))))))))</f>
        <v>0</v>
      </c>
      <c r="X182" s="1293">
        <f>'Proposed Lighting'!EE168</f>
        <v>0</v>
      </c>
      <c r="Y182" s="1293">
        <f>'Proposed Lighting'!EF168</f>
        <v>0</v>
      </c>
    </row>
    <row r="183" spans="1:25" ht="50.1" customHeight="1">
      <c r="A183" s="1290">
        <v>161</v>
      </c>
      <c r="B183" s="1291">
        <f>'Proposed Lighting'!B169</f>
        <v>0</v>
      </c>
      <c r="C183" s="1291">
        <f>IF('Proposed Lighting'!M169="Sch 1","Sch 1",IF('Proposed Lighting'!M169="Sch 1-C", "Sch 1-C",IF('Proposed Lighting'!M169="Sch 2","Sch 2",IF('Proposed Lighting'!M169="Sch 2-C","Sch 2-C",IF('Proposed Lighting'!M169="Sch 3","Sch 3",IF('Proposed Lighting'!M169="Sch 3-C", "Sch 3-C",IF('Proposed Lighting'!M169="E", "E",IF('Proposed Lighting'!M169="E-C", "E-C",IF('Proposed Lighting'!M169="Dusk to Dawn","Sch D-D",IF('Proposed Lighting'!M169="Dusk to Dawn-C", "Sch DD-C",IF('Proposed Lighting'!M169="Seasonal", "SEA",IF('Proposed Lighting'!M169="Seasonal-C", "SEA-C",0))))))))))))</f>
        <v>0</v>
      </c>
      <c r="D183" s="1292">
        <f>'Proposed Lighting'!F169</f>
        <v>0</v>
      </c>
      <c r="E183" s="1293">
        <f>'Proposed Lighting'!N169</f>
        <v>0</v>
      </c>
      <c r="F183" s="996"/>
      <c r="G183" s="1294">
        <f>'Proposed Lighting'!K169</f>
        <v>0</v>
      </c>
      <c r="H183" s="1295">
        <f>IF('Proposed Lighting'!P169&gt;0.2,'Proposed Lighting'!P169,0)</f>
        <v>0</v>
      </c>
      <c r="I183" s="995">
        <f>'Proposed Lighting'!J169</f>
        <v>0</v>
      </c>
      <c r="J183" s="996"/>
      <c r="K183" s="996"/>
      <c r="L183" s="996"/>
      <c r="M183" s="996"/>
      <c r="N183" s="1005"/>
      <c r="O183" s="1296" t="str">
        <f>'Proposed Lighting'!Z169&amp;", "&amp;'Proposed Lighting'!EK169</f>
        <v xml:space="preserve">, </v>
      </c>
      <c r="P183" s="1292">
        <f>'Proposed Lighting'!T169</f>
        <v>0</v>
      </c>
      <c r="Q183" s="1293">
        <f>'Proposed Lighting'!AA169</f>
        <v>0</v>
      </c>
      <c r="R183" s="996"/>
      <c r="S183" s="1297">
        <f>IF('Proposed Lighting'!AR169=0,0,IF('Proposed Lighting'!AT169&gt;0.2,'Proposed Lighting'!AT169,0))</f>
        <v>0</v>
      </c>
      <c r="T183" s="997">
        <f>'Proposed Lighting'!X169</f>
        <v>0</v>
      </c>
      <c r="U183" s="998"/>
      <c r="V183" s="998"/>
      <c r="W183" s="1378">
        <f>IF('Proposed Lighting'!AF169=4,"WS",IF('Proposed Lighting'!AF169=5,"CM",IF('Proposed Lighting'!AF169=1.6,"PHOT",IF('Proposed Lighting'!AF169=1.5,"FM",IF('Proposed Lighting'!CT169=0.5,"LED-MS",IF('Proposed Lighting'!CB169&gt;1,"Non-S",IF('Proposed Lighting'!CT169=0.6,"LED-SS",IF('Proposed Lighting'!CT169=2,"LED-NW",IF('Proposed Lighting'!CT169=3,"LLLC",0)))))))))</f>
        <v>0</v>
      </c>
      <c r="X183" s="1293">
        <f>'Proposed Lighting'!EE169</f>
        <v>0</v>
      </c>
      <c r="Y183" s="1293">
        <f>'Proposed Lighting'!EF169</f>
        <v>0</v>
      </c>
    </row>
    <row r="184" spans="1:25" ht="50.1" customHeight="1">
      <c r="A184" s="1290">
        <v>162</v>
      </c>
      <c r="B184" s="1291">
        <f>'Proposed Lighting'!B170</f>
        <v>0</v>
      </c>
      <c r="C184" s="1291">
        <f>IF('Proposed Lighting'!M170="Sch 1","Sch 1",IF('Proposed Lighting'!M170="Sch 1-C", "Sch 1-C",IF('Proposed Lighting'!M170="Sch 2","Sch 2",IF('Proposed Lighting'!M170="Sch 2-C","Sch 2-C",IF('Proposed Lighting'!M170="Sch 3","Sch 3",IF('Proposed Lighting'!M170="Sch 3-C", "Sch 3-C",IF('Proposed Lighting'!M170="E", "E",IF('Proposed Lighting'!M170="E-C", "E-C",IF('Proposed Lighting'!M170="Dusk to Dawn","Sch D-D",IF('Proposed Lighting'!M170="Dusk to Dawn-C", "Sch DD-C",IF('Proposed Lighting'!M170="Seasonal", "SEA",IF('Proposed Lighting'!M170="Seasonal-C", "SEA-C",0))))))))))))</f>
        <v>0</v>
      </c>
      <c r="D184" s="1292">
        <f>'Proposed Lighting'!F170</f>
        <v>0</v>
      </c>
      <c r="E184" s="1293">
        <f>'Proposed Lighting'!N170</f>
        <v>0</v>
      </c>
      <c r="F184" s="996"/>
      <c r="G184" s="1294">
        <f>'Proposed Lighting'!K170</f>
        <v>0</v>
      </c>
      <c r="H184" s="1295">
        <f>IF('Proposed Lighting'!P170&gt;0.2,'Proposed Lighting'!P170,0)</f>
        <v>0</v>
      </c>
      <c r="I184" s="995">
        <f>'Proposed Lighting'!J170</f>
        <v>0</v>
      </c>
      <c r="J184" s="996"/>
      <c r="K184" s="996"/>
      <c r="L184" s="996"/>
      <c r="M184" s="996"/>
      <c r="N184" s="1005"/>
      <c r="O184" s="1296" t="str">
        <f>'Proposed Lighting'!Z170&amp;", "&amp;'Proposed Lighting'!EK170</f>
        <v xml:space="preserve">, </v>
      </c>
      <c r="P184" s="1292">
        <f>'Proposed Lighting'!T170</f>
        <v>0</v>
      </c>
      <c r="Q184" s="1293">
        <f>'Proposed Lighting'!AA170</f>
        <v>0</v>
      </c>
      <c r="R184" s="996"/>
      <c r="S184" s="1297">
        <f>IF('Proposed Lighting'!AR170=0,0,IF('Proposed Lighting'!AT170&gt;0.2,'Proposed Lighting'!AT170,0))</f>
        <v>0</v>
      </c>
      <c r="T184" s="997">
        <f>'Proposed Lighting'!X170</f>
        <v>0</v>
      </c>
      <c r="U184" s="998"/>
      <c r="V184" s="998"/>
      <c r="W184" s="1378">
        <f>IF('Proposed Lighting'!AF170=4,"WS",IF('Proposed Lighting'!AF170=5,"CM",IF('Proposed Lighting'!AF170=1.6,"PHOT",IF('Proposed Lighting'!AF170=1.5,"FM",IF('Proposed Lighting'!CT170=0.5,"LED-MS",IF('Proposed Lighting'!CB170&gt;1,"Non-S",IF('Proposed Lighting'!CT170=0.6,"LED-SS",IF('Proposed Lighting'!CT170=2,"LED-NW",IF('Proposed Lighting'!CT170=3,"LLLC",0)))))))))</f>
        <v>0</v>
      </c>
      <c r="X184" s="1293">
        <f>'Proposed Lighting'!EE170</f>
        <v>0</v>
      </c>
      <c r="Y184" s="1293">
        <f>'Proposed Lighting'!EF170</f>
        <v>0</v>
      </c>
    </row>
    <row r="185" spans="1:25" ht="50.1" customHeight="1">
      <c r="A185" s="1290">
        <v>163</v>
      </c>
      <c r="B185" s="1291">
        <f>'Proposed Lighting'!B171</f>
        <v>0</v>
      </c>
      <c r="C185" s="1291">
        <f>IF('Proposed Lighting'!M171="Sch 1","Sch 1",IF('Proposed Lighting'!M171="Sch 1-C", "Sch 1-C",IF('Proposed Lighting'!M171="Sch 2","Sch 2",IF('Proposed Lighting'!M171="Sch 2-C","Sch 2-C",IF('Proposed Lighting'!M171="Sch 3","Sch 3",IF('Proposed Lighting'!M171="Sch 3-C", "Sch 3-C",IF('Proposed Lighting'!M171="E", "E",IF('Proposed Lighting'!M171="E-C", "E-C",IF('Proposed Lighting'!M171="Dusk to Dawn","Sch D-D",IF('Proposed Lighting'!M171="Dusk to Dawn-C", "Sch DD-C",IF('Proposed Lighting'!M171="Seasonal", "SEA",IF('Proposed Lighting'!M171="Seasonal-C", "SEA-C",0))))))))))))</f>
        <v>0</v>
      </c>
      <c r="D185" s="1292">
        <f>'Proposed Lighting'!F171</f>
        <v>0</v>
      </c>
      <c r="E185" s="1293">
        <f>'Proposed Lighting'!N171</f>
        <v>0</v>
      </c>
      <c r="F185" s="996"/>
      <c r="G185" s="1294">
        <f>'Proposed Lighting'!K171</f>
        <v>0</v>
      </c>
      <c r="H185" s="1295">
        <f>IF('Proposed Lighting'!P171&gt;0.2,'Proposed Lighting'!P171,0)</f>
        <v>0</v>
      </c>
      <c r="I185" s="995">
        <f>'Proposed Lighting'!J171</f>
        <v>0</v>
      </c>
      <c r="J185" s="996"/>
      <c r="K185" s="996"/>
      <c r="L185" s="996"/>
      <c r="M185" s="996"/>
      <c r="N185" s="1005"/>
      <c r="O185" s="1296" t="str">
        <f>'Proposed Lighting'!Z171&amp;", "&amp;'Proposed Lighting'!EK171</f>
        <v xml:space="preserve">, </v>
      </c>
      <c r="P185" s="1292">
        <f>'Proposed Lighting'!T171</f>
        <v>0</v>
      </c>
      <c r="Q185" s="1293">
        <f>'Proposed Lighting'!AA171</f>
        <v>0</v>
      </c>
      <c r="R185" s="996"/>
      <c r="S185" s="1297">
        <f>IF('Proposed Lighting'!AR171=0,0,IF('Proposed Lighting'!AT171&gt;0.2,'Proposed Lighting'!AT171,0))</f>
        <v>0</v>
      </c>
      <c r="T185" s="997">
        <f>'Proposed Lighting'!X171</f>
        <v>0</v>
      </c>
      <c r="U185" s="998"/>
      <c r="V185" s="998"/>
      <c r="W185" s="1378">
        <f>IF('Proposed Lighting'!AF171=4,"WS",IF('Proposed Lighting'!AF171=5,"CM",IF('Proposed Lighting'!AF171=1.6,"PHOT",IF('Proposed Lighting'!AF171=1.5,"FM",IF('Proposed Lighting'!CT171=0.5,"LED-MS",IF('Proposed Lighting'!CB171&gt;1,"Non-S",IF('Proposed Lighting'!CT171=0.6,"LED-SS",IF('Proposed Lighting'!CT171=2,"LED-NW",IF('Proposed Lighting'!CT171=3,"LLLC",0)))))))))</f>
        <v>0</v>
      </c>
      <c r="X185" s="1293">
        <f>'Proposed Lighting'!EE171</f>
        <v>0</v>
      </c>
      <c r="Y185" s="1293">
        <f>'Proposed Lighting'!EF171</f>
        <v>0</v>
      </c>
    </row>
    <row r="186" spans="1:25" ht="50.1" customHeight="1">
      <c r="A186" s="1290">
        <v>164</v>
      </c>
      <c r="B186" s="1291">
        <f>'Proposed Lighting'!B172</f>
        <v>0</v>
      </c>
      <c r="C186" s="1291">
        <f>IF('Proposed Lighting'!M172="Sch 1","Sch 1",IF('Proposed Lighting'!M172="Sch 1-C", "Sch 1-C",IF('Proposed Lighting'!M172="Sch 2","Sch 2",IF('Proposed Lighting'!M172="Sch 2-C","Sch 2-C",IF('Proposed Lighting'!M172="Sch 3","Sch 3",IF('Proposed Lighting'!M172="Sch 3-C", "Sch 3-C",IF('Proposed Lighting'!M172="E", "E",IF('Proposed Lighting'!M172="E-C", "E-C",IF('Proposed Lighting'!M172="Dusk to Dawn","Sch D-D",IF('Proposed Lighting'!M172="Dusk to Dawn-C", "Sch DD-C",IF('Proposed Lighting'!M172="Seasonal", "SEA",IF('Proposed Lighting'!M172="Seasonal-C", "SEA-C",0))))))))))))</f>
        <v>0</v>
      </c>
      <c r="D186" s="1292">
        <f>'Proposed Lighting'!F172</f>
        <v>0</v>
      </c>
      <c r="E186" s="1293">
        <f>'Proposed Lighting'!N172</f>
        <v>0</v>
      </c>
      <c r="F186" s="996"/>
      <c r="G186" s="1294">
        <f>'Proposed Lighting'!K172</f>
        <v>0</v>
      </c>
      <c r="H186" s="1295">
        <f>IF('Proposed Lighting'!P172&gt;0.2,'Proposed Lighting'!P172,0)</f>
        <v>0</v>
      </c>
      <c r="I186" s="995">
        <f>'Proposed Lighting'!J172</f>
        <v>0</v>
      </c>
      <c r="J186" s="996"/>
      <c r="K186" s="996"/>
      <c r="L186" s="996"/>
      <c r="M186" s="996"/>
      <c r="N186" s="1005"/>
      <c r="O186" s="1296" t="str">
        <f>'Proposed Lighting'!Z172&amp;", "&amp;'Proposed Lighting'!EK172</f>
        <v xml:space="preserve">, </v>
      </c>
      <c r="P186" s="1292">
        <f>'Proposed Lighting'!T172</f>
        <v>0</v>
      </c>
      <c r="Q186" s="1293">
        <f>'Proposed Lighting'!AA172</f>
        <v>0</v>
      </c>
      <c r="R186" s="996"/>
      <c r="S186" s="1297">
        <f>IF('Proposed Lighting'!AR172=0,0,IF('Proposed Lighting'!AT172&gt;0.2,'Proposed Lighting'!AT172,0))</f>
        <v>0</v>
      </c>
      <c r="T186" s="997">
        <f>'Proposed Lighting'!X172</f>
        <v>0</v>
      </c>
      <c r="U186" s="998"/>
      <c r="V186" s="998"/>
      <c r="W186" s="1378">
        <f>IF('Proposed Lighting'!AF172=4,"WS",IF('Proposed Lighting'!AF172=5,"CM",IF('Proposed Lighting'!AF172=1.6,"PHOT",IF('Proposed Lighting'!AF172=1.5,"FM",IF('Proposed Lighting'!CT172=0.5,"LED-MS",IF('Proposed Lighting'!CB172&gt;1,"Non-S",IF('Proposed Lighting'!CT172=0.6,"LED-SS",IF('Proposed Lighting'!CT172=2,"LED-NW",IF('Proposed Lighting'!CT172=3,"LLLC",0)))))))))</f>
        <v>0</v>
      </c>
      <c r="X186" s="1293">
        <f>'Proposed Lighting'!EE172</f>
        <v>0</v>
      </c>
      <c r="Y186" s="1293">
        <f>'Proposed Lighting'!EF172</f>
        <v>0</v>
      </c>
    </row>
    <row r="187" spans="1:25" ht="50.1" customHeight="1">
      <c r="A187" s="1290">
        <v>165</v>
      </c>
      <c r="B187" s="1291">
        <f>'Proposed Lighting'!B173</f>
        <v>0</v>
      </c>
      <c r="C187" s="1291">
        <f>IF('Proposed Lighting'!M173="Sch 1","Sch 1",IF('Proposed Lighting'!M173="Sch 1-C", "Sch 1-C",IF('Proposed Lighting'!M173="Sch 2","Sch 2",IF('Proposed Lighting'!M173="Sch 2-C","Sch 2-C",IF('Proposed Lighting'!M173="Sch 3","Sch 3",IF('Proposed Lighting'!M173="Sch 3-C", "Sch 3-C",IF('Proposed Lighting'!M173="E", "E",IF('Proposed Lighting'!M173="E-C", "E-C",IF('Proposed Lighting'!M173="Dusk to Dawn","Sch D-D",IF('Proposed Lighting'!M173="Dusk to Dawn-C", "Sch DD-C",IF('Proposed Lighting'!M173="Seasonal", "SEA",IF('Proposed Lighting'!M173="Seasonal-C", "SEA-C",0))))))))))))</f>
        <v>0</v>
      </c>
      <c r="D187" s="1292">
        <f>'Proposed Lighting'!F173</f>
        <v>0</v>
      </c>
      <c r="E187" s="1293">
        <f>'Proposed Lighting'!N173</f>
        <v>0</v>
      </c>
      <c r="F187" s="996"/>
      <c r="G187" s="1294">
        <f>'Proposed Lighting'!K173</f>
        <v>0</v>
      </c>
      <c r="H187" s="1295">
        <f>IF('Proposed Lighting'!P173&gt;0.2,'Proposed Lighting'!P173,0)</f>
        <v>0</v>
      </c>
      <c r="I187" s="995">
        <f>'Proposed Lighting'!J173</f>
        <v>0</v>
      </c>
      <c r="J187" s="996"/>
      <c r="K187" s="996"/>
      <c r="L187" s="996"/>
      <c r="M187" s="996"/>
      <c r="N187" s="1005"/>
      <c r="O187" s="1296" t="str">
        <f>'Proposed Lighting'!Z173&amp;", "&amp;'Proposed Lighting'!EK173</f>
        <v xml:space="preserve">, </v>
      </c>
      <c r="P187" s="1292">
        <f>'Proposed Lighting'!T173</f>
        <v>0</v>
      </c>
      <c r="Q187" s="1293">
        <f>'Proposed Lighting'!AA173</f>
        <v>0</v>
      </c>
      <c r="R187" s="996"/>
      <c r="S187" s="1297">
        <f>IF('Proposed Lighting'!AR173=0,0,IF('Proposed Lighting'!AT173&gt;0.2,'Proposed Lighting'!AT173,0))</f>
        <v>0</v>
      </c>
      <c r="T187" s="997">
        <f>'Proposed Lighting'!X173</f>
        <v>0</v>
      </c>
      <c r="U187" s="998"/>
      <c r="V187" s="998"/>
      <c r="W187" s="1378">
        <f>IF('Proposed Lighting'!AF173=4,"WS",IF('Proposed Lighting'!AF173=5,"CM",IF('Proposed Lighting'!AF173=1.6,"PHOT",IF('Proposed Lighting'!AF173=1.5,"FM",IF('Proposed Lighting'!CT173=0.5,"LED-MS",IF('Proposed Lighting'!CB173&gt;1,"Non-S",IF('Proposed Lighting'!CT173=0.6,"LED-SS",IF('Proposed Lighting'!CT173=2,"LED-NW",IF('Proposed Lighting'!CT173=3,"LLLC",0)))))))))</f>
        <v>0</v>
      </c>
      <c r="X187" s="1293">
        <f>'Proposed Lighting'!EE173</f>
        <v>0</v>
      </c>
      <c r="Y187" s="1293">
        <f>'Proposed Lighting'!EF173</f>
        <v>0</v>
      </c>
    </row>
    <row r="188" spans="1:25" ht="50.1" customHeight="1">
      <c r="A188" s="1290">
        <v>166</v>
      </c>
      <c r="B188" s="1291">
        <f>'Proposed Lighting'!B174</f>
        <v>0</v>
      </c>
      <c r="C188" s="1291">
        <f>IF('Proposed Lighting'!M174="Sch 1","Sch 1",IF('Proposed Lighting'!M174="Sch 1-C", "Sch 1-C",IF('Proposed Lighting'!M174="Sch 2","Sch 2",IF('Proposed Lighting'!M174="Sch 2-C","Sch 2-C",IF('Proposed Lighting'!M174="Sch 3","Sch 3",IF('Proposed Lighting'!M174="Sch 3-C", "Sch 3-C",IF('Proposed Lighting'!M174="E", "E",IF('Proposed Lighting'!M174="E-C", "E-C",IF('Proposed Lighting'!M174="Dusk to Dawn","Sch D-D",IF('Proposed Lighting'!M174="Dusk to Dawn-C", "Sch DD-C",IF('Proposed Lighting'!M174="Seasonal", "SEA",IF('Proposed Lighting'!M174="Seasonal-C", "SEA-C",0))))))))))))</f>
        <v>0</v>
      </c>
      <c r="D188" s="1292">
        <f>'Proposed Lighting'!F174</f>
        <v>0</v>
      </c>
      <c r="E188" s="1293">
        <f>'Proposed Lighting'!N174</f>
        <v>0</v>
      </c>
      <c r="F188" s="996"/>
      <c r="G188" s="1294">
        <f>'Proposed Lighting'!K174</f>
        <v>0</v>
      </c>
      <c r="H188" s="1295">
        <f>IF('Proposed Lighting'!P174&gt;0.2,'Proposed Lighting'!P174,0)</f>
        <v>0</v>
      </c>
      <c r="I188" s="995">
        <f>'Proposed Lighting'!J174</f>
        <v>0</v>
      </c>
      <c r="J188" s="996"/>
      <c r="K188" s="996"/>
      <c r="L188" s="996"/>
      <c r="M188" s="996"/>
      <c r="N188" s="1005"/>
      <c r="O188" s="1296" t="str">
        <f>'Proposed Lighting'!Z174&amp;", "&amp;'Proposed Lighting'!EK174</f>
        <v xml:space="preserve">, </v>
      </c>
      <c r="P188" s="1292">
        <f>'Proposed Lighting'!T174</f>
        <v>0</v>
      </c>
      <c r="Q188" s="1293">
        <f>'Proposed Lighting'!AA174</f>
        <v>0</v>
      </c>
      <c r="R188" s="996"/>
      <c r="S188" s="1297">
        <f>IF('Proposed Lighting'!AR174=0,0,IF('Proposed Lighting'!AT174&gt;0.2,'Proposed Lighting'!AT174,0))</f>
        <v>0</v>
      </c>
      <c r="T188" s="997">
        <f>'Proposed Lighting'!X174</f>
        <v>0</v>
      </c>
      <c r="U188" s="998"/>
      <c r="V188" s="998"/>
      <c r="W188" s="1378">
        <f>IF('Proposed Lighting'!AF174=4,"WS",IF('Proposed Lighting'!AF174=5,"CM",IF('Proposed Lighting'!AF174=1.6,"PHOT",IF('Proposed Lighting'!AF174=1.5,"FM",IF('Proposed Lighting'!CT174=0.5,"LED-MS",IF('Proposed Lighting'!CB174&gt;1,"Non-S",IF('Proposed Lighting'!CT174=0.6,"LED-SS",IF('Proposed Lighting'!CT174=2,"LED-NW",IF('Proposed Lighting'!CT174=3,"LLLC",0)))))))))</f>
        <v>0</v>
      </c>
      <c r="X188" s="1293">
        <f>'Proposed Lighting'!EE174</f>
        <v>0</v>
      </c>
      <c r="Y188" s="1293">
        <f>'Proposed Lighting'!EF174</f>
        <v>0</v>
      </c>
    </row>
    <row r="189" spans="1:25" ht="50.1" customHeight="1">
      <c r="A189" s="1290">
        <v>167</v>
      </c>
      <c r="B189" s="1291">
        <f>'Proposed Lighting'!B175</f>
        <v>0</v>
      </c>
      <c r="C189" s="1291">
        <f>IF('Proposed Lighting'!M175="Sch 1","Sch 1",IF('Proposed Lighting'!M175="Sch 1-C", "Sch 1-C",IF('Proposed Lighting'!M175="Sch 2","Sch 2",IF('Proposed Lighting'!M175="Sch 2-C","Sch 2-C",IF('Proposed Lighting'!M175="Sch 3","Sch 3",IF('Proposed Lighting'!M175="Sch 3-C", "Sch 3-C",IF('Proposed Lighting'!M175="E", "E",IF('Proposed Lighting'!M175="E-C", "E-C",IF('Proposed Lighting'!M175="Dusk to Dawn","Sch D-D",IF('Proposed Lighting'!M175="Dusk to Dawn-C", "Sch DD-C",IF('Proposed Lighting'!M175="Seasonal", "SEA",IF('Proposed Lighting'!M175="Seasonal-C", "SEA-C",0))))))))))))</f>
        <v>0</v>
      </c>
      <c r="D189" s="1292">
        <f>'Proposed Lighting'!F175</f>
        <v>0</v>
      </c>
      <c r="E189" s="1293">
        <f>'Proposed Lighting'!N175</f>
        <v>0</v>
      </c>
      <c r="F189" s="996"/>
      <c r="G189" s="1294">
        <f>'Proposed Lighting'!K175</f>
        <v>0</v>
      </c>
      <c r="H189" s="1295">
        <f>IF('Proposed Lighting'!P175&gt;0.2,'Proposed Lighting'!P175,0)</f>
        <v>0</v>
      </c>
      <c r="I189" s="995">
        <f>'Proposed Lighting'!J175</f>
        <v>0</v>
      </c>
      <c r="J189" s="996"/>
      <c r="K189" s="996"/>
      <c r="L189" s="996"/>
      <c r="M189" s="996"/>
      <c r="N189" s="1005"/>
      <c r="O189" s="1296" t="str">
        <f>'Proposed Lighting'!Z175&amp;", "&amp;'Proposed Lighting'!EK175</f>
        <v xml:space="preserve">, </v>
      </c>
      <c r="P189" s="1292">
        <f>'Proposed Lighting'!T175</f>
        <v>0</v>
      </c>
      <c r="Q189" s="1293">
        <f>'Proposed Lighting'!AA175</f>
        <v>0</v>
      </c>
      <c r="R189" s="996"/>
      <c r="S189" s="1297">
        <f>IF('Proposed Lighting'!AR175=0,0,IF('Proposed Lighting'!AT175&gt;0.2,'Proposed Lighting'!AT175,0))</f>
        <v>0</v>
      </c>
      <c r="T189" s="997">
        <f>'Proposed Lighting'!X175</f>
        <v>0</v>
      </c>
      <c r="U189" s="998"/>
      <c r="V189" s="998"/>
      <c r="W189" s="1378">
        <f>IF('Proposed Lighting'!AF175=4,"WS",IF('Proposed Lighting'!AF175=5,"CM",IF('Proposed Lighting'!AF175=1.6,"PHOT",IF('Proposed Lighting'!AF175=1.5,"FM",IF('Proposed Lighting'!CT175=0.5,"LED-MS",IF('Proposed Lighting'!CB175&gt;1,"Non-S",IF('Proposed Lighting'!CT175=0.6,"LED-SS",IF('Proposed Lighting'!CT175=2,"LED-NW",IF('Proposed Lighting'!CT175=3,"LLLC",0)))))))))</f>
        <v>0</v>
      </c>
      <c r="X189" s="1293">
        <f>'Proposed Lighting'!EE175</f>
        <v>0</v>
      </c>
      <c r="Y189" s="1293">
        <f>'Proposed Lighting'!EF175</f>
        <v>0</v>
      </c>
    </row>
    <row r="190" spans="1:25" ht="50.1" customHeight="1">
      <c r="A190" s="1290">
        <v>168</v>
      </c>
      <c r="B190" s="1291">
        <f>'Proposed Lighting'!B176</f>
        <v>0</v>
      </c>
      <c r="C190" s="1291">
        <f>IF('Proposed Lighting'!M176="Sch 1","Sch 1",IF('Proposed Lighting'!M176="Sch 1-C", "Sch 1-C",IF('Proposed Lighting'!M176="Sch 2","Sch 2",IF('Proposed Lighting'!M176="Sch 2-C","Sch 2-C",IF('Proposed Lighting'!M176="Sch 3","Sch 3",IF('Proposed Lighting'!M176="Sch 3-C", "Sch 3-C",IF('Proposed Lighting'!M176="E", "E",IF('Proposed Lighting'!M176="E-C", "E-C",IF('Proposed Lighting'!M176="Dusk to Dawn","Sch D-D",IF('Proposed Lighting'!M176="Dusk to Dawn-C", "Sch DD-C",IF('Proposed Lighting'!M176="Seasonal", "SEA",IF('Proposed Lighting'!M176="Seasonal-C", "SEA-C",0))))))))))))</f>
        <v>0</v>
      </c>
      <c r="D190" s="1292">
        <f>'Proposed Lighting'!F176</f>
        <v>0</v>
      </c>
      <c r="E190" s="1293">
        <f>'Proposed Lighting'!N176</f>
        <v>0</v>
      </c>
      <c r="F190" s="996"/>
      <c r="G190" s="1294">
        <f>'Proposed Lighting'!K176</f>
        <v>0</v>
      </c>
      <c r="H190" s="1295">
        <f>IF('Proposed Lighting'!P176&gt;0.2,'Proposed Lighting'!P176,0)</f>
        <v>0</v>
      </c>
      <c r="I190" s="995">
        <f>'Proposed Lighting'!J176</f>
        <v>0</v>
      </c>
      <c r="J190" s="996"/>
      <c r="K190" s="996"/>
      <c r="L190" s="996"/>
      <c r="M190" s="996"/>
      <c r="N190" s="1005"/>
      <c r="O190" s="1296" t="str">
        <f>'Proposed Lighting'!Z176&amp;", "&amp;'Proposed Lighting'!EK176</f>
        <v xml:space="preserve">, </v>
      </c>
      <c r="P190" s="1292">
        <f>'Proposed Lighting'!T176</f>
        <v>0</v>
      </c>
      <c r="Q190" s="1293">
        <f>'Proposed Lighting'!AA176</f>
        <v>0</v>
      </c>
      <c r="R190" s="996"/>
      <c r="S190" s="1297">
        <f>IF('Proposed Lighting'!AR176=0,0,IF('Proposed Lighting'!AT176&gt;0.2,'Proposed Lighting'!AT176,0))</f>
        <v>0</v>
      </c>
      <c r="T190" s="997">
        <f>'Proposed Lighting'!X176</f>
        <v>0</v>
      </c>
      <c r="U190" s="998"/>
      <c r="V190" s="998"/>
      <c r="W190" s="1378">
        <f>IF('Proposed Lighting'!AF176=4,"WS",IF('Proposed Lighting'!AF176=5,"CM",IF('Proposed Lighting'!AF176=1.6,"PHOT",IF('Proposed Lighting'!AF176=1.5,"FM",IF('Proposed Lighting'!CT176=0.5,"LED-MS",IF('Proposed Lighting'!CB176&gt;1,"Non-S",IF('Proposed Lighting'!CT176=0.6,"LED-SS",IF('Proposed Lighting'!CT176=2,"LED-NW",IF('Proposed Lighting'!CT176=3,"LLLC",0)))))))))</f>
        <v>0</v>
      </c>
      <c r="X190" s="1293">
        <f>'Proposed Lighting'!EE176</f>
        <v>0</v>
      </c>
      <c r="Y190" s="1293">
        <f>'Proposed Lighting'!EF176</f>
        <v>0</v>
      </c>
    </row>
    <row r="191" spans="1:25" ht="50.1" customHeight="1">
      <c r="A191" s="1290">
        <v>169</v>
      </c>
      <c r="B191" s="1291">
        <f>'Proposed Lighting'!B177</f>
        <v>0</v>
      </c>
      <c r="C191" s="1291">
        <f>IF('Proposed Lighting'!M177="Sch 1","Sch 1",IF('Proposed Lighting'!M177="Sch 1-C", "Sch 1-C",IF('Proposed Lighting'!M177="Sch 2","Sch 2",IF('Proposed Lighting'!M177="Sch 2-C","Sch 2-C",IF('Proposed Lighting'!M177="Sch 3","Sch 3",IF('Proposed Lighting'!M177="Sch 3-C", "Sch 3-C",IF('Proposed Lighting'!M177="E", "E",IF('Proposed Lighting'!M177="E-C", "E-C",IF('Proposed Lighting'!M177="Dusk to Dawn","Sch D-D",IF('Proposed Lighting'!M177="Dusk to Dawn-C", "Sch DD-C",IF('Proposed Lighting'!M177="Seasonal", "SEA",IF('Proposed Lighting'!M177="Seasonal-C", "SEA-C",0))))))))))))</f>
        <v>0</v>
      </c>
      <c r="D191" s="1292">
        <f>'Proposed Lighting'!F177</f>
        <v>0</v>
      </c>
      <c r="E191" s="1293">
        <f>'Proposed Lighting'!N177</f>
        <v>0</v>
      </c>
      <c r="F191" s="996"/>
      <c r="G191" s="1294">
        <f>'Proposed Lighting'!K177</f>
        <v>0</v>
      </c>
      <c r="H191" s="1295">
        <f>IF('Proposed Lighting'!P177&gt;0.2,'Proposed Lighting'!P177,0)</f>
        <v>0</v>
      </c>
      <c r="I191" s="995">
        <f>'Proposed Lighting'!J177</f>
        <v>0</v>
      </c>
      <c r="J191" s="996"/>
      <c r="K191" s="996"/>
      <c r="L191" s="996"/>
      <c r="M191" s="996"/>
      <c r="N191" s="1005"/>
      <c r="O191" s="1296" t="str">
        <f>'Proposed Lighting'!Z177&amp;", "&amp;'Proposed Lighting'!EK177</f>
        <v xml:space="preserve">, </v>
      </c>
      <c r="P191" s="1292">
        <f>'Proposed Lighting'!T177</f>
        <v>0</v>
      </c>
      <c r="Q191" s="1293">
        <f>'Proposed Lighting'!AA177</f>
        <v>0</v>
      </c>
      <c r="R191" s="996"/>
      <c r="S191" s="1297">
        <f>IF('Proposed Lighting'!AR177=0,0,IF('Proposed Lighting'!AT177&gt;0.2,'Proposed Lighting'!AT177,0))</f>
        <v>0</v>
      </c>
      <c r="T191" s="997">
        <f>'Proposed Lighting'!X177</f>
        <v>0</v>
      </c>
      <c r="U191" s="998"/>
      <c r="V191" s="998"/>
      <c r="W191" s="1378">
        <f>IF('Proposed Lighting'!AF177=4,"WS",IF('Proposed Lighting'!AF177=5,"CM",IF('Proposed Lighting'!AF177=1.6,"PHOT",IF('Proposed Lighting'!AF177=1.5,"FM",IF('Proposed Lighting'!CT177=0.5,"LED-MS",IF('Proposed Lighting'!CB177&gt;1,"Non-S",IF('Proposed Lighting'!CT177=0.6,"LED-SS",IF('Proposed Lighting'!CT177=2,"LED-NW",IF('Proposed Lighting'!CT177=3,"LLLC",0)))))))))</f>
        <v>0</v>
      </c>
      <c r="X191" s="1293">
        <f>'Proposed Lighting'!EE177</f>
        <v>0</v>
      </c>
      <c r="Y191" s="1293">
        <f>'Proposed Lighting'!EF177</f>
        <v>0</v>
      </c>
    </row>
    <row r="192" spans="1:25" ht="50.1" customHeight="1">
      <c r="A192" s="1290">
        <v>170</v>
      </c>
      <c r="B192" s="1291">
        <f>'Proposed Lighting'!B178</f>
        <v>0</v>
      </c>
      <c r="C192" s="1291">
        <f>IF('Proposed Lighting'!M178="Sch 1","Sch 1",IF('Proposed Lighting'!M178="Sch 1-C", "Sch 1-C",IF('Proposed Lighting'!M178="Sch 2","Sch 2",IF('Proposed Lighting'!M178="Sch 2-C","Sch 2-C",IF('Proposed Lighting'!M178="Sch 3","Sch 3",IF('Proposed Lighting'!M178="Sch 3-C", "Sch 3-C",IF('Proposed Lighting'!M178="E", "E",IF('Proposed Lighting'!M178="E-C", "E-C",IF('Proposed Lighting'!M178="Dusk to Dawn","Sch D-D",IF('Proposed Lighting'!M178="Dusk to Dawn-C", "Sch DD-C",IF('Proposed Lighting'!M178="Seasonal", "SEA",IF('Proposed Lighting'!M178="Seasonal-C", "SEA-C",0))))))))))))</f>
        <v>0</v>
      </c>
      <c r="D192" s="1292">
        <f>'Proposed Lighting'!F178</f>
        <v>0</v>
      </c>
      <c r="E192" s="1293">
        <f>'Proposed Lighting'!N178</f>
        <v>0</v>
      </c>
      <c r="F192" s="996"/>
      <c r="G192" s="1294">
        <f>'Proposed Lighting'!K178</f>
        <v>0</v>
      </c>
      <c r="H192" s="1295">
        <f>IF('Proposed Lighting'!P178&gt;0.2,'Proposed Lighting'!P178,0)</f>
        <v>0</v>
      </c>
      <c r="I192" s="995">
        <f>'Proposed Lighting'!J178</f>
        <v>0</v>
      </c>
      <c r="J192" s="996"/>
      <c r="K192" s="996"/>
      <c r="L192" s="996"/>
      <c r="M192" s="996"/>
      <c r="N192" s="1005"/>
      <c r="O192" s="1296" t="str">
        <f>'Proposed Lighting'!Z178&amp;", "&amp;'Proposed Lighting'!EK178</f>
        <v xml:space="preserve">, </v>
      </c>
      <c r="P192" s="1292">
        <f>'Proposed Lighting'!T178</f>
        <v>0</v>
      </c>
      <c r="Q192" s="1293">
        <f>'Proposed Lighting'!AA178</f>
        <v>0</v>
      </c>
      <c r="R192" s="996"/>
      <c r="S192" s="1297">
        <f>IF('Proposed Lighting'!AR178=0,0,IF('Proposed Lighting'!AT178&gt;0.2,'Proposed Lighting'!AT178,0))</f>
        <v>0</v>
      </c>
      <c r="T192" s="997">
        <f>'Proposed Lighting'!X178</f>
        <v>0</v>
      </c>
      <c r="U192" s="998"/>
      <c r="V192" s="998"/>
      <c r="W192" s="1378">
        <f>IF('Proposed Lighting'!AF178=4,"WS",IF('Proposed Lighting'!AF178=5,"CM",IF('Proposed Lighting'!AF178=1.6,"PHOT",IF('Proposed Lighting'!AF178=1.5,"FM",IF('Proposed Lighting'!CT178=0.5,"LED-MS",IF('Proposed Lighting'!CB178&gt;1,"Non-S",IF('Proposed Lighting'!CT178=0.6,"LED-SS",IF('Proposed Lighting'!CT178=2,"LED-NW",IF('Proposed Lighting'!CT178=3,"LLLC",0)))))))))</f>
        <v>0</v>
      </c>
      <c r="X192" s="1293">
        <f>'Proposed Lighting'!EE178</f>
        <v>0</v>
      </c>
      <c r="Y192" s="1293">
        <f>'Proposed Lighting'!EF178</f>
        <v>0</v>
      </c>
    </row>
    <row r="193" spans="1:25" ht="50.1" customHeight="1">
      <c r="A193" s="1290">
        <v>171</v>
      </c>
      <c r="B193" s="1291">
        <f>'Proposed Lighting'!B179</f>
        <v>0</v>
      </c>
      <c r="C193" s="1291">
        <f>IF('Proposed Lighting'!M179="Sch 1","Sch 1",IF('Proposed Lighting'!M179="Sch 1-C", "Sch 1-C",IF('Proposed Lighting'!M179="Sch 2","Sch 2",IF('Proposed Lighting'!M179="Sch 2-C","Sch 2-C",IF('Proposed Lighting'!M179="Sch 3","Sch 3",IF('Proposed Lighting'!M179="Sch 3-C", "Sch 3-C",IF('Proposed Lighting'!M179="E", "E",IF('Proposed Lighting'!M179="E-C", "E-C",IF('Proposed Lighting'!M179="Dusk to Dawn","Sch D-D",IF('Proposed Lighting'!M179="Dusk to Dawn-C", "Sch DD-C",IF('Proposed Lighting'!M179="Seasonal", "SEA",IF('Proposed Lighting'!M179="Seasonal-C", "SEA-C",0))))))))))))</f>
        <v>0</v>
      </c>
      <c r="D193" s="1292">
        <f>'Proposed Lighting'!F179</f>
        <v>0</v>
      </c>
      <c r="E193" s="1293">
        <f>'Proposed Lighting'!N179</f>
        <v>0</v>
      </c>
      <c r="F193" s="996"/>
      <c r="G193" s="1294">
        <f>'Proposed Lighting'!K179</f>
        <v>0</v>
      </c>
      <c r="H193" s="1295">
        <f>IF('Proposed Lighting'!P179&gt;0.2,'Proposed Lighting'!P179,0)</f>
        <v>0</v>
      </c>
      <c r="I193" s="995">
        <f>'Proposed Lighting'!J179</f>
        <v>0</v>
      </c>
      <c r="J193" s="996"/>
      <c r="K193" s="996"/>
      <c r="L193" s="996"/>
      <c r="M193" s="996"/>
      <c r="N193" s="1005"/>
      <c r="O193" s="1296" t="str">
        <f>'Proposed Lighting'!Z179&amp;", "&amp;'Proposed Lighting'!EK179</f>
        <v xml:space="preserve">, </v>
      </c>
      <c r="P193" s="1292">
        <f>'Proposed Lighting'!T179</f>
        <v>0</v>
      </c>
      <c r="Q193" s="1293">
        <f>'Proposed Lighting'!AA179</f>
        <v>0</v>
      </c>
      <c r="R193" s="996"/>
      <c r="S193" s="1297">
        <f>IF('Proposed Lighting'!AR179=0,0,IF('Proposed Lighting'!AT179&gt;0.2,'Proposed Lighting'!AT179,0))</f>
        <v>0</v>
      </c>
      <c r="T193" s="997">
        <f>'Proposed Lighting'!X179</f>
        <v>0</v>
      </c>
      <c r="U193" s="998"/>
      <c r="V193" s="998"/>
      <c r="W193" s="1378">
        <f>IF('Proposed Lighting'!AF179=4,"WS",IF('Proposed Lighting'!AF179=5,"CM",IF('Proposed Lighting'!AF179=1.6,"PHOT",IF('Proposed Lighting'!AF179=1.5,"FM",IF('Proposed Lighting'!CT179=0.5,"LED-MS",IF('Proposed Lighting'!CB179&gt;1,"Non-S",IF('Proposed Lighting'!CT179=0.6,"LED-SS",IF('Proposed Lighting'!CT179=2,"LED-NW",IF('Proposed Lighting'!CT179=3,"LLLC",0)))))))))</f>
        <v>0</v>
      </c>
      <c r="X193" s="1293">
        <f>'Proposed Lighting'!EE179</f>
        <v>0</v>
      </c>
      <c r="Y193" s="1293">
        <f>'Proposed Lighting'!EF179</f>
        <v>0</v>
      </c>
    </row>
    <row r="194" spans="1:25" ht="50.1" customHeight="1">
      <c r="A194" s="1290">
        <v>172</v>
      </c>
      <c r="B194" s="1291">
        <f>'Proposed Lighting'!B180</f>
        <v>0</v>
      </c>
      <c r="C194" s="1291">
        <f>IF('Proposed Lighting'!M180="Sch 1","Sch 1",IF('Proposed Lighting'!M180="Sch 1-C", "Sch 1-C",IF('Proposed Lighting'!M180="Sch 2","Sch 2",IF('Proposed Lighting'!M180="Sch 2-C","Sch 2-C",IF('Proposed Lighting'!M180="Sch 3","Sch 3",IF('Proposed Lighting'!M180="Sch 3-C", "Sch 3-C",IF('Proposed Lighting'!M180="E", "E",IF('Proposed Lighting'!M180="E-C", "E-C",IF('Proposed Lighting'!M180="Dusk to Dawn","Sch D-D",IF('Proposed Lighting'!M180="Dusk to Dawn-C", "Sch DD-C",IF('Proposed Lighting'!M180="Seasonal", "SEA",IF('Proposed Lighting'!M180="Seasonal-C", "SEA-C",0))))))))))))</f>
        <v>0</v>
      </c>
      <c r="D194" s="1292">
        <f>'Proposed Lighting'!F180</f>
        <v>0</v>
      </c>
      <c r="E194" s="1293">
        <f>'Proposed Lighting'!N180</f>
        <v>0</v>
      </c>
      <c r="F194" s="996"/>
      <c r="G194" s="1294">
        <f>'Proposed Lighting'!K180</f>
        <v>0</v>
      </c>
      <c r="H194" s="1295">
        <f>IF('Proposed Lighting'!P180&gt;0.2,'Proposed Lighting'!P180,0)</f>
        <v>0</v>
      </c>
      <c r="I194" s="995">
        <f>'Proposed Lighting'!J180</f>
        <v>0</v>
      </c>
      <c r="J194" s="996"/>
      <c r="K194" s="996"/>
      <c r="L194" s="996"/>
      <c r="M194" s="996"/>
      <c r="N194" s="1005"/>
      <c r="O194" s="1296" t="str">
        <f>'Proposed Lighting'!Z180&amp;", "&amp;'Proposed Lighting'!EK180</f>
        <v xml:space="preserve">, </v>
      </c>
      <c r="P194" s="1292">
        <f>'Proposed Lighting'!T180</f>
        <v>0</v>
      </c>
      <c r="Q194" s="1293">
        <f>'Proposed Lighting'!AA180</f>
        <v>0</v>
      </c>
      <c r="R194" s="996"/>
      <c r="S194" s="1297">
        <f>IF('Proposed Lighting'!AR180=0,0,IF('Proposed Lighting'!AT180&gt;0.2,'Proposed Lighting'!AT180,0))</f>
        <v>0</v>
      </c>
      <c r="T194" s="997">
        <f>'Proposed Lighting'!X180</f>
        <v>0</v>
      </c>
      <c r="U194" s="998"/>
      <c r="V194" s="998"/>
      <c r="W194" s="1378">
        <f>IF('Proposed Lighting'!AF180=4,"WS",IF('Proposed Lighting'!AF180=5,"CM",IF('Proposed Lighting'!AF180=1.6,"PHOT",IF('Proposed Lighting'!AF180=1.5,"FM",IF('Proposed Lighting'!CT180=0.5,"LED-MS",IF('Proposed Lighting'!CB180&gt;1,"Non-S",IF('Proposed Lighting'!CT180=0.6,"LED-SS",IF('Proposed Lighting'!CT180=2,"LED-NW",IF('Proposed Lighting'!CT180=3,"LLLC",0)))))))))</f>
        <v>0</v>
      </c>
      <c r="X194" s="1293">
        <f>'Proposed Lighting'!EE180</f>
        <v>0</v>
      </c>
      <c r="Y194" s="1293">
        <f>'Proposed Lighting'!EF180</f>
        <v>0</v>
      </c>
    </row>
    <row r="195" spans="1:25" ht="50.1" customHeight="1">
      <c r="A195" s="1290">
        <v>173</v>
      </c>
      <c r="B195" s="1291">
        <f>'Proposed Lighting'!B181</f>
        <v>0</v>
      </c>
      <c r="C195" s="1291">
        <f>IF('Proposed Lighting'!M181="Sch 1","Sch 1",IF('Proposed Lighting'!M181="Sch 1-C", "Sch 1-C",IF('Proposed Lighting'!M181="Sch 2","Sch 2",IF('Proposed Lighting'!M181="Sch 2-C","Sch 2-C",IF('Proposed Lighting'!M181="Sch 3","Sch 3",IF('Proposed Lighting'!M181="Sch 3-C", "Sch 3-C",IF('Proposed Lighting'!M181="E", "E",IF('Proposed Lighting'!M181="E-C", "E-C",IF('Proposed Lighting'!M181="Dusk to Dawn","Sch D-D",IF('Proposed Lighting'!M181="Dusk to Dawn-C", "Sch DD-C",IF('Proposed Lighting'!M181="Seasonal", "SEA",IF('Proposed Lighting'!M181="Seasonal-C", "SEA-C",0))))))))))))</f>
        <v>0</v>
      </c>
      <c r="D195" s="1292">
        <f>'Proposed Lighting'!F181</f>
        <v>0</v>
      </c>
      <c r="E195" s="1293">
        <f>'Proposed Lighting'!N181</f>
        <v>0</v>
      </c>
      <c r="F195" s="996"/>
      <c r="G195" s="1294">
        <f>'Proposed Lighting'!K181</f>
        <v>0</v>
      </c>
      <c r="H195" s="1295">
        <f>IF('Proposed Lighting'!P181&gt;0.2,'Proposed Lighting'!P181,0)</f>
        <v>0</v>
      </c>
      <c r="I195" s="995">
        <f>'Proposed Lighting'!J181</f>
        <v>0</v>
      </c>
      <c r="J195" s="996"/>
      <c r="K195" s="996"/>
      <c r="L195" s="996"/>
      <c r="M195" s="996"/>
      <c r="N195" s="1005"/>
      <c r="O195" s="1296" t="str">
        <f>'Proposed Lighting'!Z181&amp;", "&amp;'Proposed Lighting'!EK181</f>
        <v xml:space="preserve">, </v>
      </c>
      <c r="P195" s="1292">
        <f>'Proposed Lighting'!T181</f>
        <v>0</v>
      </c>
      <c r="Q195" s="1293">
        <f>'Proposed Lighting'!AA181</f>
        <v>0</v>
      </c>
      <c r="R195" s="996"/>
      <c r="S195" s="1297">
        <f>IF('Proposed Lighting'!AR181=0,0,IF('Proposed Lighting'!AT181&gt;0.2,'Proposed Lighting'!AT181,0))</f>
        <v>0</v>
      </c>
      <c r="T195" s="997">
        <f>'Proposed Lighting'!X181</f>
        <v>0</v>
      </c>
      <c r="U195" s="998"/>
      <c r="V195" s="998"/>
      <c r="W195" s="1378">
        <f>IF('Proposed Lighting'!AF181=4,"WS",IF('Proposed Lighting'!AF181=5,"CM",IF('Proposed Lighting'!AF181=1.6,"PHOT",IF('Proposed Lighting'!AF181=1.5,"FM",IF('Proposed Lighting'!CT181=0.5,"LED-MS",IF('Proposed Lighting'!CB181&gt;1,"Non-S",IF('Proposed Lighting'!CT181=0.6,"LED-SS",IF('Proposed Lighting'!CT181=2,"LED-NW",IF('Proposed Lighting'!CT181=3,"LLLC",0)))))))))</f>
        <v>0</v>
      </c>
      <c r="X195" s="1293">
        <f>'Proposed Lighting'!EE181</f>
        <v>0</v>
      </c>
      <c r="Y195" s="1293">
        <f>'Proposed Lighting'!EF181</f>
        <v>0</v>
      </c>
    </row>
    <row r="196" spans="1:25" ht="50.1" customHeight="1">
      <c r="A196" s="1290">
        <v>174</v>
      </c>
      <c r="B196" s="1291">
        <f>'Proposed Lighting'!B182</f>
        <v>0</v>
      </c>
      <c r="C196" s="1291">
        <f>IF('Proposed Lighting'!M182="Sch 1","Sch 1",IF('Proposed Lighting'!M182="Sch 1-C", "Sch 1-C",IF('Proposed Lighting'!M182="Sch 2","Sch 2",IF('Proposed Lighting'!M182="Sch 2-C","Sch 2-C",IF('Proposed Lighting'!M182="Sch 3","Sch 3",IF('Proposed Lighting'!M182="Sch 3-C", "Sch 3-C",IF('Proposed Lighting'!M182="E", "E",IF('Proposed Lighting'!M182="E-C", "E-C",IF('Proposed Lighting'!M182="Dusk to Dawn","Sch D-D",IF('Proposed Lighting'!M182="Dusk to Dawn-C", "Sch DD-C",IF('Proposed Lighting'!M182="Seasonal", "SEA",IF('Proposed Lighting'!M182="Seasonal-C", "SEA-C",0))))))))))))</f>
        <v>0</v>
      </c>
      <c r="D196" s="1292">
        <f>'Proposed Lighting'!F182</f>
        <v>0</v>
      </c>
      <c r="E196" s="1293">
        <f>'Proposed Lighting'!N182</f>
        <v>0</v>
      </c>
      <c r="F196" s="996"/>
      <c r="G196" s="1294">
        <f>'Proposed Lighting'!K182</f>
        <v>0</v>
      </c>
      <c r="H196" s="1295">
        <f>IF('Proposed Lighting'!P182&gt;0.2,'Proposed Lighting'!P182,0)</f>
        <v>0</v>
      </c>
      <c r="I196" s="995">
        <f>'Proposed Lighting'!J182</f>
        <v>0</v>
      </c>
      <c r="J196" s="996"/>
      <c r="K196" s="996"/>
      <c r="L196" s="996"/>
      <c r="M196" s="996"/>
      <c r="N196" s="1005"/>
      <c r="O196" s="1296" t="str">
        <f>'Proposed Lighting'!Z182&amp;", "&amp;'Proposed Lighting'!EK182</f>
        <v xml:space="preserve">, </v>
      </c>
      <c r="P196" s="1292">
        <f>'Proposed Lighting'!T182</f>
        <v>0</v>
      </c>
      <c r="Q196" s="1293">
        <f>'Proposed Lighting'!AA182</f>
        <v>0</v>
      </c>
      <c r="R196" s="996"/>
      <c r="S196" s="1297">
        <f>IF('Proposed Lighting'!AR182=0,0,IF('Proposed Lighting'!AT182&gt;0.2,'Proposed Lighting'!AT182,0))</f>
        <v>0</v>
      </c>
      <c r="T196" s="997">
        <f>'Proposed Lighting'!X182</f>
        <v>0</v>
      </c>
      <c r="U196" s="998"/>
      <c r="V196" s="998"/>
      <c r="W196" s="1378">
        <f>IF('Proposed Lighting'!AF182=4,"WS",IF('Proposed Lighting'!AF182=5,"CM",IF('Proposed Lighting'!AF182=1.6,"PHOT",IF('Proposed Lighting'!AF182=1.5,"FM",IF('Proposed Lighting'!CT182=0.5,"LED-MS",IF('Proposed Lighting'!CB182&gt;1,"Non-S",IF('Proposed Lighting'!CT182=0.6,"LED-SS",IF('Proposed Lighting'!CT182=2,"LED-NW",IF('Proposed Lighting'!CT182=3,"LLLC",0)))))))))</f>
        <v>0</v>
      </c>
      <c r="X196" s="1293">
        <f>'Proposed Lighting'!EE182</f>
        <v>0</v>
      </c>
      <c r="Y196" s="1293">
        <f>'Proposed Lighting'!EF182</f>
        <v>0</v>
      </c>
    </row>
    <row r="197" spans="1:25" ht="50.1" customHeight="1">
      <c r="A197" s="1290">
        <v>175</v>
      </c>
      <c r="B197" s="1291">
        <f>'Proposed Lighting'!B183</f>
        <v>0</v>
      </c>
      <c r="C197" s="1291">
        <f>IF('Proposed Lighting'!M183="Sch 1","Sch 1",IF('Proposed Lighting'!M183="Sch 1-C", "Sch 1-C",IF('Proposed Lighting'!M183="Sch 2","Sch 2",IF('Proposed Lighting'!M183="Sch 2-C","Sch 2-C",IF('Proposed Lighting'!M183="Sch 3","Sch 3",IF('Proposed Lighting'!M183="Sch 3-C", "Sch 3-C",IF('Proposed Lighting'!M183="E", "E",IF('Proposed Lighting'!M183="E-C", "E-C",IF('Proposed Lighting'!M183="Dusk to Dawn","Sch D-D",IF('Proposed Lighting'!M183="Dusk to Dawn-C", "Sch DD-C",IF('Proposed Lighting'!M183="Seasonal", "SEA",IF('Proposed Lighting'!M183="Seasonal-C", "SEA-C",0))))))))))))</f>
        <v>0</v>
      </c>
      <c r="D197" s="1292">
        <f>'Proposed Lighting'!F183</f>
        <v>0</v>
      </c>
      <c r="E197" s="1293">
        <f>'Proposed Lighting'!N183</f>
        <v>0</v>
      </c>
      <c r="F197" s="996"/>
      <c r="G197" s="1294">
        <f>'Proposed Lighting'!K183</f>
        <v>0</v>
      </c>
      <c r="H197" s="1295">
        <f>IF('Proposed Lighting'!P183&gt;0.2,'Proposed Lighting'!P183,0)</f>
        <v>0</v>
      </c>
      <c r="I197" s="995">
        <f>'Proposed Lighting'!J183</f>
        <v>0</v>
      </c>
      <c r="J197" s="996"/>
      <c r="K197" s="996"/>
      <c r="L197" s="996"/>
      <c r="M197" s="996"/>
      <c r="N197" s="1005"/>
      <c r="O197" s="1296" t="str">
        <f>'Proposed Lighting'!Z183&amp;", "&amp;'Proposed Lighting'!EK183</f>
        <v xml:space="preserve">, </v>
      </c>
      <c r="P197" s="1292">
        <f>'Proposed Lighting'!T183</f>
        <v>0</v>
      </c>
      <c r="Q197" s="1293">
        <f>'Proposed Lighting'!AA183</f>
        <v>0</v>
      </c>
      <c r="R197" s="996"/>
      <c r="S197" s="1297">
        <f>IF('Proposed Lighting'!AR183=0,0,IF('Proposed Lighting'!AT183&gt;0.2,'Proposed Lighting'!AT183,0))</f>
        <v>0</v>
      </c>
      <c r="T197" s="997">
        <f>'Proposed Lighting'!X183</f>
        <v>0</v>
      </c>
      <c r="U197" s="998"/>
      <c r="V197" s="998"/>
      <c r="W197" s="1378">
        <f>IF('Proposed Lighting'!AF183=4,"WS",IF('Proposed Lighting'!AF183=5,"CM",IF('Proposed Lighting'!AF183=1.6,"PHOT",IF('Proposed Lighting'!AF183=1.5,"FM",IF('Proposed Lighting'!CT183=0.5,"LED-MS",IF('Proposed Lighting'!CB183&gt;1,"Non-S",IF('Proposed Lighting'!CT183=0.6,"LED-SS",IF('Proposed Lighting'!CT183=2,"LED-NW",IF('Proposed Lighting'!CT183=3,"LLLC",0)))))))))</f>
        <v>0</v>
      </c>
      <c r="X197" s="1293">
        <f>'Proposed Lighting'!EE183</f>
        <v>0</v>
      </c>
      <c r="Y197" s="1293">
        <f>'Proposed Lighting'!EF183</f>
        <v>0</v>
      </c>
    </row>
    <row r="198" spans="1:25" ht="50.1" customHeight="1">
      <c r="A198" s="1290">
        <v>176</v>
      </c>
      <c r="B198" s="1291">
        <f>'Proposed Lighting'!B184</f>
        <v>0</v>
      </c>
      <c r="C198" s="1291">
        <f>IF('Proposed Lighting'!M184="Sch 1","Sch 1",IF('Proposed Lighting'!M184="Sch 1-C", "Sch 1-C",IF('Proposed Lighting'!M184="Sch 2","Sch 2",IF('Proposed Lighting'!M184="Sch 2-C","Sch 2-C",IF('Proposed Lighting'!M184="Sch 3","Sch 3",IF('Proposed Lighting'!M184="Sch 3-C", "Sch 3-C",IF('Proposed Lighting'!M184="E", "E",IF('Proposed Lighting'!M184="E-C", "E-C",IF('Proposed Lighting'!M184="Dusk to Dawn","Sch D-D",IF('Proposed Lighting'!M184="Dusk to Dawn-C", "Sch DD-C",IF('Proposed Lighting'!M184="Seasonal", "SEA",IF('Proposed Lighting'!M184="Seasonal-C", "SEA-C",0))))))))))))</f>
        <v>0</v>
      </c>
      <c r="D198" s="1292">
        <f>'Proposed Lighting'!F184</f>
        <v>0</v>
      </c>
      <c r="E198" s="1293">
        <f>'Proposed Lighting'!N184</f>
        <v>0</v>
      </c>
      <c r="F198" s="996"/>
      <c r="G198" s="1294">
        <f>'Proposed Lighting'!K184</f>
        <v>0</v>
      </c>
      <c r="H198" s="1295">
        <f>IF('Proposed Lighting'!P184&gt;0.2,'Proposed Lighting'!P184,0)</f>
        <v>0</v>
      </c>
      <c r="I198" s="995">
        <f>'Proposed Lighting'!J184</f>
        <v>0</v>
      </c>
      <c r="J198" s="996"/>
      <c r="K198" s="996"/>
      <c r="L198" s="996"/>
      <c r="M198" s="996"/>
      <c r="N198" s="1005"/>
      <c r="O198" s="1296" t="str">
        <f>'Proposed Lighting'!Z184&amp;", "&amp;'Proposed Lighting'!EK184</f>
        <v xml:space="preserve">, </v>
      </c>
      <c r="P198" s="1292">
        <f>'Proposed Lighting'!T184</f>
        <v>0</v>
      </c>
      <c r="Q198" s="1293">
        <f>'Proposed Lighting'!AA184</f>
        <v>0</v>
      </c>
      <c r="R198" s="996"/>
      <c r="S198" s="1297">
        <f>IF('Proposed Lighting'!AR184=0,0,IF('Proposed Lighting'!AT184&gt;0.2,'Proposed Lighting'!AT184,0))</f>
        <v>0</v>
      </c>
      <c r="T198" s="997">
        <f>'Proposed Lighting'!X184</f>
        <v>0</v>
      </c>
      <c r="U198" s="998"/>
      <c r="V198" s="998"/>
      <c r="W198" s="1378">
        <f>IF('Proposed Lighting'!AF184=4,"WS",IF('Proposed Lighting'!AF184=5,"CM",IF('Proposed Lighting'!AF184=1.6,"PHOT",IF('Proposed Lighting'!AF184=1.5,"FM",IF('Proposed Lighting'!CT184=0.5,"LED-MS",IF('Proposed Lighting'!CB184&gt;1,"Non-S",IF('Proposed Lighting'!CT184=0.6,"LED-SS",IF('Proposed Lighting'!CT184=2,"LED-NW",IF('Proposed Lighting'!CT184=3,"LLLC",0)))))))))</f>
        <v>0</v>
      </c>
      <c r="X198" s="1293">
        <f>'Proposed Lighting'!EE184</f>
        <v>0</v>
      </c>
      <c r="Y198" s="1293">
        <f>'Proposed Lighting'!EF184</f>
        <v>0</v>
      </c>
    </row>
    <row r="199" spans="1:25" ht="50.1" customHeight="1">
      <c r="A199" s="1290">
        <v>177</v>
      </c>
      <c r="B199" s="1291">
        <f>'Proposed Lighting'!B185</f>
        <v>0</v>
      </c>
      <c r="C199" s="1291">
        <f>IF('Proposed Lighting'!M185="Sch 1","Sch 1",IF('Proposed Lighting'!M185="Sch 1-C", "Sch 1-C",IF('Proposed Lighting'!M185="Sch 2","Sch 2",IF('Proposed Lighting'!M185="Sch 2-C","Sch 2-C",IF('Proposed Lighting'!M185="Sch 3","Sch 3",IF('Proposed Lighting'!M185="Sch 3-C", "Sch 3-C",IF('Proposed Lighting'!M185="E", "E",IF('Proposed Lighting'!M185="E-C", "E-C",IF('Proposed Lighting'!M185="Dusk to Dawn","Sch D-D",IF('Proposed Lighting'!M185="Dusk to Dawn-C", "Sch DD-C",IF('Proposed Lighting'!M185="Seasonal", "SEA",IF('Proposed Lighting'!M185="Seasonal-C", "SEA-C",0))))))))))))</f>
        <v>0</v>
      </c>
      <c r="D199" s="1292">
        <f>'Proposed Lighting'!F185</f>
        <v>0</v>
      </c>
      <c r="E199" s="1293">
        <f>'Proposed Lighting'!N185</f>
        <v>0</v>
      </c>
      <c r="F199" s="996"/>
      <c r="G199" s="1294">
        <f>'Proposed Lighting'!K185</f>
        <v>0</v>
      </c>
      <c r="H199" s="1295">
        <f>IF('Proposed Lighting'!P185&gt;0.2,'Proposed Lighting'!P185,0)</f>
        <v>0</v>
      </c>
      <c r="I199" s="995">
        <f>'Proposed Lighting'!J185</f>
        <v>0</v>
      </c>
      <c r="J199" s="996"/>
      <c r="K199" s="996"/>
      <c r="L199" s="996"/>
      <c r="M199" s="996"/>
      <c r="N199" s="1005"/>
      <c r="O199" s="1296" t="str">
        <f>'Proposed Lighting'!Z185&amp;", "&amp;'Proposed Lighting'!EK185</f>
        <v xml:space="preserve">, </v>
      </c>
      <c r="P199" s="1292">
        <f>'Proposed Lighting'!T185</f>
        <v>0</v>
      </c>
      <c r="Q199" s="1293">
        <f>'Proposed Lighting'!AA185</f>
        <v>0</v>
      </c>
      <c r="R199" s="996"/>
      <c r="S199" s="1297">
        <f>IF('Proposed Lighting'!AR185=0,0,IF('Proposed Lighting'!AT185&gt;0.2,'Proposed Lighting'!AT185,0))</f>
        <v>0</v>
      </c>
      <c r="T199" s="997">
        <f>'Proposed Lighting'!X185</f>
        <v>0</v>
      </c>
      <c r="U199" s="998"/>
      <c r="V199" s="998"/>
      <c r="W199" s="1378">
        <f>IF('Proposed Lighting'!AF185=4,"WS",IF('Proposed Lighting'!AF185=5,"CM",IF('Proposed Lighting'!AF185=1.6,"PHOT",IF('Proposed Lighting'!AF185=1.5,"FM",IF('Proposed Lighting'!CT185=0.5,"LED-MS",IF('Proposed Lighting'!CB185&gt;1,"Non-S",IF('Proposed Lighting'!CT185=0.6,"LED-SS",IF('Proposed Lighting'!CT185=2,"LED-NW",IF('Proposed Lighting'!CT185=3,"LLLC",0)))))))))</f>
        <v>0</v>
      </c>
      <c r="X199" s="1293">
        <f>'Proposed Lighting'!EE185</f>
        <v>0</v>
      </c>
      <c r="Y199" s="1293">
        <f>'Proposed Lighting'!EF185</f>
        <v>0</v>
      </c>
    </row>
    <row r="200" spans="1:25" ht="50.1" customHeight="1">
      <c r="A200" s="1290">
        <v>178</v>
      </c>
      <c r="B200" s="1291">
        <f>'Proposed Lighting'!B186</f>
        <v>0</v>
      </c>
      <c r="C200" s="1291">
        <f>IF('Proposed Lighting'!M186="Sch 1","Sch 1",IF('Proposed Lighting'!M186="Sch 1-C", "Sch 1-C",IF('Proposed Lighting'!M186="Sch 2","Sch 2",IF('Proposed Lighting'!M186="Sch 2-C","Sch 2-C",IF('Proposed Lighting'!M186="Sch 3","Sch 3",IF('Proposed Lighting'!M186="Sch 3-C", "Sch 3-C",IF('Proposed Lighting'!M186="E", "E",IF('Proposed Lighting'!M186="E-C", "E-C",IF('Proposed Lighting'!M186="Dusk to Dawn","Sch D-D",IF('Proposed Lighting'!M186="Dusk to Dawn-C", "Sch DD-C",IF('Proposed Lighting'!M186="Seasonal", "SEA",IF('Proposed Lighting'!M186="Seasonal-C", "SEA-C",0))))))))))))</f>
        <v>0</v>
      </c>
      <c r="D200" s="1292">
        <f>'Proposed Lighting'!F186</f>
        <v>0</v>
      </c>
      <c r="E200" s="1293">
        <f>'Proposed Lighting'!N186</f>
        <v>0</v>
      </c>
      <c r="F200" s="996"/>
      <c r="G200" s="1294">
        <f>'Proposed Lighting'!K186</f>
        <v>0</v>
      </c>
      <c r="H200" s="1295">
        <f>IF('Proposed Lighting'!P186&gt;0.2,'Proposed Lighting'!P186,0)</f>
        <v>0</v>
      </c>
      <c r="I200" s="995">
        <f>'Proposed Lighting'!J186</f>
        <v>0</v>
      </c>
      <c r="J200" s="996"/>
      <c r="K200" s="996"/>
      <c r="L200" s="996"/>
      <c r="M200" s="996"/>
      <c r="N200" s="1005"/>
      <c r="O200" s="1296" t="str">
        <f>'Proposed Lighting'!Z186&amp;", "&amp;'Proposed Lighting'!EK186</f>
        <v xml:space="preserve">, </v>
      </c>
      <c r="P200" s="1292">
        <f>'Proposed Lighting'!T186</f>
        <v>0</v>
      </c>
      <c r="Q200" s="1293">
        <f>'Proposed Lighting'!AA186</f>
        <v>0</v>
      </c>
      <c r="R200" s="996"/>
      <c r="S200" s="1297">
        <f>IF('Proposed Lighting'!AR186=0,0,IF('Proposed Lighting'!AT186&gt;0.2,'Proposed Lighting'!AT186,0))</f>
        <v>0</v>
      </c>
      <c r="T200" s="997">
        <f>'Proposed Lighting'!X186</f>
        <v>0</v>
      </c>
      <c r="U200" s="998"/>
      <c r="V200" s="998"/>
      <c r="W200" s="1378">
        <f>IF('Proposed Lighting'!AF186=4,"WS",IF('Proposed Lighting'!AF186=5,"CM",IF('Proposed Lighting'!AF186=1.6,"PHOT",IF('Proposed Lighting'!AF186=1.5,"FM",IF('Proposed Lighting'!CT186=0.5,"LED-MS",IF('Proposed Lighting'!CB186&gt;1,"Non-S",IF('Proposed Lighting'!CT186=0.6,"LED-SS",IF('Proposed Lighting'!CT186=2,"LED-NW",IF('Proposed Lighting'!CT186=3,"LLLC",0)))))))))</f>
        <v>0</v>
      </c>
      <c r="X200" s="1293">
        <f>'Proposed Lighting'!EE186</f>
        <v>0</v>
      </c>
      <c r="Y200" s="1293">
        <f>'Proposed Lighting'!EF186</f>
        <v>0</v>
      </c>
    </row>
    <row r="201" spans="1:25" ht="50.1" customHeight="1">
      <c r="A201" s="1290">
        <v>179</v>
      </c>
      <c r="B201" s="1291">
        <f>'Proposed Lighting'!B187</f>
        <v>0</v>
      </c>
      <c r="C201" s="1291">
        <f>IF('Proposed Lighting'!M187="Sch 1","Sch 1",IF('Proposed Lighting'!M187="Sch 1-C", "Sch 1-C",IF('Proposed Lighting'!M187="Sch 2","Sch 2",IF('Proposed Lighting'!M187="Sch 2-C","Sch 2-C",IF('Proposed Lighting'!M187="Sch 3","Sch 3",IF('Proposed Lighting'!M187="Sch 3-C", "Sch 3-C",IF('Proposed Lighting'!M187="E", "E",IF('Proposed Lighting'!M187="E-C", "E-C",IF('Proposed Lighting'!M187="Dusk to Dawn","Sch D-D",IF('Proposed Lighting'!M187="Dusk to Dawn-C", "Sch DD-C",IF('Proposed Lighting'!M187="Seasonal", "SEA",IF('Proposed Lighting'!M187="Seasonal-C", "SEA-C",0))))))))))))</f>
        <v>0</v>
      </c>
      <c r="D201" s="1292">
        <f>'Proposed Lighting'!F187</f>
        <v>0</v>
      </c>
      <c r="E201" s="1293">
        <f>'Proposed Lighting'!N187</f>
        <v>0</v>
      </c>
      <c r="F201" s="996"/>
      <c r="G201" s="1294">
        <f>'Proposed Lighting'!K187</f>
        <v>0</v>
      </c>
      <c r="H201" s="1295">
        <f>IF('Proposed Lighting'!P187&gt;0.2,'Proposed Lighting'!P187,0)</f>
        <v>0</v>
      </c>
      <c r="I201" s="995">
        <f>'Proposed Lighting'!J187</f>
        <v>0</v>
      </c>
      <c r="J201" s="996"/>
      <c r="K201" s="996"/>
      <c r="L201" s="996"/>
      <c r="M201" s="996"/>
      <c r="N201" s="1005"/>
      <c r="O201" s="1296" t="str">
        <f>'Proposed Lighting'!Z187&amp;", "&amp;'Proposed Lighting'!EK187</f>
        <v xml:space="preserve">, </v>
      </c>
      <c r="P201" s="1292">
        <f>'Proposed Lighting'!T187</f>
        <v>0</v>
      </c>
      <c r="Q201" s="1293">
        <f>'Proposed Lighting'!AA187</f>
        <v>0</v>
      </c>
      <c r="R201" s="996"/>
      <c r="S201" s="1297">
        <f>IF('Proposed Lighting'!AR187=0,0,IF('Proposed Lighting'!AT187&gt;0.2,'Proposed Lighting'!AT187,0))</f>
        <v>0</v>
      </c>
      <c r="T201" s="997">
        <f>'Proposed Lighting'!X187</f>
        <v>0</v>
      </c>
      <c r="U201" s="998"/>
      <c r="V201" s="998"/>
      <c r="W201" s="1378">
        <f>IF('Proposed Lighting'!AF187=4,"WS",IF('Proposed Lighting'!AF187=5,"CM",IF('Proposed Lighting'!AF187=1.6,"PHOT",IF('Proposed Lighting'!AF187=1.5,"FM",IF('Proposed Lighting'!CT187=0.5,"LED-MS",IF('Proposed Lighting'!CB187&gt;1,"Non-S",IF('Proposed Lighting'!CT187=0.6,"LED-SS",IF('Proposed Lighting'!CT187=2,"LED-NW",IF('Proposed Lighting'!CT187=3,"LLLC",0)))))))))</f>
        <v>0</v>
      </c>
      <c r="X201" s="1293">
        <f>'Proposed Lighting'!EE187</f>
        <v>0</v>
      </c>
      <c r="Y201" s="1293">
        <f>'Proposed Lighting'!EF187</f>
        <v>0</v>
      </c>
    </row>
    <row r="202" spans="1:25" ht="50.1" customHeight="1">
      <c r="A202" s="1290">
        <v>180</v>
      </c>
      <c r="B202" s="1291">
        <f>'Proposed Lighting'!B188</f>
        <v>0</v>
      </c>
      <c r="C202" s="1291">
        <f>IF('Proposed Lighting'!M188="Sch 1","Sch 1",IF('Proposed Lighting'!M188="Sch 1-C", "Sch 1-C",IF('Proposed Lighting'!M188="Sch 2","Sch 2",IF('Proposed Lighting'!M188="Sch 2-C","Sch 2-C",IF('Proposed Lighting'!M188="Sch 3","Sch 3",IF('Proposed Lighting'!M188="Sch 3-C", "Sch 3-C",IF('Proposed Lighting'!M188="E", "E",IF('Proposed Lighting'!M188="E-C", "E-C",IF('Proposed Lighting'!M188="Dusk to Dawn","Sch D-D",IF('Proposed Lighting'!M188="Dusk to Dawn-C", "Sch DD-C",IF('Proposed Lighting'!M188="Seasonal", "SEA",IF('Proposed Lighting'!M188="Seasonal-C", "SEA-C",0))))))))))))</f>
        <v>0</v>
      </c>
      <c r="D202" s="1292">
        <f>'Proposed Lighting'!F188</f>
        <v>0</v>
      </c>
      <c r="E202" s="1293">
        <f>'Proposed Lighting'!N188</f>
        <v>0</v>
      </c>
      <c r="F202" s="996"/>
      <c r="G202" s="1294">
        <f>'Proposed Lighting'!K188</f>
        <v>0</v>
      </c>
      <c r="H202" s="1295">
        <f>IF('Proposed Lighting'!P188&gt;0.2,'Proposed Lighting'!P188,0)</f>
        <v>0</v>
      </c>
      <c r="I202" s="995">
        <f>'Proposed Lighting'!J188</f>
        <v>0</v>
      </c>
      <c r="J202" s="996"/>
      <c r="K202" s="996"/>
      <c r="L202" s="996"/>
      <c r="M202" s="996"/>
      <c r="N202" s="1005"/>
      <c r="O202" s="1296" t="str">
        <f>'Proposed Lighting'!Z188&amp;", "&amp;'Proposed Lighting'!EK188</f>
        <v xml:space="preserve">, </v>
      </c>
      <c r="P202" s="1292">
        <f>'Proposed Lighting'!T188</f>
        <v>0</v>
      </c>
      <c r="Q202" s="1293">
        <f>'Proposed Lighting'!AA188</f>
        <v>0</v>
      </c>
      <c r="R202" s="996"/>
      <c r="S202" s="1297">
        <f>IF('Proposed Lighting'!AR188=0,0,IF('Proposed Lighting'!AT188&gt;0.2,'Proposed Lighting'!AT188,0))</f>
        <v>0</v>
      </c>
      <c r="T202" s="997">
        <f>'Proposed Lighting'!X188</f>
        <v>0</v>
      </c>
      <c r="U202" s="998"/>
      <c r="V202" s="998"/>
      <c r="W202" s="1378">
        <f>IF('Proposed Lighting'!AF188=4,"WS",IF('Proposed Lighting'!AF188=5,"CM",IF('Proposed Lighting'!AF188=1.6,"PHOT",IF('Proposed Lighting'!AF188=1.5,"FM",IF('Proposed Lighting'!CT188=0.5,"LED-MS",IF('Proposed Lighting'!CB188&gt;1,"Non-S",IF('Proposed Lighting'!CT188=0.6,"LED-SS",IF('Proposed Lighting'!CT188=2,"LED-NW",IF('Proposed Lighting'!CT188=3,"LLLC",0)))))))))</f>
        <v>0</v>
      </c>
      <c r="X202" s="1293">
        <f>'Proposed Lighting'!EE188</f>
        <v>0</v>
      </c>
      <c r="Y202" s="1293">
        <f>'Proposed Lighting'!EF188</f>
        <v>0</v>
      </c>
    </row>
    <row r="203" spans="1:25" ht="50.1" customHeight="1">
      <c r="A203" s="1290">
        <v>181</v>
      </c>
      <c r="B203" s="1291">
        <f>'Proposed Lighting'!B189</f>
        <v>0</v>
      </c>
      <c r="C203" s="1291">
        <f>IF('Proposed Lighting'!M189="Sch 1","Sch 1",IF('Proposed Lighting'!M189="Sch 1-C", "Sch 1-C",IF('Proposed Lighting'!M189="Sch 2","Sch 2",IF('Proposed Lighting'!M189="Sch 2-C","Sch 2-C",IF('Proposed Lighting'!M189="Sch 3","Sch 3",IF('Proposed Lighting'!M189="Sch 3-C", "Sch 3-C",IF('Proposed Lighting'!M189="E", "E",IF('Proposed Lighting'!M189="E-C", "E-C",IF('Proposed Lighting'!M189="Dusk to Dawn","Sch D-D",IF('Proposed Lighting'!M189="Dusk to Dawn-C", "Sch DD-C",IF('Proposed Lighting'!M189="Seasonal", "SEA",IF('Proposed Lighting'!M189="Seasonal-C", "SEA-C",0))))))))))))</f>
        <v>0</v>
      </c>
      <c r="D203" s="1292">
        <f>'Proposed Lighting'!F189</f>
        <v>0</v>
      </c>
      <c r="E203" s="1293">
        <f>'Proposed Lighting'!N189</f>
        <v>0</v>
      </c>
      <c r="F203" s="996"/>
      <c r="G203" s="1294">
        <f>'Proposed Lighting'!K189</f>
        <v>0</v>
      </c>
      <c r="H203" s="1295">
        <f>IF('Proposed Lighting'!P189&gt;0.2,'Proposed Lighting'!P189,0)</f>
        <v>0</v>
      </c>
      <c r="I203" s="995">
        <f>'Proposed Lighting'!J189</f>
        <v>0</v>
      </c>
      <c r="J203" s="996"/>
      <c r="K203" s="996"/>
      <c r="L203" s="996"/>
      <c r="M203" s="996"/>
      <c r="N203" s="1005"/>
      <c r="O203" s="1296" t="str">
        <f>'Proposed Lighting'!Z189&amp;", "&amp;'Proposed Lighting'!EK189</f>
        <v xml:space="preserve">, </v>
      </c>
      <c r="P203" s="1292">
        <f>'Proposed Lighting'!T189</f>
        <v>0</v>
      </c>
      <c r="Q203" s="1293">
        <f>'Proposed Lighting'!AA189</f>
        <v>0</v>
      </c>
      <c r="R203" s="996"/>
      <c r="S203" s="1297">
        <f>IF('Proposed Lighting'!AR189=0,0,IF('Proposed Lighting'!AT189&gt;0.2,'Proposed Lighting'!AT189,0))</f>
        <v>0</v>
      </c>
      <c r="T203" s="997">
        <f>'Proposed Lighting'!X189</f>
        <v>0</v>
      </c>
      <c r="U203" s="998"/>
      <c r="V203" s="998"/>
      <c r="W203" s="1378">
        <f>IF('Proposed Lighting'!AF189=4,"WS",IF('Proposed Lighting'!AF189=5,"CM",IF('Proposed Lighting'!AF189=1.6,"PHOT",IF('Proposed Lighting'!AF189=1.5,"FM",IF('Proposed Lighting'!CT189=0.5,"LED-MS",IF('Proposed Lighting'!CB189&gt;1,"Non-S",IF('Proposed Lighting'!CT189=0.6,"LED-SS",IF('Proposed Lighting'!CT189=2,"LED-NW",IF('Proposed Lighting'!CT189=3,"LLLC",0)))))))))</f>
        <v>0</v>
      </c>
      <c r="X203" s="1293">
        <f>'Proposed Lighting'!EE189</f>
        <v>0</v>
      </c>
      <c r="Y203" s="1293">
        <f>'Proposed Lighting'!EF189</f>
        <v>0</v>
      </c>
    </row>
    <row r="204" spans="1:25" ht="50.1" customHeight="1">
      <c r="A204" s="1290">
        <v>182</v>
      </c>
      <c r="B204" s="1291">
        <f>'Proposed Lighting'!B190</f>
        <v>0</v>
      </c>
      <c r="C204" s="1291">
        <f>IF('Proposed Lighting'!M190="Sch 1","Sch 1",IF('Proposed Lighting'!M190="Sch 1-C", "Sch 1-C",IF('Proposed Lighting'!M190="Sch 2","Sch 2",IF('Proposed Lighting'!M190="Sch 2-C","Sch 2-C",IF('Proposed Lighting'!M190="Sch 3","Sch 3",IF('Proposed Lighting'!M190="Sch 3-C", "Sch 3-C",IF('Proposed Lighting'!M190="E", "E",IF('Proposed Lighting'!M190="E-C", "E-C",IF('Proposed Lighting'!M190="Dusk to Dawn","Sch D-D",IF('Proposed Lighting'!M190="Dusk to Dawn-C", "Sch DD-C",IF('Proposed Lighting'!M190="Seasonal", "SEA",IF('Proposed Lighting'!M190="Seasonal-C", "SEA-C",0))))))))))))</f>
        <v>0</v>
      </c>
      <c r="D204" s="1292">
        <f>'Proposed Lighting'!F190</f>
        <v>0</v>
      </c>
      <c r="E204" s="1293">
        <f>'Proposed Lighting'!N190</f>
        <v>0</v>
      </c>
      <c r="F204" s="996"/>
      <c r="G204" s="1294">
        <f>'Proposed Lighting'!K190</f>
        <v>0</v>
      </c>
      <c r="H204" s="1295">
        <f>IF('Proposed Lighting'!P190&gt;0.2,'Proposed Lighting'!P190,0)</f>
        <v>0</v>
      </c>
      <c r="I204" s="995">
        <f>'Proposed Lighting'!J190</f>
        <v>0</v>
      </c>
      <c r="J204" s="996"/>
      <c r="K204" s="996"/>
      <c r="L204" s="996"/>
      <c r="M204" s="996"/>
      <c r="N204" s="1005"/>
      <c r="O204" s="1296" t="str">
        <f>'Proposed Lighting'!Z190&amp;", "&amp;'Proposed Lighting'!EK190</f>
        <v xml:space="preserve">, </v>
      </c>
      <c r="P204" s="1292">
        <f>'Proposed Lighting'!T190</f>
        <v>0</v>
      </c>
      <c r="Q204" s="1293">
        <f>'Proposed Lighting'!AA190</f>
        <v>0</v>
      </c>
      <c r="R204" s="996"/>
      <c r="S204" s="1297">
        <f>IF('Proposed Lighting'!AR190=0,0,IF('Proposed Lighting'!AT190&gt;0.2,'Proposed Lighting'!AT190,0))</f>
        <v>0</v>
      </c>
      <c r="T204" s="997">
        <f>'Proposed Lighting'!X190</f>
        <v>0</v>
      </c>
      <c r="U204" s="998"/>
      <c r="V204" s="998"/>
      <c r="W204" s="1378">
        <f>IF('Proposed Lighting'!AF190=4,"WS",IF('Proposed Lighting'!AF190=5,"CM",IF('Proposed Lighting'!AF190=1.6,"PHOT",IF('Proposed Lighting'!AF190=1.5,"FM",IF('Proposed Lighting'!CT190=0.5,"LED-MS",IF('Proposed Lighting'!CB190&gt;1,"Non-S",IF('Proposed Lighting'!CT190=0.6,"LED-SS",IF('Proposed Lighting'!CT190=2,"LED-NW",IF('Proposed Lighting'!CT190=3,"LLLC",0)))))))))</f>
        <v>0</v>
      </c>
      <c r="X204" s="1293">
        <f>'Proposed Lighting'!EE190</f>
        <v>0</v>
      </c>
      <c r="Y204" s="1293">
        <f>'Proposed Lighting'!EF190</f>
        <v>0</v>
      </c>
    </row>
    <row r="205" spans="1:25" ht="50.1" customHeight="1">
      <c r="A205" s="1290">
        <v>183</v>
      </c>
      <c r="B205" s="1291">
        <f>'Proposed Lighting'!B191</f>
        <v>0</v>
      </c>
      <c r="C205" s="1291">
        <f>IF('Proposed Lighting'!M191="Sch 1","Sch 1",IF('Proposed Lighting'!M191="Sch 1-C", "Sch 1-C",IF('Proposed Lighting'!M191="Sch 2","Sch 2",IF('Proposed Lighting'!M191="Sch 2-C","Sch 2-C",IF('Proposed Lighting'!M191="Sch 3","Sch 3",IF('Proposed Lighting'!M191="Sch 3-C", "Sch 3-C",IF('Proposed Lighting'!M191="E", "E",IF('Proposed Lighting'!M191="E-C", "E-C",IF('Proposed Lighting'!M191="Dusk to Dawn","Sch D-D",IF('Proposed Lighting'!M191="Dusk to Dawn-C", "Sch DD-C",IF('Proposed Lighting'!M191="Seasonal", "SEA",IF('Proposed Lighting'!M191="Seasonal-C", "SEA-C",0))))))))))))</f>
        <v>0</v>
      </c>
      <c r="D205" s="1292">
        <f>'Proposed Lighting'!F191</f>
        <v>0</v>
      </c>
      <c r="E205" s="1293">
        <f>'Proposed Lighting'!N191</f>
        <v>0</v>
      </c>
      <c r="F205" s="996"/>
      <c r="G205" s="1294">
        <f>'Proposed Lighting'!K191</f>
        <v>0</v>
      </c>
      <c r="H205" s="1295">
        <f>IF('Proposed Lighting'!P191&gt;0.2,'Proposed Lighting'!P191,0)</f>
        <v>0</v>
      </c>
      <c r="I205" s="995">
        <f>'Proposed Lighting'!J191</f>
        <v>0</v>
      </c>
      <c r="J205" s="996"/>
      <c r="K205" s="996"/>
      <c r="L205" s="996"/>
      <c r="M205" s="996"/>
      <c r="N205" s="1005"/>
      <c r="O205" s="1296" t="str">
        <f>'Proposed Lighting'!Z191&amp;", "&amp;'Proposed Lighting'!EK191</f>
        <v xml:space="preserve">, </v>
      </c>
      <c r="P205" s="1292">
        <f>'Proposed Lighting'!T191</f>
        <v>0</v>
      </c>
      <c r="Q205" s="1293">
        <f>'Proposed Lighting'!AA191</f>
        <v>0</v>
      </c>
      <c r="R205" s="996"/>
      <c r="S205" s="1297">
        <f>IF('Proposed Lighting'!AR191=0,0,IF('Proposed Lighting'!AT191&gt;0.2,'Proposed Lighting'!AT191,0))</f>
        <v>0</v>
      </c>
      <c r="T205" s="997">
        <f>'Proposed Lighting'!X191</f>
        <v>0</v>
      </c>
      <c r="U205" s="998"/>
      <c r="V205" s="998"/>
      <c r="W205" s="1378">
        <f>IF('Proposed Lighting'!AF191=4,"WS",IF('Proposed Lighting'!AF191=5,"CM",IF('Proposed Lighting'!AF191=1.6,"PHOT",IF('Proposed Lighting'!AF191=1.5,"FM",IF('Proposed Lighting'!CT191=0.5,"LED-MS",IF('Proposed Lighting'!CB191&gt;1,"Non-S",IF('Proposed Lighting'!CT191=0.6,"LED-SS",IF('Proposed Lighting'!CT191=2,"LED-NW",IF('Proposed Lighting'!CT191=3,"LLLC",0)))))))))</f>
        <v>0</v>
      </c>
      <c r="X205" s="1293">
        <f>'Proposed Lighting'!EE191</f>
        <v>0</v>
      </c>
      <c r="Y205" s="1293">
        <f>'Proposed Lighting'!EF191</f>
        <v>0</v>
      </c>
    </row>
    <row r="206" spans="1:25" ht="50.1" customHeight="1">
      <c r="A206" s="1290">
        <v>184</v>
      </c>
      <c r="B206" s="1291">
        <f>'Proposed Lighting'!B192</f>
        <v>0</v>
      </c>
      <c r="C206" s="1291">
        <f>IF('Proposed Lighting'!M192="Sch 1","Sch 1",IF('Proposed Lighting'!M192="Sch 1-C", "Sch 1-C",IF('Proposed Lighting'!M192="Sch 2","Sch 2",IF('Proposed Lighting'!M192="Sch 2-C","Sch 2-C",IF('Proposed Lighting'!M192="Sch 3","Sch 3",IF('Proposed Lighting'!M192="Sch 3-C", "Sch 3-C",IF('Proposed Lighting'!M192="E", "E",IF('Proposed Lighting'!M192="E-C", "E-C",IF('Proposed Lighting'!M192="Dusk to Dawn","Sch D-D",IF('Proposed Lighting'!M192="Dusk to Dawn-C", "Sch DD-C",IF('Proposed Lighting'!M192="Seasonal", "SEA",IF('Proposed Lighting'!M192="Seasonal-C", "SEA-C",0))))))))))))</f>
        <v>0</v>
      </c>
      <c r="D206" s="1292">
        <f>'Proposed Lighting'!F192</f>
        <v>0</v>
      </c>
      <c r="E206" s="1293">
        <f>'Proposed Lighting'!N192</f>
        <v>0</v>
      </c>
      <c r="F206" s="996"/>
      <c r="G206" s="1294">
        <f>'Proposed Lighting'!K192</f>
        <v>0</v>
      </c>
      <c r="H206" s="1295">
        <f>IF('Proposed Lighting'!P192&gt;0.2,'Proposed Lighting'!P192,0)</f>
        <v>0</v>
      </c>
      <c r="I206" s="995">
        <f>'Proposed Lighting'!J192</f>
        <v>0</v>
      </c>
      <c r="J206" s="996"/>
      <c r="K206" s="996"/>
      <c r="L206" s="996"/>
      <c r="M206" s="996"/>
      <c r="N206" s="1005"/>
      <c r="O206" s="1296" t="str">
        <f>'Proposed Lighting'!Z192&amp;", "&amp;'Proposed Lighting'!EK192</f>
        <v xml:space="preserve">, </v>
      </c>
      <c r="P206" s="1292">
        <f>'Proposed Lighting'!T192</f>
        <v>0</v>
      </c>
      <c r="Q206" s="1293">
        <f>'Proposed Lighting'!AA192</f>
        <v>0</v>
      </c>
      <c r="R206" s="996"/>
      <c r="S206" s="1297">
        <f>IF('Proposed Lighting'!AR192=0,0,IF('Proposed Lighting'!AT192&gt;0.2,'Proposed Lighting'!AT192,0))</f>
        <v>0</v>
      </c>
      <c r="T206" s="997">
        <f>'Proposed Lighting'!X192</f>
        <v>0</v>
      </c>
      <c r="U206" s="998"/>
      <c r="V206" s="998"/>
      <c r="W206" s="1378">
        <f>IF('Proposed Lighting'!AF192=4,"WS",IF('Proposed Lighting'!AF192=5,"CM",IF('Proposed Lighting'!AF192=1.6,"PHOT",IF('Proposed Lighting'!AF192=1.5,"FM",IF('Proposed Lighting'!CT192=0.5,"LED-MS",IF('Proposed Lighting'!CB192&gt;1,"Non-S",IF('Proposed Lighting'!CT192=0.6,"LED-SS",IF('Proposed Lighting'!CT192=2,"LED-NW",IF('Proposed Lighting'!CT192=3,"LLLC",0)))))))))</f>
        <v>0</v>
      </c>
      <c r="X206" s="1293">
        <f>'Proposed Lighting'!EE192</f>
        <v>0</v>
      </c>
      <c r="Y206" s="1293">
        <f>'Proposed Lighting'!EF192</f>
        <v>0</v>
      </c>
    </row>
    <row r="207" spans="1:25" ht="50.1" customHeight="1">
      <c r="A207" s="1290">
        <v>185</v>
      </c>
      <c r="B207" s="1291">
        <f>'Proposed Lighting'!B193</f>
        <v>0</v>
      </c>
      <c r="C207" s="1291">
        <f>IF('Proposed Lighting'!M193="Sch 1","Sch 1",IF('Proposed Lighting'!M193="Sch 1-C", "Sch 1-C",IF('Proposed Lighting'!M193="Sch 2","Sch 2",IF('Proposed Lighting'!M193="Sch 2-C","Sch 2-C",IF('Proposed Lighting'!M193="Sch 3","Sch 3",IF('Proposed Lighting'!M193="Sch 3-C", "Sch 3-C",IF('Proposed Lighting'!M193="E", "E",IF('Proposed Lighting'!M193="E-C", "E-C",IF('Proposed Lighting'!M193="Dusk to Dawn","Sch D-D",IF('Proposed Lighting'!M193="Dusk to Dawn-C", "Sch DD-C",IF('Proposed Lighting'!M193="Seasonal", "SEA",IF('Proposed Lighting'!M193="Seasonal-C", "SEA-C",0))))))))))))</f>
        <v>0</v>
      </c>
      <c r="D207" s="1292">
        <f>'Proposed Lighting'!F193</f>
        <v>0</v>
      </c>
      <c r="E207" s="1293">
        <f>'Proposed Lighting'!N193</f>
        <v>0</v>
      </c>
      <c r="F207" s="996"/>
      <c r="G207" s="1294">
        <f>'Proposed Lighting'!K193</f>
        <v>0</v>
      </c>
      <c r="H207" s="1295">
        <f>IF('Proposed Lighting'!P193&gt;0.2,'Proposed Lighting'!P193,0)</f>
        <v>0</v>
      </c>
      <c r="I207" s="995">
        <f>'Proposed Lighting'!J193</f>
        <v>0</v>
      </c>
      <c r="J207" s="996"/>
      <c r="K207" s="996"/>
      <c r="L207" s="996"/>
      <c r="M207" s="996"/>
      <c r="N207" s="1005"/>
      <c r="O207" s="1296" t="str">
        <f>'Proposed Lighting'!Z193&amp;", "&amp;'Proposed Lighting'!EK193</f>
        <v xml:space="preserve">, </v>
      </c>
      <c r="P207" s="1292">
        <f>'Proposed Lighting'!T193</f>
        <v>0</v>
      </c>
      <c r="Q207" s="1293">
        <f>'Proposed Lighting'!AA193</f>
        <v>0</v>
      </c>
      <c r="R207" s="996"/>
      <c r="S207" s="1297">
        <f>IF('Proposed Lighting'!AR193=0,0,IF('Proposed Lighting'!AT193&gt;0.2,'Proposed Lighting'!AT193,0))</f>
        <v>0</v>
      </c>
      <c r="T207" s="997">
        <f>'Proposed Lighting'!X193</f>
        <v>0</v>
      </c>
      <c r="U207" s="998"/>
      <c r="V207" s="998"/>
      <c r="W207" s="1378">
        <f>IF('Proposed Lighting'!AF193=4,"WS",IF('Proposed Lighting'!AF193=5,"CM",IF('Proposed Lighting'!AF193=1.6,"PHOT",IF('Proposed Lighting'!AF193=1.5,"FM",IF('Proposed Lighting'!CT193=0.5,"LED-MS",IF('Proposed Lighting'!CB193&gt;1,"Non-S",IF('Proposed Lighting'!CT193=0.6,"LED-SS",IF('Proposed Lighting'!CT193=2,"LED-NW",IF('Proposed Lighting'!CT193=3,"LLLC",0)))))))))</f>
        <v>0</v>
      </c>
      <c r="X207" s="1293">
        <f>'Proposed Lighting'!EE193</f>
        <v>0</v>
      </c>
      <c r="Y207" s="1293">
        <f>'Proposed Lighting'!EF193</f>
        <v>0</v>
      </c>
    </row>
    <row r="208" spans="1:25" ht="50.1" customHeight="1">
      <c r="A208" s="1290">
        <v>186</v>
      </c>
      <c r="B208" s="1291">
        <f>'Proposed Lighting'!B194</f>
        <v>0</v>
      </c>
      <c r="C208" s="1291">
        <f>IF('Proposed Lighting'!M194="Sch 1","Sch 1",IF('Proposed Lighting'!M194="Sch 1-C", "Sch 1-C",IF('Proposed Lighting'!M194="Sch 2","Sch 2",IF('Proposed Lighting'!M194="Sch 2-C","Sch 2-C",IF('Proposed Lighting'!M194="Sch 3","Sch 3",IF('Proposed Lighting'!M194="Sch 3-C", "Sch 3-C",IF('Proposed Lighting'!M194="E", "E",IF('Proposed Lighting'!M194="E-C", "E-C",IF('Proposed Lighting'!M194="Dusk to Dawn","Sch D-D",IF('Proposed Lighting'!M194="Dusk to Dawn-C", "Sch DD-C",IF('Proposed Lighting'!M194="Seasonal", "SEA",IF('Proposed Lighting'!M194="Seasonal-C", "SEA-C",0))))))))))))</f>
        <v>0</v>
      </c>
      <c r="D208" s="1292">
        <f>'Proposed Lighting'!F194</f>
        <v>0</v>
      </c>
      <c r="E208" s="1293">
        <f>'Proposed Lighting'!N194</f>
        <v>0</v>
      </c>
      <c r="F208" s="996"/>
      <c r="G208" s="1294">
        <f>'Proposed Lighting'!K194</f>
        <v>0</v>
      </c>
      <c r="H208" s="1295">
        <f>IF('Proposed Lighting'!P194&gt;0.2,'Proposed Lighting'!P194,0)</f>
        <v>0</v>
      </c>
      <c r="I208" s="995">
        <f>'Proposed Lighting'!J194</f>
        <v>0</v>
      </c>
      <c r="J208" s="996"/>
      <c r="K208" s="996"/>
      <c r="L208" s="996"/>
      <c r="M208" s="996"/>
      <c r="N208" s="1005"/>
      <c r="O208" s="1296" t="str">
        <f>'Proposed Lighting'!Z194&amp;", "&amp;'Proposed Lighting'!EK194</f>
        <v xml:space="preserve">, </v>
      </c>
      <c r="P208" s="1292">
        <f>'Proposed Lighting'!T194</f>
        <v>0</v>
      </c>
      <c r="Q208" s="1293">
        <f>'Proposed Lighting'!AA194</f>
        <v>0</v>
      </c>
      <c r="R208" s="996"/>
      <c r="S208" s="1297">
        <f>IF('Proposed Lighting'!AR194=0,0,IF('Proposed Lighting'!AT194&gt;0.2,'Proposed Lighting'!AT194,0))</f>
        <v>0</v>
      </c>
      <c r="T208" s="997">
        <f>'Proposed Lighting'!X194</f>
        <v>0</v>
      </c>
      <c r="U208" s="998"/>
      <c r="V208" s="998"/>
      <c r="W208" s="1378">
        <f>IF('Proposed Lighting'!AF194=4,"WS",IF('Proposed Lighting'!AF194=5,"CM",IF('Proposed Lighting'!AF194=1.6,"PHOT",IF('Proposed Lighting'!AF194=1.5,"FM",IF('Proposed Lighting'!CT194=0.5,"LED-MS",IF('Proposed Lighting'!CB194&gt;1,"Non-S",IF('Proposed Lighting'!CT194=0.6,"LED-SS",IF('Proposed Lighting'!CT194=2,"LED-NW",IF('Proposed Lighting'!CT194=3,"LLLC",0)))))))))</f>
        <v>0</v>
      </c>
      <c r="X208" s="1293">
        <f>'Proposed Lighting'!EE194</f>
        <v>0</v>
      </c>
      <c r="Y208" s="1293">
        <f>'Proposed Lighting'!EF194</f>
        <v>0</v>
      </c>
    </row>
    <row r="209" spans="1:25" ht="50.1" customHeight="1">
      <c r="A209" s="1290">
        <v>187</v>
      </c>
      <c r="B209" s="1291">
        <f>'Proposed Lighting'!B195</f>
        <v>0</v>
      </c>
      <c r="C209" s="1291">
        <f>IF('Proposed Lighting'!M195="Sch 1","Sch 1",IF('Proposed Lighting'!M195="Sch 1-C", "Sch 1-C",IF('Proposed Lighting'!M195="Sch 2","Sch 2",IF('Proposed Lighting'!M195="Sch 2-C","Sch 2-C",IF('Proposed Lighting'!M195="Sch 3","Sch 3",IF('Proposed Lighting'!M195="Sch 3-C", "Sch 3-C",IF('Proposed Lighting'!M195="E", "E",IF('Proposed Lighting'!M195="E-C", "E-C",IF('Proposed Lighting'!M195="Dusk to Dawn","Sch D-D",IF('Proposed Lighting'!M195="Dusk to Dawn-C", "Sch DD-C",IF('Proposed Lighting'!M195="Seasonal", "SEA",IF('Proposed Lighting'!M195="Seasonal-C", "SEA-C",0))))))))))))</f>
        <v>0</v>
      </c>
      <c r="D209" s="1292">
        <f>'Proposed Lighting'!F195</f>
        <v>0</v>
      </c>
      <c r="E209" s="1293">
        <f>'Proposed Lighting'!N195</f>
        <v>0</v>
      </c>
      <c r="F209" s="996"/>
      <c r="G209" s="1294">
        <f>'Proposed Lighting'!K195</f>
        <v>0</v>
      </c>
      <c r="H209" s="1295">
        <f>IF('Proposed Lighting'!P195&gt;0.2,'Proposed Lighting'!P195,0)</f>
        <v>0</v>
      </c>
      <c r="I209" s="995">
        <f>'Proposed Lighting'!J195</f>
        <v>0</v>
      </c>
      <c r="J209" s="996"/>
      <c r="K209" s="996"/>
      <c r="L209" s="996"/>
      <c r="M209" s="996"/>
      <c r="N209" s="1005"/>
      <c r="O209" s="1296" t="str">
        <f>'Proposed Lighting'!Z195&amp;", "&amp;'Proposed Lighting'!EK195</f>
        <v xml:space="preserve">, </v>
      </c>
      <c r="P209" s="1292">
        <f>'Proposed Lighting'!T195</f>
        <v>0</v>
      </c>
      <c r="Q209" s="1293">
        <f>'Proposed Lighting'!AA195</f>
        <v>0</v>
      </c>
      <c r="R209" s="996"/>
      <c r="S209" s="1297">
        <f>IF('Proposed Lighting'!AR195=0,0,IF('Proposed Lighting'!AT195&gt;0.2,'Proposed Lighting'!AT195,0))</f>
        <v>0</v>
      </c>
      <c r="T209" s="997">
        <f>'Proposed Lighting'!X195</f>
        <v>0</v>
      </c>
      <c r="U209" s="998"/>
      <c r="V209" s="998"/>
      <c r="W209" s="1378">
        <f>IF('Proposed Lighting'!AF195=4,"WS",IF('Proposed Lighting'!AF195=5,"CM",IF('Proposed Lighting'!AF195=1.6,"PHOT",IF('Proposed Lighting'!AF195=1.5,"FM",IF('Proposed Lighting'!CT195=0.5,"LED-MS",IF('Proposed Lighting'!CB195&gt;1,"Non-S",IF('Proposed Lighting'!CT195=0.6,"LED-SS",IF('Proposed Lighting'!CT195=2,"LED-NW",IF('Proposed Lighting'!CT195=3,"LLLC",0)))))))))</f>
        <v>0</v>
      </c>
      <c r="X209" s="1293">
        <f>'Proposed Lighting'!EE195</f>
        <v>0</v>
      </c>
      <c r="Y209" s="1293">
        <f>'Proposed Lighting'!EF195</f>
        <v>0</v>
      </c>
    </row>
    <row r="210" spans="1:25" ht="50.1" customHeight="1">
      <c r="A210" s="1290">
        <v>188</v>
      </c>
      <c r="B210" s="1291">
        <f>'Proposed Lighting'!B196</f>
        <v>0</v>
      </c>
      <c r="C210" s="1291">
        <f>IF('Proposed Lighting'!M196="Sch 1","Sch 1",IF('Proposed Lighting'!M196="Sch 1-C", "Sch 1-C",IF('Proposed Lighting'!M196="Sch 2","Sch 2",IF('Proposed Lighting'!M196="Sch 2-C","Sch 2-C",IF('Proposed Lighting'!M196="Sch 3","Sch 3",IF('Proposed Lighting'!M196="Sch 3-C", "Sch 3-C",IF('Proposed Lighting'!M196="E", "E",IF('Proposed Lighting'!M196="E-C", "E-C",IF('Proposed Lighting'!M196="Dusk to Dawn","Sch D-D",IF('Proposed Lighting'!M196="Dusk to Dawn-C", "Sch DD-C",IF('Proposed Lighting'!M196="Seasonal", "SEA",IF('Proposed Lighting'!M196="Seasonal-C", "SEA-C",0))))))))))))</f>
        <v>0</v>
      </c>
      <c r="D210" s="1292">
        <f>'Proposed Lighting'!F196</f>
        <v>0</v>
      </c>
      <c r="E210" s="1293">
        <f>'Proposed Lighting'!N196</f>
        <v>0</v>
      </c>
      <c r="F210" s="996"/>
      <c r="G210" s="1294">
        <f>'Proposed Lighting'!K196</f>
        <v>0</v>
      </c>
      <c r="H210" s="1295">
        <f>IF('Proposed Lighting'!P196&gt;0.2,'Proposed Lighting'!P196,0)</f>
        <v>0</v>
      </c>
      <c r="I210" s="995">
        <f>'Proposed Lighting'!J196</f>
        <v>0</v>
      </c>
      <c r="J210" s="996"/>
      <c r="K210" s="996"/>
      <c r="L210" s="996"/>
      <c r="M210" s="996"/>
      <c r="N210" s="1005"/>
      <c r="O210" s="1296" t="str">
        <f>'Proposed Lighting'!Z196&amp;", "&amp;'Proposed Lighting'!EK196</f>
        <v xml:space="preserve">, </v>
      </c>
      <c r="P210" s="1292">
        <f>'Proposed Lighting'!T196</f>
        <v>0</v>
      </c>
      <c r="Q210" s="1293">
        <f>'Proposed Lighting'!AA196</f>
        <v>0</v>
      </c>
      <c r="R210" s="996"/>
      <c r="S210" s="1297">
        <f>IF('Proposed Lighting'!AR196=0,0,IF('Proposed Lighting'!AT196&gt;0.2,'Proposed Lighting'!AT196,0))</f>
        <v>0</v>
      </c>
      <c r="T210" s="997">
        <f>'Proposed Lighting'!X196</f>
        <v>0</v>
      </c>
      <c r="U210" s="998"/>
      <c r="V210" s="998"/>
      <c r="W210" s="1378">
        <f>IF('Proposed Lighting'!AF196=4,"WS",IF('Proposed Lighting'!AF196=5,"CM",IF('Proposed Lighting'!AF196=1.6,"PHOT",IF('Proposed Lighting'!AF196=1.5,"FM",IF('Proposed Lighting'!CT196=0.5,"LED-MS",IF('Proposed Lighting'!CB196&gt;1,"Non-S",IF('Proposed Lighting'!CT196=0.6,"LED-SS",IF('Proposed Lighting'!CT196=2,"LED-NW",IF('Proposed Lighting'!CT196=3,"LLLC",0)))))))))</f>
        <v>0</v>
      </c>
      <c r="X210" s="1293">
        <f>'Proposed Lighting'!EE196</f>
        <v>0</v>
      </c>
      <c r="Y210" s="1293">
        <f>'Proposed Lighting'!EF196</f>
        <v>0</v>
      </c>
    </row>
    <row r="211" spans="1:25" ht="50.1" customHeight="1">
      <c r="A211" s="1290">
        <v>189</v>
      </c>
      <c r="B211" s="1291">
        <f>'Proposed Lighting'!B197</f>
        <v>0</v>
      </c>
      <c r="C211" s="1291">
        <f>IF('Proposed Lighting'!M197="Sch 1","Sch 1",IF('Proposed Lighting'!M197="Sch 1-C", "Sch 1-C",IF('Proposed Lighting'!M197="Sch 2","Sch 2",IF('Proposed Lighting'!M197="Sch 2-C","Sch 2-C",IF('Proposed Lighting'!M197="Sch 3","Sch 3",IF('Proposed Lighting'!M197="Sch 3-C", "Sch 3-C",IF('Proposed Lighting'!M197="E", "E",IF('Proposed Lighting'!M197="E-C", "E-C",IF('Proposed Lighting'!M197="Dusk to Dawn","Sch D-D",IF('Proposed Lighting'!M197="Dusk to Dawn-C", "Sch DD-C",IF('Proposed Lighting'!M197="Seasonal", "SEA",IF('Proposed Lighting'!M197="Seasonal-C", "SEA-C",0))))))))))))</f>
        <v>0</v>
      </c>
      <c r="D211" s="1292">
        <f>'Proposed Lighting'!F197</f>
        <v>0</v>
      </c>
      <c r="E211" s="1293">
        <f>'Proposed Lighting'!N197</f>
        <v>0</v>
      </c>
      <c r="F211" s="996"/>
      <c r="G211" s="1294">
        <f>'Proposed Lighting'!K197</f>
        <v>0</v>
      </c>
      <c r="H211" s="1295">
        <f>IF('Proposed Lighting'!P197&gt;0.2,'Proposed Lighting'!P197,0)</f>
        <v>0</v>
      </c>
      <c r="I211" s="995">
        <f>'Proposed Lighting'!J197</f>
        <v>0</v>
      </c>
      <c r="J211" s="996"/>
      <c r="K211" s="996"/>
      <c r="L211" s="996"/>
      <c r="M211" s="996"/>
      <c r="N211" s="1005"/>
      <c r="O211" s="1296" t="str">
        <f>'Proposed Lighting'!Z197&amp;", "&amp;'Proposed Lighting'!EK197</f>
        <v xml:space="preserve">, </v>
      </c>
      <c r="P211" s="1292">
        <f>'Proposed Lighting'!T197</f>
        <v>0</v>
      </c>
      <c r="Q211" s="1293">
        <f>'Proposed Lighting'!AA197</f>
        <v>0</v>
      </c>
      <c r="R211" s="996"/>
      <c r="S211" s="1297">
        <f>IF('Proposed Lighting'!AR197=0,0,IF('Proposed Lighting'!AT197&gt;0.2,'Proposed Lighting'!AT197,0))</f>
        <v>0</v>
      </c>
      <c r="T211" s="997">
        <f>'Proposed Lighting'!X197</f>
        <v>0</v>
      </c>
      <c r="U211" s="998"/>
      <c r="V211" s="998"/>
      <c r="W211" s="1378">
        <f>IF('Proposed Lighting'!AF197=4,"WS",IF('Proposed Lighting'!AF197=5,"CM",IF('Proposed Lighting'!AF197=1.6,"PHOT",IF('Proposed Lighting'!AF197=1.5,"FM",IF('Proposed Lighting'!CT197=0.5,"LED-MS",IF('Proposed Lighting'!CB197&gt;1,"Non-S",IF('Proposed Lighting'!CT197=0.6,"LED-SS",IF('Proposed Lighting'!CT197=2,"LED-NW",IF('Proposed Lighting'!CT197=3,"LLLC",0)))))))))</f>
        <v>0</v>
      </c>
      <c r="X211" s="1293">
        <f>'Proposed Lighting'!EE197</f>
        <v>0</v>
      </c>
      <c r="Y211" s="1293">
        <f>'Proposed Lighting'!EF197</f>
        <v>0</v>
      </c>
    </row>
    <row r="212" spans="1:25" ht="50.1" customHeight="1">
      <c r="A212" s="1290">
        <v>190</v>
      </c>
      <c r="B212" s="1291">
        <f>'Proposed Lighting'!B198</f>
        <v>0</v>
      </c>
      <c r="C212" s="1291">
        <f>IF('Proposed Lighting'!M198="Sch 1","Sch 1",IF('Proposed Lighting'!M198="Sch 1-C", "Sch 1-C",IF('Proposed Lighting'!M198="Sch 2","Sch 2",IF('Proposed Lighting'!M198="Sch 2-C","Sch 2-C",IF('Proposed Lighting'!M198="Sch 3","Sch 3",IF('Proposed Lighting'!M198="Sch 3-C", "Sch 3-C",IF('Proposed Lighting'!M198="E", "E",IF('Proposed Lighting'!M198="E-C", "E-C",IF('Proposed Lighting'!M198="Dusk to Dawn","Sch D-D",IF('Proposed Lighting'!M198="Dusk to Dawn-C", "Sch DD-C",IF('Proposed Lighting'!M198="Seasonal", "SEA",IF('Proposed Lighting'!M198="Seasonal-C", "SEA-C",0))))))))))))</f>
        <v>0</v>
      </c>
      <c r="D212" s="1292">
        <f>'Proposed Lighting'!F198</f>
        <v>0</v>
      </c>
      <c r="E212" s="1293">
        <f>'Proposed Lighting'!N198</f>
        <v>0</v>
      </c>
      <c r="F212" s="996"/>
      <c r="G212" s="1294">
        <f>'Proposed Lighting'!K198</f>
        <v>0</v>
      </c>
      <c r="H212" s="1295">
        <f>IF('Proposed Lighting'!P198&gt;0.2,'Proposed Lighting'!P198,0)</f>
        <v>0</v>
      </c>
      <c r="I212" s="995">
        <f>'Proposed Lighting'!J198</f>
        <v>0</v>
      </c>
      <c r="J212" s="996"/>
      <c r="K212" s="996"/>
      <c r="L212" s="996"/>
      <c r="M212" s="996"/>
      <c r="N212" s="1005"/>
      <c r="O212" s="1296" t="str">
        <f>'Proposed Lighting'!Z198&amp;", "&amp;'Proposed Lighting'!EK198</f>
        <v xml:space="preserve">, </v>
      </c>
      <c r="P212" s="1292">
        <f>'Proposed Lighting'!T198</f>
        <v>0</v>
      </c>
      <c r="Q212" s="1293">
        <f>'Proposed Lighting'!AA198</f>
        <v>0</v>
      </c>
      <c r="R212" s="996"/>
      <c r="S212" s="1297">
        <f>IF('Proposed Lighting'!AR198=0,0,IF('Proposed Lighting'!AT198&gt;0.2,'Proposed Lighting'!AT198,0))</f>
        <v>0</v>
      </c>
      <c r="T212" s="997">
        <f>'Proposed Lighting'!X198</f>
        <v>0</v>
      </c>
      <c r="U212" s="998"/>
      <c r="V212" s="998"/>
      <c r="W212" s="1378">
        <f>IF('Proposed Lighting'!AF198=4,"WS",IF('Proposed Lighting'!AF198=5,"CM",IF('Proposed Lighting'!AF198=1.6,"PHOT",IF('Proposed Lighting'!AF198=1.5,"FM",IF('Proposed Lighting'!CT198=0.5,"LED-MS",IF('Proposed Lighting'!CB198&gt;1,"Non-S",IF('Proposed Lighting'!CT198=0.6,"LED-SS",IF('Proposed Lighting'!CT198=2,"LED-NW",IF('Proposed Lighting'!CT198=3,"LLLC",0)))))))))</f>
        <v>0</v>
      </c>
      <c r="X212" s="1293">
        <f>'Proposed Lighting'!EE198</f>
        <v>0</v>
      </c>
      <c r="Y212" s="1293">
        <f>'Proposed Lighting'!EF198</f>
        <v>0</v>
      </c>
    </row>
    <row r="213" spans="1:25" ht="50.1" customHeight="1">
      <c r="A213" s="1290">
        <v>191</v>
      </c>
      <c r="B213" s="1291">
        <f>'Proposed Lighting'!B199</f>
        <v>0</v>
      </c>
      <c r="C213" s="1291">
        <f>IF('Proposed Lighting'!M199="Sch 1","Sch 1",IF('Proposed Lighting'!M199="Sch 1-C", "Sch 1-C",IF('Proposed Lighting'!M199="Sch 2","Sch 2",IF('Proposed Lighting'!M199="Sch 2-C","Sch 2-C",IF('Proposed Lighting'!M199="Sch 3","Sch 3",IF('Proposed Lighting'!M199="Sch 3-C", "Sch 3-C",IF('Proposed Lighting'!M199="E", "E",IF('Proposed Lighting'!M199="E-C", "E-C",IF('Proposed Lighting'!M199="Dusk to Dawn","Sch D-D",IF('Proposed Lighting'!M199="Dusk to Dawn-C", "Sch DD-C",IF('Proposed Lighting'!M199="Seasonal", "SEA",IF('Proposed Lighting'!M199="Seasonal-C", "SEA-C",0))))))))))))</f>
        <v>0</v>
      </c>
      <c r="D213" s="1292">
        <f>'Proposed Lighting'!F199</f>
        <v>0</v>
      </c>
      <c r="E213" s="1293">
        <f>'Proposed Lighting'!N199</f>
        <v>0</v>
      </c>
      <c r="F213" s="996"/>
      <c r="G213" s="1294">
        <f>'Proposed Lighting'!K199</f>
        <v>0</v>
      </c>
      <c r="H213" s="1295">
        <f>IF('Proposed Lighting'!P199&gt;0.2,'Proposed Lighting'!P199,0)</f>
        <v>0</v>
      </c>
      <c r="I213" s="995">
        <f>'Proposed Lighting'!J199</f>
        <v>0</v>
      </c>
      <c r="J213" s="996"/>
      <c r="K213" s="996"/>
      <c r="L213" s="996"/>
      <c r="M213" s="996"/>
      <c r="N213" s="1005"/>
      <c r="O213" s="1296" t="str">
        <f>'Proposed Lighting'!Z199&amp;", "&amp;'Proposed Lighting'!EK199</f>
        <v xml:space="preserve">, </v>
      </c>
      <c r="P213" s="1292">
        <f>'Proposed Lighting'!T199</f>
        <v>0</v>
      </c>
      <c r="Q213" s="1293">
        <f>'Proposed Lighting'!AA199</f>
        <v>0</v>
      </c>
      <c r="R213" s="996"/>
      <c r="S213" s="1297">
        <f>IF('Proposed Lighting'!AR199=0,0,IF('Proposed Lighting'!AT199&gt;0.2,'Proposed Lighting'!AT199,0))</f>
        <v>0</v>
      </c>
      <c r="T213" s="997">
        <f>'Proposed Lighting'!X199</f>
        <v>0</v>
      </c>
      <c r="U213" s="998"/>
      <c r="V213" s="998"/>
      <c r="W213" s="1378">
        <f>IF('Proposed Lighting'!AF199=4,"WS",IF('Proposed Lighting'!AF199=5,"CM",IF('Proposed Lighting'!AF199=1.6,"PHOT",IF('Proposed Lighting'!AF199=1.5,"FM",IF('Proposed Lighting'!CT199=0.5,"LED-MS",IF('Proposed Lighting'!CB199&gt;1,"Non-S",IF('Proposed Lighting'!CT199=0.6,"LED-SS",IF('Proposed Lighting'!CT199=2,"LED-NW",IF('Proposed Lighting'!CT199=3,"LLLC",0)))))))))</f>
        <v>0</v>
      </c>
      <c r="X213" s="1293">
        <f>'Proposed Lighting'!EE199</f>
        <v>0</v>
      </c>
      <c r="Y213" s="1293">
        <f>'Proposed Lighting'!EF199</f>
        <v>0</v>
      </c>
    </row>
    <row r="214" spans="1:25" ht="50.1" customHeight="1">
      <c r="A214" s="1290">
        <v>192</v>
      </c>
      <c r="B214" s="1291">
        <f>'Proposed Lighting'!B200</f>
        <v>0</v>
      </c>
      <c r="C214" s="1291">
        <f>IF('Proposed Lighting'!M200="Sch 1","Sch 1",IF('Proposed Lighting'!M200="Sch 1-C", "Sch 1-C",IF('Proposed Lighting'!M200="Sch 2","Sch 2",IF('Proposed Lighting'!M200="Sch 2-C","Sch 2-C",IF('Proposed Lighting'!M200="Sch 3","Sch 3",IF('Proposed Lighting'!M200="Sch 3-C", "Sch 3-C",IF('Proposed Lighting'!M200="E", "E",IF('Proposed Lighting'!M200="E-C", "E-C",IF('Proposed Lighting'!M200="Dusk to Dawn","Sch D-D",IF('Proposed Lighting'!M200="Dusk to Dawn-C", "Sch DD-C",IF('Proposed Lighting'!M200="Seasonal", "SEA",IF('Proposed Lighting'!M200="Seasonal-C", "SEA-C",0))))))))))))</f>
        <v>0</v>
      </c>
      <c r="D214" s="1292">
        <f>'Proposed Lighting'!F200</f>
        <v>0</v>
      </c>
      <c r="E214" s="1293">
        <f>'Proposed Lighting'!N200</f>
        <v>0</v>
      </c>
      <c r="F214" s="996"/>
      <c r="G214" s="1294">
        <f>'Proposed Lighting'!K200</f>
        <v>0</v>
      </c>
      <c r="H214" s="1295">
        <f>IF('Proposed Lighting'!P200&gt;0.2,'Proposed Lighting'!P200,0)</f>
        <v>0</v>
      </c>
      <c r="I214" s="995">
        <f>'Proposed Lighting'!J200</f>
        <v>0</v>
      </c>
      <c r="J214" s="996"/>
      <c r="K214" s="996"/>
      <c r="L214" s="996"/>
      <c r="M214" s="996"/>
      <c r="N214" s="1005"/>
      <c r="O214" s="1296" t="str">
        <f>'Proposed Lighting'!Z200&amp;", "&amp;'Proposed Lighting'!EK200</f>
        <v xml:space="preserve">, </v>
      </c>
      <c r="P214" s="1292">
        <f>'Proposed Lighting'!T200</f>
        <v>0</v>
      </c>
      <c r="Q214" s="1293">
        <f>'Proposed Lighting'!AA200</f>
        <v>0</v>
      </c>
      <c r="R214" s="996"/>
      <c r="S214" s="1297">
        <f>IF('Proposed Lighting'!AR200=0,0,IF('Proposed Lighting'!AT200&gt;0.2,'Proposed Lighting'!AT200,0))</f>
        <v>0</v>
      </c>
      <c r="T214" s="997">
        <f>'Proposed Lighting'!X200</f>
        <v>0</v>
      </c>
      <c r="U214" s="998"/>
      <c r="V214" s="998"/>
      <c r="W214" s="1378">
        <f>IF('Proposed Lighting'!AF200=4,"WS",IF('Proposed Lighting'!AF200=5,"CM",IF('Proposed Lighting'!AF200=1.6,"PHOT",IF('Proposed Lighting'!AF200=1.5,"FM",IF('Proposed Lighting'!CT200=0.5,"LED-MS",IF('Proposed Lighting'!CB200&gt;1,"Non-S",IF('Proposed Lighting'!CT200=0.6,"LED-SS",IF('Proposed Lighting'!CT200=2,"LED-NW",IF('Proposed Lighting'!CT200=3,"LLLC",0)))))))))</f>
        <v>0</v>
      </c>
      <c r="X214" s="1293">
        <f>'Proposed Lighting'!EE200</f>
        <v>0</v>
      </c>
      <c r="Y214" s="1293">
        <f>'Proposed Lighting'!EF200</f>
        <v>0</v>
      </c>
    </row>
    <row r="215" spans="1:25" ht="50.1" customHeight="1">
      <c r="A215" s="1290">
        <v>193</v>
      </c>
      <c r="B215" s="1291">
        <f>'Proposed Lighting'!B201</f>
        <v>0</v>
      </c>
      <c r="C215" s="1291">
        <f>IF('Proposed Lighting'!M201="Sch 1","Sch 1",IF('Proposed Lighting'!M201="Sch 1-C", "Sch 1-C",IF('Proposed Lighting'!M201="Sch 2","Sch 2",IF('Proposed Lighting'!M201="Sch 2-C","Sch 2-C",IF('Proposed Lighting'!M201="Sch 3","Sch 3",IF('Proposed Lighting'!M201="Sch 3-C", "Sch 3-C",IF('Proposed Lighting'!M201="E", "E",IF('Proposed Lighting'!M201="E-C", "E-C",IF('Proposed Lighting'!M201="Dusk to Dawn","Sch D-D",IF('Proposed Lighting'!M201="Dusk to Dawn-C", "Sch DD-C",IF('Proposed Lighting'!M201="Seasonal", "SEA",IF('Proposed Lighting'!M201="Seasonal-C", "SEA-C",0))))))))))))</f>
        <v>0</v>
      </c>
      <c r="D215" s="1292">
        <f>'Proposed Lighting'!F201</f>
        <v>0</v>
      </c>
      <c r="E215" s="1293">
        <f>'Proposed Lighting'!N201</f>
        <v>0</v>
      </c>
      <c r="F215" s="996"/>
      <c r="G215" s="1294">
        <f>'Proposed Lighting'!K201</f>
        <v>0</v>
      </c>
      <c r="H215" s="1295">
        <f>IF('Proposed Lighting'!P201&gt;0.2,'Proposed Lighting'!P201,0)</f>
        <v>0</v>
      </c>
      <c r="I215" s="995">
        <f>'Proposed Lighting'!J201</f>
        <v>0</v>
      </c>
      <c r="J215" s="996"/>
      <c r="K215" s="996"/>
      <c r="L215" s="996"/>
      <c r="M215" s="996"/>
      <c r="N215" s="1005"/>
      <c r="O215" s="1296" t="str">
        <f>'Proposed Lighting'!Z201&amp;", "&amp;'Proposed Lighting'!EK201</f>
        <v xml:space="preserve">, </v>
      </c>
      <c r="P215" s="1292">
        <f>'Proposed Lighting'!T201</f>
        <v>0</v>
      </c>
      <c r="Q215" s="1293">
        <f>'Proposed Lighting'!AA201</f>
        <v>0</v>
      </c>
      <c r="R215" s="996"/>
      <c r="S215" s="1297">
        <f>IF('Proposed Lighting'!AR201=0,0,IF('Proposed Lighting'!AT201&gt;0.2,'Proposed Lighting'!AT201,0))</f>
        <v>0</v>
      </c>
      <c r="T215" s="997">
        <f>'Proposed Lighting'!X201</f>
        <v>0</v>
      </c>
      <c r="U215" s="998"/>
      <c r="V215" s="998"/>
      <c r="W215" s="1378">
        <f>IF('Proposed Lighting'!AF201=4,"WS",IF('Proposed Lighting'!AF201=5,"CM",IF('Proposed Lighting'!AF201=1.6,"PHOT",IF('Proposed Lighting'!AF201=1.5,"FM",IF('Proposed Lighting'!CT201=0.5,"LED-MS",IF('Proposed Lighting'!CB201&gt;1,"Non-S",IF('Proposed Lighting'!CT201=0.6,"LED-SS",IF('Proposed Lighting'!CT201=2,"LED-NW",IF('Proposed Lighting'!CT201=3,"LLLC",0)))))))))</f>
        <v>0</v>
      </c>
      <c r="X215" s="1293">
        <f>'Proposed Lighting'!EE201</f>
        <v>0</v>
      </c>
      <c r="Y215" s="1293">
        <f>'Proposed Lighting'!EF201</f>
        <v>0</v>
      </c>
    </row>
    <row r="216" spans="1:25" ht="50.1" customHeight="1">
      <c r="A216" s="1290">
        <v>194</v>
      </c>
      <c r="B216" s="1291">
        <f>'Proposed Lighting'!B202</f>
        <v>0</v>
      </c>
      <c r="C216" s="1291">
        <f>IF('Proposed Lighting'!M202="Sch 1","Sch 1",IF('Proposed Lighting'!M202="Sch 1-C", "Sch 1-C",IF('Proposed Lighting'!M202="Sch 2","Sch 2",IF('Proposed Lighting'!M202="Sch 2-C","Sch 2-C",IF('Proposed Lighting'!M202="Sch 3","Sch 3",IF('Proposed Lighting'!M202="Sch 3-C", "Sch 3-C",IF('Proposed Lighting'!M202="E", "E",IF('Proposed Lighting'!M202="E-C", "E-C",IF('Proposed Lighting'!M202="Dusk to Dawn","Sch D-D",IF('Proposed Lighting'!M202="Dusk to Dawn-C", "Sch DD-C",IF('Proposed Lighting'!M202="Seasonal", "SEA",IF('Proposed Lighting'!M202="Seasonal-C", "SEA-C",0))))))))))))</f>
        <v>0</v>
      </c>
      <c r="D216" s="1292">
        <f>'Proposed Lighting'!F202</f>
        <v>0</v>
      </c>
      <c r="E216" s="1293">
        <f>'Proposed Lighting'!N202</f>
        <v>0</v>
      </c>
      <c r="F216" s="996"/>
      <c r="G216" s="1294">
        <f>'Proposed Lighting'!K202</f>
        <v>0</v>
      </c>
      <c r="H216" s="1295">
        <f>IF('Proposed Lighting'!P202&gt;0.2,'Proposed Lighting'!P202,0)</f>
        <v>0</v>
      </c>
      <c r="I216" s="995">
        <f>'Proposed Lighting'!J202</f>
        <v>0</v>
      </c>
      <c r="J216" s="996"/>
      <c r="K216" s="996"/>
      <c r="L216" s="996"/>
      <c r="M216" s="996"/>
      <c r="N216" s="1005"/>
      <c r="O216" s="1296" t="str">
        <f>'Proposed Lighting'!Z202&amp;", "&amp;'Proposed Lighting'!EK202</f>
        <v xml:space="preserve">, </v>
      </c>
      <c r="P216" s="1292">
        <f>'Proposed Lighting'!T202</f>
        <v>0</v>
      </c>
      <c r="Q216" s="1293">
        <f>'Proposed Lighting'!AA202</f>
        <v>0</v>
      </c>
      <c r="R216" s="996"/>
      <c r="S216" s="1297">
        <f>IF('Proposed Lighting'!AR202=0,0,IF('Proposed Lighting'!AT202&gt;0.2,'Proposed Lighting'!AT202,0))</f>
        <v>0</v>
      </c>
      <c r="T216" s="997">
        <f>'Proposed Lighting'!X202</f>
        <v>0</v>
      </c>
      <c r="U216" s="998"/>
      <c r="V216" s="998"/>
      <c r="W216" s="1378">
        <f>IF('Proposed Lighting'!AF202=4,"WS",IF('Proposed Lighting'!AF202=5,"CM",IF('Proposed Lighting'!AF202=1.6,"PHOT",IF('Proposed Lighting'!AF202=1.5,"FM",IF('Proposed Lighting'!CT202=0.5,"LED-MS",IF('Proposed Lighting'!CB202&gt;1,"Non-S",IF('Proposed Lighting'!CT202=0.6,"LED-SS",IF('Proposed Lighting'!CT202=2,"LED-NW",IF('Proposed Lighting'!CT202=3,"LLLC",0)))))))))</f>
        <v>0</v>
      </c>
      <c r="X216" s="1293">
        <f>'Proposed Lighting'!EE202</f>
        <v>0</v>
      </c>
      <c r="Y216" s="1293">
        <f>'Proposed Lighting'!EF202</f>
        <v>0</v>
      </c>
    </row>
    <row r="217" spans="1:25" ht="50.1" customHeight="1">
      <c r="A217" s="1290">
        <v>195</v>
      </c>
      <c r="B217" s="1291">
        <f>'Proposed Lighting'!B203</f>
        <v>0</v>
      </c>
      <c r="C217" s="1291">
        <f>IF('Proposed Lighting'!M203="Sch 1","Sch 1",IF('Proposed Lighting'!M203="Sch 1-C", "Sch 1-C",IF('Proposed Lighting'!M203="Sch 2","Sch 2",IF('Proposed Lighting'!M203="Sch 2-C","Sch 2-C",IF('Proposed Lighting'!M203="Sch 3","Sch 3",IF('Proposed Lighting'!M203="Sch 3-C", "Sch 3-C",IF('Proposed Lighting'!M203="E", "E",IF('Proposed Lighting'!M203="E-C", "E-C",IF('Proposed Lighting'!M203="Dusk to Dawn","Sch D-D",IF('Proposed Lighting'!M203="Dusk to Dawn-C", "Sch DD-C",IF('Proposed Lighting'!M203="Seasonal", "SEA",IF('Proposed Lighting'!M203="Seasonal-C", "SEA-C",0))))))))))))</f>
        <v>0</v>
      </c>
      <c r="D217" s="1292">
        <f>'Proposed Lighting'!F203</f>
        <v>0</v>
      </c>
      <c r="E217" s="1293">
        <f>'Proposed Lighting'!N203</f>
        <v>0</v>
      </c>
      <c r="F217" s="996"/>
      <c r="G217" s="1294">
        <f>'Proposed Lighting'!K203</f>
        <v>0</v>
      </c>
      <c r="H217" s="1295">
        <f>IF('Proposed Lighting'!P203&gt;0.2,'Proposed Lighting'!P203,0)</f>
        <v>0</v>
      </c>
      <c r="I217" s="995">
        <f>'Proposed Lighting'!J203</f>
        <v>0</v>
      </c>
      <c r="J217" s="996"/>
      <c r="K217" s="996"/>
      <c r="L217" s="996"/>
      <c r="M217" s="996"/>
      <c r="N217" s="1005"/>
      <c r="O217" s="1296" t="str">
        <f>'Proposed Lighting'!Z203&amp;", "&amp;'Proposed Lighting'!EK203</f>
        <v xml:space="preserve">, </v>
      </c>
      <c r="P217" s="1292">
        <f>'Proposed Lighting'!T203</f>
        <v>0</v>
      </c>
      <c r="Q217" s="1293">
        <f>'Proposed Lighting'!AA203</f>
        <v>0</v>
      </c>
      <c r="R217" s="996"/>
      <c r="S217" s="1297">
        <f>IF('Proposed Lighting'!AR203=0,0,IF('Proposed Lighting'!AT203&gt;0.2,'Proposed Lighting'!AT203,0))</f>
        <v>0</v>
      </c>
      <c r="T217" s="997">
        <f>'Proposed Lighting'!X203</f>
        <v>0</v>
      </c>
      <c r="U217" s="998"/>
      <c r="V217" s="998"/>
      <c r="W217" s="1378">
        <f>IF('Proposed Lighting'!AF203=4,"WS",IF('Proposed Lighting'!AF203=5,"CM",IF('Proposed Lighting'!AF203=1.6,"PHOT",IF('Proposed Lighting'!AF203=1.5,"FM",IF('Proposed Lighting'!CT203=0.5,"LED-MS",IF('Proposed Lighting'!CB203&gt;1,"Non-S",IF('Proposed Lighting'!CT203=0.6,"LED-SS",IF('Proposed Lighting'!CT203=2,"LED-NW",IF('Proposed Lighting'!CT203=3,"LLLC",0)))))))))</f>
        <v>0</v>
      </c>
      <c r="X217" s="1293">
        <f>'Proposed Lighting'!EE203</f>
        <v>0</v>
      </c>
      <c r="Y217" s="1293">
        <f>'Proposed Lighting'!EF203</f>
        <v>0</v>
      </c>
    </row>
    <row r="218" spans="1:25" ht="50.1" customHeight="1">
      <c r="A218" s="1290">
        <v>196</v>
      </c>
      <c r="B218" s="1291">
        <f>'Proposed Lighting'!B204</f>
        <v>0</v>
      </c>
      <c r="C218" s="1291">
        <f>IF('Proposed Lighting'!M204="Sch 1","Sch 1",IF('Proposed Lighting'!M204="Sch 1-C", "Sch 1-C",IF('Proposed Lighting'!M204="Sch 2","Sch 2",IF('Proposed Lighting'!M204="Sch 2-C","Sch 2-C",IF('Proposed Lighting'!M204="Sch 3","Sch 3",IF('Proposed Lighting'!M204="Sch 3-C", "Sch 3-C",IF('Proposed Lighting'!M204="E", "E",IF('Proposed Lighting'!M204="E-C", "E-C",IF('Proposed Lighting'!M204="Dusk to Dawn","Sch D-D",IF('Proposed Lighting'!M204="Dusk to Dawn-C", "Sch DD-C",IF('Proposed Lighting'!M204="Seasonal", "SEA",IF('Proposed Lighting'!M204="Seasonal-C", "SEA-C",0))))))))))))</f>
        <v>0</v>
      </c>
      <c r="D218" s="1292">
        <f>'Proposed Lighting'!F204</f>
        <v>0</v>
      </c>
      <c r="E218" s="1293">
        <f>'Proposed Lighting'!N204</f>
        <v>0</v>
      </c>
      <c r="F218" s="996"/>
      <c r="G218" s="1294">
        <f>'Proposed Lighting'!K204</f>
        <v>0</v>
      </c>
      <c r="H218" s="1295">
        <f>IF('Proposed Lighting'!P204&gt;0.2,'Proposed Lighting'!P204,0)</f>
        <v>0</v>
      </c>
      <c r="I218" s="995">
        <f>'Proposed Lighting'!J204</f>
        <v>0</v>
      </c>
      <c r="J218" s="996"/>
      <c r="K218" s="996"/>
      <c r="L218" s="996"/>
      <c r="M218" s="996"/>
      <c r="N218" s="1005"/>
      <c r="O218" s="1296" t="str">
        <f>'Proposed Lighting'!Z204&amp;", "&amp;'Proposed Lighting'!EK204</f>
        <v xml:space="preserve">, </v>
      </c>
      <c r="P218" s="1292">
        <f>'Proposed Lighting'!T204</f>
        <v>0</v>
      </c>
      <c r="Q218" s="1293">
        <f>'Proposed Lighting'!AA204</f>
        <v>0</v>
      </c>
      <c r="R218" s="996"/>
      <c r="S218" s="1297">
        <f>IF('Proposed Lighting'!AR204=0,0,IF('Proposed Lighting'!AT204&gt;0.2,'Proposed Lighting'!AT204,0))</f>
        <v>0</v>
      </c>
      <c r="T218" s="997">
        <f>'Proposed Lighting'!X204</f>
        <v>0</v>
      </c>
      <c r="U218" s="998"/>
      <c r="V218" s="998"/>
      <c r="W218" s="1378">
        <f>IF('Proposed Lighting'!AF204=4,"WS",IF('Proposed Lighting'!AF204=5,"CM",IF('Proposed Lighting'!AF204=1.6,"PHOT",IF('Proposed Lighting'!AF204=1.5,"FM",IF('Proposed Lighting'!CT204=0.5,"LED-MS",IF('Proposed Lighting'!CB204&gt;1,"Non-S",IF('Proposed Lighting'!CT204=0.6,"LED-SS",IF('Proposed Lighting'!CT204=2,"LED-NW",IF('Proposed Lighting'!CT204=3,"LLLC",0)))))))))</f>
        <v>0</v>
      </c>
      <c r="X218" s="1293">
        <f>'Proposed Lighting'!EE204</f>
        <v>0</v>
      </c>
      <c r="Y218" s="1293">
        <f>'Proposed Lighting'!EF204</f>
        <v>0</v>
      </c>
    </row>
    <row r="219" spans="1:25" ht="50.1" customHeight="1">
      <c r="A219" s="1290">
        <v>197</v>
      </c>
      <c r="B219" s="1291">
        <f>'Proposed Lighting'!B205</f>
        <v>0</v>
      </c>
      <c r="C219" s="1291">
        <f>IF('Proposed Lighting'!M205="Sch 1","Sch 1",IF('Proposed Lighting'!M205="Sch 1-C", "Sch 1-C",IF('Proposed Lighting'!M205="Sch 2","Sch 2",IF('Proposed Lighting'!M205="Sch 2-C","Sch 2-C",IF('Proposed Lighting'!M205="Sch 3","Sch 3",IF('Proposed Lighting'!M205="Sch 3-C", "Sch 3-C",IF('Proposed Lighting'!M205="E", "E",IF('Proposed Lighting'!M205="E-C", "E-C",IF('Proposed Lighting'!M205="Dusk to Dawn","Sch D-D",IF('Proposed Lighting'!M205="Dusk to Dawn-C", "Sch DD-C",IF('Proposed Lighting'!M205="Seasonal", "SEA",IF('Proposed Lighting'!M205="Seasonal-C", "SEA-C",0))))))))))))</f>
        <v>0</v>
      </c>
      <c r="D219" s="1292">
        <f>'Proposed Lighting'!F205</f>
        <v>0</v>
      </c>
      <c r="E219" s="1293">
        <f>'Proposed Lighting'!N205</f>
        <v>0</v>
      </c>
      <c r="F219" s="996"/>
      <c r="G219" s="1294">
        <f>'Proposed Lighting'!K205</f>
        <v>0</v>
      </c>
      <c r="H219" s="1295">
        <f>IF('Proposed Lighting'!P205&gt;0.2,'Proposed Lighting'!P205,0)</f>
        <v>0</v>
      </c>
      <c r="I219" s="995">
        <f>'Proposed Lighting'!J205</f>
        <v>0</v>
      </c>
      <c r="J219" s="996"/>
      <c r="K219" s="996"/>
      <c r="L219" s="996"/>
      <c r="M219" s="996"/>
      <c r="N219" s="1005"/>
      <c r="O219" s="1296" t="str">
        <f>'Proposed Lighting'!Z205&amp;", "&amp;'Proposed Lighting'!EK205</f>
        <v xml:space="preserve">, </v>
      </c>
      <c r="P219" s="1292">
        <f>'Proposed Lighting'!T205</f>
        <v>0</v>
      </c>
      <c r="Q219" s="1293">
        <f>'Proposed Lighting'!AA205</f>
        <v>0</v>
      </c>
      <c r="R219" s="996"/>
      <c r="S219" s="1297">
        <f>IF('Proposed Lighting'!AR205=0,0,IF('Proposed Lighting'!AT205&gt;0.2,'Proposed Lighting'!AT205,0))</f>
        <v>0</v>
      </c>
      <c r="T219" s="997">
        <f>'Proposed Lighting'!X205</f>
        <v>0</v>
      </c>
      <c r="U219" s="998"/>
      <c r="V219" s="998"/>
      <c r="W219" s="1378">
        <f>IF('Proposed Lighting'!AF205=4,"WS",IF('Proposed Lighting'!AF205=5,"CM",IF('Proposed Lighting'!AF205=1.6,"PHOT",IF('Proposed Lighting'!AF205=1.5,"FM",IF('Proposed Lighting'!CT205=0.5,"LED-MS",IF('Proposed Lighting'!CB205&gt;1,"Non-S",IF('Proposed Lighting'!CT205=0.6,"LED-SS",IF('Proposed Lighting'!CT205=2,"LED-NW",IF('Proposed Lighting'!CT205=3,"LLLC",0)))))))))</f>
        <v>0</v>
      </c>
      <c r="X219" s="1293">
        <f>'Proposed Lighting'!EE205</f>
        <v>0</v>
      </c>
      <c r="Y219" s="1293">
        <f>'Proposed Lighting'!EF205</f>
        <v>0</v>
      </c>
    </row>
    <row r="220" spans="1:25" ht="50.1" customHeight="1">
      <c r="A220" s="1290">
        <v>198</v>
      </c>
      <c r="B220" s="1291">
        <f>'Proposed Lighting'!B206</f>
        <v>0</v>
      </c>
      <c r="C220" s="1291">
        <f>IF('Proposed Lighting'!M206="Sch 1","Sch 1",IF('Proposed Lighting'!M206="Sch 1-C", "Sch 1-C",IF('Proposed Lighting'!M206="Sch 2","Sch 2",IF('Proposed Lighting'!M206="Sch 2-C","Sch 2-C",IF('Proposed Lighting'!M206="Sch 3","Sch 3",IF('Proposed Lighting'!M206="Sch 3-C", "Sch 3-C",IF('Proposed Lighting'!M206="E", "E",IF('Proposed Lighting'!M206="E-C", "E-C",IF('Proposed Lighting'!M206="Dusk to Dawn","Sch D-D",IF('Proposed Lighting'!M206="Dusk to Dawn-C", "Sch DD-C",IF('Proposed Lighting'!M206="Seasonal", "SEA",IF('Proposed Lighting'!M206="Seasonal-C", "SEA-C",0))))))))))))</f>
        <v>0</v>
      </c>
      <c r="D220" s="1292">
        <f>'Proposed Lighting'!F206</f>
        <v>0</v>
      </c>
      <c r="E220" s="1293">
        <f>'Proposed Lighting'!N206</f>
        <v>0</v>
      </c>
      <c r="F220" s="996"/>
      <c r="G220" s="1294">
        <f>'Proposed Lighting'!K206</f>
        <v>0</v>
      </c>
      <c r="H220" s="1295">
        <f>IF('Proposed Lighting'!P206&gt;0.2,'Proposed Lighting'!P206,0)</f>
        <v>0</v>
      </c>
      <c r="I220" s="995">
        <f>'Proposed Lighting'!J206</f>
        <v>0</v>
      </c>
      <c r="J220" s="996"/>
      <c r="K220" s="996"/>
      <c r="L220" s="996"/>
      <c r="M220" s="996"/>
      <c r="N220" s="1005"/>
      <c r="O220" s="1296" t="str">
        <f>'Proposed Lighting'!Z206&amp;", "&amp;'Proposed Lighting'!EK206</f>
        <v xml:space="preserve">, </v>
      </c>
      <c r="P220" s="1292">
        <f>'Proposed Lighting'!T206</f>
        <v>0</v>
      </c>
      <c r="Q220" s="1293">
        <f>'Proposed Lighting'!AA206</f>
        <v>0</v>
      </c>
      <c r="R220" s="996"/>
      <c r="S220" s="1297">
        <f>IF('Proposed Lighting'!AR206=0,0,IF('Proposed Lighting'!AT206&gt;0.2,'Proposed Lighting'!AT206,0))</f>
        <v>0</v>
      </c>
      <c r="T220" s="997">
        <f>'Proposed Lighting'!X206</f>
        <v>0</v>
      </c>
      <c r="U220" s="998"/>
      <c r="V220" s="998"/>
      <c r="W220" s="1378">
        <f>IF('Proposed Lighting'!AF206=4,"WS",IF('Proposed Lighting'!AF206=5,"CM",IF('Proposed Lighting'!AF206=1.6,"PHOT",IF('Proposed Lighting'!AF206=1.5,"FM",IF('Proposed Lighting'!CT206=0.5,"LED-MS",IF('Proposed Lighting'!CB206&gt;1,"Non-S",IF('Proposed Lighting'!CT206=0.6,"LED-SS",IF('Proposed Lighting'!CT206=2,"LED-NW",IF('Proposed Lighting'!CT206=3,"LLLC",0)))))))))</f>
        <v>0</v>
      </c>
      <c r="X220" s="1293">
        <f>'Proposed Lighting'!EE206</f>
        <v>0</v>
      </c>
      <c r="Y220" s="1293">
        <f>'Proposed Lighting'!EF206</f>
        <v>0</v>
      </c>
    </row>
    <row r="221" spans="1:25" ht="50.1" customHeight="1">
      <c r="A221" s="1290">
        <v>199</v>
      </c>
      <c r="B221" s="1291">
        <f>'Proposed Lighting'!B207</f>
        <v>0</v>
      </c>
      <c r="C221" s="1291">
        <f>IF('Proposed Lighting'!M207="Sch 1","Sch 1",IF('Proposed Lighting'!M207="Sch 1-C", "Sch 1-C",IF('Proposed Lighting'!M207="Sch 2","Sch 2",IF('Proposed Lighting'!M207="Sch 2-C","Sch 2-C",IF('Proposed Lighting'!M207="Sch 3","Sch 3",IF('Proposed Lighting'!M207="Sch 3-C", "Sch 3-C",IF('Proposed Lighting'!M207="E", "E",IF('Proposed Lighting'!M207="E-C", "E-C",IF('Proposed Lighting'!M207="Dusk to Dawn","Sch D-D",IF('Proposed Lighting'!M207="Dusk to Dawn-C", "Sch DD-C",IF('Proposed Lighting'!M207="Seasonal", "SEA",IF('Proposed Lighting'!M207="Seasonal-C", "SEA-C",0))))))))))))</f>
        <v>0</v>
      </c>
      <c r="D221" s="1292">
        <f>'Proposed Lighting'!F207</f>
        <v>0</v>
      </c>
      <c r="E221" s="1293">
        <f>'Proposed Lighting'!N207</f>
        <v>0</v>
      </c>
      <c r="F221" s="996"/>
      <c r="G221" s="1294">
        <f>'Proposed Lighting'!K207</f>
        <v>0</v>
      </c>
      <c r="H221" s="1295">
        <f>IF('Proposed Lighting'!P207&gt;0.2,'Proposed Lighting'!P207,0)</f>
        <v>0</v>
      </c>
      <c r="I221" s="995">
        <f>'Proposed Lighting'!J207</f>
        <v>0</v>
      </c>
      <c r="J221" s="996"/>
      <c r="K221" s="996"/>
      <c r="L221" s="996"/>
      <c r="M221" s="996"/>
      <c r="N221" s="1005"/>
      <c r="O221" s="1296" t="str">
        <f>'Proposed Lighting'!Z207&amp;", "&amp;'Proposed Lighting'!EK207</f>
        <v xml:space="preserve">, </v>
      </c>
      <c r="P221" s="1292">
        <f>'Proposed Lighting'!T207</f>
        <v>0</v>
      </c>
      <c r="Q221" s="1293">
        <f>'Proposed Lighting'!AA207</f>
        <v>0</v>
      </c>
      <c r="R221" s="996"/>
      <c r="S221" s="1297">
        <f>IF('Proposed Lighting'!AR207=0,0,IF('Proposed Lighting'!AT207&gt;0.2,'Proposed Lighting'!AT207,0))</f>
        <v>0</v>
      </c>
      <c r="T221" s="997">
        <f>'Proposed Lighting'!X207</f>
        <v>0</v>
      </c>
      <c r="U221" s="998"/>
      <c r="V221" s="998"/>
      <c r="W221" s="1378">
        <f>IF('Proposed Lighting'!AF207=4,"WS",IF('Proposed Lighting'!AF207=5,"CM",IF('Proposed Lighting'!AF207=1.6,"PHOT",IF('Proposed Lighting'!AF207=1.5,"FM",IF('Proposed Lighting'!CT207=0.5,"LED-MS",IF('Proposed Lighting'!CB207&gt;1,"Non-S",IF('Proposed Lighting'!CT207=0.6,"LED-SS",IF('Proposed Lighting'!CT207=2,"LED-NW",IF('Proposed Lighting'!CT207=3,"LLLC",0)))))))))</f>
        <v>0</v>
      </c>
      <c r="X221" s="1293">
        <f>'Proposed Lighting'!EE207</f>
        <v>0</v>
      </c>
      <c r="Y221" s="1293">
        <f>'Proposed Lighting'!EF207</f>
        <v>0</v>
      </c>
    </row>
    <row r="222" spans="1:25" ht="50.1" customHeight="1">
      <c r="A222" s="1290">
        <v>200</v>
      </c>
      <c r="B222" s="1291">
        <f>'Proposed Lighting'!B208</f>
        <v>0</v>
      </c>
      <c r="C222" s="1291">
        <f>IF('Proposed Lighting'!M208="Sch 1","Sch 1",IF('Proposed Lighting'!M208="Sch 1-C", "Sch 1-C",IF('Proposed Lighting'!M208="Sch 2","Sch 2",IF('Proposed Lighting'!M208="Sch 2-C","Sch 2-C",IF('Proposed Lighting'!M208="Sch 3","Sch 3",IF('Proposed Lighting'!M208="Sch 3-C", "Sch 3-C",IF('Proposed Lighting'!M208="E", "E",IF('Proposed Lighting'!M208="E-C", "E-C",IF('Proposed Lighting'!M208="Dusk to Dawn","Sch D-D",IF('Proposed Lighting'!M208="Dusk to Dawn-C", "Sch DD-C",IF('Proposed Lighting'!M208="Seasonal", "SEA",IF('Proposed Lighting'!M208="Seasonal-C", "SEA-C",0))))))))))))</f>
        <v>0</v>
      </c>
      <c r="D222" s="1292">
        <f>'Proposed Lighting'!F208</f>
        <v>0</v>
      </c>
      <c r="E222" s="1293">
        <f>'Proposed Lighting'!N208</f>
        <v>0</v>
      </c>
      <c r="F222" s="996"/>
      <c r="G222" s="1294">
        <f>'Proposed Lighting'!K208</f>
        <v>0</v>
      </c>
      <c r="H222" s="1295">
        <f>IF('Proposed Lighting'!P208&gt;0.2,'Proposed Lighting'!P208,0)</f>
        <v>0</v>
      </c>
      <c r="I222" s="995">
        <f>'Proposed Lighting'!J208</f>
        <v>0</v>
      </c>
      <c r="J222" s="996"/>
      <c r="K222" s="996"/>
      <c r="L222" s="996"/>
      <c r="M222" s="996"/>
      <c r="N222" s="1005"/>
      <c r="O222" s="1296" t="str">
        <f>'Proposed Lighting'!Z208&amp;", "&amp;'Proposed Lighting'!EK208</f>
        <v xml:space="preserve">, </v>
      </c>
      <c r="P222" s="1292">
        <f>'Proposed Lighting'!T208</f>
        <v>0</v>
      </c>
      <c r="Q222" s="1293">
        <f>'Proposed Lighting'!AA208</f>
        <v>0</v>
      </c>
      <c r="R222" s="996"/>
      <c r="S222" s="1297">
        <f>IF('Proposed Lighting'!AR208=0,0,IF('Proposed Lighting'!AT208&gt;0.2,'Proposed Lighting'!AT208,0))</f>
        <v>0</v>
      </c>
      <c r="T222" s="997">
        <f>'Proposed Lighting'!X208</f>
        <v>0</v>
      </c>
      <c r="U222" s="998"/>
      <c r="V222" s="998"/>
      <c r="W222" s="1378">
        <f>IF('Proposed Lighting'!AF208=4,"WS",IF('Proposed Lighting'!AF208=5,"CM",IF('Proposed Lighting'!AF208=1.6,"PHOT",IF('Proposed Lighting'!AF208=1.5,"FM",IF('Proposed Lighting'!CT208=0.5,"LED-MS",IF('Proposed Lighting'!CB208&gt;1,"Non-S",IF('Proposed Lighting'!CT208=0.6,"LED-SS",IF('Proposed Lighting'!CT208=2,"LED-NW",IF('Proposed Lighting'!CT208=3,"LLLC",0)))))))))</f>
        <v>0</v>
      </c>
      <c r="X222" s="1293">
        <f>'Proposed Lighting'!EE208</f>
        <v>0</v>
      </c>
      <c r="Y222" s="1293">
        <f>'Proposed Lighting'!EF208</f>
        <v>0</v>
      </c>
    </row>
    <row r="223" spans="1:25" ht="50.1" customHeight="1">
      <c r="A223" s="1290">
        <v>201</v>
      </c>
      <c r="B223" s="1291">
        <f>'Proposed Lighting'!B209</f>
        <v>0</v>
      </c>
      <c r="C223" s="1291">
        <f>IF('Proposed Lighting'!M209="Sch 1","Sch 1",IF('Proposed Lighting'!M209="Sch 1-C", "Sch 1-C",IF('Proposed Lighting'!M209="Sch 2","Sch 2",IF('Proposed Lighting'!M209="Sch 2-C","Sch 2-C",IF('Proposed Lighting'!M209="Sch 3","Sch 3",IF('Proposed Lighting'!M209="Sch 3-C", "Sch 3-C",IF('Proposed Lighting'!M209="E", "E",IF('Proposed Lighting'!M209="E-C", "E-C",IF('Proposed Lighting'!M209="Dusk to Dawn","Sch D-D",IF('Proposed Lighting'!M209="Dusk to Dawn-C", "Sch DD-C",IF('Proposed Lighting'!M209="Seasonal", "SEA",IF('Proposed Lighting'!M209="Seasonal-C", "SEA-C",0))))))))))))</f>
        <v>0</v>
      </c>
      <c r="D223" s="1292">
        <f>'Proposed Lighting'!F209</f>
        <v>0</v>
      </c>
      <c r="E223" s="1293">
        <f>'Proposed Lighting'!N209</f>
        <v>0</v>
      </c>
      <c r="F223" s="996"/>
      <c r="G223" s="1294">
        <f>'Proposed Lighting'!K209</f>
        <v>0</v>
      </c>
      <c r="H223" s="1295">
        <f>IF('Proposed Lighting'!P209&gt;0.2,'Proposed Lighting'!P209,0)</f>
        <v>0</v>
      </c>
      <c r="I223" s="995">
        <f>'Proposed Lighting'!J209</f>
        <v>0</v>
      </c>
      <c r="J223" s="996"/>
      <c r="K223" s="996"/>
      <c r="L223" s="996"/>
      <c r="M223" s="996"/>
      <c r="N223" s="1005"/>
      <c r="O223" s="1296" t="str">
        <f>'Proposed Lighting'!Z209&amp;", "&amp;'Proposed Lighting'!EK209</f>
        <v xml:space="preserve">, </v>
      </c>
      <c r="P223" s="1292">
        <f>'Proposed Lighting'!T209</f>
        <v>0</v>
      </c>
      <c r="Q223" s="1293">
        <f>'Proposed Lighting'!AA209</f>
        <v>0</v>
      </c>
      <c r="R223" s="996"/>
      <c r="S223" s="1297">
        <f>IF('Proposed Lighting'!AR209=0,0,IF('Proposed Lighting'!AT209&gt;0.2,'Proposed Lighting'!AT209,0))</f>
        <v>0</v>
      </c>
      <c r="T223" s="997">
        <f>'Proposed Lighting'!X209</f>
        <v>0</v>
      </c>
      <c r="U223" s="998"/>
      <c r="V223" s="998"/>
      <c r="W223" s="1378">
        <f>IF('Proposed Lighting'!AF209=4,"WS",IF('Proposed Lighting'!AF209=5,"CM",IF('Proposed Lighting'!AF209=1.6,"PHOT",IF('Proposed Lighting'!AF209=1.5,"FM",IF('Proposed Lighting'!CT209=0.5,"LED-MS",IF('Proposed Lighting'!CB209&gt;1,"Non-S",IF('Proposed Lighting'!CT209=0.6,"LED-SS",IF('Proposed Lighting'!CT209=2,"LED-NW",IF('Proposed Lighting'!CT209=3,"LLLC",0)))))))))</f>
        <v>0</v>
      </c>
      <c r="X223" s="1293">
        <f>'Proposed Lighting'!EE209</f>
        <v>0</v>
      </c>
      <c r="Y223" s="1293">
        <f>'Proposed Lighting'!EF209</f>
        <v>0</v>
      </c>
    </row>
    <row r="224" spans="1:25" ht="50.1" customHeight="1">
      <c r="A224" s="1290">
        <v>202</v>
      </c>
      <c r="B224" s="1291">
        <f>'Proposed Lighting'!B210</f>
        <v>0</v>
      </c>
      <c r="C224" s="1291">
        <f>IF('Proposed Lighting'!M210="Sch 1","Sch 1",IF('Proposed Lighting'!M210="Sch 1-C", "Sch 1-C",IF('Proposed Lighting'!M210="Sch 2","Sch 2",IF('Proposed Lighting'!M210="Sch 2-C","Sch 2-C",IF('Proposed Lighting'!M210="Sch 3","Sch 3",IF('Proposed Lighting'!M210="Sch 3-C", "Sch 3-C",IF('Proposed Lighting'!M210="E", "E",IF('Proposed Lighting'!M210="E-C", "E-C",IF('Proposed Lighting'!M210="Dusk to Dawn","Sch D-D",IF('Proposed Lighting'!M210="Dusk to Dawn-C", "Sch DD-C",IF('Proposed Lighting'!M210="Seasonal", "SEA",IF('Proposed Lighting'!M210="Seasonal-C", "SEA-C",0))))))))))))</f>
        <v>0</v>
      </c>
      <c r="D224" s="1292">
        <f>'Proposed Lighting'!F210</f>
        <v>0</v>
      </c>
      <c r="E224" s="1293">
        <f>'Proposed Lighting'!N210</f>
        <v>0</v>
      </c>
      <c r="F224" s="996"/>
      <c r="G224" s="1294">
        <f>'Proposed Lighting'!K210</f>
        <v>0</v>
      </c>
      <c r="H224" s="1295">
        <f>IF('Proposed Lighting'!P210&gt;0.2,'Proposed Lighting'!P210,0)</f>
        <v>0</v>
      </c>
      <c r="I224" s="995">
        <f>'Proposed Lighting'!J210</f>
        <v>0</v>
      </c>
      <c r="J224" s="996"/>
      <c r="K224" s="996"/>
      <c r="L224" s="996"/>
      <c r="M224" s="996"/>
      <c r="N224" s="1005"/>
      <c r="O224" s="1296" t="str">
        <f>'Proposed Lighting'!Z210&amp;", "&amp;'Proposed Lighting'!EK210</f>
        <v xml:space="preserve">, </v>
      </c>
      <c r="P224" s="1292">
        <f>'Proposed Lighting'!T210</f>
        <v>0</v>
      </c>
      <c r="Q224" s="1293">
        <f>'Proposed Lighting'!AA210</f>
        <v>0</v>
      </c>
      <c r="R224" s="996"/>
      <c r="S224" s="1297">
        <f>IF('Proposed Lighting'!AR210=0,0,IF('Proposed Lighting'!AT210&gt;0.2,'Proposed Lighting'!AT210,0))</f>
        <v>0</v>
      </c>
      <c r="T224" s="997">
        <f>'Proposed Lighting'!X210</f>
        <v>0</v>
      </c>
      <c r="U224" s="998"/>
      <c r="V224" s="998"/>
      <c r="W224" s="1378">
        <f>IF('Proposed Lighting'!AF210=4,"WS",IF('Proposed Lighting'!AF210=5,"CM",IF('Proposed Lighting'!AF210=1.6,"PHOT",IF('Proposed Lighting'!AF210=1.5,"FM",IF('Proposed Lighting'!CT210=0.5,"LED-MS",IF('Proposed Lighting'!CB210&gt;1,"Non-S",IF('Proposed Lighting'!CT210=0.6,"LED-SS",IF('Proposed Lighting'!CT210=2,"LED-NW",IF('Proposed Lighting'!CT210=3,"LLLC",0)))))))))</f>
        <v>0</v>
      </c>
      <c r="X224" s="1293">
        <f>'Proposed Lighting'!EE210</f>
        <v>0</v>
      </c>
      <c r="Y224" s="1293">
        <f>'Proposed Lighting'!EF210</f>
        <v>0</v>
      </c>
    </row>
    <row r="225" spans="1:25" ht="50.1" customHeight="1">
      <c r="A225" s="1290">
        <v>203</v>
      </c>
      <c r="B225" s="1291">
        <f>'Proposed Lighting'!B211</f>
        <v>0</v>
      </c>
      <c r="C225" s="1291">
        <f>IF('Proposed Lighting'!M211="Sch 1","Sch 1",IF('Proposed Lighting'!M211="Sch 1-C", "Sch 1-C",IF('Proposed Lighting'!M211="Sch 2","Sch 2",IF('Proposed Lighting'!M211="Sch 2-C","Sch 2-C",IF('Proposed Lighting'!M211="Sch 3","Sch 3",IF('Proposed Lighting'!M211="Sch 3-C", "Sch 3-C",IF('Proposed Lighting'!M211="E", "E",IF('Proposed Lighting'!M211="E-C", "E-C",IF('Proposed Lighting'!M211="Dusk to Dawn","Sch D-D",IF('Proposed Lighting'!M211="Dusk to Dawn-C", "Sch DD-C",IF('Proposed Lighting'!M211="Seasonal", "SEA",IF('Proposed Lighting'!M211="Seasonal-C", "SEA-C",0))))))))))))</f>
        <v>0</v>
      </c>
      <c r="D225" s="1292">
        <f>'Proposed Lighting'!F211</f>
        <v>0</v>
      </c>
      <c r="E225" s="1293">
        <f>'Proposed Lighting'!N211</f>
        <v>0</v>
      </c>
      <c r="F225" s="996"/>
      <c r="G225" s="1294">
        <f>'Proposed Lighting'!K211</f>
        <v>0</v>
      </c>
      <c r="H225" s="1295">
        <f>IF('Proposed Lighting'!P211&gt;0.2,'Proposed Lighting'!P211,0)</f>
        <v>0</v>
      </c>
      <c r="I225" s="995">
        <f>'Proposed Lighting'!J211</f>
        <v>0</v>
      </c>
      <c r="J225" s="996"/>
      <c r="K225" s="996"/>
      <c r="L225" s="996"/>
      <c r="M225" s="996"/>
      <c r="N225" s="1005"/>
      <c r="O225" s="1296" t="str">
        <f>'Proposed Lighting'!Z211&amp;", "&amp;'Proposed Lighting'!EK211</f>
        <v xml:space="preserve">, </v>
      </c>
      <c r="P225" s="1292">
        <f>'Proposed Lighting'!T211</f>
        <v>0</v>
      </c>
      <c r="Q225" s="1293">
        <f>'Proposed Lighting'!AA211</f>
        <v>0</v>
      </c>
      <c r="R225" s="996"/>
      <c r="S225" s="1297">
        <f>IF('Proposed Lighting'!AR211=0,0,IF('Proposed Lighting'!AT211&gt;0.2,'Proposed Lighting'!AT211,0))</f>
        <v>0</v>
      </c>
      <c r="T225" s="997">
        <f>'Proposed Lighting'!X211</f>
        <v>0</v>
      </c>
      <c r="U225" s="998"/>
      <c r="V225" s="998"/>
      <c r="W225" s="1378">
        <f>IF('Proposed Lighting'!AF211=4,"WS",IF('Proposed Lighting'!AF211=5,"CM",IF('Proposed Lighting'!AF211=1.6,"PHOT",IF('Proposed Lighting'!AF211=1.5,"FM",IF('Proposed Lighting'!CT211=0.5,"LED-MS",IF('Proposed Lighting'!CB211&gt;1,"Non-S",IF('Proposed Lighting'!CT211=0.6,"LED-SS",IF('Proposed Lighting'!CT211=2,"LED-NW",IF('Proposed Lighting'!CT211=3,"LLLC",0)))))))))</f>
        <v>0</v>
      </c>
      <c r="X225" s="1293">
        <f>'Proposed Lighting'!EE211</f>
        <v>0</v>
      </c>
      <c r="Y225" s="1293">
        <f>'Proposed Lighting'!EF211</f>
        <v>0</v>
      </c>
    </row>
    <row r="226" spans="1:25" ht="50.1" customHeight="1">
      <c r="A226" s="1290">
        <v>204</v>
      </c>
      <c r="B226" s="1291">
        <f>'Proposed Lighting'!B212</f>
        <v>0</v>
      </c>
      <c r="C226" s="1291">
        <f>IF('Proposed Lighting'!M212="Sch 1","Sch 1",IF('Proposed Lighting'!M212="Sch 1-C", "Sch 1-C",IF('Proposed Lighting'!M212="Sch 2","Sch 2",IF('Proposed Lighting'!M212="Sch 2-C","Sch 2-C",IF('Proposed Lighting'!M212="Sch 3","Sch 3",IF('Proposed Lighting'!M212="Sch 3-C", "Sch 3-C",IF('Proposed Lighting'!M212="E", "E",IF('Proposed Lighting'!M212="E-C", "E-C",IF('Proposed Lighting'!M212="Dusk to Dawn","Sch D-D",IF('Proposed Lighting'!M212="Dusk to Dawn-C", "Sch DD-C",IF('Proposed Lighting'!M212="Seasonal", "SEA",IF('Proposed Lighting'!M212="Seasonal-C", "SEA-C",0))))))))))))</f>
        <v>0</v>
      </c>
      <c r="D226" s="1292">
        <f>'Proposed Lighting'!F212</f>
        <v>0</v>
      </c>
      <c r="E226" s="1293">
        <f>'Proposed Lighting'!N212</f>
        <v>0</v>
      </c>
      <c r="F226" s="996"/>
      <c r="G226" s="1294">
        <f>'Proposed Lighting'!K212</f>
        <v>0</v>
      </c>
      <c r="H226" s="1295">
        <f>IF('Proposed Lighting'!P212&gt;0.2,'Proposed Lighting'!P212,0)</f>
        <v>0</v>
      </c>
      <c r="I226" s="995">
        <f>'Proposed Lighting'!J212</f>
        <v>0</v>
      </c>
      <c r="J226" s="996"/>
      <c r="K226" s="996"/>
      <c r="L226" s="996"/>
      <c r="M226" s="996"/>
      <c r="N226" s="1005"/>
      <c r="O226" s="1296" t="str">
        <f>'Proposed Lighting'!Z212&amp;", "&amp;'Proposed Lighting'!EK212</f>
        <v xml:space="preserve">, </v>
      </c>
      <c r="P226" s="1292">
        <f>'Proposed Lighting'!T212</f>
        <v>0</v>
      </c>
      <c r="Q226" s="1293">
        <f>'Proposed Lighting'!AA212</f>
        <v>0</v>
      </c>
      <c r="R226" s="996"/>
      <c r="S226" s="1297">
        <f>IF('Proposed Lighting'!AR212=0,0,IF('Proposed Lighting'!AT212&gt;0.2,'Proposed Lighting'!AT212,0))</f>
        <v>0</v>
      </c>
      <c r="T226" s="997">
        <f>'Proposed Lighting'!X212</f>
        <v>0</v>
      </c>
      <c r="U226" s="998"/>
      <c r="V226" s="998"/>
      <c r="W226" s="1378">
        <f>IF('Proposed Lighting'!AF212=4,"WS",IF('Proposed Lighting'!AF212=5,"CM",IF('Proposed Lighting'!AF212=1.6,"PHOT",IF('Proposed Lighting'!AF212=1.5,"FM",IF('Proposed Lighting'!CT212=0.5,"LED-MS",IF('Proposed Lighting'!CB212&gt;1,"Non-S",IF('Proposed Lighting'!CT212=0.6,"LED-SS",IF('Proposed Lighting'!CT212=2,"LED-NW",IF('Proposed Lighting'!CT212=3,"LLLC",0)))))))))</f>
        <v>0</v>
      </c>
      <c r="X226" s="1293">
        <f>'Proposed Lighting'!EE212</f>
        <v>0</v>
      </c>
      <c r="Y226" s="1293">
        <f>'Proposed Lighting'!EF212</f>
        <v>0</v>
      </c>
    </row>
    <row r="227" spans="1:25" ht="50.1" customHeight="1">
      <c r="A227" s="1290">
        <v>205</v>
      </c>
      <c r="B227" s="1291">
        <f>'Proposed Lighting'!B213</f>
        <v>0</v>
      </c>
      <c r="C227" s="1291">
        <f>IF('Proposed Lighting'!M213="Sch 1","Sch 1",IF('Proposed Lighting'!M213="Sch 1-C", "Sch 1-C",IF('Proposed Lighting'!M213="Sch 2","Sch 2",IF('Proposed Lighting'!M213="Sch 2-C","Sch 2-C",IF('Proposed Lighting'!M213="Sch 3","Sch 3",IF('Proposed Lighting'!M213="Sch 3-C", "Sch 3-C",IF('Proposed Lighting'!M213="E", "E",IF('Proposed Lighting'!M213="E-C", "E-C",IF('Proposed Lighting'!M213="Dusk to Dawn","Sch D-D",IF('Proposed Lighting'!M213="Dusk to Dawn-C", "Sch DD-C",IF('Proposed Lighting'!M213="Seasonal", "SEA",IF('Proposed Lighting'!M213="Seasonal-C", "SEA-C",0))))))))))))</f>
        <v>0</v>
      </c>
      <c r="D227" s="1292">
        <f>'Proposed Lighting'!F213</f>
        <v>0</v>
      </c>
      <c r="E227" s="1293">
        <f>'Proposed Lighting'!N213</f>
        <v>0</v>
      </c>
      <c r="F227" s="996"/>
      <c r="G227" s="1294">
        <f>'Proposed Lighting'!K213</f>
        <v>0</v>
      </c>
      <c r="H227" s="1295">
        <f>IF('Proposed Lighting'!P213&gt;0.2,'Proposed Lighting'!P213,0)</f>
        <v>0</v>
      </c>
      <c r="I227" s="995">
        <f>'Proposed Lighting'!J213</f>
        <v>0</v>
      </c>
      <c r="J227" s="996"/>
      <c r="K227" s="996"/>
      <c r="L227" s="996"/>
      <c r="M227" s="996"/>
      <c r="N227" s="1005"/>
      <c r="O227" s="1296" t="str">
        <f>'Proposed Lighting'!Z213&amp;", "&amp;'Proposed Lighting'!EK213</f>
        <v xml:space="preserve">, </v>
      </c>
      <c r="P227" s="1292">
        <f>'Proposed Lighting'!T213</f>
        <v>0</v>
      </c>
      <c r="Q227" s="1293">
        <f>'Proposed Lighting'!AA213</f>
        <v>0</v>
      </c>
      <c r="R227" s="996"/>
      <c r="S227" s="1297">
        <f>IF('Proposed Lighting'!AR213=0,0,IF('Proposed Lighting'!AT213&gt;0.2,'Proposed Lighting'!AT213,0))</f>
        <v>0</v>
      </c>
      <c r="T227" s="997">
        <f>'Proposed Lighting'!X213</f>
        <v>0</v>
      </c>
      <c r="U227" s="998"/>
      <c r="V227" s="998"/>
      <c r="W227" s="1378">
        <f>IF('Proposed Lighting'!AF213=4,"WS",IF('Proposed Lighting'!AF213=5,"CM",IF('Proposed Lighting'!AF213=1.6,"PHOT",IF('Proposed Lighting'!AF213=1.5,"FM",IF('Proposed Lighting'!CT213=0.5,"LED-MS",IF('Proposed Lighting'!CB213&gt;1,"Non-S",IF('Proposed Lighting'!CT213=0.6,"LED-SS",IF('Proposed Lighting'!CT213=2,"LED-NW",IF('Proposed Lighting'!CT213=3,"LLLC",0)))))))))</f>
        <v>0</v>
      </c>
      <c r="X227" s="1293">
        <f>'Proposed Lighting'!EE213</f>
        <v>0</v>
      </c>
      <c r="Y227" s="1293">
        <f>'Proposed Lighting'!EF213</f>
        <v>0</v>
      </c>
    </row>
    <row r="228" spans="1:25" ht="50.1" customHeight="1">
      <c r="A228" s="1290">
        <v>206</v>
      </c>
      <c r="B228" s="1291">
        <f>'Proposed Lighting'!B214</f>
        <v>0</v>
      </c>
      <c r="C228" s="1291">
        <f>IF('Proposed Lighting'!M214="Sch 1","Sch 1",IF('Proposed Lighting'!M214="Sch 1-C", "Sch 1-C",IF('Proposed Lighting'!M214="Sch 2","Sch 2",IF('Proposed Lighting'!M214="Sch 2-C","Sch 2-C",IF('Proposed Lighting'!M214="Sch 3","Sch 3",IF('Proposed Lighting'!M214="Sch 3-C", "Sch 3-C",IF('Proposed Lighting'!M214="E", "E",IF('Proposed Lighting'!M214="E-C", "E-C",IF('Proposed Lighting'!M214="Dusk to Dawn","Sch D-D",IF('Proposed Lighting'!M214="Dusk to Dawn-C", "Sch DD-C",IF('Proposed Lighting'!M214="Seasonal", "SEA",IF('Proposed Lighting'!M214="Seasonal-C", "SEA-C",0))))))))))))</f>
        <v>0</v>
      </c>
      <c r="D228" s="1292">
        <f>'Proposed Lighting'!F214</f>
        <v>0</v>
      </c>
      <c r="E228" s="1293">
        <f>'Proposed Lighting'!N214</f>
        <v>0</v>
      </c>
      <c r="F228" s="996"/>
      <c r="G228" s="1294">
        <f>'Proposed Lighting'!K214</f>
        <v>0</v>
      </c>
      <c r="H228" s="1295">
        <f>IF('Proposed Lighting'!P214&gt;0.2,'Proposed Lighting'!P214,0)</f>
        <v>0</v>
      </c>
      <c r="I228" s="995">
        <f>'Proposed Lighting'!J214</f>
        <v>0</v>
      </c>
      <c r="J228" s="996"/>
      <c r="K228" s="996"/>
      <c r="L228" s="996"/>
      <c r="M228" s="996"/>
      <c r="N228" s="1005"/>
      <c r="O228" s="1296" t="str">
        <f>'Proposed Lighting'!Z214&amp;", "&amp;'Proposed Lighting'!EK214</f>
        <v xml:space="preserve">, </v>
      </c>
      <c r="P228" s="1292">
        <f>'Proposed Lighting'!T214</f>
        <v>0</v>
      </c>
      <c r="Q228" s="1293">
        <f>'Proposed Lighting'!AA214</f>
        <v>0</v>
      </c>
      <c r="R228" s="996"/>
      <c r="S228" s="1297">
        <f>IF('Proposed Lighting'!AR214=0,0,IF('Proposed Lighting'!AT214&gt;0.2,'Proposed Lighting'!AT214,0))</f>
        <v>0</v>
      </c>
      <c r="T228" s="997">
        <f>'Proposed Lighting'!X214</f>
        <v>0</v>
      </c>
      <c r="U228" s="998"/>
      <c r="V228" s="998"/>
      <c r="W228" s="1378">
        <f>IF('Proposed Lighting'!AF214=4,"WS",IF('Proposed Lighting'!AF214=5,"CM",IF('Proposed Lighting'!AF214=1.6,"PHOT",IF('Proposed Lighting'!AF214=1.5,"FM",IF('Proposed Lighting'!CT214=0.5,"LED-MS",IF('Proposed Lighting'!CB214&gt;1,"Non-S",IF('Proposed Lighting'!CT214=0.6,"LED-SS",IF('Proposed Lighting'!CT214=2,"LED-NW",IF('Proposed Lighting'!CT214=3,"LLLC",0)))))))))</f>
        <v>0</v>
      </c>
      <c r="X228" s="1293">
        <f>'Proposed Lighting'!EE214</f>
        <v>0</v>
      </c>
      <c r="Y228" s="1293">
        <f>'Proposed Lighting'!EF214</f>
        <v>0</v>
      </c>
    </row>
    <row r="229" spans="1:25" ht="50.1" customHeight="1">
      <c r="A229" s="1290">
        <v>207</v>
      </c>
      <c r="B229" s="1291">
        <f>'Proposed Lighting'!B215</f>
        <v>0</v>
      </c>
      <c r="C229" s="1291">
        <f>IF('Proposed Lighting'!M215="Sch 1","Sch 1",IF('Proposed Lighting'!M215="Sch 1-C", "Sch 1-C",IF('Proposed Lighting'!M215="Sch 2","Sch 2",IF('Proposed Lighting'!M215="Sch 2-C","Sch 2-C",IF('Proposed Lighting'!M215="Sch 3","Sch 3",IF('Proposed Lighting'!M215="Sch 3-C", "Sch 3-C",IF('Proposed Lighting'!M215="E", "E",IF('Proposed Lighting'!M215="E-C", "E-C",IF('Proposed Lighting'!M215="Dusk to Dawn","Sch D-D",IF('Proposed Lighting'!M215="Dusk to Dawn-C", "Sch DD-C",IF('Proposed Lighting'!M215="Seasonal", "SEA",IF('Proposed Lighting'!M215="Seasonal-C", "SEA-C",0))))))))))))</f>
        <v>0</v>
      </c>
      <c r="D229" s="1292">
        <f>'Proposed Lighting'!F215</f>
        <v>0</v>
      </c>
      <c r="E229" s="1293">
        <f>'Proposed Lighting'!N215</f>
        <v>0</v>
      </c>
      <c r="F229" s="996"/>
      <c r="G229" s="1294">
        <f>'Proposed Lighting'!K215</f>
        <v>0</v>
      </c>
      <c r="H229" s="1295">
        <f>IF('Proposed Lighting'!P215&gt;0.2,'Proposed Lighting'!P215,0)</f>
        <v>0</v>
      </c>
      <c r="I229" s="995">
        <f>'Proposed Lighting'!J215</f>
        <v>0</v>
      </c>
      <c r="J229" s="996"/>
      <c r="K229" s="996"/>
      <c r="L229" s="996"/>
      <c r="M229" s="996"/>
      <c r="N229" s="1005"/>
      <c r="O229" s="1296" t="str">
        <f>'Proposed Lighting'!Z215&amp;", "&amp;'Proposed Lighting'!EK215</f>
        <v xml:space="preserve">, </v>
      </c>
      <c r="P229" s="1292">
        <f>'Proposed Lighting'!T215</f>
        <v>0</v>
      </c>
      <c r="Q229" s="1293">
        <f>'Proposed Lighting'!AA215</f>
        <v>0</v>
      </c>
      <c r="R229" s="996"/>
      <c r="S229" s="1297">
        <f>IF('Proposed Lighting'!AR215=0,0,IF('Proposed Lighting'!AT215&gt;0.2,'Proposed Lighting'!AT215,0))</f>
        <v>0</v>
      </c>
      <c r="T229" s="997">
        <f>'Proposed Lighting'!X215</f>
        <v>0</v>
      </c>
      <c r="U229" s="998"/>
      <c r="V229" s="998"/>
      <c r="W229" s="1378">
        <f>IF('Proposed Lighting'!AF215=4,"WS",IF('Proposed Lighting'!AF215=5,"CM",IF('Proposed Lighting'!AF215=1.6,"PHOT",IF('Proposed Lighting'!AF215=1.5,"FM",IF('Proposed Lighting'!CT215=0.5,"LED-MS",IF('Proposed Lighting'!CB215&gt;1,"Non-S",IF('Proposed Lighting'!CT215=0.6,"LED-SS",IF('Proposed Lighting'!CT215=2,"LED-NW",IF('Proposed Lighting'!CT215=3,"LLLC",0)))))))))</f>
        <v>0</v>
      </c>
      <c r="X229" s="1293">
        <f>'Proposed Lighting'!EE215</f>
        <v>0</v>
      </c>
      <c r="Y229" s="1293">
        <f>'Proposed Lighting'!EF215</f>
        <v>0</v>
      </c>
    </row>
    <row r="230" spans="1:25" ht="50.1" customHeight="1">
      <c r="A230" s="1290">
        <v>208</v>
      </c>
      <c r="B230" s="1291">
        <f>'Proposed Lighting'!B216</f>
        <v>0</v>
      </c>
      <c r="C230" s="1291">
        <f>IF('Proposed Lighting'!M216="Sch 1","Sch 1",IF('Proposed Lighting'!M216="Sch 1-C", "Sch 1-C",IF('Proposed Lighting'!M216="Sch 2","Sch 2",IF('Proposed Lighting'!M216="Sch 2-C","Sch 2-C",IF('Proposed Lighting'!M216="Sch 3","Sch 3",IF('Proposed Lighting'!M216="Sch 3-C", "Sch 3-C",IF('Proposed Lighting'!M216="E", "E",IF('Proposed Lighting'!M216="E-C", "E-C",IF('Proposed Lighting'!M216="Dusk to Dawn","Sch D-D",IF('Proposed Lighting'!M216="Dusk to Dawn-C", "Sch DD-C",IF('Proposed Lighting'!M216="Seasonal", "SEA",IF('Proposed Lighting'!M216="Seasonal-C", "SEA-C",0))))))))))))</f>
        <v>0</v>
      </c>
      <c r="D230" s="1292">
        <f>'Proposed Lighting'!F216</f>
        <v>0</v>
      </c>
      <c r="E230" s="1293">
        <f>'Proposed Lighting'!N216</f>
        <v>0</v>
      </c>
      <c r="F230" s="996"/>
      <c r="G230" s="1294">
        <f>'Proposed Lighting'!K216</f>
        <v>0</v>
      </c>
      <c r="H230" s="1295">
        <f>IF('Proposed Lighting'!P216&gt;0.2,'Proposed Lighting'!P216,0)</f>
        <v>0</v>
      </c>
      <c r="I230" s="995">
        <f>'Proposed Lighting'!J216</f>
        <v>0</v>
      </c>
      <c r="J230" s="996"/>
      <c r="K230" s="996"/>
      <c r="L230" s="996"/>
      <c r="M230" s="996"/>
      <c r="N230" s="1005"/>
      <c r="O230" s="1296" t="str">
        <f>'Proposed Lighting'!Z216&amp;", "&amp;'Proposed Lighting'!EK216</f>
        <v xml:space="preserve">, </v>
      </c>
      <c r="P230" s="1292">
        <f>'Proposed Lighting'!T216</f>
        <v>0</v>
      </c>
      <c r="Q230" s="1293">
        <f>'Proposed Lighting'!AA216</f>
        <v>0</v>
      </c>
      <c r="R230" s="996"/>
      <c r="S230" s="1297">
        <f>IF('Proposed Lighting'!AR216=0,0,IF('Proposed Lighting'!AT216&gt;0.2,'Proposed Lighting'!AT216,0))</f>
        <v>0</v>
      </c>
      <c r="T230" s="997">
        <f>'Proposed Lighting'!X216</f>
        <v>0</v>
      </c>
      <c r="U230" s="998"/>
      <c r="V230" s="998"/>
      <c r="W230" s="1378">
        <f>IF('Proposed Lighting'!AF216=4,"WS",IF('Proposed Lighting'!AF216=5,"CM",IF('Proposed Lighting'!AF216=1.6,"PHOT",IF('Proposed Lighting'!AF216=1.5,"FM",IF('Proposed Lighting'!CT216=0.5,"LED-MS",IF('Proposed Lighting'!CB216&gt;1,"Non-S",IF('Proposed Lighting'!CT216=0.6,"LED-SS",IF('Proposed Lighting'!CT216=2,"LED-NW",IF('Proposed Lighting'!CT216=3,"LLLC",0)))))))))</f>
        <v>0</v>
      </c>
      <c r="X230" s="1293">
        <f>'Proposed Lighting'!EE216</f>
        <v>0</v>
      </c>
      <c r="Y230" s="1293">
        <f>'Proposed Lighting'!EF216</f>
        <v>0</v>
      </c>
    </row>
    <row r="231" spans="1:25" ht="50.1" customHeight="1">
      <c r="A231" s="1290">
        <v>209</v>
      </c>
      <c r="B231" s="1291">
        <f>'Proposed Lighting'!B217</f>
        <v>0</v>
      </c>
      <c r="C231" s="1291">
        <f>IF('Proposed Lighting'!M217="Sch 1","Sch 1",IF('Proposed Lighting'!M217="Sch 1-C", "Sch 1-C",IF('Proposed Lighting'!M217="Sch 2","Sch 2",IF('Proposed Lighting'!M217="Sch 2-C","Sch 2-C",IF('Proposed Lighting'!M217="Sch 3","Sch 3",IF('Proposed Lighting'!M217="Sch 3-C", "Sch 3-C",IF('Proposed Lighting'!M217="E", "E",IF('Proposed Lighting'!M217="E-C", "E-C",IF('Proposed Lighting'!M217="Dusk to Dawn","Sch D-D",IF('Proposed Lighting'!M217="Dusk to Dawn-C", "Sch DD-C",IF('Proposed Lighting'!M217="Seasonal", "SEA",IF('Proposed Lighting'!M217="Seasonal-C", "SEA-C",0))))))))))))</f>
        <v>0</v>
      </c>
      <c r="D231" s="1292">
        <f>'Proposed Lighting'!F217</f>
        <v>0</v>
      </c>
      <c r="E231" s="1293">
        <f>'Proposed Lighting'!N217</f>
        <v>0</v>
      </c>
      <c r="F231" s="996"/>
      <c r="G231" s="1294">
        <f>'Proposed Lighting'!K217</f>
        <v>0</v>
      </c>
      <c r="H231" s="1295">
        <f>IF('Proposed Lighting'!P217&gt;0.2,'Proposed Lighting'!P217,0)</f>
        <v>0</v>
      </c>
      <c r="I231" s="995">
        <f>'Proposed Lighting'!J217</f>
        <v>0</v>
      </c>
      <c r="J231" s="996"/>
      <c r="K231" s="996"/>
      <c r="L231" s="996"/>
      <c r="M231" s="996"/>
      <c r="N231" s="1005"/>
      <c r="O231" s="1296" t="str">
        <f>'Proposed Lighting'!Z217&amp;", "&amp;'Proposed Lighting'!EK217</f>
        <v xml:space="preserve">, </v>
      </c>
      <c r="P231" s="1292">
        <f>'Proposed Lighting'!T217</f>
        <v>0</v>
      </c>
      <c r="Q231" s="1293">
        <f>'Proposed Lighting'!AA217</f>
        <v>0</v>
      </c>
      <c r="R231" s="996"/>
      <c r="S231" s="1297">
        <f>IF('Proposed Lighting'!AR217=0,0,IF('Proposed Lighting'!AT217&gt;0.2,'Proposed Lighting'!AT217,0))</f>
        <v>0</v>
      </c>
      <c r="T231" s="997">
        <f>'Proposed Lighting'!X217</f>
        <v>0</v>
      </c>
      <c r="U231" s="998"/>
      <c r="V231" s="998"/>
      <c r="W231" s="1378">
        <f>IF('Proposed Lighting'!AF217=4,"WS",IF('Proposed Lighting'!AF217=5,"CM",IF('Proposed Lighting'!AF217=1.6,"PHOT",IF('Proposed Lighting'!AF217=1.5,"FM",IF('Proposed Lighting'!CT217=0.5,"LED-MS",IF('Proposed Lighting'!CB217&gt;1,"Non-S",IF('Proposed Lighting'!CT217=0.6,"LED-SS",IF('Proposed Lighting'!CT217=2,"LED-NW",IF('Proposed Lighting'!CT217=3,"LLLC",0)))))))))</f>
        <v>0</v>
      </c>
      <c r="X231" s="1293">
        <f>'Proposed Lighting'!EE217</f>
        <v>0</v>
      </c>
      <c r="Y231" s="1293">
        <f>'Proposed Lighting'!EF217</f>
        <v>0</v>
      </c>
    </row>
    <row r="232" spans="1:25" ht="50.1" customHeight="1">
      <c r="A232" s="1290">
        <v>210</v>
      </c>
      <c r="B232" s="1291">
        <f>'Proposed Lighting'!B218</f>
        <v>0</v>
      </c>
      <c r="C232" s="1291">
        <f>IF('Proposed Lighting'!M218="Sch 1","Sch 1",IF('Proposed Lighting'!M218="Sch 1-C", "Sch 1-C",IF('Proposed Lighting'!M218="Sch 2","Sch 2",IF('Proposed Lighting'!M218="Sch 2-C","Sch 2-C",IF('Proposed Lighting'!M218="Sch 3","Sch 3",IF('Proposed Lighting'!M218="Sch 3-C", "Sch 3-C",IF('Proposed Lighting'!M218="E", "E",IF('Proposed Lighting'!M218="E-C", "E-C",IF('Proposed Lighting'!M218="Dusk to Dawn","Sch D-D",IF('Proposed Lighting'!M218="Dusk to Dawn-C", "Sch DD-C",IF('Proposed Lighting'!M218="Seasonal", "SEA",IF('Proposed Lighting'!M218="Seasonal-C", "SEA-C",0))))))))))))</f>
        <v>0</v>
      </c>
      <c r="D232" s="1292">
        <f>'Proposed Lighting'!F218</f>
        <v>0</v>
      </c>
      <c r="E232" s="1293">
        <f>'Proposed Lighting'!N218</f>
        <v>0</v>
      </c>
      <c r="F232" s="996"/>
      <c r="G232" s="1294">
        <f>'Proposed Lighting'!K218</f>
        <v>0</v>
      </c>
      <c r="H232" s="1295">
        <f>IF('Proposed Lighting'!P218&gt;0.2,'Proposed Lighting'!P218,0)</f>
        <v>0</v>
      </c>
      <c r="I232" s="995">
        <f>'Proposed Lighting'!J218</f>
        <v>0</v>
      </c>
      <c r="J232" s="996"/>
      <c r="K232" s="996"/>
      <c r="L232" s="996"/>
      <c r="M232" s="996"/>
      <c r="N232" s="1005"/>
      <c r="O232" s="1296" t="str">
        <f>'Proposed Lighting'!Z218&amp;", "&amp;'Proposed Lighting'!EK218</f>
        <v xml:space="preserve">, </v>
      </c>
      <c r="P232" s="1292">
        <f>'Proposed Lighting'!T218</f>
        <v>0</v>
      </c>
      <c r="Q232" s="1293">
        <f>'Proposed Lighting'!AA218</f>
        <v>0</v>
      </c>
      <c r="R232" s="996"/>
      <c r="S232" s="1297">
        <f>IF('Proposed Lighting'!AR218=0,0,IF('Proposed Lighting'!AT218&gt;0.2,'Proposed Lighting'!AT218,0))</f>
        <v>0</v>
      </c>
      <c r="T232" s="997">
        <f>'Proposed Lighting'!X218</f>
        <v>0</v>
      </c>
      <c r="U232" s="998"/>
      <c r="V232" s="998"/>
      <c r="W232" s="1378">
        <f>IF('Proposed Lighting'!AF218=4,"WS",IF('Proposed Lighting'!AF218=5,"CM",IF('Proposed Lighting'!AF218=1.6,"PHOT",IF('Proposed Lighting'!AF218=1.5,"FM",IF('Proposed Lighting'!CT218=0.5,"LED-MS",IF('Proposed Lighting'!CB218&gt;1,"Non-S",IF('Proposed Lighting'!CT218=0.6,"LED-SS",IF('Proposed Lighting'!CT218=2,"LED-NW",IF('Proposed Lighting'!CT218=3,"LLLC",0)))))))))</f>
        <v>0</v>
      </c>
      <c r="X232" s="1293">
        <f>'Proposed Lighting'!EE218</f>
        <v>0</v>
      </c>
      <c r="Y232" s="1293">
        <f>'Proposed Lighting'!EF218</f>
        <v>0</v>
      </c>
    </row>
    <row r="233" spans="1:25" ht="50.1" customHeight="1">
      <c r="A233" s="1290">
        <v>211</v>
      </c>
      <c r="B233" s="1291">
        <f>'Proposed Lighting'!B219</f>
        <v>0</v>
      </c>
      <c r="C233" s="1291">
        <f>IF('Proposed Lighting'!M219="Sch 1","Sch 1",IF('Proposed Lighting'!M219="Sch 1-C", "Sch 1-C",IF('Proposed Lighting'!M219="Sch 2","Sch 2",IF('Proposed Lighting'!M219="Sch 2-C","Sch 2-C",IF('Proposed Lighting'!M219="Sch 3","Sch 3",IF('Proposed Lighting'!M219="Sch 3-C", "Sch 3-C",IF('Proposed Lighting'!M219="E", "E",IF('Proposed Lighting'!M219="E-C", "E-C",IF('Proposed Lighting'!M219="Dusk to Dawn","Sch D-D",IF('Proposed Lighting'!M219="Dusk to Dawn-C", "Sch DD-C",IF('Proposed Lighting'!M219="Seasonal", "SEA",IF('Proposed Lighting'!M219="Seasonal-C", "SEA-C",0))))))))))))</f>
        <v>0</v>
      </c>
      <c r="D233" s="1292">
        <f>'Proposed Lighting'!F219</f>
        <v>0</v>
      </c>
      <c r="E233" s="1293">
        <f>'Proposed Lighting'!N219</f>
        <v>0</v>
      </c>
      <c r="F233" s="996"/>
      <c r="G233" s="1294">
        <f>'Proposed Lighting'!K219</f>
        <v>0</v>
      </c>
      <c r="H233" s="1295">
        <f>IF('Proposed Lighting'!P219&gt;0.2,'Proposed Lighting'!P219,0)</f>
        <v>0</v>
      </c>
      <c r="I233" s="995">
        <f>'Proposed Lighting'!J219</f>
        <v>0</v>
      </c>
      <c r="J233" s="996"/>
      <c r="K233" s="996"/>
      <c r="L233" s="996"/>
      <c r="M233" s="996"/>
      <c r="N233" s="1005"/>
      <c r="O233" s="1296" t="str">
        <f>'Proposed Lighting'!Z219&amp;", "&amp;'Proposed Lighting'!EK219</f>
        <v xml:space="preserve">, </v>
      </c>
      <c r="P233" s="1292">
        <f>'Proposed Lighting'!T219</f>
        <v>0</v>
      </c>
      <c r="Q233" s="1293">
        <f>'Proposed Lighting'!AA219</f>
        <v>0</v>
      </c>
      <c r="R233" s="996"/>
      <c r="S233" s="1297">
        <f>IF('Proposed Lighting'!AR219=0,0,IF('Proposed Lighting'!AT219&gt;0.2,'Proposed Lighting'!AT219,0))</f>
        <v>0</v>
      </c>
      <c r="T233" s="997">
        <f>'Proposed Lighting'!X219</f>
        <v>0</v>
      </c>
      <c r="U233" s="998"/>
      <c r="V233" s="998"/>
      <c r="W233" s="1378">
        <f>IF('Proposed Lighting'!AF219=4,"WS",IF('Proposed Lighting'!AF219=5,"CM",IF('Proposed Lighting'!AF219=1.6,"PHOT",IF('Proposed Lighting'!AF219=1.5,"FM",IF('Proposed Lighting'!CT219=0.5,"LED-MS",IF('Proposed Lighting'!CB219&gt;1,"Non-S",IF('Proposed Lighting'!CT219=0.6,"LED-SS",IF('Proposed Lighting'!CT219=2,"LED-NW",IF('Proposed Lighting'!CT219=3,"LLLC",0)))))))))</f>
        <v>0</v>
      </c>
      <c r="X233" s="1293">
        <f>'Proposed Lighting'!EE219</f>
        <v>0</v>
      </c>
      <c r="Y233" s="1293">
        <f>'Proposed Lighting'!EF219</f>
        <v>0</v>
      </c>
    </row>
    <row r="234" spans="1:25" ht="50.1" customHeight="1">
      <c r="A234" s="1290">
        <v>212</v>
      </c>
      <c r="B234" s="1291">
        <f>'Proposed Lighting'!B220</f>
        <v>0</v>
      </c>
      <c r="C234" s="1291">
        <f>IF('Proposed Lighting'!M220="Sch 1","Sch 1",IF('Proposed Lighting'!M220="Sch 1-C", "Sch 1-C",IF('Proposed Lighting'!M220="Sch 2","Sch 2",IF('Proposed Lighting'!M220="Sch 2-C","Sch 2-C",IF('Proposed Lighting'!M220="Sch 3","Sch 3",IF('Proposed Lighting'!M220="Sch 3-C", "Sch 3-C",IF('Proposed Lighting'!M220="E", "E",IF('Proposed Lighting'!M220="E-C", "E-C",IF('Proposed Lighting'!M220="Dusk to Dawn","Sch D-D",IF('Proposed Lighting'!M220="Dusk to Dawn-C", "Sch DD-C",IF('Proposed Lighting'!M220="Seasonal", "SEA",IF('Proposed Lighting'!M220="Seasonal-C", "SEA-C",0))))))))))))</f>
        <v>0</v>
      </c>
      <c r="D234" s="1292">
        <f>'Proposed Lighting'!F220</f>
        <v>0</v>
      </c>
      <c r="E234" s="1293">
        <f>'Proposed Lighting'!N220</f>
        <v>0</v>
      </c>
      <c r="F234" s="996"/>
      <c r="G234" s="1294">
        <f>'Proposed Lighting'!K220</f>
        <v>0</v>
      </c>
      <c r="H234" s="1295">
        <f>IF('Proposed Lighting'!P220&gt;0.2,'Proposed Lighting'!P220,0)</f>
        <v>0</v>
      </c>
      <c r="I234" s="995">
        <f>'Proposed Lighting'!J220</f>
        <v>0</v>
      </c>
      <c r="J234" s="996"/>
      <c r="K234" s="996"/>
      <c r="L234" s="996"/>
      <c r="M234" s="996"/>
      <c r="N234" s="1005"/>
      <c r="O234" s="1296" t="str">
        <f>'Proposed Lighting'!Z220&amp;", "&amp;'Proposed Lighting'!EK220</f>
        <v xml:space="preserve">, </v>
      </c>
      <c r="P234" s="1292">
        <f>'Proposed Lighting'!T220</f>
        <v>0</v>
      </c>
      <c r="Q234" s="1293">
        <f>'Proposed Lighting'!AA220</f>
        <v>0</v>
      </c>
      <c r="R234" s="996"/>
      <c r="S234" s="1297">
        <f>IF('Proposed Lighting'!AR220=0,0,IF('Proposed Lighting'!AT220&gt;0.2,'Proposed Lighting'!AT220,0))</f>
        <v>0</v>
      </c>
      <c r="T234" s="997">
        <f>'Proposed Lighting'!X220</f>
        <v>0</v>
      </c>
      <c r="U234" s="998"/>
      <c r="V234" s="998"/>
      <c r="W234" s="1378">
        <f>IF('Proposed Lighting'!AF220=4,"WS",IF('Proposed Lighting'!AF220=5,"CM",IF('Proposed Lighting'!AF220=1.6,"PHOT",IF('Proposed Lighting'!AF220=1.5,"FM",IF('Proposed Lighting'!CT220=0.5,"LED-MS",IF('Proposed Lighting'!CB220&gt;1,"Non-S",IF('Proposed Lighting'!CT220=0.6,"LED-SS",IF('Proposed Lighting'!CT220=2,"LED-NW",IF('Proposed Lighting'!CT220=3,"LLLC",0)))))))))</f>
        <v>0</v>
      </c>
      <c r="X234" s="1293">
        <f>'Proposed Lighting'!EE220</f>
        <v>0</v>
      </c>
      <c r="Y234" s="1293">
        <f>'Proposed Lighting'!EF220</f>
        <v>0</v>
      </c>
    </row>
    <row r="235" spans="1:25" ht="50.1" customHeight="1">
      <c r="A235" s="1290">
        <v>213</v>
      </c>
      <c r="B235" s="1291">
        <f>'Proposed Lighting'!B221</f>
        <v>0</v>
      </c>
      <c r="C235" s="1291">
        <f>IF('Proposed Lighting'!M221="Sch 1","Sch 1",IF('Proposed Lighting'!M221="Sch 1-C", "Sch 1-C",IF('Proposed Lighting'!M221="Sch 2","Sch 2",IF('Proposed Lighting'!M221="Sch 2-C","Sch 2-C",IF('Proposed Lighting'!M221="Sch 3","Sch 3",IF('Proposed Lighting'!M221="Sch 3-C", "Sch 3-C",IF('Proposed Lighting'!M221="E", "E",IF('Proposed Lighting'!M221="E-C", "E-C",IF('Proposed Lighting'!M221="Dusk to Dawn","Sch D-D",IF('Proposed Lighting'!M221="Dusk to Dawn-C", "Sch DD-C",IF('Proposed Lighting'!M221="Seasonal", "SEA",IF('Proposed Lighting'!M221="Seasonal-C", "SEA-C",0))))))))))))</f>
        <v>0</v>
      </c>
      <c r="D235" s="1292">
        <f>'Proposed Lighting'!F221</f>
        <v>0</v>
      </c>
      <c r="E235" s="1293">
        <f>'Proposed Lighting'!N221</f>
        <v>0</v>
      </c>
      <c r="F235" s="996"/>
      <c r="G235" s="1294">
        <f>'Proposed Lighting'!K221</f>
        <v>0</v>
      </c>
      <c r="H235" s="1295">
        <f>IF('Proposed Lighting'!P221&gt;0.2,'Proposed Lighting'!P221,0)</f>
        <v>0</v>
      </c>
      <c r="I235" s="995">
        <f>'Proposed Lighting'!J221</f>
        <v>0</v>
      </c>
      <c r="J235" s="996"/>
      <c r="K235" s="996"/>
      <c r="L235" s="996"/>
      <c r="M235" s="996"/>
      <c r="N235" s="1005"/>
      <c r="O235" s="1296" t="str">
        <f>'Proposed Lighting'!Z221&amp;", "&amp;'Proposed Lighting'!EK221</f>
        <v xml:space="preserve">, </v>
      </c>
      <c r="P235" s="1292">
        <f>'Proposed Lighting'!T221</f>
        <v>0</v>
      </c>
      <c r="Q235" s="1293">
        <f>'Proposed Lighting'!AA221</f>
        <v>0</v>
      </c>
      <c r="R235" s="996"/>
      <c r="S235" s="1297">
        <f>IF('Proposed Lighting'!AR221=0,0,IF('Proposed Lighting'!AT221&gt;0.2,'Proposed Lighting'!AT221,0))</f>
        <v>0</v>
      </c>
      <c r="T235" s="997">
        <f>'Proposed Lighting'!X221</f>
        <v>0</v>
      </c>
      <c r="U235" s="998"/>
      <c r="V235" s="998"/>
      <c r="W235" s="1378">
        <f>IF('Proposed Lighting'!AF221=4,"WS",IF('Proposed Lighting'!AF221=5,"CM",IF('Proposed Lighting'!AF221=1.6,"PHOT",IF('Proposed Lighting'!AF221=1.5,"FM",IF('Proposed Lighting'!CT221=0.5,"LED-MS",IF('Proposed Lighting'!CB221&gt;1,"Non-S",IF('Proposed Lighting'!CT221=0.6,"LED-SS",IF('Proposed Lighting'!CT221=2,"LED-NW",IF('Proposed Lighting'!CT221=3,"LLLC",0)))))))))</f>
        <v>0</v>
      </c>
      <c r="X235" s="1293">
        <f>'Proposed Lighting'!EE221</f>
        <v>0</v>
      </c>
      <c r="Y235" s="1293">
        <f>'Proposed Lighting'!EF221</f>
        <v>0</v>
      </c>
    </row>
    <row r="236" spans="1:25" ht="50.1" customHeight="1">
      <c r="A236" s="1290">
        <v>214</v>
      </c>
      <c r="B236" s="1291">
        <f>'Proposed Lighting'!B222</f>
        <v>0</v>
      </c>
      <c r="C236" s="1291">
        <f>IF('Proposed Lighting'!M222="Sch 1","Sch 1",IF('Proposed Lighting'!M222="Sch 1-C", "Sch 1-C",IF('Proposed Lighting'!M222="Sch 2","Sch 2",IF('Proposed Lighting'!M222="Sch 2-C","Sch 2-C",IF('Proposed Lighting'!M222="Sch 3","Sch 3",IF('Proposed Lighting'!M222="Sch 3-C", "Sch 3-C",IF('Proposed Lighting'!M222="E", "E",IF('Proposed Lighting'!M222="E-C", "E-C",IF('Proposed Lighting'!M222="Dusk to Dawn","Sch D-D",IF('Proposed Lighting'!M222="Dusk to Dawn-C", "Sch DD-C",IF('Proposed Lighting'!M222="Seasonal", "SEA",IF('Proposed Lighting'!M222="Seasonal-C", "SEA-C",0))))))))))))</f>
        <v>0</v>
      </c>
      <c r="D236" s="1292">
        <f>'Proposed Lighting'!F222</f>
        <v>0</v>
      </c>
      <c r="E236" s="1293">
        <f>'Proposed Lighting'!N222</f>
        <v>0</v>
      </c>
      <c r="F236" s="996"/>
      <c r="G236" s="1294">
        <f>'Proposed Lighting'!K222</f>
        <v>0</v>
      </c>
      <c r="H236" s="1295">
        <f>IF('Proposed Lighting'!P222&gt;0.2,'Proposed Lighting'!P222,0)</f>
        <v>0</v>
      </c>
      <c r="I236" s="995">
        <f>'Proposed Lighting'!J222</f>
        <v>0</v>
      </c>
      <c r="J236" s="996"/>
      <c r="K236" s="996"/>
      <c r="L236" s="996"/>
      <c r="M236" s="996"/>
      <c r="N236" s="1005"/>
      <c r="O236" s="1296" t="str">
        <f>'Proposed Lighting'!Z222&amp;", "&amp;'Proposed Lighting'!EK222</f>
        <v xml:space="preserve">, </v>
      </c>
      <c r="P236" s="1292">
        <f>'Proposed Lighting'!T222</f>
        <v>0</v>
      </c>
      <c r="Q236" s="1293">
        <f>'Proposed Lighting'!AA222</f>
        <v>0</v>
      </c>
      <c r="R236" s="996"/>
      <c r="S236" s="1297">
        <f>IF('Proposed Lighting'!AR222=0,0,IF('Proposed Lighting'!AT222&gt;0.2,'Proposed Lighting'!AT222,0))</f>
        <v>0</v>
      </c>
      <c r="T236" s="997">
        <f>'Proposed Lighting'!X222</f>
        <v>0</v>
      </c>
      <c r="U236" s="998"/>
      <c r="V236" s="998"/>
      <c r="W236" s="1378">
        <f>IF('Proposed Lighting'!AF222=4,"WS",IF('Proposed Lighting'!AF222=5,"CM",IF('Proposed Lighting'!AF222=1.6,"PHOT",IF('Proposed Lighting'!AF222=1.5,"FM",IF('Proposed Lighting'!CT222=0.5,"LED-MS",IF('Proposed Lighting'!CB222&gt;1,"Non-S",IF('Proposed Lighting'!CT222=0.6,"LED-SS",IF('Proposed Lighting'!CT222=2,"LED-NW",IF('Proposed Lighting'!CT222=3,"LLLC",0)))))))))</f>
        <v>0</v>
      </c>
      <c r="X236" s="1293">
        <f>'Proposed Lighting'!EE222</f>
        <v>0</v>
      </c>
      <c r="Y236" s="1293">
        <f>'Proposed Lighting'!EF222</f>
        <v>0</v>
      </c>
    </row>
    <row r="237" spans="1:25" ht="50.1" customHeight="1">
      <c r="A237" s="1290">
        <v>215</v>
      </c>
      <c r="B237" s="1291">
        <f>'Proposed Lighting'!B223</f>
        <v>0</v>
      </c>
      <c r="C237" s="1291">
        <f>IF('Proposed Lighting'!M223="Sch 1","Sch 1",IF('Proposed Lighting'!M223="Sch 1-C", "Sch 1-C",IF('Proposed Lighting'!M223="Sch 2","Sch 2",IF('Proposed Lighting'!M223="Sch 2-C","Sch 2-C",IF('Proposed Lighting'!M223="Sch 3","Sch 3",IF('Proposed Lighting'!M223="Sch 3-C", "Sch 3-C",IF('Proposed Lighting'!M223="E", "E",IF('Proposed Lighting'!M223="E-C", "E-C",IF('Proposed Lighting'!M223="Dusk to Dawn","Sch D-D",IF('Proposed Lighting'!M223="Dusk to Dawn-C", "Sch DD-C",IF('Proposed Lighting'!M223="Seasonal", "SEA",IF('Proposed Lighting'!M223="Seasonal-C", "SEA-C",0))))))))))))</f>
        <v>0</v>
      </c>
      <c r="D237" s="1292">
        <f>'Proposed Lighting'!F223</f>
        <v>0</v>
      </c>
      <c r="E237" s="1293">
        <f>'Proposed Lighting'!N223</f>
        <v>0</v>
      </c>
      <c r="F237" s="996"/>
      <c r="G237" s="1294">
        <f>'Proposed Lighting'!K223</f>
        <v>0</v>
      </c>
      <c r="H237" s="1295">
        <f>IF('Proposed Lighting'!P223&gt;0.2,'Proposed Lighting'!P223,0)</f>
        <v>0</v>
      </c>
      <c r="I237" s="995">
        <f>'Proposed Lighting'!J223</f>
        <v>0</v>
      </c>
      <c r="J237" s="996"/>
      <c r="K237" s="996"/>
      <c r="L237" s="996"/>
      <c r="M237" s="996"/>
      <c r="N237" s="1005"/>
      <c r="O237" s="1296" t="str">
        <f>'Proposed Lighting'!Z223&amp;", "&amp;'Proposed Lighting'!EK223</f>
        <v xml:space="preserve">, </v>
      </c>
      <c r="P237" s="1292">
        <f>'Proposed Lighting'!T223</f>
        <v>0</v>
      </c>
      <c r="Q237" s="1293">
        <f>'Proposed Lighting'!AA223</f>
        <v>0</v>
      </c>
      <c r="R237" s="996"/>
      <c r="S237" s="1297">
        <f>IF('Proposed Lighting'!AR223=0,0,IF('Proposed Lighting'!AT223&gt;0.2,'Proposed Lighting'!AT223,0))</f>
        <v>0</v>
      </c>
      <c r="T237" s="997">
        <f>'Proposed Lighting'!X223</f>
        <v>0</v>
      </c>
      <c r="U237" s="998"/>
      <c r="V237" s="998"/>
      <c r="W237" s="1378">
        <f>IF('Proposed Lighting'!AF223=4,"WS",IF('Proposed Lighting'!AF223=5,"CM",IF('Proposed Lighting'!AF223=1.6,"PHOT",IF('Proposed Lighting'!AF223=1.5,"FM",IF('Proposed Lighting'!CT223=0.5,"LED-MS",IF('Proposed Lighting'!CB223&gt;1,"Non-S",IF('Proposed Lighting'!CT223=0.6,"LED-SS",IF('Proposed Lighting'!CT223=2,"LED-NW",IF('Proposed Lighting'!CT223=3,"LLLC",0)))))))))</f>
        <v>0</v>
      </c>
      <c r="X237" s="1293">
        <f>'Proposed Lighting'!EE223</f>
        <v>0</v>
      </c>
      <c r="Y237" s="1293">
        <f>'Proposed Lighting'!EF223</f>
        <v>0</v>
      </c>
    </row>
    <row r="238" spans="1:25" ht="50.1" customHeight="1">
      <c r="A238" s="1290">
        <v>216</v>
      </c>
      <c r="B238" s="1291">
        <f>'Proposed Lighting'!B224</f>
        <v>0</v>
      </c>
      <c r="C238" s="1291">
        <f>IF('Proposed Lighting'!M224="Sch 1","Sch 1",IF('Proposed Lighting'!M224="Sch 1-C", "Sch 1-C",IF('Proposed Lighting'!M224="Sch 2","Sch 2",IF('Proposed Lighting'!M224="Sch 2-C","Sch 2-C",IF('Proposed Lighting'!M224="Sch 3","Sch 3",IF('Proposed Lighting'!M224="Sch 3-C", "Sch 3-C",IF('Proposed Lighting'!M224="E", "E",IF('Proposed Lighting'!M224="E-C", "E-C",IF('Proposed Lighting'!M224="Dusk to Dawn","Sch D-D",IF('Proposed Lighting'!M224="Dusk to Dawn-C", "Sch DD-C",IF('Proposed Lighting'!M224="Seasonal", "SEA",IF('Proposed Lighting'!M224="Seasonal-C", "SEA-C",0))))))))))))</f>
        <v>0</v>
      </c>
      <c r="D238" s="1292">
        <f>'Proposed Lighting'!F224</f>
        <v>0</v>
      </c>
      <c r="E238" s="1293">
        <f>'Proposed Lighting'!N224</f>
        <v>0</v>
      </c>
      <c r="F238" s="996"/>
      <c r="G238" s="1294">
        <f>'Proposed Lighting'!K224</f>
        <v>0</v>
      </c>
      <c r="H238" s="1295">
        <f>IF('Proposed Lighting'!P224&gt;0.2,'Proposed Lighting'!P224,0)</f>
        <v>0</v>
      </c>
      <c r="I238" s="995">
        <f>'Proposed Lighting'!J224</f>
        <v>0</v>
      </c>
      <c r="J238" s="996"/>
      <c r="K238" s="996"/>
      <c r="L238" s="996"/>
      <c r="M238" s="996"/>
      <c r="N238" s="1005"/>
      <c r="O238" s="1296" t="str">
        <f>'Proposed Lighting'!Z224&amp;", "&amp;'Proposed Lighting'!EK224</f>
        <v xml:space="preserve">, </v>
      </c>
      <c r="P238" s="1292">
        <f>'Proposed Lighting'!T224</f>
        <v>0</v>
      </c>
      <c r="Q238" s="1293">
        <f>'Proposed Lighting'!AA224</f>
        <v>0</v>
      </c>
      <c r="R238" s="996"/>
      <c r="S238" s="1297">
        <f>IF('Proposed Lighting'!AR224=0,0,IF('Proposed Lighting'!AT224&gt;0.2,'Proposed Lighting'!AT224,0))</f>
        <v>0</v>
      </c>
      <c r="T238" s="997">
        <f>'Proposed Lighting'!X224</f>
        <v>0</v>
      </c>
      <c r="U238" s="998"/>
      <c r="V238" s="998"/>
      <c r="W238" s="1378">
        <f>IF('Proposed Lighting'!AF224=4,"WS",IF('Proposed Lighting'!AF224=5,"CM",IF('Proposed Lighting'!AF224=1.6,"PHOT",IF('Proposed Lighting'!AF224=1.5,"FM",IF('Proposed Lighting'!CT224=0.5,"LED-MS",IF('Proposed Lighting'!CB224&gt;1,"Non-S",IF('Proposed Lighting'!CT224=0.6,"LED-SS",IF('Proposed Lighting'!CT224=2,"LED-NW",IF('Proposed Lighting'!CT224=3,"LLLC",0)))))))))</f>
        <v>0</v>
      </c>
      <c r="X238" s="1293">
        <f>'Proposed Lighting'!EE224</f>
        <v>0</v>
      </c>
      <c r="Y238" s="1293">
        <f>'Proposed Lighting'!EF224</f>
        <v>0</v>
      </c>
    </row>
    <row r="239" spans="1:25" ht="50.1" customHeight="1">
      <c r="A239" s="1290">
        <v>217</v>
      </c>
      <c r="B239" s="1291">
        <f>'Proposed Lighting'!B225</f>
        <v>0</v>
      </c>
      <c r="C239" s="1291">
        <f>IF('Proposed Lighting'!M225="Sch 1","Sch 1",IF('Proposed Lighting'!M225="Sch 1-C", "Sch 1-C",IF('Proposed Lighting'!M225="Sch 2","Sch 2",IF('Proposed Lighting'!M225="Sch 2-C","Sch 2-C",IF('Proposed Lighting'!M225="Sch 3","Sch 3",IF('Proposed Lighting'!M225="Sch 3-C", "Sch 3-C",IF('Proposed Lighting'!M225="E", "E",IF('Proposed Lighting'!M225="E-C", "E-C",IF('Proposed Lighting'!M225="Dusk to Dawn","Sch D-D",IF('Proposed Lighting'!M225="Dusk to Dawn-C", "Sch DD-C",IF('Proposed Lighting'!M225="Seasonal", "SEA",IF('Proposed Lighting'!M225="Seasonal-C", "SEA-C",0))))))))))))</f>
        <v>0</v>
      </c>
      <c r="D239" s="1292">
        <f>'Proposed Lighting'!F225</f>
        <v>0</v>
      </c>
      <c r="E239" s="1293">
        <f>'Proposed Lighting'!N225</f>
        <v>0</v>
      </c>
      <c r="F239" s="996"/>
      <c r="G239" s="1294">
        <f>'Proposed Lighting'!K225</f>
        <v>0</v>
      </c>
      <c r="H239" s="1295">
        <f>IF('Proposed Lighting'!P225&gt;0.2,'Proposed Lighting'!P225,0)</f>
        <v>0</v>
      </c>
      <c r="I239" s="995">
        <f>'Proposed Lighting'!J225</f>
        <v>0</v>
      </c>
      <c r="J239" s="996"/>
      <c r="K239" s="996"/>
      <c r="L239" s="996"/>
      <c r="M239" s="996"/>
      <c r="N239" s="1005"/>
      <c r="O239" s="1296" t="str">
        <f>'Proposed Lighting'!Z225&amp;", "&amp;'Proposed Lighting'!EK225</f>
        <v xml:space="preserve">, </v>
      </c>
      <c r="P239" s="1292">
        <f>'Proposed Lighting'!T225</f>
        <v>0</v>
      </c>
      <c r="Q239" s="1293">
        <f>'Proposed Lighting'!AA225</f>
        <v>0</v>
      </c>
      <c r="R239" s="996"/>
      <c r="S239" s="1297">
        <f>IF('Proposed Lighting'!AR225=0,0,IF('Proposed Lighting'!AT225&gt;0.2,'Proposed Lighting'!AT225,0))</f>
        <v>0</v>
      </c>
      <c r="T239" s="997">
        <f>'Proposed Lighting'!X225</f>
        <v>0</v>
      </c>
      <c r="U239" s="998"/>
      <c r="V239" s="998"/>
      <c r="W239" s="1378">
        <f>IF('Proposed Lighting'!AF225=4,"WS",IF('Proposed Lighting'!AF225=5,"CM",IF('Proposed Lighting'!AF225=1.6,"PHOT",IF('Proposed Lighting'!AF225=1.5,"FM",IF('Proposed Lighting'!CT225=0.5,"LED-MS",IF('Proposed Lighting'!CB225&gt;1,"Non-S",IF('Proposed Lighting'!CT225=0.6,"LED-SS",IF('Proposed Lighting'!CT225=2,"LED-NW",IF('Proposed Lighting'!CT225=3,"LLLC",0)))))))))</f>
        <v>0</v>
      </c>
      <c r="X239" s="1293">
        <f>'Proposed Lighting'!EE225</f>
        <v>0</v>
      </c>
      <c r="Y239" s="1293">
        <f>'Proposed Lighting'!EF225</f>
        <v>0</v>
      </c>
    </row>
    <row r="240" spans="1:25" ht="50.1" customHeight="1">
      <c r="A240" s="1290">
        <v>218</v>
      </c>
      <c r="B240" s="1291">
        <f>'Proposed Lighting'!B226</f>
        <v>0</v>
      </c>
      <c r="C240" s="1291">
        <f>IF('Proposed Lighting'!M226="Sch 1","Sch 1",IF('Proposed Lighting'!M226="Sch 1-C", "Sch 1-C",IF('Proposed Lighting'!M226="Sch 2","Sch 2",IF('Proposed Lighting'!M226="Sch 2-C","Sch 2-C",IF('Proposed Lighting'!M226="Sch 3","Sch 3",IF('Proposed Lighting'!M226="Sch 3-C", "Sch 3-C",IF('Proposed Lighting'!M226="E", "E",IF('Proposed Lighting'!M226="E-C", "E-C",IF('Proposed Lighting'!M226="Dusk to Dawn","Sch D-D",IF('Proposed Lighting'!M226="Dusk to Dawn-C", "Sch DD-C",IF('Proposed Lighting'!M226="Seasonal", "SEA",IF('Proposed Lighting'!M226="Seasonal-C", "SEA-C",0))))))))))))</f>
        <v>0</v>
      </c>
      <c r="D240" s="1292">
        <f>'Proposed Lighting'!F226</f>
        <v>0</v>
      </c>
      <c r="E240" s="1293">
        <f>'Proposed Lighting'!N226</f>
        <v>0</v>
      </c>
      <c r="F240" s="996"/>
      <c r="G240" s="1294">
        <f>'Proposed Lighting'!K226</f>
        <v>0</v>
      </c>
      <c r="H240" s="1295">
        <f>IF('Proposed Lighting'!P226&gt;0.2,'Proposed Lighting'!P226,0)</f>
        <v>0</v>
      </c>
      <c r="I240" s="995">
        <f>'Proposed Lighting'!J226</f>
        <v>0</v>
      </c>
      <c r="J240" s="996"/>
      <c r="K240" s="996"/>
      <c r="L240" s="996"/>
      <c r="M240" s="996"/>
      <c r="N240" s="1005"/>
      <c r="O240" s="1296" t="str">
        <f>'Proposed Lighting'!Z226&amp;", "&amp;'Proposed Lighting'!EK226</f>
        <v xml:space="preserve">, </v>
      </c>
      <c r="P240" s="1292">
        <f>'Proposed Lighting'!T226</f>
        <v>0</v>
      </c>
      <c r="Q240" s="1293">
        <f>'Proposed Lighting'!AA226</f>
        <v>0</v>
      </c>
      <c r="R240" s="996"/>
      <c r="S240" s="1297">
        <f>IF('Proposed Lighting'!AR226=0,0,IF('Proposed Lighting'!AT226&gt;0.2,'Proposed Lighting'!AT226,0))</f>
        <v>0</v>
      </c>
      <c r="T240" s="997">
        <f>'Proposed Lighting'!X226</f>
        <v>0</v>
      </c>
      <c r="U240" s="998"/>
      <c r="V240" s="998"/>
      <c r="W240" s="1378">
        <f>IF('Proposed Lighting'!AF226=4,"WS",IF('Proposed Lighting'!AF226=5,"CM",IF('Proposed Lighting'!AF226=1.6,"PHOT",IF('Proposed Lighting'!AF226=1.5,"FM",IF('Proposed Lighting'!CT226=0.5,"LED-MS",IF('Proposed Lighting'!CB226&gt;1,"Non-S",IF('Proposed Lighting'!CT226=0.6,"LED-SS",IF('Proposed Lighting'!CT226=2,"LED-NW",IF('Proposed Lighting'!CT226=3,"LLLC",0)))))))))</f>
        <v>0</v>
      </c>
      <c r="X240" s="1293">
        <f>'Proposed Lighting'!EE226</f>
        <v>0</v>
      </c>
      <c r="Y240" s="1293">
        <f>'Proposed Lighting'!EF226</f>
        <v>0</v>
      </c>
    </row>
    <row r="241" spans="1:25" ht="50.1" customHeight="1">
      <c r="A241" s="1290">
        <v>219</v>
      </c>
      <c r="B241" s="1291">
        <f>'Proposed Lighting'!B227</f>
        <v>0</v>
      </c>
      <c r="C241" s="1291">
        <f>IF('Proposed Lighting'!M227="Sch 1","Sch 1",IF('Proposed Lighting'!M227="Sch 1-C", "Sch 1-C",IF('Proposed Lighting'!M227="Sch 2","Sch 2",IF('Proposed Lighting'!M227="Sch 2-C","Sch 2-C",IF('Proposed Lighting'!M227="Sch 3","Sch 3",IF('Proposed Lighting'!M227="Sch 3-C", "Sch 3-C",IF('Proposed Lighting'!M227="E", "E",IF('Proposed Lighting'!M227="E-C", "E-C",IF('Proposed Lighting'!M227="Dusk to Dawn","Sch D-D",IF('Proposed Lighting'!M227="Dusk to Dawn-C", "Sch DD-C",IF('Proposed Lighting'!M227="Seasonal", "SEA",IF('Proposed Lighting'!M227="Seasonal-C", "SEA-C",0))))))))))))</f>
        <v>0</v>
      </c>
      <c r="D241" s="1292">
        <f>'Proposed Lighting'!F227</f>
        <v>0</v>
      </c>
      <c r="E241" s="1293">
        <f>'Proposed Lighting'!N227</f>
        <v>0</v>
      </c>
      <c r="F241" s="996"/>
      <c r="G241" s="1294">
        <f>'Proposed Lighting'!K227</f>
        <v>0</v>
      </c>
      <c r="H241" s="1295">
        <f>IF('Proposed Lighting'!P227&gt;0.2,'Proposed Lighting'!P227,0)</f>
        <v>0</v>
      </c>
      <c r="I241" s="995">
        <f>'Proposed Lighting'!J227</f>
        <v>0</v>
      </c>
      <c r="J241" s="996"/>
      <c r="K241" s="996"/>
      <c r="L241" s="996"/>
      <c r="M241" s="996"/>
      <c r="N241" s="1005"/>
      <c r="O241" s="1296" t="str">
        <f>'Proposed Lighting'!Z227&amp;", "&amp;'Proposed Lighting'!EK227</f>
        <v xml:space="preserve">, </v>
      </c>
      <c r="P241" s="1292">
        <f>'Proposed Lighting'!T227</f>
        <v>0</v>
      </c>
      <c r="Q241" s="1293">
        <f>'Proposed Lighting'!AA227</f>
        <v>0</v>
      </c>
      <c r="R241" s="996"/>
      <c r="S241" s="1297">
        <f>IF('Proposed Lighting'!AR227=0,0,IF('Proposed Lighting'!AT227&gt;0.2,'Proposed Lighting'!AT227,0))</f>
        <v>0</v>
      </c>
      <c r="T241" s="997">
        <f>'Proposed Lighting'!X227</f>
        <v>0</v>
      </c>
      <c r="U241" s="998"/>
      <c r="V241" s="998"/>
      <c r="W241" s="1378">
        <f>IF('Proposed Lighting'!AF227=4,"WS",IF('Proposed Lighting'!AF227=5,"CM",IF('Proposed Lighting'!AF227=1.6,"PHOT",IF('Proposed Lighting'!AF227=1.5,"FM",IF('Proposed Lighting'!CT227=0.5,"LED-MS",IF('Proposed Lighting'!CB227&gt;1,"Non-S",IF('Proposed Lighting'!CT227=0.6,"LED-SS",IF('Proposed Lighting'!CT227=2,"LED-NW",IF('Proposed Lighting'!CT227=3,"LLLC",0)))))))))</f>
        <v>0</v>
      </c>
      <c r="X241" s="1293">
        <f>'Proposed Lighting'!EE227</f>
        <v>0</v>
      </c>
      <c r="Y241" s="1293">
        <f>'Proposed Lighting'!EF227</f>
        <v>0</v>
      </c>
    </row>
    <row r="242" spans="1:25" ht="50.1" customHeight="1">
      <c r="A242" s="1290">
        <v>220</v>
      </c>
      <c r="B242" s="1291">
        <f>'Proposed Lighting'!B228</f>
        <v>0</v>
      </c>
      <c r="C242" s="1291">
        <f>IF('Proposed Lighting'!M228="Sch 1","Sch 1",IF('Proposed Lighting'!M228="Sch 1-C", "Sch 1-C",IF('Proposed Lighting'!M228="Sch 2","Sch 2",IF('Proposed Lighting'!M228="Sch 2-C","Sch 2-C",IF('Proposed Lighting'!M228="Sch 3","Sch 3",IF('Proposed Lighting'!M228="Sch 3-C", "Sch 3-C",IF('Proposed Lighting'!M228="E", "E",IF('Proposed Lighting'!M228="E-C", "E-C",IF('Proposed Lighting'!M228="Dusk to Dawn","Sch D-D",IF('Proposed Lighting'!M228="Dusk to Dawn-C", "Sch DD-C",IF('Proposed Lighting'!M228="Seasonal", "SEA",IF('Proposed Lighting'!M228="Seasonal-C", "SEA-C",0))))))))))))</f>
        <v>0</v>
      </c>
      <c r="D242" s="1292">
        <f>'Proposed Lighting'!F228</f>
        <v>0</v>
      </c>
      <c r="E242" s="1293">
        <f>'Proposed Lighting'!N228</f>
        <v>0</v>
      </c>
      <c r="F242" s="996"/>
      <c r="G242" s="1294">
        <f>'Proposed Lighting'!K228</f>
        <v>0</v>
      </c>
      <c r="H242" s="1295">
        <f>IF('Proposed Lighting'!P228&gt;0.2,'Proposed Lighting'!P228,0)</f>
        <v>0</v>
      </c>
      <c r="I242" s="995">
        <f>'Proposed Lighting'!J228</f>
        <v>0</v>
      </c>
      <c r="J242" s="996"/>
      <c r="K242" s="996"/>
      <c r="L242" s="996"/>
      <c r="M242" s="996"/>
      <c r="N242" s="1005"/>
      <c r="O242" s="1296" t="str">
        <f>'Proposed Lighting'!Z228&amp;", "&amp;'Proposed Lighting'!EK228</f>
        <v xml:space="preserve">, </v>
      </c>
      <c r="P242" s="1292">
        <f>'Proposed Lighting'!T228</f>
        <v>0</v>
      </c>
      <c r="Q242" s="1293">
        <f>'Proposed Lighting'!AA228</f>
        <v>0</v>
      </c>
      <c r="R242" s="996"/>
      <c r="S242" s="1297">
        <f>IF('Proposed Lighting'!AR228=0,0,IF('Proposed Lighting'!AT228&gt;0.2,'Proposed Lighting'!AT228,0))</f>
        <v>0</v>
      </c>
      <c r="T242" s="997">
        <f>'Proposed Lighting'!X228</f>
        <v>0</v>
      </c>
      <c r="U242" s="998"/>
      <c r="V242" s="998"/>
      <c r="W242" s="1378">
        <f>IF('Proposed Lighting'!AF228=4,"WS",IF('Proposed Lighting'!AF228=5,"CM",IF('Proposed Lighting'!AF228=1.6,"PHOT",IF('Proposed Lighting'!AF228=1.5,"FM",IF('Proposed Lighting'!CT228=0.5,"LED-MS",IF('Proposed Lighting'!CB228&gt;1,"Non-S",IF('Proposed Lighting'!CT228=0.6,"LED-SS",IF('Proposed Lighting'!CT228=2,"LED-NW",IF('Proposed Lighting'!CT228=3,"LLLC",0)))))))))</f>
        <v>0</v>
      </c>
      <c r="X242" s="1293">
        <f>'Proposed Lighting'!EE228</f>
        <v>0</v>
      </c>
      <c r="Y242" s="1293">
        <f>'Proposed Lighting'!EF228</f>
        <v>0</v>
      </c>
    </row>
    <row r="243" spans="1:25" ht="50.1" customHeight="1">
      <c r="A243" s="1290">
        <v>221</v>
      </c>
      <c r="B243" s="1291">
        <f>'Proposed Lighting'!B229</f>
        <v>0</v>
      </c>
      <c r="C243" s="1291">
        <f>IF('Proposed Lighting'!M229="Sch 1","Sch 1",IF('Proposed Lighting'!M229="Sch 1-C", "Sch 1-C",IF('Proposed Lighting'!M229="Sch 2","Sch 2",IF('Proposed Lighting'!M229="Sch 2-C","Sch 2-C",IF('Proposed Lighting'!M229="Sch 3","Sch 3",IF('Proposed Lighting'!M229="Sch 3-C", "Sch 3-C",IF('Proposed Lighting'!M229="E", "E",IF('Proposed Lighting'!M229="E-C", "E-C",IF('Proposed Lighting'!M229="Dusk to Dawn","Sch D-D",IF('Proposed Lighting'!M229="Dusk to Dawn-C", "Sch DD-C",IF('Proposed Lighting'!M229="Seasonal", "SEA",IF('Proposed Lighting'!M229="Seasonal-C", "SEA-C",0))))))))))))</f>
        <v>0</v>
      </c>
      <c r="D243" s="1292">
        <f>'Proposed Lighting'!F229</f>
        <v>0</v>
      </c>
      <c r="E243" s="1293">
        <f>'Proposed Lighting'!N229</f>
        <v>0</v>
      </c>
      <c r="F243" s="996"/>
      <c r="G243" s="1294">
        <f>'Proposed Lighting'!K229</f>
        <v>0</v>
      </c>
      <c r="H243" s="1295">
        <f>IF('Proposed Lighting'!P229&gt;0.2,'Proposed Lighting'!P229,0)</f>
        <v>0</v>
      </c>
      <c r="I243" s="995">
        <f>'Proposed Lighting'!J229</f>
        <v>0</v>
      </c>
      <c r="J243" s="996"/>
      <c r="K243" s="996"/>
      <c r="L243" s="996"/>
      <c r="M243" s="996"/>
      <c r="N243" s="1005"/>
      <c r="O243" s="1296" t="str">
        <f>'Proposed Lighting'!Z229&amp;", "&amp;'Proposed Lighting'!EK229</f>
        <v xml:space="preserve">, </v>
      </c>
      <c r="P243" s="1292">
        <f>'Proposed Lighting'!T229</f>
        <v>0</v>
      </c>
      <c r="Q243" s="1293">
        <f>'Proposed Lighting'!AA229</f>
        <v>0</v>
      </c>
      <c r="R243" s="996"/>
      <c r="S243" s="1297">
        <f>IF('Proposed Lighting'!AR229=0,0,IF('Proposed Lighting'!AT229&gt;0.2,'Proposed Lighting'!AT229,0))</f>
        <v>0</v>
      </c>
      <c r="T243" s="997">
        <f>'Proposed Lighting'!X229</f>
        <v>0</v>
      </c>
      <c r="U243" s="998"/>
      <c r="V243" s="998"/>
      <c r="W243" s="1378">
        <f>IF('Proposed Lighting'!AF229=4,"WS",IF('Proposed Lighting'!AF229=5,"CM",IF('Proposed Lighting'!AF229=1.6,"PHOT",IF('Proposed Lighting'!AF229=1.5,"FM",IF('Proposed Lighting'!CT229=0.5,"LED-MS",IF('Proposed Lighting'!CB229&gt;1,"Non-S",IF('Proposed Lighting'!CT229=0.6,"LED-SS",IF('Proposed Lighting'!CT229=2,"LED-NW",IF('Proposed Lighting'!CT229=3,"LLLC",0)))))))))</f>
        <v>0</v>
      </c>
      <c r="X243" s="1293">
        <f>'Proposed Lighting'!EE229</f>
        <v>0</v>
      </c>
      <c r="Y243" s="1293">
        <f>'Proposed Lighting'!EF229</f>
        <v>0</v>
      </c>
    </row>
    <row r="244" spans="1:25" ht="50.1" customHeight="1">
      <c r="A244" s="1290">
        <v>222</v>
      </c>
      <c r="B244" s="1291">
        <f>'Proposed Lighting'!B230</f>
        <v>0</v>
      </c>
      <c r="C244" s="1291">
        <f>IF('Proposed Lighting'!M230="Sch 1","Sch 1",IF('Proposed Lighting'!M230="Sch 1-C", "Sch 1-C",IF('Proposed Lighting'!M230="Sch 2","Sch 2",IF('Proposed Lighting'!M230="Sch 2-C","Sch 2-C",IF('Proposed Lighting'!M230="Sch 3","Sch 3",IF('Proposed Lighting'!M230="Sch 3-C", "Sch 3-C",IF('Proposed Lighting'!M230="E", "E",IF('Proposed Lighting'!M230="E-C", "E-C",IF('Proposed Lighting'!M230="Dusk to Dawn","Sch D-D",IF('Proposed Lighting'!M230="Dusk to Dawn-C", "Sch DD-C",IF('Proposed Lighting'!M230="Seasonal", "SEA",IF('Proposed Lighting'!M230="Seasonal-C", "SEA-C",0))))))))))))</f>
        <v>0</v>
      </c>
      <c r="D244" s="1292">
        <f>'Proposed Lighting'!F230</f>
        <v>0</v>
      </c>
      <c r="E244" s="1293">
        <f>'Proposed Lighting'!N230</f>
        <v>0</v>
      </c>
      <c r="F244" s="996"/>
      <c r="G244" s="1294">
        <f>'Proposed Lighting'!K230</f>
        <v>0</v>
      </c>
      <c r="H244" s="1295">
        <f>IF('Proposed Lighting'!P230&gt;0.2,'Proposed Lighting'!P230,0)</f>
        <v>0</v>
      </c>
      <c r="I244" s="995">
        <f>'Proposed Lighting'!J230</f>
        <v>0</v>
      </c>
      <c r="J244" s="996"/>
      <c r="K244" s="996"/>
      <c r="L244" s="996"/>
      <c r="M244" s="996"/>
      <c r="N244" s="1005"/>
      <c r="O244" s="1296" t="str">
        <f>'Proposed Lighting'!Z230&amp;", "&amp;'Proposed Lighting'!EK230</f>
        <v xml:space="preserve">, </v>
      </c>
      <c r="P244" s="1292">
        <f>'Proposed Lighting'!T230</f>
        <v>0</v>
      </c>
      <c r="Q244" s="1293">
        <f>'Proposed Lighting'!AA230</f>
        <v>0</v>
      </c>
      <c r="R244" s="996"/>
      <c r="S244" s="1297">
        <f>IF('Proposed Lighting'!AR230=0,0,IF('Proposed Lighting'!AT230&gt;0.2,'Proposed Lighting'!AT230,0))</f>
        <v>0</v>
      </c>
      <c r="T244" s="997">
        <f>'Proposed Lighting'!X230</f>
        <v>0</v>
      </c>
      <c r="U244" s="998"/>
      <c r="V244" s="998"/>
      <c r="W244" s="1378">
        <f>IF('Proposed Lighting'!AF230=4,"WS",IF('Proposed Lighting'!AF230=5,"CM",IF('Proposed Lighting'!AF230=1.6,"PHOT",IF('Proposed Lighting'!AF230=1.5,"FM",IF('Proposed Lighting'!CT230=0.5,"LED-MS",IF('Proposed Lighting'!CB230&gt;1,"Non-S",IF('Proposed Lighting'!CT230=0.6,"LED-SS",IF('Proposed Lighting'!CT230=2,"LED-NW",IF('Proposed Lighting'!CT230=3,"LLLC",0)))))))))</f>
        <v>0</v>
      </c>
      <c r="X244" s="1293">
        <f>'Proposed Lighting'!EE230</f>
        <v>0</v>
      </c>
      <c r="Y244" s="1293">
        <f>'Proposed Lighting'!EF230</f>
        <v>0</v>
      </c>
    </row>
    <row r="245" spans="1:25" ht="50.1" customHeight="1">
      <c r="A245" s="1290">
        <v>223</v>
      </c>
      <c r="B245" s="1291">
        <f>'Proposed Lighting'!B231</f>
        <v>0</v>
      </c>
      <c r="C245" s="1291">
        <f>IF('Proposed Lighting'!M231="Sch 1","Sch 1",IF('Proposed Lighting'!M231="Sch 1-C", "Sch 1-C",IF('Proposed Lighting'!M231="Sch 2","Sch 2",IF('Proposed Lighting'!M231="Sch 2-C","Sch 2-C",IF('Proposed Lighting'!M231="Sch 3","Sch 3",IF('Proposed Lighting'!M231="Sch 3-C", "Sch 3-C",IF('Proposed Lighting'!M231="E", "E",IF('Proposed Lighting'!M231="E-C", "E-C",IF('Proposed Lighting'!M231="Dusk to Dawn","Sch D-D",IF('Proposed Lighting'!M231="Dusk to Dawn-C", "Sch DD-C",IF('Proposed Lighting'!M231="Seasonal", "SEA",IF('Proposed Lighting'!M231="Seasonal-C", "SEA-C",0))))))))))))</f>
        <v>0</v>
      </c>
      <c r="D245" s="1292">
        <f>'Proposed Lighting'!F231</f>
        <v>0</v>
      </c>
      <c r="E245" s="1293">
        <f>'Proposed Lighting'!N231</f>
        <v>0</v>
      </c>
      <c r="F245" s="996"/>
      <c r="G245" s="1294">
        <f>'Proposed Lighting'!K231</f>
        <v>0</v>
      </c>
      <c r="H245" s="1295">
        <f>IF('Proposed Lighting'!P231&gt;0.2,'Proposed Lighting'!P231,0)</f>
        <v>0</v>
      </c>
      <c r="I245" s="995">
        <f>'Proposed Lighting'!J231</f>
        <v>0</v>
      </c>
      <c r="J245" s="996"/>
      <c r="K245" s="996"/>
      <c r="L245" s="996"/>
      <c r="M245" s="996"/>
      <c r="N245" s="1005"/>
      <c r="O245" s="1296" t="str">
        <f>'Proposed Lighting'!Z231&amp;", "&amp;'Proposed Lighting'!EK231</f>
        <v xml:space="preserve">, </v>
      </c>
      <c r="P245" s="1292">
        <f>'Proposed Lighting'!T231</f>
        <v>0</v>
      </c>
      <c r="Q245" s="1293">
        <f>'Proposed Lighting'!AA231</f>
        <v>0</v>
      </c>
      <c r="R245" s="996"/>
      <c r="S245" s="1297">
        <f>IF('Proposed Lighting'!AR231=0,0,IF('Proposed Lighting'!AT231&gt;0.2,'Proposed Lighting'!AT231,0))</f>
        <v>0</v>
      </c>
      <c r="T245" s="997">
        <f>'Proposed Lighting'!X231</f>
        <v>0</v>
      </c>
      <c r="U245" s="998"/>
      <c r="V245" s="998"/>
      <c r="W245" s="1378">
        <f>IF('Proposed Lighting'!AF231=4,"WS",IF('Proposed Lighting'!AF231=5,"CM",IF('Proposed Lighting'!AF231=1.6,"PHOT",IF('Proposed Lighting'!AF231=1.5,"FM",IF('Proposed Lighting'!CT231=0.5,"LED-MS",IF('Proposed Lighting'!CB231&gt;1,"Non-S",IF('Proposed Lighting'!CT231=0.6,"LED-SS",IF('Proposed Lighting'!CT231=2,"LED-NW",IF('Proposed Lighting'!CT231=3,"LLLC",0)))))))))</f>
        <v>0</v>
      </c>
      <c r="X245" s="1293">
        <f>'Proposed Lighting'!EE231</f>
        <v>0</v>
      </c>
      <c r="Y245" s="1293">
        <f>'Proposed Lighting'!EF231</f>
        <v>0</v>
      </c>
    </row>
    <row r="246" spans="1:25" ht="50.1" customHeight="1">
      <c r="A246" s="1290">
        <v>224</v>
      </c>
      <c r="B246" s="1291">
        <f>'Proposed Lighting'!B232</f>
        <v>0</v>
      </c>
      <c r="C246" s="1291">
        <f>IF('Proposed Lighting'!M232="Sch 1","Sch 1",IF('Proposed Lighting'!M232="Sch 1-C", "Sch 1-C",IF('Proposed Lighting'!M232="Sch 2","Sch 2",IF('Proposed Lighting'!M232="Sch 2-C","Sch 2-C",IF('Proposed Lighting'!M232="Sch 3","Sch 3",IF('Proposed Lighting'!M232="Sch 3-C", "Sch 3-C",IF('Proposed Lighting'!M232="E", "E",IF('Proposed Lighting'!M232="E-C", "E-C",IF('Proposed Lighting'!M232="Dusk to Dawn","Sch D-D",IF('Proposed Lighting'!M232="Dusk to Dawn-C", "Sch DD-C",IF('Proposed Lighting'!M232="Seasonal", "SEA",IF('Proposed Lighting'!M232="Seasonal-C", "SEA-C",0))))))))))))</f>
        <v>0</v>
      </c>
      <c r="D246" s="1292">
        <f>'Proposed Lighting'!F232</f>
        <v>0</v>
      </c>
      <c r="E246" s="1293">
        <f>'Proposed Lighting'!N232</f>
        <v>0</v>
      </c>
      <c r="F246" s="996"/>
      <c r="G246" s="1294">
        <f>'Proposed Lighting'!K232</f>
        <v>0</v>
      </c>
      <c r="H246" s="1295">
        <f>IF('Proposed Lighting'!P232&gt;0.2,'Proposed Lighting'!P232,0)</f>
        <v>0</v>
      </c>
      <c r="I246" s="995">
        <f>'Proposed Lighting'!J232</f>
        <v>0</v>
      </c>
      <c r="J246" s="996"/>
      <c r="K246" s="996"/>
      <c r="L246" s="996"/>
      <c r="M246" s="996"/>
      <c r="N246" s="1005"/>
      <c r="O246" s="1296" t="str">
        <f>'Proposed Lighting'!Z232&amp;", "&amp;'Proposed Lighting'!EK232</f>
        <v xml:space="preserve">, </v>
      </c>
      <c r="P246" s="1292">
        <f>'Proposed Lighting'!T232</f>
        <v>0</v>
      </c>
      <c r="Q246" s="1293">
        <f>'Proposed Lighting'!AA232</f>
        <v>0</v>
      </c>
      <c r="R246" s="996"/>
      <c r="S246" s="1297">
        <f>IF('Proposed Lighting'!AR232=0,0,IF('Proposed Lighting'!AT232&gt;0.2,'Proposed Lighting'!AT232,0))</f>
        <v>0</v>
      </c>
      <c r="T246" s="997">
        <f>'Proposed Lighting'!X232</f>
        <v>0</v>
      </c>
      <c r="U246" s="998"/>
      <c r="V246" s="998"/>
      <c r="W246" s="1378">
        <f>IF('Proposed Lighting'!AF232=4,"WS",IF('Proposed Lighting'!AF232=5,"CM",IF('Proposed Lighting'!AF232=1.6,"PHOT",IF('Proposed Lighting'!AF232=1.5,"FM",IF('Proposed Lighting'!CT232=0.5,"LED-MS",IF('Proposed Lighting'!CB232&gt;1,"Non-S",IF('Proposed Lighting'!CT232=0.6,"LED-SS",IF('Proposed Lighting'!CT232=2,"LED-NW",IF('Proposed Lighting'!CT232=3,"LLLC",0)))))))))</f>
        <v>0</v>
      </c>
      <c r="X246" s="1293">
        <f>'Proposed Lighting'!EE232</f>
        <v>0</v>
      </c>
      <c r="Y246" s="1293">
        <f>'Proposed Lighting'!EF232</f>
        <v>0</v>
      </c>
    </row>
    <row r="247" spans="1:25" ht="50.1" customHeight="1">
      <c r="A247" s="1290">
        <v>225</v>
      </c>
      <c r="B247" s="1291">
        <f>'Proposed Lighting'!B233</f>
        <v>0</v>
      </c>
      <c r="C247" s="1291">
        <f>IF('Proposed Lighting'!M233="Sch 1","Sch 1",IF('Proposed Lighting'!M233="Sch 1-C", "Sch 1-C",IF('Proposed Lighting'!M233="Sch 2","Sch 2",IF('Proposed Lighting'!M233="Sch 2-C","Sch 2-C",IF('Proposed Lighting'!M233="Sch 3","Sch 3",IF('Proposed Lighting'!M233="Sch 3-C", "Sch 3-C",IF('Proposed Lighting'!M233="E", "E",IF('Proposed Lighting'!M233="E-C", "E-C",IF('Proposed Lighting'!M233="Dusk to Dawn","Sch D-D",IF('Proposed Lighting'!M233="Dusk to Dawn-C", "Sch DD-C",IF('Proposed Lighting'!M233="Seasonal", "SEA",IF('Proposed Lighting'!M233="Seasonal-C", "SEA-C",0))))))))))))</f>
        <v>0</v>
      </c>
      <c r="D247" s="1292">
        <f>'Proposed Lighting'!F233</f>
        <v>0</v>
      </c>
      <c r="E247" s="1293">
        <f>'Proposed Lighting'!N233</f>
        <v>0</v>
      </c>
      <c r="F247" s="996"/>
      <c r="G247" s="1294">
        <f>'Proposed Lighting'!K233</f>
        <v>0</v>
      </c>
      <c r="H247" s="1295">
        <f>IF('Proposed Lighting'!P233&gt;0.2,'Proposed Lighting'!P233,0)</f>
        <v>0</v>
      </c>
      <c r="I247" s="995">
        <f>'Proposed Lighting'!J233</f>
        <v>0</v>
      </c>
      <c r="J247" s="996"/>
      <c r="K247" s="996"/>
      <c r="L247" s="996"/>
      <c r="M247" s="996"/>
      <c r="N247" s="1005"/>
      <c r="O247" s="1296" t="str">
        <f>'Proposed Lighting'!Z233&amp;", "&amp;'Proposed Lighting'!EK233</f>
        <v xml:space="preserve">, </v>
      </c>
      <c r="P247" s="1292">
        <f>'Proposed Lighting'!T233</f>
        <v>0</v>
      </c>
      <c r="Q247" s="1293">
        <f>'Proposed Lighting'!AA233</f>
        <v>0</v>
      </c>
      <c r="R247" s="996"/>
      <c r="S247" s="1297">
        <f>IF('Proposed Lighting'!AR233=0,0,IF('Proposed Lighting'!AT233&gt;0.2,'Proposed Lighting'!AT233,0))</f>
        <v>0</v>
      </c>
      <c r="T247" s="997">
        <f>'Proposed Lighting'!X233</f>
        <v>0</v>
      </c>
      <c r="U247" s="998"/>
      <c r="V247" s="998"/>
      <c r="W247" s="1378">
        <f>IF('Proposed Lighting'!AF233=4,"WS",IF('Proposed Lighting'!AF233=5,"CM",IF('Proposed Lighting'!AF233=1.6,"PHOT",IF('Proposed Lighting'!AF233=1.5,"FM",IF('Proposed Lighting'!CT233=0.5,"LED-MS",IF('Proposed Lighting'!CB233&gt;1,"Non-S",IF('Proposed Lighting'!CT233=0.6,"LED-SS",IF('Proposed Lighting'!CT233=2,"LED-NW",IF('Proposed Lighting'!CT233=3,"LLLC",0)))))))))</f>
        <v>0</v>
      </c>
      <c r="X247" s="1293">
        <f>'Proposed Lighting'!EE233</f>
        <v>0</v>
      </c>
      <c r="Y247" s="1293">
        <f>'Proposed Lighting'!EF233</f>
        <v>0</v>
      </c>
    </row>
    <row r="248" spans="1:25" ht="50.1" customHeight="1">
      <c r="A248" s="1290">
        <v>226</v>
      </c>
      <c r="B248" s="1291">
        <f>'Proposed Lighting'!B234</f>
        <v>0</v>
      </c>
      <c r="C248" s="1291">
        <f>IF('Proposed Lighting'!M234="Sch 1","Sch 1",IF('Proposed Lighting'!M234="Sch 1-C", "Sch 1-C",IF('Proposed Lighting'!M234="Sch 2","Sch 2",IF('Proposed Lighting'!M234="Sch 2-C","Sch 2-C",IF('Proposed Lighting'!M234="Sch 3","Sch 3",IF('Proposed Lighting'!M234="Sch 3-C", "Sch 3-C",IF('Proposed Lighting'!M234="E", "E",IF('Proposed Lighting'!M234="E-C", "E-C",IF('Proposed Lighting'!M234="Dusk to Dawn","Sch D-D",IF('Proposed Lighting'!M234="Dusk to Dawn-C", "Sch DD-C",IF('Proposed Lighting'!M234="Seasonal", "SEA",IF('Proposed Lighting'!M234="Seasonal-C", "SEA-C",0))))))))))))</f>
        <v>0</v>
      </c>
      <c r="D248" s="1292">
        <f>'Proposed Lighting'!F234</f>
        <v>0</v>
      </c>
      <c r="E248" s="1293">
        <f>'Proposed Lighting'!N234</f>
        <v>0</v>
      </c>
      <c r="F248" s="996"/>
      <c r="G248" s="1294">
        <f>'Proposed Lighting'!K234</f>
        <v>0</v>
      </c>
      <c r="H248" s="1295">
        <f>IF('Proposed Lighting'!P234&gt;0.2,'Proposed Lighting'!P234,0)</f>
        <v>0</v>
      </c>
      <c r="I248" s="995">
        <f>'Proposed Lighting'!J234</f>
        <v>0</v>
      </c>
      <c r="J248" s="996"/>
      <c r="K248" s="996"/>
      <c r="L248" s="996"/>
      <c r="M248" s="996"/>
      <c r="N248" s="1005"/>
      <c r="O248" s="1296" t="str">
        <f>'Proposed Lighting'!Z234&amp;", "&amp;'Proposed Lighting'!EK234</f>
        <v xml:space="preserve">, </v>
      </c>
      <c r="P248" s="1292">
        <f>'Proposed Lighting'!T234</f>
        <v>0</v>
      </c>
      <c r="Q248" s="1293">
        <f>'Proposed Lighting'!AA234</f>
        <v>0</v>
      </c>
      <c r="R248" s="996"/>
      <c r="S248" s="1297">
        <f>IF('Proposed Lighting'!AR234=0,0,IF('Proposed Lighting'!AT234&gt;0.2,'Proposed Lighting'!AT234,0))</f>
        <v>0</v>
      </c>
      <c r="T248" s="997">
        <f>'Proposed Lighting'!X234</f>
        <v>0</v>
      </c>
      <c r="U248" s="998"/>
      <c r="V248" s="998"/>
      <c r="W248" s="1378">
        <f>IF('Proposed Lighting'!AF234=4,"WS",IF('Proposed Lighting'!AF234=5,"CM",IF('Proposed Lighting'!AF234=1.6,"PHOT",IF('Proposed Lighting'!AF234=1.5,"FM",IF('Proposed Lighting'!CT234=0.5,"LED-MS",IF('Proposed Lighting'!CB234&gt;1,"Non-S",IF('Proposed Lighting'!CT234=0.6,"LED-SS",IF('Proposed Lighting'!CT234=2,"LED-NW",IF('Proposed Lighting'!CT234=3,"LLLC",0)))))))))</f>
        <v>0</v>
      </c>
      <c r="X248" s="1293">
        <f>'Proposed Lighting'!EE234</f>
        <v>0</v>
      </c>
      <c r="Y248" s="1293">
        <f>'Proposed Lighting'!EF234</f>
        <v>0</v>
      </c>
    </row>
    <row r="249" spans="1:25" ht="50.1" customHeight="1">
      <c r="A249" s="1290">
        <v>227</v>
      </c>
      <c r="B249" s="1291">
        <f>'Proposed Lighting'!B235</f>
        <v>0</v>
      </c>
      <c r="C249" s="1291">
        <f>IF('Proposed Lighting'!M235="Sch 1","Sch 1",IF('Proposed Lighting'!M235="Sch 1-C", "Sch 1-C",IF('Proposed Lighting'!M235="Sch 2","Sch 2",IF('Proposed Lighting'!M235="Sch 2-C","Sch 2-C",IF('Proposed Lighting'!M235="Sch 3","Sch 3",IF('Proposed Lighting'!M235="Sch 3-C", "Sch 3-C",IF('Proposed Lighting'!M235="E", "E",IF('Proposed Lighting'!M235="E-C", "E-C",IF('Proposed Lighting'!M235="Dusk to Dawn","Sch D-D",IF('Proposed Lighting'!M235="Dusk to Dawn-C", "Sch DD-C",IF('Proposed Lighting'!M235="Seasonal", "SEA",IF('Proposed Lighting'!M235="Seasonal-C", "SEA-C",0))))))))))))</f>
        <v>0</v>
      </c>
      <c r="D249" s="1292">
        <f>'Proposed Lighting'!F235</f>
        <v>0</v>
      </c>
      <c r="E249" s="1293">
        <f>'Proposed Lighting'!N235</f>
        <v>0</v>
      </c>
      <c r="F249" s="996"/>
      <c r="G249" s="1294">
        <f>'Proposed Lighting'!K235</f>
        <v>0</v>
      </c>
      <c r="H249" s="1295">
        <f>IF('Proposed Lighting'!P235&gt;0.2,'Proposed Lighting'!P235,0)</f>
        <v>0</v>
      </c>
      <c r="I249" s="995">
        <f>'Proposed Lighting'!J235</f>
        <v>0</v>
      </c>
      <c r="J249" s="996"/>
      <c r="K249" s="996"/>
      <c r="L249" s="996"/>
      <c r="M249" s="996"/>
      <c r="N249" s="1005"/>
      <c r="O249" s="1296" t="str">
        <f>'Proposed Lighting'!Z235&amp;", "&amp;'Proposed Lighting'!EK235</f>
        <v xml:space="preserve">, </v>
      </c>
      <c r="P249" s="1292">
        <f>'Proposed Lighting'!T235</f>
        <v>0</v>
      </c>
      <c r="Q249" s="1293">
        <f>'Proposed Lighting'!AA235</f>
        <v>0</v>
      </c>
      <c r="R249" s="996"/>
      <c r="S249" s="1297">
        <f>IF('Proposed Lighting'!AR235=0,0,IF('Proposed Lighting'!AT235&gt;0.2,'Proposed Lighting'!AT235,0))</f>
        <v>0</v>
      </c>
      <c r="T249" s="997">
        <f>'Proposed Lighting'!X235</f>
        <v>0</v>
      </c>
      <c r="U249" s="998"/>
      <c r="V249" s="998"/>
      <c r="W249" s="1378">
        <f>IF('Proposed Lighting'!AF235=4,"WS",IF('Proposed Lighting'!AF235=5,"CM",IF('Proposed Lighting'!AF235=1.6,"PHOT",IF('Proposed Lighting'!AF235=1.5,"FM",IF('Proposed Lighting'!CT235=0.5,"LED-MS",IF('Proposed Lighting'!CB235&gt;1,"Non-S",IF('Proposed Lighting'!CT235=0.6,"LED-SS",IF('Proposed Lighting'!CT235=2,"LED-NW",IF('Proposed Lighting'!CT235=3,"LLLC",0)))))))))</f>
        <v>0</v>
      </c>
      <c r="X249" s="1293">
        <f>'Proposed Lighting'!EE235</f>
        <v>0</v>
      </c>
      <c r="Y249" s="1293">
        <f>'Proposed Lighting'!EF235</f>
        <v>0</v>
      </c>
    </row>
    <row r="250" spans="1:25" ht="50.1" customHeight="1">
      <c r="A250" s="1290">
        <v>228</v>
      </c>
      <c r="B250" s="1291">
        <f>'Proposed Lighting'!B236</f>
        <v>0</v>
      </c>
      <c r="C250" s="1291">
        <f>IF('Proposed Lighting'!M236="Sch 1","Sch 1",IF('Proposed Lighting'!M236="Sch 1-C", "Sch 1-C",IF('Proposed Lighting'!M236="Sch 2","Sch 2",IF('Proposed Lighting'!M236="Sch 2-C","Sch 2-C",IF('Proposed Lighting'!M236="Sch 3","Sch 3",IF('Proposed Lighting'!M236="Sch 3-C", "Sch 3-C",IF('Proposed Lighting'!M236="E", "E",IF('Proposed Lighting'!M236="E-C", "E-C",IF('Proposed Lighting'!M236="Dusk to Dawn","Sch D-D",IF('Proposed Lighting'!M236="Dusk to Dawn-C", "Sch DD-C",IF('Proposed Lighting'!M236="Seasonal", "SEA",IF('Proposed Lighting'!M236="Seasonal-C", "SEA-C",0))))))))))))</f>
        <v>0</v>
      </c>
      <c r="D250" s="1292">
        <f>'Proposed Lighting'!F236</f>
        <v>0</v>
      </c>
      <c r="E250" s="1293">
        <f>'Proposed Lighting'!N236</f>
        <v>0</v>
      </c>
      <c r="F250" s="996"/>
      <c r="G250" s="1294">
        <f>'Proposed Lighting'!K236</f>
        <v>0</v>
      </c>
      <c r="H250" s="1295">
        <f>IF('Proposed Lighting'!P236&gt;0.2,'Proposed Lighting'!P236,0)</f>
        <v>0</v>
      </c>
      <c r="I250" s="995">
        <f>'Proposed Lighting'!J236</f>
        <v>0</v>
      </c>
      <c r="J250" s="996"/>
      <c r="K250" s="996"/>
      <c r="L250" s="996"/>
      <c r="M250" s="996"/>
      <c r="N250" s="1005"/>
      <c r="O250" s="1296" t="str">
        <f>'Proposed Lighting'!Z236&amp;", "&amp;'Proposed Lighting'!EK236</f>
        <v xml:space="preserve">, </v>
      </c>
      <c r="P250" s="1292">
        <f>'Proposed Lighting'!T236</f>
        <v>0</v>
      </c>
      <c r="Q250" s="1293">
        <f>'Proposed Lighting'!AA236</f>
        <v>0</v>
      </c>
      <c r="R250" s="996"/>
      <c r="S250" s="1297">
        <f>IF('Proposed Lighting'!AR236=0,0,IF('Proposed Lighting'!AT236&gt;0.2,'Proposed Lighting'!AT236,0))</f>
        <v>0</v>
      </c>
      <c r="T250" s="997">
        <f>'Proposed Lighting'!X236</f>
        <v>0</v>
      </c>
      <c r="U250" s="998"/>
      <c r="V250" s="998"/>
      <c r="W250" s="1378">
        <f>IF('Proposed Lighting'!AF236=4,"WS",IF('Proposed Lighting'!AF236=5,"CM",IF('Proposed Lighting'!AF236=1.6,"PHOT",IF('Proposed Lighting'!AF236=1.5,"FM",IF('Proposed Lighting'!CT236=0.5,"LED-MS",IF('Proposed Lighting'!CB236&gt;1,"Non-S",IF('Proposed Lighting'!CT236=0.6,"LED-SS",IF('Proposed Lighting'!CT236=2,"LED-NW",IF('Proposed Lighting'!CT236=3,"LLLC",0)))))))))</f>
        <v>0</v>
      </c>
      <c r="X250" s="1293">
        <f>'Proposed Lighting'!EE236</f>
        <v>0</v>
      </c>
      <c r="Y250" s="1293">
        <f>'Proposed Lighting'!EF236</f>
        <v>0</v>
      </c>
    </row>
    <row r="251" spans="1:25" ht="50.1" customHeight="1">
      <c r="A251" s="1290">
        <v>229</v>
      </c>
      <c r="B251" s="1291">
        <f>'Proposed Lighting'!B237</f>
        <v>0</v>
      </c>
      <c r="C251" s="1291">
        <f>IF('Proposed Lighting'!M237="Sch 1","Sch 1",IF('Proposed Lighting'!M237="Sch 1-C", "Sch 1-C",IF('Proposed Lighting'!M237="Sch 2","Sch 2",IF('Proposed Lighting'!M237="Sch 2-C","Sch 2-C",IF('Proposed Lighting'!M237="Sch 3","Sch 3",IF('Proposed Lighting'!M237="Sch 3-C", "Sch 3-C",IF('Proposed Lighting'!M237="E", "E",IF('Proposed Lighting'!M237="E-C", "E-C",IF('Proposed Lighting'!M237="Dusk to Dawn","Sch D-D",IF('Proposed Lighting'!M237="Dusk to Dawn-C", "Sch DD-C",IF('Proposed Lighting'!M237="Seasonal", "SEA",IF('Proposed Lighting'!M237="Seasonal-C", "SEA-C",0))))))))))))</f>
        <v>0</v>
      </c>
      <c r="D251" s="1292">
        <f>'Proposed Lighting'!F237</f>
        <v>0</v>
      </c>
      <c r="E251" s="1293">
        <f>'Proposed Lighting'!N237</f>
        <v>0</v>
      </c>
      <c r="F251" s="996"/>
      <c r="G251" s="1294">
        <f>'Proposed Lighting'!K237</f>
        <v>0</v>
      </c>
      <c r="H251" s="1295">
        <f>IF('Proposed Lighting'!P237&gt;0.2,'Proposed Lighting'!P237,0)</f>
        <v>0</v>
      </c>
      <c r="I251" s="995">
        <f>'Proposed Lighting'!J237</f>
        <v>0</v>
      </c>
      <c r="J251" s="996"/>
      <c r="K251" s="996"/>
      <c r="L251" s="996"/>
      <c r="M251" s="996"/>
      <c r="N251" s="1005"/>
      <c r="O251" s="1296" t="str">
        <f>'Proposed Lighting'!Z237&amp;", "&amp;'Proposed Lighting'!EK237</f>
        <v xml:space="preserve">, </v>
      </c>
      <c r="P251" s="1292">
        <f>'Proposed Lighting'!T237</f>
        <v>0</v>
      </c>
      <c r="Q251" s="1293">
        <f>'Proposed Lighting'!AA237</f>
        <v>0</v>
      </c>
      <c r="R251" s="996"/>
      <c r="S251" s="1297">
        <f>IF('Proposed Lighting'!AR237=0,0,IF('Proposed Lighting'!AT237&gt;0.2,'Proposed Lighting'!AT237,0))</f>
        <v>0</v>
      </c>
      <c r="T251" s="997">
        <f>'Proposed Lighting'!X237</f>
        <v>0</v>
      </c>
      <c r="U251" s="998"/>
      <c r="V251" s="998"/>
      <c r="W251" s="1378">
        <f>IF('Proposed Lighting'!AF237=4,"WS",IF('Proposed Lighting'!AF237=5,"CM",IF('Proposed Lighting'!AF237=1.6,"PHOT",IF('Proposed Lighting'!AF237=1.5,"FM",IF('Proposed Lighting'!CT237=0.5,"LED-MS",IF('Proposed Lighting'!CB237&gt;1,"Non-S",IF('Proposed Lighting'!CT237=0.6,"LED-SS",IF('Proposed Lighting'!CT237=2,"LED-NW",IF('Proposed Lighting'!CT237=3,"LLLC",0)))))))))</f>
        <v>0</v>
      </c>
      <c r="X251" s="1293">
        <f>'Proposed Lighting'!EE237</f>
        <v>0</v>
      </c>
      <c r="Y251" s="1293">
        <f>'Proposed Lighting'!EF237</f>
        <v>0</v>
      </c>
    </row>
    <row r="252" spans="1:25" ht="50.1" customHeight="1">
      <c r="A252" s="1290">
        <v>230</v>
      </c>
      <c r="B252" s="1291">
        <f>'Proposed Lighting'!B238</f>
        <v>0</v>
      </c>
      <c r="C252" s="1291">
        <f>IF('Proposed Lighting'!M238="Sch 1","Sch 1",IF('Proposed Lighting'!M238="Sch 1-C", "Sch 1-C",IF('Proposed Lighting'!M238="Sch 2","Sch 2",IF('Proposed Lighting'!M238="Sch 2-C","Sch 2-C",IF('Proposed Lighting'!M238="Sch 3","Sch 3",IF('Proposed Lighting'!M238="Sch 3-C", "Sch 3-C",IF('Proposed Lighting'!M238="E", "E",IF('Proposed Lighting'!M238="E-C", "E-C",IF('Proposed Lighting'!M238="Dusk to Dawn","Sch D-D",IF('Proposed Lighting'!M238="Dusk to Dawn-C", "Sch DD-C",IF('Proposed Lighting'!M238="Seasonal", "SEA",IF('Proposed Lighting'!M238="Seasonal-C", "SEA-C",0))))))))))))</f>
        <v>0</v>
      </c>
      <c r="D252" s="1292">
        <f>'Proposed Lighting'!F238</f>
        <v>0</v>
      </c>
      <c r="E252" s="1293">
        <f>'Proposed Lighting'!N238</f>
        <v>0</v>
      </c>
      <c r="F252" s="996"/>
      <c r="G252" s="1294">
        <f>'Proposed Lighting'!K238</f>
        <v>0</v>
      </c>
      <c r="H252" s="1295">
        <f>IF('Proposed Lighting'!P238&gt;0.2,'Proposed Lighting'!P238,0)</f>
        <v>0</v>
      </c>
      <c r="I252" s="995">
        <f>'Proposed Lighting'!J238</f>
        <v>0</v>
      </c>
      <c r="J252" s="996"/>
      <c r="K252" s="996"/>
      <c r="L252" s="996"/>
      <c r="M252" s="996"/>
      <c r="N252" s="1005"/>
      <c r="O252" s="1296" t="str">
        <f>'Proposed Lighting'!Z238&amp;", "&amp;'Proposed Lighting'!EK238</f>
        <v xml:space="preserve">, </v>
      </c>
      <c r="P252" s="1292">
        <f>'Proposed Lighting'!T238</f>
        <v>0</v>
      </c>
      <c r="Q252" s="1293">
        <f>'Proposed Lighting'!AA238</f>
        <v>0</v>
      </c>
      <c r="R252" s="996"/>
      <c r="S252" s="1297">
        <f>IF('Proposed Lighting'!AR238=0,0,IF('Proposed Lighting'!AT238&gt;0.2,'Proposed Lighting'!AT238,0))</f>
        <v>0</v>
      </c>
      <c r="T252" s="997">
        <f>'Proposed Lighting'!X238</f>
        <v>0</v>
      </c>
      <c r="U252" s="998"/>
      <c r="V252" s="998"/>
      <c r="W252" s="1378">
        <f>IF('Proposed Lighting'!AF238=4,"WS",IF('Proposed Lighting'!AF238=5,"CM",IF('Proposed Lighting'!AF238=1.6,"PHOT",IF('Proposed Lighting'!AF238=1.5,"FM",IF('Proposed Lighting'!CT238=0.5,"LED-MS",IF('Proposed Lighting'!CB238&gt;1,"Non-S",IF('Proposed Lighting'!CT238=0.6,"LED-SS",IF('Proposed Lighting'!CT238=2,"LED-NW",IF('Proposed Lighting'!CT238=3,"LLLC",0)))))))))</f>
        <v>0</v>
      </c>
      <c r="X252" s="1293">
        <f>'Proposed Lighting'!EE238</f>
        <v>0</v>
      </c>
      <c r="Y252" s="1293">
        <f>'Proposed Lighting'!EF238</f>
        <v>0</v>
      </c>
    </row>
    <row r="253" spans="1:25" ht="50.1" customHeight="1">
      <c r="A253" s="1290">
        <v>231</v>
      </c>
      <c r="B253" s="1291">
        <f>'Proposed Lighting'!B239</f>
        <v>0</v>
      </c>
      <c r="C253" s="1291">
        <f>IF('Proposed Lighting'!M239="Sch 1","Sch 1",IF('Proposed Lighting'!M239="Sch 1-C", "Sch 1-C",IF('Proposed Lighting'!M239="Sch 2","Sch 2",IF('Proposed Lighting'!M239="Sch 2-C","Sch 2-C",IF('Proposed Lighting'!M239="Sch 3","Sch 3",IF('Proposed Lighting'!M239="Sch 3-C", "Sch 3-C",IF('Proposed Lighting'!M239="E", "E",IF('Proposed Lighting'!M239="E-C", "E-C",IF('Proposed Lighting'!M239="Dusk to Dawn","Sch D-D",IF('Proposed Lighting'!M239="Dusk to Dawn-C", "Sch DD-C",IF('Proposed Lighting'!M239="Seasonal", "SEA",IF('Proposed Lighting'!M239="Seasonal-C", "SEA-C",0))))))))))))</f>
        <v>0</v>
      </c>
      <c r="D253" s="1292">
        <f>'Proposed Lighting'!F239</f>
        <v>0</v>
      </c>
      <c r="E253" s="1293">
        <f>'Proposed Lighting'!N239</f>
        <v>0</v>
      </c>
      <c r="F253" s="996"/>
      <c r="G253" s="1294">
        <f>'Proposed Lighting'!K239</f>
        <v>0</v>
      </c>
      <c r="H253" s="1295">
        <f>IF('Proposed Lighting'!P239&gt;0.2,'Proposed Lighting'!P239,0)</f>
        <v>0</v>
      </c>
      <c r="I253" s="995">
        <f>'Proposed Lighting'!J239</f>
        <v>0</v>
      </c>
      <c r="J253" s="996"/>
      <c r="K253" s="996"/>
      <c r="L253" s="996"/>
      <c r="M253" s="996"/>
      <c r="N253" s="1005"/>
      <c r="O253" s="1296" t="str">
        <f>'Proposed Lighting'!Z239&amp;", "&amp;'Proposed Lighting'!EK239</f>
        <v xml:space="preserve">, </v>
      </c>
      <c r="P253" s="1292">
        <f>'Proposed Lighting'!T239</f>
        <v>0</v>
      </c>
      <c r="Q253" s="1293">
        <f>'Proposed Lighting'!AA239</f>
        <v>0</v>
      </c>
      <c r="R253" s="996"/>
      <c r="S253" s="1297">
        <f>IF('Proposed Lighting'!AR239=0,0,IF('Proposed Lighting'!AT239&gt;0.2,'Proposed Lighting'!AT239,0))</f>
        <v>0</v>
      </c>
      <c r="T253" s="997">
        <f>'Proposed Lighting'!X239</f>
        <v>0</v>
      </c>
      <c r="U253" s="998"/>
      <c r="V253" s="998"/>
      <c r="W253" s="1378">
        <f>IF('Proposed Lighting'!AF239=4,"WS",IF('Proposed Lighting'!AF239=5,"CM",IF('Proposed Lighting'!AF239=1.6,"PHOT",IF('Proposed Lighting'!AF239=1.5,"FM",IF('Proposed Lighting'!CT239=0.5,"LED-MS",IF('Proposed Lighting'!CB239&gt;1,"Non-S",IF('Proposed Lighting'!CT239=0.6,"LED-SS",IF('Proposed Lighting'!CT239=2,"LED-NW",IF('Proposed Lighting'!CT239=3,"LLLC",0)))))))))</f>
        <v>0</v>
      </c>
      <c r="X253" s="1293">
        <f>'Proposed Lighting'!EE239</f>
        <v>0</v>
      </c>
      <c r="Y253" s="1293">
        <f>'Proposed Lighting'!EF239</f>
        <v>0</v>
      </c>
    </row>
    <row r="254" spans="1:25" ht="50.1" customHeight="1">
      <c r="A254" s="1290">
        <v>232</v>
      </c>
      <c r="B254" s="1291">
        <f>'Proposed Lighting'!B240</f>
        <v>0</v>
      </c>
      <c r="C254" s="1291">
        <f>IF('Proposed Lighting'!M240="Sch 1","Sch 1",IF('Proposed Lighting'!M240="Sch 1-C", "Sch 1-C",IF('Proposed Lighting'!M240="Sch 2","Sch 2",IF('Proposed Lighting'!M240="Sch 2-C","Sch 2-C",IF('Proposed Lighting'!M240="Sch 3","Sch 3",IF('Proposed Lighting'!M240="Sch 3-C", "Sch 3-C",IF('Proposed Lighting'!M240="E", "E",IF('Proposed Lighting'!M240="E-C", "E-C",IF('Proposed Lighting'!M240="Dusk to Dawn","Sch D-D",IF('Proposed Lighting'!M240="Dusk to Dawn-C", "Sch DD-C",IF('Proposed Lighting'!M240="Seasonal", "SEA",IF('Proposed Lighting'!M240="Seasonal-C", "SEA-C",0))))))))))))</f>
        <v>0</v>
      </c>
      <c r="D254" s="1292">
        <f>'Proposed Lighting'!F240</f>
        <v>0</v>
      </c>
      <c r="E254" s="1293">
        <f>'Proposed Lighting'!N240</f>
        <v>0</v>
      </c>
      <c r="F254" s="996"/>
      <c r="G254" s="1294">
        <f>'Proposed Lighting'!K240</f>
        <v>0</v>
      </c>
      <c r="H254" s="1295">
        <f>IF('Proposed Lighting'!P240&gt;0.2,'Proposed Lighting'!P240,0)</f>
        <v>0</v>
      </c>
      <c r="I254" s="995">
        <f>'Proposed Lighting'!J240</f>
        <v>0</v>
      </c>
      <c r="J254" s="996"/>
      <c r="K254" s="996"/>
      <c r="L254" s="996"/>
      <c r="M254" s="996"/>
      <c r="N254" s="1005"/>
      <c r="O254" s="1296" t="str">
        <f>'Proposed Lighting'!Z240&amp;", "&amp;'Proposed Lighting'!EK240</f>
        <v xml:space="preserve">, </v>
      </c>
      <c r="P254" s="1292">
        <f>'Proposed Lighting'!T240</f>
        <v>0</v>
      </c>
      <c r="Q254" s="1293">
        <f>'Proposed Lighting'!AA240</f>
        <v>0</v>
      </c>
      <c r="R254" s="996"/>
      <c r="S254" s="1297">
        <f>IF('Proposed Lighting'!AR240=0,0,IF('Proposed Lighting'!AT240&gt;0.2,'Proposed Lighting'!AT240,0))</f>
        <v>0</v>
      </c>
      <c r="T254" s="997">
        <f>'Proposed Lighting'!X240</f>
        <v>0</v>
      </c>
      <c r="U254" s="998"/>
      <c r="V254" s="998"/>
      <c r="W254" s="1378">
        <f>IF('Proposed Lighting'!AF240=4,"WS",IF('Proposed Lighting'!AF240=5,"CM",IF('Proposed Lighting'!AF240=1.6,"PHOT",IF('Proposed Lighting'!AF240=1.5,"FM",IF('Proposed Lighting'!CT240=0.5,"LED-MS",IF('Proposed Lighting'!CB240&gt;1,"Non-S",IF('Proposed Lighting'!CT240=0.6,"LED-SS",IF('Proposed Lighting'!CT240=2,"LED-NW",IF('Proposed Lighting'!CT240=3,"LLLC",0)))))))))</f>
        <v>0</v>
      </c>
      <c r="X254" s="1293">
        <f>'Proposed Lighting'!EE240</f>
        <v>0</v>
      </c>
      <c r="Y254" s="1293">
        <f>'Proposed Lighting'!EF240</f>
        <v>0</v>
      </c>
    </row>
    <row r="255" spans="1:25" ht="50.1" customHeight="1">
      <c r="A255" s="1290">
        <v>233</v>
      </c>
      <c r="B255" s="1291">
        <f>'Proposed Lighting'!B241</f>
        <v>0</v>
      </c>
      <c r="C255" s="1291">
        <f>IF('Proposed Lighting'!M241="Sch 1","Sch 1",IF('Proposed Lighting'!M241="Sch 1-C", "Sch 1-C",IF('Proposed Lighting'!M241="Sch 2","Sch 2",IF('Proposed Lighting'!M241="Sch 2-C","Sch 2-C",IF('Proposed Lighting'!M241="Sch 3","Sch 3",IF('Proposed Lighting'!M241="Sch 3-C", "Sch 3-C",IF('Proposed Lighting'!M241="E", "E",IF('Proposed Lighting'!M241="E-C", "E-C",IF('Proposed Lighting'!M241="Dusk to Dawn","Sch D-D",IF('Proposed Lighting'!M241="Dusk to Dawn-C", "Sch DD-C",IF('Proposed Lighting'!M241="Seasonal", "SEA",IF('Proposed Lighting'!M241="Seasonal-C", "SEA-C",0))))))))))))</f>
        <v>0</v>
      </c>
      <c r="D255" s="1292">
        <f>'Proposed Lighting'!F241</f>
        <v>0</v>
      </c>
      <c r="E255" s="1293">
        <f>'Proposed Lighting'!N241</f>
        <v>0</v>
      </c>
      <c r="F255" s="996"/>
      <c r="G255" s="1294">
        <f>'Proposed Lighting'!K241</f>
        <v>0</v>
      </c>
      <c r="H255" s="1295">
        <f>IF('Proposed Lighting'!P241&gt;0.2,'Proposed Lighting'!P241,0)</f>
        <v>0</v>
      </c>
      <c r="I255" s="995">
        <f>'Proposed Lighting'!J241</f>
        <v>0</v>
      </c>
      <c r="J255" s="996"/>
      <c r="K255" s="996"/>
      <c r="L255" s="996"/>
      <c r="M255" s="996"/>
      <c r="N255" s="1005"/>
      <c r="O255" s="1296" t="str">
        <f>'Proposed Lighting'!Z241&amp;", "&amp;'Proposed Lighting'!EK241</f>
        <v xml:space="preserve">, </v>
      </c>
      <c r="P255" s="1292">
        <f>'Proposed Lighting'!T241</f>
        <v>0</v>
      </c>
      <c r="Q255" s="1293">
        <f>'Proposed Lighting'!AA241</f>
        <v>0</v>
      </c>
      <c r="R255" s="996"/>
      <c r="S255" s="1297">
        <f>IF('Proposed Lighting'!AR241=0,0,IF('Proposed Lighting'!AT241&gt;0.2,'Proposed Lighting'!AT241,0))</f>
        <v>0</v>
      </c>
      <c r="T255" s="997">
        <f>'Proposed Lighting'!X241</f>
        <v>0</v>
      </c>
      <c r="U255" s="998"/>
      <c r="V255" s="998"/>
      <c r="W255" s="1378">
        <f>IF('Proposed Lighting'!AF241=4,"WS",IF('Proposed Lighting'!AF241=5,"CM",IF('Proposed Lighting'!AF241=1.6,"PHOT",IF('Proposed Lighting'!AF241=1.5,"FM",IF('Proposed Lighting'!CT241=0.5,"LED-MS",IF('Proposed Lighting'!CB241&gt;1,"Non-S",IF('Proposed Lighting'!CT241=0.6,"LED-SS",IF('Proposed Lighting'!CT241=2,"LED-NW",IF('Proposed Lighting'!CT241=3,"LLLC",0)))))))))</f>
        <v>0</v>
      </c>
      <c r="X255" s="1293">
        <f>'Proposed Lighting'!EE241</f>
        <v>0</v>
      </c>
      <c r="Y255" s="1293">
        <f>'Proposed Lighting'!EF241</f>
        <v>0</v>
      </c>
    </row>
    <row r="256" spans="1:25" ht="50.1" customHeight="1">
      <c r="A256" s="1290">
        <v>234</v>
      </c>
      <c r="B256" s="1291">
        <f>'Proposed Lighting'!B242</f>
        <v>0</v>
      </c>
      <c r="C256" s="1291">
        <f>IF('Proposed Lighting'!M242="Sch 1","Sch 1",IF('Proposed Lighting'!M242="Sch 1-C", "Sch 1-C",IF('Proposed Lighting'!M242="Sch 2","Sch 2",IF('Proposed Lighting'!M242="Sch 2-C","Sch 2-C",IF('Proposed Lighting'!M242="Sch 3","Sch 3",IF('Proposed Lighting'!M242="Sch 3-C", "Sch 3-C",IF('Proposed Lighting'!M242="E", "E",IF('Proposed Lighting'!M242="E-C", "E-C",IF('Proposed Lighting'!M242="Dusk to Dawn","Sch D-D",IF('Proposed Lighting'!M242="Dusk to Dawn-C", "Sch DD-C",IF('Proposed Lighting'!M242="Seasonal", "SEA",IF('Proposed Lighting'!M242="Seasonal-C", "SEA-C",0))))))))))))</f>
        <v>0</v>
      </c>
      <c r="D256" s="1292">
        <f>'Proposed Lighting'!F242</f>
        <v>0</v>
      </c>
      <c r="E256" s="1293">
        <f>'Proposed Lighting'!N242</f>
        <v>0</v>
      </c>
      <c r="F256" s="996"/>
      <c r="G256" s="1294">
        <f>'Proposed Lighting'!K242</f>
        <v>0</v>
      </c>
      <c r="H256" s="1295">
        <f>IF('Proposed Lighting'!P242&gt;0.2,'Proposed Lighting'!P242,0)</f>
        <v>0</v>
      </c>
      <c r="I256" s="995">
        <f>'Proposed Lighting'!J242</f>
        <v>0</v>
      </c>
      <c r="J256" s="996"/>
      <c r="K256" s="996"/>
      <c r="L256" s="996"/>
      <c r="M256" s="996"/>
      <c r="N256" s="1005"/>
      <c r="O256" s="1296" t="str">
        <f>'Proposed Lighting'!Z242&amp;", "&amp;'Proposed Lighting'!EK242</f>
        <v xml:space="preserve">, </v>
      </c>
      <c r="P256" s="1292">
        <f>'Proposed Lighting'!T242</f>
        <v>0</v>
      </c>
      <c r="Q256" s="1293">
        <f>'Proposed Lighting'!AA242</f>
        <v>0</v>
      </c>
      <c r="R256" s="996"/>
      <c r="S256" s="1297">
        <f>IF('Proposed Lighting'!AR242=0,0,IF('Proposed Lighting'!AT242&gt;0.2,'Proposed Lighting'!AT242,0))</f>
        <v>0</v>
      </c>
      <c r="T256" s="997">
        <f>'Proposed Lighting'!X242</f>
        <v>0</v>
      </c>
      <c r="U256" s="998"/>
      <c r="V256" s="998"/>
      <c r="W256" s="1378">
        <f>IF('Proposed Lighting'!AF242=4,"WS",IF('Proposed Lighting'!AF242=5,"CM",IF('Proposed Lighting'!AF242=1.6,"PHOT",IF('Proposed Lighting'!AF242=1.5,"FM",IF('Proposed Lighting'!CT242=0.5,"LED-MS",IF('Proposed Lighting'!CB242&gt;1,"Non-S",IF('Proposed Lighting'!CT242=0.6,"LED-SS",IF('Proposed Lighting'!CT242=2,"LED-NW",IF('Proposed Lighting'!CT242=3,"LLLC",0)))))))))</f>
        <v>0</v>
      </c>
      <c r="X256" s="1293">
        <f>'Proposed Lighting'!EE242</f>
        <v>0</v>
      </c>
      <c r="Y256" s="1293">
        <f>'Proposed Lighting'!EF242</f>
        <v>0</v>
      </c>
    </row>
    <row r="257" spans="1:25" ht="50.1" customHeight="1">
      <c r="A257" s="1290">
        <v>235</v>
      </c>
      <c r="B257" s="1291">
        <f>'Proposed Lighting'!B243</f>
        <v>0</v>
      </c>
      <c r="C257" s="1291">
        <f>IF('Proposed Lighting'!M243="Sch 1","Sch 1",IF('Proposed Lighting'!M243="Sch 1-C", "Sch 1-C",IF('Proposed Lighting'!M243="Sch 2","Sch 2",IF('Proposed Lighting'!M243="Sch 2-C","Sch 2-C",IF('Proposed Lighting'!M243="Sch 3","Sch 3",IF('Proposed Lighting'!M243="Sch 3-C", "Sch 3-C",IF('Proposed Lighting'!M243="E", "E",IF('Proposed Lighting'!M243="E-C", "E-C",IF('Proposed Lighting'!M243="Dusk to Dawn","Sch D-D",IF('Proposed Lighting'!M243="Dusk to Dawn-C", "Sch DD-C",IF('Proposed Lighting'!M243="Seasonal", "SEA",IF('Proposed Lighting'!M243="Seasonal-C", "SEA-C",0))))))))))))</f>
        <v>0</v>
      </c>
      <c r="D257" s="1292">
        <f>'Proposed Lighting'!F243</f>
        <v>0</v>
      </c>
      <c r="E257" s="1293">
        <f>'Proposed Lighting'!N243</f>
        <v>0</v>
      </c>
      <c r="F257" s="996"/>
      <c r="G257" s="1294">
        <f>'Proposed Lighting'!K243</f>
        <v>0</v>
      </c>
      <c r="H257" s="1295">
        <f>IF('Proposed Lighting'!P243&gt;0.2,'Proposed Lighting'!P243,0)</f>
        <v>0</v>
      </c>
      <c r="I257" s="995">
        <f>'Proposed Lighting'!J243</f>
        <v>0</v>
      </c>
      <c r="J257" s="996"/>
      <c r="K257" s="996"/>
      <c r="L257" s="996"/>
      <c r="M257" s="996"/>
      <c r="N257" s="1005"/>
      <c r="O257" s="1296" t="str">
        <f>'Proposed Lighting'!Z243&amp;", "&amp;'Proposed Lighting'!EK243</f>
        <v xml:space="preserve">, </v>
      </c>
      <c r="P257" s="1292">
        <f>'Proposed Lighting'!T243</f>
        <v>0</v>
      </c>
      <c r="Q257" s="1293">
        <f>'Proposed Lighting'!AA243</f>
        <v>0</v>
      </c>
      <c r="R257" s="996"/>
      <c r="S257" s="1297">
        <f>IF('Proposed Lighting'!AR243=0,0,IF('Proposed Lighting'!AT243&gt;0.2,'Proposed Lighting'!AT243,0))</f>
        <v>0</v>
      </c>
      <c r="T257" s="997">
        <f>'Proposed Lighting'!X243</f>
        <v>0</v>
      </c>
      <c r="U257" s="998"/>
      <c r="V257" s="998"/>
      <c r="W257" s="1378">
        <f>IF('Proposed Lighting'!AF243=4,"WS",IF('Proposed Lighting'!AF243=5,"CM",IF('Proposed Lighting'!AF243=1.6,"PHOT",IF('Proposed Lighting'!AF243=1.5,"FM",IF('Proposed Lighting'!CT243=0.5,"LED-MS",IF('Proposed Lighting'!CB243&gt;1,"Non-S",IF('Proposed Lighting'!CT243=0.6,"LED-SS",IF('Proposed Lighting'!CT243=2,"LED-NW",IF('Proposed Lighting'!CT243=3,"LLLC",0)))))))))</f>
        <v>0</v>
      </c>
      <c r="X257" s="1293">
        <f>'Proposed Lighting'!EE243</f>
        <v>0</v>
      </c>
      <c r="Y257" s="1293">
        <f>'Proposed Lighting'!EF243</f>
        <v>0</v>
      </c>
    </row>
    <row r="258" spans="1:25" ht="50.1" customHeight="1">
      <c r="A258" s="1290">
        <v>236</v>
      </c>
      <c r="B258" s="1291">
        <f>'Proposed Lighting'!B244</f>
        <v>0</v>
      </c>
      <c r="C258" s="1291">
        <f>IF('Proposed Lighting'!M244="Sch 1","Sch 1",IF('Proposed Lighting'!M244="Sch 1-C", "Sch 1-C",IF('Proposed Lighting'!M244="Sch 2","Sch 2",IF('Proposed Lighting'!M244="Sch 2-C","Sch 2-C",IF('Proposed Lighting'!M244="Sch 3","Sch 3",IF('Proposed Lighting'!M244="Sch 3-C", "Sch 3-C",IF('Proposed Lighting'!M244="E", "E",IF('Proposed Lighting'!M244="E-C", "E-C",IF('Proposed Lighting'!M244="Dusk to Dawn","Sch D-D",IF('Proposed Lighting'!M244="Dusk to Dawn-C", "Sch DD-C",IF('Proposed Lighting'!M244="Seasonal", "SEA",IF('Proposed Lighting'!M244="Seasonal-C", "SEA-C",0))))))))))))</f>
        <v>0</v>
      </c>
      <c r="D258" s="1292">
        <f>'Proposed Lighting'!F244</f>
        <v>0</v>
      </c>
      <c r="E258" s="1293">
        <f>'Proposed Lighting'!N244</f>
        <v>0</v>
      </c>
      <c r="F258" s="996"/>
      <c r="G258" s="1294">
        <f>'Proposed Lighting'!K244</f>
        <v>0</v>
      </c>
      <c r="H258" s="1295">
        <f>IF('Proposed Lighting'!P244&gt;0.2,'Proposed Lighting'!P244,0)</f>
        <v>0</v>
      </c>
      <c r="I258" s="995">
        <f>'Proposed Lighting'!J244</f>
        <v>0</v>
      </c>
      <c r="J258" s="996"/>
      <c r="K258" s="996"/>
      <c r="L258" s="996"/>
      <c r="M258" s="996"/>
      <c r="N258" s="1005"/>
      <c r="O258" s="1296" t="str">
        <f>'Proposed Lighting'!Z244&amp;", "&amp;'Proposed Lighting'!EK244</f>
        <v xml:space="preserve">, </v>
      </c>
      <c r="P258" s="1292">
        <f>'Proposed Lighting'!T244</f>
        <v>0</v>
      </c>
      <c r="Q258" s="1293">
        <f>'Proposed Lighting'!AA244</f>
        <v>0</v>
      </c>
      <c r="R258" s="996"/>
      <c r="S258" s="1297">
        <f>IF('Proposed Lighting'!AR244=0,0,IF('Proposed Lighting'!AT244&gt;0.2,'Proposed Lighting'!AT244,0))</f>
        <v>0</v>
      </c>
      <c r="T258" s="997">
        <f>'Proposed Lighting'!X244</f>
        <v>0</v>
      </c>
      <c r="U258" s="998"/>
      <c r="V258" s="998"/>
      <c r="W258" s="1378">
        <f>IF('Proposed Lighting'!AF244=4,"WS",IF('Proposed Lighting'!AF244=5,"CM",IF('Proposed Lighting'!AF244=1.6,"PHOT",IF('Proposed Lighting'!AF244=1.5,"FM",IF('Proposed Lighting'!CT244=0.5,"LED-MS",IF('Proposed Lighting'!CB244&gt;1,"Non-S",IF('Proposed Lighting'!CT244=0.6,"LED-SS",IF('Proposed Lighting'!CT244=2,"LED-NW",IF('Proposed Lighting'!CT244=3,"LLLC",0)))))))))</f>
        <v>0</v>
      </c>
      <c r="X258" s="1293">
        <f>'Proposed Lighting'!EE244</f>
        <v>0</v>
      </c>
      <c r="Y258" s="1293">
        <f>'Proposed Lighting'!EF244</f>
        <v>0</v>
      </c>
    </row>
    <row r="259" spans="1:25" ht="50.1" customHeight="1">
      <c r="A259" s="1290">
        <v>237</v>
      </c>
      <c r="B259" s="1291">
        <f>'Proposed Lighting'!B245</f>
        <v>0</v>
      </c>
      <c r="C259" s="1291">
        <f>IF('Proposed Lighting'!M245="Sch 1","Sch 1",IF('Proposed Lighting'!M245="Sch 1-C", "Sch 1-C",IF('Proposed Lighting'!M245="Sch 2","Sch 2",IF('Proposed Lighting'!M245="Sch 2-C","Sch 2-C",IF('Proposed Lighting'!M245="Sch 3","Sch 3",IF('Proposed Lighting'!M245="Sch 3-C", "Sch 3-C",IF('Proposed Lighting'!M245="E", "E",IF('Proposed Lighting'!M245="E-C", "E-C",IF('Proposed Lighting'!M245="Dusk to Dawn","Sch D-D",IF('Proposed Lighting'!M245="Dusk to Dawn-C", "Sch DD-C",IF('Proposed Lighting'!M245="Seasonal", "SEA",IF('Proposed Lighting'!M245="Seasonal-C", "SEA-C",0))))))))))))</f>
        <v>0</v>
      </c>
      <c r="D259" s="1292">
        <f>'Proposed Lighting'!F245</f>
        <v>0</v>
      </c>
      <c r="E259" s="1293">
        <f>'Proposed Lighting'!N245</f>
        <v>0</v>
      </c>
      <c r="F259" s="996"/>
      <c r="G259" s="1294">
        <f>'Proposed Lighting'!K245</f>
        <v>0</v>
      </c>
      <c r="H259" s="1295">
        <f>IF('Proposed Lighting'!P245&gt;0.2,'Proposed Lighting'!P245,0)</f>
        <v>0</v>
      </c>
      <c r="I259" s="995">
        <f>'Proposed Lighting'!J245</f>
        <v>0</v>
      </c>
      <c r="J259" s="996"/>
      <c r="K259" s="996"/>
      <c r="L259" s="996"/>
      <c r="M259" s="996"/>
      <c r="N259" s="1005"/>
      <c r="O259" s="1296" t="str">
        <f>'Proposed Lighting'!Z245&amp;", "&amp;'Proposed Lighting'!EK245</f>
        <v xml:space="preserve">, </v>
      </c>
      <c r="P259" s="1292">
        <f>'Proposed Lighting'!T245</f>
        <v>0</v>
      </c>
      <c r="Q259" s="1293">
        <f>'Proposed Lighting'!AA245</f>
        <v>0</v>
      </c>
      <c r="R259" s="996"/>
      <c r="S259" s="1297">
        <f>IF('Proposed Lighting'!AR245=0,0,IF('Proposed Lighting'!AT245&gt;0.2,'Proposed Lighting'!AT245,0))</f>
        <v>0</v>
      </c>
      <c r="T259" s="997">
        <f>'Proposed Lighting'!X245</f>
        <v>0</v>
      </c>
      <c r="U259" s="998"/>
      <c r="V259" s="998"/>
      <c r="W259" s="1378">
        <f>IF('Proposed Lighting'!AF245=4,"WS",IF('Proposed Lighting'!AF245=5,"CM",IF('Proposed Lighting'!AF245=1.6,"PHOT",IF('Proposed Lighting'!AF245=1.5,"FM",IF('Proposed Lighting'!CT245=0.5,"LED-MS",IF('Proposed Lighting'!CB245&gt;1,"Non-S",IF('Proposed Lighting'!CT245=0.6,"LED-SS",IF('Proposed Lighting'!CT245=2,"LED-NW",IF('Proposed Lighting'!CT245=3,"LLLC",0)))))))))</f>
        <v>0</v>
      </c>
      <c r="X259" s="1293">
        <f>'Proposed Lighting'!EE245</f>
        <v>0</v>
      </c>
      <c r="Y259" s="1293">
        <f>'Proposed Lighting'!EF245</f>
        <v>0</v>
      </c>
    </row>
    <row r="260" spans="1:25" ht="50.1" customHeight="1">
      <c r="A260" s="1290">
        <v>238</v>
      </c>
      <c r="B260" s="1291">
        <f>'Proposed Lighting'!B246</f>
        <v>0</v>
      </c>
      <c r="C260" s="1291">
        <f>IF('Proposed Lighting'!M246="Sch 1","Sch 1",IF('Proposed Lighting'!M246="Sch 1-C", "Sch 1-C",IF('Proposed Lighting'!M246="Sch 2","Sch 2",IF('Proposed Lighting'!M246="Sch 2-C","Sch 2-C",IF('Proposed Lighting'!M246="Sch 3","Sch 3",IF('Proposed Lighting'!M246="Sch 3-C", "Sch 3-C",IF('Proposed Lighting'!M246="E", "E",IF('Proposed Lighting'!M246="E-C", "E-C",IF('Proposed Lighting'!M246="Dusk to Dawn","Sch D-D",IF('Proposed Lighting'!M246="Dusk to Dawn-C", "Sch DD-C",IF('Proposed Lighting'!M246="Seasonal", "SEA",IF('Proposed Lighting'!M246="Seasonal-C", "SEA-C",0))))))))))))</f>
        <v>0</v>
      </c>
      <c r="D260" s="1292">
        <f>'Proposed Lighting'!F246</f>
        <v>0</v>
      </c>
      <c r="E260" s="1293">
        <f>'Proposed Lighting'!N246</f>
        <v>0</v>
      </c>
      <c r="F260" s="996"/>
      <c r="G260" s="1294">
        <f>'Proposed Lighting'!K246</f>
        <v>0</v>
      </c>
      <c r="H260" s="1295">
        <f>IF('Proposed Lighting'!P246&gt;0.2,'Proposed Lighting'!P246,0)</f>
        <v>0</v>
      </c>
      <c r="I260" s="995">
        <f>'Proposed Lighting'!J246</f>
        <v>0</v>
      </c>
      <c r="J260" s="996"/>
      <c r="K260" s="996"/>
      <c r="L260" s="996"/>
      <c r="M260" s="996"/>
      <c r="N260" s="1005"/>
      <c r="O260" s="1296" t="str">
        <f>'Proposed Lighting'!Z246&amp;", "&amp;'Proposed Lighting'!EK246</f>
        <v xml:space="preserve">, </v>
      </c>
      <c r="P260" s="1292">
        <f>'Proposed Lighting'!T246</f>
        <v>0</v>
      </c>
      <c r="Q260" s="1293">
        <f>'Proposed Lighting'!AA246</f>
        <v>0</v>
      </c>
      <c r="R260" s="996"/>
      <c r="S260" s="1297">
        <f>IF('Proposed Lighting'!AR246=0,0,IF('Proposed Lighting'!AT246&gt;0.2,'Proposed Lighting'!AT246,0))</f>
        <v>0</v>
      </c>
      <c r="T260" s="997">
        <f>'Proposed Lighting'!X246</f>
        <v>0</v>
      </c>
      <c r="U260" s="998"/>
      <c r="V260" s="998"/>
      <c r="W260" s="1378">
        <f>IF('Proposed Lighting'!AF246=4,"WS",IF('Proposed Lighting'!AF246=5,"CM",IF('Proposed Lighting'!AF246=1.6,"PHOT",IF('Proposed Lighting'!AF246=1.5,"FM",IF('Proposed Lighting'!CT246=0.5,"LED-MS",IF('Proposed Lighting'!CB246&gt;1,"Non-S",IF('Proposed Lighting'!CT246=0.6,"LED-SS",IF('Proposed Lighting'!CT246=2,"LED-NW",IF('Proposed Lighting'!CT246=3,"LLLC",0)))))))))</f>
        <v>0</v>
      </c>
      <c r="X260" s="1293">
        <f>'Proposed Lighting'!EE246</f>
        <v>0</v>
      </c>
      <c r="Y260" s="1293">
        <f>'Proposed Lighting'!EF246</f>
        <v>0</v>
      </c>
    </row>
    <row r="261" spans="1:25" ht="50.1" customHeight="1">
      <c r="A261" s="1290">
        <v>239</v>
      </c>
      <c r="B261" s="1291">
        <f>'Proposed Lighting'!B247</f>
        <v>0</v>
      </c>
      <c r="C261" s="1291">
        <f>IF('Proposed Lighting'!M247="Sch 1","Sch 1",IF('Proposed Lighting'!M247="Sch 1-C", "Sch 1-C",IF('Proposed Lighting'!M247="Sch 2","Sch 2",IF('Proposed Lighting'!M247="Sch 2-C","Sch 2-C",IF('Proposed Lighting'!M247="Sch 3","Sch 3",IF('Proposed Lighting'!M247="Sch 3-C", "Sch 3-C",IF('Proposed Lighting'!M247="E", "E",IF('Proposed Lighting'!M247="E-C", "E-C",IF('Proposed Lighting'!M247="Dusk to Dawn","Sch D-D",IF('Proposed Lighting'!M247="Dusk to Dawn-C", "Sch DD-C",IF('Proposed Lighting'!M247="Seasonal", "SEA",IF('Proposed Lighting'!M247="Seasonal-C", "SEA-C",0))))))))))))</f>
        <v>0</v>
      </c>
      <c r="D261" s="1292">
        <f>'Proposed Lighting'!F247</f>
        <v>0</v>
      </c>
      <c r="E261" s="1293">
        <f>'Proposed Lighting'!N247</f>
        <v>0</v>
      </c>
      <c r="F261" s="996"/>
      <c r="G261" s="1294">
        <f>'Proposed Lighting'!K247</f>
        <v>0</v>
      </c>
      <c r="H261" s="1295">
        <f>IF('Proposed Lighting'!P247&gt;0.2,'Proposed Lighting'!P247,0)</f>
        <v>0</v>
      </c>
      <c r="I261" s="995">
        <f>'Proposed Lighting'!J247</f>
        <v>0</v>
      </c>
      <c r="J261" s="996"/>
      <c r="K261" s="996"/>
      <c r="L261" s="996"/>
      <c r="M261" s="996"/>
      <c r="N261" s="1005"/>
      <c r="O261" s="1296" t="str">
        <f>'Proposed Lighting'!Z247&amp;", "&amp;'Proposed Lighting'!EK247</f>
        <v xml:space="preserve">, </v>
      </c>
      <c r="P261" s="1292">
        <f>'Proposed Lighting'!T247</f>
        <v>0</v>
      </c>
      <c r="Q261" s="1293">
        <f>'Proposed Lighting'!AA247</f>
        <v>0</v>
      </c>
      <c r="R261" s="996"/>
      <c r="S261" s="1297">
        <f>IF('Proposed Lighting'!AR247=0,0,IF('Proposed Lighting'!AT247&gt;0.2,'Proposed Lighting'!AT247,0))</f>
        <v>0</v>
      </c>
      <c r="T261" s="997">
        <f>'Proposed Lighting'!X247</f>
        <v>0</v>
      </c>
      <c r="U261" s="998"/>
      <c r="V261" s="998"/>
      <c r="W261" s="1378">
        <f>IF('Proposed Lighting'!AF247=4,"WS",IF('Proposed Lighting'!AF247=5,"CM",IF('Proposed Lighting'!AF247=1.6,"PHOT",IF('Proposed Lighting'!AF247=1.5,"FM",IF('Proposed Lighting'!CT247=0.5,"LED-MS",IF('Proposed Lighting'!CB247&gt;1,"Non-S",IF('Proposed Lighting'!CT247=0.6,"LED-SS",IF('Proposed Lighting'!CT247=2,"LED-NW",IF('Proposed Lighting'!CT247=3,"LLLC",0)))))))))</f>
        <v>0</v>
      </c>
      <c r="X261" s="1293">
        <f>'Proposed Lighting'!EE247</f>
        <v>0</v>
      </c>
      <c r="Y261" s="1293">
        <f>'Proposed Lighting'!EF247</f>
        <v>0</v>
      </c>
    </row>
    <row r="262" spans="1:25" ht="50.1" customHeight="1">
      <c r="A262" s="1290">
        <v>240</v>
      </c>
      <c r="B262" s="1291">
        <f>'Proposed Lighting'!B248</f>
        <v>0</v>
      </c>
      <c r="C262" s="1291">
        <f>IF('Proposed Lighting'!M248="Sch 1","Sch 1",IF('Proposed Lighting'!M248="Sch 1-C", "Sch 1-C",IF('Proposed Lighting'!M248="Sch 2","Sch 2",IF('Proposed Lighting'!M248="Sch 2-C","Sch 2-C",IF('Proposed Lighting'!M248="Sch 3","Sch 3",IF('Proposed Lighting'!M248="Sch 3-C", "Sch 3-C",IF('Proposed Lighting'!M248="E", "E",IF('Proposed Lighting'!M248="E-C", "E-C",IF('Proposed Lighting'!M248="Dusk to Dawn","Sch D-D",IF('Proposed Lighting'!M248="Dusk to Dawn-C", "Sch DD-C",IF('Proposed Lighting'!M248="Seasonal", "SEA",IF('Proposed Lighting'!M248="Seasonal-C", "SEA-C",0))))))))))))</f>
        <v>0</v>
      </c>
      <c r="D262" s="1292">
        <f>'Proposed Lighting'!F248</f>
        <v>0</v>
      </c>
      <c r="E262" s="1293">
        <f>'Proposed Lighting'!N248</f>
        <v>0</v>
      </c>
      <c r="F262" s="996"/>
      <c r="G262" s="1294">
        <f>'Proposed Lighting'!K248</f>
        <v>0</v>
      </c>
      <c r="H262" s="1295">
        <f>IF('Proposed Lighting'!P248&gt;0.2,'Proposed Lighting'!P248,0)</f>
        <v>0</v>
      </c>
      <c r="I262" s="995">
        <f>'Proposed Lighting'!J248</f>
        <v>0</v>
      </c>
      <c r="J262" s="996"/>
      <c r="K262" s="996"/>
      <c r="L262" s="996"/>
      <c r="M262" s="996"/>
      <c r="N262" s="1005"/>
      <c r="O262" s="1296" t="str">
        <f>'Proposed Lighting'!Z248&amp;", "&amp;'Proposed Lighting'!EK248</f>
        <v xml:space="preserve">, </v>
      </c>
      <c r="P262" s="1292">
        <f>'Proposed Lighting'!T248</f>
        <v>0</v>
      </c>
      <c r="Q262" s="1293">
        <f>'Proposed Lighting'!AA248</f>
        <v>0</v>
      </c>
      <c r="R262" s="996"/>
      <c r="S262" s="1297">
        <f>IF('Proposed Lighting'!AR248=0,0,IF('Proposed Lighting'!AT248&gt;0.2,'Proposed Lighting'!AT248,0))</f>
        <v>0</v>
      </c>
      <c r="T262" s="997">
        <f>'Proposed Lighting'!X248</f>
        <v>0</v>
      </c>
      <c r="U262" s="998"/>
      <c r="V262" s="998"/>
      <c r="W262" s="1378">
        <f>IF('Proposed Lighting'!AF248=4,"WS",IF('Proposed Lighting'!AF248=5,"CM",IF('Proposed Lighting'!AF248=1.6,"PHOT",IF('Proposed Lighting'!AF248=1.5,"FM",IF('Proposed Lighting'!CT248=0.5,"LED-MS",IF('Proposed Lighting'!CB248&gt;1,"Non-S",IF('Proposed Lighting'!CT248=0.6,"LED-SS",IF('Proposed Lighting'!CT248=2,"LED-NW",IF('Proposed Lighting'!CT248=3,"LLLC",0)))))))))</f>
        <v>0</v>
      </c>
      <c r="X262" s="1293">
        <f>'Proposed Lighting'!EE248</f>
        <v>0</v>
      </c>
      <c r="Y262" s="1293">
        <f>'Proposed Lighting'!EF248</f>
        <v>0</v>
      </c>
    </row>
    <row r="263" spans="1:25" ht="50.1" customHeight="1">
      <c r="A263" s="1290">
        <v>241</v>
      </c>
      <c r="B263" s="1291">
        <f>'Proposed Lighting'!B249</f>
        <v>0</v>
      </c>
      <c r="C263" s="1291">
        <f>IF('Proposed Lighting'!M249="Sch 1","Sch 1",IF('Proposed Lighting'!M249="Sch 1-C", "Sch 1-C",IF('Proposed Lighting'!M249="Sch 2","Sch 2",IF('Proposed Lighting'!M249="Sch 2-C","Sch 2-C",IF('Proposed Lighting'!M249="Sch 3","Sch 3",IF('Proposed Lighting'!M249="Sch 3-C", "Sch 3-C",IF('Proposed Lighting'!M249="E", "E",IF('Proposed Lighting'!M249="E-C", "E-C",IF('Proposed Lighting'!M249="Dusk to Dawn","Sch D-D",IF('Proposed Lighting'!M249="Dusk to Dawn-C", "Sch DD-C",IF('Proposed Lighting'!M249="Seasonal", "SEA",IF('Proposed Lighting'!M249="Seasonal-C", "SEA-C",0))))))))))))</f>
        <v>0</v>
      </c>
      <c r="D263" s="1292">
        <f>'Proposed Lighting'!F249</f>
        <v>0</v>
      </c>
      <c r="E263" s="1293">
        <f>'Proposed Lighting'!N249</f>
        <v>0</v>
      </c>
      <c r="F263" s="996"/>
      <c r="G263" s="1294">
        <f>'Proposed Lighting'!K249</f>
        <v>0</v>
      </c>
      <c r="H263" s="1295">
        <f>IF('Proposed Lighting'!P249&gt;0.2,'Proposed Lighting'!P249,0)</f>
        <v>0</v>
      </c>
      <c r="I263" s="995">
        <f>'Proposed Lighting'!J249</f>
        <v>0</v>
      </c>
      <c r="J263" s="996"/>
      <c r="K263" s="996"/>
      <c r="L263" s="996"/>
      <c r="M263" s="996"/>
      <c r="N263" s="1005"/>
      <c r="O263" s="1296" t="str">
        <f>'Proposed Lighting'!Z249&amp;", "&amp;'Proposed Lighting'!EK249</f>
        <v xml:space="preserve">, </v>
      </c>
      <c r="P263" s="1292">
        <f>'Proposed Lighting'!T249</f>
        <v>0</v>
      </c>
      <c r="Q263" s="1293">
        <f>'Proposed Lighting'!AA249</f>
        <v>0</v>
      </c>
      <c r="R263" s="996"/>
      <c r="S263" s="1297">
        <f>IF('Proposed Lighting'!AR249=0,0,IF('Proposed Lighting'!AT249&gt;0.2,'Proposed Lighting'!AT249,0))</f>
        <v>0</v>
      </c>
      <c r="T263" s="997">
        <f>'Proposed Lighting'!X249</f>
        <v>0</v>
      </c>
      <c r="U263" s="998"/>
      <c r="V263" s="998"/>
      <c r="W263" s="1378">
        <f>IF('Proposed Lighting'!AF249=4,"WS",IF('Proposed Lighting'!AF249=5,"CM",IF('Proposed Lighting'!AF249=1.6,"PHOT",IF('Proposed Lighting'!AF249=1.5,"FM",IF('Proposed Lighting'!CT249=0.5,"LED-MS",IF('Proposed Lighting'!CB249&gt;1,"Non-S",IF('Proposed Lighting'!CT249=0.6,"LED-SS",IF('Proposed Lighting'!CT249=2,"LED-NW",IF('Proposed Lighting'!CT249=3,"LLLC",0)))))))))</f>
        <v>0</v>
      </c>
      <c r="X263" s="1293">
        <f>'Proposed Lighting'!EE249</f>
        <v>0</v>
      </c>
      <c r="Y263" s="1293">
        <f>'Proposed Lighting'!EF249</f>
        <v>0</v>
      </c>
    </row>
    <row r="264" spans="1:25" ht="50.1" customHeight="1">
      <c r="A264" s="1290">
        <v>242</v>
      </c>
      <c r="B264" s="1291">
        <f>'Proposed Lighting'!B250</f>
        <v>0</v>
      </c>
      <c r="C264" s="1291">
        <f>IF('Proposed Lighting'!M250="Sch 1","Sch 1",IF('Proposed Lighting'!M250="Sch 1-C", "Sch 1-C",IF('Proposed Lighting'!M250="Sch 2","Sch 2",IF('Proposed Lighting'!M250="Sch 2-C","Sch 2-C",IF('Proposed Lighting'!M250="Sch 3","Sch 3",IF('Proposed Lighting'!M250="Sch 3-C", "Sch 3-C",IF('Proposed Lighting'!M250="E", "E",IF('Proposed Lighting'!M250="E-C", "E-C",IF('Proposed Lighting'!M250="Dusk to Dawn","Sch D-D",IF('Proposed Lighting'!M250="Dusk to Dawn-C", "Sch DD-C",IF('Proposed Lighting'!M250="Seasonal", "SEA",IF('Proposed Lighting'!M250="Seasonal-C", "SEA-C",0))))))))))))</f>
        <v>0</v>
      </c>
      <c r="D264" s="1292">
        <f>'Proposed Lighting'!F250</f>
        <v>0</v>
      </c>
      <c r="E264" s="1293">
        <f>'Proposed Lighting'!N250</f>
        <v>0</v>
      </c>
      <c r="F264" s="996"/>
      <c r="G264" s="1294">
        <f>'Proposed Lighting'!K250</f>
        <v>0</v>
      </c>
      <c r="H264" s="1295">
        <f>IF('Proposed Lighting'!P250&gt;0.2,'Proposed Lighting'!P250,0)</f>
        <v>0</v>
      </c>
      <c r="I264" s="995">
        <f>'Proposed Lighting'!J250</f>
        <v>0</v>
      </c>
      <c r="J264" s="996"/>
      <c r="K264" s="996"/>
      <c r="L264" s="996"/>
      <c r="M264" s="996"/>
      <c r="N264" s="1005"/>
      <c r="O264" s="1296" t="str">
        <f>'Proposed Lighting'!Z250&amp;", "&amp;'Proposed Lighting'!EK250</f>
        <v xml:space="preserve">, </v>
      </c>
      <c r="P264" s="1292">
        <f>'Proposed Lighting'!T250</f>
        <v>0</v>
      </c>
      <c r="Q264" s="1293">
        <f>'Proposed Lighting'!AA250</f>
        <v>0</v>
      </c>
      <c r="R264" s="996"/>
      <c r="S264" s="1297">
        <f>IF('Proposed Lighting'!AR250=0,0,IF('Proposed Lighting'!AT250&gt;0.2,'Proposed Lighting'!AT250,0))</f>
        <v>0</v>
      </c>
      <c r="T264" s="997">
        <f>'Proposed Lighting'!X250</f>
        <v>0</v>
      </c>
      <c r="U264" s="998"/>
      <c r="V264" s="998"/>
      <c r="W264" s="1378">
        <f>IF('Proposed Lighting'!AF250=4,"WS",IF('Proposed Lighting'!AF250=5,"CM",IF('Proposed Lighting'!AF250=1.6,"PHOT",IF('Proposed Lighting'!AF250=1.5,"FM",IF('Proposed Lighting'!CT250=0.5,"LED-MS",IF('Proposed Lighting'!CB250&gt;1,"Non-S",IF('Proposed Lighting'!CT250=0.6,"LED-SS",IF('Proposed Lighting'!CT250=2,"LED-NW",IF('Proposed Lighting'!CT250=3,"LLLC",0)))))))))</f>
        <v>0</v>
      </c>
      <c r="X264" s="1293">
        <f>'Proposed Lighting'!EE250</f>
        <v>0</v>
      </c>
      <c r="Y264" s="1293">
        <f>'Proposed Lighting'!EF250</f>
        <v>0</v>
      </c>
    </row>
    <row r="265" spans="1:25" ht="50.1" customHeight="1">
      <c r="A265" s="1290">
        <v>243</v>
      </c>
      <c r="B265" s="1291">
        <f>'Proposed Lighting'!B251</f>
        <v>0</v>
      </c>
      <c r="C265" s="1291">
        <f>IF('Proposed Lighting'!M251="Sch 1","Sch 1",IF('Proposed Lighting'!M251="Sch 1-C", "Sch 1-C",IF('Proposed Lighting'!M251="Sch 2","Sch 2",IF('Proposed Lighting'!M251="Sch 2-C","Sch 2-C",IF('Proposed Lighting'!M251="Sch 3","Sch 3",IF('Proposed Lighting'!M251="Sch 3-C", "Sch 3-C",IF('Proposed Lighting'!M251="E", "E",IF('Proposed Lighting'!M251="E-C", "E-C",IF('Proposed Lighting'!M251="Dusk to Dawn","Sch D-D",IF('Proposed Lighting'!M251="Dusk to Dawn-C", "Sch DD-C",IF('Proposed Lighting'!M251="Seasonal", "SEA",IF('Proposed Lighting'!M251="Seasonal-C", "SEA-C",0))))))))))))</f>
        <v>0</v>
      </c>
      <c r="D265" s="1292">
        <f>'Proposed Lighting'!F251</f>
        <v>0</v>
      </c>
      <c r="E265" s="1293">
        <f>'Proposed Lighting'!N251</f>
        <v>0</v>
      </c>
      <c r="F265" s="996"/>
      <c r="G265" s="1294">
        <f>'Proposed Lighting'!K251</f>
        <v>0</v>
      </c>
      <c r="H265" s="1295">
        <f>IF('Proposed Lighting'!P251&gt;0.2,'Proposed Lighting'!P251,0)</f>
        <v>0</v>
      </c>
      <c r="I265" s="995">
        <f>'Proposed Lighting'!J251</f>
        <v>0</v>
      </c>
      <c r="J265" s="996"/>
      <c r="K265" s="996"/>
      <c r="L265" s="996"/>
      <c r="M265" s="996"/>
      <c r="N265" s="1005"/>
      <c r="O265" s="1296" t="str">
        <f>'Proposed Lighting'!Z251&amp;", "&amp;'Proposed Lighting'!EK251</f>
        <v xml:space="preserve">, </v>
      </c>
      <c r="P265" s="1292">
        <f>'Proposed Lighting'!T251</f>
        <v>0</v>
      </c>
      <c r="Q265" s="1293">
        <f>'Proposed Lighting'!AA251</f>
        <v>0</v>
      </c>
      <c r="R265" s="996"/>
      <c r="S265" s="1297">
        <f>IF('Proposed Lighting'!AR251=0,0,IF('Proposed Lighting'!AT251&gt;0.2,'Proposed Lighting'!AT251,0))</f>
        <v>0</v>
      </c>
      <c r="T265" s="997">
        <f>'Proposed Lighting'!X251</f>
        <v>0</v>
      </c>
      <c r="U265" s="998"/>
      <c r="V265" s="998"/>
      <c r="W265" s="1378">
        <f>IF('Proposed Lighting'!AF251=4,"WS",IF('Proposed Lighting'!AF251=5,"CM",IF('Proposed Lighting'!AF251=1.6,"PHOT",IF('Proposed Lighting'!AF251=1.5,"FM",IF('Proposed Lighting'!CT251=0.5,"LED-MS",IF('Proposed Lighting'!CB251&gt;1,"Non-S",IF('Proposed Lighting'!CT251=0.6,"LED-SS",IF('Proposed Lighting'!CT251=2,"LED-NW",IF('Proposed Lighting'!CT251=3,"LLLC",0)))))))))</f>
        <v>0</v>
      </c>
      <c r="X265" s="1293">
        <f>'Proposed Lighting'!EE251</f>
        <v>0</v>
      </c>
      <c r="Y265" s="1293">
        <f>'Proposed Lighting'!EF251</f>
        <v>0</v>
      </c>
    </row>
    <row r="266" spans="1:25" ht="50.1" customHeight="1">
      <c r="A266" s="1290">
        <v>244</v>
      </c>
      <c r="B266" s="1291">
        <f>'Proposed Lighting'!B252</f>
        <v>0</v>
      </c>
      <c r="C266" s="1291">
        <f>IF('Proposed Lighting'!M252="Sch 1","Sch 1",IF('Proposed Lighting'!M252="Sch 1-C", "Sch 1-C",IF('Proposed Lighting'!M252="Sch 2","Sch 2",IF('Proposed Lighting'!M252="Sch 2-C","Sch 2-C",IF('Proposed Lighting'!M252="Sch 3","Sch 3",IF('Proposed Lighting'!M252="Sch 3-C", "Sch 3-C",IF('Proposed Lighting'!M252="E", "E",IF('Proposed Lighting'!M252="E-C", "E-C",IF('Proposed Lighting'!M252="Dusk to Dawn","Sch D-D",IF('Proposed Lighting'!M252="Dusk to Dawn-C", "Sch DD-C",IF('Proposed Lighting'!M252="Seasonal", "SEA",IF('Proposed Lighting'!M252="Seasonal-C", "SEA-C",0))))))))))))</f>
        <v>0</v>
      </c>
      <c r="D266" s="1292">
        <f>'Proposed Lighting'!F252</f>
        <v>0</v>
      </c>
      <c r="E266" s="1293">
        <f>'Proposed Lighting'!N252</f>
        <v>0</v>
      </c>
      <c r="F266" s="996"/>
      <c r="G266" s="1294">
        <f>'Proposed Lighting'!K252</f>
        <v>0</v>
      </c>
      <c r="H266" s="1295">
        <f>IF('Proposed Lighting'!P252&gt;0.2,'Proposed Lighting'!P252,0)</f>
        <v>0</v>
      </c>
      <c r="I266" s="995">
        <f>'Proposed Lighting'!J252</f>
        <v>0</v>
      </c>
      <c r="J266" s="996"/>
      <c r="K266" s="996"/>
      <c r="L266" s="996"/>
      <c r="M266" s="996"/>
      <c r="N266" s="1005"/>
      <c r="O266" s="1296" t="str">
        <f>'Proposed Lighting'!Z252&amp;", "&amp;'Proposed Lighting'!EK252</f>
        <v xml:space="preserve">, </v>
      </c>
      <c r="P266" s="1292">
        <f>'Proposed Lighting'!T252</f>
        <v>0</v>
      </c>
      <c r="Q266" s="1293">
        <f>'Proposed Lighting'!AA252</f>
        <v>0</v>
      </c>
      <c r="R266" s="996"/>
      <c r="S266" s="1297">
        <f>IF('Proposed Lighting'!AR252=0,0,IF('Proposed Lighting'!AT252&gt;0.2,'Proposed Lighting'!AT252,0))</f>
        <v>0</v>
      </c>
      <c r="T266" s="997">
        <f>'Proposed Lighting'!X252</f>
        <v>0</v>
      </c>
      <c r="U266" s="998"/>
      <c r="V266" s="998"/>
      <c r="W266" s="1378">
        <f>IF('Proposed Lighting'!AF252=4,"WS",IF('Proposed Lighting'!AF252=5,"CM",IF('Proposed Lighting'!AF252=1.6,"PHOT",IF('Proposed Lighting'!AF252=1.5,"FM",IF('Proposed Lighting'!CT252=0.5,"LED-MS",IF('Proposed Lighting'!CB252&gt;1,"Non-S",IF('Proposed Lighting'!CT252=0.6,"LED-SS",IF('Proposed Lighting'!CT252=2,"LED-NW",IF('Proposed Lighting'!CT252=3,"LLLC",0)))))))))</f>
        <v>0</v>
      </c>
      <c r="X266" s="1293">
        <f>'Proposed Lighting'!EE252</f>
        <v>0</v>
      </c>
      <c r="Y266" s="1293">
        <f>'Proposed Lighting'!EF252</f>
        <v>0</v>
      </c>
    </row>
    <row r="267" spans="1:25" ht="50.1" customHeight="1">
      <c r="A267" s="1290">
        <v>245</v>
      </c>
      <c r="B267" s="1291">
        <f>'Proposed Lighting'!B253</f>
        <v>0</v>
      </c>
      <c r="C267" s="1291">
        <f>IF('Proposed Lighting'!M253="Sch 1","Sch 1",IF('Proposed Lighting'!M253="Sch 1-C", "Sch 1-C",IF('Proposed Lighting'!M253="Sch 2","Sch 2",IF('Proposed Lighting'!M253="Sch 2-C","Sch 2-C",IF('Proposed Lighting'!M253="Sch 3","Sch 3",IF('Proposed Lighting'!M253="Sch 3-C", "Sch 3-C",IF('Proposed Lighting'!M253="E", "E",IF('Proposed Lighting'!M253="E-C", "E-C",IF('Proposed Lighting'!M253="Dusk to Dawn","Sch D-D",IF('Proposed Lighting'!M253="Dusk to Dawn-C", "Sch DD-C",IF('Proposed Lighting'!M253="Seasonal", "SEA",IF('Proposed Lighting'!M253="Seasonal-C", "SEA-C",0))))))))))))</f>
        <v>0</v>
      </c>
      <c r="D267" s="1292">
        <f>'Proposed Lighting'!F253</f>
        <v>0</v>
      </c>
      <c r="E267" s="1293">
        <f>'Proposed Lighting'!N253</f>
        <v>0</v>
      </c>
      <c r="F267" s="996"/>
      <c r="G267" s="1294">
        <f>'Proposed Lighting'!K253</f>
        <v>0</v>
      </c>
      <c r="H267" s="1295">
        <f>IF('Proposed Lighting'!P253&gt;0.2,'Proposed Lighting'!P253,0)</f>
        <v>0</v>
      </c>
      <c r="I267" s="995">
        <f>'Proposed Lighting'!J253</f>
        <v>0</v>
      </c>
      <c r="J267" s="996"/>
      <c r="K267" s="996"/>
      <c r="L267" s="996"/>
      <c r="M267" s="996"/>
      <c r="N267" s="1005"/>
      <c r="O267" s="1296" t="str">
        <f>'Proposed Lighting'!Z253&amp;", "&amp;'Proposed Lighting'!EK253</f>
        <v xml:space="preserve">, </v>
      </c>
      <c r="P267" s="1292">
        <f>'Proposed Lighting'!T253</f>
        <v>0</v>
      </c>
      <c r="Q267" s="1293">
        <f>'Proposed Lighting'!AA253</f>
        <v>0</v>
      </c>
      <c r="R267" s="996"/>
      <c r="S267" s="1297">
        <f>IF('Proposed Lighting'!AR253=0,0,IF('Proposed Lighting'!AT253&gt;0.2,'Proposed Lighting'!AT253,0))</f>
        <v>0</v>
      </c>
      <c r="T267" s="997">
        <f>'Proposed Lighting'!X253</f>
        <v>0</v>
      </c>
      <c r="U267" s="998"/>
      <c r="V267" s="998"/>
      <c r="W267" s="1378">
        <f>IF('Proposed Lighting'!AF253=4,"WS",IF('Proposed Lighting'!AF253=5,"CM",IF('Proposed Lighting'!AF253=1.6,"PHOT",IF('Proposed Lighting'!AF253=1.5,"FM",IF('Proposed Lighting'!CT253=0.5,"LED-MS",IF('Proposed Lighting'!CB253&gt;1,"Non-S",IF('Proposed Lighting'!CT253=0.6,"LED-SS",IF('Proposed Lighting'!CT253=2,"LED-NW",IF('Proposed Lighting'!CT253=3,"LLLC",0)))))))))</f>
        <v>0</v>
      </c>
      <c r="X267" s="1293">
        <f>'Proposed Lighting'!EE253</f>
        <v>0</v>
      </c>
      <c r="Y267" s="1293">
        <f>'Proposed Lighting'!EF253</f>
        <v>0</v>
      </c>
    </row>
    <row r="268" spans="1:25" ht="50.1" customHeight="1">
      <c r="A268" s="1290">
        <v>246</v>
      </c>
      <c r="B268" s="1291">
        <f>'Proposed Lighting'!B254</f>
        <v>0</v>
      </c>
      <c r="C268" s="1291">
        <f>IF('Proposed Lighting'!M254="Sch 1","Sch 1",IF('Proposed Lighting'!M254="Sch 1-C", "Sch 1-C",IF('Proposed Lighting'!M254="Sch 2","Sch 2",IF('Proposed Lighting'!M254="Sch 2-C","Sch 2-C",IF('Proposed Lighting'!M254="Sch 3","Sch 3",IF('Proposed Lighting'!M254="Sch 3-C", "Sch 3-C",IF('Proposed Lighting'!M254="E", "E",IF('Proposed Lighting'!M254="E-C", "E-C",IF('Proposed Lighting'!M254="Dusk to Dawn","Sch D-D",IF('Proposed Lighting'!M254="Dusk to Dawn-C", "Sch DD-C",IF('Proposed Lighting'!M254="Seasonal", "SEA",IF('Proposed Lighting'!M254="Seasonal-C", "SEA-C",0))))))))))))</f>
        <v>0</v>
      </c>
      <c r="D268" s="1292">
        <f>'Proposed Lighting'!F254</f>
        <v>0</v>
      </c>
      <c r="E268" s="1293">
        <f>'Proposed Lighting'!N254</f>
        <v>0</v>
      </c>
      <c r="F268" s="996"/>
      <c r="G268" s="1294">
        <f>'Proposed Lighting'!K254</f>
        <v>0</v>
      </c>
      <c r="H268" s="1295">
        <f>IF('Proposed Lighting'!P254&gt;0.2,'Proposed Lighting'!P254,0)</f>
        <v>0</v>
      </c>
      <c r="I268" s="995">
        <f>'Proposed Lighting'!J254</f>
        <v>0</v>
      </c>
      <c r="J268" s="996"/>
      <c r="K268" s="996"/>
      <c r="L268" s="996"/>
      <c r="M268" s="996"/>
      <c r="N268" s="1005"/>
      <c r="O268" s="1296" t="str">
        <f>'Proposed Lighting'!Z254&amp;", "&amp;'Proposed Lighting'!EK254</f>
        <v xml:space="preserve">, </v>
      </c>
      <c r="P268" s="1292">
        <f>'Proposed Lighting'!T254</f>
        <v>0</v>
      </c>
      <c r="Q268" s="1293">
        <f>'Proposed Lighting'!AA254</f>
        <v>0</v>
      </c>
      <c r="R268" s="996"/>
      <c r="S268" s="1297">
        <f>IF('Proposed Lighting'!AR254=0,0,IF('Proposed Lighting'!AT254&gt;0.2,'Proposed Lighting'!AT254,0))</f>
        <v>0</v>
      </c>
      <c r="T268" s="997">
        <f>'Proposed Lighting'!X254</f>
        <v>0</v>
      </c>
      <c r="U268" s="998"/>
      <c r="V268" s="998"/>
      <c r="W268" s="1378">
        <f>IF('Proposed Lighting'!AF254=4,"WS",IF('Proposed Lighting'!AF254=5,"CM",IF('Proposed Lighting'!AF254=1.6,"PHOT",IF('Proposed Lighting'!AF254=1.5,"FM",IF('Proposed Lighting'!CT254=0.5,"LED-MS",IF('Proposed Lighting'!CB254&gt;1,"Non-S",IF('Proposed Lighting'!CT254=0.6,"LED-SS",IF('Proposed Lighting'!CT254=2,"LED-NW",IF('Proposed Lighting'!CT254=3,"LLLC",0)))))))))</f>
        <v>0</v>
      </c>
      <c r="X268" s="1293">
        <f>'Proposed Lighting'!EE254</f>
        <v>0</v>
      </c>
      <c r="Y268" s="1293">
        <f>'Proposed Lighting'!EF254</f>
        <v>0</v>
      </c>
    </row>
    <row r="269" spans="1:25" ht="50.1" customHeight="1">
      <c r="A269" s="1290">
        <v>247</v>
      </c>
      <c r="B269" s="1291">
        <f>'Proposed Lighting'!B255</f>
        <v>0</v>
      </c>
      <c r="C269" s="1291">
        <f>IF('Proposed Lighting'!M255="Sch 1","Sch 1",IF('Proposed Lighting'!M255="Sch 1-C", "Sch 1-C",IF('Proposed Lighting'!M255="Sch 2","Sch 2",IF('Proposed Lighting'!M255="Sch 2-C","Sch 2-C",IF('Proposed Lighting'!M255="Sch 3","Sch 3",IF('Proposed Lighting'!M255="Sch 3-C", "Sch 3-C",IF('Proposed Lighting'!M255="E", "E",IF('Proposed Lighting'!M255="E-C", "E-C",IF('Proposed Lighting'!M255="Dusk to Dawn","Sch D-D",IF('Proposed Lighting'!M255="Dusk to Dawn-C", "Sch DD-C",IF('Proposed Lighting'!M255="Seasonal", "SEA",IF('Proposed Lighting'!M255="Seasonal-C", "SEA-C",0))))))))))))</f>
        <v>0</v>
      </c>
      <c r="D269" s="1292">
        <f>'Proposed Lighting'!F255</f>
        <v>0</v>
      </c>
      <c r="E269" s="1293">
        <f>'Proposed Lighting'!N255</f>
        <v>0</v>
      </c>
      <c r="F269" s="996"/>
      <c r="G269" s="1294">
        <f>'Proposed Lighting'!K255</f>
        <v>0</v>
      </c>
      <c r="H269" s="1295">
        <f>IF('Proposed Lighting'!P255&gt;0.2,'Proposed Lighting'!P255,0)</f>
        <v>0</v>
      </c>
      <c r="I269" s="995">
        <f>'Proposed Lighting'!J255</f>
        <v>0</v>
      </c>
      <c r="J269" s="996"/>
      <c r="K269" s="996"/>
      <c r="L269" s="996"/>
      <c r="M269" s="996"/>
      <c r="N269" s="1005"/>
      <c r="O269" s="1296" t="str">
        <f>'Proposed Lighting'!Z255&amp;", "&amp;'Proposed Lighting'!EK255</f>
        <v xml:space="preserve">, </v>
      </c>
      <c r="P269" s="1292">
        <f>'Proposed Lighting'!T255</f>
        <v>0</v>
      </c>
      <c r="Q269" s="1293">
        <f>'Proposed Lighting'!AA255</f>
        <v>0</v>
      </c>
      <c r="R269" s="996"/>
      <c r="S269" s="1297">
        <f>IF('Proposed Lighting'!AR255=0,0,IF('Proposed Lighting'!AT255&gt;0.2,'Proposed Lighting'!AT255,0))</f>
        <v>0</v>
      </c>
      <c r="T269" s="997">
        <f>'Proposed Lighting'!X255</f>
        <v>0</v>
      </c>
      <c r="U269" s="998"/>
      <c r="V269" s="998"/>
      <c r="W269" s="1378">
        <f>IF('Proposed Lighting'!AF255=4,"WS",IF('Proposed Lighting'!AF255=5,"CM",IF('Proposed Lighting'!AF255=1.6,"PHOT",IF('Proposed Lighting'!AF255=1.5,"FM",IF('Proposed Lighting'!CT255=0.5,"LED-MS",IF('Proposed Lighting'!CB255&gt;1,"Non-S",IF('Proposed Lighting'!CT255=0.6,"LED-SS",IF('Proposed Lighting'!CT255=2,"LED-NW",IF('Proposed Lighting'!CT255=3,"LLLC",0)))))))))</f>
        <v>0</v>
      </c>
      <c r="X269" s="1293">
        <f>'Proposed Lighting'!EE255</f>
        <v>0</v>
      </c>
      <c r="Y269" s="1293">
        <f>'Proposed Lighting'!EF255</f>
        <v>0</v>
      </c>
    </row>
    <row r="270" spans="1:25" ht="50.1" customHeight="1">
      <c r="A270" s="1290">
        <v>248</v>
      </c>
      <c r="B270" s="1291">
        <f>'Proposed Lighting'!B256</f>
        <v>0</v>
      </c>
      <c r="C270" s="1291">
        <f>IF('Proposed Lighting'!M256="Sch 1","Sch 1",IF('Proposed Lighting'!M256="Sch 1-C", "Sch 1-C",IF('Proposed Lighting'!M256="Sch 2","Sch 2",IF('Proposed Lighting'!M256="Sch 2-C","Sch 2-C",IF('Proposed Lighting'!M256="Sch 3","Sch 3",IF('Proposed Lighting'!M256="Sch 3-C", "Sch 3-C",IF('Proposed Lighting'!M256="E", "E",IF('Proposed Lighting'!M256="E-C", "E-C",IF('Proposed Lighting'!M256="Dusk to Dawn","Sch D-D",IF('Proposed Lighting'!M256="Dusk to Dawn-C", "Sch DD-C",IF('Proposed Lighting'!M256="Seasonal", "SEA",IF('Proposed Lighting'!M256="Seasonal-C", "SEA-C",0))))))))))))</f>
        <v>0</v>
      </c>
      <c r="D270" s="1292">
        <f>'Proposed Lighting'!F256</f>
        <v>0</v>
      </c>
      <c r="E270" s="1293">
        <f>'Proposed Lighting'!N256</f>
        <v>0</v>
      </c>
      <c r="F270" s="996"/>
      <c r="G270" s="1294">
        <f>'Proposed Lighting'!K256</f>
        <v>0</v>
      </c>
      <c r="H270" s="1295">
        <f>IF('Proposed Lighting'!P256&gt;0.2,'Proposed Lighting'!P256,0)</f>
        <v>0</v>
      </c>
      <c r="I270" s="995">
        <f>'Proposed Lighting'!J256</f>
        <v>0</v>
      </c>
      <c r="J270" s="996"/>
      <c r="K270" s="996"/>
      <c r="L270" s="996"/>
      <c r="M270" s="996"/>
      <c r="N270" s="1005"/>
      <c r="O270" s="1296" t="str">
        <f>'Proposed Lighting'!Z256&amp;", "&amp;'Proposed Lighting'!EK256</f>
        <v xml:space="preserve">, </v>
      </c>
      <c r="P270" s="1292">
        <f>'Proposed Lighting'!T256</f>
        <v>0</v>
      </c>
      <c r="Q270" s="1293">
        <f>'Proposed Lighting'!AA256</f>
        <v>0</v>
      </c>
      <c r="R270" s="996"/>
      <c r="S270" s="1297">
        <f>IF('Proposed Lighting'!AR256=0,0,IF('Proposed Lighting'!AT256&gt;0.2,'Proposed Lighting'!AT256,0))</f>
        <v>0</v>
      </c>
      <c r="T270" s="997">
        <f>'Proposed Lighting'!X256</f>
        <v>0</v>
      </c>
      <c r="U270" s="998"/>
      <c r="V270" s="998"/>
      <c r="W270" s="1378">
        <f>IF('Proposed Lighting'!AF256=4,"WS",IF('Proposed Lighting'!AF256=5,"CM",IF('Proposed Lighting'!AF256=1.6,"PHOT",IF('Proposed Lighting'!AF256=1.5,"FM",IF('Proposed Lighting'!CT256=0.5,"LED-MS",IF('Proposed Lighting'!CB256&gt;1,"Non-S",IF('Proposed Lighting'!CT256=0.6,"LED-SS",IF('Proposed Lighting'!CT256=2,"LED-NW",IF('Proposed Lighting'!CT256=3,"LLLC",0)))))))))</f>
        <v>0</v>
      </c>
      <c r="X270" s="1293">
        <f>'Proposed Lighting'!EE256</f>
        <v>0</v>
      </c>
      <c r="Y270" s="1293">
        <f>'Proposed Lighting'!EF256</f>
        <v>0</v>
      </c>
    </row>
    <row r="271" spans="1:25" ht="50.1" customHeight="1">
      <c r="A271" s="1290">
        <v>249</v>
      </c>
      <c r="B271" s="1291">
        <f>'Proposed Lighting'!B257</f>
        <v>0</v>
      </c>
      <c r="C271" s="1291">
        <f>IF('Proposed Lighting'!M257="Sch 1","Sch 1",IF('Proposed Lighting'!M257="Sch 1-C", "Sch 1-C",IF('Proposed Lighting'!M257="Sch 2","Sch 2",IF('Proposed Lighting'!M257="Sch 2-C","Sch 2-C",IF('Proposed Lighting'!M257="Sch 3","Sch 3",IF('Proposed Lighting'!M257="Sch 3-C", "Sch 3-C",IF('Proposed Lighting'!M257="E", "E",IF('Proposed Lighting'!M257="E-C", "E-C",IF('Proposed Lighting'!M257="Dusk to Dawn","Sch D-D",IF('Proposed Lighting'!M257="Dusk to Dawn-C", "Sch DD-C",IF('Proposed Lighting'!M257="Seasonal", "SEA",IF('Proposed Lighting'!M257="Seasonal-C", "SEA-C",0))))))))))))</f>
        <v>0</v>
      </c>
      <c r="D271" s="1292">
        <f>'Proposed Lighting'!F257</f>
        <v>0</v>
      </c>
      <c r="E271" s="1293">
        <f>'Proposed Lighting'!N257</f>
        <v>0</v>
      </c>
      <c r="F271" s="996"/>
      <c r="G271" s="1294">
        <f>'Proposed Lighting'!K257</f>
        <v>0</v>
      </c>
      <c r="H271" s="1295">
        <f>IF('Proposed Lighting'!P257&gt;0.2,'Proposed Lighting'!P257,0)</f>
        <v>0</v>
      </c>
      <c r="I271" s="995">
        <f>'Proposed Lighting'!J257</f>
        <v>0</v>
      </c>
      <c r="J271" s="996"/>
      <c r="K271" s="996"/>
      <c r="L271" s="996"/>
      <c r="M271" s="996"/>
      <c r="N271" s="1005"/>
      <c r="O271" s="1296" t="str">
        <f>'Proposed Lighting'!Z257&amp;", "&amp;'Proposed Lighting'!EK257</f>
        <v xml:space="preserve">, </v>
      </c>
      <c r="P271" s="1292">
        <f>'Proposed Lighting'!T257</f>
        <v>0</v>
      </c>
      <c r="Q271" s="1293">
        <f>'Proposed Lighting'!AA257</f>
        <v>0</v>
      </c>
      <c r="R271" s="996"/>
      <c r="S271" s="1297">
        <f>IF('Proposed Lighting'!AR257=0,0,IF('Proposed Lighting'!AT257&gt;0.2,'Proposed Lighting'!AT257,0))</f>
        <v>0</v>
      </c>
      <c r="T271" s="997">
        <f>'Proposed Lighting'!X257</f>
        <v>0</v>
      </c>
      <c r="U271" s="998"/>
      <c r="V271" s="998"/>
      <c r="W271" s="1378">
        <f>IF('Proposed Lighting'!AF257=4,"WS",IF('Proposed Lighting'!AF257=5,"CM",IF('Proposed Lighting'!AF257=1.6,"PHOT",IF('Proposed Lighting'!AF257=1.5,"FM",IF('Proposed Lighting'!CT257=0.5,"LED-MS",IF('Proposed Lighting'!CB257&gt;1,"Non-S",IF('Proposed Lighting'!CT257=0.6,"LED-SS",IF('Proposed Lighting'!CT257=2,"LED-NW",IF('Proposed Lighting'!CT257=3,"LLLC",0)))))))))</f>
        <v>0</v>
      </c>
      <c r="X271" s="1293">
        <f>'Proposed Lighting'!EE257</f>
        <v>0</v>
      </c>
      <c r="Y271" s="1293">
        <f>'Proposed Lighting'!EF257</f>
        <v>0</v>
      </c>
    </row>
    <row r="272" spans="1:25" ht="50.1" customHeight="1">
      <c r="A272" s="1290">
        <v>250</v>
      </c>
      <c r="B272" s="1291">
        <f>'Proposed Lighting'!B258</f>
        <v>0</v>
      </c>
      <c r="C272" s="1291">
        <f>IF('Proposed Lighting'!M258="Sch 1","Sch 1",IF('Proposed Lighting'!M258="Sch 1-C", "Sch 1-C",IF('Proposed Lighting'!M258="Sch 2","Sch 2",IF('Proposed Lighting'!M258="Sch 2-C","Sch 2-C",IF('Proposed Lighting'!M258="Sch 3","Sch 3",IF('Proposed Lighting'!M258="Sch 3-C", "Sch 3-C",IF('Proposed Lighting'!M258="E", "E",IF('Proposed Lighting'!M258="E-C", "E-C",IF('Proposed Lighting'!M258="Dusk to Dawn","Sch D-D",IF('Proposed Lighting'!M258="Dusk to Dawn-C", "Sch DD-C",IF('Proposed Lighting'!M258="Seasonal", "SEA",IF('Proposed Lighting'!M258="Seasonal-C", "SEA-C",0))))))))))))</f>
        <v>0</v>
      </c>
      <c r="D272" s="1292">
        <f>'Proposed Lighting'!F258</f>
        <v>0</v>
      </c>
      <c r="E272" s="1293">
        <f>'Proposed Lighting'!N258</f>
        <v>0</v>
      </c>
      <c r="F272" s="996"/>
      <c r="G272" s="1294">
        <f>'Proposed Lighting'!K258</f>
        <v>0</v>
      </c>
      <c r="H272" s="1295">
        <f>IF('Proposed Lighting'!P258&gt;0.2,'Proposed Lighting'!P258,0)</f>
        <v>0</v>
      </c>
      <c r="I272" s="995">
        <f>'Proposed Lighting'!J258</f>
        <v>0</v>
      </c>
      <c r="J272" s="996"/>
      <c r="K272" s="996"/>
      <c r="L272" s="996"/>
      <c r="M272" s="996"/>
      <c r="N272" s="1005"/>
      <c r="O272" s="1296" t="str">
        <f>'Proposed Lighting'!Z258&amp;", "&amp;'Proposed Lighting'!EK258</f>
        <v xml:space="preserve">, </v>
      </c>
      <c r="P272" s="1292">
        <f>'Proposed Lighting'!T258</f>
        <v>0</v>
      </c>
      <c r="Q272" s="1293">
        <f>'Proposed Lighting'!AA258</f>
        <v>0</v>
      </c>
      <c r="R272" s="996"/>
      <c r="S272" s="1297">
        <f>IF('Proposed Lighting'!AR258=0,0,IF('Proposed Lighting'!AT258&gt;0.2,'Proposed Lighting'!AT258,0))</f>
        <v>0</v>
      </c>
      <c r="T272" s="997">
        <f>'Proposed Lighting'!X258</f>
        <v>0</v>
      </c>
      <c r="U272" s="998"/>
      <c r="V272" s="998"/>
      <c r="W272" s="1378">
        <f>IF('Proposed Lighting'!AF258=4,"WS",IF('Proposed Lighting'!AF258=5,"CM",IF('Proposed Lighting'!AF258=1.6,"PHOT",IF('Proposed Lighting'!AF258=1.5,"FM",IF('Proposed Lighting'!CT258=0.5,"LED-MS",IF('Proposed Lighting'!CB258&gt;1,"Non-S",IF('Proposed Lighting'!CT258=0.6,"LED-SS",IF('Proposed Lighting'!CT258=2,"LED-NW",IF('Proposed Lighting'!CT258=3,"LLLC",0)))))))))</f>
        <v>0</v>
      </c>
      <c r="X272" s="1293">
        <f>'Proposed Lighting'!EE258</f>
        <v>0</v>
      </c>
      <c r="Y272" s="1293">
        <f>'Proposed Lighting'!EF258</f>
        <v>0</v>
      </c>
    </row>
    <row r="273" spans="1:25" ht="50.1" customHeight="1">
      <c r="A273" s="1290">
        <v>251</v>
      </c>
      <c r="B273" s="1291">
        <f>'Proposed Lighting'!B259</f>
        <v>0</v>
      </c>
      <c r="C273" s="1291">
        <f>IF('Proposed Lighting'!M259="Sch 1","Sch 1",IF('Proposed Lighting'!M259="Sch 1-C", "Sch 1-C",IF('Proposed Lighting'!M259="Sch 2","Sch 2",IF('Proposed Lighting'!M259="Sch 2-C","Sch 2-C",IF('Proposed Lighting'!M259="Sch 3","Sch 3",IF('Proposed Lighting'!M259="Sch 3-C", "Sch 3-C",IF('Proposed Lighting'!M259="E", "E",IF('Proposed Lighting'!M259="E-C", "E-C",IF('Proposed Lighting'!M259="Dusk to Dawn","Sch D-D",IF('Proposed Lighting'!M259="Dusk to Dawn-C", "Sch DD-C",IF('Proposed Lighting'!M259="Seasonal", "SEA",IF('Proposed Lighting'!M259="Seasonal-C", "SEA-C",0))))))))))))</f>
        <v>0</v>
      </c>
      <c r="D273" s="1292">
        <f>'Proposed Lighting'!F259</f>
        <v>0</v>
      </c>
      <c r="E273" s="1293">
        <f>'Proposed Lighting'!N259</f>
        <v>0</v>
      </c>
      <c r="F273" s="996"/>
      <c r="G273" s="1294">
        <f>'Proposed Lighting'!K259</f>
        <v>0</v>
      </c>
      <c r="H273" s="1295">
        <f>IF('Proposed Lighting'!P259&gt;0.2,'Proposed Lighting'!P259,0)</f>
        <v>0</v>
      </c>
      <c r="I273" s="995">
        <f>'Proposed Lighting'!J259</f>
        <v>0</v>
      </c>
      <c r="J273" s="996"/>
      <c r="K273" s="996"/>
      <c r="L273" s="996"/>
      <c r="M273" s="996"/>
      <c r="N273" s="1005"/>
      <c r="O273" s="1296" t="str">
        <f>'Proposed Lighting'!Z259&amp;", "&amp;'Proposed Lighting'!EK259</f>
        <v xml:space="preserve">, </v>
      </c>
      <c r="P273" s="1292">
        <f>'Proposed Lighting'!T259</f>
        <v>0</v>
      </c>
      <c r="Q273" s="1293">
        <f>'Proposed Lighting'!AA259</f>
        <v>0</v>
      </c>
      <c r="R273" s="996"/>
      <c r="S273" s="1297">
        <f>IF('Proposed Lighting'!AR259=0,0,IF('Proposed Lighting'!AT259&gt;0.2,'Proposed Lighting'!AT259,0))</f>
        <v>0</v>
      </c>
      <c r="T273" s="997">
        <f>'Proposed Lighting'!X259</f>
        <v>0</v>
      </c>
      <c r="U273" s="998"/>
      <c r="V273" s="998"/>
      <c r="W273" s="1378">
        <f>IF('Proposed Lighting'!AF259=4,"WS",IF('Proposed Lighting'!AF259=5,"CM",IF('Proposed Lighting'!AF259=1.6,"PHOT",IF('Proposed Lighting'!AF259=1.5,"FM",IF('Proposed Lighting'!CT259=0.5,"LED-MS",IF('Proposed Lighting'!CB259&gt;1,"Non-S",IF('Proposed Lighting'!CT259=0.6,"LED-SS",IF('Proposed Lighting'!CT259=2,"LED-NW",IF('Proposed Lighting'!CT259=3,"LLLC",0)))))))))</f>
        <v>0</v>
      </c>
      <c r="X273" s="1293">
        <f>'Proposed Lighting'!EE259</f>
        <v>0</v>
      </c>
      <c r="Y273" s="1293">
        <f>'Proposed Lighting'!EF259</f>
        <v>0</v>
      </c>
    </row>
    <row r="274" spans="1:25" ht="50.1" customHeight="1">
      <c r="A274" s="1290">
        <v>252</v>
      </c>
      <c r="B274" s="1291">
        <f>'Proposed Lighting'!B260</f>
        <v>0</v>
      </c>
      <c r="C274" s="1291">
        <f>IF('Proposed Lighting'!M260="Sch 1","Sch 1",IF('Proposed Lighting'!M260="Sch 1-C", "Sch 1-C",IF('Proposed Lighting'!M260="Sch 2","Sch 2",IF('Proposed Lighting'!M260="Sch 2-C","Sch 2-C",IF('Proposed Lighting'!M260="Sch 3","Sch 3",IF('Proposed Lighting'!M260="Sch 3-C", "Sch 3-C",IF('Proposed Lighting'!M260="E", "E",IF('Proposed Lighting'!M260="E-C", "E-C",IF('Proposed Lighting'!M260="Dusk to Dawn","Sch D-D",IF('Proposed Lighting'!M260="Dusk to Dawn-C", "Sch DD-C",IF('Proposed Lighting'!M260="Seasonal", "SEA",IF('Proposed Lighting'!M260="Seasonal-C", "SEA-C",0))))))))))))</f>
        <v>0</v>
      </c>
      <c r="D274" s="1292">
        <f>'Proposed Lighting'!F260</f>
        <v>0</v>
      </c>
      <c r="E274" s="1293">
        <f>'Proposed Lighting'!N260</f>
        <v>0</v>
      </c>
      <c r="F274" s="996"/>
      <c r="G274" s="1294">
        <f>'Proposed Lighting'!K260</f>
        <v>0</v>
      </c>
      <c r="H274" s="1295">
        <f>IF('Proposed Lighting'!P260&gt;0.2,'Proposed Lighting'!P260,0)</f>
        <v>0</v>
      </c>
      <c r="I274" s="995">
        <f>'Proposed Lighting'!J260</f>
        <v>0</v>
      </c>
      <c r="J274" s="996"/>
      <c r="K274" s="996"/>
      <c r="L274" s="996"/>
      <c r="M274" s="996"/>
      <c r="N274" s="1005"/>
      <c r="O274" s="1296" t="str">
        <f>'Proposed Lighting'!Z260&amp;", "&amp;'Proposed Lighting'!EK260</f>
        <v xml:space="preserve">, </v>
      </c>
      <c r="P274" s="1292">
        <f>'Proposed Lighting'!T260</f>
        <v>0</v>
      </c>
      <c r="Q274" s="1293">
        <f>'Proposed Lighting'!AA260</f>
        <v>0</v>
      </c>
      <c r="R274" s="996"/>
      <c r="S274" s="1297">
        <f>IF('Proposed Lighting'!AR260=0,0,IF('Proposed Lighting'!AT260&gt;0.2,'Proposed Lighting'!AT260,0))</f>
        <v>0</v>
      </c>
      <c r="T274" s="997">
        <f>'Proposed Lighting'!X260</f>
        <v>0</v>
      </c>
      <c r="U274" s="998"/>
      <c r="V274" s="998"/>
      <c r="W274" s="1378">
        <f>IF('Proposed Lighting'!AF260=4,"WS",IF('Proposed Lighting'!AF260=5,"CM",IF('Proposed Lighting'!AF260=1.6,"PHOT",IF('Proposed Lighting'!AF260=1.5,"FM",IF('Proposed Lighting'!CT260=0.5,"LED-MS",IF('Proposed Lighting'!CB260&gt;1,"Non-S",IF('Proposed Lighting'!CT260=0.6,"LED-SS",IF('Proposed Lighting'!CT260=2,"LED-NW",IF('Proposed Lighting'!CT260=3,"LLLC",0)))))))))</f>
        <v>0</v>
      </c>
      <c r="X274" s="1293">
        <f>'Proposed Lighting'!EE260</f>
        <v>0</v>
      </c>
      <c r="Y274" s="1293">
        <f>'Proposed Lighting'!EF260</f>
        <v>0</v>
      </c>
    </row>
    <row r="275" spans="1:25" ht="50.1" customHeight="1">
      <c r="A275" s="1290">
        <v>253</v>
      </c>
      <c r="B275" s="1291">
        <f>'Proposed Lighting'!B261</f>
        <v>0</v>
      </c>
      <c r="C275" s="1291">
        <f>IF('Proposed Lighting'!M261="Sch 1","Sch 1",IF('Proposed Lighting'!M261="Sch 1-C", "Sch 1-C",IF('Proposed Lighting'!M261="Sch 2","Sch 2",IF('Proposed Lighting'!M261="Sch 2-C","Sch 2-C",IF('Proposed Lighting'!M261="Sch 3","Sch 3",IF('Proposed Lighting'!M261="Sch 3-C", "Sch 3-C",IF('Proposed Lighting'!M261="E", "E",IF('Proposed Lighting'!M261="E-C", "E-C",IF('Proposed Lighting'!M261="Dusk to Dawn","Sch D-D",IF('Proposed Lighting'!M261="Dusk to Dawn-C", "Sch DD-C",IF('Proposed Lighting'!M261="Seasonal", "SEA",IF('Proposed Lighting'!M261="Seasonal-C", "SEA-C",0))))))))))))</f>
        <v>0</v>
      </c>
      <c r="D275" s="1292">
        <f>'Proposed Lighting'!F261</f>
        <v>0</v>
      </c>
      <c r="E275" s="1293">
        <f>'Proposed Lighting'!N261</f>
        <v>0</v>
      </c>
      <c r="F275" s="996"/>
      <c r="G275" s="1294">
        <f>'Proposed Lighting'!K261</f>
        <v>0</v>
      </c>
      <c r="H275" s="1295">
        <f>IF('Proposed Lighting'!P261&gt;0.2,'Proposed Lighting'!P261,0)</f>
        <v>0</v>
      </c>
      <c r="I275" s="995">
        <f>'Proposed Lighting'!J261</f>
        <v>0</v>
      </c>
      <c r="J275" s="996"/>
      <c r="K275" s="996"/>
      <c r="L275" s="996"/>
      <c r="M275" s="996"/>
      <c r="N275" s="1005"/>
      <c r="O275" s="1296" t="str">
        <f>'Proposed Lighting'!Z261&amp;", "&amp;'Proposed Lighting'!EK261</f>
        <v xml:space="preserve">, </v>
      </c>
      <c r="P275" s="1292">
        <f>'Proposed Lighting'!T261</f>
        <v>0</v>
      </c>
      <c r="Q275" s="1293">
        <f>'Proposed Lighting'!AA261</f>
        <v>0</v>
      </c>
      <c r="R275" s="996"/>
      <c r="S275" s="1297">
        <f>IF('Proposed Lighting'!AR261=0,0,IF('Proposed Lighting'!AT261&gt;0.2,'Proposed Lighting'!AT261,0))</f>
        <v>0</v>
      </c>
      <c r="T275" s="997">
        <f>'Proposed Lighting'!X261</f>
        <v>0</v>
      </c>
      <c r="U275" s="998"/>
      <c r="V275" s="998"/>
      <c r="W275" s="1378">
        <f>IF('Proposed Lighting'!AF261=4,"WS",IF('Proposed Lighting'!AF261=5,"CM",IF('Proposed Lighting'!AF261=1.6,"PHOT",IF('Proposed Lighting'!AF261=1.5,"FM",IF('Proposed Lighting'!CT261=0.5,"LED-MS",IF('Proposed Lighting'!CB261&gt;1,"Non-S",IF('Proposed Lighting'!CT261=0.6,"LED-SS",IF('Proposed Lighting'!CT261=2,"LED-NW",IF('Proposed Lighting'!CT261=3,"LLLC",0)))))))))</f>
        <v>0</v>
      </c>
      <c r="X275" s="1293">
        <f>'Proposed Lighting'!EE261</f>
        <v>0</v>
      </c>
      <c r="Y275" s="1293">
        <f>'Proposed Lighting'!EF261</f>
        <v>0</v>
      </c>
    </row>
    <row r="276" spans="1:25" ht="50.1" customHeight="1">
      <c r="A276" s="1290">
        <v>254</v>
      </c>
      <c r="B276" s="1291">
        <f>'Proposed Lighting'!B262</f>
        <v>0</v>
      </c>
      <c r="C276" s="1291">
        <f>IF('Proposed Lighting'!M262="Sch 1","Sch 1",IF('Proposed Lighting'!M262="Sch 1-C", "Sch 1-C",IF('Proposed Lighting'!M262="Sch 2","Sch 2",IF('Proposed Lighting'!M262="Sch 2-C","Sch 2-C",IF('Proposed Lighting'!M262="Sch 3","Sch 3",IF('Proposed Lighting'!M262="Sch 3-C", "Sch 3-C",IF('Proposed Lighting'!M262="E", "E",IF('Proposed Lighting'!M262="E-C", "E-C",IF('Proposed Lighting'!M262="Dusk to Dawn","Sch D-D",IF('Proposed Lighting'!M262="Dusk to Dawn-C", "Sch DD-C",IF('Proposed Lighting'!M262="Seasonal", "SEA",IF('Proposed Lighting'!M262="Seasonal-C", "SEA-C",0))))))))))))</f>
        <v>0</v>
      </c>
      <c r="D276" s="1292">
        <f>'Proposed Lighting'!F262</f>
        <v>0</v>
      </c>
      <c r="E276" s="1293">
        <f>'Proposed Lighting'!N262</f>
        <v>0</v>
      </c>
      <c r="F276" s="996"/>
      <c r="G276" s="1294">
        <f>'Proposed Lighting'!K262</f>
        <v>0</v>
      </c>
      <c r="H276" s="1295">
        <f>IF('Proposed Lighting'!P262&gt;0.2,'Proposed Lighting'!P262,0)</f>
        <v>0</v>
      </c>
      <c r="I276" s="995">
        <f>'Proposed Lighting'!J262</f>
        <v>0</v>
      </c>
      <c r="J276" s="996"/>
      <c r="K276" s="996"/>
      <c r="L276" s="996"/>
      <c r="M276" s="996"/>
      <c r="N276" s="1005"/>
      <c r="O276" s="1296" t="str">
        <f>'Proposed Lighting'!Z262&amp;", "&amp;'Proposed Lighting'!EK262</f>
        <v xml:space="preserve">, </v>
      </c>
      <c r="P276" s="1292">
        <f>'Proposed Lighting'!T262</f>
        <v>0</v>
      </c>
      <c r="Q276" s="1293">
        <f>'Proposed Lighting'!AA262</f>
        <v>0</v>
      </c>
      <c r="R276" s="996"/>
      <c r="S276" s="1297">
        <f>IF('Proposed Lighting'!AR262=0,0,IF('Proposed Lighting'!AT262&gt;0.2,'Proposed Lighting'!AT262,0))</f>
        <v>0</v>
      </c>
      <c r="T276" s="997">
        <f>'Proposed Lighting'!X262</f>
        <v>0</v>
      </c>
      <c r="U276" s="998"/>
      <c r="V276" s="998"/>
      <c r="W276" s="1378">
        <f>IF('Proposed Lighting'!AF262=4,"WS",IF('Proposed Lighting'!AF262=5,"CM",IF('Proposed Lighting'!AF262=1.6,"PHOT",IF('Proposed Lighting'!AF262=1.5,"FM",IF('Proposed Lighting'!CT262=0.5,"LED-MS",IF('Proposed Lighting'!CB262&gt;1,"Non-S",IF('Proposed Lighting'!CT262=0.6,"LED-SS",IF('Proposed Lighting'!CT262=2,"LED-NW",IF('Proposed Lighting'!CT262=3,"LLLC",0)))))))))</f>
        <v>0</v>
      </c>
      <c r="X276" s="1293">
        <f>'Proposed Lighting'!EE262</f>
        <v>0</v>
      </c>
      <c r="Y276" s="1293">
        <f>'Proposed Lighting'!EF262</f>
        <v>0</v>
      </c>
    </row>
    <row r="277" spans="1:25" ht="50.1" customHeight="1">
      <c r="A277" s="1290">
        <v>255</v>
      </c>
      <c r="B277" s="1291">
        <f>'Proposed Lighting'!B263</f>
        <v>0</v>
      </c>
      <c r="C277" s="1291">
        <f>IF('Proposed Lighting'!M263="Sch 1","Sch 1",IF('Proposed Lighting'!M263="Sch 1-C", "Sch 1-C",IF('Proposed Lighting'!M263="Sch 2","Sch 2",IF('Proposed Lighting'!M263="Sch 2-C","Sch 2-C",IF('Proposed Lighting'!M263="Sch 3","Sch 3",IF('Proposed Lighting'!M263="Sch 3-C", "Sch 3-C",IF('Proposed Lighting'!M263="E", "E",IF('Proposed Lighting'!M263="E-C", "E-C",IF('Proposed Lighting'!M263="Dusk to Dawn","Sch D-D",IF('Proposed Lighting'!M263="Dusk to Dawn-C", "Sch DD-C",IF('Proposed Lighting'!M263="Seasonal", "SEA",IF('Proposed Lighting'!M263="Seasonal-C", "SEA-C",0))))))))))))</f>
        <v>0</v>
      </c>
      <c r="D277" s="1292">
        <f>'Proposed Lighting'!F263</f>
        <v>0</v>
      </c>
      <c r="E277" s="1293">
        <f>'Proposed Lighting'!N263</f>
        <v>0</v>
      </c>
      <c r="F277" s="996"/>
      <c r="G277" s="1294">
        <f>'Proposed Lighting'!K263</f>
        <v>0</v>
      </c>
      <c r="H277" s="1295">
        <f>IF('Proposed Lighting'!P263&gt;0.2,'Proposed Lighting'!P263,0)</f>
        <v>0</v>
      </c>
      <c r="I277" s="995">
        <f>'Proposed Lighting'!J263</f>
        <v>0</v>
      </c>
      <c r="J277" s="996"/>
      <c r="K277" s="996"/>
      <c r="L277" s="996"/>
      <c r="M277" s="996"/>
      <c r="N277" s="1005"/>
      <c r="O277" s="1296" t="str">
        <f>'Proposed Lighting'!Z263&amp;", "&amp;'Proposed Lighting'!EK263</f>
        <v xml:space="preserve">, </v>
      </c>
      <c r="P277" s="1292">
        <f>'Proposed Lighting'!T263</f>
        <v>0</v>
      </c>
      <c r="Q277" s="1293">
        <f>'Proposed Lighting'!AA263</f>
        <v>0</v>
      </c>
      <c r="R277" s="996"/>
      <c r="S277" s="1297">
        <f>IF('Proposed Lighting'!AR263=0,0,IF('Proposed Lighting'!AT263&gt;0.2,'Proposed Lighting'!AT263,0))</f>
        <v>0</v>
      </c>
      <c r="T277" s="997">
        <f>'Proposed Lighting'!X263</f>
        <v>0</v>
      </c>
      <c r="U277" s="998"/>
      <c r="V277" s="998"/>
      <c r="W277" s="1378">
        <f>IF('Proposed Lighting'!AF263=4,"WS",IF('Proposed Lighting'!AF263=5,"CM",IF('Proposed Lighting'!AF263=1.6,"PHOT",IF('Proposed Lighting'!AF263=1.5,"FM",IF('Proposed Lighting'!CT263=0.5,"LED-MS",IF('Proposed Lighting'!CB263&gt;1,"Non-S",IF('Proposed Lighting'!CT263=0.6,"LED-SS",IF('Proposed Lighting'!CT263=2,"LED-NW",IF('Proposed Lighting'!CT263=3,"LLLC",0)))))))))</f>
        <v>0</v>
      </c>
      <c r="X277" s="1293">
        <f>'Proposed Lighting'!EE263</f>
        <v>0</v>
      </c>
      <c r="Y277" s="1293">
        <f>'Proposed Lighting'!EF263</f>
        <v>0</v>
      </c>
    </row>
    <row r="278" spans="1:25" ht="50.1" customHeight="1">
      <c r="A278" s="1290">
        <v>256</v>
      </c>
      <c r="B278" s="1291">
        <f>'Proposed Lighting'!B264</f>
        <v>0</v>
      </c>
      <c r="C278" s="1291">
        <f>IF('Proposed Lighting'!M264="Sch 1","Sch 1",IF('Proposed Lighting'!M264="Sch 1-C", "Sch 1-C",IF('Proposed Lighting'!M264="Sch 2","Sch 2",IF('Proposed Lighting'!M264="Sch 2-C","Sch 2-C",IF('Proposed Lighting'!M264="Sch 3","Sch 3",IF('Proposed Lighting'!M264="Sch 3-C", "Sch 3-C",IF('Proposed Lighting'!M264="E", "E",IF('Proposed Lighting'!M264="E-C", "E-C",IF('Proposed Lighting'!M264="Dusk to Dawn","Sch D-D",IF('Proposed Lighting'!M264="Dusk to Dawn-C", "Sch DD-C",IF('Proposed Lighting'!M264="Seasonal", "SEA",IF('Proposed Lighting'!M264="Seasonal-C", "SEA-C",0))))))))))))</f>
        <v>0</v>
      </c>
      <c r="D278" s="1292">
        <f>'Proposed Lighting'!F264</f>
        <v>0</v>
      </c>
      <c r="E278" s="1293">
        <f>'Proposed Lighting'!N264</f>
        <v>0</v>
      </c>
      <c r="F278" s="996"/>
      <c r="G278" s="1294">
        <f>'Proposed Lighting'!K264</f>
        <v>0</v>
      </c>
      <c r="H278" s="1295">
        <f>IF('Proposed Lighting'!P264&gt;0.2,'Proposed Lighting'!P264,0)</f>
        <v>0</v>
      </c>
      <c r="I278" s="995">
        <f>'Proposed Lighting'!J264</f>
        <v>0</v>
      </c>
      <c r="J278" s="996"/>
      <c r="K278" s="996"/>
      <c r="L278" s="996"/>
      <c r="M278" s="996"/>
      <c r="N278" s="1005"/>
      <c r="O278" s="1296" t="str">
        <f>'Proposed Lighting'!Z264&amp;", "&amp;'Proposed Lighting'!EK264</f>
        <v xml:space="preserve">, </v>
      </c>
      <c r="P278" s="1292">
        <f>'Proposed Lighting'!T264</f>
        <v>0</v>
      </c>
      <c r="Q278" s="1293">
        <f>'Proposed Lighting'!AA264</f>
        <v>0</v>
      </c>
      <c r="R278" s="996"/>
      <c r="S278" s="1297">
        <f>IF('Proposed Lighting'!AR264=0,0,IF('Proposed Lighting'!AT264&gt;0.2,'Proposed Lighting'!AT264,0))</f>
        <v>0</v>
      </c>
      <c r="T278" s="997">
        <f>'Proposed Lighting'!X264</f>
        <v>0</v>
      </c>
      <c r="U278" s="998"/>
      <c r="V278" s="998"/>
      <c r="W278" s="1378">
        <f>IF('Proposed Lighting'!AF264=4,"WS",IF('Proposed Lighting'!AF264=5,"CM",IF('Proposed Lighting'!AF264=1.6,"PHOT",IF('Proposed Lighting'!AF264=1.5,"FM",IF('Proposed Lighting'!CT264=0.5,"LED-MS",IF('Proposed Lighting'!CB264&gt;1,"Non-S",IF('Proposed Lighting'!CT264=0.6,"LED-SS",IF('Proposed Lighting'!CT264=2,"LED-NW",IF('Proposed Lighting'!CT264=3,"LLLC",0)))))))))</f>
        <v>0</v>
      </c>
      <c r="X278" s="1293">
        <f>'Proposed Lighting'!EE264</f>
        <v>0</v>
      </c>
      <c r="Y278" s="1293">
        <f>'Proposed Lighting'!EF264</f>
        <v>0</v>
      </c>
    </row>
    <row r="279" spans="1:25" ht="50.1" customHeight="1">
      <c r="A279" s="1290">
        <v>257</v>
      </c>
      <c r="B279" s="1291">
        <f>'Proposed Lighting'!B265</f>
        <v>0</v>
      </c>
      <c r="C279" s="1291">
        <f>IF('Proposed Lighting'!M265="Sch 1","Sch 1",IF('Proposed Lighting'!M265="Sch 1-C", "Sch 1-C",IF('Proposed Lighting'!M265="Sch 2","Sch 2",IF('Proposed Lighting'!M265="Sch 2-C","Sch 2-C",IF('Proposed Lighting'!M265="Sch 3","Sch 3",IF('Proposed Lighting'!M265="Sch 3-C", "Sch 3-C",IF('Proposed Lighting'!M265="E", "E",IF('Proposed Lighting'!M265="E-C", "E-C",IF('Proposed Lighting'!M265="Dusk to Dawn","Sch D-D",IF('Proposed Lighting'!M265="Dusk to Dawn-C", "Sch DD-C",IF('Proposed Lighting'!M265="Seasonal", "SEA",IF('Proposed Lighting'!M265="Seasonal-C", "SEA-C",0))))))))))))</f>
        <v>0</v>
      </c>
      <c r="D279" s="1292">
        <f>'Proposed Lighting'!F265</f>
        <v>0</v>
      </c>
      <c r="E279" s="1293">
        <f>'Proposed Lighting'!N265</f>
        <v>0</v>
      </c>
      <c r="F279" s="996"/>
      <c r="G279" s="1294">
        <f>'Proposed Lighting'!K265</f>
        <v>0</v>
      </c>
      <c r="H279" s="1295">
        <f>IF('Proposed Lighting'!P265&gt;0.2,'Proposed Lighting'!P265,0)</f>
        <v>0</v>
      </c>
      <c r="I279" s="995">
        <f>'Proposed Lighting'!J265</f>
        <v>0</v>
      </c>
      <c r="J279" s="996"/>
      <c r="K279" s="996"/>
      <c r="L279" s="996"/>
      <c r="M279" s="996"/>
      <c r="N279" s="1005"/>
      <c r="O279" s="1296" t="str">
        <f>'Proposed Lighting'!Z265&amp;", "&amp;'Proposed Lighting'!EK265</f>
        <v xml:space="preserve">, </v>
      </c>
      <c r="P279" s="1292">
        <f>'Proposed Lighting'!T265</f>
        <v>0</v>
      </c>
      <c r="Q279" s="1293">
        <f>'Proposed Lighting'!AA265</f>
        <v>0</v>
      </c>
      <c r="R279" s="996"/>
      <c r="S279" s="1297">
        <f>IF('Proposed Lighting'!AR265=0,0,IF('Proposed Lighting'!AT265&gt;0.2,'Proposed Lighting'!AT265,0))</f>
        <v>0</v>
      </c>
      <c r="T279" s="997">
        <f>'Proposed Lighting'!X265</f>
        <v>0</v>
      </c>
      <c r="U279" s="998"/>
      <c r="V279" s="998"/>
      <c r="W279" s="1378">
        <f>IF('Proposed Lighting'!AF265=4,"WS",IF('Proposed Lighting'!AF265=5,"CM",IF('Proposed Lighting'!AF265=1.6,"PHOT",IF('Proposed Lighting'!AF265=1.5,"FM",IF('Proposed Lighting'!CT265=0.5,"LED-MS",IF('Proposed Lighting'!CB265&gt;1,"Non-S",IF('Proposed Lighting'!CT265=0.6,"LED-SS",IF('Proposed Lighting'!CT265=2,"LED-NW",IF('Proposed Lighting'!CT265=3,"LLLC",0)))))))))</f>
        <v>0</v>
      </c>
      <c r="X279" s="1293">
        <f>'Proposed Lighting'!EE265</f>
        <v>0</v>
      </c>
      <c r="Y279" s="1293">
        <f>'Proposed Lighting'!EF265</f>
        <v>0</v>
      </c>
    </row>
    <row r="280" spans="1:25" ht="50.1" customHeight="1">
      <c r="A280" s="1290">
        <v>258</v>
      </c>
      <c r="B280" s="1291">
        <f>'Proposed Lighting'!B266</f>
        <v>0</v>
      </c>
      <c r="C280" s="1291">
        <f>IF('Proposed Lighting'!M266="Sch 1","Sch 1",IF('Proposed Lighting'!M266="Sch 1-C", "Sch 1-C",IF('Proposed Lighting'!M266="Sch 2","Sch 2",IF('Proposed Lighting'!M266="Sch 2-C","Sch 2-C",IF('Proposed Lighting'!M266="Sch 3","Sch 3",IF('Proposed Lighting'!M266="Sch 3-C", "Sch 3-C",IF('Proposed Lighting'!M266="E", "E",IF('Proposed Lighting'!M266="E-C", "E-C",IF('Proposed Lighting'!M266="Dusk to Dawn","Sch D-D",IF('Proposed Lighting'!M266="Dusk to Dawn-C", "Sch DD-C",IF('Proposed Lighting'!M266="Seasonal", "SEA",IF('Proposed Lighting'!M266="Seasonal-C", "SEA-C",0))))))))))))</f>
        <v>0</v>
      </c>
      <c r="D280" s="1292">
        <f>'Proposed Lighting'!F266</f>
        <v>0</v>
      </c>
      <c r="E280" s="1293">
        <f>'Proposed Lighting'!N266</f>
        <v>0</v>
      </c>
      <c r="F280" s="996"/>
      <c r="G280" s="1294">
        <f>'Proposed Lighting'!K266</f>
        <v>0</v>
      </c>
      <c r="H280" s="1295">
        <f>IF('Proposed Lighting'!P266&gt;0.2,'Proposed Lighting'!P266,0)</f>
        <v>0</v>
      </c>
      <c r="I280" s="995">
        <f>'Proposed Lighting'!J266</f>
        <v>0</v>
      </c>
      <c r="J280" s="996"/>
      <c r="K280" s="996"/>
      <c r="L280" s="996"/>
      <c r="M280" s="996"/>
      <c r="N280" s="1005"/>
      <c r="O280" s="1296" t="str">
        <f>'Proposed Lighting'!Z266&amp;", "&amp;'Proposed Lighting'!EK266</f>
        <v xml:space="preserve">, </v>
      </c>
      <c r="P280" s="1292">
        <f>'Proposed Lighting'!T266</f>
        <v>0</v>
      </c>
      <c r="Q280" s="1293">
        <f>'Proposed Lighting'!AA266</f>
        <v>0</v>
      </c>
      <c r="R280" s="996"/>
      <c r="S280" s="1297">
        <f>IF('Proposed Lighting'!AR266=0,0,IF('Proposed Lighting'!AT266&gt;0.2,'Proposed Lighting'!AT266,0))</f>
        <v>0</v>
      </c>
      <c r="T280" s="997">
        <f>'Proposed Lighting'!X266</f>
        <v>0</v>
      </c>
      <c r="U280" s="998"/>
      <c r="V280" s="998"/>
      <c r="W280" s="1378">
        <f>IF('Proposed Lighting'!AF266=4,"WS",IF('Proposed Lighting'!AF266=5,"CM",IF('Proposed Lighting'!AF266=1.6,"PHOT",IF('Proposed Lighting'!AF266=1.5,"FM",IF('Proposed Lighting'!CT266=0.5,"LED-MS",IF('Proposed Lighting'!CB266&gt;1,"Non-S",IF('Proposed Lighting'!CT266=0.6,"LED-SS",IF('Proposed Lighting'!CT266=2,"LED-NW",IF('Proposed Lighting'!CT266=3,"LLLC",0)))))))))</f>
        <v>0</v>
      </c>
      <c r="X280" s="1293">
        <f>'Proposed Lighting'!EE266</f>
        <v>0</v>
      </c>
      <c r="Y280" s="1293">
        <f>'Proposed Lighting'!EF266</f>
        <v>0</v>
      </c>
    </row>
    <row r="281" spans="1:25" ht="50.1" customHeight="1">
      <c r="A281" s="1290">
        <v>259</v>
      </c>
      <c r="B281" s="1291">
        <f>'Proposed Lighting'!B267</f>
        <v>0</v>
      </c>
      <c r="C281" s="1291">
        <f>IF('Proposed Lighting'!M267="Sch 1","Sch 1",IF('Proposed Lighting'!M267="Sch 1-C", "Sch 1-C",IF('Proposed Lighting'!M267="Sch 2","Sch 2",IF('Proposed Lighting'!M267="Sch 2-C","Sch 2-C",IF('Proposed Lighting'!M267="Sch 3","Sch 3",IF('Proposed Lighting'!M267="Sch 3-C", "Sch 3-C",IF('Proposed Lighting'!M267="E", "E",IF('Proposed Lighting'!M267="E-C", "E-C",IF('Proposed Lighting'!M267="Dusk to Dawn","Sch D-D",IF('Proposed Lighting'!M267="Dusk to Dawn-C", "Sch DD-C",IF('Proposed Lighting'!M267="Seasonal", "SEA",IF('Proposed Lighting'!M267="Seasonal-C", "SEA-C",0))))))))))))</f>
        <v>0</v>
      </c>
      <c r="D281" s="1292">
        <f>'Proposed Lighting'!F267</f>
        <v>0</v>
      </c>
      <c r="E281" s="1293">
        <f>'Proposed Lighting'!N267</f>
        <v>0</v>
      </c>
      <c r="F281" s="996"/>
      <c r="G281" s="1294">
        <f>'Proposed Lighting'!K267</f>
        <v>0</v>
      </c>
      <c r="H281" s="1295">
        <f>IF('Proposed Lighting'!P267&gt;0.2,'Proposed Lighting'!P267,0)</f>
        <v>0</v>
      </c>
      <c r="I281" s="995">
        <f>'Proposed Lighting'!J267</f>
        <v>0</v>
      </c>
      <c r="J281" s="996"/>
      <c r="K281" s="996"/>
      <c r="L281" s="996"/>
      <c r="M281" s="996"/>
      <c r="N281" s="1005"/>
      <c r="O281" s="1296" t="str">
        <f>'Proposed Lighting'!Z267&amp;", "&amp;'Proposed Lighting'!EK267</f>
        <v xml:space="preserve">, </v>
      </c>
      <c r="P281" s="1292">
        <f>'Proposed Lighting'!T267</f>
        <v>0</v>
      </c>
      <c r="Q281" s="1293">
        <f>'Proposed Lighting'!AA267</f>
        <v>0</v>
      </c>
      <c r="R281" s="996"/>
      <c r="S281" s="1297">
        <f>IF('Proposed Lighting'!AR267=0,0,IF('Proposed Lighting'!AT267&gt;0.2,'Proposed Lighting'!AT267,0))</f>
        <v>0</v>
      </c>
      <c r="T281" s="997">
        <f>'Proposed Lighting'!X267</f>
        <v>0</v>
      </c>
      <c r="U281" s="998"/>
      <c r="V281" s="998"/>
      <c r="W281" s="1378">
        <f>IF('Proposed Lighting'!AF267=4,"WS",IF('Proposed Lighting'!AF267=5,"CM",IF('Proposed Lighting'!AF267=1.6,"PHOT",IF('Proposed Lighting'!AF267=1.5,"FM",IF('Proposed Lighting'!CT267=0.5,"LED-MS",IF('Proposed Lighting'!CB267&gt;1,"Non-S",IF('Proposed Lighting'!CT267=0.6,"LED-SS",IF('Proposed Lighting'!CT267=2,"LED-NW",IF('Proposed Lighting'!CT267=3,"LLLC",0)))))))))</f>
        <v>0</v>
      </c>
      <c r="X281" s="1293">
        <f>'Proposed Lighting'!EE267</f>
        <v>0</v>
      </c>
      <c r="Y281" s="1293">
        <f>'Proposed Lighting'!EF267</f>
        <v>0</v>
      </c>
    </row>
    <row r="282" spans="1:25" ht="50.1" customHeight="1">
      <c r="A282" s="1290">
        <v>260</v>
      </c>
      <c r="B282" s="1291">
        <f>'Proposed Lighting'!B268</f>
        <v>0</v>
      </c>
      <c r="C282" s="1291">
        <f>IF('Proposed Lighting'!M268="Sch 1","Sch 1",IF('Proposed Lighting'!M268="Sch 1-C", "Sch 1-C",IF('Proposed Lighting'!M268="Sch 2","Sch 2",IF('Proposed Lighting'!M268="Sch 2-C","Sch 2-C",IF('Proposed Lighting'!M268="Sch 3","Sch 3",IF('Proposed Lighting'!M268="Sch 3-C", "Sch 3-C",IF('Proposed Lighting'!M268="E", "E",IF('Proposed Lighting'!M268="E-C", "E-C",IF('Proposed Lighting'!M268="Dusk to Dawn","Sch D-D",IF('Proposed Lighting'!M268="Dusk to Dawn-C", "Sch DD-C",IF('Proposed Lighting'!M268="Seasonal", "SEA",IF('Proposed Lighting'!M268="Seasonal-C", "SEA-C",0))))))))))))</f>
        <v>0</v>
      </c>
      <c r="D282" s="1292">
        <f>'Proposed Lighting'!F268</f>
        <v>0</v>
      </c>
      <c r="E282" s="1293">
        <f>'Proposed Lighting'!N268</f>
        <v>0</v>
      </c>
      <c r="F282" s="996"/>
      <c r="G282" s="1294">
        <f>'Proposed Lighting'!K268</f>
        <v>0</v>
      </c>
      <c r="H282" s="1295">
        <f>IF('Proposed Lighting'!P268&gt;0.2,'Proposed Lighting'!P268,0)</f>
        <v>0</v>
      </c>
      <c r="I282" s="995">
        <f>'Proposed Lighting'!J268</f>
        <v>0</v>
      </c>
      <c r="J282" s="996"/>
      <c r="K282" s="996"/>
      <c r="L282" s="996"/>
      <c r="M282" s="996"/>
      <c r="N282" s="1005"/>
      <c r="O282" s="1296" t="str">
        <f>'Proposed Lighting'!Z268&amp;", "&amp;'Proposed Lighting'!EK268</f>
        <v xml:space="preserve">, </v>
      </c>
      <c r="P282" s="1292">
        <f>'Proposed Lighting'!T268</f>
        <v>0</v>
      </c>
      <c r="Q282" s="1293">
        <f>'Proposed Lighting'!AA268</f>
        <v>0</v>
      </c>
      <c r="R282" s="996"/>
      <c r="S282" s="1297">
        <f>IF('Proposed Lighting'!AR268=0,0,IF('Proposed Lighting'!AT268&gt;0.2,'Proposed Lighting'!AT268,0))</f>
        <v>0</v>
      </c>
      <c r="T282" s="997">
        <f>'Proposed Lighting'!X268</f>
        <v>0</v>
      </c>
      <c r="U282" s="998"/>
      <c r="V282" s="998"/>
      <c r="W282" s="1378">
        <f>IF('Proposed Lighting'!AF268=4,"WS",IF('Proposed Lighting'!AF268=5,"CM",IF('Proposed Lighting'!AF268=1.6,"PHOT",IF('Proposed Lighting'!AF268=1.5,"FM",IF('Proposed Lighting'!CT268=0.5,"LED-MS",IF('Proposed Lighting'!CB268&gt;1,"Non-S",IF('Proposed Lighting'!CT268=0.6,"LED-SS",IF('Proposed Lighting'!CT268=2,"LED-NW",IF('Proposed Lighting'!CT268=3,"LLLC",0)))))))))</f>
        <v>0</v>
      </c>
      <c r="X282" s="1293">
        <f>'Proposed Lighting'!EE268</f>
        <v>0</v>
      </c>
      <c r="Y282" s="1293">
        <f>'Proposed Lighting'!EF268</f>
        <v>0</v>
      </c>
    </row>
    <row r="283" spans="1:25" ht="50.1" customHeight="1">
      <c r="A283" s="1290">
        <v>261</v>
      </c>
      <c r="B283" s="1291">
        <f>'Proposed Lighting'!B269</f>
        <v>0</v>
      </c>
      <c r="C283" s="1291">
        <f>IF('Proposed Lighting'!M269="Sch 1","Sch 1",IF('Proposed Lighting'!M269="Sch 1-C", "Sch 1-C",IF('Proposed Lighting'!M269="Sch 2","Sch 2",IF('Proposed Lighting'!M269="Sch 2-C","Sch 2-C",IF('Proposed Lighting'!M269="Sch 3","Sch 3",IF('Proposed Lighting'!M269="Sch 3-C", "Sch 3-C",IF('Proposed Lighting'!M269="E", "E",IF('Proposed Lighting'!M269="E-C", "E-C",IF('Proposed Lighting'!M269="Dusk to Dawn","Sch D-D",IF('Proposed Lighting'!M269="Dusk to Dawn-C", "Sch DD-C",IF('Proposed Lighting'!M269="Seasonal", "SEA",IF('Proposed Lighting'!M269="Seasonal-C", "SEA-C",0))))))))))))</f>
        <v>0</v>
      </c>
      <c r="D283" s="1292">
        <f>'Proposed Lighting'!F269</f>
        <v>0</v>
      </c>
      <c r="E283" s="1293">
        <f>'Proposed Lighting'!N269</f>
        <v>0</v>
      </c>
      <c r="F283" s="996"/>
      <c r="G283" s="1294">
        <f>'Proposed Lighting'!K269</f>
        <v>0</v>
      </c>
      <c r="H283" s="1295">
        <f>IF('Proposed Lighting'!P269&gt;0.2,'Proposed Lighting'!P269,0)</f>
        <v>0</v>
      </c>
      <c r="I283" s="995">
        <f>'Proposed Lighting'!J269</f>
        <v>0</v>
      </c>
      <c r="J283" s="996"/>
      <c r="K283" s="996"/>
      <c r="L283" s="996"/>
      <c r="M283" s="996"/>
      <c r="N283" s="1005"/>
      <c r="O283" s="1296" t="str">
        <f>'Proposed Lighting'!Z269&amp;", "&amp;'Proposed Lighting'!EK269</f>
        <v xml:space="preserve">, </v>
      </c>
      <c r="P283" s="1292">
        <f>'Proposed Lighting'!T269</f>
        <v>0</v>
      </c>
      <c r="Q283" s="1293">
        <f>'Proposed Lighting'!AA269</f>
        <v>0</v>
      </c>
      <c r="R283" s="996"/>
      <c r="S283" s="1297">
        <f>IF('Proposed Lighting'!AR269=0,0,IF('Proposed Lighting'!AT269&gt;0.2,'Proposed Lighting'!AT269,0))</f>
        <v>0</v>
      </c>
      <c r="T283" s="997">
        <f>'Proposed Lighting'!X269</f>
        <v>0</v>
      </c>
      <c r="U283" s="998"/>
      <c r="V283" s="998"/>
      <c r="W283" s="1378">
        <f>IF('Proposed Lighting'!AF269=4,"WS",IF('Proposed Lighting'!AF269=5,"CM",IF('Proposed Lighting'!AF269=1.6,"PHOT",IF('Proposed Lighting'!AF269=1.5,"FM",IF('Proposed Lighting'!CT269=0.5,"LED-MS",IF('Proposed Lighting'!CB269&gt;1,"Non-S",IF('Proposed Lighting'!CT269=0.6,"LED-SS",IF('Proposed Lighting'!CT269=2,"LED-NW",IF('Proposed Lighting'!CT269=3,"LLLC",0)))))))))</f>
        <v>0</v>
      </c>
      <c r="X283" s="1293">
        <f>'Proposed Lighting'!EE269</f>
        <v>0</v>
      </c>
      <c r="Y283" s="1293">
        <f>'Proposed Lighting'!EF269</f>
        <v>0</v>
      </c>
    </row>
    <row r="284" spans="1:25" ht="50.1" customHeight="1">
      <c r="A284" s="1290">
        <v>262</v>
      </c>
      <c r="B284" s="1291">
        <f>'Proposed Lighting'!B270</f>
        <v>0</v>
      </c>
      <c r="C284" s="1291">
        <f>IF('Proposed Lighting'!M270="Sch 1","Sch 1",IF('Proposed Lighting'!M270="Sch 1-C", "Sch 1-C",IF('Proposed Lighting'!M270="Sch 2","Sch 2",IF('Proposed Lighting'!M270="Sch 2-C","Sch 2-C",IF('Proposed Lighting'!M270="Sch 3","Sch 3",IF('Proposed Lighting'!M270="Sch 3-C", "Sch 3-C",IF('Proposed Lighting'!M270="E", "E",IF('Proposed Lighting'!M270="E-C", "E-C",IF('Proposed Lighting'!M270="Dusk to Dawn","Sch D-D",IF('Proposed Lighting'!M270="Dusk to Dawn-C", "Sch DD-C",IF('Proposed Lighting'!M270="Seasonal", "SEA",IF('Proposed Lighting'!M270="Seasonal-C", "SEA-C",0))))))))))))</f>
        <v>0</v>
      </c>
      <c r="D284" s="1292">
        <f>'Proposed Lighting'!F270</f>
        <v>0</v>
      </c>
      <c r="E284" s="1293">
        <f>'Proposed Lighting'!N270</f>
        <v>0</v>
      </c>
      <c r="F284" s="996"/>
      <c r="G284" s="1294">
        <f>'Proposed Lighting'!K270</f>
        <v>0</v>
      </c>
      <c r="H284" s="1295">
        <f>IF('Proposed Lighting'!P270&gt;0.2,'Proposed Lighting'!P270,0)</f>
        <v>0</v>
      </c>
      <c r="I284" s="995">
        <f>'Proposed Lighting'!J270</f>
        <v>0</v>
      </c>
      <c r="J284" s="996"/>
      <c r="K284" s="996"/>
      <c r="L284" s="996"/>
      <c r="M284" s="996"/>
      <c r="N284" s="1005"/>
      <c r="O284" s="1296" t="str">
        <f>'Proposed Lighting'!Z270&amp;", "&amp;'Proposed Lighting'!EK270</f>
        <v xml:space="preserve">, </v>
      </c>
      <c r="P284" s="1292">
        <f>'Proposed Lighting'!T270</f>
        <v>0</v>
      </c>
      <c r="Q284" s="1293">
        <f>'Proposed Lighting'!AA270</f>
        <v>0</v>
      </c>
      <c r="R284" s="996"/>
      <c r="S284" s="1297">
        <f>IF('Proposed Lighting'!AR270=0,0,IF('Proposed Lighting'!AT270&gt;0.2,'Proposed Lighting'!AT270,0))</f>
        <v>0</v>
      </c>
      <c r="T284" s="997">
        <f>'Proposed Lighting'!X270</f>
        <v>0</v>
      </c>
      <c r="U284" s="998"/>
      <c r="V284" s="998"/>
      <c r="W284" s="1378">
        <f>IF('Proposed Lighting'!AF270=4,"WS",IF('Proposed Lighting'!AF270=5,"CM",IF('Proposed Lighting'!AF270=1.6,"PHOT",IF('Proposed Lighting'!AF270=1.5,"FM",IF('Proposed Lighting'!CT270=0.5,"LED-MS",IF('Proposed Lighting'!CB270&gt;1,"Non-S",IF('Proposed Lighting'!CT270=0.6,"LED-SS",IF('Proposed Lighting'!CT270=2,"LED-NW",IF('Proposed Lighting'!CT270=3,"LLLC",0)))))))))</f>
        <v>0</v>
      </c>
      <c r="X284" s="1293">
        <f>'Proposed Lighting'!EE270</f>
        <v>0</v>
      </c>
      <c r="Y284" s="1293">
        <f>'Proposed Lighting'!EF270</f>
        <v>0</v>
      </c>
    </row>
    <row r="285" spans="1:25" ht="50.1" customHeight="1">
      <c r="A285" s="1290">
        <v>263</v>
      </c>
      <c r="B285" s="1291">
        <f>'Proposed Lighting'!B271</f>
        <v>0</v>
      </c>
      <c r="C285" s="1291">
        <f>IF('Proposed Lighting'!M271="Sch 1","Sch 1",IF('Proposed Lighting'!M271="Sch 1-C", "Sch 1-C",IF('Proposed Lighting'!M271="Sch 2","Sch 2",IF('Proposed Lighting'!M271="Sch 2-C","Sch 2-C",IF('Proposed Lighting'!M271="Sch 3","Sch 3",IF('Proposed Lighting'!M271="Sch 3-C", "Sch 3-C",IF('Proposed Lighting'!M271="E", "E",IF('Proposed Lighting'!M271="E-C", "E-C",IF('Proposed Lighting'!M271="Dusk to Dawn","Sch D-D",IF('Proposed Lighting'!M271="Dusk to Dawn-C", "Sch DD-C",IF('Proposed Lighting'!M271="Seasonal", "SEA",IF('Proposed Lighting'!M271="Seasonal-C", "SEA-C",0))))))))))))</f>
        <v>0</v>
      </c>
      <c r="D285" s="1292">
        <f>'Proposed Lighting'!F271</f>
        <v>0</v>
      </c>
      <c r="E285" s="1293">
        <f>'Proposed Lighting'!N271</f>
        <v>0</v>
      </c>
      <c r="F285" s="996"/>
      <c r="G285" s="1294">
        <f>'Proposed Lighting'!K271</f>
        <v>0</v>
      </c>
      <c r="H285" s="1295">
        <f>IF('Proposed Lighting'!P271&gt;0.2,'Proposed Lighting'!P271,0)</f>
        <v>0</v>
      </c>
      <c r="I285" s="995">
        <f>'Proposed Lighting'!J271</f>
        <v>0</v>
      </c>
      <c r="J285" s="996"/>
      <c r="K285" s="996"/>
      <c r="L285" s="996"/>
      <c r="M285" s="996"/>
      <c r="N285" s="1005"/>
      <c r="O285" s="1296" t="str">
        <f>'Proposed Lighting'!Z271&amp;", "&amp;'Proposed Lighting'!EK271</f>
        <v xml:space="preserve">, </v>
      </c>
      <c r="P285" s="1292">
        <f>'Proposed Lighting'!T271</f>
        <v>0</v>
      </c>
      <c r="Q285" s="1293">
        <f>'Proposed Lighting'!AA271</f>
        <v>0</v>
      </c>
      <c r="R285" s="996"/>
      <c r="S285" s="1297">
        <f>IF('Proposed Lighting'!AR271=0,0,IF('Proposed Lighting'!AT271&gt;0.2,'Proposed Lighting'!AT271,0))</f>
        <v>0</v>
      </c>
      <c r="T285" s="997">
        <f>'Proposed Lighting'!X271</f>
        <v>0</v>
      </c>
      <c r="U285" s="998"/>
      <c r="V285" s="998"/>
      <c r="W285" s="1378">
        <f>IF('Proposed Lighting'!AF271=4,"WS",IF('Proposed Lighting'!AF271=5,"CM",IF('Proposed Lighting'!AF271=1.6,"PHOT",IF('Proposed Lighting'!AF271=1.5,"FM",IF('Proposed Lighting'!CT271=0.5,"LED-MS",IF('Proposed Lighting'!CB271&gt;1,"Non-S",IF('Proposed Lighting'!CT271=0.6,"LED-SS",IF('Proposed Lighting'!CT271=2,"LED-NW",IF('Proposed Lighting'!CT271=3,"LLLC",0)))))))))</f>
        <v>0</v>
      </c>
      <c r="X285" s="1293">
        <f>'Proposed Lighting'!EE271</f>
        <v>0</v>
      </c>
      <c r="Y285" s="1293">
        <f>'Proposed Lighting'!EF271</f>
        <v>0</v>
      </c>
    </row>
    <row r="286" spans="1:25" ht="50.1" customHeight="1">
      <c r="A286" s="1290">
        <v>264</v>
      </c>
      <c r="B286" s="1291">
        <f>'Proposed Lighting'!B272</f>
        <v>0</v>
      </c>
      <c r="C286" s="1291">
        <f>IF('Proposed Lighting'!M272="Sch 1","Sch 1",IF('Proposed Lighting'!M272="Sch 1-C", "Sch 1-C",IF('Proposed Lighting'!M272="Sch 2","Sch 2",IF('Proposed Lighting'!M272="Sch 2-C","Sch 2-C",IF('Proposed Lighting'!M272="Sch 3","Sch 3",IF('Proposed Lighting'!M272="Sch 3-C", "Sch 3-C",IF('Proposed Lighting'!M272="E", "E",IF('Proposed Lighting'!M272="E-C", "E-C",IF('Proposed Lighting'!M272="Dusk to Dawn","Sch D-D",IF('Proposed Lighting'!M272="Dusk to Dawn-C", "Sch DD-C",IF('Proposed Lighting'!M272="Seasonal", "SEA",IF('Proposed Lighting'!M272="Seasonal-C", "SEA-C",0))))))))))))</f>
        <v>0</v>
      </c>
      <c r="D286" s="1292">
        <f>'Proposed Lighting'!F272</f>
        <v>0</v>
      </c>
      <c r="E286" s="1293">
        <f>'Proposed Lighting'!N272</f>
        <v>0</v>
      </c>
      <c r="F286" s="996"/>
      <c r="G286" s="1294">
        <f>'Proposed Lighting'!K272</f>
        <v>0</v>
      </c>
      <c r="H286" s="1295">
        <f>IF('Proposed Lighting'!P272&gt;0.2,'Proposed Lighting'!P272,0)</f>
        <v>0</v>
      </c>
      <c r="I286" s="995">
        <f>'Proposed Lighting'!J272</f>
        <v>0</v>
      </c>
      <c r="J286" s="996"/>
      <c r="K286" s="996"/>
      <c r="L286" s="996"/>
      <c r="M286" s="996"/>
      <c r="N286" s="1005"/>
      <c r="O286" s="1296" t="str">
        <f>'Proposed Lighting'!Z272&amp;", "&amp;'Proposed Lighting'!EK272</f>
        <v xml:space="preserve">, </v>
      </c>
      <c r="P286" s="1292">
        <f>'Proposed Lighting'!T272</f>
        <v>0</v>
      </c>
      <c r="Q286" s="1293">
        <f>'Proposed Lighting'!AA272</f>
        <v>0</v>
      </c>
      <c r="R286" s="996"/>
      <c r="S286" s="1297">
        <f>IF('Proposed Lighting'!AR272=0,0,IF('Proposed Lighting'!AT272&gt;0.2,'Proposed Lighting'!AT272,0))</f>
        <v>0</v>
      </c>
      <c r="T286" s="997">
        <f>'Proposed Lighting'!X272</f>
        <v>0</v>
      </c>
      <c r="U286" s="998"/>
      <c r="V286" s="998"/>
      <c r="W286" s="1378">
        <f>IF('Proposed Lighting'!AF272=4,"WS",IF('Proposed Lighting'!AF272=5,"CM",IF('Proposed Lighting'!AF272=1.6,"PHOT",IF('Proposed Lighting'!AF272=1.5,"FM",IF('Proposed Lighting'!CT272=0.5,"LED-MS",IF('Proposed Lighting'!CB272&gt;1,"Non-S",IF('Proposed Lighting'!CT272=0.6,"LED-SS",IF('Proposed Lighting'!CT272=2,"LED-NW",IF('Proposed Lighting'!CT272=3,"LLLC",0)))))))))</f>
        <v>0</v>
      </c>
      <c r="X286" s="1293">
        <f>'Proposed Lighting'!EE272</f>
        <v>0</v>
      </c>
      <c r="Y286" s="1293">
        <f>'Proposed Lighting'!EF272</f>
        <v>0</v>
      </c>
    </row>
    <row r="287" spans="1:25" ht="50.1" customHeight="1">
      <c r="A287" s="1290">
        <v>265</v>
      </c>
      <c r="B287" s="1291">
        <f>'Proposed Lighting'!B273</f>
        <v>0</v>
      </c>
      <c r="C287" s="1291">
        <f>IF('Proposed Lighting'!M273="Sch 1","Sch 1",IF('Proposed Lighting'!M273="Sch 1-C", "Sch 1-C",IF('Proposed Lighting'!M273="Sch 2","Sch 2",IF('Proposed Lighting'!M273="Sch 2-C","Sch 2-C",IF('Proposed Lighting'!M273="Sch 3","Sch 3",IF('Proposed Lighting'!M273="Sch 3-C", "Sch 3-C",IF('Proposed Lighting'!M273="E", "E",IF('Proposed Lighting'!M273="E-C", "E-C",IF('Proposed Lighting'!M273="Dusk to Dawn","Sch D-D",IF('Proposed Lighting'!M273="Dusk to Dawn-C", "Sch DD-C",IF('Proposed Lighting'!M273="Seasonal", "SEA",IF('Proposed Lighting'!M273="Seasonal-C", "SEA-C",0))))))))))))</f>
        <v>0</v>
      </c>
      <c r="D287" s="1292">
        <f>'Proposed Lighting'!F273</f>
        <v>0</v>
      </c>
      <c r="E287" s="1293">
        <f>'Proposed Lighting'!N273</f>
        <v>0</v>
      </c>
      <c r="F287" s="996"/>
      <c r="G287" s="1294">
        <f>'Proposed Lighting'!K273</f>
        <v>0</v>
      </c>
      <c r="H287" s="1295">
        <f>IF('Proposed Lighting'!P273&gt;0.2,'Proposed Lighting'!P273,0)</f>
        <v>0</v>
      </c>
      <c r="I287" s="995">
        <f>'Proposed Lighting'!J273</f>
        <v>0</v>
      </c>
      <c r="J287" s="996"/>
      <c r="K287" s="996"/>
      <c r="L287" s="996"/>
      <c r="M287" s="996"/>
      <c r="N287" s="1005"/>
      <c r="O287" s="1296" t="str">
        <f>'Proposed Lighting'!Z273&amp;", "&amp;'Proposed Lighting'!EK273</f>
        <v xml:space="preserve">, </v>
      </c>
      <c r="P287" s="1292">
        <f>'Proposed Lighting'!T273</f>
        <v>0</v>
      </c>
      <c r="Q287" s="1293">
        <f>'Proposed Lighting'!AA273</f>
        <v>0</v>
      </c>
      <c r="R287" s="996"/>
      <c r="S287" s="1297">
        <f>IF('Proposed Lighting'!AR273=0,0,IF('Proposed Lighting'!AT273&gt;0.2,'Proposed Lighting'!AT273,0))</f>
        <v>0</v>
      </c>
      <c r="T287" s="997">
        <f>'Proposed Lighting'!X273</f>
        <v>0</v>
      </c>
      <c r="U287" s="998"/>
      <c r="V287" s="998"/>
      <c r="W287" s="1378">
        <f>IF('Proposed Lighting'!AF273=4,"WS",IF('Proposed Lighting'!AF273=5,"CM",IF('Proposed Lighting'!AF273=1.6,"PHOT",IF('Proposed Lighting'!AF273=1.5,"FM",IF('Proposed Lighting'!CT273=0.5,"LED-MS",IF('Proposed Lighting'!CB273&gt;1,"Non-S",IF('Proposed Lighting'!CT273=0.6,"LED-SS",IF('Proposed Lighting'!CT273=2,"LED-NW",IF('Proposed Lighting'!CT273=3,"LLLC",0)))))))))</f>
        <v>0</v>
      </c>
      <c r="X287" s="1293">
        <f>'Proposed Lighting'!EE273</f>
        <v>0</v>
      </c>
      <c r="Y287" s="1293">
        <f>'Proposed Lighting'!EF273</f>
        <v>0</v>
      </c>
    </row>
    <row r="288" spans="1:25" ht="49.9" customHeight="1">
      <c r="A288" s="1290">
        <v>266</v>
      </c>
      <c r="B288" s="1291">
        <f>'Proposed Lighting'!B274</f>
        <v>0</v>
      </c>
      <c r="C288" s="1291">
        <f>IF('Proposed Lighting'!M274="Sch 1","Sch 1",IF('Proposed Lighting'!M274="Sch 1-C", "Sch 1-C",IF('Proposed Lighting'!M274="Sch 2","Sch 2",IF('Proposed Lighting'!M274="Sch 2-C","Sch 2-C",IF('Proposed Lighting'!M274="Sch 3","Sch 3",IF('Proposed Lighting'!M274="Sch 3-C", "Sch 3-C",IF('Proposed Lighting'!M274="E", "E",IF('Proposed Lighting'!M274="E-C", "E-C",IF('Proposed Lighting'!M274="Dusk to Dawn","Sch D-D",IF('Proposed Lighting'!M274="Dusk to Dawn-C", "Sch DD-C",IF('Proposed Lighting'!M274="Seasonal", "SEA",IF('Proposed Lighting'!M274="Seasonal-C", "SEA-C",0))))))))))))</f>
        <v>0</v>
      </c>
      <c r="D288" s="1292">
        <f>'Proposed Lighting'!F274</f>
        <v>0</v>
      </c>
      <c r="E288" s="1293">
        <f>'Proposed Lighting'!N274</f>
        <v>0</v>
      </c>
      <c r="F288" s="996"/>
      <c r="G288" s="1294">
        <f>'Proposed Lighting'!K274</f>
        <v>0</v>
      </c>
      <c r="H288" s="1295">
        <f>IF('Proposed Lighting'!P274&gt;0.2,'Proposed Lighting'!P274,0)</f>
        <v>0</v>
      </c>
      <c r="I288" s="995">
        <f>'Proposed Lighting'!J274</f>
        <v>0</v>
      </c>
      <c r="J288" s="996"/>
      <c r="K288" s="996"/>
      <c r="L288" s="996"/>
      <c r="M288" s="996"/>
      <c r="N288" s="1005"/>
      <c r="O288" s="1296" t="str">
        <f>'Proposed Lighting'!Z274&amp;", "&amp;'Proposed Lighting'!EK274</f>
        <v xml:space="preserve">, </v>
      </c>
      <c r="P288" s="1292">
        <f>'Proposed Lighting'!T274</f>
        <v>0</v>
      </c>
      <c r="Q288" s="1293">
        <f>'Proposed Lighting'!AA274</f>
        <v>0</v>
      </c>
      <c r="R288" s="996"/>
      <c r="S288" s="1297">
        <f>IF('Proposed Lighting'!AR274=0,0,IF('Proposed Lighting'!AT274&gt;0.2,'Proposed Lighting'!AT274,0))</f>
        <v>0</v>
      </c>
      <c r="T288" s="997">
        <f>'Proposed Lighting'!X274</f>
        <v>0</v>
      </c>
      <c r="U288" s="998"/>
      <c r="V288" s="998"/>
      <c r="W288" s="1378">
        <f>IF('Proposed Lighting'!AF274=4,"WS",IF('Proposed Lighting'!AF274=5,"CM",IF('Proposed Lighting'!AF274=1.6,"PHOT",IF('Proposed Lighting'!AF274=1.5,"FM",IF('Proposed Lighting'!CT274=0.5,"LED-MS",IF('Proposed Lighting'!CB274&gt;1,"Non-S",IF('Proposed Lighting'!CT274=0.6,"LED-SS",IF('Proposed Lighting'!CT274=2,"LED-NW",IF('Proposed Lighting'!CT274=3,"LLLC",0)))))))))</f>
        <v>0</v>
      </c>
      <c r="X288" s="1293">
        <f>'Proposed Lighting'!EE274</f>
        <v>0</v>
      </c>
      <c r="Y288" s="1293">
        <f>'Proposed Lighting'!EF274</f>
        <v>0</v>
      </c>
    </row>
    <row r="289" spans="1:25" ht="50.1" customHeight="1">
      <c r="A289" s="1290">
        <v>267</v>
      </c>
      <c r="B289" s="1291">
        <f>'Proposed Lighting'!B275</f>
        <v>0</v>
      </c>
      <c r="C289" s="1291">
        <f>IF('Proposed Lighting'!M275="Sch 1","Sch 1",IF('Proposed Lighting'!M275="Sch 1-C", "Sch 1-C",IF('Proposed Lighting'!M275="Sch 2","Sch 2",IF('Proposed Lighting'!M275="Sch 2-C","Sch 2-C",IF('Proposed Lighting'!M275="Sch 3","Sch 3",IF('Proposed Lighting'!M275="Sch 3-C", "Sch 3-C",IF('Proposed Lighting'!M275="E", "E",IF('Proposed Lighting'!M275="E-C", "E-C",IF('Proposed Lighting'!M275="Dusk to Dawn","Sch D-D",IF('Proposed Lighting'!M275="Dusk to Dawn-C", "Sch DD-C",IF('Proposed Lighting'!M275="Seasonal", "SEA",IF('Proposed Lighting'!M275="Seasonal-C", "SEA-C",0))))))))))))</f>
        <v>0</v>
      </c>
      <c r="D289" s="1292">
        <f>'Proposed Lighting'!F275</f>
        <v>0</v>
      </c>
      <c r="E289" s="1293">
        <f>'Proposed Lighting'!N275</f>
        <v>0</v>
      </c>
      <c r="F289" s="996"/>
      <c r="G289" s="1294">
        <f>'Proposed Lighting'!K275</f>
        <v>0</v>
      </c>
      <c r="H289" s="1295">
        <f>IF('Proposed Lighting'!P275&gt;0.2,'Proposed Lighting'!P275,0)</f>
        <v>0</v>
      </c>
      <c r="I289" s="995">
        <f>'Proposed Lighting'!J275</f>
        <v>0</v>
      </c>
      <c r="J289" s="996"/>
      <c r="K289" s="996"/>
      <c r="L289" s="996"/>
      <c r="M289" s="996"/>
      <c r="N289" s="1005"/>
      <c r="O289" s="1296" t="str">
        <f>'Proposed Lighting'!Z275&amp;", "&amp;'Proposed Lighting'!EK275</f>
        <v xml:space="preserve">, </v>
      </c>
      <c r="P289" s="1292">
        <f>'Proposed Lighting'!T275</f>
        <v>0</v>
      </c>
      <c r="Q289" s="1293">
        <f>'Proposed Lighting'!AA275</f>
        <v>0</v>
      </c>
      <c r="R289" s="996"/>
      <c r="S289" s="1297">
        <f>IF('Proposed Lighting'!AR275=0,0,IF('Proposed Lighting'!AT275&gt;0.2,'Proposed Lighting'!AT275,0))</f>
        <v>0</v>
      </c>
      <c r="T289" s="997">
        <f>'Proposed Lighting'!X275</f>
        <v>0</v>
      </c>
      <c r="U289" s="998"/>
      <c r="V289" s="998"/>
      <c r="W289" s="1378">
        <f>IF('Proposed Lighting'!AF275=4,"WS",IF('Proposed Lighting'!AF275=5,"CM",IF('Proposed Lighting'!AF275=1.6,"PHOT",IF('Proposed Lighting'!AF275=1.5,"FM",IF('Proposed Lighting'!CT275=0.5,"LED-MS",IF('Proposed Lighting'!CB275&gt;1,"Non-S",IF('Proposed Lighting'!CT275=0.6,"LED-SS",IF('Proposed Lighting'!CT275=2,"LED-NW",IF('Proposed Lighting'!CT275=3,"LLLC",0)))))))))</f>
        <v>0</v>
      </c>
      <c r="X289" s="1293">
        <f>'Proposed Lighting'!EE275</f>
        <v>0</v>
      </c>
      <c r="Y289" s="1293">
        <f>'Proposed Lighting'!EF275</f>
        <v>0</v>
      </c>
    </row>
    <row r="290" spans="1:25" ht="50.1" customHeight="1">
      <c r="A290" s="1290">
        <v>268</v>
      </c>
      <c r="B290" s="1291">
        <f>'Proposed Lighting'!B276</f>
        <v>0</v>
      </c>
      <c r="C290" s="1291">
        <f>IF('Proposed Lighting'!M276="Sch 1","Sch 1",IF('Proposed Lighting'!M276="Sch 1-C", "Sch 1-C",IF('Proposed Lighting'!M276="Sch 2","Sch 2",IF('Proposed Lighting'!M276="Sch 2-C","Sch 2-C",IF('Proposed Lighting'!M276="Sch 3","Sch 3",IF('Proposed Lighting'!M276="Sch 3-C", "Sch 3-C",IF('Proposed Lighting'!M276="E", "E",IF('Proposed Lighting'!M276="E-C", "E-C",IF('Proposed Lighting'!M276="Dusk to Dawn","Sch D-D",IF('Proposed Lighting'!M276="Dusk to Dawn-C", "Sch DD-C",IF('Proposed Lighting'!M276="Seasonal", "SEA",IF('Proposed Lighting'!M276="Seasonal-C", "SEA-C",0))))))))))))</f>
        <v>0</v>
      </c>
      <c r="D290" s="1292">
        <f>'Proposed Lighting'!F276</f>
        <v>0</v>
      </c>
      <c r="E290" s="1293">
        <f>'Proposed Lighting'!N276</f>
        <v>0</v>
      </c>
      <c r="F290" s="996"/>
      <c r="G290" s="1294">
        <f>'Proposed Lighting'!K276</f>
        <v>0</v>
      </c>
      <c r="H290" s="1295">
        <f>IF('Proposed Lighting'!P276&gt;0.2,'Proposed Lighting'!P276,0)</f>
        <v>0</v>
      </c>
      <c r="I290" s="995">
        <f>'Proposed Lighting'!J276</f>
        <v>0</v>
      </c>
      <c r="J290" s="996"/>
      <c r="K290" s="996"/>
      <c r="L290" s="996"/>
      <c r="M290" s="996"/>
      <c r="N290" s="1005"/>
      <c r="O290" s="1296" t="str">
        <f>'Proposed Lighting'!Z276&amp;", "&amp;'Proposed Lighting'!EK276</f>
        <v xml:space="preserve">, </v>
      </c>
      <c r="P290" s="1292">
        <f>'Proposed Lighting'!T276</f>
        <v>0</v>
      </c>
      <c r="Q290" s="1293">
        <f>'Proposed Lighting'!AA276</f>
        <v>0</v>
      </c>
      <c r="R290" s="996"/>
      <c r="S290" s="1297">
        <f>IF('Proposed Lighting'!AR276=0,0,IF('Proposed Lighting'!AT276&gt;0.2,'Proposed Lighting'!AT276,0))</f>
        <v>0</v>
      </c>
      <c r="T290" s="997">
        <f>'Proposed Lighting'!X276</f>
        <v>0</v>
      </c>
      <c r="U290" s="998"/>
      <c r="V290" s="998"/>
      <c r="W290" s="1378">
        <f>IF('Proposed Lighting'!AF276=4,"WS",IF('Proposed Lighting'!AF276=5,"CM",IF('Proposed Lighting'!AF276=1.6,"PHOT",IF('Proposed Lighting'!AF276=1.5,"FM",IF('Proposed Lighting'!CT276=0.5,"LED-MS",IF('Proposed Lighting'!CB276&gt;1,"Non-S",IF('Proposed Lighting'!CT276=0.6,"LED-SS",IF('Proposed Lighting'!CT276=2,"LED-NW",IF('Proposed Lighting'!CT276=3,"LLLC",0)))))))))</f>
        <v>0</v>
      </c>
      <c r="X290" s="1293">
        <f>'Proposed Lighting'!EE276</f>
        <v>0</v>
      </c>
      <c r="Y290" s="1293">
        <f>'Proposed Lighting'!EF276</f>
        <v>0</v>
      </c>
    </row>
    <row r="291" spans="1:25" ht="50.1" customHeight="1">
      <c r="A291" s="1290">
        <v>269</v>
      </c>
      <c r="B291" s="1291">
        <f>'Proposed Lighting'!B277</f>
        <v>0</v>
      </c>
      <c r="C291" s="1291">
        <f>IF('Proposed Lighting'!M277="Sch 1","Sch 1",IF('Proposed Lighting'!M277="Sch 1-C", "Sch 1-C",IF('Proposed Lighting'!M277="Sch 2","Sch 2",IF('Proposed Lighting'!M277="Sch 2-C","Sch 2-C",IF('Proposed Lighting'!M277="Sch 3","Sch 3",IF('Proposed Lighting'!M277="Sch 3-C", "Sch 3-C",IF('Proposed Lighting'!M277="E", "E",IF('Proposed Lighting'!M277="E-C", "E-C",IF('Proposed Lighting'!M277="Dusk to Dawn","Sch D-D",IF('Proposed Lighting'!M277="Dusk to Dawn-C", "Sch DD-C",IF('Proposed Lighting'!M277="Seasonal", "SEA",IF('Proposed Lighting'!M277="Seasonal-C", "SEA-C",0))))))))))))</f>
        <v>0</v>
      </c>
      <c r="D291" s="1292">
        <f>'Proposed Lighting'!F277</f>
        <v>0</v>
      </c>
      <c r="E291" s="1293">
        <f>'Proposed Lighting'!N277</f>
        <v>0</v>
      </c>
      <c r="F291" s="996"/>
      <c r="G291" s="1294">
        <f>'Proposed Lighting'!K277</f>
        <v>0</v>
      </c>
      <c r="H291" s="1295">
        <f>IF('Proposed Lighting'!P277&gt;0.2,'Proposed Lighting'!P277,0)</f>
        <v>0</v>
      </c>
      <c r="I291" s="995">
        <f>'Proposed Lighting'!J277</f>
        <v>0</v>
      </c>
      <c r="J291" s="996"/>
      <c r="K291" s="996"/>
      <c r="L291" s="996"/>
      <c r="M291" s="996"/>
      <c r="N291" s="1005"/>
      <c r="O291" s="1296" t="str">
        <f>'Proposed Lighting'!Z277&amp;", "&amp;'Proposed Lighting'!EK277</f>
        <v xml:space="preserve">, </v>
      </c>
      <c r="P291" s="1292">
        <f>'Proposed Lighting'!T277</f>
        <v>0</v>
      </c>
      <c r="Q291" s="1293">
        <f>'Proposed Lighting'!AA277</f>
        <v>0</v>
      </c>
      <c r="R291" s="996"/>
      <c r="S291" s="1297">
        <f>IF('Proposed Lighting'!AR277=0,0,IF('Proposed Lighting'!AT277&gt;0.2,'Proposed Lighting'!AT277,0))</f>
        <v>0</v>
      </c>
      <c r="T291" s="997">
        <f>'Proposed Lighting'!X277</f>
        <v>0</v>
      </c>
      <c r="U291" s="998"/>
      <c r="V291" s="998"/>
      <c r="W291" s="1378">
        <f>IF('Proposed Lighting'!AF277=4,"WS",IF('Proposed Lighting'!AF277=5,"CM",IF('Proposed Lighting'!AF277=1.6,"PHOT",IF('Proposed Lighting'!AF277=1.5,"FM",IF('Proposed Lighting'!CT277=0.5,"LED-MS",IF('Proposed Lighting'!CB277&gt;1,"Non-S",IF('Proposed Lighting'!CT277=0.6,"LED-SS",IF('Proposed Lighting'!CT277=2,"LED-NW",IF('Proposed Lighting'!CT277=3,"LLLC",0)))))))))</f>
        <v>0</v>
      </c>
      <c r="X291" s="1293">
        <f>'Proposed Lighting'!EE277</f>
        <v>0</v>
      </c>
      <c r="Y291" s="1293">
        <f>'Proposed Lighting'!EF277</f>
        <v>0</v>
      </c>
    </row>
    <row r="292" spans="1:25" ht="50.1" customHeight="1">
      <c r="A292" s="1290">
        <v>270</v>
      </c>
      <c r="B292" s="1291">
        <f>'Proposed Lighting'!B278</f>
        <v>0</v>
      </c>
      <c r="C292" s="1291">
        <f>IF('Proposed Lighting'!M278="Sch 1","Sch 1",IF('Proposed Lighting'!M278="Sch 1-C", "Sch 1-C",IF('Proposed Lighting'!M278="Sch 2","Sch 2",IF('Proposed Lighting'!M278="Sch 2-C","Sch 2-C",IF('Proposed Lighting'!M278="Sch 3","Sch 3",IF('Proposed Lighting'!M278="Sch 3-C", "Sch 3-C",IF('Proposed Lighting'!M278="E", "E",IF('Proposed Lighting'!M278="E-C", "E-C",IF('Proposed Lighting'!M278="Dusk to Dawn","Sch D-D",IF('Proposed Lighting'!M278="Dusk to Dawn-C", "Sch DD-C",IF('Proposed Lighting'!M278="Seasonal", "SEA",IF('Proposed Lighting'!M278="Seasonal-C", "SEA-C",0))))))))))))</f>
        <v>0</v>
      </c>
      <c r="D292" s="1292">
        <f>'Proposed Lighting'!F278</f>
        <v>0</v>
      </c>
      <c r="E292" s="1293">
        <f>'Proposed Lighting'!N278</f>
        <v>0</v>
      </c>
      <c r="F292" s="996"/>
      <c r="G292" s="1294">
        <f>'Proposed Lighting'!K278</f>
        <v>0</v>
      </c>
      <c r="H292" s="1295">
        <f>IF('Proposed Lighting'!P278&gt;0.2,'Proposed Lighting'!P278,0)</f>
        <v>0</v>
      </c>
      <c r="I292" s="995">
        <f>'Proposed Lighting'!J278</f>
        <v>0</v>
      </c>
      <c r="J292" s="996"/>
      <c r="K292" s="996"/>
      <c r="L292" s="996"/>
      <c r="M292" s="996"/>
      <c r="N292" s="1005"/>
      <c r="O292" s="1296" t="str">
        <f>'Proposed Lighting'!Z278&amp;", "&amp;'Proposed Lighting'!EK278</f>
        <v xml:space="preserve">, </v>
      </c>
      <c r="P292" s="1292">
        <f>'Proposed Lighting'!T278</f>
        <v>0</v>
      </c>
      <c r="Q292" s="1293">
        <f>'Proposed Lighting'!AA278</f>
        <v>0</v>
      </c>
      <c r="R292" s="996"/>
      <c r="S292" s="1297">
        <f>IF('Proposed Lighting'!AR278=0,0,IF('Proposed Lighting'!AT278&gt;0.2,'Proposed Lighting'!AT278,0))</f>
        <v>0</v>
      </c>
      <c r="T292" s="997">
        <f>'Proposed Lighting'!X278</f>
        <v>0</v>
      </c>
      <c r="U292" s="998"/>
      <c r="V292" s="998"/>
      <c r="W292" s="1378">
        <f>IF('Proposed Lighting'!AF278=4,"WS",IF('Proposed Lighting'!AF278=5,"CM",IF('Proposed Lighting'!AF278=1.6,"PHOT",IF('Proposed Lighting'!AF278=1.5,"FM",IF('Proposed Lighting'!CT278=0.5,"LED-MS",IF('Proposed Lighting'!CB278&gt;1,"Non-S",IF('Proposed Lighting'!CT278=0.6,"LED-SS",IF('Proposed Lighting'!CT278=2,"LED-NW",IF('Proposed Lighting'!CT278=3,"LLLC",0)))))))))</f>
        <v>0</v>
      </c>
      <c r="X292" s="1293">
        <f>'Proposed Lighting'!EE278</f>
        <v>0</v>
      </c>
      <c r="Y292" s="1293">
        <f>'Proposed Lighting'!EF278</f>
        <v>0</v>
      </c>
    </row>
    <row r="293" spans="1:25" ht="50.1" customHeight="1">
      <c r="A293" s="1290">
        <v>271</v>
      </c>
      <c r="B293" s="1291">
        <f>'Proposed Lighting'!B279</f>
        <v>0</v>
      </c>
      <c r="C293" s="1291">
        <f>IF('Proposed Lighting'!M279="Sch 1","Sch 1",IF('Proposed Lighting'!M279="Sch 1-C", "Sch 1-C",IF('Proposed Lighting'!M279="Sch 2","Sch 2",IF('Proposed Lighting'!M279="Sch 2-C","Sch 2-C",IF('Proposed Lighting'!M279="Sch 3","Sch 3",IF('Proposed Lighting'!M279="Sch 3-C", "Sch 3-C",IF('Proposed Lighting'!M279="E", "E",IF('Proposed Lighting'!M279="E-C", "E-C",IF('Proposed Lighting'!M279="Dusk to Dawn","Sch D-D",IF('Proposed Lighting'!M279="Dusk to Dawn-C", "Sch DD-C",IF('Proposed Lighting'!M279="Seasonal", "SEA",IF('Proposed Lighting'!M279="Seasonal-C", "SEA-C",0))))))))))))</f>
        <v>0</v>
      </c>
      <c r="D293" s="1292">
        <f>'Proposed Lighting'!F279</f>
        <v>0</v>
      </c>
      <c r="E293" s="1293">
        <f>'Proposed Lighting'!N279</f>
        <v>0</v>
      </c>
      <c r="F293" s="996"/>
      <c r="G293" s="1294">
        <f>'Proposed Lighting'!K279</f>
        <v>0</v>
      </c>
      <c r="H293" s="1295">
        <f>IF('Proposed Lighting'!P279&gt;0.2,'Proposed Lighting'!P279,0)</f>
        <v>0</v>
      </c>
      <c r="I293" s="995">
        <f>'Proposed Lighting'!J279</f>
        <v>0</v>
      </c>
      <c r="J293" s="996"/>
      <c r="K293" s="996"/>
      <c r="L293" s="996"/>
      <c r="M293" s="996"/>
      <c r="N293" s="1005"/>
      <c r="O293" s="1296" t="str">
        <f>'Proposed Lighting'!Z279&amp;", "&amp;'Proposed Lighting'!EK279</f>
        <v xml:space="preserve">, </v>
      </c>
      <c r="P293" s="1292">
        <f>'Proposed Lighting'!T279</f>
        <v>0</v>
      </c>
      <c r="Q293" s="1293">
        <f>'Proposed Lighting'!AA279</f>
        <v>0</v>
      </c>
      <c r="R293" s="996"/>
      <c r="S293" s="1297">
        <f>IF('Proposed Lighting'!AR279=0,0,IF('Proposed Lighting'!AT279&gt;0.2,'Proposed Lighting'!AT279,0))</f>
        <v>0</v>
      </c>
      <c r="T293" s="997">
        <f>'Proposed Lighting'!X279</f>
        <v>0</v>
      </c>
      <c r="U293" s="998"/>
      <c r="V293" s="998"/>
      <c r="W293" s="1378">
        <f>IF('Proposed Lighting'!AF279=4,"WS",IF('Proposed Lighting'!AF279=5,"CM",IF('Proposed Lighting'!AF279=1.6,"PHOT",IF('Proposed Lighting'!AF279=1.5,"FM",IF('Proposed Lighting'!CT279=0.5,"LED-MS",IF('Proposed Lighting'!CB279&gt;1,"Non-S",IF('Proposed Lighting'!CT279=0.6,"LED-SS",IF('Proposed Lighting'!CT279=2,"LED-NW",IF('Proposed Lighting'!CT279=3,"LLLC",0)))))))))</f>
        <v>0</v>
      </c>
      <c r="X293" s="1293">
        <f>'Proposed Lighting'!EE279</f>
        <v>0</v>
      </c>
      <c r="Y293" s="1293">
        <f>'Proposed Lighting'!EF279</f>
        <v>0</v>
      </c>
    </row>
    <row r="294" spans="1:25" ht="50.1" customHeight="1">
      <c r="A294" s="1290">
        <v>272</v>
      </c>
      <c r="B294" s="1291">
        <f>'Proposed Lighting'!B280</f>
        <v>0</v>
      </c>
      <c r="C294" s="1291">
        <f>IF('Proposed Lighting'!M280="Sch 1","Sch 1",IF('Proposed Lighting'!M280="Sch 1-C", "Sch 1-C",IF('Proposed Lighting'!M280="Sch 2","Sch 2",IF('Proposed Lighting'!M280="Sch 2-C","Sch 2-C",IF('Proposed Lighting'!M280="Sch 3","Sch 3",IF('Proposed Lighting'!M280="Sch 3-C", "Sch 3-C",IF('Proposed Lighting'!M280="E", "E",IF('Proposed Lighting'!M280="E-C", "E-C",IF('Proposed Lighting'!M280="Dusk to Dawn","Sch D-D",IF('Proposed Lighting'!M280="Dusk to Dawn-C", "Sch DD-C",IF('Proposed Lighting'!M280="Seasonal", "SEA",IF('Proposed Lighting'!M280="Seasonal-C", "SEA-C",0))))))))))))</f>
        <v>0</v>
      </c>
      <c r="D294" s="1292">
        <f>'Proposed Lighting'!F280</f>
        <v>0</v>
      </c>
      <c r="E294" s="1293">
        <f>'Proposed Lighting'!N280</f>
        <v>0</v>
      </c>
      <c r="F294" s="996"/>
      <c r="G294" s="1294">
        <f>'Proposed Lighting'!K280</f>
        <v>0</v>
      </c>
      <c r="H294" s="1295">
        <f>IF('Proposed Lighting'!P280&gt;0.2,'Proposed Lighting'!P280,0)</f>
        <v>0</v>
      </c>
      <c r="I294" s="995">
        <f>'Proposed Lighting'!J280</f>
        <v>0</v>
      </c>
      <c r="J294" s="996"/>
      <c r="K294" s="996"/>
      <c r="L294" s="996"/>
      <c r="M294" s="996"/>
      <c r="N294" s="1005"/>
      <c r="O294" s="1296" t="str">
        <f>'Proposed Lighting'!Z280&amp;", "&amp;'Proposed Lighting'!EK280</f>
        <v xml:space="preserve">, </v>
      </c>
      <c r="P294" s="1292">
        <f>'Proposed Lighting'!T280</f>
        <v>0</v>
      </c>
      <c r="Q294" s="1293">
        <f>'Proposed Lighting'!AA280</f>
        <v>0</v>
      </c>
      <c r="R294" s="996"/>
      <c r="S294" s="1297">
        <f>IF('Proposed Lighting'!AR280=0,0,IF('Proposed Lighting'!AT280&gt;0.2,'Proposed Lighting'!AT280,0))</f>
        <v>0</v>
      </c>
      <c r="T294" s="997">
        <f>'Proposed Lighting'!X280</f>
        <v>0</v>
      </c>
      <c r="U294" s="998"/>
      <c r="V294" s="998"/>
      <c r="W294" s="1378">
        <f>IF('Proposed Lighting'!AF280=4,"WS",IF('Proposed Lighting'!AF280=5,"CM",IF('Proposed Lighting'!AF280=1.6,"PHOT",IF('Proposed Lighting'!AF280=1.5,"FM",IF('Proposed Lighting'!CT280=0.5,"LED-MS",IF('Proposed Lighting'!CB280&gt;1,"Non-S",IF('Proposed Lighting'!CT280=0.6,"LED-SS",IF('Proposed Lighting'!CT280=2,"LED-NW",IF('Proposed Lighting'!CT280=3,"LLLC",0)))))))))</f>
        <v>0</v>
      </c>
      <c r="X294" s="1293">
        <f>'Proposed Lighting'!EE280</f>
        <v>0</v>
      </c>
      <c r="Y294" s="1293">
        <f>'Proposed Lighting'!EF280</f>
        <v>0</v>
      </c>
    </row>
    <row r="295" spans="1:25" ht="50.1" customHeight="1">
      <c r="A295" s="1290">
        <v>273</v>
      </c>
      <c r="B295" s="1291">
        <f>'Proposed Lighting'!B281</f>
        <v>0</v>
      </c>
      <c r="C295" s="1291">
        <f>IF('Proposed Lighting'!M281="Sch 1","Sch 1",IF('Proposed Lighting'!M281="Sch 1-C", "Sch 1-C",IF('Proposed Lighting'!M281="Sch 2","Sch 2",IF('Proposed Lighting'!M281="Sch 2-C","Sch 2-C",IF('Proposed Lighting'!M281="Sch 3","Sch 3",IF('Proposed Lighting'!M281="Sch 3-C", "Sch 3-C",IF('Proposed Lighting'!M281="E", "E",IF('Proposed Lighting'!M281="E-C", "E-C",IF('Proposed Lighting'!M281="Dusk to Dawn","Sch D-D",IF('Proposed Lighting'!M281="Dusk to Dawn-C", "Sch DD-C",IF('Proposed Lighting'!M281="Seasonal", "SEA",IF('Proposed Lighting'!M281="Seasonal-C", "SEA-C",0))))))))))))</f>
        <v>0</v>
      </c>
      <c r="D295" s="1292">
        <f>'Proposed Lighting'!F281</f>
        <v>0</v>
      </c>
      <c r="E295" s="1293">
        <f>'Proposed Lighting'!N281</f>
        <v>0</v>
      </c>
      <c r="F295" s="996"/>
      <c r="G295" s="1294">
        <f>'Proposed Lighting'!K281</f>
        <v>0</v>
      </c>
      <c r="H295" s="1295">
        <f>IF('Proposed Lighting'!P281&gt;0.2,'Proposed Lighting'!P281,0)</f>
        <v>0</v>
      </c>
      <c r="I295" s="995">
        <f>'Proposed Lighting'!J281</f>
        <v>0</v>
      </c>
      <c r="J295" s="996"/>
      <c r="K295" s="996"/>
      <c r="L295" s="996"/>
      <c r="M295" s="996"/>
      <c r="N295" s="1005"/>
      <c r="O295" s="1296" t="str">
        <f>'Proposed Lighting'!Z281&amp;", "&amp;'Proposed Lighting'!EK281</f>
        <v xml:space="preserve">, </v>
      </c>
      <c r="P295" s="1292">
        <f>'Proposed Lighting'!T281</f>
        <v>0</v>
      </c>
      <c r="Q295" s="1293">
        <f>'Proposed Lighting'!AA281</f>
        <v>0</v>
      </c>
      <c r="R295" s="996"/>
      <c r="S295" s="1297">
        <f>IF('Proposed Lighting'!AR281=0,0,IF('Proposed Lighting'!AT281&gt;0.2,'Proposed Lighting'!AT281,0))</f>
        <v>0</v>
      </c>
      <c r="T295" s="997">
        <f>'Proposed Lighting'!X281</f>
        <v>0</v>
      </c>
      <c r="U295" s="998"/>
      <c r="V295" s="998"/>
      <c r="W295" s="1378">
        <f>IF('Proposed Lighting'!AF281=4,"WS",IF('Proposed Lighting'!AF281=5,"CM",IF('Proposed Lighting'!AF281=1.6,"PHOT",IF('Proposed Lighting'!AF281=1.5,"FM",IF('Proposed Lighting'!CT281=0.5,"LED-MS",IF('Proposed Lighting'!CB281&gt;1,"Non-S",IF('Proposed Lighting'!CT281=0.6,"LED-SS",IF('Proposed Lighting'!CT281=2,"LED-NW",IF('Proposed Lighting'!CT281=3,"LLLC",0)))))))))</f>
        <v>0</v>
      </c>
      <c r="X295" s="1293">
        <f>'Proposed Lighting'!EE281</f>
        <v>0</v>
      </c>
      <c r="Y295" s="1293">
        <f>'Proposed Lighting'!EF281</f>
        <v>0</v>
      </c>
    </row>
    <row r="296" spans="1:25" ht="50.1" customHeight="1">
      <c r="A296" s="1290">
        <v>274</v>
      </c>
      <c r="B296" s="1291">
        <f>'Proposed Lighting'!B282</f>
        <v>0</v>
      </c>
      <c r="C296" s="1291">
        <f>IF('Proposed Lighting'!M282="Sch 1","Sch 1",IF('Proposed Lighting'!M282="Sch 1-C", "Sch 1-C",IF('Proposed Lighting'!M282="Sch 2","Sch 2",IF('Proposed Lighting'!M282="Sch 2-C","Sch 2-C",IF('Proposed Lighting'!M282="Sch 3","Sch 3",IF('Proposed Lighting'!M282="Sch 3-C", "Sch 3-C",IF('Proposed Lighting'!M282="E", "E",IF('Proposed Lighting'!M282="E-C", "E-C",IF('Proposed Lighting'!M282="Dusk to Dawn","Sch D-D",IF('Proposed Lighting'!M282="Dusk to Dawn-C", "Sch DD-C",IF('Proposed Lighting'!M282="Seasonal", "SEA",IF('Proposed Lighting'!M282="Seasonal-C", "SEA-C",0))))))))))))</f>
        <v>0</v>
      </c>
      <c r="D296" s="1292">
        <f>'Proposed Lighting'!F282</f>
        <v>0</v>
      </c>
      <c r="E296" s="1293">
        <f>'Proposed Lighting'!N282</f>
        <v>0</v>
      </c>
      <c r="F296" s="996"/>
      <c r="G296" s="1294">
        <f>'Proposed Lighting'!K282</f>
        <v>0</v>
      </c>
      <c r="H296" s="1295">
        <f>IF('Proposed Lighting'!P282&gt;0.2,'Proposed Lighting'!P282,0)</f>
        <v>0</v>
      </c>
      <c r="I296" s="995">
        <f>'Proposed Lighting'!J282</f>
        <v>0</v>
      </c>
      <c r="J296" s="996"/>
      <c r="K296" s="996"/>
      <c r="L296" s="996"/>
      <c r="M296" s="996"/>
      <c r="N296" s="1005"/>
      <c r="O296" s="1296" t="str">
        <f>'Proposed Lighting'!Z282&amp;", "&amp;'Proposed Lighting'!EK282</f>
        <v xml:space="preserve">, </v>
      </c>
      <c r="P296" s="1292">
        <f>'Proposed Lighting'!T282</f>
        <v>0</v>
      </c>
      <c r="Q296" s="1293">
        <f>'Proposed Lighting'!AA282</f>
        <v>0</v>
      </c>
      <c r="R296" s="996"/>
      <c r="S296" s="1297">
        <f>IF('Proposed Lighting'!AR282=0,0,IF('Proposed Lighting'!AT282&gt;0.2,'Proposed Lighting'!AT282,0))</f>
        <v>0</v>
      </c>
      <c r="T296" s="997">
        <f>'Proposed Lighting'!X282</f>
        <v>0</v>
      </c>
      <c r="U296" s="998"/>
      <c r="V296" s="998"/>
      <c r="W296" s="1378">
        <f>IF('Proposed Lighting'!AF282=4,"WS",IF('Proposed Lighting'!AF282=5,"CM",IF('Proposed Lighting'!AF282=1.6,"PHOT",IF('Proposed Lighting'!AF282=1.5,"FM",IF('Proposed Lighting'!CT282=0.5,"LED-MS",IF('Proposed Lighting'!CB282&gt;1,"Non-S",IF('Proposed Lighting'!CT282=0.6,"LED-SS",IF('Proposed Lighting'!CT282=2,"LED-NW",IF('Proposed Lighting'!CT282=3,"LLLC",0)))))))))</f>
        <v>0</v>
      </c>
      <c r="X296" s="1293">
        <f>'Proposed Lighting'!EE282</f>
        <v>0</v>
      </c>
      <c r="Y296" s="1293">
        <f>'Proposed Lighting'!EF282</f>
        <v>0</v>
      </c>
    </row>
    <row r="297" spans="1:25" ht="50.1" customHeight="1">
      <c r="A297" s="1290">
        <v>275</v>
      </c>
      <c r="B297" s="1291">
        <f>'Proposed Lighting'!B283</f>
        <v>0</v>
      </c>
      <c r="C297" s="1291">
        <f>IF('Proposed Lighting'!M283="Sch 1","Sch 1",IF('Proposed Lighting'!M283="Sch 1-C", "Sch 1-C",IF('Proposed Lighting'!M283="Sch 2","Sch 2",IF('Proposed Lighting'!M283="Sch 2-C","Sch 2-C",IF('Proposed Lighting'!M283="Sch 3","Sch 3",IF('Proposed Lighting'!M283="Sch 3-C", "Sch 3-C",IF('Proposed Lighting'!M283="E", "E",IF('Proposed Lighting'!M283="E-C", "E-C",IF('Proposed Lighting'!M283="Dusk to Dawn","Sch D-D",IF('Proposed Lighting'!M283="Dusk to Dawn-C", "Sch DD-C",IF('Proposed Lighting'!M283="Seasonal", "SEA",IF('Proposed Lighting'!M283="Seasonal-C", "SEA-C",0))))))))))))</f>
        <v>0</v>
      </c>
      <c r="D297" s="1292">
        <f>'Proposed Lighting'!F283</f>
        <v>0</v>
      </c>
      <c r="E297" s="1293">
        <f>'Proposed Lighting'!N283</f>
        <v>0</v>
      </c>
      <c r="F297" s="996"/>
      <c r="G297" s="1294">
        <f>'Proposed Lighting'!K283</f>
        <v>0</v>
      </c>
      <c r="H297" s="1295">
        <f>IF('Proposed Lighting'!P283&gt;0.2,'Proposed Lighting'!P283,0)</f>
        <v>0</v>
      </c>
      <c r="I297" s="995">
        <f>'Proposed Lighting'!J283</f>
        <v>0</v>
      </c>
      <c r="J297" s="996"/>
      <c r="K297" s="996"/>
      <c r="L297" s="996"/>
      <c r="M297" s="996"/>
      <c r="N297" s="1005"/>
      <c r="O297" s="1296" t="str">
        <f>'Proposed Lighting'!Z283&amp;", "&amp;'Proposed Lighting'!EK283</f>
        <v xml:space="preserve">, </v>
      </c>
      <c r="P297" s="1292">
        <f>'Proposed Lighting'!T283</f>
        <v>0</v>
      </c>
      <c r="Q297" s="1293">
        <f>'Proposed Lighting'!AA283</f>
        <v>0</v>
      </c>
      <c r="R297" s="996"/>
      <c r="S297" s="1297">
        <f>IF('Proposed Lighting'!AR283=0,0,IF('Proposed Lighting'!AT283&gt;0.2,'Proposed Lighting'!AT283,0))</f>
        <v>0</v>
      </c>
      <c r="T297" s="997">
        <f>'Proposed Lighting'!X283</f>
        <v>0</v>
      </c>
      <c r="U297" s="998"/>
      <c r="V297" s="998"/>
      <c r="W297" s="1378">
        <f>IF('Proposed Lighting'!AF283=4,"WS",IF('Proposed Lighting'!AF283=5,"CM",IF('Proposed Lighting'!AF283=1.6,"PHOT",IF('Proposed Lighting'!AF283=1.5,"FM",IF('Proposed Lighting'!CT283=0.5,"LED-MS",IF('Proposed Lighting'!CB283&gt;1,"Non-S",IF('Proposed Lighting'!CT283=0.6,"LED-SS",IF('Proposed Lighting'!CT283=2,"LED-NW",IF('Proposed Lighting'!CT283=3,"LLLC",0)))))))))</f>
        <v>0</v>
      </c>
      <c r="X297" s="1293">
        <f>'Proposed Lighting'!EE283</f>
        <v>0</v>
      </c>
      <c r="Y297" s="1293">
        <f>'Proposed Lighting'!EF283</f>
        <v>0</v>
      </c>
    </row>
    <row r="298" spans="1:25" ht="50.1" customHeight="1">
      <c r="A298" s="1290">
        <v>276</v>
      </c>
      <c r="B298" s="1291">
        <f>'Proposed Lighting'!B284</f>
        <v>0</v>
      </c>
      <c r="C298" s="1291">
        <f>IF('Proposed Lighting'!M284="Sch 1","Sch 1",IF('Proposed Lighting'!M284="Sch 1-C", "Sch 1-C",IF('Proposed Lighting'!M284="Sch 2","Sch 2",IF('Proposed Lighting'!M284="Sch 2-C","Sch 2-C",IF('Proposed Lighting'!M284="Sch 3","Sch 3",IF('Proposed Lighting'!M284="Sch 3-C", "Sch 3-C",IF('Proposed Lighting'!M284="E", "E",IF('Proposed Lighting'!M284="E-C", "E-C",IF('Proposed Lighting'!M284="Dusk to Dawn","Sch D-D",IF('Proposed Lighting'!M284="Dusk to Dawn-C", "Sch DD-C",IF('Proposed Lighting'!M284="Seasonal", "SEA",IF('Proposed Lighting'!M284="Seasonal-C", "SEA-C",0))))))))))))</f>
        <v>0</v>
      </c>
      <c r="D298" s="1292">
        <f>'Proposed Lighting'!F284</f>
        <v>0</v>
      </c>
      <c r="E298" s="1293">
        <f>'Proposed Lighting'!N284</f>
        <v>0</v>
      </c>
      <c r="F298" s="996"/>
      <c r="G298" s="1294">
        <f>'Proposed Lighting'!K284</f>
        <v>0</v>
      </c>
      <c r="H298" s="1295">
        <f>IF('Proposed Lighting'!P284&gt;0.2,'Proposed Lighting'!P284,0)</f>
        <v>0</v>
      </c>
      <c r="I298" s="995">
        <f>'Proposed Lighting'!J284</f>
        <v>0</v>
      </c>
      <c r="J298" s="996"/>
      <c r="K298" s="996"/>
      <c r="L298" s="996"/>
      <c r="M298" s="996"/>
      <c r="N298" s="1005"/>
      <c r="O298" s="1296" t="str">
        <f>'Proposed Lighting'!Z284&amp;", "&amp;'Proposed Lighting'!EK284</f>
        <v xml:space="preserve">, </v>
      </c>
      <c r="P298" s="1292">
        <f>'Proposed Lighting'!T284</f>
        <v>0</v>
      </c>
      <c r="Q298" s="1293">
        <f>'Proposed Lighting'!AA284</f>
        <v>0</v>
      </c>
      <c r="R298" s="996"/>
      <c r="S298" s="1297">
        <f>IF('Proposed Lighting'!AR284=0,0,IF('Proposed Lighting'!AT284&gt;0.2,'Proposed Lighting'!AT284,0))</f>
        <v>0</v>
      </c>
      <c r="T298" s="997">
        <f>'Proposed Lighting'!X284</f>
        <v>0</v>
      </c>
      <c r="U298" s="998"/>
      <c r="V298" s="998"/>
      <c r="W298" s="1378">
        <f>IF('Proposed Lighting'!AF284=4,"WS",IF('Proposed Lighting'!AF284=5,"CM",IF('Proposed Lighting'!AF284=1.6,"PHOT",IF('Proposed Lighting'!AF284=1.5,"FM",IF('Proposed Lighting'!CT284=0.5,"LED-MS",IF('Proposed Lighting'!CB284&gt;1,"Non-S",IF('Proposed Lighting'!CT284=0.6,"LED-SS",IF('Proposed Lighting'!CT284=2,"LED-NW",IF('Proposed Lighting'!CT284=3,"LLLC",0)))))))))</f>
        <v>0</v>
      </c>
      <c r="X298" s="1293">
        <f>'Proposed Lighting'!EE284</f>
        <v>0</v>
      </c>
      <c r="Y298" s="1293">
        <f>'Proposed Lighting'!EF284</f>
        <v>0</v>
      </c>
    </row>
    <row r="299" spans="1:25" ht="50.1" customHeight="1">
      <c r="A299" s="1290">
        <v>277</v>
      </c>
      <c r="B299" s="1291">
        <f>'Proposed Lighting'!B285</f>
        <v>0</v>
      </c>
      <c r="C299" s="1291">
        <f>IF('Proposed Lighting'!M285="Sch 1","Sch 1",IF('Proposed Lighting'!M285="Sch 1-C", "Sch 1-C",IF('Proposed Lighting'!M285="Sch 2","Sch 2",IF('Proposed Lighting'!M285="Sch 2-C","Sch 2-C",IF('Proposed Lighting'!M285="Sch 3","Sch 3",IF('Proposed Lighting'!M285="Sch 3-C", "Sch 3-C",IF('Proposed Lighting'!M285="E", "E",IF('Proposed Lighting'!M285="E-C", "E-C",IF('Proposed Lighting'!M285="Dusk to Dawn","Sch D-D",IF('Proposed Lighting'!M285="Dusk to Dawn-C", "Sch DD-C",IF('Proposed Lighting'!M285="Seasonal", "SEA",IF('Proposed Lighting'!M285="Seasonal-C", "SEA-C",0))))))))))))</f>
        <v>0</v>
      </c>
      <c r="D299" s="1292">
        <f>'Proposed Lighting'!F285</f>
        <v>0</v>
      </c>
      <c r="E299" s="1293">
        <f>'Proposed Lighting'!N285</f>
        <v>0</v>
      </c>
      <c r="F299" s="996"/>
      <c r="G299" s="1294">
        <f>'Proposed Lighting'!K285</f>
        <v>0</v>
      </c>
      <c r="H299" s="1295">
        <f>IF('Proposed Lighting'!P285&gt;0.2,'Proposed Lighting'!P285,0)</f>
        <v>0</v>
      </c>
      <c r="I299" s="995">
        <f>'Proposed Lighting'!J285</f>
        <v>0</v>
      </c>
      <c r="J299" s="996"/>
      <c r="K299" s="996"/>
      <c r="L299" s="996"/>
      <c r="M299" s="996"/>
      <c r="N299" s="1005"/>
      <c r="O299" s="1296" t="str">
        <f>'Proposed Lighting'!Z285&amp;", "&amp;'Proposed Lighting'!EK285</f>
        <v xml:space="preserve">, </v>
      </c>
      <c r="P299" s="1292">
        <f>'Proposed Lighting'!T285</f>
        <v>0</v>
      </c>
      <c r="Q299" s="1293">
        <f>'Proposed Lighting'!AA285</f>
        <v>0</v>
      </c>
      <c r="R299" s="996"/>
      <c r="S299" s="1297">
        <f>IF('Proposed Lighting'!AR285=0,0,IF('Proposed Lighting'!AT285&gt;0.2,'Proposed Lighting'!AT285,0))</f>
        <v>0</v>
      </c>
      <c r="T299" s="997">
        <f>'Proposed Lighting'!X285</f>
        <v>0</v>
      </c>
      <c r="U299" s="998"/>
      <c r="V299" s="998"/>
      <c r="W299" s="1378">
        <f>IF('Proposed Lighting'!AF285=4,"WS",IF('Proposed Lighting'!AF285=5,"CM",IF('Proposed Lighting'!AF285=1.6,"PHOT",IF('Proposed Lighting'!AF285=1.5,"FM",IF('Proposed Lighting'!CT285=0.5,"LED-MS",IF('Proposed Lighting'!CB285&gt;1,"Non-S",IF('Proposed Lighting'!CT285=0.6,"LED-SS",IF('Proposed Lighting'!CT285=2,"LED-NW",IF('Proposed Lighting'!CT285=3,"LLLC",0)))))))))</f>
        <v>0</v>
      </c>
      <c r="X299" s="1293">
        <f>'Proposed Lighting'!EE285</f>
        <v>0</v>
      </c>
      <c r="Y299" s="1293">
        <f>'Proposed Lighting'!EF285</f>
        <v>0</v>
      </c>
    </row>
    <row r="300" spans="1:25" ht="50.1" customHeight="1">
      <c r="A300" s="1290">
        <v>278</v>
      </c>
      <c r="B300" s="1291">
        <f>'Proposed Lighting'!B286</f>
        <v>0</v>
      </c>
      <c r="C300" s="1291">
        <f>IF('Proposed Lighting'!M286="Sch 1","Sch 1",IF('Proposed Lighting'!M286="Sch 1-C", "Sch 1-C",IF('Proposed Lighting'!M286="Sch 2","Sch 2",IF('Proposed Lighting'!M286="Sch 2-C","Sch 2-C",IF('Proposed Lighting'!M286="Sch 3","Sch 3",IF('Proposed Lighting'!M286="Sch 3-C", "Sch 3-C",IF('Proposed Lighting'!M286="E", "E",IF('Proposed Lighting'!M286="E-C", "E-C",IF('Proposed Lighting'!M286="Dusk to Dawn","Sch D-D",IF('Proposed Lighting'!M286="Dusk to Dawn-C", "Sch DD-C",IF('Proposed Lighting'!M286="Seasonal", "SEA",IF('Proposed Lighting'!M286="Seasonal-C", "SEA-C",0))))))))))))</f>
        <v>0</v>
      </c>
      <c r="D300" s="1292">
        <f>'Proposed Lighting'!F286</f>
        <v>0</v>
      </c>
      <c r="E300" s="1293">
        <f>'Proposed Lighting'!N286</f>
        <v>0</v>
      </c>
      <c r="F300" s="996"/>
      <c r="G300" s="1294">
        <f>'Proposed Lighting'!K286</f>
        <v>0</v>
      </c>
      <c r="H300" s="1295">
        <f>IF('Proposed Lighting'!P286&gt;0.2,'Proposed Lighting'!P286,0)</f>
        <v>0</v>
      </c>
      <c r="I300" s="995">
        <f>'Proposed Lighting'!J286</f>
        <v>0</v>
      </c>
      <c r="J300" s="996"/>
      <c r="K300" s="996"/>
      <c r="L300" s="996"/>
      <c r="M300" s="996"/>
      <c r="N300" s="1005"/>
      <c r="O300" s="1296" t="str">
        <f>'Proposed Lighting'!Z286&amp;", "&amp;'Proposed Lighting'!EK286</f>
        <v xml:space="preserve">, </v>
      </c>
      <c r="P300" s="1292">
        <f>'Proposed Lighting'!T286</f>
        <v>0</v>
      </c>
      <c r="Q300" s="1293">
        <f>'Proposed Lighting'!AA286</f>
        <v>0</v>
      </c>
      <c r="R300" s="996"/>
      <c r="S300" s="1297">
        <f>IF('Proposed Lighting'!AR286=0,0,IF('Proposed Lighting'!AT286&gt;0.2,'Proposed Lighting'!AT286,0))</f>
        <v>0</v>
      </c>
      <c r="T300" s="997">
        <f>'Proposed Lighting'!X286</f>
        <v>0</v>
      </c>
      <c r="U300" s="998"/>
      <c r="V300" s="998"/>
      <c r="W300" s="1378">
        <f>IF('Proposed Lighting'!AF286=4,"WS",IF('Proposed Lighting'!AF286=5,"CM",IF('Proposed Lighting'!AF286=1.6,"PHOT",IF('Proposed Lighting'!AF286=1.5,"FM",IF('Proposed Lighting'!CT286=0.5,"LED-MS",IF('Proposed Lighting'!CB286&gt;1,"Non-S",IF('Proposed Lighting'!CT286=0.6,"LED-SS",IF('Proposed Lighting'!CT286=2,"LED-NW",IF('Proposed Lighting'!CT286=3,"LLLC",0)))))))))</f>
        <v>0</v>
      </c>
      <c r="X300" s="1293">
        <f>'Proposed Lighting'!EE286</f>
        <v>0</v>
      </c>
      <c r="Y300" s="1293">
        <f>'Proposed Lighting'!EF286</f>
        <v>0</v>
      </c>
    </row>
    <row r="301" spans="1:25" ht="50.1" customHeight="1">
      <c r="A301" s="1290">
        <v>279</v>
      </c>
      <c r="B301" s="1291">
        <f>'Proposed Lighting'!B287</f>
        <v>0</v>
      </c>
      <c r="C301" s="1291">
        <f>IF('Proposed Lighting'!M287="Sch 1","Sch 1",IF('Proposed Lighting'!M287="Sch 1-C", "Sch 1-C",IF('Proposed Lighting'!M287="Sch 2","Sch 2",IF('Proposed Lighting'!M287="Sch 2-C","Sch 2-C",IF('Proposed Lighting'!M287="Sch 3","Sch 3",IF('Proposed Lighting'!M287="Sch 3-C", "Sch 3-C",IF('Proposed Lighting'!M287="E", "E",IF('Proposed Lighting'!M287="E-C", "E-C",IF('Proposed Lighting'!M287="Dusk to Dawn","Sch D-D",IF('Proposed Lighting'!M287="Dusk to Dawn-C", "Sch DD-C",IF('Proposed Lighting'!M287="Seasonal", "SEA",IF('Proposed Lighting'!M287="Seasonal-C", "SEA-C",0))))))))))))</f>
        <v>0</v>
      </c>
      <c r="D301" s="1292">
        <f>'Proposed Lighting'!F287</f>
        <v>0</v>
      </c>
      <c r="E301" s="1293">
        <f>'Proposed Lighting'!N287</f>
        <v>0</v>
      </c>
      <c r="F301" s="996"/>
      <c r="G301" s="1294">
        <f>'Proposed Lighting'!K287</f>
        <v>0</v>
      </c>
      <c r="H301" s="1295">
        <f>IF('Proposed Lighting'!P287&gt;0.2,'Proposed Lighting'!P287,0)</f>
        <v>0</v>
      </c>
      <c r="I301" s="995">
        <f>'Proposed Lighting'!J287</f>
        <v>0</v>
      </c>
      <c r="J301" s="996"/>
      <c r="K301" s="996"/>
      <c r="L301" s="996"/>
      <c r="M301" s="996"/>
      <c r="N301" s="1005"/>
      <c r="O301" s="1296" t="str">
        <f>'Proposed Lighting'!Z287&amp;", "&amp;'Proposed Lighting'!EK287</f>
        <v xml:space="preserve">, </v>
      </c>
      <c r="P301" s="1292">
        <f>'Proposed Lighting'!T287</f>
        <v>0</v>
      </c>
      <c r="Q301" s="1293">
        <f>'Proposed Lighting'!AA287</f>
        <v>0</v>
      </c>
      <c r="R301" s="996"/>
      <c r="S301" s="1297">
        <f>IF('Proposed Lighting'!AR287=0,0,IF('Proposed Lighting'!AT287&gt;0.2,'Proposed Lighting'!AT287,0))</f>
        <v>0</v>
      </c>
      <c r="T301" s="997">
        <f>'Proposed Lighting'!X287</f>
        <v>0</v>
      </c>
      <c r="U301" s="998"/>
      <c r="V301" s="998"/>
      <c r="W301" s="1378">
        <f>IF('Proposed Lighting'!AF287=4,"WS",IF('Proposed Lighting'!AF287=5,"CM",IF('Proposed Lighting'!AF287=1.6,"PHOT",IF('Proposed Lighting'!AF287=1.5,"FM",IF('Proposed Lighting'!CT287=0.5,"LED-MS",IF('Proposed Lighting'!CB287&gt;1,"Non-S",IF('Proposed Lighting'!CT287=0.6,"LED-SS",IF('Proposed Lighting'!CT287=2,"LED-NW",IF('Proposed Lighting'!CT287=3,"LLLC",0)))))))))</f>
        <v>0</v>
      </c>
      <c r="X301" s="1293">
        <f>'Proposed Lighting'!EE287</f>
        <v>0</v>
      </c>
      <c r="Y301" s="1293">
        <f>'Proposed Lighting'!EF287</f>
        <v>0</v>
      </c>
    </row>
    <row r="302" spans="1:25" ht="50.1" customHeight="1">
      <c r="A302" s="1290">
        <v>280</v>
      </c>
      <c r="B302" s="1291">
        <f>'Proposed Lighting'!B288</f>
        <v>0</v>
      </c>
      <c r="C302" s="1291">
        <f>IF('Proposed Lighting'!M288="Sch 1","Sch 1",IF('Proposed Lighting'!M288="Sch 1-C", "Sch 1-C",IF('Proposed Lighting'!M288="Sch 2","Sch 2",IF('Proposed Lighting'!M288="Sch 2-C","Sch 2-C",IF('Proposed Lighting'!M288="Sch 3","Sch 3",IF('Proposed Lighting'!M288="Sch 3-C", "Sch 3-C",IF('Proposed Lighting'!M288="E", "E",IF('Proposed Lighting'!M288="E-C", "E-C",IF('Proposed Lighting'!M288="Dusk to Dawn","Sch D-D",IF('Proposed Lighting'!M288="Dusk to Dawn-C", "Sch DD-C",IF('Proposed Lighting'!M288="Seasonal", "SEA",IF('Proposed Lighting'!M288="Seasonal-C", "SEA-C",0))))))))))))</f>
        <v>0</v>
      </c>
      <c r="D302" s="1292">
        <f>'Proposed Lighting'!F288</f>
        <v>0</v>
      </c>
      <c r="E302" s="1293">
        <f>'Proposed Lighting'!N288</f>
        <v>0</v>
      </c>
      <c r="F302" s="996"/>
      <c r="G302" s="1294">
        <f>'Proposed Lighting'!K288</f>
        <v>0</v>
      </c>
      <c r="H302" s="1295">
        <f>IF('Proposed Lighting'!P288&gt;0.2,'Proposed Lighting'!P288,0)</f>
        <v>0</v>
      </c>
      <c r="I302" s="995">
        <f>'Proposed Lighting'!J288</f>
        <v>0</v>
      </c>
      <c r="J302" s="996"/>
      <c r="K302" s="996"/>
      <c r="L302" s="996"/>
      <c r="M302" s="996"/>
      <c r="N302" s="1005"/>
      <c r="O302" s="1296" t="str">
        <f>'Proposed Lighting'!Z288&amp;", "&amp;'Proposed Lighting'!EK288</f>
        <v xml:space="preserve">, </v>
      </c>
      <c r="P302" s="1292">
        <f>'Proposed Lighting'!T288</f>
        <v>0</v>
      </c>
      <c r="Q302" s="1293">
        <f>'Proposed Lighting'!AA288</f>
        <v>0</v>
      </c>
      <c r="R302" s="996"/>
      <c r="S302" s="1297">
        <f>IF('Proposed Lighting'!AR288=0,0,IF('Proposed Lighting'!AT288&gt;0.2,'Proposed Lighting'!AT288,0))</f>
        <v>0</v>
      </c>
      <c r="T302" s="997">
        <f>'Proposed Lighting'!X288</f>
        <v>0</v>
      </c>
      <c r="U302" s="998"/>
      <c r="V302" s="998"/>
      <c r="W302" s="1378">
        <f>IF('Proposed Lighting'!AF288=4,"WS",IF('Proposed Lighting'!AF288=5,"CM",IF('Proposed Lighting'!AF288=1.6,"PHOT",IF('Proposed Lighting'!AF288=1.5,"FM",IF('Proposed Lighting'!CT288=0.5,"LED-MS",IF('Proposed Lighting'!CB288&gt;1,"Non-S",IF('Proposed Lighting'!CT288=0.6,"LED-SS",IF('Proposed Lighting'!CT288=2,"LED-NW",IF('Proposed Lighting'!CT288=3,"LLLC",0)))))))))</f>
        <v>0</v>
      </c>
      <c r="X302" s="1293">
        <f>'Proposed Lighting'!EE288</f>
        <v>0</v>
      </c>
      <c r="Y302" s="1293">
        <f>'Proposed Lighting'!EF288</f>
        <v>0</v>
      </c>
    </row>
    <row r="303" spans="1:25" ht="50.1" customHeight="1">
      <c r="A303" s="1290">
        <v>281</v>
      </c>
      <c r="B303" s="1291">
        <f>'Proposed Lighting'!B289</f>
        <v>0</v>
      </c>
      <c r="C303" s="1291">
        <f>IF('Proposed Lighting'!M289="Sch 1","Sch 1",IF('Proposed Lighting'!M289="Sch 1-C", "Sch 1-C",IF('Proposed Lighting'!M289="Sch 2","Sch 2",IF('Proposed Lighting'!M289="Sch 2-C","Sch 2-C",IF('Proposed Lighting'!M289="Sch 3","Sch 3",IF('Proposed Lighting'!M289="Sch 3-C", "Sch 3-C",IF('Proposed Lighting'!M289="E", "E",IF('Proposed Lighting'!M289="E-C", "E-C",IF('Proposed Lighting'!M289="Dusk to Dawn","Sch D-D",IF('Proposed Lighting'!M289="Dusk to Dawn-C", "Sch DD-C",IF('Proposed Lighting'!M289="Seasonal", "SEA",IF('Proposed Lighting'!M289="Seasonal-C", "SEA-C",0))))))))))))</f>
        <v>0</v>
      </c>
      <c r="D303" s="1292">
        <f>'Proposed Lighting'!F289</f>
        <v>0</v>
      </c>
      <c r="E303" s="1293">
        <f>'Proposed Lighting'!N289</f>
        <v>0</v>
      </c>
      <c r="F303" s="996"/>
      <c r="G303" s="1294">
        <f>'Proposed Lighting'!K289</f>
        <v>0</v>
      </c>
      <c r="H303" s="1295">
        <f>IF('Proposed Lighting'!P289&gt;0.2,'Proposed Lighting'!P289,0)</f>
        <v>0</v>
      </c>
      <c r="I303" s="995">
        <f>'Proposed Lighting'!J289</f>
        <v>0</v>
      </c>
      <c r="J303" s="996"/>
      <c r="K303" s="996"/>
      <c r="L303" s="996"/>
      <c r="M303" s="996"/>
      <c r="N303" s="1005"/>
      <c r="O303" s="1296" t="str">
        <f>'Proposed Lighting'!Z289&amp;", "&amp;'Proposed Lighting'!EK289</f>
        <v xml:space="preserve">, </v>
      </c>
      <c r="P303" s="1292">
        <f>'Proposed Lighting'!T289</f>
        <v>0</v>
      </c>
      <c r="Q303" s="1293">
        <f>'Proposed Lighting'!AA289</f>
        <v>0</v>
      </c>
      <c r="R303" s="996"/>
      <c r="S303" s="1297">
        <f>IF('Proposed Lighting'!AR289=0,0,IF('Proposed Lighting'!AT289&gt;0.2,'Proposed Lighting'!AT289,0))</f>
        <v>0</v>
      </c>
      <c r="T303" s="997">
        <f>'Proposed Lighting'!X289</f>
        <v>0</v>
      </c>
      <c r="U303" s="998"/>
      <c r="V303" s="998"/>
      <c r="W303" s="1378">
        <f>IF('Proposed Lighting'!AF289=4,"WS",IF('Proposed Lighting'!AF289=5,"CM",IF('Proposed Lighting'!AF289=1.6,"PHOT",IF('Proposed Lighting'!AF289=1.5,"FM",IF('Proposed Lighting'!CT289=0.5,"LED-MS",IF('Proposed Lighting'!CB289&gt;1,"Non-S",IF('Proposed Lighting'!CT289=0.6,"LED-SS",IF('Proposed Lighting'!CT289=2,"LED-NW",IF('Proposed Lighting'!CT289=3,"LLLC",0)))))))))</f>
        <v>0</v>
      </c>
      <c r="X303" s="1293">
        <f>'Proposed Lighting'!EE289</f>
        <v>0</v>
      </c>
      <c r="Y303" s="1293">
        <f>'Proposed Lighting'!EF289</f>
        <v>0</v>
      </c>
    </row>
    <row r="304" spans="1:25" ht="50.1" customHeight="1">
      <c r="A304" s="1290">
        <v>282</v>
      </c>
      <c r="B304" s="1291">
        <f>'Proposed Lighting'!B290</f>
        <v>0</v>
      </c>
      <c r="C304" s="1291">
        <f>IF('Proposed Lighting'!M290="Sch 1","Sch 1",IF('Proposed Lighting'!M290="Sch 1-C", "Sch 1-C",IF('Proposed Lighting'!M290="Sch 2","Sch 2",IF('Proposed Lighting'!M290="Sch 2-C","Sch 2-C",IF('Proposed Lighting'!M290="Sch 3","Sch 3",IF('Proposed Lighting'!M290="Sch 3-C", "Sch 3-C",IF('Proposed Lighting'!M290="E", "E",IF('Proposed Lighting'!M290="E-C", "E-C",IF('Proposed Lighting'!M290="Dusk to Dawn","Sch D-D",IF('Proposed Lighting'!M290="Dusk to Dawn-C", "Sch DD-C",IF('Proposed Lighting'!M290="Seasonal", "SEA",IF('Proposed Lighting'!M290="Seasonal-C", "SEA-C",0))))))))))))</f>
        <v>0</v>
      </c>
      <c r="D304" s="1292">
        <f>'Proposed Lighting'!F290</f>
        <v>0</v>
      </c>
      <c r="E304" s="1293">
        <f>'Proposed Lighting'!N290</f>
        <v>0</v>
      </c>
      <c r="F304" s="996"/>
      <c r="G304" s="1294">
        <f>'Proposed Lighting'!K290</f>
        <v>0</v>
      </c>
      <c r="H304" s="1295">
        <f>IF('Proposed Lighting'!P290&gt;0.2,'Proposed Lighting'!P290,0)</f>
        <v>0</v>
      </c>
      <c r="I304" s="995">
        <f>'Proposed Lighting'!J290</f>
        <v>0</v>
      </c>
      <c r="J304" s="996"/>
      <c r="K304" s="996"/>
      <c r="L304" s="996"/>
      <c r="M304" s="996"/>
      <c r="N304" s="1005"/>
      <c r="O304" s="1296" t="str">
        <f>'Proposed Lighting'!Z290&amp;", "&amp;'Proposed Lighting'!EK290</f>
        <v xml:space="preserve">, </v>
      </c>
      <c r="P304" s="1292">
        <f>'Proposed Lighting'!T290</f>
        <v>0</v>
      </c>
      <c r="Q304" s="1293">
        <f>'Proposed Lighting'!AA290</f>
        <v>0</v>
      </c>
      <c r="R304" s="996"/>
      <c r="S304" s="1297">
        <f>IF('Proposed Lighting'!AR290=0,0,IF('Proposed Lighting'!AT290&gt;0.2,'Proposed Lighting'!AT290,0))</f>
        <v>0</v>
      </c>
      <c r="T304" s="997">
        <f>'Proposed Lighting'!X290</f>
        <v>0</v>
      </c>
      <c r="U304" s="998"/>
      <c r="V304" s="998"/>
      <c r="W304" s="1378">
        <f>IF('Proposed Lighting'!AF290=4,"WS",IF('Proposed Lighting'!AF290=5,"CM",IF('Proposed Lighting'!AF290=1.6,"PHOT",IF('Proposed Lighting'!AF290=1.5,"FM",IF('Proposed Lighting'!CT290=0.5,"LED-MS",IF('Proposed Lighting'!CB290&gt;1,"Non-S",IF('Proposed Lighting'!CT290=0.6,"LED-SS",IF('Proposed Lighting'!CT290=2,"LED-NW",IF('Proposed Lighting'!CT290=3,"LLLC",0)))))))))</f>
        <v>0</v>
      </c>
      <c r="X304" s="1293">
        <f>'Proposed Lighting'!EE290</f>
        <v>0</v>
      </c>
      <c r="Y304" s="1293">
        <f>'Proposed Lighting'!EF290</f>
        <v>0</v>
      </c>
    </row>
    <row r="305" spans="1:25" ht="50.1" customHeight="1">
      <c r="A305" s="1290">
        <v>283</v>
      </c>
      <c r="B305" s="1291">
        <f>'Proposed Lighting'!B291</f>
        <v>0</v>
      </c>
      <c r="C305" s="1291">
        <f>IF('Proposed Lighting'!M291="Sch 1","Sch 1",IF('Proposed Lighting'!M291="Sch 1-C", "Sch 1-C",IF('Proposed Lighting'!M291="Sch 2","Sch 2",IF('Proposed Lighting'!M291="Sch 2-C","Sch 2-C",IF('Proposed Lighting'!M291="Sch 3","Sch 3",IF('Proposed Lighting'!M291="Sch 3-C", "Sch 3-C",IF('Proposed Lighting'!M291="E", "E",IF('Proposed Lighting'!M291="E-C", "E-C",IF('Proposed Lighting'!M291="Dusk to Dawn","Sch D-D",IF('Proposed Lighting'!M291="Dusk to Dawn-C", "Sch DD-C",IF('Proposed Lighting'!M291="Seasonal", "SEA",IF('Proposed Lighting'!M291="Seasonal-C", "SEA-C",0))))))))))))</f>
        <v>0</v>
      </c>
      <c r="D305" s="1292">
        <f>'Proposed Lighting'!F291</f>
        <v>0</v>
      </c>
      <c r="E305" s="1293">
        <f>'Proposed Lighting'!N291</f>
        <v>0</v>
      </c>
      <c r="F305" s="996"/>
      <c r="G305" s="1294">
        <f>'Proposed Lighting'!K291</f>
        <v>0</v>
      </c>
      <c r="H305" s="1295">
        <f>IF('Proposed Lighting'!P291&gt;0.2,'Proposed Lighting'!P291,0)</f>
        <v>0</v>
      </c>
      <c r="I305" s="995">
        <f>'Proposed Lighting'!J291</f>
        <v>0</v>
      </c>
      <c r="J305" s="996"/>
      <c r="K305" s="996"/>
      <c r="L305" s="996"/>
      <c r="M305" s="996"/>
      <c r="N305" s="1005"/>
      <c r="O305" s="1296" t="str">
        <f>'Proposed Lighting'!Z291&amp;", "&amp;'Proposed Lighting'!EK291</f>
        <v xml:space="preserve">, </v>
      </c>
      <c r="P305" s="1292">
        <f>'Proposed Lighting'!T291</f>
        <v>0</v>
      </c>
      <c r="Q305" s="1293">
        <f>'Proposed Lighting'!AA291</f>
        <v>0</v>
      </c>
      <c r="R305" s="996"/>
      <c r="S305" s="1297">
        <f>IF('Proposed Lighting'!AR291=0,0,IF('Proposed Lighting'!AT291&gt;0.2,'Proposed Lighting'!AT291,0))</f>
        <v>0</v>
      </c>
      <c r="T305" s="997">
        <f>'Proposed Lighting'!X291</f>
        <v>0</v>
      </c>
      <c r="U305" s="998"/>
      <c r="V305" s="998"/>
      <c r="W305" s="1378">
        <f>IF('Proposed Lighting'!AF291=4,"WS",IF('Proposed Lighting'!AF291=5,"CM",IF('Proposed Lighting'!AF291=1.6,"PHOT",IF('Proposed Lighting'!AF291=1.5,"FM",IF('Proposed Lighting'!CT291=0.5,"LED-MS",IF('Proposed Lighting'!CB291&gt;1,"Non-S",IF('Proposed Lighting'!CT291=0.6,"LED-SS",IF('Proposed Lighting'!CT291=2,"LED-NW",IF('Proposed Lighting'!CT291=3,"LLLC",0)))))))))</f>
        <v>0</v>
      </c>
      <c r="X305" s="1293">
        <f>'Proposed Lighting'!EE291</f>
        <v>0</v>
      </c>
      <c r="Y305" s="1293">
        <f>'Proposed Lighting'!EF291</f>
        <v>0</v>
      </c>
    </row>
    <row r="306" spans="1:25" ht="50.1" customHeight="1">
      <c r="A306" s="1290">
        <v>284</v>
      </c>
      <c r="B306" s="1291">
        <f>'Proposed Lighting'!B292</f>
        <v>0</v>
      </c>
      <c r="C306" s="1291">
        <f>IF('Proposed Lighting'!M292="Sch 1","Sch 1",IF('Proposed Lighting'!M292="Sch 1-C", "Sch 1-C",IF('Proposed Lighting'!M292="Sch 2","Sch 2",IF('Proposed Lighting'!M292="Sch 2-C","Sch 2-C",IF('Proposed Lighting'!M292="Sch 3","Sch 3",IF('Proposed Lighting'!M292="Sch 3-C", "Sch 3-C",IF('Proposed Lighting'!M292="E", "E",IF('Proposed Lighting'!M292="E-C", "E-C",IF('Proposed Lighting'!M292="Dusk to Dawn","Sch D-D",IF('Proposed Lighting'!M292="Dusk to Dawn-C", "Sch DD-C",IF('Proposed Lighting'!M292="Seasonal", "SEA",IF('Proposed Lighting'!M292="Seasonal-C", "SEA-C",0))))))))))))</f>
        <v>0</v>
      </c>
      <c r="D306" s="1292">
        <f>'Proposed Lighting'!F292</f>
        <v>0</v>
      </c>
      <c r="E306" s="1293">
        <f>'Proposed Lighting'!N292</f>
        <v>0</v>
      </c>
      <c r="F306" s="996"/>
      <c r="G306" s="1294">
        <f>'Proposed Lighting'!K292</f>
        <v>0</v>
      </c>
      <c r="H306" s="1295">
        <f>IF('Proposed Lighting'!P292&gt;0.2,'Proposed Lighting'!P292,0)</f>
        <v>0</v>
      </c>
      <c r="I306" s="995">
        <f>'Proposed Lighting'!J292</f>
        <v>0</v>
      </c>
      <c r="J306" s="996"/>
      <c r="K306" s="996"/>
      <c r="L306" s="996"/>
      <c r="M306" s="996"/>
      <c r="N306" s="1005"/>
      <c r="O306" s="1296" t="str">
        <f>'Proposed Lighting'!Z292&amp;", "&amp;'Proposed Lighting'!EK292</f>
        <v xml:space="preserve">, </v>
      </c>
      <c r="P306" s="1292">
        <f>'Proposed Lighting'!T292</f>
        <v>0</v>
      </c>
      <c r="Q306" s="1293">
        <f>'Proposed Lighting'!AA292</f>
        <v>0</v>
      </c>
      <c r="R306" s="996"/>
      <c r="S306" s="1297">
        <f>IF('Proposed Lighting'!AR292=0,0,IF('Proposed Lighting'!AT292&gt;0.2,'Proposed Lighting'!AT292,0))</f>
        <v>0</v>
      </c>
      <c r="T306" s="997">
        <f>'Proposed Lighting'!X292</f>
        <v>0</v>
      </c>
      <c r="U306" s="998"/>
      <c r="V306" s="998"/>
      <c r="W306" s="1378">
        <f>IF('Proposed Lighting'!AF292=4,"WS",IF('Proposed Lighting'!AF292=5,"CM",IF('Proposed Lighting'!AF292=1.6,"PHOT",IF('Proposed Lighting'!AF292=1.5,"FM",IF('Proposed Lighting'!CT292=0.5,"LED-MS",IF('Proposed Lighting'!CB292&gt;1,"Non-S",IF('Proposed Lighting'!CT292=0.6,"LED-SS",IF('Proposed Lighting'!CT292=2,"LED-NW",IF('Proposed Lighting'!CT292=3,"LLLC",0)))))))))</f>
        <v>0</v>
      </c>
      <c r="X306" s="1293">
        <f>'Proposed Lighting'!EE292</f>
        <v>0</v>
      </c>
      <c r="Y306" s="1293">
        <f>'Proposed Lighting'!EF292</f>
        <v>0</v>
      </c>
    </row>
    <row r="307" spans="1:25" ht="50.1" customHeight="1">
      <c r="A307" s="1290">
        <v>285</v>
      </c>
      <c r="B307" s="1291">
        <f>'Proposed Lighting'!B293</f>
        <v>0</v>
      </c>
      <c r="C307" s="1291">
        <f>IF('Proposed Lighting'!M293="Sch 1","Sch 1",IF('Proposed Lighting'!M293="Sch 1-C", "Sch 1-C",IF('Proposed Lighting'!M293="Sch 2","Sch 2",IF('Proposed Lighting'!M293="Sch 2-C","Sch 2-C",IF('Proposed Lighting'!M293="Sch 3","Sch 3",IF('Proposed Lighting'!M293="Sch 3-C", "Sch 3-C",IF('Proposed Lighting'!M293="E", "E",IF('Proposed Lighting'!M293="E-C", "E-C",IF('Proposed Lighting'!M293="Dusk to Dawn","Sch D-D",IF('Proposed Lighting'!M293="Dusk to Dawn-C", "Sch DD-C",IF('Proposed Lighting'!M293="Seasonal", "SEA",IF('Proposed Lighting'!M293="Seasonal-C", "SEA-C",0))))))))))))</f>
        <v>0</v>
      </c>
      <c r="D307" s="1292">
        <f>'Proposed Lighting'!F293</f>
        <v>0</v>
      </c>
      <c r="E307" s="1293">
        <f>'Proposed Lighting'!N293</f>
        <v>0</v>
      </c>
      <c r="F307" s="996"/>
      <c r="G307" s="1294">
        <f>'Proposed Lighting'!K293</f>
        <v>0</v>
      </c>
      <c r="H307" s="1295">
        <f>IF('Proposed Lighting'!P293&gt;0.2,'Proposed Lighting'!P293,0)</f>
        <v>0</v>
      </c>
      <c r="I307" s="995">
        <f>'Proposed Lighting'!J293</f>
        <v>0</v>
      </c>
      <c r="J307" s="996"/>
      <c r="K307" s="996"/>
      <c r="L307" s="996"/>
      <c r="M307" s="996"/>
      <c r="N307" s="1005"/>
      <c r="O307" s="1296" t="str">
        <f>'Proposed Lighting'!Z293&amp;", "&amp;'Proposed Lighting'!EK293</f>
        <v xml:space="preserve">, </v>
      </c>
      <c r="P307" s="1292">
        <f>'Proposed Lighting'!T293</f>
        <v>0</v>
      </c>
      <c r="Q307" s="1293">
        <f>'Proposed Lighting'!AA293</f>
        <v>0</v>
      </c>
      <c r="R307" s="996"/>
      <c r="S307" s="1297">
        <f>IF('Proposed Lighting'!AR293=0,0,IF('Proposed Lighting'!AT293&gt;0.2,'Proposed Lighting'!AT293,0))</f>
        <v>0</v>
      </c>
      <c r="T307" s="997">
        <f>'Proposed Lighting'!X293</f>
        <v>0</v>
      </c>
      <c r="U307" s="998"/>
      <c r="V307" s="998"/>
      <c r="W307" s="1378">
        <f>IF('Proposed Lighting'!AF293=4,"WS",IF('Proposed Lighting'!AF293=5,"CM",IF('Proposed Lighting'!AF293=1.6,"PHOT",IF('Proposed Lighting'!AF293=1.5,"FM",IF('Proposed Lighting'!CT293=0.5,"LED-MS",IF('Proposed Lighting'!CB293&gt;1,"Non-S",IF('Proposed Lighting'!CT293=0.6,"LED-SS",IF('Proposed Lighting'!CT293=2,"LED-NW",IF('Proposed Lighting'!CT293=3,"LLLC",0)))))))))</f>
        <v>0</v>
      </c>
      <c r="X307" s="1293">
        <f>'Proposed Lighting'!EE293</f>
        <v>0</v>
      </c>
      <c r="Y307" s="1293">
        <f>'Proposed Lighting'!EF293</f>
        <v>0</v>
      </c>
    </row>
    <row r="308" spans="1:25" ht="50.1" customHeight="1">
      <c r="A308" s="1290">
        <v>286</v>
      </c>
      <c r="B308" s="1291">
        <f>'Proposed Lighting'!B294</f>
        <v>0</v>
      </c>
      <c r="C308" s="1291">
        <f>IF('Proposed Lighting'!M294="Sch 1","Sch 1",IF('Proposed Lighting'!M294="Sch 1-C", "Sch 1-C",IF('Proposed Lighting'!M294="Sch 2","Sch 2",IF('Proposed Lighting'!M294="Sch 2-C","Sch 2-C",IF('Proposed Lighting'!M294="Sch 3","Sch 3",IF('Proposed Lighting'!M294="Sch 3-C", "Sch 3-C",IF('Proposed Lighting'!M294="E", "E",IF('Proposed Lighting'!M294="E-C", "E-C",IF('Proposed Lighting'!M294="Dusk to Dawn","Sch D-D",IF('Proposed Lighting'!M294="Dusk to Dawn-C", "Sch DD-C",IF('Proposed Lighting'!M294="Seasonal", "SEA",IF('Proposed Lighting'!M294="Seasonal-C", "SEA-C",0))))))))))))</f>
        <v>0</v>
      </c>
      <c r="D308" s="1292">
        <f>'Proposed Lighting'!F294</f>
        <v>0</v>
      </c>
      <c r="E308" s="1293">
        <f>'Proposed Lighting'!N294</f>
        <v>0</v>
      </c>
      <c r="F308" s="996"/>
      <c r="G308" s="1294">
        <f>'Proposed Lighting'!K294</f>
        <v>0</v>
      </c>
      <c r="H308" s="1295">
        <f>IF('Proposed Lighting'!P294&gt;0.2,'Proposed Lighting'!P294,0)</f>
        <v>0</v>
      </c>
      <c r="I308" s="995">
        <f>'Proposed Lighting'!J294</f>
        <v>0</v>
      </c>
      <c r="J308" s="996"/>
      <c r="K308" s="996"/>
      <c r="L308" s="996"/>
      <c r="M308" s="996"/>
      <c r="N308" s="1005"/>
      <c r="O308" s="1296" t="str">
        <f>'Proposed Lighting'!Z294&amp;", "&amp;'Proposed Lighting'!EK294</f>
        <v xml:space="preserve">, </v>
      </c>
      <c r="P308" s="1292">
        <f>'Proposed Lighting'!T294</f>
        <v>0</v>
      </c>
      <c r="Q308" s="1293">
        <f>'Proposed Lighting'!AA294</f>
        <v>0</v>
      </c>
      <c r="R308" s="996"/>
      <c r="S308" s="1297">
        <f>IF('Proposed Lighting'!AR294=0,0,IF('Proposed Lighting'!AT294&gt;0.2,'Proposed Lighting'!AT294,0))</f>
        <v>0</v>
      </c>
      <c r="T308" s="997">
        <f>'Proposed Lighting'!X294</f>
        <v>0</v>
      </c>
      <c r="U308" s="998"/>
      <c r="V308" s="998"/>
      <c r="W308" s="1378">
        <f>IF('Proposed Lighting'!AF294=4,"WS",IF('Proposed Lighting'!AF294=5,"CM",IF('Proposed Lighting'!AF294=1.6,"PHOT",IF('Proposed Lighting'!AF294=1.5,"FM",IF('Proposed Lighting'!CT294=0.5,"LED-MS",IF('Proposed Lighting'!CB294&gt;1,"Non-S",IF('Proposed Lighting'!CT294=0.6,"LED-SS",IF('Proposed Lighting'!CT294=2,"LED-NW",IF('Proposed Lighting'!CT294=3,"LLLC",0)))))))))</f>
        <v>0</v>
      </c>
      <c r="X308" s="1293">
        <f>'Proposed Lighting'!EE294</f>
        <v>0</v>
      </c>
      <c r="Y308" s="1293">
        <f>'Proposed Lighting'!EF294</f>
        <v>0</v>
      </c>
    </row>
    <row r="309" spans="1:25" ht="50.1" customHeight="1">
      <c r="A309" s="1290">
        <v>287</v>
      </c>
      <c r="B309" s="1291">
        <f>'Proposed Lighting'!B295</f>
        <v>0</v>
      </c>
      <c r="C309" s="1291">
        <f>IF('Proposed Lighting'!M295="Sch 1","Sch 1",IF('Proposed Lighting'!M295="Sch 1-C", "Sch 1-C",IF('Proposed Lighting'!M295="Sch 2","Sch 2",IF('Proposed Lighting'!M295="Sch 2-C","Sch 2-C",IF('Proposed Lighting'!M295="Sch 3","Sch 3",IF('Proposed Lighting'!M295="Sch 3-C", "Sch 3-C",IF('Proposed Lighting'!M295="E", "E",IF('Proposed Lighting'!M295="E-C", "E-C",IF('Proposed Lighting'!M295="Dusk to Dawn","Sch D-D",IF('Proposed Lighting'!M295="Dusk to Dawn-C", "Sch DD-C",IF('Proposed Lighting'!M295="Seasonal", "SEA",IF('Proposed Lighting'!M295="Seasonal-C", "SEA-C",0))))))))))))</f>
        <v>0</v>
      </c>
      <c r="D309" s="1292">
        <f>'Proposed Lighting'!F295</f>
        <v>0</v>
      </c>
      <c r="E309" s="1293">
        <f>'Proposed Lighting'!N295</f>
        <v>0</v>
      </c>
      <c r="F309" s="996"/>
      <c r="G309" s="1294">
        <f>'Proposed Lighting'!K295</f>
        <v>0</v>
      </c>
      <c r="H309" s="1295">
        <f>IF('Proposed Lighting'!P295&gt;0.2,'Proposed Lighting'!P295,0)</f>
        <v>0</v>
      </c>
      <c r="I309" s="995">
        <f>'Proposed Lighting'!J295</f>
        <v>0</v>
      </c>
      <c r="J309" s="996"/>
      <c r="K309" s="996"/>
      <c r="L309" s="996"/>
      <c r="M309" s="996"/>
      <c r="N309" s="1005"/>
      <c r="O309" s="1296" t="str">
        <f>'Proposed Lighting'!Z295&amp;", "&amp;'Proposed Lighting'!EK295</f>
        <v xml:space="preserve">, </v>
      </c>
      <c r="P309" s="1292">
        <f>'Proposed Lighting'!T295</f>
        <v>0</v>
      </c>
      <c r="Q309" s="1293">
        <f>'Proposed Lighting'!AA295</f>
        <v>0</v>
      </c>
      <c r="R309" s="996"/>
      <c r="S309" s="1297">
        <f>IF('Proposed Lighting'!AR295=0,0,IF('Proposed Lighting'!AT295&gt;0.2,'Proposed Lighting'!AT295,0))</f>
        <v>0</v>
      </c>
      <c r="T309" s="997">
        <f>'Proposed Lighting'!X295</f>
        <v>0</v>
      </c>
      <c r="U309" s="998"/>
      <c r="V309" s="998"/>
      <c r="W309" s="1378">
        <f>IF('Proposed Lighting'!AF295=4,"WS",IF('Proposed Lighting'!AF295=5,"CM",IF('Proposed Lighting'!AF295=1.6,"PHOT",IF('Proposed Lighting'!AF295=1.5,"FM",IF('Proposed Lighting'!CT295=0.5,"LED-MS",IF('Proposed Lighting'!CB295&gt;1,"Non-S",IF('Proposed Lighting'!CT295=0.6,"LED-SS",IF('Proposed Lighting'!CT295=2,"LED-NW",IF('Proposed Lighting'!CT295=3,"LLLC",0)))))))))</f>
        <v>0</v>
      </c>
      <c r="X309" s="1293">
        <f>'Proposed Lighting'!EE295</f>
        <v>0</v>
      </c>
      <c r="Y309" s="1293">
        <f>'Proposed Lighting'!EF295</f>
        <v>0</v>
      </c>
    </row>
    <row r="310" spans="1:25" ht="50.1" customHeight="1">
      <c r="A310" s="1290">
        <v>288</v>
      </c>
      <c r="B310" s="1291">
        <f>'Proposed Lighting'!B296</f>
        <v>0</v>
      </c>
      <c r="C310" s="1291">
        <f>IF('Proposed Lighting'!M296="Sch 1","Sch 1",IF('Proposed Lighting'!M296="Sch 1-C", "Sch 1-C",IF('Proposed Lighting'!M296="Sch 2","Sch 2",IF('Proposed Lighting'!M296="Sch 2-C","Sch 2-C",IF('Proposed Lighting'!M296="Sch 3","Sch 3",IF('Proposed Lighting'!M296="Sch 3-C", "Sch 3-C",IF('Proposed Lighting'!M296="E", "E",IF('Proposed Lighting'!M296="E-C", "E-C",IF('Proposed Lighting'!M296="Dusk to Dawn","Sch D-D",IF('Proposed Lighting'!M296="Dusk to Dawn-C", "Sch DD-C",IF('Proposed Lighting'!M296="Seasonal", "SEA",IF('Proposed Lighting'!M296="Seasonal-C", "SEA-C",0))))))))))))</f>
        <v>0</v>
      </c>
      <c r="D310" s="1292">
        <f>'Proposed Lighting'!F296</f>
        <v>0</v>
      </c>
      <c r="E310" s="1293">
        <f>'Proposed Lighting'!N296</f>
        <v>0</v>
      </c>
      <c r="F310" s="996"/>
      <c r="G310" s="1294">
        <f>'Proposed Lighting'!K296</f>
        <v>0</v>
      </c>
      <c r="H310" s="1295">
        <f>IF('Proposed Lighting'!P296&gt;0.2,'Proposed Lighting'!P296,0)</f>
        <v>0</v>
      </c>
      <c r="I310" s="995">
        <f>'Proposed Lighting'!J296</f>
        <v>0</v>
      </c>
      <c r="J310" s="996"/>
      <c r="K310" s="996"/>
      <c r="L310" s="996"/>
      <c r="M310" s="996"/>
      <c r="N310" s="1005"/>
      <c r="O310" s="1296" t="str">
        <f>'Proposed Lighting'!Z296&amp;", "&amp;'Proposed Lighting'!EK296</f>
        <v xml:space="preserve">, </v>
      </c>
      <c r="P310" s="1292">
        <f>'Proposed Lighting'!T296</f>
        <v>0</v>
      </c>
      <c r="Q310" s="1293">
        <f>'Proposed Lighting'!AA296</f>
        <v>0</v>
      </c>
      <c r="R310" s="996"/>
      <c r="S310" s="1297">
        <f>IF('Proposed Lighting'!AR296=0,0,IF('Proposed Lighting'!AT296&gt;0.2,'Proposed Lighting'!AT296,0))</f>
        <v>0</v>
      </c>
      <c r="T310" s="997">
        <f>'Proposed Lighting'!X296</f>
        <v>0</v>
      </c>
      <c r="U310" s="998"/>
      <c r="V310" s="998"/>
      <c r="W310" s="1378">
        <f>IF('Proposed Lighting'!AF296=4,"WS",IF('Proposed Lighting'!AF296=5,"CM",IF('Proposed Lighting'!AF296=1.6,"PHOT",IF('Proposed Lighting'!AF296=1.5,"FM",IF('Proposed Lighting'!CT296=0.5,"LED-MS",IF('Proposed Lighting'!CB296&gt;1,"Non-S",IF('Proposed Lighting'!CT296=0.6,"LED-SS",IF('Proposed Lighting'!CT296=2,"LED-NW",IF('Proposed Lighting'!CT296=3,"LLLC",0)))))))))</f>
        <v>0</v>
      </c>
      <c r="X310" s="1293">
        <f>'Proposed Lighting'!EE296</f>
        <v>0</v>
      </c>
      <c r="Y310" s="1293">
        <f>'Proposed Lighting'!EF296</f>
        <v>0</v>
      </c>
    </row>
    <row r="311" spans="1:25" ht="50.1" customHeight="1">
      <c r="A311" s="1290">
        <v>289</v>
      </c>
      <c r="B311" s="1291">
        <f>'Proposed Lighting'!B297</f>
        <v>0</v>
      </c>
      <c r="C311" s="1291">
        <f>IF('Proposed Lighting'!M297="Sch 1","Sch 1",IF('Proposed Lighting'!M297="Sch 1-C", "Sch 1-C",IF('Proposed Lighting'!M297="Sch 2","Sch 2",IF('Proposed Lighting'!M297="Sch 2-C","Sch 2-C",IF('Proposed Lighting'!M297="Sch 3","Sch 3",IF('Proposed Lighting'!M297="Sch 3-C", "Sch 3-C",IF('Proposed Lighting'!M297="E", "E",IF('Proposed Lighting'!M297="E-C", "E-C",IF('Proposed Lighting'!M297="Dusk to Dawn","Sch D-D",IF('Proposed Lighting'!M297="Dusk to Dawn-C", "Sch DD-C",IF('Proposed Lighting'!M297="Seasonal", "SEA",IF('Proposed Lighting'!M297="Seasonal-C", "SEA-C",0))))))))))))</f>
        <v>0</v>
      </c>
      <c r="D311" s="1292">
        <f>'Proposed Lighting'!F297</f>
        <v>0</v>
      </c>
      <c r="E311" s="1293">
        <f>'Proposed Lighting'!N297</f>
        <v>0</v>
      </c>
      <c r="F311" s="996"/>
      <c r="G311" s="1294">
        <f>'Proposed Lighting'!K297</f>
        <v>0</v>
      </c>
      <c r="H311" s="1295">
        <f>IF('Proposed Lighting'!P297&gt;0.2,'Proposed Lighting'!P297,0)</f>
        <v>0</v>
      </c>
      <c r="I311" s="995">
        <f>'Proposed Lighting'!J297</f>
        <v>0</v>
      </c>
      <c r="J311" s="996"/>
      <c r="K311" s="996"/>
      <c r="L311" s="996"/>
      <c r="M311" s="996"/>
      <c r="N311" s="1005"/>
      <c r="O311" s="1296" t="str">
        <f>'Proposed Lighting'!Z297&amp;", "&amp;'Proposed Lighting'!EK297</f>
        <v xml:space="preserve">, </v>
      </c>
      <c r="P311" s="1292">
        <f>'Proposed Lighting'!T297</f>
        <v>0</v>
      </c>
      <c r="Q311" s="1293">
        <f>'Proposed Lighting'!AA297</f>
        <v>0</v>
      </c>
      <c r="R311" s="996"/>
      <c r="S311" s="1297">
        <f>IF('Proposed Lighting'!AR297=0,0,IF('Proposed Lighting'!AT297&gt;0.2,'Proposed Lighting'!AT297,0))</f>
        <v>0</v>
      </c>
      <c r="T311" s="997">
        <f>'Proposed Lighting'!X297</f>
        <v>0</v>
      </c>
      <c r="U311" s="998"/>
      <c r="V311" s="998"/>
      <c r="W311" s="1378">
        <f>IF('Proposed Lighting'!AF297=4,"WS",IF('Proposed Lighting'!AF297=5,"CM",IF('Proposed Lighting'!AF297=1.6,"PHOT",IF('Proposed Lighting'!AF297=1.5,"FM",IF('Proposed Lighting'!CT297=0.5,"LED-MS",IF('Proposed Lighting'!CB297&gt;1,"Non-S",IF('Proposed Lighting'!CT297=0.6,"LED-SS",IF('Proposed Lighting'!CT297=2,"LED-NW",IF('Proposed Lighting'!CT297=3,"LLLC",0)))))))))</f>
        <v>0</v>
      </c>
      <c r="X311" s="1293">
        <f>'Proposed Lighting'!EE297</f>
        <v>0</v>
      </c>
      <c r="Y311" s="1293">
        <f>'Proposed Lighting'!EF297</f>
        <v>0</v>
      </c>
    </row>
    <row r="312" spans="1:25" ht="50.1" customHeight="1">
      <c r="A312" s="1290">
        <v>290</v>
      </c>
      <c r="B312" s="1291">
        <f>'Proposed Lighting'!B298</f>
        <v>0</v>
      </c>
      <c r="C312" s="1291">
        <f>IF('Proposed Lighting'!M298="Sch 1","Sch 1",IF('Proposed Lighting'!M298="Sch 1-C", "Sch 1-C",IF('Proposed Lighting'!M298="Sch 2","Sch 2",IF('Proposed Lighting'!M298="Sch 2-C","Sch 2-C",IF('Proposed Lighting'!M298="Sch 3","Sch 3",IF('Proposed Lighting'!M298="Sch 3-C", "Sch 3-C",IF('Proposed Lighting'!M298="E", "E",IF('Proposed Lighting'!M298="E-C", "E-C",IF('Proposed Lighting'!M298="Dusk to Dawn","Sch D-D",IF('Proposed Lighting'!M298="Dusk to Dawn-C", "Sch DD-C",IF('Proposed Lighting'!M298="Seasonal", "SEA",IF('Proposed Lighting'!M298="Seasonal-C", "SEA-C",0))))))))))))</f>
        <v>0</v>
      </c>
      <c r="D312" s="1292">
        <f>'Proposed Lighting'!F298</f>
        <v>0</v>
      </c>
      <c r="E312" s="1293">
        <f>'Proposed Lighting'!N298</f>
        <v>0</v>
      </c>
      <c r="F312" s="996"/>
      <c r="G312" s="1294">
        <f>'Proposed Lighting'!K298</f>
        <v>0</v>
      </c>
      <c r="H312" s="1295">
        <f>IF('Proposed Lighting'!P298&gt;0.2,'Proposed Lighting'!P298,0)</f>
        <v>0</v>
      </c>
      <c r="I312" s="995">
        <f>'Proposed Lighting'!J298</f>
        <v>0</v>
      </c>
      <c r="J312" s="996"/>
      <c r="K312" s="996"/>
      <c r="L312" s="996"/>
      <c r="M312" s="996"/>
      <c r="N312" s="1005"/>
      <c r="O312" s="1296" t="str">
        <f>'Proposed Lighting'!Z298&amp;", "&amp;'Proposed Lighting'!EK298</f>
        <v xml:space="preserve">, </v>
      </c>
      <c r="P312" s="1292">
        <f>'Proposed Lighting'!T298</f>
        <v>0</v>
      </c>
      <c r="Q312" s="1293">
        <f>'Proposed Lighting'!AA298</f>
        <v>0</v>
      </c>
      <c r="R312" s="996"/>
      <c r="S312" s="1297">
        <f>IF('Proposed Lighting'!AR298=0,0,IF('Proposed Lighting'!AT298&gt;0.2,'Proposed Lighting'!AT298,0))</f>
        <v>0</v>
      </c>
      <c r="T312" s="997">
        <f>'Proposed Lighting'!X298</f>
        <v>0</v>
      </c>
      <c r="U312" s="998"/>
      <c r="V312" s="998"/>
      <c r="W312" s="1378">
        <f>IF('Proposed Lighting'!AF298=4,"WS",IF('Proposed Lighting'!AF298=5,"CM",IF('Proposed Lighting'!AF298=1.6,"PHOT",IF('Proposed Lighting'!AF298=1.5,"FM",IF('Proposed Lighting'!CT298=0.5,"LED-MS",IF('Proposed Lighting'!CB298&gt;1,"Non-S",IF('Proposed Lighting'!CT298=0.6,"LED-SS",IF('Proposed Lighting'!CT298=2,"LED-NW",IF('Proposed Lighting'!CT298=3,"LLLC",0)))))))))</f>
        <v>0</v>
      </c>
      <c r="X312" s="1293">
        <f>'Proposed Lighting'!EE298</f>
        <v>0</v>
      </c>
      <c r="Y312" s="1293">
        <f>'Proposed Lighting'!EF298</f>
        <v>0</v>
      </c>
    </row>
    <row r="313" spans="1:25" ht="50.1" customHeight="1">
      <c r="A313" s="1290">
        <v>291</v>
      </c>
      <c r="B313" s="1291">
        <f>'Proposed Lighting'!B299</f>
        <v>0</v>
      </c>
      <c r="C313" s="1291">
        <f>IF('Proposed Lighting'!M299="Sch 1","Sch 1",IF('Proposed Lighting'!M299="Sch 1-C", "Sch 1-C",IF('Proposed Lighting'!M299="Sch 2","Sch 2",IF('Proposed Lighting'!M299="Sch 2-C","Sch 2-C",IF('Proposed Lighting'!M299="Sch 3","Sch 3",IF('Proposed Lighting'!M299="Sch 3-C", "Sch 3-C",IF('Proposed Lighting'!M299="E", "E",IF('Proposed Lighting'!M299="E-C", "E-C",IF('Proposed Lighting'!M299="Dusk to Dawn","Sch D-D",IF('Proposed Lighting'!M299="Dusk to Dawn-C", "Sch DD-C",IF('Proposed Lighting'!M299="Seasonal", "SEA",IF('Proposed Lighting'!M299="Seasonal-C", "SEA-C",0))))))))))))</f>
        <v>0</v>
      </c>
      <c r="D313" s="1292">
        <f>'Proposed Lighting'!F299</f>
        <v>0</v>
      </c>
      <c r="E313" s="1293">
        <f>'Proposed Lighting'!N299</f>
        <v>0</v>
      </c>
      <c r="F313" s="996"/>
      <c r="G313" s="1294">
        <f>'Proposed Lighting'!K299</f>
        <v>0</v>
      </c>
      <c r="H313" s="1295">
        <f>IF('Proposed Lighting'!P299&gt;0.2,'Proposed Lighting'!P299,0)</f>
        <v>0</v>
      </c>
      <c r="I313" s="995">
        <f>'Proposed Lighting'!J299</f>
        <v>0</v>
      </c>
      <c r="J313" s="996"/>
      <c r="K313" s="996"/>
      <c r="L313" s="996"/>
      <c r="M313" s="996"/>
      <c r="N313" s="1005"/>
      <c r="O313" s="1296" t="str">
        <f>'Proposed Lighting'!Z299&amp;", "&amp;'Proposed Lighting'!EK299</f>
        <v xml:space="preserve">, </v>
      </c>
      <c r="P313" s="1292">
        <f>'Proposed Lighting'!T299</f>
        <v>0</v>
      </c>
      <c r="Q313" s="1293">
        <f>'Proposed Lighting'!AA299</f>
        <v>0</v>
      </c>
      <c r="R313" s="996"/>
      <c r="S313" s="1297">
        <f>IF('Proposed Lighting'!AR299=0,0,IF('Proposed Lighting'!AT299&gt;0.2,'Proposed Lighting'!AT299,0))</f>
        <v>0</v>
      </c>
      <c r="T313" s="997">
        <f>'Proposed Lighting'!X299</f>
        <v>0</v>
      </c>
      <c r="U313" s="998"/>
      <c r="V313" s="998"/>
      <c r="W313" s="1378">
        <f>IF('Proposed Lighting'!AF299=4,"WS",IF('Proposed Lighting'!AF299=5,"CM",IF('Proposed Lighting'!AF299=1.6,"PHOT",IF('Proposed Lighting'!AF299=1.5,"FM",IF('Proposed Lighting'!CT299=0.5,"LED-MS",IF('Proposed Lighting'!CB299&gt;1,"Non-S",IF('Proposed Lighting'!CT299=0.6,"LED-SS",IF('Proposed Lighting'!CT299=2,"LED-NW",IF('Proposed Lighting'!CT299=3,"LLLC",0)))))))))</f>
        <v>0</v>
      </c>
      <c r="X313" s="1293">
        <f>'Proposed Lighting'!EE299</f>
        <v>0</v>
      </c>
      <c r="Y313" s="1293">
        <f>'Proposed Lighting'!EF299</f>
        <v>0</v>
      </c>
    </row>
    <row r="314" spans="1:25" ht="50.1" customHeight="1">
      <c r="A314" s="1290">
        <v>292</v>
      </c>
      <c r="B314" s="1291">
        <f>'Proposed Lighting'!B300</f>
        <v>0</v>
      </c>
      <c r="C314" s="1291">
        <f>IF('Proposed Lighting'!M300="Sch 1","Sch 1",IF('Proposed Lighting'!M300="Sch 1-C", "Sch 1-C",IF('Proposed Lighting'!M300="Sch 2","Sch 2",IF('Proposed Lighting'!M300="Sch 2-C","Sch 2-C",IF('Proposed Lighting'!M300="Sch 3","Sch 3",IF('Proposed Lighting'!M300="Sch 3-C", "Sch 3-C",IF('Proposed Lighting'!M300="E", "E",IF('Proposed Lighting'!M300="E-C", "E-C",IF('Proposed Lighting'!M300="Dusk to Dawn","Sch D-D",IF('Proposed Lighting'!M300="Dusk to Dawn-C", "Sch DD-C",IF('Proposed Lighting'!M300="Seasonal", "SEA",IF('Proposed Lighting'!M300="Seasonal-C", "SEA-C",0))))))))))))</f>
        <v>0</v>
      </c>
      <c r="D314" s="1292">
        <f>'Proposed Lighting'!F300</f>
        <v>0</v>
      </c>
      <c r="E314" s="1293">
        <f>'Proposed Lighting'!N300</f>
        <v>0</v>
      </c>
      <c r="F314" s="996"/>
      <c r="G314" s="1294">
        <f>'Proposed Lighting'!K300</f>
        <v>0</v>
      </c>
      <c r="H314" s="1295">
        <f>IF('Proposed Lighting'!P300&gt;0.2,'Proposed Lighting'!P300,0)</f>
        <v>0</v>
      </c>
      <c r="I314" s="995">
        <f>'Proposed Lighting'!J300</f>
        <v>0</v>
      </c>
      <c r="J314" s="996"/>
      <c r="K314" s="996"/>
      <c r="L314" s="996"/>
      <c r="M314" s="996"/>
      <c r="N314" s="1005"/>
      <c r="O314" s="1296" t="str">
        <f>'Proposed Lighting'!Z300&amp;", "&amp;'Proposed Lighting'!EK300</f>
        <v xml:space="preserve">, </v>
      </c>
      <c r="P314" s="1292">
        <f>'Proposed Lighting'!T300</f>
        <v>0</v>
      </c>
      <c r="Q314" s="1293">
        <f>'Proposed Lighting'!AA300</f>
        <v>0</v>
      </c>
      <c r="R314" s="996"/>
      <c r="S314" s="1297">
        <f>IF('Proposed Lighting'!AR300=0,0,IF('Proposed Lighting'!AT300&gt;0.2,'Proposed Lighting'!AT300,0))</f>
        <v>0</v>
      </c>
      <c r="T314" s="997">
        <f>'Proposed Lighting'!X300</f>
        <v>0</v>
      </c>
      <c r="U314" s="998"/>
      <c r="V314" s="998"/>
      <c r="W314" s="1378">
        <f>IF('Proposed Lighting'!AF300=4,"WS",IF('Proposed Lighting'!AF300=5,"CM",IF('Proposed Lighting'!AF300=1.6,"PHOT",IF('Proposed Lighting'!AF300=1.5,"FM",IF('Proposed Lighting'!CT300=0.5,"LED-MS",IF('Proposed Lighting'!CB300&gt;1,"Non-S",IF('Proposed Lighting'!CT300=0.6,"LED-SS",IF('Proposed Lighting'!CT300=2,"LED-NW",IF('Proposed Lighting'!CT300=3,"LLLC",0)))))))))</f>
        <v>0</v>
      </c>
      <c r="X314" s="1293">
        <f>'Proposed Lighting'!EE300</f>
        <v>0</v>
      </c>
      <c r="Y314" s="1293">
        <f>'Proposed Lighting'!EF300</f>
        <v>0</v>
      </c>
    </row>
    <row r="315" spans="1:25" ht="50.1" customHeight="1">
      <c r="A315" s="1290">
        <v>293</v>
      </c>
      <c r="B315" s="1291">
        <f>'Proposed Lighting'!B301</f>
        <v>0</v>
      </c>
      <c r="C315" s="1291">
        <f>IF('Proposed Lighting'!M301="Sch 1","Sch 1",IF('Proposed Lighting'!M301="Sch 1-C", "Sch 1-C",IF('Proposed Lighting'!M301="Sch 2","Sch 2",IF('Proposed Lighting'!M301="Sch 2-C","Sch 2-C",IF('Proposed Lighting'!M301="Sch 3","Sch 3",IF('Proposed Lighting'!M301="Sch 3-C", "Sch 3-C",IF('Proposed Lighting'!M301="E", "E",IF('Proposed Lighting'!M301="E-C", "E-C",IF('Proposed Lighting'!M301="Dusk to Dawn","Sch D-D",IF('Proposed Lighting'!M301="Dusk to Dawn-C", "Sch DD-C",IF('Proposed Lighting'!M301="Seasonal", "SEA",IF('Proposed Lighting'!M301="Seasonal-C", "SEA-C",0))))))))))))</f>
        <v>0</v>
      </c>
      <c r="D315" s="1292">
        <f>'Proposed Lighting'!F301</f>
        <v>0</v>
      </c>
      <c r="E315" s="1293">
        <f>'Proposed Lighting'!N301</f>
        <v>0</v>
      </c>
      <c r="F315" s="996"/>
      <c r="G315" s="1294">
        <f>'Proposed Lighting'!K301</f>
        <v>0</v>
      </c>
      <c r="H315" s="1295">
        <f>IF('Proposed Lighting'!P301&gt;0.2,'Proposed Lighting'!P301,0)</f>
        <v>0</v>
      </c>
      <c r="I315" s="995">
        <f>'Proposed Lighting'!J301</f>
        <v>0</v>
      </c>
      <c r="J315" s="996"/>
      <c r="K315" s="996"/>
      <c r="L315" s="996"/>
      <c r="M315" s="996"/>
      <c r="N315" s="1005"/>
      <c r="O315" s="1296" t="str">
        <f>'Proposed Lighting'!Z301&amp;", "&amp;'Proposed Lighting'!EK301</f>
        <v xml:space="preserve">, </v>
      </c>
      <c r="P315" s="1292">
        <f>'Proposed Lighting'!T301</f>
        <v>0</v>
      </c>
      <c r="Q315" s="1293">
        <f>'Proposed Lighting'!AA301</f>
        <v>0</v>
      </c>
      <c r="R315" s="996"/>
      <c r="S315" s="1297">
        <f>IF('Proposed Lighting'!AR301=0,0,IF('Proposed Lighting'!AT301&gt;0.2,'Proposed Lighting'!AT301,0))</f>
        <v>0</v>
      </c>
      <c r="T315" s="997">
        <f>'Proposed Lighting'!X301</f>
        <v>0</v>
      </c>
      <c r="U315" s="998"/>
      <c r="V315" s="998"/>
      <c r="W315" s="1378">
        <f>IF('Proposed Lighting'!AF301=4,"WS",IF('Proposed Lighting'!AF301=5,"CM",IF('Proposed Lighting'!AF301=1.6,"PHOT",IF('Proposed Lighting'!AF301=1.5,"FM",IF('Proposed Lighting'!CT301=0.5,"LED-MS",IF('Proposed Lighting'!CB301&gt;1,"Non-S",IF('Proposed Lighting'!CT301=0.6,"LED-SS",IF('Proposed Lighting'!CT301=2,"LED-NW",IF('Proposed Lighting'!CT301=3,"LLLC",0)))))))))</f>
        <v>0</v>
      </c>
      <c r="X315" s="1293">
        <f>'Proposed Lighting'!EE301</f>
        <v>0</v>
      </c>
      <c r="Y315" s="1293">
        <f>'Proposed Lighting'!EF301</f>
        <v>0</v>
      </c>
    </row>
    <row r="316" spans="1:25" ht="50.1" customHeight="1">
      <c r="A316" s="1290">
        <v>294</v>
      </c>
      <c r="B316" s="1291">
        <f>'Proposed Lighting'!B302</f>
        <v>0</v>
      </c>
      <c r="C316" s="1291">
        <f>IF('Proposed Lighting'!M302="Sch 1","Sch 1",IF('Proposed Lighting'!M302="Sch 1-C", "Sch 1-C",IF('Proposed Lighting'!M302="Sch 2","Sch 2",IF('Proposed Lighting'!M302="Sch 2-C","Sch 2-C",IF('Proposed Lighting'!M302="Sch 3","Sch 3",IF('Proposed Lighting'!M302="Sch 3-C", "Sch 3-C",IF('Proposed Lighting'!M302="E", "E",IF('Proposed Lighting'!M302="E-C", "E-C",IF('Proposed Lighting'!M302="Dusk to Dawn","Sch D-D",IF('Proposed Lighting'!M302="Dusk to Dawn-C", "Sch DD-C",IF('Proposed Lighting'!M302="Seasonal", "SEA",IF('Proposed Lighting'!M302="Seasonal-C", "SEA-C",0))))))))))))</f>
        <v>0</v>
      </c>
      <c r="D316" s="1292">
        <f>'Proposed Lighting'!F302</f>
        <v>0</v>
      </c>
      <c r="E316" s="1293">
        <f>'Proposed Lighting'!N302</f>
        <v>0</v>
      </c>
      <c r="F316" s="996"/>
      <c r="G316" s="1294">
        <f>'Proposed Lighting'!K302</f>
        <v>0</v>
      </c>
      <c r="H316" s="1295">
        <f>IF('Proposed Lighting'!P302&gt;0.2,'Proposed Lighting'!P302,0)</f>
        <v>0</v>
      </c>
      <c r="I316" s="995">
        <f>'Proposed Lighting'!J302</f>
        <v>0</v>
      </c>
      <c r="J316" s="996"/>
      <c r="K316" s="996"/>
      <c r="L316" s="996"/>
      <c r="M316" s="996"/>
      <c r="N316" s="1005"/>
      <c r="O316" s="1296" t="str">
        <f>'Proposed Lighting'!Z302&amp;", "&amp;'Proposed Lighting'!EK302</f>
        <v xml:space="preserve">, </v>
      </c>
      <c r="P316" s="1292">
        <f>'Proposed Lighting'!T302</f>
        <v>0</v>
      </c>
      <c r="Q316" s="1293">
        <f>'Proposed Lighting'!AA302</f>
        <v>0</v>
      </c>
      <c r="R316" s="996"/>
      <c r="S316" s="1297">
        <f>IF('Proposed Lighting'!AR302=0,0,IF('Proposed Lighting'!AT302&gt;0.2,'Proposed Lighting'!AT302,0))</f>
        <v>0</v>
      </c>
      <c r="T316" s="997">
        <f>'Proposed Lighting'!X302</f>
        <v>0</v>
      </c>
      <c r="U316" s="998"/>
      <c r="V316" s="998"/>
      <c r="W316" s="1378">
        <f>IF('Proposed Lighting'!AF302=4,"WS",IF('Proposed Lighting'!AF302=5,"CM",IF('Proposed Lighting'!AF302=1.6,"PHOT",IF('Proposed Lighting'!AF302=1.5,"FM",IF('Proposed Lighting'!CT302=0.5,"LED-MS",IF('Proposed Lighting'!CB302&gt;1,"Non-S",IF('Proposed Lighting'!CT302=0.6,"LED-SS",IF('Proposed Lighting'!CT302=2,"LED-NW",IF('Proposed Lighting'!CT302=3,"LLLC",0)))))))))</f>
        <v>0</v>
      </c>
      <c r="X316" s="1293">
        <f>'Proposed Lighting'!EE302</f>
        <v>0</v>
      </c>
      <c r="Y316" s="1293">
        <f>'Proposed Lighting'!EF302</f>
        <v>0</v>
      </c>
    </row>
    <row r="317" spans="1:25" ht="50.1" customHeight="1">
      <c r="A317" s="1290">
        <v>295</v>
      </c>
      <c r="B317" s="1291">
        <f>'Proposed Lighting'!B303</f>
        <v>0</v>
      </c>
      <c r="C317" s="1291">
        <f>IF('Proposed Lighting'!M303="Sch 1","Sch 1",IF('Proposed Lighting'!M303="Sch 1-C", "Sch 1-C",IF('Proposed Lighting'!M303="Sch 2","Sch 2",IF('Proposed Lighting'!M303="Sch 2-C","Sch 2-C",IF('Proposed Lighting'!M303="Sch 3","Sch 3",IF('Proposed Lighting'!M303="Sch 3-C", "Sch 3-C",IF('Proposed Lighting'!M303="E", "E",IF('Proposed Lighting'!M303="E-C", "E-C",IF('Proposed Lighting'!M303="Dusk to Dawn","Sch D-D",IF('Proposed Lighting'!M303="Dusk to Dawn-C", "Sch DD-C",IF('Proposed Lighting'!M303="Seasonal", "SEA",IF('Proposed Lighting'!M303="Seasonal-C", "SEA-C",0))))))))))))</f>
        <v>0</v>
      </c>
      <c r="D317" s="1292">
        <f>'Proposed Lighting'!F303</f>
        <v>0</v>
      </c>
      <c r="E317" s="1293">
        <f>'Proposed Lighting'!N303</f>
        <v>0</v>
      </c>
      <c r="F317" s="996"/>
      <c r="G317" s="1294">
        <f>'Proposed Lighting'!K303</f>
        <v>0</v>
      </c>
      <c r="H317" s="1295">
        <f>IF('Proposed Lighting'!P303&gt;0.2,'Proposed Lighting'!P303,0)</f>
        <v>0</v>
      </c>
      <c r="I317" s="995">
        <f>'Proposed Lighting'!J303</f>
        <v>0</v>
      </c>
      <c r="J317" s="996"/>
      <c r="K317" s="996"/>
      <c r="L317" s="996"/>
      <c r="M317" s="996"/>
      <c r="N317" s="1005"/>
      <c r="O317" s="1296" t="str">
        <f>'Proposed Lighting'!Z303&amp;", "&amp;'Proposed Lighting'!EK303</f>
        <v xml:space="preserve">, </v>
      </c>
      <c r="P317" s="1292">
        <f>'Proposed Lighting'!T303</f>
        <v>0</v>
      </c>
      <c r="Q317" s="1293">
        <f>'Proposed Lighting'!AA303</f>
        <v>0</v>
      </c>
      <c r="R317" s="996"/>
      <c r="S317" s="1297">
        <f>IF('Proposed Lighting'!AR303=0,0,IF('Proposed Lighting'!AT303&gt;0.2,'Proposed Lighting'!AT303,0))</f>
        <v>0</v>
      </c>
      <c r="T317" s="997">
        <f>'Proposed Lighting'!X303</f>
        <v>0</v>
      </c>
      <c r="U317" s="998"/>
      <c r="V317" s="998"/>
      <c r="W317" s="1378">
        <f>IF('Proposed Lighting'!AF303=4,"WS",IF('Proposed Lighting'!AF303=5,"CM",IF('Proposed Lighting'!AF303=1.6,"PHOT",IF('Proposed Lighting'!AF303=1.5,"FM",IF('Proposed Lighting'!CT303=0.5,"LED-MS",IF('Proposed Lighting'!CB303&gt;1,"Non-S",IF('Proposed Lighting'!CT303=0.6,"LED-SS",IF('Proposed Lighting'!CT303=2,"LED-NW",IF('Proposed Lighting'!CT303=3,"LLLC",0)))))))))</f>
        <v>0</v>
      </c>
      <c r="X317" s="1293">
        <f>'Proposed Lighting'!EE303</f>
        <v>0</v>
      </c>
      <c r="Y317" s="1293">
        <f>'Proposed Lighting'!EF303</f>
        <v>0</v>
      </c>
    </row>
    <row r="318" spans="1:25" ht="50.1" customHeight="1">
      <c r="A318" s="1290">
        <v>296</v>
      </c>
      <c r="B318" s="1291">
        <f>'Proposed Lighting'!B304</f>
        <v>0</v>
      </c>
      <c r="C318" s="1291">
        <f>IF('Proposed Lighting'!M304="Sch 1","Sch 1",IF('Proposed Lighting'!M304="Sch 1-C", "Sch 1-C",IF('Proposed Lighting'!M304="Sch 2","Sch 2",IF('Proposed Lighting'!M304="Sch 2-C","Sch 2-C",IF('Proposed Lighting'!M304="Sch 3","Sch 3",IF('Proposed Lighting'!M304="Sch 3-C", "Sch 3-C",IF('Proposed Lighting'!M304="E", "E",IF('Proposed Lighting'!M304="E-C", "E-C",IF('Proposed Lighting'!M304="Dusk to Dawn","Sch D-D",IF('Proposed Lighting'!M304="Dusk to Dawn-C", "Sch DD-C",IF('Proposed Lighting'!M304="Seasonal", "SEA",IF('Proposed Lighting'!M304="Seasonal-C", "SEA-C",0))))))))))))</f>
        <v>0</v>
      </c>
      <c r="D318" s="1292">
        <f>'Proposed Lighting'!F304</f>
        <v>0</v>
      </c>
      <c r="E318" s="1293">
        <f>'Proposed Lighting'!N304</f>
        <v>0</v>
      </c>
      <c r="F318" s="996"/>
      <c r="G318" s="1294">
        <f>'Proposed Lighting'!K304</f>
        <v>0</v>
      </c>
      <c r="H318" s="1295">
        <f>IF('Proposed Lighting'!P304&gt;0.2,'Proposed Lighting'!P304,0)</f>
        <v>0</v>
      </c>
      <c r="I318" s="995">
        <f>'Proposed Lighting'!J304</f>
        <v>0</v>
      </c>
      <c r="J318" s="996"/>
      <c r="K318" s="996"/>
      <c r="L318" s="996"/>
      <c r="M318" s="996"/>
      <c r="N318" s="1005"/>
      <c r="O318" s="1296" t="str">
        <f>'Proposed Lighting'!Z304&amp;", "&amp;'Proposed Lighting'!EK304</f>
        <v xml:space="preserve">, </v>
      </c>
      <c r="P318" s="1292">
        <f>'Proposed Lighting'!T304</f>
        <v>0</v>
      </c>
      <c r="Q318" s="1293">
        <f>'Proposed Lighting'!AA304</f>
        <v>0</v>
      </c>
      <c r="R318" s="996"/>
      <c r="S318" s="1297">
        <f>IF('Proposed Lighting'!AR304=0,0,IF('Proposed Lighting'!AT304&gt;0.2,'Proposed Lighting'!AT304,0))</f>
        <v>0</v>
      </c>
      <c r="T318" s="997">
        <f>'Proposed Lighting'!X304</f>
        <v>0</v>
      </c>
      <c r="U318" s="998"/>
      <c r="V318" s="998"/>
      <c r="W318" s="1378">
        <f>IF('Proposed Lighting'!AF304=4,"WS",IF('Proposed Lighting'!AF304=5,"CM",IF('Proposed Lighting'!AF304=1.6,"PHOT",IF('Proposed Lighting'!AF304=1.5,"FM",IF('Proposed Lighting'!CT304=0.5,"LED-MS",IF('Proposed Lighting'!CB304&gt;1,"Non-S",IF('Proposed Lighting'!CT304=0.6,"LED-SS",IF('Proposed Lighting'!CT304=2,"LED-NW",IF('Proposed Lighting'!CT304=3,"LLLC",0)))))))))</f>
        <v>0</v>
      </c>
      <c r="X318" s="1293">
        <f>'Proposed Lighting'!EE304</f>
        <v>0</v>
      </c>
      <c r="Y318" s="1293">
        <f>'Proposed Lighting'!EF304</f>
        <v>0</v>
      </c>
    </row>
    <row r="319" spans="1:25" ht="50.1" customHeight="1">
      <c r="A319" s="1290">
        <v>297</v>
      </c>
      <c r="B319" s="1291">
        <f>'Proposed Lighting'!B305</f>
        <v>0</v>
      </c>
      <c r="C319" s="1291">
        <f>IF('Proposed Lighting'!M305="Sch 1","Sch 1",IF('Proposed Lighting'!M305="Sch 1-C", "Sch 1-C",IF('Proposed Lighting'!M305="Sch 2","Sch 2",IF('Proposed Lighting'!M305="Sch 2-C","Sch 2-C",IF('Proposed Lighting'!M305="Sch 3","Sch 3",IF('Proposed Lighting'!M305="Sch 3-C", "Sch 3-C",IF('Proposed Lighting'!M305="E", "E",IF('Proposed Lighting'!M305="E-C", "E-C",IF('Proposed Lighting'!M305="Dusk to Dawn","Sch D-D",IF('Proposed Lighting'!M305="Dusk to Dawn-C", "Sch DD-C",IF('Proposed Lighting'!M305="Seasonal", "SEA",IF('Proposed Lighting'!M305="Seasonal-C", "SEA-C",0))))))))))))</f>
        <v>0</v>
      </c>
      <c r="D319" s="1292">
        <f>'Proposed Lighting'!F305</f>
        <v>0</v>
      </c>
      <c r="E319" s="1293">
        <f>'Proposed Lighting'!N305</f>
        <v>0</v>
      </c>
      <c r="F319" s="996"/>
      <c r="G319" s="1294">
        <f>'Proposed Lighting'!K305</f>
        <v>0</v>
      </c>
      <c r="H319" s="1295">
        <f>IF('Proposed Lighting'!P305&gt;0.2,'Proposed Lighting'!P305,0)</f>
        <v>0</v>
      </c>
      <c r="I319" s="995">
        <f>'Proposed Lighting'!J305</f>
        <v>0</v>
      </c>
      <c r="J319" s="996"/>
      <c r="K319" s="996"/>
      <c r="L319" s="996"/>
      <c r="M319" s="996"/>
      <c r="N319" s="1005"/>
      <c r="O319" s="1296" t="str">
        <f>'Proposed Lighting'!Z305&amp;", "&amp;'Proposed Lighting'!EK305</f>
        <v xml:space="preserve">, </v>
      </c>
      <c r="P319" s="1292">
        <f>'Proposed Lighting'!T305</f>
        <v>0</v>
      </c>
      <c r="Q319" s="1293">
        <f>'Proposed Lighting'!AA305</f>
        <v>0</v>
      </c>
      <c r="R319" s="996"/>
      <c r="S319" s="1297">
        <f>IF('Proposed Lighting'!AR305=0,0,IF('Proposed Lighting'!AT305&gt;0.2,'Proposed Lighting'!AT305,0))</f>
        <v>0</v>
      </c>
      <c r="T319" s="997">
        <f>'Proposed Lighting'!X305</f>
        <v>0</v>
      </c>
      <c r="U319" s="998"/>
      <c r="V319" s="998"/>
      <c r="W319" s="1378">
        <f>IF('Proposed Lighting'!AF305=4,"WS",IF('Proposed Lighting'!AF305=5,"CM",IF('Proposed Lighting'!AF305=1.6,"PHOT",IF('Proposed Lighting'!AF305=1.5,"FM",IF('Proposed Lighting'!CT305=0.5,"LED-MS",IF('Proposed Lighting'!CB305&gt;1,"Non-S",IF('Proposed Lighting'!CT305=0.6,"LED-SS",IF('Proposed Lighting'!CT305=2,"LED-NW",IF('Proposed Lighting'!CT305=3,"LLLC",0)))))))))</f>
        <v>0</v>
      </c>
      <c r="X319" s="1293">
        <f>'Proposed Lighting'!EE305</f>
        <v>0</v>
      </c>
      <c r="Y319" s="1293">
        <f>'Proposed Lighting'!EF305</f>
        <v>0</v>
      </c>
    </row>
    <row r="320" spans="1:25" ht="50.1" customHeight="1">
      <c r="A320" s="1290">
        <v>298</v>
      </c>
      <c r="B320" s="1291">
        <f>'Proposed Lighting'!B306</f>
        <v>0</v>
      </c>
      <c r="C320" s="1291">
        <f>IF('Proposed Lighting'!M306="Sch 1","Sch 1",IF('Proposed Lighting'!M306="Sch 1-C", "Sch 1-C",IF('Proposed Lighting'!M306="Sch 2","Sch 2",IF('Proposed Lighting'!M306="Sch 2-C","Sch 2-C",IF('Proposed Lighting'!M306="Sch 3","Sch 3",IF('Proposed Lighting'!M306="Sch 3-C", "Sch 3-C",IF('Proposed Lighting'!M306="E", "E",IF('Proposed Lighting'!M306="E-C", "E-C",IF('Proposed Lighting'!M306="Dusk to Dawn","Sch D-D",IF('Proposed Lighting'!M306="Dusk to Dawn-C", "Sch DD-C",IF('Proposed Lighting'!M306="Seasonal", "SEA",IF('Proposed Lighting'!M306="Seasonal-C", "SEA-C",0))))))))))))</f>
        <v>0</v>
      </c>
      <c r="D320" s="1292">
        <f>'Proposed Lighting'!F306</f>
        <v>0</v>
      </c>
      <c r="E320" s="1293">
        <f>'Proposed Lighting'!N306</f>
        <v>0</v>
      </c>
      <c r="F320" s="996"/>
      <c r="G320" s="1294">
        <f>'Proposed Lighting'!K306</f>
        <v>0</v>
      </c>
      <c r="H320" s="1295">
        <f>IF('Proposed Lighting'!P306&gt;0.2,'Proposed Lighting'!P306,0)</f>
        <v>0</v>
      </c>
      <c r="I320" s="995">
        <f>'Proposed Lighting'!J306</f>
        <v>0</v>
      </c>
      <c r="J320" s="996"/>
      <c r="K320" s="996"/>
      <c r="L320" s="996"/>
      <c r="M320" s="996"/>
      <c r="N320" s="1005"/>
      <c r="O320" s="1296" t="str">
        <f>'Proposed Lighting'!Z306&amp;", "&amp;'Proposed Lighting'!EK306</f>
        <v xml:space="preserve">, </v>
      </c>
      <c r="P320" s="1292">
        <f>'Proposed Lighting'!T306</f>
        <v>0</v>
      </c>
      <c r="Q320" s="1293">
        <f>'Proposed Lighting'!AA306</f>
        <v>0</v>
      </c>
      <c r="R320" s="996"/>
      <c r="S320" s="1297">
        <f>IF('Proposed Lighting'!AR306=0,0,IF('Proposed Lighting'!AT306&gt;0.2,'Proposed Lighting'!AT306,0))</f>
        <v>0</v>
      </c>
      <c r="T320" s="997">
        <f>'Proposed Lighting'!X306</f>
        <v>0</v>
      </c>
      <c r="U320" s="998"/>
      <c r="V320" s="998"/>
      <c r="W320" s="1378">
        <f>IF('Proposed Lighting'!AF306=4,"WS",IF('Proposed Lighting'!AF306=5,"CM",IF('Proposed Lighting'!AF306=1.6,"PHOT",IF('Proposed Lighting'!AF306=1.5,"FM",IF('Proposed Lighting'!CT306=0.5,"LED-MS",IF('Proposed Lighting'!CB306&gt;1,"Non-S",IF('Proposed Lighting'!CT306=0.6,"LED-SS",IF('Proposed Lighting'!CT306=2,"LED-NW",IF('Proposed Lighting'!CT306=3,"LLLC",0)))))))))</f>
        <v>0</v>
      </c>
      <c r="X320" s="1293">
        <f>'Proposed Lighting'!EE306</f>
        <v>0</v>
      </c>
      <c r="Y320" s="1293">
        <f>'Proposed Lighting'!EF306</f>
        <v>0</v>
      </c>
    </row>
    <row r="321" spans="1:25" ht="50.1" customHeight="1">
      <c r="A321" s="1290">
        <v>299</v>
      </c>
      <c r="B321" s="1291">
        <f>'Proposed Lighting'!B307</f>
        <v>0</v>
      </c>
      <c r="C321" s="1291">
        <f>IF('Proposed Lighting'!M307="Sch 1","Sch 1",IF('Proposed Lighting'!M307="Sch 1-C", "Sch 1-C",IF('Proposed Lighting'!M307="Sch 2","Sch 2",IF('Proposed Lighting'!M307="Sch 2-C","Sch 2-C",IF('Proposed Lighting'!M307="Sch 3","Sch 3",IF('Proposed Lighting'!M307="Sch 3-C", "Sch 3-C",IF('Proposed Lighting'!M307="E", "E",IF('Proposed Lighting'!M307="E-C", "E-C",IF('Proposed Lighting'!M307="Dusk to Dawn","Sch D-D",IF('Proposed Lighting'!M307="Dusk to Dawn-C", "Sch DD-C",IF('Proposed Lighting'!M307="Seasonal", "SEA",IF('Proposed Lighting'!M307="Seasonal-C", "SEA-C",0))))))))))))</f>
        <v>0</v>
      </c>
      <c r="D321" s="1292">
        <f>'Proposed Lighting'!F307</f>
        <v>0</v>
      </c>
      <c r="E321" s="1293">
        <f>'Proposed Lighting'!N307</f>
        <v>0</v>
      </c>
      <c r="F321" s="996"/>
      <c r="G321" s="1294">
        <f>'Proposed Lighting'!K307</f>
        <v>0</v>
      </c>
      <c r="H321" s="1295">
        <f>IF('Proposed Lighting'!P307&gt;0.2,'Proposed Lighting'!P307,0)</f>
        <v>0</v>
      </c>
      <c r="I321" s="995">
        <f>'Proposed Lighting'!J307</f>
        <v>0</v>
      </c>
      <c r="J321" s="996"/>
      <c r="K321" s="996"/>
      <c r="L321" s="996"/>
      <c r="M321" s="996"/>
      <c r="N321" s="1005"/>
      <c r="O321" s="1296" t="str">
        <f>'Proposed Lighting'!Z307&amp;", "&amp;'Proposed Lighting'!EK307</f>
        <v xml:space="preserve">, </v>
      </c>
      <c r="P321" s="1292">
        <f>'Proposed Lighting'!T307</f>
        <v>0</v>
      </c>
      <c r="Q321" s="1293">
        <f>'Proposed Lighting'!AA307</f>
        <v>0</v>
      </c>
      <c r="R321" s="996"/>
      <c r="S321" s="1297">
        <f>IF('Proposed Lighting'!AR307=0,0,IF('Proposed Lighting'!AT307&gt;0.2,'Proposed Lighting'!AT307,0))</f>
        <v>0</v>
      </c>
      <c r="T321" s="997">
        <f>'Proposed Lighting'!X307</f>
        <v>0</v>
      </c>
      <c r="U321" s="998"/>
      <c r="V321" s="998"/>
      <c r="W321" s="1378">
        <f>IF('Proposed Lighting'!AF307=4,"WS",IF('Proposed Lighting'!AF307=5,"CM",IF('Proposed Lighting'!AF307=1.6,"PHOT",IF('Proposed Lighting'!AF307=1.5,"FM",IF('Proposed Lighting'!CT307=0.5,"LED-MS",IF('Proposed Lighting'!CB307&gt;1,"Non-S",IF('Proposed Lighting'!CT307=0.6,"LED-SS",IF('Proposed Lighting'!CT307=2,"LED-NW",IF('Proposed Lighting'!CT307=3,"LLLC",0)))))))))</f>
        <v>0</v>
      </c>
      <c r="X321" s="1293">
        <f>'Proposed Lighting'!EE307</f>
        <v>0</v>
      </c>
      <c r="Y321" s="1293">
        <f>'Proposed Lighting'!EF307</f>
        <v>0</v>
      </c>
    </row>
    <row r="322" spans="1:25" ht="50.1" customHeight="1">
      <c r="A322" s="1290">
        <v>300</v>
      </c>
      <c r="B322" s="1291">
        <f>'Proposed Lighting'!B308</f>
        <v>0</v>
      </c>
      <c r="C322" s="1291">
        <f>IF('Proposed Lighting'!M308="Sch 1","Sch 1",IF('Proposed Lighting'!M308="Sch 1-C", "Sch 1-C",IF('Proposed Lighting'!M308="Sch 2","Sch 2",IF('Proposed Lighting'!M308="Sch 2-C","Sch 2-C",IF('Proposed Lighting'!M308="Sch 3","Sch 3",IF('Proposed Lighting'!M308="Sch 3-C", "Sch 3-C",IF('Proposed Lighting'!M308="E", "E",IF('Proposed Lighting'!M308="E-C", "E-C",IF('Proposed Lighting'!M308="Dusk to Dawn","Sch D-D",IF('Proposed Lighting'!M308="Dusk to Dawn-C", "Sch DD-C",IF('Proposed Lighting'!M308="Seasonal", "SEA",IF('Proposed Lighting'!M308="Seasonal-C", "SEA-C",0))))))))))))</f>
        <v>0</v>
      </c>
      <c r="D322" s="1292">
        <f>'Proposed Lighting'!F308</f>
        <v>0</v>
      </c>
      <c r="E322" s="1293">
        <f>'Proposed Lighting'!N308</f>
        <v>0</v>
      </c>
      <c r="F322" s="996"/>
      <c r="G322" s="1294">
        <f>'Proposed Lighting'!K308</f>
        <v>0</v>
      </c>
      <c r="H322" s="1295">
        <f>IF('Proposed Lighting'!P308&gt;0.2,'Proposed Lighting'!P308,0)</f>
        <v>0</v>
      </c>
      <c r="I322" s="995">
        <f>'Proposed Lighting'!J308</f>
        <v>0</v>
      </c>
      <c r="J322" s="996"/>
      <c r="K322" s="996"/>
      <c r="L322" s="996"/>
      <c r="M322" s="996"/>
      <c r="N322" s="1005"/>
      <c r="O322" s="1296" t="str">
        <f>'Proposed Lighting'!Z308&amp;", "&amp;'Proposed Lighting'!EK308</f>
        <v xml:space="preserve">, </v>
      </c>
      <c r="P322" s="1292">
        <f>'Proposed Lighting'!T308</f>
        <v>0</v>
      </c>
      <c r="Q322" s="1293">
        <f>'Proposed Lighting'!AA308</f>
        <v>0</v>
      </c>
      <c r="R322" s="996"/>
      <c r="S322" s="1297">
        <f>IF('Proposed Lighting'!AR308=0,0,IF('Proposed Lighting'!AT308&gt;0.2,'Proposed Lighting'!AT308,0))</f>
        <v>0</v>
      </c>
      <c r="T322" s="997">
        <f>'Proposed Lighting'!X308</f>
        <v>0</v>
      </c>
      <c r="U322" s="998"/>
      <c r="V322" s="998"/>
      <c r="W322" s="1378">
        <f>IF('Proposed Lighting'!AF308=4,"WS",IF('Proposed Lighting'!AF308=5,"CM",IF('Proposed Lighting'!AF308=1.6,"PHOT",IF('Proposed Lighting'!AF308=1.5,"FM",IF('Proposed Lighting'!CT308=0.5,"LED-MS",IF('Proposed Lighting'!CB308&gt;1,"Non-S",IF('Proposed Lighting'!CT308=0.6,"LED-SS",IF('Proposed Lighting'!CT308=2,"LED-NW",IF('Proposed Lighting'!CT308=3,"LLLC",0)))))))))</f>
        <v>0</v>
      </c>
      <c r="X322" s="1293">
        <f>'Proposed Lighting'!EE308</f>
        <v>0</v>
      </c>
      <c r="Y322" s="1293">
        <f>'Proposed Lighting'!EF308</f>
        <v>0</v>
      </c>
    </row>
    <row r="323" spans="1:25" ht="50.1" customHeight="1">
      <c r="A323" s="690"/>
      <c r="B323" s="1131"/>
      <c r="C323" s="1192" t="s">
        <v>783</v>
      </c>
      <c r="D323" s="698"/>
      <c r="E323" s="1189">
        <f>SUM(E23:E322)</f>
        <v>0</v>
      </c>
      <c r="F323" s="1128"/>
      <c r="G323" s="1129"/>
      <c r="H323" s="1130"/>
      <c r="I323" s="1132"/>
      <c r="J323" s="1128"/>
      <c r="K323" s="1128"/>
      <c r="L323" s="1128"/>
      <c r="M323" s="1128"/>
      <c r="N323" s="1128"/>
      <c r="O323" s="1131"/>
      <c r="P323" s="1201" t="s">
        <v>1615</v>
      </c>
      <c r="Q323" s="1189">
        <f>SUM(Q23:Q322)</f>
        <v>0</v>
      </c>
      <c r="R323" s="1128"/>
      <c r="S323" s="1133"/>
      <c r="T323" s="1134"/>
      <c r="U323" s="1135"/>
      <c r="V323" s="1135"/>
      <c r="W323" s="1131"/>
      <c r="X323" s="1127"/>
      <c r="Y323" s="1127"/>
    </row>
    <row r="324" spans="1:25" ht="21.75" customHeight="1">
      <c r="A324" s="690"/>
      <c r="B324" s="1131"/>
      <c r="C324" s="1192"/>
      <c r="D324" s="698"/>
      <c r="E324" s="1189"/>
      <c r="F324" s="1128"/>
      <c r="G324" s="1129"/>
      <c r="H324" s="1130"/>
      <c r="I324" s="1132"/>
      <c r="J324" s="1128"/>
      <c r="K324" s="1128"/>
      <c r="L324" s="1128"/>
      <c r="M324" s="1128"/>
      <c r="N324" s="1128"/>
      <c r="O324" s="1131"/>
      <c r="P324" s="1201"/>
      <c r="Q324" s="1189"/>
      <c r="R324" s="1128"/>
      <c r="S324" s="1133"/>
      <c r="T324" s="1134"/>
      <c r="U324" s="1135"/>
      <c r="V324" s="1135"/>
      <c r="W324" s="1131"/>
      <c r="X324" s="1127"/>
      <c r="Y324" s="1127"/>
    </row>
    <row r="325" spans="1:25" ht="54" customHeight="1">
      <c r="A325" s="2135" t="s">
        <v>782</v>
      </c>
      <c r="B325" s="2135"/>
      <c r="F325" s="245"/>
      <c r="G325" s="691"/>
      <c r="H325" s="156"/>
      <c r="I325" s="1190"/>
      <c r="J325" s="1190"/>
      <c r="K325" s="1190"/>
      <c r="L325" s="1191"/>
      <c r="M325" s="698"/>
      <c r="O325" s="691"/>
      <c r="R325" s="691"/>
      <c r="S325" s="691"/>
      <c r="T325" s="691"/>
      <c r="U325" s="692"/>
      <c r="V325" s="691"/>
      <c r="W325" s="691"/>
      <c r="X325" s="691"/>
    </row>
    <row r="326" spans="1:25" ht="19.5" customHeight="1">
      <c r="A326" s="2136" t="s">
        <v>1257</v>
      </c>
      <c r="B326" s="2137"/>
      <c r="C326" s="2140" t="s">
        <v>169</v>
      </c>
      <c r="D326" s="2140"/>
      <c r="E326" s="2140"/>
      <c r="F326" s="2140" t="s">
        <v>170</v>
      </c>
      <c r="G326" s="2140"/>
      <c r="H326" s="2140"/>
      <c r="I326" s="2140"/>
      <c r="J326" s="2144" t="s">
        <v>1258</v>
      </c>
      <c r="K326" s="2145"/>
      <c r="L326" s="2146"/>
      <c r="N326" s="696"/>
      <c r="O326" s="1013" t="s">
        <v>1477</v>
      </c>
    </row>
    <row r="327" spans="1:25" ht="34.15" customHeight="1">
      <c r="A327" s="2131" t="s">
        <v>1098</v>
      </c>
      <c r="B327" s="2132"/>
      <c r="C327" s="2133">
        <f>'Product Type'!C10</f>
        <v>0</v>
      </c>
      <c r="D327" s="2133"/>
      <c r="E327" s="2133"/>
      <c r="F327" s="2134">
        <f>'Product Type'!D10</f>
        <v>0</v>
      </c>
      <c r="G327" s="2134"/>
      <c r="H327" s="2134"/>
      <c r="I327" s="2134"/>
      <c r="J327" s="2127" t="s">
        <v>0</v>
      </c>
      <c r="K327" s="2128"/>
      <c r="L327" s="2129"/>
      <c r="M327" s="673"/>
      <c r="N327" s="673"/>
      <c r="P327" s="1044" t="s">
        <v>1475</v>
      </c>
      <c r="Q327" s="1529" t="s">
        <v>1572</v>
      </c>
      <c r="R327" s="1530"/>
      <c r="S327" s="1530"/>
      <c r="T327" s="1530"/>
      <c r="U327" s="1531"/>
      <c r="V327" s="1530"/>
      <c r="W327" s="1530"/>
      <c r="X327" s="1491"/>
    </row>
    <row r="328" spans="1:25" ht="34.15" customHeight="1">
      <c r="A328" s="2131" t="s">
        <v>1099</v>
      </c>
      <c r="B328" s="2132"/>
      <c r="C328" s="2133">
        <f>'Product Type'!C11</f>
        <v>0</v>
      </c>
      <c r="D328" s="2133"/>
      <c r="E328" s="2133"/>
      <c r="F328" s="2134">
        <f>'Product Type'!D11</f>
        <v>0</v>
      </c>
      <c r="G328" s="2134"/>
      <c r="H328" s="2134"/>
      <c r="I328" s="2134"/>
      <c r="J328" s="2127" t="s">
        <v>0</v>
      </c>
      <c r="K328" s="2128"/>
      <c r="L328" s="2129"/>
      <c r="M328" s="673"/>
      <c r="N328" s="673"/>
      <c r="P328" s="1044" t="s">
        <v>1474</v>
      </c>
      <c r="Q328" s="1532" t="s">
        <v>1535</v>
      </c>
      <c r="R328" s="1363"/>
      <c r="S328" s="1363"/>
      <c r="T328" s="1363"/>
      <c r="U328" s="1533"/>
      <c r="V328" s="1363"/>
      <c r="W328" s="1363"/>
      <c r="X328" s="1366"/>
    </row>
    <row r="329" spans="1:25" ht="34.15" customHeight="1">
      <c r="A329" s="2131" t="s">
        <v>1100</v>
      </c>
      <c r="B329" s="2132"/>
      <c r="C329" s="2133">
        <f>'Product Type'!C12</f>
        <v>0</v>
      </c>
      <c r="D329" s="2133"/>
      <c r="E329" s="2133"/>
      <c r="F329" s="2134">
        <f>'Product Type'!D12</f>
        <v>0</v>
      </c>
      <c r="G329" s="2134"/>
      <c r="H329" s="2134"/>
      <c r="I329" s="2134"/>
      <c r="J329" s="2127" t="s">
        <v>0</v>
      </c>
      <c r="K329" s="2128"/>
      <c r="L329" s="2129"/>
      <c r="M329" s="673"/>
      <c r="N329" s="673"/>
      <c r="P329" s="1044" t="s">
        <v>1476</v>
      </c>
      <c r="Q329" s="1529" t="s">
        <v>1780</v>
      </c>
      <c r="R329" s="1530"/>
      <c r="S329" s="1530"/>
      <c r="T329" s="1530"/>
      <c r="U329" s="1531"/>
      <c r="V329" s="1530"/>
      <c r="W329" s="1530"/>
      <c r="X329" s="1491"/>
    </row>
    <row r="330" spans="1:25" ht="34.15" customHeight="1">
      <c r="A330" s="2131" t="s">
        <v>1101</v>
      </c>
      <c r="B330" s="2132"/>
      <c r="C330" s="2133">
        <f>'Product Type'!C13</f>
        <v>0</v>
      </c>
      <c r="D330" s="2133"/>
      <c r="E330" s="2133"/>
      <c r="F330" s="2134">
        <f>'Product Type'!D13</f>
        <v>0</v>
      </c>
      <c r="G330" s="2134"/>
      <c r="H330" s="2134"/>
      <c r="I330" s="2134"/>
      <c r="J330" s="2127" t="s">
        <v>0</v>
      </c>
      <c r="K330" s="2128"/>
      <c r="L330" s="2129"/>
      <c r="M330" s="673"/>
      <c r="N330" s="673"/>
      <c r="P330" s="1044" t="s">
        <v>1881</v>
      </c>
      <c r="Q330" s="1529" t="s">
        <v>1488</v>
      </c>
      <c r="R330" s="1530"/>
      <c r="S330" s="1530"/>
      <c r="T330" s="1530"/>
      <c r="U330" s="1531"/>
      <c r="V330" s="1530"/>
      <c r="W330" s="1530"/>
      <c r="X330" s="1491"/>
    </row>
    <row r="331" spans="1:25" ht="34.15" customHeight="1">
      <c r="A331" s="2131" t="s">
        <v>1102</v>
      </c>
      <c r="B331" s="2132"/>
      <c r="C331" s="2133">
        <f>'Product Type'!C14</f>
        <v>0</v>
      </c>
      <c r="D331" s="2133"/>
      <c r="E331" s="2133"/>
      <c r="F331" s="2134">
        <f>'Product Type'!D14</f>
        <v>0</v>
      </c>
      <c r="G331" s="2134"/>
      <c r="H331" s="2134"/>
      <c r="I331" s="2134"/>
      <c r="J331" s="2127" t="s">
        <v>0</v>
      </c>
      <c r="K331" s="2128"/>
      <c r="L331" s="2129"/>
      <c r="M331" s="673"/>
      <c r="N331" s="673"/>
      <c r="P331" s="1044" t="s">
        <v>1470</v>
      </c>
      <c r="Q331" s="1011" t="s">
        <v>1762</v>
      </c>
      <c r="X331" s="994"/>
    </row>
    <row r="332" spans="1:25" ht="34.15" customHeight="1">
      <c r="A332" s="2131" t="s">
        <v>1103</v>
      </c>
      <c r="B332" s="2132"/>
      <c r="C332" s="2133">
        <f>'Product Type'!C15</f>
        <v>0</v>
      </c>
      <c r="D332" s="2133"/>
      <c r="E332" s="2133"/>
      <c r="F332" s="2134">
        <f>'Product Type'!D15</f>
        <v>0</v>
      </c>
      <c r="G332" s="2134"/>
      <c r="H332" s="2134"/>
      <c r="I332" s="2134"/>
      <c r="J332" s="2127" t="s">
        <v>0</v>
      </c>
      <c r="K332" s="2128"/>
      <c r="L332" s="2129"/>
      <c r="M332" s="673"/>
      <c r="N332" s="673"/>
      <c r="P332" s="1537" t="s">
        <v>1471</v>
      </c>
      <c r="Q332" s="1529" t="s">
        <v>1763</v>
      </c>
      <c r="R332" s="1530"/>
      <c r="S332" s="1530"/>
      <c r="T332" s="1530"/>
      <c r="U332" s="1531"/>
      <c r="V332" s="1530"/>
      <c r="W332" s="1530"/>
      <c r="X332" s="1491"/>
    </row>
    <row r="333" spans="1:25" ht="31.5" customHeight="1">
      <c r="A333" s="2131" t="s">
        <v>1104</v>
      </c>
      <c r="B333" s="2132"/>
      <c r="C333" s="2133">
        <f>'Product Type'!C16</f>
        <v>0</v>
      </c>
      <c r="D333" s="2133"/>
      <c r="E333" s="2133"/>
      <c r="F333" s="2134">
        <f>'Product Type'!D16</f>
        <v>0</v>
      </c>
      <c r="G333" s="2134"/>
      <c r="H333" s="2134"/>
      <c r="I333" s="2134"/>
      <c r="J333" s="2127" t="s">
        <v>0</v>
      </c>
      <c r="K333" s="2128"/>
      <c r="L333" s="2129"/>
      <c r="P333" s="1044" t="s">
        <v>1472</v>
      </c>
      <c r="Q333" s="1011" t="s">
        <v>1764</v>
      </c>
      <c r="X333" s="994"/>
    </row>
    <row r="334" spans="1:25" ht="31.5" customHeight="1">
      <c r="A334" s="2131" t="s">
        <v>1105</v>
      </c>
      <c r="B334" s="2132"/>
      <c r="C334" s="2133">
        <f>'Product Type'!C17</f>
        <v>0</v>
      </c>
      <c r="D334" s="2133"/>
      <c r="E334" s="2133"/>
      <c r="F334" s="2134">
        <f>'Product Type'!D17</f>
        <v>0</v>
      </c>
      <c r="G334" s="2134"/>
      <c r="H334" s="2134"/>
      <c r="I334" s="2134"/>
      <c r="J334" s="2127" t="s">
        <v>0</v>
      </c>
      <c r="K334" s="2128"/>
      <c r="L334" s="2129"/>
      <c r="P334" s="1044" t="s">
        <v>1473</v>
      </c>
      <c r="Q334" s="1529" t="s">
        <v>1765</v>
      </c>
      <c r="R334" s="1530"/>
      <c r="S334" s="1530"/>
      <c r="T334" s="1530"/>
      <c r="U334" s="1531"/>
      <c r="V334" s="1530"/>
      <c r="W334" s="1530"/>
      <c r="X334" s="1491"/>
    </row>
    <row r="335" spans="1:25" ht="31.5" customHeight="1">
      <c r="A335" s="2131" t="s">
        <v>1106</v>
      </c>
      <c r="B335" s="2132"/>
      <c r="C335" s="2133">
        <f>'Product Type'!C18</f>
        <v>0</v>
      </c>
      <c r="D335" s="2133"/>
      <c r="E335" s="2133"/>
      <c r="F335" s="2134">
        <f>'Product Type'!D18</f>
        <v>0</v>
      </c>
      <c r="G335" s="2134"/>
      <c r="H335" s="2134"/>
      <c r="I335" s="2134"/>
      <c r="J335" s="2127" t="s">
        <v>0</v>
      </c>
      <c r="K335" s="2128"/>
      <c r="L335" s="2129"/>
      <c r="P335" s="1044" t="s">
        <v>1474</v>
      </c>
      <c r="Q335" s="1012" t="s">
        <v>1781</v>
      </c>
      <c r="R335" s="987"/>
      <c r="S335" s="987"/>
      <c r="T335" s="987"/>
      <c r="U335" s="1008"/>
      <c r="V335" s="987"/>
      <c r="W335" s="987"/>
      <c r="X335" s="1009"/>
    </row>
    <row r="336" spans="1:25" ht="31.5" customHeight="1">
      <c r="A336" s="2131" t="s">
        <v>1107</v>
      </c>
      <c r="B336" s="2132"/>
      <c r="C336" s="2133">
        <f>'Product Type'!C19</f>
        <v>0</v>
      </c>
      <c r="D336" s="2133"/>
      <c r="E336" s="2133"/>
      <c r="F336" s="2134">
        <f>'Product Type'!D19</f>
        <v>0</v>
      </c>
      <c r="G336" s="2134"/>
      <c r="H336" s="2134"/>
      <c r="I336" s="2134"/>
      <c r="J336" s="2127" t="s">
        <v>0</v>
      </c>
      <c r="K336" s="2128"/>
      <c r="L336" s="2129"/>
      <c r="O336" s="1014"/>
      <c r="P336" s="1044" t="s">
        <v>1882</v>
      </c>
      <c r="Q336" s="1529" t="s">
        <v>1782</v>
      </c>
      <c r="R336" s="1534"/>
      <c r="S336" s="1534"/>
      <c r="T336" s="1534"/>
      <c r="U336" s="1535"/>
      <c r="V336" s="1534"/>
      <c r="W336" s="1534"/>
      <c r="X336" s="1536"/>
    </row>
    <row r="337" spans="1:24" ht="31.5" customHeight="1">
      <c r="A337" s="2131" t="s">
        <v>1108</v>
      </c>
      <c r="B337" s="2132"/>
      <c r="C337" s="2133">
        <f>'Product Type'!C20</f>
        <v>0</v>
      </c>
      <c r="D337" s="2133"/>
      <c r="E337" s="2133"/>
      <c r="F337" s="2134">
        <f>'Product Type'!D20</f>
        <v>0</v>
      </c>
      <c r="G337" s="2134"/>
      <c r="H337" s="2134"/>
      <c r="I337" s="2134"/>
      <c r="J337" s="2127" t="s">
        <v>0</v>
      </c>
      <c r="K337" s="2128"/>
      <c r="L337" s="2129"/>
      <c r="O337" s="673"/>
      <c r="P337" s="673"/>
      <c r="Q337" s="673"/>
      <c r="R337" s="673"/>
      <c r="S337" s="673"/>
      <c r="T337" s="673"/>
      <c r="U337" s="673"/>
      <c r="V337" s="673"/>
      <c r="W337" s="673"/>
      <c r="X337" s="673"/>
    </row>
    <row r="338" spans="1:24" ht="31.5" customHeight="1">
      <c r="A338" s="2131" t="s">
        <v>1678</v>
      </c>
      <c r="B338" s="2132"/>
      <c r="C338" s="2133">
        <f>'Product Type'!C21</f>
        <v>0</v>
      </c>
      <c r="D338" s="2133"/>
      <c r="E338" s="2133"/>
      <c r="F338" s="2134">
        <f>'Product Type'!D21</f>
        <v>0</v>
      </c>
      <c r="G338" s="2134"/>
      <c r="H338" s="2134"/>
      <c r="I338" s="2134"/>
      <c r="J338" s="2127" t="s">
        <v>0</v>
      </c>
      <c r="K338" s="2128"/>
      <c r="L338" s="2129"/>
      <c r="O338" s="673"/>
      <c r="P338" s="673"/>
      <c r="Q338" s="673"/>
      <c r="R338" s="673"/>
      <c r="S338" s="673"/>
      <c r="T338" s="673"/>
      <c r="U338" s="673"/>
      <c r="V338" s="673"/>
      <c r="W338" s="673"/>
      <c r="X338" s="673"/>
    </row>
    <row r="339" spans="1:24" ht="31.5" customHeight="1">
      <c r="A339" s="2131" t="s">
        <v>1109</v>
      </c>
      <c r="B339" s="2132"/>
      <c r="C339" s="2133">
        <f>'Product Type'!C22</f>
        <v>0</v>
      </c>
      <c r="D339" s="2133"/>
      <c r="E339" s="2133"/>
      <c r="F339" s="2134">
        <f>'Product Type'!D22</f>
        <v>0</v>
      </c>
      <c r="G339" s="2134"/>
      <c r="H339" s="2134"/>
      <c r="I339" s="2134"/>
      <c r="J339" s="2127" t="s">
        <v>0</v>
      </c>
      <c r="K339" s="2128"/>
      <c r="L339" s="2129"/>
      <c r="O339" s="673"/>
      <c r="P339" s="673"/>
      <c r="Q339" s="673"/>
      <c r="R339" s="673"/>
      <c r="S339" s="673"/>
      <c r="T339" s="673"/>
      <c r="U339" s="673"/>
      <c r="V339" s="673"/>
      <c r="W339" s="673"/>
      <c r="X339" s="673"/>
    </row>
    <row r="340" spans="1:24" ht="31.5" customHeight="1">
      <c r="A340" s="2131" t="s">
        <v>1110</v>
      </c>
      <c r="B340" s="2132"/>
      <c r="C340" s="2133">
        <f>'Product Type'!C23</f>
        <v>0</v>
      </c>
      <c r="D340" s="2133"/>
      <c r="E340" s="2133"/>
      <c r="F340" s="2134">
        <f>'Product Type'!D23</f>
        <v>0</v>
      </c>
      <c r="G340" s="2134"/>
      <c r="H340" s="2134"/>
      <c r="I340" s="2134"/>
      <c r="J340" s="2127" t="s">
        <v>0</v>
      </c>
      <c r="K340" s="2128"/>
      <c r="L340" s="2129"/>
      <c r="O340" s="673"/>
      <c r="P340" s="673"/>
      <c r="Q340" s="673"/>
      <c r="R340" s="673"/>
      <c r="S340" s="673"/>
      <c r="T340" s="673"/>
      <c r="U340" s="673"/>
      <c r="V340" s="673"/>
      <c r="W340" s="673"/>
      <c r="X340" s="673"/>
    </row>
    <row r="341" spans="1:24" ht="31.5" customHeight="1">
      <c r="A341" s="2131" t="s">
        <v>1111</v>
      </c>
      <c r="B341" s="2132"/>
      <c r="C341" s="2133">
        <f>'Product Type'!C24</f>
        <v>0</v>
      </c>
      <c r="D341" s="2133"/>
      <c r="E341" s="2133"/>
      <c r="F341" s="2134">
        <f>'Product Type'!D24</f>
        <v>0</v>
      </c>
      <c r="G341" s="2134"/>
      <c r="H341" s="2134"/>
      <c r="I341" s="2134"/>
      <c r="J341" s="2127" t="s">
        <v>0</v>
      </c>
      <c r="K341" s="2128"/>
      <c r="L341" s="2129"/>
      <c r="O341" s="673"/>
      <c r="P341" s="673"/>
      <c r="Q341" s="673"/>
      <c r="R341" s="673"/>
      <c r="S341" s="673"/>
      <c r="T341" s="673"/>
      <c r="U341" s="673"/>
      <c r="V341" s="673"/>
      <c r="W341" s="673"/>
      <c r="X341" s="673"/>
    </row>
    <row r="342" spans="1:24" ht="31.5" customHeight="1">
      <c r="A342" s="2131" t="s">
        <v>1679</v>
      </c>
      <c r="B342" s="2132"/>
      <c r="C342" s="2133">
        <f>'Product Type'!C25</f>
        <v>0</v>
      </c>
      <c r="D342" s="2133"/>
      <c r="E342" s="2133"/>
      <c r="F342" s="2134">
        <f>'Product Type'!D25</f>
        <v>0</v>
      </c>
      <c r="G342" s="2134"/>
      <c r="H342" s="2134"/>
      <c r="I342" s="2134"/>
      <c r="J342" s="2127" t="s">
        <v>0</v>
      </c>
      <c r="K342" s="2128"/>
      <c r="L342" s="2129"/>
      <c r="O342" s="673"/>
      <c r="P342" s="673"/>
      <c r="Q342" s="673"/>
      <c r="R342" s="673"/>
      <c r="S342" s="673"/>
      <c r="T342" s="673"/>
      <c r="U342" s="673"/>
      <c r="V342" s="673"/>
      <c r="W342" s="673"/>
      <c r="X342" s="673"/>
    </row>
    <row r="343" spans="1:24" ht="31.5" customHeight="1">
      <c r="A343" s="2131" t="s">
        <v>1112</v>
      </c>
      <c r="B343" s="2132"/>
      <c r="C343" s="2133">
        <f>'Product Type'!C26</f>
        <v>0</v>
      </c>
      <c r="D343" s="2133"/>
      <c r="E343" s="2133"/>
      <c r="F343" s="2134">
        <f>'Product Type'!D26</f>
        <v>0</v>
      </c>
      <c r="G343" s="2134"/>
      <c r="H343" s="2134"/>
      <c r="I343" s="2134"/>
      <c r="J343" s="2127" t="s">
        <v>0</v>
      </c>
      <c r="K343" s="2128"/>
      <c r="L343" s="2129"/>
      <c r="O343" s="673"/>
      <c r="P343" s="673"/>
      <c r="Q343" s="673"/>
      <c r="R343" s="673"/>
      <c r="S343" s="673"/>
      <c r="T343" s="673"/>
      <c r="U343" s="673"/>
      <c r="V343" s="673"/>
      <c r="W343" s="673"/>
      <c r="X343" s="673"/>
    </row>
    <row r="344" spans="1:24" ht="31.5" customHeight="1">
      <c r="A344" s="2131" t="s">
        <v>1113</v>
      </c>
      <c r="B344" s="2132"/>
      <c r="C344" s="2133">
        <f>'Product Type'!C27</f>
        <v>0</v>
      </c>
      <c r="D344" s="2133"/>
      <c r="E344" s="2133"/>
      <c r="F344" s="2134">
        <f>'Product Type'!D27</f>
        <v>0</v>
      </c>
      <c r="G344" s="2134"/>
      <c r="H344" s="2134"/>
      <c r="I344" s="2134"/>
      <c r="J344" s="2127" t="s">
        <v>0</v>
      </c>
      <c r="K344" s="2128"/>
      <c r="L344" s="2129"/>
      <c r="O344" s="673"/>
      <c r="P344" s="673"/>
      <c r="Q344" s="673"/>
      <c r="R344" s="673"/>
      <c r="S344" s="673"/>
      <c r="T344" s="673"/>
      <c r="U344" s="673"/>
      <c r="V344" s="673"/>
      <c r="W344" s="673"/>
      <c r="X344" s="673"/>
    </row>
    <row r="345" spans="1:24" ht="31.5" customHeight="1">
      <c r="A345" s="2131" t="s">
        <v>1114</v>
      </c>
      <c r="B345" s="2132"/>
      <c r="C345" s="2133">
        <f>'Product Type'!C28</f>
        <v>0</v>
      </c>
      <c r="D345" s="2133"/>
      <c r="E345" s="2133"/>
      <c r="F345" s="2134">
        <f>'Product Type'!D28</f>
        <v>0</v>
      </c>
      <c r="G345" s="2134"/>
      <c r="H345" s="2134"/>
      <c r="I345" s="2134"/>
      <c r="J345" s="2127" t="s">
        <v>0</v>
      </c>
      <c r="K345" s="2128"/>
      <c r="L345" s="2129"/>
      <c r="O345" s="673"/>
      <c r="P345" s="673"/>
      <c r="Q345" s="673"/>
      <c r="R345" s="673"/>
      <c r="S345" s="673"/>
      <c r="T345" s="673"/>
      <c r="U345" s="673"/>
      <c r="V345" s="673"/>
      <c r="W345" s="673"/>
      <c r="X345" s="673"/>
    </row>
    <row r="346" spans="1:24" ht="31.5" customHeight="1">
      <c r="A346" s="2131" t="s">
        <v>1115</v>
      </c>
      <c r="B346" s="2132"/>
      <c r="C346" s="2133">
        <f>'Product Type'!C29</f>
        <v>0</v>
      </c>
      <c r="D346" s="2133"/>
      <c r="E346" s="2133"/>
      <c r="F346" s="2134">
        <f>'Product Type'!D29</f>
        <v>0</v>
      </c>
      <c r="G346" s="2134"/>
      <c r="H346" s="2134"/>
      <c r="I346" s="2134"/>
      <c r="J346" s="2127" t="s">
        <v>0</v>
      </c>
      <c r="K346" s="2128"/>
      <c r="L346" s="2129"/>
      <c r="O346" s="673"/>
      <c r="P346" s="673"/>
      <c r="Q346" s="673"/>
      <c r="R346" s="673"/>
      <c r="S346" s="673"/>
      <c r="T346" s="673"/>
      <c r="U346" s="673"/>
      <c r="V346" s="673"/>
      <c r="W346" s="673"/>
      <c r="X346" s="673"/>
    </row>
    <row r="347" spans="1:24" ht="31.5" customHeight="1">
      <c r="A347" s="2131" t="s">
        <v>1116</v>
      </c>
      <c r="B347" s="2132"/>
      <c r="C347" s="2133">
        <f>'Product Type'!C30</f>
        <v>0</v>
      </c>
      <c r="D347" s="2133"/>
      <c r="E347" s="2133"/>
      <c r="F347" s="2134">
        <f>'Product Type'!D30</f>
        <v>0</v>
      </c>
      <c r="G347" s="2134"/>
      <c r="H347" s="2134"/>
      <c r="I347" s="2134"/>
      <c r="J347" s="2127" t="s">
        <v>0</v>
      </c>
      <c r="K347" s="2128"/>
      <c r="L347" s="2129"/>
      <c r="O347" s="673"/>
      <c r="P347" s="673"/>
      <c r="Q347" s="673"/>
      <c r="R347" s="673"/>
      <c r="S347" s="673"/>
      <c r="T347" s="673"/>
      <c r="U347" s="673"/>
      <c r="V347" s="673"/>
      <c r="W347" s="673"/>
      <c r="X347" s="673"/>
    </row>
    <row r="348" spans="1:24" ht="31.5" customHeight="1">
      <c r="A348" s="2131" t="s">
        <v>1117</v>
      </c>
      <c r="B348" s="2132"/>
      <c r="C348" s="2133">
        <f>'Product Type'!C31</f>
        <v>0</v>
      </c>
      <c r="D348" s="2133"/>
      <c r="E348" s="2133"/>
      <c r="F348" s="2134">
        <f>'Product Type'!D31</f>
        <v>0</v>
      </c>
      <c r="G348" s="2134"/>
      <c r="H348" s="2134"/>
      <c r="I348" s="2134"/>
      <c r="J348" s="2127" t="s">
        <v>0</v>
      </c>
      <c r="K348" s="2128"/>
      <c r="L348" s="2129"/>
      <c r="O348" s="673"/>
      <c r="P348" s="673"/>
      <c r="Q348" s="673"/>
      <c r="R348" s="673"/>
      <c r="S348" s="673"/>
      <c r="T348" s="673"/>
      <c r="U348" s="673"/>
      <c r="V348" s="673"/>
      <c r="W348" s="673"/>
      <c r="X348" s="673"/>
    </row>
    <row r="349" spans="1:24" ht="31.5" customHeight="1">
      <c r="A349" s="2131" t="s">
        <v>1118</v>
      </c>
      <c r="B349" s="2132"/>
      <c r="C349" s="2133">
        <f>'Product Type'!C32</f>
        <v>0</v>
      </c>
      <c r="D349" s="2133"/>
      <c r="E349" s="2133"/>
      <c r="F349" s="2134">
        <f>'Product Type'!D32</f>
        <v>0</v>
      </c>
      <c r="G349" s="2134"/>
      <c r="H349" s="2134"/>
      <c r="I349" s="2134"/>
      <c r="J349" s="2127" t="s">
        <v>0</v>
      </c>
      <c r="K349" s="2128"/>
      <c r="L349" s="2129"/>
      <c r="O349" s="673"/>
      <c r="P349" s="673"/>
      <c r="Q349" s="673"/>
      <c r="R349" s="673"/>
      <c r="S349" s="673"/>
      <c r="T349" s="673"/>
      <c r="U349" s="673"/>
      <c r="V349" s="673"/>
      <c r="W349" s="673"/>
      <c r="X349" s="673"/>
    </row>
    <row r="350" spans="1:24" ht="31.5" customHeight="1">
      <c r="A350" s="2131" t="s">
        <v>1119</v>
      </c>
      <c r="B350" s="2132"/>
      <c r="C350" s="2133">
        <f>'Product Type'!C33</f>
        <v>0</v>
      </c>
      <c r="D350" s="2133"/>
      <c r="E350" s="2133"/>
      <c r="F350" s="2134">
        <f>'Product Type'!D33</f>
        <v>0</v>
      </c>
      <c r="G350" s="2134"/>
      <c r="H350" s="2134"/>
      <c r="I350" s="2134"/>
      <c r="J350" s="2127" t="s">
        <v>0</v>
      </c>
      <c r="K350" s="2128"/>
      <c r="L350" s="2129"/>
      <c r="O350" s="673"/>
      <c r="P350" s="673"/>
      <c r="Q350" s="673"/>
      <c r="R350" s="673"/>
      <c r="S350" s="673"/>
      <c r="T350" s="673"/>
      <c r="U350" s="673"/>
      <c r="V350" s="673"/>
      <c r="W350" s="673"/>
      <c r="X350" s="673"/>
    </row>
    <row r="351" spans="1:24" ht="31.5" customHeight="1">
      <c r="A351" s="2131" t="s">
        <v>1120</v>
      </c>
      <c r="B351" s="2132"/>
      <c r="C351" s="2133">
        <f>'Product Type'!C34</f>
        <v>0</v>
      </c>
      <c r="D351" s="2133"/>
      <c r="E351" s="2133"/>
      <c r="F351" s="2134">
        <f>'Product Type'!D34</f>
        <v>0</v>
      </c>
      <c r="G351" s="2134"/>
      <c r="H351" s="2134"/>
      <c r="I351" s="2134"/>
      <c r="J351" s="2127" t="s">
        <v>0</v>
      </c>
      <c r="K351" s="2128"/>
      <c r="L351" s="2129"/>
    </row>
    <row r="352" spans="1:24" ht="31.5" customHeight="1">
      <c r="A352" s="2131" t="s">
        <v>1121</v>
      </c>
      <c r="B352" s="2132"/>
      <c r="C352" s="2133">
        <f>'Product Type'!C35</f>
        <v>0</v>
      </c>
      <c r="D352" s="2133"/>
      <c r="E352" s="2133"/>
      <c r="F352" s="2134">
        <f>'Product Type'!D35</f>
        <v>0</v>
      </c>
      <c r="G352" s="2134"/>
      <c r="H352" s="2134"/>
      <c r="I352" s="2134"/>
      <c r="J352" s="2127" t="s">
        <v>0</v>
      </c>
      <c r="K352" s="2128"/>
      <c r="L352" s="2129"/>
    </row>
    <row r="353" spans="1:12" ht="31.5" hidden="1" customHeight="1">
      <c r="A353" s="2131" t="s">
        <v>1122</v>
      </c>
      <c r="B353" s="2132"/>
      <c r="C353" s="2133">
        <f>'Product Type'!C36</f>
        <v>0</v>
      </c>
      <c r="D353" s="2133"/>
      <c r="E353" s="2133"/>
      <c r="F353" s="2134">
        <f>'Product Type'!D36</f>
        <v>0</v>
      </c>
      <c r="G353" s="2134"/>
      <c r="H353" s="2134"/>
      <c r="I353" s="2134"/>
      <c r="J353" s="2127" t="s">
        <v>0</v>
      </c>
      <c r="K353" s="2128"/>
      <c r="L353" s="2129"/>
    </row>
    <row r="354" spans="1:12" ht="31.5" hidden="1" customHeight="1">
      <c r="A354" s="2131" t="s">
        <v>1123</v>
      </c>
      <c r="B354" s="2132"/>
      <c r="C354" s="2133">
        <f>'Product Type'!C37</f>
        <v>0</v>
      </c>
      <c r="D354" s="2133"/>
      <c r="E354" s="2133"/>
      <c r="F354" s="2134">
        <f>'Product Type'!D37</f>
        <v>0</v>
      </c>
      <c r="G354" s="2134"/>
      <c r="H354" s="2134"/>
      <c r="I354" s="2134"/>
      <c r="J354" s="2127" t="s">
        <v>0</v>
      </c>
      <c r="K354" s="2128"/>
      <c r="L354" s="2129"/>
    </row>
    <row r="355" spans="1:12" ht="31.5" hidden="1" customHeight="1">
      <c r="A355" s="2131" t="s">
        <v>1124</v>
      </c>
      <c r="B355" s="2132"/>
      <c r="C355" s="2133">
        <f>'Product Type'!C38</f>
        <v>0</v>
      </c>
      <c r="D355" s="2133"/>
      <c r="E355" s="2133"/>
      <c r="F355" s="2134">
        <f>'Product Type'!D38</f>
        <v>0</v>
      </c>
      <c r="G355" s="2134"/>
      <c r="H355" s="2134"/>
      <c r="I355" s="2134"/>
      <c r="J355" s="2127" t="s">
        <v>0</v>
      </c>
      <c r="K355" s="2128"/>
      <c r="L355" s="2129"/>
    </row>
    <row r="356" spans="1:12" ht="31.5" hidden="1" customHeight="1">
      <c r="A356" s="2131" t="s">
        <v>1125</v>
      </c>
      <c r="B356" s="2132"/>
      <c r="C356" s="2133">
        <f>'Product Type'!C39</f>
        <v>0</v>
      </c>
      <c r="D356" s="2133"/>
      <c r="E356" s="2133"/>
      <c r="F356" s="2134">
        <f>'Product Type'!D39</f>
        <v>0</v>
      </c>
      <c r="G356" s="2134"/>
      <c r="H356" s="2134"/>
      <c r="I356" s="2134"/>
      <c r="J356" s="2127" t="s">
        <v>0</v>
      </c>
      <c r="K356" s="2128"/>
      <c r="L356" s="2129"/>
    </row>
    <row r="357" spans="1:12" ht="31.5" hidden="1" customHeight="1">
      <c r="A357" s="2131" t="s">
        <v>1126</v>
      </c>
      <c r="B357" s="2132"/>
      <c r="C357" s="2133">
        <f>'Product Type'!C40</f>
        <v>0</v>
      </c>
      <c r="D357" s="2133"/>
      <c r="E357" s="2133"/>
      <c r="F357" s="2134">
        <f>'Product Type'!D40</f>
        <v>0</v>
      </c>
      <c r="G357" s="2134"/>
      <c r="H357" s="2134"/>
      <c r="I357" s="2134"/>
      <c r="J357" s="2127" t="s">
        <v>0</v>
      </c>
      <c r="K357" s="2128"/>
      <c r="L357" s="2129"/>
    </row>
    <row r="358" spans="1:12" ht="31.5" hidden="1" customHeight="1">
      <c r="A358" s="2131" t="s">
        <v>1127</v>
      </c>
      <c r="B358" s="2132"/>
      <c r="C358" s="2133">
        <f>'Product Type'!C41</f>
        <v>0</v>
      </c>
      <c r="D358" s="2133"/>
      <c r="E358" s="2133"/>
      <c r="F358" s="2134">
        <f>'Product Type'!D41</f>
        <v>0</v>
      </c>
      <c r="G358" s="2134"/>
      <c r="H358" s="2134"/>
      <c r="I358" s="2134"/>
      <c r="J358" s="2127" t="s">
        <v>0</v>
      </c>
      <c r="K358" s="2128"/>
      <c r="L358" s="2129"/>
    </row>
    <row r="359" spans="1:12" ht="31.5" hidden="1" customHeight="1">
      <c r="A359" s="2131" t="s">
        <v>1128</v>
      </c>
      <c r="B359" s="2132"/>
      <c r="C359" s="2133">
        <f>'Product Type'!C42</f>
        <v>0</v>
      </c>
      <c r="D359" s="2133"/>
      <c r="E359" s="2133"/>
      <c r="F359" s="2134">
        <f>'Product Type'!D42</f>
        <v>0</v>
      </c>
      <c r="G359" s="2134"/>
      <c r="H359" s="2134"/>
      <c r="I359" s="2134"/>
      <c r="J359" s="2127" t="s">
        <v>0</v>
      </c>
      <c r="K359" s="2128"/>
      <c r="L359" s="2129"/>
    </row>
    <row r="360" spans="1:12" ht="31.5" hidden="1" customHeight="1">
      <c r="A360" s="2131" t="s">
        <v>1129</v>
      </c>
      <c r="B360" s="2132"/>
      <c r="C360" s="2133">
        <f>'Product Type'!C43</f>
        <v>0</v>
      </c>
      <c r="D360" s="2133"/>
      <c r="E360" s="2133"/>
      <c r="F360" s="2134">
        <f>'Product Type'!D43</f>
        <v>0</v>
      </c>
      <c r="G360" s="2134"/>
      <c r="H360" s="2134"/>
      <c r="I360" s="2134"/>
      <c r="J360" s="2127" t="s">
        <v>0</v>
      </c>
      <c r="K360" s="2128"/>
      <c r="L360" s="2129"/>
    </row>
    <row r="361" spans="1:12" ht="31.5" hidden="1" customHeight="1">
      <c r="A361" s="2131" t="s">
        <v>1130</v>
      </c>
      <c r="B361" s="2132"/>
      <c r="C361" s="2133">
        <f>'Product Type'!C44</f>
        <v>0</v>
      </c>
      <c r="D361" s="2133"/>
      <c r="E361" s="2133"/>
      <c r="F361" s="2134">
        <f>'Product Type'!D44</f>
        <v>0</v>
      </c>
      <c r="G361" s="2134"/>
      <c r="H361" s="2134"/>
      <c r="I361" s="2134"/>
      <c r="J361" s="2127" t="s">
        <v>0</v>
      </c>
      <c r="K361" s="2128"/>
      <c r="L361" s="2129"/>
    </row>
    <row r="362" spans="1:12" ht="31.5" hidden="1" customHeight="1">
      <c r="A362" s="2131" t="s">
        <v>1131</v>
      </c>
      <c r="B362" s="2132"/>
      <c r="C362" s="2133">
        <f>'Product Type'!C45</f>
        <v>0</v>
      </c>
      <c r="D362" s="2133"/>
      <c r="E362" s="2133"/>
      <c r="F362" s="2134">
        <f>'Product Type'!D45</f>
        <v>0</v>
      </c>
      <c r="G362" s="2134"/>
      <c r="H362" s="2134"/>
      <c r="I362" s="2134"/>
      <c r="J362" s="2127" t="s">
        <v>0</v>
      </c>
      <c r="K362" s="2128"/>
      <c r="L362" s="2129"/>
    </row>
    <row r="363" spans="1:12" ht="31.5" hidden="1" customHeight="1">
      <c r="A363" s="2131" t="s">
        <v>1132</v>
      </c>
      <c r="B363" s="2132"/>
      <c r="C363" s="2133">
        <f>'Product Type'!C46</f>
        <v>0</v>
      </c>
      <c r="D363" s="2133"/>
      <c r="E363" s="2133"/>
      <c r="F363" s="2134">
        <f>'Product Type'!D46</f>
        <v>0</v>
      </c>
      <c r="G363" s="2134"/>
      <c r="H363" s="2134"/>
      <c r="I363" s="2134"/>
      <c r="J363" s="2127" t="s">
        <v>0</v>
      </c>
      <c r="K363" s="2128"/>
      <c r="L363" s="2129"/>
    </row>
    <row r="364" spans="1:12" ht="31.5" hidden="1" customHeight="1">
      <c r="A364" s="2131" t="s">
        <v>1133</v>
      </c>
      <c r="B364" s="2132"/>
      <c r="C364" s="2133">
        <f>'Product Type'!C47</f>
        <v>0</v>
      </c>
      <c r="D364" s="2133"/>
      <c r="E364" s="2133"/>
      <c r="F364" s="2134">
        <f>'Product Type'!D47</f>
        <v>0</v>
      </c>
      <c r="G364" s="2134"/>
      <c r="H364" s="2134"/>
      <c r="I364" s="2134"/>
      <c r="J364" s="2127" t="s">
        <v>0</v>
      </c>
      <c r="K364" s="2128"/>
      <c r="L364" s="2129"/>
    </row>
    <row r="365" spans="1:12" ht="31.5" hidden="1" customHeight="1">
      <c r="A365" s="2131" t="s">
        <v>1134</v>
      </c>
      <c r="B365" s="2132"/>
      <c r="C365" s="2133">
        <f>'Product Type'!C48</f>
        <v>0</v>
      </c>
      <c r="D365" s="2133"/>
      <c r="E365" s="2133"/>
      <c r="F365" s="2134">
        <f>'Product Type'!D48</f>
        <v>0</v>
      </c>
      <c r="G365" s="2134"/>
      <c r="H365" s="2134"/>
      <c r="I365" s="2134"/>
      <c r="J365" s="2127" t="s">
        <v>0</v>
      </c>
      <c r="K365" s="2128"/>
      <c r="L365" s="2129"/>
    </row>
    <row r="366" spans="1:12" ht="31.5" hidden="1" customHeight="1">
      <c r="A366" s="2131" t="s">
        <v>1135</v>
      </c>
      <c r="B366" s="2132"/>
      <c r="C366" s="2133">
        <f>'Product Type'!C49</f>
        <v>0</v>
      </c>
      <c r="D366" s="2133"/>
      <c r="E366" s="2133"/>
      <c r="F366" s="2134">
        <f>'Product Type'!D49</f>
        <v>0</v>
      </c>
      <c r="G366" s="2134"/>
      <c r="H366" s="2134"/>
      <c r="I366" s="2134"/>
      <c r="J366" s="2127" t="s">
        <v>0</v>
      </c>
      <c r="K366" s="2128"/>
      <c r="L366" s="2129"/>
    </row>
    <row r="367" spans="1:12" ht="31.5" hidden="1" customHeight="1">
      <c r="A367" s="2131" t="s">
        <v>1136</v>
      </c>
      <c r="B367" s="2132"/>
      <c r="C367" s="2133">
        <f>'Product Type'!C50</f>
        <v>0</v>
      </c>
      <c r="D367" s="2133"/>
      <c r="E367" s="2133"/>
      <c r="F367" s="2134">
        <f>'Product Type'!D50</f>
        <v>0</v>
      </c>
      <c r="G367" s="2134"/>
      <c r="H367" s="2134"/>
      <c r="I367" s="2134"/>
      <c r="J367" s="2127" t="s">
        <v>0</v>
      </c>
      <c r="K367" s="2128"/>
      <c r="L367" s="2129"/>
    </row>
    <row r="368" spans="1:12" ht="31.5" hidden="1" customHeight="1">
      <c r="A368" s="2131" t="s">
        <v>1137</v>
      </c>
      <c r="B368" s="2132"/>
      <c r="C368" s="2133">
        <f>'Product Type'!C51</f>
        <v>0</v>
      </c>
      <c r="D368" s="2133"/>
      <c r="E368" s="2133"/>
      <c r="F368" s="2134">
        <f>'Product Type'!D51</f>
        <v>0</v>
      </c>
      <c r="G368" s="2134"/>
      <c r="H368" s="2134"/>
      <c r="I368" s="2134"/>
      <c r="J368" s="2127" t="s">
        <v>0</v>
      </c>
      <c r="K368" s="2128"/>
      <c r="L368" s="2129"/>
    </row>
    <row r="369" spans="1:25" ht="31.5" hidden="1" customHeight="1">
      <c r="A369" s="2131" t="s">
        <v>1138</v>
      </c>
      <c r="B369" s="2132"/>
      <c r="C369" s="2133">
        <f>'Product Type'!C52</f>
        <v>0</v>
      </c>
      <c r="D369" s="2133"/>
      <c r="E369" s="2133"/>
      <c r="F369" s="2134">
        <f>'Product Type'!D52</f>
        <v>0</v>
      </c>
      <c r="G369" s="2134"/>
      <c r="H369" s="2134"/>
      <c r="I369" s="2134"/>
      <c r="J369" s="2127" t="s">
        <v>0</v>
      </c>
      <c r="K369" s="2128"/>
      <c r="L369" s="2129"/>
    </row>
    <row r="370" spans="1:25" ht="31.5" hidden="1" customHeight="1">
      <c r="A370" s="2131" t="s">
        <v>1139</v>
      </c>
      <c r="B370" s="2132"/>
      <c r="C370" s="2133">
        <f>'Product Type'!C53</f>
        <v>0</v>
      </c>
      <c r="D370" s="2133"/>
      <c r="E370" s="2133"/>
      <c r="F370" s="2134">
        <f>'Product Type'!D53</f>
        <v>0</v>
      </c>
      <c r="G370" s="2134"/>
      <c r="H370" s="2134"/>
      <c r="I370" s="2134"/>
      <c r="J370" s="2127" t="s">
        <v>0</v>
      </c>
      <c r="K370" s="2128"/>
      <c r="L370" s="2129"/>
    </row>
    <row r="371" spans="1:25" ht="31.5" hidden="1" customHeight="1">
      <c r="A371" s="2131" t="s">
        <v>1140</v>
      </c>
      <c r="B371" s="2132"/>
      <c r="C371" s="2133">
        <f>'Product Type'!C54</f>
        <v>0</v>
      </c>
      <c r="D371" s="2133"/>
      <c r="E371" s="2133"/>
      <c r="F371" s="2134">
        <f>'Product Type'!D54</f>
        <v>0</v>
      </c>
      <c r="G371" s="2134"/>
      <c r="H371" s="2134"/>
      <c r="I371" s="2134"/>
      <c r="J371" s="2127" t="s">
        <v>0</v>
      </c>
      <c r="K371" s="2128"/>
      <c r="L371" s="2129"/>
    </row>
    <row r="372" spans="1:25" ht="31.5" hidden="1" customHeight="1">
      <c r="A372" s="2131" t="s">
        <v>1141</v>
      </c>
      <c r="B372" s="2132"/>
      <c r="C372" s="2133">
        <f>'Product Type'!C55</f>
        <v>0</v>
      </c>
      <c r="D372" s="2133"/>
      <c r="E372" s="2133"/>
      <c r="F372" s="2134">
        <f>'Product Type'!D55</f>
        <v>0</v>
      </c>
      <c r="G372" s="2134"/>
      <c r="H372" s="2134"/>
      <c r="I372" s="2134"/>
      <c r="J372" s="2127" t="s">
        <v>0</v>
      </c>
      <c r="K372" s="2128"/>
      <c r="L372" s="2129"/>
    </row>
    <row r="373" spans="1:25" ht="31.5" hidden="1" customHeight="1">
      <c r="A373" s="2131" t="s">
        <v>1142</v>
      </c>
      <c r="B373" s="2132"/>
      <c r="C373" s="2133">
        <f>'Product Type'!C56</f>
        <v>0</v>
      </c>
      <c r="D373" s="2133"/>
      <c r="E373" s="2133"/>
      <c r="F373" s="2134">
        <f>'Product Type'!D56</f>
        <v>0</v>
      </c>
      <c r="G373" s="2134"/>
      <c r="H373" s="2134"/>
      <c r="I373" s="2134"/>
      <c r="J373" s="2127" t="s">
        <v>0</v>
      </c>
      <c r="K373" s="2128"/>
      <c r="L373" s="2129"/>
    </row>
    <row r="374" spans="1:25" ht="31.5" hidden="1" customHeight="1">
      <c r="A374" s="2131" t="s">
        <v>1143</v>
      </c>
      <c r="B374" s="2132"/>
      <c r="C374" s="2133">
        <f>'Product Type'!C57</f>
        <v>0</v>
      </c>
      <c r="D374" s="2133"/>
      <c r="E374" s="2133"/>
      <c r="F374" s="2134">
        <f>'Product Type'!D57</f>
        <v>0</v>
      </c>
      <c r="G374" s="2134"/>
      <c r="H374" s="2134"/>
      <c r="I374" s="2134"/>
      <c r="J374" s="2127" t="s">
        <v>0</v>
      </c>
      <c r="K374" s="2128"/>
      <c r="L374" s="2129"/>
    </row>
    <row r="375" spans="1:25" ht="31.5" hidden="1" customHeight="1">
      <c r="A375" s="2131" t="s">
        <v>1144</v>
      </c>
      <c r="B375" s="2132"/>
      <c r="C375" s="2133">
        <f>'Product Type'!C58</f>
        <v>0</v>
      </c>
      <c r="D375" s="2133"/>
      <c r="E375" s="2133"/>
      <c r="F375" s="2134">
        <f>'Product Type'!D58</f>
        <v>0</v>
      </c>
      <c r="G375" s="2134"/>
      <c r="H375" s="2134"/>
      <c r="I375" s="2134"/>
      <c r="J375" s="2127" t="s">
        <v>0</v>
      </c>
      <c r="K375" s="2128"/>
      <c r="L375" s="2129"/>
    </row>
    <row r="376" spans="1:25" ht="31.5" hidden="1" customHeight="1">
      <c r="A376" s="2131" t="s">
        <v>1145</v>
      </c>
      <c r="B376" s="2132"/>
      <c r="C376" s="2133">
        <f>'Product Type'!C59</f>
        <v>0</v>
      </c>
      <c r="D376" s="2133"/>
      <c r="E376" s="2133"/>
      <c r="F376" s="2134">
        <f>'Product Type'!D59</f>
        <v>0</v>
      </c>
      <c r="G376" s="2134"/>
      <c r="H376" s="2134"/>
      <c r="I376" s="2134"/>
      <c r="J376" s="2127" t="s">
        <v>0</v>
      </c>
      <c r="K376" s="2128"/>
      <c r="L376" s="2129"/>
    </row>
    <row r="377" spans="1:25" ht="31.5" hidden="1" customHeight="1">
      <c r="A377" s="2131" t="s">
        <v>1146</v>
      </c>
      <c r="B377" s="2132"/>
      <c r="C377" s="2133">
        <f>'Product Type'!C60</f>
        <v>0</v>
      </c>
      <c r="D377" s="2133"/>
      <c r="E377" s="2133"/>
      <c r="F377" s="2134">
        <f>'Product Type'!D60</f>
        <v>0</v>
      </c>
      <c r="G377" s="2134"/>
      <c r="H377" s="2134"/>
      <c r="I377" s="2134"/>
      <c r="J377" s="2127" t="s">
        <v>0</v>
      </c>
      <c r="K377" s="2128"/>
      <c r="L377" s="2129"/>
    </row>
    <row r="378" spans="1:25" ht="31.5" hidden="1" customHeight="1">
      <c r="A378" s="2131" t="s">
        <v>1147</v>
      </c>
      <c r="B378" s="2132"/>
      <c r="C378" s="2133">
        <f>'Product Type'!C61</f>
        <v>0</v>
      </c>
      <c r="D378" s="2133"/>
      <c r="E378" s="2133"/>
      <c r="F378" s="2134">
        <f>'Product Type'!D61</f>
        <v>0</v>
      </c>
      <c r="G378" s="2134"/>
      <c r="H378" s="2134"/>
      <c r="I378" s="2134"/>
      <c r="J378" s="2127" t="s">
        <v>0</v>
      </c>
      <c r="K378" s="2128"/>
      <c r="L378" s="2129"/>
    </row>
    <row r="379" spans="1:25" ht="31.5" customHeight="1">
      <c r="A379" s="690"/>
      <c r="B379" s="690"/>
      <c r="C379" s="2130"/>
      <c r="D379" s="2130"/>
      <c r="E379" s="2130"/>
      <c r="F379" s="2130"/>
      <c r="G379" s="691"/>
      <c r="H379" s="691"/>
      <c r="I379" s="691"/>
      <c r="J379" s="691" t="s">
        <v>0</v>
      </c>
      <c r="K379" s="691"/>
    </row>
    <row r="380" spans="1:25" ht="31.5" customHeight="1">
      <c r="A380" s="1014" t="s">
        <v>1478</v>
      </c>
      <c r="B380" s="1110"/>
      <c r="C380" s="1111"/>
      <c r="D380" s="1111"/>
      <c r="E380" s="1111"/>
      <c r="F380" s="1111"/>
      <c r="G380" s="691"/>
      <c r="H380" s="691"/>
      <c r="I380" s="691"/>
      <c r="J380" s="691"/>
      <c r="K380" s="691"/>
    </row>
    <row r="381" spans="1:25" ht="31.5" customHeight="1">
      <c r="A381" s="1112"/>
      <c r="B381" s="1113"/>
      <c r="C381" s="1114"/>
      <c r="D381" s="1114"/>
      <c r="E381" s="1114"/>
      <c r="F381" s="1114"/>
      <c r="G381" s="1114"/>
      <c r="H381" s="1114"/>
      <c r="I381" s="1006"/>
      <c r="J381" s="1006"/>
      <c r="K381" s="1006"/>
      <c r="L381" s="49"/>
      <c r="M381" s="1204"/>
      <c r="N381" s="352"/>
      <c r="O381" s="352"/>
      <c r="P381" s="1203"/>
      <c r="Q381" s="1202"/>
      <c r="R381" s="352"/>
      <c r="S381" s="352"/>
      <c r="T381" s="352"/>
      <c r="U381" s="1006"/>
      <c r="V381" s="352"/>
      <c r="W381" s="352"/>
      <c r="X381" s="352"/>
      <c r="Y381" s="2"/>
    </row>
    <row r="382" spans="1:25" ht="31.5" customHeight="1">
      <c r="A382" s="1112"/>
      <c r="B382" s="1113"/>
      <c r="C382" s="1114"/>
      <c r="D382" s="1114"/>
      <c r="E382" s="1114"/>
      <c r="F382" s="1114"/>
      <c r="G382" s="1114"/>
      <c r="H382" s="1114"/>
      <c r="I382" s="1006"/>
      <c r="J382" s="1006"/>
      <c r="K382" s="1006"/>
      <c r="L382" s="49"/>
      <c r="M382" s="1204"/>
      <c r="N382" s="352"/>
      <c r="O382" s="352"/>
      <c r="P382" s="1203"/>
      <c r="Q382" s="1202"/>
      <c r="R382" s="352"/>
      <c r="S382" s="352"/>
      <c r="T382" s="352"/>
      <c r="U382" s="1006"/>
      <c r="V382" s="352"/>
      <c r="W382" s="352"/>
      <c r="X382" s="352"/>
      <c r="Y382" s="2"/>
    </row>
    <row r="383" spans="1:25" ht="31.5" customHeight="1">
      <c r="A383" s="1112"/>
      <c r="B383" s="1113"/>
      <c r="C383" s="1114"/>
      <c r="D383" s="1114"/>
      <c r="E383" s="1114"/>
      <c r="F383" s="1114"/>
      <c r="G383" s="1114"/>
      <c r="H383" s="1114"/>
      <c r="I383" s="1006"/>
      <c r="J383" s="1006"/>
      <c r="K383" s="1006"/>
      <c r="L383" s="49"/>
      <c r="M383" s="1204"/>
      <c r="N383" s="352"/>
      <c r="O383" s="352"/>
      <c r="P383" s="1203"/>
      <c r="Q383" s="1202"/>
      <c r="R383" s="352"/>
      <c r="S383" s="352"/>
      <c r="T383" s="352"/>
      <c r="U383" s="1006"/>
      <c r="V383" s="352"/>
      <c r="W383" s="352"/>
      <c r="X383" s="352"/>
      <c r="Y383" s="2"/>
    </row>
    <row r="384" spans="1:25" ht="31.5" customHeight="1">
      <c r="A384" s="1112"/>
      <c r="B384" s="1113"/>
      <c r="C384" s="1114"/>
      <c r="D384" s="1114"/>
      <c r="E384" s="1114"/>
      <c r="F384" s="1114"/>
      <c r="G384" s="1114"/>
      <c r="H384" s="1114"/>
      <c r="I384" s="1006"/>
      <c r="J384" s="1006"/>
      <c r="K384" s="1007"/>
      <c r="L384" s="49"/>
      <c r="M384" s="1204"/>
      <c r="N384" s="352"/>
      <c r="O384" s="352"/>
      <c r="P384" s="1203"/>
      <c r="Q384" s="1202"/>
      <c r="R384" s="352"/>
      <c r="S384" s="352"/>
      <c r="T384" s="352"/>
      <c r="U384" s="1006"/>
      <c r="V384" s="352"/>
      <c r="W384" s="352"/>
      <c r="X384" s="352"/>
      <c r="Y384" s="2"/>
    </row>
    <row r="385" spans="1:25" ht="31.5" customHeight="1">
      <c r="A385" s="1112"/>
      <c r="B385" s="1113"/>
      <c r="C385" s="1114"/>
      <c r="D385" s="1114"/>
      <c r="E385" s="1114"/>
      <c r="F385" s="1114"/>
      <c r="G385" s="1114"/>
      <c r="H385" s="1114"/>
      <c r="I385" s="1006"/>
      <c r="J385" s="1006"/>
      <c r="K385" s="1006"/>
      <c r="L385" s="49"/>
      <c r="M385" s="1204"/>
      <c r="N385" s="352"/>
      <c r="O385" s="352"/>
      <c r="P385" s="1203"/>
      <c r="Q385" s="1202"/>
      <c r="R385" s="352"/>
      <c r="S385" s="352"/>
      <c r="T385" s="352"/>
      <c r="U385" s="1006"/>
      <c r="V385" s="352"/>
      <c r="W385" s="352"/>
      <c r="X385" s="352"/>
      <c r="Y385" s="2"/>
    </row>
    <row r="386" spans="1:25" ht="31.5" customHeight="1">
      <c r="A386" s="1112"/>
      <c r="B386" s="1113"/>
      <c r="C386" s="1114"/>
      <c r="D386" s="1114"/>
      <c r="E386" s="1114"/>
      <c r="F386" s="1114"/>
      <c r="G386" s="1114"/>
      <c r="H386" s="1114"/>
      <c r="I386" s="1006"/>
      <c r="J386" s="1006"/>
      <c r="K386" s="1006"/>
      <c r="L386" s="352"/>
      <c r="M386" s="1202"/>
      <c r="N386" s="352"/>
      <c r="O386" s="352"/>
      <c r="P386" s="1203"/>
      <c r="Q386" s="1202"/>
      <c r="R386" s="352"/>
      <c r="S386" s="352"/>
      <c r="T386" s="352"/>
      <c r="U386" s="1006"/>
      <c r="V386" s="352"/>
      <c r="W386" s="352"/>
      <c r="X386" s="352"/>
      <c r="Y386" s="2"/>
    </row>
    <row r="387" spans="1:25" ht="31.5" customHeight="1">
      <c r="A387" s="1112"/>
      <c r="B387" s="1113"/>
      <c r="C387" s="1114"/>
      <c r="D387" s="1114"/>
      <c r="E387" s="1114"/>
      <c r="F387" s="1114"/>
      <c r="G387" s="1114"/>
      <c r="H387" s="1114"/>
      <c r="I387" s="1006"/>
      <c r="J387" s="1006"/>
      <c r="K387" s="1006"/>
      <c r="L387" s="352"/>
      <c r="M387" s="1202"/>
      <c r="N387" s="352"/>
      <c r="O387" s="352"/>
      <c r="P387" s="1203"/>
      <c r="Q387" s="1202"/>
      <c r="R387" s="352"/>
      <c r="S387" s="352"/>
      <c r="T387" s="352"/>
      <c r="U387" s="1006"/>
      <c r="V387" s="352"/>
      <c r="W387" s="352"/>
      <c r="X387" s="352"/>
      <c r="Y387" s="2"/>
    </row>
    <row r="388" spans="1:25" ht="31.5" customHeight="1">
      <c r="A388" s="1112"/>
      <c r="B388" s="1113"/>
      <c r="C388" s="1114"/>
      <c r="D388" s="1114"/>
      <c r="E388" s="1114"/>
      <c r="F388" s="1114"/>
      <c r="G388" s="1114"/>
      <c r="H388" s="1114"/>
      <c r="I388" s="1006"/>
      <c r="J388" s="1006"/>
      <c r="K388" s="1006"/>
      <c r="L388" s="352"/>
      <c r="M388" s="1202"/>
      <c r="N388" s="352"/>
      <c r="O388" s="352"/>
      <c r="P388" s="1203"/>
      <c r="Q388" s="1202"/>
      <c r="R388" s="352"/>
      <c r="S388" s="352"/>
      <c r="T388" s="352"/>
      <c r="U388" s="1006"/>
      <c r="V388" s="352"/>
      <c r="W388" s="352"/>
      <c r="X388" s="352"/>
      <c r="Y388" s="2"/>
    </row>
    <row r="389" spans="1:25" ht="31.5" customHeight="1">
      <c r="A389" s="1112"/>
      <c r="B389" s="1113"/>
      <c r="C389" s="1114"/>
      <c r="D389" s="1114"/>
      <c r="E389" s="1114"/>
      <c r="F389" s="1114"/>
      <c r="G389" s="1114"/>
      <c r="H389" s="1114"/>
      <c r="I389" s="1006"/>
      <c r="J389" s="1006"/>
      <c r="K389" s="1006"/>
      <c r="L389" s="352"/>
      <c r="M389" s="1202"/>
      <c r="N389" s="352"/>
      <c r="O389" s="352"/>
      <c r="P389" s="1203"/>
      <c r="Q389" s="1202"/>
      <c r="R389" s="352"/>
      <c r="S389" s="352"/>
      <c r="T389" s="352"/>
      <c r="U389" s="1006"/>
      <c r="V389" s="352"/>
      <c r="W389" s="352"/>
      <c r="X389" s="352"/>
      <c r="Y389" s="2"/>
    </row>
    <row r="390" spans="1:25" ht="31.5" customHeight="1">
      <c r="A390" s="1112"/>
      <c r="B390" s="1113"/>
      <c r="C390" s="1114"/>
      <c r="D390" s="1114"/>
      <c r="E390" s="1114"/>
      <c r="F390" s="1114"/>
      <c r="G390" s="1114"/>
      <c r="H390" s="1114"/>
      <c r="I390" s="1006"/>
      <c r="J390" s="1006"/>
      <c r="K390" s="1006"/>
      <c r="L390" s="352"/>
      <c r="M390" s="1202"/>
      <c r="N390" s="352"/>
      <c r="O390" s="352"/>
      <c r="P390" s="1203"/>
      <c r="Q390" s="1202"/>
      <c r="R390" s="352"/>
      <c r="S390" s="352"/>
      <c r="T390" s="352"/>
      <c r="U390" s="1006"/>
      <c r="V390" s="352"/>
      <c r="W390" s="352"/>
      <c r="X390" s="352"/>
      <c r="Y390" s="2"/>
    </row>
    <row r="391" spans="1:25" ht="31.5" customHeight="1">
      <c r="A391" s="690"/>
      <c r="B391" s="690"/>
      <c r="C391" s="697"/>
      <c r="D391" s="697"/>
      <c r="E391" s="697"/>
      <c r="F391" s="697"/>
      <c r="G391" s="697"/>
      <c r="H391" s="697"/>
    </row>
    <row r="392" spans="1:25" ht="31.5" customHeight="1">
      <c r="A392" s="690"/>
      <c r="B392" s="690"/>
      <c r="C392" s="697"/>
      <c r="D392" s="697"/>
      <c r="E392" s="697"/>
      <c r="F392" s="697"/>
      <c r="G392" s="697"/>
      <c r="H392" s="697"/>
    </row>
    <row r="393" spans="1:25" ht="31.5" customHeight="1">
      <c r="A393" s="690"/>
      <c r="B393" s="690"/>
      <c r="C393" s="697"/>
      <c r="D393" s="697"/>
      <c r="E393" s="697"/>
      <c r="F393" s="697"/>
      <c r="G393" s="697"/>
      <c r="H393" s="697"/>
    </row>
    <row r="394" spans="1:25" ht="31.5" customHeight="1">
      <c r="A394" s="690"/>
      <c r="B394" s="690"/>
      <c r="C394" s="697"/>
      <c r="D394" s="697"/>
      <c r="E394" s="697"/>
      <c r="F394" s="697"/>
      <c r="G394" s="697"/>
      <c r="H394" s="697"/>
    </row>
    <row r="395" spans="1:25" ht="31.5" customHeight="1">
      <c r="A395" s="690"/>
      <c r="B395" s="690"/>
      <c r="C395" s="697"/>
      <c r="D395" s="697"/>
      <c r="E395" s="697"/>
      <c r="F395" s="697"/>
      <c r="G395" s="697"/>
      <c r="H395" s="697"/>
    </row>
    <row r="396" spans="1:25" ht="31.5" customHeight="1">
      <c r="A396" s="690"/>
      <c r="B396" s="690"/>
      <c r="C396" s="697"/>
      <c r="D396" s="697"/>
      <c r="E396" s="697"/>
      <c r="F396" s="697"/>
      <c r="G396" s="697"/>
      <c r="H396" s="697"/>
    </row>
    <row r="397" spans="1:25" ht="31.5" customHeight="1">
      <c r="A397" s="690"/>
      <c r="B397" s="690"/>
      <c r="C397" s="697"/>
      <c r="D397" s="697"/>
      <c r="E397" s="697"/>
      <c r="F397" s="697"/>
      <c r="G397" s="697"/>
      <c r="H397" s="697"/>
    </row>
    <row r="398" spans="1:25" ht="31.5" customHeight="1">
      <c r="A398" s="690"/>
      <c r="B398" s="690"/>
      <c r="C398" s="697"/>
      <c r="D398" s="697"/>
      <c r="E398" s="697"/>
      <c r="F398" s="697"/>
      <c r="G398" s="697"/>
      <c r="H398" s="697"/>
    </row>
    <row r="399" spans="1:25" ht="31.5" customHeight="1">
      <c r="A399" s="690"/>
      <c r="B399" s="690"/>
      <c r="C399" s="697"/>
      <c r="D399" s="697"/>
      <c r="E399" s="697"/>
      <c r="F399" s="697"/>
      <c r="G399" s="697"/>
      <c r="H399" s="697"/>
    </row>
    <row r="400" spans="1:25" ht="31.5" customHeight="1">
      <c r="A400" s="690"/>
      <c r="B400" s="690"/>
      <c r="C400" s="697"/>
      <c r="D400" s="697"/>
      <c r="E400" s="697"/>
      <c r="F400" s="697"/>
      <c r="G400" s="697"/>
      <c r="H400" s="697"/>
    </row>
    <row r="401" spans="1:8" ht="31.5" customHeight="1">
      <c r="A401" s="690"/>
      <c r="B401" s="690"/>
      <c r="C401" s="697"/>
      <c r="D401" s="697"/>
      <c r="E401" s="697"/>
      <c r="F401" s="697"/>
      <c r="G401" s="697"/>
      <c r="H401" s="697"/>
    </row>
    <row r="402" spans="1:8" ht="31.5" customHeight="1">
      <c r="A402" s="690"/>
      <c r="B402" s="690"/>
      <c r="C402" s="697"/>
      <c r="D402" s="697"/>
      <c r="E402" s="697"/>
      <c r="F402" s="697"/>
      <c r="G402" s="697"/>
      <c r="H402" s="697"/>
    </row>
    <row r="403" spans="1:8" ht="31.5" customHeight="1">
      <c r="A403" s="690"/>
      <c r="B403" s="690"/>
      <c r="C403" s="697"/>
      <c r="D403" s="697"/>
      <c r="E403" s="697"/>
      <c r="F403" s="697"/>
      <c r="G403" s="697"/>
      <c r="H403" s="697"/>
    </row>
    <row r="404" spans="1:8" ht="31.5" customHeight="1">
      <c r="A404" s="690"/>
      <c r="B404" s="690"/>
      <c r="C404" s="697"/>
      <c r="D404" s="697"/>
      <c r="E404" s="697"/>
      <c r="F404" s="697"/>
      <c r="G404" s="697"/>
      <c r="H404" s="697"/>
    </row>
    <row r="405" spans="1:8" ht="31.5" customHeight="1">
      <c r="A405" s="690"/>
      <c r="B405" s="690"/>
      <c r="C405" s="697"/>
      <c r="D405" s="697"/>
      <c r="E405" s="697"/>
      <c r="F405" s="697"/>
      <c r="G405" s="697"/>
      <c r="H405" s="697"/>
    </row>
    <row r="406" spans="1:8" ht="31.5" customHeight="1">
      <c r="A406" s="690"/>
      <c r="B406" s="690"/>
      <c r="C406" s="697"/>
      <c r="D406" s="697"/>
      <c r="E406" s="697"/>
      <c r="F406" s="697"/>
      <c r="G406" s="697"/>
      <c r="H406" s="697"/>
    </row>
    <row r="407" spans="1:8" ht="31.5" customHeight="1">
      <c r="A407" s="690"/>
      <c r="B407" s="690"/>
      <c r="C407" s="697"/>
      <c r="D407" s="697"/>
      <c r="E407" s="697"/>
      <c r="F407" s="697"/>
      <c r="G407" s="697"/>
      <c r="H407" s="697"/>
    </row>
    <row r="408" spans="1:8" ht="31.5" customHeight="1">
      <c r="A408" s="690"/>
      <c r="B408" s="690"/>
      <c r="C408" s="697"/>
      <c r="D408" s="697"/>
      <c r="E408" s="697"/>
      <c r="F408" s="697"/>
      <c r="G408" s="697"/>
      <c r="H408" s="697"/>
    </row>
    <row r="409" spans="1:8" ht="31.5" customHeight="1">
      <c r="A409" s="690"/>
      <c r="B409" s="690"/>
      <c r="C409" s="697"/>
      <c r="D409" s="697"/>
      <c r="E409" s="697"/>
      <c r="F409" s="697"/>
      <c r="G409" s="697"/>
      <c r="H409" s="697"/>
    </row>
    <row r="410" spans="1:8" ht="31.5" customHeight="1">
      <c r="A410" s="690"/>
      <c r="B410" s="690"/>
      <c r="C410" s="697"/>
      <c r="D410" s="697"/>
      <c r="E410" s="697"/>
      <c r="F410" s="697"/>
      <c r="G410" s="697"/>
      <c r="H410" s="697"/>
    </row>
    <row r="411" spans="1:8" ht="31.5" customHeight="1">
      <c r="A411" s="690"/>
      <c r="B411" s="690"/>
      <c r="C411" s="697"/>
      <c r="D411" s="697"/>
      <c r="E411" s="697"/>
      <c r="F411" s="697"/>
      <c r="G411" s="697"/>
      <c r="H411" s="697"/>
    </row>
    <row r="412" spans="1:8" ht="31.5" customHeight="1">
      <c r="A412" s="690"/>
      <c r="B412" s="690"/>
      <c r="C412" s="697"/>
      <c r="D412" s="697"/>
      <c r="E412" s="697"/>
      <c r="F412" s="697"/>
      <c r="G412" s="697"/>
      <c r="H412" s="697"/>
    </row>
    <row r="413" spans="1:8" ht="31.5" customHeight="1">
      <c r="A413" s="690"/>
      <c r="B413" s="690"/>
      <c r="C413" s="697"/>
      <c r="D413" s="697"/>
      <c r="E413" s="697"/>
      <c r="F413" s="697"/>
      <c r="G413" s="697"/>
      <c r="H413" s="697"/>
    </row>
    <row r="414" spans="1:8" ht="31.5" customHeight="1">
      <c r="A414" s="690"/>
      <c r="B414" s="690"/>
      <c r="C414" s="697"/>
      <c r="D414" s="697"/>
      <c r="E414" s="697"/>
      <c r="F414" s="697"/>
      <c r="G414" s="697"/>
      <c r="H414" s="697"/>
    </row>
    <row r="415" spans="1:8" ht="31.5" customHeight="1">
      <c r="A415" s="690"/>
      <c r="B415" s="690"/>
      <c r="C415" s="697"/>
      <c r="D415" s="697"/>
      <c r="E415" s="697"/>
      <c r="F415" s="697"/>
      <c r="G415" s="697"/>
      <c r="H415" s="697"/>
    </row>
    <row r="416" spans="1:8" ht="31.5" customHeight="1">
      <c r="A416" s="690"/>
      <c r="B416" s="690"/>
      <c r="C416" s="697"/>
      <c r="D416" s="697"/>
      <c r="E416" s="697"/>
      <c r="F416" s="697"/>
      <c r="G416" s="697"/>
      <c r="H416" s="697"/>
    </row>
    <row r="417" spans="1:21" ht="31.5" customHeight="1">
      <c r="A417" s="690"/>
      <c r="B417" s="690"/>
      <c r="C417" s="697"/>
      <c r="D417" s="697"/>
      <c r="E417" s="697"/>
      <c r="F417" s="697"/>
      <c r="G417" s="697"/>
      <c r="H417" s="697"/>
    </row>
    <row r="418" spans="1:21" ht="31.5" customHeight="1">
      <c r="A418" s="690"/>
      <c r="B418" s="690"/>
      <c r="C418" s="697"/>
      <c r="D418" s="697"/>
      <c r="E418" s="697"/>
      <c r="F418" s="697"/>
      <c r="G418" s="697"/>
      <c r="H418" s="697"/>
    </row>
    <row r="419" spans="1:21" ht="31.5" customHeight="1">
      <c r="A419" s="690"/>
      <c r="B419" s="690"/>
      <c r="C419" s="697"/>
      <c r="D419" s="697"/>
      <c r="E419" s="697"/>
      <c r="F419" s="697"/>
      <c r="G419" s="697"/>
      <c r="H419" s="697"/>
    </row>
    <row r="420" spans="1:21" ht="31.5" customHeight="1">
      <c r="A420" s="690"/>
      <c r="B420" s="690"/>
      <c r="C420" s="697"/>
      <c r="D420" s="697"/>
      <c r="E420" s="697"/>
      <c r="F420" s="697"/>
      <c r="G420" s="697"/>
      <c r="H420" s="697"/>
    </row>
    <row r="421" spans="1:21" ht="31.5" customHeight="1">
      <c r="A421" s="690"/>
      <c r="B421" s="690"/>
      <c r="C421" s="697"/>
      <c r="D421" s="697"/>
      <c r="E421" s="697"/>
      <c r="F421" s="697"/>
      <c r="G421" s="697"/>
      <c r="H421" s="697"/>
    </row>
    <row r="422" spans="1:21" ht="31.5" customHeight="1">
      <c r="A422" s="690"/>
      <c r="B422" s="690"/>
      <c r="C422" s="697"/>
      <c r="D422" s="697"/>
      <c r="E422" s="697"/>
      <c r="F422" s="697"/>
      <c r="G422" s="697"/>
      <c r="H422" s="697"/>
    </row>
    <row r="423" spans="1:21" ht="31.5" customHeight="1">
      <c r="A423" s="690"/>
      <c r="B423" s="690"/>
      <c r="C423" s="697"/>
      <c r="D423" s="697"/>
      <c r="E423" s="697"/>
      <c r="F423" s="697"/>
      <c r="G423" s="697"/>
      <c r="H423" s="697"/>
    </row>
    <row r="424" spans="1:21" ht="31.5" customHeight="1">
      <c r="A424" s="690"/>
      <c r="B424" s="690"/>
      <c r="C424" s="697"/>
      <c r="D424" s="697"/>
      <c r="E424" s="697"/>
      <c r="F424" s="697"/>
      <c r="G424" s="697"/>
      <c r="H424" s="697"/>
    </row>
    <row r="425" spans="1:21" ht="31.5" customHeight="1">
      <c r="A425" s="690"/>
      <c r="B425" s="690"/>
      <c r="C425" s="697"/>
      <c r="D425" s="697"/>
      <c r="E425" s="697"/>
      <c r="F425" s="697"/>
      <c r="G425" s="697"/>
      <c r="H425" s="697"/>
      <c r="L425" t="s">
        <v>0</v>
      </c>
      <c r="O425" s="520"/>
    </row>
    <row r="426" spans="1:21" ht="31.5" customHeight="1">
      <c r="A426" s="690"/>
      <c r="B426" s="1302"/>
      <c r="C426" s="697"/>
      <c r="D426" s="1302"/>
      <c r="F426" s="697"/>
      <c r="G426" s="697"/>
      <c r="H426" s="697"/>
      <c r="I426" s="1302"/>
      <c r="J426" s="1303"/>
      <c r="K426" s="1303"/>
      <c r="L426" s="1303"/>
    </row>
    <row r="427" spans="1:21" ht="18.75">
      <c r="A427" s="517"/>
      <c r="B427" s="517"/>
      <c r="C427" s="377"/>
      <c r="D427" s="517"/>
      <c r="E427" s="377"/>
      <c r="F427" s="517"/>
      <c r="G427" s="377"/>
      <c r="H427" s="518"/>
      <c r="I427" s="518"/>
      <c r="J427" s="518"/>
      <c r="K427" s="518"/>
      <c r="L427" s="377"/>
      <c r="M427" s="519" t="s">
        <v>728</v>
      </c>
      <c r="N427" s="377"/>
      <c r="O427" t="s">
        <v>0</v>
      </c>
      <c r="P427" s="521"/>
      <c r="Q427" s="517"/>
      <c r="R427" s="377"/>
      <c r="S427" s="377"/>
      <c r="T427" s="377"/>
      <c r="U427" s="518"/>
    </row>
    <row r="428" spans="1:21">
      <c r="C428" s="81"/>
      <c r="K428" s="522"/>
      <c r="L428" s="761" t="str">
        <f t="array" ref="L428">IF($M428="","",INDEX(#REF!,SMALL(IF(#REF!=$M428,
  ROW(#REF!)-ROW(#REF!)+1),COUNTIF($M$428:M428,M428))))</f>
        <v/>
      </c>
      <c r="M428" s="296" t="str">
        <f t="array" ref="M428">IFERROR(INDEX(#REF!,SMALL(IF(ISNUMBER(1/#REF!),
  IF(#REF!&gt;0,ROW(#REF!)-ROW(#REF!)+1)),ROWS($M$428:M428))),"")</f>
        <v/>
      </c>
    </row>
    <row r="429" spans="1:21">
      <c r="C429" s="81"/>
      <c r="K429" s="522"/>
      <c r="L429" s="761" t="str">
        <f t="array" ref="L429">IF($M429="","",INDEX(#REF!,SMALL(IF(#REF!=$M429,
  ROW(#REF!)-ROW(#REF!)+1),COUNTIF($M$428:M429,M429))))</f>
        <v/>
      </c>
      <c r="M429" s="296" t="str">
        <f t="array" ref="M429">IFERROR(INDEX(#REF!,SMALL(IF(ISNUMBER(1/#REF!),
  IF(#REF!&gt;0,ROW(#REF!)-ROW(#REF!)+1)),ROWS($M$428:M429))),"")</f>
        <v/>
      </c>
    </row>
    <row r="430" spans="1:21">
      <c r="C430" s="81"/>
      <c r="K430" s="522"/>
      <c r="L430" s="761" t="str">
        <f t="array" ref="L430">IF($M430="","",INDEX(#REF!,SMALL(IF(#REF!=$M430,
  ROW(#REF!)-ROW(#REF!)+1),COUNTIF($M$428:M430,M430))))</f>
        <v/>
      </c>
      <c r="M430" s="296" t="str">
        <f t="array" ref="M430">IFERROR(INDEX(#REF!,SMALL(IF(ISNUMBER(1/#REF!),
  IF(#REF!&gt;0,ROW(#REF!)-ROW(#REF!)+1)),ROWS($M$428:M430))),"")</f>
        <v/>
      </c>
    </row>
    <row r="431" spans="1:21">
      <c r="C431" s="81"/>
      <c r="K431" s="522"/>
      <c r="L431" s="761" t="str">
        <f t="array" ref="L431">IF($M431="","",INDEX(#REF!,SMALL(IF(#REF!=$M431,
  ROW(#REF!)-ROW(#REF!)+1),COUNTIF($M$428:M431,M431))))</f>
        <v/>
      </c>
      <c r="M431" s="296" t="str">
        <f t="array" ref="M431">IFERROR(INDEX(#REF!,SMALL(IF(ISNUMBER(1/#REF!),
  IF(#REF!&gt;0,ROW(#REF!)-ROW(#REF!)+1)),ROWS($M$428:M431))),"")</f>
        <v/>
      </c>
    </row>
    <row r="432" spans="1:21">
      <c r="C432" s="81"/>
      <c r="K432" s="522"/>
      <c r="L432" s="761" t="str">
        <f t="array" ref="L432">IF($M432="","",INDEX(#REF!,SMALL(IF(#REF!=$M432,
  ROW(#REF!)-ROW(#REF!)+1),COUNTIF($M$428:M432,M432))))</f>
        <v/>
      </c>
      <c r="M432" s="296" t="str">
        <f t="array" ref="M432">IFERROR(INDEX(#REF!,SMALL(IF(ISNUMBER(1/#REF!),
  IF(#REF!&gt;0,ROW(#REF!)-ROW(#REF!)+1)),ROWS($M$428:M432))),"")</f>
        <v/>
      </c>
    </row>
    <row r="433" spans="3:13">
      <c r="C433" s="81"/>
      <c r="K433" s="522"/>
      <c r="L433" s="761" t="str">
        <f t="array" ref="L433">IF($M433="","",INDEX(#REF!,SMALL(IF(#REF!=$M433,
  ROW(#REF!)-ROW(#REF!)+1),COUNTIF($M$428:M433,M433))))</f>
        <v/>
      </c>
      <c r="M433" s="296" t="str">
        <f t="array" ref="M433">IFERROR(INDEX(#REF!,SMALL(IF(ISNUMBER(1/#REF!),
  IF(#REF!&gt;0,ROW(#REF!)-ROW(#REF!)+1)),ROWS($M$428:M433))),"")</f>
        <v/>
      </c>
    </row>
    <row r="434" spans="3:13">
      <c r="C434" s="81"/>
      <c r="K434" s="522"/>
      <c r="L434" s="761" t="str">
        <f t="array" ref="L434">IF($M434="","",INDEX(#REF!,SMALL(IF(#REF!=$M434,
  ROW(#REF!)-ROW(#REF!)+1),COUNTIF($M$428:M434,M434))))</f>
        <v/>
      </c>
      <c r="M434" s="296" t="str">
        <f t="array" ref="M434">IFERROR(INDEX(#REF!,SMALL(IF(ISNUMBER(1/#REF!),
  IF(#REF!&gt;0,ROW(#REF!)-ROW(#REF!)+1)),ROWS($M$428:M434))),"")</f>
        <v/>
      </c>
    </row>
    <row r="435" spans="3:13">
      <c r="C435" s="81"/>
      <c r="K435" s="522"/>
      <c r="L435" s="761" t="str">
        <f t="array" ref="L435">IF($M435="","",INDEX(#REF!,SMALL(IF(#REF!=$M435,
  ROW(#REF!)-ROW(#REF!)+1),COUNTIF($M$428:M435,M435))))</f>
        <v/>
      </c>
      <c r="M435" s="296" t="str">
        <f t="array" ref="M435">IFERROR(INDEX(#REF!,SMALL(IF(ISNUMBER(1/#REF!),
  IF(#REF!&gt;0,ROW(#REF!)-ROW(#REF!)+1)),ROWS($M$428:M435))),"")</f>
        <v/>
      </c>
    </row>
    <row r="436" spans="3:13">
      <c r="C436" s="81"/>
      <c r="K436" s="522"/>
      <c r="L436" s="761" t="str">
        <f t="array" ref="L436">IF($M436="","",INDEX(#REF!,SMALL(IF(#REF!=$M436,
  ROW(#REF!)-ROW(#REF!)+1),COUNTIF($M$428:M436,M436))))</f>
        <v/>
      </c>
      <c r="M436" s="296" t="str">
        <f t="array" ref="M436">IFERROR(INDEX(#REF!,SMALL(IF(ISNUMBER(1/#REF!),
  IF(#REF!&gt;0,ROW(#REF!)-ROW(#REF!)+1)),ROWS($M$428:M436))),"")</f>
        <v/>
      </c>
    </row>
    <row r="437" spans="3:13">
      <c r="C437" s="81"/>
      <c r="K437" s="522"/>
      <c r="L437" s="761" t="str">
        <f t="array" ref="L437">IF($M437="","",INDEX(#REF!,SMALL(IF(#REF!=$M437,
  ROW(#REF!)-ROW(#REF!)+1),COUNTIF($M$428:M437,M437))))</f>
        <v/>
      </c>
      <c r="M437" s="296" t="str">
        <f t="array" ref="M437">IFERROR(INDEX(#REF!,SMALL(IF(ISNUMBER(1/#REF!),
  IF(#REF!&gt;0,ROW(#REF!)-ROW(#REF!)+1)),ROWS($M$428:M437))),"")</f>
        <v/>
      </c>
    </row>
    <row r="438" spans="3:13">
      <c r="C438" s="81"/>
      <c r="K438" s="522"/>
      <c r="L438" s="761" t="str">
        <f t="array" ref="L438">IF($M438="","",INDEX(#REF!,SMALL(IF(#REF!=$M438,
  ROW(#REF!)-ROW(#REF!)+1),COUNTIF($M$428:M438,M438))))</f>
        <v/>
      </c>
      <c r="M438" s="296" t="str">
        <f t="array" ref="M438">IFERROR(INDEX(#REF!,SMALL(IF(ISNUMBER(1/#REF!),
  IF(#REF!&gt;0,ROW(#REF!)-ROW(#REF!)+1)),ROWS($M$428:M438))),"")</f>
        <v/>
      </c>
    </row>
    <row r="439" spans="3:13">
      <c r="C439" s="81"/>
      <c r="K439" s="522"/>
      <c r="L439" s="761" t="str">
        <f t="array" ref="L439">IF($M439="","",INDEX(#REF!,SMALL(IF(#REF!=$M439,
  ROW(#REF!)-ROW(#REF!)+1),COUNTIF($M$428:M439,M439))))</f>
        <v/>
      </c>
      <c r="M439" s="296" t="str">
        <f t="array" ref="M439">IFERROR(INDEX(#REF!,SMALL(IF(ISNUMBER(1/#REF!),
  IF(#REF!&gt;0,ROW(#REF!)-ROW(#REF!)+1)),ROWS($M$428:M439))),"")</f>
        <v/>
      </c>
    </row>
    <row r="440" spans="3:13">
      <c r="C440" s="81"/>
      <c r="K440" s="522"/>
      <c r="L440" s="761" t="str">
        <f t="array" ref="L440">IF($M440="","",INDEX(#REF!,SMALL(IF(#REF!=$M440,
  ROW(#REF!)-ROW(#REF!)+1),COUNTIF($M$428:M440,M440))))</f>
        <v/>
      </c>
      <c r="M440" s="296" t="str">
        <f t="array" ref="M440">IFERROR(INDEX(#REF!,SMALL(IF(ISNUMBER(1/#REF!),
  IF(#REF!&gt;0,ROW(#REF!)-ROW(#REF!)+1)),ROWS($M$428:M440))),"")</f>
        <v/>
      </c>
    </row>
    <row r="441" spans="3:13">
      <c r="C441" s="81"/>
      <c r="K441" s="522"/>
      <c r="L441" s="761" t="str">
        <f t="array" ref="L441">IF($M441="","",INDEX(#REF!,SMALL(IF(#REF!=$M441,
  ROW(#REF!)-ROW(#REF!)+1),COUNTIF($M$428:M441,M441))))</f>
        <v/>
      </c>
      <c r="M441" s="296" t="str">
        <f t="array" ref="M441">IFERROR(INDEX(#REF!,SMALL(IF(ISNUMBER(1/#REF!),
  IF(#REF!&gt;0,ROW(#REF!)-ROW(#REF!)+1)),ROWS($M$428:M441))),"")</f>
        <v/>
      </c>
    </row>
    <row r="442" spans="3:13">
      <c r="C442" s="81"/>
      <c r="K442" s="522"/>
      <c r="L442" s="761" t="str">
        <f t="array" ref="L442">IF($M442="","",INDEX(#REF!,SMALL(IF(#REF!=$M442,
  ROW(#REF!)-ROW(#REF!)+1),COUNTIF($M$428:M442,M442))))</f>
        <v/>
      </c>
      <c r="M442" s="296" t="str">
        <f t="array" ref="M442">IFERROR(INDEX(#REF!,SMALL(IF(ISNUMBER(1/#REF!),
  IF(#REF!&gt;0,ROW(#REF!)-ROW(#REF!)+1)),ROWS($M$428:M442))),"")</f>
        <v/>
      </c>
    </row>
    <row r="443" spans="3:13">
      <c r="C443" s="81"/>
      <c r="K443" s="522"/>
      <c r="L443" s="761" t="str">
        <f t="array" ref="L443">IF($M443="","",INDEX(#REF!,SMALL(IF(#REF!=$M443,
  ROW(#REF!)-ROW(#REF!)+1),COUNTIF($M$428:M443,M443))))</f>
        <v/>
      </c>
      <c r="M443" s="296" t="str">
        <f t="array" ref="M443">IFERROR(INDEX(#REF!,SMALL(IF(ISNUMBER(1/#REF!),
  IF(#REF!&gt;0,ROW(#REF!)-ROW(#REF!)+1)),ROWS($M$428:M443))),"")</f>
        <v/>
      </c>
    </row>
    <row r="444" spans="3:13">
      <c r="C444" s="81"/>
      <c r="K444" s="522"/>
      <c r="L444" s="761" t="str">
        <f t="array" ref="L444">IF($M444="","",INDEX(#REF!,SMALL(IF(#REF!=$M444,
  ROW(#REF!)-ROW(#REF!)+1),COUNTIF($M$428:M444,M444))))</f>
        <v/>
      </c>
      <c r="M444" s="296" t="str">
        <f t="array" ref="M444">IFERROR(INDEX(#REF!,SMALL(IF(ISNUMBER(1/#REF!),
  IF(#REF!&gt;0,ROW(#REF!)-ROW(#REF!)+1)),ROWS($M$428:M444))),"")</f>
        <v/>
      </c>
    </row>
    <row r="445" spans="3:13">
      <c r="C445" s="81"/>
      <c r="K445" s="522"/>
      <c r="L445" s="761" t="str">
        <f t="array" ref="L445">IF($M445="","",INDEX(#REF!,SMALL(IF(#REF!=$M445,
  ROW(#REF!)-ROW(#REF!)+1),COUNTIF($M$428:M445,M445))))</f>
        <v/>
      </c>
      <c r="M445" s="296" t="str">
        <f t="array" ref="M445">IFERROR(INDEX(#REF!,SMALL(IF(ISNUMBER(1/#REF!),
  IF(#REF!&gt;0,ROW(#REF!)-ROW(#REF!)+1)),ROWS($M$428:M445))),"")</f>
        <v/>
      </c>
    </row>
    <row r="446" spans="3:13">
      <c r="C446" s="81"/>
      <c r="K446" s="522"/>
      <c r="L446" s="761" t="str">
        <f t="array" ref="L446">IF($M446="","",INDEX(#REF!,SMALL(IF(#REF!=$M446,
  ROW(#REF!)-ROW(#REF!)+1),COUNTIF($M$428:M446,M446))))</f>
        <v/>
      </c>
      <c r="M446" s="296" t="str">
        <f t="array" ref="M446">IFERROR(INDEX(#REF!,SMALL(IF(ISNUMBER(1/#REF!),
  IF(#REF!&gt;0,ROW(#REF!)-ROW(#REF!)+1)),ROWS($M$428:M446))),"")</f>
        <v/>
      </c>
    </row>
    <row r="447" spans="3:13">
      <c r="C447" s="81"/>
      <c r="K447" s="522"/>
      <c r="L447" s="761" t="str">
        <f t="array" ref="L447">IF($M447="","",INDEX(#REF!,SMALL(IF(#REF!=$M447,
  ROW(#REF!)-ROW(#REF!)+1),COUNTIF($M$428:M447,M447))))</f>
        <v/>
      </c>
      <c r="M447" s="296" t="str">
        <f t="array" ref="M447">IFERROR(INDEX(#REF!,SMALL(IF(ISNUMBER(1/#REF!),
  IF(#REF!&gt;0,ROW(#REF!)-ROW(#REF!)+1)),ROWS($M$428:M447))),"")</f>
        <v/>
      </c>
    </row>
    <row r="448" spans="3:13">
      <c r="C448" s="81"/>
      <c r="K448" s="522"/>
      <c r="L448" s="761" t="str">
        <f t="array" ref="L448">IF($M448="","",INDEX(#REF!,SMALL(IF(#REF!=$M448,
  ROW(#REF!)-ROW(#REF!)+1),COUNTIF($M$428:M448,M448))))</f>
        <v/>
      </c>
      <c r="M448" s="296" t="str">
        <f t="array" ref="M448">IFERROR(INDEX(#REF!,SMALL(IF(ISNUMBER(1/#REF!),
  IF(#REF!&gt;0,ROW(#REF!)-ROW(#REF!)+1)),ROWS($M$428:M448))),"")</f>
        <v/>
      </c>
    </row>
    <row r="449" spans="3:13">
      <c r="C449" s="81"/>
      <c r="K449" s="522"/>
      <c r="L449" s="761" t="str">
        <f t="array" ref="L449">IF($M449="","",INDEX(#REF!,SMALL(IF(#REF!=$M449,
  ROW(#REF!)-ROW(#REF!)+1),COUNTIF($M$428:M449,M449))))</f>
        <v/>
      </c>
      <c r="M449" s="296" t="str">
        <f t="array" ref="M449">IFERROR(INDEX(#REF!,SMALL(IF(ISNUMBER(1/#REF!),
  IF(#REF!&gt;0,ROW(#REF!)-ROW(#REF!)+1)),ROWS($M$428:M449))),"")</f>
        <v/>
      </c>
    </row>
    <row r="450" spans="3:13">
      <c r="C450" s="81"/>
      <c r="K450" s="522"/>
      <c r="L450" s="761" t="str">
        <f t="array" ref="L450">IF($M450="","",INDEX(#REF!,SMALL(IF(#REF!=$M450,
  ROW(#REF!)-ROW(#REF!)+1),COUNTIF($M$428:M450,M450))))</f>
        <v/>
      </c>
      <c r="M450" s="296" t="str">
        <f t="array" ref="M450">IFERROR(INDEX(#REF!,SMALL(IF(ISNUMBER(1/#REF!),
  IF(#REF!&gt;0,ROW(#REF!)-ROW(#REF!)+1)),ROWS($M$428:M450))),"")</f>
        <v/>
      </c>
    </row>
    <row r="451" spans="3:13">
      <c r="C451" s="81"/>
      <c r="K451" s="522"/>
      <c r="L451" s="761" t="str">
        <f t="array" ref="L451">IF($M451="","",INDEX(#REF!,SMALL(IF(#REF!=$M451,
  ROW(#REF!)-ROW(#REF!)+1),COUNTIF($M$428:M451,M451))))</f>
        <v/>
      </c>
      <c r="M451" s="296" t="str">
        <f t="array" ref="M451">IFERROR(INDEX(#REF!,SMALL(IF(ISNUMBER(1/#REF!),
  IF(#REF!&gt;0,ROW(#REF!)-ROW(#REF!)+1)),ROWS($M$428:M451))),"")</f>
        <v/>
      </c>
    </row>
    <row r="452" spans="3:13">
      <c r="C452" s="81"/>
      <c r="K452" s="522"/>
      <c r="L452" s="761" t="str">
        <f t="array" ref="L452">IF($M452="","",INDEX(#REF!,SMALL(IF(#REF!=$M452,
  ROW(#REF!)-ROW(#REF!)+1),COUNTIF($M$428:M452,M452))))</f>
        <v/>
      </c>
      <c r="M452" s="296" t="str">
        <f t="array" ref="M452">IFERROR(INDEX(#REF!,SMALL(IF(ISNUMBER(1/#REF!),
  IF(#REF!&gt;0,ROW(#REF!)-ROW(#REF!)+1)),ROWS($M$428:M452))),"")</f>
        <v/>
      </c>
    </row>
    <row r="453" spans="3:13">
      <c r="C453" s="81"/>
      <c r="K453" s="522"/>
      <c r="L453" s="761" t="str">
        <f t="array" ref="L453">IF($M453="","",INDEX(#REF!,SMALL(IF(#REF!=$M453,
  ROW(#REF!)-ROW(#REF!)+1),COUNTIF($M$428:M453,M453))))</f>
        <v/>
      </c>
      <c r="M453" s="296" t="str">
        <f t="array" ref="M453">IFERROR(INDEX(#REF!,SMALL(IF(ISNUMBER(1/#REF!),
  IF(#REF!&gt;0,ROW(#REF!)-ROW(#REF!)+1)),ROWS($M$428:M453))),"")</f>
        <v/>
      </c>
    </row>
    <row r="454" spans="3:13">
      <c r="C454" s="81"/>
      <c r="K454" s="522"/>
      <c r="L454" s="761" t="str">
        <f t="array" ref="L454">IF($M454="","",INDEX(#REF!,SMALL(IF(#REF!=$M454,
  ROW(#REF!)-ROW(#REF!)+1),COUNTIF($M$428:M454,M454))))</f>
        <v/>
      </c>
      <c r="M454" s="296" t="str">
        <f t="array" ref="M454">IFERROR(INDEX(#REF!,SMALL(IF(ISNUMBER(1/#REF!),
  IF(#REF!&gt;0,ROW(#REF!)-ROW(#REF!)+1)),ROWS($M$428:M454))),"")</f>
        <v/>
      </c>
    </row>
    <row r="455" spans="3:13">
      <c r="C455" s="81"/>
      <c r="K455" s="522"/>
      <c r="L455" s="761" t="str">
        <f t="array" ref="L455">IF($M455="","",INDEX(#REF!,SMALL(IF(#REF!=$M455,
  ROW(#REF!)-ROW(#REF!)+1),COUNTIF($M$428:M455,M455))))</f>
        <v/>
      </c>
      <c r="M455" s="296" t="str">
        <f t="array" ref="M455">IFERROR(INDEX(#REF!,SMALL(IF(ISNUMBER(1/#REF!),
  IF(#REF!&gt;0,ROW(#REF!)-ROW(#REF!)+1)),ROWS($M$428:M455))),"")</f>
        <v/>
      </c>
    </row>
    <row r="456" spans="3:13">
      <c r="C456" s="81"/>
      <c r="K456" s="522"/>
      <c r="L456" s="761" t="str">
        <f t="array" ref="L456">IF($M456="","",INDEX(#REF!,SMALL(IF(#REF!=$M456,
  ROW(#REF!)-ROW(#REF!)+1),COUNTIF($M$428:M456,M456))))</f>
        <v/>
      </c>
      <c r="M456" s="296" t="str">
        <f t="array" ref="M456">IFERROR(INDEX(#REF!,SMALL(IF(ISNUMBER(1/#REF!),
  IF(#REF!&gt;0,ROW(#REF!)-ROW(#REF!)+1)),ROWS($M$428:M456))),"")</f>
        <v/>
      </c>
    </row>
    <row r="457" spans="3:13">
      <c r="C457" s="81"/>
    </row>
    <row r="458" spans="3:13">
      <c r="C458" s="81"/>
    </row>
    <row r="459" spans="3:13">
      <c r="C459" s="81"/>
    </row>
    <row r="460" spans="3:13">
      <c r="C460" s="81"/>
    </row>
    <row r="461" spans="3:13">
      <c r="C461" s="81"/>
    </row>
    <row r="462" spans="3:13">
      <c r="C462" s="81"/>
    </row>
    <row r="463" spans="3:13">
      <c r="C463" s="81"/>
    </row>
    <row r="464" spans="3:13">
      <c r="C464" s="81"/>
    </row>
    <row r="465" spans="3:3">
      <c r="C465" s="81"/>
    </row>
    <row r="466" spans="3:3">
      <c r="C466" s="81"/>
    </row>
    <row r="467" spans="3:3">
      <c r="C467" s="81"/>
    </row>
    <row r="468" spans="3:3">
      <c r="C468" s="81"/>
    </row>
    <row r="469" spans="3:3">
      <c r="C469" s="81"/>
    </row>
    <row r="470" spans="3:3">
      <c r="C470" s="81"/>
    </row>
    <row r="471" spans="3:3">
      <c r="C471" s="81"/>
    </row>
    <row r="472" spans="3:3">
      <c r="C472" s="81"/>
    </row>
    <row r="473" spans="3:3">
      <c r="C473" s="81"/>
    </row>
    <row r="474" spans="3:3">
      <c r="C474" s="81"/>
    </row>
    <row r="475" spans="3:3">
      <c r="C475" s="81"/>
    </row>
    <row r="476" spans="3:3">
      <c r="C476" s="81"/>
    </row>
    <row r="477" spans="3:3">
      <c r="C477" s="81"/>
    </row>
    <row r="478" spans="3:3">
      <c r="C478" s="81"/>
    </row>
    <row r="479" spans="3:3">
      <c r="C479" s="81"/>
    </row>
    <row r="480" spans="3:3">
      <c r="C480" s="81"/>
    </row>
    <row r="481" spans="3:3">
      <c r="C481" s="81"/>
    </row>
    <row r="482" spans="3:3">
      <c r="C482" s="81"/>
    </row>
    <row r="483" spans="3:3">
      <c r="C483" s="81"/>
    </row>
    <row r="484" spans="3:3">
      <c r="C484" s="81"/>
    </row>
    <row r="485" spans="3:3">
      <c r="C485" s="81"/>
    </row>
    <row r="486" spans="3:3">
      <c r="C486" s="81"/>
    </row>
    <row r="487" spans="3:3">
      <c r="C487" s="81"/>
    </row>
    <row r="488" spans="3:3">
      <c r="C488" s="81"/>
    </row>
    <row r="489" spans="3:3">
      <c r="C489" s="81"/>
    </row>
    <row r="490" spans="3:3">
      <c r="C490" s="81"/>
    </row>
    <row r="491" spans="3:3">
      <c r="C491" s="81"/>
    </row>
    <row r="492" spans="3:3">
      <c r="C492" s="81"/>
    </row>
    <row r="493" spans="3:3">
      <c r="C493" s="81"/>
    </row>
    <row r="494" spans="3:3">
      <c r="C494" s="81"/>
    </row>
    <row r="495" spans="3:3">
      <c r="C495" s="81"/>
    </row>
    <row r="496" spans="3:3">
      <c r="C496" s="81"/>
    </row>
    <row r="497" spans="3:3">
      <c r="C497" s="81"/>
    </row>
    <row r="498" spans="3:3">
      <c r="C498" s="81"/>
    </row>
    <row r="499" spans="3:3">
      <c r="C499" s="81"/>
    </row>
    <row r="500" spans="3:3">
      <c r="C500" s="81"/>
    </row>
    <row r="501" spans="3:3">
      <c r="C501" s="81"/>
    </row>
    <row r="502" spans="3:3">
      <c r="C502" s="81"/>
    </row>
    <row r="503" spans="3:3">
      <c r="C503" s="81"/>
    </row>
    <row r="504" spans="3:3">
      <c r="C504" s="81"/>
    </row>
    <row r="505" spans="3:3">
      <c r="C505" s="81"/>
    </row>
    <row r="506" spans="3:3">
      <c r="C506" s="81"/>
    </row>
    <row r="507" spans="3:3">
      <c r="C507" s="81"/>
    </row>
    <row r="508" spans="3:3">
      <c r="C508" s="81"/>
    </row>
    <row r="509" spans="3:3">
      <c r="C509" s="81"/>
    </row>
    <row r="510" spans="3:3">
      <c r="C510" s="81"/>
    </row>
    <row r="511" spans="3:3">
      <c r="C511" s="81"/>
    </row>
    <row r="512" spans="3:3">
      <c r="C512" s="81"/>
    </row>
    <row r="513" spans="3:3">
      <c r="C513" s="81"/>
    </row>
    <row r="514" spans="3:3">
      <c r="C514" s="81"/>
    </row>
    <row r="515" spans="3:3">
      <c r="C515" s="81"/>
    </row>
    <row r="516" spans="3:3">
      <c r="C516" s="81"/>
    </row>
    <row r="517" spans="3:3">
      <c r="C517" s="81"/>
    </row>
    <row r="518" spans="3:3">
      <c r="C518" s="81"/>
    </row>
    <row r="519" spans="3:3">
      <c r="C519" s="81"/>
    </row>
    <row r="520" spans="3:3">
      <c r="C520" s="81"/>
    </row>
    <row r="521" spans="3:3">
      <c r="C521" s="81"/>
    </row>
    <row r="522" spans="3:3">
      <c r="C522" s="81"/>
    </row>
    <row r="523" spans="3:3">
      <c r="C523" s="81"/>
    </row>
    <row r="524" spans="3:3">
      <c r="C524" s="81"/>
    </row>
    <row r="525" spans="3:3">
      <c r="C525" s="81"/>
    </row>
    <row r="526" spans="3:3">
      <c r="C526" s="81"/>
    </row>
    <row r="527" spans="3:3">
      <c r="C527" s="81"/>
    </row>
    <row r="528" spans="3:3">
      <c r="C528" s="81"/>
    </row>
    <row r="529" spans="3:3">
      <c r="C529" s="81"/>
    </row>
    <row r="530" spans="3:3">
      <c r="C530" s="81"/>
    </row>
    <row r="531" spans="3:3">
      <c r="C531" s="81"/>
    </row>
    <row r="532" spans="3:3">
      <c r="C532" s="81"/>
    </row>
    <row r="533" spans="3:3">
      <c r="C533" s="81"/>
    </row>
    <row r="534" spans="3:3">
      <c r="C534" s="81"/>
    </row>
    <row r="535" spans="3:3">
      <c r="C535" s="81"/>
    </row>
    <row r="536" spans="3:3">
      <c r="C536" s="81"/>
    </row>
    <row r="537" spans="3:3">
      <c r="C537" s="81"/>
    </row>
    <row r="538" spans="3:3">
      <c r="C538" s="81"/>
    </row>
    <row r="539" spans="3:3">
      <c r="C539" s="81"/>
    </row>
    <row r="540" spans="3:3">
      <c r="C540" s="81"/>
    </row>
    <row r="541" spans="3:3">
      <c r="C541" s="81"/>
    </row>
    <row r="542" spans="3:3">
      <c r="C542" s="81"/>
    </row>
    <row r="543" spans="3:3">
      <c r="C543" s="81"/>
    </row>
    <row r="544" spans="3:3">
      <c r="C544" s="81"/>
    </row>
    <row r="545" spans="3:3">
      <c r="C545" s="81"/>
    </row>
    <row r="546" spans="3:3">
      <c r="C546" s="81"/>
    </row>
    <row r="547" spans="3:3">
      <c r="C547" s="81"/>
    </row>
    <row r="548" spans="3:3">
      <c r="C548" s="81"/>
    </row>
    <row r="549" spans="3:3">
      <c r="C549" s="81"/>
    </row>
    <row r="550" spans="3:3">
      <c r="C550" s="81"/>
    </row>
    <row r="551" spans="3:3">
      <c r="C551" s="81"/>
    </row>
    <row r="552" spans="3:3">
      <c r="C552" s="81"/>
    </row>
    <row r="553" spans="3:3">
      <c r="C553" s="81"/>
    </row>
    <row r="554" spans="3:3">
      <c r="C554" s="81"/>
    </row>
    <row r="555" spans="3:3">
      <c r="C555" s="81"/>
    </row>
    <row r="556" spans="3:3">
      <c r="C556" s="81"/>
    </row>
    <row r="557" spans="3:3">
      <c r="C557" s="81"/>
    </row>
  </sheetData>
  <sheetProtection algorithmName="SHA-512" hashValue="YcgBkiryQGdG3MWUrvFcNkOwJwESsSJbXwPIF24l3Vz625cyXOpXwDNNarlH1zPB+1+2ipLRfCj32BY5uRNRTw==" saltValue="bWQhk87wY3NdPe9LjdV5sQ==" spinCount="100000" sheet="1" formatCells="0" formatRows="0"/>
  <mergeCells count="235">
    <mergeCell ref="J344:L344"/>
    <mergeCell ref="J345:L345"/>
    <mergeCell ref="J372:L372"/>
    <mergeCell ref="J373:L373"/>
    <mergeCell ref="J374:L374"/>
    <mergeCell ref="J375:L375"/>
    <mergeCell ref="J376:L376"/>
    <mergeCell ref="J377:L377"/>
    <mergeCell ref="J378:L378"/>
    <mergeCell ref="J355:L355"/>
    <mergeCell ref="J356:L356"/>
    <mergeCell ref="J357:L357"/>
    <mergeCell ref="J358:L358"/>
    <mergeCell ref="J359:L359"/>
    <mergeCell ref="J360:L360"/>
    <mergeCell ref="J361:L361"/>
    <mergeCell ref="J362:L362"/>
    <mergeCell ref="J346:L346"/>
    <mergeCell ref="J347:L347"/>
    <mergeCell ref="J348:L348"/>
    <mergeCell ref="J349:L349"/>
    <mergeCell ref="J350:L350"/>
    <mergeCell ref="J351:L351"/>
    <mergeCell ref="J352:L352"/>
    <mergeCell ref="J328:L328"/>
    <mergeCell ref="J329:L329"/>
    <mergeCell ref="J330:L330"/>
    <mergeCell ref="J331:L331"/>
    <mergeCell ref="J332:L332"/>
    <mergeCell ref="J333:L333"/>
    <mergeCell ref="J334:L334"/>
    <mergeCell ref="J335:L335"/>
    <mergeCell ref="J336:L336"/>
    <mergeCell ref="J337:L337"/>
    <mergeCell ref="J338:L338"/>
    <mergeCell ref="J339:L339"/>
    <mergeCell ref="J340:L340"/>
    <mergeCell ref="J341:L341"/>
    <mergeCell ref="J342:L342"/>
    <mergeCell ref="J343:L343"/>
    <mergeCell ref="F373:I373"/>
    <mergeCell ref="F374:I374"/>
    <mergeCell ref="F355:I355"/>
    <mergeCell ref="F356:I356"/>
    <mergeCell ref="F357:I357"/>
    <mergeCell ref="F358:I358"/>
    <mergeCell ref="F359:I359"/>
    <mergeCell ref="F360:I360"/>
    <mergeCell ref="F361:I361"/>
    <mergeCell ref="F362:I362"/>
    <mergeCell ref="F363:I363"/>
    <mergeCell ref="F364:I364"/>
    <mergeCell ref="F365:I365"/>
    <mergeCell ref="F366:I366"/>
    <mergeCell ref="F367:I367"/>
    <mergeCell ref="F368:I368"/>
    <mergeCell ref="F369:I369"/>
    <mergeCell ref="F370:I370"/>
    <mergeCell ref="F371:I371"/>
    <mergeCell ref="F372:I372"/>
    <mergeCell ref="F352:I352"/>
    <mergeCell ref="F353:I353"/>
    <mergeCell ref="F354:I354"/>
    <mergeCell ref="F337:I337"/>
    <mergeCell ref="F338:I338"/>
    <mergeCell ref="F339:I339"/>
    <mergeCell ref="F340:I340"/>
    <mergeCell ref="F341:I341"/>
    <mergeCell ref="F342:I342"/>
    <mergeCell ref="F343:I343"/>
    <mergeCell ref="F344:I344"/>
    <mergeCell ref="F345:I345"/>
    <mergeCell ref="F346:I346"/>
    <mergeCell ref="F347:I347"/>
    <mergeCell ref="F348:I348"/>
    <mergeCell ref="F349:I349"/>
    <mergeCell ref="F350:I350"/>
    <mergeCell ref="F351:I351"/>
    <mergeCell ref="F328:I328"/>
    <mergeCell ref="F329:I329"/>
    <mergeCell ref="F330:I330"/>
    <mergeCell ref="F331:I331"/>
    <mergeCell ref="F332:I332"/>
    <mergeCell ref="F333:I333"/>
    <mergeCell ref="F334:I334"/>
    <mergeCell ref="F335:I335"/>
    <mergeCell ref="F336:I336"/>
    <mergeCell ref="A2:B2"/>
    <mergeCell ref="A10:B10"/>
    <mergeCell ref="A4:B4"/>
    <mergeCell ref="C4:E4"/>
    <mergeCell ref="A8:B8"/>
    <mergeCell ref="A15:B15"/>
    <mergeCell ref="C15:J15"/>
    <mergeCell ref="W1:X1"/>
    <mergeCell ref="S10:X10"/>
    <mergeCell ref="Q10:R10"/>
    <mergeCell ref="Q4:R4"/>
    <mergeCell ref="Q8:R8"/>
    <mergeCell ref="Q2:R2"/>
    <mergeCell ref="S2:X2"/>
    <mergeCell ref="Q12:R12"/>
    <mergeCell ref="A325:B325"/>
    <mergeCell ref="A326:B326"/>
    <mergeCell ref="A327:B327"/>
    <mergeCell ref="S4:X4"/>
    <mergeCell ref="S6:X6"/>
    <mergeCell ref="Q6:R6"/>
    <mergeCell ref="S8:X8"/>
    <mergeCell ref="C326:E326"/>
    <mergeCell ref="C327:E327"/>
    <mergeCell ref="F326:I326"/>
    <mergeCell ref="F327:I327"/>
    <mergeCell ref="C6:D6"/>
    <mergeCell ref="J12:K12"/>
    <mergeCell ref="J326:L326"/>
    <mergeCell ref="J327:L327"/>
    <mergeCell ref="A332:B332"/>
    <mergeCell ref="A333:B333"/>
    <mergeCell ref="A330:B330"/>
    <mergeCell ref="A331:B331"/>
    <mergeCell ref="A328:B328"/>
    <mergeCell ref="A329:B329"/>
    <mergeCell ref="C328:E328"/>
    <mergeCell ref="C329:E329"/>
    <mergeCell ref="C330:E330"/>
    <mergeCell ref="C331:E331"/>
    <mergeCell ref="C332:E332"/>
    <mergeCell ref="C333:E333"/>
    <mergeCell ref="A338:B338"/>
    <mergeCell ref="A339:B339"/>
    <mergeCell ref="A336:B336"/>
    <mergeCell ref="A337:B337"/>
    <mergeCell ref="A334:B334"/>
    <mergeCell ref="A335:B335"/>
    <mergeCell ref="C334:E334"/>
    <mergeCell ref="C335:E335"/>
    <mergeCell ref="C336:E336"/>
    <mergeCell ref="C337:E337"/>
    <mergeCell ref="C338:E338"/>
    <mergeCell ref="C339:E339"/>
    <mergeCell ref="A343:B343"/>
    <mergeCell ref="A344:B344"/>
    <mergeCell ref="A341:B341"/>
    <mergeCell ref="A342:B342"/>
    <mergeCell ref="A340:B340"/>
    <mergeCell ref="C340:E340"/>
    <mergeCell ref="C341:E341"/>
    <mergeCell ref="C342:E342"/>
    <mergeCell ref="C343:E343"/>
    <mergeCell ref="C344:E344"/>
    <mergeCell ref="A349:B349"/>
    <mergeCell ref="A350:B350"/>
    <mergeCell ref="A347:B347"/>
    <mergeCell ref="A348:B348"/>
    <mergeCell ref="A345:B345"/>
    <mergeCell ref="A346:B346"/>
    <mergeCell ref="C345:E345"/>
    <mergeCell ref="C346:E346"/>
    <mergeCell ref="C347:E347"/>
    <mergeCell ref="C348:E348"/>
    <mergeCell ref="C349:E349"/>
    <mergeCell ref="C350:E350"/>
    <mergeCell ref="A355:B355"/>
    <mergeCell ref="A356:B356"/>
    <mergeCell ref="A353:B353"/>
    <mergeCell ref="A354:B354"/>
    <mergeCell ref="A351:B351"/>
    <mergeCell ref="A352:B352"/>
    <mergeCell ref="C351:E351"/>
    <mergeCell ref="C352:E352"/>
    <mergeCell ref="C353:E353"/>
    <mergeCell ref="C354:E354"/>
    <mergeCell ref="C355:E355"/>
    <mergeCell ref="C356:E356"/>
    <mergeCell ref="A361:B361"/>
    <mergeCell ref="A362:B362"/>
    <mergeCell ref="A359:B359"/>
    <mergeCell ref="A360:B360"/>
    <mergeCell ref="A357:B357"/>
    <mergeCell ref="A358:B358"/>
    <mergeCell ref="C357:E357"/>
    <mergeCell ref="C358:E358"/>
    <mergeCell ref="C359:E359"/>
    <mergeCell ref="C360:E360"/>
    <mergeCell ref="C361:E361"/>
    <mergeCell ref="C362:E362"/>
    <mergeCell ref="A367:B367"/>
    <mergeCell ref="A368:B368"/>
    <mergeCell ref="A365:B365"/>
    <mergeCell ref="A366:B366"/>
    <mergeCell ref="A363:B363"/>
    <mergeCell ref="A364:B364"/>
    <mergeCell ref="C363:E363"/>
    <mergeCell ref="C364:E364"/>
    <mergeCell ref="C365:E365"/>
    <mergeCell ref="C366:E366"/>
    <mergeCell ref="C367:E367"/>
    <mergeCell ref="C368:E368"/>
    <mergeCell ref="A373:B373"/>
    <mergeCell ref="A374:B374"/>
    <mergeCell ref="A371:B371"/>
    <mergeCell ref="A372:B372"/>
    <mergeCell ref="A369:B369"/>
    <mergeCell ref="A370:B370"/>
    <mergeCell ref="C369:E369"/>
    <mergeCell ref="C370:E370"/>
    <mergeCell ref="C371:E371"/>
    <mergeCell ref="C372:E372"/>
    <mergeCell ref="C373:E373"/>
    <mergeCell ref="C374:E374"/>
    <mergeCell ref="C379:F379"/>
    <mergeCell ref="A377:B377"/>
    <mergeCell ref="A378:B378"/>
    <mergeCell ref="A375:B375"/>
    <mergeCell ref="A376:B376"/>
    <mergeCell ref="C375:E375"/>
    <mergeCell ref="C376:E376"/>
    <mergeCell ref="C377:E377"/>
    <mergeCell ref="C378:E378"/>
    <mergeCell ref="F375:I375"/>
    <mergeCell ref="F376:I376"/>
    <mergeCell ref="F377:I377"/>
    <mergeCell ref="F378:I378"/>
    <mergeCell ref="J370:L370"/>
    <mergeCell ref="J371:L371"/>
    <mergeCell ref="J353:L353"/>
    <mergeCell ref="J354:L354"/>
    <mergeCell ref="J363:L363"/>
    <mergeCell ref="J364:L364"/>
    <mergeCell ref="J365:L365"/>
    <mergeCell ref="J366:L366"/>
    <mergeCell ref="J367:L367"/>
    <mergeCell ref="J368:L368"/>
    <mergeCell ref="J369:L369"/>
  </mergeCells>
  <conditionalFormatting sqref="C2:E5 C6 E6">
    <cfRule type="cellIs" dxfId="3" priority="17" operator="equal">
      <formula>0</formula>
    </cfRule>
  </conditionalFormatting>
  <conditionalFormatting sqref="L428:L456">
    <cfRule type="containsErrors" dxfId="2" priority="4">
      <formula>ISERROR(L428)</formula>
    </cfRule>
  </conditionalFormatting>
  <conditionalFormatting sqref="W1:X1">
    <cfRule type="cellIs" dxfId="1" priority="15" operator="equal">
      <formula>0</formula>
    </cfRule>
  </conditionalFormatting>
  <pageMargins left="0.2" right="0.2" top="0.75" bottom="0.75" header="0.3" footer="0.3"/>
  <pageSetup scale="49" fitToHeight="0" orientation="landscape" horizontalDpi="4294967293" verticalDpi="4294967293" r:id="rId1"/>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L314"/>
  <sheetViews>
    <sheetView showGridLines="0" workbookViewId="0">
      <selection activeCell="A2" sqref="A2"/>
    </sheetView>
  </sheetViews>
  <sheetFormatPr defaultRowHeight="15"/>
  <cols>
    <col min="1" max="1" width="9.28515625" style="35" customWidth="1"/>
    <col min="2" max="2" width="24.7109375" style="35" customWidth="1"/>
    <col min="3" max="3" width="32.7109375" customWidth="1"/>
    <col min="4" max="4" width="11.42578125" customWidth="1"/>
    <col min="5" max="5" width="15" customWidth="1"/>
    <col min="6" max="7" width="11.5703125" customWidth="1"/>
    <col min="8" max="8" width="16.28515625" hidden="1" customWidth="1"/>
    <col min="9" max="9" width="64.7109375" customWidth="1"/>
  </cols>
  <sheetData>
    <row r="1" spans="1:12" ht="30" customHeight="1">
      <c r="A1" s="1109" t="s">
        <v>1633</v>
      </c>
      <c r="B1" s="1109"/>
      <c r="C1" s="72"/>
      <c r="D1" s="72"/>
      <c r="E1" s="72" t="s">
        <v>435</v>
      </c>
      <c r="F1" s="1281">
        <f>'Data Entry'!F68</f>
        <v>0</v>
      </c>
      <c r="G1" s="1523" t="s">
        <v>7</v>
      </c>
      <c r="I1" s="1117">
        <f>'Data Entry'!B21</f>
        <v>0</v>
      </c>
    </row>
    <row r="2" spans="1:12" ht="22.5" customHeight="1">
      <c r="A2" s="416"/>
      <c r="B2" s="416"/>
      <c r="C2" s="72"/>
      <c r="D2" s="2153" t="s">
        <v>1531</v>
      </c>
      <c r="E2" s="2154"/>
      <c r="F2" s="2155" t="s">
        <v>1532</v>
      </c>
      <c r="G2" s="2156"/>
      <c r="H2" s="2157"/>
      <c r="I2" s="1522"/>
    </row>
    <row r="3" spans="1:12" ht="61.5" customHeight="1">
      <c r="A3" s="1052" t="s">
        <v>1489</v>
      </c>
      <c r="B3" s="1052" t="s">
        <v>44</v>
      </c>
      <c r="C3" s="1052" t="s">
        <v>203</v>
      </c>
      <c r="D3" s="1052" t="s">
        <v>1487</v>
      </c>
      <c r="E3" s="1619" t="s">
        <v>1993</v>
      </c>
      <c r="F3" s="1052" t="s">
        <v>1484</v>
      </c>
      <c r="G3" s="1618" t="s">
        <v>1992</v>
      </c>
      <c r="H3" s="1052" t="s">
        <v>1533</v>
      </c>
      <c r="I3" s="164" t="s">
        <v>205</v>
      </c>
    </row>
    <row r="4" spans="1:12" ht="46.5" customHeight="1">
      <c r="A4" s="1115">
        <f>IF('Proposed Lighting'!BZ9&gt;0.01,'Proposed Lighting'!A9,IF('Proposed Lighting'!CA9&gt;0.01,'Proposed Lighting'!A9,0))</f>
        <v>0</v>
      </c>
      <c r="B4" s="1115">
        <f>'Proposed Lighting'!B9</f>
        <v>0</v>
      </c>
      <c r="C4" s="1085">
        <f>IF(A4&gt;0.01,'Proposed Lighting'!T9,0)</f>
        <v>0</v>
      </c>
      <c r="D4" s="1086">
        <f>IF('Proposed Lighting'!$CB$309&gt;0.01,'Proposed Lighting'!EM9,0)</f>
        <v>0</v>
      </c>
      <c r="E4" s="1086">
        <f>IF('Proposed Lighting'!$CB$309&gt;0.01,'Proposed Lighting'!EN9,0)</f>
        <v>0</v>
      </c>
      <c r="F4" s="1086">
        <f>IF('Proposed Lighting'!$CB$309&gt;0.01,'Proposed Lighting'!EO9,0)</f>
        <v>0</v>
      </c>
      <c r="G4" s="1086">
        <f>IF('Proposed Lighting'!$CB$309&gt;0.01,'Proposed Lighting'!EP9,0)</f>
        <v>0</v>
      </c>
      <c r="H4" s="1086">
        <f>IF('Proposed Lighting'!$CB$309&gt;0.01,'Proposed Lighting'!EQ9,0)</f>
        <v>0</v>
      </c>
      <c r="I4" s="1045"/>
    </row>
    <row r="5" spans="1:12" ht="46.5" customHeight="1">
      <c r="A5" s="1115">
        <f>IF('Proposed Lighting'!BZ10&gt;0.01,'Proposed Lighting'!A10,IF('Proposed Lighting'!CA10&gt;0.01,'Proposed Lighting'!A10,0))</f>
        <v>0</v>
      </c>
      <c r="B5" s="1115">
        <f>'Proposed Lighting'!B10</f>
        <v>0</v>
      </c>
      <c r="C5" s="1085">
        <f>IF(A5&gt;0.01,'Proposed Lighting'!T10,0)</f>
        <v>0</v>
      </c>
      <c r="D5" s="1086">
        <f>IF('Proposed Lighting'!$CB$309&gt;0.01,'Proposed Lighting'!EM10,0)</f>
        <v>0</v>
      </c>
      <c r="E5" s="1086">
        <f>IF('Proposed Lighting'!$CB$309&gt;0.01,'Proposed Lighting'!EN10,0)</f>
        <v>0</v>
      </c>
      <c r="F5" s="1086">
        <f>IF('Proposed Lighting'!$CB$309&gt;0.01,'Proposed Lighting'!EO10,0)</f>
        <v>0</v>
      </c>
      <c r="G5" s="1086">
        <f>IF('Proposed Lighting'!$CB$309&gt;0.01,'Proposed Lighting'!EP10,0)</f>
        <v>0</v>
      </c>
      <c r="H5" s="1086">
        <f>IF('Proposed Lighting'!$CB$309&gt;0.01,'Proposed Lighting'!EQ10,0)</f>
        <v>0</v>
      </c>
      <c r="I5" s="1045"/>
    </row>
    <row r="6" spans="1:12" ht="46.5" customHeight="1">
      <c r="A6" s="1115">
        <f>IF('Proposed Lighting'!BZ11&gt;0.01,'Proposed Lighting'!A11,IF('Proposed Lighting'!CA11&gt;0.01,'Proposed Lighting'!A11,0))</f>
        <v>0</v>
      </c>
      <c r="B6" s="1115">
        <f>'Proposed Lighting'!B11</f>
        <v>0</v>
      </c>
      <c r="C6" s="1085">
        <f>IF(A6&gt;0.01,'Proposed Lighting'!T11,0)</f>
        <v>0</v>
      </c>
      <c r="D6" s="1086">
        <f>IF('Proposed Lighting'!$CB$309&gt;0.01,'Proposed Lighting'!EM11,0)</f>
        <v>0</v>
      </c>
      <c r="E6" s="1086">
        <f>IF('Proposed Lighting'!$CB$309&gt;0.01,'Proposed Lighting'!EN11,0)</f>
        <v>0</v>
      </c>
      <c r="F6" s="1086">
        <f>IF('Proposed Lighting'!$CB$309&gt;0.01,'Proposed Lighting'!EO11,0)</f>
        <v>0</v>
      </c>
      <c r="G6" s="1086">
        <f>IF('Proposed Lighting'!$CB$309&gt;0.01,'Proposed Lighting'!EP11,0)</f>
        <v>0</v>
      </c>
      <c r="H6" s="1086">
        <f>IF('Proposed Lighting'!$CB$309&gt;0.01,'Proposed Lighting'!EQ11,0)</f>
        <v>0</v>
      </c>
      <c r="I6" s="1045"/>
    </row>
    <row r="7" spans="1:12" ht="46.5" customHeight="1">
      <c r="A7" s="1115">
        <f>IF('Proposed Lighting'!BZ12&gt;0.01,'Proposed Lighting'!A12,IF('Proposed Lighting'!CA12&gt;0.01,'Proposed Lighting'!A12,0))</f>
        <v>0</v>
      </c>
      <c r="B7" s="1115">
        <f>'Proposed Lighting'!B12</f>
        <v>0</v>
      </c>
      <c r="C7" s="1085">
        <f>IF(A7&gt;0.01,'Proposed Lighting'!T12,0)</f>
        <v>0</v>
      </c>
      <c r="D7" s="1086">
        <f>IF('Proposed Lighting'!$CB$309&gt;0.01,'Proposed Lighting'!EM12,0)</f>
        <v>0</v>
      </c>
      <c r="E7" s="1086">
        <f>IF('Proposed Lighting'!$CB$309&gt;0.01,'Proposed Lighting'!EN12,0)</f>
        <v>0</v>
      </c>
      <c r="F7" s="1086">
        <f>IF('Proposed Lighting'!$CB$309&gt;0.01,'Proposed Lighting'!EO12,0)</f>
        <v>0</v>
      </c>
      <c r="G7" s="1086">
        <f>IF('Proposed Lighting'!$CB$309&gt;0.01,'Proposed Lighting'!EP12,0)</f>
        <v>0</v>
      </c>
      <c r="H7" s="1086">
        <f>IF('Proposed Lighting'!$CB$309&gt;0.01,'Proposed Lighting'!EQ12,0)</f>
        <v>0</v>
      </c>
      <c r="I7" s="1045"/>
    </row>
    <row r="8" spans="1:12" ht="46.5" customHeight="1">
      <c r="A8" s="1115">
        <f>IF('Proposed Lighting'!BZ13&gt;0.01,'Proposed Lighting'!A13,IF('Proposed Lighting'!CA13&gt;0.01,'Proposed Lighting'!A13,0))</f>
        <v>0</v>
      </c>
      <c r="B8" s="1115">
        <f>'Proposed Lighting'!B13</f>
        <v>0</v>
      </c>
      <c r="C8" s="1085">
        <f>IF(A8&gt;0.01,'Proposed Lighting'!T13,0)</f>
        <v>0</v>
      </c>
      <c r="D8" s="1086">
        <f>IF('Proposed Lighting'!$CB$309&gt;0.01,'Proposed Lighting'!EM13,0)</f>
        <v>0</v>
      </c>
      <c r="E8" s="1086">
        <f>IF('Proposed Lighting'!$CB$309&gt;0.01,'Proposed Lighting'!EN13,0)</f>
        <v>0</v>
      </c>
      <c r="F8" s="1086">
        <f>IF('Proposed Lighting'!$CB$309&gt;0.01,'Proposed Lighting'!EO13,0)</f>
        <v>0</v>
      </c>
      <c r="G8" s="1086">
        <f>IF('Proposed Lighting'!$CB$309&gt;0.01,'Proposed Lighting'!EP13,0)</f>
        <v>0</v>
      </c>
      <c r="H8" s="1086">
        <f>IF('Proposed Lighting'!$CB$309&gt;0.01,'Proposed Lighting'!EQ13,0)</f>
        <v>0</v>
      </c>
      <c r="I8" s="1045"/>
    </row>
    <row r="9" spans="1:12" ht="46.5" customHeight="1">
      <c r="A9" s="1115">
        <f>IF('Proposed Lighting'!BZ14&gt;0.01,'Proposed Lighting'!A14,IF('Proposed Lighting'!CA14&gt;0.01,'Proposed Lighting'!A14,0))</f>
        <v>0</v>
      </c>
      <c r="B9" s="1115">
        <f>'Proposed Lighting'!B14</f>
        <v>0</v>
      </c>
      <c r="C9" s="1085">
        <f>IF(A9&gt;0.01,'Proposed Lighting'!T14,0)</f>
        <v>0</v>
      </c>
      <c r="D9" s="1086">
        <f>IF('Proposed Lighting'!$CB$309&gt;0.01,'Proposed Lighting'!EM14,0)</f>
        <v>0</v>
      </c>
      <c r="E9" s="1086">
        <f>IF('Proposed Lighting'!$CB$309&gt;0.01,'Proposed Lighting'!EN14,0)</f>
        <v>0</v>
      </c>
      <c r="F9" s="1086">
        <f>IF('Proposed Lighting'!$CB$309&gt;0.01,'Proposed Lighting'!EO14,0)</f>
        <v>0</v>
      </c>
      <c r="G9" s="1086">
        <f>IF('Proposed Lighting'!$CB$309&gt;0.01,'Proposed Lighting'!EP14,0)</f>
        <v>0</v>
      </c>
      <c r="H9" s="1086">
        <f>IF('Proposed Lighting'!$CB$309&gt;0.01,'Proposed Lighting'!EQ14,0)</f>
        <v>0</v>
      </c>
      <c r="I9" s="1045"/>
    </row>
    <row r="10" spans="1:12" ht="46.5" customHeight="1">
      <c r="A10" s="1115">
        <f>IF('Proposed Lighting'!BZ15&gt;0.01,'Proposed Lighting'!A15,IF('Proposed Lighting'!CA15&gt;0.01,'Proposed Lighting'!A15,0))</f>
        <v>0</v>
      </c>
      <c r="B10" s="1115">
        <f>'Proposed Lighting'!B15</f>
        <v>0</v>
      </c>
      <c r="C10" s="1085">
        <f>IF(A10&gt;0.01,'Proposed Lighting'!T15,0)</f>
        <v>0</v>
      </c>
      <c r="D10" s="1086">
        <f>IF('Proposed Lighting'!$CB$309&gt;0.01,'Proposed Lighting'!EM15,0)</f>
        <v>0</v>
      </c>
      <c r="E10" s="1086">
        <f>IF('Proposed Lighting'!$CB$309&gt;0.01,'Proposed Lighting'!EN15,0)</f>
        <v>0</v>
      </c>
      <c r="F10" s="1086">
        <f>IF('Proposed Lighting'!$CB$309&gt;0.01,'Proposed Lighting'!EO15,0)</f>
        <v>0</v>
      </c>
      <c r="G10" s="1086">
        <f>IF('Proposed Lighting'!$CB$309&gt;0.01,'Proposed Lighting'!EP15,0)</f>
        <v>0</v>
      </c>
      <c r="H10" s="1086">
        <f>IF('Proposed Lighting'!$CB$309&gt;0.01,'Proposed Lighting'!EQ15,0)</f>
        <v>0</v>
      </c>
      <c r="I10" s="1045"/>
    </row>
    <row r="11" spans="1:12" ht="46.5" customHeight="1">
      <c r="A11" s="1115">
        <f>IF('Proposed Lighting'!BZ16&gt;0.01,'Proposed Lighting'!A16,IF('Proposed Lighting'!CA16&gt;0.01,'Proposed Lighting'!A16,0))</f>
        <v>0</v>
      </c>
      <c r="B11" s="1115">
        <f>'Proposed Lighting'!B16</f>
        <v>0</v>
      </c>
      <c r="C11" s="1085">
        <f>IF(A11&gt;0.01,'Proposed Lighting'!T16,0)</f>
        <v>0</v>
      </c>
      <c r="D11" s="1086">
        <f>IF('Proposed Lighting'!$CB$309&gt;0.01,'Proposed Lighting'!EM16,0)</f>
        <v>0</v>
      </c>
      <c r="E11" s="1086">
        <f>IF('Proposed Lighting'!$CB$309&gt;0.01,'Proposed Lighting'!EN16,0)</f>
        <v>0</v>
      </c>
      <c r="F11" s="1086">
        <f>IF('Proposed Lighting'!$CB$309&gt;0.01,'Proposed Lighting'!EO16,0)</f>
        <v>0</v>
      </c>
      <c r="G11" s="1086">
        <f>IF('Proposed Lighting'!$CB$309&gt;0.01,'Proposed Lighting'!EP16,0)</f>
        <v>0</v>
      </c>
      <c r="H11" s="1086">
        <f>IF('Proposed Lighting'!$CB$309&gt;0.01,'Proposed Lighting'!EQ16,0)</f>
        <v>0</v>
      </c>
      <c r="I11" s="1045"/>
    </row>
    <row r="12" spans="1:12" ht="46.5" customHeight="1">
      <c r="A12" s="1115">
        <f>IF('Proposed Lighting'!BZ17&gt;0.01,'Proposed Lighting'!A17,IF('Proposed Lighting'!CA17&gt;0.01,'Proposed Lighting'!A17,0))</f>
        <v>0</v>
      </c>
      <c r="B12" s="1115">
        <f>'Proposed Lighting'!B17</f>
        <v>0</v>
      </c>
      <c r="C12" s="1085">
        <f>IF(A12&gt;0.01,'Proposed Lighting'!T17,0)</f>
        <v>0</v>
      </c>
      <c r="D12" s="1086">
        <f>IF('Proposed Lighting'!$CB$309&gt;0.01,'Proposed Lighting'!EM17,0)</f>
        <v>0</v>
      </c>
      <c r="E12" s="1086">
        <f>IF('Proposed Lighting'!$CB$309&gt;0.01,'Proposed Lighting'!EN17,0)</f>
        <v>0</v>
      </c>
      <c r="F12" s="1086">
        <f>IF('Proposed Lighting'!$CB$309&gt;0.01,'Proposed Lighting'!EO17,0)</f>
        <v>0</v>
      </c>
      <c r="G12" s="1086">
        <f>IF('Proposed Lighting'!$CB$309&gt;0.01,'Proposed Lighting'!EP17,0)</f>
        <v>0</v>
      </c>
      <c r="H12" s="1086">
        <f>IF('Proposed Lighting'!$CB$309&gt;0.01,'Proposed Lighting'!EQ17,0)</f>
        <v>0</v>
      </c>
      <c r="I12" s="1045"/>
    </row>
    <row r="13" spans="1:12" ht="46.5" customHeight="1">
      <c r="A13" s="1115">
        <f>IF('Proposed Lighting'!BZ18&gt;0.01,'Proposed Lighting'!A18,IF('Proposed Lighting'!CA18&gt;0.01,'Proposed Lighting'!A18,0))</f>
        <v>0</v>
      </c>
      <c r="B13" s="1115">
        <f>'Proposed Lighting'!B18</f>
        <v>0</v>
      </c>
      <c r="C13" s="1085">
        <f>IF(A13&gt;0.01,'Proposed Lighting'!T18,0)</f>
        <v>0</v>
      </c>
      <c r="D13" s="1086">
        <f>IF('Proposed Lighting'!$CB$309&gt;0.01,'Proposed Lighting'!EM18,0)</f>
        <v>0</v>
      </c>
      <c r="E13" s="1086">
        <f>IF('Proposed Lighting'!$CB$309&gt;0.01,'Proposed Lighting'!EN18,0)</f>
        <v>0</v>
      </c>
      <c r="F13" s="1086">
        <f>IF('Proposed Lighting'!$CB$309&gt;0.01,'Proposed Lighting'!EO18,0)</f>
        <v>0</v>
      </c>
      <c r="G13" s="1086">
        <f>IF('Proposed Lighting'!$CB$309&gt;0.01,'Proposed Lighting'!EP18,0)</f>
        <v>0</v>
      </c>
      <c r="H13" s="1086">
        <f>IF('Proposed Lighting'!$CB$309&gt;0.01,'Proposed Lighting'!EQ18,0)</f>
        <v>0</v>
      </c>
      <c r="I13" s="1045"/>
      <c r="L13" t="s">
        <v>0</v>
      </c>
    </row>
    <row r="14" spans="1:12" ht="46.5" customHeight="1">
      <c r="A14" s="1115">
        <f>IF('Proposed Lighting'!BZ19&gt;0.01,'Proposed Lighting'!A19,IF('Proposed Lighting'!CA19&gt;0.01,'Proposed Lighting'!A19,0))</f>
        <v>0</v>
      </c>
      <c r="B14" s="1115">
        <f>'Proposed Lighting'!B19</f>
        <v>0</v>
      </c>
      <c r="C14" s="1085">
        <f>IF(A14&gt;0.01,'Proposed Lighting'!T19,0)</f>
        <v>0</v>
      </c>
      <c r="D14" s="1086">
        <f>IF('Proposed Lighting'!$CB$309&gt;0.01,'Proposed Lighting'!EM19,0)</f>
        <v>0</v>
      </c>
      <c r="E14" s="1086">
        <f>IF('Proposed Lighting'!$CB$309&gt;0.01,'Proposed Lighting'!EN19,0)</f>
        <v>0</v>
      </c>
      <c r="F14" s="1086">
        <f>IF('Proposed Lighting'!$CB$309&gt;0.01,'Proposed Lighting'!EO19,0)</f>
        <v>0</v>
      </c>
      <c r="G14" s="1086">
        <f>IF('Proposed Lighting'!$CB$309&gt;0.01,'Proposed Lighting'!EP19,0)</f>
        <v>0</v>
      </c>
      <c r="H14" s="1086">
        <f>IF('Proposed Lighting'!$CB$309&gt;0.01,'Proposed Lighting'!EQ19,0)</f>
        <v>0</v>
      </c>
      <c r="I14" s="1045"/>
    </row>
    <row r="15" spans="1:12" ht="46.5" customHeight="1">
      <c r="A15" s="1115">
        <f>IF('Proposed Lighting'!BZ20&gt;0.01,'Proposed Lighting'!A20,IF('Proposed Lighting'!CA20&gt;0.01,'Proposed Lighting'!A20,0))</f>
        <v>0</v>
      </c>
      <c r="B15" s="1115">
        <f>'Proposed Lighting'!B20</f>
        <v>0</v>
      </c>
      <c r="C15" s="1085">
        <f>IF(A15&gt;0.01,'Proposed Lighting'!T20,0)</f>
        <v>0</v>
      </c>
      <c r="D15" s="1086">
        <f>IF('Proposed Lighting'!$CB$309&gt;0.01,'Proposed Lighting'!EM20,0)</f>
        <v>0</v>
      </c>
      <c r="E15" s="1086">
        <f>IF('Proposed Lighting'!$CB$309&gt;0.01,'Proposed Lighting'!EN20,0)</f>
        <v>0</v>
      </c>
      <c r="F15" s="1086">
        <f>IF('Proposed Lighting'!$CB$309&gt;0.01,'Proposed Lighting'!EO20,0)</f>
        <v>0</v>
      </c>
      <c r="G15" s="1086">
        <f>IF('Proposed Lighting'!$CB$309&gt;0.01,'Proposed Lighting'!EP20,0)</f>
        <v>0</v>
      </c>
      <c r="H15" s="1086">
        <f>IF('Proposed Lighting'!$CB$309&gt;0.01,'Proposed Lighting'!EQ20,0)</f>
        <v>0</v>
      </c>
      <c r="I15" s="1045"/>
    </row>
    <row r="16" spans="1:12" ht="46.5" customHeight="1">
      <c r="A16" s="1115">
        <f>IF('Proposed Lighting'!BZ21&gt;0.01,'Proposed Lighting'!A21,IF('Proposed Lighting'!CA21&gt;0.01,'Proposed Lighting'!A21,0))</f>
        <v>0</v>
      </c>
      <c r="B16" s="1115">
        <f>'Proposed Lighting'!B21</f>
        <v>0</v>
      </c>
      <c r="C16" s="1085">
        <f>IF(A16&gt;0.01,'Proposed Lighting'!T21,0)</f>
        <v>0</v>
      </c>
      <c r="D16" s="1086">
        <f>IF('Proposed Lighting'!$CB$309&gt;0.01,'Proposed Lighting'!EM21,0)</f>
        <v>0</v>
      </c>
      <c r="E16" s="1086">
        <f>IF('Proposed Lighting'!$CB$309&gt;0.01,'Proposed Lighting'!EN21,0)</f>
        <v>0</v>
      </c>
      <c r="F16" s="1086">
        <f>IF('Proposed Lighting'!$CB$309&gt;0.01,'Proposed Lighting'!EO21,0)</f>
        <v>0</v>
      </c>
      <c r="G16" s="1086">
        <f>IF('Proposed Lighting'!$CB$309&gt;0.01,'Proposed Lighting'!EP21,0)</f>
        <v>0</v>
      </c>
      <c r="H16" s="1086">
        <f>IF('Proposed Lighting'!$CB$309&gt;0.01,'Proposed Lighting'!EQ21,0)</f>
        <v>0</v>
      </c>
      <c r="I16" s="1045"/>
    </row>
    <row r="17" spans="1:9" ht="46.5" customHeight="1">
      <c r="A17" s="1115">
        <f>IF('Proposed Lighting'!BZ22&gt;0.01,'Proposed Lighting'!A22,IF('Proposed Lighting'!CA22&gt;0.01,'Proposed Lighting'!A22,0))</f>
        <v>0</v>
      </c>
      <c r="B17" s="1115">
        <f>'Proposed Lighting'!B22</f>
        <v>0</v>
      </c>
      <c r="C17" s="1085">
        <f>IF(A17&gt;0.01,'Proposed Lighting'!T22,0)</f>
        <v>0</v>
      </c>
      <c r="D17" s="1086">
        <f>IF('Proposed Lighting'!$CB$309&gt;0.01,'Proposed Lighting'!EM22,0)</f>
        <v>0</v>
      </c>
      <c r="E17" s="1086">
        <f>IF('Proposed Lighting'!$CB$309&gt;0.01,'Proposed Lighting'!EN22,0)</f>
        <v>0</v>
      </c>
      <c r="F17" s="1086">
        <f>IF('Proposed Lighting'!$CB$309&gt;0.01,'Proposed Lighting'!EO22,0)</f>
        <v>0</v>
      </c>
      <c r="G17" s="1086">
        <f>IF('Proposed Lighting'!$CB$309&gt;0.01,'Proposed Lighting'!EP22,0)</f>
        <v>0</v>
      </c>
      <c r="H17" s="1086">
        <f>IF('Proposed Lighting'!$CB$309&gt;0.01,'Proposed Lighting'!EQ22,0)</f>
        <v>0</v>
      </c>
      <c r="I17" s="1045"/>
    </row>
    <row r="18" spans="1:9" ht="46.5" customHeight="1">
      <c r="A18" s="1115">
        <f>IF('Proposed Lighting'!BZ23&gt;0.01,'Proposed Lighting'!A23,IF('Proposed Lighting'!CA23&gt;0.01,'Proposed Lighting'!A23,0))</f>
        <v>0</v>
      </c>
      <c r="B18" s="1115">
        <f>'Proposed Lighting'!B23</f>
        <v>0</v>
      </c>
      <c r="C18" s="1085">
        <f>IF(A18&gt;0.01,'Proposed Lighting'!T23,0)</f>
        <v>0</v>
      </c>
      <c r="D18" s="1086">
        <f>IF('Proposed Lighting'!$CB$309&gt;0.01,'Proposed Lighting'!EM23,0)</f>
        <v>0</v>
      </c>
      <c r="E18" s="1086">
        <f>IF('Proposed Lighting'!$CB$309&gt;0.01,'Proposed Lighting'!EN23,0)</f>
        <v>0</v>
      </c>
      <c r="F18" s="1086">
        <f>IF('Proposed Lighting'!$CB$309&gt;0.01,'Proposed Lighting'!EO23,0)</f>
        <v>0</v>
      </c>
      <c r="G18" s="1086">
        <f>IF('Proposed Lighting'!$CB$309&gt;0.01,'Proposed Lighting'!EP23,0)</f>
        <v>0</v>
      </c>
      <c r="H18" s="1086">
        <f>IF('Proposed Lighting'!$CB$309&gt;0.01,'Proposed Lighting'!EQ23,0)</f>
        <v>0</v>
      </c>
      <c r="I18" s="1045"/>
    </row>
    <row r="19" spans="1:9" ht="46.5" customHeight="1">
      <c r="A19" s="1115">
        <f>IF('Proposed Lighting'!BZ24&gt;0.01,'Proposed Lighting'!A24,IF('Proposed Lighting'!CA24&gt;0.01,'Proposed Lighting'!A24,0))</f>
        <v>0</v>
      </c>
      <c r="B19" s="1115">
        <f>'Proposed Lighting'!B24</f>
        <v>0</v>
      </c>
      <c r="C19" s="1085">
        <f>IF(A19&gt;0.01,'Proposed Lighting'!T24,0)</f>
        <v>0</v>
      </c>
      <c r="D19" s="1086">
        <f>IF('Proposed Lighting'!$CB$309&gt;0.01,'Proposed Lighting'!EM24,0)</f>
        <v>0</v>
      </c>
      <c r="E19" s="1086">
        <f>IF('Proposed Lighting'!$CB$309&gt;0.01,'Proposed Lighting'!EN24,0)</f>
        <v>0</v>
      </c>
      <c r="F19" s="1086">
        <f>IF('Proposed Lighting'!$CB$309&gt;0.01,'Proposed Lighting'!EO24,0)</f>
        <v>0</v>
      </c>
      <c r="G19" s="1086">
        <f>IF('Proposed Lighting'!$CB$309&gt;0.01,'Proposed Lighting'!EP24,0)</f>
        <v>0</v>
      </c>
      <c r="H19" s="1086">
        <f>IF('Proposed Lighting'!$CB$309&gt;0.01,'Proposed Lighting'!EQ24,0)</f>
        <v>0</v>
      </c>
      <c r="I19" s="1045"/>
    </row>
    <row r="20" spans="1:9" ht="46.5" customHeight="1">
      <c r="A20" s="1115">
        <f>IF('Proposed Lighting'!BZ25&gt;0.01,'Proposed Lighting'!A25,IF('Proposed Lighting'!CA25&gt;0.01,'Proposed Lighting'!A25,0))</f>
        <v>0</v>
      </c>
      <c r="B20" s="1115">
        <f>'Proposed Lighting'!B25</f>
        <v>0</v>
      </c>
      <c r="C20" s="1085">
        <f>IF(A20&gt;0.01,'Proposed Lighting'!T25,0)</f>
        <v>0</v>
      </c>
      <c r="D20" s="1086">
        <f>IF('Proposed Lighting'!$CB$309&gt;0.01,'Proposed Lighting'!EM25,0)</f>
        <v>0</v>
      </c>
      <c r="E20" s="1086">
        <f>IF('Proposed Lighting'!$CB$309&gt;0.01,'Proposed Lighting'!EN25,0)</f>
        <v>0</v>
      </c>
      <c r="F20" s="1086">
        <f>IF('Proposed Lighting'!$CB$309&gt;0.01,'Proposed Lighting'!EO25,0)</f>
        <v>0</v>
      </c>
      <c r="G20" s="1086">
        <f>IF('Proposed Lighting'!$CB$309&gt;0.01,'Proposed Lighting'!EP25,0)</f>
        <v>0</v>
      </c>
      <c r="H20" s="1086">
        <f>IF('Proposed Lighting'!$CB$309&gt;0.01,'Proposed Lighting'!EQ25,0)</f>
        <v>0</v>
      </c>
      <c r="I20" s="1045"/>
    </row>
    <row r="21" spans="1:9" ht="46.5" customHeight="1">
      <c r="A21" s="1115">
        <f>IF('Proposed Lighting'!BZ26&gt;0.01,'Proposed Lighting'!A26,IF('Proposed Lighting'!CA26&gt;0.01,'Proposed Lighting'!A26,0))</f>
        <v>0</v>
      </c>
      <c r="B21" s="1115">
        <f>'Proposed Lighting'!B26</f>
        <v>0</v>
      </c>
      <c r="C21" s="1085">
        <f>IF(A21&gt;0.01,'Proposed Lighting'!T26,0)</f>
        <v>0</v>
      </c>
      <c r="D21" s="1086">
        <f>IF('Proposed Lighting'!$CB$309&gt;0.01,'Proposed Lighting'!EM26,0)</f>
        <v>0</v>
      </c>
      <c r="E21" s="1086">
        <f>IF('Proposed Lighting'!$CB$309&gt;0.01,'Proposed Lighting'!EN26,0)</f>
        <v>0</v>
      </c>
      <c r="F21" s="1086">
        <f>IF('Proposed Lighting'!$CB$309&gt;0.01,'Proposed Lighting'!EO26,0)</f>
        <v>0</v>
      </c>
      <c r="G21" s="1086">
        <f>IF('Proposed Lighting'!$CB$309&gt;0.01,'Proposed Lighting'!EP26,0)</f>
        <v>0</v>
      </c>
      <c r="H21" s="1086">
        <f>IF('Proposed Lighting'!$CB$309&gt;0.01,'Proposed Lighting'!EQ26,0)</f>
        <v>0</v>
      </c>
      <c r="I21" s="1045"/>
    </row>
    <row r="22" spans="1:9" ht="46.5" customHeight="1">
      <c r="A22" s="1115">
        <f>IF('Proposed Lighting'!BZ27&gt;0.01,'Proposed Lighting'!A27,IF('Proposed Lighting'!CA27&gt;0.01,'Proposed Lighting'!A27,0))</f>
        <v>0</v>
      </c>
      <c r="B22" s="1115">
        <f>'Proposed Lighting'!B27</f>
        <v>0</v>
      </c>
      <c r="C22" s="1085">
        <f>IF(A22&gt;0.01,'Proposed Lighting'!T27,0)</f>
        <v>0</v>
      </c>
      <c r="D22" s="1086">
        <f>IF('Proposed Lighting'!$CB$309&gt;0.01,'Proposed Lighting'!EM27,0)</f>
        <v>0</v>
      </c>
      <c r="E22" s="1086">
        <f>IF('Proposed Lighting'!$CB$309&gt;0.01,'Proposed Lighting'!EN27,0)</f>
        <v>0</v>
      </c>
      <c r="F22" s="1086">
        <f>IF('Proposed Lighting'!$CB$309&gt;0.01,'Proposed Lighting'!EO27,0)</f>
        <v>0</v>
      </c>
      <c r="G22" s="1086">
        <f>IF('Proposed Lighting'!$CB$309&gt;0.01,'Proposed Lighting'!EP27,0)</f>
        <v>0</v>
      </c>
      <c r="H22" s="1086">
        <f>IF('Proposed Lighting'!$CB$309&gt;0.01,'Proposed Lighting'!EQ27,0)</f>
        <v>0</v>
      </c>
      <c r="I22" s="1045"/>
    </row>
    <row r="23" spans="1:9" ht="46.5" customHeight="1">
      <c r="A23" s="1115">
        <f>IF('Proposed Lighting'!BZ28&gt;0.01,'Proposed Lighting'!A28,IF('Proposed Lighting'!CA28&gt;0.01,'Proposed Lighting'!A28,0))</f>
        <v>0</v>
      </c>
      <c r="B23" s="1115">
        <f>'Proposed Lighting'!B28</f>
        <v>0</v>
      </c>
      <c r="C23" s="1085">
        <f>IF(A23&gt;0.01,'Proposed Lighting'!T28,0)</f>
        <v>0</v>
      </c>
      <c r="D23" s="1086">
        <f>IF('Proposed Lighting'!$CB$309&gt;0.01,'Proposed Lighting'!EM28,0)</f>
        <v>0</v>
      </c>
      <c r="E23" s="1086">
        <f>IF('Proposed Lighting'!$CB$309&gt;0.01,'Proposed Lighting'!EN28,0)</f>
        <v>0</v>
      </c>
      <c r="F23" s="1086">
        <f>IF('Proposed Lighting'!$CB$309&gt;0.01,'Proposed Lighting'!EO28,0)</f>
        <v>0</v>
      </c>
      <c r="G23" s="1086">
        <f>IF('Proposed Lighting'!$CB$309&gt;0.01,'Proposed Lighting'!EP28,0)</f>
        <v>0</v>
      </c>
      <c r="H23" s="1086">
        <f>IF('Proposed Lighting'!$CB$309&gt;0.01,'Proposed Lighting'!EQ28,0)</f>
        <v>0</v>
      </c>
      <c r="I23" s="1045"/>
    </row>
    <row r="24" spans="1:9" ht="46.5" customHeight="1">
      <c r="A24" s="1115">
        <f>IF('Proposed Lighting'!BZ29&gt;0.01,'Proposed Lighting'!A29,IF('Proposed Lighting'!CA29&gt;0.01,'Proposed Lighting'!A29,0))</f>
        <v>0</v>
      </c>
      <c r="B24" s="1115">
        <f>'Proposed Lighting'!B29</f>
        <v>0</v>
      </c>
      <c r="C24" s="1085">
        <f>IF(A24&gt;0.01,'Proposed Lighting'!T29,0)</f>
        <v>0</v>
      </c>
      <c r="D24" s="1086">
        <f>IF('Proposed Lighting'!$CB$309&gt;0.01,'Proposed Lighting'!EM29,0)</f>
        <v>0</v>
      </c>
      <c r="E24" s="1086">
        <f>IF('Proposed Lighting'!$CB$309&gt;0.01,'Proposed Lighting'!EN29,0)</f>
        <v>0</v>
      </c>
      <c r="F24" s="1086">
        <f>IF('Proposed Lighting'!$CB$309&gt;0.01,'Proposed Lighting'!EO29,0)</f>
        <v>0</v>
      </c>
      <c r="G24" s="1086">
        <f>IF('Proposed Lighting'!$CB$309&gt;0.01,'Proposed Lighting'!EP29,0)</f>
        <v>0</v>
      </c>
      <c r="H24" s="1086">
        <f>IF('Proposed Lighting'!$CB$309&gt;0.01,'Proposed Lighting'!EQ29,0)</f>
        <v>0</v>
      </c>
      <c r="I24" s="1045"/>
    </row>
    <row r="25" spans="1:9" ht="46.5" customHeight="1">
      <c r="A25" s="1115">
        <f>IF('Proposed Lighting'!BZ30&gt;0.01,'Proposed Lighting'!A30,IF('Proposed Lighting'!CA30&gt;0.01,'Proposed Lighting'!A30,0))</f>
        <v>0</v>
      </c>
      <c r="B25" s="1115">
        <f>'Proposed Lighting'!B30</f>
        <v>0</v>
      </c>
      <c r="C25" s="1085">
        <f>IF(A25&gt;0.01,'Proposed Lighting'!T30,0)</f>
        <v>0</v>
      </c>
      <c r="D25" s="1086">
        <f>IF('Proposed Lighting'!$CB$309&gt;0.01,'Proposed Lighting'!EM30,0)</f>
        <v>0</v>
      </c>
      <c r="E25" s="1086">
        <f>IF('Proposed Lighting'!$CB$309&gt;0.01,'Proposed Lighting'!EN30,0)</f>
        <v>0</v>
      </c>
      <c r="F25" s="1086">
        <f>IF('Proposed Lighting'!$CB$309&gt;0.01,'Proposed Lighting'!EO30,0)</f>
        <v>0</v>
      </c>
      <c r="G25" s="1086">
        <f>IF('Proposed Lighting'!$CB$309&gt;0.01,'Proposed Lighting'!EP30,0)</f>
        <v>0</v>
      </c>
      <c r="H25" s="1086">
        <f>IF('Proposed Lighting'!$CB$309&gt;0.01,'Proposed Lighting'!EQ30,0)</f>
        <v>0</v>
      </c>
      <c r="I25" s="1045"/>
    </row>
    <row r="26" spans="1:9" ht="46.5" customHeight="1">
      <c r="A26" s="1115">
        <f>IF('Proposed Lighting'!BZ31&gt;0.01,'Proposed Lighting'!A31,IF('Proposed Lighting'!CA31&gt;0.01,'Proposed Lighting'!A31,0))</f>
        <v>0</v>
      </c>
      <c r="B26" s="1115">
        <f>'Proposed Lighting'!B31</f>
        <v>0</v>
      </c>
      <c r="C26" s="1085">
        <f>IF(A26&gt;0.01,'Proposed Lighting'!T31,0)</f>
        <v>0</v>
      </c>
      <c r="D26" s="1086">
        <f>IF('Proposed Lighting'!$CB$309&gt;0.01,'Proposed Lighting'!EM31,0)</f>
        <v>0</v>
      </c>
      <c r="E26" s="1086">
        <f>IF('Proposed Lighting'!$CB$309&gt;0.01,'Proposed Lighting'!EN31,0)</f>
        <v>0</v>
      </c>
      <c r="F26" s="1086">
        <f>IF('Proposed Lighting'!$CB$309&gt;0.01,'Proposed Lighting'!EO31,0)</f>
        <v>0</v>
      </c>
      <c r="G26" s="1086">
        <f>IF('Proposed Lighting'!$CB$309&gt;0.01,'Proposed Lighting'!EP31,0)</f>
        <v>0</v>
      </c>
      <c r="H26" s="1086">
        <f>IF('Proposed Lighting'!$CB$309&gt;0.01,'Proposed Lighting'!EQ31,0)</f>
        <v>0</v>
      </c>
      <c r="I26" s="1045"/>
    </row>
    <row r="27" spans="1:9" ht="46.5" customHeight="1">
      <c r="A27" s="1115">
        <f>IF('Proposed Lighting'!BZ32&gt;0.01,'Proposed Lighting'!A32,IF('Proposed Lighting'!CA32&gt;0.01,'Proposed Lighting'!A32,0))</f>
        <v>0</v>
      </c>
      <c r="B27" s="1115">
        <f>'Proposed Lighting'!B32</f>
        <v>0</v>
      </c>
      <c r="C27" s="1085">
        <f>IF(A27&gt;0.01,'Proposed Lighting'!T32,0)</f>
        <v>0</v>
      </c>
      <c r="D27" s="1086">
        <f>IF('Proposed Lighting'!$CB$309&gt;0.01,'Proposed Lighting'!EM32,0)</f>
        <v>0</v>
      </c>
      <c r="E27" s="1086">
        <f>IF('Proposed Lighting'!$CB$309&gt;0.01,'Proposed Lighting'!EN32,0)</f>
        <v>0</v>
      </c>
      <c r="F27" s="1086">
        <f>IF('Proposed Lighting'!$CB$309&gt;0.01,'Proposed Lighting'!EO32,0)</f>
        <v>0</v>
      </c>
      <c r="G27" s="1086">
        <f>IF('Proposed Lighting'!$CB$309&gt;0.01,'Proposed Lighting'!EP32,0)</f>
        <v>0</v>
      </c>
      <c r="H27" s="1086">
        <f>IF('Proposed Lighting'!$CB$309&gt;0.01,'Proposed Lighting'!EQ32,0)</f>
        <v>0</v>
      </c>
      <c r="I27" s="1045"/>
    </row>
    <row r="28" spans="1:9" ht="46.5" customHeight="1">
      <c r="A28" s="1115">
        <f>IF('Proposed Lighting'!BZ33&gt;0.01,'Proposed Lighting'!A33,IF('Proposed Lighting'!CA33&gt;0.01,'Proposed Lighting'!A33,0))</f>
        <v>0</v>
      </c>
      <c r="B28" s="1115">
        <f>'Proposed Lighting'!B33</f>
        <v>0</v>
      </c>
      <c r="C28" s="1085">
        <f>IF(A28&gt;0.01,'Proposed Lighting'!T33,0)</f>
        <v>0</v>
      </c>
      <c r="D28" s="1086">
        <f>IF('Proposed Lighting'!$CB$309&gt;0.01,'Proposed Lighting'!EM33,0)</f>
        <v>0</v>
      </c>
      <c r="E28" s="1086">
        <f>IF('Proposed Lighting'!$CB$309&gt;0.01,'Proposed Lighting'!EN33,0)</f>
        <v>0</v>
      </c>
      <c r="F28" s="1086">
        <f>IF('Proposed Lighting'!$CB$309&gt;0.01,'Proposed Lighting'!EO33,0)</f>
        <v>0</v>
      </c>
      <c r="G28" s="1086">
        <f>IF('Proposed Lighting'!$CB$309&gt;0.01,'Proposed Lighting'!EP33,0)</f>
        <v>0</v>
      </c>
      <c r="H28" s="1086">
        <f>IF('Proposed Lighting'!$CB$309&gt;0.01,'Proposed Lighting'!EQ33,0)</f>
        <v>0</v>
      </c>
      <c r="I28" s="1045"/>
    </row>
    <row r="29" spans="1:9" ht="46.5" customHeight="1">
      <c r="A29" s="1115">
        <f>IF('Proposed Lighting'!BZ34&gt;0.01,'Proposed Lighting'!A34,IF('Proposed Lighting'!CA34&gt;0.01,'Proposed Lighting'!A34,0))</f>
        <v>0</v>
      </c>
      <c r="B29" s="1115">
        <f>'Proposed Lighting'!B34</f>
        <v>0</v>
      </c>
      <c r="C29" s="1085">
        <f>IF(A29&gt;0.01,'Proposed Lighting'!T34,0)</f>
        <v>0</v>
      </c>
      <c r="D29" s="1086">
        <f>IF('Proposed Lighting'!$CB$309&gt;0.01,'Proposed Lighting'!EM34,0)</f>
        <v>0</v>
      </c>
      <c r="E29" s="1086">
        <f>IF('Proposed Lighting'!$CB$309&gt;0.01,'Proposed Lighting'!EN34,0)</f>
        <v>0</v>
      </c>
      <c r="F29" s="1086">
        <f>IF('Proposed Lighting'!$CB$309&gt;0.01,'Proposed Lighting'!EO34,0)</f>
        <v>0</v>
      </c>
      <c r="G29" s="1086">
        <f>IF('Proposed Lighting'!$CB$309&gt;0.01,'Proposed Lighting'!EP34,0)</f>
        <v>0</v>
      </c>
      <c r="H29" s="1086">
        <f>IF('Proposed Lighting'!$CB$309&gt;0.01,'Proposed Lighting'!EQ34,0)</f>
        <v>0</v>
      </c>
      <c r="I29" s="1045"/>
    </row>
    <row r="30" spans="1:9" ht="46.5" customHeight="1">
      <c r="A30" s="1115">
        <f>IF('Proposed Lighting'!BZ35&gt;0.01,'Proposed Lighting'!A35,IF('Proposed Lighting'!CA35&gt;0.01,'Proposed Lighting'!A35,0))</f>
        <v>0</v>
      </c>
      <c r="B30" s="1115">
        <f>'Proposed Lighting'!B35</f>
        <v>0</v>
      </c>
      <c r="C30" s="1085">
        <f>IF(A30&gt;0.01,'Proposed Lighting'!T35,0)</f>
        <v>0</v>
      </c>
      <c r="D30" s="1086">
        <f>IF('Proposed Lighting'!$CB$309&gt;0.01,'Proposed Lighting'!EM35,0)</f>
        <v>0</v>
      </c>
      <c r="E30" s="1086">
        <f>IF('Proposed Lighting'!$CB$309&gt;0.01,'Proposed Lighting'!EN35,0)</f>
        <v>0</v>
      </c>
      <c r="F30" s="1086">
        <f>IF('Proposed Lighting'!$CB$309&gt;0.01,'Proposed Lighting'!EO35,0)</f>
        <v>0</v>
      </c>
      <c r="G30" s="1086">
        <f>IF('Proposed Lighting'!$CB$309&gt;0.01,'Proposed Lighting'!EP35,0)</f>
        <v>0</v>
      </c>
      <c r="H30" s="1086">
        <f>IF('Proposed Lighting'!$CB$309&gt;0.01,'Proposed Lighting'!EQ35,0)</f>
        <v>0</v>
      </c>
      <c r="I30" s="1045"/>
    </row>
    <row r="31" spans="1:9" ht="46.5" customHeight="1">
      <c r="A31" s="1115">
        <f>IF('Proposed Lighting'!BZ36&gt;0.01,'Proposed Lighting'!A36,IF('Proposed Lighting'!CA36&gt;0.01,'Proposed Lighting'!A36,0))</f>
        <v>0</v>
      </c>
      <c r="B31" s="1115">
        <f>'Proposed Lighting'!B36</f>
        <v>0</v>
      </c>
      <c r="C31" s="1085">
        <f>IF(A31&gt;0.01,'Proposed Lighting'!T36,0)</f>
        <v>0</v>
      </c>
      <c r="D31" s="1086">
        <f>IF('Proposed Lighting'!$CB$309&gt;0.01,'Proposed Lighting'!EM36,0)</f>
        <v>0</v>
      </c>
      <c r="E31" s="1086">
        <f>IF('Proposed Lighting'!$CB$309&gt;0.01,'Proposed Lighting'!EN36,0)</f>
        <v>0</v>
      </c>
      <c r="F31" s="1086">
        <f>IF('Proposed Lighting'!$CB$309&gt;0.01,'Proposed Lighting'!EO36,0)</f>
        <v>0</v>
      </c>
      <c r="G31" s="1086">
        <f>IF('Proposed Lighting'!$CB$309&gt;0.01,'Proposed Lighting'!EP36,0)</f>
        <v>0</v>
      </c>
      <c r="H31" s="1086">
        <f>IF('Proposed Lighting'!$CB$309&gt;0.01,'Proposed Lighting'!EQ36,0)</f>
        <v>0</v>
      </c>
      <c r="I31" s="1045"/>
    </row>
    <row r="32" spans="1:9" ht="46.5" customHeight="1">
      <c r="A32" s="1115">
        <f>IF('Proposed Lighting'!BZ37&gt;0.01,'Proposed Lighting'!A37,IF('Proposed Lighting'!CA37&gt;0.01,'Proposed Lighting'!A37,0))</f>
        <v>0</v>
      </c>
      <c r="B32" s="1115">
        <f>'Proposed Lighting'!B37</f>
        <v>0</v>
      </c>
      <c r="C32" s="1085">
        <f>IF(A32&gt;0.01,'Proposed Lighting'!T37,0)</f>
        <v>0</v>
      </c>
      <c r="D32" s="1086">
        <f>IF('Proposed Lighting'!$CB$309&gt;0.01,'Proposed Lighting'!EM37,0)</f>
        <v>0</v>
      </c>
      <c r="E32" s="1086">
        <f>IF('Proposed Lighting'!$CB$309&gt;0.01,'Proposed Lighting'!EN37,0)</f>
        <v>0</v>
      </c>
      <c r="F32" s="1086">
        <f>IF('Proposed Lighting'!$CB$309&gt;0.01,'Proposed Lighting'!EO37,0)</f>
        <v>0</v>
      </c>
      <c r="G32" s="1086">
        <f>IF('Proposed Lighting'!$CB$309&gt;0.01,'Proposed Lighting'!EP37,0)</f>
        <v>0</v>
      </c>
      <c r="H32" s="1086">
        <f>IF('Proposed Lighting'!$CB$309&gt;0.01,'Proposed Lighting'!EQ37,0)</f>
        <v>0</v>
      </c>
      <c r="I32" s="1045"/>
    </row>
    <row r="33" spans="1:9" ht="46.5" customHeight="1">
      <c r="A33" s="1115">
        <f>IF('Proposed Lighting'!BZ38&gt;0.01,'Proposed Lighting'!A38,IF('Proposed Lighting'!CA38&gt;0.01,'Proposed Lighting'!A38,0))</f>
        <v>0</v>
      </c>
      <c r="B33" s="1115">
        <f>'Proposed Lighting'!B38</f>
        <v>0</v>
      </c>
      <c r="C33" s="1085">
        <f>IF(A33&gt;0.01,'Proposed Lighting'!T38,0)</f>
        <v>0</v>
      </c>
      <c r="D33" s="1086">
        <f>IF('Proposed Lighting'!$CB$309&gt;0.01,'Proposed Lighting'!EM38,0)</f>
        <v>0</v>
      </c>
      <c r="E33" s="1086">
        <f>IF('Proposed Lighting'!$CB$309&gt;0.01,'Proposed Lighting'!EN38,0)</f>
        <v>0</v>
      </c>
      <c r="F33" s="1086">
        <f>IF('Proposed Lighting'!$CB$309&gt;0.01,'Proposed Lighting'!EO38,0)</f>
        <v>0</v>
      </c>
      <c r="G33" s="1086">
        <f>IF('Proposed Lighting'!$CB$309&gt;0.01,'Proposed Lighting'!EP38,0)</f>
        <v>0</v>
      </c>
      <c r="H33" s="1086">
        <f>IF('Proposed Lighting'!$CB$309&gt;0.01,'Proposed Lighting'!EQ38,0)</f>
        <v>0</v>
      </c>
      <c r="I33" s="1045"/>
    </row>
    <row r="34" spans="1:9" ht="46.5" customHeight="1">
      <c r="A34" s="1115">
        <f>IF('Proposed Lighting'!BZ39&gt;0.01,'Proposed Lighting'!A39,IF('Proposed Lighting'!CA39&gt;0.01,'Proposed Lighting'!A39,0))</f>
        <v>0</v>
      </c>
      <c r="B34" s="1115">
        <f>'Proposed Lighting'!B39</f>
        <v>0</v>
      </c>
      <c r="C34" s="1085">
        <f>IF(A34&gt;0.01,'Proposed Lighting'!T39,0)</f>
        <v>0</v>
      </c>
      <c r="D34" s="1086">
        <f>IF('Proposed Lighting'!$CB$309&gt;0.01,'Proposed Lighting'!EM39,0)</f>
        <v>0</v>
      </c>
      <c r="E34" s="1086">
        <f>IF('Proposed Lighting'!$CB$309&gt;0.01,'Proposed Lighting'!EN39,0)</f>
        <v>0</v>
      </c>
      <c r="F34" s="1086">
        <f>IF('Proposed Lighting'!$CB$309&gt;0.01,'Proposed Lighting'!EO39,0)</f>
        <v>0</v>
      </c>
      <c r="G34" s="1086">
        <f>IF('Proposed Lighting'!$CB$309&gt;0.01,'Proposed Lighting'!EP39,0)</f>
        <v>0</v>
      </c>
      <c r="H34" s="1086">
        <f>IF('Proposed Lighting'!$CB$309&gt;0.01,'Proposed Lighting'!EQ39,0)</f>
        <v>0</v>
      </c>
      <c r="I34" s="1045"/>
    </row>
    <row r="35" spans="1:9" ht="46.5" customHeight="1">
      <c r="A35" s="1115">
        <f>IF('Proposed Lighting'!BZ40&gt;0.01,'Proposed Lighting'!A40,IF('Proposed Lighting'!CA40&gt;0.01,'Proposed Lighting'!A40,0))</f>
        <v>0</v>
      </c>
      <c r="B35" s="1115">
        <f>'Proposed Lighting'!B40</f>
        <v>0</v>
      </c>
      <c r="C35" s="1085">
        <f>IF(A35&gt;0.01,'Proposed Lighting'!T40,0)</f>
        <v>0</v>
      </c>
      <c r="D35" s="1086">
        <f>IF('Proposed Lighting'!$CB$309&gt;0.01,'Proposed Lighting'!EM40,0)</f>
        <v>0</v>
      </c>
      <c r="E35" s="1086">
        <f>IF('Proposed Lighting'!$CB$309&gt;0.01,'Proposed Lighting'!EN40,0)</f>
        <v>0</v>
      </c>
      <c r="F35" s="1086">
        <f>IF('Proposed Lighting'!$CB$309&gt;0.01,'Proposed Lighting'!EO40,0)</f>
        <v>0</v>
      </c>
      <c r="G35" s="1086">
        <f>IF('Proposed Lighting'!$CB$309&gt;0.01,'Proposed Lighting'!EP40,0)</f>
        <v>0</v>
      </c>
      <c r="H35" s="1086">
        <f>IF('Proposed Lighting'!$CB$309&gt;0.01,'Proposed Lighting'!EQ40,0)</f>
        <v>0</v>
      </c>
      <c r="I35" s="1045"/>
    </row>
    <row r="36" spans="1:9" ht="46.5" customHeight="1">
      <c r="A36" s="1115">
        <f>IF('Proposed Lighting'!BZ41&gt;0.01,'Proposed Lighting'!A41,IF('Proposed Lighting'!CA41&gt;0.01,'Proposed Lighting'!A41,0))</f>
        <v>0</v>
      </c>
      <c r="B36" s="1115">
        <f>'Proposed Lighting'!B41</f>
        <v>0</v>
      </c>
      <c r="C36" s="1085">
        <f>IF(A36&gt;0.01,'Proposed Lighting'!T41,0)</f>
        <v>0</v>
      </c>
      <c r="D36" s="1086">
        <f>IF('Proposed Lighting'!$CB$309&gt;0.01,'Proposed Lighting'!EM41,0)</f>
        <v>0</v>
      </c>
      <c r="E36" s="1086">
        <f>IF('Proposed Lighting'!$CB$309&gt;0.01,'Proposed Lighting'!EN41,0)</f>
        <v>0</v>
      </c>
      <c r="F36" s="1086">
        <f>IF('Proposed Lighting'!$CB$309&gt;0.01,'Proposed Lighting'!EO41,0)</f>
        <v>0</v>
      </c>
      <c r="G36" s="1086">
        <f>IF('Proposed Lighting'!$CB$309&gt;0.01,'Proposed Lighting'!EP41,0)</f>
        <v>0</v>
      </c>
      <c r="H36" s="1086">
        <f>IF('Proposed Lighting'!$CB$309&gt;0.01,'Proposed Lighting'!EQ41,0)</f>
        <v>0</v>
      </c>
      <c r="I36" s="1045"/>
    </row>
    <row r="37" spans="1:9" ht="46.5" customHeight="1">
      <c r="A37" s="1115">
        <f>IF('Proposed Lighting'!BZ42&gt;0.01,'Proposed Lighting'!A42,IF('Proposed Lighting'!CA42&gt;0.01,'Proposed Lighting'!A42,0))</f>
        <v>0</v>
      </c>
      <c r="B37" s="1115">
        <f>'Proposed Lighting'!B42</f>
        <v>0</v>
      </c>
      <c r="C37" s="1085">
        <f>IF(A37&gt;0.01,'Proposed Lighting'!T42,0)</f>
        <v>0</v>
      </c>
      <c r="D37" s="1086">
        <f>IF('Proposed Lighting'!$CB$309&gt;0.01,'Proposed Lighting'!EM42,0)</f>
        <v>0</v>
      </c>
      <c r="E37" s="1086">
        <f>IF('Proposed Lighting'!$CB$309&gt;0.01,'Proposed Lighting'!EN42,0)</f>
        <v>0</v>
      </c>
      <c r="F37" s="1086">
        <f>IF('Proposed Lighting'!$CB$309&gt;0.01,'Proposed Lighting'!EO42,0)</f>
        <v>0</v>
      </c>
      <c r="G37" s="1086">
        <f>IF('Proposed Lighting'!$CB$309&gt;0.01,'Proposed Lighting'!EP42,0)</f>
        <v>0</v>
      </c>
      <c r="H37" s="1086">
        <f>IF('Proposed Lighting'!$CB$309&gt;0.01,'Proposed Lighting'!EQ42,0)</f>
        <v>0</v>
      </c>
      <c r="I37" s="1045"/>
    </row>
    <row r="38" spans="1:9" ht="46.5" customHeight="1">
      <c r="A38" s="1115">
        <f>IF('Proposed Lighting'!BZ43&gt;0.01,'Proposed Lighting'!A43,IF('Proposed Lighting'!CA43&gt;0.01,'Proposed Lighting'!A43,0))</f>
        <v>0</v>
      </c>
      <c r="B38" s="1115">
        <f>'Proposed Lighting'!B43</f>
        <v>0</v>
      </c>
      <c r="C38" s="1085">
        <f>IF(A38&gt;0.01,'Proposed Lighting'!T43,0)</f>
        <v>0</v>
      </c>
      <c r="D38" s="1086">
        <f>IF('Proposed Lighting'!$CB$309&gt;0.01,'Proposed Lighting'!EM43,0)</f>
        <v>0</v>
      </c>
      <c r="E38" s="1086">
        <f>IF('Proposed Lighting'!$CB$309&gt;0.01,'Proposed Lighting'!EN43,0)</f>
        <v>0</v>
      </c>
      <c r="F38" s="1086">
        <f>IF('Proposed Lighting'!$CB$309&gt;0.01,'Proposed Lighting'!EO43,0)</f>
        <v>0</v>
      </c>
      <c r="G38" s="1086">
        <f>IF('Proposed Lighting'!$CB$309&gt;0.01,'Proposed Lighting'!EP43,0)</f>
        <v>0</v>
      </c>
      <c r="H38" s="1086">
        <f>IF('Proposed Lighting'!$CB$309&gt;0.01,'Proposed Lighting'!EQ43,0)</f>
        <v>0</v>
      </c>
      <c r="I38" s="1045"/>
    </row>
    <row r="39" spans="1:9" ht="46.5" customHeight="1">
      <c r="A39" s="1115">
        <f>IF('Proposed Lighting'!BZ44&gt;0.01,'Proposed Lighting'!A44,IF('Proposed Lighting'!CA44&gt;0.01,'Proposed Lighting'!A44,0))</f>
        <v>0</v>
      </c>
      <c r="B39" s="1115">
        <f>'Proposed Lighting'!B44</f>
        <v>0</v>
      </c>
      <c r="C39" s="1085">
        <f>IF(A39&gt;0.01,'Proposed Lighting'!T44,0)</f>
        <v>0</v>
      </c>
      <c r="D39" s="1086">
        <f>IF('Proposed Lighting'!$CB$309&gt;0.01,'Proposed Lighting'!EM44,0)</f>
        <v>0</v>
      </c>
      <c r="E39" s="1086">
        <f>IF('Proposed Lighting'!$CB$309&gt;0.01,'Proposed Lighting'!EN44,0)</f>
        <v>0</v>
      </c>
      <c r="F39" s="1086">
        <f>IF('Proposed Lighting'!$CB$309&gt;0.01,'Proposed Lighting'!EO44,0)</f>
        <v>0</v>
      </c>
      <c r="G39" s="1086">
        <f>IF('Proposed Lighting'!$CB$309&gt;0.01,'Proposed Lighting'!EP44,0)</f>
        <v>0</v>
      </c>
      <c r="H39" s="1086">
        <f>IF('Proposed Lighting'!$CB$309&gt;0.01,'Proposed Lighting'!EQ44,0)</f>
        <v>0</v>
      </c>
      <c r="I39" s="1045"/>
    </row>
    <row r="40" spans="1:9" ht="46.5" customHeight="1">
      <c r="A40" s="1115">
        <f>IF('Proposed Lighting'!BZ45&gt;0.01,'Proposed Lighting'!A45,IF('Proposed Lighting'!CA45&gt;0.01,'Proposed Lighting'!A45,0))</f>
        <v>0</v>
      </c>
      <c r="B40" s="1115">
        <f>'Proposed Lighting'!B45</f>
        <v>0</v>
      </c>
      <c r="C40" s="1085">
        <f>IF(A40&gt;0.01,'Proposed Lighting'!T45,0)</f>
        <v>0</v>
      </c>
      <c r="D40" s="1086">
        <f>IF('Proposed Lighting'!$CB$309&gt;0.01,'Proposed Lighting'!EM45,0)</f>
        <v>0</v>
      </c>
      <c r="E40" s="1086">
        <f>IF('Proposed Lighting'!$CB$309&gt;0.01,'Proposed Lighting'!EN45,0)</f>
        <v>0</v>
      </c>
      <c r="F40" s="1086">
        <f>IF('Proposed Lighting'!$CB$309&gt;0.01,'Proposed Lighting'!EO45,0)</f>
        <v>0</v>
      </c>
      <c r="G40" s="1086">
        <f>IF('Proposed Lighting'!$CB$309&gt;0.01,'Proposed Lighting'!EP45,0)</f>
        <v>0</v>
      </c>
      <c r="H40" s="1086">
        <f>IF('Proposed Lighting'!$CB$309&gt;0.01,'Proposed Lighting'!EQ45,0)</f>
        <v>0</v>
      </c>
      <c r="I40" s="1045"/>
    </row>
    <row r="41" spans="1:9" ht="46.5" customHeight="1">
      <c r="A41" s="1115">
        <f>IF('Proposed Lighting'!BZ46&gt;0.01,'Proposed Lighting'!A46,IF('Proposed Lighting'!CA46&gt;0.01,'Proposed Lighting'!A46,0))</f>
        <v>0</v>
      </c>
      <c r="B41" s="1115">
        <f>'Proposed Lighting'!B46</f>
        <v>0</v>
      </c>
      <c r="C41" s="1085">
        <f>IF(A41&gt;0.01,'Proposed Lighting'!T46,0)</f>
        <v>0</v>
      </c>
      <c r="D41" s="1086">
        <f>IF('Proposed Lighting'!$CB$309&gt;0.01,'Proposed Lighting'!EM46,0)</f>
        <v>0</v>
      </c>
      <c r="E41" s="1086">
        <f>IF('Proposed Lighting'!$CB$309&gt;0.01,'Proposed Lighting'!EN46,0)</f>
        <v>0</v>
      </c>
      <c r="F41" s="1086">
        <f>IF('Proposed Lighting'!$CB$309&gt;0.01,'Proposed Lighting'!EO46,0)</f>
        <v>0</v>
      </c>
      <c r="G41" s="1086">
        <f>IF('Proposed Lighting'!$CB$309&gt;0.01,'Proposed Lighting'!EP46,0)</f>
        <v>0</v>
      </c>
      <c r="H41" s="1086">
        <f>IF('Proposed Lighting'!$CB$309&gt;0.01,'Proposed Lighting'!EQ46,0)</f>
        <v>0</v>
      </c>
      <c r="I41" s="1045"/>
    </row>
    <row r="42" spans="1:9" ht="46.5" customHeight="1">
      <c r="A42" s="1115">
        <f>IF('Proposed Lighting'!BZ47&gt;0.01,'Proposed Lighting'!A47,IF('Proposed Lighting'!CA47&gt;0.01,'Proposed Lighting'!A47,0))</f>
        <v>0</v>
      </c>
      <c r="B42" s="1115">
        <f>'Proposed Lighting'!B47</f>
        <v>0</v>
      </c>
      <c r="C42" s="1085">
        <f>IF(A42&gt;0.01,'Proposed Lighting'!T47,0)</f>
        <v>0</v>
      </c>
      <c r="D42" s="1086">
        <f>IF('Proposed Lighting'!$CB$309&gt;0.01,'Proposed Lighting'!EM47,0)</f>
        <v>0</v>
      </c>
      <c r="E42" s="1086">
        <f>IF('Proposed Lighting'!$CB$309&gt;0.01,'Proposed Lighting'!EN47,0)</f>
        <v>0</v>
      </c>
      <c r="F42" s="1086">
        <f>IF('Proposed Lighting'!$CB$309&gt;0.01,'Proposed Lighting'!EO47,0)</f>
        <v>0</v>
      </c>
      <c r="G42" s="1086">
        <f>IF('Proposed Lighting'!$CB$309&gt;0.01,'Proposed Lighting'!EP47,0)</f>
        <v>0</v>
      </c>
      <c r="H42" s="1086">
        <f>IF('Proposed Lighting'!$CB$309&gt;0.01,'Proposed Lighting'!EQ47,0)</f>
        <v>0</v>
      </c>
      <c r="I42" s="1045"/>
    </row>
    <row r="43" spans="1:9" ht="46.5" customHeight="1">
      <c r="A43" s="1115">
        <f>IF('Proposed Lighting'!BZ48&gt;0.01,'Proposed Lighting'!A48,IF('Proposed Lighting'!CA48&gt;0.01,'Proposed Lighting'!A48,0))</f>
        <v>0</v>
      </c>
      <c r="B43" s="1115">
        <f>'Proposed Lighting'!B48</f>
        <v>0</v>
      </c>
      <c r="C43" s="1085">
        <f>IF(A43&gt;0.01,'Proposed Lighting'!T48,0)</f>
        <v>0</v>
      </c>
      <c r="D43" s="1086">
        <f>IF('Proposed Lighting'!$CB$309&gt;0.01,'Proposed Lighting'!EM48,0)</f>
        <v>0</v>
      </c>
      <c r="E43" s="1086">
        <f>IF('Proposed Lighting'!$CB$309&gt;0.01,'Proposed Lighting'!EN48,0)</f>
        <v>0</v>
      </c>
      <c r="F43" s="1086">
        <f>IF('Proposed Lighting'!$CB$309&gt;0.01,'Proposed Lighting'!EO48,0)</f>
        <v>0</v>
      </c>
      <c r="G43" s="1086">
        <f>IF('Proposed Lighting'!$CB$309&gt;0.01,'Proposed Lighting'!EP48,0)</f>
        <v>0</v>
      </c>
      <c r="H43" s="1086">
        <f>IF('Proposed Lighting'!$CB$309&gt;0.01,'Proposed Lighting'!EQ48,0)</f>
        <v>0</v>
      </c>
      <c r="I43" s="1045"/>
    </row>
    <row r="44" spans="1:9" ht="46.5" customHeight="1">
      <c r="A44" s="1115">
        <f>IF('Proposed Lighting'!BZ49&gt;0.01,'Proposed Lighting'!A49,IF('Proposed Lighting'!CA49&gt;0.01,'Proposed Lighting'!A49,0))</f>
        <v>0</v>
      </c>
      <c r="B44" s="1115">
        <f>'Proposed Lighting'!B49</f>
        <v>0</v>
      </c>
      <c r="C44" s="1085">
        <f>IF(A44&gt;0.01,'Proposed Lighting'!T49,0)</f>
        <v>0</v>
      </c>
      <c r="D44" s="1086">
        <f>IF('Proposed Lighting'!$CB$309&gt;0.01,'Proposed Lighting'!EM49,0)</f>
        <v>0</v>
      </c>
      <c r="E44" s="1086">
        <f>IF('Proposed Lighting'!$CB$309&gt;0.01,'Proposed Lighting'!EN49,0)</f>
        <v>0</v>
      </c>
      <c r="F44" s="1086">
        <f>IF('Proposed Lighting'!$CB$309&gt;0.01,'Proposed Lighting'!EO49,0)</f>
        <v>0</v>
      </c>
      <c r="G44" s="1086">
        <f>IF('Proposed Lighting'!$CB$309&gt;0.01,'Proposed Lighting'!EP49,0)</f>
        <v>0</v>
      </c>
      <c r="H44" s="1086">
        <f>IF('Proposed Lighting'!$CB$309&gt;0.01,'Proposed Lighting'!EQ49,0)</f>
        <v>0</v>
      </c>
      <c r="I44" s="1045"/>
    </row>
    <row r="45" spans="1:9" ht="46.5" customHeight="1">
      <c r="A45" s="1115">
        <f>IF('Proposed Lighting'!BZ50&gt;0.01,'Proposed Lighting'!A50,IF('Proposed Lighting'!CA50&gt;0.01,'Proposed Lighting'!A50,0))</f>
        <v>0</v>
      </c>
      <c r="B45" s="1115">
        <f>'Proposed Lighting'!B50</f>
        <v>0</v>
      </c>
      <c r="C45" s="1085">
        <f>IF(A45&gt;0.01,'Proposed Lighting'!T50,0)</f>
        <v>0</v>
      </c>
      <c r="D45" s="1086">
        <f>IF('Proposed Lighting'!$CB$309&gt;0.01,'Proposed Lighting'!EM50,0)</f>
        <v>0</v>
      </c>
      <c r="E45" s="1086">
        <f>IF('Proposed Lighting'!$CB$309&gt;0.01,'Proposed Lighting'!EN50,0)</f>
        <v>0</v>
      </c>
      <c r="F45" s="1086">
        <f>IF('Proposed Lighting'!$CB$309&gt;0.01,'Proposed Lighting'!EO50,0)</f>
        <v>0</v>
      </c>
      <c r="G45" s="1086">
        <f>IF('Proposed Lighting'!$CB$309&gt;0.01,'Proposed Lighting'!EP50,0)</f>
        <v>0</v>
      </c>
      <c r="H45" s="1086">
        <f>IF('Proposed Lighting'!$CB$309&gt;0.01,'Proposed Lighting'!EQ50,0)</f>
        <v>0</v>
      </c>
      <c r="I45" s="1045"/>
    </row>
    <row r="46" spans="1:9" ht="46.5" customHeight="1">
      <c r="A46" s="1115">
        <f>IF('Proposed Lighting'!BZ51&gt;0.01,'Proposed Lighting'!A51,IF('Proposed Lighting'!CA51&gt;0.01,'Proposed Lighting'!A51,0))</f>
        <v>0</v>
      </c>
      <c r="B46" s="1115">
        <f>'Proposed Lighting'!B51</f>
        <v>0</v>
      </c>
      <c r="C46" s="1085">
        <f>IF(A46&gt;0.01,'Proposed Lighting'!T51,0)</f>
        <v>0</v>
      </c>
      <c r="D46" s="1086">
        <f>IF('Proposed Lighting'!$CB$309&gt;0.01,'Proposed Lighting'!EM51,0)</f>
        <v>0</v>
      </c>
      <c r="E46" s="1086">
        <f>IF('Proposed Lighting'!$CB$309&gt;0.01,'Proposed Lighting'!EN51,0)</f>
        <v>0</v>
      </c>
      <c r="F46" s="1086">
        <f>IF('Proposed Lighting'!$CB$309&gt;0.01,'Proposed Lighting'!EO51,0)</f>
        <v>0</v>
      </c>
      <c r="G46" s="1086">
        <f>IF('Proposed Lighting'!$CB$309&gt;0.01,'Proposed Lighting'!EP51,0)</f>
        <v>0</v>
      </c>
      <c r="H46" s="1086">
        <f>IF('Proposed Lighting'!$CB$309&gt;0.01,'Proposed Lighting'!EQ51,0)</f>
        <v>0</v>
      </c>
      <c r="I46" s="1045"/>
    </row>
    <row r="47" spans="1:9" ht="46.5" customHeight="1">
      <c r="A47" s="1115">
        <f>IF('Proposed Lighting'!BZ52&gt;0.01,'Proposed Lighting'!A52,IF('Proposed Lighting'!CA52&gt;0.01,'Proposed Lighting'!A52,0))</f>
        <v>0</v>
      </c>
      <c r="B47" s="1115">
        <f>'Proposed Lighting'!B52</f>
        <v>0</v>
      </c>
      <c r="C47" s="1085">
        <f>IF(A47&gt;0.01,'Proposed Lighting'!T52,0)</f>
        <v>0</v>
      </c>
      <c r="D47" s="1086">
        <f>IF('Proposed Lighting'!$CB$309&gt;0.01,'Proposed Lighting'!EM52,0)</f>
        <v>0</v>
      </c>
      <c r="E47" s="1086">
        <f>IF('Proposed Lighting'!$CB$309&gt;0.01,'Proposed Lighting'!EN52,0)</f>
        <v>0</v>
      </c>
      <c r="F47" s="1086">
        <f>IF('Proposed Lighting'!$CB$309&gt;0.01,'Proposed Lighting'!EO52,0)</f>
        <v>0</v>
      </c>
      <c r="G47" s="1086">
        <f>IF('Proposed Lighting'!$CB$309&gt;0.01,'Proposed Lighting'!EP52,0)</f>
        <v>0</v>
      </c>
      <c r="H47" s="1086">
        <f>IF('Proposed Lighting'!$CB$309&gt;0.01,'Proposed Lighting'!EQ52,0)</f>
        <v>0</v>
      </c>
      <c r="I47" s="1045"/>
    </row>
    <row r="48" spans="1:9" ht="46.5" customHeight="1">
      <c r="A48" s="1115">
        <f>IF('Proposed Lighting'!BZ53&gt;0.01,'Proposed Lighting'!A53,IF('Proposed Lighting'!CA53&gt;0.01,'Proposed Lighting'!A53,0))</f>
        <v>0</v>
      </c>
      <c r="B48" s="1115">
        <f>'Proposed Lighting'!B53</f>
        <v>0</v>
      </c>
      <c r="C48" s="1085">
        <f>IF(A48&gt;0.01,'Proposed Lighting'!T53,0)</f>
        <v>0</v>
      </c>
      <c r="D48" s="1086">
        <f>IF('Proposed Lighting'!$CB$309&gt;0.01,'Proposed Lighting'!EM53,0)</f>
        <v>0</v>
      </c>
      <c r="E48" s="1086">
        <f>IF('Proposed Lighting'!$CB$309&gt;0.01,'Proposed Lighting'!EN53,0)</f>
        <v>0</v>
      </c>
      <c r="F48" s="1086">
        <f>IF('Proposed Lighting'!$CB$309&gt;0.01,'Proposed Lighting'!EO53,0)</f>
        <v>0</v>
      </c>
      <c r="G48" s="1086">
        <f>IF('Proposed Lighting'!$CB$309&gt;0.01,'Proposed Lighting'!EP53,0)</f>
        <v>0</v>
      </c>
      <c r="H48" s="1086">
        <f>IF('Proposed Lighting'!$CB$309&gt;0.01,'Proposed Lighting'!EQ53,0)</f>
        <v>0</v>
      </c>
      <c r="I48" s="1045"/>
    </row>
    <row r="49" spans="1:9" ht="46.5" customHeight="1">
      <c r="A49" s="1115">
        <f>IF('Proposed Lighting'!BZ54&gt;0.01,'Proposed Lighting'!A54,IF('Proposed Lighting'!CA54&gt;0.01,'Proposed Lighting'!A54,0))</f>
        <v>0</v>
      </c>
      <c r="B49" s="1115">
        <f>'Proposed Lighting'!B54</f>
        <v>0</v>
      </c>
      <c r="C49" s="1085">
        <f>IF(A49&gt;0.01,'Proposed Lighting'!T54,0)</f>
        <v>0</v>
      </c>
      <c r="D49" s="1086">
        <f>IF('Proposed Lighting'!$CB$309&gt;0.01,'Proposed Lighting'!EM54,0)</f>
        <v>0</v>
      </c>
      <c r="E49" s="1086">
        <f>IF('Proposed Lighting'!$CB$309&gt;0.01,'Proposed Lighting'!EN54,0)</f>
        <v>0</v>
      </c>
      <c r="F49" s="1086">
        <f>IF('Proposed Lighting'!$CB$309&gt;0.01,'Proposed Lighting'!EO54,0)</f>
        <v>0</v>
      </c>
      <c r="G49" s="1086">
        <f>IF('Proposed Lighting'!$CB$309&gt;0.01,'Proposed Lighting'!EP54,0)</f>
        <v>0</v>
      </c>
      <c r="H49" s="1086">
        <f>IF('Proposed Lighting'!$CB$309&gt;0.01,'Proposed Lighting'!EQ54,0)</f>
        <v>0</v>
      </c>
      <c r="I49" s="1045"/>
    </row>
    <row r="50" spans="1:9" ht="46.5" customHeight="1">
      <c r="A50" s="1115">
        <f>IF('Proposed Lighting'!BZ55&gt;0.01,'Proposed Lighting'!A55,IF('Proposed Lighting'!CA55&gt;0.01,'Proposed Lighting'!A55,0))</f>
        <v>0</v>
      </c>
      <c r="B50" s="1115">
        <f>'Proposed Lighting'!B55</f>
        <v>0</v>
      </c>
      <c r="C50" s="1085">
        <f>IF(A50&gt;0.01,'Proposed Lighting'!T55,0)</f>
        <v>0</v>
      </c>
      <c r="D50" s="1086">
        <f>IF('Proposed Lighting'!$CB$309&gt;0.01,'Proposed Lighting'!EM55,0)</f>
        <v>0</v>
      </c>
      <c r="E50" s="1086">
        <f>IF('Proposed Lighting'!$CB$309&gt;0.01,'Proposed Lighting'!EN55,0)</f>
        <v>0</v>
      </c>
      <c r="F50" s="1086">
        <f>IF('Proposed Lighting'!$CB$309&gt;0.01,'Proposed Lighting'!EO55,0)</f>
        <v>0</v>
      </c>
      <c r="G50" s="1086">
        <f>IF('Proposed Lighting'!$CB$309&gt;0.01,'Proposed Lighting'!EP55,0)</f>
        <v>0</v>
      </c>
      <c r="H50" s="1086">
        <f>IF('Proposed Lighting'!$CB$309&gt;0.01,'Proposed Lighting'!EQ55,0)</f>
        <v>0</v>
      </c>
      <c r="I50" s="1045"/>
    </row>
    <row r="51" spans="1:9" ht="46.5" customHeight="1">
      <c r="A51" s="1115">
        <f>IF('Proposed Lighting'!BZ56&gt;0.01,'Proposed Lighting'!A56,IF('Proposed Lighting'!CA56&gt;0.01,'Proposed Lighting'!A56,0))</f>
        <v>0</v>
      </c>
      <c r="B51" s="1115">
        <f>'Proposed Lighting'!B56</f>
        <v>0</v>
      </c>
      <c r="C51" s="1085">
        <f>IF(A51&gt;0.01,'Proposed Lighting'!T56,0)</f>
        <v>0</v>
      </c>
      <c r="D51" s="1086">
        <f>IF('Proposed Lighting'!$CB$309&gt;0.01,'Proposed Lighting'!EM56,0)</f>
        <v>0</v>
      </c>
      <c r="E51" s="1086">
        <f>IF('Proposed Lighting'!$CB$309&gt;0.01,'Proposed Lighting'!EN56,0)</f>
        <v>0</v>
      </c>
      <c r="F51" s="1086">
        <f>IF('Proposed Lighting'!$CB$309&gt;0.01,'Proposed Lighting'!EO56,0)</f>
        <v>0</v>
      </c>
      <c r="G51" s="1086">
        <f>IF('Proposed Lighting'!$CB$309&gt;0.01,'Proposed Lighting'!EP56,0)</f>
        <v>0</v>
      </c>
      <c r="H51" s="1086">
        <f>IF('Proposed Lighting'!$CB$309&gt;0.01,'Proposed Lighting'!EQ56,0)</f>
        <v>0</v>
      </c>
      <c r="I51" s="1045"/>
    </row>
    <row r="52" spans="1:9" ht="46.5" customHeight="1">
      <c r="A52" s="1115">
        <f>IF('Proposed Lighting'!BZ57&gt;0.01,'Proposed Lighting'!A57,IF('Proposed Lighting'!CA57&gt;0.01,'Proposed Lighting'!A57,0))</f>
        <v>0</v>
      </c>
      <c r="B52" s="1115">
        <f>'Proposed Lighting'!B57</f>
        <v>0</v>
      </c>
      <c r="C52" s="1085">
        <f>IF(A52&gt;0.01,'Proposed Lighting'!T57,0)</f>
        <v>0</v>
      </c>
      <c r="D52" s="1086">
        <f>IF('Proposed Lighting'!$CB$309&gt;0.01,'Proposed Lighting'!EM57,0)</f>
        <v>0</v>
      </c>
      <c r="E52" s="1086">
        <f>IF('Proposed Lighting'!$CB$309&gt;0.01,'Proposed Lighting'!EN57,0)</f>
        <v>0</v>
      </c>
      <c r="F52" s="1086">
        <f>IF('Proposed Lighting'!$CB$309&gt;0.01,'Proposed Lighting'!EO57,0)</f>
        <v>0</v>
      </c>
      <c r="G52" s="1086">
        <f>IF('Proposed Lighting'!$CB$309&gt;0.01,'Proposed Lighting'!EP57,0)</f>
        <v>0</v>
      </c>
      <c r="H52" s="1086">
        <f>IF('Proposed Lighting'!$CB$309&gt;0.01,'Proposed Lighting'!EQ57,0)</f>
        <v>0</v>
      </c>
      <c r="I52" s="1045"/>
    </row>
    <row r="53" spans="1:9" ht="46.5" customHeight="1">
      <c r="A53" s="1115">
        <f>IF('Proposed Lighting'!BZ58&gt;0.01,'Proposed Lighting'!A58,IF('Proposed Lighting'!CA58&gt;0.01,'Proposed Lighting'!A58,0))</f>
        <v>0</v>
      </c>
      <c r="B53" s="1115">
        <f>'Proposed Lighting'!B58</f>
        <v>0</v>
      </c>
      <c r="C53" s="1085">
        <f>IF(A53&gt;0.01,'Proposed Lighting'!T58,0)</f>
        <v>0</v>
      </c>
      <c r="D53" s="1086">
        <f>IF('Proposed Lighting'!$CB$309&gt;0.01,'Proposed Lighting'!EM58,0)</f>
        <v>0</v>
      </c>
      <c r="E53" s="1086">
        <f>IF('Proposed Lighting'!$CB$309&gt;0.01,'Proposed Lighting'!EN58,0)</f>
        <v>0</v>
      </c>
      <c r="F53" s="1086">
        <f>IF('Proposed Lighting'!$CB$309&gt;0.01,'Proposed Lighting'!EO58,0)</f>
        <v>0</v>
      </c>
      <c r="G53" s="1086">
        <f>IF('Proposed Lighting'!$CB$309&gt;0.01,'Proposed Lighting'!EP58,0)</f>
        <v>0</v>
      </c>
      <c r="H53" s="1086">
        <f>IF('Proposed Lighting'!$CB$309&gt;0.01,'Proposed Lighting'!EQ58,0)</f>
        <v>0</v>
      </c>
      <c r="I53" s="1045"/>
    </row>
    <row r="54" spans="1:9" ht="46.5" customHeight="1">
      <c r="A54" s="1115">
        <f>IF('Proposed Lighting'!BZ59&gt;0.01,'Proposed Lighting'!A59,IF('Proposed Lighting'!CA59&gt;0.01,'Proposed Lighting'!A59,0))</f>
        <v>0</v>
      </c>
      <c r="B54" s="1115">
        <f>'Proposed Lighting'!B59</f>
        <v>0</v>
      </c>
      <c r="C54" s="1085">
        <f>IF(A54&gt;0.01,'Proposed Lighting'!T59,0)</f>
        <v>0</v>
      </c>
      <c r="D54" s="1086">
        <f>IF('Proposed Lighting'!$CB$309&gt;0.01,'Proposed Lighting'!EM59,0)</f>
        <v>0</v>
      </c>
      <c r="E54" s="1086">
        <f>IF('Proposed Lighting'!$CB$309&gt;0.01,'Proposed Lighting'!EN59,0)</f>
        <v>0</v>
      </c>
      <c r="F54" s="1086">
        <f>IF('Proposed Lighting'!$CB$309&gt;0.01,'Proposed Lighting'!EO59,0)</f>
        <v>0</v>
      </c>
      <c r="G54" s="1086">
        <f>IF('Proposed Lighting'!$CB$309&gt;0.01,'Proposed Lighting'!EP59,0)</f>
        <v>0</v>
      </c>
      <c r="H54" s="1086">
        <f>IF('Proposed Lighting'!$CB$309&gt;0.01,'Proposed Lighting'!EQ59,0)</f>
        <v>0</v>
      </c>
      <c r="I54" s="1045"/>
    </row>
    <row r="55" spans="1:9" ht="46.5" customHeight="1">
      <c r="A55" s="1115">
        <f>IF('Proposed Lighting'!BZ60&gt;0.01,'Proposed Lighting'!A60,IF('Proposed Lighting'!CA60&gt;0.01,'Proposed Lighting'!A60,0))</f>
        <v>0</v>
      </c>
      <c r="B55" s="1115">
        <f>'Proposed Lighting'!B60</f>
        <v>0</v>
      </c>
      <c r="C55" s="1085">
        <f>IF(A55&gt;0.01,'Proposed Lighting'!T60,0)</f>
        <v>0</v>
      </c>
      <c r="D55" s="1086">
        <f>IF('Proposed Lighting'!$CB$309&gt;0.01,'Proposed Lighting'!EM60,0)</f>
        <v>0</v>
      </c>
      <c r="E55" s="1086">
        <f>IF('Proposed Lighting'!$CB$309&gt;0.01,'Proposed Lighting'!EN60,0)</f>
        <v>0</v>
      </c>
      <c r="F55" s="1086">
        <f>IF('Proposed Lighting'!$CB$309&gt;0.01,'Proposed Lighting'!EO60,0)</f>
        <v>0</v>
      </c>
      <c r="G55" s="1086">
        <f>IF('Proposed Lighting'!$CB$309&gt;0.01,'Proposed Lighting'!EP60,0)</f>
        <v>0</v>
      </c>
      <c r="H55" s="1086">
        <f>IF('Proposed Lighting'!$CB$309&gt;0.01,'Proposed Lighting'!EQ60,0)</f>
        <v>0</v>
      </c>
      <c r="I55" s="1045"/>
    </row>
    <row r="56" spans="1:9" ht="46.5" customHeight="1">
      <c r="A56" s="1115">
        <f>IF('Proposed Lighting'!BZ61&gt;0.01,'Proposed Lighting'!A61,IF('Proposed Lighting'!CA61&gt;0.01,'Proposed Lighting'!A61,0))</f>
        <v>0</v>
      </c>
      <c r="B56" s="1115">
        <f>'Proposed Lighting'!B61</f>
        <v>0</v>
      </c>
      <c r="C56" s="1085">
        <f>IF(A56&gt;0.01,'Proposed Lighting'!T61,0)</f>
        <v>0</v>
      </c>
      <c r="D56" s="1086">
        <f>IF('Proposed Lighting'!$CB$309&gt;0.01,'Proposed Lighting'!EM61,0)</f>
        <v>0</v>
      </c>
      <c r="E56" s="1086">
        <f>IF('Proposed Lighting'!$CB$309&gt;0.01,'Proposed Lighting'!EN61,0)</f>
        <v>0</v>
      </c>
      <c r="F56" s="1086">
        <f>IF('Proposed Lighting'!$CB$309&gt;0.01,'Proposed Lighting'!EO61,0)</f>
        <v>0</v>
      </c>
      <c r="G56" s="1086">
        <f>IF('Proposed Lighting'!$CB$309&gt;0.01,'Proposed Lighting'!EP61,0)</f>
        <v>0</v>
      </c>
      <c r="H56" s="1086">
        <f>IF('Proposed Lighting'!$CB$309&gt;0.01,'Proposed Lighting'!EQ61,0)</f>
        <v>0</v>
      </c>
      <c r="I56" s="1045"/>
    </row>
    <row r="57" spans="1:9" ht="46.5" customHeight="1">
      <c r="A57" s="1115">
        <f>IF('Proposed Lighting'!BZ62&gt;0.01,'Proposed Lighting'!A62,IF('Proposed Lighting'!CA62&gt;0.01,'Proposed Lighting'!A62,0))</f>
        <v>0</v>
      </c>
      <c r="B57" s="1115">
        <f>'Proposed Lighting'!B62</f>
        <v>0</v>
      </c>
      <c r="C57" s="1085">
        <f>IF(A57&gt;0.01,'Proposed Lighting'!T62,0)</f>
        <v>0</v>
      </c>
      <c r="D57" s="1086">
        <f>IF('Proposed Lighting'!$CB$309&gt;0.01,'Proposed Lighting'!EM62,0)</f>
        <v>0</v>
      </c>
      <c r="E57" s="1086">
        <f>IF('Proposed Lighting'!$CB$309&gt;0.01,'Proposed Lighting'!EN62,0)</f>
        <v>0</v>
      </c>
      <c r="F57" s="1086">
        <f>IF('Proposed Lighting'!$CB$309&gt;0.01,'Proposed Lighting'!EO62,0)</f>
        <v>0</v>
      </c>
      <c r="G57" s="1086">
        <f>IF('Proposed Lighting'!$CB$309&gt;0.01,'Proposed Lighting'!EP62,0)</f>
        <v>0</v>
      </c>
      <c r="H57" s="1086">
        <f>IF('Proposed Lighting'!$CB$309&gt;0.01,'Proposed Lighting'!EQ62,0)</f>
        <v>0</v>
      </c>
      <c r="I57" s="1045"/>
    </row>
    <row r="58" spans="1:9" ht="46.5" customHeight="1">
      <c r="A58" s="1115">
        <f>IF('Proposed Lighting'!BZ63&gt;0.01,'Proposed Lighting'!A63,IF('Proposed Lighting'!CA63&gt;0.01,'Proposed Lighting'!A63,0))</f>
        <v>0</v>
      </c>
      <c r="B58" s="1115">
        <f>'Proposed Lighting'!B63</f>
        <v>0</v>
      </c>
      <c r="C58" s="1085">
        <f>IF(A58&gt;0.01,'Proposed Lighting'!T63,0)</f>
        <v>0</v>
      </c>
      <c r="D58" s="1086">
        <f>IF('Proposed Lighting'!$CB$309&gt;0.01,'Proposed Lighting'!EM63,0)</f>
        <v>0</v>
      </c>
      <c r="E58" s="1086">
        <f>IF('Proposed Lighting'!$CB$309&gt;0.01,'Proposed Lighting'!EN63,0)</f>
        <v>0</v>
      </c>
      <c r="F58" s="1086">
        <f>IF('Proposed Lighting'!$CB$309&gt;0.01,'Proposed Lighting'!EO63,0)</f>
        <v>0</v>
      </c>
      <c r="G58" s="1086">
        <f>IF('Proposed Lighting'!$CB$309&gt;0.01,'Proposed Lighting'!EP63,0)</f>
        <v>0</v>
      </c>
      <c r="H58" s="1086">
        <f>IF('Proposed Lighting'!$CB$309&gt;0.01,'Proposed Lighting'!EQ63,0)</f>
        <v>0</v>
      </c>
      <c r="I58" s="1045"/>
    </row>
    <row r="59" spans="1:9" ht="46.5" customHeight="1">
      <c r="A59" s="1115">
        <f>IF('Proposed Lighting'!BZ64&gt;0.01,'Proposed Lighting'!A64,IF('Proposed Lighting'!CA64&gt;0.01,'Proposed Lighting'!A64,0))</f>
        <v>0</v>
      </c>
      <c r="B59" s="1115">
        <f>'Proposed Lighting'!B64</f>
        <v>0</v>
      </c>
      <c r="C59" s="1085">
        <f>IF(A59&gt;0.01,'Proposed Lighting'!T64,0)</f>
        <v>0</v>
      </c>
      <c r="D59" s="1086">
        <f>IF('Proposed Lighting'!$CB$309&gt;0.01,'Proposed Lighting'!EM64,0)</f>
        <v>0</v>
      </c>
      <c r="E59" s="1086">
        <f>IF('Proposed Lighting'!$CB$309&gt;0.01,'Proposed Lighting'!EN64,0)</f>
        <v>0</v>
      </c>
      <c r="F59" s="1086">
        <f>IF('Proposed Lighting'!$CB$309&gt;0.01,'Proposed Lighting'!EO64,0)</f>
        <v>0</v>
      </c>
      <c r="G59" s="1086">
        <f>IF('Proposed Lighting'!$CB$309&gt;0.01,'Proposed Lighting'!EP64,0)</f>
        <v>0</v>
      </c>
      <c r="H59" s="1086">
        <f>IF('Proposed Lighting'!$CB$309&gt;0.01,'Proposed Lighting'!EQ64,0)</f>
        <v>0</v>
      </c>
      <c r="I59" s="1045"/>
    </row>
    <row r="60" spans="1:9" ht="46.5" customHeight="1">
      <c r="A60" s="1115">
        <f>IF('Proposed Lighting'!BZ65&gt;0.01,'Proposed Lighting'!A65,IF('Proposed Lighting'!CA65&gt;0.01,'Proposed Lighting'!A65,0))</f>
        <v>0</v>
      </c>
      <c r="B60" s="1115">
        <f>'Proposed Lighting'!B65</f>
        <v>0</v>
      </c>
      <c r="C60" s="1085">
        <f>IF(A60&gt;0.01,'Proposed Lighting'!T65,0)</f>
        <v>0</v>
      </c>
      <c r="D60" s="1086">
        <f>IF('Proposed Lighting'!$CB$309&gt;0.01,'Proposed Lighting'!EM65,0)</f>
        <v>0</v>
      </c>
      <c r="E60" s="1086">
        <f>IF('Proposed Lighting'!$CB$309&gt;0.01,'Proposed Lighting'!EN65,0)</f>
        <v>0</v>
      </c>
      <c r="F60" s="1086">
        <f>IF('Proposed Lighting'!$CB$309&gt;0.01,'Proposed Lighting'!EO65,0)</f>
        <v>0</v>
      </c>
      <c r="G60" s="1086">
        <f>IF('Proposed Lighting'!$CB$309&gt;0.01,'Proposed Lighting'!EP65,0)</f>
        <v>0</v>
      </c>
      <c r="H60" s="1086">
        <f>IF('Proposed Lighting'!$CB$309&gt;0.01,'Proposed Lighting'!EQ65,0)</f>
        <v>0</v>
      </c>
      <c r="I60" s="1045"/>
    </row>
    <row r="61" spans="1:9" ht="46.5" customHeight="1">
      <c r="A61" s="1115">
        <f>IF('Proposed Lighting'!BZ66&gt;0.01,'Proposed Lighting'!A66,IF('Proposed Lighting'!CA66&gt;0.01,'Proposed Lighting'!A66,0))</f>
        <v>0</v>
      </c>
      <c r="B61" s="1115">
        <f>'Proposed Lighting'!B66</f>
        <v>0</v>
      </c>
      <c r="C61" s="1085">
        <f>IF(A61&gt;0.01,'Proposed Lighting'!T66,0)</f>
        <v>0</v>
      </c>
      <c r="D61" s="1086">
        <f>IF('Proposed Lighting'!$CB$309&gt;0.01,'Proposed Lighting'!EM66,0)</f>
        <v>0</v>
      </c>
      <c r="E61" s="1086">
        <f>IF('Proposed Lighting'!$CB$309&gt;0.01,'Proposed Lighting'!EN66,0)</f>
        <v>0</v>
      </c>
      <c r="F61" s="1086">
        <f>IF('Proposed Lighting'!$CB$309&gt;0.01,'Proposed Lighting'!EO66,0)</f>
        <v>0</v>
      </c>
      <c r="G61" s="1086">
        <f>IF('Proposed Lighting'!$CB$309&gt;0.01,'Proposed Lighting'!EP66,0)</f>
        <v>0</v>
      </c>
      <c r="H61" s="1086">
        <f>IF('Proposed Lighting'!$CB$309&gt;0.01,'Proposed Lighting'!EQ66,0)</f>
        <v>0</v>
      </c>
      <c r="I61" s="1045"/>
    </row>
    <row r="62" spans="1:9" ht="46.5" customHeight="1">
      <c r="A62" s="1115">
        <f>IF('Proposed Lighting'!BZ67&gt;0.01,'Proposed Lighting'!A67,IF('Proposed Lighting'!CA67&gt;0.01,'Proposed Lighting'!A67,0))</f>
        <v>0</v>
      </c>
      <c r="B62" s="1115">
        <f>'Proposed Lighting'!B67</f>
        <v>0</v>
      </c>
      <c r="C62" s="1085">
        <f>IF(A62&gt;0.01,'Proposed Lighting'!T67,0)</f>
        <v>0</v>
      </c>
      <c r="D62" s="1086">
        <f>IF('Proposed Lighting'!$CB$309&gt;0.01,'Proposed Lighting'!EM67,0)</f>
        <v>0</v>
      </c>
      <c r="E62" s="1086">
        <f>IF('Proposed Lighting'!$CB$309&gt;0.01,'Proposed Lighting'!EN67,0)</f>
        <v>0</v>
      </c>
      <c r="F62" s="1086">
        <f>IF('Proposed Lighting'!$CB$309&gt;0.01,'Proposed Lighting'!EO67,0)</f>
        <v>0</v>
      </c>
      <c r="G62" s="1086">
        <f>IF('Proposed Lighting'!$CB$309&gt;0.01,'Proposed Lighting'!EP67,0)</f>
        <v>0</v>
      </c>
      <c r="H62" s="1086">
        <f>IF('Proposed Lighting'!$CB$309&gt;0.01,'Proposed Lighting'!EQ67,0)</f>
        <v>0</v>
      </c>
      <c r="I62" s="1045"/>
    </row>
    <row r="63" spans="1:9" ht="46.5" customHeight="1">
      <c r="A63" s="1115">
        <f>IF('Proposed Lighting'!BZ68&gt;0.01,'Proposed Lighting'!A68,IF('Proposed Lighting'!CA68&gt;0.01,'Proposed Lighting'!A68,0))</f>
        <v>0</v>
      </c>
      <c r="B63" s="1115">
        <f>'Proposed Lighting'!B68</f>
        <v>0</v>
      </c>
      <c r="C63" s="1085">
        <f>IF(A63&gt;0.01,'Proposed Lighting'!T68,0)</f>
        <v>0</v>
      </c>
      <c r="D63" s="1086">
        <f>IF('Proposed Lighting'!$CB$309&gt;0.01,'Proposed Lighting'!EM68,0)</f>
        <v>0</v>
      </c>
      <c r="E63" s="1086">
        <f>IF('Proposed Lighting'!$CB$309&gt;0.01,'Proposed Lighting'!EN68,0)</f>
        <v>0</v>
      </c>
      <c r="F63" s="1086">
        <f>IF('Proposed Lighting'!$CB$309&gt;0.01,'Proposed Lighting'!EO68,0)</f>
        <v>0</v>
      </c>
      <c r="G63" s="1086">
        <f>IF('Proposed Lighting'!$CB$309&gt;0.01,'Proposed Lighting'!EP68,0)</f>
        <v>0</v>
      </c>
      <c r="H63" s="1086">
        <f>IF('Proposed Lighting'!$CB$309&gt;0.01,'Proposed Lighting'!EQ68,0)</f>
        <v>0</v>
      </c>
      <c r="I63" s="1045"/>
    </row>
    <row r="64" spans="1:9" ht="46.5" customHeight="1">
      <c r="A64" s="1115">
        <f>IF('Proposed Lighting'!BZ69&gt;0.01,'Proposed Lighting'!A69,IF('Proposed Lighting'!CA69&gt;0.01,'Proposed Lighting'!A69,0))</f>
        <v>0</v>
      </c>
      <c r="B64" s="1115">
        <f>'Proposed Lighting'!B69</f>
        <v>0</v>
      </c>
      <c r="C64" s="1085">
        <f>IF(A64&gt;0.01,'Proposed Lighting'!T69,0)</f>
        <v>0</v>
      </c>
      <c r="D64" s="1086">
        <f>IF('Proposed Lighting'!$CB$309&gt;0.01,'Proposed Lighting'!EM69,0)</f>
        <v>0</v>
      </c>
      <c r="E64" s="1086">
        <f>IF('Proposed Lighting'!$CB$309&gt;0.01,'Proposed Lighting'!EN69,0)</f>
        <v>0</v>
      </c>
      <c r="F64" s="1086">
        <f>IF('Proposed Lighting'!$CB$309&gt;0.01,'Proposed Lighting'!EO69,0)</f>
        <v>0</v>
      </c>
      <c r="G64" s="1086">
        <f>IF('Proposed Lighting'!$CB$309&gt;0.01,'Proposed Lighting'!EP69,0)</f>
        <v>0</v>
      </c>
      <c r="H64" s="1086">
        <f>IF('Proposed Lighting'!$CB$309&gt;0.01,'Proposed Lighting'!EQ69,0)</f>
        <v>0</v>
      </c>
      <c r="I64" s="1045"/>
    </row>
    <row r="65" spans="1:9" ht="46.5" customHeight="1">
      <c r="A65" s="1115">
        <f>IF('Proposed Lighting'!BZ70&gt;0.01,'Proposed Lighting'!A70,IF('Proposed Lighting'!CA70&gt;0.01,'Proposed Lighting'!A70,0))</f>
        <v>0</v>
      </c>
      <c r="B65" s="1115">
        <f>'Proposed Lighting'!B70</f>
        <v>0</v>
      </c>
      <c r="C65" s="1085">
        <f>IF(A65&gt;0.01,'Proposed Lighting'!T70,0)</f>
        <v>0</v>
      </c>
      <c r="D65" s="1086">
        <f>IF('Proposed Lighting'!$CB$309&gt;0.01,'Proposed Lighting'!EM70,0)</f>
        <v>0</v>
      </c>
      <c r="E65" s="1086">
        <f>IF('Proposed Lighting'!$CB$309&gt;0.01,'Proposed Lighting'!EN70,0)</f>
        <v>0</v>
      </c>
      <c r="F65" s="1086">
        <f>IF('Proposed Lighting'!$CB$309&gt;0.01,'Proposed Lighting'!EO70,0)</f>
        <v>0</v>
      </c>
      <c r="G65" s="1086">
        <f>IF('Proposed Lighting'!$CB$309&gt;0.01,'Proposed Lighting'!EP70,0)</f>
        <v>0</v>
      </c>
      <c r="H65" s="1086">
        <f>IF('Proposed Lighting'!$CB$309&gt;0.01,'Proposed Lighting'!EQ70,0)</f>
        <v>0</v>
      </c>
      <c r="I65" s="1045"/>
    </row>
    <row r="66" spans="1:9" ht="46.5" customHeight="1">
      <c r="A66" s="1115">
        <f>IF('Proposed Lighting'!BZ71&gt;0.01,'Proposed Lighting'!A71,IF('Proposed Lighting'!CA71&gt;0.01,'Proposed Lighting'!A71,0))</f>
        <v>0</v>
      </c>
      <c r="B66" s="1115">
        <f>'Proposed Lighting'!B71</f>
        <v>0</v>
      </c>
      <c r="C66" s="1085">
        <f>IF(A66&gt;0.01,'Proposed Lighting'!T71,0)</f>
        <v>0</v>
      </c>
      <c r="D66" s="1086">
        <f>IF('Proposed Lighting'!$CB$309&gt;0.01,'Proposed Lighting'!EM71,0)</f>
        <v>0</v>
      </c>
      <c r="E66" s="1086">
        <f>IF('Proposed Lighting'!$CB$309&gt;0.01,'Proposed Lighting'!EN71,0)</f>
        <v>0</v>
      </c>
      <c r="F66" s="1086">
        <f>IF('Proposed Lighting'!$CB$309&gt;0.01,'Proposed Lighting'!EO71,0)</f>
        <v>0</v>
      </c>
      <c r="G66" s="1086">
        <f>IF('Proposed Lighting'!$CB$309&gt;0.01,'Proposed Lighting'!EP71,0)</f>
        <v>0</v>
      </c>
      <c r="H66" s="1086">
        <f>IF('Proposed Lighting'!$CB$309&gt;0.01,'Proposed Lighting'!EQ71,0)</f>
        <v>0</v>
      </c>
      <c r="I66" s="1045"/>
    </row>
    <row r="67" spans="1:9" ht="46.5" customHeight="1">
      <c r="A67" s="1115">
        <f>IF('Proposed Lighting'!BZ72&gt;0.01,'Proposed Lighting'!A72,IF('Proposed Lighting'!CA72&gt;0.01,'Proposed Lighting'!A72,0))</f>
        <v>0</v>
      </c>
      <c r="B67" s="1115">
        <f>'Proposed Lighting'!B72</f>
        <v>0</v>
      </c>
      <c r="C67" s="1085">
        <f>IF(A67&gt;0.01,'Proposed Lighting'!T72,0)</f>
        <v>0</v>
      </c>
      <c r="D67" s="1086">
        <f>IF('Proposed Lighting'!$CB$309&gt;0.01,'Proposed Lighting'!EM72,0)</f>
        <v>0</v>
      </c>
      <c r="E67" s="1086">
        <f>IF('Proposed Lighting'!$CB$309&gt;0.01,'Proposed Lighting'!EN72,0)</f>
        <v>0</v>
      </c>
      <c r="F67" s="1086">
        <f>IF('Proposed Lighting'!$CB$309&gt;0.01,'Proposed Lighting'!EO72,0)</f>
        <v>0</v>
      </c>
      <c r="G67" s="1086">
        <f>IF('Proposed Lighting'!$CB$309&gt;0.01,'Proposed Lighting'!EP72,0)</f>
        <v>0</v>
      </c>
      <c r="H67" s="1086">
        <f>IF('Proposed Lighting'!$CB$309&gt;0.01,'Proposed Lighting'!EQ72,0)</f>
        <v>0</v>
      </c>
      <c r="I67" s="1045"/>
    </row>
    <row r="68" spans="1:9" ht="46.5" customHeight="1">
      <c r="A68" s="1115">
        <f>IF('Proposed Lighting'!BZ73&gt;0.01,'Proposed Lighting'!A73,IF('Proposed Lighting'!CA73&gt;0.01,'Proposed Lighting'!A73,0))</f>
        <v>0</v>
      </c>
      <c r="B68" s="1115">
        <f>'Proposed Lighting'!B73</f>
        <v>0</v>
      </c>
      <c r="C68" s="1085">
        <f>IF(A68&gt;0.01,'Proposed Lighting'!T73,0)</f>
        <v>0</v>
      </c>
      <c r="D68" s="1086">
        <f>IF('Proposed Lighting'!$CB$309&gt;0.01,'Proposed Lighting'!EM73,0)</f>
        <v>0</v>
      </c>
      <c r="E68" s="1086">
        <f>IF('Proposed Lighting'!$CB$309&gt;0.01,'Proposed Lighting'!EN73,0)</f>
        <v>0</v>
      </c>
      <c r="F68" s="1086">
        <f>IF('Proposed Lighting'!$CB$309&gt;0.01,'Proposed Lighting'!EO73,0)</f>
        <v>0</v>
      </c>
      <c r="G68" s="1086">
        <f>IF('Proposed Lighting'!$CB$309&gt;0.01,'Proposed Lighting'!EP73,0)</f>
        <v>0</v>
      </c>
      <c r="H68" s="1086">
        <f>IF('Proposed Lighting'!$CB$309&gt;0.01,'Proposed Lighting'!EQ73,0)</f>
        <v>0</v>
      </c>
      <c r="I68" s="1045"/>
    </row>
    <row r="69" spans="1:9" ht="46.5" customHeight="1">
      <c r="A69" s="1115">
        <f>IF('Proposed Lighting'!BZ74&gt;0.01,'Proposed Lighting'!A74,IF('Proposed Lighting'!CA74&gt;0.01,'Proposed Lighting'!A74,0))</f>
        <v>0</v>
      </c>
      <c r="B69" s="1115">
        <f>'Proposed Lighting'!B74</f>
        <v>0</v>
      </c>
      <c r="C69" s="1085">
        <f>IF(A69&gt;0.01,'Proposed Lighting'!T74,0)</f>
        <v>0</v>
      </c>
      <c r="D69" s="1086">
        <f>IF('Proposed Lighting'!$CB$309&gt;0.01,'Proposed Lighting'!EM74,0)</f>
        <v>0</v>
      </c>
      <c r="E69" s="1086">
        <f>IF('Proposed Lighting'!$CB$309&gt;0.01,'Proposed Lighting'!EN74,0)</f>
        <v>0</v>
      </c>
      <c r="F69" s="1086">
        <f>IF('Proposed Lighting'!$CB$309&gt;0.01,'Proposed Lighting'!EO74,0)</f>
        <v>0</v>
      </c>
      <c r="G69" s="1086">
        <f>IF('Proposed Lighting'!$CB$309&gt;0.01,'Proposed Lighting'!EP74,0)</f>
        <v>0</v>
      </c>
      <c r="H69" s="1086">
        <f>IF('Proposed Lighting'!$CB$309&gt;0.01,'Proposed Lighting'!EQ74,0)</f>
        <v>0</v>
      </c>
      <c r="I69" s="1045"/>
    </row>
    <row r="70" spans="1:9" ht="46.5" customHeight="1">
      <c r="A70" s="1115">
        <f>IF('Proposed Lighting'!BZ75&gt;0.01,'Proposed Lighting'!A75,IF('Proposed Lighting'!CA75&gt;0.01,'Proposed Lighting'!A75,0))</f>
        <v>0</v>
      </c>
      <c r="B70" s="1115">
        <f>'Proposed Lighting'!B75</f>
        <v>0</v>
      </c>
      <c r="C70" s="1085">
        <f>IF(A70&gt;0.01,'Proposed Lighting'!T75,0)</f>
        <v>0</v>
      </c>
      <c r="D70" s="1086">
        <f>IF('Proposed Lighting'!$CB$309&gt;0.01,'Proposed Lighting'!EM75,0)</f>
        <v>0</v>
      </c>
      <c r="E70" s="1086">
        <f>IF('Proposed Lighting'!$CB$309&gt;0.01,'Proposed Lighting'!EN75,0)</f>
        <v>0</v>
      </c>
      <c r="F70" s="1086">
        <f>IF('Proposed Lighting'!$CB$309&gt;0.01,'Proposed Lighting'!EO75,0)</f>
        <v>0</v>
      </c>
      <c r="G70" s="1086">
        <f>IF('Proposed Lighting'!$CB$309&gt;0.01,'Proposed Lighting'!EP75,0)</f>
        <v>0</v>
      </c>
      <c r="H70" s="1086">
        <f>IF('Proposed Lighting'!$CB$309&gt;0.01,'Proposed Lighting'!EQ75,0)</f>
        <v>0</v>
      </c>
      <c r="I70" s="1045"/>
    </row>
    <row r="71" spans="1:9" ht="46.5" customHeight="1">
      <c r="A71" s="1115">
        <f>IF('Proposed Lighting'!BZ76&gt;0.01,'Proposed Lighting'!A76,IF('Proposed Lighting'!CA76&gt;0.01,'Proposed Lighting'!A76,0))</f>
        <v>0</v>
      </c>
      <c r="B71" s="1115">
        <f>'Proposed Lighting'!B76</f>
        <v>0</v>
      </c>
      <c r="C71" s="1085">
        <f>IF(A71&gt;0.01,'Proposed Lighting'!T76,0)</f>
        <v>0</v>
      </c>
      <c r="D71" s="1086">
        <f>IF('Proposed Lighting'!$CB$309&gt;0.01,'Proposed Lighting'!EM76,0)</f>
        <v>0</v>
      </c>
      <c r="E71" s="1086">
        <f>IF('Proposed Lighting'!$CB$309&gt;0.01,'Proposed Lighting'!EN76,0)</f>
        <v>0</v>
      </c>
      <c r="F71" s="1086">
        <f>IF('Proposed Lighting'!$CB$309&gt;0.01,'Proposed Lighting'!EO76,0)</f>
        <v>0</v>
      </c>
      <c r="G71" s="1086">
        <f>IF('Proposed Lighting'!$CB$309&gt;0.01,'Proposed Lighting'!EP76,0)</f>
        <v>0</v>
      </c>
      <c r="H71" s="1086">
        <f>IF('Proposed Lighting'!$CB$309&gt;0.01,'Proposed Lighting'!EQ76,0)</f>
        <v>0</v>
      </c>
      <c r="I71" s="1045"/>
    </row>
    <row r="72" spans="1:9" ht="46.5" customHeight="1">
      <c r="A72" s="1115">
        <f>IF('Proposed Lighting'!BZ77&gt;0.01,'Proposed Lighting'!A77,IF('Proposed Lighting'!CA77&gt;0.01,'Proposed Lighting'!A77,0))</f>
        <v>0</v>
      </c>
      <c r="B72" s="1115">
        <f>'Proposed Lighting'!B77</f>
        <v>0</v>
      </c>
      <c r="C72" s="1085">
        <f>IF(A72&gt;0.01,'Proposed Lighting'!T77,0)</f>
        <v>0</v>
      </c>
      <c r="D72" s="1086">
        <f>IF('Proposed Lighting'!$CB$309&gt;0.01,'Proposed Lighting'!EM77,0)</f>
        <v>0</v>
      </c>
      <c r="E72" s="1086">
        <f>IF('Proposed Lighting'!$CB$309&gt;0.01,'Proposed Lighting'!EN77,0)</f>
        <v>0</v>
      </c>
      <c r="F72" s="1086">
        <f>IF('Proposed Lighting'!$CB$309&gt;0.01,'Proposed Lighting'!EO77,0)</f>
        <v>0</v>
      </c>
      <c r="G72" s="1086">
        <f>IF('Proposed Lighting'!$CB$309&gt;0.01,'Proposed Lighting'!EP77,0)</f>
        <v>0</v>
      </c>
      <c r="H72" s="1086">
        <f>IF('Proposed Lighting'!$CB$309&gt;0.01,'Proposed Lighting'!EQ77,0)</f>
        <v>0</v>
      </c>
      <c r="I72" s="1045"/>
    </row>
    <row r="73" spans="1:9" ht="46.5" customHeight="1">
      <c r="A73" s="1115">
        <f>IF('Proposed Lighting'!BZ78&gt;0.01,'Proposed Lighting'!A78,IF('Proposed Lighting'!CA78&gt;0.01,'Proposed Lighting'!A78,0))</f>
        <v>0</v>
      </c>
      <c r="B73" s="1115">
        <f>'Proposed Lighting'!B78</f>
        <v>0</v>
      </c>
      <c r="C73" s="1085">
        <f>IF(A73&gt;0.01,'Proposed Lighting'!T78,0)</f>
        <v>0</v>
      </c>
      <c r="D73" s="1086">
        <f>IF('Proposed Lighting'!$CB$309&gt;0.01,'Proposed Lighting'!EM78,0)</f>
        <v>0</v>
      </c>
      <c r="E73" s="1086">
        <f>IF('Proposed Lighting'!$CB$309&gt;0.01,'Proposed Lighting'!EN78,0)</f>
        <v>0</v>
      </c>
      <c r="F73" s="1086">
        <f>IF('Proposed Lighting'!$CB$309&gt;0.01,'Proposed Lighting'!EO78,0)</f>
        <v>0</v>
      </c>
      <c r="G73" s="1086">
        <f>IF('Proposed Lighting'!$CB$309&gt;0.01,'Proposed Lighting'!EP78,0)</f>
        <v>0</v>
      </c>
      <c r="H73" s="1086">
        <f>IF('Proposed Lighting'!$CB$309&gt;0.01,'Proposed Lighting'!EQ78,0)</f>
        <v>0</v>
      </c>
      <c r="I73" s="1045"/>
    </row>
    <row r="74" spans="1:9" ht="46.5" customHeight="1">
      <c r="A74" s="1115">
        <f>IF('Proposed Lighting'!BZ79&gt;0.01,'Proposed Lighting'!A79,IF('Proposed Lighting'!CA79&gt;0.01,'Proposed Lighting'!A79,0))</f>
        <v>0</v>
      </c>
      <c r="B74" s="1115">
        <f>'Proposed Lighting'!B79</f>
        <v>0</v>
      </c>
      <c r="C74" s="1085">
        <f>IF(A74&gt;0.01,'Proposed Lighting'!T79,0)</f>
        <v>0</v>
      </c>
      <c r="D74" s="1086">
        <f>IF('Proposed Lighting'!$CB$309&gt;0.01,'Proposed Lighting'!EM79,0)</f>
        <v>0</v>
      </c>
      <c r="E74" s="1086">
        <f>IF('Proposed Lighting'!$CB$309&gt;0.01,'Proposed Lighting'!EN79,0)</f>
        <v>0</v>
      </c>
      <c r="F74" s="1086">
        <f>IF('Proposed Lighting'!$CB$309&gt;0.01,'Proposed Lighting'!EO79,0)</f>
        <v>0</v>
      </c>
      <c r="G74" s="1086">
        <f>IF('Proposed Lighting'!$CB$309&gt;0.01,'Proposed Lighting'!EP79,0)</f>
        <v>0</v>
      </c>
      <c r="H74" s="1086">
        <f>IF('Proposed Lighting'!$CB$309&gt;0.01,'Proposed Lighting'!EQ79,0)</f>
        <v>0</v>
      </c>
      <c r="I74" s="1045"/>
    </row>
    <row r="75" spans="1:9" ht="46.5" customHeight="1">
      <c r="A75" s="1115">
        <f>IF('Proposed Lighting'!BZ80&gt;0.01,'Proposed Lighting'!A80,IF('Proposed Lighting'!CA80&gt;0.01,'Proposed Lighting'!A80,0))</f>
        <v>0</v>
      </c>
      <c r="B75" s="1115">
        <f>'Proposed Lighting'!B80</f>
        <v>0</v>
      </c>
      <c r="C75" s="1085">
        <f>IF(A75&gt;0.01,'Proposed Lighting'!T80,0)</f>
        <v>0</v>
      </c>
      <c r="D75" s="1086">
        <f>IF('Proposed Lighting'!$CB$309&gt;0.01,'Proposed Lighting'!EM80,0)</f>
        <v>0</v>
      </c>
      <c r="E75" s="1086">
        <f>IF('Proposed Lighting'!$CB$309&gt;0.01,'Proposed Lighting'!EN80,0)</f>
        <v>0</v>
      </c>
      <c r="F75" s="1086">
        <f>IF('Proposed Lighting'!$CB$309&gt;0.01,'Proposed Lighting'!EO80,0)</f>
        <v>0</v>
      </c>
      <c r="G75" s="1086">
        <f>IF('Proposed Lighting'!$CB$309&gt;0.01,'Proposed Lighting'!EP80,0)</f>
        <v>0</v>
      </c>
      <c r="H75" s="1086">
        <f>IF('Proposed Lighting'!$CB$309&gt;0.01,'Proposed Lighting'!EQ80,0)</f>
        <v>0</v>
      </c>
      <c r="I75" s="1045"/>
    </row>
    <row r="76" spans="1:9" ht="46.5" customHeight="1">
      <c r="A76" s="1115">
        <f>IF('Proposed Lighting'!BZ81&gt;0.01,'Proposed Lighting'!A81,IF('Proposed Lighting'!CA81&gt;0.01,'Proposed Lighting'!A81,0))</f>
        <v>0</v>
      </c>
      <c r="B76" s="1115">
        <f>'Proposed Lighting'!B81</f>
        <v>0</v>
      </c>
      <c r="C76" s="1085">
        <f>IF(A76&gt;0.01,'Proposed Lighting'!T81,0)</f>
        <v>0</v>
      </c>
      <c r="D76" s="1086">
        <f>IF('Proposed Lighting'!$CB$309&gt;0.01,'Proposed Lighting'!EM81,0)</f>
        <v>0</v>
      </c>
      <c r="E76" s="1086">
        <f>IF('Proposed Lighting'!$CB$309&gt;0.01,'Proposed Lighting'!EN81,0)</f>
        <v>0</v>
      </c>
      <c r="F76" s="1086">
        <f>IF('Proposed Lighting'!$CB$309&gt;0.01,'Proposed Lighting'!EO81,0)</f>
        <v>0</v>
      </c>
      <c r="G76" s="1086">
        <f>IF('Proposed Lighting'!$CB$309&gt;0.01,'Proposed Lighting'!EP81,0)</f>
        <v>0</v>
      </c>
      <c r="H76" s="1086">
        <f>IF('Proposed Lighting'!$CB$309&gt;0.01,'Proposed Lighting'!EQ81,0)</f>
        <v>0</v>
      </c>
      <c r="I76" s="1045"/>
    </row>
    <row r="77" spans="1:9" ht="46.5" customHeight="1">
      <c r="A77" s="1115">
        <f>IF('Proposed Lighting'!BZ82&gt;0.01,'Proposed Lighting'!A82,IF('Proposed Lighting'!CA82&gt;0.01,'Proposed Lighting'!A82,0))</f>
        <v>0</v>
      </c>
      <c r="B77" s="1115">
        <f>'Proposed Lighting'!B82</f>
        <v>0</v>
      </c>
      <c r="C77" s="1085">
        <f>IF(A77&gt;0.01,'Proposed Lighting'!T82,0)</f>
        <v>0</v>
      </c>
      <c r="D77" s="1086">
        <f>IF('Proposed Lighting'!$CB$309&gt;0.01,'Proposed Lighting'!EM82,0)</f>
        <v>0</v>
      </c>
      <c r="E77" s="1086">
        <f>IF('Proposed Lighting'!$CB$309&gt;0.01,'Proposed Lighting'!EN82,0)</f>
        <v>0</v>
      </c>
      <c r="F77" s="1086">
        <f>IF('Proposed Lighting'!$CB$309&gt;0.01,'Proposed Lighting'!EO82,0)</f>
        <v>0</v>
      </c>
      <c r="G77" s="1086">
        <f>IF('Proposed Lighting'!$CB$309&gt;0.01,'Proposed Lighting'!EP82,0)</f>
        <v>0</v>
      </c>
      <c r="H77" s="1086">
        <f>IF('Proposed Lighting'!$CB$309&gt;0.01,'Proposed Lighting'!EQ82,0)</f>
        <v>0</v>
      </c>
      <c r="I77" s="1045"/>
    </row>
    <row r="78" spans="1:9" ht="46.5" customHeight="1">
      <c r="A78" s="1115">
        <f>IF('Proposed Lighting'!BZ83&gt;0.01,'Proposed Lighting'!A83,IF('Proposed Lighting'!CA83&gt;0.01,'Proposed Lighting'!A83,0))</f>
        <v>0</v>
      </c>
      <c r="B78" s="1115">
        <f>'Proposed Lighting'!B83</f>
        <v>0</v>
      </c>
      <c r="C78" s="1085">
        <f>IF(A78&gt;0.01,'Proposed Lighting'!T83,0)</f>
        <v>0</v>
      </c>
      <c r="D78" s="1086">
        <f>IF('Proposed Lighting'!$CB$309&gt;0.01,'Proposed Lighting'!EM83,0)</f>
        <v>0</v>
      </c>
      <c r="E78" s="1086">
        <f>IF('Proposed Lighting'!$CB$309&gt;0.01,'Proposed Lighting'!EN83,0)</f>
        <v>0</v>
      </c>
      <c r="F78" s="1086">
        <f>IF('Proposed Lighting'!$CB$309&gt;0.01,'Proposed Lighting'!EO83,0)</f>
        <v>0</v>
      </c>
      <c r="G78" s="1086">
        <f>IF('Proposed Lighting'!$CB$309&gt;0.01,'Proposed Lighting'!EP83,0)</f>
        <v>0</v>
      </c>
      <c r="H78" s="1086">
        <f>IF('Proposed Lighting'!$CB$309&gt;0.01,'Proposed Lighting'!EQ83,0)</f>
        <v>0</v>
      </c>
      <c r="I78" s="1045"/>
    </row>
    <row r="79" spans="1:9" ht="46.5" customHeight="1">
      <c r="A79" s="1115">
        <f>IF('Proposed Lighting'!BZ84&gt;0.01,'Proposed Lighting'!A84,IF('Proposed Lighting'!CA84&gt;0.01,'Proposed Lighting'!A84,0))</f>
        <v>0</v>
      </c>
      <c r="B79" s="1115">
        <f>'Proposed Lighting'!B84</f>
        <v>0</v>
      </c>
      <c r="C79" s="1085">
        <f>IF(A79&gt;0.01,'Proposed Lighting'!T84,0)</f>
        <v>0</v>
      </c>
      <c r="D79" s="1086">
        <f>IF('Proposed Lighting'!$CB$309&gt;0.01,'Proposed Lighting'!EM84,0)</f>
        <v>0</v>
      </c>
      <c r="E79" s="1086">
        <f>IF('Proposed Lighting'!$CB$309&gt;0.01,'Proposed Lighting'!EN84,0)</f>
        <v>0</v>
      </c>
      <c r="F79" s="1086">
        <f>IF('Proposed Lighting'!$CB$309&gt;0.01,'Proposed Lighting'!EO84,0)</f>
        <v>0</v>
      </c>
      <c r="G79" s="1086">
        <f>IF('Proposed Lighting'!$CB$309&gt;0.01,'Proposed Lighting'!EP84,0)</f>
        <v>0</v>
      </c>
      <c r="H79" s="1086">
        <f>IF('Proposed Lighting'!$CB$309&gt;0.01,'Proposed Lighting'!EQ84,0)</f>
        <v>0</v>
      </c>
      <c r="I79" s="1045"/>
    </row>
    <row r="80" spans="1:9" ht="46.5" customHeight="1">
      <c r="A80" s="1115">
        <f>IF('Proposed Lighting'!BZ85&gt;0.01,'Proposed Lighting'!A85,IF('Proposed Lighting'!CA85&gt;0.01,'Proposed Lighting'!A85,0))</f>
        <v>0</v>
      </c>
      <c r="B80" s="1115">
        <f>'Proposed Lighting'!B85</f>
        <v>0</v>
      </c>
      <c r="C80" s="1085">
        <f>IF(A80&gt;0.01,'Proposed Lighting'!T85,0)</f>
        <v>0</v>
      </c>
      <c r="D80" s="1086">
        <f>IF('Proposed Lighting'!$CB$309&gt;0.01,'Proposed Lighting'!EM85,0)</f>
        <v>0</v>
      </c>
      <c r="E80" s="1086">
        <f>IF('Proposed Lighting'!$CB$309&gt;0.01,'Proposed Lighting'!EN85,0)</f>
        <v>0</v>
      </c>
      <c r="F80" s="1086">
        <f>IF('Proposed Lighting'!$CB$309&gt;0.01,'Proposed Lighting'!EO85,0)</f>
        <v>0</v>
      </c>
      <c r="G80" s="1086">
        <f>IF('Proposed Lighting'!$CB$309&gt;0.01,'Proposed Lighting'!EP85,0)</f>
        <v>0</v>
      </c>
      <c r="H80" s="1086">
        <f>IF('Proposed Lighting'!$CB$309&gt;0.01,'Proposed Lighting'!EQ85,0)</f>
        <v>0</v>
      </c>
      <c r="I80" s="1045"/>
    </row>
    <row r="81" spans="1:9" ht="46.5" customHeight="1">
      <c r="A81" s="1115">
        <f>IF('Proposed Lighting'!BZ86&gt;0.01,'Proposed Lighting'!A86,IF('Proposed Lighting'!CA86&gt;0.01,'Proposed Lighting'!A86,0))</f>
        <v>0</v>
      </c>
      <c r="B81" s="1115">
        <f>'Proposed Lighting'!B86</f>
        <v>0</v>
      </c>
      <c r="C81" s="1085">
        <f>IF(A81&gt;0.01,'Proposed Lighting'!T86,0)</f>
        <v>0</v>
      </c>
      <c r="D81" s="1086">
        <f>IF('Proposed Lighting'!$CB$309&gt;0.01,'Proposed Lighting'!EM86,0)</f>
        <v>0</v>
      </c>
      <c r="E81" s="1086">
        <f>IF('Proposed Lighting'!$CB$309&gt;0.01,'Proposed Lighting'!EN86,0)</f>
        <v>0</v>
      </c>
      <c r="F81" s="1086">
        <f>IF('Proposed Lighting'!$CB$309&gt;0.01,'Proposed Lighting'!EO86,0)</f>
        <v>0</v>
      </c>
      <c r="G81" s="1086">
        <f>IF('Proposed Lighting'!$CB$309&gt;0.01,'Proposed Lighting'!EP86,0)</f>
        <v>0</v>
      </c>
      <c r="H81" s="1086">
        <f>IF('Proposed Lighting'!$CB$309&gt;0.01,'Proposed Lighting'!EQ86,0)</f>
        <v>0</v>
      </c>
      <c r="I81" s="1045"/>
    </row>
    <row r="82" spans="1:9" ht="46.5" customHeight="1">
      <c r="A82" s="1115">
        <f>IF('Proposed Lighting'!BZ87&gt;0.01,'Proposed Lighting'!A87,IF('Proposed Lighting'!CA87&gt;0.01,'Proposed Lighting'!A87,0))</f>
        <v>0</v>
      </c>
      <c r="B82" s="1115">
        <f>'Proposed Lighting'!B87</f>
        <v>0</v>
      </c>
      <c r="C82" s="1085">
        <f>IF(A82&gt;0.01,'Proposed Lighting'!T87,0)</f>
        <v>0</v>
      </c>
      <c r="D82" s="1086">
        <f>IF('Proposed Lighting'!$CB$309&gt;0.01,'Proposed Lighting'!EM87,0)</f>
        <v>0</v>
      </c>
      <c r="E82" s="1086">
        <f>IF('Proposed Lighting'!$CB$309&gt;0.01,'Proposed Lighting'!EN87,0)</f>
        <v>0</v>
      </c>
      <c r="F82" s="1086">
        <f>IF('Proposed Lighting'!$CB$309&gt;0.01,'Proposed Lighting'!EO87,0)</f>
        <v>0</v>
      </c>
      <c r="G82" s="1086">
        <f>IF('Proposed Lighting'!$CB$309&gt;0.01,'Proposed Lighting'!EP87,0)</f>
        <v>0</v>
      </c>
      <c r="H82" s="1086">
        <f>IF('Proposed Lighting'!$CB$309&gt;0.01,'Proposed Lighting'!EQ87,0)</f>
        <v>0</v>
      </c>
      <c r="I82" s="1045"/>
    </row>
    <row r="83" spans="1:9" ht="46.5" customHeight="1">
      <c r="A83" s="1115">
        <f>IF('Proposed Lighting'!BZ88&gt;0.01,'Proposed Lighting'!A88,IF('Proposed Lighting'!CA88&gt;0.01,'Proposed Lighting'!A88,0))</f>
        <v>0</v>
      </c>
      <c r="B83" s="1115">
        <f>'Proposed Lighting'!B88</f>
        <v>0</v>
      </c>
      <c r="C83" s="1085">
        <f>IF(A83&gt;0.01,'Proposed Lighting'!T88,0)</f>
        <v>0</v>
      </c>
      <c r="D83" s="1086">
        <f>IF('Proposed Lighting'!$CB$309&gt;0.01,'Proposed Lighting'!EM88,0)</f>
        <v>0</v>
      </c>
      <c r="E83" s="1086">
        <f>IF('Proposed Lighting'!$CB$309&gt;0.01,'Proposed Lighting'!EN88,0)</f>
        <v>0</v>
      </c>
      <c r="F83" s="1086">
        <f>IF('Proposed Lighting'!$CB$309&gt;0.01,'Proposed Lighting'!EO88,0)</f>
        <v>0</v>
      </c>
      <c r="G83" s="1086">
        <f>IF('Proposed Lighting'!$CB$309&gt;0.01,'Proposed Lighting'!EP88,0)</f>
        <v>0</v>
      </c>
      <c r="H83" s="1086">
        <f>IF('Proposed Lighting'!$CB$309&gt;0.01,'Proposed Lighting'!EQ88,0)</f>
        <v>0</v>
      </c>
      <c r="I83" s="1045"/>
    </row>
    <row r="84" spans="1:9" ht="46.5" customHeight="1">
      <c r="A84" s="1115">
        <f>IF('Proposed Lighting'!BZ89&gt;0.01,'Proposed Lighting'!A89,IF('Proposed Lighting'!CA89&gt;0.01,'Proposed Lighting'!A89,0))</f>
        <v>0</v>
      </c>
      <c r="B84" s="1115">
        <f>'Proposed Lighting'!B89</f>
        <v>0</v>
      </c>
      <c r="C84" s="1085">
        <f>IF(A84&gt;0.01,'Proposed Lighting'!T89,0)</f>
        <v>0</v>
      </c>
      <c r="D84" s="1086">
        <f>IF('Proposed Lighting'!$CB$309&gt;0.01,'Proposed Lighting'!EM89,0)</f>
        <v>0</v>
      </c>
      <c r="E84" s="1086">
        <f>IF('Proposed Lighting'!$CB$309&gt;0.01,'Proposed Lighting'!EN89,0)</f>
        <v>0</v>
      </c>
      <c r="F84" s="1086">
        <f>IF('Proposed Lighting'!$CB$309&gt;0.01,'Proposed Lighting'!EO89,0)</f>
        <v>0</v>
      </c>
      <c r="G84" s="1086">
        <f>IF('Proposed Lighting'!$CB$309&gt;0.01,'Proposed Lighting'!EP89,0)</f>
        <v>0</v>
      </c>
      <c r="H84" s="1086">
        <f>IF('Proposed Lighting'!$CB$309&gt;0.01,'Proposed Lighting'!EQ89,0)</f>
        <v>0</v>
      </c>
      <c r="I84" s="1045"/>
    </row>
    <row r="85" spans="1:9" ht="46.5" customHeight="1">
      <c r="A85" s="1115">
        <f>IF('Proposed Lighting'!BZ90&gt;0.01,'Proposed Lighting'!A90,IF('Proposed Lighting'!CA90&gt;0.01,'Proposed Lighting'!A90,0))</f>
        <v>0</v>
      </c>
      <c r="B85" s="1115">
        <f>'Proposed Lighting'!B90</f>
        <v>0</v>
      </c>
      <c r="C85" s="1085">
        <f>IF(A85&gt;0.01,'Proposed Lighting'!T90,0)</f>
        <v>0</v>
      </c>
      <c r="D85" s="1086">
        <f>IF('Proposed Lighting'!$CB$309&gt;0.01,'Proposed Lighting'!EM90,0)</f>
        <v>0</v>
      </c>
      <c r="E85" s="1086">
        <f>IF('Proposed Lighting'!$CB$309&gt;0.01,'Proposed Lighting'!EN90,0)</f>
        <v>0</v>
      </c>
      <c r="F85" s="1086">
        <f>IF('Proposed Lighting'!$CB$309&gt;0.01,'Proposed Lighting'!EO90,0)</f>
        <v>0</v>
      </c>
      <c r="G85" s="1086">
        <f>IF('Proposed Lighting'!$CB$309&gt;0.01,'Proposed Lighting'!EP90,0)</f>
        <v>0</v>
      </c>
      <c r="H85" s="1086">
        <f>IF('Proposed Lighting'!$CB$309&gt;0.01,'Proposed Lighting'!EQ90,0)</f>
        <v>0</v>
      </c>
      <c r="I85" s="1045"/>
    </row>
    <row r="86" spans="1:9" ht="46.5" customHeight="1">
      <c r="A86" s="1115">
        <f>IF('Proposed Lighting'!BZ91&gt;0.01,'Proposed Lighting'!A91,IF('Proposed Lighting'!CA91&gt;0.01,'Proposed Lighting'!A91,0))</f>
        <v>0</v>
      </c>
      <c r="B86" s="1115">
        <f>'Proposed Lighting'!B91</f>
        <v>0</v>
      </c>
      <c r="C86" s="1085">
        <f>IF(A86&gt;0.01,'Proposed Lighting'!T91,0)</f>
        <v>0</v>
      </c>
      <c r="D86" s="1086">
        <f>IF('Proposed Lighting'!$CB$309&gt;0.01,'Proposed Lighting'!EM91,0)</f>
        <v>0</v>
      </c>
      <c r="E86" s="1086">
        <f>IF('Proposed Lighting'!$CB$309&gt;0.01,'Proposed Lighting'!EN91,0)</f>
        <v>0</v>
      </c>
      <c r="F86" s="1086">
        <f>IF('Proposed Lighting'!$CB$309&gt;0.01,'Proposed Lighting'!EO91,0)</f>
        <v>0</v>
      </c>
      <c r="G86" s="1086">
        <f>IF('Proposed Lighting'!$CB$309&gt;0.01,'Proposed Lighting'!EP91,0)</f>
        <v>0</v>
      </c>
      <c r="H86" s="1086">
        <f>IF('Proposed Lighting'!$CB$309&gt;0.01,'Proposed Lighting'!EQ91,0)</f>
        <v>0</v>
      </c>
      <c r="I86" s="1045"/>
    </row>
    <row r="87" spans="1:9" ht="46.5" customHeight="1">
      <c r="A87" s="1115">
        <f>IF('Proposed Lighting'!BZ92&gt;0.01,'Proposed Lighting'!A92,IF('Proposed Lighting'!CA92&gt;0.01,'Proposed Lighting'!A92,0))</f>
        <v>0</v>
      </c>
      <c r="B87" s="1115">
        <f>'Proposed Lighting'!B92</f>
        <v>0</v>
      </c>
      <c r="C87" s="1085">
        <f>IF(A87&gt;0.01,'Proposed Lighting'!T92,0)</f>
        <v>0</v>
      </c>
      <c r="D87" s="1086">
        <f>IF('Proposed Lighting'!$CB$309&gt;0.01,'Proposed Lighting'!EM92,0)</f>
        <v>0</v>
      </c>
      <c r="E87" s="1086">
        <f>IF('Proposed Lighting'!$CB$309&gt;0.01,'Proposed Lighting'!EN92,0)</f>
        <v>0</v>
      </c>
      <c r="F87" s="1086">
        <f>IF('Proposed Lighting'!$CB$309&gt;0.01,'Proposed Lighting'!EO92,0)</f>
        <v>0</v>
      </c>
      <c r="G87" s="1086">
        <f>IF('Proposed Lighting'!$CB$309&gt;0.01,'Proposed Lighting'!EP92,0)</f>
        <v>0</v>
      </c>
      <c r="H87" s="1086">
        <f>IF('Proposed Lighting'!$CB$309&gt;0.01,'Proposed Lighting'!EQ92,0)</f>
        <v>0</v>
      </c>
      <c r="I87" s="1045"/>
    </row>
    <row r="88" spans="1:9" ht="46.5" customHeight="1">
      <c r="A88" s="1115">
        <f>IF('Proposed Lighting'!BZ93&gt;0.01,'Proposed Lighting'!A93,IF('Proposed Lighting'!CA93&gt;0.01,'Proposed Lighting'!A93,0))</f>
        <v>0</v>
      </c>
      <c r="B88" s="1115">
        <f>'Proposed Lighting'!B93</f>
        <v>0</v>
      </c>
      <c r="C88" s="1085">
        <f>IF(A88&gt;0.01,'Proposed Lighting'!T93,0)</f>
        <v>0</v>
      </c>
      <c r="D88" s="1086">
        <f>IF('Proposed Lighting'!$CB$309&gt;0.01,'Proposed Lighting'!EM93,0)</f>
        <v>0</v>
      </c>
      <c r="E88" s="1086">
        <f>IF('Proposed Lighting'!$CB$309&gt;0.01,'Proposed Lighting'!EN93,0)</f>
        <v>0</v>
      </c>
      <c r="F88" s="1086">
        <f>IF('Proposed Lighting'!$CB$309&gt;0.01,'Proposed Lighting'!EO93,0)</f>
        <v>0</v>
      </c>
      <c r="G88" s="1086">
        <f>IF('Proposed Lighting'!$CB$309&gt;0.01,'Proposed Lighting'!EP93,0)</f>
        <v>0</v>
      </c>
      <c r="H88" s="1086">
        <f>IF('Proposed Lighting'!$CB$309&gt;0.01,'Proposed Lighting'!EQ93,0)</f>
        <v>0</v>
      </c>
      <c r="I88" s="1045"/>
    </row>
    <row r="89" spans="1:9" ht="46.5" customHeight="1">
      <c r="A89" s="1115">
        <f>IF('Proposed Lighting'!BZ94&gt;0.01,'Proposed Lighting'!A94,IF('Proposed Lighting'!CA94&gt;0.01,'Proposed Lighting'!A94,0))</f>
        <v>0</v>
      </c>
      <c r="B89" s="1115">
        <f>'Proposed Lighting'!B94</f>
        <v>0</v>
      </c>
      <c r="C89" s="1085">
        <f>IF(A89&gt;0.01,'Proposed Lighting'!T94,0)</f>
        <v>0</v>
      </c>
      <c r="D89" s="1086">
        <f>IF('Proposed Lighting'!$CB$309&gt;0.01,'Proposed Lighting'!EM94,0)</f>
        <v>0</v>
      </c>
      <c r="E89" s="1086">
        <f>IF('Proposed Lighting'!$CB$309&gt;0.01,'Proposed Lighting'!EN94,0)</f>
        <v>0</v>
      </c>
      <c r="F89" s="1086">
        <f>IF('Proposed Lighting'!$CB$309&gt;0.01,'Proposed Lighting'!EO94,0)</f>
        <v>0</v>
      </c>
      <c r="G89" s="1086">
        <f>IF('Proposed Lighting'!$CB$309&gt;0.01,'Proposed Lighting'!EP94,0)</f>
        <v>0</v>
      </c>
      <c r="H89" s="1086">
        <f>IF('Proposed Lighting'!$CB$309&gt;0.01,'Proposed Lighting'!EQ94,0)</f>
        <v>0</v>
      </c>
      <c r="I89" s="1045"/>
    </row>
    <row r="90" spans="1:9" ht="46.5" customHeight="1">
      <c r="A90" s="1115">
        <f>IF('Proposed Lighting'!BZ95&gt;0.01,'Proposed Lighting'!A95,IF('Proposed Lighting'!CA95&gt;0.01,'Proposed Lighting'!A95,0))</f>
        <v>0</v>
      </c>
      <c r="B90" s="1115">
        <f>'Proposed Lighting'!B95</f>
        <v>0</v>
      </c>
      <c r="C90" s="1085">
        <f>IF(A90&gt;0.01,'Proposed Lighting'!T95,0)</f>
        <v>0</v>
      </c>
      <c r="D90" s="1086">
        <f>IF('Proposed Lighting'!$CB$309&gt;0.01,'Proposed Lighting'!EM95,0)</f>
        <v>0</v>
      </c>
      <c r="E90" s="1086">
        <f>IF('Proposed Lighting'!$CB$309&gt;0.01,'Proposed Lighting'!EN95,0)</f>
        <v>0</v>
      </c>
      <c r="F90" s="1086">
        <f>IF('Proposed Lighting'!$CB$309&gt;0.01,'Proposed Lighting'!EO95,0)</f>
        <v>0</v>
      </c>
      <c r="G90" s="1086">
        <f>IF('Proposed Lighting'!$CB$309&gt;0.01,'Proposed Lighting'!EP95,0)</f>
        <v>0</v>
      </c>
      <c r="H90" s="1086">
        <f>IF('Proposed Lighting'!$CB$309&gt;0.01,'Proposed Lighting'!EQ95,0)</f>
        <v>0</v>
      </c>
      <c r="I90" s="1045"/>
    </row>
    <row r="91" spans="1:9" ht="46.5" customHeight="1">
      <c r="A91" s="1115">
        <f>IF('Proposed Lighting'!BZ96&gt;0.01,'Proposed Lighting'!A96,IF('Proposed Lighting'!CA96&gt;0.01,'Proposed Lighting'!A96,0))</f>
        <v>0</v>
      </c>
      <c r="B91" s="1115">
        <f>'Proposed Lighting'!B96</f>
        <v>0</v>
      </c>
      <c r="C91" s="1085">
        <f>IF(A91&gt;0.01,'Proposed Lighting'!T96,0)</f>
        <v>0</v>
      </c>
      <c r="D91" s="1086">
        <f>IF('Proposed Lighting'!$CB$309&gt;0.01,'Proposed Lighting'!EM96,0)</f>
        <v>0</v>
      </c>
      <c r="E91" s="1086">
        <f>IF('Proposed Lighting'!$CB$309&gt;0.01,'Proposed Lighting'!EN96,0)</f>
        <v>0</v>
      </c>
      <c r="F91" s="1086">
        <f>IF('Proposed Lighting'!$CB$309&gt;0.01,'Proposed Lighting'!EO96,0)</f>
        <v>0</v>
      </c>
      <c r="G91" s="1086">
        <f>IF('Proposed Lighting'!$CB$309&gt;0.01,'Proposed Lighting'!EP96,0)</f>
        <v>0</v>
      </c>
      <c r="H91" s="1086">
        <f>IF('Proposed Lighting'!$CB$309&gt;0.01,'Proposed Lighting'!EQ96,0)</f>
        <v>0</v>
      </c>
      <c r="I91" s="1045"/>
    </row>
    <row r="92" spans="1:9" ht="46.5" customHeight="1">
      <c r="A92" s="1115">
        <f>IF('Proposed Lighting'!BZ97&gt;0.01,'Proposed Lighting'!A97,IF('Proposed Lighting'!CA97&gt;0.01,'Proposed Lighting'!A97,0))</f>
        <v>0</v>
      </c>
      <c r="B92" s="1115">
        <f>'Proposed Lighting'!B97</f>
        <v>0</v>
      </c>
      <c r="C92" s="1085">
        <f>IF(A92&gt;0.01,'Proposed Lighting'!T97,0)</f>
        <v>0</v>
      </c>
      <c r="D92" s="1086">
        <f>IF('Proposed Lighting'!$CB$309&gt;0.01,'Proposed Lighting'!EM97,0)</f>
        <v>0</v>
      </c>
      <c r="E92" s="1086">
        <f>IF('Proposed Lighting'!$CB$309&gt;0.01,'Proposed Lighting'!EN97,0)</f>
        <v>0</v>
      </c>
      <c r="F92" s="1086">
        <f>IF('Proposed Lighting'!$CB$309&gt;0.01,'Proposed Lighting'!EO97,0)</f>
        <v>0</v>
      </c>
      <c r="G92" s="1086">
        <f>IF('Proposed Lighting'!$CB$309&gt;0.01,'Proposed Lighting'!EP97,0)</f>
        <v>0</v>
      </c>
      <c r="H92" s="1086">
        <f>IF('Proposed Lighting'!$CB$309&gt;0.01,'Proposed Lighting'!EQ97,0)</f>
        <v>0</v>
      </c>
      <c r="I92" s="1045"/>
    </row>
    <row r="93" spans="1:9" ht="46.5" customHeight="1">
      <c r="A93" s="1115">
        <f>IF('Proposed Lighting'!BZ98&gt;0.01,'Proposed Lighting'!A98,IF('Proposed Lighting'!CA98&gt;0.01,'Proposed Lighting'!A98,0))</f>
        <v>0</v>
      </c>
      <c r="B93" s="1115">
        <f>'Proposed Lighting'!B98</f>
        <v>0</v>
      </c>
      <c r="C93" s="1085">
        <f>IF(A93&gt;0.01,'Proposed Lighting'!T98,0)</f>
        <v>0</v>
      </c>
      <c r="D93" s="1086">
        <f>IF('Proposed Lighting'!$CB$309&gt;0.01,'Proposed Lighting'!EM98,0)</f>
        <v>0</v>
      </c>
      <c r="E93" s="1086">
        <f>IF('Proposed Lighting'!$CB$309&gt;0.01,'Proposed Lighting'!EN98,0)</f>
        <v>0</v>
      </c>
      <c r="F93" s="1086">
        <f>IF('Proposed Lighting'!$CB$309&gt;0.01,'Proposed Lighting'!EO98,0)</f>
        <v>0</v>
      </c>
      <c r="G93" s="1086">
        <f>IF('Proposed Lighting'!$CB$309&gt;0.01,'Proposed Lighting'!EP98,0)</f>
        <v>0</v>
      </c>
      <c r="H93" s="1086">
        <f>IF('Proposed Lighting'!$CB$309&gt;0.01,'Proposed Lighting'!EQ98,0)</f>
        <v>0</v>
      </c>
      <c r="I93" s="1045"/>
    </row>
    <row r="94" spans="1:9" ht="46.5" customHeight="1">
      <c r="A94" s="1115">
        <f>IF('Proposed Lighting'!BZ99&gt;0.01,'Proposed Lighting'!A99,IF('Proposed Lighting'!CA99&gt;0.01,'Proposed Lighting'!A99,0))</f>
        <v>0</v>
      </c>
      <c r="B94" s="1115">
        <f>'Proposed Lighting'!B99</f>
        <v>0</v>
      </c>
      <c r="C94" s="1085">
        <f>IF(A94&gt;0.01,'Proposed Lighting'!T99,0)</f>
        <v>0</v>
      </c>
      <c r="D94" s="1086">
        <f>IF('Proposed Lighting'!$CB$309&gt;0.01,'Proposed Lighting'!EM99,0)</f>
        <v>0</v>
      </c>
      <c r="E94" s="1086">
        <f>IF('Proposed Lighting'!$CB$309&gt;0.01,'Proposed Lighting'!EN99,0)</f>
        <v>0</v>
      </c>
      <c r="F94" s="1086">
        <f>IF('Proposed Lighting'!$CB$309&gt;0.01,'Proposed Lighting'!EO99,0)</f>
        <v>0</v>
      </c>
      <c r="G94" s="1086">
        <f>IF('Proposed Lighting'!$CB$309&gt;0.01,'Proposed Lighting'!EP99,0)</f>
        <v>0</v>
      </c>
      <c r="H94" s="1086">
        <f>IF('Proposed Lighting'!$CB$309&gt;0.01,'Proposed Lighting'!EQ99,0)</f>
        <v>0</v>
      </c>
      <c r="I94" s="1045"/>
    </row>
    <row r="95" spans="1:9" ht="46.5" customHeight="1">
      <c r="A95" s="1115">
        <f>IF('Proposed Lighting'!BZ100&gt;0.01,'Proposed Lighting'!A100,IF('Proposed Lighting'!CA100&gt;0.01,'Proposed Lighting'!A100,0))</f>
        <v>0</v>
      </c>
      <c r="B95" s="1115">
        <f>'Proposed Lighting'!B100</f>
        <v>0</v>
      </c>
      <c r="C95" s="1085">
        <f>IF(A95&gt;0.01,'Proposed Lighting'!T100,0)</f>
        <v>0</v>
      </c>
      <c r="D95" s="1086">
        <f>IF('Proposed Lighting'!$CB$309&gt;0.01,'Proposed Lighting'!EM100,0)</f>
        <v>0</v>
      </c>
      <c r="E95" s="1086">
        <f>IF('Proposed Lighting'!$CB$309&gt;0.01,'Proposed Lighting'!EN100,0)</f>
        <v>0</v>
      </c>
      <c r="F95" s="1086">
        <f>IF('Proposed Lighting'!$CB$309&gt;0.01,'Proposed Lighting'!EO100,0)</f>
        <v>0</v>
      </c>
      <c r="G95" s="1086">
        <f>IF('Proposed Lighting'!$CB$309&gt;0.01,'Proposed Lighting'!EP100,0)</f>
        <v>0</v>
      </c>
      <c r="H95" s="1086">
        <f>IF('Proposed Lighting'!$CB$309&gt;0.01,'Proposed Lighting'!EQ100,0)</f>
        <v>0</v>
      </c>
      <c r="I95" s="1045"/>
    </row>
    <row r="96" spans="1:9" ht="46.5" customHeight="1">
      <c r="A96" s="1115">
        <f>IF('Proposed Lighting'!BZ101&gt;0.01,'Proposed Lighting'!A101,IF('Proposed Lighting'!CA101&gt;0.01,'Proposed Lighting'!A101,0))</f>
        <v>0</v>
      </c>
      <c r="B96" s="1115">
        <f>'Proposed Lighting'!B101</f>
        <v>0</v>
      </c>
      <c r="C96" s="1085">
        <f>IF(A96&gt;0.01,'Proposed Lighting'!T101,0)</f>
        <v>0</v>
      </c>
      <c r="D96" s="1086">
        <f>IF('Proposed Lighting'!$CB$309&gt;0.01,'Proposed Lighting'!EM101,0)</f>
        <v>0</v>
      </c>
      <c r="E96" s="1086">
        <f>IF('Proposed Lighting'!$CB$309&gt;0.01,'Proposed Lighting'!EN101,0)</f>
        <v>0</v>
      </c>
      <c r="F96" s="1086">
        <f>IF('Proposed Lighting'!$CB$309&gt;0.01,'Proposed Lighting'!EO101,0)</f>
        <v>0</v>
      </c>
      <c r="G96" s="1086">
        <f>IF('Proposed Lighting'!$CB$309&gt;0.01,'Proposed Lighting'!EP101,0)</f>
        <v>0</v>
      </c>
      <c r="H96" s="1086">
        <f>IF('Proposed Lighting'!$CB$309&gt;0.01,'Proposed Lighting'!EQ101,0)</f>
        <v>0</v>
      </c>
      <c r="I96" s="1045"/>
    </row>
    <row r="97" spans="1:9" ht="46.5" customHeight="1">
      <c r="A97" s="1115">
        <f>IF('Proposed Lighting'!BZ102&gt;0.01,'Proposed Lighting'!A102,IF('Proposed Lighting'!CA102&gt;0.01,'Proposed Lighting'!A102,0))</f>
        <v>0</v>
      </c>
      <c r="B97" s="1115">
        <f>'Proposed Lighting'!B102</f>
        <v>0</v>
      </c>
      <c r="C97" s="1085">
        <f>IF(A97&gt;0.01,'Proposed Lighting'!T102,0)</f>
        <v>0</v>
      </c>
      <c r="D97" s="1086">
        <f>IF('Proposed Lighting'!$CB$309&gt;0.01,'Proposed Lighting'!EM102,0)</f>
        <v>0</v>
      </c>
      <c r="E97" s="1086">
        <f>IF('Proposed Lighting'!$CB$309&gt;0.01,'Proposed Lighting'!EN102,0)</f>
        <v>0</v>
      </c>
      <c r="F97" s="1086">
        <f>IF('Proposed Lighting'!$CB$309&gt;0.01,'Proposed Lighting'!EO102,0)</f>
        <v>0</v>
      </c>
      <c r="G97" s="1086">
        <f>IF('Proposed Lighting'!$CB$309&gt;0.01,'Proposed Lighting'!EP102,0)</f>
        <v>0</v>
      </c>
      <c r="H97" s="1086">
        <f>IF('Proposed Lighting'!$CB$309&gt;0.01,'Proposed Lighting'!EQ102,0)</f>
        <v>0</v>
      </c>
      <c r="I97" s="1045"/>
    </row>
    <row r="98" spans="1:9" ht="46.5" customHeight="1">
      <c r="A98" s="1115">
        <f>IF('Proposed Lighting'!BZ103&gt;0.01,'Proposed Lighting'!A103,IF('Proposed Lighting'!CA103&gt;0.01,'Proposed Lighting'!A103,0))</f>
        <v>0</v>
      </c>
      <c r="B98" s="1115">
        <f>'Proposed Lighting'!B103</f>
        <v>0</v>
      </c>
      <c r="C98" s="1085">
        <f>IF(A98&gt;0.01,'Proposed Lighting'!T103,0)</f>
        <v>0</v>
      </c>
      <c r="D98" s="1086">
        <f>IF('Proposed Lighting'!$CB$309&gt;0.01,'Proposed Lighting'!EM103,0)</f>
        <v>0</v>
      </c>
      <c r="E98" s="1086">
        <f>IF('Proposed Lighting'!$CB$309&gt;0.01,'Proposed Lighting'!EN103,0)</f>
        <v>0</v>
      </c>
      <c r="F98" s="1086">
        <f>IF('Proposed Lighting'!$CB$309&gt;0.01,'Proposed Lighting'!EO103,0)</f>
        <v>0</v>
      </c>
      <c r="G98" s="1086">
        <f>IF('Proposed Lighting'!$CB$309&gt;0.01,'Proposed Lighting'!EP103,0)</f>
        <v>0</v>
      </c>
      <c r="H98" s="1086">
        <f>IF('Proposed Lighting'!$CB$309&gt;0.01,'Proposed Lighting'!EQ103,0)</f>
        <v>0</v>
      </c>
      <c r="I98" s="1045"/>
    </row>
    <row r="99" spans="1:9" ht="46.5" customHeight="1">
      <c r="A99" s="1115">
        <f>IF('Proposed Lighting'!BZ104&gt;0.01,'Proposed Lighting'!A104,IF('Proposed Lighting'!CA104&gt;0.01,'Proposed Lighting'!A104,0))</f>
        <v>0</v>
      </c>
      <c r="B99" s="1115">
        <f>'Proposed Lighting'!B104</f>
        <v>0</v>
      </c>
      <c r="C99" s="1085">
        <f>IF(A99&gt;0.01,'Proposed Lighting'!T104,0)</f>
        <v>0</v>
      </c>
      <c r="D99" s="1086">
        <f>IF('Proposed Lighting'!$CB$309&gt;0.01,'Proposed Lighting'!EM104,0)</f>
        <v>0</v>
      </c>
      <c r="E99" s="1086">
        <f>IF('Proposed Lighting'!$CB$309&gt;0.01,'Proposed Lighting'!EN104,0)</f>
        <v>0</v>
      </c>
      <c r="F99" s="1086">
        <f>IF('Proposed Lighting'!$CB$309&gt;0.01,'Proposed Lighting'!EO104,0)</f>
        <v>0</v>
      </c>
      <c r="G99" s="1086">
        <f>IF('Proposed Lighting'!$CB$309&gt;0.01,'Proposed Lighting'!EP104,0)</f>
        <v>0</v>
      </c>
      <c r="H99" s="1086">
        <f>IF('Proposed Lighting'!$CB$309&gt;0.01,'Proposed Lighting'!EQ104,0)</f>
        <v>0</v>
      </c>
      <c r="I99" s="1045"/>
    </row>
    <row r="100" spans="1:9" ht="46.5" customHeight="1">
      <c r="A100" s="1115">
        <f>IF('Proposed Lighting'!BZ105&gt;0.01,'Proposed Lighting'!A105,IF('Proposed Lighting'!CA105&gt;0.01,'Proposed Lighting'!A105,0))</f>
        <v>0</v>
      </c>
      <c r="B100" s="1115">
        <f>'Proposed Lighting'!B105</f>
        <v>0</v>
      </c>
      <c r="C100" s="1085">
        <f>IF(A100&gt;0.01,'Proposed Lighting'!T105,0)</f>
        <v>0</v>
      </c>
      <c r="D100" s="1086">
        <f>IF('Proposed Lighting'!$CB$309&gt;0.01,'Proposed Lighting'!EM105,0)</f>
        <v>0</v>
      </c>
      <c r="E100" s="1086">
        <f>IF('Proposed Lighting'!$CB$309&gt;0.01,'Proposed Lighting'!EN105,0)</f>
        <v>0</v>
      </c>
      <c r="F100" s="1086">
        <f>IF('Proposed Lighting'!$CB$309&gt;0.01,'Proposed Lighting'!EO105,0)</f>
        <v>0</v>
      </c>
      <c r="G100" s="1086">
        <f>IF('Proposed Lighting'!$CB$309&gt;0.01,'Proposed Lighting'!EP105,0)</f>
        <v>0</v>
      </c>
      <c r="H100" s="1086">
        <f>IF('Proposed Lighting'!$CB$309&gt;0.01,'Proposed Lighting'!EQ105,0)</f>
        <v>0</v>
      </c>
      <c r="I100" s="1045"/>
    </row>
    <row r="101" spans="1:9" ht="46.5" customHeight="1">
      <c r="A101" s="1115">
        <f>IF('Proposed Lighting'!BZ106&gt;0.01,'Proposed Lighting'!A106,IF('Proposed Lighting'!CA106&gt;0.01,'Proposed Lighting'!A106,0))</f>
        <v>0</v>
      </c>
      <c r="B101" s="1115">
        <f>'Proposed Lighting'!B106</f>
        <v>0</v>
      </c>
      <c r="C101" s="1085">
        <f>IF(A101&gt;0.01,'Proposed Lighting'!T106,0)</f>
        <v>0</v>
      </c>
      <c r="D101" s="1086">
        <f>IF('Proposed Lighting'!$CB$309&gt;0.01,'Proposed Lighting'!EM106,0)</f>
        <v>0</v>
      </c>
      <c r="E101" s="1086">
        <f>IF('Proposed Lighting'!$CB$309&gt;0.01,'Proposed Lighting'!EN106,0)</f>
        <v>0</v>
      </c>
      <c r="F101" s="1086">
        <f>IF('Proposed Lighting'!$CB$309&gt;0.01,'Proposed Lighting'!EO106,0)</f>
        <v>0</v>
      </c>
      <c r="G101" s="1086">
        <f>IF('Proposed Lighting'!$CB$309&gt;0.01,'Proposed Lighting'!EP106,0)</f>
        <v>0</v>
      </c>
      <c r="H101" s="1086">
        <f>IF('Proposed Lighting'!$CB$309&gt;0.01,'Proposed Lighting'!EQ106,0)</f>
        <v>0</v>
      </c>
      <c r="I101" s="1045"/>
    </row>
    <row r="102" spans="1:9" ht="46.5" customHeight="1">
      <c r="A102" s="1115">
        <f>IF('Proposed Lighting'!BZ107&gt;0.01,'Proposed Lighting'!A107,IF('Proposed Lighting'!CA107&gt;0.01,'Proposed Lighting'!A107,0))</f>
        <v>0</v>
      </c>
      <c r="B102" s="1115">
        <f>'Proposed Lighting'!B107</f>
        <v>0</v>
      </c>
      <c r="C102" s="1085">
        <f>IF(A102&gt;0.01,'Proposed Lighting'!T107,0)</f>
        <v>0</v>
      </c>
      <c r="D102" s="1086">
        <f>IF('Proposed Lighting'!$CB$309&gt;0.01,'Proposed Lighting'!EM107,0)</f>
        <v>0</v>
      </c>
      <c r="E102" s="1086">
        <f>IF('Proposed Lighting'!$CB$309&gt;0.01,'Proposed Lighting'!EN107,0)</f>
        <v>0</v>
      </c>
      <c r="F102" s="1086">
        <f>IF('Proposed Lighting'!$CB$309&gt;0.01,'Proposed Lighting'!EO107,0)</f>
        <v>0</v>
      </c>
      <c r="G102" s="1086">
        <f>IF('Proposed Lighting'!$CB$309&gt;0.01,'Proposed Lighting'!EP107,0)</f>
        <v>0</v>
      </c>
      <c r="H102" s="1086">
        <f>IF('Proposed Lighting'!$CB$309&gt;0.01,'Proposed Lighting'!EQ107,0)</f>
        <v>0</v>
      </c>
      <c r="I102" s="1045"/>
    </row>
    <row r="103" spans="1:9" ht="46.5" customHeight="1">
      <c r="A103" s="1115">
        <f>IF('Proposed Lighting'!BZ108&gt;0.01,'Proposed Lighting'!A108,IF('Proposed Lighting'!CA108&gt;0.01,'Proposed Lighting'!A108,0))</f>
        <v>0</v>
      </c>
      <c r="B103" s="1115">
        <f>'Proposed Lighting'!B108</f>
        <v>0</v>
      </c>
      <c r="C103" s="1085">
        <f>IF(A103&gt;0.01,'Proposed Lighting'!T108,0)</f>
        <v>0</v>
      </c>
      <c r="D103" s="1086">
        <f>IF('Proposed Lighting'!$CB$309&gt;0.01,'Proposed Lighting'!EM108,0)</f>
        <v>0</v>
      </c>
      <c r="E103" s="1086">
        <f>IF('Proposed Lighting'!$CB$309&gt;0.01,'Proposed Lighting'!EN108,0)</f>
        <v>0</v>
      </c>
      <c r="F103" s="1086">
        <f>IF('Proposed Lighting'!$CB$309&gt;0.01,'Proposed Lighting'!EO108,0)</f>
        <v>0</v>
      </c>
      <c r="G103" s="1086">
        <f>IF('Proposed Lighting'!$CB$309&gt;0.01,'Proposed Lighting'!EP108,0)</f>
        <v>0</v>
      </c>
      <c r="H103" s="1086">
        <f>IF('Proposed Lighting'!$CB$309&gt;0.01,'Proposed Lighting'!EQ108,0)</f>
        <v>0</v>
      </c>
      <c r="I103" s="1045"/>
    </row>
    <row r="104" spans="1:9" ht="46.5" customHeight="1">
      <c r="A104" s="1115">
        <f>IF('Proposed Lighting'!BZ109&gt;0.01,'Proposed Lighting'!A109,IF('Proposed Lighting'!CA109&gt;0.01,'Proposed Lighting'!A109,0))</f>
        <v>0</v>
      </c>
      <c r="B104" s="1115">
        <f>'Proposed Lighting'!B109</f>
        <v>0</v>
      </c>
      <c r="C104" s="1085">
        <f>IF(A104&gt;0.01,'Proposed Lighting'!T109,0)</f>
        <v>0</v>
      </c>
      <c r="D104" s="1086">
        <f>IF('Proposed Lighting'!$CB$309&gt;0.01,'Proposed Lighting'!EM109,0)</f>
        <v>0</v>
      </c>
      <c r="E104" s="1086">
        <f>IF('Proposed Lighting'!$CB$309&gt;0.01,'Proposed Lighting'!EN109,0)</f>
        <v>0</v>
      </c>
      <c r="F104" s="1086">
        <f>IF('Proposed Lighting'!$CB$309&gt;0.01,'Proposed Lighting'!EO109,0)</f>
        <v>0</v>
      </c>
      <c r="G104" s="1086">
        <f>IF('Proposed Lighting'!$CB$309&gt;0.01,'Proposed Lighting'!EP109,0)</f>
        <v>0</v>
      </c>
      <c r="H104" s="1086">
        <f>IF('Proposed Lighting'!$CB$309&gt;0.01,'Proposed Lighting'!EQ109,0)</f>
        <v>0</v>
      </c>
      <c r="I104" s="1045"/>
    </row>
    <row r="105" spans="1:9" ht="46.5" customHeight="1">
      <c r="A105" s="1115">
        <f>IF('Proposed Lighting'!BZ110&gt;0.01,'Proposed Lighting'!A110,IF('Proposed Lighting'!CA110&gt;0.01,'Proposed Lighting'!A110,0))</f>
        <v>0</v>
      </c>
      <c r="B105" s="1115">
        <f>'Proposed Lighting'!B110</f>
        <v>0</v>
      </c>
      <c r="C105" s="1085">
        <f>IF(A105&gt;0.01,'Proposed Lighting'!T110,0)</f>
        <v>0</v>
      </c>
      <c r="D105" s="1086">
        <f>IF('Proposed Lighting'!$CB$309&gt;0.01,'Proposed Lighting'!EM110,0)</f>
        <v>0</v>
      </c>
      <c r="E105" s="1086">
        <f>IF('Proposed Lighting'!$CB$309&gt;0.01,'Proposed Lighting'!EN110,0)</f>
        <v>0</v>
      </c>
      <c r="F105" s="1086">
        <f>IF('Proposed Lighting'!$CB$309&gt;0.01,'Proposed Lighting'!EO110,0)</f>
        <v>0</v>
      </c>
      <c r="G105" s="1086">
        <f>IF('Proposed Lighting'!$CB$309&gt;0.01,'Proposed Lighting'!EP110,0)</f>
        <v>0</v>
      </c>
      <c r="H105" s="1086">
        <f>IF('Proposed Lighting'!$CB$309&gt;0.01,'Proposed Lighting'!EQ110,0)</f>
        <v>0</v>
      </c>
      <c r="I105" s="1045"/>
    </row>
    <row r="106" spans="1:9" ht="46.5" customHeight="1">
      <c r="A106" s="1115">
        <f>IF('Proposed Lighting'!BZ111&gt;0.01,'Proposed Lighting'!A111,IF('Proposed Lighting'!CA111&gt;0.01,'Proposed Lighting'!A111,0))</f>
        <v>0</v>
      </c>
      <c r="B106" s="1115">
        <f>'Proposed Lighting'!B111</f>
        <v>0</v>
      </c>
      <c r="C106" s="1085">
        <f>IF(A106&gt;0.01,'Proposed Lighting'!T111,0)</f>
        <v>0</v>
      </c>
      <c r="D106" s="1086">
        <f>IF('Proposed Lighting'!$CB$309&gt;0.01,'Proposed Lighting'!EM111,0)</f>
        <v>0</v>
      </c>
      <c r="E106" s="1086">
        <f>IF('Proposed Lighting'!$CB$309&gt;0.01,'Proposed Lighting'!EN111,0)</f>
        <v>0</v>
      </c>
      <c r="F106" s="1086">
        <f>IF('Proposed Lighting'!$CB$309&gt;0.01,'Proposed Lighting'!EO111,0)</f>
        <v>0</v>
      </c>
      <c r="G106" s="1086">
        <f>IF('Proposed Lighting'!$CB$309&gt;0.01,'Proposed Lighting'!EP111,0)</f>
        <v>0</v>
      </c>
      <c r="H106" s="1086">
        <f>IF('Proposed Lighting'!$CB$309&gt;0.01,'Proposed Lighting'!EQ111,0)</f>
        <v>0</v>
      </c>
      <c r="I106" s="1045"/>
    </row>
    <row r="107" spans="1:9" ht="46.5" customHeight="1">
      <c r="A107" s="1115">
        <f>IF('Proposed Lighting'!BZ112&gt;0.01,'Proposed Lighting'!A112,IF('Proposed Lighting'!CA112&gt;0.01,'Proposed Lighting'!A112,0))</f>
        <v>0</v>
      </c>
      <c r="B107" s="1115">
        <f>'Proposed Lighting'!B112</f>
        <v>0</v>
      </c>
      <c r="C107" s="1085">
        <f>IF(A107&gt;0.01,'Proposed Lighting'!T112,0)</f>
        <v>0</v>
      </c>
      <c r="D107" s="1086">
        <f>IF('Proposed Lighting'!$CB$309&gt;0.01,'Proposed Lighting'!EM112,0)</f>
        <v>0</v>
      </c>
      <c r="E107" s="1086">
        <f>IF('Proposed Lighting'!$CB$309&gt;0.01,'Proposed Lighting'!EN112,0)</f>
        <v>0</v>
      </c>
      <c r="F107" s="1086">
        <f>IF('Proposed Lighting'!$CB$309&gt;0.01,'Proposed Lighting'!EO112,0)</f>
        <v>0</v>
      </c>
      <c r="G107" s="1086">
        <f>IF('Proposed Lighting'!$CB$309&gt;0.01,'Proposed Lighting'!EP112,0)</f>
        <v>0</v>
      </c>
      <c r="H107" s="1086">
        <f>IF('Proposed Lighting'!$CB$309&gt;0.01,'Proposed Lighting'!EQ112,0)</f>
        <v>0</v>
      </c>
      <c r="I107" s="1045"/>
    </row>
    <row r="108" spans="1:9" ht="46.5" customHeight="1">
      <c r="A108" s="1115">
        <f>IF('Proposed Lighting'!BZ113&gt;0.01,'Proposed Lighting'!A113,IF('Proposed Lighting'!CA113&gt;0.01,'Proposed Lighting'!A113,0))</f>
        <v>0</v>
      </c>
      <c r="B108" s="1115">
        <f>'Proposed Lighting'!B113</f>
        <v>0</v>
      </c>
      <c r="C108" s="1085">
        <f>IF(A108&gt;0.01,'Proposed Lighting'!T113,0)</f>
        <v>0</v>
      </c>
      <c r="D108" s="1086">
        <f>IF('Proposed Lighting'!$CB$309&gt;0.01,'Proposed Lighting'!EM113,0)</f>
        <v>0</v>
      </c>
      <c r="E108" s="1086">
        <f>IF('Proposed Lighting'!$CB$309&gt;0.01,'Proposed Lighting'!EN113,0)</f>
        <v>0</v>
      </c>
      <c r="F108" s="1086">
        <f>IF('Proposed Lighting'!$CB$309&gt;0.01,'Proposed Lighting'!EO113,0)</f>
        <v>0</v>
      </c>
      <c r="G108" s="1086">
        <f>IF('Proposed Lighting'!$CB$309&gt;0.01,'Proposed Lighting'!EP113,0)</f>
        <v>0</v>
      </c>
      <c r="H108" s="1086">
        <f>IF('Proposed Lighting'!$CB$309&gt;0.01,'Proposed Lighting'!EQ113,0)</f>
        <v>0</v>
      </c>
      <c r="I108" s="1045"/>
    </row>
    <row r="109" spans="1:9" ht="46.5" customHeight="1">
      <c r="A109" s="1115">
        <f>IF('Proposed Lighting'!BZ114&gt;0.01,'Proposed Lighting'!A114,IF('Proposed Lighting'!CA114&gt;0.01,'Proposed Lighting'!A114,0))</f>
        <v>0</v>
      </c>
      <c r="B109" s="1115">
        <f>'Proposed Lighting'!B114</f>
        <v>0</v>
      </c>
      <c r="C109" s="1085">
        <f>IF(A109&gt;0.01,'Proposed Lighting'!T114,0)</f>
        <v>0</v>
      </c>
      <c r="D109" s="1086">
        <f>IF('Proposed Lighting'!$CB$309&gt;0.01,'Proposed Lighting'!EM114,0)</f>
        <v>0</v>
      </c>
      <c r="E109" s="1086">
        <f>IF('Proposed Lighting'!$CB$309&gt;0.01,'Proposed Lighting'!EN114,0)</f>
        <v>0</v>
      </c>
      <c r="F109" s="1086">
        <f>IF('Proposed Lighting'!$CB$309&gt;0.01,'Proposed Lighting'!EO114,0)</f>
        <v>0</v>
      </c>
      <c r="G109" s="1086">
        <f>IF('Proposed Lighting'!$CB$309&gt;0.01,'Proposed Lighting'!EP114,0)</f>
        <v>0</v>
      </c>
      <c r="H109" s="1086">
        <f>IF('Proposed Lighting'!$CB$309&gt;0.01,'Proposed Lighting'!EQ114,0)</f>
        <v>0</v>
      </c>
      <c r="I109" s="1045"/>
    </row>
    <row r="110" spans="1:9" ht="46.5" customHeight="1">
      <c r="A110" s="1115">
        <f>IF('Proposed Lighting'!BZ115&gt;0.01,'Proposed Lighting'!A115,IF('Proposed Lighting'!CA115&gt;0.01,'Proposed Lighting'!A115,0))</f>
        <v>0</v>
      </c>
      <c r="B110" s="1115">
        <f>'Proposed Lighting'!B115</f>
        <v>0</v>
      </c>
      <c r="C110" s="1085">
        <f>IF(A110&gt;0.01,'Proposed Lighting'!T115,0)</f>
        <v>0</v>
      </c>
      <c r="D110" s="1086">
        <f>IF('Proposed Lighting'!$CB$309&gt;0.01,'Proposed Lighting'!EM115,0)</f>
        <v>0</v>
      </c>
      <c r="E110" s="1086">
        <f>IF('Proposed Lighting'!$CB$309&gt;0.01,'Proposed Lighting'!EN115,0)</f>
        <v>0</v>
      </c>
      <c r="F110" s="1086">
        <f>IF('Proposed Lighting'!$CB$309&gt;0.01,'Proposed Lighting'!EO115,0)</f>
        <v>0</v>
      </c>
      <c r="G110" s="1086">
        <f>IF('Proposed Lighting'!$CB$309&gt;0.01,'Proposed Lighting'!EP115,0)</f>
        <v>0</v>
      </c>
      <c r="H110" s="1086">
        <f>IF('Proposed Lighting'!$CB$309&gt;0.01,'Proposed Lighting'!EQ115,0)</f>
        <v>0</v>
      </c>
      <c r="I110" s="1045"/>
    </row>
    <row r="111" spans="1:9" ht="46.5" customHeight="1">
      <c r="A111" s="1115">
        <f>IF('Proposed Lighting'!BZ116&gt;0.01,'Proposed Lighting'!A116,IF('Proposed Lighting'!CA116&gt;0.01,'Proposed Lighting'!A116,0))</f>
        <v>0</v>
      </c>
      <c r="B111" s="1115">
        <f>'Proposed Lighting'!B116</f>
        <v>0</v>
      </c>
      <c r="C111" s="1085">
        <f>IF(A111&gt;0.01,'Proposed Lighting'!T116,0)</f>
        <v>0</v>
      </c>
      <c r="D111" s="1086">
        <f>IF('Proposed Lighting'!$CB$309&gt;0.01,'Proposed Lighting'!EM116,0)</f>
        <v>0</v>
      </c>
      <c r="E111" s="1086">
        <f>IF('Proposed Lighting'!$CB$309&gt;0.01,'Proposed Lighting'!EN116,0)</f>
        <v>0</v>
      </c>
      <c r="F111" s="1086">
        <f>IF('Proposed Lighting'!$CB$309&gt;0.01,'Proposed Lighting'!EO116,0)</f>
        <v>0</v>
      </c>
      <c r="G111" s="1086">
        <f>IF('Proposed Lighting'!$CB$309&gt;0.01,'Proposed Lighting'!EP116,0)</f>
        <v>0</v>
      </c>
      <c r="H111" s="1086">
        <f>IF('Proposed Lighting'!$CB$309&gt;0.01,'Proposed Lighting'!EQ116,0)</f>
        <v>0</v>
      </c>
      <c r="I111" s="1045"/>
    </row>
    <row r="112" spans="1:9" ht="46.5" customHeight="1">
      <c r="A112" s="1115">
        <f>IF('Proposed Lighting'!BZ117&gt;0.01,'Proposed Lighting'!A117,IF('Proposed Lighting'!CA117&gt;0.01,'Proposed Lighting'!A117,0))</f>
        <v>0</v>
      </c>
      <c r="B112" s="1115">
        <f>'Proposed Lighting'!B117</f>
        <v>0</v>
      </c>
      <c r="C112" s="1085">
        <f>IF(A112&gt;0.01,'Proposed Lighting'!T117,0)</f>
        <v>0</v>
      </c>
      <c r="D112" s="1086">
        <f>IF('Proposed Lighting'!$CB$309&gt;0.01,'Proposed Lighting'!EM117,0)</f>
        <v>0</v>
      </c>
      <c r="E112" s="1086">
        <f>IF('Proposed Lighting'!$CB$309&gt;0.01,'Proposed Lighting'!EN117,0)</f>
        <v>0</v>
      </c>
      <c r="F112" s="1086">
        <f>IF('Proposed Lighting'!$CB$309&gt;0.01,'Proposed Lighting'!EO117,0)</f>
        <v>0</v>
      </c>
      <c r="G112" s="1086">
        <f>IF('Proposed Lighting'!$CB$309&gt;0.01,'Proposed Lighting'!EP117,0)</f>
        <v>0</v>
      </c>
      <c r="H112" s="1086">
        <f>IF('Proposed Lighting'!$CB$309&gt;0.01,'Proposed Lighting'!EQ117,0)</f>
        <v>0</v>
      </c>
      <c r="I112" s="1045"/>
    </row>
    <row r="113" spans="1:9" ht="46.5" customHeight="1">
      <c r="A113" s="1115">
        <f>IF('Proposed Lighting'!BZ118&gt;0.01,'Proposed Lighting'!A118,IF('Proposed Lighting'!CA118&gt;0.01,'Proposed Lighting'!A118,0))</f>
        <v>0</v>
      </c>
      <c r="B113" s="1115">
        <f>'Proposed Lighting'!B118</f>
        <v>0</v>
      </c>
      <c r="C113" s="1085">
        <f>IF(A113&gt;0.01,'Proposed Lighting'!T118,0)</f>
        <v>0</v>
      </c>
      <c r="D113" s="1086">
        <f>IF('Proposed Lighting'!$CB$309&gt;0.01,'Proposed Lighting'!EM118,0)</f>
        <v>0</v>
      </c>
      <c r="E113" s="1086">
        <f>IF('Proposed Lighting'!$CB$309&gt;0.01,'Proposed Lighting'!EN118,0)</f>
        <v>0</v>
      </c>
      <c r="F113" s="1086">
        <f>IF('Proposed Lighting'!$CB$309&gt;0.01,'Proposed Lighting'!EO118,0)</f>
        <v>0</v>
      </c>
      <c r="G113" s="1086">
        <f>IF('Proposed Lighting'!$CB$309&gt;0.01,'Proposed Lighting'!EP118,0)</f>
        <v>0</v>
      </c>
      <c r="H113" s="1086">
        <f>IF('Proposed Lighting'!$CB$309&gt;0.01,'Proposed Lighting'!EQ118,0)</f>
        <v>0</v>
      </c>
      <c r="I113" s="1045"/>
    </row>
    <row r="114" spans="1:9" ht="46.5" customHeight="1">
      <c r="A114" s="1115">
        <f>IF('Proposed Lighting'!BZ119&gt;0.01,'Proposed Lighting'!A119,IF('Proposed Lighting'!CA119&gt;0.01,'Proposed Lighting'!A119,0))</f>
        <v>0</v>
      </c>
      <c r="B114" s="1115">
        <f>'Proposed Lighting'!B119</f>
        <v>0</v>
      </c>
      <c r="C114" s="1085">
        <f>IF(A114&gt;0.01,'Proposed Lighting'!T119,0)</f>
        <v>0</v>
      </c>
      <c r="D114" s="1086">
        <f>IF('Proposed Lighting'!$CB$309&gt;0.01,'Proposed Lighting'!EM119,0)</f>
        <v>0</v>
      </c>
      <c r="E114" s="1086">
        <f>IF('Proposed Lighting'!$CB$309&gt;0.01,'Proposed Lighting'!EN119,0)</f>
        <v>0</v>
      </c>
      <c r="F114" s="1086">
        <f>IF('Proposed Lighting'!$CB$309&gt;0.01,'Proposed Lighting'!EO119,0)</f>
        <v>0</v>
      </c>
      <c r="G114" s="1086">
        <f>IF('Proposed Lighting'!$CB$309&gt;0.01,'Proposed Lighting'!EP119,0)</f>
        <v>0</v>
      </c>
      <c r="H114" s="1086">
        <f>IF('Proposed Lighting'!$CB$309&gt;0.01,'Proposed Lighting'!EQ119,0)</f>
        <v>0</v>
      </c>
      <c r="I114" s="1045"/>
    </row>
    <row r="115" spans="1:9" ht="46.5" customHeight="1">
      <c r="A115" s="1115">
        <f>IF('Proposed Lighting'!BZ120&gt;0.01,'Proposed Lighting'!A120,IF('Proposed Lighting'!CA120&gt;0.01,'Proposed Lighting'!A120,0))</f>
        <v>0</v>
      </c>
      <c r="B115" s="1115">
        <f>'Proposed Lighting'!B120</f>
        <v>0</v>
      </c>
      <c r="C115" s="1085">
        <f>IF(A115&gt;0.01,'Proposed Lighting'!T120,0)</f>
        <v>0</v>
      </c>
      <c r="D115" s="1086">
        <f>IF('Proposed Lighting'!$CB$309&gt;0.01,'Proposed Lighting'!EM120,0)</f>
        <v>0</v>
      </c>
      <c r="E115" s="1086">
        <f>IF('Proposed Lighting'!$CB$309&gt;0.01,'Proposed Lighting'!EN120,0)</f>
        <v>0</v>
      </c>
      <c r="F115" s="1086">
        <f>IF('Proposed Lighting'!$CB$309&gt;0.01,'Proposed Lighting'!EO120,0)</f>
        <v>0</v>
      </c>
      <c r="G115" s="1086">
        <f>IF('Proposed Lighting'!$CB$309&gt;0.01,'Proposed Lighting'!EP120,0)</f>
        <v>0</v>
      </c>
      <c r="H115" s="1086">
        <f>IF('Proposed Lighting'!$CB$309&gt;0.01,'Proposed Lighting'!EQ120,0)</f>
        <v>0</v>
      </c>
      <c r="I115" s="1045"/>
    </row>
    <row r="116" spans="1:9" ht="46.5" customHeight="1">
      <c r="A116" s="1115">
        <f>IF('Proposed Lighting'!BZ121&gt;0.01,'Proposed Lighting'!A121,IF('Proposed Lighting'!CA121&gt;0.01,'Proposed Lighting'!A121,0))</f>
        <v>0</v>
      </c>
      <c r="B116" s="1115">
        <f>'Proposed Lighting'!B121</f>
        <v>0</v>
      </c>
      <c r="C116" s="1085">
        <f>IF(A116&gt;0.01,'Proposed Lighting'!T121,0)</f>
        <v>0</v>
      </c>
      <c r="D116" s="1086">
        <f>IF('Proposed Lighting'!$CB$309&gt;0.01,'Proposed Lighting'!EM121,0)</f>
        <v>0</v>
      </c>
      <c r="E116" s="1086">
        <f>IF('Proposed Lighting'!$CB$309&gt;0.01,'Proposed Lighting'!EN121,0)</f>
        <v>0</v>
      </c>
      <c r="F116" s="1086">
        <f>IF('Proposed Lighting'!$CB$309&gt;0.01,'Proposed Lighting'!EO121,0)</f>
        <v>0</v>
      </c>
      <c r="G116" s="1086">
        <f>IF('Proposed Lighting'!$CB$309&gt;0.01,'Proposed Lighting'!EP121,0)</f>
        <v>0</v>
      </c>
      <c r="H116" s="1086">
        <f>IF('Proposed Lighting'!$CB$309&gt;0.01,'Proposed Lighting'!EQ121,0)</f>
        <v>0</v>
      </c>
      <c r="I116" s="1045"/>
    </row>
    <row r="117" spans="1:9" ht="46.5" customHeight="1">
      <c r="A117" s="1115">
        <f>IF('Proposed Lighting'!BZ122&gt;0.01,'Proposed Lighting'!A122,IF('Proposed Lighting'!CA122&gt;0.01,'Proposed Lighting'!A122,0))</f>
        <v>0</v>
      </c>
      <c r="B117" s="1115">
        <f>'Proposed Lighting'!B122</f>
        <v>0</v>
      </c>
      <c r="C117" s="1085">
        <f>IF(A117&gt;0.01,'Proposed Lighting'!T122,0)</f>
        <v>0</v>
      </c>
      <c r="D117" s="1086">
        <f>IF('Proposed Lighting'!$CB$309&gt;0.01,'Proposed Lighting'!EM122,0)</f>
        <v>0</v>
      </c>
      <c r="E117" s="1086">
        <f>IF('Proposed Lighting'!$CB$309&gt;0.01,'Proposed Lighting'!EN122,0)</f>
        <v>0</v>
      </c>
      <c r="F117" s="1086">
        <f>IF('Proposed Lighting'!$CB$309&gt;0.01,'Proposed Lighting'!EO122,0)</f>
        <v>0</v>
      </c>
      <c r="G117" s="1086">
        <f>IF('Proposed Lighting'!$CB$309&gt;0.01,'Proposed Lighting'!EP122,0)</f>
        <v>0</v>
      </c>
      <c r="H117" s="1086">
        <f>IF('Proposed Lighting'!$CB$309&gt;0.01,'Proposed Lighting'!EQ122,0)</f>
        <v>0</v>
      </c>
      <c r="I117" s="1045"/>
    </row>
    <row r="118" spans="1:9" ht="46.5" customHeight="1">
      <c r="A118" s="1115">
        <f>IF('Proposed Lighting'!BZ123&gt;0.01,'Proposed Lighting'!A123,IF('Proposed Lighting'!CA123&gt;0.01,'Proposed Lighting'!A123,0))</f>
        <v>0</v>
      </c>
      <c r="B118" s="1115">
        <f>'Proposed Lighting'!B123</f>
        <v>0</v>
      </c>
      <c r="C118" s="1085">
        <f>IF(A118&gt;0.01,'Proposed Lighting'!T123,0)</f>
        <v>0</v>
      </c>
      <c r="D118" s="1086">
        <f>IF('Proposed Lighting'!$CB$309&gt;0.01,'Proposed Lighting'!EM123,0)</f>
        <v>0</v>
      </c>
      <c r="E118" s="1086">
        <f>IF('Proposed Lighting'!$CB$309&gt;0.01,'Proposed Lighting'!EN123,0)</f>
        <v>0</v>
      </c>
      <c r="F118" s="1086">
        <f>IF('Proposed Lighting'!$CB$309&gt;0.01,'Proposed Lighting'!EO123,0)</f>
        <v>0</v>
      </c>
      <c r="G118" s="1086">
        <f>IF('Proposed Lighting'!$CB$309&gt;0.01,'Proposed Lighting'!EP123,0)</f>
        <v>0</v>
      </c>
      <c r="H118" s="1086">
        <f>IF('Proposed Lighting'!$CB$309&gt;0.01,'Proposed Lighting'!EQ123,0)</f>
        <v>0</v>
      </c>
      <c r="I118" s="1045"/>
    </row>
    <row r="119" spans="1:9" ht="46.5" customHeight="1">
      <c r="A119" s="1115">
        <f>IF('Proposed Lighting'!BZ124&gt;0.01,'Proposed Lighting'!A124,IF('Proposed Lighting'!CA124&gt;0.01,'Proposed Lighting'!A124,0))</f>
        <v>0</v>
      </c>
      <c r="B119" s="1115">
        <f>'Proposed Lighting'!B124</f>
        <v>0</v>
      </c>
      <c r="C119" s="1085">
        <f>IF(A119&gt;0.01,'Proposed Lighting'!T124,0)</f>
        <v>0</v>
      </c>
      <c r="D119" s="1086">
        <f>IF('Proposed Lighting'!$CB$309&gt;0.01,'Proposed Lighting'!EM124,0)</f>
        <v>0</v>
      </c>
      <c r="E119" s="1086">
        <f>IF('Proposed Lighting'!$CB$309&gt;0.01,'Proposed Lighting'!EN124,0)</f>
        <v>0</v>
      </c>
      <c r="F119" s="1086">
        <f>IF('Proposed Lighting'!$CB$309&gt;0.01,'Proposed Lighting'!EO124,0)</f>
        <v>0</v>
      </c>
      <c r="G119" s="1086">
        <f>IF('Proposed Lighting'!$CB$309&gt;0.01,'Proposed Lighting'!EP124,0)</f>
        <v>0</v>
      </c>
      <c r="H119" s="1086">
        <f>IF('Proposed Lighting'!$CB$309&gt;0.01,'Proposed Lighting'!EQ124,0)</f>
        <v>0</v>
      </c>
      <c r="I119" s="1045"/>
    </row>
    <row r="120" spans="1:9" ht="46.5" customHeight="1">
      <c r="A120" s="1115">
        <f>IF('Proposed Lighting'!BZ125&gt;0.01,'Proposed Lighting'!A125,IF('Proposed Lighting'!CA125&gt;0.01,'Proposed Lighting'!A125,0))</f>
        <v>0</v>
      </c>
      <c r="B120" s="1115">
        <f>'Proposed Lighting'!B125</f>
        <v>0</v>
      </c>
      <c r="C120" s="1085">
        <f>IF(A120&gt;0.01,'Proposed Lighting'!T125,0)</f>
        <v>0</v>
      </c>
      <c r="D120" s="1086">
        <f>IF('Proposed Lighting'!$CB$309&gt;0.01,'Proposed Lighting'!EM125,0)</f>
        <v>0</v>
      </c>
      <c r="E120" s="1086">
        <f>IF('Proposed Lighting'!$CB$309&gt;0.01,'Proposed Lighting'!EN125,0)</f>
        <v>0</v>
      </c>
      <c r="F120" s="1086">
        <f>IF('Proposed Lighting'!$CB$309&gt;0.01,'Proposed Lighting'!EO125,0)</f>
        <v>0</v>
      </c>
      <c r="G120" s="1086">
        <f>IF('Proposed Lighting'!$CB$309&gt;0.01,'Proposed Lighting'!EP125,0)</f>
        <v>0</v>
      </c>
      <c r="H120" s="1086">
        <f>IF('Proposed Lighting'!$CB$309&gt;0.01,'Proposed Lighting'!EQ125,0)</f>
        <v>0</v>
      </c>
      <c r="I120" s="1045"/>
    </row>
    <row r="121" spans="1:9" ht="46.5" customHeight="1">
      <c r="A121" s="1115">
        <f>IF('Proposed Lighting'!BZ126&gt;0.01,'Proposed Lighting'!A126,IF('Proposed Lighting'!CA126&gt;0.01,'Proposed Lighting'!A126,0))</f>
        <v>0</v>
      </c>
      <c r="B121" s="1115">
        <f>'Proposed Lighting'!B126</f>
        <v>0</v>
      </c>
      <c r="C121" s="1085">
        <f>IF(A121&gt;0.01,'Proposed Lighting'!T126,0)</f>
        <v>0</v>
      </c>
      <c r="D121" s="1086">
        <f>IF('Proposed Lighting'!$CB$309&gt;0.01,'Proposed Lighting'!EM126,0)</f>
        <v>0</v>
      </c>
      <c r="E121" s="1086">
        <f>IF('Proposed Lighting'!$CB$309&gt;0.01,'Proposed Lighting'!EN126,0)</f>
        <v>0</v>
      </c>
      <c r="F121" s="1086">
        <f>IF('Proposed Lighting'!$CB$309&gt;0.01,'Proposed Lighting'!EO126,0)</f>
        <v>0</v>
      </c>
      <c r="G121" s="1086">
        <f>IF('Proposed Lighting'!$CB$309&gt;0.01,'Proposed Lighting'!EP126,0)</f>
        <v>0</v>
      </c>
      <c r="H121" s="1086">
        <f>IF('Proposed Lighting'!$CB$309&gt;0.01,'Proposed Lighting'!EQ126,0)</f>
        <v>0</v>
      </c>
      <c r="I121" s="1045"/>
    </row>
    <row r="122" spans="1:9" ht="46.5" customHeight="1">
      <c r="A122" s="1115">
        <f>IF('Proposed Lighting'!BZ127&gt;0.01,'Proposed Lighting'!A127,IF('Proposed Lighting'!CA127&gt;0.01,'Proposed Lighting'!A127,0))</f>
        <v>0</v>
      </c>
      <c r="B122" s="1115">
        <f>'Proposed Lighting'!B127</f>
        <v>0</v>
      </c>
      <c r="C122" s="1085">
        <f>IF(A122&gt;0.01,'Proposed Lighting'!T127,0)</f>
        <v>0</v>
      </c>
      <c r="D122" s="1086">
        <f>IF('Proposed Lighting'!$CB$309&gt;0.01,'Proposed Lighting'!EM127,0)</f>
        <v>0</v>
      </c>
      <c r="E122" s="1086">
        <f>IF('Proposed Lighting'!$CB$309&gt;0.01,'Proposed Lighting'!EN127,0)</f>
        <v>0</v>
      </c>
      <c r="F122" s="1086">
        <f>IF('Proposed Lighting'!$CB$309&gt;0.01,'Proposed Lighting'!EO127,0)</f>
        <v>0</v>
      </c>
      <c r="G122" s="1086">
        <f>IF('Proposed Lighting'!$CB$309&gt;0.01,'Proposed Lighting'!EP127,0)</f>
        <v>0</v>
      </c>
      <c r="H122" s="1086">
        <f>IF('Proposed Lighting'!$CB$309&gt;0.01,'Proposed Lighting'!EQ127,0)</f>
        <v>0</v>
      </c>
      <c r="I122" s="1045"/>
    </row>
    <row r="123" spans="1:9" ht="46.5" customHeight="1">
      <c r="A123" s="1115">
        <f>IF('Proposed Lighting'!BZ128&gt;0.01,'Proposed Lighting'!A128,IF('Proposed Lighting'!CA128&gt;0.01,'Proposed Lighting'!A128,0))</f>
        <v>0</v>
      </c>
      <c r="B123" s="1115">
        <f>'Proposed Lighting'!B128</f>
        <v>0</v>
      </c>
      <c r="C123" s="1085">
        <f>IF(A123&gt;0.01,'Proposed Lighting'!T128,0)</f>
        <v>0</v>
      </c>
      <c r="D123" s="1086">
        <f>IF('Proposed Lighting'!$CB$309&gt;0.01,'Proposed Lighting'!EM128,0)</f>
        <v>0</v>
      </c>
      <c r="E123" s="1086">
        <f>IF('Proposed Lighting'!$CB$309&gt;0.01,'Proposed Lighting'!EN128,0)</f>
        <v>0</v>
      </c>
      <c r="F123" s="1086">
        <f>IF('Proposed Lighting'!$CB$309&gt;0.01,'Proposed Lighting'!EO128,0)</f>
        <v>0</v>
      </c>
      <c r="G123" s="1086">
        <f>IF('Proposed Lighting'!$CB$309&gt;0.01,'Proposed Lighting'!EP128,0)</f>
        <v>0</v>
      </c>
      <c r="H123" s="1086">
        <f>IF('Proposed Lighting'!$CB$309&gt;0.01,'Proposed Lighting'!EQ128,0)</f>
        <v>0</v>
      </c>
      <c r="I123" s="1045"/>
    </row>
    <row r="124" spans="1:9" ht="46.5" customHeight="1">
      <c r="A124" s="1115">
        <f>IF('Proposed Lighting'!BZ129&gt;0.01,'Proposed Lighting'!A129,IF('Proposed Lighting'!CA129&gt;0.01,'Proposed Lighting'!A129,0))</f>
        <v>0</v>
      </c>
      <c r="B124" s="1115">
        <f>'Proposed Lighting'!B129</f>
        <v>0</v>
      </c>
      <c r="C124" s="1085">
        <f>IF(A124&gt;0.01,'Proposed Lighting'!T129,0)</f>
        <v>0</v>
      </c>
      <c r="D124" s="1086">
        <f>IF('Proposed Lighting'!$CB$309&gt;0.01,'Proposed Lighting'!EM129,0)</f>
        <v>0</v>
      </c>
      <c r="E124" s="1086">
        <f>IF('Proposed Lighting'!$CB$309&gt;0.01,'Proposed Lighting'!EN129,0)</f>
        <v>0</v>
      </c>
      <c r="F124" s="1086">
        <f>IF('Proposed Lighting'!$CB$309&gt;0.01,'Proposed Lighting'!EO129,0)</f>
        <v>0</v>
      </c>
      <c r="G124" s="1086">
        <f>IF('Proposed Lighting'!$CB$309&gt;0.01,'Proposed Lighting'!EP129,0)</f>
        <v>0</v>
      </c>
      <c r="H124" s="1086">
        <f>IF('Proposed Lighting'!$CB$309&gt;0.01,'Proposed Lighting'!EQ129,0)</f>
        <v>0</v>
      </c>
      <c r="I124" s="1045"/>
    </row>
    <row r="125" spans="1:9" ht="46.5" customHeight="1">
      <c r="A125" s="1115">
        <f>IF('Proposed Lighting'!BZ130&gt;0.01,'Proposed Lighting'!A130,IF('Proposed Lighting'!CA130&gt;0.01,'Proposed Lighting'!A130,0))</f>
        <v>0</v>
      </c>
      <c r="B125" s="1115">
        <f>'Proposed Lighting'!B130</f>
        <v>0</v>
      </c>
      <c r="C125" s="1085">
        <f>IF(A125&gt;0.01,'Proposed Lighting'!T130,0)</f>
        <v>0</v>
      </c>
      <c r="D125" s="1086">
        <f>IF('Proposed Lighting'!$CB$309&gt;0.01,'Proposed Lighting'!EM130,0)</f>
        <v>0</v>
      </c>
      <c r="E125" s="1086">
        <f>IF('Proposed Lighting'!$CB$309&gt;0.01,'Proposed Lighting'!EN130,0)</f>
        <v>0</v>
      </c>
      <c r="F125" s="1086">
        <f>IF('Proposed Lighting'!$CB$309&gt;0.01,'Proposed Lighting'!EO130,0)</f>
        <v>0</v>
      </c>
      <c r="G125" s="1086">
        <f>IF('Proposed Lighting'!$CB$309&gt;0.01,'Proposed Lighting'!EP130,0)</f>
        <v>0</v>
      </c>
      <c r="H125" s="1086">
        <f>IF('Proposed Lighting'!$CB$309&gt;0.01,'Proposed Lighting'!EQ130,0)</f>
        <v>0</v>
      </c>
      <c r="I125" s="1045"/>
    </row>
    <row r="126" spans="1:9" ht="46.5" customHeight="1">
      <c r="A126" s="1115">
        <f>IF('Proposed Lighting'!BZ131&gt;0.01,'Proposed Lighting'!A131,IF('Proposed Lighting'!CA131&gt;0.01,'Proposed Lighting'!A131,0))</f>
        <v>0</v>
      </c>
      <c r="B126" s="1115">
        <f>'Proposed Lighting'!B131</f>
        <v>0</v>
      </c>
      <c r="C126" s="1085">
        <f>IF(A126&gt;0.01,'Proposed Lighting'!T131,0)</f>
        <v>0</v>
      </c>
      <c r="D126" s="1086">
        <f>IF('Proposed Lighting'!$CB$309&gt;0.01,'Proposed Lighting'!EM131,0)</f>
        <v>0</v>
      </c>
      <c r="E126" s="1086">
        <f>IF('Proposed Lighting'!$CB$309&gt;0.01,'Proposed Lighting'!EN131,0)</f>
        <v>0</v>
      </c>
      <c r="F126" s="1086">
        <f>IF('Proposed Lighting'!$CB$309&gt;0.01,'Proposed Lighting'!EO131,0)</f>
        <v>0</v>
      </c>
      <c r="G126" s="1086">
        <f>IF('Proposed Lighting'!$CB$309&gt;0.01,'Proposed Lighting'!EP131,0)</f>
        <v>0</v>
      </c>
      <c r="H126" s="1086">
        <f>IF('Proposed Lighting'!$CB$309&gt;0.01,'Proposed Lighting'!EQ131,0)</f>
        <v>0</v>
      </c>
      <c r="I126" s="1045"/>
    </row>
    <row r="127" spans="1:9" ht="46.5" customHeight="1">
      <c r="A127" s="1115">
        <f>IF('Proposed Lighting'!BZ132&gt;0.01,'Proposed Lighting'!A132,IF('Proposed Lighting'!CA132&gt;0.01,'Proposed Lighting'!A132,0))</f>
        <v>0</v>
      </c>
      <c r="B127" s="1115">
        <f>'Proposed Lighting'!B132</f>
        <v>0</v>
      </c>
      <c r="C127" s="1085">
        <f>IF(A127&gt;0.01,'Proposed Lighting'!T132,0)</f>
        <v>0</v>
      </c>
      <c r="D127" s="1086">
        <f>IF('Proposed Lighting'!$CB$309&gt;0.01,'Proposed Lighting'!EM132,0)</f>
        <v>0</v>
      </c>
      <c r="E127" s="1086">
        <f>IF('Proposed Lighting'!$CB$309&gt;0.01,'Proposed Lighting'!EN132,0)</f>
        <v>0</v>
      </c>
      <c r="F127" s="1086">
        <f>IF('Proposed Lighting'!$CB$309&gt;0.01,'Proposed Lighting'!EO132,0)</f>
        <v>0</v>
      </c>
      <c r="G127" s="1086">
        <f>IF('Proposed Lighting'!$CB$309&gt;0.01,'Proposed Lighting'!EP132,0)</f>
        <v>0</v>
      </c>
      <c r="H127" s="1086">
        <f>IF('Proposed Lighting'!$CB$309&gt;0.01,'Proposed Lighting'!EQ132,0)</f>
        <v>0</v>
      </c>
      <c r="I127" s="1045"/>
    </row>
    <row r="128" spans="1:9" ht="46.5" customHeight="1">
      <c r="A128" s="1115">
        <f>IF('Proposed Lighting'!BZ133&gt;0.01,'Proposed Lighting'!A133,IF('Proposed Lighting'!CA133&gt;0.01,'Proposed Lighting'!A133,0))</f>
        <v>0</v>
      </c>
      <c r="B128" s="1115">
        <f>'Proposed Lighting'!B133</f>
        <v>0</v>
      </c>
      <c r="C128" s="1085">
        <f>IF(A128&gt;0.01,'Proposed Lighting'!T133,0)</f>
        <v>0</v>
      </c>
      <c r="D128" s="1086">
        <f>IF('Proposed Lighting'!$CB$309&gt;0.01,'Proposed Lighting'!EM133,0)</f>
        <v>0</v>
      </c>
      <c r="E128" s="1086">
        <f>IF('Proposed Lighting'!$CB$309&gt;0.01,'Proposed Lighting'!EN133,0)</f>
        <v>0</v>
      </c>
      <c r="F128" s="1086">
        <f>IF('Proposed Lighting'!$CB$309&gt;0.01,'Proposed Lighting'!EO133,0)</f>
        <v>0</v>
      </c>
      <c r="G128" s="1086">
        <f>IF('Proposed Lighting'!$CB$309&gt;0.01,'Proposed Lighting'!EP133,0)</f>
        <v>0</v>
      </c>
      <c r="H128" s="1086">
        <f>IF('Proposed Lighting'!$CB$309&gt;0.01,'Proposed Lighting'!EQ133,0)</f>
        <v>0</v>
      </c>
      <c r="I128" s="1045"/>
    </row>
    <row r="129" spans="1:9" ht="46.5" customHeight="1">
      <c r="A129" s="1115">
        <f>IF('Proposed Lighting'!BZ134&gt;0.01,'Proposed Lighting'!A134,IF('Proposed Lighting'!CA134&gt;0.01,'Proposed Lighting'!A134,0))</f>
        <v>0</v>
      </c>
      <c r="B129" s="1115">
        <f>'Proposed Lighting'!B134</f>
        <v>0</v>
      </c>
      <c r="C129" s="1085">
        <f>IF(A129&gt;0.01,'Proposed Lighting'!T134,0)</f>
        <v>0</v>
      </c>
      <c r="D129" s="1086">
        <f>IF('Proposed Lighting'!$CB$309&gt;0.01,'Proposed Lighting'!EM134,0)</f>
        <v>0</v>
      </c>
      <c r="E129" s="1086">
        <f>IF('Proposed Lighting'!$CB$309&gt;0.01,'Proposed Lighting'!EN134,0)</f>
        <v>0</v>
      </c>
      <c r="F129" s="1086">
        <f>IF('Proposed Lighting'!$CB$309&gt;0.01,'Proposed Lighting'!EO134,0)</f>
        <v>0</v>
      </c>
      <c r="G129" s="1086">
        <f>IF('Proposed Lighting'!$CB$309&gt;0.01,'Proposed Lighting'!EP134,0)</f>
        <v>0</v>
      </c>
      <c r="H129" s="1086">
        <f>IF('Proposed Lighting'!$CB$309&gt;0.01,'Proposed Lighting'!EQ134,0)</f>
        <v>0</v>
      </c>
      <c r="I129" s="1045"/>
    </row>
    <row r="130" spans="1:9" ht="46.5" customHeight="1">
      <c r="A130" s="1115">
        <f>IF('Proposed Lighting'!BZ135&gt;0.01,'Proposed Lighting'!A135,IF('Proposed Lighting'!CA135&gt;0.01,'Proposed Lighting'!A135,0))</f>
        <v>0</v>
      </c>
      <c r="B130" s="1115">
        <f>'Proposed Lighting'!B135</f>
        <v>0</v>
      </c>
      <c r="C130" s="1085">
        <f>IF(A130&gt;0.01,'Proposed Lighting'!T135,0)</f>
        <v>0</v>
      </c>
      <c r="D130" s="1086">
        <f>IF('Proposed Lighting'!$CB$309&gt;0.01,'Proposed Lighting'!EM135,0)</f>
        <v>0</v>
      </c>
      <c r="E130" s="1086">
        <f>IF('Proposed Lighting'!$CB$309&gt;0.01,'Proposed Lighting'!EN135,0)</f>
        <v>0</v>
      </c>
      <c r="F130" s="1086">
        <f>IF('Proposed Lighting'!$CB$309&gt;0.01,'Proposed Lighting'!EO135,0)</f>
        <v>0</v>
      </c>
      <c r="G130" s="1086">
        <f>IF('Proposed Lighting'!$CB$309&gt;0.01,'Proposed Lighting'!EP135,0)</f>
        <v>0</v>
      </c>
      <c r="H130" s="1086">
        <f>IF('Proposed Lighting'!$CB$309&gt;0.01,'Proposed Lighting'!EQ135,0)</f>
        <v>0</v>
      </c>
      <c r="I130" s="1045"/>
    </row>
    <row r="131" spans="1:9" ht="46.5" customHeight="1">
      <c r="A131" s="1115">
        <f>IF('Proposed Lighting'!BZ136&gt;0.01,'Proposed Lighting'!A136,IF('Proposed Lighting'!CA136&gt;0.01,'Proposed Lighting'!A136,0))</f>
        <v>0</v>
      </c>
      <c r="B131" s="1115">
        <f>'Proposed Lighting'!B136</f>
        <v>0</v>
      </c>
      <c r="C131" s="1085">
        <f>IF(A131&gt;0.01,'Proposed Lighting'!T136,0)</f>
        <v>0</v>
      </c>
      <c r="D131" s="1086">
        <f>IF('Proposed Lighting'!$CB$309&gt;0.01,'Proposed Lighting'!EM136,0)</f>
        <v>0</v>
      </c>
      <c r="E131" s="1086">
        <f>IF('Proposed Lighting'!$CB$309&gt;0.01,'Proposed Lighting'!EN136,0)</f>
        <v>0</v>
      </c>
      <c r="F131" s="1086">
        <f>IF('Proposed Lighting'!$CB$309&gt;0.01,'Proposed Lighting'!EO136,0)</f>
        <v>0</v>
      </c>
      <c r="G131" s="1086">
        <f>IF('Proposed Lighting'!$CB$309&gt;0.01,'Proposed Lighting'!EP136,0)</f>
        <v>0</v>
      </c>
      <c r="H131" s="1086">
        <f>IF('Proposed Lighting'!$CB$309&gt;0.01,'Proposed Lighting'!EQ136,0)</f>
        <v>0</v>
      </c>
      <c r="I131" s="1045"/>
    </row>
    <row r="132" spans="1:9" ht="46.5" customHeight="1">
      <c r="A132" s="1115">
        <f>IF('Proposed Lighting'!BZ137&gt;0.01,'Proposed Lighting'!A137,IF('Proposed Lighting'!CA137&gt;0.01,'Proposed Lighting'!A137,0))</f>
        <v>0</v>
      </c>
      <c r="B132" s="1115">
        <f>'Proposed Lighting'!B137</f>
        <v>0</v>
      </c>
      <c r="C132" s="1085">
        <f>IF(A132&gt;0.01,'Proposed Lighting'!T137,0)</f>
        <v>0</v>
      </c>
      <c r="D132" s="1086">
        <f>IF('Proposed Lighting'!$CB$309&gt;0.01,'Proposed Lighting'!EM137,0)</f>
        <v>0</v>
      </c>
      <c r="E132" s="1086">
        <f>IF('Proposed Lighting'!$CB$309&gt;0.01,'Proposed Lighting'!EN137,0)</f>
        <v>0</v>
      </c>
      <c r="F132" s="1086">
        <f>IF('Proposed Lighting'!$CB$309&gt;0.01,'Proposed Lighting'!EO137,0)</f>
        <v>0</v>
      </c>
      <c r="G132" s="1086">
        <f>IF('Proposed Lighting'!$CB$309&gt;0.01,'Proposed Lighting'!EP137,0)</f>
        <v>0</v>
      </c>
      <c r="H132" s="1086">
        <f>IF('Proposed Lighting'!$CB$309&gt;0.01,'Proposed Lighting'!EQ137,0)</f>
        <v>0</v>
      </c>
      <c r="I132" s="1045"/>
    </row>
    <row r="133" spans="1:9" ht="46.5" customHeight="1">
      <c r="A133" s="1115">
        <f>IF('Proposed Lighting'!BZ138&gt;0.01,'Proposed Lighting'!A138,IF('Proposed Lighting'!CA138&gt;0.01,'Proposed Lighting'!A138,0))</f>
        <v>0</v>
      </c>
      <c r="B133" s="1115">
        <f>'Proposed Lighting'!B138</f>
        <v>0</v>
      </c>
      <c r="C133" s="1085">
        <f>IF(A133&gt;0.01,'Proposed Lighting'!T138,0)</f>
        <v>0</v>
      </c>
      <c r="D133" s="1086">
        <f>IF('Proposed Lighting'!$CB$309&gt;0.01,'Proposed Lighting'!EM138,0)</f>
        <v>0</v>
      </c>
      <c r="E133" s="1086">
        <f>IF('Proposed Lighting'!$CB$309&gt;0.01,'Proposed Lighting'!EN138,0)</f>
        <v>0</v>
      </c>
      <c r="F133" s="1086">
        <f>IF('Proposed Lighting'!$CB$309&gt;0.01,'Proposed Lighting'!EO138,0)</f>
        <v>0</v>
      </c>
      <c r="G133" s="1086">
        <f>IF('Proposed Lighting'!$CB$309&gt;0.01,'Proposed Lighting'!EP138,0)</f>
        <v>0</v>
      </c>
      <c r="H133" s="1086">
        <f>IF('Proposed Lighting'!$CB$309&gt;0.01,'Proposed Lighting'!EQ138,0)</f>
        <v>0</v>
      </c>
      <c r="I133" s="1045"/>
    </row>
    <row r="134" spans="1:9" ht="46.5" customHeight="1">
      <c r="A134" s="1115">
        <f>IF('Proposed Lighting'!BZ139&gt;0.01,'Proposed Lighting'!A139,IF('Proposed Lighting'!CA139&gt;0.01,'Proposed Lighting'!A139,0))</f>
        <v>0</v>
      </c>
      <c r="B134" s="1115">
        <f>'Proposed Lighting'!B139</f>
        <v>0</v>
      </c>
      <c r="C134" s="1085">
        <f>IF(A134&gt;0.01,'Proposed Lighting'!T139,0)</f>
        <v>0</v>
      </c>
      <c r="D134" s="1086">
        <f>IF('Proposed Lighting'!$CB$309&gt;0.01,'Proposed Lighting'!EM139,0)</f>
        <v>0</v>
      </c>
      <c r="E134" s="1086">
        <f>IF('Proposed Lighting'!$CB$309&gt;0.01,'Proposed Lighting'!EN139,0)</f>
        <v>0</v>
      </c>
      <c r="F134" s="1086">
        <f>IF('Proposed Lighting'!$CB$309&gt;0.01,'Proposed Lighting'!EO139,0)</f>
        <v>0</v>
      </c>
      <c r="G134" s="1086">
        <f>IF('Proposed Lighting'!$CB$309&gt;0.01,'Proposed Lighting'!EP139,0)</f>
        <v>0</v>
      </c>
      <c r="H134" s="1086">
        <f>IF('Proposed Lighting'!$CB$309&gt;0.01,'Proposed Lighting'!EQ139,0)</f>
        <v>0</v>
      </c>
      <c r="I134" s="1045"/>
    </row>
    <row r="135" spans="1:9" ht="46.5" customHeight="1">
      <c r="A135" s="1115">
        <f>IF('Proposed Lighting'!BZ140&gt;0.01,'Proposed Lighting'!A140,IF('Proposed Lighting'!CA140&gt;0.01,'Proposed Lighting'!A140,0))</f>
        <v>0</v>
      </c>
      <c r="B135" s="1115">
        <f>'Proposed Lighting'!B140</f>
        <v>0</v>
      </c>
      <c r="C135" s="1085">
        <f>IF(A135&gt;0.01,'Proposed Lighting'!T140,0)</f>
        <v>0</v>
      </c>
      <c r="D135" s="1086">
        <f>IF('Proposed Lighting'!$CB$309&gt;0.01,'Proposed Lighting'!EM140,0)</f>
        <v>0</v>
      </c>
      <c r="E135" s="1086">
        <f>IF('Proposed Lighting'!$CB$309&gt;0.01,'Proposed Lighting'!EN140,0)</f>
        <v>0</v>
      </c>
      <c r="F135" s="1086">
        <f>IF('Proposed Lighting'!$CB$309&gt;0.01,'Proposed Lighting'!EO140,0)</f>
        <v>0</v>
      </c>
      <c r="G135" s="1086">
        <f>IF('Proposed Lighting'!$CB$309&gt;0.01,'Proposed Lighting'!EP140,0)</f>
        <v>0</v>
      </c>
      <c r="H135" s="1086">
        <f>IF('Proposed Lighting'!$CB$309&gt;0.01,'Proposed Lighting'!EQ140,0)</f>
        <v>0</v>
      </c>
      <c r="I135" s="1045"/>
    </row>
    <row r="136" spans="1:9" ht="46.5" customHeight="1">
      <c r="A136" s="1115">
        <f>IF('Proposed Lighting'!BZ141&gt;0.01,'Proposed Lighting'!A141,IF('Proposed Lighting'!CA141&gt;0.01,'Proposed Lighting'!A141,0))</f>
        <v>0</v>
      </c>
      <c r="B136" s="1115">
        <f>'Proposed Lighting'!B141</f>
        <v>0</v>
      </c>
      <c r="C136" s="1085">
        <f>IF(A136&gt;0.01,'Proposed Lighting'!T141,0)</f>
        <v>0</v>
      </c>
      <c r="D136" s="1086">
        <f>IF('Proposed Lighting'!$CB$309&gt;0.01,'Proposed Lighting'!EM141,0)</f>
        <v>0</v>
      </c>
      <c r="E136" s="1086">
        <f>IF('Proposed Lighting'!$CB$309&gt;0.01,'Proposed Lighting'!EN141,0)</f>
        <v>0</v>
      </c>
      <c r="F136" s="1086">
        <f>IF('Proposed Lighting'!$CB$309&gt;0.01,'Proposed Lighting'!EO141,0)</f>
        <v>0</v>
      </c>
      <c r="G136" s="1086">
        <f>IF('Proposed Lighting'!$CB$309&gt;0.01,'Proposed Lighting'!EP141,0)</f>
        <v>0</v>
      </c>
      <c r="H136" s="1086">
        <f>IF('Proposed Lighting'!$CB$309&gt;0.01,'Proposed Lighting'!EQ141,0)</f>
        <v>0</v>
      </c>
      <c r="I136" s="1045"/>
    </row>
    <row r="137" spans="1:9" ht="46.5" customHeight="1">
      <c r="A137" s="1115">
        <f>IF('Proposed Lighting'!BZ142&gt;0.01,'Proposed Lighting'!A142,IF('Proposed Lighting'!CA142&gt;0.01,'Proposed Lighting'!A142,0))</f>
        <v>0</v>
      </c>
      <c r="B137" s="1115">
        <f>'Proposed Lighting'!B142</f>
        <v>0</v>
      </c>
      <c r="C137" s="1085">
        <f>IF(A137&gt;0.01,'Proposed Lighting'!T142,0)</f>
        <v>0</v>
      </c>
      <c r="D137" s="1086">
        <f>IF('Proposed Lighting'!$CB$309&gt;0.01,'Proposed Lighting'!EM142,0)</f>
        <v>0</v>
      </c>
      <c r="E137" s="1086">
        <f>IF('Proposed Lighting'!$CB$309&gt;0.01,'Proposed Lighting'!EN142,0)</f>
        <v>0</v>
      </c>
      <c r="F137" s="1086">
        <f>IF('Proposed Lighting'!$CB$309&gt;0.01,'Proposed Lighting'!EO142,0)</f>
        <v>0</v>
      </c>
      <c r="G137" s="1086">
        <f>IF('Proposed Lighting'!$CB$309&gt;0.01,'Proposed Lighting'!EP142,0)</f>
        <v>0</v>
      </c>
      <c r="H137" s="1086">
        <f>IF('Proposed Lighting'!$CB$309&gt;0.01,'Proposed Lighting'!EQ142,0)</f>
        <v>0</v>
      </c>
      <c r="I137" s="1045"/>
    </row>
    <row r="138" spans="1:9" ht="46.5" customHeight="1">
      <c r="A138" s="1115">
        <f>IF('Proposed Lighting'!BZ143&gt;0.01,'Proposed Lighting'!A143,IF('Proposed Lighting'!CA143&gt;0.01,'Proposed Lighting'!A143,0))</f>
        <v>0</v>
      </c>
      <c r="B138" s="1115">
        <f>'Proposed Lighting'!B143</f>
        <v>0</v>
      </c>
      <c r="C138" s="1085">
        <f>IF(A138&gt;0.01,'Proposed Lighting'!T143,0)</f>
        <v>0</v>
      </c>
      <c r="D138" s="1086">
        <f>IF('Proposed Lighting'!$CB$309&gt;0.01,'Proposed Lighting'!EM143,0)</f>
        <v>0</v>
      </c>
      <c r="E138" s="1086">
        <f>IF('Proposed Lighting'!$CB$309&gt;0.01,'Proposed Lighting'!EN143,0)</f>
        <v>0</v>
      </c>
      <c r="F138" s="1086">
        <f>IF('Proposed Lighting'!$CB$309&gt;0.01,'Proposed Lighting'!EO143,0)</f>
        <v>0</v>
      </c>
      <c r="G138" s="1086">
        <f>IF('Proposed Lighting'!$CB$309&gt;0.01,'Proposed Lighting'!EP143,0)</f>
        <v>0</v>
      </c>
      <c r="H138" s="1086">
        <f>IF('Proposed Lighting'!$CB$309&gt;0.01,'Proposed Lighting'!EQ143,0)</f>
        <v>0</v>
      </c>
      <c r="I138" s="1045"/>
    </row>
    <row r="139" spans="1:9" ht="46.5" customHeight="1">
      <c r="A139" s="1115">
        <f>IF('Proposed Lighting'!BZ144&gt;0.01,'Proposed Lighting'!A144,IF('Proposed Lighting'!CA144&gt;0.01,'Proposed Lighting'!A144,0))</f>
        <v>0</v>
      </c>
      <c r="B139" s="1115">
        <f>'Proposed Lighting'!B144</f>
        <v>0</v>
      </c>
      <c r="C139" s="1085">
        <f>IF(A139&gt;0.01,'Proposed Lighting'!T144,0)</f>
        <v>0</v>
      </c>
      <c r="D139" s="1086">
        <f>IF('Proposed Lighting'!$CB$309&gt;0.01,'Proposed Lighting'!EM144,0)</f>
        <v>0</v>
      </c>
      <c r="E139" s="1086">
        <f>IF('Proposed Lighting'!$CB$309&gt;0.01,'Proposed Lighting'!EN144,0)</f>
        <v>0</v>
      </c>
      <c r="F139" s="1086">
        <f>IF('Proposed Lighting'!$CB$309&gt;0.01,'Proposed Lighting'!EO144,0)</f>
        <v>0</v>
      </c>
      <c r="G139" s="1086">
        <f>IF('Proposed Lighting'!$CB$309&gt;0.01,'Proposed Lighting'!EP144,0)</f>
        <v>0</v>
      </c>
      <c r="H139" s="1086">
        <f>IF('Proposed Lighting'!$CB$309&gt;0.01,'Proposed Lighting'!EQ144,0)</f>
        <v>0</v>
      </c>
      <c r="I139" s="1045"/>
    </row>
    <row r="140" spans="1:9" ht="46.5" customHeight="1">
      <c r="A140" s="1115">
        <f>IF('Proposed Lighting'!BZ145&gt;0.01,'Proposed Lighting'!A145,IF('Proposed Lighting'!CA145&gt;0.01,'Proposed Lighting'!A145,0))</f>
        <v>0</v>
      </c>
      <c r="B140" s="1115">
        <f>'Proposed Lighting'!B145</f>
        <v>0</v>
      </c>
      <c r="C140" s="1085">
        <f>IF(A140&gt;0.01,'Proposed Lighting'!T145,0)</f>
        <v>0</v>
      </c>
      <c r="D140" s="1086">
        <f>IF('Proposed Lighting'!$CB$309&gt;0.01,'Proposed Lighting'!EM145,0)</f>
        <v>0</v>
      </c>
      <c r="E140" s="1086">
        <f>IF('Proposed Lighting'!$CB$309&gt;0.01,'Proposed Lighting'!EN145,0)</f>
        <v>0</v>
      </c>
      <c r="F140" s="1086">
        <f>IF('Proposed Lighting'!$CB$309&gt;0.01,'Proposed Lighting'!EO145,0)</f>
        <v>0</v>
      </c>
      <c r="G140" s="1086">
        <f>IF('Proposed Lighting'!$CB$309&gt;0.01,'Proposed Lighting'!EP145,0)</f>
        <v>0</v>
      </c>
      <c r="H140" s="1086">
        <f>IF('Proposed Lighting'!$CB$309&gt;0.01,'Proposed Lighting'!EQ145,0)</f>
        <v>0</v>
      </c>
      <c r="I140" s="1045"/>
    </row>
    <row r="141" spans="1:9" ht="46.5" customHeight="1">
      <c r="A141" s="1115">
        <f>IF('Proposed Lighting'!BZ146&gt;0.01,'Proposed Lighting'!A146,IF('Proposed Lighting'!CA146&gt;0.01,'Proposed Lighting'!A146,0))</f>
        <v>0</v>
      </c>
      <c r="B141" s="1115">
        <f>'Proposed Lighting'!B146</f>
        <v>0</v>
      </c>
      <c r="C141" s="1085">
        <f>IF(A141&gt;0.01,'Proposed Lighting'!T146,0)</f>
        <v>0</v>
      </c>
      <c r="D141" s="1086">
        <f>IF('Proposed Lighting'!$CB$309&gt;0.01,'Proposed Lighting'!EM146,0)</f>
        <v>0</v>
      </c>
      <c r="E141" s="1086">
        <f>IF('Proposed Lighting'!$CB$309&gt;0.01,'Proposed Lighting'!EN146,0)</f>
        <v>0</v>
      </c>
      <c r="F141" s="1086">
        <f>IF('Proposed Lighting'!$CB$309&gt;0.01,'Proposed Lighting'!EO146,0)</f>
        <v>0</v>
      </c>
      <c r="G141" s="1086">
        <f>IF('Proposed Lighting'!$CB$309&gt;0.01,'Proposed Lighting'!EP146,0)</f>
        <v>0</v>
      </c>
      <c r="H141" s="1086">
        <f>IF('Proposed Lighting'!$CB$309&gt;0.01,'Proposed Lighting'!EQ146,0)</f>
        <v>0</v>
      </c>
      <c r="I141" s="1045"/>
    </row>
    <row r="142" spans="1:9" ht="46.5" customHeight="1">
      <c r="A142" s="1115">
        <f>IF('Proposed Lighting'!BZ147&gt;0.01,'Proposed Lighting'!A147,IF('Proposed Lighting'!CA147&gt;0.01,'Proposed Lighting'!A147,0))</f>
        <v>0</v>
      </c>
      <c r="B142" s="1115">
        <f>'Proposed Lighting'!B147</f>
        <v>0</v>
      </c>
      <c r="C142" s="1085">
        <f>IF(A142&gt;0.01,'Proposed Lighting'!T147,0)</f>
        <v>0</v>
      </c>
      <c r="D142" s="1086">
        <f>IF('Proposed Lighting'!$CB$309&gt;0.01,'Proposed Lighting'!EM147,0)</f>
        <v>0</v>
      </c>
      <c r="E142" s="1086">
        <f>IF('Proposed Lighting'!$CB$309&gt;0.01,'Proposed Lighting'!EN147,0)</f>
        <v>0</v>
      </c>
      <c r="F142" s="1086">
        <f>IF('Proposed Lighting'!$CB$309&gt;0.01,'Proposed Lighting'!EO147,0)</f>
        <v>0</v>
      </c>
      <c r="G142" s="1086">
        <f>IF('Proposed Lighting'!$CB$309&gt;0.01,'Proposed Lighting'!EP147,0)</f>
        <v>0</v>
      </c>
      <c r="H142" s="1086">
        <f>IF('Proposed Lighting'!$CB$309&gt;0.01,'Proposed Lighting'!EQ147,0)</f>
        <v>0</v>
      </c>
      <c r="I142" s="1045"/>
    </row>
    <row r="143" spans="1:9" ht="46.5" customHeight="1">
      <c r="A143" s="1115">
        <f>IF('Proposed Lighting'!BZ148&gt;0.01,'Proposed Lighting'!A148,IF('Proposed Lighting'!CA148&gt;0.01,'Proposed Lighting'!A148,0))</f>
        <v>0</v>
      </c>
      <c r="B143" s="1115">
        <f>'Proposed Lighting'!B148</f>
        <v>0</v>
      </c>
      <c r="C143" s="1085">
        <f>IF(A143&gt;0.01,'Proposed Lighting'!T148,0)</f>
        <v>0</v>
      </c>
      <c r="D143" s="1086">
        <f>IF('Proposed Lighting'!$CB$309&gt;0.01,'Proposed Lighting'!EM148,0)</f>
        <v>0</v>
      </c>
      <c r="E143" s="1086">
        <f>IF('Proposed Lighting'!$CB$309&gt;0.01,'Proposed Lighting'!EN148,0)</f>
        <v>0</v>
      </c>
      <c r="F143" s="1086">
        <f>IF('Proposed Lighting'!$CB$309&gt;0.01,'Proposed Lighting'!EO148,0)</f>
        <v>0</v>
      </c>
      <c r="G143" s="1086">
        <f>IF('Proposed Lighting'!$CB$309&gt;0.01,'Proposed Lighting'!EP148,0)</f>
        <v>0</v>
      </c>
      <c r="H143" s="1086">
        <f>IF('Proposed Lighting'!$CB$309&gt;0.01,'Proposed Lighting'!EQ148,0)</f>
        <v>0</v>
      </c>
      <c r="I143" s="1045"/>
    </row>
    <row r="144" spans="1:9" ht="46.5" customHeight="1">
      <c r="A144" s="1115">
        <f>IF('Proposed Lighting'!BZ149&gt;0.01,'Proposed Lighting'!A149,IF('Proposed Lighting'!CA149&gt;0.01,'Proposed Lighting'!A149,0))</f>
        <v>0</v>
      </c>
      <c r="B144" s="1115">
        <f>'Proposed Lighting'!B149</f>
        <v>0</v>
      </c>
      <c r="C144" s="1085">
        <f>IF(A144&gt;0.01,'Proposed Lighting'!T149,0)</f>
        <v>0</v>
      </c>
      <c r="D144" s="1086">
        <f>IF('Proposed Lighting'!$CB$309&gt;0.01,'Proposed Lighting'!EM149,0)</f>
        <v>0</v>
      </c>
      <c r="E144" s="1086">
        <f>IF('Proposed Lighting'!$CB$309&gt;0.01,'Proposed Lighting'!EN149,0)</f>
        <v>0</v>
      </c>
      <c r="F144" s="1086">
        <f>IF('Proposed Lighting'!$CB$309&gt;0.01,'Proposed Lighting'!EO149,0)</f>
        <v>0</v>
      </c>
      <c r="G144" s="1086">
        <f>IF('Proposed Lighting'!$CB$309&gt;0.01,'Proposed Lighting'!EP149,0)</f>
        <v>0</v>
      </c>
      <c r="H144" s="1086">
        <f>IF('Proposed Lighting'!$CB$309&gt;0.01,'Proposed Lighting'!EQ149,0)</f>
        <v>0</v>
      </c>
      <c r="I144" s="1045"/>
    </row>
    <row r="145" spans="1:9" ht="46.5" customHeight="1">
      <c r="A145" s="1115">
        <f>IF('Proposed Lighting'!BZ150&gt;0.01,'Proposed Lighting'!A150,IF('Proposed Lighting'!CA150&gt;0.01,'Proposed Lighting'!A150,0))</f>
        <v>0</v>
      </c>
      <c r="B145" s="1115">
        <f>'Proposed Lighting'!B150</f>
        <v>0</v>
      </c>
      <c r="C145" s="1085">
        <f>IF(A145&gt;0.01,'Proposed Lighting'!T150,0)</f>
        <v>0</v>
      </c>
      <c r="D145" s="1086">
        <f>IF('Proposed Lighting'!$CB$309&gt;0.01,'Proposed Lighting'!EM150,0)</f>
        <v>0</v>
      </c>
      <c r="E145" s="1086">
        <f>IF('Proposed Lighting'!$CB$309&gt;0.01,'Proposed Lighting'!EN150,0)</f>
        <v>0</v>
      </c>
      <c r="F145" s="1086">
        <f>IF('Proposed Lighting'!$CB$309&gt;0.01,'Proposed Lighting'!EO150,0)</f>
        <v>0</v>
      </c>
      <c r="G145" s="1086">
        <f>IF('Proposed Lighting'!$CB$309&gt;0.01,'Proposed Lighting'!EP150,0)</f>
        <v>0</v>
      </c>
      <c r="H145" s="1086">
        <f>IF('Proposed Lighting'!$CB$309&gt;0.01,'Proposed Lighting'!EQ150,0)</f>
        <v>0</v>
      </c>
      <c r="I145" s="1045"/>
    </row>
    <row r="146" spans="1:9" ht="46.5" customHeight="1">
      <c r="A146" s="1115">
        <f>IF('Proposed Lighting'!BZ151&gt;0.01,'Proposed Lighting'!A151,IF('Proposed Lighting'!CA151&gt;0.01,'Proposed Lighting'!A151,0))</f>
        <v>0</v>
      </c>
      <c r="B146" s="1115">
        <f>'Proposed Lighting'!B151</f>
        <v>0</v>
      </c>
      <c r="C146" s="1085">
        <f>IF(A146&gt;0.01,'Proposed Lighting'!T151,0)</f>
        <v>0</v>
      </c>
      <c r="D146" s="1086">
        <f>IF('Proposed Lighting'!$CB$309&gt;0.01,'Proposed Lighting'!EM151,0)</f>
        <v>0</v>
      </c>
      <c r="E146" s="1086">
        <f>IF('Proposed Lighting'!$CB$309&gt;0.01,'Proposed Lighting'!EN151,0)</f>
        <v>0</v>
      </c>
      <c r="F146" s="1086">
        <f>IF('Proposed Lighting'!$CB$309&gt;0.01,'Proposed Lighting'!EO151,0)</f>
        <v>0</v>
      </c>
      <c r="G146" s="1086">
        <f>IF('Proposed Lighting'!$CB$309&gt;0.01,'Proposed Lighting'!EP151,0)</f>
        <v>0</v>
      </c>
      <c r="H146" s="1086">
        <f>IF('Proposed Lighting'!$CB$309&gt;0.01,'Proposed Lighting'!EQ151,0)</f>
        <v>0</v>
      </c>
      <c r="I146" s="1045"/>
    </row>
    <row r="147" spans="1:9" ht="46.5" customHeight="1">
      <c r="A147" s="1115">
        <f>IF('Proposed Lighting'!BZ152&gt;0.01,'Proposed Lighting'!A152,IF('Proposed Lighting'!CA152&gt;0.01,'Proposed Lighting'!A152,0))</f>
        <v>0</v>
      </c>
      <c r="B147" s="1115">
        <f>'Proposed Lighting'!B152</f>
        <v>0</v>
      </c>
      <c r="C147" s="1085">
        <f>IF(A147&gt;0.01,'Proposed Lighting'!T152,0)</f>
        <v>0</v>
      </c>
      <c r="D147" s="1086">
        <f>IF('Proposed Lighting'!$CB$309&gt;0.01,'Proposed Lighting'!EM152,0)</f>
        <v>0</v>
      </c>
      <c r="E147" s="1086">
        <f>IF('Proposed Lighting'!$CB$309&gt;0.01,'Proposed Lighting'!EN152,0)</f>
        <v>0</v>
      </c>
      <c r="F147" s="1086">
        <f>IF('Proposed Lighting'!$CB$309&gt;0.01,'Proposed Lighting'!EO152,0)</f>
        <v>0</v>
      </c>
      <c r="G147" s="1086">
        <f>IF('Proposed Lighting'!$CB$309&gt;0.01,'Proposed Lighting'!EP152,0)</f>
        <v>0</v>
      </c>
      <c r="H147" s="1086">
        <f>IF('Proposed Lighting'!$CB$309&gt;0.01,'Proposed Lighting'!EQ152,0)</f>
        <v>0</v>
      </c>
      <c r="I147" s="1045"/>
    </row>
    <row r="148" spans="1:9" ht="46.5" customHeight="1">
      <c r="A148" s="1115">
        <f>IF('Proposed Lighting'!BZ153&gt;0.01,'Proposed Lighting'!A153,IF('Proposed Lighting'!CA153&gt;0.01,'Proposed Lighting'!A153,0))</f>
        <v>0</v>
      </c>
      <c r="B148" s="1115">
        <f>'Proposed Lighting'!B153</f>
        <v>0</v>
      </c>
      <c r="C148" s="1085">
        <f>IF(A148&gt;0.01,'Proposed Lighting'!T153,0)</f>
        <v>0</v>
      </c>
      <c r="D148" s="1086">
        <f>IF('Proposed Lighting'!$CB$309&gt;0.01,'Proposed Lighting'!EM153,0)</f>
        <v>0</v>
      </c>
      <c r="E148" s="1086">
        <f>IF('Proposed Lighting'!$CB$309&gt;0.01,'Proposed Lighting'!EN153,0)</f>
        <v>0</v>
      </c>
      <c r="F148" s="1086">
        <f>IF('Proposed Lighting'!$CB$309&gt;0.01,'Proposed Lighting'!EO153,0)</f>
        <v>0</v>
      </c>
      <c r="G148" s="1086">
        <f>IF('Proposed Lighting'!$CB$309&gt;0.01,'Proposed Lighting'!EP153,0)</f>
        <v>0</v>
      </c>
      <c r="H148" s="1086">
        <f>IF('Proposed Lighting'!$CB$309&gt;0.01,'Proposed Lighting'!EQ153,0)</f>
        <v>0</v>
      </c>
      <c r="I148" s="1045"/>
    </row>
    <row r="149" spans="1:9" ht="46.5" customHeight="1">
      <c r="A149" s="1115">
        <f>IF('Proposed Lighting'!BZ154&gt;0.01,'Proposed Lighting'!A154,IF('Proposed Lighting'!CA154&gt;0.01,'Proposed Lighting'!A154,0))</f>
        <v>0</v>
      </c>
      <c r="B149" s="1115">
        <f>'Proposed Lighting'!B154</f>
        <v>0</v>
      </c>
      <c r="C149" s="1085">
        <f>IF(A149&gt;0.01,'Proposed Lighting'!T154,0)</f>
        <v>0</v>
      </c>
      <c r="D149" s="1086">
        <f>IF('Proposed Lighting'!$CB$309&gt;0.01,'Proposed Lighting'!EM154,0)</f>
        <v>0</v>
      </c>
      <c r="E149" s="1086">
        <f>IF('Proposed Lighting'!$CB$309&gt;0.01,'Proposed Lighting'!EN154,0)</f>
        <v>0</v>
      </c>
      <c r="F149" s="1086">
        <f>IF('Proposed Lighting'!$CB$309&gt;0.01,'Proposed Lighting'!EO154,0)</f>
        <v>0</v>
      </c>
      <c r="G149" s="1086">
        <f>IF('Proposed Lighting'!$CB$309&gt;0.01,'Proposed Lighting'!EP154,0)</f>
        <v>0</v>
      </c>
      <c r="H149" s="1086">
        <f>IF('Proposed Lighting'!$CB$309&gt;0.01,'Proposed Lighting'!EQ154,0)</f>
        <v>0</v>
      </c>
      <c r="I149" s="1045"/>
    </row>
    <row r="150" spans="1:9" ht="46.5" customHeight="1">
      <c r="A150" s="1115">
        <f>IF('Proposed Lighting'!BZ155&gt;0.01,'Proposed Lighting'!A155,IF('Proposed Lighting'!CA155&gt;0.01,'Proposed Lighting'!A155,0))</f>
        <v>0</v>
      </c>
      <c r="B150" s="1115">
        <f>'Proposed Lighting'!B155</f>
        <v>0</v>
      </c>
      <c r="C150" s="1085">
        <f>IF(A150&gt;0.01,'Proposed Lighting'!T155,0)</f>
        <v>0</v>
      </c>
      <c r="D150" s="1086">
        <f>IF('Proposed Lighting'!$CB$309&gt;0.01,'Proposed Lighting'!EM155,0)</f>
        <v>0</v>
      </c>
      <c r="E150" s="1086">
        <f>IF('Proposed Lighting'!$CB$309&gt;0.01,'Proposed Lighting'!EN155,0)</f>
        <v>0</v>
      </c>
      <c r="F150" s="1086">
        <f>IF('Proposed Lighting'!$CB$309&gt;0.01,'Proposed Lighting'!EO155,0)</f>
        <v>0</v>
      </c>
      <c r="G150" s="1086">
        <f>IF('Proposed Lighting'!$CB$309&gt;0.01,'Proposed Lighting'!EP155,0)</f>
        <v>0</v>
      </c>
      <c r="H150" s="1086">
        <f>IF('Proposed Lighting'!$CB$309&gt;0.01,'Proposed Lighting'!EQ155,0)</f>
        <v>0</v>
      </c>
      <c r="I150" s="1045"/>
    </row>
    <row r="151" spans="1:9" ht="46.5" customHeight="1">
      <c r="A151" s="1115">
        <f>IF('Proposed Lighting'!BZ156&gt;0.01,'Proposed Lighting'!A156,IF('Proposed Lighting'!CA156&gt;0.01,'Proposed Lighting'!A156,0))</f>
        <v>0</v>
      </c>
      <c r="B151" s="1115">
        <f>'Proposed Lighting'!B156</f>
        <v>0</v>
      </c>
      <c r="C151" s="1085">
        <f>IF(A151&gt;0.01,'Proposed Lighting'!T156,0)</f>
        <v>0</v>
      </c>
      <c r="D151" s="1086">
        <f>IF('Proposed Lighting'!$CB$309&gt;0.01,'Proposed Lighting'!EM156,0)</f>
        <v>0</v>
      </c>
      <c r="E151" s="1086">
        <f>IF('Proposed Lighting'!$CB$309&gt;0.01,'Proposed Lighting'!EN156,0)</f>
        <v>0</v>
      </c>
      <c r="F151" s="1086">
        <f>IF('Proposed Lighting'!$CB$309&gt;0.01,'Proposed Lighting'!EO156,0)</f>
        <v>0</v>
      </c>
      <c r="G151" s="1086">
        <f>IF('Proposed Lighting'!$CB$309&gt;0.01,'Proposed Lighting'!EP156,0)</f>
        <v>0</v>
      </c>
      <c r="H151" s="1086">
        <f>IF('Proposed Lighting'!$CB$309&gt;0.01,'Proposed Lighting'!EQ156,0)</f>
        <v>0</v>
      </c>
      <c r="I151" s="1045"/>
    </row>
    <row r="152" spans="1:9" ht="46.5" customHeight="1">
      <c r="A152" s="1115">
        <f>IF('Proposed Lighting'!BZ157&gt;0.01,'Proposed Lighting'!A157,IF('Proposed Lighting'!CA157&gt;0.01,'Proposed Lighting'!A157,0))</f>
        <v>0</v>
      </c>
      <c r="B152" s="1115">
        <f>'Proposed Lighting'!B157</f>
        <v>0</v>
      </c>
      <c r="C152" s="1085">
        <f>IF(A152&gt;0.01,'Proposed Lighting'!T157,0)</f>
        <v>0</v>
      </c>
      <c r="D152" s="1086">
        <f>IF('Proposed Lighting'!$CB$309&gt;0.01,'Proposed Lighting'!EM157,0)</f>
        <v>0</v>
      </c>
      <c r="E152" s="1086">
        <f>IF('Proposed Lighting'!$CB$309&gt;0.01,'Proposed Lighting'!EN157,0)</f>
        <v>0</v>
      </c>
      <c r="F152" s="1086">
        <f>IF('Proposed Lighting'!$CB$309&gt;0.01,'Proposed Lighting'!EO157,0)</f>
        <v>0</v>
      </c>
      <c r="G152" s="1086">
        <f>IF('Proposed Lighting'!$CB$309&gt;0.01,'Proposed Lighting'!EP157,0)</f>
        <v>0</v>
      </c>
      <c r="H152" s="1086">
        <f>IF('Proposed Lighting'!$CB$309&gt;0.01,'Proposed Lighting'!EQ157,0)</f>
        <v>0</v>
      </c>
      <c r="I152" s="1045"/>
    </row>
    <row r="153" spans="1:9" ht="46.5" customHeight="1">
      <c r="A153" s="1115">
        <f>IF('Proposed Lighting'!BZ158&gt;0.01,'Proposed Lighting'!A158,IF('Proposed Lighting'!CA158&gt;0.01,'Proposed Lighting'!A158,0))</f>
        <v>0</v>
      </c>
      <c r="B153" s="1115">
        <f>'Proposed Lighting'!B158</f>
        <v>0</v>
      </c>
      <c r="C153" s="1085">
        <f>IF(A153&gt;0.01,'Proposed Lighting'!T158,0)</f>
        <v>0</v>
      </c>
      <c r="D153" s="1086">
        <f>IF('Proposed Lighting'!$CB$309&gt;0.01,'Proposed Lighting'!EM158,0)</f>
        <v>0</v>
      </c>
      <c r="E153" s="1086">
        <f>IF('Proposed Lighting'!$CB$309&gt;0.01,'Proposed Lighting'!EN158,0)</f>
        <v>0</v>
      </c>
      <c r="F153" s="1086">
        <f>IF('Proposed Lighting'!$CB$309&gt;0.01,'Proposed Lighting'!EO158,0)</f>
        <v>0</v>
      </c>
      <c r="G153" s="1086">
        <f>IF('Proposed Lighting'!$CB$309&gt;0.01,'Proposed Lighting'!EP158,0)</f>
        <v>0</v>
      </c>
      <c r="H153" s="1086">
        <f>IF('Proposed Lighting'!$CB$309&gt;0.01,'Proposed Lighting'!EQ158,0)</f>
        <v>0</v>
      </c>
      <c r="I153" s="1045"/>
    </row>
    <row r="154" spans="1:9" ht="46.5" customHeight="1">
      <c r="A154" s="1115">
        <f>IF('Proposed Lighting'!BZ159&gt;0.01,'Proposed Lighting'!A159,IF('Proposed Lighting'!CA159&gt;0.01,'Proposed Lighting'!A159,0))</f>
        <v>0</v>
      </c>
      <c r="B154" s="1115">
        <f>'Proposed Lighting'!B159</f>
        <v>0</v>
      </c>
      <c r="C154" s="1085">
        <f>IF(A154&gt;0.01,'Proposed Lighting'!T159,0)</f>
        <v>0</v>
      </c>
      <c r="D154" s="1086">
        <f>IF('Proposed Lighting'!$CB$309&gt;0.01,'Proposed Lighting'!EM159,0)</f>
        <v>0</v>
      </c>
      <c r="E154" s="1086">
        <f>IF('Proposed Lighting'!$CB$309&gt;0.01,'Proposed Lighting'!EN159,0)</f>
        <v>0</v>
      </c>
      <c r="F154" s="1086">
        <f>IF('Proposed Lighting'!$CB$309&gt;0.01,'Proposed Lighting'!EO159,0)</f>
        <v>0</v>
      </c>
      <c r="G154" s="1086">
        <f>IF('Proposed Lighting'!$CB$309&gt;0.01,'Proposed Lighting'!EP159,0)</f>
        <v>0</v>
      </c>
      <c r="H154" s="1086">
        <f>IF('Proposed Lighting'!$CB$309&gt;0.01,'Proposed Lighting'!EQ159,0)</f>
        <v>0</v>
      </c>
      <c r="I154" s="1045"/>
    </row>
    <row r="155" spans="1:9" ht="46.5" customHeight="1">
      <c r="A155" s="1115">
        <f>IF('Proposed Lighting'!BZ160&gt;0.01,'Proposed Lighting'!A160,IF('Proposed Lighting'!CA160&gt;0.01,'Proposed Lighting'!A160,0))</f>
        <v>0</v>
      </c>
      <c r="B155" s="1115">
        <f>'Proposed Lighting'!B160</f>
        <v>0</v>
      </c>
      <c r="C155" s="1085">
        <f>IF(A155&gt;0.01,'Proposed Lighting'!T160,0)</f>
        <v>0</v>
      </c>
      <c r="D155" s="1086">
        <f>IF('Proposed Lighting'!$CB$309&gt;0.01,'Proposed Lighting'!EM160,0)</f>
        <v>0</v>
      </c>
      <c r="E155" s="1086">
        <f>IF('Proposed Lighting'!$CB$309&gt;0.01,'Proposed Lighting'!EN160,0)</f>
        <v>0</v>
      </c>
      <c r="F155" s="1086">
        <f>IF('Proposed Lighting'!$CB$309&gt;0.01,'Proposed Lighting'!EO160,0)</f>
        <v>0</v>
      </c>
      <c r="G155" s="1086">
        <f>IF('Proposed Lighting'!$CB$309&gt;0.01,'Proposed Lighting'!EP160,0)</f>
        <v>0</v>
      </c>
      <c r="H155" s="1086">
        <f>IF('Proposed Lighting'!$CB$309&gt;0.01,'Proposed Lighting'!EQ160,0)</f>
        <v>0</v>
      </c>
      <c r="I155" s="1045"/>
    </row>
    <row r="156" spans="1:9" ht="46.5" customHeight="1">
      <c r="A156" s="1115">
        <f>IF('Proposed Lighting'!BZ161&gt;0.01,'Proposed Lighting'!A161,IF('Proposed Lighting'!CA161&gt;0.01,'Proposed Lighting'!A161,0))</f>
        <v>0</v>
      </c>
      <c r="B156" s="1115">
        <f>'Proposed Lighting'!B161</f>
        <v>0</v>
      </c>
      <c r="C156" s="1085">
        <f>IF(A156&gt;0.01,'Proposed Lighting'!T161,0)</f>
        <v>0</v>
      </c>
      <c r="D156" s="1086">
        <f>IF('Proposed Lighting'!$CB$309&gt;0.01,'Proposed Lighting'!EM161,0)</f>
        <v>0</v>
      </c>
      <c r="E156" s="1086">
        <f>IF('Proposed Lighting'!$CB$309&gt;0.01,'Proposed Lighting'!EN161,0)</f>
        <v>0</v>
      </c>
      <c r="F156" s="1086">
        <f>IF('Proposed Lighting'!$CB$309&gt;0.01,'Proposed Lighting'!EO161,0)</f>
        <v>0</v>
      </c>
      <c r="G156" s="1086">
        <f>IF('Proposed Lighting'!$CB$309&gt;0.01,'Proposed Lighting'!EP161,0)</f>
        <v>0</v>
      </c>
      <c r="H156" s="1086">
        <f>IF('Proposed Lighting'!$CB$309&gt;0.01,'Proposed Lighting'!EQ161,0)</f>
        <v>0</v>
      </c>
      <c r="I156" s="1045"/>
    </row>
    <row r="157" spans="1:9" ht="46.5" customHeight="1">
      <c r="A157" s="1115">
        <f>IF('Proposed Lighting'!BZ162&gt;0.01,'Proposed Lighting'!A162,IF('Proposed Lighting'!CA162&gt;0.01,'Proposed Lighting'!A162,0))</f>
        <v>0</v>
      </c>
      <c r="B157" s="1115">
        <f>'Proposed Lighting'!B162</f>
        <v>0</v>
      </c>
      <c r="C157" s="1085">
        <f>IF(A157&gt;0.01,'Proposed Lighting'!T162,0)</f>
        <v>0</v>
      </c>
      <c r="D157" s="1086">
        <f>IF('Proposed Lighting'!$CB$309&gt;0.01,'Proposed Lighting'!EM162,0)</f>
        <v>0</v>
      </c>
      <c r="E157" s="1086">
        <f>IF('Proposed Lighting'!$CB$309&gt;0.01,'Proposed Lighting'!EN162,0)</f>
        <v>0</v>
      </c>
      <c r="F157" s="1086">
        <f>IF('Proposed Lighting'!$CB$309&gt;0.01,'Proposed Lighting'!EO162,0)</f>
        <v>0</v>
      </c>
      <c r="G157" s="1086">
        <f>IF('Proposed Lighting'!$CB$309&gt;0.01,'Proposed Lighting'!EP162,0)</f>
        <v>0</v>
      </c>
      <c r="H157" s="1086">
        <f>IF('Proposed Lighting'!$CB$309&gt;0.01,'Proposed Lighting'!EQ162,0)</f>
        <v>0</v>
      </c>
      <c r="I157" s="1045"/>
    </row>
    <row r="158" spans="1:9" ht="46.5" customHeight="1">
      <c r="A158" s="1115">
        <f>IF('Proposed Lighting'!BZ163&gt;0.01,'Proposed Lighting'!A163,IF('Proposed Lighting'!CA163&gt;0.01,'Proposed Lighting'!A163,0))</f>
        <v>0</v>
      </c>
      <c r="B158" s="1115">
        <f>'Proposed Lighting'!B163</f>
        <v>0</v>
      </c>
      <c r="C158" s="1085">
        <f>IF(A158&gt;0.01,'Proposed Lighting'!T163,0)</f>
        <v>0</v>
      </c>
      <c r="D158" s="1086">
        <f>IF('Proposed Lighting'!$CB$309&gt;0.01,'Proposed Lighting'!EM163,0)</f>
        <v>0</v>
      </c>
      <c r="E158" s="1086">
        <f>IF('Proposed Lighting'!$CB$309&gt;0.01,'Proposed Lighting'!EN163,0)</f>
        <v>0</v>
      </c>
      <c r="F158" s="1086">
        <f>IF('Proposed Lighting'!$CB$309&gt;0.01,'Proposed Lighting'!EO163,0)</f>
        <v>0</v>
      </c>
      <c r="G158" s="1086">
        <f>IF('Proposed Lighting'!$CB$309&gt;0.01,'Proposed Lighting'!EP163,0)</f>
        <v>0</v>
      </c>
      <c r="H158" s="1086">
        <f>IF('Proposed Lighting'!$CB$309&gt;0.01,'Proposed Lighting'!EQ163,0)</f>
        <v>0</v>
      </c>
      <c r="I158" s="1045"/>
    </row>
    <row r="159" spans="1:9" ht="46.5" customHeight="1">
      <c r="A159" s="1115">
        <f>IF('Proposed Lighting'!BZ164&gt;0.01,'Proposed Lighting'!A164,IF('Proposed Lighting'!CA164&gt;0.01,'Proposed Lighting'!A164,0))</f>
        <v>0</v>
      </c>
      <c r="B159" s="1115">
        <f>'Proposed Lighting'!B164</f>
        <v>0</v>
      </c>
      <c r="C159" s="1085">
        <f>IF(A159&gt;0.01,'Proposed Lighting'!T164,0)</f>
        <v>0</v>
      </c>
      <c r="D159" s="1086">
        <f>IF('Proposed Lighting'!$CB$309&gt;0.01,'Proposed Lighting'!EM164,0)</f>
        <v>0</v>
      </c>
      <c r="E159" s="1086">
        <f>IF('Proposed Lighting'!$CB$309&gt;0.01,'Proposed Lighting'!EN164,0)</f>
        <v>0</v>
      </c>
      <c r="F159" s="1086">
        <f>IF('Proposed Lighting'!$CB$309&gt;0.01,'Proposed Lighting'!EO164,0)</f>
        <v>0</v>
      </c>
      <c r="G159" s="1086">
        <f>IF('Proposed Lighting'!$CB$309&gt;0.01,'Proposed Lighting'!EP164,0)</f>
        <v>0</v>
      </c>
      <c r="H159" s="1086">
        <f>IF('Proposed Lighting'!$CB$309&gt;0.01,'Proposed Lighting'!EQ164,0)</f>
        <v>0</v>
      </c>
      <c r="I159" s="1045"/>
    </row>
    <row r="160" spans="1:9" ht="46.5" customHeight="1">
      <c r="A160" s="1115">
        <f>IF('Proposed Lighting'!BZ165&gt;0.01,'Proposed Lighting'!A165,IF('Proposed Lighting'!CA165&gt;0.01,'Proposed Lighting'!A165,0))</f>
        <v>0</v>
      </c>
      <c r="B160" s="1115">
        <f>'Proposed Lighting'!B165</f>
        <v>0</v>
      </c>
      <c r="C160" s="1085">
        <f>IF(A160&gt;0.01,'Proposed Lighting'!T165,0)</f>
        <v>0</v>
      </c>
      <c r="D160" s="1086">
        <f>IF('Proposed Lighting'!$CB$309&gt;0.01,'Proposed Lighting'!EM165,0)</f>
        <v>0</v>
      </c>
      <c r="E160" s="1086">
        <f>IF('Proposed Lighting'!$CB$309&gt;0.01,'Proposed Lighting'!EN165,0)</f>
        <v>0</v>
      </c>
      <c r="F160" s="1086">
        <f>IF('Proposed Lighting'!$CB$309&gt;0.01,'Proposed Lighting'!EO165,0)</f>
        <v>0</v>
      </c>
      <c r="G160" s="1086">
        <f>IF('Proposed Lighting'!$CB$309&gt;0.01,'Proposed Lighting'!EP165,0)</f>
        <v>0</v>
      </c>
      <c r="H160" s="1086">
        <f>IF('Proposed Lighting'!$CB$309&gt;0.01,'Proposed Lighting'!EQ165,0)</f>
        <v>0</v>
      </c>
      <c r="I160" s="1045"/>
    </row>
    <row r="161" spans="1:9" ht="46.5" customHeight="1">
      <c r="A161" s="1115">
        <f>IF('Proposed Lighting'!BZ166&gt;0.01,'Proposed Lighting'!A166,IF('Proposed Lighting'!CA166&gt;0.01,'Proposed Lighting'!A166,0))</f>
        <v>0</v>
      </c>
      <c r="B161" s="1115">
        <f>'Proposed Lighting'!B166</f>
        <v>0</v>
      </c>
      <c r="C161" s="1085">
        <f>IF(A161&gt;0.01,'Proposed Lighting'!T166,0)</f>
        <v>0</v>
      </c>
      <c r="D161" s="1086">
        <f>IF('Proposed Lighting'!$CB$309&gt;0.01,'Proposed Lighting'!EM166,0)</f>
        <v>0</v>
      </c>
      <c r="E161" s="1086">
        <f>IF('Proposed Lighting'!$CB$309&gt;0.01,'Proposed Lighting'!EN166,0)</f>
        <v>0</v>
      </c>
      <c r="F161" s="1086">
        <f>IF('Proposed Lighting'!$CB$309&gt;0.01,'Proposed Lighting'!EO166,0)</f>
        <v>0</v>
      </c>
      <c r="G161" s="1086">
        <f>IF('Proposed Lighting'!$CB$309&gt;0.01,'Proposed Lighting'!EP166,0)</f>
        <v>0</v>
      </c>
      <c r="H161" s="1086">
        <f>IF('Proposed Lighting'!$CB$309&gt;0.01,'Proposed Lighting'!EQ166,0)</f>
        <v>0</v>
      </c>
      <c r="I161" s="1045"/>
    </row>
    <row r="162" spans="1:9" ht="46.5" customHeight="1">
      <c r="A162" s="1115">
        <f>IF('Proposed Lighting'!BZ167&gt;0.01,'Proposed Lighting'!A167,IF('Proposed Lighting'!CA167&gt;0.01,'Proposed Lighting'!A167,0))</f>
        <v>0</v>
      </c>
      <c r="B162" s="1115">
        <f>'Proposed Lighting'!B167</f>
        <v>0</v>
      </c>
      <c r="C162" s="1085">
        <f>IF(A162&gt;0.01,'Proposed Lighting'!T167,0)</f>
        <v>0</v>
      </c>
      <c r="D162" s="1086">
        <f>IF('Proposed Lighting'!$CB$309&gt;0.01,'Proposed Lighting'!EM167,0)</f>
        <v>0</v>
      </c>
      <c r="E162" s="1086">
        <f>IF('Proposed Lighting'!$CB$309&gt;0.01,'Proposed Lighting'!EN167,0)</f>
        <v>0</v>
      </c>
      <c r="F162" s="1086">
        <f>IF('Proposed Lighting'!$CB$309&gt;0.01,'Proposed Lighting'!EO167,0)</f>
        <v>0</v>
      </c>
      <c r="G162" s="1086">
        <f>IF('Proposed Lighting'!$CB$309&gt;0.01,'Proposed Lighting'!EP167,0)</f>
        <v>0</v>
      </c>
      <c r="H162" s="1086">
        <f>IF('Proposed Lighting'!$CB$309&gt;0.01,'Proposed Lighting'!EQ167,0)</f>
        <v>0</v>
      </c>
      <c r="I162" s="1045"/>
    </row>
    <row r="163" spans="1:9" ht="46.5" customHeight="1">
      <c r="A163" s="1115">
        <f>IF('Proposed Lighting'!BZ168&gt;0.01,'Proposed Lighting'!A168,IF('Proposed Lighting'!CA168&gt;0.01,'Proposed Lighting'!A168,0))</f>
        <v>0</v>
      </c>
      <c r="B163" s="1115">
        <f>'Proposed Lighting'!B168</f>
        <v>0</v>
      </c>
      <c r="C163" s="1085">
        <f>IF(A163&gt;0.01,'Proposed Lighting'!T168,0)</f>
        <v>0</v>
      </c>
      <c r="D163" s="1086">
        <f>IF('Proposed Lighting'!$CB$309&gt;0.01,'Proposed Lighting'!EM168,0)</f>
        <v>0</v>
      </c>
      <c r="E163" s="1086">
        <f>IF('Proposed Lighting'!$CB$309&gt;0.01,'Proposed Lighting'!EN168,0)</f>
        <v>0</v>
      </c>
      <c r="F163" s="1086">
        <f>IF('Proposed Lighting'!$CB$309&gt;0.01,'Proposed Lighting'!EO168,0)</f>
        <v>0</v>
      </c>
      <c r="G163" s="1086">
        <f>IF('Proposed Lighting'!$CB$309&gt;0.01,'Proposed Lighting'!EP168,0)</f>
        <v>0</v>
      </c>
      <c r="H163" s="1086">
        <f>IF('Proposed Lighting'!$CB$309&gt;0.01,'Proposed Lighting'!EQ168,0)</f>
        <v>0</v>
      </c>
      <c r="I163" s="1045"/>
    </row>
    <row r="164" spans="1:9" ht="46.5" customHeight="1">
      <c r="A164" s="1115">
        <f>IF('Proposed Lighting'!BZ169&gt;0.01,'Proposed Lighting'!A169,IF('Proposed Lighting'!CA169&gt;0.01,'Proposed Lighting'!A169,0))</f>
        <v>0</v>
      </c>
      <c r="B164" s="1115">
        <f>'Proposed Lighting'!B169</f>
        <v>0</v>
      </c>
      <c r="C164" s="1085">
        <f>IF(A164&gt;0.01,'Proposed Lighting'!T169,0)</f>
        <v>0</v>
      </c>
      <c r="D164" s="1086">
        <f>IF('Proposed Lighting'!$CB$309&gt;0.01,'Proposed Lighting'!EM169,0)</f>
        <v>0</v>
      </c>
      <c r="E164" s="1086">
        <f>IF('Proposed Lighting'!$CB$309&gt;0.01,'Proposed Lighting'!EN169,0)</f>
        <v>0</v>
      </c>
      <c r="F164" s="1086">
        <f>IF('Proposed Lighting'!$CB$309&gt;0.01,'Proposed Lighting'!EO169,0)</f>
        <v>0</v>
      </c>
      <c r="G164" s="1086">
        <f>IF('Proposed Lighting'!$CB$309&gt;0.01,'Proposed Lighting'!EP169,0)</f>
        <v>0</v>
      </c>
      <c r="H164" s="1086">
        <f>IF('Proposed Lighting'!$CB$309&gt;0.01,'Proposed Lighting'!EQ169,0)</f>
        <v>0</v>
      </c>
      <c r="I164" s="1045"/>
    </row>
    <row r="165" spans="1:9" ht="46.5" customHeight="1">
      <c r="A165" s="1115">
        <f>IF('Proposed Lighting'!BZ170&gt;0.01,'Proposed Lighting'!A170,IF('Proposed Lighting'!CA170&gt;0.01,'Proposed Lighting'!A170,0))</f>
        <v>0</v>
      </c>
      <c r="B165" s="1115">
        <f>'Proposed Lighting'!B170</f>
        <v>0</v>
      </c>
      <c r="C165" s="1085">
        <f>IF(A165&gt;0.01,'Proposed Lighting'!T170,0)</f>
        <v>0</v>
      </c>
      <c r="D165" s="1086">
        <f>IF('Proposed Lighting'!$CB$309&gt;0.01,'Proposed Lighting'!EM170,0)</f>
        <v>0</v>
      </c>
      <c r="E165" s="1086">
        <f>IF('Proposed Lighting'!$CB$309&gt;0.01,'Proposed Lighting'!EN170,0)</f>
        <v>0</v>
      </c>
      <c r="F165" s="1086">
        <f>IF('Proposed Lighting'!$CB$309&gt;0.01,'Proposed Lighting'!EO170,0)</f>
        <v>0</v>
      </c>
      <c r="G165" s="1086">
        <f>IF('Proposed Lighting'!$CB$309&gt;0.01,'Proposed Lighting'!EP170,0)</f>
        <v>0</v>
      </c>
      <c r="H165" s="1086">
        <f>IF('Proposed Lighting'!$CB$309&gt;0.01,'Proposed Lighting'!EQ170,0)</f>
        <v>0</v>
      </c>
      <c r="I165" s="1045"/>
    </row>
    <row r="166" spans="1:9" ht="46.5" customHeight="1">
      <c r="A166" s="1115">
        <f>IF('Proposed Lighting'!BZ171&gt;0.01,'Proposed Lighting'!A171,IF('Proposed Lighting'!CA171&gt;0.01,'Proposed Lighting'!A171,0))</f>
        <v>0</v>
      </c>
      <c r="B166" s="1115">
        <f>'Proposed Lighting'!B171</f>
        <v>0</v>
      </c>
      <c r="C166" s="1085">
        <f>IF(A166&gt;0.01,'Proposed Lighting'!T171,0)</f>
        <v>0</v>
      </c>
      <c r="D166" s="1086">
        <f>IF('Proposed Lighting'!$CB$309&gt;0.01,'Proposed Lighting'!EM171,0)</f>
        <v>0</v>
      </c>
      <c r="E166" s="1086">
        <f>IF('Proposed Lighting'!$CB$309&gt;0.01,'Proposed Lighting'!EN171,0)</f>
        <v>0</v>
      </c>
      <c r="F166" s="1086">
        <f>IF('Proposed Lighting'!$CB$309&gt;0.01,'Proposed Lighting'!EO171,0)</f>
        <v>0</v>
      </c>
      <c r="G166" s="1086">
        <f>IF('Proposed Lighting'!$CB$309&gt;0.01,'Proposed Lighting'!EP171,0)</f>
        <v>0</v>
      </c>
      <c r="H166" s="1086">
        <f>IF('Proposed Lighting'!$CB$309&gt;0.01,'Proposed Lighting'!EQ171,0)</f>
        <v>0</v>
      </c>
      <c r="I166" s="1045"/>
    </row>
    <row r="167" spans="1:9" ht="46.5" customHeight="1">
      <c r="A167" s="1115">
        <f>IF('Proposed Lighting'!BZ172&gt;0.01,'Proposed Lighting'!A172,IF('Proposed Lighting'!CA172&gt;0.01,'Proposed Lighting'!A172,0))</f>
        <v>0</v>
      </c>
      <c r="B167" s="1115">
        <f>'Proposed Lighting'!B172</f>
        <v>0</v>
      </c>
      <c r="C167" s="1085">
        <f>IF(A167&gt;0.01,'Proposed Lighting'!T172,0)</f>
        <v>0</v>
      </c>
      <c r="D167" s="1086">
        <f>IF('Proposed Lighting'!$CB$309&gt;0.01,'Proposed Lighting'!EM172,0)</f>
        <v>0</v>
      </c>
      <c r="E167" s="1086">
        <f>IF('Proposed Lighting'!$CB$309&gt;0.01,'Proposed Lighting'!EN172,0)</f>
        <v>0</v>
      </c>
      <c r="F167" s="1086">
        <f>IF('Proposed Lighting'!$CB$309&gt;0.01,'Proposed Lighting'!EO172,0)</f>
        <v>0</v>
      </c>
      <c r="G167" s="1086">
        <f>IF('Proposed Lighting'!$CB$309&gt;0.01,'Proposed Lighting'!EP172,0)</f>
        <v>0</v>
      </c>
      <c r="H167" s="1086">
        <f>IF('Proposed Lighting'!$CB$309&gt;0.01,'Proposed Lighting'!EQ172,0)</f>
        <v>0</v>
      </c>
      <c r="I167" s="1045"/>
    </row>
    <row r="168" spans="1:9" ht="46.5" customHeight="1">
      <c r="A168" s="1115">
        <f>IF('Proposed Lighting'!BZ173&gt;0.01,'Proposed Lighting'!A173,IF('Proposed Lighting'!CA173&gt;0.01,'Proposed Lighting'!A173,0))</f>
        <v>0</v>
      </c>
      <c r="B168" s="1115">
        <f>'Proposed Lighting'!B173</f>
        <v>0</v>
      </c>
      <c r="C168" s="1085">
        <f>IF(A168&gt;0.01,'Proposed Lighting'!T173,0)</f>
        <v>0</v>
      </c>
      <c r="D168" s="1086">
        <f>IF('Proposed Lighting'!$CB$309&gt;0.01,'Proposed Lighting'!EM173,0)</f>
        <v>0</v>
      </c>
      <c r="E168" s="1086">
        <f>IF('Proposed Lighting'!$CB$309&gt;0.01,'Proposed Lighting'!EN173,0)</f>
        <v>0</v>
      </c>
      <c r="F168" s="1086">
        <f>IF('Proposed Lighting'!$CB$309&gt;0.01,'Proposed Lighting'!EO173,0)</f>
        <v>0</v>
      </c>
      <c r="G168" s="1086">
        <f>IF('Proposed Lighting'!$CB$309&gt;0.01,'Proposed Lighting'!EP173,0)</f>
        <v>0</v>
      </c>
      <c r="H168" s="1086">
        <f>IF('Proposed Lighting'!$CB$309&gt;0.01,'Proposed Lighting'!EQ173,0)</f>
        <v>0</v>
      </c>
      <c r="I168" s="1045"/>
    </row>
    <row r="169" spans="1:9" ht="46.5" customHeight="1">
      <c r="A169" s="1115">
        <f>IF('Proposed Lighting'!BZ174&gt;0.01,'Proposed Lighting'!A174,IF('Proposed Lighting'!CA174&gt;0.01,'Proposed Lighting'!A174,0))</f>
        <v>0</v>
      </c>
      <c r="B169" s="1115">
        <f>'Proposed Lighting'!B174</f>
        <v>0</v>
      </c>
      <c r="C169" s="1085">
        <f>IF(A169&gt;0.01,'Proposed Lighting'!T174,0)</f>
        <v>0</v>
      </c>
      <c r="D169" s="1086">
        <f>IF('Proposed Lighting'!$CB$309&gt;0.01,'Proposed Lighting'!EM174,0)</f>
        <v>0</v>
      </c>
      <c r="E169" s="1086">
        <f>IF('Proposed Lighting'!$CB$309&gt;0.01,'Proposed Lighting'!EN174,0)</f>
        <v>0</v>
      </c>
      <c r="F169" s="1086">
        <f>IF('Proposed Lighting'!$CB$309&gt;0.01,'Proposed Lighting'!EO174,0)</f>
        <v>0</v>
      </c>
      <c r="G169" s="1086">
        <f>IF('Proposed Lighting'!$CB$309&gt;0.01,'Proposed Lighting'!EP174,0)</f>
        <v>0</v>
      </c>
      <c r="H169" s="1086">
        <f>IF('Proposed Lighting'!$CB$309&gt;0.01,'Proposed Lighting'!EQ174,0)</f>
        <v>0</v>
      </c>
      <c r="I169" s="1045"/>
    </row>
    <row r="170" spans="1:9" ht="46.5" customHeight="1">
      <c r="A170" s="1115">
        <f>IF('Proposed Lighting'!BZ175&gt;0.01,'Proposed Lighting'!A175,IF('Proposed Lighting'!CA175&gt;0.01,'Proposed Lighting'!A175,0))</f>
        <v>0</v>
      </c>
      <c r="B170" s="1115">
        <f>'Proposed Lighting'!B175</f>
        <v>0</v>
      </c>
      <c r="C170" s="1085">
        <f>IF(A170&gt;0.01,'Proposed Lighting'!T175,0)</f>
        <v>0</v>
      </c>
      <c r="D170" s="1086">
        <f>IF('Proposed Lighting'!$CB$309&gt;0.01,'Proposed Lighting'!EM175,0)</f>
        <v>0</v>
      </c>
      <c r="E170" s="1086">
        <f>IF('Proposed Lighting'!$CB$309&gt;0.01,'Proposed Lighting'!EN175,0)</f>
        <v>0</v>
      </c>
      <c r="F170" s="1086">
        <f>IF('Proposed Lighting'!$CB$309&gt;0.01,'Proposed Lighting'!EO175,0)</f>
        <v>0</v>
      </c>
      <c r="G170" s="1086">
        <f>IF('Proposed Lighting'!$CB$309&gt;0.01,'Proposed Lighting'!EP175,0)</f>
        <v>0</v>
      </c>
      <c r="H170" s="1086">
        <f>IF('Proposed Lighting'!$CB$309&gt;0.01,'Proposed Lighting'!EQ175,0)</f>
        <v>0</v>
      </c>
      <c r="I170" s="1045"/>
    </row>
    <row r="171" spans="1:9" ht="46.5" customHeight="1">
      <c r="A171" s="1115">
        <f>IF('Proposed Lighting'!BZ176&gt;0.01,'Proposed Lighting'!A176,IF('Proposed Lighting'!CA176&gt;0.01,'Proposed Lighting'!A176,0))</f>
        <v>0</v>
      </c>
      <c r="B171" s="1115">
        <f>'Proposed Lighting'!B176</f>
        <v>0</v>
      </c>
      <c r="C171" s="1085">
        <f>IF(A171&gt;0.01,'Proposed Lighting'!T176,0)</f>
        <v>0</v>
      </c>
      <c r="D171" s="1086">
        <f>IF('Proposed Lighting'!$CB$309&gt;0.01,'Proposed Lighting'!EM176,0)</f>
        <v>0</v>
      </c>
      <c r="E171" s="1086">
        <f>IF('Proposed Lighting'!$CB$309&gt;0.01,'Proposed Lighting'!EN176,0)</f>
        <v>0</v>
      </c>
      <c r="F171" s="1086">
        <f>IF('Proposed Lighting'!$CB$309&gt;0.01,'Proposed Lighting'!EO176,0)</f>
        <v>0</v>
      </c>
      <c r="G171" s="1086">
        <f>IF('Proposed Lighting'!$CB$309&gt;0.01,'Proposed Lighting'!EP176,0)</f>
        <v>0</v>
      </c>
      <c r="H171" s="1086">
        <f>IF('Proposed Lighting'!$CB$309&gt;0.01,'Proposed Lighting'!EQ176,0)</f>
        <v>0</v>
      </c>
      <c r="I171" s="1045"/>
    </row>
    <row r="172" spans="1:9" ht="46.5" customHeight="1">
      <c r="A172" s="1115">
        <f>IF('Proposed Lighting'!BZ177&gt;0.01,'Proposed Lighting'!A177,IF('Proposed Lighting'!CA177&gt;0.01,'Proposed Lighting'!A177,0))</f>
        <v>0</v>
      </c>
      <c r="B172" s="1115">
        <f>'Proposed Lighting'!B177</f>
        <v>0</v>
      </c>
      <c r="C172" s="1085">
        <f>IF(A172&gt;0.01,'Proposed Lighting'!T177,0)</f>
        <v>0</v>
      </c>
      <c r="D172" s="1086">
        <f>IF('Proposed Lighting'!$CB$309&gt;0.01,'Proposed Lighting'!EM177,0)</f>
        <v>0</v>
      </c>
      <c r="E172" s="1086">
        <f>IF('Proposed Lighting'!$CB$309&gt;0.01,'Proposed Lighting'!EN177,0)</f>
        <v>0</v>
      </c>
      <c r="F172" s="1086">
        <f>IF('Proposed Lighting'!$CB$309&gt;0.01,'Proposed Lighting'!EO177,0)</f>
        <v>0</v>
      </c>
      <c r="G172" s="1086">
        <f>IF('Proposed Lighting'!$CB$309&gt;0.01,'Proposed Lighting'!EP177,0)</f>
        <v>0</v>
      </c>
      <c r="H172" s="1086">
        <f>IF('Proposed Lighting'!$CB$309&gt;0.01,'Proposed Lighting'!EQ177,0)</f>
        <v>0</v>
      </c>
      <c r="I172" s="1045"/>
    </row>
    <row r="173" spans="1:9" ht="46.5" customHeight="1">
      <c r="A173" s="1115">
        <f>IF('Proposed Lighting'!BZ178&gt;0.01,'Proposed Lighting'!A178,IF('Proposed Lighting'!CA178&gt;0.01,'Proposed Lighting'!A178,0))</f>
        <v>0</v>
      </c>
      <c r="B173" s="1115">
        <f>'Proposed Lighting'!B178</f>
        <v>0</v>
      </c>
      <c r="C173" s="1085">
        <f>IF(A173&gt;0.01,'Proposed Lighting'!T178,0)</f>
        <v>0</v>
      </c>
      <c r="D173" s="1086">
        <f>IF('Proposed Lighting'!$CB$309&gt;0.01,'Proposed Lighting'!EM178,0)</f>
        <v>0</v>
      </c>
      <c r="E173" s="1086">
        <f>IF('Proposed Lighting'!$CB$309&gt;0.01,'Proposed Lighting'!EN178,0)</f>
        <v>0</v>
      </c>
      <c r="F173" s="1086">
        <f>IF('Proposed Lighting'!$CB$309&gt;0.01,'Proposed Lighting'!EO178,0)</f>
        <v>0</v>
      </c>
      <c r="G173" s="1086">
        <f>IF('Proposed Lighting'!$CB$309&gt;0.01,'Proposed Lighting'!EP178,0)</f>
        <v>0</v>
      </c>
      <c r="H173" s="1086">
        <f>IF('Proposed Lighting'!$CB$309&gt;0.01,'Proposed Lighting'!EQ178,0)</f>
        <v>0</v>
      </c>
      <c r="I173" s="1045"/>
    </row>
    <row r="174" spans="1:9" ht="46.5" customHeight="1">
      <c r="A174" s="1115">
        <f>IF('Proposed Lighting'!BZ179&gt;0.01,'Proposed Lighting'!A179,IF('Proposed Lighting'!CA179&gt;0.01,'Proposed Lighting'!A179,0))</f>
        <v>0</v>
      </c>
      <c r="B174" s="1115">
        <f>'Proposed Lighting'!B179</f>
        <v>0</v>
      </c>
      <c r="C174" s="1085">
        <f>IF(A174&gt;0.01,'Proposed Lighting'!T179,0)</f>
        <v>0</v>
      </c>
      <c r="D174" s="1086">
        <f>IF('Proposed Lighting'!$CB$309&gt;0.01,'Proposed Lighting'!EM179,0)</f>
        <v>0</v>
      </c>
      <c r="E174" s="1086">
        <f>IF('Proposed Lighting'!$CB$309&gt;0.01,'Proposed Lighting'!EN179,0)</f>
        <v>0</v>
      </c>
      <c r="F174" s="1086">
        <f>IF('Proposed Lighting'!$CB$309&gt;0.01,'Proposed Lighting'!EO179,0)</f>
        <v>0</v>
      </c>
      <c r="G174" s="1086">
        <f>IF('Proposed Lighting'!$CB$309&gt;0.01,'Proposed Lighting'!EP179,0)</f>
        <v>0</v>
      </c>
      <c r="H174" s="1086">
        <f>IF('Proposed Lighting'!$CB$309&gt;0.01,'Proposed Lighting'!EQ179,0)</f>
        <v>0</v>
      </c>
      <c r="I174" s="1045"/>
    </row>
    <row r="175" spans="1:9" ht="46.5" customHeight="1">
      <c r="A175" s="1115">
        <f>IF('Proposed Lighting'!BZ180&gt;0.01,'Proposed Lighting'!A180,IF('Proposed Lighting'!CA180&gt;0.01,'Proposed Lighting'!A180,0))</f>
        <v>0</v>
      </c>
      <c r="B175" s="1115">
        <f>'Proposed Lighting'!B180</f>
        <v>0</v>
      </c>
      <c r="C175" s="1085">
        <f>IF(A175&gt;0.01,'Proposed Lighting'!T180,0)</f>
        <v>0</v>
      </c>
      <c r="D175" s="1086">
        <f>IF('Proposed Lighting'!$CB$309&gt;0.01,'Proposed Lighting'!EM180,0)</f>
        <v>0</v>
      </c>
      <c r="E175" s="1086">
        <f>IF('Proposed Lighting'!$CB$309&gt;0.01,'Proposed Lighting'!EN180,0)</f>
        <v>0</v>
      </c>
      <c r="F175" s="1086">
        <f>IF('Proposed Lighting'!$CB$309&gt;0.01,'Proposed Lighting'!EO180,0)</f>
        <v>0</v>
      </c>
      <c r="G175" s="1086">
        <f>IF('Proposed Lighting'!$CB$309&gt;0.01,'Proposed Lighting'!EP180,0)</f>
        <v>0</v>
      </c>
      <c r="H175" s="1086">
        <f>IF('Proposed Lighting'!$CB$309&gt;0.01,'Proposed Lighting'!EQ180,0)</f>
        <v>0</v>
      </c>
      <c r="I175" s="1045"/>
    </row>
    <row r="176" spans="1:9" ht="46.5" customHeight="1">
      <c r="A176" s="1115">
        <f>IF('Proposed Lighting'!BZ181&gt;0.01,'Proposed Lighting'!A181,IF('Proposed Lighting'!CA181&gt;0.01,'Proposed Lighting'!A181,0))</f>
        <v>0</v>
      </c>
      <c r="B176" s="1115">
        <f>'Proposed Lighting'!B181</f>
        <v>0</v>
      </c>
      <c r="C176" s="1085">
        <f>IF(A176&gt;0.01,'Proposed Lighting'!T181,0)</f>
        <v>0</v>
      </c>
      <c r="D176" s="1086">
        <f>IF('Proposed Lighting'!$CB$309&gt;0.01,'Proposed Lighting'!EM181,0)</f>
        <v>0</v>
      </c>
      <c r="E176" s="1086">
        <f>IF('Proposed Lighting'!$CB$309&gt;0.01,'Proposed Lighting'!EN181,0)</f>
        <v>0</v>
      </c>
      <c r="F176" s="1086">
        <f>IF('Proposed Lighting'!$CB$309&gt;0.01,'Proposed Lighting'!EO181,0)</f>
        <v>0</v>
      </c>
      <c r="G176" s="1086">
        <f>IF('Proposed Lighting'!$CB$309&gt;0.01,'Proposed Lighting'!EP181,0)</f>
        <v>0</v>
      </c>
      <c r="H176" s="1086">
        <f>IF('Proposed Lighting'!$CB$309&gt;0.01,'Proposed Lighting'!EQ181,0)</f>
        <v>0</v>
      </c>
      <c r="I176" s="1045"/>
    </row>
    <row r="177" spans="1:9" ht="46.5" customHeight="1">
      <c r="A177" s="1115">
        <f>IF('Proposed Lighting'!BZ182&gt;0.01,'Proposed Lighting'!A182,IF('Proposed Lighting'!CA182&gt;0.01,'Proposed Lighting'!A182,0))</f>
        <v>0</v>
      </c>
      <c r="B177" s="1115">
        <f>'Proposed Lighting'!B182</f>
        <v>0</v>
      </c>
      <c r="C177" s="1085">
        <f>IF(A177&gt;0.01,'Proposed Lighting'!T182,0)</f>
        <v>0</v>
      </c>
      <c r="D177" s="1086">
        <f>IF('Proposed Lighting'!$CB$309&gt;0.01,'Proposed Lighting'!EM182,0)</f>
        <v>0</v>
      </c>
      <c r="E177" s="1086">
        <f>IF('Proposed Lighting'!$CB$309&gt;0.01,'Proposed Lighting'!EN182,0)</f>
        <v>0</v>
      </c>
      <c r="F177" s="1086">
        <f>IF('Proposed Lighting'!$CB$309&gt;0.01,'Proposed Lighting'!EO182,0)</f>
        <v>0</v>
      </c>
      <c r="G177" s="1086">
        <f>IF('Proposed Lighting'!$CB$309&gt;0.01,'Proposed Lighting'!EP182,0)</f>
        <v>0</v>
      </c>
      <c r="H177" s="1086">
        <f>IF('Proposed Lighting'!$CB$309&gt;0.01,'Proposed Lighting'!EQ182,0)</f>
        <v>0</v>
      </c>
      <c r="I177" s="1045"/>
    </row>
    <row r="178" spans="1:9" ht="46.5" customHeight="1">
      <c r="A178" s="1115">
        <f>IF('Proposed Lighting'!BZ183&gt;0.01,'Proposed Lighting'!A183,IF('Proposed Lighting'!CA183&gt;0.01,'Proposed Lighting'!A183,0))</f>
        <v>0</v>
      </c>
      <c r="B178" s="1115">
        <f>'Proposed Lighting'!B183</f>
        <v>0</v>
      </c>
      <c r="C178" s="1085">
        <f>IF(A178&gt;0.01,'Proposed Lighting'!T183,0)</f>
        <v>0</v>
      </c>
      <c r="D178" s="1086">
        <f>IF('Proposed Lighting'!$CB$309&gt;0.01,'Proposed Lighting'!EM183,0)</f>
        <v>0</v>
      </c>
      <c r="E178" s="1086">
        <f>IF('Proposed Lighting'!$CB$309&gt;0.01,'Proposed Lighting'!EN183,0)</f>
        <v>0</v>
      </c>
      <c r="F178" s="1086">
        <f>IF('Proposed Lighting'!$CB$309&gt;0.01,'Proposed Lighting'!EO183,0)</f>
        <v>0</v>
      </c>
      <c r="G178" s="1086">
        <f>IF('Proposed Lighting'!$CB$309&gt;0.01,'Proposed Lighting'!EP183,0)</f>
        <v>0</v>
      </c>
      <c r="H178" s="1086">
        <f>IF('Proposed Lighting'!$CB$309&gt;0.01,'Proposed Lighting'!EQ183,0)</f>
        <v>0</v>
      </c>
      <c r="I178" s="1045"/>
    </row>
    <row r="179" spans="1:9" ht="46.5" customHeight="1">
      <c r="A179" s="1115">
        <f>IF('Proposed Lighting'!BZ184&gt;0.01,'Proposed Lighting'!A184,IF('Proposed Lighting'!CA184&gt;0.01,'Proposed Lighting'!A184,0))</f>
        <v>0</v>
      </c>
      <c r="B179" s="1115">
        <f>'Proposed Lighting'!B184</f>
        <v>0</v>
      </c>
      <c r="C179" s="1085">
        <f>IF(A179&gt;0.01,'Proposed Lighting'!T184,0)</f>
        <v>0</v>
      </c>
      <c r="D179" s="1086">
        <f>IF('Proposed Lighting'!$CB$309&gt;0.01,'Proposed Lighting'!EM184,0)</f>
        <v>0</v>
      </c>
      <c r="E179" s="1086">
        <f>IF('Proposed Lighting'!$CB$309&gt;0.01,'Proposed Lighting'!EN184,0)</f>
        <v>0</v>
      </c>
      <c r="F179" s="1086">
        <f>IF('Proposed Lighting'!$CB$309&gt;0.01,'Proposed Lighting'!EO184,0)</f>
        <v>0</v>
      </c>
      <c r="G179" s="1086">
        <f>IF('Proposed Lighting'!$CB$309&gt;0.01,'Proposed Lighting'!EP184,0)</f>
        <v>0</v>
      </c>
      <c r="H179" s="1086">
        <f>IF('Proposed Lighting'!$CB$309&gt;0.01,'Proposed Lighting'!EQ184,0)</f>
        <v>0</v>
      </c>
      <c r="I179" s="1045"/>
    </row>
    <row r="180" spans="1:9" ht="46.5" customHeight="1">
      <c r="A180" s="1115">
        <f>IF('Proposed Lighting'!BZ185&gt;0.01,'Proposed Lighting'!A185,IF('Proposed Lighting'!CA185&gt;0.01,'Proposed Lighting'!A185,0))</f>
        <v>0</v>
      </c>
      <c r="B180" s="1115">
        <f>'Proposed Lighting'!B185</f>
        <v>0</v>
      </c>
      <c r="C180" s="1085">
        <f>IF(A180&gt;0.01,'Proposed Lighting'!T185,0)</f>
        <v>0</v>
      </c>
      <c r="D180" s="1086">
        <f>IF('Proposed Lighting'!$CB$309&gt;0.01,'Proposed Lighting'!EM185,0)</f>
        <v>0</v>
      </c>
      <c r="E180" s="1086">
        <f>IF('Proposed Lighting'!$CB$309&gt;0.01,'Proposed Lighting'!EN185,0)</f>
        <v>0</v>
      </c>
      <c r="F180" s="1086">
        <f>IF('Proposed Lighting'!$CB$309&gt;0.01,'Proposed Lighting'!EO185,0)</f>
        <v>0</v>
      </c>
      <c r="G180" s="1086">
        <f>IF('Proposed Lighting'!$CB$309&gt;0.01,'Proposed Lighting'!EP185,0)</f>
        <v>0</v>
      </c>
      <c r="H180" s="1086">
        <f>IF('Proposed Lighting'!$CB$309&gt;0.01,'Proposed Lighting'!EQ185,0)</f>
        <v>0</v>
      </c>
      <c r="I180" s="1045"/>
    </row>
    <row r="181" spans="1:9" ht="46.5" customHeight="1">
      <c r="A181" s="1115">
        <f>IF('Proposed Lighting'!BZ186&gt;0.01,'Proposed Lighting'!A186,IF('Proposed Lighting'!CA186&gt;0.01,'Proposed Lighting'!A186,0))</f>
        <v>0</v>
      </c>
      <c r="B181" s="1115">
        <f>'Proposed Lighting'!B186</f>
        <v>0</v>
      </c>
      <c r="C181" s="1085">
        <f>IF(A181&gt;0.01,'Proposed Lighting'!T186,0)</f>
        <v>0</v>
      </c>
      <c r="D181" s="1086">
        <f>IF('Proposed Lighting'!$CB$309&gt;0.01,'Proposed Lighting'!EM186,0)</f>
        <v>0</v>
      </c>
      <c r="E181" s="1086">
        <f>IF('Proposed Lighting'!$CB$309&gt;0.01,'Proposed Lighting'!EN186,0)</f>
        <v>0</v>
      </c>
      <c r="F181" s="1086">
        <f>IF('Proposed Lighting'!$CB$309&gt;0.01,'Proposed Lighting'!EO186,0)</f>
        <v>0</v>
      </c>
      <c r="G181" s="1086">
        <f>IF('Proposed Lighting'!$CB$309&gt;0.01,'Proposed Lighting'!EP186,0)</f>
        <v>0</v>
      </c>
      <c r="H181" s="1086">
        <f>IF('Proposed Lighting'!$CB$309&gt;0.01,'Proposed Lighting'!EQ186,0)</f>
        <v>0</v>
      </c>
      <c r="I181" s="1045"/>
    </row>
    <row r="182" spans="1:9" ht="46.5" customHeight="1">
      <c r="A182" s="1115">
        <f>IF('Proposed Lighting'!BZ187&gt;0.01,'Proposed Lighting'!A187,IF('Proposed Lighting'!CA187&gt;0.01,'Proposed Lighting'!A187,0))</f>
        <v>0</v>
      </c>
      <c r="B182" s="1115">
        <f>'Proposed Lighting'!B187</f>
        <v>0</v>
      </c>
      <c r="C182" s="1085">
        <f>IF(A182&gt;0.01,'Proposed Lighting'!T187,0)</f>
        <v>0</v>
      </c>
      <c r="D182" s="1086">
        <f>IF('Proposed Lighting'!$CB$309&gt;0.01,'Proposed Lighting'!EM187,0)</f>
        <v>0</v>
      </c>
      <c r="E182" s="1086">
        <f>IF('Proposed Lighting'!$CB$309&gt;0.01,'Proposed Lighting'!EN187,0)</f>
        <v>0</v>
      </c>
      <c r="F182" s="1086">
        <f>IF('Proposed Lighting'!$CB$309&gt;0.01,'Proposed Lighting'!EO187,0)</f>
        <v>0</v>
      </c>
      <c r="G182" s="1086">
        <f>IF('Proposed Lighting'!$CB$309&gt;0.01,'Proposed Lighting'!EP187,0)</f>
        <v>0</v>
      </c>
      <c r="H182" s="1086">
        <f>IF('Proposed Lighting'!$CB$309&gt;0.01,'Proposed Lighting'!EQ187,0)</f>
        <v>0</v>
      </c>
      <c r="I182" s="1045"/>
    </row>
    <row r="183" spans="1:9" ht="46.5" customHeight="1">
      <c r="A183" s="1115">
        <f>IF('Proposed Lighting'!BZ188&gt;0.01,'Proposed Lighting'!A188,IF('Proposed Lighting'!CA188&gt;0.01,'Proposed Lighting'!A188,0))</f>
        <v>0</v>
      </c>
      <c r="B183" s="1115">
        <f>'Proposed Lighting'!B188</f>
        <v>0</v>
      </c>
      <c r="C183" s="1085">
        <f>IF(A183&gt;0.01,'Proposed Lighting'!T188,0)</f>
        <v>0</v>
      </c>
      <c r="D183" s="1086">
        <f>IF('Proposed Lighting'!$CB$309&gt;0.01,'Proposed Lighting'!EM188,0)</f>
        <v>0</v>
      </c>
      <c r="E183" s="1086">
        <f>IF('Proposed Lighting'!$CB$309&gt;0.01,'Proposed Lighting'!EN188,0)</f>
        <v>0</v>
      </c>
      <c r="F183" s="1086">
        <f>IF('Proposed Lighting'!$CB$309&gt;0.01,'Proposed Lighting'!EO188,0)</f>
        <v>0</v>
      </c>
      <c r="G183" s="1086">
        <f>IF('Proposed Lighting'!$CB$309&gt;0.01,'Proposed Lighting'!EP188,0)</f>
        <v>0</v>
      </c>
      <c r="H183" s="1086">
        <f>IF('Proposed Lighting'!$CB$309&gt;0.01,'Proposed Lighting'!EQ188,0)</f>
        <v>0</v>
      </c>
      <c r="I183" s="1045"/>
    </row>
    <row r="184" spans="1:9" ht="46.5" customHeight="1">
      <c r="A184" s="1115">
        <f>IF('Proposed Lighting'!BZ189&gt;0.01,'Proposed Lighting'!A189,IF('Proposed Lighting'!CA189&gt;0.01,'Proposed Lighting'!A189,0))</f>
        <v>0</v>
      </c>
      <c r="B184" s="1115">
        <f>'Proposed Lighting'!B189</f>
        <v>0</v>
      </c>
      <c r="C184" s="1085">
        <f>IF(A184&gt;0.01,'Proposed Lighting'!T189,0)</f>
        <v>0</v>
      </c>
      <c r="D184" s="1086">
        <f>IF('Proposed Lighting'!$CB$309&gt;0.01,'Proposed Lighting'!EM189,0)</f>
        <v>0</v>
      </c>
      <c r="E184" s="1086">
        <f>IF('Proposed Lighting'!$CB$309&gt;0.01,'Proposed Lighting'!EN189,0)</f>
        <v>0</v>
      </c>
      <c r="F184" s="1086">
        <f>IF('Proposed Lighting'!$CB$309&gt;0.01,'Proposed Lighting'!EO189,0)</f>
        <v>0</v>
      </c>
      <c r="G184" s="1086">
        <f>IF('Proposed Lighting'!$CB$309&gt;0.01,'Proposed Lighting'!EP189,0)</f>
        <v>0</v>
      </c>
      <c r="H184" s="1086">
        <f>IF('Proposed Lighting'!$CB$309&gt;0.01,'Proposed Lighting'!EQ189,0)</f>
        <v>0</v>
      </c>
      <c r="I184" s="1045"/>
    </row>
    <row r="185" spans="1:9" ht="46.5" customHeight="1">
      <c r="A185" s="1115">
        <f>IF('Proposed Lighting'!BZ190&gt;0.01,'Proposed Lighting'!A190,IF('Proposed Lighting'!CA190&gt;0.01,'Proposed Lighting'!A190,0))</f>
        <v>0</v>
      </c>
      <c r="B185" s="1115">
        <f>'Proposed Lighting'!B190</f>
        <v>0</v>
      </c>
      <c r="C185" s="1085">
        <f>IF(A185&gt;0.01,'Proposed Lighting'!T190,0)</f>
        <v>0</v>
      </c>
      <c r="D185" s="1086">
        <f>IF('Proposed Lighting'!$CB$309&gt;0.01,'Proposed Lighting'!EM190,0)</f>
        <v>0</v>
      </c>
      <c r="E185" s="1086">
        <f>IF('Proposed Lighting'!$CB$309&gt;0.01,'Proposed Lighting'!EN190,0)</f>
        <v>0</v>
      </c>
      <c r="F185" s="1086">
        <f>IF('Proposed Lighting'!$CB$309&gt;0.01,'Proposed Lighting'!EO190,0)</f>
        <v>0</v>
      </c>
      <c r="G185" s="1086">
        <f>IF('Proposed Lighting'!$CB$309&gt;0.01,'Proposed Lighting'!EP190,0)</f>
        <v>0</v>
      </c>
      <c r="H185" s="1086">
        <f>IF('Proposed Lighting'!$CB$309&gt;0.01,'Proposed Lighting'!EQ190,0)</f>
        <v>0</v>
      </c>
      <c r="I185" s="1045"/>
    </row>
    <row r="186" spans="1:9" ht="46.5" customHeight="1">
      <c r="A186" s="1115">
        <f>IF('Proposed Lighting'!BZ191&gt;0.01,'Proposed Lighting'!A191,IF('Proposed Lighting'!CA191&gt;0.01,'Proposed Lighting'!A191,0))</f>
        <v>0</v>
      </c>
      <c r="B186" s="1115">
        <f>'Proposed Lighting'!B191</f>
        <v>0</v>
      </c>
      <c r="C186" s="1085">
        <f>IF(A186&gt;0.01,'Proposed Lighting'!T191,0)</f>
        <v>0</v>
      </c>
      <c r="D186" s="1086">
        <f>IF('Proposed Lighting'!$CB$309&gt;0.01,'Proposed Lighting'!EM191,0)</f>
        <v>0</v>
      </c>
      <c r="E186" s="1086">
        <f>IF('Proposed Lighting'!$CB$309&gt;0.01,'Proposed Lighting'!EN191,0)</f>
        <v>0</v>
      </c>
      <c r="F186" s="1086">
        <f>IF('Proposed Lighting'!$CB$309&gt;0.01,'Proposed Lighting'!EO191,0)</f>
        <v>0</v>
      </c>
      <c r="G186" s="1086">
        <f>IF('Proposed Lighting'!$CB$309&gt;0.01,'Proposed Lighting'!EP191,0)</f>
        <v>0</v>
      </c>
      <c r="H186" s="1086">
        <f>IF('Proposed Lighting'!$CB$309&gt;0.01,'Proposed Lighting'!EQ191,0)</f>
        <v>0</v>
      </c>
      <c r="I186" s="1045"/>
    </row>
    <row r="187" spans="1:9" ht="46.5" customHeight="1">
      <c r="A187" s="1115">
        <f>IF('Proposed Lighting'!BZ192&gt;0.01,'Proposed Lighting'!A192,IF('Proposed Lighting'!CA192&gt;0.01,'Proposed Lighting'!A192,0))</f>
        <v>0</v>
      </c>
      <c r="B187" s="1115">
        <f>'Proposed Lighting'!B192</f>
        <v>0</v>
      </c>
      <c r="C187" s="1085">
        <f>IF(A187&gt;0.01,'Proposed Lighting'!T192,0)</f>
        <v>0</v>
      </c>
      <c r="D187" s="1086">
        <f>IF('Proposed Lighting'!$CB$309&gt;0.01,'Proposed Lighting'!EM192,0)</f>
        <v>0</v>
      </c>
      <c r="E187" s="1086">
        <f>IF('Proposed Lighting'!$CB$309&gt;0.01,'Proposed Lighting'!EN192,0)</f>
        <v>0</v>
      </c>
      <c r="F187" s="1086">
        <f>IF('Proposed Lighting'!$CB$309&gt;0.01,'Proposed Lighting'!EO192,0)</f>
        <v>0</v>
      </c>
      <c r="G187" s="1086">
        <f>IF('Proposed Lighting'!$CB$309&gt;0.01,'Proposed Lighting'!EP192,0)</f>
        <v>0</v>
      </c>
      <c r="H187" s="1086">
        <f>IF('Proposed Lighting'!$CB$309&gt;0.01,'Proposed Lighting'!EQ192,0)</f>
        <v>0</v>
      </c>
      <c r="I187" s="1045"/>
    </row>
    <row r="188" spans="1:9" ht="46.5" customHeight="1">
      <c r="A188" s="1115">
        <f>IF('Proposed Lighting'!BZ193&gt;0.01,'Proposed Lighting'!A193,IF('Proposed Lighting'!CA193&gt;0.01,'Proposed Lighting'!A193,0))</f>
        <v>0</v>
      </c>
      <c r="B188" s="1115">
        <f>'Proposed Lighting'!B193</f>
        <v>0</v>
      </c>
      <c r="C188" s="1085">
        <f>IF(A188&gt;0.01,'Proposed Lighting'!T193,0)</f>
        <v>0</v>
      </c>
      <c r="D188" s="1086">
        <f>IF('Proposed Lighting'!$CB$309&gt;0.01,'Proposed Lighting'!EM193,0)</f>
        <v>0</v>
      </c>
      <c r="E188" s="1086">
        <f>IF('Proposed Lighting'!$CB$309&gt;0.01,'Proposed Lighting'!EN193,0)</f>
        <v>0</v>
      </c>
      <c r="F188" s="1086">
        <f>IF('Proposed Lighting'!$CB$309&gt;0.01,'Proposed Lighting'!EO193,0)</f>
        <v>0</v>
      </c>
      <c r="G188" s="1086">
        <f>IF('Proposed Lighting'!$CB$309&gt;0.01,'Proposed Lighting'!EP193,0)</f>
        <v>0</v>
      </c>
      <c r="H188" s="1086">
        <f>IF('Proposed Lighting'!$CB$309&gt;0.01,'Proposed Lighting'!EQ193,0)</f>
        <v>0</v>
      </c>
      <c r="I188" s="1045"/>
    </row>
    <row r="189" spans="1:9" ht="46.5" customHeight="1">
      <c r="A189" s="1115">
        <f>IF('Proposed Lighting'!BZ194&gt;0.01,'Proposed Lighting'!A194,IF('Proposed Lighting'!CA194&gt;0.01,'Proposed Lighting'!A194,0))</f>
        <v>0</v>
      </c>
      <c r="B189" s="1115">
        <f>'Proposed Lighting'!B194</f>
        <v>0</v>
      </c>
      <c r="C189" s="1085">
        <f>IF(A189&gt;0.01,'Proposed Lighting'!T194,0)</f>
        <v>0</v>
      </c>
      <c r="D189" s="1086">
        <f>IF('Proposed Lighting'!$CB$309&gt;0.01,'Proposed Lighting'!EM194,0)</f>
        <v>0</v>
      </c>
      <c r="E189" s="1086">
        <f>IF('Proposed Lighting'!$CB$309&gt;0.01,'Proposed Lighting'!EN194,0)</f>
        <v>0</v>
      </c>
      <c r="F189" s="1086">
        <f>IF('Proposed Lighting'!$CB$309&gt;0.01,'Proposed Lighting'!EO194,0)</f>
        <v>0</v>
      </c>
      <c r="G189" s="1086">
        <f>IF('Proposed Lighting'!$CB$309&gt;0.01,'Proposed Lighting'!EP194,0)</f>
        <v>0</v>
      </c>
      <c r="H189" s="1086">
        <f>IF('Proposed Lighting'!$CB$309&gt;0.01,'Proposed Lighting'!EQ194,0)</f>
        <v>0</v>
      </c>
      <c r="I189" s="1045"/>
    </row>
    <row r="190" spans="1:9" ht="46.5" customHeight="1">
      <c r="A190" s="1115">
        <f>IF('Proposed Lighting'!BZ195&gt;0.01,'Proposed Lighting'!A195,IF('Proposed Lighting'!CA195&gt;0.01,'Proposed Lighting'!A195,0))</f>
        <v>0</v>
      </c>
      <c r="B190" s="1115">
        <f>'Proposed Lighting'!B195</f>
        <v>0</v>
      </c>
      <c r="C190" s="1085">
        <f>IF(A190&gt;0.01,'Proposed Lighting'!T195,0)</f>
        <v>0</v>
      </c>
      <c r="D190" s="1086">
        <f>IF('Proposed Lighting'!$CB$309&gt;0.01,'Proposed Lighting'!EM195,0)</f>
        <v>0</v>
      </c>
      <c r="E190" s="1086">
        <f>IF('Proposed Lighting'!$CB$309&gt;0.01,'Proposed Lighting'!EN195,0)</f>
        <v>0</v>
      </c>
      <c r="F190" s="1086">
        <f>IF('Proposed Lighting'!$CB$309&gt;0.01,'Proposed Lighting'!EO195,0)</f>
        <v>0</v>
      </c>
      <c r="G190" s="1086">
        <f>IF('Proposed Lighting'!$CB$309&gt;0.01,'Proposed Lighting'!EP195,0)</f>
        <v>0</v>
      </c>
      <c r="H190" s="1086">
        <f>IF('Proposed Lighting'!$CB$309&gt;0.01,'Proposed Lighting'!EQ195,0)</f>
        <v>0</v>
      </c>
      <c r="I190" s="1045"/>
    </row>
    <row r="191" spans="1:9" ht="46.5" customHeight="1">
      <c r="A191" s="1115">
        <f>IF('Proposed Lighting'!BZ196&gt;0.01,'Proposed Lighting'!A196,IF('Proposed Lighting'!CA196&gt;0.01,'Proposed Lighting'!A196,0))</f>
        <v>0</v>
      </c>
      <c r="B191" s="1115">
        <f>'Proposed Lighting'!B196</f>
        <v>0</v>
      </c>
      <c r="C191" s="1085">
        <f>IF(A191&gt;0.01,'Proposed Lighting'!T196,0)</f>
        <v>0</v>
      </c>
      <c r="D191" s="1086">
        <f>IF('Proposed Lighting'!$CB$309&gt;0.01,'Proposed Lighting'!EM196,0)</f>
        <v>0</v>
      </c>
      <c r="E191" s="1086">
        <f>IF('Proposed Lighting'!$CB$309&gt;0.01,'Proposed Lighting'!EN196,0)</f>
        <v>0</v>
      </c>
      <c r="F191" s="1086">
        <f>IF('Proposed Lighting'!$CB$309&gt;0.01,'Proposed Lighting'!EO196,0)</f>
        <v>0</v>
      </c>
      <c r="G191" s="1086">
        <f>IF('Proposed Lighting'!$CB$309&gt;0.01,'Proposed Lighting'!EP196,0)</f>
        <v>0</v>
      </c>
      <c r="H191" s="1086">
        <f>IF('Proposed Lighting'!$CB$309&gt;0.01,'Proposed Lighting'!EQ196,0)</f>
        <v>0</v>
      </c>
      <c r="I191" s="1045"/>
    </row>
    <row r="192" spans="1:9" ht="46.5" customHeight="1">
      <c r="A192" s="1115">
        <f>IF('Proposed Lighting'!BZ197&gt;0.01,'Proposed Lighting'!A197,IF('Proposed Lighting'!CA197&gt;0.01,'Proposed Lighting'!A197,0))</f>
        <v>0</v>
      </c>
      <c r="B192" s="1115">
        <f>'Proposed Lighting'!B197</f>
        <v>0</v>
      </c>
      <c r="C192" s="1085">
        <f>IF(A192&gt;0.01,'Proposed Lighting'!T197,0)</f>
        <v>0</v>
      </c>
      <c r="D192" s="1086">
        <f>IF('Proposed Lighting'!$CB$309&gt;0.01,'Proposed Lighting'!EM197,0)</f>
        <v>0</v>
      </c>
      <c r="E192" s="1086">
        <f>IF('Proposed Lighting'!$CB$309&gt;0.01,'Proposed Lighting'!EN197,0)</f>
        <v>0</v>
      </c>
      <c r="F192" s="1086">
        <f>IF('Proposed Lighting'!$CB$309&gt;0.01,'Proposed Lighting'!EO197,0)</f>
        <v>0</v>
      </c>
      <c r="G192" s="1086">
        <f>IF('Proposed Lighting'!$CB$309&gt;0.01,'Proposed Lighting'!EP197,0)</f>
        <v>0</v>
      </c>
      <c r="H192" s="1086">
        <f>IF('Proposed Lighting'!$CB$309&gt;0.01,'Proposed Lighting'!EQ197,0)</f>
        <v>0</v>
      </c>
      <c r="I192" s="1045"/>
    </row>
    <row r="193" spans="1:9" ht="46.5" customHeight="1">
      <c r="A193" s="1115">
        <f>IF('Proposed Lighting'!BZ198&gt;0.01,'Proposed Lighting'!A198,IF('Proposed Lighting'!CA198&gt;0.01,'Proposed Lighting'!A198,0))</f>
        <v>0</v>
      </c>
      <c r="B193" s="1115">
        <f>'Proposed Lighting'!B198</f>
        <v>0</v>
      </c>
      <c r="C193" s="1085">
        <f>IF(A193&gt;0.01,'Proposed Lighting'!T198,0)</f>
        <v>0</v>
      </c>
      <c r="D193" s="1086">
        <f>IF('Proposed Lighting'!$CB$309&gt;0.01,'Proposed Lighting'!EM198,0)</f>
        <v>0</v>
      </c>
      <c r="E193" s="1086">
        <f>IF('Proposed Lighting'!$CB$309&gt;0.01,'Proposed Lighting'!EN198,0)</f>
        <v>0</v>
      </c>
      <c r="F193" s="1086">
        <f>IF('Proposed Lighting'!$CB$309&gt;0.01,'Proposed Lighting'!EO198,0)</f>
        <v>0</v>
      </c>
      <c r="G193" s="1086">
        <f>IF('Proposed Lighting'!$CB$309&gt;0.01,'Proposed Lighting'!EP198,0)</f>
        <v>0</v>
      </c>
      <c r="H193" s="1086">
        <f>IF('Proposed Lighting'!$CB$309&gt;0.01,'Proposed Lighting'!EQ198,0)</f>
        <v>0</v>
      </c>
      <c r="I193" s="1045"/>
    </row>
    <row r="194" spans="1:9" ht="46.5" customHeight="1">
      <c r="A194" s="1115">
        <f>IF('Proposed Lighting'!BZ199&gt;0.01,'Proposed Lighting'!A199,IF('Proposed Lighting'!CA199&gt;0.01,'Proposed Lighting'!A199,0))</f>
        <v>0</v>
      </c>
      <c r="B194" s="1115">
        <f>'Proposed Lighting'!B199</f>
        <v>0</v>
      </c>
      <c r="C194" s="1085">
        <f>IF(A194&gt;0.01,'Proposed Lighting'!T199,0)</f>
        <v>0</v>
      </c>
      <c r="D194" s="1086">
        <f>IF('Proposed Lighting'!$CB$309&gt;0.01,'Proposed Lighting'!EM199,0)</f>
        <v>0</v>
      </c>
      <c r="E194" s="1086">
        <f>IF('Proposed Lighting'!$CB$309&gt;0.01,'Proposed Lighting'!EN199,0)</f>
        <v>0</v>
      </c>
      <c r="F194" s="1086">
        <f>IF('Proposed Lighting'!$CB$309&gt;0.01,'Proposed Lighting'!EO199,0)</f>
        <v>0</v>
      </c>
      <c r="G194" s="1086">
        <f>IF('Proposed Lighting'!$CB$309&gt;0.01,'Proposed Lighting'!EP199,0)</f>
        <v>0</v>
      </c>
      <c r="H194" s="1086">
        <f>IF('Proposed Lighting'!$CB$309&gt;0.01,'Proposed Lighting'!EQ199,0)</f>
        <v>0</v>
      </c>
      <c r="I194" s="1045"/>
    </row>
    <row r="195" spans="1:9" ht="46.5" customHeight="1">
      <c r="A195" s="1115">
        <f>IF('Proposed Lighting'!BZ200&gt;0.01,'Proposed Lighting'!A200,IF('Proposed Lighting'!CA200&gt;0.01,'Proposed Lighting'!A200,0))</f>
        <v>0</v>
      </c>
      <c r="B195" s="1115">
        <f>'Proposed Lighting'!B200</f>
        <v>0</v>
      </c>
      <c r="C195" s="1085">
        <f>IF(A195&gt;0.01,'Proposed Lighting'!T200,0)</f>
        <v>0</v>
      </c>
      <c r="D195" s="1086">
        <f>IF('Proposed Lighting'!$CB$309&gt;0.01,'Proposed Lighting'!EM200,0)</f>
        <v>0</v>
      </c>
      <c r="E195" s="1086">
        <f>IF('Proposed Lighting'!$CB$309&gt;0.01,'Proposed Lighting'!EN200,0)</f>
        <v>0</v>
      </c>
      <c r="F195" s="1086">
        <f>IF('Proposed Lighting'!$CB$309&gt;0.01,'Proposed Lighting'!EO200,0)</f>
        <v>0</v>
      </c>
      <c r="G195" s="1086">
        <f>IF('Proposed Lighting'!$CB$309&gt;0.01,'Proposed Lighting'!EP200,0)</f>
        <v>0</v>
      </c>
      <c r="H195" s="1086">
        <f>IF('Proposed Lighting'!$CB$309&gt;0.01,'Proposed Lighting'!EQ200,0)</f>
        <v>0</v>
      </c>
      <c r="I195" s="1045"/>
    </row>
    <row r="196" spans="1:9" ht="46.5" customHeight="1">
      <c r="A196" s="1115">
        <f>IF('Proposed Lighting'!BZ201&gt;0.01,'Proposed Lighting'!A201,IF('Proposed Lighting'!CA201&gt;0.01,'Proposed Lighting'!A201,0))</f>
        <v>0</v>
      </c>
      <c r="B196" s="1115">
        <f>'Proposed Lighting'!B201</f>
        <v>0</v>
      </c>
      <c r="C196" s="1085">
        <f>IF(A196&gt;0.01,'Proposed Lighting'!T201,0)</f>
        <v>0</v>
      </c>
      <c r="D196" s="1086">
        <f>IF('Proposed Lighting'!$CB$309&gt;0.01,'Proposed Lighting'!EM201,0)</f>
        <v>0</v>
      </c>
      <c r="E196" s="1086">
        <f>IF('Proposed Lighting'!$CB$309&gt;0.01,'Proposed Lighting'!EN201,0)</f>
        <v>0</v>
      </c>
      <c r="F196" s="1086">
        <f>IF('Proposed Lighting'!$CB$309&gt;0.01,'Proposed Lighting'!EO201,0)</f>
        <v>0</v>
      </c>
      <c r="G196" s="1086">
        <f>IF('Proposed Lighting'!$CB$309&gt;0.01,'Proposed Lighting'!EP201,0)</f>
        <v>0</v>
      </c>
      <c r="H196" s="1086">
        <f>IF('Proposed Lighting'!$CB$309&gt;0.01,'Proposed Lighting'!EQ201,0)</f>
        <v>0</v>
      </c>
      <c r="I196" s="1045"/>
    </row>
    <row r="197" spans="1:9" ht="46.5" customHeight="1">
      <c r="A197" s="1115">
        <f>IF('Proposed Lighting'!BZ202&gt;0.01,'Proposed Lighting'!A202,IF('Proposed Lighting'!CA202&gt;0.01,'Proposed Lighting'!A202,0))</f>
        <v>0</v>
      </c>
      <c r="B197" s="1115">
        <f>'Proposed Lighting'!B202</f>
        <v>0</v>
      </c>
      <c r="C197" s="1085">
        <f>IF(A197&gt;0.01,'Proposed Lighting'!T202,0)</f>
        <v>0</v>
      </c>
      <c r="D197" s="1086">
        <f>IF('Proposed Lighting'!$CB$309&gt;0.01,'Proposed Lighting'!EM202,0)</f>
        <v>0</v>
      </c>
      <c r="E197" s="1086">
        <f>IF('Proposed Lighting'!$CB$309&gt;0.01,'Proposed Lighting'!EN202,0)</f>
        <v>0</v>
      </c>
      <c r="F197" s="1086">
        <f>IF('Proposed Lighting'!$CB$309&gt;0.01,'Proposed Lighting'!EO202,0)</f>
        <v>0</v>
      </c>
      <c r="G197" s="1086">
        <f>IF('Proposed Lighting'!$CB$309&gt;0.01,'Proposed Lighting'!EP202,0)</f>
        <v>0</v>
      </c>
      <c r="H197" s="1086">
        <f>IF('Proposed Lighting'!$CB$309&gt;0.01,'Proposed Lighting'!EQ202,0)</f>
        <v>0</v>
      </c>
      <c r="I197" s="1045"/>
    </row>
    <row r="198" spans="1:9" ht="46.5" customHeight="1">
      <c r="A198" s="1115">
        <f>IF('Proposed Lighting'!BZ203&gt;0.01,'Proposed Lighting'!A203,IF('Proposed Lighting'!CA203&gt;0.01,'Proposed Lighting'!A203,0))</f>
        <v>0</v>
      </c>
      <c r="B198" s="1115">
        <f>'Proposed Lighting'!B203</f>
        <v>0</v>
      </c>
      <c r="C198" s="1085">
        <f>IF(A198&gt;0.01,'Proposed Lighting'!T203,0)</f>
        <v>0</v>
      </c>
      <c r="D198" s="1086">
        <f>IF('Proposed Lighting'!$CB$309&gt;0.01,'Proposed Lighting'!EM203,0)</f>
        <v>0</v>
      </c>
      <c r="E198" s="1086">
        <f>IF('Proposed Lighting'!$CB$309&gt;0.01,'Proposed Lighting'!EN203,0)</f>
        <v>0</v>
      </c>
      <c r="F198" s="1086">
        <f>IF('Proposed Lighting'!$CB$309&gt;0.01,'Proposed Lighting'!EO203,0)</f>
        <v>0</v>
      </c>
      <c r="G198" s="1086">
        <f>IF('Proposed Lighting'!$CB$309&gt;0.01,'Proposed Lighting'!EP203,0)</f>
        <v>0</v>
      </c>
      <c r="H198" s="1086">
        <f>IF('Proposed Lighting'!$CB$309&gt;0.01,'Proposed Lighting'!EQ203,0)</f>
        <v>0</v>
      </c>
      <c r="I198" s="1045"/>
    </row>
    <row r="199" spans="1:9" ht="46.5" customHeight="1">
      <c r="A199" s="1115">
        <f>IF('Proposed Lighting'!BZ204&gt;0.01,'Proposed Lighting'!A204,IF('Proposed Lighting'!CA204&gt;0.01,'Proposed Lighting'!A204,0))</f>
        <v>0</v>
      </c>
      <c r="B199" s="1115">
        <f>'Proposed Lighting'!B204</f>
        <v>0</v>
      </c>
      <c r="C199" s="1085">
        <f>IF(A199&gt;0.01,'Proposed Lighting'!T204,0)</f>
        <v>0</v>
      </c>
      <c r="D199" s="1086">
        <f>IF('Proposed Lighting'!$CB$309&gt;0.01,'Proposed Lighting'!EM204,0)</f>
        <v>0</v>
      </c>
      <c r="E199" s="1086">
        <f>IF('Proposed Lighting'!$CB$309&gt;0.01,'Proposed Lighting'!EN204,0)</f>
        <v>0</v>
      </c>
      <c r="F199" s="1086">
        <f>IF('Proposed Lighting'!$CB$309&gt;0.01,'Proposed Lighting'!EO204,0)</f>
        <v>0</v>
      </c>
      <c r="G199" s="1086">
        <f>IF('Proposed Lighting'!$CB$309&gt;0.01,'Proposed Lighting'!EP204,0)</f>
        <v>0</v>
      </c>
      <c r="H199" s="1086">
        <f>IF('Proposed Lighting'!$CB$309&gt;0.01,'Proposed Lighting'!EQ204,0)</f>
        <v>0</v>
      </c>
      <c r="I199" s="1045"/>
    </row>
    <row r="200" spans="1:9" ht="46.5" customHeight="1">
      <c r="A200" s="1115">
        <f>IF('Proposed Lighting'!BZ205&gt;0.01,'Proposed Lighting'!A205,IF('Proposed Lighting'!CA205&gt;0.01,'Proposed Lighting'!A205,0))</f>
        <v>0</v>
      </c>
      <c r="B200" s="1115">
        <f>'Proposed Lighting'!B205</f>
        <v>0</v>
      </c>
      <c r="C200" s="1085">
        <f>IF(A200&gt;0.01,'Proposed Lighting'!T205,0)</f>
        <v>0</v>
      </c>
      <c r="D200" s="1086">
        <f>IF('Proposed Lighting'!$CB$309&gt;0.01,'Proposed Lighting'!EM205,0)</f>
        <v>0</v>
      </c>
      <c r="E200" s="1086">
        <f>IF('Proposed Lighting'!$CB$309&gt;0.01,'Proposed Lighting'!EN205,0)</f>
        <v>0</v>
      </c>
      <c r="F200" s="1086">
        <f>IF('Proposed Lighting'!$CB$309&gt;0.01,'Proposed Lighting'!EO205,0)</f>
        <v>0</v>
      </c>
      <c r="G200" s="1086">
        <f>IF('Proposed Lighting'!$CB$309&gt;0.01,'Proposed Lighting'!EP205,0)</f>
        <v>0</v>
      </c>
      <c r="H200" s="1086">
        <f>IF('Proposed Lighting'!$CB$309&gt;0.01,'Proposed Lighting'!EQ205,0)</f>
        <v>0</v>
      </c>
      <c r="I200" s="1045"/>
    </row>
    <row r="201" spans="1:9" ht="46.5" customHeight="1">
      <c r="A201" s="1115">
        <f>IF('Proposed Lighting'!BZ206&gt;0.01,'Proposed Lighting'!A206,IF('Proposed Lighting'!CA206&gt;0.01,'Proposed Lighting'!A206,0))</f>
        <v>0</v>
      </c>
      <c r="B201" s="1115">
        <f>'Proposed Lighting'!B206</f>
        <v>0</v>
      </c>
      <c r="C201" s="1085">
        <f>IF(A201&gt;0.01,'Proposed Lighting'!T206,0)</f>
        <v>0</v>
      </c>
      <c r="D201" s="1086">
        <f>IF('Proposed Lighting'!$CB$309&gt;0.01,'Proposed Lighting'!EM206,0)</f>
        <v>0</v>
      </c>
      <c r="E201" s="1086">
        <f>IF('Proposed Lighting'!$CB$309&gt;0.01,'Proposed Lighting'!EN206,0)</f>
        <v>0</v>
      </c>
      <c r="F201" s="1086">
        <f>IF('Proposed Lighting'!$CB$309&gt;0.01,'Proposed Lighting'!EO206,0)</f>
        <v>0</v>
      </c>
      <c r="G201" s="1086">
        <f>IF('Proposed Lighting'!$CB$309&gt;0.01,'Proposed Lighting'!EP206,0)</f>
        <v>0</v>
      </c>
      <c r="H201" s="1086">
        <f>IF('Proposed Lighting'!$CB$309&gt;0.01,'Proposed Lighting'!EQ206,0)</f>
        <v>0</v>
      </c>
      <c r="I201" s="1045"/>
    </row>
    <row r="202" spans="1:9" ht="46.5" customHeight="1">
      <c r="A202" s="1115">
        <f>IF('Proposed Lighting'!BZ207&gt;0.01,'Proposed Lighting'!A207,IF('Proposed Lighting'!CA207&gt;0.01,'Proposed Lighting'!A207,0))</f>
        <v>0</v>
      </c>
      <c r="B202" s="1115">
        <f>'Proposed Lighting'!B207</f>
        <v>0</v>
      </c>
      <c r="C202" s="1085">
        <f>IF(A202&gt;0.01,'Proposed Lighting'!T207,0)</f>
        <v>0</v>
      </c>
      <c r="D202" s="1086">
        <f>IF('Proposed Lighting'!$CB$309&gt;0.01,'Proposed Lighting'!EM207,0)</f>
        <v>0</v>
      </c>
      <c r="E202" s="1086">
        <f>IF('Proposed Lighting'!$CB$309&gt;0.01,'Proposed Lighting'!EN207,0)</f>
        <v>0</v>
      </c>
      <c r="F202" s="1086">
        <f>IF('Proposed Lighting'!$CB$309&gt;0.01,'Proposed Lighting'!EO207,0)</f>
        <v>0</v>
      </c>
      <c r="G202" s="1086">
        <f>IF('Proposed Lighting'!$CB$309&gt;0.01,'Proposed Lighting'!EP207,0)</f>
        <v>0</v>
      </c>
      <c r="H202" s="1086">
        <f>IF('Proposed Lighting'!$CB$309&gt;0.01,'Proposed Lighting'!EQ207,0)</f>
        <v>0</v>
      </c>
      <c r="I202" s="1045"/>
    </row>
    <row r="203" spans="1:9" ht="46.5" customHeight="1">
      <c r="A203" s="1115">
        <f>IF('Proposed Lighting'!BZ208&gt;0.01,'Proposed Lighting'!A208,IF('Proposed Lighting'!CA208&gt;0.01,'Proposed Lighting'!A208,0))</f>
        <v>0</v>
      </c>
      <c r="B203" s="1115">
        <f>'Proposed Lighting'!B208</f>
        <v>0</v>
      </c>
      <c r="C203" s="1085">
        <f>IF(A203&gt;0.01,'Proposed Lighting'!T208,0)</f>
        <v>0</v>
      </c>
      <c r="D203" s="1086">
        <f>IF('Proposed Lighting'!$CB$309&gt;0.01,'Proposed Lighting'!EM208,0)</f>
        <v>0</v>
      </c>
      <c r="E203" s="1086">
        <f>IF('Proposed Lighting'!$CB$309&gt;0.01,'Proposed Lighting'!EN208,0)</f>
        <v>0</v>
      </c>
      <c r="F203" s="1086">
        <f>IF('Proposed Lighting'!$CB$309&gt;0.01,'Proposed Lighting'!EO208,0)</f>
        <v>0</v>
      </c>
      <c r="G203" s="1086">
        <f>IF('Proposed Lighting'!$CB$309&gt;0.01,'Proposed Lighting'!EP208,0)</f>
        <v>0</v>
      </c>
      <c r="H203" s="1086">
        <f>IF('Proposed Lighting'!$CB$309&gt;0.01,'Proposed Lighting'!EQ208,0)</f>
        <v>0</v>
      </c>
      <c r="I203" s="1045"/>
    </row>
    <row r="204" spans="1:9" ht="46.5" customHeight="1">
      <c r="A204" s="1115">
        <f>IF('Proposed Lighting'!BZ209&gt;0.01,'Proposed Lighting'!A209,IF('Proposed Lighting'!CA209&gt;0.01,'Proposed Lighting'!A209,0))</f>
        <v>0</v>
      </c>
      <c r="B204" s="1115">
        <f>'Proposed Lighting'!B209</f>
        <v>0</v>
      </c>
      <c r="C204" s="1085">
        <f>IF(A204&gt;0.01,'Proposed Lighting'!T209,0)</f>
        <v>0</v>
      </c>
      <c r="D204" s="1086">
        <f>IF('Proposed Lighting'!$CB$309&gt;0.01,'Proposed Lighting'!EM209,0)</f>
        <v>0</v>
      </c>
      <c r="E204" s="1086">
        <f>IF('Proposed Lighting'!$CB$309&gt;0.01,'Proposed Lighting'!EN209,0)</f>
        <v>0</v>
      </c>
      <c r="F204" s="1086">
        <f>IF('Proposed Lighting'!$CB$309&gt;0.01,'Proposed Lighting'!EO209,0)</f>
        <v>0</v>
      </c>
      <c r="G204" s="1086">
        <f>IF('Proposed Lighting'!$CB$309&gt;0.01,'Proposed Lighting'!EP209,0)</f>
        <v>0</v>
      </c>
      <c r="H204" s="1086">
        <f>IF('Proposed Lighting'!$CB$309&gt;0.01,'Proposed Lighting'!EQ209,0)</f>
        <v>0</v>
      </c>
      <c r="I204" s="1045"/>
    </row>
    <row r="205" spans="1:9" ht="46.5" customHeight="1">
      <c r="A205" s="1115">
        <f>IF('Proposed Lighting'!BZ210&gt;0.01,'Proposed Lighting'!A210,IF('Proposed Lighting'!CA210&gt;0.01,'Proposed Lighting'!A210,0))</f>
        <v>0</v>
      </c>
      <c r="B205" s="1115">
        <f>'Proposed Lighting'!B210</f>
        <v>0</v>
      </c>
      <c r="C205" s="1085">
        <f>IF(A205&gt;0.01,'Proposed Lighting'!T210,0)</f>
        <v>0</v>
      </c>
      <c r="D205" s="1086">
        <f>IF('Proposed Lighting'!$CB$309&gt;0.01,'Proposed Lighting'!EM210,0)</f>
        <v>0</v>
      </c>
      <c r="E205" s="1086">
        <f>IF('Proposed Lighting'!$CB$309&gt;0.01,'Proposed Lighting'!EN210,0)</f>
        <v>0</v>
      </c>
      <c r="F205" s="1086">
        <f>IF('Proposed Lighting'!$CB$309&gt;0.01,'Proposed Lighting'!EO210,0)</f>
        <v>0</v>
      </c>
      <c r="G205" s="1086">
        <f>IF('Proposed Lighting'!$CB$309&gt;0.01,'Proposed Lighting'!EP210,0)</f>
        <v>0</v>
      </c>
      <c r="H205" s="1086">
        <f>IF('Proposed Lighting'!$CB$309&gt;0.01,'Proposed Lighting'!EQ210,0)</f>
        <v>0</v>
      </c>
      <c r="I205" s="1045"/>
    </row>
    <row r="206" spans="1:9" ht="46.5" customHeight="1">
      <c r="A206" s="1115">
        <f>IF('Proposed Lighting'!BZ211&gt;0.01,'Proposed Lighting'!A211,IF('Proposed Lighting'!CA211&gt;0.01,'Proposed Lighting'!A211,0))</f>
        <v>0</v>
      </c>
      <c r="B206" s="1115">
        <f>'Proposed Lighting'!B211</f>
        <v>0</v>
      </c>
      <c r="C206" s="1085">
        <f>IF(A206&gt;0.01,'Proposed Lighting'!T211,0)</f>
        <v>0</v>
      </c>
      <c r="D206" s="1086">
        <f>IF('Proposed Lighting'!$CB$309&gt;0.01,'Proposed Lighting'!EM211,0)</f>
        <v>0</v>
      </c>
      <c r="E206" s="1086">
        <f>IF('Proposed Lighting'!$CB$309&gt;0.01,'Proposed Lighting'!EN211,0)</f>
        <v>0</v>
      </c>
      <c r="F206" s="1086">
        <f>IF('Proposed Lighting'!$CB$309&gt;0.01,'Proposed Lighting'!EO211,0)</f>
        <v>0</v>
      </c>
      <c r="G206" s="1086">
        <f>IF('Proposed Lighting'!$CB$309&gt;0.01,'Proposed Lighting'!EP211,0)</f>
        <v>0</v>
      </c>
      <c r="H206" s="1086">
        <f>IF('Proposed Lighting'!$CB$309&gt;0.01,'Proposed Lighting'!EQ211,0)</f>
        <v>0</v>
      </c>
      <c r="I206" s="1045"/>
    </row>
    <row r="207" spans="1:9" ht="46.5" customHeight="1">
      <c r="A207" s="1115">
        <f>IF('Proposed Lighting'!BZ212&gt;0.01,'Proposed Lighting'!A212,IF('Proposed Lighting'!CA212&gt;0.01,'Proposed Lighting'!A212,0))</f>
        <v>0</v>
      </c>
      <c r="B207" s="1115">
        <f>'Proposed Lighting'!B212</f>
        <v>0</v>
      </c>
      <c r="C207" s="1085">
        <f>IF(A207&gt;0.01,'Proposed Lighting'!T212,0)</f>
        <v>0</v>
      </c>
      <c r="D207" s="1086">
        <f>IF('Proposed Lighting'!$CB$309&gt;0.01,'Proposed Lighting'!EM212,0)</f>
        <v>0</v>
      </c>
      <c r="E207" s="1086">
        <f>IF('Proposed Lighting'!$CB$309&gt;0.01,'Proposed Lighting'!EN212,0)</f>
        <v>0</v>
      </c>
      <c r="F207" s="1086">
        <f>IF('Proposed Lighting'!$CB$309&gt;0.01,'Proposed Lighting'!EO212,0)</f>
        <v>0</v>
      </c>
      <c r="G207" s="1086">
        <f>IF('Proposed Lighting'!$CB$309&gt;0.01,'Proposed Lighting'!EP212,0)</f>
        <v>0</v>
      </c>
      <c r="H207" s="1086">
        <f>IF('Proposed Lighting'!$CB$309&gt;0.01,'Proposed Lighting'!EQ212,0)</f>
        <v>0</v>
      </c>
      <c r="I207" s="1045"/>
    </row>
    <row r="208" spans="1:9" ht="46.5" customHeight="1">
      <c r="A208" s="1115">
        <f>IF('Proposed Lighting'!BZ213&gt;0.01,'Proposed Lighting'!A213,IF('Proposed Lighting'!CA213&gt;0.01,'Proposed Lighting'!A213,0))</f>
        <v>0</v>
      </c>
      <c r="B208" s="1115">
        <f>'Proposed Lighting'!B213</f>
        <v>0</v>
      </c>
      <c r="C208" s="1085">
        <f>IF(A208&gt;0.01,'Proposed Lighting'!T213,0)</f>
        <v>0</v>
      </c>
      <c r="D208" s="1086">
        <f>IF('Proposed Lighting'!$CB$309&gt;0.01,'Proposed Lighting'!EM213,0)</f>
        <v>0</v>
      </c>
      <c r="E208" s="1086">
        <f>IF('Proposed Lighting'!$CB$309&gt;0.01,'Proposed Lighting'!EN213,0)</f>
        <v>0</v>
      </c>
      <c r="F208" s="1086">
        <f>IF('Proposed Lighting'!$CB$309&gt;0.01,'Proposed Lighting'!EO213,0)</f>
        <v>0</v>
      </c>
      <c r="G208" s="1086">
        <f>IF('Proposed Lighting'!$CB$309&gt;0.01,'Proposed Lighting'!EP213,0)</f>
        <v>0</v>
      </c>
      <c r="H208" s="1086">
        <f>IF('Proposed Lighting'!$CB$309&gt;0.01,'Proposed Lighting'!EQ213,0)</f>
        <v>0</v>
      </c>
      <c r="I208" s="1045"/>
    </row>
    <row r="209" spans="1:9" ht="46.5" customHeight="1">
      <c r="A209" s="1115">
        <f>IF('Proposed Lighting'!BZ214&gt;0.01,'Proposed Lighting'!A214,IF('Proposed Lighting'!CA214&gt;0.01,'Proposed Lighting'!A214,0))</f>
        <v>0</v>
      </c>
      <c r="B209" s="1115">
        <f>'Proposed Lighting'!B214</f>
        <v>0</v>
      </c>
      <c r="C209" s="1085">
        <f>IF(A209&gt;0.01,'Proposed Lighting'!T214,0)</f>
        <v>0</v>
      </c>
      <c r="D209" s="1086">
        <f>IF('Proposed Lighting'!$CB$309&gt;0.01,'Proposed Lighting'!EM214,0)</f>
        <v>0</v>
      </c>
      <c r="E209" s="1086">
        <f>IF('Proposed Lighting'!$CB$309&gt;0.01,'Proposed Lighting'!EN214,0)</f>
        <v>0</v>
      </c>
      <c r="F209" s="1086">
        <f>IF('Proposed Lighting'!$CB$309&gt;0.01,'Proposed Lighting'!EO214,0)</f>
        <v>0</v>
      </c>
      <c r="G209" s="1086">
        <f>IF('Proposed Lighting'!$CB$309&gt;0.01,'Proposed Lighting'!EP214,0)</f>
        <v>0</v>
      </c>
      <c r="H209" s="1086">
        <f>IF('Proposed Lighting'!$CB$309&gt;0.01,'Proposed Lighting'!EQ214,0)</f>
        <v>0</v>
      </c>
      <c r="I209" s="1045"/>
    </row>
    <row r="210" spans="1:9" ht="46.5" customHeight="1">
      <c r="A210" s="1115">
        <f>IF('Proposed Lighting'!BZ215&gt;0.01,'Proposed Lighting'!A215,IF('Proposed Lighting'!CA215&gt;0.01,'Proposed Lighting'!A215,0))</f>
        <v>0</v>
      </c>
      <c r="B210" s="1115">
        <f>'Proposed Lighting'!B215</f>
        <v>0</v>
      </c>
      <c r="C210" s="1085">
        <f>IF(A210&gt;0.01,'Proposed Lighting'!T215,0)</f>
        <v>0</v>
      </c>
      <c r="D210" s="1086">
        <f>IF('Proposed Lighting'!$CB$309&gt;0.01,'Proposed Lighting'!EM215,0)</f>
        <v>0</v>
      </c>
      <c r="E210" s="1086">
        <f>IF('Proposed Lighting'!$CB$309&gt;0.01,'Proposed Lighting'!EN215,0)</f>
        <v>0</v>
      </c>
      <c r="F210" s="1086">
        <f>IF('Proposed Lighting'!$CB$309&gt;0.01,'Proposed Lighting'!EO215,0)</f>
        <v>0</v>
      </c>
      <c r="G210" s="1086">
        <f>IF('Proposed Lighting'!$CB$309&gt;0.01,'Proposed Lighting'!EP215,0)</f>
        <v>0</v>
      </c>
      <c r="H210" s="1086">
        <f>IF('Proposed Lighting'!$CB$309&gt;0.01,'Proposed Lighting'!EQ215,0)</f>
        <v>0</v>
      </c>
      <c r="I210" s="1045"/>
    </row>
    <row r="211" spans="1:9" ht="46.5" customHeight="1">
      <c r="A211" s="1115">
        <f>IF('Proposed Lighting'!BZ216&gt;0.01,'Proposed Lighting'!A216,IF('Proposed Lighting'!CA216&gt;0.01,'Proposed Lighting'!A216,0))</f>
        <v>0</v>
      </c>
      <c r="B211" s="1115">
        <f>'Proposed Lighting'!B216</f>
        <v>0</v>
      </c>
      <c r="C211" s="1085">
        <f>IF(A211&gt;0.01,'Proposed Lighting'!T216,0)</f>
        <v>0</v>
      </c>
      <c r="D211" s="1086">
        <f>IF('Proposed Lighting'!$CB$309&gt;0.01,'Proposed Lighting'!EM216,0)</f>
        <v>0</v>
      </c>
      <c r="E211" s="1086">
        <f>IF('Proposed Lighting'!$CB$309&gt;0.01,'Proposed Lighting'!EN216,0)</f>
        <v>0</v>
      </c>
      <c r="F211" s="1086">
        <f>IF('Proposed Lighting'!$CB$309&gt;0.01,'Proposed Lighting'!EO216,0)</f>
        <v>0</v>
      </c>
      <c r="G211" s="1086">
        <f>IF('Proposed Lighting'!$CB$309&gt;0.01,'Proposed Lighting'!EP216,0)</f>
        <v>0</v>
      </c>
      <c r="H211" s="1086">
        <f>IF('Proposed Lighting'!$CB$309&gt;0.01,'Proposed Lighting'!EQ216,0)</f>
        <v>0</v>
      </c>
      <c r="I211" s="1045"/>
    </row>
    <row r="212" spans="1:9" ht="46.5" customHeight="1">
      <c r="A212" s="1115">
        <f>IF('Proposed Lighting'!BZ217&gt;0.01,'Proposed Lighting'!A217,IF('Proposed Lighting'!CA217&gt;0.01,'Proposed Lighting'!A217,0))</f>
        <v>0</v>
      </c>
      <c r="B212" s="1115">
        <f>'Proposed Lighting'!B217</f>
        <v>0</v>
      </c>
      <c r="C212" s="1085">
        <f>IF(A212&gt;0.01,'Proposed Lighting'!T217,0)</f>
        <v>0</v>
      </c>
      <c r="D212" s="1086">
        <f>IF('Proposed Lighting'!$CB$309&gt;0.01,'Proposed Lighting'!EM217,0)</f>
        <v>0</v>
      </c>
      <c r="E212" s="1086">
        <f>IF('Proposed Lighting'!$CB$309&gt;0.01,'Proposed Lighting'!EN217,0)</f>
        <v>0</v>
      </c>
      <c r="F212" s="1086">
        <f>IF('Proposed Lighting'!$CB$309&gt;0.01,'Proposed Lighting'!EO217,0)</f>
        <v>0</v>
      </c>
      <c r="G212" s="1086">
        <f>IF('Proposed Lighting'!$CB$309&gt;0.01,'Proposed Lighting'!EP217,0)</f>
        <v>0</v>
      </c>
      <c r="H212" s="1086">
        <f>IF('Proposed Lighting'!$CB$309&gt;0.01,'Proposed Lighting'!EQ217,0)</f>
        <v>0</v>
      </c>
      <c r="I212" s="1045"/>
    </row>
    <row r="213" spans="1:9" ht="46.5" customHeight="1">
      <c r="A213" s="1115">
        <f>IF('Proposed Lighting'!BZ218&gt;0.01,'Proposed Lighting'!A218,IF('Proposed Lighting'!CA218&gt;0.01,'Proposed Lighting'!A218,0))</f>
        <v>0</v>
      </c>
      <c r="B213" s="1115">
        <f>'Proposed Lighting'!B218</f>
        <v>0</v>
      </c>
      <c r="C213" s="1085">
        <f>IF(A213&gt;0.01,'Proposed Lighting'!T218,0)</f>
        <v>0</v>
      </c>
      <c r="D213" s="1086">
        <f>IF('Proposed Lighting'!$CB$309&gt;0.01,'Proposed Lighting'!EM218,0)</f>
        <v>0</v>
      </c>
      <c r="E213" s="1086">
        <f>IF('Proposed Lighting'!$CB$309&gt;0.01,'Proposed Lighting'!EN218,0)</f>
        <v>0</v>
      </c>
      <c r="F213" s="1086">
        <f>IF('Proposed Lighting'!$CB$309&gt;0.01,'Proposed Lighting'!EO218,0)</f>
        <v>0</v>
      </c>
      <c r="G213" s="1086">
        <f>IF('Proposed Lighting'!$CB$309&gt;0.01,'Proposed Lighting'!EP218,0)</f>
        <v>0</v>
      </c>
      <c r="H213" s="1086">
        <f>IF('Proposed Lighting'!$CB$309&gt;0.01,'Proposed Lighting'!EQ218,0)</f>
        <v>0</v>
      </c>
      <c r="I213" s="1045"/>
    </row>
    <row r="214" spans="1:9" ht="46.5" customHeight="1">
      <c r="A214" s="1115">
        <f>IF('Proposed Lighting'!BZ219&gt;0.01,'Proposed Lighting'!A219,IF('Proposed Lighting'!CA219&gt;0.01,'Proposed Lighting'!A219,0))</f>
        <v>0</v>
      </c>
      <c r="B214" s="1115">
        <f>'Proposed Lighting'!B219</f>
        <v>0</v>
      </c>
      <c r="C214" s="1085">
        <f>IF(A214&gt;0.01,'Proposed Lighting'!T219,0)</f>
        <v>0</v>
      </c>
      <c r="D214" s="1086">
        <f>IF('Proposed Lighting'!$CB$309&gt;0.01,'Proposed Lighting'!EM219,0)</f>
        <v>0</v>
      </c>
      <c r="E214" s="1086">
        <f>IF('Proposed Lighting'!$CB$309&gt;0.01,'Proposed Lighting'!EN219,0)</f>
        <v>0</v>
      </c>
      <c r="F214" s="1086">
        <f>IF('Proposed Lighting'!$CB$309&gt;0.01,'Proposed Lighting'!EO219,0)</f>
        <v>0</v>
      </c>
      <c r="G214" s="1086">
        <f>IF('Proposed Lighting'!$CB$309&gt;0.01,'Proposed Lighting'!EP219,0)</f>
        <v>0</v>
      </c>
      <c r="H214" s="1086">
        <f>IF('Proposed Lighting'!$CB$309&gt;0.01,'Proposed Lighting'!EQ219,0)</f>
        <v>0</v>
      </c>
      <c r="I214" s="1045"/>
    </row>
    <row r="215" spans="1:9" ht="46.5" customHeight="1">
      <c r="A215" s="1115">
        <f>IF('Proposed Lighting'!BZ220&gt;0.01,'Proposed Lighting'!A220,IF('Proposed Lighting'!CA220&gt;0.01,'Proposed Lighting'!A220,0))</f>
        <v>0</v>
      </c>
      <c r="B215" s="1115">
        <f>'Proposed Lighting'!B220</f>
        <v>0</v>
      </c>
      <c r="C215" s="1085">
        <f>IF(A215&gt;0.01,'Proposed Lighting'!T220,0)</f>
        <v>0</v>
      </c>
      <c r="D215" s="1086">
        <f>IF('Proposed Lighting'!$CB$309&gt;0.01,'Proposed Lighting'!EM220,0)</f>
        <v>0</v>
      </c>
      <c r="E215" s="1086">
        <f>IF('Proposed Lighting'!$CB$309&gt;0.01,'Proposed Lighting'!EN220,0)</f>
        <v>0</v>
      </c>
      <c r="F215" s="1086">
        <f>IF('Proposed Lighting'!$CB$309&gt;0.01,'Proposed Lighting'!EO220,0)</f>
        <v>0</v>
      </c>
      <c r="G215" s="1086">
        <f>IF('Proposed Lighting'!$CB$309&gt;0.01,'Proposed Lighting'!EP220,0)</f>
        <v>0</v>
      </c>
      <c r="H215" s="1086">
        <f>IF('Proposed Lighting'!$CB$309&gt;0.01,'Proposed Lighting'!EQ220,0)</f>
        <v>0</v>
      </c>
      <c r="I215" s="1045"/>
    </row>
    <row r="216" spans="1:9" ht="46.5" customHeight="1">
      <c r="A216" s="1115">
        <f>IF('Proposed Lighting'!BZ221&gt;0.01,'Proposed Lighting'!A221,IF('Proposed Lighting'!CA221&gt;0.01,'Proposed Lighting'!A221,0))</f>
        <v>0</v>
      </c>
      <c r="B216" s="1115">
        <f>'Proposed Lighting'!B221</f>
        <v>0</v>
      </c>
      <c r="C216" s="1085">
        <f>IF(A216&gt;0.01,'Proposed Lighting'!T221,0)</f>
        <v>0</v>
      </c>
      <c r="D216" s="1086">
        <f>IF('Proposed Lighting'!$CB$309&gt;0.01,'Proposed Lighting'!EM221,0)</f>
        <v>0</v>
      </c>
      <c r="E216" s="1086">
        <f>IF('Proposed Lighting'!$CB$309&gt;0.01,'Proposed Lighting'!EN221,0)</f>
        <v>0</v>
      </c>
      <c r="F216" s="1086">
        <f>IF('Proposed Lighting'!$CB$309&gt;0.01,'Proposed Lighting'!EO221,0)</f>
        <v>0</v>
      </c>
      <c r="G216" s="1086">
        <f>IF('Proposed Lighting'!$CB$309&gt;0.01,'Proposed Lighting'!EP221,0)</f>
        <v>0</v>
      </c>
      <c r="H216" s="1086">
        <f>IF('Proposed Lighting'!$CB$309&gt;0.01,'Proposed Lighting'!EQ221,0)</f>
        <v>0</v>
      </c>
      <c r="I216" s="1045"/>
    </row>
    <row r="217" spans="1:9" ht="46.5" customHeight="1">
      <c r="A217" s="1115">
        <f>IF('Proposed Lighting'!BZ222&gt;0.01,'Proposed Lighting'!A222,IF('Proposed Lighting'!CA222&gt;0.01,'Proposed Lighting'!A222,0))</f>
        <v>0</v>
      </c>
      <c r="B217" s="1115">
        <f>'Proposed Lighting'!B222</f>
        <v>0</v>
      </c>
      <c r="C217" s="1085">
        <f>IF(A217&gt;0.01,'Proposed Lighting'!T222,0)</f>
        <v>0</v>
      </c>
      <c r="D217" s="1086">
        <f>IF('Proposed Lighting'!$CB$309&gt;0.01,'Proposed Lighting'!EM222,0)</f>
        <v>0</v>
      </c>
      <c r="E217" s="1086">
        <f>IF('Proposed Lighting'!$CB$309&gt;0.01,'Proposed Lighting'!EN222,0)</f>
        <v>0</v>
      </c>
      <c r="F217" s="1086">
        <f>IF('Proposed Lighting'!$CB$309&gt;0.01,'Proposed Lighting'!EO222,0)</f>
        <v>0</v>
      </c>
      <c r="G217" s="1086">
        <f>IF('Proposed Lighting'!$CB$309&gt;0.01,'Proposed Lighting'!EP222,0)</f>
        <v>0</v>
      </c>
      <c r="H217" s="1086">
        <f>IF('Proposed Lighting'!$CB$309&gt;0.01,'Proposed Lighting'!EQ222,0)</f>
        <v>0</v>
      </c>
      <c r="I217" s="1045"/>
    </row>
    <row r="218" spans="1:9" ht="46.5" customHeight="1">
      <c r="A218" s="1115">
        <f>IF('Proposed Lighting'!BZ223&gt;0.01,'Proposed Lighting'!A223,IF('Proposed Lighting'!CA223&gt;0.01,'Proposed Lighting'!A223,0))</f>
        <v>0</v>
      </c>
      <c r="B218" s="1115">
        <f>'Proposed Lighting'!B223</f>
        <v>0</v>
      </c>
      <c r="C218" s="1085">
        <f>IF(A218&gt;0.01,'Proposed Lighting'!T223,0)</f>
        <v>0</v>
      </c>
      <c r="D218" s="1086">
        <f>IF('Proposed Lighting'!$CB$309&gt;0.01,'Proposed Lighting'!EM223,0)</f>
        <v>0</v>
      </c>
      <c r="E218" s="1086">
        <f>IF('Proposed Lighting'!$CB$309&gt;0.01,'Proposed Lighting'!EN223,0)</f>
        <v>0</v>
      </c>
      <c r="F218" s="1086">
        <f>IF('Proposed Lighting'!$CB$309&gt;0.01,'Proposed Lighting'!EO223,0)</f>
        <v>0</v>
      </c>
      <c r="G218" s="1086">
        <f>IF('Proposed Lighting'!$CB$309&gt;0.01,'Proposed Lighting'!EP223,0)</f>
        <v>0</v>
      </c>
      <c r="H218" s="1086">
        <f>IF('Proposed Lighting'!$CB$309&gt;0.01,'Proposed Lighting'!EQ223,0)</f>
        <v>0</v>
      </c>
      <c r="I218" s="1045"/>
    </row>
    <row r="219" spans="1:9" ht="46.5" customHeight="1">
      <c r="A219" s="1115">
        <f>IF('Proposed Lighting'!BZ224&gt;0.01,'Proposed Lighting'!A224,IF('Proposed Lighting'!CA224&gt;0.01,'Proposed Lighting'!A224,0))</f>
        <v>0</v>
      </c>
      <c r="B219" s="1115">
        <f>'Proposed Lighting'!B224</f>
        <v>0</v>
      </c>
      <c r="C219" s="1085">
        <f>IF(A219&gt;0.01,'Proposed Lighting'!T224,0)</f>
        <v>0</v>
      </c>
      <c r="D219" s="1086">
        <f>IF('Proposed Lighting'!$CB$309&gt;0.01,'Proposed Lighting'!EM224,0)</f>
        <v>0</v>
      </c>
      <c r="E219" s="1086">
        <f>IF('Proposed Lighting'!$CB$309&gt;0.01,'Proposed Lighting'!EN224,0)</f>
        <v>0</v>
      </c>
      <c r="F219" s="1086">
        <f>IF('Proposed Lighting'!$CB$309&gt;0.01,'Proposed Lighting'!EO224,0)</f>
        <v>0</v>
      </c>
      <c r="G219" s="1086">
        <f>IF('Proposed Lighting'!$CB$309&gt;0.01,'Proposed Lighting'!EP224,0)</f>
        <v>0</v>
      </c>
      <c r="H219" s="1086">
        <f>IF('Proposed Lighting'!$CB$309&gt;0.01,'Proposed Lighting'!EQ224,0)</f>
        <v>0</v>
      </c>
      <c r="I219" s="1045"/>
    </row>
    <row r="220" spans="1:9" ht="46.5" customHeight="1">
      <c r="A220" s="1115">
        <f>IF('Proposed Lighting'!BZ225&gt;0.01,'Proposed Lighting'!A225,IF('Proposed Lighting'!CA225&gt;0.01,'Proposed Lighting'!A225,0))</f>
        <v>0</v>
      </c>
      <c r="B220" s="1115">
        <f>'Proposed Lighting'!B225</f>
        <v>0</v>
      </c>
      <c r="C220" s="1085">
        <f>IF(A220&gt;0.01,'Proposed Lighting'!T225,0)</f>
        <v>0</v>
      </c>
      <c r="D220" s="1086">
        <f>IF('Proposed Lighting'!$CB$309&gt;0.01,'Proposed Lighting'!EM225,0)</f>
        <v>0</v>
      </c>
      <c r="E220" s="1086">
        <f>IF('Proposed Lighting'!$CB$309&gt;0.01,'Proposed Lighting'!EN225,0)</f>
        <v>0</v>
      </c>
      <c r="F220" s="1086">
        <f>IF('Proposed Lighting'!$CB$309&gt;0.01,'Proposed Lighting'!EO225,0)</f>
        <v>0</v>
      </c>
      <c r="G220" s="1086">
        <f>IF('Proposed Lighting'!$CB$309&gt;0.01,'Proposed Lighting'!EP225,0)</f>
        <v>0</v>
      </c>
      <c r="H220" s="1086">
        <f>IF('Proposed Lighting'!$CB$309&gt;0.01,'Proposed Lighting'!EQ225,0)</f>
        <v>0</v>
      </c>
      <c r="I220" s="1045"/>
    </row>
    <row r="221" spans="1:9" ht="46.5" customHeight="1">
      <c r="A221" s="1115">
        <f>IF('Proposed Lighting'!BZ226&gt;0.01,'Proposed Lighting'!A226,IF('Proposed Lighting'!CA226&gt;0.01,'Proposed Lighting'!A226,0))</f>
        <v>0</v>
      </c>
      <c r="B221" s="1115">
        <f>'Proposed Lighting'!B226</f>
        <v>0</v>
      </c>
      <c r="C221" s="1085">
        <f>IF(A221&gt;0.01,'Proposed Lighting'!T226,0)</f>
        <v>0</v>
      </c>
      <c r="D221" s="1086">
        <f>IF('Proposed Lighting'!$CB$309&gt;0.01,'Proposed Lighting'!EM226,0)</f>
        <v>0</v>
      </c>
      <c r="E221" s="1086">
        <f>IF('Proposed Lighting'!$CB$309&gt;0.01,'Proposed Lighting'!EN226,0)</f>
        <v>0</v>
      </c>
      <c r="F221" s="1086">
        <f>IF('Proposed Lighting'!$CB$309&gt;0.01,'Proposed Lighting'!EO226,0)</f>
        <v>0</v>
      </c>
      <c r="G221" s="1086">
        <f>IF('Proposed Lighting'!$CB$309&gt;0.01,'Proposed Lighting'!EP226,0)</f>
        <v>0</v>
      </c>
      <c r="H221" s="1086">
        <f>IF('Proposed Lighting'!$CB$309&gt;0.01,'Proposed Lighting'!EQ226,0)</f>
        <v>0</v>
      </c>
      <c r="I221" s="1045"/>
    </row>
    <row r="222" spans="1:9" ht="46.5" customHeight="1">
      <c r="A222" s="1115">
        <f>IF('Proposed Lighting'!BZ227&gt;0.01,'Proposed Lighting'!A227,IF('Proposed Lighting'!CA227&gt;0.01,'Proposed Lighting'!A227,0))</f>
        <v>0</v>
      </c>
      <c r="B222" s="1115">
        <f>'Proposed Lighting'!B227</f>
        <v>0</v>
      </c>
      <c r="C222" s="1085">
        <f>IF(A222&gt;0.01,'Proposed Lighting'!T227,0)</f>
        <v>0</v>
      </c>
      <c r="D222" s="1086">
        <f>IF('Proposed Lighting'!$CB$309&gt;0.01,'Proposed Lighting'!EM227,0)</f>
        <v>0</v>
      </c>
      <c r="E222" s="1086">
        <f>IF('Proposed Lighting'!$CB$309&gt;0.01,'Proposed Lighting'!EN227,0)</f>
        <v>0</v>
      </c>
      <c r="F222" s="1086">
        <f>IF('Proposed Lighting'!$CB$309&gt;0.01,'Proposed Lighting'!EO227,0)</f>
        <v>0</v>
      </c>
      <c r="G222" s="1086">
        <f>IF('Proposed Lighting'!$CB$309&gt;0.01,'Proposed Lighting'!EP227,0)</f>
        <v>0</v>
      </c>
      <c r="H222" s="1086">
        <f>IF('Proposed Lighting'!$CB$309&gt;0.01,'Proposed Lighting'!EQ227,0)</f>
        <v>0</v>
      </c>
      <c r="I222" s="1045"/>
    </row>
    <row r="223" spans="1:9" ht="46.5" customHeight="1">
      <c r="A223" s="1115">
        <f>IF('Proposed Lighting'!BZ228&gt;0.01,'Proposed Lighting'!A228,IF('Proposed Lighting'!CA228&gt;0.01,'Proposed Lighting'!A228,0))</f>
        <v>0</v>
      </c>
      <c r="B223" s="1115">
        <f>'Proposed Lighting'!B228</f>
        <v>0</v>
      </c>
      <c r="C223" s="1085">
        <f>IF(A223&gt;0.01,'Proposed Lighting'!T228,0)</f>
        <v>0</v>
      </c>
      <c r="D223" s="1086">
        <f>IF('Proposed Lighting'!$CB$309&gt;0.01,'Proposed Lighting'!EM228,0)</f>
        <v>0</v>
      </c>
      <c r="E223" s="1086">
        <f>IF('Proposed Lighting'!$CB$309&gt;0.01,'Proposed Lighting'!EN228,0)</f>
        <v>0</v>
      </c>
      <c r="F223" s="1086">
        <f>IF('Proposed Lighting'!$CB$309&gt;0.01,'Proposed Lighting'!EO228,0)</f>
        <v>0</v>
      </c>
      <c r="G223" s="1086">
        <f>IF('Proposed Lighting'!$CB$309&gt;0.01,'Proposed Lighting'!EP228,0)</f>
        <v>0</v>
      </c>
      <c r="H223" s="1086">
        <f>IF('Proposed Lighting'!$CB$309&gt;0.01,'Proposed Lighting'!EQ228,0)</f>
        <v>0</v>
      </c>
      <c r="I223" s="1045"/>
    </row>
    <row r="224" spans="1:9" ht="46.5" customHeight="1">
      <c r="A224" s="1115">
        <f>IF('Proposed Lighting'!BZ229&gt;0.01,'Proposed Lighting'!A229,IF('Proposed Lighting'!CA229&gt;0.01,'Proposed Lighting'!A229,0))</f>
        <v>0</v>
      </c>
      <c r="B224" s="1115">
        <f>'Proposed Lighting'!B229</f>
        <v>0</v>
      </c>
      <c r="C224" s="1085">
        <f>IF(A224&gt;0.01,'Proposed Lighting'!T229,0)</f>
        <v>0</v>
      </c>
      <c r="D224" s="1086">
        <f>IF('Proposed Lighting'!$CB$309&gt;0.01,'Proposed Lighting'!EM229,0)</f>
        <v>0</v>
      </c>
      <c r="E224" s="1086">
        <f>IF('Proposed Lighting'!$CB$309&gt;0.01,'Proposed Lighting'!EN229,0)</f>
        <v>0</v>
      </c>
      <c r="F224" s="1086">
        <f>IF('Proposed Lighting'!$CB$309&gt;0.01,'Proposed Lighting'!EO229,0)</f>
        <v>0</v>
      </c>
      <c r="G224" s="1086">
        <f>IF('Proposed Lighting'!$CB$309&gt;0.01,'Proposed Lighting'!EP229,0)</f>
        <v>0</v>
      </c>
      <c r="H224" s="1086">
        <f>IF('Proposed Lighting'!$CB$309&gt;0.01,'Proposed Lighting'!EQ229,0)</f>
        <v>0</v>
      </c>
      <c r="I224" s="1045"/>
    </row>
    <row r="225" spans="1:9" ht="46.5" customHeight="1">
      <c r="A225" s="1115">
        <f>IF('Proposed Lighting'!BZ230&gt;0.01,'Proposed Lighting'!A230,IF('Proposed Lighting'!CA230&gt;0.01,'Proposed Lighting'!A230,0))</f>
        <v>0</v>
      </c>
      <c r="B225" s="1115">
        <f>'Proposed Lighting'!B230</f>
        <v>0</v>
      </c>
      <c r="C225" s="1085">
        <f>IF(A225&gt;0.01,'Proposed Lighting'!T230,0)</f>
        <v>0</v>
      </c>
      <c r="D225" s="1086">
        <f>IF('Proposed Lighting'!$CB$309&gt;0.01,'Proposed Lighting'!EM230,0)</f>
        <v>0</v>
      </c>
      <c r="E225" s="1086">
        <f>IF('Proposed Lighting'!$CB$309&gt;0.01,'Proposed Lighting'!EN230,0)</f>
        <v>0</v>
      </c>
      <c r="F225" s="1086">
        <f>IF('Proposed Lighting'!$CB$309&gt;0.01,'Proposed Lighting'!EO230,0)</f>
        <v>0</v>
      </c>
      <c r="G225" s="1086">
        <f>IF('Proposed Lighting'!$CB$309&gt;0.01,'Proposed Lighting'!EP230,0)</f>
        <v>0</v>
      </c>
      <c r="H225" s="1086">
        <f>IF('Proposed Lighting'!$CB$309&gt;0.01,'Proposed Lighting'!EQ230,0)</f>
        <v>0</v>
      </c>
      <c r="I225" s="1045"/>
    </row>
    <row r="226" spans="1:9" ht="46.5" customHeight="1">
      <c r="A226" s="1115">
        <f>IF('Proposed Lighting'!BZ231&gt;0.01,'Proposed Lighting'!A231,IF('Proposed Lighting'!CA231&gt;0.01,'Proposed Lighting'!A231,0))</f>
        <v>0</v>
      </c>
      <c r="B226" s="1115">
        <f>'Proposed Lighting'!B231</f>
        <v>0</v>
      </c>
      <c r="C226" s="1085">
        <f>IF(A226&gt;0.01,'Proposed Lighting'!T231,0)</f>
        <v>0</v>
      </c>
      <c r="D226" s="1086">
        <f>IF('Proposed Lighting'!$CB$309&gt;0.01,'Proposed Lighting'!EM231,0)</f>
        <v>0</v>
      </c>
      <c r="E226" s="1086">
        <f>IF('Proposed Lighting'!$CB$309&gt;0.01,'Proposed Lighting'!EN231,0)</f>
        <v>0</v>
      </c>
      <c r="F226" s="1086">
        <f>IF('Proposed Lighting'!$CB$309&gt;0.01,'Proposed Lighting'!EO231,0)</f>
        <v>0</v>
      </c>
      <c r="G226" s="1086">
        <f>IF('Proposed Lighting'!$CB$309&gt;0.01,'Proposed Lighting'!EP231,0)</f>
        <v>0</v>
      </c>
      <c r="H226" s="1086">
        <f>IF('Proposed Lighting'!$CB$309&gt;0.01,'Proposed Lighting'!EQ231,0)</f>
        <v>0</v>
      </c>
      <c r="I226" s="1045"/>
    </row>
    <row r="227" spans="1:9" ht="46.5" customHeight="1">
      <c r="A227" s="1115">
        <f>IF('Proposed Lighting'!BZ232&gt;0.01,'Proposed Lighting'!A232,IF('Proposed Lighting'!CA232&gt;0.01,'Proposed Lighting'!A232,0))</f>
        <v>0</v>
      </c>
      <c r="B227" s="1115">
        <f>'Proposed Lighting'!B232</f>
        <v>0</v>
      </c>
      <c r="C227" s="1085">
        <f>IF(A227&gt;0.01,'Proposed Lighting'!T232,0)</f>
        <v>0</v>
      </c>
      <c r="D227" s="1086">
        <f>IF('Proposed Lighting'!$CB$309&gt;0.01,'Proposed Lighting'!EM232,0)</f>
        <v>0</v>
      </c>
      <c r="E227" s="1086">
        <f>IF('Proposed Lighting'!$CB$309&gt;0.01,'Proposed Lighting'!EN232,0)</f>
        <v>0</v>
      </c>
      <c r="F227" s="1086">
        <f>IF('Proposed Lighting'!$CB$309&gt;0.01,'Proposed Lighting'!EO232,0)</f>
        <v>0</v>
      </c>
      <c r="G227" s="1086">
        <f>IF('Proposed Lighting'!$CB$309&gt;0.01,'Proposed Lighting'!EP232,0)</f>
        <v>0</v>
      </c>
      <c r="H227" s="1086">
        <f>IF('Proposed Lighting'!$CB$309&gt;0.01,'Proposed Lighting'!EQ232,0)</f>
        <v>0</v>
      </c>
      <c r="I227" s="1045"/>
    </row>
    <row r="228" spans="1:9" ht="46.5" customHeight="1">
      <c r="A228" s="1115">
        <f>IF('Proposed Lighting'!BZ233&gt;0.01,'Proposed Lighting'!A233,IF('Proposed Lighting'!CA233&gt;0.01,'Proposed Lighting'!A233,0))</f>
        <v>0</v>
      </c>
      <c r="B228" s="1115">
        <f>'Proposed Lighting'!B233</f>
        <v>0</v>
      </c>
      <c r="C228" s="1085">
        <f>IF(A228&gt;0.01,'Proposed Lighting'!T233,0)</f>
        <v>0</v>
      </c>
      <c r="D228" s="1086">
        <f>IF('Proposed Lighting'!$CB$309&gt;0.01,'Proposed Lighting'!EM233,0)</f>
        <v>0</v>
      </c>
      <c r="E228" s="1086">
        <f>IF('Proposed Lighting'!$CB$309&gt;0.01,'Proposed Lighting'!EN233,0)</f>
        <v>0</v>
      </c>
      <c r="F228" s="1086">
        <f>IF('Proposed Lighting'!$CB$309&gt;0.01,'Proposed Lighting'!EO233,0)</f>
        <v>0</v>
      </c>
      <c r="G228" s="1086">
        <f>IF('Proposed Lighting'!$CB$309&gt;0.01,'Proposed Lighting'!EP233,0)</f>
        <v>0</v>
      </c>
      <c r="H228" s="1086">
        <f>IF('Proposed Lighting'!$CB$309&gt;0.01,'Proposed Lighting'!EQ233,0)</f>
        <v>0</v>
      </c>
      <c r="I228" s="1045"/>
    </row>
    <row r="229" spans="1:9" ht="46.5" customHeight="1">
      <c r="A229" s="1115">
        <f>IF('Proposed Lighting'!BZ234&gt;0.01,'Proposed Lighting'!A234,IF('Proposed Lighting'!CA234&gt;0.01,'Proposed Lighting'!A234,0))</f>
        <v>0</v>
      </c>
      <c r="B229" s="1115">
        <f>'Proposed Lighting'!B234</f>
        <v>0</v>
      </c>
      <c r="C229" s="1085">
        <f>IF(A229&gt;0.01,'Proposed Lighting'!T234,0)</f>
        <v>0</v>
      </c>
      <c r="D229" s="1086">
        <f>IF('Proposed Lighting'!$CB$309&gt;0.01,'Proposed Lighting'!EM234,0)</f>
        <v>0</v>
      </c>
      <c r="E229" s="1086">
        <f>IF('Proposed Lighting'!$CB$309&gt;0.01,'Proposed Lighting'!EN234,0)</f>
        <v>0</v>
      </c>
      <c r="F229" s="1086">
        <f>IF('Proposed Lighting'!$CB$309&gt;0.01,'Proposed Lighting'!EO234,0)</f>
        <v>0</v>
      </c>
      <c r="G229" s="1086">
        <f>IF('Proposed Lighting'!$CB$309&gt;0.01,'Proposed Lighting'!EP234,0)</f>
        <v>0</v>
      </c>
      <c r="H229" s="1086">
        <f>IF('Proposed Lighting'!$CB$309&gt;0.01,'Proposed Lighting'!EQ234,0)</f>
        <v>0</v>
      </c>
      <c r="I229" s="1045"/>
    </row>
    <row r="230" spans="1:9" ht="46.5" customHeight="1">
      <c r="A230" s="1115">
        <f>IF('Proposed Lighting'!BZ235&gt;0.01,'Proposed Lighting'!A235,IF('Proposed Lighting'!CA235&gt;0.01,'Proposed Lighting'!A235,0))</f>
        <v>0</v>
      </c>
      <c r="B230" s="1115">
        <f>'Proposed Lighting'!B235</f>
        <v>0</v>
      </c>
      <c r="C230" s="1085">
        <f>IF(A230&gt;0.01,'Proposed Lighting'!T235,0)</f>
        <v>0</v>
      </c>
      <c r="D230" s="1086">
        <f>IF('Proposed Lighting'!$CB$309&gt;0.01,'Proposed Lighting'!EM235,0)</f>
        <v>0</v>
      </c>
      <c r="E230" s="1086">
        <f>IF('Proposed Lighting'!$CB$309&gt;0.01,'Proposed Lighting'!EN235,0)</f>
        <v>0</v>
      </c>
      <c r="F230" s="1086">
        <f>IF('Proposed Lighting'!$CB$309&gt;0.01,'Proposed Lighting'!EO235,0)</f>
        <v>0</v>
      </c>
      <c r="G230" s="1086">
        <f>IF('Proposed Lighting'!$CB$309&gt;0.01,'Proposed Lighting'!EP235,0)</f>
        <v>0</v>
      </c>
      <c r="H230" s="1086">
        <f>IF('Proposed Lighting'!$CB$309&gt;0.01,'Proposed Lighting'!EQ235,0)</f>
        <v>0</v>
      </c>
      <c r="I230" s="1045"/>
    </row>
    <row r="231" spans="1:9" ht="46.5" customHeight="1">
      <c r="A231" s="1115">
        <f>IF('Proposed Lighting'!BZ236&gt;0.01,'Proposed Lighting'!A236,IF('Proposed Lighting'!CA236&gt;0.01,'Proposed Lighting'!A236,0))</f>
        <v>0</v>
      </c>
      <c r="B231" s="1115">
        <f>'Proposed Lighting'!B236</f>
        <v>0</v>
      </c>
      <c r="C231" s="1085">
        <f>IF(A231&gt;0.01,'Proposed Lighting'!T236,0)</f>
        <v>0</v>
      </c>
      <c r="D231" s="1086">
        <f>IF('Proposed Lighting'!$CB$309&gt;0.01,'Proposed Lighting'!EM236,0)</f>
        <v>0</v>
      </c>
      <c r="E231" s="1086">
        <f>IF('Proposed Lighting'!$CB$309&gt;0.01,'Proposed Lighting'!EN236,0)</f>
        <v>0</v>
      </c>
      <c r="F231" s="1086">
        <f>IF('Proposed Lighting'!$CB$309&gt;0.01,'Proposed Lighting'!EO236,0)</f>
        <v>0</v>
      </c>
      <c r="G231" s="1086">
        <f>IF('Proposed Lighting'!$CB$309&gt;0.01,'Proposed Lighting'!EP236,0)</f>
        <v>0</v>
      </c>
      <c r="H231" s="1086">
        <f>IF('Proposed Lighting'!$CB$309&gt;0.01,'Proposed Lighting'!EQ236,0)</f>
        <v>0</v>
      </c>
      <c r="I231" s="1045"/>
    </row>
    <row r="232" spans="1:9" ht="46.5" customHeight="1">
      <c r="A232" s="1115">
        <f>IF('Proposed Lighting'!BZ237&gt;0.01,'Proposed Lighting'!A237,IF('Proposed Lighting'!CA237&gt;0.01,'Proposed Lighting'!A237,0))</f>
        <v>0</v>
      </c>
      <c r="B232" s="1115">
        <f>'Proposed Lighting'!B237</f>
        <v>0</v>
      </c>
      <c r="C232" s="1085">
        <f>IF(A232&gt;0.01,'Proposed Lighting'!T237,0)</f>
        <v>0</v>
      </c>
      <c r="D232" s="1086">
        <f>IF('Proposed Lighting'!$CB$309&gt;0.01,'Proposed Lighting'!EM237,0)</f>
        <v>0</v>
      </c>
      <c r="E232" s="1086">
        <f>IF('Proposed Lighting'!$CB$309&gt;0.01,'Proposed Lighting'!EN237,0)</f>
        <v>0</v>
      </c>
      <c r="F232" s="1086">
        <f>IF('Proposed Lighting'!$CB$309&gt;0.01,'Proposed Lighting'!EO237,0)</f>
        <v>0</v>
      </c>
      <c r="G232" s="1086">
        <f>IF('Proposed Lighting'!$CB$309&gt;0.01,'Proposed Lighting'!EP237,0)</f>
        <v>0</v>
      </c>
      <c r="H232" s="1086">
        <f>IF('Proposed Lighting'!$CB$309&gt;0.01,'Proposed Lighting'!EQ237,0)</f>
        <v>0</v>
      </c>
      <c r="I232" s="1045"/>
    </row>
    <row r="233" spans="1:9" ht="46.5" customHeight="1">
      <c r="A233" s="1115">
        <f>IF('Proposed Lighting'!BZ238&gt;0.01,'Proposed Lighting'!A238,IF('Proposed Lighting'!CA238&gt;0.01,'Proposed Lighting'!A238,0))</f>
        <v>0</v>
      </c>
      <c r="B233" s="1115">
        <f>'Proposed Lighting'!B238</f>
        <v>0</v>
      </c>
      <c r="C233" s="1085">
        <f>IF(A233&gt;0.01,'Proposed Lighting'!T238,0)</f>
        <v>0</v>
      </c>
      <c r="D233" s="1086">
        <f>IF('Proposed Lighting'!$CB$309&gt;0.01,'Proposed Lighting'!EM238,0)</f>
        <v>0</v>
      </c>
      <c r="E233" s="1086">
        <f>IF('Proposed Lighting'!$CB$309&gt;0.01,'Proposed Lighting'!EN238,0)</f>
        <v>0</v>
      </c>
      <c r="F233" s="1086">
        <f>IF('Proposed Lighting'!$CB$309&gt;0.01,'Proposed Lighting'!EO238,0)</f>
        <v>0</v>
      </c>
      <c r="G233" s="1086">
        <f>IF('Proposed Lighting'!$CB$309&gt;0.01,'Proposed Lighting'!EP238,0)</f>
        <v>0</v>
      </c>
      <c r="H233" s="1086">
        <f>IF('Proposed Lighting'!$CB$309&gt;0.01,'Proposed Lighting'!EQ238,0)</f>
        <v>0</v>
      </c>
      <c r="I233" s="1045"/>
    </row>
    <row r="234" spans="1:9" ht="46.5" customHeight="1">
      <c r="A234" s="1115">
        <f>IF('Proposed Lighting'!BZ239&gt;0.01,'Proposed Lighting'!A239,IF('Proposed Lighting'!CA239&gt;0.01,'Proposed Lighting'!A239,0))</f>
        <v>0</v>
      </c>
      <c r="B234" s="1115">
        <f>'Proposed Lighting'!B239</f>
        <v>0</v>
      </c>
      <c r="C234" s="1085">
        <f>IF(A234&gt;0.01,'Proposed Lighting'!T239,0)</f>
        <v>0</v>
      </c>
      <c r="D234" s="1086">
        <f>IF('Proposed Lighting'!$CB$309&gt;0.01,'Proposed Lighting'!EM239,0)</f>
        <v>0</v>
      </c>
      <c r="E234" s="1086">
        <f>IF('Proposed Lighting'!$CB$309&gt;0.01,'Proposed Lighting'!EN239,0)</f>
        <v>0</v>
      </c>
      <c r="F234" s="1086">
        <f>IF('Proposed Lighting'!$CB$309&gt;0.01,'Proposed Lighting'!EO239,0)</f>
        <v>0</v>
      </c>
      <c r="G234" s="1086">
        <f>IF('Proposed Lighting'!$CB$309&gt;0.01,'Proposed Lighting'!EP239,0)</f>
        <v>0</v>
      </c>
      <c r="H234" s="1086">
        <f>IF('Proposed Lighting'!$CB$309&gt;0.01,'Proposed Lighting'!EQ239,0)</f>
        <v>0</v>
      </c>
      <c r="I234" s="1045"/>
    </row>
    <row r="235" spans="1:9" ht="46.5" customHeight="1">
      <c r="A235" s="1115">
        <f>IF('Proposed Lighting'!BZ240&gt;0.01,'Proposed Lighting'!A240,IF('Proposed Lighting'!CA240&gt;0.01,'Proposed Lighting'!A240,0))</f>
        <v>0</v>
      </c>
      <c r="B235" s="1115">
        <f>'Proposed Lighting'!B240</f>
        <v>0</v>
      </c>
      <c r="C235" s="1085">
        <f>IF(A235&gt;0.01,'Proposed Lighting'!T240,0)</f>
        <v>0</v>
      </c>
      <c r="D235" s="1086">
        <f>IF('Proposed Lighting'!$CB$309&gt;0.01,'Proposed Lighting'!EM240,0)</f>
        <v>0</v>
      </c>
      <c r="E235" s="1086">
        <f>IF('Proposed Lighting'!$CB$309&gt;0.01,'Proposed Lighting'!EN240,0)</f>
        <v>0</v>
      </c>
      <c r="F235" s="1086">
        <f>IF('Proposed Lighting'!$CB$309&gt;0.01,'Proposed Lighting'!EO240,0)</f>
        <v>0</v>
      </c>
      <c r="G235" s="1086">
        <f>IF('Proposed Lighting'!$CB$309&gt;0.01,'Proposed Lighting'!EP240,0)</f>
        <v>0</v>
      </c>
      <c r="H235" s="1086">
        <f>IF('Proposed Lighting'!$CB$309&gt;0.01,'Proposed Lighting'!EQ240,0)</f>
        <v>0</v>
      </c>
      <c r="I235" s="1045"/>
    </row>
    <row r="236" spans="1:9" ht="46.5" customHeight="1">
      <c r="A236" s="1115">
        <f>IF('Proposed Lighting'!BZ241&gt;0.01,'Proposed Lighting'!A241,IF('Proposed Lighting'!CA241&gt;0.01,'Proposed Lighting'!A241,0))</f>
        <v>0</v>
      </c>
      <c r="B236" s="1115">
        <f>'Proposed Lighting'!B241</f>
        <v>0</v>
      </c>
      <c r="C236" s="1085">
        <f>IF(A236&gt;0.01,'Proposed Lighting'!T241,0)</f>
        <v>0</v>
      </c>
      <c r="D236" s="1086">
        <f>IF('Proposed Lighting'!$CB$309&gt;0.01,'Proposed Lighting'!EM241,0)</f>
        <v>0</v>
      </c>
      <c r="E236" s="1086">
        <f>IF('Proposed Lighting'!$CB$309&gt;0.01,'Proposed Lighting'!EN241,0)</f>
        <v>0</v>
      </c>
      <c r="F236" s="1086">
        <f>IF('Proposed Lighting'!$CB$309&gt;0.01,'Proposed Lighting'!EO241,0)</f>
        <v>0</v>
      </c>
      <c r="G236" s="1086">
        <f>IF('Proposed Lighting'!$CB$309&gt;0.01,'Proposed Lighting'!EP241,0)</f>
        <v>0</v>
      </c>
      <c r="H236" s="1086">
        <f>IF('Proposed Lighting'!$CB$309&gt;0.01,'Proposed Lighting'!EQ241,0)</f>
        <v>0</v>
      </c>
      <c r="I236" s="1045"/>
    </row>
    <row r="237" spans="1:9" ht="46.5" customHeight="1">
      <c r="A237" s="1115">
        <f>IF('Proposed Lighting'!BZ242&gt;0.01,'Proposed Lighting'!A242,IF('Proposed Lighting'!CA242&gt;0.01,'Proposed Lighting'!A242,0))</f>
        <v>0</v>
      </c>
      <c r="B237" s="1115">
        <f>'Proposed Lighting'!B242</f>
        <v>0</v>
      </c>
      <c r="C237" s="1085">
        <f>IF(A237&gt;0.01,'Proposed Lighting'!T242,0)</f>
        <v>0</v>
      </c>
      <c r="D237" s="1086">
        <f>IF('Proposed Lighting'!$CB$309&gt;0.01,'Proposed Lighting'!EM242,0)</f>
        <v>0</v>
      </c>
      <c r="E237" s="1086">
        <f>IF('Proposed Lighting'!$CB$309&gt;0.01,'Proposed Lighting'!EN242,0)</f>
        <v>0</v>
      </c>
      <c r="F237" s="1086">
        <f>IF('Proposed Lighting'!$CB$309&gt;0.01,'Proposed Lighting'!EO242,0)</f>
        <v>0</v>
      </c>
      <c r="G237" s="1086">
        <f>IF('Proposed Lighting'!$CB$309&gt;0.01,'Proposed Lighting'!EP242,0)</f>
        <v>0</v>
      </c>
      <c r="H237" s="1086">
        <f>IF('Proposed Lighting'!$CB$309&gt;0.01,'Proposed Lighting'!EQ242,0)</f>
        <v>0</v>
      </c>
      <c r="I237" s="1045"/>
    </row>
    <row r="238" spans="1:9" ht="46.5" customHeight="1">
      <c r="A238" s="1115">
        <f>IF('Proposed Lighting'!BZ243&gt;0.01,'Proposed Lighting'!A243,IF('Proposed Lighting'!CA243&gt;0.01,'Proposed Lighting'!A243,0))</f>
        <v>0</v>
      </c>
      <c r="B238" s="1115">
        <f>'Proposed Lighting'!B243</f>
        <v>0</v>
      </c>
      <c r="C238" s="1085">
        <f>IF(A238&gt;0.01,'Proposed Lighting'!T243,0)</f>
        <v>0</v>
      </c>
      <c r="D238" s="1086">
        <f>IF('Proposed Lighting'!$CB$309&gt;0.01,'Proposed Lighting'!EM243,0)</f>
        <v>0</v>
      </c>
      <c r="E238" s="1086">
        <f>IF('Proposed Lighting'!$CB$309&gt;0.01,'Proposed Lighting'!EN243,0)</f>
        <v>0</v>
      </c>
      <c r="F238" s="1086">
        <f>IF('Proposed Lighting'!$CB$309&gt;0.01,'Proposed Lighting'!EO243,0)</f>
        <v>0</v>
      </c>
      <c r="G238" s="1086">
        <f>IF('Proposed Lighting'!$CB$309&gt;0.01,'Proposed Lighting'!EP243,0)</f>
        <v>0</v>
      </c>
      <c r="H238" s="1086">
        <f>IF('Proposed Lighting'!$CB$309&gt;0.01,'Proposed Lighting'!EQ243,0)</f>
        <v>0</v>
      </c>
      <c r="I238" s="1045"/>
    </row>
    <row r="239" spans="1:9" ht="46.5" customHeight="1">
      <c r="A239" s="1115">
        <f>IF('Proposed Lighting'!BZ244&gt;0.01,'Proposed Lighting'!A244,IF('Proposed Lighting'!CA244&gt;0.01,'Proposed Lighting'!A244,0))</f>
        <v>0</v>
      </c>
      <c r="B239" s="1115">
        <f>'Proposed Lighting'!B244</f>
        <v>0</v>
      </c>
      <c r="C239" s="1085">
        <f>IF(A239&gt;0.01,'Proposed Lighting'!T244,0)</f>
        <v>0</v>
      </c>
      <c r="D239" s="1086">
        <f>IF('Proposed Lighting'!$CB$309&gt;0.01,'Proposed Lighting'!EM244,0)</f>
        <v>0</v>
      </c>
      <c r="E239" s="1086">
        <f>IF('Proposed Lighting'!$CB$309&gt;0.01,'Proposed Lighting'!EN244,0)</f>
        <v>0</v>
      </c>
      <c r="F239" s="1086">
        <f>IF('Proposed Lighting'!$CB$309&gt;0.01,'Proposed Lighting'!EO244,0)</f>
        <v>0</v>
      </c>
      <c r="G239" s="1086">
        <f>IF('Proposed Lighting'!$CB$309&gt;0.01,'Proposed Lighting'!EP244,0)</f>
        <v>0</v>
      </c>
      <c r="H239" s="1086">
        <f>IF('Proposed Lighting'!$CB$309&gt;0.01,'Proposed Lighting'!EQ244,0)</f>
        <v>0</v>
      </c>
      <c r="I239" s="1045"/>
    </row>
    <row r="240" spans="1:9" ht="46.5" customHeight="1">
      <c r="A240" s="1115">
        <f>IF('Proposed Lighting'!BZ245&gt;0.01,'Proposed Lighting'!A245,IF('Proposed Lighting'!CA245&gt;0.01,'Proposed Lighting'!A245,0))</f>
        <v>0</v>
      </c>
      <c r="B240" s="1115">
        <f>'Proposed Lighting'!B245</f>
        <v>0</v>
      </c>
      <c r="C240" s="1085">
        <f>IF(A240&gt;0.01,'Proposed Lighting'!T245,0)</f>
        <v>0</v>
      </c>
      <c r="D240" s="1086">
        <f>IF('Proposed Lighting'!$CB$309&gt;0.01,'Proposed Lighting'!EM245,0)</f>
        <v>0</v>
      </c>
      <c r="E240" s="1086">
        <f>IF('Proposed Lighting'!$CB$309&gt;0.01,'Proposed Lighting'!EN245,0)</f>
        <v>0</v>
      </c>
      <c r="F240" s="1086">
        <f>IF('Proposed Lighting'!$CB$309&gt;0.01,'Proposed Lighting'!EO245,0)</f>
        <v>0</v>
      </c>
      <c r="G240" s="1086">
        <f>IF('Proposed Lighting'!$CB$309&gt;0.01,'Proposed Lighting'!EP245,0)</f>
        <v>0</v>
      </c>
      <c r="H240" s="1086">
        <f>IF('Proposed Lighting'!$CB$309&gt;0.01,'Proposed Lighting'!EQ245,0)</f>
        <v>0</v>
      </c>
      <c r="I240" s="1045"/>
    </row>
    <row r="241" spans="1:9" ht="46.5" customHeight="1">
      <c r="A241" s="1115">
        <f>IF('Proposed Lighting'!BZ246&gt;0.01,'Proposed Lighting'!A246,IF('Proposed Lighting'!CA246&gt;0.01,'Proposed Lighting'!A246,0))</f>
        <v>0</v>
      </c>
      <c r="B241" s="1115">
        <f>'Proposed Lighting'!B246</f>
        <v>0</v>
      </c>
      <c r="C241" s="1085">
        <f>IF(A241&gt;0.01,'Proposed Lighting'!T246,0)</f>
        <v>0</v>
      </c>
      <c r="D241" s="1086">
        <f>IF('Proposed Lighting'!$CB$309&gt;0.01,'Proposed Lighting'!EM246,0)</f>
        <v>0</v>
      </c>
      <c r="E241" s="1086">
        <f>IF('Proposed Lighting'!$CB$309&gt;0.01,'Proposed Lighting'!EN246,0)</f>
        <v>0</v>
      </c>
      <c r="F241" s="1086">
        <f>IF('Proposed Lighting'!$CB$309&gt;0.01,'Proposed Lighting'!EO246,0)</f>
        <v>0</v>
      </c>
      <c r="G241" s="1086">
        <f>IF('Proposed Lighting'!$CB$309&gt;0.01,'Proposed Lighting'!EP246,0)</f>
        <v>0</v>
      </c>
      <c r="H241" s="1086">
        <f>IF('Proposed Lighting'!$CB$309&gt;0.01,'Proposed Lighting'!EQ246,0)</f>
        <v>0</v>
      </c>
      <c r="I241" s="1045"/>
    </row>
    <row r="242" spans="1:9" ht="46.5" customHeight="1">
      <c r="A242" s="1115">
        <f>IF('Proposed Lighting'!BZ247&gt;0.01,'Proposed Lighting'!A247,IF('Proposed Lighting'!CA247&gt;0.01,'Proposed Lighting'!A247,0))</f>
        <v>0</v>
      </c>
      <c r="B242" s="1115">
        <f>'Proposed Lighting'!B247</f>
        <v>0</v>
      </c>
      <c r="C242" s="1085">
        <f>IF(A242&gt;0.01,'Proposed Lighting'!T247,0)</f>
        <v>0</v>
      </c>
      <c r="D242" s="1086">
        <f>IF('Proposed Lighting'!$CB$309&gt;0.01,'Proposed Lighting'!EM247,0)</f>
        <v>0</v>
      </c>
      <c r="E242" s="1086">
        <f>IF('Proposed Lighting'!$CB$309&gt;0.01,'Proposed Lighting'!EN247,0)</f>
        <v>0</v>
      </c>
      <c r="F242" s="1086">
        <f>IF('Proposed Lighting'!$CB$309&gt;0.01,'Proposed Lighting'!EO247,0)</f>
        <v>0</v>
      </c>
      <c r="G242" s="1086">
        <f>IF('Proposed Lighting'!$CB$309&gt;0.01,'Proposed Lighting'!EP247,0)</f>
        <v>0</v>
      </c>
      <c r="H242" s="1086">
        <f>IF('Proposed Lighting'!$CB$309&gt;0.01,'Proposed Lighting'!EQ247,0)</f>
        <v>0</v>
      </c>
      <c r="I242" s="1045"/>
    </row>
    <row r="243" spans="1:9" ht="46.5" customHeight="1">
      <c r="A243" s="1115">
        <f>IF('Proposed Lighting'!BZ248&gt;0.01,'Proposed Lighting'!A248,IF('Proposed Lighting'!CA248&gt;0.01,'Proposed Lighting'!A248,0))</f>
        <v>0</v>
      </c>
      <c r="B243" s="1115">
        <f>'Proposed Lighting'!B248</f>
        <v>0</v>
      </c>
      <c r="C243" s="1085">
        <f>IF(A243&gt;0.01,'Proposed Lighting'!T248,0)</f>
        <v>0</v>
      </c>
      <c r="D243" s="1086">
        <f>IF('Proposed Lighting'!$CB$309&gt;0.01,'Proposed Lighting'!EM248,0)</f>
        <v>0</v>
      </c>
      <c r="E243" s="1086">
        <f>IF('Proposed Lighting'!$CB$309&gt;0.01,'Proposed Lighting'!EN248,0)</f>
        <v>0</v>
      </c>
      <c r="F243" s="1086">
        <f>IF('Proposed Lighting'!$CB$309&gt;0.01,'Proposed Lighting'!EO248,0)</f>
        <v>0</v>
      </c>
      <c r="G243" s="1086">
        <f>IF('Proposed Lighting'!$CB$309&gt;0.01,'Proposed Lighting'!EP248,0)</f>
        <v>0</v>
      </c>
      <c r="H243" s="1086">
        <f>IF('Proposed Lighting'!$CB$309&gt;0.01,'Proposed Lighting'!EQ248,0)</f>
        <v>0</v>
      </c>
      <c r="I243" s="1045"/>
    </row>
    <row r="244" spans="1:9" ht="46.5" customHeight="1">
      <c r="A244" s="1115">
        <f>IF('Proposed Lighting'!BZ249&gt;0.01,'Proposed Lighting'!A249,IF('Proposed Lighting'!CA249&gt;0.01,'Proposed Lighting'!A249,0))</f>
        <v>0</v>
      </c>
      <c r="B244" s="1115">
        <f>'Proposed Lighting'!B249</f>
        <v>0</v>
      </c>
      <c r="C244" s="1085">
        <f>IF(A244&gt;0.01,'Proposed Lighting'!T249,0)</f>
        <v>0</v>
      </c>
      <c r="D244" s="1086">
        <f>IF('Proposed Lighting'!$CB$309&gt;0.01,'Proposed Lighting'!EM249,0)</f>
        <v>0</v>
      </c>
      <c r="E244" s="1086">
        <f>IF('Proposed Lighting'!$CB$309&gt;0.01,'Proposed Lighting'!EN249,0)</f>
        <v>0</v>
      </c>
      <c r="F244" s="1086">
        <f>IF('Proposed Lighting'!$CB$309&gt;0.01,'Proposed Lighting'!EO249,0)</f>
        <v>0</v>
      </c>
      <c r="G244" s="1086">
        <f>IF('Proposed Lighting'!$CB$309&gt;0.01,'Proposed Lighting'!EP249,0)</f>
        <v>0</v>
      </c>
      <c r="H244" s="1086">
        <f>IF('Proposed Lighting'!$CB$309&gt;0.01,'Proposed Lighting'!EQ249,0)</f>
        <v>0</v>
      </c>
      <c r="I244" s="1045"/>
    </row>
    <row r="245" spans="1:9" ht="46.5" customHeight="1">
      <c r="A245" s="1115">
        <f>IF('Proposed Lighting'!BZ250&gt;0.01,'Proposed Lighting'!A250,IF('Proposed Lighting'!CA250&gt;0.01,'Proposed Lighting'!A250,0))</f>
        <v>0</v>
      </c>
      <c r="B245" s="1115">
        <f>'Proposed Lighting'!B250</f>
        <v>0</v>
      </c>
      <c r="C245" s="1085">
        <f>IF(A245&gt;0.01,'Proposed Lighting'!T250,0)</f>
        <v>0</v>
      </c>
      <c r="D245" s="1086">
        <f>IF('Proposed Lighting'!$CB$309&gt;0.01,'Proposed Lighting'!EM250,0)</f>
        <v>0</v>
      </c>
      <c r="E245" s="1086">
        <f>IF('Proposed Lighting'!$CB$309&gt;0.01,'Proposed Lighting'!EN250,0)</f>
        <v>0</v>
      </c>
      <c r="F245" s="1086">
        <f>IF('Proposed Lighting'!$CB$309&gt;0.01,'Proposed Lighting'!EO250,0)</f>
        <v>0</v>
      </c>
      <c r="G245" s="1086">
        <f>IF('Proposed Lighting'!$CB$309&gt;0.01,'Proposed Lighting'!EP250,0)</f>
        <v>0</v>
      </c>
      <c r="H245" s="1086">
        <f>IF('Proposed Lighting'!$CB$309&gt;0.01,'Proposed Lighting'!EQ250,0)</f>
        <v>0</v>
      </c>
      <c r="I245" s="1045"/>
    </row>
    <row r="246" spans="1:9" ht="46.5" customHeight="1">
      <c r="A246" s="1115">
        <f>IF('Proposed Lighting'!BZ251&gt;0.01,'Proposed Lighting'!A251,IF('Proposed Lighting'!CA251&gt;0.01,'Proposed Lighting'!A251,0))</f>
        <v>0</v>
      </c>
      <c r="B246" s="1115">
        <f>'Proposed Lighting'!B251</f>
        <v>0</v>
      </c>
      <c r="C246" s="1085">
        <f>IF(A246&gt;0.01,'Proposed Lighting'!T251,0)</f>
        <v>0</v>
      </c>
      <c r="D246" s="1086">
        <f>IF('Proposed Lighting'!$CB$309&gt;0.01,'Proposed Lighting'!EM251,0)</f>
        <v>0</v>
      </c>
      <c r="E246" s="1086">
        <f>IF('Proposed Lighting'!$CB$309&gt;0.01,'Proposed Lighting'!EN251,0)</f>
        <v>0</v>
      </c>
      <c r="F246" s="1086">
        <f>IF('Proposed Lighting'!$CB$309&gt;0.01,'Proposed Lighting'!EO251,0)</f>
        <v>0</v>
      </c>
      <c r="G246" s="1086">
        <f>IF('Proposed Lighting'!$CB$309&gt;0.01,'Proposed Lighting'!EP251,0)</f>
        <v>0</v>
      </c>
      <c r="H246" s="1086">
        <f>IF('Proposed Lighting'!$CB$309&gt;0.01,'Proposed Lighting'!EQ251,0)</f>
        <v>0</v>
      </c>
      <c r="I246" s="1045"/>
    </row>
    <row r="247" spans="1:9" ht="46.5" customHeight="1">
      <c r="A247" s="1115">
        <f>IF('Proposed Lighting'!BZ252&gt;0.01,'Proposed Lighting'!A252,IF('Proposed Lighting'!CA252&gt;0.01,'Proposed Lighting'!A252,0))</f>
        <v>0</v>
      </c>
      <c r="B247" s="1115">
        <f>'Proposed Lighting'!B252</f>
        <v>0</v>
      </c>
      <c r="C247" s="1085">
        <f>IF(A247&gt;0.01,'Proposed Lighting'!T252,0)</f>
        <v>0</v>
      </c>
      <c r="D247" s="1086">
        <f>IF('Proposed Lighting'!$CB$309&gt;0.01,'Proposed Lighting'!EM252,0)</f>
        <v>0</v>
      </c>
      <c r="E247" s="1086">
        <f>IF('Proposed Lighting'!$CB$309&gt;0.01,'Proposed Lighting'!EN252,0)</f>
        <v>0</v>
      </c>
      <c r="F247" s="1086">
        <f>IF('Proposed Lighting'!$CB$309&gt;0.01,'Proposed Lighting'!EO252,0)</f>
        <v>0</v>
      </c>
      <c r="G247" s="1086">
        <f>IF('Proposed Lighting'!$CB$309&gt;0.01,'Proposed Lighting'!EP252,0)</f>
        <v>0</v>
      </c>
      <c r="H247" s="1086">
        <f>IF('Proposed Lighting'!$CB$309&gt;0.01,'Proposed Lighting'!EQ252,0)</f>
        <v>0</v>
      </c>
      <c r="I247" s="1045"/>
    </row>
    <row r="248" spans="1:9" ht="46.5" customHeight="1">
      <c r="A248" s="1115">
        <f>IF('Proposed Lighting'!BZ253&gt;0.01,'Proposed Lighting'!A253,IF('Proposed Lighting'!CA253&gt;0.01,'Proposed Lighting'!A253,0))</f>
        <v>0</v>
      </c>
      <c r="B248" s="1115">
        <f>'Proposed Lighting'!B253</f>
        <v>0</v>
      </c>
      <c r="C248" s="1085">
        <f>IF(A248&gt;0.01,'Proposed Lighting'!T253,0)</f>
        <v>0</v>
      </c>
      <c r="D248" s="1086">
        <f>IF('Proposed Lighting'!$CB$309&gt;0.01,'Proposed Lighting'!EM253,0)</f>
        <v>0</v>
      </c>
      <c r="E248" s="1086">
        <f>IF('Proposed Lighting'!$CB$309&gt;0.01,'Proposed Lighting'!EN253,0)</f>
        <v>0</v>
      </c>
      <c r="F248" s="1086">
        <f>IF('Proposed Lighting'!$CB$309&gt;0.01,'Proposed Lighting'!EO253,0)</f>
        <v>0</v>
      </c>
      <c r="G248" s="1086">
        <f>IF('Proposed Lighting'!$CB$309&gt;0.01,'Proposed Lighting'!EP253,0)</f>
        <v>0</v>
      </c>
      <c r="H248" s="1086">
        <f>IF('Proposed Lighting'!$CB$309&gt;0.01,'Proposed Lighting'!EQ253,0)</f>
        <v>0</v>
      </c>
      <c r="I248" s="1045"/>
    </row>
    <row r="249" spans="1:9" ht="46.5" customHeight="1">
      <c r="A249" s="1115">
        <f>IF('Proposed Lighting'!BZ254&gt;0.01,'Proposed Lighting'!A254,IF('Proposed Lighting'!CA254&gt;0.01,'Proposed Lighting'!A254,0))</f>
        <v>0</v>
      </c>
      <c r="B249" s="1115">
        <f>'Proposed Lighting'!B254</f>
        <v>0</v>
      </c>
      <c r="C249" s="1085">
        <f>IF(A249&gt;0.01,'Proposed Lighting'!T254,0)</f>
        <v>0</v>
      </c>
      <c r="D249" s="1086">
        <f>IF('Proposed Lighting'!$CB$309&gt;0.01,'Proposed Lighting'!EM254,0)</f>
        <v>0</v>
      </c>
      <c r="E249" s="1086">
        <f>IF('Proposed Lighting'!$CB$309&gt;0.01,'Proposed Lighting'!EN254,0)</f>
        <v>0</v>
      </c>
      <c r="F249" s="1086">
        <f>IF('Proposed Lighting'!$CB$309&gt;0.01,'Proposed Lighting'!EO254,0)</f>
        <v>0</v>
      </c>
      <c r="G249" s="1086">
        <f>IF('Proposed Lighting'!$CB$309&gt;0.01,'Proposed Lighting'!EP254,0)</f>
        <v>0</v>
      </c>
      <c r="H249" s="1086">
        <f>IF('Proposed Lighting'!$CB$309&gt;0.01,'Proposed Lighting'!EQ254,0)</f>
        <v>0</v>
      </c>
      <c r="I249" s="1045"/>
    </row>
    <row r="250" spans="1:9" ht="46.5" customHeight="1">
      <c r="A250" s="1115">
        <f>IF('Proposed Lighting'!BZ255&gt;0.01,'Proposed Lighting'!A255,IF('Proposed Lighting'!CA255&gt;0.01,'Proposed Lighting'!A255,0))</f>
        <v>0</v>
      </c>
      <c r="B250" s="1115">
        <f>'Proposed Lighting'!B255</f>
        <v>0</v>
      </c>
      <c r="C250" s="1085">
        <f>IF(A250&gt;0.01,'Proposed Lighting'!T255,0)</f>
        <v>0</v>
      </c>
      <c r="D250" s="1086">
        <f>IF('Proposed Lighting'!$CB$309&gt;0.01,'Proposed Lighting'!EM255,0)</f>
        <v>0</v>
      </c>
      <c r="E250" s="1086">
        <f>IF('Proposed Lighting'!$CB$309&gt;0.01,'Proposed Lighting'!EN255,0)</f>
        <v>0</v>
      </c>
      <c r="F250" s="1086">
        <f>IF('Proposed Lighting'!$CB$309&gt;0.01,'Proposed Lighting'!EO255,0)</f>
        <v>0</v>
      </c>
      <c r="G250" s="1086">
        <f>IF('Proposed Lighting'!$CB$309&gt;0.01,'Proposed Lighting'!EP255,0)</f>
        <v>0</v>
      </c>
      <c r="H250" s="1086">
        <f>IF('Proposed Lighting'!$CB$309&gt;0.01,'Proposed Lighting'!EQ255,0)</f>
        <v>0</v>
      </c>
      <c r="I250" s="1045"/>
    </row>
    <row r="251" spans="1:9" ht="46.5" customHeight="1">
      <c r="A251" s="1115">
        <f>IF('Proposed Lighting'!BZ256&gt;0.01,'Proposed Lighting'!A256,IF('Proposed Lighting'!CA256&gt;0.01,'Proposed Lighting'!A256,0))</f>
        <v>0</v>
      </c>
      <c r="B251" s="1115">
        <f>'Proposed Lighting'!B256</f>
        <v>0</v>
      </c>
      <c r="C251" s="1085">
        <f>IF(A251&gt;0.01,'Proposed Lighting'!T256,0)</f>
        <v>0</v>
      </c>
      <c r="D251" s="1086">
        <f>IF('Proposed Lighting'!$CB$309&gt;0.01,'Proposed Lighting'!EM256,0)</f>
        <v>0</v>
      </c>
      <c r="E251" s="1086">
        <f>IF('Proposed Lighting'!$CB$309&gt;0.01,'Proposed Lighting'!EN256,0)</f>
        <v>0</v>
      </c>
      <c r="F251" s="1086">
        <f>IF('Proposed Lighting'!$CB$309&gt;0.01,'Proposed Lighting'!EO256,0)</f>
        <v>0</v>
      </c>
      <c r="G251" s="1086">
        <f>IF('Proposed Lighting'!$CB$309&gt;0.01,'Proposed Lighting'!EP256,0)</f>
        <v>0</v>
      </c>
      <c r="H251" s="1086">
        <f>IF('Proposed Lighting'!$CB$309&gt;0.01,'Proposed Lighting'!EQ256,0)</f>
        <v>0</v>
      </c>
      <c r="I251" s="1045"/>
    </row>
    <row r="252" spans="1:9" ht="46.5" customHeight="1">
      <c r="A252" s="1115">
        <f>IF('Proposed Lighting'!BZ257&gt;0.01,'Proposed Lighting'!A257,IF('Proposed Lighting'!CA257&gt;0.01,'Proposed Lighting'!A257,0))</f>
        <v>0</v>
      </c>
      <c r="B252" s="1115">
        <f>'Proposed Lighting'!B257</f>
        <v>0</v>
      </c>
      <c r="C252" s="1085">
        <f>IF(A252&gt;0.01,'Proposed Lighting'!T257,0)</f>
        <v>0</v>
      </c>
      <c r="D252" s="1086">
        <f>IF('Proposed Lighting'!$CB$309&gt;0.01,'Proposed Lighting'!EM257,0)</f>
        <v>0</v>
      </c>
      <c r="E252" s="1086">
        <f>IF('Proposed Lighting'!$CB$309&gt;0.01,'Proposed Lighting'!EN257,0)</f>
        <v>0</v>
      </c>
      <c r="F252" s="1086">
        <f>IF('Proposed Lighting'!$CB$309&gt;0.01,'Proposed Lighting'!EO257,0)</f>
        <v>0</v>
      </c>
      <c r="G252" s="1086">
        <f>IF('Proposed Lighting'!$CB$309&gt;0.01,'Proposed Lighting'!EP257,0)</f>
        <v>0</v>
      </c>
      <c r="H252" s="1086">
        <f>IF('Proposed Lighting'!$CB$309&gt;0.01,'Proposed Lighting'!EQ257,0)</f>
        <v>0</v>
      </c>
      <c r="I252" s="1045"/>
    </row>
    <row r="253" spans="1:9" ht="46.5" customHeight="1">
      <c r="A253" s="1115">
        <f>IF('Proposed Lighting'!BZ258&gt;0.01,'Proposed Lighting'!A258,IF('Proposed Lighting'!CA258&gt;0.01,'Proposed Lighting'!A258,0))</f>
        <v>0</v>
      </c>
      <c r="B253" s="1115">
        <f>'Proposed Lighting'!B258</f>
        <v>0</v>
      </c>
      <c r="C253" s="1085">
        <f>IF(A253&gt;0.01,'Proposed Lighting'!T258,0)</f>
        <v>0</v>
      </c>
      <c r="D253" s="1086">
        <f>IF('Proposed Lighting'!$CB$309&gt;0.01,'Proposed Lighting'!EM258,0)</f>
        <v>0</v>
      </c>
      <c r="E253" s="1086">
        <f>IF('Proposed Lighting'!$CB$309&gt;0.01,'Proposed Lighting'!EN258,0)</f>
        <v>0</v>
      </c>
      <c r="F253" s="1086">
        <f>IF('Proposed Lighting'!$CB$309&gt;0.01,'Proposed Lighting'!EO258,0)</f>
        <v>0</v>
      </c>
      <c r="G253" s="1086">
        <f>IF('Proposed Lighting'!$CB$309&gt;0.01,'Proposed Lighting'!EP258,0)</f>
        <v>0</v>
      </c>
      <c r="H253" s="1086">
        <f>IF('Proposed Lighting'!$CB$309&gt;0.01,'Proposed Lighting'!EQ258,0)</f>
        <v>0</v>
      </c>
      <c r="I253" s="1045"/>
    </row>
    <row r="254" spans="1:9" ht="46.5" customHeight="1">
      <c r="A254" s="1115">
        <f>IF('Proposed Lighting'!BZ259&gt;0.01,'Proposed Lighting'!A259,IF('Proposed Lighting'!CA259&gt;0.01,'Proposed Lighting'!A259,0))</f>
        <v>0</v>
      </c>
      <c r="B254" s="1115">
        <f>'Proposed Lighting'!B259</f>
        <v>0</v>
      </c>
      <c r="C254" s="1085">
        <f>IF(A254&gt;0.01,'Proposed Lighting'!T259,0)</f>
        <v>0</v>
      </c>
      <c r="D254" s="1086">
        <f>IF('Proposed Lighting'!$CB$309&gt;0.01,'Proposed Lighting'!EM259,0)</f>
        <v>0</v>
      </c>
      <c r="E254" s="1086">
        <f>IF('Proposed Lighting'!$CB$309&gt;0.01,'Proposed Lighting'!EN259,0)</f>
        <v>0</v>
      </c>
      <c r="F254" s="1086">
        <f>IF('Proposed Lighting'!$CB$309&gt;0.01,'Proposed Lighting'!EO259,0)</f>
        <v>0</v>
      </c>
      <c r="G254" s="1086">
        <f>IF('Proposed Lighting'!$CB$309&gt;0.01,'Proposed Lighting'!EP259,0)</f>
        <v>0</v>
      </c>
      <c r="H254" s="1086">
        <f>IF('Proposed Lighting'!$CB$309&gt;0.01,'Proposed Lighting'!EQ259,0)</f>
        <v>0</v>
      </c>
      <c r="I254" s="1045"/>
    </row>
    <row r="255" spans="1:9" ht="46.5" customHeight="1">
      <c r="A255" s="1115">
        <f>IF('Proposed Lighting'!BZ260&gt;0.01,'Proposed Lighting'!A260,IF('Proposed Lighting'!CA260&gt;0.01,'Proposed Lighting'!A260,0))</f>
        <v>0</v>
      </c>
      <c r="B255" s="1115">
        <f>'Proposed Lighting'!B260</f>
        <v>0</v>
      </c>
      <c r="C255" s="1085">
        <f>IF(A255&gt;0.01,'Proposed Lighting'!T260,0)</f>
        <v>0</v>
      </c>
      <c r="D255" s="1086">
        <f>IF('Proposed Lighting'!$CB$309&gt;0.01,'Proposed Lighting'!EM260,0)</f>
        <v>0</v>
      </c>
      <c r="E255" s="1086">
        <f>IF('Proposed Lighting'!$CB$309&gt;0.01,'Proposed Lighting'!EN260,0)</f>
        <v>0</v>
      </c>
      <c r="F255" s="1086">
        <f>IF('Proposed Lighting'!$CB$309&gt;0.01,'Proposed Lighting'!EO260,0)</f>
        <v>0</v>
      </c>
      <c r="G255" s="1086">
        <f>IF('Proposed Lighting'!$CB$309&gt;0.01,'Proposed Lighting'!EP260,0)</f>
        <v>0</v>
      </c>
      <c r="H255" s="1086">
        <f>IF('Proposed Lighting'!$CB$309&gt;0.01,'Proposed Lighting'!EQ260,0)</f>
        <v>0</v>
      </c>
      <c r="I255" s="1045"/>
    </row>
    <row r="256" spans="1:9" ht="46.5" customHeight="1">
      <c r="A256" s="1115">
        <f>IF('Proposed Lighting'!BZ261&gt;0.01,'Proposed Lighting'!A261,IF('Proposed Lighting'!CA261&gt;0.01,'Proposed Lighting'!A261,0))</f>
        <v>0</v>
      </c>
      <c r="B256" s="1115">
        <f>'Proposed Lighting'!B261</f>
        <v>0</v>
      </c>
      <c r="C256" s="1085">
        <f>IF(A256&gt;0.01,'Proposed Lighting'!T261,0)</f>
        <v>0</v>
      </c>
      <c r="D256" s="1086">
        <f>IF('Proposed Lighting'!$CB$309&gt;0.01,'Proposed Lighting'!EM261,0)</f>
        <v>0</v>
      </c>
      <c r="E256" s="1086">
        <f>IF('Proposed Lighting'!$CB$309&gt;0.01,'Proposed Lighting'!EN261,0)</f>
        <v>0</v>
      </c>
      <c r="F256" s="1086">
        <f>IF('Proposed Lighting'!$CB$309&gt;0.01,'Proposed Lighting'!EO261,0)</f>
        <v>0</v>
      </c>
      <c r="G256" s="1086">
        <f>IF('Proposed Lighting'!$CB$309&gt;0.01,'Proposed Lighting'!EP261,0)</f>
        <v>0</v>
      </c>
      <c r="H256" s="1086">
        <f>IF('Proposed Lighting'!$CB$309&gt;0.01,'Proposed Lighting'!EQ261,0)</f>
        <v>0</v>
      </c>
      <c r="I256" s="1045"/>
    </row>
    <row r="257" spans="1:9" ht="46.5" customHeight="1">
      <c r="A257" s="1115">
        <f>IF('Proposed Lighting'!BZ262&gt;0.01,'Proposed Lighting'!A262,IF('Proposed Lighting'!CA262&gt;0.01,'Proposed Lighting'!A262,0))</f>
        <v>0</v>
      </c>
      <c r="B257" s="1115">
        <f>'Proposed Lighting'!B262</f>
        <v>0</v>
      </c>
      <c r="C257" s="1085">
        <f>IF(A257&gt;0.01,'Proposed Lighting'!T262,0)</f>
        <v>0</v>
      </c>
      <c r="D257" s="1086">
        <f>IF('Proposed Lighting'!$CB$309&gt;0.01,'Proposed Lighting'!EM262,0)</f>
        <v>0</v>
      </c>
      <c r="E257" s="1086">
        <f>IF('Proposed Lighting'!$CB$309&gt;0.01,'Proposed Lighting'!EN262,0)</f>
        <v>0</v>
      </c>
      <c r="F257" s="1086">
        <f>IF('Proposed Lighting'!$CB$309&gt;0.01,'Proposed Lighting'!EO262,0)</f>
        <v>0</v>
      </c>
      <c r="G257" s="1086">
        <f>IF('Proposed Lighting'!$CB$309&gt;0.01,'Proposed Lighting'!EP262,0)</f>
        <v>0</v>
      </c>
      <c r="H257" s="1086">
        <f>IF('Proposed Lighting'!$CB$309&gt;0.01,'Proposed Lighting'!EQ262,0)</f>
        <v>0</v>
      </c>
      <c r="I257" s="1045"/>
    </row>
    <row r="258" spans="1:9" ht="46.5" customHeight="1">
      <c r="A258" s="1115">
        <f>IF('Proposed Lighting'!BZ263&gt;0.01,'Proposed Lighting'!A263,IF('Proposed Lighting'!CA263&gt;0.01,'Proposed Lighting'!A263,0))</f>
        <v>0</v>
      </c>
      <c r="B258" s="1115">
        <f>'Proposed Lighting'!B263</f>
        <v>0</v>
      </c>
      <c r="C258" s="1085">
        <f>IF(A258&gt;0.01,'Proposed Lighting'!T263,0)</f>
        <v>0</v>
      </c>
      <c r="D258" s="1086">
        <f>IF('Proposed Lighting'!$CB$309&gt;0.01,'Proposed Lighting'!EM263,0)</f>
        <v>0</v>
      </c>
      <c r="E258" s="1086">
        <f>IF('Proposed Lighting'!$CB$309&gt;0.01,'Proposed Lighting'!EN263,0)</f>
        <v>0</v>
      </c>
      <c r="F258" s="1086">
        <f>IF('Proposed Lighting'!$CB$309&gt;0.01,'Proposed Lighting'!EO263,0)</f>
        <v>0</v>
      </c>
      <c r="G258" s="1086">
        <f>IF('Proposed Lighting'!$CB$309&gt;0.01,'Proposed Lighting'!EP263,0)</f>
        <v>0</v>
      </c>
      <c r="H258" s="1086">
        <f>IF('Proposed Lighting'!$CB$309&gt;0.01,'Proposed Lighting'!EQ263,0)</f>
        <v>0</v>
      </c>
      <c r="I258" s="1045"/>
    </row>
    <row r="259" spans="1:9" ht="46.5" customHeight="1">
      <c r="A259" s="1115">
        <f>IF('Proposed Lighting'!BZ264&gt;0.01,'Proposed Lighting'!A264,IF('Proposed Lighting'!CA264&gt;0.01,'Proposed Lighting'!A264,0))</f>
        <v>0</v>
      </c>
      <c r="B259" s="1115">
        <f>'Proposed Lighting'!B264</f>
        <v>0</v>
      </c>
      <c r="C259" s="1085">
        <f>IF(A259&gt;0.01,'Proposed Lighting'!T264,0)</f>
        <v>0</v>
      </c>
      <c r="D259" s="1086">
        <f>IF('Proposed Lighting'!$CB$309&gt;0.01,'Proposed Lighting'!EM264,0)</f>
        <v>0</v>
      </c>
      <c r="E259" s="1086">
        <f>IF('Proposed Lighting'!$CB$309&gt;0.01,'Proposed Lighting'!EN264,0)</f>
        <v>0</v>
      </c>
      <c r="F259" s="1086">
        <f>IF('Proposed Lighting'!$CB$309&gt;0.01,'Proposed Lighting'!EO264,0)</f>
        <v>0</v>
      </c>
      <c r="G259" s="1086">
        <f>IF('Proposed Lighting'!$CB$309&gt;0.01,'Proposed Lighting'!EP264,0)</f>
        <v>0</v>
      </c>
      <c r="H259" s="1086">
        <f>IF('Proposed Lighting'!$CB$309&gt;0.01,'Proposed Lighting'!EQ264,0)</f>
        <v>0</v>
      </c>
      <c r="I259" s="1045"/>
    </row>
    <row r="260" spans="1:9" ht="46.5" customHeight="1">
      <c r="A260" s="1115">
        <f>IF('Proposed Lighting'!BZ265&gt;0.01,'Proposed Lighting'!A265,IF('Proposed Lighting'!CA265&gt;0.01,'Proposed Lighting'!A265,0))</f>
        <v>0</v>
      </c>
      <c r="B260" s="1115">
        <f>'Proposed Lighting'!B265</f>
        <v>0</v>
      </c>
      <c r="C260" s="1085">
        <f>IF(A260&gt;0.01,'Proposed Lighting'!T265,0)</f>
        <v>0</v>
      </c>
      <c r="D260" s="1086">
        <f>IF('Proposed Lighting'!$CB$309&gt;0.01,'Proposed Lighting'!EM265,0)</f>
        <v>0</v>
      </c>
      <c r="E260" s="1086">
        <f>IF('Proposed Lighting'!$CB$309&gt;0.01,'Proposed Lighting'!EN265,0)</f>
        <v>0</v>
      </c>
      <c r="F260" s="1086">
        <f>IF('Proposed Lighting'!$CB$309&gt;0.01,'Proposed Lighting'!EO265,0)</f>
        <v>0</v>
      </c>
      <c r="G260" s="1086">
        <f>IF('Proposed Lighting'!$CB$309&gt;0.01,'Proposed Lighting'!EP265,0)</f>
        <v>0</v>
      </c>
      <c r="H260" s="1086">
        <f>IF('Proposed Lighting'!$CB$309&gt;0.01,'Proposed Lighting'!EQ265,0)</f>
        <v>0</v>
      </c>
      <c r="I260" s="1045"/>
    </row>
    <row r="261" spans="1:9" ht="46.5" customHeight="1">
      <c r="A261" s="1115">
        <f>IF('Proposed Lighting'!BZ266&gt;0.01,'Proposed Lighting'!A266,IF('Proposed Lighting'!CA266&gt;0.01,'Proposed Lighting'!A266,0))</f>
        <v>0</v>
      </c>
      <c r="B261" s="1115">
        <f>'Proposed Lighting'!B266</f>
        <v>0</v>
      </c>
      <c r="C261" s="1085">
        <f>IF(A261&gt;0.01,'Proposed Lighting'!T266,0)</f>
        <v>0</v>
      </c>
      <c r="D261" s="1086">
        <f>IF('Proposed Lighting'!$CB$309&gt;0.01,'Proposed Lighting'!EM266,0)</f>
        <v>0</v>
      </c>
      <c r="E261" s="1086">
        <f>IF('Proposed Lighting'!$CB$309&gt;0.01,'Proposed Lighting'!EN266,0)</f>
        <v>0</v>
      </c>
      <c r="F261" s="1086">
        <f>IF('Proposed Lighting'!$CB$309&gt;0.01,'Proposed Lighting'!EO266,0)</f>
        <v>0</v>
      </c>
      <c r="G261" s="1086">
        <f>IF('Proposed Lighting'!$CB$309&gt;0.01,'Proposed Lighting'!EP266,0)</f>
        <v>0</v>
      </c>
      <c r="H261" s="1086">
        <f>IF('Proposed Lighting'!$CB$309&gt;0.01,'Proposed Lighting'!EQ266,0)</f>
        <v>0</v>
      </c>
      <c r="I261" s="1045"/>
    </row>
    <row r="262" spans="1:9" ht="46.5" customHeight="1">
      <c r="A262" s="1115">
        <f>IF('Proposed Lighting'!BZ267&gt;0.01,'Proposed Lighting'!A267,IF('Proposed Lighting'!CA267&gt;0.01,'Proposed Lighting'!A267,0))</f>
        <v>0</v>
      </c>
      <c r="B262" s="1115">
        <f>'Proposed Lighting'!B267</f>
        <v>0</v>
      </c>
      <c r="C262" s="1085">
        <f>IF(A262&gt;0.01,'Proposed Lighting'!T267,0)</f>
        <v>0</v>
      </c>
      <c r="D262" s="1086">
        <f>IF('Proposed Lighting'!$CB$309&gt;0.01,'Proposed Lighting'!EM267,0)</f>
        <v>0</v>
      </c>
      <c r="E262" s="1086">
        <f>IF('Proposed Lighting'!$CB$309&gt;0.01,'Proposed Lighting'!EN267,0)</f>
        <v>0</v>
      </c>
      <c r="F262" s="1086">
        <f>IF('Proposed Lighting'!$CB$309&gt;0.01,'Proposed Lighting'!EO267,0)</f>
        <v>0</v>
      </c>
      <c r="G262" s="1086">
        <f>IF('Proposed Lighting'!$CB$309&gt;0.01,'Proposed Lighting'!EP267,0)</f>
        <v>0</v>
      </c>
      <c r="H262" s="1086">
        <f>IF('Proposed Lighting'!$CB$309&gt;0.01,'Proposed Lighting'!EQ267,0)</f>
        <v>0</v>
      </c>
      <c r="I262" s="1045"/>
    </row>
    <row r="263" spans="1:9" ht="46.5" customHeight="1">
      <c r="A263" s="1115">
        <f>IF('Proposed Lighting'!BZ268&gt;0.01,'Proposed Lighting'!A268,IF('Proposed Lighting'!CA268&gt;0.01,'Proposed Lighting'!A268,0))</f>
        <v>0</v>
      </c>
      <c r="B263" s="1115">
        <f>'Proposed Lighting'!B268</f>
        <v>0</v>
      </c>
      <c r="C263" s="1085">
        <f>IF(A263&gt;0.01,'Proposed Lighting'!T268,0)</f>
        <v>0</v>
      </c>
      <c r="D263" s="1086">
        <f>IF('Proposed Lighting'!$CB$309&gt;0.01,'Proposed Lighting'!EM268,0)</f>
        <v>0</v>
      </c>
      <c r="E263" s="1086">
        <f>IF('Proposed Lighting'!$CB$309&gt;0.01,'Proposed Lighting'!EN268,0)</f>
        <v>0</v>
      </c>
      <c r="F263" s="1086">
        <f>IF('Proposed Lighting'!$CB$309&gt;0.01,'Proposed Lighting'!EO268,0)</f>
        <v>0</v>
      </c>
      <c r="G263" s="1086">
        <f>IF('Proposed Lighting'!$CB$309&gt;0.01,'Proposed Lighting'!EP268,0)</f>
        <v>0</v>
      </c>
      <c r="H263" s="1086">
        <f>IF('Proposed Lighting'!$CB$309&gt;0.01,'Proposed Lighting'!EQ268,0)</f>
        <v>0</v>
      </c>
      <c r="I263" s="1045"/>
    </row>
    <row r="264" spans="1:9" ht="46.5" customHeight="1">
      <c r="A264" s="1115">
        <f>IF('Proposed Lighting'!BZ269&gt;0.01,'Proposed Lighting'!A269,IF('Proposed Lighting'!CA269&gt;0.01,'Proposed Lighting'!A269,0))</f>
        <v>0</v>
      </c>
      <c r="B264" s="1115">
        <f>'Proposed Lighting'!B269</f>
        <v>0</v>
      </c>
      <c r="C264" s="1085">
        <f>IF(A264&gt;0.01,'Proposed Lighting'!T269,0)</f>
        <v>0</v>
      </c>
      <c r="D264" s="1086">
        <f>IF('Proposed Lighting'!$CB$309&gt;0.01,'Proposed Lighting'!EM269,0)</f>
        <v>0</v>
      </c>
      <c r="E264" s="1086">
        <f>IF('Proposed Lighting'!$CB$309&gt;0.01,'Proposed Lighting'!EN269,0)</f>
        <v>0</v>
      </c>
      <c r="F264" s="1086">
        <f>IF('Proposed Lighting'!$CB$309&gt;0.01,'Proposed Lighting'!EO269,0)</f>
        <v>0</v>
      </c>
      <c r="G264" s="1086">
        <f>IF('Proposed Lighting'!$CB$309&gt;0.01,'Proposed Lighting'!EP269,0)</f>
        <v>0</v>
      </c>
      <c r="H264" s="1086">
        <f>IF('Proposed Lighting'!$CB$309&gt;0.01,'Proposed Lighting'!EQ269,0)</f>
        <v>0</v>
      </c>
      <c r="I264" s="1045"/>
    </row>
    <row r="265" spans="1:9" ht="46.5" customHeight="1">
      <c r="A265" s="1115">
        <f>IF('Proposed Lighting'!BZ270&gt;0.01,'Proposed Lighting'!A270,IF('Proposed Lighting'!CA270&gt;0.01,'Proposed Lighting'!A270,0))</f>
        <v>0</v>
      </c>
      <c r="B265" s="1115">
        <f>'Proposed Lighting'!B270</f>
        <v>0</v>
      </c>
      <c r="C265" s="1085">
        <f>IF(A265&gt;0.01,'Proposed Lighting'!T270,0)</f>
        <v>0</v>
      </c>
      <c r="D265" s="1086">
        <f>IF('Proposed Lighting'!$CB$309&gt;0.01,'Proposed Lighting'!EM270,0)</f>
        <v>0</v>
      </c>
      <c r="E265" s="1086">
        <f>IF('Proposed Lighting'!$CB$309&gt;0.01,'Proposed Lighting'!EN270,0)</f>
        <v>0</v>
      </c>
      <c r="F265" s="1086">
        <f>IF('Proposed Lighting'!$CB$309&gt;0.01,'Proposed Lighting'!EO270,0)</f>
        <v>0</v>
      </c>
      <c r="G265" s="1086">
        <f>IF('Proposed Lighting'!$CB$309&gt;0.01,'Proposed Lighting'!EP270,0)</f>
        <v>0</v>
      </c>
      <c r="H265" s="1086">
        <f>IF('Proposed Lighting'!$CB$309&gt;0.01,'Proposed Lighting'!EQ270,0)</f>
        <v>0</v>
      </c>
      <c r="I265" s="1045"/>
    </row>
    <row r="266" spans="1:9" ht="46.5" customHeight="1">
      <c r="A266" s="1115">
        <f>IF('Proposed Lighting'!BZ271&gt;0.01,'Proposed Lighting'!A271,IF('Proposed Lighting'!CA271&gt;0.01,'Proposed Lighting'!A271,0))</f>
        <v>0</v>
      </c>
      <c r="B266" s="1115">
        <f>'Proposed Lighting'!B271</f>
        <v>0</v>
      </c>
      <c r="C266" s="1085">
        <f>IF(A266&gt;0.01,'Proposed Lighting'!T271,0)</f>
        <v>0</v>
      </c>
      <c r="D266" s="1086">
        <f>IF('Proposed Lighting'!$CB$309&gt;0.01,'Proposed Lighting'!EM271,0)</f>
        <v>0</v>
      </c>
      <c r="E266" s="1086">
        <f>IF('Proposed Lighting'!$CB$309&gt;0.01,'Proposed Lighting'!EN271,0)</f>
        <v>0</v>
      </c>
      <c r="F266" s="1086">
        <f>IF('Proposed Lighting'!$CB$309&gt;0.01,'Proposed Lighting'!EO271,0)</f>
        <v>0</v>
      </c>
      <c r="G266" s="1086">
        <f>IF('Proposed Lighting'!$CB$309&gt;0.01,'Proposed Lighting'!EP271,0)</f>
        <v>0</v>
      </c>
      <c r="H266" s="1086">
        <f>IF('Proposed Lighting'!$CB$309&gt;0.01,'Proposed Lighting'!EQ271,0)</f>
        <v>0</v>
      </c>
      <c r="I266" s="1045"/>
    </row>
    <row r="267" spans="1:9" ht="46.5" customHeight="1">
      <c r="A267" s="1115">
        <f>IF('Proposed Lighting'!BZ272&gt;0.01,'Proposed Lighting'!A272,IF('Proposed Lighting'!CA272&gt;0.01,'Proposed Lighting'!A272,0))</f>
        <v>0</v>
      </c>
      <c r="B267" s="1115">
        <f>'Proposed Lighting'!B272</f>
        <v>0</v>
      </c>
      <c r="C267" s="1085">
        <f>IF(A267&gt;0.01,'Proposed Lighting'!T272,0)</f>
        <v>0</v>
      </c>
      <c r="D267" s="1086">
        <f>IF('Proposed Lighting'!$CB$309&gt;0.01,'Proposed Lighting'!EM272,0)</f>
        <v>0</v>
      </c>
      <c r="E267" s="1086">
        <f>IF('Proposed Lighting'!$CB$309&gt;0.01,'Proposed Lighting'!EN272,0)</f>
        <v>0</v>
      </c>
      <c r="F267" s="1086">
        <f>IF('Proposed Lighting'!$CB$309&gt;0.01,'Proposed Lighting'!EO272,0)</f>
        <v>0</v>
      </c>
      <c r="G267" s="1086">
        <f>IF('Proposed Lighting'!$CB$309&gt;0.01,'Proposed Lighting'!EP272,0)</f>
        <v>0</v>
      </c>
      <c r="H267" s="1086">
        <f>IF('Proposed Lighting'!$CB$309&gt;0.01,'Proposed Lighting'!EQ272,0)</f>
        <v>0</v>
      </c>
      <c r="I267" s="1045"/>
    </row>
    <row r="268" spans="1:9" ht="46.5" customHeight="1">
      <c r="A268" s="1115">
        <f>IF('Proposed Lighting'!BZ273&gt;0.01,'Proposed Lighting'!A273,IF('Proposed Lighting'!CA273&gt;0.01,'Proposed Lighting'!A273,0))</f>
        <v>0</v>
      </c>
      <c r="B268" s="1115">
        <f>'Proposed Lighting'!B273</f>
        <v>0</v>
      </c>
      <c r="C268" s="1085">
        <f>IF(A268&gt;0.01,'Proposed Lighting'!T273,0)</f>
        <v>0</v>
      </c>
      <c r="D268" s="1086">
        <f>IF('Proposed Lighting'!$CB$309&gt;0.01,'Proposed Lighting'!EM273,0)</f>
        <v>0</v>
      </c>
      <c r="E268" s="1086">
        <f>IF('Proposed Lighting'!$CB$309&gt;0.01,'Proposed Lighting'!EN273,0)</f>
        <v>0</v>
      </c>
      <c r="F268" s="1086">
        <f>IF('Proposed Lighting'!$CB$309&gt;0.01,'Proposed Lighting'!EO273,0)</f>
        <v>0</v>
      </c>
      <c r="G268" s="1086">
        <f>IF('Proposed Lighting'!$CB$309&gt;0.01,'Proposed Lighting'!EP273,0)</f>
        <v>0</v>
      </c>
      <c r="H268" s="1086">
        <f>IF('Proposed Lighting'!$CB$309&gt;0.01,'Proposed Lighting'!EQ273,0)</f>
        <v>0</v>
      </c>
      <c r="I268" s="1045"/>
    </row>
    <row r="269" spans="1:9" ht="46.5" customHeight="1">
      <c r="A269" s="1115">
        <f>IF('Proposed Lighting'!BZ274&gt;0.01,'Proposed Lighting'!A274,IF('Proposed Lighting'!CA274&gt;0.01,'Proposed Lighting'!A274,0))</f>
        <v>0</v>
      </c>
      <c r="B269" s="1115">
        <f>'Proposed Lighting'!B274</f>
        <v>0</v>
      </c>
      <c r="C269" s="1085">
        <f>IF(A269&gt;0.01,'Proposed Lighting'!T274,0)</f>
        <v>0</v>
      </c>
      <c r="D269" s="1086">
        <f>IF('Proposed Lighting'!$CB$309&gt;0.01,'Proposed Lighting'!EM274,0)</f>
        <v>0</v>
      </c>
      <c r="E269" s="1086">
        <f>IF('Proposed Lighting'!$CB$309&gt;0.01,'Proposed Lighting'!EN274,0)</f>
        <v>0</v>
      </c>
      <c r="F269" s="1086">
        <f>IF('Proposed Lighting'!$CB$309&gt;0.01,'Proposed Lighting'!EO274,0)</f>
        <v>0</v>
      </c>
      <c r="G269" s="1086">
        <f>IF('Proposed Lighting'!$CB$309&gt;0.01,'Proposed Lighting'!EP274,0)</f>
        <v>0</v>
      </c>
      <c r="H269" s="1086">
        <f>IF('Proposed Lighting'!$CB$309&gt;0.01,'Proposed Lighting'!EQ274,0)</f>
        <v>0</v>
      </c>
      <c r="I269" s="1045"/>
    </row>
    <row r="270" spans="1:9" ht="46.5" customHeight="1">
      <c r="A270" s="1115">
        <f>IF('Proposed Lighting'!BZ275&gt;0.01,'Proposed Lighting'!A275,IF('Proposed Lighting'!CA275&gt;0.01,'Proposed Lighting'!A275,0))</f>
        <v>0</v>
      </c>
      <c r="B270" s="1115">
        <f>'Proposed Lighting'!B275</f>
        <v>0</v>
      </c>
      <c r="C270" s="1085">
        <f>IF(A270&gt;0.01,'Proposed Lighting'!T275,0)</f>
        <v>0</v>
      </c>
      <c r="D270" s="1086">
        <f>IF('Proposed Lighting'!$CB$309&gt;0.01,'Proposed Lighting'!EM275,0)</f>
        <v>0</v>
      </c>
      <c r="E270" s="1086">
        <f>IF('Proposed Lighting'!$CB$309&gt;0.01,'Proposed Lighting'!EN275,0)</f>
        <v>0</v>
      </c>
      <c r="F270" s="1086">
        <f>IF('Proposed Lighting'!$CB$309&gt;0.01,'Proposed Lighting'!EO275,0)</f>
        <v>0</v>
      </c>
      <c r="G270" s="1086">
        <f>IF('Proposed Lighting'!$CB$309&gt;0.01,'Proposed Lighting'!EP275,0)</f>
        <v>0</v>
      </c>
      <c r="H270" s="1086">
        <f>IF('Proposed Lighting'!$CB$309&gt;0.01,'Proposed Lighting'!EQ275,0)</f>
        <v>0</v>
      </c>
      <c r="I270" s="1045"/>
    </row>
    <row r="271" spans="1:9" ht="46.5" customHeight="1">
      <c r="A271" s="1115">
        <f>IF('Proposed Lighting'!BZ276&gt;0.01,'Proposed Lighting'!A276,IF('Proposed Lighting'!CA276&gt;0.01,'Proposed Lighting'!A276,0))</f>
        <v>0</v>
      </c>
      <c r="B271" s="1115">
        <f>'Proposed Lighting'!B276</f>
        <v>0</v>
      </c>
      <c r="C271" s="1085">
        <f>IF(A271&gt;0.01,'Proposed Lighting'!T276,0)</f>
        <v>0</v>
      </c>
      <c r="D271" s="1086">
        <f>IF('Proposed Lighting'!$CB$309&gt;0.01,'Proposed Lighting'!EM276,0)</f>
        <v>0</v>
      </c>
      <c r="E271" s="1086">
        <f>IF('Proposed Lighting'!$CB$309&gt;0.01,'Proposed Lighting'!EN276,0)</f>
        <v>0</v>
      </c>
      <c r="F271" s="1086">
        <f>IF('Proposed Lighting'!$CB$309&gt;0.01,'Proposed Lighting'!EO276,0)</f>
        <v>0</v>
      </c>
      <c r="G271" s="1086">
        <f>IF('Proposed Lighting'!$CB$309&gt;0.01,'Proposed Lighting'!EP276,0)</f>
        <v>0</v>
      </c>
      <c r="H271" s="1086">
        <f>IF('Proposed Lighting'!$CB$309&gt;0.01,'Proposed Lighting'!EQ276,0)</f>
        <v>0</v>
      </c>
      <c r="I271" s="1045"/>
    </row>
    <row r="272" spans="1:9" ht="46.5" customHeight="1">
      <c r="A272" s="1115">
        <f>IF('Proposed Lighting'!BZ277&gt;0.01,'Proposed Lighting'!A277,IF('Proposed Lighting'!CA277&gt;0.01,'Proposed Lighting'!A277,0))</f>
        <v>0</v>
      </c>
      <c r="B272" s="1115">
        <f>'Proposed Lighting'!B277</f>
        <v>0</v>
      </c>
      <c r="C272" s="1085">
        <f>IF(A272&gt;0.01,'Proposed Lighting'!T277,0)</f>
        <v>0</v>
      </c>
      <c r="D272" s="1086">
        <f>IF('Proposed Lighting'!$CB$309&gt;0.01,'Proposed Lighting'!EM277,0)</f>
        <v>0</v>
      </c>
      <c r="E272" s="1086">
        <f>IF('Proposed Lighting'!$CB$309&gt;0.01,'Proposed Lighting'!EN277,0)</f>
        <v>0</v>
      </c>
      <c r="F272" s="1086">
        <f>IF('Proposed Lighting'!$CB$309&gt;0.01,'Proposed Lighting'!EO277,0)</f>
        <v>0</v>
      </c>
      <c r="G272" s="1086">
        <f>IF('Proposed Lighting'!$CB$309&gt;0.01,'Proposed Lighting'!EP277,0)</f>
        <v>0</v>
      </c>
      <c r="H272" s="1086">
        <f>IF('Proposed Lighting'!$CB$309&gt;0.01,'Proposed Lighting'!EQ277,0)</f>
        <v>0</v>
      </c>
      <c r="I272" s="1045"/>
    </row>
    <row r="273" spans="1:9" ht="46.5" customHeight="1">
      <c r="A273" s="1115">
        <f>IF('Proposed Lighting'!BZ278&gt;0.01,'Proposed Lighting'!A278,IF('Proposed Lighting'!CA278&gt;0.01,'Proposed Lighting'!A278,0))</f>
        <v>0</v>
      </c>
      <c r="B273" s="1115">
        <f>'Proposed Lighting'!B278</f>
        <v>0</v>
      </c>
      <c r="C273" s="1085">
        <f>IF(A273&gt;0.01,'Proposed Lighting'!T278,0)</f>
        <v>0</v>
      </c>
      <c r="D273" s="1086">
        <f>IF('Proposed Lighting'!$CB$309&gt;0.01,'Proposed Lighting'!EM278,0)</f>
        <v>0</v>
      </c>
      <c r="E273" s="1086">
        <f>IF('Proposed Lighting'!$CB$309&gt;0.01,'Proposed Lighting'!EN278,0)</f>
        <v>0</v>
      </c>
      <c r="F273" s="1086">
        <f>IF('Proposed Lighting'!$CB$309&gt;0.01,'Proposed Lighting'!EO278,0)</f>
        <v>0</v>
      </c>
      <c r="G273" s="1086">
        <f>IF('Proposed Lighting'!$CB$309&gt;0.01,'Proposed Lighting'!EP278,0)</f>
        <v>0</v>
      </c>
      <c r="H273" s="1086">
        <f>IF('Proposed Lighting'!$CB$309&gt;0.01,'Proposed Lighting'!EQ278,0)</f>
        <v>0</v>
      </c>
      <c r="I273" s="1045"/>
    </row>
    <row r="274" spans="1:9" ht="46.5" customHeight="1">
      <c r="A274" s="1115">
        <f>IF('Proposed Lighting'!BZ279&gt;0.01,'Proposed Lighting'!A279,IF('Proposed Lighting'!CA279&gt;0.01,'Proposed Lighting'!A279,0))</f>
        <v>0</v>
      </c>
      <c r="B274" s="1115">
        <f>'Proposed Lighting'!B279</f>
        <v>0</v>
      </c>
      <c r="C274" s="1085">
        <f>IF(A274&gt;0.01,'Proposed Lighting'!T279,0)</f>
        <v>0</v>
      </c>
      <c r="D274" s="1086">
        <f>IF('Proposed Lighting'!$CB$309&gt;0.01,'Proposed Lighting'!EM279,0)</f>
        <v>0</v>
      </c>
      <c r="E274" s="1086">
        <f>IF('Proposed Lighting'!$CB$309&gt;0.01,'Proposed Lighting'!EN279,0)</f>
        <v>0</v>
      </c>
      <c r="F274" s="1086">
        <f>IF('Proposed Lighting'!$CB$309&gt;0.01,'Proposed Lighting'!EO279,0)</f>
        <v>0</v>
      </c>
      <c r="G274" s="1086">
        <f>IF('Proposed Lighting'!$CB$309&gt;0.01,'Proposed Lighting'!EP279,0)</f>
        <v>0</v>
      </c>
      <c r="H274" s="1086">
        <f>IF('Proposed Lighting'!$CB$309&gt;0.01,'Proposed Lighting'!EQ279,0)</f>
        <v>0</v>
      </c>
      <c r="I274" s="1045"/>
    </row>
    <row r="275" spans="1:9" ht="46.5" customHeight="1">
      <c r="A275" s="1115">
        <f>IF('Proposed Lighting'!BZ280&gt;0.01,'Proposed Lighting'!A280,IF('Proposed Lighting'!CA280&gt;0.01,'Proposed Lighting'!A280,0))</f>
        <v>0</v>
      </c>
      <c r="B275" s="1115">
        <f>'Proposed Lighting'!B280</f>
        <v>0</v>
      </c>
      <c r="C275" s="1085">
        <f>IF(A275&gt;0.01,'Proposed Lighting'!T280,0)</f>
        <v>0</v>
      </c>
      <c r="D275" s="1086">
        <f>IF('Proposed Lighting'!$CB$309&gt;0.01,'Proposed Lighting'!EM280,0)</f>
        <v>0</v>
      </c>
      <c r="E275" s="1086">
        <f>IF('Proposed Lighting'!$CB$309&gt;0.01,'Proposed Lighting'!EN280,0)</f>
        <v>0</v>
      </c>
      <c r="F275" s="1086">
        <f>IF('Proposed Lighting'!$CB$309&gt;0.01,'Proposed Lighting'!EO280,0)</f>
        <v>0</v>
      </c>
      <c r="G275" s="1086">
        <f>IF('Proposed Lighting'!$CB$309&gt;0.01,'Proposed Lighting'!EP280,0)</f>
        <v>0</v>
      </c>
      <c r="H275" s="1086">
        <f>IF('Proposed Lighting'!$CB$309&gt;0.01,'Proposed Lighting'!EQ280,0)</f>
        <v>0</v>
      </c>
      <c r="I275" s="1045"/>
    </row>
    <row r="276" spans="1:9" ht="46.5" customHeight="1">
      <c r="A276" s="1115">
        <f>IF('Proposed Lighting'!BZ281&gt;0.01,'Proposed Lighting'!A281,IF('Proposed Lighting'!CA281&gt;0.01,'Proposed Lighting'!A281,0))</f>
        <v>0</v>
      </c>
      <c r="B276" s="1115">
        <f>'Proposed Lighting'!B281</f>
        <v>0</v>
      </c>
      <c r="C276" s="1085">
        <f>IF(A276&gt;0.01,'Proposed Lighting'!T281,0)</f>
        <v>0</v>
      </c>
      <c r="D276" s="1086">
        <f>IF('Proposed Lighting'!$CB$309&gt;0.01,'Proposed Lighting'!EM281,0)</f>
        <v>0</v>
      </c>
      <c r="E276" s="1086">
        <f>IF('Proposed Lighting'!$CB$309&gt;0.01,'Proposed Lighting'!EN281,0)</f>
        <v>0</v>
      </c>
      <c r="F276" s="1086">
        <f>IF('Proposed Lighting'!$CB$309&gt;0.01,'Proposed Lighting'!EO281,0)</f>
        <v>0</v>
      </c>
      <c r="G276" s="1086">
        <f>IF('Proposed Lighting'!$CB$309&gt;0.01,'Proposed Lighting'!EP281,0)</f>
        <v>0</v>
      </c>
      <c r="H276" s="1086">
        <f>IF('Proposed Lighting'!$CB$309&gt;0.01,'Proposed Lighting'!EQ281,0)</f>
        <v>0</v>
      </c>
      <c r="I276" s="1045"/>
    </row>
    <row r="277" spans="1:9" ht="46.5" customHeight="1">
      <c r="A277" s="1115">
        <f>IF('Proposed Lighting'!BZ282&gt;0.01,'Proposed Lighting'!A282,IF('Proposed Lighting'!CA282&gt;0.01,'Proposed Lighting'!A282,0))</f>
        <v>0</v>
      </c>
      <c r="B277" s="1115">
        <f>'Proposed Lighting'!B282</f>
        <v>0</v>
      </c>
      <c r="C277" s="1085">
        <f>IF(A277&gt;0.01,'Proposed Lighting'!T282,0)</f>
        <v>0</v>
      </c>
      <c r="D277" s="1086">
        <f>IF('Proposed Lighting'!$CB$309&gt;0.01,'Proposed Lighting'!EM282,0)</f>
        <v>0</v>
      </c>
      <c r="E277" s="1086">
        <f>IF('Proposed Lighting'!$CB$309&gt;0.01,'Proposed Lighting'!EN282,0)</f>
        <v>0</v>
      </c>
      <c r="F277" s="1086">
        <f>IF('Proposed Lighting'!$CB$309&gt;0.01,'Proposed Lighting'!EO282,0)</f>
        <v>0</v>
      </c>
      <c r="G277" s="1086">
        <f>IF('Proposed Lighting'!$CB$309&gt;0.01,'Proposed Lighting'!EP282,0)</f>
        <v>0</v>
      </c>
      <c r="H277" s="1086">
        <f>IF('Proposed Lighting'!$CB$309&gt;0.01,'Proposed Lighting'!EQ282,0)</f>
        <v>0</v>
      </c>
      <c r="I277" s="1045"/>
    </row>
    <row r="278" spans="1:9" ht="46.5" customHeight="1">
      <c r="A278" s="1115">
        <f>IF('Proposed Lighting'!BZ283&gt;0.01,'Proposed Lighting'!A283,IF('Proposed Lighting'!CA283&gt;0.01,'Proposed Lighting'!A283,0))</f>
        <v>0</v>
      </c>
      <c r="B278" s="1115">
        <f>'Proposed Lighting'!B283</f>
        <v>0</v>
      </c>
      <c r="C278" s="1085">
        <f>IF(A278&gt;0.01,'Proposed Lighting'!T283,0)</f>
        <v>0</v>
      </c>
      <c r="D278" s="1086">
        <f>IF('Proposed Lighting'!$CB$309&gt;0.01,'Proposed Lighting'!EM283,0)</f>
        <v>0</v>
      </c>
      <c r="E278" s="1086">
        <f>IF('Proposed Lighting'!$CB$309&gt;0.01,'Proposed Lighting'!EN283,0)</f>
        <v>0</v>
      </c>
      <c r="F278" s="1086">
        <f>IF('Proposed Lighting'!$CB$309&gt;0.01,'Proposed Lighting'!EO283,0)</f>
        <v>0</v>
      </c>
      <c r="G278" s="1086">
        <f>IF('Proposed Lighting'!$CB$309&gt;0.01,'Proposed Lighting'!EP283,0)</f>
        <v>0</v>
      </c>
      <c r="H278" s="1086">
        <f>IF('Proposed Lighting'!$CB$309&gt;0.01,'Proposed Lighting'!EQ283,0)</f>
        <v>0</v>
      </c>
      <c r="I278" s="1045"/>
    </row>
    <row r="279" spans="1:9" ht="46.5" customHeight="1">
      <c r="A279" s="1115">
        <f>IF('Proposed Lighting'!BZ284&gt;0.01,'Proposed Lighting'!A284,IF('Proposed Lighting'!CA284&gt;0.01,'Proposed Lighting'!A284,0))</f>
        <v>0</v>
      </c>
      <c r="B279" s="1115">
        <f>'Proposed Lighting'!B284</f>
        <v>0</v>
      </c>
      <c r="C279" s="1085">
        <f>IF(A279&gt;0.01,'Proposed Lighting'!T284,0)</f>
        <v>0</v>
      </c>
      <c r="D279" s="1086">
        <f>IF('Proposed Lighting'!$CB$309&gt;0.01,'Proposed Lighting'!EM284,0)</f>
        <v>0</v>
      </c>
      <c r="E279" s="1086">
        <f>IF('Proposed Lighting'!$CB$309&gt;0.01,'Proposed Lighting'!EN284,0)</f>
        <v>0</v>
      </c>
      <c r="F279" s="1086">
        <f>IF('Proposed Lighting'!$CB$309&gt;0.01,'Proposed Lighting'!EO284,0)</f>
        <v>0</v>
      </c>
      <c r="G279" s="1086">
        <f>IF('Proposed Lighting'!$CB$309&gt;0.01,'Proposed Lighting'!EP284,0)</f>
        <v>0</v>
      </c>
      <c r="H279" s="1086">
        <f>IF('Proposed Lighting'!$CB$309&gt;0.01,'Proposed Lighting'!EQ284,0)</f>
        <v>0</v>
      </c>
      <c r="I279" s="1045"/>
    </row>
    <row r="280" spans="1:9" ht="46.5" customHeight="1">
      <c r="A280" s="1115">
        <f>IF('Proposed Lighting'!BZ285&gt;0.01,'Proposed Lighting'!A285,IF('Proposed Lighting'!CA285&gt;0.01,'Proposed Lighting'!A285,0))</f>
        <v>0</v>
      </c>
      <c r="B280" s="1115">
        <f>'Proposed Lighting'!B285</f>
        <v>0</v>
      </c>
      <c r="C280" s="1085">
        <f>IF(A280&gt;0.01,'Proposed Lighting'!T285,0)</f>
        <v>0</v>
      </c>
      <c r="D280" s="1086">
        <f>IF('Proposed Lighting'!$CB$309&gt;0.01,'Proposed Lighting'!EM285,0)</f>
        <v>0</v>
      </c>
      <c r="E280" s="1086">
        <f>IF('Proposed Lighting'!$CB$309&gt;0.01,'Proposed Lighting'!EN285,0)</f>
        <v>0</v>
      </c>
      <c r="F280" s="1086">
        <f>IF('Proposed Lighting'!$CB$309&gt;0.01,'Proposed Lighting'!EO285,0)</f>
        <v>0</v>
      </c>
      <c r="G280" s="1086">
        <f>IF('Proposed Lighting'!$CB$309&gt;0.01,'Proposed Lighting'!EP285,0)</f>
        <v>0</v>
      </c>
      <c r="H280" s="1086">
        <f>IF('Proposed Lighting'!$CB$309&gt;0.01,'Proposed Lighting'!EQ285,0)</f>
        <v>0</v>
      </c>
      <c r="I280" s="1045"/>
    </row>
    <row r="281" spans="1:9" ht="46.5" customHeight="1">
      <c r="A281" s="1115">
        <f>IF('Proposed Lighting'!BZ286&gt;0.01,'Proposed Lighting'!A286,IF('Proposed Lighting'!CA286&gt;0.01,'Proposed Lighting'!A286,0))</f>
        <v>0</v>
      </c>
      <c r="B281" s="1115">
        <f>'Proposed Lighting'!B286</f>
        <v>0</v>
      </c>
      <c r="C281" s="1085">
        <f>IF(A281&gt;0.01,'Proposed Lighting'!T286,0)</f>
        <v>0</v>
      </c>
      <c r="D281" s="1086">
        <f>IF('Proposed Lighting'!$CB$309&gt;0.01,'Proposed Lighting'!EM286,0)</f>
        <v>0</v>
      </c>
      <c r="E281" s="1086">
        <f>IF('Proposed Lighting'!$CB$309&gt;0.01,'Proposed Lighting'!EN286,0)</f>
        <v>0</v>
      </c>
      <c r="F281" s="1086">
        <f>IF('Proposed Lighting'!$CB$309&gt;0.01,'Proposed Lighting'!EO286,0)</f>
        <v>0</v>
      </c>
      <c r="G281" s="1086">
        <f>IF('Proposed Lighting'!$CB$309&gt;0.01,'Proposed Lighting'!EP286,0)</f>
        <v>0</v>
      </c>
      <c r="H281" s="1086">
        <f>IF('Proposed Lighting'!$CB$309&gt;0.01,'Proposed Lighting'!EQ286,0)</f>
        <v>0</v>
      </c>
      <c r="I281" s="1045"/>
    </row>
    <row r="282" spans="1:9" ht="46.5" customHeight="1">
      <c r="A282" s="1115">
        <f>IF('Proposed Lighting'!BZ287&gt;0.01,'Proposed Lighting'!A287,IF('Proposed Lighting'!CA287&gt;0.01,'Proposed Lighting'!A287,0))</f>
        <v>0</v>
      </c>
      <c r="B282" s="1115">
        <f>'Proposed Lighting'!B287</f>
        <v>0</v>
      </c>
      <c r="C282" s="1085">
        <f>IF(A282&gt;0.01,'Proposed Lighting'!T287,0)</f>
        <v>0</v>
      </c>
      <c r="D282" s="1086">
        <f>IF('Proposed Lighting'!$CB$309&gt;0.01,'Proposed Lighting'!EM287,0)</f>
        <v>0</v>
      </c>
      <c r="E282" s="1086">
        <f>IF('Proposed Lighting'!$CB$309&gt;0.01,'Proposed Lighting'!EN287,0)</f>
        <v>0</v>
      </c>
      <c r="F282" s="1086">
        <f>IF('Proposed Lighting'!$CB$309&gt;0.01,'Proposed Lighting'!EO287,0)</f>
        <v>0</v>
      </c>
      <c r="G282" s="1086">
        <f>IF('Proposed Lighting'!$CB$309&gt;0.01,'Proposed Lighting'!EP287,0)</f>
        <v>0</v>
      </c>
      <c r="H282" s="1086">
        <f>IF('Proposed Lighting'!$CB$309&gt;0.01,'Proposed Lighting'!EQ287,0)</f>
        <v>0</v>
      </c>
      <c r="I282" s="1045"/>
    </row>
    <row r="283" spans="1:9" ht="46.5" customHeight="1">
      <c r="A283" s="1115">
        <f>IF('Proposed Lighting'!BZ288&gt;0.01,'Proposed Lighting'!A288,IF('Proposed Lighting'!CA288&gt;0.01,'Proposed Lighting'!A288,0))</f>
        <v>0</v>
      </c>
      <c r="B283" s="1115">
        <f>'Proposed Lighting'!B288</f>
        <v>0</v>
      </c>
      <c r="C283" s="1085">
        <f>IF(A283&gt;0.01,'Proposed Lighting'!T288,0)</f>
        <v>0</v>
      </c>
      <c r="D283" s="1086">
        <f>IF('Proposed Lighting'!$CB$309&gt;0.01,'Proposed Lighting'!EM288,0)</f>
        <v>0</v>
      </c>
      <c r="E283" s="1086">
        <f>IF('Proposed Lighting'!$CB$309&gt;0.01,'Proposed Lighting'!EN288,0)</f>
        <v>0</v>
      </c>
      <c r="F283" s="1086">
        <f>IF('Proposed Lighting'!$CB$309&gt;0.01,'Proposed Lighting'!EO288,0)</f>
        <v>0</v>
      </c>
      <c r="G283" s="1086">
        <f>IF('Proposed Lighting'!$CB$309&gt;0.01,'Proposed Lighting'!EP288,0)</f>
        <v>0</v>
      </c>
      <c r="H283" s="1086">
        <f>IF('Proposed Lighting'!$CB$309&gt;0.01,'Proposed Lighting'!EQ288,0)</f>
        <v>0</v>
      </c>
      <c r="I283" s="1045"/>
    </row>
    <row r="284" spans="1:9" ht="46.5" customHeight="1">
      <c r="A284" s="1115">
        <f>IF('Proposed Lighting'!BZ289&gt;0.01,'Proposed Lighting'!A289,IF('Proposed Lighting'!CA289&gt;0.01,'Proposed Lighting'!A289,0))</f>
        <v>0</v>
      </c>
      <c r="B284" s="1115">
        <f>'Proposed Lighting'!B289</f>
        <v>0</v>
      </c>
      <c r="C284" s="1085">
        <f>IF(A284&gt;0.01,'Proposed Lighting'!T289,0)</f>
        <v>0</v>
      </c>
      <c r="D284" s="1086">
        <f>IF('Proposed Lighting'!$CB$309&gt;0.01,'Proposed Lighting'!EM289,0)</f>
        <v>0</v>
      </c>
      <c r="E284" s="1086">
        <f>IF('Proposed Lighting'!$CB$309&gt;0.01,'Proposed Lighting'!EN289,0)</f>
        <v>0</v>
      </c>
      <c r="F284" s="1086">
        <f>IF('Proposed Lighting'!$CB$309&gt;0.01,'Proposed Lighting'!EO289,0)</f>
        <v>0</v>
      </c>
      <c r="G284" s="1086">
        <f>IF('Proposed Lighting'!$CB$309&gt;0.01,'Proposed Lighting'!EP289,0)</f>
        <v>0</v>
      </c>
      <c r="H284" s="1086">
        <f>IF('Proposed Lighting'!$CB$309&gt;0.01,'Proposed Lighting'!EQ289,0)</f>
        <v>0</v>
      </c>
      <c r="I284" s="1045"/>
    </row>
    <row r="285" spans="1:9" ht="46.5" customHeight="1">
      <c r="A285" s="1115">
        <f>IF('Proposed Lighting'!BZ290&gt;0.01,'Proposed Lighting'!A290,IF('Proposed Lighting'!CA290&gt;0.01,'Proposed Lighting'!A290,0))</f>
        <v>0</v>
      </c>
      <c r="B285" s="1115">
        <f>'Proposed Lighting'!B290</f>
        <v>0</v>
      </c>
      <c r="C285" s="1085">
        <f>IF(A285&gt;0.01,'Proposed Lighting'!T290,0)</f>
        <v>0</v>
      </c>
      <c r="D285" s="1086">
        <f>IF('Proposed Lighting'!$CB$309&gt;0.01,'Proposed Lighting'!EM290,0)</f>
        <v>0</v>
      </c>
      <c r="E285" s="1086">
        <f>IF('Proposed Lighting'!$CB$309&gt;0.01,'Proposed Lighting'!EN290,0)</f>
        <v>0</v>
      </c>
      <c r="F285" s="1086">
        <f>IF('Proposed Lighting'!$CB$309&gt;0.01,'Proposed Lighting'!EO290,0)</f>
        <v>0</v>
      </c>
      <c r="G285" s="1086">
        <f>IF('Proposed Lighting'!$CB$309&gt;0.01,'Proposed Lighting'!EP290,0)</f>
        <v>0</v>
      </c>
      <c r="H285" s="1086">
        <f>IF('Proposed Lighting'!$CB$309&gt;0.01,'Proposed Lighting'!EQ290,0)</f>
        <v>0</v>
      </c>
      <c r="I285" s="1045"/>
    </row>
    <row r="286" spans="1:9" ht="46.5" customHeight="1">
      <c r="A286" s="1115">
        <f>IF('Proposed Lighting'!BZ291&gt;0.01,'Proposed Lighting'!A291,IF('Proposed Lighting'!CA291&gt;0.01,'Proposed Lighting'!A291,0))</f>
        <v>0</v>
      </c>
      <c r="B286" s="1115">
        <f>'Proposed Lighting'!B291</f>
        <v>0</v>
      </c>
      <c r="C286" s="1085">
        <f>IF(A286&gt;0.01,'Proposed Lighting'!T291,0)</f>
        <v>0</v>
      </c>
      <c r="D286" s="1086">
        <f>IF('Proposed Lighting'!$CB$309&gt;0.01,'Proposed Lighting'!EM291,0)</f>
        <v>0</v>
      </c>
      <c r="E286" s="1086">
        <f>IF('Proposed Lighting'!$CB$309&gt;0.01,'Proposed Lighting'!EN291,0)</f>
        <v>0</v>
      </c>
      <c r="F286" s="1086">
        <f>IF('Proposed Lighting'!$CB$309&gt;0.01,'Proposed Lighting'!EO291,0)</f>
        <v>0</v>
      </c>
      <c r="G286" s="1086">
        <f>IF('Proposed Lighting'!$CB$309&gt;0.01,'Proposed Lighting'!EP291,0)</f>
        <v>0</v>
      </c>
      <c r="H286" s="1086">
        <f>IF('Proposed Lighting'!$CB$309&gt;0.01,'Proposed Lighting'!EQ291,0)</f>
        <v>0</v>
      </c>
      <c r="I286" s="1045"/>
    </row>
    <row r="287" spans="1:9" ht="46.5" customHeight="1">
      <c r="A287" s="1115">
        <f>IF('Proposed Lighting'!BZ292&gt;0.01,'Proposed Lighting'!A292,IF('Proposed Lighting'!CA292&gt;0.01,'Proposed Lighting'!A292,0))</f>
        <v>0</v>
      </c>
      <c r="B287" s="1115">
        <f>'Proposed Lighting'!B292</f>
        <v>0</v>
      </c>
      <c r="C287" s="1085">
        <f>IF(A287&gt;0.01,'Proposed Lighting'!T292,0)</f>
        <v>0</v>
      </c>
      <c r="D287" s="1086">
        <f>IF('Proposed Lighting'!$CB$309&gt;0.01,'Proposed Lighting'!EM292,0)</f>
        <v>0</v>
      </c>
      <c r="E287" s="1086">
        <f>IF('Proposed Lighting'!$CB$309&gt;0.01,'Proposed Lighting'!EN292,0)</f>
        <v>0</v>
      </c>
      <c r="F287" s="1086">
        <f>IF('Proposed Lighting'!$CB$309&gt;0.01,'Proposed Lighting'!EO292,0)</f>
        <v>0</v>
      </c>
      <c r="G287" s="1086">
        <f>IF('Proposed Lighting'!$CB$309&gt;0.01,'Proposed Lighting'!EP292,0)</f>
        <v>0</v>
      </c>
      <c r="H287" s="1086">
        <f>IF('Proposed Lighting'!$CB$309&gt;0.01,'Proposed Lighting'!EQ292,0)</f>
        <v>0</v>
      </c>
      <c r="I287" s="1045"/>
    </row>
    <row r="288" spans="1:9" ht="46.5" customHeight="1">
      <c r="A288" s="1115">
        <f>IF('Proposed Lighting'!BZ293&gt;0.01,'Proposed Lighting'!A293,IF('Proposed Lighting'!CA293&gt;0.01,'Proposed Lighting'!A293,0))</f>
        <v>0</v>
      </c>
      <c r="B288" s="1115">
        <f>'Proposed Lighting'!B293</f>
        <v>0</v>
      </c>
      <c r="C288" s="1085">
        <f>IF(A288&gt;0.01,'Proposed Lighting'!T293,0)</f>
        <v>0</v>
      </c>
      <c r="D288" s="1086">
        <f>IF('Proposed Lighting'!$CB$309&gt;0.01,'Proposed Lighting'!EM293,0)</f>
        <v>0</v>
      </c>
      <c r="E288" s="1086">
        <f>IF('Proposed Lighting'!$CB$309&gt;0.01,'Proposed Lighting'!EN293,0)</f>
        <v>0</v>
      </c>
      <c r="F288" s="1086">
        <f>IF('Proposed Lighting'!$CB$309&gt;0.01,'Proposed Lighting'!EO293,0)</f>
        <v>0</v>
      </c>
      <c r="G288" s="1086">
        <f>IF('Proposed Lighting'!$CB$309&gt;0.01,'Proposed Lighting'!EP293,0)</f>
        <v>0</v>
      </c>
      <c r="H288" s="1086">
        <f>IF('Proposed Lighting'!$CB$309&gt;0.01,'Proposed Lighting'!EQ293,0)</f>
        <v>0</v>
      </c>
      <c r="I288" s="1045"/>
    </row>
    <row r="289" spans="1:9" ht="46.5" customHeight="1">
      <c r="A289" s="1115">
        <f>IF('Proposed Lighting'!BZ294&gt;0.01,'Proposed Lighting'!A294,IF('Proposed Lighting'!CA294&gt;0.01,'Proposed Lighting'!A294,0))</f>
        <v>0</v>
      </c>
      <c r="B289" s="1115">
        <f>'Proposed Lighting'!B294</f>
        <v>0</v>
      </c>
      <c r="C289" s="1085">
        <f>IF(A289&gt;0.01,'Proposed Lighting'!T294,0)</f>
        <v>0</v>
      </c>
      <c r="D289" s="1086">
        <f>IF('Proposed Lighting'!$CB$309&gt;0.01,'Proposed Lighting'!EM294,0)</f>
        <v>0</v>
      </c>
      <c r="E289" s="1086">
        <f>IF('Proposed Lighting'!$CB$309&gt;0.01,'Proposed Lighting'!EN294,0)</f>
        <v>0</v>
      </c>
      <c r="F289" s="1086">
        <f>IF('Proposed Lighting'!$CB$309&gt;0.01,'Proposed Lighting'!EO294,0)</f>
        <v>0</v>
      </c>
      <c r="G289" s="1086">
        <f>IF('Proposed Lighting'!$CB$309&gt;0.01,'Proposed Lighting'!EP294,0)</f>
        <v>0</v>
      </c>
      <c r="H289" s="1086">
        <f>IF('Proposed Lighting'!$CB$309&gt;0.01,'Proposed Lighting'!EQ294,0)</f>
        <v>0</v>
      </c>
      <c r="I289" s="1045"/>
    </row>
    <row r="290" spans="1:9" ht="46.5" customHeight="1">
      <c r="A290" s="1115">
        <f>IF('Proposed Lighting'!BZ295&gt;0.01,'Proposed Lighting'!A295,IF('Proposed Lighting'!CA295&gt;0.01,'Proposed Lighting'!A295,0))</f>
        <v>0</v>
      </c>
      <c r="B290" s="1115">
        <f>'Proposed Lighting'!B295</f>
        <v>0</v>
      </c>
      <c r="C290" s="1085">
        <f>IF(A290&gt;0.01,'Proposed Lighting'!T295,0)</f>
        <v>0</v>
      </c>
      <c r="D290" s="1086">
        <f>IF('Proposed Lighting'!$CB$309&gt;0.01,'Proposed Lighting'!EM295,0)</f>
        <v>0</v>
      </c>
      <c r="E290" s="1086">
        <f>IF('Proposed Lighting'!$CB$309&gt;0.01,'Proposed Lighting'!EN295,0)</f>
        <v>0</v>
      </c>
      <c r="F290" s="1086">
        <f>IF('Proposed Lighting'!$CB$309&gt;0.01,'Proposed Lighting'!EO295,0)</f>
        <v>0</v>
      </c>
      <c r="G290" s="1086">
        <f>IF('Proposed Lighting'!$CB$309&gt;0.01,'Proposed Lighting'!EP295,0)</f>
        <v>0</v>
      </c>
      <c r="H290" s="1086">
        <f>IF('Proposed Lighting'!$CB$309&gt;0.01,'Proposed Lighting'!EQ295,0)</f>
        <v>0</v>
      </c>
      <c r="I290" s="1045"/>
    </row>
    <row r="291" spans="1:9" ht="46.5" customHeight="1">
      <c r="A291" s="1115">
        <f>IF('Proposed Lighting'!BZ296&gt;0.01,'Proposed Lighting'!A296,IF('Proposed Lighting'!CA296&gt;0.01,'Proposed Lighting'!A296,0))</f>
        <v>0</v>
      </c>
      <c r="B291" s="1115">
        <f>'Proposed Lighting'!B296</f>
        <v>0</v>
      </c>
      <c r="C291" s="1085">
        <f>IF(A291&gt;0.01,'Proposed Lighting'!T296,0)</f>
        <v>0</v>
      </c>
      <c r="D291" s="1086">
        <f>IF('Proposed Lighting'!$CB$309&gt;0.01,'Proposed Lighting'!EM296,0)</f>
        <v>0</v>
      </c>
      <c r="E291" s="1086">
        <f>IF('Proposed Lighting'!$CB$309&gt;0.01,'Proposed Lighting'!EN296,0)</f>
        <v>0</v>
      </c>
      <c r="F291" s="1086">
        <f>IF('Proposed Lighting'!$CB$309&gt;0.01,'Proposed Lighting'!EO296,0)</f>
        <v>0</v>
      </c>
      <c r="G291" s="1086">
        <f>IF('Proposed Lighting'!$CB$309&gt;0.01,'Proposed Lighting'!EP296,0)</f>
        <v>0</v>
      </c>
      <c r="H291" s="1086">
        <f>IF('Proposed Lighting'!$CB$309&gt;0.01,'Proposed Lighting'!EQ296,0)</f>
        <v>0</v>
      </c>
      <c r="I291" s="1045"/>
    </row>
    <row r="292" spans="1:9" ht="46.5" customHeight="1">
      <c r="A292" s="1115">
        <f>IF('Proposed Lighting'!BZ297&gt;0.01,'Proposed Lighting'!A297,IF('Proposed Lighting'!CA297&gt;0.01,'Proposed Lighting'!A297,0))</f>
        <v>0</v>
      </c>
      <c r="B292" s="1115">
        <f>'Proposed Lighting'!B297</f>
        <v>0</v>
      </c>
      <c r="C292" s="1085">
        <f>IF(A292&gt;0.01,'Proposed Lighting'!T297,0)</f>
        <v>0</v>
      </c>
      <c r="D292" s="1086">
        <f>IF('Proposed Lighting'!$CB$309&gt;0.01,'Proposed Lighting'!EM297,0)</f>
        <v>0</v>
      </c>
      <c r="E292" s="1086">
        <f>IF('Proposed Lighting'!$CB$309&gt;0.01,'Proposed Lighting'!EN297,0)</f>
        <v>0</v>
      </c>
      <c r="F292" s="1086">
        <f>IF('Proposed Lighting'!$CB$309&gt;0.01,'Proposed Lighting'!EO297,0)</f>
        <v>0</v>
      </c>
      <c r="G292" s="1086">
        <f>IF('Proposed Lighting'!$CB$309&gt;0.01,'Proposed Lighting'!EP297,0)</f>
        <v>0</v>
      </c>
      <c r="H292" s="1086">
        <f>IF('Proposed Lighting'!$CB$309&gt;0.01,'Proposed Lighting'!EQ297,0)</f>
        <v>0</v>
      </c>
      <c r="I292" s="1045"/>
    </row>
    <row r="293" spans="1:9" ht="46.5" customHeight="1">
      <c r="A293" s="1115">
        <f>IF('Proposed Lighting'!BZ298&gt;0.01,'Proposed Lighting'!A298,IF('Proposed Lighting'!CA298&gt;0.01,'Proposed Lighting'!A298,0))</f>
        <v>0</v>
      </c>
      <c r="B293" s="1115">
        <f>'Proposed Lighting'!B298</f>
        <v>0</v>
      </c>
      <c r="C293" s="1085">
        <f>IF(A293&gt;0.01,'Proposed Lighting'!T298,0)</f>
        <v>0</v>
      </c>
      <c r="D293" s="1086">
        <f>IF('Proposed Lighting'!$CB$309&gt;0.01,'Proposed Lighting'!EM298,0)</f>
        <v>0</v>
      </c>
      <c r="E293" s="1086">
        <f>IF('Proposed Lighting'!$CB$309&gt;0.01,'Proposed Lighting'!EN298,0)</f>
        <v>0</v>
      </c>
      <c r="F293" s="1086">
        <f>IF('Proposed Lighting'!$CB$309&gt;0.01,'Proposed Lighting'!EO298,0)</f>
        <v>0</v>
      </c>
      <c r="G293" s="1086">
        <f>IF('Proposed Lighting'!$CB$309&gt;0.01,'Proposed Lighting'!EP298,0)</f>
        <v>0</v>
      </c>
      <c r="H293" s="1086">
        <f>IF('Proposed Lighting'!$CB$309&gt;0.01,'Proposed Lighting'!EQ298,0)</f>
        <v>0</v>
      </c>
      <c r="I293" s="1045"/>
    </row>
    <row r="294" spans="1:9" ht="46.5" customHeight="1">
      <c r="A294" s="1115">
        <f>IF('Proposed Lighting'!BZ299&gt;0.01,'Proposed Lighting'!A299,IF('Proposed Lighting'!CA299&gt;0.01,'Proposed Lighting'!A299,0))</f>
        <v>0</v>
      </c>
      <c r="B294" s="1115">
        <f>'Proposed Lighting'!B299</f>
        <v>0</v>
      </c>
      <c r="C294" s="1085">
        <f>IF(A294&gt;0.01,'Proposed Lighting'!T299,0)</f>
        <v>0</v>
      </c>
      <c r="D294" s="1086">
        <f>IF('Proposed Lighting'!$CB$309&gt;0.01,'Proposed Lighting'!EM299,0)</f>
        <v>0</v>
      </c>
      <c r="E294" s="1086">
        <f>IF('Proposed Lighting'!$CB$309&gt;0.01,'Proposed Lighting'!EN299,0)</f>
        <v>0</v>
      </c>
      <c r="F294" s="1086">
        <f>IF('Proposed Lighting'!$CB$309&gt;0.01,'Proposed Lighting'!EO299,0)</f>
        <v>0</v>
      </c>
      <c r="G294" s="1086">
        <f>IF('Proposed Lighting'!$CB$309&gt;0.01,'Proposed Lighting'!EP299,0)</f>
        <v>0</v>
      </c>
      <c r="H294" s="1086">
        <f>IF('Proposed Lighting'!$CB$309&gt;0.01,'Proposed Lighting'!EQ299,0)</f>
        <v>0</v>
      </c>
      <c r="I294" s="1045"/>
    </row>
    <row r="295" spans="1:9" ht="46.5" customHeight="1">
      <c r="A295" s="1115">
        <f>IF('Proposed Lighting'!BZ300&gt;0.01,'Proposed Lighting'!A300,IF('Proposed Lighting'!CA300&gt;0.01,'Proposed Lighting'!A300,0))</f>
        <v>0</v>
      </c>
      <c r="B295" s="1115">
        <f>'Proposed Lighting'!B300</f>
        <v>0</v>
      </c>
      <c r="C295" s="1085">
        <f>IF(A295&gt;0.01,'Proposed Lighting'!T300,0)</f>
        <v>0</v>
      </c>
      <c r="D295" s="1086">
        <f>IF('Proposed Lighting'!$CB$309&gt;0.01,'Proposed Lighting'!EM300,0)</f>
        <v>0</v>
      </c>
      <c r="E295" s="1086">
        <f>IF('Proposed Lighting'!$CB$309&gt;0.01,'Proposed Lighting'!EN300,0)</f>
        <v>0</v>
      </c>
      <c r="F295" s="1086">
        <f>IF('Proposed Lighting'!$CB$309&gt;0.01,'Proposed Lighting'!EO300,0)</f>
        <v>0</v>
      </c>
      <c r="G295" s="1086">
        <f>IF('Proposed Lighting'!$CB$309&gt;0.01,'Proposed Lighting'!EP300,0)</f>
        <v>0</v>
      </c>
      <c r="H295" s="1086">
        <f>IF('Proposed Lighting'!$CB$309&gt;0.01,'Proposed Lighting'!EQ300,0)</f>
        <v>0</v>
      </c>
      <c r="I295" s="1045"/>
    </row>
    <row r="296" spans="1:9" ht="46.5" customHeight="1">
      <c r="A296" s="1115">
        <f>IF('Proposed Lighting'!BZ301&gt;0.01,'Proposed Lighting'!A301,IF('Proposed Lighting'!CA301&gt;0.01,'Proposed Lighting'!A301,0))</f>
        <v>0</v>
      </c>
      <c r="B296" s="1115">
        <f>'Proposed Lighting'!B301</f>
        <v>0</v>
      </c>
      <c r="C296" s="1085">
        <f>IF(A296&gt;0.01,'Proposed Lighting'!T301,0)</f>
        <v>0</v>
      </c>
      <c r="D296" s="1086">
        <f>IF('Proposed Lighting'!$CB$309&gt;0.01,'Proposed Lighting'!EM301,0)</f>
        <v>0</v>
      </c>
      <c r="E296" s="1086">
        <f>IF('Proposed Lighting'!$CB$309&gt;0.01,'Proposed Lighting'!EN301,0)</f>
        <v>0</v>
      </c>
      <c r="F296" s="1086">
        <f>IF('Proposed Lighting'!$CB$309&gt;0.01,'Proposed Lighting'!EO301,0)</f>
        <v>0</v>
      </c>
      <c r="G296" s="1086">
        <f>IF('Proposed Lighting'!$CB$309&gt;0.01,'Proposed Lighting'!EP301,0)</f>
        <v>0</v>
      </c>
      <c r="H296" s="1086">
        <f>IF('Proposed Lighting'!$CB$309&gt;0.01,'Proposed Lighting'!EQ301,0)</f>
        <v>0</v>
      </c>
      <c r="I296" s="1045"/>
    </row>
    <row r="297" spans="1:9" ht="46.5" customHeight="1">
      <c r="A297" s="1115">
        <f>IF('Proposed Lighting'!BZ302&gt;0.01,'Proposed Lighting'!A302,IF('Proposed Lighting'!CA302&gt;0.01,'Proposed Lighting'!A302,0))</f>
        <v>0</v>
      </c>
      <c r="B297" s="1115">
        <f>'Proposed Lighting'!B302</f>
        <v>0</v>
      </c>
      <c r="C297" s="1085">
        <f>IF(A297&gt;0.01,'Proposed Lighting'!T302,0)</f>
        <v>0</v>
      </c>
      <c r="D297" s="1086">
        <f>IF('Proposed Lighting'!$CB$309&gt;0.01,'Proposed Lighting'!EM302,0)</f>
        <v>0</v>
      </c>
      <c r="E297" s="1086">
        <f>IF('Proposed Lighting'!$CB$309&gt;0.01,'Proposed Lighting'!EN302,0)</f>
        <v>0</v>
      </c>
      <c r="F297" s="1086">
        <f>IF('Proposed Lighting'!$CB$309&gt;0.01,'Proposed Lighting'!EO302,0)</f>
        <v>0</v>
      </c>
      <c r="G297" s="1086">
        <f>IF('Proposed Lighting'!$CB$309&gt;0.01,'Proposed Lighting'!EP302,0)</f>
        <v>0</v>
      </c>
      <c r="H297" s="1086">
        <f>IF('Proposed Lighting'!$CB$309&gt;0.01,'Proposed Lighting'!EQ302,0)</f>
        <v>0</v>
      </c>
      <c r="I297" s="1045"/>
    </row>
    <row r="298" spans="1:9" ht="46.5" customHeight="1">
      <c r="A298" s="1115">
        <f>IF('Proposed Lighting'!BZ303&gt;0.01,'Proposed Lighting'!A303,IF('Proposed Lighting'!CA303&gt;0.01,'Proposed Lighting'!A303,0))</f>
        <v>0</v>
      </c>
      <c r="B298" s="1115">
        <f>'Proposed Lighting'!B303</f>
        <v>0</v>
      </c>
      <c r="C298" s="1085">
        <f>IF(A298&gt;0.01,'Proposed Lighting'!T303,0)</f>
        <v>0</v>
      </c>
      <c r="D298" s="1086">
        <f>IF('Proposed Lighting'!$CB$309&gt;0.01,'Proposed Lighting'!EM303,0)</f>
        <v>0</v>
      </c>
      <c r="E298" s="1086">
        <f>IF('Proposed Lighting'!$CB$309&gt;0.01,'Proposed Lighting'!EN303,0)</f>
        <v>0</v>
      </c>
      <c r="F298" s="1086">
        <f>IF('Proposed Lighting'!$CB$309&gt;0.01,'Proposed Lighting'!EO303,0)</f>
        <v>0</v>
      </c>
      <c r="G298" s="1086">
        <f>IF('Proposed Lighting'!$CB$309&gt;0.01,'Proposed Lighting'!EP303,0)</f>
        <v>0</v>
      </c>
      <c r="H298" s="1086">
        <f>IF('Proposed Lighting'!$CB$309&gt;0.01,'Proposed Lighting'!EQ303,0)</f>
        <v>0</v>
      </c>
      <c r="I298" s="1045"/>
    </row>
    <row r="299" spans="1:9" ht="46.5" customHeight="1">
      <c r="A299" s="1115">
        <f>IF('Proposed Lighting'!BZ304&gt;0.01,'Proposed Lighting'!A304,IF('Proposed Lighting'!CA304&gt;0.01,'Proposed Lighting'!A304,0))</f>
        <v>0</v>
      </c>
      <c r="B299" s="1115">
        <f>'Proposed Lighting'!B304</f>
        <v>0</v>
      </c>
      <c r="C299" s="1085">
        <f>IF(A299&gt;0.01,'Proposed Lighting'!T304,0)</f>
        <v>0</v>
      </c>
      <c r="D299" s="1086">
        <f>IF('Proposed Lighting'!$CB$309&gt;0.01,'Proposed Lighting'!EM304,0)</f>
        <v>0</v>
      </c>
      <c r="E299" s="1086">
        <f>IF('Proposed Lighting'!$CB$309&gt;0.01,'Proposed Lighting'!EN304,0)</f>
        <v>0</v>
      </c>
      <c r="F299" s="1086">
        <f>IF('Proposed Lighting'!$CB$309&gt;0.01,'Proposed Lighting'!EO304,0)</f>
        <v>0</v>
      </c>
      <c r="G299" s="1086">
        <f>IF('Proposed Lighting'!$CB$309&gt;0.01,'Proposed Lighting'!EP304,0)</f>
        <v>0</v>
      </c>
      <c r="H299" s="1086">
        <f>IF('Proposed Lighting'!$CB$309&gt;0.01,'Proposed Lighting'!EQ304,0)</f>
        <v>0</v>
      </c>
      <c r="I299" s="1045"/>
    </row>
    <row r="300" spans="1:9" ht="46.5" customHeight="1">
      <c r="A300" s="1115">
        <f>IF('Proposed Lighting'!BZ305&gt;0.01,'Proposed Lighting'!A305,IF('Proposed Lighting'!CA305&gt;0.01,'Proposed Lighting'!A305,0))</f>
        <v>0</v>
      </c>
      <c r="B300" s="1115">
        <f>'Proposed Lighting'!B305</f>
        <v>0</v>
      </c>
      <c r="C300" s="1085">
        <f>IF(A300&gt;0.01,'Proposed Lighting'!T305,0)</f>
        <v>0</v>
      </c>
      <c r="D300" s="1086">
        <f>IF('Proposed Lighting'!$CB$309&gt;0.01,'Proposed Lighting'!EM305,0)</f>
        <v>0</v>
      </c>
      <c r="E300" s="1086">
        <f>IF('Proposed Lighting'!$CB$309&gt;0.01,'Proposed Lighting'!EN305,0)</f>
        <v>0</v>
      </c>
      <c r="F300" s="1086">
        <f>IF('Proposed Lighting'!$CB$309&gt;0.01,'Proposed Lighting'!EO305,0)</f>
        <v>0</v>
      </c>
      <c r="G300" s="1086">
        <f>IF('Proposed Lighting'!$CB$309&gt;0.01,'Proposed Lighting'!EP305,0)</f>
        <v>0</v>
      </c>
      <c r="H300" s="1086">
        <f>IF('Proposed Lighting'!$CB$309&gt;0.01,'Proposed Lighting'!EQ305,0)</f>
        <v>0</v>
      </c>
      <c r="I300" s="1045"/>
    </row>
    <row r="301" spans="1:9" ht="46.5" customHeight="1">
      <c r="A301" s="1115">
        <f>IF('Proposed Lighting'!BZ306&gt;0.01,'Proposed Lighting'!A306,IF('Proposed Lighting'!CA306&gt;0.01,'Proposed Lighting'!A306,0))</f>
        <v>0</v>
      </c>
      <c r="B301" s="1115">
        <f>'Proposed Lighting'!B306</f>
        <v>0</v>
      </c>
      <c r="C301" s="1085">
        <f>IF(A301&gt;0.01,'Proposed Lighting'!T306,0)</f>
        <v>0</v>
      </c>
      <c r="D301" s="1086">
        <f>IF('Proposed Lighting'!$CB$309&gt;0.01,'Proposed Lighting'!EM306,0)</f>
        <v>0</v>
      </c>
      <c r="E301" s="1086">
        <f>IF('Proposed Lighting'!$CB$309&gt;0.01,'Proposed Lighting'!EN306,0)</f>
        <v>0</v>
      </c>
      <c r="F301" s="1086">
        <f>IF('Proposed Lighting'!$CB$309&gt;0.01,'Proposed Lighting'!EO306,0)</f>
        <v>0</v>
      </c>
      <c r="G301" s="1086">
        <f>IF('Proposed Lighting'!$CB$309&gt;0.01,'Proposed Lighting'!EP306,0)</f>
        <v>0</v>
      </c>
      <c r="H301" s="1086">
        <f>IF('Proposed Lighting'!$CB$309&gt;0.01,'Proposed Lighting'!EQ306,0)</f>
        <v>0</v>
      </c>
      <c r="I301" s="1045"/>
    </row>
    <row r="302" spans="1:9" ht="46.5" customHeight="1">
      <c r="A302" s="1115">
        <f>IF('Proposed Lighting'!BZ307&gt;0.01,'Proposed Lighting'!A307,IF('Proposed Lighting'!CA307&gt;0.01,'Proposed Lighting'!A307,0))</f>
        <v>0</v>
      </c>
      <c r="B302" s="1115">
        <f>'Proposed Lighting'!B307</f>
        <v>0</v>
      </c>
      <c r="C302" s="1085">
        <f>IF(A302&gt;0.01,'Proposed Lighting'!T307,0)</f>
        <v>0</v>
      </c>
      <c r="D302" s="1086">
        <f>IF('Proposed Lighting'!$CB$309&gt;0.01,'Proposed Lighting'!EM307,0)</f>
        <v>0</v>
      </c>
      <c r="E302" s="1086">
        <f>IF('Proposed Lighting'!$CB$309&gt;0.01,'Proposed Lighting'!EN307,0)</f>
        <v>0</v>
      </c>
      <c r="F302" s="1086">
        <f>IF('Proposed Lighting'!$CB$309&gt;0.01,'Proposed Lighting'!EO307,0)</f>
        <v>0</v>
      </c>
      <c r="G302" s="1086">
        <f>IF('Proposed Lighting'!$CB$309&gt;0.01,'Proposed Lighting'!EP307,0)</f>
        <v>0</v>
      </c>
      <c r="H302" s="1086">
        <f>IF('Proposed Lighting'!$CB$309&gt;0.01,'Proposed Lighting'!EQ307,0)</f>
        <v>0</v>
      </c>
      <c r="I302" s="1045"/>
    </row>
    <row r="303" spans="1:9" ht="46.5" customHeight="1">
      <c r="A303" s="1115">
        <f>IF('Proposed Lighting'!BZ308&gt;0.01,'Proposed Lighting'!A308,IF('Proposed Lighting'!CA308&gt;0.01,'Proposed Lighting'!A308,0))</f>
        <v>0</v>
      </c>
      <c r="B303" s="1115">
        <f>'Proposed Lighting'!B308</f>
        <v>0</v>
      </c>
      <c r="C303" s="1085">
        <f>IF(A303&gt;0.01,'Proposed Lighting'!T308,0)</f>
        <v>0</v>
      </c>
      <c r="D303" s="1086">
        <f>IF('Proposed Lighting'!$CB$309&gt;0.01,'Proposed Lighting'!EM308,0)</f>
        <v>0</v>
      </c>
      <c r="E303" s="1086">
        <f>IF('Proposed Lighting'!$CB$309&gt;0.01,'Proposed Lighting'!EN308,0)</f>
        <v>0</v>
      </c>
      <c r="F303" s="1086">
        <f>IF('Proposed Lighting'!$CB$309&gt;0.01,'Proposed Lighting'!EO308,0)</f>
        <v>0</v>
      </c>
      <c r="G303" s="1086">
        <f>IF('Proposed Lighting'!$CB$309&gt;0.01,'Proposed Lighting'!EP308,0)</f>
        <v>0</v>
      </c>
      <c r="H303" s="1086">
        <f>IF('Proposed Lighting'!$CB$309&gt;0.01,'Proposed Lighting'!EQ308,0)</f>
        <v>0</v>
      </c>
      <c r="I303" s="1045"/>
    </row>
    <row r="304" spans="1:9" ht="15.75">
      <c r="A304" s="1116" t="str">
        <f>Welcome!A78</f>
        <v>9/5/2023 .</v>
      </c>
      <c r="B304" s="1107"/>
      <c r="C304" s="1108"/>
      <c r="D304" s="1029"/>
      <c r="E304" s="1029"/>
      <c r="F304" s="1029"/>
      <c r="G304" s="1029"/>
      <c r="H304" s="1029"/>
      <c r="I304" s="72"/>
    </row>
    <row r="305" spans="1:9" ht="15.75">
      <c r="A305" s="1028"/>
      <c r="B305" s="1028"/>
      <c r="C305" s="1029"/>
      <c r="D305" s="1029"/>
      <c r="E305" s="1029"/>
      <c r="F305" s="1029"/>
      <c r="G305" s="1029"/>
      <c r="H305" s="1029"/>
      <c r="I305" s="72"/>
    </row>
    <row r="306" spans="1:9" ht="15.75">
      <c r="A306" s="1028"/>
      <c r="B306" s="1028"/>
      <c r="C306" s="1029"/>
      <c r="D306" s="1029"/>
      <c r="E306" s="1029"/>
      <c r="F306" s="1029"/>
      <c r="G306" s="1029"/>
      <c r="H306" s="1029"/>
      <c r="I306" s="72"/>
    </row>
    <row r="307" spans="1:9" ht="15.75">
      <c r="A307" s="1028"/>
      <c r="B307" s="1028"/>
      <c r="C307" s="1029"/>
      <c r="D307" s="1029"/>
      <c r="E307" s="1029"/>
      <c r="F307" s="1029"/>
      <c r="G307" s="1029"/>
      <c r="H307" s="1029"/>
      <c r="I307" s="72"/>
    </row>
    <row r="308" spans="1:9" ht="15.75">
      <c r="A308" s="1028"/>
      <c r="B308" s="1028"/>
      <c r="C308" s="1029"/>
      <c r="D308" s="1029"/>
      <c r="E308" s="1029"/>
      <c r="F308" s="1029"/>
      <c r="G308" s="1029"/>
      <c r="H308" s="1029"/>
      <c r="I308" s="72"/>
    </row>
    <row r="309" spans="1:9" ht="15.75">
      <c r="A309" s="1028"/>
      <c r="B309" s="1028"/>
      <c r="C309" s="1029"/>
      <c r="D309" s="1029"/>
      <c r="E309" s="1029"/>
      <c r="F309" s="1029"/>
      <c r="G309" s="1029"/>
      <c r="H309" s="1029"/>
      <c r="I309" s="72"/>
    </row>
    <row r="310" spans="1:9" ht="15.75">
      <c r="A310" s="1028"/>
      <c r="B310" s="1028"/>
      <c r="C310" s="1029"/>
      <c r="D310" s="1029"/>
      <c r="E310" s="1029"/>
      <c r="F310" s="1029"/>
      <c r="G310" s="1029"/>
      <c r="H310" s="1029"/>
      <c r="I310" s="72"/>
    </row>
    <row r="311" spans="1:9" ht="15.75" customHeight="1">
      <c r="A311" s="1028"/>
      <c r="B311" s="1028"/>
      <c r="C311" s="1029"/>
      <c r="D311" s="1029"/>
      <c r="E311" s="1029"/>
      <c r="F311" s="1029"/>
      <c r="G311" s="1029"/>
      <c r="H311" s="1029"/>
      <c r="I311" s="72"/>
    </row>
    <row r="312" spans="1:9" ht="15.75" customHeight="1">
      <c r="A312" s="1028"/>
      <c r="B312" s="1028"/>
      <c r="C312" s="1029"/>
      <c r="D312" s="1029"/>
      <c r="E312" s="1029"/>
      <c r="F312" s="1029"/>
      <c r="G312" s="1029"/>
      <c r="H312" s="1029"/>
      <c r="I312" s="72"/>
    </row>
    <row r="313" spans="1:9" ht="15.75" customHeight="1">
      <c r="A313" s="1028"/>
      <c r="B313" s="1028"/>
      <c r="C313" s="1029"/>
      <c r="D313" s="1029"/>
      <c r="E313" s="1029"/>
      <c r="F313" s="1029"/>
      <c r="G313" s="1029"/>
      <c r="H313" s="1029"/>
      <c r="I313" s="72"/>
    </row>
    <row r="314" spans="1:9" ht="15.75" customHeight="1">
      <c r="A314" s="1028"/>
      <c r="B314" s="1028"/>
      <c r="C314" s="1029"/>
      <c r="D314" s="1029"/>
      <c r="E314" s="1029"/>
      <c r="F314" s="1029"/>
      <c r="G314" s="1029"/>
      <c r="H314" s="1029"/>
      <c r="I314" s="72"/>
    </row>
  </sheetData>
  <sheetProtection algorithmName="SHA-512" hashValue="fOi7Q8umi6u1IVMzvXlwVDmWj2McBUm4ixcjY8uXNbeY79FPtNPmRmNyqD9Aps8R1bHX9y0oF7ZaQm5FpeD1oA==" saltValue="O8KQHanuwsmlTGCyUJITIg==" spinCount="100000" sheet="1" formatRows="0"/>
  <mergeCells count="2">
    <mergeCell ref="D2:E2"/>
    <mergeCell ref="F2:H2"/>
  </mergeCells>
  <dataValidations count="1">
    <dataValidation allowBlank="1" showErrorMessage="1" sqref="A3:I3" xr:uid="{77D91DD8-B9F5-43C9-A674-D0A9737CEF72}"/>
  </dataValidations>
  <pageMargins left="0.25" right="0.25" top="0.75" bottom="0.75" header="0.3" footer="0.3"/>
  <pageSetup scale="73" fitToHeight="0" orientation="landscape" horizontalDpi="4294967293" verticalDpi="4294967293" r:id="rId1"/>
  <headerFooter>
    <oddFooter>&amp;C&amp;P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rgb="FF009999"/>
    <pageSetUpPr fitToPage="1"/>
  </sheetPr>
  <dimension ref="A1:AW618"/>
  <sheetViews>
    <sheetView showGridLines="0" zoomScale="60" zoomScaleNormal="60" workbookViewId="0">
      <pane xSplit="6" ySplit="11" topLeftCell="G12" activePane="bottomRight" state="frozen"/>
      <selection pane="topRight" activeCell="G1" sqref="G1"/>
      <selection pane="bottomLeft" activeCell="A12" sqref="A12"/>
      <selection pane="bottomRight" activeCell="R597" sqref="R597"/>
    </sheetView>
  </sheetViews>
  <sheetFormatPr defaultColWidth="11.42578125" defaultRowHeight="15" outlineLevelRow="1" outlineLevelCol="1"/>
  <cols>
    <col min="1" max="3" width="11.42578125" customWidth="1"/>
    <col min="4" max="4" width="29.5703125" customWidth="1"/>
    <col min="5" max="5" width="28" customWidth="1"/>
    <col min="6" max="6" width="39.28515625" customWidth="1"/>
    <col min="7" max="16" width="11.42578125" customWidth="1"/>
    <col min="17" max="17" width="19.7109375" customWidth="1"/>
    <col min="18" max="18" width="21.7109375" customWidth="1"/>
    <col min="19" max="20" width="15.7109375" customWidth="1"/>
    <col min="21" max="21" width="11.42578125" customWidth="1" outlineLevel="1"/>
    <col min="22" max="22" width="16.140625" customWidth="1"/>
    <col min="23" max="23" width="15.7109375" customWidth="1"/>
    <col min="24" max="24" width="26.42578125" customWidth="1"/>
    <col min="25" max="25" width="24.28515625" customWidth="1"/>
    <col min="26" max="26" width="29.28515625" bestFit="1" customWidth="1"/>
    <col min="27" max="28" width="24.28515625" customWidth="1"/>
    <col min="29" max="32" width="11.42578125" customWidth="1"/>
    <col min="33" max="33" width="14.28515625" bestFit="1" customWidth="1"/>
    <col min="34" max="34" width="13.7109375" bestFit="1" customWidth="1"/>
    <col min="35" max="35" width="14.28515625" bestFit="1" customWidth="1"/>
    <col min="36" max="36" width="13.5703125" bestFit="1" customWidth="1"/>
    <col min="37" max="37" width="9.5703125" hidden="1" customWidth="1" outlineLevel="1"/>
    <col min="38" max="38" width="14.28515625" bestFit="1" customWidth="1" collapsed="1"/>
    <col min="39" max="39" width="14.28515625" customWidth="1"/>
    <col min="40" max="40" width="14.28515625" bestFit="1" customWidth="1"/>
    <col min="41" max="42" width="14.28515625" customWidth="1"/>
    <col min="46" max="46" width="13" customWidth="1"/>
    <col min="49" max="49" width="31" customWidth="1"/>
  </cols>
  <sheetData>
    <row r="1" spans="1:49" ht="15.75" outlineLevel="1" thickBot="1">
      <c r="A1" s="262" t="s">
        <v>765</v>
      </c>
      <c r="B1" s="258"/>
      <c r="C1" s="259"/>
      <c r="G1" s="451"/>
    </row>
    <row r="2" spans="1:49" outlineLevel="1">
      <c r="A2" s="263" t="s">
        <v>225</v>
      </c>
      <c r="C2" s="264">
        <f>'Alternative Costs'!C3</f>
        <v>7.1199999999999999E-2</v>
      </c>
      <c r="F2" s="451" t="s">
        <v>495</v>
      </c>
      <c r="G2" s="451" t="s">
        <v>1217</v>
      </c>
      <c r="T2" s="262"/>
      <c r="U2" s="258"/>
      <c r="V2" s="258"/>
      <c r="W2" s="258"/>
      <c r="X2" s="258"/>
      <c r="Y2" s="259"/>
    </row>
    <row r="3" spans="1:49" outlineLevel="1">
      <c r="A3" s="263" t="s">
        <v>226</v>
      </c>
      <c r="C3" s="264">
        <f>'Alternative Costs'!C4</f>
        <v>2.3E-2</v>
      </c>
      <c r="F3" s="451" t="s">
        <v>1216</v>
      </c>
      <c r="G3" s="451" t="s">
        <v>1218</v>
      </c>
      <c r="T3" s="263"/>
      <c r="X3" s="742" t="s">
        <v>1384</v>
      </c>
      <c r="Y3" s="800" t="str">
        <f>IF($Y$4="Yes","No","Yes")</f>
        <v>Yes</v>
      </c>
    </row>
    <row r="4" spans="1:49" ht="15.75" outlineLevel="1">
      <c r="A4" s="263" t="s">
        <v>227</v>
      </c>
      <c r="C4" s="264">
        <f>'Alternative Costs'!C6</f>
        <v>9.7000000000000003E-2</v>
      </c>
      <c r="F4" s="371"/>
      <c r="R4" t="s">
        <v>0</v>
      </c>
      <c r="T4" s="263"/>
      <c r="X4" s="742" t="s">
        <v>1385</v>
      </c>
      <c r="Y4" s="797" t="s">
        <v>1216</v>
      </c>
    </row>
    <row r="5" spans="1:49" ht="15.75" outlineLevel="1">
      <c r="A5" s="263" t="s">
        <v>228</v>
      </c>
      <c r="C5" s="264">
        <f>'Alternative Costs'!C5</f>
        <v>9.6000000000000002E-2</v>
      </c>
      <c r="F5" s="371"/>
      <c r="T5" s="263"/>
      <c r="X5" s="742" t="str">
        <f>IF(Y4="Yes","If customer has provided NEBs, is at the line or project level?","")</f>
        <v/>
      </c>
      <c r="Y5" s="797"/>
      <c r="Z5" s="231" t="str">
        <f>IF($Y$5="","",IF($Y$4="YES","",IF(AND($Y$4="NO",$Y$5=""),"","ERROR! X5 MUST BE BLANK")))</f>
        <v/>
      </c>
      <c r="AA5" s="231" t="str">
        <f>IF(AND($Y$4="YES",$Y$5="line"),"Enter customer provided ANNUAL NEBs by line in column Z. Note, by entering Line, you have overriden the default 3% NEB","")</f>
        <v/>
      </c>
    </row>
    <row r="6" spans="1:49" ht="15.75" outlineLevel="1" thickBot="1">
      <c r="A6" s="263" t="s">
        <v>425</v>
      </c>
      <c r="C6" s="264">
        <f>'Alternative Costs'!C7</f>
        <v>4.7116324535679377E-2</v>
      </c>
      <c r="T6" s="265"/>
      <c r="U6" s="260"/>
      <c r="V6" s="260"/>
      <c r="W6" s="260"/>
      <c r="X6" s="798" t="str">
        <f>IF(Y5="project","Enter the project level ANNUAL NEBs","")</f>
        <v/>
      </c>
      <c r="Y6" s="799"/>
      <c r="Z6" s="231" t="str">
        <f>IF(Y6="","",IF(AND($Y$4="YES",$Y$5="project"),"",IF(AND($Y$4="NO",$Y$6=""),"","ERROR! X6 MUST BE BLANK")))</f>
        <v/>
      </c>
    </row>
    <row r="7" spans="1:49" ht="18.75" customHeight="1" outlineLevel="1" thickBot="1">
      <c r="A7" s="265" t="s">
        <v>1651</v>
      </c>
      <c r="B7" s="260"/>
      <c r="C7" s="261">
        <f>'Data Entry'!A76</f>
        <v>5.8257999999999997E-2</v>
      </c>
      <c r="D7" s="84"/>
      <c r="E7" s="84"/>
      <c r="F7" s="1717" t="s">
        <v>0</v>
      </c>
      <c r="G7" s="1717"/>
      <c r="H7" s="1717"/>
      <c r="I7" s="1717"/>
      <c r="J7" s="1717"/>
      <c r="K7" s="1717"/>
      <c r="L7" s="1717"/>
      <c r="M7" s="1717"/>
      <c r="N7" s="93"/>
      <c r="O7" s="93"/>
      <c r="P7" s="93"/>
      <c r="Q7" s="1391"/>
      <c r="R7" s="1389"/>
      <c r="S7" s="1390"/>
      <c r="T7" s="94"/>
      <c r="U7" s="95"/>
      <c r="V7" s="92"/>
      <c r="W7" s="92"/>
      <c r="X7" s="94" t="s">
        <v>0</v>
      </c>
      <c r="Y7" s="94"/>
      <c r="Z7" s="94"/>
      <c r="AA7" s="94"/>
      <c r="AB7" s="94"/>
      <c r="AC7" s="94"/>
      <c r="AD7" s="93"/>
      <c r="AE7" s="93"/>
      <c r="AF7" s="84"/>
    </row>
    <row r="8" spans="1:49" ht="15.75" outlineLevel="1">
      <c r="A8" s="83"/>
      <c r="B8" s="84"/>
      <c r="C8" s="84"/>
      <c r="D8" s="84"/>
      <c r="E8" s="84"/>
      <c r="F8" s="84"/>
      <c r="G8" s="92"/>
      <c r="H8" s="84"/>
      <c r="I8" s="84"/>
      <c r="J8" s="84"/>
      <c r="K8" s="84"/>
      <c r="L8" s="84"/>
      <c r="M8" s="84"/>
      <c r="N8" s="93"/>
      <c r="O8" s="93"/>
      <c r="P8" s="93"/>
      <c r="Q8" s="1392"/>
      <c r="R8" s="1389"/>
      <c r="S8" s="1390"/>
      <c r="T8" s="94"/>
      <c r="U8" s="95"/>
      <c r="V8" s="92"/>
      <c r="W8" s="92"/>
      <c r="X8" s="94"/>
      <c r="Y8" s="94"/>
      <c r="Z8" s="94"/>
      <c r="AA8" s="94"/>
      <c r="AB8" s="94"/>
      <c r="AC8" s="94"/>
      <c r="AD8" s="93"/>
      <c r="AE8" s="93"/>
      <c r="AF8" s="84"/>
    </row>
    <row r="9" spans="1:49" ht="16.5" customHeight="1" outlineLevel="1">
      <c r="A9" s="84"/>
      <c r="B9" s="84"/>
      <c r="C9" s="84"/>
      <c r="D9" s="84"/>
      <c r="E9" s="84"/>
      <c r="F9" s="84"/>
      <c r="G9" s="92"/>
      <c r="H9" s="84"/>
      <c r="I9" s="84"/>
      <c r="J9" s="84"/>
      <c r="K9" s="84"/>
      <c r="L9" s="84"/>
      <c r="M9" s="84"/>
      <c r="N9" s="93"/>
      <c r="O9" s="93"/>
      <c r="P9" s="93"/>
      <c r="Q9" s="93"/>
      <c r="R9" s="92"/>
      <c r="S9" s="94"/>
      <c r="T9" s="94"/>
      <c r="U9" s="95"/>
      <c r="V9" s="92"/>
      <c r="W9" s="92"/>
      <c r="X9" s="94"/>
      <c r="Y9" s="94"/>
      <c r="Z9" s="94"/>
      <c r="AA9" s="94"/>
      <c r="AB9" s="94"/>
      <c r="AC9" s="94"/>
      <c r="AD9" s="93"/>
      <c r="AE9" s="93"/>
      <c r="AF9" s="84"/>
    </row>
    <row r="10" spans="1:49" ht="16.5" customHeight="1">
      <c r="A10" s="132"/>
      <c r="B10" s="132"/>
      <c r="C10" s="2159"/>
      <c r="D10" s="2159"/>
      <c r="E10" s="2159"/>
      <c r="F10" s="2159"/>
      <c r="G10" s="2159"/>
      <c r="H10" s="2159"/>
      <c r="I10" s="2159"/>
      <c r="J10" s="720"/>
      <c r="K10" s="2159" t="s">
        <v>229</v>
      </c>
      <c r="L10" s="2159"/>
      <c r="M10" s="2159"/>
      <c r="N10" s="2159"/>
      <c r="O10" s="2159"/>
      <c r="P10" s="2159"/>
      <c r="Q10" s="2159"/>
      <c r="R10" s="2159" t="s">
        <v>230</v>
      </c>
      <c r="S10" s="2160"/>
      <c r="T10" s="2160"/>
      <c r="U10" s="2160"/>
      <c r="V10" s="2159" t="s">
        <v>231</v>
      </c>
      <c r="W10" s="2159"/>
      <c r="X10" s="2159"/>
      <c r="Y10" s="720"/>
      <c r="Z10" s="720"/>
      <c r="AA10" s="720"/>
      <c r="AB10" s="720"/>
      <c r="AC10" s="2159" t="s">
        <v>232</v>
      </c>
      <c r="AD10" s="2160"/>
      <c r="AE10" s="2160"/>
      <c r="AF10" s="84"/>
      <c r="AG10" s="2158" t="s">
        <v>1426</v>
      </c>
      <c r="AH10" s="2158"/>
      <c r="AI10" s="2158"/>
      <c r="AJ10" s="2158"/>
      <c r="AK10" s="2158"/>
      <c r="AL10" s="2158"/>
      <c r="AM10" s="2158"/>
      <c r="AN10" s="2158"/>
      <c r="AO10" s="2158"/>
      <c r="AP10" s="2158"/>
      <c r="AQ10" s="2158"/>
      <c r="AR10" s="2158"/>
      <c r="AS10" s="2158"/>
      <c r="AT10" s="2158"/>
    </row>
    <row r="11" spans="1:49" ht="77.25" customHeight="1">
      <c r="A11" s="86" t="s">
        <v>205</v>
      </c>
      <c r="B11" s="133" t="s">
        <v>206</v>
      </c>
      <c r="C11" s="1385" t="s">
        <v>1683</v>
      </c>
      <c r="D11" s="1385" t="s">
        <v>1982</v>
      </c>
      <c r="E11" s="133" t="s">
        <v>207</v>
      </c>
      <c r="F11" s="133" t="s">
        <v>208</v>
      </c>
      <c r="G11" s="134" t="s">
        <v>209</v>
      </c>
      <c r="H11" s="133" t="s">
        <v>210</v>
      </c>
      <c r="I11" s="135" t="s">
        <v>211</v>
      </c>
      <c r="J11" s="135" t="s">
        <v>1153</v>
      </c>
      <c r="K11" s="136" t="s">
        <v>212</v>
      </c>
      <c r="L11" s="136" t="s">
        <v>213</v>
      </c>
      <c r="M11" s="137" t="s">
        <v>214</v>
      </c>
      <c r="N11" s="138" t="s">
        <v>215</v>
      </c>
      <c r="O11" s="138" t="s">
        <v>216</v>
      </c>
      <c r="P11" s="138" t="s">
        <v>217</v>
      </c>
      <c r="Q11" s="135" t="s">
        <v>218</v>
      </c>
      <c r="R11" s="134" t="s">
        <v>219</v>
      </c>
      <c r="S11" s="134" t="s">
        <v>771</v>
      </c>
      <c r="T11" s="134" t="s">
        <v>772</v>
      </c>
      <c r="U11" s="139" t="s">
        <v>220</v>
      </c>
      <c r="V11" s="134" t="s">
        <v>221</v>
      </c>
      <c r="W11" s="140" t="s">
        <v>1263</v>
      </c>
      <c r="X11" s="140" t="s">
        <v>766</v>
      </c>
      <c r="Y11" s="140" t="s">
        <v>1149</v>
      </c>
      <c r="Z11" s="140" t="s">
        <v>1386</v>
      </c>
      <c r="AA11" s="140" t="s">
        <v>1150</v>
      </c>
      <c r="AB11" s="140" t="s">
        <v>1151</v>
      </c>
      <c r="AC11" s="141" t="s">
        <v>296</v>
      </c>
      <c r="AD11" s="137" t="s">
        <v>222</v>
      </c>
      <c r="AE11" s="137" t="s">
        <v>223</v>
      </c>
      <c r="AF11" s="72"/>
      <c r="AG11" s="135" t="s">
        <v>218</v>
      </c>
      <c r="AH11" s="134" t="s">
        <v>219</v>
      </c>
      <c r="AI11" s="134" t="s">
        <v>771</v>
      </c>
      <c r="AJ11" s="134" t="s">
        <v>772</v>
      </c>
      <c r="AK11" s="139" t="s">
        <v>220</v>
      </c>
      <c r="AL11" s="134" t="s">
        <v>221</v>
      </c>
      <c r="AM11" s="140" t="s">
        <v>1263</v>
      </c>
      <c r="AN11" s="140" t="s">
        <v>766</v>
      </c>
      <c r="AO11" s="140" t="s">
        <v>1152</v>
      </c>
      <c r="AP11" s="140" t="s">
        <v>1151</v>
      </c>
      <c r="AQ11" s="141" t="s">
        <v>296</v>
      </c>
      <c r="AR11" s="137" t="s">
        <v>222</v>
      </c>
      <c r="AS11" s="137" t="s">
        <v>223</v>
      </c>
      <c r="AT11" s="86" t="s">
        <v>205</v>
      </c>
      <c r="AV11" s="815" t="s">
        <v>1237</v>
      </c>
      <c r="AW11" s="815" t="s">
        <v>1264</v>
      </c>
    </row>
    <row r="12" spans="1:49" ht="35.1" customHeight="1">
      <c r="A12" s="96" t="s">
        <v>243</v>
      </c>
      <c r="B12" s="96" t="str">
        <f>IF(ISNUMBER(SEARCH("case",E12)),"COM_MISC_REFR_ALL_UNKN1991",IF('Proposed Lighting'!AU9=3,"Commercial-All Com-ExtLight",IF('Proposed Lighting'!AH9&gt;8759,"IPC_8760","Commercial-All Com-IntLight")))</f>
        <v>IPC_8760</v>
      </c>
      <c r="C12" s="96" t="str">
        <f>IF(OR('Proposed Lighting'!DD9="Standard Incentive",'Proposed Lighting'!DD9="Non-Standard Incentive"),"Yes",IF(AND(IF(ISNUMBER(SEARCH("controls",'Proposed Lighting'!T9)),"True","False")="False",'Proposed Lighting'!DD9="Submit Control as Non-Standard"),"Yes","No"))</f>
        <v>No</v>
      </c>
      <c r="D12" s="1403">
        <f>'Proposed Lighting'!CV9-Q12</f>
        <v>0</v>
      </c>
      <c r="E12" s="143">
        <f>'Proposed Lighting'!T9</f>
        <v>0</v>
      </c>
      <c r="F12" s="143">
        <f>'Proposed Lighting'!F9</f>
        <v>0</v>
      </c>
      <c r="G12" s="96" t="s">
        <v>242</v>
      </c>
      <c r="H12" s="142" t="str">
        <f>'Proposed Lighting'!CP9</f>
        <v/>
      </c>
      <c r="I12" s="98">
        <v>1</v>
      </c>
      <c r="J12" s="142">
        <f>'Proposed Lighting'!AA9</f>
        <v>0</v>
      </c>
      <c r="K12" s="142" t="str">
        <f>IF(ISNUMBER(SEARCH("-C",'Proposed Lighting'!M9)),'Proposed Lighting'!AH9*0.9,'Proposed Lighting'!AH9)</f>
        <v/>
      </c>
      <c r="L12" s="142">
        <f>IFERROR(IF(OR('Proposed Lighting'!BC9=22,'Proposed Lighting'!BC9=44),1-25%,IF(OR('Proposed Lighting'!BC9=23,'Proposed Lighting'!BC9=46),1-30%,IF(OR('Proposed Lighting'!BC9=29,'Proposed Lighting'!BC9=39,'Proposed Lighting'!BC9=49),1-35%,IF(OR('Proposed Lighting'!BC9=24,'Proposed Lighting'!BC9=48),1-50%,IF(AND(ISNUMBER(SEARCH("-C",'Proposed Lighting'!M9)),'Proposed Lighting'!AU9=2),90%,100%)))))*'Proposed Lighting'!AH9,0)</f>
        <v>0</v>
      </c>
      <c r="M12" s="97">
        <f t="shared" ref="M12:M75" si="0">IFERROR(K12-L12,0)</f>
        <v>0</v>
      </c>
      <c r="N12" s="87">
        <f>IFERROR(IF('Proposed Lighting'!AU9=1,0,'Proposed Lighting'!AO9),0)</f>
        <v>0</v>
      </c>
      <c r="O12" s="88">
        <f>IF('Proposed Lighting'!AU9=1,0,'Proposed Lighting'!AP9)</f>
        <v>0</v>
      </c>
      <c r="P12" s="87">
        <f t="shared" ref="P12:P75" si="1">N12-O12</f>
        <v>0</v>
      </c>
      <c r="Q12" s="98">
        <f>IFERROR(ROUND(ROUND(IF(((K12*N12)-(L12*O12))&lt;0,0,(K12*N12)-(L12*O12)),2),0),0)</f>
        <v>0</v>
      </c>
      <c r="R12" s="99">
        <f>IFERROR(IF('Proposed Lighting'!T9="Lighting controls only",0,ROUND(IF('Proposed Lighting'!AQ9&lt;'Proposed Lighting'!AR9,0,IF('Proposed Lighting'!AH9=0,0,IF('Proposed Lighting'!BV9&gt;0,'Proposed Lighting'!BV9,IF('Proposed Lighting'!CL9=0,MIN('Proposed Lighting'!CN9:CO9),IF('Proposed Lighting'!CX9&gt;0,'Proposed Lighting'!CX9*'Proposed Lighting'!AA9,0))))),2)),0)</f>
        <v>0</v>
      </c>
      <c r="S12" s="99">
        <f>IF('Proposed Lighting'!AJ9&gt;0,'Proposed Lighting'!AJ9*J12,'Proposed Lighting'!$AU$328*J12)</f>
        <v>0</v>
      </c>
      <c r="T12" s="602">
        <f t="shared" ref="T12:T75" si="2">IF(Q12=0,0,S12/SUM($S$12:$S$311))</f>
        <v>0</v>
      </c>
      <c r="U12" s="100"/>
      <c r="V12" s="99">
        <f>IFERROR((PV($C$6,$H12,-(IF(Q12=0,Q12,Q12)))*$C$7)*((1+$C$6)^0.5),0)</f>
        <v>0</v>
      </c>
      <c r="W12" s="99">
        <f>IFERROR((VLOOKUP($B12,loadshapeac,$H12+1,FALSE)*$Q12),0)</f>
        <v>0</v>
      </c>
      <c r="X12" s="99">
        <f t="shared" ref="X12:X75" si="3">IFERROR((VLOOKUP($B12,loadshapeac,$H12+1,FALSE)*$Q12)*1.1,0)</f>
        <v>0</v>
      </c>
      <c r="Y12" s="99"/>
      <c r="Z12" s="99">
        <f>IF($Y$3="yes",IF(ISNUMBER(SEARCH("LED",$F12)),0,IF(ISNUMBER(SEARCH("LED",$E12)),S12*3%,0)))</f>
        <v>0</v>
      </c>
      <c r="AA12" s="99"/>
      <c r="AB12" s="99">
        <f t="shared" ref="AB12:AB75" si="4">IFERROR(PV($C$6,$H12,-$AA12)*((1+$C$6)^0.5),0)</f>
        <v>0</v>
      </c>
      <c r="AC12" s="101" t="str">
        <f t="shared" ref="AC12:AC75" si="5">IFERROR(IF($Q12&lt;0,"",(V12+R12+Y12+Z12+AB12)/(S12)),"")</f>
        <v/>
      </c>
      <c r="AD12" s="101" t="str">
        <f t="shared" ref="AD12:AD75" si="6">IFERROR(IF($Q12&lt;0,"",(I12*W12)/(((IF(Q12=0,Q12,Q12))*U12)+R12)),"")</f>
        <v/>
      </c>
      <c r="AE12" s="101" t="str">
        <f t="shared" ref="AE12:AE75" si="7">IFERROR(IF($Q12&lt;0,"",IF(S12=0,((X12+Y12+Z12+AB12)*I12)/((Q12*U12)+R12),((X12+Y12+Z12+AB12)*I12)/((Q12*U12)+R12+((S12-R12)*I12)))),"")</f>
        <v/>
      </c>
      <c r="AF12" s="72"/>
      <c r="AG12" s="1606">
        <f>IFERROR(IF($AV12="No",0,IF($AV12="yes",Summary!Q12,"")),"")</f>
        <v>0</v>
      </c>
      <c r="AH12" s="1607">
        <f>IFERROR(IF($AV12="No",0,IF($AV12="yes",Summary!R12,"")),"")</f>
        <v>0</v>
      </c>
      <c r="AI12" s="1607">
        <f>IFERROR(IF($AV12="No",0,IF($AV12="yes",Summary!S12,"")),"")</f>
        <v>0</v>
      </c>
      <c r="AJ12" s="1608">
        <f>IFERROR(IF($AV12="No",0,IF($AV12="yes",Summary!T12,"")),"")</f>
        <v>0</v>
      </c>
      <c r="AK12" s="1609">
        <f>IFERROR(IF($AV12="No",0,IF($AV12="yes",Summary!U12,"")),"")</f>
        <v>0</v>
      </c>
      <c r="AL12" s="1607">
        <f>IFERROR(IF($AV12="No",0,IF($AV12="yes",Summary!V12,"")),"")</f>
        <v>0</v>
      </c>
      <c r="AM12" s="1607">
        <f>IFERROR(IF($AV12="No",0,IF($AV12="yes",Summary!W12,"")),"")</f>
        <v>0</v>
      </c>
      <c r="AN12" s="1607">
        <f>IFERROR(IF($AV12="No",0,IF($AV12="yes",Summary!X12,"")),"")</f>
        <v>0</v>
      </c>
      <c r="AO12" s="1607">
        <f>IFERROR(IF($AV12="No",0,IF($AV12="yes",Summary!Y12+Z12,"")),"")</f>
        <v>0</v>
      </c>
      <c r="AP12" s="1607">
        <f>IFERROR(IF($AV12="No",0,IF($AV12="yes",Summary!AB12,"")),"")</f>
        <v>0</v>
      </c>
      <c r="AQ12" s="1610" t="str">
        <f>IFERROR(IF($AG12&lt;0,"",(AL12+AH12+AO12+AP12)/(AI12)),"")</f>
        <v/>
      </c>
      <c r="AR12" s="1610" t="str">
        <f>IFERROR(IF($AG12&lt;0,"",(I12*AM12)/(((IF(AG12=0,AG12,AG12))*AK12)+AH12)),"")</f>
        <v/>
      </c>
      <c r="AS12" s="1610" t="str">
        <f>IFERROR(IF($AG12&lt;0,"",IF(AI12=0,((AN12+AO12+AP12)*I12)/((AG12*AK12)+AH12),((AN12+AO12+AP12)*I12)/((AG12*AK12)+AH12+((AI12-AH12)*I12)))),"")</f>
        <v/>
      </c>
      <c r="AT12" s="86" t="s">
        <v>243</v>
      </c>
      <c r="AV12" t="str">
        <f>IF('Proposed Lighting'!CN9&gt;0,"No","Yes")</f>
        <v>Yes</v>
      </c>
    </row>
    <row r="13" spans="1:49" ht="39.75" customHeight="1">
      <c r="A13" s="96" t="s">
        <v>244</v>
      </c>
      <c r="B13" s="96" t="str">
        <f>IF(ISNUMBER(SEARCH("case",E13)),"COM_MISC_REFR_ALL_UNKN1991",IF('Proposed Lighting'!AU10=3,"Commercial-All Com-ExtLight",IF('Proposed Lighting'!AH10&gt;8759,"IPC_8760","Commercial-All Com-IntLight")))</f>
        <v>IPC_8760</v>
      </c>
      <c r="C13" s="96" t="str">
        <f>IF(OR('Proposed Lighting'!DD10="Standard Incentive",'Proposed Lighting'!DD10="Non-Standard Incentive"),"Yes",IF(AND(IF(ISNUMBER(SEARCH("controls",'Proposed Lighting'!T10)),"True","False")="False",'Proposed Lighting'!DD10="Submit Control as Non-Standard"),"Yes","No"))</f>
        <v>No</v>
      </c>
      <c r="D13" s="1403">
        <f>'Proposed Lighting'!CV10-Q13</f>
        <v>0</v>
      </c>
      <c r="E13" s="143">
        <f>'Proposed Lighting'!T10</f>
        <v>0</v>
      </c>
      <c r="F13" s="143">
        <f>'Proposed Lighting'!F10</f>
        <v>0</v>
      </c>
      <c r="G13" s="96" t="s">
        <v>242</v>
      </c>
      <c r="H13" s="142" t="str">
        <f>'Proposed Lighting'!CP10</f>
        <v/>
      </c>
      <c r="I13" s="98">
        <v>1</v>
      </c>
      <c r="J13" s="142">
        <f>'Proposed Lighting'!AA10</f>
        <v>0</v>
      </c>
      <c r="K13" s="142" t="str">
        <f>IF(ISNUMBER(SEARCH("-C",'Proposed Lighting'!M10)),'Proposed Lighting'!AH10*0.9,'Proposed Lighting'!AH10)</f>
        <v/>
      </c>
      <c r="L13" s="142">
        <f>IFERROR(IF(OR('Proposed Lighting'!BC10=22,'Proposed Lighting'!BC10=44),1-25%,IF(OR('Proposed Lighting'!BC10=23,'Proposed Lighting'!BC10=46),1-30%,IF(OR('Proposed Lighting'!BC10=29,'Proposed Lighting'!BC10=39,'Proposed Lighting'!BC10=49),1-35%,IF(OR('Proposed Lighting'!BC10=24,'Proposed Lighting'!BC10=48),1-50%,IF(AND(ISNUMBER(SEARCH("-C",'Proposed Lighting'!M10)),'Proposed Lighting'!AU10=2),90%,100%)))))*'Proposed Lighting'!AH10,0)</f>
        <v>0</v>
      </c>
      <c r="M13" s="97">
        <f t="shared" si="0"/>
        <v>0</v>
      </c>
      <c r="N13" s="87">
        <f>IFERROR(IF('Proposed Lighting'!AU10=1,0,'Proposed Lighting'!AO10),0)</f>
        <v>0</v>
      </c>
      <c r="O13" s="88">
        <f>IF('Proposed Lighting'!AU10=1,0,'Proposed Lighting'!AP10)</f>
        <v>0</v>
      </c>
      <c r="P13" s="87">
        <f t="shared" si="1"/>
        <v>0</v>
      </c>
      <c r="Q13" s="98">
        <f t="shared" ref="Q13:Q76" si="8">IFERROR(ROUND(ROUND(IF(((K13*N13)-(L13*O13))&lt;0,0,(K13*N13)-(L13*O13)),2),0),0)</f>
        <v>0</v>
      </c>
      <c r="R13" s="99">
        <f>IFERROR(IF('Proposed Lighting'!T10="Lighting controls only",0,ROUND(IF('Proposed Lighting'!AQ10&lt;'Proposed Lighting'!AR10,0,IF('Proposed Lighting'!AH10=0,0,IF('Proposed Lighting'!BV10&gt;0,'Proposed Lighting'!BV10,IF('Proposed Lighting'!CL10=0,MIN('Proposed Lighting'!CN10:CO10),IF('Proposed Lighting'!CX10&gt;0,'Proposed Lighting'!CX10*'Proposed Lighting'!AA10,0))))),2)),0)</f>
        <v>0</v>
      </c>
      <c r="S13" s="99">
        <f>IF('Proposed Lighting'!AJ10&gt;0,'Proposed Lighting'!AJ10*J13,'Proposed Lighting'!$AU$328*J13)</f>
        <v>0</v>
      </c>
      <c r="T13" s="602">
        <f t="shared" si="2"/>
        <v>0</v>
      </c>
      <c r="U13" s="100"/>
      <c r="V13" s="99">
        <f t="shared" ref="V13:V75" si="9">IFERROR((PV($C$6,$H13,-(IF(Q13=0,Q13,Q13)))*$C$7)*((1+$C$6)^0.5),0)</f>
        <v>0</v>
      </c>
      <c r="W13" s="99">
        <f t="shared" ref="W13:W75" si="10">IFERROR((VLOOKUP($B13,loadshapeac,$H13+1,FALSE)*$Q13),0)</f>
        <v>0</v>
      </c>
      <c r="X13" s="99">
        <f t="shared" si="3"/>
        <v>0</v>
      </c>
      <c r="Y13" s="99"/>
      <c r="Z13" s="99">
        <f t="shared" ref="Z13:Z76" si="11">IF($Y$3="yes",IF(ISNUMBER(SEARCH("LED",$F13)),0,IF(ISNUMBER(SEARCH("LED",$E13)),S13*3%,0)))</f>
        <v>0</v>
      </c>
      <c r="AA13" s="99"/>
      <c r="AB13" s="99">
        <f t="shared" si="4"/>
        <v>0</v>
      </c>
      <c r="AC13" s="101" t="str">
        <f t="shared" si="5"/>
        <v/>
      </c>
      <c r="AD13" s="101" t="str">
        <f t="shared" si="6"/>
        <v/>
      </c>
      <c r="AE13" s="101" t="str">
        <f t="shared" si="7"/>
        <v/>
      </c>
      <c r="AF13" s="72"/>
      <c r="AG13" s="98">
        <f>IFERROR(IF($AV13="No",0,IF($AV13="yes",Summary!Q13,"")),"")</f>
        <v>0</v>
      </c>
      <c r="AH13" s="99">
        <f>IFERROR(IF($AV13="No",0,IF($AV13="yes",Summary!R13,"")),"")</f>
        <v>0</v>
      </c>
      <c r="AI13" s="99">
        <f>IFERROR(IF($AV13="No",0,IF($AV13="yes",Summary!S13,"")),"")</f>
        <v>0</v>
      </c>
      <c r="AJ13" s="602">
        <f>IFERROR(IF($AV13="No",0,IF($AV13="yes",Summary!T13,"")),"")</f>
        <v>0</v>
      </c>
      <c r="AK13" s="100">
        <f>IFERROR(IF($AV13="No",0,IF($AV13="yes",Summary!U13,"")),"")</f>
        <v>0</v>
      </c>
      <c r="AL13" s="99">
        <f>IFERROR(IF($AV13="No",0,IF($AV13="yes",Summary!V13,"")),"")</f>
        <v>0</v>
      </c>
      <c r="AM13" s="99">
        <f>IFERROR(IF($AV13="No",0,IF($AV13="yes",Summary!W13,"")),"")</f>
        <v>0</v>
      </c>
      <c r="AN13" s="99">
        <f>IFERROR(IF($AV13="No",0,IF($AV13="yes",Summary!X13,"")),"")</f>
        <v>0</v>
      </c>
      <c r="AO13" s="99">
        <f>IFERROR(IF($AV13="No",0,IF($AV13="yes",Summary!Y13+Z13,"")),"")</f>
        <v>0</v>
      </c>
      <c r="AP13" s="99">
        <f>IFERROR(IF($AV13="No",0,IF($AV13="yes",Summary!AB13,"")),"")</f>
        <v>0</v>
      </c>
      <c r="AQ13" s="101" t="str">
        <f>IFERROR(IF($AG13&lt;0,"",(AL13+AH13+AO13+AP13)/(AI13)),"")</f>
        <v/>
      </c>
      <c r="AR13" s="101" t="str">
        <f>IFERROR(IF($AG13&lt;0,"",(I13*AM13)/(((IF(AG13=0,AG13,AG13))*AK13)+AH13)),"")</f>
        <v/>
      </c>
      <c r="AS13" s="101" t="str">
        <f>IFERROR(IF($AG13&lt;0,"",IF(AI13=0,((AN13+AO13+AP13)*I13)/((AG13*AK13)+AH13),((AN13+AO13+AP13)*I13)/((AG13*AK13)+AH13+((AI13-AH13)*I13)))),"")</f>
        <v/>
      </c>
      <c r="AT13" s="96" t="s">
        <v>244</v>
      </c>
      <c r="AV13" t="str">
        <f>IF('Proposed Lighting'!CN10&gt;0,"No","Yes")</f>
        <v>Yes</v>
      </c>
    </row>
    <row r="14" spans="1:49" ht="55.5" customHeight="1">
      <c r="A14" s="96" t="s">
        <v>245</v>
      </c>
      <c r="B14" s="96" t="str">
        <f>IF(ISNUMBER(SEARCH("case",E14)),"COM_MISC_REFR_ALL_UNKN1991",IF('Proposed Lighting'!AU11=3,"Commercial-All Com-ExtLight",IF('Proposed Lighting'!AH11&gt;8759,"IPC_8760","Commercial-All Com-IntLight")))</f>
        <v>IPC_8760</v>
      </c>
      <c r="C14" s="96" t="str">
        <f>IF(OR('Proposed Lighting'!DD11="Standard Incentive",'Proposed Lighting'!DD11="Non-Standard Incentive"),"Yes",IF(AND(IF(ISNUMBER(SEARCH("controls",'Proposed Lighting'!T11)),"True","False")="False",'Proposed Lighting'!DD11="Submit Control as Non-Standard"),"Yes","No"))</f>
        <v>No</v>
      </c>
      <c r="D14" s="1403">
        <f>'Proposed Lighting'!CV11-Q14</f>
        <v>0</v>
      </c>
      <c r="E14" s="143">
        <f>'Proposed Lighting'!T11</f>
        <v>0</v>
      </c>
      <c r="F14" s="143">
        <f>'Proposed Lighting'!F11</f>
        <v>0</v>
      </c>
      <c r="G14" s="96" t="s">
        <v>242</v>
      </c>
      <c r="H14" s="142" t="str">
        <f>'Proposed Lighting'!CP11</f>
        <v/>
      </c>
      <c r="I14" s="98">
        <v>1</v>
      </c>
      <c r="J14" s="142">
        <f>'Proposed Lighting'!AA11</f>
        <v>0</v>
      </c>
      <c r="K14" s="142" t="str">
        <f>IF(ISNUMBER(SEARCH("-C",'Proposed Lighting'!M11)),'Proposed Lighting'!AH11*0.9,'Proposed Lighting'!AH11)</f>
        <v/>
      </c>
      <c r="L14" s="142">
        <f>IFERROR(IF(OR('Proposed Lighting'!BC11=22,'Proposed Lighting'!BC11=44),1-25%,IF(OR('Proposed Lighting'!BC11=23,'Proposed Lighting'!BC11=46),1-30%,IF(OR('Proposed Lighting'!BC11=29,'Proposed Lighting'!BC11=39,'Proposed Lighting'!BC11=49),1-35%,IF(OR('Proposed Lighting'!BC11=24,'Proposed Lighting'!BC11=48),1-50%,IF(AND(ISNUMBER(SEARCH("-C",'Proposed Lighting'!M11)),'Proposed Lighting'!AU11=2),90%,100%)))))*'Proposed Lighting'!AH11,0)</f>
        <v>0</v>
      </c>
      <c r="M14" s="97">
        <f t="shared" si="0"/>
        <v>0</v>
      </c>
      <c r="N14" s="87">
        <f>IFERROR(IF('Proposed Lighting'!AU11=1,0,'Proposed Lighting'!AO11),0)</f>
        <v>0</v>
      </c>
      <c r="O14" s="88">
        <f>IF('Proposed Lighting'!AU11=1,0,'Proposed Lighting'!AP11)</f>
        <v>0</v>
      </c>
      <c r="P14" s="87">
        <f t="shared" si="1"/>
        <v>0</v>
      </c>
      <c r="Q14" s="98">
        <f t="shared" si="8"/>
        <v>0</v>
      </c>
      <c r="R14" s="99">
        <f>IFERROR(IF('Proposed Lighting'!T11="Lighting controls only",0,ROUND(IF('Proposed Lighting'!AQ11&lt;'Proposed Lighting'!AR11,0,IF('Proposed Lighting'!AH11=0,0,IF('Proposed Lighting'!BV11&gt;0,'Proposed Lighting'!BV11,IF('Proposed Lighting'!CL11=0,MIN('Proposed Lighting'!CN11:CO11),IF('Proposed Lighting'!CX11&gt;0,'Proposed Lighting'!CX11*'Proposed Lighting'!AA11,0))))),2)),0)</f>
        <v>0</v>
      </c>
      <c r="S14" s="99">
        <f>IF('Proposed Lighting'!AJ11&gt;0,'Proposed Lighting'!AJ11*J14,'Proposed Lighting'!$AU$328*J14)</f>
        <v>0</v>
      </c>
      <c r="T14" s="602">
        <f t="shared" si="2"/>
        <v>0</v>
      </c>
      <c r="U14" s="100"/>
      <c r="V14" s="99">
        <f t="shared" si="9"/>
        <v>0</v>
      </c>
      <c r="W14" s="99">
        <f t="shared" si="10"/>
        <v>0</v>
      </c>
      <c r="X14" s="99">
        <f t="shared" si="3"/>
        <v>0</v>
      </c>
      <c r="Y14" s="99"/>
      <c r="Z14" s="99">
        <f t="shared" si="11"/>
        <v>0</v>
      </c>
      <c r="AA14" s="99"/>
      <c r="AB14" s="99">
        <f t="shared" si="4"/>
        <v>0</v>
      </c>
      <c r="AC14" s="101" t="str">
        <f t="shared" si="5"/>
        <v/>
      </c>
      <c r="AD14" s="101" t="str">
        <f t="shared" si="6"/>
        <v/>
      </c>
      <c r="AE14" s="101" t="str">
        <f t="shared" si="7"/>
        <v/>
      </c>
      <c r="AF14" s="72"/>
      <c r="AG14" s="98">
        <f>IFERROR(IF($AV14="No",0,IF($AV14="yes",Summary!Q14,"")),"")</f>
        <v>0</v>
      </c>
      <c r="AH14" s="99">
        <f>IFERROR(IF($AV14="No",0,IF($AV14="yes",Summary!R14,"")),"")</f>
        <v>0</v>
      </c>
      <c r="AI14" s="99">
        <f>IFERROR(IF($AV14="No",0,IF($AV14="yes",Summary!S14,"")),"")</f>
        <v>0</v>
      </c>
      <c r="AJ14" s="602">
        <f>IFERROR(IF($AV14="No",0,IF($AV14="yes",Summary!T14,"")),"")</f>
        <v>0</v>
      </c>
      <c r="AK14" s="100">
        <f>IFERROR(IF($AV14="No",0,IF($AV14="yes",Summary!U14,"")),"")</f>
        <v>0</v>
      </c>
      <c r="AL14" s="99">
        <f>IFERROR(IF($AV14="No",0,IF($AV14="yes",Summary!V14,"")),"")</f>
        <v>0</v>
      </c>
      <c r="AM14" s="99">
        <f>IFERROR(IF($AV14="No",0,IF($AV14="yes",Summary!W14,"")),"")</f>
        <v>0</v>
      </c>
      <c r="AN14" s="99">
        <f>IFERROR(IF($AV14="No",0,IF($AV14="yes",Summary!X14,"")),"")</f>
        <v>0</v>
      </c>
      <c r="AO14" s="99">
        <f>IFERROR(IF($AV14="No",0,IF($AV14="yes",Summary!Y14+Z14,"")),"")</f>
        <v>0</v>
      </c>
      <c r="AP14" s="99">
        <f>IFERROR(IF($AV14="No",0,IF($AV14="yes",Summary!AB14,"")),"")</f>
        <v>0</v>
      </c>
      <c r="AQ14" s="101" t="str">
        <f t="shared" ref="AQ14:AQ77" si="12">IFERROR(IF($AG14&lt;0,"",(AL14+AH14+AO14+AP14)/(AI14)),"")</f>
        <v/>
      </c>
      <c r="AR14" s="101" t="str">
        <f t="shared" ref="AR14:AR77" si="13">IFERROR(IF($AG14&lt;0,"",(I14*AM14)/(((IF(AG14=0,AG14,AG14))*AK14)+AH14)),"")</f>
        <v/>
      </c>
      <c r="AS14" s="101" t="str">
        <f t="shared" ref="AS14:AS77" si="14">IFERROR(IF($AG14&lt;0,"",IF(AI14=0,((AN14+AO14+AP14)*I14)/((AG14*AK14)+AH14),((AN14+AO14+AP14)*I14)/((AG14*AK14)+AH14+((AI14-AH14)*I14)))),"")</f>
        <v/>
      </c>
      <c r="AT14" s="96" t="s">
        <v>245</v>
      </c>
      <c r="AV14" t="str">
        <f>IF('Proposed Lighting'!CN11&gt;0,"No","Yes")</f>
        <v>Yes</v>
      </c>
    </row>
    <row r="15" spans="1:49" ht="35.1" customHeight="1">
      <c r="A15" s="96" t="s">
        <v>246</v>
      </c>
      <c r="B15" s="96" t="str">
        <f>IF(ISNUMBER(SEARCH("case",E15)),"COM_MISC_REFR_ALL_UNKN1991",IF('Proposed Lighting'!AU12=3,"Commercial-All Com-ExtLight",IF('Proposed Lighting'!AH12&gt;8759,"IPC_8760","Commercial-All Com-IntLight")))</f>
        <v>IPC_8760</v>
      </c>
      <c r="C15" s="96" t="str">
        <f>IF(OR('Proposed Lighting'!DD12="Standard Incentive",'Proposed Lighting'!DD12="Non-Standard Incentive"),"Yes",IF(AND(IF(ISNUMBER(SEARCH("controls",'Proposed Lighting'!T12)),"True","False")="False",'Proposed Lighting'!DD12="Submit Control as Non-Standard"),"Yes","No"))</f>
        <v>No</v>
      </c>
      <c r="D15" s="1403">
        <f>'Proposed Lighting'!CV12-Q15</f>
        <v>0</v>
      </c>
      <c r="E15" s="143">
        <f>'Proposed Lighting'!T12</f>
        <v>0</v>
      </c>
      <c r="F15" s="143">
        <f>'Proposed Lighting'!F12</f>
        <v>0</v>
      </c>
      <c r="G15" s="96" t="s">
        <v>242</v>
      </c>
      <c r="H15" s="142" t="str">
        <f>'Proposed Lighting'!CP12</f>
        <v/>
      </c>
      <c r="I15" s="98">
        <v>1</v>
      </c>
      <c r="J15" s="142">
        <f>'Proposed Lighting'!AA12</f>
        <v>0</v>
      </c>
      <c r="K15" s="142" t="str">
        <f>IF(ISNUMBER(SEARCH("-C",'Proposed Lighting'!M12)),'Proposed Lighting'!AH12*0.9,'Proposed Lighting'!AH12)</f>
        <v/>
      </c>
      <c r="L15" s="142">
        <f>IFERROR(IF(OR('Proposed Lighting'!BC12=22,'Proposed Lighting'!BC12=44),1-25%,IF(OR('Proposed Lighting'!BC12=23,'Proposed Lighting'!BC12=46),1-30%,IF(OR('Proposed Lighting'!BC12=29,'Proposed Lighting'!BC12=39,'Proposed Lighting'!BC12=49),1-35%,IF(OR('Proposed Lighting'!BC12=24,'Proposed Lighting'!BC12=48),1-50%,IF(AND(ISNUMBER(SEARCH("-C",'Proposed Lighting'!M12)),'Proposed Lighting'!AU12=2),90%,100%)))))*'Proposed Lighting'!AH12,0)</f>
        <v>0</v>
      </c>
      <c r="M15" s="97">
        <f t="shared" si="0"/>
        <v>0</v>
      </c>
      <c r="N15" s="87">
        <f>IFERROR(IF('Proposed Lighting'!AU12=1,0,'Proposed Lighting'!AO12),0)</f>
        <v>0</v>
      </c>
      <c r="O15" s="88">
        <f>IF('Proposed Lighting'!AU12=1,0,'Proposed Lighting'!AP12)</f>
        <v>0</v>
      </c>
      <c r="P15" s="87">
        <f t="shared" si="1"/>
        <v>0</v>
      </c>
      <c r="Q15" s="98">
        <f t="shared" si="8"/>
        <v>0</v>
      </c>
      <c r="R15" s="99">
        <f>IFERROR(IF('Proposed Lighting'!T12="Lighting controls only",0,ROUND(IF('Proposed Lighting'!AQ12&lt;'Proposed Lighting'!AR12,0,IF('Proposed Lighting'!AH12=0,0,IF('Proposed Lighting'!BV12&gt;0,'Proposed Lighting'!BV12,IF('Proposed Lighting'!CL12=0,MIN('Proposed Lighting'!CN12:CO12),IF('Proposed Lighting'!CX12&gt;0,'Proposed Lighting'!CX12*'Proposed Lighting'!AA12,0))))),2)),0)</f>
        <v>0</v>
      </c>
      <c r="S15" s="99">
        <f>IF('Proposed Lighting'!AJ12&gt;0,'Proposed Lighting'!AJ12*J15,'Proposed Lighting'!$AU$328*J15)</f>
        <v>0</v>
      </c>
      <c r="T15" s="602">
        <f t="shared" si="2"/>
        <v>0</v>
      </c>
      <c r="U15" s="100"/>
      <c r="V15" s="99">
        <f t="shared" si="9"/>
        <v>0</v>
      </c>
      <c r="W15" s="99">
        <f t="shared" si="10"/>
        <v>0</v>
      </c>
      <c r="X15" s="99">
        <f t="shared" si="3"/>
        <v>0</v>
      </c>
      <c r="Y15" s="99"/>
      <c r="Z15" s="99">
        <f t="shared" si="11"/>
        <v>0</v>
      </c>
      <c r="AA15" s="99"/>
      <c r="AB15" s="99">
        <f t="shared" si="4"/>
        <v>0</v>
      </c>
      <c r="AC15" s="101" t="str">
        <f t="shared" si="5"/>
        <v/>
      </c>
      <c r="AD15" s="101" t="str">
        <f t="shared" si="6"/>
        <v/>
      </c>
      <c r="AE15" s="101" t="str">
        <f t="shared" si="7"/>
        <v/>
      </c>
      <c r="AF15" s="72"/>
      <c r="AG15" s="98">
        <f>IFERROR(IF($AV15="No",0,IF($AV15="yes",Summary!Q15,"")),"")</f>
        <v>0</v>
      </c>
      <c r="AH15" s="99">
        <f>IFERROR(IF($AV15="No",0,IF($AV15="yes",Summary!R15,"")),"")</f>
        <v>0</v>
      </c>
      <c r="AI15" s="99">
        <f>IFERROR(IF($AV15="No",0,IF($AV15="yes",Summary!S15,"")),"")</f>
        <v>0</v>
      </c>
      <c r="AJ15" s="602">
        <f>IFERROR(IF($AV15="No",0,IF($AV15="yes",Summary!T15,"")),"")</f>
        <v>0</v>
      </c>
      <c r="AK15" s="100">
        <f>IFERROR(IF($AV15="No",0,IF($AV15="yes",Summary!U15,"")),"")</f>
        <v>0</v>
      </c>
      <c r="AL15" s="99">
        <f>IFERROR(IF($AV15="No",0,IF($AV15="yes",Summary!V15,"")),"")</f>
        <v>0</v>
      </c>
      <c r="AM15" s="99">
        <f>IFERROR(IF($AV15="No",0,IF($AV15="yes",Summary!W15,"")),"")</f>
        <v>0</v>
      </c>
      <c r="AN15" s="99">
        <f>IFERROR(IF($AV15="No",0,IF($AV15="yes",Summary!X15,"")),"")</f>
        <v>0</v>
      </c>
      <c r="AO15" s="99">
        <f>IFERROR(IF($AV15="No",0,IF($AV15="yes",Summary!Y15+Z15,"")),"")</f>
        <v>0</v>
      </c>
      <c r="AP15" s="99">
        <f>IFERROR(IF($AV15="No",0,IF($AV15="yes",Summary!AB15,"")),"")</f>
        <v>0</v>
      </c>
      <c r="AQ15" s="101" t="str">
        <f t="shared" si="12"/>
        <v/>
      </c>
      <c r="AR15" s="101" t="str">
        <f t="shared" si="13"/>
        <v/>
      </c>
      <c r="AS15" s="101" t="str">
        <f t="shared" si="14"/>
        <v/>
      </c>
      <c r="AT15" s="96" t="s">
        <v>246</v>
      </c>
      <c r="AV15" t="str">
        <f>IF('Proposed Lighting'!CN12&gt;0,"No","Yes")</f>
        <v>Yes</v>
      </c>
    </row>
    <row r="16" spans="1:49" ht="35.1" customHeight="1">
      <c r="A16" s="96" t="s">
        <v>247</v>
      </c>
      <c r="B16" s="96" t="str">
        <f>IF(ISNUMBER(SEARCH("case",E16)),"COM_MISC_REFR_ALL_UNKN1991",IF('Proposed Lighting'!AU13=3,"Commercial-All Com-ExtLight",IF('Proposed Lighting'!AH13&gt;8759,"IPC_8760","Commercial-All Com-IntLight")))</f>
        <v>IPC_8760</v>
      </c>
      <c r="C16" s="96" t="str">
        <f>IF(OR('Proposed Lighting'!DD13="Standard Incentive",'Proposed Lighting'!DD13="Non-Standard Incentive"),"Yes",IF(AND(IF(ISNUMBER(SEARCH("controls",'Proposed Lighting'!T13)),"True","False")="False",'Proposed Lighting'!DD13="Submit Control as Non-Standard"),"Yes","No"))</f>
        <v>No</v>
      </c>
      <c r="D16" s="1403">
        <f>'Proposed Lighting'!CV13-Q16</f>
        <v>0</v>
      </c>
      <c r="E16" s="143">
        <f>'Proposed Lighting'!T13</f>
        <v>0</v>
      </c>
      <c r="F16" s="143">
        <f>'Proposed Lighting'!F13</f>
        <v>0</v>
      </c>
      <c r="G16" s="96" t="s">
        <v>242</v>
      </c>
      <c r="H16" s="142" t="str">
        <f>'Proposed Lighting'!CP13</f>
        <v/>
      </c>
      <c r="I16" s="98">
        <v>1</v>
      </c>
      <c r="J16" s="142">
        <f>'Proposed Lighting'!AA13</f>
        <v>0</v>
      </c>
      <c r="K16" s="142" t="str">
        <f>IF(ISNUMBER(SEARCH("-C",'Proposed Lighting'!M13)),'Proposed Lighting'!AH13*0.9,'Proposed Lighting'!AH13)</f>
        <v/>
      </c>
      <c r="L16" s="142">
        <f>IFERROR(IF(OR('Proposed Lighting'!BC13=22,'Proposed Lighting'!BC13=44),1-25%,IF(OR('Proposed Lighting'!BC13=23,'Proposed Lighting'!BC13=46),1-30%,IF(OR('Proposed Lighting'!BC13=29,'Proposed Lighting'!BC13=39,'Proposed Lighting'!BC13=49),1-35%,IF(OR('Proposed Lighting'!BC13=24,'Proposed Lighting'!BC13=48),1-50%,IF(AND(ISNUMBER(SEARCH("-C",'Proposed Lighting'!M13)),'Proposed Lighting'!AU13=2),90%,100%)))))*'Proposed Lighting'!AH13,0)</f>
        <v>0</v>
      </c>
      <c r="M16" s="97">
        <f t="shared" si="0"/>
        <v>0</v>
      </c>
      <c r="N16" s="87">
        <f>IFERROR(IF('Proposed Lighting'!AU13=1,0,'Proposed Lighting'!AO13),0)</f>
        <v>0</v>
      </c>
      <c r="O16" s="88">
        <f>IF('Proposed Lighting'!AU13=1,0,'Proposed Lighting'!AP13)</f>
        <v>0</v>
      </c>
      <c r="P16" s="87">
        <f t="shared" si="1"/>
        <v>0</v>
      </c>
      <c r="Q16" s="98">
        <f t="shared" si="8"/>
        <v>0</v>
      </c>
      <c r="R16" s="99">
        <f>IFERROR(IF('Proposed Lighting'!T13="Lighting controls only",0,ROUND(IF('Proposed Lighting'!AQ13&lt;'Proposed Lighting'!AR13,0,IF('Proposed Lighting'!AH13=0,0,IF('Proposed Lighting'!BV13&gt;0,'Proposed Lighting'!BV13,IF('Proposed Lighting'!CL13=0,MIN('Proposed Lighting'!CN13:CO13),IF('Proposed Lighting'!CX13&gt;0,'Proposed Lighting'!CX13*'Proposed Lighting'!AA13,0))))),2)),0)</f>
        <v>0</v>
      </c>
      <c r="S16" s="99">
        <f>IF('Proposed Lighting'!AJ13&gt;0,'Proposed Lighting'!AJ13*J16,'Proposed Lighting'!$AU$328*J16)</f>
        <v>0</v>
      </c>
      <c r="T16" s="602">
        <f t="shared" si="2"/>
        <v>0</v>
      </c>
      <c r="U16" s="100"/>
      <c r="V16" s="99">
        <f t="shared" si="9"/>
        <v>0</v>
      </c>
      <c r="W16" s="99">
        <f t="shared" si="10"/>
        <v>0</v>
      </c>
      <c r="X16" s="99">
        <f t="shared" si="3"/>
        <v>0</v>
      </c>
      <c r="Y16" s="99"/>
      <c r="Z16" s="99">
        <f t="shared" si="11"/>
        <v>0</v>
      </c>
      <c r="AA16" s="99"/>
      <c r="AB16" s="99">
        <f t="shared" si="4"/>
        <v>0</v>
      </c>
      <c r="AC16" s="101" t="str">
        <f t="shared" si="5"/>
        <v/>
      </c>
      <c r="AD16" s="101" t="str">
        <f t="shared" si="6"/>
        <v/>
      </c>
      <c r="AE16" s="101" t="str">
        <f t="shared" si="7"/>
        <v/>
      </c>
      <c r="AF16" s="72"/>
      <c r="AG16" s="98">
        <f>IFERROR(IF($AV16="No",0,IF($AV16="yes",Summary!Q16,"")),"")</f>
        <v>0</v>
      </c>
      <c r="AH16" s="99">
        <f>IFERROR(IF($AV16="No",0,IF($AV16="yes",Summary!R16,"")),"")</f>
        <v>0</v>
      </c>
      <c r="AI16" s="99">
        <f>IFERROR(IF($AV16="No",0,IF($AV16="yes",Summary!S16,"")),"")</f>
        <v>0</v>
      </c>
      <c r="AJ16" s="602">
        <f>IFERROR(IF($AV16="No",0,IF($AV16="yes",Summary!T16,"")),"")</f>
        <v>0</v>
      </c>
      <c r="AK16" s="100">
        <f>IFERROR(IF($AV16="No",0,IF($AV16="yes",Summary!U16,"")),"")</f>
        <v>0</v>
      </c>
      <c r="AL16" s="99">
        <f>IFERROR(IF($AV16="No",0,IF($AV16="yes",Summary!V16,"")),"")</f>
        <v>0</v>
      </c>
      <c r="AM16" s="99">
        <f>IFERROR(IF($AV16="No",0,IF($AV16="yes",Summary!W16,"")),"")</f>
        <v>0</v>
      </c>
      <c r="AN16" s="99">
        <f>IFERROR(IF($AV16="No",0,IF($AV16="yes",Summary!X16,"")),"")</f>
        <v>0</v>
      </c>
      <c r="AO16" s="99">
        <f>IFERROR(IF($AV16="No",0,IF($AV16="yes",Summary!Y16+Z16,"")),"")</f>
        <v>0</v>
      </c>
      <c r="AP16" s="99">
        <f>IFERROR(IF($AV16="No",0,IF($AV16="yes",Summary!AB16,"")),"")</f>
        <v>0</v>
      </c>
      <c r="AQ16" s="101" t="str">
        <f t="shared" si="12"/>
        <v/>
      </c>
      <c r="AR16" s="101" t="str">
        <f t="shared" si="13"/>
        <v/>
      </c>
      <c r="AS16" s="101" t="str">
        <f t="shared" si="14"/>
        <v/>
      </c>
      <c r="AT16" s="96" t="s">
        <v>247</v>
      </c>
      <c r="AV16" t="str">
        <f>IF('Proposed Lighting'!CN13&gt;0,"No","Yes")</f>
        <v>Yes</v>
      </c>
    </row>
    <row r="17" spans="1:48" ht="35.1" customHeight="1">
      <c r="A17" s="96" t="s">
        <v>248</v>
      </c>
      <c r="B17" s="96" t="str">
        <f>IF(ISNUMBER(SEARCH("case",E17)),"COM_MISC_REFR_ALL_UNKN1991",IF('Proposed Lighting'!AU14=3,"Commercial-All Com-ExtLight",IF('Proposed Lighting'!AH14&gt;8759,"IPC_8760","Commercial-All Com-IntLight")))</f>
        <v>IPC_8760</v>
      </c>
      <c r="C17" s="96" t="str">
        <f>IF(OR('Proposed Lighting'!DD14="Standard Incentive",'Proposed Lighting'!DD14="Non-Standard Incentive"),"Yes",IF(AND(IF(ISNUMBER(SEARCH("controls",'Proposed Lighting'!T14)),"True","False")="False",'Proposed Lighting'!DD14="Submit Control as Non-Standard"),"Yes","No"))</f>
        <v>No</v>
      </c>
      <c r="D17" s="1403">
        <f>'Proposed Lighting'!CV14-Q17</f>
        <v>0</v>
      </c>
      <c r="E17" s="143">
        <f>'Proposed Lighting'!T14</f>
        <v>0</v>
      </c>
      <c r="F17" s="143">
        <f>'Proposed Lighting'!F14</f>
        <v>0</v>
      </c>
      <c r="G17" s="96" t="s">
        <v>242</v>
      </c>
      <c r="H17" s="142" t="str">
        <f>'Proposed Lighting'!CP14</f>
        <v/>
      </c>
      <c r="I17" s="98">
        <v>1</v>
      </c>
      <c r="J17" s="142">
        <f>'Proposed Lighting'!AA14</f>
        <v>0</v>
      </c>
      <c r="K17" s="142" t="str">
        <f>IF(ISNUMBER(SEARCH("-C",'Proposed Lighting'!M14)),'Proposed Lighting'!AH14*0.9,'Proposed Lighting'!AH14)</f>
        <v/>
      </c>
      <c r="L17" s="142">
        <f>IFERROR(IF(OR('Proposed Lighting'!BC14=22,'Proposed Lighting'!BC14=44),1-25%,IF(OR('Proposed Lighting'!BC14=23,'Proposed Lighting'!BC14=46),1-30%,IF(OR('Proposed Lighting'!BC14=29,'Proposed Lighting'!BC14=39,'Proposed Lighting'!BC14=49),1-35%,IF(OR('Proposed Lighting'!BC14=24,'Proposed Lighting'!BC14=48),1-50%,IF(AND(ISNUMBER(SEARCH("-C",'Proposed Lighting'!M14)),'Proposed Lighting'!AU14=2),90%,100%)))))*'Proposed Lighting'!AH14,0)</f>
        <v>0</v>
      </c>
      <c r="M17" s="97">
        <f t="shared" si="0"/>
        <v>0</v>
      </c>
      <c r="N17" s="87">
        <f>IFERROR(IF('Proposed Lighting'!AU14=1,0,'Proposed Lighting'!AO14),0)</f>
        <v>0</v>
      </c>
      <c r="O17" s="88">
        <f>IF('Proposed Lighting'!AU14=1,0,'Proposed Lighting'!AP14)</f>
        <v>0</v>
      </c>
      <c r="P17" s="87">
        <f t="shared" si="1"/>
        <v>0</v>
      </c>
      <c r="Q17" s="98">
        <f t="shared" si="8"/>
        <v>0</v>
      </c>
      <c r="R17" s="99">
        <f>IFERROR(IF('Proposed Lighting'!T14="Lighting controls only",0,ROUND(IF('Proposed Lighting'!AQ14&lt;'Proposed Lighting'!AR14,0,IF('Proposed Lighting'!AH14=0,0,IF('Proposed Lighting'!BV14&gt;0,'Proposed Lighting'!BV14,IF('Proposed Lighting'!CL14=0,MIN('Proposed Lighting'!CN14:CO14),IF('Proposed Lighting'!CX14&gt;0,'Proposed Lighting'!CX14*'Proposed Lighting'!AA14,0))))),2)),0)</f>
        <v>0</v>
      </c>
      <c r="S17" s="99">
        <f>IF('Proposed Lighting'!AJ14&gt;0,'Proposed Lighting'!AJ14*J17,'Proposed Lighting'!$AU$328*J17)</f>
        <v>0</v>
      </c>
      <c r="T17" s="602">
        <f t="shared" si="2"/>
        <v>0</v>
      </c>
      <c r="U17" s="100"/>
      <c r="V17" s="99">
        <f t="shared" si="9"/>
        <v>0</v>
      </c>
      <c r="W17" s="99">
        <f t="shared" si="10"/>
        <v>0</v>
      </c>
      <c r="X17" s="99">
        <f t="shared" si="3"/>
        <v>0</v>
      </c>
      <c r="Y17" s="99"/>
      <c r="Z17" s="99">
        <f t="shared" si="11"/>
        <v>0</v>
      </c>
      <c r="AA17" s="99"/>
      <c r="AB17" s="99">
        <f t="shared" si="4"/>
        <v>0</v>
      </c>
      <c r="AC17" s="101" t="str">
        <f t="shared" si="5"/>
        <v/>
      </c>
      <c r="AD17" s="101" t="str">
        <f t="shared" si="6"/>
        <v/>
      </c>
      <c r="AE17" s="101" t="str">
        <f t="shared" si="7"/>
        <v/>
      </c>
      <c r="AF17" s="72"/>
      <c r="AG17" s="98">
        <f>IFERROR(IF($AV17="No",0,IF($AV17="yes",Summary!Q17,"")),"")</f>
        <v>0</v>
      </c>
      <c r="AH17" s="99">
        <f>IFERROR(IF($AV17="No",0,IF($AV17="yes",Summary!R17,"")),"")</f>
        <v>0</v>
      </c>
      <c r="AI17" s="99">
        <f>IFERROR(IF($AV17="No",0,IF($AV17="yes",Summary!S17,"")),"")</f>
        <v>0</v>
      </c>
      <c r="AJ17" s="602">
        <f>IFERROR(IF($AV17="No",0,IF($AV17="yes",Summary!T17,"")),"")</f>
        <v>0</v>
      </c>
      <c r="AK17" s="100">
        <f>IFERROR(IF($AV17="No",0,IF($AV17="yes",Summary!U17,"")),"")</f>
        <v>0</v>
      </c>
      <c r="AL17" s="99">
        <f>IFERROR(IF($AV17="No",0,IF($AV17="yes",Summary!V17,"")),"")</f>
        <v>0</v>
      </c>
      <c r="AM17" s="99">
        <f>IFERROR(IF($AV17="No",0,IF($AV17="yes",Summary!W17,"")),"")</f>
        <v>0</v>
      </c>
      <c r="AN17" s="99">
        <f>IFERROR(IF($AV17="No",0,IF($AV17="yes",Summary!X17,"")),"")</f>
        <v>0</v>
      </c>
      <c r="AO17" s="99">
        <f>IFERROR(IF($AV17="No",0,IF($AV17="yes",Summary!Y17+Z17,"")),"")</f>
        <v>0</v>
      </c>
      <c r="AP17" s="99">
        <f>IFERROR(IF($AV17="No",0,IF($AV17="yes",Summary!AB17,"")),"")</f>
        <v>0</v>
      </c>
      <c r="AQ17" s="101" t="str">
        <f t="shared" si="12"/>
        <v/>
      </c>
      <c r="AR17" s="101" t="str">
        <f t="shared" si="13"/>
        <v/>
      </c>
      <c r="AS17" s="101" t="str">
        <f t="shared" si="14"/>
        <v/>
      </c>
      <c r="AT17" s="96" t="s">
        <v>248</v>
      </c>
      <c r="AV17" t="str">
        <f>IF('Proposed Lighting'!CN14&gt;0,"No","Yes")</f>
        <v>Yes</v>
      </c>
    </row>
    <row r="18" spans="1:48" ht="35.1" customHeight="1">
      <c r="A18" s="96" t="s">
        <v>249</v>
      </c>
      <c r="B18" s="96" t="str">
        <f>IF(ISNUMBER(SEARCH("case",E18)),"COM_MISC_REFR_ALL_UNKN1991",IF('Proposed Lighting'!AU15=3,"Commercial-All Com-ExtLight",IF('Proposed Lighting'!AH15&gt;8759,"IPC_8760","Commercial-All Com-IntLight")))</f>
        <v>IPC_8760</v>
      </c>
      <c r="C18" s="96" t="str">
        <f>IF(OR('Proposed Lighting'!DD15="Standard Incentive",'Proposed Lighting'!DD15="Non-Standard Incentive"),"Yes",IF(AND(IF(ISNUMBER(SEARCH("controls",'Proposed Lighting'!T15)),"True","False")="False",'Proposed Lighting'!DD15="Submit Control as Non-Standard"),"Yes","No"))</f>
        <v>No</v>
      </c>
      <c r="D18" s="1403">
        <f>'Proposed Lighting'!CV15-Q18</f>
        <v>0</v>
      </c>
      <c r="E18" s="143">
        <f>'Proposed Lighting'!T15</f>
        <v>0</v>
      </c>
      <c r="F18" s="143">
        <f>'Proposed Lighting'!F15</f>
        <v>0</v>
      </c>
      <c r="G18" s="96" t="s">
        <v>242</v>
      </c>
      <c r="H18" s="142" t="str">
        <f>'Proposed Lighting'!CP15</f>
        <v/>
      </c>
      <c r="I18" s="98">
        <v>1</v>
      </c>
      <c r="J18" s="142">
        <f>'Proposed Lighting'!AA15</f>
        <v>0</v>
      </c>
      <c r="K18" s="142" t="str">
        <f>IF(ISNUMBER(SEARCH("-C",'Proposed Lighting'!M15)),'Proposed Lighting'!AH15*0.9,'Proposed Lighting'!AH15)</f>
        <v/>
      </c>
      <c r="L18" s="142">
        <f>IFERROR(IF(OR('Proposed Lighting'!BC15=22,'Proposed Lighting'!BC15=44),1-25%,IF(OR('Proposed Lighting'!BC15=23,'Proposed Lighting'!BC15=46),1-30%,IF(OR('Proposed Lighting'!BC15=29,'Proposed Lighting'!BC15=39,'Proposed Lighting'!BC15=49),1-35%,IF(OR('Proposed Lighting'!BC15=24,'Proposed Lighting'!BC15=48),1-50%,IF(AND(ISNUMBER(SEARCH("-C",'Proposed Lighting'!M15)),'Proposed Lighting'!AU15=2),90%,100%)))))*'Proposed Lighting'!AH15,0)</f>
        <v>0</v>
      </c>
      <c r="M18" s="97">
        <f t="shared" si="0"/>
        <v>0</v>
      </c>
      <c r="N18" s="87">
        <f>IFERROR(IF('Proposed Lighting'!AU15=1,0,'Proposed Lighting'!AO15),0)</f>
        <v>0</v>
      </c>
      <c r="O18" s="88">
        <f>IF('Proposed Lighting'!AU15=1,0,'Proposed Lighting'!AP15)</f>
        <v>0</v>
      </c>
      <c r="P18" s="87">
        <f t="shared" si="1"/>
        <v>0</v>
      </c>
      <c r="Q18" s="98">
        <f t="shared" si="8"/>
        <v>0</v>
      </c>
      <c r="R18" s="99">
        <f>IFERROR(IF('Proposed Lighting'!T15="Lighting controls only",0,ROUND(IF('Proposed Lighting'!AQ15&lt;'Proposed Lighting'!AR15,0,IF('Proposed Lighting'!AH15=0,0,IF('Proposed Lighting'!BV15&gt;0,'Proposed Lighting'!BV15,IF('Proposed Lighting'!CL15=0,MIN('Proposed Lighting'!CN15:CO15),IF('Proposed Lighting'!CX15&gt;0,'Proposed Lighting'!CX15*'Proposed Lighting'!AA15,0))))),2)),0)</f>
        <v>0</v>
      </c>
      <c r="S18" s="99">
        <f>IF('Proposed Lighting'!AJ15&gt;0,'Proposed Lighting'!AJ15*J18,'Proposed Lighting'!$AU$328*J18)</f>
        <v>0</v>
      </c>
      <c r="T18" s="602">
        <f t="shared" si="2"/>
        <v>0</v>
      </c>
      <c r="U18" s="100"/>
      <c r="V18" s="99">
        <f t="shared" si="9"/>
        <v>0</v>
      </c>
      <c r="W18" s="99">
        <f t="shared" si="10"/>
        <v>0</v>
      </c>
      <c r="X18" s="99">
        <f t="shared" si="3"/>
        <v>0</v>
      </c>
      <c r="Y18" s="99"/>
      <c r="Z18" s="99">
        <f t="shared" si="11"/>
        <v>0</v>
      </c>
      <c r="AA18" s="99"/>
      <c r="AB18" s="99">
        <f t="shared" si="4"/>
        <v>0</v>
      </c>
      <c r="AC18" s="101" t="str">
        <f t="shared" si="5"/>
        <v/>
      </c>
      <c r="AD18" s="101" t="str">
        <f t="shared" si="6"/>
        <v/>
      </c>
      <c r="AE18" s="101" t="str">
        <f t="shared" si="7"/>
        <v/>
      </c>
      <c r="AF18" s="72"/>
      <c r="AG18" s="98">
        <f>IFERROR(IF($AV18="No",0,IF($AV18="yes",Summary!Q18,"")),"")</f>
        <v>0</v>
      </c>
      <c r="AH18" s="99">
        <f>IFERROR(IF($AV18="No",0,IF($AV18="yes",Summary!R18,"")),"")</f>
        <v>0</v>
      </c>
      <c r="AI18" s="99">
        <f>IFERROR(IF($AV18="No",0,IF($AV18="yes",Summary!S18,"")),"")</f>
        <v>0</v>
      </c>
      <c r="AJ18" s="602">
        <f>IFERROR(IF($AV18="No",0,IF($AV18="yes",Summary!T18,"")),"")</f>
        <v>0</v>
      </c>
      <c r="AK18" s="100">
        <f>IFERROR(IF($AV18="No",0,IF($AV18="yes",Summary!U18,"")),"")</f>
        <v>0</v>
      </c>
      <c r="AL18" s="99">
        <f>IFERROR(IF($AV18="No",0,IF($AV18="yes",Summary!V18,"")),"")</f>
        <v>0</v>
      </c>
      <c r="AM18" s="99">
        <f>IFERROR(IF($AV18="No",0,IF($AV18="yes",Summary!W18,"")),"")</f>
        <v>0</v>
      </c>
      <c r="AN18" s="99">
        <f>IFERROR(IF($AV18="No",0,IF($AV18="yes",Summary!X18,"")),"")</f>
        <v>0</v>
      </c>
      <c r="AO18" s="99">
        <f>IFERROR(IF($AV18="No",0,IF($AV18="yes",Summary!Y18+Z18,"")),"")</f>
        <v>0</v>
      </c>
      <c r="AP18" s="99">
        <f>IFERROR(IF($AV18="No",0,IF($AV18="yes",Summary!AB18,"")),"")</f>
        <v>0</v>
      </c>
      <c r="AQ18" s="101" t="str">
        <f t="shared" si="12"/>
        <v/>
      </c>
      <c r="AR18" s="101" t="str">
        <f t="shared" si="13"/>
        <v/>
      </c>
      <c r="AS18" s="101" t="str">
        <f t="shared" si="14"/>
        <v/>
      </c>
      <c r="AT18" s="96" t="s">
        <v>249</v>
      </c>
      <c r="AV18" t="str">
        <f>IF('Proposed Lighting'!CN15&gt;0,"No","Yes")</f>
        <v>Yes</v>
      </c>
    </row>
    <row r="19" spans="1:48" ht="48.75" customHeight="1">
      <c r="A19" s="96" t="s">
        <v>250</v>
      </c>
      <c r="B19" s="96" t="str">
        <f>IF(ISNUMBER(SEARCH("case",E19)),"COM_MISC_REFR_ALL_UNKN1991",IF('Proposed Lighting'!AU16=3,"Commercial-All Com-ExtLight",IF('Proposed Lighting'!AH16&gt;8759,"IPC_8760","Commercial-All Com-IntLight")))</f>
        <v>IPC_8760</v>
      </c>
      <c r="C19" s="96" t="str">
        <f>IF(OR('Proposed Lighting'!DD16="Standard Incentive",'Proposed Lighting'!DD16="Non-Standard Incentive"),"Yes",IF(AND(IF(ISNUMBER(SEARCH("controls",'Proposed Lighting'!T16)),"True","False")="False",'Proposed Lighting'!DD16="Submit Control as Non-Standard"),"Yes","No"))</f>
        <v>No</v>
      </c>
      <c r="D19" s="1403">
        <f>'Proposed Lighting'!CV16-Q19</f>
        <v>0</v>
      </c>
      <c r="E19" s="143">
        <f>'Proposed Lighting'!T16</f>
        <v>0</v>
      </c>
      <c r="F19" s="143">
        <f>'Proposed Lighting'!F16</f>
        <v>0</v>
      </c>
      <c r="G19" s="96" t="s">
        <v>242</v>
      </c>
      <c r="H19" s="142" t="str">
        <f>'Proposed Lighting'!CP16</f>
        <v/>
      </c>
      <c r="I19" s="98">
        <v>1</v>
      </c>
      <c r="J19" s="142">
        <f>'Proposed Lighting'!AA16</f>
        <v>0</v>
      </c>
      <c r="K19" s="142" t="str">
        <f>IF(ISNUMBER(SEARCH("-C",'Proposed Lighting'!M16)),'Proposed Lighting'!AH16*0.9,'Proposed Lighting'!AH16)</f>
        <v/>
      </c>
      <c r="L19" s="142">
        <f>IFERROR(IF(OR('Proposed Lighting'!BC16=22,'Proposed Lighting'!BC16=44),1-25%,IF(OR('Proposed Lighting'!BC16=23,'Proposed Lighting'!BC16=46),1-30%,IF(OR('Proposed Lighting'!BC16=29,'Proposed Lighting'!BC16=39,'Proposed Lighting'!BC16=49),1-35%,IF(OR('Proposed Lighting'!BC16=24,'Proposed Lighting'!BC16=48),1-50%,IF(AND(ISNUMBER(SEARCH("-C",'Proposed Lighting'!M16)),'Proposed Lighting'!AU16=2),90%,100%)))))*'Proposed Lighting'!AH16,0)</f>
        <v>0</v>
      </c>
      <c r="M19" s="97">
        <f t="shared" si="0"/>
        <v>0</v>
      </c>
      <c r="N19" s="87">
        <f>IFERROR(IF('Proposed Lighting'!AU16=1,0,'Proposed Lighting'!AO16),0)</f>
        <v>0</v>
      </c>
      <c r="O19" s="88">
        <f>IF('Proposed Lighting'!AU16=1,0,'Proposed Lighting'!AP16)</f>
        <v>0</v>
      </c>
      <c r="P19" s="87">
        <f t="shared" si="1"/>
        <v>0</v>
      </c>
      <c r="Q19" s="98">
        <f t="shared" si="8"/>
        <v>0</v>
      </c>
      <c r="R19" s="99">
        <f>IFERROR(IF('Proposed Lighting'!T16="Lighting controls only",0,ROUND(IF('Proposed Lighting'!AQ16&lt;'Proposed Lighting'!AR16,0,IF('Proposed Lighting'!AH16=0,0,IF('Proposed Lighting'!BV16&gt;0,'Proposed Lighting'!BV16,IF('Proposed Lighting'!CL16=0,MIN('Proposed Lighting'!CN16:CO16),IF('Proposed Lighting'!CX16&gt;0,'Proposed Lighting'!CX16*'Proposed Lighting'!AA16,0))))),2)),0)</f>
        <v>0</v>
      </c>
      <c r="S19" s="99">
        <f>IF('Proposed Lighting'!AJ16&gt;0,'Proposed Lighting'!AJ16*J19,'Proposed Lighting'!$AU$328*J19)</f>
        <v>0</v>
      </c>
      <c r="T19" s="602">
        <f t="shared" si="2"/>
        <v>0</v>
      </c>
      <c r="U19" s="100"/>
      <c r="V19" s="99">
        <f t="shared" si="9"/>
        <v>0</v>
      </c>
      <c r="W19" s="99">
        <f t="shared" si="10"/>
        <v>0</v>
      </c>
      <c r="X19" s="99">
        <f t="shared" si="3"/>
        <v>0</v>
      </c>
      <c r="Y19" s="99"/>
      <c r="Z19" s="99">
        <f t="shared" si="11"/>
        <v>0</v>
      </c>
      <c r="AA19" s="99"/>
      <c r="AB19" s="99">
        <f t="shared" si="4"/>
        <v>0</v>
      </c>
      <c r="AC19" s="101" t="str">
        <f t="shared" si="5"/>
        <v/>
      </c>
      <c r="AD19" s="101" t="str">
        <f t="shared" si="6"/>
        <v/>
      </c>
      <c r="AE19" s="101" t="str">
        <f t="shared" si="7"/>
        <v/>
      </c>
      <c r="AF19" s="72"/>
      <c r="AG19" s="98">
        <f>IFERROR(IF($AV19="No",0,IF($AV19="yes",Summary!Q19,"")),"")</f>
        <v>0</v>
      </c>
      <c r="AH19" s="99">
        <f>IFERROR(IF($AV19="No",0,IF($AV19="yes",Summary!R19,"")),"")</f>
        <v>0</v>
      </c>
      <c r="AI19" s="99">
        <f>IFERROR(IF($AV19="No",0,IF($AV19="yes",Summary!S19,"")),"")</f>
        <v>0</v>
      </c>
      <c r="AJ19" s="602">
        <f>IFERROR(IF($AV19="No",0,IF($AV19="yes",Summary!T19,"")),"")</f>
        <v>0</v>
      </c>
      <c r="AK19" s="100">
        <f>IFERROR(IF($AV19="No",0,IF($AV19="yes",Summary!U19,"")),"")</f>
        <v>0</v>
      </c>
      <c r="AL19" s="99">
        <f>IFERROR(IF($AV19="No",0,IF($AV19="yes",Summary!V19,"")),"")</f>
        <v>0</v>
      </c>
      <c r="AM19" s="99">
        <f>IFERROR(IF($AV19="No",0,IF($AV19="yes",Summary!W19,"")),"")</f>
        <v>0</v>
      </c>
      <c r="AN19" s="99">
        <f>IFERROR(IF($AV19="No",0,IF($AV19="yes",Summary!X19,"")),"")</f>
        <v>0</v>
      </c>
      <c r="AO19" s="99">
        <f>IFERROR(IF($AV19="No",0,IF($AV19="yes",Summary!Y19+Z19,"")),"")</f>
        <v>0</v>
      </c>
      <c r="AP19" s="99">
        <f>IFERROR(IF($AV19="No",0,IF($AV19="yes",Summary!AB19,"")),"")</f>
        <v>0</v>
      </c>
      <c r="AQ19" s="101" t="str">
        <f t="shared" si="12"/>
        <v/>
      </c>
      <c r="AR19" s="101" t="str">
        <f t="shared" si="13"/>
        <v/>
      </c>
      <c r="AS19" s="101" t="str">
        <f t="shared" si="14"/>
        <v/>
      </c>
      <c r="AT19" s="96" t="s">
        <v>250</v>
      </c>
      <c r="AV19" t="str">
        <f>IF('Proposed Lighting'!CN16&gt;0,"No","Yes")</f>
        <v>Yes</v>
      </c>
    </row>
    <row r="20" spans="1:48" ht="35.1" customHeight="1" outlineLevel="1">
      <c r="A20" s="96" t="s">
        <v>251</v>
      </c>
      <c r="B20" s="96" t="str">
        <f>IF(ISNUMBER(SEARCH("case",E20)),"COM_MISC_REFR_ALL_UNKN1991",IF('Proposed Lighting'!AU17=3,"Commercial-All Com-ExtLight",IF('Proposed Lighting'!AH17&gt;8759,"IPC_8760","Commercial-All Com-IntLight")))</f>
        <v>IPC_8760</v>
      </c>
      <c r="C20" s="96" t="str">
        <f>IF(OR('Proposed Lighting'!DD17="Standard Incentive",'Proposed Lighting'!DD17="Non-Standard Incentive"),"Yes",IF(AND(IF(ISNUMBER(SEARCH("controls",'Proposed Lighting'!T17)),"True","False")="False",'Proposed Lighting'!DD17="Submit Control as Non-Standard"),"Yes","No"))</f>
        <v>No</v>
      </c>
      <c r="D20" s="1403">
        <f>'Proposed Lighting'!CV17-Q20</f>
        <v>0</v>
      </c>
      <c r="E20" s="143">
        <f>'Proposed Lighting'!T17</f>
        <v>0</v>
      </c>
      <c r="F20" s="143">
        <f>'Proposed Lighting'!F17</f>
        <v>0</v>
      </c>
      <c r="G20" s="96" t="s">
        <v>242</v>
      </c>
      <c r="H20" s="142" t="str">
        <f>'Proposed Lighting'!CP17</f>
        <v/>
      </c>
      <c r="I20" s="98">
        <v>1</v>
      </c>
      <c r="J20" s="142">
        <f>'Proposed Lighting'!AA17</f>
        <v>0</v>
      </c>
      <c r="K20" s="142" t="str">
        <f>IF(ISNUMBER(SEARCH("-C",'Proposed Lighting'!M17)),'Proposed Lighting'!AH17*0.9,'Proposed Lighting'!AH17)</f>
        <v/>
      </c>
      <c r="L20" s="142">
        <f>IFERROR(IF(OR('Proposed Lighting'!BC17=22,'Proposed Lighting'!BC17=44),1-25%,IF(OR('Proposed Lighting'!BC17=23,'Proposed Lighting'!BC17=46),1-30%,IF(OR('Proposed Lighting'!BC17=29,'Proposed Lighting'!BC17=39,'Proposed Lighting'!BC17=49),1-35%,IF(OR('Proposed Lighting'!BC17=24,'Proposed Lighting'!BC17=48),1-50%,IF(AND(ISNUMBER(SEARCH("-C",'Proposed Lighting'!M17)),'Proposed Lighting'!AU17=2),90%,100%)))))*'Proposed Lighting'!AH17,0)</f>
        <v>0</v>
      </c>
      <c r="M20" s="97">
        <f t="shared" si="0"/>
        <v>0</v>
      </c>
      <c r="N20" s="87">
        <f>IFERROR(IF('Proposed Lighting'!AU17=1,0,'Proposed Lighting'!AO17),0)</f>
        <v>0</v>
      </c>
      <c r="O20" s="88">
        <f>IF('Proposed Lighting'!AU17=1,0,'Proposed Lighting'!AP17)</f>
        <v>0</v>
      </c>
      <c r="P20" s="87">
        <f t="shared" si="1"/>
        <v>0</v>
      </c>
      <c r="Q20" s="98">
        <f t="shared" si="8"/>
        <v>0</v>
      </c>
      <c r="R20" s="99">
        <f>IFERROR(IF('Proposed Lighting'!T17="Lighting controls only",0,ROUND(IF('Proposed Lighting'!AQ17&lt;'Proposed Lighting'!AR17,0,IF('Proposed Lighting'!AH17=0,0,IF('Proposed Lighting'!BV17&gt;0,'Proposed Lighting'!BV17,IF('Proposed Lighting'!CL17=0,MIN('Proposed Lighting'!CN17:CO17),IF('Proposed Lighting'!CX17&gt;0,'Proposed Lighting'!CX17*'Proposed Lighting'!AA17,0))))),2)),0)</f>
        <v>0</v>
      </c>
      <c r="S20" s="99">
        <f>IF('Proposed Lighting'!AJ17&gt;0,'Proposed Lighting'!AJ17*J20,'Proposed Lighting'!$AU$328*J20)</f>
        <v>0</v>
      </c>
      <c r="T20" s="602">
        <f t="shared" si="2"/>
        <v>0</v>
      </c>
      <c r="U20" s="100"/>
      <c r="V20" s="99">
        <f t="shared" si="9"/>
        <v>0</v>
      </c>
      <c r="W20" s="99">
        <f t="shared" si="10"/>
        <v>0</v>
      </c>
      <c r="X20" s="99">
        <f t="shared" si="3"/>
        <v>0</v>
      </c>
      <c r="Y20" s="99"/>
      <c r="Z20" s="99">
        <f t="shared" si="11"/>
        <v>0</v>
      </c>
      <c r="AA20" s="99"/>
      <c r="AB20" s="99">
        <f t="shared" si="4"/>
        <v>0</v>
      </c>
      <c r="AC20" s="101" t="str">
        <f t="shared" si="5"/>
        <v/>
      </c>
      <c r="AD20" s="101" t="str">
        <f t="shared" si="6"/>
        <v/>
      </c>
      <c r="AE20" s="101" t="str">
        <f t="shared" si="7"/>
        <v/>
      </c>
      <c r="AF20" s="72"/>
      <c r="AG20" s="98">
        <f>IFERROR(IF($AV20="No",0,IF($AV20="yes",Summary!Q20,"")),"")</f>
        <v>0</v>
      </c>
      <c r="AH20" s="99">
        <f>IFERROR(IF($AV20="No",0,IF($AV20="yes",Summary!R20,"")),"")</f>
        <v>0</v>
      </c>
      <c r="AI20" s="99">
        <f>IFERROR(IF($AV20="No",0,IF($AV20="yes",Summary!S20,"")),"")</f>
        <v>0</v>
      </c>
      <c r="AJ20" s="602">
        <f>IFERROR(IF($AV20="No",0,IF($AV20="yes",Summary!T20,"")),"")</f>
        <v>0</v>
      </c>
      <c r="AK20" s="100">
        <f>IFERROR(IF($AV20="No",0,IF($AV20="yes",Summary!U20,"")),"")</f>
        <v>0</v>
      </c>
      <c r="AL20" s="99">
        <f>IFERROR(IF($AV20="No",0,IF($AV20="yes",Summary!V20,"")),"")</f>
        <v>0</v>
      </c>
      <c r="AM20" s="99">
        <f>IFERROR(IF($AV20="No",0,IF($AV20="yes",Summary!W20,"")),"")</f>
        <v>0</v>
      </c>
      <c r="AN20" s="99">
        <f>IFERROR(IF($AV20="No",0,IF($AV20="yes",Summary!X20,"")),"")</f>
        <v>0</v>
      </c>
      <c r="AO20" s="99">
        <f>IFERROR(IF($AV20="No",0,IF($AV20="yes",Summary!Y20+Z20,"")),"")</f>
        <v>0</v>
      </c>
      <c r="AP20" s="99">
        <f>IFERROR(IF($AV20="No",0,IF($AV20="yes",Summary!AB20,"")),"")</f>
        <v>0</v>
      </c>
      <c r="AQ20" s="101" t="str">
        <f t="shared" si="12"/>
        <v/>
      </c>
      <c r="AR20" s="101" t="str">
        <f t="shared" si="13"/>
        <v/>
      </c>
      <c r="AS20" s="101" t="str">
        <f t="shared" si="14"/>
        <v/>
      </c>
      <c r="AT20" s="96" t="s">
        <v>251</v>
      </c>
      <c r="AV20" t="str">
        <f>IF('Proposed Lighting'!CN17&gt;0,"No","Yes")</f>
        <v>Yes</v>
      </c>
    </row>
    <row r="21" spans="1:48" ht="35.1" customHeight="1" outlineLevel="1">
      <c r="A21" s="96" t="s">
        <v>252</v>
      </c>
      <c r="B21" s="96" t="str">
        <f>IF(ISNUMBER(SEARCH("case",E21)),"COM_MISC_REFR_ALL_UNKN1991",IF('Proposed Lighting'!AU18=3,"Commercial-All Com-ExtLight",IF('Proposed Lighting'!AH18&gt;8759,"IPC_8760","Commercial-All Com-IntLight")))</f>
        <v>IPC_8760</v>
      </c>
      <c r="C21" s="96" t="str">
        <f>IF(OR('Proposed Lighting'!DD18="Standard Incentive",'Proposed Lighting'!DD18="Non-Standard Incentive"),"Yes",IF(AND(IF(ISNUMBER(SEARCH("controls",'Proposed Lighting'!T18)),"True","False")="False",'Proposed Lighting'!DD18="Submit Control as Non-Standard"),"Yes","No"))</f>
        <v>No</v>
      </c>
      <c r="D21" s="1403">
        <f>'Proposed Lighting'!CV18-Q21</f>
        <v>0</v>
      </c>
      <c r="E21" s="143">
        <f>'Proposed Lighting'!T18</f>
        <v>0</v>
      </c>
      <c r="F21" s="143">
        <f>'Proposed Lighting'!F18</f>
        <v>0</v>
      </c>
      <c r="G21" s="96" t="s">
        <v>242</v>
      </c>
      <c r="H21" s="142" t="str">
        <f>'Proposed Lighting'!CP18</f>
        <v/>
      </c>
      <c r="I21" s="98">
        <v>1</v>
      </c>
      <c r="J21" s="142">
        <f>'Proposed Lighting'!AA18</f>
        <v>0</v>
      </c>
      <c r="K21" s="142" t="str">
        <f>IF(ISNUMBER(SEARCH("-C",'Proposed Lighting'!M18)),'Proposed Lighting'!AH18*0.9,'Proposed Lighting'!AH18)</f>
        <v/>
      </c>
      <c r="L21" s="142">
        <f>IFERROR(IF(OR('Proposed Lighting'!BC18=22,'Proposed Lighting'!BC18=44),1-25%,IF(OR('Proposed Lighting'!BC18=23,'Proposed Lighting'!BC18=46),1-30%,IF(OR('Proposed Lighting'!BC18=29,'Proposed Lighting'!BC18=39,'Proposed Lighting'!BC18=49),1-35%,IF(OR('Proposed Lighting'!BC18=24,'Proposed Lighting'!BC18=48),1-50%,IF(AND(ISNUMBER(SEARCH("-C",'Proposed Lighting'!M18)),'Proposed Lighting'!AU18=2),90%,100%)))))*'Proposed Lighting'!AH18,0)</f>
        <v>0</v>
      </c>
      <c r="M21" s="97">
        <f t="shared" si="0"/>
        <v>0</v>
      </c>
      <c r="N21" s="87">
        <f>IFERROR(IF('Proposed Lighting'!AU18=1,0,'Proposed Lighting'!AO18),0)</f>
        <v>0</v>
      </c>
      <c r="O21" s="88">
        <f>IF('Proposed Lighting'!AU18=1,0,'Proposed Lighting'!AP18)</f>
        <v>0</v>
      </c>
      <c r="P21" s="87">
        <f t="shared" si="1"/>
        <v>0</v>
      </c>
      <c r="Q21" s="98">
        <f t="shared" si="8"/>
        <v>0</v>
      </c>
      <c r="R21" s="99">
        <f>IFERROR(IF('Proposed Lighting'!T18="Lighting controls only",0,ROUND(IF('Proposed Lighting'!AQ18&lt;'Proposed Lighting'!AR18,0,IF('Proposed Lighting'!AH18=0,0,IF('Proposed Lighting'!BV18&gt;0,'Proposed Lighting'!BV18,IF('Proposed Lighting'!CL18=0,MIN('Proposed Lighting'!CN18:CO18),IF('Proposed Lighting'!CX18&gt;0,'Proposed Lighting'!CX18*'Proposed Lighting'!AA18,0))))),2)),0)</f>
        <v>0</v>
      </c>
      <c r="S21" s="99">
        <f>IF('Proposed Lighting'!AJ18&gt;0,'Proposed Lighting'!AJ18*J21,'Proposed Lighting'!$AU$328*J21)</f>
        <v>0</v>
      </c>
      <c r="T21" s="602">
        <f t="shared" si="2"/>
        <v>0</v>
      </c>
      <c r="U21" s="100"/>
      <c r="V21" s="99">
        <f t="shared" si="9"/>
        <v>0</v>
      </c>
      <c r="W21" s="99">
        <f t="shared" si="10"/>
        <v>0</v>
      </c>
      <c r="X21" s="99">
        <f t="shared" si="3"/>
        <v>0</v>
      </c>
      <c r="Y21" s="99"/>
      <c r="Z21" s="99">
        <f t="shared" si="11"/>
        <v>0</v>
      </c>
      <c r="AA21" s="99"/>
      <c r="AB21" s="99">
        <f t="shared" si="4"/>
        <v>0</v>
      </c>
      <c r="AC21" s="101" t="str">
        <f t="shared" si="5"/>
        <v/>
      </c>
      <c r="AD21" s="101" t="str">
        <f t="shared" si="6"/>
        <v/>
      </c>
      <c r="AE21" s="101" t="str">
        <f t="shared" si="7"/>
        <v/>
      </c>
      <c r="AF21" s="72"/>
      <c r="AG21" s="98">
        <f>IFERROR(IF($AV21="No",0,IF($AV21="yes",Summary!Q21,"")),"")</f>
        <v>0</v>
      </c>
      <c r="AH21" s="99">
        <f>IFERROR(IF($AV21="No",0,IF($AV21="yes",Summary!R21,"")),"")</f>
        <v>0</v>
      </c>
      <c r="AI21" s="99">
        <f>IFERROR(IF($AV21="No",0,IF($AV21="yes",Summary!S21,"")),"")</f>
        <v>0</v>
      </c>
      <c r="AJ21" s="602">
        <f>IFERROR(IF($AV21="No",0,IF($AV21="yes",Summary!T21,"")),"")</f>
        <v>0</v>
      </c>
      <c r="AK21" s="100">
        <f>IFERROR(IF($AV21="No",0,IF($AV21="yes",Summary!U21,"")),"")</f>
        <v>0</v>
      </c>
      <c r="AL21" s="99">
        <f>IFERROR(IF($AV21="No",0,IF($AV21="yes",Summary!V21,"")),"")</f>
        <v>0</v>
      </c>
      <c r="AM21" s="99">
        <f>IFERROR(IF($AV21="No",0,IF($AV21="yes",Summary!W21,"")),"")</f>
        <v>0</v>
      </c>
      <c r="AN21" s="99">
        <f>IFERROR(IF($AV21="No",0,IF($AV21="yes",Summary!X21,"")),"")</f>
        <v>0</v>
      </c>
      <c r="AO21" s="99">
        <f>IFERROR(IF($AV21="No",0,IF($AV21="yes",Summary!Y21+Z21,"")),"")</f>
        <v>0</v>
      </c>
      <c r="AP21" s="99">
        <f>IFERROR(IF($AV21="No",0,IF($AV21="yes",Summary!AB21,"")),"")</f>
        <v>0</v>
      </c>
      <c r="AQ21" s="101" t="str">
        <f t="shared" si="12"/>
        <v/>
      </c>
      <c r="AR21" s="101" t="str">
        <f t="shared" si="13"/>
        <v/>
      </c>
      <c r="AS21" s="101" t="str">
        <f t="shared" si="14"/>
        <v/>
      </c>
      <c r="AT21" s="96" t="s">
        <v>252</v>
      </c>
      <c r="AV21" t="str">
        <f>IF('Proposed Lighting'!CN18&gt;0,"No","Yes")</f>
        <v>Yes</v>
      </c>
    </row>
    <row r="22" spans="1:48" ht="35.1" customHeight="1" outlineLevel="1">
      <c r="A22" s="96" t="s">
        <v>253</v>
      </c>
      <c r="B22" s="96" t="str">
        <f>IF(ISNUMBER(SEARCH("case",E22)),"COM_MISC_REFR_ALL_UNKN1991",IF('Proposed Lighting'!AU19=3,"Commercial-All Com-ExtLight",IF('Proposed Lighting'!AH19&gt;8759,"IPC_8760","Commercial-All Com-IntLight")))</f>
        <v>IPC_8760</v>
      </c>
      <c r="C22" s="96" t="str">
        <f>IF(OR('Proposed Lighting'!DD19="Standard Incentive",'Proposed Lighting'!DD19="Non-Standard Incentive"),"Yes",IF(AND(IF(ISNUMBER(SEARCH("controls",'Proposed Lighting'!T19)),"True","False")="False",'Proposed Lighting'!DD19="Submit Control as Non-Standard"),"Yes","No"))</f>
        <v>No</v>
      </c>
      <c r="D22" s="1403">
        <f>'Proposed Lighting'!CV19-Q22</f>
        <v>0</v>
      </c>
      <c r="E22" s="143">
        <f>'Proposed Lighting'!T19</f>
        <v>0</v>
      </c>
      <c r="F22" s="143">
        <f>'Proposed Lighting'!F19</f>
        <v>0</v>
      </c>
      <c r="G22" s="96" t="s">
        <v>242</v>
      </c>
      <c r="H22" s="142" t="str">
        <f>'Proposed Lighting'!CP19</f>
        <v/>
      </c>
      <c r="I22" s="98">
        <v>1</v>
      </c>
      <c r="J22" s="142">
        <f>'Proposed Lighting'!AA19</f>
        <v>0</v>
      </c>
      <c r="K22" s="142" t="str">
        <f>IF(ISNUMBER(SEARCH("-C",'Proposed Lighting'!M19)),'Proposed Lighting'!AH19*0.9,'Proposed Lighting'!AH19)</f>
        <v/>
      </c>
      <c r="L22" s="142">
        <f>IFERROR(IF(OR('Proposed Lighting'!BC19=22,'Proposed Lighting'!BC19=44),1-25%,IF(OR('Proposed Lighting'!BC19=23,'Proposed Lighting'!BC19=46),1-30%,IF(OR('Proposed Lighting'!BC19=29,'Proposed Lighting'!BC19=39,'Proposed Lighting'!BC19=49),1-35%,IF(OR('Proposed Lighting'!BC19=24,'Proposed Lighting'!BC19=48),1-50%,IF(AND(ISNUMBER(SEARCH("-C",'Proposed Lighting'!M19)),'Proposed Lighting'!AU19=2),90%,100%)))))*'Proposed Lighting'!AH19,0)</f>
        <v>0</v>
      </c>
      <c r="M22" s="97">
        <f t="shared" si="0"/>
        <v>0</v>
      </c>
      <c r="N22" s="87">
        <f>IFERROR(IF('Proposed Lighting'!AU19=1,0,'Proposed Lighting'!AO19),0)</f>
        <v>0</v>
      </c>
      <c r="O22" s="88">
        <f>IF('Proposed Lighting'!AU19=1,0,'Proposed Lighting'!AP19)</f>
        <v>0</v>
      </c>
      <c r="P22" s="87">
        <f t="shared" si="1"/>
        <v>0</v>
      </c>
      <c r="Q22" s="98">
        <f t="shared" si="8"/>
        <v>0</v>
      </c>
      <c r="R22" s="99">
        <f>IFERROR(IF('Proposed Lighting'!T19="Lighting controls only",0,ROUND(IF('Proposed Lighting'!AQ19&lt;'Proposed Lighting'!AR19,0,IF('Proposed Lighting'!AH19=0,0,IF('Proposed Lighting'!BV19&gt;0,'Proposed Lighting'!BV19,IF('Proposed Lighting'!CL19=0,MIN('Proposed Lighting'!CN19:CO19),IF('Proposed Lighting'!CX19&gt;0,'Proposed Lighting'!CX19*'Proposed Lighting'!AA19,0))))),2)),0)</f>
        <v>0</v>
      </c>
      <c r="S22" s="99">
        <f>IF('Proposed Lighting'!AJ19&gt;0,'Proposed Lighting'!AJ19*J22,'Proposed Lighting'!$AU$328*J22)</f>
        <v>0</v>
      </c>
      <c r="T22" s="602">
        <f t="shared" si="2"/>
        <v>0</v>
      </c>
      <c r="U22" s="100"/>
      <c r="V22" s="99">
        <f t="shared" si="9"/>
        <v>0</v>
      </c>
      <c r="W22" s="99">
        <f t="shared" si="10"/>
        <v>0</v>
      </c>
      <c r="X22" s="99">
        <f t="shared" si="3"/>
        <v>0</v>
      </c>
      <c r="Y22" s="99"/>
      <c r="Z22" s="99">
        <f t="shared" si="11"/>
        <v>0</v>
      </c>
      <c r="AA22" s="99"/>
      <c r="AB22" s="99">
        <f t="shared" si="4"/>
        <v>0</v>
      </c>
      <c r="AC22" s="101" t="str">
        <f t="shared" si="5"/>
        <v/>
      </c>
      <c r="AD22" s="101" t="str">
        <f t="shared" si="6"/>
        <v/>
      </c>
      <c r="AE22" s="101" t="str">
        <f t="shared" si="7"/>
        <v/>
      </c>
      <c r="AF22" s="72"/>
      <c r="AG22" s="98">
        <f>IFERROR(IF($AV22="No",0,IF($AV22="yes",Summary!Q22,"")),"")</f>
        <v>0</v>
      </c>
      <c r="AH22" s="99">
        <f>IFERROR(IF($AV22="No",0,IF($AV22="yes",Summary!R22,"")),"")</f>
        <v>0</v>
      </c>
      <c r="AI22" s="99">
        <f>IFERROR(IF($AV22="No",0,IF($AV22="yes",Summary!S22,"")),"")</f>
        <v>0</v>
      </c>
      <c r="AJ22" s="602">
        <f>IFERROR(IF($AV22="No",0,IF($AV22="yes",Summary!T22,"")),"")</f>
        <v>0</v>
      </c>
      <c r="AK22" s="100">
        <f>IFERROR(IF($AV22="No",0,IF($AV22="yes",Summary!U22,"")),"")</f>
        <v>0</v>
      </c>
      <c r="AL22" s="99">
        <f>IFERROR(IF($AV22="No",0,IF($AV22="yes",Summary!V22,"")),"")</f>
        <v>0</v>
      </c>
      <c r="AM22" s="99">
        <f>IFERROR(IF($AV22="No",0,IF($AV22="yes",Summary!W22,"")),"")</f>
        <v>0</v>
      </c>
      <c r="AN22" s="99">
        <f>IFERROR(IF($AV22="No",0,IF($AV22="yes",Summary!X22,"")),"")</f>
        <v>0</v>
      </c>
      <c r="AO22" s="99">
        <f>IFERROR(IF($AV22="No",0,IF($AV22="yes",Summary!Y22+Z22,"")),"")</f>
        <v>0</v>
      </c>
      <c r="AP22" s="99">
        <f>IFERROR(IF($AV22="No",0,IF($AV22="yes",Summary!AB22,"")),"")</f>
        <v>0</v>
      </c>
      <c r="AQ22" s="101" t="str">
        <f t="shared" si="12"/>
        <v/>
      </c>
      <c r="AR22" s="101" t="str">
        <f t="shared" si="13"/>
        <v/>
      </c>
      <c r="AS22" s="101" t="str">
        <f t="shared" si="14"/>
        <v/>
      </c>
      <c r="AT22" s="96" t="s">
        <v>253</v>
      </c>
      <c r="AV22" t="str">
        <f>IF('Proposed Lighting'!CN19&gt;0,"No","Yes")</f>
        <v>Yes</v>
      </c>
    </row>
    <row r="23" spans="1:48" ht="59.25" customHeight="1" outlineLevel="1">
      <c r="A23" s="96" t="s">
        <v>254</v>
      </c>
      <c r="B23" s="96" t="str">
        <f>IF(ISNUMBER(SEARCH("case",E23)),"COM_MISC_REFR_ALL_UNKN1991",IF('Proposed Lighting'!AU20=3,"Commercial-All Com-ExtLight",IF('Proposed Lighting'!AH20&gt;8759,"IPC_8760","Commercial-All Com-IntLight")))</f>
        <v>IPC_8760</v>
      </c>
      <c r="C23" s="96" t="str">
        <f>IF(OR('Proposed Lighting'!DD20="Standard Incentive",'Proposed Lighting'!DD20="Non-Standard Incentive"),"Yes",IF(AND(IF(ISNUMBER(SEARCH("controls",'Proposed Lighting'!T20)),"True","False")="False",'Proposed Lighting'!DD20="Submit Control as Non-Standard"),"Yes","No"))</f>
        <v>No</v>
      </c>
      <c r="D23" s="1403">
        <f>'Proposed Lighting'!CV20-Q23</f>
        <v>0</v>
      </c>
      <c r="E23" s="143">
        <f>'Proposed Lighting'!T20</f>
        <v>0</v>
      </c>
      <c r="F23" s="143">
        <f>'Proposed Lighting'!F20</f>
        <v>0</v>
      </c>
      <c r="G23" s="96" t="s">
        <v>242</v>
      </c>
      <c r="H23" s="142" t="str">
        <f>'Proposed Lighting'!CP20</f>
        <v/>
      </c>
      <c r="I23" s="98">
        <v>1</v>
      </c>
      <c r="J23" s="142">
        <f>'Proposed Lighting'!AA20</f>
        <v>0</v>
      </c>
      <c r="K23" s="142" t="str">
        <f>IF(ISNUMBER(SEARCH("-C",'Proposed Lighting'!M20)),'Proposed Lighting'!AH20*0.9,'Proposed Lighting'!AH20)</f>
        <v/>
      </c>
      <c r="L23" s="142">
        <f>IFERROR(IF(OR('Proposed Lighting'!BC20=22,'Proposed Lighting'!BC20=44),1-25%,IF(OR('Proposed Lighting'!BC20=23,'Proposed Lighting'!BC20=46),1-30%,IF(OR('Proposed Lighting'!BC20=29,'Proposed Lighting'!BC20=39,'Proposed Lighting'!BC20=49),1-35%,IF(OR('Proposed Lighting'!BC20=24,'Proposed Lighting'!BC20=48),1-50%,IF(AND(ISNUMBER(SEARCH("-C",'Proposed Lighting'!M20)),'Proposed Lighting'!AU20=2),90%,100%)))))*'Proposed Lighting'!AH20,0)</f>
        <v>0</v>
      </c>
      <c r="M23" s="97">
        <f t="shared" si="0"/>
        <v>0</v>
      </c>
      <c r="N23" s="87">
        <f>IFERROR(IF('Proposed Lighting'!AU20=1,0,'Proposed Lighting'!AO20),0)</f>
        <v>0</v>
      </c>
      <c r="O23" s="88">
        <f>IF('Proposed Lighting'!AU20=1,0,'Proposed Lighting'!AP20)</f>
        <v>0</v>
      </c>
      <c r="P23" s="87">
        <f t="shared" si="1"/>
        <v>0</v>
      </c>
      <c r="Q23" s="98">
        <f t="shared" si="8"/>
        <v>0</v>
      </c>
      <c r="R23" s="99">
        <f>IFERROR(IF('Proposed Lighting'!T20="Lighting controls only",0,ROUND(IF('Proposed Lighting'!AQ20&lt;'Proposed Lighting'!AR20,0,IF('Proposed Lighting'!AH20=0,0,IF('Proposed Lighting'!BV20&gt;0,'Proposed Lighting'!BV20,IF('Proposed Lighting'!CL20=0,MIN('Proposed Lighting'!CN20:CO20),IF('Proposed Lighting'!CX20&gt;0,'Proposed Lighting'!CX20*'Proposed Lighting'!AA20,0))))),2)),0)</f>
        <v>0</v>
      </c>
      <c r="S23" s="99">
        <f>IF('Proposed Lighting'!AJ20&gt;0,'Proposed Lighting'!AJ20*J23,'Proposed Lighting'!$AU$328*J23)</f>
        <v>0</v>
      </c>
      <c r="T23" s="602">
        <f t="shared" si="2"/>
        <v>0</v>
      </c>
      <c r="U23" s="100"/>
      <c r="V23" s="99">
        <f t="shared" si="9"/>
        <v>0</v>
      </c>
      <c r="W23" s="99">
        <f t="shared" si="10"/>
        <v>0</v>
      </c>
      <c r="X23" s="99">
        <f t="shared" si="3"/>
        <v>0</v>
      </c>
      <c r="Y23" s="99"/>
      <c r="Z23" s="99">
        <f t="shared" si="11"/>
        <v>0</v>
      </c>
      <c r="AA23" s="99"/>
      <c r="AB23" s="99">
        <f t="shared" si="4"/>
        <v>0</v>
      </c>
      <c r="AC23" s="101" t="str">
        <f t="shared" si="5"/>
        <v/>
      </c>
      <c r="AD23" s="101" t="str">
        <f t="shared" si="6"/>
        <v/>
      </c>
      <c r="AE23" s="101" t="str">
        <f t="shared" si="7"/>
        <v/>
      </c>
      <c r="AF23" s="72"/>
      <c r="AG23" s="98">
        <f>IFERROR(IF($AV23="No",0,IF($AV23="yes",Summary!Q23,"")),"")</f>
        <v>0</v>
      </c>
      <c r="AH23" s="99">
        <f>IFERROR(IF($AV23="No",0,IF($AV23="yes",Summary!R23,"")),"")</f>
        <v>0</v>
      </c>
      <c r="AI23" s="99">
        <f>IFERROR(IF($AV23="No",0,IF($AV23="yes",Summary!S23,"")),"")</f>
        <v>0</v>
      </c>
      <c r="AJ23" s="602">
        <f>IFERROR(IF($AV23="No",0,IF($AV23="yes",Summary!T23,"")),"")</f>
        <v>0</v>
      </c>
      <c r="AK23" s="100">
        <f>IFERROR(IF($AV23="No",0,IF($AV23="yes",Summary!U23,"")),"")</f>
        <v>0</v>
      </c>
      <c r="AL23" s="99">
        <f>IFERROR(IF($AV23="No",0,IF($AV23="yes",Summary!V23,"")),"")</f>
        <v>0</v>
      </c>
      <c r="AM23" s="99">
        <f>IFERROR(IF($AV23="No",0,IF($AV23="yes",Summary!W23,"")),"")</f>
        <v>0</v>
      </c>
      <c r="AN23" s="99">
        <f>IFERROR(IF($AV23="No",0,IF($AV23="yes",Summary!X23,"")),"")</f>
        <v>0</v>
      </c>
      <c r="AO23" s="99">
        <f>IFERROR(IF($AV23="No",0,IF($AV23="yes",Summary!Y23+Z23,"")),"")</f>
        <v>0</v>
      </c>
      <c r="AP23" s="99">
        <f>IFERROR(IF($AV23="No",0,IF($AV23="yes",Summary!AB23,"")),"")</f>
        <v>0</v>
      </c>
      <c r="AQ23" s="101" t="str">
        <f t="shared" si="12"/>
        <v/>
      </c>
      <c r="AR23" s="101" t="str">
        <f t="shared" si="13"/>
        <v/>
      </c>
      <c r="AS23" s="101" t="str">
        <f t="shared" si="14"/>
        <v/>
      </c>
      <c r="AT23" s="96" t="s">
        <v>254</v>
      </c>
      <c r="AV23" t="str">
        <f>IF('Proposed Lighting'!CN20&gt;0,"No","Yes")</f>
        <v>Yes</v>
      </c>
    </row>
    <row r="24" spans="1:48" ht="35.1" customHeight="1" outlineLevel="1">
      <c r="A24" s="96" t="s">
        <v>255</v>
      </c>
      <c r="B24" s="96" t="str">
        <f>IF(ISNUMBER(SEARCH("case",E24)),"COM_MISC_REFR_ALL_UNKN1991",IF('Proposed Lighting'!AU21=3,"Commercial-All Com-ExtLight",IF('Proposed Lighting'!AH21&gt;8759,"IPC_8760","Commercial-All Com-IntLight")))</f>
        <v>IPC_8760</v>
      </c>
      <c r="C24" s="96" t="str">
        <f>IF(OR('Proposed Lighting'!DD21="Standard Incentive",'Proposed Lighting'!DD21="Non-Standard Incentive"),"Yes",IF(AND(IF(ISNUMBER(SEARCH("controls",'Proposed Lighting'!T21)),"True","False")="False",'Proposed Lighting'!DD21="Submit Control as Non-Standard"),"Yes","No"))</f>
        <v>No</v>
      </c>
      <c r="D24" s="1403">
        <f>'Proposed Lighting'!CV21-Q24</f>
        <v>0</v>
      </c>
      <c r="E24" s="143">
        <f>'Proposed Lighting'!T21</f>
        <v>0</v>
      </c>
      <c r="F24" s="143">
        <f>'Proposed Lighting'!F21</f>
        <v>0</v>
      </c>
      <c r="G24" s="96" t="s">
        <v>242</v>
      </c>
      <c r="H24" s="142" t="str">
        <f>'Proposed Lighting'!CP21</f>
        <v/>
      </c>
      <c r="I24" s="98">
        <v>1</v>
      </c>
      <c r="J24" s="142">
        <f>'Proposed Lighting'!AA21</f>
        <v>0</v>
      </c>
      <c r="K24" s="142" t="str">
        <f>IF(ISNUMBER(SEARCH("-C",'Proposed Lighting'!M21)),'Proposed Lighting'!AH21*0.9,'Proposed Lighting'!AH21)</f>
        <v/>
      </c>
      <c r="L24" s="142">
        <f>IFERROR(IF(OR('Proposed Lighting'!BC21=22,'Proposed Lighting'!BC21=44),1-25%,IF(OR('Proposed Lighting'!BC21=23,'Proposed Lighting'!BC21=46),1-30%,IF(OR('Proposed Lighting'!BC21=29,'Proposed Lighting'!BC21=39,'Proposed Lighting'!BC21=49),1-35%,IF(OR('Proposed Lighting'!BC21=24,'Proposed Lighting'!BC21=48),1-50%,IF(AND(ISNUMBER(SEARCH("-C",'Proposed Lighting'!M21)),'Proposed Lighting'!AU21=2),90%,100%)))))*'Proposed Lighting'!AH21,0)</f>
        <v>0</v>
      </c>
      <c r="M24" s="97">
        <f t="shared" si="0"/>
        <v>0</v>
      </c>
      <c r="N24" s="87">
        <f>IFERROR(IF('Proposed Lighting'!AU21=1,0,'Proposed Lighting'!AO21),0)</f>
        <v>0</v>
      </c>
      <c r="O24" s="88">
        <f>IF('Proposed Lighting'!AU21=1,0,'Proposed Lighting'!AP21)</f>
        <v>0</v>
      </c>
      <c r="P24" s="87">
        <f t="shared" si="1"/>
        <v>0</v>
      </c>
      <c r="Q24" s="98">
        <f t="shared" si="8"/>
        <v>0</v>
      </c>
      <c r="R24" s="99">
        <f>IFERROR(IF('Proposed Lighting'!T21="Lighting controls only",0,ROUND(IF('Proposed Lighting'!AQ21&lt;'Proposed Lighting'!AR21,0,IF('Proposed Lighting'!AH21=0,0,IF('Proposed Lighting'!BV21&gt;0,'Proposed Lighting'!BV21,IF('Proposed Lighting'!CL21=0,MIN('Proposed Lighting'!CN21:CO21),IF('Proposed Lighting'!CX21&gt;0,'Proposed Lighting'!CX21*'Proposed Lighting'!AA21,0))))),2)),0)</f>
        <v>0</v>
      </c>
      <c r="S24" s="99">
        <f>IF('Proposed Lighting'!AJ21&gt;0,'Proposed Lighting'!AJ21*J24,'Proposed Lighting'!$AU$328*J24)</f>
        <v>0</v>
      </c>
      <c r="T24" s="602">
        <f t="shared" si="2"/>
        <v>0</v>
      </c>
      <c r="U24" s="100"/>
      <c r="V24" s="99">
        <f t="shared" si="9"/>
        <v>0</v>
      </c>
      <c r="W24" s="99">
        <f t="shared" si="10"/>
        <v>0</v>
      </c>
      <c r="X24" s="99">
        <f t="shared" si="3"/>
        <v>0</v>
      </c>
      <c r="Y24" s="99"/>
      <c r="Z24" s="99">
        <f t="shared" si="11"/>
        <v>0</v>
      </c>
      <c r="AA24" s="99"/>
      <c r="AB24" s="99">
        <f t="shared" si="4"/>
        <v>0</v>
      </c>
      <c r="AC24" s="101" t="str">
        <f t="shared" si="5"/>
        <v/>
      </c>
      <c r="AD24" s="101" t="str">
        <f t="shared" si="6"/>
        <v/>
      </c>
      <c r="AE24" s="101" t="str">
        <f t="shared" si="7"/>
        <v/>
      </c>
      <c r="AF24" s="72"/>
      <c r="AG24" s="98">
        <f>IFERROR(IF($AV24="No",0,IF($AV24="yes",Summary!Q24,"")),"")</f>
        <v>0</v>
      </c>
      <c r="AH24" s="99">
        <f>IFERROR(IF($AV24="No",0,IF($AV24="yes",Summary!R24,"")),"")</f>
        <v>0</v>
      </c>
      <c r="AI24" s="99">
        <f>IFERROR(IF($AV24="No",0,IF($AV24="yes",Summary!S24,"")),"")</f>
        <v>0</v>
      </c>
      <c r="AJ24" s="602">
        <f>IFERROR(IF($AV24="No",0,IF($AV24="yes",Summary!T24,"")),"")</f>
        <v>0</v>
      </c>
      <c r="AK24" s="100">
        <f>IFERROR(IF($AV24="No",0,IF($AV24="yes",Summary!U24,"")),"")</f>
        <v>0</v>
      </c>
      <c r="AL24" s="99">
        <f>IFERROR(IF($AV24="No",0,IF($AV24="yes",Summary!V24,"")),"")</f>
        <v>0</v>
      </c>
      <c r="AM24" s="99">
        <f>IFERROR(IF($AV24="No",0,IF($AV24="yes",Summary!W24,"")),"")</f>
        <v>0</v>
      </c>
      <c r="AN24" s="99">
        <f>IFERROR(IF($AV24="No",0,IF($AV24="yes",Summary!X24,"")),"")</f>
        <v>0</v>
      </c>
      <c r="AO24" s="99">
        <f>IFERROR(IF($AV24="No",0,IF($AV24="yes",Summary!Y24+Z24,"")),"")</f>
        <v>0</v>
      </c>
      <c r="AP24" s="99">
        <f>IFERROR(IF($AV24="No",0,IF($AV24="yes",Summary!AB24,"")),"")</f>
        <v>0</v>
      </c>
      <c r="AQ24" s="101" t="str">
        <f t="shared" si="12"/>
        <v/>
      </c>
      <c r="AR24" s="101" t="str">
        <f t="shared" si="13"/>
        <v/>
      </c>
      <c r="AS24" s="101" t="str">
        <f t="shared" si="14"/>
        <v/>
      </c>
      <c r="AT24" s="96" t="s">
        <v>255</v>
      </c>
      <c r="AV24" t="str">
        <f>IF('Proposed Lighting'!CN21&gt;0,"No","Yes")</f>
        <v>Yes</v>
      </c>
    </row>
    <row r="25" spans="1:48" ht="35.1" customHeight="1" outlineLevel="1">
      <c r="A25" s="96" t="s">
        <v>256</v>
      </c>
      <c r="B25" s="96" t="str">
        <f>IF(ISNUMBER(SEARCH("case",E25)),"COM_MISC_REFR_ALL_UNKN1991",IF('Proposed Lighting'!AU22=3,"Commercial-All Com-ExtLight",IF('Proposed Lighting'!AH22&gt;8759,"IPC_8760","Commercial-All Com-IntLight")))</f>
        <v>IPC_8760</v>
      </c>
      <c r="C25" s="96" t="str">
        <f>IF(OR('Proposed Lighting'!DD22="Standard Incentive",'Proposed Lighting'!DD22="Non-Standard Incentive"),"Yes",IF(AND(IF(ISNUMBER(SEARCH("controls",'Proposed Lighting'!T22)),"True","False")="False",'Proposed Lighting'!DD22="Submit Control as Non-Standard"),"Yes","No"))</f>
        <v>No</v>
      </c>
      <c r="D25" s="1403">
        <f>'Proposed Lighting'!CV22-Q25</f>
        <v>0</v>
      </c>
      <c r="E25" s="143">
        <f>'Proposed Lighting'!T22</f>
        <v>0</v>
      </c>
      <c r="F25" s="143">
        <f>'Proposed Lighting'!F22</f>
        <v>0</v>
      </c>
      <c r="G25" s="96" t="s">
        <v>242</v>
      </c>
      <c r="H25" s="142" t="str">
        <f>'Proposed Lighting'!CP22</f>
        <v/>
      </c>
      <c r="I25" s="98">
        <v>1</v>
      </c>
      <c r="J25" s="142">
        <f>'Proposed Lighting'!AA22</f>
        <v>0</v>
      </c>
      <c r="K25" s="142" t="str">
        <f>IF(ISNUMBER(SEARCH("-C",'Proposed Lighting'!M22)),'Proposed Lighting'!AH22*0.9,'Proposed Lighting'!AH22)</f>
        <v/>
      </c>
      <c r="L25" s="142">
        <f>IFERROR(IF(OR('Proposed Lighting'!BC22=22,'Proposed Lighting'!BC22=44),1-25%,IF(OR('Proposed Lighting'!BC22=23,'Proposed Lighting'!BC22=46),1-30%,IF(OR('Proposed Lighting'!BC22=29,'Proposed Lighting'!BC22=39,'Proposed Lighting'!BC22=49),1-35%,IF(OR('Proposed Lighting'!BC22=24,'Proposed Lighting'!BC22=48),1-50%,IF(AND(ISNUMBER(SEARCH("-C",'Proposed Lighting'!M22)),'Proposed Lighting'!AU22=2),90%,100%)))))*'Proposed Lighting'!AH22,0)</f>
        <v>0</v>
      </c>
      <c r="M25" s="97">
        <f t="shared" si="0"/>
        <v>0</v>
      </c>
      <c r="N25" s="87">
        <f>IFERROR(IF('Proposed Lighting'!AU22=1,0,'Proposed Lighting'!AO22),0)</f>
        <v>0</v>
      </c>
      <c r="O25" s="88">
        <f>IF('Proposed Lighting'!AU22=1,0,'Proposed Lighting'!AP22)</f>
        <v>0</v>
      </c>
      <c r="P25" s="87">
        <f t="shared" si="1"/>
        <v>0</v>
      </c>
      <c r="Q25" s="98">
        <f t="shared" si="8"/>
        <v>0</v>
      </c>
      <c r="R25" s="99">
        <f>IFERROR(IF('Proposed Lighting'!T22="Lighting controls only",0,ROUND(IF('Proposed Lighting'!AQ22&lt;'Proposed Lighting'!AR22,0,IF('Proposed Lighting'!AH22=0,0,IF('Proposed Lighting'!BV22&gt;0,'Proposed Lighting'!BV22,IF('Proposed Lighting'!CL22=0,MIN('Proposed Lighting'!CN22:CO22),IF('Proposed Lighting'!CX22&gt;0,'Proposed Lighting'!CX22*'Proposed Lighting'!AA22,0))))),2)),0)</f>
        <v>0</v>
      </c>
      <c r="S25" s="99">
        <f>IF('Proposed Lighting'!AJ22&gt;0,'Proposed Lighting'!AJ22*J25,'Proposed Lighting'!$AU$328*J25)</f>
        <v>0</v>
      </c>
      <c r="T25" s="602">
        <f t="shared" si="2"/>
        <v>0</v>
      </c>
      <c r="U25" s="100"/>
      <c r="V25" s="99">
        <f t="shared" si="9"/>
        <v>0</v>
      </c>
      <c r="W25" s="99">
        <f t="shared" si="10"/>
        <v>0</v>
      </c>
      <c r="X25" s="99">
        <f t="shared" si="3"/>
        <v>0</v>
      </c>
      <c r="Y25" s="99"/>
      <c r="Z25" s="99">
        <f t="shared" si="11"/>
        <v>0</v>
      </c>
      <c r="AA25" s="99"/>
      <c r="AB25" s="99">
        <f t="shared" si="4"/>
        <v>0</v>
      </c>
      <c r="AC25" s="101" t="str">
        <f t="shared" si="5"/>
        <v/>
      </c>
      <c r="AD25" s="101" t="str">
        <f t="shared" si="6"/>
        <v/>
      </c>
      <c r="AE25" s="101" t="str">
        <f t="shared" si="7"/>
        <v/>
      </c>
      <c r="AF25" s="72"/>
      <c r="AG25" s="98">
        <f>IFERROR(IF($AV25="No",0,IF($AV25="yes",Summary!Q25,"")),"")</f>
        <v>0</v>
      </c>
      <c r="AH25" s="99">
        <f>IFERROR(IF($AV25="No",0,IF($AV25="yes",Summary!R25,"")),"")</f>
        <v>0</v>
      </c>
      <c r="AI25" s="99">
        <f>IFERROR(IF($AV25="No",0,IF($AV25="yes",Summary!S25,"")),"")</f>
        <v>0</v>
      </c>
      <c r="AJ25" s="602">
        <f>IFERROR(IF($AV25="No",0,IF($AV25="yes",Summary!T25,"")),"")</f>
        <v>0</v>
      </c>
      <c r="AK25" s="100">
        <f>IFERROR(IF($AV25="No",0,IF($AV25="yes",Summary!U25,"")),"")</f>
        <v>0</v>
      </c>
      <c r="AL25" s="99">
        <f>IFERROR(IF($AV25="No",0,IF($AV25="yes",Summary!V25,"")),"")</f>
        <v>0</v>
      </c>
      <c r="AM25" s="99">
        <f>IFERROR(IF($AV25="No",0,IF($AV25="yes",Summary!W25,"")),"")</f>
        <v>0</v>
      </c>
      <c r="AN25" s="99">
        <f>IFERROR(IF($AV25="No",0,IF($AV25="yes",Summary!X25,"")),"")</f>
        <v>0</v>
      </c>
      <c r="AO25" s="99">
        <f>IFERROR(IF($AV25="No",0,IF($AV25="yes",Summary!Y25+Z25,"")),"")</f>
        <v>0</v>
      </c>
      <c r="AP25" s="99">
        <f>IFERROR(IF($AV25="No",0,IF($AV25="yes",Summary!AB25,"")),"")</f>
        <v>0</v>
      </c>
      <c r="AQ25" s="101" t="str">
        <f t="shared" si="12"/>
        <v/>
      </c>
      <c r="AR25" s="101" t="str">
        <f t="shared" si="13"/>
        <v/>
      </c>
      <c r="AS25" s="101" t="str">
        <f t="shared" si="14"/>
        <v/>
      </c>
      <c r="AT25" s="96" t="s">
        <v>256</v>
      </c>
      <c r="AV25" t="str">
        <f>IF('Proposed Lighting'!CN22&gt;0,"No","Yes")</f>
        <v>Yes</v>
      </c>
    </row>
    <row r="26" spans="1:48" ht="35.1" customHeight="1" outlineLevel="1">
      <c r="A26" s="96" t="s">
        <v>257</v>
      </c>
      <c r="B26" s="96" t="str">
        <f>IF(ISNUMBER(SEARCH("case",E26)),"COM_MISC_REFR_ALL_UNKN1991",IF('Proposed Lighting'!AU23=3,"Commercial-All Com-ExtLight",IF('Proposed Lighting'!AH23&gt;8759,"IPC_8760","Commercial-All Com-IntLight")))</f>
        <v>IPC_8760</v>
      </c>
      <c r="C26" s="96" t="str">
        <f>IF(OR('Proposed Lighting'!DD23="Standard Incentive",'Proposed Lighting'!DD23="Non-Standard Incentive"),"Yes",IF(AND(IF(ISNUMBER(SEARCH("controls",'Proposed Lighting'!T23)),"True","False")="False",'Proposed Lighting'!DD23="Submit Control as Non-Standard"),"Yes","No"))</f>
        <v>No</v>
      </c>
      <c r="D26" s="1403">
        <f>'Proposed Lighting'!CV23-Q26</f>
        <v>0</v>
      </c>
      <c r="E26" s="143">
        <f>'Proposed Lighting'!T23</f>
        <v>0</v>
      </c>
      <c r="F26" s="143">
        <f>'Proposed Lighting'!F23</f>
        <v>0</v>
      </c>
      <c r="G26" s="96" t="s">
        <v>242</v>
      </c>
      <c r="H26" s="142" t="str">
        <f>'Proposed Lighting'!CP23</f>
        <v/>
      </c>
      <c r="I26" s="98">
        <v>1</v>
      </c>
      <c r="J26" s="142">
        <f>'Proposed Lighting'!AA23</f>
        <v>0</v>
      </c>
      <c r="K26" s="142" t="str">
        <f>IF(ISNUMBER(SEARCH("-C",'Proposed Lighting'!M23)),'Proposed Lighting'!AH23*0.9,'Proposed Lighting'!AH23)</f>
        <v/>
      </c>
      <c r="L26" s="142">
        <f>IFERROR(IF(OR('Proposed Lighting'!BC23=22,'Proposed Lighting'!BC23=44),1-25%,IF(OR('Proposed Lighting'!BC23=23,'Proposed Lighting'!BC23=46),1-30%,IF(OR('Proposed Lighting'!BC23=29,'Proposed Lighting'!BC23=39,'Proposed Lighting'!BC23=49),1-35%,IF(OR('Proposed Lighting'!BC23=24,'Proposed Lighting'!BC23=48),1-50%,IF(AND(ISNUMBER(SEARCH("-C",'Proposed Lighting'!M23)),'Proposed Lighting'!AU23=2),90%,100%)))))*'Proposed Lighting'!AH23,0)</f>
        <v>0</v>
      </c>
      <c r="M26" s="97">
        <f t="shared" si="0"/>
        <v>0</v>
      </c>
      <c r="N26" s="87">
        <f>IFERROR(IF('Proposed Lighting'!AU23=1,0,'Proposed Lighting'!AO23),0)</f>
        <v>0</v>
      </c>
      <c r="O26" s="88">
        <f>IF('Proposed Lighting'!AU23=1,0,'Proposed Lighting'!AP23)</f>
        <v>0</v>
      </c>
      <c r="P26" s="87">
        <f t="shared" si="1"/>
        <v>0</v>
      </c>
      <c r="Q26" s="98">
        <f t="shared" si="8"/>
        <v>0</v>
      </c>
      <c r="R26" s="99">
        <f>IFERROR(IF('Proposed Lighting'!T23="Lighting controls only",0,ROUND(IF('Proposed Lighting'!AQ23&lt;'Proposed Lighting'!AR23,0,IF('Proposed Lighting'!AH23=0,0,IF('Proposed Lighting'!BV23&gt;0,'Proposed Lighting'!BV23,IF('Proposed Lighting'!CL23=0,MIN('Proposed Lighting'!CN23:CO23),IF('Proposed Lighting'!CX23&gt;0,'Proposed Lighting'!CX23*'Proposed Lighting'!AA23,0))))),2)),0)</f>
        <v>0</v>
      </c>
      <c r="S26" s="99">
        <f>IF('Proposed Lighting'!AJ23&gt;0,'Proposed Lighting'!AJ23*J26,'Proposed Lighting'!$AU$328*J26)</f>
        <v>0</v>
      </c>
      <c r="T26" s="602">
        <f t="shared" si="2"/>
        <v>0</v>
      </c>
      <c r="U26" s="100"/>
      <c r="V26" s="99">
        <f t="shared" si="9"/>
        <v>0</v>
      </c>
      <c r="W26" s="99">
        <f t="shared" si="10"/>
        <v>0</v>
      </c>
      <c r="X26" s="99">
        <f t="shared" si="3"/>
        <v>0</v>
      </c>
      <c r="Y26" s="99"/>
      <c r="Z26" s="99">
        <f t="shared" si="11"/>
        <v>0</v>
      </c>
      <c r="AA26" s="99"/>
      <c r="AB26" s="99">
        <f t="shared" si="4"/>
        <v>0</v>
      </c>
      <c r="AC26" s="101" t="str">
        <f t="shared" si="5"/>
        <v/>
      </c>
      <c r="AD26" s="101" t="str">
        <f t="shared" si="6"/>
        <v/>
      </c>
      <c r="AE26" s="101" t="str">
        <f t="shared" si="7"/>
        <v/>
      </c>
      <c r="AF26" s="72"/>
      <c r="AG26" s="98">
        <f>IFERROR(IF($AV26="No",0,IF($AV26="yes",Summary!Q26,"")),"")</f>
        <v>0</v>
      </c>
      <c r="AH26" s="99">
        <f>IFERROR(IF($AV26="No",0,IF($AV26="yes",Summary!R26,"")),"")</f>
        <v>0</v>
      </c>
      <c r="AI26" s="99">
        <f>IFERROR(IF($AV26="No",0,IF($AV26="yes",Summary!S26,"")),"")</f>
        <v>0</v>
      </c>
      <c r="AJ26" s="602">
        <f>IFERROR(IF($AV26="No",0,IF($AV26="yes",Summary!T26,"")),"")</f>
        <v>0</v>
      </c>
      <c r="AK26" s="100">
        <f>IFERROR(IF($AV26="No",0,IF($AV26="yes",Summary!U26,"")),"")</f>
        <v>0</v>
      </c>
      <c r="AL26" s="99">
        <f>IFERROR(IF($AV26="No",0,IF($AV26="yes",Summary!V26,"")),"")</f>
        <v>0</v>
      </c>
      <c r="AM26" s="99">
        <f>IFERROR(IF($AV26="No",0,IF($AV26="yes",Summary!W26,"")),"")</f>
        <v>0</v>
      </c>
      <c r="AN26" s="99">
        <f>IFERROR(IF($AV26="No",0,IF($AV26="yes",Summary!X26,"")),"")</f>
        <v>0</v>
      </c>
      <c r="AO26" s="99">
        <f>IFERROR(IF($AV26="No",0,IF($AV26="yes",Summary!Y26+Z26,"")),"")</f>
        <v>0</v>
      </c>
      <c r="AP26" s="99">
        <f>IFERROR(IF($AV26="No",0,IF($AV26="yes",Summary!AB26,"")),"")</f>
        <v>0</v>
      </c>
      <c r="AQ26" s="101" t="str">
        <f t="shared" si="12"/>
        <v/>
      </c>
      <c r="AR26" s="101" t="str">
        <f t="shared" si="13"/>
        <v/>
      </c>
      <c r="AS26" s="101" t="str">
        <f t="shared" si="14"/>
        <v/>
      </c>
      <c r="AT26" s="96" t="s">
        <v>257</v>
      </c>
      <c r="AV26" t="str">
        <f>IF('Proposed Lighting'!CN23&gt;0,"No","Yes")</f>
        <v>Yes</v>
      </c>
    </row>
    <row r="27" spans="1:48" ht="35.1" customHeight="1" outlineLevel="1">
      <c r="A27" s="96" t="s">
        <v>258</v>
      </c>
      <c r="B27" s="96" t="str">
        <f>IF(ISNUMBER(SEARCH("case",E27)),"COM_MISC_REFR_ALL_UNKN1991",IF('Proposed Lighting'!AU24=3,"Commercial-All Com-ExtLight",IF('Proposed Lighting'!AH24&gt;8759,"IPC_8760","Commercial-All Com-IntLight")))</f>
        <v>IPC_8760</v>
      </c>
      <c r="C27" s="96" t="str">
        <f>IF(OR('Proposed Lighting'!DD24="Standard Incentive",'Proposed Lighting'!DD24="Non-Standard Incentive"),"Yes",IF(AND(IF(ISNUMBER(SEARCH("controls",'Proposed Lighting'!T24)),"True","False")="False",'Proposed Lighting'!DD24="Submit Control as Non-Standard"),"Yes","No"))</f>
        <v>No</v>
      </c>
      <c r="D27" s="1403">
        <f>'Proposed Lighting'!CV24-Q27</f>
        <v>0</v>
      </c>
      <c r="E27" s="143">
        <f>'Proposed Lighting'!T24</f>
        <v>0</v>
      </c>
      <c r="F27" s="143">
        <f>'Proposed Lighting'!F24</f>
        <v>0</v>
      </c>
      <c r="G27" s="96" t="s">
        <v>242</v>
      </c>
      <c r="H27" s="142" t="str">
        <f>'Proposed Lighting'!CP24</f>
        <v/>
      </c>
      <c r="I27" s="98">
        <v>1</v>
      </c>
      <c r="J27" s="142">
        <f>'Proposed Lighting'!AA24</f>
        <v>0</v>
      </c>
      <c r="K27" s="142" t="str">
        <f>IF(ISNUMBER(SEARCH("-C",'Proposed Lighting'!M24)),'Proposed Lighting'!AH24*0.9,'Proposed Lighting'!AH24)</f>
        <v/>
      </c>
      <c r="L27" s="142">
        <f>IFERROR(IF(OR('Proposed Lighting'!BC24=22,'Proposed Lighting'!BC24=44),1-25%,IF(OR('Proposed Lighting'!BC24=23,'Proposed Lighting'!BC24=46),1-30%,IF(OR('Proposed Lighting'!BC24=29,'Proposed Lighting'!BC24=39,'Proposed Lighting'!BC24=49),1-35%,IF(OR('Proposed Lighting'!BC24=24,'Proposed Lighting'!BC24=48),1-50%,IF(AND(ISNUMBER(SEARCH("-C",'Proposed Lighting'!M24)),'Proposed Lighting'!AU24=2),90%,100%)))))*'Proposed Lighting'!AH24,0)</f>
        <v>0</v>
      </c>
      <c r="M27" s="87">
        <f t="shared" si="0"/>
        <v>0</v>
      </c>
      <c r="N27" s="87">
        <f>IFERROR(IF('Proposed Lighting'!AU24=1,0,'Proposed Lighting'!AO24),0)</f>
        <v>0</v>
      </c>
      <c r="O27" s="88">
        <f>IF('Proposed Lighting'!AU24=1,0,'Proposed Lighting'!AP24)</f>
        <v>0</v>
      </c>
      <c r="P27" s="87">
        <f t="shared" si="1"/>
        <v>0</v>
      </c>
      <c r="Q27" s="98">
        <f t="shared" si="8"/>
        <v>0</v>
      </c>
      <c r="R27" s="99">
        <f>IFERROR(IF('Proposed Lighting'!T24="Lighting controls only",0,ROUND(IF('Proposed Lighting'!AQ24&lt;'Proposed Lighting'!AR24,0,IF('Proposed Lighting'!AH24=0,0,IF('Proposed Lighting'!BV24&gt;0,'Proposed Lighting'!BV24,IF('Proposed Lighting'!CL24=0,MIN('Proposed Lighting'!CN24:CO24),IF('Proposed Lighting'!CX24&gt;0,'Proposed Lighting'!CX24*'Proposed Lighting'!AA24,0))))),2)),0)</f>
        <v>0</v>
      </c>
      <c r="S27" s="99">
        <f>IF('Proposed Lighting'!AJ24&gt;0,'Proposed Lighting'!AJ24*J27,'Proposed Lighting'!$AU$328*J27)</f>
        <v>0</v>
      </c>
      <c r="T27" s="602">
        <f t="shared" si="2"/>
        <v>0</v>
      </c>
      <c r="U27" s="100"/>
      <c r="V27" s="99">
        <f t="shared" si="9"/>
        <v>0</v>
      </c>
      <c r="W27" s="99">
        <f t="shared" si="10"/>
        <v>0</v>
      </c>
      <c r="X27" s="99">
        <f t="shared" si="3"/>
        <v>0</v>
      </c>
      <c r="Y27" s="99"/>
      <c r="Z27" s="99">
        <f t="shared" si="11"/>
        <v>0</v>
      </c>
      <c r="AA27" s="99"/>
      <c r="AB27" s="99">
        <f t="shared" si="4"/>
        <v>0</v>
      </c>
      <c r="AC27" s="101" t="str">
        <f t="shared" si="5"/>
        <v/>
      </c>
      <c r="AD27" s="101" t="str">
        <f t="shared" si="6"/>
        <v/>
      </c>
      <c r="AE27" s="101" t="str">
        <f t="shared" si="7"/>
        <v/>
      </c>
      <c r="AF27" s="72"/>
      <c r="AG27" s="98">
        <f>IFERROR(IF($AV27="No",0,IF($AV27="yes",Summary!Q27,"")),"")</f>
        <v>0</v>
      </c>
      <c r="AH27" s="99">
        <f>IFERROR(IF($AV27="No",0,IF($AV27="yes",Summary!R27,"")),"")</f>
        <v>0</v>
      </c>
      <c r="AI27" s="99">
        <f>IFERROR(IF($AV27="No",0,IF($AV27="yes",Summary!S27,"")),"")</f>
        <v>0</v>
      </c>
      <c r="AJ27" s="602">
        <f>IFERROR(IF($AV27="No",0,IF($AV27="yes",Summary!T27,"")),"")</f>
        <v>0</v>
      </c>
      <c r="AK27" s="100">
        <f>IFERROR(IF($AV27="No",0,IF($AV27="yes",Summary!U27,"")),"")</f>
        <v>0</v>
      </c>
      <c r="AL27" s="99">
        <f>IFERROR(IF($AV27="No",0,IF($AV27="yes",Summary!V27,"")),"")</f>
        <v>0</v>
      </c>
      <c r="AM27" s="99">
        <f>IFERROR(IF($AV27="No",0,IF($AV27="yes",Summary!W27,"")),"")</f>
        <v>0</v>
      </c>
      <c r="AN27" s="99">
        <f>IFERROR(IF($AV27="No",0,IF($AV27="yes",Summary!X27,"")),"")</f>
        <v>0</v>
      </c>
      <c r="AO27" s="99">
        <f>IFERROR(IF($AV27="No",0,IF($AV27="yes",Summary!Y27+Z27,"")),"")</f>
        <v>0</v>
      </c>
      <c r="AP27" s="99">
        <f>IFERROR(IF($AV27="No",0,IF($AV27="yes",Summary!AB27,"")),"")</f>
        <v>0</v>
      </c>
      <c r="AQ27" s="101" t="str">
        <f t="shared" si="12"/>
        <v/>
      </c>
      <c r="AR27" s="101" t="str">
        <f t="shared" si="13"/>
        <v/>
      </c>
      <c r="AS27" s="101" t="str">
        <f t="shared" si="14"/>
        <v/>
      </c>
      <c r="AT27" s="96" t="s">
        <v>258</v>
      </c>
      <c r="AV27" t="str">
        <f>IF('Proposed Lighting'!CN24&gt;0,"No","Yes")</f>
        <v>Yes</v>
      </c>
    </row>
    <row r="28" spans="1:48" ht="35.1" customHeight="1" outlineLevel="1">
      <c r="A28" s="96" t="s">
        <v>259</v>
      </c>
      <c r="B28" s="96" t="str">
        <f>IF(ISNUMBER(SEARCH("case",E28)),"COM_MISC_REFR_ALL_UNKN1991",IF('Proposed Lighting'!AU25=3,"Commercial-All Com-ExtLight",IF('Proposed Lighting'!AH25&gt;8759,"IPC_8760","Commercial-All Com-IntLight")))</f>
        <v>IPC_8760</v>
      </c>
      <c r="C28" s="96" t="str">
        <f>IF(OR('Proposed Lighting'!DD25="Standard Incentive",'Proposed Lighting'!DD25="Non-Standard Incentive"),"Yes",IF(AND(IF(ISNUMBER(SEARCH("controls",'Proposed Lighting'!T25)),"True","False")="False",'Proposed Lighting'!DD25="Submit Control as Non-Standard"),"Yes","No"))</f>
        <v>No</v>
      </c>
      <c r="D28" s="1403">
        <f>'Proposed Lighting'!CV25-Q28</f>
        <v>0</v>
      </c>
      <c r="E28" s="143">
        <f>'Proposed Lighting'!T25</f>
        <v>0</v>
      </c>
      <c r="F28" s="143">
        <f>'Proposed Lighting'!F25</f>
        <v>0</v>
      </c>
      <c r="G28" s="96" t="s">
        <v>242</v>
      </c>
      <c r="H28" s="142" t="str">
        <f>'Proposed Lighting'!CP25</f>
        <v/>
      </c>
      <c r="I28" s="98">
        <v>1</v>
      </c>
      <c r="J28" s="142">
        <f>'Proposed Lighting'!AA25</f>
        <v>0</v>
      </c>
      <c r="K28" s="142" t="str">
        <f>IF(ISNUMBER(SEARCH("-C",'Proposed Lighting'!M25)),'Proposed Lighting'!AH25*0.9,'Proposed Lighting'!AH25)</f>
        <v/>
      </c>
      <c r="L28" s="142">
        <f>IFERROR(IF(OR('Proposed Lighting'!BC25=22,'Proposed Lighting'!BC25=44),1-25%,IF(OR('Proposed Lighting'!BC25=23,'Proposed Lighting'!BC25=46),1-30%,IF(OR('Proposed Lighting'!BC25=29,'Proposed Lighting'!BC25=39,'Proposed Lighting'!BC25=49),1-35%,IF(OR('Proposed Lighting'!BC25=24,'Proposed Lighting'!BC25=48),1-50%,IF(AND(ISNUMBER(SEARCH("-C",'Proposed Lighting'!M25)),'Proposed Lighting'!AU25=2),90%,100%)))))*'Proposed Lighting'!AH25,0)</f>
        <v>0</v>
      </c>
      <c r="M28" s="87">
        <f t="shared" si="0"/>
        <v>0</v>
      </c>
      <c r="N28" s="87">
        <f>IFERROR(IF('Proposed Lighting'!AU25=1,0,'Proposed Lighting'!AO25),0)</f>
        <v>0</v>
      </c>
      <c r="O28" s="88">
        <f>IF('Proposed Lighting'!AU25=1,0,'Proposed Lighting'!AP25)</f>
        <v>0</v>
      </c>
      <c r="P28" s="87">
        <f t="shared" si="1"/>
        <v>0</v>
      </c>
      <c r="Q28" s="98">
        <f t="shared" si="8"/>
        <v>0</v>
      </c>
      <c r="R28" s="99">
        <f>IFERROR(IF('Proposed Lighting'!T25="Lighting controls only",0,ROUND(IF('Proposed Lighting'!AQ25&lt;'Proposed Lighting'!AR25,0,IF('Proposed Lighting'!AH25=0,0,IF('Proposed Lighting'!BV25&gt;0,'Proposed Lighting'!BV25,IF('Proposed Lighting'!CL25=0,MIN('Proposed Lighting'!CN25:CO25),IF('Proposed Lighting'!CX25&gt;0,'Proposed Lighting'!CX25*'Proposed Lighting'!AA25,0))))),2)),0)</f>
        <v>0</v>
      </c>
      <c r="S28" s="99">
        <f>IF('Proposed Lighting'!AJ25&gt;0,'Proposed Lighting'!AJ25*J28,'Proposed Lighting'!$AU$328*J28)</f>
        <v>0</v>
      </c>
      <c r="T28" s="602">
        <f t="shared" si="2"/>
        <v>0</v>
      </c>
      <c r="U28" s="100"/>
      <c r="V28" s="99">
        <f t="shared" si="9"/>
        <v>0</v>
      </c>
      <c r="W28" s="99">
        <f t="shared" si="10"/>
        <v>0</v>
      </c>
      <c r="X28" s="99">
        <f t="shared" si="3"/>
        <v>0</v>
      </c>
      <c r="Y28" s="99"/>
      <c r="Z28" s="99">
        <f t="shared" si="11"/>
        <v>0</v>
      </c>
      <c r="AA28" s="99"/>
      <c r="AB28" s="99">
        <f t="shared" si="4"/>
        <v>0</v>
      </c>
      <c r="AC28" s="101" t="str">
        <f t="shared" si="5"/>
        <v/>
      </c>
      <c r="AD28" s="101" t="str">
        <f t="shared" si="6"/>
        <v/>
      </c>
      <c r="AE28" s="101" t="str">
        <f t="shared" si="7"/>
        <v/>
      </c>
      <c r="AF28" s="72"/>
      <c r="AG28" s="98">
        <f>IFERROR(IF($AV28="No",0,IF($AV28="yes",Summary!Q28,"")),"")</f>
        <v>0</v>
      </c>
      <c r="AH28" s="99">
        <f>IFERROR(IF($AV28="No",0,IF($AV28="yes",Summary!R28,"")),"")</f>
        <v>0</v>
      </c>
      <c r="AI28" s="99">
        <f>IFERROR(IF($AV28="No",0,IF($AV28="yes",Summary!S28,"")),"")</f>
        <v>0</v>
      </c>
      <c r="AJ28" s="602">
        <f>IFERROR(IF($AV28="No",0,IF($AV28="yes",Summary!T28,"")),"")</f>
        <v>0</v>
      </c>
      <c r="AK28" s="100">
        <f>IFERROR(IF($AV28="No",0,IF($AV28="yes",Summary!U28,"")),"")</f>
        <v>0</v>
      </c>
      <c r="AL28" s="99">
        <f>IFERROR(IF($AV28="No",0,IF($AV28="yes",Summary!V28,"")),"")</f>
        <v>0</v>
      </c>
      <c r="AM28" s="99">
        <f>IFERROR(IF($AV28="No",0,IF($AV28="yes",Summary!W28,"")),"")</f>
        <v>0</v>
      </c>
      <c r="AN28" s="99">
        <f>IFERROR(IF($AV28="No",0,IF($AV28="yes",Summary!X28,"")),"")</f>
        <v>0</v>
      </c>
      <c r="AO28" s="99">
        <f>IFERROR(IF($AV28="No",0,IF($AV28="yes",Summary!Y28+Z28,"")),"")</f>
        <v>0</v>
      </c>
      <c r="AP28" s="99">
        <f>IFERROR(IF($AV28="No",0,IF($AV28="yes",Summary!AB28,"")),"")</f>
        <v>0</v>
      </c>
      <c r="AQ28" s="101" t="str">
        <f t="shared" si="12"/>
        <v/>
      </c>
      <c r="AR28" s="101" t="str">
        <f t="shared" si="13"/>
        <v/>
      </c>
      <c r="AS28" s="101" t="str">
        <f t="shared" si="14"/>
        <v/>
      </c>
      <c r="AT28" s="96" t="s">
        <v>259</v>
      </c>
      <c r="AV28" t="str">
        <f>IF('Proposed Lighting'!CN25&gt;0,"No","Yes")</f>
        <v>Yes</v>
      </c>
    </row>
    <row r="29" spans="1:48" ht="35.1" customHeight="1" outlineLevel="1">
      <c r="A29" s="96" t="s">
        <v>260</v>
      </c>
      <c r="B29" s="96" t="str">
        <f>IF(ISNUMBER(SEARCH("case",E29)),"COM_MISC_REFR_ALL_UNKN1991",IF('Proposed Lighting'!AU26=3,"Commercial-All Com-ExtLight",IF('Proposed Lighting'!AH26&gt;8759,"IPC_8760","Commercial-All Com-IntLight")))</f>
        <v>IPC_8760</v>
      </c>
      <c r="C29" s="96" t="str">
        <f>IF(OR('Proposed Lighting'!DD26="Standard Incentive",'Proposed Lighting'!DD26="Non-Standard Incentive"),"Yes",IF(AND(IF(ISNUMBER(SEARCH("controls",'Proposed Lighting'!T26)),"True","False")="False",'Proposed Lighting'!DD26="Submit Control as Non-Standard"),"Yes","No"))</f>
        <v>No</v>
      </c>
      <c r="D29" s="1403">
        <f>'Proposed Lighting'!CV26-Q29</f>
        <v>0</v>
      </c>
      <c r="E29" s="143">
        <f>'Proposed Lighting'!T26</f>
        <v>0</v>
      </c>
      <c r="F29" s="143">
        <f>'Proposed Lighting'!F26</f>
        <v>0</v>
      </c>
      <c r="G29" s="96" t="s">
        <v>242</v>
      </c>
      <c r="H29" s="142" t="str">
        <f>'Proposed Lighting'!CP26</f>
        <v/>
      </c>
      <c r="I29" s="98">
        <v>1</v>
      </c>
      <c r="J29" s="142">
        <f>'Proposed Lighting'!AA26</f>
        <v>0</v>
      </c>
      <c r="K29" s="142" t="str">
        <f>IF(ISNUMBER(SEARCH("-C",'Proposed Lighting'!M26)),'Proposed Lighting'!AH26*0.9,'Proposed Lighting'!AH26)</f>
        <v/>
      </c>
      <c r="L29" s="142">
        <f>IFERROR(IF(OR('Proposed Lighting'!BC26=22,'Proposed Lighting'!BC26=44),1-25%,IF(OR('Proposed Lighting'!BC26=23,'Proposed Lighting'!BC26=46),1-30%,IF(OR('Proposed Lighting'!BC26=29,'Proposed Lighting'!BC26=39,'Proposed Lighting'!BC26=49),1-35%,IF(OR('Proposed Lighting'!BC26=24,'Proposed Lighting'!BC26=48),1-50%,IF(AND(ISNUMBER(SEARCH("-C",'Proposed Lighting'!M26)),'Proposed Lighting'!AU26=2),90%,100%)))))*'Proposed Lighting'!AH26,0)</f>
        <v>0</v>
      </c>
      <c r="M29" s="87">
        <f t="shared" si="0"/>
        <v>0</v>
      </c>
      <c r="N29" s="87">
        <f>IFERROR(IF('Proposed Lighting'!AU26=1,0,'Proposed Lighting'!AO26),0)</f>
        <v>0</v>
      </c>
      <c r="O29" s="88">
        <f>IF('Proposed Lighting'!AU26=1,0,'Proposed Lighting'!AP26)</f>
        <v>0</v>
      </c>
      <c r="P29" s="87">
        <f t="shared" si="1"/>
        <v>0</v>
      </c>
      <c r="Q29" s="98">
        <f t="shared" si="8"/>
        <v>0</v>
      </c>
      <c r="R29" s="99">
        <f>IFERROR(IF('Proposed Lighting'!T26="Lighting controls only",0,ROUND(IF('Proposed Lighting'!AQ26&lt;'Proposed Lighting'!AR26,0,IF('Proposed Lighting'!AH26=0,0,IF('Proposed Lighting'!BV26&gt;0,'Proposed Lighting'!BV26,IF('Proposed Lighting'!CL26=0,MIN('Proposed Lighting'!CN26:CO26),IF('Proposed Lighting'!CX26&gt;0,'Proposed Lighting'!CX26*'Proposed Lighting'!AA26,0))))),2)),0)</f>
        <v>0</v>
      </c>
      <c r="S29" s="99">
        <f>IF('Proposed Lighting'!AJ26&gt;0,'Proposed Lighting'!AJ26*J29,'Proposed Lighting'!$AU$328*J29)</f>
        <v>0</v>
      </c>
      <c r="T29" s="602">
        <f t="shared" si="2"/>
        <v>0</v>
      </c>
      <c r="U29" s="100"/>
      <c r="V29" s="99">
        <f t="shared" si="9"/>
        <v>0</v>
      </c>
      <c r="W29" s="99">
        <f t="shared" si="10"/>
        <v>0</v>
      </c>
      <c r="X29" s="99">
        <f t="shared" si="3"/>
        <v>0</v>
      </c>
      <c r="Y29" s="99"/>
      <c r="Z29" s="99">
        <f t="shared" si="11"/>
        <v>0</v>
      </c>
      <c r="AA29" s="99"/>
      <c r="AB29" s="99">
        <f t="shared" si="4"/>
        <v>0</v>
      </c>
      <c r="AC29" s="101" t="str">
        <f t="shared" si="5"/>
        <v/>
      </c>
      <c r="AD29" s="101" t="str">
        <f t="shared" si="6"/>
        <v/>
      </c>
      <c r="AE29" s="101" t="str">
        <f t="shared" si="7"/>
        <v/>
      </c>
      <c r="AF29" s="72"/>
      <c r="AG29" s="98">
        <f>IFERROR(IF($AV29="No",0,IF($AV29="yes",Summary!Q29,"")),"")</f>
        <v>0</v>
      </c>
      <c r="AH29" s="99">
        <f>IFERROR(IF($AV29="No",0,IF($AV29="yes",Summary!R29,"")),"")</f>
        <v>0</v>
      </c>
      <c r="AI29" s="99">
        <f>IFERROR(IF($AV29="No",0,IF($AV29="yes",Summary!S29,"")),"")</f>
        <v>0</v>
      </c>
      <c r="AJ29" s="602">
        <f>IFERROR(IF($AV29="No",0,IF($AV29="yes",Summary!T29,"")),"")</f>
        <v>0</v>
      </c>
      <c r="AK29" s="100">
        <f>IFERROR(IF($AV29="No",0,IF($AV29="yes",Summary!U29,"")),"")</f>
        <v>0</v>
      </c>
      <c r="AL29" s="99">
        <f>IFERROR(IF($AV29="No",0,IF($AV29="yes",Summary!V29,"")),"")</f>
        <v>0</v>
      </c>
      <c r="AM29" s="99">
        <f>IFERROR(IF($AV29="No",0,IF($AV29="yes",Summary!W29,"")),"")</f>
        <v>0</v>
      </c>
      <c r="AN29" s="99">
        <f>IFERROR(IF($AV29="No",0,IF($AV29="yes",Summary!X29,"")),"")</f>
        <v>0</v>
      </c>
      <c r="AO29" s="99">
        <f>IFERROR(IF($AV29="No",0,IF($AV29="yes",Summary!Y29+Z29,"")),"")</f>
        <v>0</v>
      </c>
      <c r="AP29" s="99">
        <f>IFERROR(IF($AV29="No",0,IF($AV29="yes",Summary!AB29,"")),"")</f>
        <v>0</v>
      </c>
      <c r="AQ29" s="101" t="str">
        <f t="shared" si="12"/>
        <v/>
      </c>
      <c r="AR29" s="101" t="str">
        <f t="shared" si="13"/>
        <v/>
      </c>
      <c r="AS29" s="101" t="str">
        <f t="shared" si="14"/>
        <v/>
      </c>
      <c r="AT29" s="96" t="s">
        <v>260</v>
      </c>
      <c r="AV29" t="str">
        <f>IF('Proposed Lighting'!CN26&gt;0,"No","Yes")</f>
        <v>Yes</v>
      </c>
    </row>
    <row r="30" spans="1:48" ht="35.1" customHeight="1" outlineLevel="1">
      <c r="A30" s="96" t="s">
        <v>261</v>
      </c>
      <c r="B30" s="96" t="str">
        <f>IF(ISNUMBER(SEARCH("case",E30)),"COM_MISC_REFR_ALL_UNKN1991",IF('Proposed Lighting'!AU27=3,"Commercial-All Com-ExtLight",IF('Proposed Lighting'!AH27&gt;8759,"IPC_8760","Commercial-All Com-IntLight")))</f>
        <v>IPC_8760</v>
      </c>
      <c r="C30" s="96" t="str">
        <f>IF(OR('Proposed Lighting'!DD27="Standard Incentive",'Proposed Lighting'!DD27="Non-Standard Incentive"),"Yes",IF(AND(IF(ISNUMBER(SEARCH("controls",'Proposed Lighting'!T27)),"True","False")="False",'Proposed Lighting'!DD27="Submit Control as Non-Standard"),"Yes","No"))</f>
        <v>No</v>
      </c>
      <c r="D30" s="1403">
        <f>'Proposed Lighting'!CV27-Q30</f>
        <v>0</v>
      </c>
      <c r="E30" s="143">
        <f>'Proposed Lighting'!T27</f>
        <v>0</v>
      </c>
      <c r="F30" s="143">
        <f>'Proposed Lighting'!F27</f>
        <v>0</v>
      </c>
      <c r="G30" s="96" t="s">
        <v>242</v>
      </c>
      <c r="H30" s="142" t="str">
        <f>'Proposed Lighting'!CP27</f>
        <v/>
      </c>
      <c r="I30" s="98">
        <v>1</v>
      </c>
      <c r="J30" s="142">
        <f>'Proposed Lighting'!AA27</f>
        <v>0</v>
      </c>
      <c r="K30" s="142" t="str">
        <f>IF(ISNUMBER(SEARCH("-C",'Proposed Lighting'!M27)),'Proposed Lighting'!AH27*0.9,'Proposed Lighting'!AH27)</f>
        <v/>
      </c>
      <c r="L30" s="142">
        <f>IFERROR(IF(OR('Proposed Lighting'!BC27=22,'Proposed Lighting'!BC27=44),1-25%,IF(OR('Proposed Lighting'!BC27=23,'Proposed Lighting'!BC27=46),1-30%,IF(OR('Proposed Lighting'!BC27=29,'Proposed Lighting'!BC27=39,'Proposed Lighting'!BC27=49),1-35%,IF(OR('Proposed Lighting'!BC27=24,'Proposed Lighting'!BC27=48),1-50%,IF(AND(ISNUMBER(SEARCH("-C",'Proposed Lighting'!M27)),'Proposed Lighting'!AU27=2),90%,100%)))))*'Proposed Lighting'!AH27,0)</f>
        <v>0</v>
      </c>
      <c r="M30" s="87">
        <f t="shared" si="0"/>
        <v>0</v>
      </c>
      <c r="N30" s="87">
        <f>IFERROR(IF('Proposed Lighting'!AU27=1,0,'Proposed Lighting'!AO27),0)</f>
        <v>0</v>
      </c>
      <c r="O30" s="88">
        <f>IF('Proposed Lighting'!AU27=1,0,'Proposed Lighting'!AP27)</f>
        <v>0</v>
      </c>
      <c r="P30" s="87">
        <f t="shared" si="1"/>
        <v>0</v>
      </c>
      <c r="Q30" s="98">
        <f t="shared" si="8"/>
        <v>0</v>
      </c>
      <c r="R30" s="99">
        <f>IFERROR(IF('Proposed Lighting'!T27="Lighting controls only",0,ROUND(IF('Proposed Lighting'!AQ27&lt;'Proposed Lighting'!AR27,0,IF('Proposed Lighting'!AH27=0,0,IF('Proposed Lighting'!BV27&gt;0,'Proposed Lighting'!BV27,IF('Proposed Lighting'!CL27=0,MIN('Proposed Lighting'!CN27:CO27),IF('Proposed Lighting'!CX27&gt;0,'Proposed Lighting'!CX27*'Proposed Lighting'!AA27,0))))),2)),0)</f>
        <v>0</v>
      </c>
      <c r="S30" s="99">
        <f>IF('Proposed Lighting'!AJ27&gt;0,'Proposed Lighting'!AJ27*J30,'Proposed Lighting'!$AU$328*J30)</f>
        <v>0</v>
      </c>
      <c r="T30" s="602">
        <f t="shared" si="2"/>
        <v>0</v>
      </c>
      <c r="U30" s="100"/>
      <c r="V30" s="99">
        <f t="shared" si="9"/>
        <v>0</v>
      </c>
      <c r="W30" s="99">
        <f t="shared" si="10"/>
        <v>0</v>
      </c>
      <c r="X30" s="99">
        <f t="shared" si="3"/>
        <v>0</v>
      </c>
      <c r="Y30" s="99"/>
      <c r="Z30" s="99">
        <f t="shared" si="11"/>
        <v>0</v>
      </c>
      <c r="AA30" s="99"/>
      <c r="AB30" s="99">
        <f t="shared" si="4"/>
        <v>0</v>
      </c>
      <c r="AC30" s="101" t="str">
        <f t="shared" si="5"/>
        <v/>
      </c>
      <c r="AD30" s="101" t="str">
        <f t="shared" si="6"/>
        <v/>
      </c>
      <c r="AE30" s="101" t="str">
        <f t="shared" si="7"/>
        <v/>
      </c>
      <c r="AF30" s="72"/>
      <c r="AG30" s="98">
        <f>IFERROR(IF($AV30="No",0,IF($AV30="yes",Summary!Q30,"")),"")</f>
        <v>0</v>
      </c>
      <c r="AH30" s="99">
        <f>IFERROR(IF($AV30="No",0,IF($AV30="yes",Summary!R30,"")),"")</f>
        <v>0</v>
      </c>
      <c r="AI30" s="99">
        <f>IFERROR(IF($AV30="No",0,IF($AV30="yes",Summary!S30,"")),"")</f>
        <v>0</v>
      </c>
      <c r="AJ30" s="602">
        <f>IFERROR(IF($AV30="No",0,IF($AV30="yes",Summary!T30,"")),"")</f>
        <v>0</v>
      </c>
      <c r="AK30" s="100">
        <f>IFERROR(IF($AV30="No",0,IF($AV30="yes",Summary!U30,"")),"")</f>
        <v>0</v>
      </c>
      <c r="AL30" s="99">
        <f>IFERROR(IF($AV30="No",0,IF($AV30="yes",Summary!V30,"")),"")</f>
        <v>0</v>
      </c>
      <c r="AM30" s="99">
        <f>IFERROR(IF($AV30="No",0,IF($AV30="yes",Summary!W30,"")),"")</f>
        <v>0</v>
      </c>
      <c r="AN30" s="99">
        <f>IFERROR(IF($AV30="No",0,IF($AV30="yes",Summary!X30,"")),"")</f>
        <v>0</v>
      </c>
      <c r="AO30" s="99">
        <f>IFERROR(IF($AV30="No",0,IF($AV30="yes",Summary!Y30+Z30,"")),"")</f>
        <v>0</v>
      </c>
      <c r="AP30" s="99">
        <f>IFERROR(IF($AV30="No",0,IF($AV30="yes",Summary!AB30,"")),"")</f>
        <v>0</v>
      </c>
      <c r="AQ30" s="101" t="str">
        <f t="shared" si="12"/>
        <v/>
      </c>
      <c r="AR30" s="101" t="str">
        <f t="shared" si="13"/>
        <v/>
      </c>
      <c r="AS30" s="101" t="str">
        <f t="shared" si="14"/>
        <v/>
      </c>
      <c r="AT30" s="96" t="s">
        <v>261</v>
      </c>
      <c r="AV30" t="str">
        <f>IF('Proposed Lighting'!CN27&gt;0,"No","Yes")</f>
        <v>Yes</v>
      </c>
    </row>
    <row r="31" spans="1:48" ht="35.1" customHeight="1" outlineLevel="1">
      <c r="A31" s="96" t="s">
        <v>262</v>
      </c>
      <c r="B31" s="96" t="str">
        <f>IF(ISNUMBER(SEARCH("case",E31)),"COM_MISC_REFR_ALL_UNKN1991",IF('Proposed Lighting'!AU28=3,"Commercial-All Com-ExtLight",IF('Proposed Lighting'!AH28&gt;8759,"IPC_8760","Commercial-All Com-IntLight")))</f>
        <v>IPC_8760</v>
      </c>
      <c r="C31" s="96" t="str">
        <f>IF(OR('Proposed Lighting'!DD28="Standard Incentive",'Proposed Lighting'!DD28="Non-Standard Incentive"),"Yes",IF(AND(IF(ISNUMBER(SEARCH("controls",'Proposed Lighting'!T28)),"True","False")="False",'Proposed Lighting'!DD28="Submit Control as Non-Standard"),"Yes","No"))</f>
        <v>No</v>
      </c>
      <c r="D31" s="1403">
        <f>'Proposed Lighting'!CV28-Q31</f>
        <v>0</v>
      </c>
      <c r="E31" s="143">
        <f>'Proposed Lighting'!T28</f>
        <v>0</v>
      </c>
      <c r="F31" s="143">
        <f>'Proposed Lighting'!F28</f>
        <v>0</v>
      </c>
      <c r="G31" s="96" t="s">
        <v>242</v>
      </c>
      <c r="H31" s="142" t="str">
        <f>'Proposed Lighting'!CP28</f>
        <v/>
      </c>
      <c r="I31" s="98">
        <v>1</v>
      </c>
      <c r="J31" s="142">
        <f>'Proposed Lighting'!AA28</f>
        <v>0</v>
      </c>
      <c r="K31" s="142" t="str">
        <f>IF(ISNUMBER(SEARCH("-C",'Proposed Lighting'!M28)),'Proposed Lighting'!AH28*0.9,'Proposed Lighting'!AH28)</f>
        <v/>
      </c>
      <c r="L31" s="142">
        <f>IFERROR(IF(OR('Proposed Lighting'!BC28=22,'Proposed Lighting'!BC28=44),1-25%,IF(OR('Proposed Lighting'!BC28=23,'Proposed Lighting'!BC28=46),1-30%,IF(OR('Proposed Lighting'!BC28=29,'Proposed Lighting'!BC28=39,'Proposed Lighting'!BC28=49),1-35%,IF(OR('Proposed Lighting'!BC28=24,'Proposed Lighting'!BC28=48),1-50%,IF(AND(ISNUMBER(SEARCH("-C",'Proposed Lighting'!M28)),'Proposed Lighting'!AU28=2),90%,100%)))))*'Proposed Lighting'!AH28,0)</f>
        <v>0</v>
      </c>
      <c r="M31" s="87">
        <f t="shared" si="0"/>
        <v>0</v>
      </c>
      <c r="N31" s="87">
        <f>IFERROR(IF('Proposed Lighting'!AU28=1,0,'Proposed Lighting'!AO28),0)</f>
        <v>0</v>
      </c>
      <c r="O31" s="88">
        <f>IF('Proposed Lighting'!AU28=1,0,'Proposed Lighting'!AP28)</f>
        <v>0</v>
      </c>
      <c r="P31" s="87">
        <f t="shared" si="1"/>
        <v>0</v>
      </c>
      <c r="Q31" s="98">
        <f t="shared" si="8"/>
        <v>0</v>
      </c>
      <c r="R31" s="99">
        <f>IFERROR(IF('Proposed Lighting'!T28="Lighting controls only",0,ROUND(IF('Proposed Lighting'!AQ28&lt;'Proposed Lighting'!AR28,0,IF('Proposed Lighting'!AH28=0,0,IF('Proposed Lighting'!BV28&gt;0,'Proposed Lighting'!BV28,IF('Proposed Lighting'!CL28=0,MIN('Proposed Lighting'!CN28:CO28),IF('Proposed Lighting'!CX28&gt;0,'Proposed Lighting'!CX28*'Proposed Lighting'!AA28,0))))),2)),0)</f>
        <v>0</v>
      </c>
      <c r="S31" s="99">
        <f>IF('Proposed Lighting'!AJ28&gt;0,'Proposed Lighting'!AJ28*J31,'Proposed Lighting'!$AU$328*J31)</f>
        <v>0</v>
      </c>
      <c r="T31" s="602">
        <f t="shared" si="2"/>
        <v>0</v>
      </c>
      <c r="U31" s="100"/>
      <c r="V31" s="99">
        <f t="shared" si="9"/>
        <v>0</v>
      </c>
      <c r="W31" s="99">
        <f t="shared" si="10"/>
        <v>0</v>
      </c>
      <c r="X31" s="99">
        <f t="shared" si="3"/>
        <v>0</v>
      </c>
      <c r="Y31" s="99"/>
      <c r="Z31" s="99">
        <f t="shared" si="11"/>
        <v>0</v>
      </c>
      <c r="AA31" s="99"/>
      <c r="AB31" s="99">
        <f t="shared" si="4"/>
        <v>0</v>
      </c>
      <c r="AC31" s="101" t="str">
        <f t="shared" si="5"/>
        <v/>
      </c>
      <c r="AD31" s="101" t="str">
        <f t="shared" si="6"/>
        <v/>
      </c>
      <c r="AE31" s="101" t="str">
        <f t="shared" si="7"/>
        <v/>
      </c>
      <c r="AF31" s="72"/>
      <c r="AG31" s="98">
        <f>IFERROR(IF($AV31="No",0,IF($AV31="yes",Summary!Q31,"")),"")</f>
        <v>0</v>
      </c>
      <c r="AH31" s="99">
        <f>IFERROR(IF($AV31="No",0,IF($AV31="yes",Summary!R31,"")),"")</f>
        <v>0</v>
      </c>
      <c r="AI31" s="99">
        <f>IFERROR(IF($AV31="No",0,IF($AV31="yes",Summary!S31,"")),"")</f>
        <v>0</v>
      </c>
      <c r="AJ31" s="602">
        <f>IFERROR(IF($AV31="No",0,IF($AV31="yes",Summary!T31,"")),"")</f>
        <v>0</v>
      </c>
      <c r="AK31" s="100">
        <f>IFERROR(IF($AV31="No",0,IF($AV31="yes",Summary!U31,"")),"")</f>
        <v>0</v>
      </c>
      <c r="AL31" s="99">
        <f>IFERROR(IF($AV31="No",0,IF($AV31="yes",Summary!V31,"")),"")</f>
        <v>0</v>
      </c>
      <c r="AM31" s="99">
        <f>IFERROR(IF($AV31="No",0,IF($AV31="yes",Summary!W31,"")),"")</f>
        <v>0</v>
      </c>
      <c r="AN31" s="99">
        <f>IFERROR(IF($AV31="No",0,IF($AV31="yes",Summary!X31,"")),"")</f>
        <v>0</v>
      </c>
      <c r="AO31" s="99">
        <f>IFERROR(IF($AV31="No",0,IF($AV31="yes",Summary!Y31+Z31,"")),"")</f>
        <v>0</v>
      </c>
      <c r="AP31" s="99">
        <f>IFERROR(IF($AV31="No",0,IF($AV31="yes",Summary!AB31,"")),"")</f>
        <v>0</v>
      </c>
      <c r="AQ31" s="101" t="str">
        <f t="shared" si="12"/>
        <v/>
      </c>
      <c r="AR31" s="101" t="str">
        <f t="shared" si="13"/>
        <v/>
      </c>
      <c r="AS31" s="101" t="str">
        <f t="shared" si="14"/>
        <v/>
      </c>
      <c r="AT31" s="96" t="s">
        <v>262</v>
      </c>
      <c r="AV31" t="str">
        <f>IF('Proposed Lighting'!CN28&gt;0,"No","Yes")</f>
        <v>Yes</v>
      </c>
    </row>
    <row r="32" spans="1:48" ht="35.1" customHeight="1" outlineLevel="1">
      <c r="A32" s="96" t="s">
        <v>263</v>
      </c>
      <c r="B32" s="96" t="str">
        <f>IF(ISNUMBER(SEARCH("case",E32)),"COM_MISC_REFR_ALL_UNKN1991",IF('Proposed Lighting'!AU29=3,"Commercial-All Com-ExtLight",IF('Proposed Lighting'!AH29&gt;8759,"IPC_8760","Commercial-All Com-IntLight")))</f>
        <v>IPC_8760</v>
      </c>
      <c r="C32" s="96" t="str">
        <f>IF(OR('Proposed Lighting'!DD29="Standard Incentive",'Proposed Lighting'!DD29="Non-Standard Incentive"),"Yes",IF(AND(IF(ISNUMBER(SEARCH("controls",'Proposed Lighting'!T29)),"True","False")="False",'Proposed Lighting'!DD29="Submit Control as Non-Standard"),"Yes","No"))</f>
        <v>No</v>
      </c>
      <c r="D32" s="1403">
        <f>'Proposed Lighting'!CV29-Q32</f>
        <v>0</v>
      </c>
      <c r="E32" s="143">
        <f>'Proposed Lighting'!T29</f>
        <v>0</v>
      </c>
      <c r="F32" s="143">
        <f>'Proposed Lighting'!F29</f>
        <v>0</v>
      </c>
      <c r="G32" s="96" t="s">
        <v>242</v>
      </c>
      <c r="H32" s="142" t="str">
        <f>'Proposed Lighting'!CP29</f>
        <v/>
      </c>
      <c r="I32" s="98">
        <v>1</v>
      </c>
      <c r="J32" s="142">
        <f>'Proposed Lighting'!AA29</f>
        <v>0</v>
      </c>
      <c r="K32" s="142" t="str">
        <f>IF(ISNUMBER(SEARCH("-C",'Proposed Lighting'!M29)),'Proposed Lighting'!AH29*0.9,'Proposed Lighting'!AH29)</f>
        <v/>
      </c>
      <c r="L32" s="142">
        <f>IFERROR(IF(OR('Proposed Lighting'!BC29=22,'Proposed Lighting'!BC29=44),1-25%,IF(OR('Proposed Lighting'!BC29=23,'Proposed Lighting'!BC29=46),1-30%,IF(OR('Proposed Lighting'!BC29=29,'Proposed Lighting'!BC29=39,'Proposed Lighting'!BC29=49),1-35%,IF(OR('Proposed Lighting'!BC29=24,'Proposed Lighting'!BC29=48),1-50%,IF(AND(ISNUMBER(SEARCH("-C",'Proposed Lighting'!M29)),'Proposed Lighting'!AU29=2),90%,100%)))))*'Proposed Lighting'!AH29,0)</f>
        <v>0</v>
      </c>
      <c r="M32" s="87">
        <f t="shared" si="0"/>
        <v>0</v>
      </c>
      <c r="N32" s="87">
        <f>IFERROR(IF('Proposed Lighting'!AU29=1,0,'Proposed Lighting'!AO29),0)</f>
        <v>0</v>
      </c>
      <c r="O32" s="88">
        <f>IF('Proposed Lighting'!AU29=1,0,'Proposed Lighting'!AP29)</f>
        <v>0</v>
      </c>
      <c r="P32" s="87">
        <f t="shared" si="1"/>
        <v>0</v>
      </c>
      <c r="Q32" s="98">
        <f t="shared" si="8"/>
        <v>0</v>
      </c>
      <c r="R32" s="99">
        <f>IFERROR(IF('Proposed Lighting'!T29="Lighting controls only",0,ROUND(IF('Proposed Lighting'!AQ29&lt;'Proposed Lighting'!AR29,0,IF('Proposed Lighting'!AH29=0,0,IF('Proposed Lighting'!BV29&gt;0,'Proposed Lighting'!BV29,IF('Proposed Lighting'!CL29=0,MIN('Proposed Lighting'!CN29:CO29),IF('Proposed Lighting'!CX29&gt;0,'Proposed Lighting'!CX29*'Proposed Lighting'!AA29,0))))),2)),0)</f>
        <v>0</v>
      </c>
      <c r="S32" s="99">
        <f>IF('Proposed Lighting'!AJ29&gt;0,'Proposed Lighting'!AJ29*J32,'Proposed Lighting'!$AU$328*J32)</f>
        <v>0</v>
      </c>
      <c r="T32" s="602">
        <f t="shared" si="2"/>
        <v>0</v>
      </c>
      <c r="U32" s="100"/>
      <c r="V32" s="99">
        <f t="shared" si="9"/>
        <v>0</v>
      </c>
      <c r="W32" s="99">
        <f t="shared" si="10"/>
        <v>0</v>
      </c>
      <c r="X32" s="99">
        <f t="shared" si="3"/>
        <v>0</v>
      </c>
      <c r="Y32" s="99"/>
      <c r="Z32" s="99">
        <f t="shared" si="11"/>
        <v>0</v>
      </c>
      <c r="AA32" s="99"/>
      <c r="AB32" s="99">
        <f t="shared" si="4"/>
        <v>0</v>
      </c>
      <c r="AC32" s="101" t="str">
        <f t="shared" si="5"/>
        <v/>
      </c>
      <c r="AD32" s="101" t="str">
        <f t="shared" si="6"/>
        <v/>
      </c>
      <c r="AE32" s="101" t="str">
        <f t="shared" si="7"/>
        <v/>
      </c>
      <c r="AF32" s="72"/>
      <c r="AG32" s="98">
        <f>IFERROR(IF($AV32="No",0,IF($AV32="yes",Summary!Q32,"")),"")</f>
        <v>0</v>
      </c>
      <c r="AH32" s="99">
        <f>IFERROR(IF($AV32="No",0,IF($AV32="yes",Summary!R32,"")),"")</f>
        <v>0</v>
      </c>
      <c r="AI32" s="99">
        <f>IFERROR(IF($AV32="No",0,IF($AV32="yes",Summary!S32,"")),"")</f>
        <v>0</v>
      </c>
      <c r="AJ32" s="602">
        <f>IFERROR(IF($AV32="No",0,IF($AV32="yes",Summary!T32,"")),"")</f>
        <v>0</v>
      </c>
      <c r="AK32" s="100">
        <f>IFERROR(IF($AV32="No",0,IF($AV32="yes",Summary!U32,"")),"")</f>
        <v>0</v>
      </c>
      <c r="AL32" s="99">
        <f>IFERROR(IF($AV32="No",0,IF($AV32="yes",Summary!V32,"")),"")</f>
        <v>0</v>
      </c>
      <c r="AM32" s="99">
        <f>IFERROR(IF($AV32="No",0,IF($AV32="yes",Summary!W32,"")),"")</f>
        <v>0</v>
      </c>
      <c r="AN32" s="99">
        <f>IFERROR(IF($AV32="No",0,IF($AV32="yes",Summary!X32,"")),"")</f>
        <v>0</v>
      </c>
      <c r="AO32" s="99">
        <f>IFERROR(IF($AV32="No",0,IF($AV32="yes",Summary!Y32+Z32,"")),"")</f>
        <v>0</v>
      </c>
      <c r="AP32" s="99">
        <f>IFERROR(IF($AV32="No",0,IF($AV32="yes",Summary!AB32,"")),"")</f>
        <v>0</v>
      </c>
      <c r="AQ32" s="101" t="str">
        <f t="shared" si="12"/>
        <v/>
      </c>
      <c r="AR32" s="101" t="str">
        <f t="shared" si="13"/>
        <v/>
      </c>
      <c r="AS32" s="101" t="str">
        <f t="shared" si="14"/>
        <v/>
      </c>
      <c r="AT32" s="96" t="s">
        <v>263</v>
      </c>
      <c r="AV32" t="str">
        <f>IF('Proposed Lighting'!CN29&gt;0,"No","Yes")</f>
        <v>Yes</v>
      </c>
    </row>
    <row r="33" spans="1:48" ht="35.1" customHeight="1" outlineLevel="1">
      <c r="A33" s="96" t="s">
        <v>264</v>
      </c>
      <c r="B33" s="96" t="str">
        <f>IF(ISNUMBER(SEARCH("case",E33)),"COM_MISC_REFR_ALL_UNKN1991",IF('Proposed Lighting'!AU30=3,"Commercial-All Com-ExtLight",IF('Proposed Lighting'!AH30&gt;8759,"IPC_8760","Commercial-All Com-IntLight")))</f>
        <v>IPC_8760</v>
      </c>
      <c r="C33" s="96" t="str">
        <f>IF(OR('Proposed Lighting'!DD30="Standard Incentive",'Proposed Lighting'!DD30="Non-Standard Incentive"),"Yes",IF(AND(IF(ISNUMBER(SEARCH("controls",'Proposed Lighting'!T30)),"True","False")="False",'Proposed Lighting'!DD30="Submit Control as Non-Standard"),"Yes","No"))</f>
        <v>No</v>
      </c>
      <c r="D33" s="1403">
        <f>'Proposed Lighting'!CV30-Q33</f>
        <v>0</v>
      </c>
      <c r="E33" s="143">
        <f>'Proposed Lighting'!T30</f>
        <v>0</v>
      </c>
      <c r="F33" s="143">
        <f>'Proposed Lighting'!F30</f>
        <v>0</v>
      </c>
      <c r="G33" s="96" t="s">
        <v>242</v>
      </c>
      <c r="H33" s="142" t="str">
        <f>'Proposed Lighting'!CP30</f>
        <v/>
      </c>
      <c r="I33" s="98">
        <v>1</v>
      </c>
      <c r="J33" s="142">
        <f>'Proposed Lighting'!AA30</f>
        <v>0</v>
      </c>
      <c r="K33" s="142" t="str">
        <f>IF(ISNUMBER(SEARCH("-C",'Proposed Lighting'!M30)),'Proposed Lighting'!AH30*0.9,'Proposed Lighting'!AH30)</f>
        <v/>
      </c>
      <c r="L33" s="142">
        <f>IFERROR(IF(OR('Proposed Lighting'!BC30=22,'Proposed Lighting'!BC30=44),1-25%,IF(OR('Proposed Lighting'!BC30=23,'Proposed Lighting'!BC30=46),1-30%,IF(OR('Proposed Lighting'!BC30=29,'Proposed Lighting'!BC30=39,'Proposed Lighting'!BC30=49),1-35%,IF(OR('Proposed Lighting'!BC30=24,'Proposed Lighting'!BC30=48),1-50%,IF(AND(ISNUMBER(SEARCH("-C",'Proposed Lighting'!M30)),'Proposed Lighting'!AU30=2),90%,100%)))))*'Proposed Lighting'!AH30,0)</f>
        <v>0</v>
      </c>
      <c r="M33" s="87">
        <f t="shared" si="0"/>
        <v>0</v>
      </c>
      <c r="N33" s="87">
        <f>IFERROR(IF('Proposed Lighting'!AU30=1,0,'Proposed Lighting'!AO30),0)</f>
        <v>0</v>
      </c>
      <c r="O33" s="88">
        <f>IF('Proposed Lighting'!AU30=1,0,'Proposed Lighting'!AP30)</f>
        <v>0</v>
      </c>
      <c r="P33" s="87">
        <f t="shared" si="1"/>
        <v>0</v>
      </c>
      <c r="Q33" s="98">
        <f t="shared" si="8"/>
        <v>0</v>
      </c>
      <c r="R33" s="99">
        <f>IFERROR(IF('Proposed Lighting'!T30="Lighting controls only",0,ROUND(IF('Proposed Lighting'!AQ30&lt;'Proposed Lighting'!AR30,0,IF('Proposed Lighting'!AH30=0,0,IF('Proposed Lighting'!BV30&gt;0,'Proposed Lighting'!BV30,IF('Proposed Lighting'!CL30=0,MIN('Proposed Lighting'!CN30:CO30),IF('Proposed Lighting'!CX30&gt;0,'Proposed Lighting'!CX30*'Proposed Lighting'!AA30,0))))),2)),0)</f>
        <v>0</v>
      </c>
      <c r="S33" s="99">
        <f>IF('Proposed Lighting'!AJ30&gt;0,'Proposed Lighting'!AJ30*J33,'Proposed Lighting'!$AU$328*J33)</f>
        <v>0</v>
      </c>
      <c r="T33" s="602">
        <f t="shared" si="2"/>
        <v>0</v>
      </c>
      <c r="U33" s="100"/>
      <c r="V33" s="99">
        <f t="shared" si="9"/>
        <v>0</v>
      </c>
      <c r="W33" s="99">
        <f t="shared" si="10"/>
        <v>0</v>
      </c>
      <c r="X33" s="99">
        <f t="shared" si="3"/>
        <v>0</v>
      </c>
      <c r="Y33" s="99"/>
      <c r="Z33" s="99">
        <f t="shared" si="11"/>
        <v>0</v>
      </c>
      <c r="AA33" s="99"/>
      <c r="AB33" s="99">
        <f t="shared" si="4"/>
        <v>0</v>
      </c>
      <c r="AC33" s="101" t="str">
        <f t="shared" si="5"/>
        <v/>
      </c>
      <c r="AD33" s="101" t="str">
        <f t="shared" si="6"/>
        <v/>
      </c>
      <c r="AE33" s="101" t="str">
        <f t="shared" si="7"/>
        <v/>
      </c>
      <c r="AF33" s="72"/>
      <c r="AG33" s="98">
        <f>IFERROR(IF($AV33="No",0,IF($AV33="yes",Summary!Q33,"")),"")</f>
        <v>0</v>
      </c>
      <c r="AH33" s="99">
        <f>IFERROR(IF($AV33="No",0,IF($AV33="yes",Summary!R33,"")),"")</f>
        <v>0</v>
      </c>
      <c r="AI33" s="99">
        <f>IFERROR(IF($AV33="No",0,IF($AV33="yes",Summary!S33,"")),"")</f>
        <v>0</v>
      </c>
      <c r="AJ33" s="602">
        <f>IFERROR(IF($AV33="No",0,IF($AV33="yes",Summary!T33,"")),"")</f>
        <v>0</v>
      </c>
      <c r="AK33" s="100">
        <f>IFERROR(IF($AV33="No",0,IF($AV33="yes",Summary!U33,"")),"")</f>
        <v>0</v>
      </c>
      <c r="AL33" s="99">
        <f>IFERROR(IF($AV33="No",0,IF($AV33="yes",Summary!V33,"")),"")</f>
        <v>0</v>
      </c>
      <c r="AM33" s="99">
        <f>IFERROR(IF($AV33="No",0,IF($AV33="yes",Summary!W33,"")),"")</f>
        <v>0</v>
      </c>
      <c r="AN33" s="99">
        <f>IFERROR(IF($AV33="No",0,IF($AV33="yes",Summary!X33,"")),"")</f>
        <v>0</v>
      </c>
      <c r="AO33" s="99">
        <f>IFERROR(IF($AV33="No",0,IF($AV33="yes",Summary!Y33+Z33,"")),"")</f>
        <v>0</v>
      </c>
      <c r="AP33" s="99">
        <f>IFERROR(IF($AV33="No",0,IF($AV33="yes",Summary!AB33,"")),"")</f>
        <v>0</v>
      </c>
      <c r="AQ33" s="101" t="str">
        <f t="shared" si="12"/>
        <v/>
      </c>
      <c r="AR33" s="101" t="str">
        <f t="shared" si="13"/>
        <v/>
      </c>
      <c r="AS33" s="101" t="str">
        <f t="shared" si="14"/>
        <v/>
      </c>
      <c r="AT33" s="96" t="s">
        <v>264</v>
      </c>
      <c r="AV33" t="str">
        <f>IF('Proposed Lighting'!CN30&gt;0,"No","Yes")</f>
        <v>Yes</v>
      </c>
    </row>
    <row r="34" spans="1:48" ht="35.1" customHeight="1" outlineLevel="1">
      <c r="A34" s="96" t="s">
        <v>265</v>
      </c>
      <c r="B34" s="96" t="str">
        <f>IF(ISNUMBER(SEARCH("case",E34)),"COM_MISC_REFR_ALL_UNKN1991",IF('Proposed Lighting'!AU31=3,"Commercial-All Com-ExtLight",IF('Proposed Lighting'!AH31&gt;8759,"IPC_8760","Commercial-All Com-IntLight")))</f>
        <v>IPC_8760</v>
      </c>
      <c r="C34" s="96" t="str">
        <f>IF(OR('Proposed Lighting'!DD31="Standard Incentive",'Proposed Lighting'!DD31="Non-Standard Incentive"),"Yes",IF(AND(IF(ISNUMBER(SEARCH("controls",'Proposed Lighting'!T31)),"True","False")="False",'Proposed Lighting'!DD31="Submit Control as Non-Standard"),"Yes","No"))</f>
        <v>No</v>
      </c>
      <c r="D34" s="1403">
        <f>'Proposed Lighting'!CV31-Q34</f>
        <v>0</v>
      </c>
      <c r="E34" s="143">
        <f>'Proposed Lighting'!T31</f>
        <v>0</v>
      </c>
      <c r="F34" s="143">
        <f>'Proposed Lighting'!F31</f>
        <v>0</v>
      </c>
      <c r="G34" s="96" t="s">
        <v>242</v>
      </c>
      <c r="H34" s="142" t="str">
        <f>'Proposed Lighting'!CP31</f>
        <v/>
      </c>
      <c r="I34" s="98">
        <v>1</v>
      </c>
      <c r="J34" s="142">
        <f>'Proposed Lighting'!AA31</f>
        <v>0</v>
      </c>
      <c r="K34" s="142" t="str">
        <f>IF(ISNUMBER(SEARCH("-C",'Proposed Lighting'!M31)),'Proposed Lighting'!AH31*0.9,'Proposed Lighting'!AH31)</f>
        <v/>
      </c>
      <c r="L34" s="142">
        <f>IFERROR(IF(OR('Proposed Lighting'!BC31=22,'Proposed Lighting'!BC31=44),1-25%,IF(OR('Proposed Lighting'!BC31=23,'Proposed Lighting'!BC31=46),1-30%,IF(OR('Proposed Lighting'!BC31=29,'Proposed Lighting'!BC31=39,'Proposed Lighting'!BC31=49),1-35%,IF(OR('Proposed Lighting'!BC31=24,'Proposed Lighting'!BC31=48),1-50%,IF(AND(ISNUMBER(SEARCH("-C",'Proposed Lighting'!M31)),'Proposed Lighting'!AU31=2),90%,100%)))))*'Proposed Lighting'!AH31,0)</f>
        <v>0</v>
      </c>
      <c r="M34" s="87">
        <f t="shared" si="0"/>
        <v>0</v>
      </c>
      <c r="N34" s="87">
        <f>IFERROR(IF('Proposed Lighting'!AU31=1,0,'Proposed Lighting'!AO31),0)</f>
        <v>0</v>
      </c>
      <c r="O34" s="88">
        <f>IF('Proposed Lighting'!AU31=1,0,'Proposed Lighting'!AP31)</f>
        <v>0</v>
      </c>
      <c r="P34" s="87">
        <f t="shared" si="1"/>
        <v>0</v>
      </c>
      <c r="Q34" s="98">
        <f t="shared" si="8"/>
        <v>0</v>
      </c>
      <c r="R34" s="99">
        <f>IFERROR(IF('Proposed Lighting'!T31="Lighting controls only",0,ROUND(IF('Proposed Lighting'!AQ31&lt;'Proposed Lighting'!AR31,0,IF('Proposed Lighting'!AH31=0,0,IF('Proposed Lighting'!BV31&gt;0,'Proposed Lighting'!BV31,IF('Proposed Lighting'!CL31=0,MIN('Proposed Lighting'!CN31:CO31),IF('Proposed Lighting'!CX31&gt;0,'Proposed Lighting'!CX31*'Proposed Lighting'!AA31,0))))),2)),0)</f>
        <v>0</v>
      </c>
      <c r="S34" s="99">
        <f>IF('Proposed Lighting'!AJ31&gt;0,'Proposed Lighting'!AJ31*J34,'Proposed Lighting'!$AU$328*J34)</f>
        <v>0</v>
      </c>
      <c r="T34" s="602">
        <f t="shared" si="2"/>
        <v>0</v>
      </c>
      <c r="U34" s="100"/>
      <c r="V34" s="99">
        <f t="shared" si="9"/>
        <v>0</v>
      </c>
      <c r="W34" s="99">
        <f t="shared" si="10"/>
        <v>0</v>
      </c>
      <c r="X34" s="99">
        <f t="shared" si="3"/>
        <v>0</v>
      </c>
      <c r="Y34" s="99"/>
      <c r="Z34" s="99">
        <f t="shared" si="11"/>
        <v>0</v>
      </c>
      <c r="AA34" s="99"/>
      <c r="AB34" s="99">
        <f t="shared" si="4"/>
        <v>0</v>
      </c>
      <c r="AC34" s="101" t="str">
        <f t="shared" si="5"/>
        <v/>
      </c>
      <c r="AD34" s="101" t="str">
        <f t="shared" si="6"/>
        <v/>
      </c>
      <c r="AE34" s="101" t="str">
        <f t="shared" si="7"/>
        <v/>
      </c>
      <c r="AF34" s="72"/>
      <c r="AG34" s="98">
        <f>IFERROR(IF($AV34="No",0,IF($AV34="yes",Summary!Q34,"")),"")</f>
        <v>0</v>
      </c>
      <c r="AH34" s="99">
        <f>IFERROR(IF($AV34="No",0,IF($AV34="yes",Summary!R34,"")),"")</f>
        <v>0</v>
      </c>
      <c r="AI34" s="99">
        <f>IFERROR(IF($AV34="No",0,IF($AV34="yes",Summary!S34,"")),"")</f>
        <v>0</v>
      </c>
      <c r="AJ34" s="602">
        <f>IFERROR(IF($AV34="No",0,IF($AV34="yes",Summary!T34,"")),"")</f>
        <v>0</v>
      </c>
      <c r="AK34" s="100">
        <f>IFERROR(IF($AV34="No",0,IF($AV34="yes",Summary!U34,"")),"")</f>
        <v>0</v>
      </c>
      <c r="AL34" s="99">
        <f>IFERROR(IF($AV34="No",0,IF($AV34="yes",Summary!V34,"")),"")</f>
        <v>0</v>
      </c>
      <c r="AM34" s="99">
        <f>IFERROR(IF($AV34="No",0,IF($AV34="yes",Summary!W34,"")),"")</f>
        <v>0</v>
      </c>
      <c r="AN34" s="99">
        <f>IFERROR(IF($AV34="No",0,IF($AV34="yes",Summary!X34,"")),"")</f>
        <v>0</v>
      </c>
      <c r="AO34" s="99">
        <f>IFERROR(IF($AV34="No",0,IF($AV34="yes",Summary!Y34+Z34,"")),"")</f>
        <v>0</v>
      </c>
      <c r="AP34" s="99">
        <f>IFERROR(IF($AV34="No",0,IF($AV34="yes",Summary!AB34,"")),"")</f>
        <v>0</v>
      </c>
      <c r="AQ34" s="101" t="str">
        <f t="shared" si="12"/>
        <v/>
      </c>
      <c r="AR34" s="101" t="str">
        <f t="shared" si="13"/>
        <v/>
      </c>
      <c r="AS34" s="101" t="str">
        <f t="shared" si="14"/>
        <v/>
      </c>
      <c r="AT34" s="96" t="s">
        <v>265</v>
      </c>
      <c r="AV34" t="str">
        <f>IF('Proposed Lighting'!CN31&gt;0,"No","Yes")</f>
        <v>Yes</v>
      </c>
    </row>
    <row r="35" spans="1:48" ht="35.1" customHeight="1" outlineLevel="1">
      <c r="A35" s="96" t="s">
        <v>266</v>
      </c>
      <c r="B35" s="96" t="str">
        <f>IF(ISNUMBER(SEARCH("case",E35)),"COM_MISC_REFR_ALL_UNKN1991",IF('Proposed Lighting'!AU32=3,"Commercial-All Com-ExtLight",IF('Proposed Lighting'!AH32&gt;8759,"IPC_8760","Commercial-All Com-IntLight")))</f>
        <v>IPC_8760</v>
      </c>
      <c r="C35" s="96" t="str">
        <f>IF(OR('Proposed Lighting'!DD32="Standard Incentive",'Proposed Lighting'!DD32="Non-Standard Incentive"),"Yes",IF(AND(IF(ISNUMBER(SEARCH("controls",'Proposed Lighting'!T32)),"True","False")="False",'Proposed Lighting'!DD32="Submit Control as Non-Standard"),"Yes","No"))</f>
        <v>No</v>
      </c>
      <c r="D35" s="1403">
        <f>'Proposed Lighting'!CV32-Q35</f>
        <v>0</v>
      </c>
      <c r="E35" s="143">
        <f>'Proposed Lighting'!T32</f>
        <v>0</v>
      </c>
      <c r="F35" s="143">
        <f>'Proposed Lighting'!F32</f>
        <v>0</v>
      </c>
      <c r="G35" s="96" t="s">
        <v>242</v>
      </c>
      <c r="H35" s="142" t="str">
        <f>'Proposed Lighting'!CP32</f>
        <v/>
      </c>
      <c r="I35" s="98">
        <v>1</v>
      </c>
      <c r="J35" s="142">
        <f>'Proposed Lighting'!AA32</f>
        <v>0</v>
      </c>
      <c r="K35" s="142" t="str">
        <f>IF(ISNUMBER(SEARCH("-C",'Proposed Lighting'!M32)),'Proposed Lighting'!AH32*0.9,'Proposed Lighting'!AH32)</f>
        <v/>
      </c>
      <c r="L35" s="142">
        <f>IFERROR(IF(OR('Proposed Lighting'!BC32=22,'Proposed Lighting'!BC32=44),1-25%,IF(OR('Proposed Lighting'!BC32=23,'Proposed Lighting'!BC32=46),1-30%,IF(OR('Proposed Lighting'!BC32=29,'Proposed Lighting'!BC32=39,'Proposed Lighting'!BC32=49),1-35%,IF(OR('Proposed Lighting'!BC32=24,'Proposed Lighting'!BC32=48),1-50%,IF(AND(ISNUMBER(SEARCH("-C",'Proposed Lighting'!M32)),'Proposed Lighting'!AU32=2),90%,100%)))))*'Proposed Lighting'!AH32,0)</f>
        <v>0</v>
      </c>
      <c r="M35" s="87">
        <f t="shared" si="0"/>
        <v>0</v>
      </c>
      <c r="N35" s="87">
        <f>IFERROR(IF('Proposed Lighting'!AU32=1,0,'Proposed Lighting'!AO32),0)</f>
        <v>0</v>
      </c>
      <c r="O35" s="88">
        <f>IF('Proposed Lighting'!AU32=1,0,'Proposed Lighting'!AP32)</f>
        <v>0</v>
      </c>
      <c r="P35" s="87">
        <f t="shared" si="1"/>
        <v>0</v>
      </c>
      <c r="Q35" s="98">
        <f t="shared" si="8"/>
        <v>0</v>
      </c>
      <c r="R35" s="99">
        <f>IFERROR(IF('Proposed Lighting'!T32="Lighting controls only",0,ROUND(IF('Proposed Lighting'!AQ32&lt;'Proposed Lighting'!AR32,0,IF('Proposed Lighting'!AH32=0,0,IF('Proposed Lighting'!BV32&gt;0,'Proposed Lighting'!BV32,IF('Proposed Lighting'!CL32=0,MIN('Proposed Lighting'!CN32:CO32),IF('Proposed Lighting'!CX32&gt;0,'Proposed Lighting'!CX32*'Proposed Lighting'!AA32,0))))),2)),0)</f>
        <v>0</v>
      </c>
      <c r="S35" s="99">
        <f>IF('Proposed Lighting'!AJ32&gt;0,'Proposed Lighting'!AJ32*J35,'Proposed Lighting'!$AU$328*J35)</f>
        <v>0</v>
      </c>
      <c r="T35" s="602">
        <f t="shared" si="2"/>
        <v>0</v>
      </c>
      <c r="U35" s="100"/>
      <c r="V35" s="99">
        <f t="shared" si="9"/>
        <v>0</v>
      </c>
      <c r="W35" s="99">
        <f t="shared" si="10"/>
        <v>0</v>
      </c>
      <c r="X35" s="99">
        <f t="shared" si="3"/>
        <v>0</v>
      </c>
      <c r="Y35" s="99"/>
      <c r="Z35" s="99">
        <f t="shared" si="11"/>
        <v>0</v>
      </c>
      <c r="AA35" s="99"/>
      <c r="AB35" s="99">
        <f t="shared" si="4"/>
        <v>0</v>
      </c>
      <c r="AC35" s="101" t="str">
        <f t="shared" si="5"/>
        <v/>
      </c>
      <c r="AD35" s="101" t="str">
        <f t="shared" si="6"/>
        <v/>
      </c>
      <c r="AE35" s="101" t="str">
        <f t="shared" si="7"/>
        <v/>
      </c>
      <c r="AF35" s="72"/>
      <c r="AG35" s="98">
        <f>IFERROR(IF($AV35="No",0,IF($AV35="yes",Summary!Q35,"")),"")</f>
        <v>0</v>
      </c>
      <c r="AH35" s="99">
        <f>IFERROR(IF($AV35="No",0,IF($AV35="yes",Summary!R35,"")),"")</f>
        <v>0</v>
      </c>
      <c r="AI35" s="99">
        <f>IFERROR(IF($AV35="No",0,IF($AV35="yes",Summary!S35,"")),"")</f>
        <v>0</v>
      </c>
      <c r="AJ35" s="602">
        <f>IFERROR(IF($AV35="No",0,IF($AV35="yes",Summary!T35,"")),"")</f>
        <v>0</v>
      </c>
      <c r="AK35" s="100">
        <f>IFERROR(IF($AV35="No",0,IF($AV35="yes",Summary!U35,"")),"")</f>
        <v>0</v>
      </c>
      <c r="AL35" s="99">
        <f>IFERROR(IF($AV35="No",0,IF($AV35="yes",Summary!V35,"")),"")</f>
        <v>0</v>
      </c>
      <c r="AM35" s="99">
        <f>IFERROR(IF($AV35="No",0,IF($AV35="yes",Summary!W35,"")),"")</f>
        <v>0</v>
      </c>
      <c r="AN35" s="99">
        <f>IFERROR(IF($AV35="No",0,IF($AV35="yes",Summary!X35,"")),"")</f>
        <v>0</v>
      </c>
      <c r="AO35" s="99">
        <f>IFERROR(IF($AV35="No",0,IF($AV35="yes",Summary!Y35+Z35,"")),"")</f>
        <v>0</v>
      </c>
      <c r="AP35" s="99">
        <f>IFERROR(IF($AV35="No",0,IF($AV35="yes",Summary!AB35,"")),"")</f>
        <v>0</v>
      </c>
      <c r="AQ35" s="101" t="str">
        <f t="shared" si="12"/>
        <v/>
      </c>
      <c r="AR35" s="101" t="str">
        <f t="shared" si="13"/>
        <v/>
      </c>
      <c r="AS35" s="101" t="str">
        <f t="shared" si="14"/>
        <v/>
      </c>
      <c r="AT35" s="96" t="s">
        <v>266</v>
      </c>
      <c r="AV35" t="str">
        <f>IF('Proposed Lighting'!CN32&gt;0,"No","Yes")</f>
        <v>Yes</v>
      </c>
    </row>
    <row r="36" spans="1:48" ht="35.1" customHeight="1" outlineLevel="1">
      <c r="A36" s="96" t="s">
        <v>267</v>
      </c>
      <c r="B36" s="96" t="str">
        <f>IF(ISNUMBER(SEARCH("case",E36)),"COM_MISC_REFR_ALL_UNKN1991",IF('Proposed Lighting'!AU33=3,"Commercial-All Com-ExtLight",IF('Proposed Lighting'!AH33&gt;8759,"IPC_8760","Commercial-All Com-IntLight")))</f>
        <v>IPC_8760</v>
      </c>
      <c r="C36" s="96" t="str">
        <f>IF(OR('Proposed Lighting'!DD33="Standard Incentive",'Proposed Lighting'!DD33="Non-Standard Incentive"),"Yes",IF(AND(IF(ISNUMBER(SEARCH("controls",'Proposed Lighting'!T33)),"True","False")="False",'Proposed Lighting'!DD33="Submit Control as Non-Standard"),"Yes","No"))</f>
        <v>No</v>
      </c>
      <c r="D36" s="1403">
        <f>'Proposed Lighting'!CV33-Q36</f>
        <v>0</v>
      </c>
      <c r="E36" s="143">
        <f>'Proposed Lighting'!T33</f>
        <v>0</v>
      </c>
      <c r="F36" s="143">
        <f>'Proposed Lighting'!F33</f>
        <v>0</v>
      </c>
      <c r="G36" s="96" t="s">
        <v>242</v>
      </c>
      <c r="H36" s="142" t="str">
        <f>'Proposed Lighting'!CP33</f>
        <v/>
      </c>
      <c r="I36" s="98">
        <v>1</v>
      </c>
      <c r="J36" s="142">
        <f>'Proposed Lighting'!AA33</f>
        <v>0</v>
      </c>
      <c r="K36" s="142" t="str">
        <f>IF(ISNUMBER(SEARCH("-C",'Proposed Lighting'!M33)),'Proposed Lighting'!AH33*0.9,'Proposed Lighting'!AH33)</f>
        <v/>
      </c>
      <c r="L36" s="142">
        <f>IFERROR(IF(OR('Proposed Lighting'!BC33=22,'Proposed Lighting'!BC33=44),1-25%,IF(OR('Proposed Lighting'!BC33=23,'Proposed Lighting'!BC33=46),1-30%,IF(OR('Proposed Lighting'!BC33=29,'Proposed Lighting'!BC33=39,'Proposed Lighting'!BC33=49),1-35%,IF(OR('Proposed Lighting'!BC33=24,'Proposed Lighting'!BC33=48),1-50%,IF(AND(ISNUMBER(SEARCH("-C",'Proposed Lighting'!M33)),'Proposed Lighting'!AU33=2),90%,100%)))))*'Proposed Lighting'!AH33,0)</f>
        <v>0</v>
      </c>
      <c r="M36" s="87">
        <f t="shared" si="0"/>
        <v>0</v>
      </c>
      <c r="N36" s="87">
        <f>IFERROR(IF('Proposed Lighting'!AU33=1,0,'Proposed Lighting'!AO33),0)</f>
        <v>0</v>
      </c>
      <c r="O36" s="88">
        <f>IF('Proposed Lighting'!AU33=1,0,'Proposed Lighting'!AP33)</f>
        <v>0</v>
      </c>
      <c r="P36" s="87">
        <f t="shared" si="1"/>
        <v>0</v>
      </c>
      <c r="Q36" s="98">
        <f t="shared" si="8"/>
        <v>0</v>
      </c>
      <c r="R36" s="99">
        <f>IFERROR(IF('Proposed Lighting'!T33="Lighting controls only",0,ROUND(IF('Proposed Lighting'!AQ33&lt;'Proposed Lighting'!AR33,0,IF('Proposed Lighting'!AH33=0,0,IF('Proposed Lighting'!BV33&gt;0,'Proposed Lighting'!BV33,IF('Proposed Lighting'!CL33=0,MIN('Proposed Lighting'!CN33:CO33),IF('Proposed Lighting'!CX33&gt;0,'Proposed Lighting'!CX33*'Proposed Lighting'!AA33,0))))),2)),0)</f>
        <v>0</v>
      </c>
      <c r="S36" s="99">
        <f>IF('Proposed Lighting'!AJ33&gt;0,'Proposed Lighting'!AJ33*J36,'Proposed Lighting'!$AU$328*J36)</f>
        <v>0</v>
      </c>
      <c r="T36" s="602">
        <f t="shared" si="2"/>
        <v>0</v>
      </c>
      <c r="U36" s="100"/>
      <c r="V36" s="99">
        <f t="shared" si="9"/>
        <v>0</v>
      </c>
      <c r="W36" s="99">
        <f t="shared" si="10"/>
        <v>0</v>
      </c>
      <c r="X36" s="99">
        <f t="shared" si="3"/>
        <v>0</v>
      </c>
      <c r="Y36" s="99"/>
      <c r="Z36" s="99">
        <f t="shared" si="11"/>
        <v>0</v>
      </c>
      <c r="AA36" s="99"/>
      <c r="AB36" s="99">
        <f t="shared" si="4"/>
        <v>0</v>
      </c>
      <c r="AC36" s="101" t="str">
        <f t="shared" si="5"/>
        <v/>
      </c>
      <c r="AD36" s="101" t="str">
        <f t="shared" si="6"/>
        <v/>
      </c>
      <c r="AE36" s="101" t="str">
        <f t="shared" si="7"/>
        <v/>
      </c>
      <c r="AF36" s="72"/>
      <c r="AG36" s="98">
        <f>IFERROR(IF($AV36="No",0,IF($AV36="yes",Summary!Q36,"")),"")</f>
        <v>0</v>
      </c>
      <c r="AH36" s="99">
        <f>IFERROR(IF($AV36="No",0,IF($AV36="yes",Summary!R36,"")),"")</f>
        <v>0</v>
      </c>
      <c r="AI36" s="99">
        <f>IFERROR(IF($AV36="No",0,IF($AV36="yes",Summary!S36,"")),"")</f>
        <v>0</v>
      </c>
      <c r="AJ36" s="602">
        <f>IFERROR(IF($AV36="No",0,IF($AV36="yes",Summary!T36,"")),"")</f>
        <v>0</v>
      </c>
      <c r="AK36" s="100">
        <f>IFERROR(IF($AV36="No",0,IF($AV36="yes",Summary!U36,"")),"")</f>
        <v>0</v>
      </c>
      <c r="AL36" s="99">
        <f>IFERROR(IF($AV36="No",0,IF($AV36="yes",Summary!V36,"")),"")</f>
        <v>0</v>
      </c>
      <c r="AM36" s="99">
        <f>IFERROR(IF($AV36="No",0,IF($AV36="yes",Summary!W36,"")),"")</f>
        <v>0</v>
      </c>
      <c r="AN36" s="99">
        <f>IFERROR(IF($AV36="No",0,IF($AV36="yes",Summary!X36,"")),"")</f>
        <v>0</v>
      </c>
      <c r="AO36" s="99">
        <f>IFERROR(IF($AV36="No",0,IF($AV36="yes",Summary!Y36+Z36,"")),"")</f>
        <v>0</v>
      </c>
      <c r="AP36" s="99">
        <f>IFERROR(IF($AV36="No",0,IF($AV36="yes",Summary!AB36,"")),"")</f>
        <v>0</v>
      </c>
      <c r="AQ36" s="101" t="str">
        <f t="shared" si="12"/>
        <v/>
      </c>
      <c r="AR36" s="101" t="str">
        <f t="shared" si="13"/>
        <v/>
      </c>
      <c r="AS36" s="101" t="str">
        <f t="shared" si="14"/>
        <v/>
      </c>
      <c r="AT36" s="96" t="s">
        <v>267</v>
      </c>
      <c r="AV36" t="str">
        <f>IF('Proposed Lighting'!CN33&gt;0,"No","Yes")</f>
        <v>Yes</v>
      </c>
    </row>
    <row r="37" spans="1:48" ht="34.5" customHeight="1" outlineLevel="1">
      <c r="A37" s="96" t="s">
        <v>337</v>
      </c>
      <c r="B37" s="96" t="str">
        <f>IF(ISNUMBER(SEARCH("case",E37)),"COM_MISC_REFR_ALL_UNKN1991",IF('Proposed Lighting'!AU34=3,"Commercial-All Com-ExtLight",IF('Proposed Lighting'!AH34&gt;8759,"IPC_8760","Commercial-All Com-IntLight")))</f>
        <v>IPC_8760</v>
      </c>
      <c r="C37" s="96" t="str">
        <f>IF(OR('Proposed Lighting'!DD34="Standard Incentive",'Proposed Lighting'!DD34="Non-Standard Incentive"),"Yes",IF(AND(IF(ISNUMBER(SEARCH("controls",'Proposed Lighting'!T34)),"True","False")="False",'Proposed Lighting'!DD34="Submit Control as Non-Standard"),"Yes","No"))</f>
        <v>No</v>
      </c>
      <c r="D37" s="1403">
        <f>'Proposed Lighting'!CV34-Q37</f>
        <v>0</v>
      </c>
      <c r="E37" s="143">
        <f>'Proposed Lighting'!T34</f>
        <v>0</v>
      </c>
      <c r="F37" s="143">
        <f>'Proposed Lighting'!F34</f>
        <v>0</v>
      </c>
      <c r="G37" s="96" t="s">
        <v>242</v>
      </c>
      <c r="H37" s="142" t="str">
        <f>'Proposed Lighting'!CP34</f>
        <v/>
      </c>
      <c r="I37" s="98">
        <v>1</v>
      </c>
      <c r="J37" s="142">
        <f>'Proposed Lighting'!AA34</f>
        <v>0</v>
      </c>
      <c r="K37" s="142" t="str">
        <f>IF(ISNUMBER(SEARCH("-C",'Proposed Lighting'!M34)),'Proposed Lighting'!AH34*0.9,'Proposed Lighting'!AH34)</f>
        <v/>
      </c>
      <c r="L37" s="142">
        <f>IFERROR(IF(OR('Proposed Lighting'!BC34=22,'Proposed Lighting'!BC34=44),1-25%,IF(OR('Proposed Lighting'!BC34=23,'Proposed Lighting'!BC34=46),1-30%,IF(OR('Proposed Lighting'!BC34=29,'Proposed Lighting'!BC34=39,'Proposed Lighting'!BC34=49),1-35%,IF(OR('Proposed Lighting'!BC34=24,'Proposed Lighting'!BC34=48),1-50%,IF(AND(ISNUMBER(SEARCH("-C",'Proposed Lighting'!M34)),'Proposed Lighting'!AU34=2),90%,100%)))))*'Proposed Lighting'!AH34,0)</f>
        <v>0</v>
      </c>
      <c r="M37" s="87">
        <f t="shared" si="0"/>
        <v>0</v>
      </c>
      <c r="N37" s="87">
        <f>IFERROR(IF('Proposed Lighting'!AU34=1,0,'Proposed Lighting'!AO34),0)</f>
        <v>0</v>
      </c>
      <c r="O37" s="88">
        <f>IF('Proposed Lighting'!AU34=1,0,'Proposed Lighting'!AP34)</f>
        <v>0</v>
      </c>
      <c r="P37" s="87">
        <f t="shared" si="1"/>
        <v>0</v>
      </c>
      <c r="Q37" s="98">
        <f t="shared" si="8"/>
        <v>0</v>
      </c>
      <c r="R37" s="99">
        <f>IFERROR(IF('Proposed Lighting'!T34="Lighting controls only",0,ROUND(IF('Proposed Lighting'!AQ34&lt;'Proposed Lighting'!AR34,0,IF('Proposed Lighting'!AH34=0,0,IF('Proposed Lighting'!BV34&gt;0,'Proposed Lighting'!BV34,IF('Proposed Lighting'!CL34=0,MIN('Proposed Lighting'!CN34:CO34),IF('Proposed Lighting'!CX34&gt;0,'Proposed Lighting'!CX34*'Proposed Lighting'!AA34,0))))),2)),0)</f>
        <v>0</v>
      </c>
      <c r="S37" s="99">
        <f>IF('Proposed Lighting'!AJ34&gt;0,'Proposed Lighting'!AJ34*J37,'Proposed Lighting'!$AU$328*J37)</f>
        <v>0</v>
      </c>
      <c r="T37" s="602">
        <f t="shared" si="2"/>
        <v>0</v>
      </c>
      <c r="U37" s="100"/>
      <c r="V37" s="99">
        <f t="shared" si="9"/>
        <v>0</v>
      </c>
      <c r="W37" s="99">
        <f t="shared" si="10"/>
        <v>0</v>
      </c>
      <c r="X37" s="99">
        <f t="shared" si="3"/>
        <v>0</v>
      </c>
      <c r="Y37" s="99"/>
      <c r="Z37" s="99">
        <f t="shared" si="11"/>
        <v>0</v>
      </c>
      <c r="AA37" s="99"/>
      <c r="AB37" s="99">
        <f t="shared" si="4"/>
        <v>0</v>
      </c>
      <c r="AC37" s="101" t="str">
        <f t="shared" si="5"/>
        <v/>
      </c>
      <c r="AD37" s="101" t="str">
        <f t="shared" si="6"/>
        <v/>
      </c>
      <c r="AE37" s="101" t="str">
        <f t="shared" si="7"/>
        <v/>
      </c>
      <c r="AF37" s="72"/>
      <c r="AG37" s="98">
        <f>IFERROR(IF($AV37="No",0,IF($AV37="yes",Summary!Q37,"")),"")</f>
        <v>0</v>
      </c>
      <c r="AH37" s="99">
        <f>IFERROR(IF($AV37="No",0,IF($AV37="yes",Summary!R37,"")),"")</f>
        <v>0</v>
      </c>
      <c r="AI37" s="99">
        <f>IFERROR(IF($AV37="No",0,IF($AV37="yes",Summary!S37,"")),"")</f>
        <v>0</v>
      </c>
      <c r="AJ37" s="602">
        <f>IFERROR(IF($AV37="No",0,IF($AV37="yes",Summary!T37,"")),"")</f>
        <v>0</v>
      </c>
      <c r="AK37" s="100">
        <f>IFERROR(IF($AV37="No",0,IF($AV37="yes",Summary!U37,"")),"")</f>
        <v>0</v>
      </c>
      <c r="AL37" s="99">
        <f>IFERROR(IF($AV37="No",0,IF($AV37="yes",Summary!V37,"")),"")</f>
        <v>0</v>
      </c>
      <c r="AM37" s="99">
        <f>IFERROR(IF($AV37="No",0,IF($AV37="yes",Summary!W37,"")),"")</f>
        <v>0</v>
      </c>
      <c r="AN37" s="99">
        <f>IFERROR(IF($AV37="No",0,IF($AV37="yes",Summary!X37,"")),"")</f>
        <v>0</v>
      </c>
      <c r="AO37" s="99">
        <f>IFERROR(IF($AV37="No",0,IF($AV37="yes",Summary!Y37+Z37,"")),"")</f>
        <v>0</v>
      </c>
      <c r="AP37" s="99">
        <f>IFERROR(IF($AV37="No",0,IF($AV37="yes",Summary!AB37,"")),"")</f>
        <v>0</v>
      </c>
      <c r="AQ37" s="101" t="str">
        <f t="shared" si="12"/>
        <v/>
      </c>
      <c r="AR37" s="101" t="str">
        <f t="shared" si="13"/>
        <v/>
      </c>
      <c r="AS37" s="101" t="str">
        <f t="shared" si="14"/>
        <v/>
      </c>
      <c r="AT37" s="96" t="s">
        <v>337</v>
      </c>
      <c r="AV37" t="str">
        <f>IF('Proposed Lighting'!CN34&gt;0,"No","Yes")</f>
        <v>Yes</v>
      </c>
    </row>
    <row r="38" spans="1:48" ht="34.5" customHeight="1" outlineLevel="1">
      <c r="A38" s="96" t="s">
        <v>338</v>
      </c>
      <c r="B38" s="96" t="str">
        <f>IF(ISNUMBER(SEARCH("case",E38)),"COM_MISC_REFR_ALL_UNKN1991",IF('Proposed Lighting'!AU35=3,"Commercial-All Com-ExtLight",IF('Proposed Lighting'!AH35&gt;8759,"IPC_8760","Commercial-All Com-IntLight")))</f>
        <v>IPC_8760</v>
      </c>
      <c r="C38" s="96" t="str">
        <f>IF(OR('Proposed Lighting'!DD35="Standard Incentive",'Proposed Lighting'!DD35="Non-Standard Incentive"),"Yes",IF(AND(IF(ISNUMBER(SEARCH("controls",'Proposed Lighting'!T35)),"True","False")="False",'Proposed Lighting'!DD35="Submit Control as Non-Standard"),"Yes","No"))</f>
        <v>No</v>
      </c>
      <c r="D38" s="1403">
        <f>'Proposed Lighting'!CV35-Q38</f>
        <v>0</v>
      </c>
      <c r="E38" s="143">
        <f>'Proposed Lighting'!T35</f>
        <v>0</v>
      </c>
      <c r="F38" s="143">
        <f>'Proposed Lighting'!F35</f>
        <v>0</v>
      </c>
      <c r="G38" s="96" t="s">
        <v>242</v>
      </c>
      <c r="H38" s="142" t="str">
        <f>'Proposed Lighting'!CP35</f>
        <v/>
      </c>
      <c r="I38" s="98">
        <v>1</v>
      </c>
      <c r="J38" s="142">
        <f>'Proposed Lighting'!AA35</f>
        <v>0</v>
      </c>
      <c r="K38" s="142" t="str">
        <f>IF(ISNUMBER(SEARCH("-C",'Proposed Lighting'!M35)),'Proposed Lighting'!AH35*0.9,'Proposed Lighting'!AH35)</f>
        <v/>
      </c>
      <c r="L38" s="142">
        <f>IFERROR(IF(OR('Proposed Lighting'!BC35=22,'Proposed Lighting'!BC35=44),1-25%,IF(OR('Proposed Lighting'!BC35=23,'Proposed Lighting'!BC35=46),1-30%,IF(OR('Proposed Lighting'!BC35=29,'Proposed Lighting'!BC35=39,'Proposed Lighting'!BC35=49),1-35%,IF(OR('Proposed Lighting'!BC35=24,'Proposed Lighting'!BC35=48),1-50%,IF(AND(ISNUMBER(SEARCH("-C",'Proposed Lighting'!M35)),'Proposed Lighting'!AU35=2),90%,100%)))))*'Proposed Lighting'!AH35,0)</f>
        <v>0</v>
      </c>
      <c r="M38" s="87">
        <f t="shared" si="0"/>
        <v>0</v>
      </c>
      <c r="N38" s="87">
        <f>IFERROR(IF('Proposed Lighting'!AU35=1,0,'Proposed Lighting'!AO35),0)</f>
        <v>0</v>
      </c>
      <c r="O38" s="88">
        <f>IF('Proposed Lighting'!AU35=1,0,'Proposed Lighting'!AP35)</f>
        <v>0</v>
      </c>
      <c r="P38" s="87">
        <f t="shared" si="1"/>
        <v>0</v>
      </c>
      <c r="Q38" s="98">
        <f t="shared" si="8"/>
        <v>0</v>
      </c>
      <c r="R38" s="99">
        <f>IFERROR(IF('Proposed Lighting'!T35="Lighting controls only",0,ROUND(IF('Proposed Lighting'!AQ35&lt;'Proposed Lighting'!AR35,0,IF('Proposed Lighting'!AH35=0,0,IF('Proposed Lighting'!BV35&gt;0,'Proposed Lighting'!BV35,IF('Proposed Lighting'!CL35=0,MIN('Proposed Lighting'!CN35:CO35),IF('Proposed Lighting'!CX35&gt;0,'Proposed Lighting'!CX35*'Proposed Lighting'!AA35,0))))),2)),0)</f>
        <v>0</v>
      </c>
      <c r="S38" s="99">
        <f>IF('Proposed Lighting'!AJ35&gt;0,'Proposed Lighting'!AJ35*J38,'Proposed Lighting'!$AU$328*J38)</f>
        <v>0</v>
      </c>
      <c r="T38" s="602">
        <f t="shared" si="2"/>
        <v>0</v>
      </c>
      <c r="U38" s="100"/>
      <c r="V38" s="99">
        <f t="shared" si="9"/>
        <v>0</v>
      </c>
      <c r="W38" s="99">
        <f t="shared" si="10"/>
        <v>0</v>
      </c>
      <c r="X38" s="99">
        <f t="shared" si="3"/>
        <v>0</v>
      </c>
      <c r="Y38" s="99"/>
      <c r="Z38" s="99">
        <f t="shared" si="11"/>
        <v>0</v>
      </c>
      <c r="AA38" s="99"/>
      <c r="AB38" s="99">
        <f t="shared" si="4"/>
        <v>0</v>
      </c>
      <c r="AC38" s="101" t="str">
        <f t="shared" si="5"/>
        <v/>
      </c>
      <c r="AD38" s="101" t="str">
        <f t="shared" si="6"/>
        <v/>
      </c>
      <c r="AE38" s="101" t="str">
        <f t="shared" si="7"/>
        <v/>
      </c>
      <c r="AF38" s="72"/>
      <c r="AG38" s="98">
        <f>IFERROR(IF($AV38="No",0,IF($AV38="yes",Summary!Q38,"")),"")</f>
        <v>0</v>
      </c>
      <c r="AH38" s="99">
        <f>IFERROR(IF($AV38="No",0,IF($AV38="yes",Summary!R38,"")),"")</f>
        <v>0</v>
      </c>
      <c r="AI38" s="99">
        <f>IFERROR(IF($AV38="No",0,IF($AV38="yes",Summary!S38,"")),"")</f>
        <v>0</v>
      </c>
      <c r="AJ38" s="602">
        <f>IFERROR(IF($AV38="No",0,IF($AV38="yes",Summary!T38,"")),"")</f>
        <v>0</v>
      </c>
      <c r="AK38" s="100">
        <f>IFERROR(IF($AV38="No",0,IF($AV38="yes",Summary!U38,"")),"")</f>
        <v>0</v>
      </c>
      <c r="AL38" s="99">
        <f>IFERROR(IF($AV38="No",0,IF($AV38="yes",Summary!V38,"")),"")</f>
        <v>0</v>
      </c>
      <c r="AM38" s="99">
        <f>IFERROR(IF($AV38="No",0,IF($AV38="yes",Summary!W38,"")),"")</f>
        <v>0</v>
      </c>
      <c r="AN38" s="99">
        <f>IFERROR(IF($AV38="No",0,IF($AV38="yes",Summary!X38,"")),"")</f>
        <v>0</v>
      </c>
      <c r="AO38" s="99">
        <f>IFERROR(IF($AV38="No",0,IF($AV38="yes",Summary!Y38+Z38,"")),"")</f>
        <v>0</v>
      </c>
      <c r="AP38" s="99">
        <f>IFERROR(IF($AV38="No",0,IF($AV38="yes",Summary!AB38,"")),"")</f>
        <v>0</v>
      </c>
      <c r="AQ38" s="101" t="str">
        <f t="shared" si="12"/>
        <v/>
      </c>
      <c r="AR38" s="101" t="str">
        <f t="shared" si="13"/>
        <v/>
      </c>
      <c r="AS38" s="101" t="str">
        <f t="shared" si="14"/>
        <v/>
      </c>
      <c r="AT38" s="96" t="s">
        <v>338</v>
      </c>
      <c r="AV38" t="str">
        <f>IF('Proposed Lighting'!CN35&gt;0,"No","Yes")</f>
        <v>Yes</v>
      </c>
    </row>
    <row r="39" spans="1:48" ht="34.5" customHeight="1" outlineLevel="1">
      <c r="A39" s="96" t="s">
        <v>339</v>
      </c>
      <c r="B39" s="96" t="str">
        <f>IF(ISNUMBER(SEARCH("case",E39)),"COM_MISC_REFR_ALL_UNKN1991",IF('Proposed Lighting'!AU36=3,"Commercial-All Com-ExtLight",IF('Proposed Lighting'!AH36&gt;8759,"IPC_8760","Commercial-All Com-IntLight")))</f>
        <v>IPC_8760</v>
      </c>
      <c r="C39" s="96" t="str">
        <f>IF(OR('Proposed Lighting'!DD36="Standard Incentive",'Proposed Lighting'!DD36="Non-Standard Incentive"),"Yes",IF(AND(IF(ISNUMBER(SEARCH("controls",'Proposed Lighting'!T36)),"True","False")="False",'Proposed Lighting'!DD36="Submit Control as Non-Standard"),"Yes","No"))</f>
        <v>No</v>
      </c>
      <c r="D39" s="1403">
        <f>'Proposed Lighting'!CV36-Q39</f>
        <v>0</v>
      </c>
      <c r="E39" s="143">
        <f>'Proposed Lighting'!T36</f>
        <v>0</v>
      </c>
      <c r="F39" s="143">
        <f>'Proposed Lighting'!F36</f>
        <v>0</v>
      </c>
      <c r="G39" s="96" t="s">
        <v>242</v>
      </c>
      <c r="H39" s="142" t="str">
        <f>'Proposed Lighting'!CP36</f>
        <v/>
      </c>
      <c r="I39" s="98">
        <v>1</v>
      </c>
      <c r="J39" s="142">
        <f>'Proposed Lighting'!AA36</f>
        <v>0</v>
      </c>
      <c r="K39" s="142" t="str">
        <f>IF(ISNUMBER(SEARCH("-C",'Proposed Lighting'!M36)),'Proposed Lighting'!AH36*0.9,'Proposed Lighting'!AH36)</f>
        <v/>
      </c>
      <c r="L39" s="142">
        <f>IFERROR(IF(OR('Proposed Lighting'!BC36=22,'Proposed Lighting'!BC36=44),1-25%,IF(OR('Proposed Lighting'!BC36=23,'Proposed Lighting'!BC36=46),1-30%,IF(OR('Proposed Lighting'!BC36=29,'Proposed Lighting'!BC36=39,'Proposed Lighting'!BC36=49),1-35%,IF(OR('Proposed Lighting'!BC36=24,'Proposed Lighting'!BC36=48),1-50%,IF(AND(ISNUMBER(SEARCH("-C",'Proposed Lighting'!M36)),'Proposed Lighting'!AU36=2),90%,100%)))))*'Proposed Lighting'!AH36,0)</f>
        <v>0</v>
      </c>
      <c r="M39" s="87">
        <f t="shared" si="0"/>
        <v>0</v>
      </c>
      <c r="N39" s="87">
        <f>IFERROR(IF('Proposed Lighting'!AU36=1,0,'Proposed Lighting'!AO36),0)</f>
        <v>0</v>
      </c>
      <c r="O39" s="88">
        <f>IF('Proposed Lighting'!AU36=1,0,'Proposed Lighting'!AP36)</f>
        <v>0</v>
      </c>
      <c r="P39" s="87">
        <f t="shared" si="1"/>
        <v>0</v>
      </c>
      <c r="Q39" s="98">
        <f t="shared" si="8"/>
        <v>0</v>
      </c>
      <c r="R39" s="99">
        <f>IFERROR(IF('Proposed Lighting'!T36="Lighting controls only",0,ROUND(IF('Proposed Lighting'!AQ36&lt;'Proposed Lighting'!AR36,0,IF('Proposed Lighting'!AH36=0,0,IF('Proposed Lighting'!BV36&gt;0,'Proposed Lighting'!BV36,IF('Proposed Lighting'!CL36=0,MIN('Proposed Lighting'!CN36:CO36),IF('Proposed Lighting'!CX36&gt;0,'Proposed Lighting'!CX36*'Proposed Lighting'!AA36,0))))),2)),0)</f>
        <v>0</v>
      </c>
      <c r="S39" s="99">
        <f>IF('Proposed Lighting'!AJ36&gt;0,'Proposed Lighting'!AJ36*J39,'Proposed Lighting'!$AU$328*J39)</f>
        <v>0</v>
      </c>
      <c r="T39" s="602">
        <f t="shared" si="2"/>
        <v>0</v>
      </c>
      <c r="U39" s="100"/>
      <c r="V39" s="99">
        <f t="shared" si="9"/>
        <v>0</v>
      </c>
      <c r="W39" s="99">
        <f t="shared" si="10"/>
        <v>0</v>
      </c>
      <c r="X39" s="99">
        <f t="shared" si="3"/>
        <v>0</v>
      </c>
      <c r="Y39" s="99"/>
      <c r="Z39" s="99">
        <f t="shared" si="11"/>
        <v>0</v>
      </c>
      <c r="AA39" s="99"/>
      <c r="AB39" s="99">
        <f t="shared" si="4"/>
        <v>0</v>
      </c>
      <c r="AC39" s="101" t="str">
        <f t="shared" si="5"/>
        <v/>
      </c>
      <c r="AD39" s="101" t="str">
        <f t="shared" si="6"/>
        <v/>
      </c>
      <c r="AE39" s="101" t="str">
        <f t="shared" si="7"/>
        <v/>
      </c>
      <c r="AF39" s="72"/>
      <c r="AG39" s="98">
        <f>IFERROR(IF($AV39="No",0,IF($AV39="yes",Summary!Q39,"")),"")</f>
        <v>0</v>
      </c>
      <c r="AH39" s="99">
        <f>IFERROR(IF($AV39="No",0,IF($AV39="yes",Summary!R39,"")),"")</f>
        <v>0</v>
      </c>
      <c r="AI39" s="99">
        <f>IFERROR(IF($AV39="No",0,IF($AV39="yes",Summary!S39,"")),"")</f>
        <v>0</v>
      </c>
      <c r="AJ39" s="602">
        <f>IFERROR(IF($AV39="No",0,IF($AV39="yes",Summary!T39,"")),"")</f>
        <v>0</v>
      </c>
      <c r="AK39" s="100">
        <f>IFERROR(IF($AV39="No",0,IF($AV39="yes",Summary!U39,"")),"")</f>
        <v>0</v>
      </c>
      <c r="AL39" s="99">
        <f>IFERROR(IF($AV39="No",0,IF($AV39="yes",Summary!V39,"")),"")</f>
        <v>0</v>
      </c>
      <c r="AM39" s="99">
        <f>IFERROR(IF($AV39="No",0,IF($AV39="yes",Summary!W39,"")),"")</f>
        <v>0</v>
      </c>
      <c r="AN39" s="99">
        <f>IFERROR(IF($AV39="No",0,IF($AV39="yes",Summary!X39,"")),"")</f>
        <v>0</v>
      </c>
      <c r="AO39" s="99">
        <f>IFERROR(IF($AV39="No",0,IF($AV39="yes",Summary!Y39+Z39,"")),"")</f>
        <v>0</v>
      </c>
      <c r="AP39" s="99">
        <f>IFERROR(IF($AV39="No",0,IF($AV39="yes",Summary!AB39,"")),"")</f>
        <v>0</v>
      </c>
      <c r="AQ39" s="101" t="str">
        <f t="shared" si="12"/>
        <v/>
      </c>
      <c r="AR39" s="101" t="str">
        <f t="shared" si="13"/>
        <v/>
      </c>
      <c r="AS39" s="101" t="str">
        <f t="shared" si="14"/>
        <v/>
      </c>
      <c r="AT39" s="96" t="s">
        <v>339</v>
      </c>
      <c r="AV39" t="str">
        <f>IF('Proposed Lighting'!CN36&gt;0,"No","Yes")</f>
        <v>Yes</v>
      </c>
    </row>
    <row r="40" spans="1:48" ht="34.5" customHeight="1" outlineLevel="1">
      <c r="A40" s="96" t="s">
        <v>340</v>
      </c>
      <c r="B40" s="96" t="str">
        <f>IF(ISNUMBER(SEARCH("case",E40)),"COM_MISC_REFR_ALL_UNKN1991",IF('Proposed Lighting'!AU37=3,"Commercial-All Com-ExtLight",IF('Proposed Lighting'!AH37&gt;8759,"IPC_8760","Commercial-All Com-IntLight")))</f>
        <v>IPC_8760</v>
      </c>
      <c r="C40" s="96" t="str">
        <f>IF(OR('Proposed Lighting'!DD37="Standard Incentive",'Proposed Lighting'!DD37="Non-Standard Incentive"),"Yes",IF(AND(IF(ISNUMBER(SEARCH("controls",'Proposed Lighting'!T37)),"True","False")="False",'Proposed Lighting'!DD37="Submit Control as Non-Standard"),"Yes","No"))</f>
        <v>No</v>
      </c>
      <c r="D40" s="1403">
        <f>'Proposed Lighting'!CV37-Q40</f>
        <v>0</v>
      </c>
      <c r="E40" s="143">
        <f>'Proposed Lighting'!T37</f>
        <v>0</v>
      </c>
      <c r="F40" s="143">
        <f>'Proposed Lighting'!F37</f>
        <v>0</v>
      </c>
      <c r="G40" s="96" t="s">
        <v>242</v>
      </c>
      <c r="H40" s="142" t="str">
        <f>'Proposed Lighting'!CP37</f>
        <v/>
      </c>
      <c r="I40" s="98">
        <v>1</v>
      </c>
      <c r="J40" s="142">
        <f>'Proposed Lighting'!AA37</f>
        <v>0</v>
      </c>
      <c r="K40" s="142" t="str">
        <f>IF(ISNUMBER(SEARCH("-C",'Proposed Lighting'!M37)),'Proposed Lighting'!AH37*0.9,'Proposed Lighting'!AH37)</f>
        <v/>
      </c>
      <c r="L40" s="142">
        <f>IFERROR(IF(OR('Proposed Lighting'!BC37=22,'Proposed Lighting'!BC37=44),1-25%,IF(OR('Proposed Lighting'!BC37=23,'Proposed Lighting'!BC37=46),1-30%,IF(OR('Proposed Lighting'!BC37=29,'Proposed Lighting'!BC37=39,'Proposed Lighting'!BC37=49),1-35%,IF(OR('Proposed Lighting'!BC37=24,'Proposed Lighting'!BC37=48),1-50%,IF(AND(ISNUMBER(SEARCH("-C",'Proposed Lighting'!M37)),'Proposed Lighting'!AU37=2),90%,100%)))))*'Proposed Lighting'!AH37,0)</f>
        <v>0</v>
      </c>
      <c r="M40" s="87">
        <f t="shared" si="0"/>
        <v>0</v>
      </c>
      <c r="N40" s="87">
        <f>IFERROR(IF('Proposed Lighting'!AU37=1,0,'Proposed Lighting'!AO37),0)</f>
        <v>0</v>
      </c>
      <c r="O40" s="88">
        <f>IF('Proposed Lighting'!AU37=1,0,'Proposed Lighting'!AP37)</f>
        <v>0</v>
      </c>
      <c r="P40" s="87">
        <f t="shared" si="1"/>
        <v>0</v>
      </c>
      <c r="Q40" s="98">
        <f t="shared" si="8"/>
        <v>0</v>
      </c>
      <c r="R40" s="99">
        <f>IFERROR(IF('Proposed Lighting'!T37="Lighting controls only",0,ROUND(IF('Proposed Lighting'!AQ37&lt;'Proposed Lighting'!AR37,0,IF('Proposed Lighting'!AH37=0,0,IF('Proposed Lighting'!BV37&gt;0,'Proposed Lighting'!BV37,IF('Proposed Lighting'!CL37=0,MIN('Proposed Lighting'!CN37:CO37),IF('Proposed Lighting'!CX37&gt;0,'Proposed Lighting'!CX37*'Proposed Lighting'!AA37,0))))),2)),0)</f>
        <v>0</v>
      </c>
      <c r="S40" s="99">
        <f>IF('Proposed Lighting'!AJ37&gt;0,'Proposed Lighting'!AJ37*J40,'Proposed Lighting'!$AU$328*J40)</f>
        <v>0</v>
      </c>
      <c r="T40" s="602">
        <f t="shared" si="2"/>
        <v>0</v>
      </c>
      <c r="U40" s="100"/>
      <c r="V40" s="99">
        <f t="shared" si="9"/>
        <v>0</v>
      </c>
      <c r="W40" s="99">
        <f t="shared" si="10"/>
        <v>0</v>
      </c>
      <c r="X40" s="99">
        <f t="shared" si="3"/>
        <v>0</v>
      </c>
      <c r="Y40" s="99"/>
      <c r="Z40" s="99">
        <f t="shared" si="11"/>
        <v>0</v>
      </c>
      <c r="AA40" s="99"/>
      <c r="AB40" s="99">
        <f t="shared" si="4"/>
        <v>0</v>
      </c>
      <c r="AC40" s="101" t="str">
        <f t="shared" si="5"/>
        <v/>
      </c>
      <c r="AD40" s="101" t="str">
        <f t="shared" si="6"/>
        <v/>
      </c>
      <c r="AE40" s="101" t="str">
        <f t="shared" si="7"/>
        <v/>
      </c>
      <c r="AF40" s="72"/>
      <c r="AG40" s="98">
        <f>IFERROR(IF($AV40="No",0,IF($AV40="yes",Summary!Q40,"")),"")</f>
        <v>0</v>
      </c>
      <c r="AH40" s="99">
        <f>IFERROR(IF($AV40="No",0,IF($AV40="yes",Summary!R40,"")),"")</f>
        <v>0</v>
      </c>
      <c r="AI40" s="99">
        <f>IFERROR(IF($AV40="No",0,IF($AV40="yes",Summary!S40,"")),"")</f>
        <v>0</v>
      </c>
      <c r="AJ40" s="602">
        <f>IFERROR(IF($AV40="No",0,IF($AV40="yes",Summary!T40,"")),"")</f>
        <v>0</v>
      </c>
      <c r="AK40" s="100">
        <f>IFERROR(IF($AV40="No",0,IF($AV40="yes",Summary!U40,"")),"")</f>
        <v>0</v>
      </c>
      <c r="AL40" s="99">
        <f>IFERROR(IF($AV40="No",0,IF($AV40="yes",Summary!V40,"")),"")</f>
        <v>0</v>
      </c>
      <c r="AM40" s="99">
        <f>IFERROR(IF($AV40="No",0,IF($AV40="yes",Summary!W40,"")),"")</f>
        <v>0</v>
      </c>
      <c r="AN40" s="99">
        <f>IFERROR(IF($AV40="No",0,IF($AV40="yes",Summary!X40,"")),"")</f>
        <v>0</v>
      </c>
      <c r="AO40" s="99">
        <f>IFERROR(IF($AV40="No",0,IF($AV40="yes",Summary!Y40+Z40,"")),"")</f>
        <v>0</v>
      </c>
      <c r="AP40" s="99">
        <f>IFERROR(IF($AV40="No",0,IF($AV40="yes",Summary!AB40,"")),"")</f>
        <v>0</v>
      </c>
      <c r="AQ40" s="101" t="str">
        <f t="shared" si="12"/>
        <v/>
      </c>
      <c r="AR40" s="101" t="str">
        <f t="shared" si="13"/>
        <v/>
      </c>
      <c r="AS40" s="101" t="str">
        <f t="shared" si="14"/>
        <v/>
      </c>
      <c r="AT40" s="96" t="s">
        <v>340</v>
      </c>
      <c r="AV40" t="str">
        <f>IF('Proposed Lighting'!CN37&gt;0,"No","Yes")</f>
        <v>Yes</v>
      </c>
    </row>
    <row r="41" spans="1:48" ht="34.5" customHeight="1" outlineLevel="1">
      <c r="A41" s="96" t="s">
        <v>341</v>
      </c>
      <c r="B41" s="96" t="str">
        <f>IF(ISNUMBER(SEARCH("case",E41)),"COM_MISC_REFR_ALL_UNKN1991",IF('Proposed Lighting'!AU38=3,"Commercial-All Com-ExtLight",IF('Proposed Lighting'!AH38&gt;8759,"IPC_8760","Commercial-All Com-IntLight")))</f>
        <v>IPC_8760</v>
      </c>
      <c r="C41" s="96" t="str">
        <f>IF(OR('Proposed Lighting'!DD38="Standard Incentive",'Proposed Lighting'!DD38="Non-Standard Incentive"),"Yes",IF(AND(IF(ISNUMBER(SEARCH("controls",'Proposed Lighting'!T38)),"True","False")="False",'Proposed Lighting'!DD38="Submit Control as Non-Standard"),"Yes","No"))</f>
        <v>No</v>
      </c>
      <c r="D41" s="1403">
        <f>'Proposed Lighting'!CV38-Q41</f>
        <v>0</v>
      </c>
      <c r="E41" s="143">
        <f>'Proposed Lighting'!T38</f>
        <v>0</v>
      </c>
      <c r="F41" s="143">
        <f>'Proposed Lighting'!F38</f>
        <v>0</v>
      </c>
      <c r="G41" s="96" t="s">
        <v>242</v>
      </c>
      <c r="H41" s="142" t="str">
        <f>'Proposed Lighting'!CP38</f>
        <v/>
      </c>
      <c r="I41" s="98">
        <v>1</v>
      </c>
      <c r="J41" s="142">
        <f>'Proposed Lighting'!AA38</f>
        <v>0</v>
      </c>
      <c r="K41" s="142" t="str">
        <f>IF(ISNUMBER(SEARCH("-C",'Proposed Lighting'!M38)),'Proposed Lighting'!AH38*0.9,'Proposed Lighting'!AH38)</f>
        <v/>
      </c>
      <c r="L41" s="142">
        <f>IFERROR(IF(OR('Proposed Lighting'!BC38=22,'Proposed Lighting'!BC38=44),1-25%,IF(OR('Proposed Lighting'!BC38=23,'Proposed Lighting'!BC38=46),1-30%,IF(OR('Proposed Lighting'!BC38=29,'Proposed Lighting'!BC38=39,'Proposed Lighting'!BC38=49),1-35%,IF(OR('Proposed Lighting'!BC38=24,'Proposed Lighting'!BC38=48),1-50%,IF(AND(ISNUMBER(SEARCH("-C",'Proposed Lighting'!M38)),'Proposed Lighting'!AU38=2),90%,100%)))))*'Proposed Lighting'!AH38,0)</f>
        <v>0</v>
      </c>
      <c r="M41" s="87">
        <f t="shared" si="0"/>
        <v>0</v>
      </c>
      <c r="N41" s="87">
        <f>IFERROR(IF('Proposed Lighting'!AU38=1,0,'Proposed Lighting'!AO38),0)</f>
        <v>0</v>
      </c>
      <c r="O41" s="88">
        <f>IF('Proposed Lighting'!AU38=1,0,'Proposed Lighting'!AP38)</f>
        <v>0</v>
      </c>
      <c r="P41" s="87">
        <f t="shared" si="1"/>
        <v>0</v>
      </c>
      <c r="Q41" s="98">
        <f t="shared" si="8"/>
        <v>0</v>
      </c>
      <c r="R41" s="99">
        <f>IFERROR(IF('Proposed Lighting'!T38="Lighting controls only",0,ROUND(IF('Proposed Lighting'!AQ38&lt;'Proposed Lighting'!AR38,0,IF('Proposed Lighting'!AH38=0,0,IF('Proposed Lighting'!BV38&gt;0,'Proposed Lighting'!BV38,IF('Proposed Lighting'!CL38=0,MIN('Proposed Lighting'!CN38:CO38),IF('Proposed Lighting'!CX38&gt;0,'Proposed Lighting'!CX38*'Proposed Lighting'!AA38,0))))),2)),0)</f>
        <v>0</v>
      </c>
      <c r="S41" s="99">
        <f>IF('Proposed Lighting'!AJ38&gt;0,'Proposed Lighting'!AJ38*J41,'Proposed Lighting'!$AU$328*J41)</f>
        <v>0</v>
      </c>
      <c r="T41" s="602">
        <f t="shared" si="2"/>
        <v>0</v>
      </c>
      <c r="U41" s="100"/>
      <c r="V41" s="99">
        <f t="shared" si="9"/>
        <v>0</v>
      </c>
      <c r="W41" s="99">
        <f t="shared" si="10"/>
        <v>0</v>
      </c>
      <c r="X41" s="99">
        <f t="shared" si="3"/>
        <v>0</v>
      </c>
      <c r="Y41" s="99"/>
      <c r="Z41" s="99">
        <f t="shared" si="11"/>
        <v>0</v>
      </c>
      <c r="AA41" s="99"/>
      <c r="AB41" s="99">
        <f t="shared" si="4"/>
        <v>0</v>
      </c>
      <c r="AC41" s="101" t="str">
        <f t="shared" si="5"/>
        <v/>
      </c>
      <c r="AD41" s="101" t="str">
        <f t="shared" si="6"/>
        <v/>
      </c>
      <c r="AE41" s="101" t="str">
        <f t="shared" si="7"/>
        <v/>
      </c>
      <c r="AF41" s="72"/>
      <c r="AG41" s="98">
        <f>IFERROR(IF($AV41="No",0,IF($AV41="yes",Summary!Q41,"")),"")</f>
        <v>0</v>
      </c>
      <c r="AH41" s="99">
        <f>IFERROR(IF($AV41="No",0,IF($AV41="yes",Summary!R41,"")),"")</f>
        <v>0</v>
      </c>
      <c r="AI41" s="99">
        <f>IFERROR(IF($AV41="No",0,IF($AV41="yes",Summary!S41,"")),"")</f>
        <v>0</v>
      </c>
      <c r="AJ41" s="602">
        <f>IFERROR(IF($AV41="No",0,IF($AV41="yes",Summary!T41,"")),"")</f>
        <v>0</v>
      </c>
      <c r="AK41" s="100">
        <f>IFERROR(IF($AV41="No",0,IF($AV41="yes",Summary!U41,"")),"")</f>
        <v>0</v>
      </c>
      <c r="AL41" s="99">
        <f>IFERROR(IF($AV41="No",0,IF($AV41="yes",Summary!V41,"")),"")</f>
        <v>0</v>
      </c>
      <c r="AM41" s="99">
        <f>IFERROR(IF($AV41="No",0,IF($AV41="yes",Summary!W41,"")),"")</f>
        <v>0</v>
      </c>
      <c r="AN41" s="99">
        <f>IFERROR(IF($AV41="No",0,IF($AV41="yes",Summary!X41,"")),"")</f>
        <v>0</v>
      </c>
      <c r="AO41" s="99">
        <f>IFERROR(IF($AV41="No",0,IF($AV41="yes",Summary!Y41+Z41,"")),"")</f>
        <v>0</v>
      </c>
      <c r="AP41" s="99">
        <f>IFERROR(IF($AV41="No",0,IF($AV41="yes",Summary!AB41,"")),"")</f>
        <v>0</v>
      </c>
      <c r="AQ41" s="101" t="str">
        <f t="shared" si="12"/>
        <v/>
      </c>
      <c r="AR41" s="101" t="str">
        <f t="shared" si="13"/>
        <v/>
      </c>
      <c r="AS41" s="101" t="str">
        <f t="shared" si="14"/>
        <v/>
      </c>
      <c r="AT41" s="96" t="s">
        <v>341</v>
      </c>
      <c r="AV41" t="str">
        <f>IF('Proposed Lighting'!CN38&gt;0,"No","Yes")</f>
        <v>Yes</v>
      </c>
    </row>
    <row r="42" spans="1:48" ht="34.5" customHeight="1" outlineLevel="1">
      <c r="A42" s="96" t="s">
        <v>342</v>
      </c>
      <c r="B42" s="96" t="str">
        <f>IF(ISNUMBER(SEARCH("case",E42)),"COM_MISC_REFR_ALL_UNKN1991",IF('Proposed Lighting'!AU39=3,"Commercial-All Com-ExtLight",IF('Proposed Lighting'!AH39&gt;8759,"IPC_8760","Commercial-All Com-IntLight")))</f>
        <v>IPC_8760</v>
      </c>
      <c r="C42" s="96" t="str">
        <f>IF(OR('Proposed Lighting'!DD39="Standard Incentive",'Proposed Lighting'!DD39="Non-Standard Incentive"),"Yes",IF(AND(IF(ISNUMBER(SEARCH("controls",'Proposed Lighting'!T39)),"True","False")="False",'Proposed Lighting'!DD39="Submit Control as Non-Standard"),"Yes","No"))</f>
        <v>No</v>
      </c>
      <c r="D42" s="1403">
        <f>'Proposed Lighting'!CV39-Q42</f>
        <v>0</v>
      </c>
      <c r="E42" s="143">
        <f>'Proposed Lighting'!T39</f>
        <v>0</v>
      </c>
      <c r="F42" s="143">
        <f>'Proposed Lighting'!F39</f>
        <v>0</v>
      </c>
      <c r="G42" s="96" t="s">
        <v>242</v>
      </c>
      <c r="H42" s="142" t="str">
        <f>'Proposed Lighting'!CP39</f>
        <v/>
      </c>
      <c r="I42" s="98">
        <v>1</v>
      </c>
      <c r="J42" s="142">
        <f>'Proposed Lighting'!AA39</f>
        <v>0</v>
      </c>
      <c r="K42" s="142" t="str">
        <f>IF(ISNUMBER(SEARCH("-C",'Proposed Lighting'!M39)),'Proposed Lighting'!AH39*0.9,'Proposed Lighting'!AH39)</f>
        <v/>
      </c>
      <c r="L42" s="142">
        <f>IFERROR(IF(OR('Proposed Lighting'!BC39=22,'Proposed Lighting'!BC39=44),1-25%,IF(OR('Proposed Lighting'!BC39=23,'Proposed Lighting'!BC39=46),1-30%,IF(OR('Proposed Lighting'!BC39=29,'Proposed Lighting'!BC39=39,'Proposed Lighting'!BC39=49),1-35%,IF(OR('Proposed Lighting'!BC39=24,'Proposed Lighting'!BC39=48),1-50%,IF(AND(ISNUMBER(SEARCH("-C",'Proposed Lighting'!M39)),'Proposed Lighting'!AU39=2),90%,100%)))))*'Proposed Lighting'!AH39,0)</f>
        <v>0</v>
      </c>
      <c r="M42" s="87">
        <f t="shared" si="0"/>
        <v>0</v>
      </c>
      <c r="N42" s="87">
        <f>IFERROR(IF('Proposed Lighting'!AU39=1,0,'Proposed Lighting'!AO39),0)</f>
        <v>0</v>
      </c>
      <c r="O42" s="88">
        <f>IF('Proposed Lighting'!AU39=1,0,'Proposed Lighting'!AP39)</f>
        <v>0</v>
      </c>
      <c r="P42" s="87">
        <f t="shared" si="1"/>
        <v>0</v>
      </c>
      <c r="Q42" s="98">
        <f t="shared" si="8"/>
        <v>0</v>
      </c>
      <c r="R42" s="99">
        <f>IFERROR(IF('Proposed Lighting'!T39="Lighting controls only",0,ROUND(IF('Proposed Lighting'!AQ39&lt;'Proposed Lighting'!AR39,0,IF('Proposed Lighting'!AH39=0,0,IF('Proposed Lighting'!BV39&gt;0,'Proposed Lighting'!BV39,IF('Proposed Lighting'!CL39=0,MIN('Proposed Lighting'!CN39:CO39),IF('Proposed Lighting'!CX39&gt;0,'Proposed Lighting'!CX39*'Proposed Lighting'!AA39,0))))),2)),0)</f>
        <v>0</v>
      </c>
      <c r="S42" s="99">
        <f>IF('Proposed Lighting'!AJ39&gt;0,'Proposed Lighting'!AJ39*J42,'Proposed Lighting'!$AU$328*J42)</f>
        <v>0</v>
      </c>
      <c r="T42" s="602">
        <f t="shared" si="2"/>
        <v>0</v>
      </c>
      <c r="U42" s="100"/>
      <c r="V42" s="99">
        <f t="shared" si="9"/>
        <v>0</v>
      </c>
      <c r="W42" s="99">
        <f t="shared" si="10"/>
        <v>0</v>
      </c>
      <c r="X42" s="99">
        <f t="shared" si="3"/>
        <v>0</v>
      </c>
      <c r="Y42" s="99"/>
      <c r="Z42" s="99">
        <f t="shared" si="11"/>
        <v>0</v>
      </c>
      <c r="AA42" s="99"/>
      <c r="AB42" s="99">
        <f t="shared" si="4"/>
        <v>0</v>
      </c>
      <c r="AC42" s="101" t="str">
        <f t="shared" si="5"/>
        <v/>
      </c>
      <c r="AD42" s="101" t="str">
        <f t="shared" si="6"/>
        <v/>
      </c>
      <c r="AE42" s="101" t="str">
        <f t="shared" si="7"/>
        <v/>
      </c>
      <c r="AF42" s="72"/>
      <c r="AG42" s="98">
        <f>IFERROR(IF($AV42="No",0,IF($AV42="yes",Summary!Q42,"")),"")</f>
        <v>0</v>
      </c>
      <c r="AH42" s="99">
        <f>IFERROR(IF($AV42="No",0,IF($AV42="yes",Summary!R42,"")),"")</f>
        <v>0</v>
      </c>
      <c r="AI42" s="99">
        <f>IFERROR(IF($AV42="No",0,IF($AV42="yes",Summary!S42,"")),"")</f>
        <v>0</v>
      </c>
      <c r="AJ42" s="602">
        <f>IFERROR(IF($AV42="No",0,IF($AV42="yes",Summary!T42,"")),"")</f>
        <v>0</v>
      </c>
      <c r="AK42" s="100">
        <f>IFERROR(IF($AV42="No",0,IF($AV42="yes",Summary!U42,"")),"")</f>
        <v>0</v>
      </c>
      <c r="AL42" s="99">
        <f>IFERROR(IF($AV42="No",0,IF($AV42="yes",Summary!V42,"")),"")</f>
        <v>0</v>
      </c>
      <c r="AM42" s="99">
        <f>IFERROR(IF($AV42="No",0,IF($AV42="yes",Summary!W42,"")),"")</f>
        <v>0</v>
      </c>
      <c r="AN42" s="99">
        <f>IFERROR(IF($AV42="No",0,IF($AV42="yes",Summary!X42,"")),"")</f>
        <v>0</v>
      </c>
      <c r="AO42" s="99">
        <f>IFERROR(IF($AV42="No",0,IF($AV42="yes",Summary!Y42+Z42,"")),"")</f>
        <v>0</v>
      </c>
      <c r="AP42" s="99">
        <f>IFERROR(IF($AV42="No",0,IF($AV42="yes",Summary!AB42,"")),"")</f>
        <v>0</v>
      </c>
      <c r="AQ42" s="101" t="str">
        <f t="shared" si="12"/>
        <v/>
      </c>
      <c r="AR42" s="101" t="str">
        <f t="shared" si="13"/>
        <v/>
      </c>
      <c r="AS42" s="101" t="str">
        <f t="shared" si="14"/>
        <v/>
      </c>
      <c r="AT42" s="96" t="s">
        <v>342</v>
      </c>
      <c r="AV42" t="str">
        <f>IF('Proposed Lighting'!CN39&gt;0,"No","Yes")</f>
        <v>Yes</v>
      </c>
    </row>
    <row r="43" spans="1:48" ht="34.5" customHeight="1" outlineLevel="1">
      <c r="A43" s="96" t="s">
        <v>343</v>
      </c>
      <c r="B43" s="96" t="str">
        <f>IF(ISNUMBER(SEARCH("case",E43)),"COM_MISC_REFR_ALL_UNKN1991",IF('Proposed Lighting'!AU40=3,"Commercial-All Com-ExtLight",IF('Proposed Lighting'!AH40&gt;8759,"IPC_8760","Commercial-All Com-IntLight")))</f>
        <v>IPC_8760</v>
      </c>
      <c r="C43" s="96" t="str">
        <f>IF(OR('Proposed Lighting'!DD40="Standard Incentive",'Proposed Lighting'!DD40="Non-Standard Incentive"),"Yes",IF(AND(IF(ISNUMBER(SEARCH("controls",'Proposed Lighting'!T40)),"True","False")="False",'Proposed Lighting'!DD40="Submit Control as Non-Standard"),"Yes","No"))</f>
        <v>No</v>
      </c>
      <c r="D43" s="1403">
        <f>'Proposed Lighting'!CV40-Q43</f>
        <v>0</v>
      </c>
      <c r="E43" s="143">
        <f>'Proposed Lighting'!T40</f>
        <v>0</v>
      </c>
      <c r="F43" s="143">
        <f>'Proposed Lighting'!F40</f>
        <v>0</v>
      </c>
      <c r="G43" s="96" t="s">
        <v>242</v>
      </c>
      <c r="H43" s="142" t="str">
        <f>'Proposed Lighting'!CP40</f>
        <v/>
      </c>
      <c r="I43" s="98">
        <v>1</v>
      </c>
      <c r="J43" s="142">
        <f>'Proposed Lighting'!AA40</f>
        <v>0</v>
      </c>
      <c r="K43" s="142" t="str">
        <f>IF(ISNUMBER(SEARCH("-C",'Proposed Lighting'!M40)),'Proposed Lighting'!AH40*0.9,'Proposed Lighting'!AH40)</f>
        <v/>
      </c>
      <c r="L43" s="142">
        <f>IFERROR(IF(OR('Proposed Lighting'!BC40=22,'Proposed Lighting'!BC40=44),1-25%,IF(OR('Proposed Lighting'!BC40=23,'Proposed Lighting'!BC40=46),1-30%,IF(OR('Proposed Lighting'!BC40=29,'Proposed Lighting'!BC40=39,'Proposed Lighting'!BC40=49),1-35%,IF(OR('Proposed Lighting'!BC40=24,'Proposed Lighting'!BC40=48),1-50%,IF(AND(ISNUMBER(SEARCH("-C",'Proposed Lighting'!M40)),'Proposed Lighting'!AU40=2),90%,100%)))))*'Proposed Lighting'!AH40,0)</f>
        <v>0</v>
      </c>
      <c r="M43" s="87">
        <f t="shared" si="0"/>
        <v>0</v>
      </c>
      <c r="N43" s="87">
        <f>IFERROR(IF('Proposed Lighting'!AU40=1,0,'Proposed Lighting'!AO40),0)</f>
        <v>0</v>
      </c>
      <c r="O43" s="88">
        <f>IF('Proposed Lighting'!AU40=1,0,'Proposed Lighting'!AP40)</f>
        <v>0</v>
      </c>
      <c r="P43" s="87">
        <f t="shared" si="1"/>
        <v>0</v>
      </c>
      <c r="Q43" s="98">
        <f t="shared" si="8"/>
        <v>0</v>
      </c>
      <c r="R43" s="99">
        <f>IFERROR(IF('Proposed Lighting'!T40="Lighting controls only",0,ROUND(IF('Proposed Lighting'!AQ40&lt;'Proposed Lighting'!AR40,0,IF('Proposed Lighting'!AH40=0,0,IF('Proposed Lighting'!BV40&gt;0,'Proposed Lighting'!BV40,IF('Proposed Lighting'!CL40=0,MIN('Proposed Lighting'!CN40:CO40),IF('Proposed Lighting'!CX40&gt;0,'Proposed Lighting'!CX40*'Proposed Lighting'!AA40,0))))),2)),0)</f>
        <v>0</v>
      </c>
      <c r="S43" s="99">
        <f>IF('Proposed Lighting'!AJ40&gt;0,'Proposed Lighting'!AJ40*J43,'Proposed Lighting'!$AU$328*J43)</f>
        <v>0</v>
      </c>
      <c r="T43" s="602">
        <f t="shared" si="2"/>
        <v>0</v>
      </c>
      <c r="U43" s="100"/>
      <c r="V43" s="99">
        <f t="shared" si="9"/>
        <v>0</v>
      </c>
      <c r="W43" s="99">
        <f t="shared" si="10"/>
        <v>0</v>
      </c>
      <c r="X43" s="99">
        <f t="shared" si="3"/>
        <v>0</v>
      </c>
      <c r="Y43" s="99"/>
      <c r="Z43" s="99">
        <f t="shared" si="11"/>
        <v>0</v>
      </c>
      <c r="AA43" s="99"/>
      <c r="AB43" s="99">
        <f t="shared" si="4"/>
        <v>0</v>
      </c>
      <c r="AC43" s="101" t="str">
        <f t="shared" si="5"/>
        <v/>
      </c>
      <c r="AD43" s="101" t="str">
        <f t="shared" si="6"/>
        <v/>
      </c>
      <c r="AE43" s="101" t="str">
        <f t="shared" si="7"/>
        <v/>
      </c>
      <c r="AF43" s="72"/>
      <c r="AG43" s="98">
        <f>IFERROR(IF($AV43="No",0,IF($AV43="yes",Summary!Q43,"")),"")</f>
        <v>0</v>
      </c>
      <c r="AH43" s="99">
        <f>IFERROR(IF($AV43="No",0,IF($AV43="yes",Summary!R43,"")),"")</f>
        <v>0</v>
      </c>
      <c r="AI43" s="99">
        <f>IFERROR(IF($AV43="No",0,IF($AV43="yes",Summary!S43,"")),"")</f>
        <v>0</v>
      </c>
      <c r="AJ43" s="602">
        <f>IFERROR(IF($AV43="No",0,IF($AV43="yes",Summary!T43,"")),"")</f>
        <v>0</v>
      </c>
      <c r="AK43" s="100">
        <f>IFERROR(IF($AV43="No",0,IF($AV43="yes",Summary!U43,"")),"")</f>
        <v>0</v>
      </c>
      <c r="AL43" s="99">
        <f>IFERROR(IF($AV43="No",0,IF($AV43="yes",Summary!V43,"")),"")</f>
        <v>0</v>
      </c>
      <c r="AM43" s="99">
        <f>IFERROR(IF($AV43="No",0,IF($AV43="yes",Summary!W43,"")),"")</f>
        <v>0</v>
      </c>
      <c r="AN43" s="99">
        <f>IFERROR(IF($AV43="No",0,IF($AV43="yes",Summary!X43,"")),"")</f>
        <v>0</v>
      </c>
      <c r="AO43" s="99">
        <f>IFERROR(IF($AV43="No",0,IF($AV43="yes",Summary!Y43+Z43,"")),"")</f>
        <v>0</v>
      </c>
      <c r="AP43" s="99">
        <f>IFERROR(IF($AV43="No",0,IF($AV43="yes",Summary!AB43,"")),"")</f>
        <v>0</v>
      </c>
      <c r="AQ43" s="101" t="str">
        <f t="shared" si="12"/>
        <v/>
      </c>
      <c r="AR43" s="101" t="str">
        <f t="shared" si="13"/>
        <v/>
      </c>
      <c r="AS43" s="101" t="str">
        <f t="shared" si="14"/>
        <v/>
      </c>
      <c r="AT43" s="96" t="s">
        <v>343</v>
      </c>
      <c r="AV43" t="str">
        <f>IF('Proposed Lighting'!CN40&gt;0,"No","Yes")</f>
        <v>Yes</v>
      </c>
    </row>
    <row r="44" spans="1:48" ht="49.5" customHeight="1" outlineLevel="1">
      <c r="A44" s="96" t="s">
        <v>344</v>
      </c>
      <c r="B44" s="96" t="str">
        <f>IF(ISNUMBER(SEARCH("case",E44)),"COM_MISC_REFR_ALL_UNKN1991",IF('Proposed Lighting'!AU41=3,"Commercial-All Com-ExtLight",IF('Proposed Lighting'!AH41&gt;8759,"IPC_8760","Commercial-All Com-IntLight")))</f>
        <v>IPC_8760</v>
      </c>
      <c r="C44" s="96" t="str">
        <f>IF(OR('Proposed Lighting'!DD41="Standard Incentive",'Proposed Lighting'!DD41="Non-Standard Incentive"),"Yes",IF(AND(IF(ISNUMBER(SEARCH("controls",'Proposed Lighting'!T41)),"True","False")="False",'Proposed Lighting'!DD41="Submit Control as Non-Standard"),"Yes","No"))</f>
        <v>No</v>
      </c>
      <c r="D44" s="1403">
        <f>'Proposed Lighting'!CV41-Q44</f>
        <v>0</v>
      </c>
      <c r="E44" s="143">
        <f>'Proposed Lighting'!T41</f>
        <v>0</v>
      </c>
      <c r="F44" s="143">
        <f>'Proposed Lighting'!F41</f>
        <v>0</v>
      </c>
      <c r="G44" s="96" t="s">
        <v>242</v>
      </c>
      <c r="H44" s="142" t="str">
        <f>'Proposed Lighting'!CP41</f>
        <v/>
      </c>
      <c r="I44" s="98">
        <v>1</v>
      </c>
      <c r="J44" s="142">
        <f>'Proposed Lighting'!AA41</f>
        <v>0</v>
      </c>
      <c r="K44" s="142" t="str">
        <f>IF(ISNUMBER(SEARCH("-C",'Proposed Lighting'!M41)),'Proposed Lighting'!AH41*0.9,'Proposed Lighting'!AH41)</f>
        <v/>
      </c>
      <c r="L44" s="142">
        <f>IFERROR(IF(OR('Proposed Lighting'!BC41=22,'Proposed Lighting'!BC41=44),1-25%,IF(OR('Proposed Lighting'!BC41=23,'Proposed Lighting'!BC41=46),1-30%,IF(OR('Proposed Lighting'!BC41=29,'Proposed Lighting'!BC41=39,'Proposed Lighting'!BC41=49),1-35%,IF(OR('Proposed Lighting'!BC41=24,'Proposed Lighting'!BC41=48),1-50%,IF(AND(ISNUMBER(SEARCH("-C",'Proposed Lighting'!M41)),'Proposed Lighting'!AU41=2),90%,100%)))))*'Proposed Lighting'!AH41,0)</f>
        <v>0</v>
      </c>
      <c r="M44" s="87">
        <f t="shared" si="0"/>
        <v>0</v>
      </c>
      <c r="N44" s="87">
        <f>IFERROR(IF('Proposed Lighting'!AU41=1,0,'Proposed Lighting'!AO41),0)</f>
        <v>0</v>
      </c>
      <c r="O44" s="88">
        <f>IF('Proposed Lighting'!AU41=1,0,'Proposed Lighting'!AP41)</f>
        <v>0</v>
      </c>
      <c r="P44" s="87">
        <f t="shared" si="1"/>
        <v>0</v>
      </c>
      <c r="Q44" s="98">
        <f t="shared" si="8"/>
        <v>0</v>
      </c>
      <c r="R44" s="99">
        <f>IFERROR(IF('Proposed Lighting'!T41="Lighting controls only",0,ROUND(IF('Proposed Lighting'!AQ41&lt;'Proposed Lighting'!AR41,0,IF('Proposed Lighting'!AH41=0,0,IF('Proposed Lighting'!BV41&gt;0,'Proposed Lighting'!BV41,IF('Proposed Lighting'!CL41=0,MIN('Proposed Lighting'!CN41:CO41),IF('Proposed Lighting'!CX41&gt;0,'Proposed Lighting'!CX41*'Proposed Lighting'!AA41,0))))),2)),0)</f>
        <v>0</v>
      </c>
      <c r="S44" s="99">
        <f>IF('Proposed Lighting'!AJ41&gt;0,'Proposed Lighting'!AJ41*J44,'Proposed Lighting'!$AU$328*J44)</f>
        <v>0</v>
      </c>
      <c r="T44" s="602">
        <f t="shared" si="2"/>
        <v>0</v>
      </c>
      <c r="U44" s="100"/>
      <c r="V44" s="99">
        <f t="shared" si="9"/>
        <v>0</v>
      </c>
      <c r="W44" s="99">
        <f t="shared" si="10"/>
        <v>0</v>
      </c>
      <c r="X44" s="99">
        <f t="shared" si="3"/>
        <v>0</v>
      </c>
      <c r="Y44" s="99"/>
      <c r="Z44" s="99">
        <f t="shared" si="11"/>
        <v>0</v>
      </c>
      <c r="AA44" s="99"/>
      <c r="AB44" s="99">
        <f t="shared" si="4"/>
        <v>0</v>
      </c>
      <c r="AC44" s="101" t="str">
        <f t="shared" si="5"/>
        <v/>
      </c>
      <c r="AD44" s="101" t="str">
        <f t="shared" si="6"/>
        <v/>
      </c>
      <c r="AE44" s="101" t="str">
        <f t="shared" si="7"/>
        <v/>
      </c>
      <c r="AF44" s="72"/>
      <c r="AG44" s="98">
        <f>IFERROR(IF($AV44="No",0,IF($AV44="yes",Summary!Q44,"")),"")</f>
        <v>0</v>
      </c>
      <c r="AH44" s="99">
        <f>IFERROR(IF($AV44="No",0,IF($AV44="yes",Summary!R44,"")),"")</f>
        <v>0</v>
      </c>
      <c r="AI44" s="99">
        <f>IFERROR(IF($AV44="No",0,IF($AV44="yes",Summary!S44,"")),"")</f>
        <v>0</v>
      </c>
      <c r="AJ44" s="602">
        <f>IFERROR(IF($AV44="No",0,IF($AV44="yes",Summary!T44,"")),"")</f>
        <v>0</v>
      </c>
      <c r="AK44" s="100">
        <f>IFERROR(IF($AV44="No",0,IF($AV44="yes",Summary!U44,"")),"")</f>
        <v>0</v>
      </c>
      <c r="AL44" s="99">
        <f>IFERROR(IF($AV44="No",0,IF($AV44="yes",Summary!V44,"")),"")</f>
        <v>0</v>
      </c>
      <c r="AM44" s="99">
        <f>IFERROR(IF($AV44="No",0,IF($AV44="yes",Summary!W44,"")),"")</f>
        <v>0</v>
      </c>
      <c r="AN44" s="99">
        <f>IFERROR(IF($AV44="No",0,IF($AV44="yes",Summary!X44,"")),"")</f>
        <v>0</v>
      </c>
      <c r="AO44" s="99">
        <f>IFERROR(IF($AV44="No",0,IF($AV44="yes",Summary!Y44+Z44,"")),"")</f>
        <v>0</v>
      </c>
      <c r="AP44" s="99">
        <f>IFERROR(IF($AV44="No",0,IF($AV44="yes",Summary!AB44,"")),"")</f>
        <v>0</v>
      </c>
      <c r="AQ44" s="101" t="str">
        <f t="shared" si="12"/>
        <v/>
      </c>
      <c r="AR44" s="101" t="str">
        <f t="shared" si="13"/>
        <v/>
      </c>
      <c r="AS44" s="101" t="str">
        <f t="shared" si="14"/>
        <v/>
      </c>
      <c r="AT44" s="96" t="s">
        <v>344</v>
      </c>
      <c r="AV44" t="str">
        <f>IF('Proposed Lighting'!CN41&gt;0,"No","Yes")</f>
        <v>Yes</v>
      </c>
    </row>
    <row r="45" spans="1:48" ht="34.5" customHeight="1" outlineLevel="1">
      <c r="A45" s="96" t="s">
        <v>345</v>
      </c>
      <c r="B45" s="96" t="str">
        <f>IF(ISNUMBER(SEARCH("case",E45)),"COM_MISC_REFR_ALL_UNKN1991",IF('Proposed Lighting'!AU42=3,"Commercial-All Com-ExtLight",IF('Proposed Lighting'!AH42&gt;8759,"IPC_8760","Commercial-All Com-IntLight")))</f>
        <v>IPC_8760</v>
      </c>
      <c r="C45" s="96" t="str">
        <f>IF(OR('Proposed Lighting'!DD42="Standard Incentive",'Proposed Lighting'!DD42="Non-Standard Incentive"),"Yes",IF(AND(IF(ISNUMBER(SEARCH("controls",'Proposed Lighting'!T42)),"True","False")="False",'Proposed Lighting'!DD42="Submit Control as Non-Standard"),"Yes","No"))</f>
        <v>No</v>
      </c>
      <c r="D45" s="1403">
        <f>'Proposed Lighting'!CV42-Q45</f>
        <v>0</v>
      </c>
      <c r="E45" s="143">
        <f>'Proposed Lighting'!T42</f>
        <v>0</v>
      </c>
      <c r="F45" s="143">
        <f>'Proposed Lighting'!F42</f>
        <v>0</v>
      </c>
      <c r="G45" s="96" t="s">
        <v>242</v>
      </c>
      <c r="H45" s="142" t="str">
        <f>'Proposed Lighting'!CP42</f>
        <v/>
      </c>
      <c r="I45" s="98">
        <v>1</v>
      </c>
      <c r="J45" s="142">
        <f>'Proposed Lighting'!AA42</f>
        <v>0</v>
      </c>
      <c r="K45" s="142" t="str">
        <f>IF(ISNUMBER(SEARCH("-C",'Proposed Lighting'!M42)),'Proposed Lighting'!AH42*0.9,'Proposed Lighting'!AH42)</f>
        <v/>
      </c>
      <c r="L45" s="142">
        <f>IFERROR(IF(OR('Proposed Lighting'!BC42=22,'Proposed Lighting'!BC42=44),1-25%,IF(OR('Proposed Lighting'!BC42=23,'Proposed Lighting'!BC42=46),1-30%,IF(OR('Proposed Lighting'!BC42=29,'Proposed Lighting'!BC42=39,'Proposed Lighting'!BC42=49),1-35%,IF(OR('Proposed Lighting'!BC42=24,'Proposed Lighting'!BC42=48),1-50%,IF(AND(ISNUMBER(SEARCH("-C",'Proposed Lighting'!M42)),'Proposed Lighting'!AU42=2),90%,100%)))))*'Proposed Lighting'!AH42,0)</f>
        <v>0</v>
      </c>
      <c r="M45" s="87">
        <f t="shared" si="0"/>
        <v>0</v>
      </c>
      <c r="N45" s="87">
        <f>IFERROR(IF('Proposed Lighting'!AU42=1,0,'Proposed Lighting'!AO42),0)</f>
        <v>0</v>
      </c>
      <c r="O45" s="1212">
        <f>IF('Proposed Lighting'!AU42=1,0,'Proposed Lighting'!AP42)</f>
        <v>0</v>
      </c>
      <c r="P45" s="87">
        <f t="shared" si="1"/>
        <v>0</v>
      </c>
      <c r="Q45" s="98">
        <f t="shared" si="8"/>
        <v>0</v>
      </c>
      <c r="R45" s="99">
        <f>IFERROR(IF('Proposed Lighting'!T42="Lighting controls only",0,ROUND(IF('Proposed Lighting'!AQ42&lt;'Proposed Lighting'!AR42,0,IF('Proposed Lighting'!AH42=0,0,IF('Proposed Lighting'!BV42&gt;0,'Proposed Lighting'!BV42,IF('Proposed Lighting'!CL42=0,MIN('Proposed Lighting'!CN42:CO42),IF('Proposed Lighting'!CX42&gt;0,'Proposed Lighting'!CX42*'Proposed Lighting'!AA42,0))))),2)),0)</f>
        <v>0</v>
      </c>
      <c r="S45" s="99">
        <f>IF('Proposed Lighting'!AJ42&gt;0,'Proposed Lighting'!AJ42*J45,'Proposed Lighting'!$AU$328*J45)</f>
        <v>0</v>
      </c>
      <c r="T45" s="602">
        <f t="shared" si="2"/>
        <v>0</v>
      </c>
      <c r="U45" s="100"/>
      <c r="V45" s="99">
        <f t="shared" si="9"/>
        <v>0</v>
      </c>
      <c r="W45" s="99">
        <f t="shared" si="10"/>
        <v>0</v>
      </c>
      <c r="X45" s="99">
        <f t="shared" si="3"/>
        <v>0</v>
      </c>
      <c r="Y45" s="99"/>
      <c r="Z45" s="99">
        <f t="shared" si="11"/>
        <v>0</v>
      </c>
      <c r="AA45" s="99"/>
      <c r="AB45" s="99">
        <f t="shared" si="4"/>
        <v>0</v>
      </c>
      <c r="AC45" s="101" t="str">
        <f t="shared" si="5"/>
        <v/>
      </c>
      <c r="AD45" s="101" t="str">
        <f t="shared" si="6"/>
        <v/>
      </c>
      <c r="AE45" s="101" t="str">
        <f t="shared" si="7"/>
        <v/>
      </c>
      <c r="AF45" s="72"/>
      <c r="AG45" s="98">
        <f>IFERROR(IF($AV45="No",0,IF($AV45="yes",Summary!Q45,"")),"")</f>
        <v>0</v>
      </c>
      <c r="AH45" s="99">
        <f>IFERROR(IF($AV45="No",0,IF($AV45="yes",Summary!R45,"")),"")</f>
        <v>0</v>
      </c>
      <c r="AI45" s="99">
        <f>IFERROR(IF($AV45="No",0,IF($AV45="yes",Summary!S45,"")),"")</f>
        <v>0</v>
      </c>
      <c r="AJ45" s="602">
        <f>IFERROR(IF($AV45="No",0,IF($AV45="yes",Summary!T45,"")),"")</f>
        <v>0</v>
      </c>
      <c r="AK45" s="100">
        <f>IFERROR(IF($AV45="No",0,IF($AV45="yes",Summary!U45,"")),"")</f>
        <v>0</v>
      </c>
      <c r="AL45" s="99">
        <f>IFERROR(IF($AV45="No",0,IF($AV45="yes",Summary!V45,"")),"")</f>
        <v>0</v>
      </c>
      <c r="AM45" s="99">
        <f>IFERROR(IF($AV45="No",0,IF($AV45="yes",Summary!W45,"")),"")</f>
        <v>0</v>
      </c>
      <c r="AN45" s="99">
        <f>IFERROR(IF($AV45="No",0,IF($AV45="yes",Summary!X45,"")),"")</f>
        <v>0</v>
      </c>
      <c r="AO45" s="99">
        <f>IFERROR(IF($AV45="No",0,IF($AV45="yes",Summary!Y45+Z45,"")),"")</f>
        <v>0</v>
      </c>
      <c r="AP45" s="99">
        <f>IFERROR(IF($AV45="No",0,IF($AV45="yes",Summary!AB45,"")),"")</f>
        <v>0</v>
      </c>
      <c r="AQ45" s="101" t="str">
        <f t="shared" si="12"/>
        <v/>
      </c>
      <c r="AR45" s="101" t="str">
        <f t="shared" si="13"/>
        <v/>
      </c>
      <c r="AS45" s="101" t="str">
        <f t="shared" si="14"/>
        <v/>
      </c>
      <c r="AT45" s="96" t="s">
        <v>345</v>
      </c>
      <c r="AV45" t="str">
        <f>IF('Proposed Lighting'!CN42&gt;0,"No","Yes")</f>
        <v>Yes</v>
      </c>
    </row>
    <row r="46" spans="1:48" ht="34.5" customHeight="1" outlineLevel="1">
      <c r="A46" s="96" t="s">
        <v>346</v>
      </c>
      <c r="B46" s="96" t="str">
        <f>IF(ISNUMBER(SEARCH("case",E46)),"COM_MISC_REFR_ALL_UNKN1991",IF('Proposed Lighting'!AU43=3,"Commercial-All Com-ExtLight",IF('Proposed Lighting'!AH43&gt;8759,"IPC_8760","Commercial-All Com-IntLight")))</f>
        <v>IPC_8760</v>
      </c>
      <c r="C46" s="96" t="str">
        <f>IF(OR('Proposed Lighting'!DD43="Standard Incentive",'Proposed Lighting'!DD43="Non-Standard Incentive"),"Yes",IF(AND(IF(ISNUMBER(SEARCH("controls",'Proposed Lighting'!T43)),"True","False")="False",'Proposed Lighting'!DD43="Submit Control as Non-Standard"),"Yes","No"))</f>
        <v>No</v>
      </c>
      <c r="D46" s="1403">
        <f>'Proposed Lighting'!CV43-Q46</f>
        <v>0</v>
      </c>
      <c r="E46" s="143">
        <f>'Proposed Lighting'!T43</f>
        <v>0</v>
      </c>
      <c r="F46" s="143">
        <f>'Proposed Lighting'!F43</f>
        <v>0</v>
      </c>
      <c r="G46" s="96" t="s">
        <v>242</v>
      </c>
      <c r="H46" s="142" t="str">
        <f>'Proposed Lighting'!CP43</f>
        <v/>
      </c>
      <c r="I46" s="98">
        <v>1</v>
      </c>
      <c r="J46" s="142">
        <f>'Proposed Lighting'!AA43</f>
        <v>0</v>
      </c>
      <c r="K46" s="142" t="str">
        <f>IF(ISNUMBER(SEARCH("-C",'Proposed Lighting'!M43)),'Proposed Lighting'!AH43*0.9,'Proposed Lighting'!AH43)</f>
        <v/>
      </c>
      <c r="L46" s="142">
        <f>IFERROR(IF(OR('Proposed Lighting'!BC43=22,'Proposed Lighting'!BC43=44),1-25%,IF(OR('Proposed Lighting'!BC43=23,'Proposed Lighting'!BC43=46),1-30%,IF(OR('Proposed Lighting'!BC43=29,'Proposed Lighting'!BC43=39,'Proposed Lighting'!BC43=49),1-35%,IF(OR('Proposed Lighting'!BC43=24,'Proposed Lighting'!BC43=48),1-50%,IF(AND(ISNUMBER(SEARCH("-C",'Proposed Lighting'!M43)),'Proposed Lighting'!AU43=2),90%,100%)))))*'Proposed Lighting'!AH43,0)</f>
        <v>0</v>
      </c>
      <c r="M46" s="87">
        <f t="shared" si="0"/>
        <v>0</v>
      </c>
      <c r="N46" s="87">
        <f>IFERROR(IF('Proposed Lighting'!AU43=1,0,'Proposed Lighting'!AO43),0)</f>
        <v>0</v>
      </c>
      <c r="O46" s="88">
        <f>IF('Proposed Lighting'!AU43=1,0,'Proposed Lighting'!AP43)</f>
        <v>0</v>
      </c>
      <c r="P46" s="87">
        <f t="shared" si="1"/>
        <v>0</v>
      </c>
      <c r="Q46" s="98">
        <f t="shared" si="8"/>
        <v>0</v>
      </c>
      <c r="R46" s="99">
        <f>IFERROR(IF('Proposed Lighting'!T43="Lighting controls only",0,ROUND(IF('Proposed Lighting'!AQ43&lt;'Proposed Lighting'!AR43,0,IF('Proposed Lighting'!AH43=0,0,IF('Proposed Lighting'!BV43&gt;0,'Proposed Lighting'!BV43,IF('Proposed Lighting'!CL43=0,MIN('Proposed Lighting'!CN43:CO43),IF('Proposed Lighting'!CX43&gt;0,'Proposed Lighting'!CX43*'Proposed Lighting'!AA43,0))))),2)),0)</f>
        <v>0</v>
      </c>
      <c r="S46" s="99">
        <f>IF('Proposed Lighting'!AJ43&gt;0,'Proposed Lighting'!AJ43*J46,'Proposed Lighting'!$AU$328*J46)</f>
        <v>0</v>
      </c>
      <c r="T46" s="602">
        <f t="shared" si="2"/>
        <v>0</v>
      </c>
      <c r="U46" s="100"/>
      <c r="V46" s="99">
        <f t="shared" si="9"/>
        <v>0</v>
      </c>
      <c r="W46" s="99">
        <f t="shared" si="10"/>
        <v>0</v>
      </c>
      <c r="X46" s="99">
        <f t="shared" si="3"/>
        <v>0</v>
      </c>
      <c r="Y46" s="99"/>
      <c r="Z46" s="99">
        <f t="shared" si="11"/>
        <v>0</v>
      </c>
      <c r="AA46" s="99"/>
      <c r="AB46" s="99">
        <f t="shared" si="4"/>
        <v>0</v>
      </c>
      <c r="AC46" s="101" t="str">
        <f t="shared" si="5"/>
        <v/>
      </c>
      <c r="AD46" s="101" t="str">
        <f t="shared" si="6"/>
        <v/>
      </c>
      <c r="AE46" s="101" t="str">
        <f t="shared" si="7"/>
        <v/>
      </c>
      <c r="AF46" s="72"/>
      <c r="AG46" s="98">
        <f>IFERROR(IF($AV46="No",0,IF($AV46="yes",Summary!Q46,"")),"")</f>
        <v>0</v>
      </c>
      <c r="AH46" s="99">
        <f>IFERROR(IF($AV46="No",0,IF($AV46="yes",Summary!R46,"")),"")</f>
        <v>0</v>
      </c>
      <c r="AI46" s="99">
        <f>IFERROR(IF($AV46="No",0,IF($AV46="yes",Summary!S46,"")),"")</f>
        <v>0</v>
      </c>
      <c r="AJ46" s="602">
        <f>IFERROR(IF($AV46="No",0,IF($AV46="yes",Summary!T46,"")),"")</f>
        <v>0</v>
      </c>
      <c r="AK46" s="100">
        <f>IFERROR(IF($AV46="No",0,IF($AV46="yes",Summary!U46,"")),"")</f>
        <v>0</v>
      </c>
      <c r="AL46" s="99">
        <f>IFERROR(IF($AV46="No",0,IF($AV46="yes",Summary!V46,"")),"")</f>
        <v>0</v>
      </c>
      <c r="AM46" s="99">
        <f>IFERROR(IF($AV46="No",0,IF($AV46="yes",Summary!W46,"")),"")</f>
        <v>0</v>
      </c>
      <c r="AN46" s="99">
        <f>IFERROR(IF($AV46="No",0,IF($AV46="yes",Summary!X46,"")),"")</f>
        <v>0</v>
      </c>
      <c r="AO46" s="99">
        <f>IFERROR(IF($AV46="No",0,IF($AV46="yes",Summary!Y46+Z46,"")),"")</f>
        <v>0</v>
      </c>
      <c r="AP46" s="99">
        <f>IFERROR(IF($AV46="No",0,IF($AV46="yes",Summary!AB46,"")),"")</f>
        <v>0</v>
      </c>
      <c r="AQ46" s="101" t="str">
        <f t="shared" si="12"/>
        <v/>
      </c>
      <c r="AR46" s="101" t="str">
        <f t="shared" si="13"/>
        <v/>
      </c>
      <c r="AS46" s="101" t="str">
        <f t="shared" si="14"/>
        <v/>
      </c>
      <c r="AT46" s="96" t="s">
        <v>346</v>
      </c>
      <c r="AV46" t="str">
        <f>IF('Proposed Lighting'!CN43&gt;0,"No","Yes")</f>
        <v>Yes</v>
      </c>
    </row>
    <row r="47" spans="1:48" ht="34.5" customHeight="1" outlineLevel="1">
      <c r="A47" s="96" t="s">
        <v>347</v>
      </c>
      <c r="B47" s="96" t="str">
        <f>IF(ISNUMBER(SEARCH("case",E47)),"COM_MISC_REFR_ALL_UNKN1991",IF('Proposed Lighting'!AU44=3,"Commercial-All Com-ExtLight",IF('Proposed Lighting'!AH44&gt;8759,"IPC_8760","Commercial-All Com-IntLight")))</f>
        <v>IPC_8760</v>
      </c>
      <c r="C47" s="96" t="str">
        <f>IF(OR('Proposed Lighting'!DD44="Standard Incentive",'Proposed Lighting'!DD44="Non-Standard Incentive"),"Yes",IF(AND(IF(ISNUMBER(SEARCH("controls",'Proposed Lighting'!T44)),"True","False")="False",'Proposed Lighting'!DD44="Submit Control as Non-Standard"),"Yes","No"))</f>
        <v>No</v>
      </c>
      <c r="D47" s="1403">
        <f>'Proposed Lighting'!CV44-Q47</f>
        <v>0</v>
      </c>
      <c r="E47" s="143">
        <f>'Proposed Lighting'!T44</f>
        <v>0</v>
      </c>
      <c r="F47" s="143">
        <f>'Proposed Lighting'!F44</f>
        <v>0</v>
      </c>
      <c r="G47" s="96" t="s">
        <v>242</v>
      </c>
      <c r="H47" s="142" t="str">
        <f>'Proposed Lighting'!CP44</f>
        <v/>
      </c>
      <c r="I47" s="98">
        <v>1</v>
      </c>
      <c r="J47" s="142">
        <f>'Proposed Lighting'!AA44</f>
        <v>0</v>
      </c>
      <c r="K47" s="142" t="str">
        <f>IF(ISNUMBER(SEARCH("-C",'Proposed Lighting'!M44)),'Proposed Lighting'!AH44*0.9,'Proposed Lighting'!AH44)</f>
        <v/>
      </c>
      <c r="L47" s="142">
        <f>IFERROR(IF(OR('Proposed Lighting'!BC44=22,'Proposed Lighting'!BC44=44),1-25%,IF(OR('Proposed Lighting'!BC44=23,'Proposed Lighting'!BC44=46),1-30%,IF(OR('Proposed Lighting'!BC44=29,'Proposed Lighting'!BC44=39,'Proposed Lighting'!BC44=49),1-35%,IF(OR('Proposed Lighting'!BC44=24,'Proposed Lighting'!BC44=48),1-50%,IF(AND(ISNUMBER(SEARCH("-C",'Proposed Lighting'!M44)),'Proposed Lighting'!AU44=2),90%,100%)))))*'Proposed Lighting'!AH44,0)</f>
        <v>0</v>
      </c>
      <c r="M47" s="87">
        <f t="shared" si="0"/>
        <v>0</v>
      </c>
      <c r="N47" s="87">
        <f>IFERROR(IF('Proposed Lighting'!AU44=1,0,'Proposed Lighting'!AO44),0)</f>
        <v>0</v>
      </c>
      <c r="O47" s="88">
        <f>IF('Proposed Lighting'!AU44=1,0,'Proposed Lighting'!AP44)</f>
        <v>0</v>
      </c>
      <c r="P47" s="87">
        <f t="shared" si="1"/>
        <v>0</v>
      </c>
      <c r="Q47" s="98">
        <f t="shared" si="8"/>
        <v>0</v>
      </c>
      <c r="R47" s="99">
        <f>IFERROR(IF('Proposed Lighting'!T44="Lighting controls only",0,ROUND(IF('Proposed Lighting'!AQ44&lt;'Proposed Lighting'!AR44,0,IF('Proposed Lighting'!AH44=0,0,IF('Proposed Lighting'!BV44&gt;0,'Proposed Lighting'!BV44,IF('Proposed Lighting'!CL44=0,MIN('Proposed Lighting'!CN44:CO44),IF('Proposed Lighting'!CX44&gt;0,'Proposed Lighting'!CX44*'Proposed Lighting'!AA44,0))))),2)),0)</f>
        <v>0</v>
      </c>
      <c r="S47" s="99">
        <f>IF('Proposed Lighting'!AJ44&gt;0,'Proposed Lighting'!AJ44*J47,'Proposed Lighting'!$AU$328*J47)</f>
        <v>0</v>
      </c>
      <c r="T47" s="602">
        <f t="shared" si="2"/>
        <v>0</v>
      </c>
      <c r="U47" s="100"/>
      <c r="V47" s="99">
        <f t="shared" si="9"/>
        <v>0</v>
      </c>
      <c r="W47" s="99">
        <f t="shared" si="10"/>
        <v>0</v>
      </c>
      <c r="X47" s="99">
        <f t="shared" si="3"/>
        <v>0</v>
      </c>
      <c r="Y47" s="99"/>
      <c r="Z47" s="99">
        <f t="shared" si="11"/>
        <v>0</v>
      </c>
      <c r="AA47" s="99"/>
      <c r="AB47" s="99">
        <f t="shared" si="4"/>
        <v>0</v>
      </c>
      <c r="AC47" s="101" t="str">
        <f t="shared" si="5"/>
        <v/>
      </c>
      <c r="AD47" s="101" t="str">
        <f t="shared" si="6"/>
        <v/>
      </c>
      <c r="AE47" s="101" t="str">
        <f t="shared" si="7"/>
        <v/>
      </c>
      <c r="AF47" s="72"/>
      <c r="AG47" s="98">
        <f>IFERROR(IF($AV47="No",0,IF($AV47="yes",Summary!Q47,"")),"")</f>
        <v>0</v>
      </c>
      <c r="AH47" s="99">
        <f>IFERROR(IF($AV47="No",0,IF($AV47="yes",Summary!R47,"")),"")</f>
        <v>0</v>
      </c>
      <c r="AI47" s="99">
        <f>IFERROR(IF($AV47="No",0,IF($AV47="yes",Summary!S47,"")),"")</f>
        <v>0</v>
      </c>
      <c r="AJ47" s="602">
        <f>IFERROR(IF($AV47="No",0,IF($AV47="yes",Summary!T47,"")),"")</f>
        <v>0</v>
      </c>
      <c r="AK47" s="100">
        <f>IFERROR(IF($AV47="No",0,IF($AV47="yes",Summary!U47,"")),"")</f>
        <v>0</v>
      </c>
      <c r="AL47" s="99">
        <f>IFERROR(IF($AV47="No",0,IF($AV47="yes",Summary!V47,"")),"")</f>
        <v>0</v>
      </c>
      <c r="AM47" s="99">
        <f>IFERROR(IF($AV47="No",0,IF($AV47="yes",Summary!W47,"")),"")</f>
        <v>0</v>
      </c>
      <c r="AN47" s="99">
        <f>IFERROR(IF($AV47="No",0,IF($AV47="yes",Summary!X47,"")),"")</f>
        <v>0</v>
      </c>
      <c r="AO47" s="99">
        <f>IFERROR(IF($AV47="No",0,IF($AV47="yes",Summary!Y47+Z47,"")),"")</f>
        <v>0</v>
      </c>
      <c r="AP47" s="99">
        <f>IFERROR(IF($AV47="No",0,IF($AV47="yes",Summary!AB47,"")),"")</f>
        <v>0</v>
      </c>
      <c r="AQ47" s="101" t="str">
        <f t="shared" si="12"/>
        <v/>
      </c>
      <c r="AR47" s="101" t="str">
        <f t="shared" si="13"/>
        <v/>
      </c>
      <c r="AS47" s="101" t="str">
        <f t="shared" si="14"/>
        <v/>
      </c>
      <c r="AT47" s="96" t="s">
        <v>347</v>
      </c>
      <c r="AV47" t="str">
        <f>IF('Proposed Lighting'!CN44&gt;0,"No","Yes")</f>
        <v>Yes</v>
      </c>
    </row>
    <row r="48" spans="1:48" ht="34.5" customHeight="1" outlineLevel="1">
      <c r="A48" s="96" t="s">
        <v>348</v>
      </c>
      <c r="B48" s="96" t="str">
        <f>IF(ISNUMBER(SEARCH("case",E48)),"COM_MISC_REFR_ALL_UNKN1991",IF('Proposed Lighting'!AU45=3,"Commercial-All Com-ExtLight",IF('Proposed Lighting'!AH45&gt;8759,"IPC_8760","Commercial-All Com-IntLight")))</f>
        <v>IPC_8760</v>
      </c>
      <c r="C48" s="96" t="str">
        <f>IF(OR('Proposed Lighting'!DD45="Standard Incentive",'Proposed Lighting'!DD45="Non-Standard Incentive"),"Yes",IF(AND(IF(ISNUMBER(SEARCH("controls",'Proposed Lighting'!T45)),"True","False")="False",'Proposed Lighting'!DD45="Submit Control as Non-Standard"),"Yes","No"))</f>
        <v>No</v>
      </c>
      <c r="D48" s="1403">
        <f>'Proposed Lighting'!CV45-Q48</f>
        <v>0</v>
      </c>
      <c r="E48" s="143">
        <f>'Proposed Lighting'!T45</f>
        <v>0</v>
      </c>
      <c r="F48" s="143">
        <f>'Proposed Lighting'!F45</f>
        <v>0</v>
      </c>
      <c r="G48" s="96" t="s">
        <v>242</v>
      </c>
      <c r="H48" s="142" t="str">
        <f>'Proposed Lighting'!CP45</f>
        <v/>
      </c>
      <c r="I48" s="98">
        <v>1</v>
      </c>
      <c r="J48" s="142">
        <f>'Proposed Lighting'!AA45</f>
        <v>0</v>
      </c>
      <c r="K48" s="142" t="str">
        <f>IF(ISNUMBER(SEARCH("-C",'Proposed Lighting'!M45)),'Proposed Lighting'!AH45*0.9,'Proposed Lighting'!AH45)</f>
        <v/>
      </c>
      <c r="L48" s="142">
        <f>IFERROR(IF(OR('Proposed Lighting'!BC45=22,'Proposed Lighting'!BC45=44),1-25%,IF(OR('Proposed Lighting'!BC45=23,'Proposed Lighting'!BC45=46),1-30%,IF(OR('Proposed Lighting'!BC45=29,'Proposed Lighting'!BC45=39,'Proposed Lighting'!BC45=49),1-35%,IF(OR('Proposed Lighting'!BC45=24,'Proposed Lighting'!BC45=48),1-50%,IF(AND(ISNUMBER(SEARCH("-C",'Proposed Lighting'!M45)),'Proposed Lighting'!AU45=2),90%,100%)))))*'Proposed Lighting'!AH45,0)</f>
        <v>0</v>
      </c>
      <c r="M48" s="87">
        <f t="shared" si="0"/>
        <v>0</v>
      </c>
      <c r="N48" s="87">
        <f>IFERROR(IF('Proposed Lighting'!AU45=1,0,'Proposed Lighting'!AO45),0)</f>
        <v>0</v>
      </c>
      <c r="O48" s="88">
        <f>IF('Proposed Lighting'!AU45=1,0,'Proposed Lighting'!AP45)</f>
        <v>0</v>
      </c>
      <c r="P48" s="87">
        <f t="shared" si="1"/>
        <v>0</v>
      </c>
      <c r="Q48" s="98">
        <f t="shared" si="8"/>
        <v>0</v>
      </c>
      <c r="R48" s="99">
        <f>IFERROR(IF('Proposed Lighting'!T45="Lighting controls only",0,ROUND(IF('Proposed Lighting'!AQ45&lt;'Proposed Lighting'!AR45,0,IF('Proposed Lighting'!AH45=0,0,IF('Proposed Lighting'!BV45&gt;0,'Proposed Lighting'!BV45,IF('Proposed Lighting'!CL45=0,MIN('Proposed Lighting'!CN45:CO45),IF('Proposed Lighting'!CX45&gt;0,'Proposed Lighting'!CX45*'Proposed Lighting'!AA45,0))))),2)),0)</f>
        <v>0</v>
      </c>
      <c r="S48" s="99">
        <f>IF('Proposed Lighting'!AJ45&gt;0,'Proposed Lighting'!AJ45*J48,'Proposed Lighting'!$AU$328*J48)</f>
        <v>0</v>
      </c>
      <c r="T48" s="602">
        <f t="shared" si="2"/>
        <v>0</v>
      </c>
      <c r="U48" s="100"/>
      <c r="V48" s="99">
        <f t="shared" si="9"/>
        <v>0</v>
      </c>
      <c r="W48" s="99">
        <f t="shared" si="10"/>
        <v>0</v>
      </c>
      <c r="X48" s="99">
        <f t="shared" si="3"/>
        <v>0</v>
      </c>
      <c r="Y48" s="99"/>
      <c r="Z48" s="99">
        <f t="shared" si="11"/>
        <v>0</v>
      </c>
      <c r="AA48" s="99"/>
      <c r="AB48" s="99">
        <f t="shared" si="4"/>
        <v>0</v>
      </c>
      <c r="AC48" s="101" t="str">
        <f t="shared" si="5"/>
        <v/>
      </c>
      <c r="AD48" s="101" t="str">
        <f t="shared" si="6"/>
        <v/>
      </c>
      <c r="AE48" s="101" t="str">
        <f t="shared" si="7"/>
        <v/>
      </c>
      <c r="AF48" s="72"/>
      <c r="AG48" s="98">
        <f>IFERROR(IF($AV48="No",0,IF($AV48="yes",Summary!Q48,"")),"")</f>
        <v>0</v>
      </c>
      <c r="AH48" s="99">
        <f>IFERROR(IF($AV48="No",0,IF($AV48="yes",Summary!R48,"")),"")</f>
        <v>0</v>
      </c>
      <c r="AI48" s="99">
        <f>IFERROR(IF($AV48="No",0,IF($AV48="yes",Summary!S48,"")),"")</f>
        <v>0</v>
      </c>
      <c r="AJ48" s="602">
        <f>IFERROR(IF($AV48="No",0,IF($AV48="yes",Summary!T48,"")),"")</f>
        <v>0</v>
      </c>
      <c r="AK48" s="100">
        <f>IFERROR(IF($AV48="No",0,IF($AV48="yes",Summary!U48,"")),"")</f>
        <v>0</v>
      </c>
      <c r="AL48" s="99">
        <f>IFERROR(IF($AV48="No",0,IF($AV48="yes",Summary!V48,"")),"")</f>
        <v>0</v>
      </c>
      <c r="AM48" s="99">
        <f>IFERROR(IF($AV48="No",0,IF($AV48="yes",Summary!W48,"")),"")</f>
        <v>0</v>
      </c>
      <c r="AN48" s="99">
        <f>IFERROR(IF($AV48="No",0,IF($AV48="yes",Summary!X48,"")),"")</f>
        <v>0</v>
      </c>
      <c r="AO48" s="99">
        <f>IFERROR(IF($AV48="No",0,IF($AV48="yes",Summary!Y48+Z48,"")),"")</f>
        <v>0</v>
      </c>
      <c r="AP48" s="99">
        <f>IFERROR(IF($AV48="No",0,IF($AV48="yes",Summary!AB48,"")),"")</f>
        <v>0</v>
      </c>
      <c r="AQ48" s="101" t="str">
        <f t="shared" si="12"/>
        <v/>
      </c>
      <c r="AR48" s="101" t="str">
        <f t="shared" si="13"/>
        <v/>
      </c>
      <c r="AS48" s="101" t="str">
        <f t="shared" si="14"/>
        <v/>
      </c>
      <c r="AT48" s="96" t="s">
        <v>348</v>
      </c>
      <c r="AV48" t="str">
        <f>IF('Proposed Lighting'!CN45&gt;0,"No","Yes")</f>
        <v>Yes</v>
      </c>
    </row>
    <row r="49" spans="1:48" ht="34.5" customHeight="1" outlineLevel="1">
      <c r="A49" s="96" t="s">
        <v>349</v>
      </c>
      <c r="B49" s="96" t="str">
        <f>IF(ISNUMBER(SEARCH("case",E49)),"COM_MISC_REFR_ALL_UNKN1991",IF('Proposed Lighting'!AU46=3,"Commercial-All Com-ExtLight",IF('Proposed Lighting'!AH46&gt;8759,"IPC_8760","Commercial-All Com-IntLight")))</f>
        <v>IPC_8760</v>
      </c>
      <c r="C49" s="96" t="str">
        <f>IF(OR('Proposed Lighting'!DD46="Standard Incentive",'Proposed Lighting'!DD46="Non-Standard Incentive"),"Yes",IF(AND(IF(ISNUMBER(SEARCH("controls",'Proposed Lighting'!T46)),"True","False")="False",'Proposed Lighting'!DD46="Submit Control as Non-Standard"),"Yes","No"))</f>
        <v>No</v>
      </c>
      <c r="D49" s="1403">
        <f>'Proposed Lighting'!CV46-Q49</f>
        <v>0</v>
      </c>
      <c r="E49" s="143">
        <f>'Proposed Lighting'!T46</f>
        <v>0</v>
      </c>
      <c r="F49" s="143">
        <f>'Proposed Lighting'!F46</f>
        <v>0</v>
      </c>
      <c r="G49" s="96" t="s">
        <v>242</v>
      </c>
      <c r="H49" s="142" t="str">
        <f>'Proposed Lighting'!CP46</f>
        <v/>
      </c>
      <c r="I49" s="98">
        <v>1</v>
      </c>
      <c r="J49" s="142">
        <f>'Proposed Lighting'!AA46</f>
        <v>0</v>
      </c>
      <c r="K49" s="142" t="str">
        <f>IF(ISNUMBER(SEARCH("-C",'Proposed Lighting'!M46)),'Proposed Lighting'!AH46*0.9,'Proposed Lighting'!AH46)</f>
        <v/>
      </c>
      <c r="L49" s="142">
        <f>IFERROR(IF(OR('Proposed Lighting'!BC46=22,'Proposed Lighting'!BC46=44),1-25%,IF(OR('Proposed Lighting'!BC46=23,'Proposed Lighting'!BC46=46),1-30%,IF(OR('Proposed Lighting'!BC46=29,'Proposed Lighting'!BC46=39,'Proposed Lighting'!BC46=49),1-35%,IF(OR('Proposed Lighting'!BC46=24,'Proposed Lighting'!BC46=48),1-50%,IF(AND(ISNUMBER(SEARCH("-C",'Proposed Lighting'!M46)),'Proposed Lighting'!AU46=2),90%,100%)))))*'Proposed Lighting'!AH46,0)</f>
        <v>0</v>
      </c>
      <c r="M49" s="87">
        <f t="shared" si="0"/>
        <v>0</v>
      </c>
      <c r="N49" s="87">
        <f>IFERROR(IF('Proposed Lighting'!AU46=1,0,'Proposed Lighting'!AO46),0)</f>
        <v>0</v>
      </c>
      <c r="O49" s="88">
        <f>IF('Proposed Lighting'!AU46=1,0,'Proposed Lighting'!AP46)</f>
        <v>0</v>
      </c>
      <c r="P49" s="87">
        <f t="shared" si="1"/>
        <v>0</v>
      </c>
      <c r="Q49" s="98">
        <f t="shared" si="8"/>
        <v>0</v>
      </c>
      <c r="R49" s="99">
        <f>IFERROR(IF('Proposed Lighting'!T46="Lighting controls only",0,ROUND(IF('Proposed Lighting'!AQ46&lt;'Proposed Lighting'!AR46,0,IF('Proposed Lighting'!AH46=0,0,IF('Proposed Lighting'!BV46&gt;0,'Proposed Lighting'!BV46,IF('Proposed Lighting'!CL46=0,MIN('Proposed Lighting'!CN46:CO46),IF('Proposed Lighting'!CX46&gt;0,'Proposed Lighting'!CX46*'Proposed Lighting'!AA46,0))))),2)),0)</f>
        <v>0</v>
      </c>
      <c r="S49" s="99">
        <f>IF('Proposed Lighting'!AJ46&gt;0,'Proposed Lighting'!AJ46*J49,'Proposed Lighting'!$AU$328*J49)</f>
        <v>0</v>
      </c>
      <c r="T49" s="602">
        <f t="shared" si="2"/>
        <v>0</v>
      </c>
      <c r="U49" s="100"/>
      <c r="V49" s="99">
        <f t="shared" si="9"/>
        <v>0</v>
      </c>
      <c r="W49" s="99">
        <f t="shared" si="10"/>
        <v>0</v>
      </c>
      <c r="X49" s="99">
        <f t="shared" si="3"/>
        <v>0</v>
      </c>
      <c r="Y49" s="99"/>
      <c r="Z49" s="99">
        <f t="shared" si="11"/>
        <v>0</v>
      </c>
      <c r="AA49" s="99"/>
      <c r="AB49" s="99">
        <f t="shared" si="4"/>
        <v>0</v>
      </c>
      <c r="AC49" s="101" t="str">
        <f t="shared" si="5"/>
        <v/>
      </c>
      <c r="AD49" s="101" t="str">
        <f t="shared" si="6"/>
        <v/>
      </c>
      <c r="AE49" s="101" t="str">
        <f t="shared" si="7"/>
        <v/>
      </c>
      <c r="AF49" s="72"/>
      <c r="AG49" s="98">
        <f>IFERROR(IF($AV49="No",0,IF($AV49="yes",Summary!Q49,"")),"")</f>
        <v>0</v>
      </c>
      <c r="AH49" s="99">
        <f>IFERROR(IF($AV49="No",0,IF($AV49="yes",Summary!R49,"")),"")</f>
        <v>0</v>
      </c>
      <c r="AI49" s="99">
        <f>IFERROR(IF($AV49="No",0,IF($AV49="yes",Summary!S49,"")),"")</f>
        <v>0</v>
      </c>
      <c r="AJ49" s="602">
        <f>IFERROR(IF($AV49="No",0,IF($AV49="yes",Summary!T49,"")),"")</f>
        <v>0</v>
      </c>
      <c r="AK49" s="100">
        <f>IFERROR(IF($AV49="No",0,IF($AV49="yes",Summary!U49,"")),"")</f>
        <v>0</v>
      </c>
      <c r="AL49" s="99">
        <f>IFERROR(IF($AV49="No",0,IF($AV49="yes",Summary!V49,"")),"")</f>
        <v>0</v>
      </c>
      <c r="AM49" s="99">
        <f>IFERROR(IF($AV49="No",0,IF($AV49="yes",Summary!W49,"")),"")</f>
        <v>0</v>
      </c>
      <c r="AN49" s="99">
        <f>IFERROR(IF($AV49="No",0,IF($AV49="yes",Summary!X49,"")),"")</f>
        <v>0</v>
      </c>
      <c r="AO49" s="99">
        <f>IFERROR(IF($AV49="No",0,IF($AV49="yes",Summary!Y49+Z49,"")),"")</f>
        <v>0</v>
      </c>
      <c r="AP49" s="99">
        <f>IFERROR(IF($AV49="No",0,IF($AV49="yes",Summary!AB49,"")),"")</f>
        <v>0</v>
      </c>
      <c r="AQ49" s="101" t="str">
        <f t="shared" si="12"/>
        <v/>
      </c>
      <c r="AR49" s="101" t="str">
        <f t="shared" si="13"/>
        <v/>
      </c>
      <c r="AS49" s="101" t="str">
        <f t="shared" si="14"/>
        <v/>
      </c>
      <c r="AT49" s="96" t="s">
        <v>349</v>
      </c>
      <c r="AV49" t="str">
        <f>IF('Proposed Lighting'!CN46&gt;0,"No","Yes")</f>
        <v>Yes</v>
      </c>
    </row>
    <row r="50" spans="1:48" ht="34.5" customHeight="1" outlineLevel="1">
      <c r="A50" s="96" t="s">
        <v>350</v>
      </c>
      <c r="B50" s="96" t="str">
        <f>IF(ISNUMBER(SEARCH("case",E50)),"COM_MISC_REFR_ALL_UNKN1991",IF('Proposed Lighting'!AU47=3,"Commercial-All Com-ExtLight",IF('Proposed Lighting'!AH47&gt;8759,"IPC_8760","Commercial-All Com-IntLight")))</f>
        <v>IPC_8760</v>
      </c>
      <c r="C50" s="96" t="str">
        <f>IF(OR('Proposed Lighting'!DD47="Standard Incentive",'Proposed Lighting'!DD47="Non-Standard Incentive"),"Yes",IF(AND(IF(ISNUMBER(SEARCH("controls",'Proposed Lighting'!T47)),"True","False")="False",'Proposed Lighting'!DD47="Submit Control as Non-Standard"),"Yes","No"))</f>
        <v>No</v>
      </c>
      <c r="D50" s="1403">
        <f>'Proposed Lighting'!CV47-Q50</f>
        <v>0</v>
      </c>
      <c r="E50" s="143">
        <f>'Proposed Lighting'!T47</f>
        <v>0</v>
      </c>
      <c r="F50" s="143">
        <f>'Proposed Lighting'!F47</f>
        <v>0</v>
      </c>
      <c r="G50" s="96" t="s">
        <v>242</v>
      </c>
      <c r="H50" s="142" t="str">
        <f>'Proposed Lighting'!CP47</f>
        <v/>
      </c>
      <c r="I50" s="98">
        <v>1</v>
      </c>
      <c r="J50" s="142">
        <f>'Proposed Lighting'!AA47</f>
        <v>0</v>
      </c>
      <c r="K50" s="142" t="str">
        <f>IF(ISNUMBER(SEARCH("-C",'Proposed Lighting'!M47)),'Proposed Lighting'!AH47*0.9,'Proposed Lighting'!AH47)</f>
        <v/>
      </c>
      <c r="L50" s="142">
        <f>IFERROR(IF(OR('Proposed Lighting'!BC47=22,'Proposed Lighting'!BC47=44),1-25%,IF(OR('Proposed Lighting'!BC47=23,'Proposed Lighting'!BC47=46),1-30%,IF(OR('Proposed Lighting'!BC47=29,'Proposed Lighting'!BC47=39,'Proposed Lighting'!BC47=49),1-35%,IF(OR('Proposed Lighting'!BC47=24,'Proposed Lighting'!BC47=48),1-50%,IF(AND(ISNUMBER(SEARCH("-C",'Proposed Lighting'!M47)),'Proposed Lighting'!AU47=2),90%,100%)))))*'Proposed Lighting'!AH47,0)</f>
        <v>0</v>
      </c>
      <c r="M50" s="87">
        <f t="shared" si="0"/>
        <v>0</v>
      </c>
      <c r="N50" s="87">
        <f>IFERROR(IF('Proposed Lighting'!AU47=1,0,'Proposed Lighting'!AO47),0)</f>
        <v>0</v>
      </c>
      <c r="O50" s="88">
        <f>IF('Proposed Lighting'!AU47=1,0,'Proposed Lighting'!AP47)</f>
        <v>0</v>
      </c>
      <c r="P50" s="87">
        <f t="shared" si="1"/>
        <v>0</v>
      </c>
      <c r="Q50" s="98">
        <f t="shared" si="8"/>
        <v>0</v>
      </c>
      <c r="R50" s="99">
        <f>IFERROR(IF('Proposed Lighting'!T47="Lighting controls only",0,ROUND(IF('Proposed Lighting'!AQ47&lt;'Proposed Lighting'!AR47,0,IF('Proposed Lighting'!AH47=0,0,IF('Proposed Lighting'!BV47&gt;0,'Proposed Lighting'!BV47,IF('Proposed Lighting'!CL47=0,MIN('Proposed Lighting'!CN47:CO47),IF('Proposed Lighting'!CX47&gt;0,'Proposed Lighting'!CX47*'Proposed Lighting'!AA47,0))))),2)),0)</f>
        <v>0</v>
      </c>
      <c r="S50" s="99">
        <f>IF('Proposed Lighting'!AJ47&gt;0,'Proposed Lighting'!AJ47*J50,'Proposed Lighting'!$AU$328*J50)</f>
        <v>0</v>
      </c>
      <c r="T50" s="602">
        <f t="shared" si="2"/>
        <v>0</v>
      </c>
      <c r="U50" s="100"/>
      <c r="V50" s="99">
        <f t="shared" si="9"/>
        <v>0</v>
      </c>
      <c r="W50" s="99">
        <f t="shared" si="10"/>
        <v>0</v>
      </c>
      <c r="X50" s="99">
        <f t="shared" si="3"/>
        <v>0</v>
      </c>
      <c r="Y50" s="99"/>
      <c r="Z50" s="99">
        <f t="shared" si="11"/>
        <v>0</v>
      </c>
      <c r="AA50" s="99"/>
      <c r="AB50" s="99">
        <f t="shared" si="4"/>
        <v>0</v>
      </c>
      <c r="AC50" s="101" t="str">
        <f t="shared" si="5"/>
        <v/>
      </c>
      <c r="AD50" s="101" t="str">
        <f t="shared" si="6"/>
        <v/>
      </c>
      <c r="AE50" s="101" t="str">
        <f t="shared" si="7"/>
        <v/>
      </c>
      <c r="AF50" s="72"/>
      <c r="AG50" s="98">
        <f>IFERROR(IF($AV50="No",0,IF($AV50="yes",Summary!Q50,"")),"")</f>
        <v>0</v>
      </c>
      <c r="AH50" s="99">
        <f>IFERROR(IF($AV50="No",0,IF($AV50="yes",Summary!R50,"")),"")</f>
        <v>0</v>
      </c>
      <c r="AI50" s="99">
        <f>IFERROR(IF($AV50="No",0,IF($AV50="yes",Summary!S50,"")),"")</f>
        <v>0</v>
      </c>
      <c r="AJ50" s="602">
        <f>IFERROR(IF($AV50="No",0,IF($AV50="yes",Summary!T50,"")),"")</f>
        <v>0</v>
      </c>
      <c r="AK50" s="100">
        <f>IFERROR(IF($AV50="No",0,IF($AV50="yes",Summary!U50,"")),"")</f>
        <v>0</v>
      </c>
      <c r="AL50" s="99">
        <f>IFERROR(IF($AV50="No",0,IF($AV50="yes",Summary!V50,"")),"")</f>
        <v>0</v>
      </c>
      <c r="AM50" s="99">
        <f>IFERROR(IF($AV50="No",0,IF($AV50="yes",Summary!W50,"")),"")</f>
        <v>0</v>
      </c>
      <c r="AN50" s="99">
        <f>IFERROR(IF($AV50="No",0,IF($AV50="yes",Summary!X50,"")),"")</f>
        <v>0</v>
      </c>
      <c r="AO50" s="99">
        <f>IFERROR(IF($AV50="No",0,IF($AV50="yes",Summary!Y50+Z50,"")),"")</f>
        <v>0</v>
      </c>
      <c r="AP50" s="99">
        <f>IFERROR(IF($AV50="No",0,IF($AV50="yes",Summary!AB50,"")),"")</f>
        <v>0</v>
      </c>
      <c r="AQ50" s="101" t="str">
        <f t="shared" si="12"/>
        <v/>
      </c>
      <c r="AR50" s="101" t="str">
        <f t="shared" si="13"/>
        <v/>
      </c>
      <c r="AS50" s="101" t="str">
        <f t="shared" si="14"/>
        <v/>
      </c>
      <c r="AT50" s="96" t="s">
        <v>350</v>
      </c>
      <c r="AV50" t="str">
        <f>IF('Proposed Lighting'!CN47&gt;0,"No","Yes")</f>
        <v>Yes</v>
      </c>
    </row>
    <row r="51" spans="1:48" ht="34.5" customHeight="1" outlineLevel="1">
      <c r="A51" s="96" t="s">
        <v>351</v>
      </c>
      <c r="B51" s="96" t="str">
        <f>IF(ISNUMBER(SEARCH("case",E51)),"COM_MISC_REFR_ALL_UNKN1991",IF('Proposed Lighting'!AU48=3,"Commercial-All Com-ExtLight",IF('Proposed Lighting'!AH48&gt;8759,"IPC_8760","Commercial-All Com-IntLight")))</f>
        <v>IPC_8760</v>
      </c>
      <c r="C51" s="96" t="str">
        <f>IF(OR('Proposed Lighting'!DD48="Standard Incentive",'Proposed Lighting'!DD48="Non-Standard Incentive"),"Yes",IF(AND(IF(ISNUMBER(SEARCH("controls",'Proposed Lighting'!T48)),"True","False")="False",'Proposed Lighting'!DD48="Submit Control as Non-Standard"),"Yes","No"))</f>
        <v>No</v>
      </c>
      <c r="D51" s="1403">
        <f>'Proposed Lighting'!CV48-Q51</f>
        <v>0</v>
      </c>
      <c r="E51" s="143">
        <f>'Proposed Lighting'!T48</f>
        <v>0</v>
      </c>
      <c r="F51" s="143">
        <f>'Proposed Lighting'!F48</f>
        <v>0</v>
      </c>
      <c r="G51" s="96" t="s">
        <v>242</v>
      </c>
      <c r="H51" s="142" t="str">
        <f>'Proposed Lighting'!CP48</f>
        <v/>
      </c>
      <c r="I51" s="98">
        <v>1</v>
      </c>
      <c r="J51" s="142">
        <f>'Proposed Lighting'!AA48</f>
        <v>0</v>
      </c>
      <c r="K51" s="142" t="str">
        <f>IF(ISNUMBER(SEARCH("-C",'Proposed Lighting'!M48)),'Proposed Lighting'!AH48*0.9,'Proposed Lighting'!AH48)</f>
        <v/>
      </c>
      <c r="L51" s="142">
        <f>IFERROR(IF(OR('Proposed Lighting'!BC48=22,'Proposed Lighting'!BC48=44),1-25%,IF(OR('Proposed Lighting'!BC48=23,'Proposed Lighting'!BC48=46),1-30%,IF(OR('Proposed Lighting'!BC48=29,'Proposed Lighting'!BC48=39,'Proposed Lighting'!BC48=49),1-35%,IF(OR('Proposed Lighting'!BC48=24,'Proposed Lighting'!BC48=48),1-50%,IF(AND(ISNUMBER(SEARCH("-C",'Proposed Lighting'!M48)),'Proposed Lighting'!AU48=2),90%,100%)))))*'Proposed Lighting'!AH48,0)</f>
        <v>0</v>
      </c>
      <c r="M51" s="87">
        <f t="shared" si="0"/>
        <v>0</v>
      </c>
      <c r="N51" s="87">
        <f>IFERROR(IF('Proposed Lighting'!AU48=1,0,'Proposed Lighting'!AO48),0)</f>
        <v>0</v>
      </c>
      <c r="O51" s="88">
        <f>IF('Proposed Lighting'!AU48=1,0,'Proposed Lighting'!AP48)</f>
        <v>0</v>
      </c>
      <c r="P51" s="87">
        <f t="shared" si="1"/>
        <v>0</v>
      </c>
      <c r="Q51" s="98">
        <f t="shared" si="8"/>
        <v>0</v>
      </c>
      <c r="R51" s="99">
        <f>IFERROR(IF('Proposed Lighting'!T48="Lighting controls only",0,ROUND(IF('Proposed Lighting'!AQ48&lt;'Proposed Lighting'!AR48,0,IF('Proposed Lighting'!AH48=0,0,IF('Proposed Lighting'!BV48&gt;0,'Proposed Lighting'!BV48,IF('Proposed Lighting'!CL48=0,MIN('Proposed Lighting'!CN48:CO48),IF('Proposed Lighting'!CX48&gt;0,'Proposed Lighting'!CX48*'Proposed Lighting'!AA48,0))))),2)),0)</f>
        <v>0</v>
      </c>
      <c r="S51" s="99">
        <f>IF('Proposed Lighting'!AJ48&gt;0,'Proposed Lighting'!AJ48*J51,'Proposed Lighting'!$AU$328*J51)</f>
        <v>0</v>
      </c>
      <c r="T51" s="602">
        <f t="shared" si="2"/>
        <v>0</v>
      </c>
      <c r="U51" s="100"/>
      <c r="V51" s="99">
        <f t="shared" si="9"/>
        <v>0</v>
      </c>
      <c r="W51" s="99">
        <f t="shared" si="10"/>
        <v>0</v>
      </c>
      <c r="X51" s="99">
        <f t="shared" si="3"/>
        <v>0</v>
      </c>
      <c r="Y51" s="99"/>
      <c r="Z51" s="99">
        <f t="shared" si="11"/>
        <v>0</v>
      </c>
      <c r="AA51" s="99"/>
      <c r="AB51" s="99">
        <f t="shared" si="4"/>
        <v>0</v>
      </c>
      <c r="AC51" s="101" t="str">
        <f t="shared" si="5"/>
        <v/>
      </c>
      <c r="AD51" s="101" t="str">
        <f t="shared" si="6"/>
        <v/>
      </c>
      <c r="AE51" s="101" t="str">
        <f t="shared" si="7"/>
        <v/>
      </c>
      <c r="AF51" s="72"/>
      <c r="AG51" s="98">
        <f>IFERROR(IF($AV51="No",0,IF($AV51="yes",Summary!Q51,"")),"")</f>
        <v>0</v>
      </c>
      <c r="AH51" s="99">
        <f>IFERROR(IF($AV51="No",0,IF($AV51="yes",Summary!R51,"")),"")</f>
        <v>0</v>
      </c>
      <c r="AI51" s="99">
        <f>IFERROR(IF($AV51="No",0,IF($AV51="yes",Summary!S51,"")),"")</f>
        <v>0</v>
      </c>
      <c r="AJ51" s="602">
        <f>IFERROR(IF($AV51="No",0,IF($AV51="yes",Summary!T51,"")),"")</f>
        <v>0</v>
      </c>
      <c r="AK51" s="100">
        <f>IFERROR(IF($AV51="No",0,IF($AV51="yes",Summary!U51,"")),"")</f>
        <v>0</v>
      </c>
      <c r="AL51" s="99">
        <f>IFERROR(IF($AV51="No",0,IF($AV51="yes",Summary!V51,"")),"")</f>
        <v>0</v>
      </c>
      <c r="AM51" s="99">
        <f>IFERROR(IF($AV51="No",0,IF($AV51="yes",Summary!W51,"")),"")</f>
        <v>0</v>
      </c>
      <c r="AN51" s="99">
        <f>IFERROR(IF($AV51="No",0,IF($AV51="yes",Summary!X51,"")),"")</f>
        <v>0</v>
      </c>
      <c r="AO51" s="99">
        <f>IFERROR(IF($AV51="No",0,IF($AV51="yes",Summary!Y51+Z51,"")),"")</f>
        <v>0</v>
      </c>
      <c r="AP51" s="99">
        <f>IFERROR(IF($AV51="No",0,IF($AV51="yes",Summary!AB51,"")),"")</f>
        <v>0</v>
      </c>
      <c r="AQ51" s="101" t="str">
        <f t="shared" si="12"/>
        <v/>
      </c>
      <c r="AR51" s="101" t="str">
        <f t="shared" si="13"/>
        <v/>
      </c>
      <c r="AS51" s="101" t="str">
        <f t="shared" si="14"/>
        <v/>
      </c>
      <c r="AT51" s="96" t="s">
        <v>351</v>
      </c>
      <c r="AV51" t="str">
        <f>IF('Proposed Lighting'!CN48&gt;0,"No","Yes")</f>
        <v>Yes</v>
      </c>
    </row>
    <row r="52" spans="1:48" ht="34.5" customHeight="1" outlineLevel="1">
      <c r="A52" s="96" t="s">
        <v>352</v>
      </c>
      <c r="B52" s="96" t="str">
        <f>IF(ISNUMBER(SEARCH("case",E52)),"COM_MISC_REFR_ALL_UNKN1991",IF('Proposed Lighting'!AU49=3,"Commercial-All Com-ExtLight",IF('Proposed Lighting'!AH49&gt;8759,"IPC_8760","Commercial-All Com-IntLight")))</f>
        <v>IPC_8760</v>
      </c>
      <c r="C52" s="96" t="str">
        <f>IF(OR('Proposed Lighting'!DD49="Standard Incentive",'Proposed Lighting'!DD49="Non-Standard Incentive"),"Yes",IF(AND(IF(ISNUMBER(SEARCH("controls",'Proposed Lighting'!T49)),"True","False")="False",'Proposed Lighting'!DD49="Submit Control as Non-Standard"),"Yes","No"))</f>
        <v>No</v>
      </c>
      <c r="D52" s="1403">
        <f>'Proposed Lighting'!CV49-Q52</f>
        <v>0</v>
      </c>
      <c r="E52" s="143">
        <f>'Proposed Lighting'!T49</f>
        <v>0</v>
      </c>
      <c r="F52" s="143">
        <f>'Proposed Lighting'!F49</f>
        <v>0</v>
      </c>
      <c r="G52" s="96" t="s">
        <v>242</v>
      </c>
      <c r="H52" s="142" t="str">
        <f>'Proposed Lighting'!CP49</f>
        <v/>
      </c>
      <c r="I52" s="98">
        <v>1</v>
      </c>
      <c r="J52" s="142">
        <f>'Proposed Lighting'!AA49</f>
        <v>0</v>
      </c>
      <c r="K52" s="142" t="str">
        <f>IF(ISNUMBER(SEARCH("-C",'Proposed Lighting'!M49)),'Proposed Lighting'!AH49*0.9,'Proposed Lighting'!AH49)</f>
        <v/>
      </c>
      <c r="L52" s="142">
        <f>IFERROR(IF(OR('Proposed Lighting'!BC49=22,'Proposed Lighting'!BC49=44),1-25%,IF(OR('Proposed Lighting'!BC49=23,'Proposed Lighting'!BC49=46),1-30%,IF(OR('Proposed Lighting'!BC49=29,'Proposed Lighting'!BC49=39,'Proposed Lighting'!BC49=49),1-35%,IF(OR('Proposed Lighting'!BC49=24,'Proposed Lighting'!BC49=48),1-50%,IF(AND(ISNUMBER(SEARCH("-C",'Proposed Lighting'!M49)),'Proposed Lighting'!AU49=2),90%,100%)))))*'Proposed Lighting'!AH49,0)</f>
        <v>0</v>
      </c>
      <c r="M52" s="87">
        <f t="shared" si="0"/>
        <v>0</v>
      </c>
      <c r="N52" s="87">
        <f>IFERROR(IF('Proposed Lighting'!AU49=1,0,'Proposed Lighting'!AO49),0)</f>
        <v>0</v>
      </c>
      <c r="O52" s="88">
        <f>IF('Proposed Lighting'!AU49=1,0,'Proposed Lighting'!AP49)</f>
        <v>0</v>
      </c>
      <c r="P52" s="87">
        <f t="shared" si="1"/>
        <v>0</v>
      </c>
      <c r="Q52" s="98">
        <f t="shared" si="8"/>
        <v>0</v>
      </c>
      <c r="R52" s="99">
        <f>IFERROR(IF('Proposed Lighting'!T49="Lighting controls only",0,ROUND(IF('Proposed Lighting'!AQ49&lt;'Proposed Lighting'!AR49,0,IF('Proposed Lighting'!AH49=0,0,IF('Proposed Lighting'!BV49&gt;0,'Proposed Lighting'!BV49,IF('Proposed Lighting'!CL49=0,MIN('Proposed Lighting'!CN49:CO49),IF('Proposed Lighting'!CX49&gt;0,'Proposed Lighting'!CX49*'Proposed Lighting'!AA49,0))))),2)),0)</f>
        <v>0</v>
      </c>
      <c r="S52" s="99">
        <f>IF('Proposed Lighting'!AJ49&gt;0,'Proposed Lighting'!AJ49*J52,'Proposed Lighting'!$AU$328*J52)</f>
        <v>0</v>
      </c>
      <c r="T52" s="602">
        <f t="shared" si="2"/>
        <v>0</v>
      </c>
      <c r="U52" s="100"/>
      <c r="V52" s="99">
        <f t="shared" si="9"/>
        <v>0</v>
      </c>
      <c r="W52" s="99">
        <f t="shared" si="10"/>
        <v>0</v>
      </c>
      <c r="X52" s="99">
        <f t="shared" si="3"/>
        <v>0</v>
      </c>
      <c r="Y52" s="99"/>
      <c r="Z52" s="99">
        <f t="shared" si="11"/>
        <v>0</v>
      </c>
      <c r="AA52" s="99"/>
      <c r="AB52" s="99">
        <f t="shared" si="4"/>
        <v>0</v>
      </c>
      <c r="AC52" s="101" t="str">
        <f t="shared" si="5"/>
        <v/>
      </c>
      <c r="AD52" s="101" t="str">
        <f t="shared" si="6"/>
        <v/>
      </c>
      <c r="AE52" s="101" t="str">
        <f t="shared" si="7"/>
        <v/>
      </c>
      <c r="AF52" s="72"/>
      <c r="AG52" s="98">
        <f>IFERROR(IF($AV52="No",0,IF($AV52="yes",Summary!Q52,"")),"")</f>
        <v>0</v>
      </c>
      <c r="AH52" s="99">
        <f>IFERROR(IF($AV52="No",0,IF($AV52="yes",Summary!R52,"")),"")</f>
        <v>0</v>
      </c>
      <c r="AI52" s="99">
        <f>IFERROR(IF($AV52="No",0,IF($AV52="yes",Summary!S52,"")),"")</f>
        <v>0</v>
      </c>
      <c r="AJ52" s="602">
        <f>IFERROR(IF($AV52="No",0,IF($AV52="yes",Summary!T52,"")),"")</f>
        <v>0</v>
      </c>
      <c r="AK52" s="100">
        <f>IFERROR(IF($AV52="No",0,IF($AV52="yes",Summary!U52,"")),"")</f>
        <v>0</v>
      </c>
      <c r="AL52" s="99">
        <f>IFERROR(IF($AV52="No",0,IF($AV52="yes",Summary!V52,"")),"")</f>
        <v>0</v>
      </c>
      <c r="AM52" s="99">
        <f>IFERROR(IF($AV52="No",0,IF($AV52="yes",Summary!W52,"")),"")</f>
        <v>0</v>
      </c>
      <c r="AN52" s="99">
        <f>IFERROR(IF($AV52="No",0,IF($AV52="yes",Summary!X52,"")),"")</f>
        <v>0</v>
      </c>
      <c r="AO52" s="99">
        <f>IFERROR(IF($AV52="No",0,IF($AV52="yes",Summary!Y52+Z52,"")),"")</f>
        <v>0</v>
      </c>
      <c r="AP52" s="99">
        <f>IFERROR(IF($AV52="No",0,IF($AV52="yes",Summary!AB52,"")),"")</f>
        <v>0</v>
      </c>
      <c r="AQ52" s="101" t="str">
        <f t="shared" si="12"/>
        <v/>
      </c>
      <c r="AR52" s="101" t="str">
        <f t="shared" si="13"/>
        <v/>
      </c>
      <c r="AS52" s="101" t="str">
        <f t="shared" si="14"/>
        <v/>
      </c>
      <c r="AT52" s="96" t="s">
        <v>352</v>
      </c>
      <c r="AV52" t="str">
        <f>IF('Proposed Lighting'!CN49&gt;0,"No","Yes")</f>
        <v>Yes</v>
      </c>
    </row>
    <row r="53" spans="1:48" ht="34.5" customHeight="1" outlineLevel="1">
      <c r="A53" s="96" t="s">
        <v>353</v>
      </c>
      <c r="B53" s="96" t="str">
        <f>IF(ISNUMBER(SEARCH("case",E53)),"COM_MISC_REFR_ALL_UNKN1991",IF('Proposed Lighting'!AU50=3,"Commercial-All Com-ExtLight",IF('Proposed Lighting'!AH50&gt;8759,"IPC_8760","Commercial-All Com-IntLight")))</f>
        <v>IPC_8760</v>
      </c>
      <c r="C53" s="96" t="str">
        <f>IF(OR('Proposed Lighting'!DD50="Standard Incentive",'Proposed Lighting'!DD50="Non-Standard Incentive"),"Yes",IF(AND(IF(ISNUMBER(SEARCH("controls",'Proposed Lighting'!T50)),"True","False")="False",'Proposed Lighting'!DD50="Submit Control as Non-Standard"),"Yes","No"))</f>
        <v>No</v>
      </c>
      <c r="D53" s="1403">
        <f>'Proposed Lighting'!CV50-Q53</f>
        <v>0</v>
      </c>
      <c r="E53" s="143">
        <f>'Proposed Lighting'!T50</f>
        <v>0</v>
      </c>
      <c r="F53" s="143">
        <f>'Proposed Lighting'!F50</f>
        <v>0</v>
      </c>
      <c r="G53" s="96" t="s">
        <v>242</v>
      </c>
      <c r="H53" s="142" t="str">
        <f>'Proposed Lighting'!CP50</f>
        <v/>
      </c>
      <c r="I53" s="98">
        <v>1</v>
      </c>
      <c r="J53" s="142">
        <f>'Proposed Lighting'!AA50</f>
        <v>0</v>
      </c>
      <c r="K53" s="142" t="str">
        <f>IF(ISNUMBER(SEARCH("-C",'Proposed Lighting'!M50)),'Proposed Lighting'!AH50*0.9,'Proposed Lighting'!AH50)</f>
        <v/>
      </c>
      <c r="L53" s="142">
        <f>IFERROR(IF(OR('Proposed Lighting'!BC50=22,'Proposed Lighting'!BC50=44),1-25%,IF(OR('Proposed Lighting'!BC50=23,'Proposed Lighting'!BC50=46),1-30%,IF(OR('Proposed Lighting'!BC50=29,'Proposed Lighting'!BC50=39,'Proposed Lighting'!BC50=49),1-35%,IF(OR('Proposed Lighting'!BC50=24,'Proposed Lighting'!BC50=48),1-50%,IF(AND(ISNUMBER(SEARCH("-C",'Proposed Lighting'!M50)),'Proposed Lighting'!AU50=2),90%,100%)))))*'Proposed Lighting'!AH50,0)</f>
        <v>0</v>
      </c>
      <c r="M53" s="87">
        <f t="shared" si="0"/>
        <v>0</v>
      </c>
      <c r="N53" s="87">
        <f>IFERROR(IF('Proposed Lighting'!AU50=1,0,'Proposed Lighting'!AO50),0)</f>
        <v>0</v>
      </c>
      <c r="O53" s="88">
        <f>IF('Proposed Lighting'!AU50=1,0,'Proposed Lighting'!AP50)</f>
        <v>0</v>
      </c>
      <c r="P53" s="87">
        <f t="shared" si="1"/>
        <v>0</v>
      </c>
      <c r="Q53" s="98">
        <f t="shared" si="8"/>
        <v>0</v>
      </c>
      <c r="R53" s="99">
        <f>IFERROR(IF('Proposed Lighting'!T50="Lighting controls only",0,ROUND(IF('Proposed Lighting'!AQ50&lt;'Proposed Lighting'!AR50,0,IF('Proposed Lighting'!AH50=0,0,IF('Proposed Lighting'!BV50&gt;0,'Proposed Lighting'!BV50,IF('Proposed Lighting'!CL50=0,MIN('Proposed Lighting'!CN50:CO50),IF('Proposed Lighting'!CX50&gt;0,'Proposed Lighting'!CX50*'Proposed Lighting'!AA50,0))))),2)),0)</f>
        <v>0</v>
      </c>
      <c r="S53" s="99">
        <f>IF('Proposed Lighting'!AJ50&gt;0,'Proposed Lighting'!AJ50*J53,'Proposed Lighting'!$AU$328*J53)</f>
        <v>0</v>
      </c>
      <c r="T53" s="602">
        <f t="shared" si="2"/>
        <v>0</v>
      </c>
      <c r="U53" s="100"/>
      <c r="V53" s="99">
        <f t="shared" si="9"/>
        <v>0</v>
      </c>
      <c r="W53" s="99">
        <f t="shared" si="10"/>
        <v>0</v>
      </c>
      <c r="X53" s="99">
        <f t="shared" si="3"/>
        <v>0</v>
      </c>
      <c r="Y53" s="99"/>
      <c r="Z53" s="99">
        <f t="shared" si="11"/>
        <v>0</v>
      </c>
      <c r="AA53" s="99"/>
      <c r="AB53" s="99">
        <f t="shared" si="4"/>
        <v>0</v>
      </c>
      <c r="AC53" s="101" t="str">
        <f t="shared" si="5"/>
        <v/>
      </c>
      <c r="AD53" s="101" t="str">
        <f t="shared" si="6"/>
        <v/>
      </c>
      <c r="AE53" s="101" t="str">
        <f t="shared" si="7"/>
        <v/>
      </c>
      <c r="AF53" s="72"/>
      <c r="AG53" s="98">
        <f>IFERROR(IF($AV53="No",0,IF($AV53="yes",Summary!Q53,"")),"")</f>
        <v>0</v>
      </c>
      <c r="AH53" s="99">
        <f>IFERROR(IF($AV53="No",0,IF($AV53="yes",Summary!R53,"")),"")</f>
        <v>0</v>
      </c>
      <c r="AI53" s="99">
        <f>IFERROR(IF($AV53="No",0,IF($AV53="yes",Summary!S53,"")),"")</f>
        <v>0</v>
      </c>
      <c r="AJ53" s="602">
        <f>IFERROR(IF($AV53="No",0,IF($AV53="yes",Summary!T53,"")),"")</f>
        <v>0</v>
      </c>
      <c r="AK53" s="100">
        <f>IFERROR(IF($AV53="No",0,IF($AV53="yes",Summary!U53,"")),"")</f>
        <v>0</v>
      </c>
      <c r="AL53" s="99">
        <f>IFERROR(IF($AV53="No",0,IF($AV53="yes",Summary!V53,"")),"")</f>
        <v>0</v>
      </c>
      <c r="AM53" s="99">
        <f>IFERROR(IF($AV53="No",0,IF($AV53="yes",Summary!W53,"")),"")</f>
        <v>0</v>
      </c>
      <c r="AN53" s="99">
        <f>IFERROR(IF($AV53="No",0,IF($AV53="yes",Summary!X53,"")),"")</f>
        <v>0</v>
      </c>
      <c r="AO53" s="99">
        <f>IFERROR(IF($AV53="No",0,IF($AV53="yes",Summary!Y53+Z53,"")),"")</f>
        <v>0</v>
      </c>
      <c r="AP53" s="99">
        <f>IFERROR(IF($AV53="No",0,IF($AV53="yes",Summary!AB53,"")),"")</f>
        <v>0</v>
      </c>
      <c r="AQ53" s="101" t="str">
        <f t="shared" si="12"/>
        <v/>
      </c>
      <c r="AR53" s="101" t="str">
        <f t="shared" si="13"/>
        <v/>
      </c>
      <c r="AS53" s="101" t="str">
        <f t="shared" si="14"/>
        <v/>
      </c>
      <c r="AT53" s="96" t="s">
        <v>353</v>
      </c>
      <c r="AV53" t="str">
        <f>IF('Proposed Lighting'!CN50&gt;0,"No","Yes")</f>
        <v>Yes</v>
      </c>
    </row>
    <row r="54" spans="1:48" ht="34.5" customHeight="1" outlineLevel="1">
      <c r="A54" s="96" t="s">
        <v>354</v>
      </c>
      <c r="B54" s="96" t="str">
        <f>IF(ISNUMBER(SEARCH("case",E54)),"COM_MISC_REFR_ALL_UNKN1991",IF('Proposed Lighting'!AU51=3,"Commercial-All Com-ExtLight",IF('Proposed Lighting'!AH51&gt;8759,"IPC_8760","Commercial-All Com-IntLight")))</f>
        <v>IPC_8760</v>
      </c>
      <c r="C54" s="96" t="str">
        <f>IF(OR('Proposed Lighting'!DD51="Standard Incentive",'Proposed Lighting'!DD51="Non-Standard Incentive"),"Yes",IF(AND(IF(ISNUMBER(SEARCH("controls",'Proposed Lighting'!T51)),"True","False")="False",'Proposed Lighting'!DD51="Submit Control as Non-Standard"),"Yes","No"))</f>
        <v>No</v>
      </c>
      <c r="D54" s="1403">
        <f>'Proposed Lighting'!CV51-Q54</f>
        <v>0</v>
      </c>
      <c r="E54" s="143">
        <f>'Proposed Lighting'!T51</f>
        <v>0</v>
      </c>
      <c r="F54" s="143">
        <f>'Proposed Lighting'!F51</f>
        <v>0</v>
      </c>
      <c r="G54" s="96" t="s">
        <v>242</v>
      </c>
      <c r="H54" s="142" t="str">
        <f>'Proposed Lighting'!CP51</f>
        <v/>
      </c>
      <c r="I54" s="98">
        <v>1</v>
      </c>
      <c r="J54" s="142">
        <f>'Proposed Lighting'!AA51</f>
        <v>0</v>
      </c>
      <c r="K54" s="142" t="str">
        <f>IF(ISNUMBER(SEARCH("-C",'Proposed Lighting'!M51)),'Proposed Lighting'!AH51*0.9,'Proposed Lighting'!AH51)</f>
        <v/>
      </c>
      <c r="L54" s="142">
        <f>IFERROR(IF(OR('Proposed Lighting'!BC51=22,'Proposed Lighting'!BC51=44),1-25%,IF(OR('Proposed Lighting'!BC51=23,'Proposed Lighting'!BC51=46),1-30%,IF(OR('Proposed Lighting'!BC51=29,'Proposed Lighting'!BC51=39,'Proposed Lighting'!BC51=49),1-35%,IF(OR('Proposed Lighting'!BC51=24,'Proposed Lighting'!BC51=48),1-50%,IF(AND(ISNUMBER(SEARCH("-C",'Proposed Lighting'!M51)),'Proposed Lighting'!AU51=2),90%,100%)))))*'Proposed Lighting'!AH51,0)</f>
        <v>0</v>
      </c>
      <c r="M54" s="87">
        <f t="shared" si="0"/>
        <v>0</v>
      </c>
      <c r="N54" s="87">
        <f>IFERROR(IF('Proposed Lighting'!AU51=1,0,'Proposed Lighting'!AO51),0)</f>
        <v>0</v>
      </c>
      <c r="O54" s="88">
        <f>IF('Proposed Lighting'!AU51=1,0,'Proposed Lighting'!AP51)</f>
        <v>0</v>
      </c>
      <c r="P54" s="87">
        <f t="shared" si="1"/>
        <v>0</v>
      </c>
      <c r="Q54" s="98">
        <f t="shared" si="8"/>
        <v>0</v>
      </c>
      <c r="R54" s="99">
        <f>IFERROR(IF('Proposed Lighting'!T51="Lighting controls only",0,ROUND(IF('Proposed Lighting'!AQ51&lt;'Proposed Lighting'!AR51,0,IF('Proposed Lighting'!AH51=0,0,IF('Proposed Lighting'!BV51&gt;0,'Proposed Lighting'!BV51,IF('Proposed Lighting'!CL51=0,MIN('Proposed Lighting'!CN51:CO51),IF('Proposed Lighting'!CX51&gt;0,'Proposed Lighting'!CX51*'Proposed Lighting'!AA51,0))))),2)),0)</f>
        <v>0</v>
      </c>
      <c r="S54" s="99">
        <f>IF('Proposed Lighting'!AJ51&gt;0,'Proposed Lighting'!AJ51*J54,'Proposed Lighting'!$AU$328*J54)</f>
        <v>0</v>
      </c>
      <c r="T54" s="602">
        <f t="shared" si="2"/>
        <v>0</v>
      </c>
      <c r="U54" s="100"/>
      <c r="V54" s="99">
        <f t="shared" si="9"/>
        <v>0</v>
      </c>
      <c r="W54" s="99">
        <f t="shared" si="10"/>
        <v>0</v>
      </c>
      <c r="X54" s="99">
        <f t="shared" si="3"/>
        <v>0</v>
      </c>
      <c r="Y54" s="99"/>
      <c r="Z54" s="99">
        <f t="shared" si="11"/>
        <v>0</v>
      </c>
      <c r="AA54" s="99"/>
      <c r="AB54" s="99">
        <f t="shared" si="4"/>
        <v>0</v>
      </c>
      <c r="AC54" s="101" t="str">
        <f t="shared" si="5"/>
        <v/>
      </c>
      <c r="AD54" s="101" t="str">
        <f t="shared" si="6"/>
        <v/>
      </c>
      <c r="AE54" s="101" t="str">
        <f t="shared" si="7"/>
        <v/>
      </c>
      <c r="AF54" s="72"/>
      <c r="AG54" s="98">
        <f>IFERROR(IF($AV54="No",0,IF($AV54="yes",Summary!Q54,"")),"")</f>
        <v>0</v>
      </c>
      <c r="AH54" s="99">
        <f>IFERROR(IF($AV54="No",0,IF($AV54="yes",Summary!R54,"")),"")</f>
        <v>0</v>
      </c>
      <c r="AI54" s="99">
        <f>IFERROR(IF($AV54="No",0,IF($AV54="yes",Summary!S54,"")),"")</f>
        <v>0</v>
      </c>
      <c r="AJ54" s="602">
        <f>IFERROR(IF($AV54="No",0,IF($AV54="yes",Summary!T54,"")),"")</f>
        <v>0</v>
      </c>
      <c r="AK54" s="100">
        <f>IFERROR(IF($AV54="No",0,IF($AV54="yes",Summary!U54,"")),"")</f>
        <v>0</v>
      </c>
      <c r="AL54" s="99">
        <f>IFERROR(IF($AV54="No",0,IF($AV54="yes",Summary!V54,"")),"")</f>
        <v>0</v>
      </c>
      <c r="AM54" s="99">
        <f>IFERROR(IF($AV54="No",0,IF($AV54="yes",Summary!W54,"")),"")</f>
        <v>0</v>
      </c>
      <c r="AN54" s="99">
        <f>IFERROR(IF($AV54="No",0,IF($AV54="yes",Summary!X54,"")),"")</f>
        <v>0</v>
      </c>
      <c r="AO54" s="99">
        <f>IFERROR(IF($AV54="No",0,IF($AV54="yes",Summary!Y54+Z54,"")),"")</f>
        <v>0</v>
      </c>
      <c r="AP54" s="99">
        <f>IFERROR(IF($AV54="No",0,IF($AV54="yes",Summary!AB54,"")),"")</f>
        <v>0</v>
      </c>
      <c r="AQ54" s="101" t="str">
        <f t="shared" si="12"/>
        <v/>
      </c>
      <c r="AR54" s="101" t="str">
        <f t="shared" si="13"/>
        <v/>
      </c>
      <c r="AS54" s="101" t="str">
        <f t="shared" si="14"/>
        <v/>
      </c>
      <c r="AT54" s="96" t="s">
        <v>354</v>
      </c>
      <c r="AV54" t="str">
        <f>IF('Proposed Lighting'!CN51&gt;0,"No","Yes")</f>
        <v>Yes</v>
      </c>
    </row>
    <row r="55" spans="1:48" ht="34.5" customHeight="1" outlineLevel="1">
      <c r="A55" s="96" t="s">
        <v>355</v>
      </c>
      <c r="B55" s="96" t="str">
        <f>IF(ISNUMBER(SEARCH("case",E55)),"COM_MISC_REFR_ALL_UNKN1991",IF('Proposed Lighting'!AU52=3,"Commercial-All Com-ExtLight",IF('Proposed Lighting'!AH52&gt;8759,"IPC_8760","Commercial-All Com-IntLight")))</f>
        <v>IPC_8760</v>
      </c>
      <c r="C55" s="96" t="str">
        <f>IF(OR('Proposed Lighting'!DD52="Standard Incentive",'Proposed Lighting'!DD52="Non-Standard Incentive"),"Yes",IF(AND(IF(ISNUMBER(SEARCH("controls",'Proposed Lighting'!T52)),"True","False")="False",'Proposed Lighting'!DD52="Submit Control as Non-Standard"),"Yes","No"))</f>
        <v>No</v>
      </c>
      <c r="D55" s="1403">
        <f>'Proposed Lighting'!CV52-Q55</f>
        <v>0</v>
      </c>
      <c r="E55" s="143">
        <f>'Proposed Lighting'!T52</f>
        <v>0</v>
      </c>
      <c r="F55" s="143">
        <f>'Proposed Lighting'!F52</f>
        <v>0</v>
      </c>
      <c r="G55" s="96" t="s">
        <v>242</v>
      </c>
      <c r="H55" s="142" t="str">
        <f>'Proposed Lighting'!CP52</f>
        <v/>
      </c>
      <c r="I55" s="98">
        <v>1</v>
      </c>
      <c r="J55" s="142">
        <f>'Proposed Lighting'!AA52</f>
        <v>0</v>
      </c>
      <c r="K55" s="142" t="str">
        <f>IF(ISNUMBER(SEARCH("-C",'Proposed Lighting'!M52)),'Proposed Lighting'!AH52*0.9,'Proposed Lighting'!AH52)</f>
        <v/>
      </c>
      <c r="L55" s="142">
        <f>IFERROR(IF(OR('Proposed Lighting'!BC52=22,'Proposed Lighting'!BC52=44),1-25%,IF(OR('Proposed Lighting'!BC52=23,'Proposed Lighting'!BC52=46),1-30%,IF(OR('Proposed Lighting'!BC52=29,'Proposed Lighting'!BC52=39,'Proposed Lighting'!BC52=49),1-35%,IF(OR('Proposed Lighting'!BC52=24,'Proposed Lighting'!BC52=48),1-50%,IF(AND(ISNUMBER(SEARCH("-C",'Proposed Lighting'!M52)),'Proposed Lighting'!AU52=2),90%,100%)))))*'Proposed Lighting'!AH52,0)</f>
        <v>0</v>
      </c>
      <c r="M55" s="87">
        <f t="shared" si="0"/>
        <v>0</v>
      </c>
      <c r="N55" s="87">
        <f>IFERROR(IF('Proposed Lighting'!AU52=1,0,'Proposed Lighting'!AO52),0)</f>
        <v>0</v>
      </c>
      <c r="O55" s="88">
        <f>IF('Proposed Lighting'!AU52=1,0,'Proposed Lighting'!AP52)</f>
        <v>0</v>
      </c>
      <c r="P55" s="87">
        <f t="shared" si="1"/>
        <v>0</v>
      </c>
      <c r="Q55" s="98">
        <f t="shared" si="8"/>
        <v>0</v>
      </c>
      <c r="R55" s="99">
        <f>IFERROR(IF('Proposed Lighting'!T52="Lighting controls only",0,ROUND(IF('Proposed Lighting'!AQ52&lt;'Proposed Lighting'!AR52,0,IF('Proposed Lighting'!AH52=0,0,IF('Proposed Lighting'!BV52&gt;0,'Proposed Lighting'!BV52,IF('Proposed Lighting'!CL52=0,MIN('Proposed Lighting'!CN52:CO52),IF('Proposed Lighting'!CX52&gt;0,'Proposed Lighting'!CX52*'Proposed Lighting'!AA52,0))))),2)),0)</f>
        <v>0</v>
      </c>
      <c r="S55" s="99">
        <f>IF('Proposed Lighting'!AJ52&gt;0,'Proposed Lighting'!AJ52*J55,'Proposed Lighting'!$AU$328*J55)</f>
        <v>0</v>
      </c>
      <c r="T55" s="602">
        <f t="shared" si="2"/>
        <v>0</v>
      </c>
      <c r="U55" s="100"/>
      <c r="V55" s="99">
        <f t="shared" si="9"/>
        <v>0</v>
      </c>
      <c r="W55" s="99">
        <f t="shared" si="10"/>
        <v>0</v>
      </c>
      <c r="X55" s="99">
        <f t="shared" si="3"/>
        <v>0</v>
      </c>
      <c r="Y55" s="99"/>
      <c r="Z55" s="99">
        <f t="shared" si="11"/>
        <v>0</v>
      </c>
      <c r="AA55" s="99"/>
      <c r="AB55" s="99">
        <f t="shared" si="4"/>
        <v>0</v>
      </c>
      <c r="AC55" s="101" t="str">
        <f t="shared" si="5"/>
        <v/>
      </c>
      <c r="AD55" s="101" t="str">
        <f t="shared" si="6"/>
        <v/>
      </c>
      <c r="AE55" s="101" t="str">
        <f t="shared" si="7"/>
        <v/>
      </c>
      <c r="AF55" s="72"/>
      <c r="AG55" s="98">
        <f>IFERROR(IF($AV55="No",0,IF($AV55="yes",Summary!Q55,"")),"")</f>
        <v>0</v>
      </c>
      <c r="AH55" s="99">
        <f>IFERROR(IF($AV55="No",0,IF($AV55="yes",Summary!R55,"")),"")</f>
        <v>0</v>
      </c>
      <c r="AI55" s="99">
        <f>IFERROR(IF($AV55="No",0,IF($AV55="yes",Summary!S55,"")),"")</f>
        <v>0</v>
      </c>
      <c r="AJ55" s="602">
        <f>IFERROR(IF($AV55="No",0,IF($AV55="yes",Summary!T55,"")),"")</f>
        <v>0</v>
      </c>
      <c r="AK55" s="100">
        <f>IFERROR(IF($AV55="No",0,IF($AV55="yes",Summary!U55,"")),"")</f>
        <v>0</v>
      </c>
      <c r="AL55" s="99">
        <f>IFERROR(IF($AV55="No",0,IF($AV55="yes",Summary!V55,"")),"")</f>
        <v>0</v>
      </c>
      <c r="AM55" s="99">
        <f>IFERROR(IF($AV55="No",0,IF($AV55="yes",Summary!W55,"")),"")</f>
        <v>0</v>
      </c>
      <c r="AN55" s="99">
        <f>IFERROR(IF($AV55="No",0,IF($AV55="yes",Summary!X55,"")),"")</f>
        <v>0</v>
      </c>
      <c r="AO55" s="99">
        <f>IFERROR(IF($AV55="No",0,IF($AV55="yes",Summary!Y55+Z55,"")),"")</f>
        <v>0</v>
      </c>
      <c r="AP55" s="99">
        <f>IFERROR(IF($AV55="No",0,IF($AV55="yes",Summary!AB55,"")),"")</f>
        <v>0</v>
      </c>
      <c r="AQ55" s="101" t="str">
        <f t="shared" si="12"/>
        <v/>
      </c>
      <c r="AR55" s="101" t="str">
        <f t="shared" si="13"/>
        <v/>
      </c>
      <c r="AS55" s="101" t="str">
        <f t="shared" si="14"/>
        <v/>
      </c>
      <c r="AT55" s="96" t="s">
        <v>355</v>
      </c>
      <c r="AV55" t="str">
        <f>IF('Proposed Lighting'!CN52&gt;0,"No","Yes")</f>
        <v>Yes</v>
      </c>
    </row>
    <row r="56" spans="1:48" ht="34.5" customHeight="1" outlineLevel="1">
      <c r="A56" s="96" t="s">
        <v>356</v>
      </c>
      <c r="B56" s="96" t="str">
        <f>IF(ISNUMBER(SEARCH("case",E56)),"COM_MISC_REFR_ALL_UNKN1991",IF('Proposed Lighting'!AU53=3,"Commercial-All Com-ExtLight",IF('Proposed Lighting'!AH53&gt;8759,"IPC_8760","Commercial-All Com-IntLight")))</f>
        <v>IPC_8760</v>
      </c>
      <c r="C56" s="96" t="str">
        <f>IF(OR('Proposed Lighting'!DD53="Standard Incentive",'Proposed Lighting'!DD53="Non-Standard Incentive"),"Yes",IF(AND(IF(ISNUMBER(SEARCH("controls",'Proposed Lighting'!T53)),"True","False")="False",'Proposed Lighting'!DD53="Submit Control as Non-Standard"),"Yes","No"))</f>
        <v>No</v>
      </c>
      <c r="D56" s="1403">
        <f>'Proposed Lighting'!CV53-Q56</f>
        <v>0</v>
      </c>
      <c r="E56" s="143">
        <f>'Proposed Lighting'!T53</f>
        <v>0</v>
      </c>
      <c r="F56" s="143">
        <f>'Proposed Lighting'!F53</f>
        <v>0</v>
      </c>
      <c r="G56" s="96" t="s">
        <v>242</v>
      </c>
      <c r="H56" s="142" t="str">
        <f>'Proposed Lighting'!CP53</f>
        <v/>
      </c>
      <c r="I56" s="98">
        <v>1</v>
      </c>
      <c r="J56" s="142">
        <f>'Proposed Lighting'!AA53</f>
        <v>0</v>
      </c>
      <c r="K56" s="142" t="str">
        <f>IF(ISNUMBER(SEARCH("-C",'Proposed Lighting'!M53)),'Proposed Lighting'!AH53*0.9,'Proposed Lighting'!AH53)</f>
        <v/>
      </c>
      <c r="L56" s="142">
        <f>IFERROR(IF(OR('Proposed Lighting'!BC53=22,'Proposed Lighting'!BC53=44),1-25%,IF(OR('Proposed Lighting'!BC53=23,'Proposed Lighting'!BC53=46),1-30%,IF(OR('Proposed Lighting'!BC53=29,'Proposed Lighting'!BC53=39,'Proposed Lighting'!BC53=49),1-35%,IF(OR('Proposed Lighting'!BC53=24,'Proposed Lighting'!BC53=48),1-50%,IF(AND(ISNUMBER(SEARCH("-C",'Proposed Lighting'!M53)),'Proposed Lighting'!AU53=2),90%,100%)))))*'Proposed Lighting'!AH53,0)</f>
        <v>0</v>
      </c>
      <c r="M56" s="87">
        <f t="shared" si="0"/>
        <v>0</v>
      </c>
      <c r="N56" s="87">
        <f>IFERROR(IF('Proposed Lighting'!AU53=1,0,'Proposed Lighting'!AO53),0)</f>
        <v>0</v>
      </c>
      <c r="O56" s="88">
        <f>IF('Proposed Lighting'!AU53=1,0,'Proposed Lighting'!AP53)</f>
        <v>0</v>
      </c>
      <c r="P56" s="87">
        <f t="shared" si="1"/>
        <v>0</v>
      </c>
      <c r="Q56" s="98">
        <f t="shared" si="8"/>
        <v>0</v>
      </c>
      <c r="R56" s="99">
        <f>IFERROR(IF('Proposed Lighting'!T53="Lighting controls only",0,ROUND(IF('Proposed Lighting'!AQ53&lt;'Proposed Lighting'!AR53,0,IF('Proposed Lighting'!AH53=0,0,IF('Proposed Lighting'!BV53&gt;0,'Proposed Lighting'!BV53,IF('Proposed Lighting'!CL53=0,MIN('Proposed Lighting'!CN53:CO53),IF('Proposed Lighting'!CX53&gt;0,'Proposed Lighting'!CX53*'Proposed Lighting'!AA53,0))))),2)),0)</f>
        <v>0</v>
      </c>
      <c r="S56" s="99">
        <f>IF('Proposed Lighting'!AJ53&gt;0,'Proposed Lighting'!AJ53*J56,'Proposed Lighting'!$AU$328*J56)</f>
        <v>0</v>
      </c>
      <c r="T56" s="602">
        <f t="shared" si="2"/>
        <v>0</v>
      </c>
      <c r="U56" s="100"/>
      <c r="V56" s="99">
        <f t="shared" si="9"/>
        <v>0</v>
      </c>
      <c r="W56" s="99">
        <f t="shared" si="10"/>
        <v>0</v>
      </c>
      <c r="X56" s="99">
        <f t="shared" si="3"/>
        <v>0</v>
      </c>
      <c r="Y56" s="99"/>
      <c r="Z56" s="99">
        <f t="shared" si="11"/>
        <v>0</v>
      </c>
      <c r="AA56" s="99"/>
      <c r="AB56" s="99">
        <f t="shared" si="4"/>
        <v>0</v>
      </c>
      <c r="AC56" s="101" t="str">
        <f t="shared" si="5"/>
        <v/>
      </c>
      <c r="AD56" s="101" t="str">
        <f t="shared" si="6"/>
        <v/>
      </c>
      <c r="AE56" s="101" t="str">
        <f t="shared" si="7"/>
        <v/>
      </c>
      <c r="AF56" s="72"/>
      <c r="AG56" s="98">
        <f>IFERROR(IF($AV56="No",0,IF($AV56="yes",Summary!Q56,"")),"")</f>
        <v>0</v>
      </c>
      <c r="AH56" s="99">
        <f>IFERROR(IF($AV56="No",0,IF($AV56="yes",Summary!R56,"")),"")</f>
        <v>0</v>
      </c>
      <c r="AI56" s="99">
        <f>IFERROR(IF($AV56="No",0,IF($AV56="yes",Summary!S56,"")),"")</f>
        <v>0</v>
      </c>
      <c r="AJ56" s="602">
        <f>IFERROR(IF($AV56="No",0,IF($AV56="yes",Summary!T56,"")),"")</f>
        <v>0</v>
      </c>
      <c r="AK56" s="100">
        <f>IFERROR(IF($AV56="No",0,IF($AV56="yes",Summary!U56,"")),"")</f>
        <v>0</v>
      </c>
      <c r="AL56" s="99">
        <f>IFERROR(IF($AV56="No",0,IF($AV56="yes",Summary!V56,"")),"")</f>
        <v>0</v>
      </c>
      <c r="AM56" s="99">
        <f>IFERROR(IF($AV56="No",0,IF($AV56="yes",Summary!W56,"")),"")</f>
        <v>0</v>
      </c>
      <c r="AN56" s="99">
        <f>IFERROR(IF($AV56="No",0,IF($AV56="yes",Summary!X56,"")),"")</f>
        <v>0</v>
      </c>
      <c r="AO56" s="99">
        <f>IFERROR(IF($AV56="No",0,IF($AV56="yes",Summary!Y56+Z56,"")),"")</f>
        <v>0</v>
      </c>
      <c r="AP56" s="99">
        <f>IFERROR(IF($AV56="No",0,IF($AV56="yes",Summary!AB56,"")),"")</f>
        <v>0</v>
      </c>
      <c r="AQ56" s="101" t="str">
        <f t="shared" si="12"/>
        <v/>
      </c>
      <c r="AR56" s="101" t="str">
        <f t="shared" si="13"/>
        <v/>
      </c>
      <c r="AS56" s="101" t="str">
        <f t="shared" si="14"/>
        <v/>
      </c>
      <c r="AT56" s="96" t="s">
        <v>356</v>
      </c>
      <c r="AV56" t="str">
        <f>IF('Proposed Lighting'!CN53&gt;0,"No","Yes")</f>
        <v>Yes</v>
      </c>
    </row>
    <row r="57" spans="1:48" ht="34.5" customHeight="1" outlineLevel="1">
      <c r="A57" s="96" t="s">
        <v>357</v>
      </c>
      <c r="B57" s="96" t="str">
        <f>IF(ISNUMBER(SEARCH("case",E57)),"COM_MISC_REFR_ALL_UNKN1991",IF('Proposed Lighting'!AU54=3,"Commercial-All Com-ExtLight",IF('Proposed Lighting'!AH54&gt;8759,"IPC_8760","Commercial-All Com-IntLight")))</f>
        <v>IPC_8760</v>
      </c>
      <c r="C57" s="96" t="str">
        <f>IF(OR('Proposed Lighting'!DD54="Standard Incentive",'Proposed Lighting'!DD54="Non-Standard Incentive"),"Yes",IF(AND(IF(ISNUMBER(SEARCH("controls",'Proposed Lighting'!T54)),"True","False")="False",'Proposed Lighting'!DD54="Submit Control as Non-Standard"),"Yes","No"))</f>
        <v>No</v>
      </c>
      <c r="D57" s="1403">
        <f>'Proposed Lighting'!CV54-Q57</f>
        <v>0</v>
      </c>
      <c r="E57" s="143">
        <f>'Proposed Lighting'!T54</f>
        <v>0</v>
      </c>
      <c r="F57" s="143">
        <f>'Proposed Lighting'!F54</f>
        <v>0</v>
      </c>
      <c r="G57" s="96" t="s">
        <v>242</v>
      </c>
      <c r="H57" s="142" t="str">
        <f>'Proposed Lighting'!CP54</f>
        <v/>
      </c>
      <c r="I57" s="98">
        <v>1</v>
      </c>
      <c r="J57" s="142">
        <f>'Proposed Lighting'!AA54</f>
        <v>0</v>
      </c>
      <c r="K57" s="142" t="str">
        <f>IF(ISNUMBER(SEARCH("-C",'Proposed Lighting'!M54)),'Proposed Lighting'!AH54*0.9,'Proposed Lighting'!AH54)</f>
        <v/>
      </c>
      <c r="L57" s="142">
        <f>IFERROR(IF(OR('Proposed Lighting'!BC54=22,'Proposed Lighting'!BC54=44),1-25%,IF(OR('Proposed Lighting'!BC54=23,'Proposed Lighting'!BC54=46),1-30%,IF(OR('Proposed Lighting'!BC54=29,'Proposed Lighting'!BC54=39,'Proposed Lighting'!BC54=49),1-35%,IF(OR('Proposed Lighting'!BC54=24,'Proposed Lighting'!BC54=48),1-50%,IF(AND(ISNUMBER(SEARCH("-C",'Proposed Lighting'!M54)),'Proposed Lighting'!AU54=2),90%,100%)))))*'Proposed Lighting'!AH54,0)</f>
        <v>0</v>
      </c>
      <c r="M57" s="87">
        <f t="shared" si="0"/>
        <v>0</v>
      </c>
      <c r="N57" s="87">
        <f>IFERROR(IF('Proposed Lighting'!AU54=1,0,'Proposed Lighting'!AO54),0)</f>
        <v>0</v>
      </c>
      <c r="O57" s="88">
        <f>IF('Proposed Lighting'!AU54=1,0,'Proposed Lighting'!AP54)</f>
        <v>0</v>
      </c>
      <c r="P57" s="87">
        <f t="shared" si="1"/>
        <v>0</v>
      </c>
      <c r="Q57" s="98">
        <f t="shared" si="8"/>
        <v>0</v>
      </c>
      <c r="R57" s="99">
        <f>IFERROR(IF('Proposed Lighting'!T54="Lighting controls only",0,ROUND(IF('Proposed Lighting'!AQ54&lt;'Proposed Lighting'!AR54,0,IF('Proposed Lighting'!AH54=0,0,IF('Proposed Lighting'!BV54&gt;0,'Proposed Lighting'!BV54,IF('Proposed Lighting'!CL54=0,MIN('Proposed Lighting'!CN54:CO54),IF('Proposed Lighting'!CX54&gt;0,'Proposed Lighting'!CX54*'Proposed Lighting'!AA54,0))))),2)),0)</f>
        <v>0</v>
      </c>
      <c r="S57" s="99">
        <f>IF('Proposed Lighting'!AJ54&gt;0,'Proposed Lighting'!AJ54*J57,'Proposed Lighting'!$AU$328*J57)</f>
        <v>0</v>
      </c>
      <c r="T57" s="602">
        <f t="shared" si="2"/>
        <v>0</v>
      </c>
      <c r="U57" s="100"/>
      <c r="V57" s="99">
        <f t="shared" si="9"/>
        <v>0</v>
      </c>
      <c r="W57" s="99">
        <f t="shared" si="10"/>
        <v>0</v>
      </c>
      <c r="X57" s="99">
        <f t="shared" si="3"/>
        <v>0</v>
      </c>
      <c r="Y57" s="99"/>
      <c r="Z57" s="99">
        <f t="shared" si="11"/>
        <v>0</v>
      </c>
      <c r="AA57" s="99"/>
      <c r="AB57" s="99">
        <f t="shared" si="4"/>
        <v>0</v>
      </c>
      <c r="AC57" s="101" t="str">
        <f t="shared" si="5"/>
        <v/>
      </c>
      <c r="AD57" s="101" t="str">
        <f t="shared" si="6"/>
        <v/>
      </c>
      <c r="AE57" s="101" t="str">
        <f t="shared" si="7"/>
        <v/>
      </c>
      <c r="AF57" s="72"/>
      <c r="AG57" s="98">
        <f>IFERROR(IF($AV57="No",0,IF($AV57="yes",Summary!Q57,"")),"")</f>
        <v>0</v>
      </c>
      <c r="AH57" s="99">
        <f>IFERROR(IF($AV57="No",0,IF($AV57="yes",Summary!R57,"")),"")</f>
        <v>0</v>
      </c>
      <c r="AI57" s="99">
        <f>IFERROR(IF($AV57="No",0,IF($AV57="yes",Summary!S57,"")),"")</f>
        <v>0</v>
      </c>
      <c r="AJ57" s="602">
        <f>IFERROR(IF($AV57="No",0,IF($AV57="yes",Summary!T57,"")),"")</f>
        <v>0</v>
      </c>
      <c r="AK57" s="100">
        <f>IFERROR(IF($AV57="No",0,IF($AV57="yes",Summary!U57,"")),"")</f>
        <v>0</v>
      </c>
      <c r="AL57" s="99">
        <f>IFERROR(IF($AV57="No",0,IF($AV57="yes",Summary!V57,"")),"")</f>
        <v>0</v>
      </c>
      <c r="AM57" s="99">
        <f>IFERROR(IF($AV57="No",0,IF($AV57="yes",Summary!W57,"")),"")</f>
        <v>0</v>
      </c>
      <c r="AN57" s="99">
        <f>IFERROR(IF($AV57="No",0,IF($AV57="yes",Summary!X57,"")),"")</f>
        <v>0</v>
      </c>
      <c r="AO57" s="99">
        <f>IFERROR(IF($AV57="No",0,IF($AV57="yes",Summary!Y57+Z57,"")),"")</f>
        <v>0</v>
      </c>
      <c r="AP57" s="99">
        <f>IFERROR(IF($AV57="No",0,IF($AV57="yes",Summary!AB57,"")),"")</f>
        <v>0</v>
      </c>
      <c r="AQ57" s="101" t="str">
        <f t="shared" si="12"/>
        <v/>
      </c>
      <c r="AR57" s="101" t="str">
        <f t="shared" si="13"/>
        <v/>
      </c>
      <c r="AS57" s="101" t="str">
        <f t="shared" si="14"/>
        <v/>
      </c>
      <c r="AT57" s="96" t="s">
        <v>357</v>
      </c>
      <c r="AV57" t="str">
        <f>IF('Proposed Lighting'!CN54&gt;0,"No","Yes")</f>
        <v>Yes</v>
      </c>
    </row>
    <row r="58" spans="1:48" ht="34.5" customHeight="1" outlineLevel="1">
      <c r="A58" s="96" t="s">
        <v>358</v>
      </c>
      <c r="B58" s="96" t="str">
        <f>IF(ISNUMBER(SEARCH("case",E58)),"COM_MISC_REFR_ALL_UNKN1991",IF('Proposed Lighting'!AU55=3,"Commercial-All Com-ExtLight",IF('Proposed Lighting'!AH55&gt;8759,"IPC_8760","Commercial-All Com-IntLight")))</f>
        <v>IPC_8760</v>
      </c>
      <c r="C58" s="96" t="str">
        <f>IF(OR('Proposed Lighting'!DD55="Standard Incentive",'Proposed Lighting'!DD55="Non-Standard Incentive"),"Yes",IF(AND(IF(ISNUMBER(SEARCH("controls",'Proposed Lighting'!T55)),"True","False")="False",'Proposed Lighting'!DD55="Submit Control as Non-Standard"),"Yes","No"))</f>
        <v>No</v>
      </c>
      <c r="D58" s="1403">
        <f>'Proposed Lighting'!CV55-Q58</f>
        <v>0</v>
      </c>
      <c r="E58" s="143">
        <f>'Proposed Lighting'!T55</f>
        <v>0</v>
      </c>
      <c r="F58" s="143">
        <f>'Proposed Lighting'!F55</f>
        <v>0</v>
      </c>
      <c r="G58" s="96" t="s">
        <v>242</v>
      </c>
      <c r="H58" s="142" t="str">
        <f>'Proposed Lighting'!CP55</f>
        <v/>
      </c>
      <c r="I58" s="98">
        <v>1</v>
      </c>
      <c r="J58" s="142">
        <f>'Proposed Lighting'!AA55</f>
        <v>0</v>
      </c>
      <c r="K58" s="142" t="str">
        <f>IF(ISNUMBER(SEARCH("-C",'Proposed Lighting'!M55)),'Proposed Lighting'!AH55*0.9,'Proposed Lighting'!AH55)</f>
        <v/>
      </c>
      <c r="L58" s="142">
        <f>IFERROR(IF(OR('Proposed Lighting'!BC55=22,'Proposed Lighting'!BC55=44),1-25%,IF(OR('Proposed Lighting'!BC55=23,'Proposed Lighting'!BC55=46),1-30%,IF(OR('Proposed Lighting'!BC55=29,'Proposed Lighting'!BC55=39,'Proposed Lighting'!BC55=49),1-35%,IF(OR('Proposed Lighting'!BC55=24,'Proposed Lighting'!BC55=48),1-50%,IF(AND(ISNUMBER(SEARCH("-C",'Proposed Lighting'!M55)),'Proposed Lighting'!AU55=2),90%,100%)))))*'Proposed Lighting'!AH55,0)</f>
        <v>0</v>
      </c>
      <c r="M58" s="87">
        <f t="shared" si="0"/>
        <v>0</v>
      </c>
      <c r="N58" s="87">
        <f>IFERROR(IF('Proposed Lighting'!AU55=1,0,'Proposed Lighting'!AO55),0)</f>
        <v>0</v>
      </c>
      <c r="O58" s="88">
        <f>IF('Proposed Lighting'!AU55=1,0,'Proposed Lighting'!AP55)</f>
        <v>0</v>
      </c>
      <c r="P58" s="87">
        <f t="shared" si="1"/>
        <v>0</v>
      </c>
      <c r="Q58" s="98">
        <f t="shared" si="8"/>
        <v>0</v>
      </c>
      <c r="R58" s="99">
        <f>IFERROR(IF('Proposed Lighting'!T55="Lighting controls only",0,ROUND(IF('Proposed Lighting'!AQ55&lt;'Proposed Lighting'!AR55,0,IF('Proposed Lighting'!AH55=0,0,IF('Proposed Lighting'!BV55&gt;0,'Proposed Lighting'!BV55,IF('Proposed Lighting'!CL55=0,MIN('Proposed Lighting'!CN55:CO55),IF('Proposed Lighting'!CX55&gt;0,'Proposed Lighting'!CX55*'Proposed Lighting'!AA55,0))))),2)),0)</f>
        <v>0</v>
      </c>
      <c r="S58" s="99">
        <f>IF('Proposed Lighting'!AJ55&gt;0,'Proposed Lighting'!AJ55*J58,'Proposed Lighting'!$AU$328*J58)</f>
        <v>0</v>
      </c>
      <c r="T58" s="602">
        <f t="shared" si="2"/>
        <v>0</v>
      </c>
      <c r="U58" s="100"/>
      <c r="V58" s="99">
        <f t="shared" si="9"/>
        <v>0</v>
      </c>
      <c r="W58" s="99">
        <f t="shared" si="10"/>
        <v>0</v>
      </c>
      <c r="X58" s="99">
        <f t="shared" si="3"/>
        <v>0</v>
      </c>
      <c r="Y58" s="99"/>
      <c r="Z58" s="99">
        <f t="shared" si="11"/>
        <v>0</v>
      </c>
      <c r="AA58" s="99"/>
      <c r="AB58" s="99">
        <f t="shared" si="4"/>
        <v>0</v>
      </c>
      <c r="AC58" s="101" t="str">
        <f t="shared" si="5"/>
        <v/>
      </c>
      <c r="AD58" s="101" t="str">
        <f t="shared" si="6"/>
        <v/>
      </c>
      <c r="AE58" s="101" t="str">
        <f t="shared" si="7"/>
        <v/>
      </c>
      <c r="AF58" s="72"/>
      <c r="AG58" s="98">
        <f>IFERROR(IF($AV58="No",0,IF($AV58="yes",Summary!Q58,"")),"")</f>
        <v>0</v>
      </c>
      <c r="AH58" s="99">
        <f>IFERROR(IF($AV58="No",0,IF($AV58="yes",Summary!R58,"")),"")</f>
        <v>0</v>
      </c>
      <c r="AI58" s="99">
        <f>IFERROR(IF($AV58="No",0,IF($AV58="yes",Summary!S58,"")),"")</f>
        <v>0</v>
      </c>
      <c r="AJ58" s="602">
        <f>IFERROR(IF($AV58="No",0,IF($AV58="yes",Summary!T58,"")),"")</f>
        <v>0</v>
      </c>
      <c r="AK58" s="100">
        <f>IFERROR(IF($AV58="No",0,IF($AV58="yes",Summary!U58,"")),"")</f>
        <v>0</v>
      </c>
      <c r="AL58" s="99">
        <f>IFERROR(IF($AV58="No",0,IF($AV58="yes",Summary!V58,"")),"")</f>
        <v>0</v>
      </c>
      <c r="AM58" s="99">
        <f>IFERROR(IF($AV58="No",0,IF($AV58="yes",Summary!W58,"")),"")</f>
        <v>0</v>
      </c>
      <c r="AN58" s="99">
        <f>IFERROR(IF($AV58="No",0,IF($AV58="yes",Summary!X58,"")),"")</f>
        <v>0</v>
      </c>
      <c r="AO58" s="99">
        <f>IFERROR(IF($AV58="No",0,IF($AV58="yes",Summary!Y58+Z58,"")),"")</f>
        <v>0</v>
      </c>
      <c r="AP58" s="99">
        <f>IFERROR(IF($AV58="No",0,IF($AV58="yes",Summary!AB58,"")),"")</f>
        <v>0</v>
      </c>
      <c r="AQ58" s="101" t="str">
        <f t="shared" si="12"/>
        <v/>
      </c>
      <c r="AR58" s="101" t="str">
        <f t="shared" si="13"/>
        <v/>
      </c>
      <c r="AS58" s="101" t="str">
        <f t="shared" si="14"/>
        <v/>
      </c>
      <c r="AT58" s="96" t="s">
        <v>358</v>
      </c>
      <c r="AV58" t="str">
        <f>IF('Proposed Lighting'!CN55&gt;0,"No","Yes")</f>
        <v>Yes</v>
      </c>
    </row>
    <row r="59" spans="1:48" ht="34.5" customHeight="1" outlineLevel="1">
      <c r="A59" s="96" t="s">
        <v>359</v>
      </c>
      <c r="B59" s="96" t="str">
        <f>IF(ISNUMBER(SEARCH("case",E59)),"COM_MISC_REFR_ALL_UNKN1991",IF('Proposed Lighting'!AU56=3,"Commercial-All Com-ExtLight",IF('Proposed Lighting'!AH56&gt;8759,"IPC_8760","Commercial-All Com-IntLight")))</f>
        <v>IPC_8760</v>
      </c>
      <c r="C59" s="96" t="str">
        <f>IF(OR('Proposed Lighting'!DD56="Standard Incentive",'Proposed Lighting'!DD56="Non-Standard Incentive"),"Yes",IF(AND(IF(ISNUMBER(SEARCH("controls",'Proposed Lighting'!T56)),"True","False")="False",'Proposed Lighting'!DD56="Submit Control as Non-Standard"),"Yes","No"))</f>
        <v>No</v>
      </c>
      <c r="D59" s="1403">
        <f>'Proposed Lighting'!CV56-Q59</f>
        <v>0</v>
      </c>
      <c r="E59" s="143">
        <f>'Proposed Lighting'!T56</f>
        <v>0</v>
      </c>
      <c r="F59" s="143">
        <f>'Proposed Lighting'!F56</f>
        <v>0</v>
      </c>
      <c r="G59" s="96" t="s">
        <v>242</v>
      </c>
      <c r="H59" s="142" t="str">
        <f>'Proposed Lighting'!CP56</f>
        <v/>
      </c>
      <c r="I59" s="98">
        <v>1</v>
      </c>
      <c r="J59" s="142">
        <f>'Proposed Lighting'!AA56</f>
        <v>0</v>
      </c>
      <c r="K59" s="142" t="str">
        <f>IF(ISNUMBER(SEARCH("-C",'Proposed Lighting'!M56)),'Proposed Lighting'!AH56*0.9,'Proposed Lighting'!AH56)</f>
        <v/>
      </c>
      <c r="L59" s="142">
        <f>IFERROR(IF(OR('Proposed Lighting'!BC56=22,'Proposed Lighting'!BC56=44),1-25%,IF(OR('Proposed Lighting'!BC56=23,'Proposed Lighting'!BC56=46),1-30%,IF(OR('Proposed Lighting'!BC56=29,'Proposed Lighting'!BC56=39,'Proposed Lighting'!BC56=49),1-35%,IF(OR('Proposed Lighting'!BC56=24,'Proposed Lighting'!BC56=48),1-50%,IF(AND(ISNUMBER(SEARCH("-C",'Proposed Lighting'!M56)),'Proposed Lighting'!AU56=2),90%,100%)))))*'Proposed Lighting'!AH56,0)</f>
        <v>0</v>
      </c>
      <c r="M59" s="87">
        <f t="shared" si="0"/>
        <v>0</v>
      </c>
      <c r="N59" s="87">
        <f>IFERROR(IF('Proposed Lighting'!AU56=1,0,'Proposed Lighting'!AO56),0)</f>
        <v>0</v>
      </c>
      <c r="O59" s="88">
        <f>IF('Proposed Lighting'!AU56=1,0,'Proposed Lighting'!AP56)</f>
        <v>0</v>
      </c>
      <c r="P59" s="87">
        <f t="shared" si="1"/>
        <v>0</v>
      </c>
      <c r="Q59" s="98">
        <f t="shared" si="8"/>
        <v>0</v>
      </c>
      <c r="R59" s="99">
        <f>IFERROR(IF('Proposed Lighting'!T56="Lighting controls only",0,ROUND(IF('Proposed Lighting'!AQ56&lt;'Proposed Lighting'!AR56,0,IF('Proposed Lighting'!AH56=0,0,IF('Proposed Lighting'!BV56&gt;0,'Proposed Lighting'!BV56,IF('Proposed Lighting'!CL56=0,MIN('Proposed Lighting'!CN56:CO56),IF('Proposed Lighting'!CX56&gt;0,'Proposed Lighting'!CX56*'Proposed Lighting'!AA56,0))))),2)),0)</f>
        <v>0</v>
      </c>
      <c r="S59" s="99">
        <f>IF('Proposed Lighting'!AJ56&gt;0,'Proposed Lighting'!AJ56*J59,'Proposed Lighting'!$AU$328*J59)</f>
        <v>0</v>
      </c>
      <c r="T59" s="602">
        <f t="shared" si="2"/>
        <v>0</v>
      </c>
      <c r="U59" s="100"/>
      <c r="V59" s="99">
        <f t="shared" si="9"/>
        <v>0</v>
      </c>
      <c r="W59" s="99">
        <f t="shared" si="10"/>
        <v>0</v>
      </c>
      <c r="X59" s="99">
        <f t="shared" si="3"/>
        <v>0</v>
      </c>
      <c r="Y59" s="99"/>
      <c r="Z59" s="99">
        <f t="shared" si="11"/>
        <v>0</v>
      </c>
      <c r="AA59" s="99"/>
      <c r="AB59" s="99">
        <f t="shared" si="4"/>
        <v>0</v>
      </c>
      <c r="AC59" s="101" t="str">
        <f t="shared" si="5"/>
        <v/>
      </c>
      <c r="AD59" s="101" t="str">
        <f t="shared" si="6"/>
        <v/>
      </c>
      <c r="AE59" s="101" t="str">
        <f t="shared" si="7"/>
        <v/>
      </c>
      <c r="AF59" s="72"/>
      <c r="AG59" s="98">
        <f>IFERROR(IF($AV59="No",0,IF($AV59="yes",Summary!Q59,"")),"")</f>
        <v>0</v>
      </c>
      <c r="AH59" s="99">
        <f>IFERROR(IF($AV59="No",0,IF($AV59="yes",Summary!R59,"")),"")</f>
        <v>0</v>
      </c>
      <c r="AI59" s="99">
        <f>IFERROR(IF($AV59="No",0,IF($AV59="yes",Summary!S59,"")),"")</f>
        <v>0</v>
      </c>
      <c r="AJ59" s="602">
        <f>IFERROR(IF($AV59="No",0,IF($AV59="yes",Summary!T59,"")),"")</f>
        <v>0</v>
      </c>
      <c r="AK59" s="100">
        <f>IFERROR(IF($AV59="No",0,IF($AV59="yes",Summary!U59,"")),"")</f>
        <v>0</v>
      </c>
      <c r="AL59" s="99">
        <f>IFERROR(IF($AV59="No",0,IF($AV59="yes",Summary!V59,"")),"")</f>
        <v>0</v>
      </c>
      <c r="AM59" s="99">
        <f>IFERROR(IF($AV59="No",0,IF($AV59="yes",Summary!W59,"")),"")</f>
        <v>0</v>
      </c>
      <c r="AN59" s="99">
        <f>IFERROR(IF($AV59="No",0,IF($AV59="yes",Summary!X59,"")),"")</f>
        <v>0</v>
      </c>
      <c r="AO59" s="99">
        <f>IFERROR(IF($AV59="No",0,IF($AV59="yes",Summary!Y59+Z59,"")),"")</f>
        <v>0</v>
      </c>
      <c r="AP59" s="99">
        <f>IFERROR(IF($AV59="No",0,IF($AV59="yes",Summary!AB59,"")),"")</f>
        <v>0</v>
      </c>
      <c r="AQ59" s="101" t="str">
        <f t="shared" si="12"/>
        <v/>
      </c>
      <c r="AR59" s="101" t="str">
        <f t="shared" si="13"/>
        <v/>
      </c>
      <c r="AS59" s="101" t="str">
        <f t="shared" si="14"/>
        <v/>
      </c>
      <c r="AT59" s="96" t="s">
        <v>359</v>
      </c>
      <c r="AV59" t="str">
        <f>IF('Proposed Lighting'!CN56&gt;0,"No","Yes")</f>
        <v>Yes</v>
      </c>
    </row>
    <row r="60" spans="1:48" ht="34.5" customHeight="1" outlineLevel="1">
      <c r="A60" s="96" t="s">
        <v>360</v>
      </c>
      <c r="B60" s="96" t="str">
        <f>IF(ISNUMBER(SEARCH("case",E60)),"COM_MISC_REFR_ALL_UNKN1991",IF('Proposed Lighting'!AU57=3,"Commercial-All Com-ExtLight",IF('Proposed Lighting'!AH57&gt;8759,"IPC_8760","Commercial-All Com-IntLight")))</f>
        <v>IPC_8760</v>
      </c>
      <c r="C60" s="96" t="str">
        <f>IF(OR('Proposed Lighting'!DD57="Standard Incentive",'Proposed Lighting'!DD57="Non-Standard Incentive"),"Yes",IF(AND(IF(ISNUMBER(SEARCH("controls",'Proposed Lighting'!T57)),"True","False")="False",'Proposed Lighting'!DD57="Submit Control as Non-Standard"),"Yes","No"))</f>
        <v>No</v>
      </c>
      <c r="D60" s="1403">
        <f>'Proposed Lighting'!CV57-Q60</f>
        <v>0</v>
      </c>
      <c r="E60" s="143">
        <f>'Proposed Lighting'!T57</f>
        <v>0</v>
      </c>
      <c r="F60" s="143">
        <f>'Proposed Lighting'!F57</f>
        <v>0</v>
      </c>
      <c r="G60" s="96" t="s">
        <v>242</v>
      </c>
      <c r="H60" s="142" t="str">
        <f>'Proposed Lighting'!CP57</f>
        <v/>
      </c>
      <c r="I60" s="98">
        <v>1</v>
      </c>
      <c r="J60" s="142">
        <f>'Proposed Lighting'!AA57</f>
        <v>0</v>
      </c>
      <c r="K60" s="142" t="str">
        <f>IF(ISNUMBER(SEARCH("-C",'Proposed Lighting'!M57)),'Proposed Lighting'!AH57*0.9,'Proposed Lighting'!AH57)</f>
        <v/>
      </c>
      <c r="L60" s="142">
        <f>IFERROR(IF(OR('Proposed Lighting'!BC57=22,'Proposed Lighting'!BC57=44),1-25%,IF(OR('Proposed Lighting'!BC57=23,'Proposed Lighting'!BC57=46),1-30%,IF(OR('Proposed Lighting'!BC57=29,'Proposed Lighting'!BC57=39,'Proposed Lighting'!BC57=49),1-35%,IF(OR('Proposed Lighting'!BC57=24,'Proposed Lighting'!BC57=48),1-50%,IF(AND(ISNUMBER(SEARCH("-C",'Proposed Lighting'!M57)),'Proposed Lighting'!AU57=2),90%,100%)))))*'Proposed Lighting'!AH57,0)</f>
        <v>0</v>
      </c>
      <c r="M60" s="87">
        <f t="shared" si="0"/>
        <v>0</v>
      </c>
      <c r="N60" s="87">
        <f>IFERROR(IF('Proposed Lighting'!AU57=1,0,'Proposed Lighting'!AO57),0)</f>
        <v>0</v>
      </c>
      <c r="O60" s="88">
        <f>IF('Proposed Lighting'!AU57=1,0,'Proposed Lighting'!AP57)</f>
        <v>0</v>
      </c>
      <c r="P60" s="87">
        <f t="shared" si="1"/>
        <v>0</v>
      </c>
      <c r="Q60" s="98">
        <f t="shared" si="8"/>
        <v>0</v>
      </c>
      <c r="R60" s="99">
        <f>IFERROR(IF('Proposed Lighting'!T57="Lighting controls only",0,ROUND(IF('Proposed Lighting'!AQ57&lt;'Proposed Lighting'!AR57,0,IF('Proposed Lighting'!AH57=0,0,IF('Proposed Lighting'!BV57&gt;0,'Proposed Lighting'!BV57,IF('Proposed Lighting'!CL57=0,MIN('Proposed Lighting'!CN57:CO57),IF('Proposed Lighting'!CX57&gt;0,'Proposed Lighting'!CX57*'Proposed Lighting'!AA57,0))))),2)),0)</f>
        <v>0</v>
      </c>
      <c r="S60" s="99">
        <f>IF('Proposed Lighting'!AJ57&gt;0,'Proposed Lighting'!AJ57*J60,'Proposed Lighting'!$AU$328*J60)</f>
        <v>0</v>
      </c>
      <c r="T60" s="602">
        <f t="shared" si="2"/>
        <v>0</v>
      </c>
      <c r="U60" s="100"/>
      <c r="V60" s="99">
        <f t="shared" si="9"/>
        <v>0</v>
      </c>
      <c r="W60" s="99">
        <f t="shared" si="10"/>
        <v>0</v>
      </c>
      <c r="X60" s="99">
        <f t="shared" si="3"/>
        <v>0</v>
      </c>
      <c r="Y60" s="99"/>
      <c r="Z60" s="99">
        <f t="shared" si="11"/>
        <v>0</v>
      </c>
      <c r="AA60" s="99"/>
      <c r="AB60" s="99">
        <f t="shared" si="4"/>
        <v>0</v>
      </c>
      <c r="AC60" s="101" t="str">
        <f t="shared" si="5"/>
        <v/>
      </c>
      <c r="AD60" s="101" t="str">
        <f t="shared" si="6"/>
        <v/>
      </c>
      <c r="AE60" s="101" t="str">
        <f t="shared" si="7"/>
        <v/>
      </c>
      <c r="AF60" s="72"/>
      <c r="AG60" s="98">
        <f>IFERROR(IF($AV60="No",0,IF($AV60="yes",Summary!Q60,"")),"")</f>
        <v>0</v>
      </c>
      <c r="AH60" s="99">
        <f>IFERROR(IF($AV60="No",0,IF($AV60="yes",Summary!R60,"")),"")</f>
        <v>0</v>
      </c>
      <c r="AI60" s="99">
        <f>IFERROR(IF($AV60="No",0,IF($AV60="yes",Summary!S60,"")),"")</f>
        <v>0</v>
      </c>
      <c r="AJ60" s="602">
        <f>IFERROR(IF($AV60="No",0,IF($AV60="yes",Summary!T60,"")),"")</f>
        <v>0</v>
      </c>
      <c r="AK60" s="100">
        <f>IFERROR(IF($AV60="No",0,IF($AV60="yes",Summary!U60,"")),"")</f>
        <v>0</v>
      </c>
      <c r="AL60" s="99">
        <f>IFERROR(IF($AV60="No",0,IF($AV60="yes",Summary!V60,"")),"")</f>
        <v>0</v>
      </c>
      <c r="AM60" s="99">
        <f>IFERROR(IF($AV60="No",0,IF($AV60="yes",Summary!W60,"")),"")</f>
        <v>0</v>
      </c>
      <c r="AN60" s="99">
        <f>IFERROR(IF($AV60="No",0,IF($AV60="yes",Summary!X60,"")),"")</f>
        <v>0</v>
      </c>
      <c r="AO60" s="99">
        <f>IFERROR(IF($AV60="No",0,IF($AV60="yes",Summary!Y60+Z60,"")),"")</f>
        <v>0</v>
      </c>
      <c r="AP60" s="99">
        <f>IFERROR(IF($AV60="No",0,IF($AV60="yes",Summary!AB60,"")),"")</f>
        <v>0</v>
      </c>
      <c r="AQ60" s="101" t="str">
        <f t="shared" si="12"/>
        <v/>
      </c>
      <c r="AR60" s="101" t="str">
        <f t="shared" si="13"/>
        <v/>
      </c>
      <c r="AS60" s="101" t="str">
        <f t="shared" si="14"/>
        <v/>
      </c>
      <c r="AT60" s="96" t="s">
        <v>360</v>
      </c>
      <c r="AV60" t="str">
        <f>IF('Proposed Lighting'!CN57&gt;0,"No","Yes")</f>
        <v>Yes</v>
      </c>
    </row>
    <row r="61" spans="1:48" ht="34.5" customHeight="1" outlineLevel="1">
      <c r="A61" s="96" t="s">
        <v>361</v>
      </c>
      <c r="B61" s="96" t="str">
        <f>IF(ISNUMBER(SEARCH("case",E61)),"COM_MISC_REFR_ALL_UNKN1991",IF('Proposed Lighting'!AU58=3,"Commercial-All Com-ExtLight",IF('Proposed Lighting'!AH58&gt;8759,"IPC_8760","Commercial-All Com-IntLight")))</f>
        <v>IPC_8760</v>
      </c>
      <c r="C61" s="96" t="str">
        <f>IF(OR('Proposed Lighting'!DD58="Standard Incentive",'Proposed Lighting'!DD58="Non-Standard Incentive"),"Yes",IF(AND(IF(ISNUMBER(SEARCH("controls",'Proposed Lighting'!T58)),"True","False")="False",'Proposed Lighting'!DD58="Submit Control as Non-Standard"),"Yes","No"))</f>
        <v>No</v>
      </c>
      <c r="D61" s="1403">
        <f>'Proposed Lighting'!CV58-Q61</f>
        <v>0</v>
      </c>
      <c r="E61" s="143">
        <f>'Proposed Lighting'!T58</f>
        <v>0</v>
      </c>
      <c r="F61" s="143">
        <f>'Proposed Lighting'!F58</f>
        <v>0</v>
      </c>
      <c r="G61" s="96" t="s">
        <v>242</v>
      </c>
      <c r="H61" s="142" t="str">
        <f>'Proposed Lighting'!CP58</f>
        <v/>
      </c>
      <c r="I61" s="98">
        <v>1</v>
      </c>
      <c r="J61" s="142">
        <f>'Proposed Lighting'!AA58</f>
        <v>0</v>
      </c>
      <c r="K61" s="142" t="str">
        <f>IF(ISNUMBER(SEARCH("-C",'Proposed Lighting'!M58)),'Proposed Lighting'!AH58*0.9,'Proposed Lighting'!AH58)</f>
        <v/>
      </c>
      <c r="L61" s="142">
        <f>IFERROR(IF(OR('Proposed Lighting'!BC58=22,'Proposed Lighting'!BC58=44),1-25%,IF(OR('Proposed Lighting'!BC58=23,'Proposed Lighting'!BC58=46),1-30%,IF(OR('Proposed Lighting'!BC58=29,'Proposed Lighting'!BC58=39,'Proposed Lighting'!BC58=49),1-35%,IF(OR('Proposed Lighting'!BC58=24,'Proposed Lighting'!BC58=48),1-50%,IF(AND(ISNUMBER(SEARCH("-C",'Proposed Lighting'!M58)),'Proposed Lighting'!AU58=2),90%,100%)))))*'Proposed Lighting'!AH58,0)</f>
        <v>0</v>
      </c>
      <c r="M61" s="87">
        <f t="shared" si="0"/>
        <v>0</v>
      </c>
      <c r="N61" s="87">
        <f>IFERROR(IF('Proposed Lighting'!AU58=1,0,'Proposed Lighting'!AO58),0)</f>
        <v>0</v>
      </c>
      <c r="O61" s="88">
        <f>IF('Proposed Lighting'!AU58=1,0,'Proposed Lighting'!AP58)</f>
        <v>0</v>
      </c>
      <c r="P61" s="87">
        <f t="shared" si="1"/>
        <v>0</v>
      </c>
      <c r="Q61" s="98">
        <f t="shared" si="8"/>
        <v>0</v>
      </c>
      <c r="R61" s="99">
        <f>IFERROR(IF('Proposed Lighting'!T58="Lighting controls only",0,ROUND(IF('Proposed Lighting'!AQ58&lt;'Proposed Lighting'!AR58,0,IF('Proposed Lighting'!AH58=0,0,IF('Proposed Lighting'!BV58&gt;0,'Proposed Lighting'!BV58,IF('Proposed Lighting'!CL58=0,MIN('Proposed Lighting'!CN58:CO58),IF('Proposed Lighting'!CX58&gt;0,'Proposed Lighting'!CX58*'Proposed Lighting'!AA58,0))))),2)),0)</f>
        <v>0</v>
      </c>
      <c r="S61" s="99">
        <f>IF('Proposed Lighting'!AJ58&gt;0,'Proposed Lighting'!AJ58*J61,'Proposed Lighting'!$AU$328*J61)</f>
        <v>0</v>
      </c>
      <c r="T61" s="602">
        <f t="shared" si="2"/>
        <v>0</v>
      </c>
      <c r="U61" s="100"/>
      <c r="V61" s="99">
        <f t="shared" si="9"/>
        <v>0</v>
      </c>
      <c r="W61" s="99">
        <f t="shared" si="10"/>
        <v>0</v>
      </c>
      <c r="X61" s="99">
        <f t="shared" si="3"/>
        <v>0</v>
      </c>
      <c r="Y61" s="99"/>
      <c r="Z61" s="99">
        <f t="shared" si="11"/>
        <v>0</v>
      </c>
      <c r="AA61" s="99"/>
      <c r="AB61" s="99">
        <f t="shared" si="4"/>
        <v>0</v>
      </c>
      <c r="AC61" s="101" t="str">
        <f t="shared" si="5"/>
        <v/>
      </c>
      <c r="AD61" s="101" t="str">
        <f t="shared" si="6"/>
        <v/>
      </c>
      <c r="AE61" s="101" t="str">
        <f t="shared" si="7"/>
        <v/>
      </c>
      <c r="AF61" s="72"/>
      <c r="AG61" s="98">
        <f>IFERROR(IF($AV61="No",0,IF($AV61="yes",Summary!Q61,"")),"")</f>
        <v>0</v>
      </c>
      <c r="AH61" s="99">
        <f>IFERROR(IF($AV61="No",0,IF($AV61="yes",Summary!R61,"")),"")</f>
        <v>0</v>
      </c>
      <c r="AI61" s="99">
        <f>IFERROR(IF($AV61="No",0,IF($AV61="yes",Summary!S61,"")),"")</f>
        <v>0</v>
      </c>
      <c r="AJ61" s="602">
        <f>IFERROR(IF($AV61="No",0,IF($AV61="yes",Summary!T61,"")),"")</f>
        <v>0</v>
      </c>
      <c r="AK61" s="100">
        <f>IFERROR(IF($AV61="No",0,IF($AV61="yes",Summary!U61,"")),"")</f>
        <v>0</v>
      </c>
      <c r="AL61" s="99">
        <f>IFERROR(IF($AV61="No",0,IF($AV61="yes",Summary!V61,"")),"")</f>
        <v>0</v>
      </c>
      <c r="AM61" s="99">
        <f>IFERROR(IF($AV61="No",0,IF($AV61="yes",Summary!W61,"")),"")</f>
        <v>0</v>
      </c>
      <c r="AN61" s="99">
        <f>IFERROR(IF($AV61="No",0,IF($AV61="yes",Summary!X61,"")),"")</f>
        <v>0</v>
      </c>
      <c r="AO61" s="99">
        <f>IFERROR(IF($AV61="No",0,IF($AV61="yes",Summary!Y61+Z61,"")),"")</f>
        <v>0</v>
      </c>
      <c r="AP61" s="99">
        <f>IFERROR(IF($AV61="No",0,IF($AV61="yes",Summary!AB61,"")),"")</f>
        <v>0</v>
      </c>
      <c r="AQ61" s="101" t="str">
        <f t="shared" si="12"/>
        <v/>
      </c>
      <c r="AR61" s="101" t="str">
        <f t="shared" si="13"/>
        <v/>
      </c>
      <c r="AS61" s="101" t="str">
        <f t="shared" si="14"/>
        <v/>
      </c>
      <c r="AT61" s="96" t="s">
        <v>361</v>
      </c>
      <c r="AV61" t="str">
        <f>IF('Proposed Lighting'!CN58&gt;0,"No","Yes")</f>
        <v>Yes</v>
      </c>
    </row>
    <row r="62" spans="1:48" ht="34.5" customHeight="1" outlineLevel="1">
      <c r="A62" s="96" t="s">
        <v>362</v>
      </c>
      <c r="B62" s="96" t="str">
        <f>IF(ISNUMBER(SEARCH("case",E62)),"COM_MISC_REFR_ALL_UNKN1991",IF('Proposed Lighting'!AU59=3,"Commercial-All Com-ExtLight",IF('Proposed Lighting'!AH59&gt;8759,"IPC_8760","Commercial-All Com-IntLight")))</f>
        <v>IPC_8760</v>
      </c>
      <c r="C62" s="96" t="str">
        <f>IF(OR('Proposed Lighting'!DD59="Standard Incentive",'Proposed Lighting'!DD59="Non-Standard Incentive"),"Yes",IF(AND(IF(ISNUMBER(SEARCH("controls",'Proposed Lighting'!T59)),"True","False")="False",'Proposed Lighting'!DD59="Submit Control as Non-Standard"),"Yes","No"))</f>
        <v>No</v>
      </c>
      <c r="D62" s="1403">
        <f>'Proposed Lighting'!CV59-Q62</f>
        <v>0</v>
      </c>
      <c r="E62" s="143">
        <f>'Proposed Lighting'!T59</f>
        <v>0</v>
      </c>
      <c r="F62" s="143">
        <f>'Proposed Lighting'!F59</f>
        <v>0</v>
      </c>
      <c r="G62" s="96" t="s">
        <v>242</v>
      </c>
      <c r="H62" s="142" t="str">
        <f>'Proposed Lighting'!CP59</f>
        <v/>
      </c>
      <c r="I62" s="98">
        <v>1</v>
      </c>
      <c r="J62" s="142">
        <f>'Proposed Lighting'!AA59</f>
        <v>0</v>
      </c>
      <c r="K62" s="142" t="str">
        <f>IF(ISNUMBER(SEARCH("-C",'Proposed Lighting'!M59)),'Proposed Lighting'!AH59*0.9,'Proposed Lighting'!AH59)</f>
        <v/>
      </c>
      <c r="L62" s="142">
        <f>IFERROR(IF(OR('Proposed Lighting'!BC59=22,'Proposed Lighting'!BC59=44),1-25%,IF(OR('Proposed Lighting'!BC59=23,'Proposed Lighting'!BC59=46),1-30%,IF(OR('Proposed Lighting'!BC59=29,'Proposed Lighting'!BC59=39,'Proposed Lighting'!BC59=49),1-35%,IF(OR('Proposed Lighting'!BC59=24,'Proposed Lighting'!BC59=48),1-50%,IF(AND(ISNUMBER(SEARCH("-C",'Proposed Lighting'!M59)),'Proposed Lighting'!AU59=2),90%,100%)))))*'Proposed Lighting'!AH59,0)</f>
        <v>0</v>
      </c>
      <c r="M62" s="87">
        <f t="shared" si="0"/>
        <v>0</v>
      </c>
      <c r="N62" s="87">
        <f>IFERROR(IF('Proposed Lighting'!AU59=1,0,'Proposed Lighting'!AO59),0)</f>
        <v>0</v>
      </c>
      <c r="O62" s="88">
        <f>IF('Proposed Lighting'!AU59=1,0,'Proposed Lighting'!AP59)</f>
        <v>0</v>
      </c>
      <c r="P62" s="87">
        <f t="shared" si="1"/>
        <v>0</v>
      </c>
      <c r="Q62" s="98">
        <f t="shared" si="8"/>
        <v>0</v>
      </c>
      <c r="R62" s="99">
        <f>IFERROR(IF('Proposed Lighting'!T59="Lighting controls only",0,ROUND(IF('Proposed Lighting'!AQ59&lt;'Proposed Lighting'!AR59,0,IF('Proposed Lighting'!AH59=0,0,IF('Proposed Lighting'!BV59&gt;0,'Proposed Lighting'!BV59,IF('Proposed Lighting'!CL59=0,MIN('Proposed Lighting'!CN59:CO59),IF('Proposed Lighting'!CX59&gt;0,'Proposed Lighting'!CX59*'Proposed Lighting'!AA59,0))))),2)),0)</f>
        <v>0</v>
      </c>
      <c r="S62" s="99">
        <f>IF('Proposed Lighting'!AJ59&gt;0,'Proposed Lighting'!AJ59*J62,'Proposed Lighting'!$AU$328*J62)</f>
        <v>0</v>
      </c>
      <c r="T62" s="602">
        <f t="shared" si="2"/>
        <v>0</v>
      </c>
      <c r="U62" s="100"/>
      <c r="V62" s="99">
        <f t="shared" si="9"/>
        <v>0</v>
      </c>
      <c r="W62" s="99">
        <f t="shared" si="10"/>
        <v>0</v>
      </c>
      <c r="X62" s="99">
        <f t="shared" si="3"/>
        <v>0</v>
      </c>
      <c r="Y62" s="99"/>
      <c r="Z62" s="99">
        <f t="shared" si="11"/>
        <v>0</v>
      </c>
      <c r="AA62" s="99"/>
      <c r="AB62" s="99">
        <f t="shared" si="4"/>
        <v>0</v>
      </c>
      <c r="AC62" s="101" t="str">
        <f t="shared" si="5"/>
        <v/>
      </c>
      <c r="AD62" s="101" t="str">
        <f t="shared" si="6"/>
        <v/>
      </c>
      <c r="AE62" s="101" t="str">
        <f t="shared" si="7"/>
        <v/>
      </c>
      <c r="AF62" s="72"/>
      <c r="AG62" s="98">
        <f>IFERROR(IF($AV62="No",0,IF($AV62="yes",Summary!Q62,"")),"")</f>
        <v>0</v>
      </c>
      <c r="AH62" s="99">
        <f>IFERROR(IF($AV62="No",0,IF($AV62="yes",Summary!R62,"")),"")</f>
        <v>0</v>
      </c>
      <c r="AI62" s="99">
        <f>IFERROR(IF($AV62="No",0,IF($AV62="yes",Summary!S62,"")),"")</f>
        <v>0</v>
      </c>
      <c r="AJ62" s="602">
        <f>IFERROR(IF($AV62="No",0,IF($AV62="yes",Summary!T62,"")),"")</f>
        <v>0</v>
      </c>
      <c r="AK62" s="100">
        <f>IFERROR(IF($AV62="No",0,IF($AV62="yes",Summary!U62,"")),"")</f>
        <v>0</v>
      </c>
      <c r="AL62" s="99">
        <f>IFERROR(IF($AV62="No",0,IF($AV62="yes",Summary!V62,"")),"")</f>
        <v>0</v>
      </c>
      <c r="AM62" s="99">
        <f>IFERROR(IF($AV62="No",0,IF($AV62="yes",Summary!W62,"")),"")</f>
        <v>0</v>
      </c>
      <c r="AN62" s="99">
        <f>IFERROR(IF($AV62="No",0,IF($AV62="yes",Summary!X62,"")),"")</f>
        <v>0</v>
      </c>
      <c r="AO62" s="99">
        <f>IFERROR(IF($AV62="No",0,IF($AV62="yes",Summary!Y62+Z62,"")),"")</f>
        <v>0</v>
      </c>
      <c r="AP62" s="99">
        <f>IFERROR(IF($AV62="No",0,IF($AV62="yes",Summary!AB62,"")),"")</f>
        <v>0</v>
      </c>
      <c r="AQ62" s="101" t="str">
        <f t="shared" si="12"/>
        <v/>
      </c>
      <c r="AR62" s="101" t="str">
        <f t="shared" si="13"/>
        <v/>
      </c>
      <c r="AS62" s="101" t="str">
        <f t="shared" si="14"/>
        <v/>
      </c>
      <c r="AT62" s="96" t="s">
        <v>362</v>
      </c>
      <c r="AV62" t="str">
        <f>IF('Proposed Lighting'!CN59&gt;0,"No","Yes")</f>
        <v>Yes</v>
      </c>
    </row>
    <row r="63" spans="1:48" ht="34.5" customHeight="1" outlineLevel="1">
      <c r="A63" s="96" t="s">
        <v>363</v>
      </c>
      <c r="B63" s="96" t="str">
        <f>IF(ISNUMBER(SEARCH("case",E63)),"COM_MISC_REFR_ALL_UNKN1991",IF('Proposed Lighting'!AU60=3,"Commercial-All Com-ExtLight",IF('Proposed Lighting'!AH60&gt;8759,"IPC_8760","Commercial-All Com-IntLight")))</f>
        <v>IPC_8760</v>
      </c>
      <c r="C63" s="96" t="str">
        <f>IF(OR('Proposed Lighting'!DD60="Standard Incentive",'Proposed Lighting'!DD60="Non-Standard Incentive"),"Yes",IF(AND(IF(ISNUMBER(SEARCH("controls",'Proposed Lighting'!T60)),"True","False")="False",'Proposed Lighting'!DD60="Submit Control as Non-Standard"),"Yes","No"))</f>
        <v>No</v>
      </c>
      <c r="D63" s="1403">
        <f>'Proposed Lighting'!CV60-Q63</f>
        <v>0</v>
      </c>
      <c r="E63" s="143">
        <f>'Proposed Lighting'!T60</f>
        <v>0</v>
      </c>
      <c r="F63" s="143">
        <f>'Proposed Lighting'!F60</f>
        <v>0</v>
      </c>
      <c r="G63" s="96" t="s">
        <v>242</v>
      </c>
      <c r="H63" s="142" t="str">
        <f>'Proposed Lighting'!CP60</f>
        <v/>
      </c>
      <c r="I63" s="98">
        <v>1</v>
      </c>
      <c r="J63" s="142">
        <f>'Proposed Lighting'!AA60</f>
        <v>0</v>
      </c>
      <c r="K63" s="142" t="str">
        <f>IF(ISNUMBER(SEARCH("-C",'Proposed Lighting'!M60)),'Proposed Lighting'!AH60*0.9,'Proposed Lighting'!AH60)</f>
        <v/>
      </c>
      <c r="L63" s="142">
        <f>IFERROR(IF(OR('Proposed Lighting'!BC60=22,'Proposed Lighting'!BC60=44),1-25%,IF(OR('Proposed Lighting'!BC60=23,'Proposed Lighting'!BC60=46),1-30%,IF(OR('Proposed Lighting'!BC60=29,'Proposed Lighting'!BC60=39,'Proposed Lighting'!BC60=49),1-35%,IF(OR('Proposed Lighting'!BC60=24,'Proposed Lighting'!BC60=48),1-50%,IF(AND(ISNUMBER(SEARCH("-C",'Proposed Lighting'!M60)),'Proposed Lighting'!AU60=2),90%,100%)))))*'Proposed Lighting'!AH60,0)</f>
        <v>0</v>
      </c>
      <c r="M63" s="87">
        <f t="shared" si="0"/>
        <v>0</v>
      </c>
      <c r="N63" s="87">
        <f>IFERROR(IF('Proposed Lighting'!AU60=1,0,'Proposed Lighting'!AO60),0)</f>
        <v>0</v>
      </c>
      <c r="O63" s="88">
        <f>IF('Proposed Lighting'!AU60=1,0,'Proposed Lighting'!AP60)</f>
        <v>0</v>
      </c>
      <c r="P63" s="87">
        <f t="shared" si="1"/>
        <v>0</v>
      </c>
      <c r="Q63" s="98">
        <f t="shared" si="8"/>
        <v>0</v>
      </c>
      <c r="R63" s="99">
        <f>IFERROR(IF('Proposed Lighting'!T60="Lighting controls only",0,ROUND(IF('Proposed Lighting'!AQ60&lt;'Proposed Lighting'!AR60,0,IF('Proposed Lighting'!AH60=0,0,IF('Proposed Lighting'!BV60&gt;0,'Proposed Lighting'!BV60,IF('Proposed Lighting'!CL60=0,MIN('Proposed Lighting'!CN60:CO60),IF('Proposed Lighting'!CX60&gt;0,'Proposed Lighting'!CX60*'Proposed Lighting'!AA60,0))))),2)),0)</f>
        <v>0</v>
      </c>
      <c r="S63" s="99">
        <f>IF('Proposed Lighting'!AJ60&gt;0,'Proposed Lighting'!AJ60*J63,'Proposed Lighting'!$AU$328*J63)</f>
        <v>0</v>
      </c>
      <c r="T63" s="602">
        <f t="shared" si="2"/>
        <v>0</v>
      </c>
      <c r="U63" s="100"/>
      <c r="V63" s="99">
        <f t="shared" si="9"/>
        <v>0</v>
      </c>
      <c r="W63" s="99">
        <f t="shared" si="10"/>
        <v>0</v>
      </c>
      <c r="X63" s="99">
        <f t="shared" si="3"/>
        <v>0</v>
      </c>
      <c r="Y63" s="99"/>
      <c r="Z63" s="99">
        <f t="shared" si="11"/>
        <v>0</v>
      </c>
      <c r="AA63" s="99"/>
      <c r="AB63" s="99">
        <f t="shared" si="4"/>
        <v>0</v>
      </c>
      <c r="AC63" s="101" t="str">
        <f t="shared" si="5"/>
        <v/>
      </c>
      <c r="AD63" s="101" t="str">
        <f t="shared" si="6"/>
        <v/>
      </c>
      <c r="AE63" s="101" t="str">
        <f t="shared" si="7"/>
        <v/>
      </c>
      <c r="AF63" s="72"/>
      <c r="AG63" s="98">
        <f>IFERROR(IF($AV63="No",0,IF($AV63="yes",Summary!Q63,"")),"")</f>
        <v>0</v>
      </c>
      <c r="AH63" s="99">
        <f>IFERROR(IF($AV63="No",0,IF($AV63="yes",Summary!R63,"")),"")</f>
        <v>0</v>
      </c>
      <c r="AI63" s="99">
        <f>IFERROR(IF($AV63="No",0,IF($AV63="yes",Summary!S63,"")),"")</f>
        <v>0</v>
      </c>
      <c r="AJ63" s="602">
        <f>IFERROR(IF($AV63="No",0,IF($AV63="yes",Summary!T63,"")),"")</f>
        <v>0</v>
      </c>
      <c r="AK63" s="100">
        <f>IFERROR(IF($AV63="No",0,IF($AV63="yes",Summary!U63,"")),"")</f>
        <v>0</v>
      </c>
      <c r="AL63" s="99">
        <f>IFERROR(IF($AV63="No",0,IF($AV63="yes",Summary!V63,"")),"")</f>
        <v>0</v>
      </c>
      <c r="AM63" s="99">
        <f>IFERROR(IF($AV63="No",0,IF($AV63="yes",Summary!W63,"")),"")</f>
        <v>0</v>
      </c>
      <c r="AN63" s="99">
        <f>IFERROR(IF($AV63="No",0,IF($AV63="yes",Summary!X63,"")),"")</f>
        <v>0</v>
      </c>
      <c r="AO63" s="99">
        <f>IFERROR(IF($AV63="No",0,IF($AV63="yes",Summary!Y63+Z63,"")),"")</f>
        <v>0</v>
      </c>
      <c r="AP63" s="99">
        <f>IFERROR(IF($AV63="No",0,IF($AV63="yes",Summary!AB63,"")),"")</f>
        <v>0</v>
      </c>
      <c r="AQ63" s="101" t="str">
        <f t="shared" si="12"/>
        <v/>
      </c>
      <c r="AR63" s="101" t="str">
        <f t="shared" si="13"/>
        <v/>
      </c>
      <c r="AS63" s="101" t="str">
        <f t="shared" si="14"/>
        <v/>
      </c>
      <c r="AT63" s="96" t="s">
        <v>363</v>
      </c>
      <c r="AV63" t="str">
        <f>IF('Proposed Lighting'!CN60&gt;0,"No","Yes")</f>
        <v>Yes</v>
      </c>
    </row>
    <row r="64" spans="1:48" ht="34.5" customHeight="1" outlineLevel="1">
      <c r="A64" s="96" t="s">
        <v>364</v>
      </c>
      <c r="B64" s="96" t="str">
        <f>IF(ISNUMBER(SEARCH("case",E64)),"COM_MISC_REFR_ALL_UNKN1991",IF('Proposed Lighting'!AU61=3,"Commercial-All Com-ExtLight",IF('Proposed Lighting'!AH61&gt;8759,"IPC_8760","Commercial-All Com-IntLight")))</f>
        <v>IPC_8760</v>
      </c>
      <c r="C64" s="96" t="str">
        <f>IF(OR('Proposed Lighting'!DD61="Standard Incentive",'Proposed Lighting'!DD61="Non-Standard Incentive"),"Yes",IF(AND(IF(ISNUMBER(SEARCH("controls",'Proposed Lighting'!T61)),"True","False")="False",'Proposed Lighting'!DD61="Submit Control as Non-Standard"),"Yes","No"))</f>
        <v>No</v>
      </c>
      <c r="D64" s="1403">
        <f>'Proposed Lighting'!CV61-Q64</f>
        <v>0</v>
      </c>
      <c r="E64" s="143">
        <f>'Proposed Lighting'!T61</f>
        <v>0</v>
      </c>
      <c r="F64" s="143">
        <f>'Proposed Lighting'!F61</f>
        <v>0</v>
      </c>
      <c r="G64" s="96" t="s">
        <v>242</v>
      </c>
      <c r="H64" s="142" t="str">
        <f>'Proposed Lighting'!CP61</f>
        <v/>
      </c>
      <c r="I64" s="98">
        <v>1</v>
      </c>
      <c r="J64" s="142">
        <f>'Proposed Lighting'!AA61</f>
        <v>0</v>
      </c>
      <c r="K64" s="142" t="str">
        <f>IF(ISNUMBER(SEARCH("-C",'Proposed Lighting'!M61)),'Proposed Lighting'!AH61*0.9,'Proposed Lighting'!AH61)</f>
        <v/>
      </c>
      <c r="L64" s="142">
        <f>IFERROR(IF(OR('Proposed Lighting'!BC61=22,'Proposed Lighting'!BC61=44),1-25%,IF(OR('Proposed Lighting'!BC61=23,'Proposed Lighting'!BC61=46),1-30%,IF(OR('Proposed Lighting'!BC61=29,'Proposed Lighting'!BC61=39,'Proposed Lighting'!BC61=49),1-35%,IF(OR('Proposed Lighting'!BC61=24,'Proposed Lighting'!BC61=48),1-50%,IF(AND(ISNUMBER(SEARCH("-C",'Proposed Lighting'!M61)),'Proposed Lighting'!AU61=2),90%,100%)))))*'Proposed Lighting'!AH61,0)</f>
        <v>0</v>
      </c>
      <c r="M64" s="87">
        <f t="shared" si="0"/>
        <v>0</v>
      </c>
      <c r="N64" s="87">
        <f>IFERROR(IF('Proposed Lighting'!AU61=1,0,'Proposed Lighting'!AO61),0)</f>
        <v>0</v>
      </c>
      <c r="O64" s="88">
        <f>IF('Proposed Lighting'!AU61=1,0,'Proposed Lighting'!AP61)</f>
        <v>0</v>
      </c>
      <c r="P64" s="87">
        <f t="shared" si="1"/>
        <v>0</v>
      </c>
      <c r="Q64" s="98">
        <f t="shared" si="8"/>
        <v>0</v>
      </c>
      <c r="R64" s="99">
        <f>IFERROR(IF('Proposed Lighting'!T61="Lighting controls only",0,ROUND(IF('Proposed Lighting'!AQ61&lt;'Proposed Lighting'!AR61,0,IF('Proposed Lighting'!AH61=0,0,IF('Proposed Lighting'!BV61&gt;0,'Proposed Lighting'!BV61,IF('Proposed Lighting'!CL61=0,MIN('Proposed Lighting'!CN61:CO61),IF('Proposed Lighting'!CX61&gt;0,'Proposed Lighting'!CX61*'Proposed Lighting'!AA61,0))))),2)),0)</f>
        <v>0</v>
      </c>
      <c r="S64" s="99">
        <f>IF('Proposed Lighting'!AJ61&gt;0,'Proposed Lighting'!AJ61*J64,'Proposed Lighting'!$AU$328*J64)</f>
        <v>0</v>
      </c>
      <c r="T64" s="602">
        <f t="shared" si="2"/>
        <v>0</v>
      </c>
      <c r="U64" s="100"/>
      <c r="V64" s="99">
        <f t="shared" si="9"/>
        <v>0</v>
      </c>
      <c r="W64" s="99">
        <f t="shared" si="10"/>
        <v>0</v>
      </c>
      <c r="X64" s="99">
        <f t="shared" si="3"/>
        <v>0</v>
      </c>
      <c r="Y64" s="99"/>
      <c r="Z64" s="99">
        <f t="shared" si="11"/>
        <v>0</v>
      </c>
      <c r="AA64" s="99"/>
      <c r="AB64" s="99">
        <f t="shared" si="4"/>
        <v>0</v>
      </c>
      <c r="AC64" s="101" t="str">
        <f t="shared" si="5"/>
        <v/>
      </c>
      <c r="AD64" s="101" t="str">
        <f t="shared" si="6"/>
        <v/>
      </c>
      <c r="AE64" s="101" t="str">
        <f t="shared" si="7"/>
        <v/>
      </c>
      <c r="AF64" s="72"/>
      <c r="AG64" s="98">
        <f>IFERROR(IF($AV64="No",0,IF($AV64="yes",Summary!Q64,"")),"")</f>
        <v>0</v>
      </c>
      <c r="AH64" s="99">
        <f>IFERROR(IF($AV64="No",0,IF($AV64="yes",Summary!R64,"")),"")</f>
        <v>0</v>
      </c>
      <c r="AI64" s="99">
        <f>IFERROR(IF($AV64="No",0,IF($AV64="yes",Summary!S64,"")),"")</f>
        <v>0</v>
      </c>
      <c r="AJ64" s="602">
        <f>IFERROR(IF($AV64="No",0,IF($AV64="yes",Summary!T64,"")),"")</f>
        <v>0</v>
      </c>
      <c r="AK64" s="100">
        <f>IFERROR(IF($AV64="No",0,IF($AV64="yes",Summary!U64,"")),"")</f>
        <v>0</v>
      </c>
      <c r="AL64" s="99">
        <f>IFERROR(IF($AV64="No",0,IF($AV64="yes",Summary!V64,"")),"")</f>
        <v>0</v>
      </c>
      <c r="AM64" s="99">
        <f>IFERROR(IF($AV64="No",0,IF($AV64="yes",Summary!W64,"")),"")</f>
        <v>0</v>
      </c>
      <c r="AN64" s="99">
        <f>IFERROR(IF($AV64="No",0,IF($AV64="yes",Summary!X64,"")),"")</f>
        <v>0</v>
      </c>
      <c r="AO64" s="99">
        <f>IFERROR(IF($AV64="No",0,IF($AV64="yes",Summary!Y64+Z64,"")),"")</f>
        <v>0</v>
      </c>
      <c r="AP64" s="99">
        <f>IFERROR(IF($AV64="No",0,IF($AV64="yes",Summary!AB64,"")),"")</f>
        <v>0</v>
      </c>
      <c r="AQ64" s="101" t="str">
        <f t="shared" si="12"/>
        <v/>
      </c>
      <c r="AR64" s="101" t="str">
        <f t="shared" si="13"/>
        <v/>
      </c>
      <c r="AS64" s="101" t="str">
        <f t="shared" si="14"/>
        <v/>
      </c>
      <c r="AT64" s="96" t="s">
        <v>364</v>
      </c>
      <c r="AV64" t="str">
        <f>IF('Proposed Lighting'!CN61&gt;0,"No","Yes")</f>
        <v>Yes</v>
      </c>
    </row>
    <row r="65" spans="1:48" ht="34.5" customHeight="1" outlineLevel="1">
      <c r="A65" s="96" t="s">
        <v>365</v>
      </c>
      <c r="B65" s="96" t="str">
        <f>IF(ISNUMBER(SEARCH("case",E65)),"COM_MISC_REFR_ALL_UNKN1991",IF('Proposed Lighting'!AU62=3,"Commercial-All Com-ExtLight",IF('Proposed Lighting'!AH62&gt;8759,"IPC_8760","Commercial-All Com-IntLight")))</f>
        <v>IPC_8760</v>
      </c>
      <c r="C65" s="96" t="str">
        <f>IF(OR('Proposed Lighting'!DD62="Standard Incentive",'Proposed Lighting'!DD62="Non-Standard Incentive"),"Yes",IF(AND(IF(ISNUMBER(SEARCH("controls",'Proposed Lighting'!T62)),"True","False")="False",'Proposed Lighting'!DD62="Submit Control as Non-Standard"),"Yes","No"))</f>
        <v>No</v>
      </c>
      <c r="D65" s="1403">
        <f>'Proposed Lighting'!CV62-Q65</f>
        <v>0</v>
      </c>
      <c r="E65" s="143">
        <f>'Proposed Lighting'!T62</f>
        <v>0</v>
      </c>
      <c r="F65" s="143">
        <f>'Proposed Lighting'!F62</f>
        <v>0</v>
      </c>
      <c r="G65" s="96" t="s">
        <v>242</v>
      </c>
      <c r="H65" s="142" t="str">
        <f>'Proposed Lighting'!CP62</f>
        <v/>
      </c>
      <c r="I65" s="98">
        <v>1</v>
      </c>
      <c r="J65" s="142">
        <f>'Proposed Lighting'!AA62</f>
        <v>0</v>
      </c>
      <c r="K65" s="142" t="str">
        <f>IF(ISNUMBER(SEARCH("-C",'Proposed Lighting'!M62)),'Proposed Lighting'!AH62*0.9,'Proposed Lighting'!AH62)</f>
        <v/>
      </c>
      <c r="L65" s="142">
        <f>IFERROR(IF(OR('Proposed Lighting'!BC62=22,'Proposed Lighting'!BC62=44),1-25%,IF(OR('Proposed Lighting'!BC62=23,'Proposed Lighting'!BC62=46),1-30%,IF(OR('Proposed Lighting'!BC62=29,'Proposed Lighting'!BC62=39,'Proposed Lighting'!BC62=49),1-35%,IF(OR('Proposed Lighting'!BC62=24,'Proposed Lighting'!BC62=48),1-50%,IF(AND(ISNUMBER(SEARCH("-C",'Proposed Lighting'!M62)),'Proposed Lighting'!AU62=2),90%,100%)))))*'Proposed Lighting'!AH62,0)</f>
        <v>0</v>
      </c>
      <c r="M65" s="87">
        <f t="shared" si="0"/>
        <v>0</v>
      </c>
      <c r="N65" s="87">
        <f>IFERROR(IF('Proposed Lighting'!AU62=1,0,'Proposed Lighting'!AO62),0)</f>
        <v>0</v>
      </c>
      <c r="O65" s="88">
        <f>IF('Proposed Lighting'!AU62=1,0,'Proposed Lighting'!AP62)</f>
        <v>0</v>
      </c>
      <c r="P65" s="87">
        <f t="shared" si="1"/>
        <v>0</v>
      </c>
      <c r="Q65" s="98">
        <f t="shared" si="8"/>
        <v>0</v>
      </c>
      <c r="R65" s="99">
        <f>IFERROR(IF('Proposed Lighting'!T62="Lighting controls only",0,ROUND(IF('Proposed Lighting'!AQ62&lt;'Proposed Lighting'!AR62,0,IF('Proposed Lighting'!AH62=0,0,IF('Proposed Lighting'!BV62&gt;0,'Proposed Lighting'!BV62,IF('Proposed Lighting'!CL62=0,MIN('Proposed Lighting'!CN62:CO62),IF('Proposed Lighting'!CX62&gt;0,'Proposed Lighting'!CX62*'Proposed Lighting'!AA62,0))))),2)),0)</f>
        <v>0</v>
      </c>
      <c r="S65" s="99">
        <f>IF('Proposed Lighting'!AJ62&gt;0,'Proposed Lighting'!AJ62*J65,'Proposed Lighting'!$AU$328*J65)</f>
        <v>0</v>
      </c>
      <c r="T65" s="602">
        <f t="shared" si="2"/>
        <v>0</v>
      </c>
      <c r="U65" s="100"/>
      <c r="V65" s="99">
        <f t="shared" si="9"/>
        <v>0</v>
      </c>
      <c r="W65" s="99">
        <f t="shared" si="10"/>
        <v>0</v>
      </c>
      <c r="X65" s="99">
        <f t="shared" si="3"/>
        <v>0</v>
      </c>
      <c r="Y65" s="99"/>
      <c r="Z65" s="99">
        <f t="shared" si="11"/>
        <v>0</v>
      </c>
      <c r="AA65" s="99"/>
      <c r="AB65" s="99">
        <f t="shared" si="4"/>
        <v>0</v>
      </c>
      <c r="AC65" s="101" t="str">
        <f t="shared" si="5"/>
        <v/>
      </c>
      <c r="AD65" s="101" t="str">
        <f t="shared" si="6"/>
        <v/>
      </c>
      <c r="AE65" s="101" t="str">
        <f t="shared" si="7"/>
        <v/>
      </c>
      <c r="AF65" s="72"/>
      <c r="AG65" s="98">
        <f>IFERROR(IF($AV65="No",0,IF($AV65="yes",Summary!Q65,"")),"")</f>
        <v>0</v>
      </c>
      <c r="AH65" s="99">
        <f>IFERROR(IF($AV65="No",0,IF($AV65="yes",Summary!R65,"")),"")</f>
        <v>0</v>
      </c>
      <c r="AI65" s="99">
        <f>IFERROR(IF($AV65="No",0,IF($AV65="yes",Summary!S65,"")),"")</f>
        <v>0</v>
      </c>
      <c r="AJ65" s="602">
        <f>IFERROR(IF($AV65="No",0,IF($AV65="yes",Summary!T65,"")),"")</f>
        <v>0</v>
      </c>
      <c r="AK65" s="100">
        <f>IFERROR(IF($AV65="No",0,IF($AV65="yes",Summary!U65,"")),"")</f>
        <v>0</v>
      </c>
      <c r="AL65" s="99">
        <f>IFERROR(IF($AV65="No",0,IF($AV65="yes",Summary!V65,"")),"")</f>
        <v>0</v>
      </c>
      <c r="AM65" s="99">
        <f>IFERROR(IF($AV65="No",0,IF($AV65="yes",Summary!W65,"")),"")</f>
        <v>0</v>
      </c>
      <c r="AN65" s="99">
        <f>IFERROR(IF($AV65="No",0,IF($AV65="yes",Summary!X65,"")),"")</f>
        <v>0</v>
      </c>
      <c r="AO65" s="99">
        <f>IFERROR(IF($AV65="No",0,IF($AV65="yes",Summary!Y65+Z65,"")),"")</f>
        <v>0</v>
      </c>
      <c r="AP65" s="99">
        <f>IFERROR(IF($AV65="No",0,IF($AV65="yes",Summary!AB65,"")),"")</f>
        <v>0</v>
      </c>
      <c r="AQ65" s="101" t="str">
        <f t="shared" si="12"/>
        <v/>
      </c>
      <c r="AR65" s="101" t="str">
        <f t="shared" si="13"/>
        <v/>
      </c>
      <c r="AS65" s="101" t="str">
        <f t="shared" si="14"/>
        <v/>
      </c>
      <c r="AT65" s="96" t="s">
        <v>365</v>
      </c>
      <c r="AV65" t="str">
        <f>IF('Proposed Lighting'!CN62&gt;0,"No","Yes")</f>
        <v>Yes</v>
      </c>
    </row>
    <row r="66" spans="1:48" ht="34.5" customHeight="1" outlineLevel="1">
      <c r="A66" s="96" t="s">
        <v>366</v>
      </c>
      <c r="B66" s="96" t="str">
        <f>IF(ISNUMBER(SEARCH("case",E66)),"COM_MISC_REFR_ALL_UNKN1991",IF('Proposed Lighting'!AU63=3,"Commercial-All Com-ExtLight",IF('Proposed Lighting'!AH63&gt;8759,"IPC_8760","Commercial-All Com-IntLight")))</f>
        <v>IPC_8760</v>
      </c>
      <c r="C66" s="96" t="str">
        <f>IF(OR('Proposed Lighting'!DD63="Standard Incentive",'Proposed Lighting'!DD63="Non-Standard Incentive"),"Yes",IF(AND(IF(ISNUMBER(SEARCH("controls",'Proposed Lighting'!T63)),"True","False")="False",'Proposed Lighting'!DD63="Submit Control as Non-Standard"),"Yes","No"))</f>
        <v>No</v>
      </c>
      <c r="D66" s="1403">
        <f>'Proposed Lighting'!CV63-Q66</f>
        <v>0</v>
      </c>
      <c r="E66" s="143">
        <f>'Proposed Lighting'!T63</f>
        <v>0</v>
      </c>
      <c r="F66" s="143">
        <f>'Proposed Lighting'!F63</f>
        <v>0</v>
      </c>
      <c r="G66" s="96" t="s">
        <v>242</v>
      </c>
      <c r="H66" s="142" t="str">
        <f>'Proposed Lighting'!CP63</f>
        <v/>
      </c>
      <c r="I66" s="98">
        <v>1</v>
      </c>
      <c r="J66" s="142">
        <f>'Proposed Lighting'!AA63</f>
        <v>0</v>
      </c>
      <c r="K66" s="142" t="str">
        <f>IF(ISNUMBER(SEARCH("-C",'Proposed Lighting'!M63)),'Proposed Lighting'!AH63*0.9,'Proposed Lighting'!AH63)</f>
        <v/>
      </c>
      <c r="L66" s="142">
        <f>IFERROR(IF(OR('Proposed Lighting'!BC63=22,'Proposed Lighting'!BC63=44),1-25%,IF(OR('Proposed Lighting'!BC63=23,'Proposed Lighting'!BC63=46),1-30%,IF(OR('Proposed Lighting'!BC63=29,'Proposed Lighting'!BC63=39,'Proposed Lighting'!BC63=49),1-35%,IF(OR('Proposed Lighting'!BC63=24,'Proposed Lighting'!BC63=48),1-50%,IF(AND(ISNUMBER(SEARCH("-C",'Proposed Lighting'!M63)),'Proposed Lighting'!AU63=2),90%,100%)))))*'Proposed Lighting'!AH63,0)</f>
        <v>0</v>
      </c>
      <c r="M66" s="87">
        <f t="shared" si="0"/>
        <v>0</v>
      </c>
      <c r="N66" s="87">
        <f>IFERROR(IF('Proposed Lighting'!AU63=1,0,'Proposed Lighting'!AO63),0)</f>
        <v>0</v>
      </c>
      <c r="O66" s="88">
        <f>IF('Proposed Lighting'!AU63=1,0,'Proposed Lighting'!AP63)</f>
        <v>0</v>
      </c>
      <c r="P66" s="87">
        <f t="shared" si="1"/>
        <v>0</v>
      </c>
      <c r="Q66" s="98">
        <f t="shared" si="8"/>
        <v>0</v>
      </c>
      <c r="R66" s="99">
        <f>IFERROR(IF('Proposed Lighting'!T63="Lighting controls only",0,ROUND(IF('Proposed Lighting'!AQ63&lt;'Proposed Lighting'!AR63,0,IF('Proposed Lighting'!AH63=0,0,IF('Proposed Lighting'!BV63&gt;0,'Proposed Lighting'!BV63,IF('Proposed Lighting'!CL63=0,MIN('Proposed Lighting'!CN63:CO63),IF('Proposed Lighting'!CX63&gt;0,'Proposed Lighting'!CX63*'Proposed Lighting'!AA63,0))))),2)),0)</f>
        <v>0</v>
      </c>
      <c r="S66" s="99">
        <f>IF('Proposed Lighting'!AJ63&gt;0,'Proposed Lighting'!AJ63*J66,'Proposed Lighting'!$AU$328*J66)</f>
        <v>0</v>
      </c>
      <c r="T66" s="602">
        <f t="shared" si="2"/>
        <v>0</v>
      </c>
      <c r="U66" s="100"/>
      <c r="V66" s="99">
        <f t="shared" si="9"/>
        <v>0</v>
      </c>
      <c r="W66" s="99">
        <f t="shared" si="10"/>
        <v>0</v>
      </c>
      <c r="X66" s="99">
        <f t="shared" si="3"/>
        <v>0</v>
      </c>
      <c r="Y66" s="99"/>
      <c r="Z66" s="99">
        <f t="shared" si="11"/>
        <v>0</v>
      </c>
      <c r="AA66" s="99"/>
      <c r="AB66" s="99">
        <f t="shared" si="4"/>
        <v>0</v>
      </c>
      <c r="AC66" s="101" t="str">
        <f t="shared" si="5"/>
        <v/>
      </c>
      <c r="AD66" s="101" t="str">
        <f t="shared" si="6"/>
        <v/>
      </c>
      <c r="AE66" s="101" t="str">
        <f t="shared" si="7"/>
        <v/>
      </c>
      <c r="AF66" s="72"/>
      <c r="AG66" s="98">
        <f>IFERROR(IF($AV66="No",0,IF($AV66="yes",Summary!Q66,"")),"")</f>
        <v>0</v>
      </c>
      <c r="AH66" s="99">
        <f>IFERROR(IF($AV66="No",0,IF($AV66="yes",Summary!R66,"")),"")</f>
        <v>0</v>
      </c>
      <c r="AI66" s="99">
        <f>IFERROR(IF($AV66="No",0,IF($AV66="yes",Summary!S66,"")),"")</f>
        <v>0</v>
      </c>
      <c r="AJ66" s="602">
        <f>IFERROR(IF($AV66="No",0,IF($AV66="yes",Summary!T66,"")),"")</f>
        <v>0</v>
      </c>
      <c r="AK66" s="100">
        <f>IFERROR(IF($AV66="No",0,IF($AV66="yes",Summary!U66,"")),"")</f>
        <v>0</v>
      </c>
      <c r="AL66" s="99">
        <f>IFERROR(IF($AV66="No",0,IF($AV66="yes",Summary!V66,"")),"")</f>
        <v>0</v>
      </c>
      <c r="AM66" s="99">
        <f>IFERROR(IF($AV66="No",0,IF($AV66="yes",Summary!W66,"")),"")</f>
        <v>0</v>
      </c>
      <c r="AN66" s="99">
        <f>IFERROR(IF($AV66="No",0,IF($AV66="yes",Summary!X66,"")),"")</f>
        <v>0</v>
      </c>
      <c r="AO66" s="99">
        <f>IFERROR(IF($AV66="No",0,IF($AV66="yes",Summary!Y66+Z66,"")),"")</f>
        <v>0</v>
      </c>
      <c r="AP66" s="99">
        <f>IFERROR(IF($AV66="No",0,IF($AV66="yes",Summary!AB66,"")),"")</f>
        <v>0</v>
      </c>
      <c r="AQ66" s="101" t="str">
        <f t="shared" si="12"/>
        <v/>
      </c>
      <c r="AR66" s="101" t="str">
        <f t="shared" si="13"/>
        <v/>
      </c>
      <c r="AS66" s="101" t="str">
        <f t="shared" si="14"/>
        <v/>
      </c>
      <c r="AT66" s="96" t="s">
        <v>366</v>
      </c>
      <c r="AV66" t="str">
        <f>IF('Proposed Lighting'!CN63&gt;0,"No","Yes")</f>
        <v>Yes</v>
      </c>
    </row>
    <row r="67" spans="1:48" ht="34.5" customHeight="1" outlineLevel="1">
      <c r="A67" s="96" t="s">
        <v>367</v>
      </c>
      <c r="B67" s="96" t="str">
        <f>IF(ISNUMBER(SEARCH("case",E67)),"COM_MISC_REFR_ALL_UNKN1991",IF('Proposed Lighting'!AU64=3,"Commercial-All Com-ExtLight",IF('Proposed Lighting'!AH64&gt;8759,"IPC_8760","Commercial-All Com-IntLight")))</f>
        <v>IPC_8760</v>
      </c>
      <c r="C67" s="96" t="str">
        <f>IF(OR('Proposed Lighting'!DD64="Standard Incentive",'Proposed Lighting'!DD64="Non-Standard Incentive"),"Yes",IF(AND(IF(ISNUMBER(SEARCH("controls",'Proposed Lighting'!T64)),"True","False")="False",'Proposed Lighting'!DD64="Submit Control as Non-Standard"),"Yes","No"))</f>
        <v>No</v>
      </c>
      <c r="D67" s="1403">
        <f>'Proposed Lighting'!CV64-Q67</f>
        <v>0</v>
      </c>
      <c r="E67" s="143">
        <f>'Proposed Lighting'!T64</f>
        <v>0</v>
      </c>
      <c r="F67" s="143">
        <f>'Proposed Lighting'!F64</f>
        <v>0</v>
      </c>
      <c r="G67" s="96" t="s">
        <v>242</v>
      </c>
      <c r="H67" s="142" t="str">
        <f>'Proposed Lighting'!CP64</f>
        <v/>
      </c>
      <c r="I67" s="98">
        <v>1</v>
      </c>
      <c r="J67" s="142">
        <f>'Proposed Lighting'!AA64</f>
        <v>0</v>
      </c>
      <c r="K67" s="142" t="str">
        <f>IF(ISNUMBER(SEARCH("-C",'Proposed Lighting'!M64)),'Proposed Lighting'!AH64*0.9,'Proposed Lighting'!AH64)</f>
        <v/>
      </c>
      <c r="L67" s="142">
        <f>IFERROR(IF(OR('Proposed Lighting'!BC64=22,'Proposed Lighting'!BC64=44),1-25%,IF(OR('Proposed Lighting'!BC64=23,'Proposed Lighting'!BC64=46),1-30%,IF(OR('Proposed Lighting'!BC64=29,'Proposed Lighting'!BC64=39,'Proposed Lighting'!BC64=49),1-35%,IF(OR('Proposed Lighting'!BC64=24,'Proposed Lighting'!BC64=48),1-50%,IF(AND(ISNUMBER(SEARCH("-C",'Proposed Lighting'!M64)),'Proposed Lighting'!AU64=2),90%,100%)))))*'Proposed Lighting'!AH64,0)</f>
        <v>0</v>
      </c>
      <c r="M67" s="87">
        <f t="shared" si="0"/>
        <v>0</v>
      </c>
      <c r="N67" s="87">
        <f>IFERROR(IF('Proposed Lighting'!AU64=1,0,'Proposed Lighting'!AO64),0)</f>
        <v>0</v>
      </c>
      <c r="O67" s="88">
        <f>IF('Proposed Lighting'!AU64=1,0,'Proposed Lighting'!AP64)</f>
        <v>0</v>
      </c>
      <c r="P67" s="87">
        <f t="shared" si="1"/>
        <v>0</v>
      </c>
      <c r="Q67" s="98">
        <f t="shared" si="8"/>
        <v>0</v>
      </c>
      <c r="R67" s="99">
        <f>IFERROR(IF('Proposed Lighting'!T64="Lighting controls only",0,ROUND(IF('Proposed Lighting'!AQ64&lt;'Proposed Lighting'!AR64,0,IF('Proposed Lighting'!AH64=0,0,IF('Proposed Lighting'!BV64&gt;0,'Proposed Lighting'!BV64,IF('Proposed Lighting'!CL64=0,MIN('Proposed Lighting'!CN64:CO64),IF('Proposed Lighting'!CX64&gt;0,'Proposed Lighting'!CX64*'Proposed Lighting'!AA64,0))))),2)),0)</f>
        <v>0</v>
      </c>
      <c r="S67" s="99">
        <f>IF('Proposed Lighting'!AJ64&gt;0,'Proposed Lighting'!AJ64*J67,'Proposed Lighting'!$AU$328*J67)</f>
        <v>0</v>
      </c>
      <c r="T67" s="602">
        <f t="shared" si="2"/>
        <v>0</v>
      </c>
      <c r="U67" s="100"/>
      <c r="V67" s="99">
        <f t="shared" si="9"/>
        <v>0</v>
      </c>
      <c r="W67" s="99">
        <f t="shared" si="10"/>
        <v>0</v>
      </c>
      <c r="X67" s="99">
        <f t="shared" si="3"/>
        <v>0</v>
      </c>
      <c r="Y67" s="99"/>
      <c r="Z67" s="99">
        <f t="shared" si="11"/>
        <v>0</v>
      </c>
      <c r="AA67" s="99"/>
      <c r="AB67" s="99">
        <f t="shared" si="4"/>
        <v>0</v>
      </c>
      <c r="AC67" s="101" t="str">
        <f t="shared" si="5"/>
        <v/>
      </c>
      <c r="AD67" s="101" t="str">
        <f t="shared" si="6"/>
        <v/>
      </c>
      <c r="AE67" s="101" t="str">
        <f t="shared" si="7"/>
        <v/>
      </c>
      <c r="AF67" s="72"/>
      <c r="AG67" s="98">
        <f>IFERROR(IF($AV67="No",0,IF($AV67="yes",Summary!Q67,"")),"")</f>
        <v>0</v>
      </c>
      <c r="AH67" s="99">
        <f>IFERROR(IF($AV67="No",0,IF($AV67="yes",Summary!R67,"")),"")</f>
        <v>0</v>
      </c>
      <c r="AI67" s="99">
        <f>IFERROR(IF($AV67="No",0,IF($AV67="yes",Summary!S67,"")),"")</f>
        <v>0</v>
      </c>
      <c r="AJ67" s="602">
        <f>IFERROR(IF($AV67="No",0,IF($AV67="yes",Summary!T67,"")),"")</f>
        <v>0</v>
      </c>
      <c r="AK67" s="100">
        <f>IFERROR(IF($AV67="No",0,IF($AV67="yes",Summary!U67,"")),"")</f>
        <v>0</v>
      </c>
      <c r="AL67" s="99">
        <f>IFERROR(IF($AV67="No",0,IF($AV67="yes",Summary!V67,"")),"")</f>
        <v>0</v>
      </c>
      <c r="AM67" s="99">
        <f>IFERROR(IF($AV67="No",0,IF($AV67="yes",Summary!W67,"")),"")</f>
        <v>0</v>
      </c>
      <c r="AN67" s="99">
        <f>IFERROR(IF($AV67="No",0,IF($AV67="yes",Summary!X67,"")),"")</f>
        <v>0</v>
      </c>
      <c r="AO67" s="99">
        <f>IFERROR(IF($AV67="No",0,IF($AV67="yes",Summary!Y67+Z67,"")),"")</f>
        <v>0</v>
      </c>
      <c r="AP67" s="99">
        <f>IFERROR(IF($AV67="No",0,IF($AV67="yes",Summary!AB67,"")),"")</f>
        <v>0</v>
      </c>
      <c r="AQ67" s="101" t="str">
        <f t="shared" si="12"/>
        <v/>
      </c>
      <c r="AR67" s="101" t="str">
        <f t="shared" si="13"/>
        <v/>
      </c>
      <c r="AS67" s="101" t="str">
        <f t="shared" si="14"/>
        <v/>
      </c>
      <c r="AT67" s="96" t="s">
        <v>367</v>
      </c>
      <c r="AV67" t="str">
        <f>IF('Proposed Lighting'!CN64&gt;0,"No","Yes")</f>
        <v>Yes</v>
      </c>
    </row>
    <row r="68" spans="1:48" ht="34.5" customHeight="1" outlineLevel="1">
      <c r="A68" s="96" t="s">
        <v>368</v>
      </c>
      <c r="B68" s="96" t="str">
        <f>IF(ISNUMBER(SEARCH("case",E68)),"COM_MISC_REFR_ALL_UNKN1991",IF('Proposed Lighting'!AU65=3,"Commercial-All Com-ExtLight",IF('Proposed Lighting'!AH65&gt;8759,"IPC_8760","Commercial-All Com-IntLight")))</f>
        <v>IPC_8760</v>
      </c>
      <c r="C68" s="96" t="str">
        <f>IF(OR('Proposed Lighting'!DD65="Standard Incentive",'Proposed Lighting'!DD65="Non-Standard Incentive"),"Yes",IF(AND(IF(ISNUMBER(SEARCH("controls",'Proposed Lighting'!T65)),"True","False")="False",'Proposed Lighting'!DD65="Submit Control as Non-Standard"),"Yes","No"))</f>
        <v>No</v>
      </c>
      <c r="D68" s="1403">
        <f>'Proposed Lighting'!CV65-Q68</f>
        <v>0</v>
      </c>
      <c r="E68" s="143">
        <f>'Proposed Lighting'!T65</f>
        <v>0</v>
      </c>
      <c r="F68" s="143">
        <f>'Proposed Lighting'!F65</f>
        <v>0</v>
      </c>
      <c r="G68" s="96" t="s">
        <v>242</v>
      </c>
      <c r="H68" s="142" t="str">
        <f>'Proposed Lighting'!CP65</f>
        <v/>
      </c>
      <c r="I68" s="98">
        <v>1</v>
      </c>
      <c r="J68" s="142">
        <f>'Proposed Lighting'!AA65</f>
        <v>0</v>
      </c>
      <c r="K68" s="142" t="str">
        <f>IF(ISNUMBER(SEARCH("-C",'Proposed Lighting'!M65)),'Proposed Lighting'!AH65*0.9,'Proposed Lighting'!AH65)</f>
        <v/>
      </c>
      <c r="L68" s="142">
        <f>IFERROR(IF(OR('Proposed Lighting'!BC65=22,'Proposed Lighting'!BC65=44),1-25%,IF(OR('Proposed Lighting'!BC65=23,'Proposed Lighting'!BC65=46),1-30%,IF(OR('Proposed Lighting'!BC65=29,'Proposed Lighting'!BC65=39,'Proposed Lighting'!BC65=49),1-35%,IF(OR('Proposed Lighting'!BC65=24,'Proposed Lighting'!BC65=48),1-50%,IF(AND(ISNUMBER(SEARCH("-C",'Proposed Lighting'!M65)),'Proposed Lighting'!AU65=2),90%,100%)))))*'Proposed Lighting'!AH65,0)</f>
        <v>0</v>
      </c>
      <c r="M68" s="87">
        <f t="shared" si="0"/>
        <v>0</v>
      </c>
      <c r="N68" s="87">
        <f>IFERROR(IF('Proposed Lighting'!AU65=1,0,'Proposed Lighting'!AO65),0)</f>
        <v>0</v>
      </c>
      <c r="O68" s="88">
        <f>IF('Proposed Lighting'!AU65=1,0,'Proposed Lighting'!AP65)</f>
        <v>0</v>
      </c>
      <c r="P68" s="87">
        <f t="shared" si="1"/>
        <v>0</v>
      </c>
      <c r="Q68" s="98">
        <f t="shared" si="8"/>
        <v>0</v>
      </c>
      <c r="R68" s="99">
        <f>IFERROR(IF('Proposed Lighting'!T65="Lighting controls only",0,ROUND(IF('Proposed Lighting'!AQ65&lt;'Proposed Lighting'!AR65,0,IF('Proposed Lighting'!AH65=0,0,IF('Proposed Lighting'!BV65&gt;0,'Proposed Lighting'!BV65,IF('Proposed Lighting'!CL65=0,MIN('Proposed Lighting'!CN65:CO65),IF('Proposed Lighting'!CX65&gt;0,'Proposed Lighting'!CX65*'Proposed Lighting'!AA65,0))))),2)),0)</f>
        <v>0</v>
      </c>
      <c r="S68" s="99">
        <f>IF('Proposed Lighting'!AJ65&gt;0,'Proposed Lighting'!AJ65*J68,'Proposed Lighting'!$AU$328*J68)</f>
        <v>0</v>
      </c>
      <c r="T68" s="602">
        <f t="shared" si="2"/>
        <v>0</v>
      </c>
      <c r="U68" s="100"/>
      <c r="V68" s="99">
        <f t="shared" si="9"/>
        <v>0</v>
      </c>
      <c r="W68" s="99">
        <f t="shared" si="10"/>
        <v>0</v>
      </c>
      <c r="X68" s="99">
        <f t="shared" si="3"/>
        <v>0</v>
      </c>
      <c r="Y68" s="99"/>
      <c r="Z68" s="99">
        <f t="shared" si="11"/>
        <v>0</v>
      </c>
      <c r="AA68" s="99"/>
      <c r="AB68" s="99">
        <f t="shared" si="4"/>
        <v>0</v>
      </c>
      <c r="AC68" s="101" t="str">
        <f t="shared" si="5"/>
        <v/>
      </c>
      <c r="AD68" s="101" t="str">
        <f t="shared" si="6"/>
        <v/>
      </c>
      <c r="AE68" s="101" t="str">
        <f t="shared" si="7"/>
        <v/>
      </c>
      <c r="AF68" s="72"/>
      <c r="AG68" s="98">
        <f>IFERROR(IF($AV68="No",0,IF($AV68="yes",Summary!Q68,"")),"")</f>
        <v>0</v>
      </c>
      <c r="AH68" s="99">
        <f>IFERROR(IF($AV68="No",0,IF($AV68="yes",Summary!R68,"")),"")</f>
        <v>0</v>
      </c>
      <c r="AI68" s="99">
        <f>IFERROR(IF($AV68="No",0,IF($AV68="yes",Summary!S68,"")),"")</f>
        <v>0</v>
      </c>
      <c r="AJ68" s="602">
        <f>IFERROR(IF($AV68="No",0,IF($AV68="yes",Summary!T68,"")),"")</f>
        <v>0</v>
      </c>
      <c r="AK68" s="100">
        <f>IFERROR(IF($AV68="No",0,IF($AV68="yes",Summary!U68,"")),"")</f>
        <v>0</v>
      </c>
      <c r="AL68" s="99">
        <f>IFERROR(IF($AV68="No",0,IF($AV68="yes",Summary!V68,"")),"")</f>
        <v>0</v>
      </c>
      <c r="AM68" s="99">
        <f>IFERROR(IF($AV68="No",0,IF($AV68="yes",Summary!W68,"")),"")</f>
        <v>0</v>
      </c>
      <c r="AN68" s="99">
        <f>IFERROR(IF($AV68="No",0,IF($AV68="yes",Summary!X68,"")),"")</f>
        <v>0</v>
      </c>
      <c r="AO68" s="99">
        <f>IFERROR(IF($AV68="No",0,IF($AV68="yes",Summary!Y68+Z68,"")),"")</f>
        <v>0</v>
      </c>
      <c r="AP68" s="99">
        <f>IFERROR(IF($AV68="No",0,IF($AV68="yes",Summary!AB68,"")),"")</f>
        <v>0</v>
      </c>
      <c r="AQ68" s="101" t="str">
        <f t="shared" si="12"/>
        <v/>
      </c>
      <c r="AR68" s="101" t="str">
        <f t="shared" si="13"/>
        <v/>
      </c>
      <c r="AS68" s="101" t="str">
        <f t="shared" si="14"/>
        <v/>
      </c>
      <c r="AT68" s="96" t="s">
        <v>368</v>
      </c>
      <c r="AV68" t="str">
        <f>IF('Proposed Lighting'!CN65&gt;0,"No","Yes")</f>
        <v>Yes</v>
      </c>
    </row>
    <row r="69" spans="1:48" ht="34.5" customHeight="1" outlineLevel="1">
      <c r="A69" s="96" t="s">
        <v>369</v>
      </c>
      <c r="B69" s="96" t="str">
        <f>IF(ISNUMBER(SEARCH("case",E69)),"COM_MISC_REFR_ALL_UNKN1991",IF('Proposed Lighting'!AU66=3,"Commercial-All Com-ExtLight",IF('Proposed Lighting'!AH66&gt;8759,"IPC_8760","Commercial-All Com-IntLight")))</f>
        <v>IPC_8760</v>
      </c>
      <c r="C69" s="96" t="str">
        <f>IF(OR('Proposed Lighting'!DD66="Standard Incentive",'Proposed Lighting'!DD66="Non-Standard Incentive"),"Yes",IF(AND(IF(ISNUMBER(SEARCH("controls",'Proposed Lighting'!T66)),"True","False")="False",'Proposed Lighting'!DD66="Submit Control as Non-Standard"),"Yes","No"))</f>
        <v>No</v>
      </c>
      <c r="D69" s="1403">
        <f>'Proposed Lighting'!CV66-Q69</f>
        <v>0</v>
      </c>
      <c r="E69" s="143">
        <f>'Proposed Lighting'!T66</f>
        <v>0</v>
      </c>
      <c r="F69" s="143">
        <f>'Proposed Lighting'!F66</f>
        <v>0</v>
      </c>
      <c r="G69" s="96" t="s">
        <v>242</v>
      </c>
      <c r="H69" s="142" t="str">
        <f>'Proposed Lighting'!CP66</f>
        <v/>
      </c>
      <c r="I69" s="98">
        <v>1</v>
      </c>
      <c r="J69" s="142">
        <f>'Proposed Lighting'!AA66</f>
        <v>0</v>
      </c>
      <c r="K69" s="142" t="str">
        <f>IF(ISNUMBER(SEARCH("-C",'Proposed Lighting'!M66)),'Proposed Lighting'!AH66*0.9,'Proposed Lighting'!AH66)</f>
        <v/>
      </c>
      <c r="L69" s="142">
        <f>IFERROR(IF(OR('Proposed Lighting'!BC66=22,'Proposed Lighting'!BC66=44),1-25%,IF(OR('Proposed Lighting'!BC66=23,'Proposed Lighting'!BC66=46),1-30%,IF(OR('Proposed Lighting'!BC66=29,'Proposed Lighting'!BC66=39,'Proposed Lighting'!BC66=49),1-35%,IF(OR('Proposed Lighting'!BC66=24,'Proposed Lighting'!BC66=48),1-50%,IF(AND(ISNUMBER(SEARCH("-C",'Proposed Lighting'!M66)),'Proposed Lighting'!AU66=2),90%,100%)))))*'Proposed Lighting'!AH66,0)</f>
        <v>0</v>
      </c>
      <c r="M69" s="87">
        <f t="shared" si="0"/>
        <v>0</v>
      </c>
      <c r="N69" s="87">
        <f>IFERROR(IF('Proposed Lighting'!AU66=1,0,'Proposed Lighting'!AO66),0)</f>
        <v>0</v>
      </c>
      <c r="O69" s="88">
        <f>IF('Proposed Lighting'!AU66=1,0,'Proposed Lighting'!AP66)</f>
        <v>0</v>
      </c>
      <c r="P69" s="87">
        <f t="shared" si="1"/>
        <v>0</v>
      </c>
      <c r="Q69" s="98">
        <f t="shared" si="8"/>
        <v>0</v>
      </c>
      <c r="R69" s="99">
        <f>IFERROR(IF('Proposed Lighting'!T66="Lighting controls only",0,ROUND(IF('Proposed Lighting'!AQ66&lt;'Proposed Lighting'!AR66,0,IF('Proposed Lighting'!AH66=0,0,IF('Proposed Lighting'!BV66&gt;0,'Proposed Lighting'!BV66,IF('Proposed Lighting'!CL66=0,MIN('Proposed Lighting'!CN66:CO66),IF('Proposed Lighting'!CX66&gt;0,'Proposed Lighting'!CX66*'Proposed Lighting'!AA66,0))))),2)),0)</f>
        <v>0</v>
      </c>
      <c r="S69" s="99">
        <f>IF('Proposed Lighting'!AJ66&gt;0,'Proposed Lighting'!AJ66*J69,'Proposed Lighting'!$AU$328*J69)</f>
        <v>0</v>
      </c>
      <c r="T69" s="602">
        <f t="shared" si="2"/>
        <v>0</v>
      </c>
      <c r="U69" s="100"/>
      <c r="V69" s="99">
        <f t="shared" si="9"/>
        <v>0</v>
      </c>
      <c r="W69" s="99">
        <f t="shared" si="10"/>
        <v>0</v>
      </c>
      <c r="X69" s="99">
        <f t="shared" si="3"/>
        <v>0</v>
      </c>
      <c r="Y69" s="99"/>
      <c r="Z69" s="99">
        <f t="shared" si="11"/>
        <v>0</v>
      </c>
      <c r="AA69" s="99"/>
      <c r="AB69" s="99">
        <f t="shared" si="4"/>
        <v>0</v>
      </c>
      <c r="AC69" s="101" t="str">
        <f t="shared" si="5"/>
        <v/>
      </c>
      <c r="AD69" s="101" t="str">
        <f t="shared" si="6"/>
        <v/>
      </c>
      <c r="AE69" s="101" t="str">
        <f t="shared" si="7"/>
        <v/>
      </c>
      <c r="AF69" s="72"/>
      <c r="AG69" s="98">
        <f>IFERROR(IF($AV69="No",0,IF($AV69="yes",Summary!Q69,"")),"")</f>
        <v>0</v>
      </c>
      <c r="AH69" s="99">
        <f>IFERROR(IF($AV69="No",0,IF($AV69="yes",Summary!R69,"")),"")</f>
        <v>0</v>
      </c>
      <c r="AI69" s="99">
        <f>IFERROR(IF($AV69="No",0,IF($AV69="yes",Summary!S69,"")),"")</f>
        <v>0</v>
      </c>
      <c r="AJ69" s="602">
        <f>IFERROR(IF($AV69="No",0,IF($AV69="yes",Summary!T69,"")),"")</f>
        <v>0</v>
      </c>
      <c r="AK69" s="100">
        <f>IFERROR(IF($AV69="No",0,IF($AV69="yes",Summary!U69,"")),"")</f>
        <v>0</v>
      </c>
      <c r="AL69" s="99">
        <f>IFERROR(IF($AV69="No",0,IF($AV69="yes",Summary!V69,"")),"")</f>
        <v>0</v>
      </c>
      <c r="AM69" s="99">
        <f>IFERROR(IF($AV69="No",0,IF($AV69="yes",Summary!W69,"")),"")</f>
        <v>0</v>
      </c>
      <c r="AN69" s="99">
        <f>IFERROR(IF($AV69="No",0,IF($AV69="yes",Summary!X69,"")),"")</f>
        <v>0</v>
      </c>
      <c r="AO69" s="99">
        <f>IFERROR(IF($AV69="No",0,IF($AV69="yes",Summary!Y69+Z69,"")),"")</f>
        <v>0</v>
      </c>
      <c r="AP69" s="99">
        <f>IFERROR(IF($AV69="No",0,IF($AV69="yes",Summary!AB69,"")),"")</f>
        <v>0</v>
      </c>
      <c r="AQ69" s="101" t="str">
        <f t="shared" si="12"/>
        <v/>
      </c>
      <c r="AR69" s="101" t="str">
        <f t="shared" si="13"/>
        <v/>
      </c>
      <c r="AS69" s="101" t="str">
        <f t="shared" si="14"/>
        <v/>
      </c>
      <c r="AT69" s="96" t="s">
        <v>369</v>
      </c>
      <c r="AV69" t="str">
        <f>IF('Proposed Lighting'!CN66&gt;0,"No","Yes")</f>
        <v>Yes</v>
      </c>
    </row>
    <row r="70" spans="1:48" ht="34.5" customHeight="1" outlineLevel="1">
      <c r="A70" s="96" t="s">
        <v>370</v>
      </c>
      <c r="B70" s="96" t="str">
        <f>IF(ISNUMBER(SEARCH("case",E70)),"COM_MISC_REFR_ALL_UNKN1991",IF('Proposed Lighting'!AU67=3,"Commercial-All Com-ExtLight",IF('Proposed Lighting'!AH67&gt;8759,"IPC_8760","Commercial-All Com-IntLight")))</f>
        <v>IPC_8760</v>
      </c>
      <c r="C70" s="96" t="str">
        <f>IF(OR('Proposed Lighting'!DD67="Standard Incentive",'Proposed Lighting'!DD67="Non-Standard Incentive"),"Yes",IF(AND(IF(ISNUMBER(SEARCH("controls",'Proposed Lighting'!T67)),"True","False")="False",'Proposed Lighting'!DD67="Submit Control as Non-Standard"),"Yes","No"))</f>
        <v>No</v>
      </c>
      <c r="D70" s="1403">
        <f>'Proposed Lighting'!CV67-Q70</f>
        <v>0</v>
      </c>
      <c r="E70" s="143">
        <f>'Proposed Lighting'!T67</f>
        <v>0</v>
      </c>
      <c r="F70" s="143">
        <f>'Proposed Lighting'!F67</f>
        <v>0</v>
      </c>
      <c r="G70" s="96" t="s">
        <v>242</v>
      </c>
      <c r="H70" s="142" t="str">
        <f>'Proposed Lighting'!CP67</f>
        <v/>
      </c>
      <c r="I70" s="98">
        <v>1</v>
      </c>
      <c r="J70" s="142">
        <f>'Proposed Lighting'!AA67</f>
        <v>0</v>
      </c>
      <c r="K70" s="142" t="str">
        <f>IF(ISNUMBER(SEARCH("-C",'Proposed Lighting'!M67)),'Proposed Lighting'!AH67*0.9,'Proposed Lighting'!AH67)</f>
        <v/>
      </c>
      <c r="L70" s="142">
        <f>IFERROR(IF(OR('Proposed Lighting'!BC67=22,'Proposed Lighting'!BC67=44),1-25%,IF(OR('Proposed Lighting'!BC67=23,'Proposed Lighting'!BC67=46),1-30%,IF(OR('Proposed Lighting'!BC67=29,'Proposed Lighting'!BC67=39,'Proposed Lighting'!BC67=49),1-35%,IF(OR('Proposed Lighting'!BC67=24,'Proposed Lighting'!BC67=48),1-50%,IF(AND(ISNUMBER(SEARCH("-C",'Proposed Lighting'!M67)),'Proposed Lighting'!AU67=2),90%,100%)))))*'Proposed Lighting'!AH67,0)</f>
        <v>0</v>
      </c>
      <c r="M70" s="87">
        <f t="shared" si="0"/>
        <v>0</v>
      </c>
      <c r="N70" s="87">
        <f>IFERROR(IF('Proposed Lighting'!AU67=1,0,'Proposed Lighting'!AO67),0)</f>
        <v>0</v>
      </c>
      <c r="O70" s="88">
        <f>IF('Proposed Lighting'!AU67=1,0,'Proposed Lighting'!AP67)</f>
        <v>0</v>
      </c>
      <c r="P70" s="87">
        <f t="shared" si="1"/>
        <v>0</v>
      </c>
      <c r="Q70" s="98">
        <f t="shared" si="8"/>
        <v>0</v>
      </c>
      <c r="R70" s="99">
        <f>IFERROR(IF('Proposed Lighting'!T67="Lighting controls only",0,ROUND(IF('Proposed Lighting'!AQ67&lt;'Proposed Lighting'!AR67,0,IF('Proposed Lighting'!AH67=0,0,IF('Proposed Lighting'!BV67&gt;0,'Proposed Lighting'!BV67,IF('Proposed Lighting'!CL67=0,MIN('Proposed Lighting'!CN67:CO67),IF('Proposed Lighting'!CX67&gt;0,'Proposed Lighting'!CX67*'Proposed Lighting'!AA67,0))))),2)),0)</f>
        <v>0</v>
      </c>
      <c r="S70" s="99">
        <f>IF('Proposed Lighting'!AJ67&gt;0,'Proposed Lighting'!AJ67*J70,'Proposed Lighting'!$AU$328*J70)</f>
        <v>0</v>
      </c>
      <c r="T70" s="602">
        <f t="shared" si="2"/>
        <v>0</v>
      </c>
      <c r="U70" s="100"/>
      <c r="V70" s="99">
        <f t="shared" si="9"/>
        <v>0</v>
      </c>
      <c r="W70" s="99">
        <f t="shared" si="10"/>
        <v>0</v>
      </c>
      <c r="X70" s="99">
        <f t="shared" si="3"/>
        <v>0</v>
      </c>
      <c r="Y70" s="99"/>
      <c r="Z70" s="99">
        <f t="shared" si="11"/>
        <v>0</v>
      </c>
      <c r="AA70" s="99"/>
      <c r="AB70" s="99">
        <f t="shared" si="4"/>
        <v>0</v>
      </c>
      <c r="AC70" s="101" t="str">
        <f t="shared" si="5"/>
        <v/>
      </c>
      <c r="AD70" s="101" t="str">
        <f t="shared" si="6"/>
        <v/>
      </c>
      <c r="AE70" s="101" t="str">
        <f t="shared" si="7"/>
        <v/>
      </c>
      <c r="AF70" s="72"/>
      <c r="AG70" s="98">
        <f>IFERROR(IF($AV70="No",0,IF($AV70="yes",Summary!Q70,"")),"")</f>
        <v>0</v>
      </c>
      <c r="AH70" s="99">
        <f>IFERROR(IF($AV70="No",0,IF($AV70="yes",Summary!R70,"")),"")</f>
        <v>0</v>
      </c>
      <c r="AI70" s="99">
        <f>IFERROR(IF($AV70="No",0,IF($AV70="yes",Summary!S70,"")),"")</f>
        <v>0</v>
      </c>
      <c r="AJ70" s="602">
        <f>IFERROR(IF($AV70="No",0,IF($AV70="yes",Summary!T70,"")),"")</f>
        <v>0</v>
      </c>
      <c r="AK70" s="100">
        <f>IFERROR(IF($AV70="No",0,IF($AV70="yes",Summary!U70,"")),"")</f>
        <v>0</v>
      </c>
      <c r="AL70" s="99">
        <f>IFERROR(IF($AV70="No",0,IF($AV70="yes",Summary!V70,"")),"")</f>
        <v>0</v>
      </c>
      <c r="AM70" s="99">
        <f>IFERROR(IF($AV70="No",0,IF($AV70="yes",Summary!W70,"")),"")</f>
        <v>0</v>
      </c>
      <c r="AN70" s="99">
        <f>IFERROR(IF($AV70="No",0,IF($AV70="yes",Summary!X70,"")),"")</f>
        <v>0</v>
      </c>
      <c r="AO70" s="99">
        <f>IFERROR(IF($AV70="No",0,IF($AV70="yes",Summary!Y70+Z70,"")),"")</f>
        <v>0</v>
      </c>
      <c r="AP70" s="99">
        <f>IFERROR(IF($AV70="No",0,IF($AV70="yes",Summary!AB70,"")),"")</f>
        <v>0</v>
      </c>
      <c r="AQ70" s="101" t="str">
        <f t="shared" si="12"/>
        <v/>
      </c>
      <c r="AR70" s="101" t="str">
        <f t="shared" si="13"/>
        <v/>
      </c>
      <c r="AS70" s="101" t="str">
        <f t="shared" si="14"/>
        <v/>
      </c>
      <c r="AT70" s="96" t="s">
        <v>370</v>
      </c>
      <c r="AV70" t="str">
        <f>IF('Proposed Lighting'!CN67&gt;0,"No","Yes")</f>
        <v>Yes</v>
      </c>
    </row>
    <row r="71" spans="1:48" ht="34.5" customHeight="1" outlineLevel="1">
      <c r="A71" s="96" t="s">
        <v>371</v>
      </c>
      <c r="B71" s="96" t="str">
        <f>IF(ISNUMBER(SEARCH("case",E71)),"COM_MISC_REFR_ALL_UNKN1991",IF('Proposed Lighting'!AU68=3,"Commercial-All Com-ExtLight",IF('Proposed Lighting'!AH68&gt;8759,"IPC_8760","Commercial-All Com-IntLight")))</f>
        <v>IPC_8760</v>
      </c>
      <c r="C71" s="96" t="str">
        <f>IF(OR('Proposed Lighting'!DD68="Standard Incentive",'Proposed Lighting'!DD68="Non-Standard Incentive"),"Yes",IF(AND(IF(ISNUMBER(SEARCH("controls",'Proposed Lighting'!T68)),"True","False")="False",'Proposed Lighting'!DD68="Submit Control as Non-Standard"),"Yes","No"))</f>
        <v>No</v>
      </c>
      <c r="D71" s="1403">
        <f>'Proposed Lighting'!CV68-Q71</f>
        <v>0</v>
      </c>
      <c r="E71" s="143">
        <f>'Proposed Lighting'!T68</f>
        <v>0</v>
      </c>
      <c r="F71" s="143">
        <f>'Proposed Lighting'!F68</f>
        <v>0</v>
      </c>
      <c r="G71" s="96" t="s">
        <v>242</v>
      </c>
      <c r="H71" s="142" t="str">
        <f>'Proposed Lighting'!CP68</f>
        <v/>
      </c>
      <c r="I71" s="98">
        <v>1</v>
      </c>
      <c r="J71" s="142">
        <f>'Proposed Lighting'!AA68</f>
        <v>0</v>
      </c>
      <c r="K71" s="142" t="str">
        <f>IF(ISNUMBER(SEARCH("-C",'Proposed Lighting'!M68)),'Proposed Lighting'!AH68*0.9,'Proposed Lighting'!AH68)</f>
        <v/>
      </c>
      <c r="L71" s="142">
        <f>IFERROR(IF(OR('Proposed Lighting'!BC68=22,'Proposed Lighting'!BC68=44),1-25%,IF(OR('Proposed Lighting'!BC68=23,'Proposed Lighting'!BC68=46),1-30%,IF(OR('Proposed Lighting'!BC68=29,'Proposed Lighting'!BC68=39,'Proposed Lighting'!BC68=49),1-35%,IF(OR('Proposed Lighting'!BC68=24,'Proposed Lighting'!BC68=48),1-50%,IF(AND(ISNUMBER(SEARCH("-C",'Proposed Lighting'!M68)),'Proposed Lighting'!AU68=2),90%,100%)))))*'Proposed Lighting'!AH68,0)</f>
        <v>0</v>
      </c>
      <c r="M71" s="87">
        <f t="shared" si="0"/>
        <v>0</v>
      </c>
      <c r="N71" s="87">
        <f>IFERROR(IF('Proposed Lighting'!AU68=1,0,'Proposed Lighting'!AO68),0)</f>
        <v>0</v>
      </c>
      <c r="O71" s="88">
        <f>IF('Proposed Lighting'!AU68=1,0,'Proposed Lighting'!AP68)</f>
        <v>0</v>
      </c>
      <c r="P71" s="87">
        <f t="shared" si="1"/>
        <v>0</v>
      </c>
      <c r="Q71" s="98">
        <f t="shared" si="8"/>
        <v>0</v>
      </c>
      <c r="R71" s="99">
        <f>IFERROR(IF('Proposed Lighting'!T68="Lighting controls only",0,ROUND(IF('Proposed Lighting'!AQ68&lt;'Proposed Lighting'!AR68,0,IF('Proposed Lighting'!AH68=0,0,IF('Proposed Lighting'!BV68&gt;0,'Proposed Lighting'!BV68,IF('Proposed Lighting'!CL68=0,MIN('Proposed Lighting'!CN68:CO68),IF('Proposed Lighting'!CX68&gt;0,'Proposed Lighting'!CX68*'Proposed Lighting'!AA68,0))))),2)),0)</f>
        <v>0</v>
      </c>
      <c r="S71" s="99">
        <f>IF('Proposed Lighting'!AJ68&gt;0,'Proposed Lighting'!AJ68*J71,'Proposed Lighting'!$AU$328*J71)</f>
        <v>0</v>
      </c>
      <c r="T71" s="602">
        <f t="shared" si="2"/>
        <v>0</v>
      </c>
      <c r="U71" s="100"/>
      <c r="V71" s="99">
        <f t="shared" si="9"/>
        <v>0</v>
      </c>
      <c r="W71" s="99">
        <f t="shared" si="10"/>
        <v>0</v>
      </c>
      <c r="X71" s="99">
        <f t="shared" si="3"/>
        <v>0</v>
      </c>
      <c r="Y71" s="99"/>
      <c r="Z71" s="99">
        <f t="shared" si="11"/>
        <v>0</v>
      </c>
      <c r="AA71" s="99"/>
      <c r="AB71" s="99">
        <f t="shared" si="4"/>
        <v>0</v>
      </c>
      <c r="AC71" s="101" t="str">
        <f t="shared" si="5"/>
        <v/>
      </c>
      <c r="AD71" s="101" t="str">
        <f t="shared" si="6"/>
        <v/>
      </c>
      <c r="AE71" s="101" t="str">
        <f t="shared" si="7"/>
        <v/>
      </c>
      <c r="AF71" s="72"/>
      <c r="AG71" s="98">
        <f>IFERROR(IF($AV71="No",0,IF($AV71="yes",Summary!Q71,"")),"")</f>
        <v>0</v>
      </c>
      <c r="AH71" s="99">
        <f>IFERROR(IF($AV71="No",0,IF($AV71="yes",Summary!R71,"")),"")</f>
        <v>0</v>
      </c>
      <c r="AI71" s="99">
        <f>IFERROR(IF($AV71="No",0,IF($AV71="yes",Summary!S71,"")),"")</f>
        <v>0</v>
      </c>
      <c r="AJ71" s="602">
        <f>IFERROR(IF($AV71="No",0,IF($AV71="yes",Summary!T71,"")),"")</f>
        <v>0</v>
      </c>
      <c r="AK71" s="100">
        <f>IFERROR(IF($AV71="No",0,IF($AV71="yes",Summary!U71,"")),"")</f>
        <v>0</v>
      </c>
      <c r="AL71" s="99">
        <f>IFERROR(IF($AV71="No",0,IF($AV71="yes",Summary!V71,"")),"")</f>
        <v>0</v>
      </c>
      <c r="AM71" s="99">
        <f>IFERROR(IF($AV71="No",0,IF($AV71="yes",Summary!W71,"")),"")</f>
        <v>0</v>
      </c>
      <c r="AN71" s="99">
        <f>IFERROR(IF($AV71="No",0,IF($AV71="yes",Summary!X71,"")),"")</f>
        <v>0</v>
      </c>
      <c r="AO71" s="99">
        <f>IFERROR(IF($AV71="No",0,IF($AV71="yes",Summary!Y71+Z71,"")),"")</f>
        <v>0</v>
      </c>
      <c r="AP71" s="99">
        <f>IFERROR(IF($AV71="No",0,IF($AV71="yes",Summary!AB71,"")),"")</f>
        <v>0</v>
      </c>
      <c r="AQ71" s="101" t="str">
        <f t="shared" si="12"/>
        <v/>
      </c>
      <c r="AR71" s="101" t="str">
        <f t="shared" si="13"/>
        <v/>
      </c>
      <c r="AS71" s="101" t="str">
        <f t="shared" si="14"/>
        <v/>
      </c>
      <c r="AT71" s="96" t="s">
        <v>371</v>
      </c>
      <c r="AV71" t="str">
        <f>IF('Proposed Lighting'!CN68&gt;0,"No","Yes")</f>
        <v>Yes</v>
      </c>
    </row>
    <row r="72" spans="1:48" ht="34.5" customHeight="1" outlineLevel="1">
      <c r="A72" s="96" t="s">
        <v>372</v>
      </c>
      <c r="B72" s="96" t="str">
        <f>IF(ISNUMBER(SEARCH("case",E72)),"COM_MISC_REFR_ALL_UNKN1991",IF('Proposed Lighting'!AU69=3,"Commercial-All Com-ExtLight",IF('Proposed Lighting'!AH69&gt;8759,"IPC_8760","Commercial-All Com-IntLight")))</f>
        <v>IPC_8760</v>
      </c>
      <c r="C72" s="96" t="str">
        <f>IF(OR('Proposed Lighting'!DD69="Standard Incentive",'Proposed Lighting'!DD69="Non-Standard Incentive"),"Yes",IF(AND(IF(ISNUMBER(SEARCH("controls",'Proposed Lighting'!T69)),"True","False")="False",'Proposed Lighting'!DD69="Submit Control as Non-Standard"),"Yes","No"))</f>
        <v>No</v>
      </c>
      <c r="D72" s="1403">
        <f>'Proposed Lighting'!CV69-Q72</f>
        <v>0</v>
      </c>
      <c r="E72" s="143">
        <f>'Proposed Lighting'!T69</f>
        <v>0</v>
      </c>
      <c r="F72" s="143">
        <f>'Proposed Lighting'!F69</f>
        <v>0</v>
      </c>
      <c r="G72" s="96" t="s">
        <v>242</v>
      </c>
      <c r="H72" s="142" t="str">
        <f>'Proposed Lighting'!CP69</f>
        <v/>
      </c>
      <c r="I72" s="98">
        <v>1</v>
      </c>
      <c r="J72" s="142">
        <f>'Proposed Lighting'!AA69</f>
        <v>0</v>
      </c>
      <c r="K72" s="142" t="str">
        <f>IF(ISNUMBER(SEARCH("-C",'Proposed Lighting'!M69)),'Proposed Lighting'!AH69*0.9,'Proposed Lighting'!AH69)</f>
        <v/>
      </c>
      <c r="L72" s="142">
        <f>IFERROR(IF(OR('Proposed Lighting'!BC69=22,'Proposed Lighting'!BC69=44),1-25%,IF(OR('Proposed Lighting'!BC69=23,'Proposed Lighting'!BC69=46),1-30%,IF(OR('Proposed Lighting'!BC69=29,'Proposed Lighting'!BC69=39,'Proposed Lighting'!BC69=49),1-35%,IF(OR('Proposed Lighting'!BC69=24,'Proposed Lighting'!BC69=48),1-50%,IF(AND(ISNUMBER(SEARCH("-C",'Proposed Lighting'!M69)),'Proposed Lighting'!AU69=2),90%,100%)))))*'Proposed Lighting'!AH69,0)</f>
        <v>0</v>
      </c>
      <c r="M72" s="87">
        <f t="shared" si="0"/>
        <v>0</v>
      </c>
      <c r="N72" s="87">
        <f>IFERROR(IF('Proposed Lighting'!AU69=1,0,'Proposed Lighting'!AO69),0)</f>
        <v>0</v>
      </c>
      <c r="O72" s="88">
        <f>IF('Proposed Lighting'!AU69=1,0,'Proposed Lighting'!AP69)</f>
        <v>0</v>
      </c>
      <c r="P72" s="87">
        <f t="shared" si="1"/>
        <v>0</v>
      </c>
      <c r="Q72" s="98">
        <f t="shared" si="8"/>
        <v>0</v>
      </c>
      <c r="R72" s="99">
        <f>IFERROR(IF('Proposed Lighting'!T69="Lighting controls only",0,ROUND(IF('Proposed Lighting'!AQ69&lt;'Proposed Lighting'!AR69,0,IF('Proposed Lighting'!AH69=0,0,IF('Proposed Lighting'!BV69&gt;0,'Proposed Lighting'!BV69,IF('Proposed Lighting'!CL69=0,MIN('Proposed Lighting'!CN69:CO69),IF('Proposed Lighting'!CX69&gt;0,'Proposed Lighting'!CX69*'Proposed Lighting'!AA69,0))))),2)),0)</f>
        <v>0</v>
      </c>
      <c r="S72" s="99">
        <f>IF('Proposed Lighting'!AJ69&gt;0,'Proposed Lighting'!AJ69*J72,'Proposed Lighting'!$AU$328*J72)</f>
        <v>0</v>
      </c>
      <c r="T72" s="602">
        <f t="shared" si="2"/>
        <v>0</v>
      </c>
      <c r="U72" s="100"/>
      <c r="V72" s="99">
        <f t="shared" si="9"/>
        <v>0</v>
      </c>
      <c r="W72" s="99">
        <f t="shared" si="10"/>
        <v>0</v>
      </c>
      <c r="X72" s="99">
        <f t="shared" si="3"/>
        <v>0</v>
      </c>
      <c r="Y72" s="99"/>
      <c r="Z72" s="99">
        <f t="shared" si="11"/>
        <v>0</v>
      </c>
      <c r="AA72" s="99"/>
      <c r="AB72" s="99">
        <f t="shared" si="4"/>
        <v>0</v>
      </c>
      <c r="AC72" s="101" t="str">
        <f t="shared" si="5"/>
        <v/>
      </c>
      <c r="AD72" s="101" t="str">
        <f t="shared" si="6"/>
        <v/>
      </c>
      <c r="AE72" s="101" t="str">
        <f t="shared" si="7"/>
        <v/>
      </c>
      <c r="AF72" s="72"/>
      <c r="AG72" s="98">
        <f>IFERROR(IF($AV72="No",0,IF($AV72="yes",Summary!Q72,"")),"")</f>
        <v>0</v>
      </c>
      <c r="AH72" s="99">
        <f>IFERROR(IF($AV72="No",0,IF($AV72="yes",Summary!R72,"")),"")</f>
        <v>0</v>
      </c>
      <c r="AI72" s="99">
        <f>IFERROR(IF($AV72="No",0,IF($AV72="yes",Summary!S72,"")),"")</f>
        <v>0</v>
      </c>
      <c r="AJ72" s="602">
        <f>IFERROR(IF($AV72="No",0,IF($AV72="yes",Summary!T72,"")),"")</f>
        <v>0</v>
      </c>
      <c r="AK72" s="100">
        <f>IFERROR(IF($AV72="No",0,IF($AV72="yes",Summary!U72,"")),"")</f>
        <v>0</v>
      </c>
      <c r="AL72" s="99">
        <f>IFERROR(IF($AV72="No",0,IF($AV72="yes",Summary!V72,"")),"")</f>
        <v>0</v>
      </c>
      <c r="AM72" s="99">
        <f>IFERROR(IF($AV72="No",0,IF($AV72="yes",Summary!W72,"")),"")</f>
        <v>0</v>
      </c>
      <c r="AN72" s="99">
        <f>IFERROR(IF($AV72="No",0,IF($AV72="yes",Summary!X72,"")),"")</f>
        <v>0</v>
      </c>
      <c r="AO72" s="99">
        <f>IFERROR(IF($AV72="No",0,IF($AV72="yes",Summary!Y72+Z72,"")),"")</f>
        <v>0</v>
      </c>
      <c r="AP72" s="99">
        <f>IFERROR(IF($AV72="No",0,IF($AV72="yes",Summary!AB72,"")),"")</f>
        <v>0</v>
      </c>
      <c r="AQ72" s="101" t="str">
        <f t="shared" si="12"/>
        <v/>
      </c>
      <c r="AR72" s="101" t="str">
        <f t="shared" si="13"/>
        <v/>
      </c>
      <c r="AS72" s="101" t="str">
        <f t="shared" si="14"/>
        <v/>
      </c>
      <c r="AT72" s="96" t="s">
        <v>372</v>
      </c>
      <c r="AV72" t="str">
        <f>IF('Proposed Lighting'!CN69&gt;0,"No","Yes")</f>
        <v>Yes</v>
      </c>
    </row>
    <row r="73" spans="1:48" ht="34.5" customHeight="1" outlineLevel="1">
      <c r="A73" s="96" t="s">
        <v>373</v>
      </c>
      <c r="B73" s="96" t="str">
        <f>IF(ISNUMBER(SEARCH("case",E73)),"COM_MISC_REFR_ALL_UNKN1991",IF('Proposed Lighting'!AU70=3,"Commercial-All Com-ExtLight",IF('Proposed Lighting'!AH70&gt;8759,"IPC_8760","Commercial-All Com-IntLight")))</f>
        <v>IPC_8760</v>
      </c>
      <c r="C73" s="96" t="str">
        <f>IF(OR('Proposed Lighting'!DD70="Standard Incentive",'Proposed Lighting'!DD70="Non-Standard Incentive"),"Yes",IF(AND(IF(ISNUMBER(SEARCH("controls",'Proposed Lighting'!T70)),"True","False")="False",'Proposed Lighting'!DD70="Submit Control as Non-Standard"),"Yes","No"))</f>
        <v>No</v>
      </c>
      <c r="D73" s="1403">
        <f>'Proposed Lighting'!CV70-Q73</f>
        <v>0</v>
      </c>
      <c r="E73" s="143">
        <f>'Proposed Lighting'!T70</f>
        <v>0</v>
      </c>
      <c r="F73" s="143">
        <f>'Proposed Lighting'!F70</f>
        <v>0</v>
      </c>
      <c r="G73" s="96" t="s">
        <v>242</v>
      </c>
      <c r="H73" s="142" t="str">
        <f>'Proposed Lighting'!CP70</f>
        <v/>
      </c>
      <c r="I73" s="98">
        <v>1</v>
      </c>
      <c r="J73" s="142">
        <f>'Proposed Lighting'!AA70</f>
        <v>0</v>
      </c>
      <c r="K73" s="142" t="str">
        <f>IF(ISNUMBER(SEARCH("-C",'Proposed Lighting'!M70)),'Proposed Lighting'!AH70*0.9,'Proposed Lighting'!AH70)</f>
        <v/>
      </c>
      <c r="L73" s="142">
        <f>IFERROR(IF(OR('Proposed Lighting'!BC70=22,'Proposed Lighting'!BC70=44),1-25%,IF(OR('Proposed Lighting'!BC70=23,'Proposed Lighting'!BC70=46),1-30%,IF(OR('Proposed Lighting'!BC70=29,'Proposed Lighting'!BC70=39,'Proposed Lighting'!BC70=49),1-35%,IF(OR('Proposed Lighting'!BC70=24,'Proposed Lighting'!BC70=48),1-50%,IF(AND(ISNUMBER(SEARCH("-C",'Proposed Lighting'!M70)),'Proposed Lighting'!AU70=2),90%,100%)))))*'Proposed Lighting'!AH70,0)</f>
        <v>0</v>
      </c>
      <c r="M73" s="87">
        <f t="shared" si="0"/>
        <v>0</v>
      </c>
      <c r="N73" s="87">
        <f>IFERROR(IF('Proposed Lighting'!AU70=1,0,'Proposed Lighting'!AO70),0)</f>
        <v>0</v>
      </c>
      <c r="O73" s="88">
        <f>IF('Proposed Lighting'!AU70=1,0,'Proposed Lighting'!AP70)</f>
        <v>0</v>
      </c>
      <c r="P73" s="87">
        <f t="shared" si="1"/>
        <v>0</v>
      </c>
      <c r="Q73" s="98">
        <f t="shared" si="8"/>
        <v>0</v>
      </c>
      <c r="R73" s="99">
        <f>IFERROR(IF('Proposed Lighting'!T70="Lighting controls only",0,ROUND(IF('Proposed Lighting'!AQ70&lt;'Proposed Lighting'!AR70,0,IF('Proposed Lighting'!AH70=0,0,IF('Proposed Lighting'!BV70&gt;0,'Proposed Lighting'!BV70,IF('Proposed Lighting'!CL70=0,MIN('Proposed Lighting'!CN70:CO70),IF('Proposed Lighting'!CX70&gt;0,'Proposed Lighting'!CX70*'Proposed Lighting'!AA70,0))))),2)),0)</f>
        <v>0</v>
      </c>
      <c r="S73" s="99">
        <f>IF('Proposed Lighting'!AJ70&gt;0,'Proposed Lighting'!AJ70*J73,'Proposed Lighting'!$AU$328*J73)</f>
        <v>0</v>
      </c>
      <c r="T73" s="602">
        <f t="shared" si="2"/>
        <v>0</v>
      </c>
      <c r="U73" s="100"/>
      <c r="V73" s="99">
        <f t="shared" si="9"/>
        <v>0</v>
      </c>
      <c r="W73" s="99">
        <f t="shared" si="10"/>
        <v>0</v>
      </c>
      <c r="X73" s="99">
        <f t="shared" si="3"/>
        <v>0</v>
      </c>
      <c r="Y73" s="99"/>
      <c r="Z73" s="99">
        <f t="shared" si="11"/>
        <v>0</v>
      </c>
      <c r="AA73" s="99"/>
      <c r="AB73" s="99">
        <f t="shared" si="4"/>
        <v>0</v>
      </c>
      <c r="AC73" s="101" t="str">
        <f t="shared" si="5"/>
        <v/>
      </c>
      <c r="AD73" s="101" t="str">
        <f t="shared" si="6"/>
        <v/>
      </c>
      <c r="AE73" s="101" t="str">
        <f t="shared" si="7"/>
        <v/>
      </c>
      <c r="AF73" s="72"/>
      <c r="AG73" s="98">
        <f>IFERROR(IF($AV73="No",0,IF($AV73="yes",Summary!Q73,"")),"")</f>
        <v>0</v>
      </c>
      <c r="AH73" s="99">
        <f>IFERROR(IF($AV73="No",0,IF($AV73="yes",Summary!R73,"")),"")</f>
        <v>0</v>
      </c>
      <c r="AI73" s="99">
        <f>IFERROR(IF($AV73="No",0,IF($AV73="yes",Summary!S73,"")),"")</f>
        <v>0</v>
      </c>
      <c r="AJ73" s="602">
        <f>IFERROR(IF($AV73="No",0,IF($AV73="yes",Summary!T73,"")),"")</f>
        <v>0</v>
      </c>
      <c r="AK73" s="100">
        <f>IFERROR(IF($AV73="No",0,IF($AV73="yes",Summary!U73,"")),"")</f>
        <v>0</v>
      </c>
      <c r="AL73" s="99">
        <f>IFERROR(IF($AV73="No",0,IF($AV73="yes",Summary!V73,"")),"")</f>
        <v>0</v>
      </c>
      <c r="AM73" s="99">
        <f>IFERROR(IF($AV73="No",0,IF($AV73="yes",Summary!W73,"")),"")</f>
        <v>0</v>
      </c>
      <c r="AN73" s="99">
        <f>IFERROR(IF($AV73="No",0,IF($AV73="yes",Summary!X73,"")),"")</f>
        <v>0</v>
      </c>
      <c r="AO73" s="99">
        <f>IFERROR(IF($AV73="No",0,IF($AV73="yes",Summary!Y73+Z73,"")),"")</f>
        <v>0</v>
      </c>
      <c r="AP73" s="99">
        <f>IFERROR(IF($AV73="No",0,IF($AV73="yes",Summary!AB73,"")),"")</f>
        <v>0</v>
      </c>
      <c r="AQ73" s="101" t="str">
        <f t="shared" si="12"/>
        <v/>
      </c>
      <c r="AR73" s="101" t="str">
        <f t="shared" si="13"/>
        <v/>
      </c>
      <c r="AS73" s="101" t="str">
        <f t="shared" si="14"/>
        <v/>
      </c>
      <c r="AT73" s="96" t="s">
        <v>373</v>
      </c>
      <c r="AV73" t="str">
        <f>IF('Proposed Lighting'!CN70&gt;0,"No","Yes")</f>
        <v>Yes</v>
      </c>
    </row>
    <row r="74" spans="1:48" ht="34.5" customHeight="1" outlineLevel="1">
      <c r="A74" s="96" t="s">
        <v>374</v>
      </c>
      <c r="B74" s="96" t="str">
        <f>IF(ISNUMBER(SEARCH("case",E74)),"COM_MISC_REFR_ALL_UNKN1991",IF('Proposed Lighting'!AU71=3,"Commercial-All Com-ExtLight",IF('Proposed Lighting'!AH71&gt;8759,"IPC_8760","Commercial-All Com-IntLight")))</f>
        <v>IPC_8760</v>
      </c>
      <c r="C74" s="96" t="str">
        <f>IF(OR('Proposed Lighting'!DD71="Standard Incentive",'Proposed Lighting'!DD71="Non-Standard Incentive"),"Yes",IF(AND(IF(ISNUMBER(SEARCH("controls",'Proposed Lighting'!T71)),"True","False")="False",'Proposed Lighting'!DD71="Submit Control as Non-Standard"),"Yes","No"))</f>
        <v>No</v>
      </c>
      <c r="D74" s="1403">
        <f>'Proposed Lighting'!CV71-Q74</f>
        <v>0</v>
      </c>
      <c r="E74" s="143">
        <f>'Proposed Lighting'!T71</f>
        <v>0</v>
      </c>
      <c r="F74" s="143">
        <f>'Proposed Lighting'!F71</f>
        <v>0</v>
      </c>
      <c r="G74" s="96" t="s">
        <v>242</v>
      </c>
      <c r="H74" s="142" t="str">
        <f>'Proposed Lighting'!CP71</f>
        <v/>
      </c>
      <c r="I74" s="98">
        <v>1</v>
      </c>
      <c r="J74" s="142">
        <f>'Proposed Lighting'!AA71</f>
        <v>0</v>
      </c>
      <c r="K74" s="142" t="str">
        <f>IF(ISNUMBER(SEARCH("-C",'Proposed Lighting'!M71)),'Proposed Lighting'!AH71*0.9,'Proposed Lighting'!AH71)</f>
        <v/>
      </c>
      <c r="L74" s="142">
        <f>IFERROR(IF(OR('Proposed Lighting'!BC71=22,'Proposed Lighting'!BC71=44),1-25%,IF(OR('Proposed Lighting'!BC71=23,'Proposed Lighting'!BC71=46),1-30%,IF(OR('Proposed Lighting'!BC71=29,'Proposed Lighting'!BC71=39,'Proposed Lighting'!BC71=49),1-35%,IF(OR('Proposed Lighting'!BC71=24,'Proposed Lighting'!BC71=48),1-50%,IF(AND(ISNUMBER(SEARCH("-C",'Proposed Lighting'!M71)),'Proposed Lighting'!AU71=2),90%,100%)))))*'Proposed Lighting'!AH71,0)</f>
        <v>0</v>
      </c>
      <c r="M74" s="87">
        <f t="shared" si="0"/>
        <v>0</v>
      </c>
      <c r="N74" s="87">
        <f>IFERROR(IF('Proposed Lighting'!AU71=1,0,'Proposed Lighting'!AO71),0)</f>
        <v>0</v>
      </c>
      <c r="O74" s="88">
        <f>IF('Proposed Lighting'!AU71=1,0,'Proposed Lighting'!AP71)</f>
        <v>0</v>
      </c>
      <c r="P74" s="87">
        <f t="shared" si="1"/>
        <v>0</v>
      </c>
      <c r="Q74" s="98">
        <f t="shared" si="8"/>
        <v>0</v>
      </c>
      <c r="R74" s="99">
        <f>IFERROR(IF('Proposed Lighting'!T71="Lighting controls only",0,ROUND(IF('Proposed Lighting'!AQ71&lt;'Proposed Lighting'!AR71,0,IF('Proposed Lighting'!AH71=0,0,IF('Proposed Lighting'!BV71&gt;0,'Proposed Lighting'!BV71,IF('Proposed Lighting'!CL71=0,MIN('Proposed Lighting'!CN71:CO71),IF('Proposed Lighting'!CX71&gt;0,'Proposed Lighting'!CX71*'Proposed Lighting'!AA71,0))))),2)),0)</f>
        <v>0</v>
      </c>
      <c r="S74" s="99">
        <f>IF('Proposed Lighting'!AJ71&gt;0,'Proposed Lighting'!AJ71*J74,'Proposed Lighting'!$AU$328*J74)</f>
        <v>0</v>
      </c>
      <c r="T74" s="602">
        <f t="shared" si="2"/>
        <v>0</v>
      </c>
      <c r="U74" s="100"/>
      <c r="V74" s="99">
        <f t="shared" si="9"/>
        <v>0</v>
      </c>
      <c r="W74" s="99">
        <f t="shared" si="10"/>
        <v>0</v>
      </c>
      <c r="X74" s="99">
        <f t="shared" si="3"/>
        <v>0</v>
      </c>
      <c r="Y74" s="99"/>
      <c r="Z74" s="99">
        <f t="shared" si="11"/>
        <v>0</v>
      </c>
      <c r="AA74" s="99"/>
      <c r="AB74" s="99">
        <f t="shared" si="4"/>
        <v>0</v>
      </c>
      <c r="AC74" s="101" t="str">
        <f t="shared" si="5"/>
        <v/>
      </c>
      <c r="AD74" s="101" t="str">
        <f t="shared" si="6"/>
        <v/>
      </c>
      <c r="AE74" s="101" t="str">
        <f t="shared" si="7"/>
        <v/>
      </c>
      <c r="AF74" s="72"/>
      <c r="AG74" s="98">
        <f>IFERROR(IF($AV74="No",0,IF($AV74="yes",Summary!Q74,"")),"")</f>
        <v>0</v>
      </c>
      <c r="AH74" s="99">
        <f>IFERROR(IF($AV74="No",0,IF($AV74="yes",Summary!R74,"")),"")</f>
        <v>0</v>
      </c>
      <c r="AI74" s="99">
        <f>IFERROR(IF($AV74="No",0,IF($AV74="yes",Summary!S74,"")),"")</f>
        <v>0</v>
      </c>
      <c r="AJ74" s="602">
        <f>IFERROR(IF($AV74="No",0,IF($AV74="yes",Summary!T74,"")),"")</f>
        <v>0</v>
      </c>
      <c r="AK74" s="100">
        <f>IFERROR(IF($AV74="No",0,IF($AV74="yes",Summary!U74,"")),"")</f>
        <v>0</v>
      </c>
      <c r="AL74" s="99">
        <f>IFERROR(IF($AV74="No",0,IF($AV74="yes",Summary!V74,"")),"")</f>
        <v>0</v>
      </c>
      <c r="AM74" s="99">
        <f>IFERROR(IF($AV74="No",0,IF($AV74="yes",Summary!W74,"")),"")</f>
        <v>0</v>
      </c>
      <c r="AN74" s="99">
        <f>IFERROR(IF($AV74="No",0,IF($AV74="yes",Summary!X74,"")),"")</f>
        <v>0</v>
      </c>
      <c r="AO74" s="99">
        <f>IFERROR(IF($AV74="No",0,IF($AV74="yes",Summary!Y74+Z74,"")),"")</f>
        <v>0</v>
      </c>
      <c r="AP74" s="99">
        <f>IFERROR(IF($AV74="No",0,IF($AV74="yes",Summary!AB74,"")),"")</f>
        <v>0</v>
      </c>
      <c r="AQ74" s="101" t="str">
        <f t="shared" si="12"/>
        <v/>
      </c>
      <c r="AR74" s="101" t="str">
        <f t="shared" si="13"/>
        <v/>
      </c>
      <c r="AS74" s="101" t="str">
        <f t="shared" si="14"/>
        <v/>
      </c>
      <c r="AT74" s="96" t="s">
        <v>374</v>
      </c>
      <c r="AV74" t="str">
        <f>IF('Proposed Lighting'!CN71&gt;0,"No","Yes")</f>
        <v>Yes</v>
      </c>
    </row>
    <row r="75" spans="1:48" ht="34.5" customHeight="1" outlineLevel="1">
      <c r="A75" s="96" t="s">
        <v>375</v>
      </c>
      <c r="B75" s="96" t="str">
        <f>IF(ISNUMBER(SEARCH("case",E75)),"COM_MISC_REFR_ALL_UNKN1991",IF('Proposed Lighting'!AU72=3,"Commercial-All Com-ExtLight",IF('Proposed Lighting'!AH72&gt;8759,"IPC_8760","Commercial-All Com-IntLight")))</f>
        <v>IPC_8760</v>
      </c>
      <c r="C75" s="96" t="str">
        <f>IF(OR('Proposed Lighting'!DD72="Standard Incentive",'Proposed Lighting'!DD72="Non-Standard Incentive"),"Yes",IF(AND(IF(ISNUMBER(SEARCH("controls",'Proposed Lighting'!T72)),"True","False")="False",'Proposed Lighting'!DD72="Submit Control as Non-Standard"),"Yes","No"))</f>
        <v>No</v>
      </c>
      <c r="D75" s="1403">
        <f>'Proposed Lighting'!CV72-Q75</f>
        <v>0</v>
      </c>
      <c r="E75" s="143">
        <f>'Proposed Lighting'!T72</f>
        <v>0</v>
      </c>
      <c r="F75" s="143">
        <f>'Proposed Lighting'!F72</f>
        <v>0</v>
      </c>
      <c r="G75" s="96" t="s">
        <v>242</v>
      </c>
      <c r="H75" s="142" t="str">
        <f>'Proposed Lighting'!CP72</f>
        <v/>
      </c>
      <c r="I75" s="98">
        <v>1</v>
      </c>
      <c r="J75" s="142">
        <f>'Proposed Lighting'!AA72</f>
        <v>0</v>
      </c>
      <c r="K75" s="142" t="str">
        <f>IF(ISNUMBER(SEARCH("-C",'Proposed Lighting'!M72)),'Proposed Lighting'!AH72*0.9,'Proposed Lighting'!AH72)</f>
        <v/>
      </c>
      <c r="L75" s="142">
        <f>IFERROR(IF(OR('Proposed Lighting'!BC72=22,'Proposed Lighting'!BC72=44),1-25%,IF(OR('Proposed Lighting'!BC72=23,'Proposed Lighting'!BC72=46),1-30%,IF(OR('Proposed Lighting'!BC72=29,'Proposed Lighting'!BC72=39,'Proposed Lighting'!BC72=49),1-35%,IF(OR('Proposed Lighting'!BC72=24,'Proposed Lighting'!BC72=48),1-50%,IF(AND(ISNUMBER(SEARCH("-C",'Proposed Lighting'!M72)),'Proposed Lighting'!AU72=2),90%,100%)))))*'Proposed Lighting'!AH72,0)</f>
        <v>0</v>
      </c>
      <c r="M75" s="87">
        <f t="shared" si="0"/>
        <v>0</v>
      </c>
      <c r="N75" s="87">
        <f>IFERROR(IF('Proposed Lighting'!AU72=1,0,'Proposed Lighting'!AO72),0)</f>
        <v>0</v>
      </c>
      <c r="O75" s="88">
        <f>IF('Proposed Lighting'!AU72=1,0,'Proposed Lighting'!AP72)</f>
        <v>0</v>
      </c>
      <c r="P75" s="87">
        <f t="shared" si="1"/>
        <v>0</v>
      </c>
      <c r="Q75" s="98">
        <f t="shared" si="8"/>
        <v>0</v>
      </c>
      <c r="R75" s="99">
        <f>IFERROR(IF('Proposed Lighting'!T72="Lighting controls only",0,ROUND(IF('Proposed Lighting'!AQ72&lt;'Proposed Lighting'!AR72,0,IF('Proposed Lighting'!AH72=0,0,IF('Proposed Lighting'!BV72&gt;0,'Proposed Lighting'!BV72,IF('Proposed Lighting'!CL72=0,MIN('Proposed Lighting'!CN72:CO72),IF('Proposed Lighting'!CX72&gt;0,'Proposed Lighting'!CX72*'Proposed Lighting'!AA72,0))))),2)),0)</f>
        <v>0</v>
      </c>
      <c r="S75" s="99">
        <f>IF('Proposed Lighting'!AJ72&gt;0,'Proposed Lighting'!AJ72*J75,'Proposed Lighting'!$AU$328*J75)</f>
        <v>0</v>
      </c>
      <c r="T75" s="602">
        <f t="shared" si="2"/>
        <v>0</v>
      </c>
      <c r="U75" s="100"/>
      <c r="V75" s="99">
        <f t="shared" si="9"/>
        <v>0</v>
      </c>
      <c r="W75" s="99">
        <f t="shared" si="10"/>
        <v>0</v>
      </c>
      <c r="X75" s="99">
        <f t="shared" si="3"/>
        <v>0</v>
      </c>
      <c r="Y75" s="99"/>
      <c r="Z75" s="99">
        <f t="shared" si="11"/>
        <v>0</v>
      </c>
      <c r="AA75" s="99"/>
      <c r="AB75" s="99">
        <f t="shared" si="4"/>
        <v>0</v>
      </c>
      <c r="AC75" s="101" t="str">
        <f t="shared" si="5"/>
        <v/>
      </c>
      <c r="AD75" s="101" t="str">
        <f t="shared" si="6"/>
        <v/>
      </c>
      <c r="AE75" s="101" t="str">
        <f t="shared" si="7"/>
        <v/>
      </c>
      <c r="AF75" s="72"/>
      <c r="AG75" s="98">
        <f>IFERROR(IF($AV75="No",0,IF($AV75="yes",Summary!Q75,"")),"")</f>
        <v>0</v>
      </c>
      <c r="AH75" s="99">
        <f>IFERROR(IF($AV75="No",0,IF($AV75="yes",Summary!R75,"")),"")</f>
        <v>0</v>
      </c>
      <c r="AI75" s="99">
        <f>IFERROR(IF($AV75="No",0,IF($AV75="yes",Summary!S75,"")),"")</f>
        <v>0</v>
      </c>
      <c r="AJ75" s="602">
        <f>IFERROR(IF($AV75="No",0,IF($AV75="yes",Summary!T75,"")),"")</f>
        <v>0</v>
      </c>
      <c r="AK75" s="100">
        <f>IFERROR(IF($AV75="No",0,IF($AV75="yes",Summary!U75,"")),"")</f>
        <v>0</v>
      </c>
      <c r="AL75" s="99">
        <f>IFERROR(IF($AV75="No",0,IF($AV75="yes",Summary!V75,"")),"")</f>
        <v>0</v>
      </c>
      <c r="AM75" s="99">
        <f>IFERROR(IF($AV75="No",0,IF($AV75="yes",Summary!W75,"")),"")</f>
        <v>0</v>
      </c>
      <c r="AN75" s="99">
        <f>IFERROR(IF($AV75="No",0,IF($AV75="yes",Summary!X75,"")),"")</f>
        <v>0</v>
      </c>
      <c r="AO75" s="99">
        <f>IFERROR(IF($AV75="No",0,IF($AV75="yes",Summary!Y75+Z75,"")),"")</f>
        <v>0</v>
      </c>
      <c r="AP75" s="99">
        <f>IFERROR(IF($AV75="No",0,IF($AV75="yes",Summary!AB75,"")),"")</f>
        <v>0</v>
      </c>
      <c r="AQ75" s="101" t="str">
        <f t="shared" si="12"/>
        <v/>
      </c>
      <c r="AR75" s="101" t="str">
        <f t="shared" si="13"/>
        <v/>
      </c>
      <c r="AS75" s="101" t="str">
        <f t="shared" si="14"/>
        <v/>
      </c>
      <c r="AT75" s="96" t="s">
        <v>375</v>
      </c>
      <c r="AV75" t="str">
        <f>IF('Proposed Lighting'!CN72&gt;0,"No","Yes")</f>
        <v>Yes</v>
      </c>
    </row>
    <row r="76" spans="1:48" ht="34.5" customHeight="1" outlineLevel="1">
      <c r="A76" s="96" t="s">
        <v>376</v>
      </c>
      <c r="B76" s="96" t="str">
        <f>IF(ISNUMBER(SEARCH("case",E76)),"COM_MISC_REFR_ALL_UNKN1991",IF('Proposed Lighting'!AU73=3,"Commercial-All Com-ExtLight",IF('Proposed Lighting'!AH73&gt;8759,"IPC_8760","Commercial-All Com-IntLight")))</f>
        <v>IPC_8760</v>
      </c>
      <c r="C76" s="96" t="str">
        <f>IF(OR('Proposed Lighting'!DD73="Standard Incentive",'Proposed Lighting'!DD73="Non-Standard Incentive"),"Yes",IF(AND(IF(ISNUMBER(SEARCH("controls",'Proposed Lighting'!T73)),"True","False")="False",'Proposed Lighting'!DD73="Submit Control as Non-Standard"),"Yes","No"))</f>
        <v>No</v>
      </c>
      <c r="D76" s="1403">
        <f>'Proposed Lighting'!CV73-Q76</f>
        <v>0</v>
      </c>
      <c r="E76" s="143">
        <f>'Proposed Lighting'!T73</f>
        <v>0</v>
      </c>
      <c r="F76" s="143">
        <f>'Proposed Lighting'!F73</f>
        <v>0</v>
      </c>
      <c r="G76" s="96" t="s">
        <v>242</v>
      </c>
      <c r="H76" s="142" t="str">
        <f>'Proposed Lighting'!CP73</f>
        <v/>
      </c>
      <c r="I76" s="98">
        <v>1</v>
      </c>
      <c r="J76" s="142">
        <f>'Proposed Lighting'!AA73</f>
        <v>0</v>
      </c>
      <c r="K76" s="142" t="str">
        <f>IF(ISNUMBER(SEARCH("-C",'Proposed Lighting'!M73)),'Proposed Lighting'!AH73*0.9,'Proposed Lighting'!AH73)</f>
        <v/>
      </c>
      <c r="L76" s="142">
        <f>IFERROR(IF(OR('Proposed Lighting'!BC73=22,'Proposed Lighting'!BC73=44),1-25%,IF(OR('Proposed Lighting'!BC73=23,'Proposed Lighting'!BC73=46),1-30%,IF(OR('Proposed Lighting'!BC73=29,'Proposed Lighting'!BC73=39,'Proposed Lighting'!BC73=49),1-35%,IF(OR('Proposed Lighting'!BC73=24,'Proposed Lighting'!BC73=48),1-50%,IF(AND(ISNUMBER(SEARCH("-C",'Proposed Lighting'!M73)),'Proposed Lighting'!AU73=2),90%,100%)))))*'Proposed Lighting'!AH73,0)</f>
        <v>0</v>
      </c>
      <c r="M76" s="87">
        <f t="shared" ref="M76:M139" si="15">IFERROR(K76-L76,0)</f>
        <v>0</v>
      </c>
      <c r="N76" s="87">
        <f>IFERROR(IF('Proposed Lighting'!AU73=1,0,'Proposed Lighting'!AO73),0)</f>
        <v>0</v>
      </c>
      <c r="O76" s="88">
        <f>IF('Proposed Lighting'!AU73=1,0,'Proposed Lighting'!AP73)</f>
        <v>0</v>
      </c>
      <c r="P76" s="87">
        <f t="shared" ref="P76:P139" si="16">N76-O76</f>
        <v>0</v>
      </c>
      <c r="Q76" s="98">
        <f t="shared" si="8"/>
        <v>0</v>
      </c>
      <c r="R76" s="99">
        <f>IFERROR(IF('Proposed Lighting'!T73="Lighting controls only",0,ROUND(IF('Proposed Lighting'!AQ73&lt;'Proposed Lighting'!AR73,0,IF('Proposed Lighting'!AH73=0,0,IF('Proposed Lighting'!BV73&gt;0,'Proposed Lighting'!BV73,IF('Proposed Lighting'!CL73=0,MIN('Proposed Lighting'!CN73:CO73),IF('Proposed Lighting'!CX73&gt;0,'Proposed Lighting'!CX73*'Proposed Lighting'!AA73,0))))),2)),0)</f>
        <v>0</v>
      </c>
      <c r="S76" s="99">
        <f>IF('Proposed Lighting'!AJ73&gt;0,'Proposed Lighting'!AJ73*J76,'Proposed Lighting'!$AU$328*J76)</f>
        <v>0</v>
      </c>
      <c r="T76" s="602">
        <f t="shared" ref="T76:T139" si="17">IF(Q76=0,0,S76/SUM($S$12:$S$311))</f>
        <v>0</v>
      </c>
      <c r="U76" s="100"/>
      <c r="V76" s="99">
        <f t="shared" ref="V76:V139" si="18">IFERROR((PV($C$6,$H76,-(IF(Q76=0,Q76,Q76)))*$C$7)*((1+$C$6)^0.5),0)</f>
        <v>0</v>
      </c>
      <c r="W76" s="99">
        <f t="shared" ref="W76:W139" si="19">IFERROR((VLOOKUP($B76,loadshapeac,$H76+1,FALSE)*$Q76),0)</f>
        <v>0</v>
      </c>
      <c r="X76" s="99">
        <f t="shared" ref="X76:X139" si="20">IFERROR((VLOOKUP($B76,loadshapeac,$H76+1,FALSE)*$Q76)*1.1,0)</f>
        <v>0</v>
      </c>
      <c r="Y76" s="99"/>
      <c r="Z76" s="99">
        <f t="shared" si="11"/>
        <v>0</v>
      </c>
      <c r="AA76" s="99"/>
      <c r="AB76" s="99">
        <f t="shared" ref="AB76:AB139" si="21">IFERROR(PV($C$6,$H76,-$AA76)*((1+$C$6)^0.5),0)</f>
        <v>0</v>
      </c>
      <c r="AC76" s="101" t="str">
        <f t="shared" ref="AC76:AC139" si="22">IFERROR(IF($Q76&lt;0,"",(V76+R76+Y76+Z76+AB76)/(S76)),"")</f>
        <v/>
      </c>
      <c r="AD76" s="101" t="str">
        <f t="shared" ref="AD76:AD139" si="23">IFERROR(IF($Q76&lt;0,"",(I76*W76)/(((IF(Q76=0,Q76,Q76))*U76)+R76)),"")</f>
        <v/>
      </c>
      <c r="AE76" s="101" t="str">
        <f t="shared" ref="AE76:AE139" si="24">IFERROR(IF($Q76&lt;0,"",IF(S76=0,((X76+Y76+Z76+AB76)*I76)/((Q76*U76)+R76),((X76+Y76+Z76+AB76)*I76)/((Q76*U76)+R76+((S76-R76)*I76)))),"")</f>
        <v/>
      </c>
      <c r="AF76" s="72"/>
      <c r="AG76" s="98">
        <f>IFERROR(IF($AV76="No",0,IF($AV76="yes",Summary!Q76,"")),"")</f>
        <v>0</v>
      </c>
      <c r="AH76" s="99">
        <f>IFERROR(IF($AV76="No",0,IF($AV76="yes",Summary!R76,"")),"")</f>
        <v>0</v>
      </c>
      <c r="AI76" s="99">
        <f>IFERROR(IF($AV76="No",0,IF($AV76="yes",Summary!S76,"")),"")</f>
        <v>0</v>
      </c>
      <c r="AJ76" s="602">
        <f>IFERROR(IF($AV76="No",0,IF($AV76="yes",Summary!T76,"")),"")</f>
        <v>0</v>
      </c>
      <c r="AK76" s="100">
        <f>IFERROR(IF($AV76="No",0,IF($AV76="yes",Summary!U76,"")),"")</f>
        <v>0</v>
      </c>
      <c r="AL76" s="99">
        <f>IFERROR(IF($AV76="No",0,IF($AV76="yes",Summary!V76,"")),"")</f>
        <v>0</v>
      </c>
      <c r="AM76" s="99">
        <f>IFERROR(IF($AV76="No",0,IF($AV76="yes",Summary!W76,"")),"")</f>
        <v>0</v>
      </c>
      <c r="AN76" s="99">
        <f>IFERROR(IF($AV76="No",0,IF($AV76="yes",Summary!X76,"")),"")</f>
        <v>0</v>
      </c>
      <c r="AO76" s="99">
        <f>IFERROR(IF($AV76="No",0,IF($AV76="yes",Summary!Y76+Z76,"")),"")</f>
        <v>0</v>
      </c>
      <c r="AP76" s="99">
        <f>IFERROR(IF($AV76="No",0,IF($AV76="yes",Summary!AB76,"")),"")</f>
        <v>0</v>
      </c>
      <c r="AQ76" s="101" t="str">
        <f t="shared" si="12"/>
        <v/>
      </c>
      <c r="AR76" s="101" t="str">
        <f t="shared" si="13"/>
        <v/>
      </c>
      <c r="AS76" s="101" t="str">
        <f t="shared" si="14"/>
        <v/>
      </c>
      <c r="AT76" s="96" t="s">
        <v>376</v>
      </c>
      <c r="AV76" t="str">
        <f>IF('Proposed Lighting'!CN73&gt;0,"No","Yes")</f>
        <v>Yes</v>
      </c>
    </row>
    <row r="77" spans="1:48" ht="34.5" customHeight="1" outlineLevel="1">
      <c r="A77" s="96" t="s">
        <v>377</v>
      </c>
      <c r="B77" s="96" t="str">
        <f>IF(ISNUMBER(SEARCH("case",E77)),"COM_MISC_REFR_ALL_UNKN1991",IF('Proposed Lighting'!AU74=3,"Commercial-All Com-ExtLight",IF('Proposed Lighting'!AH74&gt;8759,"IPC_8760","Commercial-All Com-IntLight")))</f>
        <v>IPC_8760</v>
      </c>
      <c r="C77" s="96" t="str">
        <f>IF(OR('Proposed Lighting'!DD74="Standard Incentive",'Proposed Lighting'!DD74="Non-Standard Incentive"),"Yes",IF(AND(IF(ISNUMBER(SEARCH("controls",'Proposed Lighting'!T74)),"True","False")="False",'Proposed Lighting'!DD74="Submit Control as Non-Standard"),"Yes","No"))</f>
        <v>No</v>
      </c>
      <c r="D77" s="1403">
        <f>'Proposed Lighting'!CV74-Q77</f>
        <v>0</v>
      </c>
      <c r="E77" s="143">
        <f>'Proposed Lighting'!T74</f>
        <v>0</v>
      </c>
      <c r="F77" s="143">
        <f>'Proposed Lighting'!F74</f>
        <v>0</v>
      </c>
      <c r="G77" s="96" t="s">
        <v>242</v>
      </c>
      <c r="H77" s="142" t="str">
        <f>'Proposed Lighting'!CP74</f>
        <v/>
      </c>
      <c r="I77" s="98">
        <v>1</v>
      </c>
      <c r="J77" s="142">
        <f>'Proposed Lighting'!AA74</f>
        <v>0</v>
      </c>
      <c r="K77" s="142" t="str">
        <f>IF(ISNUMBER(SEARCH("-C",'Proposed Lighting'!M74)),'Proposed Lighting'!AH74*0.9,'Proposed Lighting'!AH74)</f>
        <v/>
      </c>
      <c r="L77" s="142">
        <f>IFERROR(IF(OR('Proposed Lighting'!BC74=22,'Proposed Lighting'!BC74=44),1-25%,IF(OR('Proposed Lighting'!BC74=23,'Proposed Lighting'!BC74=46),1-30%,IF(OR('Proposed Lighting'!BC74=29,'Proposed Lighting'!BC74=39,'Proposed Lighting'!BC74=49),1-35%,IF(OR('Proposed Lighting'!BC74=24,'Proposed Lighting'!BC74=48),1-50%,IF(AND(ISNUMBER(SEARCH("-C",'Proposed Lighting'!M74)),'Proposed Lighting'!AU74=2),90%,100%)))))*'Proposed Lighting'!AH74,0)</f>
        <v>0</v>
      </c>
      <c r="M77" s="87">
        <f t="shared" si="15"/>
        <v>0</v>
      </c>
      <c r="N77" s="87">
        <f>IFERROR(IF('Proposed Lighting'!AU74=1,0,'Proposed Lighting'!AO74),0)</f>
        <v>0</v>
      </c>
      <c r="O77" s="88">
        <f>IF('Proposed Lighting'!AU74=1,0,'Proposed Lighting'!AP74)</f>
        <v>0</v>
      </c>
      <c r="P77" s="87">
        <f t="shared" si="16"/>
        <v>0</v>
      </c>
      <c r="Q77" s="98">
        <f t="shared" ref="Q77:Q140" si="25">IFERROR(ROUND(ROUND(IF(((K77*N77)-(L77*O77))&lt;0,0,(K77*N77)-(L77*O77)),2),0),0)</f>
        <v>0</v>
      </c>
      <c r="R77" s="99">
        <f>IFERROR(IF('Proposed Lighting'!T74="Lighting controls only",0,ROUND(IF('Proposed Lighting'!AQ74&lt;'Proposed Lighting'!AR74,0,IF('Proposed Lighting'!AH74=0,0,IF('Proposed Lighting'!BV74&gt;0,'Proposed Lighting'!BV74,IF('Proposed Lighting'!CL74=0,MIN('Proposed Lighting'!CN74:CO74),IF('Proposed Lighting'!CX74&gt;0,'Proposed Lighting'!CX74*'Proposed Lighting'!AA74,0))))),2)),0)</f>
        <v>0</v>
      </c>
      <c r="S77" s="99">
        <f>IF('Proposed Lighting'!AJ74&gt;0,'Proposed Lighting'!AJ74*J77,'Proposed Lighting'!$AU$328*J77)</f>
        <v>0</v>
      </c>
      <c r="T77" s="602">
        <f t="shared" si="17"/>
        <v>0</v>
      </c>
      <c r="U77" s="100"/>
      <c r="V77" s="99">
        <f t="shared" si="18"/>
        <v>0</v>
      </c>
      <c r="W77" s="99">
        <f t="shared" si="19"/>
        <v>0</v>
      </c>
      <c r="X77" s="99">
        <f t="shared" si="20"/>
        <v>0</v>
      </c>
      <c r="Y77" s="99"/>
      <c r="Z77" s="99">
        <f t="shared" ref="Z77:Z140" si="26">IF($Y$3="yes",IF(ISNUMBER(SEARCH("LED",$F77)),0,IF(ISNUMBER(SEARCH("LED",$E77)),S77*3%,0)))</f>
        <v>0</v>
      </c>
      <c r="AA77" s="99"/>
      <c r="AB77" s="99">
        <f t="shared" si="21"/>
        <v>0</v>
      </c>
      <c r="AC77" s="101" t="str">
        <f t="shared" si="22"/>
        <v/>
      </c>
      <c r="AD77" s="101" t="str">
        <f t="shared" si="23"/>
        <v/>
      </c>
      <c r="AE77" s="101" t="str">
        <f t="shared" si="24"/>
        <v/>
      </c>
      <c r="AF77" s="72"/>
      <c r="AG77" s="98">
        <f>IFERROR(IF($AV77="No",0,IF($AV77="yes",Summary!Q77,"")),"")</f>
        <v>0</v>
      </c>
      <c r="AH77" s="99">
        <f>IFERROR(IF($AV77="No",0,IF($AV77="yes",Summary!R77,"")),"")</f>
        <v>0</v>
      </c>
      <c r="AI77" s="99">
        <f>IFERROR(IF($AV77="No",0,IF($AV77="yes",Summary!S77,"")),"")</f>
        <v>0</v>
      </c>
      <c r="AJ77" s="602">
        <f>IFERROR(IF($AV77="No",0,IF($AV77="yes",Summary!T77,"")),"")</f>
        <v>0</v>
      </c>
      <c r="AK77" s="100">
        <f>IFERROR(IF($AV77="No",0,IF($AV77="yes",Summary!U77,"")),"")</f>
        <v>0</v>
      </c>
      <c r="AL77" s="99">
        <f>IFERROR(IF($AV77="No",0,IF($AV77="yes",Summary!V77,"")),"")</f>
        <v>0</v>
      </c>
      <c r="AM77" s="99">
        <f>IFERROR(IF($AV77="No",0,IF($AV77="yes",Summary!W77,"")),"")</f>
        <v>0</v>
      </c>
      <c r="AN77" s="99">
        <f>IFERROR(IF($AV77="No",0,IF($AV77="yes",Summary!X77,"")),"")</f>
        <v>0</v>
      </c>
      <c r="AO77" s="99">
        <f>IFERROR(IF($AV77="No",0,IF($AV77="yes",Summary!Y77+Z77,"")),"")</f>
        <v>0</v>
      </c>
      <c r="AP77" s="99">
        <f>IFERROR(IF($AV77="No",0,IF($AV77="yes",Summary!AB77,"")),"")</f>
        <v>0</v>
      </c>
      <c r="AQ77" s="101" t="str">
        <f t="shared" si="12"/>
        <v/>
      </c>
      <c r="AR77" s="101" t="str">
        <f t="shared" si="13"/>
        <v/>
      </c>
      <c r="AS77" s="101" t="str">
        <f t="shared" si="14"/>
        <v/>
      </c>
      <c r="AT77" s="96" t="s">
        <v>377</v>
      </c>
      <c r="AV77" t="str">
        <f>IF('Proposed Lighting'!CN74&gt;0,"No","Yes")</f>
        <v>Yes</v>
      </c>
    </row>
    <row r="78" spans="1:48" ht="34.5" customHeight="1" outlineLevel="1">
      <c r="A78" s="96" t="s">
        <v>378</v>
      </c>
      <c r="B78" s="96" t="str">
        <f>IF(ISNUMBER(SEARCH("case",E78)),"COM_MISC_REFR_ALL_UNKN1991",IF('Proposed Lighting'!AU75=3,"Commercial-All Com-ExtLight",IF('Proposed Lighting'!AH75&gt;8759,"IPC_8760","Commercial-All Com-IntLight")))</f>
        <v>IPC_8760</v>
      </c>
      <c r="C78" s="96" t="str">
        <f>IF(OR('Proposed Lighting'!DD75="Standard Incentive",'Proposed Lighting'!DD75="Non-Standard Incentive"),"Yes",IF(AND(IF(ISNUMBER(SEARCH("controls",'Proposed Lighting'!T75)),"True","False")="False",'Proposed Lighting'!DD75="Submit Control as Non-Standard"),"Yes","No"))</f>
        <v>No</v>
      </c>
      <c r="D78" s="1403">
        <f>'Proposed Lighting'!CV75-Q78</f>
        <v>0</v>
      </c>
      <c r="E78" s="143">
        <f>'Proposed Lighting'!T75</f>
        <v>0</v>
      </c>
      <c r="F78" s="143">
        <f>'Proposed Lighting'!F75</f>
        <v>0</v>
      </c>
      <c r="G78" s="96" t="s">
        <v>242</v>
      </c>
      <c r="H78" s="142" t="str">
        <f>'Proposed Lighting'!CP75</f>
        <v/>
      </c>
      <c r="I78" s="98">
        <v>1</v>
      </c>
      <c r="J78" s="142">
        <f>'Proposed Lighting'!AA75</f>
        <v>0</v>
      </c>
      <c r="K78" s="142" t="str">
        <f>IF(ISNUMBER(SEARCH("-C",'Proposed Lighting'!M75)),'Proposed Lighting'!AH75*0.9,'Proposed Lighting'!AH75)</f>
        <v/>
      </c>
      <c r="L78" s="142">
        <f>IFERROR(IF(OR('Proposed Lighting'!BC75=22,'Proposed Lighting'!BC75=44),1-25%,IF(OR('Proposed Lighting'!BC75=23,'Proposed Lighting'!BC75=46),1-30%,IF(OR('Proposed Lighting'!BC75=29,'Proposed Lighting'!BC75=39,'Proposed Lighting'!BC75=49),1-35%,IF(OR('Proposed Lighting'!BC75=24,'Proposed Lighting'!BC75=48),1-50%,IF(AND(ISNUMBER(SEARCH("-C",'Proposed Lighting'!M75)),'Proposed Lighting'!AU75=2),90%,100%)))))*'Proposed Lighting'!AH75,0)</f>
        <v>0</v>
      </c>
      <c r="M78" s="87">
        <f t="shared" si="15"/>
        <v>0</v>
      </c>
      <c r="N78" s="87">
        <f>IFERROR(IF('Proposed Lighting'!AU75=1,0,'Proposed Lighting'!AO75),0)</f>
        <v>0</v>
      </c>
      <c r="O78" s="88">
        <f>IF('Proposed Lighting'!AU75=1,0,'Proposed Lighting'!AP75)</f>
        <v>0</v>
      </c>
      <c r="P78" s="87">
        <f t="shared" si="16"/>
        <v>0</v>
      </c>
      <c r="Q78" s="98">
        <f t="shared" si="25"/>
        <v>0</v>
      </c>
      <c r="R78" s="99">
        <f>IFERROR(IF('Proposed Lighting'!T75="Lighting controls only",0,ROUND(IF('Proposed Lighting'!AQ75&lt;'Proposed Lighting'!AR75,0,IF('Proposed Lighting'!AH75=0,0,IF('Proposed Lighting'!BV75&gt;0,'Proposed Lighting'!BV75,IF('Proposed Lighting'!CL75=0,MIN('Proposed Lighting'!CN75:CO75),IF('Proposed Lighting'!CX75&gt;0,'Proposed Lighting'!CX75*'Proposed Lighting'!AA75,0))))),2)),0)</f>
        <v>0</v>
      </c>
      <c r="S78" s="99">
        <f>IF('Proposed Lighting'!AJ75&gt;0,'Proposed Lighting'!AJ75*J78,'Proposed Lighting'!$AU$328*J78)</f>
        <v>0</v>
      </c>
      <c r="T78" s="602">
        <f t="shared" si="17"/>
        <v>0</v>
      </c>
      <c r="U78" s="100"/>
      <c r="V78" s="99">
        <f t="shared" si="18"/>
        <v>0</v>
      </c>
      <c r="W78" s="99">
        <f t="shared" si="19"/>
        <v>0</v>
      </c>
      <c r="X78" s="99">
        <f t="shared" si="20"/>
        <v>0</v>
      </c>
      <c r="Y78" s="99"/>
      <c r="Z78" s="99">
        <f t="shared" si="26"/>
        <v>0</v>
      </c>
      <c r="AA78" s="99"/>
      <c r="AB78" s="99">
        <f t="shared" si="21"/>
        <v>0</v>
      </c>
      <c r="AC78" s="101" t="str">
        <f t="shared" si="22"/>
        <v/>
      </c>
      <c r="AD78" s="101" t="str">
        <f t="shared" si="23"/>
        <v/>
      </c>
      <c r="AE78" s="101" t="str">
        <f t="shared" si="24"/>
        <v/>
      </c>
      <c r="AF78" s="72"/>
      <c r="AG78" s="98">
        <f>IFERROR(IF($AV78="No",0,IF($AV78="yes",Summary!Q78,"")),"")</f>
        <v>0</v>
      </c>
      <c r="AH78" s="99">
        <f>IFERROR(IF($AV78="No",0,IF($AV78="yes",Summary!R78,"")),"")</f>
        <v>0</v>
      </c>
      <c r="AI78" s="99">
        <f>IFERROR(IF($AV78="No",0,IF($AV78="yes",Summary!S78,"")),"")</f>
        <v>0</v>
      </c>
      <c r="AJ78" s="602">
        <f>IFERROR(IF($AV78="No",0,IF($AV78="yes",Summary!T78,"")),"")</f>
        <v>0</v>
      </c>
      <c r="AK78" s="100">
        <f>IFERROR(IF($AV78="No",0,IF($AV78="yes",Summary!U78,"")),"")</f>
        <v>0</v>
      </c>
      <c r="AL78" s="99">
        <f>IFERROR(IF($AV78="No",0,IF($AV78="yes",Summary!V78,"")),"")</f>
        <v>0</v>
      </c>
      <c r="AM78" s="99">
        <f>IFERROR(IF($AV78="No",0,IF($AV78="yes",Summary!W78,"")),"")</f>
        <v>0</v>
      </c>
      <c r="AN78" s="99">
        <f>IFERROR(IF($AV78="No",0,IF($AV78="yes",Summary!X78,"")),"")</f>
        <v>0</v>
      </c>
      <c r="AO78" s="99">
        <f>IFERROR(IF($AV78="No",0,IF($AV78="yes",Summary!Y78+Z78,"")),"")</f>
        <v>0</v>
      </c>
      <c r="AP78" s="99">
        <f>IFERROR(IF($AV78="No",0,IF($AV78="yes",Summary!AB78,"")),"")</f>
        <v>0</v>
      </c>
      <c r="AQ78" s="101" t="str">
        <f t="shared" ref="AQ78:AQ141" si="27">IFERROR(IF($AG78&lt;0,"",(AL78+AH78+AO78+AP78)/(AI78)),"")</f>
        <v/>
      </c>
      <c r="AR78" s="101" t="str">
        <f t="shared" ref="AR78:AR141" si="28">IFERROR(IF($AG78&lt;0,"",(I78*AM78)/(((IF(AG78=0,AG78,AG78))*AK78)+AH78)),"")</f>
        <v/>
      </c>
      <c r="AS78" s="101" t="str">
        <f t="shared" ref="AS78:AS141" si="29">IFERROR(IF($AG78&lt;0,"",IF(AI78=0,((AN78+AO78+AP78)*I78)/((AG78*AK78)+AH78),((AN78+AO78+AP78)*I78)/((AG78*AK78)+AH78+((AI78-AH78)*I78)))),"")</f>
        <v/>
      </c>
      <c r="AT78" s="96" t="s">
        <v>378</v>
      </c>
      <c r="AV78" t="str">
        <f>IF('Proposed Lighting'!CN75&gt;0,"No","Yes")</f>
        <v>Yes</v>
      </c>
    </row>
    <row r="79" spans="1:48" ht="34.5" customHeight="1" outlineLevel="1">
      <c r="A79" s="96" t="s">
        <v>379</v>
      </c>
      <c r="B79" s="96" t="str">
        <f>IF(ISNUMBER(SEARCH("case",E79)),"COM_MISC_REFR_ALL_UNKN1991",IF('Proposed Lighting'!AU76=3,"Commercial-All Com-ExtLight",IF('Proposed Lighting'!AH76&gt;8759,"IPC_8760","Commercial-All Com-IntLight")))</f>
        <v>IPC_8760</v>
      </c>
      <c r="C79" s="96" t="str">
        <f>IF(OR('Proposed Lighting'!DD76="Standard Incentive",'Proposed Lighting'!DD76="Non-Standard Incentive"),"Yes",IF(AND(IF(ISNUMBER(SEARCH("controls",'Proposed Lighting'!T76)),"True","False")="False",'Proposed Lighting'!DD76="Submit Control as Non-Standard"),"Yes","No"))</f>
        <v>No</v>
      </c>
      <c r="D79" s="1403">
        <f>'Proposed Lighting'!CV76-Q79</f>
        <v>0</v>
      </c>
      <c r="E79" s="143">
        <f>'Proposed Lighting'!T76</f>
        <v>0</v>
      </c>
      <c r="F79" s="143">
        <f>'Proposed Lighting'!F76</f>
        <v>0</v>
      </c>
      <c r="G79" s="96" t="s">
        <v>242</v>
      </c>
      <c r="H79" s="142" t="str">
        <f>'Proposed Lighting'!CP76</f>
        <v/>
      </c>
      <c r="I79" s="98">
        <v>1</v>
      </c>
      <c r="J79" s="142">
        <f>'Proposed Lighting'!AA76</f>
        <v>0</v>
      </c>
      <c r="K79" s="142" t="str">
        <f>IF(ISNUMBER(SEARCH("-C",'Proposed Lighting'!M76)),'Proposed Lighting'!AH76*0.9,'Proposed Lighting'!AH76)</f>
        <v/>
      </c>
      <c r="L79" s="142">
        <f>IFERROR(IF(OR('Proposed Lighting'!BC76=22,'Proposed Lighting'!BC76=44),1-25%,IF(OR('Proposed Lighting'!BC76=23,'Proposed Lighting'!BC76=46),1-30%,IF(OR('Proposed Lighting'!BC76=29,'Proposed Lighting'!BC76=39,'Proposed Lighting'!BC76=49),1-35%,IF(OR('Proposed Lighting'!BC76=24,'Proposed Lighting'!BC76=48),1-50%,IF(AND(ISNUMBER(SEARCH("-C",'Proposed Lighting'!M76)),'Proposed Lighting'!AU76=2),90%,100%)))))*'Proposed Lighting'!AH76,0)</f>
        <v>0</v>
      </c>
      <c r="M79" s="87">
        <f t="shared" si="15"/>
        <v>0</v>
      </c>
      <c r="N79" s="87">
        <f>IFERROR(IF('Proposed Lighting'!AU76=1,0,'Proposed Lighting'!AO76),0)</f>
        <v>0</v>
      </c>
      <c r="O79" s="88">
        <f>IF('Proposed Lighting'!AU76=1,0,'Proposed Lighting'!AP76)</f>
        <v>0</v>
      </c>
      <c r="P79" s="87">
        <f t="shared" si="16"/>
        <v>0</v>
      </c>
      <c r="Q79" s="98">
        <f t="shared" si="25"/>
        <v>0</v>
      </c>
      <c r="R79" s="99">
        <f>IFERROR(IF('Proposed Lighting'!T76="Lighting controls only",0,ROUND(IF('Proposed Lighting'!AQ76&lt;'Proposed Lighting'!AR76,0,IF('Proposed Lighting'!AH76=0,0,IF('Proposed Lighting'!BV76&gt;0,'Proposed Lighting'!BV76,IF('Proposed Lighting'!CL76=0,MIN('Proposed Lighting'!CN76:CO76),IF('Proposed Lighting'!CX76&gt;0,'Proposed Lighting'!CX76*'Proposed Lighting'!AA76,0))))),2)),0)</f>
        <v>0</v>
      </c>
      <c r="S79" s="99">
        <f>IF('Proposed Lighting'!AJ76&gt;0,'Proposed Lighting'!AJ76*J79,'Proposed Lighting'!$AU$328*J79)</f>
        <v>0</v>
      </c>
      <c r="T79" s="602">
        <f t="shared" si="17"/>
        <v>0</v>
      </c>
      <c r="U79" s="100"/>
      <c r="V79" s="99">
        <f t="shared" si="18"/>
        <v>0</v>
      </c>
      <c r="W79" s="99">
        <f t="shared" si="19"/>
        <v>0</v>
      </c>
      <c r="X79" s="99">
        <f t="shared" si="20"/>
        <v>0</v>
      </c>
      <c r="Y79" s="99"/>
      <c r="Z79" s="99">
        <f t="shared" si="26"/>
        <v>0</v>
      </c>
      <c r="AA79" s="99"/>
      <c r="AB79" s="99">
        <f t="shared" si="21"/>
        <v>0</v>
      </c>
      <c r="AC79" s="101" t="str">
        <f t="shared" si="22"/>
        <v/>
      </c>
      <c r="AD79" s="101" t="str">
        <f t="shared" si="23"/>
        <v/>
      </c>
      <c r="AE79" s="101" t="str">
        <f t="shared" si="24"/>
        <v/>
      </c>
      <c r="AF79" s="72"/>
      <c r="AG79" s="98">
        <f>IFERROR(IF($AV79="No",0,IF($AV79="yes",Summary!Q79,"")),"")</f>
        <v>0</v>
      </c>
      <c r="AH79" s="99">
        <f>IFERROR(IF($AV79="No",0,IF($AV79="yes",Summary!R79,"")),"")</f>
        <v>0</v>
      </c>
      <c r="AI79" s="99">
        <f>IFERROR(IF($AV79="No",0,IF($AV79="yes",Summary!S79,"")),"")</f>
        <v>0</v>
      </c>
      <c r="AJ79" s="602">
        <f>IFERROR(IF($AV79="No",0,IF($AV79="yes",Summary!T79,"")),"")</f>
        <v>0</v>
      </c>
      <c r="AK79" s="100">
        <f>IFERROR(IF($AV79="No",0,IF($AV79="yes",Summary!U79,"")),"")</f>
        <v>0</v>
      </c>
      <c r="AL79" s="99">
        <f>IFERROR(IF($AV79="No",0,IF($AV79="yes",Summary!V79,"")),"")</f>
        <v>0</v>
      </c>
      <c r="AM79" s="99">
        <f>IFERROR(IF($AV79="No",0,IF($AV79="yes",Summary!W79,"")),"")</f>
        <v>0</v>
      </c>
      <c r="AN79" s="99">
        <f>IFERROR(IF($AV79="No",0,IF($AV79="yes",Summary!X79,"")),"")</f>
        <v>0</v>
      </c>
      <c r="AO79" s="99">
        <f>IFERROR(IF($AV79="No",0,IF($AV79="yes",Summary!Y79+Z79,"")),"")</f>
        <v>0</v>
      </c>
      <c r="AP79" s="99">
        <f>IFERROR(IF($AV79="No",0,IF($AV79="yes",Summary!AB79,"")),"")</f>
        <v>0</v>
      </c>
      <c r="AQ79" s="101" t="str">
        <f t="shared" si="27"/>
        <v/>
      </c>
      <c r="AR79" s="101" t="str">
        <f t="shared" si="28"/>
        <v/>
      </c>
      <c r="AS79" s="101" t="str">
        <f t="shared" si="29"/>
        <v/>
      </c>
      <c r="AT79" s="96" t="s">
        <v>379</v>
      </c>
      <c r="AV79" t="str">
        <f>IF('Proposed Lighting'!CN76&gt;0,"No","Yes")</f>
        <v>Yes</v>
      </c>
    </row>
    <row r="80" spans="1:48" ht="34.5" customHeight="1" outlineLevel="1">
      <c r="A80" s="96" t="s">
        <v>380</v>
      </c>
      <c r="B80" s="96" t="str">
        <f>IF(ISNUMBER(SEARCH("case",E80)),"COM_MISC_REFR_ALL_UNKN1991",IF('Proposed Lighting'!AU77=3,"Commercial-All Com-ExtLight",IF('Proposed Lighting'!AH77&gt;8759,"IPC_8760","Commercial-All Com-IntLight")))</f>
        <v>IPC_8760</v>
      </c>
      <c r="C80" s="96" t="str">
        <f>IF(OR('Proposed Lighting'!DD77="Standard Incentive",'Proposed Lighting'!DD77="Non-Standard Incentive"),"Yes",IF(AND(IF(ISNUMBER(SEARCH("controls",'Proposed Lighting'!T77)),"True","False")="False",'Proposed Lighting'!DD77="Submit Control as Non-Standard"),"Yes","No"))</f>
        <v>No</v>
      </c>
      <c r="D80" s="1403">
        <f>'Proposed Lighting'!CV77-Q80</f>
        <v>0</v>
      </c>
      <c r="E80" s="143">
        <f>'Proposed Lighting'!T77</f>
        <v>0</v>
      </c>
      <c r="F80" s="143">
        <f>'Proposed Lighting'!F77</f>
        <v>0</v>
      </c>
      <c r="G80" s="96" t="s">
        <v>242</v>
      </c>
      <c r="H80" s="142" t="str">
        <f>'Proposed Lighting'!CP77</f>
        <v/>
      </c>
      <c r="I80" s="98">
        <v>1</v>
      </c>
      <c r="J80" s="142">
        <f>'Proposed Lighting'!AA77</f>
        <v>0</v>
      </c>
      <c r="K80" s="142" t="str">
        <f>IF(ISNUMBER(SEARCH("-C",'Proposed Lighting'!M77)),'Proposed Lighting'!AH77*0.9,'Proposed Lighting'!AH77)</f>
        <v/>
      </c>
      <c r="L80" s="142">
        <f>IFERROR(IF(OR('Proposed Lighting'!BC77=22,'Proposed Lighting'!BC77=44),1-25%,IF(OR('Proposed Lighting'!BC77=23,'Proposed Lighting'!BC77=46),1-30%,IF(OR('Proposed Lighting'!BC77=29,'Proposed Lighting'!BC77=39,'Proposed Lighting'!BC77=49),1-35%,IF(OR('Proposed Lighting'!BC77=24,'Proposed Lighting'!BC77=48),1-50%,IF(AND(ISNUMBER(SEARCH("-C",'Proposed Lighting'!M77)),'Proposed Lighting'!AU77=2),90%,100%)))))*'Proposed Lighting'!AH77,0)</f>
        <v>0</v>
      </c>
      <c r="M80" s="87">
        <f t="shared" si="15"/>
        <v>0</v>
      </c>
      <c r="N80" s="87">
        <f>IFERROR(IF('Proposed Lighting'!AU77=1,0,'Proposed Lighting'!AO77),0)</f>
        <v>0</v>
      </c>
      <c r="O80" s="88">
        <f>IF('Proposed Lighting'!AU77=1,0,'Proposed Lighting'!AP77)</f>
        <v>0</v>
      </c>
      <c r="P80" s="87">
        <f t="shared" si="16"/>
        <v>0</v>
      </c>
      <c r="Q80" s="98">
        <f t="shared" si="25"/>
        <v>0</v>
      </c>
      <c r="R80" s="99">
        <f>IFERROR(IF('Proposed Lighting'!T77="Lighting controls only",0,ROUND(IF('Proposed Lighting'!AQ77&lt;'Proposed Lighting'!AR77,0,IF('Proposed Lighting'!AH77=0,0,IF('Proposed Lighting'!BV77&gt;0,'Proposed Lighting'!BV77,IF('Proposed Lighting'!CL77=0,MIN('Proposed Lighting'!CN77:CO77),IF('Proposed Lighting'!CX77&gt;0,'Proposed Lighting'!CX77*'Proposed Lighting'!AA77,0))))),2)),0)</f>
        <v>0</v>
      </c>
      <c r="S80" s="99">
        <f>IF('Proposed Lighting'!AJ77&gt;0,'Proposed Lighting'!AJ77*J80,'Proposed Lighting'!$AU$328*J80)</f>
        <v>0</v>
      </c>
      <c r="T80" s="602">
        <f t="shared" si="17"/>
        <v>0</v>
      </c>
      <c r="U80" s="100"/>
      <c r="V80" s="99">
        <f t="shared" si="18"/>
        <v>0</v>
      </c>
      <c r="W80" s="99">
        <f t="shared" si="19"/>
        <v>0</v>
      </c>
      <c r="X80" s="99">
        <f t="shared" si="20"/>
        <v>0</v>
      </c>
      <c r="Y80" s="99"/>
      <c r="Z80" s="99">
        <f t="shared" si="26"/>
        <v>0</v>
      </c>
      <c r="AA80" s="99"/>
      <c r="AB80" s="99">
        <f t="shared" si="21"/>
        <v>0</v>
      </c>
      <c r="AC80" s="101" t="str">
        <f t="shared" si="22"/>
        <v/>
      </c>
      <c r="AD80" s="101" t="str">
        <f t="shared" si="23"/>
        <v/>
      </c>
      <c r="AE80" s="101" t="str">
        <f t="shared" si="24"/>
        <v/>
      </c>
      <c r="AF80" s="72"/>
      <c r="AG80" s="98">
        <f>IFERROR(IF($AV80="No",0,IF($AV80="yes",Summary!Q80,"")),"")</f>
        <v>0</v>
      </c>
      <c r="AH80" s="99">
        <f>IFERROR(IF($AV80="No",0,IF($AV80="yes",Summary!R80,"")),"")</f>
        <v>0</v>
      </c>
      <c r="AI80" s="99">
        <f>IFERROR(IF($AV80="No",0,IF($AV80="yes",Summary!S80,"")),"")</f>
        <v>0</v>
      </c>
      <c r="AJ80" s="602">
        <f>IFERROR(IF($AV80="No",0,IF($AV80="yes",Summary!T80,"")),"")</f>
        <v>0</v>
      </c>
      <c r="AK80" s="100">
        <f>IFERROR(IF($AV80="No",0,IF($AV80="yes",Summary!U80,"")),"")</f>
        <v>0</v>
      </c>
      <c r="AL80" s="99">
        <f>IFERROR(IF($AV80="No",0,IF($AV80="yes",Summary!V80,"")),"")</f>
        <v>0</v>
      </c>
      <c r="AM80" s="99">
        <f>IFERROR(IF($AV80="No",0,IF($AV80="yes",Summary!W80,"")),"")</f>
        <v>0</v>
      </c>
      <c r="AN80" s="99">
        <f>IFERROR(IF($AV80="No",0,IF($AV80="yes",Summary!X80,"")),"")</f>
        <v>0</v>
      </c>
      <c r="AO80" s="99">
        <f>IFERROR(IF($AV80="No",0,IF($AV80="yes",Summary!Y80+Z80,"")),"")</f>
        <v>0</v>
      </c>
      <c r="AP80" s="99">
        <f>IFERROR(IF($AV80="No",0,IF($AV80="yes",Summary!AB80,"")),"")</f>
        <v>0</v>
      </c>
      <c r="AQ80" s="101" t="str">
        <f t="shared" si="27"/>
        <v/>
      </c>
      <c r="AR80" s="101" t="str">
        <f t="shared" si="28"/>
        <v/>
      </c>
      <c r="AS80" s="101" t="str">
        <f t="shared" si="29"/>
        <v/>
      </c>
      <c r="AT80" s="96" t="s">
        <v>380</v>
      </c>
      <c r="AV80" t="str">
        <f>IF('Proposed Lighting'!CN77&gt;0,"No","Yes")</f>
        <v>Yes</v>
      </c>
    </row>
    <row r="81" spans="1:48" ht="34.5" customHeight="1" outlineLevel="1">
      <c r="A81" s="96" t="s">
        <v>381</v>
      </c>
      <c r="B81" s="96" t="str">
        <f>IF(ISNUMBER(SEARCH("case",E81)),"COM_MISC_REFR_ALL_UNKN1991",IF('Proposed Lighting'!AU78=3,"Commercial-All Com-ExtLight",IF('Proposed Lighting'!AH78&gt;8759,"IPC_8760","Commercial-All Com-IntLight")))</f>
        <v>IPC_8760</v>
      </c>
      <c r="C81" s="96" t="str">
        <f>IF(OR('Proposed Lighting'!DD78="Standard Incentive",'Proposed Lighting'!DD78="Non-Standard Incentive"),"Yes",IF(AND(IF(ISNUMBER(SEARCH("controls",'Proposed Lighting'!T78)),"True","False")="False",'Proposed Lighting'!DD78="Submit Control as Non-Standard"),"Yes","No"))</f>
        <v>No</v>
      </c>
      <c r="D81" s="1403">
        <f>'Proposed Lighting'!CV78-Q81</f>
        <v>0</v>
      </c>
      <c r="E81" s="143">
        <f>'Proposed Lighting'!T78</f>
        <v>0</v>
      </c>
      <c r="F81" s="143">
        <f>'Proposed Lighting'!F78</f>
        <v>0</v>
      </c>
      <c r="G81" s="96" t="s">
        <v>242</v>
      </c>
      <c r="H81" s="142" t="str">
        <f>'Proposed Lighting'!CP78</f>
        <v/>
      </c>
      <c r="I81" s="98">
        <v>1</v>
      </c>
      <c r="J81" s="142">
        <f>'Proposed Lighting'!AA78</f>
        <v>0</v>
      </c>
      <c r="K81" s="142" t="str">
        <f>IF(ISNUMBER(SEARCH("-C",'Proposed Lighting'!M78)),'Proposed Lighting'!AH78*0.9,'Proposed Lighting'!AH78)</f>
        <v/>
      </c>
      <c r="L81" s="142">
        <f>IFERROR(IF(OR('Proposed Lighting'!BC78=22,'Proposed Lighting'!BC78=44),1-25%,IF(OR('Proposed Lighting'!BC78=23,'Proposed Lighting'!BC78=46),1-30%,IF(OR('Proposed Lighting'!BC78=29,'Proposed Lighting'!BC78=39,'Proposed Lighting'!BC78=49),1-35%,IF(OR('Proposed Lighting'!BC78=24,'Proposed Lighting'!BC78=48),1-50%,IF(AND(ISNUMBER(SEARCH("-C",'Proposed Lighting'!M78)),'Proposed Lighting'!AU78=2),90%,100%)))))*'Proposed Lighting'!AH78,0)</f>
        <v>0</v>
      </c>
      <c r="M81" s="87">
        <f t="shared" si="15"/>
        <v>0</v>
      </c>
      <c r="N81" s="87">
        <f>IFERROR(IF('Proposed Lighting'!AU78=1,0,'Proposed Lighting'!AO78),0)</f>
        <v>0</v>
      </c>
      <c r="O81" s="88">
        <f>IF('Proposed Lighting'!AU78=1,0,'Proposed Lighting'!AP78)</f>
        <v>0</v>
      </c>
      <c r="P81" s="87">
        <f t="shared" si="16"/>
        <v>0</v>
      </c>
      <c r="Q81" s="98">
        <f t="shared" si="25"/>
        <v>0</v>
      </c>
      <c r="R81" s="99">
        <f>IFERROR(IF('Proposed Lighting'!T78="Lighting controls only",0,ROUND(IF('Proposed Lighting'!AQ78&lt;'Proposed Lighting'!AR78,0,IF('Proposed Lighting'!AH78=0,0,IF('Proposed Lighting'!BV78&gt;0,'Proposed Lighting'!BV78,IF('Proposed Lighting'!CL78=0,MIN('Proposed Lighting'!CN78:CO78),IF('Proposed Lighting'!CX78&gt;0,'Proposed Lighting'!CX78*'Proposed Lighting'!AA78,0))))),2)),0)</f>
        <v>0</v>
      </c>
      <c r="S81" s="99">
        <f>IF('Proposed Lighting'!AJ78&gt;0,'Proposed Lighting'!AJ78*J81,'Proposed Lighting'!$AU$328*J81)</f>
        <v>0</v>
      </c>
      <c r="T81" s="602">
        <f t="shared" si="17"/>
        <v>0</v>
      </c>
      <c r="U81" s="100"/>
      <c r="V81" s="99">
        <f t="shared" si="18"/>
        <v>0</v>
      </c>
      <c r="W81" s="99">
        <f t="shared" si="19"/>
        <v>0</v>
      </c>
      <c r="X81" s="99">
        <f t="shared" si="20"/>
        <v>0</v>
      </c>
      <c r="Y81" s="99"/>
      <c r="Z81" s="99">
        <f t="shared" si="26"/>
        <v>0</v>
      </c>
      <c r="AA81" s="99"/>
      <c r="AB81" s="99">
        <f t="shared" si="21"/>
        <v>0</v>
      </c>
      <c r="AC81" s="101" t="str">
        <f t="shared" si="22"/>
        <v/>
      </c>
      <c r="AD81" s="101" t="str">
        <f t="shared" si="23"/>
        <v/>
      </c>
      <c r="AE81" s="101" t="str">
        <f t="shared" si="24"/>
        <v/>
      </c>
      <c r="AF81" s="72"/>
      <c r="AG81" s="98">
        <f>IFERROR(IF($AV81="No",0,IF($AV81="yes",Summary!Q81,"")),"")</f>
        <v>0</v>
      </c>
      <c r="AH81" s="99">
        <f>IFERROR(IF($AV81="No",0,IF($AV81="yes",Summary!R81,"")),"")</f>
        <v>0</v>
      </c>
      <c r="AI81" s="99">
        <f>IFERROR(IF($AV81="No",0,IF($AV81="yes",Summary!S81,"")),"")</f>
        <v>0</v>
      </c>
      <c r="AJ81" s="602">
        <f>IFERROR(IF($AV81="No",0,IF($AV81="yes",Summary!T81,"")),"")</f>
        <v>0</v>
      </c>
      <c r="AK81" s="100">
        <f>IFERROR(IF($AV81="No",0,IF($AV81="yes",Summary!U81,"")),"")</f>
        <v>0</v>
      </c>
      <c r="AL81" s="99">
        <f>IFERROR(IF($AV81="No",0,IF($AV81="yes",Summary!V81,"")),"")</f>
        <v>0</v>
      </c>
      <c r="AM81" s="99">
        <f>IFERROR(IF($AV81="No",0,IF($AV81="yes",Summary!W81,"")),"")</f>
        <v>0</v>
      </c>
      <c r="AN81" s="99">
        <f>IFERROR(IF($AV81="No",0,IF($AV81="yes",Summary!X81,"")),"")</f>
        <v>0</v>
      </c>
      <c r="AO81" s="99">
        <f>IFERROR(IF($AV81="No",0,IF($AV81="yes",Summary!Y81+Z81,"")),"")</f>
        <v>0</v>
      </c>
      <c r="AP81" s="99">
        <f>IFERROR(IF($AV81="No",0,IF($AV81="yes",Summary!AB81,"")),"")</f>
        <v>0</v>
      </c>
      <c r="AQ81" s="101" t="str">
        <f t="shared" si="27"/>
        <v/>
      </c>
      <c r="AR81" s="101" t="str">
        <f t="shared" si="28"/>
        <v/>
      </c>
      <c r="AS81" s="101" t="str">
        <f t="shared" si="29"/>
        <v/>
      </c>
      <c r="AT81" s="96" t="s">
        <v>381</v>
      </c>
      <c r="AV81" t="str">
        <f>IF('Proposed Lighting'!CN78&gt;0,"No","Yes")</f>
        <v>Yes</v>
      </c>
    </row>
    <row r="82" spans="1:48" ht="34.5" customHeight="1" outlineLevel="1">
      <c r="A82" s="96" t="s">
        <v>382</v>
      </c>
      <c r="B82" s="96" t="str">
        <f>IF(ISNUMBER(SEARCH("case",E82)),"COM_MISC_REFR_ALL_UNKN1991",IF('Proposed Lighting'!AU79=3,"Commercial-All Com-ExtLight",IF('Proposed Lighting'!AH79&gt;8759,"IPC_8760","Commercial-All Com-IntLight")))</f>
        <v>IPC_8760</v>
      </c>
      <c r="C82" s="96" t="str">
        <f>IF(OR('Proposed Lighting'!DD79="Standard Incentive",'Proposed Lighting'!DD79="Non-Standard Incentive"),"Yes",IF(AND(IF(ISNUMBER(SEARCH("controls",'Proposed Lighting'!T79)),"True","False")="False",'Proposed Lighting'!DD79="Submit Control as Non-Standard"),"Yes","No"))</f>
        <v>No</v>
      </c>
      <c r="D82" s="1403">
        <f>'Proposed Lighting'!CV79-Q82</f>
        <v>0</v>
      </c>
      <c r="E82" s="143">
        <f>'Proposed Lighting'!T79</f>
        <v>0</v>
      </c>
      <c r="F82" s="143">
        <f>'Proposed Lighting'!F79</f>
        <v>0</v>
      </c>
      <c r="G82" s="96" t="s">
        <v>242</v>
      </c>
      <c r="H82" s="142" t="str">
        <f>'Proposed Lighting'!CP79</f>
        <v/>
      </c>
      <c r="I82" s="98">
        <v>1</v>
      </c>
      <c r="J82" s="142">
        <f>'Proposed Lighting'!AA79</f>
        <v>0</v>
      </c>
      <c r="K82" s="142" t="str">
        <f>IF(ISNUMBER(SEARCH("-C",'Proposed Lighting'!M79)),'Proposed Lighting'!AH79*0.9,'Proposed Lighting'!AH79)</f>
        <v/>
      </c>
      <c r="L82" s="142">
        <f>IFERROR(IF(OR('Proposed Lighting'!BC79=22,'Proposed Lighting'!BC79=44),1-25%,IF(OR('Proposed Lighting'!BC79=23,'Proposed Lighting'!BC79=46),1-30%,IF(OR('Proposed Lighting'!BC79=29,'Proposed Lighting'!BC79=39,'Proposed Lighting'!BC79=49),1-35%,IF(OR('Proposed Lighting'!BC79=24,'Proposed Lighting'!BC79=48),1-50%,IF(AND(ISNUMBER(SEARCH("-C",'Proposed Lighting'!M79)),'Proposed Lighting'!AU79=2),90%,100%)))))*'Proposed Lighting'!AH79,0)</f>
        <v>0</v>
      </c>
      <c r="M82" s="87">
        <f t="shared" si="15"/>
        <v>0</v>
      </c>
      <c r="N82" s="87">
        <f>IFERROR(IF('Proposed Lighting'!AU79=1,0,'Proposed Lighting'!AO79),0)</f>
        <v>0</v>
      </c>
      <c r="O82" s="88">
        <f>IF('Proposed Lighting'!AU79=1,0,'Proposed Lighting'!AP79)</f>
        <v>0</v>
      </c>
      <c r="P82" s="87">
        <f t="shared" si="16"/>
        <v>0</v>
      </c>
      <c r="Q82" s="98">
        <f t="shared" si="25"/>
        <v>0</v>
      </c>
      <c r="R82" s="99">
        <f>IFERROR(IF('Proposed Lighting'!T79="Lighting controls only",0,ROUND(IF('Proposed Lighting'!AQ79&lt;'Proposed Lighting'!AR79,0,IF('Proposed Lighting'!AH79=0,0,IF('Proposed Lighting'!BV79&gt;0,'Proposed Lighting'!BV79,IF('Proposed Lighting'!CL79=0,MIN('Proposed Lighting'!CN79:CO79),IF('Proposed Lighting'!CX79&gt;0,'Proposed Lighting'!CX79*'Proposed Lighting'!AA79,0))))),2)),0)</f>
        <v>0</v>
      </c>
      <c r="S82" s="99">
        <f>IF('Proposed Lighting'!AJ79&gt;0,'Proposed Lighting'!AJ79*J82,'Proposed Lighting'!$AU$328*J82)</f>
        <v>0</v>
      </c>
      <c r="T82" s="602">
        <f t="shared" si="17"/>
        <v>0</v>
      </c>
      <c r="U82" s="100"/>
      <c r="V82" s="99">
        <f t="shared" si="18"/>
        <v>0</v>
      </c>
      <c r="W82" s="99">
        <f t="shared" si="19"/>
        <v>0</v>
      </c>
      <c r="X82" s="99">
        <f t="shared" si="20"/>
        <v>0</v>
      </c>
      <c r="Y82" s="99"/>
      <c r="Z82" s="99">
        <f t="shared" si="26"/>
        <v>0</v>
      </c>
      <c r="AA82" s="99"/>
      <c r="AB82" s="99">
        <f t="shared" si="21"/>
        <v>0</v>
      </c>
      <c r="AC82" s="101" t="str">
        <f t="shared" si="22"/>
        <v/>
      </c>
      <c r="AD82" s="101" t="str">
        <f t="shared" si="23"/>
        <v/>
      </c>
      <c r="AE82" s="101" t="str">
        <f t="shared" si="24"/>
        <v/>
      </c>
      <c r="AF82" s="72"/>
      <c r="AG82" s="98">
        <f>IFERROR(IF($AV82="No",0,IF($AV82="yes",Summary!Q82,"")),"")</f>
        <v>0</v>
      </c>
      <c r="AH82" s="99">
        <f>IFERROR(IF($AV82="No",0,IF($AV82="yes",Summary!R82,"")),"")</f>
        <v>0</v>
      </c>
      <c r="AI82" s="99">
        <f>IFERROR(IF($AV82="No",0,IF($AV82="yes",Summary!S82,"")),"")</f>
        <v>0</v>
      </c>
      <c r="AJ82" s="602">
        <f>IFERROR(IF($AV82="No",0,IF($AV82="yes",Summary!T82,"")),"")</f>
        <v>0</v>
      </c>
      <c r="AK82" s="100">
        <f>IFERROR(IF($AV82="No",0,IF($AV82="yes",Summary!U82,"")),"")</f>
        <v>0</v>
      </c>
      <c r="AL82" s="99">
        <f>IFERROR(IF($AV82="No",0,IF($AV82="yes",Summary!V82,"")),"")</f>
        <v>0</v>
      </c>
      <c r="AM82" s="99">
        <f>IFERROR(IF($AV82="No",0,IF($AV82="yes",Summary!W82,"")),"")</f>
        <v>0</v>
      </c>
      <c r="AN82" s="99">
        <f>IFERROR(IF($AV82="No",0,IF($AV82="yes",Summary!X82,"")),"")</f>
        <v>0</v>
      </c>
      <c r="AO82" s="99">
        <f>IFERROR(IF($AV82="No",0,IF($AV82="yes",Summary!Y82+Z82,"")),"")</f>
        <v>0</v>
      </c>
      <c r="AP82" s="99">
        <f>IFERROR(IF($AV82="No",0,IF($AV82="yes",Summary!AB82,"")),"")</f>
        <v>0</v>
      </c>
      <c r="AQ82" s="101" t="str">
        <f t="shared" si="27"/>
        <v/>
      </c>
      <c r="AR82" s="101" t="str">
        <f t="shared" si="28"/>
        <v/>
      </c>
      <c r="AS82" s="101" t="str">
        <f t="shared" si="29"/>
        <v/>
      </c>
      <c r="AT82" s="96" t="s">
        <v>382</v>
      </c>
      <c r="AV82" t="str">
        <f>IF('Proposed Lighting'!CN79&gt;0,"No","Yes")</f>
        <v>Yes</v>
      </c>
    </row>
    <row r="83" spans="1:48" ht="34.5" customHeight="1" outlineLevel="1">
      <c r="A83" s="96" t="s">
        <v>383</v>
      </c>
      <c r="B83" s="96" t="str">
        <f>IF(ISNUMBER(SEARCH("case",E83)),"COM_MISC_REFR_ALL_UNKN1991",IF('Proposed Lighting'!AU80=3,"Commercial-All Com-ExtLight",IF('Proposed Lighting'!AH80&gt;8759,"IPC_8760","Commercial-All Com-IntLight")))</f>
        <v>IPC_8760</v>
      </c>
      <c r="C83" s="96" t="str">
        <f>IF(OR('Proposed Lighting'!DD80="Standard Incentive",'Proposed Lighting'!DD80="Non-Standard Incentive"),"Yes",IF(AND(IF(ISNUMBER(SEARCH("controls",'Proposed Lighting'!T80)),"True","False")="False",'Proposed Lighting'!DD80="Submit Control as Non-Standard"),"Yes","No"))</f>
        <v>No</v>
      </c>
      <c r="D83" s="1403">
        <f>'Proposed Lighting'!CV80-Q83</f>
        <v>0</v>
      </c>
      <c r="E83" s="143">
        <f>'Proposed Lighting'!T80</f>
        <v>0</v>
      </c>
      <c r="F83" s="143">
        <f>'Proposed Lighting'!F80</f>
        <v>0</v>
      </c>
      <c r="G83" s="96" t="s">
        <v>242</v>
      </c>
      <c r="H83" s="142" t="str">
        <f>'Proposed Lighting'!CP80</f>
        <v/>
      </c>
      <c r="I83" s="98">
        <v>1</v>
      </c>
      <c r="J83" s="142">
        <f>'Proposed Lighting'!AA80</f>
        <v>0</v>
      </c>
      <c r="K83" s="142" t="str">
        <f>IF(ISNUMBER(SEARCH("-C",'Proposed Lighting'!M80)),'Proposed Lighting'!AH80*0.9,'Proposed Lighting'!AH80)</f>
        <v/>
      </c>
      <c r="L83" s="142">
        <f>IFERROR(IF(OR('Proposed Lighting'!BC80=22,'Proposed Lighting'!BC80=44),1-25%,IF(OR('Proposed Lighting'!BC80=23,'Proposed Lighting'!BC80=46),1-30%,IF(OR('Proposed Lighting'!BC80=29,'Proposed Lighting'!BC80=39,'Proposed Lighting'!BC80=49),1-35%,IF(OR('Proposed Lighting'!BC80=24,'Proposed Lighting'!BC80=48),1-50%,IF(AND(ISNUMBER(SEARCH("-C",'Proposed Lighting'!M80)),'Proposed Lighting'!AU80=2),90%,100%)))))*'Proposed Lighting'!AH80,0)</f>
        <v>0</v>
      </c>
      <c r="M83" s="87">
        <f t="shared" si="15"/>
        <v>0</v>
      </c>
      <c r="N83" s="87">
        <f>IFERROR(IF('Proposed Lighting'!AU80=1,0,'Proposed Lighting'!AO80),0)</f>
        <v>0</v>
      </c>
      <c r="O83" s="88">
        <f>IF('Proposed Lighting'!AU80=1,0,'Proposed Lighting'!AP80)</f>
        <v>0</v>
      </c>
      <c r="P83" s="87">
        <f t="shared" si="16"/>
        <v>0</v>
      </c>
      <c r="Q83" s="98">
        <f t="shared" si="25"/>
        <v>0</v>
      </c>
      <c r="R83" s="99">
        <f>IFERROR(IF('Proposed Lighting'!T80="Lighting controls only",0,ROUND(IF('Proposed Lighting'!AQ80&lt;'Proposed Lighting'!AR80,0,IF('Proposed Lighting'!AH80=0,0,IF('Proposed Lighting'!BV80&gt;0,'Proposed Lighting'!BV80,IF('Proposed Lighting'!CL80=0,MIN('Proposed Lighting'!CN80:CO80),IF('Proposed Lighting'!CX80&gt;0,'Proposed Lighting'!CX80*'Proposed Lighting'!AA80,0))))),2)),0)</f>
        <v>0</v>
      </c>
      <c r="S83" s="99">
        <f>IF('Proposed Lighting'!AJ80&gt;0,'Proposed Lighting'!AJ80*J83,'Proposed Lighting'!$AU$328*J83)</f>
        <v>0</v>
      </c>
      <c r="T83" s="602">
        <f t="shared" si="17"/>
        <v>0</v>
      </c>
      <c r="U83" s="100"/>
      <c r="V83" s="99">
        <f t="shared" si="18"/>
        <v>0</v>
      </c>
      <c r="W83" s="99">
        <f t="shared" si="19"/>
        <v>0</v>
      </c>
      <c r="X83" s="99">
        <f t="shared" si="20"/>
        <v>0</v>
      </c>
      <c r="Y83" s="99"/>
      <c r="Z83" s="99">
        <f t="shared" si="26"/>
        <v>0</v>
      </c>
      <c r="AA83" s="99"/>
      <c r="AB83" s="99">
        <f t="shared" si="21"/>
        <v>0</v>
      </c>
      <c r="AC83" s="101" t="str">
        <f t="shared" si="22"/>
        <v/>
      </c>
      <c r="AD83" s="101" t="str">
        <f t="shared" si="23"/>
        <v/>
      </c>
      <c r="AE83" s="101" t="str">
        <f t="shared" si="24"/>
        <v/>
      </c>
      <c r="AF83" s="72"/>
      <c r="AG83" s="98">
        <f>IFERROR(IF($AV83="No",0,IF($AV83="yes",Summary!Q83,"")),"")</f>
        <v>0</v>
      </c>
      <c r="AH83" s="99">
        <f>IFERROR(IF($AV83="No",0,IF($AV83="yes",Summary!R83,"")),"")</f>
        <v>0</v>
      </c>
      <c r="AI83" s="99">
        <f>IFERROR(IF($AV83="No",0,IF($AV83="yes",Summary!S83,"")),"")</f>
        <v>0</v>
      </c>
      <c r="AJ83" s="602">
        <f>IFERROR(IF($AV83="No",0,IF($AV83="yes",Summary!T83,"")),"")</f>
        <v>0</v>
      </c>
      <c r="AK83" s="100">
        <f>IFERROR(IF($AV83="No",0,IF($AV83="yes",Summary!U83,"")),"")</f>
        <v>0</v>
      </c>
      <c r="AL83" s="99">
        <f>IFERROR(IF($AV83="No",0,IF($AV83="yes",Summary!V83,"")),"")</f>
        <v>0</v>
      </c>
      <c r="AM83" s="99">
        <f>IFERROR(IF($AV83="No",0,IF($AV83="yes",Summary!W83,"")),"")</f>
        <v>0</v>
      </c>
      <c r="AN83" s="99">
        <f>IFERROR(IF($AV83="No",0,IF($AV83="yes",Summary!X83,"")),"")</f>
        <v>0</v>
      </c>
      <c r="AO83" s="99">
        <f>IFERROR(IF($AV83="No",0,IF($AV83="yes",Summary!Y83+Z83,"")),"")</f>
        <v>0</v>
      </c>
      <c r="AP83" s="99">
        <f>IFERROR(IF($AV83="No",0,IF($AV83="yes",Summary!AB83,"")),"")</f>
        <v>0</v>
      </c>
      <c r="AQ83" s="101" t="str">
        <f t="shared" si="27"/>
        <v/>
      </c>
      <c r="AR83" s="101" t="str">
        <f t="shared" si="28"/>
        <v/>
      </c>
      <c r="AS83" s="101" t="str">
        <f t="shared" si="29"/>
        <v/>
      </c>
      <c r="AT83" s="96" t="s">
        <v>383</v>
      </c>
      <c r="AV83" t="str">
        <f>IF('Proposed Lighting'!CN80&gt;0,"No","Yes")</f>
        <v>Yes</v>
      </c>
    </row>
    <row r="84" spans="1:48" ht="34.5" customHeight="1" outlineLevel="1">
      <c r="A84" s="96" t="s">
        <v>384</v>
      </c>
      <c r="B84" s="96" t="str">
        <f>IF(ISNUMBER(SEARCH("case",E84)),"COM_MISC_REFR_ALL_UNKN1991",IF('Proposed Lighting'!AU81=3,"Commercial-All Com-ExtLight",IF('Proposed Lighting'!AH81&gt;8759,"IPC_8760","Commercial-All Com-IntLight")))</f>
        <v>IPC_8760</v>
      </c>
      <c r="C84" s="96" t="str">
        <f>IF(OR('Proposed Lighting'!DD81="Standard Incentive",'Proposed Lighting'!DD81="Non-Standard Incentive"),"Yes",IF(AND(IF(ISNUMBER(SEARCH("controls",'Proposed Lighting'!T81)),"True","False")="False",'Proposed Lighting'!DD81="Submit Control as Non-Standard"),"Yes","No"))</f>
        <v>No</v>
      </c>
      <c r="D84" s="1403">
        <f>'Proposed Lighting'!CV81-Q84</f>
        <v>0</v>
      </c>
      <c r="E84" s="143">
        <f>'Proposed Lighting'!T81</f>
        <v>0</v>
      </c>
      <c r="F84" s="143">
        <f>'Proposed Lighting'!F81</f>
        <v>0</v>
      </c>
      <c r="G84" s="96" t="s">
        <v>242</v>
      </c>
      <c r="H84" s="142" t="str">
        <f>'Proposed Lighting'!CP81</f>
        <v/>
      </c>
      <c r="I84" s="98">
        <v>1</v>
      </c>
      <c r="J84" s="142">
        <f>'Proposed Lighting'!AA81</f>
        <v>0</v>
      </c>
      <c r="K84" s="142" t="str">
        <f>IF(ISNUMBER(SEARCH("-C",'Proposed Lighting'!M81)),'Proposed Lighting'!AH81*0.9,'Proposed Lighting'!AH81)</f>
        <v/>
      </c>
      <c r="L84" s="142">
        <f>IFERROR(IF(OR('Proposed Lighting'!BC81=22,'Proposed Lighting'!BC81=44),1-25%,IF(OR('Proposed Lighting'!BC81=23,'Proposed Lighting'!BC81=46),1-30%,IF(OR('Proposed Lighting'!BC81=29,'Proposed Lighting'!BC81=39,'Proposed Lighting'!BC81=49),1-35%,IF(OR('Proposed Lighting'!BC81=24,'Proposed Lighting'!BC81=48),1-50%,IF(AND(ISNUMBER(SEARCH("-C",'Proposed Lighting'!M81)),'Proposed Lighting'!AU81=2),90%,100%)))))*'Proposed Lighting'!AH81,0)</f>
        <v>0</v>
      </c>
      <c r="M84" s="87">
        <f t="shared" si="15"/>
        <v>0</v>
      </c>
      <c r="N84" s="87">
        <f>IFERROR(IF('Proposed Lighting'!AU81=1,0,'Proposed Lighting'!AO81),0)</f>
        <v>0</v>
      </c>
      <c r="O84" s="88">
        <f>IF('Proposed Lighting'!AU81=1,0,'Proposed Lighting'!AP81)</f>
        <v>0</v>
      </c>
      <c r="P84" s="87">
        <f t="shared" si="16"/>
        <v>0</v>
      </c>
      <c r="Q84" s="98">
        <f t="shared" si="25"/>
        <v>0</v>
      </c>
      <c r="R84" s="99">
        <f>IFERROR(IF('Proposed Lighting'!T81="Lighting controls only",0,ROUND(IF('Proposed Lighting'!AQ81&lt;'Proposed Lighting'!AR81,0,IF('Proposed Lighting'!AH81=0,0,IF('Proposed Lighting'!BV81&gt;0,'Proposed Lighting'!BV81,IF('Proposed Lighting'!CL81=0,MIN('Proposed Lighting'!CN81:CO81),IF('Proposed Lighting'!CX81&gt;0,'Proposed Lighting'!CX81*'Proposed Lighting'!AA81,0))))),2)),0)</f>
        <v>0</v>
      </c>
      <c r="S84" s="99">
        <f>IF('Proposed Lighting'!AJ81&gt;0,'Proposed Lighting'!AJ81*J84,'Proposed Lighting'!$AU$328*J84)</f>
        <v>0</v>
      </c>
      <c r="T84" s="602">
        <f t="shared" si="17"/>
        <v>0</v>
      </c>
      <c r="U84" s="100"/>
      <c r="V84" s="99">
        <f t="shared" si="18"/>
        <v>0</v>
      </c>
      <c r="W84" s="99">
        <f t="shared" si="19"/>
        <v>0</v>
      </c>
      <c r="X84" s="99">
        <f t="shared" si="20"/>
        <v>0</v>
      </c>
      <c r="Y84" s="99"/>
      <c r="Z84" s="99">
        <f t="shared" si="26"/>
        <v>0</v>
      </c>
      <c r="AA84" s="99"/>
      <c r="AB84" s="99">
        <f t="shared" si="21"/>
        <v>0</v>
      </c>
      <c r="AC84" s="101" t="str">
        <f t="shared" si="22"/>
        <v/>
      </c>
      <c r="AD84" s="101" t="str">
        <f t="shared" si="23"/>
        <v/>
      </c>
      <c r="AE84" s="101" t="str">
        <f t="shared" si="24"/>
        <v/>
      </c>
      <c r="AF84" s="72"/>
      <c r="AG84" s="98">
        <f>IFERROR(IF($AV84="No",0,IF($AV84="yes",Summary!Q84,"")),"")</f>
        <v>0</v>
      </c>
      <c r="AH84" s="99">
        <f>IFERROR(IF($AV84="No",0,IF($AV84="yes",Summary!R84,"")),"")</f>
        <v>0</v>
      </c>
      <c r="AI84" s="99">
        <f>IFERROR(IF($AV84="No",0,IF($AV84="yes",Summary!S84,"")),"")</f>
        <v>0</v>
      </c>
      <c r="AJ84" s="602">
        <f>IFERROR(IF($AV84="No",0,IF($AV84="yes",Summary!T84,"")),"")</f>
        <v>0</v>
      </c>
      <c r="AK84" s="100">
        <f>IFERROR(IF($AV84="No",0,IF($AV84="yes",Summary!U84,"")),"")</f>
        <v>0</v>
      </c>
      <c r="AL84" s="99">
        <f>IFERROR(IF($AV84="No",0,IF($AV84="yes",Summary!V84,"")),"")</f>
        <v>0</v>
      </c>
      <c r="AM84" s="99">
        <f>IFERROR(IF($AV84="No",0,IF($AV84="yes",Summary!W84,"")),"")</f>
        <v>0</v>
      </c>
      <c r="AN84" s="99">
        <f>IFERROR(IF($AV84="No",0,IF($AV84="yes",Summary!X84,"")),"")</f>
        <v>0</v>
      </c>
      <c r="AO84" s="99">
        <f>IFERROR(IF($AV84="No",0,IF($AV84="yes",Summary!Y84+Z84,"")),"")</f>
        <v>0</v>
      </c>
      <c r="AP84" s="99">
        <f>IFERROR(IF($AV84="No",0,IF($AV84="yes",Summary!AB84,"")),"")</f>
        <v>0</v>
      </c>
      <c r="AQ84" s="101" t="str">
        <f t="shared" si="27"/>
        <v/>
      </c>
      <c r="AR84" s="101" t="str">
        <f t="shared" si="28"/>
        <v/>
      </c>
      <c r="AS84" s="101" t="str">
        <f t="shared" si="29"/>
        <v/>
      </c>
      <c r="AT84" s="96" t="s">
        <v>384</v>
      </c>
      <c r="AV84" t="str">
        <f>IF('Proposed Lighting'!CN81&gt;0,"No","Yes")</f>
        <v>Yes</v>
      </c>
    </row>
    <row r="85" spans="1:48" ht="34.5" customHeight="1" outlineLevel="1">
      <c r="A85" s="96" t="s">
        <v>385</v>
      </c>
      <c r="B85" s="96" t="str">
        <f>IF(ISNUMBER(SEARCH("case",E85)),"COM_MISC_REFR_ALL_UNKN1991",IF('Proposed Lighting'!AU82=3,"Commercial-All Com-ExtLight",IF('Proposed Lighting'!AH82&gt;8759,"IPC_8760","Commercial-All Com-IntLight")))</f>
        <v>IPC_8760</v>
      </c>
      <c r="C85" s="96" t="str">
        <f>IF(OR('Proposed Lighting'!DD82="Standard Incentive",'Proposed Lighting'!DD82="Non-Standard Incentive"),"Yes",IF(AND(IF(ISNUMBER(SEARCH("controls",'Proposed Lighting'!T82)),"True","False")="False",'Proposed Lighting'!DD82="Submit Control as Non-Standard"),"Yes","No"))</f>
        <v>No</v>
      </c>
      <c r="D85" s="1403">
        <f>'Proposed Lighting'!CV82-Q85</f>
        <v>0</v>
      </c>
      <c r="E85" s="143">
        <f>'Proposed Lighting'!T82</f>
        <v>0</v>
      </c>
      <c r="F85" s="143">
        <f>'Proposed Lighting'!F82</f>
        <v>0</v>
      </c>
      <c r="G85" s="96" t="s">
        <v>242</v>
      </c>
      <c r="H85" s="142" t="str">
        <f>'Proposed Lighting'!CP82</f>
        <v/>
      </c>
      <c r="I85" s="98">
        <v>1</v>
      </c>
      <c r="J85" s="142">
        <f>'Proposed Lighting'!AA82</f>
        <v>0</v>
      </c>
      <c r="K85" s="142" t="str">
        <f>IF(ISNUMBER(SEARCH("-C",'Proposed Lighting'!M82)),'Proposed Lighting'!AH82*0.9,'Proposed Lighting'!AH82)</f>
        <v/>
      </c>
      <c r="L85" s="142">
        <f>IFERROR(IF(OR('Proposed Lighting'!BC82=22,'Proposed Lighting'!BC82=44),1-25%,IF(OR('Proposed Lighting'!BC82=23,'Proposed Lighting'!BC82=46),1-30%,IF(OR('Proposed Lighting'!BC82=29,'Proposed Lighting'!BC82=39,'Proposed Lighting'!BC82=49),1-35%,IF(OR('Proposed Lighting'!BC82=24,'Proposed Lighting'!BC82=48),1-50%,IF(AND(ISNUMBER(SEARCH("-C",'Proposed Lighting'!M82)),'Proposed Lighting'!AU82=2),90%,100%)))))*'Proposed Lighting'!AH82,0)</f>
        <v>0</v>
      </c>
      <c r="M85" s="87">
        <f t="shared" si="15"/>
        <v>0</v>
      </c>
      <c r="N85" s="87">
        <f>IFERROR(IF('Proposed Lighting'!AU82=1,0,'Proposed Lighting'!AO82),0)</f>
        <v>0</v>
      </c>
      <c r="O85" s="88">
        <f>IF('Proposed Lighting'!AU82=1,0,'Proposed Lighting'!AP82)</f>
        <v>0</v>
      </c>
      <c r="P85" s="87">
        <f t="shared" si="16"/>
        <v>0</v>
      </c>
      <c r="Q85" s="98">
        <f t="shared" si="25"/>
        <v>0</v>
      </c>
      <c r="R85" s="99">
        <f>IFERROR(IF('Proposed Lighting'!T82="Lighting controls only",0,ROUND(IF('Proposed Lighting'!AQ82&lt;'Proposed Lighting'!AR82,0,IF('Proposed Lighting'!AH82=0,0,IF('Proposed Lighting'!BV82&gt;0,'Proposed Lighting'!BV82,IF('Proposed Lighting'!CL82=0,MIN('Proposed Lighting'!CN82:CO82),IF('Proposed Lighting'!CX82&gt;0,'Proposed Lighting'!CX82*'Proposed Lighting'!AA82,0))))),2)),0)</f>
        <v>0</v>
      </c>
      <c r="S85" s="99">
        <f>IF('Proposed Lighting'!AJ82&gt;0,'Proposed Lighting'!AJ82*J85,'Proposed Lighting'!$AU$328*J85)</f>
        <v>0</v>
      </c>
      <c r="T85" s="602">
        <f t="shared" si="17"/>
        <v>0</v>
      </c>
      <c r="U85" s="100"/>
      <c r="V85" s="99">
        <f t="shared" si="18"/>
        <v>0</v>
      </c>
      <c r="W85" s="99">
        <f t="shared" si="19"/>
        <v>0</v>
      </c>
      <c r="X85" s="99">
        <f t="shared" si="20"/>
        <v>0</v>
      </c>
      <c r="Y85" s="99"/>
      <c r="Z85" s="99">
        <f t="shared" si="26"/>
        <v>0</v>
      </c>
      <c r="AA85" s="99"/>
      <c r="AB85" s="99">
        <f t="shared" si="21"/>
        <v>0</v>
      </c>
      <c r="AC85" s="101" t="str">
        <f t="shared" si="22"/>
        <v/>
      </c>
      <c r="AD85" s="101" t="str">
        <f t="shared" si="23"/>
        <v/>
      </c>
      <c r="AE85" s="101" t="str">
        <f t="shared" si="24"/>
        <v/>
      </c>
      <c r="AF85" s="72"/>
      <c r="AG85" s="98">
        <f>IFERROR(IF($AV85="No",0,IF($AV85="yes",Summary!Q85,"")),"")</f>
        <v>0</v>
      </c>
      <c r="AH85" s="99">
        <f>IFERROR(IF($AV85="No",0,IF($AV85="yes",Summary!R85,"")),"")</f>
        <v>0</v>
      </c>
      <c r="AI85" s="99">
        <f>IFERROR(IF($AV85="No",0,IF($AV85="yes",Summary!S85,"")),"")</f>
        <v>0</v>
      </c>
      <c r="AJ85" s="602">
        <f>IFERROR(IF($AV85="No",0,IF($AV85="yes",Summary!T85,"")),"")</f>
        <v>0</v>
      </c>
      <c r="AK85" s="100">
        <f>IFERROR(IF($AV85="No",0,IF($AV85="yes",Summary!U85,"")),"")</f>
        <v>0</v>
      </c>
      <c r="AL85" s="99">
        <f>IFERROR(IF($AV85="No",0,IF($AV85="yes",Summary!V85,"")),"")</f>
        <v>0</v>
      </c>
      <c r="AM85" s="99">
        <f>IFERROR(IF($AV85="No",0,IF($AV85="yes",Summary!W85,"")),"")</f>
        <v>0</v>
      </c>
      <c r="AN85" s="99">
        <f>IFERROR(IF($AV85="No",0,IF($AV85="yes",Summary!X85,"")),"")</f>
        <v>0</v>
      </c>
      <c r="AO85" s="99">
        <f>IFERROR(IF($AV85="No",0,IF($AV85="yes",Summary!Y85+Z85,"")),"")</f>
        <v>0</v>
      </c>
      <c r="AP85" s="99">
        <f>IFERROR(IF($AV85="No",0,IF($AV85="yes",Summary!AB85,"")),"")</f>
        <v>0</v>
      </c>
      <c r="AQ85" s="101" t="str">
        <f t="shared" si="27"/>
        <v/>
      </c>
      <c r="AR85" s="101" t="str">
        <f t="shared" si="28"/>
        <v/>
      </c>
      <c r="AS85" s="101" t="str">
        <f t="shared" si="29"/>
        <v/>
      </c>
      <c r="AT85" s="96" t="s">
        <v>385</v>
      </c>
      <c r="AV85" t="str">
        <f>IF('Proposed Lighting'!CN82&gt;0,"No","Yes")</f>
        <v>Yes</v>
      </c>
    </row>
    <row r="86" spans="1:48" ht="34.5" customHeight="1" outlineLevel="1">
      <c r="A86" s="96" t="s">
        <v>386</v>
      </c>
      <c r="B86" s="96" t="str">
        <f>IF(ISNUMBER(SEARCH("case",E86)),"COM_MISC_REFR_ALL_UNKN1991",IF('Proposed Lighting'!AU83=3,"Commercial-All Com-ExtLight",IF('Proposed Lighting'!AH83&gt;8759,"IPC_8760","Commercial-All Com-IntLight")))</f>
        <v>IPC_8760</v>
      </c>
      <c r="C86" s="96" t="str">
        <f>IF(OR('Proposed Lighting'!DD83="Standard Incentive",'Proposed Lighting'!DD83="Non-Standard Incentive"),"Yes",IF(AND(IF(ISNUMBER(SEARCH("controls",'Proposed Lighting'!T83)),"True","False")="False",'Proposed Lighting'!DD83="Submit Control as Non-Standard"),"Yes","No"))</f>
        <v>No</v>
      </c>
      <c r="D86" s="1403">
        <f>'Proposed Lighting'!CV83-Q86</f>
        <v>0</v>
      </c>
      <c r="E86" s="143">
        <f>'Proposed Lighting'!T83</f>
        <v>0</v>
      </c>
      <c r="F86" s="143">
        <f>'Proposed Lighting'!F83</f>
        <v>0</v>
      </c>
      <c r="G86" s="96" t="s">
        <v>242</v>
      </c>
      <c r="H86" s="142" t="str">
        <f>'Proposed Lighting'!CP83</f>
        <v/>
      </c>
      <c r="I86" s="98">
        <v>1</v>
      </c>
      <c r="J86" s="142">
        <f>'Proposed Lighting'!AA83</f>
        <v>0</v>
      </c>
      <c r="K86" s="142" t="str">
        <f>IF(ISNUMBER(SEARCH("-C",'Proposed Lighting'!M83)),'Proposed Lighting'!AH83*0.9,'Proposed Lighting'!AH83)</f>
        <v/>
      </c>
      <c r="L86" s="142">
        <f>IFERROR(IF(OR('Proposed Lighting'!BC83=22,'Proposed Lighting'!BC83=44),1-25%,IF(OR('Proposed Lighting'!BC83=23,'Proposed Lighting'!BC83=46),1-30%,IF(OR('Proposed Lighting'!BC83=29,'Proposed Lighting'!BC83=39,'Proposed Lighting'!BC83=49),1-35%,IF(OR('Proposed Lighting'!BC83=24,'Proposed Lighting'!BC83=48),1-50%,IF(AND(ISNUMBER(SEARCH("-C",'Proposed Lighting'!M83)),'Proposed Lighting'!AU83=2),90%,100%)))))*'Proposed Lighting'!AH83,0)</f>
        <v>0</v>
      </c>
      <c r="M86" s="87">
        <f t="shared" si="15"/>
        <v>0</v>
      </c>
      <c r="N86" s="87">
        <f>IFERROR(IF('Proposed Lighting'!AU83=1,0,'Proposed Lighting'!AO83),0)</f>
        <v>0</v>
      </c>
      <c r="O86" s="88">
        <f>IF('Proposed Lighting'!AU83=1,0,'Proposed Lighting'!AP83)</f>
        <v>0</v>
      </c>
      <c r="P86" s="87">
        <f t="shared" si="16"/>
        <v>0</v>
      </c>
      <c r="Q86" s="98">
        <f t="shared" si="25"/>
        <v>0</v>
      </c>
      <c r="R86" s="99">
        <f>IFERROR(IF('Proposed Lighting'!T83="Lighting controls only",0,ROUND(IF('Proposed Lighting'!AQ83&lt;'Proposed Lighting'!AR83,0,IF('Proposed Lighting'!AH83=0,0,IF('Proposed Lighting'!BV83&gt;0,'Proposed Lighting'!BV83,IF('Proposed Lighting'!CL83=0,MIN('Proposed Lighting'!CN83:CO83),IF('Proposed Lighting'!CX83&gt;0,'Proposed Lighting'!CX83*'Proposed Lighting'!AA83,0))))),2)),0)</f>
        <v>0</v>
      </c>
      <c r="S86" s="99">
        <f>IF('Proposed Lighting'!AJ83&gt;0,'Proposed Lighting'!AJ83*J86,'Proposed Lighting'!$AU$328*J86)</f>
        <v>0</v>
      </c>
      <c r="T86" s="602">
        <f t="shared" si="17"/>
        <v>0</v>
      </c>
      <c r="U86" s="100"/>
      <c r="V86" s="99">
        <f t="shared" si="18"/>
        <v>0</v>
      </c>
      <c r="W86" s="99">
        <f t="shared" si="19"/>
        <v>0</v>
      </c>
      <c r="X86" s="99">
        <f t="shared" si="20"/>
        <v>0</v>
      </c>
      <c r="Y86" s="99"/>
      <c r="Z86" s="99">
        <f t="shared" si="26"/>
        <v>0</v>
      </c>
      <c r="AA86" s="99"/>
      <c r="AB86" s="99">
        <f t="shared" si="21"/>
        <v>0</v>
      </c>
      <c r="AC86" s="101" t="str">
        <f t="shared" si="22"/>
        <v/>
      </c>
      <c r="AD86" s="101" t="str">
        <f t="shared" si="23"/>
        <v/>
      </c>
      <c r="AE86" s="101" t="str">
        <f t="shared" si="24"/>
        <v/>
      </c>
      <c r="AF86" s="72"/>
      <c r="AG86" s="98">
        <f>IFERROR(IF($AV86="No",0,IF($AV86="yes",Summary!Q86,"")),"")</f>
        <v>0</v>
      </c>
      <c r="AH86" s="99">
        <f>IFERROR(IF($AV86="No",0,IF($AV86="yes",Summary!R86,"")),"")</f>
        <v>0</v>
      </c>
      <c r="AI86" s="99">
        <f>IFERROR(IF($AV86="No",0,IF($AV86="yes",Summary!S86,"")),"")</f>
        <v>0</v>
      </c>
      <c r="AJ86" s="602">
        <f>IFERROR(IF($AV86="No",0,IF($AV86="yes",Summary!T86,"")),"")</f>
        <v>0</v>
      </c>
      <c r="AK86" s="100">
        <f>IFERROR(IF($AV86="No",0,IF($AV86="yes",Summary!U86,"")),"")</f>
        <v>0</v>
      </c>
      <c r="AL86" s="99">
        <f>IFERROR(IF($AV86="No",0,IF($AV86="yes",Summary!V86,"")),"")</f>
        <v>0</v>
      </c>
      <c r="AM86" s="99">
        <f>IFERROR(IF($AV86="No",0,IF($AV86="yes",Summary!W86,"")),"")</f>
        <v>0</v>
      </c>
      <c r="AN86" s="99">
        <f>IFERROR(IF($AV86="No",0,IF($AV86="yes",Summary!X86,"")),"")</f>
        <v>0</v>
      </c>
      <c r="AO86" s="99">
        <f>IFERROR(IF($AV86="No",0,IF($AV86="yes",Summary!Y86+Z86,"")),"")</f>
        <v>0</v>
      </c>
      <c r="AP86" s="99">
        <f>IFERROR(IF($AV86="No",0,IF($AV86="yes",Summary!AB86,"")),"")</f>
        <v>0</v>
      </c>
      <c r="AQ86" s="101" t="str">
        <f t="shared" si="27"/>
        <v/>
      </c>
      <c r="AR86" s="101" t="str">
        <f t="shared" si="28"/>
        <v/>
      </c>
      <c r="AS86" s="101" t="str">
        <f t="shared" si="29"/>
        <v/>
      </c>
      <c r="AT86" s="96" t="s">
        <v>386</v>
      </c>
      <c r="AV86" t="str">
        <f>IF('Proposed Lighting'!CN83&gt;0,"No","Yes")</f>
        <v>Yes</v>
      </c>
    </row>
    <row r="87" spans="1:48" ht="34.5" customHeight="1" outlineLevel="1">
      <c r="A87" s="96" t="s">
        <v>387</v>
      </c>
      <c r="B87" s="96" t="str">
        <f>IF(ISNUMBER(SEARCH("case",E87)),"COM_MISC_REFR_ALL_UNKN1991",IF('Proposed Lighting'!AU84=3,"Commercial-All Com-ExtLight",IF('Proposed Lighting'!AH84&gt;8759,"IPC_8760","Commercial-All Com-IntLight")))</f>
        <v>IPC_8760</v>
      </c>
      <c r="C87" s="96" t="str">
        <f>IF(OR('Proposed Lighting'!DD84="Standard Incentive",'Proposed Lighting'!DD84="Non-Standard Incentive"),"Yes",IF(AND(IF(ISNUMBER(SEARCH("controls",'Proposed Lighting'!T84)),"True","False")="False",'Proposed Lighting'!DD84="Submit Control as Non-Standard"),"Yes","No"))</f>
        <v>No</v>
      </c>
      <c r="D87" s="1403">
        <f>'Proposed Lighting'!CV84-Q87</f>
        <v>0</v>
      </c>
      <c r="E87" s="143">
        <f>'Proposed Lighting'!T84</f>
        <v>0</v>
      </c>
      <c r="F87" s="143">
        <f>'Proposed Lighting'!F84</f>
        <v>0</v>
      </c>
      <c r="G87" s="96" t="s">
        <v>242</v>
      </c>
      <c r="H87" s="142" t="str">
        <f>'Proposed Lighting'!CP84</f>
        <v/>
      </c>
      <c r="I87" s="98">
        <v>1</v>
      </c>
      <c r="J87" s="142">
        <f>'Proposed Lighting'!AA84</f>
        <v>0</v>
      </c>
      <c r="K87" s="142" t="str">
        <f>IF(ISNUMBER(SEARCH("-C",'Proposed Lighting'!M84)),'Proposed Lighting'!AH84*0.9,'Proposed Lighting'!AH84)</f>
        <v/>
      </c>
      <c r="L87" s="142">
        <f>IFERROR(IF(OR('Proposed Lighting'!BC84=22,'Proposed Lighting'!BC84=44),1-25%,IF(OR('Proposed Lighting'!BC84=23,'Proposed Lighting'!BC84=46),1-30%,IF(OR('Proposed Lighting'!BC84=29,'Proposed Lighting'!BC84=39,'Proposed Lighting'!BC84=49),1-35%,IF(OR('Proposed Lighting'!BC84=24,'Proposed Lighting'!BC84=48),1-50%,IF(AND(ISNUMBER(SEARCH("-C",'Proposed Lighting'!M84)),'Proposed Lighting'!AU84=2),90%,100%)))))*'Proposed Lighting'!AH84,0)</f>
        <v>0</v>
      </c>
      <c r="M87" s="87">
        <f t="shared" si="15"/>
        <v>0</v>
      </c>
      <c r="N87" s="87">
        <f>IFERROR(IF('Proposed Lighting'!AU84=1,0,'Proposed Lighting'!AO84),0)</f>
        <v>0</v>
      </c>
      <c r="O87" s="88">
        <f>IF('Proposed Lighting'!AU84=1,0,'Proposed Lighting'!AP84)</f>
        <v>0</v>
      </c>
      <c r="P87" s="87">
        <f t="shared" si="16"/>
        <v>0</v>
      </c>
      <c r="Q87" s="98">
        <f t="shared" si="25"/>
        <v>0</v>
      </c>
      <c r="R87" s="99">
        <f>IFERROR(IF('Proposed Lighting'!T84="Lighting controls only",0,ROUND(IF('Proposed Lighting'!AQ84&lt;'Proposed Lighting'!AR84,0,IF('Proposed Lighting'!AH84=0,0,IF('Proposed Lighting'!BV84&gt;0,'Proposed Lighting'!BV84,IF('Proposed Lighting'!CL84=0,MIN('Proposed Lighting'!CN84:CO84),IF('Proposed Lighting'!CX84&gt;0,'Proposed Lighting'!CX84*'Proposed Lighting'!AA84,0))))),2)),0)</f>
        <v>0</v>
      </c>
      <c r="S87" s="99">
        <f>IF('Proposed Lighting'!AJ84&gt;0,'Proposed Lighting'!AJ84*J87,'Proposed Lighting'!$AU$328*J87)</f>
        <v>0</v>
      </c>
      <c r="T87" s="602">
        <f t="shared" si="17"/>
        <v>0</v>
      </c>
      <c r="U87" s="100"/>
      <c r="V87" s="99">
        <f t="shared" si="18"/>
        <v>0</v>
      </c>
      <c r="W87" s="99">
        <f t="shared" si="19"/>
        <v>0</v>
      </c>
      <c r="X87" s="99">
        <f t="shared" si="20"/>
        <v>0</v>
      </c>
      <c r="Y87" s="99"/>
      <c r="Z87" s="99">
        <f t="shared" si="26"/>
        <v>0</v>
      </c>
      <c r="AA87" s="99"/>
      <c r="AB87" s="99">
        <f t="shared" si="21"/>
        <v>0</v>
      </c>
      <c r="AC87" s="101" t="str">
        <f t="shared" si="22"/>
        <v/>
      </c>
      <c r="AD87" s="101" t="str">
        <f t="shared" si="23"/>
        <v/>
      </c>
      <c r="AE87" s="101" t="str">
        <f t="shared" si="24"/>
        <v/>
      </c>
      <c r="AF87" s="72"/>
      <c r="AG87" s="98">
        <f>IFERROR(IF($AV87="No",0,IF($AV87="yes",Summary!Q87,"")),"")</f>
        <v>0</v>
      </c>
      <c r="AH87" s="99">
        <f>IFERROR(IF($AV87="No",0,IF($AV87="yes",Summary!R87,"")),"")</f>
        <v>0</v>
      </c>
      <c r="AI87" s="99">
        <f>IFERROR(IF($AV87="No",0,IF($AV87="yes",Summary!S87,"")),"")</f>
        <v>0</v>
      </c>
      <c r="AJ87" s="602">
        <f>IFERROR(IF($AV87="No",0,IF($AV87="yes",Summary!T87,"")),"")</f>
        <v>0</v>
      </c>
      <c r="AK87" s="100">
        <f>IFERROR(IF($AV87="No",0,IF($AV87="yes",Summary!U87,"")),"")</f>
        <v>0</v>
      </c>
      <c r="AL87" s="99">
        <f>IFERROR(IF($AV87="No",0,IF($AV87="yes",Summary!V87,"")),"")</f>
        <v>0</v>
      </c>
      <c r="AM87" s="99">
        <f>IFERROR(IF($AV87="No",0,IF($AV87="yes",Summary!W87,"")),"")</f>
        <v>0</v>
      </c>
      <c r="AN87" s="99">
        <f>IFERROR(IF($AV87="No",0,IF($AV87="yes",Summary!X87,"")),"")</f>
        <v>0</v>
      </c>
      <c r="AO87" s="99">
        <f>IFERROR(IF($AV87="No",0,IF($AV87="yes",Summary!Y87+Z87,"")),"")</f>
        <v>0</v>
      </c>
      <c r="AP87" s="99">
        <f>IFERROR(IF($AV87="No",0,IF($AV87="yes",Summary!AB87,"")),"")</f>
        <v>0</v>
      </c>
      <c r="AQ87" s="101" t="str">
        <f t="shared" si="27"/>
        <v/>
      </c>
      <c r="AR87" s="101" t="str">
        <f t="shared" si="28"/>
        <v/>
      </c>
      <c r="AS87" s="101" t="str">
        <f t="shared" si="29"/>
        <v/>
      </c>
      <c r="AT87" s="96" t="s">
        <v>387</v>
      </c>
      <c r="AV87" t="str">
        <f>IF('Proposed Lighting'!CN84&gt;0,"No","Yes")</f>
        <v>Yes</v>
      </c>
    </row>
    <row r="88" spans="1:48" ht="34.5" customHeight="1" outlineLevel="1">
      <c r="A88" s="96" t="s">
        <v>388</v>
      </c>
      <c r="B88" s="96" t="str">
        <f>IF(ISNUMBER(SEARCH("case",E88)),"COM_MISC_REFR_ALL_UNKN1991",IF('Proposed Lighting'!AU85=3,"Commercial-All Com-ExtLight",IF('Proposed Lighting'!AH85&gt;8759,"IPC_8760","Commercial-All Com-IntLight")))</f>
        <v>IPC_8760</v>
      </c>
      <c r="C88" s="96" t="str">
        <f>IF(OR('Proposed Lighting'!DD85="Standard Incentive",'Proposed Lighting'!DD85="Non-Standard Incentive"),"Yes",IF(AND(IF(ISNUMBER(SEARCH("controls",'Proposed Lighting'!T85)),"True","False")="False",'Proposed Lighting'!DD85="Submit Control as Non-Standard"),"Yes","No"))</f>
        <v>No</v>
      </c>
      <c r="D88" s="1403">
        <f>'Proposed Lighting'!CV85-Q88</f>
        <v>0</v>
      </c>
      <c r="E88" s="143">
        <f>'Proposed Lighting'!T85</f>
        <v>0</v>
      </c>
      <c r="F88" s="143">
        <f>'Proposed Lighting'!F85</f>
        <v>0</v>
      </c>
      <c r="G88" s="96" t="s">
        <v>242</v>
      </c>
      <c r="H88" s="142" t="str">
        <f>'Proposed Lighting'!CP85</f>
        <v/>
      </c>
      <c r="I88" s="98">
        <v>1</v>
      </c>
      <c r="J88" s="142">
        <f>'Proposed Lighting'!AA85</f>
        <v>0</v>
      </c>
      <c r="K88" s="142" t="str">
        <f>IF(ISNUMBER(SEARCH("-C",'Proposed Lighting'!M85)),'Proposed Lighting'!AH85*0.9,'Proposed Lighting'!AH85)</f>
        <v/>
      </c>
      <c r="L88" s="142">
        <f>IFERROR(IF(OR('Proposed Lighting'!BC85=22,'Proposed Lighting'!BC85=44),1-25%,IF(OR('Proposed Lighting'!BC85=23,'Proposed Lighting'!BC85=46),1-30%,IF(OR('Proposed Lighting'!BC85=29,'Proposed Lighting'!BC85=39,'Proposed Lighting'!BC85=49),1-35%,IF(OR('Proposed Lighting'!BC85=24,'Proposed Lighting'!BC85=48),1-50%,IF(AND(ISNUMBER(SEARCH("-C",'Proposed Lighting'!M85)),'Proposed Lighting'!AU85=2),90%,100%)))))*'Proposed Lighting'!AH85,0)</f>
        <v>0</v>
      </c>
      <c r="M88" s="87">
        <f t="shared" si="15"/>
        <v>0</v>
      </c>
      <c r="N88" s="87">
        <f>IFERROR(IF('Proposed Lighting'!AU85=1,0,'Proposed Lighting'!AO85),0)</f>
        <v>0</v>
      </c>
      <c r="O88" s="88">
        <f>IF('Proposed Lighting'!AU85=1,0,'Proposed Lighting'!AP85)</f>
        <v>0</v>
      </c>
      <c r="P88" s="87">
        <f t="shared" si="16"/>
        <v>0</v>
      </c>
      <c r="Q88" s="98">
        <f t="shared" si="25"/>
        <v>0</v>
      </c>
      <c r="R88" s="99">
        <f>IFERROR(IF('Proposed Lighting'!T85="Lighting controls only",0,ROUND(IF('Proposed Lighting'!AQ85&lt;'Proposed Lighting'!AR85,0,IF('Proposed Lighting'!AH85=0,0,IF('Proposed Lighting'!BV85&gt;0,'Proposed Lighting'!BV85,IF('Proposed Lighting'!CL85=0,MIN('Proposed Lighting'!CN85:CO85),IF('Proposed Lighting'!CX85&gt;0,'Proposed Lighting'!CX85*'Proposed Lighting'!AA85,0))))),2)),0)</f>
        <v>0</v>
      </c>
      <c r="S88" s="99">
        <f>IF('Proposed Lighting'!AJ85&gt;0,'Proposed Lighting'!AJ85*J88,'Proposed Lighting'!$AU$328*J88)</f>
        <v>0</v>
      </c>
      <c r="T88" s="602">
        <f t="shared" si="17"/>
        <v>0</v>
      </c>
      <c r="U88" s="100"/>
      <c r="V88" s="99">
        <f t="shared" si="18"/>
        <v>0</v>
      </c>
      <c r="W88" s="99">
        <f t="shared" si="19"/>
        <v>0</v>
      </c>
      <c r="X88" s="99">
        <f t="shared" si="20"/>
        <v>0</v>
      </c>
      <c r="Y88" s="99"/>
      <c r="Z88" s="99">
        <f t="shared" si="26"/>
        <v>0</v>
      </c>
      <c r="AA88" s="99"/>
      <c r="AB88" s="99">
        <f t="shared" si="21"/>
        <v>0</v>
      </c>
      <c r="AC88" s="101" t="str">
        <f t="shared" si="22"/>
        <v/>
      </c>
      <c r="AD88" s="101" t="str">
        <f t="shared" si="23"/>
        <v/>
      </c>
      <c r="AE88" s="101" t="str">
        <f t="shared" si="24"/>
        <v/>
      </c>
      <c r="AF88" s="72"/>
      <c r="AG88" s="98">
        <f>IFERROR(IF($AV88="No",0,IF($AV88="yes",Summary!Q88,"")),"")</f>
        <v>0</v>
      </c>
      <c r="AH88" s="99">
        <f>IFERROR(IF($AV88="No",0,IF($AV88="yes",Summary!R88,"")),"")</f>
        <v>0</v>
      </c>
      <c r="AI88" s="99">
        <f>IFERROR(IF($AV88="No",0,IF($AV88="yes",Summary!S88,"")),"")</f>
        <v>0</v>
      </c>
      <c r="AJ88" s="602">
        <f>IFERROR(IF($AV88="No",0,IF($AV88="yes",Summary!T88,"")),"")</f>
        <v>0</v>
      </c>
      <c r="AK88" s="100">
        <f>IFERROR(IF($AV88="No",0,IF($AV88="yes",Summary!U88,"")),"")</f>
        <v>0</v>
      </c>
      <c r="AL88" s="99">
        <f>IFERROR(IF($AV88="No",0,IF($AV88="yes",Summary!V88,"")),"")</f>
        <v>0</v>
      </c>
      <c r="AM88" s="99">
        <f>IFERROR(IF($AV88="No",0,IF($AV88="yes",Summary!W88,"")),"")</f>
        <v>0</v>
      </c>
      <c r="AN88" s="99">
        <f>IFERROR(IF($AV88="No",0,IF($AV88="yes",Summary!X88,"")),"")</f>
        <v>0</v>
      </c>
      <c r="AO88" s="99">
        <f>IFERROR(IF($AV88="No",0,IF($AV88="yes",Summary!Y88+Z88,"")),"")</f>
        <v>0</v>
      </c>
      <c r="AP88" s="99">
        <f>IFERROR(IF($AV88="No",0,IF($AV88="yes",Summary!AB88,"")),"")</f>
        <v>0</v>
      </c>
      <c r="AQ88" s="101" t="str">
        <f t="shared" si="27"/>
        <v/>
      </c>
      <c r="AR88" s="101" t="str">
        <f t="shared" si="28"/>
        <v/>
      </c>
      <c r="AS88" s="101" t="str">
        <f t="shared" si="29"/>
        <v/>
      </c>
      <c r="AT88" s="96" t="s">
        <v>388</v>
      </c>
      <c r="AV88" t="str">
        <f>IF('Proposed Lighting'!CN85&gt;0,"No","Yes")</f>
        <v>Yes</v>
      </c>
    </row>
    <row r="89" spans="1:48" ht="34.5" customHeight="1" outlineLevel="1">
      <c r="A89" s="96" t="s">
        <v>389</v>
      </c>
      <c r="B89" s="96" t="str">
        <f>IF(ISNUMBER(SEARCH("case",E89)),"COM_MISC_REFR_ALL_UNKN1991",IF('Proposed Lighting'!AU86=3,"Commercial-All Com-ExtLight",IF('Proposed Lighting'!AH86&gt;8759,"IPC_8760","Commercial-All Com-IntLight")))</f>
        <v>IPC_8760</v>
      </c>
      <c r="C89" s="96" t="str">
        <f>IF(OR('Proposed Lighting'!DD86="Standard Incentive",'Proposed Lighting'!DD86="Non-Standard Incentive"),"Yes",IF(AND(IF(ISNUMBER(SEARCH("controls",'Proposed Lighting'!T86)),"True","False")="False",'Proposed Lighting'!DD86="Submit Control as Non-Standard"),"Yes","No"))</f>
        <v>No</v>
      </c>
      <c r="D89" s="1403">
        <f>'Proposed Lighting'!CV86-Q89</f>
        <v>0</v>
      </c>
      <c r="E89" s="143">
        <f>'Proposed Lighting'!T86</f>
        <v>0</v>
      </c>
      <c r="F89" s="143">
        <f>'Proposed Lighting'!F86</f>
        <v>0</v>
      </c>
      <c r="G89" s="96" t="s">
        <v>242</v>
      </c>
      <c r="H89" s="142" t="str">
        <f>'Proposed Lighting'!CP86</f>
        <v/>
      </c>
      <c r="I89" s="98">
        <v>1</v>
      </c>
      <c r="J89" s="142">
        <f>'Proposed Lighting'!AA86</f>
        <v>0</v>
      </c>
      <c r="K89" s="142" t="str">
        <f>IF(ISNUMBER(SEARCH("-C",'Proposed Lighting'!M86)),'Proposed Lighting'!AH86*0.9,'Proposed Lighting'!AH86)</f>
        <v/>
      </c>
      <c r="L89" s="142">
        <f>IFERROR(IF(OR('Proposed Lighting'!BC86=22,'Proposed Lighting'!BC86=44),1-25%,IF(OR('Proposed Lighting'!BC86=23,'Proposed Lighting'!BC86=46),1-30%,IF(OR('Proposed Lighting'!BC86=29,'Proposed Lighting'!BC86=39,'Proposed Lighting'!BC86=49),1-35%,IF(OR('Proposed Lighting'!BC86=24,'Proposed Lighting'!BC86=48),1-50%,IF(AND(ISNUMBER(SEARCH("-C",'Proposed Lighting'!M86)),'Proposed Lighting'!AU86=2),90%,100%)))))*'Proposed Lighting'!AH86,0)</f>
        <v>0</v>
      </c>
      <c r="M89" s="87">
        <f t="shared" si="15"/>
        <v>0</v>
      </c>
      <c r="N89" s="87">
        <f>IFERROR(IF('Proposed Lighting'!AU86=1,0,'Proposed Lighting'!AO86),0)</f>
        <v>0</v>
      </c>
      <c r="O89" s="88">
        <f>IF('Proposed Lighting'!AU86=1,0,'Proposed Lighting'!AP86)</f>
        <v>0</v>
      </c>
      <c r="P89" s="87">
        <f t="shared" si="16"/>
        <v>0</v>
      </c>
      <c r="Q89" s="98">
        <f t="shared" si="25"/>
        <v>0</v>
      </c>
      <c r="R89" s="99">
        <f>IFERROR(IF('Proposed Lighting'!T86="Lighting controls only",0,ROUND(IF('Proposed Lighting'!AQ86&lt;'Proposed Lighting'!AR86,0,IF('Proposed Lighting'!AH86=0,0,IF('Proposed Lighting'!BV86&gt;0,'Proposed Lighting'!BV86,IF('Proposed Lighting'!CL86=0,MIN('Proposed Lighting'!CN86:CO86),IF('Proposed Lighting'!CX86&gt;0,'Proposed Lighting'!CX86*'Proposed Lighting'!AA86,0))))),2)),0)</f>
        <v>0</v>
      </c>
      <c r="S89" s="99">
        <f>IF('Proposed Lighting'!AJ86&gt;0,'Proposed Lighting'!AJ86*J89,'Proposed Lighting'!$AU$328*J89)</f>
        <v>0</v>
      </c>
      <c r="T89" s="602">
        <f t="shared" si="17"/>
        <v>0</v>
      </c>
      <c r="U89" s="100"/>
      <c r="V89" s="99">
        <f t="shared" si="18"/>
        <v>0</v>
      </c>
      <c r="W89" s="99">
        <f t="shared" si="19"/>
        <v>0</v>
      </c>
      <c r="X89" s="99">
        <f t="shared" si="20"/>
        <v>0</v>
      </c>
      <c r="Y89" s="99"/>
      <c r="Z89" s="99">
        <f t="shared" si="26"/>
        <v>0</v>
      </c>
      <c r="AA89" s="99"/>
      <c r="AB89" s="99">
        <f t="shared" si="21"/>
        <v>0</v>
      </c>
      <c r="AC89" s="101" t="str">
        <f t="shared" si="22"/>
        <v/>
      </c>
      <c r="AD89" s="101" t="str">
        <f t="shared" si="23"/>
        <v/>
      </c>
      <c r="AE89" s="101" t="str">
        <f t="shared" si="24"/>
        <v/>
      </c>
      <c r="AF89" s="72"/>
      <c r="AG89" s="98">
        <f>IFERROR(IF($AV89="No",0,IF($AV89="yes",Summary!Q89,"")),"")</f>
        <v>0</v>
      </c>
      <c r="AH89" s="99">
        <f>IFERROR(IF($AV89="No",0,IF($AV89="yes",Summary!R89,"")),"")</f>
        <v>0</v>
      </c>
      <c r="AI89" s="99">
        <f>IFERROR(IF($AV89="No",0,IF($AV89="yes",Summary!S89,"")),"")</f>
        <v>0</v>
      </c>
      <c r="AJ89" s="602">
        <f>IFERROR(IF($AV89="No",0,IF($AV89="yes",Summary!T89,"")),"")</f>
        <v>0</v>
      </c>
      <c r="AK89" s="100">
        <f>IFERROR(IF($AV89="No",0,IF($AV89="yes",Summary!U89,"")),"")</f>
        <v>0</v>
      </c>
      <c r="AL89" s="99">
        <f>IFERROR(IF($AV89="No",0,IF($AV89="yes",Summary!V89,"")),"")</f>
        <v>0</v>
      </c>
      <c r="AM89" s="99">
        <f>IFERROR(IF($AV89="No",0,IF($AV89="yes",Summary!W89,"")),"")</f>
        <v>0</v>
      </c>
      <c r="AN89" s="99">
        <f>IFERROR(IF($AV89="No",0,IF($AV89="yes",Summary!X89,"")),"")</f>
        <v>0</v>
      </c>
      <c r="AO89" s="99">
        <f>IFERROR(IF($AV89="No",0,IF($AV89="yes",Summary!Y89+Z89,"")),"")</f>
        <v>0</v>
      </c>
      <c r="AP89" s="99">
        <f>IFERROR(IF($AV89="No",0,IF($AV89="yes",Summary!AB89,"")),"")</f>
        <v>0</v>
      </c>
      <c r="AQ89" s="101" t="str">
        <f t="shared" si="27"/>
        <v/>
      </c>
      <c r="AR89" s="101" t="str">
        <f t="shared" si="28"/>
        <v/>
      </c>
      <c r="AS89" s="101" t="str">
        <f t="shared" si="29"/>
        <v/>
      </c>
      <c r="AT89" s="96" t="s">
        <v>389</v>
      </c>
      <c r="AV89" t="str">
        <f>IF('Proposed Lighting'!CN86&gt;0,"No","Yes")</f>
        <v>Yes</v>
      </c>
    </row>
    <row r="90" spans="1:48" ht="34.5" customHeight="1" outlineLevel="1">
      <c r="A90" s="96" t="s">
        <v>390</v>
      </c>
      <c r="B90" s="96" t="str">
        <f>IF(ISNUMBER(SEARCH("case",E90)),"COM_MISC_REFR_ALL_UNKN1991",IF('Proposed Lighting'!AU87=3,"Commercial-All Com-ExtLight",IF('Proposed Lighting'!AH87&gt;8759,"IPC_8760","Commercial-All Com-IntLight")))</f>
        <v>IPC_8760</v>
      </c>
      <c r="C90" s="96" t="str">
        <f>IF(OR('Proposed Lighting'!DD87="Standard Incentive",'Proposed Lighting'!DD87="Non-Standard Incentive"),"Yes",IF(AND(IF(ISNUMBER(SEARCH("controls",'Proposed Lighting'!T87)),"True","False")="False",'Proposed Lighting'!DD87="Submit Control as Non-Standard"),"Yes","No"))</f>
        <v>No</v>
      </c>
      <c r="D90" s="1403">
        <f>'Proposed Lighting'!CV87-Q90</f>
        <v>0</v>
      </c>
      <c r="E90" s="143">
        <f>'Proposed Lighting'!T87</f>
        <v>0</v>
      </c>
      <c r="F90" s="143">
        <f>'Proposed Lighting'!F87</f>
        <v>0</v>
      </c>
      <c r="G90" s="96" t="s">
        <v>242</v>
      </c>
      <c r="H90" s="142" t="str">
        <f>'Proposed Lighting'!CP87</f>
        <v/>
      </c>
      <c r="I90" s="98">
        <v>1</v>
      </c>
      <c r="J90" s="142">
        <f>'Proposed Lighting'!AA87</f>
        <v>0</v>
      </c>
      <c r="K90" s="142" t="str">
        <f>IF(ISNUMBER(SEARCH("-C",'Proposed Lighting'!M87)),'Proposed Lighting'!AH87*0.9,'Proposed Lighting'!AH87)</f>
        <v/>
      </c>
      <c r="L90" s="142">
        <f>IFERROR(IF(OR('Proposed Lighting'!BC87=22,'Proposed Lighting'!BC87=44),1-25%,IF(OR('Proposed Lighting'!BC87=23,'Proposed Lighting'!BC87=46),1-30%,IF(OR('Proposed Lighting'!BC87=29,'Proposed Lighting'!BC87=39,'Proposed Lighting'!BC87=49),1-35%,IF(OR('Proposed Lighting'!BC87=24,'Proposed Lighting'!BC87=48),1-50%,IF(AND(ISNUMBER(SEARCH("-C",'Proposed Lighting'!M87)),'Proposed Lighting'!AU87=2),90%,100%)))))*'Proposed Lighting'!AH87,0)</f>
        <v>0</v>
      </c>
      <c r="M90" s="87">
        <f t="shared" si="15"/>
        <v>0</v>
      </c>
      <c r="N90" s="87">
        <f>IFERROR(IF('Proposed Lighting'!AU87=1,0,'Proposed Lighting'!AO87),0)</f>
        <v>0</v>
      </c>
      <c r="O90" s="88">
        <f>IF('Proposed Lighting'!AU87=1,0,'Proposed Lighting'!AP87)</f>
        <v>0</v>
      </c>
      <c r="P90" s="87">
        <f t="shared" si="16"/>
        <v>0</v>
      </c>
      <c r="Q90" s="98">
        <f t="shared" si="25"/>
        <v>0</v>
      </c>
      <c r="R90" s="99">
        <f>IFERROR(IF('Proposed Lighting'!T87="Lighting controls only",0,ROUND(IF('Proposed Lighting'!AQ87&lt;'Proposed Lighting'!AR87,0,IF('Proposed Lighting'!AH87=0,0,IF('Proposed Lighting'!BV87&gt;0,'Proposed Lighting'!BV87,IF('Proposed Lighting'!CL87=0,MIN('Proposed Lighting'!CN87:CO87),IF('Proposed Lighting'!CX87&gt;0,'Proposed Lighting'!CX87*'Proposed Lighting'!AA87,0))))),2)),0)</f>
        <v>0</v>
      </c>
      <c r="S90" s="99">
        <f>IF('Proposed Lighting'!AJ87&gt;0,'Proposed Lighting'!AJ87*J90,'Proposed Lighting'!$AU$328*J90)</f>
        <v>0</v>
      </c>
      <c r="T90" s="602">
        <f t="shared" si="17"/>
        <v>0</v>
      </c>
      <c r="U90" s="100"/>
      <c r="V90" s="99">
        <f t="shared" si="18"/>
        <v>0</v>
      </c>
      <c r="W90" s="99">
        <f t="shared" si="19"/>
        <v>0</v>
      </c>
      <c r="X90" s="99">
        <f t="shared" si="20"/>
        <v>0</v>
      </c>
      <c r="Y90" s="99"/>
      <c r="Z90" s="99">
        <f t="shared" si="26"/>
        <v>0</v>
      </c>
      <c r="AA90" s="99"/>
      <c r="AB90" s="99">
        <f t="shared" si="21"/>
        <v>0</v>
      </c>
      <c r="AC90" s="101" t="str">
        <f t="shared" si="22"/>
        <v/>
      </c>
      <c r="AD90" s="101" t="str">
        <f t="shared" si="23"/>
        <v/>
      </c>
      <c r="AE90" s="101" t="str">
        <f t="shared" si="24"/>
        <v/>
      </c>
      <c r="AF90" s="72"/>
      <c r="AG90" s="98">
        <f>IFERROR(IF($AV90="No",0,IF($AV90="yes",Summary!Q90,"")),"")</f>
        <v>0</v>
      </c>
      <c r="AH90" s="99">
        <f>IFERROR(IF($AV90="No",0,IF($AV90="yes",Summary!R90,"")),"")</f>
        <v>0</v>
      </c>
      <c r="AI90" s="99">
        <f>IFERROR(IF($AV90="No",0,IF($AV90="yes",Summary!S90,"")),"")</f>
        <v>0</v>
      </c>
      <c r="AJ90" s="602">
        <f>IFERROR(IF($AV90="No",0,IF($AV90="yes",Summary!T90,"")),"")</f>
        <v>0</v>
      </c>
      <c r="AK90" s="100">
        <f>IFERROR(IF($AV90="No",0,IF($AV90="yes",Summary!U90,"")),"")</f>
        <v>0</v>
      </c>
      <c r="AL90" s="99">
        <f>IFERROR(IF($AV90="No",0,IF($AV90="yes",Summary!V90,"")),"")</f>
        <v>0</v>
      </c>
      <c r="AM90" s="99">
        <f>IFERROR(IF($AV90="No",0,IF($AV90="yes",Summary!W90,"")),"")</f>
        <v>0</v>
      </c>
      <c r="AN90" s="99">
        <f>IFERROR(IF($AV90="No",0,IF($AV90="yes",Summary!X90,"")),"")</f>
        <v>0</v>
      </c>
      <c r="AO90" s="99">
        <f>IFERROR(IF($AV90="No",0,IF($AV90="yes",Summary!Y90+Z90,"")),"")</f>
        <v>0</v>
      </c>
      <c r="AP90" s="99">
        <f>IFERROR(IF($AV90="No",0,IF($AV90="yes",Summary!AB90,"")),"")</f>
        <v>0</v>
      </c>
      <c r="AQ90" s="101" t="str">
        <f t="shared" si="27"/>
        <v/>
      </c>
      <c r="AR90" s="101" t="str">
        <f t="shared" si="28"/>
        <v/>
      </c>
      <c r="AS90" s="101" t="str">
        <f t="shared" si="29"/>
        <v/>
      </c>
      <c r="AT90" s="96" t="s">
        <v>390</v>
      </c>
      <c r="AV90" t="str">
        <f>IF('Proposed Lighting'!CN87&gt;0,"No","Yes")</f>
        <v>Yes</v>
      </c>
    </row>
    <row r="91" spans="1:48" ht="34.5" customHeight="1" outlineLevel="1">
      <c r="A91" s="96" t="s">
        <v>391</v>
      </c>
      <c r="B91" s="96" t="str">
        <f>IF(ISNUMBER(SEARCH("case",E91)),"COM_MISC_REFR_ALL_UNKN1991",IF('Proposed Lighting'!AU88=3,"Commercial-All Com-ExtLight",IF('Proposed Lighting'!AH88&gt;8759,"IPC_8760","Commercial-All Com-IntLight")))</f>
        <v>IPC_8760</v>
      </c>
      <c r="C91" s="96" t="str">
        <f>IF(OR('Proposed Lighting'!DD88="Standard Incentive",'Proposed Lighting'!DD88="Non-Standard Incentive"),"Yes",IF(AND(IF(ISNUMBER(SEARCH("controls",'Proposed Lighting'!T88)),"True","False")="False",'Proposed Lighting'!DD88="Submit Control as Non-Standard"),"Yes","No"))</f>
        <v>No</v>
      </c>
      <c r="D91" s="1403">
        <f>'Proposed Lighting'!CV88-Q91</f>
        <v>0</v>
      </c>
      <c r="E91" s="143">
        <f>'Proposed Lighting'!T88</f>
        <v>0</v>
      </c>
      <c r="F91" s="143">
        <f>'Proposed Lighting'!F88</f>
        <v>0</v>
      </c>
      <c r="G91" s="96" t="s">
        <v>242</v>
      </c>
      <c r="H91" s="142" t="str">
        <f>'Proposed Lighting'!CP88</f>
        <v/>
      </c>
      <c r="I91" s="98">
        <v>1</v>
      </c>
      <c r="J91" s="142">
        <f>'Proposed Lighting'!AA88</f>
        <v>0</v>
      </c>
      <c r="K91" s="142" t="str">
        <f>IF(ISNUMBER(SEARCH("-C",'Proposed Lighting'!M88)),'Proposed Lighting'!AH88*0.9,'Proposed Lighting'!AH88)</f>
        <v/>
      </c>
      <c r="L91" s="142">
        <f>IFERROR(IF(OR('Proposed Lighting'!BC88=22,'Proposed Lighting'!BC88=44),1-25%,IF(OR('Proposed Lighting'!BC88=23,'Proposed Lighting'!BC88=46),1-30%,IF(OR('Proposed Lighting'!BC88=29,'Proposed Lighting'!BC88=39,'Proposed Lighting'!BC88=49),1-35%,IF(OR('Proposed Lighting'!BC88=24,'Proposed Lighting'!BC88=48),1-50%,IF(AND(ISNUMBER(SEARCH("-C",'Proposed Lighting'!M88)),'Proposed Lighting'!AU88=2),90%,100%)))))*'Proposed Lighting'!AH88,0)</f>
        <v>0</v>
      </c>
      <c r="M91" s="87">
        <f t="shared" si="15"/>
        <v>0</v>
      </c>
      <c r="N91" s="87">
        <f>IFERROR(IF('Proposed Lighting'!AU88=1,0,'Proposed Lighting'!AO88),0)</f>
        <v>0</v>
      </c>
      <c r="O91" s="88">
        <f>IF('Proposed Lighting'!AU88=1,0,'Proposed Lighting'!AP88)</f>
        <v>0</v>
      </c>
      <c r="P91" s="87">
        <f t="shared" si="16"/>
        <v>0</v>
      </c>
      <c r="Q91" s="98">
        <f t="shared" si="25"/>
        <v>0</v>
      </c>
      <c r="R91" s="99">
        <f>IFERROR(IF('Proposed Lighting'!T88="Lighting controls only",0,ROUND(IF('Proposed Lighting'!AQ88&lt;'Proposed Lighting'!AR88,0,IF('Proposed Lighting'!AH88=0,0,IF('Proposed Lighting'!BV88&gt;0,'Proposed Lighting'!BV88,IF('Proposed Lighting'!CL88=0,MIN('Proposed Lighting'!CN88:CO88),IF('Proposed Lighting'!CX88&gt;0,'Proposed Lighting'!CX88*'Proposed Lighting'!AA88,0))))),2)),0)</f>
        <v>0</v>
      </c>
      <c r="S91" s="99">
        <f>IF('Proposed Lighting'!AJ88&gt;0,'Proposed Lighting'!AJ88*J91,'Proposed Lighting'!$AU$328*J91)</f>
        <v>0</v>
      </c>
      <c r="T91" s="602">
        <f t="shared" si="17"/>
        <v>0</v>
      </c>
      <c r="U91" s="100"/>
      <c r="V91" s="99">
        <f t="shared" si="18"/>
        <v>0</v>
      </c>
      <c r="W91" s="99">
        <f t="shared" si="19"/>
        <v>0</v>
      </c>
      <c r="X91" s="99">
        <f t="shared" si="20"/>
        <v>0</v>
      </c>
      <c r="Y91" s="99"/>
      <c r="Z91" s="99">
        <f t="shared" si="26"/>
        <v>0</v>
      </c>
      <c r="AA91" s="99"/>
      <c r="AB91" s="99">
        <f t="shared" si="21"/>
        <v>0</v>
      </c>
      <c r="AC91" s="101" t="str">
        <f t="shared" si="22"/>
        <v/>
      </c>
      <c r="AD91" s="101" t="str">
        <f t="shared" si="23"/>
        <v/>
      </c>
      <c r="AE91" s="101" t="str">
        <f t="shared" si="24"/>
        <v/>
      </c>
      <c r="AF91" s="72"/>
      <c r="AG91" s="98">
        <f>IFERROR(IF($AV91="No",0,IF($AV91="yes",Summary!Q91,"")),"")</f>
        <v>0</v>
      </c>
      <c r="AH91" s="99">
        <f>IFERROR(IF($AV91="No",0,IF($AV91="yes",Summary!R91,"")),"")</f>
        <v>0</v>
      </c>
      <c r="AI91" s="99">
        <f>IFERROR(IF($AV91="No",0,IF($AV91="yes",Summary!S91,"")),"")</f>
        <v>0</v>
      </c>
      <c r="AJ91" s="602">
        <f>IFERROR(IF($AV91="No",0,IF($AV91="yes",Summary!T91,"")),"")</f>
        <v>0</v>
      </c>
      <c r="AK91" s="100">
        <f>IFERROR(IF($AV91="No",0,IF($AV91="yes",Summary!U91,"")),"")</f>
        <v>0</v>
      </c>
      <c r="AL91" s="99">
        <f>IFERROR(IF($AV91="No",0,IF($AV91="yes",Summary!V91,"")),"")</f>
        <v>0</v>
      </c>
      <c r="AM91" s="99">
        <f>IFERROR(IF($AV91="No",0,IF($AV91="yes",Summary!W91,"")),"")</f>
        <v>0</v>
      </c>
      <c r="AN91" s="99">
        <f>IFERROR(IF($AV91="No",0,IF($AV91="yes",Summary!X91,"")),"")</f>
        <v>0</v>
      </c>
      <c r="AO91" s="99">
        <f>IFERROR(IF($AV91="No",0,IF($AV91="yes",Summary!Y91+Z91,"")),"")</f>
        <v>0</v>
      </c>
      <c r="AP91" s="99">
        <f>IFERROR(IF($AV91="No",0,IF($AV91="yes",Summary!AB91,"")),"")</f>
        <v>0</v>
      </c>
      <c r="AQ91" s="101" t="str">
        <f t="shared" si="27"/>
        <v/>
      </c>
      <c r="AR91" s="101" t="str">
        <f t="shared" si="28"/>
        <v/>
      </c>
      <c r="AS91" s="101" t="str">
        <f t="shared" si="29"/>
        <v/>
      </c>
      <c r="AT91" s="96" t="s">
        <v>391</v>
      </c>
      <c r="AV91" t="str">
        <f>IF('Proposed Lighting'!CN88&gt;0,"No","Yes")</f>
        <v>Yes</v>
      </c>
    </row>
    <row r="92" spans="1:48" ht="34.5" customHeight="1" outlineLevel="1">
      <c r="A92" s="96" t="s">
        <v>392</v>
      </c>
      <c r="B92" s="96" t="str">
        <f>IF(ISNUMBER(SEARCH("case",E92)),"COM_MISC_REFR_ALL_UNKN1991",IF('Proposed Lighting'!AU89=3,"Commercial-All Com-ExtLight",IF('Proposed Lighting'!AH89&gt;8759,"IPC_8760","Commercial-All Com-IntLight")))</f>
        <v>IPC_8760</v>
      </c>
      <c r="C92" s="96" t="str">
        <f>IF(OR('Proposed Lighting'!DD89="Standard Incentive",'Proposed Lighting'!DD89="Non-Standard Incentive"),"Yes",IF(AND(IF(ISNUMBER(SEARCH("controls",'Proposed Lighting'!T89)),"True","False")="False",'Proposed Lighting'!DD89="Submit Control as Non-Standard"),"Yes","No"))</f>
        <v>No</v>
      </c>
      <c r="D92" s="1403">
        <f>'Proposed Lighting'!CV89-Q92</f>
        <v>0</v>
      </c>
      <c r="E92" s="143">
        <f>'Proposed Lighting'!T89</f>
        <v>0</v>
      </c>
      <c r="F92" s="143">
        <f>'Proposed Lighting'!F89</f>
        <v>0</v>
      </c>
      <c r="G92" s="96" t="s">
        <v>242</v>
      </c>
      <c r="H92" s="142" t="str">
        <f>'Proposed Lighting'!CP89</f>
        <v/>
      </c>
      <c r="I92" s="98">
        <v>1</v>
      </c>
      <c r="J92" s="142">
        <f>'Proposed Lighting'!AA89</f>
        <v>0</v>
      </c>
      <c r="K92" s="142" t="str">
        <f>IF(ISNUMBER(SEARCH("-C",'Proposed Lighting'!M89)),'Proposed Lighting'!AH89*0.9,'Proposed Lighting'!AH89)</f>
        <v/>
      </c>
      <c r="L92" s="142">
        <f>IFERROR(IF(OR('Proposed Lighting'!BC89=22,'Proposed Lighting'!BC89=44),1-25%,IF(OR('Proposed Lighting'!BC89=23,'Proposed Lighting'!BC89=46),1-30%,IF(OR('Proposed Lighting'!BC89=29,'Proposed Lighting'!BC89=39,'Proposed Lighting'!BC89=49),1-35%,IF(OR('Proposed Lighting'!BC89=24,'Proposed Lighting'!BC89=48),1-50%,IF(AND(ISNUMBER(SEARCH("-C",'Proposed Lighting'!M89)),'Proposed Lighting'!AU89=2),90%,100%)))))*'Proposed Lighting'!AH89,0)</f>
        <v>0</v>
      </c>
      <c r="M92" s="87">
        <f t="shared" si="15"/>
        <v>0</v>
      </c>
      <c r="N92" s="87">
        <f>IFERROR(IF('Proposed Lighting'!AU89=1,0,'Proposed Lighting'!AO89),0)</f>
        <v>0</v>
      </c>
      <c r="O92" s="88">
        <f>IF('Proposed Lighting'!AU89=1,0,'Proposed Lighting'!AP89)</f>
        <v>0</v>
      </c>
      <c r="P92" s="87">
        <f t="shared" si="16"/>
        <v>0</v>
      </c>
      <c r="Q92" s="98">
        <f t="shared" si="25"/>
        <v>0</v>
      </c>
      <c r="R92" s="99">
        <f>IFERROR(IF('Proposed Lighting'!T89="Lighting controls only",0,ROUND(IF('Proposed Lighting'!AQ89&lt;'Proposed Lighting'!AR89,0,IF('Proposed Lighting'!AH89=0,0,IF('Proposed Lighting'!BV89&gt;0,'Proposed Lighting'!BV89,IF('Proposed Lighting'!CL89=0,MIN('Proposed Lighting'!CN89:CO89),IF('Proposed Lighting'!CX89&gt;0,'Proposed Lighting'!CX89*'Proposed Lighting'!AA89,0))))),2)),0)</f>
        <v>0</v>
      </c>
      <c r="S92" s="99">
        <f>IF('Proposed Lighting'!AJ89&gt;0,'Proposed Lighting'!AJ89*J92,'Proposed Lighting'!$AU$328*J92)</f>
        <v>0</v>
      </c>
      <c r="T92" s="602">
        <f t="shared" si="17"/>
        <v>0</v>
      </c>
      <c r="U92" s="100"/>
      <c r="V92" s="99">
        <f t="shared" si="18"/>
        <v>0</v>
      </c>
      <c r="W92" s="99">
        <f t="shared" si="19"/>
        <v>0</v>
      </c>
      <c r="X92" s="99">
        <f t="shared" si="20"/>
        <v>0</v>
      </c>
      <c r="Y92" s="99"/>
      <c r="Z92" s="99">
        <f t="shared" si="26"/>
        <v>0</v>
      </c>
      <c r="AA92" s="99"/>
      <c r="AB92" s="99">
        <f t="shared" si="21"/>
        <v>0</v>
      </c>
      <c r="AC92" s="101" t="str">
        <f t="shared" si="22"/>
        <v/>
      </c>
      <c r="AD92" s="101" t="str">
        <f t="shared" si="23"/>
        <v/>
      </c>
      <c r="AE92" s="101" t="str">
        <f t="shared" si="24"/>
        <v/>
      </c>
      <c r="AF92" s="72"/>
      <c r="AG92" s="98">
        <f>IFERROR(IF($AV92="No",0,IF($AV92="yes",Summary!Q92,"")),"")</f>
        <v>0</v>
      </c>
      <c r="AH92" s="99">
        <f>IFERROR(IF($AV92="No",0,IF($AV92="yes",Summary!R92,"")),"")</f>
        <v>0</v>
      </c>
      <c r="AI92" s="99">
        <f>IFERROR(IF($AV92="No",0,IF($AV92="yes",Summary!S92,"")),"")</f>
        <v>0</v>
      </c>
      <c r="AJ92" s="602">
        <f>IFERROR(IF($AV92="No",0,IF($AV92="yes",Summary!T92,"")),"")</f>
        <v>0</v>
      </c>
      <c r="AK92" s="100">
        <f>IFERROR(IF($AV92="No",0,IF($AV92="yes",Summary!U92,"")),"")</f>
        <v>0</v>
      </c>
      <c r="AL92" s="99">
        <f>IFERROR(IF($AV92="No",0,IF($AV92="yes",Summary!V92,"")),"")</f>
        <v>0</v>
      </c>
      <c r="AM92" s="99">
        <f>IFERROR(IF($AV92="No",0,IF($AV92="yes",Summary!W92,"")),"")</f>
        <v>0</v>
      </c>
      <c r="AN92" s="99">
        <f>IFERROR(IF($AV92="No",0,IF($AV92="yes",Summary!X92,"")),"")</f>
        <v>0</v>
      </c>
      <c r="AO92" s="99">
        <f>IFERROR(IF($AV92="No",0,IF($AV92="yes",Summary!Y92+Z92,"")),"")</f>
        <v>0</v>
      </c>
      <c r="AP92" s="99">
        <f>IFERROR(IF($AV92="No",0,IF($AV92="yes",Summary!AB92,"")),"")</f>
        <v>0</v>
      </c>
      <c r="AQ92" s="101" t="str">
        <f t="shared" si="27"/>
        <v/>
      </c>
      <c r="AR92" s="101" t="str">
        <f t="shared" si="28"/>
        <v/>
      </c>
      <c r="AS92" s="101" t="str">
        <f t="shared" si="29"/>
        <v/>
      </c>
      <c r="AT92" s="96" t="s">
        <v>392</v>
      </c>
      <c r="AV92" t="str">
        <f>IF('Proposed Lighting'!CN89&gt;0,"No","Yes")</f>
        <v>Yes</v>
      </c>
    </row>
    <row r="93" spans="1:48" ht="34.5" customHeight="1" outlineLevel="1">
      <c r="A93" s="96" t="s">
        <v>393</v>
      </c>
      <c r="B93" s="96" t="str">
        <f>IF(ISNUMBER(SEARCH("case",E93)),"COM_MISC_REFR_ALL_UNKN1991",IF('Proposed Lighting'!AU90=3,"Commercial-All Com-ExtLight",IF('Proposed Lighting'!AH90&gt;8759,"IPC_8760","Commercial-All Com-IntLight")))</f>
        <v>IPC_8760</v>
      </c>
      <c r="C93" s="96" t="str">
        <f>IF(OR('Proposed Lighting'!DD90="Standard Incentive",'Proposed Lighting'!DD90="Non-Standard Incentive"),"Yes",IF(AND(IF(ISNUMBER(SEARCH("controls",'Proposed Lighting'!T90)),"True","False")="False",'Proposed Lighting'!DD90="Submit Control as Non-Standard"),"Yes","No"))</f>
        <v>No</v>
      </c>
      <c r="D93" s="1403">
        <f>'Proposed Lighting'!CV90-Q93</f>
        <v>0</v>
      </c>
      <c r="E93" s="143">
        <f>'Proposed Lighting'!T90</f>
        <v>0</v>
      </c>
      <c r="F93" s="143">
        <f>'Proposed Lighting'!F90</f>
        <v>0</v>
      </c>
      <c r="G93" s="96" t="s">
        <v>242</v>
      </c>
      <c r="H93" s="142" t="str">
        <f>'Proposed Lighting'!CP90</f>
        <v/>
      </c>
      <c r="I93" s="98">
        <v>1</v>
      </c>
      <c r="J93" s="142">
        <f>'Proposed Lighting'!AA90</f>
        <v>0</v>
      </c>
      <c r="K93" s="142" t="str">
        <f>IF(ISNUMBER(SEARCH("-C",'Proposed Lighting'!M90)),'Proposed Lighting'!AH90*0.9,'Proposed Lighting'!AH90)</f>
        <v/>
      </c>
      <c r="L93" s="142">
        <f>IFERROR(IF(OR('Proposed Lighting'!BC90=22,'Proposed Lighting'!BC90=44),1-25%,IF(OR('Proposed Lighting'!BC90=23,'Proposed Lighting'!BC90=46),1-30%,IF(OR('Proposed Lighting'!BC90=29,'Proposed Lighting'!BC90=39,'Proposed Lighting'!BC90=49),1-35%,IF(OR('Proposed Lighting'!BC90=24,'Proposed Lighting'!BC90=48),1-50%,IF(AND(ISNUMBER(SEARCH("-C",'Proposed Lighting'!M90)),'Proposed Lighting'!AU90=2),90%,100%)))))*'Proposed Lighting'!AH90,0)</f>
        <v>0</v>
      </c>
      <c r="M93" s="87">
        <f t="shared" si="15"/>
        <v>0</v>
      </c>
      <c r="N93" s="87">
        <f>IFERROR(IF('Proposed Lighting'!AU90=1,0,'Proposed Lighting'!AO90),0)</f>
        <v>0</v>
      </c>
      <c r="O93" s="88">
        <f>IF('Proposed Lighting'!AU90=1,0,'Proposed Lighting'!AP90)</f>
        <v>0</v>
      </c>
      <c r="P93" s="87">
        <f t="shared" si="16"/>
        <v>0</v>
      </c>
      <c r="Q93" s="98">
        <f t="shared" si="25"/>
        <v>0</v>
      </c>
      <c r="R93" s="99">
        <f>IFERROR(IF('Proposed Lighting'!T90="Lighting controls only",0,ROUND(IF('Proposed Lighting'!AQ90&lt;'Proposed Lighting'!AR90,0,IF('Proposed Lighting'!AH90=0,0,IF('Proposed Lighting'!BV90&gt;0,'Proposed Lighting'!BV90,IF('Proposed Lighting'!CL90=0,MIN('Proposed Lighting'!CN90:CO90),IF('Proposed Lighting'!CX90&gt;0,'Proposed Lighting'!CX90*'Proposed Lighting'!AA90,0))))),2)),0)</f>
        <v>0</v>
      </c>
      <c r="S93" s="99">
        <f>IF('Proposed Lighting'!AJ90&gt;0,'Proposed Lighting'!AJ90*J93,'Proposed Lighting'!$AU$328*J93)</f>
        <v>0</v>
      </c>
      <c r="T93" s="602">
        <f t="shared" si="17"/>
        <v>0</v>
      </c>
      <c r="U93" s="100"/>
      <c r="V93" s="99">
        <f t="shared" si="18"/>
        <v>0</v>
      </c>
      <c r="W93" s="99">
        <f t="shared" si="19"/>
        <v>0</v>
      </c>
      <c r="X93" s="99">
        <f t="shared" si="20"/>
        <v>0</v>
      </c>
      <c r="Y93" s="99"/>
      <c r="Z93" s="99">
        <f t="shared" si="26"/>
        <v>0</v>
      </c>
      <c r="AA93" s="99"/>
      <c r="AB93" s="99">
        <f t="shared" si="21"/>
        <v>0</v>
      </c>
      <c r="AC93" s="101" t="str">
        <f t="shared" si="22"/>
        <v/>
      </c>
      <c r="AD93" s="101" t="str">
        <f t="shared" si="23"/>
        <v/>
      </c>
      <c r="AE93" s="101" t="str">
        <f t="shared" si="24"/>
        <v/>
      </c>
      <c r="AF93" s="72"/>
      <c r="AG93" s="98">
        <f>IFERROR(IF($AV93="No",0,IF($AV93="yes",Summary!Q93,"")),"")</f>
        <v>0</v>
      </c>
      <c r="AH93" s="99">
        <f>IFERROR(IF($AV93="No",0,IF($AV93="yes",Summary!R93,"")),"")</f>
        <v>0</v>
      </c>
      <c r="AI93" s="99">
        <f>IFERROR(IF($AV93="No",0,IF($AV93="yes",Summary!S93,"")),"")</f>
        <v>0</v>
      </c>
      <c r="AJ93" s="602">
        <f>IFERROR(IF($AV93="No",0,IF($AV93="yes",Summary!T93,"")),"")</f>
        <v>0</v>
      </c>
      <c r="AK93" s="100">
        <f>IFERROR(IF($AV93="No",0,IF($AV93="yes",Summary!U93,"")),"")</f>
        <v>0</v>
      </c>
      <c r="AL93" s="99">
        <f>IFERROR(IF($AV93="No",0,IF($AV93="yes",Summary!V93,"")),"")</f>
        <v>0</v>
      </c>
      <c r="AM93" s="99">
        <f>IFERROR(IF($AV93="No",0,IF($AV93="yes",Summary!W93,"")),"")</f>
        <v>0</v>
      </c>
      <c r="AN93" s="99">
        <f>IFERROR(IF($AV93="No",0,IF($AV93="yes",Summary!X93,"")),"")</f>
        <v>0</v>
      </c>
      <c r="AO93" s="99">
        <f>IFERROR(IF($AV93="No",0,IF($AV93="yes",Summary!Y93+Z93,"")),"")</f>
        <v>0</v>
      </c>
      <c r="AP93" s="99">
        <f>IFERROR(IF($AV93="No",0,IF($AV93="yes",Summary!AB93,"")),"")</f>
        <v>0</v>
      </c>
      <c r="AQ93" s="101" t="str">
        <f t="shared" si="27"/>
        <v/>
      </c>
      <c r="AR93" s="101" t="str">
        <f t="shared" si="28"/>
        <v/>
      </c>
      <c r="AS93" s="101" t="str">
        <f t="shared" si="29"/>
        <v/>
      </c>
      <c r="AT93" s="96" t="s">
        <v>393</v>
      </c>
      <c r="AV93" t="str">
        <f>IF('Proposed Lighting'!CN90&gt;0,"No","Yes")</f>
        <v>Yes</v>
      </c>
    </row>
    <row r="94" spans="1:48" ht="34.5" customHeight="1" outlineLevel="1">
      <c r="A94" s="96" t="s">
        <v>394</v>
      </c>
      <c r="B94" s="96" t="str">
        <f>IF(ISNUMBER(SEARCH("case",E94)),"COM_MISC_REFR_ALL_UNKN1991",IF('Proposed Lighting'!AU91=3,"Commercial-All Com-ExtLight",IF('Proposed Lighting'!AH91&gt;8759,"IPC_8760","Commercial-All Com-IntLight")))</f>
        <v>IPC_8760</v>
      </c>
      <c r="C94" s="96" t="str">
        <f>IF(OR('Proposed Lighting'!DD91="Standard Incentive",'Proposed Lighting'!DD91="Non-Standard Incentive"),"Yes",IF(AND(IF(ISNUMBER(SEARCH("controls",'Proposed Lighting'!T91)),"True","False")="False",'Proposed Lighting'!DD91="Submit Control as Non-Standard"),"Yes","No"))</f>
        <v>No</v>
      </c>
      <c r="D94" s="1403">
        <f>'Proposed Lighting'!CV91-Q94</f>
        <v>0</v>
      </c>
      <c r="E94" s="143">
        <f>'Proposed Lighting'!T91</f>
        <v>0</v>
      </c>
      <c r="F94" s="143">
        <f>'Proposed Lighting'!F91</f>
        <v>0</v>
      </c>
      <c r="G94" s="96" t="s">
        <v>242</v>
      </c>
      <c r="H94" s="142" t="str">
        <f>'Proposed Lighting'!CP91</f>
        <v/>
      </c>
      <c r="I94" s="98">
        <v>1</v>
      </c>
      <c r="J94" s="142">
        <f>'Proposed Lighting'!AA91</f>
        <v>0</v>
      </c>
      <c r="K94" s="142" t="str">
        <f>IF(ISNUMBER(SEARCH("-C",'Proposed Lighting'!M91)),'Proposed Lighting'!AH91*0.9,'Proposed Lighting'!AH91)</f>
        <v/>
      </c>
      <c r="L94" s="142">
        <f>IFERROR(IF(OR('Proposed Lighting'!BC91=22,'Proposed Lighting'!BC91=44),1-25%,IF(OR('Proposed Lighting'!BC91=23,'Proposed Lighting'!BC91=46),1-30%,IF(OR('Proposed Lighting'!BC91=29,'Proposed Lighting'!BC91=39,'Proposed Lighting'!BC91=49),1-35%,IF(OR('Proposed Lighting'!BC91=24,'Proposed Lighting'!BC91=48),1-50%,IF(AND(ISNUMBER(SEARCH("-C",'Proposed Lighting'!M91)),'Proposed Lighting'!AU91=2),90%,100%)))))*'Proposed Lighting'!AH91,0)</f>
        <v>0</v>
      </c>
      <c r="M94" s="87">
        <f t="shared" si="15"/>
        <v>0</v>
      </c>
      <c r="N94" s="87">
        <f>IFERROR(IF('Proposed Lighting'!AU91=1,0,'Proposed Lighting'!AO91),0)</f>
        <v>0</v>
      </c>
      <c r="O94" s="88">
        <f>IF('Proposed Lighting'!AU91=1,0,'Proposed Lighting'!AP91)</f>
        <v>0</v>
      </c>
      <c r="P94" s="87">
        <f t="shared" si="16"/>
        <v>0</v>
      </c>
      <c r="Q94" s="98">
        <f t="shared" si="25"/>
        <v>0</v>
      </c>
      <c r="R94" s="99">
        <f>IFERROR(IF('Proposed Lighting'!T91="Lighting controls only",0,ROUND(IF('Proposed Lighting'!AQ91&lt;'Proposed Lighting'!AR91,0,IF('Proposed Lighting'!AH91=0,0,IF('Proposed Lighting'!BV91&gt;0,'Proposed Lighting'!BV91,IF('Proposed Lighting'!CL91=0,MIN('Proposed Lighting'!CN91:CO91),IF('Proposed Lighting'!CX91&gt;0,'Proposed Lighting'!CX91*'Proposed Lighting'!AA91,0))))),2)),0)</f>
        <v>0</v>
      </c>
      <c r="S94" s="99">
        <f>IF('Proposed Lighting'!AJ91&gt;0,'Proposed Lighting'!AJ91*J94,'Proposed Lighting'!$AU$328*J94)</f>
        <v>0</v>
      </c>
      <c r="T94" s="602">
        <f t="shared" si="17"/>
        <v>0</v>
      </c>
      <c r="U94" s="100"/>
      <c r="V94" s="99">
        <f t="shared" si="18"/>
        <v>0</v>
      </c>
      <c r="W94" s="99">
        <f t="shared" si="19"/>
        <v>0</v>
      </c>
      <c r="X94" s="99">
        <f t="shared" si="20"/>
        <v>0</v>
      </c>
      <c r="Y94" s="99"/>
      <c r="Z94" s="99">
        <f t="shared" si="26"/>
        <v>0</v>
      </c>
      <c r="AA94" s="99"/>
      <c r="AB94" s="99">
        <f t="shared" si="21"/>
        <v>0</v>
      </c>
      <c r="AC94" s="101" t="str">
        <f t="shared" si="22"/>
        <v/>
      </c>
      <c r="AD94" s="101" t="str">
        <f t="shared" si="23"/>
        <v/>
      </c>
      <c r="AE94" s="101" t="str">
        <f t="shared" si="24"/>
        <v/>
      </c>
      <c r="AF94" s="72"/>
      <c r="AG94" s="98">
        <f>IFERROR(IF($AV94="No",0,IF($AV94="yes",Summary!Q94,"")),"")</f>
        <v>0</v>
      </c>
      <c r="AH94" s="99">
        <f>IFERROR(IF($AV94="No",0,IF($AV94="yes",Summary!R94,"")),"")</f>
        <v>0</v>
      </c>
      <c r="AI94" s="99">
        <f>IFERROR(IF($AV94="No",0,IF($AV94="yes",Summary!S94,"")),"")</f>
        <v>0</v>
      </c>
      <c r="AJ94" s="602">
        <f>IFERROR(IF($AV94="No",0,IF($AV94="yes",Summary!T94,"")),"")</f>
        <v>0</v>
      </c>
      <c r="AK94" s="100">
        <f>IFERROR(IF($AV94="No",0,IF($AV94="yes",Summary!U94,"")),"")</f>
        <v>0</v>
      </c>
      <c r="AL94" s="99">
        <f>IFERROR(IF($AV94="No",0,IF($AV94="yes",Summary!V94,"")),"")</f>
        <v>0</v>
      </c>
      <c r="AM94" s="99">
        <f>IFERROR(IF($AV94="No",0,IF($AV94="yes",Summary!W94,"")),"")</f>
        <v>0</v>
      </c>
      <c r="AN94" s="99">
        <f>IFERROR(IF($AV94="No",0,IF($AV94="yes",Summary!X94,"")),"")</f>
        <v>0</v>
      </c>
      <c r="AO94" s="99">
        <f>IFERROR(IF($AV94="No",0,IF($AV94="yes",Summary!Y94+Z94,"")),"")</f>
        <v>0</v>
      </c>
      <c r="AP94" s="99">
        <f>IFERROR(IF($AV94="No",0,IF($AV94="yes",Summary!AB94,"")),"")</f>
        <v>0</v>
      </c>
      <c r="AQ94" s="101" t="str">
        <f t="shared" si="27"/>
        <v/>
      </c>
      <c r="AR94" s="101" t="str">
        <f t="shared" si="28"/>
        <v/>
      </c>
      <c r="AS94" s="101" t="str">
        <f t="shared" si="29"/>
        <v/>
      </c>
      <c r="AT94" s="96" t="s">
        <v>394</v>
      </c>
      <c r="AV94" t="str">
        <f>IF('Proposed Lighting'!CN91&gt;0,"No","Yes")</f>
        <v>Yes</v>
      </c>
    </row>
    <row r="95" spans="1:48" ht="34.5" customHeight="1" outlineLevel="1">
      <c r="A95" s="96" t="s">
        <v>395</v>
      </c>
      <c r="B95" s="96" t="str">
        <f>IF(ISNUMBER(SEARCH("case",E95)),"COM_MISC_REFR_ALL_UNKN1991",IF('Proposed Lighting'!AU92=3,"Commercial-All Com-ExtLight",IF('Proposed Lighting'!AH92&gt;8759,"IPC_8760","Commercial-All Com-IntLight")))</f>
        <v>IPC_8760</v>
      </c>
      <c r="C95" s="96" t="str">
        <f>IF(OR('Proposed Lighting'!DD92="Standard Incentive",'Proposed Lighting'!DD92="Non-Standard Incentive"),"Yes",IF(AND(IF(ISNUMBER(SEARCH("controls",'Proposed Lighting'!T92)),"True","False")="False",'Proposed Lighting'!DD92="Submit Control as Non-Standard"),"Yes","No"))</f>
        <v>No</v>
      </c>
      <c r="D95" s="1403">
        <f>'Proposed Lighting'!CV92-Q95</f>
        <v>0</v>
      </c>
      <c r="E95" s="143">
        <f>'Proposed Lighting'!T92</f>
        <v>0</v>
      </c>
      <c r="F95" s="143">
        <f>'Proposed Lighting'!F92</f>
        <v>0</v>
      </c>
      <c r="G95" s="96" t="s">
        <v>242</v>
      </c>
      <c r="H95" s="142" t="str">
        <f>'Proposed Lighting'!CP92</f>
        <v/>
      </c>
      <c r="I95" s="98">
        <v>1</v>
      </c>
      <c r="J95" s="142">
        <f>'Proposed Lighting'!AA92</f>
        <v>0</v>
      </c>
      <c r="K95" s="142" t="str">
        <f>IF(ISNUMBER(SEARCH("-C",'Proposed Lighting'!M92)),'Proposed Lighting'!AH92*0.9,'Proposed Lighting'!AH92)</f>
        <v/>
      </c>
      <c r="L95" s="142">
        <f>IFERROR(IF(OR('Proposed Lighting'!BC92=22,'Proposed Lighting'!BC92=44),1-25%,IF(OR('Proposed Lighting'!BC92=23,'Proposed Lighting'!BC92=46),1-30%,IF(OR('Proposed Lighting'!BC92=29,'Proposed Lighting'!BC92=39,'Proposed Lighting'!BC92=49),1-35%,IF(OR('Proposed Lighting'!BC92=24,'Proposed Lighting'!BC92=48),1-50%,IF(AND(ISNUMBER(SEARCH("-C",'Proposed Lighting'!M92)),'Proposed Lighting'!AU92=2),90%,100%)))))*'Proposed Lighting'!AH92,0)</f>
        <v>0</v>
      </c>
      <c r="M95" s="87">
        <f t="shared" si="15"/>
        <v>0</v>
      </c>
      <c r="N95" s="87">
        <f>IFERROR(IF('Proposed Lighting'!AU92=1,0,'Proposed Lighting'!AO92),0)</f>
        <v>0</v>
      </c>
      <c r="O95" s="88">
        <f>IF('Proposed Lighting'!AU92=1,0,'Proposed Lighting'!AP92)</f>
        <v>0</v>
      </c>
      <c r="P95" s="87">
        <f t="shared" si="16"/>
        <v>0</v>
      </c>
      <c r="Q95" s="98">
        <f t="shared" si="25"/>
        <v>0</v>
      </c>
      <c r="R95" s="99">
        <f>IFERROR(IF('Proposed Lighting'!T92="Lighting controls only",0,ROUND(IF('Proposed Lighting'!AQ92&lt;'Proposed Lighting'!AR92,0,IF('Proposed Lighting'!AH92=0,0,IF('Proposed Lighting'!BV92&gt;0,'Proposed Lighting'!BV92,IF('Proposed Lighting'!CL92=0,MIN('Proposed Lighting'!CN92:CO92),IF('Proposed Lighting'!CX92&gt;0,'Proposed Lighting'!CX92*'Proposed Lighting'!AA92,0))))),2)),0)</f>
        <v>0</v>
      </c>
      <c r="S95" s="99">
        <f>IF('Proposed Lighting'!AJ92&gt;0,'Proposed Lighting'!AJ92*J95,'Proposed Lighting'!$AU$328*J95)</f>
        <v>0</v>
      </c>
      <c r="T95" s="602">
        <f t="shared" si="17"/>
        <v>0</v>
      </c>
      <c r="U95" s="100"/>
      <c r="V95" s="99">
        <f t="shared" si="18"/>
        <v>0</v>
      </c>
      <c r="W95" s="99">
        <f t="shared" si="19"/>
        <v>0</v>
      </c>
      <c r="X95" s="99">
        <f t="shared" si="20"/>
        <v>0</v>
      </c>
      <c r="Y95" s="99"/>
      <c r="Z95" s="99">
        <f t="shared" si="26"/>
        <v>0</v>
      </c>
      <c r="AA95" s="99"/>
      <c r="AB95" s="99">
        <f t="shared" si="21"/>
        <v>0</v>
      </c>
      <c r="AC95" s="101" t="str">
        <f t="shared" si="22"/>
        <v/>
      </c>
      <c r="AD95" s="101" t="str">
        <f t="shared" si="23"/>
        <v/>
      </c>
      <c r="AE95" s="101" t="str">
        <f t="shared" si="24"/>
        <v/>
      </c>
      <c r="AF95" s="72"/>
      <c r="AG95" s="98">
        <f>IFERROR(IF($AV95="No",0,IF($AV95="yes",Summary!Q95,"")),"")</f>
        <v>0</v>
      </c>
      <c r="AH95" s="99">
        <f>IFERROR(IF($AV95="No",0,IF($AV95="yes",Summary!R95,"")),"")</f>
        <v>0</v>
      </c>
      <c r="AI95" s="99">
        <f>IFERROR(IF($AV95="No",0,IF($AV95="yes",Summary!S95,"")),"")</f>
        <v>0</v>
      </c>
      <c r="AJ95" s="602">
        <f>IFERROR(IF($AV95="No",0,IF($AV95="yes",Summary!T95,"")),"")</f>
        <v>0</v>
      </c>
      <c r="AK95" s="100">
        <f>IFERROR(IF($AV95="No",0,IF($AV95="yes",Summary!U95,"")),"")</f>
        <v>0</v>
      </c>
      <c r="AL95" s="99">
        <f>IFERROR(IF($AV95="No",0,IF($AV95="yes",Summary!V95,"")),"")</f>
        <v>0</v>
      </c>
      <c r="AM95" s="99">
        <f>IFERROR(IF($AV95="No",0,IF($AV95="yes",Summary!W95,"")),"")</f>
        <v>0</v>
      </c>
      <c r="AN95" s="99">
        <f>IFERROR(IF($AV95="No",0,IF($AV95="yes",Summary!X95,"")),"")</f>
        <v>0</v>
      </c>
      <c r="AO95" s="99">
        <f>IFERROR(IF($AV95="No",0,IF($AV95="yes",Summary!Y95+Z95,"")),"")</f>
        <v>0</v>
      </c>
      <c r="AP95" s="99">
        <f>IFERROR(IF($AV95="No",0,IF($AV95="yes",Summary!AB95,"")),"")</f>
        <v>0</v>
      </c>
      <c r="AQ95" s="101" t="str">
        <f t="shared" si="27"/>
        <v/>
      </c>
      <c r="AR95" s="101" t="str">
        <f t="shared" si="28"/>
        <v/>
      </c>
      <c r="AS95" s="101" t="str">
        <f t="shared" si="29"/>
        <v/>
      </c>
      <c r="AT95" s="96" t="s">
        <v>395</v>
      </c>
      <c r="AV95" t="str">
        <f>IF('Proposed Lighting'!CN92&gt;0,"No","Yes")</f>
        <v>Yes</v>
      </c>
    </row>
    <row r="96" spans="1:48" ht="34.5" customHeight="1" outlineLevel="1">
      <c r="A96" s="96" t="s">
        <v>396</v>
      </c>
      <c r="B96" s="96" t="str">
        <f>IF(ISNUMBER(SEARCH("case",E96)),"COM_MISC_REFR_ALL_UNKN1991",IF('Proposed Lighting'!AU93=3,"Commercial-All Com-ExtLight",IF('Proposed Lighting'!AH93&gt;8759,"IPC_8760","Commercial-All Com-IntLight")))</f>
        <v>IPC_8760</v>
      </c>
      <c r="C96" s="96" t="str">
        <f>IF(OR('Proposed Lighting'!DD93="Standard Incentive",'Proposed Lighting'!DD93="Non-Standard Incentive"),"Yes",IF(AND(IF(ISNUMBER(SEARCH("controls",'Proposed Lighting'!T93)),"True","False")="False",'Proposed Lighting'!DD93="Submit Control as Non-Standard"),"Yes","No"))</f>
        <v>No</v>
      </c>
      <c r="D96" s="1403">
        <f>'Proposed Lighting'!CV93-Q96</f>
        <v>0</v>
      </c>
      <c r="E96" s="143">
        <f>'Proposed Lighting'!T93</f>
        <v>0</v>
      </c>
      <c r="F96" s="143">
        <f>'Proposed Lighting'!F93</f>
        <v>0</v>
      </c>
      <c r="G96" s="96" t="s">
        <v>242</v>
      </c>
      <c r="H96" s="142" t="str">
        <f>'Proposed Lighting'!CP93</f>
        <v/>
      </c>
      <c r="I96" s="98">
        <v>1</v>
      </c>
      <c r="J96" s="142">
        <f>'Proposed Lighting'!AA93</f>
        <v>0</v>
      </c>
      <c r="K96" s="142" t="str">
        <f>IF(ISNUMBER(SEARCH("-C",'Proposed Lighting'!M93)),'Proposed Lighting'!AH93*0.9,'Proposed Lighting'!AH93)</f>
        <v/>
      </c>
      <c r="L96" s="142">
        <f>IFERROR(IF(OR('Proposed Lighting'!BC93=22,'Proposed Lighting'!BC93=44),1-25%,IF(OR('Proposed Lighting'!BC93=23,'Proposed Lighting'!BC93=46),1-30%,IF(OR('Proposed Lighting'!BC93=29,'Proposed Lighting'!BC93=39,'Proposed Lighting'!BC93=49),1-35%,IF(OR('Proposed Lighting'!BC93=24,'Proposed Lighting'!BC93=48),1-50%,IF(AND(ISNUMBER(SEARCH("-C",'Proposed Lighting'!M93)),'Proposed Lighting'!AU93=2),90%,100%)))))*'Proposed Lighting'!AH93,0)</f>
        <v>0</v>
      </c>
      <c r="M96" s="87">
        <f t="shared" si="15"/>
        <v>0</v>
      </c>
      <c r="N96" s="87">
        <f>IFERROR(IF('Proposed Lighting'!AU93=1,0,'Proposed Lighting'!AO93),0)</f>
        <v>0</v>
      </c>
      <c r="O96" s="88">
        <f>IF('Proposed Lighting'!AU93=1,0,'Proposed Lighting'!AP93)</f>
        <v>0</v>
      </c>
      <c r="P96" s="87">
        <f t="shared" si="16"/>
        <v>0</v>
      </c>
      <c r="Q96" s="98">
        <f t="shared" si="25"/>
        <v>0</v>
      </c>
      <c r="R96" s="99">
        <f>IFERROR(IF('Proposed Lighting'!T93="Lighting controls only",0,ROUND(IF('Proposed Lighting'!AQ93&lt;'Proposed Lighting'!AR93,0,IF('Proposed Lighting'!AH93=0,0,IF('Proposed Lighting'!BV93&gt;0,'Proposed Lighting'!BV93,IF('Proposed Lighting'!CL93=0,MIN('Proposed Lighting'!CN93:CO93),IF('Proposed Lighting'!CX93&gt;0,'Proposed Lighting'!CX93*'Proposed Lighting'!AA93,0))))),2)),0)</f>
        <v>0</v>
      </c>
      <c r="S96" s="99">
        <f>IF('Proposed Lighting'!AJ93&gt;0,'Proposed Lighting'!AJ93*J96,'Proposed Lighting'!$AU$328*J96)</f>
        <v>0</v>
      </c>
      <c r="T96" s="602">
        <f t="shared" si="17"/>
        <v>0</v>
      </c>
      <c r="U96" s="100"/>
      <c r="V96" s="99">
        <f t="shared" si="18"/>
        <v>0</v>
      </c>
      <c r="W96" s="99">
        <f t="shared" si="19"/>
        <v>0</v>
      </c>
      <c r="X96" s="99">
        <f t="shared" si="20"/>
        <v>0</v>
      </c>
      <c r="Y96" s="99"/>
      <c r="Z96" s="99">
        <f t="shared" si="26"/>
        <v>0</v>
      </c>
      <c r="AA96" s="99"/>
      <c r="AB96" s="99">
        <f t="shared" si="21"/>
        <v>0</v>
      </c>
      <c r="AC96" s="101" t="str">
        <f t="shared" si="22"/>
        <v/>
      </c>
      <c r="AD96" s="101" t="str">
        <f t="shared" si="23"/>
        <v/>
      </c>
      <c r="AE96" s="101" t="str">
        <f t="shared" si="24"/>
        <v/>
      </c>
      <c r="AF96" s="72"/>
      <c r="AG96" s="98">
        <f>IFERROR(IF($AV96="No",0,IF($AV96="yes",Summary!Q96,"")),"")</f>
        <v>0</v>
      </c>
      <c r="AH96" s="99">
        <f>IFERROR(IF($AV96="No",0,IF($AV96="yes",Summary!R96,"")),"")</f>
        <v>0</v>
      </c>
      <c r="AI96" s="99">
        <f>IFERROR(IF($AV96="No",0,IF($AV96="yes",Summary!S96,"")),"")</f>
        <v>0</v>
      </c>
      <c r="AJ96" s="602">
        <f>IFERROR(IF($AV96="No",0,IF($AV96="yes",Summary!T96,"")),"")</f>
        <v>0</v>
      </c>
      <c r="AK96" s="100">
        <f>IFERROR(IF($AV96="No",0,IF($AV96="yes",Summary!U96,"")),"")</f>
        <v>0</v>
      </c>
      <c r="AL96" s="99">
        <f>IFERROR(IF($AV96="No",0,IF($AV96="yes",Summary!V96,"")),"")</f>
        <v>0</v>
      </c>
      <c r="AM96" s="99">
        <f>IFERROR(IF($AV96="No",0,IF($AV96="yes",Summary!W96,"")),"")</f>
        <v>0</v>
      </c>
      <c r="AN96" s="99">
        <f>IFERROR(IF($AV96="No",0,IF($AV96="yes",Summary!X96,"")),"")</f>
        <v>0</v>
      </c>
      <c r="AO96" s="99">
        <f>IFERROR(IF($AV96="No",0,IF($AV96="yes",Summary!Y96+Z96,"")),"")</f>
        <v>0</v>
      </c>
      <c r="AP96" s="99">
        <f>IFERROR(IF($AV96="No",0,IF($AV96="yes",Summary!AB96,"")),"")</f>
        <v>0</v>
      </c>
      <c r="AQ96" s="101" t="str">
        <f t="shared" si="27"/>
        <v/>
      </c>
      <c r="AR96" s="101" t="str">
        <f t="shared" si="28"/>
        <v/>
      </c>
      <c r="AS96" s="101" t="str">
        <f t="shared" si="29"/>
        <v/>
      </c>
      <c r="AT96" s="96" t="s">
        <v>396</v>
      </c>
      <c r="AV96" t="str">
        <f>IF('Proposed Lighting'!CN93&gt;0,"No","Yes")</f>
        <v>Yes</v>
      </c>
    </row>
    <row r="97" spans="1:48" ht="34.5" customHeight="1" outlineLevel="1">
      <c r="A97" s="96" t="s">
        <v>397</v>
      </c>
      <c r="B97" s="96" t="str">
        <f>IF(ISNUMBER(SEARCH("case",E97)),"COM_MISC_REFR_ALL_UNKN1991",IF('Proposed Lighting'!AU94=3,"Commercial-All Com-ExtLight",IF('Proposed Lighting'!AH94&gt;8759,"IPC_8760","Commercial-All Com-IntLight")))</f>
        <v>IPC_8760</v>
      </c>
      <c r="C97" s="96" t="str">
        <f>IF(OR('Proposed Lighting'!DD94="Standard Incentive",'Proposed Lighting'!DD94="Non-Standard Incentive"),"Yes",IF(AND(IF(ISNUMBER(SEARCH("controls",'Proposed Lighting'!T94)),"True","False")="False",'Proposed Lighting'!DD94="Submit Control as Non-Standard"),"Yes","No"))</f>
        <v>No</v>
      </c>
      <c r="D97" s="1403">
        <f>'Proposed Lighting'!CV94-Q97</f>
        <v>0</v>
      </c>
      <c r="E97" s="143">
        <f>'Proposed Lighting'!T94</f>
        <v>0</v>
      </c>
      <c r="F97" s="143">
        <f>'Proposed Lighting'!F94</f>
        <v>0</v>
      </c>
      <c r="G97" s="96" t="s">
        <v>242</v>
      </c>
      <c r="H97" s="142" t="str">
        <f>'Proposed Lighting'!CP94</f>
        <v/>
      </c>
      <c r="I97" s="98">
        <v>1</v>
      </c>
      <c r="J97" s="142">
        <f>'Proposed Lighting'!AA94</f>
        <v>0</v>
      </c>
      <c r="K97" s="142" t="str">
        <f>IF(ISNUMBER(SEARCH("-C",'Proposed Lighting'!M94)),'Proposed Lighting'!AH94*0.9,'Proposed Lighting'!AH94)</f>
        <v/>
      </c>
      <c r="L97" s="142">
        <f>IFERROR(IF(OR('Proposed Lighting'!BC94=22,'Proposed Lighting'!BC94=44),1-25%,IF(OR('Proposed Lighting'!BC94=23,'Proposed Lighting'!BC94=46),1-30%,IF(OR('Proposed Lighting'!BC94=29,'Proposed Lighting'!BC94=39,'Proposed Lighting'!BC94=49),1-35%,IF(OR('Proposed Lighting'!BC94=24,'Proposed Lighting'!BC94=48),1-50%,IF(AND(ISNUMBER(SEARCH("-C",'Proposed Lighting'!M94)),'Proposed Lighting'!AU94=2),90%,100%)))))*'Proposed Lighting'!AH94,0)</f>
        <v>0</v>
      </c>
      <c r="M97" s="87">
        <f t="shared" si="15"/>
        <v>0</v>
      </c>
      <c r="N97" s="87">
        <f>IFERROR(IF('Proposed Lighting'!AU94=1,0,'Proposed Lighting'!AO94),0)</f>
        <v>0</v>
      </c>
      <c r="O97" s="88">
        <f>IF('Proposed Lighting'!AU94=1,0,'Proposed Lighting'!AP94)</f>
        <v>0</v>
      </c>
      <c r="P97" s="87">
        <f t="shared" si="16"/>
        <v>0</v>
      </c>
      <c r="Q97" s="98">
        <f t="shared" si="25"/>
        <v>0</v>
      </c>
      <c r="R97" s="99">
        <f>IFERROR(IF('Proposed Lighting'!T94="Lighting controls only",0,ROUND(IF('Proposed Lighting'!AQ94&lt;'Proposed Lighting'!AR94,0,IF('Proposed Lighting'!AH94=0,0,IF('Proposed Lighting'!BV94&gt;0,'Proposed Lighting'!BV94,IF('Proposed Lighting'!CL94=0,MIN('Proposed Lighting'!CN94:CO94),IF('Proposed Lighting'!CX94&gt;0,'Proposed Lighting'!CX94*'Proposed Lighting'!AA94,0))))),2)),0)</f>
        <v>0</v>
      </c>
      <c r="S97" s="99">
        <f>IF('Proposed Lighting'!AJ94&gt;0,'Proposed Lighting'!AJ94*J97,'Proposed Lighting'!$AU$328*J97)</f>
        <v>0</v>
      </c>
      <c r="T97" s="602">
        <f t="shared" si="17"/>
        <v>0</v>
      </c>
      <c r="U97" s="100"/>
      <c r="V97" s="99">
        <f t="shared" si="18"/>
        <v>0</v>
      </c>
      <c r="W97" s="99">
        <f t="shared" si="19"/>
        <v>0</v>
      </c>
      <c r="X97" s="99">
        <f t="shared" si="20"/>
        <v>0</v>
      </c>
      <c r="Y97" s="99"/>
      <c r="Z97" s="99">
        <f t="shared" si="26"/>
        <v>0</v>
      </c>
      <c r="AA97" s="99"/>
      <c r="AB97" s="99">
        <f t="shared" si="21"/>
        <v>0</v>
      </c>
      <c r="AC97" s="101" t="str">
        <f t="shared" si="22"/>
        <v/>
      </c>
      <c r="AD97" s="101" t="str">
        <f t="shared" si="23"/>
        <v/>
      </c>
      <c r="AE97" s="101" t="str">
        <f t="shared" si="24"/>
        <v/>
      </c>
      <c r="AF97" s="72"/>
      <c r="AG97" s="98">
        <f>IFERROR(IF($AV97="No",0,IF($AV97="yes",Summary!Q97,"")),"")</f>
        <v>0</v>
      </c>
      <c r="AH97" s="99">
        <f>IFERROR(IF($AV97="No",0,IF($AV97="yes",Summary!R97,"")),"")</f>
        <v>0</v>
      </c>
      <c r="AI97" s="99">
        <f>IFERROR(IF($AV97="No",0,IF($AV97="yes",Summary!S97,"")),"")</f>
        <v>0</v>
      </c>
      <c r="AJ97" s="602">
        <f>IFERROR(IF($AV97="No",0,IF($AV97="yes",Summary!T97,"")),"")</f>
        <v>0</v>
      </c>
      <c r="AK97" s="100">
        <f>IFERROR(IF($AV97="No",0,IF($AV97="yes",Summary!U97,"")),"")</f>
        <v>0</v>
      </c>
      <c r="AL97" s="99">
        <f>IFERROR(IF($AV97="No",0,IF($AV97="yes",Summary!V97,"")),"")</f>
        <v>0</v>
      </c>
      <c r="AM97" s="99">
        <f>IFERROR(IF($AV97="No",0,IF($AV97="yes",Summary!W97,"")),"")</f>
        <v>0</v>
      </c>
      <c r="AN97" s="99">
        <f>IFERROR(IF($AV97="No",0,IF($AV97="yes",Summary!X97,"")),"")</f>
        <v>0</v>
      </c>
      <c r="AO97" s="99">
        <f>IFERROR(IF($AV97="No",0,IF($AV97="yes",Summary!Y97+Z97,"")),"")</f>
        <v>0</v>
      </c>
      <c r="AP97" s="99">
        <f>IFERROR(IF($AV97="No",0,IF($AV97="yes",Summary!AB97,"")),"")</f>
        <v>0</v>
      </c>
      <c r="AQ97" s="101" t="str">
        <f t="shared" si="27"/>
        <v/>
      </c>
      <c r="AR97" s="101" t="str">
        <f t="shared" si="28"/>
        <v/>
      </c>
      <c r="AS97" s="101" t="str">
        <f t="shared" si="29"/>
        <v/>
      </c>
      <c r="AT97" s="96" t="s">
        <v>397</v>
      </c>
      <c r="AV97" t="str">
        <f>IF('Proposed Lighting'!CN94&gt;0,"No","Yes")</f>
        <v>Yes</v>
      </c>
    </row>
    <row r="98" spans="1:48" ht="34.5" customHeight="1" outlineLevel="1">
      <c r="A98" s="96" t="s">
        <v>398</v>
      </c>
      <c r="B98" s="96" t="str">
        <f>IF(ISNUMBER(SEARCH("case",E98)),"COM_MISC_REFR_ALL_UNKN1991",IF('Proposed Lighting'!AU95=3,"Commercial-All Com-ExtLight",IF('Proposed Lighting'!AH95&gt;8759,"IPC_8760","Commercial-All Com-IntLight")))</f>
        <v>IPC_8760</v>
      </c>
      <c r="C98" s="96" t="str">
        <f>IF(OR('Proposed Lighting'!DD95="Standard Incentive",'Proposed Lighting'!DD95="Non-Standard Incentive"),"Yes",IF(AND(IF(ISNUMBER(SEARCH("controls",'Proposed Lighting'!T95)),"True","False")="False",'Proposed Lighting'!DD95="Submit Control as Non-Standard"),"Yes","No"))</f>
        <v>No</v>
      </c>
      <c r="D98" s="1403">
        <f>'Proposed Lighting'!CV95-Q98</f>
        <v>0</v>
      </c>
      <c r="E98" s="143">
        <f>'Proposed Lighting'!T95</f>
        <v>0</v>
      </c>
      <c r="F98" s="143">
        <f>'Proposed Lighting'!F95</f>
        <v>0</v>
      </c>
      <c r="G98" s="96" t="s">
        <v>242</v>
      </c>
      <c r="H98" s="142" t="str">
        <f>'Proposed Lighting'!CP95</f>
        <v/>
      </c>
      <c r="I98" s="98">
        <v>1</v>
      </c>
      <c r="J98" s="142">
        <f>'Proposed Lighting'!AA95</f>
        <v>0</v>
      </c>
      <c r="K98" s="142" t="str">
        <f>IF(ISNUMBER(SEARCH("-C",'Proposed Lighting'!M95)),'Proposed Lighting'!AH95*0.9,'Proposed Lighting'!AH95)</f>
        <v/>
      </c>
      <c r="L98" s="142">
        <f>IFERROR(IF(OR('Proposed Lighting'!BC95=22,'Proposed Lighting'!BC95=44),1-25%,IF(OR('Proposed Lighting'!BC95=23,'Proposed Lighting'!BC95=46),1-30%,IF(OR('Proposed Lighting'!BC95=29,'Proposed Lighting'!BC95=39,'Proposed Lighting'!BC95=49),1-35%,IF(OR('Proposed Lighting'!BC95=24,'Proposed Lighting'!BC95=48),1-50%,IF(AND(ISNUMBER(SEARCH("-C",'Proposed Lighting'!M95)),'Proposed Lighting'!AU95=2),90%,100%)))))*'Proposed Lighting'!AH95,0)</f>
        <v>0</v>
      </c>
      <c r="M98" s="87">
        <f t="shared" si="15"/>
        <v>0</v>
      </c>
      <c r="N98" s="87">
        <f>IFERROR(IF('Proposed Lighting'!AU95=1,0,'Proposed Lighting'!AO95),0)</f>
        <v>0</v>
      </c>
      <c r="O98" s="88">
        <f>IF('Proposed Lighting'!AU95=1,0,'Proposed Lighting'!AP95)</f>
        <v>0</v>
      </c>
      <c r="P98" s="87">
        <f t="shared" si="16"/>
        <v>0</v>
      </c>
      <c r="Q98" s="98">
        <f t="shared" si="25"/>
        <v>0</v>
      </c>
      <c r="R98" s="99">
        <f>IFERROR(IF('Proposed Lighting'!T95="Lighting controls only",0,ROUND(IF('Proposed Lighting'!AQ95&lt;'Proposed Lighting'!AR95,0,IF('Proposed Lighting'!AH95=0,0,IF('Proposed Lighting'!BV95&gt;0,'Proposed Lighting'!BV95,IF('Proposed Lighting'!CL95=0,MIN('Proposed Lighting'!CN95:CO95),IF('Proposed Lighting'!CX95&gt;0,'Proposed Lighting'!CX95*'Proposed Lighting'!AA95,0))))),2)),0)</f>
        <v>0</v>
      </c>
      <c r="S98" s="99">
        <f>IF('Proposed Lighting'!AJ95&gt;0,'Proposed Lighting'!AJ95*J98,'Proposed Lighting'!$AU$328*J98)</f>
        <v>0</v>
      </c>
      <c r="T98" s="602">
        <f t="shared" si="17"/>
        <v>0</v>
      </c>
      <c r="U98" s="100"/>
      <c r="V98" s="99">
        <f t="shared" si="18"/>
        <v>0</v>
      </c>
      <c r="W98" s="99">
        <f t="shared" si="19"/>
        <v>0</v>
      </c>
      <c r="X98" s="99">
        <f t="shared" si="20"/>
        <v>0</v>
      </c>
      <c r="Y98" s="99"/>
      <c r="Z98" s="99">
        <f t="shared" si="26"/>
        <v>0</v>
      </c>
      <c r="AA98" s="99"/>
      <c r="AB98" s="99">
        <f t="shared" si="21"/>
        <v>0</v>
      </c>
      <c r="AC98" s="101" t="str">
        <f t="shared" si="22"/>
        <v/>
      </c>
      <c r="AD98" s="101" t="str">
        <f t="shared" si="23"/>
        <v/>
      </c>
      <c r="AE98" s="101" t="str">
        <f t="shared" si="24"/>
        <v/>
      </c>
      <c r="AF98" s="72"/>
      <c r="AG98" s="98">
        <f>IFERROR(IF($AV98="No",0,IF($AV98="yes",Summary!Q98,"")),"")</f>
        <v>0</v>
      </c>
      <c r="AH98" s="99">
        <f>IFERROR(IF($AV98="No",0,IF($AV98="yes",Summary!R98,"")),"")</f>
        <v>0</v>
      </c>
      <c r="AI98" s="99">
        <f>IFERROR(IF($AV98="No",0,IF($AV98="yes",Summary!S98,"")),"")</f>
        <v>0</v>
      </c>
      <c r="AJ98" s="602">
        <f>IFERROR(IF($AV98="No",0,IF($AV98="yes",Summary!T98,"")),"")</f>
        <v>0</v>
      </c>
      <c r="AK98" s="100">
        <f>IFERROR(IF($AV98="No",0,IF($AV98="yes",Summary!U98,"")),"")</f>
        <v>0</v>
      </c>
      <c r="AL98" s="99">
        <f>IFERROR(IF($AV98="No",0,IF($AV98="yes",Summary!V98,"")),"")</f>
        <v>0</v>
      </c>
      <c r="AM98" s="99">
        <f>IFERROR(IF($AV98="No",0,IF($AV98="yes",Summary!W98,"")),"")</f>
        <v>0</v>
      </c>
      <c r="AN98" s="99">
        <f>IFERROR(IF($AV98="No",0,IF($AV98="yes",Summary!X98,"")),"")</f>
        <v>0</v>
      </c>
      <c r="AO98" s="99">
        <f>IFERROR(IF($AV98="No",0,IF($AV98="yes",Summary!Y98+Z98,"")),"")</f>
        <v>0</v>
      </c>
      <c r="AP98" s="99">
        <f>IFERROR(IF($AV98="No",0,IF($AV98="yes",Summary!AB98,"")),"")</f>
        <v>0</v>
      </c>
      <c r="AQ98" s="101" t="str">
        <f t="shared" si="27"/>
        <v/>
      </c>
      <c r="AR98" s="101" t="str">
        <f t="shared" si="28"/>
        <v/>
      </c>
      <c r="AS98" s="101" t="str">
        <f t="shared" si="29"/>
        <v/>
      </c>
      <c r="AT98" s="96" t="s">
        <v>398</v>
      </c>
      <c r="AV98" t="str">
        <f>IF('Proposed Lighting'!CN95&gt;0,"No","Yes")</f>
        <v>Yes</v>
      </c>
    </row>
    <row r="99" spans="1:48" ht="34.5" customHeight="1" outlineLevel="1">
      <c r="A99" s="96" t="s">
        <v>399</v>
      </c>
      <c r="B99" s="96" t="str">
        <f>IF(ISNUMBER(SEARCH("case",E99)),"COM_MISC_REFR_ALL_UNKN1991",IF('Proposed Lighting'!AU96=3,"Commercial-All Com-ExtLight",IF('Proposed Lighting'!AH96&gt;8759,"IPC_8760","Commercial-All Com-IntLight")))</f>
        <v>IPC_8760</v>
      </c>
      <c r="C99" s="96" t="str">
        <f>IF(OR('Proposed Lighting'!DD96="Standard Incentive",'Proposed Lighting'!DD96="Non-Standard Incentive"),"Yes",IF(AND(IF(ISNUMBER(SEARCH("controls",'Proposed Lighting'!T96)),"True","False")="False",'Proposed Lighting'!DD96="Submit Control as Non-Standard"),"Yes","No"))</f>
        <v>No</v>
      </c>
      <c r="D99" s="1403">
        <f>'Proposed Lighting'!CV96-Q99</f>
        <v>0</v>
      </c>
      <c r="E99" s="143">
        <f>'Proposed Lighting'!T96</f>
        <v>0</v>
      </c>
      <c r="F99" s="143">
        <f>'Proposed Lighting'!F96</f>
        <v>0</v>
      </c>
      <c r="G99" s="96" t="s">
        <v>242</v>
      </c>
      <c r="H99" s="142" t="str">
        <f>'Proposed Lighting'!CP96</f>
        <v/>
      </c>
      <c r="I99" s="98">
        <v>1</v>
      </c>
      <c r="J99" s="142">
        <f>'Proposed Lighting'!AA96</f>
        <v>0</v>
      </c>
      <c r="K99" s="142" t="str">
        <f>IF(ISNUMBER(SEARCH("-C",'Proposed Lighting'!M96)),'Proposed Lighting'!AH96*0.9,'Proposed Lighting'!AH96)</f>
        <v/>
      </c>
      <c r="L99" s="142">
        <f>IFERROR(IF(OR('Proposed Lighting'!BC96=22,'Proposed Lighting'!BC96=44),1-25%,IF(OR('Proposed Lighting'!BC96=23,'Proposed Lighting'!BC96=46),1-30%,IF(OR('Proposed Lighting'!BC96=29,'Proposed Lighting'!BC96=39,'Proposed Lighting'!BC96=49),1-35%,IF(OR('Proposed Lighting'!BC96=24,'Proposed Lighting'!BC96=48),1-50%,IF(AND(ISNUMBER(SEARCH("-C",'Proposed Lighting'!M96)),'Proposed Lighting'!AU96=2),90%,100%)))))*'Proposed Lighting'!AH96,0)</f>
        <v>0</v>
      </c>
      <c r="M99" s="87">
        <f t="shared" si="15"/>
        <v>0</v>
      </c>
      <c r="N99" s="87">
        <f>IFERROR(IF('Proposed Lighting'!AU96=1,0,'Proposed Lighting'!AO96),0)</f>
        <v>0</v>
      </c>
      <c r="O99" s="88">
        <f>IF('Proposed Lighting'!AU96=1,0,'Proposed Lighting'!AP96)</f>
        <v>0</v>
      </c>
      <c r="P99" s="87">
        <f t="shared" si="16"/>
        <v>0</v>
      </c>
      <c r="Q99" s="98">
        <f t="shared" si="25"/>
        <v>0</v>
      </c>
      <c r="R99" s="99">
        <f>IFERROR(IF('Proposed Lighting'!T96="Lighting controls only",0,ROUND(IF('Proposed Lighting'!AQ96&lt;'Proposed Lighting'!AR96,0,IF('Proposed Lighting'!AH96=0,0,IF('Proposed Lighting'!BV96&gt;0,'Proposed Lighting'!BV96,IF('Proposed Lighting'!CL96=0,MIN('Proposed Lighting'!CN96:CO96),IF('Proposed Lighting'!CX96&gt;0,'Proposed Lighting'!CX96*'Proposed Lighting'!AA96,0))))),2)),0)</f>
        <v>0</v>
      </c>
      <c r="S99" s="99">
        <f>IF('Proposed Lighting'!AJ96&gt;0,'Proposed Lighting'!AJ96*J99,'Proposed Lighting'!$AU$328*J99)</f>
        <v>0</v>
      </c>
      <c r="T99" s="602">
        <f t="shared" si="17"/>
        <v>0</v>
      </c>
      <c r="U99" s="100"/>
      <c r="V99" s="99">
        <f t="shared" si="18"/>
        <v>0</v>
      </c>
      <c r="W99" s="99">
        <f t="shared" si="19"/>
        <v>0</v>
      </c>
      <c r="X99" s="99">
        <f t="shared" si="20"/>
        <v>0</v>
      </c>
      <c r="Y99" s="99"/>
      <c r="Z99" s="99">
        <f t="shared" si="26"/>
        <v>0</v>
      </c>
      <c r="AA99" s="99"/>
      <c r="AB99" s="99">
        <f t="shared" si="21"/>
        <v>0</v>
      </c>
      <c r="AC99" s="101" t="str">
        <f t="shared" si="22"/>
        <v/>
      </c>
      <c r="AD99" s="101" t="str">
        <f t="shared" si="23"/>
        <v/>
      </c>
      <c r="AE99" s="101" t="str">
        <f t="shared" si="24"/>
        <v/>
      </c>
      <c r="AF99" s="72"/>
      <c r="AG99" s="98">
        <f>IFERROR(IF($AV99="No",0,IF($AV99="yes",Summary!Q99,"")),"")</f>
        <v>0</v>
      </c>
      <c r="AH99" s="99">
        <f>IFERROR(IF($AV99="No",0,IF($AV99="yes",Summary!R99,"")),"")</f>
        <v>0</v>
      </c>
      <c r="AI99" s="99">
        <f>IFERROR(IF($AV99="No",0,IF($AV99="yes",Summary!S99,"")),"")</f>
        <v>0</v>
      </c>
      <c r="AJ99" s="602">
        <f>IFERROR(IF($AV99="No",0,IF($AV99="yes",Summary!T99,"")),"")</f>
        <v>0</v>
      </c>
      <c r="AK99" s="100">
        <f>IFERROR(IF($AV99="No",0,IF($AV99="yes",Summary!U99,"")),"")</f>
        <v>0</v>
      </c>
      <c r="AL99" s="99">
        <f>IFERROR(IF($AV99="No",0,IF($AV99="yes",Summary!V99,"")),"")</f>
        <v>0</v>
      </c>
      <c r="AM99" s="99">
        <f>IFERROR(IF($AV99="No",0,IF($AV99="yes",Summary!W99,"")),"")</f>
        <v>0</v>
      </c>
      <c r="AN99" s="99">
        <f>IFERROR(IF($AV99="No",0,IF($AV99="yes",Summary!X99,"")),"")</f>
        <v>0</v>
      </c>
      <c r="AO99" s="99">
        <f>IFERROR(IF($AV99="No",0,IF($AV99="yes",Summary!Y99+Z99,"")),"")</f>
        <v>0</v>
      </c>
      <c r="AP99" s="99">
        <f>IFERROR(IF($AV99="No",0,IF($AV99="yes",Summary!AB99,"")),"")</f>
        <v>0</v>
      </c>
      <c r="AQ99" s="101" t="str">
        <f t="shared" si="27"/>
        <v/>
      </c>
      <c r="AR99" s="101" t="str">
        <f t="shared" si="28"/>
        <v/>
      </c>
      <c r="AS99" s="101" t="str">
        <f t="shared" si="29"/>
        <v/>
      </c>
      <c r="AT99" s="96" t="s">
        <v>399</v>
      </c>
      <c r="AV99" t="str">
        <f>IF('Proposed Lighting'!CN96&gt;0,"No","Yes")</f>
        <v>Yes</v>
      </c>
    </row>
    <row r="100" spans="1:48" ht="34.5" customHeight="1" outlineLevel="1">
      <c r="A100" s="96" t="s">
        <v>400</v>
      </c>
      <c r="B100" s="96" t="str">
        <f>IF(ISNUMBER(SEARCH("case",E100)),"COM_MISC_REFR_ALL_UNKN1991",IF('Proposed Lighting'!AU97=3,"Commercial-All Com-ExtLight",IF('Proposed Lighting'!AH97&gt;8759,"IPC_8760","Commercial-All Com-IntLight")))</f>
        <v>IPC_8760</v>
      </c>
      <c r="C100" s="96" t="str">
        <f>IF(OR('Proposed Lighting'!DD97="Standard Incentive",'Proposed Lighting'!DD97="Non-Standard Incentive"),"Yes",IF(AND(IF(ISNUMBER(SEARCH("controls",'Proposed Lighting'!T97)),"True","False")="False",'Proposed Lighting'!DD97="Submit Control as Non-Standard"),"Yes","No"))</f>
        <v>No</v>
      </c>
      <c r="D100" s="1403">
        <f>'Proposed Lighting'!CV97-Q100</f>
        <v>0</v>
      </c>
      <c r="E100" s="143">
        <f>'Proposed Lighting'!T97</f>
        <v>0</v>
      </c>
      <c r="F100" s="143">
        <f>'Proposed Lighting'!F97</f>
        <v>0</v>
      </c>
      <c r="G100" s="96" t="s">
        <v>242</v>
      </c>
      <c r="H100" s="142" t="str">
        <f>'Proposed Lighting'!CP97</f>
        <v/>
      </c>
      <c r="I100" s="98">
        <v>1</v>
      </c>
      <c r="J100" s="142">
        <f>'Proposed Lighting'!AA97</f>
        <v>0</v>
      </c>
      <c r="K100" s="142" t="str">
        <f>IF(ISNUMBER(SEARCH("-C",'Proposed Lighting'!M97)),'Proposed Lighting'!AH97*0.9,'Proposed Lighting'!AH97)</f>
        <v/>
      </c>
      <c r="L100" s="142">
        <f>IFERROR(IF(OR('Proposed Lighting'!BC97=22,'Proposed Lighting'!BC97=44),1-25%,IF(OR('Proposed Lighting'!BC97=23,'Proposed Lighting'!BC97=46),1-30%,IF(OR('Proposed Lighting'!BC97=29,'Proposed Lighting'!BC97=39,'Proposed Lighting'!BC97=49),1-35%,IF(OR('Proposed Lighting'!BC97=24,'Proposed Lighting'!BC97=48),1-50%,IF(AND(ISNUMBER(SEARCH("-C",'Proposed Lighting'!M97)),'Proposed Lighting'!AU97=2),90%,100%)))))*'Proposed Lighting'!AH97,0)</f>
        <v>0</v>
      </c>
      <c r="M100" s="87">
        <f t="shared" si="15"/>
        <v>0</v>
      </c>
      <c r="N100" s="87">
        <f>IFERROR(IF('Proposed Lighting'!AU97=1,0,'Proposed Lighting'!AO97),0)</f>
        <v>0</v>
      </c>
      <c r="O100" s="88">
        <f>IF('Proposed Lighting'!AU97=1,0,'Proposed Lighting'!AP97)</f>
        <v>0</v>
      </c>
      <c r="P100" s="87">
        <f t="shared" si="16"/>
        <v>0</v>
      </c>
      <c r="Q100" s="98">
        <f t="shared" si="25"/>
        <v>0</v>
      </c>
      <c r="R100" s="99">
        <f>IFERROR(IF('Proposed Lighting'!T97="Lighting controls only",0,ROUND(IF('Proposed Lighting'!AQ97&lt;'Proposed Lighting'!AR97,0,IF('Proposed Lighting'!AH97=0,0,IF('Proposed Lighting'!BV97&gt;0,'Proposed Lighting'!BV97,IF('Proposed Lighting'!CL97=0,MIN('Proposed Lighting'!CN97:CO97),IF('Proposed Lighting'!CX97&gt;0,'Proposed Lighting'!CX97*'Proposed Lighting'!AA97,0))))),2)),0)</f>
        <v>0</v>
      </c>
      <c r="S100" s="99">
        <f>IF('Proposed Lighting'!AJ97&gt;0,'Proposed Lighting'!AJ97*J100,'Proposed Lighting'!$AU$328*J100)</f>
        <v>0</v>
      </c>
      <c r="T100" s="602">
        <f t="shared" si="17"/>
        <v>0</v>
      </c>
      <c r="U100" s="100"/>
      <c r="V100" s="99">
        <f t="shared" si="18"/>
        <v>0</v>
      </c>
      <c r="W100" s="99">
        <f t="shared" si="19"/>
        <v>0</v>
      </c>
      <c r="X100" s="99">
        <f t="shared" si="20"/>
        <v>0</v>
      </c>
      <c r="Y100" s="99"/>
      <c r="Z100" s="99">
        <f t="shared" si="26"/>
        <v>0</v>
      </c>
      <c r="AA100" s="99"/>
      <c r="AB100" s="99">
        <f t="shared" si="21"/>
        <v>0</v>
      </c>
      <c r="AC100" s="101" t="str">
        <f t="shared" si="22"/>
        <v/>
      </c>
      <c r="AD100" s="101" t="str">
        <f t="shared" si="23"/>
        <v/>
      </c>
      <c r="AE100" s="101" t="str">
        <f t="shared" si="24"/>
        <v/>
      </c>
      <c r="AF100" s="72"/>
      <c r="AG100" s="98">
        <f>IFERROR(IF($AV100="No",0,IF($AV100="yes",Summary!Q100,"")),"")</f>
        <v>0</v>
      </c>
      <c r="AH100" s="99">
        <f>IFERROR(IF($AV100="No",0,IF($AV100="yes",Summary!R100,"")),"")</f>
        <v>0</v>
      </c>
      <c r="AI100" s="99">
        <f>IFERROR(IF($AV100="No",0,IF($AV100="yes",Summary!S100,"")),"")</f>
        <v>0</v>
      </c>
      <c r="AJ100" s="602">
        <f>IFERROR(IF($AV100="No",0,IF($AV100="yes",Summary!T100,"")),"")</f>
        <v>0</v>
      </c>
      <c r="AK100" s="100">
        <f>IFERROR(IF($AV100="No",0,IF($AV100="yes",Summary!U100,"")),"")</f>
        <v>0</v>
      </c>
      <c r="AL100" s="99">
        <f>IFERROR(IF($AV100="No",0,IF($AV100="yes",Summary!V100,"")),"")</f>
        <v>0</v>
      </c>
      <c r="AM100" s="99">
        <f>IFERROR(IF($AV100="No",0,IF($AV100="yes",Summary!W100,"")),"")</f>
        <v>0</v>
      </c>
      <c r="AN100" s="99">
        <f>IFERROR(IF($AV100="No",0,IF($AV100="yes",Summary!X100,"")),"")</f>
        <v>0</v>
      </c>
      <c r="AO100" s="99">
        <f>IFERROR(IF($AV100="No",0,IF($AV100="yes",Summary!Y100+Z100,"")),"")</f>
        <v>0</v>
      </c>
      <c r="AP100" s="99">
        <f>IFERROR(IF($AV100="No",0,IF($AV100="yes",Summary!AB100,"")),"")</f>
        <v>0</v>
      </c>
      <c r="AQ100" s="101" t="str">
        <f t="shared" si="27"/>
        <v/>
      </c>
      <c r="AR100" s="101" t="str">
        <f t="shared" si="28"/>
        <v/>
      </c>
      <c r="AS100" s="101" t="str">
        <f t="shared" si="29"/>
        <v/>
      </c>
      <c r="AT100" s="96" t="s">
        <v>400</v>
      </c>
      <c r="AV100" t="str">
        <f>IF('Proposed Lighting'!CN97&gt;0,"No","Yes")</f>
        <v>Yes</v>
      </c>
    </row>
    <row r="101" spans="1:48" ht="34.5" customHeight="1" outlineLevel="1">
      <c r="A101" s="96" t="s">
        <v>401</v>
      </c>
      <c r="B101" s="96" t="str">
        <f>IF(ISNUMBER(SEARCH("case",E101)),"COM_MISC_REFR_ALL_UNKN1991",IF('Proposed Lighting'!AU98=3,"Commercial-All Com-ExtLight",IF('Proposed Lighting'!AH98&gt;8759,"IPC_8760","Commercial-All Com-IntLight")))</f>
        <v>IPC_8760</v>
      </c>
      <c r="C101" s="96" t="str">
        <f>IF(OR('Proposed Lighting'!DD98="Standard Incentive",'Proposed Lighting'!DD98="Non-Standard Incentive"),"Yes",IF(AND(IF(ISNUMBER(SEARCH("controls",'Proposed Lighting'!T98)),"True","False")="False",'Proposed Lighting'!DD98="Submit Control as Non-Standard"),"Yes","No"))</f>
        <v>No</v>
      </c>
      <c r="D101" s="1403">
        <f>'Proposed Lighting'!CV98-Q101</f>
        <v>0</v>
      </c>
      <c r="E101" s="143">
        <f>'Proposed Lighting'!T98</f>
        <v>0</v>
      </c>
      <c r="F101" s="143">
        <f>'Proposed Lighting'!F98</f>
        <v>0</v>
      </c>
      <c r="G101" s="96" t="s">
        <v>242</v>
      </c>
      <c r="H101" s="142" t="str">
        <f>'Proposed Lighting'!CP98</f>
        <v/>
      </c>
      <c r="I101" s="98">
        <v>1</v>
      </c>
      <c r="J101" s="142">
        <f>'Proposed Lighting'!AA98</f>
        <v>0</v>
      </c>
      <c r="K101" s="142" t="str">
        <f>IF(ISNUMBER(SEARCH("-C",'Proposed Lighting'!M98)),'Proposed Lighting'!AH98*0.9,'Proposed Lighting'!AH98)</f>
        <v/>
      </c>
      <c r="L101" s="142">
        <f>IFERROR(IF(OR('Proposed Lighting'!BC98=22,'Proposed Lighting'!BC98=44),1-25%,IF(OR('Proposed Lighting'!BC98=23,'Proposed Lighting'!BC98=46),1-30%,IF(OR('Proposed Lighting'!BC98=29,'Proposed Lighting'!BC98=39,'Proposed Lighting'!BC98=49),1-35%,IF(OR('Proposed Lighting'!BC98=24,'Proposed Lighting'!BC98=48),1-50%,IF(AND(ISNUMBER(SEARCH("-C",'Proposed Lighting'!M98)),'Proposed Lighting'!AU98=2),90%,100%)))))*'Proposed Lighting'!AH98,0)</f>
        <v>0</v>
      </c>
      <c r="M101" s="87">
        <f t="shared" si="15"/>
        <v>0</v>
      </c>
      <c r="N101" s="87">
        <f>IFERROR(IF('Proposed Lighting'!AU98=1,0,'Proposed Lighting'!AO98),0)</f>
        <v>0</v>
      </c>
      <c r="O101" s="88">
        <f>IF('Proposed Lighting'!AU98=1,0,'Proposed Lighting'!AP98)</f>
        <v>0</v>
      </c>
      <c r="P101" s="87">
        <f t="shared" si="16"/>
        <v>0</v>
      </c>
      <c r="Q101" s="98">
        <f t="shared" si="25"/>
        <v>0</v>
      </c>
      <c r="R101" s="99">
        <f>IFERROR(IF('Proposed Lighting'!T98="Lighting controls only",0,ROUND(IF('Proposed Lighting'!AQ98&lt;'Proposed Lighting'!AR98,0,IF('Proposed Lighting'!AH98=0,0,IF('Proposed Lighting'!BV98&gt;0,'Proposed Lighting'!BV98,IF('Proposed Lighting'!CL98=0,MIN('Proposed Lighting'!CN98:CO98),IF('Proposed Lighting'!CX98&gt;0,'Proposed Lighting'!CX98*'Proposed Lighting'!AA98,0))))),2)),0)</f>
        <v>0</v>
      </c>
      <c r="S101" s="99">
        <f>IF('Proposed Lighting'!AJ98&gt;0,'Proposed Lighting'!AJ98*J101,'Proposed Lighting'!$AU$328*J101)</f>
        <v>0</v>
      </c>
      <c r="T101" s="602">
        <f t="shared" si="17"/>
        <v>0</v>
      </c>
      <c r="U101" s="100"/>
      <c r="V101" s="99">
        <f t="shared" si="18"/>
        <v>0</v>
      </c>
      <c r="W101" s="99">
        <f t="shared" si="19"/>
        <v>0</v>
      </c>
      <c r="X101" s="99">
        <f t="shared" si="20"/>
        <v>0</v>
      </c>
      <c r="Y101" s="99"/>
      <c r="Z101" s="99">
        <f t="shared" si="26"/>
        <v>0</v>
      </c>
      <c r="AA101" s="99"/>
      <c r="AB101" s="99">
        <f t="shared" si="21"/>
        <v>0</v>
      </c>
      <c r="AC101" s="101" t="str">
        <f t="shared" si="22"/>
        <v/>
      </c>
      <c r="AD101" s="101" t="str">
        <f t="shared" si="23"/>
        <v/>
      </c>
      <c r="AE101" s="101" t="str">
        <f t="shared" si="24"/>
        <v/>
      </c>
      <c r="AF101" s="72"/>
      <c r="AG101" s="98">
        <f>IFERROR(IF($AV101="No",0,IF($AV101="yes",Summary!Q101,"")),"")</f>
        <v>0</v>
      </c>
      <c r="AH101" s="99">
        <f>IFERROR(IF($AV101="No",0,IF($AV101="yes",Summary!R101,"")),"")</f>
        <v>0</v>
      </c>
      <c r="AI101" s="99">
        <f>IFERROR(IF($AV101="No",0,IF($AV101="yes",Summary!S101,"")),"")</f>
        <v>0</v>
      </c>
      <c r="AJ101" s="602">
        <f>IFERROR(IF($AV101="No",0,IF($AV101="yes",Summary!T101,"")),"")</f>
        <v>0</v>
      </c>
      <c r="AK101" s="100">
        <f>IFERROR(IF($AV101="No",0,IF($AV101="yes",Summary!U101,"")),"")</f>
        <v>0</v>
      </c>
      <c r="AL101" s="99">
        <f>IFERROR(IF($AV101="No",0,IF($AV101="yes",Summary!V101,"")),"")</f>
        <v>0</v>
      </c>
      <c r="AM101" s="99">
        <f>IFERROR(IF($AV101="No",0,IF($AV101="yes",Summary!W101,"")),"")</f>
        <v>0</v>
      </c>
      <c r="AN101" s="99">
        <f>IFERROR(IF($AV101="No",0,IF($AV101="yes",Summary!X101,"")),"")</f>
        <v>0</v>
      </c>
      <c r="AO101" s="99">
        <f>IFERROR(IF($AV101="No",0,IF($AV101="yes",Summary!Y101+Z101,"")),"")</f>
        <v>0</v>
      </c>
      <c r="AP101" s="99">
        <f>IFERROR(IF($AV101="No",0,IF($AV101="yes",Summary!AB101,"")),"")</f>
        <v>0</v>
      </c>
      <c r="AQ101" s="101" t="str">
        <f t="shared" si="27"/>
        <v/>
      </c>
      <c r="AR101" s="101" t="str">
        <f t="shared" si="28"/>
        <v/>
      </c>
      <c r="AS101" s="101" t="str">
        <f t="shared" si="29"/>
        <v/>
      </c>
      <c r="AT101" s="96" t="s">
        <v>401</v>
      </c>
      <c r="AV101" t="str">
        <f>IF('Proposed Lighting'!CN98&gt;0,"No","Yes")</f>
        <v>Yes</v>
      </c>
    </row>
    <row r="102" spans="1:48" ht="34.5" customHeight="1" outlineLevel="1">
      <c r="A102" s="96" t="s">
        <v>402</v>
      </c>
      <c r="B102" s="96" t="str">
        <f>IF(ISNUMBER(SEARCH("case",E102)),"COM_MISC_REFR_ALL_UNKN1991",IF('Proposed Lighting'!AU99=3,"Commercial-All Com-ExtLight",IF('Proposed Lighting'!AH99&gt;8759,"IPC_8760","Commercial-All Com-IntLight")))</f>
        <v>IPC_8760</v>
      </c>
      <c r="C102" s="96" t="str">
        <f>IF(OR('Proposed Lighting'!DD99="Standard Incentive",'Proposed Lighting'!DD99="Non-Standard Incentive"),"Yes",IF(AND(IF(ISNUMBER(SEARCH("controls",'Proposed Lighting'!T99)),"True","False")="False",'Proposed Lighting'!DD99="Submit Control as Non-Standard"),"Yes","No"))</f>
        <v>No</v>
      </c>
      <c r="D102" s="1403">
        <f>'Proposed Lighting'!CV99-Q102</f>
        <v>0</v>
      </c>
      <c r="E102" s="143">
        <f>'Proposed Lighting'!T99</f>
        <v>0</v>
      </c>
      <c r="F102" s="143">
        <f>'Proposed Lighting'!F99</f>
        <v>0</v>
      </c>
      <c r="G102" s="96" t="s">
        <v>242</v>
      </c>
      <c r="H102" s="142" t="str">
        <f>'Proposed Lighting'!CP99</f>
        <v/>
      </c>
      <c r="I102" s="98">
        <v>1</v>
      </c>
      <c r="J102" s="142">
        <f>'Proposed Lighting'!AA99</f>
        <v>0</v>
      </c>
      <c r="K102" s="142" t="str">
        <f>IF(ISNUMBER(SEARCH("-C",'Proposed Lighting'!M99)),'Proposed Lighting'!AH99*0.9,'Proposed Lighting'!AH99)</f>
        <v/>
      </c>
      <c r="L102" s="142">
        <f>IFERROR(IF(OR('Proposed Lighting'!BC99=22,'Proposed Lighting'!BC99=44),1-25%,IF(OR('Proposed Lighting'!BC99=23,'Proposed Lighting'!BC99=46),1-30%,IF(OR('Proposed Lighting'!BC99=29,'Proposed Lighting'!BC99=39,'Proposed Lighting'!BC99=49),1-35%,IF(OR('Proposed Lighting'!BC99=24,'Proposed Lighting'!BC99=48),1-50%,IF(AND(ISNUMBER(SEARCH("-C",'Proposed Lighting'!M99)),'Proposed Lighting'!AU99=2),90%,100%)))))*'Proposed Lighting'!AH99,0)</f>
        <v>0</v>
      </c>
      <c r="M102" s="87">
        <f t="shared" si="15"/>
        <v>0</v>
      </c>
      <c r="N102" s="87">
        <f>IFERROR(IF('Proposed Lighting'!AU99=1,0,'Proposed Lighting'!AO99),0)</f>
        <v>0</v>
      </c>
      <c r="O102" s="88">
        <f>IF('Proposed Lighting'!AU99=1,0,'Proposed Lighting'!AP99)</f>
        <v>0</v>
      </c>
      <c r="P102" s="87">
        <f t="shared" si="16"/>
        <v>0</v>
      </c>
      <c r="Q102" s="98">
        <f t="shared" si="25"/>
        <v>0</v>
      </c>
      <c r="R102" s="99">
        <f>IFERROR(IF('Proposed Lighting'!T99="Lighting controls only",0,ROUND(IF('Proposed Lighting'!AQ99&lt;'Proposed Lighting'!AR99,0,IF('Proposed Lighting'!AH99=0,0,IF('Proposed Lighting'!BV99&gt;0,'Proposed Lighting'!BV99,IF('Proposed Lighting'!CL99=0,MIN('Proposed Lighting'!CN99:CO99),IF('Proposed Lighting'!CX99&gt;0,'Proposed Lighting'!CX99*'Proposed Lighting'!AA99,0))))),2)),0)</f>
        <v>0</v>
      </c>
      <c r="S102" s="99">
        <f>IF('Proposed Lighting'!AJ99&gt;0,'Proposed Lighting'!AJ99*J102,'Proposed Lighting'!$AU$328*J102)</f>
        <v>0</v>
      </c>
      <c r="T102" s="602">
        <f t="shared" si="17"/>
        <v>0</v>
      </c>
      <c r="U102" s="100"/>
      <c r="V102" s="99">
        <f t="shared" si="18"/>
        <v>0</v>
      </c>
      <c r="W102" s="99">
        <f t="shared" si="19"/>
        <v>0</v>
      </c>
      <c r="X102" s="99">
        <f t="shared" si="20"/>
        <v>0</v>
      </c>
      <c r="Y102" s="99"/>
      <c r="Z102" s="99">
        <f t="shared" si="26"/>
        <v>0</v>
      </c>
      <c r="AA102" s="99"/>
      <c r="AB102" s="99">
        <f t="shared" si="21"/>
        <v>0</v>
      </c>
      <c r="AC102" s="101" t="str">
        <f t="shared" si="22"/>
        <v/>
      </c>
      <c r="AD102" s="101" t="str">
        <f t="shared" si="23"/>
        <v/>
      </c>
      <c r="AE102" s="101" t="str">
        <f t="shared" si="24"/>
        <v/>
      </c>
      <c r="AF102" s="72"/>
      <c r="AG102" s="98">
        <f>IFERROR(IF($AV102="No",0,IF($AV102="yes",Summary!Q102,"")),"")</f>
        <v>0</v>
      </c>
      <c r="AH102" s="99">
        <f>IFERROR(IF($AV102="No",0,IF($AV102="yes",Summary!R102,"")),"")</f>
        <v>0</v>
      </c>
      <c r="AI102" s="99">
        <f>IFERROR(IF($AV102="No",0,IF($AV102="yes",Summary!S102,"")),"")</f>
        <v>0</v>
      </c>
      <c r="AJ102" s="602">
        <f>IFERROR(IF($AV102="No",0,IF($AV102="yes",Summary!T102,"")),"")</f>
        <v>0</v>
      </c>
      <c r="AK102" s="100">
        <f>IFERROR(IF($AV102="No",0,IF($AV102="yes",Summary!U102,"")),"")</f>
        <v>0</v>
      </c>
      <c r="AL102" s="99">
        <f>IFERROR(IF($AV102="No",0,IF($AV102="yes",Summary!V102,"")),"")</f>
        <v>0</v>
      </c>
      <c r="AM102" s="99">
        <f>IFERROR(IF($AV102="No",0,IF($AV102="yes",Summary!W102,"")),"")</f>
        <v>0</v>
      </c>
      <c r="AN102" s="99">
        <f>IFERROR(IF($AV102="No",0,IF($AV102="yes",Summary!X102,"")),"")</f>
        <v>0</v>
      </c>
      <c r="AO102" s="99">
        <f>IFERROR(IF($AV102="No",0,IF($AV102="yes",Summary!Y102+Z102,"")),"")</f>
        <v>0</v>
      </c>
      <c r="AP102" s="99">
        <f>IFERROR(IF($AV102="No",0,IF($AV102="yes",Summary!AB102,"")),"")</f>
        <v>0</v>
      </c>
      <c r="AQ102" s="101" t="str">
        <f t="shared" si="27"/>
        <v/>
      </c>
      <c r="AR102" s="101" t="str">
        <f t="shared" si="28"/>
        <v/>
      </c>
      <c r="AS102" s="101" t="str">
        <f t="shared" si="29"/>
        <v/>
      </c>
      <c r="AT102" s="96" t="s">
        <v>402</v>
      </c>
      <c r="AV102" t="str">
        <f>IF('Proposed Lighting'!CN99&gt;0,"No","Yes")</f>
        <v>Yes</v>
      </c>
    </row>
    <row r="103" spans="1:48" ht="34.5" customHeight="1" outlineLevel="1">
      <c r="A103" s="96" t="s">
        <v>403</v>
      </c>
      <c r="B103" s="96" t="str">
        <f>IF(ISNUMBER(SEARCH("case",E103)),"COM_MISC_REFR_ALL_UNKN1991",IF('Proposed Lighting'!AU100=3,"Commercial-All Com-ExtLight",IF('Proposed Lighting'!AH100&gt;8759,"IPC_8760","Commercial-All Com-IntLight")))</f>
        <v>IPC_8760</v>
      </c>
      <c r="C103" s="96" t="str">
        <f>IF(OR('Proposed Lighting'!DD100="Standard Incentive",'Proposed Lighting'!DD100="Non-Standard Incentive"),"Yes",IF(AND(IF(ISNUMBER(SEARCH("controls",'Proposed Lighting'!T100)),"True","False")="False",'Proposed Lighting'!DD100="Submit Control as Non-Standard"),"Yes","No"))</f>
        <v>No</v>
      </c>
      <c r="D103" s="1403">
        <f>'Proposed Lighting'!CV100-Q103</f>
        <v>0</v>
      </c>
      <c r="E103" s="143">
        <f>'Proposed Lighting'!T100</f>
        <v>0</v>
      </c>
      <c r="F103" s="143">
        <f>'Proposed Lighting'!F100</f>
        <v>0</v>
      </c>
      <c r="G103" s="96" t="s">
        <v>242</v>
      </c>
      <c r="H103" s="142" t="str">
        <f>'Proposed Lighting'!CP100</f>
        <v/>
      </c>
      <c r="I103" s="98">
        <v>1</v>
      </c>
      <c r="J103" s="142">
        <f>'Proposed Lighting'!AA100</f>
        <v>0</v>
      </c>
      <c r="K103" s="142" t="str">
        <f>IF(ISNUMBER(SEARCH("-C",'Proposed Lighting'!M100)),'Proposed Lighting'!AH100*0.9,'Proposed Lighting'!AH100)</f>
        <v/>
      </c>
      <c r="L103" s="142">
        <f>IFERROR(IF(OR('Proposed Lighting'!BC100=22,'Proposed Lighting'!BC100=44),1-25%,IF(OR('Proposed Lighting'!BC100=23,'Proposed Lighting'!BC100=46),1-30%,IF(OR('Proposed Lighting'!BC100=29,'Proposed Lighting'!BC100=39,'Proposed Lighting'!BC100=49),1-35%,IF(OR('Proposed Lighting'!BC100=24,'Proposed Lighting'!BC100=48),1-50%,IF(AND(ISNUMBER(SEARCH("-C",'Proposed Lighting'!M100)),'Proposed Lighting'!AU100=2),90%,100%)))))*'Proposed Lighting'!AH100,0)</f>
        <v>0</v>
      </c>
      <c r="M103" s="87">
        <f t="shared" si="15"/>
        <v>0</v>
      </c>
      <c r="N103" s="87">
        <f>IFERROR(IF('Proposed Lighting'!AU100=1,0,'Proposed Lighting'!AO100),0)</f>
        <v>0</v>
      </c>
      <c r="O103" s="88">
        <f>IF('Proposed Lighting'!AU100=1,0,'Proposed Lighting'!AP100)</f>
        <v>0</v>
      </c>
      <c r="P103" s="87">
        <f t="shared" si="16"/>
        <v>0</v>
      </c>
      <c r="Q103" s="98">
        <f t="shared" si="25"/>
        <v>0</v>
      </c>
      <c r="R103" s="99">
        <f>IFERROR(IF('Proposed Lighting'!T100="Lighting controls only",0,ROUND(IF('Proposed Lighting'!AQ100&lt;'Proposed Lighting'!AR100,0,IF('Proposed Lighting'!AH100=0,0,IF('Proposed Lighting'!BV100&gt;0,'Proposed Lighting'!BV100,IF('Proposed Lighting'!CL100=0,MIN('Proposed Lighting'!CN100:CO100),IF('Proposed Lighting'!CX100&gt;0,'Proposed Lighting'!CX100*'Proposed Lighting'!AA100,0))))),2)),0)</f>
        <v>0</v>
      </c>
      <c r="S103" s="99">
        <f>IF('Proposed Lighting'!AJ100&gt;0,'Proposed Lighting'!AJ100*J103,'Proposed Lighting'!$AU$328*J103)</f>
        <v>0</v>
      </c>
      <c r="T103" s="602">
        <f t="shared" si="17"/>
        <v>0</v>
      </c>
      <c r="U103" s="100"/>
      <c r="V103" s="99">
        <f t="shared" si="18"/>
        <v>0</v>
      </c>
      <c r="W103" s="99">
        <f t="shared" si="19"/>
        <v>0</v>
      </c>
      <c r="X103" s="99">
        <f t="shared" si="20"/>
        <v>0</v>
      </c>
      <c r="Y103" s="99"/>
      <c r="Z103" s="99">
        <f t="shared" si="26"/>
        <v>0</v>
      </c>
      <c r="AA103" s="99"/>
      <c r="AB103" s="99">
        <f t="shared" si="21"/>
        <v>0</v>
      </c>
      <c r="AC103" s="101" t="str">
        <f t="shared" si="22"/>
        <v/>
      </c>
      <c r="AD103" s="101" t="str">
        <f t="shared" si="23"/>
        <v/>
      </c>
      <c r="AE103" s="101" t="str">
        <f t="shared" si="24"/>
        <v/>
      </c>
      <c r="AF103" s="72"/>
      <c r="AG103" s="98">
        <f>IFERROR(IF($AV103="No",0,IF($AV103="yes",Summary!Q103,"")),"")</f>
        <v>0</v>
      </c>
      <c r="AH103" s="99">
        <f>IFERROR(IF($AV103="No",0,IF($AV103="yes",Summary!R103,"")),"")</f>
        <v>0</v>
      </c>
      <c r="AI103" s="99">
        <f>IFERROR(IF($AV103="No",0,IF($AV103="yes",Summary!S103,"")),"")</f>
        <v>0</v>
      </c>
      <c r="AJ103" s="602">
        <f>IFERROR(IF($AV103="No",0,IF($AV103="yes",Summary!T103,"")),"")</f>
        <v>0</v>
      </c>
      <c r="AK103" s="100">
        <f>IFERROR(IF($AV103="No",0,IF($AV103="yes",Summary!U103,"")),"")</f>
        <v>0</v>
      </c>
      <c r="AL103" s="99">
        <f>IFERROR(IF($AV103="No",0,IF($AV103="yes",Summary!V103,"")),"")</f>
        <v>0</v>
      </c>
      <c r="AM103" s="99">
        <f>IFERROR(IF($AV103="No",0,IF($AV103="yes",Summary!W103,"")),"")</f>
        <v>0</v>
      </c>
      <c r="AN103" s="99">
        <f>IFERROR(IF($AV103="No",0,IF($AV103="yes",Summary!X103,"")),"")</f>
        <v>0</v>
      </c>
      <c r="AO103" s="99">
        <f>IFERROR(IF($AV103="No",0,IF($AV103="yes",Summary!Y103+Z103,"")),"")</f>
        <v>0</v>
      </c>
      <c r="AP103" s="99">
        <f>IFERROR(IF($AV103="No",0,IF($AV103="yes",Summary!AB103,"")),"")</f>
        <v>0</v>
      </c>
      <c r="AQ103" s="101" t="str">
        <f t="shared" si="27"/>
        <v/>
      </c>
      <c r="AR103" s="101" t="str">
        <f t="shared" si="28"/>
        <v/>
      </c>
      <c r="AS103" s="101" t="str">
        <f t="shared" si="29"/>
        <v/>
      </c>
      <c r="AT103" s="96" t="s">
        <v>403</v>
      </c>
      <c r="AV103" t="str">
        <f>IF('Proposed Lighting'!CN100&gt;0,"No","Yes")</f>
        <v>Yes</v>
      </c>
    </row>
    <row r="104" spans="1:48" ht="34.5" customHeight="1" outlineLevel="1">
      <c r="A104" s="96" t="s">
        <v>404</v>
      </c>
      <c r="B104" s="96" t="str">
        <f>IF(ISNUMBER(SEARCH("case",E104)),"COM_MISC_REFR_ALL_UNKN1991",IF('Proposed Lighting'!AU101=3,"Commercial-All Com-ExtLight",IF('Proposed Lighting'!AH101&gt;8759,"IPC_8760","Commercial-All Com-IntLight")))</f>
        <v>IPC_8760</v>
      </c>
      <c r="C104" s="96" t="str">
        <f>IF(OR('Proposed Lighting'!DD101="Standard Incentive",'Proposed Lighting'!DD101="Non-Standard Incentive"),"Yes",IF(AND(IF(ISNUMBER(SEARCH("controls",'Proposed Lighting'!T101)),"True","False")="False",'Proposed Lighting'!DD101="Submit Control as Non-Standard"),"Yes","No"))</f>
        <v>No</v>
      </c>
      <c r="D104" s="1403">
        <f>'Proposed Lighting'!CV101-Q104</f>
        <v>0</v>
      </c>
      <c r="E104" s="143">
        <f>'Proposed Lighting'!T101</f>
        <v>0</v>
      </c>
      <c r="F104" s="143">
        <f>'Proposed Lighting'!F101</f>
        <v>0</v>
      </c>
      <c r="G104" s="96" t="s">
        <v>242</v>
      </c>
      <c r="H104" s="142" t="str">
        <f>'Proposed Lighting'!CP101</f>
        <v/>
      </c>
      <c r="I104" s="98">
        <v>1</v>
      </c>
      <c r="J104" s="142">
        <f>'Proposed Lighting'!AA101</f>
        <v>0</v>
      </c>
      <c r="K104" s="142" t="str">
        <f>IF(ISNUMBER(SEARCH("-C",'Proposed Lighting'!M101)),'Proposed Lighting'!AH101*0.9,'Proposed Lighting'!AH101)</f>
        <v/>
      </c>
      <c r="L104" s="142">
        <f>IFERROR(IF(OR('Proposed Lighting'!BC101=22,'Proposed Lighting'!BC101=44),1-25%,IF(OR('Proposed Lighting'!BC101=23,'Proposed Lighting'!BC101=46),1-30%,IF(OR('Proposed Lighting'!BC101=29,'Proposed Lighting'!BC101=39,'Proposed Lighting'!BC101=49),1-35%,IF(OR('Proposed Lighting'!BC101=24,'Proposed Lighting'!BC101=48),1-50%,IF(AND(ISNUMBER(SEARCH("-C",'Proposed Lighting'!M101)),'Proposed Lighting'!AU101=2),90%,100%)))))*'Proposed Lighting'!AH101,0)</f>
        <v>0</v>
      </c>
      <c r="M104" s="87">
        <f t="shared" si="15"/>
        <v>0</v>
      </c>
      <c r="N104" s="87">
        <f>IFERROR(IF('Proposed Lighting'!AU101=1,0,'Proposed Lighting'!AO101),0)</f>
        <v>0</v>
      </c>
      <c r="O104" s="88">
        <f>IF('Proposed Lighting'!AU101=1,0,'Proposed Lighting'!AP101)</f>
        <v>0</v>
      </c>
      <c r="P104" s="87">
        <f t="shared" si="16"/>
        <v>0</v>
      </c>
      <c r="Q104" s="98">
        <f t="shared" si="25"/>
        <v>0</v>
      </c>
      <c r="R104" s="99">
        <f>IFERROR(IF('Proposed Lighting'!T101="Lighting controls only",0,ROUND(IF('Proposed Lighting'!AQ101&lt;'Proposed Lighting'!AR101,0,IF('Proposed Lighting'!AH101=0,0,IF('Proposed Lighting'!BV101&gt;0,'Proposed Lighting'!BV101,IF('Proposed Lighting'!CL101=0,MIN('Proposed Lighting'!CN101:CO101),IF('Proposed Lighting'!CX101&gt;0,'Proposed Lighting'!CX101*'Proposed Lighting'!AA101,0))))),2)),0)</f>
        <v>0</v>
      </c>
      <c r="S104" s="99">
        <f>IF('Proposed Lighting'!AJ101&gt;0,'Proposed Lighting'!AJ101*J104,'Proposed Lighting'!$AU$328*J104)</f>
        <v>0</v>
      </c>
      <c r="T104" s="602">
        <f t="shared" si="17"/>
        <v>0</v>
      </c>
      <c r="U104" s="100"/>
      <c r="V104" s="99">
        <f t="shared" si="18"/>
        <v>0</v>
      </c>
      <c r="W104" s="99">
        <f t="shared" si="19"/>
        <v>0</v>
      </c>
      <c r="X104" s="99">
        <f t="shared" si="20"/>
        <v>0</v>
      </c>
      <c r="Y104" s="99"/>
      <c r="Z104" s="99">
        <f t="shared" si="26"/>
        <v>0</v>
      </c>
      <c r="AA104" s="99"/>
      <c r="AB104" s="99">
        <f t="shared" si="21"/>
        <v>0</v>
      </c>
      <c r="AC104" s="101" t="str">
        <f t="shared" si="22"/>
        <v/>
      </c>
      <c r="AD104" s="101" t="str">
        <f t="shared" si="23"/>
        <v/>
      </c>
      <c r="AE104" s="101" t="str">
        <f t="shared" si="24"/>
        <v/>
      </c>
      <c r="AF104" s="72"/>
      <c r="AG104" s="98">
        <f>IFERROR(IF($AV104="No",0,IF($AV104="yes",Summary!Q104,"")),"")</f>
        <v>0</v>
      </c>
      <c r="AH104" s="99">
        <f>IFERROR(IF($AV104="No",0,IF($AV104="yes",Summary!R104,"")),"")</f>
        <v>0</v>
      </c>
      <c r="AI104" s="99">
        <f>IFERROR(IF($AV104="No",0,IF($AV104="yes",Summary!S104,"")),"")</f>
        <v>0</v>
      </c>
      <c r="AJ104" s="602">
        <f>IFERROR(IF($AV104="No",0,IF($AV104="yes",Summary!T104,"")),"")</f>
        <v>0</v>
      </c>
      <c r="AK104" s="100">
        <f>IFERROR(IF($AV104="No",0,IF($AV104="yes",Summary!U104,"")),"")</f>
        <v>0</v>
      </c>
      <c r="AL104" s="99">
        <f>IFERROR(IF($AV104="No",0,IF($AV104="yes",Summary!V104,"")),"")</f>
        <v>0</v>
      </c>
      <c r="AM104" s="99">
        <f>IFERROR(IF($AV104="No",0,IF($AV104="yes",Summary!W104,"")),"")</f>
        <v>0</v>
      </c>
      <c r="AN104" s="99">
        <f>IFERROR(IF($AV104="No",0,IF($AV104="yes",Summary!X104,"")),"")</f>
        <v>0</v>
      </c>
      <c r="AO104" s="99">
        <f>IFERROR(IF($AV104="No",0,IF($AV104="yes",Summary!Y104+Z104,"")),"")</f>
        <v>0</v>
      </c>
      <c r="AP104" s="99">
        <f>IFERROR(IF($AV104="No",0,IF($AV104="yes",Summary!AB104,"")),"")</f>
        <v>0</v>
      </c>
      <c r="AQ104" s="101" t="str">
        <f t="shared" si="27"/>
        <v/>
      </c>
      <c r="AR104" s="101" t="str">
        <f t="shared" si="28"/>
        <v/>
      </c>
      <c r="AS104" s="101" t="str">
        <f t="shared" si="29"/>
        <v/>
      </c>
      <c r="AT104" s="96" t="s">
        <v>404</v>
      </c>
      <c r="AV104" t="str">
        <f>IF('Proposed Lighting'!CN101&gt;0,"No","Yes")</f>
        <v>Yes</v>
      </c>
    </row>
    <row r="105" spans="1:48" ht="34.5" customHeight="1" outlineLevel="1">
      <c r="A105" s="96" t="s">
        <v>405</v>
      </c>
      <c r="B105" s="96" t="str">
        <f>IF(ISNUMBER(SEARCH("case",E105)),"COM_MISC_REFR_ALL_UNKN1991",IF('Proposed Lighting'!AU102=3,"Commercial-All Com-ExtLight",IF('Proposed Lighting'!AH102&gt;8759,"IPC_8760","Commercial-All Com-IntLight")))</f>
        <v>IPC_8760</v>
      </c>
      <c r="C105" s="96" t="str">
        <f>IF(OR('Proposed Lighting'!DD102="Standard Incentive",'Proposed Lighting'!DD102="Non-Standard Incentive"),"Yes",IF(AND(IF(ISNUMBER(SEARCH("controls",'Proposed Lighting'!T102)),"True","False")="False",'Proposed Lighting'!DD102="Submit Control as Non-Standard"),"Yes","No"))</f>
        <v>No</v>
      </c>
      <c r="D105" s="1403">
        <f>'Proposed Lighting'!CV102-Q105</f>
        <v>0</v>
      </c>
      <c r="E105" s="143">
        <f>'Proposed Lighting'!T102</f>
        <v>0</v>
      </c>
      <c r="F105" s="143">
        <f>'Proposed Lighting'!F102</f>
        <v>0</v>
      </c>
      <c r="G105" s="96" t="s">
        <v>242</v>
      </c>
      <c r="H105" s="142" t="str">
        <f>'Proposed Lighting'!CP102</f>
        <v/>
      </c>
      <c r="I105" s="98">
        <v>1</v>
      </c>
      <c r="J105" s="142">
        <f>'Proposed Lighting'!AA102</f>
        <v>0</v>
      </c>
      <c r="K105" s="142" t="str">
        <f>IF(ISNUMBER(SEARCH("-C",'Proposed Lighting'!M102)),'Proposed Lighting'!AH102*0.9,'Proposed Lighting'!AH102)</f>
        <v/>
      </c>
      <c r="L105" s="142">
        <f>IFERROR(IF(OR('Proposed Lighting'!BC102=22,'Proposed Lighting'!BC102=44),1-25%,IF(OR('Proposed Lighting'!BC102=23,'Proposed Lighting'!BC102=46),1-30%,IF(OR('Proposed Lighting'!BC102=29,'Proposed Lighting'!BC102=39,'Proposed Lighting'!BC102=49),1-35%,IF(OR('Proposed Lighting'!BC102=24,'Proposed Lighting'!BC102=48),1-50%,IF(AND(ISNUMBER(SEARCH("-C",'Proposed Lighting'!M102)),'Proposed Lighting'!AU102=2),90%,100%)))))*'Proposed Lighting'!AH102,0)</f>
        <v>0</v>
      </c>
      <c r="M105" s="87">
        <f t="shared" si="15"/>
        <v>0</v>
      </c>
      <c r="N105" s="87">
        <f>IFERROR(IF('Proposed Lighting'!AU102=1,0,'Proposed Lighting'!AO102),0)</f>
        <v>0</v>
      </c>
      <c r="O105" s="88">
        <f>IF('Proposed Lighting'!AU102=1,0,'Proposed Lighting'!AP102)</f>
        <v>0</v>
      </c>
      <c r="P105" s="87">
        <f t="shared" si="16"/>
        <v>0</v>
      </c>
      <c r="Q105" s="98">
        <f t="shared" si="25"/>
        <v>0</v>
      </c>
      <c r="R105" s="99">
        <f>IFERROR(IF('Proposed Lighting'!T102="Lighting controls only",0,ROUND(IF('Proposed Lighting'!AQ102&lt;'Proposed Lighting'!AR102,0,IF('Proposed Lighting'!AH102=0,0,IF('Proposed Lighting'!BV102&gt;0,'Proposed Lighting'!BV102,IF('Proposed Lighting'!CL102=0,MIN('Proposed Lighting'!CN102:CO102),IF('Proposed Lighting'!CX102&gt;0,'Proposed Lighting'!CX102*'Proposed Lighting'!AA102,0))))),2)),0)</f>
        <v>0</v>
      </c>
      <c r="S105" s="99">
        <f>IF('Proposed Lighting'!AJ102&gt;0,'Proposed Lighting'!AJ102*J105,'Proposed Lighting'!$AU$328*J105)</f>
        <v>0</v>
      </c>
      <c r="T105" s="602">
        <f t="shared" si="17"/>
        <v>0</v>
      </c>
      <c r="U105" s="100"/>
      <c r="V105" s="99">
        <f t="shared" si="18"/>
        <v>0</v>
      </c>
      <c r="W105" s="99">
        <f t="shared" si="19"/>
        <v>0</v>
      </c>
      <c r="X105" s="99">
        <f t="shared" si="20"/>
        <v>0</v>
      </c>
      <c r="Y105" s="99"/>
      <c r="Z105" s="99">
        <f t="shared" si="26"/>
        <v>0</v>
      </c>
      <c r="AA105" s="99"/>
      <c r="AB105" s="99">
        <f t="shared" si="21"/>
        <v>0</v>
      </c>
      <c r="AC105" s="101" t="str">
        <f t="shared" si="22"/>
        <v/>
      </c>
      <c r="AD105" s="101" t="str">
        <f t="shared" si="23"/>
        <v/>
      </c>
      <c r="AE105" s="101" t="str">
        <f t="shared" si="24"/>
        <v/>
      </c>
      <c r="AF105" s="72"/>
      <c r="AG105" s="98">
        <f>IFERROR(IF($AV105="No",0,IF($AV105="yes",Summary!Q105,"")),"")</f>
        <v>0</v>
      </c>
      <c r="AH105" s="99">
        <f>IFERROR(IF($AV105="No",0,IF($AV105="yes",Summary!R105,"")),"")</f>
        <v>0</v>
      </c>
      <c r="AI105" s="99">
        <f>IFERROR(IF($AV105="No",0,IF($AV105="yes",Summary!S105,"")),"")</f>
        <v>0</v>
      </c>
      <c r="AJ105" s="602">
        <f>IFERROR(IF($AV105="No",0,IF($AV105="yes",Summary!T105,"")),"")</f>
        <v>0</v>
      </c>
      <c r="AK105" s="100">
        <f>IFERROR(IF($AV105="No",0,IF($AV105="yes",Summary!U105,"")),"")</f>
        <v>0</v>
      </c>
      <c r="AL105" s="99">
        <f>IFERROR(IF($AV105="No",0,IF($AV105="yes",Summary!V105,"")),"")</f>
        <v>0</v>
      </c>
      <c r="AM105" s="99">
        <f>IFERROR(IF($AV105="No",0,IF($AV105="yes",Summary!W105,"")),"")</f>
        <v>0</v>
      </c>
      <c r="AN105" s="99">
        <f>IFERROR(IF($AV105="No",0,IF($AV105="yes",Summary!X105,"")),"")</f>
        <v>0</v>
      </c>
      <c r="AO105" s="99">
        <f>IFERROR(IF($AV105="No",0,IF($AV105="yes",Summary!Y105+Z105,"")),"")</f>
        <v>0</v>
      </c>
      <c r="AP105" s="99">
        <f>IFERROR(IF($AV105="No",0,IF($AV105="yes",Summary!AB105,"")),"")</f>
        <v>0</v>
      </c>
      <c r="AQ105" s="101" t="str">
        <f t="shared" si="27"/>
        <v/>
      </c>
      <c r="AR105" s="101" t="str">
        <f t="shared" si="28"/>
        <v/>
      </c>
      <c r="AS105" s="101" t="str">
        <f t="shared" si="29"/>
        <v/>
      </c>
      <c r="AT105" s="96" t="s">
        <v>405</v>
      </c>
      <c r="AV105" t="str">
        <f>IF('Proposed Lighting'!CN102&gt;0,"No","Yes")</f>
        <v>Yes</v>
      </c>
    </row>
    <row r="106" spans="1:48" ht="34.5" customHeight="1" outlineLevel="1">
      <c r="A106" s="96" t="s">
        <v>406</v>
      </c>
      <c r="B106" s="96" t="str">
        <f>IF(ISNUMBER(SEARCH("case",E106)),"COM_MISC_REFR_ALL_UNKN1991",IF('Proposed Lighting'!AU103=3,"Commercial-All Com-ExtLight",IF('Proposed Lighting'!AH103&gt;8759,"IPC_8760","Commercial-All Com-IntLight")))</f>
        <v>IPC_8760</v>
      </c>
      <c r="C106" s="96" t="str">
        <f>IF(OR('Proposed Lighting'!DD103="Standard Incentive",'Proposed Lighting'!DD103="Non-Standard Incentive"),"Yes",IF(AND(IF(ISNUMBER(SEARCH("controls",'Proposed Lighting'!T103)),"True","False")="False",'Proposed Lighting'!DD103="Submit Control as Non-Standard"),"Yes","No"))</f>
        <v>No</v>
      </c>
      <c r="D106" s="1403">
        <f>'Proposed Lighting'!CV103-Q106</f>
        <v>0</v>
      </c>
      <c r="E106" s="143">
        <f>'Proposed Lighting'!T103</f>
        <v>0</v>
      </c>
      <c r="F106" s="143">
        <f>'Proposed Lighting'!F103</f>
        <v>0</v>
      </c>
      <c r="G106" s="96" t="s">
        <v>242</v>
      </c>
      <c r="H106" s="142" t="str">
        <f>'Proposed Lighting'!CP103</f>
        <v/>
      </c>
      <c r="I106" s="98">
        <v>1</v>
      </c>
      <c r="J106" s="142">
        <f>'Proposed Lighting'!AA103</f>
        <v>0</v>
      </c>
      <c r="K106" s="142" t="str">
        <f>IF(ISNUMBER(SEARCH("-C",'Proposed Lighting'!M103)),'Proposed Lighting'!AH103*0.9,'Proposed Lighting'!AH103)</f>
        <v/>
      </c>
      <c r="L106" s="142">
        <f>IFERROR(IF(OR('Proposed Lighting'!BC103=22,'Proposed Lighting'!BC103=44),1-25%,IF(OR('Proposed Lighting'!BC103=23,'Proposed Lighting'!BC103=46),1-30%,IF(OR('Proposed Lighting'!BC103=29,'Proposed Lighting'!BC103=39,'Proposed Lighting'!BC103=49),1-35%,IF(OR('Proposed Lighting'!BC103=24,'Proposed Lighting'!BC103=48),1-50%,IF(AND(ISNUMBER(SEARCH("-C",'Proposed Lighting'!M103)),'Proposed Lighting'!AU103=2),90%,100%)))))*'Proposed Lighting'!AH103,0)</f>
        <v>0</v>
      </c>
      <c r="M106" s="87">
        <f t="shared" si="15"/>
        <v>0</v>
      </c>
      <c r="N106" s="87">
        <f>IFERROR(IF('Proposed Lighting'!AU103=1,0,'Proposed Lighting'!AO103),0)</f>
        <v>0</v>
      </c>
      <c r="O106" s="88">
        <f>IF('Proposed Lighting'!AU103=1,0,'Proposed Lighting'!AP103)</f>
        <v>0</v>
      </c>
      <c r="P106" s="87">
        <f t="shared" si="16"/>
        <v>0</v>
      </c>
      <c r="Q106" s="98">
        <f t="shared" si="25"/>
        <v>0</v>
      </c>
      <c r="R106" s="99">
        <f>IFERROR(IF('Proposed Lighting'!T103="Lighting controls only",0,ROUND(IF('Proposed Lighting'!AQ103&lt;'Proposed Lighting'!AR103,0,IF('Proposed Lighting'!AH103=0,0,IF('Proposed Lighting'!BV103&gt;0,'Proposed Lighting'!BV103,IF('Proposed Lighting'!CL103=0,MIN('Proposed Lighting'!CN103:CO103),IF('Proposed Lighting'!CX103&gt;0,'Proposed Lighting'!CX103*'Proposed Lighting'!AA103,0))))),2)),0)</f>
        <v>0</v>
      </c>
      <c r="S106" s="99">
        <f>IF('Proposed Lighting'!AJ103&gt;0,'Proposed Lighting'!AJ103*J106,'Proposed Lighting'!$AU$328*J106)</f>
        <v>0</v>
      </c>
      <c r="T106" s="602">
        <f t="shared" si="17"/>
        <v>0</v>
      </c>
      <c r="U106" s="100"/>
      <c r="V106" s="99">
        <f t="shared" si="18"/>
        <v>0</v>
      </c>
      <c r="W106" s="99">
        <f t="shared" si="19"/>
        <v>0</v>
      </c>
      <c r="X106" s="99">
        <f t="shared" si="20"/>
        <v>0</v>
      </c>
      <c r="Y106" s="99"/>
      <c r="Z106" s="99">
        <f t="shared" si="26"/>
        <v>0</v>
      </c>
      <c r="AA106" s="99"/>
      <c r="AB106" s="99">
        <f t="shared" si="21"/>
        <v>0</v>
      </c>
      <c r="AC106" s="101" t="str">
        <f t="shared" si="22"/>
        <v/>
      </c>
      <c r="AD106" s="101" t="str">
        <f t="shared" si="23"/>
        <v/>
      </c>
      <c r="AE106" s="101" t="str">
        <f t="shared" si="24"/>
        <v/>
      </c>
      <c r="AF106" s="72"/>
      <c r="AG106" s="98">
        <f>IFERROR(IF($AV106="No",0,IF($AV106="yes",Summary!Q106,"")),"")</f>
        <v>0</v>
      </c>
      <c r="AH106" s="99">
        <f>IFERROR(IF($AV106="No",0,IF($AV106="yes",Summary!R106,"")),"")</f>
        <v>0</v>
      </c>
      <c r="AI106" s="99">
        <f>IFERROR(IF($AV106="No",0,IF($AV106="yes",Summary!S106,"")),"")</f>
        <v>0</v>
      </c>
      <c r="AJ106" s="602">
        <f>IFERROR(IF($AV106="No",0,IF($AV106="yes",Summary!T106,"")),"")</f>
        <v>0</v>
      </c>
      <c r="AK106" s="100">
        <f>IFERROR(IF($AV106="No",0,IF($AV106="yes",Summary!U106,"")),"")</f>
        <v>0</v>
      </c>
      <c r="AL106" s="99">
        <f>IFERROR(IF($AV106="No",0,IF($AV106="yes",Summary!V106,"")),"")</f>
        <v>0</v>
      </c>
      <c r="AM106" s="99">
        <f>IFERROR(IF($AV106="No",0,IF($AV106="yes",Summary!W106,"")),"")</f>
        <v>0</v>
      </c>
      <c r="AN106" s="99">
        <f>IFERROR(IF($AV106="No",0,IF($AV106="yes",Summary!X106,"")),"")</f>
        <v>0</v>
      </c>
      <c r="AO106" s="99">
        <f>IFERROR(IF($AV106="No",0,IF($AV106="yes",Summary!Y106+Z106,"")),"")</f>
        <v>0</v>
      </c>
      <c r="AP106" s="99">
        <f>IFERROR(IF($AV106="No",0,IF($AV106="yes",Summary!AB106,"")),"")</f>
        <v>0</v>
      </c>
      <c r="AQ106" s="101" t="str">
        <f t="shared" si="27"/>
        <v/>
      </c>
      <c r="AR106" s="101" t="str">
        <f t="shared" si="28"/>
        <v/>
      </c>
      <c r="AS106" s="101" t="str">
        <f t="shared" si="29"/>
        <v/>
      </c>
      <c r="AT106" s="96" t="s">
        <v>406</v>
      </c>
      <c r="AV106" t="str">
        <f>IF('Proposed Lighting'!CN103&gt;0,"No","Yes")</f>
        <v>Yes</v>
      </c>
    </row>
    <row r="107" spans="1:48" ht="34.5" customHeight="1" outlineLevel="1">
      <c r="A107" s="96" t="s">
        <v>407</v>
      </c>
      <c r="B107" s="96" t="str">
        <f>IF(ISNUMBER(SEARCH("case",E107)),"COM_MISC_REFR_ALL_UNKN1991",IF('Proposed Lighting'!AU104=3,"Commercial-All Com-ExtLight",IF('Proposed Lighting'!AH104&gt;8759,"IPC_8760","Commercial-All Com-IntLight")))</f>
        <v>IPC_8760</v>
      </c>
      <c r="C107" s="96" t="str">
        <f>IF(OR('Proposed Lighting'!DD104="Standard Incentive",'Proposed Lighting'!DD104="Non-Standard Incentive"),"Yes",IF(AND(IF(ISNUMBER(SEARCH("controls",'Proposed Lighting'!T104)),"True","False")="False",'Proposed Lighting'!DD104="Submit Control as Non-Standard"),"Yes","No"))</f>
        <v>No</v>
      </c>
      <c r="D107" s="1403">
        <f>'Proposed Lighting'!CV104-Q107</f>
        <v>0</v>
      </c>
      <c r="E107" s="143">
        <f>'Proposed Lighting'!T104</f>
        <v>0</v>
      </c>
      <c r="F107" s="143">
        <f>'Proposed Lighting'!F104</f>
        <v>0</v>
      </c>
      <c r="G107" s="96" t="s">
        <v>242</v>
      </c>
      <c r="H107" s="142" t="str">
        <f>'Proposed Lighting'!CP104</f>
        <v/>
      </c>
      <c r="I107" s="98">
        <v>1</v>
      </c>
      <c r="J107" s="142">
        <f>'Proposed Lighting'!AA104</f>
        <v>0</v>
      </c>
      <c r="K107" s="142" t="str">
        <f>IF(ISNUMBER(SEARCH("-C",'Proposed Lighting'!M104)),'Proposed Lighting'!AH104*0.9,'Proposed Lighting'!AH104)</f>
        <v/>
      </c>
      <c r="L107" s="142">
        <f>IFERROR(IF(OR('Proposed Lighting'!BC104=22,'Proposed Lighting'!BC104=44),1-25%,IF(OR('Proposed Lighting'!BC104=23,'Proposed Lighting'!BC104=46),1-30%,IF(OR('Proposed Lighting'!BC104=29,'Proposed Lighting'!BC104=39,'Proposed Lighting'!BC104=49),1-35%,IF(OR('Proposed Lighting'!BC104=24,'Proposed Lighting'!BC104=48),1-50%,IF(AND(ISNUMBER(SEARCH("-C",'Proposed Lighting'!M104)),'Proposed Lighting'!AU104=2),90%,100%)))))*'Proposed Lighting'!AH104,0)</f>
        <v>0</v>
      </c>
      <c r="M107" s="87">
        <f t="shared" si="15"/>
        <v>0</v>
      </c>
      <c r="N107" s="87">
        <f>IFERROR(IF('Proposed Lighting'!AU104=1,0,'Proposed Lighting'!AO104),0)</f>
        <v>0</v>
      </c>
      <c r="O107" s="88">
        <f>IF('Proposed Lighting'!AU104=1,0,'Proposed Lighting'!AP104)</f>
        <v>0</v>
      </c>
      <c r="P107" s="87">
        <f t="shared" si="16"/>
        <v>0</v>
      </c>
      <c r="Q107" s="98">
        <f t="shared" si="25"/>
        <v>0</v>
      </c>
      <c r="R107" s="99">
        <f>IFERROR(IF('Proposed Lighting'!T104="Lighting controls only",0,ROUND(IF('Proposed Lighting'!AQ104&lt;'Proposed Lighting'!AR104,0,IF('Proposed Lighting'!AH104=0,0,IF('Proposed Lighting'!BV104&gt;0,'Proposed Lighting'!BV104,IF('Proposed Lighting'!CL104=0,MIN('Proposed Lighting'!CN104:CO104),IF('Proposed Lighting'!CX104&gt;0,'Proposed Lighting'!CX104*'Proposed Lighting'!AA104,0))))),2)),0)</f>
        <v>0</v>
      </c>
      <c r="S107" s="99">
        <f>IF('Proposed Lighting'!AJ104&gt;0,'Proposed Lighting'!AJ104*J107,'Proposed Lighting'!$AU$328*J107)</f>
        <v>0</v>
      </c>
      <c r="T107" s="602">
        <f t="shared" si="17"/>
        <v>0</v>
      </c>
      <c r="U107" s="100"/>
      <c r="V107" s="99">
        <f t="shared" si="18"/>
        <v>0</v>
      </c>
      <c r="W107" s="99">
        <f t="shared" si="19"/>
        <v>0</v>
      </c>
      <c r="X107" s="99">
        <f t="shared" si="20"/>
        <v>0</v>
      </c>
      <c r="Y107" s="99"/>
      <c r="Z107" s="99">
        <f t="shared" si="26"/>
        <v>0</v>
      </c>
      <c r="AA107" s="99"/>
      <c r="AB107" s="99">
        <f t="shared" si="21"/>
        <v>0</v>
      </c>
      <c r="AC107" s="101" t="str">
        <f t="shared" si="22"/>
        <v/>
      </c>
      <c r="AD107" s="101" t="str">
        <f t="shared" si="23"/>
        <v/>
      </c>
      <c r="AE107" s="101" t="str">
        <f t="shared" si="24"/>
        <v/>
      </c>
      <c r="AF107" s="72"/>
      <c r="AG107" s="98">
        <f>IFERROR(IF($AV107="No",0,IF($AV107="yes",Summary!Q107,"")),"")</f>
        <v>0</v>
      </c>
      <c r="AH107" s="99">
        <f>IFERROR(IF($AV107="No",0,IF($AV107="yes",Summary!R107,"")),"")</f>
        <v>0</v>
      </c>
      <c r="AI107" s="99">
        <f>IFERROR(IF($AV107="No",0,IF($AV107="yes",Summary!S107,"")),"")</f>
        <v>0</v>
      </c>
      <c r="AJ107" s="602">
        <f>IFERROR(IF($AV107="No",0,IF($AV107="yes",Summary!T107,"")),"")</f>
        <v>0</v>
      </c>
      <c r="AK107" s="100">
        <f>IFERROR(IF($AV107="No",0,IF($AV107="yes",Summary!U107,"")),"")</f>
        <v>0</v>
      </c>
      <c r="AL107" s="99">
        <f>IFERROR(IF($AV107="No",0,IF($AV107="yes",Summary!V107,"")),"")</f>
        <v>0</v>
      </c>
      <c r="AM107" s="99">
        <f>IFERROR(IF($AV107="No",0,IF($AV107="yes",Summary!W107,"")),"")</f>
        <v>0</v>
      </c>
      <c r="AN107" s="99">
        <f>IFERROR(IF($AV107="No",0,IF($AV107="yes",Summary!X107,"")),"")</f>
        <v>0</v>
      </c>
      <c r="AO107" s="99">
        <f>IFERROR(IF($AV107="No",0,IF($AV107="yes",Summary!Y107+Z107,"")),"")</f>
        <v>0</v>
      </c>
      <c r="AP107" s="99">
        <f>IFERROR(IF($AV107="No",0,IF($AV107="yes",Summary!AB107,"")),"")</f>
        <v>0</v>
      </c>
      <c r="AQ107" s="101" t="str">
        <f t="shared" si="27"/>
        <v/>
      </c>
      <c r="AR107" s="101" t="str">
        <f t="shared" si="28"/>
        <v/>
      </c>
      <c r="AS107" s="101" t="str">
        <f t="shared" si="29"/>
        <v/>
      </c>
      <c r="AT107" s="96" t="s">
        <v>407</v>
      </c>
      <c r="AV107" t="str">
        <f>IF('Proposed Lighting'!CN104&gt;0,"No","Yes")</f>
        <v>Yes</v>
      </c>
    </row>
    <row r="108" spans="1:48" ht="34.5" customHeight="1" outlineLevel="1">
      <c r="A108" s="96" t="s">
        <v>408</v>
      </c>
      <c r="B108" s="96" t="str">
        <f>IF(ISNUMBER(SEARCH("case",E108)),"COM_MISC_REFR_ALL_UNKN1991",IF('Proposed Lighting'!AU105=3,"Commercial-All Com-ExtLight",IF('Proposed Lighting'!AH105&gt;8759,"IPC_8760","Commercial-All Com-IntLight")))</f>
        <v>IPC_8760</v>
      </c>
      <c r="C108" s="96" t="str">
        <f>IF(OR('Proposed Lighting'!DD105="Standard Incentive",'Proposed Lighting'!DD105="Non-Standard Incentive"),"Yes",IF(AND(IF(ISNUMBER(SEARCH("controls",'Proposed Lighting'!T105)),"True","False")="False",'Proposed Lighting'!DD105="Submit Control as Non-Standard"),"Yes","No"))</f>
        <v>No</v>
      </c>
      <c r="D108" s="1403">
        <f>'Proposed Lighting'!CV105-Q108</f>
        <v>0</v>
      </c>
      <c r="E108" s="143">
        <f>'Proposed Lighting'!T105</f>
        <v>0</v>
      </c>
      <c r="F108" s="143">
        <f>'Proposed Lighting'!F105</f>
        <v>0</v>
      </c>
      <c r="G108" s="96" t="s">
        <v>242</v>
      </c>
      <c r="H108" s="142" t="str">
        <f>'Proposed Lighting'!CP105</f>
        <v/>
      </c>
      <c r="I108" s="98">
        <v>1</v>
      </c>
      <c r="J108" s="142">
        <f>'Proposed Lighting'!AA105</f>
        <v>0</v>
      </c>
      <c r="K108" s="142" t="str">
        <f>IF(ISNUMBER(SEARCH("-C",'Proposed Lighting'!M105)),'Proposed Lighting'!AH105*0.9,'Proposed Lighting'!AH105)</f>
        <v/>
      </c>
      <c r="L108" s="142">
        <f>IFERROR(IF(OR('Proposed Lighting'!BC105=22,'Proposed Lighting'!BC105=44),1-25%,IF(OR('Proposed Lighting'!BC105=23,'Proposed Lighting'!BC105=46),1-30%,IF(OR('Proposed Lighting'!BC105=29,'Proposed Lighting'!BC105=39,'Proposed Lighting'!BC105=49),1-35%,IF(OR('Proposed Lighting'!BC105=24,'Proposed Lighting'!BC105=48),1-50%,IF(AND(ISNUMBER(SEARCH("-C",'Proposed Lighting'!M105)),'Proposed Lighting'!AU105=2),90%,100%)))))*'Proposed Lighting'!AH105,0)</f>
        <v>0</v>
      </c>
      <c r="M108" s="87">
        <f t="shared" si="15"/>
        <v>0</v>
      </c>
      <c r="N108" s="87">
        <f>IFERROR(IF('Proposed Lighting'!AU105=1,0,'Proposed Lighting'!AO105),0)</f>
        <v>0</v>
      </c>
      <c r="O108" s="88">
        <f>IF('Proposed Lighting'!AU105=1,0,'Proposed Lighting'!AP105)</f>
        <v>0</v>
      </c>
      <c r="P108" s="87">
        <f t="shared" si="16"/>
        <v>0</v>
      </c>
      <c r="Q108" s="98">
        <f t="shared" si="25"/>
        <v>0</v>
      </c>
      <c r="R108" s="99">
        <f>IFERROR(IF('Proposed Lighting'!T105="Lighting controls only",0,ROUND(IF('Proposed Lighting'!AQ105&lt;'Proposed Lighting'!AR105,0,IF('Proposed Lighting'!AH105=0,0,IF('Proposed Lighting'!BV105&gt;0,'Proposed Lighting'!BV105,IF('Proposed Lighting'!CL105=0,MIN('Proposed Lighting'!CN105:CO105),IF('Proposed Lighting'!CX105&gt;0,'Proposed Lighting'!CX105*'Proposed Lighting'!AA105,0))))),2)),0)</f>
        <v>0</v>
      </c>
      <c r="S108" s="99">
        <f>IF('Proposed Lighting'!AJ105&gt;0,'Proposed Lighting'!AJ105*J108,'Proposed Lighting'!$AU$328*J108)</f>
        <v>0</v>
      </c>
      <c r="T108" s="602">
        <f t="shared" si="17"/>
        <v>0</v>
      </c>
      <c r="U108" s="100"/>
      <c r="V108" s="99">
        <f t="shared" si="18"/>
        <v>0</v>
      </c>
      <c r="W108" s="99">
        <f t="shared" si="19"/>
        <v>0</v>
      </c>
      <c r="X108" s="99">
        <f t="shared" si="20"/>
        <v>0</v>
      </c>
      <c r="Y108" s="99"/>
      <c r="Z108" s="99">
        <f t="shared" si="26"/>
        <v>0</v>
      </c>
      <c r="AA108" s="99"/>
      <c r="AB108" s="99">
        <f t="shared" si="21"/>
        <v>0</v>
      </c>
      <c r="AC108" s="101" t="str">
        <f t="shared" si="22"/>
        <v/>
      </c>
      <c r="AD108" s="101" t="str">
        <f t="shared" si="23"/>
        <v/>
      </c>
      <c r="AE108" s="101" t="str">
        <f t="shared" si="24"/>
        <v/>
      </c>
      <c r="AF108" s="72"/>
      <c r="AG108" s="98">
        <f>IFERROR(IF($AV108="No",0,IF($AV108="yes",Summary!Q108,"")),"")</f>
        <v>0</v>
      </c>
      <c r="AH108" s="99">
        <f>IFERROR(IF($AV108="No",0,IF($AV108="yes",Summary!R108,"")),"")</f>
        <v>0</v>
      </c>
      <c r="AI108" s="99">
        <f>IFERROR(IF($AV108="No",0,IF($AV108="yes",Summary!S108,"")),"")</f>
        <v>0</v>
      </c>
      <c r="AJ108" s="602">
        <f>IFERROR(IF($AV108="No",0,IF($AV108="yes",Summary!T108,"")),"")</f>
        <v>0</v>
      </c>
      <c r="AK108" s="100">
        <f>IFERROR(IF($AV108="No",0,IF($AV108="yes",Summary!U108,"")),"")</f>
        <v>0</v>
      </c>
      <c r="AL108" s="99">
        <f>IFERROR(IF($AV108="No",0,IF($AV108="yes",Summary!V108,"")),"")</f>
        <v>0</v>
      </c>
      <c r="AM108" s="99">
        <f>IFERROR(IF($AV108="No",0,IF($AV108="yes",Summary!W108,"")),"")</f>
        <v>0</v>
      </c>
      <c r="AN108" s="99">
        <f>IFERROR(IF($AV108="No",0,IF($AV108="yes",Summary!X108,"")),"")</f>
        <v>0</v>
      </c>
      <c r="AO108" s="99">
        <f>IFERROR(IF($AV108="No",0,IF($AV108="yes",Summary!Y108+Z108,"")),"")</f>
        <v>0</v>
      </c>
      <c r="AP108" s="99">
        <f>IFERROR(IF($AV108="No",0,IF($AV108="yes",Summary!AB108,"")),"")</f>
        <v>0</v>
      </c>
      <c r="AQ108" s="101" t="str">
        <f t="shared" si="27"/>
        <v/>
      </c>
      <c r="AR108" s="101" t="str">
        <f t="shared" si="28"/>
        <v/>
      </c>
      <c r="AS108" s="101" t="str">
        <f t="shared" si="29"/>
        <v/>
      </c>
      <c r="AT108" s="96" t="s">
        <v>408</v>
      </c>
      <c r="AV108" t="str">
        <f>IF('Proposed Lighting'!CN105&gt;0,"No","Yes")</f>
        <v>Yes</v>
      </c>
    </row>
    <row r="109" spans="1:48" ht="34.5" customHeight="1" outlineLevel="1">
      <c r="A109" s="96" t="s">
        <v>409</v>
      </c>
      <c r="B109" s="96" t="str">
        <f>IF(ISNUMBER(SEARCH("case",E109)),"COM_MISC_REFR_ALL_UNKN1991",IF('Proposed Lighting'!AU106=3,"Commercial-All Com-ExtLight",IF('Proposed Lighting'!AH106&gt;8759,"IPC_8760","Commercial-All Com-IntLight")))</f>
        <v>IPC_8760</v>
      </c>
      <c r="C109" s="96" t="str">
        <f>IF(OR('Proposed Lighting'!DD106="Standard Incentive",'Proposed Lighting'!DD106="Non-Standard Incentive"),"Yes",IF(AND(IF(ISNUMBER(SEARCH("controls",'Proposed Lighting'!T106)),"True","False")="False",'Proposed Lighting'!DD106="Submit Control as Non-Standard"),"Yes","No"))</f>
        <v>No</v>
      </c>
      <c r="D109" s="1403">
        <f>'Proposed Lighting'!CV106-Q109</f>
        <v>0</v>
      </c>
      <c r="E109" s="143">
        <f>'Proposed Lighting'!T106</f>
        <v>0</v>
      </c>
      <c r="F109" s="143">
        <f>'Proposed Lighting'!F106</f>
        <v>0</v>
      </c>
      <c r="G109" s="96" t="s">
        <v>242</v>
      </c>
      <c r="H109" s="142" t="str">
        <f>'Proposed Lighting'!CP106</f>
        <v/>
      </c>
      <c r="I109" s="98">
        <v>1</v>
      </c>
      <c r="J109" s="142">
        <f>'Proposed Lighting'!AA106</f>
        <v>0</v>
      </c>
      <c r="K109" s="142" t="str">
        <f>IF(ISNUMBER(SEARCH("-C",'Proposed Lighting'!M106)),'Proposed Lighting'!AH106*0.9,'Proposed Lighting'!AH106)</f>
        <v/>
      </c>
      <c r="L109" s="142">
        <f>IFERROR(IF(OR('Proposed Lighting'!BC106=22,'Proposed Lighting'!BC106=44),1-25%,IF(OR('Proposed Lighting'!BC106=23,'Proposed Lighting'!BC106=46),1-30%,IF(OR('Proposed Lighting'!BC106=29,'Proposed Lighting'!BC106=39,'Proposed Lighting'!BC106=49),1-35%,IF(OR('Proposed Lighting'!BC106=24,'Proposed Lighting'!BC106=48),1-50%,IF(AND(ISNUMBER(SEARCH("-C",'Proposed Lighting'!M106)),'Proposed Lighting'!AU106=2),90%,100%)))))*'Proposed Lighting'!AH106,0)</f>
        <v>0</v>
      </c>
      <c r="M109" s="87">
        <f t="shared" si="15"/>
        <v>0</v>
      </c>
      <c r="N109" s="87">
        <f>IFERROR(IF('Proposed Lighting'!AU106=1,0,'Proposed Lighting'!AO106),0)</f>
        <v>0</v>
      </c>
      <c r="O109" s="88">
        <f>IF('Proposed Lighting'!AU106=1,0,'Proposed Lighting'!AP106)</f>
        <v>0</v>
      </c>
      <c r="P109" s="87">
        <f t="shared" si="16"/>
        <v>0</v>
      </c>
      <c r="Q109" s="98">
        <f t="shared" si="25"/>
        <v>0</v>
      </c>
      <c r="R109" s="99">
        <f>IFERROR(IF('Proposed Lighting'!T106="Lighting controls only",0,ROUND(IF('Proposed Lighting'!AQ106&lt;'Proposed Lighting'!AR106,0,IF('Proposed Lighting'!AH106=0,0,IF('Proposed Lighting'!BV106&gt;0,'Proposed Lighting'!BV106,IF('Proposed Lighting'!CL106=0,MIN('Proposed Lighting'!CN106:CO106),IF('Proposed Lighting'!CX106&gt;0,'Proposed Lighting'!CX106*'Proposed Lighting'!AA106,0))))),2)),0)</f>
        <v>0</v>
      </c>
      <c r="S109" s="99">
        <f>IF('Proposed Lighting'!AJ106&gt;0,'Proposed Lighting'!AJ106*J109,'Proposed Lighting'!$AU$328*J109)</f>
        <v>0</v>
      </c>
      <c r="T109" s="602">
        <f t="shared" si="17"/>
        <v>0</v>
      </c>
      <c r="U109" s="100"/>
      <c r="V109" s="99">
        <f t="shared" si="18"/>
        <v>0</v>
      </c>
      <c r="W109" s="99">
        <f t="shared" si="19"/>
        <v>0</v>
      </c>
      <c r="X109" s="99">
        <f t="shared" si="20"/>
        <v>0</v>
      </c>
      <c r="Y109" s="99"/>
      <c r="Z109" s="99">
        <f t="shared" si="26"/>
        <v>0</v>
      </c>
      <c r="AA109" s="99"/>
      <c r="AB109" s="99">
        <f t="shared" si="21"/>
        <v>0</v>
      </c>
      <c r="AC109" s="101" t="str">
        <f t="shared" si="22"/>
        <v/>
      </c>
      <c r="AD109" s="101" t="str">
        <f t="shared" si="23"/>
        <v/>
      </c>
      <c r="AE109" s="101" t="str">
        <f t="shared" si="24"/>
        <v/>
      </c>
      <c r="AF109" s="72"/>
      <c r="AG109" s="98">
        <f>IFERROR(IF($AV109="No",0,IF($AV109="yes",Summary!Q109,"")),"")</f>
        <v>0</v>
      </c>
      <c r="AH109" s="99">
        <f>IFERROR(IF($AV109="No",0,IF($AV109="yes",Summary!R109,"")),"")</f>
        <v>0</v>
      </c>
      <c r="AI109" s="99">
        <f>IFERROR(IF($AV109="No",0,IF($AV109="yes",Summary!S109,"")),"")</f>
        <v>0</v>
      </c>
      <c r="AJ109" s="602">
        <f>IFERROR(IF($AV109="No",0,IF($AV109="yes",Summary!T109,"")),"")</f>
        <v>0</v>
      </c>
      <c r="AK109" s="100">
        <f>IFERROR(IF($AV109="No",0,IF($AV109="yes",Summary!U109,"")),"")</f>
        <v>0</v>
      </c>
      <c r="AL109" s="99">
        <f>IFERROR(IF($AV109="No",0,IF($AV109="yes",Summary!V109,"")),"")</f>
        <v>0</v>
      </c>
      <c r="AM109" s="99">
        <f>IFERROR(IF($AV109="No",0,IF($AV109="yes",Summary!W109,"")),"")</f>
        <v>0</v>
      </c>
      <c r="AN109" s="99">
        <f>IFERROR(IF($AV109="No",0,IF($AV109="yes",Summary!X109,"")),"")</f>
        <v>0</v>
      </c>
      <c r="AO109" s="99">
        <f>IFERROR(IF($AV109="No",0,IF($AV109="yes",Summary!Y109+Z109,"")),"")</f>
        <v>0</v>
      </c>
      <c r="AP109" s="99">
        <f>IFERROR(IF($AV109="No",0,IF($AV109="yes",Summary!AB109,"")),"")</f>
        <v>0</v>
      </c>
      <c r="AQ109" s="101" t="str">
        <f t="shared" si="27"/>
        <v/>
      </c>
      <c r="AR109" s="101" t="str">
        <f t="shared" si="28"/>
        <v/>
      </c>
      <c r="AS109" s="101" t="str">
        <f t="shared" si="29"/>
        <v/>
      </c>
      <c r="AT109" s="96" t="s">
        <v>409</v>
      </c>
      <c r="AV109" t="str">
        <f>IF('Proposed Lighting'!CN106&gt;0,"No","Yes")</f>
        <v>Yes</v>
      </c>
    </row>
    <row r="110" spans="1:48" ht="34.5" customHeight="1" outlineLevel="1">
      <c r="A110" s="96" t="s">
        <v>410</v>
      </c>
      <c r="B110" s="96" t="str">
        <f>IF(ISNUMBER(SEARCH("case",E110)),"COM_MISC_REFR_ALL_UNKN1991",IF('Proposed Lighting'!AU107=3,"Commercial-All Com-ExtLight",IF('Proposed Lighting'!AH107&gt;8759,"IPC_8760","Commercial-All Com-IntLight")))</f>
        <v>IPC_8760</v>
      </c>
      <c r="C110" s="96" t="str">
        <f>IF(OR('Proposed Lighting'!DD107="Standard Incentive",'Proposed Lighting'!DD107="Non-Standard Incentive"),"Yes",IF(AND(IF(ISNUMBER(SEARCH("controls",'Proposed Lighting'!T107)),"True","False")="False",'Proposed Lighting'!DD107="Submit Control as Non-Standard"),"Yes","No"))</f>
        <v>No</v>
      </c>
      <c r="D110" s="1403">
        <f>'Proposed Lighting'!CV107-Q110</f>
        <v>0</v>
      </c>
      <c r="E110" s="143">
        <f>'Proposed Lighting'!T107</f>
        <v>0</v>
      </c>
      <c r="F110" s="143">
        <f>'Proposed Lighting'!F107</f>
        <v>0</v>
      </c>
      <c r="G110" s="96" t="s">
        <v>242</v>
      </c>
      <c r="H110" s="142" t="str">
        <f>'Proposed Lighting'!CP107</f>
        <v/>
      </c>
      <c r="I110" s="98">
        <v>1</v>
      </c>
      <c r="J110" s="142">
        <f>'Proposed Lighting'!AA107</f>
        <v>0</v>
      </c>
      <c r="K110" s="142" t="str">
        <f>IF(ISNUMBER(SEARCH("-C",'Proposed Lighting'!M107)),'Proposed Lighting'!AH107*0.9,'Proposed Lighting'!AH107)</f>
        <v/>
      </c>
      <c r="L110" s="142">
        <f>IFERROR(IF(OR('Proposed Lighting'!BC107=22,'Proposed Lighting'!BC107=44),1-25%,IF(OR('Proposed Lighting'!BC107=23,'Proposed Lighting'!BC107=46),1-30%,IF(OR('Proposed Lighting'!BC107=29,'Proposed Lighting'!BC107=39,'Proposed Lighting'!BC107=49),1-35%,IF(OR('Proposed Lighting'!BC107=24,'Proposed Lighting'!BC107=48),1-50%,IF(AND(ISNUMBER(SEARCH("-C",'Proposed Lighting'!M107)),'Proposed Lighting'!AU107=2),90%,100%)))))*'Proposed Lighting'!AH107,0)</f>
        <v>0</v>
      </c>
      <c r="M110" s="87">
        <f t="shared" si="15"/>
        <v>0</v>
      </c>
      <c r="N110" s="87">
        <f>IFERROR(IF('Proposed Lighting'!AU107=1,0,'Proposed Lighting'!AO107),0)</f>
        <v>0</v>
      </c>
      <c r="O110" s="88">
        <f>IF('Proposed Lighting'!AU107=1,0,'Proposed Lighting'!AP107)</f>
        <v>0</v>
      </c>
      <c r="P110" s="87">
        <f t="shared" si="16"/>
        <v>0</v>
      </c>
      <c r="Q110" s="98">
        <f t="shared" si="25"/>
        <v>0</v>
      </c>
      <c r="R110" s="99">
        <f>IFERROR(IF('Proposed Lighting'!T107="Lighting controls only",0,ROUND(IF('Proposed Lighting'!AQ107&lt;'Proposed Lighting'!AR107,0,IF('Proposed Lighting'!AH107=0,0,IF('Proposed Lighting'!BV107&gt;0,'Proposed Lighting'!BV107,IF('Proposed Lighting'!CL107=0,MIN('Proposed Lighting'!CN107:CO107),IF('Proposed Lighting'!CX107&gt;0,'Proposed Lighting'!CX107*'Proposed Lighting'!AA107,0))))),2)),0)</f>
        <v>0</v>
      </c>
      <c r="S110" s="99">
        <f>IF('Proposed Lighting'!AJ107&gt;0,'Proposed Lighting'!AJ107*J110,'Proposed Lighting'!$AU$328*J110)</f>
        <v>0</v>
      </c>
      <c r="T110" s="602">
        <f t="shared" si="17"/>
        <v>0</v>
      </c>
      <c r="U110" s="100"/>
      <c r="V110" s="99">
        <f t="shared" si="18"/>
        <v>0</v>
      </c>
      <c r="W110" s="99">
        <f t="shared" si="19"/>
        <v>0</v>
      </c>
      <c r="X110" s="99">
        <f t="shared" si="20"/>
        <v>0</v>
      </c>
      <c r="Y110" s="99"/>
      <c r="Z110" s="99">
        <f t="shared" si="26"/>
        <v>0</v>
      </c>
      <c r="AA110" s="99"/>
      <c r="AB110" s="99">
        <f t="shared" si="21"/>
        <v>0</v>
      </c>
      <c r="AC110" s="101" t="str">
        <f t="shared" si="22"/>
        <v/>
      </c>
      <c r="AD110" s="101" t="str">
        <f t="shared" si="23"/>
        <v/>
      </c>
      <c r="AE110" s="101" t="str">
        <f t="shared" si="24"/>
        <v/>
      </c>
      <c r="AF110" s="72"/>
      <c r="AG110" s="98">
        <f>IFERROR(IF($AV110="No",0,IF($AV110="yes",Summary!Q110,"")),"")</f>
        <v>0</v>
      </c>
      <c r="AH110" s="99">
        <f>IFERROR(IF($AV110="No",0,IF($AV110="yes",Summary!R110,"")),"")</f>
        <v>0</v>
      </c>
      <c r="AI110" s="99">
        <f>IFERROR(IF($AV110="No",0,IF($AV110="yes",Summary!S110,"")),"")</f>
        <v>0</v>
      </c>
      <c r="AJ110" s="602">
        <f>IFERROR(IF($AV110="No",0,IF($AV110="yes",Summary!T110,"")),"")</f>
        <v>0</v>
      </c>
      <c r="AK110" s="100">
        <f>IFERROR(IF($AV110="No",0,IF($AV110="yes",Summary!U110,"")),"")</f>
        <v>0</v>
      </c>
      <c r="AL110" s="99">
        <f>IFERROR(IF($AV110="No",0,IF($AV110="yes",Summary!V110,"")),"")</f>
        <v>0</v>
      </c>
      <c r="AM110" s="99">
        <f>IFERROR(IF($AV110="No",0,IF($AV110="yes",Summary!W110,"")),"")</f>
        <v>0</v>
      </c>
      <c r="AN110" s="99">
        <f>IFERROR(IF($AV110="No",0,IF($AV110="yes",Summary!X110,"")),"")</f>
        <v>0</v>
      </c>
      <c r="AO110" s="99">
        <f>IFERROR(IF($AV110="No",0,IF($AV110="yes",Summary!Y110+Z110,"")),"")</f>
        <v>0</v>
      </c>
      <c r="AP110" s="99">
        <f>IFERROR(IF($AV110="No",0,IF($AV110="yes",Summary!AB110,"")),"")</f>
        <v>0</v>
      </c>
      <c r="AQ110" s="101" t="str">
        <f t="shared" si="27"/>
        <v/>
      </c>
      <c r="AR110" s="101" t="str">
        <f t="shared" si="28"/>
        <v/>
      </c>
      <c r="AS110" s="101" t="str">
        <f t="shared" si="29"/>
        <v/>
      </c>
      <c r="AT110" s="96" t="s">
        <v>410</v>
      </c>
      <c r="AV110" t="str">
        <f>IF('Proposed Lighting'!CN107&gt;0,"No","Yes")</f>
        <v>Yes</v>
      </c>
    </row>
    <row r="111" spans="1:48" ht="34.5" customHeight="1" outlineLevel="1">
      <c r="A111" s="96" t="s">
        <v>411</v>
      </c>
      <c r="B111" s="96" t="str">
        <f>IF(ISNUMBER(SEARCH("case",E111)),"COM_MISC_REFR_ALL_UNKN1991",IF('Proposed Lighting'!AU108=3,"Commercial-All Com-ExtLight",IF('Proposed Lighting'!AH108&gt;8759,"IPC_8760","Commercial-All Com-IntLight")))</f>
        <v>IPC_8760</v>
      </c>
      <c r="C111" s="96" t="str">
        <f>IF(OR('Proposed Lighting'!DD108="Standard Incentive",'Proposed Lighting'!DD108="Non-Standard Incentive"),"Yes",IF(AND(IF(ISNUMBER(SEARCH("controls",'Proposed Lighting'!T108)),"True","False")="False",'Proposed Lighting'!DD108="Submit Control as Non-Standard"),"Yes","No"))</f>
        <v>No</v>
      </c>
      <c r="D111" s="1403">
        <f>'Proposed Lighting'!CV108-Q111</f>
        <v>0</v>
      </c>
      <c r="E111" s="143">
        <f>'Proposed Lighting'!T108</f>
        <v>0</v>
      </c>
      <c r="F111" s="143">
        <f>'Proposed Lighting'!F108</f>
        <v>0</v>
      </c>
      <c r="G111" s="96" t="s">
        <v>242</v>
      </c>
      <c r="H111" s="142" t="str">
        <f>'Proposed Lighting'!CP108</f>
        <v/>
      </c>
      <c r="I111" s="98">
        <v>1</v>
      </c>
      <c r="J111" s="142">
        <f>'Proposed Lighting'!AA108</f>
        <v>0</v>
      </c>
      <c r="K111" s="142" t="str">
        <f>IF(ISNUMBER(SEARCH("-C",'Proposed Lighting'!M108)),'Proposed Lighting'!AH108*0.9,'Proposed Lighting'!AH108)</f>
        <v/>
      </c>
      <c r="L111" s="142">
        <f>IFERROR(IF(OR('Proposed Lighting'!BC108=22,'Proposed Lighting'!BC108=44),1-25%,IF(OR('Proposed Lighting'!BC108=23,'Proposed Lighting'!BC108=46),1-30%,IF(OR('Proposed Lighting'!BC108=29,'Proposed Lighting'!BC108=39,'Proposed Lighting'!BC108=49),1-35%,IF(OR('Proposed Lighting'!BC108=24,'Proposed Lighting'!BC108=48),1-50%,IF(AND(ISNUMBER(SEARCH("-C",'Proposed Lighting'!M108)),'Proposed Lighting'!AU108=2),90%,100%)))))*'Proposed Lighting'!AH108,0)</f>
        <v>0</v>
      </c>
      <c r="M111" s="87">
        <f t="shared" si="15"/>
        <v>0</v>
      </c>
      <c r="N111" s="87">
        <f>IFERROR(IF('Proposed Lighting'!AU108=1,0,'Proposed Lighting'!AO108),0)</f>
        <v>0</v>
      </c>
      <c r="O111" s="88">
        <f>IF('Proposed Lighting'!AU108=1,0,'Proposed Lighting'!AP108)</f>
        <v>0</v>
      </c>
      <c r="P111" s="87">
        <f t="shared" si="16"/>
        <v>0</v>
      </c>
      <c r="Q111" s="98">
        <f t="shared" si="25"/>
        <v>0</v>
      </c>
      <c r="R111" s="99">
        <f>IFERROR(IF('Proposed Lighting'!T108="Lighting controls only",0,ROUND(IF('Proposed Lighting'!AQ108&lt;'Proposed Lighting'!AR108,0,IF('Proposed Lighting'!AH108=0,0,IF('Proposed Lighting'!BV108&gt;0,'Proposed Lighting'!BV108,IF('Proposed Lighting'!CL108=0,MIN('Proposed Lighting'!CN108:CO108),IF('Proposed Lighting'!CX108&gt;0,'Proposed Lighting'!CX108*'Proposed Lighting'!AA108,0))))),2)),0)</f>
        <v>0</v>
      </c>
      <c r="S111" s="99">
        <f>IF('Proposed Lighting'!AJ108&gt;0,'Proposed Lighting'!AJ108*J111,'Proposed Lighting'!$AU$328*J111)</f>
        <v>0</v>
      </c>
      <c r="T111" s="602">
        <f t="shared" si="17"/>
        <v>0</v>
      </c>
      <c r="U111" s="100"/>
      <c r="V111" s="99">
        <f t="shared" si="18"/>
        <v>0</v>
      </c>
      <c r="W111" s="99">
        <f t="shared" si="19"/>
        <v>0</v>
      </c>
      <c r="X111" s="99">
        <f t="shared" si="20"/>
        <v>0</v>
      </c>
      <c r="Y111" s="99"/>
      <c r="Z111" s="99">
        <f t="shared" si="26"/>
        <v>0</v>
      </c>
      <c r="AA111" s="99"/>
      <c r="AB111" s="99">
        <f t="shared" si="21"/>
        <v>0</v>
      </c>
      <c r="AC111" s="101" t="str">
        <f t="shared" si="22"/>
        <v/>
      </c>
      <c r="AD111" s="101" t="str">
        <f t="shared" si="23"/>
        <v/>
      </c>
      <c r="AE111" s="101" t="str">
        <f t="shared" si="24"/>
        <v/>
      </c>
      <c r="AF111" s="72"/>
      <c r="AG111" s="98">
        <f>IFERROR(IF($AV111="No",0,IF($AV111="yes",Summary!Q111,"")),"")</f>
        <v>0</v>
      </c>
      <c r="AH111" s="99">
        <f>IFERROR(IF($AV111="No",0,IF($AV111="yes",Summary!R111,"")),"")</f>
        <v>0</v>
      </c>
      <c r="AI111" s="99">
        <f>IFERROR(IF($AV111="No",0,IF($AV111="yes",Summary!S111,"")),"")</f>
        <v>0</v>
      </c>
      <c r="AJ111" s="602">
        <f>IFERROR(IF($AV111="No",0,IF($AV111="yes",Summary!T111,"")),"")</f>
        <v>0</v>
      </c>
      <c r="AK111" s="100">
        <f>IFERROR(IF($AV111="No",0,IF($AV111="yes",Summary!U111,"")),"")</f>
        <v>0</v>
      </c>
      <c r="AL111" s="99">
        <f>IFERROR(IF($AV111="No",0,IF($AV111="yes",Summary!V111,"")),"")</f>
        <v>0</v>
      </c>
      <c r="AM111" s="99">
        <f>IFERROR(IF($AV111="No",0,IF($AV111="yes",Summary!W111,"")),"")</f>
        <v>0</v>
      </c>
      <c r="AN111" s="99">
        <f>IFERROR(IF($AV111="No",0,IF($AV111="yes",Summary!X111,"")),"")</f>
        <v>0</v>
      </c>
      <c r="AO111" s="99">
        <f>IFERROR(IF($AV111="No",0,IF($AV111="yes",Summary!Y111+Z111,"")),"")</f>
        <v>0</v>
      </c>
      <c r="AP111" s="99">
        <f>IFERROR(IF($AV111="No",0,IF($AV111="yes",Summary!AB111,"")),"")</f>
        <v>0</v>
      </c>
      <c r="AQ111" s="101" t="str">
        <f t="shared" si="27"/>
        <v/>
      </c>
      <c r="AR111" s="101" t="str">
        <f t="shared" si="28"/>
        <v/>
      </c>
      <c r="AS111" s="101" t="str">
        <f t="shared" si="29"/>
        <v/>
      </c>
      <c r="AT111" s="96" t="s">
        <v>411</v>
      </c>
      <c r="AV111" t="str">
        <f>IF('Proposed Lighting'!CN108&gt;0,"No","Yes")</f>
        <v>Yes</v>
      </c>
    </row>
    <row r="112" spans="1:48" ht="34.5" customHeight="1" outlineLevel="1">
      <c r="A112" s="96" t="s">
        <v>526</v>
      </c>
      <c r="B112" s="96" t="str">
        <f>IF(ISNUMBER(SEARCH("case",E112)),"COM_MISC_REFR_ALL_UNKN1991",IF('Proposed Lighting'!AU109=3,"Commercial-All Com-ExtLight",IF('Proposed Lighting'!AH109&gt;8759,"IPC_8760","Commercial-All Com-IntLight")))</f>
        <v>IPC_8760</v>
      </c>
      <c r="C112" s="96" t="str">
        <f>IF(OR('Proposed Lighting'!DD109="Standard Incentive",'Proposed Lighting'!DD109="Non-Standard Incentive"),"Yes",IF(AND(IF(ISNUMBER(SEARCH("controls",'Proposed Lighting'!T109)),"True","False")="False",'Proposed Lighting'!DD109="Submit Control as Non-Standard"),"Yes","No"))</f>
        <v>No</v>
      </c>
      <c r="D112" s="1403">
        <f>'Proposed Lighting'!CV109-Q112</f>
        <v>0</v>
      </c>
      <c r="E112" s="143">
        <f>'Proposed Lighting'!T109</f>
        <v>0</v>
      </c>
      <c r="F112" s="143">
        <f>'Proposed Lighting'!F109</f>
        <v>0</v>
      </c>
      <c r="G112" s="96" t="s">
        <v>242</v>
      </c>
      <c r="H112" s="142" t="str">
        <f>'Proposed Lighting'!CP109</f>
        <v/>
      </c>
      <c r="I112" s="98">
        <v>1</v>
      </c>
      <c r="J112" s="142">
        <f>'Proposed Lighting'!AA109</f>
        <v>0</v>
      </c>
      <c r="K112" s="142" t="str">
        <f>IF(ISNUMBER(SEARCH("-C",'Proposed Lighting'!M109)),'Proposed Lighting'!AH109*0.9,'Proposed Lighting'!AH109)</f>
        <v/>
      </c>
      <c r="L112" s="142">
        <f>IFERROR(IF(OR('Proposed Lighting'!BC109=22,'Proposed Lighting'!BC109=44),1-25%,IF(OR('Proposed Lighting'!BC109=23,'Proposed Lighting'!BC109=46),1-30%,IF(OR('Proposed Lighting'!BC109=29,'Proposed Lighting'!BC109=39,'Proposed Lighting'!BC109=49),1-35%,IF(OR('Proposed Lighting'!BC109=24,'Proposed Lighting'!BC109=48),1-50%,IF(AND(ISNUMBER(SEARCH("-C",'Proposed Lighting'!M109)),'Proposed Lighting'!AU109=2),90%,100%)))))*'Proposed Lighting'!AH109,0)</f>
        <v>0</v>
      </c>
      <c r="M112" s="87">
        <f t="shared" si="15"/>
        <v>0</v>
      </c>
      <c r="N112" s="87">
        <f>IFERROR(IF('Proposed Lighting'!AU109=1,0,'Proposed Lighting'!AO109),0)</f>
        <v>0</v>
      </c>
      <c r="O112" s="88">
        <f>IF('Proposed Lighting'!AU109=1,0,'Proposed Lighting'!AP109)</f>
        <v>0</v>
      </c>
      <c r="P112" s="87">
        <f t="shared" si="16"/>
        <v>0</v>
      </c>
      <c r="Q112" s="98">
        <f t="shared" si="25"/>
        <v>0</v>
      </c>
      <c r="R112" s="99">
        <f>IFERROR(IF('Proposed Lighting'!T109="Lighting controls only",0,ROUND(IF('Proposed Lighting'!AQ109&lt;'Proposed Lighting'!AR109,0,IF('Proposed Lighting'!AH109=0,0,IF('Proposed Lighting'!BV109&gt;0,'Proposed Lighting'!BV109,IF('Proposed Lighting'!CL109=0,MIN('Proposed Lighting'!CN109:CO109),IF('Proposed Lighting'!CX109&gt;0,'Proposed Lighting'!CX109*'Proposed Lighting'!AA109,0))))),2)),0)</f>
        <v>0</v>
      </c>
      <c r="S112" s="99">
        <f>IF('Proposed Lighting'!AJ109&gt;0,'Proposed Lighting'!AJ109*J112,'Proposed Lighting'!$AU$328*J112)</f>
        <v>0</v>
      </c>
      <c r="T112" s="602">
        <f t="shared" si="17"/>
        <v>0</v>
      </c>
      <c r="U112" s="100"/>
      <c r="V112" s="99">
        <f t="shared" si="18"/>
        <v>0</v>
      </c>
      <c r="W112" s="99">
        <f t="shared" si="19"/>
        <v>0</v>
      </c>
      <c r="X112" s="99">
        <f t="shared" si="20"/>
        <v>0</v>
      </c>
      <c r="Y112" s="99"/>
      <c r="Z112" s="99">
        <f t="shared" si="26"/>
        <v>0</v>
      </c>
      <c r="AA112" s="99"/>
      <c r="AB112" s="99">
        <f t="shared" si="21"/>
        <v>0</v>
      </c>
      <c r="AC112" s="101" t="str">
        <f t="shared" si="22"/>
        <v/>
      </c>
      <c r="AD112" s="101" t="str">
        <f t="shared" si="23"/>
        <v/>
      </c>
      <c r="AE112" s="101" t="str">
        <f t="shared" si="24"/>
        <v/>
      </c>
      <c r="AF112" s="72"/>
      <c r="AG112" s="98">
        <f>IFERROR(IF($AV112="No",0,IF($AV112="yes",Summary!Q112,"")),"")</f>
        <v>0</v>
      </c>
      <c r="AH112" s="99">
        <f>IFERROR(IF($AV112="No",0,IF($AV112="yes",Summary!R112,"")),"")</f>
        <v>0</v>
      </c>
      <c r="AI112" s="99">
        <f>IFERROR(IF($AV112="No",0,IF($AV112="yes",Summary!S112,"")),"")</f>
        <v>0</v>
      </c>
      <c r="AJ112" s="602">
        <f>IFERROR(IF($AV112="No",0,IF($AV112="yes",Summary!T112,"")),"")</f>
        <v>0</v>
      </c>
      <c r="AK112" s="100">
        <f>IFERROR(IF($AV112="No",0,IF($AV112="yes",Summary!U112,"")),"")</f>
        <v>0</v>
      </c>
      <c r="AL112" s="99">
        <f>IFERROR(IF($AV112="No",0,IF($AV112="yes",Summary!V112,"")),"")</f>
        <v>0</v>
      </c>
      <c r="AM112" s="99">
        <f>IFERROR(IF($AV112="No",0,IF($AV112="yes",Summary!W112,"")),"")</f>
        <v>0</v>
      </c>
      <c r="AN112" s="99">
        <f>IFERROR(IF($AV112="No",0,IF($AV112="yes",Summary!X112,"")),"")</f>
        <v>0</v>
      </c>
      <c r="AO112" s="99">
        <f>IFERROR(IF($AV112="No",0,IF($AV112="yes",Summary!Y112+Z112,"")),"")</f>
        <v>0</v>
      </c>
      <c r="AP112" s="99">
        <f>IFERROR(IF($AV112="No",0,IF($AV112="yes",Summary!AB112,"")),"")</f>
        <v>0</v>
      </c>
      <c r="AQ112" s="101" t="str">
        <f t="shared" si="27"/>
        <v/>
      </c>
      <c r="AR112" s="101" t="str">
        <f t="shared" si="28"/>
        <v/>
      </c>
      <c r="AS112" s="101" t="str">
        <f t="shared" si="29"/>
        <v/>
      </c>
      <c r="AT112" s="96" t="s">
        <v>526</v>
      </c>
      <c r="AV112" t="str">
        <f>IF('Proposed Lighting'!CN109&gt;0,"No","Yes")</f>
        <v>Yes</v>
      </c>
    </row>
    <row r="113" spans="1:48" ht="34.5" customHeight="1" outlineLevel="1">
      <c r="A113" s="96" t="s">
        <v>527</v>
      </c>
      <c r="B113" s="96" t="str">
        <f>IF(ISNUMBER(SEARCH("case",E113)),"COM_MISC_REFR_ALL_UNKN1991",IF('Proposed Lighting'!AU110=3,"Commercial-All Com-ExtLight",IF('Proposed Lighting'!AH110&gt;8759,"IPC_8760","Commercial-All Com-IntLight")))</f>
        <v>IPC_8760</v>
      </c>
      <c r="C113" s="96" t="str">
        <f>IF(OR('Proposed Lighting'!DD110="Standard Incentive",'Proposed Lighting'!DD110="Non-Standard Incentive"),"Yes",IF(AND(IF(ISNUMBER(SEARCH("controls",'Proposed Lighting'!T110)),"True","False")="False",'Proposed Lighting'!DD110="Submit Control as Non-Standard"),"Yes","No"))</f>
        <v>No</v>
      </c>
      <c r="D113" s="1403">
        <f>'Proposed Lighting'!CV110-Q113</f>
        <v>0</v>
      </c>
      <c r="E113" s="143">
        <f>'Proposed Lighting'!T110</f>
        <v>0</v>
      </c>
      <c r="F113" s="143">
        <f>'Proposed Lighting'!F110</f>
        <v>0</v>
      </c>
      <c r="G113" s="96" t="s">
        <v>242</v>
      </c>
      <c r="H113" s="142" t="str">
        <f>'Proposed Lighting'!CP110</f>
        <v/>
      </c>
      <c r="I113" s="98">
        <v>1</v>
      </c>
      <c r="J113" s="142">
        <f>'Proposed Lighting'!AA110</f>
        <v>0</v>
      </c>
      <c r="K113" s="142" t="str">
        <f>IF(ISNUMBER(SEARCH("-C",'Proposed Lighting'!M110)),'Proposed Lighting'!AH110*0.9,'Proposed Lighting'!AH110)</f>
        <v/>
      </c>
      <c r="L113" s="142">
        <f>IFERROR(IF(OR('Proposed Lighting'!BC110=22,'Proposed Lighting'!BC110=44),1-25%,IF(OR('Proposed Lighting'!BC110=23,'Proposed Lighting'!BC110=46),1-30%,IF(OR('Proposed Lighting'!BC110=29,'Proposed Lighting'!BC110=39,'Proposed Lighting'!BC110=49),1-35%,IF(OR('Proposed Lighting'!BC110=24,'Proposed Lighting'!BC110=48),1-50%,IF(AND(ISNUMBER(SEARCH("-C",'Proposed Lighting'!M110)),'Proposed Lighting'!AU110=2),90%,100%)))))*'Proposed Lighting'!AH110,0)</f>
        <v>0</v>
      </c>
      <c r="M113" s="87">
        <f t="shared" si="15"/>
        <v>0</v>
      </c>
      <c r="N113" s="87">
        <f>IFERROR(IF('Proposed Lighting'!AU110=1,0,'Proposed Lighting'!AO110),0)</f>
        <v>0</v>
      </c>
      <c r="O113" s="88">
        <f>IF('Proposed Lighting'!AU110=1,0,'Proposed Lighting'!AP110)</f>
        <v>0</v>
      </c>
      <c r="P113" s="87">
        <f t="shared" si="16"/>
        <v>0</v>
      </c>
      <c r="Q113" s="98">
        <f t="shared" si="25"/>
        <v>0</v>
      </c>
      <c r="R113" s="99">
        <f>IFERROR(IF('Proposed Lighting'!T110="Lighting controls only",0,ROUND(IF('Proposed Lighting'!AQ110&lt;'Proposed Lighting'!AR110,0,IF('Proposed Lighting'!AH110=0,0,IF('Proposed Lighting'!BV110&gt;0,'Proposed Lighting'!BV110,IF('Proposed Lighting'!CL110=0,MIN('Proposed Lighting'!CN110:CO110),IF('Proposed Lighting'!CX110&gt;0,'Proposed Lighting'!CX110*'Proposed Lighting'!AA110,0))))),2)),0)</f>
        <v>0</v>
      </c>
      <c r="S113" s="99">
        <f>IF('Proposed Lighting'!AJ110&gt;0,'Proposed Lighting'!AJ110*J113,'Proposed Lighting'!$AU$328*J113)</f>
        <v>0</v>
      </c>
      <c r="T113" s="602">
        <f t="shared" si="17"/>
        <v>0</v>
      </c>
      <c r="U113" s="100"/>
      <c r="V113" s="99">
        <f t="shared" si="18"/>
        <v>0</v>
      </c>
      <c r="W113" s="99">
        <f t="shared" si="19"/>
        <v>0</v>
      </c>
      <c r="X113" s="99">
        <f t="shared" si="20"/>
        <v>0</v>
      </c>
      <c r="Y113" s="99"/>
      <c r="Z113" s="99">
        <f t="shared" si="26"/>
        <v>0</v>
      </c>
      <c r="AA113" s="99"/>
      <c r="AB113" s="99">
        <f t="shared" si="21"/>
        <v>0</v>
      </c>
      <c r="AC113" s="101" t="str">
        <f t="shared" si="22"/>
        <v/>
      </c>
      <c r="AD113" s="101" t="str">
        <f t="shared" si="23"/>
        <v/>
      </c>
      <c r="AE113" s="101" t="str">
        <f t="shared" si="24"/>
        <v/>
      </c>
      <c r="AF113" s="72"/>
      <c r="AG113" s="98">
        <f>IFERROR(IF($AV113="No",0,IF($AV113="yes",Summary!Q113,"")),"")</f>
        <v>0</v>
      </c>
      <c r="AH113" s="99">
        <f>IFERROR(IF($AV113="No",0,IF($AV113="yes",Summary!R113,"")),"")</f>
        <v>0</v>
      </c>
      <c r="AI113" s="99">
        <f>IFERROR(IF($AV113="No",0,IF($AV113="yes",Summary!S113,"")),"")</f>
        <v>0</v>
      </c>
      <c r="AJ113" s="602">
        <f>IFERROR(IF($AV113="No",0,IF($AV113="yes",Summary!T113,"")),"")</f>
        <v>0</v>
      </c>
      <c r="AK113" s="100">
        <f>IFERROR(IF($AV113="No",0,IF($AV113="yes",Summary!U113,"")),"")</f>
        <v>0</v>
      </c>
      <c r="AL113" s="99">
        <f>IFERROR(IF($AV113="No",0,IF($AV113="yes",Summary!V113,"")),"")</f>
        <v>0</v>
      </c>
      <c r="AM113" s="99">
        <f>IFERROR(IF($AV113="No",0,IF($AV113="yes",Summary!W113,"")),"")</f>
        <v>0</v>
      </c>
      <c r="AN113" s="99">
        <f>IFERROR(IF($AV113="No",0,IF($AV113="yes",Summary!X113,"")),"")</f>
        <v>0</v>
      </c>
      <c r="AO113" s="99">
        <f>IFERROR(IF($AV113="No",0,IF($AV113="yes",Summary!Y113+Z113,"")),"")</f>
        <v>0</v>
      </c>
      <c r="AP113" s="99">
        <f>IFERROR(IF($AV113="No",0,IF($AV113="yes",Summary!AB113,"")),"")</f>
        <v>0</v>
      </c>
      <c r="AQ113" s="101" t="str">
        <f t="shared" si="27"/>
        <v/>
      </c>
      <c r="AR113" s="101" t="str">
        <f t="shared" si="28"/>
        <v/>
      </c>
      <c r="AS113" s="101" t="str">
        <f t="shared" si="29"/>
        <v/>
      </c>
      <c r="AT113" s="96" t="s">
        <v>527</v>
      </c>
      <c r="AV113" t="str">
        <f>IF('Proposed Lighting'!CN110&gt;0,"No","Yes")</f>
        <v>Yes</v>
      </c>
    </row>
    <row r="114" spans="1:48" ht="34.5" customHeight="1" outlineLevel="1">
      <c r="A114" s="96" t="s">
        <v>528</v>
      </c>
      <c r="B114" s="96" t="str">
        <f>IF(ISNUMBER(SEARCH("case",E114)),"COM_MISC_REFR_ALL_UNKN1991",IF('Proposed Lighting'!AU111=3,"Commercial-All Com-ExtLight",IF('Proposed Lighting'!AH111&gt;8759,"IPC_8760","Commercial-All Com-IntLight")))</f>
        <v>IPC_8760</v>
      </c>
      <c r="C114" s="96" t="str">
        <f>IF(OR('Proposed Lighting'!DD111="Standard Incentive",'Proposed Lighting'!DD111="Non-Standard Incentive"),"Yes",IF(AND(IF(ISNUMBER(SEARCH("controls",'Proposed Lighting'!T111)),"True","False")="False",'Proposed Lighting'!DD111="Submit Control as Non-Standard"),"Yes","No"))</f>
        <v>No</v>
      </c>
      <c r="D114" s="1403">
        <f>'Proposed Lighting'!CV111-Q114</f>
        <v>0</v>
      </c>
      <c r="E114" s="143">
        <f>'Proposed Lighting'!T111</f>
        <v>0</v>
      </c>
      <c r="F114" s="143">
        <f>'Proposed Lighting'!F111</f>
        <v>0</v>
      </c>
      <c r="G114" s="96" t="s">
        <v>242</v>
      </c>
      <c r="H114" s="142" t="str">
        <f>'Proposed Lighting'!CP111</f>
        <v/>
      </c>
      <c r="I114" s="98">
        <v>1</v>
      </c>
      <c r="J114" s="142">
        <f>'Proposed Lighting'!AA111</f>
        <v>0</v>
      </c>
      <c r="K114" s="142" t="str">
        <f>IF(ISNUMBER(SEARCH("-C",'Proposed Lighting'!M111)),'Proposed Lighting'!AH111*0.9,'Proposed Lighting'!AH111)</f>
        <v/>
      </c>
      <c r="L114" s="142">
        <f>IFERROR(IF(OR('Proposed Lighting'!BC111=22,'Proposed Lighting'!BC111=44),1-25%,IF(OR('Proposed Lighting'!BC111=23,'Proposed Lighting'!BC111=46),1-30%,IF(OR('Proposed Lighting'!BC111=29,'Proposed Lighting'!BC111=39,'Proposed Lighting'!BC111=49),1-35%,IF(OR('Proposed Lighting'!BC111=24,'Proposed Lighting'!BC111=48),1-50%,IF(AND(ISNUMBER(SEARCH("-C",'Proposed Lighting'!M111)),'Proposed Lighting'!AU111=2),90%,100%)))))*'Proposed Lighting'!AH111,0)</f>
        <v>0</v>
      </c>
      <c r="M114" s="87">
        <f t="shared" si="15"/>
        <v>0</v>
      </c>
      <c r="N114" s="87">
        <f>IFERROR(IF('Proposed Lighting'!AU111=1,0,'Proposed Lighting'!AO111),0)</f>
        <v>0</v>
      </c>
      <c r="O114" s="88">
        <f>IF('Proposed Lighting'!AU111=1,0,'Proposed Lighting'!AP111)</f>
        <v>0</v>
      </c>
      <c r="P114" s="87">
        <f t="shared" si="16"/>
        <v>0</v>
      </c>
      <c r="Q114" s="98">
        <f t="shared" si="25"/>
        <v>0</v>
      </c>
      <c r="R114" s="99">
        <f>IFERROR(IF('Proposed Lighting'!T111="Lighting controls only",0,ROUND(IF('Proposed Lighting'!AQ111&lt;'Proposed Lighting'!AR111,0,IF('Proposed Lighting'!AH111=0,0,IF('Proposed Lighting'!BV111&gt;0,'Proposed Lighting'!BV111,IF('Proposed Lighting'!CL111=0,MIN('Proposed Lighting'!CN111:CO111),IF('Proposed Lighting'!CX111&gt;0,'Proposed Lighting'!CX111*'Proposed Lighting'!AA111,0))))),2)),0)</f>
        <v>0</v>
      </c>
      <c r="S114" s="99">
        <f>IF('Proposed Lighting'!AJ111&gt;0,'Proposed Lighting'!AJ111*J114,'Proposed Lighting'!$AU$328*J114)</f>
        <v>0</v>
      </c>
      <c r="T114" s="602">
        <f t="shared" si="17"/>
        <v>0</v>
      </c>
      <c r="U114" s="100"/>
      <c r="V114" s="99">
        <f t="shared" si="18"/>
        <v>0</v>
      </c>
      <c r="W114" s="99">
        <f t="shared" si="19"/>
        <v>0</v>
      </c>
      <c r="X114" s="99">
        <f t="shared" si="20"/>
        <v>0</v>
      </c>
      <c r="Y114" s="99"/>
      <c r="Z114" s="99">
        <f t="shared" si="26"/>
        <v>0</v>
      </c>
      <c r="AA114" s="99"/>
      <c r="AB114" s="99">
        <f t="shared" si="21"/>
        <v>0</v>
      </c>
      <c r="AC114" s="101" t="str">
        <f t="shared" si="22"/>
        <v/>
      </c>
      <c r="AD114" s="101" t="str">
        <f t="shared" si="23"/>
        <v/>
      </c>
      <c r="AE114" s="101" t="str">
        <f t="shared" si="24"/>
        <v/>
      </c>
      <c r="AF114" s="72"/>
      <c r="AG114" s="98">
        <f>IFERROR(IF($AV114="No",0,IF($AV114="yes",Summary!Q114,"")),"")</f>
        <v>0</v>
      </c>
      <c r="AH114" s="99">
        <f>IFERROR(IF($AV114="No",0,IF($AV114="yes",Summary!R114,"")),"")</f>
        <v>0</v>
      </c>
      <c r="AI114" s="99">
        <f>IFERROR(IF($AV114="No",0,IF($AV114="yes",Summary!S114,"")),"")</f>
        <v>0</v>
      </c>
      <c r="AJ114" s="602">
        <f>IFERROR(IF($AV114="No",0,IF($AV114="yes",Summary!T114,"")),"")</f>
        <v>0</v>
      </c>
      <c r="AK114" s="100">
        <f>IFERROR(IF($AV114="No",0,IF($AV114="yes",Summary!U114,"")),"")</f>
        <v>0</v>
      </c>
      <c r="AL114" s="99">
        <f>IFERROR(IF($AV114="No",0,IF($AV114="yes",Summary!V114,"")),"")</f>
        <v>0</v>
      </c>
      <c r="AM114" s="99">
        <f>IFERROR(IF($AV114="No",0,IF($AV114="yes",Summary!W114,"")),"")</f>
        <v>0</v>
      </c>
      <c r="AN114" s="99">
        <f>IFERROR(IF($AV114="No",0,IF($AV114="yes",Summary!X114,"")),"")</f>
        <v>0</v>
      </c>
      <c r="AO114" s="99">
        <f>IFERROR(IF($AV114="No",0,IF($AV114="yes",Summary!Y114+Z114,"")),"")</f>
        <v>0</v>
      </c>
      <c r="AP114" s="99">
        <f>IFERROR(IF($AV114="No",0,IF($AV114="yes",Summary!AB114,"")),"")</f>
        <v>0</v>
      </c>
      <c r="AQ114" s="101" t="str">
        <f t="shared" si="27"/>
        <v/>
      </c>
      <c r="AR114" s="101" t="str">
        <f t="shared" si="28"/>
        <v/>
      </c>
      <c r="AS114" s="101" t="str">
        <f t="shared" si="29"/>
        <v/>
      </c>
      <c r="AT114" s="96" t="s">
        <v>528</v>
      </c>
      <c r="AV114" t="str">
        <f>IF('Proposed Lighting'!CN111&gt;0,"No","Yes")</f>
        <v>Yes</v>
      </c>
    </row>
    <row r="115" spans="1:48" ht="34.5" customHeight="1" outlineLevel="1">
      <c r="A115" s="96" t="s">
        <v>529</v>
      </c>
      <c r="B115" s="96" t="str">
        <f>IF(ISNUMBER(SEARCH("case",E115)),"COM_MISC_REFR_ALL_UNKN1991",IF('Proposed Lighting'!AU112=3,"Commercial-All Com-ExtLight",IF('Proposed Lighting'!AH112&gt;8759,"IPC_8760","Commercial-All Com-IntLight")))</f>
        <v>IPC_8760</v>
      </c>
      <c r="C115" s="96" t="str">
        <f>IF(OR('Proposed Lighting'!DD112="Standard Incentive",'Proposed Lighting'!DD112="Non-Standard Incentive"),"Yes",IF(AND(IF(ISNUMBER(SEARCH("controls",'Proposed Lighting'!T112)),"True","False")="False",'Proposed Lighting'!DD112="Submit Control as Non-Standard"),"Yes","No"))</f>
        <v>No</v>
      </c>
      <c r="D115" s="1403">
        <f>'Proposed Lighting'!CV112-Q115</f>
        <v>0</v>
      </c>
      <c r="E115" s="143">
        <f>'Proposed Lighting'!T112</f>
        <v>0</v>
      </c>
      <c r="F115" s="143">
        <f>'Proposed Lighting'!F112</f>
        <v>0</v>
      </c>
      <c r="G115" s="96" t="s">
        <v>242</v>
      </c>
      <c r="H115" s="142" t="str">
        <f>'Proposed Lighting'!CP112</f>
        <v/>
      </c>
      <c r="I115" s="98">
        <v>1</v>
      </c>
      <c r="J115" s="142">
        <f>'Proposed Lighting'!AA112</f>
        <v>0</v>
      </c>
      <c r="K115" s="142" t="str">
        <f>IF(ISNUMBER(SEARCH("-C",'Proposed Lighting'!M112)),'Proposed Lighting'!AH112*0.9,'Proposed Lighting'!AH112)</f>
        <v/>
      </c>
      <c r="L115" s="142">
        <f>IFERROR(IF(OR('Proposed Lighting'!BC112=22,'Proposed Lighting'!BC112=44),1-25%,IF(OR('Proposed Lighting'!BC112=23,'Proposed Lighting'!BC112=46),1-30%,IF(OR('Proposed Lighting'!BC112=29,'Proposed Lighting'!BC112=39,'Proposed Lighting'!BC112=49),1-35%,IF(OR('Proposed Lighting'!BC112=24,'Proposed Lighting'!BC112=48),1-50%,IF(AND(ISNUMBER(SEARCH("-C",'Proposed Lighting'!M112)),'Proposed Lighting'!AU112=2),90%,100%)))))*'Proposed Lighting'!AH112,0)</f>
        <v>0</v>
      </c>
      <c r="M115" s="87">
        <f t="shared" si="15"/>
        <v>0</v>
      </c>
      <c r="N115" s="87">
        <f>IFERROR(IF('Proposed Lighting'!AU112=1,0,'Proposed Lighting'!AO112),0)</f>
        <v>0</v>
      </c>
      <c r="O115" s="88">
        <f>IF('Proposed Lighting'!AU112=1,0,'Proposed Lighting'!AP112)</f>
        <v>0</v>
      </c>
      <c r="P115" s="87">
        <f t="shared" si="16"/>
        <v>0</v>
      </c>
      <c r="Q115" s="98">
        <f t="shared" si="25"/>
        <v>0</v>
      </c>
      <c r="R115" s="99">
        <f>IFERROR(IF('Proposed Lighting'!T112="Lighting controls only",0,ROUND(IF('Proposed Lighting'!AQ112&lt;'Proposed Lighting'!AR112,0,IF('Proposed Lighting'!AH112=0,0,IF('Proposed Lighting'!BV112&gt;0,'Proposed Lighting'!BV112,IF('Proposed Lighting'!CL112=0,MIN('Proposed Lighting'!CN112:CO112),IF('Proposed Lighting'!CX112&gt;0,'Proposed Lighting'!CX112*'Proposed Lighting'!AA112,0))))),2)),0)</f>
        <v>0</v>
      </c>
      <c r="S115" s="99">
        <f>IF('Proposed Lighting'!AJ112&gt;0,'Proposed Lighting'!AJ112*J115,'Proposed Lighting'!$AU$328*J115)</f>
        <v>0</v>
      </c>
      <c r="T115" s="602">
        <f t="shared" si="17"/>
        <v>0</v>
      </c>
      <c r="U115" s="100"/>
      <c r="V115" s="99">
        <f t="shared" si="18"/>
        <v>0</v>
      </c>
      <c r="W115" s="99">
        <f t="shared" si="19"/>
        <v>0</v>
      </c>
      <c r="X115" s="99">
        <f t="shared" si="20"/>
        <v>0</v>
      </c>
      <c r="Y115" s="99"/>
      <c r="Z115" s="99">
        <f t="shared" si="26"/>
        <v>0</v>
      </c>
      <c r="AA115" s="99"/>
      <c r="AB115" s="99">
        <f t="shared" si="21"/>
        <v>0</v>
      </c>
      <c r="AC115" s="101" t="str">
        <f t="shared" si="22"/>
        <v/>
      </c>
      <c r="AD115" s="101" t="str">
        <f t="shared" si="23"/>
        <v/>
      </c>
      <c r="AE115" s="101" t="str">
        <f t="shared" si="24"/>
        <v/>
      </c>
      <c r="AF115" s="72"/>
      <c r="AG115" s="98">
        <f>IFERROR(IF($AV115="No",0,IF($AV115="yes",Summary!Q115,"")),"")</f>
        <v>0</v>
      </c>
      <c r="AH115" s="99">
        <f>IFERROR(IF($AV115="No",0,IF($AV115="yes",Summary!R115,"")),"")</f>
        <v>0</v>
      </c>
      <c r="AI115" s="99">
        <f>IFERROR(IF($AV115="No",0,IF($AV115="yes",Summary!S115,"")),"")</f>
        <v>0</v>
      </c>
      <c r="AJ115" s="602">
        <f>IFERROR(IF($AV115="No",0,IF($AV115="yes",Summary!T115,"")),"")</f>
        <v>0</v>
      </c>
      <c r="AK115" s="100">
        <f>IFERROR(IF($AV115="No",0,IF($AV115="yes",Summary!U115,"")),"")</f>
        <v>0</v>
      </c>
      <c r="AL115" s="99">
        <f>IFERROR(IF($AV115="No",0,IF($AV115="yes",Summary!V115,"")),"")</f>
        <v>0</v>
      </c>
      <c r="AM115" s="99">
        <f>IFERROR(IF($AV115="No",0,IF($AV115="yes",Summary!W115,"")),"")</f>
        <v>0</v>
      </c>
      <c r="AN115" s="99">
        <f>IFERROR(IF($AV115="No",0,IF($AV115="yes",Summary!X115,"")),"")</f>
        <v>0</v>
      </c>
      <c r="AO115" s="99">
        <f>IFERROR(IF($AV115="No",0,IF($AV115="yes",Summary!Y115+Z115,"")),"")</f>
        <v>0</v>
      </c>
      <c r="AP115" s="99">
        <f>IFERROR(IF($AV115="No",0,IF($AV115="yes",Summary!AB115,"")),"")</f>
        <v>0</v>
      </c>
      <c r="AQ115" s="101" t="str">
        <f t="shared" si="27"/>
        <v/>
      </c>
      <c r="AR115" s="101" t="str">
        <f t="shared" si="28"/>
        <v/>
      </c>
      <c r="AS115" s="101" t="str">
        <f t="shared" si="29"/>
        <v/>
      </c>
      <c r="AT115" s="96" t="s">
        <v>529</v>
      </c>
      <c r="AV115" t="str">
        <f>IF('Proposed Lighting'!CN112&gt;0,"No","Yes")</f>
        <v>Yes</v>
      </c>
    </row>
    <row r="116" spans="1:48" ht="34.5" customHeight="1" outlineLevel="1">
      <c r="A116" s="96" t="s">
        <v>530</v>
      </c>
      <c r="B116" s="96" t="str">
        <f>IF(ISNUMBER(SEARCH("case",E116)),"COM_MISC_REFR_ALL_UNKN1991",IF('Proposed Lighting'!AU113=3,"Commercial-All Com-ExtLight",IF('Proposed Lighting'!AH113&gt;8759,"IPC_8760","Commercial-All Com-IntLight")))</f>
        <v>IPC_8760</v>
      </c>
      <c r="C116" s="96" t="str">
        <f>IF(OR('Proposed Lighting'!DD113="Standard Incentive",'Proposed Lighting'!DD113="Non-Standard Incentive"),"Yes",IF(AND(IF(ISNUMBER(SEARCH("controls",'Proposed Lighting'!T113)),"True","False")="False",'Proposed Lighting'!DD113="Submit Control as Non-Standard"),"Yes","No"))</f>
        <v>No</v>
      </c>
      <c r="D116" s="1403">
        <f>'Proposed Lighting'!CV113-Q116</f>
        <v>0</v>
      </c>
      <c r="E116" s="143">
        <f>'Proposed Lighting'!T113</f>
        <v>0</v>
      </c>
      <c r="F116" s="143">
        <f>'Proposed Lighting'!F113</f>
        <v>0</v>
      </c>
      <c r="G116" s="96" t="s">
        <v>242</v>
      </c>
      <c r="H116" s="142" t="str">
        <f>'Proposed Lighting'!CP113</f>
        <v/>
      </c>
      <c r="I116" s="98">
        <v>1</v>
      </c>
      <c r="J116" s="142">
        <f>'Proposed Lighting'!AA113</f>
        <v>0</v>
      </c>
      <c r="K116" s="142" t="str">
        <f>IF(ISNUMBER(SEARCH("-C",'Proposed Lighting'!M113)),'Proposed Lighting'!AH113*0.9,'Proposed Lighting'!AH113)</f>
        <v/>
      </c>
      <c r="L116" s="142">
        <f>IFERROR(IF(OR('Proposed Lighting'!BC113=22,'Proposed Lighting'!BC113=44),1-25%,IF(OR('Proposed Lighting'!BC113=23,'Proposed Lighting'!BC113=46),1-30%,IF(OR('Proposed Lighting'!BC113=29,'Proposed Lighting'!BC113=39,'Proposed Lighting'!BC113=49),1-35%,IF(OR('Proposed Lighting'!BC113=24,'Proposed Lighting'!BC113=48),1-50%,IF(AND(ISNUMBER(SEARCH("-C",'Proposed Lighting'!M113)),'Proposed Lighting'!AU113=2),90%,100%)))))*'Proposed Lighting'!AH113,0)</f>
        <v>0</v>
      </c>
      <c r="M116" s="87">
        <f t="shared" si="15"/>
        <v>0</v>
      </c>
      <c r="N116" s="87">
        <f>IFERROR(IF('Proposed Lighting'!AU113=1,0,'Proposed Lighting'!AO113),0)</f>
        <v>0</v>
      </c>
      <c r="O116" s="88">
        <f>IF('Proposed Lighting'!AU113=1,0,'Proposed Lighting'!AP113)</f>
        <v>0</v>
      </c>
      <c r="P116" s="87">
        <f t="shared" si="16"/>
        <v>0</v>
      </c>
      <c r="Q116" s="98">
        <f t="shared" si="25"/>
        <v>0</v>
      </c>
      <c r="R116" s="99">
        <f>IFERROR(IF('Proposed Lighting'!T113="Lighting controls only",0,ROUND(IF('Proposed Lighting'!AQ113&lt;'Proposed Lighting'!AR113,0,IF('Proposed Lighting'!AH113=0,0,IF('Proposed Lighting'!BV113&gt;0,'Proposed Lighting'!BV113,IF('Proposed Lighting'!CL113=0,MIN('Proposed Lighting'!CN113:CO113),IF('Proposed Lighting'!CX113&gt;0,'Proposed Lighting'!CX113*'Proposed Lighting'!AA113,0))))),2)),0)</f>
        <v>0</v>
      </c>
      <c r="S116" s="99">
        <f>IF('Proposed Lighting'!AJ113&gt;0,'Proposed Lighting'!AJ113*J116,'Proposed Lighting'!$AU$328*J116)</f>
        <v>0</v>
      </c>
      <c r="T116" s="602">
        <f t="shared" si="17"/>
        <v>0</v>
      </c>
      <c r="U116" s="100"/>
      <c r="V116" s="99">
        <f t="shared" si="18"/>
        <v>0</v>
      </c>
      <c r="W116" s="99">
        <f t="shared" si="19"/>
        <v>0</v>
      </c>
      <c r="X116" s="99">
        <f t="shared" si="20"/>
        <v>0</v>
      </c>
      <c r="Y116" s="99"/>
      <c r="Z116" s="99">
        <f t="shared" si="26"/>
        <v>0</v>
      </c>
      <c r="AA116" s="99"/>
      <c r="AB116" s="99">
        <f t="shared" si="21"/>
        <v>0</v>
      </c>
      <c r="AC116" s="101" t="str">
        <f t="shared" si="22"/>
        <v/>
      </c>
      <c r="AD116" s="101" t="str">
        <f t="shared" si="23"/>
        <v/>
      </c>
      <c r="AE116" s="101" t="str">
        <f t="shared" si="24"/>
        <v/>
      </c>
      <c r="AF116" s="72"/>
      <c r="AG116" s="98">
        <f>IFERROR(IF($AV116="No",0,IF($AV116="yes",Summary!Q116,"")),"")</f>
        <v>0</v>
      </c>
      <c r="AH116" s="99">
        <f>IFERROR(IF($AV116="No",0,IF($AV116="yes",Summary!R116,"")),"")</f>
        <v>0</v>
      </c>
      <c r="AI116" s="99">
        <f>IFERROR(IF($AV116="No",0,IF($AV116="yes",Summary!S116,"")),"")</f>
        <v>0</v>
      </c>
      <c r="AJ116" s="602">
        <f>IFERROR(IF($AV116="No",0,IF($AV116="yes",Summary!T116,"")),"")</f>
        <v>0</v>
      </c>
      <c r="AK116" s="100">
        <f>IFERROR(IF($AV116="No",0,IF($AV116="yes",Summary!U116,"")),"")</f>
        <v>0</v>
      </c>
      <c r="AL116" s="99">
        <f>IFERROR(IF($AV116="No",0,IF($AV116="yes",Summary!V116,"")),"")</f>
        <v>0</v>
      </c>
      <c r="AM116" s="99">
        <f>IFERROR(IF($AV116="No",0,IF($AV116="yes",Summary!W116,"")),"")</f>
        <v>0</v>
      </c>
      <c r="AN116" s="99">
        <f>IFERROR(IF($AV116="No",0,IF($AV116="yes",Summary!X116,"")),"")</f>
        <v>0</v>
      </c>
      <c r="AO116" s="99">
        <f>IFERROR(IF($AV116="No",0,IF($AV116="yes",Summary!Y116+Z116,"")),"")</f>
        <v>0</v>
      </c>
      <c r="AP116" s="99">
        <f>IFERROR(IF($AV116="No",0,IF($AV116="yes",Summary!AB116,"")),"")</f>
        <v>0</v>
      </c>
      <c r="AQ116" s="101" t="str">
        <f t="shared" si="27"/>
        <v/>
      </c>
      <c r="AR116" s="101" t="str">
        <f t="shared" si="28"/>
        <v/>
      </c>
      <c r="AS116" s="101" t="str">
        <f t="shared" si="29"/>
        <v/>
      </c>
      <c r="AT116" s="96" t="s">
        <v>530</v>
      </c>
      <c r="AV116" t="str">
        <f>IF('Proposed Lighting'!CN113&gt;0,"No","Yes")</f>
        <v>Yes</v>
      </c>
    </row>
    <row r="117" spans="1:48" ht="34.5" customHeight="1" outlineLevel="1">
      <c r="A117" s="96" t="s">
        <v>531</v>
      </c>
      <c r="B117" s="96" t="str">
        <f>IF(ISNUMBER(SEARCH("case",E117)),"COM_MISC_REFR_ALL_UNKN1991",IF('Proposed Lighting'!AU114=3,"Commercial-All Com-ExtLight",IF('Proposed Lighting'!AH114&gt;8759,"IPC_8760","Commercial-All Com-IntLight")))</f>
        <v>IPC_8760</v>
      </c>
      <c r="C117" s="96" t="str">
        <f>IF(OR('Proposed Lighting'!DD114="Standard Incentive",'Proposed Lighting'!DD114="Non-Standard Incentive"),"Yes",IF(AND(IF(ISNUMBER(SEARCH("controls",'Proposed Lighting'!T114)),"True","False")="False",'Proposed Lighting'!DD114="Submit Control as Non-Standard"),"Yes","No"))</f>
        <v>No</v>
      </c>
      <c r="D117" s="1403">
        <f>'Proposed Lighting'!CV114-Q117</f>
        <v>0</v>
      </c>
      <c r="E117" s="143">
        <f>'Proposed Lighting'!T114</f>
        <v>0</v>
      </c>
      <c r="F117" s="143">
        <f>'Proposed Lighting'!F114</f>
        <v>0</v>
      </c>
      <c r="G117" s="96" t="s">
        <v>242</v>
      </c>
      <c r="H117" s="142" t="str">
        <f>'Proposed Lighting'!CP114</f>
        <v/>
      </c>
      <c r="I117" s="98">
        <v>1</v>
      </c>
      <c r="J117" s="142">
        <f>'Proposed Lighting'!AA114</f>
        <v>0</v>
      </c>
      <c r="K117" s="142" t="str">
        <f>IF(ISNUMBER(SEARCH("-C",'Proposed Lighting'!M114)),'Proposed Lighting'!AH114*0.9,'Proposed Lighting'!AH114)</f>
        <v/>
      </c>
      <c r="L117" s="142">
        <f>IFERROR(IF(OR('Proposed Lighting'!BC114=22,'Proposed Lighting'!BC114=44),1-25%,IF(OR('Proposed Lighting'!BC114=23,'Proposed Lighting'!BC114=46),1-30%,IF(OR('Proposed Lighting'!BC114=29,'Proposed Lighting'!BC114=39,'Proposed Lighting'!BC114=49),1-35%,IF(OR('Proposed Lighting'!BC114=24,'Proposed Lighting'!BC114=48),1-50%,IF(AND(ISNUMBER(SEARCH("-C",'Proposed Lighting'!M114)),'Proposed Lighting'!AU114=2),90%,100%)))))*'Proposed Lighting'!AH114,0)</f>
        <v>0</v>
      </c>
      <c r="M117" s="87">
        <f t="shared" si="15"/>
        <v>0</v>
      </c>
      <c r="N117" s="87">
        <f>IFERROR(IF('Proposed Lighting'!AU114=1,0,'Proposed Lighting'!AO114),0)</f>
        <v>0</v>
      </c>
      <c r="O117" s="88">
        <f>IF('Proposed Lighting'!AU114=1,0,'Proposed Lighting'!AP114)</f>
        <v>0</v>
      </c>
      <c r="P117" s="87">
        <f t="shared" si="16"/>
        <v>0</v>
      </c>
      <c r="Q117" s="98">
        <f t="shared" si="25"/>
        <v>0</v>
      </c>
      <c r="R117" s="99">
        <f>IFERROR(IF('Proposed Lighting'!T114="Lighting controls only",0,ROUND(IF('Proposed Lighting'!AQ114&lt;'Proposed Lighting'!AR114,0,IF('Proposed Lighting'!AH114=0,0,IF('Proposed Lighting'!BV114&gt;0,'Proposed Lighting'!BV114,IF('Proposed Lighting'!CL114=0,MIN('Proposed Lighting'!CN114:CO114),IF('Proposed Lighting'!CX114&gt;0,'Proposed Lighting'!CX114*'Proposed Lighting'!AA114,0))))),2)),0)</f>
        <v>0</v>
      </c>
      <c r="S117" s="99">
        <f>IF('Proposed Lighting'!AJ114&gt;0,'Proposed Lighting'!AJ114*J117,'Proposed Lighting'!$AU$328*J117)</f>
        <v>0</v>
      </c>
      <c r="T117" s="602">
        <f t="shared" si="17"/>
        <v>0</v>
      </c>
      <c r="U117" s="100"/>
      <c r="V117" s="99">
        <f t="shared" si="18"/>
        <v>0</v>
      </c>
      <c r="W117" s="99">
        <f t="shared" si="19"/>
        <v>0</v>
      </c>
      <c r="X117" s="99">
        <f t="shared" si="20"/>
        <v>0</v>
      </c>
      <c r="Y117" s="99"/>
      <c r="Z117" s="99">
        <f t="shared" si="26"/>
        <v>0</v>
      </c>
      <c r="AA117" s="99"/>
      <c r="AB117" s="99">
        <f t="shared" si="21"/>
        <v>0</v>
      </c>
      <c r="AC117" s="101" t="str">
        <f t="shared" si="22"/>
        <v/>
      </c>
      <c r="AD117" s="101" t="str">
        <f t="shared" si="23"/>
        <v/>
      </c>
      <c r="AE117" s="101" t="str">
        <f t="shared" si="24"/>
        <v/>
      </c>
      <c r="AF117" s="72"/>
      <c r="AG117" s="98">
        <f>IFERROR(IF($AV117="No",0,IF($AV117="yes",Summary!Q117,"")),"")</f>
        <v>0</v>
      </c>
      <c r="AH117" s="99">
        <f>IFERROR(IF($AV117="No",0,IF($AV117="yes",Summary!R117,"")),"")</f>
        <v>0</v>
      </c>
      <c r="AI117" s="99">
        <f>IFERROR(IF($AV117="No",0,IF($AV117="yes",Summary!S117,"")),"")</f>
        <v>0</v>
      </c>
      <c r="AJ117" s="602">
        <f>IFERROR(IF($AV117="No",0,IF($AV117="yes",Summary!T117,"")),"")</f>
        <v>0</v>
      </c>
      <c r="AK117" s="100">
        <f>IFERROR(IF($AV117="No",0,IF($AV117="yes",Summary!U117,"")),"")</f>
        <v>0</v>
      </c>
      <c r="AL117" s="99">
        <f>IFERROR(IF($AV117="No",0,IF($AV117="yes",Summary!V117,"")),"")</f>
        <v>0</v>
      </c>
      <c r="AM117" s="99">
        <f>IFERROR(IF($AV117="No",0,IF($AV117="yes",Summary!W117,"")),"")</f>
        <v>0</v>
      </c>
      <c r="AN117" s="99">
        <f>IFERROR(IF($AV117="No",0,IF($AV117="yes",Summary!X117,"")),"")</f>
        <v>0</v>
      </c>
      <c r="AO117" s="99">
        <f>IFERROR(IF($AV117="No",0,IF($AV117="yes",Summary!Y117+Z117,"")),"")</f>
        <v>0</v>
      </c>
      <c r="AP117" s="99">
        <f>IFERROR(IF($AV117="No",0,IF($AV117="yes",Summary!AB117,"")),"")</f>
        <v>0</v>
      </c>
      <c r="AQ117" s="101" t="str">
        <f t="shared" si="27"/>
        <v/>
      </c>
      <c r="AR117" s="101" t="str">
        <f t="shared" si="28"/>
        <v/>
      </c>
      <c r="AS117" s="101" t="str">
        <f t="shared" si="29"/>
        <v/>
      </c>
      <c r="AT117" s="96" t="s">
        <v>531</v>
      </c>
      <c r="AV117" t="str">
        <f>IF('Proposed Lighting'!CN114&gt;0,"No","Yes")</f>
        <v>Yes</v>
      </c>
    </row>
    <row r="118" spans="1:48" ht="34.5" customHeight="1" outlineLevel="1">
      <c r="A118" s="96" t="s">
        <v>532</v>
      </c>
      <c r="B118" s="96" t="str">
        <f>IF(ISNUMBER(SEARCH("case",E118)),"COM_MISC_REFR_ALL_UNKN1991",IF('Proposed Lighting'!AU115=3,"Commercial-All Com-ExtLight",IF('Proposed Lighting'!AH115&gt;8759,"IPC_8760","Commercial-All Com-IntLight")))</f>
        <v>IPC_8760</v>
      </c>
      <c r="C118" s="96" t="str">
        <f>IF(OR('Proposed Lighting'!DD115="Standard Incentive",'Proposed Lighting'!DD115="Non-Standard Incentive"),"Yes",IF(AND(IF(ISNUMBER(SEARCH("controls",'Proposed Lighting'!T115)),"True","False")="False",'Proposed Lighting'!DD115="Submit Control as Non-Standard"),"Yes","No"))</f>
        <v>No</v>
      </c>
      <c r="D118" s="1403">
        <f>'Proposed Lighting'!CV115-Q118</f>
        <v>0</v>
      </c>
      <c r="E118" s="143">
        <f>'Proposed Lighting'!T115</f>
        <v>0</v>
      </c>
      <c r="F118" s="143">
        <f>'Proposed Lighting'!F115</f>
        <v>0</v>
      </c>
      <c r="G118" s="96" t="s">
        <v>242</v>
      </c>
      <c r="H118" s="142" t="str">
        <f>'Proposed Lighting'!CP115</f>
        <v/>
      </c>
      <c r="I118" s="98">
        <v>1</v>
      </c>
      <c r="J118" s="142">
        <f>'Proposed Lighting'!AA115</f>
        <v>0</v>
      </c>
      <c r="K118" s="142" t="str">
        <f>IF(ISNUMBER(SEARCH("-C",'Proposed Lighting'!M115)),'Proposed Lighting'!AH115*0.9,'Proposed Lighting'!AH115)</f>
        <v/>
      </c>
      <c r="L118" s="142">
        <f>IFERROR(IF(OR('Proposed Lighting'!BC115=22,'Proposed Lighting'!BC115=44),1-25%,IF(OR('Proposed Lighting'!BC115=23,'Proposed Lighting'!BC115=46),1-30%,IF(OR('Proposed Lighting'!BC115=29,'Proposed Lighting'!BC115=39,'Proposed Lighting'!BC115=49),1-35%,IF(OR('Proposed Lighting'!BC115=24,'Proposed Lighting'!BC115=48),1-50%,IF(AND(ISNUMBER(SEARCH("-C",'Proposed Lighting'!M115)),'Proposed Lighting'!AU115=2),90%,100%)))))*'Proposed Lighting'!AH115,0)</f>
        <v>0</v>
      </c>
      <c r="M118" s="87">
        <f t="shared" si="15"/>
        <v>0</v>
      </c>
      <c r="N118" s="87">
        <f>IFERROR(IF('Proposed Lighting'!AU115=1,0,'Proposed Lighting'!AO115),0)</f>
        <v>0</v>
      </c>
      <c r="O118" s="88">
        <f>IF('Proposed Lighting'!AU115=1,0,'Proposed Lighting'!AP115)</f>
        <v>0</v>
      </c>
      <c r="P118" s="87">
        <f t="shared" si="16"/>
        <v>0</v>
      </c>
      <c r="Q118" s="98">
        <f t="shared" si="25"/>
        <v>0</v>
      </c>
      <c r="R118" s="99">
        <f>IFERROR(IF('Proposed Lighting'!T115="Lighting controls only",0,ROUND(IF('Proposed Lighting'!AQ115&lt;'Proposed Lighting'!AR115,0,IF('Proposed Lighting'!AH115=0,0,IF('Proposed Lighting'!BV115&gt;0,'Proposed Lighting'!BV115,IF('Proposed Lighting'!CL115=0,MIN('Proposed Lighting'!CN115:CO115),IF('Proposed Lighting'!CX115&gt;0,'Proposed Lighting'!CX115*'Proposed Lighting'!AA115,0))))),2)),0)</f>
        <v>0</v>
      </c>
      <c r="S118" s="99">
        <f>IF('Proposed Lighting'!AJ115&gt;0,'Proposed Lighting'!AJ115*J118,'Proposed Lighting'!$AU$328*J118)</f>
        <v>0</v>
      </c>
      <c r="T118" s="602">
        <f t="shared" si="17"/>
        <v>0</v>
      </c>
      <c r="U118" s="100"/>
      <c r="V118" s="99">
        <f t="shared" si="18"/>
        <v>0</v>
      </c>
      <c r="W118" s="99">
        <f t="shared" si="19"/>
        <v>0</v>
      </c>
      <c r="X118" s="99">
        <f t="shared" si="20"/>
        <v>0</v>
      </c>
      <c r="Y118" s="99"/>
      <c r="Z118" s="99">
        <f t="shared" si="26"/>
        <v>0</v>
      </c>
      <c r="AA118" s="99"/>
      <c r="AB118" s="99">
        <f t="shared" si="21"/>
        <v>0</v>
      </c>
      <c r="AC118" s="101" t="str">
        <f t="shared" si="22"/>
        <v/>
      </c>
      <c r="AD118" s="101" t="str">
        <f t="shared" si="23"/>
        <v/>
      </c>
      <c r="AE118" s="101" t="str">
        <f t="shared" si="24"/>
        <v/>
      </c>
      <c r="AF118" s="72"/>
      <c r="AG118" s="98">
        <f>IFERROR(IF($AV118="No",0,IF($AV118="yes",Summary!Q118,"")),"")</f>
        <v>0</v>
      </c>
      <c r="AH118" s="99">
        <f>IFERROR(IF($AV118="No",0,IF($AV118="yes",Summary!R118,"")),"")</f>
        <v>0</v>
      </c>
      <c r="AI118" s="99">
        <f>IFERROR(IF($AV118="No",0,IF($AV118="yes",Summary!S118,"")),"")</f>
        <v>0</v>
      </c>
      <c r="AJ118" s="602">
        <f>IFERROR(IF($AV118="No",0,IF($AV118="yes",Summary!T118,"")),"")</f>
        <v>0</v>
      </c>
      <c r="AK118" s="100">
        <f>IFERROR(IF($AV118="No",0,IF($AV118="yes",Summary!U118,"")),"")</f>
        <v>0</v>
      </c>
      <c r="AL118" s="99">
        <f>IFERROR(IF($AV118="No",0,IF($AV118="yes",Summary!V118,"")),"")</f>
        <v>0</v>
      </c>
      <c r="AM118" s="99">
        <f>IFERROR(IF($AV118="No",0,IF($AV118="yes",Summary!W118,"")),"")</f>
        <v>0</v>
      </c>
      <c r="AN118" s="99">
        <f>IFERROR(IF($AV118="No",0,IF($AV118="yes",Summary!X118,"")),"")</f>
        <v>0</v>
      </c>
      <c r="AO118" s="99">
        <f>IFERROR(IF($AV118="No",0,IF($AV118="yes",Summary!Y118+Z118,"")),"")</f>
        <v>0</v>
      </c>
      <c r="AP118" s="99">
        <f>IFERROR(IF($AV118="No",0,IF($AV118="yes",Summary!AB118,"")),"")</f>
        <v>0</v>
      </c>
      <c r="AQ118" s="101" t="str">
        <f t="shared" si="27"/>
        <v/>
      </c>
      <c r="AR118" s="101" t="str">
        <f t="shared" si="28"/>
        <v/>
      </c>
      <c r="AS118" s="101" t="str">
        <f t="shared" si="29"/>
        <v/>
      </c>
      <c r="AT118" s="96" t="s">
        <v>532</v>
      </c>
      <c r="AV118" t="str">
        <f>IF('Proposed Lighting'!CN115&gt;0,"No","Yes")</f>
        <v>Yes</v>
      </c>
    </row>
    <row r="119" spans="1:48" ht="34.5" customHeight="1" outlineLevel="1">
      <c r="A119" s="96" t="s">
        <v>533</v>
      </c>
      <c r="B119" s="96" t="str">
        <f>IF(ISNUMBER(SEARCH("case",E119)),"COM_MISC_REFR_ALL_UNKN1991",IF('Proposed Lighting'!AU116=3,"Commercial-All Com-ExtLight",IF('Proposed Lighting'!AH116&gt;8759,"IPC_8760","Commercial-All Com-IntLight")))</f>
        <v>IPC_8760</v>
      </c>
      <c r="C119" s="96" t="str">
        <f>IF(OR('Proposed Lighting'!DD116="Standard Incentive",'Proposed Lighting'!DD116="Non-Standard Incentive"),"Yes",IF(AND(IF(ISNUMBER(SEARCH("controls",'Proposed Lighting'!T116)),"True","False")="False",'Proposed Lighting'!DD116="Submit Control as Non-Standard"),"Yes","No"))</f>
        <v>No</v>
      </c>
      <c r="D119" s="1403">
        <f>'Proposed Lighting'!CV116-Q119</f>
        <v>0</v>
      </c>
      <c r="E119" s="143">
        <f>'Proposed Lighting'!T116</f>
        <v>0</v>
      </c>
      <c r="F119" s="143">
        <f>'Proposed Lighting'!F116</f>
        <v>0</v>
      </c>
      <c r="G119" s="96" t="s">
        <v>242</v>
      </c>
      <c r="H119" s="142" t="str">
        <f>'Proposed Lighting'!CP116</f>
        <v/>
      </c>
      <c r="I119" s="98">
        <v>1</v>
      </c>
      <c r="J119" s="142">
        <f>'Proposed Lighting'!AA116</f>
        <v>0</v>
      </c>
      <c r="K119" s="142" t="str">
        <f>IF(ISNUMBER(SEARCH("-C",'Proposed Lighting'!M116)),'Proposed Lighting'!AH116*0.9,'Proposed Lighting'!AH116)</f>
        <v/>
      </c>
      <c r="L119" s="142">
        <f>IFERROR(IF(OR('Proposed Lighting'!BC116=22,'Proposed Lighting'!BC116=44),1-25%,IF(OR('Proposed Lighting'!BC116=23,'Proposed Lighting'!BC116=46),1-30%,IF(OR('Proposed Lighting'!BC116=29,'Proposed Lighting'!BC116=39,'Proposed Lighting'!BC116=49),1-35%,IF(OR('Proposed Lighting'!BC116=24,'Proposed Lighting'!BC116=48),1-50%,IF(AND(ISNUMBER(SEARCH("-C",'Proposed Lighting'!M116)),'Proposed Lighting'!AU116=2),90%,100%)))))*'Proposed Lighting'!AH116,0)</f>
        <v>0</v>
      </c>
      <c r="M119" s="87">
        <f t="shared" si="15"/>
        <v>0</v>
      </c>
      <c r="N119" s="87">
        <f>IFERROR(IF('Proposed Lighting'!AU116=1,0,'Proposed Lighting'!AO116),0)</f>
        <v>0</v>
      </c>
      <c r="O119" s="88">
        <f>IF('Proposed Lighting'!AU116=1,0,'Proposed Lighting'!AP116)</f>
        <v>0</v>
      </c>
      <c r="P119" s="87">
        <f t="shared" si="16"/>
        <v>0</v>
      </c>
      <c r="Q119" s="98">
        <f t="shared" si="25"/>
        <v>0</v>
      </c>
      <c r="R119" s="99">
        <f>IFERROR(IF('Proposed Lighting'!T116="Lighting controls only",0,ROUND(IF('Proposed Lighting'!AQ116&lt;'Proposed Lighting'!AR116,0,IF('Proposed Lighting'!AH116=0,0,IF('Proposed Lighting'!BV116&gt;0,'Proposed Lighting'!BV116,IF('Proposed Lighting'!CL116=0,MIN('Proposed Lighting'!CN116:CO116),IF('Proposed Lighting'!CX116&gt;0,'Proposed Lighting'!CX116*'Proposed Lighting'!AA116,0))))),2)),0)</f>
        <v>0</v>
      </c>
      <c r="S119" s="99">
        <f>IF('Proposed Lighting'!AJ116&gt;0,'Proposed Lighting'!AJ116*J119,'Proposed Lighting'!$AU$328*J119)</f>
        <v>0</v>
      </c>
      <c r="T119" s="602">
        <f t="shared" si="17"/>
        <v>0</v>
      </c>
      <c r="U119" s="100"/>
      <c r="V119" s="99">
        <f t="shared" si="18"/>
        <v>0</v>
      </c>
      <c r="W119" s="99">
        <f t="shared" si="19"/>
        <v>0</v>
      </c>
      <c r="X119" s="99">
        <f t="shared" si="20"/>
        <v>0</v>
      </c>
      <c r="Y119" s="99"/>
      <c r="Z119" s="99">
        <f t="shared" si="26"/>
        <v>0</v>
      </c>
      <c r="AA119" s="99"/>
      <c r="AB119" s="99">
        <f t="shared" si="21"/>
        <v>0</v>
      </c>
      <c r="AC119" s="101" t="str">
        <f t="shared" si="22"/>
        <v/>
      </c>
      <c r="AD119" s="101" t="str">
        <f t="shared" si="23"/>
        <v/>
      </c>
      <c r="AE119" s="101" t="str">
        <f t="shared" si="24"/>
        <v/>
      </c>
      <c r="AF119" s="72"/>
      <c r="AG119" s="98">
        <f>IFERROR(IF($AV119="No",0,IF($AV119="yes",Summary!Q119,"")),"")</f>
        <v>0</v>
      </c>
      <c r="AH119" s="99">
        <f>IFERROR(IF($AV119="No",0,IF($AV119="yes",Summary!R119,"")),"")</f>
        <v>0</v>
      </c>
      <c r="AI119" s="99">
        <f>IFERROR(IF($AV119="No",0,IF($AV119="yes",Summary!S119,"")),"")</f>
        <v>0</v>
      </c>
      <c r="AJ119" s="602">
        <f>IFERROR(IF($AV119="No",0,IF($AV119="yes",Summary!T119,"")),"")</f>
        <v>0</v>
      </c>
      <c r="AK119" s="100">
        <f>IFERROR(IF($AV119="No",0,IF($AV119="yes",Summary!U119,"")),"")</f>
        <v>0</v>
      </c>
      <c r="AL119" s="99">
        <f>IFERROR(IF($AV119="No",0,IF($AV119="yes",Summary!V119,"")),"")</f>
        <v>0</v>
      </c>
      <c r="AM119" s="99">
        <f>IFERROR(IF($AV119="No",0,IF($AV119="yes",Summary!W119,"")),"")</f>
        <v>0</v>
      </c>
      <c r="AN119" s="99">
        <f>IFERROR(IF($AV119="No",0,IF($AV119="yes",Summary!X119,"")),"")</f>
        <v>0</v>
      </c>
      <c r="AO119" s="99">
        <f>IFERROR(IF($AV119="No",0,IF($AV119="yes",Summary!Y119+Z119,"")),"")</f>
        <v>0</v>
      </c>
      <c r="AP119" s="99">
        <f>IFERROR(IF($AV119="No",0,IF($AV119="yes",Summary!AB119,"")),"")</f>
        <v>0</v>
      </c>
      <c r="AQ119" s="101" t="str">
        <f t="shared" si="27"/>
        <v/>
      </c>
      <c r="AR119" s="101" t="str">
        <f t="shared" si="28"/>
        <v/>
      </c>
      <c r="AS119" s="101" t="str">
        <f t="shared" si="29"/>
        <v/>
      </c>
      <c r="AT119" s="96" t="s">
        <v>533</v>
      </c>
      <c r="AV119" t="str">
        <f>IF('Proposed Lighting'!CN116&gt;0,"No","Yes")</f>
        <v>Yes</v>
      </c>
    </row>
    <row r="120" spans="1:48" ht="34.5" customHeight="1" outlineLevel="1">
      <c r="A120" s="96" t="s">
        <v>534</v>
      </c>
      <c r="B120" s="96" t="str">
        <f>IF(ISNUMBER(SEARCH("case",E120)),"COM_MISC_REFR_ALL_UNKN1991",IF('Proposed Lighting'!AU117=3,"Commercial-All Com-ExtLight",IF('Proposed Lighting'!AH117&gt;8759,"IPC_8760","Commercial-All Com-IntLight")))</f>
        <v>IPC_8760</v>
      </c>
      <c r="C120" s="96" t="str">
        <f>IF(OR('Proposed Lighting'!DD117="Standard Incentive",'Proposed Lighting'!DD117="Non-Standard Incentive"),"Yes",IF(AND(IF(ISNUMBER(SEARCH("controls",'Proposed Lighting'!T117)),"True","False")="False",'Proposed Lighting'!DD117="Submit Control as Non-Standard"),"Yes","No"))</f>
        <v>No</v>
      </c>
      <c r="D120" s="1403">
        <f>'Proposed Lighting'!CV117-Q120</f>
        <v>0</v>
      </c>
      <c r="E120" s="143">
        <f>'Proposed Lighting'!T117</f>
        <v>0</v>
      </c>
      <c r="F120" s="143">
        <f>'Proposed Lighting'!F117</f>
        <v>0</v>
      </c>
      <c r="G120" s="96" t="s">
        <v>242</v>
      </c>
      <c r="H120" s="142" t="str">
        <f>'Proposed Lighting'!CP117</f>
        <v/>
      </c>
      <c r="I120" s="98">
        <v>1</v>
      </c>
      <c r="J120" s="142">
        <f>'Proposed Lighting'!AA117</f>
        <v>0</v>
      </c>
      <c r="K120" s="142" t="str">
        <f>IF(ISNUMBER(SEARCH("-C",'Proposed Lighting'!M117)),'Proposed Lighting'!AH117*0.9,'Proposed Lighting'!AH117)</f>
        <v/>
      </c>
      <c r="L120" s="142">
        <f>IFERROR(IF(OR('Proposed Lighting'!BC117=22,'Proposed Lighting'!BC117=44),1-25%,IF(OR('Proposed Lighting'!BC117=23,'Proposed Lighting'!BC117=46),1-30%,IF(OR('Proposed Lighting'!BC117=29,'Proposed Lighting'!BC117=39,'Proposed Lighting'!BC117=49),1-35%,IF(OR('Proposed Lighting'!BC117=24,'Proposed Lighting'!BC117=48),1-50%,IF(AND(ISNUMBER(SEARCH("-C",'Proposed Lighting'!M117)),'Proposed Lighting'!AU117=2),90%,100%)))))*'Proposed Lighting'!AH117,0)</f>
        <v>0</v>
      </c>
      <c r="M120" s="87">
        <f t="shared" si="15"/>
        <v>0</v>
      </c>
      <c r="N120" s="87">
        <f>IFERROR(IF('Proposed Lighting'!AU117=1,0,'Proposed Lighting'!AO117),0)</f>
        <v>0</v>
      </c>
      <c r="O120" s="88">
        <f>IF('Proposed Lighting'!AU117=1,0,'Proposed Lighting'!AP117)</f>
        <v>0</v>
      </c>
      <c r="P120" s="87">
        <f t="shared" si="16"/>
        <v>0</v>
      </c>
      <c r="Q120" s="98">
        <f t="shared" si="25"/>
        <v>0</v>
      </c>
      <c r="R120" s="99">
        <f>IFERROR(IF('Proposed Lighting'!T117="Lighting controls only",0,ROUND(IF('Proposed Lighting'!AQ117&lt;'Proposed Lighting'!AR117,0,IF('Proposed Lighting'!AH117=0,0,IF('Proposed Lighting'!BV117&gt;0,'Proposed Lighting'!BV117,IF('Proposed Lighting'!CL117=0,MIN('Proposed Lighting'!CN117:CO117),IF('Proposed Lighting'!CX117&gt;0,'Proposed Lighting'!CX117*'Proposed Lighting'!AA117,0))))),2)),0)</f>
        <v>0</v>
      </c>
      <c r="S120" s="99">
        <f>IF('Proposed Lighting'!AJ117&gt;0,'Proposed Lighting'!AJ117*J120,'Proposed Lighting'!$AU$328*J120)</f>
        <v>0</v>
      </c>
      <c r="T120" s="602">
        <f t="shared" si="17"/>
        <v>0</v>
      </c>
      <c r="U120" s="100"/>
      <c r="V120" s="99">
        <f t="shared" si="18"/>
        <v>0</v>
      </c>
      <c r="W120" s="99">
        <f t="shared" si="19"/>
        <v>0</v>
      </c>
      <c r="X120" s="99">
        <f t="shared" si="20"/>
        <v>0</v>
      </c>
      <c r="Y120" s="99"/>
      <c r="Z120" s="99">
        <f t="shared" si="26"/>
        <v>0</v>
      </c>
      <c r="AA120" s="99"/>
      <c r="AB120" s="99">
        <f t="shared" si="21"/>
        <v>0</v>
      </c>
      <c r="AC120" s="101" t="str">
        <f t="shared" si="22"/>
        <v/>
      </c>
      <c r="AD120" s="101" t="str">
        <f t="shared" si="23"/>
        <v/>
      </c>
      <c r="AE120" s="101" t="str">
        <f t="shared" si="24"/>
        <v/>
      </c>
      <c r="AF120" s="72"/>
      <c r="AG120" s="98">
        <f>IFERROR(IF($AV120="No",0,IF($AV120="yes",Summary!Q120,"")),"")</f>
        <v>0</v>
      </c>
      <c r="AH120" s="99">
        <f>IFERROR(IF($AV120="No",0,IF($AV120="yes",Summary!R120,"")),"")</f>
        <v>0</v>
      </c>
      <c r="AI120" s="99">
        <f>IFERROR(IF($AV120="No",0,IF($AV120="yes",Summary!S120,"")),"")</f>
        <v>0</v>
      </c>
      <c r="AJ120" s="602">
        <f>IFERROR(IF($AV120="No",0,IF($AV120="yes",Summary!T120,"")),"")</f>
        <v>0</v>
      </c>
      <c r="AK120" s="100">
        <f>IFERROR(IF($AV120="No",0,IF($AV120="yes",Summary!U120,"")),"")</f>
        <v>0</v>
      </c>
      <c r="AL120" s="99">
        <f>IFERROR(IF($AV120="No",0,IF($AV120="yes",Summary!V120,"")),"")</f>
        <v>0</v>
      </c>
      <c r="AM120" s="99">
        <f>IFERROR(IF($AV120="No",0,IF($AV120="yes",Summary!W120,"")),"")</f>
        <v>0</v>
      </c>
      <c r="AN120" s="99">
        <f>IFERROR(IF($AV120="No",0,IF($AV120="yes",Summary!X120,"")),"")</f>
        <v>0</v>
      </c>
      <c r="AO120" s="99">
        <f>IFERROR(IF($AV120="No",0,IF($AV120="yes",Summary!Y120+Z120,"")),"")</f>
        <v>0</v>
      </c>
      <c r="AP120" s="99">
        <f>IFERROR(IF($AV120="No",0,IF($AV120="yes",Summary!AB120,"")),"")</f>
        <v>0</v>
      </c>
      <c r="AQ120" s="101" t="str">
        <f t="shared" si="27"/>
        <v/>
      </c>
      <c r="AR120" s="101" t="str">
        <f t="shared" si="28"/>
        <v/>
      </c>
      <c r="AS120" s="101" t="str">
        <f t="shared" si="29"/>
        <v/>
      </c>
      <c r="AT120" s="96" t="s">
        <v>534</v>
      </c>
      <c r="AV120" t="str">
        <f>IF('Proposed Lighting'!CN117&gt;0,"No","Yes")</f>
        <v>Yes</v>
      </c>
    </row>
    <row r="121" spans="1:48" ht="34.5" customHeight="1" outlineLevel="1">
      <c r="A121" s="96" t="s">
        <v>535</v>
      </c>
      <c r="B121" s="96" t="str">
        <f>IF(ISNUMBER(SEARCH("case",E121)),"COM_MISC_REFR_ALL_UNKN1991",IF('Proposed Lighting'!AU118=3,"Commercial-All Com-ExtLight",IF('Proposed Lighting'!AH118&gt;8759,"IPC_8760","Commercial-All Com-IntLight")))</f>
        <v>IPC_8760</v>
      </c>
      <c r="C121" s="96" t="str">
        <f>IF(OR('Proposed Lighting'!DD118="Standard Incentive",'Proposed Lighting'!DD118="Non-Standard Incentive"),"Yes",IF(AND(IF(ISNUMBER(SEARCH("controls",'Proposed Lighting'!T118)),"True","False")="False",'Proposed Lighting'!DD118="Submit Control as Non-Standard"),"Yes","No"))</f>
        <v>No</v>
      </c>
      <c r="D121" s="1403">
        <f>'Proposed Lighting'!CV118-Q121</f>
        <v>0</v>
      </c>
      <c r="E121" s="143">
        <f>'Proposed Lighting'!T118</f>
        <v>0</v>
      </c>
      <c r="F121" s="143">
        <f>'Proposed Lighting'!F118</f>
        <v>0</v>
      </c>
      <c r="G121" s="96" t="s">
        <v>242</v>
      </c>
      <c r="H121" s="142" t="str">
        <f>'Proposed Lighting'!CP118</f>
        <v/>
      </c>
      <c r="I121" s="98">
        <v>1</v>
      </c>
      <c r="J121" s="142">
        <f>'Proposed Lighting'!AA118</f>
        <v>0</v>
      </c>
      <c r="K121" s="142" t="str">
        <f>IF(ISNUMBER(SEARCH("-C",'Proposed Lighting'!M118)),'Proposed Lighting'!AH118*0.9,'Proposed Lighting'!AH118)</f>
        <v/>
      </c>
      <c r="L121" s="142">
        <f>IFERROR(IF(OR('Proposed Lighting'!BC118=22,'Proposed Lighting'!BC118=44),1-25%,IF(OR('Proposed Lighting'!BC118=23,'Proposed Lighting'!BC118=46),1-30%,IF(OR('Proposed Lighting'!BC118=29,'Proposed Lighting'!BC118=39,'Proposed Lighting'!BC118=49),1-35%,IF(OR('Proposed Lighting'!BC118=24,'Proposed Lighting'!BC118=48),1-50%,IF(AND(ISNUMBER(SEARCH("-C",'Proposed Lighting'!M118)),'Proposed Lighting'!AU118=2),90%,100%)))))*'Proposed Lighting'!AH118,0)</f>
        <v>0</v>
      </c>
      <c r="M121" s="87">
        <f t="shared" si="15"/>
        <v>0</v>
      </c>
      <c r="N121" s="87">
        <f>IFERROR(IF('Proposed Lighting'!AU118=1,0,'Proposed Lighting'!AO118),0)</f>
        <v>0</v>
      </c>
      <c r="O121" s="88">
        <f>IF('Proposed Lighting'!AU118=1,0,'Proposed Lighting'!AP118)</f>
        <v>0</v>
      </c>
      <c r="P121" s="87">
        <f t="shared" si="16"/>
        <v>0</v>
      </c>
      <c r="Q121" s="98">
        <f t="shared" si="25"/>
        <v>0</v>
      </c>
      <c r="R121" s="99">
        <f>IFERROR(IF('Proposed Lighting'!T118="Lighting controls only",0,ROUND(IF('Proposed Lighting'!AQ118&lt;'Proposed Lighting'!AR118,0,IF('Proposed Lighting'!AH118=0,0,IF('Proposed Lighting'!BV118&gt;0,'Proposed Lighting'!BV118,IF('Proposed Lighting'!CL118=0,MIN('Proposed Lighting'!CN118:CO118),IF('Proposed Lighting'!CX118&gt;0,'Proposed Lighting'!CX118*'Proposed Lighting'!AA118,0))))),2)),0)</f>
        <v>0</v>
      </c>
      <c r="S121" s="99">
        <f>IF('Proposed Lighting'!AJ118&gt;0,'Proposed Lighting'!AJ118*J121,'Proposed Lighting'!$AU$328*J121)</f>
        <v>0</v>
      </c>
      <c r="T121" s="602">
        <f t="shared" si="17"/>
        <v>0</v>
      </c>
      <c r="U121" s="100"/>
      <c r="V121" s="99">
        <f t="shared" si="18"/>
        <v>0</v>
      </c>
      <c r="W121" s="99">
        <f t="shared" si="19"/>
        <v>0</v>
      </c>
      <c r="X121" s="99">
        <f t="shared" si="20"/>
        <v>0</v>
      </c>
      <c r="Y121" s="99"/>
      <c r="Z121" s="99">
        <f t="shared" si="26"/>
        <v>0</v>
      </c>
      <c r="AA121" s="99"/>
      <c r="AB121" s="99">
        <f t="shared" si="21"/>
        <v>0</v>
      </c>
      <c r="AC121" s="101" t="str">
        <f t="shared" si="22"/>
        <v/>
      </c>
      <c r="AD121" s="101" t="str">
        <f t="shared" si="23"/>
        <v/>
      </c>
      <c r="AE121" s="101" t="str">
        <f t="shared" si="24"/>
        <v/>
      </c>
      <c r="AF121" s="72"/>
      <c r="AG121" s="98">
        <f>IFERROR(IF($AV121="No",0,IF($AV121="yes",Summary!Q121,"")),"")</f>
        <v>0</v>
      </c>
      <c r="AH121" s="99">
        <f>IFERROR(IF($AV121="No",0,IF($AV121="yes",Summary!R121,"")),"")</f>
        <v>0</v>
      </c>
      <c r="AI121" s="99">
        <f>IFERROR(IF($AV121="No",0,IF($AV121="yes",Summary!S121,"")),"")</f>
        <v>0</v>
      </c>
      <c r="AJ121" s="602">
        <f>IFERROR(IF($AV121="No",0,IF($AV121="yes",Summary!T121,"")),"")</f>
        <v>0</v>
      </c>
      <c r="AK121" s="100">
        <f>IFERROR(IF($AV121="No",0,IF($AV121="yes",Summary!U121,"")),"")</f>
        <v>0</v>
      </c>
      <c r="AL121" s="99">
        <f>IFERROR(IF($AV121="No",0,IF($AV121="yes",Summary!V121,"")),"")</f>
        <v>0</v>
      </c>
      <c r="AM121" s="99">
        <f>IFERROR(IF($AV121="No",0,IF($AV121="yes",Summary!W121,"")),"")</f>
        <v>0</v>
      </c>
      <c r="AN121" s="99">
        <f>IFERROR(IF($AV121="No",0,IF($AV121="yes",Summary!X121,"")),"")</f>
        <v>0</v>
      </c>
      <c r="AO121" s="99">
        <f>IFERROR(IF($AV121="No",0,IF($AV121="yes",Summary!Y121+Z121,"")),"")</f>
        <v>0</v>
      </c>
      <c r="AP121" s="99">
        <f>IFERROR(IF($AV121="No",0,IF($AV121="yes",Summary!AB121,"")),"")</f>
        <v>0</v>
      </c>
      <c r="AQ121" s="101" t="str">
        <f t="shared" si="27"/>
        <v/>
      </c>
      <c r="AR121" s="101" t="str">
        <f t="shared" si="28"/>
        <v/>
      </c>
      <c r="AS121" s="101" t="str">
        <f t="shared" si="29"/>
        <v/>
      </c>
      <c r="AT121" s="96" t="s">
        <v>535</v>
      </c>
      <c r="AV121" t="str">
        <f>IF('Proposed Lighting'!CN118&gt;0,"No","Yes")</f>
        <v>Yes</v>
      </c>
    </row>
    <row r="122" spans="1:48" ht="34.5" customHeight="1" outlineLevel="1">
      <c r="A122" s="96" t="s">
        <v>536</v>
      </c>
      <c r="B122" s="96" t="str">
        <f>IF(ISNUMBER(SEARCH("case",E122)),"COM_MISC_REFR_ALL_UNKN1991",IF('Proposed Lighting'!AU119=3,"Commercial-All Com-ExtLight",IF('Proposed Lighting'!AH119&gt;8759,"IPC_8760","Commercial-All Com-IntLight")))</f>
        <v>IPC_8760</v>
      </c>
      <c r="C122" s="96" t="str">
        <f>IF(OR('Proposed Lighting'!DD119="Standard Incentive",'Proposed Lighting'!DD119="Non-Standard Incentive"),"Yes",IF(AND(IF(ISNUMBER(SEARCH("controls",'Proposed Lighting'!T119)),"True","False")="False",'Proposed Lighting'!DD119="Submit Control as Non-Standard"),"Yes","No"))</f>
        <v>No</v>
      </c>
      <c r="D122" s="1403">
        <f>'Proposed Lighting'!CV119-Q122</f>
        <v>0</v>
      </c>
      <c r="E122" s="143">
        <f>'Proposed Lighting'!T119</f>
        <v>0</v>
      </c>
      <c r="F122" s="143">
        <f>'Proposed Lighting'!F119</f>
        <v>0</v>
      </c>
      <c r="G122" s="96" t="s">
        <v>242</v>
      </c>
      <c r="H122" s="142" t="str">
        <f>'Proposed Lighting'!CP119</f>
        <v/>
      </c>
      <c r="I122" s="98">
        <v>1</v>
      </c>
      <c r="J122" s="142">
        <f>'Proposed Lighting'!AA119</f>
        <v>0</v>
      </c>
      <c r="K122" s="142" t="str">
        <f>IF(ISNUMBER(SEARCH("-C",'Proposed Lighting'!M119)),'Proposed Lighting'!AH119*0.9,'Proposed Lighting'!AH119)</f>
        <v/>
      </c>
      <c r="L122" s="142">
        <f>IFERROR(IF(OR('Proposed Lighting'!BC119=22,'Proposed Lighting'!BC119=44),1-25%,IF(OR('Proposed Lighting'!BC119=23,'Proposed Lighting'!BC119=46),1-30%,IF(OR('Proposed Lighting'!BC119=29,'Proposed Lighting'!BC119=39,'Proposed Lighting'!BC119=49),1-35%,IF(OR('Proposed Lighting'!BC119=24,'Proposed Lighting'!BC119=48),1-50%,IF(AND(ISNUMBER(SEARCH("-C",'Proposed Lighting'!M119)),'Proposed Lighting'!AU119=2),90%,100%)))))*'Proposed Lighting'!AH119,0)</f>
        <v>0</v>
      </c>
      <c r="M122" s="87">
        <f t="shared" si="15"/>
        <v>0</v>
      </c>
      <c r="N122" s="87">
        <f>IFERROR(IF('Proposed Lighting'!AU119=1,0,'Proposed Lighting'!AO119),0)</f>
        <v>0</v>
      </c>
      <c r="O122" s="88">
        <f>IF('Proposed Lighting'!AU119=1,0,'Proposed Lighting'!AP119)</f>
        <v>0</v>
      </c>
      <c r="P122" s="87">
        <f t="shared" si="16"/>
        <v>0</v>
      </c>
      <c r="Q122" s="98">
        <f t="shared" si="25"/>
        <v>0</v>
      </c>
      <c r="R122" s="99">
        <f>IFERROR(IF('Proposed Lighting'!T119="Lighting controls only",0,ROUND(IF('Proposed Lighting'!AQ119&lt;'Proposed Lighting'!AR119,0,IF('Proposed Lighting'!AH119=0,0,IF('Proposed Lighting'!BV119&gt;0,'Proposed Lighting'!BV119,IF('Proposed Lighting'!CL119=0,MIN('Proposed Lighting'!CN119:CO119),IF('Proposed Lighting'!CX119&gt;0,'Proposed Lighting'!CX119*'Proposed Lighting'!AA119,0))))),2)),0)</f>
        <v>0</v>
      </c>
      <c r="S122" s="99">
        <f>IF('Proposed Lighting'!AJ119&gt;0,'Proposed Lighting'!AJ119*J122,'Proposed Lighting'!$AU$328*J122)</f>
        <v>0</v>
      </c>
      <c r="T122" s="602">
        <f t="shared" si="17"/>
        <v>0</v>
      </c>
      <c r="U122" s="100"/>
      <c r="V122" s="99">
        <f t="shared" si="18"/>
        <v>0</v>
      </c>
      <c r="W122" s="99">
        <f t="shared" si="19"/>
        <v>0</v>
      </c>
      <c r="X122" s="99">
        <f t="shared" si="20"/>
        <v>0</v>
      </c>
      <c r="Y122" s="99"/>
      <c r="Z122" s="99">
        <f t="shared" si="26"/>
        <v>0</v>
      </c>
      <c r="AA122" s="99"/>
      <c r="AB122" s="99">
        <f t="shared" si="21"/>
        <v>0</v>
      </c>
      <c r="AC122" s="101" t="str">
        <f t="shared" si="22"/>
        <v/>
      </c>
      <c r="AD122" s="101" t="str">
        <f t="shared" si="23"/>
        <v/>
      </c>
      <c r="AE122" s="101" t="str">
        <f t="shared" si="24"/>
        <v/>
      </c>
      <c r="AF122" s="72"/>
      <c r="AG122" s="98">
        <f>IFERROR(IF($AV122="No",0,IF($AV122="yes",Summary!Q122,"")),"")</f>
        <v>0</v>
      </c>
      <c r="AH122" s="99">
        <f>IFERROR(IF($AV122="No",0,IF($AV122="yes",Summary!R122,"")),"")</f>
        <v>0</v>
      </c>
      <c r="AI122" s="99">
        <f>IFERROR(IF($AV122="No",0,IF($AV122="yes",Summary!S122,"")),"")</f>
        <v>0</v>
      </c>
      <c r="AJ122" s="602">
        <f>IFERROR(IF($AV122="No",0,IF($AV122="yes",Summary!T122,"")),"")</f>
        <v>0</v>
      </c>
      <c r="AK122" s="100">
        <f>IFERROR(IF($AV122="No",0,IF($AV122="yes",Summary!U122,"")),"")</f>
        <v>0</v>
      </c>
      <c r="AL122" s="99">
        <f>IFERROR(IF($AV122="No",0,IF($AV122="yes",Summary!V122,"")),"")</f>
        <v>0</v>
      </c>
      <c r="AM122" s="99">
        <f>IFERROR(IF($AV122="No",0,IF($AV122="yes",Summary!W122,"")),"")</f>
        <v>0</v>
      </c>
      <c r="AN122" s="99">
        <f>IFERROR(IF($AV122="No",0,IF($AV122="yes",Summary!X122,"")),"")</f>
        <v>0</v>
      </c>
      <c r="AO122" s="99">
        <f>IFERROR(IF($AV122="No",0,IF($AV122="yes",Summary!Y122+Z122,"")),"")</f>
        <v>0</v>
      </c>
      <c r="AP122" s="99">
        <f>IFERROR(IF($AV122="No",0,IF($AV122="yes",Summary!AB122,"")),"")</f>
        <v>0</v>
      </c>
      <c r="AQ122" s="101" t="str">
        <f t="shared" si="27"/>
        <v/>
      </c>
      <c r="AR122" s="101" t="str">
        <f t="shared" si="28"/>
        <v/>
      </c>
      <c r="AS122" s="101" t="str">
        <f t="shared" si="29"/>
        <v/>
      </c>
      <c r="AT122" s="96" t="s">
        <v>536</v>
      </c>
      <c r="AV122" t="str">
        <f>IF('Proposed Lighting'!CN119&gt;0,"No","Yes")</f>
        <v>Yes</v>
      </c>
    </row>
    <row r="123" spans="1:48" ht="34.5" customHeight="1" outlineLevel="1">
      <c r="A123" s="96" t="s">
        <v>537</v>
      </c>
      <c r="B123" s="96" t="str">
        <f>IF(ISNUMBER(SEARCH("case",E123)),"COM_MISC_REFR_ALL_UNKN1991",IF('Proposed Lighting'!AU120=3,"Commercial-All Com-ExtLight",IF('Proposed Lighting'!AH120&gt;8759,"IPC_8760","Commercial-All Com-IntLight")))</f>
        <v>IPC_8760</v>
      </c>
      <c r="C123" s="96" t="str">
        <f>IF(OR('Proposed Lighting'!DD120="Standard Incentive",'Proposed Lighting'!DD120="Non-Standard Incentive"),"Yes",IF(AND(IF(ISNUMBER(SEARCH("controls",'Proposed Lighting'!T120)),"True","False")="False",'Proposed Lighting'!DD120="Submit Control as Non-Standard"),"Yes","No"))</f>
        <v>No</v>
      </c>
      <c r="D123" s="1403">
        <f>'Proposed Lighting'!CV120-Q123</f>
        <v>0</v>
      </c>
      <c r="E123" s="143">
        <f>'Proposed Lighting'!T120</f>
        <v>0</v>
      </c>
      <c r="F123" s="143">
        <f>'Proposed Lighting'!F120</f>
        <v>0</v>
      </c>
      <c r="G123" s="96" t="s">
        <v>242</v>
      </c>
      <c r="H123" s="142" t="str">
        <f>'Proposed Lighting'!CP120</f>
        <v/>
      </c>
      <c r="I123" s="98">
        <v>1</v>
      </c>
      <c r="J123" s="142">
        <f>'Proposed Lighting'!AA120</f>
        <v>0</v>
      </c>
      <c r="K123" s="142" t="str">
        <f>IF(ISNUMBER(SEARCH("-C",'Proposed Lighting'!M120)),'Proposed Lighting'!AH120*0.9,'Proposed Lighting'!AH120)</f>
        <v/>
      </c>
      <c r="L123" s="142">
        <f>IFERROR(IF(OR('Proposed Lighting'!BC120=22,'Proposed Lighting'!BC120=44),1-25%,IF(OR('Proposed Lighting'!BC120=23,'Proposed Lighting'!BC120=46),1-30%,IF(OR('Proposed Lighting'!BC120=29,'Proposed Lighting'!BC120=39,'Proposed Lighting'!BC120=49),1-35%,IF(OR('Proposed Lighting'!BC120=24,'Proposed Lighting'!BC120=48),1-50%,IF(AND(ISNUMBER(SEARCH("-C",'Proposed Lighting'!M120)),'Proposed Lighting'!AU120=2),90%,100%)))))*'Proposed Lighting'!AH120,0)</f>
        <v>0</v>
      </c>
      <c r="M123" s="87">
        <f t="shared" si="15"/>
        <v>0</v>
      </c>
      <c r="N123" s="87">
        <f>IFERROR(IF('Proposed Lighting'!AU120=1,0,'Proposed Lighting'!AO120),0)</f>
        <v>0</v>
      </c>
      <c r="O123" s="88">
        <f>IF('Proposed Lighting'!AU120=1,0,'Proposed Lighting'!AP120)</f>
        <v>0</v>
      </c>
      <c r="P123" s="87">
        <f t="shared" si="16"/>
        <v>0</v>
      </c>
      <c r="Q123" s="98">
        <f t="shared" si="25"/>
        <v>0</v>
      </c>
      <c r="R123" s="99">
        <f>IFERROR(IF('Proposed Lighting'!T120="Lighting controls only",0,ROUND(IF('Proposed Lighting'!AQ120&lt;'Proposed Lighting'!AR120,0,IF('Proposed Lighting'!AH120=0,0,IF('Proposed Lighting'!BV120&gt;0,'Proposed Lighting'!BV120,IF('Proposed Lighting'!CL120=0,MIN('Proposed Lighting'!CN120:CO120),IF('Proposed Lighting'!CX120&gt;0,'Proposed Lighting'!CX120*'Proposed Lighting'!AA120,0))))),2)),0)</f>
        <v>0</v>
      </c>
      <c r="S123" s="99">
        <f>IF('Proposed Lighting'!AJ120&gt;0,'Proposed Lighting'!AJ120*J123,'Proposed Lighting'!$AU$328*J123)</f>
        <v>0</v>
      </c>
      <c r="T123" s="602">
        <f t="shared" si="17"/>
        <v>0</v>
      </c>
      <c r="U123" s="100"/>
      <c r="V123" s="99">
        <f t="shared" si="18"/>
        <v>0</v>
      </c>
      <c r="W123" s="99">
        <f t="shared" si="19"/>
        <v>0</v>
      </c>
      <c r="X123" s="99">
        <f t="shared" si="20"/>
        <v>0</v>
      </c>
      <c r="Y123" s="99"/>
      <c r="Z123" s="99">
        <f t="shared" si="26"/>
        <v>0</v>
      </c>
      <c r="AA123" s="99"/>
      <c r="AB123" s="99">
        <f t="shared" si="21"/>
        <v>0</v>
      </c>
      <c r="AC123" s="101" t="str">
        <f t="shared" si="22"/>
        <v/>
      </c>
      <c r="AD123" s="101" t="str">
        <f t="shared" si="23"/>
        <v/>
      </c>
      <c r="AE123" s="101" t="str">
        <f t="shared" si="24"/>
        <v/>
      </c>
      <c r="AF123" s="72"/>
      <c r="AG123" s="98">
        <f>IFERROR(IF($AV123="No",0,IF($AV123="yes",Summary!Q123,"")),"")</f>
        <v>0</v>
      </c>
      <c r="AH123" s="99">
        <f>IFERROR(IF($AV123="No",0,IF($AV123="yes",Summary!R123,"")),"")</f>
        <v>0</v>
      </c>
      <c r="AI123" s="99">
        <f>IFERROR(IF($AV123="No",0,IF($AV123="yes",Summary!S123,"")),"")</f>
        <v>0</v>
      </c>
      <c r="AJ123" s="602">
        <f>IFERROR(IF($AV123="No",0,IF($AV123="yes",Summary!T123,"")),"")</f>
        <v>0</v>
      </c>
      <c r="AK123" s="100">
        <f>IFERROR(IF($AV123="No",0,IF($AV123="yes",Summary!U123,"")),"")</f>
        <v>0</v>
      </c>
      <c r="AL123" s="99">
        <f>IFERROR(IF($AV123="No",0,IF($AV123="yes",Summary!V123,"")),"")</f>
        <v>0</v>
      </c>
      <c r="AM123" s="99">
        <f>IFERROR(IF($AV123="No",0,IF($AV123="yes",Summary!W123,"")),"")</f>
        <v>0</v>
      </c>
      <c r="AN123" s="99">
        <f>IFERROR(IF($AV123="No",0,IF($AV123="yes",Summary!X123,"")),"")</f>
        <v>0</v>
      </c>
      <c r="AO123" s="99">
        <f>IFERROR(IF($AV123="No",0,IF($AV123="yes",Summary!Y123+Z123,"")),"")</f>
        <v>0</v>
      </c>
      <c r="AP123" s="99">
        <f>IFERROR(IF($AV123="No",0,IF($AV123="yes",Summary!AB123,"")),"")</f>
        <v>0</v>
      </c>
      <c r="AQ123" s="101" t="str">
        <f t="shared" si="27"/>
        <v/>
      </c>
      <c r="AR123" s="101" t="str">
        <f t="shared" si="28"/>
        <v/>
      </c>
      <c r="AS123" s="101" t="str">
        <f t="shared" si="29"/>
        <v/>
      </c>
      <c r="AT123" s="96" t="s">
        <v>537</v>
      </c>
      <c r="AV123" t="str">
        <f>IF('Proposed Lighting'!CN120&gt;0,"No","Yes")</f>
        <v>Yes</v>
      </c>
    </row>
    <row r="124" spans="1:48" ht="34.5" customHeight="1" outlineLevel="1">
      <c r="A124" s="96" t="s">
        <v>538</v>
      </c>
      <c r="B124" s="96" t="str">
        <f>IF(ISNUMBER(SEARCH("case",E124)),"COM_MISC_REFR_ALL_UNKN1991",IF('Proposed Lighting'!AU121=3,"Commercial-All Com-ExtLight",IF('Proposed Lighting'!AH121&gt;8759,"IPC_8760","Commercial-All Com-IntLight")))</f>
        <v>IPC_8760</v>
      </c>
      <c r="C124" s="96" t="str">
        <f>IF(OR('Proposed Lighting'!DD121="Standard Incentive",'Proposed Lighting'!DD121="Non-Standard Incentive"),"Yes",IF(AND(IF(ISNUMBER(SEARCH("controls",'Proposed Lighting'!T121)),"True","False")="False",'Proposed Lighting'!DD121="Submit Control as Non-Standard"),"Yes","No"))</f>
        <v>No</v>
      </c>
      <c r="D124" s="1403">
        <f>'Proposed Lighting'!CV121-Q124</f>
        <v>0</v>
      </c>
      <c r="E124" s="143">
        <f>'Proposed Lighting'!T121</f>
        <v>0</v>
      </c>
      <c r="F124" s="143">
        <f>'Proposed Lighting'!F121</f>
        <v>0</v>
      </c>
      <c r="G124" s="96" t="s">
        <v>242</v>
      </c>
      <c r="H124" s="142" t="str">
        <f>'Proposed Lighting'!CP121</f>
        <v/>
      </c>
      <c r="I124" s="98">
        <v>1</v>
      </c>
      <c r="J124" s="142">
        <f>'Proposed Lighting'!AA121</f>
        <v>0</v>
      </c>
      <c r="K124" s="142" t="str">
        <f>IF(ISNUMBER(SEARCH("-C",'Proposed Lighting'!M121)),'Proposed Lighting'!AH121*0.9,'Proposed Lighting'!AH121)</f>
        <v/>
      </c>
      <c r="L124" s="142">
        <f>IFERROR(IF(OR('Proposed Lighting'!BC121=22,'Proposed Lighting'!BC121=44),1-25%,IF(OR('Proposed Lighting'!BC121=23,'Proposed Lighting'!BC121=46),1-30%,IF(OR('Proposed Lighting'!BC121=29,'Proposed Lighting'!BC121=39,'Proposed Lighting'!BC121=49),1-35%,IF(OR('Proposed Lighting'!BC121=24,'Proposed Lighting'!BC121=48),1-50%,IF(AND(ISNUMBER(SEARCH("-C",'Proposed Lighting'!M121)),'Proposed Lighting'!AU121=2),90%,100%)))))*'Proposed Lighting'!AH121,0)</f>
        <v>0</v>
      </c>
      <c r="M124" s="87">
        <f t="shared" si="15"/>
        <v>0</v>
      </c>
      <c r="N124" s="87">
        <f>IFERROR(IF('Proposed Lighting'!AU121=1,0,'Proposed Lighting'!AO121),0)</f>
        <v>0</v>
      </c>
      <c r="O124" s="88">
        <f>IF('Proposed Lighting'!AU121=1,0,'Proposed Lighting'!AP121)</f>
        <v>0</v>
      </c>
      <c r="P124" s="87">
        <f t="shared" si="16"/>
        <v>0</v>
      </c>
      <c r="Q124" s="98">
        <f t="shared" si="25"/>
        <v>0</v>
      </c>
      <c r="R124" s="99">
        <f>IFERROR(IF('Proposed Lighting'!T121="Lighting controls only",0,ROUND(IF('Proposed Lighting'!AQ121&lt;'Proposed Lighting'!AR121,0,IF('Proposed Lighting'!AH121=0,0,IF('Proposed Lighting'!BV121&gt;0,'Proposed Lighting'!BV121,IF('Proposed Lighting'!CL121=0,MIN('Proposed Lighting'!CN121:CO121),IF('Proposed Lighting'!CX121&gt;0,'Proposed Lighting'!CX121*'Proposed Lighting'!AA121,0))))),2)),0)</f>
        <v>0</v>
      </c>
      <c r="S124" s="99">
        <f>IF('Proposed Lighting'!AJ121&gt;0,'Proposed Lighting'!AJ121*J124,'Proposed Lighting'!$AU$328*J124)</f>
        <v>0</v>
      </c>
      <c r="T124" s="602">
        <f t="shared" si="17"/>
        <v>0</v>
      </c>
      <c r="U124" s="100"/>
      <c r="V124" s="99">
        <f t="shared" si="18"/>
        <v>0</v>
      </c>
      <c r="W124" s="99">
        <f t="shared" si="19"/>
        <v>0</v>
      </c>
      <c r="X124" s="99">
        <f t="shared" si="20"/>
        <v>0</v>
      </c>
      <c r="Y124" s="99"/>
      <c r="Z124" s="99">
        <f t="shared" si="26"/>
        <v>0</v>
      </c>
      <c r="AA124" s="99"/>
      <c r="AB124" s="99">
        <f t="shared" si="21"/>
        <v>0</v>
      </c>
      <c r="AC124" s="101" t="str">
        <f t="shared" si="22"/>
        <v/>
      </c>
      <c r="AD124" s="101" t="str">
        <f t="shared" si="23"/>
        <v/>
      </c>
      <c r="AE124" s="101" t="str">
        <f t="shared" si="24"/>
        <v/>
      </c>
      <c r="AF124" s="72"/>
      <c r="AG124" s="98">
        <f>IFERROR(IF($AV124="No",0,IF($AV124="yes",Summary!Q124,"")),"")</f>
        <v>0</v>
      </c>
      <c r="AH124" s="99">
        <f>IFERROR(IF($AV124="No",0,IF($AV124="yes",Summary!R124,"")),"")</f>
        <v>0</v>
      </c>
      <c r="AI124" s="99">
        <f>IFERROR(IF($AV124="No",0,IF($AV124="yes",Summary!S124,"")),"")</f>
        <v>0</v>
      </c>
      <c r="AJ124" s="602">
        <f>IFERROR(IF($AV124="No",0,IF($AV124="yes",Summary!T124,"")),"")</f>
        <v>0</v>
      </c>
      <c r="AK124" s="100">
        <f>IFERROR(IF($AV124="No",0,IF($AV124="yes",Summary!U124,"")),"")</f>
        <v>0</v>
      </c>
      <c r="AL124" s="99">
        <f>IFERROR(IF($AV124="No",0,IF($AV124="yes",Summary!V124,"")),"")</f>
        <v>0</v>
      </c>
      <c r="AM124" s="99">
        <f>IFERROR(IF($AV124="No",0,IF($AV124="yes",Summary!W124,"")),"")</f>
        <v>0</v>
      </c>
      <c r="AN124" s="99">
        <f>IFERROR(IF($AV124="No",0,IF($AV124="yes",Summary!X124,"")),"")</f>
        <v>0</v>
      </c>
      <c r="AO124" s="99">
        <f>IFERROR(IF($AV124="No",0,IF($AV124="yes",Summary!Y124+Z124,"")),"")</f>
        <v>0</v>
      </c>
      <c r="AP124" s="99">
        <f>IFERROR(IF($AV124="No",0,IF($AV124="yes",Summary!AB124,"")),"")</f>
        <v>0</v>
      </c>
      <c r="AQ124" s="101" t="str">
        <f t="shared" si="27"/>
        <v/>
      </c>
      <c r="AR124" s="101" t="str">
        <f t="shared" si="28"/>
        <v/>
      </c>
      <c r="AS124" s="101" t="str">
        <f t="shared" si="29"/>
        <v/>
      </c>
      <c r="AT124" s="96" t="s">
        <v>538</v>
      </c>
      <c r="AV124" t="str">
        <f>IF('Proposed Lighting'!CN121&gt;0,"No","Yes")</f>
        <v>Yes</v>
      </c>
    </row>
    <row r="125" spans="1:48" ht="34.5" customHeight="1" outlineLevel="1">
      <c r="A125" s="96" t="s">
        <v>539</v>
      </c>
      <c r="B125" s="96" t="str">
        <f>IF(ISNUMBER(SEARCH("case",E125)),"COM_MISC_REFR_ALL_UNKN1991",IF('Proposed Lighting'!AU122=3,"Commercial-All Com-ExtLight",IF('Proposed Lighting'!AH122&gt;8759,"IPC_8760","Commercial-All Com-IntLight")))</f>
        <v>IPC_8760</v>
      </c>
      <c r="C125" s="96" t="str">
        <f>IF(OR('Proposed Lighting'!DD122="Standard Incentive",'Proposed Lighting'!DD122="Non-Standard Incentive"),"Yes",IF(AND(IF(ISNUMBER(SEARCH("controls",'Proposed Lighting'!T122)),"True","False")="False",'Proposed Lighting'!DD122="Submit Control as Non-Standard"),"Yes","No"))</f>
        <v>No</v>
      </c>
      <c r="D125" s="1403">
        <f>'Proposed Lighting'!CV122-Q125</f>
        <v>0</v>
      </c>
      <c r="E125" s="143">
        <f>'Proposed Lighting'!T122</f>
        <v>0</v>
      </c>
      <c r="F125" s="143">
        <f>'Proposed Lighting'!F122</f>
        <v>0</v>
      </c>
      <c r="G125" s="96" t="s">
        <v>242</v>
      </c>
      <c r="H125" s="142" t="str">
        <f>'Proposed Lighting'!CP122</f>
        <v/>
      </c>
      <c r="I125" s="98">
        <v>1</v>
      </c>
      <c r="J125" s="142">
        <f>'Proposed Lighting'!AA122</f>
        <v>0</v>
      </c>
      <c r="K125" s="142" t="str">
        <f>IF(ISNUMBER(SEARCH("-C",'Proposed Lighting'!M122)),'Proposed Lighting'!AH122*0.9,'Proposed Lighting'!AH122)</f>
        <v/>
      </c>
      <c r="L125" s="142">
        <f>IFERROR(IF(OR('Proposed Lighting'!BC122=22,'Proposed Lighting'!BC122=44),1-25%,IF(OR('Proposed Lighting'!BC122=23,'Proposed Lighting'!BC122=46),1-30%,IF(OR('Proposed Lighting'!BC122=29,'Proposed Lighting'!BC122=39,'Proposed Lighting'!BC122=49),1-35%,IF(OR('Proposed Lighting'!BC122=24,'Proposed Lighting'!BC122=48),1-50%,IF(AND(ISNUMBER(SEARCH("-C",'Proposed Lighting'!M122)),'Proposed Lighting'!AU122=2),90%,100%)))))*'Proposed Lighting'!AH122,0)</f>
        <v>0</v>
      </c>
      <c r="M125" s="87">
        <f t="shared" si="15"/>
        <v>0</v>
      </c>
      <c r="N125" s="87">
        <f>IFERROR(IF('Proposed Lighting'!AU122=1,0,'Proposed Lighting'!AO122),0)</f>
        <v>0</v>
      </c>
      <c r="O125" s="88">
        <f>IF('Proposed Lighting'!AU122=1,0,'Proposed Lighting'!AP122)</f>
        <v>0</v>
      </c>
      <c r="P125" s="87">
        <f t="shared" si="16"/>
        <v>0</v>
      </c>
      <c r="Q125" s="98">
        <f t="shared" si="25"/>
        <v>0</v>
      </c>
      <c r="R125" s="99">
        <f>IFERROR(IF('Proposed Lighting'!T122="Lighting controls only",0,ROUND(IF('Proposed Lighting'!AQ122&lt;'Proposed Lighting'!AR122,0,IF('Proposed Lighting'!AH122=0,0,IF('Proposed Lighting'!BV122&gt;0,'Proposed Lighting'!BV122,IF('Proposed Lighting'!CL122=0,MIN('Proposed Lighting'!CN122:CO122),IF('Proposed Lighting'!CX122&gt;0,'Proposed Lighting'!CX122*'Proposed Lighting'!AA122,0))))),2)),0)</f>
        <v>0</v>
      </c>
      <c r="S125" s="99">
        <f>IF('Proposed Lighting'!AJ122&gt;0,'Proposed Lighting'!AJ122*J125,'Proposed Lighting'!$AU$328*J125)</f>
        <v>0</v>
      </c>
      <c r="T125" s="602">
        <f t="shared" si="17"/>
        <v>0</v>
      </c>
      <c r="U125" s="100"/>
      <c r="V125" s="99">
        <f t="shared" si="18"/>
        <v>0</v>
      </c>
      <c r="W125" s="99">
        <f t="shared" si="19"/>
        <v>0</v>
      </c>
      <c r="X125" s="99">
        <f t="shared" si="20"/>
        <v>0</v>
      </c>
      <c r="Y125" s="99"/>
      <c r="Z125" s="99">
        <f t="shared" si="26"/>
        <v>0</v>
      </c>
      <c r="AA125" s="99"/>
      <c r="AB125" s="99">
        <f t="shared" si="21"/>
        <v>0</v>
      </c>
      <c r="AC125" s="101" t="str">
        <f t="shared" si="22"/>
        <v/>
      </c>
      <c r="AD125" s="101" t="str">
        <f t="shared" si="23"/>
        <v/>
      </c>
      <c r="AE125" s="101" t="str">
        <f t="shared" si="24"/>
        <v/>
      </c>
      <c r="AF125" s="72"/>
      <c r="AG125" s="98">
        <f>IFERROR(IF($AV125="No",0,IF($AV125="yes",Summary!Q125,"")),"")</f>
        <v>0</v>
      </c>
      <c r="AH125" s="99">
        <f>IFERROR(IF($AV125="No",0,IF($AV125="yes",Summary!R125,"")),"")</f>
        <v>0</v>
      </c>
      <c r="AI125" s="99">
        <f>IFERROR(IF($AV125="No",0,IF($AV125="yes",Summary!S125,"")),"")</f>
        <v>0</v>
      </c>
      <c r="AJ125" s="602">
        <f>IFERROR(IF($AV125="No",0,IF($AV125="yes",Summary!T125,"")),"")</f>
        <v>0</v>
      </c>
      <c r="AK125" s="100">
        <f>IFERROR(IF($AV125="No",0,IF($AV125="yes",Summary!U125,"")),"")</f>
        <v>0</v>
      </c>
      <c r="AL125" s="99">
        <f>IFERROR(IF($AV125="No",0,IF($AV125="yes",Summary!V125,"")),"")</f>
        <v>0</v>
      </c>
      <c r="AM125" s="99">
        <f>IFERROR(IF($AV125="No",0,IF($AV125="yes",Summary!W125,"")),"")</f>
        <v>0</v>
      </c>
      <c r="AN125" s="99">
        <f>IFERROR(IF($AV125="No",0,IF($AV125="yes",Summary!X125,"")),"")</f>
        <v>0</v>
      </c>
      <c r="AO125" s="99">
        <f>IFERROR(IF($AV125="No",0,IF($AV125="yes",Summary!Y125+Z125,"")),"")</f>
        <v>0</v>
      </c>
      <c r="AP125" s="99">
        <f>IFERROR(IF($AV125="No",0,IF($AV125="yes",Summary!AB125,"")),"")</f>
        <v>0</v>
      </c>
      <c r="AQ125" s="101" t="str">
        <f t="shared" si="27"/>
        <v/>
      </c>
      <c r="AR125" s="101" t="str">
        <f t="shared" si="28"/>
        <v/>
      </c>
      <c r="AS125" s="101" t="str">
        <f t="shared" si="29"/>
        <v/>
      </c>
      <c r="AT125" s="96" t="s">
        <v>539</v>
      </c>
      <c r="AV125" t="str">
        <f>IF('Proposed Lighting'!CN122&gt;0,"No","Yes")</f>
        <v>Yes</v>
      </c>
    </row>
    <row r="126" spans="1:48" ht="34.5" customHeight="1" outlineLevel="1">
      <c r="A126" s="96" t="s">
        <v>540</v>
      </c>
      <c r="B126" s="96" t="str">
        <f>IF(ISNUMBER(SEARCH("case",E126)),"COM_MISC_REFR_ALL_UNKN1991",IF('Proposed Lighting'!AU123=3,"Commercial-All Com-ExtLight",IF('Proposed Lighting'!AH123&gt;8759,"IPC_8760","Commercial-All Com-IntLight")))</f>
        <v>IPC_8760</v>
      </c>
      <c r="C126" s="96" t="str">
        <f>IF(OR('Proposed Lighting'!DD123="Standard Incentive",'Proposed Lighting'!DD123="Non-Standard Incentive"),"Yes",IF(AND(IF(ISNUMBER(SEARCH("controls",'Proposed Lighting'!T123)),"True","False")="False",'Proposed Lighting'!DD123="Submit Control as Non-Standard"),"Yes","No"))</f>
        <v>No</v>
      </c>
      <c r="D126" s="1403">
        <f>'Proposed Lighting'!CV123-Q126</f>
        <v>0</v>
      </c>
      <c r="E126" s="143">
        <f>'Proposed Lighting'!T123</f>
        <v>0</v>
      </c>
      <c r="F126" s="143">
        <f>'Proposed Lighting'!F123</f>
        <v>0</v>
      </c>
      <c r="G126" s="96" t="s">
        <v>242</v>
      </c>
      <c r="H126" s="142" t="str">
        <f>'Proposed Lighting'!CP123</f>
        <v/>
      </c>
      <c r="I126" s="98">
        <v>1</v>
      </c>
      <c r="J126" s="142">
        <f>'Proposed Lighting'!AA123</f>
        <v>0</v>
      </c>
      <c r="K126" s="142" t="str">
        <f>IF(ISNUMBER(SEARCH("-C",'Proposed Lighting'!M123)),'Proposed Lighting'!AH123*0.9,'Proposed Lighting'!AH123)</f>
        <v/>
      </c>
      <c r="L126" s="142">
        <f>IFERROR(IF(OR('Proposed Lighting'!BC123=22,'Proposed Lighting'!BC123=44),1-25%,IF(OR('Proposed Lighting'!BC123=23,'Proposed Lighting'!BC123=46),1-30%,IF(OR('Proposed Lighting'!BC123=29,'Proposed Lighting'!BC123=39,'Proposed Lighting'!BC123=49),1-35%,IF(OR('Proposed Lighting'!BC123=24,'Proposed Lighting'!BC123=48),1-50%,IF(AND(ISNUMBER(SEARCH("-C",'Proposed Lighting'!M123)),'Proposed Lighting'!AU123=2),90%,100%)))))*'Proposed Lighting'!AH123,0)</f>
        <v>0</v>
      </c>
      <c r="M126" s="87">
        <f t="shared" si="15"/>
        <v>0</v>
      </c>
      <c r="N126" s="87">
        <f>IFERROR(IF('Proposed Lighting'!AU123=1,0,'Proposed Lighting'!AO123),0)</f>
        <v>0</v>
      </c>
      <c r="O126" s="88">
        <f>IF('Proposed Lighting'!AU123=1,0,'Proposed Lighting'!AP123)</f>
        <v>0</v>
      </c>
      <c r="P126" s="87">
        <f t="shared" si="16"/>
        <v>0</v>
      </c>
      <c r="Q126" s="98">
        <f t="shared" si="25"/>
        <v>0</v>
      </c>
      <c r="R126" s="99">
        <f>IFERROR(IF('Proposed Lighting'!T123="Lighting controls only",0,ROUND(IF('Proposed Lighting'!AQ123&lt;'Proposed Lighting'!AR123,0,IF('Proposed Lighting'!AH123=0,0,IF('Proposed Lighting'!BV123&gt;0,'Proposed Lighting'!BV123,IF('Proposed Lighting'!CL123=0,MIN('Proposed Lighting'!CN123:CO123),IF('Proposed Lighting'!CX123&gt;0,'Proposed Lighting'!CX123*'Proposed Lighting'!AA123,0))))),2)),0)</f>
        <v>0</v>
      </c>
      <c r="S126" s="99">
        <f>IF('Proposed Lighting'!AJ123&gt;0,'Proposed Lighting'!AJ123*J126,'Proposed Lighting'!$AU$328*J126)</f>
        <v>0</v>
      </c>
      <c r="T126" s="602">
        <f t="shared" si="17"/>
        <v>0</v>
      </c>
      <c r="U126" s="100"/>
      <c r="V126" s="99">
        <f t="shared" si="18"/>
        <v>0</v>
      </c>
      <c r="W126" s="99">
        <f t="shared" si="19"/>
        <v>0</v>
      </c>
      <c r="X126" s="99">
        <f t="shared" si="20"/>
        <v>0</v>
      </c>
      <c r="Y126" s="99"/>
      <c r="Z126" s="99">
        <f t="shared" si="26"/>
        <v>0</v>
      </c>
      <c r="AA126" s="99"/>
      <c r="AB126" s="99">
        <f t="shared" si="21"/>
        <v>0</v>
      </c>
      <c r="AC126" s="101" t="str">
        <f t="shared" si="22"/>
        <v/>
      </c>
      <c r="AD126" s="101" t="str">
        <f t="shared" si="23"/>
        <v/>
      </c>
      <c r="AE126" s="101" t="str">
        <f t="shared" si="24"/>
        <v/>
      </c>
      <c r="AF126" s="72"/>
      <c r="AG126" s="98">
        <f>IFERROR(IF($AV126="No",0,IF($AV126="yes",Summary!Q126,"")),"")</f>
        <v>0</v>
      </c>
      <c r="AH126" s="99">
        <f>IFERROR(IF($AV126="No",0,IF($AV126="yes",Summary!R126,"")),"")</f>
        <v>0</v>
      </c>
      <c r="AI126" s="99">
        <f>IFERROR(IF($AV126="No",0,IF($AV126="yes",Summary!S126,"")),"")</f>
        <v>0</v>
      </c>
      <c r="AJ126" s="602">
        <f>IFERROR(IF($AV126="No",0,IF($AV126="yes",Summary!T126,"")),"")</f>
        <v>0</v>
      </c>
      <c r="AK126" s="100">
        <f>IFERROR(IF($AV126="No",0,IF($AV126="yes",Summary!U126,"")),"")</f>
        <v>0</v>
      </c>
      <c r="AL126" s="99">
        <f>IFERROR(IF($AV126="No",0,IF($AV126="yes",Summary!V126,"")),"")</f>
        <v>0</v>
      </c>
      <c r="AM126" s="99">
        <f>IFERROR(IF($AV126="No",0,IF($AV126="yes",Summary!W126,"")),"")</f>
        <v>0</v>
      </c>
      <c r="AN126" s="99">
        <f>IFERROR(IF($AV126="No",0,IF($AV126="yes",Summary!X126,"")),"")</f>
        <v>0</v>
      </c>
      <c r="AO126" s="99">
        <f>IFERROR(IF($AV126="No",0,IF($AV126="yes",Summary!Y126+Z126,"")),"")</f>
        <v>0</v>
      </c>
      <c r="AP126" s="99">
        <f>IFERROR(IF($AV126="No",0,IF($AV126="yes",Summary!AB126,"")),"")</f>
        <v>0</v>
      </c>
      <c r="AQ126" s="101" t="str">
        <f t="shared" si="27"/>
        <v/>
      </c>
      <c r="AR126" s="101" t="str">
        <f t="shared" si="28"/>
        <v/>
      </c>
      <c r="AS126" s="101" t="str">
        <f t="shared" si="29"/>
        <v/>
      </c>
      <c r="AT126" s="96" t="s">
        <v>540</v>
      </c>
      <c r="AV126" t="str">
        <f>IF('Proposed Lighting'!CN123&gt;0,"No","Yes")</f>
        <v>Yes</v>
      </c>
    </row>
    <row r="127" spans="1:48" ht="34.5" customHeight="1" outlineLevel="1">
      <c r="A127" s="96" t="s">
        <v>541</v>
      </c>
      <c r="B127" s="96" t="str">
        <f>IF(ISNUMBER(SEARCH("case",E127)),"COM_MISC_REFR_ALL_UNKN1991",IF('Proposed Lighting'!AU124=3,"Commercial-All Com-ExtLight",IF('Proposed Lighting'!AH124&gt;8759,"IPC_8760","Commercial-All Com-IntLight")))</f>
        <v>IPC_8760</v>
      </c>
      <c r="C127" s="96" t="str">
        <f>IF(OR('Proposed Lighting'!DD124="Standard Incentive",'Proposed Lighting'!DD124="Non-Standard Incentive"),"Yes",IF(AND(IF(ISNUMBER(SEARCH("controls",'Proposed Lighting'!T124)),"True","False")="False",'Proposed Lighting'!DD124="Submit Control as Non-Standard"),"Yes","No"))</f>
        <v>No</v>
      </c>
      <c r="D127" s="1403">
        <f>'Proposed Lighting'!CV124-Q127</f>
        <v>0</v>
      </c>
      <c r="E127" s="143">
        <f>'Proposed Lighting'!T124</f>
        <v>0</v>
      </c>
      <c r="F127" s="143">
        <f>'Proposed Lighting'!F124</f>
        <v>0</v>
      </c>
      <c r="G127" s="96" t="s">
        <v>242</v>
      </c>
      <c r="H127" s="142" t="str">
        <f>'Proposed Lighting'!CP124</f>
        <v/>
      </c>
      <c r="I127" s="98">
        <v>1</v>
      </c>
      <c r="J127" s="142">
        <f>'Proposed Lighting'!AA124</f>
        <v>0</v>
      </c>
      <c r="K127" s="142" t="str">
        <f>IF(ISNUMBER(SEARCH("-C",'Proposed Lighting'!M124)),'Proposed Lighting'!AH124*0.9,'Proposed Lighting'!AH124)</f>
        <v/>
      </c>
      <c r="L127" s="142">
        <f>IFERROR(IF(OR('Proposed Lighting'!BC124=22,'Proposed Lighting'!BC124=44),1-25%,IF(OR('Proposed Lighting'!BC124=23,'Proposed Lighting'!BC124=46),1-30%,IF(OR('Proposed Lighting'!BC124=29,'Proposed Lighting'!BC124=39,'Proposed Lighting'!BC124=49),1-35%,IF(OR('Proposed Lighting'!BC124=24,'Proposed Lighting'!BC124=48),1-50%,IF(AND(ISNUMBER(SEARCH("-C",'Proposed Lighting'!M124)),'Proposed Lighting'!AU124=2),90%,100%)))))*'Proposed Lighting'!AH124,0)</f>
        <v>0</v>
      </c>
      <c r="M127" s="87">
        <f t="shared" si="15"/>
        <v>0</v>
      </c>
      <c r="N127" s="87">
        <f>IFERROR(IF('Proposed Lighting'!AU124=1,0,'Proposed Lighting'!AO124),0)</f>
        <v>0</v>
      </c>
      <c r="O127" s="88">
        <f>IF('Proposed Lighting'!AU124=1,0,'Proposed Lighting'!AP124)</f>
        <v>0</v>
      </c>
      <c r="P127" s="87">
        <f t="shared" si="16"/>
        <v>0</v>
      </c>
      <c r="Q127" s="98">
        <f t="shared" si="25"/>
        <v>0</v>
      </c>
      <c r="R127" s="99">
        <f>IFERROR(IF('Proposed Lighting'!T124="Lighting controls only",0,ROUND(IF('Proposed Lighting'!AQ124&lt;'Proposed Lighting'!AR124,0,IF('Proposed Lighting'!AH124=0,0,IF('Proposed Lighting'!BV124&gt;0,'Proposed Lighting'!BV124,IF('Proposed Lighting'!CL124=0,MIN('Proposed Lighting'!CN124:CO124),IF('Proposed Lighting'!CX124&gt;0,'Proposed Lighting'!CX124*'Proposed Lighting'!AA124,0))))),2)),0)</f>
        <v>0</v>
      </c>
      <c r="S127" s="99">
        <f>IF('Proposed Lighting'!AJ124&gt;0,'Proposed Lighting'!AJ124*J127,'Proposed Lighting'!$AU$328*J127)</f>
        <v>0</v>
      </c>
      <c r="T127" s="602">
        <f t="shared" si="17"/>
        <v>0</v>
      </c>
      <c r="U127" s="100"/>
      <c r="V127" s="99">
        <f t="shared" si="18"/>
        <v>0</v>
      </c>
      <c r="W127" s="99">
        <f t="shared" si="19"/>
        <v>0</v>
      </c>
      <c r="X127" s="99">
        <f t="shared" si="20"/>
        <v>0</v>
      </c>
      <c r="Y127" s="99"/>
      <c r="Z127" s="99">
        <f t="shared" si="26"/>
        <v>0</v>
      </c>
      <c r="AA127" s="99"/>
      <c r="AB127" s="99">
        <f t="shared" si="21"/>
        <v>0</v>
      </c>
      <c r="AC127" s="101" t="str">
        <f t="shared" si="22"/>
        <v/>
      </c>
      <c r="AD127" s="101" t="str">
        <f t="shared" si="23"/>
        <v/>
      </c>
      <c r="AE127" s="101" t="str">
        <f t="shared" si="24"/>
        <v/>
      </c>
      <c r="AF127" s="72"/>
      <c r="AG127" s="98">
        <f>IFERROR(IF($AV127="No",0,IF($AV127="yes",Summary!Q127,"")),"")</f>
        <v>0</v>
      </c>
      <c r="AH127" s="99">
        <f>IFERROR(IF($AV127="No",0,IF($AV127="yes",Summary!R127,"")),"")</f>
        <v>0</v>
      </c>
      <c r="AI127" s="99">
        <f>IFERROR(IF($AV127="No",0,IF($AV127="yes",Summary!S127,"")),"")</f>
        <v>0</v>
      </c>
      <c r="AJ127" s="602">
        <f>IFERROR(IF($AV127="No",0,IF($AV127="yes",Summary!T127,"")),"")</f>
        <v>0</v>
      </c>
      <c r="AK127" s="100">
        <f>IFERROR(IF($AV127="No",0,IF($AV127="yes",Summary!U127,"")),"")</f>
        <v>0</v>
      </c>
      <c r="AL127" s="99">
        <f>IFERROR(IF($AV127="No",0,IF($AV127="yes",Summary!V127,"")),"")</f>
        <v>0</v>
      </c>
      <c r="AM127" s="99">
        <f>IFERROR(IF($AV127="No",0,IF($AV127="yes",Summary!W127,"")),"")</f>
        <v>0</v>
      </c>
      <c r="AN127" s="99">
        <f>IFERROR(IF($AV127="No",0,IF($AV127="yes",Summary!X127,"")),"")</f>
        <v>0</v>
      </c>
      <c r="AO127" s="99">
        <f>IFERROR(IF($AV127="No",0,IF($AV127="yes",Summary!Y127+Z127,"")),"")</f>
        <v>0</v>
      </c>
      <c r="AP127" s="99">
        <f>IFERROR(IF($AV127="No",0,IF($AV127="yes",Summary!AB127,"")),"")</f>
        <v>0</v>
      </c>
      <c r="AQ127" s="101" t="str">
        <f t="shared" si="27"/>
        <v/>
      </c>
      <c r="AR127" s="101" t="str">
        <f t="shared" si="28"/>
        <v/>
      </c>
      <c r="AS127" s="101" t="str">
        <f t="shared" si="29"/>
        <v/>
      </c>
      <c r="AT127" s="96" t="s">
        <v>541</v>
      </c>
      <c r="AV127" t="str">
        <f>IF('Proposed Lighting'!CN124&gt;0,"No","Yes")</f>
        <v>Yes</v>
      </c>
    </row>
    <row r="128" spans="1:48" ht="34.5" customHeight="1" outlineLevel="1">
      <c r="A128" s="96" t="s">
        <v>542</v>
      </c>
      <c r="B128" s="96" t="str">
        <f>IF(ISNUMBER(SEARCH("case",E128)),"COM_MISC_REFR_ALL_UNKN1991",IF('Proposed Lighting'!AU125=3,"Commercial-All Com-ExtLight",IF('Proposed Lighting'!AH125&gt;8759,"IPC_8760","Commercial-All Com-IntLight")))</f>
        <v>IPC_8760</v>
      </c>
      <c r="C128" s="96" t="str">
        <f>IF(OR('Proposed Lighting'!DD125="Standard Incentive",'Proposed Lighting'!DD125="Non-Standard Incentive"),"Yes",IF(AND(IF(ISNUMBER(SEARCH("controls",'Proposed Lighting'!T125)),"True","False")="False",'Proposed Lighting'!DD125="Submit Control as Non-Standard"),"Yes","No"))</f>
        <v>No</v>
      </c>
      <c r="D128" s="1403">
        <f>'Proposed Lighting'!CV125-Q128</f>
        <v>0</v>
      </c>
      <c r="E128" s="143">
        <f>'Proposed Lighting'!T125</f>
        <v>0</v>
      </c>
      <c r="F128" s="143">
        <f>'Proposed Lighting'!F125</f>
        <v>0</v>
      </c>
      <c r="G128" s="96" t="s">
        <v>242</v>
      </c>
      <c r="H128" s="142" t="str">
        <f>'Proposed Lighting'!CP125</f>
        <v/>
      </c>
      <c r="I128" s="98">
        <v>1</v>
      </c>
      <c r="J128" s="142">
        <f>'Proposed Lighting'!AA125</f>
        <v>0</v>
      </c>
      <c r="K128" s="142" t="str">
        <f>IF(ISNUMBER(SEARCH("-C",'Proposed Lighting'!M125)),'Proposed Lighting'!AH125*0.9,'Proposed Lighting'!AH125)</f>
        <v/>
      </c>
      <c r="L128" s="142">
        <f>IFERROR(IF(OR('Proposed Lighting'!BC125=22,'Proposed Lighting'!BC125=44),1-25%,IF(OR('Proposed Lighting'!BC125=23,'Proposed Lighting'!BC125=46),1-30%,IF(OR('Proposed Lighting'!BC125=29,'Proposed Lighting'!BC125=39,'Proposed Lighting'!BC125=49),1-35%,IF(OR('Proposed Lighting'!BC125=24,'Proposed Lighting'!BC125=48),1-50%,IF(AND(ISNUMBER(SEARCH("-C",'Proposed Lighting'!M125)),'Proposed Lighting'!AU125=2),90%,100%)))))*'Proposed Lighting'!AH125,0)</f>
        <v>0</v>
      </c>
      <c r="M128" s="87">
        <f t="shared" si="15"/>
        <v>0</v>
      </c>
      <c r="N128" s="87">
        <f>IFERROR(IF('Proposed Lighting'!AU125=1,0,'Proposed Lighting'!AO125),0)</f>
        <v>0</v>
      </c>
      <c r="O128" s="88">
        <f>IF('Proposed Lighting'!AU125=1,0,'Proposed Lighting'!AP125)</f>
        <v>0</v>
      </c>
      <c r="P128" s="87">
        <f t="shared" si="16"/>
        <v>0</v>
      </c>
      <c r="Q128" s="98">
        <f t="shared" si="25"/>
        <v>0</v>
      </c>
      <c r="R128" s="99">
        <f>IFERROR(IF('Proposed Lighting'!T125="Lighting controls only",0,ROUND(IF('Proposed Lighting'!AQ125&lt;'Proposed Lighting'!AR125,0,IF('Proposed Lighting'!AH125=0,0,IF('Proposed Lighting'!BV125&gt;0,'Proposed Lighting'!BV125,IF('Proposed Lighting'!CL125=0,MIN('Proposed Lighting'!CN125:CO125),IF('Proposed Lighting'!CX125&gt;0,'Proposed Lighting'!CX125*'Proposed Lighting'!AA125,0))))),2)),0)</f>
        <v>0</v>
      </c>
      <c r="S128" s="99">
        <f>IF('Proposed Lighting'!AJ125&gt;0,'Proposed Lighting'!AJ125*J128,'Proposed Lighting'!$AU$328*J128)</f>
        <v>0</v>
      </c>
      <c r="T128" s="602">
        <f t="shared" si="17"/>
        <v>0</v>
      </c>
      <c r="U128" s="100"/>
      <c r="V128" s="99">
        <f t="shared" si="18"/>
        <v>0</v>
      </c>
      <c r="W128" s="99">
        <f t="shared" si="19"/>
        <v>0</v>
      </c>
      <c r="X128" s="99">
        <f t="shared" si="20"/>
        <v>0</v>
      </c>
      <c r="Y128" s="99"/>
      <c r="Z128" s="99">
        <f t="shared" si="26"/>
        <v>0</v>
      </c>
      <c r="AA128" s="99"/>
      <c r="AB128" s="99">
        <f t="shared" si="21"/>
        <v>0</v>
      </c>
      <c r="AC128" s="101" t="str">
        <f t="shared" si="22"/>
        <v/>
      </c>
      <c r="AD128" s="101" t="str">
        <f t="shared" si="23"/>
        <v/>
      </c>
      <c r="AE128" s="101" t="str">
        <f t="shared" si="24"/>
        <v/>
      </c>
      <c r="AF128" s="72"/>
      <c r="AG128" s="98">
        <f>IFERROR(IF($AV128="No",0,IF($AV128="yes",Summary!Q128,"")),"")</f>
        <v>0</v>
      </c>
      <c r="AH128" s="99">
        <f>IFERROR(IF($AV128="No",0,IF($AV128="yes",Summary!R128,"")),"")</f>
        <v>0</v>
      </c>
      <c r="AI128" s="99">
        <f>IFERROR(IF($AV128="No",0,IF($AV128="yes",Summary!S128,"")),"")</f>
        <v>0</v>
      </c>
      <c r="AJ128" s="602">
        <f>IFERROR(IF($AV128="No",0,IF($AV128="yes",Summary!T128,"")),"")</f>
        <v>0</v>
      </c>
      <c r="AK128" s="100">
        <f>IFERROR(IF($AV128="No",0,IF($AV128="yes",Summary!U128,"")),"")</f>
        <v>0</v>
      </c>
      <c r="AL128" s="99">
        <f>IFERROR(IF($AV128="No",0,IF($AV128="yes",Summary!V128,"")),"")</f>
        <v>0</v>
      </c>
      <c r="AM128" s="99">
        <f>IFERROR(IF($AV128="No",0,IF($AV128="yes",Summary!W128,"")),"")</f>
        <v>0</v>
      </c>
      <c r="AN128" s="99">
        <f>IFERROR(IF($AV128="No",0,IF($AV128="yes",Summary!X128,"")),"")</f>
        <v>0</v>
      </c>
      <c r="AO128" s="99">
        <f>IFERROR(IF($AV128="No",0,IF($AV128="yes",Summary!Y128+Z128,"")),"")</f>
        <v>0</v>
      </c>
      <c r="AP128" s="99">
        <f>IFERROR(IF($AV128="No",0,IF($AV128="yes",Summary!AB128,"")),"")</f>
        <v>0</v>
      </c>
      <c r="AQ128" s="101" t="str">
        <f t="shared" si="27"/>
        <v/>
      </c>
      <c r="AR128" s="101" t="str">
        <f t="shared" si="28"/>
        <v/>
      </c>
      <c r="AS128" s="101" t="str">
        <f t="shared" si="29"/>
        <v/>
      </c>
      <c r="AT128" s="96" t="s">
        <v>542</v>
      </c>
      <c r="AV128" t="str">
        <f>IF('Proposed Lighting'!CN125&gt;0,"No","Yes")</f>
        <v>Yes</v>
      </c>
    </row>
    <row r="129" spans="1:48" ht="34.5" customHeight="1" outlineLevel="1">
      <c r="A129" s="96" t="s">
        <v>543</v>
      </c>
      <c r="B129" s="96" t="str">
        <f>IF(ISNUMBER(SEARCH("case",E129)),"COM_MISC_REFR_ALL_UNKN1991",IF('Proposed Lighting'!AU126=3,"Commercial-All Com-ExtLight",IF('Proposed Lighting'!AH126&gt;8759,"IPC_8760","Commercial-All Com-IntLight")))</f>
        <v>IPC_8760</v>
      </c>
      <c r="C129" s="96" t="str">
        <f>IF(OR('Proposed Lighting'!DD126="Standard Incentive",'Proposed Lighting'!DD126="Non-Standard Incentive"),"Yes",IF(AND(IF(ISNUMBER(SEARCH("controls",'Proposed Lighting'!T126)),"True","False")="False",'Proposed Lighting'!DD126="Submit Control as Non-Standard"),"Yes","No"))</f>
        <v>No</v>
      </c>
      <c r="D129" s="1403">
        <f>'Proposed Lighting'!CV126-Q129</f>
        <v>0</v>
      </c>
      <c r="E129" s="143">
        <f>'Proposed Lighting'!T126</f>
        <v>0</v>
      </c>
      <c r="F129" s="143">
        <f>'Proposed Lighting'!F126</f>
        <v>0</v>
      </c>
      <c r="G129" s="96" t="s">
        <v>242</v>
      </c>
      <c r="H129" s="142" t="str">
        <f>'Proposed Lighting'!CP126</f>
        <v/>
      </c>
      <c r="I129" s="98">
        <v>1</v>
      </c>
      <c r="J129" s="142">
        <f>'Proposed Lighting'!AA126</f>
        <v>0</v>
      </c>
      <c r="K129" s="142" t="str">
        <f>IF(ISNUMBER(SEARCH("-C",'Proposed Lighting'!M126)),'Proposed Lighting'!AH126*0.9,'Proposed Lighting'!AH126)</f>
        <v/>
      </c>
      <c r="L129" s="142">
        <f>IFERROR(IF(OR('Proposed Lighting'!BC126=22,'Proposed Lighting'!BC126=44),1-25%,IF(OR('Proposed Lighting'!BC126=23,'Proposed Lighting'!BC126=46),1-30%,IF(OR('Proposed Lighting'!BC126=29,'Proposed Lighting'!BC126=39,'Proposed Lighting'!BC126=49),1-35%,IF(OR('Proposed Lighting'!BC126=24,'Proposed Lighting'!BC126=48),1-50%,IF(AND(ISNUMBER(SEARCH("-C",'Proposed Lighting'!M126)),'Proposed Lighting'!AU126=2),90%,100%)))))*'Proposed Lighting'!AH126,0)</f>
        <v>0</v>
      </c>
      <c r="M129" s="87">
        <f t="shared" si="15"/>
        <v>0</v>
      </c>
      <c r="N129" s="87">
        <f>IFERROR(IF('Proposed Lighting'!AU126=1,0,'Proposed Lighting'!AO126),0)</f>
        <v>0</v>
      </c>
      <c r="O129" s="88">
        <f>IF('Proposed Lighting'!AU126=1,0,'Proposed Lighting'!AP126)</f>
        <v>0</v>
      </c>
      <c r="P129" s="87">
        <f t="shared" si="16"/>
        <v>0</v>
      </c>
      <c r="Q129" s="98">
        <f t="shared" si="25"/>
        <v>0</v>
      </c>
      <c r="R129" s="99">
        <f>IFERROR(IF('Proposed Lighting'!T126="Lighting controls only",0,ROUND(IF('Proposed Lighting'!AQ126&lt;'Proposed Lighting'!AR126,0,IF('Proposed Lighting'!AH126=0,0,IF('Proposed Lighting'!BV126&gt;0,'Proposed Lighting'!BV126,IF('Proposed Lighting'!CL126=0,MIN('Proposed Lighting'!CN126:CO126),IF('Proposed Lighting'!CX126&gt;0,'Proposed Lighting'!CX126*'Proposed Lighting'!AA126,0))))),2)),0)</f>
        <v>0</v>
      </c>
      <c r="S129" s="99">
        <f>IF('Proposed Lighting'!AJ126&gt;0,'Proposed Lighting'!AJ126*J129,'Proposed Lighting'!$AU$328*J129)</f>
        <v>0</v>
      </c>
      <c r="T129" s="602">
        <f t="shared" si="17"/>
        <v>0</v>
      </c>
      <c r="U129" s="100"/>
      <c r="V129" s="99">
        <f t="shared" si="18"/>
        <v>0</v>
      </c>
      <c r="W129" s="99">
        <f t="shared" si="19"/>
        <v>0</v>
      </c>
      <c r="X129" s="99">
        <f t="shared" si="20"/>
        <v>0</v>
      </c>
      <c r="Y129" s="99"/>
      <c r="Z129" s="99">
        <f t="shared" si="26"/>
        <v>0</v>
      </c>
      <c r="AA129" s="99"/>
      <c r="AB129" s="99">
        <f t="shared" si="21"/>
        <v>0</v>
      </c>
      <c r="AC129" s="101" t="str">
        <f t="shared" si="22"/>
        <v/>
      </c>
      <c r="AD129" s="101" t="str">
        <f t="shared" si="23"/>
        <v/>
      </c>
      <c r="AE129" s="101" t="str">
        <f t="shared" si="24"/>
        <v/>
      </c>
      <c r="AF129" s="72"/>
      <c r="AG129" s="98">
        <f>IFERROR(IF($AV129="No",0,IF($AV129="yes",Summary!Q129,"")),"")</f>
        <v>0</v>
      </c>
      <c r="AH129" s="99">
        <f>IFERROR(IF($AV129="No",0,IF($AV129="yes",Summary!R129,"")),"")</f>
        <v>0</v>
      </c>
      <c r="AI129" s="99">
        <f>IFERROR(IF($AV129="No",0,IF($AV129="yes",Summary!S129,"")),"")</f>
        <v>0</v>
      </c>
      <c r="AJ129" s="602">
        <f>IFERROR(IF($AV129="No",0,IF($AV129="yes",Summary!T129,"")),"")</f>
        <v>0</v>
      </c>
      <c r="AK129" s="100">
        <f>IFERROR(IF($AV129="No",0,IF($AV129="yes",Summary!U129,"")),"")</f>
        <v>0</v>
      </c>
      <c r="AL129" s="99">
        <f>IFERROR(IF($AV129="No",0,IF($AV129="yes",Summary!V129,"")),"")</f>
        <v>0</v>
      </c>
      <c r="AM129" s="99">
        <f>IFERROR(IF($AV129="No",0,IF($AV129="yes",Summary!W129,"")),"")</f>
        <v>0</v>
      </c>
      <c r="AN129" s="99">
        <f>IFERROR(IF($AV129="No",0,IF($AV129="yes",Summary!X129,"")),"")</f>
        <v>0</v>
      </c>
      <c r="AO129" s="99">
        <f>IFERROR(IF($AV129="No",0,IF($AV129="yes",Summary!Y129+Z129,"")),"")</f>
        <v>0</v>
      </c>
      <c r="AP129" s="99">
        <f>IFERROR(IF($AV129="No",0,IF($AV129="yes",Summary!AB129,"")),"")</f>
        <v>0</v>
      </c>
      <c r="AQ129" s="101" t="str">
        <f t="shared" si="27"/>
        <v/>
      </c>
      <c r="AR129" s="101" t="str">
        <f t="shared" si="28"/>
        <v/>
      </c>
      <c r="AS129" s="101" t="str">
        <f t="shared" si="29"/>
        <v/>
      </c>
      <c r="AT129" s="96" t="s">
        <v>543</v>
      </c>
      <c r="AV129" t="str">
        <f>IF('Proposed Lighting'!CN126&gt;0,"No","Yes")</f>
        <v>Yes</v>
      </c>
    </row>
    <row r="130" spans="1:48" ht="34.5" customHeight="1" outlineLevel="1">
      <c r="A130" s="96" t="s">
        <v>544</v>
      </c>
      <c r="B130" s="96" t="str">
        <f>IF(ISNUMBER(SEARCH("case",E130)),"COM_MISC_REFR_ALL_UNKN1991",IF('Proposed Lighting'!AU127=3,"Commercial-All Com-ExtLight",IF('Proposed Lighting'!AH127&gt;8759,"IPC_8760","Commercial-All Com-IntLight")))</f>
        <v>IPC_8760</v>
      </c>
      <c r="C130" s="96" t="str">
        <f>IF(OR('Proposed Lighting'!DD127="Standard Incentive",'Proposed Lighting'!DD127="Non-Standard Incentive"),"Yes",IF(AND(IF(ISNUMBER(SEARCH("controls",'Proposed Lighting'!T127)),"True","False")="False",'Proposed Lighting'!DD127="Submit Control as Non-Standard"),"Yes","No"))</f>
        <v>No</v>
      </c>
      <c r="D130" s="1403">
        <f>'Proposed Lighting'!CV127-Q130</f>
        <v>0</v>
      </c>
      <c r="E130" s="143">
        <f>'Proposed Lighting'!T127</f>
        <v>0</v>
      </c>
      <c r="F130" s="143">
        <f>'Proposed Lighting'!F127</f>
        <v>0</v>
      </c>
      <c r="G130" s="96" t="s">
        <v>242</v>
      </c>
      <c r="H130" s="142" t="str">
        <f>'Proposed Lighting'!CP127</f>
        <v/>
      </c>
      <c r="I130" s="98">
        <v>1</v>
      </c>
      <c r="J130" s="142">
        <f>'Proposed Lighting'!AA127</f>
        <v>0</v>
      </c>
      <c r="K130" s="142" t="str">
        <f>IF(ISNUMBER(SEARCH("-C",'Proposed Lighting'!M127)),'Proposed Lighting'!AH127*0.9,'Proposed Lighting'!AH127)</f>
        <v/>
      </c>
      <c r="L130" s="142">
        <f>IFERROR(IF(OR('Proposed Lighting'!BC127=22,'Proposed Lighting'!BC127=44),1-25%,IF(OR('Proposed Lighting'!BC127=23,'Proposed Lighting'!BC127=46),1-30%,IF(OR('Proposed Lighting'!BC127=29,'Proposed Lighting'!BC127=39,'Proposed Lighting'!BC127=49),1-35%,IF(OR('Proposed Lighting'!BC127=24,'Proposed Lighting'!BC127=48),1-50%,IF(AND(ISNUMBER(SEARCH("-C",'Proposed Lighting'!M127)),'Proposed Lighting'!AU127=2),90%,100%)))))*'Proposed Lighting'!AH127,0)</f>
        <v>0</v>
      </c>
      <c r="M130" s="87">
        <f t="shared" si="15"/>
        <v>0</v>
      </c>
      <c r="N130" s="87">
        <f>IFERROR(IF('Proposed Lighting'!AU127=1,0,'Proposed Lighting'!AO127),0)</f>
        <v>0</v>
      </c>
      <c r="O130" s="88">
        <f>IF('Proposed Lighting'!AU127=1,0,'Proposed Lighting'!AP127)</f>
        <v>0</v>
      </c>
      <c r="P130" s="87">
        <f t="shared" si="16"/>
        <v>0</v>
      </c>
      <c r="Q130" s="98">
        <f t="shared" si="25"/>
        <v>0</v>
      </c>
      <c r="R130" s="99">
        <f>IFERROR(IF('Proposed Lighting'!T127="Lighting controls only",0,ROUND(IF('Proposed Lighting'!AQ127&lt;'Proposed Lighting'!AR127,0,IF('Proposed Lighting'!AH127=0,0,IF('Proposed Lighting'!BV127&gt;0,'Proposed Lighting'!BV127,IF('Proposed Lighting'!CL127=0,MIN('Proposed Lighting'!CN127:CO127),IF('Proposed Lighting'!CX127&gt;0,'Proposed Lighting'!CX127*'Proposed Lighting'!AA127,0))))),2)),0)</f>
        <v>0</v>
      </c>
      <c r="S130" s="99">
        <f>IF('Proposed Lighting'!AJ127&gt;0,'Proposed Lighting'!AJ127*J130,'Proposed Lighting'!$AU$328*J130)</f>
        <v>0</v>
      </c>
      <c r="T130" s="602">
        <f t="shared" si="17"/>
        <v>0</v>
      </c>
      <c r="U130" s="100"/>
      <c r="V130" s="99">
        <f t="shared" si="18"/>
        <v>0</v>
      </c>
      <c r="W130" s="99">
        <f t="shared" si="19"/>
        <v>0</v>
      </c>
      <c r="X130" s="99">
        <f t="shared" si="20"/>
        <v>0</v>
      </c>
      <c r="Y130" s="99"/>
      <c r="Z130" s="99">
        <f t="shared" si="26"/>
        <v>0</v>
      </c>
      <c r="AA130" s="99"/>
      <c r="AB130" s="99">
        <f t="shared" si="21"/>
        <v>0</v>
      </c>
      <c r="AC130" s="101" t="str">
        <f t="shared" si="22"/>
        <v/>
      </c>
      <c r="AD130" s="101" t="str">
        <f t="shared" si="23"/>
        <v/>
      </c>
      <c r="AE130" s="101" t="str">
        <f t="shared" si="24"/>
        <v/>
      </c>
      <c r="AF130" s="72"/>
      <c r="AG130" s="98">
        <f>IFERROR(IF($AV130="No",0,IF($AV130="yes",Summary!Q130,"")),"")</f>
        <v>0</v>
      </c>
      <c r="AH130" s="99">
        <f>IFERROR(IF($AV130="No",0,IF($AV130="yes",Summary!R130,"")),"")</f>
        <v>0</v>
      </c>
      <c r="AI130" s="99">
        <f>IFERROR(IF($AV130="No",0,IF($AV130="yes",Summary!S130,"")),"")</f>
        <v>0</v>
      </c>
      <c r="AJ130" s="602">
        <f>IFERROR(IF($AV130="No",0,IF($AV130="yes",Summary!T130,"")),"")</f>
        <v>0</v>
      </c>
      <c r="AK130" s="100">
        <f>IFERROR(IF($AV130="No",0,IF($AV130="yes",Summary!U130,"")),"")</f>
        <v>0</v>
      </c>
      <c r="AL130" s="99">
        <f>IFERROR(IF($AV130="No",0,IF($AV130="yes",Summary!V130,"")),"")</f>
        <v>0</v>
      </c>
      <c r="AM130" s="99">
        <f>IFERROR(IF($AV130="No",0,IF($AV130="yes",Summary!W130,"")),"")</f>
        <v>0</v>
      </c>
      <c r="AN130" s="99">
        <f>IFERROR(IF($AV130="No",0,IF($AV130="yes",Summary!X130,"")),"")</f>
        <v>0</v>
      </c>
      <c r="AO130" s="99">
        <f>IFERROR(IF($AV130="No",0,IF($AV130="yes",Summary!Y130+Z130,"")),"")</f>
        <v>0</v>
      </c>
      <c r="AP130" s="99">
        <f>IFERROR(IF($AV130="No",0,IF($AV130="yes",Summary!AB130,"")),"")</f>
        <v>0</v>
      </c>
      <c r="AQ130" s="101" t="str">
        <f t="shared" si="27"/>
        <v/>
      </c>
      <c r="AR130" s="101" t="str">
        <f t="shared" si="28"/>
        <v/>
      </c>
      <c r="AS130" s="101" t="str">
        <f t="shared" si="29"/>
        <v/>
      </c>
      <c r="AT130" s="96" t="s">
        <v>544</v>
      </c>
      <c r="AV130" t="str">
        <f>IF('Proposed Lighting'!CN127&gt;0,"No","Yes")</f>
        <v>Yes</v>
      </c>
    </row>
    <row r="131" spans="1:48" ht="34.5" customHeight="1" outlineLevel="1">
      <c r="A131" s="96" t="s">
        <v>545</v>
      </c>
      <c r="B131" s="96" t="str">
        <f>IF(ISNUMBER(SEARCH("case",E131)),"COM_MISC_REFR_ALL_UNKN1991",IF('Proposed Lighting'!AU128=3,"Commercial-All Com-ExtLight",IF('Proposed Lighting'!AH128&gt;8759,"IPC_8760","Commercial-All Com-IntLight")))</f>
        <v>IPC_8760</v>
      </c>
      <c r="C131" s="96" t="str">
        <f>IF(OR('Proposed Lighting'!DD128="Standard Incentive",'Proposed Lighting'!DD128="Non-Standard Incentive"),"Yes",IF(AND(IF(ISNUMBER(SEARCH("controls",'Proposed Lighting'!T128)),"True","False")="False",'Proposed Lighting'!DD128="Submit Control as Non-Standard"),"Yes","No"))</f>
        <v>No</v>
      </c>
      <c r="D131" s="1403">
        <f>'Proposed Lighting'!CV128-Q131</f>
        <v>0</v>
      </c>
      <c r="E131" s="143">
        <f>'Proposed Lighting'!T128</f>
        <v>0</v>
      </c>
      <c r="F131" s="143">
        <f>'Proposed Lighting'!F128</f>
        <v>0</v>
      </c>
      <c r="G131" s="96" t="s">
        <v>242</v>
      </c>
      <c r="H131" s="142" t="str">
        <f>'Proposed Lighting'!CP128</f>
        <v/>
      </c>
      <c r="I131" s="98">
        <v>1</v>
      </c>
      <c r="J131" s="142">
        <f>'Proposed Lighting'!AA128</f>
        <v>0</v>
      </c>
      <c r="K131" s="142" t="str">
        <f>IF(ISNUMBER(SEARCH("-C",'Proposed Lighting'!M128)),'Proposed Lighting'!AH128*0.9,'Proposed Lighting'!AH128)</f>
        <v/>
      </c>
      <c r="L131" s="142">
        <f>IFERROR(IF(OR('Proposed Lighting'!BC128=22,'Proposed Lighting'!BC128=44),1-25%,IF(OR('Proposed Lighting'!BC128=23,'Proposed Lighting'!BC128=46),1-30%,IF(OR('Proposed Lighting'!BC128=29,'Proposed Lighting'!BC128=39,'Proposed Lighting'!BC128=49),1-35%,IF(OR('Proposed Lighting'!BC128=24,'Proposed Lighting'!BC128=48),1-50%,IF(AND(ISNUMBER(SEARCH("-C",'Proposed Lighting'!M128)),'Proposed Lighting'!AU128=2),90%,100%)))))*'Proposed Lighting'!AH128,0)</f>
        <v>0</v>
      </c>
      <c r="M131" s="87">
        <f t="shared" si="15"/>
        <v>0</v>
      </c>
      <c r="N131" s="87">
        <f>IFERROR(IF('Proposed Lighting'!AU128=1,0,'Proposed Lighting'!AO128),0)</f>
        <v>0</v>
      </c>
      <c r="O131" s="88">
        <f>IF('Proposed Lighting'!AU128=1,0,'Proposed Lighting'!AP128)</f>
        <v>0</v>
      </c>
      <c r="P131" s="87">
        <f t="shared" si="16"/>
        <v>0</v>
      </c>
      <c r="Q131" s="98">
        <f t="shared" si="25"/>
        <v>0</v>
      </c>
      <c r="R131" s="99">
        <f>IFERROR(IF('Proposed Lighting'!T128="Lighting controls only",0,ROUND(IF('Proposed Lighting'!AQ128&lt;'Proposed Lighting'!AR128,0,IF('Proposed Lighting'!AH128=0,0,IF('Proposed Lighting'!BV128&gt;0,'Proposed Lighting'!BV128,IF('Proposed Lighting'!CL128=0,MIN('Proposed Lighting'!CN128:CO128),IF('Proposed Lighting'!CX128&gt;0,'Proposed Lighting'!CX128*'Proposed Lighting'!AA128,0))))),2)),0)</f>
        <v>0</v>
      </c>
      <c r="S131" s="99">
        <f>IF('Proposed Lighting'!AJ128&gt;0,'Proposed Lighting'!AJ128*J131,'Proposed Lighting'!$AU$328*J131)</f>
        <v>0</v>
      </c>
      <c r="T131" s="602">
        <f t="shared" si="17"/>
        <v>0</v>
      </c>
      <c r="U131" s="100"/>
      <c r="V131" s="99">
        <f t="shared" si="18"/>
        <v>0</v>
      </c>
      <c r="W131" s="99">
        <f t="shared" si="19"/>
        <v>0</v>
      </c>
      <c r="X131" s="99">
        <f t="shared" si="20"/>
        <v>0</v>
      </c>
      <c r="Y131" s="99"/>
      <c r="Z131" s="99">
        <f t="shared" si="26"/>
        <v>0</v>
      </c>
      <c r="AA131" s="99"/>
      <c r="AB131" s="99">
        <f t="shared" si="21"/>
        <v>0</v>
      </c>
      <c r="AC131" s="101" t="str">
        <f t="shared" si="22"/>
        <v/>
      </c>
      <c r="AD131" s="101" t="str">
        <f t="shared" si="23"/>
        <v/>
      </c>
      <c r="AE131" s="101" t="str">
        <f t="shared" si="24"/>
        <v/>
      </c>
      <c r="AF131" s="72"/>
      <c r="AG131" s="98">
        <f>IFERROR(IF($AV131="No",0,IF($AV131="yes",Summary!Q131,"")),"")</f>
        <v>0</v>
      </c>
      <c r="AH131" s="99">
        <f>IFERROR(IF($AV131="No",0,IF($AV131="yes",Summary!R131,"")),"")</f>
        <v>0</v>
      </c>
      <c r="AI131" s="99">
        <f>IFERROR(IF($AV131="No",0,IF($AV131="yes",Summary!S131,"")),"")</f>
        <v>0</v>
      </c>
      <c r="AJ131" s="602">
        <f>IFERROR(IF($AV131="No",0,IF($AV131="yes",Summary!T131,"")),"")</f>
        <v>0</v>
      </c>
      <c r="AK131" s="100">
        <f>IFERROR(IF($AV131="No",0,IF($AV131="yes",Summary!U131,"")),"")</f>
        <v>0</v>
      </c>
      <c r="AL131" s="99">
        <f>IFERROR(IF($AV131="No",0,IF($AV131="yes",Summary!V131,"")),"")</f>
        <v>0</v>
      </c>
      <c r="AM131" s="99">
        <f>IFERROR(IF($AV131="No",0,IF($AV131="yes",Summary!W131,"")),"")</f>
        <v>0</v>
      </c>
      <c r="AN131" s="99">
        <f>IFERROR(IF($AV131="No",0,IF($AV131="yes",Summary!X131,"")),"")</f>
        <v>0</v>
      </c>
      <c r="AO131" s="99">
        <f>IFERROR(IF($AV131="No",0,IF($AV131="yes",Summary!Y131+Z131,"")),"")</f>
        <v>0</v>
      </c>
      <c r="AP131" s="99">
        <f>IFERROR(IF($AV131="No",0,IF($AV131="yes",Summary!AB131,"")),"")</f>
        <v>0</v>
      </c>
      <c r="AQ131" s="101" t="str">
        <f t="shared" si="27"/>
        <v/>
      </c>
      <c r="AR131" s="101" t="str">
        <f t="shared" si="28"/>
        <v/>
      </c>
      <c r="AS131" s="101" t="str">
        <f t="shared" si="29"/>
        <v/>
      </c>
      <c r="AT131" s="96" t="s">
        <v>545</v>
      </c>
      <c r="AV131" t="str">
        <f>IF('Proposed Lighting'!CN128&gt;0,"No","Yes")</f>
        <v>Yes</v>
      </c>
    </row>
    <row r="132" spans="1:48" ht="34.5" customHeight="1" outlineLevel="1">
      <c r="A132" s="96" t="s">
        <v>546</v>
      </c>
      <c r="B132" s="96" t="str">
        <f>IF(ISNUMBER(SEARCH("case",E132)),"COM_MISC_REFR_ALL_UNKN1991",IF('Proposed Lighting'!AU129=3,"Commercial-All Com-ExtLight",IF('Proposed Lighting'!AH129&gt;8759,"IPC_8760","Commercial-All Com-IntLight")))</f>
        <v>IPC_8760</v>
      </c>
      <c r="C132" s="96" t="str">
        <f>IF(OR('Proposed Lighting'!DD129="Standard Incentive",'Proposed Lighting'!DD129="Non-Standard Incentive"),"Yes",IF(AND(IF(ISNUMBER(SEARCH("controls",'Proposed Lighting'!T129)),"True","False")="False",'Proposed Lighting'!DD129="Submit Control as Non-Standard"),"Yes","No"))</f>
        <v>No</v>
      </c>
      <c r="D132" s="1403">
        <f>'Proposed Lighting'!CV129-Q132</f>
        <v>0</v>
      </c>
      <c r="E132" s="143">
        <f>'Proposed Lighting'!T129</f>
        <v>0</v>
      </c>
      <c r="F132" s="143">
        <f>'Proposed Lighting'!F129</f>
        <v>0</v>
      </c>
      <c r="G132" s="96" t="s">
        <v>242</v>
      </c>
      <c r="H132" s="142" t="str">
        <f>'Proposed Lighting'!CP129</f>
        <v/>
      </c>
      <c r="I132" s="98">
        <v>1</v>
      </c>
      <c r="J132" s="142">
        <f>'Proposed Lighting'!AA129</f>
        <v>0</v>
      </c>
      <c r="K132" s="142" t="str">
        <f>IF(ISNUMBER(SEARCH("-C",'Proposed Lighting'!M129)),'Proposed Lighting'!AH129*0.9,'Proposed Lighting'!AH129)</f>
        <v/>
      </c>
      <c r="L132" s="142">
        <f>IFERROR(IF(OR('Proposed Lighting'!BC129=22,'Proposed Lighting'!BC129=44),1-25%,IF(OR('Proposed Lighting'!BC129=23,'Proposed Lighting'!BC129=46),1-30%,IF(OR('Proposed Lighting'!BC129=29,'Proposed Lighting'!BC129=39,'Proposed Lighting'!BC129=49),1-35%,IF(OR('Proposed Lighting'!BC129=24,'Proposed Lighting'!BC129=48),1-50%,IF(AND(ISNUMBER(SEARCH("-C",'Proposed Lighting'!M129)),'Proposed Lighting'!AU129=2),90%,100%)))))*'Proposed Lighting'!AH129,0)</f>
        <v>0</v>
      </c>
      <c r="M132" s="87">
        <f t="shared" si="15"/>
        <v>0</v>
      </c>
      <c r="N132" s="87">
        <f>IFERROR(IF('Proposed Lighting'!AU129=1,0,'Proposed Lighting'!AO129),0)</f>
        <v>0</v>
      </c>
      <c r="O132" s="88">
        <f>IF('Proposed Lighting'!AU129=1,0,'Proposed Lighting'!AP129)</f>
        <v>0</v>
      </c>
      <c r="P132" s="87">
        <f t="shared" si="16"/>
        <v>0</v>
      </c>
      <c r="Q132" s="98">
        <f t="shared" si="25"/>
        <v>0</v>
      </c>
      <c r="R132" s="99">
        <f>IFERROR(IF('Proposed Lighting'!T129="Lighting controls only",0,ROUND(IF('Proposed Lighting'!AQ129&lt;'Proposed Lighting'!AR129,0,IF('Proposed Lighting'!AH129=0,0,IF('Proposed Lighting'!BV129&gt;0,'Proposed Lighting'!BV129,IF('Proposed Lighting'!CL129=0,MIN('Proposed Lighting'!CN129:CO129),IF('Proposed Lighting'!CX129&gt;0,'Proposed Lighting'!CX129*'Proposed Lighting'!AA129,0))))),2)),0)</f>
        <v>0</v>
      </c>
      <c r="S132" s="99">
        <f>IF('Proposed Lighting'!AJ129&gt;0,'Proposed Lighting'!AJ129*J132,'Proposed Lighting'!$AU$328*J132)</f>
        <v>0</v>
      </c>
      <c r="T132" s="602">
        <f t="shared" si="17"/>
        <v>0</v>
      </c>
      <c r="U132" s="100"/>
      <c r="V132" s="99">
        <f t="shared" si="18"/>
        <v>0</v>
      </c>
      <c r="W132" s="99">
        <f t="shared" si="19"/>
        <v>0</v>
      </c>
      <c r="X132" s="99">
        <f t="shared" si="20"/>
        <v>0</v>
      </c>
      <c r="Y132" s="99"/>
      <c r="Z132" s="99">
        <f t="shared" si="26"/>
        <v>0</v>
      </c>
      <c r="AA132" s="99"/>
      <c r="AB132" s="99">
        <f t="shared" si="21"/>
        <v>0</v>
      </c>
      <c r="AC132" s="101" t="str">
        <f t="shared" si="22"/>
        <v/>
      </c>
      <c r="AD132" s="101" t="str">
        <f t="shared" si="23"/>
        <v/>
      </c>
      <c r="AE132" s="101" t="str">
        <f t="shared" si="24"/>
        <v/>
      </c>
      <c r="AF132" s="72"/>
      <c r="AG132" s="98">
        <f>IFERROR(IF($AV132="No",0,IF($AV132="yes",Summary!Q132,"")),"")</f>
        <v>0</v>
      </c>
      <c r="AH132" s="99">
        <f>IFERROR(IF($AV132="No",0,IF($AV132="yes",Summary!R132,"")),"")</f>
        <v>0</v>
      </c>
      <c r="AI132" s="99">
        <f>IFERROR(IF($AV132="No",0,IF($AV132="yes",Summary!S132,"")),"")</f>
        <v>0</v>
      </c>
      <c r="AJ132" s="602">
        <f>IFERROR(IF($AV132="No",0,IF($AV132="yes",Summary!T132,"")),"")</f>
        <v>0</v>
      </c>
      <c r="AK132" s="100">
        <f>IFERROR(IF($AV132="No",0,IF($AV132="yes",Summary!U132,"")),"")</f>
        <v>0</v>
      </c>
      <c r="AL132" s="99">
        <f>IFERROR(IF($AV132="No",0,IF($AV132="yes",Summary!V132,"")),"")</f>
        <v>0</v>
      </c>
      <c r="AM132" s="99">
        <f>IFERROR(IF($AV132="No",0,IF($AV132="yes",Summary!W132,"")),"")</f>
        <v>0</v>
      </c>
      <c r="AN132" s="99">
        <f>IFERROR(IF($AV132="No",0,IF($AV132="yes",Summary!X132,"")),"")</f>
        <v>0</v>
      </c>
      <c r="AO132" s="99">
        <f>IFERROR(IF($AV132="No",0,IF($AV132="yes",Summary!Y132+Z132,"")),"")</f>
        <v>0</v>
      </c>
      <c r="AP132" s="99">
        <f>IFERROR(IF($AV132="No",0,IF($AV132="yes",Summary!AB132,"")),"")</f>
        <v>0</v>
      </c>
      <c r="AQ132" s="101" t="str">
        <f t="shared" si="27"/>
        <v/>
      </c>
      <c r="AR132" s="101" t="str">
        <f t="shared" si="28"/>
        <v/>
      </c>
      <c r="AS132" s="101" t="str">
        <f t="shared" si="29"/>
        <v/>
      </c>
      <c r="AT132" s="96" t="s">
        <v>546</v>
      </c>
      <c r="AV132" t="str">
        <f>IF('Proposed Lighting'!CN129&gt;0,"No","Yes")</f>
        <v>Yes</v>
      </c>
    </row>
    <row r="133" spans="1:48" ht="34.5" customHeight="1" outlineLevel="1">
      <c r="A133" s="96" t="s">
        <v>547</v>
      </c>
      <c r="B133" s="96" t="str">
        <f>IF(ISNUMBER(SEARCH("case",E133)),"COM_MISC_REFR_ALL_UNKN1991",IF('Proposed Lighting'!AU130=3,"Commercial-All Com-ExtLight",IF('Proposed Lighting'!AH130&gt;8759,"IPC_8760","Commercial-All Com-IntLight")))</f>
        <v>IPC_8760</v>
      </c>
      <c r="C133" s="96" t="str">
        <f>IF(OR('Proposed Lighting'!DD130="Standard Incentive",'Proposed Lighting'!DD130="Non-Standard Incentive"),"Yes",IF(AND(IF(ISNUMBER(SEARCH("controls",'Proposed Lighting'!T130)),"True","False")="False",'Proposed Lighting'!DD130="Submit Control as Non-Standard"),"Yes","No"))</f>
        <v>No</v>
      </c>
      <c r="D133" s="1403">
        <f>'Proposed Lighting'!CV130-Q133</f>
        <v>0</v>
      </c>
      <c r="E133" s="143">
        <f>'Proposed Lighting'!T130</f>
        <v>0</v>
      </c>
      <c r="F133" s="143">
        <f>'Proposed Lighting'!F130</f>
        <v>0</v>
      </c>
      <c r="G133" s="96" t="s">
        <v>242</v>
      </c>
      <c r="H133" s="142" t="str">
        <f>'Proposed Lighting'!CP130</f>
        <v/>
      </c>
      <c r="I133" s="98">
        <v>1</v>
      </c>
      <c r="J133" s="142">
        <f>'Proposed Lighting'!AA130</f>
        <v>0</v>
      </c>
      <c r="K133" s="142" t="str">
        <f>IF(ISNUMBER(SEARCH("-C",'Proposed Lighting'!M130)),'Proposed Lighting'!AH130*0.9,'Proposed Lighting'!AH130)</f>
        <v/>
      </c>
      <c r="L133" s="142">
        <f>IFERROR(IF(OR('Proposed Lighting'!BC130=22,'Proposed Lighting'!BC130=44),1-25%,IF(OR('Proposed Lighting'!BC130=23,'Proposed Lighting'!BC130=46),1-30%,IF(OR('Proposed Lighting'!BC130=29,'Proposed Lighting'!BC130=39,'Proposed Lighting'!BC130=49),1-35%,IF(OR('Proposed Lighting'!BC130=24,'Proposed Lighting'!BC130=48),1-50%,IF(AND(ISNUMBER(SEARCH("-C",'Proposed Lighting'!M130)),'Proposed Lighting'!AU130=2),90%,100%)))))*'Proposed Lighting'!AH130,0)</f>
        <v>0</v>
      </c>
      <c r="M133" s="87">
        <f t="shared" si="15"/>
        <v>0</v>
      </c>
      <c r="N133" s="87">
        <f>IFERROR(IF('Proposed Lighting'!AU130=1,0,'Proposed Lighting'!AO130),0)</f>
        <v>0</v>
      </c>
      <c r="O133" s="88">
        <f>IF('Proposed Lighting'!AU130=1,0,'Proposed Lighting'!AP130)</f>
        <v>0</v>
      </c>
      <c r="P133" s="87">
        <f t="shared" si="16"/>
        <v>0</v>
      </c>
      <c r="Q133" s="98">
        <f t="shared" si="25"/>
        <v>0</v>
      </c>
      <c r="R133" s="99">
        <f>IFERROR(IF('Proposed Lighting'!T130="Lighting controls only",0,ROUND(IF('Proposed Lighting'!AQ130&lt;'Proposed Lighting'!AR130,0,IF('Proposed Lighting'!AH130=0,0,IF('Proposed Lighting'!BV130&gt;0,'Proposed Lighting'!BV130,IF('Proposed Lighting'!CL130=0,MIN('Proposed Lighting'!CN130:CO130),IF('Proposed Lighting'!CX130&gt;0,'Proposed Lighting'!CX130*'Proposed Lighting'!AA130,0))))),2)),0)</f>
        <v>0</v>
      </c>
      <c r="S133" s="99">
        <f>IF('Proposed Lighting'!AJ130&gt;0,'Proposed Lighting'!AJ130*J133,'Proposed Lighting'!$AU$328*J133)</f>
        <v>0</v>
      </c>
      <c r="T133" s="602">
        <f t="shared" si="17"/>
        <v>0</v>
      </c>
      <c r="U133" s="100"/>
      <c r="V133" s="99">
        <f t="shared" si="18"/>
        <v>0</v>
      </c>
      <c r="W133" s="99">
        <f t="shared" si="19"/>
        <v>0</v>
      </c>
      <c r="X133" s="99">
        <f t="shared" si="20"/>
        <v>0</v>
      </c>
      <c r="Y133" s="99"/>
      <c r="Z133" s="99">
        <f t="shared" si="26"/>
        <v>0</v>
      </c>
      <c r="AA133" s="99"/>
      <c r="AB133" s="99">
        <f t="shared" si="21"/>
        <v>0</v>
      </c>
      <c r="AC133" s="101" t="str">
        <f t="shared" si="22"/>
        <v/>
      </c>
      <c r="AD133" s="101" t="str">
        <f t="shared" si="23"/>
        <v/>
      </c>
      <c r="AE133" s="101" t="str">
        <f t="shared" si="24"/>
        <v/>
      </c>
      <c r="AF133" s="72"/>
      <c r="AG133" s="98">
        <f>IFERROR(IF($AV133="No",0,IF($AV133="yes",Summary!Q133,"")),"")</f>
        <v>0</v>
      </c>
      <c r="AH133" s="99">
        <f>IFERROR(IF($AV133="No",0,IF($AV133="yes",Summary!R133,"")),"")</f>
        <v>0</v>
      </c>
      <c r="AI133" s="99">
        <f>IFERROR(IF($AV133="No",0,IF($AV133="yes",Summary!S133,"")),"")</f>
        <v>0</v>
      </c>
      <c r="AJ133" s="602">
        <f>IFERROR(IF($AV133="No",0,IF($AV133="yes",Summary!T133,"")),"")</f>
        <v>0</v>
      </c>
      <c r="AK133" s="100">
        <f>IFERROR(IF($AV133="No",0,IF($AV133="yes",Summary!U133,"")),"")</f>
        <v>0</v>
      </c>
      <c r="AL133" s="99">
        <f>IFERROR(IF($AV133="No",0,IF($AV133="yes",Summary!V133,"")),"")</f>
        <v>0</v>
      </c>
      <c r="AM133" s="99">
        <f>IFERROR(IF($AV133="No",0,IF($AV133="yes",Summary!W133,"")),"")</f>
        <v>0</v>
      </c>
      <c r="AN133" s="99">
        <f>IFERROR(IF($AV133="No",0,IF($AV133="yes",Summary!X133,"")),"")</f>
        <v>0</v>
      </c>
      <c r="AO133" s="99">
        <f>IFERROR(IF($AV133="No",0,IF($AV133="yes",Summary!Y133+Z133,"")),"")</f>
        <v>0</v>
      </c>
      <c r="AP133" s="99">
        <f>IFERROR(IF($AV133="No",0,IF($AV133="yes",Summary!AB133,"")),"")</f>
        <v>0</v>
      </c>
      <c r="AQ133" s="101" t="str">
        <f t="shared" si="27"/>
        <v/>
      </c>
      <c r="AR133" s="101" t="str">
        <f t="shared" si="28"/>
        <v/>
      </c>
      <c r="AS133" s="101" t="str">
        <f t="shared" si="29"/>
        <v/>
      </c>
      <c r="AT133" s="96" t="s">
        <v>547</v>
      </c>
      <c r="AV133" t="str">
        <f>IF('Proposed Lighting'!CN130&gt;0,"No","Yes")</f>
        <v>Yes</v>
      </c>
    </row>
    <row r="134" spans="1:48" ht="34.5" customHeight="1" outlineLevel="1">
      <c r="A134" s="96" t="s">
        <v>548</v>
      </c>
      <c r="B134" s="96" t="str">
        <f>IF(ISNUMBER(SEARCH("case",E134)),"COM_MISC_REFR_ALL_UNKN1991",IF('Proposed Lighting'!AU131=3,"Commercial-All Com-ExtLight",IF('Proposed Lighting'!AH131&gt;8759,"IPC_8760","Commercial-All Com-IntLight")))</f>
        <v>IPC_8760</v>
      </c>
      <c r="C134" s="96" t="str">
        <f>IF(OR('Proposed Lighting'!DD131="Standard Incentive",'Proposed Lighting'!DD131="Non-Standard Incentive"),"Yes",IF(AND(IF(ISNUMBER(SEARCH("controls",'Proposed Lighting'!T131)),"True","False")="False",'Proposed Lighting'!DD131="Submit Control as Non-Standard"),"Yes","No"))</f>
        <v>No</v>
      </c>
      <c r="D134" s="1403">
        <f>'Proposed Lighting'!CV131-Q134</f>
        <v>0</v>
      </c>
      <c r="E134" s="143">
        <f>'Proposed Lighting'!T131</f>
        <v>0</v>
      </c>
      <c r="F134" s="143">
        <f>'Proposed Lighting'!F131</f>
        <v>0</v>
      </c>
      <c r="G134" s="96" t="s">
        <v>242</v>
      </c>
      <c r="H134" s="142" t="str">
        <f>'Proposed Lighting'!CP131</f>
        <v/>
      </c>
      <c r="I134" s="98">
        <v>1</v>
      </c>
      <c r="J134" s="142">
        <f>'Proposed Lighting'!AA131</f>
        <v>0</v>
      </c>
      <c r="K134" s="142" t="str">
        <f>IF(ISNUMBER(SEARCH("-C",'Proposed Lighting'!M131)),'Proposed Lighting'!AH131*0.9,'Proposed Lighting'!AH131)</f>
        <v/>
      </c>
      <c r="L134" s="142">
        <f>IFERROR(IF(OR('Proposed Lighting'!BC131=22,'Proposed Lighting'!BC131=44),1-25%,IF(OR('Proposed Lighting'!BC131=23,'Proposed Lighting'!BC131=46),1-30%,IF(OR('Proposed Lighting'!BC131=29,'Proposed Lighting'!BC131=39,'Proposed Lighting'!BC131=49),1-35%,IF(OR('Proposed Lighting'!BC131=24,'Proposed Lighting'!BC131=48),1-50%,IF(AND(ISNUMBER(SEARCH("-C",'Proposed Lighting'!M131)),'Proposed Lighting'!AU131=2),90%,100%)))))*'Proposed Lighting'!AH131,0)</f>
        <v>0</v>
      </c>
      <c r="M134" s="87">
        <f t="shared" si="15"/>
        <v>0</v>
      </c>
      <c r="N134" s="87">
        <f>IFERROR(IF('Proposed Lighting'!AU131=1,0,'Proposed Lighting'!AO131),0)</f>
        <v>0</v>
      </c>
      <c r="O134" s="88">
        <f>IF('Proposed Lighting'!AU131=1,0,'Proposed Lighting'!AP131)</f>
        <v>0</v>
      </c>
      <c r="P134" s="87">
        <f t="shared" si="16"/>
        <v>0</v>
      </c>
      <c r="Q134" s="98">
        <f t="shared" si="25"/>
        <v>0</v>
      </c>
      <c r="R134" s="99">
        <f>IFERROR(IF('Proposed Lighting'!T131="Lighting controls only",0,ROUND(IF('Proposed Lighting'!AQ131&lt;'Proposed Lighting'!AR131,0,IF('Proposed Lighting'!AH131=0,0,IF('Proposed Lighting'!BV131&gt;0,'Proposed Lighting'!BV131,IF('Proposed Lighting'!CL131=0,MIN('Proposed Lighting'!CN131:CO131),IF('Proposed Lighting'!CX131&gt;0,'Proposed Lighting'!CX131*'Proposed Lighting'!AA131,0))))),2)),0)</f>
        <v>0</v>
      </c>
      <c r="S134" s="99">
        <f>IF('Proposed Lighting'!AJ131&gt;0,'Proposed Lighting'!AJ131*J134,'Proposed Lighting'!$AU$328*J134)</f>
        <v>0</v>
      </c>
      <c r="T134" s="602">
        <f t="shared" si="17"/>
        <v>0</v>
      </c>
      <c r="U134" s="100"/>
      <c r="V134" s="99">
        <f t="shared" si="18"/>
        <v>0</v>
      </c>
      <c r="W134" s="99">
        <f t="shared" si="19"/>
        <v>0</v>
      </c>
      <c r="X134" s="99">
        <f t="shared" si="20"/>
        <v>0</v>
      </c>
      <c r="Y134" s="99"/>
      <c r="Z134" s="99">
        <f t="shared" si="26"/>
        <v>0</v>
      </c>
      <c r="AA134" s="99"/>
      <c r="AB134" s="99">
        <f t="shared" si="21"/>
        <v>0</v>
      </c>
      <c r="AC134" s="101" t="str">
        <f t="shared" si="22"/>
        <v/>
      </c>
      <c r="AD134" s="101" t="str">
        <f t="shared" si="23"/>
        <v/>
      </c>
      <c r="AE134" s="101" t="str">
        <f t="shared" si="24"/>
        <v/>
      </c>
      <c r="AF134" s="72"/>
      <c r="AG134" s="98">
        <f>IFERROR(IF($AV134="No",0,IF($AV134="yes",Summary!Q134,"")),"")</f>
        <v>0</v>
      </c>
      <c r="AH134" s="99">
        <f>IFERROR(IF($AV134="No",0,IF($AV134="yes",Summary!R134,"")),"")</f>
        <v>0</v>
      </c>
      <c r="AI134" s="99">
        <f>IFERROR(IF($AV134="No",0,IF($AV134="yes",Summary!S134,"")),"")</f>
        <v>0</v>
      </c>
      <c r="AJ134" s="602">
        <f>IFERROR(IF($AV134="No",0,IF($AV134="yes",Summary!T134,"")),"")</f>
        <v>0</v>
      </c>
      <c r="AK134" s="100">
        <f>IFERROR(IF($AV134="No",0,IF($AV134="yes",Summary!U134,"")),"")</f>
        <v>0</v>
      </c>
      <c r="AL134" s="99">
        <f>IFERROR(IF($AV134="No",0,IF($AV134="yes",Summary!V134,"")),"")</f>
        <v>0</v>
      </c>
      <c r="AM134" s="99">
        <f>IFERROR(IF($AV134="No",0,IF($AV134="yes",Summary!W134,"")),"")</f>
        <v>0</v>
      </c>
      <c r="AN134" s="99">
        <f>IFERROR(IF($AV134="No",0,IF($AV134="yes",Summary!X134,"")),"")</f>
        <v>0</v>
      </c>
      <c r="AO134" s="99">
        <f>IFERROR(IF($AV134="No",0,IF($AV134="yes",Summary!Y134+Z134,"")),"")</f>
        <v>0</v>
      </c>
      <c r="AP134" s="99">
        <f>IFERROR(IF($AV134="No",0,IF($AV134="yes",Summary!AB134,"")),"")</f>
        <v>0</v>
      </c>
      <c r="AQ134" s="101" t="str">
        <f t="shared" si="27"/>
        <v/>
      </c>
      <c r="AR134" s="101" t="str">
        <f t="shared" si="28"/>
        <v/>
      </c>
      <c r="AS134" s="101" t="str">
        <f t="shared" si="29"/>
        <v/>
      </c>
      <c r="AT134" s="96" t="s">
        <v>548</v>
      </c>
      <c r="AV134" t="str">
        <f>IF('Proposed Lighting'!CN131&gt;0,"No","Yes")</f>
        <v>Yes</v>
      </c>
    </row>
    <row r="135" spans="1:48" ht="34.5" customHeight="1" outlineLevel="1">
      <c r="A135" s="96" t="s">
        <v>549</v>
      </c>
      <c r="B135" s="96" t="str">
        <f>IF(ISNUMBER(SEARCH("case",E135)),"COM_MISC_REFR_ALL_UNKN1991",IF('Proposed Lighting'!AU132=3,"Commercial-All Com-ExtLight",IF('Proposed Lighting'!AH132&gt;8759,"IPC_8760","Commercial-All Com-IntLight")))</f>
        <v>IPC_8760</v>
      </c>
      <c r="C135" s="96" t="str">
        <f>IF(OR('Proposed Lighting'!DD132="Standard Incentive",'Proposed Lighting'!DD132="Non-Standard Incentive"),"Yes",IF(AND(IF(ISNUMBER(SEARCH("controls",'Proposed Lighting'!T132)),"True","False")="False",'Proposed Lighting'!DD132="Submit Control as Non-Standard"),"Yes","No"))</f>
        <v>No</v>
      </c>
      <c r="D135" s="1403">
        <f>'Proposed Lighting'!CV132-Q135</f>
        <v>0</v>
      </c>
      <c r="E135" s="143">
        <f>'Proposed Lighting'!T132</f>
        <v>0</v>
      </c>
      <c r="F135" s="143">
        <f>'Proposed Lighting'!F132</f>
        <v>0</v>
      </c>
      <c r="G135" s="96" t="s">
        <v>242</v>
      </c>
      <c r="H135" s="142" t="str">
        <f>'Proposed Lighting'!CP132</f>
        <v/>
      </c>
      <c r="I135" s="98">
        <v>1</v>
      </c>
      <c r="J135" s="142">
        <f>'Proposed Lighting'!AA132</f>
        <v>0</v>
      </c>
      <c r="K135" s="142" t="str">
        <f>IF(ISNUMBER(SEARCH("-C",'Proposed Lighting'!M132)),'Proposed Lighting'!AH132*0.9,'Proposed Lighting'!AH132)</f>
        <v/>
      </c>
      <c r="L135" s="142">
        <f>IFERROR(IF(OR('Proposed Lighting'!BC132=22,'Proposed Lighting'!BC132=44),1-25%,IF(OR('Proposed Lighting'!BC132=23,'Proposed Lighting'!BC132=46),1-30%,IF(OR('Proposed Lighting'!BC132=29,'Proposed Lighting'!BC132=39,'Proposed Lighting'!BC132=49),1-35%,IF(OR('Proposed Lighting'!BC132=24,'Proposed Lighting'!BC132=48),1-50%,IF(AND(ISNUMBER(SEARCH("-C",'Proposed Lighting'!M132)),'Proposed Lighting'!AU132=2),90%,100%)))))*'Proposed Lighting'!AH132,0)</f>
        <v>0</v>
      </c>
      <c r="M135" s="87">
        <f t="shared" si="15"/>
        <v>0</v>
      </c>
      <c r="N135" s="87">
        <f>IFERROR(IF('Proposed Lighting'!AU132=1,0,'Proposed Lighting'!AO132),0)</f>
        <v>0</v>
      </c>
      <c r="O135" s="88">
        <f>IF('Proposed Lighting'!AU132=1,0,'Proposed Lighting'!AP132)</f>
        <v>0</v>
      </c>
      <c r="P135" s="87">
        <f t="shared" si="16"/>
        <v>0</v>
      </c>
      <c r="Q135" s="98">
        <f t="shared" si="25"/>
        <v>0</v>
      </c>
      <c r="R135" s="99">
        <f>IFERROR(IF('Proposed Lighting'!T132="Lighting controls only",0,ROUND(IF('Proposed Lighting'!AQ132&lt;'Proposed Lighting'!AR132,0,IF('Proposed Lighting'!AH132=0,0,IF('Proposed Lighting'!BV132&gt;0,'Proposed Lighting'!BV132,IF('Proposed Lighting'!CL132=0,MIN('Proposed Lighting'!CN132:CO132),IF('Proposed Lighting'!CX132&gt;0,'Proposed Lighting'!CX132*'Proposed Lighting'!AA132,0))))),2)),0)</f>
        <v>0</v>
      </c>
      <c r="S135" s="99">
        <f>IF('Proposed Lighting'!AJ132&gt;0,'Proposed Lighting'!AJ132*J135,'Proposed Lighting'!$AU$328*J135)</f>
        <v>0</v>
      </c>
      <c r="T135" s="602">
        <f t="shared" si="17"/>
        <v>0</v>
      </c>
      <c r="U135" s="100"/>
      <c r="V135" s="99">
        <f t="shared" si="18"/>
        <v>0</v>
      </c>
      <c r="W135" s="99">
        <f t="shared" si="19"/>
        <v>0</v>
      </c>
      <c r="X135" s="99">
        <f t="shared" si="20"/>
        <v>0</v>
      </c>
      <c r="Y135" s="99"/>
      <c r="Z135" s="99">
        <f t="shared" si="26"/>
        <v>0</v>
      </c>
      <c r="AA135" s="99"/>
      <c r="AB135" s="99">
        <f t="shared" si="21"/>
        <v>0</v>
      </c>
      <c r="AC135" s="101" t="str">
        <f t="shared" si="22"/>
        <v/>
      </c>
      <c r="AD135" s="101" t="str">
        <f t="shared" si="23"/>
        <v/>
      </c>
      <c r="AE135" s="101" t="str">
        <f t="shared" si="24"/>
        <v/>
      </c>
      <c r="AF135" s="72"/>
      <c r="AG135" s="98">
        <f>IFERROR(IF($AV135="No",0,IF($AV135="yes",Summary!Q135,"")),"")</f>
        <v>0</v>
      </c>
      <c r="AH135" s="99">
        <f>IFERROR(IF($AV135="No",0,IF($AV135="yes",Summary!R135,"")),"")</f>
        <v>0</v>
      </c>
      <c r="AI135" s="99">
        <f>IFERROR(IF($AV135="No",0,IF($AV135="yes",Summary!S135,"")),"")</f>
        <v>0</v>
      </c>
      <c r="AJ135" s="602">
        <f>IFERROR(IF($AV135="No",0,IF($AV135="yes",Summary!T135,"")),"")</f>
        <v>0</v>
      </c>
      <c r="AK135" s="100">
        <f>IFERROR(IF($AV135="No",0,IF($AV135="yes",Summary!U135,"")),"")</f>
        <v>0</v>
      </c>
      <c r="AL135" s="99">
        <f>IFERROR(IF($AV135="No",0,IF($AV135="yes",Summary!V135,"")),"")</f>
        <v>0</v>
      </c>
      <c r="AM135" s="99">
        <f>IFERROR(IF($AV135="No",0,IF($AV135="yes",Summary!W135,"")),"")</f>
        <v>0</v>
      </c>
      <c r="AN135" s="99">
        <f>IFERROR(IF($AV135="No",0,IF($AV135="yes",Summary!X135,"")),"")</f>
        <v>0</v>
      </c>
      <c r="AO135" s="99">
        <f>IFERROR(IF($AV135="No",0,IF($AV135="yes",Summary!Y135+Z135,"")),"")</f>
        <v>0</v>
      </c>
      <c r="AP135" s="99">
        <f>IFERROR(IF($AV135="No",0,IF($AV135="yes",Summary!AB135,"")),"")</f>
        <v>0</v>
      </c>
      <c r="AQ135" s="101" t="str">
        <f t="shared" si="27"/>
        <v/>
      </c>
      <c r="AR135" s="101" t="str">
        <f t="shared" si="28"/>
        <v/>
      </c>
      <c r="AS135" s="101" t="str">
        <f t="shared" si="29"/>
        <v/>
      </c>
      <c r="AT135" s="96" t="s">
        <v>549</v>
      </c>
      <c r="AV135" t="str">
        <f>IF('Proposed Lighting'!CN132&gt;0,"No","Yes")</f>
        <v>Yes</v>
      </c>
    </row>
    <row r="136" spans="1:48" ht="34.5" customHeight="1" outlineLevel="1">
      <c r="A136" s="96" t="s">
        <v>550</v>
      </c>
      <c r="B136" s="96" t="str">
        <f>IF(ISNUMBER(SEARCH("case",E136)),"COM_MISC_REFR_ALL_UNKN1991",IF('Proposed Lighting'!AU133=3,"Commercial-All Com-ExtLight",IF('Proposed Lighting'!AH133&gt;8759,"IPC_8760","Commercial-All Com-IntLight")))</f>
        <v>IPC_8760</v>
      </c>
      <c r="C136" s="96" t="str">
        <f>IF(OR('Proposed Lighting'!DD133="Standard Incentive",'Proposed Lighting'!DD133="Non-Standard Incentive"),"Yes",IF(AND(IF(ISNUMBER(SEARCH("controls",'Proposed Lighting'!T133)),"True","False")="False",'Proposed Lighting'!DD133="Submit Control as Non-Standard"),"Yes","No"))</f>
        <v>No</v>
      </c>
      <c r="D136" s="1403">
        <f>'Proposed Lighting'!CV133-Q136</f>
        <v>0</v>
      </c>
      <c r="E136" s="143">
        <f>'Proposed Lighting'!T133</f>
        <v>0</v>
      </c>
      <c r="F136" s="143">
        <f>'Proposed Lighting'!F133</f>
        <v>0</v>
      </c>
      <c r="G136" s="96" t="s">
        <v>242</v>
      </c>
      <c r="H136" s="142" t="str">
        <f>'Proposed Lighting'!CP133</f>
        <v/>
      </c>
      <c r="I136" s="98">
        <v>1</v>
      </c>
      <c r="J136" s="142">
        <f>'Proposed Lighting'!AA133</f>
        <v>0</v>
      </c>
      <c r="K136" s="142" t="str">
        <f>IF(ISNUMBER(SEARCH("-C",'Proposed Lighting'!M133)),'Proposed Lighting'!AH133*0.9,'Proposed Lighting'!AH133)</f>
        <v/>
      </c>
      <c r="L136" s="142">
        <f>IFERROR(IF(OR('Proposed Lighting'!BC133=22,'Proposed Lighting'!BC133=44),1-25%,IF(OR('Proposed Lighting'!BC133=23,'Proposed Lighting'!BC133=46),1-30%,IF(OR('Proposed Lighting'!BC133=29,'Proposed Lighting'!BC133=39,'Proposed Lighting'!BC133=49),1-35%,IF(OR('Proposed Lighting'!BC133=24,'Proposed Lighting'!BC133=48),1-50%,IF(AND(ISNUMBER(SEARCH("-C",'Proposed Lighting'!M133)),'Proposed Lighting'!AU133=2),90%,100%)))))*'Proposed Lighting'!AH133,0)</f>
        <v>0</v>
      </c>
      <c r="M136" s="87">
        <f t="shared" si="15"/>
        <v>0</v>
      </c>
      <c r="N136" s="87">
        <f>IFERROR(IF('Proposed Lighting'!AU133=1,0,'Proposed Lighting'!AO133),0)</f>
        <v>0</v>
      </c>
      <c r="O136" s="88">
        <f>IF('Proposed Lighting'!AU133=1,0,'Proposed Lighting'!AP133)</f>
        <v>0</v>
      </c>
      <c r="P136" s="87">
        <f t="shared" si="16"/>
        <v>0</v>
      </c>
      <c r="Q136" s="98">
        <f t="shared" si="25"/>
        <v>0</v>
      </c>
      <c r="R136" s="99">
        <f>IFERROR(IF('Proposed Lighting'!T133="Lighting controls only",0,ROUND(IF('Proposed Lighting'!AQ133&lt;'Proposed Lighting'!AR133,0,IF('Proposed Lighting'!AH133=0,0,IF('Proposed Lighting'!BV133&gt;0,'Proposed Lighting'!BV133,IF('Proposed Lighting'!CL133=0,MIN('Proposed Lighting'!CN133:CO133),IF('Proposed Lighting'!CX133&gt;0,'Proposed Lighting'!CX133*'Proposed Lighting'!AA133,0))))),2)),0)</f>
        <v>0</v>
      </c>
      <c r="S136" s="99">
        <f>IF('Proposed Lighting'!AJ133&gt;0,'Proposed Lighting'!AJ133*J136,'Proposed Lighting'!$AU$328*J136)</f>
        <v>0</v>
      </c>
      <c r="T136" s="602">
        <f t="shared" si="17"/>
        <v>0</v>
      </c>
      <c r="U136" s="100"/>
      <c r="V136" s="99">
        <f t="shared" si="18"/>
        <v>0</v>
      </c>
      <c r="W136" s="99">
        <f t="shared" si="19"/>
        <v>0</v>
      </c>
      <c r="X136" s="99">
        <f t="shared" si="20"/>
        <v>0</v>
      </c>
      <c r="Y136" s="99"/>
      <c r="Z136" s="99">
        <f t="shared" si="26"/>
        <v>0</v>
      </c>
      <c r="AA136" s="99"/>
      <c r="AB136" s="99">
        <f t="shared" si="21"/>
        <v>0</v>
      </c>
      <c r="AC136" s="101" t="str">
        <f t="shared" si="22"/>
        <v/>
      </c>
      <c r="AD136" s="101" t="str">
        <f t="shared" si="23"/>
        <v/>
      </c>
      <c r="AE136" s="101" t="str">
        <f t="shared" si="24"/>
        <v/>
      </c>
      <c r="AF136" s="72"/>
      <c r="AG136" s="98">
        <f>IFERROR(IF($AV136="No",0,IF($AV136="yes",Summary!Q136,"")),"")</f>
        <v>0</v>
      </c>
      <c r="AH136" s="99">
        <f>IFERROR(IF($AV136="No",0,IF($AV136="yes",Summary!R136,"")),"")</f>
        <v>0</v>
      </c>
      <c r="AI136" s="99">
        <f>IFERROR(IF($AV136="No",0,IF($AV136="yes",Summary!S136,"")),"")</f>
        <v>0</v>
      </c>
      <c r="AJ136" s="602">
        <f>IFERROR(IF($AV136="No",0,IF($AV136="yes",Summary!T136,"")),"")</f>
        <v>0</v>
      </c>
      <c r="AK136" s="100">
        <f>IFERROR(IF($AV136="No",0,IF($AV136="yes",Summary!U136,"")),"")</f>
        <v>0</v>
      </c>
      <c r="AL136" s="99">
        <f>IFERROR(IF($AV136="No",0,IF($AV136="yes",Summary!V136,"")),"")</f>
        <v>0</v>
      </c>
      <c r="AM136" s="99">
        <f>IFERROR(IF($AV136="No",0,IF($AV136="yes",Summary!W136,"")),"")</f>
        <v>0</v>
      </c>
      <c r="AN136" s="99">
        <f>IFERROR(IF($AV136="No",0,IF($AV136="yes",Summary!X136,"")),"")</f>
        <v>0</v>
      </c>
      <c r="AO136" s="99">
        <f>IFERROR(IF($AV136="No",0,IF($AV136="yes",Summary!Y136+Z136,"")),"")</f>
        <v>0</v>
      </c>
      <c r="AP136" s="99">
        <f>IFERROR(IF($AV136="No",0,IF($AV136="yes",Summary!AB136,"")),"")</f>
        <v>0</v>
      </c>
      <c r="AQ136" s="101" t="str">
        <f t="shared" si="27"/>
        <v/>
      </c>
      <c r="AR136" s="101" t="str">
        <f t="shared" si="28"/>
        <v/>
      </c>
      <c r="AS136" s="101" t="str">
        <f t="shared" si="29"/>
        <v/>
      </c>
      <c r="AT136" s="96" t="s">
        <v>550</v>
      </c>
      <c r="AV136" t="str">
        <f>IF('Proposed Lighting'!CN133&gt;0,"No","Yes")</f>
        <v>Yes</v>
      </c>
    </row>
    <row r="137" spans="1:48" ht="34.5" customHeight="1" outlineLevel="1">
      <c r="A137" s="96" t="s">
        <v>551</v>
      </c>
      <c r="B137" s="96" t="str">
        <f>IF(ISNUMBER(SEARCH("case",E137)),"COM_MISC_REFR_ALL_UNKN1991",IF('Proposed Lighting'!AU134=3,"Commercial-All Com-ExtLight",IF('Proposed Lighting'!AH134&gt;8759,"IPC_8760","Commercial-All Com-IntLight")))</f>
        <v>IPC_8760</v>
      </c>
      <c r="C137" s="96" t="str">
        <f>IF(OR('Proposed Lighting'!DD134="Standard Incentive",'Proposed Lighting'!DD134="Non-Standard Incentive"),"Yes",IF(AND(IF(ISNUMBER(SEARCH("controls",'Proposed Lighting'!T134)),"True","False")="False",'Proposed Lighting'!DD134="Submit Control as Non-Standard"),"Yes","No"))</f>
        <v>No</v>
      </c>
      <c r="D137" s="1403">
        <f>'Proposed Lighting'!CV134-Q137</f>
        <v>0</v>
      </c>
      <c r="E137" s="143">
        <f>'Proposed Lighting'!T134</f>
        <v>0</v>
      </c>
      <c r="F137" s="143">
        <f>'Proposed Lighting'!F134</f>
        <v>0</v>
      </c>
      <c r="G137" s="96" t="s">
        <v>242</v>
      </c>
      <c r="H137" s="142" t="str">
        <f>'Proposed Lighting'!CP134</f>
        <v/>
      </c>
      <c r="I137" s="98">
        <v>1</v>
      </c>
      <c r="J137" s="142">
        <f>'Proposed Lighting'!AA134</f>
        <v>0</v>
      </c>
      <c r="K137" s="142" t="str">
        <f>IF(ISNUMBER(SEARCH("-C",'Proposed Lighting'!M134)),'Proposed Lighting'!AH134*0.9,'Proposed Lighting'!AH134)</f>
        <v/>
      </c>
      <c r="L137" s="142">
        <f>IFERROR(IF(OR('Proposed Lighting'!BC134=22,'Proposed Lighting'!BC134=44),1-25%,IF(OR('Proposed Lighting'!BC134=23,'Proposed Lighting'!BC134=46),1-30%,IF(OR('Proposed Lighting'!BC134=29,'Proposed Lighting'!BC134=39,'Proposed Lighting'!BC134=49),1-35%,IF(OR('Proposed Lighting'!BC134=24,'Proposed Lighting'!BC134=48),1-50%,IF(AND(ISNUMBER(SEARCH("-C",'Proposed Lighting'!M134)),'Proposed Lighting'!AU134=2),90%,100%)))))*'Proposed Lighting'!AH134,0)</f>
        <v>0</v>
      </c>
      <c r="M137" s="87">
        <f t="shared" si="15"/>
        <v>0</v>
      </c>
      <c r="N137" s="87">
        <f>IFERROR(IF('Proposed Lighting'!AU134=1,0,'Proposed Lighting'!AO134),0)</f>
        <v>0</v>
      </c>
      <c r="O137" s="88">
        <f>IF('Proposed Lighting'!AU134=1,0,'Proposed Lighting'!AP134)</f>
        <v>0</v>
      </c>
      <c r="P137" s="87">
        <f t="shared" si="16"/>
        <v>0</v>
      </c>
      <c r="Q137" s="98">
        <f t="shared" si="25"/>
        <v>0</v>
      </c>
      <c r="R137" s="99">
        <f>IFERROR(IF('Proposed Lighting'!T134="Lighting controls only",0,ROUND(IF('Proposed Lighting'!AQ134&lt;'Proposed Lighting'!AR134,0,IF('Proposed Lighting'!AH134=0,0,IF('Proposed Lighting'!BV134&gt;0,'Proposed Lighting'!BV134,IF('Proposed Lighting'!CL134=0,MIN('Proposed Lighting'!CN134:CO134),IF('Proposed Lighting'!CX134&gt;0,'Proposed Lighting'!CX134*'Proposed Lighting'!AA134,0))))),2)),0)</f>
        <v>0</v>
      </c>
      <c r="S137" s="99">
        <f>IF('Proposed Lighting'!AJ134&gt;0,'Proposed Lighting'!AJ134*J137,'Proposed Lighting'!$AU$328*J137)</f>
        <v>0</v>
      </c>
      <c r="T137" s="602">
        <f t="shared" si="17"/>
        <v>0</v>
      </c>
      <c r="U137" s="100"/>
      <c r="V137" s="99">
        <f t="shared" si="18"/>
        <v>0</v>
      </c>
      <c r="W137" s="99">
        <f t="shared" si="19"/>
        <v>0</v>
      </c>
      <c r="X137" s="99">
        <f t="shared" si="20"/>
        <v>0</v>
      </c>
      <c r="Y137" s="99"/>
      <c r="Z137" s="99">
        <f t="shared" si="26"/>
        <v>0</v>
      </c>
      <c r="AA137" s="99"/>
      <c r="AB137" s="99">
        <f t="shared" si="21"/>
        <v>0</v>
      </c>
      <c r="AC137" s="101" t="str">
        <f t="shared" si="22"/>
        <v/>
      </c>
      <c r="AD137" s="101" t="str">
        <f t="shared" si="23"/>
        <v/>
      </c>
      <c r="AE137" s="101" t="str">
        <f t="shared" si="24"/>
        <v/>
      </c>
      <c r="AF137" s="72"/>
      <c r="AG137" s="98">
        <f>IFERROR(IF($AV137="No",0,IF($AV137="yes",Summary!Q137,"")),"")</f>
        <v>0</v>
      </c>
      <c r="AH137" s="99">
        <f>IFERROR(IF($AV137="No",0,IF($AV137="yes",Summary!R137,"")),"")</f>
        <v>0</v>
      </c>
      <c r="AI137" s="99">
        <f>IFERROR(IF($AV137="No",0,IF($AV137="yes",Summary!S137,"")),"")</f>
        <v>0</v>
      </c>
      <c r="AJ137" s="602">
        <f>IFERROR(IF($AV137="No",0,IF($AV137="yes",Summary!T137,"")),"")</f>
        <v>0</v>
      </c>
      <c r="AK137" s="100">
        <f>IFERROR(IF($AV137="No",0,IF($AV137="yes",Summary!U137,"")),"")</f>
        <v>0</v>
      </c>
      <c r="AL137" s="99">
        <f>IFERROR(IF($AV137="No",0,IF($AV137="yes",Summary!V137,"")),"")</f>
        <v>0</v>
      </c>
      <c r="AM137" s="99">
        <f>IFERROR(IF($AV137="No",0,IF($AV137="yes",Summary!W137,"")),"")</f>
        <v>0</v>
      </c>
      <c r="AN137" s="99">
        <f>IFERROR(IF($AV137="No",0,IF($AV137="yes",Summary!X137,"")),"")</f>
        <v>0</v>
      </c>
      <c r="AO137" s="99">
        <f>IFERROR(IF($AV137="No",0,IF($AV137="yes",Summary!Y137+Z137,"")),"")</f>
        <v>0</v>
      </c>
      <c r="AP137" s="99">
        <f>IFERROR(IF($AV137="No",0,IF($AV137="yes",Summary!AB137,"")),"")</f>
        <v>0</v>
      </c>
      <c r="AQ137" s="101" t="str">
        <f t="shared" si="27"/>
        <v/>
      </c>
      <c r="AR137" s="101" t="str">
        <f t="shared" si="28"/>
        <v/>
      </c>
      <c r="AS137" s="101" t="str">
        <f t="shared" si="29"/>
        <v/>
      </c>
      <c r="AT137" s="96" t="s">
        <v>551</v>
      </c>
      <c r="AV137" t="str">
        <f>IF('Proposed Lighting'!CN134&gt;0,"No","Yes")</f>
        <v>Yes</v>
      </c>
    </row>
    <row r="138" spans="1:48" ht="34.5" customHeight="1" outlineLevel="1">
      <c r="A138" s="96" t="s">
        <v>552</v>
      </c>
      <c r="B138" s="96" t="str">
        <f>IF(ISNUMBER(SEARCH("case",E138)),"COM_MISC_REFR_ALL_UNKN1991",IF('Proposed Lighting'!AU135=3,"Commercial-All Com-ExtLight",IF('Proposed Lighting'!AH135&gt;8759,"IPC_8760","Commercial-All Com-IntLight")))</f>
        <v>IPC_8760</v>
      </c>
      <c r="C138" s="96" t="str">
        <f>IF(OR('Proposed Lighting'!DD135="Standard Incentive",'Proposed Lighting'!DD135="Non-Standard Incentive"),"Yes",IF(AND(IF(ISNUMBER(SEARCH("controls",'Proposed Lighting'!T135)),"True","False")="False",'Proposed Lighting'!DD135="Submit Control as Non-Standard"),"Yes","No"))</f>
        <v>No</v>
      </c>
      <c r="D138" s="1403">
        <f>'Proposed Lighting'!CV135-Q138</f>
        <v>0</v>
      </c>
      <c r="E138" s="143">
        <f>'Proposed Lighting'!T135</f>
        <v>0</v>
      </c>
      <c r="F138" s="143">
        <f>'Proposed Lighting'!F135</f>
        <v>0</v>
      </c>
      <c r="G138" s="96" t="s">
        <v>242</v>
      </c>
      <c r="H138" s="142" t="str">
        <f>'Proposed Lighting'!CP135</f>
        <v/>
      </c>
      <c r="I138" s="98">
        <v>1</v>
      </c>
      <c r="J138" s="142">
        <f>'Proposed Lighting'!AA135</f>
        <v>0</v>
      </c>
      <c r="K138" s="142" t="str">
        <f>IF(ISNUMBER(SEARCH("-C",'Proposed Lighting'!M135)),'Proposed Lighting'!AH135*0.9,'Proposed Lighting'!AH135)</f>
        <v/>
      </c>
      <c r="L138" s="142">
        <f>IFERROR(IF(OR('Proposed Lighting'!BC135=22,'Proposed Lighting'!BC135=44),1-25%,IF(OR('Proposed Lighting'!BC135=23,'Proposed Lighting'!BC135=46),1-30%,IF(OR('Proposed Lighting'!BC135=29,'Proposed Lighting'!BC135=39,'Proposed Lighting'!BC135=49),1-35%,IF(OR('Proposed Lighting'!BC135=24,'Proposed Lighting'!BC135=48),1-50%,IF(AND(ISNUMBER(SEARCH("-C",'Proposed Lighting'!M135)),'Proposed Lighting'!AU135=2),90%,100%)))))*'Proposed Lighting'!AH135,0)</f>
        <v>0</v>
      </c>
      <c r="M138" s="87">
        <f t="shared" si="15"/>
        <v>0</v>
      </c>
      <c r="N138" s="87">
        <f>IFERROR(IF('Proposed Lighting'!AU135=1,0,'Proposed Lighting'!AO135),0)</f>
        <v>0</v>
      </c>
      <c r="O138" s="88">
        <f>IF('Proposed Lighting'!AU135=1,0,'Proposed Lighting'!AP135)</f>
        <v>0</v>
      </c>
      <c r="P138" s="87">
        <f t="shared" si="16"/>
        <v>0</v>
      </c>
      <c r="Q138" s="98">
        <f t="shared" si="25"/>
        <v>0</v>
      </c>
      <c r="R138" s="99">
        <f>IFERROR(IF('Proposed Lighting'!T135="Lighting controls only",0,ROUND(IF('Proposed Lighting'!AQ135&lt;'Proposed Lighting'!AR135,0,IF('Proposed Lighting'!AH135=0,0,IF('Proposed Lighting'!BV135&gt;0,'Proposed Lighting'!BV135,IF('Proposed Lighting'!CL135=0,MIN('Proposed Lighting'!CN135:CO135),IF('Proposed Lighting'!CX135&gt;0,'Proposed Lighting'!CX135*'Proposed Lighting'!AA135,0))))),2)),0)</f>
        <v>0</v>
      </c>
      <c r="S138" s="99">
        <f>IF('Proposed Lighting'!AJ135&gt;0,'Proposed Lighting'!AJ135*J138,'Proposed Lighting'!$AU$328*J138)</f>
        <v>0</v>
      </c>
      <c r="T138" s="602">
        <f t="shared" si="17"/>
        <v>0</v>
      </c>
      <c r="U138" s="100"/>
      <c r="V138" s="99">
        <f t="shared" si="18"/>
        <v>0</v>
      </c>
      <c r="W138" s="99">
        <f t="shared" si="19"/>
        <v>0</v>
      </c>
      <c r="X138" s="99">
        <f t="shared" si="20"/>
        <v>0</v>
      </c>
      <c r="Y138" s="99"/>
      <c r="Z138" s="99">
        <f t="shared" si="26"/>
        <v>0</v>
      </c>
      <c r="AA138" s="99"/>
      <c r="AB138" s="99">
        <f t="shared" si="21"/>
        <v>0</v>
      </c>
      <c r="AC138" s="101" t="str">
        <f t="shared" si="22"/>
        <v/>
      </c>
      <c r="AD138" s="101" t="str">
        <f t="shared" si="23"/>
        <v/>
      </c>
      <c r="AE138" s="101" t="str">
        <f t="shared" si="24"/>
        <v/>
      </c>
      <c r="AF138" s="72"/>
      <c r="AG138" s="98">
        <f>IFERROR(IF($AV138="No",0,IF($AV138="yes",Summary!Q138,"")),"")</f>
        <v>0</v>
      </c>
      <c r="AH138" s="99">
        <f>IFERROR(IF($AV138="No",0,IF($AV138="yes",Summary!R138,"")),"")</f>
        <v>0</v>
      </c>
      <c r="AI138" s="99">
        <f>IFERROR(IF($AV138="No",0,IF($AV138="yes",Summary!S138,"")),"")</f>
        <v>0</v>
      </c>
      <c r="AJ138" s="602">
        <f>IFERROR(IF($AV138="No",0,IF($AV138="yes",Summary!T138,"")),"")</f>
        <v>0</v>
      </c>
      <c r="AK138" s="100">
        <f>IFERROR(IF($AV138="No",0,IF($AV138="yes",Summary!U138,"")),"")</f>
        <v>0</v>
      </c>
      <c r="AL138" s="99">
        <f>IFERROR(IF($AV138="No",0,IF($AV138="yes",Summary!V138,"")),"")</f>
        <v>0</v>
      </c>
      <c r="AM138" s="99">
        <f>IFERROR(IF($AV138="No",0,IF($AV138="yes",Summary!W138,"")),"")</f>
        <v>0</v>
      </c>
      <c r="AN138" s="99">
        <f>IFERROR(IF($AV138="No",0,IF($AV138="yes",Summary!X138,"")),"")</f>
        <v>0</v>
      </c>
      <c r="AO138" s="99">
        <f>IFERROR(IF($AV138="No",0,IF($AV138="yes",Summary!Y138+Z138,"")),"")</f>
        <v>0</v>
      </c>
      <c r="AP138" s="99">
        <f>IFERROR(IF($AV138="No",0,IF($AV138="yes",Summary!AB138,"")),"")</f>
        <v>0</v>
      </c>
      <c r="AQ138" s="101" t="str">
        <f t="shared" si="27"/>
        <v/>
      </c>
      <c r="AR138" s="101" t="str">
        <f t="shared" si="28"/>
        <v/>
      </c>
      <c r="AS138" s="101" t="str">
        <f t="shared" si="29"/>
        <v/>
      </c>
      <c r="AT138" s="96" t="s">
        <v>552</v>
      </c>
      <c r="AV138" t="str">
        <f>IF('Proposed Lighting'!CN135&gt;0,"No","Yes")</f>
        <v>Yes</v>
      </c>
    </row>
    <row r="139" spans="1:48" ht="34.5" customHeight="1" outlineLevel="1">
      <c r="A139" s="96" t="s">
        <v>553</v>
      </c>
      <c r="B139" s="96" t="str">
        <f>IF(ISNUMBER(SEARCH("case",E139)),"COM_MISC_REFR_ALL_UNKN1991",IF('Proposed Lighting'!AU136=3,"Commercial-All Com-ExtLight",IF('Proposed Lighting'!AH136&gt;8759,"IPC_8760","Commercial-All Com-IntLight")))</f>
        <v>IPC_8760</v>
      </c>
      <c r="C139" s="96" t="str">
        <f>IF(OR('Proposed Lighting'!DD136="Standard Incentive",'Proposed Lighting'!DD136="Non-Standard Incentive"),"Yes",IF(AND(IF(ISNUMBER(SEARCH("controls",'Proposed Lighting'!T136)),"True","False")="False",'Proposed Lighting'!DD136="Submit Control as Non-Standard"),"Yes","No"))</f>
        <v>No</v>
      </c>
      <c r="D139" s="1403">
        <f>'Proposed Lighting'!CV136-Q139</f>
        <v>0</v>
      </c>
      <c r="E139" s="143">
        <f>'Proposed Lighting'!T136</f>
        <v>0</v>
      </c>
      <c r="F139" s="143">
        <f>'Proposed Lighting'!F136</f>
        <v>0</v>
      </c>
      <c r="G139" s="96" t="s">
        <v>242</v>
      </c>
      <c r="H139" s="142" t="str">
        <f>'Proposed Lighting'!CP136</f>
        <v/>
      </c>
      <c r="I139" s="98">
        <v>1</v>
      </c>
      <c r="J139" s="142">
        <f>'Proposed Lighting'!AA136</f>
        <v>0</v>
      </c>
      <c r="K139" s="142" t="str">
        <f>IF(ISNUMBER(SEARCH("-C",'Proposed Lighting'!M136)),'Proposed Lighting'!AH136*0.9,'Proposed Lighting'!AH136)</f>
        <v/>
      </c>
      <c r="L139" s="142">
        <f>IFERROR(IF(OR('Proposed Lighting'!BC136=22,'Proposed Lighting'!BC136=44),1-25%,IF(OR('Proposed Lighting'!BC136=23,'Proposed Lighting'!BC136=46),1-30%,IF(OR('Proposed Lighting'!BC136=29,'Proposed Lighting'!BC136=39,'Proposed Lighting'!BC136=49),1-35%,IF(OR('Proposed Lighting'!BC136=24,'Proposed Lighting'!BC136=48),1-50%,IF(AND(ISNUMBER(SEARCH("-C",'Proposed Lighting'!M136)),'Proposed Lighting'!AU136=2),90%,100%)))))*'Proposed Lighting'!AH136,0)</f>
        <v>0</v>
      </c>
      <c r="M139" s="87">
        <f t="shared" si="15"/>
        <v>0</v>
      </c>
      <c r="N139" s="87">
        <f>IFERROR(IF('Proposed Lighting'!AU136=1,0,'Proposed Lighting'!AO136),0)</f>
        <v>0</v>
      </c>
      <c r="O139" s="88">
        <f>IF('Proposed Lighting'!AU136=1,0,'Proposed Lighting'!AP136)</f>
        <v>0</v>
      </c>
      <c r="P139" s="87">
        <f t="shared" si="16"/>
        <v>0</v>
      </c>
      <c r="Q139" s="98">
        <f t="shared" si="25"/>
        <v>0</v>
      </c>
      <c r="R139" s="99">
        <f>IFERROR(IF('Proposed Lighting'!T136="Lighting controls only",0,ROUND(IF('Proposed Lighting'!AQ136&lt;'Proposed Lighting'!AR136,0,IF('Proposed Lighting'!AH136=0,0,IF('Proposed Lighting'!BV136&gt;0,'Proposed Lighting'!BV136,IF('Proposed Lighting'!CL136=0,MIN('Proposed Lighting'!CN136:CO136),IF('Proposed Lighting'!CX136&gt;0,'Proposed Lighting'!CX136*'Proposed Lighting'!AA136,0))))),2)),0)</f>
        <v>0</v>
      </c>
      <c r="S139" s="99">
        <f>IF('Proposed Lighting'!AJ136&gt;0,'Proposed Lighting'!AJ136*J139,'Proposed Lighting'!$AU$328*J139)</f>
        <v>0</v>
      </c>
      <c r="T139" s="602">
        <f t="shared" si="17"/>
        <v>0</v>
      </c>
      <c r="U139" s="100"/>
      <c r="V139" s="99">
        <f t="shared" si="18"/>
        <v>0</v>
      </c>
      <c r="W139" s="99">
        <f t="shared" si="19"/>
        <v>0</v>
      </c>
      <c r="X139" s="99">
        <f t="shared" si="20"/>
        <v>0</v>
      </c>
      <c r="Y139" s="99"/>
      <c r="Z139" s="99">
        <f t="shared" si="26"/>
        <v>0</v>
      </c>
      <c r="AA139" s="99"/>
      <c r="AB139" s="99">
        <f t="shared" si="21"/>
        <v>0</v>
      </c>
      <c r="AC139" s="101" t="str">
        <f t="shared" si="22"/>
        <v/>
      </c>
      <c r="AD139" s="101" t="str">
        <f t="shared" si="23"/>
        <v/>
      </c>
      <c r="AE139" s="101" t="str">
        <f t="shared" si="24"/>
        <v/>
      </c>
      <c r="AF139" s="72"/>
      <c r="AG139" s="98">
        <f>IFERROR(IF($AV139="No",0,IF($AV139="yes",Summary!Q139,"")),"")</f>
        <v>0</v>
      </c>
      <c r="AH139" s="99">
        <f>IFERROR(IF($AV139="No",0,IF($AV139="yes",Summary!R139,"")),"")</f>
        <v>0</v>
      </c>
      <c r="AI139" s="99">
        <f>IFERROR(IF($AV139="No",0,IF($AV139="yes",Summary!S139,"")),"")</f>
        <v>0</v>
      </c>
      <c r="AJ139" s="602">
        <f>IFERROR(IF($AV139="No",0,IF($AV139="yes",Summary!T139,"")),"")</f>
        <v>0</v>
      </c>
      <c r="AK139" s="100">
        <f>IFERROR(IF($AV139="No",0,IF($AV139="yes",Summary!U139,"")),"")</f>
        <v>0</v>
      </c>
      <c r="AL139" s="99">
        <f>IFERROR(IF($AV139="No",0,IF($AV139="yes",Summary!V139,"")),"")</f>
        <v>0</v>
      </c>
      <c r="AM139" s="99">
        <f>IFERROR(IF($AV139="No",0,IF($AV139="yes",Summary!W139,"")),"")</f>
        <v>0</v>
      </c>
      <c r="AN139" s="99">
        <f>IFERROR(IF($AV139="No",0,IF($AV139="yes",Summary!X139,"")),"")</f>
        <v>0</v>
      </c>
      <c r="AO139" s="99">
        <f>IFERROR(IF($AV139="No",0,IF($AV139="yes",Summary!Y139+Z139,"")),"")</f>
        <v>0</v>
      </c>
      <c r="AP139" s="99">
        <f>IFERROR(IF($AV139="No",0,IF($AV139="yes",Summary!AB139,"")),"")</f>
        <v>0</v>
      </c>
      <c r="AQ139" s="101" t="str">
        <f t="shared" si="27"/>
        <v/>
      </c>
      <c r="AR139" s="101" t="str">
        <f t="shared" si="28"/>
        <v/>
      </c>
      <c r="AS139" s="101" t="str">
        <f t="shared" si="29"/>
        <v/>
      </c>
      <c r="AT139" s="96" t="s">
        <v>553</v>
      </c>
      <c r="AV139" t="str">
        <f>IF('Proposed Lighting'!CN136&gt;0,"No","Yes")</f>
        <v>Yes</v>
      </c>
    </row>
    <row r="140" spans="1:48" ht="34.5" customHeight="1" outlineLevel="1">
      <c r="A140" s="96" t="s">
        <v>554</v>
      </c>
      <c r="B140" s="96" t="str">
        <f>IF(ISNUMBER(SEARCH("case",E140)),"COM_MISC_REFR_ALL_UNKN1991",IF('Proposed Lighting'!AU137=3,"Commercial-All Com-ExtLight",IF('Proposed Lighting'!AH137&gt;8759,"IPC_8760","Commercial-All Com-IntLight")))</f>
        <v>IPC_8760</v>
      </c>
      <c r="C140" s="96" t="str">
        <f>IF(OR('Proposed Lighting'!DD137="Standard Incentive",'Proposed Lighting'!DD137="Non-Standard Incentive"),"Yes",IF(AND(IF(ISNUMBER(SEARCH("controls",'Proposed Lighting'!T137)),"True","False")="False",'Proposed Lighting'!DD137="Submit Control as Non-Standard"),"Yes","No"))</f>
        <v>No</v>
      </c>
      <c r="D140" s="1403">
        <f>'Proposed Lighting'!CV137-Q140</f>
        <v>0</v>
      </c>
      <c r="E140" s="143">
        <f>'Proposed Lighting'!T137</f>
        <v>0</v>
      </c>
      <c r="F140" s="143">
        <f>'Proposed Lighting'!F137</f>
        <v>0</v>
      </c>
      <c r="G140" s="96" t="s">
        <v>242</v>
      </c>
      <c r="H140" s="142" t="str">
        <f>'Proposed Lighting'!CP137</f>
        <v/>
      </c>
      <c r="I140" s="98">
        <v>1</v>
      </c>
      <c r="J140" s="142">
        <f>'Proposed Lighting'!AA137</f>
        <v>0</v>
      </c>
      <c r="K140" s="142" t="str">
        <f>IF(ISNUMBER(SEARCH("-C",'Proposed Lighting'!M137)),'Proposed Lighting'!AH137*0.9,'Proposed Lighting'!AH137)</f>
        <v/>
      </c>
      <c r="L140" s="142">
        <f>IFERROR(IF(OR('Proposed Lighting'!BC137=22,'Proposed Lighting'!BC137=44),1-25%,IF(OR('Proposed Lighting'!BC137=23,'Proposed Lighting'!BC137=46),1-30%,IF(OR('Proposed Lighting'!BC137=29,'Proposed Lighting'!BC137=39,'Proposed Lighting'!BC137=49),1-35%,IF(OR('Proposed Lighting'!BC137=24,'Proposed Lighting'!BC137=48),1-50%,IF(AND(ISNUMBER(SEARCH("-C",'Proposed Lighting'!M137)),'Proposed Lighting'!AU137=2),90%,100%)))))*'Proposed Lighting'!AH137,0)</f>
        <v>0</v>
      </c>
      <c r="M140" s="87">
        <f t="shared" ref="M140:M203" si="30">IFERROR(K140-L140,0)</f>
        <v>0</v>
      </c>
      <c r="N140" s="87">
        <f>IFERROR(IF('Proposed Lighting'!AU137=1,0,'Proposed Lighting'!AO137),0)</f>
        <v>0</v>
      </c>
      <c r="O140" s="88">
        <f>IF('Proposed Lighting'!AU137=1,0,'Proposed Lighting'!AP137)</f>
        <v>0</v>
      </c>
      <c r="P140" s="87">
        <f t="shared" ref="P140:P203" si="31">N140-O140</f>
        <v>0</v>
      </c>
      <c r="Q140" s="98">
        <f t="shared" si="25"/>
        <v>0</v>
      </c>
      <c r="R140" s="99">
        <f>IFERROR(IF('Proposed Lighting'!T137="Lighting controls only",0,ROUND(IF('Proposed Lighting'!AQ137&lt;'Proposed Lighting'!AR137,0,IF('Proposed Lighting'!AH137=0,0,IF('Proposed Lighting'!BV137&gt;0,'Proposed Lighting'!BV137,IF('Proposed Lighting'!CL137=0,MIN('Proposed Lighting'!CN137:CO137),IF('Proposed Lighting'!CX137&gt;0,'Proposed Lighting'!CX137*'Proposed Lighting'!AA137,0))))),2)),0)</f>
        <v>0</v>
      </c>
      <c r="S140" s="99">
        <f>IF('Proposed Lighting'!AJ137&gt;0,'Proposed Lighting'!AJ137*J140,'Proposed Lighting'!$AU$328*J140)</f>
        <v>0</v>
      </c>
      <c r="T140" s="602">
        <f t="shared" ref="T140:T203" si="32">IF(Q140=0,0,S140/SUM($S$12:$S$311))</f>
        <v>0</v>
      </c>
      <c r="U140" s="100"/>
      <c r="V140" s="99">
        <f t="shared" ref="V140:V203" si="33">IFERROR((PV($C$6,$H140,-(IF(Q140=0,Q140,Q140)))*$C$7)*((1+$C$6)^0.5),0)</f>
        <v>0</v>
      </c>
      <c r="W140" s="99">
        <f t="shared" ref="W140:W203" si="34">IFERROR((VLOOKUP($B140,loadshapeac,$H140+1,FALSE)*$Q140),0)</f>
        <v>0</v>
      </c>
      <c r="X140" s="99">
        <f t="shared" ref="X140:X203" si="35">IFERROR((VLOOKUP($B140,loadshapeac,$H140+1,FALSE)*$Q140)*1.1,0)</f>
        <v>0</v>
      </c>
      <c r="Y140" s="99"/>
      <c r="Z140" s="99">
        <f t="shared" si="26"/>
        <v>0</v>
      </c>
      <c r="AA140" s="99"/>
      <c r="AB140" s="99">
        <f t="shared" ref="AB140:AB203" si="36">IFERROR(PV($C$6,$H140,-$AA140)*((1+$C$6)^0.5),0)</f>
        <v>0</v>
      </c>
      <c r="AC140" s="101" t="str">
        <f t="shared" ref="AC140:AC203" si="37">IFERROR(IF($Q140&lt;0,"",(V140+R140+Y140+Z140+AB140)/(S140)),"")</f>
        <v/>
      </c>
      <c r="AD140" s="101" t="str">
        <f t="shared" ref="AD140:AD203" si="38">IFERROR(IF($Q140&lt;0,"",(I140*W140)/(((IF(Q140=0,Q140,Q140))*U140)+R140)),"")</f>
        <v/>
      </c>
      <c r="AE140" s="101" t="str">
        <f t="shared" ref="AE140:AE203" si="39">IFERROR(IF($Q140&lt;0,"",IF(S140=0,((X140+Y140+Z140+AB140)*I140)/((Q140*U140)+R140),((X140+Y140+Z140+AB140)*I140)/((Q140*U140)+R140+((S140-R140)*I140)))),"")</f>
        <v/>
      </c>
      <c r="AF140" s="72"/>
      <c r="AG140" s="98">
        <f>IFERROR(IF($AV140="No",0,IF($AV140="yes",Summary!Q140,"")),"")</f>
        <v>0</v>
      </c>
      <c r="AH140" s="99">
        <f>IFERROR(IF($AV140="No",0,IF($AV140="yes",Summary!R140,"")),"")</f>
        <v>0</v>
      </c>
      <c r="AI140" s="99">
        <f>IFERROR(IF($AV140="No",0,IF($AV140="yes",Summary!S140,"")),"")</f>
        <v>0</v>
      </c>
      <c r="AJ140" s="602">
        <f>IFERROR(IF($AV140="No",0,IF($AV140="yes",Summary!T140,"")),"")</f>
        <v>0</v>
      </c>
      <c r="AK140" s="100">
        <f>IFERROR(IF($AV140="No",0,IF($AV140="yes",Summary!U140,"")),"")</f>
        <v>0</v>
      </c>
      <c r="AL140" s="99">
        <f>IFERROR(IF($AV140="No",0,IF($AV140="yes",Summary!V140,"")),"")</f>
        <v>0</v>
      </c>
      <c r="AM140" s="99">
        <f>IFERROR(IF($AV140="No",0,IF($AV140="yes",Summary!W140,"")),"")</f>
        <v>0</v>
      </c>
      <c r="AN140" s="99">
        <f>IFERROR(IF($AV140="No",0,IF($AV140="yes",Summary!X140,"")),"")</f>
        <v>0</v>
      </c>
      <c r="AO140" s="99">
        <f>IFERROR(IF($AV140="No",0,IF($AV140="yes",Summary!Y140+Z140,"")),"")</f>
        <v>0</v>
      </c>
      <c r="AP140" s="99">
        <f>IFERROR(IF($AV140="No",0,IF($AV140="yes",Summary!AB140,"")),"")</f>
        <v>0</v>
      </c>
      <c r="AQ140" s="101" t="str">
        <f t="shared" si="27"/>
        <v/>
      </c>
      <c r="AR140" s="101" t="str">
        <f t="shared" si="28"/>
        <v/>
      </c>
      <c r="AS140" s="101" t="str">
        <f t="shared" si="29"/>
        <v/>
      </c>
      <c r="AT140" s="96" t="s">
        <v>554</v>
      </c>
      <c r="AV140" t="str">
        <f>IF('Proposed Lighting'!CN137&gt;0,"No","Yes")</f>
        <v>Yes</v>
      </c>
    </row>
    <row r="141" spans="1:48" ht="34.5" customHeight="1" outlineLevel="1">
      <c r="A141" s="96" t="s">
        <v>555</v>
      </c>
      <c r="B141" s="96" t="str">
        <f>IF(ISNUMBER(SEARCH("case",E141)),"COM_MISC_REFR_ALL_UNKN1991",IF('Proposed Lighting'!AU138=3,"Commercial-All Com-ExtLight",IF('Proposed Lighting'!AH138&gt;8759,"IPC_8760","Commercial-All Com-IntLight")))</f>
        <v>IPC_8760</v>
      </c>
      <c r="C141" s="96" t="str">
        <f>IF(OR('Proposed Lighting'!DD138="Standard Incentive",'Proposed Lighting'!DD138="Non-Standard Incentive"),"Yes",IF(AND(IF(ISNUMBER(SEARCH("controls",'Proposed Lighting'!T138)),"True","False")="False",'Proposed Lighting'!DD138="Submit Control as Non-Standard"),"Yes","No"))</f>
        <v>No</v>
      </c>
      <c r="D141" s="1403">
        <f>'Proposed Lighting'!CV138-Q141</f>
        <v>0</v>
      </c>
      <c r="E141" s="143">
        <f>'Proposed Lighting'!T138</f>
        <v>0</v>
      </c>
      <c r="F141" s="143">
        <f>'Proposed Lighting'!F138</f>
        <v>0</v>
      </c>
      <c r="G141" s="96" t="s">
        <v>242</v>
      </c>
      <c r="H141" s="142" t="str">
        <f>'Proposed Lighting'!CP138</f>
        <v/>
      </c>
      <c r="I141" s="98">
        <v>1</v>
      </c>
      <c r="J141" s="142">
        <f>'Proposed Lighting'!AA138</f>
        <v>0</v>
      </c>
      <c r="K141" s="142" t="str">
        <f>IF(ISNUMBER(SEARCH("-C",'Proposed Lighting'!M138)),'Proposed Lighting'!AH138*0.9,'Proposed Lighting'!AH138)</f>
        <v/>
      </c>
      <c r="L141" s="142">
        <f>IFERROR(IF(OR('Proposed Lighting'!BC138=22,'Proposed Lighting'!BC138=44),1-25%,IF(OR('Proposed Lighting'!BC138=23,'Proposed Lighting'!BC138=46),1-30%,IF(OR('Proposed Lighting'!BC138=29,'Proposed Lighting'!BC138=39,'Proposed Lighting'!BC138=49),1-35%,IF(OR('Proposed Lighting'!BC138=24,'Proposed Lighting'!BC138=48),1-50%,IF(AND(ISNUMBER(SEARCH("-C",'Proposed Lighting'!M138)),'Proposed Lighting'!AU138=2),90%,100%)))))*'Proposed Lighting'!AH138,0)</f>
        <v>0</v>
      </c>
      <c r="M141" s="87">
        <f t="shared" si="30"/>
        <v>0</v>
      </c>
      <c r="N141" s="87">
        <f>IFERROR(IF('Proposed Lighting'!AU138=1,0,'Proposed Lighting'!AO138),0)</f>
        <v>0</v>
      </c>
      <c r="O141" s="88">
        <f>IF('Proposed Lighting'!AU138=1,0,'Proposed Lighting'!AP138)</f>
        <v>0</v>
      </c>
      <c r="P141" s="87">
        <f t="shared" si="31"/>
        <v>0</v>
      </c>
      <c r="Q141" s="98">
        <f t="shared" ref="Q141:Q204" si="40">IFERROR(ROUND(ROUND(IF(((K141*N141)-(L141*O141))&lt;0,0,(K141*N141)-(L141*O141)),2),0),0)</f>
        <v>0</v>
      </c>
      <c r="R141" s="99">
        <f>IFERROR(IF('Proposed Lighting'!T138="Lighting controls only",0,ROUND(IF('Proposed Lighting'!AQ138&lt;'Proposed Lighting'!AR138,0,IF('Proposed Lighting'!AH138=0,0,IF('Proposed Lighting'!BV138&gt;0,'Proposed Lighting'!BV138,IF('Proposed Lighting'!CL138=0,MIN('Proposed Lighting'!CN138:CO138),IF('Proposed Lighting'!CX138&gt;0,'Proposed Lighting'!CX138*'Proposed Lighting'!AA138,0))))),2)),0)</f>
        <v>0</v>
      </c>
      <c r="S141" s="99">
        <f>IF('Proposed Lighting'!AJ138&gt;0,'Proposed Lighting'!AJ138*J141,'Proposed Lighting'!$AU$328*J141)</f>
        <v>0</v>
      </c>
      <c r="T141" s="602">
        <f t="shared" si="32"/>
        <v>0</v>
      </c>
      <c r="U141" s="100"/>
      <c r="V141" s="99">
        <f t="shared" si="33"/>
        <v>0</v>
      </c>
      <c r="W141" s="99">
        <f t="shared" si="34"/>
        <v>0</v>
      </c>
      <c r="X141" s="99">
        <f t="shared" si="35"/>
        <v>0</v>
      </c>
      <c r="Y141" s="99"/>
      <c r="Z141" s="99">
        <f t="shared" ref="Z141:Z204" si="41">IF($Y$3="yes",IF(ISNUMBER(SEARCH("LED",$F141)),0,IF(ISNUMBER(SEARCH("LED",$E141)),S141*3%,0)))</f>
        <v>0</v>
      </c>
      <c r="AA141" s="99"/>
      <c r="AB141" s="99">
        <f t="shared" si="36"/>
        <v>0</v>
      </c>
      <c r="AC141" s="101" t="str">
        <f t="shared" si="37"/>
        <v/>
      </c>
      <c r="AD141" s="101" t="str">
        <f t="shared" si="38"/>
        <v/>
      </c>
      <c r="AE141" s="101" t="str">
        <f t="shared" si="39"/>
        <v/>
      </c>
      <c r="AF141" s="72"/>
      <c r="AG141" s="98">
        <f>IFERROR(IF($AV141="No",0,IF($AV141="yes",Summary!Q141,"")),"")</f>
        <v>0</v>
      </c>
      <c r="AH141" s="99">
        <f>IFERROR(IF($AV141="No",0,IF($AV141="yes",Summary!R141,"")),"")</f>
        <v>0</v>
      </c>
      <c r="AI141" s="99">
        <f>IFERROR(IF($AV141="No",0,IF($AV141="yes",Summary!S141,"")),"")</f>
        <v>0</v>
      </c>
      <c r="AJ141" s="602">
        <f>IFERROR(IF($AV141="No",0,IF($AV141="yes",Summary!T141,"")),"")</f>
        <v>0</v>
      </c>
      <c r="AK141" s="100">
        <f>IFERROR(IF($AV141="No",0,IF($AV141="yes",Summary!U141,"")),"")</f>
        <v>0</v>
      </c>
      <c r="AL141" s="99">
        <f>IFERROR(IF($AV141="No",0,IF($AV141="yes",Summary!V141,"")),"")</f>
        <v>0</v>
      </c>
      <c r="AM141" s="99">
        <f>IFERROR(IF($AV141="No",0,IF($AV141="yes",Summary!W141,"")),"")</f>
        <v>0</v>
      </c>
      <c r="AN141" s="99">
        <f>IFERROR(IF($AV141="No",0,IF($AV141="yes",Summary!X141,"")),"")</f>
        <v>0</v>
      </c>
      <c r="AO141" s="99">
        <f>IFERROR(IF($AV141="No",0,IF($AV141="yes",Summary!Y141+Z141,"")),"")</f>
        <v>0</v>
      </c>
      <c r="AP141" s="99">
        <f>IFERROR(IF($AV141="No",0,IF($AV141="yes",Summary!AB141,"")),"")</f>
        <v>0</v>
      </c>
      <c r="AQ141" s="101" t="str">
        <f t="shared" si="27"/>
        <v/>
      </c>
      <c r="AR141" s="101" t="str">
        <f t="shared" si="28"/>
        <v/>
      </c>
      <c r="AS141" s="101" t="str">
        <f t="shared" si="29"/>
        <v/>
      </c>
      <c r="AT141" s="96" t="s">
        <v>555</v>
      </c>
      <c r="AV141" t="str">
        <f>IF('Proposed Lighting'!CN138&gt;0,"No","Yes")</f>
        <v>Yes</v>
      </c>
    </row>
    <row r="142" spans="1:48" ht="34.5" customHeight="1" outlineLevel="1">
      <c r="A142" s="96" t="s">
        <v>556</v>
      </c>
      <c r="B142" s="96" t="str">
        <f>IF(ISNUMBER(SEARCH("case",E142)),"COM_MISC_REFR_ALL_UNKN1991",IF('Proposed Lighting'!AU139=3,"Commercial-All Com-ExtLight",IF('Proposed Lighting'!AH139&gt;8759,"IPC_8760","Commercial-All Com-IntLight")))</f>
        <v>IPC_8760</v>
      </c>
      <c r="C142" s="96" t="str">
        <f>IF(OR('Proposed Lighting'!DD139="Standard Incentive",'Proposed Lighting'!DD139="Non-Standard Incentive"),"Yes",IF(AND(IF(ISNUMBER(SEARCH("controls",'Proposed Lighting'!T139)),"True","False")="False",'Proposed Lighting'!DD139="Submit Control as Non-Standard"),"Yes","No"))</f>
        <v>No</v>
      </c>
      <c r="D142" s="1403">
        <f>'Proposed Lighting'!CV139-Q142</f>
        <v>0</v>
      </c>
      <c r="E142" s="143">
        <f>'Proposed Lighting'!T139</f>
        <v>0</v>
      </c>
      <c r="F142" s="143">
        <f>'Proposed Lighting'!F139</f>
        <v>0</v>
      </c>
      <c r="G142" s="96" t="s">
        <v>242</v>
      </c>
      <c r="H142" s="142" t="str">
        <f>'Proposed Lighting'!CP139</f>
        <v/>
      </c>
      <c r="I142" s="98">
        <v>1</v>
      </c>
      <c r="J142" s="142">
        <f>'Proposed Lighting'!AA139</f>
        <v>0</v>
      </c>
      <c r="K142" s="142" t="str">
        <f>IF(ISNUMBER(SEARCH("-C",'Proposed Lighting'!M139)),'Proposed Lighting'!AH139*0.9,'Proposed Lighting'!AH139)</f>
        <v/>
      </c>
      <c r="L142" s="142">
        <f>IFERROR(IF(OR('Proposed Lighting'!BC139=22,'Proposed Lighting'!BC139=44),1-25%,IF(OR('Proposed Lighting'!BC139=23,'Proposed Lighting'!BC139=46),1-30%,IF(OR('Proposed Lighting'!BC139=29,'Proposed Lighting'!BC139=39,'Proposed Lighting'!BC139=49),1-35%,IF(OR('Proposed Lighting'!BC139=24,'Proposed Lighting'!BC139=48),1-50%,IF(AND(ISNUMBER(SEARCH("-C",'Proposed Lighting'!M139)),'Proposed Lighting'!AU139=2),90%,100%)))))*'Proposed Lighting'!AH139,0)</f>
        <v>0</v>
      </c>
      <c r="M142" s="87">
        <f t="shared" si="30"/>
        <v>0</v>
      </c>
      <c r="N142" s="87">
        <f>IFERROR(IF('Proposed Lighting'!AU139=1,0,'Proposed Lighting'!AO139),0)</f>
        <v>0</v>
      </c>
      <c r="O142" s="88">
        <f>IF('Proposed Lighting'!AU139=1,0,'Proposed Lighting'!AP139)</f>
        <v>0</v>
      </c>
      <c r="P142" s="87">
        <f t="shared" si="31"/>
        <v>0</v>
      </c>
      <c r="Q142" s="98">
        <f t="shared" si="40"/>
        <v>0</v>
      </c>
      <c r="R142" s="99">
        <f>IFERROR(IF('Proposed Lighting'!T139="Lighting controls only",0,ROUND(IF('Proposed Lighting'!AQ139&lt;'Proposed Lighting'!AR139,0,IF('Proposed Lighting'!AH139=0,0,IF('Proposed Lighting'!BV139&gt;0,'Proposed Lighting'!BV139,IF('Proposed Lighting'!CL139=0,MIN('Proposed Lighting'!CN139:CO139),IF('Proposed Lighting'!CX139&gt;0,'Proposed Lighting'!CX139*'Proposed Lighting'!AA139,0))))),2)),0)</f>
        <v>0</v>
      </c>
      <c r="S142" s="99">
        <f>IF('Proposed Lighting'!AJ139&gt;0,'Proposed Lighting'!AJ139*J142,'Proposed Lighting'!$AU$328*J142)</f>
        <v>0</v>
      </c>
      <c r="T142" s="602">
        <f t="shared" si="32"/>
        <v>0</v>
      </c>
      <c r="U142" s="100"/>
      <c r="V142" s="99">
        <f t="shared" si="33"/>
        <v>0</v>
      </c>
      <c r="W142" s="99">
        <f t="shared" si="34"/>
        <v>0</v>
      </c>
      <c r="X142" s="99">
        <f t="shared" si="35"/>
        <v>0</v>
      </c>
      <c r="Y142" s="99"/>
      <c r="Z142" s="99">
        <f t="shared" si="41"/>
        <v>0</v>
      </c>
      <c r="AA142" s="99"/>
      <c r="AB142" s="99">
        <f t="shared" si="36"/>
        <v>0</v>
      </c>
      <c r="AC142" s="101" t="str">
        <f t="shared" si="37"/>
        <v/>
      </c>
      <c r="AD142" s="101" t="str">
        <f t="shared" si="38"/>
        <v/>
      </c>
      <c r="AE142" s="101" t="str">
        <f t="shared" si="39"/>
        <v/>
      </c>
      <c r="AF142" s="72"/>
      <c r="AG142" s="98">
        <f>IFERROR(IF($AV142="No",0,IF($AV142="yes",Summary!Q142,"")),"")</f>
        <v>0</v>
      </c>
      <c r="AH142" s="99">
        <f>IFERROR(IF($AV142="No",0,IF($AV142="yes",Summary!R142,"")),"")</f>
        <v>0</v>
      </c>
      <c r="AI142" s="99">
        <f>IFERROR(IF($AV142="No",0,IF($AV142="yes",Summary!S142,"")),"")</f>
        <v>0</v>
      </c>
      <c r="AJ142" s="602">
        <f>IFERROR(IF($AV142="No",0,IF($AV142="yes",Summary!T142,"")),"")</f>
        <v>0</v>
      </c>
      <c r="AK142" s="100">
        <f>IFERROR(IF($AV142="No",0,IF($AV142="yes",Summary!U142,"")),"")</f>
        <v>0</v>
      </c>
      <c r="AL142" s="99">
        <f>IFERROR(IF($AV142="No",0,IF($AV142="yes",Summary!V142,"")),"")</f>
        <v>0</v>
      </c>
      <c r="AM142" s="99">
        <f>IFERROR(IF($AV142="No",0,IF($AV142="yes",Summary!W142,"")),"")</f>
        <v>0</v>
      </c>
      <c r="AN142" s="99">
        <f>IFERROR(IF($AV142="No",0,IF($AV142="yes",Summary!X142,"")),"")</f>
        <v>0</v>
      </c>
      <c r="AO142" s="99">
        <f>IFERROR(IF($AV142="No",0,IF($AV142="yes",Summary!Y142+Z142,"")),"")</f>
        <v>0</v>
      </c>
      <c r="AP142" s="99">
        <f>IFERROR(IF($AV142="No",0,IF($AV142="yes",Summary!AB142,"")),"")</f>
        <v>0</v>
      </c>
      <c r="AQ142" s="101" t="str">
        <f t="shared" ref="AQ142:AQ205" si="42">IFERROR(IF($AG142&lt;0,"",(AL142+AH142+AO142+AP142)/(AI142)),"")</f>
        <v/>
      </c>
      <c r="AR142" s="101" t="str">
        <f t="shared" ref="AR142:AR205" si="43">IFERROR(IF($AG142&lt;0,"",(I142*AM142)/(((IF(AG142=0,AG142,AG142))*AK142)+AH142)),"")</f>
        <v/>
      </c>
      <c r="AS142" s="101" t="str">
        <f t="shared" ref="AS142:AS205" si="44">IFERROR(IF($AG142&lt;0,"",IF(AI142=0,((AN142+AO142+AP142)*I142)/((AG142*AK142)+AH142),((AN142+AO142+AP142)*I142)/((AG142*AK142)+AH142+((AI142-AH142)*I142)))),"")</f>
        <v/>
      </c>
      <c r="AT142" s="96" t="s">
        <v>556</v>
      </c>
      <c r="AV142" t="str">
        <f>IF('Proposed Lighting'!CN139&gt;0,"No","Yes")</f>
        <v>Yes</v>
      </c>
    </row>
    <row r="143" spans="1:48" ht="34.5" customHeight="1" outlineLevel="1">
      <c r="A143" s="96" t="s">
        <v>557</v>
      </c>
      <c r="B143" s="96" t="str">
        <f>IF(ISNUMBER(SEARCH("case",E143)),"COM_MISC_REFR_ALL_UNKN1991",IF('Proposed Lighting'!AU140=3,"Commercial-All Com-ExtLight",IF('Proposed Lighting'!AH140&gt;8759,"IPC_8760","Commercial-All Com-IntLight")))</f>
        <v>IPC_8760</v>
      </c>
      <c r="C143" s="96" t="str">
        <f>IF(OR('Proposed Lighting'!DD140="Standard Incentive",'Proposed Lighting'!DD140="Non-Standard Incentive"),"Yes",IF(AND(IF(ISNUMBER(SEARCH("controls",'Proposed Lighting'!T140)),"True","False")="False",'Proposed Lighting'!DD140="Submit Control as Non-Standard"),"Yes","No"))</f>
        <v>No</v>
      </c>
      <c r="D143" s="1403">
        <f>'Proposed Lighting'!CV140-Q143</f>
        <v>0</v>
      </c>
      <c r="E143" s="143">
        <f>'Proposed Lighting'!T140</f>
        <v>0</v>
      </c>
      <c r="F143" s="143">
        <f>'Proposed Lighting'!F140</f>
        <v>0</v>
      </c>
      <c r="G143" s="96" t="s">
        <v>242</v>
      </c>
      <c r="H143" s="142" t="str">
        <f>'Proposed Lighting'!CP140</f>
        <v/>
      </c>
      <c r="I143" s="98">
        <v>1</v>
      </c>
      <c r="J143" s="142">
        <f>'Proposed Lighting'!AA140</f>
        <v>0</v>
      </c>
      <c r="K143" s="142" t="str">
        <f>IF(ISNUMBER(SEARCH("-C",'Proposed Lighting'!M140)),'Proposed Lighting'!AH140*0.9,'Proposed Lighting'!AH140)</f>
        <v/>
      </c>
      <c r="L143" s="142">
        <f>IFERROR(IF(OR('Proposed Lighting'!BC140=22,'Proposed Lighting'!BC140=44),1-25%,IF(OR('Proposed Lighting'!BC140=23,'Proposed Lighting'!BC140=46),1-30%,IF(OR('Proposed Lighting'!BC140=29,'Proposed Lighting'!BC140=39,'Proposed Lighting'!BC140=49),1-35%,IF(OR('Proposed Lighting'!BC140=24,'Proposed Lighting'!BC140=48),1-50%,IF(AND(ISNUMBER(SEARCH("-C",'Proposed Lighting'!M140)),'Proposed Lighting'!AU140=2),90%,100%)))))*'Proposed Lighting'!AH140,0)</f>
        <v>0</v>
      </c>
      <c r="M143" s="87">
        <f t="shared" si="30"/>
        <v>0</v>
      </c>
      <c r="N143" s="87">
        <f>IFERROR(IF('Proposed Lighting'!AU140=1,0,'Proposed Lighting'!AO140),0)</f>
        <v>0</v>
      </c>
      <c r="O143" s="88">
        <f>IF('Proposed Lighting'!AU140=1,0,'Proposed Lighting'!AP140)</f>
        <v>0</v>
      </c>
      <c r="P143" s="87">
        <f t="shared" si="31"/>
        <v>0</v>
      </c>
      <c r="Q143" s="98">
        <f t="shared" si="40"/>
        <v>0</v>
      </c>
      <c r="R143" s="99">
        <f>IFERROR(IF('Proposed Lighting'!T140="Lighting controls only",0,ROUND(IF('Proposed Lighting'!AQ140&lt;'Proposed Lighting'!AR140,0,IF('Proposed Lighting'!AH140=0,0,IF('Proposed Lighting'!BV140&gt;0,'Proposed Lighting'!BV140,IF('Proposed Lighting'!CL140=0,MIN('Proposed Lighting'!CN140:CO140),IF('Proposed Lighting'!CX140&gt;0,'Proposed Lighting'!CX140*'Proposed Lighting'!AA140,0))))),2)),0)</f>
        <v>0</v>
      </c>
      <c r="S143" s="99">
        <f>IF('Proposed Lighting'!AJ140&gt;0,'Proposed Lighting'!AJ140*J143,'Proposed Lighting'!$AU$328*J143)</f>
        <v>0</v>
      </c>
      <c r="T143" s="602">
        <f t="shared" si="32"/>
        <v>0</v>
      </c>
      <c r="U143" s="100"/>
      <c r="V143" s="99">
        <f t="shared" si="33"/>
        <v>0</v>
      </c>
      <c r="W143" s="99">
        <f t="shared" si="34"/>
        <v>0</v>
      </c>
      <c r="X143" s="99">
        <f t="shared" si="35"/>
        <v>0</v>
      </c>
      <c r="Y143" s="99"/>
      <c r="Z143" s="99">
        <f t="shared" si="41"/>
        <v>0</v>
      </c>
      <c r="AA143" s="99"/>
      <c r="AB143" s="99">
        <f t="shared" si="36"/>
        <v>0</v>
      </c>
      <c r="AC143" s="101" t="str">
        <f t="shared" si="37"/>
        <v/>
      </c>
      <c r="AD143" s="101" t="str">
        <f t="shared" si="38"/>
        <v/>
      </c>
      <c r="AE143" s="101" t="str">
        <f t="shared" si="39"/>
        <v/>
      </c>
      <c r="AF143" s="72"/>
      <c r="AG143" s="98">
        <f>IFERROR(IF($AV143="No",0,IF($AV143="yes",Summary!Q143,"")),"")</f>
        <v>0</v>
      </c>
      <c r="AH143" s="99">
        <f>IFERROR(IF($AV143="No",0,IF($AV143="yes",Summary!R143,"")),"")</f>
        <v>0</v>
      </c>
      <c r="AI143" s="99">
        <f>IFERROR(IF($AV143="No",0,IF($AV143="yes",Summary!S143,"")),"")</f>
        <v>0</v>
      </c>
      <c r="AJ143" s="602">
        <f>IFERROR(IF($AV143="No",0,IF($AV143="yes",Summary!T143,"")),"")</f>
        <v>0</v>
      </c>
      <c r="AK143" s="100">
        <f>IFERROR(IF($AV143="No",0,IF($AV143="yes",Summary!U143,"")),"")</f>
        <v>0</v>
      </c>
      <c r="AL143" s="99">
        <f>IFERROR(IF($AV143="No",0,IF($AV143="yes",Summary!V143,"")),"")</f>
        <v>0</v>
      </c>
      <c r="AM143" s="99">
        <f>IFERROR(IF($AV143="No",0,IF($AV143="yes",Summary!W143,"")),"")</f>
        <v>0</v>
      </c>
      <c r="AN143" s="99">
        <f>IFERROR(IF($AV143="No",0,IF($AV143="yes",Summary!X143,"")),"")</f>
        <v>0</v>
      </c>
      <c r="AO143" s="99">
        <f>IFERROR(IF($AV143="No",0,IF($AV143="yes",Summary!Y143+Z143,"")),"")</f>
        <v>0</v>
      </c>
      <c r="AP143" s="99">
        <f>IFERROR(IF($AV143="No",0,IF($AV143="yes",Summary!AB143,"")),"")</f>
        <v>0</v>
      </c>
      <c r="AQ143" s="101" t="str">
        <f t="shared" si="42"/>
        <v/>
      </c>
      <c r="AR143" s="101" t="str">
        <f t="shared" si="43"/>
        <v/>
      </c>
      <c r="AS143" s="101" t="str">
        <f t="shared" si="44"/>
        <v/>
      </c>
      <c r="AT143" s="96" t="s">
        <v>557</v>
      </c>
      <c r="AV143" t="str">
        <f>IF('Proposed Lighting'!CN140&gt;0,"No","Yes")</f>
        <v>Yes</v>
      </c>
    </row>
    <row r="144" spans="1:48" ht="34.5" customHeight="1" outlineLevel="1">
      <c r="A144" s="96" t="s">
        <v>558</v>
      </c>
      <c r="B144" s="96" t="str">
        <f>IF(ISNUMBER(SEARCH("case",E144)),"COM_MISC_REFR_ALL_UNKN1991",IF('Proposed Lighting'!AU141=3,"Commercial-All Com-ExtLight",IF('Proposed Lighting'!AH141&gt;8759,"IPC_8760","Commercial-All Com-IntLight")))</f>
        <v>IPC_8760</v>
      </c>
      <c r="C144" s="96" t="str">
        <f>IF(OR('Proposed Lighting'!DD141="Standard Incentive",'Proposed Lighting'!DD141="Non-Standard Incentive"),"Yes",IF(AND(IF(ISNUMBER(SEARCH("controls",'Proposed Lighting'!T141)),"True","False")="False",'Proposed Lighting'!DD141="Submit Control as Non-Standard"),"Yes","No"))</f>
        <v>No</v>
      </c>
      <c r="D144" s="1403">
        <f>'Proposed Lighting'!CV141-Q144</f>
        <v>0</v>
      </c>
      <c r="E144" s="143">
        <f>'Proposed Lighting'!T141</f>
        <v>0</v>
      </c>
      <c r="F144" s="143">
        <f>'Proposed Lighting'!F141</f>
        <v>0</v>
      </c>
      <c r="G144" s="96" t="s">
        <v>242</v>
      </c>
      <c r="H144" s="142" t="str">
        <f>'Proposed Lighting'!CP141</f>
        <v/>
      </c>
      <c r="I144" s="98">
        <v>1</v>
      </c>
      <c r="J144" s="142">
        <f>'Proposed Lighting'!AA141</f>
        <v>0</v>
      </c>
      <c r="K144" s="142" t="str">
        <f>IF(ISNUMBER(SEARCH("-C",'Proposed Lighting'!M141)),'Proposed Lighting'!AH141*0.9,'Proposed Lighting'!AH141)</f>
        <v/>
      </c>
      <c r="L144" s="142">
        <f>IFERROR(IF(OR('Proposed Lighting'!BC141=22,'Proposed Lighting'!BC141=44),1-25%,IF(OR('Proposed Lighting'!BC141=23,'Proposed Lighting'!BC141=46),1-30%,IF(OR('Proposed Lighting'!BC141=29,'Proposed Lighting'!BC141=39,'Proposed Lighting'!BC141=49),1-35%,IF(OR('Proposed Lighting'!BC141=24,'Proposed Lighting'!BC141=48),1-50%,IF(AND(ISNUMBER(SEARCH("-C",'Proposed Lighting'!M141)),'Proposed Lighting'!AU141=2),90%,100%)))))*'Proposed Lighting'!AH141,0)</f>
        <v>0</v>
      </c>
      <c r="M144" s="87">
        <f t="shared" si="30"/>
        <v>0</v>
      </c>
      <c r="N144" s="87">
        <f>IFERROR(IF('Proposed Lighting'!AU141=1,0,'Proposed Lighting'!AO141),0)</f>
        <v>0</v>
      </c>
      <c r="O144" s="88">
        <f>IF('Proposed Lighting'!AU141=1,0,'Proposed Lighting'!AP141)</f>
        <v>0</v>
      </c>
      <c r="P144" s="87">
        <f t="shared" si="31"/>
        <v>0</v>
      </c>
      <c r="Q144" s="98">
        <f t="shared" si="40"/>
        <v>0</v>
      </c>
      <c r="R144" s="99">
        <f>IFERROR(IF('Proposed Lighting'!T141="Lighting controls only",0,ROUND(IF('Proposed Lighting'!AQ141&lt;'Proposed Lighting'!AR141,0,IF('Proposed Lighting'!AH141=0,0,IF('Proposed Lighting'!BV141&gt;0,'Proposed Lighting'!BV141,IF('Proposed Lighting'!CL141=0,MIN('Proposed Lighting'!CN141:CO141),IF('Proposed Lighting'!CX141&gt;0,'Proposed Lighting'!CX141*'Proposed Lighting'!AA141,0))))),2)),0)</f>
        <v>0</v>
      </c>
      <c r="S144" s="99">
        <f>IF('Proposed Lighting'!AJ141&gt;0,'Proposed Lighting'!AJ141*J144,'Proposed Lighting'!$AU$328*J144)</f>
        <v>0</v>
      </c>
      <c r="T144" s="602">
        <f t="shared" si="32"/>
        <v>0</v>
      </c>
      <c r="U144" s="100"/>
      <c r="V144" s="99">
        <f t="shared" si="33"/>
        <v>0</v>
      </c>
      <c r="W144" s="99">
        <f t="shared" si="34"/>
        <v>0</v>
      </c>
      <c r="X144" s="99">
        <f t="shared" si="35"/>
        <v>0</v>
      </c>
      <c r="Y144" s="99"/>
      <c r="Z144" s="99">
        <f t="shared" si="41"/>
        <v>0</v>
      </c>
      <c r="AA144" s="99"/>
      <c r="AB144" s="99">
        <f t="shared" si="36"/>
        <v>0</v>
      </c>
      <c r="AC144" s="101" t="str">
        <f t="shared" si="37"/>
        <v/>
      </c>
      <c r="AD144" s="101" t="str">
        <f t="shared" si="38"/>
        <v/>
      </c>
      <c r="AE144" s="101" t="str">
        <f t="shared" si="39"/>
        <v/>
      </c>
      <c r="AF144" s="72"/>
      <c r="AG144" s="98">
        <f>IFERROR(IF($AV144="No",0,IF($AV144="yes",Summary!Q144,"")),"")</f>
        <v>0</v>
      </c>
      <c r="AH144" s="99">
        <f>IFERROR(IF($AV144="No",0,IF($AV144="yes",Summary!R144,"")),"")</f>
        <v>0</v>
      </c>
      <c r="AI144" s="99">
        <f>IFERROR(IF($AV144="No",0,IF($AV144="yes",Summary!S144,"")),"")</f>
        <v>0</v>
      </c>
      <c r="AJ144" s="602">
        <f>IFERROR(IF($AV144="No",0,IF($AV144="yes",Summary!T144,"")),"")</f>
        <v>0</v>
      </c>
      <c r="AK144" s="100">
        <f>IFERROR(IF($AV144="No",0,IF($AV144="yes",Summary!U144,"")),"")</f>
        <v>0</v>
      </c>
      <c r="AL144" s="99">
        <f>IFERROR(IF($AV144="No",0,IF($AV144="yes",Summary!V144,"")),"")</f>
        <v>0</v>
      </c>
      <c r="AM144" s="99">
        <f>IFERROR(IF($AV144="No",0,IF($AV144="yes",Summary!W144,"")),"")</f>
        <v>0</v>
      </c>
      <c r="AN144" s="99">
        <f>IFERROR(IF($AV144="No",0,IF($AV144="yes",Summary!X144,"")),"")</f>
        <v>0</v>
      </c>
      <c r="AO144" s="99">
        <f>IFERROR(IF($AV144="No",0,IF($AV144="yes",Summary!Y144+Z144,"")),"")</f>
        <v>0</v>
      </c>
      <c r="AP144" s="99">
        <f>IFERROR(IF($AV144="No",0,IF($AV144="yes",Summary!AB144,"")),"")</f>
        <v>0</v>
      </c>
      <c r="AQ144" s="101" t="str">
        <f t="shared" si="42"/>
        <v/>
      </c>
      <c r="AR144" s="101" t="str">
        <f t="shared" si="43"/>
        <v/>
      </c>
      <c r="AS144" s="101" t="str">
        <f t="shared" si="44"/>
        <v/>
      </c>
      <c r="AT144" s="96" t="s">
        <v>558</v>
      </c>
      <c r="AV144" t="str">
        <f>IF('Proposed Lighting'!CN141&gt;0,"No","Yes")</f>
        <v>Yes</v>
      </c>
    </row>
    <row r="145" spans="1:48" ht="34.5" customHeight="1" outlineLevel="1">
      <c r="A145" s="96" t="s">
        <v>559</v>
      </c>
      <c r="B145" s="96" t="str">
        <f>IF(ISNUMBER(SEARCH("case",E145)),"COM_MISC_REFR_ALL_UNKN1991",IF('Proposed Lighting'!AU142=3,"Commercial-All Com-ExtLight",IF('Proposed Lighting'!AH142&gt;8759,"IPC_8760","Commercial-All Com-IntLight")))</f>
        <v>IPC_8760</v>
      </c>
      <c r="C145" s="96" t="str">
        <f>IF(OR('Proposed Lighting'!DD142="Standard Incentive",'Proposed Lighting'!DD142="Non-Standard Incentive"),"Yes",IF(AND(IF(ISNUMBER(SEARCH("controls",'Proposed Lighting'!T142)),"True","False")="False",'Proposed Lighting'!DD142="Submit Control as Non-Standard"),"Yes","No"))</f>
        <v>No</v>
      </c>
      <c r="D145" s="1403">
        <f>'Proposed Lighting'!CV142-Q145</f>
        <v>0</v>
      </c>
      <c r="E145" s="143">
        <f>'Proposed Lighting'!T142</f>
        <v>0</v>
      </c>
      <c r="F145" s="143">
        <f>'Proposed Lighting'!F142</f>
        <v>0</v>
      </c>
      <c r="G145" s="96" t="s">
        <v>242</v>
      </c>
      <c r="H145" s="142" t="str">
        <f>'Proposed Lighting'!CP142</f>
        <v/>
      </c>
      <c r="I145" s="98">
        <v>1</v>
      </c>
      <c r="J145" s="142">
        <f>'Proposed Lighting'!AA142</f>
        <v>0</v>
      </c>
      <c r="K145" s="142" t="str">
        <f>IF(ISNUMBER(SEARCH("-C",'Proposed Lighting'!M142)),'Proposed Lighting'!AH142*0.9,'Proposed Lighting'!AH142)</f>
        <v/>
      </c>
      <c r="L145" s="142">
        <f>IFERROR(IF(OR('Proposed Lighting'!BC142=22,'Proposed Lighting'!BC142=44),1-25%,IF(OR('Proposed Lighting'!BC142=23,'Proposed Lighting'!BC142=46),1-30%,IF(OR('Proposed Lighting'!BC142=29,'Proposed Lighting'!BC142=39,'Proposed Lighting'!BC142=49),1-35%,IF(OR('Proposed Lighting'!BC142=24,'Proposed Lighting'!BC142=48),1-50%,IF(AND(ISNUMBER(SEARCH("-C",'Proposed Lighting'!M142)),'Proposed Lighting'!AU142=2),90%,100%)))))*'Proposed Lighting'!AH142,0)</f>
        <v>0</v>
      </c>
      <c r="M145" s="87">
        <f t="shared" si="30"/>
        <v>0</v>
      </c>
      <c r="N145" s="87">
        <f>IFERROR(IF('Proposed Lighting'!AU142=1,0,'Proposed Lighting'!AO142),0)</f>
        <v>0</v>
      </c>
      <c r="O145" s="88">
        <f>IF('Proposed Lighting'!AU142=1,0,'Proposed Lighting'!AP142)</f>
        <v>0</v>
      </c>
      <c r="P145" s="87">
        <f t="shared" si="31"/>
        <v>0</v>
      </c>
      <c r="Q145" s="98">
        <f t="shared" si="40"/>
        <v>0</v>
      </c>
      <c r="R145" s="99">
        <f>IFERROR(IF('Proposed Lighting'!T142="Lighting controls only",0,ROUND(IF('Proposed Lighting'!AQ142&lt;'Proposed Lighting'!AR142,0,IF('Proposed Lighting'!AH142=0,0,IF('Proposed Lighting'!BV142&gt;0,'Proposed Lighting'!BV142,IF('Proposed Lighting'!CL142=0,MIN('Proposed Lighting'!CN142:CO142),IF('Proposed Lighting'!CX142&gt;0,'Proposed Lighting'!CX142*'Proposed Lighting'!AA142,0))))),2)),0)</f>
        <v>0</v>
      </c>
      <c r="S145" s="99">
        <f>IF('Proposed Lighting'!AJ142&gt;0,'Proposed Lighting'!AJ142*J145,'Proposed Lighting'!$AU$328*J145)</f>
        <v>0</v>
      </c>
      <c r="T145" s="602">
        <f t="shared" si="32"/>
        <v>0</v>
      </c>
      <c r="U145" s="100"/>
      <c r="V145" s="99">
        <f t="shared" si="33"/>
        <v>0</v>
      </c>
      <c r="W145" s="99">
        <f t="shared" si="34"/>
        <v>0</v>
      </c>
      <c r="X145" s="99">
        <f t="shared" si="35"/>
        <v>0</v>
      </c>
      <c r="Y145" s="99"/>
      <c r="Z145" s="99">
        <f t="shared" si="41"/>
        <v>0</v>
      </c>
      <c r="AA145" s="99"/>
      <c r="AB145" s="99">
        <f t="shared" si="36"/>
        <v>0</v>
      </c>
      <c r="AC145" s="101" t="str">
        <f t="shared" si="37"/>
        <v/>
      </c>
      <c r="AD145" s="101" t="str">
        <f t="shared" si="38"/>
        <v/>
      </c>
      <c r="AE145" s="101" t="str">
        <f t="shared" si="39"/>
        <v/>
      </c>
      <c r="AF145" s="72"/>
      <c r="AG145" s="98">
        <f>IFERROR(IF($AV145="No",0,IF($AV145="yes",Summary!Q145,"")),"")</f>
        <v>0</v>
      </c>
      <c r="AH145" s="99">
        <f>IFERROR(IF($AV145="No",0,IF($AV145="yes",Summary!R145,"")),"")</f>
        <v>0</v>
      </c>
      <c r="AI145" s="99">
        <f>IFERROR(IF($AV145="No",0,IF($AV145="yes",Summary!S145,"")),"")</f>
        <v>0</v>
      </c>
      <c r="AJ145" s="602">
        <f>IFERROR(IF($AV145="No",0,IF($AV145="yes",Summary!T145,"")),"")</f>
        <v>0</v>
      </c>
      <c r="AK145" s="100">
        <f>IFERROR(IF($AV145="No",0,IF($AV145="yes",Summary!U145,"")),"")</f>
        <v>0</v>
      </c>
      <c r="AL145" s="99">
        <f>IFERROR(IF($AV145="No",0,IF($AV145="yes",Summary!V145,"")),"")</f>
        <v>0</v>
      </c>
      <c r="AM145" s="99">
        <f>IFERROR(IF($AV145="No",0,IF($AV145="yes",Summary!W145,"")),"")</f>
        <v>0</v>
      </c>
      <c r="AN145" s="99">
        <f>IFERROR(IF($AV145="No",0,IF($AV145="yes",Summary!X145,"")),"")</f>
        <v>0</v>
      </c>
      <c r="AO145" s="99">
        <f>IFERROR(IF($AV145="No",0,IF($AV145="yes",Summary!Y145+Z145,"")),"")</f>
        <v>0</v>
      </c>
      <c r="AP145" s="99">
        <f>IFERROR(IF($AV145="No",0,IF($AV145="yes",Summary!AB145,"")),"")</f>
        <v>0</v>
      </c>
      <c r="AQ145" s="101" t="str">
        <f t="shared" si="42"/>
        <v/>
      </c>
      <c r="AR145" s="101" t="str">
        <f t="shared" si="43"/>
        <v/>
      </c>
      <c r="AS145" s="101" t="str">
        <f t="shared" si="44"/>
        <v/>
      </c>
      <c r="AT145" s="96" t="s">
        <v>559</v>
      </c>
      <c r="AV145" t="str">
        <f>IF('Proposed Lighting'!CN142&gt;0,"No","Yes")</f>
        <v>Yes</v>
      </c>
    </row>
    <row r="146" spans="1:48" ht="34.5" customHeight="1" outlineLevel="1">
      <c r="A146" s="96" t="s">
        <v>560</v>
      </c>
      <c r="B146" s="96" t="str">
        <f>IF(ISNUMBER(SEARCH("case",E146)),"COM_MISC_REFR_ALL_UNKN1991",IF('Proposed Lighting'!AU143=3,"Commercial-All Com-ExtLight",IF('Proposed Lighting'!AH143&gt;8759,"IPC_8760","Commercial-All Com-IntLight")))</f>
        <v>IPC_8760</v>
      </c>
      <c r="C146" s="96" t="str">
        <f>IF(OR('Proposed Lighting'!DD143="Standard Incentive",'Proposed Lighting'!DD143="Non-Standard Incentive"),"Yes",IF(AND(IF(ISNUMBER(SEARCH("controls",'Proposed Lighting'!T143)),"True","False")="False",'Proposed Lighting'!DD143="Submit Control as Non-Standard"),"Yes","No"))</f>
        <v>No</v>
      </c>
      <c r="D146" s="1403">
        <f>'Proposed Lighting'!CV143-Q146</f>
        <v>0</v>
      </c>
      <c r="E146" s="143">
        <f>'Proposed Lighting'!T143</f>
        <v>0</v>
      </c>
      <c r="F146" s="143">
        <f>'Proposed Lighting'!F143</f>
        <v>0</v>
      </c>
      <c r="G146" s="96" t="s">
        <v>242</v>
      </c>
      <c r="H146" s="142" t="str">
        <f>'Proposed Lighting'!CP143</f>
        <v/>
      </c>
      <c r="I146" s="98">
        <v>1</v>
      </c>
      <c r="J146" s="142">
        <f>'Proposed Lighting'!AA143</f>
        <v>0</v>
      </c>
      <c r="K146" s="142" t="str">
        <f>IF(ISNUMBER(SEARCH("-C",'Proposed Lighting'!M143)),'Proposed Lighting'!AH143*0.9,'Proposed Lighting'!AH143)</f>
        <v/>
      </c>
      <c r="L146" s="142">
        <f>IFERROR(IF(OR('Proposed Lighting'!BC143=22,'Proposed Lighting'!BC143=44),1-25%,IF(OR('Proposed Lighting'!BC143=23,'Proposed Lighting'!BC143=46),1-30%,IF(OR('Proposed Lighting'!BC143=29,'Proposed Lighting'!BC143=39,'Proposed Lighting'!BC143=49),1-35%,IF(OR('Proposed Lighting'!BC143=24,'Proposed Lighting'!BC143=48),1-50%,IF(AND(ISNUMBER(SEARCH("-C",'Proposed Lighting'!M143)),'Proposed Lighting'!AU143=2),90%,100%)))))*'Proposed Lighting'!AH143,0)</f>
        <v>0</v>
      </c>
      <c r="M146" s="87">
        <f t="shared" si="30"/>
        <v>0</v>
      </c>
      <c r="N146" s="87">
        <f>IFERROR(IF('Proposed Lighting'!AU143=1,0,'Proposed Lighting'!AO143),0)</f>
        <v>0</v>
      </c>
      <c r="O146" s="88">
        <f>IF('Proposed Lighting'!AU143=1,0,'Proposed Lighting'!AP143)</f>
        <v>0</v>
      </c>
      <c r="P146" s="87">
        <f t="shared" si="31"/>
        <v>0</v>
      </c>
      <c r="Q146" s="98">
        <f t="shared" si="40"/>
        <v>0</v>
      </c>
      <c r="R146" s="99">
        <f>IFERROR(IF('Proposed Lighting'!T143="Lighting controls only",0,ROUND(IF('Proposed Lighting'!AQ143&lt;'Proposed Lighting'!AR143,0,IF('Proposed Lighting'!AH143=0,0,IF('Proposed Lighting'!BV143&gt;0,'Proposed Lighting'!BV143,IF('Proposed Lighting'!CL143=0,MIN('Proposed Lighting'!CN143:CO143),IF('Proposed Lighting'!CX143&gt;0,'Proposed Lighting'!CX143*'Proposed Lighting'!AA143,0))))),2)),0)</f>
        <v>0</v>
      </c>
      <c r="S146" s="99">
        <f>IF('Proposed Lighting'!AJ143&gt;0,'Proposed Lighting'!AJ143*J146,'Proposed Lighting'!$AU$328*J146)</f>
        <v>0</v>
      </c>
      <c r="T146" s="602">
        <f t="shared" si="32"/>
        <v>0</v>
      </c>
      <c r="U146" s="100"/>
      <c r="V146" s="99">
        <f t="shared" si="33"/>
        <v>0</v>
      </c>
      <c r="W146" s="99">
        <f t="shared" si="34"/>
        <v>0</v>
      </c>
      <c r="X146" s="99">
        <f t="shared" si="35"/>
        <v>0</v>
      </c>
      <c r="Y146" s="99"/>
      <c r="Z146" s="99">
        <f t="shared" si="41"/>
        <v>0</v>
      </c>
      <c r="AA146" s="99"/>
      <c r="AB146" s="99">
        <f t="shared" si="36"/>
        <v>0</v>
      </c>
      <c r="AC146" s="101" t="str">
        <f t="shared" si="37"/>
        <v/>
      </c>
      <c r="AD146" s="101" t="str">
        <f t="shared" si="38"/>
        <v/>
      </c>
      <c r="AE146" s="101" t="str">
        <f t="shared" si="39"/>
        <v/>
      </c>
      <c r="AF146" s="72"/>
      <c r="AG146" s="98">
        <f>IFERROR(IF($AV146="No",0,IF($AV146="yes",Summary!Q146,"")),"")</f>
        <v>0</v>
      </c>
      <c r="AH146" s="99">
        <f>IFERROR(IF($AV146="No",0,IF($AV146="yes",Summary!R146,"")),"")</f>
        <v>0</v>
      </c>
      <c r="AI146" s="99">
        <f>IFERROR(IF($AV146="No",0,IF($AV146="yes",Summary!S146,"")),"")</f>
        <v>0</v>
      </c>
      <c r="AJ146" s="602">
        <f>IFERROR(IF($AV146="No",0,IF($AV146="yes",Summary!T146,"")),"")</f>
        <v>0</v>
      </c>
      <c r="AK146" s="100">
        <f>IFERROR(IF($AV146="No",0,IF($AV146="yes",Summary!U146,"")),"")</f>
        <v>0</v>
      </c>
      <c r="AL146" s="99">
        <f>IFERROR(IF($AV146="No",0,IF($AV146="yes",Summary!V146,"")),"")</f>
        <v>0</v>
      </c>
      <c r="AM146" s="99">
        <f>IFERROR(IF($AV146="No",0,IF($AV146="yes",Summary!W146,"")),"")</f>
        <v>0</v>
      </c>
      <c r="AN146" s="99">
        <f>IFERROR(IF($AV146="No",0,IF($AV146="yes",Summary!X146,"")),"")</f>
        <v>0</v>
      </c>
      <c r="AO146" s="99">
        <f>IFERROR(IF($AV146="No",0,IF($AV146="yes",Summary!Y146+Z146,"")),"")</f>
        <v>0</v>
      </c>
      <c r="AP146" s="99">
        <f>IFERROR(IF($AV146="No",0,IF($AV146="yes",Summary!AB146,"")),"")</f>
        <v>0</v>
      </c>
      <c r="AQ146" s="101" t="str">
        <f t="shared" si="42"/>
        <v/>
      </c>
      <c r="AR146" s="101" t="str">
        <f t="shared" si="43"/>
        <v/>
      </c>
      <c r="AS146" s="101" t="str">
        <f t="shared" si="44"/>
        <v/>
      </c>
      <c r="AT146" s="96" t="s">
        <v>560</v>
      </c>
      <c r="AV146" t="str">
        <f>IF('Proposed Lighting'!CN143&gt;0,"No","Yes")</f>
        <v>Yes</v>
      </c>
    </row>
    <row r="147" spans="1:48" ht="34.5" customHeight="1" outlineLevel="1">
      <c r="A147" s="96" t="s">
        <v>561</v>
      </c>
      <c r="B147" s="96" t="str">
        <f>IF(ISNUMBER(SEARCH("case",E147)),"COM_MISC_REFR_ALL_UNKN1991",IF('Proposed Lighting'!AU144=3,"Commercial-All Com-ExtLight",IF('Proposed Lighting'!AH144&gt;8759,"IPC_8760","Commercial-All Com-IntLight")))</f>
        <v>IPC_8760</v>
      </c>
      <c r="C147" s="96" t="str">
        <f>IF(OR('Proposed Lighting'!DD144="Standard Incentive",'Proposed Lighting'!DD144="Non-Standard Incentive"),"Yes",IF(AND(IF(ISNUMBER(SEARCH("controls",'Proposed Lighting'!T144)),"True","False")="False",'Proposed Lighting'!DD144="Submit Control as Non-Standard"),"Yes","No"))</f>
        <v>No</v>
      </c>
      <c r="D147" s="1403">
        <f>'Proposed Lighting'!CV144-Q147</f>
        <v>0</v>
      </c>
      <c r="E147" s="143">
        <f>'Proposed Lighting'!T144</f>
        <v>0</v>
      </c>
      <c r="F147" s="143">
        <f>'Proposed Lighting'!F144</f>
        <v>0</v>
      </c>
      <c r="G147" s="96" t="s">
        <v>242</v>
      </c>
      <c r="H147" s="142" t="str">
        <f>'Proposed Lighting'!CP144</f>
        <v/>
      </c>
      <c r="I147" s="98">
        <v>1</v>
      </c>
      <c r="J147" s="142">
        <f>'Proposed Lighting'!AA144</f>
        <v>0</v>
      </c>
      <c r="K147" s="142" t="str">
        <f>IF(ISNUMBER(SEARCH("-C",'Proposed Lighting'!M144)),'Proposed Lighting'!AH144*0.9,'Proposed Lighting'!AH144)</f>
        <v/>
      </c>
      <c r="L147" s="142">
        <f>IFERROR(IF(OR('Proposed Lighting'!BC144=22,'Proposed Lighting'!BC144=44),1-25%,IF(OR('Proposed Lighting'!BC144=23,'Proposed Lighting'!BC144=46),1-30%,IF(OR('Proposed Lighting'!BC144=29,'Proposed Lighting'!BC144=39,'Proposed Lighting'!BC144=49),1-35%,IF(OR('Proposed Lighting'!BC144=24,'Proposed Lighting'!BC144=48),1-50%,IF(AND(ISNUMBER(SEARCH("-C",'Proposed Lighting'!M144)),'Proposed Lighting'!AU144=2),90%,100%)))))*'Proposed Lighting'!AH144,0)</f>
        <v>0</v>
      </c>
      <c r="M147" s="87">
        <f t="shared" si="30"/>
        <v>0</v>
      </c>
      <c r="N147" s="87">
        <f>IFERROR(IF('Proposed Lighting'!AU144=1,0,'Proposed Lighting'!AO144),0)</f>
        <v>0</v>
      </c>
      <c r="O147" s="88">
        <f>IF('Proposed Lighting'!AU144=1,0,'Proposed Lighting'!AP144)</f>
        <v>0</v>
      </c>
      <c r="P147" s="87">
        <f t="shared" si="31"/>
        <v>0</v>
      </c>
      <c r="Q147" s="98">
        <f t="shared" si="40"/>
        <v>0</v>
      </c>
      <c r="R147" s="99">
        <f>IFERROR(IF('Proposed Lighting'!T144="Lighting controls only",0,ROUND(IF('Proposed Lighting'!AQ144&lt;'Proposed Lighting'!AR144,0,IF('Proposed Lighting'!AH144=0,0,IF('Proposed Lighting'!BV144&gt;0,'Proposed Lighting'!BV144,IF('Proposed Lighting'!CL144=0,MIN('Proposed Lighting'!CN144:CO144),IF('Proposed Lighting'!CX144&gt;0,'Proposed Lighting'!CX144*'Proposed Lighting'!AA144,0))))),2)),0)</f>
        <v>0</v>
      </c>
      <c r="S147" s="99">
        <f>IF('Proposed Lighting'!AJ144&gt;0,'Proposed Lighting'!AJ144*J147,'Proposed Lighting'!$AU$328*J147)</f>
        <v>0</v>
      </c>
      <c r="T147" s="602">
        <f t="shared" si="32"/>
        <v>0</v>
      </c>
      <c r="U147" s="100"/>
      <c r="V147" s="99">
        <f t="shared" si="33"/>
        <v>0</v>
      </c>
      <c r="W147" s="99">
        <f t="shared" si="34"/>
        <v>0</v>
      </c>
      <c r="X147" s="99">
        <f t="shared" si="35"/>
        <v>0</v>
      </c>
      <c r="Y147" s="99"/>
      <c r="Z147" s="99">
        <f t="shared" si="41"/>
        <v>0</v>
      </c>
      <c r="AA147" s="99"/>
      <c r="AB147" s="99">
        <f t="shared" si="36"/>
        <v>0</v>
      </c>
      <c r="AC147" s="101" t="str">
        <f t="shared" si="37"/>
        <v/>
      </c>
      <c r="AD147" s="101" t="str">
        <f t="shared" si="38"/>
        <v/>
      </c>
      <c r="AE147" s="101" t="str">
        <f t="shared" si="39"/>
        <v/>
      </c>
      <c r="AF147" s="72"/>
      <c r="AG147" s="98">
        <f>IFERROR(IF($AV147="No",0,IF($AV147="yes",Summary!Q147,"")),"")</f>
        <v>0</v>
      </c>
      <c r="AH147" s="99">
        <f>IFERROR(IF($AV147="No",0,IF($AV147="yes",Summary!R147,"")),"")</f>
        <v>0</v>
      </c>
      <c r="AI147" s="99">
        <f>IFERROR(IF($AV147="No",0,IF($AV147="yes",Summary!S147,"")),"")</f>
        <v>0</v>
      </c>
      <c r="AJ147" s="602">
        <f>IFERROR(IF($AV147="No",0,IF($AV147="yes",Summary!T147,"")),"")</f>
        <v>0</v>
      </c>
      <c r="AK147" s="100">
        <f>IFERROR(IF($AV147="No",0,IF($AV147="yes",Summary!U147,"")),"")</f>
        <v>0</v>
      </c>
      <c r="AL147" s="99">
        <f>IFERROR(IF($AV147="No",0,IF($AV147="yes",Summary!V147,"")),"")</f>
        <v>0</v>
      </c>
      <c r="AM147" s="99">
        <f>IFERROR(IF($AV147="No",0,IF($AV147="yes",Summary!W147,"")),"")</f>
        <v>0</v>
      </c>
      <c r="AN147" s="99">
        <f>IFERROR(IF($AV147="No",0,IF($AV147="yes",Summary!X147,"")),"")</f>
        <v>0</v>
      </c>
      <c r="AO147" s="99">
        <f>IFERROR(IF($AV147="No",0,IF($AV147="yes",Summary!Y147+Z147,"")),"")</f>
        <v>0</v>
      </c>
      <c r="AP147" s="99">
        <f>IFERROR(IF($AV147="No",0,IF($AV147="yes",Summary!AB147,"")),"")</f>
        <v>0</v>
      </c>
      <c r="AQ147" s="101" t="str">
        <f t="shared" si="42"/>
        <v/>
      </c>
      <c r="AR147" s="101" t="str">
        <f t="shared" si="43"/>
        <v/>
      </c>
      <c r="AS147" s="101" t="str">
        <f t="shared" si="44"/>
        <v/>
      </c>
      <c r="AT147" s="96" t="s">
        <v>561</v>
      </c>
      <c r="AV147" t="str">
        <f>IF('Proposed Lighting'!CN144&gt;0,"No","Yes")</f>
        <v>Yes</v>
      </c>
    </row>
    <row r="148" spans="1:48" ht="34.5" customHeight="1" outlineLevel="1">
      <c r="A148" s="96" t="s">
        <v>562</v>
      </c>
      <c r="B148" s="96" t="str">
        <f>IF(ISNUMBER(SEARCH("case",E148)),"COM_MISC_REFR_ALL_UNKN1991",IF('Proposed Lighting'!AU145=3,"Commercial-All Com-ExtLight",IF('Proposed Lighting'!AH145&gt;8759,"IPC_8760","Commercial-All Com-IntLight")))</f>
        <v>IPC_8760</v>
      </c>
      <c r="C148" s="96" t="str">
        <f>IF(OR('Proposed Lighting'!DD145="Standard Incentive",'Proposed Lighting'!DD145="Non-Standard Incentive"),"Yes",IF(AND(IF(ISNUMBER(SEARCH("controls",'Proposed Lighting'!T145)),"True","False")="False",'Proposed Lighting'!DD145="Submit Control as Non-Standard"),"Yes","No"))</f>
        <v>No</v>
      </c>
      <c r="D148" s="1403">
        <f>'Proposed Lighting'!CV145-Q148</f>
        <v>0</v>
      </c>
      <c r="E148" s="143">
        <f>'Proposed Lighting'!T145</f>
        <v>0</v>
      </c>
      <c r="F148" s="143">
        <f>'Proposed Lighting'!F145</f>
        <v>0</v>
      </c>
      <c r="G148" s="96" t="s">
        <v>242</v>
      </c>
      <c r="H148" s="142" t="str">
        <f>'Proposed Lighting'!CP145</f>
        <v/>
      </c>
      <c r="I148" s="98">
        <v>1</v>
      </c>
      <c r="J148" s="142">
        <f>'Proposed Lighting'!AA145</f>
        <v>0</v>
      </c>
      <c r="K148" s="142" t="str">
        <f>IF(ISNUMBER(SEARCH("-C",'Proposed Lighting'!M145)),'Proposed Lighting'!AH145*0.9,'Proposed Lighting'!AH145)</f>
        <v/>
      </c>
      <c r="L148" s="142">
        <f>IFERROR(IF(OR('Proposed Lighting'!BC145=22,'Proposed Lighting'!BC145=44),1-25%,IF(OR('Proposed Lighting'!BC145=23,'Proposed Lighting'!BC145=46),1-30%,IF(OR('Proposed Lighting'!BC145=29,'Proposed Lighting'!BC145=39,'Proposed Lighting'!BC145=49),1-35%,IF(OR('Proposed Lighting'!BC145=24,'Proposed Lighting'!BC145=48),1-50%,IF(AND(ISNUMBER(SEARCH("-C",'Proposed Lighting'!M145)),'Proposed Lighting'!AU145=2),90%,100%)))))*'Proposed Lighting'!AH145,0)</f>
        <v>0</v>
      </c>
      <c r="M148" s="87">
        <f t="shared" si="30"/>
        <v>0</v>
      </c>
      <c r="N148" s="87">
        <f>IFERROR(IF('Proposed Lighting'!AU145=1,0,'Proposed Lighting'!AO145),0)</f>
        <v>0</v>
      </c>
      <c r="O148" s="88">
        <f>IF('Proposed Lighting'!AU145=1,0,'Proposed Lighting'!AP145)</f>
        <v>0</v>
      </c>
      <c r="P148" s="87">
        <f t="shared" si="31"/>
        <v>0</v>
      </c>
      <c r="Q148" s="98">
        <f t="shared" si="40"/>
        <v>0</v>
      </c>
      <c r="R148" s="99">
        <f>IFERROR(IF('Proposed Lighting'!T145="Lighting controls only",0,ROUND(IF('Proposed Lighting'!AQ145&lt;'Proposed Lighting'!AR145,0,IF('Proposed Lighting'!AH145=0,0,IF('Proposed Lighting'!BV145&gt;0,'Proposed Lighting'!BV145,IF('Proposed Lighting'!CL145=0,MIN('Proposed Lighting'!CN145:CO145),IF('Proposed Lighting'!CX145&gt;0,'Proposed Lighting'!CX145*'Proposed Lighting'!AA145,0))))),2)),0)</f>
        <v>0</v>
      </c>
      <c r="S148" s="99">
        <f>IF('Proposed Lighting'!AJ145&gt;0,'Proposed Lighting'!AJ145*J148,'Proposed Lighting'!$AU$328*J148)</f>
        <v>0</v>
      </c>
      <c r="T148" s="602">
        <f t="shared" si="32"/>
        <v>0</v>
      </c>
      <c r="U148" s="100"/>
      <c r="V148" s="99">
        <f t="shared" si="33"/>
        <v>0</v>
      </c>
      <c r="W148" s="99">
        <f t="shared" si="34"/>
        <v>0</v>
      </c>
      <c r="X148" s="99">
        <f t="shared" si="35"/>
        <v>0</v>
      </c>
      <c r="Y148" s="99"/>
      <c r="Z148" s="99">
        <f t="shared" si="41"/>
        <v>0</v>
      </c>
      <c r="AA148" s="99"/>
      <c r="AB148" s="99">
        <f t="shared" si="36"/>
        <v>0</v>
      </c>
      <c r="AC148" s="101" t="str">
        <f t="shared" si="37"/>
        <v/>
      </c>
      <c r="AD148" s="101" t="str">
        <f t="shared" si="38"/>
        <v/>
      </c>
      <c r="AE148" s="101" t="str">
        <f t="shared" si="39"/>
        <v/>
      </c>
      <c r="AF148" s="72"/>
      <c r="AG148" s="98">
        <f>IFERROR(IF($AV148="No",0,IF($AV148="yes",Summary!Q148,"")),"")</f>
        <v>0</v>
      </c>
      <c r="AH148" s="99">
        <f>IFERROR(IF($AV148="No",0,IF($AV148="yes",Summary!R148,"")),"")</f>
        <v>0</v>
      </c>
      <c r="AI148" s="99">
        <f>IFERROR(IF($AV148="No",0,IF($AV148="yes",Summary!S148,"")),"")</f>
        <v>0</v>
      </c>
      <c r="AJ148" s="602">
        <f>IFERROR(IF($AV148="No",0,IF($AV148="yes",Summary!T148,"")),"")</f>
        <v>0</v>
      </c>
      <c r="AK148" s="100">
        <f>IFERROR(IF($AV148="No",0,IF($AV148="yes",Summary!U148,"")),"")</f>
        <v>0</v>
      </c>
      <c r="AL148" s="99">
        <f>IFERROR(IF($AV148="No",0,IF($AV148="yes",Summary!V148,"")),"")</f>
        <v>0</v>
      </c>
      <c r="AM148" s="99">
        <f>IFERROR(IF($AV148="No",0,IF($AV148="yes",Summary!W148,"")),"")</f>
        <v>0</v>
      </c>
      <c r="AN148" s="99">
        <f>IFERROR(IF($AV148="No",0,IF($AV148="yes",Summary!X148,"")),"")</f>
        <v>0</v>
      </c>
      <c r="AO148" s="99">
        <f>IFERROR(IF($AV148="No",0,IF($AV148="yes",Summary!Y148+Z148,"")),"")</f>
        <v>0</v>
      </c>
      <c r="AP148" s="99">
        <f>IFERROR(IF($AV148="No",0,IF($AV148="yes",Summary!AB148,"")),"")</f>
        <v>0</v>
      </c>
      <c r="AQ148" s="101" t="str">
        <f t="shared" si="42"/>
        <v/>
      </c>
      <c r="AR148" s="101" t="str">
        <f t="shared" si="43"/>
        <v/>
      </c>
      <c r="AS148" s="101" t="str">
        <f t="shared" si="44"/>
        <v/>
      </c>
      <c r="AT148" s="96" t="s">
        <v>562</v>
      </c>
      <c r="AV148" t="str">
        <f>IF('Proposed Lighting'!CN145&gt;0,"No","Yes")</f>
        <v>Yes</v>
      </c>
    </row>
    <row r="149" spans="1:48" ht="34.5" customHeight="1" outlineLevel="1">
      <c r="A149" s="96" t="s">
        <v>563</v>
      </c>
      <c r="B149" s="96" t="str">
        <f>IF(ISNUMBER(SEARCH("case",E149)),"COM_MISC_REFR_ALL_UNKN1991",IF('Proposed Lighting'!AU146=3,"Commercial-All Com-ExtLight",IF('Proposed Lighting'!AH146&gt;8759,"IPC_8760","Commercial-All Com-IntLight")))</f>
        <v>IPC_8760</v>
      </c>
      <c r="C149" s="96" t="str">
        <f>IF(OR('Proposed Lighting'!DD146="Standard Incentive",'Proposed Lighting'!DD146="Non-Standard Incentive"),"Yes",IF(AND(IF(ISNUMBER(SEARCH("controls",'Proposed Lighting'!T146)),"True","False")="False",'Proposed Lighting'!DD146="Submit Control as Non-Standard"),"Yes","No"))</f>
        <v>No</v>
      </c>
      <c r="D149" s="1403">
        <f>'Proposed Lighting'!CV146-Q149</f>
        <v>0</v>
      </c>
      <c r="E149" s="143">
        <f>'Proposed Lighting'!T146</f>
        <v>0</v>
      </c>
      <c r="F149" s="143">
        <f>'Proposed Lighting'!F146</f>
        <v>0</v>
      </c>
      <c r="G149" s="96" t="s">
        <v>242</v>
      </c>
      <c r="H149" s="142" t="str">
        <f>'Proposed Lighting'!CP146</f>
        <v/>
      </c>
      <c r="I149" s="98">
        <v>1</v>
      </c>
      <c r="J149" s="142">
        <f>'Proposed Lighting'!AA146</f>
        <v>0</v>
      </c>
      <c r="K149" s="142" t="str">
        <f>IF(ISNUMBER(SEARCH("-C",'Proposed Lighting'!M146)),'Proposed Lighting'!AH146*0.9,'Proposed Lighting'!AH146)</f>
        <v/>
      </c>
      <c r="L149" s="142">
        <f>IFERROR(IF(OR('Proposed Lighting'!BC146=22,'Proposed Lighting'!BC146=44),1-25%,IF(OR('Proposed Lighting'!BC146=23,'Proposed Lighting'!BC146=46),1-30%,IF(OR('Proposed Lighting'!BC146=29,'Proposed Lighting'!BC146=39,'Proposed Lighting'!BC146=49),1-35%,IF(OR('Proposed Lighting'!BC146=24,'Proposed Lighting'!BC146=48),1-50%,IF(AND(ISNUMBER(SEARCH("-C",'Proposed Lighting'!M146)),'Proposed Lighting'!AU146=2),90%,100%)))))*'Proposed Lighting'!AH146,0)</f>
        <v>0</v>
      </c>
      <c r="M149" s="87">
        <f t="shared" si="30"/>
        <v>0</v>
      </c>
      <c r="N149" s="87">
        <f>IFERROR(IF('Proposed Lighting'!AU146=1,0,'Proposed Lighting'!AO146),0)</f>
        <v>0</v>
      </c>
      <c r="O149" s="88">
        <f>IF('Proposed Lighting'!AU146=1,0,'Proposed Lighting'!AP146)</f>
        <v>0</v>
      </c>
      <c r="P149" s="87">
        <f t="shared" si="31"/>
        <v>0</v>
      </c>
      <c r="Q149" s="98">
        <f t="shared" si="40"/>
        <v>0</v>
      </c>
      <c r="R149" s="99">
        <f>IFERROR(IF('Proposed Lighting'!T146="Lighting controls only",0,ROUND(IF('Proposed Lighting'!AQ146&lt;'Proposed Lighting'!AR146,0,IF('Proposed Lighting'!AH146=0,0,IF('Proposed Lighting'!BV146&gt;0,'Proposed Lighting'!BV146,IF('Proposed Lighting'!CL146=0,MIN('Proposed Lighting'!CN146:CO146),IF('Proposed Lighting'!CX146&gt;0,'Proposed Lighting'!CX146*'Proposed Lighting'!AA146,0))))),2)),0)</f>
        <v>0</v>
      </c>
      <c r="S149" s="99">
        <f>IF('Proposed Lighting'!AJ146&gt;0,'Proposed Lighting'!AJ146*J149,'Proposed Lighting'!$AU$328*J149)</f>
        <v>0</v>
      </c>
      <c r="T149" s="602">
        <f t="shared" si="32"/>
        <v>0</v>
      </c>
      <c r="U149" s="100"/>
      <c r="V149" s="99">
        <f t="shared" si="33"/>
        <v>0</v>
      </c>
      <c r="W149" s="99">
        <f t="shared" si="34"/>
        <v>0</v>
      </c>
      <c r="X149" s="99">
        <f t="shared" si="35"/>
        <v>0</v>
      </c>
      <c r="Y149" s="99"/>
      <c r="Z149" s="99">
        <f t="shared" si="41"/>
        <v>0</v>
      </c>
      <c r="AA149" s="99"/>
      <c r="AB149" s="99">
        <f t="shared" si="36"/>
        <v>0</v>
      </c>
      <c r="AC149" s="101" t="str">
        <f t="shared" si="37"/>
        <v/>
      </c>
      <c r="AD149" s="101" t="str">
        <f t="shared" si="38"/>
        <v/>
      </c>
      <c r="AE149" s="101" t="str">
        <f t="shared" si="39"/>
        <v/>
      </c>
      <c r="AF149" s="72"/>
      <c r="AG149" s="98">
        <f>IFERROR(IF($AV149="No",0,IF($AV149="yes",Summary!Q149,"")),"")</f>
        <v>0</v>
      </c>
      <c r="AH149" s="99">
        <f>IFERROR(IF($AV149="No",0,IF($AV149="yes",Summary!R149,"")),"")</f>
        <v>0</v>
      </c>
      <c r="AI149" s="99">
        <f>IFERROR(IF($AV149="No",0,IF($AV149="yes",Summary!S149,"")),"")</f>
        <v>0</v>
      </c>
      <c r="AJ149" s="602">
        <f>IFERROR(IF($AV149="No",0,IF($AV149="yes",Summary!T149,"")),"")</f>
        <v>0</v>
      </c>
      <c r="AK149" s="100">
        <f>IFERROR(IF($AV149="No",0,IF($AV149="yes",Summary!U149,"")),"")</f>
        <v>0</v>
      </c>
      <c r="AL149" s="99">
        <f>IFERROR(IF($AV149="No",0,IF($AV149="yes",Summary!V149,"")),"")</f>
        <v>0</v>
      </c>
      <c r="AM149" s="99">
        <f>IFERROR(IF($AV149="No",0,IF($AV149="yes",Summary!W149,"")),"")</f>
        <v>0</v>
      </c>
      <c r="AN149" s="99">
        <f>IFERROR(IF($AV149="No",0,IF($AV149="yes",Summary!X149,"")),"")</f>
        <v>0</v>
      </c>
      <c r="AO149" s="99">
        <f>IFERROR(IF($AV149="No",0,IF($AV149="yes",Summary!Y149+Z149,"")),"")</f>
        <v>0</v>
      </c>
      <c r="AP149" s="99">
        <f>IFERROR(IF($AV149="No",0,IF($AV149="yes",Summary!AB149,"")),"")</f>
        <v>0</v>
      </c>
      <c r="AQ149" s="101" t="str">
        <f t="shared" si="42"/>
        <v/>
      </c>
      <c r="AR149" s="101" t="str">
        <f t="shared" si="43"/>
        <v/>
      </c>
      <c r="AS149" s="101" t="str">
        <f t="shared" si="44"/>
        <v/>
      </c>
      <c r="AT149" s="96" t="s">
        <v>563</v>
      </c>
      <c r="AV149" t="str">
        <f>IF('Proposed Lighting'!CN146&gt;0,"No","Yes")</f>
        <v>Yes</v>
      </c>
    </row>
    <row r="150" spans="1:48" ht="34.5" customHeight="1" outlineLevel="1">
      <c r="A150" s="96" t="s">
        <v>564</v>
      </c>
      <c r="B150" s="96" t="str">
        <f>IF(ISNUMBER(SEARCH("case",E150)),"COM_MISC_REFR_ALL_UNKN1991",IF('Proposed Lighting'!AU147=3,"Commercial-All Com-ExtLight",IF('Proposed Lighting'!AH147&gt;8759,"IPC_8760","Commercial-All Com-IntLight")))</f>
        <v>IPC_8760</v>
      </c>
      <c r="C150" s="96" t="str">
        <f>IF(OR('Proposed Lighting'!DD147="Standard Incentive",'Proposed Lighting'!DD147="Non-Standard Incentive"),"Yes",IF(AND(IF(ISNUMBER(SEARCH("controls",'Proposed Lighting'!T147)),"True","False")="False",'Proposed Lighting'!DD147="Submit Control as Non-Standard"),"Yes","No"))</f>
        <v>No</v>
      </c>
      <c r="D150" s="1403">
        <f>'Proposed Lighting'!CV147-Q150</f>
        <v>0</v>
      </c>
      <c r="E150" s="143">
        <f>'Proposed Lighting'!T147</f>
        <v>0</v>
      </c>
      <c r="F150" s="143">
        <f>'Proposed Lighting'!F147</f>
        <v>0</v>
      </c>
      <c r="G150" s="96" t="s">
        <v>242</v>
      </c>
      <c r="H150" s="142" t="str">
        <f>'Proposed Lighting'!CP147</f>
        <v/>
      </c>
      <c r="I150" s="98">
        <v>1</v>
      </c>
      <c r="J150" s="142">
        <f>'Proposed Lighting'!AA147</f>
        <v>0</v>
      </c>
      <c r="K150" s="142" t="str">
        <f>IF(ISNUMBER(SEARCH("-C",'Proposed Lighting'!M147)),'Proposed Lighting'!AH147*0.9,'Proposed Lighting'!AH147)</f>
        <v/>
      </c>
      <c r="L150" s="142">
        <f>IFERROR(IF(OR('Proposed Lighting'!BC147=22,'Proposed Lighting'!BC147=44),1-25%,IF(OR('Proposed Lighting'!BC147=23,'Proposed Lighting'!BC147=46),1-30%,IF(OR('Proposed Lighting'!BC147=29,'Proposed Lighting'!BC147=39,'Proposed Lighting'!BC147=49),1-35%,IF(OR('Proposed Lighting'!BC147=24,'Proposed Lighting'!BC147=48),1-50%,IF(AND(ISNUMBER(SEARCH("-C",'Proposed Lighting'!M147)),'Proposed Lighting'!AU147=2),90%,100%)))))*'Proposed Lighting'!AH147,0)</f>
        <v>0</v>
      </c>
      <c r="M150" s="87">
        <f t="shared" si="30"/>
        <v>0</v>
      </c>
      <c r="N150" s="87">
        <f>IFERROR(IF('Proposed Lighting'!AU147=1,0,'Proposed Lighting'!AO147),0)</f>
        <v>0</v>
      </c>
      <c r="O150" s="88">
        <f>IF('Proposed Lighting'!AU147=1,0,'Proposed Lighting'!AP147)</f>
        <v>0</v>
      </c>
      <c r="P150" s="87">
        <f t="shared" si="31"/>
        <v>0</v>
      </c>
      <c r="Q150" s="98">
        <f t="shared" si="40"/>
        <v>0</v>
      </c>
      <c r="R150" s="99">
        <f>IFERROR(IF('Proposed Lighting'!T147="Lighting controls only",0,ROUND(IF('Proposed Lighting'!AQ147&lt;'Proposed Lighting'!AR147,0,IF('Proposed Lighting'!AH147=0,0,IF('Proposed Lighting'!BV147&gt;0,'Proposed Lighting'!BV147,IF('Proposed Lighting'!CL147=0,MIN('Proposed Lighting'!CN147:CO147),IF('Proposed Lighting'!CX147&gt;0,'Proposed Lighting'!CX147*'Proposed Lighting'!AA147,0))))),2)),0)</f>
        <v>0</v>
      </c>
      <c r="S150" s="99">
        <f>IF('Proposed Lighting'!AJ147&gt;0,'Proposed Lighting'!AJ147*J150,'Proposed Lighting'!$AU$328*J150)</f>
        <v>0</v>
      </c>
      <c r="T150" s="602">
        <f t="shared" si="32"/>
        <v>0</v>
      </c>
      <c r="U150" s="100"/>
      <c r="V150" s="99">
        <f t="shared" si="33"/>
        <v>0</v>
      </c>
      <c r="W150" s="99">
        <f t="shared" si="34"/>
        <v>0</v>
      </c>
      <c r="X150" s="99">
        <f t="shared" si="35"/>
        <v>0</v>
      </c>
      <c r="Y150" s="99"/>
      <c r="Z150" s="99">
        <f t="shared" si="41"/>
        <v>0</v>
      </c>
      <c r="AA150" s="99"/>
      <c r="AB150" s="99">
        <f t="shared" si="36"/>
        <v>0</v>
      </c>
      <c r="AC150" s="101" t="str">
        <f t="shared" si="37"/>
        <v/>
      </c>
      <c r="AD150" s="101" t="str">
        <f t="shared" si="38"/>
        <v/>
      </c>
      <c r="AE150" s="101" t="str">
        <f t="shared" si="39"/>
        <v/>
      </c>
      <c r="AF150" s="72"/>
      <c r="AG150" s="98">
        <f>IFERROR(IF($AV150="No",0,IF($AV150="yes",Summary!Q150,"")),"")</f>
        <v>0</v>
      </c>
      <c r="AH150" s="99">
        <f>IFERROR(IF($AV150="No",0,IF($AV150="yes",Summary!R150,"")),"")</f>
        <v>0</v>
      </c>
      <c r="AI150" s="99">
        <f>IFERROR(IF($AV150="No",0,IF($AV150="yes",Summary!S150,"")),"")</f>
        <v>0</v>
      </c>
      <c r="AJ150" s="602">
        <f>IFERROR(IF($AV150="No",0,IF($AV150="yes",Summary!T150,"")),"")</f>
        <v>0</v>
      </c>
      <c r="AK150" s="100">
        <f>IFERROR(IF($AV150="No",0,IF($AV150="yes",Summary!U150,"")),"")</f>
        <v>0</v>
      </c>
      <c r="AL150" s="99">
        <f>IFERROR(IF($AV150="No",0,IF($AV150="yes",Summary!V150,"")),"")</f>
        <v>0</v>
      </c>
      <c r="AM150" s="99">
        <f>IFERROR(IF($AV150="No",0,IF($AV150="yes",Summary!W150,"")),"")</f>
        <v>0</v>
      </c>
      <c r="AN150" s="99">
        <f>IFERROR(IF($AV150="No",0,IF($AV150="yes",Summary!X150,"")),"")</f>
        <v>0</v>
      </c>
      <c r="AO150" s="99">
        <f>IFERROR(IF($AV150="No",0,IF($AV150="yes",Summary!Y150+Z150,"")),"")</f>
        <v>0</v>
      </c>
      <c r="AP150" s="99">
        <f>IFERROR(IF($AV150="No",0,IF($AV150="yes",Summary!AB150,"")),"")</f>
        <v>0</v>
      </c>
      <c r="AQ150" s="101" t="str">
        <f t="shared" si="42"/>
        <v/>
      </c>
      <c r="AR150" s="101" t="str">
        <f t="shared" si="43"/>
        <v/>
      </c>
      <c r="AS150" s="101" t="str">
        <f t="shared" si="44"/>
        <v/>
      </c>
      <c r="AT150" s="96" t="s">
        <v>564</v>
      </c>
      <c r="AV150" t="str">
        <f>IF('Proposed Lighting'!CN147&gt;0,"No","Yes")</f>
        <v>Yes</v>
      </c>
    </row>
    <row r="151" spans="1:48" ht="34.5" customHeight="1" outlineLevel="1">
      <c r="A151" s="96" t="s">
        <v>565</v>
      </c>
      <c r="B151" s="96" t="str">
        <f>IF(ISNUMBER(SEARCH("case",E151)),"COM_MISC_REFR_ALL_UNKN1991",IF('Proposed Lighting'!AU148=3,"Commercial-All Com-ExtLight",IF('Proposed Lighting'!AH148&gt;8759,"IPC_8760","Commercial-All Com-IntLight")))</f>
        <v>IPC_8760</v>
      </c>
      <c r="C151" s="96" t="str">
        <f>IF(OR('Proposed Lighting'!DD148="Standard Incentive",'Proposed Lighting'!DD148="Non-Standard Incentive"),"Yes",IF(AND(IF(ISNUMBER(SEARCH("controls",'Proposed Lighting'!T148)),"True","False")="False",'Proposed Lighting'!DD148="Submit Control as Non-Standard"),"Yes","No"))</f>
        <v>No</v>
      </c>
      <c r="D151" s="1403">
        <f>'Proposed Lighting'!CV148-Q151</f>
        <v>0</v>
      </c>
      <c r="E151" s="143">
        <f>'Proposed Lighting'!T148</f>
        <v>0</v>
      </c>
      <c r="F151" s="143">
        <f>'Proposed Lighting'!F148</f>
        <v>0</v>
      </c>
      <c r="G151" s="96" t="s">
        <v>242</v>
      </c>
      <c r="H151" s="142" t="str">
        <f>'Proposed Lighting'!CP148</f>
        <v/>
      </c>
      <c r="I151" s="98">
        <v>1</v>
      </c>
      <c r="J151" s="142">
        <f>'Proposed Lighting'!AA148</f>
        <v>0</v>
      </c>
      <c r="K151" s="142" t="str">
        <f>IF(ISNUMBER(SEARCH("-C",'Proposed Lighting'!M148)),'Proposed Lighting'!AH148*0.9,'Proposed Lighting'!AH148)</f>
        <v/>
      </c>
      <c r="L151" s="142">
        <f>IFERROR(IF(OR('Proposed Lighting'!BC148=22,'Proposed Lighting'!BC148=44),1-25%,IF(OR('Proposed Lighting'!BC148=23,'Proposed Lighting'!BC148=46),1-30%,IF(OR('Proposed Lighting'!BC148=29,'Proposed Lighting'!BC148=39,'Proposed Lighting'!BC148=49),1-35%,IF(OR('Proposed Lighting'!BC148=24,'Proposed Lighting'!BC148=48),1-50%,IF(AND(ISNUMBER(SEARCH("-C",'Proposed Lighting'!M148)),'Proposed Lighting'!AU148=2),90%,100%)))))*'Proposed Lighting'!AH148,0)</f>
        <v>0</v>
      </c>
      <c r="M151" s="87">
        <f t="shared" si="30"/>
        <v>0</v>
      </c>
      <c r="N151" s="87">
        <f>IFERROR(IF('Proposed Lighting'!AU148=1,0,'Proposed Lighting'!AO148),0)</f>
        <v>0</v>
      </c>
      <c r="O151" s="88">
        <f>IF('Proposed Lighting'!AU148=1,0,'Proposed Lighting'!AP148)</f>
        <v>0</v>
      </c>
      <c r="P151" s="87">
        <f t="shared" si="31"/>
        <v>0</v>
      </c>
      <c r="Q151" s="98">
        <f t="shared" si="40"/>
        <v>0</v>
      </c>
      <c r="R151" s="99">
        <f>IFERROR(IF('Proposed Lighting'!T148="Lighting controls only",0,ROUND(IF('Proposed Lighting'!AQ148&lt;'Proposed Lighting'!AR148,0,IF('Proposed Lighting'!AH148=0,0,IF('Proposed Lighting'!BV148&gt;0,'Proposed Lighting'!BV148,IF('Proposed Lighting'!CL148=0,MIN('Proposed Lighting'!CN148:CO148),IF('Proposed Lighting'!CX148&gt;0,'Proposed Lighting'!CX148*'Proposed Lighting'!AA148,0))))),2)),0)</f>
        <v>0</v>
      </c>
      <c r="S151" s="99">
        <f>IF('Proposed Lighting'!AJ148&gt;0,'Proposed Lighting'!AJ148*J151,'Proposed Lighting'!$AU$328*J151)</f>
        <v>0</v>
      </c>
      <c r="T151" s="602">
        <f t="shared" si="32"/>
        <v>0</v>
      </c>
      <c r="U151" s="100"/>
      <c r="V151" s="99">
        <f t="shared" si="33"/>
        <v>0</v>
      </c>
      <c r="W151" s="99">
        <f t="shared" si="34"/>
        <v>0</v>
      </c>
      <c r="X151" s="99">
        <f t="shared" si="35"/>
        <v>0</v>
      </c>
      <c r="Y151" s="99"/>
      <c r="Z151" s="99">
        <f t="shared" si="41"/>
        <v>0</v>
      </c>
      <c r="AA151" s="99"/>
      <c r="AB151" s="99">
        <f t="shared" si="36"/>
        <v>0</v>
      </c>
      <c r="AC151" s="101" t="str">
        <f t="shared" si="37"/>
        <v/>
      </c>
      <c r="AD151" s="101" t="str">
        <f t="shared" si="38"/>
        <v/>
      </c>
      <c r="AE151" s="101" t="str">
        <f t="shared" si="39"/>
        <v/>
      </c>
      <c r="AF151" s="72"/>
      <c r="AG151" s="98">
        <f>IFERROR(IF($AV151="No",0,IF($AV151="yes",Summary!Q151,"")),"")</f>
        <v>0</v>
      </c>
      <c r="AH151" s="99">
        <f>IFERROR(IF($AV151="No",0,IF($AV151="yes",Summary!R151,"")),"")</f>
        <v>0</v>
      </c>
      <c r="AI151" s="99">
        <f>IFERROR(IF($AV151="No",0,IF($AV151="yes",Summary!S151,"")),"")</f>
        <v>0</v>
      </c>
      <c r="AJ151" s="602">
        <f>IFERROR(IF($AV151="No",0,IF($AV151="yes",Summary!T151,"")),"")</f>
        <v>0</v>
      </c>
      <c r="AK151" s="100">
        <f>IFERROR(IF($AV151="No",0,IF($AV151="yes",Summary!U151,"")),"")</f>
        <v>0</v>
      </c>
      <c r="AL151" s="99">
        <f>IFERROR(IF($AV151="No",0,IF($AV151="yes",Summary!V151,"")),"")</f>
        <v>0</v>
      </c>
      <c r="AM151" s="99">
        <f>IFERROR(IF($AV151="No",0,IF($AV151="yes",Summary!W151,"")),"")</f>
        <v>0</v>
      </c>
      <c r="AN151" s="99">
        <f>IFERROR(IF($AV151="No",0,IF($AV151="yes",Summary!X151,"")),"")</f>
        <v>0</v>
      </c>
      <c r="AO151" s="99">
        <f>IFERROR(IF($AV151="No",0,IF($AV151="yes",Summary!Y151+Z151,"")),"")</f>
        <v>0</v>
      </c>
      <c r="AP151" s="99">
        <f>IFERROR(IF($AV151="No",0,IF($AV151="yes",Summary!AB151,"")),"")</f>
        <v>0</v>
      </c>
      <c r="AQ151" s="101" t="str">
        <f t="shared" si="42"/>
        <v/>
      </c>
      <c r="AR151" s="101" t="str">
        <f t="shared" si="43"/>
        <v/>
      </c>
      <c r="AS151" s="101" t="str">
        <f t="shared" si="44"/>
        <v/>
      </c>
      <c r="AT151" s="96" t="s">
        <v>565</v>
      </c>
      <c r="AV151" t="str">
        <f>IF('Proposed Lighting'!CN148&gt;0,"No","Yes")</f>
        <v>Yes</v>
      </c>
    </row>
    <row r="152" spans="1:48" ht="34.5" customHeight="1" outlineLevel="1">
      <c r="A152" s="96" t="s">
        <v>566</v>
      </c>
      <c r="B152" s="96" t="str">
        <f>IF(ISNUMBER(SEARCH("case",E152)),"COM_MISC_REFR_ALL_UNKN1991",IF('Proposed Lighting'!AU149=3,"Commercial-All Com-ExtLight",IF('Proposed Lighting'!AH149&gt;8759,"IPC_8760","Commercial-All Com-IntLight")))</f>
        <v>IPC_8760</v>
      </c>
      <c r="C152" s="96" t="str">
        <f>IF(OR('Proposed Lighting'!DD149="Standard Incentive",'Proposed Lighting'!DD149="Non-Standard Incentive"),"Yes",IF(AND(IF(ISNUMBER(SEARCH("controls",'Proposed Lighting'!T149)),"True","False")="False",'Proposed Lighting'!DD149="Submit Control as Non-Standard"),"Yes","No"))</f>
        <v>No</v>
      </c>
      <c r="D152" s="1403">
        <f>'Proposed Lighting'!CV149-Q152</f>
        <v>0</v>
      </c>
      <c r="E152" s="143">
        <f>'Proposed Lighting'!T149</f>
        <v>0</v>
      </c>
      <c r="F152" s="143">
        <f>'Proposed Lighting'!F149</f>
        <v>0</v>
      </c>
      <c r="G152" s="96" t="s">
        <v>242</v>
      </c>
      <c r="H152" s="142" t="str">
        <f>'Proposed Lighting'!CP149</f>
        <v/>
      </c>
      <c r="I152" s="98">
        <v>1</v>
      </c>
      <c r="J152" s="142">
        <f>'Proposed Lighting'!AA149</f>
        <v>0</v>
      </c>
      <c r="K152" s="142" t="str">
        <f>IF(ISNUMBER(SEARCH("-C",'Proposed Lighting'!M149)),'Proposed Lighting'!AH149*0.9,'Proposed Lighting'!AH149)</f>
        <v/>
      </c>
      <c r="L152" s="142">
        <f>IFERROR(IF(OR('Proposed Lighting'!BC149=22,'Proposed Lighting'!BC149=44),1-25%,IF(OR('Proposed Lighting'!BC149=23,'Proposed Lighting'!BC149=46),1-30%,IF(OR('Proposed Lighting'!BC149=29,'Proposed Lighting'!BC149=39,'Proposed Lighting'!BC149=49),1-35%,IF(OR('Proposed Lighting'!BC149=24,'Proposed Lighting'!BC149=48),1-50%,IF(AND(ISNUMBER(SEARCH("-C",'Proposed Lighting'!M149)),'Proposed Lighting'!AU149=2),90%,100%)))))*'Proposed Lighting'!AH149,0)</f>
        <v>0</v>
      </c>
      <c r="M152" s="87">
        <f t="shared" si="30"/>
        <v>0</v>
      </c>
      <c r="N152" s="87">
        <f>IFERROR(IF('Proposed Lighting'!AU149=1,0,'Proposed Lighting'!AO149),0)</f>
        <v>0</v>
      </c>
      <c r="O152" s="88">
        <f>IF('Proposed Lighting'!AU149=1,0,'Proposed Lighting'!AP149)</f>
        <v>0</v>
      </c>
      <c r="P152" s="87">
        <f t="shared" si="31"/>
        <v>0</v>
      </c>
      <c r="Q152" s="98">
        <f t="shared" si="40"/>
        <v>0</v>
      </c>
      <c r="R152" s="99">
        <f>IFERROR(IF('Proposed Lighting'!T149="Lighting controls only",0,ROUND(IF('Proposed Lighting'!AQ149&lt;'Proposed Lighting'!AR149,0,IF('Proposed Lighting'!AH149=0,0,IF('Proposed Lighting'!BV149&gt;0,'Proposed Lighting'!BV149,IF('Proposed Lighting'!CL149=0,MIN('Proposed Lighting'!CN149:CO149),IF('Proposed Lighting'!CX149&gt;0,'Proposed Lighting'!CX149*'Proposed Lighting'!AA149,0))))),2)),0)</f>
        <v>0</v>
      </c>
      <c r="S152" s="99">
        <f>IF('Proposed Lighting'!AJ149&gt;0,'Proposed Lighting'!AJ149*J152,'Proposed Lighting'!$AU$328*J152)</f>
        <v>0</v>
      </c>
      <c r="T152" s="602">
        <f t="shared" si="32"/>
        <v>0</v>
      </c>
      <c r="U152" s="100"/>
      <c r="V152" s="99">
        <f t="shared" si="33"/>
        <v>0</v>
      </c>
      <c r="W152" s="99">
        <f t="shared" si="34"/>
        <v>0</v>
      </c>
      <c r="X152" s="99">
        <f t="shared" si="35"/>
        <v>0</v>
      </c>
      <c r="Y152" s="99"/>
      <c r="Z152" s="99">
        <f t="shared" si="41"/>
        <v>0</v>
      </c>
      <c r="AA152" s="99"/>
      <c r="AB152" s="99">
        <f t="shared" si="36"/>
        <v>0</v>
      </c>
      <c r="AC152" s="101" t="str">
        <f t="shared" si="37"/>
        <v/>
      </c>
      <c r="AD152" s="101" t="str">
        <f t="shared" si="38"/>
        <v/>
      </c>
      <c r="AE152" s="101" t="str">
        <f t="shared" si="39"/>
        <v/>
      </c>
      <c r="AF152" s="72"/>
      <c r="AG152" s="98">
        <f>IFERROR(IF($AV152="No",0,IF($AV152="yes",Summary!Q152,"")),"")</f>
        <v>0</v>
      </c>
      <c r="AH152" s="99">
        <f>IFERROR(IF($AV152="No",0,IF($AV152="yes",Summary!R152,"")),"")</f>
        <v>0</v>
      </c>
      <c r="AI152" s="99">
        <f>IFERROR(IF($AV152="No",0,IF($AV152="yes",Summary!S152,"")),"")</f>
        <v>0</v>
      </c>
      <c r="AJ152" s="602">
        <f>IFERROR(IF($AV152="No",0,IF($AV152="yes",Summary!T152,"")),"")</f>
        <v>0</v>
      </c>
      <c r="AK152" s="100">
        <f>IFERROR(IF($AV152="No",0,IF($AV152="yes",Summary!U152,"")),"")</f>
        <v>0</v>
      </c>
      <c r="AL152" s="99">
        <f>IFERROR(IF($AV152="No",0,IF($AV152="yes",Summary!V152,"")),"")</f>
        <v>0</v>
      </c>
      <c r="AM152" s="99">
        <f>IFERROR(IF($AV152="No",0,IF($AV152="yes",Summary!W152,"")),"")</f>
        <v>0</v>
      </c>
      <c r="AN152" s="99">
        <f>IFERROR(IF($AV152="No",0,IF($AV152="yes",Summary!X152,"")),"")</f>
        <v>0</v>
      </c>
      <c r="AO152" s="99">
        <f>IFERROR(IF($AV152="No",0,IF($AV152="yes",Summary!Y152+Z152,"")),"")</f>
        <v>0</v>
      </c>
      <c r="AP152" s="99">
        <f>IFERROR(IF($AV152="No",0,IF($AV152="yes",Summary!AB152,"")),"")</f>
        <v>0</v>
      </c>
      <c r="AQ152" s="101" t="str">
        <f t="shared" si="42"/>
        <v/>
      </c>
      <c r="AR152" s="101" t="str">
        <f t="shared" si="43"/>
        <v/>
      </c>
      <c r="AS152" s="101" t="str">
        <f t="shared" si="44"/>
        <v/>
      </c>
      <c r="AT152" s="96" t="s">
        <v>566</v>
      </c>
      <c r="AV152" t="str">
        <f>IF('Proposed Lighting'!CN149&gt;0,"No","Yes")</f>
        <v>Yes</v>
      </c>
    </row>
    <row r="153" spans="1:48" ht="34.5" customHeight="1" outlineLevel="1">
      <c r="A153" s="96" t="s">
        <v>567</v>
      </c>
      <c r="B153" s="96" t="str">
        <f>IF(ISNUMBER(SEARCH("case",E153)),"COM_MISC_REFR_ALL_UNKN1991",IF('Proposed Lighting'!AU150=3,"Commercial-All Com-ExtLight",IF('Proposed Lighting'!AH150&gt;8759,"IPC_8760","Commercial-All Com-IntLight")))</f>
        <v>IPC_8760</v>
      </c>
      <c r="C153" s="96" t="str">
        <f>IF(OR('Proposed Lighting'!DD150="Standard Incentive",'Proposed Lighting'!DD150="Non-Standard Incentive"),"Yes",IF(AND(IF(ISNUMBER(SEARCH("controls",'Proposed Lighting'!T150)),"True","False")="False",'Proposed Lighting'!DD150="Submit Control as Non-Standard"),"Yes","No"))</f>
        <v>No</v>
      </c>
      <c r="D153" s="1403">
        <f>'Proposed Lighting'!CV150-Q153</f>
        <v>0</v>
      </c>
      <c r="E153" s="143">
        <f>'Proposed Lighting'!T150</f>
        <v>0</v>
      </c>
      <c r="F153" s="143">
        <f>'Proposed Lighting'!F150</f>
        <v>0</v>
      </c>
      <c r="G153" s="96" t="s">
        <v>242</v>
      </c>
      <c r="H153" s="142" t="str">
        <f>'Proposed Lighting'!CP150</f>
        <v/>
      </c>
      <c r="I153" s="98">
        <v>1</v>
      </c>
      <c r="J153" s="142">
        <f>'Proposed Lighting'!AA150</f>
        <v>0</v>
      </c>
      <c r="K153" s="142" t="str">
        <f>IF(ISNUMBER(SEARCH("-C",'Proposed Lighting'!M150)),'Proposed Lighting'!AH150*0.9,'Proposed Lighting'!AH150)</f>
        <v/>
      </c>
      <c r="L153" s="142">
        <f>IFERROR(IF(OR('Proposed Lighting'!BC150=22,'Proposed Lighting'!BC150=44),1-25%,IF(OR('Proposed Lighting'!BC150=23,'Proposed Lighting'!BC150=46),1-30%,IF(OR('Proposed Lighting'!BC150=29,'Proposed Lighting'!BC150=39,'Proposed Lighting'!BC150=49),1-35%,IF(OR('Proposed Lighting'!BC150=24,'Proposed Lighting'!BC150=48),1-50%,IF(AND(ISNUMBER(SEARCH("-C",'Proposed Lighting'!M150)),'Proposed Lighting'!AU150=2),90%,100%)))))*'Proposed Lighting'!AH150,0)</f>
        <v>0</v>
      </c>
      <c r="M153" s="87">
        <f t="shared" si="30"/>
        <v>0</v>
      </c>
      <c r="N153" s="87">
        <f>IFERROR(IF('Proposed Lighting'!AU150=1,0,'Proposed Lighting'!AO150),0)</f>
        <v>0</v>
      </c>
      <c r="O153" s="88">
        <f>IF('Proposed Lighting'!AU150=1,0,'Proposed Lighting'!AP150)</f>
        <v>0</v>
      </c>
      <c r="P153" s="87">
        <f t="shared" si="31"/>
        <v>0</v>
      </c>
      <c r="Q153" s="98">
        <f t="shared" si="40"/>
        <v>0</v>
      </c>
      <c r="R153" s="99">
        <f>IFERROR(IF('Proposed Lighting'!T150="Lighting controls only",0,ROUND(IF('Proposed Lighting'!AQ150&lt;'Proposed Lighting'!AR150,0,IF('Proposed Lighting'!AH150=0,0,IF('Proposed Lighting'!BV150&gt;0,'Proposed Lighting'!BV150,IF('Proposed Lighting'!CL150=0,MIN('Proposed Lighting'!CN150:CO150),IF('Proposed Lighting'!CX150&gt;0,'Proposed Lighting'!CX150*'Proposed Lighting'!AA150,0))))),2)),0)</f>
        <v>0</v>
      </c>
      <c r="S153" s="99">
        <f>IF('Proposed Lighting'!AJ150&gt;0,'Proposed Lighting'!AJ150*J153,'Proposed Lighting'!$AU$328*J153)</f>
        <v>0</v>
      </c>
      <c r="T153" s="602">
        <f t="shared" si="32"/>
        <v>0</v>
      </c>
      <c r="U153" s="100"/>
      <c r="V153" s="99">
        <f t="shared" si="33"/>
        <v>0</v>
      </c>
      <c r="W153" s="99">
        <f t="shared" si="34"/>
        <v>0</v>
      </c>
      <c r="X153" s="99">
        <f t="shared" si="35"/>
        <v>0</v>
      </c>
      <c r="Y153" s="99"/>
      <c r="Z153" s="99">
        <f t="shared" si="41"/>
        <v>0</v>
      </c>
      <c r="AA153" s="99"/>
      <c r="AB153" s="99">
        <f t="shared" si="36"/>
        <v>0</v>
      </c>
      <c r="AC153" s="101" t="str">
        <f t="shared" si="37"/>
        <v/>
      </c>
      <c r="AD153" s="101" t="str">
        <f t="shared" si="38"/>
        <v/>
      </c>
      <c r="AE153" s="101" t="str">
        <f t="shared" si="39"/>
        <v/>
      </c>
      <c r="AF153" s="72"/>
      <c r="AG153" s="98">
        <f>IFERROR(IF($AV153="No",0,IF($AV153="yes",Summary!Q153,"")),"")</f>
        <v>0</v>
      </c>
      <c r="AH153" s="99">
        <f>IFERROR(IF($AV153="No",0,IF($AV153="yes",Summary!R153,"")),"")</f>
        <v>0</v>
      </c>
      <c r="AI153" s="99">
        <f>IFERROR(IF($AV153="No",0,IF($AV153="yes",Summary!S153,"")),"")</f>
        <v>0</v>
      </c>
      <c r="AJ153" s="602">
        <f>IFERROR(IF($AV153="No",0,IF($AV153="yes",Summary!T153,"")),"")</f>
        <v>0</v>
      </c>
      <c r="AK153" s="100">
        <f>IFERROR(IF($AV153="No",0,IF($AV153="yes",Summary!U153,"")),"")</f>
        <v>0</v>
      </c>
      <c r="AL153" s="99">
        <f>IFERROR(IF($AV153="No",0,IF($AV153="yes",Summary!V153,"")),"")</f>
        <v>0</v>
      </c>
      <c r="AM153" s="99">
        <f>IFERROR(IF($AV153="No",0,IF($AV153="yes",Summary!W153,"")),"")</f>
        <v>0</v>
      </c>
      <c r="AN153" s="99">
        <f>IFERROR(IF($AV153="No",0,IF($AV153="yes",Summary!X153,"")),"")</f>
        <v>0</v>
      </c>
      <c r="AO153" s="99">
        <f>IFERROR(IF($AV153="No",0,IF($AV153="yes",Summary!Y153+Z153,"")),"")</f>
        <v>0</v>
      </c>
      <c r="AP153" s="99">
        <f>IFERROR(IF($AV153="No",0,IF($AV153="yes",Summary!AB153,"")),"")</f>
        <v>0</v>
      </c>
      <c r="AQ153" s="101" t="str">
        <f t="shared" si="42"/>
        <v/>
      </c>
      <c r="AR153" s="101" t="str">
        <f t="shared" si="43"/>
        <v/>
      </c>
      <c r="AS153" s="101" t="str">
        <f t="shared" si="44"/>
        <v/>
      </c>
      <c r="AT153" s="96" t="s">
        <v>567</v>
      </c>
      <c r="AV153" t="str">
        <f>IF('Proposed Lighting'!CN150&gt;0,"No","Yes")</f>
        <v>Yes</v>
      </c>
    </row>
    <row r="154" spans="1:48" ht="34.5" customHeight="1" outlineLevel="1">
      <c r="A154" s="96" t="s">
        <v>568</v>
      </c>
      <c r="B154" s="96" t="str">
        <f>IF(ISNUMBER(SEARCH("case",E154)),"COM_MISC_REFR_ALL_UNKN1991",IF('Proposed Lighting'!AU151=3,"Commercial-All Com-ExtLight",IF('Proposed Lighting'!AH151&gt;8759,"IPC_8760","Commercial-All Com-IntLight")))</f>
        <v>IPC_8760</v>
      </c>
      <c r="C154" s="96" t="str">
        <f>IF(OR('Proposed Lighting'!DD151="Standard Incentive",'Proposed Lighting'!DD151="Non-Standard Incentive"),"Yes",IF(AND(IF(ISNUMBER(SEARCH("controls",'Proposed Lighting'!T151)),"True","False")="False",'Proposed Lighting'!DD151="Submit Control as Non-Standard"),"Yes","No"))</f>
        <v>No</v>
      </c>
      <c r="D154" s="1403">
        <f>'Proposed Lighting'!CV151-Q154</f>
        <v>0</v>
      </c>
      <c r="E154" s="143">
        <f>'Proposed Lighting'!T151</f>
        <v>0</v>
      </c>
      <c r="F154" s="143">
        <f>'Proposed Lighting'!F151</f>
        <v>0</v>
      </c>
      <c r="G154" s="96" t="s">
        <v>242</v>
      </c>
      <c r="H154" s="142" t="str">
        <f>'Proposed Lighting'!CP151</f>
        <v/>
      </c>
      <c r="I154" s="98">
        <v>1</v>
      </c>
      <c r="J154" s="142">
        <f>'Proposed Lighting'!AA151</f>
        <v>0</v>
      </c>
      <c r="K154" s="142" t="str">
        <f>IF(ISNUMBER(SEARCH("-C",'Proposed Lighting'!M151)),'Proposed Lighting'!AH151*0.9,'Proposed Lighting'!AH151)</f>
        <v/>
      </c>
      <c r="L154" s="142">
        <f>IFERROR(IF(OR('Proposed Lighting'!BC151=22,'Proposed Lighting'!BC151=44),1-25%,IF(OR('Proposed Lighting'!BC151=23,'Proposed Lighting'!BC151=46),1-30%,IF(OR('Proposed Lighting'!BC151=29,'Proposed Lighting'!BC151=39,'Proposed Lighting'!BC151=49),1-35%,IF(OR('Proposed Lighting'!BC151=24,'Proposed Lighting'!BC151=48),1-50%,IF(AND(ISNUMBER(SEARCH("-C",'Proposed Lighting'!M151)),'Proposed Lighting'!AU151=2),90%,100%)))))*'Proposed Lighting'!AH151,0)</f>
        <v>0</v>
      </c>
      <c r="M154" s="87">
        <f t="shared" si="30"/>
        <v>0</v>
      </c>
      <c r="N154" s="87">
        <f>IFERROR(IF('Proposed Lighting'!AU151=1,0,'Proposed Lighting'!AO151),0)</f>
        <v>0</v>
      </c>
      <c r="O154" s="88">
        <f>IF('Proposed Lighting'!AU151=1,0,'Proposed Lighting'!AP151)</f>
        <v>0</v>
      </c>
      <c r="P154" s="87">
        <f t="shared" si="31"/>
        <v>0</v>
      </c>
      <c r="Q154" s="98">
        <f t="shared" si="40"/>
        <v>0</v>
      </c>
      <c r="R154" s="99">
        <f>IFERROR(IF('Proposed Lighting'!T151="Lighting controls only",0,ROUND(IF('Proposed Lighting'!AQ151&lt;'Proposed Lighting'!AR151,0,IF('Proposed Lighting'!AH151=0,0,IF('Proposed Lighting'!BV151&gt;0,'Proposed Lighting'!BV151,IF('Proposed Lighting'!CL151=0,MIN('Proposed Lighting'!CN151:CO151),IF('Proposed Lighting'!CX151&gt;0,'Proposed Lighting'!CX151*'Proposed Lighting'!AA151,0))))),2)),0)</f>
        <v>0</v>
      </c>
      <c r="S154" s="99">
        <f>IF('Proposed Lighting'!AJ151&gt;0,'Proposed Lighting'!AJ151*J154,'Proposed Lighting'!$AU$328*J154)</f>
        <v>0</v>
      </c>
      <c r="T154" s="602">
        <f t="shared" si="32"/>
        <v>0</v>
      </c>
      <c r="U154" s="100"/>
      <c r="V154" s="99">
        <f t="shared" si="33"/>
        <v>0</v>
      </c>
      <c r="W154" s="99">
        <f t="shared" si="34"/>
        <v>0</v>
      </c>
      <c r="X154" s="99">
        <f t="shared" si="35"/>
        <v>0</v>
      </c>
      <c r="Y154" s="99"/>
      <c r="Z154" s="99">
        <f t="shared" si="41"/>
        <v>0</v>
      </c>
      <c r="AA154" s="99"/>
      <c r="AB154" s="99">
        <f t="shared" si="36"/>
        <v>0</v>
      </c>
      <c r="AC154" s="101" t="str">
        <f t="shared" si="37"/>
        <v/>
      </c>
      <c r="AD154" s="101" t="str">
        <f t="shared" si="38"/>
        <v/>
      </c>
      <c r="AE154" s="101" t="str">
        <f t="shared" si="39"/>
        <v/>
      </c>
      <c r="AF154" s="72"/>
      <c r="AG154" s="98">
        <f>IFERROR(IF($AV154="No",0,IF($AV154="yes",Summary!Q154,"")),"")</f>
        <v>0</v>
      </c>
      <c r="AH154" s="99">
        <f>IFERROR(IF($AV154="No",0,IF($AV154="yes",Summary!R154,"")),"")</f>
        <v>0</v>
      </c>
      <c r="AI154" s="99">
        <f>IFERROR(IF($AV154="No",0,IF($AV154="yes",Summary!S154,"")),"")</f>
        <v>0</v>
      </c>
      <c r="AJ154" s="602">
        <f>IFERROR(IF($AV154="No",0,IF($AV154="yes",Summary!T154,"")),"")</f>
        <v>0</v>
      </c>
      <c r="AK154" s="100">
        <f>IFERROR(IF($AV154="No",0,IF($AV154="yes",Summary!U154,"")),"")</f>
        <v>0</v>
      </c>
      <c r="AL154" s="99">
        <f>IFERROR(IF($AV154="No",0,IF($AV154="yes",Summary!V154,"")),"")</f>
        <v>0</v>
      </c>
      <c r="AM154" s="99">
        <f>IFERROR(IF($AV154="No",0,IF($AV154="yes",Summary!W154,"")),"")</f>
        <v>0</v>
      </c>
      <c r="AN154" s="99">
        <f>IFERROR(IF($AV154="No",0,IF($AV154="yes",Summary!X154,"")),"")</f>
        <v>0</v>
      </c>
      <c r="AO154" s="99">
        <f>IFERROR(IF($AV154="No",0,IF($AV154="yes",Summary!Y154+Z154,"")),"")</f>
        <v>0</v>
      </c>
      <c r="AP154" s="99">
        <f>IFERROR(IF($AV154="No",0,IF($AV154="yes",Summary!AB154,"")),"")</f>
        <v>0</v>
      </c>
      <c r="AQ154" s="101" t="str">
        <f t="shared" si="42"/>
        <v/>
      </c>
      <c r="AR154" s="101" t="str">
        <f t="shared" si="43"/>
        <v/>
      </c>
      <c r="AS154" s="101" t="str">
        <f t="shared" si="44"/>
        <v/>
      </c>
      <c r="AT154" s="96" t="s">
        <v>568</v>
      </c>
      <c r="AV154" t="str">
        <f>IF('Proposed Lighting'!CN151&gt;0,"No","Yes")</f>
        <v>Yes</v>
      </c>
    </row>
    <row r="155" spans="1:48" ht="34.5" customHeight="1" outlineLevel="1">
      <c r="A155" s="96" t="s">
        <v>569</v>
      </c>
      <c r="B155" s="96" t="str">
        <f>IF(ISNUMBER(SEARCH("case",E155)),"COM_MISC_REFR_ALL_UNKN1991",IF('Proposed Lighting'!AU152=3,"Commercial-All Com-ExtLight",IF('Proposed Lighting'!AH152&gt;8759,"IPC_8760","Commercial-All Com-IntLight")))</f>
        <v>IPC_8760</v>
      </c>
      <c r="C155" s="96" t="str">
        <f>IF(OR('Proposed Lighting'!DD152="Standard Incentive",'Proposed Lighting'!DD152="Non-Standard Incentive"),"Yes",IF(AND(IF(ISNUMBER(SEARCH("controls",'Proposed Lighting'!T152)),"True","False")="False",'Proposed Lighting'!DD152="Submit Control as Non-Standard"),"Yes","No"))</f>
        <v>No</v>
      </c>
      <c r="D155" s="1403">
        <f>'Proposed Lighting'!CV152-Q155</f>
        <v>0</v>
      </c>
      <c r="E155" s="143">
        <f>'Proposed Lighting'!T152</f>
        <v>0</v>
      </c>
      <c r="F155" s="143">
        <f>'Proposed Lighting'!F152</f>
        <v>0</v>
      </c>
      <c r="G155" s="96" t="s">
        <v>242</v>
      </c>
      <c r="H155" s="142" t="str">
        <f>'Proposed Lighting'!CP152</f>
        <v/>
      </c>
      <c r="I155" s="98">
        <v>1</v>
      </c>
      <c r="J155" s="142">
        <f>'Proposed Lighting'!AA152</f>
        <v>0</v>
      </c>
      <c r="K155" s="142" t="str">
        <f>IF(ISNUMBER(SEARCH("-C",'Proposed Lighting'!M152)),'Proposed Lighting'!AH152*0.9,'Proposed Lighting'!AH152)</f>
        <v/>
      </c>
      <c r="L155" s="142">
        <f>IFERROR(IF(OR('Proposed Lighting'!BC152=22,'Proposed Lighting'!BC152=44),1-25%,IF(OR('Proposed Lighting'!BC152=23,'Proposed Lighting'!BC152=46),1-30%,IF(OR('Proposed Lighting'!BC152=29,'Proposed Lighting'!BC152=39,'Proposed Lighting'!BC152=49),1-35%,IF(OR('Proposed Lighting'!BC152=24,'Proposed Lighting'!BC152=48),1-50%,IF(AND(ISNUMBER(SEARCH("-C",'Proposed Lighting'!M152)),'Proposed Lighting'!AU152=2),90%,100%)))))*'Proposed Lighting'!AH152,0)</f>
        <v>0</v>
      </c>
      <c r="M155" s="87">
        <f t="shared" si="30"/>
        <v>0</v>
      </c>
      <c r="N155" s="87">
        <f>IFERROR(IF('Proposed Lighting'!AU152=1,0,'Proposed Lighting'!AO152),0)</f>
        <v>0</v>
      </c>
      <c r="O155" s="88">
        <f>IF('Proposed Lighting'!AU152=1,0,'Proposed Lighting'!AP152)</f>
        <v>0</v>
      </c>
      <c r="P155" s="87">
        <f t="shared" si="31"/>
        <v>0</v>
      </c>
      <c r="Q155" s="98">
        <f t="shared" si="40"/>
        <v>0</v>
      </c>
      <c r="R155" s="99">
        <f>IFERROR(IF('Proposed Lighting'!T152="Lighting controls only",0,ROUND(IF('Proposed Lighting'!AQ152&lt;'Proposed Lighting'!AR152,0,IF('Proposed Lighting'!AH152=0,0,IF('Proposed Lighting'!BV152&gt;0,'Proposed Lighting'!BV152,IF('Proposed Lighting'!CL152=0,MIN('Proposed Lighting'!CN152:CO152),IF('Proposed Lighting'!CX152&gt;0,'Proposed Lighting'!CX152*'Proposed Lighting'!AA152,0))))),2)),0)</f>
        <v>0</v>
      </c>
      <c r="S155" s="99">
        <f>IF('Proposed Lighting'!AJ152&gt;0,'Proposed Lighting'!AJ152*J155,'Proposed Lighting'!$AU$328*J155)</f>
        <v>0</v>
      </c>
      <c r="T155" s="602">
        <f t="shared" si="32"/>
        <v>0</v>
      </c>
      <c r="U155" s="100"/>
      <c r="V155" s="99">
        <f t="shared" si="33"/>
        <v>0</v>
      </c>
      <c r="W155" s="99">
        <f t="shared" si="34"/>
        <v>0</v>
      </c>
      <c r="X155" s="99">
        <f t="shared" si="35"/>
        <v>0</v>
      </c>
      <c r="Y155" s="99"/>
      <c r="Z155" s="99">
        <f t="shared" si="41"/>
        <v>0</v>
      </c>
      <c r="AA155" s="99"/>
      <c r="AB155" s="99">
        <f t="shared" si="36"/>
        <v>0</v>
      </c>
      <c r="AC155" s="101" t="str">
        <f t="shared" si="37"/>
        <v/>
      </c>
      <c r="AD155" s="101" t="str">
        <f t="shared" si="38"/>
        <v/>
      </c>
      <c r="AE155" s="101" t="str">
        <f t="shared" si="39"/>
        <v/>
      </c>
      <c r="AF155" s="72"/>
      <c r="AG155" s="98">
        <f>IFERROR(IF($AV155="No",0,IF($AV155="yes",Summary!Q155,"")),"")</f>
        <v>0</v>
      </c>
      <c r="AH155" s="99">
        <f>IFERROR(IF($AV155="No",0,IF($AV155="yes",Summary!R155,"")),"")</f>
        <v>0</v>
      </c>
      <c r="AI155" s="99">
        <f>IFERROR(IF($AV155="No",0,IF($AV155="yes",Summary!S155,"")),"")</f>
        <v>0</v>
      </c>
      <c r="AJ155" s="602">
        <f>IFERROR(IF($AV155="No",0,IF($AV155="yes",Summary!T155,"")),"")</f>
        <v>0</v>
      </c>
      <c r="AK155" s="100">
        <f>IFERROR(IF($AV155="No",0,IF($AV155="yes",Summary!U155,"")),"")</f>
        <v>0</v>
      </c>
      <c r="AL155" s="99">
        <f>IFERROR(IF($AV155="No",0,IF($AV155="yes",Summary!V155,"")),"")</f>
        <v>0</v>
      </c>
      <c r="AM155" s="99">
        <f>IFERROR(IF($AV155="No",0,IF($AV155="yes",Summary!W155,"")),"")</f>
        <v>0</v>
      </c>
      <c r="AN155" s="99">
        <f>IFERROR(IF($AV155="No",0,IF($AV155="yes",Summary!X155,"")),"")</f>
        <v>0</v>
      </c>
      <c r="AO155" s="99">
        <f>IFERROR(IF($AV155="No",0,IF($AV155="yes",Summary!Y155+Z155,"")),"")</f>
        <v>0</v>
      </c>
      <c r="AP155" s="99">
        <f>IFERROR(IF($AV155="No",0,IF($AV155="yes",Summary!AB155,"")),"")</f>
        <v>0</v>
      </c>
      <c r="AQ155" s="101" t="str">
        <f t="shared" si="42"/>
        <v/>
      </c>
      <c r="AR155" s="101" t="str">
        <f t="shared" si="43"/>
        <v/>
      </c>
      <c r="AS155" s="101" t="str">
        <f t="shared" si="44"/>
        <v/>
      </c>
      <c r="AT155" s="96" t="s">
        <v>569</v>
      </c>
      <c r="AV155" t="str">
        <f>IF('Proposed Lighting'!CN152&gt;0,"No","Yes")</f>
        <v>Yes</v>
      </c>
    </row>
    <row r="156" spans="1:48" ht="34.5" customHeight="1" outlineLevel="1">
      <c r="A156" s="96" t="s">
        <v>570</v>
      </c>
      <c r="B156" s="96" t="str">
        <f>IF(ISNUMBER(SEARCH("case",E156)),"COM_MISC_REFR_ALL_UNKN1991",IF('Proposed Lighting'!AU153=3,"Commercial-All Com-ExtLight",IF('Proposed Lighting'!AH153&gt;8759,"IPC_8760","Commercial-All Com-IntLight")))</f>
        <v>IPC_8760</v>
      </c>
      <c r="C156" s="96" t="str">
        <f>IF(OR('Proposed Lighting'!DD153="Standard Incentive",'Proposed Lighting'!DD153="Non-Standard Incentive"),"Yes",IF(AND(IF(ISNUMBER(SEARCH("controls",'Proposed Lighting'!T153)),"True","False")="False",'Proposed Lighting'!DD153="Submit Control as Non-Standard"),"Yes","No"))</f>
        <v>No</v>
      </c>
      <c r="D156" s="1403">
        <f>'Proposed Lighting'!CV153-Q156</f>
        <v>0</v>
      </c>
      <c r="E156" s="143">
        <f>'Proposed Lighting'!T153</f>
        <v>0</v>
      </c>
      <c r="F156" s="143">
        <f>'Proposed Lighting'!F153</f>
        <v>0</v>
      </c>
      <c r="G156" s="96" t="s">
        <v>242</v>
      </c>
      <c r="H156" s="142" t="str">
        <f>'Proposed Lighting'!CP153</f>
        <v/>
      </c>
      <c r="I156" s="98">
        <v>1</v>
      </c>
      <c r="J156" s="142">
        <f>'Proposed Lighting'!AA153</f>
        <v>0</v>
      </c>
      <c r="K156" s="142" t="str">
        <f>IF(ISNUMBER(SEARCH("-C",'Proposed Lighting'!M153)),'Proposed Lighting'!AH153*0.9,'Proposed Lighting'!AH153)</f>
        <v/>
      </c>
      <c r="L156" s="142">
        <f>IFERROR(IF(OR('Proposed Lighting'!BC153=22,'Proposed Lighting'!BC153=44),1-25%,IF(OR('Proposed Lighting'!BC153=23,'Proposed Lighting'!BC153=46),1-30%,IF(OR('Proposed Lighting'!BC153=29,'Proposed Lighting'!BC153=39,'Proposed Lighting'!BC153=49),1-35%,IF(OR('Proposed Lighting'!BC153=24,'Proposed Lighting'!BC153=48),1-50%,IF(AND(ISNUMBER(SEARCH("-C",'Proposed Lighting'!M153)),'Proposed Lighting'!AU153=2),90%,100%)))))*'Proposed Lighting'!AH153,0)</f>
        <v>0</v>
      </c>
      <c r="M156" s="87">
        <f t="shared" si="30"/>
        <v>0</v>
      </c>
      <c r="N156" s="87">
        <f>IFERROR(IF('Proposed Lighting'!AU153=1,0,'Proposed Lighting'!AO153),0)</f>
        <v>0</v>
      </c>
      <c r="O156" s="88">
        <f>IF('Proposed Lighting'!AU153=1,0,'Proposed Lighting'!AP153)</f>
        <v>0</v>
      </c>
      <c r="P156" s="87">
        <f t="shared" si="31"/>
        <v>0</v>
      </c>
      <c r="Q156" s="98">
        <f t="shared" si="40"/>
        <v>0</v>
      </c>
      <c r="R156" s="99">
        <f>IFERROR(IF('Proposed Lighting'!T153="Lighting controls only",0,ROUND(IF('Proposed Lighting'!AQ153&lt;'Proposed Lighting'!AR153,0,IF('Proposed Lighting'!AH153=0,0,IF('Proposed Lighting'!BV153&gt;0,'Proposed Lighting'!BV153,IF('Proposed Lighting'!CL153=0,MIN('Proposed Lighting'!CN153:CO153),IF('Proposed Lighting'!CX153&gt;0,'Proposed Lighting'!CX153*'Proposed Lighting'!AA153,0))))),2)),0)</f>
        <v>0</v>
      </c>
      <c r="S156" s="99">
        <f>IF('Proposed Lighting'!AJ153&gt;0,'Proposed Lighting'!AJ153*J156,'Proposed Lighting'!$AU$328*J156)</f>
        <v>0</v>
      </c>
      <c r="T156" s="602">
        <f t="shared" si="32"/>
        <v>0</v>
      </c>
      <c r="U156" s="100"/>
      <c r="V156" s="99">
        <f t="shared" si="33"/>
        <v>0</v>
      </c>
      <c r="W156" s="99">
        <f t="shared" si="34"/>
        <v>0</v>
      </c>
      <c r="X156" s="99">
        <f t="shared" si="35"/>
        <v>0</v>
      </c>
      <c r="Y156" s="99"/>
      <c r="Z156" s="99">
        <f t="shared" si="41"/>
        <v>0</v>
      </c>
      <c r="AA156" s="99"/>
      <c r="AB156" s="99">
        <f t="shared" si="36"/>
        <v>0</v>
      </c>
      <c r="AC156" s="101" t="str">
        <f t="shared" si="37"/>
        <v/>
      </c>
      <c r="AD156" s="101" t="str">
        <f t="shared" si="38"/>
        <v/>
      </c>
      <c r="AE156" s="101" t="str">
        <f t="shared" si="39"/>
        <v/>
      </c>
      <c r="AF156" s="72"/>
      <c r="AG156" s="98">
        <f>IFERROR(IF($AV156="No",0,IF($AV156="yes",Summary!Q156,"")),"")</f>
        <v>0</v>
      </c>
      <c r="AH156" s="99">
        <f>IFERROR(IF($AV156="No",0,IF($AV156="yes",Summary!R156,"")),"")</f>
        <v>0</v>
      </c>
      <c r="AI156" s="99">
        <f>IFERROR(IF($AV156="No",0,IF($AV156="yes",Summary!S156,"")),"")</f>
        <v>0</v>
      </c>
      <c r="AJ156" s="602">
        <f>IFERROR(IF($AV156="No",0,IF($AV156="yes",Summary!T156,"")),"")</f>
        <v>0</v>
      </c>
      <c r="AK156" s="100">
        <f>IFERROR(IF($AV156="No",0,IF($AV156="yes",Summary!U156,"")),"")</f>
        <v>0</v>
      </c>
      <c r="AL156" s="99">
        <f>IFERROR(IF($AV156="No",0,IF($AV156="yes",Summary!V156,"")),"")</f>
        <v>0</v>
      </c>
      <c r="AM156" s="99">
        <f>IFERROR(IF($AV156="No",0,IF($AV156="yes",Summary!W156,"")),"")</f>
        <v>0</v>
      </c>
      <c r="AN156" s="99">
        <f>IFERROR(IF($AV156="No",0,IF($AV156="yes",Summary!X156,"")),"")</f>
        <v>0</v>
      </c>
      <c r="AO156" s="99">
        <f>IFERROR(IF($AV156="No",0,IF($AV156="yes",Summary!Y156+Z156,"")),"")</f>
        <v>0</v>
      </c>
      <c r="AP156" s="99">
        <f>IFERROR(IF($AV156="No",0,IF($AV156="yes",Summary!AB156,"")),"")</f>
        <v>0</v>
      </c>
      <c r="AQ156" s="101" t="str">
        <f t="shared" si="42"/>
        <v/>
      </c>
      <c r="AR156" s="101" t="str">
        <f t="shared" si="43"/>
        <v/>
      </c>
      <c r="AS156" s="101" t="str">
        <f t="shared" si="44"/>
        <v/>
      </c>
      <c r="AT156" s="96" t="s">
        <v>570</v>
      </c>
      <c r="AV156" t="str">
        <f>IF('Proposed Lighting'!CN153&gt;0,"No","Yes")</f>
        <v>Yes</v>
      </c>
    </row>
    <row r="157" spans="1:48" ht="34.5" customHeight="1" outlineLevel="1">
      <c r="A157" s="96" t="s">
        <v>571</v>
      </c>
      <c r="B157" s="96" t="str">
        <f>IF(ISNUMBER(SEARCH("case",E157)),"COM_MISC_REFR_ALL_UNKN1991",IF('Proposed Lighting'!AU154=3,"Commercial-All Com-ExtLight",IF('Proposed Lighting'!AH154&gt;8759,"IPC_8760","Commercial-All Com-IntLight")))</f>
        <v>IPC_8760</v>
      </c>
      <c r="C157" s="96" t="str">
        <f>IF(OR('Proposed Lighting'!DD154="Standard Incentive",'Proposed Lighting'!DD154="Non-Standard Incentive"),"Yes",IF(AND(IF(ISNUMBER(SEARCH("controls",'Proposed Lighting'!T154)),"True","False")="False",'Proposed Lighting'!DD154="Submit Control as Non-Standard"),"Yes","No"))</f>
        <v>No</v>
      </c>
      <c r="D157" s="1403">
        <f>'Proposed Lighting'!CV154-Q157</f>
        <v>0</v>
      </c>
      <c r="E157" s="143">
        <f>'Proposed Lighting'!T154</f>
        <v>0</v>
      </c>
      <c r="F157" s="143">
        <f>'Proposed Lighting'!F154</f>
        <v>0</v>
      </c>
      <c r="G157" s="96" t="s">
        <v>242</v>
      </c>
      <c r="H157" s="142" t="str">
        <f>'Proposed Lighting'!CP154</f>
        <v/>
      </c>
      <c r="I157" s="98">
        <v>1</v>
      </c>
      <c r="J157" s="142">
        <f>'Proposed Lighting'!AA154</f>
        <v>0</v>
      </c>
      <c r="K157" s="142" t="str">
        <f>IF(ISNUMBER(SEARCH("-C",'Proposed Lighting'!M154)),'Proposed Lighting'!AH154*0.9,'Proposed Lighting'!AH154)</f>
        <v/>
      </c>
      <c r="L157" s="142">
        <f>IFERROR(IF(OR('Proposed Lighting'!BC154=22,'Proposed Lighting'!BC154=44),1-25%,IF(OR('Proposed Lighting'!BC154=23,'Proposed Lighting'!BC154=46),1-30%,IF(OR('Proposed Lighting'!BC154=29,'Proposed Lighting'!BC154=39,'Proposed Lighting'!BC154=49),1-35%,IF(OR('Proposed Lighting'!BC154=24,'Proposed Lighting'!BC154=48),1-50%,IF(AND(ISNUMBER(SEARCH("-C",'Proposed Lighting'!M154)),'Proposed Lighting'!AU154=2),90%,100%)))))*'Proposed Lighting'!AH154,0)</f>
        <v>0</v>
      </c>
      <c r="M157" s="87">
        <f t="shared" si="30"/>
        <v>0</v>
      </c>
      <c r="N157" s="87">
        <f>IFERROR(IF('Proposed Lighting'!AU154=1,0,'Proposed Lighting'!AO154),0)</f>
        <v>0</v>
      </c>
      <c r="O157" s="88">
        <f>IF('Proposed Lighting'!AU154=1,0,'Proposed Lighting'!AP154)</f>
        <v>0</v>
      </c>
      <c r="P157" s="87">
        <f t="shared" si="31"/>
        <v>0</v>
      </c>
      <c r="Q157" s="98">
        <f t="shared" si="40"/>
        <v>0</v>
      </c>
      <c r="R157" s="99">
        <f>IFERROR(IF('Proposed Lighting'!T154="Lighting controls only",0,ROUND(IF('Proposed Lighting'!AQ154&lt;'Proposed Lighting'!AR154,0,IF('Proposed Lighting'!AH154=0,0,IF('Proposed Lighting'!BV154&gt;0,'Proposed Lighting'!BV154,IF('Proposed Lighting'!CL154=0,MIN('Proposed Lighting'!CN154:CO154),IF('Proposed Lighting'!CX154&gt;0,'Proposed Lighting'!CX154*'Proposed Lighting'!AA154,0))))),2)),0)</f>
        <v>0</v>
      </c>
      <c r="S157" s="99">
        <f>IF('Proposed Lighting'!AJ154&gt;0,'Proposed Lighting'!AJ154*J157,'Proposed Lighting'!$AU$328*J157)</f>
        <v>0</v>
      </c>
      <c r="T157" s="602">
        <f t="shared" si="32"/>
        <v>0</v>
      </c>
      <c r="U157" s="100"/>
      <c r="V157" s="99">
        <f t="shared" si="33"/>
        <v>0</v>
      </c>
      <c r="W157" s="99">
        <f t="shared" si="34"/>
        <v>0</v>
      </c>
      <c r="X157" s="99">
        <f t="shared" si="35"/>
        <v>0</v>
      </c>
      <c r="Y157" s="99"/>
      <c r="Z157" s="99">
        <f t="shared" si="41"/>
        <v>0</v>
      </c>
      <c r="AA157" s="99"/>
      <c r="AB157" s="99">
        <f t="shared" si="36"/>
        <v>0</v>
      </c>
      <c r="AC157" s="101" t="str">
        <f t="shared" si="37"/>
        <v/>
      </c>
      <c r="AD157" s="101" t="str">
        <f t="shared" si="38"/>
        <v/>
      </c>
      <c r="AE157" s="101" t="str">
        <f t="shared" si="39"/>
        <v/>
      </c>
      <c r="AF157" s="72"/>
      <c r="AG157" s="98">
        <f>IFERROR(IF($AV157="No",0,IF($AV157="yes",Summary!Q157,"")),"")</f>
        <v>0</v>
      </c>
      <c r="AH157" s="99">
        <f>IFERROR(IF($AV157="No",0,IF($AV157="yes",Summary!R157,"")),"")</f>
        <v>0</v>
      </c>
      <c r="AI157" s="99">
        <f>IFERROR(IF($AV157="No",0,IF($AV157="yes",Summary!S157,"")),"")</f>
        <v>0</v>
      </c>
      <c r="AJ157" s="602">
        <f>IFERROR(IF($AV157="No",0,IF($AV157="yes",Summary!T157,"")),"")</f>
        <v>0</v>
      </c>
      <c r="AK157" s="100">
        <f>IFERROR(IF($AV157="No",0,IF($AV157="yes",Summary!U157,"")),"")</f>
        <v>0</v>
      </c>
      <c r="AL157" s="99">
        <f>IFERROR(IF($AV157="No",0,IF($AV157="yes",Summary!V157,"")),"")</f>
        <v>0</v>
      </c>
      <c r="AM157" s="99">
        <f>IFERROR(IF($AV157="No",0,IF($AV157="yes",Summary!W157,"")),"")</f>
        <v>0</v>
      </c>
      <c r="AN157" s="99">
        <f>IFERROR(IF($AV157="No",0,IF($AV157="yes",Summary!X157,"")),"")</f>
        <v>0</v>
      </c>
      <c r="AO157" s="99">
        <f>IFERROR(IF($AV157="No",0,IF($AV157="yes",Summary!Y157+Z157,"")),"")</f>
        <v>0</v>
      </c>
      <c r="AP157" s="99">
        <f>IFERROR(IF($AV157="No",0,IF($AV157="yes",Summary!AB157,"")),"")</f>
        <v>0</v>
      </c>
      <c r="AQ157" s="101" t="str">
        <f t="shared" si="42"/>
        <v/>
      </c>
      <c r="AR157" s="101" t="str">
        <f t="shared" si="43"/>
        <v/>
      </c>
      <c r="AS157" s="101" t="str">
        <f t="shared" si="44"/>
        <v/>
      </c>
      <c r="AT157" s="96" t="s">
        <v>571</v>
      </c>
      <c r="AV157" t="str">
        <f>IF('Proposed Lighting'!CN154&gt;0,"No","Yes")</f>
        <v>Yes</v>
      </c>
    </row>
    <row r="158" spans="1:48" ht="34.5" customHeight="1" outlineLevel="1">
      <c r="A158" s="96" t="s">
        <v>572</v>
      </c>
      <c r="B158" s="96" t="str">
        <f>IF(ISNUMBER(SEARCH("case",E158)),"COM_MISC_REFR_ALL_UNKN1991",IF('Proposed Lighting'!AU155=3,"Commercial-All Com-ExtLight",IF('Proposed Lighting'!AH155&gt;8759,"IPC_8760","Commercial-All Com-IntLight")))</f>
        <v>IPC_8760</v>
      </c>
      <c r="C158" s="96" t="str">
        <f>IF(OR('Proposed Lighting'!DD155="Standard Incentive",'Proposed Lighting'!DD155="Non-Standard Incentive"),"Yes",IF(AND(IF(ISNUMBER(SEARCH("controls",'Proposed Lighting'!T155)),"True","False")="False",'Proposed Lighting'!DD155="Submit Control as Non-Standard"),"Yes","No"))</f>
        <v>No</v>
      </c>
      <c r="D158" s="1403">
        <f>'Proposed Lighting'!CV155-Q158</f>
        <v>0</v>
      </c>
      <c r="E158" s="143">
        <f>'Proposed Lighting'!T155</f>
        <v>0</v>
      </c>
      <c r="F158" s="143">
        <f>'Proposed Lighting'!F155</f>
        <v>0</v>
      </c>
      <c r="G158" s="96" t="s">
        <v>242</v>
      </c>
      <c r="H158" s="142" t="str">
        <f>'Proposed Lighting'!CP155</f>
        <v/>
      </c>
      <c r="I158" s="98">
        <v>1</v>
      </c>
      <c r="J158" s="142">
        <f>'Proposed Lighting'!AA155</f>
        <v>0</v>
      </c>
      <c r="K158" s="142" t="str">
        <f>IF(ISNUMBER(SEARCH("-C",'Proposed Lighting'!M155)),'Proposed Lighting'!AH155*0.9,'Proposed Lighting'!AH155)</f>
        <v/>
      </c>
      <c r="L158" s="142">
        <f>IFERROR(IF(OR('Proposed Lighting'!BC155=22,'Proposed Lighting'!BC155=44),1-25%,IF(OR('Proposed Lighting'!BC155=23,'Proposed Lighting'!BC155=46),1-30%,IF(OR('Proposed Lighting'!BC155=29,'Proposed Lighting'!BC155=39,'Proposed Lighting'!BC155=49),1-35%,IF(OR('Proposed Lighting'!BC155=24,'Proposed Lighting'!BC155=48),1-50%,IF(AND(ISNUMBER(SEARCH("-C",'Proposed Lighting'!M155)),'Proposed Lighting'!AU155=2),90%,100%)))))*'Proposed Lighting'!AH155,0)</f>
        <v>0</v>
      </c>
      <c r="M158" s="87">
        <f t="shared" si="30"/>
        <v>0</v>
      </c>
      <c r="N158" s="87">
        <f>IFERROR(IF('Proposed Lighting'!AU155=1,0,'Proposed Lighting'!AO155),0)</f>
        <v>0</v>
      </c>
      <c r="O158" s="88">
        <f>IF('Proposed Lighting'!AU155=1,0,'Proposed Lighting'!AP155)</f>
        <v>0</v>
      </c>
      <c r="P158" s="87">
        <f t="shared" si="31"/>
        <v>0</v>
      </c>
      <c r="Q158" s="98">
        <f t="shared" si="40"/>
        <v>0</v>
      </c>
      <c r="R158" s="99">
        <f>IFERROR(IF('Proposed Lighting'!T155="Lighting controls only",0,ROUND(IF('Proposed Lighting'!AQ155&lt;'Proposed Lighting'!AR155,0,IF('Proposed Lighting'!AH155=0,0,IF('Proposed Lighting'!BV155&gt;0,'Proposed Lighting'!BV155,IF('Proposed Lighting'!CL155=0,MIN('Proposed Lighting'!CN155:CO155),IF('Proposed Lighting'!CX155&gt;0,'Proposed Lighting'!CX155*'Proposed Lighting'!AA155,0))))),2)),0)</f>
        <v>0</v>
      </c>
      <c r="S158" s="99">
        <f>IF('Proposed Lighting'!AJ155&gt;0,'Proposed Lighting'!AJ155*J158,'Proposed Lighting'!$AU$328*J158)</f>
        <v>0</v>
      </c>
      <c r="T158" s="602">
        <f t="shared" si="32"/>
        <v>0</v>
      </c>
      <c r="U158" s="100"/>
      <c r="V158" s="99">
        <f t="shared" si="33"/>
        <v>0</v>
      </c>
      <c r="W158" s="99">
        <f t="shared" si="34"/>
        <v>0</v>
      </c>
      <c r="X158" s="99">
        <f t="shared" si="35"/>
        <v>0</v>
      </c>
      <c r="Y158" s="99"/>
      <c r="Z158" s="99">
        <f t="shared" si="41"/>
        <v>0</v>
      </c>
      <c r="AA158" s="99"/>
      <c r="AB158" s="99">
        <f t="shared" si="36"/>
        <v>0</v>
      </c>
      <c r="AC158" s="101" t="str">
        <f t="shared" si="37"/>
        <v/>
      </c>
      <c r="AD158" s="101" t="str">
        <f t="shared" si="38"/>
        <v/>
      </c>
      <c r="AE158" s="101" t="str">
        <f t="shared" si="39"/>
        <v/>
      </c>
      <c r="AF158" s="72"/>
      <c r="AG158" s="98">
        <f>IFERROR(IF($AV158="No",0,IF($AV158="yes",Summary!Q158,"")),"")</f>
        <v>0</v>
      </c>
      <c r="AH158" s="99">
        <f>IFERROR(IF($AV158="No",0,IF($AV158="yes",Summary!R158,"")),"")</f>
        <v>0</v>
      </c>
      <c r="AI158" s="99">
        <f>IFERROR(IF($AV158="No",0,IF($AV158="yes",Summary!S158,"")),"")</f>
        <v>0</v>
      </c>
      <c r="AJ158" s="602">
        <f>IFERROR(IF($AV158="No",0,IF($AV158="yes",Summary!T158,"")),"")</f>
        <v>0</v>
      </c>
      <c r="AK158" s="100">
        <f>IFERROR(IF($AV158="No",0,IF($AV158="yes",Summary!U158,"")),"")</f>
        <v>0</v>
      </c>
      <c r="AL158" s="99">
        <f>IFERROR(IF($AV158="No",0,IF($AV158="yes",Summary!V158,"")),"")</f>
        <v>0</v>
      </c>
      <c r="AM158" s="99">
        <f>IFERROR(IF($AV158="No",0,IF($AV158="yes",Summary!W158,"")),"")</f>
        <v>0</v>
      </c>
      <c r="AN158" s="99">
        <f>IFERROR(IF($AV158="No",0,IF($AV158="yes",Summary!X158,"")),"")</f>
        <v>0</v>
      </c>
      <c r="AO158" s="99">
        <f>IFERROR(IF($AV158="No",0,IF($AV158="yes",Summary!Y158+Z158,"")),"")</f>
        <v>0</v>
      </c>
      <c r="AP158" s="99">
        <f>IFERROR(IF($AV158="No",0,IF($AV158="yes",Summary!AB158,"")),"")</f>
        <v>0</v>
      </c>
      <c r="AQ158" s="101" t="str">
        <f t="shared" si="42"/>
        <v/>
      </c>
      <c r="AR158" s="101" t="str">
        <f t="shared" si="43"/>
        <v/>
      </c>
      <c r="AS158" s="101" t="str">
        <f t="shared" si="44"/>
        <v/>
      </c>
      <c r="AT158" s="96" t="s">
        <v>572</v>
      </c>
      <c r="AV158" t="str">
        <f>IF('Proposed Lighting'!CN155&gt;0,"No","Yes")</f>
        <v>Yes</v>
      </c>
    </row>
    <row r="159" spans="1:48" ht="34.5" customHeight="1" outlineLevel="1">
      <c r="A159" s="96" t="s">
        <v>573</v>
      </c>
      <c r="B159" s="96" t="str">
        <f>IF(ISNUMBER(SEARCH("case",E159)),"COM_MISC_REFR_ALL_UNKN1991",IF('Proposed Lighting'!AU156=3,"Commercial-All Com-ExtLight",IF('Proposed Lighting'!AH156&gt;8759,"IPC_8760","Commercial-All Com-IntLight")))</f>
        <v>IPC_8760</v>
      </c>
      <c r="C159" s="96" t="str">
        <f>IF(OR('Proposed Lighting'!DD156="Standard Incentive",'Proposed Lighting'!DD156="Non-Standard Incentive"),"Yes",IF(AND(IF(ISNUMBER(SEARCH("controls",'Proposed Lighting'!T156)),"True","False")="False",'Proposed Lighting'!DD156="Submit Control as Non-Standard"),"Yes","No"))</f>
        <v>No</v>
      </c>
      <c r="D159" s="1403">
        <f>'Proposed Lighting'!CV156-Q159</f>
        <v>0</v>
      </c>
      <c r="E159" s="143">
        <f>'Proposed Lighting'!T156</f>
        <v>0</v>
      </c>
      <c r="F159" s="143">
        <f>'Proposed Lighting'!F156</f>
        <v>0</v>
      </c>
      <c r="G159" s="96" t="s">
        <v>242</v>
      </c>
      <c r="H159" s="142" t="str">
        <f>'Proposed Lighting'!CP156</f>
        <v/>
      </c>
      <c r="I159" s="98">
        <v>1</v>
      </c>
      <c r="J159" s="142">
        <f>'Proposed Lighting'!AA156</f>
        <v>0</v>
      </c>
      <c r="K159" s="142" t="str">
        <f>IF(ISNUMBER(SEARCH("-C",'Proposed Lighting'!M156)),'Proposed Lighting'!AH156*0.9,'Proposed Lighting'!AH156)</f>
        <v/>
      </c>
      <c r="L159" s="142">
        <f>IFERROR(IF(OR('Proposed Lighting'!BC156=22,'Proposed Lighting'!BC156=44),1-25%,IF(OR('Proposed Lighting'!BC156=23,'Proposed Lighting'!BC156=46),1-30%,IF(OR('Proposed Lighting'!BC156=29,'Proposed Lighting'!BC156=39,'Proposed Lighting'!BC156=49),1-35%,IF(OR('Proposed Lighting'!BC156=24,'Proposed Lighting'!BC156=48),1-50%,IF(AND(ISNUMBER(SEARCH("-C",'Proposed Lighting'!M156)),'Proposed Lighting'!AU156=2),90%,100%)))))*'Proposed Lighting'!AH156,0)</f>
        <v>0</v>
      </c>
      <c r="M159" s="87">
        <f t="shared" si="30"/>
        <v>0</v>
      </c>
      <c r="N159" s="87">
        <f>IFERROR(IF('Proposed Lighting'!AU156=1,0,'Proposed Lighting'!AO156),0)</f>
        <v>0</v>
      </c>
      <c r="O159" s="88">
        <f>IF('Proposed Lighting'!AU156=1,0,'Proposed Lighting'!AP156)</f>
        <v>0</v>
      </c>
      <c r="P159" s="87">
        <f t="shared" si="31"/>
        <v>0</v>
      </c>
      <c r="Q159" s="98">
        <f t="shared" si="40"/>
        <v>0</v>
      </c>
      <c r="R159" s="99">
        <f>IFERROR(IF('Proposed Lighting'!T156="Lighting controls only",0,ROUND(IF('Proposed Lighting'!AQ156&lt;'Proposed Lighting'!AR156,0,IF('Proposed Lighting'!AH156=0,0,IF('Proposed Lighting'!BV156&gt;0,'Proposed Lighting'!BV156,IF('Proposed Lighting'!CL156=0,MIN('Proposed Lighting'!CN156:CO156),IF('Proposed Lighting'!CX156&gt;0,'Proposed Lighting'!CX156*'Proposed Lighting'!AA156,0))))),2)),0)</f>
        <v>0</v>
      </c>
      <c r="S159" s="99">
        <f>IF('Proposed Lighting'!AJ156&gt;0,'Proposed Lighting'!AJ156*J159,'Proposed Lighting'!$AU$328*J159)</f>
        <v>0</v>
      </c>
      <c r="T159" s="602">
        <f t="shared" si="32"/>
        <v>0</v>
      </c>
      <c r="U159" s="100"/>
      <c r="V159" s="99">
        <f t="shared" si="33"/>
        <v>0</v>
      </c>
      <c r="W159" s="99">
        <f t="shared" si="34"/>
        <v>0</v>
      </c>
      <c r="X159" s="99">
        <f t="shared" si="35"/>
        <v>0</v>
      </c>
      <c r="Y159" s="99"/>
      <c r="Z159" s="99">
        <f t="shared" si="41"/>
        <v>0</v>
      </c>
      <c r="AA159" s="99"/>
      <c r="AB159" s="99">
        <f t="shared" si="36"/>
        <v>0</v>
      </c>
      <c r="AC159" s="101" t="str">
        <f t="shared" si="37"/>
        <v/>
      </c>
      <c r="AD159" s="101" t="str">
        <f t="shared" si="38"/>
        <v/>
      </c>
      <c r="AE159" s="101" t="str">
        <f t="shared" si="39"/>
        <v/>
      </c>
      <c r="AF159" s="72"/>
      <c r="AG159" s="98">
        <f>IFERROR(IF($AV159="No",0,IF($AV159="yes",Summary!Q159,"")),"")</f>
        <v>0</v>
      </c>
      <c r="AH159" s="99">
        <f>IFERROR(IF($AV159="No",0,IF($AV159="yes",Summary!R159,"")),"")</f>
        <v>0</v>
      </c>
      <c r="AI159" s="99">
        <f>IFERROR(IF($AV159="No",0,IF($AV159="yes",Summary!S159,"")),"")</f>
        <v>0</v>
      </c>
      <c r="AJ159" s="602">
        <f>IFERROR(IF($AV159="No",0,IF($AV159="yes",Summary!T159,"")),"")</f>
        <v>0</v>
      </c>
      <c r="AK159" s="100">
        <f>IFERROR(IF($AV159="No",0,IF($AV159="yes",Summary!U159,"")),"")</f>
        <v>0</v>
      </c>
      <c r="AL159" s="99">
        <f>IFERROR(IF($AV159="No",0,IF($AV159="yes",Summary!V159,"")),"")</f>
        <v>0</v>
      </c>
      <c r="AM159" s="99">
        <f>IFERROR(IF($AV159="No",0,IF($AV159="yes",Summary!W159,"")),"")</f>
        <v>0</v>
      </c>
      <c r="AN159" s="99">
        <f>IFERROR(IF($AV159="No",0,IF($AV159="yes",Summary!X159,"")),"")</f>
        <v>0</v>
      </c>
      <c r="AO159" s="99">
        <f>IFERROR(IF($AV159="No",0,IF($AV159="yes",Summary!Y159+Z159,"")),"")</f>
        <v>0</v>
      </c>
      <c r="AP159" s="99">
        <f>IFERROR(IF($AV159="No",0,IF($AV159="yes",Summary!AB159,"")),"")</f>
        <v>0</v>
      </c>
      <c r="AQ159" s="101" t="str">
        <f t="shared" si="42"/>
        <v/>
      </c>
      <c r="AR159" s="101" t="str">
        <f t="shared" si="43"/>
        <v/>
      </c>
      <c r="AS159" s="101" t="str">
        <f t="shared" si="44"/>
        <v/>
      </c>
      <c r="AT159" s="96" t="s">
        <v>573</v>
      </c>
      <c r="AV159" t="str">
        <f>IF('Proposed Lighting'!CN156&gt;0,"No","Yes")</f>
        <v>Yes</v>
      </c>
    </row>
    <row r="160" spans="1:48" ht="34.5" customHeight="1" outlineLevel="1">
      <c r="A160" s="96" t="s">
        <v>574</v>
      </c>
      <c r="B160" s="96" t="str">
        <f>IF(ISNUMBER(SEARCH("case",E160)),"COM_MISC_REFR_ALL_UNKN1991",IF('Proposed Lighting'!AU157=3,"Commercial-All Com-ExtLight",IF('Proposed Lighting'!AH157&gt;8759,"IPC_8760","Commercial-All Com-IntLight")))</f>
        <v>IPC_8760</v>
      </c>
      <c r="C160" s="96" t="str">
        <f>IF(OR('Proposed Lighting'!DD157="Standard Incentive",'Proposed Lighting'!DD157="Non-Standard Incentive"),"Yes",IF(AND(IF(ISNUMBER(SEARCH("controls",'Proposed Lighting'!T157)),"True","False")="False",'Proposed Lighting'!DD157="Submit Control as Non-Standard"),"Yes","No"))</f>
        <v>No</v>
      </c>
      <c r="D160" s="1403">
        <f>'Proposed Lighting'!CV157-Q160</f>
        <v>0</v>
      </c>
      <c r="E160" s="143">
        <f>'Proposed Lighting'!T157</f>
        <v>0</v>
      </c>
      <c r="F160" s="143">
        <f>'Proposed Lighting'!F157</f>
        <v>0</v>
      </c>
      <c r="G160" s="96" t="s">
        <v>242</v>
      </c>
      <c r="H160" s="142" t="str">
        <f>'Proposed Lighting'!CP157</f>
        <v/>
      </c>
      <c r="I160" s="98">
        <v>1</v>
      </c>
      <c r="J160" s="142">
        <f>'Proposed Lighting'!AA157</f>
        <v>0</v>
      </c>
      <c r="K160" s="142" t="str">
        <f>IF(ISNUMBER(SEARCH("-C",'Proposed Lighting'!M157)),'Proposed Lighting'!AH157*0.9,'Proposed Lighting'!AH157)</f>
        <v/>
      </c>
      <c r="L160" s="142">
        <f>IFERROR(IF(OR('Proposed Lighting'!BC157=22,'Proposed Lighting'!BC157=44),1-25%,IF(OR('Proposed Lighting'!BC157=23,'Proposed Lighting'!BC157=46),1-30%,IF(OR('Proposed Lighting'!BC157=29,'Proposed Lighting'!BC157=39,'Proposed Lighting'!BC157=49),1-35%,IF(OR('Proposed Lighting'!BC157=24,'Proposed Lighting'!BC157=48),1-50%,IF(AND(ISNUMBER(SEARCH("-C",'Proposed Lighting'!M157)),'Proposed Lighting'!AU157=2),90%,100%)))))*'Proposed Lighting'!AH157,0)</f>
        <v>0</v>
      </c>
      <c r="M160" s="87">
        <f t="shared" si="30"/>
        <v>0</v>
      </c>
      <c r="N160" s="87">
        <f>IFERROR(IF('Proposed Lighting'!AU157=1,0,'Proposed Lighting'!AO157),0)</f>
        <v>0</v>
      </c>
      <c r="O160" s="88">
        <f>IF('Proposed Lighting'!AU157=1,0,'Proposed Lighting'!AP157)</f>
        <v>0</v>
      </c>
      <c r="P160" s="87">
        <f t="shared" si="31"/>
        <v>0</v>
      </c>
      <c r="Q160" s="98">
        <f t="shared" si="40"/>
        <v>0</v>
      </c>
      <c r="R160" s="99">
        <f>IFERROR(IF('Proposed Lighting'!T157="Lighting controls only",0,ROUND(IF('Proposed Lighting'!AQ157&lt;'Proposed Lighting'!AR157,0,IF('Proposed Lighting'!AH157=0,0,IF('Proposed Lighting'!BV157&gt;0,'Proposed Lighting'!BV157,IF('Proposed Lighting'!CL157=0,MIN('Proposed Lighting'!CN157:CO157),IF('Proposed Lighting'!CX157&gt;0,'Proposed Lighting'!CX157*'Proposed Lighting'!AA157,0))))),2)),0)</f>
        <v>0</v>
      </c>
      <c r="S160" s="99">
        <f>IF('Proposed Lighting'!AJ157&gt;0,'Proposed Lighting'!AJ157*J160,'Proposed Lighting'!$AU$328*J160)</f>
        <v>0</v>
      </c>
      <c r="T160" s="602">
        <f t="shared" si="32"/>
        <v>0</v>
      </c>
      <c r="U160" s="100"/>
      <c r="V160" s="99">
        <f t="shared" si="33"/>
        <v>0</v>
      </c>
      <c r="W160" s="99">
        <f t="shared" si="34"/>
        <v>0</v>
      </c>
      <c r="X160" s="99">
        <f t="shared" si="35"/>
        <v>0</v>
      </c>
      <c r="Y160" s="99"/>
      <c r="Z160" s="99">
        <f t="shared" si="41"/>
        <v>0</v>
      </c>
      <c r="AA160" s="99"/>
      <c r="AB160" s="99">
        <f t="shared" si="36"/>
        <v>0</v>
      </c>
      <c r="AC160" s="101" t="str">
        <f t="shared" si="37"/>
        <v/>
      </c>
      <c r="AD160" s="101" t="str">
        <f t="shared" si="38"/>
        <v/>
      </c>
      <c r="AE160" s="101" t="str">
        <f t="shared" si="39"/>
        <v/>
      </c>
      <c r="AF160" s="72"/>
      <c r="AG160" s="98">
        <f>IFERROR(IF($AV160="No",0,IF($AV160="yes",Summary!Q160,"")),"")</f>
        <v>0</v>
      </c>
      <c r="AH160" s="99">
        <f>IFERROR(IF($AV160="No",0,IF($AV160="yes",Summary!R160,"")),"")</f>
        <v>0</v>
      </c>
      <c r="AI160" s="99">
        <f>IFERROR(IF($AV160="No",0,IF($AV160="yes",Summary!S160,"")),"")</f>
        <v>0</v>
      </c>
      <c r="AJ160" s="602">
        <f>IFERROR(IF($AV160="No",0,IF($AV160="yes",Summary!T160,"")),"")</f>
        <v>0</v>
      </c>
      <c r="AK160" s="100">
        <f>IFERROR(IF($AV160="No",0,IF($AV160="yes",Summary!U160,"")),"")</f>
        <v>0</v>
      </c>
      <c r="AL160" s="99">
        <f>IFERROR(IF($AV160="No",0,IF($AV160="yes",Summary!V160,"")),"")</f>
        <v>0</v>
      </c>
      <c r="AM160" s="99">
        <f>IFERROR(IF($AV160="No",0,IF($AV160="yes",Summary!W160,"")),"")</f>
        <v>0</v>
      </c>
      <c r="AN160" s="99">
        <f>IFERROR(IF($AV160="No",0,IF($AV160="yes",Summary!X160,"")),"")</f>
        <v>0</v>
      </c>
      <c r="AO160" s="99">
        <f>IFERROR(IF($AV160="No",0,IF($AV160="yes",Summary!Y160+Z160,"")),"")</f>
        <v>0</v>
      </c>
      <c r="AP160" s="99">
        <f>IFERROR(IF($AV160="No",0,IF($AV160="yes",Summary!AB160,"")),"")</f>
        <v>0</v>
      </c>
      <c r="AQ160" s="101" t="str">
        <f t="shared" si="42"/>
        <v/>
      </c>
      <c r="AR160" s="101" t="str">
        <f t="shared" si="43"/>
        <v/>
      </c>
      <c r="AS160" s="101" t="str">
        <f t="shared" si="44"/>
        <v/>
      </c>
      <c r="AT160" s="96" t="s">
        <v>574</v>
      </c>
      <c r="AV160" t="str">
        <f>IF('Proposed Lighting'!CN157&gt;0,"No","Yes")</f>
        <v>Yes</v>
      </c>
    </row>
    <row r="161" spans="1:48" ht="34.5" customHeight="1" outlineLevel="1">
      <c r="A161" s="96" t="s">
        <v>575</v>
      </c>
      <c r="B161" s="96" t="str">
        <f>IF(ISNUMBER(SEARCH("case",E161)),"COM_MISC_REFR_ALL_UNKN1991",IF('Proposed Lighting'!AU158=3,"Commercial-All Com-ExtLight",IF('Proposed Lighting'!AH158&gt;8759,"IPC_8760","Commercial-All Com-IntLight")))</f>
        <v>IPC_8760</v>
      </c>
      <c r="C161" s="96" t="str">
        <f>IF(OR('Proposed Lighting'!DD158="Standard Incentive",'Proposed Lighting'!DD158="Non-Standard Incentive"),"Yes",IF(AND(IF(ISNUMBER(SEARCH("controls",'Proposed Lighting'!T158)),"True","False")="False",'Proposed Lighting'!DD158="Submit Control as Non-Standard"),"Yes","No"))</f>
        <v>No</v>
      </c>
      <c r="D161" s="1403">
        <f>'Proposed Lighting'!CV158-Q161</f>
        <v>0</v>
      </c>
      <c r="E161" s="143">
        <f>'Proposed Lighting'!T158</f>
        <v>0</v>
      </c>
      <c r="F161" s="143">
        <f>'Proposed Lighting'!F158</f>
        <v>0</v>
      </c>
      <c r="G161" s="96" t="s">
        <v>242</v>
      </c>
      <c r="H161" s="142" t="str">
        <f>'Proposed Lighting'!CP158</f>
        <v/>
      </c>
      <c r="I161" s="98">
        <v>1</v>
      </c>
      <c r="J161" s="142">
        <f>'Proposed Lighting'!AA158</f>
        <v>0</v>
      </c>
      <c r="K161" s="142" t="str">
        <f>IF(ISNUMBER(SEARCH("-C",'Proposed Lighting'!M158)),'Proposed Lighting'!AH158*0.9,'Proposed Lighting'!AH158)</f>
        <v/>
      </c>
      <c r="L161" s="142">
        <f>IFERROR(IF(OR('Proposed Lighting'!BC158=22,'Proposed Lighting'!BC158=44),1-25%,IF(OR('Proposed Lighting'!BC158=23,'Proposed Lighting'!BC158=46),1-30%,IF(OR('Proposed Lighting'!BC158=29,'Proposed Lighting'!BC158=39,'Proposed Lighting'!BC158=49),1-35%,IF(OR('Proposed Lighting'!BC158=24,'Proposed Lighting'!BC158=48),1-50%,IF(AND(ISNUMBER(SEARCH("-C",'Proposed Lighting'!M158)),'Proposed Lighting'!AU158=2),90%,100%)))))*'Proposed Lighting'!AH158,0)</f>
        <v>0</v>
      </c>
      <c r="M161" s="87">
        <f t="shared" si="30"/>
        <v>0</v>
      </c>
      <c r="N161" s="87">
        <f>IFERROR(IF('Proposed Lighting'!AU158=1,0,'Proposed Lighting'!AO158),0)</f>
        <v>0</v>
      </c>
      <c r="O161" s="88">
        <f>IF('Proposed Lighting'!AU158=1,0,'Proposed Lighting'!AP158)</f>
        <v>0</v>
      </c>
      <c r="P161" s="87">
        <f t="shared" si="31"/>
        <v>0</v>
      </c>
      <c r="Q161" s="98">
        <f t="shared" si="40"/>
        <v>0</v>
      </c>
      <c r="R161" s="99">
        <f>IFERROR(IF('Proposed Lighting'!T158="Lighting controls only",0,ROUND(IF('Proposed Lighting'!AQ158&lt;'Proposed Lighting'!AR158,0,IF('Proposed Lighting'!AH158=0,0,IF('Proposed Lighting'!BV158&gt;0,'Proposed Lighting'!BV158,IF('Proposed Lighting'!CL158=0,MIN('Proposed Lighting'!CN158:CO158),IF('Proposed Lighting'!CX158&gt;0,'Proposed Lighting'!CX158*'Proposed Lighting'!AA158,0))))),2)),0)</f>
        <v>0</v>
      </c>
      <c r="S161" s="99">
        <f>IF('Proposed Lighting'!AJ158&gt;0,'Proposed Lighting'!AJ158*J161,'Proposed Lighting'!$AU$328*J161)</f>
        <v>0</v>
      </c>
      <c r="T161" s="602">
        <f t="shared" si="32"/>
        <v>0</v>
      </c>
      <c r="U161" s="100"/>
      <c r="V161" s="99">
        <f t="shared" si="33"/>
        <v>0</v>
      </c>
      <c r="W161" s="99">
        <f t="shared" si="34"/>
        <v>0</v>
      </c>
      <c r="X161" s="99">
        <f t="shared" si="35"/>
        <v>0</v>
      </c>
      <c r="Y161" s="99"/>
      <c r="Z161" s="99">
        <f t="shared" si="41"/>
        <v>0</v>
      </c>
      <c r="AA161" s="99"/>
      <c r="AB161" s="99">
        <f t="shared" si="36"/>
        <v>0</v>
      </c>
      <c r="AC161" s="101" t="str">
        <f t="shared" si="37"/>
        <v/>
      </c>
      <c r="AD161" s="101" t="str">
        <f t="shared" si="38"/>
        <v/>
      </c>
      <c r="AE161" s="101" t="str">
        <f t="shared" si="39"/>
        <v/>
      </c>
      <c r="AF161" s="72"/>
      <c r="AG161" s="98">
        <f>IFERROR(IF($AV161="No",0,IF($AV161="yes",Summary!Q161,"")),"")</f>
        <v>0</v>
      </c>
      <c r="AH161" s="99">
        <f>IFERROR(IF($AV161="No",0,IF($AV161="yes",Summary!R161,"")),"")</f>
        <v>0</v>
      </c>
      <c r="AI161" s="99">
        <f>IFERROR(IF($AV161="No",0,IF($AV161="yes",Summary!S161,"")),"")</f>
        <v>0</v>
      </c>
      <c r="AJ161" s="602">
        <f>IFERROR(IF($AV161="No",0,IF($AV161="yes",Summary!T161,"")),"")</f>
        <v>0</v>
      </c>
      <c r="AK161" s="100">
        <f>IFERROR(IF($AV161="No",0,IF($AV161="yes",Summary!U161,"")),"")</f>
        <v>0</v>
      </c>
      <c r="AL161" s="99">
        <f>IFERROR(IF($AV161="No",0,IF($AV161="yes",Summary!V161,"")),"")</f>
        <v>0</v>
      </c>
      <c r="AM161" s="99">
        <f>IFERROR(IF($AV161="No",0,IF($AV161="yes",Summary!W161,"")),"")</f>
        <v>0</v>
      </c>
      <c r="AN161" s="99">
        <f>IFERROR(IF($AV161="No",0,IF($AV161="yes",Summary!X161,"")),"")</f>
        <v>0</v>
      </c>
      <c r="AO161" s="99">
        <f>IFERROR(IF($AV161="No",0,IF($AV161="yes",Summary!Y161+Z161,"")),"")</f>
        <v>0</v>
      </c>
      <c r="AP161" s="99">
        <f>IFERROR(IF($AV161="No",0,IF($AV161="yes",Summary!AB161,"")),"")</f>
        <v>0</v>
      </c>
      <c r="AQ161" s="101" t="str">
        <f t="shared" si="42"/>
        <v/>
      </c>
      <c r="AR161" s="101" t="str">
        <f t="shared" si="43"/>
        <v/>
      </c>
      <c r="AS161" s="101" t="str">
        <f t="shared" si="44"/>
        <v/>
      </c>
      <c r="AT161" s="96" t="s">
        <v>575</v>
      </c>
      <c r="AV161" t="str">
        <f>IF('Proposed Lighting'!CN158&gt;0,"No","Yes")</f>
        <v>Yes</v>
      </c>
    </row>
    <row r="162" spans="1:48" ht="34.5" customHeight="1" outlineLevel="1">
      <c r="A162" s="96" t="s">
        <v>576</v>
      </c>
      <c r="B162" s="96" t="str">
        <f>IF(ISNUMBER(SEARCH("case",E162)),"COM_MISC_REFR_ALL_UNKN1991",IF('Proposed Lighting'!AU159=3,"Commercial-All Com-ExtLight",IF('Proposed Lighting'!AH159&gt;8759,"IPC_8760","Commercial-All Com-IntLight")))</f>
        <v>IPC_8760</v>
      </c>
      <c r="C162" s="96" t="str">
        <f>IF(OR('Proposed Lighting'!DD159="Standard Incentive",'Proposed Lighting'!DD159="Non-Standard Incentive"),"Yes",IF(AND(IF(ISNUMBER(SEARCH("controls",'Proposed Lighting'!T159)),"True","False")="False",'Proposed Lighting'!DD159="Submit Control as Non-Standard"),"Yes","No"))</f>
        <v>No</v>
      </c>
      <c r="D162" s="1403">
        <f>'Proposed Lighting'!CV159-Q162</f>
        <v>0</v>
      </c>
      <c r="E162" s="143">
        <f>'Proposed Lighting'!T159</f>
        <v>0</v>
      </c>
      <c r="F162" s="143">
        <f>'Proposed Lighting'!F159</f>
        <v>0</v>
      </c>
      <c r="G162" s="96" t="s">
        <v>242</v>
      </c>
      <c r="H162" s="142" t="str">
        <f>'Proposed Lighting'!CP159</f>
        <v/>
      </c>
      <c r="I162" s="98">
        <v>1</v>
      </c>
      <c r="J162" s="142">
        <f>'Proposed Lighting'!AA159</f>
        <v>0</v>
      </c>
      <c r="K162" s="142" t="str">
        <f>IF(ISNUMBER(SEARCH("-C",'Proposed Lighting'!M159)),'Proposed Lighting'!AH159*0.9,'Proposed Lighting'!AH159)</f>
        <v/>
      </c>
      <c r="L162" s="142">
        <f>IFERROR(IF(OR('Proposed Lighting'!BC159=22,'Proposed Lighting'!BC159=44),1-25%,IF(OR('Proposed Lighting'!BC159=23,'Proposed Lighting'!BC159=46),1-30%,IF(OR('Proposed Lighting'!BC159=29,'Proposed Lighting'!BC159=39,'Proposed Lighting'!BC159=49),1-35%,IF(OR('Proposed Lighting'!BC159=24,'Proposed Lighting'!BC159=48),1-50%,IF(AND(ISNUMBER(SEARCH("-C",'Proposed Lighting'!M159)),'Proposed Lighting'!AU159=2),90%,100%)))))*'Proposed Lighting'!AH159,0)</f>
        <v>0</v>
      </c>
      <c r="M162" s="87">
        <f t="shared" si="30"/>
        <v>0</v>
      </c>
      <c r="N162" s="87">
        <f>IFERROR(IF('Proposed Lighting'!AU159=1,0,'Proposed Lighting'!AO159),0)</f>
        <v>0</v>
      </c>
      <c r="O162" s="88">
        <f>IF('Proposed Lighting'!AU159=1,0,'Proposed Lighting'!AP159)</f>
        <v>0</v>
      </c>
      <c r="P162" s="87">
        <f t="shared" si="31"/>
        <v>0</v>
      </c>
      <c r="Q162" s="98">
        <f t="shared" si="40"/>
        <v>0</v>
      </c>
      <c r="R162" s="99">
        <f>IFERROR(IF('Proposed Lighting'!T159="Lighting controls only",0,ROUND(IF('Proposed Lighting'!AQ159&lt;'Proposed Lighting'!AR159,0,IF('Proposed Lighting'!AH159=0,0,IF('Proposed Lighting'!BV159&gt;0,'Proposed Lighting'!BV159,IF('Proposed Lighting'!CL159=0,MIN('Proposed Lighting'!CN159:CO159),IF('Proposed Lighting'!CX159&gt;0,'Proposed Lighting'!CX159*'Proposed Lighting'!AA159,0))))),2)),0)</f>
        <v>0</v>
      </c>
      <c r="S162" s="99">
        <f>IF('Proposed Lighting'!AJ159&gt;0,'Proposed Lighting'!AJ159*J162,'Proposed Lighting'!$AU$328*J162)</f>
        <v>0</v>
      </c>
      <c r="T162" s="602">
        <f t="shared" si="32"/>
        <v>0</v>
      </c>
      <c r="U162" s="100"/>
      <c r="V162" s="99">
        <f t="shared" si="33"/>
        <v>0</v>
      </c>
      <c r="W162" s="99">
        <f t="shared" si="34"/>
        <v>0</v>
      </c>
      <c r="X162" s="99">
        <f t="shared" si="35"/>
        <v>0</v>
      </c>
      <c r="Y162" s="99"/>
      <c r="Z162" s="99">
        <f t="shared" si="41"/>
        <v>0</v>
      </c>
      <c r="AA162" s="99"/>
      <c r="AB162" s="99">
        <f t="shared" si="36"/>
        <v>0</v>
      </c>
      <c r="AC162" s="101" t="str">
        <f t="shared" si="37"/>
        <v/>
      </c>
      <c r="AD162" s="101" t="str">
        <f t="shared" si="38"/>
        <v/>
      </c>
      <c r="AE162" s="101" t="str">
        <f t="shared" si="39"/>
        <v/>
      </c>
      <c r="AF162" s="72"/>
      <c r="AG162" s="98">
        <f>IFERROR(IF($AV162="No",0,IF($AV162="yes",Summary!Q162,"")),"")</f>
        <v>0</v>
      </c>
      <c r="AH162" s="99">
        <f>IFERROR(IF($AV162="No",0,IF($AV162="yes",Summary!R162,"")),"")</f>
        <v>0</v>
      </c>
      <c r="AI162" s="99">
        <f>IFERROR(IF($AV162="No",0,IF($AV162="yes",Summary!S162,"")),"")</f>
        <v>0</v>
      </c>
      <c r="AJ162" s="602">
        <f>IFERROR(IF($AV162="No",0,IF($AV162="yes",Summary!T162,"")),"")</f>
        <v>0</v>
      </c>
      <c r="AK162" s="100">
        <f>IFERROR(IF($AV162="No",0,IF($AV162="yes",Summary!U162,"")),"")</f>
        <v>0</v>
      </c>
      <c r="AL162" s="99">
        <f>IFERROR(IF($AV162="No",0,IF($AV162="yes",Summary!V162,"")),"")</f>
        <v>0</v>
      </c>
      <c r="AM162" s="99">
        <f>IFERROR(IF($AV162="No",0,IF($AV162="yes",Summary!W162,"")),"")</f>
        <v>0</v>
      </c>
      <c r="AN162" s="99">
        <f>IFERROR(IF($AV162="No",0,IF($AV162="yes",Summary!X162,"")),"")</f>
        <v>0</v>
      </c>
      <c r="AO162" s="99">
        <f>IFERROR(IF($AV162="No",0,IF($AV162="yes",Summary!Y162+Z162,"")),"")</f>
        <v>0</v>
      </c>
      <c r="AP162" s="99">
        <f>IFERROR(IF($AV162="No",0,IF($AV162="yes",Summary!AB162,"")),"")</f>
        <v>0</v>
      </c>
      <c r="AQ162" s="101" t="str">
        <f t="shared" si="42"/>
        <v/>
      </c>
      <c r="AR162" s="101" t="str">
        <f t="shared" si="43"/>
        <v/>
      </c>
      <c r="AS162" s="101" t="str">
        <f t="shared" si="44"/>
        <v/>
      </c>
      <c r="AT162" s="96" t="s">
        <v>576</v>
      </c>
      <c r="AV162" t="str">
        <f>IF('Proposed Lighting'!CN159&gt;0,"No","Yes")</f>
        <v>Yes</v>
      </c>
    </row>
    <row r="163" spans="1:48" ht="34.5" customHeight="1" outlineLevel="1">
      <c r="A163" s="96" t="s">
        <v>577</v>
      </c>
      <c r="B163" s="96" t="str">
        <f>IF(ISNUMBER(SEARCH("case",E163)),"COM_MISC_REFR_ALL_UNKN1991",IF('Proposed Lighting'!AU160=3,"Commercial-All Com-ExtLight",IF('Proposed Lighting'!AH160&gt;8759,"IPC_8760","Commercial-All Com-IntLight")))</f>
        <v>IPC_8760</v>
      </c>
      <c r="C163" s="96" t="str">
        <f>IF(OR('Proposed Lighting'!DD160="Standard Incentive",'Proposed Lighting'!DD160="Non-Standard Incentive"),"Yes",IF(AND(IF(ISNUMBER(SEARCH("controls",'Proposed Lighting'!T160)),"True","False")="False",'Proposed Lighting'!DD160="Submit Control as Non-Standard"),"Yes","No"))</f>
        <v>No</v>
      </c>
      <c r="D163" s="1403">
        <f>'Proposed Lighting'!CV160-Q163</f>
        <v>0</v>
      </c>
      <c r="E163" s="143">
        <f>'Proposed Lighting'!T160</f>
        <v>0</v>
      </c>
      <c r="F163" s="143">
        <f>'Proposed Lighting'!F160</f>
        <v>0</v>
      </c>
      <c r="G163" s="96" t="s">
        <v>242</v>
      </c>
      <c r="H163" s="142" t="str">
        <f>'Proposed Lighting'!CP160</f>
        <v/>
      </c>
      <c r="I163" s="98">
        <v>1</v>
      </c>
      <c r="J163" s="142">
        <f>'Proposed Lighting'!AA160</f>
        <v>0</v>
      </c>
      <c r="K163" s="142" t="str">
        <f>IF(ISNUMBER(SEARCH("-C",'Proposed Lighting'!M160)),'Proposed Lighting'!AH160*0.9,'Proposed Lighting'!AH160)</f>
        <v/>
      </c>
      <c r="L163" s="142">
        <f>IFERROR(IF(OR('Proposed Lighting'!BC160=22,'Proposed Lighting'!BC160=44),1-25%,IF(OR('Proposed Lighting'!BC160=23,'Proposed Lighting'!BC160=46),1-30%,IF(OR('Proposed Lighting'!BC160=29,'Proposed Lighting'!BC160=39,'Proposed Lighting'!BC160=49),1-35%,IF(OR('Proposed Lighting'!BC160=24,'Proposed Lighting'!BC160=48),1-50%,IF(AND(ISNUMBER(SEARCH("-C",'Proposed Lighting'!M160)),'Proposed Lighting'!AU160=2),90%,100%)))))*'Proposed Lighting'!AH160,0)</f>
        <v>0</v>
      </c>
      <c r="M163" s="87">
        <f t="shared" si="30"/>
        <v>0</v>
      </c>
      <c r="N163" s="87">
        <f>IFERROR(IF('Proposed Lighting'!AU160=1,0,'Proposed Lighting'!AO160),0)</f>
        <v>0</v>
      </c>
      <c r="O163" s="88">
        <f>IF('Proposed Lighting'!AU160=1,0,'Proposed Lighting'!AP160)</f>
        <v>0</v>
      </c>
      <c r="P163" s="87">
        <f t="shared" si="31"/>
        <v>0</v>
      </c>
      <c r="Q163" s="98">
        <f t="shared" si="40"/>
        <v>0</v>
      </c>
      <c r="R163" s="99">
        <f>IFERROR(IF('Proposed Lighting'!T160="Lighting controls only",0,ROUND(IF('Proposed Lighting'!AQ160&lt;'Proposed Lighting'!AR160,0,IF('Proposed Lighting'!AH160=0,0,IF('Proposed Lighting'!BV160&gt;0,'Proposed Lighting'!BV160,IF('Proposed Lighting'!CL160=0,MIN('Proposed Lighting'!CN160:CO160),IF('Proposed Lighting'!CX160&gt;0,'Proposed Lighting'!CX160*'Proposed Lighting'!AA160,0))))),2)),0)</f>
        <v>0</v>
      </c>
      <c r="S163" s="99">
        <f>IF('Proposed Lighting'!AJ160&gt;0,'Proposed Lighting'!AJ160*J163,'Proposed Lighting'!$AU$328*J163)</f>
        <v>0</v>
      </c>
      <c r="T163" s="602">
        <f t="shared" si="32"/>
        <v>0</v>
      </c>
      <c r="U163" s="100"/>
      <c r="V163" s="99">
        <f t="shared" si="33"/>
        <v>0</v>
      </c>
      <c r="W163" s="99">
        <f t="shared" si="34"/>
        <v>0</v>
      </c>
      <c r="X163" s="99">
        <f t="shared" si="35"/>
        <v>0</v>
      </c>
      <c r="Y163" s="99"/>
      <c r="Z163" s="99">
        <f t="shared" si="41"/>
        <v>0</v>
      </c>
      <c r="AA163" s="99"/>
      <c r="AB163" s="99">
        <f t="shared" si="36"/>
        <v>0</v>
      </c>
      <c r="AC163" s="101" t="str">
        <f t="shared" si="37"/>
        <v/>
      </c>
      <c r="AD163" s="101" t="str">
        <f t="shared" si="38"/>
        <v/>
      </c>
      <c r="AE163" s="101" t="str">
        <f t="shared" si="39"/>
        <v/>
      </c>
      <c r="AF163" s="72"/>
      <c r="AG163" s="98">
        <f>IFERROR(IF($AV163="No",0,IF($AV163="yes",Summary!Q163,"")),"")</f>
        <v>0</v>
      </c>
      <c r="AH163" s="99">
        <f>IFERROR(IF($AV163="No",0,IF($AV163="yes",Summary!R163,"")),"")</f>
        <v>0</v>
      </c>
      <c r="AI163" s="99">
        <f>IFERROR(IF($AV163="No",0,IF($AV163="yes",Summary!S163,"")),"")</f>
        <v>0</v>
      </c>
      <c r="AJ163" s="602">
        <f>IFERROR(IF($AV163="No",0,IF($AV163="yes",Summary!T163,"")),"")</f>
        <v>0</v>
      </c>
      <c r="AK163" s="100">
        <f>IFERROR(IF($AV163="No",0,IF($AV163="yes",Summary!U163,"")),"")</f>
        <v>0</v>
      </c>
      <c r="AL163" s="99">
        <f>IFERROR(IF($AV163="No",0,IF($AV163="yes",Summary!V163,"")),"")</f>
        <v>0</v>
      </c>
      <c r="AM163" s="99">
        <f>IFERROR(IF($AV163="No",0,IF($AV163="yes",Summary!W163,"")),"")</f>
        <v>0</v>
      </c>
      <c r="AN163" s="99">
        <f>IFERROR(IF($AV163="No",0,IF($AV163="yes",Summary!X163,"")),"")</f>
        <v>0</v>
      </c>
      <c r="AO163" s="99">
        <f>IFERROR(IF($AV163="No",0,IF($AV163="yes",Summary!Y163+Z163,"")),"")</f>
        <v>0</v>
      </c>
      <c r="AP163" s="99">
        <f>IFERROR(IF($AV163="No",0,IF($AV163="yes",Summary!AB163,"")),"")</f>
        <v>0</v>
      </c>
      <c r="AQ163" s="101" t="str">
        <f t="shared" si="42"/>
        <v/>
      </c>
      <c r="AR163" s="101" t="str">
        <f t="shared" si="43"/>
        <v/>
      </c>
      <c r="AS163" s="101" t="str">
        <f t="shared" si="44"/>
        <v/>
      </c>
      <c r="AT163" s="96" t="s">
        <v>577</v>
      </c>
      <c r="AV163" t="str">
        <f>IF('Proposed Lighting'!CN160&gt;0,"No","Yes")</f>
        <v>Yes</v>
      </c>
    </row>
    <row r="164" spans="1:48" ht="34.5" customHeight="1" outlineLevel="1">
      <c r="A164" s="96" t="s">
        <v>578</v>
      </c>
      <c r="B164" s="96" t="str">
        <f>IF(ISNUMBER(SEARCH("case",E164)),"COM_MISC_REFR_ALL_UNKN1991",IF('Proposed Lighting'!AU161=3,"Commercial-All Com-ExtLight",IF('Proposed Lighting'!AH161&gt;8759,"IPC_8760","Commercial-All Com-IntLight")))</f>
        <v>IPC_8760</v>
      </c>
      <c r="C164" s="96" t="str">
        <f>IF(OR('Proposed Lighting'!DD161="Standard Incentive",'Proposed Lighting'!DD161="Non-Standard Incentive"),"Yes",IF(AND(IF(ISNUMBER(SEARCH("controls",'Proposed Lighting'!T161)),"True","False")="False",'Proposed Lighting'!DD161="Submit Control as Non-Standard"),"Yes","No"))</f>
        <v>No</v>
      </c>
      <c r="D164" s="1403">
        <f>'Proposed Lighting'!CV161-Q164</f>
        <v>0</v>
      </c>
      <c r="E164" s="143">
        <f>'Proposed Lighting'!T161</f>
        <v>0</v>
      </c>
      <c r="F164" s="143">
        <f>'Proposed Lighting'!F161</f>
        <v>0</v>
      </c>
      <c r="G164" s="96" t="s">
        <v>242</v>
      </c>
      <c r="H164" s="142" t="str">
        <f>'Proposed Lighting'!CP161</f>
        <v/>
      </c>
      <c r="I164" s="98">
        <v>1</v>
      </c>
      <c r="J164" s="142">
        <f>'Proposed Lighting'!AA161</f>
        <v>0</v>
      </c>
      <c r="K164" s="142" t="str">
        <f>IF(ISNUMBER(SEARCH("-C",'Proposed Lighting'!M161)),'Proposed Lighting'!AH161*0.9,'Proposed Lighting'!AH161)</f>
        <v/>
      </c>
      <c r="L164" s="142">
        <f>IFERROR(IF(OR('Proposed Lighting'!BC161=22,'Proposed Lighting'!BC161=44),1-25%,IF(OR('Proposed Lighting'!BC161=23,'Proposed Lighting'!BC161=46),1-30%,IF(OR('Proposed Lighting'!BC161=29,'Proposed Lighting'!BC161=39,'Proposed Lighting'!BC161=49),1-35%,IF(OR('Proposed Lighting'!BC161=24,'Proposed Lighting'!BC161=48),1-50%,IF(AND(ISNUMBER(SEARCH("-C",'Proposed Lighting'!M161)),'Proposed Lighting'!AU161=2),90%,100%)))))*'Proposed Lighting'!AH161,0)</f>
        <v>0</v>
      </c>
      <c r="M164" s="87">
        <f t="shared" si="30"/>
        <v>0</v>
      </c>
      <c r="N164" s="87">
        <f>IFERROR(IF('Proposed Lighting'!AU161=1,0,'Proposed Lighting'!AO161),0)</f>
        <v>0</v>
      </c>
      <c r="O164" s="88">
        <f>IF('Proposed Lighting'!AU161=1,0,'Proposed Lighting'!AP161)</f>
        <v>0</v>
      </c>
      <c r="P164" s="87">
        <f t="shared" si="31"/>
        <v>0</v>
      </c>
      <c r="Q164" s="98">
        <f t="shared" si="40"/>
        <v>0</v>
      </c>
      <c r="R164" s="99">
        <f>IFERROR(IF('Proposed Lighting'!T161="Lighting controls only",0,ROUND(IF('Proposed Lighting'!AQ161&lt;'Proposed Lighting'!AR161,0,IF('Proposed Lighting'!AH161=0,0,IF('Proposed Lighting'!BV161&gt;0,'Proposed Lighting'!BV161,IF('Proposed Lighting'!CL161=0,MIN('Proposed Lighting'!CN161:CO161),IF('Proposed Lighting'!CX161&gt;0,'Proposed Lighting'!CX161*'Proposed Lighting'!AA161,0))))),2)),0)</f>
        <v>0</v>
      </c>
      <c r="S164" s="99">
        <f>IF('Proposed Lighting'!AJ161&gt;0,'Proposed Lighting'!AJ161*J164,'Proposed Lighting'!$AU$328*J164)</f>
        <v>0</v>
      </c>
      <c r="T164" s="602">
        <f t="shared" si="32"/>
        <v>0</v>
      </c>
      <c r="U164" s="100"/>
      <c r="V164" s="99">
        <f t="shared" si="33"/>
        <v>0</v>
      </c>
      <c r="W164" s="99">
        <f t="shared" si="34"/>
        <v>0</v>
      </c>
      <c r="X164" s="99">
        <f t="shared" si="35"/>
        <v>0</v>
      </c>
      <c r="Y164" s="99"/>
      <c r="Z164" s="99">
        <f t="shared" si="41"/>
        <v>0</v>
      </c>
      <c r="AA164" s="99"/>
      <c r="AB164" s="99">
        <f t="shared" si="36"/>
        <v>0</v>
      </c>
      <c r="AC164" s="101" t="str">
        <f t="shared" si="37"/>
        <v/>
      </c>
      <c r="AD164" s="101" t="str">
        <f t="shared" si="38"/>
        <v/>
      </c>
      <c r="AE164" s="101" t="str">
        <f t="shared" si="39"/>
        <v/>
      </c>
      <c r="AF164" s="72"/>
      <c r="AG164" s="98">
        <f>IFERROR(IF($AV164="No",0,IF($AV164="yes",Summary!Q164,"")),"")</f>
        <v>0</v>
      </c>
      <c r="AH164" s="99">
        <f>IFERROR(IF($AV164="No",0,IF($AV164="yes",Summary!R164,"")),"")</f>
        <v>0</v>
      </c>
      <c r="AI164" s="99">
        <f>IFERROR(IF($AV164="No",0,IF($AV164="yes",Summary!S164,"")),"")</f>
        <v>0</v>
      </c>
      <c r="AJ164" s="602">
        <f>IFERROR(IF($AV164="No",0,IF($AV164="yes",Summary!T164,"")),"")</f>
        <v>0</v>
      </c>
      <c r="AK164" s="100">
        <f>IFERROR(IF($AV164="No",0,IF($AV164="yes",Summary!U164,"")),"")</f>
        <v>0</v>
      </c>
      <c r="AL164" s="99">
        <f>IFERROR(IF($AV164="No",0,IF($AV164="yes",Summary!V164,"")),"")</f>
        <v>0</v>
      </c>
      <c r="AM164" s="99">
        <f>IFERROR(IF($AV164="No",0,IF($AV164="yes",Summary!W164,"")),"")</f>
        <v>0</v>
      </c>
      <c r="AN164" s="99">
        <f>IFERROR(IF($AV164="No",0,IF($AV164="yes",Summary!X164,"")),"")</f>
        <v>0</v>
      </c>
      <c r="AO164" s="99">
        <f>IFERROR(IF($AV164="No",0,IF($AV164="yes",Summary!Y164+Z164,"")),"")</f>
        <v>0</v>
      </c>
      <c r="AP164" s="99">
        <f>IFERROR(IF($AV164="No",0,IF($AV164="yes",Summary!AB164,"")),"")</f>
        <v>0</v>
      </c>
      <c r="AQ164" s="101" t="str">
        <f t="shared" si="42"/>
        <v/>
      </c>
      <c r="AR164" s="101" t="str">
        <f t="shared" si="43"/>
        <v/>
      </c>
      <c r="AS164" s="101" t="str">
        <f t="shared" si="44"/>
        <v/>
      </c>
      <c r="AT164" s="96" t="s">
        <v>578</v>
      </c>
      <c r="AV164" t="str">
        <f>IF('Proposed Lighting'!CN161&gt;0,"No","Yes")</f>
        <v>Yes</v>
      </c>
    </row>
    <row r="165" spans="1:48" ht="34.5" customHeight="1" outlineLevel="1">
      <c r="A165" s="96" t="s">
        <v>579</v>
      </c>
      <c r="B165" s="96" t="str">
        <f>IF(ISNUMBER(SEARCH("case",E165)),"COM_MISC_REFR_ALL_UNKN1991",IF('Proposed Lighting'!AU162=3,"Commercial-All Com-ExtLight",IF('Proposed Lighting'!AH162&gt;8759,"IPC_8760","Commercial-All Com-IntLight")))</f>
        <v>IPC_8760</v>
      </c>
      <c r="C165" s="96" t="str">
        <f>IF(OR('Proposed Lighting'!DD162="Standard Incentive",'Proposed Lighting'!DD162="Non-Standard Incentive"),"Yes",IF(AND(IF(ISNUMBER(SEARCH("controls",'Proposed Lighting'!T162)),"True","False")="False",'Proposed Lighting'!DD162="Submit Control as Non-Standard"),"Yes","No"))</f>
        <v>No</v>
      </c>
      <c r="D165" s="1403">
        <f>'Proposed Lighting'!CV162-Q165</f>
        <v>0</v>
      </c>
      <c r="E165" s="143">
        <f>'Proposed Lighting'!T162</f>
        <v>0</v>
      </c>
      <c r="F165" s="143">
        <f>'Proposed Lighting'!F162</f>
        <v>0</v>
      </c>
      <c r="G165" s="96" t="s">
        <v>242</v>
      </c>
      <c r="H165" s="142" t="str">
        <f>'Proposed Lighting'!CP162</f>
        <v/>
      </c>
      <c r="I165" s="98">
        <v>1</v>
      </c>
      <c r="J165" s="142">
        <f>'Proposed Lighting'!AA162</f>
        <v>0</v>
      </c>
      <c r="K165" s="142" t="str">
        <f>IF(ISNUMBER(SEARCH("-C",'Proposed Lighting'!M162)),'Proposed Lighting'!AH162*0.9,'Proposed Lighting'!AH162)</f>
        <v/>
      </c>
      <c r="L165" s="142">
        <f>IFERROR(IF(OR('Proposed Lighting'!BC162=22,'Proposed Lighting'!BC162=44),1-25%,IF(OR('Proposed Lighting'!BC162=23,'Proposed Lighting'!BC162=46),1-30%,IF(OR('Proposed Lighting'!BC162=29,'Proposed Lighting'!BC162=39,'Proposed Lighting'!BC162=49),1-35%,IF(OR('Proposed Lighting'!BC162=24,'Proposed Lighting'!BC162=48),1-50%,IF(AND(ISNUMBER(SEARCH("-C",'Proposed Lighting'!M162)),'Proposed Lighting'!AU162=2),90%,100%)))))*'Proposed Lighting'!AH162,0)</f>
        <v>0</v>
      </c>
      <c r="M165" s="87">
        <f t="shared" si="30"/>
        <v>0</v>
      </c>
      <c r="N165" s="87">
        <f>IFERROR(IF('Proposed Lighting'!AU162=1,0,'Proposed Lighting'!AO162),0)</f>
        <v>0</v>
      </c>
      <c r="O165" s="88">
        <f>IF('Proposed Lighting'!AU162=1,0,'Proposed Lighting'!AP162)</f>
        <v>0</v>
      </c>
      <c r="P165" s="87">
        <f t="shared" si="31"/>
        <v>0</v>
      </c>
      <c r="Q165" s="98">
        <f t="shared" si="40"/>
        <v>0</v>
      </c>
      <c r="R165" s="99">
        <f>IFERROR(IF('Proposed Lighting'!T162="Lighting controls only",0,ROUND(IF('Proposed Lighting'!AQ162&lt;'Proposed Lighting'!AR162,0,IF('Proposed Lighting'!AH162=0,0,IF('Proposed Lighting'!BV162&gt;0,'Proposed Lighting'!BV162,IF('Proposed Lighting'!CL162=0,MIN('Proposed Lighting'!CN162:CO162),IF('Proposed Lighting'!CX162&gt;0,'Proposed Lighting'!CX162*'Proposed Lighting'!AA162,0))))),2)),0)</f>
        <v>0</v>
      </c>
      <c r="S165" s="99">
        <f>IF('Proposed Lighting'!AJ162&gt;0,'Proposed Lighting'!AJ162*J165,'Proposed Lighting'!$AU$328*J165)</f>
        <v>0</v>
      </c>
      <c r="T165" s="602">
        <f t="shared" si="32"/>
        <v>0</v>
      </c>
      <c r="U165" s="100"/>
      <c r="V165" s="99">
        <f t="shared" si="33"/>
        <v>0</v>
      </c>
      <c r="W165" s="99">
        <f t="shared" si="34"/>
        <v>0</v>
      </c>
      <c r="X165" s="99">
        <f t="shared" si="35"/>
        <v>0</v>
      </c>
      <c r="Y165" s="99"/>
      <c r="Z165" s="99">
        <f t="shared" si="41"/>
        <v>0</v>
      </c>
      <c r="AA165" s="99"/>
      <c r="AB165" s="99">
        <f t="shared" si="36"/>
        <v>0</v>
      </c>
      <c r="AC165" s="101" t="str">
        <f t="shared" si="37"/>
        <v/>
      </c>
      <c r="AD165" s="101" t="str">
        <f t="shared" si="38"/>
        <v/>
      </c>
      <c r="AE165" s="101" t="str">
        <f t="shared" si="39"/>
        <v/>
      </c>
      <c r="AF165" s="72"/>
      <c r="AG165" s="98">
        <f>IFERROR(IF($AV165="No",0,IF($AV165="yes",Summary!Q165,"")),"")</f>
        <v>0</v>
      </c>
      <c r="AH165" s="99">
        <f>IFERROR(IF($AV165="No",0,IF($AV165="yes",Summary!R165,"")),"")</f>
        <v>0</v>
      </c>
      <c r="AI165" s="99">
        <f>IFERROR(IF($AV165="No",0,IF($AV165="yes",Summary!S165,"")),"")</f>
        <v>0</v>
      </c>
      <c r="AJ165" s="602">
        <f>IFERROR(IF($AV165="No",0,IF($AV165="yes",Summary!T165,"")),"")</f>
        <v>0</v>
      </c>
      <c r="AK165" s="100">
        <f>IFERROR(IF($AV165="No",0,IF($AV165="yes",Summary!U165,"")),"")</f>
        <v>0</v>
      </c>
      <c r="AL165" s="99">
        <f>IFERROR(IF($AV165="No",0,IF($AV165="yes",Summary!V165,"")),"")</f>
        <v>0</v>
      </c>
      <c r="AM165" s="99">
        <f>IFERROR(IF($AV165="No",0,IF($AV165="yes",Summary!W165,"")),"")</f>
        <v>0</v>
      </c>
      <c r="AN165" s="99">
        <f>IFERROR(IF($AV165="No",0,IF($AV165="yes",Summary!X165,"")),"")</f>
        <v>0</v>
      </c>
      <c r="AO165" s="99">
        <f>IFERROR(IF($AV165="No",0,IF($AV165="yes",Summary!Y165+Z165,"")),"")</f>
        <v>0</v>
      </c>
      <c r="AP165" s="99">
        <f>IFERROR(IF($AV165="No",0,IF($AV165="yes",Summary!AB165,"")),"")</f>
        <v>0</v>
      </c>
      <c r="AQ165" s="101" t="str">
        <f t="shared" si="42"/>
        <v/>
      </c>
      <c r="AR165" s="101" t="str">
        <f t="shared" si="43"/>
        <v/>
      </c>
      <c r="AS165" s="101" t="str">
        <f t="shared" si="44"/>
        <v/>
      </c>
      <c r="AT165" s="96" t="s">
        <v>579</v>
      </c>
      <c r="AV165" t="str">
        <f>IF('Proposed Lighting'!CN162&gt;0,"No","Yes")</f>
        <v>Yes</v>
      </c>
    </row>
    <row r="166" spans="1:48" ht="34.5" customHeight="1" outlineLevel="1">
      <c r="A166" s="96" t="s">
        <v>580</v>
      </c>
      <c r="B166" s="96" t="str">
        <f>IF(ISNUMBER(SEARCH("case",E166)),"COM_MISC_REFR_ALL_UNKN1991",IF('Proposed Lighting'!AU163=3,"Commercial-All Com-ExtLight",IF('Proposed Lighting'!AH163&gt;8759,"IPC_8760","Commercial-All Com-IntLight")))</f>
        <v>IPC_8760</v>
      </c>
      <c r="C166" s="96" t="str">
        <f>IF(OR('Proposed Lighting'!DD163="Standard Incentive",'Proposed Lighting'!DD163="Non-Standard Incentive"),"Yes",IF(AND(IF(ISNUMBER(SEARCH("controls",'Proposed Lighting'!T163)),"True","False")="False",'Proposed Lighting'!DD163="Submit Control as Non-Standard"),"Yes","No"))</f>
        <v>No</v>
      </c>
      <c r="D166" s="1403">
        <f>'Proposed Lighting'!CV163-Q166</f>
        <v>0</v>
      </c>
      <c r="E166" s="143">
        <f>'Proposed Lighting'!T163</f>
        <v>0</v>
      </c>
      <c r="F166" s="143">
        <f>'Proposed Lighting'!F163</f>
        <v>0</v>
      </c>
      <c r="G166" s="96" t="s">
        <v>242</v>
      </c>
      <c r="H166" s="142" t="str">
        <f>'Proposed Lighting'!CP163</f>
        <v/>
      </c>
      <c r="I166" s="98">
        <v>1</v>
      </c>
      <c r="J166" s="142">
        <f>'Proposed Lighting'!AA163</f>
        <v>0</v>
      </c>
      <c r="K166" s="142" t="str">
        <f>IF(ISNUMBER(SEARCH("-C",'Proposed Lighting'!M163)),'Proposed Lighting'!AH163*0.9,'Proposed Lighting'!AH163)</f>
        <v/>
      </c>
      <c r="L166" s="142">
        <f>IFERROR(IF(OR('Proposed Lighting'!BC163=22,'Proposed Lighting'!BC163=44),1-25%,IF(OR('Proposed Lighting'!BC163=23,'Proposed Lighting'!BC163=46),1-30%,IF(OR('Proposed Lighting'!BC163=29,'Proposed Lighting'!BC163=39,'Proposed Lighting'!BC163=49),1-35%,IF(OR('Proposed Lighting'!BC163=24,'Proposed Lighting'!BC163=48),1-50%,IF(AND(ISNUMBER(SEARCH("-C",'Proposed Lighting'!M163)),'Proposed Lighting'!AU163=2),90%,100%)))))*'Proposed Lighting'!AH163,0)</f>
        <v>0</v>
      </c>
      <c r="M166" s="87">
        <f t="shared" si="30"/>
        <v>0</v>
      </c>
      <c r="N166" s="87">
        <f>IFERROR(IF('Proposed Lighting'!AU163=1,0,'Proposed Lighting'!AO163),0)</f>
        <v>0</v>
      </c>
      <c r="O166" s="88">
        <f>IF('Proposed Lighting'!AU163=1,0,'Proposed Lighting'!AP163)</f>
        <v>0</v>
      </c>
      <c r="P166" s="87">
        <f t="shared" si="31"/>
        <v>0</v>
      </c>
      <c r="Q166" s="98">
        <f t="shared" si="40"/>
        <v>0</v>
      </c>
      <c r="R166" s="99">
        <f>IFERROR(IF('Proposed Lighting'!T163="Lighting controls only",0,ROUND(IF('Proposed Lighting'!AQ163&lt;'Proposed Lighting'!AR163,0,IF('Proposed Lighting'!AH163=0,0,IF('Proposed Lighting'!BV163&gt;0,'Proposed Lighting'!BV163,IF('Proposed Lighting'!CL163=0,MIN('Proposed Lighting'!CN163:CO163),IF('Proposed Lighting'!CX163&gt;0,'Proposed Lighting'!CX163*'Proposed Lighting'!AA163,0))))),2)),0)</f>
        <v>0</v>
      </c>
      <c r="S166" s="99">
        <f>IF('Proposed Lighting'!AJ163&gt;0,'Proposed Lighting'!AJ163*J166,'Proposed Lighting'!$AU$328*J166)</f>
        <v>0</v>
      </c>
      <c r="T166" s="602">
        <f t="shared" si="32"/>
        <v>0</v>
      </c>
      <c r="U166" s="100"/>
      <c r="V166" s="99">
        <f t="shared" si="33"/>
        <v>0</v>
      </c>
      <c r="W166" s="99">
        <f t="shared" si="34"/>
        <v>0</v>
      </c>
      <c r="X166" s="99">
        <f t="shared" si="35"/>
        <v>0</v>
      </c>
      <c r="Y166" s="99"/>
      <c r="Z166" s="99">
        <f t="shared" si="41"/>
        <v>0</v>
      </c>
      <c r="AA166" s="99"/>
      <c r="AB166" s="99">
        <f t="shared" si="36"/>
        <v>0</v>
      </c>
      <c r="AC166" s="101" t="str">
        <f t="shared" si="37"/>
        <v/>
      </c>
      <c r="AD166" s="101" t="str">
        <f t="shared" si="38"/>
        <v/>
      </c>
      <c r="AE166" s="101" t="str">
        <f t="shared" si="39"/>
        <v/>
      </c>
      <c r="AF166" s="72"/>
      <c r="AG166" s="98">
        <f>IFERROR(IF($AV166="No",0,IF($AV166="yes",Summary!Q166,"")),"")</f>
        <v>0</v>
      </c>
      <c r="AH166" s="99">
        <f>IFERROR(IF($AV166="No",0,IF($AV166="yes",Summary!R166,"")),"")</f>
        <v>0</v>
      </c>
      <c r="AI166" s="99">
        <f>IFERROR(IF($AV166="No",0,IF($AV166="yes",Summary!S166,"")),"")</f>
        <v>0</v>
      </c>
      <c r="AJ166" s="602">
        <f>IFERROR(IF($AV166="No",0,IF($AV166="yes",Summary!T166,"")),"")</f>
        <v>0</v>
      </c>
      <c r="AK166" s="100">
        <f>IFERROR(IF($AV166="No",0,IF($AV166="yes",Summary!U166,"")),"")</f>
        <v>0</v>
      </c>
      <c r="AL166" s="99">
        <f>IFERROR(IF($AV166="No",0,IF($AV166="yes",Summary!V166,"")),"")</f>
        <v>0</v>
      </c>
      <c r="AM166" s="99">
        <f>IFERROR(IF($AV166="No",0,IF($AV166="yes",Summary!W166,"")),"")</f>
        <v>0</v>
      </c>
      <c r="AN166" s="99">
        <f>IFERROR(IF($AV166="No",0,IF($AV166="yes",Summary!X166,"")),"")</f>
        <v>0</v>
      </c>
      <c r="AO166" s="99">
        <f>IFERROR(IF($AV166="No",0,IF($AV166="yes",Summary!Y166+Z166,"")),"")</f>
        <v>0</v>
      </c>
      <c r="AP166" s="99">
        <f>IFERROR(IF($AV166="No",0,IF($AV166="yes",Summary!AB166,"")),"")</f>
        <v>0</v>
      </c>
      <c r="AQ166" s="101" t="str">
        <f t="shared" si="42"/>
        <v/>
      </c>
      <c r="AR166" s="101" t="str">
        <f t="shared" si="43"/>
        <v/>
      </c>
      <c r="AS166" s="101" t="str">
        <f t="shared" si="44"/>
        <v/>
      </c>
      <c r="AT166" s="96" t="s">
        <v>580</v>
      </c>
      <c r="AV166" t="str">
        <f>IF('Proposed Lighting'!CN163&gt;0,"No","Yes")</f>
        <v>Yes</v>
      </c>
    </row>
    <row r="167" spans="1:48" ht="34.5" customHeight="1" outlineLevel="1">
      <c r="A167" s="96" t="s">
        <v>581</v>
      </c>
      <c r="B167" s="96" t="str">
        <f>IF(ISNUMBER(SEARCH("case",E167)),"COM_MISC_REFR_ALL_UNKN1991",IF('Proposed Lighting'!AU164=3,"Commercial-All Com-ExtLight",IF('Proposed Lighting'!AH164&gt;8759,"IPC_8760","Commercial-All Com-IntLight")))</f>
        <v>IPC_8760</v>
      </c>
      <c r="C167" s="96" t="str">
        <f>IF(OR('Proposed Lighting'!DD164="Standard Incentive",'Proposed Lighting'!DD164="Non-Standard Incentive"),"Yes",IF(AND(IF(ISNUMBER(SEARCH("controls",'Proposed Lighting'!T164)),"True","False")="False",'Proposed Lighting'!DD164="Submit Control as Non-Standard"),"Yes","No"))</f>
        <v>No</v>
      </c>
      <c r="D167" s="1403">
        <f>'Proposed Lighting'!CV164-Q167</f>
        <v>0</v>
      </c>
      <c r="E167" s="143">
        <f>'Proposed Lighting'!T164</f>
        <v>0</v>
      </c>
      <c r="F167" s="143">
        <f>'Proposed Lighting'!F164</f>
        <v>0</v>
      </c>
      <c r="G167" s="96" t="s">
        <v>242</v>
      </c>
      <c r="H167" s="142" t="str">
        <f>'Proposed Lighting'!CP164</f>
        <v/>
      </c>
      <c r="I167" s="98">
        <v>1</v>
      </c>
      <c r="J167" s="142">
        <f>'Proposed Lighting'!AA164</f>
        <v>0</v>
      </c>
      <c r="K167" s="142" t="str">
        <f>IF(ISNUMBER(SEARCH("-C",'Proposed Lighting'!M164)),'Proposed Lighting'!AH164*0.9,'Proposed Lighting'!AH164)</f>
        <v/>
      </c>
      <c r="L167" s="142">
        <f>IFERROR(IF(OR('Proposed Lighting'!BC164=22,'Proposed Lighting'!BC164=44),1-25%,IF(OR('Proposed Lighting'!BC164=23,'Proposed Lighting'!BC164=46),1-30%,IF(OR('Proposed Lighting'!BC164=29,'Proposed Lighting'!BC164=39,'Proposed Lighting'!BC164=49),1-35%,IF(OR('Proposed Lighting'!BC164=24,'Proposed Lighting'!BC164=48),1-50%,IF(AND(ISNUMBER(SEARCH("-C",'Proposed Lighting'!M164)),'Proposed Lighting'!AU164=2),90%,100%)))))*'Proposed Lighting'!AH164,0)</f>
        <v>0</v>
      </c>
      <c r="M167" s="87">
        <f t="shared" si="30"/>
        <v>0</v>
      </c>
      <c r="N167" s="87">
        <f>IFERROR(IF('Proposed Lighting'!AU164=1,0,'Proposed Lighting'!AO164),0)</f>
        <v>0</v>
      </c>
      <c r="O167" s="88">
        <f>IF('Proposed Lighting'!AU164=1,0,'Proposed Lighting'!AP164)</f>
        <v>0</v>
      </c>
      <c r="P167" s="87">
        <f t="shared" si="31"/>
        <v>0</v>
      </c>
      <c r="Q167" s="98">
        <f t="shared" si="40"/>
        <v>0</v>
      </c>
      <c r="R167" s="99">
        <f>IFERROR(IF('Proposed Lighting'!T164="Lighting controls only",0,ROUND(IF('Proposed Lighting'!AQ164&lt;'Proposed Lighting'!AR164,0,IF('Proposed Lighting'!AH164=0,0,IF('Proposed Lighting'!BV164&gt;0,'Proposed Lighting'!BV164,IF('Proposed Lighting'!CL164=0,MIN('Proposed Lighting'!CN164:CO164),IF('Proposed Lighting'!CX164&gt;0,'Proposed Lighting'!CX164*'Proposed Lighting'!AA164,0))))),2)),0)</f>
        <v>0</v>
      </c>
      <c r="S167" s="99">
        <f>IF('Proposed Lighting'!AJ164&gt;0,'Proposed Lighting'!AJ164*J167,'Proposed Lighting'!$AU$328*J167)</f>
        <v>0</v>
      </c>
      <c r="T167" s="602">
        <f t="shared" si="32"/>
        <v>0</v>
      </c>
      <c r="U167" s="100"/>
      <c r="V167" s="99">
        <f t="shared" si="33"/>
        <v>0</v>
      </c>
      <c r="W167" s="99">
        <f t="shared" si="34"/>
        <v>0</v>
      </c>
      <c r="X167" s="99">
        <f t="shared" si="35"/>
        <v>0</v>
      </c>
      <c r="Y167" s="99"/>
      <c r="Z167" s="99">
        <f t="shared" si="41"/>
        <v>0</v>
      </c>
      <c r="AA167" s="99"/>
      <c r="AB167" s="99">
        <f t="shared" si="36"/>
        <v>0</v>
      </c>
      <c r="AC167" s="101" t="str">
        <f t="shared" si="37"/>
        <v/>
      </c>
      <c r="AD167" s="101" t="str">
        <f t="shared" si="38"/>
        <v/>
      </c>
      <c r="AE167" s="101" t="str">
        <f t="shared" si="39"/>
        <v/>
      </c>
      <c r="AF167" s="72"/>
      <c r="AG167" s="98">
        <f>IFERROR(IF($AV167="No",0,IF($AV167="yes",Summary!Q167,"")),"")</f>
        <v>0</v>
      </c>
      <c r="AH167" s="99">
        <f>IFERROR(IF($AV167="No",0,IF($AV167="yes",Summary!R167,"")),"")</f>
        <v>0</v>
      </c>
      <c r="AI167" s="99">
        <f>IFERROR(IF($AV167="No",0,IF($AV167="yes",Summary!S167,"")),"")</f>
        <v>0</v>
      </c>
      <c r="AJ167" s="602">
        <f>IFERROR(IF($AV167="No",0,IF($AV167="yes",Summary!T167,"")),"")</f>
        <v>0</v>
      </c>
      <c r="AK167" s="100">
        <f>IFERROR(IF($AV167="No",0,IF($AV167="yes",Summary!U167,"")),"")</f>
        <v>0</v>
      </c>
      <c r="AL167" s="99">
        <f>IFERROR(IF($AV167="No",0,IF($AV167="yes",Summary!V167,"")),"")</f>
        <v>0</v>
      </c>
      <c r="AM167" s="99">
        <f>IFERROR(IF($AV167="No",0,IF($AV167="yes",Summary!W167,"")),"")</f>
        <v>0</v>
      </c>
      <c r="AN167" s="99">
        <f>IFERROR(IF($AV167="No",0,IF($AV167="yes",Summary!X167,"")),"")</f>
        <v>0</v>
      </c>
      <c r="AO167" s="99">
        <f>IFERROR(IF($AV167="No",0,IF($AV167="yes",Summary!Y167+Z167,"")),"")</f>
        <v>0</v>
      </c>
      <c r="AP167" s="99">
        <f>IFERROR(IF($AV167="No",0,IF($AV167="yes",Summary!AB167,"")),"")</f>
        <v>0</v>
      </c>
      <c r="AQ167" s="101" t="str">
        <f t="shared" si="42"/>
        <v/>
      </c>
      <c r="AR167" s="101" t="str">
        <f t="shared" si="43"/>
        <v/>
      </c>
      <c r="AS167" s="101" t="str">
        <f t="shared" si="44"/>
        <v/>
      </c>
      <c r="AT167" s="96" t="s">
        <v>581</v>
      </c>
      <c r="AV167" t="str">
        <f>IF('Proposed Lighting'!CN164&gt;0,"No","Yes")</f>
        <v>Yes</v>
      </c>
    </row>
    <row r="168" spans="1:48" ht="34.5" customHeight="1" outlineLevel="1">
      <c r="A168" s="96" t="s">
        <v>582</v>
      </c>
      <c r="B168" s="96" t="str">
        <f>IF(ISNUMBER(SEARCH("case",E168)),"COM_MISC_REFR_ALL_UNKN1991",IF('Proposed Lighting'!AU165=3,"Commercial-All Com-ExtLight",IF('Proposed Lighting'!AH165&gt;8759,"IPC_8760","Commercial-All Com-IntLight")))</f>
        <v>IPC_8760</v>
      </c>
      <c r="C168" s="96" t="str">
        <f>IF(OR('Proposed Lighting'!DD165="Standard Incentive",'Proposed Lighting'!DD165="Non-Standard Incentive"),"Yes",IF(AND(IF(ISNUMBER(SEARCH("controls",'Proposed Lighting'!T165)),"True","False")="False",'Proposed Lighting'!DD165="Submit Control as Non-Standard"),"Yes","No"))</f>
        <v>No</v>
      </c>
      <c r="D168" s="1403">
        <f>'Proposed Lighting'!CV165-Q168</f>
        <v>0</v>
      </c>
      <c r="E168" s="143">
        <f>'Proposed Lighting'!T165</f>
        <v>0</v>
      </c>
      <c r="F168" s="143">
        <f>'Proposed Lighting'!F165</f>
        <v>0</v>
      </c>
      <c r="G168" s="96" t="s">
        <v>242</v>
      </c>
      <c r="H168" s="142" t="str">
        <f>'Proposed Lighting'!CP165</f>
        <v/>
      </c>
      <c r="I168" s="98">
        <v>1</v>
      </c>
      <c r="J168" s="142">
        <f>'Proposed Lighting'!AA165</f>
        <v>0</v>
      </c>
      <c r="K168" s="142" t="str">
        <f>IF(ISNUMBER(SEARCH("-C",'Proposed Lighting'!M165)),'Proposed Lighting'!AH165*0.9,'Proposed Lighting'!AH165)</f>
        <v/>
      </c>
      <c r="L168" s="142">
        <f>IFERROR(IF(OR('Proposed Lighting'!BC165=22,'Proposed Lighting'!BC165=44),1-25%,IF(OR('Proposed Lighting'!BC165=23,'Proposed Lighting'!BC165=46),1-30%,IF(OR('Proposed Lighting'!BC165=29,'Proposed Lighting'!BC165=39,'Proposed Lighting'!BC165=49),1-35%,IF(OR('Proposed Lighting'!BC165=24,'Proposed Lighting'!BC165=48),1-50%,IF(AND(ISNUMBER(SEARCH("-C",'Proposed Lighting'!M165)),'Proposed Lighting'!AU165=2),90%,100%)))))*'Proposed Lighting'!AH165,0)</f>
        <v>0</v>
      </c>
      <c r="M168" s="87">
        <f t="shared" si="30"/>
        <v>0</v>
      </c>
      <c r="N168" s="87">
        <f>IFERROR(IF('Proposed Lighting'!AU165=1,0,'Proposed Lighting'!AO165),0)</f>
        <v>0</v>
      </c>
      <c r="O168" s="88">
        <f>IF('Proposed Lighting'!AU165=1,0,'Proposed Lighting'!AP165)</f>
        <v>0</v>
      </c>
      <c r="P168" s="87">
        <f t="shared" si="31"/>
        <v>0</v>
      </c>
      <c r="Q168" s="98">
        <f t="shared" si="40"/>
        <v>0</v>
      </c>
      <c r="R168" s="99">
        <f>IFERROR(IF('Proposed Lighting'!T165="Lighting controls only",0,ROUND(IF('Proposed Lighting'!AQ165&lt;'Proposed Lighting'!AR165,0,IF('Proposed Lighting'!AH165=0,0,IF('Proposed Lighting'!BV165&gt;0,'Proposed Lighting'!BV165,IF('Proposed Lighting'!CL165=0,MIN('Proposed Lighting'!CN165:CO165),IF('Proposed Lighting'!CX165&gt;0,'Proposed Lighting'!CX165*'Proposed Lighting'!AA165,0))))),2)),0)</f>
        <v>0</v>
      </c>
      <c r="S168" s="99">
        <f>IF('Proposed Lighting'!AJ165&gt;0,'Proposed Lighting'!AJ165*J168,'Proposed Lighting'!$AU$328*J168)</f>
        <v>0</v>
      </c>
      <c r="T168" s="602">
        <f t="shared" si="32"/>
        <v>0</v>
      </c>
      <c r="U168" s="100"/>
      <c r="V168" s="99">
        <f t="shared" si="33"/>
        <v>0</v>
      </c>
      <c r="W168" s="99">
        <f t="shared" si="34"/>
        <v>0</v>
      </c>
      <c r="X168" s="99">
        <f t="shared" si="35"/>
        <v>0</v>
      </c>
      <c r="Y168" s="99"/>
      <c r="Z168" s="99">
        <f t="shared" si="41"/>
        <v>0</v>
      </c>
      <c r="AA168" s="99"/>
      <c r="AB168" s="99">
        <f t="shared" si="36"/>
        <v>0</v>
      </c>
      <c r="AC168" s="101" t="str">
        <f t="shared" si="37"/>
        <v/>
      </c>
      <c r="AD168" s="101" t="str">
        <f t="shared" si="38"/>
        <v/>
      </c>
      <c r="AE168" s="101" t="str">
        <f t="shared" si="39"/>
        <v/>
      </c>
      <c r="AF168" s="72"/>
      <c r="AG168" s="98">
        <f>IFERROR(IF($AV168="No",0,IF($AV168="yes",Summary!Q168,"")),"")</f>
        <v>0</v>
      </c>
      <c r="AH168" s="99">
        <f>IFERROR(IF($AV168="No",0,IF($AV168="yes",Summary!R168,"")),"")</f>
        <v>0</v>
      </c>
      <c r="AI168" s="99">
        <f>IFERROR(IF($AV168="No",0,IF($AV168="yes",Summary!S168,"")),"")</f>
        <v>0</v>
      </c>
      <c r="AJ168" s="602">
        <f>IFERROR(IF($AV168="No",0,IF($AV168="yes",Summary!T168,"")),"")</f>
        <v>0</v>
      </c>
      <c r="AK168" s="100">
        <f>IFERROR(IF($AV168="No",0,IF($AV168="yes",Summary!U168,"")),"")</f>
        <v>0</v>
      </c>
      <c r="AL168" s="99">
        <f>IFERROR(IF($AV168="No",0,IF($AV168="yes",Summary!V168,"")),"")</f>
        <v>0</v>
      </c>
      <c r="AM168" s="99">
        <f>IFERROR(IF($AV168="No",0,IF($AV168="yes",Summary!W168,"")),"")</f>
        <v>0</v>
      </c>
      <c r="AN168" s="99">
        <f>IFERROR(IF($AV168="No",0,IF($AV168="yes",Summary!X168,"")),"")</f>
        <v>0</v>
      </c>
      <c r="AO168" s="99">
        <f>IFERROR(IF($AV168="No",0,IF($AV168="yes",Summary!Y168+Z168,"")),"")</f>
        <v>0</v>
      </c>
      <c r="AP168" s="99">
        <f>IFERROR(IF($AV168="No",0,IF($AV168="yes",Summary!AB168,"")),"")</f>
        <v>0</v>
      </c>
      <c r="AQ168" s="101" t="str">
        <f t="shared" si="42"/>
        <v/>
      </c>
      <c r="AR168" s="101" t="str">
        <f t="shared" si="43"/>
        <v/>
      </c>
      <c r="AS168" s="101" t="str">
        <f t="shared" si="44"/>
        <v/>
      </c>
      <c r="AT168" s="96" t="s">
        <v>582</v>
      </c>
      <c r="AV168" t="str">
        <f>IF('Proposed Lighting'!CN165&gt;0,"No","Yes")</f>
        <v>Yes</v>
      </c>
    </row>
    <row r="169" spans="1:48" ht="34.5" customHeight="1" outlineLevel="1">
      <c r="A169" s="96" t="s">
        <v>583</v>
      </c>
      <c r="B169" s="96" t="str">
        <f>IF(ISNUMBER(SEARCH("case",E169)),"COM_MISC_REFR_ALL_UNKN1991",IF('Proposed Lighting'!AU166=3,"Commercial-All Com-ExtLight",IF('Proposed Lighting'!AH166&gt;8759,"IPC_8760","Commercial-All Com-IntLight")))</f>
        <v>IPC_8760</v>
      </c>
      <c r="C169" s="96" t="str">
        <f>IF(OR('Proposed Lighting'!DD166="Standard Incentive",'Proposed Lighting'!DD166="Non-Standard Incentive"),"Yes",IF(AND(IF(ISNUMBER(SEARCH("controls",'Proposed Lighting'!T166)),"True","False")="False",'Proposed Lighting'!DD166="Submit Control as Non-Standard"),"Yes","No"))</f>
        <v>No</v>
      </c>
      <c r="D169" s="1403">
        <f>'Proposed Lighting'!CV166-Q169</f>
        <v>0</v>
      </c>
      <c r="E169" s="143">
        <f>'Proposed Lighting'!T166</f>
        <v>0</v>
      </c>
      <c r="F169" s="143">
        <f>'Proposed Lighting'!F166</f>
        <v>0</v>
      </c>
      <c r="G169" s="96" t="s">
        <v>242</v>
      </c>
      <c r="H169" s="142" t="str">
        <f>'Proposed Lighting'!CP166</f>
        <v/>
      </c>
      <c r="I169" s="98">
        <v>1</v>
      </c>
      <c r="J169" s="142">
        <f>'Proposed Lighting'!AA166</f>
        <v>0</v>
      </c>
      <c r="K169" s="142" t="str">
        <f>IF(ISNUMBER(SEARCH("-C",'Proposed Lighting'!M166)),'Proposed Lighting'!AH166*0.9,'Proposed Lighting'!AH166)</f>
        <v/>
      </c>
      <c r="L169" s="142">
        <f>IFERROR(IF(OR('Proposed Lighting'!BC166=22,'Proposed Lighting'!BC166=44),1-25%,IF(OR('Proposed Lighting'!BC166=23,'Proposed Lighting'!BC166=46),1-30%,IF(OR('Proposed Lighting'!BC166=29,'Proposed Lighting'!BC166=39,'Proposed Lighting'!BC166=49),1-35%,IF(OR('Proposed Lighting'!BC166=24,'Proposed Lighting'!BC166=48),1-50%,IF(AND(ISNUMBER(SEARCH("-C",'Proposed Lighting'!M166)),'Proposed Lighting'!AU166=2),90%,100%)))))*'Proposed Lighting'!AH166,0)</f>
        <v>0</v>
      </c>
      <c r="M169" s="87">
        <f t="shared" si="30"/>
        <v>0</v>
      </c>
      <c r="N169" s="87">
        <f>IFERROR(IF('Proposed Lighting'!AU166=1,0,'Proposed Lighting'!AO166),0)</f>
        <v>0</v>
      </c>
      <c r="O169" s="88">
        <f>IF('Proposed Lighting'!AU166=1,0,'Proposed Lighting'!AP166)</f>
        <v>0</v>
      </c>
      <c r="P169" s="87">
        <f t="shared" si="31"/>
        <v>0</v>
      </c>
      <c r="Q169" s="98">
        <f t="shared" si="40"/>
        <v>0</v>
      </c>
      <c r="R169" s="99">
        <f>IFERROR(IF('Proposed Lighting'!T166="Lighting controls only",0,ROUND(IF('Proposed Lighting'!AQ166&lt;'Proposed Lighting'!AR166,0,IF('Proposed Lighting'!AH166=0,0,IF('Proposed Lighting'!BV166&gt;0,'Proposed Lighting'!BV166,IF('Proposed Lighting'!CL166=0,MIN('Proposed Lighting'!CN166:CO166),IF('Proposed Lighting'!CX166&gt;0,'Proposed Lighting'!CX166*'Proposed Lighting'!AA166,0))))),2)),0)</f>
        <v>0</v>
      </c>
      <c r="S169" s="99">
        <f>IF('Proposed Lighting'!AJ166&gt;0,'Proposed Lighting'!AJ166*J169,'Proposed Lighting'!$AU$328*J169)</f>
        <v>0</v>
      </c>
      <c r="T169" s="602">
        <f t="shared" si="32"/>
        <v>0</v>
      </c>
      <c r="U169" s="100"/>
      <c r="V169" s="99">
        <f t="shared" si="33"/>
        <v>0</v>
      </c>
      <c r="W169" s="99">
        <f t="shared" si="34"/>
        <v>0</v>
      </c>
      <c r="X169" s="99">
        <f t="shared" si="35"/>
        <v>0</v>
      </c>
      <c r="Y169" s="99"/>
      <c r="Z169" s="99">
        <f t="shared" si="41"/>
        <v>0</v>
      </c>
      <c r="AA169" s="99"/>
      <c r="AB169" s="99">
        <f t="shared" si="36"/>
        <v>0</v>
      </c>
      <c r="AC169" s="101" t="str">
        <f t="shared" si="37"/>
        <v/>
      </c>
      <c r="AD169" s="101" t="str">
        <f t="shared" si="38"/>
        <v/>
      </c>
      <c r="AE169" s="101" t="str">
        <f t="shared" si="39"/>
        <v/>
      </c>
      <c r="AF169" s="72"/>
      <c r="AG169" s="98">
        <f>IFERROR(IF($AV169="No",0,IF($AV169="yes",Summary!Q169,"")),"")</f>
        <v>0</v>
      </c>
      <c r="AH169" s="99">
        <f>IFERROR(IF($AV169="No",0,IF($AV169="yes",Summary!R169,"")),"")</f>
        <v>0</v>
      </c>
      <c r="AI169" s="99">
        <f>IFERROR(IF($AV169="No",0,IF($AV169="yes",Summary!S169,"")),"")</f>
        <v>0</v>
      </c>
      <c r="AJ169" s="602">
        <f>IFERROR(IF($AV169="No",0,IF($AV169="yes",Summary!T169,"")),"")</f>
        <v>0</v>
      </c>
      <c r="AK169" s="100">
        <f>IFERROR(IF($AV169="No",0,IF($AV169="yes",Summary!U169,"")),"")</f>
        <v>0</v>
      </c>
      <c r="AL169" s="99">
        <f>IFERROR(IF($AV169="No",0,IF($AV169="yes",Summary!V169,"")),"")</f>
        <v>0</v>
      </c>
      <c r="AM169" s="99">
        <f>IFERROR(IF($AV169="No",0,IF($AV169="yes",Summary!W169,"")),"")</f>
        <v>0</v>
      </c>
      <c r="AN169" s="99">
        <f>IFERROR(IF($AV169="No",0,IF($AV169="yes",Summary!X169,"")),"")</f>
        <v>0</v>
      </c>
      <c r="AO169" s="99">
        <f>IFERROR(IF($AV169="No",0,IF($AV169="yes",Summary!Y169+Z169,"")),"")</f>
        <v>0</v>
      </c>
      <c r="AP169" s="99">
        <f>IFERROR(IF($AV169="No",0,IF($AV169="yes",Summary!AB169,"")),"")</f>
        <v>0</v>
      </c>
      <c r="AQ169" s="101" t="str">
        <f t="shared" si="42"/>
        <v/>
      </c>
      <c r="AR169" s="101" t="str">
        <f t="shared" si="43"/>
        <v/>
      </c>
      <c r="AS169" s="101" t="str">
        <f t="shared" si="44"/>
        <v/>
      </c>
      <c r="AT169" s="96" t="s">
        <v>583</v>
      </c>
      <c r="AV169" t="str">
        <f>IF('Proposed Lighting'!CN166&gt;0,"No","Yes")</f>
        <v>Yes</v>
      </c>
    </row>
    <row r="170" spans="1:48" ht="34.5" customHeight="1" outlineLevel="1">
      <c r="A170" s="96" t="s">
        <v>584</v>
      </c>
      <c r="B170" s="96" t="str">
        <f>IF(ISNUMBER(SEARCH("case",E170)),"COM_MISC_REFR_ALL_UNKN1991",IF('Proposed Lighting'!AU167=3,"Commercial-All Com-ExtLight",IF('Proposed Lighting'!AH167&gt;8759,"IPC_8760","Commercial-All Com-IntLight")))</f>
        <v>IPC_8760</v>
      </c>
      <c r="C170" s="96" t="str">
        <f>IF(OR('Proposed Lighting'!DD167="Standard Incentive",'Proposed Lighting'!DD167="Non-Standard Incentive"),"Yes",IF(AND(IF(ISNUMBER(SEARCH("controls",'Proposed Lighting'!T167)),"True","False")="False",'Proposed Lighting'!DD167="Submit Control as Non-Standard"),"Yes","No"))</f>
        <v>No</v>
      </c>
      <c r="D170" s="1403">
        <f>'Proposed Lighting'!CV167-Q170</f>
        <v>0</v>
      </c>
      <c r="E170" s="143">
        <f>'Proposed Lighting'!T167</f>
        <v>0</v>
      </c>
      <c r="F170" s="143">
        <f>'Proposed Lighting'!F167</f>
        <v>0</v>
      </c>
      <c r="G170" s="96" t="s">
        <v>242</v>
      </c>
      <c r="H170" s="142" t="str">
        <f>'Proposed Lighting'!CP167</f>
        <v/>
      </c>
      <c r="I170" s="98">
        <v>1</v>
      </c>
      <c r="J170" s="142">
        <f>'Proposed Lighting'!AA167</f>
        <v>0</v>
      </c>
      <c r="K170" s="142" t="str">
        <f>IF(ISNUMBER(SEARCH("-C",'Proposed Lighting'!M167)),'Proposed Lighting'!AH167*0.9,'Proposed Lighting'!AH167)</f>
        <v/>
      </c>
      <c r="L170" s="142">
        <f>IFERROR(IF(OR('Proposed Lighting'!BC167=22,'Proposed Lighting'!BC167=44),1-25%,IF(OR('Proposed Lighting'!BC167=23,'Proposed Lighting'!BC167=46),1-30%,IF(OR('Proposed Lighting'!BC167=29,'Proposed Lighting'!BC167=39,'Proposed Lighting'!BC167=49),1-35%,IF(OR('Proposed Lighting'!BC167=24,'Proposed Lighting'!BC167=48),1-50%,IF(AND(ISNUMBER(SEARCH("-C",'Proposed Lighting'!M167)),'Proposed Lighting'!AU167=2),90%,100%)))))*'Proposed Lighting'!AH167,0)</f>
        <v>0</v>
      </c>
      <c r="M170" s="87">
        <f t="shared" si="30"/>
        <v>0</v>
      </c>
      <c r="N170" s="87">
        <f>IFERROR(IF('Proposed Lighting'!AU167=1,0,'Proposed Lighting'!AO167),0)</f>
        <v>0</v>
      </c>
      <c r="O170" s="88">
        <f>IF('Proposed Lighting'!AU167=1,0,'Proposed Lighting'!AP167)</f>
        <v>0</v>
      </c>
      <c r="P170" s="87">
        <f t="shared" si="31"/>
        <v>0</v>
      </c>
      <c r="Q170" s="98">
        <f t="shared" si="40"/>
        <v>0</v>
      </c>
      <c r="R170" s="99">
        <f>IFERROR(IF('Proposed Lighting'!T167="Lighting controls only",0,ROUND(IF('Proposed Lighting'!AQ167&lt;'Proposed Lighting'!AR167,0,IF('Proposed Lighting'!AH167=0,0,IF('Proposed Lighting'!BV167&gt;0,'Proposed Lighting'!BV167,IF('Proposed Lighting'!CL167=0,MIN('Proposed Lighting'!CN167:CO167),IF('Proposed Lighting'!CX167&gt;0,'Proposed Lighting'!CX167*'Proposed Lighting'!AA167,0))))),2)),0)</f>
        <v>0</v>
      </c>
      <c r="S170" s="99">
        <f>IF('Proposed Lighting'!AJ167&gt;0,'Proposed Lighting'!AJ167*J170,'Proposed Lighting'!$AU$328*J170)</f>
        <v>0</v>
      </c>
      <c r="T170" s="602">
        <f t="shared" si="32"/>
        <v>0</v>
      </c>
      <c r="U170" s="100"/>
      <c r="V170" s="99">
        <f t="shared" si="33"/>
        <v>0</v>
      </c>
      <c r="W170" s="99">
        <f t="shared" si="34"/>
        <v>0</v>
      </c>
      <c r="X170" s="99">
        <f t="shared" si="35"/>
        <v>0</v>
      </c>
      <c r="Y170" s="99"/>
      <c r="Z170" s="99">
        <f t="shared" si="41"/>
        <v>0</v>
      </c>
      <c r="AA170" s="99"/>
      <c r="AB170" s="99">
        <f t="shared" si="36"/>
        <v>0</v>
      </c>
      <c r="AC170" s="101" t="str">
        <f t="shared" si="37"/>
        <v/>
      </c>
      <c r="AD170" s="101" t="str">
        <f t="shared" si="38"/>
        <v/>
      </c>
      <c r="AE170" s="101" t="str">
        <f t="shared" si="39"/>
        <v/>
      </c>
      <c r="AF170" s="72"/>
      <c r="AG170" s="98">
        <f>IFERROR(IF($AV170="No",0,IF($AV170="yes",Summary!Q170,"")),"")</f>
        <v>0</v>
      </c>
      <c r="AH170" s="99">
        <f>IFERROR(IF($AV170="No",0,IF($AV170="yes",Summary!R170,"")),"")</f>
        <v>0</v>
      </c>
      <c r="AI170" s="99">
        <f>IFERROR(IF($AV170="No",0,IF($AV170="yes",Summary!S170,"")),"")</f>
        <v>0</v>
      </c>
      <c r="AJ170" s="602">
        <f>IFERROR(IF($AV170="No",0,IF($AV170="yes",Summary!T170,"")),"")</f>
        <v>0</v>
      </c>
      <c r="AK170" s="100">
        <f>IFERROR(IF($AV170="No",0,IF($AV170="yes",Summary!U170,"")),"")</f>
        <v>0</v>
      </c>
      <c r="AL170" s="99">
        <f>IFERROR(IF($AV170="No",0,IF($AV170="yes",Summary!V170,"")),"")</f>
        <v>0</v>
      </c>
      <c r="AM170" s="99">
        <f>IFERROR(IF($AV170="No",0,IF($AV170="yes",Summary!W170,"")),"")</f>
        <v>0</v>
      </c>
      <c r="AN170" s="99">
        <f>IFERROR(IF($AV170="No",0,IF($AV170="yes",Summary!X170,"")),"")</f>
        <v>0</v>
      </c>
      <c r="AO170" s="99">
        <f>IFERROR(IF($AV170="No",0,IF($AV170="yes",Summary!Y170+Z170,"")),"")</f>
        <v>0</v>
      </c>
      <c r="AP170" s="99">
        <f>IFERROR(IF($AV170="No",0,IF($AV170="yes",Summary!AB170,"")),"")</f>
        <v>0</v>
      </c>
      <c r="AQ170" s="101" t="str">
        <f t="shared" si="42"/>
        <v/>
      </c>
      <c r="AR170" s="101" t="str">
        <f t="shared" si="43"/>
        <v/>
      </c>
      <c r="AS170" s="101" t="str">
        <f t="shared" si="44"/>
        <v/>
      </c>
      <c r="AT170" s="96" t="s">
        <v>584</v>
      </c>
      <c r="AV170" t="str">
        <f>IF('Proposed Lighting'!CN167&gt;0,"No","Yes")</f>
        <v>Yes</v>
      </c>
    </row>
    <row r="171" spans="1:48" ht="34.5" customHeight="1" outlineLevel="1">
      <c r="A171" s="96" t="s">
        <v>585</v>
      </c>
      <c r="B171" s="96" t="str">
        <f>IF(ISNUMBER(SEARCH("case",E171)),"COM_MISC_REFR_ALL_UNKN1991",IF('Proposed Lighting'!AU168=3,"Commercial-All Com-ExtLight",IF('Proposed Lighting'!AH168&gt;8759,"IPC_8760","Commercial-All Com-IntLight")))</f>
        <v>IPC_8760</v>
      </c>
      <c r="C171" s="96" t="str">
        <f>IF(OR('Proposed Lighting'!DD168="Standard Incentive",'Proposed Lighting'!DD168="Non-Standard Incentive"),"Yes",IF(AND(IF(ISNUMBER(SEARCH("controls",'Proposed Lighting'!T168)),"True","False")="False",'Proposed Lighting'!DD168="Submit Control as Non-Standard"),"Yes","No"))</f>
        <v>No</v>
      </c>
      <c r="D171" s="1403">
        <f>'Proposed Lighting'!CV168-Q171</f>
        <v>0</v>
      </c>
      <c r="E171" s="143">
        <f>'Proposed Lighting'!T168</f>
        <v>0</v>
      </c>
      <c r="F171" s="143">
        <f>'Proposed Lighting'!F168</f>
        <v>0</v>
      </c>
      <c r="G171" s="96" t="s">
        <v>242</v>
      </c>
      <c r="H171" s="142" t="str">
        <f>'Proposed Lighting'!CP168</f>
        <v/>
      </c>
      <c r="I171" s="98">
        <v>1</v>
      </c>
      <c r="J171" s="142">
        <f>'Proposed Lighting'!AA168</f>
        <v>0</v>
      </c>
      <c r="K171" s="142" t="str">
        <f>IF(ISNUMBER(SEARCH("-C",'Proposed Lighting'!M168)),'Proposed Lighting'!AH168*0.9,'Proposed Lighting'!AH168)</f>
        <v/>
      </c>
      <c r="L171" s="142">
        <f>IFERROR(IF(OR('Proposed Lighting'!BC168=22,'Proposed Lighting'!BC168=44),1-25%,IF(OR('Proposed Lighting'!BC168=23,'Proposed Lighting'!BC168=46),1-30%,IF(OR('Proposed Lighting'!BC168=29,'Proposed Lighting'!BC168=39,'Proposed Lighting'!BC168=49),1-35%,IF(OR('Proposed Lighting'!BC168=24,'Proposed Lighting'!BC168=48),1-50%,IF(AND(ISNUMBER(SEARCH("-C",'Proposed Lighting'!M168)),'Proposed Lighting'!AU168=2),90%,100%)))))*'Proposed Lighting'!AH168,0)</f>
        <v>0</v>
      </c>
      <c r="M171" s="87">
        <f t="shared" si="30"/>
        <v>0</v>
      </c>
      <c r="N171" s="87">
        <f>IFERROR(IF('Proposed Lighting'!AU168=1,0,'Proposed Lighting'!AO168),0)</f>
        <v>0</v>
      </c>
      <c r="O171" s="88">
        <f>IF('Proposed Lighting'!AU168=1,0,'Proposed Lighting'!AP168)</f>
        <v>0</v>
      </c>
      <c r="P171" s="87">
        <f t="shared" si="31"/>
        <v>0</v>
      </c>
      <c r="Q171" s="98">
        <f t="shared" si="40"/>
        <v>0</v>
      </c>
      <c r="R171" s="99">
        <f>IFERROR(IF('Proposed Lighting'!T168="Lighting controls only",0,ROUND(IF('Proposed Lighting'!AQ168&lt;'Proposed Lighting'!AR168,0,IF('Proposed Lighting'!AH168=0,0,IF('Proposed Lighting'!BV168&gt;0,'Proposed Lighting'!BV168,IF('Proposed Lighting'!CL168=0,MIN('Proposed Lighting'!CN168:CO168),IF('Proposed Lighting'!CX168&gt;0,'Proposed Lighting'!CX168*'Proposed Lighting'!AA168,0))))),2)),0)</f>
        <v>0</v>
      </c>
      <c r="S171" s="99">
        <f>IF('Proposed Lighting'!AJ168&gt;0,'Proposed Lighting'!AJ168*J171,'Proposed Lighting'!$AU$328*J171)</f>
        <v>0</v>
      </c>
      <c r="T171" s="602">
        <f t="shared" si="32"/>
        <v>0</v>
      </c>
      <c r="U171" s="100"/>
      <c r="V171" s="99">
        <f t="shared" si="33"/>
        <v>0</v>
      </c>
      <c r="W171" s="99">
        <f t="shared" si="34"/>
        <v>0</v>
      </c>
      <c r="X171" s="99">
        <f t="shared" si="35"/>
        <v>0</v>
      </c>
      <c r="Y171" s="99"/>
      <c r="Z171" s="99">
        <f t="shared" si="41"/>
        <v>0</v>
      </c>
      <c r="AA171" s="99"/>
      <c r="AB171" s="99">
        <f t="shared" si="36"/>
        <v>0</v>
      </c>
      <c r="AC171" s="101" t="str">
        <f t="shared" si="37"/>
        <v/>
      </c>
      <c r="AD171" s="101" t="str">
        <f t="shared" si="38"/>
        <v/>
      </c>
      <c r="AE171" s="101" t="str">
        <f t="shared" si="39"/>
        <v/>
      </c>
      <c r="AF171" s="72"/>
      <c r="AG171" s="98">
        <f>IFERROR(IF($AV171="No",0,IF($AV171="yes",Summary!Q171,"")),"")</f>
        <v>0</v>
      </c>
      <c r="AH171" s="99">
        <f>IFERROR(IF($AV171="No",0,IF($AV171="yes",Summary!R171,"")),"")</f>
        <v>0</v>
      </c>
      <c r="AI171" s="99">
        <f>IFERROR(IF($AV171="No",0,IF($AV171="yes",Summary!S171,"")),"")</f>
        <v>0</v>
      </c>
      <c r="AJ171" s="602">
        <f>IFERROR(IF($AV171="No",0,IF($AV171="yes",Summary!T171,"")),"")</f>
        <v>0</v>
      </c>
      <c r="AK171" s="100">
        <f>IFERROR(IF($AV171="No",0,IF($AV171="yes",Summary!U171,"")),"")</f>
        <v>0</v>
      </c>
      <c r="AL171" s="99">
        <f>IFERROR(IF($AV171="No",0,IF($AV171="yes",Summary!V171,"")),"")</f>
        <v>0</v>
      </c>
      <c r="AM171" s="99">
        <f>IFERROR(IF($AV171="No",0,IF($AV171="yes",Summary!W171,"")),"")</f>
        <v>0</v>
      </c>
      <c r="AN171" s="99">
        <f>IFERROR(IF($AV171="No",0,IF($AV171="yes",Summary!X171,"")),"")</f>
        <v>0</v>
      </c>
      <c r="AO171" s="99">
        <f>IFERROR(IF($AV171="No",0,IF($AV171="yes",Summary!Y171+Z171,"")),"")</f>
        <v>0</v>
      </c>
      <c r="AP171" s="99">
        <f>IFERROR(IF($AV171="No",0,IF($AV171="yes",Summary!AB171,"")),"")</f>
        <v>0</v>
      </c>
      <c r="AQ171" s="101" t="str">
        <f t="shared" si="42"/>
        <v/>
      </c>
      <c r="AR171" s="101" t="str">
        <f t="shared" si="43"/>
        <v/>
      </c>
      <c r="AS171" s="101" t="str">
        <f t="shared" si="44"/>
        <v/>
      </c>
      <c r="AT171" s="96" t="s">
        <v>585</v>
      </c>
      <c r="AV171" t="str">
        <f>IF('Proposed Lighting'!CN168&gt;0,"No","Yes")</f>
        <v>Yes</v>
      </c>
    </row>
    <row r="172" spans="1:48" ht="34.5" customHeight="1" outlineLevel="1">
      <c r="A172" s="96" t="s">
        <v>586</v>
      </c>
      <c r="B172" s="96" t="str">
        <f>IF(ISNUMBER(SEARCH("case",E172)),"COM_MISC_REFR_ALL_UNKN1991",IF('Proposed Lighting'!AU169=3,"Commercial-All Com-ExtLight",IF('Proposed Lighting'!AH169&gt;8759,"IPC_8760","Commercial-All Com-IntLight")))</f>
        <v>IPC_8760</v>
      </c>
      <c r="C172" s="96" t="str">
        <f>IF(OR('Proposed Lighting'!DD169="Standard Incentive",'Proposed Lighting'!DD169="Non-Standard Incentive"),"Yes",IF(AND(IF(ISNUMBER(SEARCH("controls",'Proposed Lighting'!T169)),"True","False")="False",'Proposed Lighting'!DD169="Submit Control as Non-Standard"),"Yes","No"))</f>
        <v>No</v>
      </c>
      <c r="D172" s="1403">
        <f>'Proposed Lighting'!CV169-Q172</f>
        <v>0</v>
      </c>
      <c r="E172" s="143">
        <f>'Proposed Lighting'!T169</f>
        <v>0</v>
      </c>
      <c r="F172" s="143">
        <f>'Proposed Lighting'!F169</f>
        <v>0</v>
      </c>
      <c r="G172" s="96" t="s">
        <v>242</v>
      </c>
      <c r="H172" s="142" t="str">
        <f>'Proposed Lighting'!CP169</f>
        <v/>
      </c>
      <c r="I172" s="98">
        <v>1</v>
      </c>
      <c r="J172" s="142">
        <f>'Proposed Lighting'!AA169</f>
        <v>0</v>
      </c>
      <c r="K172" s="142" t="str">
        <f>IF(ISNUMBER(SEARCH("-C",'Proposed Lighting'!M169)),'Proposed Lighting'!AH169*0.9,'Proposed Lighting'!AH169)</f>
        <v/>
      </c>
      <c r="L172" s="142">
        <f>IFERROR(IF(OR('Proposed Lighting'!BC169=22,'Proposed Lighting'!BC169=44),1-25%,IF(OR('Proposed Lighting'!BC169=23,'Proposed Lighting'!BC169=46),1-30%,IF(OR('Proposed Lighting'!BC169=29,'Proposed Lighting'!BC169=39,'Proposed Lighting'!BC169=49),1-35%,IF(OR('Proposed Lighting'!BC169=24,'Proposed Lighting'!BC169=48),1-50%,IF(AND(ISNUMBER(SEARCH("-C",'Proposed Lighting'!M169)),'Proposed Lighting'!AU169=2),90%,100%)))))*'Proposed Lighting'!AH169,0)</f>
        <v>0</v>
      </c>
      <c r="M172" s="87">
        <f t="shared" si="30"/>
        <v>0</v>
      </c>
      <c r="N172" s="87">
        <f>IFERROR(IF('Proposed Lighting'!AU169=1,0,'Proposed Lighting'!AO169),0)</f>
        <v>0</v>
      </c>
      <c r="O172" s="88">
        <f>IF('Proposed Lighting'!AU169=1,0,'Proposed Lighting'!AP169)</f>
        <v>0</v>
      </c>
      <c r="P172" s="87">
        <f t="shared" si="31"/>
        <v>0</v>
      </c>
      <c r="Q172" s="98">
        <f t="shared" si="40"/>
        <v>0</v>
      </c>
      <c r="R172" s="99">
        <f>IFERROR(IF('Proposed Lighting'!T169="Lighting controls only",0,ROUND(IF('Proposed Lighting'!AQ169&lt;'Proposed Lighting'!AR169,0,IF('Proposed Lighting'!AH169=0,0,IF('Proposed Lighting'!BV169&gt;0,'Proposed Lighting'!BV169,IF('Proposed Lighting'!CL169=0,MIN('Proposed Lighting'!CN169:CO169),IF('Proposed Lighting'!CX169&gt;0,'Proposed Lighting'!CX169*'Proposed Lighting'!AA169,0))))),2)),0)</f>
        <v>0</v>
      </c>
      <c r="S172" s="99">
        <f>IF('Proposed Lighting'!AJ169&gt;0,'Proposed Lighting'!AJ169*J172,'Proposed Lighting'!$AU$328*J172)</f>
        <v>0</v>
      </c>
      <c r="T172" s="602">
        <f t="shared" si="32"/>
        <v>0</v>
      </c>
      <c r="U172" s="100"/>
      <c r="V172" s="99">
        <f t="shared" si="33"/>
        <v>0</v>
      </c>
      <c r="W172" s="99">
        <f t="shared" si="34"/>
        <v>0</v>
      </c>
      <c r="X172" s="99">
        <f t="shared" si="35"/>
        <v>0</v>
      </c>
      <c r="Y172" s="99"/>
      <c r="Z172" s="99">
        <f t="shared" si="41"/>
        <v>0</v>
      </c>
      <c r="AA172" s="99"/>
      <c r="AB172" s="99">
        <f t="shared" si="36"/>
        <v>0</v>
      </c>
      <c r="AC172" s="101" t="str">
        <f t="shared" si="37"/>
        <v/>
      </c>
      <c r="AD172" s="101" t="str">
        <f t="shared" si="38"/>
        <v/>
      </c>
      <c r="AE172" s="101" t="str">
        <f t="shared" si="39"/>
        <v/>
      </c>
      <c r="AF172" s="72"/>
      <c r="AG172" s="98">
        <f>IFERROR(IF($AV172="No",0,IF($AV172="yes",Summary!Q172,"")),"")</f>
        <v>0</v>
      </c>
      <c r="AH172" s="99">
        <f>IFERROR(IF($AV172="No",0,IF($AV172="yes",Summary!R172,"")),"")</f>
        <v>0</v>
      </c>
      <c r="AI172" s="99">
        <f>IFERROR(IF($AV172="No",0,IF($AV172="yes",Summary!S172,"")),"")</f>
        <v>0</v>
      </c>
      <c r="AJ172" s="602">
        <f>IFERROR(IF($AV172="No",0,IF($AV172="yes",Summary!T172,"")),"")</f>
        <v>0</v>
      </c>
      <c r="AK172" s="100">
        <f>IFERROR(IF($AV172="No",0,IF($AV172="yes",Summary!U172,"")),"")</f>
        <v>0</v>
      </c>
      <c r="AL172" s="99">
        <f>IFERROR(IF($AV172="No",0,IF($AV172="yes",Summary!V172,"")),"")</f>
        <v>0</v>
      </c>
      <c r="AM172" s="99">
        <f>IFERROR(IF($AV172="No",0,IF($AV172="yes",Summary!W172,"")),"")</f>
        <v>0</v>
      </c>
      <c r="AN172" s="99">
        <f>IFERROR(IF($AV172="No",0,IF($AV172="yes",Summary!X172,"")),"")</f>
        <v>0</v>
      </c>
      <c r="AO172" s="99">
        <f>IFERROR(IF($AV172="No",0,IF($AV172="yes",Summary!Y172+Z172,"")),"")</f>
        <v>0</v>
      </c>
      <c r="AP172" s="99">
        <f>IFERROR(IF($AV172="No",0,IF($AV172="yes",Summary!AB172,"")),"")</f>
        <v>0</v>
      </c>
      <c r="AQ172" s="101" t="str">
        <f t="shared" si="42"/>
        <v/>
      </c>
      <c r="AR172" s="101" t="str">
        <f t="shared" si="43"/>
        <v/>
      </c>
      <c r="AS172" s="101" t="str">
        <f t="shared" si="44"/>
        <v/>
      </c>
      <c r="AT172" s="96" t="s">
        <v>586</v>
      </c>
      <c r="AV172" t="str">
        <f>IF('Proposed Lighting'!CN169&gt;0,"No","Yes")</f>
        <v>Yes</v>
      </c>
    </row>
    <row r="173" spans="1:48" ht="34.5" customHeight="1" outlineLevel="1">
      <c r="A173" s="96" t="s">
        <v>587</v>
      </c>
      <c r="B173" s="96" t="str">
        <f>IF(ISNUMBER(SEARCH("case",E173)),"COM_MISC_REFR_ALL_UNKN1991",IF('Proposed Lighting'!AU170=3,"Commercial-All Com-ExtLight",IF('Proposed Lighting'!AH170&gt;8759,"IPC_8760","Commercial-All Com-IntLight")))</f>
        <v>IPC_8760</v>
      </c>
      <c r="C173" s="96" t="str">
        <f>IF(OR('Proposed Lighting'!DD170="Standard Incentive",'Proposed Lighting'!DD170="Non-Standard Incentive"),"Yes",IF(AND(IF(ISNUMBER(SEARCH("controls",'Proposed Lighting'!T170)),"True","False")="False",'Proposed Lighting'!DD170="Submit Control as Non-Standard"),"Yes","No"))</f>
        <v>No</v>
      </c>
      <c r="D173" s="1403">
        <f>'Proposed Lighting'!CV170-Q173</f>
        <v>0</v>
      </c>
      <c r="E173" s="143">
        <f>'Proposed Lighting'!T170</f>
        <v>0</v>
      </c>
      <c r="F173" s="143">
        <f>'Proposed Lighting'!F170</f>
        <v>0</v>
      </c>
      <c r="G173" s="96" t="s">
        <v>242</v>
      </c>
      <c r="H173" s="142" t="str">
        <f>'Proposed Lighting'!CP170</f>
        <v/>
      </c>
      <c r="I173" s="98">
        <v>1</v>
      </c>
      <c r="J173" s="142">
        <f>'Proposed Lighting'!AA170</f>
        <v>0</v>
      </c>
      <c r="K173" s="142" t="str">
        <f>IF(ISNUMBER(SEARCH("-C",'Proposed Lighting'!M170)),'Proposed Lighting'!AH170*0.9,'Proposed Lighting'!AH170)</f>
        <v/>
      </c>
      <c r="L173" s="142">
        <f>IFERROR(IF(OR('Proposed Lighting'!BC170=22,'Proposed Lighting'!BC170=44),1-25%,IF(OR('Proposed Lighting'!BC170=23,'Proposed Lighting'!BC170=46),1-30%,IF(OR('Proposed Lighting'!BC170=29,'Proposed Lighting'!BC170=39,'Proposed Lighting'!BC170=49),1-35%,IF(OR('Proposed Lighting'!BC170=24,'Proposed Lighting'!BC170=48),1-50%,IF(AND(ISNUMBER(SEARCH("-C",'Proposed Lighting'!M170)),'Proposed Lighting'!AU170=2),90%,100%)))))*'Proposed Lighting'!AH170,0)</f>
        <v>0</v>
      </c>
      <c r="M173" s="87">
        <f t="shared" si="30"/>
        <v>0</v>
      </c>
      <c r="N173" s="87">
        <f>IFERROR(IF('Proposed Lighting'!AU170=1,0,'Proposed Lighting'!AO170),0)</f>
        <v>0</v>
      </c>
      <c r="O173" s="88">
        <f>IF('Proposed Lighting'!AU170=1,0,'Proposed Lighting'!AP170)</f>
        <v>0</v>
      </c>
      <c r="P173" s="87">
        <f t="shared" si="31"/>
        <v>0</v>
      </c>
      <c r="Q173" s="98">
        <f t="shared" si="40"/>
        <v>0</v>
      </c>
      <c r="R173" s="99">
        <f>IFERROR(IF('Proposed Lighting'!T170="Lighting controls only",0,ROUND(IF('Proposed Lighting'!AQ170&lt;'Proposed Lighting'!AR170,0,IF('Proposed Lighting'!AH170=0,0,IF('Proposed Lighting'!BV170&gt;0,'Proposed Lighting'!BV170,IF('Proposed Lighting'!CL170=0,MIN('Proposed Lighting'!CN170:CO170),IF('Proposed Lighting'!CX170&gt;0,'Proposed Lighting'!CX170*'Proposed Lighting'!AA170,0))))),2)),0)</f>
        <v>0</v>
      </c>
      <c r="S173" s="99">
        <f>IF('Proposed Lighting'!AJ170&gt;0,'Proposed Lighting'!AJ170*J173,'Proposed Lighting'!$AU$328*J173)</f>
        <v>0</v>
      </c>
      <c r="T173" s="602">
        <f t="shared" si="32"/>
        <v>0</v>
      </c>
      <c r="U173" s="100"/>
      <c r="V173" s="99">
        <f t="shared" si="33"/>
        <v>0</v>
      </c>
      <c r="W173" s="99">
        <f t="shared" si="34"/>
        <v>0</v>
      </c>
      <c r="X173" s="99">
        <f t="shared" si="35"/>
        <v>0</v>
      </c>
      <c r="Y173" s="99"/>
      <c r="Z173" s="99">
        <f t="shared" si="41"/>
        <v>0</v>
      </c>
      <c r="AA173" s="99"/>
      <c r="AB173" s="99">
        <f t="shared" si="36"/>
        <v>0</v>
      </c>
      <c r="AC173" s="101" t="str">
        <f t="shared" si="37"/>
        <v/>
      </c>
      <c r="AD173" s="101" t="str">
        <f t="shared" si="38"/>
        <v/>
      </c>
      <c r="AE173" s="101" t="str">
        <f t="shared" si="39"/>
        <v/>
      </c>
      <c r="AF173" s="72"/>
      <c r="AG173" s="98">
        <f>IFERROR(IF($AV173="No",0,IF($AV173="yes",Summary!Q173,"")),"")</f>
        <v>0</v>
      </c>
      <c r="AH173" s="99">
        <f>IFERROR(IF($AV173="No",0,IF($AV173="yes",Summary!R173,"")),"")</f>
        <v>0</v>
      </c>
      <c r="AI173" s="99">
        <f>IFERROR(IF($AV173="No",0,IF($AV173="yes",Summary!S173,"")),"")</f>
        <v>0</v>
      </c>
      <c r="AJ173" s="602">
        <f>IFERROR(IF($AV173="No",0,IF($AV173="yes",Summary!T173,"")),"")</f>
        <v>0</v>
      </c>
      <c r="AK173" s="100">
        <f>IFERROR(IF($AV173="No",0,IF($AV173="yes",Summary!U173,"")),"")</f>
        <v>0</v>
      </c>
      <c r="AL173" s="99">
        <f>IFERROR(IF($AV173="No",0,IF($AV173="yes",Summary!V173,"")),"")</f>
        <v>0</v>
      </c>
      <c r="AM173" s="99">
        <f>IFERROR(IF($AV173="No",0,IF($AV173="yes",Summary!W173,"")),"")</f>
        <v>0</v>
      </c>
      <c r="AN173" s="99">
        <f>IFERROR(IF($AV173="No",0,IF($AV173="yes",Summary!X173,"")),"")</f>
        <v>0</v>
      </c>
      <c r="AO173" s="99">
        <f>IFERROR(IF($AV173="No",0,IF($AV173="yes",Summary!Y173+Z173,"")),"")</f>
        <v>0</v>
      </c>
      <c r="AP173" s="99">
        <f>IFERROR(IF($AV173="No",0,IF($AV173="yes",Summary!AB173,"")),"")</f>
        <v>0</v>
      </c>
      <c r="AQ173" s="101" t="str">
        <f t="shared" si="42"/>
        <v/>
      </c>
      <c r="AR173" s="101" t="str">
        <f t="shared" si="43"/>
        <v/>
      </c>
      <c r="AS173" s="101" t="str">
        <f t="shared" si="44"/>
        <v/>
      </c>
      <c r="AT173" s="96" t="s">
        <v>587</v>
      </c>
      <c r="AV173" t="str">
        <f>IF('Proposed Lighting'!CN170&gt;0,"No","Yes")</f>
        <v>Yes</v>
      </c>
    </row>
    <row r="174" spans="1:48" ht="34.5" customHeight="1" outlineLevel="1">
      <c r="A174" s="96" t="s">
        <v>588</v>
      </c>
      <c r="B174" s="96" t="str">
        <f>IF(ISNUMBER(SEARCH("case",E174)),"COM_MISC_REFR_ALL_UNKN1991",IF('Proposed Lighting'!AU171=3,"Commercial-All Com-ExtLight",IF('Proposed Lighting'!AH171&gt;8759,"IPC_8760","Commercial-All Com-IntLight")))</f>
        <v>IPC_8760</v>
      </c>
      <c r="C174" s="96" t="str">
        <f>IF(OR('Proposed Lighting'!DD171="Standard Incentive",'Proposed Lighting'!DD171="Non-Standard Incentive"),"Yes",IF(AND(IF(ISNUMBER(SEARCH("controls",'Proposed Lighting'!T171)),"True","False")="False",'Proposed Lighting'!DD171="Submit Control as Non-Standard"),"Yes","No"))</f>
        <v>No</v>
      </c>
      <c r="D174" s="1403">
        <f>'Proposed Lighting'!CV171-Q174</f>
        <v>0</v>
      </c>
      <c r="E174" s="143">
        <f>'Proposed Lighting'!T171</f>
        <v>0</v>
      </c>
      <c r="F174" s="143">
        <f>'Proposed Lighting'!F171</f>
        <v>0</v>
      </c>
      <c r="G174" s="96" t="s">
        <v>242</v>
      </c>
      <c r="H174" s="142" t="str">
        <f>'Proposed Lighting'!CP171</f>
        <v/>
      </c>
      <c r="I174" s="98">
        <v>1</v>
      </c>
      <c r="J174" s="142">
        <f>'Proposed Lighting'!AA171</f>
        <v>0</v>
      </c>
      <c r="K174" s="142" t="str">
        <f>IF(ISNUMBER(SEARCH("-C",'Proposed Lighting'!M171)),'Proposed Lighting'!AH171*0.9,'Proposed Lighting'!AH171)</f>
        <v/>
      </c>
      <c r="L174" s="142">
        <f>IFERROR(IF(OR('Proposed Lighting'!BC171=22,'Proposed Lighting'!BC171=44),1-25%,IF(OR('Proposed Lighting'!BC171=23,'Proposed Lighting'!BC171=46),1-30%,IF(OR('Proposed Lighting'!BC171=29,'Proposed Lighting'!BC171=39,'Proposed Lighting'!BC171=49),1-35%,IF(OR('Proposed Lighting'!BC171=24,'Proposed Lighting'!BC171=48),1-50%,IF(AND(ISNUMBER(SEARCH("-C",'Proposed Lighting'!M171)),'Proposed Lighting'!AU171=2),90%,100%)))))*'Proposed Lighting'!AH171,0)</f>
        <v>0</v>
      </c>
      <c r="M174" s="87">
        <f t="shared" si="30"/>
        <v>0</v>
      </c>
      <c r="N174" s="87">
        <f>IFERROR(IF('Proposed Lighting'!AU171=1,0,'Proposed Lighting'!AO171),0)</f>
        <v>0</v>
      </c>
      <c r="O174" s="88">
        <f>IF('Proposed Lighting'!AU171=1,0,'Proposed Lighting'!AP171)</f>
        <v>0</v>
      </c>
      <c r="P174" s="87">
        <f t="shared" si="31"/>
        <v>0</v>
      </c>
      <c r="Q174" s="98">
        <f t="shared" si="40"/>
        <v>0</v>
      </c>
      <c r="R174" s="99">
        <f>IFERROR(IF('Proposed Lighting'!T171="Lighting controls only",0,ROUND(IF('Proposed Lighting'!AQ171&lt;'Proposed Lighting'!AR171,0,IF('Proposed Lighting'!AH171=0,0,IF('Proposed Lighting'!BV171&gt;0,'Proposed Lighting'!BV171,IF('Proposed Lighting'!CL171=0,MIN('Proposed Lighting'!CN171:CO171),IF('Proposed Lighting'!CX171&gt;0,'Proposed Lighting'!CX171*'Proposed Lighting'!AA171,0))))),2)),0)</f>
        <v>0</v>
      </c>
      <c r="S174" s="99">
        <f>IF('Proposed Lighting'!AJ171&gt;0,'Proposed Lighting'!AJ171*J174,'Proposed Lighting'!$AU$328*J174)</f>
        <v>0</v>
      </c>
      <c r="T174" s="602">
        <f t="shared" si="32"/>
        <v>0</v>
      </c>
      <c r="U174" s="100"/>
      <c r="V174" s="99">
        <f t="shared" si="33"/>
        <v>0</v>
      </c>
      <c r="W174" s="99">
        <f t="shared" si="34"/>
        <v>0</v>
      </c>
      <c r="X174" s="99">
        <f t="shared" si="35"/>
        <v>0</v>
      </c>
      <c r="Y174" s="99"/>
      <c r="Z174" s="99">
        <f t="shared" si="41"/>
        <v>0</v>
      </c>
      <c r="AA174" s="99"/>
      <c r="AB174" s="99">
        <f t="shared" si="36"/>
        <v>0</v>
      </c>
      <c r="AC174" s="101" t="str">
        <f t="shared" si="37"/>
        <v/>
      </c>
      <c r="AD174" s="101" t="str">
        <f t="shared" si="38"/>
        <v/>
      </c>
      <c r="AE174" s="101" t="str">
        <f t="shared" si="39"/>
        <v/>
      </c>
      <c r="AF174" s="72"/>
      <c r="AG174" s="98">
        <f>IFERROR(IF($AV174="No",0,IF($AV174="yes",Summary!Q174,"")),"")</f>
        <v>0</v>
      </c>
      <c r="AH174" s="99">
        <f>IFERROR(IF($AV174="No",0,IF($AV174="yes",Summary!R174,"")),"")</f>
        <v>0</v>
      </c>
      <c r="AI174" s="99">
        <f>IFERROR(IF($AV174="No",0,IF($AV174="yes",Summary!S174,"")),"")</f>
        <v>0</v>
      </c>
      <c r="AJ174" s="602">
        <f>IFERROR(IF($AV174="No",0,IF($AV174="yes",Summary!T174,"")),"")</f>
        <v>0</v>
      </c>
      <c r="AK174" s="100">
        <f>IFERROR(IF($AV174="No",0,IF($AV174="yes",Summary!U174,"")),"")</f>
        <v>0</v>
      </c>
      <c r="AL174" s="99">
        <f>IFERROR(IF($AV174="No",0,IF($AV174="yes",Summary!V174,"")),"")</f>
        <v>0</v>
      </c>
      <c r="AM174" s="99">
        <f>IFERROR(IF($AV174="No",0,IF($AV174="yes",Summary!W174,"")),"")</f>
        <v>0</v>
      </c>
      <c r="AN174" s="99">
        <f>IFERROR(IF($AV174="No",0,IF($AV174="yes",Summary!X174,"")),"")</f>
        <v>0</v>
      </c>
      <c r="AO174" s="99">
        <f>IFERROR(IF($AV174="No",0,IF($AV174="yes",Summary!Y174+Z174,"")),"")</f>
        <v>0</v>
      </c>
      <c r="AP174" s="99">
        <f>IFERROR(IF($AV174="No",0,IF($AV174="yes",Summary!AB174,"")),"")</f>
        <v>0</v>
      </c>
      <c r="AQ174" s="101" t="str">
        <f t="shared" si="42"/>
        <v/>
      </c>
      <c r="AR174" s="101" t="str">
        <f t="shared" si="43"/>
        <v/>
      </c>
      <c r="AS174" s="101" t="str">
        <f t="shared" si="44"/>
        <v/>
      </c>
      <c r="AT174" s="96" t="s">
        <v>588</v>
      </c>
      <c r="AV174" t="str">
        <f>IF('Proposed Lighting'!CN171&gt;0,"No","Yes")</f>
        <v>Yes</v>
      </c>
    </row>
    <row r="175" spans="1:48" ht="34.5" customHeight="1" outlineLevel="1">
      <c r="A175" s="96" t="s">
        <v>589</v>
      </c>
      <c r="B175" s="96" t="str">
        <f>IF(ISNUMBER(SEARCH("case",E175)),"COM_MISC_REFR_ALL_UNKN1991",IF('Proposed Lighting'!AU172=3,"Commercial-All Com-ExtLight",IF('Proposed Lighting'!AH172&gt;8759,"IPC_8760","Commercial-All Com-IntLight")))</f>
        <v>IPC_8760</v>
      </c>
      <c r="C175" s="96" t="str">
        <f>IF(OR('Proposed Lighting'!DD172="Standard Incentive",'Proposed Lighting'!DD172="Non-Standard Incentive"),"Yes",IF(AND(IF(ISNUMBER(SEARCH("controls",'Proposed Lighting'!T172)),"True","False")="False",'Proposed Lighting'!DD172="Submit Control as Non-Standard"),"Yes","No"))</f>
        <v>No</v>
      </c>
      <c r="D175" s="1403">
        <f>'Proposed Lighting'!CV172-Q175</f>
        <v>0</v>
      </c>
      <c r="E175" s="143">
        <f>'Proposed Lighting'!T172</f>
        <v>0</v>
      </c>
      <c r="F175" s="143">
        <f>'Proposed Lighting'!F172</f>
        <v>0</v>
      </c>
      <c r="G175" s="96" t="s">
        <v>242</v>
      </c>
      <c r="H175" s="142" t="str">
        <f>'Proposed Lighting'!CP172</f>
        <v/>
      </c>
      <c r="I175" s="98">
        <v>1</v>
      </c>
      <c r="J175" s="142">
        <f>'Proposed Lighting'!AA172</f>
        <v>0</v>
      </c>
      <c r="K175" s="142" t="str">
        <f>IF(ISNUMBER(SEARCH("-C",'Proposed Lighting'!M172)),'Proposed Lighting'!AH172*0.9,'Proposed Lighting'!AH172)</f>
        <v/>
      </c>
      <c r="L175" s="142">
        <f>IFERROR(IF(OR('Proposed Lighting'!BC172=22,'Proposed Lighting'!BC172=44),1-25%,IF(OR('Proposed Lighting'!BC172=23,'Proposed Lighting'!BC172=46),1-30%,IF(OR('Proposed Lighting'!BC172=29,'Proposed Lighting'!BC172=39,'Proposed Lighting'!BC172=49),1-35%,IF(OR('Proposed Lighting'!BC172=24,'Proposed Lighting'!BC172=48),1-50%,IF(AND(ISNUMBER(SEARCH("-C",'Proposed Lighting'!M172)),'Proposed Lighting'!AU172=2),90%,100%)))))*'Proposed Lighting'!AH172,0)</f>
        <v>0</v>
      </c>
      <c r="M175" s="87">
        <f t="shared" si="30"/>
        <v>0</v>
      </c>
      <c r="N175" s="87">
        <f>IFERROR(IF('Proposed Lighting'!AU172=1,0,'Proposed Lighting'!AO172),0)</f>
        <v>0</v>
      </c>
      <c r="O175" s="88">
        <f>IF('Proposed Lighting'!AU172=1,0,'Proposed Lighting'!AP172)</f>
        <v>0</v>
      </c>
      <c r="P175" s="87">
        <f t="shared" si="31"/>
        <v>0</v>
      </c>
      <c r="Q175" s="98">
        <f t="shared" si="40"/>
        <v>0</v>
      </c>
      <c r="R175" s="99">
        <f>IFERROR(IF('Proposed Lighting'!T172="Lighting controls only",0,ROUND(IF('Proposed Lighting'!AQ172&lt;'Proposed Lighting'!AR172,0,IF('Proposed Lighting'!AH172=0,0,IF('Proposed Lighting'!BV172&gt;0,'Proposed Lighting'!BV172,IF('Proposed Lighting'!CL172=0,MIN('Proposed Lighting'!CN172:CO172),IF('Proposed Lighting'!CX172&gt;0,'Proposed Lighting'!CX172*'Proposed Lighting'!AA172,0))))),2)),0)</f>
        <v>0</v>
      </c>
      <c r="S175" s="99">
        <f>IF('Proposed Lighting'!AJ172&gt;0,'Proposed Lighting'!AJ172*J175,'Proposed Lighting'!$AU$328*J175)</f>
        <v>0</v>
      </c>
      <c r="T175" s="602">
        <f t="shared" si="32"/>
        <v>0</v>
      </c>
      <c r="U175" s="100"/>
      <c r="V175" s="99">
        <f t="shared" si="33"/>
        <v>0</v>
      </c>
      <c r="W175" s="99">
        <f t="shared" si="34"/>
        <v>0</v>
      </c>
      <c r="X175" s="99">
        <f t="shared" si="35"/>
        <v>0</v>
      </c>
      <c r="Y175" s="99"/>
      <c r="Z175" s="99">
        <f t="shared" si="41"/>
        <v>0</v>
      </c>
      <c r="AA175" s="99"/>
      <c r="AB175" s="99">
        <f t="shared" si="36"/>
        <v>0</v>
      </c>
      <c r="AC175" s="101" t="str">
        <f t="shared" si="37"/>
        <v/>
      </c>
      <c r="AD175" s="101" t="str">
        <f t="shared" si="38"/>
        <v/>
      </c>
      <c r="AE175" s="101" t="str">
        <f t="shared" si="39"/>
        <v/>
      </c>
      <c r="AF175" s="72"/>
      <c r="AG175" s="98">
        <f>IFERROR(IF($AV175="No",0,IF($AV175="yes",Summary!Q175,"")),"")</f>
        <v>0</v>
      </c>
      <c r="AH175" s="99">
        <f>IFERROR(IF($AV175="No",0,IF($AV175="yes",Summary!R175,"")),"")</f>
        <v>0</v>
      </c>
      <c r="AI175" s="99">
        <f>IFERROR(IF($AV175="No",0,IF($AV175="yes",Summary!S175,"")),"")</f>
        <v>0</v>
      </c>
      <c r="AJ175" s="602">
        <f>IFERROR(IF($AV175="No",0,IF($AV175="yes",Summary!T175,"")),"")</f>
        <v>0</v>
      </c>
      <c r="AK175" s="100">
        <f>IFERROR(IF($AV175="No",0,IF($AV175="yes",Summary!U175,"")),"")</f>
        <v>0</v>
      </c>
      <c r="AL175" s="99">
        <f>IFERROR(IF($AV175="No",0,IF($AV175="yes",Summary!V175,"")),"")</f>
        <v>0</v>
      </c>
      <c r="AM175" s="99">
        <f>IFERROR(IF($AV175="No",0,IF($AV175="yes",Summary!W175,"")),"")</f>
        <v>0</v>
      </c>
      <c r="AN175" s="99">
        <f>IFERROR(IF($AV175="No",0,IF($AV175="yes",Summary!X175,"")),"")</f>
        <v>0</v>
      </c>
      <c r="AO175" s="99">
        <f>IFERROR(IF($AV175="No",0,IF($AV175="yes",Summary!Y175+Z175,"")),"")</f>
        <v>0</v>
      </c>
      <c r="AP175" s="99">
        <f>IFERROR(IF($AV175="No",0,IF($AV175="yes",Summary!AB175,"")),"")</f>
        <v>0</v>
      </c>
      <c r="AQ175" s="101" t="str">
        <f t="shared" si="42"/>
        <v/>
      </c>
      <c r="AR175" s="101" t="str">
        <f t="shared" si="43"/>
        <v/>
      </c>
      <c r="AS175" s="101" t="str">
        <f t="shared" si="44"/>
        <v/>
      </c>
      <c r="AT175" s="96" t="s">
        <v>589</v>
      </c>
      <c r="AV175" t="str">
        <f>IF('Proposed Lighting'!CN172&gt;0,"No","Yes")</f>
        <v>Yes</v>
      </c>
    </row>
    <row r="176" spans="1:48" ht="34.5" customHeight="1" outlineLevel="1">
      <c r="A176" s="96" t="s">
        <v>590</v>
      </c>
      <c r="B176" s="96" t="str">
        <f>IF(ISNUMBER(SEARCH("case",E176)),"COM_MISC_REFR_ALL_UNKN1991",IF('Proposed Lighting'!AU173=3,"Commercial-All Com-ExtLight",IF('Proposed Lighting'!AH173&gt;8759,"IPC_8760","Commercial-All Com-IntLight")))</f>
        <v>IPC_8760</v>
      </c>
      <c r="C176" s="96" t="str">
        <f>IF(OR('Proposed Lighting'!DD173="Standard Incentive",'Proposed Lighting'!DD173="Non-Standard Incentive"),"Yes",IF(AND(IF(ISNUMBER(SEARCH("controls",'Proposed Lighting'!T173)),"True","False")="False",'Proposed Lighting'!DD173="Submit Control as Non-Standard"),"Yes","No"))</f>
        <v>No</v>
      </c>
      <c r="D176" s="1403">
        <f>'Proposed Lighting'!CV173-Q176</f>
        <v>0</v>
      </c>
      <c r="E176" s="143">
        <f>'Proposed Lighting'!T173</f>
        <v>0</v>
      </c>
      <c r="F176" s="143">
        <f>'Proposed Lighting'!F173</f>
        <v>0</v>
      </c>
      <c r="G176" s="96" t="s">
        <v>242</v>
      </c>
      <c r="H176" s="142" t="str">
        <f>'Proposed Lighting'!CP173</f>
        <v/>
      </c>
      <c r="I176" s="98">
        <v>1</v>
      </c>
      <c r="J176" s="142">
        <f>'Proposed Lighting'!AA173</f>
        <v>0</v>
      </c>
      <c r="K176" s="142" t="str">
        <f>IF(ISNUMBER(SEARCH("-C",'Proposed Lighting'!M173)),'Proposed Lighting'!AH173*0.9,'Proposed Lighting'!AH173)</f>
        <v/>
      </c>
      <c r="L176" s="142">
        <f>IFERROR(IF(OR('Proposed Lighting'!BC173=22,'Proposed Lighting'!BC173=44),1-25%,IF(OR('Proposed Lighting'!BC173=23,'Proposed Lighting'!BC173=46),1-30%,IF(OR('Proposed Lighting'!BC173=29,'Proposed Lighting'!BC173=39,'Proposed Lighting'!BC173=49),1-35%,IF(OR('Proposed Lighting'!BC173=24,'Proposed Lighting'!BC173=48),1-50%,IF(AND(ISNUMBER(SEARCH("-C",'Proposed Lighting'!M173)),'Proposed Lighting'!AU173=2),90%,100%)))))*'Proposed Lighting'!AH173,0)</f>
        <v>0</v>
      </c>
      <c r="M176" s="87">
        <f t="shared" si="30"/>
        <v>0</v>
      </c>
      <c r="N176" s="87">
        <f>IFERROR(IF('Proposed Lighting'!AU173=1,0,'Proposed Lighting'!AO173),0)</f>
        <v>0</v>
      </c>
      <c r="O176" s="88">
        <f>IF('Proposed Lighting'!AU173=1,0,'Proposed Lighting'!AP173)</f>
        <v>0</v>
      </c>
      <c r="P176" s="87">
        <f t="shared" si="31"/>
        <v>0</v>
      </c>
      <c r="Q176" s="98">
        <f t="shared" si="40"/>
        <v>0</v>
      </c>
      <c r="R176" s="99">
        <f>IFERROR(IF('Proposed Lighting'!T173="Lighting controls only",0,ROUND(IF('Proposed Lighting'!AQ173&lt;'Proposed Lighting'!AR173,0,IF('Proposed Lighting'!AH173=0,0,IF('Proposed Lighting'!BV173&gt;0,'Proposed Lighting'!BV173,IF('Proposed Lighting'!CL173=0,MIN('Proposed Lighting'!CN173:CO173),IF('Proposed Lighting'!CX173&gt;0,'Proposed Lighting'!CX173*'Proposed Lighting'!AA173,0))))),2)),0)</f>
        <v>0</v>
      </c>
      <c r="S176" s="99">
        <f>IF('Proposed Lighting'!AJ173&gt;0,'Proposed Lighting'!AJ173*J176,'Proposed Lighting'!$AU$328*J176)</f>
        <v>0</v>
      </c>
      <c r="T176" s="602">
        <f t="shared" si="32"/>
        <v>0</v>
      </c>
      <c r="U176" s="100"/>
      <c r="V176" s="99">
        <f t="shared" si="33"/>
        <v>0</v>
      </c>
      <c r="W176" s="99">
        <f t="shared" si="34"/>
        <v>0</v>
      </c>
      <c r="X176" s="99">
        <f t="shared" si="35"/>
        <v>0</v>
      </c>
      <c r="Y176" s="99"/>
      <c r="Z176" s="99">
        <f t="shared" si="41"/>
        <v>0</v>
      </c>
      <c r="AA176" s="99"/>
      <c r="AB176" s="99">
        <f t="shared" si="36"/>
        <v>0</v>
      </c>
      <c r="AC176" s="101" t="str">
        <f t="shared" si="37"/>
        <v/>
      </c>
      <c r="AD176" s="101" t="str">
        <f t="shared" si="38"/>
        <v/>
      </c>
      <c r="AE176" s="101" t="str">
        <f t="shared" si="39"/>
        <v/>
      </c>
      <c r="AF176" s="72"/>
      <c r="AG176" s="98">
        <f>IFERROR(IF($AV176="No",0,IF($AV176="yes",Summary!Q176,"")),"")</f>
        <v>0</v>
      </c>
      <c r="AH176" s="99">
        <f>IFERROR(IF($AV176="No",0,IF($AV176="yes",Summary!R176,"")),"")</f>
        <v>0</v>
      </c>
      <c r="AI176" s="99">
        <f>IFERROR(IF($AV176="No",0,IF($AV176="yes",Summary!S176,"")),"")</f>
        <v>0</v>
      </c>
      <c r="AJ176" s="602">
        <f>IFERROR(IF($AV176="No",0,IF($AV176="yes",Summary!T176,"")),"")</f>
        <v>0</v>
      </c>
      <c r="AK176" s="100">
        <f>IFERROR(IF($AV176="No",0,IF($AV176="yes",Summary!U176,"")),"")</f>
        <v>0</v>
      </c>
      <c r="AL176" s="99">
        <f>IFERROR(IF($AV176="No",0,IF($AV176="yes",Summary!V176,"")),"")</f>
        <v>0</v>
      </c>
      <c r="AM176" s="99">
        <f>IFERROR(IF($AV176="No",0,IF($AV176="yes",Summary!W176,"")),"")</f>
        <v>0</v>
      </c>
      <c r="AN176" s="99">
        <f>IFERROR(IF($AV176="No",0,IF($AV176="yes",Summary!X176,"")),"")</f>
        <v>0</v>
      </c>
      <c r="AO176" s="99">
        <f>IFERROR(IF($AV176="No",0,IF($AV176="yes",Summary!Y176+Z176,"")),"")</f>
        <v>0</v>
      </c>
      <c r="AP176" s="99">
        <f>IFERROR(IF($AV176="No",0,IF($AV176="yes",Summary!AB176,"")),"")</f>
        <v>0</v>
      </c>
      <c r="AQ176" s="101" t="str">
        <f t="shared" si="42"/>
        <v/>
      </c>
      <c r="AR176" s="101" t="str">
        <f t="shared" si="43"/>
        <v/>
      </c>
      <c r="AS176" s="101" t="str">
        <f t="shared" si="44"/>
        <v/>
      </c>
      <c r="AT176" s="96" t="s">
        <v>590</v>
      </c>
      <c r="AV176" t="str">
        <f>IF('Proposed Lighting'!CN173&gt;0,"No","Yes")</f>
        <v>Yes</v>
      </c>
    </row>
    <row r="177" spans="1:48" ht="34.5" customHeight="1" outlineLevel="1">
      <c r="A177" s="96" t="s">
        <v>591</v>
      </c>
      <c r="B177" s="96" t="str">
        <f>IF(ISNUMBER(SEARCH("case",E177)),"COM_MISC_REFR_ALL_UNKN1991",IF('Proposed Lighting'!AU174=3,"Commercial-All Com-ExtLight",IF('Proposed Lighting'!AH174&gt;8759,"IPC_8760","Commercial-All Com-IntLight")))</f>
        <v>IPC_8760</v>
      </c>
      <c r="C177" s="96" t="str">
        <f>IF(OR('Proposed Lighting'!DD174="Standard Incentive",'Proposed Lighting'!DD174="Non-Standard Incentive"),"Yes",IF(AND(IF(ISNUMBER(SEARCH("controls",'Proposed Lighting'!T174)),"True","False")="False",'Proposed Lighting'!DD174="Submit Control as Non-Standard"),"Yes","No"))</f>
        <v>No</v>
      </c>
      <c r="D177" s="1403">
        <f>'Proposed Lighting'!CV174-Q177</f>
        <v>0</v>
      </c>
      <c r="E177" s="143">
        <f>'Proposed Lighting'!T174</f>
        <v>0</v>
      </c>
      <c r="F177" s="143">
        <f>'Proposed Lighting'!F174</f>
        <v>0</v>
      </c>
      <c r="G177" s="96" t="s">
        <v>242</v>
      </c>
      <c r="H177" s="142" t="str">
        <f>'Proposed Lighting'!CP174</f>
        <v/>
      </c>
      <c r="I177" s="98">
        <v>1</v>
      </c>
      <c r="J177" s="142">
        <f>'Proposed Lighting'!AA174</f>
        <v>0</v>
      </c>
      <c r="K177" s="142" t="str">
        <f>IF(ISNUMBER(SEARCH("-C",'Proposed Lighting'!M174)),'Proposed Lighting'!AH174*0.9,'Proposed Lighting'!AH174)</f>
        <v/>
      </c>
      <c r="L177" s="142">
        <f>IFERROR(IF(OR('Proposed Lighting'!BC174=22,'Proposed Lighting'!BC174=44),1-25%,IF(OR('Proposed Lighting'!BC174=23,'Proposed Lighting'!BC174=46),1-30%,IF(OR('Proposed Lighting'!BC174=29,'Proposed Lighting'!BC174=39,'Proposed Lighting'!BC174=49),1-35%,IF(OR('Proposed Lighting'!BC174=24,'Proposed Lighting'!BC174=48),1-50%,IF(AND(ISNUMBER(SEARCH("-C",'Proposed Lighting'!M174)),'Proposed Lighting'!AU174=2),90%,100%)))))*'Proposed Lighting'!AH174,0)</f>
        <v>0</v>
      </c>
      <c r="M177" s="87">
        <f t="shared" si="30"/>
        <v>0</v>
      </c>
      <c r="N177" s="87">
        <f>IFERROR(IF('Proposed Lighting'!AU174=1,0,'Proposed Lighting'!AO174),0)</f>
        <v>0</v>
      </c>
      <c r="O177" s="88">
        <f>IF('Proposed Lighting'!AU174=1,0,'Proposed Lighting'!AP174)</f>
        <v>0</v>
      </c>
      <c r="P177" s="87">
        <f t="shared" si="31"/>
        <v>0</v>
      </c>
      <c r="Q177" s="98">
        <f t="shared" si="40"/>
        <v>0</v>
      </c>
      <c r="R177" s="99">
        <f>IFERROR(IF('Proposed Lighting'!T174="Lighting controls only",0,ROUND(IF('Proposed Lighting'!AQ174&lt;'Proposed Lighting'!AR174,0,IF('Proposed Lighting'!AH174=0,0,IF('Proposed Lighting'!BV174&gt;0,'Proposed Lighting'!BV174,IF('Proposed Lighting'!CL174=0,MIN('Proposed Lighting'!CN174:CO174),IF('Proposed Lighting'!CX174&gt;0,'Proposed Lighting'!CX174*'Proposed Lighting'!AA174,0))))),2)),0)</f>
        <v>0</v>
      </c>
      <c r="S177" s="99">
        <f>IF('Proposed Lighting'!AJ174&gt;0,'Proposed Lighting'!AJ174*J177,'Proposed Lighting'!$AU$328*J177)</f>
        <v>0</v>
      </c>
      <c r="T177" s="602">
        <f t="shared" si="32"/>
        <v>0</v>
      </c>
      <c r="U177" s="100"/>
      <c r="V177" s="99">
        <f t="shared" si="33"/>
        <v>0</v>
      </c>
      <c r="W177" s="99">
        <f t="shared" si="34"/>
        <v>0</v>
      </c>
      <c r="X177" s="99">
        <f t="shared" si="35"/>
        <v>0</v>
      </c>
      <c r="Y177" s="99"/>
      <c r="Z177" s="99">
        <f t="shared" si="41"/>
        <v>0</v>
      </c>
      <c r="AA177" s="99"/>
      <c r="AB177" s="99">
        <f t="shared" si="36"/>
        <v>0</v>
      </c>
      <c r="AC177" s="101" t="str">
        <f t="shared" si="37"/>
        <v/>
      </c>
      <c r="AD177" s="101" t="str">
        <f t="shared" si="38"/>
        <v/>
      </c>
      <c r="AE177" s="101" t="str">
        <f t="shared" si="39"/>
        <v/>
      </c>
      <c r="AF177" s="72"/>
      <c r="AG177" s="98">
        <f>IFERROR(IF($AV177="No",0,IF($AV177="yes",Summary!Q177,"")),"")</f>
        <v>0</v>
      </c>
      <c r="AH177" s="99">
        <f>IFERROR(IF($AV177="No",0,IF($AV177="yes",Summary!R177,"")),"")</f>
        <v>0</v>
      </c>
      <c r="AI177" s="99">
        <f>IFERROR(IF($AV177="No",0,IF($AV177="yes",Summary!S177,"")),"")</f>
        <v>0</v>
      </c>
      <c r="AJ177" s="602">
        <f>IFERROR(IF($AV177="No",0,IF($AV177="yes",Summary!T177,"")),"")</f>
        <v>0</v>
      </c>
      <c r="AK177" s="100">
        <f>IFERROR(IF($AV177="No",0,IF($AV177="yes",Summary!U177,"")),"")</f>
        <v>0</v>
      </c>
      <c r="AL177" s="99">
        <f>IFERROR(IF($AV177="No",0,IF($AV177="yes",Summary!V177,"")),"")</f>
        <v>0</v>
      </c>
      <c r="AM177" s="99">
        <f>IFERROR(IF($AV177="No",0,IF($AV177="yes",Summary!W177,"")),"")</f>
        <v>0</v>
      </c>
      <c r="AN177" s="99">
        <f>IFERROR(IF($AV177="No",0,IF($AV177="yes",Summary!X177,"")),"")</f>
        <v>0</v>
      </c>
      <c r="AO177" s="99">
        <f>IFERROR(IF($AV177="No",0,IF($AV177="yes",Summary!Y177+Z177,"")),"")</f>
        <v>0</v>
      </c>
      <c r="AP177" s="99">
        <f>IFERROR(IF($AV177="No",0,IF($AV177="yes",Summary!AB177,"")),"")</f>
        <v>0</v>
      </c>
      <c r="AQ177" s="101" t="str">
        <f t="shared" si="42"/>
        <v/>
      </c>
      <c r="AR177" s="101" t="str">
        <f t="shared" si="43"/>
        <v/>
      </c>
      <c r="AS177" s="101" t="str">
        <f t="shared" si="44"/>
        <v/>
      </c>
      <c r="AT177" s="96" t="s">
        <v>591</v>
      </c>
      <c r="AV177" t="str">
        <f>IF('Proposed Lighting'!CN174&gt;0,"No","Yes")</f>
        <v>Yes</v>
      </c>
    </row>
    <row r="178" spans="1:48" ht="34.5" customHeight="1" outlineLevel="1">
      <c r="A178" s="96" t="s">
        <v>592</v>
      </c>
      <c r="B178" s="96" t="str">
        <f>IF(ISNUMBER(SEARCH("case",E178)),"COM_MISC_REFR_ALL_UNKN1991",IF('Proposed Lighting'!AU175=3,"Commercial-All Com-ExtLight",IF('Proposed Lighting'!AH175&gt;8759,"IPC_8760","Commercial-All Com-IntLight")))</f>
        <v>IPC_8760</v>
      </c>
      <c r="C178" s="96" t="str">
        <f>IF(OR('Proposed Lighting'!DD175="Standard Incentive",'Proposed Lighting'!DD175="Non-Standard Incentive"),"Yes",IF(AND(IF(ISNUMBER(SEARCH("controls",'Proposed Lighting'!T175)),"True","False")="False",'Proposed Lighting'!DD175="Submit Control as Non-Standard"),"Yes","No"))</f>
        <v>No</v>
      </c>
      <c r="D178" s="1403">
        <f>'Proposed Lighting'!CV175-Q178</f>
        <v>0</v>
      </c>
      <c r="E178" s="143">
        <f>'Proposed Lighting'!T175</f>
        <v>0</v>
      </c>
      <c r="F178" s="143">
        <f>'Proposed Lighting'!F175</f>
        <v>0</v>
      </c>
      <c r="G178" s="96" t="s">
        <v>242</v>
      </c>
      <c r="H178" s="142" t="str">
        <f>'Proposed Lighting'!CP175</f>
        <v/>
      </c>
      <c r="I178" s="98">
        <v>1</v>
      </c>
      <c r="J178" s="142">
        <f>'Proposed Lighting'!AA175</f>
        <v>0</v>
      </c>
      <c r="K178" s="142" t="str">
        <f>IF(ISNUMBER(SEARCH("-C",'Proposed Lighting'!M175)),'Proposed Lighting'!AH175*0.9,'Proposed Lighting'!AH175)</f>
        <v/>
      </c>
      <c r="L178" s="142">
        <f>IFERROR(IF(OR('Proposed Lighting'!BC175=22,'Proposed Lighting'!BC175=44),1-25%,IF(OR('Proposed Lighting'!BC175=23,'Proposed Lighting'!BC175=46),1-30%,IF(OR('Proposed Lighting'!BC175=29,'Proposed Lighting'!BC175=39,'Proposed Lighting'!BC175=49),1-35%,IF(OR('Proposed Lighting'!BC175=24,'Proposed Lighting'!BC175=48),1-50%,IF(AND(ISNUMBER(SEARCH("-C",'Proposed Lighting'!M175)),'Proposed Lighting'!AU175=2),90%,100%)))))*'Proposed Lighting'!AH175,0)</f>
        <v>0</v>
      </c>
      <c r="M178" s="87">
        <f t="shared" si="30"/>
        <v>0</v>
      </c>
      <c r="N178" s="87">
        <f>IFERROR(IF('Proposed Lighting'!AU175=1,0,'Proposed Lighting'!AO175),0)</f>
        <v>0</v>
      </c>
      <c r="O178" s="88">
        <f>IF('Proposed Lighting'!AU175=1,0,'Proposed Lighting'!AP175)</f>
        <v>0</v>
      </c>
      <c r="P178" s="87">
        <f t="shared" si="31"/>
        <v>0</v>
      </c>
      <c r="Q178" s="98">
        <f t="shared" si="40"/>
        <v>0</v>
      </c>
      <c r="R178" s="99">
        <f>IFERROR(IF('Proposed Lighting'!T175="Lighting controls only",0,ROUND(IF('Proposed Lighting'!AQ175&lt;'Proposed Lighting'!AR175,0,IF('Proposed Lighting'!AH175=0,0,IF('Proposed Lighting'!BV175&gt;0,'Proposed Lighting'!BV175,IF('Proposed Lighting'!CL175=0,MIN('Proposed Lighting'!CN175:CO175),IF('Proposed Lighting'!CX175&gt;0,'Proposed Lighting'!CX175*'Proposed Lighting'!AA175,0))))),2)),0)</f>
        <v>0</v>
      </c>
      <c r="S178" s="99">
        <f>IF('Proposed Lighting'!AJ175&gt;0,'Proposed Lighting'!AJ175*J178,'Proposed Lighting'!$AU$328*J178)</f>
        <v>0</v>
      </c>
      <c r="T178" s="602">
        <f t="shared" si="32"/>
        <v>0</v>
      </c>
      <c r="U178" s="100"/>
      <c r="V178" s="99">
        <f t="shared" si="33"/>
        <v>0</v>
      </c>
      <c r="W178" s="99">
        <f t="shared" si="34"/>
        <v>0</v>
      </c>
      <c r="X178" s="99">
        <f t="shared" si="35"/>
        <v>0</v>
      </c>
      <c r="Y178" s="99"/>
      <c r="Z178" s="99">
        <f t="shared" si="41"/>
        <v>0</v>
      </c>
      <c r="AA178" s="99"/>
      <c r="AB178" s="99">
        <f t="shared" si="36"/>
        <v>0</v>
      </c>
      <c r="AC178" s="101" t="str">
        <f t="shared" si="37"/>
        <v/>
      </c>
      <c r="AD178" s="101" t="str">
        <f t="shared" si="38"/>
        <v/>
      </c>
      <c r="AE178" s="101" t="str">
        <f t="shared" si="39"/>
        <v/>
      </c>
      <c r="AF178" s="72"/>
      <c r="AG178" s="98">
        <f>IFERROR(IF($AV178="No",0,IF($AV178="yes",Summary!Q178,"")),"")</f>
        <v>0</v>
      </c>
      <c r="AH178" s="99">
        <f>IFERROR(IF($AV178="No",0,IF($AV178="yes",Summary!R178,"")),"")</f>
        <v>0</v>
      </c>
      <c r="AI178" s="99">
        <f>IFERROR(IF($AV178="No",0,IF($AV178="yes",Summary!S178,"")),"")</f>
        <v>0</v>
      </c>
      <c r="AJ178" s="602">
        <f>IFERROR(IF($AV178="No",0,IF($AV178="yes",Summary!T178,"")),"")</f>
        <v>0</v>
      </c>
      <c r="AK178" s="100">
        <f>IFERROR(IF($AV178="No",0,IF($AV178="yes",Summary!U178,"")),"")</f>
        <v>0</v>
      </c>
      <c r="AL178" s="99">
        <f>IFERROR(IF($AV178="No",0,IF($AV178="yes",Summary!V178,"")),"")</f>
        <v>0</v>
      </c>
      <c r="AM178" s="99">
        <f>IFERROR(IF($AV178="No",0,IF($AV178="yes",Summary!W178,"")),"")</f>
        <v>0</v>
      </c>
      <c r="AN178" s="99">
        <f>IFERROR(IF($AV178="No",0,IF($AV178="yes",Summary!X178,"")),"")</f>
        <v>0</v>
      </c>
      <c r="AO178" s="99">
        <f>IFERROR(IF($AV178="No",0,IF($AV178="yes",Summary!Y178+Z178,"")),"")</f>
        <v>0</v>
      </c>
      <c r="AP178" s="99">
        <f>IFERROR(IF($AV178="No",0,IF($AV178="yes",Summary!AB178,"")),"")</f>
        <v>0</v>
      </c>
      <c r="AQ178" s="101" t="str">
        <f t="shared" si="42"/>
        <v/>
      </c>
      <c r="AR178" s="101" t="str">
        <f t="shared" si="43"/>
        <v/>
      </c>
      <c r="AS178" s="101" t="str">
        <f t="shared" si="44"/>
        <v/>
      </c>
      <c r="AT178" s="96" t="s">
        <v>592</v>
      </c>
      <c r="AV178" t="str">
        <f>IF('Proposed Lighting'!CN175&gt;0,"No","Yes")</f>
        <v>Yes</v>
      </c>
    </row>
    <row r="179" spans="1:48" ht="34.5" customHeight="1" outlineLevel="1">
      <c r="A179" s="96" t="s">
        <v>593</v>
      </c>
      <c r="B179" s="96" t="str">
        <f>IF(ISNUMBER(SEARCH("case",E179)),"COM_MISC_REFR_ALL_UNKN1991",IF('Proposed Lighting'!AU176=3,"Commercial-All Com-ExtLight",IF('Proposed Lighting'!AH176&gt;8759,"IPC_8760","Commercial-All Com-IntLight")))</f>
        <v>IPC_8760</v>
      </c>
      <c r="C179" s="96" t="str">
        <f>IF(OR('Proposed Lighting'!DD176="Standard Incentive",'Proposed Lighting'!DD176="Non-Standard Incentive"),"Yes",IF(AND(IF(ISNUMBER(SEARCH("controls",'Proposed Lighting'!T176)),"True","False")="False",'Proposed Lighting'!DD176="Submit Control as Non-Standard"),"Yes","No"))</f>
        <v>No</v>
      </c>
      <c r="D179" s="1403">
        <f>'Proposed Lighting'!CV176-Q179</f>
        <v>0</v>
      </c>
      <c r="E179" s="143">
        <f>'Proposed Lighting'!T176</f>
        <v>0</v>
      </c>
      <c r="F179" s="143">
        <f>'Proposed Lighting'!F176</f>
        <v>0</v>
      </c>
      <c r="G179" s="96" t="s">
        <v>242</v>
      </c>
      <c r="H179" s="142" t="str">
        <f>'Proposed Lighting'!CP176</f>
        <v/>
      </c>
      <c r="I179" s="98">
        <v>1</v>
      </c>
      <c r="J179" s="142">
        <f>'Proposed Lighting'!AA176</f>
        <v>0</v>
      </c>
      <c r="K179" s="142" t="str">
        <f>IF(ISNUMBER(SEARCH("-C",'Proposed Lighting'!M176)),'Proposed Lighting'!AH176*0.9,'Proposed Lighting'!AH176)</f>
        <v/>
      </c>
      <c r="L179" s="142">
        <f>IFERROR(IF(OR('Proposed Lighting'!BC176=22,'Proposed Lighting'!BC176=44),1-25%,IF(OR('Proposed Lighting'!BC176=23,'Proposed Lighting'!BC176=46),1-30%,IF(OR('Proposed Lighting'!BC176=29,'Proposed Lighting'!BC176=39,'Proposed Lighting'!BC176=49),1-35%,IF(OR('Proposed Lighting'!BC176=24,'Proposed Lighting'!BC176=48),1-50%,IF(AND(ISNUMBER(SEARCH("-C",'Proposed Lighting'!M176)),'Proposed Lighting'!AU176=2),90%,100%)))))*'Proposed Lighting'!AH176,0)</f>
        <v>0</v>
      </c>
      <c r="M179" s="87">
        <f t="shared" si="30"/>
        <v>0</v>
      </c>
      <c r="N179" s="87">
        <f>IFERROR(IF('Proposed Lighting'!AU176=1,0,'Proposed Lighting'!AO176),0)</f>
        <v>0</v>
      </c>
      <c r="O179" s="88">
        <f>IF('Proposed Lighting'!AU176=1,0,'Proposed Lighting'!AP176)</f>
        <v>0</v>
      </c>
      <c r="P179" s="87">
        <f t="shared" si="31"/>
        <v>0</v>
      </c>
      <c r="Q179" s="98">
        <f t="shared" si="40"/>
        <v>0</v>
      </c>
      <c r="R179" s="99">
        <f>IFERROR(IF('Proposed Lighting'!T176="Lighting controls only",0,ROUND(IF('Proposed Lighting'!AQ176&lt;'Proposed Lighting'!AR176,0,IF('Proposed Lighting'!AH176=0,0,IF('Proposed Lighting'!BV176&gt;0,'Proposed Lighting'!BV176,IF('Proposed Lighting'!CL176=0,MIN('Proposed Lighting'!CN176:CO176),IF('Proposed Lighting'!CX176&gt;0,'Proposed Lighting'!CX176*'Proposed Lighting'!AA176,0))))),2)),0)</f>
        <v>0</v>
      </c>
      <c r="S179" s="99">
        <f>IF('Proposed Lighting'!AJ176&gt;0,'Proposed Lighting'!AJ176*J179,'Proposed Lighting'!$AU$328*J179)</f>
        <v>0</v>
      </c>
      <c r="T179" s="602">
        <f t="shared" si="32"/>
        <v>0</v>
      </c>
      <c r="U179" s="100"/>
      <c r="V179" s="99">
        <f t="shared" si="33"/>
        <v>0</v>
      </c>
      <c r="W179" s="99">
        <f t="shared" si="34"/>
        <v>0</v>
      </c>
      <c r="X179" s="99">
        <f t="shared" si="35"/>
        <v>0</v>
      </c>
      <c r="Y179" s="99"/>
      <c r="Z179" s="99">
        <f t="shared" si="41"/>
        <v>0</v>
      </c>
      <c r="AA179" s="99"/>
      <c r="AB179" s="99">
        <f t="shared" si="36"/>
        <v>0</v>
      </c>
      <c r="AC179" s="101" t="str">
        <f t="shared" si="37"/>
        <v/>
      </c>
      <c r="AD179" s="101" t="str">
        <f t="shared" si="38"/>
        <v/>
      </c>
      <c r="AE179" s="101" t="str">
        <f t="shared" si="39"/>
        <v/>
      </c>
      <c r="AF179" s="72"/>
      <c r="AG179" s="98">
        <f>IFERROR(IF($AV179="No",0,IF($AV179="yes",Summary!Q179,"")),"")</f>
        <v>0</v>
      </c>
      <c r="AH179" s="99">
        <f>IFERROR(IF($AV179="No",0,IF($AV179="yes",Summary!R179,"")),"")</f>
        <v>0</v>
      </c>
      <c r="AI179" s="99">
        <f>IFERROR(IF($AV179="No",0,IF($AV179="yes",Summary!S179,"")),"")</f>
        <v>0</v>
      </c>
      <c r="AJ179" s="602">
        <f>IFERROR(IF($AV179="No",0,IF($AV179="yes",Summary!T179,"")),"")</f>
        <v>0</v>
      </c>
      <c r="AK179" s="100">
        <f>IFERROR(IF($AV179="No",0,IF($AV179="yes",Summary!U179,"")),"")</f>
        <v>0</v>
      </c>
      <c r="AL179" s="99">
        <f>IFERROR(IF($AV179="No",0,IF($AV179="yes",Summary!V179,"")),"")</f>
        <v>0</v>
      </c>
      <c r="AM179" s="99">
        <f>IFERROR(IF($AV179="No",0,IF($AV179="yes",Summary!W179,"")),"")</f>
        <v>0</v>
      </c>
      <c r="AN179" s="99">
        <f>IFERROR(IF($AV179="No",0,IF($AV179="yes",Summary!X179,"")),"")</f>
        <v>0</v>
      </c>
      <c r="AO179" s="99">
        <f>IFERROR(IF($AV179="No",0,IF($AV179="yes",Summary!Y179+Z179,"")),"")</f>
        <v>0</v>
      </c>
      <c r="AP179" s="99">
        <f>IFERROR(IF($AV179="No",0,IF($AV179="yes",Summary!AB179,"")),"")</f>
        <v>0</v>
      </c>
      <c r="AQ179" s="101" t="str">
        <f t="shared" si="42"/>
        <v/>
      </c>
      <c r="AR179" s="101" t="str">
        <f t="shared" si="43"/>
        <v/>
      </c>
      <c r="AS179" s="101" t="str">
        <f t="shared" si="44"/>
        <v/>
      </c>
      <c r="AT179" s="96" t="s">
        <v>593</v>
      </c>
      <c r="AV179" t="str">
        <f>IF('Proposed Lighting'!CN176&gt;0,"No","Yes")</f>
        <v>Yes</v>
      </c>
    </row>
    <row r="180" spans="1:48" ht="34.5" customHeight="1" outlineLevel="1">
      <c r="A180" s="96" t="s">
        <v>594</v>
      </c>
      <c r="B180" s="96" t="str">
        <f>IF(ISNUMBER(SEARCH("case",E180)),"COM_MISC_REFR_ALL_UNKN1991",IF('Proposed Lighting'!AU177=3,"Commercial-All Com-ExtLight",IF('Proposed Lighting'!AH177&gt;8759,"IPC_8760","Commercial-All Com-IntLight")))</f>
        <v>IPC_8760</v>
      </c>
      <c r="C180" s="96" t="str">
        <f>IF(OR('Proposed Lighting'!DD177="Standard Incentive",'Proposed Lighting'!DD177="Non-Standard Incentive"),"Yes",IF(AND(IF(ISNUMBER(SEARCH("controls",'Proposed Lighting'!T177)),"True","False")="False",'Proposed Lighting'!DD177="Submit Control as Non-Standard"),"Yes","No"))</f>
        <v>No</v>
      </c>
      <c r="D180" s="1403">
        <f>'Proposed Lighting'!CV177-Q180</f>
        <v>0</v>
      </c>
      <c r="E180" s="143">
        <f>'Proposed Lighting'!T177</f>
        <v>0</v>
      </c>
      <c r="F180" s="143">
        <f>'Proposed Lighting'!F177</f>
        <v>0</v>
      </c>
      <c r="G180" s="96" t="s">
        <v>242</v>
      </c>
      <c r="H180" s="142" t="str">
        <f>'Proposed Lighting'!CP177</f>
        <v/>
      </c>
      <c r="I180" s="98">
        <v>1</v>
      </c>
      <c r="J180" s="142">
        <f>'Proposed Lighting'!AA177</f>
        <v>0</v>
      </c>
      <c r="K180" s="142" t="str">
        <f>IF(ISNUMBER(SEARCH("-C",'Proposed Lighting'!M177)),'Proposed Lighting'!AH177*0.9,'Proposed Lighting'!AH177)</f>
        <v/>
      </c>
      <c r="L180" s="142">
        <f>IFERROR(IF(OR('Proposed Lighting'!BC177=22,'Proposed Lighting'!BC177=44),1-25%,IF(OR('Proposed Lighting'!BC177=23,'Proposed Lighting'!BC177=46),1-30%,IF(OR('Proposed Lighting'!BC177=29,'Proposed Lighting'!BC177=39,'Proposed Lighting'!BC177=49),1-35%,IF(OR('Proposed Lighting'!BC177=24,'Proposed Lighting'!BC177=48),1-50%,IF(AND(ISNUMBER(SEARCH("-C",'Proposed Lighting'!M177)),'Proposed Lighting'!AU177=2),90%,100%)))))*'Proposed Lighting'!AH177,0)</f>
        <v>0</v>
      </c>
      <c r="M180" s="87">
        <f t="shared" si="30"/>
        <v>0</v>
      </c>
      <c r="N180" s="87">
        <f>IFERROR(IF('Proposed Lighting'!AU177=1,0,'Proposed Lighting'!AO177),0)</f>
        <v>0</v>
      </c>
      <c r="O180" s="88">
        <f>IF('Proposed Lighting'!AU177=1,0,'Proposed Lighting'!AP177)</f>
        <v>0</v>
      </c>
      <c r="P180" s="87">
        <f t="shared" si="31"/>
        <v>0</v>
      </c>
      <c r="Q180" s="98">
        <f t="shared" si="40"/>
        <v>0</v>
      </c>
      <c r="R180" s="99">
        <f>IFERROR(IF('Proposed Lighting'!T177="Lighting controls only",0,ROUND(IF('Proposed Lighting'!AQ177&lt;'Proposed Lighting'!AR177,0,IF('Proposed Lighting'!AH177=0,0,IF('Proposed Lighting'!BV177&gt;0,'Proposed Lighting'!BV177,IF('Proposed Lighting'!CL177=0,MIN('Proposed Lighting'!CN177:CO177),IF('Proposed Lighting'!CX177&gt;0,'Proposed Lighting'!CX177*'Proposed Lighting'!AA177,0))))),2)),0)</f>
        <v>0</v>
      </c>
      <c r="S180" s="99">
        <f>IF('Proposed Lighting'!AJ177&gt;0,'Proposed Lighting'!AJ177*J180,'Proposed Lighting'!$AU$328*J180)</f>
        <v>0</v>
      </c>
      <c r="T180" s="602">
        <f t="shared" si="32"/>
        <v>0</v>
      </c>
      <c r="U180" s="100"/>
      <c r="V180" s="99">
        <f t="shared" si="33"/>
        <v>0</v>
      </c>
      <c r="W180" s="99">
        <f t="shared" si="34"/>
        <v>0</v>
      </c>
      <c r="X180" s="99">
        <f t="shared" si="35"/>
        <v>0</v>
      </c>
      <c r="Y180" s="99"/>
      <c r="Z180" s="99">
        <f t="shared" si="41"/>
        <v>0</v>
      </c>
      <c r="AA180" s="99"/>
      <c r="AB180" s="99">
        <f t="shared" si="36"/>
        <v>0</v>
      </c>
      <c r="AC180" s="101" t="str">
        <f t="shared" si="37"/>
        <v/>
      </c>
      <c r="AD180" s="101" t="str">
        <f t="shared" si="38"/>
        <v/>
      </c>
      <c r="AE180" s="101" t="str">
        <f t="shared" si="39"/>
        <v/>
      </c>
      <c r="AF180" s="72"/>
      <c r="AG180" s="98">
        <f>IFERROR(IF($AV180="No",0,IF($AV180="yes",Summary!Q180,"")),"")</f>
        <v>0</v>
      </c>
      <c r="AH180" s="99">
        <f>IFERROR(IF($AV180="No",0,IF($AV180="yes",Summary!R180,"")),"")</f>
        <v>0</v>
      </c>
      <c r="AI180" s="99">
        <f>IFERROR(IF($AV180="No",0,IF($AV180="yes",Summary!S180,"")),"")</f>
        <v>0</v>
      </c>
      <c r="AJ180" s="602">
        <f>IFERROR(IF($AV180="No",0,IF($AV180="yes",Summary!T180,"")),"")</f>
        <v>0</v>
      </c>
      <c r="AK180" s="100">
        <f>IFERROR(IF($AV180="No",0,IF($AV180="yes",Summary!U180,"")),"")</f>
        <v>0</v>
      </c>
      <c r="AL180" s="99">
        <f>IFERROR(IF($AV180="No",0,IF($AV180="yes",Summary!V180,"")),"")</f>
        <v>0</v>
      </c>
      <c r="AM180" s="99">
        <f>IFERROR(IF($AV180="No",0,IF($AV180="yes",Summary!W180,"")),"")</f>
        <v>0</v>
      </c>
      <c r="AN180" s="99">
        <f>IFERROR(IF($AV180="No",0,IF($AV180="yes",Summary!X180,"")),"")</f>
        <v>0</v>
      </c>
      <c r="AO180" s="99">
        <f>IFERROR(IF($AV180="No",0,IF($AV180="yes",Summary!Y180+Z180,"")),"")</f>
        <v>0</v>
      </c>
      <c r="AP180" s="99">
        <f>IFERROR(IF($AV180="No",0,IF($AV180="yes",Summary!AB180,"")),"")</f>
        <v>0</v>
      </c>
      <c r="AQ180" s="101" t="str">
        <f t="shared" si="42"/>
        <v/>
      </c>
      <c r="AR180" s="101" t="str">
        <f t="shared" si="43"/>
        <v/>
      </c>
      <c r="AS180" s="101" t="str">
        <f t="shared" si="44"/>
        <v/>
      </c>
      <c r="AT180" s="96" t="s">
        <v>594</v>
      </c>
      <c r="AV180" t="str">
        <f>IF('Proposed Lighting'!CN177&gt;0,"No","Yes")</f>
        <v>Yes</v>
      </c>
    </row>
    <row r="181" spans="1:48" ht="34.5" customHeight="1" outlineLevel="1">
      <c r="A181" s="96" t="s">
        <v>595</v>
      </c>
      <c r="B181" s="96" t="str">
        <f>IF(ISNUMBER(SEARCH("case",E181)),"COM_MISC_REFR_ALL_UNKN1991",IF('Proposed Lighting'!AU178=3,"Commercial-All Com-ExtLight",IF('Proposed Lighting'!AH178&gt;8759,"IPC_8760","Commercial-All Com-IntLight")))</f>
        <v>IPC_8760</v>
      </c>
      <c r="C181" s="96" t="str">
        <f>IF(OR('Proposed Lighting'!DD178="Standard Incentive",'Proposed Lighting'!DD178="Non-Standard Incentive"),"Yes",IF(AND(IF(ISNUMBER(SEARCH("controls",'Proposed Lighting'!T178)),"True","False")="False",'Proposed Lighting'!DD178="Submit Control as Non-Standard"),"Yes","No"))</f>
        <v>No</v>
      </c>
      <c r="D181" s="1403">
        <f>'Proposed Lighting'!CV178-Q181</f>
        <v>0</v>
      </c>
      <c r="E181" s="143">
        <f>'Proposed Lighting'!T178</f>
        <v>0</v>
      </c>
      <c r="F181" s="143">
        <f>'Proposed Lighting'!F178</f>
        <v>0</v>
      </c>
      <c r="G181" s="96" t="s">
        <v>242</v>
      </c>
      <c r="H181" s="142" t="str">
        <f>'Proposed Lighting'!CP178</f>
        <v/>
      </c>
      <c r="I181" s="98">
        <v>1</v>
      </c>
      <c r="J181" s="142">
        <f>'Proposed Lighting'!AA178</f>
        <v>0</v>
      </c>
      <c r="K181" s="142" t="str">
        <f>IF(ISNUMBER(SEARCH("-C",'Proposed Lighting'!M178)),'Proposed Lighting'!AH178*0.9,'Proposed Lighting'!AH178)</f>
        <v/>
      </c>
      <c r="L181" s="142">
        <f>IFERROR(IF(OR('Proposed Lighting'!BC178=22,'Proposed Lighting'!BC178=44),1-25%,IF(OR('Proposed Lighting'!BC178=23,'Proposed Lighting'!BC178=46),1-30%,IF(OR('Proposed Lighting'!BC178=29,'Proposed Lighting'!BC178=39,'Proposed Lighting'!BC178=49),1-35%,IF(OR('Proposed Lighting'!BC178=24,'Proposed Lighting'!BC178=48),1-50%,IF(AND(ISNUMBER(SEARCH("-C",'Proposed Lighting'!M178)),'Proposed Lighting'!AU178=2),90%,100%)))))*'Proposed Lighting'!AH178,0)</f>
        <v>0</v>
      </c>
      <c r="M181" s="87">
        <f t="shared" si="30"/>
        <v>0</v>
      </c>
      <c r="N181" s="87">
        <f>IFERROR(IF('Proposed Lighting'!AU178=1,0,'Proposed Lighting'!AO178),0)</f>
        <v>0</v>
      </c>
      <c r="O181" s="88">
        <f>IF('Proposed Lighting'!AU178=1,0,'Proposed Lighting'!AP178)</f>
        <v>0</v>
      </c>
      <c r="P181" s="87">
        <f t="shared" si="31"/>
        <v>0</v>
      </c>
      <c r="Q181" s="98">
        <f t="shared" si="40"/>
        <v>0</v>
      </c>
      <c r="R181" s="99">
        <f>IFERROR(IF('Proposed Lighting'!T178="Lighting controls only",0,ROUND(IF('Proposed Lighting'!AQ178&lt;'Proposed Lighting'!AR178,0,IF('Proposed Lighting'!AH178=0,0,IF('Proposed Lighting'!BV178&gt;0,'Proposed Lighting'!BV178,IF('Proposed Lighting'!CL178=0,MIN('Proposed Lighting'!CN178:CO178),IF('Proposed Lighting'!CX178&gt;0,'Proposed Lighting'!CX178*'Proposed Lighting'!AA178,0))))),2)),0)</f>
        <v>0</v>
      </c>
      <c r="S181" s="99">
        <f>IF('Proposed Lighting'!AJ178&gt;0,'Proposed Lighting'!AJ178*J181,'Proposed Lighting'!$AU$328*J181)</f>
        <v>0</v>
      </c>
      <c r="T181" s="602">
        <f t="shared" si="32"/>
        <v>0</v>
      </c>
      <c r="U181" s="100"/>
      <c r="V181" s="99">
        <f t="shared" si="33"/>
        <v>0</v>
      </c>
      <c r="W181" s="99">
        <f t="shared" si="34"/>
        <v>0</v>
      </c>
      <c r="X181" s="99">
        <f t="shared" si="35"/>
        <v>0</v>
      </c>
      <c r="Y181" s="99"/>
      <c r="Z181" s="99">
        <f t="shared" si="41"/>
        <v>0</v>
      </c>
      <c r="AA181" s="99"/>
      <c r="AB181" s="99">
        <f t="shared" si="36"/>
        <v>0</v>
      </c>
      <c r="AC181" s="101" t="str">
        <f t="shared" si="37"/>
        <v/>
      </c>
      <c r="AD181" s="101" t="str">
        <f t="shared" si="38"/>
        <v/>
      </c>
      <c r="AE181" s="101" t="str">
        <f t="shared" si="39"/>
        <v/>
      </c>
      <c r="AF181" s="72"/>
      <c r="AG181" s="98">
        <f>IFERROR(IF($AV181="No",0,IF($AV181="yes",Summary!Q181,"")),"")</f>
        <v>0</v>
      </c>
      <c r="AH181" s="99">
        <f>IFERROR(IF($AV181="No",0,IF($AV181="yes",Summary!R181,"")),"")</f>
        <v>0</v>
      </c>
      <c r="AI181" s="99">
        <f>IFERROR(IF($AV181="No",0,IF($AV181="yes",Summary!S181,"")),"")</f>
        <v>0</v>
      </c>
      <c r="AJ181" s="602">
        <f>IFERROR(IF($AV181="No",0,IF($AV181="yes",Summary!T181,"")),"")</f>
        <v>0</v>
      </c>
      <c r="AK181" s="100">
        <f>IFERROR(IF($AV181="No",0,IF($AV181="yes",Summary!U181,"")),"")</f>
        <v>0</v>
      </c>
      <c r="AL181" s="99">
        <f>IFERROR(IF($AV181="No",0,IF($AV181="yes",Summary!V181,"")),"")</f>
        <v>0</v>
      </c>
      <c r="AM181" s="99">
        <f>IFERROR(IF($AV181="No",0,IF($AV181="yes",Summary!W181,"")),"")</f>
        <v>0</v>
      </c>
      <c r="AN181" s="99">
        <f>IFERROR(IF($AV181="No",0,IF($AV181="yes",Summary!X181,"")),"")</f>
        <v>0</v>
      </c>
      <c r="AO181" s="99">
        <f>IFERROR(IF($AV181="No",0,IF($AV181="yes",Summary!Y181+Z181,"")),"")</f>
        <v>0</v>
      </c>
      <c r="AP181" s="99">
        <f>IFERROR(IF($AV181="No",0,IF($AV181="yes",Summary!AB181,"")),"")</f>
        <v>0</v>
      </c>
      <c r="AQ181" s="101" t="str">
        <f t="shared" si="42"/>
        <v/>
      </c>
      <c r="AR181" s="101" t="str">
        <f t="shared" si="43"/>
        <v/>
      </c>
      <c r="AS181" s="101" t="str">
        <f t="shared" si="44"/>
        <v/>
      </c>
      <c r="AT181" s="96" t="s">
        <v>595</v>
      </c>
      <c r="AV181" t="str">
        <f>IF('Proposed Lighting'!CN178&gt;0,"No","Yes")</f>
        <v>Yes</v>
      </c>
    </row>
    <row r="182" spans="1:48" ht="34.5" customHeight="1" outlineLevel="1">
      <c r="A182" s="96" t="s">
        <v>596</v>
      </c>
      <c r="B182" s="96" t="str">
        <f>IF(ISNUMBER(SEARCH("case",E182)),"COM_MISC_REFR_ALL_UNKN1991",IF('Proposed Lighting'!AU179=3,"Commercial-All Com-ExtLight",IF('Proposed Lighting'!AH179&gt;8759,"IPC_8760","Commercial-All Com-IntLight")))</f>
        <v>IPC_8760</v>
      </c>
      <c r="C182" s="96" t="str">
        <f>IF(OR('Proposed Lighting'!DD179="Standard Incentive",'Proposed Lighting'!DD179="Non-Standard Incentive"),"Yes",IF(AND(IF(ISNUMBER(SEARCH("controls",'Proposed Lighting'!T179)),"True","False")="False",'Proposed Lighting'!DD179="Submit Control as Non-Standard"),"Yes","No"))</f>
        <v>No</v>
      </c>
      <c r="D182" s="1403">
        <f>'Proposed Lighting'!CV179-Q182</f>
        <v>0</v>
      </c>
      <c r="E182" s="143">
        <f>'Proposed Lighting'!T179</f>
        <v>0</v>
      </c>
      <c r="F182" s="143">
        <f>'Proposed Lighting'!F179</f>
        <v>0</v>
      </c>
      <c r="G182" s="96" t="s">
        <v>242</v>
      </c>
      <c r="H182" s="142" t="str">
        <f>'Proposed Lighting'!CP179</f>
        <v/>
      </c>
      <c r="I182" s="98">
        <v>1</v>
      </c>
      <c r="J182" s="142">
        <f>'Proposed Lighting'!AA179</f>
        <v>0</v>
      </c>
      <c r="K182" s="142" t="str">
        <f>IF(ISNUMBER(SEARCH("-C",'Proposed Lighting'!M179)),'Proposed Lighting'!AH179*0.9,'Proposed Lighting'!AH179)</f>
        <v/>
      </c>
      <c r="L182" s="142">
        <f>IFERROR(IF(OR('Proposed Lighting'!BC179=22,'Proposed Lighting'!BC179=44),1-25%,IF(OR('Proposed Lighting'!BC179=23,'Proposed Lighting'!BC179=46),1-30%,IF(OR('Proposed Lighting'!BC179=29,'Proposed Lighting'!BC179=39,'Proposed Lighting'!BC179=49),1-35%,IF(OR('Proposed Lighting'!BC179=24,'Proposed Lighting'!BC179=48),1-50%,IF(AND(ISNUMBER(SEARCH("-C",'Proposed Lighting'!M179)),'Proposed Lighting'!AU179=2),90%,100%)))))*'Proposed Lighting'!AH179,0)</f>
        <v>0</v>
      </c>
      <c r="M182" s="87">
        <f t="shared" si="30"/>
        <v>0</v>
      </c>
      <c r="N182" s="87">
        <f>IFERROR(IF('Proposed Lighting'!AU179=1,0,'Proposed Lighting'!AO179),0)</f>
        <v>0</v>
      </c>
      <c r="O182" s="88">
        <f>IF('Proposed Lighting'!AU179=1,0,'Proposed Lighting'!AP179)</f>
        <v>0</v>
      </c>
      <c r="P182" s="87">
        <f t="shared" si="31"/>
        <v>0</v>
      </c>
      <c r="Q182" s="98">
        <f t="shared" si="40"/>
        <v>0</v>
      </c>
      <c r="R182" s="99">
        <f>IFERROR(IF('Proposed Lighting'!T179="Lighting controls only",0,ROUND(IF('Proposed Lighting'!AQ179&lt;'Proposed Lighting'!AR179,0,IF('Proposed Lighting'!AH179=0,0,IF('Proposed Lighting'!BV179&gt;0,'Proposed Lighting'!BV179,IF('Proposed Lighting'!CL179=0,MIN('Proposed Lighting'!CN179:CO179),IF('Proposed Lighting'!CX179&gt;0,'Proposed Lighting'!CX179*'Proposed Lighting'!AA179,0))))),2)),0)</f>
        <v>0</v>
      </c>
      <c r="S182" s="99">
        <f>IF('Proposed Lighting'!AJ179&gt;0,'Proposed Lighting'!AJ179*J182,'Proposed Lighting'!$AU$328*J182)</f>
        <v>0</v>
      </c>
      <c r="T182" s="602">
        <f t="shared" si="32"/>
        <v>0</v>
      </c>
      <c r="U182" s="100"/>
      <c r="V182" s="99">
        <f t="shared" si="33"/>
        <v>0</v>
      </c>
      <c r="W182" s="99">
        <f t="shared" si="34"/>
        <v>0</v>
      </c>
      <c r="X182" s="99">
        <f t="shared" si="35"/>
        <v>0</v>
      </c>
      <c r="Y182" s="99"/>
      <c r="Z182" s="99">
        <f t="shared" si="41"/>
        <v>0</v>
      </c>
      <c r="AA182" s="99"/>
      <c r="AB182" s="99">
        <f t="shared" si="36"/>
        <v>0</v>
      </c>
      <c r="AC182" s="101" t="str">
        <f t="shared" si="37"/>
        <v/>
      </c>
      <c r="AD182" s="101" t="str">
        <f t="shared" si="38"/>
        <v/>
      </c>
      <c r="AE182" s="101" t="str">
        <f t="shared" si="39"/>
        <v/>
      </c>
      <c r="AF182" s="72"/>
      <c r="AG182" s="98">
        <f>IFERROR(IF($AV182="No",0,IF($AV182="yes",Summary!Q182,"")),"")</f>
        <v>0</v>
      </c>
      <c r="AH182" s="99">
        <f>IFERROR(IF($AV182="No",0,IF($AV182="yes",Summary!R182,"")),"")</f>
        <v>0</v>
      </c>
      <c r="AI182" s="99">
        <f>IFERROR(IF($AV182="No",0,IF($AV182="yes",Summary!S182,"")),"")</f>
        <v>0</v>
      </c>
      <c r="AJ182" s="602">
        <f>IFERROR(IF($AV182="No",0,IF($AV182="yes",Summary!T182,"")),"")</f>
        <v>0</v>
      </c>
      <c r="AK182" s="100">
        <f>IFERROR(IF($AV182="No",0,IF($AV182="yes",Summary!U182,"")),"")</f>
        <v>0</v>
      </c>
      <c r="AL182" s="99">
        <f>IFERROR(IF($AV182="No",0,IF($AV182="yes",Summary!V182,"")),"")</f>
        <v>0</v>
      </c>
      <c r="AM182" s="99">
        <f>IFERROR(IF($AV182="No",0,IF($AV182="yes",Summary!W182,"")),"")</f>
        <v>0</v>
      </c>
      <c r="AN182" s="99">
        <f>IFERROR(IF($AV182="No",0,IF($AV182="yes",Summary!X182,"")),"")</f>
        <v>0</v>
      </c>
      <c r="AO182" s="99">
        <f>IFERROR(IF($AV182="No",0,IF($AV182="yes",Summary!Y182+Z182,"")),"")</f>
        <v>0</v>
      </c>
      <c r="AP182" s="99">
        <f>IFERROR(IF($AV182="No",0,IF($AV182="yes",Summary!AB182,"")),"")</f>
        <v>0</v>
      </c>
      <c r="AQ182" s="101" t="str">
        <f t="shared" si="42"/>
        <v/>
      </c>
      <c r="AR182" s="101" t="str">
        <f t="shared" si="43"/>
        <v/>
      </c>
      <c r="AS182" s="101" t="str">
        <f t="shared" si="44"/>
        <v/>
      </c>
      <c r="AT182" s="96" t="s">
        <v>596</v>
      </c>
      <c r="AV182" t="str">
        <f>IF('Proposed Lighting'!CN179&gt;0,"No","Yes")</f>
        <v>Yes</v>
      </c>
    </row>
    <row r="183" spans="1:48" ht="34.5" customHeight="1" outlineLevel="1">
      <c r="A183" s="96" t="s">
        <v>597</v>
      </c>
      <c r="B183" s="96" t="str">
        <f>IF(ISNUMBER(SEARCH("case",E183)),"COM_MISC_REFR_ALL_UNKN1991",IF('Proposed Lighting'!AU180=3,"Commercial-All Com-ExtLight",IF('Proposed Lighting'!AH180&gt;8759,"IPC_8760","Commercial-All Com-IntLight")))</f>
        <v>IPC_8760</v>
      </c>
      <c r="C183" s="96" t="str">
        <f>IF(OR('Proposed Lighting'!DD180="Standard Incentive",'Proposed Lighting'!DD180="Non-Standard Incentive"),"Yes",IF(AND(IF(ISNUMBER(SEARCH("controls",'Proposed Lighting'!T180)),"True","False")="False",'Proposed Lighting'!DD180="Submit Control as Non-Standard"),"Yes","No"))</f>
        <v>No</v>
      </c>
      <c r="D183" s="1403">
        <f>'Proposed Lighting'!CV180-Q183</f>
        <v>0</v>
      </c>
      <c r="E183" s="143">
        <f>'Proposed Lighting'!T180</f>
        <v>0</v>
      </c>
      <c r="F183" s="143">
        <f>'Proposed Lighting'!F180</f>
        <v>0</v>
      </c>
      <c r="G183" s="96" t="s">
        <v>242</v>
      </c>
      <c r="H183" s="142" t="str">
        <f>'Proposed Lighting'!CP180</f>
        <v/>
      </c>
      <c r="I183" s="98">
        <v>1</v>
      </c>
      <c r="J183" s="142">
        <f>'Proposed Lighting'!AA180</f>
        <v>0</v>
      </c>
      <c r="K183" s="142" t="str">
        <f>IF(ISNUMBER(SEARCH("-C",'Proposed Lighting'!M180)),'Proposed Lighting'!AH180*0.9,'Proposed Lighting'!AH180)</f>
        <v/>
      </c>
      <c r="L183" s="142">
        <f>IFERROR(IF(OR('Proposed Lighting'!BC180=22,'Proposed Lighting'!BC180=44),1-25%,IF(OR('Proposed Lighting'!BC180=23,'Proposed Lighting'!BC180=46),1-30%,IF(OR('Proposed Lighting'!BC180=29,'Proposed Lighting'!BC180=39,'Proposed Lighting'!BC180=49),1-35%,IF(OR('Proposed Lighting'!BC180=24,'Proposed Lighting'!BC180=48),1-50%,IF(AND(ISNUMBER(SEARCH("-C",'Proposed Lighting'!M180)),'Proposed Lighting'!AU180=2),90%,100%)))))*'Proposed Lighting'!AH180,0)</f>
        <v>0</v>
      </c>
      <c r="M183" s="87">
        <f t="shared" si="30"/>
        <v>0</v>
      </c>
      <c r="N183" s="87">
        <f>IFERROR(IF('Proposed Lighting'!AU180=1,0,'Proposed Lighting'!AO180),0)</f>
        <v>0</v>
      </c>
      <c r="O183" s="88">
        <f>IF('Proposed Lighting'!AU180=1,0,'Proposed Lighting'!AP180)</f>
        <v>0</v>
      </c>
      <c r="P183" s="87">
        <f t="shared" si="31"/>
        <v>0</v>
      </c>
      <c r="Q183" s="98">
        <f t="shared" si="40"/>
        <v>0</v>
      </c>
      <c r="R183" s="99">
        <f>IFERROR(IF('Proposed Lighting'!T180="Lighting controls only",0,ROUND(IF('Proposed Lighting'!AQ180&lt;'Proposed Lighting'!AR180,0,IF('Proposed Lighting'!AH180=0,0,IF('Proposed Lighting'!BV180&gt;0,'Proposed Lighting'!BV180,IF('Proposed Lighting'!CL180=0,MIN('Proposed Lighting'!CN180:CO180),IF('Proposed Lighting'!CX180&gt;0,'Proposed Lighting'!CX180*'Proposed Lighting'!AA180,0))))),2)),0)</f>
        <v>0</v>
      </c>
      <c r="S183" s="99">
        <f>IF('Proposed Lighting'!AJ180&gt;0,'Proposed Lighting'!AJ180*J183,'Proposed Lighting'!$AU$328*J183)</f>
        <v>0</v>
      </c>
      <c r="T183" s="602">
        <f t="shared" si="32"/>
        <v>0</v>
      </c>
      <c r="U183" s="100"/>
      <c r="V183" s="99">
        <f t="shared" si="33"/>
        <v>0</v>
      </c>
      <c r="W183" s="99">
        <f t="shared" si="34"/>
        <v>0</v>
      </c>
      <c r="X183" s="99">
        <f t="shared" si="35"/>
        <v>0</v>
      </c>
      <c r="Y183" s="99"/>
      <c r="Z183" s="99">
        <f t="shared" si="41"/>
        <v>0</v>
      </c>
      <c r="AA183" s="99"/>
      <c r="AB183" s="99">
        <f t="shared" si="36"/>
        <v>0</v>
      </c>
      <c r="AC183" s="101" t="str">
        <f t="shared" si="37"/>
        <v/>
      </c>
      <c r="AD183" s="101" t="str">
        <f t="shared" si="38"/>
        <v/>
      </c>
      <c r="AE183" s="101" t="str">
        <f t="shared" si="39"/>
        <v/>
      </c>
      <c r="AF183" s="72"/>
      <c r="AG183" s="98">
        <f>IFERROR(IF($AV183="No",0,IF($AV183="yes",Summary!Q183,"")),"")</f>
        <v>0</v>
      </c>
      <c r="AH183" s="99">
        <f>IFERROR(IF($AV183="No",0,IF($AV183="yes",Summary!R183,"")),"")</f>
        <v>0</v>
      </c>
      <c r="AI183" s="99">
        <f>IFERROR(IF($AV183="No",0,IF($AV183="yes",Summary!S183,"")),"")</f>
        <v>0</v>
      </c>
      <c r="AJ183" s="602">
        <f>IFERROR(IF($AV183="No",0,IF($AV183="yes",Summary!T183,"")),"")</f>
        <v>0</v>
      </c>
      <c r="AK183" s="100">
        <f>IFERROR(IF($AV183="No",0,IF($AV183="yes",Summary!U183,"")),"")</f>
        <v>0</v>
      </c>
      <c r="AL183" s="99">
        <f>IFERROR(IF($AV183="No",0,IF($AV183="yes",Summary!V183,"")),"")</f>
        <v>0</v>
      </c>
      <c r="AM183" s="99">
        <f>IFERROR(IF($AV183="No",0,IF($AV183="yes",Summary!W183,"")),"")</f>
        <v>0</v>
      </c>
      <c r="AN183" s="99">
        <f>IFERROR(IF($AV183="No",0,IF($AV183="yes",Summary!X183,"")),"")</f>
        <v>0</v>
      </c>
      <c r="AO183" s="99">
        <f>IFERROR(IF($AV183="No",0,IF($AV183="yes",Summary!Y183+Z183,"")),"")</f>
        <v>0</v>
      </c>
      <c r="AP183" s="99">
        <f>IFERROR(IF($AV183="No",0,IF($AV183="yes",Summary!AB183,"")),"")</f>
        <v>0</v>
      </c>
      <c r="AQ183" s="101" t="str">
        <f t="shared" si="42"/>
        <v/>
      </c>
      <c r="AR183" s="101" t="str">
        <f t="shared" si="43"/>
        <v/>
      </c>
      <c r="AS183" s="101" t="str">
        <f t="shared" si="44"/>
        <v/>
      </c>
      <c r="AT183" s="96" t="s">
        <v>597</v>
      </c>
      <c r="AV183" t="str">
        <f>IF('Proposed Lighting'!CN180&gt;0,"No","Yes")</f>
        <v>Yes</v>
      </c>
    </row>
    <row r="184" spans="1:48" ht="34.5" customHeight="1" outlineLevel="1">
      <c r="A184" s="96" t="s">
        <v>598</v>
      </c>
      <c r="B184" s="96" t="str">
        <f>IF(ISNUMBER(SEARCH("case",E184)),"COM_MISC_REFR_ALL_UNKN1991",IF('Proposed Lighting'!AU181=3,"Commercial-All Com-ExtLight",IF('Proposed Lighting'!AH181&gt;8759,"IPC_8760","Commercial-All Com-IntLight")))</f>
        <v>IPC_8760</v>
      </c>
      <c r="C184" s="96" t="str">
        <f>IF(OR('Proposed Lighting'!DD181="Standard Incentive",'Proposed Lighting'!DD181="Non-Standard Incentive"),"Yes",IF(AND(IF(ISNUMBER(SEARCH("controls",'Proposed Lighting'!T181)),"True","False")="False",'Proposed Lighting'!DD181="Submit Control as Non-Standard"),"Yes","No"))</f>
        <v>No</v>
      </c>
      <c r="D184" s="1403">
        <f>'Proposed Lighting'!CV181-Q184</f>
        <v>0</v>
      </c>
      <c r="E184" s="143">
        <f>'Proposed Lighting'!T181</f>
        <v>0</v>
      </c>
      <c r="F184" s="143">
        <f>'Proposed Lighting'!F181</f>
        <v>0</v>
      </c>
      <c r="G184" s="96" t="s">
        <v>242</v>
      </c>
      <c r="H184" s="142" t="str">
        <f>'Proposed Lighting'!CP181</f>
        <v/>
      </c>
      <c r="I184" s="98">
        <v>1</v>
      </c>
      <c r="J184" s="142">
        <f>'Proposed Lighting'!AA181</f>
        <v>0</v>
      </c>
      <c r="K184" s="142" t="str">
        <f>IF(ISNUMBER(SEARCH("-C",'Proposed Lighting'!M181)),'Proposed Lighting'!AH181*0.9,'Proposed Lighting'!AH181)</f>
        <v/>
      </c>
      <c r="L184" s="142">
        <f>IFERROR(IF(OR('Proposed Lighting'!BC181=22,'Proposed Lighting'!BC181=44),1-25%,IF(OR('Proposed Lighting'!BC181=23,'Proposed Lighting'!BC181=46),1-30%,IF(OR('Proposed Lighting'!BC181=29,'Proposed Lighting'!BC181=39,'Proposed Lighting'!BC181=49),1-35%,IF(OR('Proposed Lighting'!BC181=24,'Proposed Lighting'!BC181=48),1-50%,IF(AND(ISNUMBER(SEARCH("-C",'Proposed Lighting'!M181)),'Proposed Lighting'!AU181=2),90%,100%)))))*'Proposed Lighting'!AH181,0)</f>
        <v>0</v>
      </c>
      <c r="M184" s="87">
        <f t="shared" si="30"/>
        <v>0</v>
      </c>
      <c r="N184" s="87">
        <f>IFERROR(IF('Proposed Lighting'!AU181=1,0,'Proposed Lighting'!AO181),0)</f>
        <v>0</v>
      </c>
      <c r="O184" s="88">
        <f>IF('Proposed Lighting'!AU181=1,0,'Proposed Lighting'!AP181)</f>
        <v>0</v>
      </c>
      <c r="P184" s="87">
        <f t="shared" si="31"/>
        <v>0</v>
      </c>
      <c r="Q184" s="98">
        <f t="shared" si="40"/>
        <v>0</v>
      </c>
      <c r="R184" s="99">
        <f>IFERROR(IF('Proposed Lighting'!T181="Lighting controls only",0,ROUND(IF('Proposed Lighting'!AQ181&lt;'Proposed Lighting'!AR181,0,IF('Proposed Lighting'!AH181=0,0,IF('Proposed Lighting'!BV181&gt;0,'Proposed Lighting'!BV181,IF('Proposed Lighting'!CL181=0,MIN('Proposed Lighting'!CN181:CO181),IF('Proposed Lighting'!CX181&gt;0,'Proposed Lighting'!CX181*'Proposed Lighting'!AA181,0))))),2)),0)</f>
        <v>0</v>
      </c>
      <c r="S184" s="99">
        <f>IF('Proposed Lighting'!AJ181&gt;0,'Proposed Lighting'!AJ181*J184,'Proposed Lighting'!$AU$328*J184)</f>
        <v>0</v>
      </c>
      <c r="T184" s="602">
        <f t="shared" si="32"/>
        <v>0</v>
      </c>
      <c r="U184" s="100"/>
      <c r="V184" s="99">
        <f t="shared" si="33"/>
        <v>0</v>
      </c>
      <c r="W184" s="99">
        <f t="shared" si="34"/>
        <v>0</v>
      </c>
      <c r="X184" s="99">
        <f t="shared" si="35"/>
        <v>0</v>
      </c>
      <c r="Y184" s="99"/>
      <c r="Z184" s="99">
        <f t="shared" si="41"/>
        <v>0</v>
      </c>
      <c r="AA184" s="99"/>
      <c r="AB184" s="99">
        <f t="shared" si="36"/>
        <v>0</v>
      </c>
      <c r="AC184" s="101" t="str">
        <f t="shared" si="37"/>
        <v/>
      </c>
      <c r="AD184" s="101" t="str">
        <f t="shared" si="38"/>
        <v/>
      </c>
      <c r="AE184" s="101" t="str">
        <f t="shared" si="39"/>
        <v/>
      </c>
      <c r="AF184" s="72"/>
      <c r="AG184" s="98">
        <f>IFERROR(IF($AV184="No",0,IF($AV184="yes",Summary!Q184,"")),"")</f>
        <v>0</v>
      </c>
      <c r="AH184" s="99">
        <f>IFERROR(IF($AV184="No",0,IF($AV184="yes",Summary!R184,"")),"")</f>
        <v>0</v>
      </c>
      <c r="AI184" s="99">
        <f>IFERROR(IF($AV184="No",0,IF($AV184="yes",Summary!S184,"")),"")</f>
        <v>0</v>
      </c>
      <c r="AJ184" s="602">
        <f>IFERROR(IF($AV184="No",0,IF($AV184="yes",Summary!T184,"")),"")</f>
        <v>0</v>
      </c>
      <c r="AK184" s="100">
        <f>IFERROR(IF($AV184="No",0,IF($AV184="yes",Summary!U184,"")),"")</f>
        <v>0</v>
      </c>
      <c r="AL184" s="99">
        <f>IFERROR(IF($AV184="No",0,IF($AV184="yes",Summary!V184,"")),"")</f>
        <v>0</v>
      </c>
      <c r="AM184" s="99">
        <f>IFERROR(IF($AV184="No",0,IF($AV184="yes",Summary!W184,"")),"")</f>
        <v>0</v>
      </c>
      <c r="AN184" s="99">
        <f>IFERROR(IF($AV184="No",0,IF($AV184="yes",Summary!X184,"")),"")</f>
        <v>0</v>
      </c>
      <c r="AO184" s="99">
        <f>IFERROR(IF($AV184="No",0,IF($AV184="yes",Summary!Y184+Z184,"")),"")</f>
        <v>0</v>
      </c>
      <c r="AP184" s="99">
        <f>IFERROR(IF($AV184="No",0,IF($AV184="yes",Summary!AB184,"")),"")</f>
        <v>0</v>
      </c>
      <c r="AQ184" s="101" t="str">
        <f t="shared" si="42"/>
        <v/>
      </c>
      <c r="AR184" s="101" t="str">
        <f t="shared" si="43"/>
        <v/>
      </c>
      <c r="AS184" s="101" t="str">
        <f t="shared" si="44"/>
        <v/>
      </c>
      <c r="AT184" s="96" t="s">
        <v>598</v>
      </c>
      <c r="AV184" t="str">
        <f>IF('Proposed Lighting'!CN181&gt;0,"No","Yes")</f>
        <v>Yes</v>
      </c>
    </row>
    <row r="185" spans="1:48" ht="34.5" customHeight="1" outlineLevel="1">
      <c r="A185" s="96" t="s">
        <v>599</v>
      </c>
      <c r="B185" s="96" t="str">
        <f>IF(ISNUMBER(SEARCH("case",E185)),"COM_MISC_REFR_ALL_UNKN1991",IF('Proposed Lighting'!AU182=3,"Commercial-All Com-ExtLight",IF('Proposed Lighting'!AH182&gt;8759,"IPC_8760","Commercial-All Com-IntLight")))</f>
        <v>IPC_8760</v>
      </c>
      <c r="C185" s="96" t="str">
        <f>IF(OR('Proposed Lighting'!DD182="Standard Incentive",'Proposed Lighting'!DD182="Non-Standard Incentive"),"Yes",IF(AND(IF(ISNUMBER(SEARCH("controls",'Proposed Lighting'!T182)),"True","False")="False",'Proposed Lighting'!DD182="Submit Control as Non-Standard"),"Yes","No"))</f>
        <v>No</v>
      </c>
      <c r="D185" s="1403">
        <f>'Proposed Lighting'!CV182-Q185</f>
        <v>0</v>
      </c>
      <c r="E185" s="143">
        <f>'Proposed Lighting'!T182</f>
        <v>0</v>
      </c>
      <c r="F185" s="143">
        <f>'Proposed Lighting'!F182</f>
        <v>0</v>
      </c>
      <c r="G185" s="96" t="s">
        <v>242</v>
      </c>
      <c r="H185" s="142" t="str">
        <f>'Proposed Lighting'!CP182</f>
        <v/>
      </c>
      <c r="I185" s="98">
        <v>1</v>
      </c>
      <c r="J185" s="142">
        <f>'Proposed Lighting'!AA182</f>
        <v>0</v>
      </c>
      <c r="K185" s="142" t="str">
        <f>IF(ISNUMBER(SEARCH("-C",'Proposed Lighting'!M182)),'Proposed Lighting'!AH182*0.9,'Proposed Lighting'!AH182)</f>
        <v/>
      </c>
      <c r="L185" s="142">
        <f>IFERROR(IF(OR('Proposed Lighting'!BC182=22,'Proposed Lighting'!BC182=44),1-25%,IF(OR('Proposed Lighting'!BC182=23,'Proposed Lighting'!BC182=46),1-30%,IF(OR('Proposed Lighting'!BC182=29,'Proposed Lighting'!BC182=39,'Proposed Lighting'!BC182=49),1-35%,IF(OR('Proposed Lighting'!BC182=24,'Proposed Lighting'!BC182=48),1-50%,IF(AND(ISNUMBER(SEARCH("-C",'Proposed Lighting'!M182)),'Proposed Lighting'!AU182=2),90%,100%)))))*'Proposed Lighting'!AH182,0)</f>
        <v>0</v>
      </c>
      <c r="M185" s="87">
        <f t="shared" si="30"/>
        <v>0</v>
      </c>
      <c r="N185" s="87">
        <f>IFERROR(IF('Proposed Lighting'!AU182=1,0,'Proposed Lighting'!AO182),0)</f>
        <v>0</v>
      </c>
      <c r="O185" s="88">
        <f>IF('Proposed Lighting'!AU182=1,0,'Proposed Lighting'!AP182)</f>
        <v>0</v>
      </c>
      <c r="P185" s="87">
        <f t="shared" si="31"/>
        <v>0</v>
      </c>
      <c r="Q185" s="98">
        <f t="shared" si="40"/>
        <v>0</v>
      </c>
      <c r="R185" s="99">
        <f>IFERROR(IF('Proposed Lighting'!T182="Lighting controls only",0,ROUND(IF('Proposed Lighting'!AQ182&lt;'Proposed Lighting'!AR182,0,IF('Proposed Lighting'!AH182=0,0,IF('Proposed Lighting'!BV182&gt;0,'Proposed Lighting'!BV182,IF('Proposed Lighting'!CL182=0,MIN('Proposed Lighting'!CN182:CO182),IF('Proposed Lighting'!CX182&gt;0,'Proposed Lighting'!CX182*'Proposed Lighting'!AA182,0))))),2)),0)</f>
        <v>0</v>
      </c>
      <c r="S185" s="99">
        <f>IF('Proposed Lighting'!AJ182&gt;0,'Proposed Lighting'!AJ182*J185,'Proposed Lighting'!$AU$328*J185)</f>
        <v>0</v>
      </c>
      <c r="T185" s="602">
        <f t="shared" si="32"/>
        <v>0</v>
      </c>
      <c r="U185" s="100"/>
      <c r="V185" s="99">
        <f t="shared" si="33"/>
        <v>0</v>
      </c>
      <c r="W185" s="99">
        <f t="shared" si="34"/>
        <v>0</v>
      </c>
      <c r="X185" s="99">
        <f t="shared" si="35"/>
        <v>0</v>
      </c>
      <c r="Y185" s="99"/>
      <c r="Z185" s="99">
        <f t="shared" si="41"/>
        <v>0</v>
      </c>
      <c r="AA185" s="99"/>
      <c r="AB185" s="99">
        <f t="shared" si="36"/>
        <v>0</v>
      </c>
      <c r="AC185" s="101" t="str">
        <f t="shared" si="37"/>
        <v/>
      </c>
      <c r="AD185" s="101" t="str">
        <f t="shared" si="38"/>
        <v/>
      </c>
      <c r="AE185" s="101" t="str">
        <f t="shared" si="39"/>
        <v/>
      </c>
      <c r="AF185" s="72"/>
      <c r="AG185" s="98">
        <f>IFERROR(IF($AV185="No",0,IF($AV185="yes",Summary!Q185,"")),"")</f>
        <v>0</v>
      </c>
      <c r="AH185" s="99">
        <f>IFERROR(IF($AV185="No",0,IF($AV185="yes",Summary!R185,"")),"")</f>
        <v>0</v>
      </c>
      <c r="AI185" s="99">
        <f>IFERROR(IF($AV185="No",0,IF($AV185="yes",Summary!S185,"")),"")</f>
        <v>0</v>
      </c>
      <c r="AJ185" s="602">
        <f>IFERROR(IF($AV185="No",0,IF($AV185="yes",Summary!T185,"")),"")</f>
        <v>0</v>
      </c>
      <c r="AK185" s="100">
        <f>IFERROR(IF($AV185="No",0,IF($AV185="yes",Summary!U185,"")),"")</f>
        <v>0</v>
      </c>
      <c r="AL185" s="99">
        <f>IFERROR(IF($AV185="No",0,IF($AV185="yes",Summary!V185,"")),"")</f>
        <v>0</v>
      </c>
      <c r="AM185" s="99">
        <f>IFERROR(IF($AV185="No",0,IF($AV185="yes",Summary!W185,"")),"")</f>
        <v>0</v>
      </c>
      <c r="AN185" s="99">
        <f>IFERROR(IF($AV185="No",0,IF($AV185="yes",Summary!X185,"")),"")</f>
        <v>0</v>
      </c>
      <c r="AO185" s="99">
        <f>IFERROR(IF($AV185="No",0,IF($AV185="yes",Summary!Y185+Z185,"")),"")</f>
        <v>0</v>
      </c>
      <c r="AP185" s="99">
        <f>IFERROR(IF($AV185="No",0,IF($AV185="yes",Summary!AB185,"")),"")</f>
        <v>0</v>
      </c>
      <c r="AQ185" s="101" t="str">
        <f t="shared" si="42"/>
        <v/>
      </c>
      <c r="AR185" s="101" t="str">
        <f t="shared" si="43"/>
        <v/>
      </c>
      <c r="AS185" s="101" t="str">
        <f t="shared" si="44"/>
        <v/>
      </c>
      <c r="AT185" s="96" t="s">
        <v>599</v>
      </c>
      <c r="AV185" t="str">
        <f>IF('Proposed Lighting'!CN182&gt;0,"No","Yes")</f>
        <v>Yes</v>
      </c>
    </row>
    <row r="186" spans="1:48" ht="34.5" customHeight="1" outlineLevel="1">
      <c r="A186" s="96" t="s">
        <v>600</v>
      </c>
      <c r="B186" s="96" t="str">
        <f>IF(ISNUMBER(SEARCH("case",E186)),"COM_MISC_REFR_ALL_UNKN1991",IF('Proposed Lighting'!AU183=3,"Commercial-All Com-ExtLight",IF('Proposed Lighting'!AH183&gt;8759,"IPC_8760","Commercial-All Com-IntLight")))</f>
        <v>IPC_8760</v>
      </c>
      <c r="C186" s="96" t="str">
        <f>IF(OR('Proposed Lighting'!DD183="Standard Incentive",'Proposed Lighting'!DD183="Non-Standard Incentive"),"Yes",IF(AND(IF(ISNUMBER(SEARCH("controls",'Proposed Lighting'!T183)),"True","False")="False",'Proposed Lighting'!DD183="Submit Control as Non-Standard"),"Yes","No"))</f>
        <v>No</v>
      </c>
      <c r="D186" s="1403">
        <f>'Proposed Lighting'!CV183-Q186</f>
        <v>0</v>
      </c>
      <c r="E186" s="143">
        <f>'Proposed Lighting'!T183</f>
        <v>0</v>
      </c>
      <c r="F186" s="143">
        <f>'Proposed Lighting'!F183</f>
        <v>0</v>
      </c>
      <c r="G186" s="96" t="s">
        <v>242</v>
      </c>
      <c r="H186" s="142" t="str">
        <f>'Proposed Lighting'!CP183</f>
        <v/>
      </c>
      <c r="I186" s="98">
        <v>1</v>
      </c>
      <c r="J186" s="142">
        <f>'Proposed Lighting'!AA183</f>
        <v>0</v>
      </c>
      <c r="K186" s="142" t="str">
        <f>IF(ISNUMBER(SEARCH("-C",'Proposed Lighting'!M183)),'Proposed Lighting'!AH183*0.9,'Proposed Lighting'!AH183)</f>
        <v/>
      </c>
      <c r="L186" s="142">
        <f>IFERROR(IF(OR('Proposed Lighting'!BC183=22,'Proposed Lighting'!BC183=44),1-25%,IF(OR('Proposed Lighting'!BC183=23,'Proposed Lighting'!BC183=46),1-30%,IF(OR('Proposed Lighting'!BC183=29,'Proposed Lighting'!BC183=39,'Proposed Lighting'!BC183=49),1-35%,IF(OR('Proposed Lighting'!BC183=24,'Proposed Lighting'!BC183=48),1-50%,IF(AND(ISNUMBER(SEARCH("-C",'Proposed Lighting'!M183)),'Proposed Lighting'!AU183=2),90%,100%)))))*'Proposed Lighting'!AH183,0)</f>
        <v>0</v>
      </c>
      <c r="M186" s="87">
        <f t="shared" si="30"/>
        <v>0</v>
      </c>
      <c r="N186" s="87">
        <f>IFERROR(IF('Proposed Lighting'!AU183=1,0,'Proposed Lighting'!AO183),0)</f>
        <v>0</v>
      </c>
      <c r="O186" s="88">
        <f>IF('Proposed Lighting'!AU183=1,0,'Proposed Lighting'!AP183)</f>
        <v>0</v>
      </c>
      <c r="P186" s="87">
        <f t="shared" si="31"/>
        <v>0</v>
      </c>
      <c r="Q186" s="98">
        <f t="shared" si="40"/>
        <v>0</v>
      </c>
      <c r="R186" s="99">
        <f>IFERROR(IF('Proposed Lighting'!T183="Lighting controls only",0,ROUND(IF('Proposed Lighting'!AQ183&lt;'Proposed Lighting'!AR183,0,IF('Proposed Lighting'!AH183=0,0,IF('Proposed Lighting'!BV183&gt;0,'Proposed Lighting'!BV183,IF('Proposed Lighting'!CL183=0,MIN('Proposed Lighting'!CN183:CO183),IF('Proposed Lighting'!CX183&gt;0,'Proposed Lighting'!CX183*'Proposed Lighting'!AA183,0))))),2)),0)</f>
        <v>0</v>
      </c>
      <c r="S186" s="99">
        <f>IF('Proposed Lighting'!AJ183&gt;0,'Proposed Lighting'!AJ183*J186,'Proposed Lighting'!$AU$328*J186)</f>
        <v>0</v>
      </c>
      <c r="T186" s="602">
        <f t="shared" si="32"/>
        <v>0</v>
      </c>
      <c r="U186" s="100"/>
      <c r="V186" s="99">
        <f t="shared" si="33"/>
        <v>0</v>
      </c>
      <c r="W186" s="99">
        <f t="shared" si="34"/>
        <v>0</v>
      </c>
      <c r="X186" s="99">
        <f t="shared" si="35"/>
        <v>0</v>
      </c>
      <c r="Y186" s="99"/>
      <c r="Z186" s="99">
        <f t="shared" si="41"/>
        <v>0</v>
      </c>
      <c r="AA186" s="99"/>
      <c r="AB186" s="99">
        <f t="shared" si="36"/>
        <v>0</v>
      </c>
      <c r="AC186" s="101" t="str">
        <f t="shared" si="37"/>
        <v/>
      </c>
      <c r="AD186" s="101" t="str">
        <f t="shared" si="38"/>
        <v/>
      </c>
      <c r="AE186" s="101" t="str">
        <f t="shared" si="39"/>
        <v/>
      </c>
      <c r="AF186" s="72"/>
      <c r="AG186" s="98">
        <f>IFERROR(IF($AV186="No",0,IF($AV186="yes",Summary!Q186,"")),"")</f>
        <v>0</v>
      </c>
      <c r="AH186" s="99">
        <f>IFERROR(IF($AV186="No",0,IF($AV186="yes",Summary!R186,"")),"")</f>
        <v>0</v>
      </c>
      <c r="AI186" s="99">
        <f>IFERROR(IF($AV186="No",0,IF($AV186="yes",Summary!S186,"")),"")</f>
        <v>0</v>
      </c>
      <c r="AJ186" s="602">
        <f>IFERROR(IF($AV186="No",0,IF($AV186="yes",Summary!T186,"")),"")</f>
        <v>0</v>
      </c>
      <c r="AK186" s="100">
        <f>IFERROR(IF($AV186="No",0,IF($AV186="yes",Summary!U186,"")),"")</f>
        <v>0</v>
      </c>
      <c r="AL186" s="99">
        <f>IFERROR(IF($AV186="No",0,IF($AV186="yes",Summary!V186,"")),"")</f>
        <v>0</v>
      </c>
      <c r="AM186" s="99">
        <f>IFERROR(IF($AV186="No",0,IF($AV186="yes",Summary!W186,"")),"")</f>
        <v>0</v>
      </c>
      <c r="AN186" s="99">
        <f>IFERROR(IF($AV186="No",0,IF($AV186="yes",Summary!X186,"")),"")</f>
        <v>0</v>
      </c>
      <c r="AO186" s="99">
        <f>IFERROR(IF($AV186="No",0,IF($AV186="yes",Summary!Y186+Z186,"")),"")</f>
        <v>0</v>
      </c>
      <c r="AP186" s="99">
        <f>IFERROR(IF($AV186="No",0,IF($AV186="yes",Summary!AB186,"")),"")</f>
        <v>0</v>
      </c>
      <c r="AQ186" s="101" t="str">
        <f t="shared" si="42"/>
        <v/>
      </c>
      <c r="AR186" s="101" t="str">
        <f t="shared" si="43"/>
        <v/>
      </c>
      <c r="AS186" s="101" t="str">
        <f t="shared" si="44"/>
        <v/>
      </c>
      <c r="AT186" s="96" t="s">
        <v>600</v>
      </c>
      <c r="AV186" t="str">
        <f>IF('Proposed Lighting'!CN183&gt;0,"No","Yes")</f>
        <v>Yes</v>
      </c>
    </row>
    <row r="187" spans="1:48" ht="34.5" customHeight="1" outlineLevel="1">
      <c r="A187" s="96" t="s">
        <v>601</v>
      </c>
      <c r="B187" s="96" t="str">
        <f>IF(ISNUMBER(SEARCH("case",E187)),"COM_MISC_REFR_ALL_UNKN1991",IF('Proposed Lighting'!AU184=3,"Commercial-All Com-ExtLight",IF('Proposed Lighting'!AH184&gt;8759,"IPC_8760","Commercial-All Com-IntLight")))</f>
        <v>IPC_8760</v>
      </c>
      <c r="C187" s="96" t="str">
        <f>IF(OR('Proposed Lighting'!DD184="Standard Incentive",'Proposed Lighting'!DD184="Non-Standard Incentive"),"Yes",IF(AND(IF(ISNUMBER(SEARCH("controls",'Proposed Lighting'!T184)),"True","False")="False",'Proposed Lighting'!DD184="Submit Control as Non-Standard"),"Yes","No"))</f>
        <v>No</v>
      </c>
      <c r="D187" s="1403">
        <f>'Proposed Lighting'!CV184-Q187</f>
        <v>0</v>
      </c>
      <c r="E187" s="143">
        <f>'Proposed Lighting'!T184</f>
        <v>0</v>
      </c>
      <c r="F187" s="143">
        <f>'Proposed Lighting'!F184</f>
        <v>0</v>
      </c>
      <c r="G187" s="96" t="s">
        <v>242</v>
      </c>
      <c r="H187" s="142" t="str">
        <f>'Proposed Lighting'!CP184</f>
        <v/>
      </c>
      <c r="I187" s="98">
        <v>1</v>
      </c>
      <c r="J187" s="142">
        <f>'Proposed Lighting'!AA184</f>
        <v>0</v>
      </c>
      <c r="K187" s="142" t="str">
        <f>IF(ISNUMBER(SEARCH("-C",'Proposed Lighting'!M184)),'Proposed Lighting'!AH184*0.9,'Proposed Lighting'!AH184)</f>
        <v/>
      </c>
      <c r="L187" s="142">
        <f>IFERROR(IF(OR('Proposed Lighting'!BC184=22,'Proposed Lighting'!BC184=44),1-25%,IF(OR('Proposed Lighting'!BC184=23,'Proposed Lighting'!BC184=46),1-30%,IF(OR('Proposed Lighting'!BC184=29,'Proposed Lighting'!BC184=39,'Proposed Lighting'!BC184=49),1-35%,IF(OR('Proposed Lighting'!BC184=24,'Proposed Lighting'!BC184=48),1-50%,IF(AND(ISNUMBER(SEARCH("-C",'Proposed Lighting'!M184)),'Proposed Lighting'!AU184=2),90%,100%)))))*'Proposed Lighting'!AH184,0)</f>
        <v>0</v>
      </c>
      <c r="M187" s="87">
        <f t="shared" si="30"/>
        <v>0</v>
      </c>
      <c r="N187" s="87">
        <f>IFERROR(IF('Proposed Lighting'!AU184=1,0,'Proposed Lighting'!AO184),0)</f>
        <v>0</v>
      </c>
      <c r="O187" s="88">
        <f>IF('Proposed Lighting'!AU184=1,0,'Proposed Lighting'!AP184)</f>
        <v>0</v>
      </c>
      <c r="P187" s="87">
        <f t="shared" si="31"/>
        <v>0</v>
      </c>
      <c r="Q187" s="98">
        <f t="shared" si="40"/>
        <v>0</v>
      </c>
      <c r="R187" s="99">
        <f>IFERROR(IF('Proposed Lighting'!T184="Lighting controls only",0,ROUND(IF('Proposed Lighting'!AQ184&lt;'Proposed Lighting'!AR184,0,IF('Proposed Lighting'!AH184=0,0,IF('Proposed Lighting'!BV184&gt;0,'Proposed Lighting'!BV184,IF('Proposed Lighting'!CL184=0,MIN('Proposed Lighting'!CN184:CO184),IF('Proposed Lighting'!CX184&gt;0,'Proposed Lighting'!CX184*'Proposed Lighting'!AA184,0))))),2)),0)</f>
        <v>0</v>
      </c>
      <c r="S187" s="99">
        <f>IF('Proposed Lighting'!AJ184&gt;0,'Proposed Lighting'!AJ184*J187,'Proposed Lighting'!$AU$328*J187)</f>
        <v>0</v>
      </c>
      <c r="T187" s="602">
        <f t="shared" si="32"/>
        <v>0</v>
      </c>
      <c r="U187" s="100"/>
      <c r="V187" s="99">
        <f t="shared" si="33"/>
        <v>0</v>
      </c>
      <c r="W187" s="99">
        <f t="shared" si="34"/>
        <v>0</v>
      </c>
      <c r="X187" s="99">
        <f t="shared" si="35"/>
        <v>0</v>
      </c>
      <c r="Y187" s="99"/>
      <c r="Z187" s="99">
        <f t="shared" si="41"/>
        <v>0</v>
      </c>
      <c r="AA187" s="99"/>
      <c r="AB187" s="99">
        <f t="shared" si="36"/>
        <v>0</v>
      </c>
      <c r="AC187" s="101" t="str">
        <f t="shared" si="37"/>
        <v/>
      </c>
      <c r="AD187" s="101" t="str">
        <f t="shared" si="38"/>
        <v/>
      </c>
      <c r="AE187" s="101" t="str">
        <f t="shared" si="39"/>
        <v/>
      </c>
      <c r="AF187" s="72"/>
      <c r="AG187" s="98">
        <f>IFERROR(IF($AV187="No",0,IF($AV187="yes",Summary!Q187,"")),"")</f>
        <v>0</v>
      </c>
      <c r="AH187" s="99">
        <f>IFERROR(IF($AV187="No",0,IF($AV187="yes",Summary!R187,"")),"")</f>
        <v>0</v>
      </c>
      <c r="AI187" s="99">
        <f>IFERROR(IF($AV187="No",0,IF($AV187="yes",Summary!S187,"")),"")</f>
        <v>0</v>
      </c>
      <c r="AJ187" s="602">
        <f>IFERROR(IF($AV187="No",0,IF($AV187="yes",Summary!T187,"")),"")</f>
        <v>0</v>
      </c>
      <c r="AK187" s="100">
        <f>IFERROR(IF($AV187="No",0,IF($AV187="yes",Summary!U187,"")),"")</f>
        <v>0</v>
      </c>
      <c r="AL187" s="99">
        <f>IFERROR(IF($AV187="No",0,IF($AV187="yes",Summary!V187,"")),"")</f>
        <v>0</v>
      </c>
      <c r="AM187" s="99">
        <f>IFERROR(IF($AV187="No",0,IF($AV187="yes",Summary!W187,"")),"")</f>
        <v>0</v>
      </c>
      <c r="AN187" s="99">
        <f>IFERROR(IF($AV187="No",0,IF($AV187="yes",Summary!X187,"")),"")</f>
        <v>0</v>
      </c>
      <c r="AO187" s="99">
        <f>IFERROR(IF($AV187="No",0,IF($AV187="yes",Summary!Y187+Z187,"")),"")</f>
        <v>0</v>
      </c>
      <c r="AP187" s="99">
        <f>IFERROR(IF($AV187="No",0,IF($AV187="yes",Summary!AB187,"")),"")</f>
        <v>0</v>
      </c>
      <c r="AQ187" s="101" t="str">
        <f t="shared" si="42"/>
        <v/>
      </c>
      <c r="AR187" s="101" t="str">
        <f t="shared" si="43"/>
        <v/>
      </c>
      <c r="AS187" s="101" t="str">
        <f t="shared" si="44"/>
        <v/>
      </c>
      <c r="AT187" s="96" t="s">
        <v>601</v>
      </c>
      <c r="AV187" t="str">
        <f>IF('Proposed Lighting'!CN184&gt;0,"No","Yes")</f>
        <v>Yes</v>
      </c>
    </row>
    <row r="188" spans="1:48" ht="34.5" customHeight="1" outlineLevel="1">
      <c r="A188" s="96" t="s">
        <v>602</v>
      </c>
      <c r="B188" s="96" t="str">
        <f>IF(ISNUMBER(SEARCH("case",E188)),"COM_MISC_REFR_ALL_UNKN1991",IF('Proposed Lighting'!AU185=3,"Commercial-All Com-ExtLight",IF('Proposed Lighting'!AH185&gt;8759,"IPC_8760","Commercial-All Com-IntLight")))</f>
        <v>IPC_8760</v>
      </c>
      <c r="C188" s="96" t="str">
        <f>IF(OR('Proposed Lighting'!DD185="Standard Incentive",'Proposed Lighting'!DD185="Non-Standard Incentive"),"Yes",IF(AND(IF(ISNUMBER(SEARCH("controls",'Proposed Lighting'!T185)),"True","False")="False",'Proposed Lighting'!DD185="Submit Control as Non-Standard"),"Yes","No"))</f>
        <v>No</v>
      </c>
      <c r="D188" s="1403">
        <f>'Proposed Lighting'!CV185-Q188</f>
        <v>0</v>
      </c>
      <c r="E188" s="143">
        <f>'Proposed Lighting'!T185</f>
        <v>0</v>
      </c>
      <c r="F188" s="143">
        <f>'Proposed Lighting'!F185</f>
        <v>0</v>
      </c>
      <c r="G188" s="96" t="s">
        <v>242</v>
      </c>
      <c r="H188" s="142" t="str">
        <f>'Proposed Lighting'!CP185</f>
        <v/>
      </c>
      <c r="I188" s="98">
        <v>1</v>
      </c>
      <c r="J188" s="142">
        <f>'Proposed Lighting'!AA185</f>
        <v>0</v>
      </c>
      <c r="K188" s="142" t="str">
        <f>IF(ISNUMBER(SEARCH("-C",'Proposed Lighting'!M185)),'Proposed Lighting'!AH185*0.9,'Proposed Lighting'!AH185)</f>
        <v/>
      </c>
      <c r="L188" s="142">
        <f>IFERROR(IF(OR('Proposed Lighting'!BC185=22,'Proposed Lighting'!BC185=44),1-25%,IF(OR('Proposed Lighting'!BC185=23,'Proposed Lighting'!BC185=46),1-30%,IF(OR('Proposed Lighting'!BC185=29,'Proposed Lighting'!BC185=39,'Proposed Lighting'!BC185=49),1-35%,IF(OR('Proposed Lighting'!BC185=24,'Proposed Lighting'!BC185=48),1-50%,IF(AND(ISNUMBER(SEARCH("-C",'Proposed Lighting'!M185)),'Proposed Lighting'!AU185=2),90%,100%)))))*'Proposed Lighting'!AH185,0)</f>
        <v>0</v>
      </c>
      <c r="M188" s="87">
        <f t="shared" si="30"/>
        <v>0</v>
      </c>
      <c r="N188" s="87">
        <f>IFERROR(IF('Proposed Lighting'!AU185=1,0,'Proposed Lighting'!AO185),0)</f>
        <v>0</v>
      </c>
      <c r="O188" s="88">
        <f>IF('Proposed Lighting'!AU185=1,0,'Proposed Lighting'!AP185)</f>
        <v>0</v>
      </c>
      <c r="P188" s="87">
        <f t="shared" si="31"/>
        <v>0</v>
      </c>
      <c r="Q188" s="98">
        <f t="shared" si="40"/>
        <v>0</v>
      </c>
      <c r="R188" s="99">
        <f>IFERROR(IF('Proposed Lighting'!T185="Lighting controls only",0,ROUND(IF('Proposed Lighting'!AQ185&lt;'Proposed Lighting'!AR185,0,IF('Proposed Lighting'!AH185=0,0,IF('Proposed Lighting'!BV185&gt;0,'Proposed Lighting'!BV185,IF('Proposed Lighting'!CL185=0,MIN('Proposed Lighting'!CN185:CO185),IF('Proposed Lighting'!CX185&gt;0,'Proposed Lighting'!CX185*'Proposed Lighting'!AA185,0))))),2)),0)</f>
        <v>0</v>
      </c>
      <c r="S188" s="99">
        <f>IF('Proposed Lighting'!AJ185&gt;0,'Proposed Lighting'!AJ185*J188,'Proposed Lighting'!$AU$328*J188)</f>
        <v>0</v>
      </c>
      <c r="T188" s="602">
        <f t="shared" si="32"/>
        <v>0</v>
      </c>
      <c r="U188" s="100"/>
      <c r="V188" s="99">
        <f t="shared" si="33"/>
        <v>0</v>
      </c>
      <c r="W188" s="99">
        <f t="shared" si="34"/>
        <v>0</v>
      </c>
      <c r="X188" s="99">
        <f t="shared" si="35"/>
        <v>0</v>
      </c>
      <c r="Y188" s="99"/>
      <c r="Z188" s="99">
        <f t="shared" si="41"/>
        <v>0</v>
      </c>
      <c r="AA188" s="99"/>
      <c r="AB188" s="99">
        <f t="shared" si="36"/>
        <v>0</v>
      </c>
      <c r="AC188" s="101" t="str">
        <f t="shared" si="37"/>
        <v/>
      </c>
      <c r="AD188" s="101" t="str">
        <f t="shared" si="38"/>
        <v/>
      </c>
      <c r="AE188" s="101" t="str">
        <f t="shared" si="39"/>
        <v/>
      </c>
      <c r="AF188" s="72"/>
      <c r="AG188" s="98">
        <f>IFERROR(IF($AV188="No",0,IF($AV188="yes",Summary!Q188,"")),"")</f>
        <v>0</v>
      </c>
      <c r="AH188" s="99">
        <f>IFERROR(IF($AV188="No",0,IF($AV188="yes",Summary!R188,"")),"")</f>
        <v>0</v>
      </c>
      <c r="AI188" s="99">
        <f>IFERROR(IF($AV188="No",0,IF($AV188="yes",Summary!S188,"")),"")</f>
        <v>0</v>
      </c>
      <c r="AJ188" s="602">
        <f>IFERROR(IF($AV188="No",0,IF($AV188="yes",Summary!T188,"")),"")</f>
        <v>0</v>
      </c>
      <c r="AK188" s="100">
        <f>IFERROR(IF($AV188="No",0,IF($AV188="yes",Summary!U188,"")),"")</f>
        <v>0</v>
      </c>
      <c r="AL188" s="99">
        <f>IFERROR(IF($AV188="No",0,IF($AV188="yes",Summary!V188,"")),"")</f>
        <v>0</v>
      </c>
      <c r="AM188" s="99">
        <f>IFERROR(IF($AV188="No",0,IF($AV188="yes",Summary!W188,"")),"")</f>
        <v>0</v>
      </c>
      <c r="AN188" s="99">
        <f>IFERROR(IF($AV188="No",0,IF($AV188="yes",Summary!X188,"")),"")</f>
        <v>0</v>
      </c>
      <c r="AO188" s="99">
        <f>IFERROR(IF($AV188="No",0,IF($AV188="yes",Summary!Y188+Z188,"")),"")</f>
        <v>0</v>
      </c>
      <c r="AP188" s="99">
        <f>IFERROR(IF($AV188="No",0,IF($AV188="yes",Summary!AB188,"")),"")</f>
        <v>0</v>
      </c>
      <c r="AQ188" s="101" t="str">
        <f t="shared" si="42"/>
        <v/>
      </c>
      <c r="AR188" s="101" t="str">
        <f t="shared" si="43"/>
        <v/>
      </c>
      <c r="AS188" s="101" t="str">
        <f t="shared" si="44"/>
        <v/>
      </c>
      <c r="AT188" s="96" t="s">
        <v>602</v>
      </c>
      <c r="AV188" t="str">
        <f>IF('Proposed Lighting'!CN185&gt;0,"No","Yes")</f>
        <v>Yes</v>
      </c>
    </row>
    <row r="189" spans="1:48" ht="34.5" customHeight="1" outlineLevel="1">
      <c r="A189" s="96" t="s">
        <v>603</v>
      </c>
      <c r="B189" s="96" t="str">
        <f>IF(ISNUMBER(SEARCH("case",E189)),"COM_MISC_REFR_ALL_UNKN1991",IF('Proposed Lighting'!AU186=3,"Commercial-All Com-ExtLight",IF('Proposed Lighting'!AH186&gt;8759,"IPC_8760","Commercial-All Com-IntLight")))</f>
        <v>IPC_8760</v>
      </c>
      <c r="C189" s="96" t="str">
        <f>IF(OR('Proposed Lighting'!DD186="Standard Incentive",'Proposed Lighting'!DD186="Non-Standard Incentive"),"Yes",IF(AND(IF(ISNUMBER(SEARCH("controls",'Proposed Lighting'!T186)),"True","False")="False",'Proposed Lighting'!DD186="Submit Control as Non-Standard"),"Yes","No"))</f>
        <v>No</v>
      </c>
      <c r="D189" s="1403">
        <f>'Proposed Lighting'!CV186-Q189</f>
        <v>0</v>
      </c>
      <c r="E189" s="143">
        <f>'Proposed Lighting'!T186</f>
        <v>0</v>
      </c>
      <c r="F189" s="143">
        <f>'Proposed Lighting'!F186</f>
        <v>0</v>
      </c>
      <c r="G189" s="96" t="s">
        <v>242</v>
      </c>
      <c r="H189" s="142" t="str">
        <f>'Proposed Lighting'!CP186</f>
        <v/>
      </c>
      <c r="I189" s="98">
        <v>1</v>
      </c>
      <c r="J189" s="142">
        <f>'Proposed Lighting'!AA186</f>
        <v>0</v>
      </c>
      <c r="K189" s="142" t="str">
        <f>IF(ISNUMBER(SEARCH("-C",'Proposed Lighting'!M186)),'Proposed Lighting'!AH186*0.9,'Proposed Lighting'!AH186)</f>
        <v/>
      </c>
      <c r="L189" s="142">
        <f>IFERROR(IF(OR('Proposed Lighting'!BC186=22,'Proposed Lighting'!BC186=44),1-25%,IF(OR('Proposed Lighting'!BC186=23,'Proposed Lighting'!BC186=46),1-30%,IF(OR('Proposed Lighting'!BC186=29,'Proposed Lighting'!BC186=39,'Proposed Lighting'!BC186=49),1-35%,IF(OR('Proposed Lighting'!BC186=24,'Proposed Lighting'!BC186=48),1-50%,IF(AND(ISNUMBER(SEARCH("-C",'Proposed Lighting'!M186)),'Proposed Lighting'!AU186=2),90%,100%)))))*'Proposed Lighting'!AH186,0)</f>
        <v>0</v>
      </c>
      <c r="M189" s="87">
        <f t="shared" si="30"/>
        <v>0</v>
      </c>
      <c r="N189" s="87">
        <f>IFERROR(IF('Proposed Lighting'!AU186=1,0,'Proposed Lighting'!AO186),0)</f>
        <v>0</v>
      </c>
      <c r="O189" s="88">
        <f>IF('Proposed Lighting'!AU186=1,0,'Proposed Lighting'!AP186)</f>
        <v>0</v>
      </c>
      <c r="P189" s="87">
        <f t="shared" si="31"/>
        <v>0</v>
      </c>
      <c r="Q189" s="98">
        <f t="shared" si="40"/>
        <v>0</v>
      </c>
      <c r="R189" s="99">
        <f>IFERROR(IF('Proposed Lighting'!T186="Lighting controls only",0,ROUND(IF('Proposed Lighting'!AQ186&lt;'Proposed Lighting'!AR186,0,IF('Proposed Lighting'!AH186=0,0,IF('Proposed Lighting'!BV186&gt;0,'Proposed Lighting'!BV186,IF('Proposed Lighting'!CL186=0,MIN('Proposed Lighting'!CN186:CO186),IF('Proposed Lighting'!CX186&gt;0,'Proposed Lighting'!CX186*'Proposed Lighting'!AA186,0))))),2)),0)</f>
        <v>0</v>
      </c>
      <c r="S189" s="99">
        <f>IF('Proposed Lighting'!AJ186&gt;0,'Proposed Lighting'!AJ186*J189,'Proposed Lighting'!$AU$328*J189)</f>
        <v>0</v>
      </c>
      <c r="T189" s="602">
        <f t="shared" si="32"/>
        <v>0</v>
      </c>
      <c r="U189" s="100"/>
      <c r="V189" s="99">
        <f t="shared" si="33"/>
        <v>0</v>
      </c>
      <c r="W189" s="99">
        <f t="shared" si="34"/>
        <v>0</v>
      </c>
      <c r="X189" s="99">
        <f t="shared" si="35"/>
        <v>0</v>
      </c>
      <c r="Y189" s="99"/>
      <c r="Z189" s="99">
        <f t="shared" si="41"/>
        <v>0</v>
      </c>
      <c r="AA189" s="99"/>
      <c r="AB189" s="99">
        <f t="shared" si="36"/>
        <v>0</v>
      </c>
      <c r="AC189" s="101" t="str">
        <f t="shared" si="37"/>
        <v/>
      </c>
      <c r="AD189" s="101" t="str">
        <f t="shared" si="38"/>
        <v/>
      </c>
      <c r="AE189" s="101" t="str">
        <f t="shared" si="39"/>
        <v/>
      </c>
      <c r="AF189" s="72"/>
      <c r="AG189" s="98">
        <f>IFERROR(IF($AV189="No",0,IF($AV189="yes",Summary!Q189,"")),"")</f>
        <v>0</v>
      </c>
      <c r="AH189" s="99">
        <f>IFERROR(IF($AV189="No",0,IF($AV189="yes",Summary!R189,"")),"")</f>
        <v>0</v>
      </c>
      <c r="AI189" s="99">
        <f>IFERROR(IF($AV189="No",0,IF($AV189="yes",Summary!S189,"")),"")</f>
        <v>0</v>
      </c>
      <c r="AJ189" s="602">
        <f>IFERROR(IF($AV189="No",0,IF($AV189="yes",Summary!T189,"")),"")</f>
        <v>0</v>
      </c>
      <c r="AK189" s="100">
        <f>IFERROR(IF($AV189="No",0,IF($AV189="yes",Summary!U189,"")),"")</f>
        <v>0</v>
      </c>
      <c r="AL189" s="99">
        <f>IFERROR(IF($AV189="No",0,IF($AV189="yes",Summary!V189,"")),"")</f>
        <v>0</v>
      </c>
      <c r="AM189" s="99">
        <f>IFERROR(IF($AV189="No",0,IF($AV189="yes",Summary!W189,"")),"")</f>
        <v>0</v>
      </c>
      <c r="AN189" s="99">
        <f>IFERROR(IF($AV189="No",0,IF($AV189="yes",Summary!X189,"")),"")</f>
        <v>0</v>
      </c>
      <c r="AO189" s="99">
        <f>IFERROR(IF($AV189="No",0,IF($AV189="yes",Summary!Y189+Z189,"")),"")</f>
        <v>0</v>
      </c>
      <c r="AP189" s="99">
        <f>IFERROR(IF($AV189="No",0,IF($AV189="yes",Summary!AB189,"")),"")</f>
        <v>0</v>
      </c>
      <c r="AQ189" s="101" t="str">
        <f t="shared" si="42"/>
        <v/>
      </c>
      <c r="AR189" s="101" t="str">
        <f t="shared" si="43"/>
        <v/>
      </c>
      <c r="AS189" s="101" t="str">
        <f t="shared" si="44"/>
        <v/>
      </c>
      <c r="AT189" s="96" t="s">
        <v>603</v>
      </c>
      <c r="AV189" t="str">
        <f>IF('Proposed Lighting'!CN186&gt;0,"No","Yes")</f>
        <v>Yes</v>
      </c>
    </row>
    <row r="190" spans="1:48" ht="34.5" customHeight="1" outlineLevel="1">
      <c r="A190" s="96" t="s">
        <v>604</v>
      </c>
      <c r="B190" s="96" t="str">
        <f>IF(ISNUMBER(SEARCH("case",E190)),"COM_MISC_REFR_ALL_UNKN1991",IF('Proposed Lighting'!AU187=3,"Commercial-All Com-ExtLight",IF('Proposed Lighting'!AH187&gt;8759,"IPC_8760","Commercial-All Com-IntLight")))</f>
        <v>IPC_8760</v>
      </c>
      <c r="C190" s="96" t="str">
        <f>IF(OR('Proposed Lighting'!DD187="Standard Incentive",'Proposed Lighting'!DD187="Non-Standard Incentive"),"Yes",IF(AND(IF(ISNUMBER(SEARCH("controls",'Proposed Lighting'!T187)),"True","False")="False",'Proposed Lighting'!DD187="Submit Control as Non-Standard"),"Yes","No"))</f>
        <v>No</v>
      </c>
      <c r="D190" s="1403">
        <f>'Proposed Lighting'!CV187-Q190</f>
        <v>0</v>
      </c>
      <c r="E190" s="143">
        <f>'Proposed Lighting'!T187</f>
        <v>0</v>
      </c>
      <c r="F190" s="143">
        <f>'Proposed Lighting'!F187</f>
        <v>0</v>
      </c>
      <c r="G190" s="96" t="s">
        <v>242</v>
      </c>
      <c r="H190" s="142" t="str">
        <f>'Proposed Lighting'!CP187</f>
        <v/>
      </c>
      <c r="I190" s="98">
        <v>1</v>
      </c>
      <c r="J190" s="142">
        <f>'Proposed Lighting'!AA187</f>
        <v>0</v>
      </c>
      <c r="K190" s="142" t="str">
        <f>IF(ISNUMBER(SEARCH("-C",'Proposed Lighting'!M187)),'Proposed Lighting'!AH187*0.9,'Proposed Lighting'!AH187)</f>
        <v/>
      </c>
      <c r="L190" s="142">
        <f>IFERROR(IF(OR('Proposed Lighting'!BC187=22,'Proposed Lighting'!BC187=44),1-25%,IF(OR('Proposed Lighting'!BC187=23,'Proposed Lighting'!BC187=46),1-30%,IF(OR('Proposed Lighting'!BC187=29,'Proposed Lighting'!BC187=39,'Proposed Lighting'!BC187=49),1-35%,IF(OR('Proposed Lighting'!BC187=24,'Proposed Lighting'!BC187=48),1-50%,IF(AND(ISNUMBER(SEARCH("-C",'Proposed Lighting'!M187)),'Proposed Lighting'!AU187=2),90%,100%)))))*'Proposed Lighting'!AH187,0)</f>
        <v>0</v>
      </c>
      <c r="M190" s="87">
        <f t="shared" si="30"/>
        <v>0</v>
      </c>
      <c r="N190" s="87">
        <f>IFERROR(IF('Proposed Lighting'!AU187=1,0,'Proposed Lighting'!AO187),0)</f>
        <v>0</v>
      </c>
      <c r="O190" s="88">
        <f>IF('Proposed Lighting'!AU187=1,0,'Proposed Lighting'!AP187)</f>
        <v>0</v>
      </c>
      <c r="P190" s="87">
        <f t="shared" si="31"/>
        <v>0</v>
      </c>
      <c r="Q190" s="98">
        <f t="shared" si="40"/>
        <v>0</v>
      </c>
      <c r="R190" s="99">
        <f>IFERROR(IF('Proposed Lighting'!T187="Lighting controls only",0,ROUND(IF('Proposed Lighting'!AQ187&lt;'Proposed Lighting'!AR187,0,IF('Proposed Lighting'!AH187=0,0,IF('Proposed Lighting'!BV187&gt;0,'Proposed Lighting'!BV187,IF('Proposed Lighting'!CL187=0,MIN('Proposed Lighting'!CN187:CO187),IF('Proposed Lighting'!CX187&gt;0,'Proposed Lighting'!CX187*'Proposed Lighting'!AA187,0))))),2)),0)</f>
        <v>0</v>
      </c>
      <c r="S190" s="99">
        <f>IF('Proposed Lighting'!AJ187&gt;0,'Proposed Lighting'!AJ187*J190,'Proposed Lighting'!$AU$328*J190)</f>
        <v>0</v>
      </c>
      <c r="T190" s="602">
        <f t="shared" si="32"/>
        <v>0</v>
      </c>
      <c r="U190" s="100"/>
      <c r="V190" s="99">
        <f t="shared" si="33"/>
        <v>0</v>
      </c>
      <c r="W190" s="99">
        <f t="shared" si="34"/>
        <v>0</v>
      </c>
      <c r="X190" s="99">
        <f t="shared" si="35"/>
        <v>0</v>
      </c>
      <c r="Y190" s="99"/>
      <c r="Z190" s="99">
        <f t="shared" si="41"/>
        <v>0</v>
      </c>
      <c r="AA190" s="99"/>
      <c r="AB190" s="99">
        <f t="shared" si="36"/>
        <v>0</v>
      </c>
      <c r="AC190" s="101" t="str">
        <f t="shared" si="37"/>
        <v/>
      </c>
      <c r="AD190" s="101" t="str">
        <f t="shared" si="38"/>
        <v/>
      </c>
      <c r="AE190" s="101" t="str">
        <f t="shared" si="39"/>
        <v/>
      </c>
      <c r="AF190" s="72"/>
      <c r="AG190" s="98">
        <f>IFERROR(IF($AV190="No",0,IF($AV190="yes",Summary!Q190,"")),"")</f>
        <v>0</v>
      </c>
      <c r="AH190" s="99">
        <f>IFERROR(IF($AV190="No",0,IF($AV190="yes",Summary!R190,"")),"")</f>
        <v>0</v>
      </c>
      <c r="AI190" s="99">
        <f>IFERROR(IF($AV190="No",0,IF($AV190="yes",Summary!S190,"")),"")</f>
        <v>0</v>
      </c>
      <c r="AJ190" s="602">
        <f>IFERROR(IF($AV190="No",0,IF($AV190="yes",Summary!T190,"")),"")</f>
        <v>0</v>
      </c>
      <c r="AK190" s="100">
        <f>IFERROR(IF($AV190="No",0,IF($AV190="yes",Summary!U190,"")),"")</f>
        <v>0</v>
      </c>
      <c r="AL190" s="99">
        <f>IFERROR(IF($AV190="No",0,IF($AV190="yes",Summary!V190,"")),"")</f>
        <v>0</v>
      </c>
      <c r="AM190" s="99">
        <f>IFERROR(IF($AV190="No",0,IF($AV190="yes",Summary!W190,"")),"")</f>
        <v>0</v>
      </c>
      <c r="AN190" s="99">
        <f>IFERROR(IF($AV190="No",0,IF($AV190="yes",Summary!X190,"")),"")</f>
        <v>0</v>
      </c>
      <c r="AO190" s="99">
        <f>IFERROR(IF($AV190="No",0,IF($AV190="yes",Summary!Y190+Z190,"")),"")</f>
        <v>0</v>
      </c>
      <c r="AP190" s="99">
        <f>IFERROR(IF($AV190="No",0,IF($AV190="yes",Summary!AB190,"")),"")</f>
        <v>0</v>
      </c>
      <c r="AQ190" s="101" t="str">
        <f t="shared" si="42"/>
        <v/>
      </c>
      <c r="AR190" s="101" t="str">
        <f t="shared" si="43"/>
        <v/>
      </c>
      <c r="AS190" s="101" t="str">
        <f t="shared" si="44"/>
        <v/>
      </c>
      <c r="AT190" s="96" t="s">
        <v>604</v>
      </c>
      <c r="AV190" t="str">
        <f>IF('Proposed Lighting'!CN187&gt;0,"No","Yes")</f>
        <v>Yes</v>
      </c>
    </row>
    <row r="191" spans="1:48" ht="34.5" customHeight="1" outlineLevel="1">
      <c r="A191" s="96" t="s">
        <v>605</v>
      </c>
      <c r="B191" s="96" t="str">
        <f>IF(ISNUMBER(SEARCH("case",E191)),"COM_MISC_REFR_ALL_UNKN1991",IF('Proposed Lighting'!AU188=3,"Commercial-All Com-ExtLight",IF('Proposed Lighting'!AH188&gt;8759,"IPC_8760","Commercial-All Com-IntLight")))</f>
        <v>IPC_8760</v>
      </c>
      <c r="C191" s="96" t="str">
        <f>IF(OR('Proposed Lighting'!DD188="Standard Incentive",'Proposed Lighting'!DD188="Non-Standard Incentive"),"Yes",IF(AND(IF(ISNUMBER(SEARCH("controls",'Proposed Lighting'!T188)),"True","False")="False",'Proposed Lighting'!DD188="Submit Control as Non-Standard"),"Yes","No"))</f>
        <v>No</v>
      </c>
      <c r="D191" s="1403">
        <f>'Proposed Lighting'!CV188-Q191</f>
        <v>0</v>
      </c>
      <c r="E191" s="143">
        <f>'Proposed Lighting'!T188</f>
        <v>0</v>
      </c>
      <c r="F191" s="143">
        <f>'Proposed Lighting'!F188</f>
        <v>0</v>
      </c>
      <c r="G191" s="96" t="s">
        <v>242</v>
      </c>
      <c r="H191" s="142" t="str">
        <f>'Proposed Lighting'!CP188</f>
        <v/>
      </c>
      <c r="I191" s="98">
        <v>1</v>
      </c>
      <c r="J191" s="142">
        <f>'Proposed Lighting'!AA188</f>
        <v>0</v>
      </c>
      <c r="K191" s="142" t="str">
        <f>IF(ISNUMBER(SEARCH("-C",'Proposed Lighting'!M188)),'Proposed Lighting'!AH188*0.9,'Proposed Lighting'!AH188)</f>
        <v/>
      </c>
      <c r="L191" s="142">
        <f>IFERROR(IF(OR('Proposed Lighting'!BC188=22,'Proposed Lighting'!BC188=44),1-25%,IF(OR('Proposed Lighting'!BC188=23,'Proposed Lighting'!BC188=46),1-30%,IF(OR('Proposed Lighting'!BC188=29,'Proposed Lighting'!BC188=39,'Proposed Lighting'!BC188=49),1-35%,IF(OR('Proposed Lighting'!BC188=24,'Proposed Lighting'!BC188=48),1-50%,IF(AND(ISNUMBER(SEARCH("-C",'Proposed Lighting'!M188)),'Proposed Lighting'!AU188=2),90%,100%)))))*'Proposed Lighting'!AH188,0)</f>
        <v>0</v>
      </c>
      <c r="M191" s="87">
        <f t="shared" si="30"/>
        <v>0</v>
      </c>
      <c r="N191" s="87">
        <f>IFERROR(IF('Proposed Lighting'!AU188=1,0,'Proposed Lighting'!AO188),0)</f>
        <v>0</v>
      </c>
      <c r="O191" s="88">
        <f>IF('Proposed Lighting'!AU188=1,0,'Proposed Lighting'!AP188)</f>
        <v>0</v>
      </c>
      <c r="P191" s="87">
        <f t="shared" si="31"/>
        <v>0</v>
      </c>
      <c r="Q191" s="98">
        <f t="shared" si="40"/>
        <v>0</v>
      </c>
      <c r="R191" s="99">
        <f>IFERROR(IF('Proposed Lighting'!T188="Lighting controls only",0,ROUND(IF('Proposed Lighting'!AQ188&lt;'Proposed Lighting'!AR188,0,IF('Proposed Lighting'!AH188=0,0,IF('Proposed Lighting'!BV188&gt;0,'Proposed Lighting'!BV188,IF('Proposed Lighting'!CL188=0,MIN('Proposed Lighting'!CN188:CO188),IF('Proposed Lighting'!CX188&gt;0,'Proposed Lighting'!CX188*'Proposed Lighting'!AA188,0))))),2)),0)</f>
        <v>0</v>
      </c>
      <c r="S191" s="99">
        <f>IF('Proposed Lighting'!AJ188&gt;0,'Proposed Lighting'!AJ188*J191,'Proposed Lighting'!$AU$328*J191)</f>
        <v>0</v>
      </c>
      <c r="T191" s="602">
        <f t="shared" si="32"/>
        <v>0</v>
      </c>
      <c r="U191" s="100"/>
      <c r="V191" s="99">
        <f t="shared" si="33"/>
        <v>0</v>
      </c>
      <c r="W191" s="99">
        <f t="shared" si="34"/>
        <v>0</v>
      </c>
      <c r="X191" s="99">
        <f t="shared" si="35"/>
        <v>0</v>
      </c>
      <c r="Y191" s="99"/>
      <c r="Z191" s="99">
        <f t="shared" si="41"/>
        <v>0</v>
      </c>
      <c r="AA191" s="99"/>
      <c r="AB191" s="99">
        <f t="shared" si="36"/>
        <v>0</v>
      </c>
      <c r="AC191" s="101" t="str">
        <f t="shared" si="37"/>
        <v/>
      </c>
      <c r="AD191" s="101" t="str">
        <f t="shared" si="38"/>
        <v/>
      </c>
      <c r="AE191" s="101" t="str">
        <f t="shared" si="39"/>
        <v/>
      </c>
      <c r="AF191" s="72"/>
      <c r="AG191" s="98">
        <f>IFERROR(IF($AV191="No",0,IF($AV191="yes",Summary!Q191,"")),"")</f>
        <v>0</v>
      </c>
      <c r="AH191" s="99">
        <f>IFERROR(IF($AV191="No",0,IF($AV191="yes",Summary!R191,"")),"")</f>
        <v>0</v>
      </c>
      <c r="AI191" s="99">
        <f>IFERROR(IF($AV191="No",0,IF($AV191="yes",Summary!S191,"")),"")</f>
        <v>0</v>
      </c>
      <c r="AJ191" s="602">
        <f>IFERROR(IF($AV191="No",0,IF($AV191="yes",Summary!T191,"")),"")</f>
        <v>0</v>
      </c>
      <c r="AK191" s="100">
        <f>IFERROR(IF($AV191="No",0,IF($AV191="yes",Summary!U191,"")),"")</f>
        <v>0</v>
      </c>
      <c r="AL191" s="99">
        <f>IFERROR(IF($AV191="No",0,IF($AV191="yes",Summary!V191,"")),"")</f>
        <v>0</v>
      </c>
      <c r="AM191" s="99">
        <f>IFERROR(IF($AV191="No",0,IF($AV191="yes",Summary!W191,"")),"")</f>
        <v>0</v>
      </c>
      <c r="AN191" s="99">
        <f>IFERROR(IF($AV191="No",0,IF($AV191="yes",Summary!X191,"")),"")</f>
        <v>0</v>
      </c>
      <c r="AO191" s="99">
        <f>IFERROR(IF($AV191="No",0,IF($AV191="yes",Summary!Y191+Z191,"")),"")</f>
        <v>0</v>
      </c>
      <c r="AP191" s="99">
        <f>IFERROR(IF($AV191="No",0,IF($AV191="yes",Summary!AB191,"")),"")</f>
        <v>0</v>
      </c>
      <c r="AQ191" s="101" t="str">
        <f t="shared" si="42"/>
        <v/>
      </c>
      <c r="AR191" s="101" t="str">
        <f t="shared" si="43"/>
        <v/>
      </c>
      <c r="AS191" s="101" t="str">
        <f t="shared" si="44"/>
        <v/>
      </c>
      <c r="AT191" s="96" t="s">
        <v>605</v>
      </c>
      <c r="AV191" t="str">
        <f>IF('Proposed Lighting'!CN188&gt;0,"No","Yes")</f>
        <v>Yes</v>
      </c>
    </row>
    <row r="192" spans="1:48" ht="34.5" customHeight="1" outlineLevel="1">
      <c r="A192" s="96" t="s">
        <v>606</v>
      </c>
      <c r="B192" s="96" t="str">
        <f>IF(ISNUMBER(SEARCH("case",E192)),"COM_MISC_REFR_ALL_UNKN1991",IF('Proposed Lighting'!AU189=3,"Commercial-All Com-ExtLight",IF('Proposed Lighting'!AH189&gt;8759,"IPC_8760","Commercial-All Com-IntLight")))</f>
        <v>IPC_8760</v>
      </c>
      <c r="C192" s="96" t="str">
        <f>IF(OR('Proposed Lighting'!DD189="Standard Incentive",'Proposed Lighting'!DD189="Non-Standard Incentive"),"Yes",IF(AND(IF(ISNUMBER(SEARCH("controls",'Proposed Lighting'!T189)),"True","False")="False",'Proposed Lighting'!DD189="Submit Control as Non-Standard"),"Yes","No"))</f>
        <v>No</v>
      </c>
      <c r="D192" s="1403">
        <f>'Proposed Lighting'!CV189-Q192</f>
        <v>0</v>
      </c>
      <c r="E192" s="143">
        <f>'Proposed Lighting'!T189</f>
        <v>0</v>
      </c>
      <c r="F192" s="143">
        <f>'Proposed Lighting'!F189</f>
        <v>0</v>
      </c>
      <c r="G192" s="96" t="s">
        <v>242</v>
      </c>
      <c r="H192" s="142" t="str">
        <f>'Proposed Lighting'!CP189</f>
        <v/>
      </c>
      <c r="I192" s="98">
        <v>1</v>
      </c>
      <c r="J192" s="142">
        <f>'Proposed Lighting'!AA189</f>
        <v>0</v>
      </c>
      <c r="K192" s="142" t="str">
        <f>IF(ISNUMBER(SEARCH("-C",'Proposed Lighting'!M189)),'Proposed Lighting'!AH189*0.9,'Proposed Lighting'!AH189)</f>
        <v/>
      </c>
      <c r="L192" s="142">
        <f>IFERROR(IF(OR('Proposed Lighting'!BC189=22,'Proposed Lighting'!BC189=44),1-25%,IF(OR('Proposed Lighting'!BC189=23,'Proposed Lighting'!BC189=46),1-30%,IF(OR('Proposed Lighting'!BC189=29,'Proposed Lighting'!BC189=39,'Proposed Lighting'!BC189=49),1-35%,IF(OR('Proposed Lighting'!BC189=24,'Proposed Lighting'!BC189=48),1-50%,IF(AND(ISNUMBER(SEARCH("-C",'Proposed Lighting'!M189)),'Proposed Lighting'!AU189=2),90%,100%)))))*'Proposed Lighting'!AH189,0)</f>
        <v>0</v>
      </c>
      <c r="M192" s="87">
        <f t="shared" si="30"/>
        <v>0</v>
      </c>
      <c r="N192" s="87">
        <f>IFERROR(IF('Proposed Lighting'!AU189=1,0,'Proposed Lighting'!AO189),0)</f>
        <v>0</v>
      </c>
      <c r="O192" s="88">
        <f>IF('Proposed Lighting'!AU189=1,0,'Proposed Lighting'!AP189)</f>
        <v>0</v>
      </c>
      <c r="P192" s="87">
        <f t="shared" si="31"/>
        <v>0</v>
      </c>
      <c r="Q192" s="98">
        <f t="shared" si="40"/>
        <v>0</v>
      </c>
      <c r="R192" s="99">
        <f>IFERROR(IF('Proposed Lighting'!T189="Lighting controls only",0,ROUND(IF('Proposed Lighting'!AQ189&lt;'Proposed Lighting'!AR189,0,IF('Proposed Lighting'!AH189=0,0,IF('Proposed Lighting'!BV189&gt;0,'Proposed Lighting'!BV189,IF('Proposed Lighting'!CL189=0,MIN('Proposed Lighting'!CN189:CO189),IF('Proposed Lighting'!CX189&gt;0,'Proposed Lighting'!CX189*'Proposed Lighting'!AA189,0))))),2)),0)</f>
        <v>0</v>
      </c>
      <c r="S192" s="99">
        <f>IF('Proposed Lighting'!AJ189&gt;0,'Proposed Lighting'!AJ189*J192,'Proposed Lighting'!$AU$328*J192)</f>
        <v>0</v>
      </c>
      <c r="T192" s="602">
        <f t="shared" si="32"/>
        <v>0</v>
      </c>
      <c r="U192" s="100"/>
      <c r="V192" s="99">
        <f t="shared" si="33"/>
        <v>0</v>
      </c>
      <c r="W192" s="99">
        <f t="shared" si="34"/>
        <v>0</v>
      </c>
      <c r="X192" s="99">
        <f t="shared" si="35"/>
        <v>0</v>
      </c>
      <c r="Y192" s="99"/>
      <c r="Z192" s="99">
        <f t="shared" si="41"/>
        <v>0</v>
      </c>
      <c r="AA192" s="99"/>
      <c r="AB192" s="99">
        <f t="shared" si="36"/>
        <v>0</v>
      </c>
      <c r="AC192" s="101" t="str">
        <f t="shared" si="37"/>
        <v/>
      </c>
      <c r="AD192" s="101" t="str">
        <f t="shared" si="38"/>
        <v/>
      </c>
      <c r="AE192" s="101" t="str">
        <f t="shared" si="39"/>
        <v/>
      </c>
      <c r="AF192" s="72"/>
      <c r="AG192" s="98">
        <f>IFERROR(IF($AV192="No",0,IF($AV192="yes",Summary!Q192,"")),"")</f>
        <v>0</v>
      </c>
      <c r="AH192" s="99">
        <f>IFERROR(IF($AV192="No",0,IF($AV192="yes",Summary!R192,"")),"")</f>
        <v>0</v>
      </c>
      <c r="AI192" s="99">
        <f>IFERROR(IF($AV192="No",0,IF($AV192="yes",Summary!S192,"")),"")</f>
        <v>0</v>
      </c>
      <c r="AJ192" s="602">
        <f>IFERROR(IF($AV192="No",0,IF($AV192="yes",Summary!T192,"")),"")</f>
        <v>0</v>
      </c>
      <c r="AK192" s="100">
        <f>IFERROR(IF($AV192="No",0,IF($AV192="yes",Summary!U192,"")),"")</f>
        <v>0</v>
      </c>
      <c r="AL192" s="99">
        <f>IFERROR(IF($AV192="No",0,IF($AV192="yes",Summary!V192,"")),"")</f>
        <v>0</v>
      </c>
      <c r="AM192" s="99">
        <f>IFERROR(IF($AV192="No",0,IF($AV192="yes",Summary!W192,"")),"")</f>
        <v>0</v>
      </c>
      <c r="AN192" s="99">
        <f>IFERROR(IF($AV192="No",0,IF($AV192="yes",Summary!X192,"")),"")</f>
        <v>0</v>
      </c>
      <c r="AO192" s="99">
        <f>IFERROR(IF($AV192="No",0,IF($AV192="yes",Summary!Y192+Z192,"")),"")</f>
        <v>0</v>
      </c>
      <c r="AP192" s="99">
        <f>IFERROR(IF($AV192="No",0,IF($AV192="yes",Summary!AB192,"")),"")</f>
        <v>0</v>
      </c>
      <c r="AQ192" s="101" t="str">
        <f t="shared" si="42"/>
        <v/>
      </c>
      <c r="AR192" s="101" t="str">
        <f t="shared" si="43"/>
        <v/>
      </c>
      <c r="AS192" s="101" t="str">
        <f t="shared" si="44"/>
        <v/>
      </c>
      <c r="AT192" s="96" t="s">
        <v>606</v>
      </c>
      <c r="AV192" t="str">
        <f>IF('Proposed Lighting'!CN189&gt;0,"No","Yes")</f>
        <v>Yes</v>
      </c>
    </row>
    <row r="193" spans="1:48" ht="34.5" customHeight="1" outlineLevel="1">
      <c r="A193" s="96" t="s">
        <v>607</v>
      </c>
      <c r="B193" s="96" t="str">
        <f>IF(ISNUMBER(SEARCH("case",E193)),"COM_MISC_REFR_ALL_UNKN1991",IF('Proposed Lighting'!AU190=3,"Commercial-All Com-ExtLight",IF('Proposed Lighting'!AH190&gt;8759,"IPC_8760","Commercial-All Com-IntLight")))</f>
        <v>IPC_8760</v>
      </c>
      <c r="C193" s="96" t="str">
        <f>IF(OR('Proposed Lighting'!DD190="Standard Incentive",'Proposed Lighting'!DD190="Non-Standard Incentive"),"Yes",IF(AND(IF(ISNUMBER(SEARCH("controls",'Proposed Lighting'!T190)),"True","False")="False",'Proposed Lighting'!DD190="Submit Control as Non-Standard"),"Yes","No"))</f>
        <v>No</v>
      </c>
      <c r="D193" s="1403">
        <f>'Proposed Lighting'!CV190-Q193</f>
        <v>0</v>
      </c>
      <c r="E193" s="143">
        <f>'Proposed Lighting'!T190</f>
        <v>0</v>
      </c>
      <c r="F193" s="143">
        <f>'Proposed Lighting'!F190</f>
        <v>0</v>
      </c>
      <c r="G193" s="96" t="s">
        <v>242</v>
      </c>
      <c r="H193" s="142" t="str">
        <f>'Proposed Lighting'!CP190</f>
        <v/>
      </c>
      <c r="I193" s="98">
        <v>1</v>
      </c>
      <c r="J193" s="142">
        <f>'Proposed Lighting'!AA190</f>
        <v>0</v>
      </c>
      <c r="K193" s="142" t="str">
        <f>IF(ISNUMBER(SEARCH("-C",'Proposed Lighting'!M190)),'Proposed Lighting'!AH190*0.9,'Proposed Lighting'!AH190)</f>
        <v/>
      </c>
      <c r="L193" s="142">
        <f>IFERROR(IF(OR('Proposed Lighting'!BC190=22,'Proposed Lighting'!BC190=44),1-25%,IF(OR('Proposed Lighting'!BC190=23,'Proposed Lighting'!BC190=46),1-30%,IF(OR('Proposed Lighting'!BC190=29,'Proposed Lighting'!BC190=39,'Proposed Lighting'!BC190=49),1-35%,IF(OR('Proposed Lighting'!BC190=24,'Proposed Lighting'!BC190=48),1-50%,IF(AND(ISNUMBER(SEARCH("-C",'Proposed Lighting'!M190)),'Proposed Lighting'!AU190=2),90%,100%)))))*'Proposed Lighting'!AH190,0)</f>
        <v>0</v>
      </c>
      <c r="M193" s="87">
        <f t="shared" si="30"/>
        <v>0</v>
      </c>
      <c r="N193" s="87">
        <f>IFERROR(IF('Proposed Lighting'!AU190=1,0,'Proposed Lighting'!AO190),0)</f>
        <v>0</v>
      </c>
      <c r="O193" s="88">
        <f>IF('Proposed Lighting'!AU190=1,0,'Proposed Lighting'!AP190)</f>
        <v>0</v>
      </c>
      <c r="P193" s="87">
        <f t="shared" si="31"/>
        <v>0</v>
      </c>
      <c r="Q193" s="98">
        <f t="shared" si="40"/>
        <v>0</v>
      </c>
      <c r="R193" s="99">
        <f>IFERROR(IF('Proposed Lighting'!T190="Lighting controls only",0,ROUND(IF('Proposed Lighting'!AQ190&lt;'Proposed Lighting'!AR190,0,IF('Proposed Lighting'!AH190=0,0,IF('Proposed Lighting'!BV190&gt;0,'Proposed Lighting'!BV190,IF('Proposed Lighting'!CL190=0,MIN('Proposed Lighting'!CN190:CO190),IF('Proposed Lighting'!CX190&gt;0,'Proposed Lighting'!CX190*'Proposed Lighting'!AA190,0))))),2)),0)</f>
        <v>0</v>
      </c>
      <c r="S193" s="99">
        <f>IF('Proposed Lighting'!AJ190&gt;0,'Proposed Lighting'!AJ190*J193,'Proposed Lighting'!$AU$328*J193)</f>
        <v>0</v>
      </c>
      <c r="T193" s="602">
        <f t="shared" si="32"/>
        <v>0</v>
      </c>
      <c r="U193" s="100"/>
      <c r="V193" s="99">
        <f t="shared" si="33"/>
        <v>0</v>
      </c>
      <c r="W193" s="99">
        <f t="shared" si="34"/>
        <v>0</v>
      </c>
      <c r="X193" s="99">
        <f t="shared" si="35"/>
        <v>0</v>
      </c>
      <c r="Y193" s="99"/>
      <c r="Z193" s="99">
        <f t="shared" si="41"/>
        <v>0</v>
      </c>
      <c r="AA193" s="99"/>
      <c r="AB193" s="99">
        <f t="shared" si="36"/>
        <v>0</v>
      </c>
      <c r="AC193" s="101" t="str">
        <f t="shared" si="37"/>
        <v/>
      </c>
      <c r="AD193" s="101" t="str">
        <f t="shared" si="38"/>
        <v/>
      </c>
      <c r="AE193" s="101" t="str">
        <f t="shared" si="39"/>
        <v/>
      </c>
      <c r="AF193" s="72"/>
      <c r="AG193" s="98">
        <f>IFERROR(IF($AV193="No",0,IF($AV193="yes",Summary!Q193,"")),"")</f>
        <v>0</v>
      </c>
      <c r="AH193" s="99">
        <f>IFERROR(IF($AV193="No",0,IF($AV193="yes",Summary!R193,"")),"")</f>
        <v>0</v>
      </c>
      <c r="AI193" s="99">
        <f>IFERROR(IF($AV193="No",0,IF($AV193="yes",Summary!S193,"")),"")</f>
        <v>0</v>
      </c>
      <c r="AJ193" s="602">
        <f>IFERROR(IF($AV193="No",0,IF($AV193="yes",Summary!T193,"")),"")</f>
        <v>0</v>
      </c>
      <c r="AK193" s="100">
        <f>IFERROR(IF($AV193="No",0,IF($AV193="yes",Summary!U193,"")),"")</f>
        <v>0</v>
      </c>
      <c r="AL193" s="99">
        <f>IFERROR(IF($AV193="No",0,IF($AV193="yes",Summary!V193,"")),"")</f>
        <v>0</v>
      </c>
      <c r="AM193" s="99">
        <f>IFERROR(IF($AV193="No",0,IF($AV193="yes",Summary!W193,"")),"")</f>
        <v>0</v>
      </c>
      <c r="AN193" s="99">
        <f>IFERROR(IF($AV193="No",0,IF($AV193="yes",Summary!X193,"")),"")</f>
        <v>0</v>
      </c>
      <c r="AO193" s="99">
        <f>IFERROR(IF($AV193="No",0,IF($AV193="yes",Summary!Y193+Z193,"")),"")</f>
        <v>0</v>
      </c>
      <c r="AP193" s="99">
        <f>IFERROR(IF($AV193="No",0,IF($AV193="yes",Summary!AB193,"")),"")</f>
        <v>0</v>
      </c>
      <c r="AQ193" s="101" t="str">
        <f t="shared" si="42"/>
        <v/>
      </c>
      <c r="AR193" s="101" t="str">
        <f t="shared" si="43"/>
        <v/>
      </c>
      <c r="AS193" s="101" t="str">
        <f t="shared" si="44"/>
        <v/>
      </c>
      <c r="AT193" s="96" t="s">
        <v>607</v>
      </c>
      <c r="AV193" t="str">
        <f>IF('Proposed Lighting'!CN190&gt;0,"No","Yes")</f>
        <v>Yes</v>
      </c>
    </row>
    <row r="194" spans="1:48" ht="34.5" customHeight="1" outlineLevel="1">
      <c r="A194" s="96" t="s">
        <v>608</v>
      </c>
      <c r="B194" s="96" t="str">
        <f>IF(ISNUMBER(SEARCH("case",E194)),"COM_MISC_REFR_ALL_UNKN1991",IF('Proposed Lighting'!AU191=3,"Commercial-All Com-ExtLight",IF('Proposed Lighting'!AH191&gt;8759,"IPC_8760","Commercial-All Com-IntLight")))</f>
        <v>IPC_8760</v>
      </c>
      <c r="C194" s="96" t="str">
        <f>IF(OR('Proposed Lighting'!DD191="Standard Incentive",'Proposed Lighting'!DD191="Non-Standard Incentive"),"Yes",IF(AND(IF(ISNUMBER(SEARCH("controls",'Proposed Lighting'!T191)),"True","False")="False",'Proposed Lighting'!DD191="Submit Control as Non-Standard"),"Yes","No"))</f>
        <v>No</v>
      </c>
      <c r="D194" s="1403">
        <f>'Proposed Lighting'!CV191-Q194</f>
        <v>0</v>
      </c>
      <c r="E194" s="143">
        <f>'Proposed Lighting'!T191</f>
        <v>0</v>
      </c>
      <c r="F194" s="143">
        <f>'Proposed Lighting'!F191</f>
        <v>0</v>
      </c>
      <c r="G194" s="96" t="s">
        <v>242</v>
      </c>
      <c r="H194" s="142" t="str">
        <f>'Proposed Lighting'!CP191</f>
        <v/>
      </c>
      <c r="I194" s="98">
        <v>1</v>
      </c>
      <c r="J194" s="142">
        <f>'Proposed Lighting'!AA191</f>
        <v>0</v>
      </c>
      <c r="K194" s="142" t="str">
        <f>IF(ISNUMBER(SEARCH("-C",'Proposed Lighting'!M191)),'Proposed Lighting'!AH191*0.9,'Proposed Lighting'!AH191)</f>
        <v/>
      </c>
      <c r="L194" s="142">
        <f>IFERROR(IF(OR('Proposed Lighting'!BC191=22,'Proposed Lighting'!BC191=44),1-25%,IF(OR('Proposed Lighting'!BC191=23,'Proposed Lighting'!BC191=46),1-30%,IF(OR('Proposed Lighting'!BC191=29,'Proposed Lighting'!BC191=39,'Proposed Lighting'!BC191=49),1-35%,IF(OR('Proposed Lighting'!BC191=24,'Proposed Lighting'!BC191=48),1-50%,IF(AND(ISNUMBER(SEARCH("-C",'Proposed Lighting'!M191)),'Proposed Lighting'!AU191=2),90%,100%)))))*'Proposed Lighting'!AH191,0)</f>
        <v>0</v>
      </c>
      <c r="M194" s="87">
        <f t="shared" si="30"/>
        <v>0</v>
      </c>
      <c r="N194" s="87">
        <f>IFERROR(IF('Proposed Lighting'!AU191=1,0,'Proposed Lighting'!AO191),0)</f>
        <v>0</v>
      </c>
      <c r="O194" s="88">
        <f>IF('Proposed Lighting'!AU191=1,0,'Proposed Lighting'!AP191)</f>
        <v>0</v>
      </c>
      <c r="P194" s="87">
        <f t="shared" si="31"/>
        <v>0</v>
      </c>
      <c r="Q194" s="98">
        <f t="shared" si="40"/>
        <v>0</v>
      </c>
      <c r="R194" s="99">
        <f>IFERROR(IF('Proposed Lighting'!T191="Lighting controls only",0,ROUND(IF('Proposed Lighting'!AQ191&lt;'Proposed Lighting'!AR191,0,IF('Proposed Lighting'!AH191=0,0,IF('Proposed Lighting'!BV191&gt;0,'Proposed Lighting'!BV191,IF('Proposed Lighting'!CL191=0,MIN('Proposed Lighting'!CN191:CO191),IF('Proposed Lighting'!CX191&gt;0,'Proposed Lighting'!CX191*'Proposed Lighting'!AA191,0))))),2)),0)</f>
        <v>0</v>
      </c>
      <c r="S194" s="99">
        <f>IF('Proposed Lighting'!AJ191&gt;0,'Proposed Lighting'!AJ191*J194,'Proposed Lighting'!$AU$328*J194)</f>
        <v>0</v>
      </c>
      <c r="T194" s="602">
        <f t="shared" si="32"/>
        <v>0</v>
      </c>
      <c r="U194" s="100"/>
      <c r="V194" s="99">
        <f t="shared" si="33"/>
        <v>0</v>
      </c>
      <c r="W194" s="99">
        <f t="shared" si="34"/>
        <v>0</v>
      </c>
      <c r="X194" s="99">
        <f t="shared" si="35"/>
        <v>0</v>
      </c>
      <c r="Y194" s="99"/>
      <c r="Z194" s="99">
        <f t="shared" si="41"/>
        <v>0</v>
      </c>
      <c r="AA194" s="99"/>
      <c r="AB194" s="99">
        <f t="shared" si="36"/>
        <v>0</v>
      </c>
      <c r="AC194" s="101" t="str">
        <f t="shared" si="37"/>
        <v/>
      </c>
      <c r="AD194" s="101" t="str">
        <f t="shared" si="38"/>
        <v/>
      </c>
      <c r="AE194" s="101" t="str">
        <f t="shared" si="39"/>
        <v/>
      </c>
      <c r="AF194" s="72"/>
      <c r="AG194" s="98">
        <f>IFERROR(IF($AV194="No",0,IF($AV194="yes",Summary!Q194,"")),"")</f>
        <v>0</v>
      </c>
      <c r="AH194" s="99">
        <f>IFERROR(IF($AV194="No",0,IF($AV194="yes",Summary!R194,"")),"")</f>
        <v>0</v>
      </c>
      <c r="AI194" s="99">
        <f>IFERROR(IF($AV194="No",0,IF($AV194="yes",Summary!S194,"")),"")</f>
        <v>0</v>
      </c>
      <c r="AJ194" s="602">
        <f>IFERROR(IF($AV194="No",0,IF($AV194="yes",Summary!T194,"")),"")</f>
        <v>0</v>
      </c>
      <c r="AK194" s="100">
        <f>IFERROR(IF($AV194="No",0,IF($AV194="yes",Summary!U194,"")),"")</f>
        <v>0</v>
      </c>
      <c r="AL194" s="99">
        <f>IFERROR(IF($AV194="No",0,IF($AV194="yes",Summary!V194,"")),"")</f>
        <v>0</v>
      </c>
      <c r="AM194" s="99">
        <f>IFERROR(IF($AV194="No",0,IF($AV194="yes",Summary!W194,"")),"")</f>
        <v>0</v>
      </c>
      <c r="AN194" s="99">
        <f>IFERROR(IF($AV194="No",0,IF($AV194="yes",Summary!X194,"")),"")</f>
        <v>0</v>
      </c>
      <c r="AO194" s="99">
        <f>IFERROR(IF($AV194="No",0,IF($AV194="yes",Summary!Y194+Z194,"")),"")</f>
        <v>0</v>
      </c>
      <c r="AP194" s="99">
        <f>IFERROR(IF($AV194="No",0,IF($AV194="yes",Summary!AB194,"")),"")</f>
        <v>0</v>
      </c>
      <c r="AQ194" s="101" t="str">
        <f t="shared" si="42"/>
        <v/>
      </c>
      <c r="AR194" s="101" t="str">
        <f t="shared" si="43"/>
        <v/>
      </c>
      <c r="AS194" s="101" t="str">
        <f t="shared" si="44"/>
        <v/>
      </c>
      <c r="AT194" s="96" t="s">
        <v>608</v>
      </c>
      <c r="AV194" t="str">
        <f>IF('Proposed Lighting'!CN191&gt;0,"No","Yes")</f>
        <v>Yes</v>
      </c>
    </row>
    <row r="195" spans="1:48" ht="34.5" customHeight="1" outlineLevel="1">
      <c r="A195" s="96" t="s">
        <v>609</v>
      </c>
      <c r="B195" s="96" t="str">
        <f>IF(ISNUMBER(SEARCH("case",E195)),"COM_MISC_REFR_ALL_UNKN1991",IF('Proposed Lighting'!AU192=3,"Commercial-All Com-ExtLight",IF('Proposed Lighting'!AH192&gt;8759,"IPC_8760","Commercial-All Com-IntLight")))</f>
        <v>IPC_8760</v>
      </c>
      <c r="C195" s="96" t="str">
        <f>IF(OR('Proposed Lighting'!DD192="Standard Incentive",'Proposed Lighting'!DD192="Non-Standard Incentive"),"Yes",IF(AND(IF(ISNUMBER(SEARCH("controls",'Proposed Lighting'!T192)),"True","False")="False",'Proposed Lighting'!DD192="Submit Control as Non-Standard"),"Yes","No"))</f>
        <v>No</v>
      </c>
      <c r="D195" s="1403">
        <f>'Proposed Lighting'!CV192-Q195</f>
        <v>0</v>
      </c>
      <c r="E195" s="143">
        <f>'Proposed Lighting'!T192</f>
        <v>0</v>
      </c>
      <c r="F195" s="143">
        <f>'Proposed Lighting'!F192</f>
        <v>0</v>
      </c>
      <c r="G195" s="96" t="s">
        <v>242</v>
      </c>
      <c r="H195" s="142" t="str">
        <f>'Proposed Lighting'!CP192</f>
        <v/>
      </c>
      <c r="I195" s="98">
        <v>1</v>
      </c>
      <c r="J195" s="142">
        <f>'Proposed Lighting'!AA192</f>
        <v>0</v>
      </c>
      <c r="K195" s="142" t="str">
        <f>IF(ISNUMBER(SEARCH("-C",'Proposed Lighting'!M192)),'Proposed Lighting'!AH192*0.9,'Proposed Lighting'!AH192)</f>
        <v/>
      </c>
      <c r="L195" s="142">
        <f>IFERROR(IF(OR('Proposed Lighting'!BC192=22,'Proposed Lighting'!BC192=44),1-25%,IF(OR('Proposed Lighting'!BC192=23,'Proposed Lighting'!BC192=46),1-30%,IF(OR('Proposed Lighting'!BC192=29,'Proposed Lighting'!BC192=39,'Proposed Lighting'!BC192=49),1-35%,IF(OR('Proposed Lighting'!BC192=24,'Proposed Lighting'!BC192=48),1-50%,IF(AND(ISNUMBER(SEARCH("-C",'Proposed Lighting'!M192)),'Proposed Lighting'!AU192=2),90%,100%)))))*'Proposed Lighting'!AH192,0)</f>
        <v>0</v>
      </c>
      <c r="M195" s="87">
        <f t="shared" si="30"/>
        <v>0</v>
      </c>
      <c r="N195" s="87">
        <f>IFERROR(IF('Proposed Lighting'!AU192=1,0,'Proposed Lighting'!AO192),0)</f>
        <v>0</v>
      </c>
      <c r="O195" s="88">
        <f>IF('Proposed Lighting'!AU192=1,0,'Proposed Lighting'!AP192)</f>
        <v>0</v>
      </c>
      <c r="P195" s="87">
        <f t="shared" si="31"/>
        <v>0</v>
      </c>
      <c r="Q195" s="98">
        <f t="shared" si="40"/>
        <v>0</v>
      </c>
      <c r="R195" s="99">
        <f>IFERROR(IF('Proposed Lighting'!T192="Lighting controls only",0,ROUND(IF('Proposed Lighting'!AQ192&lt;'Proposed Lighting'!AR192,0,IF('Proposed Lighting'!AH192=0,0,IF('Proposed Lighting'!BV192&gt;0,'Proposed Lighting'!BV192,IF('Proposed Lighting'!CL192=0,MIN('Proposed Lighting'!CN192:CO192),IF('Proposed Lighting'!CX192&gt;0,'Proposed Lighting'!CX192*'Proposed Lighting'!AA192,0))))),2)),0)</f>
        <v>0</v>
      </c>
      <c r="S195" s="99">
        <f>IF('Proposed Lighting'!AJ192&gt;0,'Proposed Lighting'!AJ192*J195,'Proposed Lighting'!$AU$328*J195)</f>
        <v>0</v>
      </c>
      <c r="T195" s="602">
        <f t="shared" si="32"/>
        <v>0</v>
      </c>
      <c r="U195" s="100"/>
      <c r="V195" s="99">
        <f t="shared" si="33"/>
        <v>0</v>
      </c>
      <c r="W195" s="99">
        <f t="shared" si="34"/>
        <v>0</v>
      </c>
      <c r="X195" s="99">
        <f t="shared" si="35"/>
        <v>0</v>
      </c>
      <c r="Y195" s="99"/>
      <c r="Z195" s="99">
        <f t="shared" si="41"/>
        <v>0</v>
      </c>
      <c r="AA195" s="99"/>
      <c r="AB195" s="99">
        <f t="shared" si="36"/>
        <v>0</v>
      </c>
      <c r="AC195" s="101" t="str">
        <f t="shared" si="37"/>
        <v/>
      </c>
      <c r="AD195" s="101" t="str">
        <f t="shared" si="38"/>
        <v/>
      </c>
      <c r="AE195" s="101" t="str">
        <f t="shared" si="39"/>
        <v/>
      </c>
      <c r="AF195" s="72"/>
      <c r="AG195" s="98">
        <f>IFERROR(IF($AV195="No",0,IF($AV195="yes",Summary!Q195,"")),"")</f>
        <v>0</v>
      </c>
      <c r="AH195" s="99">
        <f>IFERROR(IF($AV195="No",0,IF($AV195="yes",Summary!R195,"")),"")</f>
        <v>0</v>
      </c>
      <c r="AI195" s="99">
        <f>IFERROR(IF($AV195="No",0,IF($AV195="yes",Summary!S195,"")),"")</f>
        <v>0</v>
      </c>
      <c r="AJ195" s="602">
        <f>IFERROR(IF($AV195="No",0,IF($AV195="yes",Summary!T195,"")),"")</f>
        <v>0</v>
      </c>
      <c r="AK195" s="100">
        <f>IFERROR(IF($AV195="No",0,IF($AV195="yes",Summary!U195,"")),"")</f>
        <v>0</v>
      </c>
      <c r="AL195" s="99">
        <f>IFERROR(IF($AV195="No",0,IF($AV195="yes",Summary!V195,"")),"")</f>
        <v>0</v>
      </c>
      <c r="AM195" s="99">
        <f>IFERROR(IF($AV195="No",0,IF($AV195="yes",Summary!W195,"")),"")</f>
        <v>0</v>
      </c>
      <c r="AN195" s="99">
        <f>IFERROR(IF($AV195="No",0,IF($AV195="yes",Summary!X195,"")),"")</f>
        <v>0</v>
      </c>
      <c r="AO195" s="99">
        <f>IFERROR(IF($AV195="No",0,IF($AV195="yes",Summary!Y195+Z195,"")),"")</f>
        <v>0</v>
      </c>
      <c r="AP195" s="99">
        <f>IFERROR(IF($AV195="No",0,IF($AV195="yes",Summary!AB195,"")),"")</f>
        <v>0</v>
      </c>
      <c r="AQ195" s="101" t="str">
        <f t="shared" si="42"/>
        <v/>
      </c>
      <c r="AR195" s="101" t="str">
        <f t="shared" si="43"/>
        <v/>
      </c>
      <c r="AS195" s="101" t="str">
        <f t="shared" si="44"/>
        <v/>
      </c>
      <c r="AT195" s="96" t="s">
        <v>609</v>
      </c>
      <c r="AV195" t="str">
        <f>IF('Proposed Lighting'!CN192&gt;0,"No","Yes")</f>
        <v>Yes</v>
      </c>
    </row>
    <row r="196" spans="1:48" ht="34.5" customHeight="1" outlineLevel="1">
      <c r="A196" s="96" t="s">
        <v>610</v>
      </c>
      <c r="B196" s="96" t="str">
        <f>IF(ISNUMBER(SEARCH("case",E196)),"COM_MISC_REFR_ALL_UNKN1991",IF('Proposed Lighting'!AU193=3,"Commercial-All Com-ExtLight",IF('Proposed Lighting'!AH193&gt;8759,"IPC_8760","Commercial-All Com-IntLight")))</f>
        <v>IPC_8760</v>
      </c>
      <c r="C196" s="96" t="str">
        <f>IF(OR('Proposed Lighting'!DD193="Standard Incentive",'Proposed Lighting'!DD193="Non-Standard Incentive"),"Yes",IF(AND(IF(ISNUMBER(SEARCH("controls",'Proposed Lighting'!T193)),"True","False")="False",'Proposed Lighting'!DD193="Submit Control as Non-Standard"),"Yes","No"))</f>
        <v>No</v>
      </c>
      <c r="D196" s="1403">
        <f>'Proposed Lighting'!CV193-Q196</f>
        <v>0</v>
      </c>
      <c r="E196" s="143">
        <f>'Proposed Lighting'!T193</f>
        <v>0</v>
      </c>
      <c r="F196" s="143">
        <f>'Proposed Lighting'!F193</f>
        <v>0</v>
      </c>
      <c r="G196" s="96" t="s">
        <v>242</v>
      </c>
      <c r="H196" s="142" t="str">
        <f>'Proposed Lighting'!CP193</f>
        <v/>
      </c>
      <c r="I196" s="98">
        <v>1</v>
      </c>
      <c r="J196" s="142">
        <f>'Proposed Lighting'!AA193</f>
        <v>0</v>
      </c>
      <c r="K196" s="142" t="str">
        <f>IF(ISNUMBER(SEARCH("-C",'Proposed Lighting'!M193)),'Proposed Lighting'!AH193*0.9,'Proposed Lighting'!AH193)</f>
        <v/>
      </c>
      <c r="L196" s="142">
        <f>IFERROR(IF(OR('Proposed Lighting'!BC193=22,'Proposed Lighting'!BC193=44),1-25%,IF(OR('Proposed Lighting'!BC193=23,'Proposed Lighting'!BC193=46),1-30%,IF(OR('Proposed Lighting'!BC193=29,'Proposed Lighting'!BC193=39,'Proposed Lighting'!BC193=49),1-35%,IF(OR('Proposed Lighting'!BC193=24,'Proposed Lighting'!BC193=48),1-50%,IF(AND(ISNUMBER(SEARCH("-C",'Proposed Lighting'!M193)),'Proposed Lighting'!AU193=2),90%,100%)))))*'Proposed Lighting'!AH193,0)</f>
        <v>0</v>
      </c>
      <c r="M196" s="87">
        <f t="shared" si="30"/>
        <v>0</v>
      </c>
      <c r="N196" s="87">
        <f>IFERROR(IF('Proposed Lighting'!AU193=1,0,'Proposed Lighting'!AO193),0)</f>
        <v>0</v>
      </c>
      <c r="O196" s="88">
        <f>IF('Proposed Lighting'!AU193=1,0,'Proposed Lighting'!AP193)</f>
        <v>0</v>
      </c>
      <c r="P196" s="87">
        <f t="shared" si="31"/>
        <v>0</v>
      </c>
      <c r="Q196" s="98">
        <f t="shared" si="40"/>
        <v>0</v>
      </c>
      <c r="R196" s="99">
        <f>IFERROR(IF('Proposed Lighting'!T193="Lighting controls only",0,ROUND(IF('Proposed Lighting'!AQ193&lt;'Proposed Lighting'!AR193,0,IF('Proposed Lighting'!AH193=0,0,IF('Proposed Lighting'!BV193&gt;0,'Proposed Lighting'!BV193,IF('Proposed Lighting'!CL193=0,MIN('Proposed Lighting'!CN193:CO193),IF('Proposed Lighting'!CX193&gt;0,'Proposed Lighting'!CX193*'Proposed Lighting'!AA193,0))))),2)),0)</f>
        <v>0</v>
      </c>
      <c r="S196" s="99">
        <f>IF('Proposed Lighting'!AJ193&gt;0,'Proposed Lighting'!AJ193*J196,'Proposed Lighting'!$AU$328*J196)</f>
        <v>0</v>
      </c>
      <c r="T196" s="602">
        <f t="shared" si="32"/>
        <v>0</v>
      </c>
      <c r="U196" s="100"/>
      <c r="V196" s="99">
        <f t="shared" si="33"/>
        <v>0</v>
      </c>
      <c r="W196" s="99">
        <f t="shared" si="34"/>
        <v>0</v>
      </c>
      <c r="X196" s="99">
        <f t="shared" si="35"/>
        <v>0</v>
      </c>
      <c r="Y196" s="99"/>
      <c r="Z196" s="99">
        <f t="shared" si="41"/>
        <v>0</v>
      </c>
      <c r="AA196" s="99"/>
      <c r="AB196" s="99">
        <f t="shared" si="36"/>
        <v>0</v>
      </c>
      <c r="AC196" s="101" t="str">
        <f t="shared" si="37"/>
        <v/>
      </c>
      <c r="AD196" s="101" t="str">
        <f t="shared" si="38"/>
        <v/>
      </c>
      <c r="AE196" s="101" t="str">
        <f t="shared" si="39"/>
        <v/>
      </c>
      <c r="AF196" s="72"/>
      <c r="AG196" s="98">
        <f>IFERROR(IF($AV196="No",0,IF($AV196="yes",Summary!Q196,"")),"")</f>
        <v>0</v>
      </c>
      <c r="AH196" s="99">
        <f>IFERROR(IF($AV196="No",0,IF($AV196="yes",Summary!R196,"")),"")</f>
        <v>0</v>
      </c>
      <c r="AI196" s="99">
        <f>IFERROR(IF($AV196="No",0,IF($AV196="yes",Summary!S196,"")),"")</f>
        <v>0</v>
      </c>
      <c r="AJ196" s="602">
        <f>IFERROR(IF($AV196="No",0,IF($AV196="yes",Summary!T196,"")),"")</f>
        <v>0</v>
      </c>
      <c r="AK196" s="100">
        <f>IFERROR(IF($AV196="No",0,IF($AV196="yes",Summary!U196,"")),"")</f>
        <v>0</v>
      </c>
      <c r="AL196" s="99">
        <f>IFERROR(IF($AV196="No",0,IF($AV196="yes",Summary!V196,"")),"")</f>
        <v>0</v>
      </c>
      <c r="AM196" s="99">
        <f>IFERROR(IF($AV196="No",0,IF($AV196="yes",Summary!W196,"")),"")</f>
        <v>0</v>
      </c>
      <c r="AN196" s="99">
        <f>IFERROR(IF($AV196="No",0,IF($AV196="yes",Summary!X196,"")),"")</f>
        <v>0</v>
      </c>
      <c r="AO196" s="99">
        <f>IFERROR(IF($AV196="No",0,IF($AV196="yes",Summary!Y196+Z196,"")),"")</f>
        <v>0</v>
      </c>
      <c r="AP196" s="99">
        <f>IFERROR(IF($AV196="No",0,IF($AV196="yes",Summary!AB196,"")),"")</f>
        <v>0</v>
      </c>
      <c r="AQ196" s="101" t="str">
        <f t="shared" si="42"/>
        <v/>
      </c>
      <c r="AR196" s="101" t="str">
        <f t="shared" si="43"/>
        <v/>
      </c>
      <c r="AS196" s="101" t="str">
        <f t="shared" si="44"/>
        <v/>
      </c>
      <c r="AT196" s="96" t="s">
        <v>610</v>
      </c>
      <c r="AV196" t="str">
        <f>IF('Proposed Lighting'!CN193&gt;0,"No","Yes")</f>
        <v>Yes</v>
      </c>
    </row>
    <row r="197" spans="1:48" ht="34.5" customHeight="1" outlineLevel="1">
      <c r="A197" s="96" t="s">
        <v>611</v>
      </c>
      <c r="B197" s="96" t="str">
        <f>IF(ISNUMBER(SEARCH("case",E197)),"COM_MISC_REFR_ALL_UNKN1991",IF('Proposed Lighting'!AU194=3,"Commercial-All Com-ExtLight",IF('Proposed Lighting'!AH194&gt;8759,"IPC_8760","Commercial-All Com-IntLight")))</f>
        <v>IPC_8760</v>
      </c>
      <c r="C197" s="96" t="str">
        <f>IF(OR('Proposed Lighting'!DD194="Standard Incentive",'Proposed Lighting'!DD194="Non-Standard Incentive"),"Yes",IF(AND(IF(ISNUMBER(SEARCH("controls",'Proposed Lighting'!T194)),"True","False")="False",'Proposed Lighting'!DD194="Submit Control as Non-Standard"),"Yes","No"))</f>
        <v>No</v>
      </c>
      <c r="D197" s="1403">
        <f>'Proposed Lighting'!CV194-Q197</f>
        <v>0</v>
      </c>
      <c r="E197" s="143">
        <f>'Proposed Lighting'!T194</f>
        <v>0</v>
      </c>
      <c r="F197" s="143">
        <f>'Proposed Lighting'!F194</f>
        <v>0</v>
      </c>
      <c r="G197" s="96" t="s">
        <v>242</v>
      </c>
      <c r="H197" s="142" t="str">
        <f>'Proposed Lighting'!CP194</f>
        <v/>
      </c>
      <c r="I197" s="98">
        <v>1</v>
      </c>
      <c r="J197" s="142">
        <f>'Proposed Lighting'!AA194</f>
        <v>0</v>
      </c>
      <c r="K197" s="142" t="str">
        <f>IF(ISNUMBER(SEARCH("-C",'Proposed Lighting'!M194)),'Proposed Lighting'!AH194*0.9,'Proposed Lighting'!AH194)</f>
        <v/>
      </c>
      <c r="L197" s="142">
        <f>IFERROR(IF(OR('Proposed Lighting'!BC194=22,'Proposed Lighting'!BC194=44),1-25%,IF(OR('Proposed Lighting'!BC194=23,'Proposed Lighting'!BC194=46),1-30%,IF(OR('Proposed Lighting'!BC194=29,'Proposed Lighting'!BC194=39,'Proposed Lighting'!BC194=49),1-35%,IF(OR('Proposed Lighting'!BC194=24,'Proposed Lighting'!BC194=48),1-50%,IF(AND(ISNUMBER(SEARCH("-C",'Proposed Lighting'!M194)),'Proposed Lighting'!AU194=2),90%,100%)))))*'Proposed Lighting'!AH194,0)</f>
        <v>0</v>
      </c>
      <c r="M197" s="87">
        <f t="shared" si="30"/>
        <v>0</v>
      </c>
      <c r="N197" s="87">
        <f>IFERROR(IF('Proposed Lighting'!AU194=1,0,'Proposed Lighting'!AO194),0)</f>
        <v>0</v>
      </c>
      <c r="O197" s="88">
        <f>IF('Proposed Lighting'!AU194=1,0,'Proposed Lighting'!AP194)</f>
        <v>0</v>
      </c>
      <c r="P197" s="87">
        <f t="shared" si="31"/>
        <v>0</v>
      </c>
      <c r="Q197" s="98">
        <f t="shared" si="40"/>
        <v>0</v>
      </c>
      <c r="R197" s="99">
        <f>IFERROR(IF('Proposed Lighting'!T194="Lighting controls only",0,ROUND(IF('Proposed Lighting'!AQ194&lt;'Proposed Lighting'!AR194,0,IF('Proposed Lighting'!AH194=0,0,IF('Proposed Lighting'!BV194&gt;0,'Proposed Lighting'!BV194,IF('Proposed Lighting'!CL194=0,MIN('Proposed Lighting'!CN194:CO194),IF('Proposed Lighting'!CX194&gt;0,'Proposed Lighting'!CX194*'Proposed Lighting'!AA194,0))))),2)),0)</f>
        <v>0</v>
      </c>
      <c r="S197" s="99">
        <f>IF('Proposed Lighting'!AJ194&gt;0,'Proposed Lighting'!AJ194*J197,'Proposed Lighting'!$AU$328*J197)</f>
        <v>0</v>
      </c>
      <c r="T197" s="602">
        <f t="shared" si="32"/>
        <v>0</v>
      </c>
      <c r="U197" s="100"/>
      <c r="V197" s="99">
        <f t="shared" si="33"/>
        <v>0</v>
      </c>
      <c r="W197" s="99">
        <f t="shared" si="34"/>
        <v>0</v>
      </c>
      <c r="X197" s="99">
        <f t="shared" si="35"/>
        <v>0</v>
      </c>
      <c r="Y197" s="99"/>
      <c r="Z197" s="99">
        <f t="shared" si="41"/>
        <v>0</v>
      </c>
      <c r="AA197" s="99"/>
      <c r="AB197" s="99">
        <f t="shared" si="36"/>
        <v>0</v>
      </c>
      <c r="AC197" s="101" t="str">
        <f t="shared" si="37"/>
        <v/>
      </c>
      <c r="AD197" s="101" t="str">
        <f t="shared" si="38"/>
        <v/>
      </c>
      <c r="AE197" s="101" t="str">
        <f t="shared" si="39"/>
        <v/>
      </c>
      <c r="AF197" s="72"/>
      <c r="AG197" s="98">
        <f>IFERROR(IF($AV197="No",0,IF($AV197="yes",Summary!Q197,"")),"")</f>
        <v>0</v>
      </c>
      <c r="AH197" s="99">
        <f>IFERROR(IF($AV197="No",0,IF($AV197="yes",Summary!R197,"")),"")</f>
        <v>0</v>
      </c>
      <c r="AI197" s="99">
        <f>IFERROR(IF($AV197="No",0,IF($AV197="yes",Summary!S197,"")),"")</f>
        <v>0</v>
      </c>
      <c r="AJ197" s="602">
        <f>IFERROR(IF($AV197="No",0,IF($AV197="yes",Summary!T197,"")),"")</f>
        <v>0</v>
      </c>
      <c r="AK197" s="100">
        <f>IFERROR(IF($AV197="No",0,IF($AV197="yes",Summary!U197,"")),"")</f>
        <v>0</v>
      </c>
      <c r="AL197" s="99">
        <f>IFERROR(IF($AV197="No",0,IF($AV197="yes",Summary!V197,"")),"")</f>
        <v>0</v>
      </c>
      <c r="AM197" s="99">
        <f>IFERROR(IF($AV197="No",0,IF($AV197="yes",Summary!W197,"")),"")</f>
        <v>0</v>
      </c>
      <c r="AN197" s="99">
        <f>IFERROR(IF($AV197="No",0,IF($AV197="yes",Summary!X197,"")),"")</f>
        <v>0</v>
      </c>
      <c r="AO197" s="99">
        <f>IFERROR(IF($AV197="No",0,IF($AV197="yes",Summary!Y197+Z197,"")),"")</f>
        <v>0</v>
      </c>
      <c r="AP197" s="99">
        <f>IFERROR(IF($AV197="No",0,IF($AV197="yes",Summary!AB197,"")),"")</f>
        <v>0</v>
      </c>
      <c r="AQ197" s="101" t="str">
        <f t="shared" si="42"/>
        <v/>
      </c>
      <c r="AR197" s="101" t="str">
        <f t="shared" si="43"/>
        <v/>
      </c>
      <c r="AS197" s="101" t="str">
        <f t="shared" si="44"/>
        <v/>
      </c>
      <c r="AT197" s="96" t="s">
        <v>611</v>
      </c>
      <c r="AV197" t="str">
        <f>IF('Proposed Lighting'!CN194&gt;0,"No","Yes")</f>
        <v>Yes</v>
      </c>
    </row>
    <row r="198" spans="1:48" ht="34.5" customHeight="1" outlineLevel="1">
      <c r="A198" s="96" t="s">
        <v>612</v>
      </c>
      <c r="B198" s="96" t="str">
        <f>IF(ISNUMBER(SEARCH("case",E198)),"COM_MISC_REFR_ALL_UNKN1991",IF('Proposed Lighting'!AU195=3,"Commercial-All Com-ExtLight",IF('Proposed Lighting'!AH195&gt;8759,"IPC_8760","Commercial-All Com-IntLight")))</f>
        <v>IPC_8760</v>
      </c>
      <c r="C198" s="96" t="str">
        <f>IF(OR('Proposed Lighting'!DD195="Standard Incentive",'Proposed Lighting'!DD195="Non-Standard Incentive"),"Yes",IF(AND(IF(ISNUMBER(SEARCH("controls",'Proposed Lighting'!T195)),"True","False")="False",'Proposed Lighting'!DD195="Submit Control as Non-Standard"),"Yes","No"))</f>
        <v>No</v>
      </c>
      <c r="D198" s="1403">
        <f>'Proposed Lighting'!CV195-Q198</f>
        <v>0</v>
      </c>
      <c r="E198" s="143">
        <f>'Proposed Lighting'!T195</f>
        <v>0</v>
      </c>
      <c r="F198" s="143">
        <f>'Proposed Lighting'!F195</f>
        <v>0</v>
      </c>
      <c r="G198" s="96" t="s">
        <v>242</v>
      </c>
      <c r="H198" s="142" t="str">
        <f>'Proposed Lighting'!CP195</f>
        <v/>
      </c>
      <c r="I198" s="98">
        <v>1</v>
      </c>
      <c r="J198" s="142">
        <f>'Proposed Lighting'!AA195</f>
        <v>0</v>
      </c>
      <c r="K198" s="142" t="str">
        <f>IF(ISNUMBER(SEARCH("-C",'Proposed Lighting'!M195)),'Proposed Lighting'!AH195*0.9,'Proposed Lighting'!AH195)</f>
        <v/>
      </c>
      <c r="L198" s="142">
        <f>IFERROR(IF(OR('Proposed Lighting'!BC195=22,'Proposed Lighting'!BC195=44),1-25%,IF(OR('Proposed Lighting'!BC195=23,'Proposed Lighting'!BC195=46),1-30%,IF(OR('Proposed Lighting'!BC195=29,'Proposed Lighting'!BC195=39,'Proposed Lighting'!BC195=49),1-35%,IF(OR('Proposed Lighting'!BC195=24,'Proposed Lighting'!BC195=48),1-50%,IF(AND(ISNUMBER(SEARCH("-C",'Proposed Lighting'!M195)),'Proposed Lighting'!AU195=2),90%,100%)))))*'Proposed Lighting'!AH195,0)</f>
        <v>0</v>
      </c>
      <c r="M198" s="87">
        <f t="shared" si="30"/>
        <v>0</v>
      </c>
      <c r="N198" s="87">
        <f>IFERROR(IF('Proposed Lighting'!AU195=1,0,'Proposed Lighting'!AO195),0)</f>
        <v>0</v>
      </c>
      <c r="O198" s="88">
        <f>IF('Proposed Lighting'!AU195=1,0,'Proposed Lighting'!AP195)</f>
        <v>0</v>
      </c>
      <c r="P198" s="87">
        <f t="shared" si="31"/>
        <v>0</v>
      </c>
      <c r="Q198" s="98">
        <f t="shared" si="40"/>
        <v>0</v>
      </c>
      <c r="R198" s="99">
        <f>IFERROR(IF('Proposed Lighting'!T195="Lighting controls only",0,ROUND(IF('Proposed Lighting'!AQ195&lt;'Proposed Lighting'!AR195,0,IF('Proposed Lighting'!AH195=0,0,IF('Proposed Lighting'!BV195&gt;0,'Proposed Lighting'!BV195,IF('Proposed Lighting'!CL195=0,MIN('Proposed Lighting'!CN195:CO195),IF('Proposed Lighting'!CX195&gt;0,'Proposed Lighting'!CX195*'Proposed Lighting'!AA195,0))))),2)),0)</f>
        <v>0</v>
      </c>
      <c r="S198" s="99">
        <f>IF('Proposed Lighting'!AJ195&gt;0,'Proposed Lighting'!AJ195*J198,'Proposed Lighting'!$AU$328*J198)</f>
        <v>0</v>
      </c>
      <c r="T198" s="602">
        <f t="shared" si="32"/>
        <v>0</v>
      </c>
      <c r="U198" s="100"/>
      <c r="V198" s="99">
        <f t="shared" si="33"/>
        <v>0</v>
      </c>
      <c r="W198" s="99">
        <f t="shared" si="34"/>
        <v>0</v>
      </c>
      <c r="X198" s="99">
        <f t="shared" si="35"/>
        <v>0</v>
      </c>
      <c r="Y198" s="99"/>
      <c r="Z198" s="99">
        <f t="shared" si="41"/>
        <v>0</v>
      </c>
      <c r="AA198" s="99"/>
      <c r="AB198" s="99">
        <f t="shared" si="36"/>
        <v>0</v>
      </c>
      <c r="AC198" s="101" t="str">
        <f t="shared" si="37"/>
        <v/>
      </c>
      <c r="AD198" s="101" t="str">
        <f t="shared" si="38"/>
        <v/>
      </c>
      <c r="AE198" s="101" t="str">
        <f t="shared" si="39"/>
        <v/>
      </c>
      <c r="AF198" s="72"/>
      <c r="AG198" s="98">
        <f>IFERROR(IF($AV198="No",0,IF($AV198="yes",Summary!Q198,"")),"")</f>
        <v>0</v>
      </c>
      <c r="AH198" s="99">
        <f>IFERROR(IF($AV198="No",0,IF($AV198="yes",Summary!R198,"")),"")</f>
        <v>0</v>
      </c>
      <c r="AI198" s="99">
        <f>IFERROR(IF($AV198="No",0,IF($AV198="yes",Summary!S198,"")),"")</f>
        <v>0</v>
      </c>
      <c r="AJ198" s="602">
        <f>IFERROR(IF($AV198="No",0,IF($AV198="yes",Summary!T198,"")),"")</f>
        <v>0</v>
      </c>
      <c r="AK198" s="100">
        <f>IFERROR(IF($AV198="No",0,IF($AV198="yes",Summary!U198,"")),"")</f>
        <v>0</v>
      </c>
      <c r="AL198" s="99">
        <f>IFERROR(IF($AV198="No",0,IF($AV198="yes",Summary!V198,"")),"")</f>
        <v>0</v>
      </c>
      <c r="AM198" s="99">
        <f>IFERROR(IF($AV198="No",0,IF($AV198="yes",Summary!W198,"")),"")</f>
        <v>0</v>
      </c>
      <c r="AN198" s="99">
        <f>IFERROR(IF($AV198="No",0,IF($AV198="yes",Summary!X198,"")),"")</f>
        <v>0</v>
      </c>
      <c r="AO198" s="99">
        <f>IFERROR(IF($AV198="No",0,IF($AV198="yes",Summary!Y198+Z198,"")),"")</f>
        <v>0</v>
      </c>
      <c r="AP198" s="99">
        <f>IFERROR(IF($AV198="No",0,IF($AV198="yes",Summary!AB198,"")),"")</f>
        <v>0</v>
      </c>
      <c r="AQ198" s="101" t="str">
        <f t="shared" si="42"/>
        <v/>
      </c>
      <c r="AR198" s="101" t="str">
        <f t="shared" si="43"/>
        <v/>
      </c>
      <c r="AS198" s="101" t="str">
        <f t="shared" si="44"/>
        <v/>
      </c>
      <c r="AT198" s="96" t="s">
        <v>612</v>
      </c>
      <c r="AV198" t="str">
        <f>IF('Proposed Lighting'!CN195&gt;0,"No","Yes")</f>
        <v>Yes</v>
      </c>
    </row>
    <row r="199" spans="1:48" ht="34.5" customHeight="1" outlineLevel="1">
      <c r="A199" s="96" t="s">
        <v>613</v>
      </c>
      <c r="B199" s="96" t="str">
        <f>IF(ISNUMBER(SEARCH("case",E199)),"COM_MISC_REFR_ALL_UNKN1991",IF('Proposed Lighting'!AU196=3,"Commercial-All Com-ExtLight",IF('Proposed Lighting'!AH196&gt;8759,"IPC_8760","Commercial-All Com-IntLight")))</f>
        <v>IPC_8760</v>
      </c>
      <c r="C199" s="96" t="str">
        <f>IF(OR('Proposed Lighting'!DD196="Standard Incentive",'Proposed Lighting'!DD196="Non-Standard Incentive"),"Yes",IF(AND(IF(ISNUMBER(SEARCH("controls",'Proposed Lighting'!T196)),"True","False")="False",'Proposed Lighting'!DD196="Submit Control as Non-Standard"),"Yes","No"))</f>
        <v>No</v>
      </c>
      <c r="D199" s="1403">
        <f>'Proposed Lighting'!CV196-Q199</f>
        <v>0</v>
      </c>
      <c r="E199" s="143">
        <f>'Proposed Lighting'!T196</f>
        <v>0</v>
      </c>
      <c r="F199" s="143">
        <f>'Proposed Lighting'!F196</f>
        <v>0</v>
      </c>
      <c r="G199" s="96" t="s">
        <v>242</v>
      </c>
      <c r="H199" s="142" t="str">
        <f>'Proposed Lighting'!CP196</f>
        <v/>
      </c>
      <c r="I199" s="98">
        <v>1</v>
      </c>
      <c r="J199" s="142">
        <f>'Proposed Lighting'!AA196</f>
        <v>0</v>
      </c>
      <c r="K199" s="142" t="str">
        <f>IF(ISNUMBER(SEARCH("-C",'Proposed Lighting'!M196)),'Proposed Lighting'!AH196*0.9,'Proposed Lighting'!AH196)</f>
        <v/>
      </c>
      <c r="L199" s="142">
        <f>IFERROR(IF(OR('Proposed Lighting'!BC196=22,'Proposed Lighting'!BC196=44),1-25%,IF(OR('Proposed Lighting'!BC196=23,'Proposed Lighting'!BC196=46),1-30%,IF(OR('Proposed Lighting'!BC196=29,'Proposed Lighting'!BC196=39,'Proposed Lighting'!BC196=49),1-35%,IF(OR('Proposed Lighting'!BC196=24,'Proposed Lighting'!BC196=48),1-50%,IF(AND(ISNUMBER(SEARCH("-C",'Proposed Lighting'!M196)),'Proposed Lighting'!AU196=2),90%,100%)))))*'Proposed Lighting'!AH196,0)</f>
        <v>0</v>
      </c>
      <c r="M199" s="87">
        <f t="shared" si="30"/>
        <v>0</v>
      </c>
      <c r="N199" s="87">
        <f>IFERROR(IF('Proposed Lighting'!AU196=1,0,'Proposed Lighting'!AO196),0)</f>
        <v>0</v>
      </c>
      <c r="O199" s="88">
        <f>IF('Proposed Lighting'!AU196=1,0,'Proposed Lighting'!AP196)</f>
        <v>0</v>
      </c>
      <c r="P199" s="87">
        <f t="shared" si="31"/>
        <v>0</v>
      </c>
      <c r="Q199" s="98">
        <f t="shared" si="40"/>
        <v>0</v>
      </c>
      <c r="R199" s="99">
        <f>IFERROR(IF('Proposed Lighting'!T196="Lighting controls only",0,ROUND(IF('Proposed Lighting'!AQ196&lt;'Proposed Lighting'!AR196,0,IF('Proposed Lighting'!AH196=0,0,IF('Proposed Lighting'!BV196&gt;0,'Proposed Lighting'!BV196,IF('Proposed Lighting'!CL196=0,MIN('Proposed Lighting'!CN196:CO196),IF('Proposed Lighting'!CX196&gt;0,'Proposed Lighting'!CX196*'Proposed Lighting'!AA196,0))))),2)),0)</f>
        <v>0</v>
      </c>
      <c r="S199" s="99">
        <f>IF('Proposed Lighting'!AJ196&gt;0,'Proposed Lighting'!AJ196*J199,'Proposed Lighting'!$AU$328*J199)</f>
        <v>0</v>
      </c>
      <c r="T199" s="602">
        <f t="shared" si="32"/>
        <v>0</v>
      </c>
      <c r="U199" s="100"/>
      <c r="V199" s="99">
        <f t="shared" si="33"/>
        <v>0</v>
      </c>
      <c r="W199" s="99">
        <f t="shared" si="34"/>
        <v>0</v>
      </c>
      <c r="X199" s="99">
        <f t="shared" si="35"/>
        <v>0</v>
      </c>
      <c r="Y199" s="99"/>
      <c r="Z199" s="99">
        <f t="shared" si="41"/>
        <v>0</v>
      </c>
      <c r="AA199" s="99"/>
      <c r="AB199" s="99">
        <f t="shared" si="36"/>
        <v>0</v>
      </c>
      <c r="AC199" s="101" t="str">
        <f t="shared" si="37"/>
        <v/>
      </c>
      <c r="AD199" s="101" t="str">
        <f t="shared" si="38"/>
        <v/>
      </c>
      <c r="AE199" s="101" t="str">
        <f t="shared" si="39"/>
        <v/>
      </c>
      <c r="AF199" s="72"/>
      <c r="AG199" s="98">
        <f>IFERROR(IF($AV199="No",0,IF($AV199="yes",Summary!Q199,"")),"")</f>
        <v>0</v>
      </c>
      <c r="AH199" s="99">
        <f>IFERROR(IF($AV199="No",0,IF($AV199="yes",Summary!R199,"")),"")</f>
        <v>0</v>
      </c>
      <c r="AI199" s="99">
        <f>IFERROR(IF($AV199="No",0,IF($AV199="yes",Summary!S199,"")),"")</f>
        <v>0</v>
      </c>
      <c r="AJ199" s="602">
        <f>IFERROR(IF($AV199="No",0,IF($AV199="yes",Summary!T199,"")),"")</f>
        <v>0</v>
      </c>
      <c r="AK199" s="100">
        <f>IFERROR(IF($AV199="No",0,IF($AV199="yes",Summary!U199,"")),"")</f>
        <v>0</v>
      </c>
      <c r="AL199" s="99">
        <f>IFERROR(IF($AV199="No",0,IF($AV199="yes",Summary!V199,"")),"")</f>
        <v>0</v>
      </c>
      <c r="AM199" s="99">
        <f>IFERROR(IF($AV199="No",0,IF($AV199="yes",Summary!W199,"")),"")</f>
        <v>0</v>
      </c>
      <c r="AN199" s="99">
        <f>IFERROR(IF($AV199="No",0,IF($AV199="yes",Summary!X199,"")),"")</f>
        <v>0</v>
      </c>
      <c r="AO199" s="99">
        <f>IFERROR(IF($AV199="No",0,IF($AV199="yes",Summary!Y199+Z199,"")),"")</f>
        <v>0</v>
      </c>
      <c r="AP199" s="99">
        <f>IFERROR(IF($AV199="No",0,IF($AV199="yes",Summary!AB199,"")),"")</f>
        <v>0</v>
      </c>
      <c r="AQ199" s="101" t="str">
        <f t="shared" si="42"/>
        <v/>
      </c>
      <c r="AR199" s="101" t="str">
        <f t="shared" si="43"/>
        <v/>
      </c>
      <c r="AS199" s="101" t="str">
        <f t="shared" si="44"/>
        <v/>
      </c>
      <c r="AT199" s="96" t="s">
        <v>613</v>
      </c>
      <c r="AV199" t="str">
        <f>IF('Proposed Lighting'!CN196&gt;0,"No","Yes")</f>
        <v>Yes</v>
      </c>
    </row>
    <row r="200" spans="1:48" ht="34.5" customHeight="1" outlineLevel="1">
      <c r="A200" s="96" t="s">
        <v>614</v>
      </c>
      <c r="B200" s="96" t="str">
        <f>IF(ISNUMBER(SEARCH("case",E200)),"COM_MISC_REFR_ALL_UNKN1991",IF('Proposed Lighting'!AU197=3,"Commercial-All Com-ExtLight",IF('Proposed Lighting'!AH197&gt;8759,"IPC_8760","Commercial-All Com-IntLight")))</f>
        <v>IPC_8760</v>
      </c>
      <c r="C200" s="96" t="str">
        <f>IF(OR('Proposed Lighting'!DD197="Standard Incentive",'Proposed Lighting'!DD197="Non-Standard Incentive"),"Yes",IF(AND(IF(ISNUMBER(SEARCH("controls",'Proposed Lighting'!T197)),"True","False")="False",'Proposed Lighting'!DD197="Submit Control as Non-Standard"),"Yes","No"))</f>
        <v>No</v>
      </c>
      <c r="D200" s="1403">
        <f>'Proposed Lighting'!CV197-Q200</f>
        <v>0</v>
      </c>
      <c r="E200" s="143">
        <f>'Proposed Lighting'!T197</f>
        <v>0</v>
      </c>
      <c r="F200" s="143">
        <f>'Proposed Lighting'!F197</f>
        <v>0</v>
      </c>
      <c r="G200" s="96" t="s">
        <v>242</v>
      </c>
      <c r="H200" s="142" t="str">
        <f>'Proposed Lighting'!CP197</f>
        <v/>
      </c>
      <c r="I200" s="98">
        <v>1</v>
      </c>
      <c r="J200" s="142">
        <f>'Proposed Lighting'!AA197</f>
        <v>0</v>
      </c>
      <c r="K200" s="142" t="str">
        <f>IF(ISNUMBER(SEARCH("-C",'Proposed Lighting'!M197)),'Proposed Lighting'!AH197*0.9,'Proposed Lighting'!AH197)</f>
        <v/>
      </c>
      <c r="L200" s="142">
        <f>IFERROR(IF(OR('Proposed Lighting'!BC197=22,'Proposed Lighting'!BC197=44),1-25%,IF(OR('Proposed Lighting'!BC197=23,'Proposed Lighting'!BC197=46),1-30%,IF(OR('Proposed Lighting'!BC197=29,'Proposed Lighting'!BC197=39,'Proposed Lighting'!BC197=49),1-35%,IF(OR('Proposed Lighting'!BC197=24,'Proposed Lighting'!BC197=48),1-50%,IF(AND(ISNUMBER(SEARCH("-C",'Proposed Lighting'!M197)),'Proposed Lighting'!AU197=2),90%,100%)))))*'Proposed Lighting'!AH197,0)</f>
        <v>0</v>
      </c>
      <c r="M200" s="87">
        <f t="shared" si="30"/>
        <v>0</v>
      </c>
      <c r="N200" s="87">
        <f>IFERROR(IF('Proposed Lighting'!AU197=1,0,'Proposed Lighting'!AO197),0)</f>
        <v>0</v>
      </c>
      <c r="O200" s="88">
        <f>IF('Proposed Lighting'!AU197=1,0,'Proposed Lighting'!AP197)</f>
        <v>0</v>
      </c>
      <c r="P200" s="87">
        <f t="shared" si="31"/>
        <v>0</v>
      </c>
      <c r="Q200" s="98">
        <f t="shared" si="40"/>
        <v>0</v>
      </c>
      <c r="R200" s="99">
        <f>IFERROR(IF('Proposed Lighting'!T197="Lighting controls only",0,ROUND(IF('Proposed Lighting'!AQ197&lt;'Proposed Lighting'!AR197,0,IF('Proposed Lighting'!AH197=0,0,IF('Proposed Lighting'!BV197&gt;0,'Proposed Lighting'!BV197,IF('Proposed Lighting'!CL197=0,MIN('Proposed Lighting'!CN197:CO197),IF('Proposed Lighting'!CX197&gt;0,'Proposed Lighting'!CX197*'Proposed Lighting'!AA197,0))))),2)),0)</f>
        <v>0</v>
      </c>
      <c r="S200" s="99">
        <f>IF('Proposed Lighting'!AJ197&gt;0,'Proposed Lighting'!AJ197*J200,'Proposed Lighting'!$AU$328*J200)</f>
        <v>0</v>
      </c>
      <c r="T200" s="602">
        <f t="shared" si="32"/>
        <v>0</v>
      </c>
      <c r="U200" s="100"/>
      <c r="V200" s="99">
        <f t="shared" si="33"/>
        <v>0</v>
      </c>
      <c r="W200" s="99">
        <f t="shared" si="34"/>
        <v>0</v>
      </c>
      <c r="X200" s="99">
        <f t="shared" si="35"/>
        <v>0</v>
      </c>
      <c r="Y200" s="99"/>
      <c r="Z200" s="99">
        <f t="shared" si="41"/>
        <v>0</v>
      </c>
      <c r="AA200" s="99"/>
      <c r="AB200" s="99">
        <f t="shared" si="36"/>
        <v>0</v>
      </c>
      <c r="AC200" s="101" t="str">
        <f t="shared" si="37"/>
        <v/>
      </c>
      <c r="AD200" s="101" t="str">
        <f t="shared" si="38"/>
        <v/>
      </c>
      <c r="AE200" s="101" t="str">
        <f t="shared" si="39"/>
        <v/>
      </c>
      <c r="AF200" s="72"/>
      <c r="AG200" s="98">
        <f>IFERROR(IF($AV200="No",0,IF($AV200="yes",Summary!Q200,"")),"")</f>
        <v>0</v>
      </c>
      <c r="AH200" s="99">
        <f>IFERROR(IF($AV200="No",0,IF($AV200="yes",Summary!R200,"")),"")</f>
        <v>0</v>
      </c>
      <c r="AI200" s="99">
        <f>IFERROR(IF($AV200="No",0,IF($AV200="yes",Summary!S200,"")),"")</f>
        <v>0</v>
      </c>
      <c r="AJ200" s="602">
        <f>IFERROR(IF($AV200="No",0,IF($AV200="yes",Summary!T200,"")),"")</f>
        <v>0</v>
      </c>
      <c r="AK200" s="100">
        <f>IFERROR(IF($AV200="No",0,IF($AV200="yes",Summary!U200,"")),"")</f>
        <v>0</v>
      </c>
      <c r="AL200" s="99">
        <f>IFERROR(IF($AV200="No",0,IF($AV200="yes",Summary!V200,"")),"")</f>
        <v>0</v>
      </c>
      <c r="AM200" s="99">
        <f>IFERROR(IF($AV200="No",0,IF($AV200="yes",Summary!W200,"")),"")</f>
        <v>0</v>
      </c>
      <c r="AN200" s="99">
        <f>IFERROR(IF($AV200="No",0,IF($AV200="yes",Summary!X200,"")),"")</f>
        <v>0</v>
      </c>
      <c r="AO200" s="99">
        <f>IFERROR(IF($AV200="No",0,IF($AV200="yes",Summary!Y200+Z200,"")),"")</f>
        <v>0</v>
      </c>
      <c r="AP200" s="99">
        <f>IFERROR(IF($AV200="No",0,IF($AV200="yes",Summary!AB200,"")),"")</f>
        <v>0</v>
      </c>
      <c r="AQ200" s="101" t="str">
        <f t="shared" si="42"/>
        <v/>
      </c>
      <c r="AR200" s="101" t="str">
        <f t="shared" si="43"/>
        <v/>
      </c>
      <c r="AS200" s="101" t="str">
        <f t="shared" si="44"/>
        <v/>
      </c>
      <c r="AT200" s="96" t="s">
        <v>614</v>
      </c>
      <c r="AV200" t="str">
        <f>IF('Proposed Lighting'!CN197&gt;0,"No","Yes")</f>
        <v>Yes</v>
      </c>
    </row>
    <row r="201" spans="1:48" ht="34.5" customHeight="1" outlineLevel="1">
      <c r="A201" s="96" t="s">
        <v>615</v>
      </c>
      <c r="B201" s="96" t="str">
        <f>IF(ISNUMBER(SEARCH("case",E201)),"COM_MISC_REFR_ALL_UNKN1991",IF('Proposed Lighting'!AU198=3,"Commercial-All Com-ExtLight",IF('Proposed Lighting'!AH198&gt;8759,"IPC_8760","Commercial-All Com-IntLight")))</f>
        <v>IPC_8760</v>
      </c>
      <c r="C201" s="96" t="str">
        <f>IF(OR('Proposed Lighting'!DD198="Standard Incentive",'Proposed Lighting'!DD198="Non-Standard Incentive"),"Yes",IF(AND(IF(ISNUMBER(SEARCH("controls",'Proposed Lighting'!T198)),"True","False")="False",'Proposed Lighting'!DD198="Submit Control as Non-Standard"),"Yes","No"))</f>
        <v>No</v>
      </c>
      <c r="D201" s="1403">
        <f>'Proposed Lighting'!CV198-Q201</f>
        <v>0</v>
      </c>
      <c r="E201" s="143">
        <f>'Proposed Lighting'!T198</f>
        <v>0</v>
      </c>
      <c r="F201" s="143">
        <f>'Proposed Lighting'!F198</f>
        <v>0</v>
      </c>
      <c r="G201" s="96" t="s">
        <v>242</v>
      </c>
      <c r="H201" s="142" t="str">
        <f>'Proposed Lighting'!CP198</f>
        <v/>
      </c>
      <c r="I201" s="98">
        <v>1</v>
      </c>
      <c r="J201" s="142">
        <f>'Proposed Lighting'!AA198</f>
        <v>0</v>
      </c>
      <c r="K201" s="142" t="str">
        <f>IF(ISNUMBER(SEARCH("-C",'Proposed Lighting'!M198)),'Proposed Lighting'!AH198*0.9,'Proposed Lighting'!AH198)</f>
        <v/>
      </c>
      <c r="L201" s="142">
        <f>IFERROR(IF(OR('Proposed Lighting'!BC198=22,'Proposed Lighting'!BC198=44),1-25%,IF(OR('Proposed Lighting'!BC198=23,'Proposed Lighting'!BC198=46),1-30%,IF(OR('Proposed Lighting'!BC198=29,'Proposed Lighting'!BC198=39,'Proposed Lighting'!BC198=49),1-35%,IF(OR('Proposed Lighting'!BC198=24,'Proposed Lighting'!BC198=48),1-50%,IF(AND(ISNUMBER(SEARCH("-C",'Proposed Lighting'!M198)),'Proposed Lighting'!AU198=2),90%,100%)))))*'Proposed Lighting'!AH198,0)</f>
        <v>0</v>
      </c>
      <c r="M201" s="87">
        <f t="shared" si="30"/>
        <v>0</v>
      </c>
      <c r="N201" s="87">
        <f>IFERROR(IF('Proposed Lighting'!AU198=1,0,'Proposed Lighting'!AO198),0)</f>
        <v>0</v>
      </c>
      <c r="O201" s="88">
        <f>IF('Proposed Lighting'!AU198=1,0,'Proposed Lighting'!AP198)</f>
        <v>0</v>
      </c>
      <c r="P201" s="87">
        <f t="shared" si="31"/>
        <v>0</v>
      </c>
      <c r="Q201" s="98">
        <f t="shared" si="40"/>
        <v>0</v>
      </c>
      <c r="R201" s="99">
        <f>IFERROR(IF('Proposed Lighting'!T198="Lighting controls only",0,ROUND(IF('Proposed Lighting'!AQ198&lt;'Proposed Lighting'!AR198,0,IF('Proposed Lighting'!AH198=0,0,IF('Proposed Lighting'!BV198&gt;0,'Proposed Lighting'!BV198,IF('Proposed Lighting'!CL198=0,MIN('Proposed Lighting'!CN198:CO198),IF('Proposed Lighting'!CX198&gt;0,'Proposed Lighting'!CX198*'Proposed Lighting'!AA198,0))))),2)),0)</f>
        <v>0</v>
      </c>
      <c r="S201" s="99">
        <f>IF('Proposed Lighting'!AJ198&gt;0,'Proposed Lighting'!AJ198*J201,'Proposed Lighting'!$AU$328*J201)</f>
        <v>0</v>
      </c>
      <c r="T201" s="602">
        <f t="shared" si="32"/>
        <v>0</v>
      </c>
      <c r="U201" s="100"/>
      <c r="V201" s="99">
        <f t="shared" si="33"/>
        <v>0</v>
      </c>
      <c r="W201" s="99">
        <f t="shared" si="34"/>
        <v>0</v>
      </c>
      <c r="X201" s="99">
        <f t="shared" si="35"/>
        <v>0</v>
      </c>
      <c r="Y201" s="99"/>
      <c r="Z201" s="99">
        <f t="shared" si="41"/>
        <v>0</v>
      </c>
      <c r="AA201" s="99"/>
      <c r="AB201" s="99">
        <f t="shared" si="36"/>
        <v>0</v>
      </c>
      <c r="AC201" s="101" t="str">
        <f t="shared" si="37"/>
        <v/>
      </c>
      <c r="AD201" s="101" t="str">
        <f t="shared" si="38"/>
        <v/>
      </c>
      <c r="AE201" s="101" t="str">
        <f t="shared" si="39"/>
        <v/>
      </c>
      <c r="AF201" s="72"/>
      <c r="AG201" s="98">
        <f>IFERROR(IF($AV201="No",0,IF($AV201="yes",Summary!Q201,"")),"")</f>
        <v>0</v>
      </c>
      <c r="AH201" s="99">
        <f>IFERROR(IF($AV201="No",0,IF($AV201="yes",Summary!R201,"")),"")</f>
        <v>0</v>
      </c>
      <c r="AI201" s="99">
        <f>IFERROR(IF($AV201="No",0,IF($AV201="yes",Summary!S201,"")),"")</f>
        <v>0</v>
      </c>
      <c r="AJ201" s="602">
        <f>IFERROR(IF($AV201="No",0,IF($AV201="yes",Summary!T201,"")),"")</f>
        <v>0</v>
      </c>
      <c r="AK201" s="100">
        <f>IFERROR(IF($AV201="No",0,IF($AV201="yes",Summary!U201,"")),"")</f>
        <v>0</v>
      </c>
      <c r="AL201" s="99">
        <f>IFERROR(IF($AV201="No",0,IF($AV201="yes",Summary!V201,"")),"")</f>
        <v>0</v>
      </c>
      <c r="AM201" s="99">
        <f>IFERROR(IF($AV201="No",0,IF($AV201="yes",Summary!W201,"")),"")</f>
        <v>0</v>
      </c>
      <c r="AN201" s="99">
        <f>IFERROR(IF($AV201="No",0,IF($AV201="yes",Summary!X201,"")),"")</f>
        <v>0</v>
      </c>
      <c r="AO201" s="99">
        <f>IFERROR(IF($AV201="No",0,IF($AV201="yes",Summary!Y201+Z201,"")),"")</f>
        <v>0</v>
      </c>
      <c r="AP201" s="99">
        <f>IFERROR(IF($AV201="No",0,IF($AV201="yes",Summary!AB201,"")),"")</f>
        <v>0</v>
      </c>
      <c r="AQ201" s="101" t="str">
        <f t="shared" si="42"/>
        <v/>
      </c>
      <c r="AR201" s="101" t="str">
        <f t="shared" si="43"/>
        <v/>
      </c>
      <c r="AS201" s="101" t="str">
        <f t="shared" si="44"/>
        <v/>
      </c>
      <c r="AT201" s="96" t="s">
        <v>615</v>
      </c>
      <c r="AV201" t="str">
        <f>IF('Proposed Lighting'!CN198&gt;0,"No","Yes")</f>
        <v>Yes</v>
      </c>
    </row>
    <row r="202" spans="1:48" ht="34.5" customHeight="1" outlineLevel="1">
      <c r="A202" s="96" t="s">
        <v>616</v>
      </c>
      <c r="B202" s="96" t="str">
        <f>IF(ISNUMBER(SEARCH("case",E202)),"COM_MISC_REFR_ALL_UNKN1991",IF('Proposed Lighting'!AU199=3,"Commercial-All Com-ExtLight",IF('Proposed Lighting'!AH199&gt;8759,"IPC_8760","Commercial-All Com-IntLight")))</f>
        <v>IPC_8760</v>
      </c>
      <c r="C202" s="96" t="str">
        <f>IF(OR('Proposed Lighting'!DD199="Standard Incentive",'Proposed Lighting'!DD199="Non-Standard Incentive"),"Yes",IF(AND(IF(ISNUMBER(SEARCH("controls",'Proposed Lighting'!T199)),"True","False")="False",'Proposed Lighting'!DD199="Submit Control as Non-Standard"),"Yes","No"))</f>
        <v>No</v>
      </c>
      <c r="D202" s="1403">
        <f>'Proposed Lighting'!CV199-Q202</f>
        <v>0</v>
      </c>
      <c r="E202" s="143">
        <f>'Proposed Lighting'!T199</f>
        <v>0</v>
      </c>
      <c r="F202" s="143">
        <f>'Proposed Lighting'!F199</f>
        <v>0</v>
      </c>
      <c r="G202" s="96" t="s">
        <v>242</v>
      </c>
      <c r="H202" s="142" t="str">
        <f>'Proposed Lighting'!CP199</f>
        <v/>
      </c>
      <c r="I202" s="98">
        <v>1</v>
      </c>
      <c r="J202" s="142">
        <f>'Proposed Lighting'!AA199</f>
        <v>0</v>
      </c>
      <c r="K202" s="142" t="str">
        <f>IF(ISNUMBER(SEARCH("-C",'Proposed Lighting'!M199)),'Proposed Lighting'!AH199*0.9,'Proposed Lighting'!AH199)</f>
        <v/>
      </c>
      <c r="L202" s="142">
        <f>IFERROR(IF(OR('Proposed Lighting'!BC199=22,'Proposed Lighting'!BC199=44),1-25%,IF(OR('Proposed Lighting'!BC199=23,'Proposed Lighting'!BC199=46),1-30%,IF(OR('Proposed Lighting'!BC199=29,'Proposed Lighting'!BC199=39,'Proposed Lighting'!BC199=49),1-35%,IF(OR('Proposed Lighting'!BC199=24,'Proposed Lighting'!BC199=48),1-50%,IF(AND(ISNUMBER(SEARCH("-C",'Proposed Lighting'!M199)),'Proposed Lighting'!AU199=2),90%,100%)))))*'Proposed Lighting'!AH199,0)</f>
        <v>0</v>
      </c>
      <c r="M202" s="87">
        <f t="shared" si="30"/>
        <v>0</v>
      </c>
      <c r="N202" s="87">
        <f>IFERROR(IF('Proposed Lighting'!AU199=1,0,'Proposed Lighting'!AO199),0)</f>
        <v>0</v>
      </c>
      <c r="O202" s="88">
        <f>IF('Proposed Lighting'!AU199=1,0,'Proposed Lighting'!AP199)</f>
        <v>0</v>
      </c>
      <c r="P202" s="87">
        <f t="shared" si="31"/>
        <v>0</v>
      </c>
      <c r="Q202" s="98">
        <f t="shared" si="40"/>
        <v>0</v>
      </c>
      <c r="R202" s="99">
        <f>IFERROR(IF('Proposed Lighting'!T199="Lighting controls only",0,ROUND(IF('Proposed Lighting'!AQ199&lt;'Proposed Lighting'!AR199,0,IF('Proposed Lighting'!AH199=0,0,IF('Proposed Lighting'!BV199&gt;0,'Proposed Lighting'!BV199,IF('Proposed Lighting'!CL199=0,MIN('Proposed Lighting'!CN199:CO199),IF('Proposed Lighting'!CX199&gt;0,'Proposed Lighting'!CX199*'Proposed Lighting'!AA199,0))))),2)),0)</f>
        <v>0</v>
      </c>
      <c r="S202" s="99">
        <f>IF('Proposed Lighting'!AJ199&gt;0,'Proposed Lighting'!AJ199*J202,'Proposed Lighting'!$AU$328*J202)</f>
        <v>0</v>
      </c>
      <c r="T202" s="602">
        <f t="shared" si="32"/>
        <v>0</v>
      </c>
      <c r="U202" s="100"/>
      <c r="V202" s="99">
        <f t="shared" si="33"/>
        <v>0</v>
      </c>
      <c r="W202" s="99">
        <f t="shared" si="34"/>
        <v>0</v>
      </c>
      <c r="X202" s="99">
        <f t="shared" si="35"/>
        <v>0</v>
      </c>
      <c r="Y202" s="99"/>
      <c r="Z202" s="99">
        <f t="shared" si="41"/>
        <v>0</v>
      </c>
      <c r="AA202" s="99"/>
      <c r="AB202" s="99">
        <f t="shared" si="36"/>
        <v>0</v>
      </c>
      <c r="AC202" s="101" t="str">
        <f t="shared" si="37"/>
        <v/>
      </c>
      <c r="AD202" s="101" t="str">
        <f t="shared" si="38"/>
        <v/>
      </c>
      <c r="AE202" s="101" t="str">
        <f t="shared" si="39"/>
        <v/>
      </c>
      <c r="AF202" s="72"/>
      <c r="AG202" s="98">
        <f>IFERROR(IF($AV202="No",0,IF($AV202="yes",Summary!Q202,"")),"")</f>
        <v>0</v>
      </c>
      <c r="AH202" s="99">
        <f>IFERROR(IF($AV202="No",0,IF($AV202="yes",Summary!R202,"")),"")</f>
        <v>0</v>
      </c>
      <c r="AI202" s="99">
        <f>IFERROR(IF($AV202="No",0,IF($AV202="yes",Summary!S202,"")),"")</f>
        <v>0</v>
      </c>
      <c r="AJ202" s="602">
        <f>IFERROR(IF($AV202="No",0,IF($AV202="yes",Summary!T202,"")),"")</f>
        <v>0</v>
      </c>
      <c r="AK202" s="100">
        <f>IFERROR(IF($AV202="No",0,IF($AV202="yes",Summary!U202,"")),"")</f>
        <v>0</v>
      </c>
      <c r="AL202" s="99">
        <f>IFERROR(IF($AV202="No",0,IF($AV202="yes",Summary!V202,"")),"")</f>
        <v>0</v>
      </c>
      <c r="AM202" s="99">
        <f>IFERROR(IF($AV202="No",0,IF($AV202="yes",Summary!W202,"")),"")</f>
        <v>0</v>
      </c>
      <c r="AN202" s="99">
        <f>IFERROR(IF($AV202="No",0,IF($AV202="yes",Summary!X202,"")),"")</f>
        <v>0</v>
      </c>
      <c r="AO202" s="99">
        <f>IFERROR(IF($AV202="No",0,IF($AV202="yes",Summary!Y202+Z202,"")),"")</f>
        <v>0</v>
      </c>
      <c r="AP202" s="99">
        <f>IFERROR(IF($AV202="No",0,IF($AV202="yes",Summary!AB202,"")),"")</f>
        <v>0</v>
      </c>
      <c r="AQ202" s="101" t="str">
        <f t="shared" si="42"/>
        <v/>
      </c>
      <c r="AR202" s="101" t="str">
        <f t="shared" si="43"/>
        <v/>
      </c>
      <c r="AS202" s="101" t="str">
        <f t="shared" si="44"/>
        <v/>
      </c>
      <c r="AT202" s="96" t="s">
        <v>616</v>
      </c>
      <c r="AV202" t="str">
        <f>IF('Proposed Lighting'!CN199&gt;0,"No","Yes")</f>
        <v>Yes</v>
      </c>
    </row>
    <row r="203" spans="1:48" ht="34.5" customHeight="1" outlineLevel="1">
      <c r="A203" s="96" t="s">
        <v>617</v>
      </c>
      <c r="B203" s="96" t="str">
        <f>IF(ISNUMBER(SEARCH("case",E203)),"COM_MISC_REFR_ALL_UNKN1991",IF('Proposed Lighting'!AU200=3,"Commercial-All Com-ExtLight",IF('Proposed Lighting'!AH200&gt;8759,"IPC_8760","Commercial-All Com-IntLight")))</f>
        <v>IPC_8760</v>
      </c>
      <c r="C203" s="96" t="str">
        <f>IF(OR('Proposed Lighting'!DD200="Standard Incentive",'Proposed Lighting'!DD200="Non-Standard Incentive"),"Yes",IF(AND(IF(ISNUMBER(SEARCH("controls",'Proposed Lighting'!T200)),"True","False")="False",'Proposed Lighting'!DD200="Submit Control as Non-Standard"),"Yes","No"))</f>
        <v>No</v>
      </c>
      <c r="D203" s="1403">
        <f>'Proposed Lighting'!CV200-Q203</f>
        <v>0</v>
      </c>
      <c r="E203" s="143">
        <f>'Proposed Lighting'!T200</f>
        <v>0</v>
      </c>
      <c r="F203" s="143">
        <f>'Proposed Lighting'!F200</f>
        <v>0</v>
      </c>
      <c r="G203" s="96" t="s">
        <v>242</v>
      </c>
      <c r="H203" s="142" t="str">
        <f>'Proposed Lighting'!CP200</f>
        <v/>
      </c>
      <c r="I203" s="98">
        <v>1</v>
      </c>
      <c r="J203" s="142">
        <f>'Proposed Lighting'!AA200</f>
        <v>0</v>
      </c>
      <c r="K203" s="142" t="str">
        <f>IF(ISNUMBER(SEARCH("-C",'Proposed Lighting'!M200)),'Proposed Lighting'!AH200*0.9,'Proposed Lighting'!AH200)</f>
        <v/>
      </c>
      <c r="L203" s="142">
        <f>IFERROR(IF(OR('Proposed Lighting'!BC200=22,'Proposed Lighting'!BC200=44),1-25%,IF(OR('Proposed Lighting'!BC200=23,'Proposed Lighting'!BC200=46),1-30%,IF(OR('Proposed Lighting'!BC200=29,'Proposed Lighting'!BC200=39,'Proposed Lighting'!BC200=49),1-35%,IF(OR('Proposed Lighting'!BC200=24,'Proposed Lighting'!BC200=48),1-50%,IF(AND(ISNUMBER(SEARCH("-C",'Proposed Lighting'!M200)),'Proposed Lighting'!AU200=2),90%,100%)))))*'Proposed Lighting'!AH200,0)</f>
        <v>0</v>
      </c>
      <c r="M203" s="87">
        <f t="shared" si="30"/>
        <v>0</v>
      </c>
      <c r="N203" s="87">
        <f>IFERROR(IF('Proposed Lighting'!AU200=1,0,'Proposed Lighting'!AO200),0)</f>
        <v>0</v>
      </c>
      <c r="O203" s="88">
        <f>IF('Proposed Lighting'!AU200=1,0,'Proposed Lighting'!AP200)</f>
        <v>0</v>
      </c>
      <c r="P203" s="87">
        <f t="shared" si="31"/>
        <v>0</v>
      </c>
      <c r="Q203" s="98">
        <f t="shared" si="40"/>
        <v>0</v>
      </c>
      <c r="R203" s="99">
        <f>IFERROR(IF('Proposed Lighting'!T200="Lighting controls only",0,ROUND(IF('Proposed Lighting'!AQ200&lt;'Proposed Lighting'!AR200,0,IF('Proposed Lighting'!AH200=0,0,IF('Proposed Lighting'!BV200&gt;0,'Proposed Lighting'!BV200,IF('Proposed Lighting'!CL200=0,MIN('Proposed Lighting'!CN200:CO200),IF('Proposed Lighting'!CX200&gt;0,'Proposed Lighting'!CX200*'Proposed Lighting'!AA200,0))))),2)),0)</f>
        <v>0</v>
      </c>
      <c r="S203" s="99">
        <f>IF('Proposed Lighting'!AJ200&gt;0,'Proposed Lighting'!AJ200*J203,'Proposed Lighting'!$AU$328*J203)</f>
        <v>0</v>
      </c>
      <c r="T203" s="602">
        <f t="shared" si="32"/>
        <v>0</v>
      </c>
      <c r="U203" s="100"/>
      <c r="V203" s="99">
        <f t="shared" si="33"/>
        <v>0</v>
      </c>
      <c r="W203" s="99">
        <f t="shared" si="34"/>
        <v>0</v>
      </c>
      <c r="X203" s="99">
        <f t="shared" si="35"/>
        <v>0</v>
      </c>
      <c r="Y203" s="99"/>
      <c r="Z203" s="99">
        <f t="shared" si="41"/>
        <v>0</v>
      </c>
      <c r="AA203" s="99"/>
      <c r="AB203" s="99">
        <f t="shared" si="36"/>
        <v>0</v>
      </c>
      <c r="AC203" s="101" t="str">
        <f t="shared" si="37"/>
        <v/>
      </c>
      <c r="AD203" s="101" t="str">
        <f t="shared" si="38"/>
        <v/>
      </c>
      <c r="AE203" s="101" t="str">
        <f t="shared" si="39"/>
        <v/>
      </c>
      <c r="AF203" s="72"/>
      <c r="AG203" s="98">
        <f>IFERROR(IF($AV203="No",0,IF($AV203="yes",Summary!Q203,"")),"")</f>
        <v>0</v>
      </c>
      <c r="AH203" s="99">
        <f>IFERROR(IF($AV203="No",0,IF($AV203="yes",Summary!R203,"")),"")</f>
        <v>0</v>
      </c>
      <c r="AI203" s="99">
        <f>IFERROR(IF($AV203="No",0,IF($AV203="yes",Summary!S203,"")),"")</f>
        <v>0</v>
      </c>
      <c r="AJ203" s="602">
        <f>IFERROR(IF($AV203="No",0,IF($AV203="yes",Summary!T203,"")),"")</f>
        <v>0</v>
      </c>
      <c r="AK203" s="100">
        <f>IFERROR(IF($AV203="No",0,IF($AV203="yes",Summary!U203,"")),"")</f>
        <v>0</v>
      </c>
      <c r="AL203" s="99">
        <f>IFERROR(IF($AV203="No",0,IF($AV203="yes",Summary!V203,"")),"")</f>
        <v>0</v>
      </c>
      <c r="AM203" s="99">
        <f>IFERROR(IF($AV203="No",0,IF($AV203="yes",Summary!W203,"")),"")</f>
        <v>0</v>
      </c>
      <c r="AN203" s="99">
        <f>IFERROR(IF($AV203="No",0,IF($AV203="yes",Summary!X203,"")),"")</f>
        <v>0</v>
      </c>
      <c r="AO203" s="99">
        <f>IFERROR(IF($AV203="No",0,IF($AV203="yes",Summary!Y203+Z203,"")),"")</f>
        <v>0</v>
      </c>
      <c r="AP203" s="99">
        <f>IFERROR(IF($AV203="No",0,IF($AV203="yes",Summary!AB203,"")),"")</f>
        <v>0</v>
      </c>
      <c r="AQ203" s="101" t="str">
        <f t="shared" si="42"/>
        <v/>
      </c>
      <c r="AR203" s="101" t="str">
        <f t="shared" si="43"/>
        <v/>
      </c>
      <c r="AS203" s="101" t="str">
        <f t="shared" si="44"/>
        <v/>
      </c>
      <c r="AT203" s="96" t="s">
        <v>617</v>
      </c>
      <c r="AV203" t="str">
        <f>IF('Proposed Lighting'!CN200&gt;0,"No","Yes")</f>
        <v>Yes</v>
      </c>
    </row>
    <row r="204" spans="1:48" ht="34.5" customHeight="1" outlineLevel="1">
      <c r="A204" s="96" t="s">
        <v>618</v>
      </c>
      <c r="B204" s="96" t="str">
        <f>IF(ISNUMBER(SEARCH("case",E204)),"COM_MISC_REFR_ALL_UNKN1991",IF('Proposed Lighting'!AU201=3,"Commercial-All Com-ExtLight",IF('Proposed Lighting'!AH201&gt;8759,"IPC_8760","Commercial-All Com-IntLight")))</f>
        <v>IPC_8760</v>
      </c>
      <c r="C204" s="96" t="str">
        <f>IF(OR('Proposed Lighting'!DD201="Standard Incentive",'Proposed Lighting'!DD201="Non-Standard Incentive"),"Yes",IF(AND(IF(ISNUMBER(SEARCH("controls",'Proposed Lighting'!T201)),"True","False")="False",'Proposed Lighting'!DD201="Submit Control as Non-Standard"),"Yes","No"))</f>
        <v>No</v>
      </c>
      <c r="D204" s="1403">
        <f>'Proposed Lighting'!CV201-Q204</f>
        <v>0</v>
      </c>
      <c r="E204" s="143">
        <f>'Proposed Lighting'!T201</f>
        <v>0</v>
      </c>
      <c r="F204" s="143">
        <f>'Proposed Lighting'!F201</f>
        <v>0</v>
      </c>
      <c r="G204" s="96" t="s">
        <v>242</v>
      </c>
      <c r="H204" s="142" t="str">
        <f>'Proposed Lighting'!CP201</f>
        <v/>
      </c>
      <c r="I204" s="98">
        <v>1</v>
      </c>
      <c r="J204" s="142">
        <f>'Proposed Lighting'!AA201</f>
        <v>0</v>
      </c>
      <c r="K204" s="142" t="str">
        <f>IF(ISNUMBER(SEARCH("-C",'Proposed Lighting'!M201)),'Proposed Lighting'!AH201*0.9,'Proposed Lighting'!AH201)</f>
        <v/>
      </c>
      <c r="L204" s="142">
        <f>IFERROR(IF(OR('Proposed Lighting'!BC201=22,'Proposed Lighting'!BC201=44),1-25%,IF(OR('Proposed Lighting'!BC201=23,'Proposed Lighting'!BC201=46),1-30%,IF(OR('Proposed Lighting'!BC201=29,'Proposed Lighting'!BC201=39,'Proposed Lighting'!BC201=49),1-35%,IF(OR('Proposed Lighting'!BC201=24,'Proposed Lighting'!BC201=48),1-50%,IF(AND(ISNUMBER(SEARCH("-C",'Proposed Lighting'!M201)),'Proposed Lighting'!AU201=2),90%,100%)))))*'Proposed Lighting'!AH201,0)</f>
        <v>0</v>
      </c>
      <c r="M204" s="87">
        <f t="shared" ref="M204:M267" si="45">IFERROR(K204-L204,0)</f>
        <v>0</v>
      </c>
      <c r="N204" s="87">
        <f>IFERROR(IF('Proposed Lighting'!AU201=1,0,'Proposed Lighting'!AO201),0)</f>
        <v>0</v>
      </c>
      <c r="O204" s="88">
        <f>IF('Proposed Lighting'!AU201=1,0,'Proposed Lighting'!AP201)</f>
        <v>0</v>
      </c>
      <c r="P204" s="87">
        <f t="shared" ref="P204:P267" si="46">N204-O204</f>
        <v>0</v>
      </c>
      <c r="Q204" s="98">
        <f t="shared" si="40"/>
        <v>0</v>
      </c>
      <c r="R204" s="99">
        <f>IFERROR(IF('Proposed Lighting'!T201="Lighting controls only",0,ROUND(IF('Proposed Lighting'!AQ201&lt;'Proposed Lighting'!AR201,0,IF('Proposed Lighting'!AH201=0,0,IF('Proposed Lighting'!BV201&gt;0,'Proposed Lighting'!BV201,IF('Proposed Lighting'!CL201=0,MIN('Proposed Lighting'!CN201:CO201),IF('Proposed Lighting'!CX201&gt;0,'Proposed Lighting'!CX201*'Proposed Lighting'!AA201,0))))),2)),0)</f>
        <v>0</v>
      </c>
      <c r="S204" s="99">
        <f>IF('Proposed Lighting'!AJ201&gt;0,'Proposed Lighting'!AJ201*J204,'Proposed Lighting'!$AU$328*J204)</f>
        <v>0</v>
      </c>
      <c r="T204" s="602">
        <f t="shared" ref="T204:T267" si="47">IF(Q204=0,0,S204/SUM($S$12:$S$311))</f>
        <v>0</v>
      </c>
      <c r="U204" s="100"/>
      <c r="V204" s="99">
        <f t="shared" ref="V204:V267" si="48">IFERROR((PV($C$6,$H204,-(IF(Q204=0,Q204,Q204)))*$C$7)*((1+$C$6)^0.5),0)</f>
        <v>0</v>
      </c>
      <c r="W204" s="99">
        <f t="shared" ref="W204:W267" si="49">IFERROR((VLOOKUP($B204,loadshapeac,$H204+1,FALSE)*$Q204),0)</f>
        <v>0</v>
      </c>
      <c r="X204" s="99">
        <f t="shared" ref="X204:X267" si="50">IFERROR((VLOOKUP($B204,loadshapeac,$H204+1,FALSE)*$Q204)*1.1,0)</f>
        <v>0</v>
      </c>
      <c r="Y204" s="99"/>
      <c r="Z204" s="99">
        <f t="shared" si="41"/>
        <v>0</v>
      </c>
      <c r="AA204" s="99"/>
      <c r="AB204" s="99">
        <f t="shared" ref="AB204:AB267" si="51">IFERROR(PV($C$6,$H204,-$AA204)*((1+$C$6)^0.5),0)</f>
        <v>0</v>
      </c>
      <c r="AC204" s="101" t="str">
        <f t="shared" ref="AC204:AC267" si="52">IFERROR(IF($Q204&lt;0,"",(V204+R204+Y204+Z204+AB204)/(S204)),"")</f>
        <v/>
      </c>
      <c r="AD204" s="101" t="str">
        <f t="shared" ref="AD204:AD267" si="53">IFERROR(IF($Q204&lt;0,"",(I204*W204)/(((IF(Q204=0,Q204,Q204))*U204)+R204)),"")</f>
        <v/>
      </c>
      <c r="AE204" s="101" t="str">
        <f t="shared" ref="AE204:AE267" si="54">IFERROR(IF($Q204&lt;0,"",IF(S204=0,((X204+Y204+Z204+AB204)*I204)/((Q204*U204)+R204),((X204+Y204+Z204+AB204)*I204)/((Q204*U204)+R204+((S204-R204)*I204)))),"")</f>
        <v/>
      </c>
      <c r="AF204" s="72"/>
      <c r="AG204" s="98">
        <f>IFERROR(IF($AV204="No",0,IF($AV204="yes",Summary!Q204,"")),"")</f>
        <v>0</v>
      </c>
      <c r="AH204" s="99">
        <f>IFERROR(IF($AV204="No",0,IF($AV204="yes",Summary!R204,"")),"")</f>
        <v>0</v>
      </c>
      <c r="AI204" s="99">
        <f>IFERROR(IF($AV204="No",0,IF($AV204="yes",Summary!S204,"")),"")</f>
        <v>0</v>
      </c>
      <c r="AJ204" s="602">
        <f>IFERROR(IF($AV204="No",0,IF($AV204="yes",Summary!T204,"")),"")</f>
        <v>0</v>
      </c>
      <c r="AK204" s="100">
        <f>IFERROR(IF($AV204="No",0,IF($AV204="yes",Summary!U204,"")),"")</f>
        <v>0</v>
      </c>
      <c r="AL204" s="99">
        <f>IFERROR(IF($AV204="No",0,IF($AV204="yes",Summary!V204,"")),"")</f>
        <v>0</v>
      </c>
      <c r="AM204" s="99">
        <f>IFERROR(IF($AV204="No",0,IF($AV204="yes",Summary!W204,"")),"")</f>
        <v>0</v>
      </c>
      <c r="AN204" s="99">
        <f>IFERROR(IF($AV204="No",0,IF($AV204="yes",Summary!X204,"")),"")</f>
        <v>0</v>
      </c>
      <c r="AO204" s="99">
        <f>IFERROR(IF($AV204="No",0,IF($AV204="yes",Summary!Y204+Z204,"")),"")</f>
        <v>0</v>
      </c>
      <c r="AP204" s="99">
        <f>IFERROR(IF($AV204="No",0,IF($AV204="yes",Summary!AB204,"")),"")</f>
        <v>0</v>
      </c>
      <c r="AQ204" s="101" t="str">
        <f t="shared" si="42"/>
        <v/>
      </c>
      <c r="AR204" s="101" t="str">
        <f t="shared" si="43"/>
        <v/>
      </c>
      <c r="AS204" s="101" t="str">
        <f t="shared" si="44"/>
        <v/>
      </c>
      <c r="AT204" s="96" t="s">
        <v>618</v>
      </c>
      <c r="AV204" t="str">
        <f>IF('Proposed Lighting'!CN201&gt;0,"No","Yes")</f>
        <v>Yes</v>
      </c>
    </row>
    <row r="205" spans="1:48" ht="34.5" customHeight="1" outlineLevel="1">
      <c r="A205" s="96" t="s">
        <v>619</v>
      </c>
      <c r="B205" s="96" t="str">
        <f>IF(ISNUMBER(SEARCH("case",E205)),"COM_MISC_REFR_ALL_UNKN1991",IF('Proposed Lighting'!AU202=3,"Commercial-All Com-ExtLight",IF('Proposed Lighting'!AH202&gt;8759,"IPC_8760","Commercial-All Com-IntLight")))</f>
        <v>IPC_8760</v>
      </c>
      <c r="C205" s="96" t="str">
        <f>IF(OR('Proposed Lighting'!DD202="Standard Incentive",'Proposed Lighting'!DD202="Non-Standard Incentive"),"Yes",IF(AND(IF(ISNUMBER(SEARCH("controls",'Proposed Lighting'!T202)),"True","False")="False",'Proposed Lighting'!DD202="Submit Control as Non-Standard"),"Yes","No"))</f>
        <v>No</v>
      </c>
      <c r="D205" s="1403">
        <f>'Proposed Lighting'!CV202-Q205</f>
        <v>0</v>
      </c>
      <c r="E205" s="143">
        <f>'Proposed Lighting'!T202</f>
        <v>0</v>
      </c>
      <c r="F205" s="143">
        <f>'Proposed Lighting'!F202</f>
        <v>0</v>
      </c>
      <c r="G205" s="96" t="s">
        <v>242</v>
      </c>
      <c r="H205" s="142" t="str">
        <f>'Proposed Lighting'!CP202</f>
        <v/>
      </c>
      <c r="I205" s="98">
        <v>1</v>
      </c>
      <c r="J205" s="142">
        <f>'Proposed Lighting'!AA202</f>
        <v>0</v>
      </c>
      <c r="K205" s="142" t="str">
        <f>IF(ISNUMBER(SEARCH("-C",'Proposed Lighting'!M202)),'Proposed Lighting'!AH202*0.9,'Proposed Lighting'!AH202)</f>
        <v/>
      </c>
      <c r="L205" s="142">
        <f>IFERROR(IF(OR('Proposed Lighting'!BC202=22,'Proposed Lighting'!BC202=44),1-25%,IF(OR('Proposed Lighting'!BC202=23,'Proposed Lighting'!BC202=46),1-30%,IF(OR('Proposed Lighting'!BC202=29,'Proposed Lighting'!BC202=39,'Proposed Lighting'!BC202=49),1-35%,IF(OR('Proposed Lighting'!BC202=24,'Proposed Lighting'!BC202=48),1-50%,IF(AND(ISNUMBER(SEARCH("-C",'Proposed Lighting'!M202)),'Proposed Lighting'!AU202=2),90%,100%)))))*'Proposed Lighting'!AH202,0)</f>
        <v>0</v>
      </c>
      <c r="M205" s="87">
        <f t="shared" si="45"/>
        <v>0</v>
      </c>
      <c r="N205" s="87">
        <f>IFERROR(IF('Proposed Lighting'!AU202=1,0,'Proposed Lighting'!AO202),0)</f>
        <v>0</v>
      </c>
      <c r="O205" s="88">
        <f>IF('Proposed Lighting'!AU202=1,0,'Proposed Lighting'!AP202)</f>
        <v>0</v>
      </c>
      <c r="P205" s="87">
        <f t="shared" si="46"/>
        <v>0</v>
      </c>
      <c r="Q205" s="98">
        <f t="shared" ref="Q205:Q268" si="55">IFERROR(ROUND(ROUND(IF(((K205*N205)-(L205*O205))&lt;0,0,(K205*N205)-(L205*O205)),2),0),0)</f>
        <v>0</v>
      </c>
      <c r="R205" s="99">
        <f>IFERROR(IF('Proposed Lighting'!T202="Lighting controls only",0,ROUND(IF('Proposed Lighting'!AQ202&lt;'Proposed Lighting'!AR202,0,IF('Proposed Lighting'!AH202=0,0,IF('Proposed Lighting'!BV202&gt;0,'Proposed Lighting'!BV202,IF('Proposed Lighting'!CL202=0,MIN('Proposed Lighting'!CN202:CO202),IF('Proposed Lighting'!CX202&gt;0,'Proposed Lighting'!CX202*'Proposed Lighting'!AA202,0))))),2)),0)</f>
        <v>0</v>
      </c>
      <c r="S205" s="99">
        <f>IF('Proposed Lighting'!AJ202&gt;0,'Proposed Lighting'!AJ202*J205,'Proposed Lighting'!$AU$328*J205)</f>
        <v>0</v>
      </c>
      <c r="T205" s="602">
        <f t="shared" si="47"/>
        <v>0</v>
      </c>
      <c r="U205" s="100"/>
      <c r="V205" s="99">
        <f t="shared" si="48"/>
        <v>0</v>
      </c>
      <c r="W205" s="99">
        <f t="shared" si="49"/>
        <v>0</v>
      </c>
      <c r="X205" s="99">
        <f t="shared" si="50"/>
        <v>0</v>
      </c>
      <c r="Y205" s="99"/>
      <c r="Z205" s="99">
        <f t="shared" ref="Z205:Z268" si="56">IF($Y$3="yes",IF(ISNUMBER(SEARCH("LED",$F205)),0,IF(ISNUMBER(SEARCH("LED",$E205)),S205*3%,0)))</f>
        <v>0</v>
      </c>
      <c r="AA205" s="99"/>
      <c r="AB205" s="99">
        <f t="shared" si="51"/>
        <v>0</v>
      </c>
      <c r="AC205" s="101" t="str">
        <f t="shared" si="52"/>
        <v/>
      </c>
      <c r="AD205" s="101" t="str">
        <f t="shared" si="53"/>
        <v/>
      </c>
      <c r="AE205" s="101" t="str">
        <f t="shared" si="54"/>
        <v/>
      </c>
      <c r="AF205" s="72"/>
      <c r="AG205" s="98">
        <f>IFERROR(IF($AV205="No",0,IF($AV205="yes",Summary!Q205,"")),"")</f>
        <v>0</v>
      </c>
      <c r="AH205" s="99">
        <f>IFERROR(IF($AV205="No",0,IF($AV205="yes",Summary!R205,"")),"")</f>
        <v>0</v>
      </c>
      <c r="AI205" s="99">
        <f>IFERROR(IF($AV205="No",0,IF($AV205="yes",Summary!S205,"")),"")</f>
        <v>0</v>
      </c>
      <c r="AJ205" s="602">
        <f>IFERROR(IF($AV205="No",0,IF($AV205="yes",Summary!T205,"")),"")</f>
        <v>0</v>
      </c>
      <c r="AK205" s="100">
        <f>IFERROR(IF($AV205="No",0,IF($AV205="yes",Summary!U205,"")),"")</f>
        <v>0</v>
      </c>
      <c r="AL205" s="99">
        <f>IFERROR(IF($AV205="No",0,IF($AV205="yes",Summary!V205,"")),"")</f>
        <v>0</v>
      </c>
      <c r="AM205" s="99">
        <f>IFERROR(IF($AV205="No",0,IF($AV205="yes",Summary!W205,"")),"")</f>
        <v>0</v>
      </c>
      <c r="AN205" s="99">
        <f>IFERROR(IF($AV205="No",0,IF($AV205="yes",Summary!X205,"")),"")</f>
        <v>0</v>
      </c>
      <c r="AO205" s="99">
        <f>IFERROR(IF($AV205="No",0,IF($AV205="yes",Summary!Y205+Z205,"")),"")</f>
        <v>0</v>
      </c>
      <c r="AP205" s="99">
        <f>IFERROR(IF($AV205="No",0,IF($AV205="yes",Summary!AB205,"")),"")</f>
        <v>0</v>
      </c>
      <c r="AQ205" s="101" t="str">
        <f t="shared" si="42"/>
        <v/>
      </c>
      <c r="AR205" s="101" t="str">
        <f t="shared" si="43"/>
        <v/>
      </c>
      <c r="AS205" s="101" t="str">
        <f t="shared" si="44"/>
        <v/>
      </c>
      <c r="AT205" s="96" t="s">
        <v>619</v>
      </c>
      <c r="AV205" t="str">
        <f>IF('Proposed Lighting'!CN202&gt;0,"No","Yes")</f>
        <v>Yes</v>
      </c>
    </row>
    <row r="206" spans="1:48" ht="34.5" customHeight="1" outlineLevel="1">
      <c r="A206" s="96" t="s">
        <v>620</v>
      </c>
      <c r="B206" s="96" t="str">
        <f>IF(ISNUMBER(SEARCH("case",E206)),"COM_MISC_REFR_ALL_UNKN1991",IF('Proposed Lighting'!AU203=3,"Commercial-All Com-ExtLight",IF('Proposed Lighting'!AH203&gt;8759,"IPC_8760","Commercial-All Com-IntLight")))</f>
        <v>IPC_8760</v>
      </c>
      <c r="C206" s="96" t="str">
        <f>IF(OR('Proposed Lighting'!DD203="Standard Incentive",'Proposed Lighting'!DD203="Non-Standard Incentive"),"Yes",IF(AND(IF(ISNUMBER(SEARCH("controls",'Proposed Lighting'!T203)),"True","False")="False",'Proposed Lighting'!DD203="Submit Control as Non-Standard"),"Yes","No"))</f>
        <v>No</v>
      </c>
      <c r="D206" s="1403">
        <f>'Proposed Lighting'!CV203-Q206</f>
        <v>0</v>
      </c>
      <c r="E206" s="143">
        <f>'Proposed Lighting'!T203</f>
        <v>0</v>
      </c>
      <c r="F206" s="143">
        <f>'Proposed Lighting'!F203</f>
        <v>0</v>
      </c>
      <c r="G206" s="96" t="s">
        <v>242</v>
      </c>
      <c r="H206" s="142" t="str">
        <f>'Proposed Lighting'!CP203</f>
        <v/>
      </c>
      <c r="I206" s="98">
        <v>1</v>
      </c>
      <c r="J206" s="142">
        <f>'Proposed Lighting'!AA203</f>
        <v>0</v>
      </c>
      <c r="K206" s="142" t="str">
        <f>IF(ISNUMBER(SEARCH("-C",'Proposed Lighting'!M203)),'Proposed Lighting'!AH203*0.9,'Proposed Lighting'!AH203)</f>
        <v/>
      </c>
      <c r="L206" s="142">
        <f>IFERROR(IF(OR('Proposed Lighting'!BC203=22,'Proposed Lighting'!BC203=44),1-25%,IF(OR('Proposed Lighting'!BC203=23,'Proposed Lighting'!BC203=46),1-30%,IF(OR('Proposed Lighting'!BC203=29,'Proposed Lighting'!BC203=39,'Proposed Lighting'!BC203=49),1-35%,IF(OR('Proposed Lighting'!BC203=24,'Proposed Lighting'!BC203=48),1-50%,IF(AND(ISNUMBER(SEARCH("-C",'Proposed Lighting'!M203)),'Proposed Lighting'!AU203=2),90%,100%)))))*'Proposed Lighting'!AH203,0)</f>
        <v>0</v>
      </c>
      <c r="M206" s="87">
        <f t="shared" si="45"/>
        <v>0</v>
      </c>
      <c r="N206" s="87">
        <f>IFERROR(IF('Proposed Lighting'!AU203=1,0,'Proposed Lighting'!AO203),0)</f>
        <v>0</v>
      </c>
      <c r="O206" s="88">
        <f>IF('Proposed Lighting'!AU203=1,0,'Proposed Lighting'!AP203)</f>
        <v>0</v>
      </c>
      <c r="P206" s="87">
        <f t="shared" si="46"/>
        <v>0</v>
      </c>
      <c r="Q206" s="98">
        <f t="shared" si="55"/>
        <v>0</v>
      </c>
      <c r="R206" s="99">
        <f>IFERROR(IF('Proposed Lighting'!T203="Lighting controls only",0,ROUND(IF('Proposed Lighting'!AQ203&lt;'Proposed Lighting'!AR203,0,IF('Proposed Lighting'!AH203=0,0,IF('Proposed Lighting'!BV203&gt;0,'Proposed Lighting'!BV203,IF('Proposed Lighting'!CL203=0,MIN('Proposed Lighting'!CN203:CO203),IF('Proposed Lighting'!CX203&gt;0,'Proposed Lighting'!CX203*'Proposed Lighting'!AA203,0))))),2)),0)</f>
        <v>0</v>
      </c>
      <c r="S206" s="99">
        <f>IF('Proposed Lighting'!AJ203&gt;0,'Proposed Lighting'!AJ203*J206,'Proposed Lighting'!$AU$328*J206)</f>
        <v>0</v>
      </c>
      <c r="T206" s="602">
        <f t="shared" si="47"/>
        <v>0</v>
      </c>
      <c r="U206" s="100"/>
      <c r="V206" s="99">
        <f t="shared" si="48"/>
        <v>0</v>
      </c>
      <c r="W206" s="99">
        <f t="shared" si="49"/>
        <v>0</v>
      </c>
      <c r="X206" s="99">
        <f t="shared" si="50"/>
        <v>0</v>
      </c>
      <c r="Y206" s="99"/>
      <c r="Z206" s="99">
        <f t="shared" si="56"/>
        <v>0</v>
      </c>
      <c r="AA206" s="99"/>
      <c r="AB206" s="99">
        <f t="shared" si="51"/>
        <v>0</v>
      </c>
      <c r="AC206" s="101" t="str">
        <f t="shared" si="52"/>
        <v/>
      </c>
      <c r="AD206" s="101" t="str">
        <f t="shared" si="53"/>
        <v/>
      </c>
      <c r="AE206" s="101" t="str">
        <f t="shared" si="54"/>
        <v/>
      </c>
      <c r="AF206" s="72"/>
      <c r="AG206" s="98">
        <f>IFERROR(IF($AV206="No",0,IF($AV206="yes",Summary!Q206,"")),"")</f>
        <v>0</v>
      </c>
      <c r="AH206" s="99">
        <f>IFERROR(IF($AV206="No",0,IF($AV206="yes",Summary!R206,"")),"")</f>
        <v>0</v>
      </c>
      <c r="AI206" s="99">
        <f>IFERROR(IF($AV206="No",0,IF($AV206="yes",Summary!S206,"")),"")</f>
        <v>0</v>
      </c>
      <c r="AJ206" s="602">
        <f>IFERROR(IF($AV206="No",0,IF($AV206="yes",Summary!T206,"")),"")</f>
        <v>0</v>
      </c>
      <c r="AK206" s="100">
        <f>IFERROR(IF($AV206="No",0,IF($AV206="yes",Summary!U206,"")),"")</f>
        <v>0</v>
      </c>
      <c r="AL206" s="99">
        <f>IFERROR(IF($AV206="No",0,IF($AV206="yes",Summary!V206,"")),"")</f>
        <v>0</v>
      </c>
      <c r="AM206" s="99">
        <f>IFERROR(IF($AV206="No",0,IF($AV206="yes",Summary!W206,"")),"")</f>
        <v>0</v>
      </c>
      <c r="AN206" s="99">
        <f>IFERROR(IF($AV206="No",0,IF($AV206="yes",Summary!X206,"")),"")</f>
        <v>0</v>
      </c>
      <c r="AO206" s="99">
        <f>IFERROR(IF($AV206="No",0,IF($AV206="yes",Summary!Y206+Z206,"")),"")</f>
        <v>0</v>
      </c>
      <c r="AP206" s="99">
        <f>IFERROR(IF($AV206="No",0,IF($AV206="yes",Summary!AB206,"")),"")</f>
        <v>0</v>
      </c>
      <c r="AQ206" s="101" t="str">
        <f t="shared" ref="AQ206:AQ269" si="57">IFERROR(IF($AG206&lt;0,"",(AL206+AH206+AO206+AP206)/(AI206)),"")</f>
        <v/>
      </c>
      <c r="AR206" s="101" t="str">
        <f t="shared" ref="AR206:AR269" si="58">IFERROR(IF($AG206&lt;0,"",(I206*AM206)/(((IF(AG206=0,AG206,AG206))*AK206)+AH206)),"")</f>
        <v/>
      </c>
      <c r="AS206" s="101" t="str">
        <f t="shared" ref="AS206:AS269" si="59">IFERROR(IF($AG206&lt;0,"",IF(AI206=0,((AN206+AO206+AP206)*I206)/((AG206*AK206)+AH206),((AN206+AO206+AP206)*I206)/((AG206*AK206)+AH206+((AI206-AH206)*I206)))),"")</f>
        <v/>
      </c>
      <c r="AT206" s="96" t="s">
        <v>620</v>
      </c>
      <c r="AV206" t="str">
        <f>IF('Proposed Lighting'!CN203&gt;0,"No","Yes")</f>
        <v>Yes</v>
      </c>
    </row>
    <row r="207" spans="1:48" ht="34.5" customHeight="1" outlineLevel="1">
      <c r="A207" s="96" t="s">
        <v>621</v>
      </c>
      <c r="B207" s="96" t="str">
        <f>IF(ISNUMBER(SEARCH("case",E207)),"COM_MISC_REFR_ALL_UNKN1991",IF('Proposed Lighting'!AU204=3,"Commercial-All Com-ExtLight",IF('Proposed Lighting'!AH204&gt;8759,"IPC_8760","Commercial-All Com-IntLight")))</f>
        <v>IPC_8760</v>
      </c>
      <c r="C207" s="96" t="str">
        <f>IF(OR('Proposed Lighting'!DD204="Standard Incentive",'Proposed Lighting'!DD204="Non-Standard Incentive"),"Yes",IF(AND(IF(ISNUMBER(SEARCH("controls",'Proposed Lighting'!T204)),"True","False")="False",'Proposed Lighting'!DD204="Submit Control as Non-Standard"),"Yes","No"))</f>
        <v>No</v>
      </c>
      <c r="D207" s="1403">
        <f>'Proposed Lighting'!CV204-Q207</f>
        <v>0</v>
      </c>
      <c r="E207" s="143">
        <f>'Proposed Lighting'!T204</f>
        <v>0</v>
      </c>
      <c r="F207" s="143">
        <f>'Proposed Lighting'!F204</f>
        <v>0</v>
      </c>
      <c r="G207" s="96" t="s">
        <v>242</v>
      </c>
      <c r="H207" s="142" t="str">
        <f>'Proposed Lighting'!CP204</f>
        <v/>
      </c>
      <c r="I207" s="98">
        <v>1</v>
      </c>
      <c r="J207" s="142">
        <f>'Proposed Lighting'!AA204</f>
        <v>0</v>
      </c>
      <c r="K207" s="142" t="str">
        <f>IF(ISNUMBER(SEARCH("-C",'Proposed Lighting'!M204)),'Proposed Lighting'!AH204*0.9,'Proposed Lighting'!AH204)</f>
        <v/>
      </c>
      <c r="L207" s="142">
        <f>IFERROR(IF(OR('Proposed Lighting'!BC204=22,'Proposed Lighting'!BC204=44),1-25%,IF(OR('Proposed Lighting'!BC204=23,'Proposed Lighting'!BC204=46),1-30%,IF(OR('Proposed Lighting'!BC204=29,'Proposed Lighting'!BC204=39,'Proposed Lighting'!BC204=49),1-35%,IF(OR('Proposed Lighting'!BC204=24,'Proposed Lighting'!BC204=48),1-50%,IF(AND(ISNUMBER(SEARCH("-C",'Proposed Lighting'!M204)),'Proposed Lighting'!AU204=2),90%,100%)))))*'Proposed Lighting'!AH204,0)</f>
        <v>0</v>
      </c>
      <c r="M207" s="87">
        <f t="shared" si="45"/>
        <v>0</v>
      </c>
      <c r="N207" s="87">
        <f>IFERROR(IF('Proposed Lighting'!AU204=1,0,'Proposed Lighting'!AO204),0)</f>
        <v>0</v>
      </c>
      <c r="O207" s="88">
        <f>IF('Proposed Lighting'!AU204=1,0,'Proposed Lighting'!AP204)</f>
        <v>0</v>
      </c>
      <c r="P207" s="87">
        <f t="shared" si="46"/>
        <v>0</v>
      </c>
      <c r="Q207" s="98">
        <f t="shared" si="55"/>
        <v>0</v>
      </c>
      <c r="R207" s="99">
        <f>IFERROR(IF('Proposed Lighting'!T204="Lighting controls only",0,ROUND(IF('Proposed Lighting'!AQ204&lt;'Proposed Lighting'!AR204,0,IF('Proposed Lighting'!AH204=0,0,IF('Proposed Lighting'!BV204&gt;0,'Proposed Lighting'!BV204,IF('Proposed Lighting'!CL204=0,MIN('Proposed Lighting'!CN204:CO204),IF('Proposed Lighting'!CX204&gt;0,'Proposed Lighting'!CX204*'Proposed Lighting'!AA204,0))))),2)),0)</f>
        <v>0</v>
      </c>
      <c r="S207" s="99">
        <f>IF('Proposed Lighting'!AJ204&gt;0,'Proposed Lighting'!AJ204*J207,'Proposed Lighting'!$AU$328*J207)</f>
        <v>0</v>
      </c>
      <c r="T207" s="602">
        <f t="shared" si="47"/>
        <v>0</v>
      </c>
      <c r="U207" s="100"/>
      <c r="V207" s="99">
        <f t="shared" si="48"/>
        <v>0</v>
      </c>
      <c r="W207" s="99">
        <f t="shared" si="49"/>
        <v>0</v>
      </c>
      <c r="X207" s="99">
        <f t="shared" si="50"/>
        <v>0</v>
      </c>
      <c r="Y207" s="99"/>
      <c r="Z207" s="99">
        <f t="shared" si="56"/>
        <v>0</v>
      </c>
      <c r="AA207" s="99"/>
      <c r="AB207" s="99">
        <f t="shared" si="51"/>
        <v>0</v>
      </c>
      <c r="AC207" s="101" t="str">
        <f t="shared" si="52"/>
        <v/>
      </c>
      <c r="AD207" s="101" t="str">
        <f t="shared" si="53"/>
        <v/>
      </c>
      <c r="AE207" s="101" t="str">
        <f t="shared" si="54"/>
        <v/>
      </c>
      <c r="AF207" s="72"/>
      <c r="AG207" s="98">
        <f>IFERROR(IF($AV207="No",0,IF($AV207="yes",Summary!Q207,"")),"")</f>
        <v>0</v>
      </c>
      <c r="AH207" s="99">
        <f>IFERROR(IF($AV207="No",0,IF($AV207="yes",Summary!R207,"")),"")</f>
        <v>0</v>
      </c>
      <c r="AI207" s="99">
        <f>IFERROR(IF($AV207="No",0,IF($AV207="yes",Summary!S207,"")),"")</f>
        <v>0</v>
      </c>
      <c r="AJ207" s="602">
        <f>IFERROR(IF($AV207="No",0,IF($AV207="yes",Summary!T207,"")),"")</f>
        <v>0</v>
      </c>
      <c r="AK207" s="100">
        <f>IFERROR(IF($AV207="No",0,IF($AV207="yes",Summary!U207,"")),"")</f>
        <v>0</v>
      </c>
      <c r="AL207" s="99">
        <f>IFERROR(IF($AV207="No",0,IF($AV207="yes",Summary!V207,"")),"")</f>
        <v>0</v>
      </c>
      <c r="AM207" s="99">
        <f>IFERROR(IF($AV207="No",0,IF($AV207="yes",Summary!W207,"")),"")</f>
        <v>0</v>
      </c>
      <c r="AN207" s="99">
        <f>IFERROR(IF($AV207="No",0,IF($AV207="yes",Summary!X207,"")),"")</f>
        <v>0</v>
      </c>
      <c r="AO207" s="99">
        <f>IFERROR(IF($AV207="No",0,IF($AV207="yes",Summary!Y207+Z207,"")),"")</f>
        <v>0</v>
      </c>
      <c r="AP207" s="99">
        <f>IFERROR(IF($AV207="No",0,IF($AV207="yes",Summary!AB207,"")),"")</f>
        <v>0</v>
      </c>
      <c r="AQ207" s="101" t="str">
        <f t="shared" si="57"/>
        <v/>
      </c>
      <c r="AR207" s="101" t="str">
        <f t="shared" si="58"/>
        <v/>
      </c>
      <c r="AS207" s="101" t="str">
        <f t="shared" si="59"/>
        <v/>
      </c>
      <c r="AT207" s="96" t="s">
        <v>621</v>
      </c>
      <c r="AV207" t="str">
        <f>IF('Proposed Lighting'!CN204&gt;0,"No","Yes")</f>
        <v>Yes</v>
      </c>
    </row>
    <row r="208" spans="1:48" ht="34.5" customHeight="1" outlineLevel="1">
      <c r="A208" s="96" t="s">
        <v>622</v>
      </c>
      <c r="B208" s="96" t="str">
        <f>IF(ISNUMBER(SEARCH("case",E208)),"COM_MISC_REFR_ALL_UNKN1991",IF('Proposed Lighting'!AU205=3,"Commercial-All Com-ExtLight",IF('Proposed Lighting'!AH205&gt;8759,"IPC_8760","Commercial-All Com-IntLight")))</f>
        <v>IPC_8760</v>
      </c>
      <c r="C208" s="96" t="str">
        <f>IF(OR('Proposed Lighting'!DD205="Standard Incentive",'Proposed Lighting'!DD205="Non-Standard Incentive"),"Yes",IF(AND(IF(ISNUMBER(SEARCH("controls",'Proposed Lighting'!T205)),"True","False")="False",'Proposed Lighting'!DD205="Submit Control as Non-Standard"),"Yes","No"))</f>
        <v>No</v>
      </c>
      <c r="D208" s="1403">
        <f>'Proposed Lighting'!CV205-Q208</f>
        <v>0</v>
      </c>
      <c r="E208" s="143">
        <f>'Proposed Lighting'!T205</f>
        <v>0</v>
      </c>
      <c r="F208" s="143">
        <f>'Proposed Lighting'!F205</f>
        <v>0</v>
      </c>
      <c r="G208" s="96" t="s">
        <v>242</v>
      </c>
      <c r="H208" s="142" t="str">
        <f>'Proposed Lighting'!CP205</f>
        <v/>
      </c>
      <c r="I208" s="98">
        <v>1</v>
      </c>
      <c r="J208" s="142">
        <f>'Proposed Lighting'!AA205</f>
        <v>0</v>
      </c>
      <c r="K208" s="142" t="str">
        <f>IF(ISNUMBER(SEARCH("-C",'Proposed Lighting'!M205)),'Proposed Lighting'!AH205*0.9,'Proposed Lighting'!AH205)</f>
        <v/>
      </c>
      <c r="L208" s="142">
        <f>IFERROR(IF(OR('Proposed Lighting'!BC205=22,'Proposed Lighting'!BC205=44),1-25%,IF(OR('Proposed Lighting'!BC205=23,'Proposed Lighting'!BC205=46),1-30%,IF(OR('Proposed Lighting'!BC205=29,'Proposed Lighting'!BC205=39,'Proposed Lighting'!BC205=49),1-35%,IF(OR('Proposed Lighting'!BC205=24,'Proposed Lighting'!BC205=48),1-50%,IF(AND(ISNUMBER(SEARCH("-C",'Proposed Lighting'!M205)),'Proposed Lighting'!AU205=2),90%,100%)))))*'Proposed Lighting'!AH205,0)</f>
        <v>0</v>
      </c>
      <c r="M208" s="87">
        <f t="shared" si="45"/>
        <v>0</v>
      </c>
      <c r="N208" s="87">
        <f>IFERROR(IF('Proposed Lighting'!AU205=1,0,'Proposed Lighting'!AO205),0)</f>
        <v>0</v>
      </c>
      <c r="O208" s="88">
        <f>IF('Proposed Lighting'!AU205=1,0,'Proposed Lighting'!AP205)</f>
        <v>0</v>
      </c>
      <c r="P208" s="87">
        <f t="shared" si="46"/>
        <v>0</v>
      </c>
      <c r="Q208" s="98">
        <f t="shared" si="55"/>
        <v>0</v>
      </c>
      <c r="R208" s="99">
        <f>IFERROR(IF('Proposed Lighting'!T205="Lighting controls only",0,ROUND(IF('Proposed Lighting'!AQ205&lt;'Proposed Lighting'!AR205,0,IF('Proposed Lighting'!AH205=0,0,IF('Proposed Lighting'!BV205&gt;0,'Proposed Lighting'!BV205,IF('Proposed Lighting'!CL205=0,MIN('Proposed Lighting'!CN205:CO205),IF('Proposed Lighting'!CX205&gt;0,'Proposed Lighting'!CX205*'Proposed Lighting'!AA205,0))))),2)),0)</f>
        <v>0</v>
      </c>
      <c r="S208" s="99">
        <f>IF('Proposed Lighting'!AJ205&gt;0,'Proposed Lighting'!AJ205*J208,'Proposed Lighting'!$AU$328*J208)</f>
        <v>0</v>
      </c>
      <c r="T208" s="602">
        <f t="shared" si="47"/>
        <v>0</v>
      </c>
      <c r="U208" s="100"/>
      <c r="V208" s="99">
        <f t="shared" si="48"/>
        <v>0</v>
      </c>
      <c r="W208" s="99">
        <f t="shared" si="49"/>
        <v>0</v>
      </c>
      <c r="X208" s="99">
        <f t="shared" si="50"/>
        <v>0</v>
      </c>
      <c r="Y208" s="99"/>
      <c r="Z208" s="99">
        <f t="shared" si="56"/>
        <v>0</v>
      </c>
      <c r="AA208" s="99"/>
      <c r="AB208" s="99">
        <f t="shared" si="51"/>
        <v>0</v>
      </c>
      <c r="AC208" s="101" t="str">
        <f t="shared" si="52"/>
        <v/>
      </c>
      <c r="AD208" s="101" t="str">
        <f t="shared" si="53"/>
        <v/>
      </c>
      <c r="AE208" s="101" t="str">
        <f t="shared" si="54"/>
        <v/>
      </c>
      <c r="AF208" s="72"/>
      <c r="AG208" s="98">
        <f>IFERROR(IF($AV208="No",0,IF($AV208="yes",Summary!Q208,"")),"")</f>
        <v>0</v>
      </c>
      <c r="AH208" s="99">
        <f>IFERROR(IF($AV208="No",0,IF($AV208="yes",Summary!R208,"")),"")</f>
        <v>0</v>
      </c>
      <c r="AI208" s="99">
        <f>IFERROR(IF($AV208="No",0,IF($AV208="yes",Summary!S208,"")),"")</f>
        <v>0</v>
      </c>
      <c r="AJ208" s="602">
        <f>IFERROR(IF($AV208="No",0,IF($AV208="yes",Summary!T208,"")),"")</f>
        <v>0</v>
      </c>
      <c r="AK208" s="100">
        <f>IFERROR(IF($AV208="No",0,IF($AV208="yes",Summary!U208,"")),"")</f>
        <v>0</v>
      </c>
      <c r="AL208" s="99">
        <f>IFERROR(IF($AV208="No",0,IF($AV208="yes",Summary!V208,"")),"")</f>
        <v>0</v>
      </c>
      <c r="AM208" s="99">
        <f>IFERROR(IF($AV208="No",0,IF($AV208="yes",Summary!W208,"")),"")</f>
        <v>0</v>
      </c>
      <c r="AN208" s="99">
        <f>IFERROR(IF($AV208="No",0,IF($AV208="yes",Summary!X208,"")),"")</f>
        <v>0</v>
      </c>
      <c r="AO208" s="99">
        <f>IFERROR(IF($AV208="No",0,IF($AV208="yes",Summary!Y208+Z208,"")),"")</f>
        <v>0</v>
      </c>
      <c r="AP208" s="99">
        <f>IFERROR(IF($AV208="No",0,IF($AV208="yes",Summary!AB208,"")),"")</f>
        <v>0</v>
      </c>
      <c r="AQ208" s="101" t="str">
        <f t="shared" si="57"/>
        <v/>
      </c>
      <c r="AR208" s="101" t="str">
        <f t="shared" si="58"/>
        <v/>
      </c>
      <c r="AS208" s="101" t="str">
        <f t="shared" si="59"/>
        <v/>
      </c>
      <c r="AT208" s="96" t="s">
        <v>622</v>
      </c>
      <c r="AV208" t="str">
        <f>IF('Proposed Lighting'!CN205&gt;0,"No","Yes")</f>
        <v>Yes</v>
      </c>
    </row>
    <row r="209" spans="1:48" ht="34.5" customHeight="1" outlineLevel="1">
      <c r="A209" s="96" t="s">
        <v>623</v>
      </c>
      <c r="B209" s="96" t="str">
        <f>IF(ISNUMBER(SEARCH("case",E209)),"COM_MISC_REFR_ALL_UNKN1991",IF('Proposed Lighting'!AU206=3,"Commercial-All Com-ExtLight",IF('Proposed Lighting'!AH206&gt;8759,"IPC_8760","Commercial-All Com-IntLight")))</f>
        <v>IPC_8760</v>
      </c>
      <c r="C209" s="96" t="str">
        <f>IF(OR('Proposed Lighting'!DD206="Standard Incentive",'Proposed Lighting'!DD206="Non-Standard Incentive"),"Yes",IF(AND(IF(ISNUMBER(SEARCH("controls",'Proposed Lighting'!T206)),"True","False")="False",'Proposed Lighting'!DD206="Submit Control as Non-Standard"),"Yes","No"))</f>
        <v>No</v>
      </c>
      <c r="D209" s="1403">
        <f>'Proposed Lighting'!CV206-Q209</f>
        <v>0</v>
      </c>
      <c r="E209" s="143">
        <f>'Proposed Lighting'!T206</f>
        <v>0</v>
      </c>
      <c r="F209" s="143">
        <f>'Proposed Lighting'!F206</f>
        <v>0</v>
      </c>
      <c r="G209" s="96" t="s">
        <v>242</v>
      </c>
      <c r="H209" s="142" t="str">
        <f>'Proposed Lighting'!CP206</f>
        <v/>
      </c>
      <c r="I209" s="98">
        <v>1</v>
      </c>
      <c r="J209" s="142">
        <f>'Proposed Lighting'!AA206</f>
        <v>0</v>
      </c>
      <c r="K209" s="142" t="str">
        <f>IF(ISNUMBER(SEARCH("-C",'Proposed Lighting'!M206)),'Proposed Lighting'!AH206*0.9,'Proposed Lighting'!AH206)</f>
        <v/>
      </c>
      <c r="L209" s="142">
        <f>IFERROR(IF(OR('Proposed Lighting'!BC206=22,'Proposed Lighting'!BC206=44),1-25%,IF(OR('Proposed Lighting'!BC206=23,'Proposed Lighting'!BC206=46),1-30%,IF(OR('Proposed Lighting'!BC206=29,'Proposed Lighting'!BC206=39,'Proposed Lighting'!BC206=49),1-35%,IF(OR('Proposed Lighting'!BC206=24,'Proposed Lighting'!BC206=48),1-50%,IF(AND(ISNUMBER(SEARCH("-C",'Proposed Lighting'!M206)),'Proposed Lighting'!AU206=2),90%,100%)))))*'Proposed Lighting'!AH206,0)</f>
        <v>0</v>
      </c>
      <c r="M209" s="87">
        <f t="shared" si="45"/>
        <v>0</v>
      </c>
      <c r="N209" s="87">
        <f>IFERROR(IF('Proposed Lighting'!AU206=1,0,'Proposed Lighting'!AO206),0)</f>
        <v>0</v>
      </c>
      <c r="O209" s="88">
        <f>IF('Proposed Lighting'!AU206=1,0,'Proposed Lighting'!AP206)</f>
        <v>0</v>
      </c>
      <c r="P209" s="87">
        <f t="shared" si="46"/>
        <v>0</v>
      </c>
      <c r="Q209" s="98">
        <f t="shared" si="55"/>
        <v>0</v>
      </c>
      <c r="R209" s="99">
        <f>IFERROR(IF('Proposed Lighting'!T206="Lighting controls only",0,ROUND(IF('Proposed Lighting'!AQ206&lt;'Proposed Lighting'!AR206,0,IF('Proposed Lighting'!AH206=0,0,IF('Proposed Lighting'!BV206&gt;0,'Proposed Lighting'!BV206,IF('Proposed Lighting'!CL206=0,MIN('Proposed Lighting'!CN206:CO206),IF('Proposed Lighting'!CX206&gt;0,'Proposed Lighting'!CX206*'Proposed Lighting'!AA206,0))))),2)),0)</f>
        <v>0</v>
      </c>
      <c r="S209" s="99">
        <f>IF('Proposed Lighting'!AJ206&gt;0,'Proposed Lighting'!AJ206*J209,'Proposed Lighting'!$AU$328*J209)</f>
        <v>0</v>
      </c>
      <c r="T209" s="602">
        <f t="shared" si="47"/>
        <v>0</v>
      </c>
      <c r="U209" s="100"/>
      <c r="V209" s="99">
        <f t="shared" si="48"/>
        <v>0</v>
      </c>
      <c r="W209" s="99">
        <f t="shared" si="49"/>
        <v>0</v>
      </c>
      <c r="X209" s="99">
        <f t="shared" si="50"/>
        <v>0</v>
      </c>
      <c r="Y209" s="99"/>
      <c r="Z209" s="99">
        <f t="shared" si="56"/>
        <v>0</v>
      </c>
      <c r="AA209" s="99"/>
      <c r="AB209" s="99">
        <f t="shared" si="51"/>
        <v>0</v>
      </c>
      <c r="AC209" s="101" t="str">
        <f t="shared" si="52"/>
        <v/>
      </c>
      <c r="AD209" s="101" t="str">
        <f t="shared" si="53"/>
        <v/>
      </c>
      <c r="AE209" s="101" t="str">
        <f t="shared" si="54"/>
        <v/>
      </c>
      <c r="AF209" s="72"/>
      <c r="AG209" s="98">
        <f>IFERROR(IF($AV209="No",0,IF($AV209="yes",Summary!Q209,"")),"")</f>
        <v>0</v>
      </c>
      <c r="AH209" s="99">
        <f>IFERROR(IF($AV209="No",0,IF($AV209="yes",Summary!R209,"")),"")</f>
        <v>0</v>
      </c>
      <c r="AI209" s="99">
        <f>IFERROR(IF($AV209="No",0,IF($AV209="yes",Summary!S209,"")),"")</f>
        <v>0</v>
      </c>
      <c r="AJ209" s="602">
        <f>IFERROR(IF($AV209="No",0,IF($AV209="yes",Summary!T209,"")),"")</f>
        <v>0</v>
      </c>
      <c r="AK209" s="100">
        <f>IFERROR(IF($AV209="No",0,IF($AV209="yes",Summary!U209,"")),"")</f>
        <v>0</v>
      </c>
      <c r="AL209" s="99">
        <f>IFERROR(IF($AV209="No",0,IF($AV209="yes",Summary!V209,"")),"")</f>
        <v>0</v>
      </c>
      <c r="AM209" s="99">
        <f>IFERROR(IF($AV209="No",0,IF($AV209="yes",Summary!W209,"")),"")</f>
        <v>0</v>
      </c>
      <c r="AN209" s="99">
        <f>IFERROR(IF($AV209="No",0,IF($AV209="yes",Summary!X209,"")),"")</f>
        <v>0</v>
      </c>
      <c r="AO209" s="99">
        <f>IFERROR(IF($AV209="No",0,IF($AV209="yes",Summary!Y209+Z209,"")),"")</f>
        <v>0</v>
      </c>
      <c r="AP209" s="99">
        <f>IFERROR(IF($AV209="No",0,IF($AV209="yes",Summary!AB209,"")),"")</f>
        <v>0</v>
      </c>
      <c r="AQ209" s="101" t="str">
        <f t="shared" si="57"/>
        <v/>
      </c>
      <c r="AR209" s="101" t="str">
        <f t="shared" si="58"/>
        <v/>
      </c>
      <c r="AS209" s="101" t="str">
        <f t="shared" si="59"/>
        <v/>
      </c>
      <c r="AT209" s="96" t="s">
        <v>623</v>
      </c>
      <c r="AV209" t="str">
        <f>IF('Proposed Lighting'!CN206&gt;0,"No","Yes")</f>
        <v>Yes</v>
      </c>
    </row>
    <row r="210" spans="1:48" ht="34.5" customHeight="1" outlineLevel="1">
      <c r="A210" s="96" t="s">
        <v>624</v>
      </c>
      <c r="B210" s="96" t="str">
        <f>IF(ISNUMBER(SEARCH("case",E210)),"COM_MISC_REFR_ALL_UNKN1991",IF('Proposed Lighting'!AU207=3,"Commercial-All Com-ExtLight",IF('Proposed Lighting'!AH207&gt;8759,"IPC_8760","Commercial-All Com-IntLight")))</f>
        <v>IPC_8760</v>
      </c>
      <c r="C210" s="96" t="str">
        <f>IF(OR('Proposed Lighting'!DD207="Standard Incentive",'Proposed Lighting'!DD207="Non-Standard Incentive"),"Yes",IF(AND(IF(ISNUMBER(SEARCH("controls",'Proposed Lighting'!T207)),"True","False")="False",'Proposed Lighting'!DD207="Submit Control as Non-Standard"),"Yes","No"))</f>
        <v>No</v>
      </c>
      <c r="D210" s="1403">
        <f>'Proposed Lighting'!CV207-Q210</f>
        <v>0</v>
      </c>
      <c r="E210" s="143">
        <f>'Proposed Lighting'!T207</f>
        <v>0</v>
      </c>
      <c r="F210" s="143">
        <f>'Proposed Lighting'!F207</f>
        <v>0</v>
      </c>
      <c r="G210" s="96" t="s">
        <v>242</v>
      </c>
      <c r="H210" s="142" t="str">
        <f>'Proposed Lighting'!CP207</f>
        <v/>
      </c>
      <c r="I210" s="98">
        <v>1</v>
      </c>
      <c r="J210" s="142">
        <f>'Proposed Lighting'!AA207</f>
        <v>0</v>
      </c>
      <c r="K210" s="142" t="str">
        <f>IF(ISNUMBER(SEARCH("-C",'Proposed Lighting'!M207)),'Proposed Lighting'!AH207*0.9,'Proposed Lighting'!AH207)</f>
        <v/>
      </c>
      <c r="L210" s="142">
        <f>IFERROR(IF(OR('Proposed Lighting'!BC207=22,'Proposed Lighting'!BC207=44),1-25%,IF(OR('Proposed Lighting'!BC207=23,'Proposed Lighting'!BC207=46),1-30%,IF(OR('Proposed Lighting'!BC207=29,'Proposed Lighting'!BC207=39,'Proposed Lighting'!BC207=49),1-35%,IF(OR('Proposed Lighting'!BC207=24,'Proposed Lighting'!BC207=48),1-50%,IF(AND(ISNUMBER(SEARCH("-C",'Proposed Lighting'!M207)),'Proposed Lighting'!AU207=2),90%,100%)))))*'Proposed Lighting'!AH207,0)</f>
        <v>0</v>
      </c>
      <c r="M210" s="87">
        <f t="shared" si="45"/>
        <v>0</v>
      </c>
      <c r="N210" s="87">
        <f>IFERROR(IF('Proposed Lighting'!AU207=1,0,'Proposed Lighting'!AO207),0)</f>
        <v>0</v>
      </c>
      <c r="O210" s="88">
        <f>IF('Proposed Lighting'!AU207=1,0,'Proposed Lighting'!AP207)</f>
        <v>0</v>
      </c>
      <c r="P210" s="87">
        <f t="shared" si="46"/>
        <v>0</v>
      </c>
      <c r="Q210" s="98">
        <f t="shared" si="55"/>
        <v>0</v>
      </c>
      <c r="R210" s="99">
        <f>IFERROR(IF('Proposed Lighting'!T207="Lighting controls only",0,ROUND(IF('Proposed Lighting'!AQ207&lt;'Proposed Lighting'!AR207,0,IF('Proposed Lighting'!AH207=0,0,IF('Proposed Lighting'!BV207&gt;0,'Proposed Lighting'!BV207,IF('Proposed Lighting'!CL207=0,MIN('Proposed Lighting'!CN207:CO207),IF('Proposed Lighting'!CX207&gt;0,'Proposed Lighting'!CX207*'Proposed Lighting'!AA207,0))))),2)),0)</f>
        <v>0</v>
      </c>
      <c r="S210" s="99">
        <f>IF('Proposed Lighting'!AJ207&gt;0,'Proposed Lighting'!AJ207*J210,'Proposed Lighting'!$AU$328*J210)</f>
        <v>0</v>
      </c>
      <c r="T210" s="602">
        <f t="shared" si="47"/>
        <v>0</v>
      </c>
      <c r="U210" s="100"/>
      <c r="V210" s="99">
        <f t="shared" si="48"/>
        <v>0</v>
      </c>
      <c r="W210" s="99">
        <f t="shared" si="49"/>
        <v>0</v>
      </c>
      <c r="X210" s="99">
        <f t="shared" si="50"/>
        <v>0</v>
      </c>
      <c r="Y210" s="99"/>
      <c r="Z210" s="99">
        <f t="shared" si="56"/>
        <v>0</v>
      </c>
      <c r="AA210" s="99"/>
      <c r="AB210" s="99">
        <f t="shared" si="51"/>
        <v>0</v>
      </c>
      <c r="AC210" s="101" t="str">
        <f t="shared" si="52"/>
        <v/>
      </c>
      <c r="AD210" s="101" t="str">
        <f t="shared" si="53"/>
        <v/>
      </c>
      <c r="AE210" s="101" t="str">
        <f t="shared" si="54"/>
        <v/>
      </c>
      <c r="AF210" s="72"/>
      <c r="AG210" s="98">
        <f>IFERROR(IF($AV210="No",0,IF($AV210="yes",Summary!Q210,"")),"")</f>
        <v>0</v>
      </c>
      <c r="AH210" s="99">
        <f>IFERROR(IF($AV210="No",0,IF($AV210="yes",Summary!R210,"")),"")</f>
        <v>0</v>
      </c>
      <c r="AI210" s="99">
        <f>IFERROR(IF($AV210="No",0,IF($AV210="yes",Summary!S210,"")),"")</f>
        <v>0</v>
      </c>
      <c r="AJ210" s="602">
        <f>IFERROR(IF($AV210="No",0,IF($AV210="yes",Summary!T210,"")),"")</f>
        <v>0</v>
      </c>
      <c r="AK210" s="100">
        <f>IFERROR(IF($AV210="No",0,IF($AV210="yes",Summary!U210,"")),"")</f>
        <v>0</v>
      </c>
      <c r="AL210" s="99">
        <f>IFERROR(IF($AV210="No",0,IF($AV210="yes",Summary!V210,"")),"")</f>
        <v>0</v>
      </c>
      <c r="AM210" s="99">
        <f>IFERROR(IF($AV210="No",0,IF($AV210="yes",Summary!W210,"")),"")</f>
        <v>0</v>
      </c>
      <c r="AN210" s="99">
        <f>IFERROR(IF($AV210="No",0,IF($AV210="yes",Summary!X210,"")),"")</f>
        <v>0</v>
      </c>
      <c r="AO210" s="99">
        <f>IFERROR(IF($AV210="No",0,IF($AV210="yes",Summary!Y210+Z210,"")),"")</f>
        <v>0</v>
      </c>
      <c r="AP210" s="99">
        <f>IFERROR(IF($AV210="No",0,IF($AV210="yes",Summary!AB210,"")),"")</f>
        <v>0</v>
      </c>
      <c r="AQ210" s="101" t="str">
        <f t="shared" si="57"/>
        <v/>
      </c>
      <c r="AR210" s="101" t="str">
        <f t="shared" si="58"/>
        <v/>
      </c>
      <c r="AS210" s="101" t="str">
        <f t="shared" si="59"/>
        <v/>
      </c>
      <c r="AT210" s="96" t="s">
        <v>624</v>
      </c>
      <c r="AV210" t="str">
        <f>IF('Proposed Lighting'!CN207&gt;0,"No","Yes")</f>
        <v>Yes</v>
      </c>
    </row>
    <row r="211" spans="1:48" ht="34.5" customHeight="1" outlineLevel="1">
      <c r="A211" s="96" t="s">
        <v>625</v>
      </c>
      <c r="B211" s="96" t="str">
        <f>IF(ISNUMBER(SEARCH("case",E211)),"COM_MISC_REFR_ALL_UNKN1991",IF('Proposed Lighting'!AU208=3,"Commercial-All Com-ExtLight",IF('Proposed Lighting'!AH208&gt;8759,"IPC_8760","Commercial-All Com-IntLight")))</f>
        <v>IPC_8760</v>
      </c>
      <c r="C211" s="96" t="str">
        <f>IF(OR('Proposed Lighting'!DD208="Standard Incentive",'Proposed Lighting'!DD208="Non-Standard Incentive"),"Yes",IF(AND(IF(ISNUMBER(SEARCH("controls",'Proposed Lighting'!T208)),"True","False")="False",'Proposed Lighting'!DD208="Submit Control as Non-Standard"),"Yes","No"))</f>
        <v>No</v>
      </c>
      <c r="D211" s="1403">
        <f>'Proposed Lighting'!CV208-Q211</f>
        <v>0</v>
      </c>
      <c r="E211" s="143">
        <f>'Proposed Lighting'!T208</f>
        <v>0</v>
      </c>
      <c r="F211" s="143">
        <f>'Proposed Lighting'!F208</f>
        <v>0</v>
      </c>
      <c r="G211" s="96" t="s">
        <v>242</v>
      </c>
      <c r="H211" s="142" t="str">
        <f>'Proposed Lighting'!CP208</f>
        <v/>
      </c>
      <c r="I211" s="98">
        <v>1</v>
      </c>
      <c r="J211" s="142">
        <f>'Proposed Lighting'!AA208</f>
        <v>0</v>
      </c>
      <c r="K211" s="142" t="str">
        <f>IF(ISNUMBER(SEARCH("-C",'Proposed Lighting'!M208)),'Proposed Lighting'!AH208*0.9,'Proposed Lighting'!AH208)</f>
        <v/>
      </c>
      <c r="L211" s="142">
        <f>IFERROR(IF(OR('Proposed Lighting'!BC208=22,'Proposed Lighting'!BC208=44),1-25%,IF(OR('Proposed Lighting'!BC208=23,'Proposed Lighting'!BC208=46),1-30%,IF(OR('Proposed Lighting'!BC208=29,'Proposed Lighting'!BC208=39,'Proposed Lighting'!BC208=49),1-35%,IF(OR('Proposed Lighting'!BC208=24,'Proposed Lighting'!BC208=48),1-50%,IF(AND(ISNUMBER(SEARCH("-C",'Proposed Lighting'!M208)),'Proposed Lighting'!AU208=2),90%,100%)))))*'Proposed Lighting'!AH208,0)</f>
        <v>0</v>
      </c>
      <c r="M211" s="87">
        <f t="shared" si="45"/>
        <v>0</v>
      </c>
      <c r="N211" s="87">
        <f>IFERROR(IF('Proposed Lighting'!AU208=1,0,'Proposed Lighting'!AO208),0)</f>
        <v>0</v>
      </c>
      <c r="O211" s="88">
        <f>IF('Proposed Lighting'!AU208=1,0,'Proposed Lighting'!AP208)</f>
        <v>0</v>
      </c>
      <c r="P211" s="87">
        <f t="shared" si="46"/>
        <v>0</v>
      </c>
      <c r="Q211" s="98">
        <f t="shared" si="55"/>
        <v>0</v>
      </c>
      <c r="R211" s="99">
        <f>IFERROR(IF('Proposed Lighting'!T208="Lighting controls only",0,ROUND(IF('Proposed Lighting'!AQ208&lt;'Proposed Lighting'!AR208,0,IF('Proposed Lighting'!AH208=0,0,IF('Proposed Lighting'!BV208&gt;0,'Proposed Lighting'!BV208,IF('Proposed Lighting'!CL208=0,MIN('Proposed Lighting'!CN208:CO208),IF('Proposed Lighting'!CX208&gt;0,'Proposed Lighting'!CX208*'Proposed Lighting'!AA208,0))))),2)),0)</f>
        <v>0</v>
      </c>
      <c r="S211" s="99">
        <f>IF('Proposed Lighting'!AJ208&gt;0,'Proposed Lighting'!AJ208*J211,'Proposed Lighting'!$AU$328*J211)</f>
        <v>0</v>
      </c>
      <c r="T211" s="602">
        <f t="shared" si="47"/>
        <v>0</v>
      </c>
      <c r="U211" s="100"/>
      <c r="V211" s="99">
        <f t="shared" si="48"/>
        <v>0</v>
      </c>
      <c r="W211" s="99">
        <f t="shared" si="49"/>
        <v>0</v>
      </c>
      <c r="X211" s="99">
        <f t="shared" si="50"/>
        <v>0</v>
      </c>
      <c r="Y211" s="99"/>
      <c r="Z211" s="99">
        <f t="shared" si="56"/>
        <v>0</v>
      </c>
      <c r="AA211" s="99"/>
      <c r="AB211" s="99">
        <f t="shared" si="51"/>
        <v>0</v>
      </c>
      <c r="AC211" s="101" t="str">
        <f t="shared" si="52"/>
        <v/>
      </c>
      <c r="AD211" s="101" t="str">
        <f t="shared" si="53"/>
        <v/>
      </c>
      <c r="AE211" s="101" t="str">
        <f t="shared" si="54"/>
        <v/>
      </c>
      <c r="AF211" s="72"/>
      <c r="AG211" s="98">
        <f>IFERROR(IF($AV211="No",0,IF($AV211="yes",Summary!Q211,"")),"")</f>
        <v>0</v>
      </c>
      <c r="AH211" s="99">
        <f>IFERROR(IF($AV211="No",0,IF($AV211="yes",Summary!R211,"")),"")</f>
        <v>0</v>
      </c>
      <c r="AI211" s="99">
        <f>IFERROR(IF($AV211="No",0,IF($AV211="yes",Summary!S211,"")),"")</f>
        <v>0</v>
      </c>
      <c r="AJ211" s="602">
        <f>IFERROR(IF($AV211="No",0,IF($AV211="yes",Summary!T211,"")),"")</f>
        <v>0</v>
      </c>
      <c r="AK211" s="100">
        <f>IFERROR(IF($AV211="No",0,IF($AV211="yes",Summary!U211,"")),"")</f>
        <v>0</v>
      </c>
      <c r="AL211" s="99">
        <f>IFERROR(IF($AV211="No",0,IF($AV211="yes",Summary!V211,"")),"")</f>
        <v>0</v>
      </c>
      <c r="AM211" s="99">
        <f>IFERROR(IF($AV211="No",0,IF($AV211="yes",Summary!W211,"")),"")</f>
        <v>0</v>
      </c>
      <c r="AN211" s="99">
        <f>IFERROR(IF($AV211="No",0,IF($AV211="yes",Summary!X211,"")),"")</f>
        <v>0</v>
      </c>
      <c r="AO211" s="99">
        <f>IFERROR(IF($AV211="No",0,IF($AV211="yes",Summary!Y211+Z211,"")),"")</f>
        <v>0</v>
      </c>
      <c r="AP211" s="99">
        <f>IFERROR(IF($AV211="No",0,IF($AV211="yes",Summary!AB211,"")),"")</f>
        <v>0</v>
      </c>
      <c r="AQ211" s="101" t="str">
        <f t="shared" si="57"/>
        <v/>
      </c>
      <c r="AR211" s="101" t="str">
        <f t="shared" si="58"/>
        <v/>
      </c>
      <c r="AS211" s="101" t="str">
        <f t="shared" si="59"/>
        <v/>
      </c>
      <c r="AT211" s="96" t="s">
        <v>625</v>
      </c>
      <c r="AV211" t="str">
        <f>IF('Proposed Lighting'!CN208&gt;0,"No","Yes")</f>
        <v>Yes</v>
      </c>
    </row>
    <row r="212" spans="1:48" ht="34.5" customHeight="1" outlineLevel="1">
      <c r="A212" s="96" t="s">
        <v>626</v>
      </c>
      <c r="B212" s="96" t="str">
        <f>IF(ISNUMBER(SEARCH("case",E212)),"COM_MISC_REFR_ALL_UNKN1991",IF('Proposed Lighting'!AU209=3,"Commercial-All Com-ExtLight",IF('Proposed Lighting'!AH209&gt;8759,"IPC_8760","Commercial-All Com-IntLight")))</f>
        <v>IPC_8760</v>
      </c>
      <c r="C212" s="96" t="str">
        <f>IF(OR('Proposed Lighting'!DD209="Standard Incentive",'Proposed Lighting'!DD209="Non-Standard Incentive"),"Yes",IF(AND(IF(ISNUMBER(SEARCH("controls",'Proposed Lighting'!T209)),"True","False")="False",'Proposed Lighting'!DD209="Submit Control as Non-Standard"),"Yes","No"))</f>
        <v>No</v>
      </c>
      <c r="D212" s="1403">
        <f>'Proposed Lighting'!CV209-Q212</f>
        <v>0</v>
      </c>
      <c r="E212" s="143">
        <f>'Proposed Lighting'!T209</f>
        <v>0</v>
      </c>
      <c r="F212" s="143">
        <f>'Proposed Lighting'!F209</f>
        <v>0</v>
      </c>
      <c r="G212" s="96" t="s">
        <v>242</v>
      </c>
      <c r="H212" s="142" t="str">
        <f>'Proposed Lighting'!CP209</f>
        <v/>
      </c>
      <c r="I212" s="98">
        <v>1</v>
      </c>
      <c r="J212" s="142">
        <f>'Proposed Lighting'!AA209</f>
        <v>0</v>
      </c>
      <c r="K212" s="142" t="str">
        <f>IF(ISNUMBER(SEARCH("-C",'Proposed Lighting'!M209)),'Proposed Lighting'!AH209*0.9,'Proposed Lighting'!AH209)</f>
        <v/>
      </c>
      <c r="L212" s="142">
        <f>IFERROR(IF(OR('Proposed Lighting'!BC209=22,'Proposed Lighting'!BC209=44),1-25%,IF(OR('Proposed Lighting'!BC209=23,'Proposed Lighting'!BC209=46),1-30%,IF(OR('Proposed Lighting'!BC209=29,'Proposed Lighting'!BC209=39,'Proposed Lighting'!BC209=49),1-35%,IF(OR('Proposed Lighting'!BC209=24,'Proposed Lighting'!BC209=48),1-50%,IF(AND(ISNUMBER(SEARCH("-C",'Proposed Lighting'!M209)),'Proposed Lighting'!AU209=2),90%,100%)))))*'Proposed Lighting'!AH209,0)</f>
        <v>0</v>
      </c>
      <c r="M212" s="87">
        <f t="shared" si="45"/>
        <v>0</v>
      </c>
      <c r="N212" s="87">
        <f>IFERROR(IF('Proposed Lighting'!AU209=1,0,'Proposed Lighting'!AO209),0)</f>
        <v>0</v>
      </c>
      <c r="O212" s="88">
        <f>IF('Proposed Lighting'!AU209=1,0,'Proposed Lighting'!AP209)</f>
        <v>0</v>
      </c>
      <c r="P212" s="87">
        <f t="shared" si="46"/>
        <v>0</v>
      </c>
      <c r="Q212" s="98">
        <f t="shared" si="55"/>
        <v>0</v>
      </c>
      <c r="R212" s="99">
        <f>IFERROR(IF('Proposed Lighting'!T209="Lighting controls only",0,ROUND(IF('Proposed Lighting'!AQ209&lt;'Proposed Lighting'!AR209,0,IF('Proposed Lighting'!AH209=0,0,IF('Proposed Lighting'!BV209&gt;0,'Proposed Lighting'!BV209,IF('Proposed Lighting'!CL209=0,MIN('Proposed Lighting'!CN209:CO209),IF('Proposed Lighting'!CX209&gt;0,'Proposed Lighting'!CX209*'Proposed Lighting'!AA209,0))))),2)),0)</f>
        <v>0</v>
      </c>
      <c r="S212" s="99">
        <f>IF('Proposed Lighting'!AJ209&gt;0,'Proposed Lighting'!AJ209*J212,'Proposed Lighting'!$AU$328*J212)</f>
        <v>0</v>
      </c>
      <c r="T212" s="602">
        <f t="shared" si="47"/>
        <v>0</v>
      </c>
      <c r="U212" s="100"/>
      <c r="V212" s="99">
        <f t="shared" si="48"/>
        <v>0</v>
      </c>
      <c r="W212" s="99">
        <f t="shared" si="49"/>
        <v>0</v>
      </c>
      <c r="X212" s="99">
        <f t="shared" si="50"/>
        <v>0</v>
      </c>
      <c r="Y212" s="99"/>
      <c r="Z212" s="99">
        <f t="shared" si="56"/>
        <v>0</v>
      </c>
      <c r="AA212" s="99"/>
      <c r="AB212" s="99">
        <f t="shared" si="51"/>
        <v>0</v>
      </c>
      <c r="AC212" s="101" t="str">
        <f t="shared" si="52"/>
        <v/>
      </c>
      <c r="AD212" s="101" t="str">
        <f t="shared" si="53"/>
        <v/>
      </c>
      <c r="AE212" s="101" t="str">
        <f t="shared" si="54"/>
        <v/>
      </c>
      <c r="AF212" s="72"/>
      <c r="AG212" s="98">
        <f>IFERROR(IF($AV212="No",0,IF($AV212="yes",Summary!Q212,"")),"")</f>
        <v>0</v>
      </c>
      <c r="AH212" s="99">
        <f>IFERROR(IF($AV212="No",0,IF($AV212="yes",Summary!R212,"")),"")</f>
        <v>0</v>
      </c>
      <c r="AI212" s="99">
        <f>IFERROR(IF($AV212="No",0,IF($AV212="yes",Summary!S212,"")),"")</f>
        <v>0</v>
      </c>
      <c r="AJ212" s="602">
        <f>IFERROR(IF($AV212="No",0,IF($AV212="yes",Summary!T212,"")),"")</f>
        <v>0</v>
      </c>
      <c r="AK212" s="100">
        <f>IFERROR(IF($AV212="No",0,IF($AV212="yes",Summary!U212,"")),"")</f>
        <v>0</v>
      </c>
      <c r="AL212" s="99">
        <f>IFERROR(IF($AV212="No",0,IF($AV212="yes",Summary!V212,"")),"")</f>
        <v>0</v>
      </c>
      <c r="AM212" s="99">
        <f>IFERROR(IF($AV212="No",0,IF($AV212="yes",Summary!W212,"")),"")</f>
        <v>0</v>
      </c>
      <c r="AN212" s="99">
        <f>IFERROR(IF($AV212="No",0,IF($AV212="yes",Summary!X212,"")),"")</f>
        <v>0</v>
      </c>
      <c r="AO212" s="99">
        <f>IFERROR(IF($AV212="No",0,IF($AV212="yes",Summary!Y212+Z212,"")),"")</f>
        <v>0</v>
      </c>
      <c r="AP212" s="99">
        <f>IFERROR(IF($AV212="No",0,IF($AV212="yes",Summary!AB212,"")),"")</f>
        <v>0</v>
      </c>
      <c r="AQ212" s="101" t="str">
        <f t="shared" si="57"/>
        <v/>
      </c>
      <c r="AR212" s="101" t="str">
        <f t="shared" si="58"/>
        <v/>
      </c>
      <c r="AS212" s="101" t="str">
        <f t="shared" si="59"/>
        <v/>
      </c>
      <c r="AT212" s="96" t="s">
        <v>626</v>
      </c>
      <c r="AV212" t="str">
        <f>IF('Proposed Lighting'!CN209&gt;0,"No","Yes")</f>
        <v>Yes</v>
      </c>
    </row>
    <row r="213" spans="1:48" ht="34.5" customHeight="1" outlineLevel="1">
      <c r="A213" s="96" t="s">
        <v>627</v>
      </c>
      <c r="B213" s="96" t="str">
        <f>IF(ISNUMBER(SEARCH("case",E213)),"COM_MISC_REFR_ALL_UNKN1991",IF('Proposed Lighting'!AU210=3,"Commercial-All Com-ExtLight",IF('Proposed Lighting'!AH210&gt;8759,"IPC_8760","Commercial-All Com-IntLight")))</f>
        <v>IPC_8760</v>
      </c>
      <c r="C213" s="96" t="str">
        <f>IF(OR('Proposed Lighting'!DD210="Standard Incentive",'Proposed Lighting'!DD210="Non-Standard Incentive"),"Yes",IF(AND(IF(ISNUMBER(SEARCH("controls",'Proposed Lighting'!T210)),"True","False")="False",'Proposed Lighting'!DD210="Submit Control as Non-Standard"),"Yes","No"))</f>
        <v>No</v>
      </c>
      <c r="D213" s="1403">
        <f>'Proposed Lighting'!CV210-Q213</f>
        <v>0</v>
      </c>
      <c r="E213" s="143">
        <f>'Proposed Lighting'!T210</f>
        <v>0</v>
      </c>
      <c r="F213" s="143">
        <f>'Proposed Lighting'!F210</f>
        <v>0</v>
      </c>
      <c r="G213" s="96" t="s">
        <v>242</v>
      </c>
      <c r="H213" s="142" t="str">
        <f>'Proposed Lighting'!CP210</f>
        <v/>
      </c>
      <c r="I213" s="98">
        <v>1</v>
      </c>
      <c r="J213" s="142">
        <f>'Proposed Lighting'!AA210</f>
        <v>0</v>
      </c>
      <c r="K213" s="142" t="str">
        <f>IF(ISNUMBER(SEARCH("-C",'Proposed Lighting'!M210)),'Proposed Lighting'!AH210*0.9,'Proposed Lighting'!AH210)</f>
        <v/>
      </c>
      <c r="L213" s="142">
        <f>IFERROR(IF(OR('Proposed Lighting'!BC210=22,'Proposed Lighting'!BC210=44),1-25%,IF(OR('Proposed Lighting'!BC210=23,'Proposed Lighting'!BC210=46),1-30%,IF(OR('Proposed Lighting'!BC210=29,'Proposed Lighting'!BC210=39,'Proposed Lighting'!BC210=49),1-35%,IF(OR('Proposed Lighting'!BC210=24,'Proposed Lighting'!BC210=48),1-50%,IF(AND(ISNUMBER(SEARCH("-C",'Proposed Lighting'!M210)),'Proposed Lighting'!AU210=2),90%,100%)))))*'Proposed Lighting'!AH210,0)</f>
        <v>0</v>
      </c>
      <c r="M213" s="87">
        <f t="shared" si="45"/>
        <v>0</v>
      </c>
      <c r="N213" s="87">
        <f>IFERROR(IF('Proposed Lighting'!AU210=1,0,'Proposed Lighting'!AO210),0)</f>
        <v>0</v>
      </c>
      <c r="O213" s="88">
        <f>IF('Proposed Lighting'!AU210=1,0,'Proposed Lighting'!AP210)</f>
        <v>0</v>
      </c>
      <c r="P213" s="87">
        <f t="shared" si="46"/>
        <v>0</v>
      </c>
      <c r="Q213" s="98">
        <f t="shared" si="55"/>
        <v>0</v>
      </c>
      <c r="R213" s="99">
        <f>IFERROR(IF('Proposed Lighting'!T210="Lighting controls only",0,ROUND(IF('Proposed Lighting'!AQ210&lt;'Proposed Lighting'!AR210,0,IF('Proposed Lighting'!AH210=0,0,IF('Proposed Lighting'!BV210&gt;0,'Proposed Lighting'!BV210,IF('Proposed Lighting'!CL210=0,MIN('Proposed Lighting'!CN210:CO210),IF('Proposed Lighting'!CX210&gt;0,'Proposed Lighting'!CX210*'Proposed Lighting'!AA210,0))))),2)),0)</f>
        <v>0</v>
      </c>
      <c r="S213" s="99">
        <f>IF('Proposed Lighting'!AJ210&gt;0,'Proposed Lighting'!AJ210*J213,'Proposed Lighting'!$AU$328*J213)</f>
        <v>0</v>
      </c>
      <c r="T213" s="602">
        <f t="shared" si="47"/>
        <v>0</v>
      </c>
      <c r="U213" s="100"/>
      <c r="V213" s="99">
        <f t="shared" si="48"/>
        <v>0</v>
      </c>
      <c r="W213" s="99">
        <f t="shared" si="49"/>
        <v>0</v>
      </c>
      <c r="X213" s="99">
        <f t="shared" si="50"/>
        <v>0</v>
      </c>
      <c r="Y213" s="99"/>
      <c r="Z213" s="99">
        <f t="shared" si="56"/>
        <v>0</v>
      </c>
      <c r="AA213" s="99"/>
      <c r="AB213" s="99">
        <f t="shared" si="51"/>
        <v>0</v>
      </c>
      <c r="AC213" s="101" t="str">
        <f t="shared" si="52"/>
        <v/>
      </c>
      <c r="AD213" s="101" t="str">
        <f t="shared" si="53"/>
        <v/>
      </c>
      <c r="AE213" s="101" t="str">
        <f t="shared" si="54"/>
        <v/>
      </c>
      <c r="AF213" s="72"/>
      <c r="AG213" s="98">
        <f>IFERROR(IF($AV213="No",0,IF($AV213="yes",Summary!Q213,"")),"")</f>
        <v>0</v>
      </c>
      <c r="AH213" s="99">
        <f>IFERROR(IF($AV213="No",0,IF($AV213="yes",Summary!R213,"")),"")</f>
        <v>0</v>
      </c>
      <c r="AI213" s="99">
        <f>IFERROR(IF($AV213="No",0,IF($AV213="yes",Summary!S213,"")),"")</f>
        <v>0</v>
      </c>
      <c r="AJ213" s="602">
        <f>IFERROR(IF($AV213="No",0,IF($AV213="yes",Summary!T213,"")),"")</f>
        <v>0</v>
      </c>
      <c r="AK213" s="100">
        <f>IFERROR(IF($AV213="No",0,IF($AV213="yes",Summary!U213,"")),"")</f>
        <v>0</v>
      </c>
      <c r="AL213" s="99">
        <f>IFERROR(IF($AV213="No",0,IF($AV213="yes",Summary!V213,"")),"")</f>
        <v>0</v>
      </c>
      <c r="AM213" s="99">
        <f>IFERROR(IF($AV213="No",0,IF($AV213="yes",Summary!W213,"")),"")</f>
        <v>0</v>
      </c>
      <c r="AN213" s="99">
        <f>IFERROR(IF($AV213="No",0,IF($AV213="yes",Summary!X213,"")),"")</f>
        <v>0</v>
      </c>
      <c r="AO213" s="99">
        <f>IFERROR(IF($AV213="No",0,IF($AV213="yes",Summary!Y213+Z213,"")),"")</f>
        <v>0</v>
      </c>
      <c r="AP213" s="99">
        <f>IFERROR(IF($AV213="No",0,IF($AV213="yes",Summary!AB213,"")),"")</f>
        <v>0</v>
      </c>
      <c r="AQ213" s="101" t="str">
        <f t="shared" si="57"/>
        <v/>
      </c>
      <c r="AR213" s="101" t="str">
        <f t="shared" si="58"/>
        <v/>
      </c>
      <c r="AS213" s="101" t="str">
        <f t="shared" si="59"/>
        <v/>
      </c>
      <c r="AT213" s="96" t="s">
        <v>627</v>
      </c>
      <c r="AV213" t="str">
        <f>IF('Proposed Lighting'!CN210&gt;0,"No","Yes")</f>
        <v>Yes</v>
      </c>
    </row>
    <row r="214" spans="1:48" ht="34.5" customHeight="1" outlineLevel="1">
      <c r="A214" s="96" t="s">
        <v>628</v>
      </c>
      <c r="B214" s="96" t="str">
        <f>IF(ISNUMBER(SEARCH("case",E214)),"COM_MISC_REFR_ALL_UNKN1991",IF('Proposed Lighting'!AU211=3,"Commercial-All Com-ExtLight",IF('Proposed Lighting'!AH211&gt;8759,"IPC_8760","Commercial-All Com-IntLight")))</f>
        <v>IPC_8760</v>
      </c>
      <c r="C214" s="96" t="str">
        <f>IF(OR('Proposed Lighting'!DD211="Standard Incentive",'Proposed Lighting'!DD211="Non-Standard Incentive"),"Yes",IF(AND(IF(ISNUMBER(SEARCH("controls",'Proposed Lighting'!T211)),"True","False")="False",'Proposed Lighting'!DD211="Submit Control as Non-Standard"),"Yes","No"))</f>
        <v>No</v>
      </c>
      <c r="D214" s="1403">
        <f>'Proposed Lighting'!CV211-Q214</f>
        <v>0</v>
      </c>
      <c r="E214" s="143">
        <f>'Proposed Lighting'!T211</f>
        <v>0</v>
      </c>
      <c r="F214" s="143">
        <f>'Proposed Lighting'!F211</f>
        <v>0</v>
      </c>
      <c r="G214" s="96" t="s">
        <v>242</v>
      </c>
      <c r="H214" s="142" t="str">
        <f>'Proposed Lighting'!CP211</f>
        <v/>
      </c>
      <c r="I214" s="98">
        <v>1</v>
      </c>
      <c r="J214" s="142">
        <f>'Proposed Lighting'!AA211</f>
        <v>0</v>
      </c>
      <c r="K214" s="142" t="str">
        <f>IF(ISNUMBER(SEARCH("-C",'Proposed Lighting'!M211)),'Proposed Lighting'!AH211*0.9,'Proposed Lighting'!AH211)</f>
        <v/>
      </c>
      <c r="L214" s="142">
        <f>IFERROR(IF(OR('Proposed Lighting'!BC211=22,'Proposed Lighting'!BC211=44),1-25%,IF(OR('Proposed Lighting'!BC211=23,'Proposed Lighting'!BC211=46),1-30%,IF(OR('Proposed Lighting'!BC211=29,'Proposed Lighting'!BC211=39,'Proposed Lighting'!BC211=49),1-35%,IF(OR('Proposed Lighting'!BC211=24,'Proposed Lighting'!BC211=48),1-50%,IF(AND(ISNUMBER(SEARCH("-C",'Proposed Lighting'!M211)),'Proposed Lighting'!AU211=2),90%,100%)))))*'Proposed Lighting'!AH211,0)</f>
        <v>0</v>
      </c>
      <c r="M214" s="87">
        <f t="shared" si="45"/>
        <v>0</v>
      </c>
      <c r="N214" s="87">
        <f>IFERROR(IF('Proposed Lighting'!AU211=1,0,'Proposed Lighting'!AO211),0)</f>
        <v>0</v>
      </c>
      <c r="O214" s="88">
        <f>IF('Proposed Lighting'!AU211=1,0,'Proposed Lighting'!AP211)</f>
        <v>0</v>
      </c>
      <c r="P214" s="87">
        <f t="shared" si="46"/>
        <v>0</v>
      </c>
      <c r="Q214" s="98">
        <f t="shared" si="55"/>
        <v>0</v>
      </c>
      <c r="R214" s="99">
        <f>IFERROR(IF('Proposed Lighting'!T211="Lighting controls only",0,ROUND(IF('Proposed Lighting'!AQ211&lt;'Proposed Lighting'!AR211,0,IF('Proposed Lighting'!AH211=0,0,IF('Proposed Lighting'!BV211&gt;0,'Proposed Lighting'!BV211,IF('Proposed Lighting'!CL211=0,MIN('Proposed Lighting'!CN211:CO211),IF('Proposed Lighting'!CX211&gt;0,'Proposed Lighting'!CX211*'Proposed Lighting'!AA211,0))))),2)),0)</f>
        <v>0</v>
      </c>
      <c r="S214" s="99">
        <f>IF('Proposed Lighting'!AJ211&gt;0,'Proposed Lighting'!AJ211*J214,'Proposed Lighting'!$AU$328*J214)</f>
        <v>0</v>
      </c>
      <c r="T214" s="602">
        <f t="shared" si="47"/>
        <v>0</v>
      </c>
      <c r="U214" s="100"/>
      <c r="V214" s="99">
        <f t="shared" si="48"/>
        <v>0</v>
      </c>
      <c r="W214" s="99">
        <f t="shared" si="49"/>
        <v>0</v>
      </c>
      <c r="X214" s="99">
        <f t="shared" si="50"/>
        <v>0</v>
      </c>
      <c r="Y214" s="99"/>
      <c r="Z214" s="99">
        <f t="shared" si="56"/>
        <v>0</v>
      </c>
      <c r="AA214" s="99"/>
      <c r="AB214" s="99">
        <f t="shared" si="51"/>
        <v>0</v>
      </c>
      <c r="AC214" s="101" t="str">
        <f t="shared" si="52"/>
        <v/>
      </c>
      <c r="AD214" s="101" t="str">
        <f t="shared" si="53"/>
        <v/>
      </c>
      <c r="AE214" s="101" t="str">
        <f t="shared" si="54"/>
        <v/>
      </c>
      <c r="AF214" s="72"/>
      <c r="AG214" s="98">
        <f>IFERROR(IF($AV214="No",0,IF($AV214="yes",Summary!Q214,"")),"")</f>
        <v>0</v>
      </c>
      <c r="AH214" s="99">
        <f>IFERROR(IF($AV214="No",0,IF($AV214="yes",Summary!R214,"")),"")</f>
        <v>0</v>
      </c>
      <c r="AI214" s="99">
        <f>IFERROR(IF($AV214="No",0,IF($AV214="yes",Summary!S214,"")),"")</f>
        <v>0</v>
      </c>
      <c r="AJ214" s="602">
        <f>IFERROR(IF($AV214="No",0,IF($AV214="yes",Summary!T214,"")),"")</f>
        <v>0</v>
      </c>
      <c r="AK214" s="100">
        <f>IFERROR(IF($AV214="No",0,IF($AV214="yes",Summary!U214,"")),"")</f>
        <v>0</v>
      </c>
      <c r="AL214" s="99">
        <f>IFERROR(IF($AV214="No",0,IF($AV214="yes",Summary!V214,"")),"")</f>
        <v>0</v>
      </c>
      <c r="AM214" s="99">
        <f>IFERROR(IF($AV214="No",0,IF($AV214="yes",Summary!W214,"")),"")</f>
        <v>0</v>
      </c>
      <c r="AN214" s="99">
        <f>IFERROR(IF($AV214="No",0,IF($AV214="yes",Summary!X214,"")),"")</f>
        <v>0</v>
      </c>
      <c r="AO214" s="99">
        <f>IFERROR(IF($AV214="No",0,IF($AV214="yes",Summary!Y214+Z214,"")),"")</f>
        <v>0</v>
      </c>
      <c r="AP214" s="99">
        <f>IFERROR(IF($AV214="No",0,IF($AV214="yes",Summary!AB214,"")),"")</f>
        <v>0</v>
      </c>
      <c r="AQ214" s="101" t="str">
        <f t="shared" si="57"/>
        <v/>
      </c>
      <c r="AR214" s="101" t="str">
        <f t="shared" si="58"/>
        <v/>
      </c>
      <c r="AS214" s="101" t="str">
        <f t="shared" si="59"/>
        <v/>
      </c>
      <c r="AT214" s="96" t="s">
        <v>628</v>
      </c>
      <c r="AV214" t="str">
        <f>IF('Proposed Lighting'!CN211&gt;0,"No","Yes")</f>
        <v>Yes</v>
      </c>
    </row>
    <row r="215" spans="1:48" ht="34.5" customHeight="1" outlineLevel="1">
      <c r="A215" s="96" t="s">
        <v>629</v>
      </c>
      <c r="B215" s="96" t="str">
        <f>IF(ISNUMBER(SEARCH("case",E215)),"COM_MISC_REFR_ALL_UNKN1991",IF('Proposed Lighting'!AU212=3,"Commercial-All Com-ExtLight",IF('Proposed Lighting'!AH212&gt;8759,"IPC_8760","Commercial-All Com-IntLight")))</f>
        <v>IPC_8760</v>
      </c>
      <c r="C215" s="96" t="str">
        <f>IF(OR('Proposed Lighting'!DD212="Standard Incentive",'Proposed Lighting'!DD212="Non-Standard Incentive"),"Yes",IF(AND(IF(ISNUMBER(SEARCH("controls",'Proposed Lighting'!T212)),"True","False")="False",'Proposed Lighting'!DD212="Submit Control as Non-Standard"),"Yes","No"))</f>
        <v>No</v>
      </c>
      <c r="D215" s="1403">
        <f>'Proposed Lighting'!CV212-Q215</f>
        <v>0</v>
      </c>
      <c r="E215" s="143">
        <f>'Proposed Lighting'!T212</f>
        <v>0</v>
      </c>
      <c r="F215" s="143">
        <f>'Proposed Lighting'!F212</f>
        <v>0</v>
      </c>
      <c r="G215" s="96" t="s">
        <v>242</v>
      </c>
      <c r="H215" s="142" t="str">
        <f>'Proposed Lighting'!CP212</f>
        <v/>
      </c>
      <c r="I215" s="98">
        <v>1</v>
      </c>
      <c r="J215" s="142">
        <f>'Proposed Lighting'!AA212</f>
        <v>0</v>
      </c>
      <c r="K215" s="142" t="str">
        <f>IF(ISNUMBER(SEARCH("-C",'Proposed Lighting'!M212)),'Proposed Lighting'!AH212*0.9,'Proposed Lighting'!AH212)</f>
        <v/>
      </c>
      <c r="L215" s="142">
        <f>IFERROR(IF(OR('Proposed Lighting'!BC212=22,'Proposed Lighting'!BC212=44),1-25%,IF(OR('Proposed Lighting'!BC212=23,'Proposed Lighting'!BC212=46),1-30%,IF(OR('Proposed Lighting'!BC212=29,'Proposed Lighting'!BC212=39,'Proposed Lighting'!BC212=49),1-35%,IF(OR('Proposed Lighting'!BC212=24,'Proposed Lighting'!BC212=48),1-50%,IF(AND(ISNUMBER(SEARCH("-C",'Proposed Lighting'!M212)),'Proposed Lighting'!AU212=2),90%,100%)))))*'Proposed Lighting'!AH212,0)</f>
        <v>0</v>
      </c>
      <c r="M215" s="87">
        <f t="shared" si="45"/>
        <v>0</v>
      </c>
      <c r="N215" s="87">
        <f>IFERROR(IF('Proposed Lighting'!AU212=1,0,'Proposed Lighting'!AO212),0)</f>
        <v>0</v>
      </c>
      <c r="O215" s="88">
        <f>IF('Proposed Lighting'!AU212=1,0,'Proposed Lighting'!AP212)</f>
        <v>0</v>
      </c>
      <c r="P215" s="87">
        <f t="shared" si="46"/>
        <v>0</v>
      </c>
      <c r="Q215" s="98">
        <f t="shared" si="55"/>
        <v>0</v>
      </c>
      <c r="R215" s="99">
        <f>IFERROR(IF('Proposed Lighting'!T212="Lighting controls only",0,ROUND(IF('Proposed Lighting'!AQ212&lt;'Proposed Lighting'!AR212,0,IF('Proposed Lighting'!AH212=0,0,IF('Proposed Lighting'!BV212&gt;0,'Proposed Lighting'!BV212,IF('Proposed Lighting'!CL212=0,MIN('Proposed Lighting'!CN212:CO212),IF('Proposed Lighting'!CX212&gt;0,'Proposed Lighting'!CX212*'Proposed Lighting'!AA212,0))))),2)),0)</f>
        <v>0</v>
      </c>
      <c r="S215" s="99">
        <f>IF('Proposed Lighting'!AJ212&gt;0,'Proposed Lighting'!AJ212*J215,'Proposed Lighting'!$AU$328*J215)</f>
        <v>0</v>
      </c>
      <c r="T215" s="602">
        <f t="shared" si="47"/>
        <v>0</v>
      </c>
      <c r="U215" s="100"/>
      <c r="V215" s="99">
        <f t="shared" si="48"/>
        <v>0</v>
      </c>
      <c r="W215" s="99">
        <f t="shared" si="49"/>
        <v>0</v>
      </c>
      <c r="X215" s="99">
        <f t="shared" si="50"/>
        <v>0</v>
      </c>
      <c r="Y215" s="99"/>
      <c r="Z215" s="99">
        <f t="shared" si="56"/>
        <v>0</v>
      </c>
      <c r="AA215" s="99"/>
      <c r="AB215" s="99">
        <f t="shared" si="51"/>
        <v>0</v>
      </c>
      <c r="AC215" s="101" t="str">
        <f t="shared" si="52"/>
        <v/>
      </c>
      <c r="AD215" s="101" t="str">
        <f t="shared" si="53"/>
        <v/>
      </c>
      <c r="AE215" s="101" t="str">
        <f t="shared" si="54"/>
        <v/>
      </c>
      <c r="AF215" s="72"/>
      <c r="AG215" s="98">
        <f>IFERROR(IF($AV215="No",0,IF($AV215="yes",Summary!Q215,"")),"")</f>
        <v>0</v>
      </c>
      <c r="AH215" s="99">
        <f>IFERROR(IF($AV215="No",0,IF($AV215="yes",Summary!R215,"")),"")</f>
        <v>0</v>
      </c>
      <c r="AI215" s="99">
        <f>IFERROR(IF($AV215="No",0,IF($AV215="yes",Summary!S215,"")),"")</f>
        <v>0</v>
      </c>
      <c r="AJ215" s="602">
        <f>IFERROR(IF($AV215="No",0,IF($AV215="yes",Summary!T215,"")),"")</f>
        <v>0</v>
      </c>
      <c r="AK215" s="100">
        <f>IFERROR(IF($AV215="No",0,IF($AV215="yes",Summary!U215,"")),"")</f>
        <v>0</v>
      </c>
      <c r="AL215" s="99">
        <f>IFERROR(IF($AV215="No",0,IF($AV215="yes",Summary!V215,"")),"")</f>
        <v>0</v>
      </c>
      <c r="AM215" s="99">
        <f>IFERROR(IF($AV215="No",0,IF($AV215="yes",Summary!W215,"")),"")</f>
        <v>0</v>
      </c>
      <c r="AN215" s="99">
        <f>IFERROR(IF($AV215="No",0,IF($AV215="yes",Summary!X215,"")),"")</f>
        <v>0</v>
      </c>
      <c r="AO215" s="99">
        <f>IFERROR(IF($AV215="No",0,IF($AV215="yes",Summary!Y215+Z215,"")),"")</f>
        <v>0</v>
      </c>
      <c r="AP215" s="99">
        <f>IFERROR(IF($AV215="No",0,IF($AV215="yes",Summary!AB215,"")),"")</f>
        <v>0</v>
      </c>
      <c r="AQ215" s="101" t="str">
        <f t="shared" si="57"/>
        <v/>
      </c>
      <c r="AR215" s="101" t="str">
        <f t="shared" si="58"/>
        <v/>
      </c>
      <c r="AS215" s="101" t="str">
        <f t="shared" si="59"/>
        <v/>
      </c>
      <c r="AT215" s="96" t="s">
        <v>629</v>
      </c>
      <c r="AV215" t="str">
        <f>IF('Proposed Lighting'!CN212&gt;0,"No","Yes")</f>
        <v>Yes</v>
      </c>
    </row>
    <row r="216" spans="1:48" ht="34.5" customHeight="1" outlineLevel="1">
      <c r="A216" s="96" t="s">
        <v>630</v>
      </c>
      <c r="B216" s="96" t="str">
        <f>IF(ISNUMBER(SEARCH("case",E216)),"COM_MISC_REFR_ALL_UNKN1991",IF('Proposed Lighting'!AU213=3,"Commercial-All Com-ExtLight",IF('Proposed Lighting'!AH213&gt;8759,"IPC_8760","Commercial-All Com-IntLight")))</f>
        <v>IPC_8760</v>
      </c>
      <c r="C216" s="96" t="str">
        <f>IF(OR('Proposed Lighting'!DD213="Standard Incentive",'Proposed Lighting'!DD213="Non-Standard Incentive"),"Yes",IF(AND(IF(ISNUMBER(SEARCH("controls",'Proposed Lighting'!T213)),"True","False")="False",'Proposed Lighting'!DD213="Submit Control as Non-Standard"),"Yes","No"))</f>
        <v>No</v>
      </c>
      <c r="D216" s="1403">
        <f>'Proposed Lighting'!CV213-Q216</f>
        <v>0</v>
      </c>
      <c r="E216" s="143">
        <f>'Proposed Lighting'!T213</f>
        <v>0</v>
      </c>
      <c r="F216" s="143">
        <f>'Proposed Lighting'!F213</f>
        <v>0</v>
      </c>
      <c r="G216" s="96" t="s">
        <v>242</v>
      </c>
      <c r="H216" s="142" t="str">
        <f>'Proposed Lighting'!CP213</f>
        <v/>
      </c>
      <c r="I216" s="98">
        <v>1</v>
      </c>
      <c r="J216" s="142">
        <f>'Proposed Lighting'!AA213</f>
        <v>0</v>
      </c>
      <c r="K216" s="142" t="str">
        <f>IF(ISNUMBER(SEARCH("-C",'Proposed Lighting'!M213)),'Proposed Lighting'!AH213*0.9,'Proposed Lighting'!AH213)</f>
        <v/>
      </c>
      <c r="L216" s="142">
        <f>IFERROR(IF(OR('Proposed Lighting'!BC213=22,'Proposed Lighting'!BC213=44),1-25%,IF(OR('Proposed Lighting'!BC213=23,'Proposed Lighting'!BC213=46),1-30%,IF(OR('Proposed Lighting'!BC213=29,'Proposed Lighting'!BC213=39,'Proposed Lighting'!BC213=49),1-35%,IF(OR('Proposed Lighting'!BC213=24,'Proposed Lighting'!BC213=48),1-50%,IF(AND(ISNUMBER(SEARCH("-C",'Proposed Lighting'!M213)),'Proposed Lighting'!AU213=2),90%,100%)))))*'Proposed Lighting'!AH213,0)</f>
        <v>0</v>
      </c>
      <c r="M216" s="87">
        <f t="shared" si="45"/>
        <v>0</v>
      </c>
      <c r="N216" s="87">
        <f>IFERROR(IF('Proposed Lighting'!AU213=1,0,'Proposed Lighting'!AO213),0)</f>
        <v>0</v>
      </c>
      <c r="O216" s="88">
        <f>IF('Proposed Lighting'!AU213=1,0,'Proposed Lighting'!AP213)</f>
        <v>0</v>
      </c>
      <c r="P216" s="87">
        <f t="shared" si="46"/>
        <v>0</v>
      </c>
      <c r="Q216" s="98">
        <f t="shared" si="55"/>
        <v>0</v>
      </c>
      <c r="R216" s="99">
        <f>IFERROR(IF('Proposed Lighting'!T213="Lighting controls only",0,ROUND(IF('Proposed Lighting'!AQ213&lt;'Proposed Lighting'!AR213,0,IF('Proposed Lighting'!AH213=0,0,IF('Proposed Lighting'!BV213&gt;0,'Proposed Lighting'!BV213,IF('Proposed Lighting'!CL213=0,MIN('Proposed Lighting'!CN213:CO213),IF('Proposed Lighting'!CX213&gt;0,'Proposed Lighting'!CX213*'Proposed Lighting'!AA213,0))))),2)),0)</f>
        <v>0</v>
      </c>
      <c r="S216" s="99">
        <f>IF('Proposed Lighting'!AJ213&gt;0,'Proposed Lighting'!AJ213*J216,'Proposed Lighting'!$AU$328*J216)</f>
        <v>0</v>
      </c>
      <c r="T216" s="602">
        <f t="shared" si="47"/>
        <v>0</v>
      </c>
      <c r="U216" s="100"/>
      <c r="V216" s="99">
        <f t="shared" si="48"/>
        <v>0</v>
      </c>
      <c r="W216" s="99">
        <f t="shared" si="49"/>
        <v>0</v>
      </c>
      <c r="X216" s="99">
        <f t="shared" si="50"/>
        <v>0</v>
      </c>
      <c r="Y216" s="99"/>
      <c r="Z216" s="99">
        <f t="shared" si="56"/>
        <v>0</v>
      </c>
      <c r="AA216" s="99"/>
      <c r="AB216" s="99">
        <f t="shared" si="51"/>
        <v>0</v>
      </c>
      <c r="AC216" s="101" t="str">
        <f t="shared" si="52"/>
        <v/>
      </c>
      <c r="AD216" s="101" t="str">
        <f t="shared" si="53"/>
        <v/>
      </c>
      <c r="AE216" s="101" t="str">
        <f t="shared" si="54"/>
        <v/>
      </c>
      <c r="AF216" s="72"/>
      <c r="AG216" s="98">
        <f>IFERROR(IF($AV216="No",0,IF($AV216="yes",Summary!Q216,"")),"")</f>
        <v>0</v>
      </c>
      <c r="AH216" s="99">
        <f>IFERROR(IF($AV216="No",0,IF($AV216="yes",Summary!R216,"")),"")</f>
        <v>0</v>
      </c>
      <c r="AI216" s="99">
        <f>IFERROR(IF($AV216="No",0,IF($AV216="yes",Summary!S216,"")),"")</f>
        <v>0</v>
      </c>
      <c r="AJ216" s="602">
        <f>IFERROR(IF($AV216="No",0,IF($AV216="yes",Summary!T216,"")),"")</f>
        <v>0</v>
      </c>
      <c r="AK216" s="100">
        <f>IFERROR(IF($AV216="No",0,IF($AV216="yes",Summary!U216,"")),"")</f>
        <v>0</v>
      </c>
      <c r="AL216" s="99">
        <f>IFERROR(IF($AV216="No",0,IF($AV216="yes",Summary!V216,"")),"")</f>
        <v>0</v>
      </c>
      <c r="AM216" s="99">
        <f>IFERROR(IF($AV216="No",0,IF($AV216="yes",Summary!W216,"")),"")</f>
        <v>0</v>
      </c>
      <c r="AN216" s="99">
        <f>IFERROR(IF($AV216="No",0,IF($AV216="yes",Summary!X216,"")),"")</f>
        <v>0</v>
      </c>
      <c r="AO216" s="99">
        <f>IFERROR(IF($AV216="No",0,IF($AV216="yes",Summary!Y216+Z216,"")),"")</f>
        <v>0</v>
      </c>
      <c r="AP216" s="99">
        <f>IFERROR(IF($AV216="No",0,IF($AV216="yes",Summary!AB216,"")),"")</f>
        <v>0</v>
      </c>
      <c r="AQ216" s="101" t="str">
        <f t="shared" si="57"/>
        <v/>
      </c>
      <c r="AR216" s="101" t="str">
        <f t="shared" si="58"/>
        <v/>
      </c>
      <c r="AS216" s="101" t="str">
        <f t="shared" si="59"/>
        <v/>
      </c>
      <c r="AT216" s="96" t="s">
        <v>630</v>
      </c>
      <c r="AV216" t="str">
        <f>IF('Proposed Lighting'!CN213&gt;0,"No","Yes")</f>
        <v>Yes</v>
      </c>
    </row>
    <row r="217" spans="1:48" ht="34.5" customHeight="1" outlineLevel="1">
      <c r="A217" s="96" t="s">
        <v>631</v>
      </c>
      <c r="B217" s="96" t="str">
        <f>IF(ISNUMBER(SEARCH("case",E217)),"COM_MISC_REFR_ALL_UNKN1991",IF('Proposed Lighting'!AU214=3,"Commercial-All Com-ExtLight",IF('Proposed Lighting'!AH214&gt;8759,"IPC_8760","Commercial-All Com-IntLight")))</f>
        <v>IPC_8760</v>
      </c>
      <c r="C217" s="96" t="str">
        <f>IF(OR('Proposed Lighting'!DD214="Standard Incentive",'Proposed Lighting'!DD214="Non-Standard Incentive"),"Yes",IF(AND(IF(ISNUMBER(SEARCH("controls",'Proposed Lighting'!T214)),"True","False")="False",'Proposed Lighting'!DD214="Submit Control as Non-Standard"),"Yes","No"))</f>
        <v>No</v>
      </c>
      <c r="D217" s="1403">
        <f>'Proposed Lighting'!CV214-Q217</f>
        <v>0</v>
      </c>
      <c r="E217" s="143">
        <f>'Proposed Lighting'!T214</f>
        <v>0</v>
      </c>
      <c r="F217" s="143">
        <f>'Proposed Lighting'!F214</f>
        <v>0</v>
      </c>
      <c r="G217" s="96" t="s">
        <v>242</v>
      </c>
      <c r="H217" s="142" t="str">
        <f>'Proposed Lighting'!CP214</f>
        <v/>
      </c>
      <c r="I217" s="98">
        <v>1</v>
      </c>
      <c r="J217" s="142">
        <f>'Proposed Lighting'!AA214</f>
        <v>0</v>
      </c>
      <c r="K217" s="142" t="str">
        <f>IF(ISNUMBER(SEARCH("-C",'Proposed Lighting'!M214)),'Proposed Lighting'!AH214*0.9,'Proposed Lighting'!AH214)</f>
        <v/>
      </c>
      <c r="L217" s="142">
        <f>IFERROR(IF(OR('Proposed Lighting'!BC214=22,'Proposed Lighting'!BC214=44),1-25%,IF(OR('Proposed Lighting'!BC214=23,'Proposed Lighting'!BC214=46),1-30%,IF(OR('Proposed Lighting'!BC214=29,'Proposed Lighting'!BC214=39,'Proposed Lighting'!BC214=49),1-35%,IF(OR('Proposed Lighting'!BC214=24,'Proposed Lighting'!BC214=48),1-50%,IF(AND(ISNUMBER(SEARCH("-C",'Proposed Lighting'!M214)),'Proposed Lighting'!AU214=2),90%,100%)))))*'Proposed Lighting'!AH214,0)</f>
        <v>0</v>
      </c>
      <c r="M217" s="87">
        <f t="shared" si="45"/>
        <v>0</v>
      </c>
      <c r="N217" s="87">
        <f>IFERROR(IF('Proposed Lighting'!AU214=1,0,'Proposed Lighting'!AO214),0)</f>
        <v>0</v>
      </c>
      <c r="O217" s="88">
        <f>IF('Proposed Lighting'!AU214=1,0,'Proposed Lighting'!AP214)</f>
        <v>0</v>
      </c>
      <c r="P217" s="87">
        <f t="shared" si="46"/>
        <v>0</v>
      </c>
      <c r="Q217" s="98">
        <f t="shared" si="55"/>
        <v>0</v>
      </c>
      <c r="R217" s="99">
        <f>IFERROR(IF('Proposed Lighting'!T214="Lighting controls only",0,ROUND(IF('Proposed Lighting'!AQ214&lt;'Proposed Lighting'!AR214,0,IF('Proposed Lighting'!AH214=0,0,IF('Proposed Lighting'!BV214&gt;0,'Proposed Lighting'!BV214,IF('Proposed Lighting'!CL214=0,MIN('Proposed Lighting'!CN214:CO214),IF('Proposed Lighting'!CX214&gt;0,'Proposed Lighting'!CX214*'Proposed Lighting'!AA214,0))))),2)),0)</f>
        <v>0</v>
      </c>
      <c r="S217" s="99">
        <f>IF('Proposed Lighting'!AJ214&gt;0,'Proposed Lighting'!AJ214*J217,'Proposed Lighting'!$AU$328*J217)</f>
        <v>0</v>
      </c>
      <c r="T217" s="602">
        <f t="shared" si="47"/>
        <v>0</v>
      </c>
      <c r="U217" s="100"/>
      <c r="V217" s="99">
        <f t="shared" si="48"/>
        <v>0</v>
      </c>
      <c r="W217" s="99">
        <f t="shared" si="49"/>
        <v>0</v>
      </c>
      <c r="X217" s="99">
        <f t="shared" si="50"/>
        <v>0</v>
      </c>
      <c r="Y217" s="99"/>
      <c r="Z217" s="99">
        <f t="shared" si="56"/>
        <v>0</v>
      </c>
      <c r="AA217" s="99"/>
      <c r="AB217" s="99">
        <f t="shared" si="51"/>
        <v>0</v>
      </c>
      <c r="AC217" s="101" t="str">
        <f t="shared" si="52"/>
        <v/>
      </c>
      <c r="AD217" s="101" t="str">
        <f t="shared" si="53"/>
        <v/>
      </c>
      <c r="AE217" s="101" t="str">
        <f t="shared" si="54"/>
        <v/>
      </c>
      <c r="AF217" s="72"/>
      <c r="AG217" s="98">
        <f>IFERROR(IF($AV217="No",0,IF($AV217="yes",Summary!Q217,"")),"")</f>
        <v>0</v>
      </c>
      <c r="AH217" s="99">
        <f>IFERROR(IF($AV217="No",0,IF($AV217="yes",Summary!R217,"")),"")</f>
        <v>0</v>
      </c>
      <c r="AI217" s="99">
        <f>IFERROR(IF($AV217="No",0,IF($AV217="yes",Summary!S217,"")),"")</f>
        <v>0</v>
      </c>
      <c r="AJ217" s="602">
        <f>IFERROR(IF($AV217="No",0,IF($AV217="yes",Summary!T217,"")),"")</f>
        <v>0</v>
      </c>
      <c r="AK217" s="100">
        <f>IFERROR(IF($AV217="No",0,IF($AV217="yes",Summary!U217,"")),"")</f>
        <v>0</v>
      </c>
      <c r="AL217" s="99">
        <f>IFERROR(IF($AV217="No",0,IF($AV217="yes",Summary!V217,"")),"")</f>
        <v>0</v>
      </c>
      <c r="AM217" s="99">
        <f>IFERROR(IF($AV217="No",0,IF($AV217="yes",Summary!W217,"")),"")</f>
        <v>0</v>
      </c>
      <c r="AN217" s="99">
        <f>IFERROR(IF($AV217="No",0,IF($AV217="yes",Summary!X217,"")),"")</f>
        <v>0</v>
      </c>
      <c r="AO217" s="99">
        <f>IFERROR(IF($AV217="No",0,IF($AV217="yes",Summary!Y217+Z217,"")),"")</f>
        <v>0</v>
      </c>
      <c r="AP217" s="99">
        <f>IFERROR(IF($AV217="No",0,IF($AV217="yes",Summary!AB217,"")),"")</f>
        <v>0</v>
      </c>
      <c r="AQ217" s="101" t="str">
        <f t="shared" si="57"/>
        <v/>
      </c>
      <c r="AR217" s="101" t="str">
        <f t="shared" si="58"/>
        <v/>
      </c>
      <c r="AS217" s="101" t="str">
        <f t="shared" si="59"/>
        <v/>
      </c>
      <c r="AT217" s="96" t="s">
        <v>631</v>
      </c>
      <c r="AV217" t="str">
        <f>IF('Proposed Lighting'!CN214&gt;0,"No","Yes")</f>
        <v>Yes</v>
      </c>
    </row>
    <row r="218" spans="1:48" ht="34.5" customHeight="1" outlineLevel="1">
      <c r="A218" s="96" t="s">
        <v>632</v>
      </c>
      <c r="B218" s="96" t="str">
        <f>IF(ISNUMBER(SEARCH("case",E218)),"COM_MISC_REFR_ALL_UNKN1991",IF('Proposed Lighting'!AU215=3,"Commercial-All Com-ExtLight",IF('Proposed Lighting'!AH215&gt;8759,"IPC_8760","Commercial-All Com-IntLight")))</f>
        <v>IPC_8760</v>
      </c>
      <c r="C218" s="96" t="str">
        <f>IF(OR('Proposed Lighting'!DD215="Standard Incentive",'Proposed Lighting'!DD215="Non-Standard Incentive"),"Yes",IF(AND(IF(ISNUMBER(SEARCH("controls",'Proposed Lighting'!T215)),"True","False")="False",'Proposed Lighting'!DD215="Submit Control as Non-Standard"),"Yes","No"))</f>
        <v>No</v>
      </c>
      <c r="D218" s="1403">
        <f>'Proposed Lighting'!CV215-Q218</f>
        <v>0</v>
      </c>
      <c r="E218" s="143">
        <f>'Proposed Lighting'!T215</f>
        <v>0</v>
      </c>
      <c r="F218" s="143">
        <f>'Proposed Lighting'!F215</f>
        <v>0</v>
      </c>
      <c r="G218" s="96" t="s">
        <v>242</v>
      </c>
      <c r="H218" s="142" t="str">
        <f>'Proposed Lighting'!CP215</f>
        <v/>
      </c>
      <c r="I218" s="98">
        <v>1</v>
      </c>
      <c r="J218" s="142">
        <f>'Proposed Lighting'!AA215</f>
        <v>0</v>
      </c>
      <c r="K218" s="142" t="str">
        <f>IF(ISNUMBER(SEARCH("-C",'Proposed Lighting'!M215)),'Proposed Lighting'!AH215*0.9,'Proposed Lighting'!AH215)</f>
        <v/>
      </c>
      <c r="L218" s="142">
        <f>IFERROR(IF(OR('Proposed Lighting'!BC215=22,'Proposed Lighting'!BC215=44),1-25%,IF(OR('Proposed Lighting'!BC215=23,'Proposed Lighting'!BC215=46),1-30%,IF(OR('Proposed Lighting'!BC215=29,'Proposed Lighting'!BC215=39,'Proposed Lighting'!BC215=49),1-35%,IF(OR('Proposed Lighting'!BC215=24,'Proposed Lighting'!BC215=48),1-50%,IF(AND(ISNUMBER(SEARCH("-C",'Proposed Lighting'!M215)),'Proposed Lighting'!AU215=2),90%,100%)))))*'Proposed Lighting'!AH215,0)</f>
        <v>0</v>
      </c>
      <c r="M218" s="87">
        <f t="shared" si="45"/>
        <v>0</v>
      </c>
      <c r="N218" s="87">
        <f>IFERROR(IF('Proposed Lighting'!AU215=1,0,'Proposed Lighting'!AO215),0)</f>
        <v>0</v>
      </c>
      <c r="O218" s="88">
        <f>IF('Proposed Lighting'!AU215=1,0,'Proposed Lighting'!AP215)</f>
        <v>0</v>
      </c>
      <c r="P218" s="87">
        <f t="shared" si="46"/>
        <v>0</v>
      </c>
      <c r="Q218" s="98">
        <f t="shared" si="55"/>
        <v>0</v>
      </c>
      <c r="R218" s="99">
        <f>IFERROR(IF('Proposed Lighting'!T215="Lighting controls only",0,ROUND(IF('Proposed Lighting'!AQ215&lt;'Proposed Lighting'!AR215,0,IF('Proposed Lighting'!AH215=0,0,IF('Proposed Lighting'!BV215&gt;0,'Proposed Lighting'!BV215,IF('Proposed Lighting'!CL215=0,MIN('Proposed Lighting'!CN215:CO215),IF('Proposed Lighting'!CX215&gt;0,'Proposed Lighting'!CX215*'Proposed Lighting'!AA215,0))))),2)),0)</f>
        <v>0</v>
      </c>
      <c r="S218" s="99">
        <f>IF('Proposed Lighting'!AJ215&gt;0,'Proposed Lighting'!AJ215*J218,'Proposed Lighting'!$AU$328*J218)</f>
        <v>0</v>
      </c>
      <c r="T218" s="602">
        <f t="shared" si="47"/>
        <v>0</v>
      </c>
      <c r="U218" s="100"/>
      <c r="V218" s="99">
        <f t="shared" si="48"/>
        <v>0</v>
      </c>
      <c r="W218" s="99">
        <f t="shared" si="49"/>
        <v>0</v>
      </c>
      <c r="X218" s="99">
        <f t="shared" si="50"/>
        <v>0</v>
      </c>
      <c r="Y218" s="99"/>
      <c r="Z218" s="99">
        <f t="shared" si="56"/>
        <v>0</v>
      </c>
      <c r="AA218" s="99"/>
      <c r="AB218" s="99">
        <f t="shared" si="51"/>
        <v>0</v>
      </c>
      <c r="AC218" s="101" t="str">
        <f t="shared" si="52"/>
        <v/>
      </c>
      <c r="AD218" s="101" t="str">
        <f t="shared" si="53"/>
        <v/>
      </c>
      <c r="AE218" s="101" t="str">
        <f t="shared" si="54"/>
        <v/>
      </c>
      <c r="AF218" s="72"/>
      <c r="AG218" s="98">
        <f>IFERROR(IF($AV218="No",0,IF($AV218="yes",Summary!Q218,"")),"")</f>
        <v>0</v>
      </c>
      <c r="AH218" s="99">
        <f>IFERROR(IF($AV218="No",0,IF($AV218="yes",Summary!R218,"")),"")</f>
        <v>0</v>
      </c>
      <c r="AI218" s="99">
        <f>IFERROR(IF($AV218="No",0,IF($AV218="yes",Summary!S218,"")),"")</f>
        <v>0</v>
      </c>
      <c r="AJ218" s="602">
        <f>IFERROR(IF($AV218="No",0,IF($AV218="yes",Summary!T218,"")),"")</f>
        <v>0</v>
      </c>
      <c r="AK218" s="100">
        <f>IFERROR(IF($AV218="No",0,IF($AV218="yes",Summary!U218,"")),"")</f>
        <v>0</v>
      </c>
      <c r="AL218" s="99">
        <f>IFERROR(IF($AV218="No",0,IF($AV218="yes",Summary!V218,"")),"")</f>
        <v>0</v>
      </c>
      <c r="AM218" s="99">
        <f>IFERROR(IF($AV218="No",0,IF($AV218="yes",Summary!W218,"")),"")</f>
        <v>0</v>
      </c>
      <c r="AN218" s="99">
        <f>IFERROR(IF($AV218="No",0,IF($AV218="yes",Summary!X218,"")),"")</f>
        <v>0</v>
      </c>
      <c r="AO218" s="99">
        <f>IFERROR(IF($AV218="No",0,IF($AV218="yes",Summary!Y218+Z218,"")),"")</f>
        <v>0</v>
      </c>
      <c r="AP218" s="99">
        <f>IFERROR(IF($AV218="No",0,IF($AV218="yes",Summary!AB218,"")),"")</f>
        <v>0</v>
      </c>
      <c r="AQ218" s="101" t="str">
        <f t="shared" si="57"/>
        <v/>
      </c>
      <c r="AR218" s="101" t="str">
        <f t="shared" si="58"/>
        <v/>
      </c>
      <c r="AS218" s="101" t="str">
        <f t="shared" si="59"/>
        <v/>
      </c>
      <c r="AT218" s="96" t="s">
        <v>632</v>
      </c>
      <c r="AV218" t="str">
        <f>IF('Proposed Lighting'!CN215&gt;0,"No","Yes")</f>
        <v>Yes</v>
      </c>
    </row>
    <row r="219" spans="1:48" ht="34.5" customHeight="1" outlineLevel="1">
      <c r="A219" s="96" t="s">
        <v>633</v>
      </c>
      <c r="B219" s="96" t="str">
        <f>IF(ISNUMBER(SEARCH("case",E219)),"COM_MISC_REFR_ALL_UNKN1991",IF('Proposed Lighting'!AU216=3,"Commercial-All Com-ExtLight",IF('Proposed Lighting'!AH216&gt;8759,"IPC_8760","Commercial-All Com-IntLight")))</f>
        <v>IPC_8760</v>
      </c>
      <c r="C219" s="96" t="str">
        <f>IF(OR('Proposed Lighting'!DD216="Standard Incentive",'Proposed Lighting'!DD216="Non-Standard Incentive"),"Yes",IF(AND(IF(ISNUMBER(SEARCH("controls",'Proposed Lighting'!T216)),"True","False")="False",'Proposed Lighting'!DD216="Submit Control as Non-Standard"),"Yes","No"))</f>
        <v>No</v>
      </c>
      <c r="D219" s="1403">
        <f>'Proposed Lighting'!CV216-Q219</f>
        <v>0</v>
      </c>
      <c r="E219" s="143">
        <f>'Proposed Lighting'!T216</f>
        <v>0</v>
      </c>
      <c r="F219" s="143">
        <f>'Proposed Lighting'!F216</f>
        <v>0</v>
      </c>
      <c r="G219" s="96" t="s">
        <v>242</v>
      </c>
      <c r="H219" s="142" t="str">
        <f>'Proposed Lighting'!CP216</f>
        <v/>
      </c>
      <c r="I219" s="98">
        <v>1</v>
      </c>
      <c r="J219" s="142">
        <f>'Proposed Lighting'!AA216</f>
        <v>0</v>
      </c>
      <c r="K219" s="142" t="str">
        <f>IF(ISNUMBER(SEARCH("-C",'Proposed Lighting'!M216)),'Proposed Lighting'!AH216*0.9,'Proposed Lighting'!AH216)</f>
        <v/>
      </c>
      <c r="L219" s="142">
        <f>IFERROR(IF(OR('Proposed Lighting'!BC216=22,'Proposed Lighting'!BC216=44),1-25%,IF(OR('Proposed Lighting'!BC216=23,'Proposed Lighting'!BC216=46),1-30%,IF(OR('Proposed Lighting'!BC216=29,'Proposed Lighting'!BC216=39,'Proposed Lighting'!BC216=49),1-35%,IF(OR('Proposed Lighting'!BC216=24,'Proposed Lighting'!BC216=48),1-50%,IF(AND(ISNUMBER(SEARCH("-C",'Proposed Lighting'!M216)),'Proposed Lighting'!AU216=2),90%,100%)))))*'Proposed Lighting'!AH216,0)</f>
        <v>0</v>
      </c>
      <c r="M219" s="87">
        <f t="shared" si="45"/>
        <v>0</v>
      </c>
      <c r="N219" s="87">
        <f>IFERROR(IF('Proposed Lighting'!AU216=1,0,'Proposed Lighting'!AO216),0)</f>
        <v>0</v>
      </c>
      <c r="O219" s="88">
        <f>IF('Proposed Lighting'!AU216=1,0,'Proposed Lighting'!AP216)</f>
        <v>0</v>
      </c>
      <c r="P219" s="87">
        <f t="shared" si="46"/>
        <v>0</v>
      </c>
      <c r="Q219" s="98">
        <f t="shared" si="55"/>
        <v>0</v>
      </c>
      <c r="R219" s="99">
        <f>IFERROR(IF('Proposed Lighting'!T216="Lighting controls only",0,ROUND(IF('Proposed Lighting'!AQ216&lt;'Proposed Lighting'!AR216,0,IF('Proposed Lighting'!AH216=0,0,IF('Proposed Lighting'!BV216&gt;0,'Proposed Lighting'!BV216,IF('Proposed Lighting'!CL216=0,MIN('Proposed Lighting'!CN216:CO216),IF('Proposed Lighting'!CX216&gt;0,'Proposed Lighting'!CX216*'Proposed Lighting'!AA216,0))))),2)),0)</f>
        <v>0</v>
      </c>
      <c r="S219" s="99">
        <f>IF('Proposed Lighting'!AJ216&gt;0,'Proposed Lighting'!AJ216*J219,'Proposed Lighting'!$AU$328*J219)</f>
        <v>0</v>
      </c>
      <c r="T219" s="602">
        <f t="shared" si="47"/>
        <v>0</v>
      </c>
      <c r="U219" s="100"/>
      <c r="V219" s="99">
        <f t="shared" si="48"/>
        <v>0</v>
      </c>
      <c r="W219" s="99">
        <f t="shared" si="49"/>
        <v>0</v>
      </c>
      <c r="X219" s="99">
        <f t="shared" si="50"/>
        <v>0</v>
      </c>
      <c r="Y219" s="99"/>
      <c r="Z219" s="99">
        <f t="shared" si="56"/>
        <v>0</v>
      </c>
      <c r="AA219" s="99"/>
      <c r="AB219" s="99">
        <f t="shared" si="51"/>
        <v>0</v>
      </c>
      <c r="AC219" s="101" t="str">
        <f t="shared" si="52"/>
        <v/>
      </c>
      <c r="AD219" s="101" t="str">
        <f t="shared" si="53"/>
        <v/>
      </c>
      <c r="AE219" s="101" t="str">
        <f t="shared" si="54"/>
        <v/>
      </c>
      <c r="AF219" s="72"/>
      <c r="AG219" s="98">
        <f>IFERROR(IF($AV219="No",0,IF($AV219="yes",Summary!Q219,"")),"")</f>
        <v>0</v>
      </c>
      <c r="AH219" s="99">
        <f>IFERROR(IF($AV219="No",0,IF($AV219="yes",Summary!R219,"")),"")</f>
        <v>0</v>
      </c>
      <c r="AI219" s="99">
        <f>IFERROR(IF($AV219="No",0,IF($AV219="yes",Summary!S219,"")),"")</f>
        <v>0</v>
      </c>
      <c r="AJ219" s="602">
        <f>IFERROR(IF($AV219="No",0,IF($AV219="yes",Summary!T219,"")),"")</f>
        <v>0</v>
      </c>
      <c r="AK219" s="100">
        <f>IFERROR(IF($AV219="No",0,IF($AV219="yes",Summary!U219,"")),"")</f>
        <v>0</v>
      </c>
      <c r="AL219" s="99">
        <f>IFERROR(IF($AV219="No",0,IF($AV219="yes",Summary!V219,"")),"")</f>
        <v>0</v>
      </c>
      <c r="AM219" s="99">
        <f>IFERROR(IF($AV219="No",0,IF($AV219="yes",Summary!W219,"")),"")</f>
        <v>0</v>
      </c>
      <c r="AN219" s="99">
        <f>IFERROR(IF($AV219="No",0,IF($AV219="yes",Summary!X219,"")),"")</f>
        <v>0</v>
      </c>
      <c r="AO219" s="99">
        <f>IFERROR(IF($AV219="No",0,IF($AV219="yes",Summary!Y219+Z219,"")),"")</f>
        <v>0</v>
      </c>
      <c r="AP219" s="99">
        <f>IFERROR(IF($AV219="No",0,IF($AV219="yes",Summary!AB219,"")),"")</f>
        <v>0</v>
      </c>
      <c r="AQ219" s="101" t="str">
        <f t="shared" si="57"/>
        <v/>
      </c>
      <c r="AR219" s="101" t="str">
        <f t="shared" si="58"/>
        <v/>
      </c>
      <c r="AS219" s="101" t="str">
        <f t="shared" si="59"/>
        <v/>
      </c>
      <c r="AT219" s="96" t="s">
        <v>633</v>
      </c>
      <c r="AV219" t="str">
        <f>IF('Proposed Lighting'!CN216&gt;0,"No","Yes")</f>
        <v>Yes</v>
      </c>
    </row>
    <row r="220" spans="1:48" ht="34.5" customHeight="1" outlineLevel="1">
      <c r="A220" s="96" t="s">
        <v>634</v>
      </c>
      <c r="B220" s="96" t="str">
        <f>IF(ISNUMBER(SEARCH("case",E220)),"COM_MISC_REFR_ALL_UNKN1991",IF('Proposed Lighting'!AU217=3,"Commercial-All Com-ExtLight",IF('Proposed Lighting'!AH217&gt;8759,"IPC_8760","Commercial-All Com-IntLight")))</f>
        <v>IPC_8760</v>
      </c>
      <c r="C220" s="96" t="str">
        <f>IF(OR('Proposed Lighting'!DD217="Standard Incentive",'Proposed Lighting'!DD217="Non-Standard Incentive"),"Yes",IF(AND(IF(ISNUMBER(SEARCH("controls",'Proposed Lighting'!T217)),"True","False")="False",'Proposed Lighting'!DD217="Submit Control as Non-Standard"),"Yes","No"))</f>
        <v>No</v>
      </c>
      <c r="D220" s="1403">
        <f>'Proposed Lighting'!CV217-Q220</f>
        <v>0</v>
      </c>
      <c r="E220" s="143">
        <f>'Proposed Lighting'!T217</f>
        <v>0</v>
      </c>
      <c r="F220" s="143">
        <f>'Proposed Lighting'!F217</f>
        <v>0</v>
      </c>
      <c r="G220" s="96" t="s">
        <v>242</v>
      </c>
      <c r="H220" s="142" t="str">
        <f>'Proposed Lighting'!CP217</f>
        <v/>
      </c>
      <c r="I220" s="98">
        <v>1</v>
      </c>
      <c r="J220" s="142">
        <f>'Proposed Lighting'!AA217</f>
        <v>0</v>
      </c>
      <c r="K220" s="142" t="str">
        <f>IF(ISNUMBER(SEARCH("-C",'Proposed Lighting'!M217)),'Proposed Lighting'!AH217*0.9,'Proposed Lighting'!AH217)</f>
        <v/>
      </c>
      <c r="L220" s="142">
        <f>IFERROR(IF(OR('Proposed Lighting'!BC217=22,'Proposed Lighting'!BC217=44),1-25%,IF(OR('Proposed Lighting'!BC217=23,'Proposed Lighting'!BC217=46),1-30%,IF(OR('Proposed Lighting'!BC217=29,'Proposed Lighting'!BC217=39,'Proposed Lighting'!BC217=49),1-35%,IF(OR('Proposed Lighting'!BC217=24,'Proposed Lighting'!BC217=48),1-50%,IF(AND(ISNUMBER(SEARCH("-C",'Proposed Lighting'!M217)),'Proposed Lighting'!AU217=2),90%,100%)))))*'Proposed Lighting'!AH217,0)</f>
        <v>0</v>
      </c>
      <c r="M220" s="87">
        <f t="shared" si="45"/>
        <v>0</v>
      </c>
      <c r="N220" s="87">
        <f>IFERROR(IF('Proposed Lighting'!AU217=1,0,'Proposed Lighting'!AO217),0)</f>
        <v>0</v>
      </c>
      <c r="O220" s="88">
        <f>IF('Proposed Lighting'!AU217=1,0,'Proposed Lighting'!AP217)</f>
        <v>0</v>
      </c>
      <c r="P220" s="87">
        <f t="shared" si="46"/>
        <v>0</v>
      </c>
      <c r="Q220" s="98">
        <f t="shared" si="55"/>
        <v>0</v>
      </c>
      <c r="R220" s="99">
        <f>IFERROR(IF('Proposed Lighting'!T217="Lighting controls only",0,ROUND(IF('Proposed Lighting'!AQ217&lt;'Proposed Lighting'!AR217,0,IF('Proposed Lighting'!AH217=0,0,IF('Proposed Lighting'!BV217&gt;0,'Proposed Lighting'!BV217,IF('Proposed Lighting'!CL217=0,MIN('Proposed Lighting'!CN217:CO217),IF('Proposed Lighting'!CX217&gt;0,'Proposed Lighting'!CX217*'Proposed Lighting'!AA217,0))))),2)),0)</f>
        <v>0</v>
      </c>
      <c r="S220" s="99">
        <f>IF('Proposed Lighting'!AJ217&gt;0,'Proposed Lighting'!AJ217*J220,'Proposed Lighting'!$AU$328*J220)</f>
        <v>0</v>
      </c>
      <c r="T220" s="602">
        <f t="shared" si="47"/>
        <v>0</v>
      </c>
      <c r="U220" s="100"/>
      <c r="V220" s="99">
        <f t="shared" si="48"/>
        <v>0</v>
      </c>
      <c r="W220" s="99">
        <f t="shared" si="49"/>
        <v>0</v>
      </c>
      <c r="X220" s="99">
        <f t="shared" si="50"/>
        <v>0</v>
      </c>
      <c r="Y220" s="99"/>
      <c r="Z220" s="99">
        <f t="shared" si="56"/>
        <v>0</v>
      </c>
      <c r="AA220" s="99"/>
      <c r="AB220" s="99">
        <f t="shared" si="51"/>
        <v>0</v>
      </c>
      <c r="AC220" s="101" t="str">
        <f t="shared" si="52"/>
        <v/>
      </c>
      <c r="AD220" s="101" t="str">
        <f t="shared" si="53"/>
        <v/>
      </c>
      <c r="AE220" s="101" t="str">
        <f t="shared" si="54"/>
        <v/>
      </c>
      <c r="AF220" s="72"/>
      <c r="AG220" s="98">
        <f>IFERROR(IF($AV220="No",0,IF($AV220="yes",Summary!Q220,"")),"")</f>
        <v>0</v>
      </c>
      <c r="AH220" s="99">
        <f>IFERROR(IF($AV220="No",0,IF($AV220="yes",Summary!R220,"")),"")</f>
        <v>0</v>
      </c>
      <c r="AI220" s="99">
        <f>IFERROR(IF($AV220="No",0,IF($AV220="yes",Summary!S220,"")),"")</f>
        <v>0</v>
      </c>
      <c r="AJ220" s="602">
        <f>IFERROR(IF($AV220="No",0,IF($AV220="yes",Summary!T220,"")),"")</f>
        <v>0</v>
      </c>
      <c r="AK220" s="100">
        <f>IFERROR(IF($AV220="No",0,IF($AV220="yes",Summary!U220,"")),"")</f>
        <v>0</v>
      </c>
      <c r="AL220" s="99">
        <f>IFERROR(IF($AV220="No",0,IF($AV220="yes",Summary!V220,"")),"")</f>
        <v>0</v>
      </c>
      <c r="AM220" s="99">
        <f>IFERROR(IF($AV220="No",0,IF($AV220="yes",Summary!W220,"")),"")</f>
        <v>0</v>
      </c>
      <c r="AN220" s="99">
        <f>IFERROR(IF($AV220="No",0,IF($AV220="yes",Summary!X220,"")),"")</f>
        <v>0</v>
      </c>
      <c r="AO220" s="99">
        <f>IFERROR(IF($AV220="No",0,IF($AV220="yes",Summary!Y220+Z220,"")),"")</f>
        <v>0</v>
      </c>
      <c r="AP220" s="99">
        <f>IFERROR(IF($AV220="No",0,IF($AV220="yes",Summary!AB220,"")),"")</f>
        <v>0</v>
      </c>
      <c r="AQ220" s="101" t="str">
        <f t="shared" si="57"/>
        <v/>
      </c>
      <c r="AR220" s="101" t="str">
        <f t="shared" si="58"/>
        <v/>
      </c>
      <c r="AS220" s="101" t="str">
        <f t="shared" si="59"/>
        <v/>
      </c>
      <c r="AT220" s="96" t="s">
        <v>634</v>
      </c>
      <c r="AV220" t="str">
        <f>IF('Proposed Lighting'!CN217&gt;0,"No","Yes")</f>
        <v>Yes</v>
      </c>
    </row>
    <row r="221" spans="1:48" ht="34.5" customHeight="1" outlineLevel="1">
      <c r="A221" s="96" t="s">
        <v>635</v>
      </c>
      <c r="B221" s="96" t="str">
        <f>IF(ISNUMBER(SEARCH("case",E221)),"COM_MISC_REFR_ALL_UNKN1991",IF('Proposed Lighting'!AU218=3,"Commercial-All Com-ExtLight",IF('Proposed Lighting'!AH218&gt;8759,"IPC_8760","Commercial-All Com-IntLight")))</f>
        <v>IPC_8760</v>
      </c>
      <c r="C221" s="96" t="str">
        <f>IF(OR('Proposed Lighting'!DD218="Standard Incentive",'Proposed Lighting'!DD218="Non-Standard Incentive"),"Yes",IF(AND(IF(ISNUMBER(SEARCH("controls",'Proposed Lighting'!T218)),"True","False")="False",'Proposed Lighting'!DD218="Submit Control as Non-Standard"),"Yes","No"))</f>
        <v>No</v>
      </c>
      <c r="D221" s="1403">
        <f>'Proposed Lighting'!CV218-Q221</f>
        <v>0</v>
      </c>
      <c r="E221" s="143">
        <f>'Proposed Lighting'!T218</f>
        <v>0</v>
      </c>
      <c r="F221" s="143">
        <f>'Proposed Lighting'!F218</f>
        <v>0</v>
      </c>
      <c r="G221" s="96" t="s">
        <v>242</v>
      </c>
      <c r="H221" s="142" t="str">
        <f>'Proposed Lighting'!CP218</f>
        <v/>
      </c>
      <c r="I221" s="98">
        <v>1</v>
      </c>
      <c r="J221" s="142">
        <f>'Proposed Lighting'!AA218</f>
        <v>0</v>
      </c>
      <c r="K221" s="142" t="str">
        <f>IF(ISNUMBER(SEARCH("-C",'Proposed Lighting'!M218)),'Proposed Lighting'!AH218*0.9,'Proposed Lighting'!AH218)</f>
        <v/>
      </c>
      <c r="L221" s="142">
        <f>IFERROR(IF(OR('Proposed Lighting'!BC218=22,'Proposed Lighting'!BC218=44),1-25%,IF(OR('Proposed Lighting'!BC218=23,'Proposed Lighting'!BC218=46),1-30%,IF(OR('Proposed Lighting'!BC218=29,'Proposed Lighting'!BC218=39,'Proposed Lighting'!BC218=49),1-35%,IF(OR('Proposed Lighting'!BC218=24,'Proposed Lighting'!BC218=48),1-50%,IF(AND(ISNUMBER(SEARCH("-C",'Proposed Lighting'!M218)),'Proposed Lighting'!AU218=2),90%,100%)))))*'Proposed Lighting'!AH218,0)</f>
        <v>0</v>
      </c>
      <c r="M221" s="87">
        <f t="shared" si="45"/>
        <v>0</v>
      </c>
      <c r="N221" s="87">
        <f>IFERROR(IF('Proposed Lighting'!AU218=1,0,'Proposed Lighting'!AO218),0)</f>
        <v>0</v>
      </c>
      <c r="O221" s="88">
        <f>IF('Proposed Lighting'!AU218=1,0,'Proposed Lighting'!AP218)</f>
        <v>0</v>
      </c>
      <c r="P221" s="87">
        <f t="shared" si="46"/>
        <v>0</v>
      </c>
      <c r="Q221" s="98">
        <f t="shared" si="55"/>
        <v>0</v>
      </c>
      <c r="R221" s="99">
        <f>IFERROR(IF('Proposed Lighting'!T218="Lighting controls only",0,ROUND(IF('Proposed Lighting'!AQ218&lt;'Proposed Lighting'!AR218,0,IF('Proposed Lighting'!AH218=0,0,IF('Proposed Lighting'!BV218&gt;0,'Proposed Lighting'!BV218,IF('Proposed Lighting'!CL218=0,MIN('Proposed Lighting'!CN218:CO218),IF('Proposed Lighting'!CX218&gt;0,'Proposed Lighting'!CX218*'Proposed Lighting'!AA218,0))))),2)),0)</f>
        <v>0</v>
      </c>
      <c r="S221" s="99">
        <f>IF('Proposed Lighting'!AJ218&gt;0,'Proposed Lighting'!AJ218*J221,'Proposed Lighting'!$AU$328*J221)</f>
        <v>0</v>
      </c>
      <c r="T221" s="602">
        <f t="shared" si="47"/>
        <v>0</v>
      </c>
      <c r="U221" s="100"/>
      <c r="V221" s="99">
        <f t="shared" si="48"/>
        <v>0</v>
      </c>
      <c r="W221" s="99">
        <f t="shared" si="49"/>
        <v>0</v>
      </c>
      <c r="X221" s="99">
        <f t="shared" si="50"/>
        <v>0</v>
      </c>
      <c r="Y221" s="99"/>
      <c r="Z221" s="99">
        <f t="shared" si="56"/>
        <v>0</v>
      </c>
      <c r="AA221" s="99"/>
      <c r="AB221" s="99">
        <f t="shared" si="51"/>
        <v>0</v>
      </c>
      <c r="AC221" s="101" t="str">
        <f t="shared" si="52"/>
        <v/>
      </c>
      <c r="AD221" s="101" t="str">
        <f t="shared" si="53"/>
        <v/>
      </c>
      <c r="AE221" s="101" t="str">
        <f t="shared" si="54"/>
        <v/>
      </c>
      <c r="AF221" s="72"/>
      <c r="AG221" s="98">
        <f>IFERROR(IF($AV221="No",0,IF($AV221="yes",Summary!Q221,"")),"")</f>
        <v>0</v>
      </c>
      <c r="AH221" s="99">
        <f>IFERROR(IF($AV221="No",0,IF($AV221="yes",Summary!R221,"")),"")</f>
        <v>0</v>
      </c>
      <c r="AI221" s="99">
        <f>IFERROR(IF($AV221="No",0,IF($AV221="yes",Summary!S221,"")),"")</f>
        <v>0</v>
      </c>
      <c r="AJ221" s="602">
        <f>IFERROR(IF($AV221="No",0,IF($AV221="yes",Summary!T221,"")),"")</f>
        <v>0</v>
      </c>
      <c r="AK221" s="100">
        <f>IFERROR(IF($AV221="No",0,IF($AV221="yes",Summary!U221,"")),"")</f>
        <v>0</v>
      </c>
      <c r="AL221" s="99">
        <f>IFERROR(IF($AV221="No",0,IF($AV221="yes",Summary!V221,"")),"")</f>
        <v>0</v>
      </c>
      <c r="AM221" s="99">
        <f>IFERROR(IF($AV221="No",0,IF($AV221="yes",Summary!W221,"")),"")</f>
        <v>0</v>
      </c>
      <c r="AN221" s="99">
        <f>IFERROR(IF($AV221="No",0,IF($AV221="yes",Summary!X221,"")),"")</f>
        <v>0</v>
      </c>
      <c r="AO221" s="99">
        <f>IFERROR(IF($AV221="No",0,IF($AV221="yes",Summary!Y221+Z221,"")),"")</f>
        <v>0</v>
      </c>
      <c r="AP221" s="99">
        <f>IFERROR(IF($AV221="No",0,IF($AV221="yes",Summary!AB221,"")),"")</f>
        <v>0</v>
      </c>
      <c r="AQ221" s="101" t="str">
        <f t="shared" si="57"/>
        <v/>
      </c>
      <c r="AR221" s="101" t="str">
        <f t="shared" si="58"/>
        <v/>
      </c>
      <c r="AS221" s="101" t="str">
        <f t="shared" si="59"/>
        <v/>
      </c>
      <c r="AT221" s="96" t="s">
        <v>635</v>
      </c>
      <c r="AV221" t="str">
        <f>IF('Proposed Lighting'!CN218&gt;0,"No","Yes")</f>
        <v>Yes</v>
      </c>
    </row>
    <row r="222" spans="1:48" ht="34.5" customHeight="1" outlineLevel="1">
      <c r="A222" s="96" t="s">
        <v>636</v>
      </c>
      <c r="B222" s="96" t="str">
        <f>IF(ISNUMBER(SEARCH("case",E222)),"COM_MISC_REFR_ALL_UNKN1991",IF('Proposed Lighting'!AU219=3,"Commercial-All Com-ExtLight",IF('Proposed Lighting'!AH219&gt;8759,"IPC_8760","Commercial-All Com-IntLight")))</f>
        <v>IPC_8760</v>
      </c>
      <c r="C222" s="96" t="str">
        <f>IF(OR('Proposed Lighting'!DD219="Standard Incentive",'Proposed Lighting'!DD219="Non-Standard Incentive"),"Yes",IF(AND(IF(ISNUMBER(SEARCH("controls",'Proposed Lighting'!T219)),"True","False")="False",'Proposed Lighting'!DD219="Submit Control as Non-Standard"),"Yes","No"))</f>
        <v>No</v>
      </c>
      <c r="D222" s="1403">
        <f>'Proposed Lighting'!CV219-Q222</f>
        <v>0</v>
      </c>
      <c r="E222" s="143">
        <f>'Proposed Lighting'!T219</f>
        <v>0</v>
      </c>
      <c r="F222" s="143">
        <f>'Proposed Lighting'!F219</f>
        <v>0</v>
      </c>
      <c r="G222" s="96" t="s">
        <v>242</v>
      </c>
      <c r="H222" s="142" t="str">
        <f>'Proposed Lighting'!CP219</f>
        <v/>
      </c>
      <c r="I222" s="98">
        <v>1</v>
      </c>
      <c r="J222" s="142">
        <f>'Proposed Lighting'!AA219</f>
        <v>0</v>
      </c>
      <c r="K222" s="142" t="str">
        <f>IF(ISNUMBER(SEARCH("-C",'Proposed Lighting'!M219)),'Proposed Lighting'!AH219*0.9,'Proposed Lighting'!AH219)</f>
        <v/>
      </c>
      <c r="L222" s="142">
        <f>IFERROR(IF(OR('Proposed Lighting'!BC219=22,'Proposed Lighting'!BC219=44),1-25%,IF(OR('Proposed Lighting'!BC219=23,'Proposed Lighting'!BC219=46),1-30%,IF(OR('Proposed Lighting'!BC219=29,'Proposed Lighting'!BC219=39,'Proposed Lighting'!BC219=49),1-35%,IF(OR('Proposed Lighting'!BC219=24,'Proposed Lighting'!BC219=48),1-50%,IF(AND(ISNUMBER(SEARCH("-C",'Proposed Lighting'!M219)),'Proposed Lighting'!AU219=2),90%,100%)))))*'Proposed Lighting'!AH219,0)</f>
        <v>0</v>
      </c>
      <c r="M222" s="87">
        <f t="shared" si="45"/>
        <v>0</v>
      </c>
      <c r="N222" s="87">
        <f>IFERROR(IF('Proposed Lighting'!AU219=1,0,'Proposed Lighting'!AO219),0)</f>
        <v>0</v>
      </c>
      <c r="O222" s="88">
        <f>IF('Proposed Lighting'!AU219=1,0,'Proposed Lighting'!AP219)</f>
        <v>0</v>
      </c>
      <c r="P222" s="87">
        <f t="shared" si="46"/>
        <v>0</v>
      </c>
      <c r="Q222" s="98">
        <f t="shared" si="55"/>
        <v>0</v>
      </c>
      <c r="R222" s="99">
        <f>IFERROR(IF('Proposed Lighting'!T219="Lighting controls only",0,ROUND(IF('Proposed Lighting'!AQ219&lt;'Proposed Lighting'!AR219,0,IF('Proposed Lighting'!AH219=0,0,IF('Proposed Lighting'!BV219&gt;0,'Proposed Lighting'!BV219,IF('Proposed Lighting'!CL219=0,MIN('Proposed Lighting'!CN219:CO219),IF('Proposed Lighting'!CX219&gt;0,'Proposed Lighting'!CX219*'Proposed Lighting'!AA219,0))))),2)),0)</f>
        <v>0</v>
      </c>
      <c r="S222" s="99">
        <f>IF('Proposed Lighting'!AJ219&gt;0,'Proposed Lighting'!AJ219*J222,'Proposed Lighting'!$AU$328*J222)</f>
        <v>0</v>
      </c>
      <c r="T222" s="602">
        <f t="shared" si="47"/>
        <v>0</v>
      </c>
      <c r="U222" s="100"/>
      <c r="V222" s="99">
        <f t="shared" si="48"/>
        <v>0</v>
      </c>
      <c r="W222" s="99">
        <f t="shared" si="49"/>
        <v>0</v>
      </c>
      <c r="X222" s="99">
        <f t="shared" si="50"/>
        <v>0</v>
      </c>
      <c r="Y222" s="99"/>
      <c r="Z222" s="99">
        <f t="shared" si="56"/>
        <v>0</v>
      </c>
      <c r="AA222" s="99"/>
      <c r="AB222" s="99">
        <f t="shared" si="51"/>
        <v>0</v>
      </c>
      <c r="AC222" s="101" t="str">
        <f t="shared" si="52"/>
        <v/>
      </c>
      <c r="AD222" s="101" t="str">
        <f t="shared" si="53"/>
        <v/>
      </c>
      <c r="AE222" s="101" t="str">
        <f t="shared" si="54"/>
        <v/>
      </c>
      <c r="AF222" s="72"/>
      <c r="AG222" s="98">
        <f>IFERROR(IF($AV222="No",0,IF($AV222="yes",Summary!Q222,"")),"")</f>
        <v>0</v>
      </c>
      <c r="AH222" s="99">
        <f>IFERROR(IF($AV222="No",0,IF($AV222="yes",Summary!R222,"")),"")</f>
        <v>0</v>
      </c>
      <c r="AI222" s="99">
        <f>IFERROR(IF($AV222="No",0,IF($AV222="yes",Summary!S222,"")),"")</f>
        <v>0</v>
      </c>
      <c r="AJ222" s="602">
        <f>IFERROR(IF($AV222="No",0,IF($AV222="yes",Summary!T222,"")),"")</f>
        <v>0</v>
      </c>
      <c r="AK222" s="100">
        <f>IFERROR(IF($AV222="No",0,IF($AV222="yes",Summary!U222,"")),"")</f>
        <v>0</v>
      </c>
      <c r="AL222" s="99">
        <f>IFERROR(IF($AV222="No",0,IF($AV222="yes",Summary!V222,"")),"")</f>
        <v>0</v>
      </c>
      <c r="AM222" s="99">
        <f>IFERROR(IF($AV222="No",0,IF($AV222="yes",Summary!W222,"")),"")</f>
        <v>0</v>
      </c>
      <c r="AN222" s="99">
        <f>IFERROR(IF($AV222="No",0,IF($AV222="yes",Summary!X222,"")),"")</f>
        <v>0</v>
      </c>
      <c r="AO222" s="99">
        <f>IFERROR(IF($AV222="No",0,IF($AV222="yes",Summary!Y222+Z222,"")),"")</f>
        <v>0</v>
      </c>
      <c r="AP222" s="99">
        <f>IFERROR(IF($AV222="No",0,IF($AV222="yes",Summary!AB222,"")),"")</f>
        <v>0</v>
      </c>
      <c r="AQ222" s="101" t="str">
        <f t="shared" si="57"/>
        <v/>
      </c>
      <c r="AR222" s="101" t="str">
        <f t="shared" si="58"/>
        <v/>
      </c>
      <c r="AS222" s="101" t="str">
        <f t="shared" si="59"/>
        <v/>
      </c>
      <c r="AT222" s="96" t="s">
        <v>636</v>
      </c>
      <c r="AV222" t="str">
        <f>IF('Proposed Lighting'!CN219&gt;0,"No","Yes")</f>
        <v>Yes</v>
      </c>
    </row>
    <row r="223" spans="1:48" ht="34.5" customHeight="1" outlineLevel="1">
      <c r="A223" s="96" t="s">
        <v>637</v>
      </c>
      <c r="B223" s="96" t="str">
        <f>IF(ISNUMBER(SEARCH("case",E223)),"COM_MISC_REFR_ALL_UNKN1991",IF('Proposed Lighting'!AU220=3,"Commercial-All Com-ExtLight",IF('Proposed Lighting'!AH220&gt;8759,"IPC_8760","Commercial-All Com-IntLight")))</f>
        <v>IPC_8760</v>
      </c>
      <c r="C223" s="96" t="str">
        <f>IF(OR('Proposed Lighting'!DD220="Standard Incentive",'Proposed Lighting'!DD220="Non-Standard Incentive"),"Yes",IF(AND(IF(ISNUMBER(SEARCH("controls",'Proposed Lighting'!T220)),"True","False")="False",'Proposed Lighting'!DD220="Submit Control as Non-Standard"),"Yes","No"))</f>
        <v>No</v>
      </c>
      <c r="D223" s="1403">
        <f>'Proposed Lighting'!CV220-Q223</f>
        <v>0</v>
      </c>
      <c r="E223" s="143">
        <f>'Proposed Lighting'!T220</f>
        <v>0</v>
      </c>
      <c r="F223" s="143">
        <f>'Proposed Lighting'!F220</f>
        <v>0</v>
      </c>
      <c r="G223" s="96" t="s">
        <v>242</v>
      </c>
      <c r="H223" s="142" t="str">
        <f>'Proposed Lighting'!CP220</f>
        <v/>
      </c>
      <c r="I223" s="98">
        <v>1</v>
      </c>
      <c r="J223" s="142">
        <f>'Proposed Lighting'!AA220</f>
        <v>0</v>
      </c>
      <c r="K223" s="142" t="str">
        <f>IF(ISNUMBER(SEARCH("-C",'Proposed Lighting'!M220)),'Proposed Lighting'!AH220*0.9,'Proposed Lighting'!AH220)</f>
        <v/>
      </c>
      <c r="L223" s="142">
        <f>IFERROR(IF(OR('Proposed Lighting'!BC220=22,'Proposed Lighting'!BC220=44),1-25%,IF(OR('Proposed Lighting'!BC220=23,'Proposed Lighting'!BC220=46),1-30%,IF(OR('Proposed Lighting'!BC220=29,'Proposed Lighting'!BC220=39,'Proposed Lighting'!BC220=49),1-35%,IF(OR('Proposed Lighting'!BC220=24,'Proposed Lighting'!BC220=48),1-50%,IF(AND(ISNUMBER(SEARCH("-C",'Proposed Lighting'!M220)),'Proposed Lighting'!AU220=2),90%,100%)))))*'Proposed Lighting'!AH220,0)</f>
        <v>0</v>
      </c>
      <c r="M223" s="87">
        <f t="shared" si="45"/>
        <v>0</v>
      </c>
      <c r="N223" s="87">
        <f>IFERROR(IF('Proposed Lighting'!AU220=1,0,'Proposed Lighting'!AO220),0)</f>
        <v>0</v>
      </c>
      <c r="O223" s="88">
        <f>IF('Proposed Lighting'!AU220=1,0,'Proposed Lighting'!AP220)</f>
        <v>0</v>
      </c>
      <c r="P223" s="87">
        <f t="shared" si="46"/>
        <v>0</v>
      </c>
      <c r="Q223" s="98">
        <f t="shared" si="55"/>
        <v>0</v>
      </c>
      <c r="R223" s="99">
        <f>IFERROR(IF('Proposed Lighting'!T220="Lighting controls only",0,ROUND(IF('Proposed Lighting'!AQ220&lt;'Proposed Lighting'!AR220,0,IF('Proposed Lighting'!AH220=0,0,IF('Proposed Lighting'!BV220&gt;0,'Proposed Lighting'!BV220,IF('Proposed Lighting'!CL220=0,MIN('Proposed Lighting'!CN220:CO220),IF('Proposed Lighting'!CX220&gt;0,'Proposed Lighting'!CX220*'Proposed Lighting'!AA220,0))))),2)),0)</f>
        <v>0</v>
      </c>
      <c r="S223" s="99">
        <f>IF('Proposed Lighting'!AJ220&gt;0,'Proposed Lighting'!AJ220*J223,'Proposed Lighting'!$AU$328*J223)</f>
        <v>0</v>
      </c>
      <c r="T223" s="602">
        <f t="shared" si="47"/>
        <v>0</v>
      </c>
      <c r="U223" s="100"/>
      <c r="V223" s="99">
        <f t="shared" si="48"/>
        <v>0</v>
      </c>
      <c r="W223" s="99">
        <f t="shared" si="49"/>
        <v>0</v>
      </c>
      <c r="X223" s="99">
        <f t="shared" si="50"/>
        <v>0</v>
      </c>
      <c r="Y223" s="99"/>
      <c r="Z223" s="99">
        <f t="shared" si="56"/>
        <v>0</v>
      </c>
      <c r="AA223" s="99"/>
      <c r="AB223" s="99">
        <f t="shared" si="51"/>
        <v>0</v>
      </c>
      <c r="AC223" s="101" t="str">
        <f t="shared" si="52"/>
        <v/>
      </c>
      <c r="AD223" s="101" t="str">
        <f t="shared" si="53"/>
        <v/>
      </c>
      <c r="AE223" s="101" t="str">
        <f t="shared" si="54"/>
        <v/>
      </c>
      <c r="AF223" s="72"/>
      <c r="AG223" s="98">
        <f>IFERROR(IF($AV223="No",0,IF($AV223="yes",Summary!Q223,"")),"")</f>
        <v>0</v>
      </c>
      <c r="AH223" s="99">
        <f>IFERROR(IF($AV223="No",0,IF($AV223="yes",Summary!R223,"")),"")</f>
        <v>0</v>
      </c>
      <c r="AI223" s="99">
        <f>IFERROR(IF($AV223="No",0,IF($AV223="yes",Summary!S223,"")),"")</f>
        <v>0</v>
      </c>
      <c r="AJ223" s="602">
        <f>IFERROR(IF($AV223="No",0,IF($AV223="yes",Summary!T223,"")),"")</f>
        <v>0</v>
      </c>
      <c r="AK223" s="100">
        <f>IFERROR(IF($AV223="No",0,IF($AV223="yes",Summary!U223,"")),"")</f>
        <v>0</v>
      </c>
      <c r="AL223" s="99">
        <f>IFERROR(IF($AV223="No",0,IF($AV223="yes",Summary!V223,"")),"")</f>
        <v>0</v>
      </c>
      <c r="AM223" s="99">
        <f>IFERROR(IF($AV223="No",0,IF($AV223="yes",Summary!W223,"")),"")</f>
        <v>0</v>
      </c>
      <c r="AN223" s="99">
        <f>IFERROR(IF($AV223="No",0,IF($AV223="yes",Summary!X223,"")),"")</f>
        <v>0</v>
      </c>
      <c r="AO223" s="99">
        <f>IFERROR(IF($AV223="No",0,IF($AV223="yes",Summary!Y223+Z223,"")),"")</f>
        <v>0</v>
      </c>
      <c r="AP223" s="99">
        <f>IFERROR(IF($AV223="No",0,IF($AV223="yes",Summary!AB223,"")),"")</f>
        <v>0</v>
      </c>
      <c r="AQ223" s="101" t="str">
        <f t="shared" si="57"/>
        <v/>
      </c>
      <c r="AR223" s="101" t="str">
        <f t="shared" si="58"/>
        <v/>
      </c>
      <c r="AS223" s="101" t="str">
        <f t="shared" si="59"/>
        <v/>
      </c>
      <c r="AT223" s="96" t="s">
        <v>637</v>
      </c>
      <c r="AV223" t="str">
        <f>IF('Proposed Lighting'!CN220&gt;0,"No","Yes")</f>
        <v>Yes</v>
      </c>
    </row>
    <row r="224" spans="1:48" ht="34.5" customHeight="1" outlineLevel="1">
      <c r="A224" s="96" t="s">
        <v>638</v>
      </c>
      <c r="B224" s="96" t="str">
        <f>IF(ISNUMBER(SEARCH("case",E224)),"COM_MISC_REFR_ALL_UNKN1991",IF('Proposed Lighting'!AU221=3,"Commercial-All Com-ExtLight",IF('Proposed Lighting'!AH221&gt;8759,"IPC_8760","Commercial-All Com-IntLight")))</f>
        <v>IPC_8760</v>
      </c>
      <c r="C224" s="96" t="str">
        <f>IF(OR('Proposed Lighting'!DD221="Standard Incentive",'Proposed Lighting'!DD221="Non-Standard Incentive"),"Yes",IF(AND(IF(ISNUMBER(SEARCH("controls",'Proposed Lighting'!T221)),"True","False")="False",'Proposed Lighting'!DD221="Submit Control as Non-Standard"),"Yes","No"))</f>
        <v>No</v>
      </c>
      <c r="D224" s="1403">
        <f>'Proposed Lighting'!CV221-Q224</f>
        <v>0</v>
      </c>
      <c r="E224" s="143">
        <f>'Proposed Lighting'!T221</f>
        <v>0</v>
      </c>
      <c r="F224" s="143">
        <f>'Proposed Lighting'!F221</f>
        <v>0</v>
      </c>
      <c r="G224" s="96" t="s">
        <v>242</v>
      </c>
      <c r="H224" s="142" t="str">
        <f>'Proposed Lighting'!CP221</f>
        <v/>
      </c>
      <c r="I224" s="98">
        <v>1</v>
      </c>
      <c r="J224" s="142">
        <f>'Proposed Lighting'!AA221</f>
        <v>0</v>
      </c>
      <c r="K224" s="142" t="str">
        <f>IF(ISNUMBER(SEARCH("-C",'Proposed Lighting'!M221)),'Proposed Lighting'!AH221*0.9,'Proposed Lighting'!AH221)</f>
        <v/>
      </c>
      <c r="L224" s="142">
        <f>IFERROR(IF(OR('Proposed Lighting'!BC221=22,'Proposed Lighting'!BC221=44),1-25%,IF(OR('Proposed Lighting'!BC221=23,'Proposed Lighting'!BC221=46),1-30%,IF(OR('Proposed Lighting'!BC221=29,'Proposed Lighting'!BC221=39,'Proposed Lighting'!BC221=49),1-35%,IF(OR('Proposed Lighting'!BC221=24,'Proposed Lighting'!BC221=48),1-50%,IF(AND(ISNUMBER(SEARCH("-C",'Proposed Lighting'!M221)),'Proposed Lighting'!AU221=2),90%,100%)))))*'Proposed Lighting'!AH221,0)</f>
        <v>0</v>
      </c>
      <c r="M224" s="87">
        <f t="shared" si="45"/>
        <v>0</v>
      </c>
      <c r="N224" s="87">
        <f>IFERROR(IF('Proposed Lighting'!AU221=1,0,'Proposed Lighting'!AO221),0)</f>
        <v>0</v>
      </c>
      <c r="O224" s="88">
        <f>IF('Proposed Lighting'!AU221=1,0,'Proposed Lighting'!AP221)</f>
        <v>0</v>
      </c>
      <c r="P224" s="87">
        <f t="shared" si="46"/>
        <v>0</v>
      </c>
      <c r="Q224" s="98">
        <f t="shared" si="55"/>
        <v>0</v>
      </c>
      <c r="R224" s="99">
        <f>IFERROR(IF('Proposed Lighting'!T221="Lighting controls only",0,ROUND(IF('Proposed Lighting'!AQ221&lt;'Proposed Lighting'!AR221,0,IF('Proposed Lighting'!AH221=0,0,IF('Proposed Lighting'!BV221&gt;0,'Proposed Lighting'!BV221,IF('Proposed Lighting'!CL221=0,MIN('Proposed Lighting'!CN221:CO221),IF('Proposed Lighting'!CX221&gt;0,'Proposed Lighting'!CX221*'Proposed Lighting'!AA221,0))))),2)),0)</f>
        <v>0</v>
      </c>
      <c r="S224" s="99">
        <f>IF('Proposed Lighting'!AJ221&gt;0,'Proposed Lighting'!AJ221*J224,'Proposed Lighting'!$AU$328*J224)</f>
        <v>0</v>
      </c>
      <c r="T224" s="602">
        <f t="shared" si="47"/>
        <v>0</v>
      </c>
      <c r="U224" s="100"/>
      <c r="V224" s="99">
        <f t="shared" si="48"/>
        <v>0</v>
      </c>
      <c r="W224" s="99">
        <f t="shared" si="49"/>
        <v>0</v>
      </c>
      <c r="X224" s="99">
        <f t="shared" si="50"/>
        <v>0</v>
      </c>
      <c r="Y224" s="99"/>
      <c r="Z224" s="99">
        <f t="shared" si="56"/>
        <v>0</v>
      </c>
      <c r="AA224" s="99"/>
      <c r="AB224" s="99">
        <f t="shared" si="51"/>
        <v>0</v>
      </c>
      <c r="AC224" s="101" t="str">
        <f t="shared" si="52"/>
        <v/>
      </c>
      <c r="AD224" s="101" t="str">
        <f t="shared" si="53"/>
        <v/>
      </c>
      <c r="AE224" s="101" t="str">
        <f t="shared" si="54"/>
        <v/>
      </c>
      <c r="AF224" s="72"/>
      <c r="AG224" s="98">
        <f>IFERROR(IF($AV224="No",0,IF($AV224="yes",Summary!Q224,"")),"")</f>
        <v>0</v>
      </c>
      <c r="AH224" s="99">
        <f>IFERROR(IF($AV224="No",0,IF($AV224="yes",Summary!R224,"")),"")</f>
        <v>0</v>
      </c>
      <c r="AI224" s="99">
        <f>IFERROR(IF($AV224="No",0,IF($AV224="yes",Summary!S224,"")),"")</f>
        <v>0</v>
      </c>
      <c r="AJ224" s="602">
        <f>IFERROR(IF($AV224="No",0,IF($AV224="yes",Summary!T224,"")),"")</f>
        <v>0</v>
      </c>
      <c r="AK224" s="100">
        <f>IFERROR(IF($AV224="No",0,IF($AV224="yes",Summary!U224,"")),"")</f>
        <v>0</v>
      </c>
      <c r="AL224" s="99">
        <f>IFERROR(IF($AV224="No",0,IF($AV224="yes",Summary!V224,"")),"")</f>
        <v>0</v>
      </c>
      <c r="AM224" s="99">
        <f>IFERROR(IF($AV224="No",0,IF($AV224="yes",Summary!W224,"")),"")</f>
        <v>0</v>
      </c>
      <c r="AN224" s="99">
        <f>IFERROR(IF($AV224="No",0,IF($AV224="yes",Summary!X224,"")),"")</f>
        <v>0</v>
      </c>
      <c r="AO224" s="99">
        <f>IFERROR(IF($AV224="No",0,IF($AV224="yes",Summary!Y224+Z224,"")),"")</f>
        <v>0</v>
      </c>
      <c r="AP224" s="99">
        <f>IFERROR(IF($AV224="No",0,IF($AV224="yes",Summary!AB224,"")),"")</f>
        <v>0</v>
      </c>
      <c r="AQ224" s="101" t="str">
        <f t="shared" si="57"/>
        <v/>
      </c>
      <c r="AR224" s="101" t="str">
        <f t="shared" si="58"/>
        <v/>
      </c>
      <c r="AS224" s="101" t="str">
        <f t="shared" si="59"/>
        <v/>
      </c>
      <c r="AT224" s="96" t="s">
        <v>638</v>
      </c>
      <c r="AV224" t="str">
        <f>IF('Proposed Lighting'!CN221&gt;0,"No","Yes")</f>
        <v>Yes</v>
      </c>
    </row>
    <row r="225" spans="1:48" ht="34.5" customHeight="1" outlineLevel="1">
      <c r="A225" s="96" t="s">
        <v>639</v>
      </c>
      <c r="B225" s="96" t="str">
        <f>IF(ISNUMBER(SEARCH("case",E225)),"COM_MISC_REFR_ALL_UNKN1991",IF('Proposed Lighting'!AU222=3,"Commercial-All Com-ExtLight",IF('Proposed Lighting'!AH222&gt;8759,"IPC_8760","Commercial-All Com-IntLight")))</f>
        <v>IPC_8760</v>
      </c>
      <c r="C225" s="96" t="str">
        <f>IF(OR('Proposed Lighting'!DD222="Standard Incentive",'Proposed Lighting'!DD222="Non-Standard Incentive"),"Yes",IF(AND(IF(ISNUMBER(SEARCH("controls",'Proposed Lighting'!T222)),"True","False")="False",'Proposed Lighting'!DD222="Submit Control as Non-Standard"),"Yes","No"))</f>
        <v>No</v>
      </c>
      <c r="D225" s="1403">
        <f>'Proposed Lighting'!CV222-Q225</f>
        <v>0</v>
      </c>
      <c r="E225" s="143">
        <f>'Proposed Lighting'!T222</f>
        <v>0</v>
      </c>
      <c r="F225" s="143">
        <f>'Proposed Lighting'!F222</f>
        <v>0</v>
      </c>
      <c r="G225" s="96" t="s">
        <v>242</v>
      </c>
      <c r="H225" s="142" t="str">
        <f>'Proposed Lighting'!CP222</f>
        <v/>
      </c>
      <c r="I225" s="98">
        <v>1</v>
      </c>
      <c r="J225" s="142">
        <f>'Proposed Lighting'!AA222</f>
        <v>0</v>
      </c>
      <c r="K225" s="142" t="str">
        <f>IF(ISNUMBER(SEARCH("-C",'Proposed Lighting'!M222)),'Proposed Lighting'!AH222*0.9,'Proposed Lighting'!AH222)</f>
        <v/>
      </c>
      <c r="L225" s="142">
        <f>IFERROR(IF(OR('Proposed Lighting'!BC222=22,'Proposed Lighting'!BC222=44),1-25%,IF(OR('Proposed Lighting'!BC222=23,'Proposed Lighting'!BC222=46),1-30%,IF(OR('Proposed Lighting'!BC222=29,'Proposed Lighting'!BC222=39,'Proposed Lighting'!BC222=49),1-35%,IF(OR('Proposed Lighting'!BC222=24,'Proposed Lighting'!BC222=48),1-50%,IF(AND(ISNUMBER(SEARCH("-C",'Proposed Lighting'!M222)),'Proposed Lighting'!AU222=2),90%,100%)))))*'Proposed Lighting'!AH222,0)</f>
        <v>0</v>
      </c>
      <c r="M225" s="87">
        <f t="shared" si="45"/>
        <v>0</v>
      </c>
      <c r="N225" s="87">
        <f>IFERROR(IF('Proposed Lighting'!AU222=1,0,'Proposed Lighting'!AO222),0)</f>
        <v>0</v>
      </c>
      <c r="O225" s="88">
        <f>IF('Proposed Lighting'!AU222=1,0,'Proposed Lighting'!AP222)</f>
        <v>0</v>
      </c>
      <c r="P225" s="87">
        <f t="shared" si="46"/>
        <v>0</v>
      </c>
      <c r="Q225" s="98">
        <f t="shared" si="55"/>
        <v>0</v>
      </c>
      <c r="R225" s="99">
        <f>IFERROR(IF('Proposed Lighting'!T222="Lighting controls only",0,ROUND(IF('Proposed Lighting'!AQ222&lt;'Proposed Lighting'!AR222,0,IF('Proposed Lighting'!AH222=0,0,IF('Proposed Lighting'!BV222&gt;0,'Proposed Lighting'!BV222,IF('Proposed Lighting'!CL222=0,MIN('Proposed Lighting'!CN222:CO222),IF('Proposed Lighting'!CX222&gt;0,'Proposed Lighting'!CX222*'Proposed Lighting'!AA222,0))))),2)),0)</f>
        <v>0</v>
      </c>
      <c r="S225" s="99">
        <f>IF('Proposed Lighting'!AJ222&gt;0,'Proposed Lighting'!AJ222*J225,'Proposed Lighting'!$AU$328*J225)</f>
        <v>0</v>
      </c>
      <c r="T225" s="602">
        <f t="shared" si="47"/>
        <v>0</v>
      </c>
      <c r="U225" s="100"/>
      <c r="V225" s="99">
        <f t="shared" si="48"/>
        <v>0</v>
      </c>
      <c r="W225" s="99">
        <f t="shared" si="49"/>
        <v>0</v>
      </c>
      <c r="X225" s="99">
        <f t="shared" si="50"/>
        <v>0</v>
      </c>
      <c r="Y225" s="99"/>
      <c r="Z225" s="99">
        <f t="shared" si="56"/>
        <v>0</v>
      </c>
      <c r="AA225" s="99"/>
      <c r="AB225" s="99">
        <f t="shared" si="51"/>
        <v>0</v>
      </c>
      <c r="AC225" s="101" t="str">
        <f t="shared" si="52"/>
        <v/>
      </c>
      <c r="AD225" s="101" t="str">
        <f t="shared" si="53"/>
        <v/>
      </c>
      <c r="AE225" s="101" t="str">
        <f t="shared" si="54"/>
        <v/>
      </c>
      <c r="AF225" s="72"/>
      <c r="AG225" s="98">
        <f>IFERROR(IF($AV225="No",0,IF($AV225="yes",Summary!Q225,"")),"")</f>
        <v>0</v>
      </c>
      <c r="AH225" s="99">
        <f>IFERROR(IF($AV225="No",0,IF($AV225="yes",Summary!R225,"")),"")</f>
        <v>0</v>
      </c>
      <c r="AI225" s="99">
        <f>IFERROR(IF($AV225="No",0,IF($AV225="yes",Summary!S225,"")),"")</f>
        <v>0</v>
      </c>
      <c r="AJ225" s="602">
        <f>IFERROR(IF($AV225="No",0,IF($AV225="yes",Summary!T225,"")),"")</f>
        <v>0</v>
      </c>
      <c r="AK225" s="100">
        <f>IFERROR(IF($AV225="No",0,IF($AV225="yes",Summary!U225,"")),"")</f>
        <v>0</v>
      </c>
      <c r="AL225" s="99">
        <f>IFERROR(IF($AV225="No",0,IF($AV225="yes",Summary!V225,"")),"")</f>
        <v>0</v>
      </c>
      <c r="AM225" s="99">
        <f>IFERROR(IF($AV225="No",0,IF($AV225="yes",Summary!W225,"")),"")</f>
        <v>0</v>
      </c>
      <c r="AN225" s="99">
        <f>IFERROR(IF($AV225="No",0,IF($AV225="yes",Summary!X225,"")),"")</f>
        <v>0</v>
      </c>
      <c r="AO225" s="99">
        <f>IFERROR(IF($AV225="No",0,IF($AV225="yes",Summary!Y225+Z225,"")),"")</f>
        <v>0</v>
      </c>
      <c r="AP225" s="99">
        <f>IFERROR(IF($AV225="No",0,IF($AV225="yes",Summary!AB225,"")),"")</f>
        <v>0</v>
      </c>
      <c r="AQ225" s="101" t="str">
        <f t="shared" si="57"/>
        <v/>
      </c>
      <c r="AR225" s="101" t="str">
        <f t="shared" si="58"/>
        <v/>
      </c>
      <c r="AS225" s="101" t="str">
        <f t="shared" si="59"/>
        <v/>
      </c>
      <c r="AT225" s="96" t="s">
        <v>639</v>
      </c>
      <c r="AV225" t="str">
        <f>IF('Proposed Lighting'!CN222&gt;0,"No","Yes")</f>
        <v>Yes</v>
      </c>
    </row>
    <row r="226" spans="1:48" ht="34.5" customHeight="1" outlineLevel="1">
      <c r="A226" s="96" t="s">
        <v>640</v>
      </c>
      <c r="B226" s="96" t="str">
        <f>IF(ISNUMBER(SEARCH("case",E226)),"COM_MISC_REFR_ALL_UNKN1991",IF('Proposed Lighting'!AU223=3,"Commercial-All Com-ExtLight",IF('Proposed Lighting'!AH223&gt;8759,"IPC_8760","Commercial-All Com-IntLight")))</f>
        <v>IPC_8760</v>
      </c>
      <c r="C226" s="96" t="str">
        <f>IF(OR('Proposed Lighting'!DD223="Standard Incentive",'Proposed Lighting'!DD223="Non-Standard Incentive"),"Yes",IF(AND(IF(ISNUMBER(SEARCH("controls",'Proposed Lighting'!T223)),"True","False")="False",'Proposed Lighting'!DD223="Submit Control as Non-Standard"),"Yes","No"))</f>
        <v>No</v>
      </c>
      <c r="D226" s="1403">
        <f>'Proposed Lighting'!CV223-Q226</f>
        <v>0</v>
      </c>
      <c r="E226" s="143">
        <f>'Proposed Lighting'!T223</f>
        <v>0</v>
      </c>
      <c r="F226" s="143">
        <f>'Proposed Lighting'!F223</f>
        <v>0</v>
      </c>
      <c r="G226" s="96" t="s">
        <v>242</v>
      </c>
      <c r="H226" s="142" t="str">
        <f>'Proposed Lighting'!CP223</f>
        <v/>
      </c>
      <c r="I226" s="98">
        <v>1</v>
      </c>
      <c r="J226" s="142">
        <f>'Proposed Lighting'!AA223</f>
        <v>0</v>
      </c>
      <c r="K226" s="142" t="str">
        <f>IF(ISNUMBER(SEARCH("-C",'Proposed Lighting'!M223)),'Proposed Lighting'!AH223*0.9,'Proposed Lighting'!AH223)</f>
        <v/>
      </c>
      <c r="L226" s="142">
        <f>IFERROR(IF(OR('Proposed Lighting'!BC223=22,'Proposed Lighting'!BC223=44),1-25%,IF(OR('Proposed Lighting'!BC223=23,'Proposed Lighting'!BC223=46),1-30%,IF(OR('Proposed Lighting'!BC223=29,'Proposed Lighting'!BC223=39,'Proposed Lighting'!BC223=49),1-35%,IF(OR('Proposed Lighting'!BC223=24,'Proposed Lighting'!BC223=48),1-50%,IF(AND(ISNUMBER(SEARCH("-C",'Proposed Lighting'!M223)),'Proposed Lighting'!AU223=2),90%,100%)))))*'Proposed Lighting'!AH223,0)</f>
        <v>0</v>
      </c>
      <c r="M226" s="87">
        <f t="shared" si="45"/>
        <v>0</v>
      </c>
      <c r="N226" s="87">
        <f>IFERROR(IF('Proposed Lighting'!AU223=1,0,'Proposed Lighting'!AO223),0)</f>
        <v>0</v>
      </c>
      <c r="O226" s="88">
        <f>IF('Proposed Lighting'!AU223=1,0,'Proposed Lighting'!AP223)</f>
        <v>0</v>
      </c>
      <c r="P226" s="87">
        <f t="shared" si="46"/>
        <v>0</v>
      </c>
      <c r="Q226" s="98">
        <f t="shared" si="55"/>
        <v>0</v>
      </c>
      <c r="R226" s="99">
        <f>IFERROR(IF('Proposed Lighting'!T223="Lighting controls only",0,ROUND(IF('Proposed Lighting'!AQ223&lt;'Proposed Lighting'!AR223,0,IF('Proposed Lighting'!AH223=0,0,IF('Proposed Lighting'!BV223&gt;0,'Proposed Lighting'!BV223,IF('Proposed Lighting'!CL223=0,MIN('Proposed Lighting'!CN223:CO223),IF('Proposed Lighting'!CX223&gt;0,'Proposed Lighting'!CX223*'Proposed Lighting'!AA223,0))))),2)),0)</f>
        <v>0</v>
      </c>
      <c r="S226" s="99">
        <f>IF('Proposed Lighting'!AJ223&gt;0,'Proposed Lighting'!AJ223*J226,'Proposed Lighting'!$AU$328*J226)</f>
        <v>0</v>
      </c>
      <c r="T226" s="602">
        <f t="shared" si="47"/>
        <v>0</v>
      </c>
      <c r="U226" s="100"/>
      <c r="V226" s="99">
        <f t="shared" si="48"/>
        <v>0</v>
      </c>
      <c r="W226" s="99">
        <f t="shared" si="49"/>
        <v>0</v>
      </c>
      <c r="X226" s="99">
        <f t="shared" si="50"/>
        <v>0</v>
      </c>
      <c r="Y226" s="99"/>
      <c r="Z226" s="99">
        <f t="shared" si="56"/>
        <v>0</v>
      </c>
      <c r="AA226" s="99"/>
      <c r="AB226" s="99">
        <f t="shared" si="51"/>
        <v>0</v>
      </c>
      <c r="AC226" s="101" t="str">
        <f t="shared" si="52"/>
        <v/>
      </c>
      <c r="AD226" s="101" t="str">
        <f t="shared" si="53"/>
        <v/>
      </c>
      <c r="AE226" s="101" t="str">
        <f t="shared" si="54"/>
        <v/>
      </c>
      <c r="AF226" s="72"/>
      <c r="AG226" s="98">
        <f>IFERROR(IF($AV226="No",0,IF($AV226="yes",Summary!Q226,"")),"")</f>
        <v>0</v>
      </c>
      <c r="AH226" s="99">
        <f>IFERROR(IF($AV226="No",0,IF($AV226="yes",Summary!R226,"")),"")</f>
        <v>0</v>
      </c>
      <c r="AI226" s="99">
        <f>IFERROR(IF($AV226="No",0,IF($AV226="yes",Summary!S226,"")),"")</f>
        <v>0</v>
      </c>
      <c r="AJ226" s="602">
        <f>IFERROR(IF($AV226="No",0,IF($AV226="yes",Summary!T226,"")),"")</f>
        <v>0</v>
      </c>
      <c r="AK226" s="100">
        <f>IFERROR(IF($AV226="No",0,IF($AV226="yes",Summary!U226,"")),"")</f>
        <v>0</v>
      </c>
      <c r="AL226" s="99">
        <f>IFERROR(IF($AV226="No",0,IF($AV226="yes",Summary!V226,"")),"")</f>
        <v>0</v>
      </c>
      <c r="AM226" s="99">
        <f>IFERROR(IF($AV226="No",0,IF($AV226="yes",Summary!W226,"")),"")</f>
        <v>0</v>
      </c>
      <c r="AN226" s="99">
        <f>IFERROR(IF($AV226="No",0,IF($AV226="yes",Summary!X226,"")),"")</f>
        <v>0</v>
      </c>
      <c r="AO226" s="99">
        <f>IFERROR(IF($AV226="No",0,IF($AV226="yes",Summary!Y226+Z226,"")),"")</f>
        <v>0</v>
      </c>
      <c r="AP226" s="99">
        <f>IFERROR(IF($AV226="No",0,IF($AV226="yes",Summary!AB226,"")),"")</f>
        <v>0</v>
      </c>
      <c r="AQ226" s="101" t="str">
        <f t="shared" si="57"/>
        <v/>
      </c>
      <c r="AR226" s="101" t="str">
        <f t="shared" si="58"/>
        <v/>
      </c>
      <c r="AS226" s="101" t="str">
        <f t="shared" si="59"/>
        <v/>
      </c>
      <c r="AT226" s="96" t="s">
        <v>640</v>
      </c>
      <c r="AV226" t="str">
        <f>IF('Proposed Lighting'!CN223&gt;0,"No","Yes")</f>
        <v>Yes</v>
      </c>
    </row>
    <row r="227" spans="1:48" ht="34.5" customHeight="1" outlineLevel="1">
      <c r="A227" s="96" t="s">
        <v>641</v>
      </c>
      <c r="B227" s="96" t="str">
        <f>IF(ISNUMBER(SEARCH("case",E227)),"COM_MISC_REFR_ALL_UNKN1991",IF('Proposed Lighting'!AU224=3,"Commercial-All Com-ExtLight",IF('Proposed Lighting'!AH224&gt;8759,"IPC_8760","Commercial-All Com-IntLight")))</f>
        <v>IPC_8760</v>
      </c>
      <c r="C227" s="96" t="str">
        <f>IF(OR('Proposed Lighting'!DD224="Standard Incentive",'Proposed Lighting'!DD224="Non-Standard Incentive"),"Yes",IF(AND(IF(ISNUMBER(SEARCH("controls",'Proposed Lighting'!T224)),"True","False")="False",'Proposed Lighting'!DD224="Submit Control as Non-Standard"),"Yes","No"))</f>
        <v>No</v>
      </c>
      <c r="D227" s="1403">
        <f>'Proposed Lighting'!CV224-Q227</f>
        <v>0</v>
      </c>
      <c r="E227" s="143">
        <f>'Proposed Lighting'!T224</f>
        <v>0</v>
      </c>
      <c r="F227" s="143">
        <f>'Proposed Lighting'!F224</f>
        <v>0</v>
      </c>
      <c r="G227" s="96" t="s">
        <v>242</v>
      </c>
      <c r="H227" s="142" t="str">
        <f>'Proposed Lighting'!CP224</f>
        <v/>
      </c>
      <c r="I227" s="98">
        <v>1</v>
      </c>
      <c r="J227" s="142">
        <f>'Proposed Lighting'!AA224</f>
        <v>0</v>
      </c>
      <c r="K227" s="142" t="str">
        <f>IF(ISNUMBER(SEARCH("-C",'Proposed Lighting'!M224)),'Proposed Lighting'!AH224*0.9,'Proposed Lighting'!AH224)</f>
        <v/>
      </c>
      <c r="L227" s="142">
        <f>IFERROR(IF(OR('Proposed Lighting'!BC224=22,'Proposed Lighting'!BC224=44),1-25%,IF(OR('Proposed Lighting'!BC224=23,'Proposed Lighting'!BC224=46),1-30%,IF(OR('Proposed Lighting'!BC224=29,'Proposed Lighting'!BC224=39,'Proposed Lighting'!BC224=49),1-35%,IF(OR('Proposed Lighting'!BC224=24,'Proposed Lighting'!BC224=48),1-50%,IF(AND(ISNUMBER(SEARCH("-C",'Proposed Lighting'!M224)),'Proposed Lighting'!AU224=2),90%,100%)))))*'Proposed Lighting'!AH224,0)</f>
        <v>0</v>
      </c>
      <c r="M227" s="87">
        <f t="shared" si="45"/>
        <v>0</v>
      </c>
      <c r="N227" s="87">
        <f>IFERROR(IF('Proposed Lighting'!AU224=1,0,'Proposed Lighting'!AO224),0)</f>
        <v>0</v>
      </c>
      <c r="O227" s="88">
        <f>IF('Proposed Lighting'!AU224=1,0,'Proposed Lighting'!AP224)</f>
        <v>0</v>
      </c>
      <c r="P227" s="87">
        <f t="shared" si="46"/>
        <v>0</v>
      </c>
      <c r="Q227" s="98">
        <f t="shared" si="55"/>
        <v>0</v>
      </c>
      <c r="R227" s="99">
        <f>IFERROR(IF('Proposed Lighting'!T224="Lighting controls only",0,ROUND(IF('Proposed Lighting'!AQ224&lt;'Proposed Lighting'!AR224,0,IF('Proposed Lighting'!AH224=0,0,IF('Proposed Lighting'!BV224&gt;0,'Proposed Lighting'!BV224,IF('Proposed Lighting'!CL224=0,MIN('Proposed Lighting'!CN224:CO224),IF('Proposed Lighting'!CX224&gt;0,'Proposed Lighting'!CX224*'Proposed Lighting'!AA224,0))))),2)),0)</f>
        <v>0</v>
      </c>
      <c r="S227" s="99">
        <f>IF('Proposed Lighting'!AJ224&gt;0,'Proposed Lighting'!AJ224*J227,'Proposed Lighting'!$AU$328*J227)</f>
        <v>0</v>
      </c>
      <c r="T227" s="602">
        <f t="shared" si="47"/>
        <v>0</v>
      </c>
      <c r="U227" s="100"/>
      <c r="V227" s="99">
        <f t="shared" si="48"/>
        <v>0</v>
      </c>
      <c r="W227" s="99">
        <f t="shared" si="49"/>
        <v>0</v>
      </c>
      <c r="X227" s="99">
        <f t="shared" si="50"/>
        <v>0</v>
      </c>
      <c r="Y227" s="99"/>
      <c r="Z227" s="99">
        <f t="shared" si="56"/>
        <v>0</v>
      </c>
      <c r="AA227" s="99"/>
      <c r="AB227" s="99">
        <f t="shared" si="51"/>
        <v>0</v>
      </c>
      <c r="AC227" s="101" t="str">
        <f t="shared" si="52"/>
        <v/>
      </c>
      <c r="AD227" s="101" t="str">
        <f t="shared" si="53"/>
        <v/>
      </c>
      <c r="AE227" s="101" t="str">
        <f t="shared" si="54"/>
        <v/>
      </c>
      <c r="AF227" s="72"/>
      <c r="AG227" s="98">
        <f>IFERROR(IF($AV227="No",0,IF($AV227="yes",Summary!Q227,"")),"")</f>
        <v>0</v>
      </c>
      <c r="AH227" s="99">
        <f>IFERROR(IF($AV227="No",0,IF($AV227="yes",Summary!R227,"")),"")</f>
        <v>0</v>
      </c>
      <c r="AI227" s="99">
        <f>IFERROR(IF($AV227="No",0,IF($AV227="yes",Summary!S227,"")),"")</f>
        <v>0</v>
      </c>
      <c r="AJ227" s="602">
        <f>IFERROR(IF($AV227="No",0,IF($AV227="yes",Summary!T227,"")),"")</f>
        <v>0</v>
      </c>
      <c r="AK227" s="100">
        <f>IFERROR(IF($AV227="No",0,IF($AV227="yes",Summary!U227,"")),"")</f>
        <v>0</v>
      </c>
      <c r="AL227" s="99">
        <f>IFERROR(IF($AV227="No",0,IF($AV227="yes",Summary!V227,"")),"")</f>
        <v>0</v>
      </c>
      <c r="AM227" s="99">
        <f>IFERROR(IF($AV227="No",0,IF($AV227="yes",Summary!W227,"")),"")</f>
        <v>0</v>
      </c>
      <c r="AN227" s="99">
        <f>IFERROR(IF($AV227="No",0,IF($AV227="yes",Summary!X227,"")),"")</f>
        <v>0</v>
      </c>
      <c r="AO227" s="99">
        <f>IFERROR(IF($AV227="No",0,IF($AV227="yes",Summary!Y227+Z227,"")),"")</f>
        <v>0</v>
      </c>
      <c r="AP227" s="99">
        <f>IFERROR(IF($AV227="No",0,IF($AV227="yes",Summary!AB227,"")),"")</f>
        <v>0</v>
      </c>
      <c r="AQ227" s="101" t="str">
        <f t="shared" si="57"/>
        <v/>
      </c>
      <c r="AR227" s="101" t="str">
        <f t="shared" si="58"/>
        <v/>
      </c>
      <c r="AS227" s="101" t="str">
        <f t="shared" si="59"/>
        <v/>
      </c>
      <c r="AT227" s="96" t="s">
        <v>641</v>
      </c>
      <c r="AV227" t="str">
        <f>IF('Proposed Lighting'!CN224&gt;0,"No","Yes")</f>
        <v>Yes</v>
      </c>
    </row>
    <row r="228" spans="1:48" ht="34.5" customHeight="1" outlineLevel="1">
      <c r="A228" s="96" t="s">
        <v>642</v>
      </c>
      <c r="B228" s="96" t="str">
        <f>IF(ISNUMBER(SEARCH("case",E228)),"COM_MISC_REFR_ALL_UNKN1991",IF('Proposed Lighting'!AU225=3,"Commercial-All Com-ExtLight",IF('Proposed Lighting'!AH225&gt;8759,"IPC_8760","Commercial-All Com-IntLight")))</f>
        <v>IPC_8760</v>
      </c>
      <c r="C228" s="96" t="str">
        <f>IF(OR('Proposed Lighting'!DD225="Standard Incentive",'Proposed Lighting'!DD225="Non-Standard Incentive"),"Yes",IF(AND(IF(ISNUMBER(SEARCH("controls",'Proposed Lighting'!T225)),"True","False")="False",'Proposed Lighting'!DD225="Submit Control as Non-Standard"),"Yes","No"))</f>
        <v>No</v>
      </c>
      <c r="D228" s="1403">
        <f>'Proposed Lighting'!CV225-Q228</f>
        <v>0</v>
      </c>
      <c r="E228" s="143">
        <f>'Proposed Lighting'!T225</f>
        <v>0</v>
      </c>
      <c r="F228" s="143">
        <f>'Proposed Lighting'!F225</f>
        <v>0</v>
      </c>
      <c r="G228" s="96" t="s">
        <v>242</v>
      </c>
      <c r="H228" s="142" t="str">
        <f>'Proposed Lighting'!CP225</f>
        <v/>
      </c>
      <c r="I228" s="98">
        <v>1</v>
      </c>
      <c r="J228" s="142">
        <f>'Proposed Lighting'!AA225</f>
        <v>0</v>
      </c>
      <c r="K228" s="142" t="str">
        <f>IF(ISNUMBER(SEARCH("-C",'Proposed Lighting'!M225)),'Proposed Lighting'!AH225*0.9,'Proposed Lighting'!AH225)</f>
        <v/>
      </c>
      <c r="L228" s="142">
        <f>IFERROR(IF(OR('Proposed Lighting'!BC225=22,'Proposed Lighting'!BC225=44),1-25%,IF(OR('Proposed Lighting'!BC225=23,'Proposed Lighting'!BC225=46),1-30%,IF(OR('Proposed Lighting'!BC225=29,'Proposed Lighting'!BC225=39,'Proposed Lighting'!BC225=49),1-35%,IF(OR('Proposed Lighting'!BC225=24,'Proposed Lighting'!BC225=48),1-50%,IF(AND(ISNUMBER(SEARCH("-C",'Proposed Lighting'!M225)),'Proposed Lighting'!AU225=2),90%,100%)))))*'Proposed Lighting'!AH225,0)</f>
        <v>0</v>
      </c>
      <c r="M228" s="87">
        <f t="shared" si="45"/>
        <v>0</v>
      </c>
      <c r="N228" s="87">
        <f>IFERROR(IF('Proposed Lighting'!AU225=1,0,'Proposed Lighting'!AO225),0)</f>
        <v>0</v>
      </c>
      <c r="O228" s="88">
        <f>IF('Proposed Lighting'!AU225=1,0,'Proposed Lighting'!AP225)</f>
        <v>0</v>
      </c>
      <c r="P228" s="87">
        <f t="shared" si="46"/>
        <v>0</v>
      </c>
      <c r="Q228" s="98">
        <f t="shared" si="55"/>
        <v>0</v>
      </c>
      <c r="R228" s="99">
        <f>IFERROR(IF('Proposed Lighting'!T225="Lighting controls only",0,ROUND(IF('Proposed Lighting'!AQ225&lt;'Proposed Lighting'!AR225,0,IF('Proposed Lighting'!AH225=0,0,IF('Proposed Lighting'!BV225&gt;0,'Proposed Lighting'!BV225,IF('Proposed Lighting'!CL225=0,MIN('Proposed Lighting'!CN225:CO225),IF('Proposed Lighting'!CX225&gt;0,'Proposed Lighting'!CX225*'Proposed Lighting'!AA225,0))))),2)),0)</f>
        <v>0</v>
      </c>
      <c r="S228" s="99">
        <f>IF('Proposed Lighting'!AJ225&gt;0,'Proposed Lighting'!AJ225*J228,'Proposed Lighting'!$AU$328*J228)</f>
        <v>0</v>
      </c>
      <c r="T228" s="602">
        <f t="shared" si="47"/>
        <v>0</v>
      </c>
      <c r="U228" s="100"/>
      <c r="V228" s="99">
        <f t="shared" si="48"/>
        <v>0</v>
      </c>
      <c r="W228" s="99">
        <f t="shared" si="49"/>
        <v>0</v>
      </c>
      <c r="X228" s="99">
        <f t="shared" si="50"/>
        <v>0</v>
      </c>
      <c r="Y228" s="99"/>
      <c r="Z228" s="99">
        <f t="shared" si="56"/>
        <v>0</v>
      </c>
      <c r="AA228" s="99"/>
      <c r="AB228" s="99">
        <f t="shared" si="51"/>
        <v>0</v>
      </c>
      <c r="AC228" s="101" t="str">
        <f t="shared" si="52"/>
        <v/>
      </c>
      <c r="AD228" s="101" t="str">
        <f t="shared" si="53"/>
        <v/>
      </c>
      <c r="AE228" s="101" t="str">
        <f t="shared" si="54"/>
        <v/>
      </c>
      <c r="AF228" s="72"/>
      <c r="AG228" s="98">
        <f>IFERROR(IF($AV228="No",0,IF($AV228="yes",Summary!Q228,"")),"")</f>
        <v>0</v>
      </c>
      <c r="AH228" s="99">
        <f>IFERROR(IF($AV228="No",0,IF($AV228="yes",Summary!R228,"")),"")</f>
        <v>0</v>
      </c>
      <c r="AI228" s="99">
        <f>IFERROR(IF($AV228="No",0,IF($AV228="yes",Summary!S228,"")),"")</f>
        <v>0</v>
      </c>
      <c r="AJ228" s="602">
        <f>IFERROR(IF($AV228="No",0,IF($AV228="yes",Summary!T228,"")),"")</f>
        <v>0</v>
      </c>
      <c r="AK228" s="100">
        <f>IFERROR(IF($AV228="No",0,IF($AV228="yes",Summary!U228,"")),"")</f>
        <v>0</v>
      </c>
      <c r="AL228" s="99">
        <f>IFERROR(IF($AV228="No",0,IF($AV228="yes",Summary!V228,"")),"")</f>
        <v>0</v>
      </c>
      <c r="AM228" s="99">
        <f>IFERROR(IF($AV228="No",0,IF($AV228="yes",Summary!W228,"")),"")</f>
        <v>0</v>
      </c>
      <c r="AN228" s="99">
        <f>IFERROR(IF($AV228="No",0,IF($AV228="yes",Summary!X228,"")),"")</f>
        <v>0</v>
      </c>
      <c r="AO228" s="99">
        <f>IFERROR(IF($AV228="No",0,IF($AV228="yes",Summary!Y228+Z228,"")),"")</f>
        <v>0</v>
      </c>
      <c r="AP228" s="99">
        <f>IFERROR(IF($AV228="No",0,IF($AV228="yes",Summary!AB228,"")),"")</f>
        <v>0</v>
      </c>
      <c r="AQ228" s="101" t="str">
        <f t="shared" si="57"/>
        <v/>
      </c>
      <c r="AR228" s="101" t="str">
        <f t="shared" si="58"/>
        <v/>
      </c>
      <c r="AS228" s="101" t="str">
        <f t="shared" si="59"/>
        <v/>
      </c>
      <c r="AT228" s="96" t="s">
        <v>642</v>
      </c>
      <c r="AV228" t="str">
        <f>IF('Proposed Lighting'!CN225&gt;0,"No","Yes")</f>
        <v>Yes</v>
      </c>
    </row>
    <row r="229" spans="1:48" ht="34.5" customHeight="1" outlineLevel="1">
      <c r="A229" s="96" t="s">
        <v>643</v>
      </c>
      <c r="B229" s="96" t="str">
        <f>IF(ISNUMBER(SEARCH("case",E229)),"COM_MISC_REFR_ALL_UNKN1991",IF('Proposed Lighting'!AU226=3,"Commercial-All Com-ExtLight",IF('Proposed Lighting'!AH226&gt;8759,"IPC_8760","Commercial-All Com-IntLight")))</f>
        <v>IPC_8760</v>
      </c>
      <c r="C229" s="96" t="str">
        <f>IF(OR('Proposed Lighting'!DD226="Standard Incentive",'Proposed Lighting'!DD226="Non-Standard Incentive"),"Yes",IF(AND(IF(ISNUMBER(SEARCH("controls",'Proposed Lighting'!T226)),"True","False")="False",'Proposed Lighting'!DD226="Submit Control as Non-Standard"),"Yes","No"))</f>
        <v>No</v>
      </c>
      <c r="D229" s="1403">
        <f>'Proposed Lighting'!CV226-Q229</f>
        <v>0</v>
      </c>
      <c r="E229" s="143">
        <f>'Proposed Lighting'!T226</f>
        <v>0</v>
      </c>
      <c r="F229" s="143">
        <f>'Proposed Lighting'!F226</f>
        <v>0</v>
      </c>
      <c r="G229" s="96" t="s">
        <v>242</v>
      </c>
      <c r="H229" s="142" t="str">
        <f>'Proposed Lighting'!CP226</f>
        <v/>
      </c>
      <c r="I229" s="98">
        <v>1</v>
      </c>
      <c r="J229" s="142">
        <f>'Proposed Lighting'!AA226</f>
        <v>0</v>
      </c>
      <c r="K229" s="142" t="str">
        <f>IF(ISNUMBER(SEARCH("-C",'Proposed Lighting'!M226)),'Proposed Lighting'!AH226*0.9,'Proposed Lighting'!AH226)</f>
        <v/>
      </c>
      <c r="L229" s="142">
        <f>IFERROR(IF(OR('Proposed Lighting'!BC226=22,'Proposed Lighting'!BC226=44),1-25%,IF(OR('Proposed Lighting'!BC226=23,'Proposed Lighting'!BC226=46),1-30%,IF(OR('Proposed Lighting'!BC226=29,'Proposed Lighting'!BC226=39,'Proposed Lighting'!BC226=49),1-35%,IF(OR('Proposed Lighting'!BC226=24,'Proposed Lighting'!BC226=48),1-50%,IF(AND(ISNUMBER(SEARCH("-C",'Proposed Lighting'!M226)),'Proposed Lighting'!AU226=2),90%,100%)))))*'Proposed Lighting'!AH226,0)</f>
        <v>0</v>
      </c>
      <c r="M229" s="87">
        <f t="shared" si="45"/>
        <v>0</v>
      </c>
      <c r="N229" s="87">
        <f>IFERROR(IF('Proposed Lighting'!AU226=1,0,'Proposed Lighting'!AO226),0)</f>
        <v>0</v>
      </c>
      <c r="O229" s="88">
        <f>IF('Proposed Lighting'!AU226=1,0,'Proposed Lighting'!AP226)</f>
        <v>0</v>
      </c>
      <c r="P229" s="87">
        <f t="shared" si="46"/>
        <v>0</v>
      </c>
      <c r="Q229" s="98">
        <f t="shared" si="55"/>
        <v>0</v>
      </c>
      <c r="R229" s="99">
        <f>IFERROR(IF('Proposed Lighting'!T226="Lighting controls only",0,ROUND(IF('Proposed Lighting'!AQ226&lt;'Proposed Lighting'!AR226,0,IF('Proposed Lighting'!AH226=0,0,IF('Proposed Lighting'!BV226&gt;0,'Proposed Lighting'!BV226,IF('Proposed Lighting'!CL226=0,MIN('Proposed Lighting'!CN226:CO226),IF('Proposed Lighting'!CX226&gt;0,'Proposed Lighting'!CX226*'Proposed Lighting'!AA226,0))))),2)),0)</f>
        <v>0</v>
      </c>
      <c r="S229" s="99">
        <f>IF('Proposed Lighting'!AJ226&gt;0,'Proposed Lighting'!AJ226*J229,'Proposed Lighting'!$AU$328*J229)</f>
        <v>0</v>
      </c>
      <c r="T229" s="602">
        <f t="shared" si="47"/>
        <v>0</v>
      </c>
      <c r="U229" s="100"/>
      <c r="V229" s="99">
        <f t="shared" si="48"/>
        <v>0</v>
      </c>
      <c r="W229" s="99">
        <f t="shared" si="49"/>
        <v>0</v>
      </c>
      <c r="X229" s="99">
        <f t="shared" si="50"/>
        <v>0</v>
      </c>
      <c r="Y229" s="99"/>
      <c r="Z229" s="99">
        <f t="shared" si="56"/>
        <v>0</v>
      </c>
      <c r="AA229" s="99"/>
      <c r="AB229" s="99">
        <f t="shared" si="51"/>
        <v>0</v>
      </c>
      <c r="AC229" s="101" t="str">
        <f t="shared" si="52"/>
        <v/>
      </c>
      <c r="AD229" s="101" t="str">
        <f t="shared" si="53"/>
        <v/>
      </c>
      <c r="AE229" s="101" t="str">
        <f t="shared" si="54"/>
        <v/>
      </c>
      <c r="AF229" s="72"/>
      <c r="AG229" s="98">
        <f>IFERROR(IF($AV229="No",0,IF($AV229="yes",Summary!Q229,"")),"")</f>
        <v>0</v>
      </c>
      <c r="AH229" s="99">
        <f>IFERROR(IF($AV229="No",0,IF($AV229="yes",Summary!R229,"")),"")</f>
        <v>0</v>
      </c>
      <c r="AI229" s="99">
        <f>IFERROR(IF($AV229="No",0,IF($AV229="yes",Summary!S229,"")),"")</f>
        <v>0</v>
      </c>
      <c r="AJ229" s="602">
        <f>IFERROR(IF($AV229="No",0,IF($AV229="yes",Summary!T229,"")),"")</f>
        <v>0</v>
      </c>
      <c r="AK229" s="100">
        <f>IFERROR(IF($AV229="No",0,IF($AV229="yes",Summary!U229,"")),"")</f>
        <v>0</v>
      </c>
      <c r="AL229" s="99">
        <f>IFERROR(IF($AV229="No",0,IF($AV229="yes",Summary!V229,"")),"")</f>
        <v>0</v>
      </c>
      <c r="AM229" s="99">
        <f>IFERROR(IF($AV229="No",0,IF($AV229="yes",Summary!W229,"")),"")</f>
        <v>0</v>
      </c>
      <c r="AN229" s="99">
        <f>IFERROR(IF($AV229="No",0,IF($AV229="yes",Summary!X229,"")),"")</f>
        <v>0</v>
      </c>
      <c r="AO229" s="99">
        <f>IFERROR(IF($AV229="No",0,IF($AV229="yes",Summary!Y229+Z229,"")),"")</f>
        <v>0</v>
      </c>
      <c r="AP229" s="99">
        <f>IFERROR(IF($AV229="No",0,IF($AV229="yes",Summary!AB229,"")),"")</f>
        <v>0</v>
      </c>
      <c r="AQ229" s="101" t="str">
        <f t="shared" si="57"/>
        <v/>
      </c>
      <c r="AR229" s="101" t="str">
        <f t="shared" si="58"/>
        <v/>
      </c>
      <c r="AS229" s="101" t="str">
        <f t="shared" si="59"/>
        <v/>
      </c>
      <c r="AT229" s="96" t="s">
        <v>643</v>
      </c>
      <c r="AV229" t="str">
        <f>IF('Proposed Lighting'!CN226&gt;0,"No","Yes")</f>
        <v>Yes</v>
      </c>
    </row>
    <row r="230" spans="1:48" ht="34.5" customHeight="1" outlineLevel="1">
      <c r="A230" s="96" t="s">
        <v>644</v>
      </c>
      <c r="B230" s="96" t="str">
        <f>IF(ISNUMBER(SEARCH("case",E230)),"COM_MISC_REFR_ALL_UNKN1991",IF('Proposed Lighting'!AU227=3,"Commercial-All Com-ExtLight",IF('Proposed Lighting'!AH227&gt;8759,"IPC_8760","Commercial-All Com-IntLight")))</f>
        <v>IPC_8760</v>
      </c>
      <c r="C230" s="96" t="str">
        <f>IF(OR('Proposed Lighting'!DD227="Standard Incentive",'Proposed Lighting'!DD227="Non-Standard Incentive"),"Yes",IF(AND(IF(ISNUMBER(SEARCH("controls",'Proposed Lighting'!T227)),"True","False")="False",'Proposed Lighting'!DD227="Submit Control as Non-Standard"),"Yes","No"))</f>
        <v>No</v>
      </c>
      <c r="D230" s="1403">
        <f>'Proposed Lighting'!CV227-Q230</f>
        <v>0</v>
      </c>
      <c r="E230" s="143">
        <f>'Proposed Lighting'!T227</f>
        <v>0</v>
      </c>
      <c r="F230" s="143">
        <f>'Proposed Lighting'!F227</f>
        <v>0</v>
      </c>
      <c r="G230" s="96" t="s">
        <v>242</v>
      </c>
      <c r="H230" s="142" t="str">
        <f>'Proposed Lighting'!CP227</f>
        <v/>
      </c>
      <c r="I230" s="98">
        <v>1</v>
      </c>
      <c r="J230" s="142">
        <f>'Proposed Lighting'!AA227</f>
        <v>0</v>
      </c>
      <c r="K230" s="142" t="str">
        <f>IF(ISNUMBER(SEARCH("-C",'Proposed Lighting'!M227)),'Proposed Lighting'!AH227*0.9,'Proposed Lighting'!AH227)</f>
        <v/>
      </c>
      <c r="L230" s="142">
        <f>IFERROR(IF(OR('Proposed Lighting'!BC227=22,'Proposed Lighting'!BC227=44),1-25%,IF(OR('Proposed Lighting'!BC227=23,'Proposed Lighting'!BC227=46),1-30%,IF(OR('Proposed Lighting'!BC227=29,'Proposed Lighting'!BC227=39,'Proposed Lighting'!BC227=49),1-35%,IF(OR('Proposed Lighting'!BC227=24,'Proposed Lighting'!BC227=48),1-50%,IF(AND(ISNUMBER(SEARCH("-C",'Proposed Lighting'!M227)),'Proposed Lighting'!AU227=2),90%,100%)))))*'Proposed Lighting'!AH227,0)</f>
        <v>0</v>
      </c>
      <c r="M230" s="87">
        <f t="shared" si="45"/>
        <v>0</v>
      </c>
      <c r="N230" s="87">
        <f>IFERROR(IF('Proposed Lighting'!AU227=1,0,'Proposed Lighting'!AO227),0)</f>
        <v>0</v>
      </c>
      <c r="O230" s="88">
        <f>IF('Proposed Lighting'!AU227=1,0,'Proposed Lighting'!AP227)</f>
        <v>0</v>
      </c>
      <c r="P230" s="87">
        <f t="shared" si="46"/>
        <v>0</v>
      </c>
      <c r="Q230" s="98">
        <f t="shared" si="55"/>
        <v>0</v>
      </c>
      <c r="R230" s="99">
        <f>IFERROR(IF('Proposed Lighting'!T227="Lighting controls only",0,ROUND(IF('Proposed Lighting'!AQ227&lt;'Proposed Lighting'!AR227,0,IF('Proposed Lighting'!AH227=0,0,IF('Proposed Lighting'!BV227&gt;0,'Proposed Lighting'!BV227,IF('Proposed Lighting'!CL227=0,MIN('Proposed Lighting'!CN227:CO227),IF('Proposed Lighting'!CX227&gt;0,'Proposed Lighting'!CX227*'Proposed Lighting'!AA227,0))))),2)),0)</f>
        <v>0</v>
      </c>
      <c r="S230" s="99">
        <f>IF('Proposed Lighting'!AJ227&gt;0,'Proposed Lighting'!AJ227*J230,'Proposed Lighting'!$AU$328*J230)</f>
        <v>0</v>
      </c>
      <c r="T230" s="602">
        <f t="shared" si="47"/>
        <v>0</v>
      </c>
      <c r="U230" s="100"/>
      <c r="V230" s="99">
        <f t="shared" si="48"/>
        <v>0</v>
      </c>
      <c r="W230" s="99">
        <f t="shared" si="49"/>
        <v>0</v>
      </c>
      <c r="X230" s="99">
        <f t="shared" si="50"/>
        <v>0</v>
      </c>
      <c r="Y230" s="99"/>
      <c r="Z230" s="99">
        <f t="shared" si="56"/>
        <v>0</v>
      </c>
      <c r="AA230" s="99"/>
      <c r="AB230" s="99">
        <f t="shared" si="51"/>
        <v>0</v>
      </c>
      <c r="AC230" s="101" t="str">
        <f t="shared" si="52"/>
        <v/>
      </c>
      <c r="AD230" s="101" t="str">
        <f t="shared" si="53"/>
        <v/>
      </c>
      <c r="AE230" s="101" t="str">
        <f t="shared" si="54"/>
        <v/>
      </c>
      <c r="AF230" s="72"/>
      <c r="AG230" s="98">
        <f>IFERROR(IF($AV230="No",0,IF($AV230="yes",Summary!Q230,"")),"")</f>
        <v>0</v>
      </c>
      <c r="AH230" s="99">
        <f>IFERROR(IF($AV230="No",0,IF($AV230="yes",Summary!R230,"")),"")</f>
        <v>0</v>
      </c>
      <c r="AI230" s="99">
        <f>IFERROR(IF($AV230="No",0,IF($AV230="yes",Summary!S230,"")),"")</f>
        <v>0</v>
      </c>
      <c r="AJ230" s="602">
        <f>IFERROR(IF($AV230="No",0,IF($AV230="yes",Summary!T230,"")),"")</f>
        <v>0</v>
      </c>
      <c r="AK230" s="100">
        <f>IFERROR(IF($AV230="No",0,IF($AV230="yes",Summary!U230,"")),"")</f>
        <v>0</v>
      </c>
      <c r="AL230" s="99">
        <f>IFERROR(IF($AV230="No",0,IF($AV230="yes",Summary!V230,"")),"")</f>
        <v>0</v>
      </c>
      <c r="AM230" s="99">
        <f>IFERROR(IF($AV230="No",0,IF($AV230="yes",Summary!W230,"")),"")</f>
        <v>0</v>
      </c>
      <c r="AN230" s="99">
        <f>IFERROR(IF($AV230="No",0,IF($AV230="yes",Summary!X230,"")),"")</f>
        <v>0</v>
      </c>
      <c r="AO230" s="99">
        <f>IFERROR(IF($AV230="No",0,IF($AV230="yes",Summary!Y230+Z230,"")),"")</f>
        <v>0</v>
      </c>
      <c r="AP230" s="99">
        <f>IFERROR(IF($AV230="No",0,IF($AV230="yes",Summary!AB230,"")),"")</f>
        <v>0</v>
      </c>
      <c r="AQ230" s="101" t="str">
        <f t="shared" si="57"/>
        <v/>
      </c>
      <c r="AR230" s="101" t="str">
        <f t="shared" si="58"/>
        <v/>
      </c>
      <c r="AS230" s="101" t="str">
        <f t="shared" si="59"/>
        <v/>
      </c>
      <c r="AT230" s="96" t="s">
        <v>644</v>
      </c>
      <c r="AV230" t="str">
        <f>IF('Proposed Lighting'!CN227&gt;0,"No","Yes")</f>
        <v>Yes</v>
      </c>
    </row>
    <row r="231" spans="1:48" ht="34.5" customHeight="1" outlineLevel="1">
      <c r="A231" s="96" t="s">
        <v>645</v>
      </c>
      <c r="B231" s="96" t="str">
        <f>IF(ISNUMBER(SEARCH("case",E231)),"COM_MISC_REFR_ALL_UNKN1991",IF('Proposed Lighting'!AU228=3,"Commercial-All Com-ExtLight",IF('Proposed Lighting'!AH228&gt;8759,"IPC_8760","Commercial-All Com-IntLight")))</f>
        <v>IPC_8760</v>
      </c>
      <c r="C231" s="96" t="str">
        <f>IF(OR('Proposed Lighting'!DD228="Standard Incentive",'Proposed Lighting'!DD228="Non-Standard Incentive"),"Yes",IF(AND(IF(ISNUMBER(SEARCH("controls",'Proposed Lighting'!T228)),"True","False")="False",'Proposed Lighting'!DD228="Submit Control as Non-Standard"),"Yes","No"))</f>
        <v>No</v>
      </c>
      <c r="D231" s="1403">
        <f>'Proposed Lighting'!CV228-Q231</f>
        <v>0</v>
      </c>
      <c r="E231" s="143">
        <f>'Proposed Lighting'!T228</f>
        <v>0</v>
      </c>
      <c r="F231" s="143">
        <f>'Proposed Lighting'!F228</f>
        <v>0</v>
      </c>
      <c r="G231" s="96" t="s">
        <v>242</v>
      </c>
      <c r="H231" s="142" t="str">
        <f>'Proposed Lighting'!CP228</f>
        <v/>
      </c>
      <c r="I231" s="98">
        <v>1</v>
      </c>
      <c r="J231" s="142">
        <f>'Proposed Lighting'!AA228</f>
        <v>0</v>
      </c>
      <c r="K231" s="142" t="str">
        <f>IF(ISNUMBER(SEARCH("-C",'Proposed Lighting'!M228)),'Proposed Lighting'!AH228*0.9,'Proposed Lighting'!AH228)</f>
        <v/>
      </c>
      <c r="L231" s="142">
        <f>IFERROR(IF(OR('Proposed Lighting'!BC228=22,'Proposed Lighting'!BC228=44),1-25%,IF(OR('Proposed Lighting'!BC228=23,'Proposed Lighting'!BC228=46),1-30%,IF(OR('Proposed Lighting'!BC228=29,'Proposed Lighting'!BC228=39,'Proposed Lighting'!BC228=49),1-35%,IF(OR('Proposed Lighting'!BC228=24,'Proposed Lighting'!BC228=48),1-50%,IF(AND(ISNUMBER(SEARCH("-C",'Proposed Lighting'!M228)),'Proposed Lighting'!AU228=2),90%,100%)))))*'Proposed Lighting'!AH228,0)</f>
        <v>0</v>
      </c>
      <c r="M231" s="87">
        <f t="shared" si="45"/>
        <v>0</v>
      </c>
      <c r="N231" s="87">
        <f>IFERROR(IF('Proposed Lighting'!AU228=1,0,'Proposed Lighting'!AO228),0)</f>
        <v>0</v>
      </c>
      <c r="O231" s="88">
        <f>IF('Proposed Lighting'!AU228=1,0,'Proposed Lighting'!AP228)</f>
        <v>0</v>
      </c>
      <c r="P231" s="87">
        <f t="shared" si="46"/>
        <v>0</v>
      </c>
      <c r="Q231" s="98">
        <f t="shared" si="55"/>
        <v>0</v>
      </c>
      <c r="R231" s="99">
        <f>IFERROR(IF('Proposed Lighting'!T228="Lighting controls only",0,ROUND(IF('Proposed Lighting'!AQ228&lt;'Proposed Lighting'!AR228,0,IF('Proposed Lighting'!AH228=0,0,IF('Proposed Lighting'!BV228&gt;0,'Proposed Lighting'!BV228,IF('Proposed Lighting'!CL228=0,MIN('Proposed Lighting'!CN228:CO228),IF('Proposed Lighting'!CX228&gt;0,'Proposed Lighting'!CX228*'Proposed Lighting'!AA228,0))))),2)),0)</f>
        <v>0</v>
      </c>
      <c r="S231" s="99">
        <f>IF('Proposed Lighting'!AJ228&gt;0,'Proposed Lighting'!AJ228*J231,'Proposed Lighting'!$AU$328*J231)</f>
        <v>0</v>
      </c>
      <c r="T231" s="602">
        <f t="shared" si="47"/>
        <v>0</v>
      </c>
      <c r="U231" s="100"/>
      <c r="V231" s="99">
        <f t="shared" si="48"/>
        <v>0</v>
      </c>
      <c r="W231" s="99">
        <f t="shared" si="49"/>
        <v>0</v>
      </c>
      <c r="X231" s="99">
        <f t="shared" si="50"/>
        <v>0</v>
      </c>
      <c r="Y231" s="99"/>
      <c r="Z231" s="99">
        <f t="shared" si="56"/>
        <v>0</v>
      </c>
      <c r="AA231" s="99"/>
      <c r="AB231" s="99">
        <f t="shared" si="51"/>
        <v>0</v>
      </c>
      <c r="AC231" s="101" t="str">
        <f t="shared" si="52"/>
        <v/>
      </c>
      <c r="AD231" s="101" t="str">
        <f t="shared" si="53"/>
        <v/>
      </c>
      <c r="AE231" s="101" t="str">
        <f t="shared" si="54"/>
        <v/>
      </c>
      <c r="AF231" s="72"/>
      <c r="AG231" s="98">
        <f>IFERROR(IF($AV231="No",0,IF($AV231="yes",Summary!Q231,"")),"")</f>
        <v>0</v>
      </c>
      <c r="AH231" s="99">
        <f>IFERROR(IF($AV231="No",0,IF($AV231="yes",Summary!R231,"")),"")</f>
        <v>0</v>
      </c>
      <c r="AI231" s="99">
        <f>IFERROR(IF($AV231="No",0,IF($AV231="yes",Summary!S231,"")),"")</f>
        <v>0</v>
      </c>
      <c r="AJ231" s="602">
        <f>IFERROR(IF($AV231="No",0,IF($AV231="yes",Summary!T231,"")),"")</f>
        <v>0</v>
      </c>
      <c r="AK231" s="100">
        <f>IFERROR(IF($AV231="No",0,IF($AV231="yes",Summary!U231,"")),"")</f>
        <v>0</v>
      </c>
      <c r="AL231" s="99">
        <f>IFERROR(IF($AV231="No",0,IF($AV231="yes",Summary!V231,"")),"")</f>
        <v>0</v>
      </c>
      <c r="AM231" s="99">
        <f>IFERROR(IF($AV231="No",0,IF($AV231="yes",Summary!W231,"")),"")</f>
        <v>0</v>
      </c>
      <c r="AN231" s="99">
        <f>IFERROR(IF($AV231="No",0,IF($AV231="yes",Summary!X231,"")),"")</f>
        <v>0</v>
      </c>
      <c r="AO231" s="99">
        <f>IFERROR(IF($AV231="No",0,IF($AV231="yes",Summary!Y231+Z231,"")),"")</f>
        <v>0</v>
      </c>
      <c r="AP231" s="99">
        <f>IFERROR(IF($AV231="No",0,IF($AV231="yes",Summary!AB231,"")),"")</f>
        <v>0</v>
      </c>
      <c r="AQ231" s="101" t="str">
        <f t="shared" si="57"/>
        <v/>
      </c>
      <c r="AR231" s="101" t="str">
        <f t="shared" si="58"/>
        <v/>
      </c>
      <c r="AS231" s="101" t="str">
        <f t="shared" si="59"/>
        <v/>
      </c>
      <c r="AT231" s="96" t="s">
        <v>645</v>
      </c>
      <c r="AV231" t="str">
        <f>IF('Proposed Lighting'!CN228&gt;0,"No","Yes")</f>
        <v>Yes</v>
      </c>
    </row>
    <row r="232" spans="1:48" ht="34.5" customHeight="1" outlineLevel="1">
      <c r="A232" s="96" t="s">
        <v>646</v>
      </c>
      <c r="B232" s="96" t="str">
        <f>IF(ISNUMBER(SEARCH("case",E232)),"COM_MISC_REFR_ALL_UNKN1991",IF('Proposed Lighting'!AU229=3,"Commercial-All Com-ExtLight",IF('Proposed Lighting'!AH229&gt;8759,"IPC_8760","Commercial-All Com-IntLight")))</f>
        <v>IPC_8760</v>
      </c>
      <c r="C232" s="96" t="str">
        <f>IF(OR('Proposed Lighting'!DD229="Standard Incentive",'Proposed Lighting'!DD229="Non-Standard Incentive"),"Yes",IF(AND(IF(ISNUMBER(SEARCH("controls",'Proposed Lighting'!T229)),"True","False")="False",'Proposed Lighting'!DD229="Submit Control as Non-Standard"),"Yes","No"))</f>
        <v>No</v>
      </c>
      <c r="D232" s="1403">
        <f>'Proposed Lighting'!CV229-Q232</f>
        <v>0</v>
      </c>
      <c r="E232" s="143">
        <f>'Proposed Lighting'!T229</f>
        <v>0</v>
      </c>
      <c r="F232" s="143">
        <f>'Proposed Lighting'!F229</f>
        <v>0</v>
      </c>
      <c r="G232" s="96" t="s">
        <v>242</v>
      </c>
      <c r="H232" s="142" t="str">
        <f>'Proposed Lighting'!CP229</f>
        <v/>
      </c>
      <c r="I232" s="98">
        <v>1</v>
      </c>
      <c r="J232" s="142">
        <f>'Proposed Lighting'!AA229</f>
        <v>0</v>
      </c>
      <c r="K232" s="142" t="str">
        <f>IF(ISNUMBER(SEARCH("-C",'Proposed Lighting'!M229)),'Proposed Lighting'!AH229*0.9,'Proposed Lighting'!AH229)</f>
        <v/>
      </c>
      <c r="L232" s="142">
        <f>IFERROR(IF(OR('Proposed Lighting'!BC229=22,'Proposed Lighting'!BC229=44),1-25%,IF(OR('Proposed Lighting'!BC229=23,'Proposed Lighting'!BC229=46),1-30%,IF(OR('Proposed Lighting'!BC229=29,'Proposed Lighting'!BC229=39,'Proposed Lighting'!BC229=49),1-35%,IF(OR('Proposed Lighting'!BC229=24,'Proposed Lighting'!BC229=48),1-50%,IF(AND(ISNUMBER(SEARCH("-C",'Proposed Lighting'!M229)),'Proposed Lighting'!AU229=2),90%,100%)))))*'Proposed Lighting'!AH229,0)</f>
        <v>0</v>
      </c>
      <c r="M232" s="87">
        <f t="shared" si="45"/>
        <v>0</v>
      </c>
      <c r="N232" s="87">
        <f>IFERROR(IF('Proposed Lighting'!AU229=1,0,'Proposed Lighting'!AO229),0)</f>
        <v>0</v>
      </c>
      <c r="O232" s="88">
        <f>IF('Proposed Lighting'!AU229=1,0,'Proposed Lighting'!AP229)</f>
        <v>0</v>
      </c>
      <c r="P232" s="87">
        <f t="shared" si="46"/>
        <v>0</v>
      </c>
      <c r="Q232" s="98">
        <f t="shared" si="55"/>
        <v>0</v>
      </c>
      <c r="R232" s="99">
        <f>IFERROR(IF('Proposed Lighting'!T229="Lighting controls only",0,ROUND(IF('Proposed Lighting'!AQ229&lt;'Proposed Lighting'!AR229,0,IF('Proposed Lighting'!AH229=0,0,IF('Proposed Lighting'!BV229&gt;0,'Proposed Lighting'!BV229,IF('Proposed Lighting'!CL229=0,MIN('Proposed Lighting'!CN229:CO229),IF('Proposed Lighting'!CX229&gt;0,'Proposed Lighting'!CX229*'Proposed Lighting'!AA229,0))))),2)),0)</f>
        <v>0</v>
      </c>
      <c r="S232" s="99">
        <f>IF('Proposed Lighting'!AJ229&gt;0,'Proposed Lighting'!AJ229*J232,'Proposed Lighting'!$AU$328*J232)</f>
        <v>0</v>
      </c>
      <c r="T232" s="602">
        <f t="shared" si="47"/>
        <v>0</v>
      </c>
      <c r="U232" s="100"/>
      <c r="V232" s="99">
        <f t="shared" si="48"/>
        <v>0</v>
      </c>
      <c r="W232" s="99">
        <f t="shared" si="49"/>
        <v>0</v>
      </c>
      <c r="X232" s="99">
        <f t="shared" si="50"/>
        <v>0</v>
      </c>
      <c r="Y232" s="99"/>
      <c r="Z232" s="99">
        <f t="shared" si="56"/>
        <v>0</v>
      </c>
      <c r="AA232" s="99"/>
      <c r="AB232" s="99">
        <f t="shared" si="51"/>
        <v>0</v>
      </c>
      <c r="AC232" s="101" t="str">
        <f t="shared" si="52"/>
        <v/>
      </c>
      <c r="AD232" s="101" t="str">
        <f t="shared" si="53"/>
        <v/>
      </c>
      <c r="AE232" s="101" t="str">
        <f t="shared" si="54"/>
        <v/>
      </c>
      <c r="AF232" s="72"/>
      <c r="AG232" s="98">
        <f>IFERROR(IF($AV232="No",0,IF($AV232="yes",Summary!Q232,"")),"")</f>
        <v>0</v>
      </c>
      <c r="AH232" s="99">
        <f>IFERROR(IF($AV232="No",0,IF($AV232="yes",Summary!R232,"")),"")</f>
        <v>0</v>
      </c>
      <c r="AI232" s="99">
        <f>IFERROR(IF($AV232="No",0,IF($AV232="yes",Summary!S232,"")),"")</f>
        <v>0</v>
      </c>
      <c r="AJ232" s="602">
        <f>IFERROR(IF($AV232="No",0,IF($AV232="yes",Summary!T232,"")),"")</f>
        <v>0</v>
      </c>
      <c r="AK232" s="100">
        <f>IFERROR(IF($AV232="No",0,IF($AV232="yes",Summary!U232,"")),"")</f>
        <v>0</v>
      </c>
      <c r="AL232" s="99">
        <f>IFERROR(IF($AV232="No",0,IF($AV232="yes",Summary!V232,"")),"")</f>
        <v>0</v>
      </c>
      <c r="AM232" s="99">
        <f>IFERROR(IF($AV232="No",0,IF($AV232="yes",Summary!W232,"")),"")</f>
        <v>0</v>
      </c>
      <c r="AN232" s="99">
        <f>IFERROR(IF($AV232="No",0,IF($AV232="yes",Summary!X232,"")),"")</f>
        <v>0</v>
      </c>
      <c r="AO232" s="99">
        <f>IFERROR(IF($AV232="No",0,IF($AV232="yes",Summary!Y232+Z232,"")),"")</f>
        <v>0</v>
      </c>
      <c r="AP232" s="99">
        <f>IFERROR(IF($AV232="No",0,IF($AV232="yes",Summary!AB232,"")),"")</f>
        <v>0</v>
      </c>
      <c r="AQ232" s="101" t="str">
        <f t="shared" si="57"/>
        <v/>
      </c>
      <c r="AR232" s="101" t="str">
        <f t="shared" si="58"/>
        <v/>
      </c>
      <c r="AS232" s="101" t="str">
        <f t="shared" si="59"/>
        <v/>
      </c>
      <c r="AT232" s="96" t="s">
        <v>646</v>
      </c>
      <c r="AV232" t="str">
        <f>IF('Proposed Lighting'!CN229&gt;0,"No","Yes")</f>
        <v>Yes</v>
      </c>
    </row>
    <row r="233" spans="1:48" ht="34.5" customHeight="1" outlineLevel="1">
      <c r="A233" s="96" t="s">
        <v>647</v>
      </c>
      <c r="B233" s="96" t="str">
        <f>IF(ISNUMBER(SEARCH("case",E233)),"COM_MISC_REFR_ALL_UNKN1991",IF('Proposed Lighting'!AU230=3,"Commercial-All Com-ExtLight",IF('Proposed Lighting'!AH230&gt;8759,"IPC_8760","Commercial-All Com-IntLight")))</f>
        <v>IPC_8760</v>
      </c>
      <c r="C233" s="96" t="str">
        <f>IF(OR('Proposed Lighting'!DD230="Standard Incentive",'Proposed Lighting'!DD230="Non-Standard Incentive"),"Yes",IF(AND(IF(ISNUMBER(SEARCH("controls",'Proposed Lighting'!T230)),"True","False")="False",'Proposed Lighting'!DD230="Submit Control as Non-Standard"),"Yes","No"))</f>
        <v>No</v>
      </c>
      <c r="D233" s="1403">
        <f>'Proposed Lighting'!CV230-Q233</f>
        <v>0</v>
      </c>
      <c r="E233" s="143">
        <f>'Proposed Lighting'!T230</f>
        <v>0</v>
      </c>
      <c r="F233" s="143">
        <f>'Proposed Lighting'!F230</f>
        <v>0</v>
      </c>
      <c r="G233" s="96" t="s">
        <v>242</v>
      </c>
      <c r="H233" s="142" t="str">
        <f>'Proposed Lighting'!CP230</f>
        <v/>
      </c>
      <c r="I233" s="98">
        <v>1</v>
      </c>
      <c r="J233" s="142">
        <f>'Proposed Lighting'!AA230</f>
        <v>0</v>
      </c>
      <c r="K233" s="142" t="str">
        <f>IF(ISNUMBER(SEARCH("-C",'Proposed Lighting'!M230)),'Proposed Lighting'!AH230*0.9,'Proposed Lighting'!AH230)</f>
        <v/>
      </c>
      <c r="L233" s="142">
        <f>IFERROR(IF(OR('Proposed Lighting'!BC230=22,'Proposed Lighting'!BC230=44),1-25%,IF(OR('Proposed Lighting'!BC230=23,'Proposed Lighting'!BC230=46),1-30%,IF(OR('Proposed Lighting'!BC230=29,'Proposed Lighting'!BC230=39,'Proposed Lighting'!BC230=49),1-35%,IF(OR('Proposed Lighting'!BC230=24,'Proposed Lighting'!BC230=48),1-50%,IF(AND(ISNUMBER(SEARCH("-C",'Proposed Lighting'!M230)),'Proposed Lighting'!AU230=2),90%,100%)))))*'Proposed Lighting'!AH230,0)</f>
        <v>0</v>
      </c>
      <c r="M233" s="87">
        <f t="shared" si="45"/>
        <v>0</v>
      </c>
      <c r="N233" s="87">
        <f>IFERROR(IF('Proposed Lighting'!AU230=1,0,'Proposed Lighting'!AO230),0)</f>
        <v>0</v>
      </c>
      <c r="O233" s="88">
        <f>IF('Proposed Lighting'!AU230=1,0,'Proposed Lighting'!AP230)</f>
        <v>0</v>
      </c>
      <c r="P233" s="87">
        <f t="shared" si="46"/>
        <v>0</v>
      </c>
      <c r="Q233" s="98">
        <f t="shared" si="55"/>
        <v>0</v>
      </c>
      <c r="R233" s="99">
        <f>IFERROR(IF('Proposed Lighting'!T230="Lighting controls only",0,ROUND(IF('Proposed Lighting'!AQ230&lt;'Proposed Lighting'!AR230,0,IF('Proposed Lighting'!AH230=0,0,IF('Proposed Lighting'!BV230&gt;0,'Proposed Lighting'!BV230,IF('Proposed Lighting'!CL230=0,MIN('Proposed Lighting'!CN230:CO230),IF('Proposed Lighting'!CX230&gt;0,'Proposed Lighting'!CX230*'Proposed Lighting'!AA230,0))))),2)),0)</f>
        <v>0</v>
      </c>
      <c r="S233" s="99">
        <f>IF('Proposed Lighting'!AJ230&gt;0,'Proposed Lighting'!AJ230*J233,'Proposed Lighting'!$AU$328*J233)</f>
        <v>0</v>
      </c>
      <c r="T233" s="602">
        <f t="shared" si="47"/>
        <v>0</v>
      </c>
      <c r="U233" s="100"/>
      <c r="V233" s="99">
        <f t="shared" si="48"/>
        <v>0</v>
      </c>
      <c r="W233" s="99">
        <f t="shared" si="49"/>
        <v>0</v>
      </c>
      <c r="X233" s="99">
        <f t="shared" si="50"/>
        <v>0</v>
      </c>
      <c r="Y233" s="99"/>
      <c r="Z233" s="99">
        <f t="shared" si="56"/>
        <v>0</v>
      </c>
      <c r="AA233" s="99"/>
      <c r="AB233" s="99">
        <f t="shared" si="51"/>
        <v>0</v>
      </c>
      <c r="AC233" s="101" t="str">
        <f t="shared" si="52"/>
        <v/>
      </c>
      <c r="AD233" s="101" t="str">
        <f t="shared" si="53"/>
        <v/>
      </c>
      <c r="AE233" s="101" t="str">
        <f t="shared" si="54"/>
        <v/>
      </c>
      <c r="AF233" s="72"/>
      <c r="AG233" s="98">
        <f>IFERROR(IF($AV233="No",0,IF($AV233="yes",Summary!Q233,"")),"")</f>
        <v>0</v>
      </c>
      <c r="AH233" s="99">
        <f>IFERROR(IF($AV233="No",0,IF($AV233="yes",Summary!R233,"")),"")</f>
        <v>0</v>
      </c>
      <c r="AI233" s="99">
        <f>IFERROR(IF($AV233="No",0,IF($AV233="yes",Summary!S233,"")),"")</f>
        <v>0</v>
      </c>
      <c r="AJ233" s="602">
        <f>IFERROR(IF($AV233="No",0,IF($AV233="yes",Summary!T233,"")),"")</f>
        <v>0</v>
      </c>
      <c r="AK233" s="100">
        <f>IFERROR(IF($AV233="No",0,IF($AV233="yes",Summary!U233,"")),"")</f>
        <v>0</v>
      </c>
      <c r="AL233" s="99">
        <f>IFERROR(IF($AV233="No",0,IF($AV233="yes",Summary!V233,"")),"")</f>
        <v>0</v>
      </c>
      <c r="AM233" s="99">
        <f>IFERROR(IF($AV233="No",0,IF($AV233="yes",Summary!W233,"")),"")</f>
        <v>0</v>
      </c>
      <c r="AN233" s="99">
        <f>IFERROR(IF($AV233="No",0,IF($AV233="yes",Summary!X233,"")),"")</f>
        <v>0</v>
      </c>
      <c r="AO233" s="99">
        <f>IFERROR(IF($AV233="No",0,IF($AV233="yes",Summary!Y233+Z233,"")),"")</f>
        <v>0</v>
      </c>
      <c r="AP233" s="99">
        <f>IFERROR(IF($AV233="No",0,IF($AV233="yes",Summary!AB233,"")),"")</f>
        <v>0</v>
      </c>
      <c r="AQ233" s="101" t="str">
        <f t="shared" si="57"/>
        <v/>
      </c>
      <c r="AR233" s="101" t="str">
        <f t="shared" si="58"/>
        <v/>
      </c>
      <c r="AS233" s="101" t="str">
        <f t="shared" si="59"/>
        <v/>
      </c>
      <c r="AT233" s="96" t="s">
        <v>647</v>
      </c>
      <c r="AV233" t="str">
        <f>IF('Proposed Lighting'!CN230&gt;0,"No","Yes")</f>
        <v>Yes</v>
      </c>
    </row>
    <row r="234" spans="1:48" ht="34.5" customHeight="1" outlineLevel="1">
      <c r="A234" s="96" t="s">
        <v>648</v>
      </c>
      <c r="B234" s="96" t="str">
        <f>IF(ISNUMBER(SEARCH("case",E234)),"COM_MISC_REFR_ALL_UNKN1991",IF('Proposed Lighting'!AU231=3,"Commercial-All Com-ExtLight",IF('Proposed Lighting'!AH231&gt;8759,"IPC_8760","Commercial-All Com-IntLight")))</f>
        <v>IPC_8760</v>
      </c>
      <c r="C234" s="96" t="str">
        <f>IF(OR('Proposed Lighting'!DD231="Standard Incentive",'Proposed Lighting'!DD231="Non-Standard Incentive"),"Yes",IF(AND(IF(ISNUMBER(SEARCH("controls",'Proposed Lighting'!T231)),"True","False")="False",'Proposed Lighting'!DD231="Submit Control as Non-Standard"),"Yes","No"))</f>
        <v>No</v>
      </c>
      <c r="D234" s="1403">
        <f>'Proposed Lighting'!CV231-Q234</f>
        <v>0</v>
      </c>
      <c r="E234" s="143">
        <f>'Proposed Lighting'!T231</f>
        <v>0</v>
      </c>
      <c r="F234" s="143">
        <f>'Proposed Lighting'!F231</f>
        <v>0</v>
      </c>
      <c r="G234" s="96" t="s">
        <v>242</v>
      </c>
      <c r="H234" s="142" t="str">
        <f>'Proposed Lighting'!CP231</f>
        <v/>
      </c>
      <c r="I234" s="98">
        <v>1</v>
      </c>
      <c r="J234" s="142">
        <f>'Proposed Lighting'!AA231</f>
        <v>0</v>
      </c>
      <c r="K234" s="142" t="str">
        <f>IF(ISNUMBER(SEARCH("-C",'Proposed Lighting'!M231)),'Proposed Lighting'!AH231*0.9,'Proposed Lighting'!AH231)</f>
        <v/>
      </c>
      <c r="L234" s="142">
        <f>IFERROR(IF(OR('Proposed Lighting'!BC231=22,'Proposed Lighting'!BC231=44),1-25%,IF(OR('Proposed Lighting'!BC231=23,'Proposed Lighting'!BC231=46),1-30%,IF(OR('Proposed Lighting'!BC231=29,'Proposed Lighting'!BC231=39,'Proposed Lighting'!BC231=49),1-35%,IF(OR('Proposed Lighting'!BC231=24,'Proposed Lighting'!BC231=48),1-50%,IF(AND(ISNUMBER(SEARCH("-C",'Proposed Lighting'!M231)),'Proposed Lighting'!AU231=2),90%,100%)))))*'Proposed Lighting'!AH231,0)</f>
        <v>0</v>
      </c>
      <c r="M234" s="87">
        <f t="shared" si="45"/>
        <v>0</v>
      </c>
      <c r="N234" s="87">
        <f>IFERROR(IF('Proposed Lighting'!AU231=1,0,'Proposed Lighting'!AO231),0)</f>
        <v>0</v>
      </c>
      <c r="O234" s="88">
        <f>IF('Proposed Lighting'!AU231=1,0,'Proposed Lighting'!AP231)</f>
        <v>0</v>
      </c>
      <c r="P234" s="87">
        <f t="shared" si="46"/>
        <v>0</v>
      </c>
      <c r="Q234" s="98">
        <f t="shared" si="55"/>
        <v>0</v>
      </c>
      <c r="R234" s="99">
        <f>IFERROR(IF('Proposed Lighting'!T231="Lighting controls only",0,ROUND(IF('Proposed Lighting'!AQ231&lt;'Proposed Lighting'!AR231,0,IF('Proposed Lighting'!AH231=0,0,IF('Proposed Lighting'!BV231&gt;0,'Proposed Lighting'!BV231,IF('Proposed Lighting'!CL231=0,MIN('Proposed Lighting'!CN231:CO231),IF('Proposed Lighting'!CX231&gt;0,'Proposed Lighting'!CX231*'Proposed Lighting'!AA231,0))))),2)),0)</f>
        <v>0</v>
      </c>
      <c r="S234" s="99">
        <f>IF('Proposed Lighting'!AJ231&gt;0,'Proposed Lighting'!AJ231*J234,'Proposed Lighting'!$AU$328*J234)</f>
        <v>0</v>
      </c>
      <c r="T234" s="602">
        <f t="shared" si="47"/>
        <v>0</v>
      </c>
      <c r="U234" s="100"/>
      <c r="V234" s="99">
        <f t="shared" si="48"/>
        <v>0</v>
      </c>
      <c r="W234" s="99">
        <f t="shared" si="49"/>
        <v>0</v>
      </c>
      <c r="X234" s="99">
        <f t="shared" si="50"/>
        <v>0</v>
      </c>
      <c r="Y234" s="99"/>
      <c r="Z234" s="99">
        <f t="shared" si="56"/>
        <v>0</v>
      </c>
      <c r="AA234" s="99"/>
      <c r="AB234" s="99">
        <f t="shared" si="51"/>
        <v>0</v>
      </c>
      <c r="AC234" s="101" t="str">
        <f t="shared" si="52"/>
        <v/>
      </c>
      <c r="AD234" s="101" t="str">
        <f t="shared" si="53"/>
        <v/>
      </c>
      <c r="AE234" s="101" t="str">
        <f t="shared" si="54"/>
        <v/>
      </c>
      <c r="AF234" s="72"/>
      <c r="AG234" s="98">
        <f>IFERROR(IF($AV234="No",0,IF($AV234="yes",Summary!Q234,"")),"")</f>
        <v>0</v>
      </c>
      <c r="AH234" s="99">
        <f>IFERROR(IF($AV234="No",0,IF($AV234="yes",Summary!R234,"")),"")</f>
        <v>0</v>
      </c>
      <c r="AI234" s="99">
        <f>IFERROR(IF($AV234="No",0,IF($AV234="yes",Summary!S234,"")),"")</f>
        <v>0</v>
      </c>
      <c r="AJ234" s="602">
        <f>IFERROR(IF($AV234="No",0,IF($AV234="yes",Summary!T234,"")),"")</f>
        <v>0</v>
      </c>
      <c r="AK234" s="100">
        <f>IFERROR(IF($AV234="No",0,IF($AV234="yes",Summary!U234,"")),"")</f>
        <v>0</v>
      </c>
      <c r="AL234" s="99">
        <f>IFERROR(IF($AV234="No",0,IF($AV234="yes",Summary!V234,"")),"")</f>
        <v>0</v>
      </c>
      <c r="AM234" s="99">
        <f>IFERROR(IF($AV234="No",0,IF($AV234="yes",Summary!W234,"")),"")</f>
        <v>0</v>
      </c>
      <c r="AN234" s="99">
        <f>IFERROR(IF($AV234="No",0,IF($AV234="yes",Summary!X234,"")),"")</f>
        <v>0</v>
      </c>
      <c r="AO234" s="99">
        <f>IFERROR(IF($AV234="No",0,IF($AV234="yes",Summary!Y234+Z234,"")),"")</f>
        <v>0</v>
      </c>
      <c r="AP234" s="99">
        <f>IFERROR(IF($AV234="No",0,IF($AV234="yes",Summary!AB234,"")),"")</f>
        <v>0</v>
      </c>
      <c r="AQ234" s="101" t="str">
        <f t="shared" si="57"/>
        <v/>
      </c>
      <c r="AR234" s="101" t="str">
        <f t="shared" si="58"/>
        <v/>
      </c>
      <c r="AS234" s="101" t="str">
        <f t="shared" si="59"/>
        <v/>
      </c>
      <c r="AT234" s="96" t="s">
        <v>648</v>
      </c>
      <c r="AV234" t="str">
        <f>IF('Proposed Lighting'!CN231&gt;0,"No","Yes")</f>
        <v>Yes</v>
      </c>
    </row>
    <row r="235" spans="1:48" ht="34.5" customHeight="1" outlineLevel="1">
      <c r="A235" s="96" t="s">
        <v>649</v>
      </c>
      <c r="B235" s="96" t="str">
        <f>IF(ISNUMBER(SEARCH("case",E235)),"COM_MISC_REFR_ALL_UNKN1991",IF('Proposed Lighting'!AU232=3,"Commercial-All Com-ExtLight",IF('Proposed Lighting'!AH232&gt;8759,"IPC_8760","Commercial-All Com-IntLight")))</f>
        <v>IPC_8760</v>
      </c>
      <c r="C235" s="96" t="str">
        <f>IF(OR('Proposed Lighting'!DD232="Standard Incentive",'Proposed Lighting'!DD232="Non-Standard Incentive"),"Yes",IF(AND(IF(ISNUMBER(SEARCH("controls",'Proposed Lighting'!T232)),"True","False")="False",'Proposed Lighting'!DD232="Submit Control as Non-Standard"),"Yes","No"))</f>
        <v>No</v>
      </c>
      <c r="D235" s="1403">
        <f>'Proposed Lighting'!CV232-Q235</f>
        <v>0</v>
      </c>
      <c r="E235" s="143">
        <f>'Proposed Lighting'!T232</f>
        <v>0</v>
      </c>
      <c r="F235" s="143">
        <f>'Proposed Lighting'!F232</f>
        <v>0</v>
      </c>
      <c r="G235" s="96" t="s">
        <v>242</v>
      </c>
      <c r="H235" s="142" t="str">
        <f>'Proposed Lighting'!CP232</f>
        <v/>
      </c>
      <c r="I235" s="98">
        <v>1</v>
      </c>
      <c r="J235" s="142">
        <f>'Proposed Lighting'!AA232</f>
        <v>0</v>
      </c>
      <c r="K235" s="142" t="str">
        <f>IF(ISNUMBER(SEARCH("-C",'Proposed Lighting'!M232)),'Proposed Lighting'!AH232*0.9,'Proposed Lighting'!AH232)</f>
        <v/>
      </c>
      <c r="L235" s="142">
        <f>IFERROR(IF(OR('Proposed Lighting'!BC232=22,'Proposed Lighting'!BC232=44),1-25%,IF(OR('Proposed Lighting'!BC232=23,'Proposed Lighting'!BC232=46),1-30%,IF(OR('Proposed Lighting'!BC232=29,'Proposed Lighting'!BC232=39,'Proposed Lighting'!BC232=49),1-35%,IF(OR('Proposed Lighting'!BC232=24,'Proposed Lighting'!BC232=48),1-50%,IF(AND(ISNUMBER(SEARCH("-C",'Proposed Lighting'!M232)),'Proposed Lighting'!AU232=2),90%,100%)))))*'Proposed Lighting'!AH232,0)</f>
        <v>0</v>
      </c>
      <c r="M235" s="87">
        <f t="shared" si="45"/>
        <v>0</v>
      </c>
      <c r="N235" s="87">
        <f>IFERROR(IF('Proposed Lighting'!AU232=1,0,'Proposed Lighting'!AO232),0)</f>
        <v>0</v>
      </c>
      <c r="O235" s="88">
        <f>IF('Proposed Lighting'!AU232=1,0,'Proposed Lighting'!AP232)</f>
        <v>0</v>
      </c>
      <c r="P235" s="87">
        <f t="shared" si="46"/>
        <v>0</v>
      </c>
      <c r="Q235" s="98">
        <f t="shared" si="55"/>
        <v>0</v>
      </c>
      <c r="R235" s="99">
        <f>IFERROR(IF('Proposed Lighting'!T232="Lighting controls only",0,ROUND(IF('Proposed Lighting'!AQ232&lt;'Proposed Lighting'!AR232,0,IF('Proposed Lighting'!AH232=0,0,IF('Proposed Lighting'!BV232&gt;0,'Proposed Lighting'!BV232,IF('Proposed Lighting'!CL232=0,MIN('Proposed Lighting'!CN232:CO232),IF('Proposed Lighting'!CX232&gt;0,'Proposed Lighting'!CX232*'Proposed Lighting'!AA232,0))))),2)),0)</f>
        <v>0</v>
      </c>
      <c r="S235" s="99">
        <f>IF('Proposed Lighting'!AJ232&gt;0,'Proposed Lighting'!AJ232*J235,'Proposed Lighting'!$AU$328*J235)</f>
        <v>0</v>
      </c>
      <c r="T235" s="602">
        <f t="shared" si="47"/>
        <v>0</v>
      </c>
      <c r="U235" s="100"/>
      <c r="V235" s="99">
        <f t="shared" si="48"/>
        <v>0</v>
      </c>
      <c r="W235" s="99">
        <f t="shared" si="49"/>
        <v>0</v>
      </c>
      <c r="X235" s="99">
        <f t="shared" si="50"/>
        <v>0</v>
      </c>
      <c r="Y235" s="99"/>
      <c r="Z235" s="99">
        <f t="shared" si="56"/>
        <v>0</v>
      </c>
      <c r="AA235" s="99"/>
      <c r="AB235" s="99">
        <f t="shared" si="51"/>
        <v>0</v>
      </c>
      <c r="AC235" s="101" t="str">
        <f t="shared" si="52"/>
        <v/>
      </c>
      <c r="AD235" s="101" t="str">
        <f t="shared" si="53"/>
        <v/>
      </c>
      <c r="AE235" s="101" t="str">
        <f t="shared" si="54"/>
        <v/>
      </c>
      <c r="AF235" s="72"/>
      <c r="AG235" s="98">
        <f>IFERROR(IF($AV235="No",0,IF($AV235="yes",Summary!Q235,"")),"")</f>
        <v>0</v>
      </c>
      <c r="AH235" s="99">
        <f>IFERROR(IF($AV235="No",0,IF($AV235="yes",Summary!R235,"")),"")</f>
        <v>0</v>
      </c>
      <c r="AI235" s="99">
        <f>IFERROR(IF($AV235="No",0,IF($AV235="yes",Summary!S235,"")),"")</f>
        <v>0</v>
      </c>
      <c r="AJ235" s="602">
        <f>IFERROR(IF($AV235="No",0,IF($AV235="yes",Summary!T235,"")),"")</f>
        <v>0</v>
      </c>
      <c r="AK235" s="100">
        <f>IFERROR(IF($AV235="No",0,IF($AV235="yes",Summary!U235,"")),"")</f>
        <v>0</v>
      </c>
      <c r="AL235" s="99">
        <f>IFERROR(IF($AV235="No",0,IF($AV235="yes",Summary!V235,"")),"")</f>
        <v>0</v>
      </c>
      <c r="AM235" s="99">
        <f>IFERROR(IF($AV235="No",0,IF($AV235="yes",Summary!W235,"")),"")</f>
        <v>0</v>
      </c>
      <c r="AN235" s="99">
        <f>IFERROR(IF($AV235="No",0,IF($AV235="yes",Summary!X235,"")),"")</f>
        <v>0</v>
      </c>
      <c r="AO235" s="99">
        <f>IFERROR(IF($AV235="No",0,IF($AV235="yes",Summary!Y235+Z235,"")),"")</f>
        <v>0</v>
      </c>
      <c r="AP235" s="99">
        <f>IFERROR(IF($AV235="No",0,IF($AV235="yes",Summary!AB235,"")),"")</f>
        <v>0</v>
      </c>
      <c r="AQ235" s="101" t="str">
        <f t="shared" si="57"/>
        <v/>
      </c>
      <c r="AR235" s="101" t="str">
        <f t="shared" si="58"/>
        <v/>
      </c>
      <c r="AS235" s="101" t="str">
        <f t="shared" si="59"/>
        <v/>
      </c>
      <c r="AT235" s="96" t="s">
        <v>649</v>
      </c>
      <c r="AV235" t="str">
        <f>IF('Proposed Lighting'!CN232&gt;0,"No","Yes")</f>
        <v>Yes</v>
      </c>
    </row>
    <row r="236" spans="1:48" ht="34.5" customHeight="1" outlineLevel="1">
      <c r="A236" s="96" t="s">
        <v>650</v>
      </c>
      <c r="B236" s="96" t="str">
        <f>IF(ISNUMBER(SEARCH("case",E236)),"COM_MISC_REFR_ALL_UNKN1991",IF('Proposed Lighting'!AU233=3,"Commercial-All Com-ExtLight",IF('Proposed Lighting'!AH233&gt;8759,"IPC_8760","Commercial-All Com-IntLight")))</f>
        <v>IPC_8760</v>
      </c>
      <c r="C236" s="96" t="str">
        <f>IF(OR('Proposed Lighting'!DD233="Standard Incentive",'Proposed Lighting'!DD233="Non-Standard Incentive"),"Yes",IF(AND(IF(ISNUMBER(SEARCH("controls",'Proposed Lighting'!T233)),"True","False")="False",'Proposed Lighting'!DD233="Submit Control as Non-Standard"),"Yes","No"))</f>
        <v>No</v>
      </c>
      <c r="D236" s="1403">
        <f>'Proposed Lighting'!CV233-Q236</f>
        <v>0</v>
      </c>
      <c r="E236" s="143">
        <f>'Proposed Lighting'!T233</f>
        <v>0</v>
      </c>
      <c r="F236" s="143">
        <f>'Proposed Lighting'!F233</f>
        <v>0</v>
      </c>
      <c r="G236" s="96" t="s">
        <v>242</v>
      </c>
      <c r="H236" s="142" t="str">
        <f>'Proposed Lighting'!CP233</f>
        <v/>
      </c>
      <c r="I236" s="98">
        <v>1</v>
      </c>
      <c r="J236" s="142">
        <f>'Proposed Lighting'!AA233</f>
        <v>0</v>
      </c>
      <c r="K236" s="142" t="str">
        <f>IF(ISNUMBER(SEARCH("-C",'Proposed Lighting'!M233)),'Proposed Lighting'!AH233*0.9,'Proposed Lighting'!AH233)</f>
        <v/>
      </c>
      <c r="L236" s="142">
        <f>IFERROR(IF(OR('Proposed Lighting'!BC233=22,'Proposed Lighting'!BC233=44),1-25%,IF(OR('Proposed Lighting'!BC233=23,'Proposed Lighting'!BC233=46),1-30%,IF(OR('Proposed Lighting'!BC233=29,'Proposed Lighting'!BC233=39,'Proposed Lighting'!BC233=49),1-35%,IF(OR('Proposed Lighting'!BC233=24,'Proposed Lighting'!BC233=48),1-50%,IF(AND(ISNUMBER(SEARCH("-C",'Proposed Lighting'!M233)),'Proposed Lighting'!AU233=2),90%,100%)))))*'Proposed Lighting'!AH233,0)</f>
        <v>0</v>
      </c>
      <c r="M236" s="87">
        <f t="shared" si="45"/>
        <v>0</v>
      </c>
      <c r="N236" s="87">
        <f>IFERROR(IF('Proposed Lighting'!AU233=1,0,'Proposed Lighting'!AO233),0)</f>
        <v>0</v>
      </c>
      <c r="O236" s="88">
        <f>IF('Proposed Lighting'!AU233=1,0,'Proposed Lighting'!AP233)</f>
        <v>0</v>
      </c>
      <c r="P236" s="87">
        <f t="shared" si="46"/>
        <v>0</v>
      </c>
      <c r="Q236" s="98">
        <f t="shared" si="55"/>
        <v>0</v>
      </c>
      <c r="R236" s="99">
        <f>IFERROR(IF('Proposed Lighting'!T233="Lighting controls only",0,ROUND(IF('Proposed Lighting'!AQ233&lt;'Proposed Lighting'!AR233,0,IF('Proposed Lighting'!AH233=0,0,IF('Proposed Lighting'!BV233&gt;0,'Proposed Lighting'!BV233,IF('Proposed Lighting'!CL233=0,MIN('Proposed Lighting'!CN233:CO233),IF('Proposed Lighting'!CX233&gt;0,'Proposed Lighting'!CX233*'Proposed Lighting'!AA233,0))))),2)),0)</f>
        <v>0</v>
      </c>
      <c r="S236" s="99">
        <f>IF('Proposed Lighting'!AJ233&gt;0,'Proposed Lighting'!AJ233*J236,'Proposed Lighting'!$AU$328*J236)</f>
        <v>0</v>
      </c>
      <c r="T236" s="602">
        <f t="shared" si="47"/>
        <v>0</v>
      </c>
      <c r="U236" s="100"/>
      <c r="V236" s="99">
        <f t="shared" si="48"/>
        <v>0</v>
      </c>
      <c r="W236" s="99">
        <f t="shared" si="49"/>
        <v>0</v>
      </c>
      <c r="X236" s="99">
        <f t="shared" si="50"/>
        <v>0</v>
      </c>
      <c r="Y236" s="99"/>
      <c r="Z236" s="99">
        <f t="shared" si="56"/>
        <v>0</v>
      </c>
      <c r="AA236" s="99"/>
      <c r="AB236" s="99">
        <f t="shared" si="51"/>
        <v>0</v>
      </c>
      <c r="AC236" s="101" t="str">
        <f t="shared" si="52"/>
        <v/>
      </c>
      <c r="AD236" s="101" t="str">
        <f t="shared" si="53"/>
        <v/>
      </c>
      <c r="AE236" s="101" t="str">
        <f t="shared" si="54"/>
        <v/>
      </c>
      <c r="AF236" s="72"/>
      <c r="AG236" s="98">
        <f>IFERROR(IF($AV236="No",0,IF($AV236="yes",Summary!Q236,"")),"")</f>
        <v>0</v>
      </c>
      <c r="AH236" s="99">
        <f>IFERROR(IF($AV236="No",0,IF($AV236="yes",Summary!R236,"")),"")</f>
        <v>0</v>
      </c>
      <c r="AI236" s="99">
        <f>IFERROR(IF($AV236="No",0,IF($AV236="yes",Summary!S236,"")),"")</f>
        <v>0</v>
      </c>
      <c r="AJ236" s="602">
        <f>IFERROR(IF($AV236="No",0,IF($AV236="yes",Summary!T236,"")),"")</f>
        <v>0</v>
      </c>
      <c r="AK236" s="100">
        <f>IFERROR(IF($AV236="No",0,IF($AV236="yes",Summary!U236,"")),"")</f>
        <v>0</v>
      </c>
      <c r="AL236" s="99">
        <f>IFERROR(IF($AV236="No",0,IF($AV236="yes",Summary!V236,"")),"")</f>
        <v>0</v>
      </c>
      <c r="AM236" s="99">
        <f>IFERROR(IF($AV236="No",0,IF($AV236="yes",Summary!W236,"")),"")</f>
        <v>0</v>
      </c>
      <c r="AN236" s="99">
        <f>IFERROR(IF($AV236="No",0,IF($AV236="yes",Summary!X236,"")),"")</f>
        <v>0</v>
      </c>
      <c r="AO236" s="99">
        <f>IFERROR(IF($AV236="No",0,IF($AV236="yes",Summary!Y236+Z236,"")),"")</f>
        <v>0</v>
      </c>
      <c r="AP236" s="99">
        <f>IFERROR(IF($AV236="No",0,IF($AV236="yes",Summary!AB236,"")),"")</f>
        <v>0</v>
      </c>
      <c r="AQ236" s="101" t="str">
        <f t="shared" si="57"/>
        <v/>
      </c>
      <c r="AR236" s="101" t="str">
        <f t="shared" si="58"/>
        <v/>
      </c>
      <c r="AS236" s="101" t="str">
        <f t="shared" si="59"/>
        <v/>
      </c>
      <c r="AT236" s="96" t="s">
        <v>650</v>
      </c>
      <c r="AV236" t="str">
        <f>IF('Proposed Lighting'!CN233&gt;0,"No","Yes")</f>
        <v>Yes</v>
      </c>
    </row>
    <row r="237" spans="1:48" ht="34.5" customHeight="1" outlineLevel="1">
      <c r="A237" s="96" t="s">
        <v>651</v>
      </c>
      <c r="B237" s="96" t="str">
        <f>IF(ISNUMBER(SEARCH("case",E237)),"COM_MISC_REFR_ALL_UNKN1991",IF('Proposed Lighting'!AU234=3,"Commercial-All Com-ExtLight",IF('Proposed Lighting'!AH234&gt;8759,"IPC_8760","Commercial-All Com-IntLight")))</f>
        <v>IPC_8760</v>
      </c>
      <c r="C237" s="96" t="str">
        <f>IF(OR('Proposed Lighting'!DD234="Standard Incentive",'Proposed Lighting'!DD234="Non-Standard Incentive"),"Yes",IF(AND(IF(ISNUMBER(SEARCH("controls",'Proposed Lighting'!T234)),"True","False")="False",'Proposed Lighting'!DD234="Submit Control as Non-Standard"),"Yes","No"))</f>
        <v>No</v>
      </c>
      <c r="D237" s="1403">
        <f>'Proposed Lighting'!CV234-Q237</f>
        <v>0</v>
      </c>
      <c r="E237" s="143">
        <f>'Proposed Lighting'!T234</f>
        <v>0</v>
      </c>
      <c r="F237" s="143">
        <f>'Proposed Lighting'!F234</f>
        <v>0</v>
      </c>
      <c r="G237" s="96" t="s">
        <v>242</v>
      </c>
      <c r="H237" s="142" t="str">
        <f>'Proposed Lighting'!CP234</f>
        <v/>
      </c>
      <c r="I237" s="98">
        <v>1</v>
      </c>
      <c r="J237" s="142">
        <f>'Proposed Lighting'!AA234</f>
        <v>0</v>
      </c>
      <c r="K237" s="142" t="str">
        <f>IF(ISNUMBER(SEARCH("-C",'Proposed Lighting'!M234)),'Proposed Lighting'!AH234*0.9,'Proposed Lighting'!AH234)</f>
        <v/>
      </c>
      <c r="L237" s="142">
        <f>IFERROR(IF(OR('Proposed Lighting'!BC234=22,'Proposed Lighting'!BC234=44),1-25%,IF(OR('Proposed Lighting'!BC234=23,'Proposed Lighting'!BC234=46),1-30%,IF(OR('Proposed Lighting'!BC234=29,'Proposed Lighting'!BC234=39,'Proposed Lighting'!BC234=49),1-35%,IF(OR('Proposed Lighting'!BC234=24,'Proposed Lighting'!BC234=48),1-50%,IF(AND(ISNUMBER(SEARCH("-C",'Proposed Lighting'!M234)),'Proposed Lighting'!AU234=2),90%,100%)))))*'Proposed Lighting'!AH234,0)</f>
        <v>0</v>
      </c>
      <c r="M237" s="87">
        <f t="shared" si="45"/>
        <v>0</v>
      </c>
      <c r="N237" s="87">
        <f>IFERROR(IF('Proposed Lighting'!AU234=1,0,'Proposed Lighting'!AO234),0)</f>
        <v>0</v>
      </c>
      <c r="O237" s="88">
        <f>IF('Proposed Lighting'!AU234=1,0,'Proposed Lighting'!AP234)</f>
        <v>0</v>
      </c>
      <c r="P237" s="87">
        <f t="shared" si="46"/>
        <v>0</v>
      </c>
      <c r="Q237" s="98">
        <f t="shared" si="55"/>
        <v>0</v>
      </c>
      <c r="R237" s="99">
        <f>IFERROR(IF('Proposed Lighting'!T234="Lighting controls only",0,ROUND(IF('Proposed Lighting'!AQ234&lt;'Proposed Lighting'!AR234,0,IF('Proposed Lighting'!AH234=0,0,IF('Proposed Lighting'!BV234&gt;0,'Proposed Lighting'!BV234,IF('Proposed Lighting'!CL234=0,MIN('Proposed Lighting'!CN234:CO234),IF('Proposed Lighting'!CX234&gt;0,'Proposed Lighting'!CX234*'Proposed Lighting'!AA234,0))))),2)),0)</f>
        <v>0</v>
      </c>
      <c r="S237" s="99">
        <f>IF('Proposed Lighting'!AJ234&gt;0,'Proposed Lighting'!AJ234*J237,'Proposed Lighting'!$AU$328*J237)</f>
        <v>0</v>
      </c>
      <c r="T237" s="602">
        <f t="shared" si="47"/>
        <v>0</v>
      </c>
      <c r="U237" s="100"/>
      <c r="V237" s="99">
        <f t="shared" si="48"/>
        <v>0</v>
      </c>
      <c r="W237" s="99">
        <f t="shared" si="49"/>
        <v>0</v>
      </c>
      <c r="X237" s="99">
        <f t="shared" si="50"/>
        <v>0</v>
      </c>
      <c r="Y237" s="99"/>
      <c r="Z237" s="99">
        <f t="shared" si="56"/>
        <v>0</v>
      </c>
      <c r="AA237" s="99"/>
      <c r="AB237" s="99">
        <f t="shared" si="51"/>
        <v>0</v>
      </c>
      <c r="AC237" s="101" t="str">
        <f t="shared" si="52"/>
        <v/>
      </c>
      <c r="AD237" s="101" t="str">
        <f t="shared" si="53"/>
        <v/>
      </c>
      <c r="AE237" s="101" t="str">
        <f t="shared" si="54"/>
        <v/>
      </c>
      <c r="AF237" s="72"/>
      <c r="AG237" s="98">
        <f>IFERROR(IF($AV237="No",0,IF($AV237="yes",Summary!Q237,"")),"")</f>
        <v>0</v>
      </c>
      <c r="AH237" s="99">
        <f>IFERROR(IF($AV237="No",0,IF($AV237="yes",Summary!R237,"")),"")</f>
        <v>0</v>
      </c>
      <c r="AI237" s="99">
        <f>IFERROR(IF($AV237="No",0,IF($AV237="yes",Summary!S237,"")),"")</f>
        <v>0</v>
      </c>
      <c r="AJ237" s="602">
        <f>IFERROR(IF($AV237="No",0,IF($AV237="yes",Summary!T237,"")),"")</f>
        <v>0</v>
      </c>
      <c r="AK237" s="100">
        <f>IFERROR(IF($AV237="No",0,IF($AV237="yes",Summary!U237,"")),"")</f>
        <v>0</v>
      </c>
      <c r="AL237" s="99">
        <f>IFERROR(IF($AV237="No",0,IF($AV237="yes",Summary!V237,"")),"")</f>
        <v>0</v>
      </c>
      <c r="AM237" s="99">
        <f>IFERROR(IF($AV237="No",0,IF($AV237="yes",Summary!W237,"")),"")</f>
        <v>0</v>
      </c>
      <c r="AN237" s="99">
        <f>IFERROR(IF($AV237="No",0,IF($AV237="yes",Summary!X237,"")),"")</f>
        <v>0</v>
      </c>
      <c r="AO237" s="99">
        <f>IFERROR(IF($AV237="No",0,IF($AV237="yes",Summary!Y237+Z237,"")),"")</f>
        <v>0</v>
      </c>
      <c r="AP237" s="99">
        <f>IFERROR(IF($AV237="No",0,IF($AV237="yes",Summary!AB237,"")),"")</f>
        <v>0</v>
      </c>
      <c r="AQ237" s="101" t="str">
        <f t="shared" si="57"/>
        <v/>
      </c>
      <c r="AR237" s="101" t="str">
        <f t="shared" si="58"/>
        <v/>
      </c>
      <c r="AS237" s="101" t="str">
        <f t="shared" si="59"/>
        <v/>
      </c>
      <c r="AT237" s="96" t="s">
        <v>651</v>
      </c>
      <c r="AV237" t="str">
        <f>IF('Proposed Lighting'!CN234&gt;0,"No","Yes")</f>
        <v>Yes</v>
      </c>
    </row>
    <row r="238" spans="1:48" ht="34.5" customHeight="1" outlineLevel="1">
      <c r="A238" s="96" t="s">
        <v>652</v>
      </c>
      <c r="B238" s="96" t="str">
        <f>IF(ISNUMBER(SEARCH("case",E238)),"COM_MISC_REFR_ALL_UNKN1991",IF('Proposed Lighting'!AU235=3,"Commercial-All Com-ExtLight",IF('Proposed Lighting'!AH235&gt;8759,"IPC_8760","Commercial-All Com-IntLight")))</f>
        <v>IPC_8760</v>
      </c>
      <c r="C238" s="96" t="str">
        <f>IF(OR('Proposed Lighting'!DD235="Standard Incentive",'Proposed Lighting'!DD235="Non-Standard Incentive"),"Yes",IF(AND(IF(ISNUMBER(SEARCH("controls",'Proposed Lighting'!T235)),"True","False")="False",'Proposed Lighting'!DD235="Submit Control as Non-Standard"),"Yes","No"))</f>
        <v>No</v>
      </c>
      <c r="D238" s="1403">
        <f>'Proposed Lighting'!CV235-Q238</f>
        <v>0</v>
      </c>
      <c r="E238" s="143">
        <f>'Proposed Lighting'!T235</f>
        <v>0</v>
      </c>
      <c r="F238" s="143">
        <f>'Proposed Lighting'!F235</f>
        <v>0</v>
      </c>
      <c r="G238" s="96" t="s">
        <v>242</v>
      </c>
      <c r="H238" s="142" t="str">
        <f>'Proposed Lighting'!CP235</f>
        <v/>
      </c>
      <c r="I238" s="98">
        <v>1</v>
      </c>
      <c r="J238" s="142">
        <f>'Proposed Lighting'!AA235</f>
        <v>0</v>
      </c>
      <c r="K238" s="142" t="str">
        <f>IF(ISNUMBER(SEARCH("-C",'Proposed Lighting'!M235)),'Proposed Lighting'!AH235*0.9,'Proposed Lighting'!AH235)</f>
        <v/>
      </c>
      <c r="L238" s="142">
        <f>IFERROR(IF(OR('Proposed Lighting'!BC235=22,'Proposed Lighting'!BC235=44),1-25%,IF(OR('Proposed Lighting'!BC235=23,'Proposed Lighting'!BC235=46),1-30%,IF(OR('Proposed Lighting'!BC235=29,'Proposed Lighting'!BC235=39,'Proposed Lighting'!BC235=49),1-35%,IF(OR('Proposed Lighting'!BC235=24,'Proposed Lighting'!BC235=48),1-50%,IF(AND(ISNUMBER(SEARCH("-C",'Proposed Lighting'!M235)),'Proposed Lighting'!AU235=2),90%,100%)))))*'Proposed Lighting'!AH235,0)</f>
        <v>0</v>
      </c>
      <c r="M238" s="87">
        <f t="shared" si="45"/>
        <v>0</v>
      </c>
      <c r="N238" s="87">
        <f>IFERROR(IF('Proposed Lighting'!AU235=1,0,'Proposed Lighting'!AO235),0)</f>
        <v>0</v>
      </c>
      <c r="O238" s="88">
        <f>IF('Proposed Lighting'!AU235=1,0,'Proposed Lighting'!AP235)</f>
        <v>0</v>
      </c>
      <c r="P238" s="87">
        <f t="shared" si="46"/>
        <v>0</v>
      </c>
      <c r="Q238" s="98">
        <f t="shared" si="55"/>
        <v>0</v>
      </c>
      <c r="R238" s="99">
        <f>IFERROR(IF('Proposed Lighting'!T235="Lighting controls only",0,ROUND(IF('Proposed Lighting'!AQ235&lt;'Proposed Lighting'!AR235,0,IF('Proposed Lighting'!AH235=0,0,IF('Proposed Lighting'!BV235&gt;0,'Proposed Lighting'!BV235,IF('Proposed Lighting'!CL235=0,MIN('Proposed Lighting'!CN235:CO235),IF('Proposed Lighting'!CX235&gt;0,'Proposed Lighting'!CX235*'Proposed Lighting'!AA235,0))))),2)),0)</f>
        <v>0</v>
      </c>
      <c r="S238" s="99">
        <f>IF('Proposed Lighting'!AJ235&gt;0,'Proposed Lighting'!AJ235*J238,'Proposed Lighting'!$AU$328*J238)</f>
        <v>0</v>
      </c>
      <c r="T238" s="602">
        <f t="shared" si="47"/>
        <v>0</v>
      </c>
      <c r="U238" s="100"/>
      <c r="V238" s="99">
        <f t="shared" si="48"/>
        <v>0</v>
      </c>
      <c r="W238" s="99">
        <f t="shared" si="49"/>
        <v>0</v>
      </c>
      <c r="X238" s="99">
        <f t="shared" si="50"/>
        <v>0</v>
      </c>
      <c r="Y238" s="99"/>
      <c r="Z238" s="99">
        <f t="shared" si="56"/>
        <v>0</v>
      </c>
      <c r="AA238" s="99"/>
      <c r="AB238" s="99">
        <f t="shared" si="51"/>
        <v>0</v>
      </c>
      <c r="AC238" s="101" t="str">
        <f t="shared" si="52"/>
        <v/>
      </c>
      <c r="AD238" s="101" t="str">
        <f t="shared" si="53"/>
        <v/>
      </c>
      <c r="AE238" s="101" t="str">
        <f t="shared" si="54"/>
        <v/>
      </c>
      <c r="AF238" s="72"/>
      <c r="AG238" s="98">
        <f>IFERROR(IF($AV238="No",0,IF($AV238="yes",Summary!Q238,"")),"")</f>
        <v>0</v>
      </c>
      <c r="AH238" s="99">
        <f>IFERROR(IF($AV238="No",0,IF($AV238="yes",Summary!R238,"")),"")</f>
        <v>0</v>
      </c>
      <c r="AI238" s="99">
        <f>IFERROR(IF($AV238="No",0,IF($AV238="yes",Summary!S238,"")),"")</f>
        <v>0</v>
      </c>
      <c r="AJ238" s="602">
        <f>IFERROR(IF($AV238="No",0,IF($AV238="yes",Summary!T238,"")),"")</f>
        <v>0</v>
      </c>
      <c r="AK238" s="100">
        <f>IFERROR(IF($AV238="No",0,IF($AV238="yes",Summary!U238,"")),"")</f>
        <v>0</v>
      </c>
      <c r="AL238" s="99">
        <f>IFERROR(IF($AV238="No",0,IF($AV238="yes",Summary!V238,"")),"")</f>
        <v>0</v>
      </c>
      <c r="AM238" s="99">
        <f>IFERROR(IF($AV238="No",0,IF($AV238="yes",Summary!W238,"")),"")</f>
        <v>0</v>
      </c>
      <c r="AN238" s="99">
        <f>IFERROR(IF($AV238="No",0,IF($AV238="yes",Summary!X238,"")),"")</f>
        <v>0</v>
      </c>
      <c r="AO238" s="99">
        <f>IFERROR(IF($AV238="No",0,IF($AV238="yes",Summary!Y238+Z238,"")),"")</f>
        <v>0</v>
      </c>
      <c r="AP238" s="99">
        <f>IFERROR(IF($AV238="No",0,IF($AV238="yes",Summary!AB238,"")),"")</f>
        <v>0</v>
      </c>
      <c r="AQ238" s="101" t="str">
        <f t="shared" si="57"/>
        <v/>
      </c>
      <c r="AR238" s="101" t="str">
        <f t="shared" si="58"/>
        <v/>
      </c>
      <c r="AS238" s="101" t="str">
        <f t="shared" si="59"/>
        <v/>
      </c>
      <c r="AT238" s="96" t="s">
        <v>652</v>
      </c>
      <c r="AV238" t="str">
        <f>IF('Proposed Lighting'!CN235&gt;0,"No","Yes")</f>
        <v>Yes</v>
      </c>
    </row>
    <row r="239" spans="1:48" ht="34.5" customHeight="1" outlineLevel="1">
      <c r="A239" s="96" t="s">
        <v>653</v>
      </c>
      <c r="B239" s="96" t="str">
        <f>IF(ISNUMBER(SEARCH("case",E239)),"COM_MISC_REFR_ALL_UNKN1991",IF('Proposed Lighting'!AU236=3,"Commercial-All Com-ExtLight",IF('Proposed Lighting'!AH236&gt;8759,"IPC_8760","Commercial-All Com-IntLight")))</f>
        <v>IPC_8760</v>
      </c>
      <c r="C239" s="96" t="str">
        <f>IF(OR('Proposed Lighting'!DD236="Standard Incentive",'Proposed Lighting'!DD236="Non-Standard Incentive"),"Yes",IF(AND(IF(ISNUMBER(SEARCH("controls",'Proposed Lighting'!T236)),"True","False")="False",'Proposed Lighting'!DD236="Submit Control as Non-Standard"),"Yes","No"))</f>
        <v>No</v>
      </c>
      <c r="D239" s="1403">
        <f>'Proposed Lighting'!CV236-Q239</f>
        <v>0</v>
      </c>
      <c r="E239" s="143">
        <f>'Proposed Lighting'!T236</f>
        <v>0</v>
      </c>
      <c r="F239" s="143">
        <f>'Proposed Lighting'!F236</f>
        <v>0</v>
      </c>
      <c r="G239" s="96" t="s">
        <v>242</v>
      </c>
      <c r="H239" s="142" t="str">
        <f>'Proposed Lighting'!CP236</f>
        <v/>
      </c>
      <c r="I239" s="98">
        <v>1</v>
      </c>
      <c r="J239" s="142">
        <f>'Proposed Lighting'!AA236</f>
        <v>0</v>
      </c>
      <c r="K239" s="142" t="str">
        <f>IF(ISNUMBER(SEARCH("-C",'Proposed Lighting'!M236)),'Proposed Lighting'!AH236*0.9,'Proposed Lighting'!AH236)</f>
        <v/>
      </c>
      <c r="L239" s="142">
        <f>IFERROR(IF(OR('Proposed Lighting'!BC236=22,'Proposed Lighting'!BC236=44),1-25%,IF(OR('Proposed Lighting'!BC236=23,'Proposed Lighting'!BC236=46),1-30%,IF(OR('Proposed Lighting'!BC236=29,'Proposed Lighting'!BC236=39,'Proposed Lighting'!BC236=49),1-35%,IF(OR('Proposed Lighting'!BC236=24,'Proposed Lighting'!BC236=48),1-50%,IF(AND(ISNUMBER(SEARCH("-C",'Proposed Lighting'!M236)),'Proposed Lighting'!AU236=2),90%,100%)))))*'Proposed Lighting'!AH236,0)</f>
        <v>0</v>
      </c>
      <c r="M239" s="87">
        <f t="shared" si="45"/>
        <v>0</v>
      </c>
      <c r="N239" s="87">
        <f>IFERROR(IF('Proposed Lighting'!AU236=1,0,'Proposed Lighting'!AO236),0)</f>
        <v>0</v>
      </c>
      <c r="O239" s="88">
        <f>IF('Proposed Lighting'!AU236=1,0,'Proposed Lighting'!AP236)</f>
        <v>0</v>
      </c>
      <c r="P239" s="87">
        <f t="shared" si="46"/>
        <v>0</v>
      </c>
      <c r="Q239" s="98">
        <f t="shared" si="55"/>
        <v>0</v>
      </c>
      <c r="R239" s="99">
        <f>IFERROR(IF('Proposed Lighting'!T236="Lighting controls only",0,ROUND(IF('Proposed Lighting'!AQ236&lt;'Proposed Lighting'!AR236,0,IF('Proposed Lighting'!AH236=0,0,IF('Proposed Lighting'!BV236&gt;0,'Proposed Lighting'!BV236,IF('Proposed Lighting'!CL236=0,MIN('Proposed Lighting'!CN236:CO236),IF('Proposed Lighting'!CX236&gt;0,'Proposed Lighting'!CX236*'Proposed Lighting'!AA236,0))))),2)),0)</f>
        <v>0</v>
      </c>
      <c r="S239" s="99">
        <f>IF('Proposed Lighting'!AJ236&gt;0,'Proposed Lighting'!AJ236*J239,'Proposed Lighting'!$AU$328*J239)</f>
        <v>0</v>
      </c>
      <c r="T239" s="602">
        <f t="shared" si="47"/>
        <v>0</v>
      </c>
      <c r="U239" s="100"/>
      <c r="V239" s="99">
        <f t="shared" si="48"/>
        <v>0</v>
      </c>
      <c r="W239" s="99">
        <f t="shared" si="49"/>
        <v>0</v>
      </c>
      <c r="X239" s="99">
        <f t="shared" si="50"/>
        <v>0</v>
      </c>
      <c r="Y239" s="99"/>
      <c r="Z239" s="99">
        <f t="shared" si="56"/>
        <v>0</v>
      </c>
      <c r="AA239" s="99"/>
      <c r="AB239" s="99">
        <f t="shared" si="51"/>
        <v>0</v>
      </c>
      <c r="AC239" s="101" t="str">
        <f t="shared" si="52"/>
        <v/>
      </c>
      <c r="AD239" s="101" t="str">
        <f t="shared" si="53"/>
        <v/>
      </c>
      <c r="AE239" s="101" t="str">
        <f t="shared" si="54"/>
        <v/>
      </c>
      <c r="AF239" s="72"/>
      <c r="AG239" s="98">
        <f>IFERROR(IF($AV239="No",0,IF($AV239="yes",Summary!Q239,"")),"")</f>
        <v>0</v>
      </c>
      <c r="AH239" s="99">
        <f>IFERROR(IF($AV239="No",0,IF($AV239="yes",Summary!R239,"")),"")</f>
        <v>0</v>
      </c>
      <c r="AI239" s="99">
        <f>IFERROR(IF($AV239="No",0,IF($AV239="yes",Summary!S239,"")),"")</f>
        <v>0</v>
      </c>
      <c r="AJ239" s="602">
        <f>IFERROR(IF($AV239="No",0,IF($AV239="yes",Summary!T239,"")),"")</f>
        <v>0</v>
      </c>
      <c r="AK239" s="100">
        <f>IFERROR(IF($AV239="No",0,IF($AV239="yes",Summary!U239,"")),"")</f>
        <v>0</v>
      </c>
      <c r="AL239" s="99">
        <f>IFERROR(IF($AV239="No",0,IF($AV239="yes",Summary!V239,"")),"")</f>
        <v>0</v>
      </c>
      <c r="AM239" s="99">
        <f>IFERROR(IF($AV239="No",0,IF($AV239="yes",Summary!W239,"")),"")</f>
        <v>0</v>
      </c>
      <c r="AN239" s="99">
        <f>IFERROR(IF($AV239="No",0,IF($AV239="yes",Summary!X239,"")),"")</f>
        <v>0</v>
      </c>
      <c r="AO239" s="99">
        <f>IFERROR(IF($AV239="No",0,IF($AV239="yes",Summary!Y239+Z239,"")),"")</f>
        <v>0</v>
      </c>
      <c r="AP239" s="99">
        <f>IFERROR(IF($AV239="No",0,IF($AV239="yes",Summary!AB239,"")),"")</f>
        <v>0</v>
      </c>
      <c r="AQ239" s="101" t="str">
        <f t="shared" si="57"/>
        <v/>
      </c>
      <c r="AR239" s="101" t="str">
        <f t="shared" si="58"/>
        <v/>
      </c>
      <c r="AS239" s="101" t="str">
        <f t="shared" si="59"/>
        <v/>
      </c>
      <c r="AT239" s="96" t="s">
        <v>653</v>
      </c>
      <c r="AV239" t="str">
        <f>IF('Proposed Lighting'!CN236&gt;0,"No","Yes")</f>
        <v>Yes</v>
      </c>
    </row>
    <row r="240" spans="1:48" ht="34.5" customHeight="1" outlineLevel="1">
      <c r="A240" s="96" t="s">
        <v>654</v>
      </c>
      <c r="B240" s="96" t="str">
        <f>IF(ISNUMBER(SEARCH("case",E240)),"COM_MISC_REFR_ALL_UNKN1991",IF('Proposed Lighting'!AU237=3,"Commercial-All Com-ExtLight",IF('Proposed Lighting'!AH237&gt;8759,"IPC_8760","Commercial-All Com-IntLight")))</f>
        <v>IPC_8760</v>
      </c>
      <c r="C240" s="96" t="str">
        <f>IF(OR('Proposed Lighting'!DD237="Standard Incentive",'Proposed Lighting'!DD237="Non-Standard Incentive"),"Yes",IF(AND(IF(ISNUMBER(SEARCH("controls",'Proposed Lighting'!T237)),"True","False")="False",'Proposed Lighting'!DD237="Submit Control as Non-Standard"),"Yes","No"))</f>
        <v>No</v>
      </c>
      <c r="D240" s="1403">
        <f>'Proposed Lighting'!CV237-Q240</f>
        <v>0</v>
      </c>
      <c r="E240" s="143">
        <f>'Proposed Lighting'!T237</f>
        <v>0</v>
      </c>
      <c r="F240" s="143">
        <f>'Proposed Lighting'!F237</f>
        <v>0</v>
      </c>
      <c r="G240" s="96" t="s">
        <v>242</v>
      </c>
      <c r="H240" s="142" t="str">
        <f>'Proposed Lighting'!CP237</f>
        <v/>
      </c>
      <c r="I240" s="98">
        <v>1</v>
      </c>
      <c r="J240" s="142">
        <f>'Proposed Lighting'!AA237</f>
        <v>0</v>
      </c>
      <c r="K240" s="142" t="str">
        <f>IF(ISNUMBER(SEARCH("-C",'Proposed Lighting'!M237)),'Proposed Lighting'!AH237*0.9,'Proposed Lighting'!AH237)</f>
        <v/>
      </c>
      <c r="L240" s="142">
        <f>IFERROR(IF(OR('Proposed Lighting'!BC237=22,'Proposed Lighting'!BC237=44),1-25%,IF(OR('Proposed Lighting'!BC237=23,'Proposed Lighting'!BC237=46),1-30%,IF(OR('Proposed Lighting'!BC237=29,'Proposed Lighting'!BC237=39,'Proposed Lighting'!BC237=49),1-35%,IF(OR('Proposed Lighting'!BC237=24,'Proposed Lighting'!BC237=48),1-50%,IF(AND(ISNUMBER(SEARCH("-C",'Proposed Lighting'!M237)),'Proposed Lighting'!AU237=2),90%,100%)))))*'Proposed Lighting'!AH237,0)</f>
        <v>0</v>
      </c>
      <c r="M240" s="87">
        <f t="shared" si="45"/>
        <v>0</v>
      </c>
      <c r="N240" s="87">
        <f>IFERROR(IF('Proposed Lighting'!AU237=1,0,'Proposed Lighting'!AO237),0)</f>
        <v>0</v>
      </c>
      <c r="O240" s="88">
        <f>IF('Proposed Lighting'!AU237=1,0,'Proposed Lighting'!AP237)</f>
        <v>0</v>
      </c>
      <c r="P240" s="87">
        <f t="shared" si="46"/>
        <v>0</v>
      </c>
      <c r="Q240" s="98">
        <f t="shared" si="55"/>
        <v>0</v>
      </c>
      <c r="R240" s="99">
        <f>IFERROR(IF('Proposed Lighting'!T237="Lighting controls only",0,ROUND(IF('Proposed Lighting'!AQ237&lt;'Proposed Lighting'!AR237,0,IF('Proposed Lighting'!AH237=0,0,IF('Proposed Lighting'!BV237&gt;0,'Proposed Lighting'!BV237,IF('Proposed Lighting'!CL237=0,MIN('Proposed Lighting'!CN237:CO237),IF('Proposed Lighting'!CX237&gt;0,'Proposed Lighting'!CX237*'Proposed Lighting'!AA237,0))))),2)),0)</f>
        <v>0</v>
      </c>
      <c r="S240" s="99">
        <f>IF('Proposed Lighting'!AJ237&gt;0,'Proposed Lighting'!AJ237*J240,'Proposed Lighting'!$AU$328*J240)</f>
        <v>0</v>
      </c>
      <c r="T240" s="602">
        <f t="shared" si="47"/>
        <v>0</v>
      </c>
      <c r="U240" s="100"/>
      <c r="V240" s="99">
        <f t="shared" si="48"/>
        <v>0</v>
      </c>
      <c r="W240" s="99">
        <f t="shared" si="49"/>
        <v>0</v>
      </c>
      <c r="X240" s="99">
        <f t="shared" si="50"/>
        <v>0</v>
      </c>
      <c r="Y240" s="99"/>
      <c r="Z240" s="99">
        <f t="shared" si="56"/>
        <v>0</v>
      </c>
      <c r="AA240" s="99"/>
      <c r="AB240" s="99">
        <f t="shared" si="51"/>
        <v>0</v>
      </c>
      <c r="AC240" s="101" t="str">
        <f t="shared" si="52"/>
        <v/>
      </c>
      <c r="AD240" s="101" t="str">
        <f t="shared" si="53"/>
        <v/>
      </c>
      <c r="AE240" s="101" t="str">
        <f t="shared" si="54"/>
        <v/>
      </c>
      <c r="AF240" s="72"/>
      <c r="AG240" s="98">
        <f>IFERROR(IF($AV240="No",0,IF($AV240="yes",Summary!Q240,"")),"")</f>
        <v>0</v>
      </c>
      <c r="AH240" s="99">
        <f>IFERROR(IF($AV240="No",0,IF($AV240="yes",Summary!R240,"")),"")</f>
        <v>0</v>
      </c>
      <c r="AI240" s="99">
        <f>IFERROR(IF($AV240="No",0,IF($AV240="yes",Summary!S240,"")),"")</f>
        <v>0</v>
      </c>
      <c r="AJ240" s="602">
        <f>IFERROR(IF($AV240="No",0,IF($AV240="yes",Summary!T240,"")),"")</f>
        <v>0</v>
      </c>
      <c r="AK240" s="100">
        <f>IFERROR(IF($AV240="No",0,IF($AV240="yes",Summary!U240,"")),"")</f>
        <v>0</v>
      </c>
      <c r="AL240" s="99">
        <f>IFERROR(IF($AV240="No",0,IF($AV240="yes",Summary!V240,"")),"")</f>
        <v>0</v>
      </c>
      <c r="AM240" s="99">
        <f>IFERROR(IF($AV240="No",0,IF($AV240="yes",Summary!W240,"")),"")</f>
        <v>0</v>
      </c>
      <c r="AN240" s="99">
        <f>IFERROR(IF($AV240="No",0,IF($AV240="yes",Summary!X240,"")),"")</f>
        <v>0</v>
      </c>
      <c r="AO240" s="99">
        <f>IFERROR(IF($AV240="No",0,IF($AV240="yes",Summary!Y240+Z240,"")),"")</f>
        <v>0</v>
      </c>
      <c r="AP240" s="99">
        <f>IFERROR(IF($AV240="No",0,IF($AV240="yes",Summary!AB240,"")),"")</f>
        <v>0</v>
      </c>
      <c r="AQ240" s="101" t="str">
        <f t="shared" si="57"/>
        <v/>
      </c>
      <c r="AR240" s="101" t="str">
        <f t="shared" si="58"/>
        <v/>
      </c>
      <c r="AS240" s="101" t="str">
        <f t="shared" si="59"/>
        <v/>
      </c>
      <c r="AT240" s="96" t="s">
        <v>654</v>
      </c>
      <c r="AV240" t="str">
        <f>IF('Proposed Lighting'!CN237&gt;0,"No","Yes")</f>
        <v>Yes</v>
      </c>
    </row>
    <row r="241" spans="1:48" ht="34.5" customHeight="1" outlineLevel="1">
      <c r="A241" s="96" t="s">
        <v>655</v>
      </c>
      <c r="B241" s="96" t="str">
        <f>IF(ISNUMBER(SEARCH("case",E241)),"COM_MISC_REFR_ALL_UNKN1991",IF('Proposed Lighting'!AU238=3,"Commercial-All Com-ExtLight",IF('Proposed Lighting'!AH238&gt;8759,"IPC_8760","Commercial-All Com-IntLight")))</f>
        <v>IPC_8760</v>
      </c>
      <c r="C241" s="96" t="str">
        <f>IF(OR('Proposed Lighting'!DD238="Standard Incentive",'Proposed Lighting'!DD238="Non-Standard Incentive"),"Yes",IF(AND(IF(ISNUMBER(SEARCH("controls",'Proposed Lighting'!T238)),"True","False")="False",'Proposed Lighting'!DD238="Submit Control as Non-Standard"),"Yes","No"))</f>
        <v>No</v>
      </c>
      <c r="D241" s="1403">
        <f>'Proposed Lighting'!CV238-Q241</f>
        <v>0</v>
      </c>
      <c r="E241" s="143">
        <f>'Proposed Lighting'!T238</f>
        <v>0</v>
      </c>
      <c r="F241" s="143">
        <f>'Proposed Lighting'!F238</f>
        <v>0</v>
      </c>
      <c r="G241" s="96" t="s">
        <v>242</v>
      </c>
      <c r="H241" s="142" t="str">
        <f>'Proposed Lighting'!CP238</f>
        <v/>
      </c>
      <c r="I241" s="98">
        <v>1</v>
      </c>
      <c r="J241" s="142">
        <f>'Proposed Lighting'!AA238</f>
        <v>0</v>
      </c>
      <c r="K241" s="142" t="str">
        <f>IF(ISNUMBER(SEARCH("-C",'Proposed Lighting'!M238)),'Proposed Lighting'!AH238*0.9,'Proposed Lighting'!AH238)</f>
        <v/>
      </c>
      <c r="L241" s="142">
        <f>IFERROR(IF(OR('Proposed Lighting'!BC238=22,'Proposed Lighting'!BC238=44),1-25%,IF(OR('Proposed Lighting'!BC238=23,'Proposed Lighting'!BC238=46),1-30%,IF(OR('Proposed Lighting'!BC238=29,'Proposed Lighting'!BC238=39,'Proposed Lighting'!BC238=49),1-35%,IF(OR('Proposed Lighting'!BC238=24,'Proposed Lighting'!BC238=48),1-50%,IF(AND(ISNUMBER(SEARCH("-C",'Proposed Lighting'!M238)),'Proposed Lighting'!AU238=2),90%,100%)))))*'Proposed Lighting'!AH238,0)</f>
        <v>0</v>
      </c>
      <c r="M241" s="87">
        <f t="shared" si="45"/>
        <v>0</v>
      </c>
      <c r="N241" s="87">
        <f>IFERROR(IF('Proposed Lighting'!AU238=1,0,'Proposed Lighting'!AO238),0)</f>
        <v>0</v>
      </c>
      <c r="O241" s="88">
        <f>IF('Proposed Lighting'!AU238=1,0,'Proposed Lighting'!AP238)</f>
        <v>0</v>
      </c>
      <c r="P241" s="87">
        <f t="shared" si="46"/>
        <v>0</v>
      </c>
      <c r="Q241" s="98">
        <f t="shared" si="55"/>
        <v>0</v>
      </c>
      <c r="R241" s="99">
        <f>IFERROR(IF('Proposed Lighting'!T238="Lighting controls only",0,ROUND(IF('Proposed Lighting'!AQ238&lt;'Proposed Lighting'!AR238,0,IF('Proposed Lighting'!AH238=0,0,IF('Proposed Lighting'!BV238&gt;0,'Proposed Lighting'!BV238,IF('Proposed Lighting'!CL238=0,MIN('Proposed Lighting'!CN238:CO238),IF('Proposed Lighting'!CX238&gt;0,'Proposed Lighting'!CX238*'Proposed Lighting'!AA238,0))))),2)),0)</f>
        <v>0</v>
      </c>
      <c r="S241" s="99">
        <f>IF('Proposed Lighting'!AJ238&gt;0,'Proposed Lighting'!AJ238*J241,'Proposed Lighting'!$AU$328*J241)</f>
        <v>0</v>
      </c>
      <c r="T241" s="602">
        <f t="shared" si="47"/>
        <v>0</v>
      </c>
      <c r="U241" s="100"/>
      <c r="V241" s="99">
        <f t="shared" si="48"/>
        <v>0</v>
      </c>
      <c r="W241" s="99">
        <f t="shared" si="49"/>
        <v>0</v>
      </c>
      <c r="X241" s="99">
        <f t="shared" si="50"/>
        <v>0</v>
      </c>
      <c r="Y241" s="99"/>
      <c r="Z241" s="99">
        <f t="shared" si="56"/>
        <v>0</v>
      </c>
      <c r="AA241" s="99"/>
      <c r="AB241" s="99">
        <f t="shared" si="51"/>
        <v>0</v>
      </c>
      <c r="AC241" s="101" t="str">
        <f t="shared" si="52"/>
        <v/>
      </c>
      <c r="AD241" s="101" t="str">
        <f t="shared" si="53"/>
        <v/>
      </c>
      <c r="AE241" s="101" t="str">
        <f t="shared" si="54"/>
        <v/>
      </c>
      <c r="AF241" s="72"/>
      <c r="AG241" s="98">
        <f>IFERROR(IF($AV241="No",0,IF($AV241="yes",Summary!Q241,"")),"")</f>
        <v>0</v>
      </c>
      <c r="AH241" s="99">
        <f>IFERROR(IF($AV241="No",0,IF($AV241="yes",Summary!R241,"")),"")</f>
        <v>0</v>
      </c>
      <c r="AI241" s="99">
        <f>IFERROR(IF($AV241="No",0,IF($AV241="yes",Summary!S241,"")),"")</f>
        <v>0</v>
      </c>
      <c r="AJ241" s="602">
        <f>IFERROR(IF($AV241="No",0,IF($AV241="yes",Summary!T241,"")),"")</f>
        <v>0</v>
      </c>
      <c r="AK241" s="100">
        <f>IFERROR(IF($AV241="No",0,IF($AV241="yes",Summary!U241,"")),"")</f>
        <v>0</v>
      </c>
      <c r="AL241" s="99">
        <f>IFERROR(IF($AV241="No",0,IF($AV241="yes",Summary!V241,"")),"")</f>
        <v>0</v>
      </c>
      <c r="AM241" s="99">
        <f>IFERROR(IF($AV241="No",0,IF($AV241="yes",Summary!W241,"")),"")</f>
        <v>0</v>
      </c>
      <c r="AN241" s="99">
        <f>IFERROR(IF($AV241="No",0,IF($AV241="yes",Summary!X241,"")),"")</f>
        <v>0</v>
      </c>
      <c r="AO241" s="99">
        <f>IFERROR(IF($AV241="No",0,IF($AV241="yes",Summary!Y241+Z241,"")),"")</f>
        <v>0</v>
      </c>
      <c r="AP241" s="99">
        <f>IFERROR(IF($AV241="No",0,IF($AV241="yes",Summary!AB241,"")),"")</f>
        <v>0</v>
      </c>
      <c r="AQ241" s="101" t="str">
        <f t="shared" si="57"/>
        <v/>
      </c>
      <c r="AR241" s="101" t="str">
        <f t="shared" si="58"/>
        <v/>
      </c>
      <c r="AS241" s="101" t="str">
        <f t="shared" si="59"/>
        <v/>
      </c>
      <c r="AT241" s="96" t="s">
        <v>655</v>
      </c>
      <c r="AV241" t="str">
        <f>IF('Proposed Lighting'!CN238&gt;0,"No","Yes")</f>
        <v>Yes</v>
      </c>
    </row>
    <row r="242" spans="1:48" ht="34.5" customHeight="1" outlineLevel="1">
      <c r="A242" s="96" t="s">
        <v>656</v>
      </c>
      <c r="B242" s="96" t="str">
        <f>IF(ISNUMBER(SEARCH("case",E242)),"COM_MISC_REFR_ALL_UNKN1991",IF('Proposed Lighting'!AU239=3,"Commercial-All Com-ExtLight",IF('Proposed Lighting'!AH239&gt;8759,"IPC_8760","Commercial-All Com-IntLight")))</f>
        <v>IPC_8760</v>
      </c>
      <c r="C242" s="96" t="str">
        <f>IF(OR('Proposed Lighting'!DD239="Standard Incentive",'Proposed Lighting'!DD239="Non-Standard Incentive"),"Yes",IF(AND(IF(ISNUMBER(SEARCH("controls",'Proposed Lighting'!T239)),"True","False")="False",'Proposed Lighting'!DD239="Submit Control as Non-Standard"),"Yes","No"))</f>
        <v>No</v>
      </c>
      <c r="D242" s="1403">
        <f>'Proposed Lighting'!CV239-Q242</f>
        <v>0</v>
      </c>
      <c r="E242" s="143">
        <f>'Proposed Lighting'!T239</f>
        <v>0</v>
      </c>
      <c r="F242" s="143">
        <f>'Proposed Lighting'!F239</f>
        <v>0</v>
      </c>
      <c r="G242" s="96" t="s">
        <v>242</v>
      </c>
      <c r="H242" s="142" t="str">
        <f>'Proposed Lighting'!CP239</f>
        <v/>
      </c>
      <c r="I242" s="98">
        <v>1</v>
      </c>
      <c r="J242" s="142">
        <f>'Proposed Lighting'!AA239</f>
        <v>0</v>
      </c>
      <c r="K242" s="142" t="str">
        <f>IF(ISNUMBER(SEARCH("-C",'Proposed Lighting'!M239)),'Proposed Lighting'!AH239*0.9,'Proposed Lighting'!AH239)</f>
        <v/>
      </c>
      <c r="L242" s="142">
        <f>IFERROR(IF(OR('Proposed Lighting'!BC239=22,'Proposed Lighting'!BC239=44),1-25%,IF(OR('Proposed Lighting'!BC239=23,'Proposed Lighting'!BC239=46),1-30%,IF(OR('Proposed Lighting'!BC239=29,'Proposed Lighting'!BC239=39,'Proposed Lighting'!BC239=49),1-35%,IF(OR('Proposed Lighting'!BC239=24,'Proposed Lighting'!BC239=48),1-50%,IF(AND(ISNUMBER(SEARCH("-C",'Proposed Lighting'!M239)),'Proposed Lighting'!AU239=2),90%,100%)))))*'Proposed Lighting'!AH239,0)</f>
        <v>0</v>
      </c>
      <c r="M242" s="87">
        <f t="shared" si="45"/>
        <v>0</v>
      </c>
      <c r="N242" s="87">
        <f>IFERROR(IF('Proposed Lighting'!AU239=1,0,'Proposed Lighting'!AO239),0)</f>
        <v>0</v>
      </c>
      <c r="O242" s="88">
        <f>IF('Proposed Lighting'!AU239=1,0,'Proposed Lighting'!AP239)</f>
        <v>0</v>
      </c>
      <c r="P242" s="87">
        <f t="shared" si="46"/>
        <v>0</v>
      </c>
      <c r="Q242" s="98">
        <f t="shared" si="55"/>
        <v>0</v>
      </c>
      <c r="R242" s="99">
        <f>IFERROR(IF('Proposed Lighting'!T239="Lighting controls only",0,ROUND(IF('Proposed Lighting'!AQ239&lt;'Proposed Lighting'!AR239,0,IF('Proposed Lighting'!AH239=0,0,IF('Proposed Lighting'!BV239&gt;0,'Proposed Lighting'!BV239,IF('Proposed Lighting'!CL239=0,MIN('Proposed Lighting'!CN239:CO239),IF('Proposed Lighting'!CX239&gt;0,'Proposed Lighting'!CX239*'Proposed Lighting'!AA239,0))))),2)),0)</f>
        <v>0</v>
      </c>
      <c r="S242" s="99">
        <f>IF('Proposed Lighting'!AJ239&gt;0,'Proposed Lighting'!AJ239*J242,'Proposed Lighting'!$AU$328*J242)</f>
        <v>0</v>
      </c>
      <c r="T242" s="602">
        <f t="shared" si="47"/>
        <v>0</v>
      </c>
      <c r="U242" s="100"/>
      <c r="V242" s="99">
        <f t="shared" si="48"/>
        <v>0</v>
      </c>
      <c r="W242" s="99">
        <f t="shared" si="49"/>
        <v>0</v>
      </c>
      <c r="X242" s="99">
        <f t="shared" si="50"/>
        <v>0</v>
      </c>
      <c r="Y242" s="99"/>
      <c r="Z242" s="99">
        <f t="shared" si="56"/>
        <v>0</v>
      </c>
      <c r="AA242" s="99"/>
      <c r="AB242" s="99">
        <f t="shared" si="51"/>
        <v>0</v>
      </c>
      <c r="AC242" s="101" t="str">
        <f t="shared" si="52"/>
        <v/>
      </c>
      <c r="AD242" s="101" t="str">
        <f t="shared" si="53"/>
        <v/>
      </c>
      <c r="AE242" s="101" t="str">
        <f t="shared" si="54"/>
        <v/>
      </c>
      <c r="AF242" s="72"/>
      <c r="AG242" s="98">
        <f>IFERROR(IF($AV242="No",0,IF($AV242="yes",Summary!Q242,"")),"")</f>
        <v>0</v>
      </c>
      <c r="AH242" s="99">
        <f>IFERROR(IF($AV242="No",0,IF($AV242="yes",Summary!R242,"")),"")</f>
        <v>0</v>
      </c>
      <c r="AI242" s="99">
        <f>IFERROR(IF($AV242="No",0,IF($AV242="yes",Summary!S242,"")),"")</f>
        <v>0</v>
      </c>
      <c r="AJ242" s="602">
        <f>IFERROR(IF($AV242="No",0,IF($AV242="yes",Summary!T242,"")),"")</f>
        <v>0</v>
      </c>
      <c r="AK242" s="100">
        <f>IFERROR(IF($AV242="No",0,IF($AV242="yes",Summary!U242,"")),"")</f>
        <v>0</v>
      </c>
      <c r="AL242" s="99">
        <f>IFERROR(IF($AV242="No",0,IF($AV242="yes",Summary!V242,"")),"")</f>
        <v>0</v>
      </c>
      <c r="AM242" s="99">
        <f>IFERROR(IF($AV242="No",0,IF($AV242="yes",Summary!W242,"")),"")</f>
        <v>0</v>
      </c>
      <c r="AN242" s="99">
        <f>IFERROR(IF($AV242="No",0,IF($AV242="yes",Summary!X242,"")),"")</f>
        <v>0</v>
      </c>
      <c r="AO242" s="99">
        <f>IFERROR(IF($AV242="No",0,IF($AV242="yes",Summary!Y242+Z242,"")),"")</f>
        <v>0</v>
      </c>
      <c r="AP242" s="99">
        <f>IFERROR(IF($AV242="No",0,IF($AV242="yes",Summary!AB242,"")),"")</f>
        <v>0</v>
      </c>
      <c r="AQ242" s="101" t="str">
        <f t="shared" si="57"/>
        <v/>
      </c>
      <c r="AR242" s="101" t="str">
        <f t="shared" si="58"/>
        <v/>
      </c>
      <c r="AS242" s="101" t="str">
        <f t="shared" si="59"/>
        <v/>
      </c>
      <c r="AT242" s="96" t="s">
        <v>656</v>
      </c>
      <c r="AV242" t="str">
        <f>IF('Proposed Lighting'!CN239&gt;0,"No","Yes")</f>
        <v>Yes</v>
      </c>
    </row>
    <row r="243" spans="1:48" ht="34.5" customHeight="1" outlineLevel="1">
      <c r="A243" s="96" t="s">
        <v>657</v>
      </c>
      <c r="B243" s="96" t="str">
        <f>IF(ISNUMBER(SEARCH("case",E243)),"COM_MISC_REFR_ALL_UNKN1991",IF('Proposed Lighting'!AU240=3,"Commercial-All Com-ExtLight",IF('Proposed Lighting'!AH240&gt;8759,"IPC_8760","Commercial-All Com-IntLight")))</f>
        <v>IPC_8760</v>
      </c>
      <c r="C243" s="96" t="str">
        <f>IF(OR('Proposed Lighting'!DD240="Standard Incentive",'Proposed Lighting'!DD240="Non-Standard Incentive"),"Yes",IF(AND(IF(ISNUMBER(SEARCH("controls",'Proposed Lighting'!T240)),"True","False")="False",'Proposed Lighting'!DD240="Submit Control as Non-Standard"),"Yes","No"))</f>
        <v>No</v>
      </c>
      <c r="D243" s="1403">
        <f>'Proposed Lighting'!CV240-Q243</f>
        <v>0</v>
      </c>
      <c r="E243" s="143">
        <f>'Proposed Lighting'!T240</f>
        <v>0</v>
      </c>
      <c r="F243" s="143">
        <f>'Proposed Lighting'!F240</f>
        <v>0</v>
      </c>
      <c r="G243" s="96" t="s">
        <v>242</v>
      </c>
      <c r="H243" s="142" t="str">
        <f>'Proposed Lighting'!CP240</f>
        <v/>
      </c>
      <c r="I243" s="98">
        <v>1</v>
      </c>
      <c r="J243" s="142">
        <f>'Proposed Lighting'!AA240</f>
        <v>0</v>
      </c>
      <c r="K243" s="142" t="str">
        <f>IF(ISNUMBER(SEARCH("-C",'Proposed Lighting'!M240)),'Proposed Lighting'!AH240*0.9,'Proposed Lighting'!AH240)</f>
        <v/>
      </c>
      <c r="L243" s="142">
        <f>IFERROR(IF(OR('Proposed Lighting'!BC240=22,'Proposed Lighting'!BC240=44),1-25%,IF(OR('Proposed Lighting'!BC240=23,'Proposed Lighting'!BC240=46),1-30%,IF(OR('Proposed Lighting'!BC240=29,'Proposed Lighting'!BC240=39,'Proposed Lighting'!BC240=49),1-35%,IF(OR('Proposed Lighting'!BC240=24,'Proposed Lighting'!BC240=48),1-50%,IF(AND(ISNUMBER(SEARCH("-C",'Proposed Lighting'!M240)),'Proposed Lighting'!AU240=2),90%,100%)))))*'Proposed Lighting'!AH240,0)</f>
        <v>0</v>
      </c>
      <c r="M243" s="87">
        <f t="shared" si="45"/>
        <v>0</v>
      </c>
      <c r="N243" s="87">
        <f>IFERROR(IF('Proposed Lighting'!AU240=1,0,'Proposed Lighting'!AO240),0)</f>
        <v>0</v>
      </c>
      <c r="O243" s="88">
        <f>IF('Proposed Lighting'!AU240=1,0,'Proposed Lighting'!AP240)</f>
        <v>0</v>
      </c>
      <c r="P243" s="87">
        <f t="shared" si="46"/>
        <v>0</v>
      </c>
      <c r="Q243" s="98">
        <f t="shared" si="55"/>
        <v>0</v>
      </c>
      <c r="R243" s="99">
        <f>IFERROR(IF('Proposed Lighting'!T240="Lighting controls only",0,ROUND(IF('Proposed Lighting'!AQ240&lt;'Proposed Lighting'!AR240,0,IF('Proposed Lighting'!AH240=0,0,IF('Proposed Lighting'!BV240&gt;0,'Proposed Lighting'!BV240,IF('Proposed Lighting'!CL240=0,MIN('Proposed Lighting'!CN240:CO240),IF('Proposed Lighting'!CX240&gt;0,'Proposed Lighting'!CX240*'Proposed Lighting'!AA240,0))))),2)),0)</f>
        <v>0</v>
      </c>
      <c r="S243" s="99">
        <f>IF('Proposed Lighting'!AJ240&gt;0,'Proposed Lighting'!AJ240*J243,'Proposed Lighting'!$AU$328*J243)</f>
        <v>0</v>
      </c>
      <c r="T243" s="602">
        <f t="shared" si="47"/>
        <v>0</v>
      </c>
      <c r="U243" s="100"/>
      <c r="V243" s="99">
        <f t="shared" si="48"/>
        <v>0</v>
      </c>
      <c r="W243" s="99">
        <f t="shared" si="49"/>
        <v>0</v>
      </c>
      <c r="X243" s="99">
        <f t="shared" si="50"/>
        <v>0</v>
      </c>
      <c r="Y243" s="99"/>
      <c r="Z243" s="99">
        <f t="shared" si="56"/>
        <v>0</v>
      </c>
      <c r="AA243" s="99"/>
      <c r="AB243" s="99">
        <f t="shared" si="51"/>
        <v>0</v>
      </c>
      <c r="AC243" s="101" t="str">
        <f t="shared" si="52"/>
        <v/>
      </c>
      <c r="AD243" s="101" t="str">
        <f t="shared" si="53"/>
        <v/>
      </c>
      <c r="AE243" s="101" t="str">
        <f t="shared" si="54"/>
        <v/>
      </c>
      <c r="AF243" s="72"/>
      <c r="AG243" s="98">
        <f>IFERROR(IF($AV243="No",0,IF($AV243="yes",Summary!Q243,"")),"")</f>
        <v>0</v>
      </c>
      <c r="AH243" s="99">
        <f>IFERROR(IF($AV243="No",0,IF($AV243="yes",Summary!R243,"")),"")</f>
        <v>0</v>
      </c>
      <c r="AI243" s="99">
        <f>IFERROR(IF($AV243="No",0,IF($AV243="yes",Summary!S243,"")),"")</f>
        <v>0</v>
      </c>
      <c r="AJ243" s="602">
        <f>IFERROR(IF($AV243="No",0,IF($AV243="yes",Summary!T243,"")),"")</f>
        <v>0</v>
      </c>
      <c r="AK243" s="100">
        <f>IFERROR(IF($AV243="No",0,IF($AV243="yes",Summary!U243,"")),"")</f>
        <v>0</v>
      </c>
      <c r="AL243" s="99">
        <f>IFERROR(IF($AV243="No",0,IF($AV243="yes",Summary!V243,"")),"")</f>
        <v>0</v>
      </c>
      <c r="AM243" s="99">
        <f>IFERROR(IF($AV243="No",0,IF($AV243="yes",Summary!W243,"")),"")</f>
        <v>0</v>
      </c>
      <c r="AN243" s="99">
        <f>IFERROR(IF($AV243="No",0,IF($AV243="yes",Summary!X243,"")),"")</f>
        <v>0</v>
      </c>
      <c r="AO243" s="99">
        <f>IFERROR(IF($AV243="No",0,IF($AV243="yes",Summary!Y243+Z243,"")),"")</f>
        <v>0</v>
      </c>
      <c r="AP243" s="99">
        <f>IFERROR(IF($AV243="No",0,IF($AV243="yes",Summary!AB243,"")),"")</f>
        <v>0</v>
      </c>
      <c r="AQ243" s="101" t="str">
        <f t="shared" si="57"/>
        <v/>
      </c>
      <c r="AR243" s="101" t="str">
        <f t="shared" si="58"/>
        <v/>
      </c>
      <c r="AS243" s="101" t="str">
        <f t="shared" si="59"/>
        <v/>
      </c>
      <c r="AT243" s="96" t="s">
        <v>657</v>
      </c>
      <c r="AV243" t="str">
        <f>IF('Proposed Lighting'!CN240&gt;0,"No","Yes")</f>
        <v>Yes</v>
      </c>
    </row>
    <row r="244" spans="1:48" ht="34.5" customHeight="1" outlineLevel="1">
      <c r="A244" s="96" t="s">
        <v>658</v>
      </c>
      <c r="B244" s="96" t="str">
        <f>IF(ISNUMBER(SEARCH("case",E244)),"COM_MISC_REFR_ALL_UNKN1991",IF('Proposed Lighting'!AU241=3,"Commercial-All Com-ExtLight",IF('Proposed Lighting'!AH241&gt;8759,"IPC_8760","Commercial-All Com-IntLight")))</f>
        <v>IPC_8760</v>
      </c>
      <c r="C244" s="96" t="str">
        <f>IF(OR('Proposed Lighting'!DD241="Standard Incentive",'Proposed Lighting'!DD241="Non-Standard Incentive"),"Yes",IF(AND(IF(ISNUMBER(SEARCH("controls",'Proposed Lighting'!T241)),"True","False")="False",'Proposed Lighting'!DD241="Submit Control as Non-Standard"),"Yes","No"))</f>
        <v>No</v>
      </c>
      <c r="D244" s="1403">
        <f>'Proposed Lighting'!CV241-Q244</f>
        <v>0</v>
      </c>
      <c r="E244" s="143">
        <f>'Proposed Lighting'!T241</f>
        <v>0</v>
      </c>
      <c r="F244" s="143">
        <f>'Proposed Lighting'!F241</f>
        <v>0</v>
      </c>
      <c r="G244" s="96" t="s">
        <v>242</v>
      </c>
      <c r="H244" s="142" t="str">
        <f>'Proposed Lighting'!CP241</f>
        <v/>
      </c>
      <c r="I244" s="98">
        <v>1</v>
      </c>
      <c r="J244" s="142">
        <f>'Proposed Lighting'!AA241</f>
        <v>0</v>
      </c>
      <c r="K244" s="142" t="str">
        <f>IF(ISNUMBER(SEARCH("-C",'Proposed Lighting'!M241)),'Proposed Lighting'!AH241*0.9,'Proposed Lighting'!AH241)</f>
        <v/>
      </c>
      <c r="L244" s="142">
        <f>IFERROR(IF(OR('Proposed Lighting'!BC241=22,'Proposed Lighting'!BC241=44),1-25%,IF(OR('Proposed Lighting'!BC241=23,'Proposed Lighting'!BC241=46),1-30%,IF(OR('Proposed Lighting'!BC241=29,'Proposed Lighting'!BC241=39,'Proposed Lighting'!BC241=49),1-35%,IF(OR('Proposed Lighting'!BC241=24,'Proposed Lighting'!BC241=48),1-50%,IF(AND(ISNUMBER(SEARCH("-C",'Proposed Lighting'!M241)),'Proposed Lighting'!AU241=2),90%,100%)))))*'Proposed Lighting'!AH241,0)</f>
        <v>0</v>
      </c>
      <c r="M244" s="87">
        <f t="shared" si="45"/>
        <v>0</v>
      </c>
      <c r="N244" s="87">
        <f>IFERROR(IF('Proposed Lighting'!AU241=1,0,'Proposed Lighting'!AO241),0)</f>
        <v>0</v>
      </c>
      <c r="O244" s="88">
        <f>IF('Proposed Lighting'!AU241=1,0,'Proposed Lighting'!AP241)</f>
        <v>0</v>
      </c>
      <c r="P244" s="87">
        <f t="shared" si="46"/>
        <v>0</v>
      </c>
      <c r="Q244" s="98">
        <f t="shared" si="55"/>
        <v>0</v>
      </c>
      <c r="R244" s="99">
        <f>IFERROR(IF('Proposed Lighting'!T241="Lighting controls only",0,ROUND(IF('Proposed Lighting'!AQ241&lt;'Proposed Lighting'!AR241,0,IF('Proposed Lighting'!AH241=0,0,IF('Proposed Lighting'!BV241&gt;0,'Proposed Lighting'!BV241,IF('Proposed Lighting'!CL241=0,MIN('Proposed Lighting'!CN241:CO241),IF('Proposed Lighting'!CX241&gt;0,'Proposed Lighting'!CX241*'Proposed Lighting'!AA241,0))))),2)),0)</f>
        <v>0</v>
      </c>
      <c r="S244" s="99">
        <f>IF('Proposed Lighting'!AJ241&gt;0,'Proposed Lighting'!AJ241*J244,'Proposed Lighting'!$AU$328*J244)</f>
        <v>0</v>
      </c>
      <c r="T244" s="602">
        <f t="shared" si="47"/>
        <v>0</v>
      </c>
      <c r="U244" s="100"/>
      <c r="V244" s="99">
        <f t="shared" si="48"/>
        <v>0</v>
      </c>
      <c r="W244" s="99">
        <f t="shared" si="49"/>
        <v>0</v>
      </c>
      <c r="X244" s="99">
        <f t="shared" si="50"/>
        <v>0</v>
      </c>
      <c r="Y244" s="99"/>
      <c r="Z244" s="99">
        <f t="shared" si="56"/>
        <v>0</v>
      </c>
      <c r="AA244" s="99"/>
      <c r="AB244" s="99">
        <f t="shared" si="51"/>
        <v>0</v>
      </c>
      <c r="AC244" s="101" t="str">
        <f t="shared" si="52"/>
        <v/>
      </c>
      <c r="AD244" s="101" t="str">
        <f t="shared" si="53"/>
        <v/>
      </c>
      <c r="AE244" s="101" t="str">
        <f t="shared" si="54"/>
        <v/>
      </c>
      <c r="AF244" s="72"/>
      <c r="AG244" s="98">
        <f>IFERROR(IF($AV244="No",0,IF($AV244="yes",Summary!Q244,"")),"")</f>
        <v>0</v>
      </c>
      <c r="AH244" s="99">
        <f>IFERROR(IF($AV244="No",0,IF($AV244="yes",Summary!R244,"")),"")</f>
        <v>0</v>
      </c>
      <c r="AI244" s="99">
        <f>IFERROR(IF($AV244="No",0,IF($AV244="yes",Summary!S244,"")),"")</f>
        <v>0</v>
      </c>
      <c r="AJ244" s="602">
        <f>IFERROR(IF($AV244="No",0,IF($AV244="yes",Summary!T244,"")),"")</f>
        <v>0</v>
      </c>
      <c r="AK244" s="100">
        <f>IFERROR(IF($AV244="No",0,IF($AV244="yes",Summary!U244,"")),"")</f>
        <v>0</v>
      </c>
      <c r="AL244" s="99">
        <f>IFERROR(IF($AV244="No",0,IF($AV244="yes",Summary!V244,"")),"")</f>
        <v>0</v>
      </c>
      <c r="AM244" s="99">
        <f>IFERROR(IF($AV244="No",0,IF($AV244="yes",Summary!W244,"")),"")</f>
        <v>0</v>
      </c>
      <c r="AN244" s="99">
        <f>IFERROR(IF($AV244="No",0,IF($AV244="yes",Summary!X244,"")),"")</f>
        <v>0</v>
      </c>
      <c r="AO244" s="99">
        <f>IFERROR(IF($AV244="No",0,IF($AV244="yes",Summary!Y244+Z244,"")),"")</f>
        <v>0</v>
      </c>
      <c r="AP244" s="99">
        <f>IFERROR(IF($AV244="No",0,IF($AV244="yes",Summary!AB244,"")),"")</f>
        <v>0</v>
      </c>
      <c r="AQ244" s="101" t="str">
        <f t="shared" si="57"/>
        <v/>
      </c>
      <c r="AR244" s="101" t="str">
        <f t="shared" si="58"/>
        <v/>
      </c>
      <c r="AS244" s="101" t="str">
        <f t="shared" si="59"/>
        <v/>
      </c>
      <c r="AT244" s="96" t="s">
        <v>658</v>
      </c>
      <c r="AV244" t="str">
        <f>IF('Proposed Lighting'!CN241&gt;0,"No","Yes")</f>
        <v>Yes</v>
      </c>
    </row>
    <row r="245" spans="1:48" ht="34.5" customHeight="1" outlineLevel="1">
      <c r="A245" s="96" t="s">
        <v>659</v>
      </c>
      <c r="B245" s="96" t="str">
        <f>IF(ISNUMBER(SEARCH("case",E245)),"COM_MISC_REFR_ALL_UNKN1991",IF('Proposed Lighting'!AU242=3,"Commercial-All Com-ExtLight",IF('Proposed Lighting'!AH242&gt;8759,"IPC_8760","Commercial-All Com-IntLight")))</f>
        <v>IPC_8760</v>
      </c>
      <c r="C245" s="96" t="str">
        <f>IF(OR('Proposed Lighting'!DD242="Standard Incentive",'Proposed Lighting'!DD242="Non-Standard Incentive"),"Yes",IF(AND(IF(ISNUMBER(SEARCH("controls",'Proposed Lighting'!T242)),"True","False")="False",'Proposed Lighting'!DD242="Submit Control as Non-Standard"),"Yes","No"))</f>
        <v>No</v>
      </c>
      <c r="D245" s="1403">
        <f>'Proposed Lighting'!CV242-Q245</f>
        <v>0</v>
      </c>
      <c r="E245" s="143">
        <f>'Proposed Lighting'!T242</f>
        <v>0</v>
      </c>
      <c r="F245" s="143">
        <f>'Proposed Lighting'!F242</f>
        <v>0</v>
      </c>
      <c r="G245" s="96" t="s">
        <v>242</v>
      </c>
      <c r="H245" s="142" t="str">
        <f>'Proposed Lighting'!CP242</f>
        <v/>
      </c>
      <c r="I245" s="98">
        <v>1</v>
      </c>
      <c r="J245" s="142">
        <f>'Proposed Lighting'!AA242</f>
        <v>0</v>
      </c>
      <c r="K245" s="142" t="str">
        <f>IF(ISNUMBER(SEARCH("-C",'Proposed Lighting'!M242)),'Proposed Lighting'!AH242*0.9,'Proposed Lighting'!AH242)</f>
        <v/>
      </c>
      <c r="L245" s="142">
        <f>IFERROR(IF(OR('Proposed Lighting'!BC242=22,'Proposed Lighting'!BC242=44),1-25%,IF(OR('Proposed Lighting'!BC242=23,'Proposed Lighting'!BC242=46),1-30%,IF(OR('Proposed Lighting'!BC242=29,'Proposed Lighting'!BC242=39,'Proposed Lighting'!BC242=49),1-35%,IF(OR('Proposed Lighting'!BC242=24,'Proposed Lighting'!BC242=48),1-50%,IF(AND(ISNUMBER(SEARCH("-C",'Proposed Lighting'!M242)),'Proposed Lighting'!AU242=2),90%,100%)))))*'Proposed Lighting'!AH242,0)</f>
        <v>0</v>
      </c>
      <c r="M245" s="87">
        <f t="shared" si="45"/>
        <v>0</v>
      </c>
      <c r="N245" s="87">
        <f>IFERROR(IF('Proposed Lighting'!AU242=1,0,'Proposed Lighting'!AO242),0)</f>
        <v>0</v>
      </c>
      <c r="O245" s="88">
        <f>IF('Proposed Lighting'!AU242=1,0,'Proposed Lighting'!AP242)</f>
        <v>0</v>
      </c>
      <c r="P245" s="87">
        <f t="shared" si="46"/>
        <v>0</v>
      </c>
      <c r="Q245" s="98">
        <f t="shared" si="55"/>
        <v>0</v>
      </c>
      <c r="R245" s="99">
        <f>IFERROR(IF('Proposed Lighting'!T242="Lighting controls only",0,ROUND(IF('Proposed Lighting'!AQ242&lt;'Proposed Lighting'!AR242,0,IF('Proposed Lighting'!AH242=0,0,IF('Proposed Lighting'!BV242&gt;0,'Proposed Lighting'!BV242,IF('Proposed Lighting'!CL242=0,MIN('Proposed Lighting'!CN242:CO242),IF('Proposed Lighting'!CX242&gt;0,'Proposed Lighting'!CX242*'Proposed Lighting'!AA242,0))))),2)),0)</f>
        <v>0</v>
      </c>
      <c r="S245" s="99">
        <f>IF('Proposed Lighting'!AJ242&gt;0,'Proposed Lighting'!AJ242*J245,'Proposed Lighting'!$AU$328*J245)</f>
        <v>0</v>
      </c>
      <c r="T245" s="602">
        <f t="shared" si="47"/>
        <v>0</v>
      </c>
      <c r="U245" s="100"/>
      <c r="V245" s="99">
        <f t="shared" si="48"/>
        <v>0</v>
      </c>
      <c r="W245" s="99">
        <f t="shared" si="49"/>
        <v>0</v>
      </c>
      <c r="X245" s="99">
        <f t="shared" si="50"/>
        <v>0</v>
      </c>
      <c r="Y245" s="99"/>
      <c r="Z245" s="99">
        <f t="shared" si="56"/>
        <v>0</v>
      </c>
      <c r="AA245" s="99"/>
      <c r="AB245" s="99">
        <f t="shared" si="51"/>
        <v>0</v>
      </c>
      <c r="AC245" s="101" t="str">
        <f t="shared" si="52"/>
        <v/>
      </c>
      <c r="AD245" s="101" t="str">
        <f t="shared" si="53"/>
        <v/>
      </c>
      <c r="AE245" s="101" t="str">
        <f t="shared" si="54"/>
        <v/>
      </c>
      <c r="AF245" s="72"/>
      <c r="AG245" s="98">
        <f>IFERROR(IF($AV245="No",0,IF($AV245="yes",Summary!Q245,"")),"")</f>
        <v>0</v>
      </c>
      <c r="AH245" s="99">
        <f>IFERROR(IF($AV245="No",0,IF($AV245="yes",Summary!R245,"")),"")</f>
        <v>0</v>
      </c>
      <c r="AI245" s="99">
        <f>IFERROR(IF($AV245="No",0,IF($AV245="yes",Summary!S245,"")),"")</f>
        <v>0</v>
      </c>
      <c r="AJ245" s="602">
        <f>IFERROR(IF($AV245="No",0,IF($AV245="yes",Summary!T245,"")),"")</f>
        <v>0</v>
      </c>
      <c r="AK245" s="100">
        <f>IFERROR(IF($AV245="No",0,IF($AV245="yes",Summary!U245,"")),"")</f>
        <v>0</v>
      </c>
      <c r="AL245" s="99">
        <f>IFERROR(IF($AV245="No",0,IF($AV245="yes",Summary!V245,"")),"")</f>
        <v>0</v>
      </c>
      <c r="AM245" s="99">
        <f>IFERROR(IF($AV245="No",0,IF($AV245="yes",Summary!W245,"")),"")</f>
        <v>0</v>
      </c>
      <c r="AN245" s="99">
        <f>IFERROR(IF($AV245="No",0,IF($AV245="yes",Summary!X245,"")),"")</f>
        <v>0</v>
      </c>
      <c r="AO245" s="99">
        <f>IFERROR(IF($AV245="No",0,IF($AV245="yes",Summary!Y245+Z245,"")),"")</f>
        <v>0</v>
      </c>
      <c r="AP245" s="99">
        <f>IFERROR(IF($AV245="No",0,IF($AV245="yes",Summary!AB245,"")),"")</f>
        <v>0</v>
      </c>
      <c r="AQ245" s="101" t="str">
        <f t="shared" si="57"/>
        <v/>
      </c>
      <c r="AR245" s="101" t="str">
        <f t="shared" si="58"/>
        <v/>
      </c>
      <c r="AS245" s="101" t="str">
        <f t="shared" si="59"/>
        <v/>
      </c>
      <c r="AT245" s="96" t="s">
        <v>659</v>
      </c>
      <c r="AV245" t="str">
        <f>IF('Proposed Lighting'!CN242&gt;0,"No","Yes")</f>
        <v>Yes</v>
      </c>
    </row>
    <row r="246" spans="1:48" ht="34.5" customHeight="1" outlineLevel="1">
      <c r="A246" s="96" t="s">
        <v>660</v>
      </c>
      <c r="B246" s="96" t="str">
        <f>IF(ISNUMBER(SEARCH("case",E246)),"COM_MISC_REFR_ALL_UNKN1991",IF('Proposed Lighting'!AU243=3,"Commercial-All Com-ExtLight",IF('Proposed Lighting'!AH243&gt;8759,"IPC_8760","Commercial-All Com-IntLight")))</f>
        <v>IPC_8760</v>
      </c>
      <c r="C246" s="96" t="str">
        <f>IF(OR('Proposed Lighting'!DD243="Standard Incentive",'Proposed Lighting'!DD243="Non-Standard Incentive"),"Yes",IF(AND(IF(ISNUMBER(SEARCH("controls",'Proposed Lighting'!T243)),"True","False")="False",'Proposed Lighting'!DD243="Submit Control as Non-Standard"),"Yes","No"))</f>
        <v>No</v>
      </c>
      <c r="D246" s="1403">
        <f>'Proposed Lighting'!CV243-Q246</f>
        <v>0</v>
      </c>
      <c r="E246" s="143">
        <f>'Proposed Lighting'!T243</f>
        <v>0</v>
      </c>
      <c r="F246" s="143">
        <f>'Proposed Lighting'!F243</f>
        <v>0</v>
      </c>
      <c r="G246" s="96" t="s">
        <v>242</v>
      </c>
      <c r="H246" s="142" t="str">
        <f>'Proposed Lighting'!CP243</f>
        <v/>
      </c>
      <c r="I246" s="98">
        <v>1</v>
      </c>
      <c r="J246" s="142">
        <f>'Proposed Lighting'!AA243</f>
        <v>0</v>
      </c>
      <c r="K246" s="142" t="str">
        <f>IF(ISNUMBER(SEARCH("-C",'Proposed Lighting'!M243)),'Proposed Lighting'!AH243*0.9,'Proposed Lighting'!AH243)</f>
        <v/>
      </c>
      <c r="L246" s="142">
        <f>IFERROR(IF(OR('Proposed Lighting'!BC243=22,'Proposed Lighting'!BC243=44),1-25%,IF(OR('Proposed Lighting'!BC243=23,'Proposed Lighting'!BC243=46),1-30%,IF(OR('Proposed Lighting'!BC243=29,'Proposed Lighting'!BC243=39,'Proposed Lighting'!BC243=49),1-35%,IF(OR('Proposed Lighting'!BC243=24,'Proposed Lighting'!BC243=48),1-50%,IF(AND(ISNUMBER(SEARCH("-C",'Proposed Lighting'!M243)),'Proposed Lighting'!AU243=2),90%,100%)))))*'Proposed Lighting'!AH243,0)</f>
        <v>0</v>
      </c>
      <c r="M246" s="87">
        <f t="shared" si="45"/>
        <v>0</v>
      </c>
      <c r="N246" s="87">
        <f>IFERROR(IF('Proposed Lighting'!AU243=1,0,'Proposed Lighting'!AO243),0)</f>
        <v>0</v>
      </c>
      <c r="O246" s="88">
        <f>IF('Proposed Lighting'!AU243=1,0,'Proposed Lighting'!AP243)</f>
        <v>0</v>
      </c>
      <c r="P246" s="87">
        <f t="shared" si="46"/>
        <v>0</v>
      </c>
      <c r="Q246" s="98">
        <f t="shared" si="55"/>
        <v>0</v>
      </c>
      <c r="R246" s="99">
        <f>IFERROR(IF('Proposed Lighting'!T243="Lighting controls only",0,ROUND(IF('Proposed Lighting'!AQ243&lt;'Proposed Lighting'!AR243,0,IF('Proposed Lighting'!AH243=0,0,IF('Proposed Lighting'!BV243&gt;0,'Proposed Lighting'!BV243,IF('Proposed Lighting'!CL243=0,MIN('Proposed Lighting'!CN243:CO243),IF('Proposed Lighting'!CX243&gt;0,'Proposed Lighting'!CX243*'Proposed Lighting'!AA243,0))))),2)),0)</f>
        <v>0</v>
      </c>
      <c r="S246" s="99">
        <f>IF('Proposed Lighting'!AJ243&gt;0,'Proposed Lighting'!AJ243*J246,'Proposed Lighting'!$AU$328*J246)</f>
        <v>0</v>
      </c>
      <c r="T246" s="602">
        <f t="shared" si="47"/>
        <v>0</v>
      </c>
      <c r="U246" s="100"/>
      <c r="V246" s="99">
        <f t="shared" si="48"/>
        <v>0</v>
      </c>
      <c r="W246" s="99">
        <f t="shared" si="49"/>
        <v>0</v>
      </c>
      <c r="X246" s="99">
        <f t="shared" si="50"/>
        <v>0</v>
      </c>
      <c r="Y246" s="99"/>
      <c r="Z246" s="99">
        <f t="shared" si="56"/>
        <v>0</v>
      </c>
      <c r="AA246" s="99"/>
      <c r="AB246" s="99">
        <f t="shared" si="51"/>
        <v>0</v>
      </c>
      <c r="AC246" s="101" t="str">
        <f t="shared" si="52"/>
        <v/>
      </c>
      <c r="AD246" s="101" t="str">
        <f t="shared" si="53"/>
        <v/>
      </c>
      <c r="AE246" s="101" t="str">
        <f t="shared" si="54"/>
        <v/>
      </c>
      <c r="AF246" s="72"/>
      <c r="AG246" s="98">
        <f>IFERROR(IF($AV246="No",0,IF($AV246="yes",Summary!Q246,"")),"")</f>
        <v>0</v>
      </c>
      <c r="AH246" s="99">
        <f>IFERROR(IF($AV246="No",0,IF($AV246="yes",Summary!R246,"")),"")</f>
        <v>0</v>
      </c>
      <c r="AI246" s="99">
        <f>IFERROR(IF($AV246="No",0,IF($AV246="yes",Summary!S246,"")),"")</f>
        <v>0</v>
      </c>
      <c r="AJ246" s="602">
        <f>IFERROR(IF($AV246="No",0,IF($AV246="yes",Summary!T246,"")),"")</f>
        <v>0</v>
      </c>
      <c r="AK246" s="100">
        <f>IFERROR(IF($AV246="No",0,IF($AV246="yes",Summary!U246,"")),"")</f>
        <v>0</v>
      </c>
      <c r="AL246" s="99">
        <f>IFERROR(IF($AV246="No",0,IF($AV246="yes",Summary!V246,"")),"")</f>
        <v>0</v>
      </c>
      <c r="AM246" s="99">
        <f>IFERROR(IF($AV246="No",0,IF($AV246="yes",Summary!W246,"")),"")</f>
        <v>0</v>
      </c>
      <c r="AN246" s="99">
        <f>IFERROR(IF($AV246="No",0,IF($AV246="yes",Summary!X246,"")),"")</f>
        <v>0</v>
      </c>
      <c r="AO246" s="99">
        <f>IFERROR(IF($AV246="No",0,IF($AV246="yes",Summary!Y246+Z246,"")),"")</f>
        <v>0</v>
      </c>
      <c r="AP246" s="99">
        <f>IFERROR(IF($AV246="No",0,IF($AV246="yes",Summary!AB246,"")),"")</f>
        <v>0</v>
      </c>
      <c r="AQ246" s="101" t="str">
        <f t="shared" si="57"/>
        <v/>
      </c>
      <c r="AR246" s="101" t="str">
        <f t="shared" si="58"/>
        <v/>
      </c>
      <c r="AS246" s="101" t="str">
        <f t="shared" si="59"/>
        <v/>
      </c>
      <c r="AT246" s="96" t="s">
        <v>660</v>
      </c>
      <c r="AV246" t="str">
        <f>IF('Proposed Lighting'!CN243&gt;0,"No","Yes")</f>
        <v>Yes</v>
      </c>
    </row>
    <row r="247" spans="1:48" ht="34.5" customHeight="1" outlineLevel="1">
      <c r="A247" s="96" t="s">
        <v>661</v>
      </c>
      <c r="B247" s="96" t="str">
        <f>IF(ISNUMBER(SEARCH("case",E247)),"COM_MISC_REFR_ALL_UNKN1991",IF('Proposed Lighting'!AU244=3,"Commercial-All Com-ExtLight",IF('Proposed Lighting'!AH244&gt;8759,"IPC_8760","Commercial-All Com-IntLight")))</f>
        <v>IPC_8760</v>
      </c>
      <c r="C247" s="96" t="str">
        <f>IF(OR('Proposed Lighting'!DD244="Standard Incentive",'Proposed Lighting'!DD244="Non-Standard Incentive"),"Yes",IF(AND(IF(ISNUMBER(SEARCH("controls",'Proposed Lighting'!T244)),"True","False")="False",'Proposed Lighting'!DD244="Submit Control as Non-Standard"),"Yes","No"))</f>
        <v>No</v>
      </c>
      <c r="D247" s="1403">
        <f>'Proposed Lighting'!CV244-Q247</f>
        <v>0</v>
      </c>
      <c r="E247" s="143">
        <f>'Proposed Lighting'!T244</f>
        <v>0</v>
      </c>
      <c r="F247" s="143">
        <f>'Proposed Lighting'!F244</f>
        <v>0</v>
      </c>
      <c r="G247" s="96" t="s">
        <v>242</v>
      </c>
      <c r="H247" s="142" t="str">
        <f>'Proposed Lighting'!CP244</f>
        <v/>
      </c>
      <c r="I247" s="98">
        <v>1</v>
      </c>
      <c r="J247" s="142">
        <f>'Proposed Lighting'!AA244</f>
        <v>0</v>
      </c>
      <c r="K247" s="142" t="str">
        <f>IF(ISNUMBER(SEARCH("-C",'Proposed Lighting'!M244)),'Proposed Lighting'!AH244*0.9,'Proposed Lighting'!AH244)</f>
        <v/>
      </c>
      <c r="L247" s="142">
        <f>IFERROR(IF(OR('Proposed Lighting'!BC244=22,'Proposed Lighting'!BC244=44),1-25%,IF(OR('Proposed Lighting'!BC244=23,'Proposed Lighting'!BC244=46),1-30%,IF(OR('Proposed Lighting'!BC244=29,'Proposed Lighting'!BC244=39,'Proposed Lighting'!BC244=49),1-35%,IF(OR('Proposed Lighting'!BC244=24,'Proposed Lighting'!BC244=48),1-50%,IF(AND(ISNUMBER(SEARCH("-C",'Proposed Lighting'!M244)),'Proposed Lighting'!AU244=2),90%,100%)))))*'Proposed Lighting'!AH244,0)</f>
        <v>0</v>
      </c>
      <c r="M247" s="87">
        <f t="shared" si="45"/>
        <v>0</v>
      </c>
      <c r="N247" s="87">
        <f>IFERROR(IF('Proposed Lighting'!AU244=1,0,'Proposed Lighting'!AO244),0)</f>
        <v>0</v>
      </c>
      <c r="O247" s="88">
        <f>IF('Proposed Lighting'!AU244=1,0,'Proposed Lighting'!AP244)</f>
        <v>0</v>
      </c>
      <c r="P247" s="87">
        <f t="shared" si="46"/>
        <v>0</v>
      </c>
      <c r="Q247" s="98">
        <f t="shared" si="55"/>
        <v>0</v>
      </c>
      <c r="R247" s="99">
        <f>IFERROR(IF('Proposed Lighting'!T244="Lighting controls only",0,ROUND(IF('Proposed Lighting'!AQ244&lt;'Proposed Lighting'!AR244,0,IF('Proposed Lighting'!AH244=0,0,IF('Proposed Lighting'!BV244&gt;0,'Proposed Lighting'!BV244,IF('Proposed Lighting'!CL244=0,MIN('Proposed Lighting'!CN244:CO244),IF('Proposed Lighting'!CX244&gt;0,'Proposed Lighting'!CX244*'Proposed Lighting'!AA244,0))))),2)),0)</f>
        <v>0</v>
      </c>
      <c r="S247" s="99">
        <f>IF('Proposed Lighting'!AJ244&gt;0,'Proposed Lighting'!AJ244*J247,'Proposed Lighting'!$AU$328*J247)</f>
        <v>0</v>
      </c>
      <c r="T247" s="602">
        <f t="shared" si="47"/>
        <v>0</v>
      </c>
      <c r="U247" s="100"/>
      <c r="V247" s="99">
        <f t="shared" si="48"/>
        <v>0</v>
      </c>
      <c r="W247" s="99">
        <f t="shared" si="49"/>
        <v>0</v>
      </c>
      <c r="X247" s="99">
        <f t="shared" si="50"/>
        <v>0</v>
      </c>
      <c r="Y247" s="99"/>
      <c r="Z247" s="99">
        <f t="shared" si="56"/>
        <v>0</v>
      </c>
      <c r="AA247" s="99"/>
      <c r="AB247" s="99">
        <f t="shared" si="51"/>
        <v>0</v>
      </c>
      <c r="AC247" s="101" t="str">
        <f t="shared" si="52"/>
        <v/>
      </c>
      <c r="AD247" s="101" t="str">
        <f t="shared" si="53"/>
        <v/>
      </c>
      <c r="AE247" s="101" t="str">
        <f t="shared" si="54"/>
        <v/>
      </c>
      <c r="AF247" s="72"/>
      <c r="AG247" s="98">
        <f>IFERROR(IF($AV247="No",0,IF($AV247="yes",Summary!Q247,"")),"")</f>
        <v>0</v>
      </c>
      <c r="AH247" s="99">
        <f>IFERROR(IF($AV247="No",0,IF($AV247="yes",Summary!R247,"")),"")</f>
        <v>0</v>
      </c>
      <c r="AI247" s="99">
        <f>IFERROR(IF($AV247="No",0,IF($AV247="yes",Summary!S247,"")),"")</f>
        <v>0</v>
      </c>
      <c r="AJ247" s="602">
        <f>IFERROR(IF($AV247="No",0,IF($AV247="yes",Summary!T247,"")),"")</f>
        <v>0</v>
      </c>
      <c r="AK247" s="100">
        <f>IFERROR(IF($AV247="No",0,IF($AV247="yes",Summary!U247,"")),"")</f>
        <v>0</v>
      </c>
      <c r="AL247" s="99">
        <f>IFERROR(IF($AV247="No",0,IF($AV247="yes",Summary!V247,"")),"")</f>
        <v>0</v>
      </c>
      <c r="AM247" s="99">
        <f>IFERROR(IF($AV247="No",0,IF($AV247="yes",Summary!W247,"")),"")</f>
        <v>0</v>
      </c>
      <c r="AN247" s="99">
        <f>IFERROR(IF($AV247="No",0,IF($AV247="yes",Summary!X247,"")),"")</f>
        <v>0</v>
      </c>
      <c r="AO247" s="99">
        <f>IFERROR(IF($AV247="No",0,IF($AV247="yes",Summary!Y247+Z247,"")),"")</f>
        <v>0</v>
      </c>
      <c r="AP247" s="99">
        <f>IFERROR(IF($AV247="No",0,IF($AV247="yes",Summary!AB247,"")),"")</f>
        <v>0</v>
      </c>
      <c r="AQ247" s="101" t="str">
        <f t="shared" si="57"/>
        <v/>
      </c>
      <c r="AR247" s="101" t="str">
        <f t="shared" si="58"/>
        <v/>
      </c>
      <c r="AS247" s="101" t="str">
        <f t="shared" si="59"/>
        <v/>
      </c>
      <c r="AT247" s="96" t="s">
        <v>661</v>
      </c>
      <c r="AV247" t="str">
        <f>IF('Proposed Lighting'!CN244&gt;0,"No","Yes")</f>
        <v>Yes</v>
      </c>
    </row>
    <row r="248" spans="1:48" ht="34.5" customHeight="1" outlineLevel="1">
      <c r="A248" s="96" t="s">
        <v>662</v>
      </c>
      <c r="B248" s="96" t="str">
        <f>IF(ISNUMBER(SEARCH("case",E248)),"COM_MISC_REFR_ALL_UNKN1991",IF('Proposed Lighting'!AU245=3,"Commercial-All Com-ExtLight",IF('Proposed Lighting'!AH245&gt;8759,"IPC_8760","Commercial-All Com-IntLight")))</f>
        <v>IPC_8760</v>
      </c>
      <c r="C248" s="96" t="str">
        <f>IF(OR('Proposed Lighting'!DD245="Standard Incentive",'Proposed Lighting'!DD245="Non-Standard Incentive"),"Yes",IF(AND(IF(ISNUMBER(SEARCH("controls",'Proposed Lighting'!T245)),"True","False")="False",'Proposed Lighting'!DD245="Submit Control as Non-Standard"),"Yes","No"))</f>
        <v>No</v>
      </c>
      <c r="D248" s="1403">
        <f>'Proposed Lighting'!CV245-Q248</f>
        <v>0</v>
      </c>
      <c r="E248" s="143">
        <f>'Proposed Lighting'!T245</f>
        <v>0</v>
      </c>
      <c r="F248" s="143">
        <f>'Proposed Lighting'!F245</f>
        <v>0</v>
      </c>
      <c r="G248" s="96" t="s">
        <v>242</v>
      </c>
      <c r="H248" s="142" t="str">
        <f>'Proposed Lighting'!CP245</f>
        <v/>
      </c>
      <c r="I248" s="98">
        <v>1</v>
      </c>
      <c r="J248" s="142">
        <f>'Proposed Lighting'!AA245</f>
        <v>0</v>
      </c>
      <c r="K248" s="142" t="str">
        <f>IF(ISNUMBER(SEARCH("-C",'Proposed Lighting'!M245)),'Proposed Lighting'!AH245*0.9,'Proposed Lighting'!AH245)</f>
        <v/>
      </c>
      <c r="L248" s="142">
        <f>IFERROR(IF(OR('Proposed Lighting'!BC245=22,'Proposed Lighting'!BC245=44),1-25%,IF(OR('Proposed Lighting'!BC245=23,'Proposed Lighting'!BC245=46),1-30%,IF(OR('Proposed Lighting'!BC245=29,'Proposed Lighting'!BC245=39,'Proposed Lighting'!BC245=49),1-35%,IF(OR('Proposed Lighting'!BC245=24,'Proposed Lighting'!BC245=48),1-50%,IF(AND(ISNUMBER(SEARCH("-C",'Proposed Lighting'!M245)),'Proposed Lighting'!AU245=2),90%,100%)))))*'Proposed Lighting'!AH245,0)</f>
        <v>0</v>
      </c>
      <c r="M248" s="87">
        <f t="shared" si="45"/>
        <v>0</v>
      </c>
      <c r="N248" s="87">
        <f>IFERROR(IF('Proposed Lighting'!AU245=1,0,'Proposed Lighting'!AO245),0)</f>
        <v>0</v>
      </c>
      <c r="O248" s="88">
        <f>IF('Proposed Lighting'!AU245=1,0,'Proposed Lighting'!AP245)</f>
        <v>0</v>
      </c>
      <c r="P248" s="87">
        <f t="shared" si="46"/>
        <v>0</v>
      </c>
      <c r="Q248" s="98">
        <f t="shared" si="55"/>
        <v>0</v>
      </c>
      <c r="R248" s="99">
        <f>IFERROR(IF('Proposed Lighting'!T245="Lighting controls only",0,ROUND(IF('Proposed Lighting'!AQ245&lt;'Proposed Lighting'!AR245,0,IF('Proposed Lighting'!AH245=0,0,IF('Proposed Lighting'!BV245&gt;0,'Proposed Lighting'!BV245,IF('Proposed Lighting'!CL245=0,MIN('Proposed Lighting'!CN245:CO245),IF('Proposed Lighting'!CX245&gt;0,'Proposed Lighting'!CX245*'Proposed Lighting'!AA245,0))))),2)),0)</f>
        <v>0</v>
      </c>
      <c r="S248" s="99">
        <f>IF('Proposed Lighting'!AJ245&gt;0,'Proposed Lighting'!AJ245*J248,'Proposed Lighting'!$AU$328*J248)</f>
        <v>0</v>
      </c>
      <c r="T248" s="602">
        <f t="shared" si="47"/>
        <v>0</v>
      </c>
      <c r="U248" s="100"/>
      <c r="V248" s="99">
        <f t="shared" si="48"/>
        <v>0</v>
      </c>
      <c r="W248" s="99">
        <f t="shared" si="49"/>
        <v>0</v>
      </c>
      <c r="X248" s="99">
        <f t="shared" si="50"/>
        <v>0</v>
      </c>
      <c r="Y248" s="99"/>
      <c r="Z248" s="99">
        <f t="shared" si="56"/>
        <v>0</v>
      </c>
      <c r="AA248" s="99"/>
      <c r="AB248" s="99">
        <f t="shared" si="51"/>
        <v>0</v>
      </c>
      <c r="AC248" s="101" t="str">
        <f t="shared" si="52"/>
        <v/>
      </c>
      <c r="AD248" s="101" t="str">
        <f t="shared" si="53"/>
        <v/>
      </c>
      <c r="AE248" s="101" t="str">
        <f t="shared" si="54"/>
        <v/>
      </c>
      <c r="AF248" s="72"/>
      <c r="AG248" s="98">
        <f>IFERROR(IF($AV248="No",0,IF($AV248="yes",Summary!Q248,"")),"")</f>
        <v>0</v>
      </c>
      <c r="AH248" s="99">
        <f>IFERROR(IF($AV248="No",0,IF($AV248="yes",Summary!R248,"")),"")</f>
        <v>0</v>
      </c>
      <c r="AI248" s="99">
        <f>IFERROR(IF($AV248="No",0,IF($AV248="yes",Summary!S248,"")),"")</f>
        <v>0</v>
      </c>
      <c r="AJ248" s="602">
        <f>IFERROR(IF($AV248="No",0,IF($AV248="yes",Summary!T248,"")),"")</f>
        <v>0</v>
      </c>
      <c r="AK248" s="100">
        <f>IFERROR(IF($AV248="No",0,IF($AV248="yes",Summary!U248,"")),"")</f>
        <v>0</v>
      </c>
      <c r="AL248" s="99">
        <f>IFERROR(IF($AV248="No",0,IF($AV248="yes",Summary!V248,"")),"")</f>
        <v>0</v>
      </c>
      <c r="AM248" s="99">
        <f>IFERROR(IF($AV248="No",0,IF($AV248="yes",Summary!W248,"")),"")</f>
        <v>0</v>
      </c>
      <c r="AN248" s="99">
        <f>IFERROR(IF($AV248="No",0,IF($AV248="yes",Summary!X248,"")),"")</f>
        <v>0</v>
      </c>
      <c r="AO248" s="99">
        <f>IFERROR(IF($AV248="No",0,IF($AV248="yes",Summary!Y248+Z248,"")),"")</f>
        <v>0</v>
      </c>
      <c r="AP248" s="99">
        <f>IFERROR(IF($AV248="No",0,IF($AV248="yes",Summary!AB248,"")),"")</f>
        <v>0</v>
      </c>
      <c r="AQ248" s="101" t="str">
        <f t="shared" si="57"/>
        <v/>
      </c>
      <c r="AR248" s="101" t="str">
        <f t="shared" si="58"/>
        <v/>
      </c>
      <c r="AS248" s="101" t="str">
        <f t="shared" si="59"/>
        <v/>
      </c>
      <c r="AT248" s="96" t="s">
        <v>662</v>
      </c>
      <c r="AV248" t="str">
        <f>IF('Proposed Lighting'!CN245&gt;0,"No","Yes")</f>
        <v>Yes</v>
      </c>
    </row>
    <row r="249" spans="1:48" ht="34.5" customHeight="1" outlineLevel="1">
      <c r="A249" s="96" t="s">
        <v>663</v>
      </c>
      <c r="B249" s="96" t="str">
        <f>IF(ISNUMBER(SEARCH("case",E249)),"COM_MISC_REFR_ALL_UNKN1991",IF('Proposed Lighting'!AU246=3,"Commercial-All Com-ExtLight",IF('Proposed Lighting'!AH246&gt;8759,"IPC_8760","Commercial-All Com-IntLight")))</f>
        <v>IPC_8760</v>
      </c>
      <c r="C249" s="96" t="str">
        <f>IF(OR('Proposed Lighting'!DD246="Standard Incentive",'Proposed Lighting'!DD246="Non-Standard Incentive"),"Yes",IF(AND(IF(ISNUMBER(SEARCH("controls",'Proposed Lighting'!T246)),"True","False")="False",'Proposed Lighting'!DD246="Submit Control as Non-Standard"),"Yes","No"))</f>
        <v>No</v>
      </c>
      <c r="D249" s="1403">
        <f>'Proposed Lighting'!CV246-Q249</f>
        <v>0</v>
      </c>
      <c r="E249" s="143">
        <f>'Proposed Lighting'!T246</f>
        <v>0</v>
      </c>
      <c r="F249" s="143">
        <f>'Proposed Lighting'!F246</f>
        <v>0</v>
      </c>
      <c r="G249" s="96" t="s">
        <v>242</v>
      </c>
      <c r="H249" s="142" t="str">
        <f>'Proposed Lighting'!CP246</f>
        <v/>
      </c>
      <c r="I249" s="98">
        <v>1</v>
      </c>
      <c r="J249" s="142">
        <f>'Proposed Lighting'!AA246</f>
        <v>0</v>
      </c>
      <c r="K249" s="142" t="str">
        <f>IF(ISNUMBER(SEARCH("-C",'Proposed Lighting'!M246)),'Proposed Lighting'!AH246*0.9,'Proposed Lighting'!AH246)</f>
        <v/>
      </c>
      <c r="L249" s="142">
        <f>IFERROR(IF(OR('Proposed Lighting'!BC246=22,'Proposed Lighting'!BC246=44),1-25%,IF(OR('Proposed Lighting'!BC246=23,'Proposed Lighting'!BC246=46),1-30%,IF(OR('Proposed Lighting'!BC246=29,'Proposed Lighting'!BC246=39,'Proposed Lighting'!BC246=49),1-35%,IF(OR('Proposed Lighting'!BC246=24,'Proposed Lighting'!BC246=48),1-50%,IF(AND(ISNUMBER(SEARCH("-C",'Proposed Lighting'!M246)),'Proposed Lighting'!AU246=2),90%,100%)))))*'Proposed Lighting'!AH246,0)</f>
        <v>0</v>
      </c>
      <c r="M249" s="87">
        <f t="shared" si="45"/>
        <v>0</v>
      </c>
      <c r="N249" s="87">
        <f>IFERROR(IF('Proposed Lighting'!AU246=1,0,'Proposed Lighting'!AO246),0)</f>
        <v>0</v>
      </c>
      <c r="O249" s="88">
        <f>IF('Proposed Lighting'!AU246=1,0,'Proposed Lighting'!AP246)</f>
        <v>0</v>
      </c>
      <c r="P249" s="87">
        <f t="shared" si="46"/>
        <v>0</v>
      </c>
      <c r="Q249" s="98">
        <f t="shared" si="55"/>
        <v>0</v>
      </c>
      <c r="R249" s="99">
        <f>IFERROR(IF('Proposed Lighting'!T246="Lighting controls only",0,ROUND(IF('Proposed Lighting'!AQ246&lt;'Proposed Lighting'!AR246,0,IF('Proposed Lighting'!AH246=0,0,IF('Proposed Lighting'!BV246&gt;0,'Proposed Lighting'!BV246,IF('Proposed Lighting'!CL246=0,MIN('Proposed Lighting'!CN246:CO246),IF('Proposed Lighting'!CX246&gt;0,'Proposed Lighting'!CX246*'Proposed Lighting'!AA246,0))))),2)),0)</f>
        <v>0</v>
      </c>
      <c r="S249" s="99">
        <f>IF('Proposed Lighting'!AJ246&gt;0,'Proposed Lighting'!AJ246*J249,'Proposed Lighting'!$AU$328*J249)</f>
        <v>0</v>
      </c>
      <c r="T249" s="602">
        <f t="shared" si="47"/>
        <v>0</v>
      </c>
      <c r="U249" s="100"/>
      <c r="V249" s="99">
        <f t="shared" si="48"/>
        <v>0</v>
      </c>
      <c r="W249" s="99">
        <f t="shared" si="49"/>
        <v>0</v>
      </c>
      <c r="X249" s="99">
        <f t="shared" si="50"/>
        <v>0</v>
      </c>
      <c r="Y249" s="99"/>
      <c r="Z249" s="99">
        <f t="shared" si="56"/>
        <v>0</v>
      </c>
      <c r="AA249" s="99"/>
      <c r="AB249" s="99">
        <f t="shared" si="51"/>
        <v>0</v>
      </c>
      <c r="AC249" s="101" t="str">
        <f t="shared" si="52"/>
        <v/>
      </c>
      <c r="AD249" s="101" t="str">
        <f t="shared" si="53"/>
        <v/>
      </c>
      <c r="AE249" s="101" t="str">
        <f t="shared" si="54"/>
        <v/>
      </c>
      <c r="AF249" s="72"/>
      <c r="AG249" s="98">
        <f>IFERROR(IF($AV249="No",0,IF($AV249="yes",Summary!Q249,"")),"")</f>
        <v>0</v>
      </c>
      <c r="AH249" s="99">
        <f>IFERROR(IF($AV249="No",0,IF($AV249="yes",Summary!R249,"")),"")</f>
        <v>0</v>
      </c>
      <c r="AI249" s="99">
        <f>IFERROR(IF($AV249="No",0,IF($AV249="yes",Summary!S249,"")),"")</f>
        <v>0</v>
      </c>
      <c r="AJ249" s="602">
        <f>IFERROR(IF($AV249="No",0,IF($AV249="yes",Summary!T249,"")),"")</f>
        <v>0</v>
      </c>
      <c r="AK249" s="100">
        <f>IFERROR(IF($AV249="No",0,IF($AV249="yes",Summary!U249,"")),"")</f>
        <v>0</v>
      </c>
      <c r="AL249" s="99">
        <f>IFERROR(IF($AV249="No",0,IF($AV249="yes",Summary!V249,"")),"")</f>
        <v>0</v>
      </c>
      <c r="AM249" s="99">
        <f>IFERROR(IF($AV249="No",0,IF($AV249="yes",Summary!W249,"")),"")</f>
        <v>0</v>
      </c>
      <c r="AN249" s="99">
        <f>IFERROR(IF($AV249="No",0,IF($AV249="yes",Summary!X249,"")),"")</f>
        <v>0</v>
      </c>
      <c r="AO249" s="99">
        <f>IFERROR(IF($AV249="No",0,IF($AV249="yes",Summary!Y249+Z249,"")),"")</f>
        <v>0</v>
      </c>
      <c r="AP249" s="99">
        <f>IFERROR(IF($AV249="No",0,IF($AV249="yes",Summary!AB249,"")),"")</f>
        <v>0</v>
      </c>
      <c r="AQ249" s="101" t="str">
        <f t="shared" si="57"/>
        <v/>
      </c>
      <c r="AR249" s="101" t="str">
        <f t="shared" si="58"/>
        <v/>
      </c>
      <c r="AS249" s="101" t="str">
        <f t="shared" si="59"/>
        <v/>
      </c>
      <c r="AT249" s="96" t="s">
        <v>663</v>
      </c>
      <c r="AV249" t="str">
        <f>IF('Proposed Lighting'!CN246&gt;0,"No","Yes")</f>
        <v>Yes</v>
      </c>
    </row>
    <row r="250" spans="1:48" ht="34.5" customHeight="1" outlineLevel="1">
      <c r="A250" s="96" t="s">
        <v>664</v>
      </c>
      <c r="B250" s="96" t="str">
        <f>IF(ISNUMBER(SEARCH("case",E250)),"COM_MISC_REFR_ALL_UNKN1991",IF('Proposed Lighting'!AU247=3,"Commercial-All Com-ExtLight",IF('Proposed Lighting'!AH247&gt;8759,"IPC_8760","Commercial-All Com-IntLight")))</f>
        <v>IPC_8760</v>
      </c>
      <c r="C250" s="96" t="str">
        <f>IF(OR('Proposed Lighting'!DD247="Standard Incentive",'Proposed Lighting'!DD247="Non-Standard Incentive"),"Yes",IF(AND(IF(ISNUMBER(SEARCH("controls",'Proposed Lighting'!T247)),"True","False")="False",'Proposed Lighting'!DD247="Submit Control as Non-Standard"),"Yes","No"))</f>
        <v>No</v>
      </c>
      <c r="D250" s="1403">
        <f>'Proposed Lighting'!CV247-Q250</f>
        <v>0</v>
      </c>
      <c r="E250" s="143">
        <f>'Proposed Lighting'!T247</f>
        <v>0</v>
      </c>
      <c r="F250" s="143">
        <f>'Proposed Lighting'!F247</f>
        <v>0</v>
      </c>
      <c r="G250" s="96" t="s">
        <v>242</v>
      </c>
      <c r="H250" s="142" t="str">
        <f>'Proposed Lighting'!CP247</f>
        <v/>
      </c>
      <c r="I250" s="98">
        <v>1</v>
      </c>
      <c r="J250" s="142">
        <f>'Proposed Lighting'!AA247</f>
        <v>0</v>
      </c>
      <c r="K250" s="142" t="str">
        <f>IF(ISNUMBER(SEARCH("-C",'Proposed Lighting'!M247)),'Proposed Lighting'!AH247*0.9,'Proposed Lighting'!AH247)</f>
        <v/>
      </c>
      <c r="L250" s="142">
        <f>IFERROR(IF(OR('Proposed Lighting'!BC247=22,'Proposed Lighting'!BC247=44),1-25%,IF(OR('Proposed Lighting'!BC247=23,'Proposed Lighting'!BC247=46),1-30%,IF(OR('Proposed Lighting'!BC247=29,'Proposed Lighting'!BC247=39,'Proposed Lighting'!BC247=49),1-35%,IF(OR('Proposed Lighting'!BC247=24,'Proposed Lighting'!BC247=48),1-50%,IF(AND(ISNUMBER(SEARCH("-C",'Proposed Lighting'!M247)),'Proposed Lighting'!AU247=2),90%,100%)))))*'Proposed Lighting'!AH247,0)</f>
        <v>0</v>
      </c>
      <c r="M250" s="87">
        <f t="shared" si="45"/>
        <v>0</v>
      </c>
      <c r="N250" s="87">
        <f>IFERROR(IF('Proposed Lighting'!AU247=1,0,'Proposed Lighting'!AO247),0)</f>
        <v>0</v>
      </c>
      <c r="O250" s="88">
        <f>IF('Proposed Lighting'!AU247=1,0,'Proposed Lighting'!AP247)</f>
        <v>0</v>
      </c>
      <c r="P250" s="87">
        <f t="shared" si="46"/>
        <v>0</v>
      </c>
      <c r="Q250" s="98">
        <f t="shared" si="55"/>
        <v>0</v>
      </c>
      <c r="R250" s="99">
        <f>IFERROR(IF('Proposed Lighting'!T247="Lighting controls only",0,ROUND(IF('Proposed Lighting'!AQ247&lt;'Proposed Lighting'!AR247,0,IF('Proposed Lighting'!AH247=0,0,IF('Proposed Lighting'!BV247&gt;0,'Proposed Lighting'!BV247,IF('Proposed Lighting'!CL247=0,MIN('Proposed Lighting'!CN247:CO247),IF('Proposed Lighting'!CX247&gt;0,'Proposed Lighting'!CX247*'Proposed Lighting'!AA247,0))))),2)),0)</f>
        <v>0</v>
      </c>
      <c r="S250" s="99">
        <f>IF('Proposed Lighting'!AJ247&gt;0,'Proposed Lighting'!AJ247*J250,'Proposed Lighting'!$AU$328*J250)</f>
        <v>0</v>
      </c>
      <c r="T250" s="602">
        <f t="shared" si="47"/>
        <v>0</v>
      </c>
      <c r="U250" s="100"/>
      <c r="V250" s="99">
        <f t="shared" si="48"/>
        <v>0</v>
      </c>
      <c r="W250" s="99">
        <f t="shared" si="49"/>
        <v>0</v>
      </c>
      <c r="X250" s="99">
        <f t="shared" si="50"/>
        <v>0</v>
      </c>
      <c r="Y250" s="99"/>
      <c r="Z250" s="99">
        <f t="shared" si="56"/>
        <v>0</v>
      </c>
      <c r="AA250" s="99"/>
      <c r="AB250" s="99">
        <f t="shared" si="51"/>
        <v>0</v>
      </c>
      <c r="AC250" s="101" t="str">
        <f t="shared" si="52"/>
        <v/>
      </c>
      <c r="AD250" s="101" t="str">
        <f t="shared" si="53"/>
        <v/>
      </c>
      <c r="AE250" s="101" t="str">
        <f t="shared" si="54"/>
        <v/>
      </c>
      <c r="AF250" s="72"/>
      <c r="AG250" s="98">
        <f>IFERROR(IF($AV250="No",0,IF($AV250="yes",Summary!Q250,"")),"")</f>
        <v>0</v>
      </c>
      <c r="AH250" s="99">
        <f>IFERROR(IF($AV250="No",0,IF($AV250="yes",Summary!R250,"")),"")</f>
        <v>0</v>
      </c>
      <c r="AI250" s="99">
        <f>IFERROR(IF($AV250="No",0,IF($AV250="yes",Summary!S250,"")),"")</f>
        <v>0</v>
      </c>
      <c r="AJ250" s="602">
        <f>IFERROR(IF($AV250="No",0,IF($AV250="yes",Summary!T250,"")),"")</f>
        <v>0</v>
      </c>
      <c r="AK250" s="100">
        <f>IFERROR(IF($AV250="No",0,IF($AV250="yes",Summary!U250,"")),"")</f>
        <v>0</v>
      </c>
      <c r="AL250" s="99">
        <f>IFERROR(IF($AV250="No",0,IF($AV250="yes",Summary!V250,"")),"")</f>
        <v>0</v>
      </c>
      <c r="AM250" s="99">
        <f>IFERROR(IF($AV250="No",0,IF($AV250="yes",Summary!W250,"")),"")</f>
        <v>0</v>
      </c>
      <c r="AN250" s="99">
        <f>IFERROR(IF($AV250="No",0,IF($AV250="yes",Summary!X250,"")),"")</f>
        <v>0</v>
      </c>
      <c r="AO250" s="99">
        <f>IFERROR(IF($AV250="No",0,IF($AV250="yes",Summary!Y250+Z250,"")),"")</f>
        <v>0</v>
      </c>
      <c r="AP250" s="99">
        <f>IFERROR(IF($AV250="No",0,IF($AV250="yes",Summary!AB250,"")),"")</f>
        <v>0</v>
      </c>
      <c r="AQ250" s="101" t="str">
        <f t="shared" si="57"/>
        <v/>
      </c>
      <c r="AR250" s="101" t="str">
        <f t="shared" si="58"/>
        <v/>
      </c>
      <c r="AS250" s="101" t="str">
        <f t="shared" si="59"/>
        <v/>
      </c>
      <c r="AT250" s="96" t="s">
        <v>664</v>
      </c>
      <c r="AV250" t="str">
        <f>IF('Proposed Lighting'!CN247&gt;0,"No","Yes")</f>
        <v>Yes</v>
      </c>
    </row>
    <row r="251" spans="1:48" ht="34.5" customHeight="1" outlineLevel="1">
      <c r="A251" s="96" t="s">
        <v>665</v>
      </c>
      <c r="B251" s="96" t="str">
        <f>IF(ISNUMBER(SEARCH("case",E251)),"COM_MISC_REFR_ALL_UNKN1991",IF('Proposed Lighting'!AU248=3,"Commercial-All Com-ExtLight",IF('Proposed Lighting'!AH248&gt;8759,"IPC_8760","Commercial-All Com-IntLight")))</f>
        <v>IPC_8760</v>
      </c>
      <c r="C251" s="96" t="str">
        <f>IF(OR('Proposed Lighting'!DD248="Standard Incentive",'Proposed Lighting'!DD248="Non-Standard Incentive"),"Yes",IF(AND(IF(ISNUMBER(SEARCH("controls",'Proposed Lighting'!T248)),"True","False")="False",'Proposed Lighting'!DD248="Submit Control as Non-Standard"),"Yes","No"))</f>
        <v>No</v>
      </c>
      <c r="D251" s="1403">
        <f>'Proposed Lighting'!CV248-Q251</f>
        <v>0</v>
      </c>
      <c r="E251" s="143">
        <f>'Proposed Lighting'!T248</f>
        <v>0</v>
      </c>
      <c r="F251" s="143">
        <f>'Proposed Lighting'!F248</f>
        <v>0</v>
      </c>
      <c r="G251" s="96" t="s">
        <v>242</v>
      </c>
      <c r="H251" s="142" t="str">
        <f>'Proposed Lighting'!CP248</f>
        <v/>
      </c>
      <c r="I251" s="98">
        <v>1</v>
      </c>
      <c r="J251" s="142">
        <f>'Proposed Lighting'!AA248</f>
        <v>0</v>
      </c>
      <c r="K251" s="142" t="str">
        <f>IF(ISNUMBER(SEARCH("-C",'Proposed Lighting'!M248)),'Proposed Lighting'!AH248*0.9,'Proposed Lighting'!AH248)</f>
        <v/>
      </c>
      <c r="L251" s="142">
        <f>IFERROR(IF(OR('Proposed Lighting'!BC248=22,'Proposed Lighting'!BC248=44),1-25%,IF(OR('Proposed Lighting'!BC248=23,'Proposed Lighting'!BC248=46),1-30%,IF(OR('Proposed Lighting'!BC248=29,'Proposed Lighting'!BC248=39,'Proposed Lighting'!BC248=49),1-35%,IF(OR('Proposed Lighting'!BC248=24,'Proposed Lighting'!BC248=48),1-50%,IF(AND(ISNUMBER(SEARCH("-C",'Proposed Lighting'!M248)),'Proposed Lighting'!AU248=2),90%,100%)))))*'Proposed Lighting'!AH248,0)</f>
        <v>0</v>
      </c>
      <c r="M251" s="87">
        <f t="shared" si="45"/>
        <v>0</v>
      </c>
      <c r="N251" s="87">
        <f>IFERROR(IF('Proposed Lighting'!AU248=1,0,'Proposed Lighting'!AO248),0)</f>
        <v>0</v>
      </c>
      <c r="O251" s="88">
        <f>IF('Proposed Lighting'!AU248=1,0,'Proposed Lighting'!AP248)</f>
        <v>0</v>
      </c>
      <c r="P251" s="87">
        <f t="shared" si="46"/>
        <v>0</v>
      </c>
      <c r="Q251" s="98">
        <f t="shared" si="55"/>
        <v>0</v>
      </c>
      <c r="R251" s="99">
        <f>IFERROR(IF('Proposed Lighting'!T248="Lighting controls only",0,ROUND(IF('Proposed Lighting'!AQ248&lt;'Proposed Lighting'!AR248,0,IF('Proposed Lighting'!AH248=0,0,IF('Proposed Lighting'!BV248&gt;0,'Proposed Lighting'!BV248,IF('Proposed Lighting'!CL248=0,MIN('Proposed Lighting'!CN248:CO248),IF('Proposed Lighting'!CX248&gt;0,'Proposed Lighting'!CX248*'Proposed Lighting'!AA248,0))))),2)),0)</f>
        <v>0</v>
      </c>
      <c r="S251" s="99">
        <f>IF('Proposed Lighting'!AJ248&gt;0,'Proposed Lighting'!AJ248*J251,'Proposed Lighting'!$AU$328*J251)</f>
        <v>0</v>
      </c>
      <c r="T251" s="602">
        <f t="shared" si="47"/>
        <v>0</v>
      </c>
      <c r="U251" s="100"/>
      <c r="V251" s="99">
        <f t="shared" si="48"/>
        <v>0</v>
      </c>
      <c r="W251" s="99">
        <f t="shared" si="49"/>
        <v>0</v>
      </c>
      <c r="X251" s="99">
        <f t="shared" si="50"/>
        <v>0</v>
      </c>
      <c r="Y251" s="99"/>
      <c r="Z251" s="99">
        <f t="shared" si="56"/>
        <v>0</v>
      </c>
      <c r="AA251" s="99"/>
      <c r="AB251" s="99">
        <f t="shared" si="51"/>
        <v>0</v>
      </c>
      <c r="AC251" s="101" t="str">
        <f t="shared" si="52"/>
        <v/>
      </c>
      <c r="AD251" s="101" t="str">
        <f t="shared" si="53"/>
        <v/>
      </c>
      <c r="AE251" s="101" t="str">
        <f t="shared" si="54"/>
        <v/>
      </c>
      <c r="AF251" s="72"/>
      <c r="AG251" s="98">
        <f>IFERROR(IF($AV251="No",0,IF($AV251="yes",Summary!Q251,"")),"")</f>
        <v>0</v>
      </c>
      <c r="AH251" s="99">
        <f>IFERROR(IF($AV251="No",0,IF($AV251="yes",Summary!R251,"")),"")</f>
        <v>0</v>
      </c>
      <c r="AI251" s="99">
        <f>IFERROR(IF($AV251="No",0,IF($AV251="yes",Summary!S251,"")),"")</f>
        <v>0</v>
      </c>
      <c r="AJ251" s="602">
        <f>IFERROR(IF($AV251="No",0,IF($AV251="yes",Summary!T251,"")),"")</f>
        <v>0</v>
      </c>
      <c r="AK251" s="100">
        <f>IFERROR(IF($AV251="No",0,IF($AV251="yes",Summary!U251,"")),"")</f>
        <v>0</v>
      </c>
      <c r="AL251" s="99">
        <f>IFERROR(IF($AV251="No",0,IF($AV251="yes",Summary!V251,"")),"")</f>
        <v>0</v>
      </c>
      <c r="AM251" s="99">
        <f>IFERROR(IF($AV251="No",0,IF($AV251="yes",Summary!W251,"")),"")</f>
        <v>0</v>
      </c>
      <c r="AN251" s="99">
        <f>IFERROR(IF($AV251="No",0,IF($AV251="yes",Summary!X251,"")),"")</f>
        <v>0</v>
      </c>
      <c r="AO251" s="99">
        <f>IFERROR(IF($AV251="No",0,IF($AV251="yes",Summary!Y251+Z251,"")),"")</f>
        <v>0</v>
      </c>
      <c r="AP251" s="99">
        <f>IFERROR(IF($AV251="No",0,IF($AV251="yes",Summary!AB251,"")),"")</f>
        <v>0</v>
      </c>
      <c r="AQ251" s="101" t="str">
        <f t="shared" si="57"/>
        <v/>
      </c>
      <c r="AR251" s="101" t="str">
        <f t="shared" si="58"/>
        <v/>
      </c>
      <c r="AS251" s="101" t="str">
        <f t="shared" si="59"/>
        <v/>
      </c>
      <c r="AT251" s="96" t="s">
        <v>665</v>
      </c>
      <c r="AV251" t="str">
        <f>IF('Proposed Lighting'!CN248&gt;0,"No","Yes")</f>
        <v>Yes</v>
      </c>
    </row>
    <row r="252" spans="1:48" ht="34.5" customHeight="1" outlineLevel="1">
      <c r="A252" s="96" t="s">
        <v>666</v>
      </c>
      <c r="B252" s="96" t="str">
        <f>IF(ISNUMBER(SEARCH("case",E252)),"COM_MISC_REFR_ALL_UNKN1991",IF('Proposed Lighting'!AU249=3,"Commercial-All Com-ExtLight",IF('Proposed Lighting'!AH249&gt;8759,"IPC_8760","Commercial-All Com-IntLight")))</f>
        <v>IPC_8760</v>
      </c>
      <c r="C252" s="96" t="str">
        <f>IF(OR('Proposed Lighting'!DD249="Standard Incentive",'Proposed Lighting'!DD249="Non-Standard Incentive"),"Yes",IF(AND(IF(ISNUMBER(SEARCH("controls",'Proposed Lighting'!T249)),"True","False")="False",'Proposed Lighting'!DD249="Submit Control as Non-Standard"),"Yes","No"))</f>
        <v>No</v>
      </c>
      <c r="D252" s="1403">
        <f>'Proposed Lighting'!CV249-Q252</f>
        <v>0</v>
      </c>
      <c r="E252" s="143">
        <f>'Proposed Lighting'!T249</f>
        <v>0</v>
      </c>
      <c r="F252" s="143">
        <f>'Proposed Lighting'!F249</f>
        <v>0</v>
      </c>
      <c r="G252" s="96" t="s">
        <v>242</v>
      </c>
      <c r="H252" s="142" t="str">
        <f>'Proposed Lighting'!CP249</f>
        <v/>
      </c>
      <c r="I252" s="98">
        <v>1</v>
      </c>
      <c r="J252" s="142">
        <f>'Proposed Lighting'!AA249</f>
        <v>0</v>
      </c>
      <c r="K252" s="142" t="str">
        <f>IF(ISNUMBER(SEARCH("-C",'Proposed Lighting'!M249)),'Proposed Lighting'!AH249*0.9,'Proposed Lighting'!AH249)</f>
        <v/>
      </c>
      <c r="L252" s="142">
        <f>IFERROR(IF(OR('Proposed Lighting'!BC249=22,'Proposed Lighting'!BC249=44),1-25%,IF(OR('Proposed Lighting'!BC249=23,'Proposed Lighting'!BC249=46),1-30%,IF(OR('Proposed Lighting'!BC249=29,'Proposed Lighting'!BC249=39,'Proposed Lighting'!BC249=49),1-35%,IF(OR('Proposed Lighting'!BC249=24,'Proposed Lighting'!BC249=48),1-50%,IF(AND(ISNUMBER(SEARCH("-C",'Proposed Lighting'!M249)),'Proposed Lighting'!AU249=2),90%,100%)))))*'Proposed Lighting'!AH249,0)</f>
        <v>0</v>
      </c>
      <c r="M252" s="87">
        <f t="shared" si="45"/>
        <v>0</v>
      </c>
      <c r="N252" s="87">
        <f>IFERROR(IF('Proposed Lighting'!AU249=1,0,'Proposed Lighting'!AO249),0)</f>
        <v>0</v>
      </c>
      <c r="O252" s="88">
        <f>IF('Proposed Lighting'!AU249=1,0,'Proposed Lighting'!AP249)</f>
        <v>0</v>
      </c>
      <c r="P252" s="87">
        <f t="shared" si="46"/>
        <v>0</v>
      </c>
      <c r="Q252" s="98">
        <f t="shared" si="55"/>
        <v>0</v>
      </c>
      <c r="R252" s="99">
        <f>IFERROR(IF('Proposed Lighting'!T249="Lighting controls only",0,ROUND(IF('Proposed Lighting'!AQ249&lt;'Proposed Lighting'!AR249,0,IF('Proposed Lighting'!AH249=0,0,IF('Proposed Lighting'!BV249&gt;0,'Proposed Lighting'!BV249,IF('Proposed Lighting'!CL249=0,MIN('Proposed Lighting'!CN249:CO249),IF('Proposed Lighting'!CX249&gt;0,'Proposed Lighting'!CX249*'Proposed Lighting'!AA249,0))))),2)),0)</f>
        <v>0</v>
      </c>
      <c r="S252" s="99">
        <f>IF('Proposed Lighting'!AJ249&gt;0,'Proposed Lighting'!AJ249*J252,'Proposed Lighting'!$AU$328*J252)</f>
        <v>0</v>
      </c>
      <c r="T252" s="602">
        <f t="shared" si="47"/>
        <v>0</v>
      </c>
      <c r="U252" s="100"/>
      <c r="V252" s="99">
        <f t="shared" si="48"/>
        <v>0</v>
      </c>
      <c r="W252" s="99">
        <f t="shared" si="49"/>
        <v>0</v>
      </c>
      <c r="X252" s="99">
        <f t="shared" si="50"/>
        <v>0</v>
      </c>
      <c r="Y252" s="99"/>
      <c r="Z252" s="99">
        <f t="shared" si="56"/>
        <v>0</v>
      </c>
      <c r="AA252" s="99"/>
      <c r="AB252" s="99">
        <f t="shared" si="51"/>
        <v>0</v>
      </c>
      <c r="AC252" s="101" t="str">
        <f t="shared" si="52"/>
        <v/>
      </c>
      <c r="AD252" s="101" t="str">
        <f t="shared" si="53"/>
        <v/>
      </c>
      <c r="AE252" s="101" t="str">
        <f t="shared" si="54"/>
        <v/>
      </c>
      <c r="AF252" s="72"/>
      <c r="AG252" s="98">
        <f>IFERROR(IF($AV252="No",0,IF($AV252="yes",Summary!Q252,"")),"")</f>
        <v>0</v>
      </c>
      <c r="AH252" s="99">
        <f>IFERROR(IF($AV252="No",0,IF($AV252="yes",Summary!R252,"")),"")</f>
        <v>0</v>
      </c>
      <c r="AI252" s="99">
        <f>IFERROR(IF($AV252="No",0,IF($AV252="yes",Summary!S252,"")),"")</f>
        <v>0</v>
      </c>
      <c r="AJ252" s="602">
        <f>IFERROR(IF($AV252="No",0,IF($AV252="yes",Summary!T252,"")),"")</f>
        <v>0</v>
      </c>
      <c r="AK252" s="100">
        <f>IFERROR(IF($AV252="No",0,IF($AV252="yes",Summary!U252,"")),"")</f>
        <v>0</v>
      </c>
      <c r="AL252" s="99">
        <f>IFERROR(IF($AV252="No",0,IF($AV252="yes",Summary!V252,"")),"")</f>
        <v>0</v>
      </c>
      <c r="AM252" s="99">
        <f>IFERROR(IF($AV252="No",0,IF($AV252="yes",Summary!W252,"")),"")</f>
        <v>0</v>
      </c>
      <c r="AN252" s="99">
        <f>IFERROR(IF($AV252="No",0,IF($AV252="yes",Summary!X252,"")),"")</f>
        <v>0</v>
      </c>
      <c r="AO252" s="99">
        <f>IFERROR(IF($AV252="No",0,IF($AV252="yes",Summary!Y252+Z252,"")),"")</f>
        <v>0</v>
      </c>
      <c r="AP252" s="99">
        <f>IFERROR(IF($AV252="No",0,IF($AV252="yes",Summary!AB252,"")),"")</f>
        <v>0</v>
      </c>
      <c r="AQ252" s="101" t="str">
        <f t="shared" si="57"/>
        <v/>
      </c>
      <c r="AR252" s="101" t="str">
        <f t="shared" si="58"/>
        <v/>
      </c>
      <c r="AS252" s="101" t="str">
        <f t="shared" si="59"/>
        <v/>
      </c>
      <c r="AT252" s="96" t="s">
        <v>666</v>
      </c>
      <c r="AV252" t="str">
        <f>IF('Proposed Lighting'!CN249&gt;0,"No","Yes")</f>
        <v>Yes</v>
      </c>
    </row>
    <row r="253" spans="1:48" ht="34.5" customHeight="1" outlineLevel="1">
      <c r="A253" s="96" t="s">
        <v>667</v>
      </c>
      <c r="B253" s="96" t="str">
        <f>IF(ISNUMBER(SEARCH("case",E253)),"COM_MISC_REFR_ALL_UNKN1991",IF('Proposed Lighting'!AU250=3,"Commercial-All Com-ExtLight",IF('Proposed Lighting'!AH250&gt;8759,"IPC_8760","Commercial-All Com-IntLight")))</f>
        <v>IPC_8760</v>
      </c>
      <c r="C253" s="96" t="str">
        <f>IF(OR('Proposed Lighting'!DD250="Standard Incentive",'Proposed Lighting'!DD250="Non-Standard Incentive"),"Yes",IF(AND(IF(ISNUMBER(SEARCH("controls",'Proposed Lighting'!T250)),"True","False")="False",'Proposed Lighting'!DD250="Submit Control as Non-Standard"),"Yes","No"))</f>
        <v>No</v>
      </c>
      <c r="D253" s="1403">
        <f>'Proposed Lighting'!CV250-Q253</f>
        <v>0</v>
      </c>
      <c r="E253" s="143">
        <f>'Proposed Lighting'!T250</f>
        <v>0</v>
      </c>
      <c r="F253" s="143">
        <f>'Proposed Lighting'!F250</f>
        <v>0</v>
      </c>
      <c r="G253" s="96" t="s">
        <v>242</v>
      </c>
      <c r="H253" s="142" t="str">
        <f>'Proposed Lighting'!CP250</f>
        <v/>
      </c>
      <c r="I253" s="98">
        <v>1</v>
      </c>
      <c r="J253" s="142">
        <f>'Proposed Lighting'!AA250</f>
        <v>0</v>
      </c>
      <c r="K253" s="142" t="str">
        <f>IF(ISNUMBER(SEARCH("-C",'Proposed Lighting'!M250)),'Proposed Lighting'!AH250*0.9,'Proposed Lighting'!AH250)</f>
        <v/>
      </c>
      <c r="L253" s="142">
        <f>IFERROR(IF(OR('Proposed Lighting'!BC250=22,'Proposed Lighting'!BC250=44),1-25%,IF(OR('Proposed Lighting'!BC250=23,'Proposed Lighting'!BC250=46),1-30%,IF(OR('Proposed Lighting'!BC250=29,'Proposed Lighting'!BC250=39,'Proposed Lighting'!BC250=49),1-35%,IF(OR('Proposed Lighting'!BC250=24,'Proposed Lighting'!BC250=48),1-50%,IF(AND(ISNUMBER(SEARCH("-C",'Proposed Lighting'!M250)),'Proposed Lighting'!AU250=2),90%,100%)))))*'Proposed Lighting'!AH250,0)</f>
        <v>0</v>
      </c>
      <c r="M253" s="87">
        <f t="shared" si="45"/>
        <v>0</v>
      </c>
      <c r="N253" s="87">
        <f>IFERROR(IF('Proposed Lighting'!AU250=1,0,'Proposed Lighting'!AO250),0)</f>
        <v>0</v>
      </c>
      <c r="O253" s="88">
        <f>IF('Proposed Lighting'!AU250=1,0,'Proposed Lighting'!AP250)</f>
        <v>0</v>
      </c>
      <c r="P253" s="87">
        <f t="shared" si="46"/>
        <v>0</v>
      </c>
      <c r="Q253" s="98">
        <f t="shared" si="55"/>
        <v>0</v>
      </c>
      <c r="R253" s="99">
        <f>IFERROR(IF('Proposed Lighting'!T250="Lighting controls only",0,ROUND(IF('Proposed Lighting'!AQ250&lt;'Proposed Lighting'!AR250,0,IF('Proposed Lighting'!AH250=0,0,IF('Proposed Lighting'!BV250&gt;0,'Proposed Lighting'!BV250,IF('Proposed Lighting'!CL250=0,MIN('Proposed Lighting'!CN250:CO250),IF('Proposed Lighting'!CX250&gt;0,'Proposed Lighting'!CX250*'Proposed Lighting'!AA250,0))))),2)),0)</f>
        <v>0</v>
      </c>
      <c r="S253" s="99">
        <f>IF('Proposed Lighting'!AJ250&gt;0,'Proposed Lighting'!AJ250*J253,'Proposed Lighting'!$AU$328*J253)</f>
        <v>0</v>
      </c>
      <c r="T253" s="602">
        <f t="shared" si="47"/>
        <v>0</v>
      </c>
      <c r="U253" s="100"/>
      <c r="V253" s="99">
        <f t="shared" si="48"/>
        <v>0</v>
      </c>
      <c r="W253" s="99">
        <f t="shared" si="49"/>
        <v>0</v>
      </c>
      <c r="X253" s="99">
        <f t="shared" si="50"/>
        <v>0</v>
      </c>
      <c r="Y253" s="99"/>
      <c r="Z253" s="99">
        <f t="shared" si="56"/>
        <v>0</v>
      </c>
      <c r="AA253" s="99"/>
      <c r="AB253" s="99">
        <f t="shared" si="51"/>
        <v>0</v>
      </c>
      <c r="AC253" s="101" t="str">
        <f t="shared" si="52"/>
        <v/>
      </c>
      <c r="AD253" s="101" t="str">
        <f t="shared" si="53"/>
        <v/>
      </c>
      <c r="AE253" s="101" t="str">
        <f t="shared" si="54"/>
        <v/>
      </c>
      <c r="AF253" s="72"/>
      <c r="AG253" s="98">
        <f>IFERROR(IF($AV253="No",0,IF($AV253="yes",Summary!Q253,"")),"")</f>
        <v>0</v>
      </c>
      <c r="AH253" s="99">
        <f>IFERROR(IF($AV253="No",0,IF($AV253="yes",Summary!R253,"")),"")</f>
        <v>0</v>
      </c>
      <c r="AI253" s="99">
        <f>IFERROR(IF($AV253="No",0,IF($AV253="yes",Summary!S253,"")),"")</f>
        <v>0</v>
      </c>
      <c r="AJ253" s="602">
        <f>IFERROR(IF($AV253="No",0,IF($AV253="yes",Summary!T253,"")),"")</f>
        <v>0</v>
      </c>
      <c r="AK253" s="100">
        <f>IFERROR(IF($AV253="No",0,IF($AV253="yes",Summary!U253,"")),"")</f>
        <v>0</v>
      </c>
      <c r="AL253" s="99">
        <f>IFERROR(IF($AV253="No",0,IF($AV253="yes",Summary!V253,"")),"")</f>
        <v>0</v>
      </c>
      <c r="AM253" s="99">
        <f>IFERROR(IF($AV253="No",0,IF($AV253="yes",Summary!W253,"")),"")</f>
        <v>0</v>
      </c>
      <c r="AN253" s="99">
        <f>IFERROR(IF($AV253="No",0,IF($AV253="yes",Summary!X253,"")),"")</f>
        <v>0</v>
      </c>
      <c r="AO253" s="99">
        <f>IFERROR(IF($AV253="No",0,IF($AV253="yes",Summary!Y253+Z253,"")),"")</f>
        <v>0</v>
      </c>
      <c r="AP253" s="99">
        <f>IFERROR(IF($AV253="No",0,IF($AV253="yes",Summary!AB253,"")),"")</f>
        <v>0</v>
      </c>
      <c r="AQ253" s="101" t="str">
        <f t="shared" si="57"/>
        <v/>
      </c>
      <c r="AR253" s="101" t="str">
        <f t="shared" si="58"/>
        <v/>
      </c>
      <c r="AS253" s="101" t="str">
        <f t="shared" si="59"/>
        <v/>
      </c>
      <c r="AT253" s="96" t="s">
        <v>667</v>
      </c>
      <c r="AV253" t="str">
        <f>IF('Proposed Lighting'!CN250&gt;0,"No","Yes")</f>
        <v>Yes</v>
      </c>
    </row>
    <row r="254" spans="1:48" ht="34.5" customHeight="1" outlineLevel="1">
      <c r="A254" s="96" t="s">
        <v>668</v>
      </c>
      <c r="B254" s="96" t="str">
        <f>IF(ISNUMBER(SEARCH("case",E254)),"COM_MISC_REFR_ALL_UNKN1991",IF('Proposed Lighting'!AU251=3,"Commercial-All Com-ExtLight",IF('Proposed Lighting'!AH251&gt;8759,"IPC_8760","Commercial-All Com-IntLight")))</f>
        <v>IPC_8760</v>
      </c>
      <c r="C254" s="96" t="str">
        <f>IF(OR('Proposed Lighting'!DD251="Standard Incentive",'Proposed Lighting'!DD251="Non-Standard Incentive"),"Yes",IF(AND(IF(ISNUMBER(SEARCH("controls",'Proposed Lighting'!T251)),"True","False")="False",'Proposed Lighting'!DD251="Submit Control as Non-Standard"),"Yes","No"))</f>
        <v>No</v>
      </c>
      <c r="D254" s="1403">
        <f>'Proposed Lighting'!CV251-Q254</f>
        <v>0</v>
      </c>
      <c r="E254" s="143">
        <f>'Proposed Lighting'!T251</f>
        <v>0</v>
      </c>
      <c r="F254" s="143">
        <f>'Proposed Lighting'!F251</f>
        <v>0</v>
      </c>
      <c r="G254" s="96" t="s">
        <v>242</v>
      </c>
      <c r="H254" s="142" t="str">
        <f>'Proposed Lighting'!CP251</f>
        <v/>
      </c>
      <c r="I254" s="98">
        <v>1</v>
      </c>
      <c r="J254" s="142">
        <f>'Proposed Lighting'!AA251</f>
        <v>0</v>
      </c>
      <c r="K254" s="142" t="str">
        <f>IF(ISNUMBER(SEARCH("-C",'Proposed Lighting'!M251)),'Proposed Lighting'!AH251*0.9,'Proposed Lighting'!AH251)</f>
        <v/>
      </c>
      <c r="L254" s="142">
        <f>IFERROR(IF(OR('Proposed Lighting'!BC251=22,'Proposed Lighting'!BC251=44),1-25%,IF(OR('Proposed Lighting'!BC251=23,'Proposed Lighting'!BC251=46),1-30%,IF(OR('Proposed Lighting'!BC251=29,'Proposed Lighting'!BC251=39,'Proposed Lighting'!BC251=49),1-35%,IF(OR('Proposed Lighting'!BC251=24,'Proposed Lighting'!BC251=48),1-50%,IF(AND(ISNUMBER(SEARCH("-C",'Proposed Lighting'!M251)),'Proposed Lighting'!AU251=2),90%,100%)))))*'Proposed Lighting'!AH251,0)</f>
        <v>0</v>
      </c>
      <c r="M254" s="87">
        <f t="shared" si="45"/>
        <v>0</v>
      </c>
      <c r="N254" s="87">
        <f>IFERROR(IF('Proposed Lighting'!AU251=1,0,'Proposed Lighting'!AO251),0)</f>
        <v>0</v>
      </c>
      <c r="O254" s="88">
        <f>IF('Proposed Lighting'!AU251=1,0,'Proposed Lighting'!AP251)</f>
        <v>0</v>
      </c>
      <c r="P254" s="87">
        <f t="shared" si="46"/>
        <v>0</v>
      </c>
      <c r="Q254" s="98">
        <f t="shared" si="55"/>
        <v>0</v>
      </c>
      <c r="R254" s="99">
        <f>IFERROR(IF('Proposed Lighting'!T251="Lighting controls only",0,ROUND(IF('Proposed Lighting'!AQ251&lt;'Proposed Lighting'!AR251,0,IF('Proposed Lighting'!AH251=0,0,IF('Proposed Lighting'!BV251&gt;0,'Proposed Lighting'!BV251,IF('Proposed Lighting'!CL251=0,MIN('Proposed Lighting'!CN251:CO251),IF('Proposed Lighting'!CX251&gt;0,'Proposed Lighting'!CX251*'Proposed Lighting'!AA251,0))))),2)),0)</f>
        <v>0</v>
      </c>
      <c r="S254" s="99">
        <f>IF('Proposed Lighting'!AJ251&gt;0,'Proposed Lighting'!AJ251*J254,'Proposed Lighting'!$AU$328*J254)</f>
        <v>0</v>
      </c>
      <c r="T254" s="602">
        <f t="shared" si="47"/>
        <v>0</v>
      </c>
      <c r="U254" s="100"/>
      <c r="V254" s="99">
        <f t="shared" si="48"/>
        <v>0</v>
      </c>
      <c r="W254" s="99">
        <f t="shared" si="49"/>
        <v>0</v>
      </c>
      <c r="X254" s="99">
        <f t="shared" si="50"/>
        <v>0</v>
      </c>
      <c r="Y254" s="99"/>
      <c r="Z254" s="99">
        <f t="shared" si="56"/>
        <v>0</v>
      </c>
      <c r="AA254" s="99"/>
      <c r="AB254" s="99">
        <f t="shared" si="51"/>
        <v>0</v>
      </c>
      <c r="AC254" s="101" t="str">
        <f t="shared" si="52"/>
        <v/>
      </c>
      <c r="AD254" s="101" t="str">
        <f t="shared" si="53"/>
        <v/>
      </c>
      <c r="AE254" s="101" t="str">
        <f t="shared" si="54"/>
        <v/>
      </c>
      <c r="AF254" s="72"/>
      <c r="AG254" s="98">
        <f>IFERROR(IF($AV254="No",0,IF($AV254="yes",Summary!Q254,"")),"")</f>
        <v>0</v>
      </c>
      <c r="AH254" s="99">
        <f>IFERROR(IF($AV254="No",0,IF($AV254="yes",Summary!R254,"")),"")</f>
        <v>0</v>
      </c>
      <c r="AI254" s="99">
        <f>IFERROR(IF($AV254="No",0,IF($AV254="yes",Summary!S254,"")),"")</f>
        <v>0</v>
      </c>
      <c r="AJ254" s="602">
        <f>IFERROR(IF($AV254="No",0,IF($AV254="yes",Summary!T254,"")),"")</f>
        <v>0</v>
      </c>
      <c r="AK254" s="100">
        <f>IFERROR(IF($AV254="No",0,IF($AV254="yes",Summary!U254,"")),"")</f>
        <v>0</v>
      </c>
      <c r="AL254" s="99">
        <f>IFERROR(IF($AV254="No",0,IF($AV254="yes",Summary!V254,"")),"")</f>
        <v>0</v>
      </c>
      <c r="AM254" s="99">
        <f>IFERROR(IF($AV254="No",0,IF($AV254="yes",Summary!W254,"")),"")</f>
        <v>0</v>
      </c>
      <c r="AN254" s="99">
        <f>IFERROR(IF($AV254="No",0,IF($AV254="yes",Summary!X254,"")),"")</f>
        <v>0</v>
      </c>
      <c r="AO254" s="99">
        <f>IFERROR(IF($AV254="No",0,IF($AV254="yes",Summary!Y254+Z254,"")),"")</f>
        <v>0</v>
      </c>
      <c r="AP254" s="99">
        <f>IFERROR(IF($AV254="No",0,IF($AV254="yes",Summary!AB254,"")),"")</f>
        <v>0</v>
      </c>
      <c r="AQ254" s="101" t="str">
        <f t="shared" si="57"/>
        <v/>
      </c>
      <c r="AR254" s="101" t="str">
        <f t="shared" si="58"/>
        <v/>
      </c>
      <c r="AS254" s="101" t="str">
        <f t="shared" si="59"/>
        <v/>
      </c>
      <c r="AT254" s="96" t="s">
        <v>668</v>
      </c>
      <c r="AV254" t="str">
        <f>IF('Proposed Lighting'!CN251&gt;0,"No","Yes")</f>
        <v>Yes</v>
      </c>
    </row>
    <row r="255" spans="1:48" ht="34.5" customHeight="1" outlineLevel="1">
      <c r="A255" s="96" t="s">
        <v>669</v>
      </c>
      <c r="B255" s="96" t="str">
        <f>IF(ISNUMBER(SEARCH("case",E255)),"COM_MISC_REFR_ALL_UNKN1991",IF('Proposed Lighting'!AU252=3,"Commercial-All Com-ExtLight",IF('Proposed Lighting'!AH252&gt;8759,"IPC_8760","Commercial-All Com-IntLight")))</f>
        <v>IPC_8760</v>
      </c>
      <c r="C255" s="96" t="str">
        <f>IF(OR('Proposed Lighting'!DD252="Standard Incentive",'Proposed Lighting'!DD252="Non-Standard Incentive"),"Yes",IF(AND(IF(ISNUMBER(SEARCH("controls",'Proposed Lighting'!T252)),"True","False")="False",'Proposed Lighting'!DD252="Submit Control as Non-Standard"),"Yes","No"))</f>
        <v>No</v>
      </c>
      <c r="D255" s="1403">
        <f>'Proposed Lighting'!CV252-Q255</f>
        <v>0</v>
      </c>
      <c r="E255" s="143">
        <f>'Proposed Lighting'!T252</f>
        <v>0</v>
      </c>
      <c r="F255" s="143">
        <f>'Proposed Lighting'!F252</f>
        <v>0</v>
      </c>
      <c r="G255" s="96" t="s">
        <v>242</v>
      </c>
      <c r="H255" s="142" t="str">
        <f>'Proposed Lighting'!CP252</f>
        <v/>
      </c>
      <c r="I255" s="98">
        <v>1</v>
      </c>
      <c r="J255" s="142">
        <f>'Proposed Lighting'!AA252</f>
        <v>0</v>
      </c>
      <c r="K255" s="142" t="str">
        <f>IF(ISNUMBER(SEARCH("-C",'Proposed Lighting'!M252)),'Proposed Lighting'!AH252*0.9,'Proposed Lighting'!AH252)</f>
        <v/>
      </c>
      <c r="L255" s="142">
        <f>IFERROR(IF(OR('Proposed Lighting'!BC252=22,'Proposed Lighting'!BC252=44),1-25%,IF(OR('Proposed Lighting'!BC252=23,'Proposed Lighting'!BC252=46),1-30%,IF(OR('Proposed Lighting'!BC252=29,'Proposed Lighting'!BC252=39,'Proposed Lighting'!BC252=49),1-35%,IF(OR('Proposed Lighting'!BC252=24,'Proposed Lighting'!BC252=48),1-50%,IF(AND(ISNUMBER(SEARCH("-C",'Proposed Lighting'!M252)),'Proposed Lighting'!AU252=2),90%,100%)))))*'Proposed Lighting'!AH252,0)</f>
        <v>0</v>
      </c>
      <c r="M255" s="87">
        <f t="shared" si="45"/>
        <v>0</v>
      </c>
      <c r="N255" s="87">
        <f>IFERROR(IF('Proposed Lighting'!AU252=1,0,'Proposed Lighting'!AO252),0)</f>
        <v>0</v>
      </c>
      <c r="O255" s="88">
        <f>IF('Proposed Lighting'!AU252=1,0,'Proposed Lighting'!AP252)</f>
        <v>0</v>
      </c>
      <c r="P255" s="87">
        <f t="shared" si="46"/>
        <v>0</v>
      </c>
      <c r="Q255" s="98">
        <f t="shared" si="55"/>
        <v>0</v>
      </c>
      <c r="R255" s="99">
        <f>IFERROR(IF('Proposed Lighting'!T252="Lighting controls only",0,ROUND(IF('Proposed Lighting'!AQ252&lt;'Proposed Lighting'!AR252,0,IF('Proposed Lighting'!AH252=0,0,IF('Proposed Lighting'!BV252&gt;0,'Proposed Lighting'!BV252,IF('Proposed Lighting'!CL252=0,MIN('Proposed Lighting'!CN252:CO252),IF('Proposed Lighting'!CX252&gt;0,'Proposed Lighting'!CX252*'Proposed Lighting'!AA252,0))))),2)),0)</f>
        <v>0</v>
      </c>
      <c r="S255" s="99">
        <f>IF('Proposed Lighting'!AJ252&gt;0,'Proposed Lighting'!AJ252*J255,'Proposed Lighting'!$AU$328*J255)</f>
        <v>0</v>
      </c>
      <c r="T255" s="602">
        <f t="shared" si="47"/>
        <v>0</v>
      </c>
      <c r="U255" s="100"/>
      <c r="V255" s="99">
        <f t="shared" si="48"/>
        <v>0</v>
      </c>
      <c r="W255" s="99">
        <f t="shared" si="49"/>
        <v>0</v>
      </c>
      <c r="X255" s="99">
        <f t="shared" si="50"/>
        <v>0</v>
      </c>
      <c r="Y255" s="99"/>
      <c r="Z255" s="99">
        <f t="shared" si="56"/>
        <v>0</v>
      </c>
      <c r="AA255" s="99"/>
      <c r="AB255" s="99">
        <f t="shared" si="51"/>
        <v>0</v>
      </c>
      <c r="AC255" s="101" t="str">
        <f t="shared" si="52"/>
        <v/>
      </c>
      <c r="AD255" s="101" t="str">
        <f t="shared" si="53"/>
        <v/>
      </c>
      <c r="AE255" s="101" t="str">
        <f t="shared" si="54"/>
        <v/>
      </c>
      <c r="AF255" s="72"/>
      <c r="AG255" s="98">
        <f>IFERROR(IF($AV255="No",0,IF($AV255="yes",Summary!Q255,"")),"")</f>
        <v>0</v>
      </c>
      <c r="AH255" s="99">
        <f>IFERROR(IF($AV255="No",0,IF($AV255="yes",Summary!R255,"")),"")</f>
        <v>0</v>
      </c>
      <c r="AI255" s="99">
        <f>IFERROR(IF($AV255="No",0,IF($AV255="yes",Summary!S255,"")),"")</f>
        <v>0</v>
      </c>
      <c r="AJ255" s="602">
        <f>IFERROR(IF($AV255="No",0,IF($AV255="yes",Summary!T255,"")),"")</f>
        <v>0</v>
      </c>
      <c r="AK255" s="100">
        <f>IFERROR(IF($AV255="No",0,IF($AV255="yes",Summary!U255,"")),"")</f>
        <v>0</v>
      </c>
      <c r="AL255" s="99">
        <f>IFERROR(IF($AV255="No",0,IF($AV255="yes",Summary!V255,"")),"")</f>
        <v>0</v>
      </c>
      <c r="AM255" s="99">
        <f>IFERROR(IF($AV255="No",0,IF($AV255="yes",Summary!W255,"")),"")</f>
        <v>0</v>
      </c>
      <c r="AN255" s="99">
        <f>IFERROR(IF($AV255="No",0,IF($AV255="yes",Summary!X255,"")),"")</f>
        <v>0</v>
      </c>
      <c r="AO255" s="99">
        <f>IFERROR(IF($AV255="No",0,IF($AV255="yes",Summary!Y255+Z255,"")),"")</f>
        <v>0</v>
      </c>
      <c r="AP255" s="99">
        <f>IFERROR(IF($AV255="No",0,IF($AV255="yes",Summary!AB255,"")),"")</f>
        <v>0</v>
      </c>
      <c r="AQ255" s="101" t="str">
        <f t="shared" si="57"/>
        <v/>
      </c>
      <c r="AR255" s="101" t="str">
        <f t="shared" si="58"/>
        <v/>
      </c>
      <c r="AS255" s="101" t="str">
        <f t="shared" si="59"/>
        <v/>
      </c>
      <c r="AT255" s="96" t="s">
        <v>669</v>
      </c>
      <c r="AV255" t="str">
        <f>IF('Proposed Lighting'!CN252&gt;0,"No","Yes")</f>
        <v>Yes</v>
      </c>
    </row>
    <row r="256" spans="1:48" ht="34.5" customHeight="1" outlineLevel="1">
      <c r="A256" s="96" t="s">
        <v>670</v>
      </c>
      <c r="B256" s="96" t="str">
        <f>IF(ISNUMBER(SEARCH("case",E256)),"COM_MISC_REFR_ALL_UNKN1991",IF('Proposed Lighting'!AU253=3,"Commercial-All Com-ExtLight",IF('Proposed Lighting'!AH253&gt;8759,"IPC_8760","Commercial-All Com-IntLight")))</f>
        <v>IPC_8760</v>
      </c>
      <c r="C256" s="96" t="str">
        <f>IF(OR('Proposed Lighting'!DD253="Standard Incentive",'Proposed Lighting'!DD253="Non-Standard Incentive"),"Yes",IF(AND(IF(ISNUMBER(SEARCH("controls",'Proposed Lighting'!T253)),"True","False")="False",'Proposed Lighting'!DD253="Submit Control as Non-Standard"),"Yes","No"))</f>
        <v>No</v>
      </c>
      <c r="D256" s="1403">
        <f>'Proposed Lighting'!CV253-Q256</f>
        <v>0</v>
      </c>
      <c r="E256" s="143">
        <f>'Proposed Lighting'!T253</f>
        <v>0</v>
      </c>
      <c r="F256" s="143">
        <f>'Proposed Lighting'!F253</f>
        <v>0</v>
      </c>
      <c r="G256" s="96" t="s">
        <v>242</v>
      </c>
      <c r="H256" s="142" t="str">
        <f>'Proposed Lighting'!CP253</f>
        <v/>
      </c>
      <c r="I256" s="98">
        <v>1</v>
      </c>
      <c r="J256" s="142">
        <f>'Proposed Lighting'!AA253</f>
        <v>0</v>
      </c>
      <c r="K256" s="142" t="str">
        <f>IF(ISNUMBER(SEARCH("-C",'Proposed Lighting'!M253)),'Proposed Lighting'!AH253*0.9,'Proposed Lighting'!AH253)</f>
        <v/>
      </c>
      <c r="L256" s="142">
        <f>IFERROR(IF(OR('Proposed Lighting'!BC253=22,'Proposed Lighting'!BC253=44),1-25%,IF(OR('Proposed Lighting'!BC253=23,'Proposed Lighting'!BC253=46),1-30%,IF(OR('Proposed Lighting'!BC253=29,'Proposed Lighting'!BC253=39,'Proposed Lighting'!BC253=49),1-35%,IF(OR('Proposed Lighting'!BC253=24,'Proposed Lighting'!BC253=48),1-50%,IF(AND(ISNUMBER(SEARCH("-C",'Proposed Lighting'!M253)),'Proposed Lighting'!AU253=2),90%,100%)))))*'Proposed Lighting'!AH253,0)</f>
        <v>0</v>
      </c>
      <c r="M256" s="87">
        <f t="shared" si="45"/>
        <v>0</v>
      </c>
      <c r="N256" s="87">
        <f>IFERROR(IF('Proposed Lighting'!AU253=1,0,'Proposed Lighting'!AO253),0)</f>
        <v>0</v>
      </c>
      <c r="O256" s="88">
        <f>IF('Proposed Lighting'!AU253=1,0,'Proposed Lighting'!AP253)</f>
        <v>0</v>
      </c>
      <c r="P256" s="87">
        <f t="shared" si="46"/>
        <v>0</v>
      </c>
      <c r="Q256" s="98">
        <f t="shared" si="55"/>
        <v>0</v>
      </c>
      <c r="R256" s="99">
        <f>IFERROR(IF('Proposed Lighting'!T253="Lighting controls only",0,ROUND(IF('Proposed Lighting'!AQ253&lt;'Proposed Lighting'!AR253,0,IF('Proposed Lighting'!AH253=0,0,IF('Proposed Lighting'!BV253&gt;0,'Proposed Lighting'!BV253,IF('Proposed Lighting'!CL253=0,MIN('Proposed Lighting'!CN253:CO253),IF('Proposed Lighting'!CX253&gt;0,'Proposed Lighting'!CX253*'Proposed Lighting'!AA253,0))))),2)),0)</f>
        <v>0</v>
      </c>
      <c r="S256" s="99">
        <f>IF('Proposed Lighting'!AJ253&gt;0,'Proposed Lighting'!AJ253*J256,'Proposed Lighting'!$AU$328*J256)</f>
        <v>0</v>
      </c>
      <c r="T256" s="602">
        <f t="shared" si="47"/>
        <v>0</v>
      </c>
      <c r="U256" s="100"/>
      <c r="V256" s="99">
        <f t="shared" si="48"/>
        <v>0</v>
      </c>
      <c r="W256" s="99">
        <f t="shared" si="49"/>
        <v>0</v>
      </c>
      <c r="X256" s="99">
        <f t="shared" si="50"/>
        <v>0</v>
      </c>
      <c r="Y256" s="99"/>
      <c r="Z256" s="99">
        <f t="shared" si="56"/>
        <v>0</v>
      </c>
      <c r="AA256" s="99"/>
      <c r="AB256" s="99">
        <f t="shared" si="51"/>
        <v>0</v>
      </c>
      <c r="AC256" s="101" t="str">
        <f t="shared" si="52"/>
        <v/>
      </c>
      <c r="AD256" s="101" t="str">
        <f t="shared" si="53"/>
        <v/>
      </c>
      <c r="AE256" s="101" t="str">
        <f t="shared" si="54"/>
        <v/>
      </c>
      <c r="AF256" s="72"/>
      <c r="AG256" s="98">
        <f>IFERROR(IF($AV256="No",0,IF($AV256="yes",Summary!Q256,"")),"")</f>
        <v>0</v>
      </c>
      <c r="AH256" s="99">
        <f>IFERROR(IF($AV256="No",0,IF($AV256="yes",Summary!R256,"")),"")</f>
        <v>0</v>
      </c>
      <c r="AI256" s="99">
        <f>IFERROR(IF($AV256="No",0,IF($AV256="yes",Summary!S256,"")),"")</f>
        <v>0</v>
      </c>
      <c r="AJ256" s="602">
        <f>IFERROR(IF($AV256="No",0,IF($AV256="yes",Summary!T256,"")),"")</f>
        <v>0</v>
      </c>
      <c r="AK256" s="100">
        <f>IFERROR(IF($AV256="No",0,IF($AV256="yes",Summary!U256,"")),"")</f>
        <v>0</v>
      </c>
      <c r="AL256" s="99">
        <f>IFERROR(IF($AV256="No",0,IF($AV256="yes",Summary!V256,"")),"")</f>
        <v>0</v>
      </c>
      <c r="AM256" s="99">
        <f>IFERROR(IF($AV256="No",0,IF($AV256="yes",Summary!W256,"")),"")</f>
        <v>0</v>
      </c>
      <c r="AN256" s="99">
        <f>IFERROR(IF($AV256="No",0,IF($AV256="yes",Summary!X256,"")),"")</f>
        <v>0</v>
      </c>
      <c r="AO256" s="99">
        <f>IFERROR(IF($AV256="No",0,IF($AV256="yes",Summary!Y256+Z256,"")),"")</f>
        <v>0</v>
      </c>
      <c r="AP256" s="99">
        <f>IFERROR(IF($AV256="No",0,IF($AV256="yes",Summary!AB256,"")),"")</f>
        <v>0</v>
      </c>
      <c r="AQ256" s="101" t="str">
        <f t="shared" si="57"/>
        <v/>
      </c>
      <c r="AR256" s="101" t="str">
        <f t="shared" si="58"/>
        <v/>
      </c>
      <c r="AS256" s="101" t="str">
        <f t="shared" si="59"/>
        <v/>
      </c>
      <c r="AT256" s="96" t="s">
        <v>670</v>
      </c>
      <c r="AV256" t="str">
        <f>IF('Proposed Lighting'!CN253&gt;0,"No","Yes")</f>
        <v>Yes</v>
      </c>
    </row>
    <row r="257" spans="1:48" ht="34.5" customHeight="1" outlineLevel="1">
      <c r="A257" s="96" t="s">
        <v>671</v>
      </c>
      <c r="B257" s="96" t="str">
        <f>IF(ISNUMBER(SEARCH("case",E257)),"COM_MISC_REFR_ALL_UNKN1991",IF('Proposed Lighting'!AU254=3,"Commercial-All Com-ExtLight",IF('Proposed Lighting'!AH254&gt;8759,"IPC_8760","Commercial-All Com-IntLight")))</f>
        <v>IPC_8760</v>
      </c>
      <c r="C257" s="96" t="str">
        <f>IF(OR('Proposed Lighting'!DD254="Standard Incentive",'Proposed Lighting'!DD254="Non-Standard Incentive"),"Yes",IF(AND(IF(ISNUMBER(SEARCH("controls",'Proposed Lighting'!T254)),"True","False")="False",'Proposed Lighting'!DD254="Submit Control as Non-Standard"),"Yes","No"))</f>
        <v>No</v>
      </c>
      <c r="D257" s="1403">
        <f>'Proposed Lighting'!CV254-Q257</f>
        <v>0</v>
      </c>
      <c r="E257" s="143">
        <f>'Proposed Lighting'!T254</f>
        <v>0</v>
      </c>
      <c r="F257" s="143">
        <f>'Proposed Lighting'!F254</f>
        <v>0</v>
      </c>
      <c r="G257" s="96" t="s">
        <v>242</v>
      </c>
      <c r="H257" s="142" t="str">
        <f>'Proposed Lighting'!CP254</f>
        <v/>
      </c>
      <c r="I257" s="98">
        <v>1</v>
      </c>
      <c r="J257" s="142">
        <f>'Proposed Lighting'!AA254</f>
        <v>0</v>
      </c>
      <c r="K257" s="142" t="str">
        <f>IF(ISNUMBER(SEARCH("-C",'Proposed Lighting'!M254)),'Proposed Lighting'!AH254*0.9,'Proposed Lighting'!AH254)</f>
        <v/>
      </c>
      <c r="L257" s="142">
        <f>IFERROR(IF(OR('Proposed Lighting'!BC254=22,'Proposed Lighting'!BC254=44),1-25%,IF(OR('Proposed Lighting'!BC254=23,'Proposed Lighting'!BC254=46),1-30%,IF(OR('Proposed Lighting'!BC254=29,'Proposed Lighting'!BC254=39,'Proposed Lighting'!BC254=49),1-35%,IF(OR('Proposed Lighting'!BC254=24,'Proposed Lighting'!BC254=48),1-50%,IF(AND(ISNUMBER(SEARCH("-C",'Proposed Lighting'!M254)),'Proposed Lighting'!AU254=2),90%,100%)))))*'Proposed Lighting'!AH254,0)</f>
        <v>0</v>
      </c>
      <c r="M257" s="87">
        <f t="shared" si="45"/>
        <v>0</v>
      </c>
      <c r="N257" s="87">
        <f>IFERROR(IF('Proposed Lighting'!AU254=1,0,'Proposed Lighting'!AO254),0)</f>
        <v>0</v>
      </c>
      <c r="O257" s="88">
        <f>IF('Proposed Lighting'!AU254=1,0,'Proposed Lighting'!AP254)</f>
        <v>0</v>
      </c>
      <c r="P257" s="87">
        <f t="shared" si="46"/>
        <v>0</v>
      </c>
      <c r="Q257" s="98">
        <f t="shared" si="55"/>
        <v>0</v>
      </c>
      <c r="R257" s="99">
        <f>IFERROR(IF('Proposed Lighting'!T254="Lighting controls only",0,ROUND(IF('Proposed Lighting'!AQ254&lt;'Proposed Lighting'!AR254,0,IF('Proposed Lighting'!AH254=0,0,IF('Proposed Lighting'!BV254&gt;0,'Proposed Lighting'!BV254,IF('Proposed Lighting'!CL254=0,MIN('Proposed Lighting'!CN254:CO254),IF('Proposed Lighting'!CX254&gt;0,'Proposed Lighting'!CX254*'Proposed Lighting'!AA254,0))))),2)),0)</f>
        <v>0</v>
      </c>
      <c r="S257" s="99">
        <f>IF('Proposed Lighting'!AJ254&gt;0,'Proposed Lighting'!AJ254*J257,'Proposed Lighting'!$AU$328*J257)</f>
        <v>0</v>
      </c>
      <c r="T257" s="602">
        <f t="shared" si="47"/>
        <v>0</v>
      </c>
      <c r="U257" s="100"/>
      <c r="V257" s="99">
        <f t="shared" si="48"/>
        <v>0</v>
      </c>
      <c r="W257" s="99">
        <f t="shared" si="49"/>
        <v>0</v>
      </c>
      <c r="X257" s="99">
        <f t="shared" si="50"/>
        <v>0</v>
      </c>
      <c r="Y257" s="99"/>
      <c r="Z257" s="99">
        <f t="shared" si="56"/>
        <v>0</v>
      </c>
      <c r="AA257" s="99"/>
      <c r="AB257" s="99">
        <f t="shared" si="51"/>
        <v>0</v>
      </c>
      <c r="AC257" s="101" t="str">
        <f t="shared" si="52"/>
        <v/>
      </c>
      <c r="AD257" s="101" t="str">
        <f t="shared" si="53"/>
        <v/>
      </c>
      <c r="AE257" s="101" t="str">
        <f t="shared" si="54"/>
        <v/>
      </c>
      <c r="AF257" s="72"/>
      <c r="AG257" s="98">
        <f>IFERROR(IF($AV257="No",0,IF($AV257="yes",Summary!Q257,"")),"")</f>
        <v>0</v>
      </c>
      <c r="AH257" s="99">
        <f>IFERROR(IF($AV257="No",0,IF($AV257="yes",Summary!R257,"")),"")</f>
        <v>0</v>
      </c>
      <c r="AI257" s="99">
        <f>IFERROR(IF($AV257="No",0,IF($AV257="yes",Summary!S257,"")),"")</f>
        <v>0</v>
      </c>
      <c r="AJ257" s="602">
        <f>IFERROR(IF($AV257="No",0,IF($AV257="yes",Summary!T257,"")),"")</f>
        <v>0</v>
      </c>
      <c r="AK257" s="100">
        <f>IFERROR(IF($AV257="No",0,IF($AV257="yes",Summary!U257,"")),"")</f>
        <v>0</v>
      </c>
      <c r="AL257" s="99">
        <f>IFERROR(IF($AV257="No",0,IF($AV257="yes",Summary!V257,"")),"")</f>
        <v>0</v>
      </c>
      <c r="AM257" s="99">
        <f>IFERROR(IF($AV257="No",0,IF($AV257="yes",Summary!W257,"")),"")</f>
        <v>0</v>
      </c>
      <c r="AN257" s="99">
        <f>IFERROR(IF($AV257="No",0,IF($AV257="yes",Summary!X257,"")),"")</f>
        <v>0</v>
      </c>
      <c r="AO257" s="99">
        <f>IFERROR(IF($AV257="No",0,IF($AV257="yes",Summary!Y257+Z257,"")),"")</f>
        <v>0</v>
      </c>
      <c r="AP257" s="99">
        <f>IFERROR(IF($AV257="No",0,IF($AV257="yes",Summary!AB257,"")),"")</f>
        <v>0</v>
      </c>
      <c r="AQ257" s="101" t="str">
        <f t="shared" si="57"/>
        <v/>
      </c>
      <c r="AR257" s="101" t="str">
        <f t="shared" si="58"/>
        <v/>
      </c>
      <c r="AS257" s="101" t="str">
        <f t="shared" si="59"/>
        <v/>
      </c>
      <c r="AT257" s="96" t="s">
        <v>671</v>
      </c>
      <c r="AV257" t="str">
        <f>IF('Proposed Lighting'!CN254&gt;0,"No","Yes")</f>
        <v>Yes</v>
      </c>
    </row>
    <row r="258" spans="1:48" ht="34.5" customHeight="1" outlineLevel="1">
      <c r="A258" s="96" t="s">
        <v>672</v>
      </c>
      <c r="B258" s="96" t="str">
        <f>IF(ISNUMBER(SEARCH("case",E258)),"COM_MISC_REFR_ALL_UNKN1991",IF('Proposed Lighting'!AU255=3,"Commercial-All Com-ExtLight",IF('Proposed Lighting'!AH255&gt;8759,"IPC_8760","Commercial-All Com-IntLight")))</f>
        <v>IPC_8760</v>
      </c>
      <c r="C258" s="96" t="str">
        <f>IF(OR('Proposed Lighting'!DD255="Standard Incentive",'Proposed Lighting'!DD255="Non-Standard Incentive"),"Yes",IF(AND(IF(ISNUMBER(SEARCH("controls",'Proposed Lighting'!T255)),"True","False")="False",'Proposed Lighting'!DD255="Submit Control as Non-Standard"),"Yes","No"))</f>
        <v>No</v>
      </c>
      <c r="D258" s="1403">
        <f>'Proposed Lighting'!CV255-Q258</f>
        <v>0</v>
      </c>
      <c r="E258" s="143">
        <f>'Proposed Lighting'!T255</f>
        <v>0</v>
      </c>
      <c r="F258" s="143">
        <f>'Proposed Lighting'!F255</f>
        <v>0</v>
      </c>
      <c r="G258" s="96" t="s">
        <v>242</v>
      </c>
      <c r="H258" s="142" t="str">
        <f>'Proposed Lighting'!CP255</f>
        <v/>
      </c>
      <c r="I258" s="98">
        <v>1</v>
      </c>
      <c r="J258" s="142">
        <f>'Proposed Lighting'!AA255</f>
        <v>0</v>
      </c>
      <c r="K258" s="142" t="str">
        <f>IF(ISNUMBER(SEARCH("-C",'Proposed Lighting'!M255)),'Proposed Lighting'!AH255*0.9,'Proposed Lighting'!AH255)</f>
        <v/>
      </c>
      <c r="L258" s="142">
        <f>IFERROR(IF(OR('Proposed Lighting'!BC255=22,'Proposed Lighting'!BC255=44),1-25%,IF(OR('Proposed Lighting'!BC255=23,'Proposed Lighting'!BC255=46),1-30%,IF(OR('Proposed Lighting'!BC255=29,'Proposed Lighting'!BC255=39,'Proposed Lighting'!BC255=49),1-35%,IF(OR('Proposed Lighting'!BC255=24,'Proposed Lighting'!BC255=48),1-50%,IF(AND(ISNUMBER(SEARCH("-C",'Proposed Lighting'!M255)),'Proposed Lighting'!AU255=2),90%,100%)))))*'Proposed Lighting'!AH255,0)</f>
        <v>0</v>
      </c>
      <c r="M258" s="87">
        <f t="shared" si="45"/>
        <v>0</v>
      </c>
      <c r="N258" s="87">
        <f>IFERROR(IF('Proposed Lighting'!AU255=1,0,'Proposed Lighting'!AO255),0)</f>
        <v>0</v>
      </c>
      <c r="O258" s="88">
        <f>IF('Proposed Lighting'!AU255=1,0,'Proposed Lighting'!AP255)</f>
        <v>0</v>
      </c>
      <c r="P258" s="87">
        <f t="shared" si="46"/>
        <v>0</v>
      </c>
      <c r="Q258" s="98">
        <f t="shared" si="55"/>
        <v>0</v>
      </c>
      <c r="R258" s="99">
        <f>IFERROR(IF('Proposed Lighting'!T255="Lighting controls only",0,ROUND(IF('Proposed Lighting'!AQ255&lt;'Proposed Lighting'!AR255,0,IF('Proposed Lighting'!AH255=0,0,IF('Proposed Lighting'!BV255&gt;0,'Proposed Lighting'!BV255,IF('Proposed Lighting'!CL255=0,MIN('Proposed Lighting'!CN255:CO255),IF('Proposed Lighting'!CX255&gt;0,'Proposed Lighting'!CX255*'Proposed Lighting'!AA255,0))))),2)),0)</f>
        <v>0</v>
      </c>
      <c r="S258" s="99">
        <f>IF('Proposed Lighting'!AJ255&gt;0,'Proposed Lighting'!AJ255*J258,'Proposed Lighting'!$AU$328*J258)</f>
        <v>0</v>
      </c>
      <c r="T258" s="602">
        <f t="shared" si="47"/>
        <v>0</v>
      </c>
      <c r="U258" s="100"/>
      <c r="V258" s="99">
        <f t="shared" si="48"/>
        <v>0</v>
      </c>
      <c r="W258" s="99">
        <f t="shared" si="49"/>
        <v>0</v>
      </c>
      <c r="X258" s="99">
        <f t="shared" si="50"/>
        <v>0</v>
      </c>
      <c r="Y258" s="99"/>
      <c r="Z258" s="99">
        <f t="shared" si="56"/>
        <v>0</v>
      </c>
      <c r="AA258" s="99"/>
      <c r="AB258" s="99">
        <f t="shared" si="51"/>
        <v>0</v>
      </c>
      <c r="AC258" s="101" t="str">
        <f t="shared" si="52"/>
        <v/>
      </c>
      <c r="AD258" s="101" t="str">
        <f t="shared" si="53"/>
        <v/>
      </c>
      <c r="AE258" s="101" t="str">
        <f t="shared" si="54"/>
        <v/>
      </c>
      <c r="AF258" s="72"/>
      <c r="AG258" s="98">
        <f>IFERROR(IF($AV258="No",0,IF($AV258="yes",Summary!Q258,"")),"")</f>
        <v>0</v>
      </c>
      <c r="AH258" s="99">
        <f>IFERROR(IF($AV258="No",0,IF($AV258="yes",Summary!R258,"")),"")</f>
        <v>0</v>
      </c>
      <c r="AI258" s="99">
        <f>IFERROR(IF($AV258="No",0,IF($AV258="yes",Summary!S258,"")),"")</f>
        <v>0</v>
      </c>
      <c r="AJ258" s="602">
        <f>IFERROR(IF($AV258="No",0,IF($AV258="yes",Summary!T258,"")),"")</f>
        <v>0</v>
      </c>
      <c r="AK258" s="100">
        <f>IFERROR(IF($AV258="No",0,IF($AV258="yes",Summary!U258,"")),"")</f>
        <v>0</v>
      </c>
      <c r="AL258" s="99">
        <f>IFERROR(IF($AV258="No",0,IF($AV258="yes",Summary!V258,"")),"")</f>
        <v>0</v>
      </c>
      <c r="AM258" s="99">
        <f>IFERROR(IF($AV258="No",0,IF($AV258="yes",Summary!W258,"")),"")</f>
        <v>0</v>
      </c>
      <c r="AN258" s="99">
        <f>IFERROR(IF($AV258="No",0,IF($AV258="yes",Summary!X258,"")),"")</f>
        <v>0</v>
      </c>
      <c r="AO258" s="99">
        <f>IFERROR(IF($AV258="No",0,IF($AV258="yes",Summary!Y258+Z258,"")),"")</f>
        <v>0</v>
      </c>
      <c r="AP258" s="99">
        <f>IFERROR(IF($AV258="No",0,IF($AV258="yes",Summary!AB258,"")),"")</f>
        <v>0</v>
      </c>
      <c r="AQ258" s="101" t="str">
        <f t="shared" si="57"/>
        <v/>
      </c>
      <c r="AR258" s="101" t="str">
        <f t="shared" si="58"/>
        <v/>
      </c>
      <c r="AS258" s="101" t="str">
        <f t="shared" si="59"/>
        <v/>
      </c>
      <c r="AT258" s="96" t="s">
        <v>672</v>
      </c>
      <c r="AV258" t="str">
        <f>IF('Proposed Lighting'!CN255&gt;0,"No","Yes")</f>
        <v>Yes</v>
      </c>
    </row>
    <row r="259" spans="1:48" ht="34.5" customHeight="1" outlineLevel="1">
      <c r="A259" s="96" t="s">
        <v>673</v>
      </c>
      <c r="B259" s="96" t="str">
        <f>IF(ISNUMBER(SEARCH("case",E259)),"COM_MISC_REFR_ALL_UNKN1991",IF('Proposed Lighting'!AU256=3,"Commercial-All Com-ExtLight",IF('Proposed Lighting'!AH256&gt;8759,"IPC_8760","Commercial-All Com-IntLight")))</f>
        <v>IPC_8760</v>
      </c>
      <c r="C259" s="96" t="str">
        <f>IF(OR('Proposed Lighting'!DD256="Standard Incentive",'Proposed Lighting'!DD256="Non-Standard Incentive"),"Yes",IF(AND(IF(ISNUMBER(SEARCH("controls",'Proposed Lighting'!T256)),"True","False")="False",'Proposed Lighting'!DD256="Submit Control as Non-Standard"),"Yes","No"))</f>
        <v>No</v>
      </c>
      <c r="D259" s="1403">
        <f>'Proposed Lighting'!CV256-Q259</f>
        <v>0</v>
      </c>
      <c r="E259" s="143">
        <f>'Proposed Lighting'!T256</f>
        <v>0</v>
      </c>
      <c r="F259" s="143">
        <f>'Proposed Lighting'!F256</f>
        <v>0</v>
      </c>
      <c r="G259" s="96" t="s">
        <v>242</v>
      </c>
      <c r="H259" s="142" t="str">
        <f>'Proposed Lighting'!CP256</f>
        <v/>
      </c>
      <c r="I259" s="98">
        <v>1</v>
      </c>
      <c r="J259" s="142">
        <f>'Proposed Lighting'!AA256</f>
        <v>0</v>
      </c>
      <c r="K259" s="142" t="str">
        <f>IF(ISNUMBER(SEARCH("-C",'Proposed Lighting'!M256)),'Proposed Lighting'!AH256*0.9,'Proposed Lighting'!AH256)</f>
        <v/>
      </c>
      <c r="L259" s="142">
        <f>IFERROR(IF(OR('Proposed Lighting'!BC256=22,'Proposed Lighting'!BC256=44),1-25%,IF(OR('Proposed Lighting'!BC256=23,'Proposed Lighting'!BC256=46),1-30%,IF(OR('Proposed Lighting'!BC256=29,'Proposed Lighting'!BC256=39,'Proposed Lighting'!BC256=49),1-35%,IF(OR('Proposed Lighting'!BC256=24,'Proposed Lighting'!BC256=48),1-50%,IF(AND(ISNUMBER(SEARCH("-C",'Proposed Lighting'!M256)),'Proposed Lighting'!AU256=2),90%,100%)))))*'Proposed Lighting'!AH256,0)</f>
        <v>0</v>
      </c>
      <c r="M259" s="87">
        <f t="shared" si="45"/>
        <v>0</v>
      </c>
      <c r="N259" s="87">
        <f>IFERROR(IF('Proposed Lighting'!AU256=1,0,'Proposed Lighting'!AO256),0)</f>
        <v>0</v>
      </c>
      <c r="O259" s="88">
        <f>IF('Proposed Lighting'!AU256=1,0,'Proposed Lighting'!AP256)</f>
        <v>0</v>
      </c>
      <c r="P259" s="87">
        <f t="shared" si="46"/>
        <v>0</v>
      </c>
      <c r="Q259" s="98">
        <f t="shared" si="55"/>
        <v>0</v>
      </c>
      <c r="R259" s="99">
        <f>IFERROR(IF('Proposed Lighting'!T256="Lighting controls only",0,ROUND(IF('Proposed Lighting'!AQ256&lt;'Proposed Lighting'!AR256,0,IF('Proposed Lighting'!AH256=0,0,IF('Proposed Lighting'!BV256&gt;0,'Proposed Lighting'!BV256,IF('Proposed Lighting'!CL256=0,MIN('Proposed Lighting'!CN256:CO256),IF('Proposed Lighting'!CX256&gt;0,'Proposed Lighting'!CX256*'Proposed Lighting'!AA256,0))))),2)),0)</f>
        <v>0</v>
      </c>
      <c r="S259" s="99">
        <f>IF('Proposed Lighting'!AJ256&gt;0,'Proposed Lighting'!AJ256*J259,'Proposed Lighting'!$AU$328*J259)</f>
        <v>0</v>
      </c>
      <c r="T259" s="602">
        <f t="shared" si="47"/>
        <v>0</v>
      </c>
      <c r="U259" s="100"/>
      <c r="V259" s="99">
        <f t="shared" si="48"/>
        <v>0</v>
      </c>
      <c r="W259" s="99">
        <f t="shared" si="49"/>
        <v>0</v>
      </c>
      <c r="X259" s="99">
        <f t="shared" si="50"/>
        <v>0</v>
      </c>
      <c r="Y259" s="99"/>
      <c r="Z259" s="99">
        <f t="shared" si="56"/>
        <v>0</v>
      </c>
      <c r="AA259" s="99"/>
      <c r="AB259" s="99">
        <f t="shared" si="51"/>
        <v>0</v>
      </c>
      <c r="AC259" s="101" t="str">
        <f t="shared" si="52"/>
        <v/>
      </c>
      <c r="AD259" s="101" t="str">
        <f t="shared" si="53"/>
        <v/>
      </c>
      <c r="AE259" s="101" t="str">
        <f t="shared" si="54"/>
        <v/>
      </c>
      <c r="AF259" s="72"/>
      <c r="AG259" s="98">
        <f>IFERROR(IF($AV259="No",0,IF($AV259="yes",Summary!Q259,"")),"")</f>
        <v>0</v>
      </c>
      <c r="AH259" s="99">
        <f>IFERROR(IF($AV259="No",0,IF($AV259="yes",Summary!R259,"")),"")</f>
        <v>0</v>
      </c>
      <c r="AI259" s="99">
        <f>IFERROR(IF($AV259="No",0,IF($AV259="yes",Summary!S259,"")),"")</f>
        <v>0</v>
      </c>
      <c r="AJ259" s="602">
        <f>IFERROR(IF($AV259="No",0,IF($AV259="yes",Summary!T259,"")),"")</f>
        <v>0</v>
      </c>
      <c r="AK259" s="100">
        <f>IFERROR(IF($AV259="No",0,IF($AV259="yes",Summary!U259,"")),"")</f>
        <v>0</v>
      </c>
      <c r="AL259" s="99">
        <f>IFERROR(IF($AV259="No",0,IF($AV259="yes",Summary!V259,"")),"")</f>
        <v>0</v>
      </c>
      <c r="AM259" s="99">
        <f>IFERROR(IF($AV259="No",0,IF($AV259="yes",Summary!W259,"")),"")</f>
        <v>0</v>
      </c>
      <c r="AN259" s="99">
        <f>IFERROR(IF($AV259="No",0,IF($AV259="yes",Summary!X259,"")),"")</f>
        <v>0</v>
      </c>
      <c r="AO259" s="99">
        <f>IFERROR(IF($AV259="No",0,IF($AV259="yes",Summary!Y259+Z259,"")),"")</f>
        <v>0</v>
      </c>
      <c r="AP259" s="99">
        <f>IFERROR(IF($AV259="No",0,IF($AV259="yes",Summary!AB259,"")),"")</f>
        <v>0</v>
      </c>
      <c r="AQ259" s="101" t="str">
        <f t="shared" si="57"/>
        <v/>
      </c>
      <c r="AR259" s="101" t="str">
        <f t="shared" si="58"/>
        <v/>
      </c>
      <c r="AS259" s="101" t="str">
        <f t="shared" si="59"/>
        <v/>
      </c>
      <c r="AT259" s="96" t="s">
        <v>673</v>
      </c>
      <c r="AV259" t="str">
        <f>IF('Proposed Lighting'!CN256&gt;0,"No","Yes")</f>
        <v>Yes</v>
      </c>
    </row>
    <row r="260" spans="1:48" ht="34.5" customHeight="1" outlineLevel="1">
      <c r="A260" s="96" t="s">
        <v>674</v>
      </c>
      <c r="B260" s="96" t="str">
        <f>IF(ISNUMBER(SEARCH("case",E260)),"COM_MISC_REFR_ALL_UNKN1991",IF('Proposed Lighting'!AU257=3,"Commercial-All Com-ExtLight",IF('Proposed Lighting'!AH257&gt;8759,"IPC_8760","Commercial-All Com-IntLight")))</f>
        <v>IPC_8760</v>
      </c>
      <c r="C260" s="96" t="str">
        <f>IF(OR('Proposed Lighting'!DD257="Standard Incentive",'Proposed Lighting'!DD257="Non-Standard Incentive"),"Yes",IF(AND(IF(ISNUMBER(SEARCH("controls",'Proposed Lighting'!T257)),"True","False")="False",'Proposed Lighting'!DD257="Submit Control as Non-Standard"),"Yes","No"))</f>
        <v>No</v>
      </c>
      <c r="D260" s="1403">
        <f>'Proposed Lighting'!CV257-Q260</f>
        <v>0</v>
      </c>
      <c r="E260" s="143">
        <f>'Proposed Lighting'!T257</f>
        <v>0</v>
      </c>
      <c r="F260" s="143">
        <f>'Proposed Lighting'!F257</f>
        <v>0</v>
      </c>
      <c r="G260" s="96" t="s">
        <v>242</v>
      </c>
      <c r="H260" s="142" t="str">
        <f>'Proposed Lighting'!CP257</f>
        <v/>
      </c>
      <c r="I260" s="98">
        <v>1</v>
      </c>
      <c r="J260" s="142">
        <f>'Proposed Lighting'!AA257</f>
        <v>0</v>
      </c>
      <c r="K260" s="142" t="str">
        <f>IF(ISNUMBER(SEARCH("-C",'Proposed Lighting'!M257)),'Proposed Lighting'!AH257*0.9,'Proposed Lighting'!AH257)</f>
        <v/>
      </c>
      <c r="L260" s="142">
        <f>IFERROR(IF(OR('Proposed Lighting'!BC257=22,'Proposed Lighting'!BC257=44),1-25%,IF(OR('Proposed Lighting'!BC257=23,'Proposed Lighting'!BC257=46),1-30%,IF(OR('Proposed Lighting'!BC257=29,'Proposed Lighting'!BC257=39,'Proposed Lighting'!BC257=49),1-35%,IF(OR('Proposed Lighting'!BC257=24,'Proposed Lighting'!BC257=48),1-50%,IF(AND(ISNUMBER(SEARCH("-C",'Proposed Lighting'!M257)),'Proposed Lighting'!AU257=2),90%,100%)))))*'Proposed Lighting'!AH257,0)</f>
        <v>0</v>
      </c>
      <c r="M260" s="87">
        <f t="shared" si="45"/>
        <v>0</v>
      </c>
      <c r="N260" s="87">
        <f>IFERROR(IF('Proposed Lighting'!AU257=1,0,'Proposed Lighting'!AO257),0)</f>
        <v>0</v>
      </c>
      <c r="O260" s="88">
        <f>IF('Proposed Lighting'!AU257=1,0,'Proposed Lighting'!AP257)</f>
        <v>0</v>
      </c>
      <c r="P260" s="87">
        <f t="shared" si="46"/>
        <v>0</v>
      </c>
      <c r="Q260" s="98">
        <f t="shared" si="55"/>
        <v>0</v>
      </c>
      <c r="R260" s="99">
        <f>IFERROR(IF('Proposed Lighting'!T257="Lighting controls only",0,ROUND(IF('Proposed Lighting'!AQ257&lt;'Proposed Lighting'!AR257,0,IF('Proposed Lighting'!AH257=0,0,IF('Proposed Lighting'!BV257&gt;0,'Proposed Lighting'!BV257,IF('Proposed Lighting'!CL257=0,MIN('Proposed Lighting'!CN257:CO257),IF('Proposed Lighting'!CX257&gt;0,'Proposed Lighting'!CX257*'Proposed Lighting'!AA257,0))))),2)),0)</f>
        <v>0</v>
      </c>
      <c r="S260" s="99">
        <f>IF('Proposed Lighting'!AJ257&gt;0,'Proposed Lighting'!AJ257*J260,'Proposed Lighting'!$AU$328*J260)</f>
        <v>0</v>
      </c>
      <c r="T260" s="602">
        <f t="shared" si="47"/>
        <v>0</v>
      </c>
      <c r="U260" s="100"/>
      <c r="V260" s="99">
        <f t="shared" si="48"/>
        <v>0</v>
      </c>
      <c r="W260" s="99">
        <f t="shared" si="49"/>
        <v>0</v>
      </c>
      <c r="X260" s="99">
        <f t="shared" si="50"/>
        <v>0</v>
      </c>
      <c r="Y260" s="99"/>
      <c r="Z260" s="99">
        <f t="shared" si="56"/>
        <v>0</v>
      </c>
      <c r="AA260" s="99"/>
      <c r="AB260" s="99">
        <f t="shared" si="51"/>
        <v>0</v>
      </c>
      <c r="AC260" s="101" t="str">
        <f t="shared" si="52"/>
        <v/>
      </c>
      <c r="AD260" s="101" t="str">
        <f t="shared" si="53"/>
        <v/>
      </c>
      <c r="AE260" s="101" t="str">
        <f t="shared" si="54"/>
        <v/>
      </c>
      <c r="AF260" s="72"/>
      <c r="AG260" s="98">
        <f>IFERROR(IF($AV260="No",0,IF($AV260="yes",Summary!Q260,"")),"")</f>
        <v>0</v>
      </c>
      <c r="AH260" s="99">
        <f>IFERROR(IF($AV260="No",0,IF($AV260="yes",Summary!R260,"")),"")</f>
        <v>0</v>
      </c>
      <c r="AI260" s="99">
        <f>IFERROR(IF($AV260="No",0,IF($AV260="yes",Summary!S260,"")),"")</f>
        <v>0</v>
      </c>
      <c r="AJ260" s="602">
        <f>IFERROR(IF($AV260="No",0,IF($AV260="yes",Summary!T260,"")),"")</f>
        <v>0</v>
      </c>
      <c r="AK260" s="100">
        <f>IFERROR(IF($AV260="No",0,IF($AV260="yes",Summary!U260,"")),"")</f>
        <v>0</v>
      </c>
      <c r="AL260" s="99">
        <f>IFERROR(IF($AV260="No",0,IF($AV260="yes",Summary!V260,"")),"")</f>
        <v>0</v>
      </c>
      <c r="AM260" s="99">
        <f>IFERROR(IF($AV260="No",0,IF($AV260="yes",Summary!W260,"")),"")</f>
        <v>0</v>
      </c>
      <c r="AN260" s="99">
        <f>IFERROR(IF($AV260="No",0,IF($AV260="yes",Summary!X260,"")),"")</f>
        <v>0</v>
      </c>
      <c r="AO260" s="99">
        <f>IFERROR(IF($AV260="No",0,IF($AV260="yes",Summary!Y260+Z260,"")),"")</f>
        <v>0</v>
      </c>
      <c r="AP260" s="99">
        <f>IFERROR(IF($AV260="No",0,IF($AV260="yes",Summary!AB260,"")),"")</f>
        <v>0</v>
      </c>
      <c r="AQ260" s="101" t="str">
        <f t="shared" si="57"/>
        <v/>
      </c>
      <c r="AR260" s="101" t="str">
        <f t="shared" si="58"/>
        <v/>
      </c>
      <c r="AS260" s="101" t="str">
        <f t="shared" si="59"/>
        <v/>
      </c>
      <c r="AT260" s="96" t="s">
        <v>674</v>
      </c>
      <c r="AV260" t="str">
        <f>IF('Proposed Lighting'!CN257&gt;0,"No","Yes")</f>
        <v>Yes</v>
      </c>
    </row>
    <row r="261" spans="1:48" ht="34.5" customHeight="1" outlineLevel="1">
      <c r="A261" s="96" t="s">
        <v>675</v>
      </c>
      <c r="B261" s="96" t="str">
        <f>IF(ISNUMBER(SEARCH("case",E261)),"COM_MISC_REFR_ALL_UNKN1991",IF('Proposed Lighting'!AU258=3,"Commercial-All Com-ExtLight",IF('Proposed Lighting'!AH258&gt;8759,"IPC_8760","Commercial-All Com-IntLight")))</f>
        <v>IPC_8760</v>
      </c>
      <c r="C261" s="96" t="str">
        <f>IF(OR('Proposed Lighting'!DD258="Standard Incentive",'Proposed Lighting'!DD258="Non-Standard Incentive"),"Yes",IF(AND(IF(ISNUMBER(SEARCH("controls",'Proposed Lighting'!T258)),"True","False")="False",'Proposed Lighting'!DD258="Submit Control as Non-Standard"),"Yes","No"))</f>
        <v>No</v>
      </c>
      <c r="D261" s="1403">
        <f>'Proposed Lighting'!CV258-Q261</f>
        <v>0</v>
      </c>
      <c r="E261" s="143">
        <f>'Proposed Lighting'!T258</f>
        <v>0</v>
      </c>
      <c r="F261" s="143">
        <f>'Proposed Lighting'!F258</f>
        <v>0</v>
      </c>
      <c r="G261" s="96" t="s">
        <v>242</v>
      </c>
      <c r="H261" s="142" t="str">
        <f>'Proposed Lighting'!CP258</f>
        <v/>
      </c>
      <c r="I261" s="98">
        <v>1</v>
      </c>
      <c r="J261" s="142">
        <f>'Proposed Lighting'!AA258</f>
        <v>0</v>
      </c>
      <c r="K261" s="142" t="str">
        <f>IF(ISNUMBER(SEARCH("-C",'Proposed Lighting'!M258)),'Proposed Lighting'!AH258*0.9,'Proposed Lighting'!AH258)</f>
        <v/>
      </c>
      <c r="L261" s="142">
        <f>IFERROR(IF(OR('Proposed Lighting'!BC258=22,'Proposed Lighting'!BC258=44),1-25%,IF(OR('Proposed Lighting'!BC258=23,'Proposed Lighting'!BC258=46),1-30%,IF(OR('Proposed Lighting'!BC258=29,'Proposed Lighting'!BC258=39,'Proposed Lighting'!BC258=49),1-35%,IF(OR('Proposed Lighting'!BC258=24,'Proposed Lighting'!BC258=48),1-50%,IF(AND(ISNUMBER(SEARCH("-C",'Proposed Lighting'!M258)),'Proposed Lighting'!AU258=2),90%,100%)))))*'Proposed Lighting'!AH258,0)</f>
        <v>0</v>
      </c>
      <c r="M261" s="87">
        <f t="shared" si="45"/>
        <v>0</v>
      </c>
      <c r="N261" s="87">
        <f>IFERROR(IF('Proposed Lighting'!AU258=1,0,'Proposed Lighting'!AO258),0)</f>
        <v>0</v>
      </c>
      <c r="O261" s="88">
        <f>IF('Proposed Lighting'!AU258=1,0,'Proposed Lighting'!AP258)</f>
        <v>0</v>
      </c>
      <c r="P261" s="87">
        <f t="shared" si="46"/>
        <v>0</v>
      </c>
      <c r="Q261" s="98">
        <f t="shared" si="55"/>
        <v>0</v>
      </c>
      <c r="R261" s="99">
        <f>IFERROR(IF('Proposed Lighting'!T258="Lighting controls only",0,ROUND(IF('Proposed Lighting'!AQ258&lt;'Proposed Lighting'!AR258,0,IF('Proposed Lighting'!AH258=0,0,IF('Proposed Lighting'!BV258&gt;0,'Proposed Lighting'!BV258,IF('Proposed Lighting'!CL258=0,MIN('Proposed Lighting'!CN258:CO258),IF('Proposed Lighting'!CX258&gt;0,'Proposed Lighting'!CX258*'Proposed Lighting'!AA258,0))))),2)),0)</f>
        <v>0</v>
      </c>
      <c r="S261" s="99">
        <f>IF('Proposed Lighting'!AJ258&gt;0,'Proposed Lighting'!AJ258*J261,'Proposed Lighting'!$AU$328*J261)</f>
        <v>0</v>
      </c>
      <c r="T261" s="602">
        <f t="shared" si="47"/>
        <v>0</v>
      </c>
      <c r="U261" s="100"/>
      <c r="V261" s="99">
        <f t="shared" si="48"/>
        <v>0</v>
      </c>
      <c r="W261" s="99">
        <f t="shared" si="49"/>
        <v>0</v>
      </c>
      <c r="X261" s="99">
        <f t="shared" si="50"/>
        <v>0</v>
      </c>
      <c r="Y261" s="99"/>
      <c r="Z261" s="99">
        <f t="shared" si="56"/>
        <v>0</v>
      </c>
      <c r="AA261" s="99"/>
      <c r="AB261" s="99">
        <f t="shared" si="51"/>
        <v>0</v>
      </c>
      <c r="AC261" s="101" t="str">
        <f t="shared" si="52"/>
        <v/>
      </c>
      <c r="AD261" s="101" t="str">
        <f t="shared" si="53"/>
        <v/>
      </c>
      <c r="AE261" s="101" t="str">
        <f t="shared" si="54"/>
        <v/>
      </c>
      <c r="AF261" s="72"/>
      <c r="AG261" s="98">
        <f>IFERROR(IF($AV261="No",0,IF($AV261="yes",Summary!Q261,"")),"")</f>
        <v>0</v>
      </c>
      <c r="AH261" s="99">
        <f>IFERROR(IF($AV261="No",0,IF($AV261="yes",Summary!R261,"")),"")</f>
        <v>0</v>
      </c>
      <c r="AI261" s="99">
        <f>IFERROR(IF($AV261="No",0,IF($AV261="yes",Summary!S261,"")),"")</f>
        <v>0</v>
      </c>
      <c r="AJ261" s="602">
        <f>IFERROR(IF($AV261="No",0,IF($AV261="yes",Summary!T261,"")),"")</f>
        <v>0</v>
      </c>
      <c r="AK261" s="100">
        <f>IFERROR(IF($AV261="No",0,IF($AV261="yes",Summary!U261,"")),"")</f>
        <v>0</v>
      </c>
      <c r="AL261" s="99">
        <f>IFERROR(IF($AV261="No",0,IF($AV261="yes",Summary!V261,"")),"")</f>
        <v>0</v>
      </c>
      <c r="AM261" s="99">
        <f>IFERROR(IF($AV261="No",0,IF($AV261="yes",Summary!W261,"")),"")</f>
        <v>0</v>
      </c>
      <c r="AN261" s="99">
        <f>IFERROR(IF($AV261="No",0,IF($AV261="yes",Summary!X261,"")),"")</f>
        <v>0</v>
      </c>
      <c r="AO261" s="99">
        <f>IFERROR(IF($AV261="No",0,IF($AV261="yes",Summary!Y261+Z261,"")),"")</f>
        <v>0</v>
      </c>
      <c r="AP261" s="99">
        <f>IFERROR(IF($AV261="No",0,IF($AV261="yes",Summary!AB261,"")),"")</f>
        <v>0</v>
      </c>
      <c r="AQ261" s="101" t="str">
        <f t="shared" si="57"/>
        <v/>
      </c>
      <c r="AR261" s="101" t="str">
        <f t="shared" si="58"/>
        <v/>
      </c>
      <c r="AS261" s="101" t="str">
        <f t="shared" si="59"/>
        <v/>
      </c>
      <c r="AT261" s="96" t="s">
        <v>675</v>
      </c>
      <c r="AV261" t="str">
        <f>IF('Proposed Lighting'!CN258&gt;0,"No","Yes")</f>
        <v>Yes</v>
      </c>
    </row>
    <row r="262" spans="1:48" ht="34.5" customHeight="1" outlineLevel="1">
      <c r="A262" s="96" t="s">
        <v>676</v>
      </c>
      <c r="B262" s="96" t="str">
        <f>IF(ISNUMBER(SEARCH("case",E262)),"COM_MISC_REFR_ALL_UNKN1991",IF('Proposed Lighting'!AU259=3,"Commercial-All Com-ExtLight",IF('Proposed Lighting'!AH259&gt;8759,"IPC_8760","Commercial-All Com-IntLight")))</f>
        <v>IPC_8760</v>
      </c>
      <c r="C262" s="96" t="str">
        <f>IF(OR('Proposed Lighting'!DD259="Standard Incentive",'Proposed Lighting'!DD259="Non-Standard Incentive"),"Yes",IF(AND(IF(ISNUMBER(SEARCH("controls",'Proposed Lighting'!T259)),"True","False")="False",'Proposed Lighting'!DD259="Submit Control as Non-Standard"),"Yes","No"))</f>
        <v>No</v>
      </c>
      <c r="D262" s="1403">
        <f>'Proposed Lighting'!CV259-Q262</f>
        <v>0</v>
      </c>
      <c r="E262" s="143">
        <f>'Proposed Lighting'!T259</f>
        <v>0</v>
      </c>
      <c r="F262" s="143">
        <f>'Proposed Lighting'!F259</f>
        <v>0</v>
      </c>
      <c r="G262" s="96" t="s">
        <v>242</v>
      </c>
      <c r="H262" s="142" t="str">
        <f>'Proposed Lighting'!CP259</f>
        <v/>
      </c>
      <c r="I262" s="98">
        <v>1</v>
      </c>
      <c r="J262" s="142">
        <f>'Proposed Lighting'!AA259</f>
        <v>0</v>
      </c>
      <c r="K262" s="142" t="str">
        <f>IF(ISNUMBER(SEARCH("-C",'Proposed Lighting'!M259)),'Proposed Lighting'!AH259*0.9,'Proposed Lighting'!AH259)</f>
        <v/>
      </c>
      <c r="L262" s="142">
        <f>IFERROR(IF(OR('Proposed Lighting'!BC259=22,'Proposed Lighting'!BC259=44),1-25%,IF(OR('Proposed Lighting'!BC259=23,'Proposed Lighting'!BC259=46),1-30%,IF(OR('Proposed Lighting'!BC259=29,'Proposed Lighting'!BC259=39,'Proposed Lighting'!BC259=49),1-35%,IF(OR('Proposed Lighting'!BC259=24,'Proposed Lighting'!BC259=48),1-50%,IF(AND(ISNUMBER(SEARCH("-C",'Proposed Lighting'!M259)),'Proposed Lighting'!AU259=2),90%,100%)))))*'Proposed Lighting'!AH259,0)</f>
        <v>0</v>
      </c>
      <c r="M262" s="87">
        <f t="shared" si="45"/>
        <v>0</v>
      </c>
      <c r="N262" s="87">
        <f>IFERROR(IF('Proposed Lighting'!AU259=1,0,'Proposed Lighting'!AO259),0)</f>
        <v>0</v>
      </c>
      <c r="O262" s="88">
        <f>IF('Proposed Lighting'!AU259=1,0,'Proposed Lighting'!AP259)</f>
        <v>0</v>
      </c>
      <c r="P262" s="87">
        <f t="shared" si="46"/>
        <v>0</v>
      </c>
      <c r="Q262" s="98">
        <f t="shared" si="55"/>
        <v>0</v>
      </c>
      <c r="R262" s="99">
        <f>IFERROR(IF('Proposed Lighting'!T259="Lighting controls only",0,ROUND(IF('Proposed Lighting'!AQ259&lt;'Proposed Lighting'!AR259,0,IF('Proposed Lighting'!AH259=0,0,IF('Proposed Lighting'!BV259&gt;0,'Proposed Lighting'!BV259,IF('Proposed Lighting'!CL259=0,MIN('Proposed Lighting'!CN259:CO259),IF('Proposed Lighting'!CX259&gt;0,'Proposed Lighting'!CX259*'Proposed Lighting'!AA259,0))))),2)),0)</f>
        <v>0</v>
      </c>
      <c r="S262" s="99">
        <f>IF('Proposed Lighting'!AJ259&gt;0,'Proposed Lighting'!AJ259*J262,'Proposed Lighting'!$AU$328*J262)</f>
        <v>0</v>
      </c>
      <c r="T262" s="602">
        <f t="shared" si="47"/>
        <v>0</v>
      </c>
      <c r="U262" s="100"/>
      <c r="V262" s="99">
        <f t="shared" si="48"/>
        <v>0</v>
      </c>
      <c r="W262" s="99">
        <f t="shared" si="49"/>
        <v>0</v>
      </c>
      <c r="X262" s="99">
        <f t="shared" si="50"/>
        <v>0</v>
      </c>
      <c r="Y262" s="99"/>
      <c r="Z262" s="99">
        <f t="shared" si="56"/>
        <v>0</v>
      </c>
      <c r="AA262" s="99"/>
      <c r="AB262" s="99">
        <f t="shared" si="51"/>
        <v>0</v>
      </c>
      <c r="AC262" s="101" t="str">
        <f t="shared" si="52"/>
        <v/>
      </c>
      <c r="AD262" s="101" t="str">
        <f t="shared" si="53"/>
        <v/>
      </c>
      <c r="AE262" s="101" t="str">
        <f t="shared" si="54"/>
        <v/>
      </c>
      <c r="AF262" s="72"/>
      <c r="AG262" s="98">
        <f>IFERROR(IF($AV262="No",0,IF($AV262="yes",Summary!Q262,"")),"")</f>
        <v>0</v>
      </c>
      <c r="AH262" s="99">
        <f>IFERROR(IF($AV262="No",0,IF($AV262="yes",Summary!R262,"")),"")</f>
        <v>0</v>
      </c>
      <c r="AI262" s="99">
        <f>IFERROR(IF($AV262="No",0,IF($AV262="yes",Summary!S262,"")),"")</f>
        <v>0</v>
      </c>
      <c r="AJ262" s="602">
        <f>IFERROR(IF($AV262="No",0,IF($AV262="yes",Summary!T262,"")),"")</f>
        <v>0</v>
      </c>
      <c r="AK262" s="100">
        <f>IFERROR(IF($AV262="No",0,IF($AV262="yes",Summary!U262,"")),"")</f>
        <v>0</v>
      </c>
      <c r="AL262" s="99">
        <f>IFERROR(IF($AV262="No",0,IF($AV262="yes",Summary!V262,"")),"")</f>
        <v>0</v>
      </c>
      <c r="AM262" s="99">
        <f>IFERROR(IF($AV262="No",0,IF($AV262="yes",Summary!W262,"")),"")</f>
        <v>0</v>
      </c>
      <c r="AN262" s="99">
        <f>IFERROR(IF($AV262="No",0,IF($AV262="yes",Summary!X262,"")),"")</f>
        <v>0</v>
      </c>
      <c r="AO262" s="99">
        <f>IFERROR(IF($AV262="No",0,IF($AV262="yes",Summary!Y262+Z262,"")),"")</f>
        <v>0</v>
      </c>
      <c r="AP262" s="99">
        <f>IFERROR(IF($AV262="No",0,IF($AV262="yes",Summary!AB262,"")),"")</f>
        <v>0</v>
      </c>
      <c r="AQ262" s="101" t="str">
        <f t="shared" si="57"/>
        <v/>
      </c>
      <c r="AR262" s="101" t="str">
        <f t="shared" si="58"/>
        <v/>
      </c>
      <c r="AS262" s="101" t="str">
        <f t="shared" si="59"/>
        <v/>
      </c>
      <c r="AT262" s="96" t="s">
        <v>676</v>
      </c>
      <c r="AV262" t="str">
        <f>IF('Proposed Lighting'!CN259&gt;0,"No","Yes")</f>
        <v>Yes</v>
      </c>
    </row>
    <row r="263" spans="1:48" ht="34.5" customHeight="1" outlineLevel="1">
      <c r="A263" s="96" t="s">
        <v>677</v>
      </c>
      <c r="B263" s="96" t="str">
        <f>IF(ISNUMBER(SEARCH("case",E263)),"COM_MISC_REFR_ALL_UNKN1991",IF('Proposed Lighting'!AU260=3,"Commercial-All Com-ExtLight",IF('Proposed Lighting'!AH260&gt;8759,"IPC_8760","Commercial-All Com-IntLight")))</f>
        <v>IPC_8760</v>
      </c>
      <c r="C263" s="96" t="str">
        <f>IF(OR('Proposed Lighting'!DD260="Standard Incentive",'Proposed Lighting'!DD260="Non-Standard Incentive"),"Yes",IF(AND(IF(ISNUMBER(SEARCH("controls",'Proposed Lighting'!T260)),"True","False")="False",'Proposed Lighting'!DD260="Submit Control as Non-Standard"),"Yes","No"))</f>
        <v>No</v>
      </c>
      <c r="D263" s="1403">
        <f>'Proposed Lighting'!CV260-Q263</f>
        <v>0</v>
      </c>
      <c r="E263" s="143">
        <f>'Proposed Lighting'!T260</f>
        <v>0</v>
      </c>
      <c r="F263" s="143">
        <f>'Proposed Lighting'!F260</f>
        <v>0</v>
      </c>
      <c r="G263" s="96" t="s">
        <v>242</v>
      </c>
      <c r="H263" s="142" t="str">
        <f>'Proposed Lighting'!CP260</f>
        <v/>
      </c>
      <c r="I263" s="98">
        <v>1</v>
      </c>
      <c r="J263" s="142">
        <f>'Proposed Lighting'!AA260</f>
        <v>0</v>
      </c>
      <c r="K263" s="142" t="str">
        <f>IF(ISNUMBER(SEARCH("-C",'Proposed Lighting'!M260)),'Proposed Lighting'!AH260*0.9,'Proposed Lighting'!AH260)</f>
        <v/>
      </c>
      <c r="L263" s="142">
        <f>IFERROR(IF(OR('Proposed Lighting'!BC260=22,'Proposed Lighting'!BC260=44),1-25%,IF(OR('Proposed Lighting'!BC260=23,'Proposed Lighting'!BC260=46),1-30%,IF(OR('Proposed Lighting'!BC260=29,'Proposed Lighting'!BC260=39,'Proposed Lighting'!BC260=49),1-35%,IF(OR('Proposed Lighting'!BC260=24,'Proposed Lighting'!BC260=48),1-50%,IF(AND(ISNUMBER(SEARCH("-C",'Proposed Lighting'!M260)),'Proposed Lighting'!AU260=2),90%,100%)))))*'Proposed Lighting'!AH260,0)</f>
        <v>0</v>
      </c>
      <c r="M263" s="87">
        <f t="shared" si="45"/>
        <v>0</v>
      </c>
      <c r="N263" s="87">
        <f>IFERROR(IF('Proposed Lighting'!AU260=1,0,'Proposed Lighting'!AO260),0)</f>
        <v>0</v>
      </c>
      <c r="O263" s="88">
        <f>IF('Proposed Lighting'!AU260=1,0,'Proposed Lighting'!AP260)</f>
        <v>0</v>
      </c>
      <c r="P263" s="87">
        <f t="shared" si="46"/>
        <v>0</v>
      </c>
      <c r="Q263" s="98">
        <f t="shared" si="55"/>
        <v>0</v>
      </c>
      <c r="R263" s="99">
        <f>IFERROR(IF('Proposed Lighting'!T260="Lighting controls only",0,ROUND(IF('Proposed Lighting'!AQ260&lt;'Proposed Lighting'!AR260,0,IF('Proposed Lighting'!AH260=0,0,IF('Proposed Lighting'!BV260&gt;0,'Proposed Lighting'!BV260,IF('Proposed Lighting'!CL260=0,MIN('Proposed Lighting'!CN260:CO260),IF('Proposed Lighting'!CX260&gt;0,'Proposed Lighting'!CX260*'Proposed Lighting'!AA260,0))))),2)),0)</f>
        <v>0</v>
      </c>
      <c r="S263" s="99">
        <f>IF('Proposed Lighting'!AJ260&gt;0,'Proposed Lighting'!AJ260*J263,'Proposed Lighting'!$AU$328*J263)</f>
        <v>0</v>
      </c>
      <c r="T263" s="602">
        <f t="shared" si="47"/>
        <v>0</v>
      </c>
      <c r="U263" s="100"/>
      <c r="V263" s="99">
        <f t="shared" si="48"/>
        <v>0</v>
      </c>
      <c r="W263" s="99">
        <f t="shared" si="49"/>
        <v>0</v>
      </c>
      <c r="X263" s="99">
        <f t="shared" si="50"/>
        <v>0</v>
      </c>
      <c r="Y263" s="99"/>
      <c r="Z263" s="99">
        <f t="shared" si="56"/>
        <v>0</v>
      </c>
      <c r="AA263" s="99"/>
      <c r="AB263" s="99">
        <f t="shared" si="51"/>
        <v>0</v>
      </c>
      <c r="AC263" s="101" t="str">
        <f t="shared" si="52"/>
        <v/>
      </c>
      <c r="AD263" s="101" t="str">
        <f t="shared" si="53"/>
        <v/>
      </c>
      <c r="AE263" s="101" t="str">
        <f t="shared" si="54"/>
        <v/>
      </c>
      <c r="AF263" s="72"/>
      <c r="AG263" s="98">
        <f>IFERROR(IF($AV263="No",0,IF($AV263="yes",Summary!Q263,"")),"")</f>
        <v>0</v>
      </c>
      <c r="AH263" s="99">
        <f>IFERROR(IF($AV263="No",0,IF($AV263="yes",Summary!R263,"")),"")</f>
        <v>0</v>
      </c>
      <c r="AI263" s="99">
        <f>IFERROR(IF($AV263="No",0,IF($AV263="yes",Summary!S263,"")),"")</f>
        <v>0</v>
      </c>
      <c r="AJ263" s="602">
        <f>IFERROR(IF($AV263="No",0,IF($AV263="yes",Summary!T263,"")),"")</f>
        <v>0</v>
      </c>
      <c r="AK263" s="100">
        <f>IFERROR(IF($AV263="No",0,IF($AV263="yes",Summary!U263,"")),"")</f>
        <v>0</v>
      </c>
      <c r="AL263" s="99">
        <f>IFERROR(IF($AV263="No",0,IF($AV263="yes",Summary!V263,"")),"")</f>
        <v>0</v>
      </c>
      <c r="AM263" s="99">
        <f>IFERROR(IF($AV263="No",0,IF($AV263="yes",Summary!W263,"")),"")</f>
        <v>0</v>
      </c>
      <c r="AN263" s="99">
        <f>IFERROR(IF($AV263="No",0,IF($AV263="yes",Summary!X263,"")),"")</f>
        <v>0</v>
      </c>
      <c r="AO263" s="99">
        <f>IFERROR(IF($AV263="No",0,IF($AV263="yes",Summary!Y263+Z263,"")),"")</f>
        <v>0</v>
      </c>
      <c r="AP263" s="99">
        <f>IFERROR(IF($AV263="No",0,IF($AV263="yes",Summary!AB263,"")),"")</f>
        <v>0</v>
      </c>
      <c r="AQ263" s="101" t="str">
        <f t="shared" si="57"/>
        <v/>
      </c>
      <c r="AR263" s="101" t="str">
        <f t="shared" si="58"/>
        <v/>
      </c>
      <c r="AS263" s="101" t="str">
        <f t="shared" si="59"/>
        <v/>
      </c>
      <c r="AT263" s="96" t="s">
        <v>677</v>
      </c>
      <c r="AV263" t="str">
        <f>IF('Proposed Lighting'!CN260&gt;0,"No","Yes")</f>
        <v>Yes</v>
      </c>
    </row>
    <row r="264" spans="1:48" ht="34.5" customHeight="1" outlineLevel="1">
      <c r="A264" s="96" t="s">
        <v>678</v>
      </c>
      <c r="B264" s="96" t="str">
        <f>IF(ISNUMBER(SEARCH("case",E264)),"COM_MISC_REFR_ALL_UNKN1991",IF('Proposed Lighting'!AU261=3,"Commercial-All Com-ExtLight",IF('Proposed Lighting'!AH261&gt;8759,"IPC_8760","Commercial-All Com-IntLight")))</f>
        <v>IPC_8760</v>
      </c>
      <c r="C264" s="96" t="str">
        <f>IF(OR('Proposed Lighting'!DD261="Standard Incentive",'Proposed Lighting'!DD261="Non-Standard Incentive"),"Yes",IF(AND(IF(ISNUMBER(SEARCH("controls",'Proposed Lighting'!T261)),"True","False")="False",'Proposed Lighting'!DD261="Submit Control as Non-Standard"),"Yes","No"))</f>
        <v>No</v>
      </c>
      <c r="D264" s="1403">
        <f>'Proposed Lighting'!CV261-Q264</f>
        <v>0</v>
      </c>
      <c r="E264" s="143">
        <f>'Proposed Lighting'!T261</f>
        <v>0</v>
      </c>
      <c r="F264" s="143">
        <f>'Proposed Lighting'!F261</f>
        <v>0</v>
      </c>
      <c r="G264" s="96" t="s">
        <v>242</v>
      </c>
      <c r="H264" s="142" t="str">
        <f>'Proposed Lighting'!CP261</f>
        <v/>
      </c>
      <c r="I264" s="98">
        <v>1</v>
      </c>
      <c r="J264" s="142">
        <f>'Proposed Lighting'!AA261</f>
        <v>0</v>
      </c>
      <c r="K264" s="142" t="str">
        <f>IF(ISNUMBER(SEARCH("-C",'Proposed Lighting'!M261)),'Proposed Lighting'!AH261*0.9,'Proposed Lighting'!AH261)</f>
        <v/>
      </c>
      <c r="L264" s="142">
        <f>IFERROR(IF(OR('Proposed Lighting'!BC261=22,'Proposed Lighting'!BC261=44),1-25%,IF(OR('Proposed Lighting'!BC261=23,'Proposed Lighting'!BC261=46),1-30%,IF(OR('Proposed Lighting'!BC261=29,'Proposed Lighting'!BC261=39,'Proposed Lighting'!BC261=49),1-35%,IF(OR('Proposed Lighting'!BC261=24,'Proposed Lighting'!BC261=48),1-50%,IF(AND(ISNUMBER(SEARCH("-C",'Proposed Lighting'!M261)),'Proposed Lighting'!AU261=2),90%,100%)))))*'Proposed Lighting'!AH261,0)</f>
        <v>0</v>
      </c>
      <c r="M264" s="87">
        <f t="shared" si="45"/>
        <v>0</v>
      </c>
      <c r="N264" s="87">
        <f>IFERROR(IF('Proposed Lighting'!AU261=1,0,'Proposed Lighting'!AO261),0)</f>
        <v>0</v>
      </c>
      <c r="O264" s="88">
        <f>IF('Proposed Lighting'!AU261=1,0,'Proposed Lighting'!AP261)</f>
        <v>0</v>
      </c>
      <c r="P264" s="87">
        <f t="shared" si="46"/>
        <v>0</v>
      </c>
      <c r="Q264" s="98">
        <f t="shared" si="55"/>
        <v>0</v>
      </c>
      <c r="R264" s="99">
        <f>IFERROR(IF('Proposed Lighting'!T261="Lighting controls only",0,ROUND(IF('Proposed Lighting'!AQ261&lt;'Proposed Lighting'!AR261,0,IF('Proposed Lighting'!AH261=0,0,IF('Proposed Lighting'!BV261&gt;0,'Proposed Lighting'!BV261,IF('Proposed Lighting'!CL261=0,MIN('Proposed Lighting'!CN261:CO261),IF('Proposed Lighting'!CX261&gt;0,'Proposed Lighting'!CX261*'Proposed Lighting'!AA261,0))))),2)),0)</f>
        <v>0</v>
      </c>
      <c r="S264" s="99">
        <f>IF('Proposed Lighting'!AJ261&gt;0,'Proposed Lighting'!AJ261*J264,'Proposed Lighting'!$AU$328*J264)</f>
        <v>0</v>
      </c>
      <c r="T264" s="602">
        <f t="shared" si="47"/>
        <v>0</v>
      </c>
      <c r="U264" s="100"/>
      <c r="V264" s="99">
        <f t="shared" si="48"/>
        <v>0</v>
      </c>
      <c r="W264" s="99">
        <f t="shared" si="49"/>
        <v>0</v>
      </c>
      <c r="X264" s="99">
        <f t="shared" si="50"/>
        <v>0</v>
      </c>
      <c r="Y264" s="99"/>
      <c r="Z264" s="99">
        <f t="shared" si="56"/>
        <v>0</v>
      </c>
      <c r="AA264" s="99"/>
      <c r="AB264" s="99">
        <f t="shared" si="51"/>
        <v>0</v>
      </c>
      <c r="AC264" s="101" t="str">
        <f t="shared" si="52"/>
        <v/>
      </c>
      <c r="AD264" s="101" t="str">
        <f t="shared" si="53"/>
        <v/>
      </c>
      <c r="AE264" s="101" t="str">
        <f t="shared" si="54"/>
        <v/>
      </c>
      <c r="AF264" s="72"/>
      <c r="AG264" s="98">
        <f>IFERROR(IF($AV264="No",0,IF($AV264="yes",Summary!Q264,"")),"")</f>
        <v>0</v>
      </c>
      <c r="AH264" s="99">
        <f>IFERROR(IF($AV264="No",0,IF($AV264="yes",Summary!R264,"")),"")</f>
        <v>0</v>
      </c>
      <c r="AI264" s="99">
        <f>IFERROR(IF($AV264="No",0,IF($AV264="yes",Summary!S264,"")),"")</f>
        <v>0</v>
      </c>
      <c r="AJ264" s="602">
        <f>IFERROR(IF($AV264="No",0,IF($AV264="yes",Summary!T264,"")),"")</f>
        <v>0</v>
      </c>
      <c r="AK264" s="100">
        <f>IFERROR(IF($AV264="No",0,IF($AV264="yes",Summary!U264,"")),"")</f>
        <v>0</v>
      </c>
      <c r="AL264" s="99">
        <f>IFERROR(IF($AV264="No",0,IF($AV264="yes",Summary!V264,"")),"")</f>
        <v>0</v>
      </c>
      <c r="AM264" s="99">
        <f>IFERROR(IF($AV264="No",0,IF($AV264="yes",Summary!W264,"")),"")</f>
        <v>0</v>
      </c>
      <c r="AN264" s="99">
        <f>IFERROR(IF($AV264="No",0,IF($AV264="yes",Summary!X264,"")),"")</f>
        <v>0</v>
      </c>
      <c r="AO264" s="99">
        <f>IFERROR(IF($AV264="No",0,IF($AV264="yes",Summary!Y264+Z264,"")),"")</f>
        <v>0</v>
      </c>
      <c r="AP264" s="99">
        <f>IFERROR(IF($AV264="No",0,IF($AV264="yes",Summary!AB264,"")),"")</f>
        <v>0</v>
      </c>
      <c r="AQ264" s="101" t="str">
        <f t="shared" si="57"/>
        <v/>
      </c>
      <c r="AR264" s="101" t="str">
        <f t="shared" si="58"/>
        <v/>
      </c>
      <c r="AS264" s="101" t="str">
        <f t="shared" si="59"/>
        <v/>
      </c>
      <c r="AT264" s="96" t="s">
        <v>678</v>
      </c>
      <c r="AV264" t="str">
        <f>IF('Proposed Lighting'!CN261&gt;0,"No","Yes")</f>
        <v>Yes</v>
      </c>
    </row>
    <row r="265" spans="1:48" ht="34.5" customHeight="1" outlineLevel="1">
      <c r="A265" s="96" t="s">
        <v>679</v>
      </c>
      <c r="B265" s="96" t="str">
        <f>IF(ISNUMBER(SEARCH("case",E265)),"COM_MISC_REFR_ALL_UNKN1991",IF('Proposed Lighting'!AU262=3,"Commercial-All Com-ExtLight",IF('Proposed Lighting'!AH262&gt;8759,"IPC_8760","Commercial-All Com-IntLight")))</f>
        <v>IPC_8760</v>
      </c>
      <c r="C265" s="96" t="str">
        <f>IF(OR('Proposed Lighting'!DD262="Standard Incentive",'Proposed Lighting'!DD262="Non-Standard Incentive"),"Yes",IF(AND(IF(ISNUMBER(SEARCH("controls",'Proposed Lighting'!T262)),"True","False")="False",'Proposed Lighting'!DD262="Submit Control as Non-Standard"),"Yes","No"))</f>
        <v>No</v>
      </c>
      <c r="D265" s="1403">
        <f>'Proposed Lighting'!CV262-Q265</f>
        <v>0</v>
      </c>
      <c r="E265" s="143">
        <f>'Proposed Lighting'!T262</f>
        <v>0</v>
      </c>
      <c r="F265" s="143">
        <f>'Proposed Lighting'!F262</f>
        <v>0</v>
      </c>
      <c r="G265" s="96" t="s">
        <v>242</v>
      </c>
      <c r="H265" s="142" t="str">
        <f>'Proposed Lighting'!CP262</f>
        <v/>
      </c>
      <c r="I265" s="98">
        <v>1</v>
      </c>
      <c r="J265" s="142">
        <f>'Proposed Lighting'!AA262</f>
        <v>0</v>
      </c>
      <c r="K265" s="142" t="str">
        <f>IF(ISNUMBER(SEARCH("-C",'Proposed Lighting'!M262)),'Proposed Lighting'!AH262*0.9,'Proposed Lighting'!AH262)</f>
        <v/>
      </c>
      <c r="L265" s="142">
        <f>IFERROR(IF(OR('Proposed Lighting'!BC262=22,'Proposed Lighting'!BC262=44),1-25%,IF(OR('Proposed Lighting'!BC262=23,'Proposed Lighting'!BC262=46),1-30%,IF(OR('Proposed Lighting'!BC262=29,'Proposed Lighting'!BC262=39,'Proposed Lighting'!BC262=49),1-35%,IF(OR('Proposed Lighting'!BC262=24,'Proposed Lighting'!BC262=48),1-50%,IF(AND(ISNUMBER(SEARCH("-C",'Proposed Lighting'!M262)),'Proposed Lighting'!AU262=2),90%,100%)))))*'Proposed Lighting'!AH262,0)</f>
        <v>0</v>
      </c>
      <c r="M265" s="87">
        <f t="shared" si="45"/>
        <v>0</v>
      </c>
      <c r="N265" s="87">
        <f>IFERROR(IF('Proposed Lighting'!AU262=1,0,'Proposed Lighting'!AO262),0)</f>
        <v>0</v>
      </c>
      <c r="O265" s="88">
        <f>IF('Proposed Lighting'!AU262=1,0,'Proposed Lighting'!AP262)</f>
        <v>0</v>
      </c>
      <c r="P265" s="87">
        <f t="shared" si="46"/>
        <v>0</v>
      </c>
      <c r="Q265" s="98">
        <f t="shared" si="55"/>
        <v>0</v>
      </c>
      <c r="R265" s="99">
        <f>IFERROR(IF('Proposed Lighting'!T262="Lighting controls only",0,ROUND(IF('Proposed Lighting'!AQ262&lt;'Proposed Lighting'!AR262,0,IF('Proposed Lighting'!AH262=0,0,IF('Proposed Lighting'!BV262&gt;0,'Proposed Lighting'!BV262,IF('Proposed Lighting'!CL262=0,MIN('Proposed Lighting'!CN262:CO262),IF('Proposed Lighting'!CX262&gt;0,'Proposed Lighting'!CX262*'Proposed Lighting'!AA262,0))))),2)),0)</f>
        <v>0</v>
      </c>
      <c r="S265" s="99">
        <f>IF('Proposed Lighting'!AJ262&gt;0,'Proposed Lighting'!AJ262*J265,'Proposed Lighting'!$AU$328*J265)</f>
        <v>0</v>
      </c>
      <c r="T265" s="602">
        <f t="shared" si="47"/>
        <v>0</v>
      </c>
      <c r="U265" s="100"/>
      <c r="V265" s="99">
        <f t="shared" si="48"/>
        <v>0</v>
      </c>
      <c r="W265" s="99">
        <f t="shared" si="49"/>
        <v>0</v>
      </c>
      <c r="X265" s="99">
        <f t="shared" si="50"/>
        <v>0</v>
      </c>
      <c r="Y265" s="99"/>
      <c r="Z265" s="99">
        <f t="shared" si="56"/>
        <v>0</v>
      </c>
      <c r="AA265" s="99"/>
      <c r="AB265" s="99">
        <f t="shared" si="51"/>
        <v>0</v>
      </c>
      <c r="AC265" s="101" t="str">
        <f t="shared" si="52"/>
        <v/>
      </c>
      <c r="AD265" s="101" t="str">
        <f t="shared" si="53"/>
        <v/>
      </c>
      <c r="AE265" s="101" t="str">
        <f t="shared" si="54"/>
        <v/>
      </c>
      <c r="AF265" s="72"/>
      <c r="AG265" s="98">
        <f>IFERROR(IF($AV265="No",0,IF($AV265="yes",Summary!Q265,"")),"")</f>
        <v>0</v>
      </c>
      <c r="AH265" s="99">
        <f>IFERROR(IF($AV265="No",0,IF($AV265="yes",Summary!R265,"")),"")</f>
        <v>0</v>
      </c>
      <c r="AI265" s="99">
        <f>IFERROR(IF($AV265="No",0,IF($AV265="yes",Summary!S265,"")),"")</f>
        <v>0</v>
      </c>
      <c r="AJ265" s="602">
        <f>IFERROR(IF($AV265="No",0,IF($AV265="yes",Summary!T265,"")),"")</f>
        <v>0</v>
      </c>
      <c r="AK265" s="100">
        <f>IFERROR(IF($AV265="No",0,IF($AV265="yes",Summary!U265,"")),"")</f>
        <v>0</v>
      </c>
      <c r="AL265" s="99">
        <f>IFERROR(IF($AV265="No",0,IF($AV265="yes",Summary!V265,"")),"")</f>
        <v>0</v>
      </c>
      <c r="AM265" s="99">
        <f>IFERROR(IF($AV265="No",0,IF($AV265="yes",Summary!W265,"")),"")</f>
        <v>0</v>
      </c>
      <c r="AN265" s="99">
        <f>IFERROR(IF($AV265="No",0,IF($AV265="yes",Summary!X265,"")),"")</f>
        <v>0</v>
      </c>
      <c r="AO265" s="99">
        <f>IFERROR(IF($AV265="No",0,IF($AV265="yes",Summary!Y265+Z265,"")),"")</f>
        <v>0</v>
      </c>
      <c r="AP265" s="99">
        <f>IFERROR(IF($AV265="No",0,IF($AV265="yes",Summary!AB265,"")),"")</f>
        <v>0</v>
      </c>
      <c r="AQ265" s="101" t="str">
        <f t="shared" si="57"/>
        <v/>
      </c>
      <c r="AR265" s="101" t="str">
        <f t="shared" si="58"/>
        <v/>
      </c>
      <c r="AS265" s="101" t="str">
        <f t="shared" si="59"/>
        <v/>
      </c>
      <c r="AT265" s="96" t="s">
        <v>679</v>
      </c>
      <c r="AV265" t="str">
        <f>IF('Proposed Lighting'!CN262&gt;0,"No","Yes")</f>
        <v>Yes</v>
      </c>
    </row>
    <row r="266" spans="1:48" ht="34.5" customHeight="1" outlineLevel="1">
      <c r="A266" s="96" t="s">
        <v>680</v>
      </c>
      <c r="B266" s="96" t="str">
        <f>IF(ISNUMBER(SEARCH("case",E266)),"COM_MISC_REFR_ALL_UNKN1991",IF('Proposed Lighting'!AU263=3,"Commercial-All Com-ExtLight",IF('Proposed Lighting'!AH263&gt;8759,"IPC_8760","Commercial-All Com-IntLight")))</f>
        <v>IPC_8760</v>
      </c>
      <c r="C266" s="96" t="str">
        <f>IF(OR('Proposed Lighting'!DD263="Standard Incentive",'Proposed Lighting'!DD263="Non-Standard Incentive"),"Yes",IF(AND(IF(ISNUMBER(SEARCH("controls",'Proposed Lighting'!T263)),"True","False")="False",'Proposed Lighting'!DD263="Submit Control as Non-Standard"),"Yes","No"))</f>
        <v>No</v>
      </c>
      <c r="D266" s="1403">
        <f>'Proposed Lighting'!CV263-Q266</f>
        <v>0</v>
      </c>
      <c r="E266" s="143">
        <f>'Proposed Lighting'!T263</f>
        <v>0</v>
      </c>
      <c r="F266" s="143">
        <f>'Proposed Lighting'!F263</f>
        <v>0</v>
      </c>
      <c r="G266" s="96" t="s">
        <v>242</v>
      </c>
      <c r="H266" s="142" t="str">
        <f>'Proposed Lighting'!CP263</f>
        <v/>
      </c>
      <c r="I266" s="98">
        <v>1</v>
      </c>
      <c r="J266" s="142">
        <f>'Proposed Lighting'!AA263</f>
        <v>0</v>
      </c>
      <c r="K266" s="142" t="str">
        <f>IF(ISNUMBER(SEARCH("-C",'Proposed Lighting'!M263)),'Proposed Lighting'!AH263*0.9,'Proposed Lighting'!AH263)</f>
        <v/>
      </c>
      <c r="L266" s="142">
        <f>IFERROR(IF(OR('Proposed Lighting'!BC263=22,'Proposed Lighting'!BC263=44),1-25%,IF(OR('Proposed Lighting'!BC263=23,'Proposed Lighting'!BC263=46),1-30%,IF(OR('Proposed Lighting'!BC263=29,'Proposed Lighting'!BC263=39,'Proposed Lighting'!BC263=49),1-35%,IF(OR('Proposed Lighting'!BC263=24,'Proposed Lighting'!BC263=48),1-50%,IF(AND(ISNUMBER(SEARCH("-C",'Proposed Lighting'!M263)),'Proposed Lighting'!AU263=2),90%,100%)))))*'Proposed Lighting'!AH263,0)</f>
        <v>0</v>
      </c>
      <c r="M266" s="87">
        <f t="shared" si="45"/>
        <v>0</v>
      </c>
      <c r="N266" s="87">
        <f>IFERROR(IF('Proposed Lighting'!AU263=1,0,'Proposed Lighting'!AO263),0)</f>
        <v>0</v>
      </c>
      <c r="O266" s="88">
        <f>IF('Proposed Lighting'!AU263=1,0,'Proposed Lighting'!AP263)</f>
        <v>0</v>
      </c>
      <c r="P266" s="87">
        <f t="shared" si="46"/>
        <v>0</v>
      </c>
      <c r="Q266" s="98">
        <f t="shared" si="55"/>
        <v>0</v>
      </c>
      <c r="R266" s="99">
        <f>IFERROR(IF('Proposed Lighting'!T263="Lighting controls only",0,ROUND(IF('Proposed Lighting'!AQ263&lt;'Proposed Lighting'!AR263,0,IF('Proposed Lighting'!AH263=0,0,IF('Proposed Lighting'!BV263&gt;0,'Proposed Lighting'!BV263,IF('Proposed Lighting'!CL263=0,MIN('Proposed Lighting'!CN263:CO263),IF('Proposed Lighting'!CX263&gt;0,'Proposed Lighting'!CX263*'Proposed Lighting'!AA263,0))))),2)),0)</f>
        <v>0</v>
      </c>
      <c r="S266" s="99">
        <f>IF('Proposed Lighting'!AJ263&gt;0,'Proposed Lighting'!AJ263*J266,'Proposed Lighting'!$AU$328*J266)</f>
        <v>0</v>
      </c>
      <c r="T266" s="602">
        <f t="shared" si="47"/>
        <v>0</v>
      </c>
      <c r="U266" s="100"/>
      <c r="V266" s="99">
        <f t="shared" si="48"/>
        <v>0</v>
      </c>
      <c r="W266" s="99">
        <f t="shared" si="49"/>
        <v>0</v>
      </c>
      <c r="X266" s="99">
        <f t="shared" si="50"/>
        <v>0</v>
      </c>
      <c r="Y266" s="99"/>
      <c r="Z266" s="99">
        <f t="shared" si="56"/>
        <v>0</v>
      </c>
      <c r="AA266" s="99"/>
      <c r="AB266" s="99">
        <f t="shared" si="51"/>
        <v>0</v>
      </c>
      <c r="AC266" s="101" t="str">
        <f t="shared" si="52"/>
        <v/>
      </c>
      <c r="AD266" s="101" t="str">
        <f t="shared" si="53"/>
        <v/>
      </c>
      <c r="AE266" s="101" t="str">
        <f t="shared" si="54"/>
        <v/>
      </c>
      <c r="AF266" s="72"/>
      <c r="AG266" s="98">
        <f>IFERROR(IF($AV266="No",0,IF($AV266="yes",Summary!Q266,"")),"")</f>
        <v>0</v>
      </c>
      <c r="AH266" s="99">
        <f>IFERROR(IF($AV266="No",0,IF($AV266="yes",Summary!R266,"")),"")</f>
        <v>0</v>
      </c>
      <c r="AI266" s="99">
        <f>IFERROR(IF($AV266="No",0,IF($AV266="yes",Summary!S266,"")),"")</f>
        <v>0</v>
      </c>
      <c r="AJ266" s="602">
        <f>IFERROR(IF($AV266="No",0,IF($AV266="yes",Summary!T266,"")),"")</f>
        <v>0</v>
      </c>
      <c r="AK266" s="100">
        <f>IFERROR(IF($AV266="No",0,IF($AV266="yes",Summary!U266,"")),"")</f>
        <v>0</v>
      </c>
      <c r="AL266" s="99">
        <f>IFERROR(IF($AV266="No",0,IF($AV266="yes",Summary!V266,"")),"")</f>
        <v>0</v>
      </c>
      <c r="AM266" s="99">
        <f>IFERROR(IF($AV266="No",0,IF($AV266="yes",Summary!W266,"")),"")</f>
        <v>0</v>
      </c>
      <c r="AN266" s="99">
        <f>IFERROR(IF($AV266="No",0,IF($AV266="yes",Summary!X266,"")),"")</f>
        <v>0</v>
      </c>
      <c r="AO266" s="99">
        <f>IFERROR(IF($AV266="No",0,IF($AV266="yes",Summary!Y266+Z266,"")),"")</f>
        <v>0</v>
      </c>
      <c r="AP266" s="99">
        <f>IFERROR(IF($AV266="No",0,IF($AV266="yes",Summary!AB266,"")),"")</f>
        <v>0</v>
      </c>
      <c r="AQ266" s="101" t="str">
        <f t="shared" si="57"/>
        <v/>
      </c>
      <c r="AR266" s="101" t="str">
        <f t="shared" si="58"/>
        <v/>
      </c>
      <c r="AS266" s="101" t="str">
        <f t="shared" si="59"/>
        <v/>
      </c>
      <c r="AT266" s="96" t="s">
        <v>680</v>
      </c>
      <c r="AV266" t="str">
        <f>IF('Proposed Lighting'!CN263&gt;0,"No","Yes")</f>
        <v>Yes</v>
      </c>
    </row>
    <row r="267" spans="1:48" ht="34.5" customHeight="1" outlineLevel="1">
      <c r="A267" s="96" t="s">
        <v>681</v>
      </c>
      <c r="B267" s="96" t="str">
        <f>IF(ISNUMBER(SEARCH("case",E267)),"COM_MISC_REFR_ALL_UNKN1991",IF('Proposed Lighting'!AU264=3,"Commercial-All Com-ExtLight",IF('Proposed Lighting'!AH264&gt;8759,"IPC_8760","Commercial-All Com-IntLight")))</f>
        <v>IPC_8760</v>
      </c>
      <c r="C267" s="96" t="str">
        <f>IF(OR('Proposed Lighting'!DD264="Standard Incentive",'Proposed Lighting'!DD264="Non-Standard Incentive"),"Yes",IF(AND(IF(ISNUMBER(SEARCH("controls",'Proposed Lighting'!T264)),"True","False")="False",'Proposed Lighting'!DD264="Submit Control as Non-Standard"),"Yes","No"))</f>
        <v>No</v>
      </c>
      <c r="D267" s="1403">
        <f>'Proposed Lighting'!CV264-Q267</f>
        <v>0</v>
      </c>
      <c r="E267" s="143">
        <f>'Proposed Lighting'!T264</f>
        <v>0</v>
      </c>
      <c r="F267" s="143">
        <f>'Proposed Lighting'!F264</f>
        <v>0</v>
      </c>
      <c r="G267" s="96" t="s">
        <v>242</v>
      </c>
      <c r="H267" s="142" t="str">
        <f>'Proposed Lighting'!CP264</f>
        <v/>
      </c>
      <c r="I267" s="98">
        <v>1</v>
      </c>
      <c r="J267" s="142">
        <f>'Proposed Lighting'!AA264</f>
        <v>0</v>
      </c>
      <c r="K267" s="142" t="str">
        <f>IF(ISNUMBER(SEARCH("-C",'Proposed Lighting'!M264)),'Proposed Lighting'!AH264*0.9,'Proposed Lighting'!AH264)</f>
        <v/>
      </c>
      <c r="L267" s="142">
        <f>IFERROR(IF(OR('Proposed Lighting'!BC264=22,'Proposed Lighting'!BC264=44),1-25%,IF(OR('Proposed Lighting'!BC264=23,'Proposed Lighting'!BC264=46),1-30%,IF(OR('Proposed Lighting'!BC264=29,'Proposed Lighting'!BC264=39,'Proposed Lighting'!BC264=49),1-35%,IF(OR('Proposed Lighting'!BC264=24,'Proposed Lighting'!BC264=48),1-50%,IF(AND(ISNUMBER(SEARCH("-C",'Proposed Lighting'!M264)),'Proposed Lighting'!AU264=2),90%,100%)))))*'Proposed Lighting'!AH264,0)</f>
        <v>0</v>
      </c>
      <c r="M267" s="87">
        <f t="shared" si="45"/>
        <v>0</v>
      </c>
      <c r="N267" s="87">
        <f>IFERROR(IF('Proposed Lighting'!AU264=1,0,'Proposed Lighting'!AO264),0)</f>
        <v>0</v>
      </c>
      <c r="O267" s="88">
        <f>IF('Proposed Lighting'!AU264=1,0,'Proposed Lighting'!AP264)</f>
        <v>0</v>
      </c>
      <c r="P267" s="87">
        <f t="shared" si="46"/>
        <v>0</v>
      </c>
      <c r="Q267" s="98">
        <f t="shared" si="55"/>
        <v>0</v>
      </c>
      <c r="R267" s="99">
        <f>IFERROR(IF('Proposed Lighting'!T264="Lighting controls only",0,ROUND(IF('Proposed Lighting'!AQ264&lt;'Proposed Lighting'!AR264,0,IF('Proposed Lighting'!AH264=0,0,IF('Proposed Lighting'!BV264&gt;0,'Proposed Lighting'!BV264,IF('Proposed Lighting'!CL264=0,MIN('Proposed Lighting'!CN264:CO264),IF('Proposed Lighting'!CX264&gt;0,'Proposed Lighting'!CX264*'Proposed Lighting'!AA264,0))))),2)),0)</f>
        <v>0</v>
      </c>
      <c r="S267" s="99">
        <f>IF('Proposed Lighting'!AJ264&gt;0,'Proposed Lighting'!AJ264*J267,'Proposed Lighting'!$AU$328*J267)</f>
        <v>0</v>
      </c>
      <c r="T267" s="602">
        <f t="shared" si="47"/>
        <v>0</v>
      </c>
      <c r="U267" s="100"/>
      <c r="V267" s="99">
        <f t="shared" si="48"/>
        <v>0</v>
      </c>
      <c r="W267" s="99">
        <f t="shared" si="49"/>
        <v>0</v>
      </c>
      <c r="X267" s="99">
        <f t="shared" si="50"/>
        <v>0</v>
      </c>
      <c r="Y267" s="99"/>
      <c r="Z267" s="99">
        <f t="shared" si="56"/>
        <v>0</v>
      </c>
      <c r="AA267" s="99"/>
      <c r="AB267" s="99">
        <f t="shared" si="51"/>
        <v>0</v>
      </c>
      <c r="AC267" s="101" t="str">
        <f t="shared" si="52"/>
        <v/>
      </c>
      <c r="AD267" s="101" t="str">
        <f t="shared" si="53"/>
        <v/>
      </c>
      <c r="AE267" s="101" t="str">
        <f t="shared" si="54"/>
        <v/>
      </c>
      <c r="AF267" s="72"/>
      <c r="AG267" s="98">
        <f>IFERROR(IF($AV267="No",0,IF($AV267="yes",Summary!Q267,"")),"")</f>
        <v>0</v>
      </c>
      <c r="AH267" s="99">
        <f>IFERROR(IF($AV267="No",0,IF($AV267="yes",Summary!R267,"")),"")</f>
        <v>0</v>
      </c>
      <c r="AI267" s="99">
        <f>IFERROR(IF($AV267="No",0,IF($AV267="yes",Summary!S267,"")),"")</f>
        <v>0</v>
      </c>
      <c r="AJ267" s="602">
        <f>IFERROR(IF($AV267="No",0,IF($AV267="yes",Summary!T267,"")),"")</f>
        <v>0</v>
      </c>
      <c r="AK267" s="100">
        <f>IFERROR(IF($AV267="No",0,IF($AV267="yes",Summary!U267,"")),"")</f>
        <v>0</v>
      </c>
      <c r="AL267" s="99">
        <f>IFERROR(IF($AV267="No",0,IF($AV267="yes",Summary!V267,"")),"")</f>
        <v>0</v>
      </c>
      <c r="AM267" s="99">
        <f>IFERROR(IF($AV267="No",0,IF($AV267="yes",Summary!W267,"")),"")</f>
        <v>0</v>
      </c>
      <c r="AN267" s="99">
        <f>IFERROR(IF($AV267="No",0,IF($AV267="yes",Summary!X267,"")),"")</f>
        <v>0</v>
      </c>
      <c r="AO267" s="99">
        <f>IFERROR(IF($AV267="No",0,IF($AV267="yes",Summary!Y267+Z267,"")),"")</f>
        <v>0</v>
      </c>
      <c r="AP267" s="99">
        <f>IFERROR(IF($AV267="No",0,IF($AV267="yes",Summary!AB267,"")),"")</f>
        <v>0</v>
      </c>
      <c r="AQ267" s="101" t="str">
        <f t="shared" si="57"/>
        <v/>
      </c>
      <c r="AR267" s="101" t="str">
        <f t="shared" si="58"/>
        <v/>
      </c>
      <c r="AS267" s="101" t="str">
        <f t="shared" si="59"/>
        <v/>
      </c>
      <c r="AT267" s="96" t="s">
        <v>681</v>
      </c>
      <c r="AV267" t="str">
        <f>IF('Proposed Lighting'!CN264&gt;0,"No","Yes")</f>
        <v>Yes</v>
      </c>
    </row>
    <row r="268" spans="1:48" ht="34.5" customHeight="1" outlineLevel="1">
      <c r="A268" s="96" t="s">
        <v>682</v>
      </c>
      <c r="B268" s="96" t="str">
        <f>IF(ISNUMBER(SEARCH("case",E268)),"COM_MISC_REFR_ALL_UNKN1991",IF('Proposed Lighting'!AU265=3,"Commercial-All Com-ExtLight",IF('Proposed Lighting'!AH265&gt;8759,"IPC_8760","Commercial-All Com-IntLight")))</f>
        <v>IPC_8760</v>
      </c>
      <c r="C268" s="96" t="str">
        <f>IF(OR('Proposed Lighting'!DD265="Standard Incentive",'Proposed Lighting'!DD265="Non-Standard Incentive"),"Yes",IF(AND(IF(ISNUMBER(SEARCH("controls",'Proposed Lighting'!T265)),"True","False")="False",'Proposed Lighting'!DD265="Submit Control as Non-Standard"),"Yes","No"))</f>
        <v>No</v>
      </c>
      <c r="D268" s="1403">
        <f>'Proposed Lighting'!CV265-Q268</f>
        <v>0</v>
      </c>
      <c r="E268" s="143">
        <f>'Proposed Lighting'!T265</f>
        <v>0</v>
      </c>
      <c r="F268" s="143">
        <f>'Proposed Lighting'!F265</f>
        <v>0</v>
      </c>
      <c r="G268" s="96" t="s">
        <v>242</v>
      </c>
      <c r="H268" s="142" t="str">
        <f>'Proposed Lighting'!CP265</f>
        <v/>
      </c>
      <c r="I268" s="98">
        <v>1</v>
      </c>
      <c r="J268" s="142">
        <f>'Proposed Lighting'!AA265</f>
        <v>0</v>
      </c>
      <c r="K268" s="142" t="str">
        <f>IF(ISNUMBER(SEARCH("-C",'Proposed Lighting'!M265)),'Proposed Lighting'!AH265*0.9,'Proposed Lighting'!AH265)</f>
        <v/>
      </c>
      <c r="L268" s="142">
        <f>IFERROR(IF(OR('Proposed Lighting'!BC265=22,'Proposed Lighting'!BC265=44),1-25%,IF(OR('Proposed Lighting'!BC265=23,'Proposed Lighting'!BC265=46),1-30%,IF(OR('Proposed Lighting'!BC265=29,'Proposed Lighting'!BC265=39,'Proposed Lighting'!BC265=49),1-35%,IF(OR('Proposed Lighting'!BC265=24,'Proposed Lighting'!BC265=48),1-50%,IF(AND(ISNUMBER(SEARCH("-C",'Proposed Lighting'!M265)),'Proposed Lighting'!AU265=2),90%,100%)))))*'Proposed Lighting'!AH265,0)</f>
        <v>0</v>
      </c>
      <c r="M268" s="87">
        <f t="shared" ref="M268:M331" si="60">IFERROR(K268-L268,0)</f>
        <v>0</v>
      </c>
      <c r="N268" s="87">
        <f>IFERROR(IF('Proposed Lighting'!AU265=1,0,'Proposed Lighting'!AO265),0)</f>
        <v>0</v>
      </c>
      <c r="O268" s="88">
        <f>IF('Proposed Lighting'!AU265=1,0,'Proposed Lighting'!AP265)</f>
        <v>0</v>
      </c>
      <c r="P268" s="87">
        <f t="shared" ref="P268:P311" si="61">N268-O268</f>
        <v>0</v>
      </c>
      <c r="Q268" s="98">
        <f t="shared" si="55"/>
        <v>0</v>
      </c>
      <c r="R268" s="99">
        <f>IFERROR(IF('Proposed Lighting'!T265="Lighting controls only",0,ROUND(IF('Proposed Lighting'!AQ265&lt;'Proposed Lighting'!AR265,0,IF('Proposed Lighting'!AH265=0,0,IF('Proposed Lighting'!BV265&gt;0,'Proposed Lighting'!BV265,IF('Proposed Lighting'!CL265=0,MIN('Proposed Lighting'!CN265:CO265),IF('Proposed Lighting'!CX265&gt;0,'Proposed Lighting'!CX265*'Proposed Lighting'!AA265,0))))),2)),0)</f>
        <v>0</v>
      </c>
      <c r="S268" s="99">
        <f>IF('Proposed Lighting'!AJ265&gt;0,'Proposed Lighting'!AJ265*J268,'Proposed Lighting'!$AU$328*J268)</f>
        <v>0</v>
      </c>
      <c r="T268" s="602">
        <f t="shared" ref="T268:T311" si="62">IF(Q268=0,0,S268/SUM($S$12:$S$311))</f>
        <v>0</v>
      </c>
      <c r="U268" s="100"/>
      <c r="V268" s="99">
        <f t="shared" ref="V268:V331" si="63">IFERROR((PV($C$6,$H268,-(IF(Q268=0,Q268,Q268)))*$C$7)*((1+$C$6)^0.5),0)</f>
        <v>0</v>
      </c>
      <c r="W268" s="99">
        <f t="shared" ref="W268:W331" si="64">IFERROR((VLOOKUP($B268,loadshapeac,$H268+1,FALSE)*$Q268),0)</f>
        <v>0</v>
      </c>
      <c r="X268" s="99">
        <f t="shared" ref="X268:X331" si="65">IFERROR((VLOOKUP($B268,loadshapeac,$H268+1,FALSE)*$Q268)*1.1,0)</f>
        <v>0</v>
      </c>
      <c r="Y268" s="99"/>
      <c r="Z268" s="99">
        <f t="shared" si="56"/>
        <v>0</v>
      </c>
      <c r="AA268" s="99"/>
      <c r="AB268" s="99">
        <f t="shared" ref="AB268:AB331" si="66">IFERROR(PV($C$6,$H268,-$AA268)*((1+$C$6)^0.5),0)</f>
        <v>0</v>
      </c>
      <c r="AC268" s="101" t="str">
        <f t="shared" ref="AC268:AC331" si="67">IFERROR(IF($Q268&lt;0,"",(V268+R268+Y268+Z268+AB268)/(S268)),"")</f>
        <v/>
      </c>
      <c r="AD268" s="101" t="str">
        <f t="shared" ref="AD268:AD331" si="68">IFERROR(IF($Q268&lt;0,"",(I268*W268)/(((IF(Q268=0,Q268,Q268))*U268)+R268)),"")</f>
        <v/>
      </c>
      <c r="AE268" s="101" t="str">
        <f t="shared" ref="AE268:AE331" si="69">IFERROR(IF($Q268&lt;0,"",IF(S268=0,((X268+Y268+Z268+AB268)*I268)/((Q268*U268)+R268),((X268+Y268+Z268+AB268)*I268)/((Q268*U268)+R268+((S268-R268)*I268)))),"")</f>
        <v/>
      </c>
      <c r="AF268" s="72"/>
      <c r="AG268" s="98">
        <f>IFERROR(IF($AV268="No",0,IF($AV268="yes",Summary!Q268,"")),"")</f>
        <v>0</v>
      </c>
      <c r="AH268" s="99">
        <f>IFERROR(IF($AV268="No",0,IF($AV268="yes",Summary!R268,"")),"")</f>
        <v>0</v>
      </c>
      <c r="AI268" s="99">
        <f>IFERROR(IF($AV268="No",0,IF($AV268="yes",Summary!S268,"")),"")</f>
        <v>0</v>
      </c>
      <c r="AJ268" s="602">
        <f>IFERROR(IF($AV268="No",0,IF($AV268="yes",Summary!T268,"")),"")</f>
        <v>0</v>
      </c>
      <c r="AK268" s="100">
        <f>IFERROR(IF($AV268="No",0,IF($AV268="yes",Summary!U268,"")),"")</f>
        <v>0</v>
      </c>
      <c r="AL268" s="99">
        <f>IFERROR(IF($AV268="No",0,IF($AV268="yes",Summary!V268,"")),"")</f>
        <v>0</v>
      </c>
      <c r="AM268" s="99">
        <f>IFERROR(IF($AV268="No",0,IF($AV268="yes",Summary!W268,"")),"")</f>
        <v>0</v>
      </c>
      <c r="AN268" s="99">
        <f>IFERROR(IF($AV268="No",0,IF($AV268="yes",Summary!X268,"")),"")</f>
        <v>0</v>
      </c>
      <c r="AO268" s="99">
        <f>IFERROR(IF($AV268="No",0,IF($AV268="yes",Summary!Y268+Z268,"")),"")</f>
        <v>0</v>
      </c>
      <c r="AP268" s="99">
        <f>IFERROR(IF($AV268="No",0,IF($AV268="yes",Summary!AB268,"")),"")</f>
        <v>0</v>
      </c>
      <c r="AQ268" s="101" t="str">
        <f t="shared" si="57"/>
        <v/>
      </c>
      <c r="AR268" s="101" t="str">
        <f t="shared" si="58"/>
        <v/>
      </c>
      <c r="AS268" s="101" t="str">
        <f t="shared" si="59"/>
        <v/>
      </c>
      <c r="AT268" s="96" t="s">
        <v>682</v>
      </c>
      <c r="AV268" t="str">
        <f>IF('Proposed Lighting'!CN265&gt;0,"No","Yes")</f>
        <v>Yes</v>
      </c>
    </row>
    <row r="269" spans="1:48" ht="34.5" customHeight="1" outlineLevel="1">
      <c r="A269" s="96" t="s">
        <v>683</v>
      </c>
      <c r="B269" s="96" t="str">
        <f>IF(ISNUMBER(SEARCH("case",E269)),"COM_MISC_REFR_ALL_UNKN1991",IF('Proposed Lighting'!AU266=3,"Commercial-All Com-ExtLight",IF('Proposed Lighting'!AH266&gt;8759,"IPC_8760","Commercial-All Com-IntLight")))</f>
        <v>IPC_8760</v>
      </c>
      <c r="C269" s="96" t="str">
        <f>IF(OR('Proposed Lighting'!DD266="Standard Incentive",'Proposed Lighting'!DD266="Non-Standard Incentive"),"Yes",IF(AND(IF(ISNUMBER(SEARCH("controls",'Proposed Lighting'!T266)),"True","False")="False",'Proposed Lighting'!DD266="Submit Control as Non-Standard"),"Yes","No"))</f>
        <v>No</v>
      </c>
      <c r="D269" s="1403">
        <f>'Proposed Lighting'!CV266-Q269</f>
        <v>0</v>
      </c>
      <c r="E269" s="143">
        <f>'Proposed Lighting'!T266</f>
        <v>0</v>
      </c>
      <c r="F269" s="143">
        <f>'Proposed Lighting'!F266</f>
        <v>0</v>
      </c>
      <c r="G269" s="96" t="s">
        <v>242</v>
      </c>
      <c r="H269" s="142" t="str">
        <f>'Proposed Lighting'!CP266</f>
        <v/>
      </c>
      <c r="I269" s="98">
        <v>1</v>
      </c>
      <c r="J269" s="142">
        <f>'Proposed Lighting'!AA266</f>
        <v>0</v>
      </c>
      <c r="K269" s="142" t="str">
        <f>IF(ISNUMBER(SEARCH("-C",'Proposed Lighting'!M266)),'Proposed Lighting'!AH266*0.9,'Proposed Lighting'!AH266)</f>
        <v/>
      </c>
      <c r="L269" s="142">
        <f>IFERROR(IF(OR('Proposed Lighting'!BC266=22,'Proposed Lighting'!BC266=44),1-25%,IF(OR('Proposed Lighting'!BC266=23,'Proposed Lighting'!BC266=46),1-30%,IF(OR('Proposed Lighting'!BC266=29,'Proposed Lighting'!BC266=39,'Proposed Lighting'!BC266=49),1-35%,IF(OR('Proposed Lighting'!BC266=24,'Proposed Lighting'!BC266=48),1-50%,IF(AND(ISNUMBER(SEARCH("-C",'Proposed Lighting'!M266)),'Proposed Lighting'!AU266=2),90%,100%)))))*'Proposed Lighting'!AH266,0)</f>
        <v>0</v>
      </c>
      <c r="M269" s="87">
        <f t="shared" si="60"/>
        <v>0</v>
      </c>
      <c r="N269" s="87">
        <f>IFERROR(IF('Proposed Lighting'!AU266=1,0,'Proposed Lighting'!AO266),0)</f>
        <v>0</v>
      </c>
      <c r="O269" s="88">
        <f>IF('Proposed Lighting'!AU266=1,0,'Proposed Lighting'!AP266)</f>
        <v>0</v>
      </c>
      <c r="P269" s="87">
        <f t="shared" si="61"/>
        <v>0</v>
      </c>
      <c r="Q269" s="98">
        <f t="shared" ref="Q269:Q311" si="70">IFERROR(ROUND(ROUND(IF(((K269*N269)-(L269*O269))&lt;0,0,(K269*N269)-(L269*O269)),2),0),0)</f>
        <v>0</v>
      </c>
      <c r="R269" s="99">
        <f>IFERROR(IF('Proposed Lighting'!T266="Lighting controls only",0,ROUND(IF('Proposed Lighting'!AQ266&lt;'Proposed Lighting'!AR266,0,IF('Proposed Lighting'!AH266=0,0,IF('Proposed Lighting'!BV266&gt;0,'Proposed Lighting'!BV266,IF('Proposed Lighting'!CL266=0,MIN('Proposed Lighting'!CN266:CO266),IF('Proposed Lighting'!CX266&gt;0,'Proposed Lighting'!CX266*'Proposed Lighting'!AA266,0))))),2)),0)</f>
        <v>0</v>
      </c>
      <c r="S269" s="99">
        <f>IF('Proposed Lighting'!AJ266&gt;0,'Proposed Lighting'!AJ266*J269,'Proposed Lighting'!$AU$328*J269)</f>
        <v>0</v>
      </c>
      <c r="T269" s="602">
        <f t="shared" si="62"/>
        <v>0</v>
      </c>
      <c r="U269" s="100"/>
      <c r="V269" s="99">
        <f t="shared" si="63"/>
        <v>0</v>
      </c>
      <c r="W269" s="99">
        <f t="shared" si="64"/>
        <v>0</v>
      </c>
      <c r="X269" s="99">
        <f t="shared" si="65"/>
        <v>0</v>
      </c>
      <c r="Y269" s="99"/>
      <c r="Z269" s="99">
        <f t="shared" ref="Z269:Z310" si="71">IF($Y$3="yes",IF(ISNUMBER(SEARCH("LED",$F269)),0,IF(ISNUMBER(SEARCH("LED",$E269)),S269*3%,0)))</f>
        <v>0</v>
      </c>
      <c r="AA269" s="99"/>
      <c r="AB269" s="99">
        <f t="shared" si="66"/>
        <v>0</v>
      </c>
      <c r="AC269" s="101" t="str">
        <f t="shared" si="67"/>
        <v/>
      </c>
      <c r="AD269" s="101" t="str">
        <f t="shared" si="68"/>
        <v/>
      </c>
      <c r="AE269" s="101" t="str">
        <f t="shared" si="69"/>
        <v/>
      </c>
      <c r="AF269" s="72"/>
      <c r="AG269" s="98">
        <f>IFERROR(IF($AV269="No",0,IF($AV269="yes",Summary!Q269,"")),"")</f>
        <v>0</v>
      </c>
      <c r="AH269" s="99">
        <f>IFERROR(IF($AV269="No",0,IF($AV269="yes",Summary!R269,"")),"")</f>
        <v>0</v>
      </c>
      <c r="AI269" s="99">
        <f>IFERROR(IF($AV269="No",0,IF($AV269="yes",Summary!S269,"")),"")</f>
        <v>0</v>
      </c>
      <c r="AJ269" s="602">
        <f>IFERROR(IF($AV269="No",0,IF($AV269="yes",Summary!T269,"")),"")</f>
        <v>0</v>
      </c>
      <c r="AK269" s="100">
        <f>IFERROR(IF($AV269="No",0,IF($AV269="yes",Summary!U269,"")),"")</f>
        <v>0</v>
      </c>
      <c r="AL269" s="99">
        <f>IFERROR(IF($AV269="No",0,IF($AV269="yes",Summary!V269,"")),"")</f>
        <v>0</v>
      </c>
      <c r="AM269" s="99">
        <f>IFERROR(IF($AV269="No",0,IF($AV269="yes",Summary!W269,"")),"")</f>
        <v>0</v>
      </c>
      <c r="AN269" s="99">
        <f>IFERROR(IF($AV269="No",0,IF($AV269="yes",Summary!X269,"")),"")</f>
        <v>0</v>
      </c>
      <c r="AO269" s="99">
        <f>IFERROR(IF($AV269="No",0,IF($AV269="yes",Summary!Y269+Z269,"")),"")</f>
        <v>0</v>
      </c>
      <c r="AP269" s="99">
        <f>IFERROR(IF($AV269="No",0,IF($AV269="yes",Summary!AB269,"")),"")</f>
        <v>0</v>
      </c>
      <c r="AQ269" s="101" t="str">
        <f t="shared" si="57"/>
        <v/>
      </c>
      <c r="AR269" s="101" t="str">
        <f t="shared" si="58"/>
        <v/>
      </c>
      <c r="AS269" s="101" t="str">
        <f t="shared" si="59"/>
        <v/>
      </c>
      <c r="AT269" s="96" t="s">
        <v>683</v>
      </c>
      <c r="AV269" t="str">
        <f>IF('Proposed Lighting'!CN266&gt;0,"No","Yes")</f>
        <v>Yes</v>
      </c>
    </row>
    <row r="270" spans="1:48" ht="34.5" customHeight="1" outlineLevel="1">
      <c r="A270" s="96" t="s">
        <v>684</v>
      </c>
      <c r="B270" s="96" t="str">
        <f>IF(ISNUMBER(SEARCH("case",E270)),"COM_MISC_REFR_ALL_UNKN1991",IF('Proposed Lighting'!AU267=3,"Commercial-All Com-ExtLight",IF('Proposed Lighting'!AH267&gt;8759,"IPC_8760","Commercial-All Com-IntLight")))</f>
        <v>IPC_8760</v>
      </c>
      <c r="C270" s="96" t="str">
        <f>IF(OR('Proposed Lighting'!DD267="Standard Incentive",'Proposed Lighting'!DD267="Non-Standard Incentive"),"Yes",IF(AND(IF(ISNUMBER(SEARCH("controls",'Proposed Lighting'!T267)),"True","False")="False",'Proposed Lighting'!DD267="Submit Control as Non-Standard"),"Yes","No"))</f>
        <v>No</v>
      </c>
      <c r="D270" s="1403">
        <f>'Proposed Lighting'!CV267-Q270</f>
        <v>0</v>
      </c>
      <c r="E270" s="143">
        <f>'Proposed Lighting'!T267</f>
        <v>0</v>
      </c>
      <c r="F270" s="143">
        <f>'Proposed Lighting'!F267</f>
        <v>0</v>
      </c>
      <c r="G270" s="96" t="s">
        <v>242</v>
      </c>
      <c r="H270" s="142" t="str">
        <f>'Proposed Lighting'!CP267</f>
        <v/>
      </c>
      <c r="I270" s="98">
        <v>1</v>
      </c>
      <c r="J270" s="142">
        <f>'Proposed Lighting'!AA267</f>
        <v>0</v>
      </c>
      <c r="K270" s="142" t="str">
        <f>IF(ISNUMBER(SEARCH("-C",'Proposed Lighting'!M267)),'Proposed Lighting'!AH267*0.9,'Proposed Lighting'!AH267)</f>
        <v/>
      </c>
      <c r="L270" s="142">
        <f>IFERROR(IF(OR('Proposed Lighting'!BC267=22,'Proposed Lighting'!BC267=44),1-25%,IF(OR('Proposed Lighting'!BC267=23,'Proposed Lighting'!BC267=46),1-30%,IF(OR('Proposed Lighting'!BC267=29,'Proposed Lighting'!BC267=39,'Proposed Lighting'!BC267=49),1-35%,IF(OR('Proposed Lighting'!BC267=24,'Proposed Lighting'!BC267=48),1-50%,IF(AND(ISNUMBER(SEARCH("-C",'Proposed Lighting'!M267)),'Proposed Lighting'!AU267=2),90%,100%)))))*'Proposed Lighting'!AH267,0)</f>
        <v>0</v>
      </c>
      <c r="M270" s="87">
        <f t="shared" si="60"/>
        <v>0</v>
      </c>
      <c r="N270" s="87">
        <f>IFERROR(IF('Proposed Lighting'!AU267=1,0,'Proposed Lighting'!AO267),0)</f>
        <v>0</v>
      </c>
      <c r="O270" s="88">
        <f>IF('Proposed Lighting'!AU267=1,0,'Proposed Lighting'!AP267)</f>
        <v>0</v>
      </c>
      <c r="P270" s="87">
        <f t="shared" si="61"/>
        <v>0</v>
      </c>
      <c r="Q270" s="98">
        <f t="shared" si="70"/>
        <v>0</v>
      </c>
      <c r="R270" s="99">
        <f>IFERROR(IF('Proposed Lighting'!T267="Lighting controls only",0,ROUND(IF('Proposed Lighting'!AQ267&lt;'Proposed Lighting'!AR267,0,IF('Proposed Lighting'!AH267=0,0,IF('Proposed Lighting'!BV267&gt;0,'Proposed Lighting'!BV267,IF('Proposed Lighting'!CL267=0,MIN('Proposed Lighting'!CN267:CO267),IF('Proposed Lighting'!CX267&gt;0,'Proposed Lighting'!CX267*'Proposed Lighting'!AA267,0))))),2)),0)</f>
        <v>0</v>
      </c>
      <c r="S270" s="99">
        <f>IF('Proposed Lighting'!AJ267&gt;0,'Proposed Lighting'!AJ267*J270,'Proposed Lighting'!$AU$328*J270)</f>
        <v>0</v>
      </c>
      <c r="T270" s="602">
        <f t="shared" si="62"/>
        <v>0</v>
      </c>
      <c r="U270" s="100"/>
      <c r="V270" s="99">
        <f t="shared" si="63"/>
        <v>0</v>
      </c>
      <c r="W270" s="99">
        <f t="shared" si="64"/>
        <v>0</v>
      </c>
      <c r="X270" s="99">
        <f t="shared" si="65"/>
        <v>0</v>
      </c>
      <c r="Y270" s="99"/>
      <c r="Z270" s="99">
        <f t="shared" si="71"/>
        <v>0</v>
      </c>
      <c r="AA270" s="99"/>
      <c r="AB270" s="99">
        <f t="shared" si="66"/>
        <v>0</v>
      </c>
      <c r="AC270" s="101" t="str">
        <f t="shared" si="67"/>
        <v/>
      </c>
      <c r="AD270" s="101" t="str">
        <f t="shared" si="68"/>
        <v/>
      </c>
      <c r="AE270" s="101" t="str">
        <f t="shared" si="69"/>
        <v/>
      </c>
      <c r="AF270" s="72"/>
      <c r="AG270" s="98">
        <f>IFERROR(IF($AV270="No",0,IF($AV270="yes",Summary!Q270,"")),"")</f>
        <v>0</v>
      </c>
      <c r="AH270" s="99">
        <f>IFERROR(IF($AV270="No",0,IF($AV270="yes",Summary!R270,"")),"")</f>
        <v>0</v>
      </c>
      <c r="AI270" s="99">
        <f>IFERROR(IF($AV270="No",0,IF($AV270="yes",Summary!S270,"")),"")</f>
        <v>0</v>
      </c>
      <c r="AJ270" s="602">
        <f>IFERROR(IF($AV270="No",0,IF($AV270="yes",Summary!T270,"")),"")</f>
        <v>0</v>
      </c>
      <c r="AK270" s="100">
        <f>IFERROR(IF($AV270="No",0,IF($AV270="yes",Summary!U270,"")),"")</f>
        <v>0</v>
      </c>
      <c r="AL270" s="99">
        <f>IFERROR(IF($AV270="No",0,IF($AV270="yes",Summary!V270,"")),"")</f>
        <v>0</v>
      </c>
      <c r="AM270" s="99">
        <f>IFERROR(IF($AV270="No",0,IF($AV270="yes",Summary!W270,"")),"")</f>
        <v>0</v>
      </c>
      <c r="AN270" s="99">
        <f>IFERROR(IF($AV270="No",0,IF($AV270="yes",Summary!X270,"")),"")</f>
        <v>0</v>
      </c>
      <c r="AO270" s="99">
        <f>IFERROR(IF($AV270="No",0,IF($AV270="yes",Summary!Y270+Z270,"")),"")</f>
        <v>0</v>
      </c>
      <c r="AP270" s="99">
        <f>IFERROR(IF($AV270="No",0,IF($AV270="yes",Summary!AB270,"")),"")</f>
        <v>0</v>
      </c>
      <c r="AQ270" s="101" t="str">
        <f t="shared" ref="AQ270:AQ311" si="72">IFERROR(IF($AG270&lt;0,"",(AL270+AH270+AO270+AP270)/(AI270)),"")</f>
        <v/>
      </c>
      <c r="AR270" s="101" t="str">
        <f t="shared" ref="AR270:AR311" si="73">IFERROR(IF($AG270&lt;0,"",(I270*AM270)/(((IF(AG270=0,AG270,AG270))*AK270)+AH270)),"")</f>
        <v/>
      </c>
      <c r="AS270" s="101" t="str">
        <f t="shared" ref="AS270:AS311" si="74">IFERROR(IF($AG270&lt;0,"",IF(AI270=0,((AN270+AO270+AP270)*I270)/((AG270*AK270)+AH270),((AN270+AO270+AP270)*I270)/((AG270*AK270)+AH270+((AI270-AH270)*I270)))),"")</f>
        <v/>
      </c>
      <c r="AT270" s="96" t="s">
        <v>684</v>
      </c>
      <c r="AV270" t="str">
        <f>IF('Proposed Lighting'!CN267&gt;0,"No","Yes")</f>
        <v>Yes</v>
      </c>
    </row>
    <row r="271" spans="1:48" ht="34.5" customHeight="1" outlineLevel="1">
      <c r="A271" s="96" t="s">
        <v>685</v>
      </c>
      <c r="B271" s="96" t="str">
        <f>IF(ISNUMBER(SEARCH("case",E271)),"COM_MISC_REFR_ALL_UNKN1991",IF('Proposed Lighting'!AU268=3,"Commercial-All Com-ExtLight",IF('Proposed Lighting'!AH268&gt;8759,"IPC_8760","Commercial-All Com-IntLight")))</f>
        <v>IPC_8760</v>
      </c>
      <c r="C271" s="96" t="str">
        <f>IF(OR('Proposed Lighting'!DD268="Standard Incentive",'Proposed Lighting'!DD268="Non-Standard Incentive"),"Yes",IF(AND(IF(ISNUMBER(SEARCH("controls",'Proposed Lighting'!T268)),"True","False")="False",'Proposed Lighting'!DD268="Submit Control as Non-Standard"),"Yes","No"))</f>
        <v>No</v>
      </c>
      <c r="D271" s="1403">
        <f>'Proposed Lighting'!CV268-Q271</f>
        <v>0</v>
      </c>
      <c r="E271" s="143">
        <f>'Proposed Lighting'!T268</f>
        <v>0</v>
      </c>
      <c r="F271" s="143">
        <f>'Proposed Lighting'!F268</f>
        <v>0</v>
      </c>
      <c r="G271" s="96" t="s">
        <v>242</v>
      </c>
      <c r="H271" s="142" t="str">
        <f>'Proposed Lighting'!CP268</f>
        <v/>
      </c>
      <c r="I271" s="98">
        <v>1</v>
      </c>
      <c r="J271" s="142">
        <f>'Proposed Lighting'!AA268</f>
        <v>0</v>
      </c>
      <c r="K271" s="142" t="str">
        <f>IF(ISNUMBER(SEARCH("-C",'Proposed Lighting'!M268)),'Proposed Lighting'!AH268*0.9,'Proposed Lighting'!AH268)</f>
        <v/>
      </c>
      <c r="L271" s="142">
        <f>IFERROR(IF(OR('Proposed Lighting'!BC268=22,'Proposed Lighting'!BC268=44),1-25%,IF(OR('Proposed Lighting'!BC268=23,'Proposed Lighting'!BC268=46),1-30%,IF(OR('Proposed Lighting'!BC268=29,'Proposed Lighting'!BC268=39,'Proposed Lighting'!BC268=49),1-35%,IF(OR('Proposed Lighting'!BC268=24,'Proposed Lighting'!BC268=48),1-50%,IF(AND(ISNUMBER(SEARCH("-C",'Proposed Lighting'!M268)),'Proposed Lighting'!AU268=2),90%,100%)))))*'Proposed Lighting'!AH268,0)</f>
        <v>0</v>
      </c>
      <c r="M271" s="87">
        <f t="shared" si="60"/>
        <v>0</v>
      </c>
      <c r="N271" s="87">
        <f>IFERROR(IF('Proposed Lighting'!AU268=1,0,'Proposed Lighting'!AO268),0)</f>
        <v>0</v>
      </c>
      <c r="O271" s="88">
        <f>IF('Proposed Lighting'!AU268=1,0,'Proposed Lighting'!AP268)</f>
        <v>0</v>
      </c>
      <c r="P271" s="87">
        <f t="shared" si="61"/>
        <v>0</v>
      </c>
      <c r="Q271" s="98">
        <f t="shared" si="70"/>
        <v>0</v>
      </c>
      <c r="R271" s="99">
        <f>IFERROR(IF('Proposed Lighting'!T268="Lighting controls only",0,ROUND(IF('Proposed Lighting'!AQ268&lt;'Proposed Lighting'!AR268,0,IF('Proposed Lighting'!AH268=0,0,IF('Proposed Lighting'!BV268&gt;0,'Proposed Lighting'!BV268,IF('Proposed Lighting'!CL268=0,MIN('Proposed Lighting'!CN268:CO268),IF('Proposed Lighting'!CX268&gt;0,'Proposed Lighting'!CX268*'Proposed Lighting'!AA268,0))))),2)),0)</f>
        <v>0</v>
      </c>
      <c r="S271" s="99">
        <f>IF('Proposed Lighting'!AJ268&gt;0,'Proposed Lighting'!AJ268*J271,'Proposed Lighting'!$AU$328*J271)</f>
        <v>0</v>
      </c>
      <c r="T271" s="602">
        <f t="shared" si="62"/>
        <v>0</v>
      </c>
      <c r="U271" s="100"/>
      <c r="V271" s="99">
        <f t="shared" si="63"/>
        <v>0</v>
      </c>
      <c r="W271" s="99">
        <f t="shared" si="64"/>
        <v>0</v>
      </c>
      <c r="X271" s="99">
        <f t="shared" si="65"/>
        <v>0</v>
      </c>
      <c r="Y271" s="99"/>
      <c r="Z271" s="99">
        <f t="shared" si="71"/>
        <v>0</v>
      </c>
      <c r="AA271" s="99"/>
      <c r="AB271" s="99">
        <f t="shared" si="66"/>
        <v>0</v>
      </c>
      <c r="AC271" s="101" t="str">
        <f t="shared" si="67"/>
        <v/>
      </c>
      <c r="AD271" s="101" t="str">
        <f t="shared" si="68"/>
        <v/>
      </c>
      <c r="AE271" s="101" t="str">
        <f t="shared" si="69"/>
        <v/>
      </c>
      <c r="AF271" s="72"/>
      <c r="AG271" s="98">
        <f>IFERROR(IF($AV271="No",0,IF($AV271="yes",Summary!Q271,"")),"")</f>
        <v>0</v>
      </c>
      <c r="AH271" s="99">
        <f>IFERROR(IF($AV271="No",0,IF($AV271="yes",Summary!R271,"")),"")</f>
        <v>0</v>
      </c>
      <c r="AI271" s="99">
        <f>IFERROR(IF($AV271="No",0,IF($AV271="yes",Summary!S271,"")),"")</f>
        <v>0</v>
      </c>
      <c r="AJ271" s="602">
        <f>IFERROR(IF($AV271="No",0,IF($AV271="yes",Summary!T271,"")),"")</f>
        <v>0</v>
      </c>
      <c r="AK271" s="100">
        <f>IFERROR(IF($AV271="No",0,IF($AV271="yes",Summary!U271,"")),"")</f>
        <v>0</v>
      </c>
      <c r="AL271" s="99">
        <f>IFERROR(IF($AV271="No",0,IF($AV271="yes",Summary!V271,"")),"")</f>
        <v>0</v>
      </c>
      <c r="AM271" s="99">
        <f>IFERROR(IF($AV271="No",0,IF($AV271="yes",Summary!W271,"")),"")</f>
        <v>0</v>
      </c>
      <c r="AN271" s="99">
        <f>IFERROR(IF($AV271="No",0,IF($AV271="yes",Summary!X271,"")),"")</f>
        <v>0</v>
      </c>
      <c r="AO271" s="99">
        <f>IFERROR(IF($AV271="No",0,IF($AV271="yes",Summary!Y271+Z271,"")),"")</f>
        <v>0</v>
      </c>
      <c r="AP271" s="99">
        <f>IFERROR(IF($AV271="No",0,IF($AV271="yes",Summary!AB271,"")),"")</f>
        <v>0</v>
      </c>
      <c r="AQ271" s="101" t="str">
        <f t="shared" si="72"/>
        <v/>
      </c>
      <c r="AR271" s="101" t="str">
        <f t="shared" si="73"/>
        <v/>
      </c>
      <c r="AS271" s="101" t="str">
        <f t="shared" si="74"/>
        <v/>
      </c>
      <c r="AT271" s="96" t="s">
        <v>685</v>
      </c>
      <c r="AV271" t="str">
        <f>IF('Proposed Lighting'!CN268&gt;0,"No","Yes")</f>
        <v>Yes</v>
      </c>
    </row>
    <row r="272" spans="1:48" ht="34.5" customHeight="1" outlineLevel="1">
      <c r="A272" s="96" t="s">
        <v>686</v>
      </c>
      <c r="B272" s="96" t="str">
        <f>IF(ISNUMBER(SEARCH("case",E272)),"COM_MISC_REFR_ALL_UNKN1991",IF('Proposed Lighting'!AU269=3,"Commercial-All Com-ExtLight",IF('Proposed Lighting'!AH269&gt;8759,"IPC_8760","Commercial-All Com-IntLight")))</f>
        <v>IPC_8760</v>
      </c>
      <c r="C272" s="96" t="str">
        <f>IF(OR('Proposed Lighting'!DD269="Standard Incentive",'Proposed Lighting'!DD269="Non-Standard Incentive"),"Yes",IF(AND(IF(ISNUMBER(SEARCH("controls",'Proposed Lighting'!T269)),"True","False")="False",'Proposed Lighting'!DD269="Submit Control as Non-Standard"),"Yes","No"))</f>
        <v>No</v>
      </c>
      <c r="D272" s="1403">
        <f>'Proposed Lighting'!CV269-Q272</f>
        <v>0</v>
      </c>
      <c r="E272" s="143">
        <f>'Proposed Lighting'!T269</f>
        <v>0</v>
      </c>
      <c r="F272" s="143">
        <f>'Proposed Lighting'!F269</f>
        <v>0</v>
      </c>
      <c r="G272" s="96" t="s">
        <v>242</v>
      </c>
      <c r="H272" s="142" t="str">
        <f>'Proposed Lighting'!CP269</f>
        <v/>
      </c>
      <c r="I272" s="98">
        <v>1</v>
      </c>
      <c r="J272" s="142">
        <f>'Proposed Lighting'!AA269</f>
        <v>0</v>
      </c>
      <c r="K272" s="142" t="str">
        <f>IF(ISNUMBER(SEARCH("-C",'Proposed Lighting'!M269)),'Proposed Lighting'!AH269*0.9,'Proposed Lighting'!AH269)</f>
        <v/>
      </c>
      <c r="L272" s="142">
        <f>IFERROR(IF(OR('Proposed Lighting'!BC269=22,'Proposed Lighting'!BC269=44),1-25%,IF(OR('Proposed Lighting'!BC269=23,'Proposed Lighting'!BC269=46),1-30%,IF(OR('Proposed Lighting'!BC269=29,'Proposed Lighting'!BC269=39,'Proposed Lighting'!BC269=49),1-35%,IF(OR('Proposed Lighting'!BC269=24,'Proposed Lighting'!BC269=48),1-50%,IF(AND(ISNUMBER(SEARCH("-C",'Proposed Lighting'!M269)),'Proposed Lighting'!AU269=2),90%,100%)))))*'Proposed Lighting'!AH269,0)</f>
        <v>0</v>
      </c>
      <c r="M272" s="87">
        <f t="shared" si="60"/>
        <v>0</v>
      </c>
      <c r="N272" s="87">
        <f>IFERROR(IF('Proposed Lighting'!AU269=1,0,'Proposed Lighting'!AO269),0)</f>
        <v>0</v>
      </c>
      <c r="O272" s="88">
        <f>IF('Proposed Lighting'!AU269=1,0,'Proposed Lighting'!AP269)</f>
        <v>0</v>
      </c>
      <c r="P272" s="87">
        <f t="shared" si="61"/>
        <v>0</v>
      </c>
      <c r="Q272" s="98">
        <f t="shared" si="70"/>
        <v>0</v>
      </c>
      <c r="R272" s="99">
        <f>IFERROR(IF('Proposed Lighting'!T269="Lighting controls only",0,ROUND(IF('Proposed Lighting'!AQ269&lt;'Proposed Lighting'!AR269,0,IF('Proposed Lighting'!AH269=0,0,IF('Proposed Lighting'!BV269&gt;0,'Proposed Lighting'!BV269,IF('Proposed Lighting'!CL269=0,MIN('Proposed Lighting'!CN269:CO269),IF('Proposed Lighting'!CX269&gt;0,'Proposed Lighting'!CX269*'Proposed Lighting'!AA269,0))))),2)),0)</f>
        <v>0</v>
      </c>
      <c r="S272" s="99">
        <f>IF('Proposed Lighting'!AJ269&gt;0,'Proposed Lighting'!AJ269*J272,'Proposed Lighting'!$AU$328*J272)</f>
        <v>0</v>
      </c>
      <c r="T272" s="602">
        <f t="shared" si="62"/>
        <v>0</v>
      </c>
      <c r="U272" s="100"/>
      <c r="V272" s="99">
        <f t="shared" si="63"/>
        <v>0</v>
      </c>
      <c r="W272" s="99">
        <f t="shared" si="64"/>
        <v>0</v>
      </c>
      <c r="X272" s="99">
        <f t="shared" si="65"/>
        <v>0</v>
      </c>
      <c r="Y272" s="99"/>
      <c r="Z272" s="99">
        <f t="shared" si="71"/>
        <v>0</v>
      </c>
      <c r="AA272" s="99"/>
      <c r="AB272" s="99">
        <f t="shared" si="66"/>
        <v>0</v>
      </c>
      <c r="AC272" s="101" t="str">
        <f t="shared" si="67"/>
        <v/>
      </c>
      <c r="AD272" s="101" t="str">
        <f t="shared" si="68"/>
        <v/>
      </c>
      <c r="AE272" s="101" t="str">
        <f t="shared" si="69"/>
        <v/>
      </c>
      <c r="AF272" s="72"/>
      <c r="AG272" s="98">
        <f>IFERROR(IF($AV272="No",0,IF($AV272="yes",Summary!Q272,"")),"")</f>
        <v>0</v>
      </c>
      <c r="AH272" s="99">
        <f>IFERROR(IF($AV272="No",0,IF($AV272="yes",Summary!R272,"")),"")</f>
        <v>0</v>
      </c>
      <c r="AI272" s="99">
        <f>IFERROR(IF($AV272="No",0,IF($AV272="yes",Summary!S272,"")),"")</f>
        <v>0</v>
      </c>
      <c r="AJ272" s="602">
        <f>IFERROR(IF($AV272="No",0,IF($AV272="yes",Summary!T272,"")),"")</f>
        <v>0</v>
      </c>
      <c r="AK272" s="100">
        <f>IFERROR(IF($AV272="No",0,IF($AV272="yes",Summary!U272,"")),"")</f>
        <v>0</v>
      </c>
      <c r="AL272" s="99">
        <f>IFERROR(IF($AV272="No",0,IF($AV272="yes",Summary!V272,"")),"")</f>
        <v>0</v>
      </c>
      <c r="AM272" s="99">
        <f>IFERROR(IF($AV272="No",0,IF($AV272="yes",Summary!W272,"")),"")</f>
        <v>0</v>
      </c>
      <c r="AN272" s="99">
        <f>IFERROR(IF($AV272="No",0,IF($AV272="yes",Summary!X272,"")),"")</f>
        <v>0</v>
      </c>
      <c r="AO272" s="99">
        <f>IFERROR(IF($AV272="No",0,IF($AV272="yes",Summary!Y272+Z272,"")),"")</f>
        <v>0</v>
      </c>
      <c r="AP272" s="99">
        <f>IFERROR(IF($AV272="No",0,IF($AV272="yes",Summary!AB272,"")),"")</f>
        <v>0</v>
      </c>
      <c r="AQ272" s="101" t="str">
        <f t="shared" si="72"/>
        <v/>
      </c>
      <c r="AR272" s="101" t="str">
        <f t="shared" si="73"/>
        <v/>
      </c>
      <c r="AS272" s="101" t="str">
        <f t="shared" si="74"/>
        <v/>
      </c>
      <c r="AT272" s="96" t="s">
        <v>686</v>
      </c>
      <c r="AV272" t="str">
        <f>IF('Proposed Lighting'!CN269&gt;0,"No","Yes")</f>
        <v>Yes</v>
      </c>
    </row>
    <row r="273" spans="1:48" ht="34.5" customHeight="1" outlineLevel="1">
      <c r="A273" s="96" t="s">
        <v>687</v>
      </c>
      <c r="B273" s="96" t="str">
        <f>IF(ISNUMBER(SEARCH("case",E273)),"COM_MISC_REFR_ALL_UNKN1991",IF('Proposed Lighting'!AU270=3,"Commercial-All Com-ExtLight",IF('Proposed Lighting'!AH270&gt;8759,"IPC_8760","Commercial-All Com-IntLight")))</f>
        <v>IPC_8760</v>
      </c>
      <c r="C273" s="96" t="str">
        <f>IF(OR('Proposed Lighting'!DD270="Standard Incentive",'Proposed Lighting'!DD270="Non-Standard Incentive"),"Yes",IF(AND(IF(ISNUMBER(SEARCH("controls",'Proposed Lighting'!T270)),"True","False")="False",'Proposed Lighting'!DD270="Submit Control as Non-Standard"),"Yes","No"))</f>
        <v>No</v>
      </c>
      <c r="D273" s="1403">
        <f>'Proposed Lighting'!CV270-Q273</f>
        <v>0</v>
      </c>
      <c r="E273" s="143">
        <f>'Proposed Lighting'!T270</f>
        <v>0</v>
      </c>
      <c r="F273" s="143">
        <f>'Proposed Lighting'!F270</f>
        <v>0</v>
      </c>
      <c r="G273" s="96" t="s">
        <v>242</v>
      </c>
      <c r="H273" s="142" t="str">
        <f>'Proposed Lighting'!CP270</f>
        <v/>
      </c>
      <c r="I273" s="98">
        <v>1</v>
      </c>
      <c r="J273" s="142">
        <f>'Proposed Lighting'!AA270</f>
        <v>0</v>
      </c>
      <c r="K273" s="142" t="str">
        <f>IF(ISNUMBER(SEARCH("-C",'Proposed Lighting'!M270)),'Proposed Lighting'!AH270*0.9,'Proposed Lighting'!AH270)</f>
        <v/>
      </c>
      <c r="L273" s="142">
        <f>IFERROR(IF(OR('Proposed Lighting'!BC270=22,'Proposed Lighting'!BC270=44),1-25%,IF(OR('Proposed Lighting'!BC270=23,'Proposed Lighting'!BC270=46),1-30%,IF(OR('Proposed Lighting'!BC270=29,'Proposed Lighting'!BC270=39,'Proposed Lighting'!BC270=49),1-35%,IF(OR('Proposed Lighting'!BC270=24,'Proposed Lighting'!BC270=48),1-50%,IF(AND(ISNUMBER(SEARCH("-C",'Proposed Lighting'!M270)),'Proposed Lighting'!AU270=2),90%,100%)))))*'Proposed Lighting'!AH270,0)</f>
        <v>0</v>
      </c>
      <c r="M273" s="87">
        <f t="shared" si="60"/>
        <v>0</v>
      </c>
      <c r="N273" s="87">
        <f>IFERROR(IF('Proposed Lighting'!AU270=1,0,'Proposed Lighting'!AO270),0)</f>
        <v>0</v>
      </c>
      <c r="O273" s="88">
        <f>IF('Proposed Lighting'!AU270=1,0,'Proposed Lighting'!AP270)</f>
        <v>0</v>
      </c>
      <c r="P273" s="87">
        <f t="shared" si="61"/>
        <v>0</v>
      </c>
      <c r="Q273" s="98">
        <f t="shared" si="70"/>
        <v>0</v>
      </c>
      <c r="R273" s="99">
        <f>IFERROR(IF('Proposed Lighting'!T270="Lighting controls only",0,ROUND(IF('Proposed Lighting'!AQ270&lt;'Proposed Lighting'!AR270,0,IF('Proposed Lighting'!AH270=0,0,IF('Proposed Lighting'!BV270&gt;0,'Proposed Lighting'!BV270,IF('Proposed Lighting'!CL270=0,MIN('Proposed Lighting'!CN270:CO270),IF('Proposed Lighting'!CX270&gt;0,'Proposed Lighting'!CX270*'Proposed Lighting'!AA270,0))))),2)),0)</f>
        <v>0</v>
      </c>
      <c r="S273" s="99">
        <f>IF('Proposed Lighting'!AJ270&gt;0,'Proposed Lighting'!AJ270*J273,'Proposed Lighting'!$AU$328*J273)</f>
        <v>0</v>
      </c>
      <c r="T273" s="602">
        <f t="shared" si="62"/>
        <v>0</v>
      </c>
      <c r="U273" s="100"/>
      <c r="V273" s="99">
        <f t="shared" si="63"/>
        <v>0</v>
      </c>
      <c r="W273" s="99">
        <f t="shared" si="64"/>
        <v>0</v>
      </c>
      <c r="X273" s="99">
        <f t="shared" si="65"/>
        <v>0</v>
      </c>
      <c r="Y273" s="99"/>
      <c r="Z273" s="99">
        <f t="shared" si="71"/>
        <v>0</v>
      </c>
      <c r="AA273" s="99"/>
      <c r="AB273" s="99">
        <f t="shared" si="66"/>
        <v>0</v>
      </c>
      <c r="AC273" s="101" t="str">
        <f t="shared" si="67"/>
        <v/>
      </c>
      <c r="AD273" s="101" t="str">
        <f t="shared" si="68"/>
        <v/>
      </c>
      <c r="AE273" s="101" t="str">
        <f t="shared" si="69"/>
        <v/>
      </c>
      <c r="AF273" s="72"/>
      <c r="AG273" s="98">
        <f>IFERROR(IF($AV273="No",0,IF($AV273="yes",Summary!Q273,"")),"")</f>
        <v>0</v>
      </c>
      <c r="AH273" s="99">
        <f>IFERROR(IF($AV273="No",0,IF($AV273="yes",Summary!R273,"")),"")</f>
        <v>0</v>
      </c>
      <c r="AI273" s="99">
        <f>IFERROR(IF($AV273="No",0,IF($AV273="yes",Summary!S273,"")),"")</f>
        <v>0</v>
      </c>
      <c r="AJ273" s="602">
        <f>IFERROR(IF($AV273="No",0,IF($AV273="yes",Summary!T273,"")),"")</f>
        <v>0</v>
      </c>
      <c r="AK273" s="100">
        <f>IFERROR(IF($AV273="No",0,IF($AV273="yes",Summary!U273,"")),"")</f>
        <v>0</v>
      </c>
      <c r="AL273" s="99">
        <f>IFERROR(IF($AV273="No",0,IF($AV273="yes",Summary!V273,"")),"")</f>
        <v>0</v>
      </c>
      <c r="AM273" s="99">
        <f>IFERROR(IF($AV273="No",0,IF($AV273="yes",Summary!W273,"")),"")</f>
        <v>0</v>
      </c>
      <c r="AN273" s="99">
        <f>IFERROR(IF($AV273="No",0,IF($AV273="yes",Summary!X273,"")),"")</f>
        <v>0</v>
      </c>
      <c r="AO273" s="99">
        <f>IFERROR(IF($AV273="No",0,IF($AV273="yes",Summary!Y273+Z273,"")),"")</f>
        <v>0</v>
      </c>
      <c r="AP273" s="99">
        <f>IFERROR(IF($AV273="No",0,IF($AV273="yes",Summary!AB273,"")),"")</f>
        <v>0</v>
      </c>
      <c r="AQ273" s="101" t="str">
        <f t="shared" si="72"/>
        <v/>
      </c>
      <c r="AR273" s="101" t="str">
        <f t="shared" si="73"/>
        <v/>
      </c>
      <c r="AS273" s="101" t="str">
        <f t="shared" si="74"/>
        <v/>
      </c>
      <c r="AT273" s="96" t="s">
        <v>687</v>
      </c>
      <c r="AV273" t="str">
        <f>IF('Proposed Lighting'!CN270&gt;0,"No","Yes")</f>
        <v>Yes</v>
      </c>
    </row>
    <row r="274" spans="1:48" ht="34.5" customHeight="1" outlineLevel="1">
      <c r="A274" s="96" t="s">
        <v>688</v>
      </c>
      <c r="B274" s="96" t="str">
        <f>IF(ISNUMBER(SEARCH("case",E274)),"COM_MISC_REFR_ALL_UNKN1991",IF('Proposed Lighting'!AU271=3,"Commercial-All Com-ExtLight",IF('Proposed Lighting'!AH271&gt;8759,"IPC_8760","Commercial-All Com-IntLight")))</f>
        <v>IPC_8760</v>
      </c>
      <c r="C274" s="96" t="str">
        <f>IF(OR('Proposed Lighting'!DD271="Standard Incentive",'Proposed Lighting'!DD271="Non-Standard Incentive"),"Yes",IF(AND(IF(ISNUMBER(SEARCH("controls",'Proposed Lighting'!T271)),"True","False")="False",'Proposed Lighting'!DD271="Submit Control as Non-Standard"),"Yes","No"))</f>
        <v>No</v>
      </c>
      <c r="D274" s="1403">
        <f>'Proposed Lighting'!CV271-Q274</f>
        <v>0</v>
      </c>
      <c r="E274" s="143">
        <f>'Proposed Lighting'!T271</f>
        <v>0</v>
      </c>
      <c r="F274" s="143">
        <f>'Proposed Lighting'!F271</f>
        <v>0</v>
      </c>
      <c r="G274" s="96" t="s">
        <v>242</v>
      </c>
      <c r="H274" s="142" t="str">
        <f>'Proposed Lighting'!CP271</f>
        <v/>
      </c>
      <c r="I274" s="98">
        <v>1</v>
      </c>
      <c r="J274" s="142">
        <f>'Proposed Lighting'!AA271</f>
        <v>0</v>
      </c>
      <c r="K274" s="142" t="str">
        <f>IF(ISNUMBER(SEARCH("-C",'Proposed Lighting'!M271)),'Proposed Lighting'!AH271*0.9,'Proposed Lighting'!AH271)</f>
        <v/>
      </c>
      <c r="L274" s="142">
        <f>IFERROR(IF(OR('Proposed Lighting'!BC271=22,'Proposed Lighting'!BC271=44),1-25%,IF(OR('Proposed Lighting'!BC271=23,'Proposed Lighting'!BC271=46),1-30%,IF(OR('Proposed Lighting'!BC271=29,'Proposed Lighting'!BC271=39,'Proposed Lighting'!BC271=49),1-35%,IF(OR('Proposed Lighting'!BC271=24,'Proposed Lighting'!BC271=48),1-50%,IF(AND(ISNUMBER(SEARCH("-C",'Proposed Lighting'!M271)),'Proposed Lighting'!AU271=2),90%,100%)))))*'Proposed Lighting'!AH271,0)</f>
        <v>0</v>
      </c>
      <c r="M274" s="87">
        <f t="shared" si="60"/>
        <v>0</v>
      </c>
      <c r="N274" s="87">
        <f>IFERROR(IF('Proposed Lighting'!AU271=1,0,'Proposed Lighting'!AO271),0)</f>
        <v>0</v>
      </c>
      <c r="O274" s="88">
        <f>IF('Proposed Lighting'!AU271=1,0,'Proposed Lighting'!AP271)</f>
        <v>0</v>
      </c>
      <c r="P274" s="87">
        <f t="shared" si="61"/>
        <v>0</v>
      </c>
      <c r="Q274" s="98">
        <f t="shared" si="70"/>
        <v>0</v>
      </c>
      <c r="R274" s="99">
        <f>IFERROR(IF('Proposed Lighting'!T271="Lighting controls only",0,ROUND(IF('Proposed Lighting'!AQ271&lt;'Proposed Lighting'!AR271,0,IF('Proposed Lighting'!AH271=0,0,IF('Proposed Lighting'!BV271&gt;0,'Proposed Lighting'!BV271,IF('Proposed Lighting'!CL271=0,MIN('Proposed Lighting'!CN271:CO271),IF('Proposed Lighting'!CX271&gt;0,'Proposed Lighting'!CX271*'Proposed Lighting'!AA271,0))))),2)),0)</f>
        <v>0</v>
      </c>
      <c r="S274" s="99">
        <f>IF('Proposed Lighting'!AJ271&gt;0,'Proposed Lighting'!AJ271*J274,'Proposed Lighting'!$AU$328*J274)</f>
        <v>0</v>
      </c>
      <c r="T274" s="602">
        <f t="shared" si="62"/>
        <v>0</v>
      </c>
      <c r="U274" s="100"/>
      <c r="V274" s="99">
        <f t="shared" si="63"/>
        <v>0</v>
      </c>
      <c r="W274" s="99">
        <f t="shared" si="64"/>
        <v>0</v>
      </c>
      <c r="X274" s="99">
        <f t="shared" si="65"/>
        <v>0</v>
      </c>
      <c r="Y274" s="99"/>
      <c r="Z274" s="99">
        <f t="shared" si="71"/>
        <v>0</v>
      </c>
      <c r="AA274" s="99"/>
      <c r="AB274" s="99">
        <f t="shared" si="66"/>
        <v>0</v>
      </c>
      <c r="AC274" s="101" t="str">
        <f t="shared" si="67"/>
        <v/>
      </c>
      <c r="AD274" s="101" t="str">
        <f t="shared" si="68"/>
        <v/>
      </c>
      <c r="AE274" s="101" t="str">
        <f t="shared" si="69"/>
        <v/>
      </c>
      <c r="AF274" s="72"/>
      <c r="AG274" s="98">
        <f>IFERROR(IF($AV274="No",0,IF($AV274="yes",Summary!Q274,"")),"")</f>
        <v>0</v>
      </c>
      <c r="AH274" s="99">
        <f>IFERROR(IF($AV274="No",0,IF($AV274="yes",Summary!R274,"")),"")</f>
        <v>0</v>
      </c>
      <c r="AI274" s="99">
        <f>IFERROR(IF($AV274="No",0,IF($AV274="yes",Summary!S274,"")),"")</f>
        <v>0</v>
      </c>
      <c r="AJ274" s="602">
        <f>IFERROR(IF($AV274="No",0,IF($AV274="yes",Summary!T274,"")),"")</f>
        <v>0</v>
      </c>
      <c r="AK274" s="100">
        <f>IFERROR(IF($AV274="No",0,IF($AV274="yes",Summary!U274,"")),"")</f>
        <v>0</v>
      </c>
      <c r="AL274" s="99">
        <f>IFERROR(IF($AV274="No",0,IF($AV274="yes",Summary!V274,"")),"")</f>
        <v>0</v>
      </c>
      <c r="AM274" s="99">
        <f>IFERROR(IF($AV274="No",0,IF($AV274="yes",Summary!W274,"")),"")</f>
        <v>0</v>
      </c>
      <c r="AN274" s="99">
        <f>IFERROR(IF($AV274="No",0,IF($AV274="yes",Summary!X274,"")),"")</f>
        <v>0</v>
      </c>
      <c r="AO274" s="99">
        <f>IFERROR(IF($AV274="No",0,IF($AV274="yes",Summary!Y274+Z274,"")),"")</f>
        <v>0</v>
      </c>
      <c r="AP274" s="99">
        <f>IFERROR(IF($AV274="No",0,IF($AV274="yes",Summary!AB274,"")),"")</f>
        <v>0</v>
      </c>
      <c r="AQ274" s="101" t="str">
        <f t="shared" si="72"/>
        <v/>
      </c>
      <c r="AR274" s="101" t="str">
        <f t="shared" si="73"/>
        <v/>
      </c>
      <c r="AS274" s="101" t="str">
        <f t="shared" si="74"/>
        <v/>
      </c>
      <c r="AT274" s="96" t="s">
        <v>688</v>
      </c>
      <c r="AV274" t="str">
        <f>IF('Proposed Lighting'!CN271&gt;0,"No","Yes")</f>
        <v>Yes</v>
      </c>
    </row>
    <row r="275" spans="1:48" ht="34.5" customHeight="1" outlineLevel="1">
      <c r="A275" s="96" t="s">
        <v>689</v>
      </c>
      <c r="B275" s="96" t="str">
        <f>IF(ISNUMBER(SEARCH("case",E275)),"COM_MISC_REFR_ALL_UNKN1991",IF('Proposed Lighting'!AU272=3,"Commercial-All Com-ExtLight",IF('Proposed Lighting'!AH272&gt;8759,"IPC_8760","Commercial-All Com-IntLight")))</f>
        <v>IPC_8760</v>
      </c>
      <c r="C275" s="96" t="str">
        <f>IF(OR('Proposed Lighting'!DD272="Standard Incentive",'Proposed Lighting'!DD272="Non-Standard Incentive"),"Yes",IF(AND(IF(ISNUMBER(SEARCH("controls",'Proposed Lighting'!T272)),"True","False")="False",'Proposed Lighting'!DD272="Submit Control as Non-Standard"),"Yes","No"))</f>
        <v>No</v>
      </c>
      <c r="D275" s="1403">
        <f>'Proposed Lighting'!CV272-Q275</f>
        <v>0</v>
      </c>
      <c r="E275" s="143">
        <f>'Proposed Lighting'!T272</f>
        <v>0</v>
      </c>
      <c r="F275" s="143">
        <f>'Proposed Lighting'!F272</f>
        <v>0</v>
      </c>
      <c r="G275" s="96" t="s">
        <v>242</v>
      </c>
      <c r="H275" s="142" t="str">
        <f>'Proposed Lighting'!CP272</f>
        <v/>
      </c>
      <c r="I275" s="98">
        <v>1</v>
      </c>
      <c r="J275" s="142">
        <f>'Proposed Lighting'!AA272</f>
        <v>0</v>
      </c>
      <c r="K275" s="142" t="str">
        <f>IF(ISNUMBER(SEARCH("-C",'Proposed Lighting'!M272)),'Proposed Lighting'!AH272*0.9,'Proposed Lighting'!AH272)</f>
        <v/>
      </c>
      <c r="L275" s="142">
        <f>IFERROR(IF(OR('Proposed Lighting'!BC272=22,'Proposed Lighting'!BC272=44),1-25%,IF(OR('Proposed Lighting'!BC272=23,'Proposed Lighting'!BC272=46),1-30%,IF(OR('Proposed Lighting'!BC272=29,'Proposed Lighting'!BC272=39,'Proposed Lighting'!BC272=49),1-35%,IF(OR('Proposed Lighting'!BC272=24,'Proposed Lighting'!BC272=48),1-50%,IF(AND(ISNUMBER(SEARCH("-C",'Proposed Lighting'!M272)),'Proposed Lighting'!AU272=2),90%,100%)))))*'Proposed Lighting'!AH272,0)</f>
        <v>0</v>
      </c>
      <c r="M275" s="87">
        <f t="shared" si="60"/>
        <v>0</v>
      </c>
      <c r="N275" s="87">
        <f>IFERROR(IF('Proposed Lighting'!AU272=1,0,'Proposed Lighting'!AO272),0)</f>
        <v>0</v>
      </c>
      <c r="O275" s="88">
        <f>IF('Proposed Lighting'!AU272=1,0,'Proposed Lighting'!AP272)</f>
        <v>0</v>
      </c>
      <c r="P275" s="87">
        <f t="shared" si="61"/>
        <v>0</v>
      </c>
      <c r="Q275" s="98">
        <f t="shared" si="70"/>
        <v>0</v>
      </c>
      <c r="R275" s="99">
        <f>IFERROR(IF('Proposed Lighting'!T272="Lighting controls only",0,ROUND(IF('Proposed Lighting'!AQ272&lt;'Proposed Lighting'!AR272,0,IF('Proposed Lighting'!AH272=0,0,IF('Proposed Lighting'!BV272&gt;0,'Proposed Lighting'!BV272,IF('Proposed Lighting'!CL272=0,MIN('Proposed Lighting'!CN272:CO272),IF('Proposed Lighting'!CX272&gt;0,'Proposed Lighting'!CX272*'Proposed Lighting'!AA272,0))))),2)),0)</f>
        <v>0</v>
      </c>
      <c r="S275" s="99">
        <f>IF('Proposed Lighting'!AJ272&gt;0,'Proposed Lighting'!AJ272*J275,'Proposed Lighting'!$AU$328*J275)</f>
        <v>0</v>
      </c>
      <c r="T275" s="602">
        <f t="shared" si="62"/>
        <v>0</v>
      </c>
      <c r="U275" s="100"/>
      <c r="V275" s="99">
        <f t="shared" si="63"/>
        <v>0</v>
      </c>
      <c r="W275" s="99">
        <f t="shared" si="64"/>
        <v>0</v>
      </c>
      <c r="X275" s="99">
        <f t="shared" si="65"/>
        <v>0</v>
      </c>
      <c r="Y275" s="99"/>
      <c r="Z275" s="99">
        <f t="shared" si="71"/>
        <v>0</v>
      </c>
      <c r="AA275" s="99"/>
      <c r="AB275" s="99">
        <f t="shared" si="66"/>
        <v>0</v>
      </c>
      <c r="AC275" s="101" t="str">
        <f t="shared" si="67"/>
        <v/>
      </c>
      <c r="AD275" s="101" t="str">
        <f t="shared" si="68"/>
        <v/>
      </c>
      <c r="AE275" s="101" t="str">
        <f t="shared" si="69"/>
        <v/>
      </c>
      <c r="AF275" s="72"/>
      <c r="AG275" s="98">
        <f>IFERROR(IF($AV275="No",0,IF($AV275="yes",Summary!Q275,"")),"")</f>
        <v>0</v>
      </c>
      <c r="AH275" s="99">
        <f>IFERROR(IF($AV275="No",0,IF($AV275="yes",Summary!R275,"")),"")</f>
        <v>0</v>
      </c>
      <c r="AI275" s="99">
        <f>IFERROR(IF($AV275="No",0,IF($AV275="yes",Summary!S275,"")),"")</f>
        <v>0</v>
      </c>
      <c r="AJ275" s="602">
        <f>IFERROR(IF($AV275="No",0,IF($AV275="yes",Summary!T275,"")),"")</f>
        <v>0</v>
      </c>
      <c r="AK275" s="100">
        <f>IFERROR(IF($AV275="No",0,IF($AV275="yes",Summary!U275,"")),"")</f>
        <v>0</v>
      </c>
      <c r="AL275" s="99">
        <f>IFERROR(IF($AV275="No",0,IF($AV275="yes",Summary!V275,"")),"")</f>
        <v>0</v>
      </c>
      <c r="AM275" s="99">
        <f>IFERROR(IF($AV275="No",0,IF($AV275="yes",Summary!W275,"")),"")</f>
        <v>0</v>
      </c>
      <c r="AN275" s="99">
        <f>IFERROR(IF($AV275="No",0,IF($AV275="yes",Summary!X275,"")),"")</f>
        <v>0</v>
      </c>
      <c r="AO275" s="99">
        <f>IFERROR(IF($AV275="No",0,IF($AV275="yes",Summary!Y275+Z275,"")),"")</f>
        <v>0</v>
      </c>
      <c r="AP275" s="99">
        <f>IFERROR(IF($AV275="No",0,IF($AV275="yes",Summary!AB275,"")),"")</f>
        <v>0</v>
      </c>
      <c r="AQ275" s="101" t="str">
        <f t="shared" si="72"/>
        <v/>
      </c>
      <c r="AR275" s="101" t="str">
        <f t="shared" si="73"/>
        <v/>
      </c>
      <c r="AS275" s="101" t="str">
        <f t="shared" si="74"/>
        <v/>
      </c>
      <c r="AT275" s="96" t="s">
        <v>689</v>
      </c>
      <c r="AV275" t="str">
        <f>IF('Proposed Lighting'!CN272&gt;0,"No","Yes")</f>
        <v>Yes</v>
      </c>
    </row>
    <row r="276" spans="1:48" ht="34.5" customHeight="1" outlineLevel="1">
      <c r="A276" s="96" t="s">
        <v>690</v>
      </c>
      <c r="B276" s="96" t="str">
        <f>IF(ISNUMBER(SEARCH("case",E276)),"COM_MISC_REFR_ALL_UNKN1991",IF('Proposed Lighting'!AU273=3,"Commercial-All Com-ExtLight",IF('Proposed Lighting'!AH273&gt;8759,"IPC_8760","Commercial-All Com-IntLight")))</f>
        <v>IPC_8760</v>
      </c>
      <c r="C276" s="96" t="str">
        <f>IF(OR('Proposed Lighting'!DD273="Standard Incentive",'Proposed Lighting'!DD273="Non-Standard Incentive"),"Yes",IF(AND(IF(ISNUMBER(SEARCH("controls",'Proposed Lighting'!T273)),"True","False")="False",'Proposed Lighting'!DD273="Submit Control as Non-Standard"),"Yes","No"))</f>
        <v>No</v>
      </c>
      <c r="D276" s="1403">
        <f>'Proposed Lighting'!CV273-Q276</f>
        <v>0</v>
      </c>
      <c r="E276" s="143">
        <f>'Proposed Lighting'!T273</f>
        <v>0</v>
      </c>
      <c r="F276" s="143">
        <f>'Proposed Lighting'!F273</f>
        <v>0</v>
      </c>
      <c r="G276" s="96" t="s">
        <v>242</v>
      </c>
      <c r="H276" s="142" t="str">
        <f>'Proposed Lighting'!CP273</f>
        <v/>
      </c>
      <c r="I276" s="98">
        <v>1</v>
      </c>
      <c r="J276" s="142">
        <f>'Proposed Lighting'!AA273</f>
        <v>0</v>
      </c>
      <c r="K276" s="142" t="str">
        <f>IF(ISNUMBER(SEARCH("-C",'Proposed Lighting'!M273)),'Proposed Lighting'!AH273*0.9,'Proposed Lighting'!AH273)</f>
        <v/>
      </c>
      <c r="L276" s="142">
        <f>IFERROR(IF(OR('Proposed Lighting'!BC273=22,'Proposed Lighting'!BC273=44),1-25%,IF(OR('Proposed Lighting'!BC273=23,'Proposed Lighting'!BC273=46),1-30%,IF(OR('Proposed Lighting'!BC273=29,'Proposed Lighting'!BC273=39,'Proposed Lighting'!BC273=49),1-35%,IF(OR('Proposed Lighting'!BC273=24,'Proposed Lighting'!BC273=48),1-50%,IF(AND(ISNUMBER(SEARCH("-C",'Proposed Lighting'!M273)),'Proposed Lighting'!AU273=2),90%,100%)))))*'Proposed Lighting'!AH273,0)</f>
        <v>0</v>
      </c>
      <c r="M276" s="87">
        <f t="shared" si="60"/>
        <v>0</v>
      </c>
      <c r="N276" s="87">
        <f>IFERROR(IF('Proposed Lighting'!AU273=1,0,'Proposed Lighting'!AO273),0)</f>
        <v>0</v>
      </c>
      <c r="O276" s="88">
        <f>IF('Proposed Lighting'!AU273=1,0,'Proposed Lighting'!AP273)</f>
        <v>0</v>
      </c>
      <c r="P276" s="87">
        <f t="shared" si="61"/>
        <v>0</v>
      </c>
      <c r="Q276" s="98">
        <f t="shared" si="70"/>
        <v>0</v>
      </c>
      <c r="R276" s="99">
        <f>IFERROR(IF('Proposed Lighting'!T273="Lighting controls only",0,ROUND(IF('Proposed Lighting'!AQ273&lt;'Proposed Lighting'!AR273,0,IF('Proposed Lighting'!AH273=0,0,IF('Proposed Lighting'!BV273&gt;0,'Proposed Lighting'!BV273,IF('Proposed Lighting'!CL273=0,MIN('Proposed Lighting'!CN273:CO273),IF('Proposed Lighting'!CX273&gt;0,'Proposed Lighting'!CX273*'Proposed Lighting'!AA273,0))))),2)),0)</f>
        <v>0</v>
      </c>
      <c r="S276" s="99">
        <f>IF('Proposed Lighting'!AJ273&gt;0,'Proposed Lighting'!AJ273*J276,'Proposed Lighting'!$AU$328*J276)</f>
        <v>0</v>
      </c>
      <c r="T276" s="602">
        <f t="shared" si="62"/>
        <v>0</v>
      </c>
      <c r="U276" s="100"/>
      <c r="V276" s="99">
        <f t="shared" si="63"/>
        <v>0</v>
      </c>
      <c r="W276" s="99">
        <f t="shared" si="64"/>
        <v>0</v>
      </c>
      <c r="X276" s="99">
        <f t="shared" si="65"/>
        <v>0</v>
      </c>
      <c r="Y276" s="99"/>
      <c r="Z276" s="99">
        <f t="shared" si="71"/>
        <v>0</v>
      </c>
      <c r="AA276" s="99"/>
      <c r="AB276" s="99">
        <f t="shared" si="66"/>
        <v>0</v>
      </c>
      <c r="AC276" s="101" t="str">
        <f t="shared" si="67"/>
        <v/>
      </c>
      <c r="AD276" s="101" t="str">
        <f t="shared" si="68"/>
        <v/>
      </c>
      <c r="AE276" s="101" t="str">
        <f t="shared" si="69"/>
        <v/>
      </c>
      <c r="AF276" s="72"/>
      <c r="AG276" s="98">
        <f>IFERROR(IF($AV276="No",0,IF($AV276="yes",Summary!Q276,"")),"")</f>
        <v>0</v>
      </c>
      <c r="AH276" s="99">
        <f>IFERROR(IF($AV276="No",0,IF($AV276="yes",Summary!R276,"")),"")</f>
        <v>0</v>
      </c>
      <c r="AI276" s="99">
        <f>IFERROR(IF($AV276="No",0,IF($AV276="yes",Summary!S276,"")),"")</f>
        <v>0</v>
      </c>
      <c r="AJ276" s="602">
        <f>IFERROR(IF($AV276="No",0,IF($AV276="yes",Summary!T276,"")),"")</f>
        <v>0</v>
      </c>
      <c r="AK276" s="100">
        <f>IFERROR(IF($AV276="No",0,IF($AV276="yes",Summary!U276,"")),"")</f>
        <v>0</v>
      </c>
      <c r="AL276" s="99">
        <f>IFERROR(IF($AV276="No",0,IF($AV276="yes",Summary!V276,"")),"")</f>
        <v>0</v>
      </c>
      <c r="AM276" s="99">
        <f>IFERROR(IF($AV276="No",0,IF($AV276="yes",Summary!W276,"")),"")</f>
        <v>0</v>
      </c>
      <c r="AN276" s="99">
        <f>IFERROR(IF($AV276="No",0,IF($AV276="yes",Summary!X276,"")),"")</f>
        <v>0</v>
      </c>
      <c r="AO276" s="99">
        <f>IFERROR(IF($AV276="No",0,IF($AV276="yes",Summary!Y276+Z276,"")),"")</f>
        <v>0</v>
      </c>
      <c r="AP276" s="99">
        <f>IFERROR(IF($AV276="No",0,IF($AV276="yes",Summary!AB276,"")),"")</f>
        <v>0</v>
      </c>
      <c r="AQ276" s="101" t="str">
        <f t="shared" si="72"/>
        <v/>
      </c>
      <c r="AR276" s="101" t="str">
        <f t="shared" si="73"/>
        <v/>
      </c>
      <c r="AS276" s="101" t="str">
        <f t="shared" si="74"/>
        <v/>
      </c>
      <c r="AT276" s="96" t="s">
        <v>690</v>
      </c>
      <c r="AV276" t="str">
        <f>IF('Proposed Lighting'!CN273&gt;0,"No","Yes")</f>
        <v>Yes</v>
      </c>
    </row>
    <row r="277" spans="1:48" ht="34.5" customHeight="1" outlineLevel="1">
      <c r="A277" s="96" t="s">
        <v>691</v>
      </c>
      <c r="B277" s="96" t="str">
        <f>IF(ISNUMBER(SEARCH("case",E277)),"COM_MISC_REFR_ALL_UNKN1991",IF('Proposed Lighting'!AU274=3,"Commercial-All Com-ExtLight",IF('Proposed Lighting'!AH274&gt;8759,"IPC_8760","Commercial-All Com-IntLight")))</f>
        <v>IPC_8760</v>
      </c>
      <c r="C277" s="96" t="str">
        <f>IF(OR('Proposed Lighting'!DD274="Standard Incentive",'Proposed Lighting'!DD274="Non-Standard Incentive"),"Yes",IF(AND(IF(ISNUMBER(SEARCH("controls",'Proposed Lighting'!T274)),"True","False")="False",'Proposed Lighting'!DD274="Submit Control as Non-Standard"),"Yes","No"))</f>
        <v>No</v>
      </c>
      <c r="D277" s="1403">
        <f>'Proposed Lighting'!CV274-Q277</f>
        <v>0</v>
      </c>
      <c r="E277" s="143">
        <f>'Proposed Lighting'!T274</f>
        <v>0</v>
      </c>
      <c r="F277" s="143">
        <f>'Proposed Lighting'!F274</f>
        <v>0</v>
      </c>
      <c r="G277" s="96" t="s">
        <v>242</v>
      </c>
      <c r="H277" s="142" t="str">
        <f>'Proposed Lighting'!CP274</f>
        <v/>
      </c>
      <c r="I277" s="98">
        <v>1</v>
      </c>
      <c r="J277" s="142">
        <f>'Proposed Lighting'!AA274</f>
        <v>0</v>
      </c>
      <c r="K277" s="142" t="str">
        <f>IF(ISNUMBER(SEARCH("-C",'Proposed Lighting'!M274)),'Proposed Lighting'!AH274*0.9,'Proposed Lighting'!AH274)</f>
        <v/>
      </c>
      <c r="L277" s="142">
        <f>IFERROR(IF(OR('Proposed Lighting'!BC274=22,'Proposed Lighting'!BC274=44),1-25%,IF(OR('Proposed Lighting'!BC274=23,'Proposed Lighting'!BC274=46),1-30%,IF(OR('Proposed Lighting'!BC274=29,'Proposed Lighting'!BC274=39,'Proposed Lighting'!BC274=49),1-35%,IF(OR('Proposed Lighting'!BC274=24,'Proposed Lighting'!BC274=48),1-50%,IF(AND(ISNUMBER(SEARCH("-C",'Proposed Lighting'!M274)),'Proposed Lighting'!AU274=2),90%,100%)))))*'Proposed Lighting'!AH274,0)</f>
        <v>0</v>
      </c>
      <c r="M277" s="87">
        <f t="shared" si="60"/>
        <v>0</v>
      </c>
      <c r="N277" s="87">
        <f>IFERROR(IF('Proposed Lighting'!AU274=1,0,'Proposed Lighting'!AO274),0)</f>
        <v>0</v>
      </c>
      <c r="O277" s="88">
        <f>IF('Proposed Lighting'!AU274=1,0,'Proposed Lighting'!AP274)</f>
        <v>0</v>
      </c>
      <c r="P277" s="87">
        <f t="shared" si="61"/>
        <v>0</v>
      </c>
      <c r="Q277" s="98">
        <f t="shared" si="70"/>
        <v>0</v>
      </c>
      <c r="R277" s="99">
        <f>IFERROR(IF('Proposed Lighting'!T274="Lighting controls only",0,ROUND(IF('Proposed Lighting'!AQ274&lt;'Proposed Lighting'!AR274,0,IF('Proposed Lighting'!AH274=0,0,IF('Proposed Lighting'!BV274&gt;0,'Proposed Lighting'!BV274,IF('Proposed Lighting'!CL274=0,MIN('Proposed Lighting'!CN274:CO274),IF('Proposed Lighting'!CX274&gt;0,'Proposed Lighting'!CX274*'Proposed Lighting'!AA274,0))))),2)),0)</f>
        <v>0</v>
      </c>
      <c r="S277" s="99">
        <f>IF('Proposed Lighting'!AJ274&gt;0,'Proposed Lighting'!AJ274*J277,'Proposed Lighting'!$AU$328*J277)</f>
        <v>0</v>
      </c>
      <c r="T277" s="602">
        <f t="shared" si="62"/>
        <v>0</v>
      </c>
      <c r="U277" s="100"/>
      <c r="V277" s="99">
        <f t="shared" si="63"/>
        <v>0</v>
      </c>
      <c r="W277" s="99">
        <f t="shared" si="64"/>
        <v>0</v>
      </c>
      <c r="X277" s="99">
        <f t="shared" si="65"/>
        <v>0</v>
      </c>
      <c r="Y277" s="99"/>
      <c r="Z277" s="99">
        <f t="shared" si="71"/>
        <v>0</v>
      </c>
      <c r="AA277" s="99"/>
      <c r="AB277" s="99">
        <f t="shared" si="66"/>
        <v>0</v>
      </c>
      <c r="AC277" s="101" t="str">
        <f t="shared" si="67"/>
        <v/>
      </c>
      <c r="AD277" s="101" t="str">
        <f t="shared" si="68"/>
        <v/>
      </c>
      <c r="AE277" s="101" t="str">
        <f t="shared" si="69"/>
        <v/>
      </c>
      <c r="AF277" s="72"/>
      <c r="AG277" s="98">
        <f>IFERROR(IF($AV277="No",0,IF($AV277="yes",Summary!Q277,"")),"")</f>
        <v>0</v>
      </c>
      <c r="AH277" s="99">
        <f>IFERROR(IF($AV277="No",0,IF($AV277="yes",Summary!R277,"")),"")</f>
        <v>0</v>
      </c>
      <c r="AI277" s="99">
        <f>IFERROR(IF($AV277="No",0,IF($AV277="yes",Summary!S277,"")),"")</f>
        <v>0</v>
      </c>
      <c r="AJ277" s="602">
        <f>IFERROR(IF($AV277="No",0,IF($AV277="yes",Summary!T277,"")),"")</f>
        <v>0</v>
      </c>
      <c r="AK277" s="100">
        <f>IFERROR(IF($AV277="No",0,IF($AV277="yes",Summary!U277,"")),"")</f>
        <v>0</v>
      </c>
      <c r="AL277" s="99">
        <f>IFERROR(IF($AV277="No",0,IF($AV277="yes",Summary!V277,"")),"")</f>
        <v>0</v>
      </c>
      <c r="AM277" s="99">
        <f>IFERROR(IF($AV277="No",0,IF($AV277="yes",Summary!W277,"")),"")</f>
        <v>0</v>
      </c>
      <c r="AN277" s="99">
        <f>IFERROR(IF($AV277="No",0,IF($AV277="yes",Summary!X277,"")),"")</f>
        <v>0</v>
      </c>
      <c r="AO277" s="99">
        <f>IFERROR(IF($AV277="No",0,IF($AV277="yes",Summary!Y277+Z277,"")),"")</f>
        <v>0</v>
      </c>
      <c r="AP277" s="99">
        <f>IFERROR(IF($AV277="No",0,IF($AV277="yes",Summary!AB277,"")),"")</f>
        <v>0</v>
      </c>
      <c r="AQ277" s="101" t="str">
        <f t="shared" si="72"/>
        <v/>
      </c>
      <c r="AR277" s="101" t="str">
        <f t="shared" si="73"/>
        <v/>
      </c>
      <c r="AS277" s="101" t="str">
        <f t="shared" si="74"/>
        <v/>
      </c>
      <c r="AT277" s="96" t="s">
        <v>691</v>
      </c>
      <c r="AV277" t="str">
        <f>IF('Proposed Lighting'!CN274&gt;0,"No","Yes")</f>
        <v>Yes</v>
      </c>
    </row>
    <row r="278" spans="1:48" ht="34.5" customHeight="1" outlineLevel="1">
      <c r="A278" s="96" t="s">
        <v>692</v>
      </c>
      <c r="B278" s="96" t="str">
        <f>IF(ISNUMBER(SEARCH("case",E278)),"COM_MISC_REFR_ALL_UNKN1991",IF('Proposed Lighting'!AU275=3,"Commercial-All Com-ExtLight",IF('Proposed Lighting'!AH275&gt;8759,"IPC_8760","Commercial-All Com-IntLight")))</f>
        <v>IPC_8760</v>
      </c>
      <c r="C278" s="96" t="str">
        <f>IF(OR('Proposed Lighting'!DD275="Standard Incentive",'Proposed Lighting'!DD275="Non-Standard Incentive"),"Yes",IF(AND(IF(ISNUMBER(SEARCH("controls",'Proposed Lighting'!T275)),"True","False")="False",'Proposed Lighting'!DD275="Submit Control as Non-Standard"),"Yes","No"))</f>
        <v>No</v>
      </c>
      <c r="D278" s="1403">
        <f>'Proposed Lighting'!CV275-Q278</f>
        <v>0</v>
      </c>
      <c r="E278" s="143">
        <f>'Proposed Lighting'!T275</f>
        <v>0</v>
      </c>
      <c r="F278" s="143">
        <f>'Proposed Lighting'!F275</f>
        <v>0</v>
      </c>
      <c r="G278" s="96" t="s">
        <v>242</v>
      </c>
      <c r="H278" s="142" t="str">
        <f>'Proposed Lighting'!CP275</f>
        <v/>
      </c>
      <c r="I278" s="98">
        <v>1</v>
      </c>
      <c r="J278" s="142">
        <f>'Proposed Lighting'!AA275</f>
        <v>0</v>
      </c>
      <c r="K278" s="142" t="str">
        <f>IF(ISNUMBER(SEARCH("-C",'Proposed Lighting'!M275)),'Proposed Lighting'!AH275*0.9,'Proposed Lighting'!AH275)</f>
        <v/>
      </c>
      <c r="L278" s="142">
        <f>IFERROR(IF(OR('Proposed Lighting'!BC275=22,'Proposed Lighting'!BC275=44),1-25%,IF(OR('Proposed Lighting'!BC275=23,'Proposed Lighting'!BC275=46),1-30%,IF(OR('Proposed Lighting'!BC275=29,'Proposed Lighting'!BC275=39,'Proposed Lighting'!BC275=49),1-35%,IF(OR('Proposed Lighting'!BC275=24,'Proposed Lighting'!BC275=48),1-50%,IF(AND(ISNUMBER(SEARCH("-C",'Proposed Lighting'!M275)),'Proposed Lighting'!AU275=2),90%,100%)))))*'Proposed Lighting'!AH275,0)</f>
        <v>0</v>
      </c>
      <c r="M278" s="87">
        <f t="shared" si="60"/>
        <v>0</v>
      </c>
      <c r="N278" s="87">
        <f>IFERROR(IF('Proposed Lighting'!AU275=1,0,'Proposed Lighting'!AO275),0)</f>
        <v>0</v>
      </c>
      <c r="O278" s="88">
        <f>IF('Proposed Lighting'!AU275=1,0,'Proposed Lighting'!AP275)</f>
        <v>0</v>
      </c>
      <c r="P278" s="87">
        <f t="shared" si="61"/>
        <v>0</v>
      </c>
      <c r="Q278" s="98">
        <f t="shared" si="70"/>
        <v>0</v>
      </c>
      <c r="R278" s="99">
        <f>IFERROR(IF('Proposed Lighting'!T275="Lighting controls only",0,ROUND(IF('Proposed Lighting'!AQ275&lt;'Proposed Lighting'!AR275,0,IF('Proposed Lighting'!AH275=0,0,IF('Proposed Lighting'!BV275&gt;0,'Proposed Lighting'!BV275,IF('Proposed Lighting'!CL275=0,MIN('Proposed Lighting'!CN275:CO275),IF('Proposed Lighting'!CX275&gt;0,'Proposed Lighting'!CX275*'Proposed Lighting'!AA275,0))))),2)),0)</f>
        <v>0</v>
      </c>
      <c r="S278" s="99">
        <f>IF('Proposed Lighting'!AJ275&gt;0,'Proposed Lighting'!AJ275*J278,'Proposed Lighting'!$AU$328*J278)</f>
        <v>0</v>
      </c>
      <c r="T278" s="602">
        <f t="shared" si="62"/>
        <v>0</v>
      </c>
      <c r="U278" s="100"/>
      <c r="V278" s="99">
        <f t="shared" si="63"/>
        <v>0</v>
      </c>
      <c r="W278" s="99">
        <f t="shared" si="64"/>
        <v>0</v>
      </c>
      <c r="X278" s="99">
        <f t="shared" si="65"/>
        <v>0</v>
      </c>
      <c r="Y278" s="99"/>
      <c r="Z278" s="99">
        <f t="shared" si="71"/>
        <v>0</v>
      </c>
      <c r="AA278" s="99"/>
      <c r="AB278" s="99">
        <f t="shared" si="66"/>
        <v>0</v>
      </c>
      <c r="AC278" s="101" t="str">
        <f t="shared" si="67"/>
        <v/>
      </c>
      <c r="AD278" s="101" t="str">
        <f t="shared" si="68"/>
        <v/>
      </c>
      <c r="AE278" s="101" t="str">
        <f t="shared" si="69"/>
        <v/>
      </c>
      <c r="AF278" s="72"/>
      <c r="AG278" s="98">
        <f>IFERROR(IF($AV278="No",0,IF($AV278="yes",Summary!Q278,"")),"")</f>
        <v>0</v>
      </c>
      <c r="AH278" s="99">
        <f>IFERROR(IF($AV278="No",0,IF($AV278="yes",Summary!R278,"")),"")</f>
        <v>0</v>
      </c>
      <c r="AI278" s="99">
        <f>IFERROR(IF($AV278="No",0,IF($AV278="yes",Summary!S278,"")),"")</f>
        <v>0</v>
      </c>
      <c r="AJ278" s="602">
        <f>IFERROR(IF($AV278="No",0,IF($AV278="yes",Summary!T278,"")),"")</f>
        <v>0</v>
      </c>
      <c r="AK278" s="100">
        <f>IFERROR(IF($AV278="No",0,IF($AV278="yes",Summary!U278,"")),"")</f>
        <v>0</v>
      </c>
      <c r="AL278" s="99">
        <f>IFERROR(IF($AV278="No",0,IF($AV278="yes",Summary!V278,"")),"")</f>
        <v>0</v>
      </c>
      <c r="AM278" s="99">
        <f>IFERROR(IF($AV278="No",0,IF($AV278="yes",Summary!W278,"")),"")</f>
        <v>0</v>
      </c>
      <c r="AN278" s="99">
        <f>IFERROR(IF($AV278="No",0,IF($AV278="yes",Summary!X278,"")),"")</f>
        <v>0</v>
      </c>
      <c r="AO278" s="99">
        <f>IFERROR(IF($AV278="No",0,IF($AV278="yes",Summary!Y278+Z278,"")),"")</f>
        <v>0</v>
      </c>
      <c r="AP278" s="99">
        <f>IFERROR(IF($AV278="No",0,IF($AV278="yes",Summary!AB278,"")),"")</f>
        <v>0</v>
      </c>
      <c r="AQ278" s="101" t="str">
        <f t="shared" si="72"/>
        <v/>
      </c>
      <c r="AR278" s="101" t="str">
        <f t="shared" si="73"/>
        <v/>
      </c>
      <c r="AS278" s="101" t="str">
        <f t="shared" si="74"/>
        <v/>
      </c>
      <c r="AT278" s="96" t="s">
        <v>692</v>
      </c>
      <c r="AV278" t="str">
        <f>IF('Proposed Lighting'!CN275&gt;0,"No","Yes")</f>
        <v>Yes</v>
      </c>
    </row>
    <row r="279" spans="1:48" ht="34.5" customHeight="1" outlineLevel="1">
      <c r="A279" s="96" t="s">
        <v>693</v>
      </c>
      <c r="B279" s="96" t="str">
        <f>IF(ISNUMBER(SEARCH("case",E279)),"COM_MISC_REFR_ALL_UNKN1991",IF('Proposed Lighting'!AU276=3,"Commercial-All Com-ExtLight",IF('Proposed Lighting'!AH276&gt;8759,"IPC_8760","Commercial-All Com-IntLight")))</f>
        <v>IPC_8760</v>
      </c>
      <c r="C279" s="96" t="str">
        <f>IF(OR('Proposed Lighting'!DD276="Standard Incentive",'Proposed Lighting'!DD276="Non-Standard Incentive"),"Yes",IF(AND(IF(ISNUMBER(SEARCH("controls",'Proposed Lighting'!T276)),"True","False")="False",'Proposed Lighting'!DD276="Submit Control as Non-Standard"),"Yes","No"))</f>
        <v>No</v>
      </c>
      <c r="D279" s="1403">
        <f>'Proposed Lighting'!CV276-Q279</f>
        <v>0</v>
      </c>
      <c r="E279" s="143">
        <f>'Proposed Lighting'!T276</f>
        <v>0</v>
      </c>
      <c r="F279" s="143">
        <f>'Proposed Lighting'!F276</f>
        <v>0</v>
      </c>
      <c r="G279" s="96" t="s">
        <v>242</v>
      </c>
      <c r="H279" s="142" t="str">
        <f>'Proposed Lighting'!CP276</f>
        <v/>
      </c>
      <c r="I279" s="98">
        <v>1</v>
      </c>
      <c r="J279" s="142">
        <f>'Proposed Lighting'!AA276</f>
        <v>0</v>
      </c>
      <c r="K279" s="142" t="str">
        <f>IF(ISNUMBER(SEARCH("-C",'Proposed Lighting'!M276)),'Proposed Lighting'!AH276*0.9,'Proposed Lighting'!AH276)</f>
        <v/>
      </c>
      <c r="L279" s="142">
        <f>IFERROR(IF(OR('Proposed Lighting'!BC276=22,'Proposed Lighting'!BC276=44),1-25%,IF(OR('Proposed Lighting'!BC276=23,'Proposed Lighting'!BC276=46),1-30%,IF(OR('Proposed Lighting'!BC276=29,'Proposed Lighting'!BC276=39,'Proposed Lighting'!BC276=49),1-35%,IF(OR('Proposed Lighting'!BC276=24,'Proposed Lighting'!BC276=48),1-50%,IF(AND(ISNUMBER(SEARCH("-C",'Proposed Lighting'!M276)),'Proposed Lighting'!AU276=2),90%,100%)))))*'Proposed Lighting'!AH276,0)</f>
        <v>0</v>
      </c>
      <c r="M279" s="87">
        <f t="shared" si="60"/>
        <v>0</v>
      </c>
      <c r="N279" s="87">
        <f>IFERROR(IF('Proposed Lighting'!AU276=1,0,'Proposed Lighting'!AO276),0)</f>
        <v>0</v>
      </c>
      <c r="O279" s="88">
        <f>IF('Proposed Lighting'!AU276=1,0,'Proposed Lighting'!AP276)</f>
        <v>0</v>
      </c>
      <c r="P279" s="87">
        <f t="shared" si="61"/>
        <v>0</v>
      </c>
      <c r="Q279" s="98">
        <f t="shared" si="70"/>
        <v>0</v>
      </c>
      <c r="R279" s="99">
        <f>IFERROR(IF('Proposed Lighting'!T276="Lighting controls only",0,ROUND(IF('Proposed Lighting'!AQ276&lt;'Proposed Lighting'!AR276,0,IF('Proposed Lighting'!AH276=0,0,IF('Proposed Lighting'!BV276&gt;0,'Proposed Lighting'!BV276,IF('Proposed Lighting'!CL276=0,MIN('Proposed Lighting'!CN276:CO276),IF('Proposed Lighting'!CX276&gt;0,'Proposed Lighting'!CX276*'Proposed Lighting'!AA276,0))))),2)),0)</f>
        <v>0</v>
      </c>
      <c r="S279" s="99">
        <f>IF('Proposed Lighting'!AJ276&gt;0,'Proposed Lighting'!AJ276*J279,'Proposed Lighting'!$AU$328*J279)</f>
        <v>0</v>
      </c>
      <c r="T279" s="602">
        <f t="shared" si="62"/>
        <v>0</v>
      </c>
      <c r="U279" s="100"/>
      <c r="V279" s="99">
        <f t="shared" si="63"/>
        <v>0</v>
      </c>
      <c r="W279" s="99">
        <f t="shared" si="64"/>
        <v>0</v>
      </c>
      <c r="X279" s="99">
        <f t="shared" si="65"/>
        <v>0</v>
      </c>
      <c r="Y279" s="99"/>
      <c r="Z279" s="99">
        <f t="shared" si="71"/>
        <v>0</v>
      </c>
      <c r="AA279" s="99"/>
      <c r="AB279" s="99">
        <f t="shared" si="66"/>
        <v>0</v>
      </c>
      <c r="AC279" s="101" t="str">
        <f t="shared" si="67"/>
        <v/>
      </c>
      <c r="AD279" s="101" t="str">
        <f t="shared" si="68"/>
        <v/>
      </c>
      <c r="AE279" s="101" t="str">
        <f t="shared" si="69"/>
        <v/>
      </c>
      <c r="AF279" s="72"/>
      <c r="AG279" s="98">
        <f>IFERROR(IF($AV279="No",0,IF($AV279="yes",Summary!Q279,"")),"")</f>
        <v>0</v>
      </c>
      <c r="AH279" s="99">
        <f>IFERROR(IF($AV279="No",0,IF($AV279="yes",Summary!R279,"")),"")</f>
        <v>0</v>
      </c>
      <c r="AI279" s="99">
        <f>IFERROR(IF($AV279="No",0,IF($AV279="yes",Summary!S279,"")),"")</f>
        <v>0</v>
      </c>
      <c r="AJ279" s="602">
        <f>IFERROR(IF($AV279="No",0,IF($AV279="yes",Summary!T279,"")),"")</f>
        <v>0</v>
      </c>
      <c r="AK279" s="100">
        <f>IFERROR(IF($AV279="No",0,IF($AV279="yes",Summary!U279,"")),"")</f>
        <v>0</v>
      </c>
      <c r="AL279" s="99">
        <f>IFERROR(IF($AV279="No",0,IF($AV279="yes",Summary!V279,"")),"")</f>
        <v>0</v>
      </c>
      <c r="AM279" s="99">
        <f>IFERROR(IF($AV279="No",0,IF($AV279="yes",Summary!W279,"")),"")</f>
        <v>0</v>
      </c>
      <c r="AN279" s="99">
        <f>IFERROR(IF($AV279="No",0,IF($AV279="yes",Summary!X279,"")),"")</f>
        <v>0</v>
      </c>
      <c r="AO279" s="99">
        <f>IFERROR(IF($AV279="No",0,IF($AV279="yes",Summary!Y279+Z279,"")),"")</f>
        <v>0</v>
      </c>
      <c r="AP279" s="99">
        <f>IFERROR(IF($AV279="No",0,IF($AV279="yes",Summary!AB279,"")),"")</f>
        <v>0</v>
      </c>
      <c r="AQ279" s="101" t="str">
        <f t="shared" si="72"/>
        <v/>
      </c>
      <c r="AR279" s="101" t="str">
        <f t="shared" si="73"/>
        <v/>
      </c>
      <c r="AS279" s="101" t="str">
        <f t="shared" si="74"/>
        <v/>
      </c>
      <c r="AT279" s="96" t="s">
        <v>693</v>
      </c>
      <c r="AV279" t="str">
        <f>IF('Proposed Lighting'!CN276&gt;0,"No","Yes")</f>
        <v>Yes</v>
      </c>
    </row>
    <row r="280" spans="1:48" ht="34.5" customHeight="1" outlineLevel="1">
      <c r="A280" s="96" t="s">
        <v>694</v>
      </c>
      <c r="B280" s="96" t="str">
        <f>IF(ISNUMBER(SEARCH("case",E280)),"COM_MISC_REFR_ALL_UNKN1991",IF('Proposed Lighting'!AU277=3,"Commercial-All Com-ExtLight",IF('Proposed Lighting'!AH277&gt;8759,"IPC_8760","Commercial-All Com-IntLight")))</f>
        <v>IPC_8760</v>
      </c>
      <c r="C280" s="96" t="str">
        <f>IF(OR('Proposed Lighting'!DD277="Standard Incentive",'Proposed Lighting'!DD277="Non-Standard Incentive"),"Yes",IF(AND(IF(ISNUMBER(SEARCH("controls",'Proposed Lighting'!T277)),"True","False")="False",'Proposed Lighting'!DD277="Submit Control as Non-Standard"),"Yes","No"))</f>
        <v>No</v>
      </c>
      <c r="D280" s="1403">
        <f>'Proposed Lighting'!CV277-Q280</f>
        <v>0</v>
      </c>
      <c r="E280" s="143">
        <f>'Proposed Lighting'!T277</f>
        <v>0</v>
      </c>
      <c r="F280" s="143">
        <f>'Proposed Lighting'!F277</f>
        <v>0</v>
      </c>
      <c r="G280" s="96" t="s">
        <v>242</v>
      </c>
      <c r="H280" s="142" t="str">
        <f>'Proposed Lighting'!CP277</f>
        <v/>
      </c>
      <c r="I280" s="98">
        <v>1</v>
      </c>
      <c r="J280" s="142">
        <f>'Proposed Lighting'!AA277</f>
        <v>0</v>
      </c>
      <c r="K280" s="142" t="str">
        <f>IF(ISNUMBER(SEARCH("-C",'Proposed Lighting'!M277)),'Proposed Lighting'!AH277*0.9,'Proposed Lighting'!AH277)</f>
        <v/>
      </c>
      <c r="L280" s="142">
        <f>IFERROR(IF(OR('Proposed Lighting'!BC277=22,'Proposed Lighting'!BC277=44),1-25%,IF(OR('Proposed Lighting'!BC277=23,'Proposed Lighting'!BC277=46),1-30%,IF(OR('Proposed Lighting'!BC277=29,'Proposed Lighting'!BC277=39,'Proposed Lighting'!BC277=49),1-35%,IF(OR('Proposed Lighting'!BC277=24,'Proposed Lighting'!BC277=48),1-50%,IF(AND(ISNUMBER(SEARCH("-C",'Proposed Lighting'!M277)),'Proposed Lighting'!AU277=2),90%,100%)))))*'Proposed Lighting'!AH277,0)</f>
        <v>0</v>
      </c>
      <c r="M280" s="87">
        <f t="shared" si="60"/>
        <v>0</v>
      </c>
      <c r="N280" s="87">
        <f>IFERROR(IF('Proposed Lighting'!AU277=1,0,'Proposed Lighting'!AO277),0)</f>
        <v>0</v>
      </c>
      <c r="O280" s="88">
        <f>IF('Proposed Lighting'!AU277=1,0,'Proposed Lighting'!AP277)</f>
        <v>0</v>
      </c>
      <c r="P280" s="87">
        <f t="shared" si="61"/>
        <v>0</v>
      </c>
      <c r="Q280" s="98">
        <f t="shared" si="70"/>
        <v>0</v>
      </c>
      <c r="R280" s="99">
        <f>IFERROR(IF('Proposed Lighting'!T277="Lighting controls only",0,ROUND(IF('Proposed Lighting'!AQ277&lt;'Proposed Lighting'!AR277,0,IF('Proposed Lighting'!AH277=0,0,IF('Proposed Lighting'!BV277&gt;0,'Proposed Lighting'!BV277,IF('Proposed Lighting'!CL277=0,MIN('Proposed Lighting'!CN277:CO277),IF('Proposed Lighting'!CX277&gt;0,'Proposed Lighting'!CX277*'Proposed Lighting'!AA277,0))))),2)),0)</f>
        <v>0</v>
      </c>
      <c r="S280" s="99">
        <f>IF('Proposed Lighting'!AJ277&gt;0,'Proposed Lighting'!AJ277*J280,'Proposed Lighting'!$AU$328*J280)</f>
        <v>0</v>
      </c>
      <c r="T280" s="602">
        <f t="shared" si="62"/>
        <v>0</v>
      </c>
      <c r="U280" s="100"/>
      <c r="V280" s="99">
        <f t="shared" si="63"/>
        <v>0</v>
      </c>
      <c r="W280" s="99">
        <f t="shared" si="64"/>
        <v>0</v>
      </c>
      <c r="X280" s="99">
        <f t="shared" si="65"/>
        <v>0</v>
      </c>
      <c r="Y280" s="99"/>
      <c r="Z280" s="99">
        <f t="shared" si="71"/>
        <v>0</v>
      </c>
      <c r="AA280" s="99"/>
      <c r="AB280" s="99">
        <f t="shared" si="66"/>
        <v>0</v>
      </c>
      <c r="AC280" s="101" t="str">
        <f t="shared" si="67"/>
        <v/>
      </c>
      <c r="AD280" s="101" t="str">
        <f t="shared" si="68"/>
        <v/>
      </c>
      <c r="AE280" s="101" t="str">
        <f t="shared" si="69"/>
        <v/>
      </c>
      <c r="AF280" s="72"/>
      <c r="AG280" s="98">
        <f>IFERROR(IF($AV280="No",0,IF($AV280="yes",Summary!Q280,"")),"")</f>
        <v>0</v>
      </c>
      <c r="AH280" s="99">
        <f>IFERROR(IF($AV280="No",0,IF($AV280="yes",Summary!R280,"")),"")</f>
        <v>0</v>
      </c>
      <c r="AI280" s="99">
        <f>IFERROR(IF($AV280="No",0,IF($AV280="yes",Summary!S280,"")),"")</f>
        <v>0</v>
      </c>
      <c r="AJ280" s="602">
        <f>IFERROR(IF($AV280="No",0,IF($AV280="yes",Summary!T280,"")),"")</f>
        <v>0</v>
      </c>
      <c r="AK280" s="100">
        <f>IFERROR(IF($AV280="No",0,IF($AV280="yes",Summary!U280,"")),"")</f>
        <v>0</v>
      </c>
      <c r="AL280" s="99">
        <f>IFERROR(IF($AV280="No",0,IF($AV280="yes",Summary!V280,"")),"")</f>
        <v>0</v>
      </c>
      <c r="AM280" s="99">
        <f>IFERROR(IF($AV280="No",0,IF($AV280="yes",Summary!W280,"")),"")</f>
        <v>0</v>
      </c>
      <c r="AN280" s="99">
        <f>IFERROR(IF($AV280="No",0,IF($AV280="yes",Summary!X280,"")),"")</f>
        <v>0</v>
      </c>
      <c r="AO280" s="99">
        <f>IFERROR(IF($AV280="No",0,IF($AV280="yes",Summary!Y280+Z280,"")),"")</f>
        <v>0</v>
      </c>
      <c r="AP280" s="99">
        <f>IFERROR(IF($AV280="No",0,IF($AV280="yes",Summary!AB280,"")),"")</f>
        <v>0</v>
      </c>
      <c r="AQ280" s="101" t="str">
        <f t="shared" si="72"/>
        <v/>
      </c>
      <c r="AR280" s="101" t="str">
        <f t="shared" si="73"/>
        <v/>
      </c>
      <c r="AS280" s="101" t="str">
        <f t="shared" si="74"/>
        <v/>
      </c>
      <c r="AT280" s="96" t="s">
        <v>694</v>
      </c>
      <c r="AV280" t="str">
        <f>IF('Proposed Lighting'!CN277&gt;0,"No","Yes")</f>
        <v>Yes</v>
      </c>
    </row>
    <row r="281" spans="1:48" ht="34.5" customHeight="1" outlineLevel="1">
      <c r="A281" s="96" t="s">
        <v>695</v>
      </c>
      <c r="B281" s="96" t="str">
        <f>IF(ISNUMBER(SEARCH("case",E281)),"COM_MISC_REFR_ALL_UNKN1991",IF('Proposed Lighting'!AU278=3,"Commercial-All Com-ExtLight",IF('Proposed Lighting'!AH278&gt;8759,"IPC_8760","Commercial-All Com-IntLight")))</f>
        <v>IPC_8760</v>
      </c>
      <c r="C281" s="96" t="str">
        <f>IF(OR('Proposed Lighting'!DD278="Standard Incentive",'Proposed Lighting'!DD278="Non-Standard Incentive"),"Yes",IF(AND(IF(ISNUMBER(SEARCH("controls",'Proposed Lighting'!T278)),"True","False")="False",'Proposed Lighting'!DD278="Submit Control as Non-Standard"),"Yes","No"))</f>
        <v>No</v>
      </c>
      <c r="D281" s="1403">
        <f>'Proposed Lighting'!CV278-Q281</f>
        <v>0</v>
      </c>
      <c r="E281" s="143">
        <f>'Proposed Lighting'!T278</f>
        <v>0</v>
      </c>
      <c r="F281" s="143">
        <f>'Proposed Lighting'!F278</f>
        <v>0</v>
      </c>
      <c r="G281" s="96" t="s">
        <v>242</v>
      </c>
      <c r="H281" s="142" t="str">
        <f>'Proposed Lighting'!CP278</f>
        <v/>
      </c>
      <c r="I281" s="98">
        <v>1</v>
      </c>
      <c r="J281" s="142">
        <f>'Proposed Lighting'!AA278</f>
        <v>0</v>
      </c>
      <c r="K281" s="142" t="str">
        <f>IF(ISNUMBER(SEARCH("-C",'Proposed Lighting'!M278)),'Proposed Lighting'!AH278*0.9,'Proposed Lighting'!AH278)</f>
        <v/>
      </c>
      <c r="L281" s="142">
        <f>IFERROR(IF(OR('Proposed Lighting'!BC278=22,'Proposed Lighting'!BC278=44),1-25%,IF(OR('Proposed Lighting'!BC278=23,'Proposed Lighting'!BC278=46),1-30%,IF(OR('Proposed Lighting'!BC278=29,'Proposed Lighting'!BC278=39,'Proposed Lighting'!BC278=49),1-35%,IF(OR('Proposed Lighting'!BC278=24,'Proposed Lighting'!BC278=48),1-50%,IF(AND(ISNUMBER(SEARCH("-C",'Proposed Lighting'!M278)),'Proposed Lighting'!AU278=2),90%,100%)))))*'Proposed Lighting'!AH278,0)</f>
        <v>0</v>
      </c>
      <c r="M281" s="87">
        <f t="shared" si="60"/>
        <v>0</v>
      </c>
      <c r="N281" s="87">
        <f>IFERROR(IF('Proposed Lighting'!AU278=1,0,'Proposed Lighting'!AO278),0)</f>
        <v>0</v>
      </c>
      <c r="O281" s="88">
        <f>IF('Proposed Lighting'!AU278=1,0,'Proposed Lighting'!AP278)</f>
        <v>0</v>
      </c>
      <c r="P281" s="87">
        <f t="shared" si="61"/>
        <v>0</v>
      </c>
      <c r="Q281" s="98">
        <f t="shared" si="70"/>
        <v>0</v>
      </c>
      <c r="R281" s="99">
        <f>IFERROR(IF('Proposed Lighting'!T278="Lighting controls only",0,ROUND(IF('Proposed Lighting'!AQ278&lt;'Proposed Lighting'!AR278,0,IF('Proposed Lighting'!AH278=0,0,IF('Proposed Lighting'!BV278&gt;0,'Proposed Lighting'!BV278,IF('Proposed Lighting'!CL278=0,MIN('Proposed Lighting'!CN278:CO278),IF('Proposed Lighting'!CX278&gt;0,'Proposed Lighting'!CX278*'Proposed Lighting'!AA278,0))))),2)),0)</f>
        <v>0</v>
      </c>
      <c r="S281" s="99">
        <f>IF('Proposed Lighting'!AJ278&gt;0,'Proposed Lighting'!AJ278*J281,'Proposed Lighting'!$AU$328*J281)</f>
        <v>0</v>
      </c>
      <c r="T281" s="602">
        <f t="shared" si="62"/>
        <v>0</v>
      </c>
      <c r="U281" s="100"/>
      <c r="V281" s="99">
        <f t="shared" si="63"/>
        <v>0</v>
      </c>
      <c r="W281" s="99">
        <f t="shared" si="64"/>
        <v>0</v>
      </c>
      <c r="X281" s="99">
        <f t="shared" si="65"/>
        <v>0</v>
      </c>
      <c r="Y281" s="99"/>
      <c r="Z281" s="99">
        <f t="shared" si="71"/>
        <v>0</v>
      </c>
      <c r="AA281" s="99"/>
      <c r="AB281" s="99">
        <f t="shared" si="66"/>
        <v>0</v>
      </c>
      <c r="AC281" s="101" t="str">
        <f t="shared" si="67"/>
        <v/>
      </c>
      <c r="AD281" s="101" t="str">
        <f t="shared" si="68"/>
        <v/>
      </c>
      <c r="AE281" s="101" t="str">
        <f t="shared" si="69"/>
        <v/>
      </c>
      <c r="AF281" s="72"/>
      <c r="AG281" s="98">
        <f>IFERROR(IF($AV281="No",0,IF($AV281="yes",Summary!Q281,"")),"")</f>
        <v>0</v>
      </c>
      <c r="AH281" s="99">
        <f>IFERROR(IF($AV281="No",0,IF($AV281="yes",Summary!R281,"")),"")</f>
        <v>0</v>
      </c>
      <c r="AI281" s="99">
        <f>IFERROR(IF($AV281="No",0,IF($AV281="yes",Summary!S281,"")),"")</f>
        <v>0</v>
      </c>
      <c r="AJ281" s="602">
        <f>IFERROR(IF($AV281="No",0,IF($AV281="yes",Summary!T281,"")),"")</f>
        <v>0</v>
      </c>
      <c r="AK281" s="100">
        <f>IFERROR(IF($AV281="No",0,IF($AV281="yes",Summary!U281,"")),"")</f>
        <v>0</v>
      </c>
      <c r="AL281" s="99">
        <f>IFERROR(IF($AV281="No",0,IF($AV281="yes",Summary!V281,"")),"")</f>
        <v>0</v>
      </c>
      <c r="AM281" s="99">
        <f>IFERROR(IF($AV281="No",0,IF($AV281="yes",Summary!W281,"")),"")</f>
        <v>0</v>
      </c>
      <c r="AN281" s="99">
        <f>IFERROR(IF($AV281="No",0,IF($AV281="yes",Summary!X281,"")),"")</f>
        <v>0</v>
      </c>
      <c r="AO281" s="99">
        <f>IFERROR(IF($AV281="No",0,IF($AV281="yes",Summary!Y281+Z281,"")),"")</f>
        <v>0</v>
      </c>
      <c r="AP281" s="99">
        <f>IFERROR(IF($AV281="No",0,IF($AV281="yes",Summary!AB281,"")),"")</f>
        <v>0</v>
      </c>
      <c r="AQ281" s="101" t="str">
        <f t="shared" si="72"/>
        <v/>
      </c>
      <c r="AR281" s="101" t="str">
        <f t="shared" si="73"/>
        <v/>
      </c>
      <c r="AS281" s="101" t="str">
        <f t="shared" si="74"/>
        <v/>
      </c>
      <c r="AT281" s="96" t="s">
        <v>695</v>
      </c>
      <c r="AV281" t="str">
        <f>IF('Proposed Lighting'!CN278&gt;0,"No","Yes")</f>
        <v>Yes</v>
      </c>
    </row>
    <row r="282" spans="1:48" ht="34.5" customHeight="1" outlineLevel="1">
      <c r="A282" s="96" t="s">
        <v>696</v>
      </c>
      <c r="B282" s="96" t="str">
        <f>IF(ISNUMBER(SEARCH("case",E282)),"COM_MISC_REFR_ALL_UNKN1991",IF('Proposed Lighting'!AU279=3,"Commercial-All Com-ExtLight",IF('Proposed Lighting'!AH279&gt;8759,"IPC_8760","Commercial-All Com-IntLight")))</f>
        <v>IPC_8760</v>
      </c>
      <c r="C282" s="96" t="str">
        <f>IF(OR('Proposed Lighting'!DD279="Standard Incentive",'Proposed Lighting'!DD279="Non-Standard Incentive"),"Yes",IF(AND(IF(ISNUMBER(SEARCH("controls",'Proposed Lighting'!T279)),"True","False")="False",'Proposed Lighting'!DD279="Submit Control as Non-Standard"),"Yes","No"))</f>
        <v>No</v>
      </c>
      <c r="D282" s="1403">
        <f>'Proposed Lighting'!CV279-Q282</f>
        <v>0</v>
      </c>
      <c r="E282" s="143">
        <f>'Proposed Lighting'!T279</f>
        <v>0</v>
      </c>
      <c r="F282" s="143">
        <f>'Proposed Lighting'!F279</f>
        <v>0</v>
      </c>
      <c r="G282" s="96" t="s">
        <v>242</v>
      </c>
      <c r="H282" s="142" t="str">
        <f>'Proposed Lighting'!CP279</f>
        <v/>
      </c>
      <c r="I282" s="98">
        <v>1</v>
      </c>
      <c r="J282" s="142">
        <f>'Proposed Lighting'!AA279</f>
        <v>0</v>
      </c>
      <c r="K282" s="142" t="str">
        <f>IF(ISNUMBER(SEARCH("-C",'Proposed Lighting'!M279)),'Proposed Lighting'!AH279*0.9,'Proposed Lighting'!AH279)</f>
        <v/>
      </c>
      <c r="L282" s="142">
        <f>IFERROR(IF(OR('Proposed Lighting'!BC279=22,'Proposed Lighting'!BC279=44),1-25%,IF(OR('Proposed Lighting'!BC279=23,'Proposed Lighting'!BC279=46),1-30%,IF(OR('Proposed Lighting'!BC279=29,'Proposed Lighting'!BC279=39,'Proposed Lighting'!BC279=49),1-35%,IF(OR('Proposed Lighting'!BC279=24,'Proposed Lighting'!BC279=48),1-50%,IF(AND(ISNUMBER(SEARCH("-C",'Proposed Lighting'!M279)),'Proposed Lighting'!AU279=2),90%,100%)))))*'Proposed Lighting'!AH279,0)</f>
        <v>0</v>
      </c>
      <c r="M282" s="87">
        <f t="shared" si="60"/>
        <v>0</v>
      </c>
      <c r="N282" s="87">
        <f>IFERROR(IF('Proposed Lighting'!AU279=1,0,'Proposed Lighting'!AO279),0)</f>
        <v>0</v>
      </c>
      <c r="O282" s="88">
        <f>IF('Proposed Lighting'!AU279=1,0,'Proposed Lighting'!AP279)</f>
        <v>0</v>
      </c>
      <c r="P282" s="87">
        <f t="shared" si="61"/>
        <v>0</v>
      </c>
      <c r="Q282" s="98">
        <f t="shared" si="70"/>
        <v>0</v>
      </c>
      <c r="R282" s="99">
        <f>IFERROR(IF('Proposed Lighting'!T279="Lighting controls only",0,ROUND(IF('Proposed Lighting'!AQ279&lt;'Proposed Lighting'!AR279,0,IF('Proposed Lighting'!AH279=0,0,IF('Proposed Lighting'!BV279&gt;0,'Proposed Lighting'!BV279,IF('Proposed Lighting'!CL279=0,MIN('Proposed Lighting'!CN279:CO279),IF('Proposed Lighting'!CX279&gt;0,'Proposed Lighting'!CX279*'Proposed Lighting'!AA279,0))))),2)),0)</f>
        <v>0</v>
      </c>
      <c r="S282" s="99">
        <f>IF('Proposed Lighting'!AJ279&gt;0,'Proposed Lighting'!AJ279*J282,'Proposed Lighting'!$AU$328*J282)</f>
        <v>0</v>
      </c>
      <c r="T282" s="602">
        <f t="shared" si="62"/>
        <v>0</v>
      </c>
      <c r="U282" s="100"/>
      <c r="V282" s="99">
        <f t="shared" si="63"/>
        <v>0</v>
      </c>
      <c r="W282" s="99">
        <f t="shared" si="64"/>
        <v>0</v>
      </c>
      <c r="X282" s="99">
        <f t="shared" si="65"/>
        <v>0</v>
      </c>
      <c r="Y282" s="99"/>
      <c r="Z282" s="99">
        <f t="shared" si="71"/>
        <v>0</v>
      </c>
      <c r="AA282" s="99"/>
      <c r="AB282" s="99">
        <f t="shared" si="66"/>
        <v>0</v>
      </c>
      <c r="AC282" s="101" t="str">
        <f t="shared" si="67"/>
        <v/>
      </c>
      <c r="AD282" s="101" t="str">
        <f t="shared" si="68"/>
        <v/>
      </c>
      <c r="AE282" s="101" t="str">
        <f t="shared" si="69"/>
        <v/>
      </c>
      <c r="AF282" s="72"/>
      <c r="AG282" s="98">
        <f>IFERROR(IF($AV282="No",0,IF($AV282="yes",Summary!Q282,"")),"")</f>
        <v>0</v>
      </c>
      <c r="AH282" s="99">
        <f>IFERROR(IF($AV282="No",0,IF($AV282="yes",Summary!R282,"")),"")</f>
        <v>0</v>
      </c>
      <c r="AI282" s="99">
        <f>IFERROR(IF($AV282="No",0,IF($AV282="yes",Summary!S282,"")),"")</f>
        <v>0</v>
      </c>
      <c r="AJ282" s="602">
        <f>IFERROR(IF($AV282="No",0,IF($AV282="yes",Summary!T282,"")),"")</f>
        <v>0</v>
      </c>
      <c r="AK282" s="100">
        <f>IFERROR(IF($AV282="No",0,IF($AV282="yes",Summary!U282,"")),"")</f>
        <v>0</v>
      </c>
      <c r="AL282" s="99">
        <f>IFERROR(IF($AV282="No",0,IF($AV282="yes",Summary!V282,"")),"")</f>
        <v>0</v>
      </c>
      <c r="AM282" s="99">
        <f>IFERROR(IF($AV282="No",0,IF($AV282="yes",Summary!W282,"")),"")</f>
        <v>0</v>
      </c>
      <c r="AN282" s="99">
        <f>IFERROR(IF($AV282="No",0,IF($AV282="yes",Summary!X282,"")),"")</f>
        <v>0</v>
      </c>
      <c r="AO282" s="99">
        <f>IFERROR(IF($AV282="No",0,IF($AV282="yes",Summary!Y282+Z282,"")),"")</f>
        <v>0</v>
      </c>
      <c r="AP282" s="99">
        <f>IFERROR(IF($AV282="No",0,IF($AV282="yes",Summary!AB282,"")),"")</f>
        <v>0</v>
      </c>
      <c r="AQ282" s="101" t="str">
        <f t="shared" si="72"/>
        <v/>
      </c>
      <c r="AR282" s="101" t="str">
        <f t="shared" si="73"/>
        <v/>
      </c>
      <c r="AS282" s="101" t="str">
        <f t="shared" si="74"/>
        <v/>
      </c>
      <c r="AT282" s="96" t="s">
        <v>696</v>
      </c>
      <c r="AV282" t="str">
        <f>IF('Proposed Lighting'!CN279&gt;0,"No","Yes")</f>
        <v>Yes</v>
      </c>
    </row>
    <row r="283" spans="1:48" ht="34.5" customHeight="1" outlineLevel="1">
      <c r="A283" s="96" t="s">
        <v>697</v>
      </c>
      <c r="B283" s="96" t="str">
        <f>IF(ISNUMBER(SEARCH("case",E283)),"COM_MISC_REFR_ALL_UNKN1991",IF('Proposed Lighting'!AU280=3,"Commercial-All Com-ExtLight",IF('Proposed Lighting'!AH280&gt;8759,"IPC_8760","Commercial-All Com-IntLight")))</f>
        <v>IPC_8760</v>
      </c>
      <c r="C283" s="96" t="str">
        <f>IF(OR('Proposed Lighting'!DD280="Standard Incentive",'Proposed Lighting'!DD280="Non-Standard Incentive"),"Yes",IF(AND(IF(ISNUMBER(SEARCH("controls",'Proposed Lighting'!T280)),"True","False")="False",'Proposed Lighting'!DD280="Submit Control as Non-Standard"),"Yes","No"))</f>
        <v>No</v>
      </c>
      <c r="D283" s="1403">
        <f>'Proposed Lighting'!CV280-Q283</f>
        <v>0</v>
      </c>
      <c r="E283" s="143">
        <f>'Proposed Lighting'!T280</f>
        <v>0</v>
      </c>
      <c r="F283" s="143">
        <f>'Proposed Lighting'!F280</f>
        <v>0</v>
      </c>
      <c r="G283" s="96" t="s">
        <v>242</v>
      </c>
      <c r="H283" s="142" t="str">
        <f>'Proposed Lighting'!CP280</f>
        <v/>
      </c>
      <c r="I283" s="98">
        <v>1</v>
      </c>
      <c r="J283" s="142">
        <f>'Proposed Lighting'!AA280</f>
        <v>0</v>
      </c>
      <c r="K283" s="142" t="str">
        <f>IF(ISNUMBER(SEARCH("-C",'Proposed Lighting'!M280)),'Proposed Lighting'!AH280*0.9,'Proposed Lighting'!AH280)</f>
        <v/>
      </c>
      <c r="L283" s="142">
        <f>IFERROR(IF(OR('Proposed Lighting'!BC280=22,'Proposed Lighting'!BC280=44),1-25%,IF(OR('Proposed Lighting'!BC280=23,'Proposed Lighting'!BC280=46),1-30%,IF(OR('Proposed Lighting'!BC280=29,'Proposed Lighting'!BC280=39,'Proposed Lighting'!BC280=49),1-35%,IF(OR('Proposed Lighting'!BC280=24,'Proposed Lighting'!BC280=48),1-50%,IF(AND(ISNUMBER(SEARCH("-C",'Proposed Lighting'!M280)),'Proposed Lighting'!AU280=2),90%,100%)))))*'Proposed Lighting'!AH280,0)</f>
        <v>0</v>
      </c>
      <c r="M283" s="87">
        <f t="shared" si="60"/>
        <v>0</v>
      </c>
      <c r="N283" s="87">
        <f>IFERROR(IF('Proposed Lighting'!AU280=1,0,'Proposed Lighting'!AO280),0)</f>
        <v>0</v>
      </c>
      <c r="O283" s="88">
        <f>IF('Proposed Lighting'!AU280=1,0,'Proposed Lighting'!AP280)</f>
        <v>0</v>
      </c>
      <c r="P283" s="87">
        <f t="shared" si="61"/>
        <v>0</v>
      </c>
      <c r="Q283" s="98">
        <f t="shared" si="70"/>
        <v>0</v>
      </c>
      <c r="R283" s="99">
        <f>IFERROR(IF('Proposed Lighting'!T280="Lighting controls only",0,ROUND(IF('Proposed Lighting'!AQ280&lt;'Proposed Lighting'!AR280,0,IF('Proposed Lighting'!AH280=0,0,IF('Proposed Lighting'!BV280&gt;0,'Proposed Lighting'!BV280,IF('Proposed Lighting'!CL280=0,MIN('Proposed Lighting'!CN280:CO280),IF('Proposed Lighting'!CX280&gt;0,'Proposed Lighting'!CX280*'Proposed Lighting'!AA280,0))))),2)),0)</f>
        <v>0</v>
      </c>
      <c r="S283" s="99">
        <f>IF('Proposed Lighting'!AJ280&gt;0,'Proposed Lighting'!AJ280*J283,'Proposed Lighting'!$AU$328*J283)</f>
        <v>0</v>
      </c>
      <c r="T283" s="602">
        <f t="shared" si="62"/>
        <v>0</v>
      </c>
      <c r="U283" s="100"/>
      <c r="V283" s="99">
        <f t="shared" si="63"/>
        <v>0</v>
      </c>
      <c r="W283" s="99">
        <f t="shared" si="64"/>
        <v>0</v>
      </c>
      <c r="X283" s="99">
        <f t="shared" si="65"/>
        <v>0</v>
      </c>
      <c r="Y283" s="99"/>
      <c r="Z283" s="99">
        <f t="shared" si="71"/>
        <v>0</v>
      </c>
      <c r="AA283" s="99"/>
      <c r="AB283" s="99">
        <f t="shared" si="66"/>
        <v>0</v>
      </c>
      <c r="AC283" s="101" t="str">
        <f t="shared" si="67"/>
        <v/>
      </c>
      <c r="AD283" s="101" t="str">
        <f t="shared" si="68"/>
        <v/>
      </c>
      <c r="AE283" s="101" t="str">
        <f t="shared" si="69"/>
        <v/>
      </c>
      <c r="AF283" s="72"/>
      <c r="AG283" s="98">
        <f>IFERROR(IF($AV283="No",0,IF($AV283="yes",Summary!Q283,"")),"")</f>
        <v>0</v>
      </c>
      <c r="AH283" s="99">
        <f>IFERROR(IF($AV283="No",0,IF($AV283="yes",Summary!R283,"")),"")</f>
        <v>0</v>
      </c>
      <c r="AI283" s="99">
        <f>IFERROR(IF($AV283="No",0,IF($AV283="yes",Summary!S283,"")),"")</f>
        <v>0</v>
      </c>
      <c r="AJ283" s="602">
        <f>IFERROR(IF($AV283="No",0,IF($AV283="yes",Summary!T283,"")),"")</f>
        <v>0</v>
      </c>
      <c r="AK283" s="100">
        <f>IFERROR(IF($AV283="No",0,IF($AV283="yes",Summary!U283,"")),"")</f>
        <v>0</v>
      </c>
      <c r="AL283" s="99">
        <f>IFERROR(IF($AV283="No",0,IF($AV283="yes",Summary!V283,"")),"")</f>
        <v>0</v>
      </c>
      <c r="AM283" s="99">
        <f>IFERROR(IF($AV283="No",0,IF($AV283="yes",Summary!W283,"")),"")</f>
        <v>0</v>
      </c>
      <c r="AN283" s="99">
        <f>IFERROR(IF($AV283="No",0,IF($AV283="yes",Summary!X283,"")),"")</f>
        <v>0</v>
      </c>
      <c r="AO283" s="99">
        <f>IFERROR(IF($AV283="No",0,IF($AV283="yes",Summary!Y283+Z283,"")),"")</f>
        <v>0</v>
      </c>
      <c r="AP283" s="99">
        <f>IFERROR(IF($AV283="No",0,IF($AV283="yes",Summary!AB283,"")),"")</f>
        <v>0</v>
      </c>
      <c r="AQ283" s="101" t="str">
        <f t="shared" si="72"/>
        <v/>
      </c>
      <c r="AR283" s="101" t="str">
        <f t="shared" si="73"/>
        <v/>
      </c>
      <c r="AS283" s="101" t="str">
        <f t="shared" si="74"/>
        <v/>
      </c>
      <c r="AT283" s="96" t="s">
        <v>697</v>
      </c>
      <c r="AV283" t="str">
        <f>IF('Proposed Lighting'!CN280&gt;0,"No","Yes")</f>
        <v>Yes</v>
      </c>
    </row>
    <row r="284" spans="1:48" ht="34.5" customHeight="1" outlineLevel="1">
      <c r="A284" s="96" t="s">
        <v>698</v>
      </c>
      <c r="B284" s="96" t="str">
        <f>IF(ISNUMBER(SEARCH("case",E284)),"COM_MISC_REFR_ALL_UNKN1991",IF('Proposed Lighting'!AU281=3,"Commercial-All Com-ExtLight",IF('Proposed Lighting'!AH281&gt;8759,"IPC_8760","Commercial-All Com-IntLight")))</f>
        <v>IPC_8760</v>
      </c>
      <c r="C284" s="96" t="str">
        <f>IF(OR('Proposed Lighting'!DD281="Standard Incentive",'Proposed Lighting'!DD281="Non-Standard Incentive"),"Yes",IF(AND(IF(ISNUMBER(SEARCH("controls",'Proposed Lighting'!T281)),"True","False")="False",'Proposed Lighting'!DD281="Submit Control as Non-Standard"),"Yes","No"))</f>
        <v>No</v>
      </c>
      <c r="D284" s="1403">
        <f>'Proposed Lighting'!CV281-Q284</f>
        <v>0</v>
      </c>
      <c r="E284" s="143">
        <f>'Proposed Lighting'!T281</f>
        <v>0</v>
      </c>
      <c r="F284" s="143">
        <f>'Proposed Lighting'!F281</f>
        <v>0</v>
      </c>
      <c r="G284" s="96" t="s">
        <v>242</v>
      </c>
      <c r="H284" s="142" t="str">
        <f>'Proposed Lighting'!CP281</f>
        <v/>
      </c>
      <c r="I284" s="98">
        <v>1</v>
      </c>
      <c r="J284" s="142">
        <f>'Proposed Lighting'!AA281</f>
        <v>0</v>
      </c>
      <c r="K284" s="142" t="str">
        <f>IF(ISNUMBER(SEARCH("-C",'Proposed Lighting'!M281)),'Proposed Lighting'!AH281*0.9,'Proposed Lighting'!AH281)</f>
        <v/>
      </c>
      <c r="L284" s="142">
        <f>IFERROR(IF(OR('Proposed Lighting'!BC281=22,'Proposed Lighting'!BC281=44),1-25%,IF(OR('Proposed Lighting'!BC281=23,'Proposed Lighting'!BC281=46),1-30%,IF(OR('Proposed Lighting'!BC281=29,'Proposed Lighting'!BC281=39,'Proposed Lighting'!BC281=49),1-35%,IF(OR('Proposed Lighting'!BC281=24,'Proposed Lighting'!BC281=48),1-50%,IF(AND(ISNUMBER(SEARCH("-C",'Proposed Lighting'!M281)),'Proposed Lighting'!AU281=2),90%,100%)))))*'Proposed Lighting'!AH281,0)</f>
        <v>0</v>
      </c>
      <c r="M284" s="87">
        <f t="shared" si="60"/>
        <v>0</v>
      </c>
      <c r="N284" s="87">
        <f>IFERROR(IF('Proposed Lighting'!AU281=1,0,'Proposed Lighting'!AO281),0)</f>
        <v>0</v>
      </c>
      <c r="O284" s="88">
        <f>IF('Proposed Lighting'!AU281=1,0,'Proposed Lighting'!AP281)</f>
        <v>0</v>
      </c>
      <c r="P284" s="87">
        <f t="shared" si="61"/>
        <v>0</v>
      </c>
      <c r="Q284" s="98">
        <f t="shared" si="70"/>
        <v>0</v>
      </c>
      <c r="R284" s="99">
        <f>IFERROR(IF('Proposed Lighting'!T281="Lighting controls only",0,ROUND(IF('Proposed Lighting'!AQ281&lt;'Proposed Lighting'!AR281,0,IF('Proposed Lighting'!AH281=0,0,IF('Proposed Lighting'!BV281&gt;0,'Proposed Lighting'!BV281,IF('Proposed Lighting'!CL281=0,MIN('Proposed Lighting'!CN281:CO281),IF('Proposed Lighting'!CX281&gt;0,'Proposed Lighting'!CX281*'Proposed Lighting'!AA281,0))))),2)),0)</f>
        <v>0</v>
      </c>
      <c r="S284" s="99">
        <f>IF('Proposed Lighting'!AJ281&gt;0,'Proposed Lighting'!AJ281*J284,'Proposed Lighting'!$AU$328*J284)</f>
        <v>0</v>
      </c>
      <c r="T284" s="602">
        <f t="shared" si="62"/>
        <v>0</v>
      </c>
      <c r="U284" s="100"/>
      <c r="V284" s="99">
        <f t="shared" si="63"/>
        <v>0</v>
      </c>
      <c r="W284" s="99">
        <f t="shared" si="64"/>
        <v>0</v>
      </c>
      <c r="X284" s="99">
        <f t="shared" si="65"/>
        <v>0</v>
      </c>
      <c r="Y284" s="99"/>
      <c r="Z284" s="99">
        <f t="shared" si="71"/>
        <v>0</v>
      </c>
      <c r="AA284" s="99"/>
      <c r="AB284" s="99">
        <f t="shared" si="66"/>
        <v>0</v>
      </c>
      <c r="AC284" s="101" t="str">
        <f t="shared" si="67"/>
        <v/>
      </c>
      <c r="AD284" s="101" t="str">
        <f t="shared" si="68"/>
        <v/>
      </c>
      <c r="AE284" s="101" t="str">
        <f t="shared" si="69"/>
        <v/>
      </c>
      <c r="AF284" s="72"/>
      <c r="AG284" s="98">
        <f>IFERROR(IF($AV284="No",0,IF($AV284="yes",Summary!Q284,"")),"")</f>
        <v>0</v>
      </c>
      <c r="AH284" s="99">
        <f>IFERROR(IF($AV284="No",0,IF($AV284="yes",Summary!R284,"")),"")</f>
        <v>0</v>
      </c>
      <c r="AI284" s="99">
        <f>IFERROR(IF($AV284="No",0,IF($AV284="yes",Summary!S284,"")),"")</f>
        <v>0</v>
      </c>
      <c r="AJ284" s="602">
        <f>IFERROR(IF($AV284="No",0,IF($AV284="yes",Summary!T284,"")),"")</f>
        <v>0</v>
      </c>
      <c r="AK284" s="100">
        <f>IFERROR(IF($AV284="No",0,IF($AV284="yes",Summary!U284,"")),"")</f>
        <v>0</v>
      </c>
      <c r="AL284" s="99">
        <f>IFERROR(IF($AV284="No",0,IF($AV284="yes",Summary!V284,"")),"")</f>
        <v>0</v>
      </c>
      <c r="AM284" s="99">
        <f>IFERROR(IF($AV284="No",0,IF($AV284="yes",Summary!W284,"")),"")</f>
        <v>0</v>
      </c>
      <c r="AN284" s="99">
        <f>IFERROR(IF($AV284="No",0,IF($AV284="yes",Summary!X284,"")),"")</f>
        <v>0</v>
      </c>
      <c r="AO284" s="99">
        <f>IFERROR(IF($AV284="No",0,IF($AV284="yes",Summary!Y284+Z284,"")),"")</f>
        <v>0</v>
      </c>
      <c r="AP284" s="99">
        <f>IFERROR(IF($AV284="No",0,IF($AV284="yes",Summary!AB284,"")),"")</f>
        <v>0</v>
      </c>
      <c r="AQ284" s="101" t="str">
        <f t="shared" si="72"/>
        <v/>
      </c>
      <c r="AR284" s="101" t="str">
        <f t="shared" si="73"/>
        <v/>
      </c>
      <c r="AS284" s="101" t="str">
        <f t="shared" si="74"/>
        <v/>
      </c>
      <c r="AT284" s="96" t="s">
        <v>698</v>
      </c>
      <c r="AV284" t="str">
        <f>IF('Proposed Lighting'!CN281&gt;0,"No","Yes")</f>
        <v>Yes</v>
      </c>
    </row>
    <row r="285" spans="1:48" ht="34.5" customHeight="1" outlineLevel="1">
      <c r="A285" s="96" t="s">
        <v>699</v>
      </c>
      <c r="B285" s="96" t="str">
        <f>IF(ISNUMBER(SEARCH("case",E285)),"COM_MISC_REFR_ALL_UNKN1991",IF('Proposed Lighting'!AU282=3,"Commercial-All Com-ExtLight",IF('Proposed Lighting'!AH282&gt;8759,"IPC_8760","Commercial-All Com-IntLight")))</f>
        <v>IPC_8760</v>
      </c>
      <c r="C285" s="96" t="str">
        <f>IF(OR('Proposed Lighting'!DD282="Standard Incentive",'Proposed Lighting'!DD282="Non-Standard Incentive"),"Yes",IF(AND(IF(ISNUMBER(SEARCH("controls",'Proposed Lighting'!T282)),"True","False")="False",'Proposed Lighting'!DD282="Submit Control as Non-Standard"),"Yes","No"))</f>
        <v>No</v>
      </c>
      <c r="D285" s="1403">
        <f>'Proposed Lighting'!CV282-Q285</f>
        <v>0</v>
      </c>
      <c r="E285" s="143">
        <f>'Proposed Lighting'!T282</f>
        <v>0</v>
      </c>
      <c r="F285" s="143">
        <f>'Proposed Lighting'!F282</f>
        <v>0</v>
      </c>
      <c r="G285" s="96" t="s">
        <v>242</v>
      </c>
      <c r="H285" s="142" t="str">
        <f>'Proposed Lighting'!CP282</f>
        <v/>
      </c>
      <c r="I285" s="98">
        <v>1</v>
      </c>
      <c r="J285" s="142">
        <f>'Proposed Lighting'!AA282</f>
        <v>0</v>
      </c>
      <c r="K285" s="142" t="str">
        <f>IF(ISNUMBER(SEARCH("-C",'Proposed Lighting'!M282)),'Proposed Lighting'!AH282*0.9,'Proposed Lighting'!AH282)</f>
        <v/>
      </c>
      <c r="L285" s="142">
        <f>IFERROR(IF(OR('Proposed Lighting'!BC282=22,'Proposed Lighting'!BC282=44),1-25%,IF(OR('Proposed Lighting'!BC282=23,'Proposed Lighting'!BC282=46),1-30%,IF(OR('Proposed Lighting'!BC282=29,'Proposed Lighting'!BC282=39,'Proposed Lighting'!BC282=49),1-35%,IF(OR('Proposed Lighting'!BC282=24,'Proposed Lighting'!BC282=48),1-50%,IF(AND(ISNUMBER(SEARCH("-C",'Proposed Lighting'!M282)),'Proposed Lighting'!AU282=2),90%,100%)))))*'Proposed Lighting'!AH282,0)</f>
        <v>0</v>
      </c>
      <c r="M285" s="87">
        <f t="shared" si="60"/>
        <v>0</v>
      </c>
      <c r="N285" s="87">
        <f>IFERROR(IF('Proposed Lighting'!AU282=1,0,'Proposed Lighting'!AO282),0)</f>
        <v>0</v>
      </c>
      <c r="O285" s="88">
        <f>IF('Proposed Lighting'!AU282=1,0,'Proposed Lighting'!AP282)</f>
        <v>0</v>
      </c>
      <c r="P285" s="87">
        <f t="shared" si="61"/>
        <v>0</v>
      </c>
      <c r="Q285" s="98">
        <f t="shared" si="70"/>
        <v>0</v>
      </c>
      <c r="R285" s="99">
        <f>IFERROR(IF('Proposed Lighting'!T282="Lighting controls only",0,ROUND(IF('Proposed Lighting'!AQ282&lt;'Proposed Lighting'!AR282,0,IF('Proposed Lighting'!AH282=0,0,IF('Proposed Lighting'!BV282&gt;0,'Proposed Lighting'!BV282,IF('Proposed Lighting'!CL282=0,MIN('Proposed Lighting'!CN282:CO282),IF('Proposed Lighting'!CX282&gt;0,'Proposed Lighting'!CX282*'Proposed Lighting'!AA282,0))))),2)),0)</f>
        <v>0</v>
      </c>
      <c r="S285" s="99">
        <f>IF('Proposed Lighting'!AJ282&gt;0,'Proposed Lighting'!AJ282*J285,'Proposed Lighting'!$AU$328*J285)</f>
        <v>0</v>
      </c>
      <c r="T285" s="602">
        <f t="shared" si="62"/>
        <v>0</v>
      </c>
      <c r="U285" s="100"/>
      <c r="V285" s="99">
        <f t="shared" si="63"/>
        <v>0</v>
      </c>
      <c r="W285" s="99">
        <f t="shared" si="64"/>
        <v>0</v>
      </c>
      <c r="X285" s="99">
        <f t="shared" si="65"/>
        <v>0</v>
      </c>
      <c r="Y285" s="99"/>
      <c r="Z285" s="99">
        <f t="shared" si="71"/>
        <v>0</v>
      </c>
      <c r="AA285" s="99"/>
      <c r="AB285" s="99">
        <f t="shared" si="66"/>
        <v>0</v>
      </c>
      <c r="AC285" s="101" t="str">
        <f t="shared" si="67"/>
        <v/>
      </c>
      <c r="AD285" s="101" t="str">
        <f t="shared" si="68"/>
        <v/>
      </c>
      <c r="AE285" s="101" t="str">
        <f t="shared" si="69"/>
        <v/>
      </c>
      <c r="AF285" s="72"/>
      <c r="AG285" s="98">
        <f>IFERROR(IF($AV285="No",0,IF($AV285="yes",Summary!Q285,"")),"")</f>
        <v>0</v>
      </c>
      <c r="AH285" s="99">
        <f>IFERROR(IF($AV285="No",0,IF($AV285="yes",Summary!R285,"")),"")</f>
        <v>0</v>
      </c>
      <c r="AI285" s="99">
        <f>IFERROR(IF($AV285="No",0,IF($AV285="yes",Summary!S285,"")),"")</f>
        <v>0</v>
      </c>
      <c r="AJ285" s="602">
        <f>IFERROR(IF($AV285="No",0,IF($AV285="yes",Summary!T285,"")),"")</f>
        <v>0</v>
      </c>
      <c r="AK285" s="100">
        <f>IFERROR(IF($AV285="No",0,IF($AV285="yes",Summary!U285,"")),"")</f>
        <v>0</v>
      </c>
      <c r="AL285" s="99">
        <f>IFERROR(IF($AV285="No",0,IF($AV285="yes",Summary!V285,"")),"")</f>
        <v>0</v>
      </c>
      <c r="AM285" s="99">
        <f>IFERROR(IF($AV285="No",0,IF($AV285="yes",Summary!W285,"")),"")</f>
        <v>0</v>
      </c>
      <c r="AN285" s="99">
        <f>IFERROR(IF($AV285="No",0,IF($AV285="yes",Summary!X285,"")),"")</f>
        <v>0</v>
      </c>
      <c r="AO285" s="99">
        <f>IFERROR(IF($AV285="No",0,IF($AV285="yes",Summary!Y285+Z285,"")),"")</f>
        <v>0</v>
      </c>
      <c r="AP285" s="99">
        <f>IFERROR(IF($AV285="No",0,IF($AV285="yes",Summary!AB285,"")),"")</f>
        <v>0</v>
      </c>
      <c r="AQ285" s="101" t="str">
        <f t="shared" si="72"/>
        <v/>
      </c>
      <c r="AR285" s="101" t="str">
        <f t="shared" si="73"/>
        <v/>
      </c>
      <c r="AS285" s="101" t="str">
        <f t="shared" si="74"/>
        <v/>
      </c>
      <c r="AT285" s="96" t="s">
        <v>699</v>
      </c>
      <c r="AV285" t="str">
        <f>IF('Proposed Lighting'!CN282&gt;0,"No","Yes")</f>
        <v>Yes</v>
      </c>
    </row>
    <row r="286" spans="1:48" ht="34.5" customHeight="1" outlineLevel="1">
      <c r="A286" s="96" t="s">
        <v>700</v>
      </c>
      <c r="B286" s="96" t="str">
        <f>IF(ISNUMBER(SEARCH("case",E286)),"COM_MISC_REFR_ALL_UNKN1991",IF('Proposed Lighting'!AU283=3,"Commercial-All Com-ExtLight",IF('Proposed Lighting'!AH283&gt;8759,"IPC_8760","Commercial-All Com-IntLight")))</f>
        <v>IPC_8760</v>
      </c>
      <c r="C286" s="96" t="str">
        <f>IF(OR('Proposed Lighting'!DD283="Standard Incentive",'Proposed Lighting'!DD283="Non-Standard Incentive"),"Yes",IF(AND(IF(ISNUMBER(SEARCH("controls",'Proposed Lighting'!T283)),"True","False")="False",'Proposed Lighting'!DD283="Submit Control as Non-Standard"),"Yes","No"))</f>
        <v>No</v>
      </c>
      <c r="D286" s="1403">
        <f>'Proposed Lighting'!CV283-Q286</f>
        <v>0</v>
      </c>
      <c r="E286" s="143">
        <f>'Proposed Lighting'!T283</f>
        <v>0</v>
      </c>
      <c r="F286" s="143">
        <f>'Proposed Lighting'!F283</f>
        <v>0</v>
      </c>
      <c r="G286" s="96" t="s">
        <v>242</v>
      </c>
      <c r="H286" s="142" t="str">
        <f>'Proposed Lighting'!CP283</f>
        <v/>
      </c>
      <c r="I286" s="98">
        <v>1</v>
      </c>
      <c r="J286" s="142">
        <f>'Proposed Lighting'!AA283</f>
        <v>0</v>
      </c>
      <c r="K286" s="142" t="str">
        <f>IF(ISNUMBER(SEARCH("-C",'Proposed Lighting'!M283)),'Proposed Lighting'!AH283*0.9,'Proposed Lighting'!AH283)</f>
        <v/>
      </c>
      <c r="L286" s="142">
        <f>IFERROR(IF(OR('Proposed Lighting'!BC283=22,'Proposed Lighting'!BC283=44),1-25%,IF(OR('Proposed Lighting'!BC283=23,'Proposed Lighting'!BC283=46),1-30%,IF(OR('Proposed Lighting'!BC283=29,'Proposed Lighting'!BC283=39,'Proposed Lighting'!BC283=49),1-35%,IF(OR('Proposed Lighting'!BC283=24,'Proposed Lighting'!BC283=48),1-50%,IF(AND(ISNUMBER(SEARCH("-C",'Proposed Lighting'!M283)),'Proposed Lighting'!AU283=2),90%,100%)))))*'Proposed Lighting'!AH283,0)</f>
        <v>0</v>
      </c>
      <c r="M286" s="87">
        <f t="shared" si="60"/>
        <v>0</v>
      </c>
      <c r="N286" s="87">
        <f>IFERROR(IF('Proposed Lighting'!AU283=1,0,'Proposed Lighting'!AO283),0)</f>
        <v>0</v>
      </c>
      <c r="O286" s="88">
        <f>IF('Proposed Lighting'!AU283=1,0,'Proposed Lighting'!AP283)</f>
        <v>0</v>
      </c>
      <c r="P286" s="87">
        <f t="shared" si="61"/>
        <v>0</v>
      </c>
      <c r="Q286" s="98">
        <f t="shared" si="70"/>
        <v>0</v>
      </c>
      <c r="R286" s="99">
        <f>IFERROR(IF('Proposed Lighting'!T283="Lighting controls only",0,ROUND(IF('Proposed Lighting'!AQ283&lt;'Proposed Lighting'!AR283,0,IF('Proposed Lighting'!AH283=0,0,IF('Proposed Lighting'!BV283&gt;0,'Proposed Lighting'!BV283,IF('Proposed Lighting'!CL283=0,MIN('Proposed Lighting'!CN283:CO283),IF('Proposed Lighting'!CX283&gt;0,'Proposed Lighting'!CX283*'Proposed Lighting'!AA283,0))))),2)),0)</f>
        <v>0</v>
      </c>
      <c r="S286" s="99">
        <f>IF('Proposed Lighting'!AJ283&gt;0,'Proposed Lighting'!AJ283*J286,'Proposed Lighting'!$AU$328*J286)</f>
        <v>0</v>
      </c>
      <c r="T286" s="602">
        <f t="shared" si="62"/>
        <v>0</v>
      </c>
      <c r="U286" s="100"/>
      <c r="V286" s="99">
        <f t="shared" si="63"/>
        <v>0</v>
      </c>
      <c r="W286" s="99">
        <f t="shared" si="64"/>
        <v>0</v>
      </c>
      <c r="X286" s="99">
        <f t="shared" si="65"/>
        <v>0</v>
      </c>
      <c r="Y286" s="99"/>
      <c r="Z286" s="99">
        <f t="shared" si="71"/>
        <v>0</v>
      </c>
      <c r="AA286" s="99"/>
      <c r="AB286" s="99">
        <f t="shared" si="66"/>
        <v>0</v>
      </c>
      <c r="AC286" s="101" t="str">
        <f t="shared" si="67"/>
        <v/>
      </c>
      <c r="AD286" s="101" t="str">
        <f t="shared" si="68"/>
        <v/>
      </c>
      <c r="AE286" s="101" t="str">
        <f t="shared" si="69"/>
        <v/>
      </c>
      <c r="AF286" s="72"/>
      <c r="AG286" s="98">
        <f>IFERROR(IF($AV286="No",0,IF($AV286="yes",Summary!Q286,"")),"")</f>
        <v>0</v>
      </c>
      <c r="AH286" s="99">
        <f>IFERROR(IF($AV286="No",0,IF($AV286="yes",Summary!R286,"")),"")</f>
        <v>0</v>
      </c>
      <c r="AI286" s="99">
        <f>IFERROR(IF($AV286="No",0,IF($AV286="yes",Summary!S286,"")),"")</f>
        <v>0</v>
      </c>
      <c r="AJ286" s="602">
        <f>IFERROR(IF($AV286="No",0,IF($AV286="yes",Summary!T286,"")),"")</f>
        <v>0</v>
      </c>
      <c r="AK286" s="100">
        <f>IFERROR(IF($AV286="No",0,IF($AV286="yes",Summary!U286,"")),"")</f>
        <v>0</v>
      </c>
      <c r="AL286" s="99">
        <f>IFERROR(IF($AV286="No",0,IF($AV286="yes",Summary!V286,"")),"")</f>
        <v>0</v>
      </c>
      <c r="AM286" s="99">
        <f>IFERROR(IF($AV286="No",0,IF($AV286="yes",Summary!W286,"")),"")</f>
        <v>0</v>
      </c>
      <c r="AN286" s="99">
        <f>IFERROR(IF($AV286="No",0,IF($AV286="yes",Summary!X286,"")),"")</f>
        <v>0</v>
      </c>
      <c r="AO286" s="99">
        <f>IFERROR(IF($AV286="No",0,IF($AV286="yes",Summary!Y286+Z286,"")),"")</f>
        <v>0</v>
      </c>
      <c r="AP286" s="99">
        <f>IFERROR(IF($AV286="No",0,IF($AV286="yes",Summary!AB286,"")),"")</f>
        <v>0</v>
      </c>
      <c r="AQ286" s="101" t="str">
        <f t="shared" si="72"/>
        <v/>
      </c>
      <c r="AR286" s="101" t="str">
        <f t="shared" si="73"/>
        <v/>
      </c>
      <c r="AS286" s="101" t="str">
        <f t="shared" si="74"/>
        <v/>
      </c>
      <c r="AT286" s="96" t="s">
        <v>700</v>
      </c>
      <c r="AV286" t="str">
        <f>IF('Proposed Lighting'!CN283&gt;0,"No","Yes")</f>
        <v>Yes</v>
      </c>
    </row>
    <row r="287" spans="1:48" ht="34.5" customHeight="1" outlineLevel="1">
      <c r="A287" s="96" t="s">
        <v>701</v>
      </c>
      <c r="B287" s="96" t="str">
        <f>IF(ISNUMBER(SEARCH("case",E287)),"COM_MISC_REFR_ALL_UNKN1991",IF('Proposed Lighting'!AU284=3,"Commercial-All Com-ExtLight",IF('Proposed Lighting'!AH284&gt;8759,"IPC_8760","Commercial-All Com-IntLight")))</f>
        <v>IPC_8760</v>
      </c>
      <c r="C287" s="96" t="str">
        <f>IF(OR('Proposed Lighting'!DD284="Standard Incentive",'Proposed Lighting'!DD284="Non-Standard Incentive"),"Yes",IF(AND(IF(ISNUMBER(SEARCH("controls",'Proposed Lighting'!T284)),"True","False")="False",'Proposed Lighting'!DD284="Submit Control as Non-Standard"),"Yes","No"))</f>
        <v>No</v>
      </c>
      <c r="D287" s="1403">
        <f>'Proposed Lighting'!CV284-Q287</f>
        <v>0</v>
      </c>
      <c r="E287" s="143">
        <f>'Proposed Lighting'!T284</f>
        <v>0</v>
      </c>
      <c r="F287" s="143">
        <f>'Proposed Lighting'!F284</f>
        <v>0</v>
      </c>
      <c r="G287" s="96" t="s">
        <v>242</v>
      </c>
      <c r="H287" s="142" t="str">
        <f>'Proposed Lighting'!CP284</f>
        <v/>
      </c>
      <c r="I287" s="98">
        <v>1</v>
      </c>
      <c r="J287" s="142">
        <f>'Proposed Lighting'!AA284</f>
        <v>0</v>
      </c>
      <c r="K287" s="142" t="str">
        <f>IF(ISNUMBER(SEARCH("-C",'Proposed Lighting'!M284)),'Proposed Lighting'!AH284*0.9,'Proposed Lighting'!AH284)</f>
        <v/>
      </c>
      <c r="L287" s="142">
        <f>IFERROR(IF(OR('Proposed Lighting'!BC284=22,'Proposed Lighting'!BC284=44),1-25%,IF(OR('Proposed Lighting'!BC284=23,'Proposed Lighting'!BC284=46),1-30%,IF(OR('Proposed Lighting'!BC284=29,'Proposed Lighting'!BC284=39,'Proposed Lighting'!BC284=49),1-35%,IF(OR('Proposed Lighting'!BC284=24,'Proposed Lighting'!BC284=48),1-50%,IF(AND(ISNUMBER(SEARCH("-C",'Proposed Lighting'!M284)),'Proposed Lighting'!AU284=2),90%,100%)))))*'Proposed Lighting'!AH284,0)</f>
        <v>0</v>
      </c>
      <c r="M287" s="87">
        <f t="shared" si="60"/>
        <v>0</v>
      </c>
      <c r="N287" s="87">
        <f>IFERROR(IF('Proposed Lighting'!AU284=1,0,'Proposed Lighting'!AO284),0)</f>
        <v>0</v>
      </c>
      <c r="O287" s="88">
        <f>IF('Proposed Lighting'!AU284=1,0,'Proposed Lighting'!AP284)</f>
        <v>0</v>
      </c>
      <c r="P287" s="87">
        <f t="shared" si="61"/>
        <v>0</v>
      </c>
      <c r="Q287" s="98">
        <f t="shared" si="70"/>
        <v>0</v>
      </c>
      <c r="R287" s="99">
        <f>IFERROR(IF('Proposed Lighting'!T284="Lighting controls only",0,ROUND(IF('Proposed Lighting'!AQ284&lt;'Proposed Lighting'!AR284,0,IF('Proposed Lighting'!AH284=0,0,IF('Proposed Lighting'!BV284&gt;0,'Proposed Lighting'!BV284,IF('Proposed Lighting'!CL284=0,MIN('Proposed Lighting'!CN284:CO284),IF('Proposed Lighting'!CX284&gt;0,'Proposed Lighting'!CX284*'Proposed Lighting'!AA284,0))))),2)),0)</f>
        <v>0</v>
      </c>
      <c r="S287" s="99">
        <f>IF('Proposed Lighting'!AJ284&gt;0,'Proposed Lighting'!AJ284*J287,'Proposed Lighting'!$AU$328*J287)</f>
        <v>0</v>
      </c>
      <c r="T287" s="602">
        <f t="shared" si="62"/>
        <v>0</v>
      </c>
      <c r="U287" s="100"/>
      <c r="V287" s="99">
        <f t="shared" si="63"/>
        <v>0</v>
      </c>
      <c r="W287" s="99">
        <f t="shared" si="64"/>
        <v>0</v>
      </c>
      <c r="X287" s="99">
        <f t="shared" si="65"/>
        <v>0</v>
      </c>
      <c r="Y287" s="99"/>
      <c r="Z287" s="99">
        <f t="shared" si="71"/>
        <v>0</v>
      </c>
      <c r="AA287" s="99"/>
      <c r="AB287" s="99">
        <f t="shared" si="66"/>
        <v>0</v>
      </c>
      <c r="AC287" s="101" t="str">
        <f t="shared" si="67"/>
        <v/>
      </c>
      <c r="AD287" s="101" t="str">
        <f t="shared" si="68"/>
        <v/>
      </c>
      <c r="AE287" s="101" t="str">
        <f t="shared" si="69"/>
        <v/>
      </c>
      <c r="AF287" s="72"/>
      <c r="AG287" s="98">
        <f>IFERROR(IF($AV287="No",0,IF($AV287="yes",Summary!Q287,"")),"")</f>
        <v>0</v>
      </c>
      <c r="AH287" s="99">
        <f>IFERROR(IF($AV287="No",0,IF($AV287="yes",Summary!R287,"")),"")</f>
        <v>0</v>
      </c>
      <c r="AI287" s="99">
        <f>IFERROR(IF($AV287="No",0,IF($AV287="yes",Summary!S287,"")),"")</f>
        <v>0</v>
      </c>
      <c r="AJ287" s="602">
        <f>IFERROR(IF($AV287="No",0,IF($AV287="yes",Summary!T287,"")),"")</f>
        <v>0</v>
      </c>
      <c r="AK287" s="100">
        <f>IFERROR(IF($AV287="No",0,IF($AV287="yes",Summary!U287,"")),"")</f>
        <v>0</v>
      </c>
      <c r="AL287" s="99">
        <f>IFERROR(IF($AV287="No",0,IF($AV287="yes",Summary!V287,"")),"")</f>
        <v>0</v>
      </c>
      <c r="AM287" s="99">
        <f>IFERROR(IF($AV287="No",0,IF($AV287="yes",Summary!W287,"")),"")</f>
        <v>0</v>
      </c>
      <c r="AN287" s="99">
        <f>IFERROR(IF($AV287="No",0,IF($AV287="yes",Summary!X287,"")),"")</f>
        <v>0</v>
      </c>
      <c r="AO287" s="99">
        <f>IFERROR(IF($AV287="No",0,IF($AV287="yes",Summary!Y287+Z287,"")),"")</f>
        <v>0</v>
      </c>
      <c r="AP287" s="99">
        <f>IFERROR(IF($AV287="No",0,IF($AV287="yes",Summary!AB287,"")),"")</f>
        <v>0</v>
      </c>
      <c r="AQ287" s="101" t="str">
        <f t="shared" si="72"/>
        <v/>
      </c>
      <c r="AR287" s="101" t="str">
        <f t="shared" si="73"/>
        <v/>
      </c>
      <c r="AS287" s="101" t="str">
        <f t="shared" si="74"/>
        <v/>
      </c>
      <c r="AT287" s="96" t="s">
        <v>701</v>
      </c>
      <c r="AV287" t="str">
        <f>IF('Proposed Lighting'!CN284&gt;0,"No","Yes")</f>
        <v>Yes</v>
      </c>
    </row>
    <row r="288" spans="1:48" ht="34.5" customHeight="1" outlineLevel="1">
      <c r="A288" s="96" t="s">
        <v>702</v>
      </c>
      <c r="B288" s="96" t="str">
        <f>IF(ISNUMBER(SEARCH("case",E288)),"COM_MISC_REFR_ALL_UNKN1991",IF('Proposed Lighting'!AU285=3,"Commercial-All Com-ExtLight",IF('Proposed Lighting'!AH285&gt;8759,"IPC_8760","Commercial-All Com-IntLight")))</f>
        <v>IPC_8760</v>
      </c>
      <c r="C288" s="96" t="str">
        <f>IF(OR('Proposed Lighting'!DD285="Standard Incentive",'Proposed Lighting'!DD285="Non-Standard Incentive"),"Yes",IF(AND(IF(ISNUMBER(SEARCH("controls",'Proposed Lighting'!T285)),"True","False")="False",'Proposed Lighting'!DD285="Submit Control as Non-Standard"),"Yes","No"))</f>
        <v>No</v>
      </c>
      <c r="D288" s="1403">
        <f>'Proposed Lighting'!CV285-Q288</f>
        <v>0</v>
      </c>
      <c r="E288" s="143">
        <f>'Proposed Lighting'!T285</f>
        <v>0</v>
      </c>
      <c r="F288" s="143">
        <f>'Proposed Lighting'!F285</f>
        <v>0</v>
      </c>
      <c r="G288" s="96" t="s">
        <v>242</v>
      </c>
      <c r="H288" s="142" t="str">
        <f>'Proposed Lighting'!CP285</f>
        <v/>
      </c>
      <c r="I288" s="98">
        <v>1</v>
      </c>
      <c r="J288" s="142">
        <f>'Proposed Lighting'!AA285</f>
        <v>0</v>
      </c>
      <c r="K288" s="142" t="str">
        <f>IF(ISNUMBER(SEARCH("-C",'Proposed Lighting'!M285)),'Proposed Lighting'!AH285*0.9,'Proposed Lighting'!AH285)</f>
        <v/>
      </c>
      <c r="L288" s="142">
        <f>IFERROR(IF(OR('Proposed Lighting'!BC285=22,'Proposed Lighting'!BC285=44),1-25%,IF(OR('Proposed Lighting'!BC285=23,'Proposed Lighting'!BC285=46),1-30%,IF(OR('Proposed Lighting'!BC285=29,'Proposed Lighting'!BC285=39,'Proposed Lighting'!BC285=49),1-35%,IF(OR('Proposed Lighting'!BC285=24,'Proposed Lighting'!BC285=48),1-50%,IF(AND(ISNUMBER(SEARCH("-C",'Proposed Lighting'!M285)),'Proposed Lighting'!AU285=2),90%,100%)))))*'Proposed Lighting'!AH285,0)</f>
        <v>0</v>
      </c>
      <c r="M288" s="87">
        <f t="shared" si="60"/>
        <v>0</v>
      </c>
      <c r="N288" s="87">
        <f>IFERROR(IF('Proposed Lighting'!AU285=1,0,'Proposed Lighting'!AO285),0)</f>
        <v>0</v>
      </c>
      <c r="O288" s="88">
        <f>IF('Proposed Lighting'!AU285=1,0,'Proposed Lighting'!AP285)</f>
        <v>0</v>
      </c>
      <c r="P288" s="87">
        <f t="shared" si="61"/>
        <v>0</v>
      </c>
      <c r="Q288" s="98">
        <f t="shared" si="70"/>
        <v>0</v>
      </c>
      <c r="R288" s="99">
        <f>IFERROR(IF('Proposed Lighting'!T285="Lighting controls only",0,ROUND(IF('Proposed Lighting'!AQ285&lt;'Proposed Lighting'!AR285,0,IF('Proposed Lighting'!AH285=0,0,IF('Proposed Lighting'!BV285&gt;0,'Proposed Lighting'!BV285,IF('Proposed Lighting'!CL285=0,MIN('Proposed Lighting'!CN285:CO285),IF('Proposed Lighting'!CX285&gt;0,'Proposed Lighting'!CX285*'Proposed Lighting'!AA285,0))))),2)),0)</f>
        <v>0</v>
      </c>
      <c r="S288" s="99">
        <f>IF('Proposed Lighting'!AJ285&gt;0,'Proposed Lighting'!AJ285*J288,'Proposed Lighting'!$AU$328*J288)</f>
        <v>0</v>
      </c>
      <c r="T288" s="602">
        <f t="shared" si="62"/>
        <v>0</v>
      </c>
      <c r="U288" s="100"/>
      <c r="V288" s="99">
        <f t="shared" si="63"/>
        <v>0</v>
      </c>
      <c r="W288" s="99">
        <f t="shared" si="64"/>
        <v>0</v>
      </c>
      <c r="X288" s="99">
        <f t="shared" si="65"/>
        <v>0</v>
      </c>
      <c r="Y288" s="99"/>
      <c r="Z288" s="99">
        <f t="shared" si="71"/>
        <v>0</v>
      </c>
      <c r="AA288" s="99"/>
      <c r="AB288" s="99">
        <f t="shared" si="66"/>
        <v>0</v>
      </c>
      <c r="AC288" s="101" t="str">
        <f t="shared" si="67"/>
        <v/>
      </c>
      <c r="AD288" s="101" t="str">
        <f t="shared" si="68"/>
        <v/>
      </c>
      <c r="AE288" s="101" t="str">
        <f t="shared" si="69"/>
        <v/>
      </c>
      <c r="AF288" s="72"/>
      <c r="AG288" s="98">
        <f>IFERROR(IF($AV288="No",0,IF($AV288="yes",Summary!Q288,"")),"")</f>
        <v>0</v>
      </c>
      <c r="AH288" s="99">
        <f>IFERROR(IF($AV288="No",0,IF($AV288="yes",Summary!R288,"")),"")</f>
        <v>0</v>
      </c>
      <c r="AI288" s="99">
        <f>IFERROR(IF($AV288="No",0,IF($AV288="yes",Summary!S288,"")),"")</f>
        <v>0</v>
      </c>
      <c r="AJ288" s="602">
        <f>IFERROR(IF($AV288="No",0,IF($AV288="yes",Summary!T288,"")),"")</f>
        <v>0</v>
      </c>
      <c r="AK288" s="100">
        <f>IFERROR(IF($AV288="No",0,IF($AV288="yes",Summary!U288,"")),"")</f>
        <v>0</v>
      </c>
      <c r="AL288" s="99">
        <f>IFERROR(IF($AV288="No",0,IF($AV288="yes",Summary!V288,"")),"")</f>
        <v>0</v>
      </c>
      <c r="AM288" s="99">
        <f>IFERROR(IF($AV288="No",0,IF($AV288="yes",Summary!W288,"")),"")</f>
        <v>0</v>
      </c>
      <c r="AN288" s="99">
        <f>IFERROR(IF($AV288="No",0,IF($AV288="yes",Summary!X288,"")),"")</f>
        <v>0</v>
      </c>
      <c r="AO288" s="99">
        <f>IFERROR(IF($AV288="No",0,IF($AV288="yes",Summary!Y288+Z288,"")),"")</f>
        <v>0</v>
      </c>
      <c r="AP288" s="99">
        <f>IFERROR(IF($AV288="No",0,IF($AV288="yes",Summary!AB288,"")),"")</f>
        <v>0</v>
      </c>
      <c r="AQ288" s="101" t="str">
        <f t="shared" si="72"/>
        <v/>
      </c>
      <c r="AR288" s="101" t="str">
        <f t="shared" si="73"/>
        <v/>
      </c>
      <c r="AS288" s="101" t="str">
        <f t="shared" si="74"/>
        <v/>
      </c>
      <c r="AT288" s="96" t="s">
        <v>702</v>
      </c>
      <c r="AV288" t="str">
        <f>IF('Proposed Lighting'!CN285&gt;0,"No","Yes")</f>
        <v>Yes</v>
      </c>
    </row>
    <row r="289" spans="1:48" ht="34.5" customHeight="1" outlineLevel="1">
      <c r="A289" s="96" t="s">
        <v>703</v>
      </c>
      <c r="B289" s="96" t="str">
        <f>IF(ISNUMBER(SEARCH("case",E289)),"COM_MISC_REFR_ALL_UNKN1991",IF('Proposed Lighting'!AU286=3,"Commercial-All Com-ExtLight",IF('Proposed Lighting'!AH286&gt;8759,"IPC_8760","Commercial-All Com-IntLight")))</f>
        <v>IPC_8760</v>
      </c>
      <c r="C289" s="96" t="str">
        <f>IF(OR('Proposed Lighting'!DD286="Standard Incentive",'Proposed Lighting'!DD286="Non-Standard Incentive"),"Yes",IF(AND(IF(ISNUMBER(SEARCH("controls",'Proposed Lighting'!T286)),"True","False")="False",'Proposed Lighting'!DD286="Submit Control as Non-Standard"),"Yes","No"))</f>
        <v>No</v>
      </c>
      <c r="D289" s="1403">
        <f>'Proposed Lighting'!CV286-Q289</f>
        <v>0</v>
      </c>
      <c r="E289" s="143">
        <f>'Proposed Lighting'!T286</f>
        <v>0</v>
      </c>
      <c r="F289" s="143">
        <f>'Proposed Lighting'!F286</f>
        <v>0</v>
      </c>
      <c r="G289" s="96" t="s">
        <v>242</v>
      </c>
      <c r="H289" s="142" t="str">
        <f>'Proposed Lighting'!CP286</f>
        <v/>
      </c>
      <c r="I289" s="98">
        <v>1</v>
      </c>
      <c r="J289" s="142">
        <f>'Proposed Lighting'!AA286</f>
        <v>0</v>
      </c>
      <c r="K289" s="142" t="str">
        <f>IF(ISNUMBER(SEARCH("-C",'Proposed Lighting'!M286)),'Proposed Lighting'!AH286*0.9,'Proposed Lighting'!AH286)</f>
        <v/>
      </c>
      <c r="L289" s="142">
        <f>IFERROR(IF(OR('Proposed Lighting'!BC286=22,'Proposed Lighting'!BC286=44),1-25%,IF(OR('Proposed Lighting'!BC286=23,'Proposed Lighting'!BC286=46),1-30%,IF(OR('Proposed Lighting'!BC286=29,'Proposed Lighting'!BC286=39,'Proposed Lighting'!BC286=49),1-35%,IF(OR('Proposed Lighting'!BC286=24,'Proposed Lighting'!BC286=48),1-50%,IF(AND(ISNUMBER(SEARCH("-C",'Proposed Lighting'!M286)),'Proposed Lighting'!AU286=2),90%,100%)))))*'Proposed Lighting'!AH286,0)</f>
        <v>0</v>
      </c>
      <c r="M289" s="87">
        <f t="shared" si="60"/>
        <v>0</v>
      </c>
      <c r="N289" s="87">
        <f>IFERROR(IF('Proposed Lighting'!AU286=1,0,'Proposed Lighting'!AO286),0)</f>
        <v>0</v>
      </c>
      <c r="O289" s="88">
        <f>IF('Proposed Lighting'!AU286=1,0,'Proposed Lighting'!AP286)</f>
        <v>0</v>
      </c>
      <c r="P289" s="87">
        <f t="shared" si="61"/>
        <v>0</v>
      </c>
      <c r="Q289" s="98">
        <f t="shared" si="70"/>
        <v>0</v>
      </c>
      <c r="R289" s="99">
        <f>IFERROR(IF('Proposed Lighting'!T286="Lighting controls only",0,ROUND(IF('Proposed Lighting'!AQ286&lt;'Proposed Lighting'!AR286,0,IF('Proposed Lighting'!AH286=0,0,IF('Proposed Lighting'!BV286&gt;0,'Proposed Lighting'!BV286,IF('Proposed Lighting'!CL286=0,MIN('Proposed Lighting'!CN286:CO286),IF('Proposed Lighting'!CX286&gt;0,'Proposed Lighting'!CX286*'Proposed Lighting'!AA286,0))))),2)),0)</f>
        <v>0</v>
      </c>
      <c r="S289" s="99">
        <f>IF('Proposed Lighting'!AJ286&gt;0,'Proposed Lighting'!AJ286*J289,'Proposed Lighting'!$AU$328*J289)</f>
        <v>0</v>
      </c>
      <c r="T289" s="602">
        <f t="shared" si="62"/>
        <v>0</v>
      </c>
      <c r="U289" s="100"/>
      <c r="V289" s="99">
        <f t="shared" si="63"/>
        <v>0</v>
      </c>
      <c r="W289" s="99">
        <f t="shared" si="64"/>
        <v>0</v>
      </c>
      <c r="X289" s="99">
        <f t="shared" si="65"/>
        <v>0</v>
      </c>
      <c r="Y289" s="99"/>
      <c r="Z289" s="99">
        <f t="shared" si="71"/>
        <v>0</v>
      </c>
      <c r="AA289" s="99"/>
      <c r="AB289" s="99">
        <f t="shared" si="66"/>
        <v>0</v>
      </c>
      <c r="AC289" s="101" t="str">
        <f t="shared" si="67"/>
        <v/>
      </c>
      <c r="AD289" s="101" t="str">
        <f t="shared" si="68"/>
        <v/>
      </c>
      <c r="AE289" s="101" t="str">
        <f t="shared" si="69"/>
        <v/>
      </c>
      <c r="AF289" s="72"/>
      <c r="AG289" s="98">
        <f>IFERROR(IF($AV289="No",0,IF($AV289="yes",Summary!Q289,"")),"")</f>
        <v>0</v>
      </c>
      <c r="AH289" s="99">
        <f>IFERROR(IF($AV289="No",0,IF($AV289="yes",Summary!R289,"")),"")</f>
        <v>0</v>
      </c>
      <c r="AI289" s="99">
        <f>IFERROR(IF($AV289="No",0,IF($AV289="yes",Summary!S289,"")),"")</f>
        <v>0</v>
      </c>
      <c r="AJ289" s="602">
        <f>IFERROR(IF($AV289="No",0,IF($AV289="yes",Summary!T289,"")),"")</f>
        <v>0</v>
      </c>
      <c r="AK289" s="100">
        <f>IFERROR(IF($AV289="No",0,IF($AV289="yes",Summary!U289,"")),"")</f>
        <v>0</v>
      </c>
      <c r="AL289" s="99">
        <f>IFERROR(IF($AV289="No",0,IF($AV289="yes",Summary!V289,"")),"")</f>
        <v>0</v>
      </c>
      <c r="AM289" s="99">
        <f>IFERROR(IF($AV289="No",0,IF($AV289="yes",Summary!W289,"")),"")</f>
        <v>0</v>
      </c>
      <c r="AN289" s="99">
        <f>IFERROR(IF($AV289="No",0,IF($AV289="yes",Summary!X289,"")),"")</f>
        <v>0</v>
      </c>
      <c r="AO289" s="99">
        <f>IFERROR(IF($AV289="No",0,IF($AV289="yes",Summary!Y289+Z289,"")),"")</f>
        <v>0</v>
      </c>
      <c r="AP289" s="99">
        <f>IFERROR(IF($AV289="No",0,IF($AV289="yes",Summary!AB289,"")),"")</f>
        <v>0</v>
      </c>
      <c r="AQ289" s="101" t="str">
        <f t="shared" si="72"/>
        <v/>
      </c>
      <c r="AR289" s="101" t="str">
        <f t="shared" si="73"/>
        <v/>
      </c>
      <c r="AS289" s="101" t="str">
        <f t="shared" si="74"/>
        <v/>
      </c>
      <c r="AT289" s="96" t="s">
        <v>703</v>
      </c>
      <c r="AV289" t="str">
        <f>IF('Proposed Lighting'!CN286&gt;0,"No","Yes")</f>
        <v>Yes</v>
      </c>
    </row>
    <row r="290" spans="1:48" ht="34.5" customHeight="1" outlineLevel="1">
      <c r="A290" s="96" t="s">
        <v>704</v>
      </c>
      <c r="B290" s="96" t="str">
        <f>IF(ISNUMBER(SEARCH("case",E290)),"COM_MISC_REFR_ALL_UNKN1991",IF('Proposed Lighting'!AU287=3,"Commercial-All Com-ExtLight",IF('Proposed Lighting'!AH287&gt;8759,"IPC_8760","Commercial-All Com-IntLight")))</f>
        <v>IPC_8760</v>
      </c>
      <c r="C290" s="96" t="str">
        <f>IF(OR('Proposed Lighting'!DD287="Standard Incentive",'Proposed Lighting'!DD287="Non-Standard Incentive"),"Yes",IF(AND(IF(ISNUMBER(SEARCH("controls",'Proposed Lighting'!T287)),"True","False")="False",'Proposed Lighting'!DD287="Submit Control as Non-Standard"),"Yes","No"))</f>
        <v>No</v>
      </c>
      <c r="D290" s="1403">
        <f>'Proposed Lighting'!CV287-Q290</f>
        <v>0</v>
      </c>
      <c r="E290" s="143">
        <f>'Proposed Lighting'!T287</f>
        <v>0</v>
      </c>
      <c r="F290" s="143">
        <f>'Proposed Lighting'!F287</f>
        <v>0</v>
      </c>
      <c r="G290" s="96" t="s">
        <v>242</v>
      </c>
      <c r="H290" s="142" t="str">
        <f>'Proposed Lighting'!CP287</f>
        <v/>
      </c>
      <c r="I290" s="98">
        <v>1</v>
      </c>
      <c r="J290" s="142">
        <f>'Proposed Lighting'!AA287</f>
        <v>0</v>
      </c>
      <c r="K290" s="142" t="str">
        <f>IF(ISNUMBER(SEARCH("-C",'Proposed Lighting'!M287)),'Proposed Lighting'!AH287*0.9,'Proposed Lighting'!AH287)</f>
        <v/>
      </c>
      <c r="L290" s="142">
        <f>IFERROR(IF(OR('Proposed Lighting'!BC287=22,'Proposed Lighting'!BC287=44),1-25%,IF(OR('Proposed Lighting'!BC287=23,'Proposed Lighting'!BC287=46),1-30%,IF(OR('Proposed Lighting'!BC287=29,'Proposed Lighting'!BC287=39,'Proposed Lighting'!BC287=49),1-35%,IF(OR('Proposed Lighting'!BC287=24,'Proposed Lighting'!BC287=48),1-50%,IF(AND(ISNUMBER(SEARCH("-C",'Proposed Lighting'!M287)),'Proposed Lighting'!AU287=2),90%,100%)))))*'Proposed Lighting'!AH287,0)</f>
        <v>0</v>
      </c>
      <c r="M290" s="87">
        <f t="shared" si="60"/>
        <v>0</v>
      </c>
      <c r="N290" s="87">
        <f>IFERROR(IF('Proposed Lighting'!AU287=1,0,'Proposed Lighting'!AO287),0)</f>
        <v>0</v>
      </c>
      <c r="O290" s="88">
        <f>IF('Proposed Lighting'!AU287=1,0,'Proposed Lighting'!AP287)</f>
        <v>0</v>
      </c>
      <c r="P290" s="87">
        <f t="shared" si="61"/>
        <v>0</v>
      </c>
      <c r="Q290" s="98">
        <f t="shared" si="70"/>
        <v>0</v>
      </c>
      <c r="R290" s="99">
        <f>IFERROR(IF('Proposed Lighting'!T287="Lighting controls only",0,ROUND(IF('Proposed Lighting'!AQ287&lt;'Proposed Lighting'!AR287,0,IF('Proposed Lighting'!AH287=0,0,IF('Proposed Lighting'!BV287&gt;0,'Proposed Lighting'!BV287,IF('Proposed Lighting'!CL287=0,MIN('Proposed Lighting'!CN287:CO287),IF('Proposed Lighting'!CX287&gt;0,'Proposed Lighting'!CX287*'Proposed Lighting'!AA287,0))))),2)),0)</f>
        <v>0</v>
      </c>
      <c r="S290" s="99">
        <f>IF('Proposed Lighting'!AJ287&gt;0,'Proposed Lighting'!AJ287*J290,'Proposed Lighting'!$AU$328*J290)</f>
        <v>0</v>
      </c>
      <c r="T290" s="602">
        <f t="shared" si="62"/>
        <v>0</v>
      </c>
      <c r="U290" s="100"/>
      <c r="V290" s="99">
        <f t="shared" si="63"/>
        <v>0</v>
      </c>
      <c r="W290" s="99">
        <f t="shared" si="64"/>
        <v>0</v>
      </c>
      <c r="X290" s="99">
        <f t="shared" si="65"/>
        <v>0</v>
      </c>
      <c r="Y290" s="99"/>
      <c r="Z290" s="99">
        <f t="shared" si="71"/>
        <v>0</v>
      </c>
      <c r="AA290" s="99"/>
      <c r="AB290" s="99">
        <f t="shared" si="66"/>
        <v>0</v>
      </c>
      <c r="AC290" s="101" t="str">
        <f t="shared" si="67"/>
        <v/>
      </c>
      <c r="AD290" s="101" t="str">
        <f t="shared" si="68"/>
        <v/>
      </c>
      <c r="AE290" s="101" t="str">
        <f t="shared" si="69"/>
        <v/>
      </c>
      <c r="AF290" s="72"/>
      <c r="AG290" s="98">
        <f>IFERROR(IF($AV290="No",0,IF($AV290="yes",Summary!Q290,"")),"")</f>
        <v>0</v>
      </c>
      <c r="AH290" s="99">
        <f>IFERROR(IF($AV290="No",0,IF($AV290="yes",Summary!R290,"")),"")</f>
        <v>0</v>
      </c>
      <c r="AI290" s="99">
        <f>IFERROR(IF($AV290="No",0,IF($AV290="yes",Summary!S290,"")),"")</f>
        <v>0</v>
      </c>
      <c r="AJ290" s="602">
        <f>IFERROR(IF($AV290="No",0,IF($AV290="yes",Summary!T290,"")),"")</f>
        <v>0</v>
      </c>
      <c r="AK290" s="100">
        <f>IFERROR(IF($AV290="No",0,IF($AV290="yes",Summary!U290,"")),"")</f>
        <v>0</v>
      </c>
      <c r="AL290" s="99">
        <f>IFERROR(IF($AV290="No",0,IF($AV290="yes",Summary!V290,"")),"")</f>
        <v>0</v>
      </c>
      <c r="AM290" s="99">
        <f>IFERROR(IF($AV290="No",0,IF($AV290="yes",Summary!W290,"")),"")</f>
        <v>0</v>
      </c>
      <c r="AN290" s="99">
        <f>IFERROR(IF($AV290="No",0,IF($AV290="yes",Summary!X290,"")),"")</f>
        <v>0</v>
      </c>
      <c r="AO290" s="99">
        <f>IFERROR(IF($AV290="No",0,IF($AV290="yes",Summary!Y290+Z290,"")),"")</f>
        <v>0</v>
      </c>
      <c r="AP290" s="99">
        <f>IFERROR(IF($AV290="No",0,IF($AV290="yes",Summary!AB290,"")),"")</f>
        <v>0</v>
      </c>
      <c r="AQ290" s="101" t="str">
        <f t="shared" si="72"/>
        <v/>
      </c>
      <c r="AR290" s="101" t="str">
        <f t="shared" si="73"/>
        <v/>
      </c>
      <c r="AS290" s="101" t="str">
        <f t="shared" si="74"/>
        <v/>
      </c>
      <c r="AT290" s="96" t="s">
        <v>704</v>
      </c>
      <c r="AV290" t="str">
        <f>IF('Proposed Lighting'!CN287&gt;0,"No","Yes")</f>
        <v>Yes</v>
      </c>
    </row>
    <row r="291" spans="1:48" ht="34.5" customHeight="1" outlineLevel="1">
      <c r="A291" s="96" t="s">
        <v>705</v>
      </c>
      <c r="B291" s="96" t="str">
        <f>IF(ISNUMBER(SEARCH("case",E291)),"COM_MISC_REFR_ALL_UNKN1991",IF('Proposed Lighting'!AU288=3,"Commercial-All Com-ExtLight",IF('Proposed Lighting'!AH288&gt;8759,"IPC_8760","Commercial-All Com-IntLight")))</f>
        <v>IPC_8760</v>
      </c>
      <c r="C291" s="96" t="str">
        <f>IF(OR('Proposed Lighting'!DD288="Standard Incentive",'Proposed Lighting'!DD288="Non-Standard Incentive"),"Yes",IF(AND(IF(ISNUMBER(SEARCH("controls",'Proposed Lighting'!T288)),"True","False")="False",'Proposed Lighting'!DD288="Submit Control as Non-Standard"),"Yes","No"))</f>
        <v>No</v>
      </c>
      <c r="D291" s="1403">
        <f>'Proposed Lighting'!CV288-Q291</f>
        <v>0</v>
      </c>
      <c r="E291" s="143">
        <f>'Proposed Lighting'!T288</f>
        <v>0</v>
      </c>
      <c r="F291" s="143">
        <f>'Proposed Lighting'!F288</f>
        <v>0</v>
      </c>
      <c r="G291" s="96" t="s">
        <v>242</v>
      </c>
      <c r="H291" s="142" t="str">
        <f>'Proposed Lighting'!CP288</f>
        <v/>
      </c>
      <c r="I291" s="98">
        <v>1</v>
      </c>
      <c r="J291" s="142">
        <f>'Proposed Lighting'!AA288</f>
        <v>0</v>
      </c>
      <c r="K291" s="142" t="str">
        <f>IF(ISNUMBER(SEARCH("-C",'Proposed Lighting'!M288)),'Proposed Lighting'!AH288*0.9,'Proposed Lighting'!AH288)</f>
        <v/>
      </c>
      <c r="L291" s="142">
        <f>IFERROR(IF(OR('Proposed Lighting'!BC288=22,'Proposed Lighting'!BC288=44),1-25%,IF(OR('Proposed Lighting'!BC288=23,'Proposed Lighting'!BC288=46),1-30%,IF(OR('Proposed Lighting'!BC288=29,'Proposed Lighting'!BC288=39,'Proposed Lighting'!BC288=49),1-35%,IF(OR('Proposed Lighting'!BC288=24,'Proposed Lighting'!BC288=48),1-50%,IF(AND(ISNUMBER(SEARCH("-C",'Proposed Lighting'!M288)),'Proposed Lighting'!AU288=2),90%,100%)))))*'Proposed Lighting'!AH288,0)</f>
        <v>0</v>
      </c>
      <c r="M291" s="87">
        <f t="shared" si="60"/>
        <v>0</v>
      </c>
      <c r="N291" s="87">
        <f>IFERROR(IF('Proposed Lighting'!AU288=1,0,'Proposed Lighting'!AO288),0)</f>
        <v>0</v>
      </c>
      <c r="O291" s="88">
        <f>IF('Proposed Lighting'!AU288=1,0,'Proposed Lighting'!AP288)</f>
        <v>0</v>
      </c>
      <c r="P291" s="87">
        <f t="shared" si="61"/>
        <v>0</v>
      </c>
      <c r="Q291" s="98">
        <f t="shared" si="70"/>
        <v>0</v>
      </c>
      <c r="R291" s="99">
        <f>IFERROR(IF('Proposed Lighting'!T288="Lighting controls only",0,ROUND(IF('Proposed Lighting'!AQ288&lt;'Proposed Lighting'!AR288,0,IF('Proposed Lighting'!AH288=0,0,IF('Proposed Lighting'!BV288&gt;0,'Proposed Lighting'!BV288,IF('Proposed Lighting'!CL288=0,MIN('Proposed Lighting'!CN288:CO288),IF('Proposed Lighting'!CX288&gt;0,'Proposed Lighting'!CX288*'Proposed Lighting'!AA288,0))))),2)),0)</f>
        <v>0</v>
      </c>
      <c r="S291" s="99">
        <f>IF('Proposed Lighting'!AJ288&gt;0,'Proposed Lighting'!AJ288*J291,'Proposed Lighting'!$AU$328*J291)</f>
        <v>0</v>
      </c>
      <c r="T291" s="602">
        <f t="shared" si="62"/>
        <v>0</v>
      </c>
      <c r="U291" s="100"/>
      <c r="V291" s="99">
        <f t="shared" si="63"/>
        <v>0</v>
      </c>
      <c r="W291" s="99">
        <f t="shared" si="64"/>
        <v>0</v>
      </c>
      <c r="X291" s="99">
        <f t="shared" si="65"/>
        <v>0</v>
      </c>
      <c r="Y291" s="99"/>
      <c r="Z291" s="99">
        <f t="shared" si="71"/>
        <v>0</v>
      </c>
      <c r="AA291" s="99"/>
      <c r="AB291" s="99">
        <f t="shared" si="66"/>
        <v>0</v>
      </c>
      <c r="AC291" s="101" t="str">
        <f t="shared" si="67"/>
        <v/>
      </c>
      <c r="AD291" s="101" t="str">
        <f t="shared" si="68"/>
        <v/>
      </c>
      <c r="AE291" s="101" t="str">
        <f t="shared" si="69"/>
        <v/>
      </c>
      <c r="AF291" s="72"/>
      <c r="AG291" s="98">
        <f>IFERROR(IF($AV291="No",0,IF($AV291="yes",Summary!Q291,"")),"")</f>
        <v>0</v>
      </c>
      <c r="AH291" s="99">
        <f>IFERROR(IF($AV291="No",0,IF($AV291="yes",Summary!R291,"")),"")</f>
        <v>0</v>
      </c>
      <c r="AI291" s="99">
        <f>IFERROR(IF($AV291="No",0,IF($AV291="yes",Summary!S291,"")),"")</f>
        <v>0</v>
      </c>
      <c r="AJ291" s="602">
        <f>IFERROR(IF($AV291="No",0,IF($AV291="yes",Summary!T291,"")),"")</f>
        <v>0</v>
      </c>
      <c r="AK291" s="100">
        <f>IFERROR(IF($AV291="No",0,IF($AV291="yes",Summary!U291,"")),"")</f>
        <v>0</v>
      </c>
      <c r="AL291" s="99">
        <f>IFERROR(IF($AV291="No",0,IF($AV291="yes",Summary!V291,"")),"")</f>
        <v>0</v>
      </c>
      <c r="AM291" s="99">
        <f>IFERROR(IF($AV291="No",0,IF($AV291="yes",Summary!W291,"")),"")</f>
        <v>0</v>
      </c>
      <c r="AN291" s="99">
        <f>IFERROR(IF($AV291="No",0,IF($AV291="yes",Summary!X291,"")),"")</f>
        <v>0</v>
      </c>
      <c r="AO291" s="99">
        <f>IFERROR(IF($AV291="No",0,IF($AV291="yes",Summary!Y291+Z291,"")),"")</f>
        <v>0</v>
      </c>
      <c r="AP291" s="99">
        <f>IFERROR(IF($AV291="No",0,IF($AV291="yes",Summary!AB291,"")),"")</f>
        <v>0</v>
      </c>
      <c r="AQ291" s="101" t="str">
        <f t="shared" si="72"/>
        <v/>
      </c>
      <c r="AR291" s="101" t="str">
        <f t="shared" si="73"/>
        <v/>
      </c>
      <c r="AS291" s="101" t="str">
        <f t="shared" si="74"/>
        <v/>
      </c>
      <c r="AT291" s="96" t="s">
        <v>705</v>
      </c>
      <c r="AV291" t="str">
        <f>IF('Proposed Lighting'!CN288&gt;0,"No","Yes")</f>
        <v>Yes</v>
      </c>
    </row>
    <row r="292" spans="1:48" ht="34.5" customHeight="1" outlineLevel="1">
      <c r="A292" s="96" t="s">
        <v>706</v>
      </c>
      <c r="B292" s="96" t="str">
        <f>IF(ISNUMBER(SEARCH("case",E292)),"COM_MISC_REFR_ALL_UNKN1991",IF('Proposed Lighting'!AU289=3,"Commercial-All Com-ExtLight",IF('Proposed Lighting'!AH289&gt;8759,"IPC_8760","Commercial-All Com-IntLight")))</f>
        <v>IPC_8760</v>
      </c>
      <c r="C292" s="96" t="str">
        <f>IF(OR('Proposed Lighting'!DD289="Standard Incentive",'Proposed Lighting'!DD289="Non-Standard Incentive"),"Yes",IF(AND(IF(ISNUMBER(SEARCH("controls",'Proposed Lighting'!T289)),"True","False")="False",'Proposed Lighting'!DD289="Submit Control as Non-Standard"),"Yes","No"))</f>
        <v>No</v>
      </c>
      <c r="D292" s="1403">
        <f>'Proposed Lighting'!CV289-Q292</f>
        <v>0</v>
      </c>
      <c r="E292" s="143">
        <f>'Proposed Lighting'!T289</f>
        <v>0</v>
      </c>
      <c r="F292" s="143">
        <f>'Proposed Lighting'!F289</f>
        <v>0</v>
      </c>
      <c r="G292" s="96" t="s">
        <v>242</v>
      </c>
      <c r="H292" s="142" t="str">
        <f>'Proposed Lighting'!CP289</f>
        <v/>
      </c>
      <c r="I292" s="98">
        <v>1</v>
      </c>
      <c r="J292" s="142">
        <f>'Proposed Lighting'!AA289</f>
        <v>0</v>
      </c>
      <c r="K292" s="142" t="str">
        <f>IF(ISNUMBER(SEARCH("-C",'Proposed Lighting'!M289)),'Proposed Lighting'!AH289*0.9,'Proposed Lighting'!AH289)</f>
        <v/>
      </c>
      <c r="L292" s="142">
        <f>IFERROR(IF(OR('Proposed Lighting'!BC289=22,'Proposed Lighting'!BC289=44),1-25%,IF(OR('Proposed Lighting'!BC289=23,'Proposed Lighting'!BC289=46),1-30%,IF(OR('Proposed Lighting'!BC289=29,'Proposed Lighting'!BC289=39,'Proposed Lighting'!BC289=49),1-35%,IF(OR('Proposed Lighting'!BC289=24,'Proposed Lighting'!BC289=48),1-50%,IF(AND(ISNUMBER(SEARCH("-C",'Proposed Lighting'!M289)),'Proposed Lighting'!AU289=2),90%,100%)))))*'Proposed Lighting'!AH289,0)</f>
        <v>0</v>
      </c>
      <c r="M292" s="87">
        <f t="shared" si="60"/>
        <v>0</v>
      </c>
      <c r="N292" s="87">
        <f>IFERROR(IF('Proposed Lighting'!AU289=1,0,'Proposed Lighting'!AO289),0)</f>
        <v>0</v>
      </c>
      <c r="O292" s="88">
        <f>IF('Proposed Lighting'!AU289=1,0,'Proposed Lighting'!AP289)</f>
        <v>0</v>
      </c>
      <c r="P292" s="87">
        <f t="shared" si="61"/>
        <v>0</v>
      </c>
      <c r="Q292" s="98">
        <f t="shared" si="70"/>
        <v>0</v>
      </c>
      <c r="R292" s="99">
        <f>IFERROR(IF('Proposed Lighting'!T289="Lighting controls only",0,ROUND(IF('Proposed Lighting'!AQ289&lt;'Proposed Lighting'!AR289,0,IF('Proposed Lighting'!AH289=0,0,IF('Proposed Lighting'!BV289&gt;0,'Proposed Lighting'!BV289,IF('Proposed Lighting'!CL289=0,MIN('Proposed Lighting'!CN289:CO289),IF('Proposed Lighting'!CX289&gt;0,'Proposed Lighting'!CX289*'Proposed Lighting'!AA289,0))))),2)),0)</f>
        <v>0</v>
      </c>
      <c r="S292" s="99">
        <f>IF('Proposed Lighting'!AJ289&gt;0,'Proposed Lighting'!AJ289*J292,'Proposed Lighting'!$AU$328*J292)</f>
        <v>0</v>
      </c>
      <c r="T292" s="602">
        <f t="shared" si="62"/>
        <v>0</v>
      </c>
      <c r="U292" s="100"/>
      <c r="V292" s="99">
        <f t="shared" si="63"/>
        <v>0</v>
      </c>
      <c r="W292" s="99">
        <f t="shared" si="64"/>
        <v>0</v>
      </c>
      <c r="X292" s="99">
        <f t="shared" si="65"/>
        <v>0</v>
      </c>
      <c r="Y292" s="99"/>
      <c r="Z292" s="99">
        <f t="shared" si="71"/>
        <v>0</v>
      </c>
      <c r="AA292" s="99"/>
      <c r="AB292" s="99">
        <f t="shared" si="66"/>
        <v>0</v>
      </c>
      <c r="AC292" s="101" t="str">
        <f t="shared" si="67"/>
        <v/>
      </c>
      <c r="AD292" s="101" t="str">
        <f t="shared" si="68"/>
        <v/>
      </c>
      <c r="AE292" s="101" t="str">
        <f t="shared" si="69"/>
        <v/>
      </c>
      <c r="AF292" s="72"/>
      <c r="AG292" s="98">
        <f>IFERROR(IF($AV292="No",0,IF($AV292="yes",Summary!Q292,"")),"")</f>
        <v>0</v>
      </c>
      <c r="AH292" s="99">
        <f>IFERROR(IF($AV292="No",0,IF($AV292="yes",Summary!R292,"")),"")</f>
        <v>0</v>
      </c>
      <c r="AI292" s="99">
        <f>IFERROR(IF($AV292="No",0,IF($AV292="yes",Summary!S292,"")),"")</f>
        <v>0</v>
      </c>
      <c r="AJ292" s="602">
        <f>IFERROR(IF($AV292="No",0,IF($AV292="yes",Summary!T292,"")),"")</f>
        <v>0</v>
      </c>
      <c r="AK292" s="100">
        <f>IFERROR(IF($AV292="No",0,IF($AV292="yes",Summary!U292,"")),"")</f>
        <v>0</v>
      </c>
      <c r="AL292" s="99">
        <f>IFERROR(IF($AV292="No",0,IF($AV292="yes",Summary!V292,"")),"")</f>
        <v>0</v>
      </c>
      <c r="AM292" s="99">
        <f>IFERROR(IF($AV292="No",0,IF($AV292="yes",Summary!W292,"")),"")</f>
        <v>0</v>
      </c>
      <c r="AN292" s="99">
        <f>IFERROR(IF($AV292="No",0,IF($AV292="yes",Summary!X292,"")),"")</f>
        <v>0</v>
      </c>
      <c r="AO292" s="99">
        <f>IFERROR(IF($AV292="No",0,IF($AV292="yes",Summary!Y292+Z292,"")),"")</f>
        <v>0</v>
      </c>
      <c r="AP292" s="99">
        <f>IFERROR(IF($AV292="No",0,IF($AV292="yes",Summary!AB292,"")),"")</f>
        <v>0</v>
      </c>
      <c r="AQ292" s="101" t="str">
        <f t="shared" si="72"/>
        <v/>
      </c>
      <c r="AR292" s="101" t="str">
        <f t="shared" si="73"/>
        <v/>
      </c>
      <c r="AS292" s="101" t="str">
        <f t="shared" si="74"/>
        <v/>
      </c>
      <c r="AT292" s="96" t="s">
        <v>706</v>
      </c>
      <c r="AV292" t="str">
        <f>IF('Proposed Lighting'!CN289&gt;0,"No","Yes")</f>
        <v>Yes</v>
      </c>
    </row>
    <row r="293" spans="1:48" ht="34.5" customHeight="1" outlineLevel="1">
      <c r="A293" s="96" t="s">
        <v>707</v>
      </c>
      <c r="B293" s="96" t="str">
        <f>IF(ISNUMBER(SEARCH("case",E293)),"COM_MISC_REFR_ALL_UNKN1991",IF('Proposed Lighting'!AU290=3,"Commercial-All Com-ExtLight",IF('Proposed Lighting'!AH290&gt;8759,"IPC_8760","Commercial-All Com-IntLight")))</f>
        <v>IPC_8760</v>
      </c>
      <c r="C293" s="96" t="str">
        <f>IF(OR('Proposed Lighting'!DD290="Standard Incentive",'Proposed Lighting'!DD290="Non-Standard Incentive"),"Yes",IF(AND(IF(ISNUMBER(SEARCH("controls",'Proposed Lighting'!T290)),"True","False")="False",'Proposed Lighting'!DD290="Submit Control as Non-Standard"),"Yes","No"))</f>
        <v>No</v>
      </c>
      <c r="D293" s="1403">
        <f>'Proposed Lighting'!CV290-Q293</f>
        <v>0</v>
      </c>
      <c r="E293" s="143">
        <f>'Proposed Lighting'!T290</f>
        <v>0</v>
      </c>
      <c r="F293" s="143">
        <f>'Proposed Lighting'!F290</f>
        <v>0</v>
      </c>
      <c r="G293" s="96" t="s">
        <v>242</v>
      </c>
      <c r="H293" s="142" t="str">
        <f>'Proposed Lighting'!CP290</f>
        <v/>
      </c>
      <c r="I293" s="98">
        <v>1</v>
      </c>
      <c r="J293" s="142">
        <f>'Proposed Lighting'!AA290</f>
        <v>0</v>
      </c>
      <c r="K293" s="142" t="str">
        <f>IF(ISNUMBER(SEARCH("-C",'Proposed Lighting'!M290)),'Proposed Lighting'!AH290*0.9,'Proposed Lighting'!AH290)</f>
        <v/>
      </c>
      <c r="L293" s="142">
        <f>IFERROR(IF(OR('Proposed Lighting'!BC290=22,'Proposed Lighting'!BC290=44),1-25%,IF(OR('Proposed Lighting'!BC290=23,'Proposed Lighting'!BC290=46),1-30%,IF(OR('Proposed Lighting'!BC290=29,'Proposed Lighting'!BC290=39,'Proposed Lighting'!BC290=49),1-35%,IF(OR('Proposed Lighting'!BC290=24,'Proposed Lighting'!BC290=48),1-50%,IF(AND(ISNUMBER(SEARCH("-C",'Proposed Lighting'!M290)),'Proposed Lighting'!AU290=2),90%,100%)))))*'Proposed Lighting'!AH290,0)</f>
        <v>0</v>
      </c>
      <c r="M293" s="87">
        <f t="shared" si="60"/>
        <v>0</v>
      </c>
      <c r="N293" s="87">
        <f>IFERROR(IF('Proposed Lighting'!AU290=1,0,'Proposed Lighting'!AO290),0)</f>
        <v>0</v>
      </c>
      <c r="O293" s="88">
        <f>IF('Proposed Lighting'!AU290=1,0,'Proposed Lighting'!AP290)</f>
        <v>0</v>
      </c>
      <c r="P293" s="87">
        <f t="shared" si="61"/>
        <v>0</v>
      </c>
      <c r="Q293" s="98">
        <f t="shared" si="70"/>
        <v>0</v>
      </c>
      <c r="R293" s="99">
        <f>IFERROR(IF('Proposed Lighting'!T290="Lighting controls only",0,ROUND(IF('Proposed Lighting'!AQ290&lt;'Proposed Lighting'!AR290,0,IF('Proposed Lighting'!AH290=0,0,IF('Proposed Lighting'!BV290&gt;0,'Proposed Lighting'!BV290,IF('Proposed Lighting'!CL290=0,MIN('Proposed Lighting'!CN290:CO290),IF('Proposed Lighting'!CX290&gt;0,'Proposed Lighting'!CX290*'Proposed Lighting'!AA290,0))))),2)),0)</f>
        <v>0</v>
      </c>
      <c r="S293" s="99">
        <f>IF('Proposed Lighting'!AJ290&gt;0,'Proposed Lighting'!AJ290*J293,'Proposed Lighting'!$AU$328*J293)</f>
        <v>0</v>
      </c>
      <c r="T293" s="602">
        <f t="shared" si="62"/>
        <v>0</v>
      </c>
      <c r="U293" s="100"/>
      <c r="V293" s="99">
        <f t="shared" si="63"/>
        <v>0</v>
      </c>
      <c r="W293" s="99">
        <f t="shared" si="64"/>
        <v>0</v>
      </c>
      <c r="X293" s="99">
        <f t="shared" si="65"/>
        <v>0</v>
      </c>
      <c r="Y293" s="99"/>
      <c r="Z293" s="99">
        <f t="shared" si="71"/>
        <v>0</v>
      </c>
      <c r="AA293" s="99"/>
      <c r="AB293" s="99">
        <f t="shared" si="66"/>
        <v>0</v>
      </c>
      <c r="AC293" s="101" t="str">
        <f t="shared" si="67"/>
        <v/>
      </c>
      <c r="AD293" s="101" t="str">
        <f t="shared" si="68"/>
        <v/>
      </c>
      <c r="AE293" s="101" t="str">
        <f t="shared" si="69"/>
        <v/>
      </c>
      <c r="AF293" s="72"/>
      <c r="AG293" s="98">
        <f>IFERROR(IF($AV293="No",0,IF($AV293="yes",Summary!Q293,"")),"")</f>
        <v>0</v>
      </c>
      <c r="AH293" s="99">
        <f>IFERROR(IF($AV293="No",0,IF($AV293="yes",Summary!R293,"")),"")</f>
        <v>0</v>
      </c>
      <c r="AI293" s="99">
        <f>IFERROR(IF($AV293="No",0,IF($AV293="yes",Summary!S293,"")),"")</f>
        <v>0</v>
      </c>
      <c r="AJ293" s="602">
        <f>IFERROR(IF($AV293="No",0,IF($AV293="yes",Summary!T293,"")),"")</f>
        <v>0</v>
      </c>
      <c r="AK293" s="100">
        <f>IFERROR(IF($AV293="No",0,IF($AV293="yes",Summary!U293,"")),"")</f>
        <v>0</v>
      </c>
      <c r="AL293" s="99">
        <f>IFERROR(IF($AV293="No",0,IF($AV293="yes",Summary!V293,"")),"")</f>
        <v>0</v>
      </c>
      <c r="AM293" s="99">
        <f>IFERROR(IF($AV293="No",0,IF($AV293="yes",Summary!W293,"")),"")</f>
        <v>0</v>
      </c>
      <c r="AN293" s="99">
        <f>IFERROR(IF($AV293="No",0,IF($AV293="yes",Summary!X293,"")),"")</f>
        <v>0</v>
      </c>
      <c r="AO293" s="99">
        <f>IFERROR(IF($AV293="No",0,IF($AV293="yes",Summary!Y293+Z293,"")),"")</f>
        <v>0</v>
      </c>
      <c r="AP293" s="99">
        <f>IFERROR(IF($AV293="No",0,IF($AV293="yes",Summary!AB293,"")),"")</f>
        <v>0</v>
      </c>
      <c r="AQ293" s="101" t="str">
        <f t="shared" si="72"/>
        <v/>
      </c>
      <c r="AR293" s="101" t="str">
        <f t="shared" si="73"/>
        <v/>
      </c>
      <c r="AS293" s="101" t="str">
        <f t="shared" si="74"/>
        <v/>
      </c>
      <c r="AT293" s="96" t="s">
        <v>707</v>
      </c>
      <c r="AV293" t="str">
        <f>IF('Proposed Lighting'!CN290&gt;0,"No","Yes")</f>
        <v>Yes</v>
      </c>
    </row>
    <row r="294" spans="1:48" ht="34.5" customHeight="1" outlineLevel="1">
      <c r="A294" s="96" t="s">
        <v>708</v>
      </c>
      <c r="B294" s="96" t="str">
        <f>IF(ISNUMBER(SEARCH("case",E294)),"COM_MISC_REFR_ALL_UNKN1991",IF('Proposed Lighting'!AU291=3,"Commercial-All Com-ExtLight",IF('Proposed Lighting'!AH291&gt;8759,"IPC_8760","Commercial-All Com-IntLight")))</f>
        <v>IPC_8760</v>
      </c>
      <c r="C294" s="96" t="str">
        <f>IF(OR('Proposed Lighting'!DD291="Standard Incentive",'Proposed Lighting'!DD291="Non-Standard Incentive"),"Yes",IF(AND(IF(ISNUMBER(SEARCH("controls",'Proposed Lighting'!T291)),"True","False")="False",'Proposed Lighting'!DD291="Submit Control as Non-Standard"),"Yes","No"))</f>
        <v>No</v>
      </c>
      <c r="D294" s="1403">
        <f>'Proposed Lighting'!CV291-Q294</f>
        <v>0</v>
      </c>
      <c r="E294" s="143">
        <f>'Proposed Lighting'!T291</f>
        <v>0</v>
      </c>
      <c r="F294" s="143">
        <f>'Proposed Lighting'!F291</f>
        <v>0</v>
      </c>
      <c r="G294" s="96" t="s">
        <v>242</v>
      </c>
      <c r="H294" s="142" t="str">
        <f>'Proposed Lighting'!CP291</f>
        <v/>
      </c>
      <c r="I294" s="98">
        <v>1</v>
      </c>
      <c r="J294" s="142">
        <f>'Proposed Lighting'!AA291</f>
        <v>0</v>
      </c>
      <c r="K294" s="142" t="str">
        <f>IF(ISNUMBER(SEARCH("-C",'Proposed Lighting'!M291)),'Proposed Lighting'!AH291*0.9,'Proposed Lighting'!AH291)</f>
        <v/>
      </c>
      <c r="L294" s="142">
        <f>IFERROR(IF(OR('Proposed Lighting'!BC291=22,'Proposed Lighting'!BC291=44),1-25%,IF(OR('Proposed Lighting'!BC291=23,'Proposed Lighting'!BC291=46),1-30%,IF(OR('Proposed Lighting'!BC291=29,'Proposed Lighting'!BC291=39,'Proposed Lighting'!BC291=49),1-35%,IF(OR('Proposed Lighting'!BC291=24,'Proposed Lighting'!BC291=48),1-50%,IF(AND(ISNUMBER(SEARCH("-C",'Proposed Lighting'!M291)),'Proposed Lighting'!AU291=2),90%,100%)))))*'Proposed Lighting'!AH291,0)</f>
        <v>0</v>
      </c>
      <c r="M294" s="87">
        <f t="shared" si="60"/>
        <v>0</v>
      </c>
      <c r="N294" s="87">
        <f>IFERROR(IF('Proposed Lighting'!AU291=1,0,'Proposed Lighting'!AO291),0)</f>
        <v>0</v>
      </c>
      <c r="O294" s="88">
        <f>IF('Proposed Lighting'!AU291=1,0,'Proposed Lighting'!AP291)</f>
        <v>0</v>
      </c>
      <c r="P294" s="87">
        <f t="shared" si="61"/>
        <v>0</v>
      </c>
      <c r="Q294" s="98">
        <f t="shared" si="70"/>
        <v>0</v>
      </c>
      <c r="R294" s="99">
        <f>IFERROR(IF('Proposed Lighting'!T291="Lighting controls only",0,ROUND(IF('Proposed Lighting'!AQ291&lt;'Proposed Lighting'!AR291,0,IF('Proposed Lighting'!AH291=0,0,IF('Proposed Lighting'!BV291&gt;0,'Proposed Lighting'!BV291,IF('Proposed Lighting'!CL291=0,MIN('Proposed Lighting'!CN291:CO291),IF('Proposed Lighting'!CX291&gt;0,'Proposed Lighting'!CX291*'Proposed Lighting'!AA291,0))))),2)),0)</f>
        <v>0</v>
      </c>
      <c r="S294" s="99">
        <f>IF('Proposed Lighting'!AJ291&gt;0,'Proposed Lighting'!AJ291*J294,'Proposed Lighting'!$AU$328*J294)</f>
        <v>0</v>
      </c>
      <c r="T294" s="602">
        <f t="shared" si="62"/>
        <v>0</v>
      </c>
      <c r="U294" s="100"/>
      <c r="V294" s="99">
        <f t="shared" si="63"/>
        <v>0</v>
      </c>
      <c r="W294" s="99">
        <f t="shared" si="64"/>
        <v>0</v>
      </c>
      <c r="X294" s="99">
        <f t="shared" si="65"/>
        <v>0</v>
      </c>
      <c r="Y294" s="99"/>
      <c r="Z294" s="99">
        <f t="shared" si="71"/>
        <v>0</v>
      </c>
      <c r="AA294" s="99"/>
      <c r="AB294" s="99">
        <f t="shared" si="66"/>
        <v>0</v>
      </c>
      <c r="AC294" s="101" t="str">
        <f t="shared" si="67"/>
        <v/>
      </c>
      <c r="AD294" s="101" t="str">
        <f t="shared" si="68"/>
        <v/>
      </c>
      <c r="AE294" s="101" t="str">
        <f t="shared" si="69"/>
        <v/>
      </c>
      <c r="AF294" s="72"/>
      <c r="AG294" s="98">
        <f>IFERROR(IF($AV294="No",0,IF($AV294="yes",Summary!Q294,"")),"")</f>
        <v>0</v>
      </c>
      <c r="AH294" s="99">
        <f>IFERROR(IF($AV294="No",0,IF($AV294="yes",Summary!R294,"")),"")</f>
        <v>0</v>
      </c>
      <c r="AI294" s="99">
        <f>IFERROR(IF($AV294="No",0,IF($AV294="yes",Summary!S294,"")),"")</f>
        <v>0</v>
      </c>
      <c r="AJ294" s="602">
        <f>IFERROR(IF($AV294="No",0,IF($AV294="yes",Summary!T294,"")),"")</f>
        <v>0</v>
      </c>
      <c r="AK294" s="100">
        <f>IFERROR(IF($AV294="No",0,IF($AV294="yes",Summary!U294,"")),"")</f>
        <v>0</v>
      </c>
      <c r="AL294" s="99">
        <f>IFERROR(IF($AV294="No",0,IF($AV294="yes",Summary!V294,"")),"")</f>
        <v>0</v>
      </c>
      <c r="AM294" s="99">
        <f>IFERROR(IF($AV294="No",0,IF($AV294="yes",Summary!W294,"")),"")</f>
        <v>0</v>
      </c>
      <c r="AN294" s="99">
        <f>IFERROR(IF($AV294="No",0,IF($AV294="yes",Summary!X294,"")),"")</f>
        <v>0</v>
      </c>
      <c r="AO294" s="99">
        <f>IFERROR(IF($AV294="No",0,IF($AV294="yes",Summary!Y294+Z294,"")),"")</f>
        <v>0</v>
      </c>
      <c r="AP294" s="99">
        <f>IFERROR(IF($AV294="No",0,IF($AV294="yes",Summary!AB294,"")),"")</f>
        <v>0</v>
      </c>
      <c r="AQ294" s="101" t="str">
        <f t="shared" si="72"/>
        <v/>
      </c>
      <c r="AR294" s="101" t="str">
        <f t="shared" si="73"/>
        <v/>
      </c>
      <c r="AS294" s="101" t="str">
        <f t="shared" si="74"/>
        <v/>
      </c>
      <c r="AT294" s="96" t="s">
        <v>708</v>
      </c>
      <c r="AV294" t="str">
        <f>IF('Proposed Lighting'!CN291&gt;0,"No","Yes")</f>
        <v>Yes</v>
      </c>
    </row>
    <row r="295" spans="1:48" ht="34.5" customHeight="1" outlineLevel="1">
      <c r="A295" s="96" t="s">
        <v>709</v>
      </c>
      <c r="B295" s="96" t="str">
        <f>IF(ISNUMBER(SEARCH("case",E295)),"COM_MISC_REFR_ALL_UNKN1991",IF('Proposed Lighting'!AU292=3,"Commercial-All Com-ExtLight",IF('Proposed Lighting'!AH292&gt;8759,"IPC_8760","Commercial-All Com-IntLight")))</f>
        <v>IPC_8760</v>
      </c>
      <c r="C295" s="96" t="str">
        <f>IF(OR('Proposed Lighting'!DD292="Standard Incentive",'Proposed Lighting'!DD292="Non-Standard Incentive"),"Yes",IF(AND(IF(ISNUMBER(SEARCH("controls",'Proposed Lighting'!T292)),"True","False")="False",'Proposed Lighting'!DD292="Submit Control as Non-Standard"),"Yes","No"))</f>
        <v>No</v>
      </c>
      <c r="D295" s="1403">
        <f>'Proposed Lighting'!CV292-Q295</f>
        <v>0</v>
      </c>
      <c r="E295" s="143">
        <f>'Proposed Lighting'!T292</f>
        <v>0</v>
      </c>
      <c r="F295" s="143">
        <f>'Proposed Lighting'!F292</f>
        <v>0</v>
      </c>
      <c r="G295" s="96" t="s">
        <v>242</v>
      </c>
      <c r="H295" s="142" t="str">
        <f>'Proposed Lighting'!CP292</f>
        <v/>
      </c>
      <c r="I295" s="98">
        <v>1</v>
      </c>
      <c r="J295" s="142">
        <f>'Proposed Lighting'!AA292</f>
        <v>0</v>
      </c>
      <c r="K295" s="142" t="str">
        <f>IF(ISNUMBER(SEARCH("-C",'Proposed Lighting'!M292)),'Proposed Lighting'!AH292*0.9,'Proposed Lighting'!AH292)</f>
        <v/>
      </c>
      <c r="L295" s="142">
        <f>IFERROR(IF(OR('Proposed Lighting'!BC292=22,'Proposed Lighting'!BC292=44),1-25%,IF(OR('Proposed Lighting'!BC292=23,'Proposed Lighting'!BC292=46),1-30%,IF(OR('Proposed Lighting'!BC292=29,'Proposed Lighting'!BC292=39,'Proposed Lighting'!BC292=49),1-35%,IF(OR('Proposed Lighting'!BC292=24,'Proposed Lighting'!BC292=48),1-50%,IF(AND(ISNUMBER(SEARCH("-C",'Proposed Lighting'!M292)),'Proposed Lighting'!AU292=2),90%,100%)))))*'Proposed Lighting'!AH292,0)</f>
        <v>0</v>
      </c>
      <c r="M295" s="87">
        <f t="shared" si="60"/>
        <v>0</v>
      </c>
      <c r="N295" s="87">
        <f>IFERROR(IF('Proposed Lighting'!AU292=1,0,'Proposed Lighting'!AO292),0)</f>
        <v>0</v>
      </c>
      <c r="O295" s="88">
        <f>IF('Proposed Lighting'!AU292=1,0,'Proposed Lighting'!AP292)</f>
        <v>0</v>
      </c>
      <c r="P295" s="87">
        <f t="shared" si="61"/>
        <v>0</v>
      </c>
      <c r="Q295" s="98">
        <f t="shared" si="70"/>
        <v>0</v>
      </c>
      <c r="R295" s="99">
        <f>IFERROR(IF('Proposed Lighting'!T292="Lighting controls only",0,ROUND(IF('Proposed Lighting'!AQ292&lt;'Proposed Lighting'!AR292,0,IF('Proposed Lighting'!AH292=0,0,IF('Proposed Lighting'!BV292&gt;0,'Proposed Lighting'!BV292,IF('Proposed Lighting'!CL292=0,MIN('Proposed Lighting'!CN292:CO292),IF('Proposed Lighting'!CX292&gt;0,'Proposed Lighting'!CX292*'Proposed Lighting'!AA292,0))))),2)),0)</f>
        <v>0</v>
      </c>
      <c r="S295" s="99">
        <f>IF('Proposed Lighting'!AJ292&gt;0,'Proposed Lighting'!AJ292*J295,'Proposed Lighting'!$AU$328*J295)</f>
        <v>0</v>
      </c>
      <c r="T295" s="602">
        <f t="shared" si="62"/>
        <v>0</v>
      </c>
      <c r="U295" s="100"/>
      <c r="V295" s="99">
        <f t="shared" si="63"/>
        <v>0</v>
      </c>
      <c r="W295" s="99">
        <f t="shared" si="64"/>
        <v>0</v>
      </c>
      <c r="X295" s="99">
        <f t="shared" si="65"/>
        <v>0</v>
      </c>
      <c r="Y295" s="99"/>
      <c r="Z295" s="99">
        <f t="shared" si="71"/>
        <v>0</v>
      </c>
      <c r="AA295" s="99"/>
      <c r="AB295" s="99">
        <f t="shared" si="66"/>
        <v>0</v>
      </c>
      <c r="AC295" s="101" t="str">
        <f t="shared" si="67"/>
        <v/>
      </c>
      <c r="AD295" s="101" t="str">
        <f t="shared" si="68"/>
        <v/>
      </c>
      <c r="AE295" s="101" t="str">
        <f t="shared" si="69"/>
        <v/>
      </c>
      <c r="AF295" s="72"/>
      <c r="AG295" s="98">
        <f>IFERROR(IF($AV295="No",0,IF($AV295="yes",Summary!Q295,"")),"")</f>
        <v>0</v>
      </c>
      <c r="AH295" s="99">
        <f>IFERROR(IF($AV295="No",0,IF($AV295="yes",Summary!R295,"")),"")</f>
        <v>0</v>
      </c>
      <c r="AI295" s="99">
        <f>IFERROR(IF($AV295="No",0,IF($AV295="yes",Summary!S295,"")),"")</f>
        <v>0</v>
      </c>
      <c r="AJ295" s="602">
        <f>IFERROR(IF($AV295="No",0,IF($AV295="yes",Summary!T295,"")),"")</f>
        <v>0</v>
      </c>
      <c r="AK295" s="100">
        <f>IFERROR(IF($AV295="No",0,IF($AV295="yes",Summary!U295,"")),"")</f>
        <v>0</v>
      </c>
      <c r="AL295" s="99">
        <f>IFERROR(IF($AV295="No",0,IF($AV295="yes",Summary!V295,"")),"")</f>
        <v>0</v>
      </c>
      <c r="AM295" s="99">
        <f>IFERROR(IF($AV295="No",0,IF($AV295="yes",Summary!W295,"")),"")</f>
        <v>0</v>
      </c>
      <c r="AN295" s="99">
        <f>IFERROR(IF($AV295="No",0,IF($AV295="yes",Summary!X295,"")),"")</f>
        <v>0</v>
      </c>
      <c r="AO295" s="99">
        <f>IFERROR(IF($AV295="No",0,IF($AV295="yes",Summary!Y295+Z295,"")),"")</f>
        <v>0</v>
      </c>
      <c r="AP295" s="99">
        <f>IFERROR(IF($AV295="No",0,IF($AV295="yes",Summary!AB295,"")),"")</f>
        <v>0</v>
      </c>
      <c r="AQ295" s="101" t="str">
        <f t="shared" si="72"/>
        <v/>
      </c>
      <c r="AR295" s="101" t="str">
        <f t="shared" si="73"/>
        <v/>
      </c>
      <c r="AS295" s="101" t="str">
        <f t="shared" si="74"/>
        <v/>
      </c>
      <c r="AT295" s="96" t="s">
        <v>709</v>
      </c>
      <c r="AV295" t="str">
        <f>IF('Proposed Lighting'!CN292&gt;0,"No","Yes")</f>
        <v>Yes</v>
      </c>
    </row>
    <row r="296" spans="1:48" ht="34.5" customHeight="1" outlineLevel="1">
      <c r="A296" s="96" t="s">
        <v>710</v>
      </c>
      <c r="B296" s="96" t="str">
        <f>IF(ISNUMBER(SEARCH("case",E296)),"COM_MISC_REFR_ALL_UNKN1991",IF('Proposed Lighting'!AU293=3,"Commercial-All Com-ExtLight",IF('Proposed Lighting'!AH293&gt;8759,"IPC_8760","Commercial-All Com-IntLight")))</f>
        <v>IPC_8760</v>
      </c>
      <c r="C296" s="96" t="str">
        <f>IF(OR('Proposed Lighting'!DD293="Standard Incentive",'Proposed Lighting'!DD293="Non-Standard Incentive"),"Yes",IF(AND(IF(ISNUMBER(SEARCH("controls",'Proposed Lighting'!T293)),"True","False")="False",'Proposed Lighting'!DD293="Submit Control as Non-Standard"),"Yes","No"))</f>
        <v>No</v>
      </c>
      <c r="D296" s="1403">
        <f>'Proposed Lighting'!CV293-Q296</f>
        <v>0</v>
      </c>
      <c r="E296" s="143">
        <f>'Proposed Lighting'!T293</f>
        <v>0</v>
      </c>
      <c r="F296" s="143">
        <f>'Proposed Lighting'!F293</f>
        <v>0</v>
      </c>
      <c r="G296" s="96" t="s">
        <v>242</v>
      </c>
      <c r="H296" s="142" t="str">
        <f>'Proposed Lighting'!CP293</f>
        <v/>
      </c>
      <c r="I296" s="98">
        <v>1</v>
      </c>
      <c r="J296" s="142">
        <f>'Proposed Lighting'!AA293</f>
        <v>0</v>
      </c>
      <c r="K296" s="142" t="str">
        <f>IF(ISNUMBER(SEARCH("-C",'Proposed Lighting'!M293)),'Proposed Lighting'!AH293*0.9,'Proposed Lighting'!AH293)</f>
        <v/>
      </c>
      <c r="L296" s="142">
        <f>IFERROR(IF(OR('Proposed Lighting'!BC293=22,'Proposed Lighting'!BC293=44),1-25%,IF(OR('Proposed Lighting'!BC293=23,'Proposed Lighting'!BC293=46),1-30%,IF(OR('Proposed Lighting'!BC293=29,'Proposed Lighting'!BC293=39,'Proposed Lighting'!BC293=49),1-35%,IF(OR('Proposed Lighting'!BC293=24,'Proposed Lighting'!BC293=48),1-50%,IF(AND(ISNUMBER(SEARCH("-C",'Proposed Lighting'!M293)),'Proposed Lighting'!AU293=2),90%,100%)))))*'Proposed Lighting'!AH293,0)</f>
        <v>0</v>
      </c>
      <c r="M296" s="87">
        <f t="shared" si="60"/>
        <v>0</v>
      </c>
      <c r="N296" s="87">
        <f>IFERROR(IF('Proposed Lighting'!AU293=1,0,'Proposed Lighting'!AO293),0)</f>
        <v>0</v>
      </c>
      <c r="O296" s="88">
        <f>IF('Proposed Lighting'!AU293=1,0,'Proposed Lighting'!AP293)</f>
        <v>0</v>
      </c>
      <c r="P296" s="87">
        <f t="shared" si="61"/>
        <v>0</v>
      </c>
      <c r="Q296" s="98">
        <f t="shared" si="70"/>
        <v>0</v>
      </c>
      <c r="R296" s="99">
        <f>IFERROR(IF('Proposed Lighting'!T293="Lighting controls only",0,ROUND(IF('Proposed Lighting'!AQ293&lt;'Proposed Lighting'!AR293,0,IF('Proposed Lighting'!AH293=0,0,IF('Proposed Lighting'!BV293&gt;0,'Proposed Lighting'!BV293,IF('Proposed Lighting'!CL293=0,MIN('Proposed Lighting'!CN293:CO293),IF('Proposed Lighting'!CX293&gt;0,'Proposed Lighting'!CX293*'Proposed Lighting'!AA293,0))))),2)),0)</f>
        <v>0</v>
      </c>
      <c r="S296" s="99">
        <f>IF('Proposed Lighting'!AJ293&gt;0,'Proposed Lighting'!AJ293*J296,'Proposed Lighting'!$AU$328*J296)</f>
        <v>0</v>
      </c>
      <c r="T296" s="602">
        <f t="shared" si="62"/>
        <v>0</v>
      </c>
      <c r="U296" s="100"/>
      <c r="V296" s="99">
        <f t="shared" si="63"/>
        <v>0</v>
      </c>
      <c r="W296" s="99">
        <f t="shared" si="64"/>
        <v>0</v>
      </c>
      <c r="X296" s="99">
        <f t="shared" si="65"/>
        <v>0</v>
      </c>
      <c r="Y296" s="99"/>
      <c r="Z296" s="99">
        <f t="shared" si="71"/>
        <v>0</v>
      </c>
      <c r="AA296" s="99"/>
      <c r="AB296" s="99">
        <f t="shared" si="66"/>
        <v>0</v>
      </c>
      <c r="AC296" s="101" t="str">
        <f t="shared" si="67"/>
        <v/>
      </c>
      <c r="AD296" s="101" t="str">
        <f t="shared" si="68"/>
        <v/>
      </c>
      <c r="AE296" s="101" t="str">
        <f t="shared" si="69"/>
        <v/>
      </c>
      <c r="AF296" s="72"/>
      <c r="AG296" s="98">
        <f>IFERROR(IF($AV296="No",0,IF($AV296="yes",Summary!Q296,"")),"")</f>
        <v>0</v>
      </c>
      <c r="AH296" s="99">
        <f>IFERROR(IF($AV296="No",0,IF($AV296="yes",Summary!R296,"")),"")</f>
        <v>0</v>
      </c>
      <c r="AI296" s="99">
        <f>IFERROR(IF($AV296="No",0,IF($AV296="yes",Summary!S296,"")),"")</f>
        <v>0</v>
      </c>
      <c r="AJ296" s="602">
        <f>IFERROR(IF($AV296="No",0,IF($AV296="yes",Summary!T296,"")),"")</f>
        <v>0</v>
      </c>
      <c r="AK296" s="100">
        <f>IFERROR(IF($AV296="No",0,IF($AV296="yes",Summary!U296,"")),"")</f>
        <v>0</v>
      </c>
      <c r="AL296" s="99">
        <f>IFERROR(IF($AV296="No",0,IF($AV296="yes",Summary!V296,"")),"")</f>
        <v>0</v>
      </c>
      <c r="AM296" s="99">
        <f>IFERROR(IF($AV296="No",0,IF($AV296="yes",Summary!W296,"")),"")</f>
        <v>0</v>
      </c>
      <c r="AN296" s="99">
        <f>IFERROR(IF($AV296="No",0,IF($AV296="yes",Summary!X296,"")),"")</f>
        <v>0</v>
      </c>
      <c r="AO296" s="99">
        <f>IFERROR(IF($AV296="No",0,IF($AV296="yes",Summary!Y296+Z296,"")),"")</f>
        <v>0</v>
      </c>
      <c r="AP296" s="99">
        <f>IFERROR(IF($AV296="No",0,IF($AV296="yes",Summary!AB296,"")),"")</f>
        <v>0</v>
      </c>
      <c r="AQ296" s="101" t="str">
        <f t="shared" si="72"/>
        <v/>
      </c>
      <c r="AR296" s="101" t="str">
        <f t="shared" si="73"/>
        <v/>
      </c>
      <c r="AS296" s="101" t="str">
        <f t="shared" si="74"/>
        <v/>
      </c>
      <c r="AT296" s="96" t="s">
        <v>710</v>
      </c>
      <c r="AV296" t="str">
        <f>IF('Proposed Lighting'!CN293&gt;0,"No","Yes")</f>
        <v>Yes</v>
      </c>
    </row>
    <row r="297" spans="1:48" ht="34.5" customHeight="1" outlineLevel="1">
      <c r="A297" s="96" t="s">
        <v>711</v>
      </c>
      <c r="B297" s="96" t="str">
        <f>IF(ISNUMBER(SEARCH("case",E297)),"COM_MISC_REFR_ALL_UNKN1991",IF('Proposed Lighting'!AU294=3,"Commercial-All Com-ExtLight",IF('Proposed Lighting'!AH294&gt;8759,"IPC_8760","Commercial-All Com-IntLight")))</f>
        <v>IPC_8760</v>
      </c>
      <c r="C297" s="96" t="str">
        <f>IF(OR('Proposed Lighting'!DD294="Standard Incentive",'Proposed Lighting'!DD294="Non-Standard Incentive"),"Yes",IF(AND(IF(ISNUMBER(SEARCH("controls",'Proposed Lighting'!T294)),"True","False")="False",'Proposed Lighting'!DD294="Submit Control as Non-Standard"),"Yes","No"))</f>
        <v>No</v>
      </c>
      <c r="D297" s="1403">
        <f>'Proposed Lighting'!CV294-Q297</f>
        <v>0</v>
      </c>
      <c r="E297" s="143">
        <f>'Proposed Lighting'!T294</f>
        <v>0</v>
      </c>
      <c r="F297" s="143">
        <f>'Proposed Lighting'!F294</f>
        <v>0</v>
      </c>
      <c r="G297" s="96" t="s">
        <v>242</v>
      </c>
      <c r="H297" s="142" t="str">
        <f>'Proposed Lighting'!CP294</f>
        <v/>
      </c>
      <c r="I297" s="98">
        <v>1</v>
      </c>
      <c r="J297" s="142">
        <f>'Proposed Lighting'!AA294</f>
        <v>0</v>
      </c>
      <c r="K297" s="142" t="str">
        <f>IF(ISNUMBER(SEARCH("-C",'Proposed Lighting'!M294)),'Proposed Lighting'!AH294*0.9,'Proposed Lighting'!AH294)</f>
        <v/>
      </c>
      <c r="L297" s="142">
        <f>IFERROR(IF(OR('Proposed Lighting'!BC294=22,'Proposed Lighting'!BC294=44),1-25%,IF(OR('Proposed Lighting'!BC294=23,'Proposed Lighting'!BC294=46),1-30%,IF(OR('Proposed Lighting'!BC294=29,'Proposed Lighting'!BC294=39,'Proposed Lighting'!BC294=49),1-35%,IF(OR('Proposed Lighting'!BC294=24,'Proposed Lighting'!BC294=48),1-50%,IF(AND(ISNUMBER(SEARCH("-C",'Proposed Lighting'!M294)),'Proposed Lighting'!AU294=2),90%,100%)))))*'Proposed Lighting'!AH294,0)</f>
        <v>0</v>
      </c>
      <c r="M297" s="87">
        <f t="shared" si="60"/>
        <v>0</v>
      </c>
      <c r="N297" s="87">
        <f>IFERROR(IF('Proposed Lighting'!AU294=1,0,'Proposed Lighting'!AO294),0)</f>
        <v>0</v>
      </c>
      <c r="O297" s="88">
        <f>IF('Proposed Lighting'!AU294=1,0,'Proposed Lighting'!AP294)</f>
        <v>0</v>
      </c>
      <c r="P297" s="87">
        <f t="shared" si="61"/>
        <v>0</v>
      </c>
      <c r="Q297" s="98">
        <f t="shared" si="70"/>
        <v>0</v>
      </c>
      <c r="R297" s="99">
        <f>IFERROR(IF('Proposed Lighting'!T294="Lighting controls only",0,ROUND(IF('Proposed Lighting'!AQ294&lt;'Proposed Lighting'!AR294,0,IF('Proposed Lighting'!AH294=0,0,IF('Proposed Lighting'!BV294&gt;0,'Proposed Lighting'!BV294,IF('Proposed Lighting'!CL294=0,MIN('Proposed Lighting'!CN294:CO294),IF('Proposed Lighting'!CX294&gt;0,'Proposed Lighting'!CX294*'Proposed Lighting'!AA294,0))))),2)),0)</f>
        <v>0</v>
      </c>
      <c r="S297" s="99">
        <f>IF('Proposed Lighting'!AJ294&gt;0,'Proposed Lighting'!AJ294*J297,'Proposed Lighting'!$AU$328*J297)</f>
        <v>0</v>
      </c>
      <c r="T297" s="602">
        <f t="shared" si="62"/>
        <v>0</v>
      </c>
      <c r="U297" s="100"/>
      <c r="V297" s="99">
        <f t="shared" si="63"/>
        <v>0</v>
      </c>
      <c r="W297" s="99">
        <f t="shared" si="64"/>
        <v>0</v>
      </c>
      <c r="X297" s="99">
        <f t="shared" si="65"/>
        <v>0</v>
      </c>
      <c r="Y297" s="99"/>
      <c r="Z297" s="99">
        <f t="shared" si="71"/>
        <v>0</v>
      </c>
      <c r="AA297" s="99"/>
      <c r="AB297" s="99">
        <f t="shared" si="66"/>
        <v>0</v>
      </c>
      <c r="AC297" s="101" t="str">
        <f t="shared" si="67"/>
        <v/>
      </c>
      <c r="AD297" s="101" t="str">
        <f t="shared" si="68"/>
        <v/>
      </c>
      <c r="AE297" s="101" t="str">
        <f t="shared" si="69"/>
        <v/>
      </c>
      <c r="AF297" s="72"/>
      <c r="AG297" s="98">
        <f>IFERROR(IF($AV297="No",0,IF($AV297="yes",Summary!Q297,"")),"")</f>
        <v>0</v>
      </c>
      <c r="AH297" s="99">
        <f>IFERROR(IF($AV297="No",0,IF($AV297="yes",Summary!R297,"")),"")</f>
        <v>0</v>
      </c>
      <c r="AI297" s="99">
        <f>IFERROR(IF($AV297="No",0,IF($AV297="yes",Summary!S297,"")),"")</f>
        <v>0</v>
      </c>
      <c r="AJ297" s="602">
        <f>IFERROR(IF($AV297="No",0,IF($AV297="yes",Summary!T297,"")),"")</f>
        <v>0</v>
      </c>
      <c r="AK297" s="100">
        <f>IFERROR(IF($AV297="No",0,IF($AV297="yes",Summary!U297,"")),"")</f>
        <v>0</v>
      </c>
      <c r="AL297" s="99">
        <f>IFERROR(IF($AV297="No",0,IF($AV297="yes",Summary!V297,"")),"")</f>
        <v>0</v>
      </c>
      <c r="AM297" s="99">
        <f>IFERROR(IF($AV297="No",0,IF($AV297="yes",Summary!W297,"")),"")</f>
        <v>0</v>
      </c>
      <c r="AN297" s="99">
        <f>IFERROR(IF($AV297="No",0,IF($AV297="yes",Summary!X297,"")),"")</f>
        <v>0</v>
      </c>
      <c r="AO297" s="99">
        <f>IFERROR(IF($AV297="No",0,IF($AV297="yes",Summary!Y297+Z297,"")),"")</f>
        <v>0</v>
      </c>
      <c r="AP297" s="99">
        <f>IFERROR(IF($AV297="No",0,IF($AV297="yes",Summary!AB297,"")),"")</f>
        <v>0</v>
      </c>
      <c r="AQ297" s="101" t="str">
        <f t="shared" si="72"/>
        <v/>
      </c>
      <c r="AR297" s="101" t="str">
        <f t="shared" si="73"/>
        <v/>
      </c>
      <c r="AS297" s="101" t="str">
        <f t="shared" si="74"/>
        <v/>
      </c>
      <c r="AT297" s="96" t="s">
        <v>711</v>
      </c>
      <c r="AV297" t="str">
        <f>IF('Proposed Lighting'!CN294&gt;0,"No","Yes")</f>
        <v>Yes</v>
      </c>
    </row>
    <row r="298" spans="1:48" ht="34.5" customHeight="1" outlineLevel="1">
      <c r="A298" s="96" t="s">
        <v>712</v>
      </c>
      <c r="B298" s="96" t="str">
        <f>IF(ISNUMBER(SEARCH("case",E298)),"COM_MISC_REFR_ALL_UNKN1991",IF('Proposed Lighting'!AU295=3,"Commercial-All Com-ExtLight",IF('Proposed Lighting'!AH295&gt;8759,"IPC_8760","Commercial-All Com-IntLight")))</f>
        <v>IPC_8760</v>
      </c>
      <c r="C298" s="96" t="str">
        <f>IF(OR('Proposed Lighting'!DD295="Standard Incentive",'Proposed Lighting'!DD295="Non-Standard Incentive"),"Yes",IF(AND(IF(ISNUMBER(SEARCH("controls",'Proposed Lighting'!T295)),"True","False")="False",'Proposed Lighting'!DD295="Submit Control as Non-Standard"),"Yes","No"))</f>
        <v>No</v>
      </c>
      <c r="D298" s="1403">
        <f>'Proposed Lighting'!CV295-Q298</f>
        <v>0</v>
      </c>
      <c r="E298" s="143">
        <f>'Proposed Lighting'!T295</f>
        <v>0</v>
      </c>
      <c r="F298" s="143">
        <f>'Proposed Lighting'!F295</f>
        <v>0</v>
      </c>
      <c r="G298" s="96" t="s">
        <v>242</v>
      </c>
      <c r="H298" s="142" t="str">
        <f>'Proposed Lighting'!CP295</f>
        <v/>
      </c>
      <c r="I298" s="98">
        <v>1</v>
      </c>
      <c r="J298" s="142">
        <f>'Proposed Lighting'!AA295</f>
        <v>0</v>
      </c>
      <c r="K298" s="142" t="str">
        <f>IF(ISNUMBER(SEARCH("-C",'Proposed Lighting'!M295)),'Proposed Lighting'!AH295*0.9,'Proposed Lighting'!AH295)</f>
        <v/>
      </c>
      <c r="L298" s="142">
        <f>IFERROR(IF(OR('Proposed Lighting'!BC295=22,'Proposed Lighting'!BC295=44),1-25%,IF(OR('Proposed Lighting'!BC295=23,'Proposed Lighting'!BC295=46),1-30%,IF(OR('Proposed Lighting'!BC295=29,'Proposed Lighting'!BC295=39,'Proposed Lighting'!BC295=49),1-35%,IF(OR('Proposed Lighting'!BC295=24,'Proposed Lighting'!BC295=48),1-50%,IF(AND(ISNUMBER(SEARCH("-C",'Proposed Lighting'!M295)),'Proposed Lighting'!AU295=2),90%,100%)))))*'Proposed Lighting'!AH295,0)</f>
        <v>0</v>
      </c>
      <c r="M298" s="87">
        <f t="shared" si="60"/>
        <v>0</v>
      </c>
      <c r="N298" s="87">
        <f>IFERROR(IF('Proposed Lighting'!AU295=1,0,'Proposed Lighting'!AO295),0)</f>
        <v>0</v>
      </c>
      <c r="O298" s="88">
        <f>IF('Proposed Lighting'!AU295=1,0,'Proposed Lighting'!AP295)</f>
        <v>0</v>
      </c>
      <c r="P298" s="87">
        <f t="shared" si="61"/>
        <v>0</v>
      </c>
      <c r="Q298" s="98">
        <f t="shared" si="70"/>
        <v>0</v>
      </c>
      <c r="R298" s="99">
        <f>IFERROR(IF('Proposed Lighting'!T295="Lighting controls only",0,ROUND(IF('Proposed Lighting'!AQ295&lt;'Proposed Lighting'!AR295,0,IF('Proposed Lighting'!AH295=0,0,IF('Proposed Lighting'!BV295&gt;0,'Proposed Lighting'!BV295,IF('Proposed Lighting'!CL295=0,MIN('Proposed Lighting'!CN295:CO295),IF('Proposed Lighting'!CX295&gt;0,'Proposed Lighting'!CX295*'Proposed Lighting'!AA295,0))))),2)),0)</f>
        <v>0</v>
      </c>
      <c r="S298" s="99">
        <f>IF('Proposed Lighting'!AJ295&gt;0,'Proposed Lighting'!AJ295*J298,'Proposed Lighting'!$AU$328*J298)</f>
        <v>0</v>
      </c>
      <c r="T298" s="602">
        <f t="shared" si="62"/>
        <v>0</v>
      </c>
      <c r="U298" s="100"/>
      <c r="V298" s="99">
        <f t="shared" si="63"/>
        <v>0</v>
      </c>
      <c r="W298" s="99">
        <f t="shared" si="64"/>
        <v>0</v>
      </c>
      <c r="X298" s="99">
        <f t="shared" si="65"/>
        <v>0</v>
      </c>
      <c r="Y298" s="99"/>
      <c r="Z298" s="99">
        <f t="shared" si="71"/>
        <v>0</v>
      </c>
      <c r="AA298" s="99"/>
      <c r="AB298" s="99">
        <f t="shared" si="66"/>
        <v>0</v>
      </c>
      <c r="AC298" s="101" t="str">
        <f t="shared" si="67"/>
        <v/>
      </c>
      <c r="AD298" s="101" t="str">
        <f t="shared" si="68"/>
        <v/>
      </c>
      <c r="AE298" s="101" t="str">
        <f t="shared" si="69"/>
        <v/>
      </c>
      <c r="AF298" s="72"/>
      <c r="AG298" s="98">
        <f>IFERROR(IF($AV298="No",0,IF($AV298="yes",Summary!Q298,"")),"")</f>
        <v>0</v>
      </c>
      <c r="AH298" s="99">
        <f>IFERROR(IF($AV298="No",0,IF($AV298="yes",Summary!R298,"")),"")</f>
        <v>0</v>
      </c>
      <c r="AI298" s="99">
        <f>IFERROR(IF($AV298="No",0,IF($AV298="yes",Summary!S298,"")),"")</f>
        <v>0</v>
      </c>
      <c r="AJ298" s="602">
        <f>IFERROR(IF($AV298="No",0,IF($AV298="yes",Summary!T298,"")),"")</f>
        <v>0</v>
      </c>
      <c r="AK298" s="100">
        <f>IFERROR(IF($AV298="No",0,IF($AV298="yes",Summary!U298,"")),"")</f>
        <v>0</v>
      </c>
      <c r="AL298" s="99">
        <f>IFERROR(IF($AV298="No",0,IF($AV298="yes",Summary!V298,"")),"")</f>
        <v>0</v>
      </c>
      <c r="AM298" s="99">
        <f>IFERROR(IF($AV298="No",0,IF($AV298="yes",Summary!W298,"")),"")</f>
        <v>0</v>
      </c>
      <c r="AN298" s="99">
        <f>IFERROR(IF($AV298="No",0,IF($AV298="yes",Summary!X298,"")),"")</f>
        <v>0</v>
      </c>
      <c r="AO298" s="99">
        <f>IFERROR(IF($AV298="No",0,IF($AV298="yes",Summary!Y298+Z298,"")),"")</f>
        <v>0</v>
      </c>
      <c r="AP298" s="99">
        <f>IFERROR(IF($AV298="No",0,IF($AV298="yes",Summary!AB298,"")),"")</f>
        <v>0</v>
      </c>
      <c r="AQ298" s="101" t="str">
        <f t="shared" si="72"/>
        <v/>
      </c>
      <c r="AR298" s="101" t="str">
        <f t="shared" si="73"/>
        <v/>
      </c>
      <c r="AS298" s="101" t="str">
        <f t="shared" si="74"/>
        <v/>
      </c>
      <c r="AT298" s="96" t="s">
        <v>712</v>
      </c>
      <c r="AV298" t="str">
        <f>IF('Proposed Lighting'!CN295&gt;0,"No","Yes")</f>
        <v>Yes</v>
      </c>
    </row>
    <row r="299" spans="1:48" ht="34.5" customHeight="1" outlineLevel="1">
      <c r="A299" s="96" t="s">
        <v>713</v>
      </c>
      <c r="B299" s="96" t="str">
        <f>IF(ISNUMBER(SEARCH("case",E299)),"COM_MISC_REFR_ALL_UNKN1991",IF('Proposed Lighting'!AU296=3,"Commercial-All Com-ExtLight",IF('Proposed Lighting'!AH296&gt;8759,"IPC_8760","Commercial-All Com-IntLight")))</f>
        <v>IPC_8760</v>
      </c>
      <c r="C299" s="96" t="str">
        <f>IF(OR('Proposed Lighting'!DD296="Standard Incentive",'Proposed Lighting'!DD296="Non-Standard Incentive"),"Yes",IF(AND(IF(ISNUMBER(SEARCH("controls",'Proposed Lighting'!T296)),"True","False")="False",'Proposed Lighting'!DD296="Submit Control as Non-Standard"),"Yes","No"))</f>
        <v>No</v>
      </c>
      <c r="D299" s="1403">
        <f>'Proposed Lighting'!CV296-Q299</f>
        <v>0</v>
      </c>
      <c r="E299" s="143">
        <f>'Proposed Lighting'!T296</f>
        <v>0</v>
      </c>
      <c r="F299" s="143">
        <f>'Proposed Lighting'!F296</f>
        <v>0</v>
      </c>
      <c r="G299" s="96" t="s">
        <v>242</v>
      </c>
      <c r="H299" s="142" t="str">
        <f>'Proposed Lighting'!CP296</f>
        <v/>
      </c>
      <c r="I299" s="98">
        <v>1</v>
      </c>
      <c r="J299" s="142">
        <f>'Proposed Lighting'!AA296</f>
        <v>0</v>
      </c>
      <c r="K299" s="142" t="str">
        <f>IF(ISNUMBER(SEARCH("-C",'Proposed Lighting'!M296)),'Proposed Lighting'!AH296*0.9,'Proposed Lighting'!AH296)</f>
        <v/>
      </c>
      <c r="L299" s="142">
        <f>IFERROR(IF(OR('Proposed Lighting'!BC296=22,'Proposed Lighting'!BC296=44),1-25%,IF(OR('Proposed Lighting'!BC296=23,'Proposed Lighting'!BC296=46),1-30%,IF(OR('Proposed Lighting'!BC296=29,'Proposed Lighting'!BC296=39,'Proposed Lighting'!BC296=49),1-35%,IF(OR('Proposed Lighting'!BC296=24,'Proposed Lighting'!BC296=48),1-50%,IF(AND(ISNUMBER(SEARCH("-C",'Proposed Lighting'!M296)),'Proposed Lighting'!AU296=2),90%,100%)))))*'Proposed Lighting'!AH296,0)</f>
        <v>0</v>
      </c>
      <c r="M299" s="87">
        <f t="shared" si="60"/>
        <v>0</v>
      </c>
      <c r="N299" s="87">
        <f>IFERROR(IF('Proposed Lighting'!AU296=1,0,'Proposed Lighting'!AO296),0)</f>
        <v>0</v>
      </c>
      <c r="O299" s="88">
        <f>IF('Proposed Lighting'!AU296=1,0,'Proposed Lighting'!AP296)</f>
        <v>0</v>
      </c>
      <c r="P299" s="87">
        <f t="shared" si="61"/>
        <v>0</v>
      </c>
      <c r="Q299" s="98">
        <f t="shared" si="70"/>
        <v>0</v>
      </c>
      <c r="R299" s="99">
        <f>IFERROR(IF('Proposed Lighting'!T296="Lighting controls only",0,ROUND(IF('Proposed Lighting'!AQ296&lt;'Proposed Lighting'!AR296,0,IF('Proposed Lighting'!AH296=0,0,IF('Proposed Lighting'!BV296&gt;0,'Proposed Lighting'!BV296,IF('Proposed Lighting'!CL296=0,MIN('Proposed Lighting'!CN296:CO296),IF('Proposed Lighting'!CX296&gt;0,'Proposed Lighting'!CX296*'Proposed Lighting'!AA296,0))))),2)),0)</f>
        <v>0</v>
      </c>
      <c r="S299" s="99">
        <f>IF('Proposed Lighting'!AJ296&gt;0,'Proposed Lighting'!AJ296*J299,'Proposed Lighting'!$AU$328*J299)</f>
        <v>0</v>
      </c>
      <c r="T299" s="602">
        <f t="shared" si="62"/>
        <v>0</v>
      </c>
      <c r="U299" s="100"/>
      <c r="V299" s="99">
        <f t="shared" si="63"/>
        <v>0</v>
      </c>
      <c r="W299" s="99">
        <f t="shared" si="64"/>
        <v>0</v>
      </c>
      <c r="X299" s="99">
        <f t="shared" si="65"/>
        <v>0</v>
      </c>
      <c r="Y299" s="99"/>
      <c r="Z299" s="99">
        <f t="shared" si="71"/>
        <v>0</v>
      </c>
      <c r="AA299" s="99"/>
      <c r="AB299" s="99">
        <f t="shared" si="66"/>
        <v>0</v>
      </c>
      <c r="AC299" s="101" t="str">
        <f t="shared" si="67"/>
        <v/>
      </c>
      <c r="AD299" s="101" t="str">
        <f t="shared" si="68"/>
        <v/>
      </c>
      <c r="AE299" s="101" t="str">
        <f t="shared" si="69"/>
        <v/>
      </c>
      <c r="AF299" s="72"/>
      <c r="AG299" s="98">
        <f>IFERROR(IF($AV299="No",0,IF($AV299="yes",Summary!Q299,"")),"")</f>
        <v>0</v>
      </c>
      <c r="AH299" s="99">
        <f>IFERROR(IF($AV299="No",0,IF($AV299="yes",Summary!R299,"")),"")</f>
        <v>0</v>
      </c>
      <c r="AI299" s="99">
        <f>IFERROR(IF($AV299="No",0,IF($AV299="yes",Summary!S299,"")),"")</f>
        <v>0</v>
      </c>
      <c r="AJ299" s="602">
        <f>IFERROR(IF($AV299="No",0,IF($AV299="yes",Summary!T299,"")),"")</f>
        <v>0</v>
      </c>
      <c r="AK299" s="100">
        <f>IFERROR(IF($AV299="No",0,IF($AV299="yes",Summary!U299,"")),"")</f>
        <v>0</v>
      </c>
      <c r="AL299" s="99">
        <f>IFERROR(IF($AV299="No",0,IF($AV299="yes",Summary!V299,"")),"")</f>
        <v>0</v>
      </c>
      <c r="AM299" s="99">
        <f>IFERROR(IF($AV299="No",0,IF($AV299="yes",Summary!W299,"")),"")</f>
        <v>0</v>
      </c>
      <c r="AN299" s="99">
        <f>IFERROR(IF($AV299="No",0,IF($AV299="yes",Summary!X299,"")),"")</f>
        <v>0</v>
      </c>
      <c r="AO299" s="99">
        <f>IFERROR(IF($AV299="No",0,IF($AV299="yes",Summary!Y299+Z299,"")),"")</f>
        <v>0</v>
      </c>
      <c r="AP299" s="99">
        <f>IFERROR(IF($AV299="No",0,IF($AV299="yes",Summary!AB299,"")),"")</f>
        <v>0</v>
      </c>
      <c r="AQ299" s="101" t="str">
        <f t="shared" si="72"/>
        <v/>
      </c>
      <c r="AR299" s="101" t="str">
        <f t="shared" si="73"/>
        <v/>
      </c>
      <c r="AS299" s="101" t="str">
        <f t="shared" si="74"/>
        <v/>
      </c>
      <c r="AT299" s="96" t="s">
        <v>713</v>
      </c>
      <c r="AV299" t="str">
        <f>IF('Proposed Lighting'!CN296&gt;0,"No","Yes")</f>
        <v>Yes</v>
      </c>
    </row>
    <row r="300" spans="1:48" ht="34.5" customHeight="1" outlineLevel="1">
      <c r="A300" s="96" t="s">
        <v>714</v>
      </c>
      <c r="B300" s="96" t="str">
        <f>IF(ISNUMBER(SEARCH("case",E300)),"COM_MISC_REFR_ALL_UNKN1991",IF('Proposed Lighting'!AU297=3,"Commercial-All Com-ExtLight",IF('Proposed Lighting'!AH297&gt;8759,"IPC_8760","Commercial-All Com-IntLight")))</f>
        <v>IPC_8760</v>
      </c>
      <c r="C300" s="96" t="str">
        <f>IF(OR('Proposed Lighting'!DD297="Standard Incentive",'Proposed Lighting'!DD297="Non-Standard Incentive"),"Yes",IF(AND(IF(ISNUMBER(SEARCH("controls",'Proposed Lighting'!T297)),"True","False")="False",'Proposed Lighting'!DD297="Submit Control as Non-Standard"),"Yes","No"))</f>
        <v>No</v>
      </c>
      <c r="D300" s="1403">
        <f>'Proposed Lighting'!CV297-Q300</f>
        <v>0</v>
      </c>
      <c r="E300" s="143">
        <f>'Proposed Lighting'!T297</f>
        <v>0</v>
      </c>
      <c r="F300" s="143">
        <f>'Proposed Lighting'!F297</f>
        <v>0</v>
      </c>
      <c r="G300" s="96" t="s">
        <v>242</v>
      </c>
      <c r="H300" s="142" t="str">
        <f>'Proposed Lighting'!CP297</f>
        <v/>
      </c>
      <c r="I300" s="98">
        <v>1</v>
      </c>
      <c r="J300" s="142">
        <f>'Proposed Lighting'!AA297</f>
        <v>0</v>
      </c>
      <c r="K300" s="142" t="str">
        <f>IF(ISNUMBER(SEARCH("-C",'Proposed Lighting'!M297)),'Proposed Lighting'!AH297*0.9,'Proposed Lighting'!AH297)</f>
        <v/>
      </c>
      <c r="L300" s="142">
        <f>IFERROR(IF(OR('Proposed Lighting'!BC297=22,'Proposed Lighting'!BC297=44),1-25%,IF(OR('Proposed Lighting'!BC297=23,'Proposed Lighting'!BC297=46),1-30%,IF(OR('Proposed Lighting'!BC297=29,'Proposed Lighting'!BC297=39,'Proposed Lighting'!BC297=49),1-35%,IF(OR('Proposed Lighting'!BC297=24,'Proposed Lighting'!BC297=48),1-50%,IF(AND(ISNUMBER(SEARCH("-C",'Proposed Lighting'!M297)),'Proposed Lighting'!AU297=2),90%,100%)))))*'Proposed Lighting'!AH297,0)</f>
        <v>0</v>
      </c>
      <c r="M300" s="87">
        <f t="shared" si="60"/>
        <v>0</v>
      </c>
      <c r="N300" s="87">
        <f>IFERROR(IF('Proposed Lighting'!AU297=1,0,'Proposed Lighting'!AO297),0)</f>
        <v>0</v>
      </c>
      <c r="O300" s="88">
        <f>IF('Proposed Lighting'!AU297=1,0,'Proposed Lighting'!AP297)</f>
        <v>0</v>
      </c>
      <c r="P300" s="87">
        <f t="shared" si="61"/>
        <v>0</v>
      </c>
      <c r="Q300" s="98">
        <f t="shared" si="70"/>
        <v>0</v>
      </c>
      <c r="R300" s="99">
        <f>IFERROR(IF('Proposed Lighting'!T297="Lighting controls only",0,ROUND(IF('Proposed Lighting'!AQ297&lt;'Proposed Lighting'!AR297,0,IF('Proposed Lighting'!AH297=0,0,IF('Proposed Lighting'!BV297&gt;0,'Proposed Lighting'!BV297,IF('Proposed Lighting'!CL297=0,MIN('Proposed Lighting'!CN297:CO297),IF('Proposed Lighting'!CX297&gt;0,'Proposed Lighting'!CX297*'Proposed Lighting'!AA297,0))))),2)),0)</f>
        <v>0</v>
      </c>
      <c r="S300" s="99">
        <f>IF('Proposed Lighting'!AJ297&gt;0,'Proposed Lighting'!AJ297*J300,'Proposed Lighting'!$AU$328*J300)</f>
        <v>0</v>
      </c>
      <c r="T300" s="602">
        <f t="shared" si="62"/>
        <v>0</v>
      </c>
      <c r="U300" s="100"/>
      <c r="V300" s="99">
        <f t="shared" si="63"/>
        <v>0</v>
      </c>
      <c r="W300" s="99">
        <f t="shared" si="64"/>
        <v>0</v>
      </c>
      <c r="X300" s="99">
        <f t="shared" si="65"/>
        <v>0</v>
      </c>
      <c r="Y300" s="99"/>
      <c r="Z300" s="99">
        <f t="shared" si="71"/>
        <v>0</v>
      </c>
      <c r="AA300" s="99"/>
      <c r="AB300" s="99">
        <f t="shared" si="66"/>
        <v>0</v>
      </c>
      <c r="AC300" s="101" t="str">
        <f t="shared" si="67"/>
        <v/>
      </c>
      <c r="AD300" s="101" t="str">
        <f t="shared" si="68"/>
        <v/>
      </c>
      <c r="AE300" s="101" t="str">
        <f t="shared" si="69"/>
        <v/>
      </c>
      <c r="AF300" s="72"/>
      <c r="AG300" s="98">
        <f>IFERROR(IF($AV300="No",0,IF($AV300="yes",Summary!Q300,"")),"")</f>
        <v>0</v>
      </c>
      <c r="AH300" s="99">
        <f>IFERROR(IF($AV300="No",0,IF($AV300="yes",Summary!R300,"")),"")</f>
        <v>0</v>
      </c>
      <c r="AI300" s="99">
        <f>IFERROR(IF($AV300="No",0,IF($AV300="yes",Summary!S300,"")),"")</f>
        <v>0</v>
      </c>
      <c r="AJ300" s="602">
        <f>IFERROR(IF($AV300="No",0,IF($AV300="yes",Summary!T300,"")),"")</f>
        <v>0</v>
      </c>
      <c r="AK300" s="100">
        <f>IFERROR(IF($AV300="No",0,IF($AV300="yes",Summary!U300,"")),"")</f>
        <v>0</v>
      </c>
      <c r="AL300" s="99">
        <f>IFERROR(IF($AV300="No",0,IF($AV300="yes",Summary!V300,"")),"")</f>
        <v>0</v>
      </c>
      <c r="AM300" s="99">
        <f>IFERROR(IF($AV300="No",0,IF($AV300="yes",Summary!W300,"")),"")</f>
        <v>0</v>
      </c>
      <c r="AN300" s="99">
        <f>IFERROR(IF($AV300="No",0,IF($AV300="yes",Summary!X300,"")),"")</f>
        <v>0</v>
      </c>
      <c r="AO300" s="99">
        <f>IFERROR(IF($AV300="No",0,IF($AV300="yes",Summary!Y300+Z300,"")),"")</f>
        <v>0</v>
      </c>
      <c r="AP300" s="99">
        <f>IFERROR(IF($AV300="No",0,IF($AV300="yes",Summary!AB300,"")),"")</f>
        <v>0</v>
      </c>
      <c r="AQ300" s="101" t="str">
        <f t="shared" si="72"/>
        <v/>
      </c>
      <c r="AR300" s="101" t="str">
        <f t="shared" si="73"/>
        <v/>
      </c>
      <c r="AS300" s="101" t="str">
        <f t="shared" si="74"/>
        <v/>
      </c>
      <c r="AT300" s="96" t="s">
        <v>714</v>
      </c>
      <c r="AV300" t="str">
        <f>IF('Proposed Lighting'!CN297&gt;0,"No","Yes")</f>
        <v>Yes</v>
      </c>
    </row>
    <row r="301" spans="1:48" ht="34.5" customHeight="1" outlineLevel="1">
      <c r="A301" s="96" t="s">
        <v>715</v>
      </c>
      <c r="B301" s="96" t="str">
        <f>IF(ISNUMBER(SEARCH("case",E301)),"COM_MISC_REFR_ALL_UNKN1991",IF('Proposed Lighting'!AU298=3,"Commercial-All Com-ExtLight",IF('Proposed Lighting'!AH298&gt;8759,"IPC_8760","Commercial-All Com-IntLight")))</f>
        <v>IPC_8760</v>
      </c>
      <c r="C301" s="96" t="str">
        <f>IF(OR('Proposed Lighting'!DD298="Standard Incentive",'Proposed Lighting'!DD298="Non-Standard Incentive"),"Yes",IF(AND(IF(ISNUMBER(SEARCH("controls",'Proposed Lighting'!T298)),"True","False")="False",'Proposed Lighting'!DD298="Submit Control as Non-Standard"),"Yes","No"))</f>
        <v>No</v>
      </c>
      <c r="D301" s="1403">
        <f>'Proposed Lighting'!CV298-Q301</f>
        <v>0</v>
      </c>
      <c r="E301" s="143">
        <f>'Proposed Lighting'!T298</f>
        <v>0</v>
      </c>
      <c r="F301" s="143">
        <f>'Proposed Lighting'!F298</f>
        <v>0</v>
      </c>
      <c r="G301" s="96" t="s">
        <v>242</v>
      </c>
      <c r="H301" s="142" t="str">
        <f>'Proposed Lighting'!CP298</f>
        <v/>
      </c>
      <c r="I301" s="98">
        <v>1</v>
      </c>
      <c r="J301" s="142">
        <f>'Proposed Lighting'!AA298</f>
        <v>0</v>
      </c>
      <c r="K301" s="142" t="str">
        <f>IF(ISNUMBER(SEARCH("-C",'Proposed Lighting'!M298)),'Proposed Lighting'!AH298*0.9,'Proposed Lighting'!AH298)</f>
        <v/>
      </c>
      <c r="L301" s="142">
        <f>IFERROR(IF(OR('Proposed Lighting'!BC298=22,'Proposed Lighting'!BC298=44),1-25%,IF(OR('Proposed Lighting'!BC298=23,'Proposed Lighting'!BC298=46),1-30%,IF(OR('Proposed Lighting'!BC298=29,'Proposed Lighting'!BC298=39,'Proposed Lighting'!BC298=49),1-35%,IF(OR('Proposed Lighting'!BC298=24,'Proposed Lighting'!BC298=48),1-50%,IF(AND(ISNUMBER(SEARCH("-C",'Proposed Lighting'!M298)),'Proposed Lighting'!AU298=2),90%,100%)))))*'Proposed Lighting'!AH298,0)</f>
        <v>0</v>
      </c>
      <c r="M301" s="87">
        <f t="shared" si="60"/>
        <v>0</v>
      </c>
      <c r="N301" s="87">
        <f>IFERROR(IF('Proposed Lighting'!AU298=1,0,'Proposed Lighting'!AO298),0)</f>
        <v>0</v>
      </c>
      <c r="O301" s="88">
        <f>IF('Proposed Lighting'!AU298=1,0,'Proposed Lighting'!AP298)</f>
        <v>0</v>
      </c>
      <c r="P301" s="87">
        <f t="shared" si="61"/>
        <v>0</v>
      </c>
      <c r="Q301" s="98">
        <f t="shared" si="70"/>
        <v>0</v>
      </c>
      <c r="R301" s="99">
        <f>IFERROR(IF('Proposed Lighting'!T298="Lighting controls only",0,ROUND(IF('Proposed Lighting'!AQ298&lt;'Proposed Lighting'!AR298,0,IF('Proposed Lighting'!AH298=0,0,IF('Proposed Lighting'!BV298&gt;0,'Proposed Lighting'!BV298,IF('Proposed Lighting'!CL298=0,MIN('Proposed Lighting'!CN298:CO298),IF('Proposed Lighting'!CX298&gt;0,'Proposed Lighting'!CX298*'Proposed Lighting'!AA298,0))))),2)),0)</f>
        <v>0</v>
      </c>
      <c r="S301" s="99">
        <f>IF('Proposed Lighting'!AJ298&gt;0,'Proposed Lighting'!AJ298*J301,'Proposed Lighting'!$AU$328*J301)</f>
        <v>0</v>
      </c>
      <c r="T301" s="602">
        <f t="shared" si="62"/>
        <v>0</v>
      </c>
      <c r="U301" s="100"/>
      <c r="V301" s="99">
        <f t="shared" si="63"/>
        <v>0</v>
      </c>
      <c r="W301" s="99">
        <f t="shared" si="64"/>
        <v>0</v>
      </c>
      <c r="X301" s="99">
        <f t="shared" si="65"/>
        <v>0</v>
      </c>
      <c r="Y301" s="99"/>
      <c r="Z301" s="99">
        <f t="shared" si="71"/>
        <v>0</v>
      </c>
      <c r="AA301" s="99"/>
      <c r="AB301" s="99">
        <f t="shared" si="66"/>
        <v>0</v>
      </c>
      <c r="AC301" s="101" t="str">
        <f t="shared" si="67"/>
        <v/>
      </c>
      <c r="AD301" s="101" t="str">
        <f t="shared" si="68"/>
        <v/>
      </c>
      <c r="AE301" s="101" t="str">
        <f t="shared" si="69"/>
        <v/>
      </c>
      <c r="AF301" s="72"/>
      <c r="AG301" s="98">
        <f>IFERROR(IF($AV301="No",0,IF($AV301="yes",Summary!Q301,"")),"")</f>
        <v>0</v>
      </c>
      <c r="AH301" s="99">
        <f>IFERROR(IF($AV301="No",0,IF($AV301="yes",Summary!R301,"")),"")</f>
        <v>0</v>
      </c>
      <c r="AI301" s="99">
        <f>IFERROR(IF($AV301="No",0,IF($AV301="yes",Summary!S301,"")),"")</f>
        <v>0</v>
      </c>
      <c r="AJ301" s="602">
        <f>IFERROR(IF($AV301="No",0,IF($AV301="yes",Summary!T301,"")),"")</f>
        <v>0</v>
      </c>
      <c r="AK301" s="100">
        <f>IFERROR(IF($AV301="No",0,IF($AV301="yes",Summary!U301,"")),"")</f>
        <v>0</v>
      </c>
      <c r="AL301" s="99">
        <f>IFERROR(IF($AV301="No",0,IF($AV301="yes",Summary!V301,"")),"")</f>
        <v>0</v>
      </c>
      <c r="AM301" s="99">
        <f>IFERROR(IF($AV301="No",0,IF($AV301="yes",Summary!W301,"")),"")</f>
        <v>0</v>
      </c>
      <c r="AN301" s="99">
        <f>IFERROR(IF($AV301="No",0,IF($AV301="yes",Summary!X301,"")),"")</f>
        <v>0</v>
      </c>
      <c r="AO301" s="99">
        <f>IFERROR(IF($AV301="No",0,IF($AV301="yes",Summary!Y301+Z301,"")),"")</f>
        <v>0</v>
      </c>
      <c r="AP301" s="99">
        <f>IFERROR(IF($AV301="No",0,IF($AV301="yes",Summary!AB301,"")),"")</f>
        <v>0</v>
      </c>
      <c r="AQ301" s="101" t="str">
        <f t="shared" si="72"/>
        <v/>
      </c>
      <c r="AR301" s="101" t="str">
        <f t="shared" si="73"/>
        <v/>
      </c>
      <c r="AS301" s="101" t="str">
        <f t="shared" si="74"/>
        <v/>
      </c>
      <c r="AT301" s="96" t="s">
        <v>715</v>
      </c>
      <c r="AV301" t="str">
        <f>IF('Proposed Lighting'!CN298&gt;0,"No","Yes")</f>
        <v>Yes</v>
      </c>
    </row>
    <row r="302" spans="1:48" ht="34.5" customHeight="1" outlineLevel="1">
      <c r="A302" s="96" t="s">
        <v>716</v>
      </c>
      <c r="B302" s="96" t="str">
        <f>IF(ISNUMBER(SEARCH("case",E302)),"COM_MISC_REFR_ALL_UNKN1991",IF('Proposed Lighting'!AU299=3,"Commercial-All Com-ExtLight",IF('Proposed Lighting'!AH299&gt;8759,"IPC_8760","Commercial-All Com-IntLight")))</f>
        <v>IPC_8760</v>
      </c>
      <c r="C302" s="96" t="str">
        <f>IF(OR('Proposed Lighting'!DD299="Standard Incentive",'Proposed Lighting'!DD299="Non-Standard Incentive"),"Yes",IF(AND(IF(ISNUMBER(SEARCH("controls",'Proposed Lighting'!T299)),"True","False")="False",'Proposed Lighting'!DD299="Submit Control as Non-Standard"),"Yes","No"))</f>
        <v>No</v>
      </c>
      <c r="D302" s="1403">
        <f>'Proposed Lighting'!CV299-Q302</f>
        <v>0</v>
      </c>
      <c r="E302" s="143">
        <f>'Proposed Lighting'!T299</f>
        <v>0</v>
      </c>
      <c r="F302" s="143">
        <f>'Proposed Lighting'!F299</f>
        <v>0</v>
      </c>
      <c r="G302" s="96" t="s">
        <v>242</v>
      </c>
      <c r="H302" s="142" t="str">
        <f>'Proposed Lighting'!CP299</f>
        <v/>
      </c>
      <c r="I302" s="98">
        <v>1</v>
      </c>
      <c r="J302" s="142">
        <f>'Proposed Lighting'!AA299</f>
        <v>0</v>
      </c>
      <c r="K302" s="142" t="str">
        <f>IF(ISNUMBER(SEARCH("-C",'Proposed Lighting'!M299)),'Proposed Lighting'!AH299*0.9,'Proposed Lighting'!AH299)</f>
        <v/>
      </c>
      <c r="L302" s="142">
        <f>IFERROR(IF(OR('Proposed Lighting'!BC299=22,'Proposed Lighting'!BC299=44),1-25%,IF(OR('Proposed Lighting'!BC299=23,'Proposed Lighting'!BC299=46),1-30%,IF(OR('Proposed Lighting'!BC299=29,'Proposed Lighting'!BC299=39,'Proposed Lighting'!BC299=49),1-35%,IF(OR('Proposed Lighting'!BC299=24,'Proposed Lighting'!BC299=48),1-50%,IF(AND(ISNUMBER(SEARCH("-C",'Proposed Lighting'!M299)),'Proposed Lighting'!AU299=2),90%,100%)))))*'Proposed Lighting'!AH299,0)</f>
        <v>0</v>
      </c>
      <c r="M302" s="87">
        <f t="shared" si="60"/>
        <v>0</v>
      </c>
      <c r="N302" s="87">
        <f>IFERROR(IF('Proposed Lighting'!AU299=1,0,'Proposed Lighting'!AO299),0)</f>
        <v>0</v>
      </c>
      <c r="O302" s="88">
        <f>IF('Proposed Lighting'!AU299=1,0,'Proposed Lighting'!AP299)</f>
        <v>0</v>
      </c>
      <c r="P302" s="87">
        <f t="shared" si="61"/>
        <v>0</v>
      </c>
      <c r="Q302" s="98">
        <f t="shared" si="70"/>
        <v>0</v>
      </c>
      <c r="R302" s="99">
        <f>IFERROR(IF('Proposed Lighting'!T299="Lighting controls only",0,ROUND(IF('Proposed Lighting'!AQ299&lt;'Proposed Lighting'!AR299,0,IF('Proposed Lighting'!AH299=0,0,IF('Proposed Lighting'!BV299&gt;0,'Proposed Lighting'!BV299,IF('Proposed Lighting'!CL299=0,MIN('Proposed Lighting'!CN299:CO299),IF('Proposed Lighting'!CX299&gt;0,'Proposed Lighting'!CX299*'Proposed Lighting'!AA299,0))))),2)),0)</f>
        <v>0</v>
      </c>
      <c r="S302" s="99">
        <f>IF('Proposed Lighting'!AJ299&gt;0,'Proposed Lighting'!AJ299*J302,'Proposed Lighting'!$AU$328*J302)</f>
        <v>0</v>
      </c>
      <c r="T302" s="602">
        <f t="shared" si="62"/>
        <v>0</v>
      </c>
      <c r="U302" s="100"/>
      <c r="V302" s="99">
        <f t="shared" si="63"/>
        <v>0</v>
      </c>
      <c r="W302" s="99">
        <f t="shared" si="64"/>
        <v>0</v>
      </c>
      <c r="X302" s="99">
        <f t="shared" si="65"/>
        <v>0</v>
      </c>
      <c r="Y302" s="99"/>
      <c r="Z302" s="99">
        <f t="shared" si="71"/>
        <v>0</v>
      </c>
      <c r="AA302" s="99"/>
      <c r="AB302" s="99">
        <f t="shared" si="66"/>
        <v>0</v>
      </c>
      <c r="AC302" s="101" t="str">
        <f t="shared" si="67"/>
        <v/>
      </c>
      <c r="AD302" s="101" t="str">
        <f t="shared" si="68"/>
        <v/>
      </c>
      <c r="AE302" s="101" t="str">
        <f t="shared" si="69"/>
        <v/>
      </c>
      <c r="AF302" s="72"/>
      <c r="AG302" s="98">
        <f>IFERROR(IF($AV302="No",0,IF($AV302="yes",Summary!Q302,"")),"")</f>
        <v>0</v>
      </c>
      <c r="AH302" s="99">
        <f>IFERROR(IF($AV302="No",0,IF($AV302="yes",Summary!R302,"")),"")</f>
        <v>0</v>
      </c>
      <c r="AI302" s="99">
        <f>IFERROR(IF($AV302="No",0,IF($AV302="yes",Summary!S302,"")),"")</f>
        <v>0</v>
      </c>
      <c r="AJ302" s="602">
        <f>IFERROR(IF($AV302="No",0,IF($AV302="yes",Summary!T302,"")),"")</f>
        <v>0</v>
      </c>
      <c r="AK302" s="100">
        <f>IFERROR(IF($AV302="No",0,IF($AV302="yes",Summary!U302,"")),"")</f>
        <v>0</v>
      </c>
      <c r="AL302" s="99">
        <f>IFERROR(IF($AV302="No",0,IF($AV302="yes",Summary!V302,"")),"")</f>
        <v>0</v>
      </c>
      <c r="AM302" s="99">
        <f>IFERROR(IF($AV302="No",0,IF($AV302="yes",Summary!W302,"")),"")</f>
        <v>0</v>
      </c>
      <c r="AN302" s="99">
        <f>IFERROR(IF($AV302="No",0,IF($AV302="yes",Summary!X302,"")),"")</f>
        <v>0</v>
      </c>
      <c r="AO302" s="99">
        <f>IFERROR(IF($AV302="No",0,IF($AV302="yes",Summary!Y302+Z302,"")),"")</f>
        <v>0</v>
      </c>
      <c r="AP302" s="99">
        <f>IFERROR(IF($AV302="No",0,IF($AV302="yes",Summary!AB302,"")),"")</f>
        <v>0</v>
      </c>
      <c r="AQ302" s="101" t="str">
        <f t="shared" si="72"/>
        <v/>
      </c>
      <c r="AR302" s="101" t="str">
        <f t="shared" si="73"/>
        <v/>
      </c>
      <c r="AS302" s="101" t="str">
        <f t="shared" si="74"/>
        <v/>
      </c>
      <c r="AT302" s="96" t="s">
        <v>716</v>
      </c>
      <c r="AV302" t="str">
        <f>IF('Proposed Lighting'!CN299&gt;0,"No","Yes")</f>
        <v>Yes</v>
      </c>
    </row>
    <row r="303" spans="1:48" ht="34.5" customHeight="1" outlineLevel="1">
      <c r="A303" s="96" t="s">
        <v>717</v>
      </c>
      <c r="B303" s="96" t="str">
        <f>IF(ISNUMBER(SEARCH("case",E303)),"COM_MISC_REFR_ALL_UNKN1991",IF('Proposed Lighting'!AU300=3,"Commercial-All Com-ExtLight",IF('Proposed Lighting'!AH300&gt;8759,"IPC_8760","Commercial-All Com-IntLight")))</f>
        <v>IPC_8760</v>
      </c>
      <c r="C303" s="96" t="str">
        <f>IF(OR('Proposed Lighting'!DD300="Standard Incentive",'Proposed Lighting'!DD300="Non-Standard Incentive"),"Yes",IF(AND(IF(ISNUMBER(SEARCH("controls",'Proposed Lighting'!T300)),"True","False")="False",'Proposed Lighting'!DD300="Submit Control as Non-Standard"),"Yes","No"))</f>
        <v>No</v>
      </c>
      <c r="D303" s="1403">
        <f>'Proposed Lighting'!CV300-Q303</f>
        <v>0</v>
      </c>
      <c r="E303" s="143">
        <f>'Proposed Lighting'!T300</f>
        <v>0</v>
      </c>
      <c r="F303" s="143">
        <f>'Proposed Lighting'!F300</f>
        <v>0</v>
      </c>
      <c r="G303" s="96" t="s">
        <v>242</v>
      </c>
      <c r="H303" s="142" t="str">
        <f>'Proposed Lighting'!CP300</f>
        <v/>
      </c>
      <c r="I303" s="98">
        <v>1</v>
      </c>
      <c r="J303" s="142">
        <f>'Proposed Lighting'!AA300</f>
        <v>0</v>
      </c>
      <c r="K303" s="142" t="str">
        <f>IF(ISNUMBER(SEARCH("-C",'Proposed Lighting'!M300)),'Proposed Lighting'!AH300*0.9,'Proposed Lighting'!AH300)</f>
        <v/>
      </c>
      <c r="L303" s="142">
        <f>IFERROR(IF(OR('Proposed Lighting'!BC300=22,'Proposed Lighting'!BC300=44),1-25%,IF(OR('Proposed Lighting'!BC300=23,'Proposed Lighting'!BC300=46),1-30%,IF(OR('Proposed Lighting'!BC300=29,'Proposed Lighting'!BC300=39,'Proposed Lighting'!BC300=49),1-35%,IF(OR('Proposed Lighting'!BC300=24,'Proposed Lighting'!BC300=48),1-50%,IF(AND(ISNUMBER(SEARCH("-C",'Proposed Lighting'!M300)),'Proposed Lighting'!AU300=2),90%,100%)))))*'Proposed Lighting'!AH300,0)</f>
        <v>0</v>
      </c>
      <c r="M303" s="87">
        <f t="shared" si="60"/>
        <v>0</v>
      </c>
      <c r="N303" s="87">
        <f>IFERROR(IF('Proposed Lighting'!AU300=1,0,'Proposed Lighting'!AO300),0)</f>
        <v>0</v>
      </c>
      <c r="O303" s="88">
        <f>IF('Proposed Lighting'!AU300=1,0,'Proposed Lighting'!AP300)</f>
        <v>0</v>
      </c>
      <c r="P303" s="87">
        <f t="shared" si="61"/>
        <v>0</v>
      </c>
      <c r="Q303" s="98">
        <f t="shared" si="70"/>
        <v>0</v>
      </c>
      <c r="R303" s="99">
        <f>IFERROR(IF('Proposed Lighting'!T300="Lighting controls only",0,ROUND(IF('Proposed Lighting'!AQ300&lt;'Proposed Lighting'!AR300,0,IF('Proposed Lighting'!AH300=0,0,IF('Proposed Lighting'!BV300&gt;0,'Proposed Lighting'!BV300,IF('Proposed Lighting'!CL300=0,MIN('Proposed Lighting'!CN300:CO300),IF('Proposed Lighting'!CX300&gt;0,'Proposed Lighting'!CX300*'Proposed Lighting'!AA300,0))))),2)),0)</f>
        <v>0</v>
      </c>
      <c r="S303" s="99">
        <f>IF('Proposed Lighting'!AJ300&gt;0,'Proposed Lighting'!AJ300*J303,'Proposed Lighting'!$AU$328*J303)</f>
        <v>0</v>
      </c>
      <c r="T303" s="602">
        <f t="shared" si="62"/>
        <v>0</v>
      </c>
      <c r="U303" s="100"/>
      <c r="V303" s="99">
        <f t="shared" si="63"/>
        <v>0</v>
      </c>
      <c r="W303" s="99">
        <f t="shared" si="64"/>
        <v>0</v>
      </c>
      <c r="X303" s="99">
        <f t="shared" si="65"/>
        <v>0</v>
      </c>
      <c r="Y303" s="99"/>
      <c r="Z303" s="99">
        <f t="shared" si="71"/>
        <v>0</v>
      </c>
      <c r="AA303" s="99"/>
      <c r="AB303" s="99">
        <f t="shared" si="66"/>
        <v>0</v>
      </c>
      <c r="AC303" s="101" t="str">
        <f t="shared" si="67"/>
        <v/>
      </c>
      <c r="AD303" s="101" t="str">
        <f t="shared" si="68"/>
        <v/>
      </c>
      <c r="AE303" s="101" t="str">
        <f t="shared" si="69"/>
        <v/>
      </c>
      <c r="AF303" s="72"/>
      <c r="AG303" s="98">
        <f>IFERROR(IF($AV303="No",0,IF($AV303="yes",Summary!Q303,"")),"")</f>
        <v>0</v>
      </c>
      <c r="AH303" s="99">
        <f>IFERROR(IF($AV303="No",0,IF($AV303="yes",Summary!R303,"")),"")</f>
        <v>0</v>
      </c>
      <c r="AI303" s="99">
        <f>IFERROR(IF($AV303="No",0,IF($AV303="yes",Summary!S303,"")),"")</f>
        <v>0</v>
      </c>
      <c r="AJ303" s="602">
        <f>IFERROR(IF($AV303="No",0,IF($AV303="yes",Summary!T303,"")),"")</f>
        <v>0</v>
      </c>
      <c r="AK303" s="100">
        <f>IFERROR(IF($AV303="No",0,IF($AV303="yes",Summary!U303,"")),"")</f>
        <v>0</v>
      </c>
      <c r="AL303" s="99">
        <f>IFERROR(IF($AV303="No",0,IF($AV303="yes",Summary!V303,"")),"")</f>
        <v>0</v>
      </c>
      <c r="AM303" s="99">
        <f>IFERROR(IF($AV303="No",0,IF($AV303="yes",Summary!W303,"")),"")</f>
        <v>0</v>
      </c>
      <c r="AN303" s="99">
        <f>IFERROR(IF($AV303="No",0,IF($AV303="yes",Summary!X303,"")),"")</f>
        <v>0</v>
      </c>
      <c r="AO303" s="99">
        <f>IFERROR(IF($AV303="No",0,IF($AV303="yes",Summary!Y303+Z303,"")),"")</f>
        <v>0</v>
      </c>
      <c r="AP303" s="99">
        <f>IFERROR(IF($AV303="No",0,IF($AV303="yes",Summary!AB303,"")),"")</f>
        <v>0</v>
      </c>
      <c r="AQ303" s="101" t="str">
        <f t="shared" si="72"/>
        <v/>
      </c>
      <c r="AR303" s="101" t="str">
        <f t="shared" si="73"/>
        <v/>
      </c>
      <c r="AS303" s="101" t="str">
        <f t="shared" si="74"/>
        <v/>
      </c>
      <c r="AT303" s="96" t="s">
        <v>717</v>
      </c>
      <c r="AV303" t="str">
        <f>IF('Proposed Lighting'!CN300&gt;0,"No","Yes")</f>
        <v>Yes</v>
      </c>
    </row>
    <row r="304" spans="1:48" ht="34.5" customHeight="1" outlineLevel="1">
      <c r="A304" s="96" t="s">
        <v>718</v>
      </c>
      <c r="B304" s="96" t="str">
        <f>IF(ISNUMBER(SEARCH("case",E304)),"COM_MISC_REFR_ALL_UNKN1991",IF('Proposed Lighting'!AU301=3,"Commercial-All Com-ExtLight",IF('Proposed Lighting'!AH301&gt;8759,"IPC_8760","Commercial-All Com-IntLight")))</f>
        <v>IPC_8760</v>
      </c>
      <c r="C304" s="96" t="str">
        <f>IF(OR('Proposed Lighting'!DD301="Standard Incentive",'Proposed Lighting'!DD301="Non-Standard Incentive"),"Yes",IF(AND(IF(ISNUMBER(SEARCH("controls",'Proposed Lighting'!T301)),"True","False")="False",'Proposed Lighting'!DD301="Submit Control as Non-Standard"),"Yes","No"))</f>
        <v>No</v>
      </c>
      <c r="D304" s="1403">
        <f>'Proposed Lighting'!CV301-Q304</f>
        <v>0</v>
      </c>
      <c r="E304" s="143">
        <f>'Proposed Lighting'!T301</f>
        <v>0</v>
      </c>
      <c r="F304" s="143">
        <f>'Proposed Lighting'!F301</f>
        <v>0</v>
      </c>
      <c r="G304" s="96" t="s">
        <v>242</v>
      </c>
      <c r="H304" s="142" t="str">
        <f>'Proposed Lighting'!CP301</f>
        <v/>
      </c>
      <c r="I304" s="98">
        <v>1</v>
      </c>
      <c r="J304" s="142">
        <f>'Proposed Lighting'!AA301</f>
        <v>0</v>
      </c>
      <c r="K304" s="142" t="str">
        <f>IF(ISNUMBER(SEARCH("-C",'Proposed Lighting'!M301)),'Proposed Lighting'!AH301*0.9,'Proposed Lighting'!AH301)</f>
        <v/>
      </c>
      <c r="L304" s="142">
        <f>IFERROR(IF(OR('Proposed Lighting'!BC301=22,'Proposed Lighting'!BC301=44),1-25%,IF(OR('Proposed Lighting'!BC301=23,'Proposed Lighting'!BC301=46),1-30%,IF(OR('Proposed Lighting'!BC301=29,'Proposed Lighting'!BC301=39,'Proposed Lighting'!BC301=49),1-35%,IF(OR('Proposed Lighting'!BC301=24,'Proposed Lighting'!BC301=48),1-50%,IF(AND(ISNUMBER(SEARCH("-C",'Proposed Lighting'!M301)),'Proposed Lighting'!AU301=2),90%,100%)))))*'Proposed Lighting'!AH301,0)</f>
        <v>0</v>
      </c>
      <c r="M304" s="87">
        <f t="shared" si="60"/>
        <v>0</v>
      </c>
      <c r="N304" s="87">
        <f>IFERROR(IF('Proposed Lighting'!AU301=1,0,'Proposed Lighting'!AO301),0)</f>
        <v>0</v>
      </c>
      <c r="O304" s="88">
        <f>IF('Proposed Lighting'!AU301=1,0,'Proposed Lighting'!AP301)</f>
        <v>0</v>
      </c>
      <c r="P304" s="87">
        <f t="shared" si="61"/>
        <v>0</v>
      </c>
      <c r="Q304" s="98">
        <f t="shared" si="70"/>
        <v>0</v>
      </c>
      <c r="R304" s="99">
        <f>IFERROR(IF('Proposed Lighting'!T301="Lighting controls only",0,ROUND(IF('Proposed Lighting'!AQ301&lt;'Proposed Lighting'!AR301,0,IF('Proposed Lighting'!AH301=0,0,IF('Proposed Lighting'!BV301&gt;0,'Proposed Lighting'!BV301,IF('Proposed Lighting'!CL301=0,MIN('Proposed Lighting'!CN301:CO301),IF('Proposed Lighting'!CX301&gt;0,'Proposed Lighting'!CX301*'Proposed Lighting'!AA301,0))))),2)),0)</f>
        <v>0</v>
      </c>
      <c r="S304" s="99">
        <f>IF('Proposed Lighting'!AJ301&gt;0,'Proposed Lighting'!AJ301*J304,'Proposed Lighting'!$AU$328*J304)</f>
        <v>0</v>
      </c>
      <c r="T304" s="602">
        <f t="shared" si="62"/>
        <v>0</v>
      </c>
      <c r="U304" s="100"/>
      <c r="V304" s="99">
        <f t="shared" si="63"/>
        <v>0</v>
      </c>
      <c r="W304" s="99">
        <f t="shared" si="64"/>
        <v>0</v>
      </c>
      <c r="X304" s="99">
        <f t="shared" si="65"/>
        <v>0</v>
      </c>
      <c r="Y304" s="99"/>
      <c r="Z304" s="99">
        <f t="shared" si="71"/>
        <v>0</v>
      </c>
      <c r="AA304" s="99"/>
      <c r="AB304" s="99">
        <f t="shared" si="66"/>
        <v>0</v>
      </c>
      <c r="AC304" s="101" t="str">
        <f t="shared" si="67"/>
        <v/>
      </c>
      <c r="AD304" s="101" t="str">
        <f t="shared" si="68"/>
        <v/>
      </c>
      <c r="AE304" s="101" t="str">
        <f t="shared" si="69"/>
        <v/>
      </c>
      <c r="AF304" s="72"/>
      <c r="AG304" s="98">
        <f>IFERROR(IF($AV304="No",0,IF($AV304="yes",Summary!Q304,"")),"")</f>
        <v>0</v>
      </c>
      <c r="AH304" s="99">
        <f>IFERROR(IF($AV304="No",0,IF($AV304="yes",Summary!R304,"")),"")</f>
        <v>0</v>
      </c>
      <c r="AI304" s="99">
        <f>IFERROR(IF($AV304="No",0,IF($AV304="yes",Summary!S304,"")),"")</f>
        <v>0</v>
      </c>
      <c r="AJ304" s="602">
        <f>IFERROR(IF($AV304="No",0,IF($AV304="yes",Summary!T304,"")),"")</f>
        <v>0</v>
      </c>
      <c r="AK304" s="100">
        <f>IFERROR(IF($AV304="No",0,IF($AV304="yes",Summary!U304,"")),"")</f>
        <v>0</v>
      </c>
      <c r="AL304" s="99">
        <f>IFERROR(IF($AV304="No",0,IF($AV304="yes",Summary!V304,"")),"")</f>
        <v>0</v>
      </c>
      <c r="AM304" s="99">
        <f>IFERROR(IF($AV304="No",0,IF($AV304="yes",Summary!W304,"")),"")</f>
        <v>0</v>
      </c>
      <c r="AN304" s="99">
        <f>IFERROR(IF($AV304="No",0,IF($AV304="yes",Summary!X304,"")),"")</f>
        <v>0</v>
      </c>
      <c r="AO304" s="99">
        <f>IFERROR(IF($AV304="No",0,IF($AV304="yes",Summary!Y304+Z304,"")),"")</f>
        <v>0</v>
      </c>
      <c r="AP304" s="99">
        <f>IFERROR(IF($AV304="No",0,IF($AV304="yes",Summary!AB304,"")),"")</f>
        <v>0</v>
      </c>
      <c r="AQ304" s="101" t="str">
        <f t="shared" si="72"/>
        <v/>
      </c>
      <c r="AR304" s="101" t="str">
        <f t="shared" si="73"/>
        <v/>
      </c>
      <c r="AS304" s="101" t="str">
        <f t="shared" si="74"/>
        <v/>
      </c>
      <c r="AT304" s="96" t="s">
        <v>718</v>
      </c>
      <c r="AV304" t="str">
        <f>IF('Proposed Lighting'!CN301&gt;0,"No","Yes")</f>
        <v>Yes</v>
      </c>
    </row>
    <row r="305" spans="1:48" ht="34.5" customHeight="1" outlineLevel="1">
      <c r="A305" s="96" t="s">
        <v>719</v>
      </c>
      <c r="B305" s="96" t="str">
        <f>IF(ISNUMBER(SEARCH("case",E305)),"COM_MISC_REFR_ALL_UNKN1991",IF('Proposed Lighting'!AU302=3,"Commercial-All Com-ExtLight",IF('Proposed Lighting'!AH302&gt;8759,"IPC_8760","Commercial-All Com-IntLight")))</f>
        <v>IPC_8760</v>
      </c>
      <c r="C305" s="96" t="str">
        <f>IF(OR('Proposed Lighting'!DD302="Standard Incentive",'Proposed Lighting'!DD302="Non-Standard Incentive"),"Yes",IF(AND(IF(ISNUMBER(SEARCH("controls",'Proposed Lighting'!T302)),"True","False")="False",'Proposed Lighting'!DD302="Submit Control as Non-Standard"),"Yes","No"))</f>
        <v>No</v>
      </c>
      <c r="D305" s="1403">
        <f>'Proposed Lighting'!CV302-Q305</f>
        <v>0</v>
      </c>
      <c r="E305" s="143">
        <f>'Proposed Lighting'!T302</f>
        <v>0</v>
      </c>
      <c r="F305" s="143">
        <f>'Proposed Lighting'!F302</f>
        <v>0</v>
      </c>
      <c r="G305" s="96" t="s">
        <v>242</v>
      </c>
      <c r="H305" s="142" t="str">
        <f>'Proposed Lighting'!CP302</f>
        <v/>
      </c>
      <c r="I305" s="98">
        <v>1</v>
      </c>
      <c r="J305" s="142">
        <f>'Proposed Lighting'!AA302</f>
        <v>0</v>
      </c>
      <c r="K305" s="142" t="str">
        <f>IF(ISNUMBER(SEARCH("-C",'Proposed Lighting'!M302)),'Proposed Lighting'!AH302*0.9,'Proposed Lighting'!AH302)</f>
        <v/>
      </c>
      <c r="L305" s="142">
        <f>IFERROR(IF(OR('Proposed Lighting'!BC302=22,'Proposed Lighting'!BC302=44),1-25%,IF(OR('Proposed Lighting'!BC302=23,'Proposed Lighting'!BC302=46),1-30%,IF(OR('Proposed Lighting'!BC302=29,'Proposed Lighting'!BC302=39,'Proposed Lighting'!BC302=49),1-35%,IF(OR('Proposed Lighting'!BC302=24,'Proposed Lighting'!BC302=48),1-50%,IF(AND(ISNUMBER(SEARCH("-C",'Proposed Lighting'!M302)),'Proposed Lighting'!AU302=2),90%,100%)))))*'Proposed Lighting'!AH302,0)</f>
        <v>0</v>
      </c>
      <c r="M305" s="87">
        <f t="shared" si="60"/>
        <v>0</v>
      </c>
      <c r="N305" s="87">
        <f>IFERROR(IF('Proposed Lighting'!AU302=1,0,'Proposed Lighting'!AO302),0)</f>
        <v>0</v>
      </c>
      <c r="O305" s="88">
        <f>IF('Proposed Lighting'!AU302=1,0,'Proposed Lighting'!AP302)</f>
        <v>0</v>
      </c>
      <c r="P305" s="87">
        <f t="shared" si="61"/>
        <v>0</v>
      </c>
      <c r="Q305" s="98">
        <f t="shared" si="70"/>
        <v>0</v>
      </c>
      <c r="R305" s="99">
        <f>IFERROR(IF('Proposed Lighting'!T302="Lighting controls only",0,ROUND(IF('Proposed Lighting'!AQ302&lt;'Proposed Lighting'!AR302,0,IF('Proposed Lighting'!AH302=0,0,IF('Proposed Lighting'!BV302&gt;0,'Proposed Lighting'!BV302,IF('Proposed Lighting'!CL302=0,MIN('Proposed Lighting'!CN302:CO302),IF('Proposed Lighting'!CX302&gt;0,'Proposed Lighting'!CX302*'Proposed Lighting'!AA302,0))))),2)),0)</f>
        <v>0</v>
      </c>
      <c r="S305" s="99">
        <f>IF('Proposed Lighting'!AJ302&gt;0,'Proposed Lighting'!AJ302*J305,'Proposed Lighting'!$AU$328*J305)</f>
        <v>0</v>
      </c>
      <c r="T305" s="602">
        <f t="shared" si="62"/>
        <v>0</v>
      </c>
      <c r="U305" s="100"/>
      <c r="V305" s="99">
        <f t="shared" si="63"/>
        <v>0</v>
      </c>
      <c r="W305" s="99">
        <f t="shared" si="64"/>
        <v>0</v>
      </c>
      <c r="X305" s="99">
        <f t="shared" si="65"/>
        <v>0</v>
      </c>
      <c r="Y305" s="99"/>
      <c r="Z305" s="99">
        <f t="shared" si="71"/>
        <v>0</v>
      </c>
      <c r="AA305" s="99"/>
      <c r="AB305" s="99">
        <f t="shared" si="66"/>
        <v>0</v>
      </c>
      <c r="AC305" s="101" t="str">
        <f t="shared" si="67"/>
        <v/>
      </c>
      <c r="AD305" s="101" t="str">
        <f t="shared" si="68"/>
        <v/>
      </c>
      <c r="AE305" s="101" t="str">
        <f t="shared" si="69"/>
        <v/>
      </c>
      <c r="AF305" s="72"/>
      <c r="AG305" s="98">
        <f>IFERROR(IF($AV305="No",0,IF($AV305="yes",Summary!Q305,"")),"")</f>
        <v>0</v>
      </c>
      <c r="AH305" s="99">
        <f>IFERROR(IF($AV305="No",0,IF($AV305="yes",Summary!R305,"")),"")</f>
        <v>0</v>
      </c>
      <c r="AI305" s="99">
        <f>IFERROR(IF($AV305="No",0,IF($AV305="yes",Summary!S305,"")),"")</f>
        <v>0</v>
      </c>
      <c r="AJ305" s="602">
        <f>IFERROR(IF($AV305="No",0,IF($AV305="yes",Summary!T305,"")),"")</f>
        <v>0</v>
      </c>
      <c r="AK305" s="100">
        <f>IFERROR(IF($AV305="No",0,IF($AV305="yes",Summary!U305,"")),"")</f>
        <v>0</v>
      </c>
      <c r="AL305" s="99">
        <f>IFERROR(IF($AV305="No",0,IF($AV305="yes",Summary!V305,"")),"")</f>
        <v>0</v>
      </c>
      <c r="AM305" s="99">
        <f>IFERROR(IF($AV305="No",0,IF($AV305="yes",Summary!W305,"")),"")</f>
        <v>0</v>
      </c>
      <c r="AN305" s="99">
        <f>IFERROR(IF($AV305="No",0,IF($AV305="yes",Summary!X305,"")),"")</f>
        <v>0</v>
      </c>
      <c r="AO305" s="99">
        <f>IFERROR(IF($AV305="No",0,IF($AV305="yes",Summary!Y305+Z305,"")),"")</f>
        <v>0</v>
      </c>
      <c r="AP305" s="99">
        <f>IFERROR(IF($AV305="No",0,IF($AV305="yes",Summary!AB305,"")),"")</f>
        <v>0</v>
      </c>
      <c r="AQ305" s="101" t="str">
        <f t="shared" si="72"/>
        <v/>
      </c>
      <c r="AR305" s="101" t="str">
        <f t="shared" si="73"/>
        <v/>
      </c>
      <c r="AS305" s="101" t="str">
        <f t="shared" si="74"/>
        <v/>
      </c>
      <c r="AT305" s="96" t="s">
        <v>719</v>
      </c>
      <c r="AV305" t="str">
        <f>IF('Proposed Lighting'!CN302&gt;0,"No","Yes")</f>
        <v>Yes</v>
      </c>
    </row>
    <row r="306" spans="1:48" ht="34.5" customHeight="1" outlineLevel="1">
      <c r="A306" s="96" t="s">
        <v>720</v>
      </c>
      <c r="B306" s="96" t="str">
        <f>IF(ISNUMBER(SEARCH("case",E306)),"COM_MISC_REFR_ALL_UNKN1991",IF('Proposed Lighting'!AU303=3,"Commercial-All Com-ExtLight",IF('Proposed Lighting'!AH303&gt;8759,"IPC_8760","Commercial-All Com-IntLight")))</f>
        <v>IPC_8760</v>
      </c>
      <c r="C306" s="96" t="str">
        <f>IF(OR('Proposed Lighting'!DD303="Standard Incentive",'Proposed Lighting'!DD303="Non-Standard Incentive"),"Yes",IF(AND(IF(ISNUMBER(SEARCH("controls",'Proposed Lighting'!T303)),"True","False")="False",'Proposed Lighting'!DD303="Submit Control as Non-Standard"),"Yes","No"))</f>
        <v>No</v>
      </c>
      <c r="D306" s="1403">
        <f>'Proposed Lighting'!CV303-Q306</f>
        <v>0</v>
      </c>
      <c r="E306" s="143">
        <f>'Proposed Lighting'!T303</f>
        <v>0</v>
      </c>
      <c r="F306" s="143">
        <f>'Proposed Lighting'!F303</f>
        <v>0</v>
      </c>
      <c r="G306" s="96" t="s">
        <v>242</v>
      </c>
      <c r="H306" s="142" t="str">
        <f>'Proposed Lighting'!CP303</f>
        <v/>
      </c>
      <c r="I306" s="98">
        <v>1</v>
      </c>
      <c r="J306" s="142">
        <f>'Proposed Lighting'!AA303</f>
        <v>0</v>
      </c>
      <c r="K306" s="142" t="str">
        <f>IF(ISNUMBER(SEARCH("-C",'Proposed Lighting'!M303)),'Proposed Lighting'!AH303*0.9,'Proposed Lighting'!AH303)</f>
        <v/>
      </c>
      <c r="L306" s="142">
        <f>IFERROR(IF(OR('Proposed Lighting'!BC303=22,'Proposed Lighting'!BC303=44),1-25%,IF(OR('Proposed Lighting'!BC303=23,'Proposed Lighting'!BC303=46),1-30%,IF(OR('Proposed Lighting'!BC303=29,'Proposed Lighting'!BC303=39,'Proposed Lighting'!BC303=49),1-35%,IF(OR('Proposed Lighting'!BC303=24,'Proposed Lighting'!BC303=48),1-50%,IF(AND(ISNUMBER(SEARCH("-C",'Proposed Lighting'!M303)),'Proposed Lighting'!AU303=2),90%,100%)))))*'Proposed Lighting'!AH303,0)</f>
        <v>0</v>
      </c>
      <c r="M306" s="87">
        <f t="shared" si="60"/>
        <v>0</v>
      </c>
      <c r="N306" s="87">
        <f>IFERROR(IF('Proposed Lighting'!AU303=1,0,'Proposed Lighting'!AO303),0)</f>
        <v>0</v>
      </c>
      <c r="O306" s="88">
        <f>IF('Proposed Lighting'!AU303=1,0,'Proposed Lighting'!AP303)</f>
        <v>0</v>
      </c>
      <c r="P306" s="87">
        <f t="shared" si="61"/>
        <v>0</v>
      </c>
      <c r="Q306" s="98">
        <f t="shared" si="70"/>
        <v>0</v>
      </c>
      <c r="R306" s="99">
        <f>IFERROR(IF('Proposed Lighting'!T303="Lighting controls only",0,ROUND(IF('Proposed Lighting'!AQ303&lt;'Proposed Lighting'!AR303,0,IF('Proposed Lighting'!AH303=0,0,IF('Proposed Lighting'!BV303&gt;0,'Proposed Lighting'!BV303,IF('Proposed Lighting'!CL303=0,MIN('Proposed Lighting'!CN303:CO303),IF('Proposed Lighting'!CX303&gt;0,'Proposed Lighting'!CX303*'Proposed Lighting'!AA303,0))))),2)),0)</f>
        <v>0</v>
      </c>
      <c r="S306" s="99">
        <f>IF('Proposed Lighting'!AJ303&gt;0,'Proposed Lighting'!AJ303*J306,'Proposed Lighting'!$AU$328*J306)</f>
        <v>0</v>
      </c>
      <c r="T306" s="602">
        <f t="shared" si="62"/>
        <v>0</v>
      </c>
      <c r="U306" s="100"/>
      <c r="V306" s="99">
        <f t="shared" si="63"/>
        <v>0</v>
      </c>
      <c r="W306" s="99">
        <f t="shared" si="64"/>
        <v>0</v>
      </c>
      <c r="X306" s="99">
        <f t="shared" si="65"/>
        <v>0</v>
      </c>
      <c r="Y306" s="99"/>
      <c r="Z306" s="99">
        <f t="shared" si="71"/>
        <v>0</v>
      </c>
      <c r="AA306" s="99"/>
      <c r="AB306" s="99">
        <f t="shared" si="66"/>
        <v>0</v>
      </c>
      <c r="AC306" s="101" t="str">
        <f t="shared" si="67"/>
        <v/>
      </c>
      <c r="AD306" s="101" t="str">
        <f t="shared" si="68"/>
        <v/>
      </c>
      <c r="AE306" s="101" t="str">
        <f t="shared" si="69"/>
        <v/>
      </c>
      <c r="AF306" s="72"/>
      <c r="AG306" s="98">
        <f>IFERROR(IF($AV306="No",0,IF($AV306="yes",Summary!Q306,"")),"")</f>
        <v>0</v>
      </c>
      <c r="AH306" s="99">
        <f>IFERROR(IF($AV306="No",0,IF($AV306="yes",Summary!R306,"")),"")</f>
        <v>0</v>
      </c>
      <c r="AI306" s="99">
        <f>IFERROR(IF($AV306="No",0,IF($AV306="yes",Summary!S306,"")),"")</f>
        <v>0</v>
      </c>
      <c r="AJ306" s="602">
        <f>IFERROR(IF($AV306="No",0,IF($AV306="yes",Summary!T306,"")),"")</f>
        <v>0</v>
      </c>
      <c r="AK306" s="100">
        <f>IFERROR(IF($AV306="No",0,IF($AV306="yes",Summary!U306,"")),"")</f>
        <v>0</v>
      </c>
      <c r="AL306" s="99">
        <f>IFERROR(IF($AV306="No",0,IF($AV306="yes",Summary!V306,"")),"")</f>
        <v>0</v>
      </c>
      <c r="AM306" s="99">
        <f>IFERROR(IF($AV306="No",0,IF($AV306="yes",Summary!W306,"")),"")</f>
        <v>0</v>
      </c>
      <c r="AN306" s="99">
        <f>IFERROR(IF($AV306="No",0,IF($AV306="yes",Summary!X306,"")),"")</f>
        <v>0</v>
      </c>
      <c r="AO306" s="99">
        <f>IFERROR(IF($AV306="No",0,IF($AV306="yes",Summary!Y306+Z306,"")),"")</f>
        <v>0</v>
      </c>
      <c r="AP306" s="99">
        <f>IFERROR(IF($AV306="No",0,IF($AV306="yes",Summary!AB306,"")),"")</f>
        <v>0</v>
      </c>
      <c r="AQ306" s="101" t="str">
        <f t="shared" si="72"/>
        <v/>
      </c>
      <c r="AR306" s="101" t="str">
        <f t="shared" si="73"/>
        <v/>
      </c>
      <c r="AS306" s="101" t="str">
        <f t="shared" si="74"/>
        <v/>
      </c>
      <c r="AT306" s="96" t="s">
        <v>720</v>
      </c>
      <c r="AV306" t="str">
        <f>IF('Proposed Lighting'!CN303&gt;0,"No","Yes")</f>
        <v>Yes</v>
      </c>
    </row>
    <row r="307" spans="1:48" ht="34.5" customHeight="1" outlineLevel="1">
      <c r="A307" s="96" t="s">
        <v>721</v>
      </c>
      <c r="B307" s="96" t="str">
        <f>IF(ISNUMBER(SEARCH("case",E307)),"COM_MISC_REFR_ALL_UNKN1991",IF('Proposed Lighting'!AU304=3,"Commercial-All Com-ExtLight",IF('Proposed Lighting'!AH304&gt;8759,"IPC_8760","Commercial-All Com-IntLight")))</f>
        <v>IPC_8760</v>
      </c>
      <c r="C307" s="96" t="str">
        <f>IF(OR('Proposed Lighting'!DD304="Standard Incentive",'Proposed Lighting'!DD304="Non-Standard Incentive"),"Yes",IF(AND(IF(ISNUMBER(SEARCH("controls",'Proposed Lighting'!T304)),"True","False")="False",'Proposed Lighting'!DD304="Submit Control as Non-Standard"),"Yes","No"))</f>
        <v>No</v>
      </c>
      <c r="D307" s="1403">
        <f>'Proposed Lighting'!CV304-Q307</f>
        <v>0</v>
      </c>
      <c r="E307" s="143">
        <f>'Proposed Lighting'!T304</f>
        <v>0</v>
      </c>
      <c r="F307" s="143">
        <f>'Proposed Lighting'!F304</f>
        <v>0</v>
      </c>
      <c r="G307" s="96" t="s">
        <v>242</v>
      </c>
      <c r="H307" s="142" t="str">
        <f>'Proposed Lighting'!CP304</f>
        <v/>
      </c>
      <c r="I307" s="98">
        <v>1</v>
      </c>
      <c r="J307" s="142">
        <f>'Proposed Lighting'!AA304</f>
        <v>0</v>
      </c>
      <c r="K307" s="142" t="str">
        <f>IF(ISNUMBER(SEARCH("-C",'Proposed Lighting'!M304)),'Proposed Lighting'!AH304*0.9,'Proposed Lighting'!AH304)</f>
        <v/>
      </c>
      <c r="L307" s="142">
        <f>IFERROR(IF(OR('Proposed Lighting'!BC304=22,'Proposed Lighting'!BC304=44),1-25%,IF(OR('Proposed Lighting'!BC304=23,'Proposed Lighting'!BC304=46),1-30%,IF(OR('Proposed Lighting'!BC304=29,'Proposed Lighting'!BC304=39,'Proposed Lighting'!BC304=49),1-35%,IF(OR('Proposed Lighting'!BC304=24,'Proposed Lighting'!BC304=48),1-50%,IF(AND(ISNUMBER(SEARCH("-C",'Proposed Lighting'!M304)),'Proposed Lighting'!AU304=2),90%,100%)))))*'Proposed Lighting'!AH304,0)</f>
        <v>0</v>
      </c>
      <c r="M307" s="87">
        <f t="shared" si="60"/>
        <v>0</v>
      </c>
      <c r="N307" s="87">
        <f>IFERROR(IF('Proposed Lighting'!AU304=1,0,'Proposed Lighting'!AO304),0)</f>
        <v>0</v>
      </c>
      <c r="O307" s="88">
        <f>IF('Proposed Lighting'!AU304=1,0,'Proposed Lighting'!AP304)</f>
        <v>0</v>
      </c>
      <c r="P307" s="87">
        <f t="shared" si="61"/>
        <v>0</v>
      </c>
      <c r="Q307" s="98">
        <f t="shared" si="70"/>
        <v>0</v>
      </c>
      <c r="R307" s="99">
        <f>IFERROR(IF('Proposed Lighting'!T304="Lighting controls only",0,ROUND(IF('Proposed Lighting'!AQ304&lt;'Proposed Lighting'!AR304,0,IF('Proposed Lighting'!AH304=0,0,IF('Proposed Lighting'!BV304&gt;0,'Proposed Lighting'!BV304,IF('Proposed Lighting'!CL304=0,MIN('Proposed Lighting'!CN304:CO304),IF('Proposed Lighting'!CX304&gt;0,'Proposed Lighting'!CX304*'Proposed Lighting'!AA304,0))))),2)),0)</f>
        <v>0</v>
      </c>
      <c r="S307" s="99">
        <f>IF('Proposed Lighting'!AJ304&gt;0,'Proposed Lighting'!AJ304*J307,'Proposed Lighting'!$AU$328*J307)</f>
        <v>0</v>
      </c>
      <c r="T307" s="602">
        <f t="shared" si="62"/>
        <v>0</v>
      </c>
      <c r="U307" s="100"/>
      <c r="V307" s="99">
        <f t="shared" si="63"/>
        <v>0</v>
      </c>
      <c r="W307" s="99">
        <f t="shared" si="64"/>
        <v>0</v>
      </c>
      <c r="X307" s="99">
        <f t="shared" si="65"/>
        <v>0</v>
      </c>
      <c r="Y307" s="99"/>
      <c r="Z307" s="99">
        <f t="shared" si="71"/>
        <v>0</v>
      </c>
      <c r="AA307" s="99"/>
      <c r="AB307" s="99">
        <f t="shared" si="66"/>
        <v>0</v>
      </c>
      <c r="AC307" s="101" t="str">
        <f t="shared" si="67"/>
        <v/>
      </c>
      <c r="AD307" s="101" t="str">
        <f t="shared" si="68"/>
        <v/>
      </c>
      <c r="AE307" s="101" t="str">
        <f t="shared" si="69"/>
        <v/>
      </c>
      <c r="AF307" s="72"/>
      <c r="AG307" s="98">
        <f>IFERROR(IF($AV307="No",0,IF($AV307="yes",Summary!Q307,"")),"")</f>
        <v>0</v>
      </c>
      <c r="AH307" s="99">
        <f>IFERROR(IF($AV307="No",0,IF($AV307="yes",Summary!R307,"")),"")</f>
        <v>0</v>
      </c>
      <c r="AI307" s="99">
        <f>IFERROR(IF($AV307="No",0,IF($AV307="yes",Summary!S307,"")),"")</f>
        <v>0</v>
      </c>
      <c r="AJ307" s="602">
        <f>IFERROR(IF($AV307="No",0,IF($AV307="yes",Summary!T307,"")),"")</f>
        <v>0</v>
      </c>
      <c r="AK307" s="100">
        <f>IFERROR(IF($AV307="No",0,IF($AV307="yes",Summary!U307,"")),"")</f>
        <v>0</v>
      </c>
      <c r="AL307" s="99">
        <f>IFERROR(IF($AV307="No",0,IF($AV307="yes",Summary!V307,"")),"")</f>
        <v>0</v>
      </c>
      <c r="AM307" s="99">
        <f>IFERROR(IF($AV307="No",0,IF($AV307="yes",Summary!W307,"")),"")</f>
        <v>0</v>
      </c>
      <c r="AN307" s="99">
        <f>IFERROR(IF($AV307="No",0,IF($AV307="yes",Summary!X307,"")),"")</f>
        <v>0</v>
      </c>
      <c r="AO307" s="99">
        <f>IFERROR(IF($AV307="No",0,IF($AV307="yes",Summary!Y307+Z307,"")),"")</f>
        <v>0</v>
      </c>
      <c r="AP307" s="99">
        <f>IFERROR(IF($AV307="No",0,IF($AV307="yes",Summary!AB307,"")),"")</f>
        <v>0</v>
      </c>
      <c r="AQ307" s="101" t="str">
        <f t="shared" si="72"/>
        <v/>
      </c>
      <c r="AR307" s="101" t="str">
        <f t="shared" si="73"/>
        <v/>
      </c>
      <c r="AS307" s="101" t="str">
        <f t="shared" si="74"/>
        <v/>
      </c>
      <c r="AT307" s="96" t="s">
        <v>721</v>
      </c>
      <c r="AV307" t="str">
        <f>IF('Proposed Lighting'!CN304&gt;0,"No","Yes")</f>
        <v>Yes</v>
      </c>
    </row>
    <row r="308" spans="1:48" ht="34.5" customHeight="1" outlineLevel="1">
      <c r="A308" s="96" t="s">
        <v>722</v>
      </c>
      <c r="B308" s="96" t="str">
        <f>IF(ISNUMBER(SEARCH("case",E308)),"COM_MISC_REFR_ALL_UNKN1991",IF('Proposed Lighting'!AU305=3,"Commercial-All Com-ExtLight",IF('Proposed Lighting'!AH305&gt;8759,"IPC_8760","Commercial-All Com-IntLight")))</f>
        <v>IPC_8760</v>
      </c>
      <c r="C308" s="96" t="str">
        <f>IF(OR('Proposed Lighting'!DD305="Standard Incentive",'Proposed Lighting'!DD305="Non-Standard Incentive"),"Yes",IF(AND(IF(ISNUMBER(SEARCH("controls",'Proposed Lighting'!T305)),"True","False")="False",'Proposed Lighting'!DD305="Submit Control as Non-Standard"),"Yes","No"))</f>
        <v>No</v>
      </c>
      <c r="D308" s="1403">
        <f>'Proposed Lighting'!CV305-Q308</f>
        <v>0</v>
      </c>
      <c r="E308" s="143">
        <f>'Proposed Lighting'!T305</f>
        <v>0</v>
      </c>
      <c r="F308" s="143">
        <f>'Proposed Lighting'!F305</f>
        <v>0</v>
      </c>
      <c r="G308" s="96" t="s">
        <v>242</v>
      </c>
      <c r="H308" s="142" t="str">
        <f>'Proposed Lighting'!CP305</f>
        <v/>
      </c>
      <c r="I308" s="98">
        <v>1</v>
      </c>
      <c r="J308" s="142">
        <f>'Proposed Lighting'!AA305</f>
        <v>0</v>
      </c>
      <c r="K308" s="142" t="str">
        <f>IF(ISNUMBER(SEARCH("-C",'Proposed Lighting'!M305)),'Proposed Lighting'!AH305*0.9,'Proposed Lighting'!AH305)</f>
        <v/>
      </c>
      <c r="L308" s="142">
        <f>IFERROR(IF(OR('Proposed Lighting'!BC305=22,'Proposed Lighting'!BC305=44),1-25%,IF(OR('Proposed Lighting'!BC305=23,'Proposed Lighting'!BC305=46),1-30%,IF(OR('Proposed Lighting'!BC305=29,'Proposed Lighting'!BC305=39,'Proposed Lighting'!BC305=49),1-35%,IF(OR('Proposed Lighting'!BC305=24,'Proposed Lighting'!BC305=48),1-50%,IF(AND(ISNUMBER(SEARCH("-C",'Proposed Lighting'!M305)),'Proposed Lighting'!AU305=2),90%,100%)))))*'Proposed Lighting'!AH305,0)</f>
        <v>0</v>
      </c>
      <c r="M308" s="87">
        <f t="shared" si="60"/>
        <v>0</v>
      </c>
      <c r="N308" s="87">
        <f>IFERROR(IF('Proposed Lighting'!AU305=1,0,'Proposed Lighting'!AO305),0)</f>
        <v>0</v>
      </c>
      <c r="O308" s="88">
        <f>IF('Proposed Lighting'!AU305=1,0,'Proposed Lighting'!AP305)</f>
        <v>0</v>
      </c>
      <c r="P308" s="87">
        <f t="shared" si="61"/>
        <v>0</v>
      </c>
      <c r="Q308" s="98">
        <f t="shared" si="70"/>
        <v>0</v>
      </c>
      <c r="R308" s="99">
        <f>IFERROR(IF('Proposed Lighting'!T305="Lighting controls only",0,ROUND(IF('Proposed Lighting'!AQ305&lt;'Proposed Lighting'!AR305,0,IF('Proposed Lighting'!AH305=0,0,IF('Proposed Lighting'!BV305&gt;0,'Proposed Lighting'!BV305,IF('Proposed Lighting'!CL305=0,MIN('Proposed Lighting'!CN305:CO305),IF('Proposed Lighting'!CX305&gt;0,'Proposed Lighting'!CX305*'Proposed Lighting'!AA305,0))))),2)),0)</f>
        <v>0</v>
      </c>
      <c r="S308" s="99">
        <f>IF('Proposed Lighting'!AJ305&gt;0,'Proposed Lighting'!AJ305*J308,'Proposed Lighting'!$AU$328*J308)</f>
        <v>0</v>
      </c>
      <c r="T308" s="602">
        <f t="shared" si="62"/>
        <v>0</v>
      </c>
      <c r="U308" s="100"/>
      <c r="V308" s="99">
        <f t="shared" si="63"/>
        <v>0</v>
      </c>
      <c r="W308" s="99">
        <f t="shared" si="64"/>
        <v>0</v>
      </c>
      <c r="X308" s="99">
        <f t="shared" si="65"/>
        <v>0</v>
      </c>
      <c r="Y308" s="99"/>
      <c r="Z308" s="99">
        <f t="shared" si="71"/>
        <v>0</v>
      </c>
      <c r="AA308" s="99"/>
      <c r="AB308" s="99">
        <f t="shared" si="66"/>
        <v>0</v>
      </c>
      <c r="AC308" s="101" t="str">
        <f t="shared" si="67"/>
        <v/>
      </c>
      <c r="AD308" s="101" t="str">
        <f t="shared" si="68"/>
        <v/>
      </c>
      <c r="AE308" s="101" t="str">
        <f t="shared" si="69"/>
        <v/>
      </c>
      <c r="AF308" s="72"/>
      <c r="AG308" s="98">
        <f>IFERROR(IF($AV308="No",0,IF($AV308="yes",Summary!Q308,"")),"")</f>
        <v>0</v>
      </c>
      <c r="AH308" s="99">
        <f>IFERROR(IF($AV308="No",0,IF($AV308="yes",Summary!R308,"")),"")</f>
        <v>0</v>
      </c>
      <c r="AI308" s="99">
        <f>IFERROR(IF($AV308="No",0,IF($AV308="yes",Summary!S308,"")),"")</f>
        <v>0</v>
      </c>
      <c r="AJ308" s="602">
        <f>IFERROR(IF($AV308="No",0,IF($AV308="yes",Summary!T308,"")),"")</f>
        <v>0</v>
      </c>
      <c r="AK308" s="100">
        <f>IFERROR(IF($AV308="No",0,IF($AV308="yes",Summary!U308,"")),"")</f>
        <v>0</v>
      </c>
      <c r="AL308" s="99">
        <f>IFERROR(IF($AV308="No",0,IF($AV308="yes",Summary!V308,"")),"")</f>
        <v>0</v>
      </c>
      <c r="AM308" s="99">
        <f>IFERROR(IF($AV308="No",0,IF($AV308="yes",Summary!W308,"")),"")</f>
        <v>0</v>
      </c>
      <c r="AN308" s="99">
        <f>IFERROR(IF($AV308="No",0,IF($AV308="yes",Summary!X308,"")),"")</f>
        <v>0</v>
      </c>
      <c r="AO308" s="99">
        <f>IFERROR(IF($AV308="No",0,IF($AV308="yes",Summary!Y308+Z308,"")),"")</f>
        <v>0</v>
      </c>
      <c r="AP308" s="99">
        <f>IFERROR(IF($AV308="No",0,IF($AV308="yes",Summary!AB308,"")),"")</f>
        <v>0</v>
      </c>
      <c r="AQ308" s="101" t="str">
        <f t="shared" si="72"/>
        <v/>
      </c>
      <c r="AR308" s="101" t="str">
        <f t="shared" si="73"/>
        <v/>
      </c>
      <c r="AS308" s="101" t="str">
        <f t="shared" si="74"/>
        <v/>
      </c>
      <c r="AT308" s="96" t="s">
        <v>722</v>
      </c>
      <c r="AV308" t="str">
        <f>IF('Proposed Lighting'!CN305&gt;0,"No","Yes")</f>
        <v>Yes</v>
      </c>
    </row>
    <row r="309" spans="1:48" ht="34.5" customHeight="1" outlineLevel="1">
      <c r="A309" s="96" t="s">
        <v>723</v>
      </c>
      <c r="B309" s="96" t="str">
        <f>IF(ISNUMBER(SEARCH("case",E309)),"COM_MISC_REFR_ALL_UNKN1991",IF('Proposed Lighting'!AU306=3,"Commercial-All Com-ExtLight",IF('Proposed Lighting'!AH306&gt;8759,"IPC_8760","Commercial-All Com-IntLight")))</f>
        <v>IPC_8760</v>
      </c>
      <c r="C309" s="96" t="str">
        <f>IF(OR('Proposed Lighting'!DD306="Standard Incentive",'Proposed Lighting'!DD306="Non-Standard Incentive"),"Yes",IF(AND(IF(ISNUMBER(SEARCH("controls",'Proposed Lighting'!T306)),"True","False")="False",'Proposed Lighting'!DD306="Submit Control as Non-Standard"),"Yes","No"))</f>
        <v>No</v>
      </c>
      <c r="D309" s="1403">
        <f>'Proposed Lighting'!CV306-Q309</f>
        <v>0</v>
      </c>
      <c r="E309" s="143">
        <f>'Proposed Lighting'!T306</f>
        <v>0</v>
      </c>
      <c r="F309" s="143">
        <f>'Proposed Lighting'!F306</f>
        <v>0</v>
      </c>
      <c r="G309" s="96" t="s">
        <v>242</v>
      </c>
      <c r="H309" s="142" t="str">
        <f>'Proposed Lighting'!CP306</f>
        <v/>
      </c>
      <c r="I309" s="98">
        <v>1</v>
      </c>
      <c r="J309" s="142">
        <f>'Proposed Lighting'!AA306</f>
        <v>0</v>
      </c>
      <c r="K309" s="142" t="str">
        <f>IF(ISNUMBER(SEARCH("-C",'Proposed Lighting'!M306)),'Proposed Lighting'!AH306*0.9,'Proposed Lighting'!AH306)</f>
        <v/>
      </c>
      <c r="L309" s="142">
        <f>IFERROR(IF(OR('Proposed Lighting'!BC306=22,'Proposed Lighting'!BC306=44),1-25%,IF(OR('Proposed Lighting'!BC306=23,'Proposed Lighting'!BC306=46),1-30%,IF(OR('Proposed Lighting'!BC306=29,'Proposed Lighting'!BC306=39,'Proposed Lighting'!BC306=49),1-35%,IF(OR('Proposed Lighting'!BC306=24,'Proposed Lighting'!BC306=48),1-50%,IF(AND(ISNUMBER(SEARCH("-C",'Proposed Lighting'!M306)),'Proposed Lighting'!AU306=2),90%,100%)))))*'Proposed Lighting'!AH306,0)</f>
        <v>0</v>
      </c>
      <c r="M309" s="87">
        <f t="shared" si="60"/>
        <v>0</v>
      </c>
      <c r="N309" s="87">
        <f>IFERROR(IF('Proposed Lighting'!AU306=1,0,'Proposed Lighting'!AO306),0)</f>
        <v>0</v>
      </c>
      <c r="O309" s="88">
        <f>IF('Proposed Lighting'!AU306=1,0,'Proposed Lighting'!AP306)</f>
        <v>0</v>
      </c>
      <c r="P309" s="87">
        <f t="shared" si="61"/>
        <v>0</v>
      </c>
      <c r="Q309" s="98">
        <f t="shared" si="70"/>
        <v>0</v>
      </c>
      <c r="R309" s="99">
        <f>IFERROR(IF('Proposed Lighting'!T306="Lighting controls only",0,ROUND(IF('Proposed Lighting'!AQ306&lt;'Proposed Lighting'!AR306,0,IF('Proposed Lighting'!AH306=0,0,IF('Proposed Lighting'!BV306&gt;0,'Proposed Lighting'!BV306,IF('Proposed Lighting'!CL306=0,MIN('Proposed Lighting'!CN306:CO306),IF('Proposed Lighting'!CX306&gt;0,'Proposed Lighting'!CX306*'Proposed Lighting'!AA306,0))))),2)),0)</f>
        <v>0</v>
      </c>
      <c r="S309" s="99">
        <f>IF('Proposed Lighting'!AJ306&gt;0,'Proposed Lighting'!AJ306*J309,'Proposed Lighting'!$AU$328*J309)</f>
        <v>0</v>
      </c>
      <c r="T309" s="602">
        <f t="shared" si="62"/>
        <v>0</v>
      </c>
      <c r="U309" s="100"/>
      <c r="V309" s="99">
        <f t="shared" si="63"/>
        <v>0</v>
      </c>
      <c r="W309" s="99">
        <f t="shared" si="64"/>
        <v>0</v>
      </c>
      <c r="X309" s="99">
        <f t="shared" si="65"/>
        <v>0</v>
      </c>
      <c r="Y309" s="99"/>
      <c r="Z309" s="99">
        <f t="shared" si="71"/>
        <v>0</v>
      </c>
      <c r="AA309" s="99"/>
      <c r="AB309" s="99">
        <f t="shared" si="66"/>
        <v>0</v>
      </c>
      <c r="AC309" s="101" t="str">
        <f t="shared" si="67"/>
        <v/>
      </c>
      <c r="AD309" s="101" t="str">
        <f t="shared" si="68"/>
        <v/>
      </c>
      <c r="AE309" s="101" t="str">
        <f t="shared" si="69"/>
        <v/>
      </c>
      <c r="AF309" s="72"/>
      <c r="AG309" s="98">
        <f>IFERROR(IF($AV309="No",0,IF($AV309="yes",Summary!Q309,"")),"")</f>
        <v>0</v>
      </c>
      <c r="AH309" s="99">
        <f>IFERROR(IF($AV309="No",0,IF($AV309="yes",Summary!R309,"")),"")</f>
        <v>0</v>
      </c>
      <c r="AI309" s="99">
        <f>IFERROR(IF($AV309="No",0,IF($AV309="yes",Summary!S309,"")),"")</f>
        <v>0</v>
      </c>
      <c r="AJ309" s="602">
        <f>IFERROR(IF($AV309="No",0,IF($AV309="yes",Summary!T309,"")),"")</f>
        <v>0</v>
      </c>
      <c r="AK309" s="100">
        <f>IFERROR(IF($AV309="No",0,IF($AV309="yes",Summary!U309,"")),"")</f>
        <v>0</v>
      </c>
      <c r="AL309" s="99">
        <f>IFERROR(IF($AV309="No",0,IF($AV309="yes",Summary!V309,"")),"")</f>
        <v>0</v>
      </c>
      <c r="AM309" s="99">
        <f>IFERROR(IF($AV309="No",0,IF($AV309="yes",Summary!W309,"")),"")</f>
        <v>0</v>
      </c>
      <c r="AN309" s="99">
        <f>IFERROR(IF($AV309="No",0,IF($AV309="yes",Summary!X309,"")),"")</f>
        <v>0</v>
      </c>
      <c r="AO309" s="99">
        <f>IFERROR(IF($AV309="No",0,IF($AV309="yes",Summary!Y309+Z309,"")),"")</f>
        <v>0</v>
      </c>
      <c r="AP309" s="99">
        <f>IFERROR(IF($AV309="No",0,IF($AV309="yes",Summary!AB309,"")),"")</f>
        <v>0</v>
      </c>
      <c r="AQ309" s="101" t="str">
        <f t="shared" si="72"/>
        <v/>
      </c>
      <c r="AR309" s="101" t="str">
        <f t="shared" si="73"/>
        <v/>
      </c>
      <c r="AS309" s="101" t="str">
        <f t="shared" si="74"/>
        <v/>
      </c>
      <c r="AT309" s="96" t="s">
        <v>723</v>
      </c>
      <c r="AV309" t="str">
        <f>IF('Proposed Lighting'!CN306&gt;0,"No","Yes")</f>
        <v>Yes</v>
      </c>
    </row>
    <row r="310" spans="1:48" ht="34.5" customHeight="1" outlineLevel="1">
      <c r="A310" s="96" t="s">
        <v>724</v>
      </c>
      <c r="B310" s="96" t="str">
        <f>IF(ISNUMBER(SEARCH("case",E310)),"COM_MISC_REFR_ALL_UNKN1991",IF('Proposed Lighting'!AU307=3,"Commercial-All Com-ExtLight",IF('Proposed Lighting'!AH307&gt;8759,"IPC_8760","Commercial-All Com-IntLight")))</f>
        <v>IPC_8760</v>
      </c>
      <c r="C310" s="96" t="str">
        <f>IF(OR('Proposed Lighting'!DD307="Standard Incentive",'Proposed Lighting'!DD307="Non-Standard Incentive"),"Yes",IF(AND(IF(ISNUMBER(SEARCH("controls",'Proposed Lighting'!T307)),"True","False")="False",'Proposed Lighting'!DD307="Submit Control as Non-Standard"),"Yes","No"))</f>
        <v>No</v>
      </c>
      <c r="D310" s="1403">
        <f>'Proposed Lighting'!CV307-Q310</f>
        <v>0</v>
      </c>
      <c r="E310" s="143">
        <f>'Proposed Lighting'!T307</f>
        <v>0</v>
      </c>
      <c r="F310" s="143">
        <f>'Proposed Lighting'!F307</f>
        <v>0</v>
      </c>
      <c r="G310" s="96" t="s">
        <v>242</v>
      </c>
      <c r="H310" s="142" t="str">
        <f>'Proposed Lighting'!CP307</f>
        <v/>
      </c>
      <c r="I310" s="98">
        <v>1</v>
      </c>
      <c r="J310" s="142">
        <f>'Proposed Lighting'!AA307</f>
        <v>0</v>
      </c>
      <c r="K310" s="142" t="str">
        <f>IF(ISNUMBER(SEARCH("-C",'Proposed Lighting'!M307)),'Proposed Lighting'!AH307*0.9,'Proposed Lighting'!AH307)</f>
        <v/>
      </c>
      <c r="L310" s="142">
        <f>IFERROR(IF(OR('Proposed Lighting'!BC307=22,'Proposed Lighting'!BC307=44),1-25%,IF(OR('Proposed Lighting'!BC307=23,'Proposed Lighting'!BC307=46),1-30%,IF(OR('Proposed Lighting'!BC307=29,'Proposed Lighting'!BC307=39,'Proposed Lighting'!BC307=49),1-35%,IF(OR('Proposed Lighting'!BC307=24,'Proposed Lighting'!BC307=48),1-50%,IF(AND(ISNUMBER(SEARCH("-C",'Proposed Lighting'!M307)),'Proposed Lighting'!AU307=2),90%,100%)))))*'Proposed Lighting'!AH307,0)</f>
        <v>0</v>
      </c>
      <c r="M310" s="87">
        <f t="shared" si="60"/>
        <v>0</v>
      </c>
      <c r="N310" s="87">
        <f>IFERROR(IF('Proposed Lighting'!AU307=1,0,'Proposed Lighting'!AO307),0)</f>
        <v>0</v>
      </c>
      <c r="O310" s="88">
        <f>IF('Proposed Lighting'!AU307=1,0,'Proposed Lighting'!AP307)</f>
        <v>0</v>
      </c>
      <c r="P310" s="87">
        <f t="shared" si="61"/>
        <v>0</v>
      </c>
      <c r="Q310" s="98">
        <f t="shared" si="70"/>
        <v>0</v>
      </c>
      <c r="R310" s="99">
        <f>IFERROR(IF('Proposed Lighting'!T307="Lighting controls only",0,ROUND(IF('Proposed Lighting'!AQ307&lt;'Proposed Lighting'!AR307,0,IF('Proposed Lighting'!AH307=0,0,IF('Proposed Lighting'!BV307&gt;0,'Proposed Lighting'!BV307,IF('Proposed Lighting'!CL307=0,MIN('Proposed Lighting'!CN307:CO307),IF('Proposed Lighting'!CX307&gt;0,'Proposed Lighting'!CX307*'Proposed Lighting'!AA307,0))))),2)),0)</f>
        <v>0</v>
      </c>
      <c r="S310" s="99">
        <f>IF('Proposed Lighting'!AJ307&gt;0,'Proposed Lighting'!AJ307*J310,'Proposed Lighting'!$AU$328*J310)</f>
        <v>0</v>
      </c>
      <c r="T310" s="602">
        <f t="shared" si="62"/>
        <v>0</v>
      </c>
      <c r="U310" s="100"/>
      <c r="V310" s="99">
        <f t="shared" si="63"/>
        <v>0</v>
      </c>
      <c r="W310" s="99">
        <f t="shared" si="64"/>
        <v>0</v>
      </c>
      <c r="X310" s="99">
        <f t="shared" si="65"/>
        <v>0</v>
      </c>
      <c r="Y310" s="99"/>
      <c r="Z310" s="99">
        <f t="shared" si="71"/>
        <v>0</v>
      </c>
      <c r="AA310" s="99"/>
      <c r="AB310" s="99">
        <f t="shared" si="66"/>
        <v>0</v>
      </c>
      <c r="AC310" s="101" t="str">
        <f t="shared" si="67"/>
        <v/>
      </c>
      <c r="AD310" s="101" t="str">
        <f t="shared" si="68"/>
        <v/>
      </c>
      <c r="AE310" s="101" t="str">
        <f t="shared" si="69"/>
        <v/>
      </c>
      <c r="AF310" s="72"/>
      <c r="AG310" s="98">
        <f>IFERROR(IF($AV310="No",0,IF($AV310="yes",Summary!Q310,"")),"")</f>
        <v>0</v>
      </c>
      <c r="AH310" s="99">
        <f>IFERROR(IF($AV310="No",0,IF($AV310="yes",Summary!R310,"")),"")</f>
        <v>0</v>
      </c>
      <c r="AI310" s="99">
        <f>IFERROR(IF($AV310="No",0,IF($AV310="yes",Summary!S310,"")),"")</f>
        <v>0</v>
      </c>
      <c r="AJ310" s="602">
        <f>IFERROR(IF($AV310="No",0,IF($AV310="yes",Summary!T310,"")),"")</f>
        <v>0</v>
      </c>
      <c r="AK310" s="100">
        <f>IFERROR(IF($AV310="No",0,IF($AV310="yes",Summary!U310,"")),"")</f>
        <v>0</v>
      </c>
      <c r="AL310" s="99">
        <f>IFERROR(IF($AV310="No",0,IF($AV310="yes",Summary!V310,"")),"")</f>
        <v>0</v>
      </c>
      <c r="AM310" s="99">
        <f>IFERROR(IF($AV310="No",0,IF($AV310="yes",Summary!W310,"")),"")</f>
        <v>0</v>
      </c>
      <c r="AN310" s="99">
        <f>IFERROR(IF($AV310="No",0,IF($AV310="yes",Summary!X310,"")),"")</f>
        <v>0</v>
      </c>
      <c r="AO310" s="99">
        <f>IFERROR(IF($AV310="No",0,IF($AV310="yes",Summary!Y310+Z310,"")),"")</f>
        <v>0</v>
      </c>
      <c r="AP310" s="99">
        <f>IFERROR(IF($AV310="No",0,IF($AV310="yes",Summary!AB310,"")),"")</f>
        <v>0</v>
      </c>
      <c r="AQ310" s="101" t="str">
        <f t="shared" si="72"/>
        <v/>
      </c>
      <c r="AR310" s="101" t="str">
        <f t="shared" si="73"/>
        <v/>
      </c>
      <c r="AS310" s="101" t="str">
        <f t="shared" si="74"/>
        <v/>
      </c>
      <c r="AT310" s="96" t="s">
        <v>724</v>
      </c>
      <c r="AV310" t="str">
        <f>IF('Proposed Lighting'!CN307&gt;0,"No","Yes")</f>
        <v>Yes</v>
      </c>
    </row>
    <row r="311" spans="1:48" ht="34.5" customHeight="1" outlineLevel="1">
      <c r="A311" s="96" t="s">
        <v>725</v>
      </c>
      <c r="B311" s="96" t="str">
        <f>IF(ISNUMBER(SEARCH("case",E311)),"COM_MISC_REFR_ALL_UNKN1991",IF('Proposed Lighting'!AU308=3,"Commercial-All Com-ExtLight",IF('Proposed Lighting'!AH308&gt;8759,"IPC_8760","Commercial-All Com-IntLight")))</f>
        <v>IPC_8760</v>
      </c>
      <c r="C311" s="96" t="str">
        <f>IF(OR('Proposed Lighting'!DD308="Standard Incentive",'Proposed Lighting'!DD308="Non-Standard Incentive"),"Yes",IF(AND(IF(ISNUMBER(SEARCH("controls",'Proposed Lighting'!T308)),"True","False")="False",'Proposed Lighting'!DD308="Submit Control as Non-Standard"),"Yes","No"))</f>
        <v>No</v>
      </c>
      <c r="D311" s="1403">
        <f>'Proposed Lighting'!CV308-Q311</f>
        <v>0</v>
      </c>
      <c r="E311" s="143">
        <f>'Proposed Lighting'!T308</f>
        <v>0</v>
      </c>
      <c r="F311" s="143">
        <f>'Proposed Lighting'!F308</f>
        <v>0</v>
      </c>
      <c r="G311" s="96" t="s">
        <v>242</v>
      </c>
      <c r="H311" s="142" t="str">
        <f>'Proposed Lighting'!CP308</f>
        <v/>
      </c>
      <c r="I311" s="98">
        <v>1</v>
      </c>
      <c r="J311" s="142">
        <f>'Proposed Lighting'!AA308</f>
        <v>0</v>
      </c>
      <c r="K311" s="142" t="str">
        <f>IF(ISNUMBER(SEARCH("-C",'Proposed Lighting'!M308)),'Proposed Lighting'!AH308*0.9,'Proposed Lighting'!AH308)</f>
        <v/>
      </c>
      <c r="L311" s="142">
        <f>IFERROR(IF(OR('Proposed Lighting'!BC308=22,'Proposed Lighting'!BC308=44),1-25%,IF(OR('Proposed Lighting'!BC308=23,'Proposed Lighting'!BC308=46),1-30%,IF(OR('Proposed Lighting'!BC308=29,'Proposed Lighting'!BC308=39,'Proposed Lighting'!BC308=49),1-35%,IF(OR('Proposed Lighting'!BC308=24,'Proposed Lighting'!BC308=48),1-50%,IF(AND(ISNUMBER(SEARCH("-C",'Proposed Lighting'!M308)),'Proposed Lighting'!AU308=2),90%,100%)))))*'Proposed Lighting'!AH308,0)</f>
        <v>0</v>
      </c>
      <c r="M311" s="87">
        <f t="shared" si="60"/>
        <v>0</v>
      </c>
      <c r="N311" s="87">
        <f>IFERROR(IF('Proposed Lighting'!AU308=1,0,'Proposed Lighting'!AO308),0)</f>
        <v>0</v>
      </c>
      <c r="O311" s="88">
        <f>IF('Proposed Lighting'!AU308=1,0,'Proposed Lighting'!AP308)</f>
        <v>0</v>
      </c>
      <c r="P311" s="87">
        <f t="shared" si="61"/>
        <v>0</v>
      </c>
      <c r="Q311" s="98">
        <f t="shared" si="70"/>
        <v>0</v>
      </c>
      <c r="R311" s="99">
        <f>IFERROR(IF('Proposed Lighting'!T308="Lighting controls only",0,ROUND(IF('Proposed Lighting'!AQ308&lt;'Proposed Lighting'!AR308,0,IF('Proposed Lighting'!AH308=0,0,IF('Proposed Lighting'!BV308&gt;0,'Proposed Lighting'!BV308,IF('Proposed Lighting'!CL308=0,MIN('Proposed Lighting'!CN308:CO308),IF('Proposed Lighting'!CX308&gt;0,'Proposed Lighting'!CX308*'Proposed Lighting'!AA308,0))))),2)),0)</f>
        <v>0</v>
      </c>
      <c r="S311" s="99">
        <f>IF('Proposed Lighting'!AJ308&gt;0,'Proposed Lighting'!AJ308*J311,'Proposed Lighting'!$AU$328*J311)</f>
        <v>0</v>
      </c>
      <c r="T311" s="602">
        <f t="shared" si="62"/>
        <v>0</v>
      </c>
      <c r="U311" s="100"/>
      <c r="V311" s="99">
        <f t="shared" si="63"/>
        <v>0</v>
      </c>
      <c r="W311" s="99">
        <f t="shared" si="64"/>
        <v>0</v>
      </c>
      <c r="X311" s="99">
        <f t="shared" si="65"/>
        <v>0</v>
      </c>
      <c r="Y311" s="99"/>
      <c r="Z311" s="99">
        <f>IF($Y$3="yes",IF(ISNUMBER(SEARCH("LED",$F311)),0,IF(ISNUMBER(SEARCH("LED",$E311)),S311*3%,0)))</f>
        <v>0</v>
      </c>
      <c r="AA311" s="99"/>
      <c r="AB311" s="99">
        <f t="shared" si="66"/>
        <v>0</v>
      </c>
      <c r="AC311" s="101" t="str">
        <f t="shared" si="67"/>
        <v/>
      </c>
      <c r="AD311" s="101" t="str">
        <f t="shared" si="68"/>
        <v/>
      </c>
      <c r="AE311" s="101" t="str">
        <f t="shared" si="69"/>
        <v/>
      </c>
      <c r="AF311" s="72"/>
      <c r="AG311" s="98">
        <f>IFERROR(IF($AV311="No",0,IF($AV311="yes",Summary!Q311,"")),"")</f>
        <v>0</v>
      </c>
      <c r="AH311" s="99">
        <f>IFERROR(IF($AV311="No",0,IF($AV311="yes",Summary!R311,"")),"")</f>
        <v>0</v>
      </c>
      <c r="AI311" s="99">
        <f>IFERROR(IF($AV311="No",0,IF($AV311="yes",Summary!S311,"")),"")</f>
        <v>0</v>
      </c>
      <c r="AJ311" s="602">
        <f>IFERROR(IF($AV311="No",0,IF($AV311="yes",Summary!T311,"")),"")</f>
        <v>0</v>
      </c>
      <c r="AK311" s="100">
        <f>IFERROR(IF($AV311="No",0,IF($AV311="yes",Summary!U311,"")),"")</f>
        <v>0</v>
      </c>
      <c r="AL311" s="99">
        <f>IFERROR(IF($AV311="No",0,IF($AV311="yes",Summary!V311,"")),"")</f>
        <v>0</v>
      </c>
      <c r="AM311" s="99">
        <f>IFERROR(IF($AV311="No",0,IF($AV311="yes",Summary!W311,"")),"")</f>
        <v>0</v>
      </c>
      <c r="AN311" s="99">
        <f>IFERROR(IF($AV311="No",0,IF($AV311="yes",Summary!X311,"")),"")</f>
        <v>0</v>
      </c>
      <c r="AO311" s="99">
        <f>IFERROR(IF($AV311="No",0,IF($AV311="yes",Summary!Y311+Z311,"")),"")</f>
        <v>0</v>
      </c>
      <c r="AP311" s="99">
        <f>IFERROR(IF($AV311="No",0,IF($AV311="yes",Summary!AB311,"")),"")</f>
        <v>0</v>
      </c>
      <c r="AQ311" s="101" t="str">
        <f t="shared" si="72"/>
        <v/>
      </c>
      <c r="AR311" s="101" t="str">
        <f t="shared" si="73"/>
        <v/>
      </c>
      <c r="AS311" s="101" t="str">
        <f t="shared" si="74"/>
        <v/>
      </c>
      <c r="AT311" s="96" t="s">
        <v>725</v>
      </c>
      <c r="AV311" t="str">
        <f>IF('Proposed Lighting'!CN308&gt;0,"No","Yes")</f>
        <v>Yes</v>
      </c>
    </row>
    <row r="312" spans="1:48" ht="39.75" customHeight="1">
      <c r="A312" s="641" t="s">
        <v>785</v>
      </c>
      <c r="B312" s="641" t="str">
        <f>IF('Proposed Lighting'!AU9=3,"Commercial-All Com-ExtLight",IF('Proposed Lighting'!AH9&gt;8759,"IPC_8760","Commercial-All Com-IntLight"))</f>
        <v>IPC_8760</v>
      </c>
      <c r="C312" s="641" t="str">
        <f>IF(OR(E312="",E312=0),"No",
IF(AND('Data Entry'!$AF$23="OR",AE312&lt;1),"No",
IF(AND('Data Entry'!$AF$23="ID",E312="Non-standard lighting control system",AD312&lt;1),"No",
IF(AND('Data Entry'!$AF$23="OR",'Proposed Lighting'!F9="Existing LED (Provide Description)",'Proposed Lighting'!AK9=""),"No",
IF('Proposed Lighting'!DD9="Submit Control as Non-Standard","No",
IF(AND('Proposed Lighting'!T9="Non-Standard (Provide Description)",AD312&lt;1),"No",
IF('Proposed Lighting'!AW9&lt;'Proposed Lighting'!AZ9,"No","Yes")))))))</f>
        <v>No</v>
      </c>
      <c r="D312" s="1604">
        <f>'Proposed Lighting'!BQ9-Q312</f>
        <v>0</v>
      </c>
      <c r="E312" s="642" t="str">
        <f>IF('Proposed Lighting'!W9="","",'Proposed Lighting'!W9)</f>
        <v/>
      </c>
      <c r="F312" s="642"/>
      <c r="G312" s="641" t="s">
        <v>786</v>
      </c>
      <c r="H312" s="643">
        <v>10</v>
      </c>
      <c r="I312" s="644">
        <v>1</v>
      </c>
      <c r="J312" s="723">
        <f>IF('Proposed Lighting'!EF9=0,'Proposed Lighting'!AA9,'Proposed Lighting'!EF9)</f>
        <v>0</v>
      </c>
      <c r="K312" s="643" t="str">
        <f>'Proposed Lighting'!CU9</f>
        <v/>
      </c>
      <c r="L312" s="643" t="str">
        <f t="shared" ref="L312:L375" si="75">K312</f>
        <v/>
      </c>
      <c r="M312" s="645">
        <f t="shared" si="60"/>
        <v>0</v>
      </c>
      <c r="N312" s="645"/>
      <c r="O312" s="722">
        <f>IFERROR('Proposed Lighting'!AC9/1000,0)</f>
        <v>0</v>
      </c>
      <c r="P312" s="644">
        <f>'Proposed Lighting'!AV9</f>
        <v>0</v>
      </c>
      <c r="Q312" s="644">
        <f>IF(AND('Proposed Lighting'!T9="Lighting Controls Only",'Data Entry'!$AF$23="OR",'Proposed Lighting'!AU9=2),0,
IF(AND('Proposed Lighting'!T9="Lighting Controls Only",'Data Entry'!$AF$23="OR",'Proposed Lighting'!AU9=3,OR('Proposed Lighting'!W9="ceiling mount",'Proposed Lighting'!W9="wall switch",'Proposed Lighting'!W9="fixture mount (on exisiting equip)",'Proposed Lighting'!W9="daylight harvesting (on existing equip)")),0,
IF('Proposed Lighting'!AF9=1,IF(P312=0,0,J312*O312*(L312*(1-P312))),IF('Proposed Lighting'!AU9=1,0,'Proposed Lighting'!AX9-'Proposed Lighting'!AY9))))</f>
        <v>0</v>
      </c>
      <c r="R312" s="646">
        <f>IF('Proposed Lighting'!T9="Non-standard (provide description",0,
IF(AND(E312="Non-standard control",'Proposed Lighting'!AU9=2),Q312*0.1,
IF(AND(E312="Non-standard control",'Proposed Lighting'!AU9=3),Q312*0.08,
IF('Proposed Lighting'!EF9=0,0,IF('Proposed Lighting'!AU9=1,0,
IF(AND('Data Entry'!$AF$23="ID",'Proposed Lighting'!T9="Lighting controls only"),VLOOKUP(E312,'Proposed Lighting'!$DO$97:$DP$106,2,FALSE),
IF(AND('Data Entry'!$AF$23="OR",'Proposed Lighting'!AU9=3,'Proposed Lighting'!T9="Lighting controls only"),VLOOKUP(E312,'Proposed Lighting'!$DO$127:$DP$134,2,FALSE),0)))))))*J312</f>
        <v>0</v>
      </c>
      <c r="S312" s="646">
        <f>IF(Q312&lt;0.01,0,IF('Proposed Lighting'!AK9&gt;0,'Proposed Lighting'!AK9*'Proposed Lighting'!EF9,0))</f>
        <v>0</v>
      </c>
      <c r="T312" s="647">
        <f t="shared" ref="T312:T375" si="76">IF(Q3112=0,0,S312/SUM($S$312:$S$611))</f>
        <v>0</v>
      </c>
      <c r="U312" s="648"/>
      <c r="V312" s="646">
        <f t="shared" si="63"/>
        <v>0</v>
      </c>
      <c r="W312" s="646">
        <f t="shared" si="64"/>
        <v>0</v>
      </c>
      <c r="X312" s="646">
        <f t="shared" si="65"/>
        <v>0</v>
      </c>
      <c r="Y312" s="646"/>
      <c r="Z312" s="646"/>
      <c r="AA312" s="646"/>
      <c r="AB312" s="646">
        <f t="shared" si="66"/>
        <v>0</v>
      </c>
      <c r="AC312" s="649" t="str">
        <f t="shared" si="67"/>
        <v/>
      </c>
      <c r="AD312" s="649" t="str">
        <f t="shared" si="68"/>
        <v/>
      </c>
      <c r="AE312" s="649" t="str">
        <f t="shared" si="69"/>
        <v/>
      </c>
      <c r="AF312" s="72"/>
      <c r="AG312" s="644">
        <f>IFERROR(IF($AV312="No",0,IF($AV312="yes",Summary!Q312,"")),"")</f>
        <v>0</v>
      </c>
      <c r="AH312" s="646">
        <f>IFERROR(IF($AV312="No",0,IF($AV312="yes",Summary!R312,"")),"")</f>
        <v>0</v>
      </c>
      <c r="AI312" s="646">
        <f>IFERROR(IF($AV312="No",0,IF($AV312="yes",Summary!S312,"")),"")</f>
        <v>0</v>
      </c>
      <c r="AJ312" s="647">
        <f>IFERROR(IF($AV312="No",0,IF($AV312="yes",Summary!T312,"")),"")</f>
        <v>0</v>
      </c>
      <c r="AK312" s="648">
        <f>IFERROR(IF($AV312="No",0,IF($AV312="yes",Summary!U312,"")),"")</f>
        <v>0</v>
      </c>
      <c r="AL312" s="646">
        <f>IFERROR(IF($AV312="No",0,IF($AV312="yes",Summary!V312,"")),"")</f>
        <v>0</v>
      </c>
      <c r="AM312" s="646">
        <f>IFERROR(IF($AV312="No",0,IF($AV312="yes",Summary!W312,"")),"")</f>
        <v>0</v>
      </c>
      <c r="AN312" s="646">
        <f>IFERROR(IF($AV312="No",0,IF($AV312="yes",Summary!X312,"")),"")</f>
        <v>0</v>
      </c>
      <c r="AO312" s="646">
        <f>IFERROR(IF($AV312="No",0,IF($AV312="yes",Summary!Y312+Z312,"")),"")</f>
        <v>0</v>
      </c>
      <c r="AP312" s="646">
        <f>IFERROR(IF($AV312="No",0,IF($AV312="yes",Summary!AB312,"")),"")</f>
        <v>0</v>
      </c>
      <c r="AQ312" s="649" t="str">
        <f t="shared" ref="AQ312:AQ360" si="77">IFERROR(IF($AG312&lt;0,"",(AL312+AH312+AO312+AP312)/(AI312)),"")</f>
        <v/>
      </c>
      <c r="AR312" s="649" t="str">
        <f>IFERROR(IF($AG312&lt;0,"",(I312*AM312)/(((IF(AG312=0,AG312,AG312))*AK312)+AH312)),"")</f>
        <v/>
      </c>
      <c r="AS312" s="649" t="str">
        <f t="shared" ref="AS312:AS360" si="78">IFERROR(IF($AG312&lt;0,"",IF(AI312=0,((AN312+AO312+AP312)*I312)/((AG312*AK312)+AH312),((AN312+AO312+AP312)*I312)/((AG312*AK312)+AH312+((AI312-AH312)*I312)))),"")</f>
        <v/>
      </c>
      <c r="AT312" s="641" t="s">
        <v>785</v>
      </c>
      <c r="AV312" t="str">
        <f>IF('Proposed Lighting'!AK9&gt;0,"No","Yes")</f>
        <v>Yes</v>
      </c>
    </row>
    <row r="313" spans="1:48" ht="34.5" customHeight="1" outlineLevel="1">
      <c r="A313" s="641" t="s">
        <v>787</v>
      </c>
      <c r="B313" s="641" t="str">
        <f>IF('Proposed Lighting'!AU10=3,"Commercial-All Com-ExtLight",IF('Proposed Lighting'!AH10&gt;8759,"IPC_8760","Commercial-All Com-IntLight"))</f>
        <v>IPC_8760</v>
      </c>
      <c r="C313" s="641" t="str">
        <f>IF(OR(E313="",E313=0),"No",
IF(AND('Data Entry'!$AF$23="OR",AE313&lt;1),"No",
IF(AND('Data Entry'!$AF$23="ID",E313="Non-standard lighting control system",AD313&lt;1),"No",
IF(AND('Data Entry'!$AF$23="OR",'Proposed Lighting'!F10="Existing LED (Provide Description)",'Proposed Lighting'!AK10=""),"No",
IF('Proposed Lighting'!DD10="Submit Control as Non-Standard","No",
IF(AND('Proposed Lighting'!T10="Non-Standard (Provide Description)",AD313&lt;1),"No",
IF('Proposed Lighting'!AW10&lt;'Proposed Lighting'!AZ10,"No","Yes")))))))</f>
        <v>No</v>
      </c>
      <c r="D313" s="1604">
        <f>'Proposed Lighting'!BQ10-Q313</f>
        <v>0</v>
      </c>
      <c r="E313" s="642" t="str">
        <f>IF('Proposed Lighting'!W10="","",'Proposed Lighting'!W10)</f>
        <v/>
      </c>
      <c r="F313" s="642"/>
      <c r="G313" s="641" t="s">
        <v>786</v>
      </c>
      <c r="H313" s="643">
        <v>10</v>
      </c>
      <c r="I313" s="644">
        <v>1</v>
      </c>
      <c r="J313" s="723">
        <f>IF('Proposed Lighting'!EF10=0,'Proposed Lighting'!AA10,'Proposed Lighting'!EF10)</f>
        <v>0</v>
      </c>
      <c r="K313" s="643" t="str">
        <f>'Proposed Lighting'!CU10</f>
        <v/>
      </c>
      <c r="L313" s="643" t="str">
        <f t="shared" si="75"/>
        <v/>
      </c>
      <c r="M313" s="645">
        <f t="shared" si="60"/>
        <v>0</v>
      </c>
      <c r="N313" s="645"/>
      <c r="O313" s="722">
        <f>IFERROR('Proposed Lighting'!AC10/1000,0)</f>
        <v>0</v>
      </c>
      <c r="P313" s="644">
        <f>'Proposed Lighting'!AV10</f>
        <v>0</v>
      </c>
      <c r="Q313" s="644">
        <f>IF(AND('Proposed Lighting'!T10="Lighting Controls Only",'Data Entry'!$AF$23="OR",'Proposed Lighting'!AU10=2),0,
IF(AND('Proposed Lighting'!T10="Lighting Controls Only",'Data Entry'!$AF$23="OR",'Proposed Lighting'!AU10=3,OR('Proposed Lighting'!W10="ceiling mount",'Proposed Lighting'!W10="wall switch",'Proposed Lighting'!W10="fixture mount (on exisiting equip)",'Proposed Lighting'!W10="daylight harvesting (on existing equip)")),0,
IF('Proposed Lighting'!AF10=1,IF(P313=0,0,J313*O313*(L313*(1-P313))),IF('Proposed Lighting'!AU10=1,0,'Proposed Lighting'!AX10-'Proposed Lighting'!AY10))))</f>
        <v>0</v>
      </c>
      <c r="R313" s="646">
        <f>IF('Proposed Lighting'!T10="Non-standard (provide description",0,
IF(AND(E313="Non-standard control",'Proposed Lighting'!AU10=2),Q313*0.1,
IF(AND(E313="Non-standard control",'Proposed Lighting'!AU10=3),Q313*0.08,
IF('Proposed Lighting'!EF10=0,0,IF('Proposed Lighting'!AU10=1,0,
IF(AND('Data Entry'!$AF$23="ID",'Proposed Lighting'!T10="Lighting controls only"),VLOOKUP(E313,'Proposed Lighting'!$DO$97:$DP$106,2,FALSE),
IF(AND('Data Entry'!$AF$23="OR",'Proposed Lighting'!AU10=3,'Proposed Lighting'!T10="Lighting controls only"),VLOOKUP(E313,'Proposed Lighting'!$DO$127:$DP$134,2,FALSE),0)))))))*J313</f>
        <v>0</v>
      </c>
      <c r="S313" s="646">
        <f>IF(Q313&lt;0.01,0,IF('Proposed Lighting'!AK10&gt;0,'Proposed Lighting'!AK10*'Proposed Lighting'!EF10,0))</f>
        <v>0</v>
      </c>
      <c r="T313" s="647">
        <f t="shared" si="76"/>
        <v>0</v>
      </c>
      <c r="U313" s="648"/>
      <c r="V313" s="646">
        <f t="shared" si="63"/>
        <v>0</v>
      </c>
      <c r="W313" s="646">
        <f t="shared" si="64"/>
        <v>0</v>
      </c>
      <c r="X313" s="646">
        <f t="shared" si="65"/>
        <v>0</v>
      </c>
      <c r="Y313" s="646"/>
      <c r="Z313" s="646"/>
      <c r="AA313" s="646"/>
      <c r="AB313" s="646">
        <f t="shared" si="66"/>
        <v>0</v>
      </c>
      <c r="AC313" s="649" t="str">
        <f t="shared" si="67"/>
        <v/>
      </c>
      <c r="AD313" s="649" t="str">
        <f t="shared" si="68"/>
        <v/>
      </c>
      <c r="AE313" s="649" t="str">
        <f t="shared" si="69"/>
        <v/>
      </c>
      <c r="AF313" s="72"/>
      <c r="AG313" s="644">
        <f>IFERROR(IF($AV313="No",0,IF($AV313="yes",Summary!Q313,"")),"")</f>
        <v>0</v>
      </c>
      <c r="AH313" s="646">
        <f>IFERROR(IF($AV313="No",0,IF($AV313="yes",Summary!R313,"")),"")</f>
        <v>0</v>
      </c>
      <c r="AI313" s="646">
        <f>IFERROR(IF($AV313="No",0,IF($AV313="yes",Summary!S313,"")),"")</f>
        <v>0</v>
      </c>
      <c r="AJ313" s="647">
        <f>IFERROR(IF($AV313="No",0,IF($AV313="yes",Summary!T313,"")),"")</f>
        <v>0</v>
      </c>
      <c r="AK313" s="648">
        <f>IFERROR(IF($AV313="No",0,IF($AV313="yes",Summary!U313,"")),"")</f>
        <v>0</v>
      </c>
      <c r="AL313" s="646">
        <f>IFERROR(IF($AV313="No",0,IF($AV313="yes",Summary!V313,"")),"")</f>
        <v>0</v>
      </c>
      <c r="AM313" s="646">
        <f>IFERROR(IF($AV313="No",0,IF($AV313="yes",Summary!W313,"")),"")</f>
        <v>0</v>
      </c>
      <c r="AN313" s="646">
        <f>IFERROR(IF($AV313="No",0,IF($AV313="yes",Summary!X313,"")),"")</f>
        <v>0</v>
      </c>
      <c r="AO313" s="646">
        <f>IFERROR(IF($AV313="No",0,IF($AV313="yes",Summary!Y313+Z313,"")),"")</f>
        <v>0</v>
      </c>
      <c r="AP313" s="646">
        <f>IFERROR(IF($AV313="No",0,IF($AV313="yes",Summary!AB313,"")),"")</f>
        <v>0</v>
      </c>
      <c r="AQ313" s="649" t="str">
        <f t="shared" si="77"/>
        <v/>
      </c>
      <c r="AR313" s="649" t="str">
        <f t="shared" ref="AR313:AR376" si="79">IFERROR(IF($AG313&lt;0,"",(I313*AM313)/(((IF(AG313=0,AG313,AG313))*AK313)+AH313)),"")</f>
        <v/>
      </c>
      <c r="AS313" s="649" t="str">
        <f t="shared" si="78"/>
        <v/>
      </c>
      <c r="AT313" s="641" t="s">
        <v>787</v>
      </c>
      <c r="AV313" t="str">
        <f>IF('Proposed Lighting'!AK10&gt;0,"No","Yes")</f>
        <v>Yes</v>
      </c>
    </row>
    <row r="314" spans="1:48" ht="34.5" customHeight="1" outlineLevel="1">
      <c r="A314" s="641" t="s">
        <v>788</v>
      </c>
      <c r="B314" s="641" t="str">
        <f>IF('Proposed Lighting'!AU11=3,"Commercial-All Com-ExtLight",IF('Proposed Lighting'!AH11&gt;8759,"IPC_8760","Commercial-All Com-IntLight"))</f>
        <v>IPC_8760</v>
      </c>
      <c r="C314" s="641" t="str">
        <f>IF(OR(E314="",E314=0),"No",
IF(AND('Data Entry'!$AF$23="OR",AE314&lt;1),"No",
IF(AND('Data Entry'!$AF$23="ID",E314="Non-standard lighting control system",AD314&lt;1),"No",
IF(AND('Data Entry'!$AF$23="OR",'Proposed Lighting'!F11="Existing LED (Provide Description)",'Proposed Lighting'!AK11=""),"No",
IF('Proposed Lighting'!DD11="Submit Control as Non-Standard","No",
IF(AND('Proposed Lighting'!T11="Non-Standard (Provide Description)",AD314&lt;1),"No",
IF('Proposed Lighting'!AW11&lt;'Proposed Lighting'!AZ11,"No","Yes")))))))</f>
        <v>No</v>
      </c>
      <c r="D314" s="1604">
        <f>'Proposed Lighting'!BQ11-Q314</f>
        <v>0</v>
      </c>
      <c r="E314" s="642" t="str">
        <f>IF('Proposed Lighting'!W11="","",'Proposed Lighting'!W11)</f>
        <v/>
      </c>
      <c r="F314" s="642"/>
      <c r="G314" s="641" t="s">
        <v>786</v>
      </c>
      <c r="H314" s="643">
        <v>10</v>
      </c>
      <c r="I314" s="644">
        <v>1</v>
      </c>
      <c r="J314" s="723">
        <f>IF('Proposed Lighting'!EF11=0,'Proposed Lighting'!AA11,'Proposed Lighting'!EF11)</f>
        <v>0</v>
      </c>
      <c r="K314" s="643" t="str">
        <f>'Proposed Lighting'!CU11</f>
        <v/>
      </c>
      <c r="L314" s="643" t="str">
        <f t="shared" si="75"/>
        <v/>
      </c>
      <c r="M314" s="645">
        <f t="shared" si="60"/>
        <v>0</v>
      </c>
      <c r="N314" s="645"/>
      <c r="O314" s="722">
        <f>IFERROR('Proposed Lighting'!AC11/1000,0)</f>
        <v>0</v>
      </c>
      <c r="P314" s="644">
        <f>'Proposed Lighting'!AV11</f>
        <v>0</v>
      </c>
      <c r="Q314" s="644">
        <f>IF(AND('Proposed Lighting'!T11="Lighting Controls Only",'Data Entry'!$AF$23="OR",'Proposed Lighting'!AU11=2),0,
IF(AND('Proposed Lighting'!T11="Lighting Controls Only",'Data Entry'!$AF$23="OR",'Proposed Lighting'!AU11=3,OR('Proposed Lighting'!W11="ceiling mount",'Proposed Lighting'!W11="wall switch",'Proposed Lighting'!W11="fixture mount (on exisiting equip)",'Proposed Lighting'!W11="daylight harvesting (on existing equip)")),0,
IF('Proposed Lighting'!AF11=1,IF(P314=0,0,J314*O314*(L314*(1-P314))),IF('Proposed Lighting'!AU11=1,0,'Proposed Lighting'!AX11-'Proposed Lighting'!AY11))))</f>
        <v>0</v>
      </c>
      <c r="R314" s="646">
        <f>IF('Proposed Lighting'!T11="Non-standard (provide description",0,
IF(AND(E314="Non-standard control",'Proposed Lighting'!AU11=2),Q314*0.1,
IF(AND(E314="Non-standard control",'Proposed Lighting'!AU11=3),Q314*0.08,
IF('Proposed Lighting'!EF11=0,0,IF('Proposed Lighting'!AU11=1,0,
IF(AND('Data Entry'!$AF$23="ID",'Proposed Lighting'!T11="Lighting controls only"),VLOOKUP(E314,'Proposed Lighting'!$DO$97:$DP$106,2,FALSE),
IF(AND('Data Entry'!$AF$23="OR",'Proposed Lighting'!AU11=3,'Proposed Lighting'!T11="Lighting controls only"),VLOOKUP(E314,'Proposed Lighting'!$DO$127:$DP$134,2,FALSE),0)))))))*J314</f>
        <v>0</v>
      </c>
      <c r="S314" s="646">
        <f>IF(Q314&lt;0.01,0,IF('Proposed Lighting'!AK11&gt;0,'Proposed Lighting'!AK11*'Proposed Lighting'!EF11,0))</f>
        <v>0</v>
      </c>
      <c r="T314" s="647">
        <f t="shared" si="76"/>
        <v>0</v>
      </c>
      <c r="U314" s="648"/>
      <c r="V314" s="646">
        <f t="shared" si="63"/>
        <v>0</v>
      </c>
      <c r="W314" s="646">
        <f t="shared" si="64"/>
        <v>0</v>
      </c>
      <c r="X314" s="646">
        <f t="shared" si="65"/>
        <v>0</v>
      </c>
      <c r="Y314" s="646"/>
      <c r="Z314" s="646"/>
      <c r="AA314" s="646"/>
      <c r="AB314" s="646">
        <f t="shared" si="66"/>
        <v>0</v>
      </c>
      <c r="AC314" s="649" t="str">
        <f t="shared" si="67"/>
        <v/>
      </c>
      <c r="AD314" s="649" t="str">
        <f t="shared" si="68"/>
        <v/>
      </c>
      <c r="AE314" s="649" t="str">
        <f t="shared" si="69"/>
        <v/>
      </c>
      <c r="AF314" s="72"/>
      <c r="AG314" s="644">
        <f>IFERROR(IF($AV314="No",0,IF($AV314="yes",Summary!Q314,"")),"")</f>
        <v>0</v>
      </c>
      <c r="AH314" s="646">
        <f>IFERROR(IF($AV314="No",0,IF($AV314="yes",Summary!R314,"")),"")</f>
        <v>0</v>
      </c>
      <c r="AI314" s="646">
        <f>IFERROR(IF($AV314="No",0,IF($AV314="yes",Summary!S314,"")),"")</f>
        <v>0</v>
      </c>
      <c r="AJ314" s="647">
        <f>IFERROR(IF($AV314="No",0,IF($AV314="yes",Summary!T314,"")),"")</f>
        <v>0</v>
      </c>
      <c r="AK314" s="648">
        <f>IFERROR(IF($AV314="No",0,IF($AV314="yes",Summary!U314,"")),"")</f>
        <v>0</v>
      </c>
      <c r="AL314" s="646">
        <f>IFERROR(IF($AV314="No",0,IF($AV314="yes",Summary!V314,"")),"")</f>
        <v>0</v>
      </c>
      <c r="AM314" s="646">
        <f>IFERROR(IF($AV314="No",0,IF($AV314="yes",Summary!W314,"")),"")</f>
        <v>0</v>
      </c>
      <c r="AN314" s="646">
        <f>IFERROR(IF($AV314="No",0,IF($AV314="yes",Summary!X314,"")),"")</f>
        <v>0</v>
      </c>
      <c r="AO314" s="646">
        <f>IFERROR(IF($AV314="No",0,IF($AV314="yes",Summary!Y314+Z314,"")),"")</f>
        <v>0</v>
      </c>
      <c r="AP314" s="646">
        <f>IFERROR(IF($AV314="No",0,IF($AV314="yes",Summary!AB314,"")),"")</f>
        <v>0</v>
      </c>
      <c r="AQ314" s="649" t="str">
        <f t="shared" si="77"/>
        <v/>
      </c>
      <c r="AR314" s="649" t="str">
        <f t="shared" si="79"/>
        <v/>
      </c>
      <c r="AS314" s="649" t="str">
        <f t="shared" si="78"/>
        <v/>
      </c>
      <c r="AT314" s="641" t="s">
        <v>788</v>
      </c>
      <c r="AV314" t="str">
        <f>IF('Proposed Lighting'!AK11&gt;0,"No","Yes")</f>
        <v>Yes</v>
      </c>
    </row>
    <row r="315" spans="1:48" ht="34.5" customHeight="1" outlineLevel="1">
      <c r="A315" s="641" t="s">
        <v>789</v>
      </c>
      <c r="B315" s="641" t="str">
        <f>IF('Proposed Lighting'!AU12=3,"Commercial-All Com-ExtLight",IF('Proposed Lighting'!AH12&gt;8759,"IPC_8760","Commercial-All Com-IntLight"))</f>
        <v>IPC_8760</v>
      </c>
      <c r="C315" s="641" t="str">
        <f>IF(OR(E315="",E315=0),"No",
IF(AND('Data Entry'!$AF$23="OR",AE315&lt;1),"No",
IF(AND('Data Entry'!$AF$23="ID",E315="Non-standard lighting control system",AD315&lt;1),"No",
IF(AND('Data Entry'!$AF$23="OR",'Proposed Lighting'!F12="Existing LED (Provide Description)",'Proposed Lighting'!AK12=""),"No",
IF('Proposed Lighting'!DD12="Submit Control as Non-Standard","No",
IF(AND('Proposed Lighting'!T12="Non-Standard (Provide Description)",AD315&lt;1),"No",
IF('Proposed Lighting'!AW12&lt;'Proposed Lighting'!AZ12,"No","Yes")))))))</f>
        <v>No</v>
      </c>
      <c r="D315" s="1604">
        <f>'Proposed Lighting'!BQ12-Q315</f>
        <v>0</v>
      </c>
      <c r="E315" s="642" t="str">
        <f>IF('Proposed Lighting'!W12="","",'Proposed Lighting'!W12)</f>
        <v/>
      </c>
      <c r="F315" s="642"/>
      <c r="G315" s="641" t="s">
        <v>786</v>
      </c>
      <c r="H315" s="643">
        <v>10</v>
      </c>
      <c r="I315" s="644">
        <v>1</v>
      </c>
      <c r="J315" s="723">
        <f>IF('Proposed Lighting'!EF12=0,'Proposed Lighting'!AA12,'Proposed Lighting'!EF12)</f>
        <v>0</v>
      </c>
      <c r="K315" s="643" t="str">
        <f>'Proposed Lighting'!CU12</f>
        <v/>
      </c>
      <c r="L315" s="643" t="str">
        <f t="shared" si="75"/>
        <v/>
      </c>
      <c r="M315" s="645">
        <f t="shared" si="60"/>
        <v>0</v>
      </c>
      <c r="N315" s="645"/>
      <c r="O315" s="722">
        <f>IFERROR('Proposed Lighting'!AC12/1000,0)</f>
        <v>0</v>
      </c>
      <c r="P315" s="644">
        <f>'Proposed Lighting'!AV12</f>
        <v>0</v>
      </c>
      <c r="Q315" s="644">
        <f>IF(AND('Proposed Lighting'!T12="Lighting Controls Only",'Data Entry'!$AF$23="OR",'Proposed Lighting'!AU12=2),0,
IF(AND('Proposed Lighting'!T12="Lighting Controls Only",'Data Entry'!$AF$23="OR",'Proposed Lighting'!AU12=3,OR('Proposed Lighting'!W12="ceiling mount",'Proposed Lighting'!W12="wall switch",'Proposed Lighting'!W12="fixture mount (on exisiting equip)",'Proposed Lighting'!W12="daylight harvesting (on existing equip)")),0,
IF('Proposed Lighting'!AF12=1,IF(P315=0,0,J315*O315*(L315*(1-P315))),IF('Proposed Lighting'!AU12=1,0,'Proposed Lighting'!AX12-'Proposed Lighting'!AY12))))</f>
        <v>0</v>
      </c>
      <c r="R315" s="646">
        <f>IF('Proposed Lighting'!T12="Non-standard (provide description",0,
IF(AND(E315="Non-standard control",'Proposed Lighting'!AU12=2),Q315*0.1,
IF(AND(E315="Non-standard control",'Proposed Lighting'!AU12=3),Q315*0.08,
IF('Proposed Lighting'!EF12=0,0,IF('Proposed Lighting'!AU12=1,0,
IF(AND('Data Entry'!$AF$23="ID",'Proposed Lighting'!T12="Lighting controls only"),VLOOKUP(E315,'Proposed Lighting'!$DO$97:$DP$106,2,FALSE),
IF(AND('Data Entry'!$AF$23="OR",'Proposed Lighting'!AU12=3,'Proposed Lighting'!T12="Lighting controls only"),VLOOKUP(E315,'Proposed Lighting'!$DO$127:$DP$134,2,FALSE),0)))))))*J315</f>
        <v>0</v>
      </c>
      <c r="S315" s="646">
        <f>IF(Q315&lt;0.01,0,IF('Proposed Lighting'!AK12&gt;0,'Proposed Lighting'!AK12*'Proposed Lighting'!EF12,0))</f>
        <v>0</v>
      </c>
      <c r="T315" s="647">
        <f t="shared" si="76"/>
        <v>0</v>
      </c>
      <c r="U315" s="648"/>
      <c r="V315" s="646">
        <f t="shared" si="63"/>
        <v>0</v>
      </c>
      <c r="W315" s="646">
        <f t="shared" si="64"/>
        <v>0</v>
      </c>
      <c r="X315" s="646">
        <f t="shared" si="65"/>
        <v>0</v>
      </c>
      <c r="Y315" s="646"/>
      <c r="Z315" s="646"/>
      <c r="AA315" s="646"/>
      <c r="AB315" s="646">
        <f t="shared" si="66"/>
        <v>0</v>
      </c>
      <c r="AC315" s="649" t="str">
        <f t="shared" si="67"/>
        <v/>
      </c>
      <c r="AD315" s="649" t="str">
        <f t="shared" si="68"/>
        <v/>
      </c>
      <c r="AE315" s="649" t="str">
        <f t="shared" si="69"/>
        <v/>
      </c>
      <c r="AF315" s="72"/>
      <c r="AG315" s="644">
        <f>IFERROR(IF($AV315="No",0,IF($AV315="yes",Summary!Q315,"")),"")</f>
        <v>0</v>
      </c>
      <c r="AH315" s="646">
        <f>IFERROR(IF($AV315="No",0,IF($AV315="yes",Summary!R315,"")),"")</f>
        <v>0</v>
      </c>
      <c r="AI315" s="646">
        <f>IFERROR(IF($AV315="No",0,IF($AV315="yes",Summary!S315,"")),"")</f>
        <v>0</v>
      </c>
      <c r="AJ315" s="647">
        <f>IFERROR(IF($AV315="No",0,IF($AV315="yes",Summary!T315,"")),"")</f>
        <v>0</v>
      </c>
      <c r="AK315" s="648">
        <f>IFERROR(IF($AV315="No",0,IF($AV315="yes",Summary!U315,"")),"")</f>
        <v>0</v>
      </c>
      <c r="AL315" s="646">
        <f>IFERROR(IF($AV315="No",0,IF($AV315="yes",Summary!V315,"")),"")</f>
        <v>0</v>
      </c>
      <c r="AM315" s="646">
        <f>IFERROR(IF($AV315="No",0,IF($AV315="yes",Summary!W315,"")),"")</f>
        <v>0</v>
      </c>
      <c r="AN315" s="646">
        <f>IFERROR(IF($AV315="No",0,IF($AV315="yes",Summary!X315,"")),"")</f>
        <v>0</v>
      </c>
      <c r="AO315" s="646">
        <f>IFERROR(IF($AV315="No",0,IF($AV315="yes",Summary!Y315+Z315,"")),"")</f>
        <v>0</v>
      </c>
      <c r="AP315" s="646">
        <f>IFERROR(IF($AV315="No",0,IF($AV315="yes",Summary!AB315,"")),"")</f>
        <v>0</v>
      </c>
      <c r="AQ315" s="649" t="str">
        <f t="shared" si="77"/>
        <v/>
      </c>
      <c r="AR315" s="649" t="str">
        <f t="shared" si="79"/>
        <v/>
      </c>
      <c r="AS315" s="649" t="str">
        <f t="shared" si="78"/>
        <v/>
      </c>
      <c r="AT315" s="641" t="s">
        <v>789</v>
      </c>
      <c r="AV315" t="str">
        <f>IF('Proposed Lighting'!AK12&gt;0,"No","Yes")</f>
        <v>Yes</v>
      </c>
    </row>
    <row r="316" spans="1:48" ht="34.5" customHeight="1" outlineLevel="1">
      <c r="A316" s="641" t="s">
        <v>790</v>
      </c>
      <c r="B316" s="641" t="str">
        <f>IF('Proposed Lighting'!AU13=3,"Commercial-All Com-ExtLight",IF('Proposed Lighting'!AH13&gt;8759,"IPC_8760","Commercial-All Com-IntLight"))</f>
        <v>IPC_8760</v>
      </c>
      <c r="C316" s="641" t="str">
        <f>IF(OR(E316="",E316=0),"No",
IF(AND('Data Entry'!$AF$23="OR",AE316&lt;1),"No",
IF(AND('Data Entry'!$AF$23="ID",E316="Non-standard lighting control system",AD316&lt;1),"No",
IF(AND('Data Entry'!$AF$23="OR",'Proposed Lighting'!F13="Existing LED (Provide Description)",'Proposed Lighting'!AK13=""),"No",
IF('Proposed Lighting'!DD13="Submit Control as Non-Standard","No",
IF(AND('Proposed Lighting'!T13="Non-Standard (Provide Description)",AD316&lt;1),"No",
IF('Proposed Lighting'!AW13&lt;'Proposed Lighting'!AZ13,"No","Yes")))))))</f>
        <v>No</v>
      </c>
      <c r="D316" s="1604">
        <f>'Proposed Lighting'!BQ13-Q316</f>
        <v>0</v>
      </c>
      <c r="E316" s="642" t="str">
        <f>IF('Proposed Lighting'!W13="","",'Proposed Lighting'!W13)</f>
        <v/>
      </c>
      <c r="F316" s="642"/>
      <c r="G316" s="641" t="s">
        <v>786</v>
      </c>
      <c r="H316" s="643">
        <v>10</v>
      </c>
      <c r="I316" s="644">
        <v>1</v>
      </c>
      <c r="J316" s="723">
        <f>IF('Proposed Lighting'!EF13=0,'Proposed Lighting'!AA13,'Proposed Lighting'!EF13)</f>
        <v>0</v>
      </c>
      <c r="K316" s="643" t="str">
        <f>'Proposed Lighting'!CU13</f>
        <v/>
      </c>
      <c r="L316" s="643" t="str">
        <f t="shared" si="75"/>
        <v/>
      </c>
      <c r="M316" s="645">
        <f t="shared" si="60"/>
        <v>0</v>
      </c>
      <c r="N316" s="645"/>
      <c r="O316" s="722">
        <f>IFERROR('Proposed Lighting'!AC13/1000,0)</f>
        <v>0</v>
      </c>
      <c r="P316" s="644">
        <f>'Proposed Lighting'!AV13</f>
        <v>0</v>
      </c>
      <c r="Q316" s="644">
        <f>IF(AND('Proposed Lighting'!T13="Lighting Controls Only",'Data Entry'!$AF$23="OR",'Proposed Lighting'!AU13=2),0,
IF(AND('Proposed Lighting'!T13="Lighting Controls Only",'Data Entry'!$AF$23="OR",'Proposed Lighting'!AU13=3,OR('Proposed Lighting'!W13="ceiling mount",'Proposed Lighting'!W13="wall switch",'Proposed Lighting'!W13="fixture mount (on exisiting equip)",'Proposed Lighting'!W13="daylight harvesting (on existing equip)")),0,
IF('Proposed Lighting'!AF13=1,IF(P316=0,0,J316*O316*(L316*(1-P316))),IF('Proposed Lighting'!AU13=1,0,'Proposed Lighting'!AX13-'Proposed Lighting'!AY13))))</f>
        <v>0</v>
      </c>
      <c r="R316" s="646">
        <f>IF('Proposed Lighting'!T13="Non-standard (provide description",0,
IF(AND(E316="Non-standard control",'Proposed Lighting'!AU13=2),Q316*0.1,
IF(AND(E316="Non-standard control",'Proposed Lighting'!AU13=3),Q316*0.08,
IF('Proposed Lighting'!EF13=0,0,IF('Proposed Lighting'!AU13=1,0,
IF(AND('Data Entry'!$AF$23="ID",'Proposed Lighting'!T13="Lighting controls only"),VLOOKUP(E316,'Proposed Lighting'!$DO$97:$DP$106,2,FALSE),
IF(AND('Data Entry'!$AF$23="OR",'Proposed Lighting'!AU13=3,'Proposed Lighting'!T13="Lighting controls only"),VLOOKUP(E316,'Proposed Lighting'!$DO$127:$DP$134,2,FALSE),0)))))))*J316</f>
        <v>0</v>
      </c>
      <c r="S316" s="646">
        <f>IF(Q316&lt;0.01,0,IF('Proposed Lighting'!AK13&gt;0,'Proposed Lighting'!AK13*'Proposed Lighting'!EF13,0))</f>
        <v>0</v>
      </c>
      <c r="T316" s="647">
        <f t="shared" si="76"/>
        <v>0</v>
      </c>
      <c r="U316" s="648"/>
      <c r="V316" s="646">
        <f t="shared" si="63"/>
        <v>0</v>
      </c>
      <c r="W316" s="646">
        <f t="shared" si="64"/>
        <v>0</v>
      </c>
      <c r="X316" s="646">
        <f t="shared" si="65"/>
        <v>0</v>
      </c>
      <c r="Y316" s="646"/>
      <c r="Z316" s="646"/>
      <c r="AA316" s="646"/>
      <c r="AB316" s="646">
        <f t="shared" si="66"/>
        <v>0</v>
      </c>
      <c r="AC316" s="649" t="str">
        <f t="shared" si="67"/>
        <v/>
      </c>
      <c r="AD316" s="649" t="str">
        <f t="shared" si="68"/>
        <v/>
      </c>
      <c r="AE316" s="649" t="str">
        <f t="shared" si="69"/>
        <v/>
      </c>
      <c r="AF316" s="72"/>
      <c r="AG316" s="644">
        <f>IFERROR(IF($AV316="No",0,IF($AV316="yes",Summary!Q316,"")),"")</f>
        <v>0</v>
      </c>
      <c r="AH316" s="646">
        <f>IFERROR(IF($AV316="No",0,IF($AV316="yes",Summary!R316,"")),"")</f>
        <v>0</v>
      </c>
      <c r="AI316" s="646">
        <f>IFERROR(IF($AV316="No",0,IF($AV316="yes",Summary!S316,"")),"")</f>
        <v>0</v>
      </c>
      <c r="AJ316" s="647">
        <f>IFERROR(IF($AV316="No",0,IF($AV316="yes",Summary!T316,"")),"")</f>
        <v>0</v>
      </c>
      <c r="AK316" s="648">
        <f>IFERROR(IF($AV316="No",0,IF($AV316="yes",Summary!U316,"")),"")</f>
        <v>0</v>
      </c>
      <c r="AL316" s="646">
        <f>IFERROR(IF($AV316="No",0,IF($AV316="yes",Summary!V316,"")),"")</f>
        <v>0</v>
      </c>
      <c r="AM316" s="646">
        <f>IFERROR(IF($AV316="No",0,IF($AV316="yes",Summary!W316,"")),"")</f>
        <v>0</v>
      </c>
      <c r="AN316" s="646">
        <f>IFERROR(IF($AV316="No",0,IF($AV316="yes",Summary!X316,"")),"")</f>
        <v>0</v>
      </c>
      <c r="AO316" s="646">
        <f>IFERROR(IF($AV316="No",0,IF($AV316="yes",Summary!Y316+Z316,"")),"")</f>
        <v>0</v>
      </c>
      <c r="AP316" s="646">
        <f>IFERROR(IF($AV316="No",0,IF($AV316="yes",Summary!AB316,"")),"")</f>
        <v>0</v>
      </c>
      <c r="AQ316" s="649" t="str">
        <f t="shared" si="77"/>
        <v/>
      </c>
      <c r="AR316" s="649" t="str">
        <f t="shared" si="79"/>
        <v/>
      </c>
      <c r="AS316" s="649" t="str">
        <f t="shared" si="78"/>
        <v/>
      </c>
      <c r="AT316" s="641" t="s">
        <v>790</v>
      </c>
      <c r="AV316" t="str">
        <f>IF('Proposed Lighting'!AK13&gt;0,"No","Yes")</f>
        <v>Yes</v>
      </c>
    </row>
    <row r="317" spans="1:48" ht="34.5" customHeight="1" outlineLevel="1">
      <c r="A317" s="641" t="s">
        <v>791</v>
      </c>
      <c r="B317" s="641" t="str">
        <f>IF('Proposed Lighting'!AU14=3,"Commercial-All Com-ExtLight",IF('Proposed Lighting'!AH14&gt;8759,"IPC_8760","Commercial-All Com-IntLight"))</f>
        <v>IPC_8760</v>
      </c>
      <c r="C317" s="641" t="str">
        <f>IF(OR(E317="",E317=0),"No",
IF(AND('Data Entry'!$AF$23="OR",AE317&lt;1),"No",
IF(AND('Data Entry'!$AF$23="ID",E317="Non-standard lighting control system",AD317&lt;1),"No",
IF(AND('Data Entry'!$AF$23="OR",'Proposed Lighting'!F14="Existing LED (Provide Description)",'Proposed Lighting'!AK14=""),"No",
IF('Proposed Lighting'!DD14="Submit Control as Non-Standard","No",
IF(AND('Proposed Lighting'!T14="Non-Standard (Provide Description)",AD317&lt;1),"No",
IF('Proposed Lighting'!AW14&lt;'Proposed Lighting'!AZ14,"No","Yes")))))))</f>
        <v>No</v>
      </c>
      <c r="D317" s="1604">
        <f>'Proposed Lighting'!BQ14-Q317</f>
        <v>0</v>
      </c>
      <c r="E317" s="642" t="str">
        <f>IF('Proposed Lighting'!W14="","",'Proposed Lighting'!W14)</f>
        <v/>
      </c>
      <c r="F317" s="642"/>
      <c r="G317" s="641" t="s">
        <v>786</v>
      </c>
      <c r="H317" s="643">
        <v>10</v>
      </c>
      <c r="I317" s="644">
        <v>1</v>
      </c>
      <c r="J317" s="723">
        <f>IF('Proposed Lighting'!EF14=0,'Proposed Lighting'!AA14,'Proposed Lighting'!EF14)</f>
        <v>0</v>
      </c>
      <c r="K317" s="643" t="str">
        <f>'Proposed Lighting'!CU14</f>
        <v/>
      </c>
      <c r="L317" s="643" t="str">
        <f t="shared" si="75"/>
        <v/>
      </c>
      <c r="M317" s="645">
        <f t="shared" si="60"/>
        <v>0</v>
      </c>
      <c r="N317" s="645"/>
      <c r="O317" s="722">
        <f>IFERROR('Proposed Lighting'!AC14/1000,0)</f>
        <v>0</v>
      </c>
      <c r="P317" s="644">
        <f>'Proposed Lighting'!AV14</f>
        <v>0</v>
      </c>
      <c r="Q317" s="644">
        <f>IF(AND('Proposed Lighting'!T14="Lighting Controls Only",'Data Entry'!$AF$23="OR",'Proposed Lighting'!AU14=2),0,
IF(AND('Proposed Lighting'!T14="Lighting Controls Only",'Data Entry'!$AF$23="OR",'Proposed Lighting'!AU14=3,OR('Proposed Lighting'!W14="ceiling mount",'Proposed Lighting'!W14="wall switch",'Proposed Lighting'!W14="fixture mount (on exisiting equip)",'Proposed Lighting'!W14="daylight harvesting (on existing equip)")),0,
IF('Proposed Lighting'!AF14=1,IF(P317=0,0,J317*O317*(L317*(1-P317))),IF('Proposed Lighting'!AU14=1,0,'Proposed Lighting'!AX14-'Proposed Lighting'!AY14))))</f>
        <v>0</v>
      </c>
      <c r="R317" s="646">
        <f>IF('Proposed Lighting'!T14="Non-standard (provide description",0,
IF(AND(E317="Non-standard control",'Proposed Lighting'!AU14=2),Q317*0.1,
IF(AND(E317="Non-standard control",'Proposed Lighting'!AU14=3),Q317*0.08,
IF('Proposed Lighting'!EF14=0,0,IF('Proposed Lighting'!AU14=1,0,
IF(AND('Data Entry'!$AF$23="ID",'Proposed Lighting'!T14="Lighting controls only"),VLOOKUP(E317,'Proposed Lighting'!$DO$97:$DP$106,2,FALSE),
IF(AND('Data Entry'!$AF$23="OR",'Proposed Lighting'!AU14=3,'Proposed Lighting'!T14="Lighting controls only"),VLOOKUP(E317,'Proposed Lighting'!$DO$127:$DP$134,2,FALSE),0)))))))*J317</f>
        <v>0</v>
      </c>
      <c r="S317" s="646">
        <f>IF(Q317&lt;0.01,0,IF('Proposed Lighting'!AK14&gt;0,'Proposed Lighting'!AK14*'Proposed Lighting'!EF14,0))</f>
        <v>0</v>
      </c>
      <c r="T317" s="647">
        <f t="shared" si="76"/>
        <v>0</v>
      </c>
      <c r="U317" s="648"/>
      <c r="V317" s="646">
        <f t="shared" si="63"/>
        <v>0</v>
      </c>
      <c r="W317" s="646">
        <f t="shared" si="64"/>
        <v>0</v>
      </c>
      <c r="X317" s="646">
        <f t="shared" si="65"/>
        <v>0</v>
      </c>
      <c r="Y317" s="646"/>
      <c r="Z317" s="646"/>
      <c r="AA317" s="646"/>
      <c r="AB317" s="646">
        <f t="shared" si="66"/>
        <v>0</v>
      </c>
      <c r="AC317" s="649" t="str">
        <f t="shared" si="67"/>
        <v/>
      </c>
      <c r="AD317" s="649" t="str">
        <f t="shared" si="68"/>
        <v/>
      </c>
      <c r="AE317" s="649" t="str">
        <f t="shared" si="69"/>
        <v/>
      </c>
      <c r="AF317" s="72"/>
      <c r="AG317" s="644">
        <f>IFERROR(IF($AV317="No",0,IF($AV317="yes",Summary!Q317,"")),"")</f>
        <v>0</v>
      </c>
      <c r="AH317" s="646">
        <f>IFERROR(IF($AV317="No",0,IF($AV317="yes",Summary!R317,"")),"")</f>
        <v>0</v>
      </c>
      <c r="AI317" s="646">
        <f>IFERROR(IF($AV317="No",0,IF($AV317="yes",Summary!S317,"")),"")</f>
        <v>0</v>
      </c>
      <c r="AJ317" s="647">
        <f>IFERROR(IF($AV317="No",0,IF($AV317="yes",Summary!T317,"")),"")</f>
        <v>0</v>
      </c>
      <c r="AK317" s="648">
        <f>IFERROR(IF($AV317="No",0,IF($AV317="yes",Summary!U317,"")),"")</f>
        <v>0</v>
      </c>
      <c r="AL317" s="646">
        <f>IFERROR(IF($AV317="No",0,IF($AV317="yes",Summary!V317,"")),"")</f>
        <v>0</v>
      </c>
      <c r="AM317" s="646">
        <f>IFERROR(IF($AV317="No",0,IF($AV317="yes",Summary!W317,"")),"")</f>
        <v>0</v>
      </c>
      <c r="AN317" s="646">
        <f>IFERROR(IF($AV317="No",0,IF($AV317="yes",Summary!X317,"")),"")</f>
        <v>0</v>
      </c>
      <c r="AO317" s="646">
        <f>IFERROR(IF($AV317="No",0,IF($AV317="yes",Summary!Y317+Z317,"")),"")</f>
        <v>0</v>
      </c>
      <c r="AP317" s="646">
        <f>IFERROR(IF($AV317="No",0,IF($AV317="yes",Summary!AB317,"")),"")</f>
        <v>0</v>
      </c>
      <c r="AQ317" s="649" t="str">
        <f t="shared" si="77"/>
        <v/>
      </c>
      <c r="AR317" s="649" t="str">
        <f t="shared" si="79"/>
        <v/>
      </c>
      <c r="AS317" s="649" t="str">
        <f t="shared" si="78"/>
        <v/>
      </c>
      <c r="AT317" s="641" t="s">
        <v>791</v>
      </c>
      <c r="AV317" t="str">
        <f>IF('Proposed Lighting'!AK14&gt;0,"No","Yes")</f>
        <v>Yes</v>
      </c>
    </row>
    <row r="318" spans="1:48" ht="34.5" customHeight="1" outlineLevel="1">
      <c r="A318" s="641" t="s">
        <v>792</v>
      </c>
      <c r="B318" s="641" t="str">
        <f>IF('Proposed Lighting'!AU15=3,"Commercial-All Com-ExtLight",IF('Proposed Lighting'!AH15&gt;8759,"IPC_8760","Commercial-All Com-IntLight"))</f>
        <v>IPC_8760</v>
      </c>
      <c r="C318" s="641" t="str">
        <f>IF(OR(E318="",E318=0),"No",
IF(AND('Data Entry'!$AF$23="OR",AE318&lt;1),"No",
IF(AND('Data Entry'!$AF$23="ID",E318="Non-standard lighting control system",AD318&lt;1),"No",
IF(AND('Data Entry'!$AF$23="OR",'Proposed Lighting'!F15="Existing LED (Provide Description)",'Proposed Lighting'!AK15=""),"No",
IF('Proposed Lighting'!DD15="Submit Control as Non-Standard","No",
IF(AND('Proposed Lighting'!T15="Non-Standard (Provide Description)",AD318&lt;1),"No",
IF('Proposed Lighting'!AW15&lt;'Proposed Lighting'!AZ15,"No","Yes")))))))</f>
        <v>No</v>
      </c>
      <c r="D318" s="1604">
        <f>'Proposed Lighting'!BQ15-Q318</f>
        <v>0</v>
      </c>
      <c r="E318" s="642" t="str">
        <f>IF('Proposed Lighting'!W15="","",'Proposed Lighting'!W15)</f>
        <v/>
      </c>
      <c r="F318" s="642"/>
      <c r="G318" s="641" t="s">
        <v>786</v>
      </c>
      <c r="H318" s="643">
        <v>10</v>
      </c>
      <c r="I318" s="644">
        <v>1</v>
      </c>
      <c r="J318" s="723">
        <f>IF('Proposed Lighting'!EF15=0,'Proposed Lighting'!AA15,'Proposed Lighting'!EF15)</f>
        <v>0</v>
      </c>
      <c r="K318" s="643" t="str">
        <f>'Proposed Lighting'!CU15</f>
        <v/>
      </c>
      <c r="L318" s="643" t="str">
        <f t="shared" si="75"/>
        <v/>
      </c>
      <c r="M318" s="645">
        <f t="shared" si="60"/>
        <v>0</v>
      </c>
      <c r="N318" s="645"/>
      <c r="O318" s="722">
        <f>IFERROR('Proposed Lighting'!AC15/1000,0)</f>
        <v>0</v>
      </c>
      <c r="P318" s="644">
        <f>'Proposed Lighting'!AV15</f>
        <v>0</v>
      </c>
      <c r="Q318" s="644">
        <f>IF(AND('Proposed Lighting'!T15="Lighting Controls Only",'Data Entry'!$AF$23="OR",'Proposed Lighting'!AU15=2),0,
IF(AND('Proposed Lighting'!T15="Lighting Controls Only",'Data Entry'!$AF$23="OR",'Proposed Lighting'!AU15=3,OR('Proposed Lighting'!W15="ceiling mount",'Proposed Lighting'!W15="wall switch",'Proposed Lighting'!W15="fixture mount (on exisiting equip)",'Proposed Lighting'!W15="daylight harvesting (on existing equip)")),0,
IF('Proposed Lighting'!AF15=1,IF(P318=0,0,J318*O318*(L318*(1-P318))),IF('Proposed Lighting'!AU15=1,0,'Proposed Lighting'!AX15-'Proposed Lighting'!AY15))))</f>
        <v>0</v>
      </c>
      <c r="R318" s="646">
        <f>IF('Proposed Lighting'!T15="Non-standard (provide description",0,
IF(AND(E318="Non-standard control",'Proposed Lighting'!AU15=2),Q318*0.1,
IF(AND(E318="Non-standard control",'Proposed Lighting'!AU15=3),Q318*0.08,
IF('Proposed Lighting'!EF15=0,0,IF('Proposed Lighting'!AU15=1,0,
IF(AND('Data Entry'!$AF$23="ID",'Proposed Lighting'!T15="Lighting controls only"),VLOOKUP(E318,'Proposed Lighting'!$DO$97:$DP$106,2,FALSE),
IF(AND('Data Entry'!$AF$23="OR",'Proposed Lighting'!AU15=3,'Proposed Lighting'!T15="Lighting controls only"),VLOOKUP(E318,'Proposed Lighting'!$DO$127:$DP$134,2,FALSE),0)))))))*J318</f>
        <v>0</v>
      </c>
      <c r="S318" s="646">
        <f>IF(Q318&lt;0.01,0,IF('Proposed Lighting'!AK15&gt;0,'Proposed Lighting'!AK15*'Proposed Lighting'!EF15,0))</f>
        <v>0</v>
      </c>
      <c r="T318" s="647">
        <f t="shared" si="76"/>
        <v>0</v>
      </c>
      <c r="U318" s="648"/>
      <c r="V318" s="646">
        <f t="shared" si="63"/>
        <v>0</v>
      </c>
      <c r="W318" s="646">
        <f t="shared" si="64"/>
        <v>0</v>
      </c>
      <c r="X318" s="646">
        <f t="shared" si="65"/>
        <v>0</v>
      </c>
      <c r="Y318" s="646"/>
      <c r="Z318" s="646"/>
      <c r="AA318" s="646"/>
      <c r="AB318" s="646">
        <f t="shared" si="66"/>
        <v>0</v>
      </c>
      <c r="AC318" s="649" t="str">
        <f t="shared" si="67"/>
        <v/>
      </c>
      <c r="AD318" s="649" t="str">
        <f t="shared" si="68"/>
        <v/>
      </c>
      <c r="AE318" s="649" t="str">
        <f t="shared" si="69"/>
        <v/>
      </c>
      <c r="AF318" s="72"/>
      <c r="AG318" s="644">
        <f>IFERROR(IF($AV318="No",0,IF($AV318="yes",Summary!Q318,"")),"")</f>
        <v>0</v>
      </c>
      <c r="AH318" s="646">
        <f>IFERROR(IF($AV318="No",0,IF($AV318="yes",Summary!R318,"")),"")</f>
        <v>0</v>
      </c>
      <c r="AI318" s="646">
        <f>IFERROR(IF($AV318="No",0,IF($AV318="yes",Summary!S318,"")),"")</f>
        <v>0</v>
      </c>
      <c r="AJ318" s="647">
        <f>IFERROR(IF($AV318="No",0,IF($AV318="yes",Summary!T318,"")),"")</f>
        <v>0</v>
      </c>
      <c r="AK318" s="648">
        <f>IFERROR(IF($AV318="No",0,IF($AV318="yes",Summary!U318,"")),"")</f>
        <v>0</v>
      </c>
      <c r="AL318" s="646">
        <f>IFERROR(IF($AV318="No",0,IF($AV318="yes",Summary!V318,"")),"")</f>
        <v>0</v>
      </c>
      <c r="AM318" s="646">
        <f>IFERROR(IF($AV318="No",0,IF($AV318="yes",Summary!W318,"")),"")</f>
        <v>0</v>
      </c>
      <c r="AN318" s="646">
        <f>IFERROR(IF($AV318="No",0,IF($AV318="yes",Summary!X318,"")),"")</f>
        <v>0</v>
      </c>
      <c r="AO318" s="646">
        <f>IFERROR(IF($AV318="No",0,IF($AV318="yes",Summary!Y318+Z318,"")),"")</f>
        <v>0</v>
      </c>
      <c r="AP318" s="646">
        <f>IFERROR(IF($AV318="No",0,IF($AV318="yes",Summary!AB318,"")),"")</f>
        <v>0</v>
      </c>
      <c r="AQ318" s="649" t="str">
        <f t="shared" si="77"/>
        <v/>
      </c>
      <c r="AR318" s="649" t="str">
        <f t="shared" si="79"/>
        <v/>
      </c>
      <c r="AS318" s="649" t="str">
        <f t="shared" si="78"/>
        <v/>
      </c>
      <c r="AT318" s="641" t="s">
        <v>792</v>
      </c>
      <c r="AV318" t="str">
        <f>IF('Proposed Lighting'!AK15&gt;0,"No","Yes")</f>
        <v>Yes</v>
      </c>
    </row>
    <row r="319" spans="1:48" ht="34.5" customHeight="1" outlineLevel="1">
      <c r="A319" s="641" t="s">
        <v>793</v>
      </c>
      <c r="B319" s="641" t="str">
        <f>IF('Proposed Lighting'!AU16=3,"Commercial-All Com-ExtLight",IF('Proposed Lighting'!AH16&gt;8759,"IPC_8760","Commercial-All Com-IntLight"))</f>
        <v>IPC_8760</v>
      </c>
      <c r="C319" s="641" t="str">
        <f>IF(OR(E319="",E319=0),"No",
IF(AND('Data Entry'!$AF$23="OR",AE319&lt;1),"No",
IF(AND('Data Entry'!$AF$23="ID",E319="Non-standard lighting control system",AD319&lt;1),"No",
IF(AND('Data Entry'!$AF$23="OR",'Proposed Lighting'!F16="Existing LED (Provide Description)",'Proposed Lighting'!AK16=""),"No",
IF('Proposed Lighting'!DD16="Submit Control as Non-Standard","No",
IF(AND('Proposed Lighting'!T16="Non-Standard (Provide Description)",AD319&lt;1),"No",
IF('Proposed Lighting'!AW16&lt;'Proposed Lighting'!AZ16,"No","Yes")))))))</f>
        <v>No</v>
      </c>
      <c r="D319" s="1604">
        <f>'Proposed Lighting'!BQ16-Q319</f>
        <v>0</v>
      </c>
      <c r="E319" s="642" t="str">
        <f>IF('Proposed Lighting'!W16="","",'Proposed Lighting'!W16)</f>
        <v/>
      </c>
      <c r="F319" s="642"/>
      <c r="G319" s="641" t="s">
        <v>786</v>
      </c>
      <c r="H319" s="643">
        <v>10</v>
      </c>
      <c r="I319" s="644">
        <v>1</v>
      </c>
      <c r="J319" s="723">
        <f>IF('Proposed Lighting'!EF16=0,'Proposed Lighting'!AA16,'Proposed Lighting'!EF16)</f>
        <v>0</v>
      </c>
      <c r="K319" s="643" t="str">
        <f>'Proposed Lighting'!CU16</f>
        <v/>
      </c>
      <c r="L319" s="643" t="str">
        <f t="shared" si="75"/>
        <v/>
      </c>
      <c r="M319" s="645">
        <f t="shared" si="60"/>
        <v>0</v>
      </c>
      <c r="N319" s="645"/>
      <c r="O319" s="722">
        <f>IFERROR('Proposed Lighting'!AC16/1000,0)</f>
        <v>0</v>
      </c>
      <c r="P319" s="644">
        <f>'Proposed Lighting'!AV16</f>
        <v>0</v>
      </c>
      <c r="Q319" s="644">
        <f>IF(AND('Proposed Lighting'!T16="Lighting Controls Only",'Data Entry'!$AF$23="OR",'Proposed Lighting'!AU16=2),0,
IF(AND('Proposed Lighting'!T16="Lighting Controls Only",'Data Entry'!$AF$23="OR",'Proposed Lighting'!AU16=3,OR('Proposed Lighting'!W16="ceiling mount",'Proposed Lighting'!W16="wall switch",'Proposed Lighting'!W16="fixture mount (on exisiting equip)",'Proposed Lighting'!W16="daylight harvesting (on existing equip)")),0,
IF('Proposed Lighting'!AF16=1,IF(P319=0,0,J319*O319*(L319*(1-P319))),IF('Proposed Lighting'!AU16=1,0,'Proposed Lighting'!AX16-'Proposed Lighting'!AY16))))</f>
        <v>0</v>
      </c>
      <c r="R319" s="646">
        <f>IF('Proposed Lighting'!T16="Non-standard (provide description",0,
IF(AND(E319="Non-standard control",'Proposed Lighting'!AU16=2),Q319*0.1,
IF(AND(E319="Non-standard control",'Proposed Lighting'!AU16=3),Q319*0.08,
IF('Proposed Lighting'!EF16=0,0,IF('Proposed Lighting'!AU16=1,0,
IF(AND('Data Entry'!$AF$23="ID",'Proposed Lighting'!T16="Lighting controls only"),VLOOKUP(E319,'Proposed Lighting'!$DO$97:$DP$106,2,FALSE),
IF(AND('Data Entry'!$AF$23="OR",'Proposed Lighting'!AU16=3,'Proposed Lighting'!T16="Lighting controls only"),VLOOKUP(E319,'Proposed Lighting'!$DO$127:$DP$134,2,FALSE),0)))))))*J319</f>
        <v>0</v>
      </c>
      <c r="S319" s="646">
        <f>IF(Q319&lt;0.01,0,IF('Proposed Lighting'!AK16&gt;0,'Proposed Lighting'!AK16*'Proposed Lighting'!EF16,0))</f>
        <v>0</v>
      </c>
      <c r="T319" s="647">
        <f t="shared" si="76"/>
        <v>0</v>
      </c>
      <c r="U319" s="648"/>
      <c r="V319" s="646">
        <f t="shared" si="63"/>
        <v>0</v>
      </c>
      <c r="W319" s="646">
        <f t="shared" si="64"/>
        <v>0</v>
      </c>
      <c r="X319" s="646">
        <f t="shared" si="65"/>
        <v>0</v>
      </c>
      <c r="Y319" s="646"/>
      <c r="Z319" s="646"/>
      <c r="AA319" s="646"/>
      <c r="AB319" s="646">
        <f t="shared" si="66"/>
        <v>0</v>
      </c>
      <c r="AC319" s="649" t="str">
        <f t="shared" si="67"/>
        <v/>
      </c>
      <c r="AD319" s="649" t="str">
        <f t="shared" si="68"/>
        <v/>
      </c>
      <c r="AE319" s="649" t="str">
        <f t="shared" si="69"/>
        <v/>
      </c>
      <c r="AF319" s="72"/>
      <c r="AG319" s="644">
        <f>IFERROR(IF($AV319="No",0,IF($AV319="yes",Summary!Q319,"")),"")</f>
        <v>0</v>
      </c>
      <c r="AH319" s="646">
        <f>IFERROR(IF($AV319="No",0,IF($AV319="yes",Summary!R319,"")),"")</f>
        <v>0</v>
      </c>
      <c r="AI319" s="646">
        <f>IFERROR(IF($AV319="No",0,IF($AV319="yes",Summary!S319,"")),"")</f>
        <v>0</v>
      </c>
      <c r="AJ319" s="647">
        <f>IFERROR(IF($AV319="No",0,IF($AV319="yes",Summary!T319,"")),"")</f>
        <v>0</v>
      </c>
      <c r="AK319" s="648">
        <f>IFERROR(IF($AV319="No",0,IF($AV319="yes",Summary!U319,"")),"")</f>
        <v>0</v>
      </c>
      <c r="AL319" s="646">
        <f>IFERROR(IF($AV319="No",0,IF($AV319="yes",Summary!V319,"")),"")</f>
        <v>0</v>
      </c>
      <c r="AM319" s="646">
        <f>IFERROR(IF($AV319="No",0,IF($AV319="yes",Summary!W319,"")),"")</f>
        <v>0</v>
      </c>
      <c r="AN319" s="646">
        <f>IFERROR(IF($AV319="No",0,IF($AV319="yes",Summary!X319,"")),"")</f>
        <v>0</v>
      </c>
      <c r="AO319" s="646">
        <f>IFERROR(IF($AV319="No",0,IF($AV319="yes",Summary!Y319+Z319,"")),"")</f>
        <v>0</v>
      </c>
      <c r="AP319" s="646">
        <f>IFERROR(IF($AV319="No",0,IF($AV319="yes",Summary!AB319,"")),"")</f>
        <v>0</v>
      </c>
      <c r="AQ319" s="649" t="str">
        <f t="shared" si="77"/>
        <v/>
      </c>
      <c r="AR319" s="649" t="str">
        <f t="shared" si="79"/>
        <v/>
      </c>
      <c r="AS319" s="649" t="str">
        <f t="shared" si="78"/>
        <v/>
      </c>
      <c r="AT319" s="641" t="s">
        <v>793</v>
      </c>
      <c r="AV319" t="str">
        <f>IF('Proposed Lighting'!AK16&gt;0,"No","Yes")</f>
        <v>Yes</v>
      </c>
    </row>
    <row r="320" spans="1:48" ht="34.5" customHeight="1" outlineLevel="1">
      <c r="A320" s="641" t="s">
        <v>794</v>
      </c>
      <c r="B320" s="641" t="str">
        <f>IF('Proposed Lighting'!AU17=3,"Commercial-All Com-ExtLight",IF('Proposed Lighting'!AH17&gt;8759,"IPC_8760","Commercial-All Com-IntLight"))</f>
        <v>IPC_8760</v>
      </c>
      <c r="C320" s="641" t="str">
        <f>IF(OR(E320="",E320=0),"No",
IF(AND('Data Entry'!$AF$23="OR",AE320&lt;1),"No",
IF(AND('Data Entry'!$AF$23="ID",E320="Non-standard lighting control system",AD320&lt;1),"No",
IF(AND('Data Entry'!$AF$23="OR",'Proposed Lighting'!F17="Existing LED (Provide Description)",'Proposed Lighting'!AK17=""),"No",
IF('Proposed Lighting'!DD17="Submit Control as Non-Standard","No",
IF(AND('Proposed Lighting'!T17="Non-Standard (Provide Description)",AD320&lt;1),"No",
IF('Proposed Lighting'!AW17&lt;'Proposed Lighting'!AZ17,"No","Yes")))))))</f>
        <v>No</v>
      </c>
      <c r="D320" s="1604">
        <f>'Proposed Lighting'!BQ17-Q320</f>
        <v>0</v>
      </c>
      <c r="E320" s="642" t="str">
        <f>IF('Proposed Lighting'!W17="","",'Proposed Lighting'!W17)</f>
        <v/>
      </c>
      <c r="F320" s="642"/>
      <c r="G320" s="641" t="s">
        <v>786</v>
      </c>
      <c r="H320" s="643">
        <v>10</v>
      </c>
      <c r="I320" s="644">
        <v>1</v>
      </c>
      <c r="J320" s="723">
        <f>IF('Proposed Lighting'!EF17=0,'Proposed Lighting'!AA17,'Proposed Lighting'!EF17)</f>
        <v>0</v>
      </c>
      <c r="K320" s="643" t="str">
        <f>'Proposed Lighting'!CU17</f>
        <v/>
      </c>
      <c r="L320" s="643" t="str">
        <f t="shared" si="75"/>
        <v/>
      </c>
      <c r="M320" s="645">
        <f t="shared" si="60"/>
        <v>0</v>
      </c>
      <c r="N320" s="645"/>
      <c r="O320" s="722">
        <f>IFERROR('Proposed Lighting'!AC17/1000,0)</f>
        <v>0</v>
      </c>
      <c r="P320" s="644">
        <f>'Proposed Lighting'!AV17</f>
        <v>0</v>
      </c>
      <c r="Q320" s="644">
        <f>IF(AND('Proposed Lighting'!T17="Lighting Controls Only",'Data Entry'!$AF$23="OR",'Proposed Lighting'!AU17=2),0,
IF(AND('Proposed Lighting'!T17="Lighting Controls Only",'Data Entry'!$AF$23="OR",'Proposed Lighting'!AU17=3,OR('Proposed Lighting'!W17="ceiling mount",'Proposed Lighting'!W17="wall switch",'Proposed Lighting'!W17="fixture mount (on exisiting equip)",'Proposed Lighting'!W17="daylight harvesting (on existing equip)")),0,
IF('Proposed Lighting'!AF17=1,IF(P320=0,0,J320*O320*(L320*(1-P320))),IF('Proposed Lighting'!AU17=1,0,'Proposed Lighting'!AX17-'Proposed Lighting'!AY17))))</f>
        <v>0</v>
      </c>
      <c r="R320" s="646">
        <f>IF('Proposed Lighting'!T17="Non-standard (provide description",0,
IF(AND(E320="Non-standard control",'Proposed Lighting'!AU17=2),Q320*0.1,
IF(AND(E320="Non-standard control",'Proposed Lighting'!AU17=3),Q320*0.08,
IF('Proposed Lighting'!EF17=0,0,IF('Proposed Lighting'!AU17=1,0,
IF(AND('Data Entry'!$AF$23="ID",'Proposed Lighting'!T17="Lighting controls only"),VLOOKUP(E320,'Proposed Lighting'!$DO$97:$DP$106,2,FALSE),
IF(AND('Data Entry'!$AF$23="OR",'Proposed Lighting'!AU17=3,'Proposed Lighting'!T17="Lighting controls only"),VLOOKUP(E320,'Proposed Lighting'!$DO$127:$DP$134,2,FALSE),0)))))))*J320</f>
        <v>0</v>
      </c>
      <c r="S320" s="646">
        <f>IF(Q320&lt;0.01,0,IF('Proposed Lighting'!AK17&gt;0,'Proposed Lighting'!AK17*'Proposed Lighting'!EF17,0))</f>
        <v>0</v>
      </c>
      <c r="T320" s="647">
        <f t="shared" si="76"/>
        <v>0</v>
      </c>
      <c r="U320" s="648"/>
      <c r="V320" s="646">
        <f t="shared" si="63"/>
        <v>0</v>
      </c>
      <c r="W320" s="646">
        <f t="shared" si="64"/>
        <v>0</v>
      </c>
      <c r="X320" s="646">
        <f t="shared" si="65"/>
        <v>0</v>
      </c>
      <c r="Y320" s="646"/>
      <c r="Z320" s="646"/>
      <c r="AA320" s="646"/>
      <c r="AB320" s="646">
        <f t="shared" si="66"/>
        <v>0</v>
      </c>
      <c r="AC320" s="649" t="str">
        <f t="shared" si="67"/>
        <v/>
      </c>
      <c r="AD320" s="649" t="str">
        <f t="shared" si="68"/>
        <v/>
      </c>
      <c r="AE320" s="649" t="str">
        <f t="shared" si="69"/>
        <v/>
      </c>
      <c r="AF320" s="72"/>
      <c r="AG320" s="644">
        <f>IFERROR(IF($AV320="No",0,IF($AV320="yes",Summary!Q320,"")),"")</f>
        <v>0</v>
      </c>
      <c r="AH320" s="646">
        <f>IFERROR(IF($AV320="No",0,IF($AV320="yes",Summary!R320,"")),"")</f>
        <v>0</v>
      </c>
      <c r="AI320" s="646">
        <f>IFERROR(IF($AV320="No",0,IF($AV320="yes",Summary!S320,"")),"")</f>
        <v>0</v>
      </c>
      <c r="AJ320" s="647">
        <f>IFERROR(IF($AV320="No",0,IF($AV320="yes",Summary!T320,"")),"")</f>
        <v>0</v>
      </c>
      <c r="AK320" s="648">
        <f>IFERROR(IF($AV320="No",0,IF($AV320="yes",Summary!U320,"")),"")</f>
        <v>0</v>
      </c>
      <c r="AL320" s="646">
        <f>IFERROR(IF($AV320="No",0,IF($AV320="yes",Summary!V320,"")),"")</f>
        <v>0</v>
      </c>
      <c r="AM320" s="646">
        <f>IFERROR(IF($AV320="No",0,IF($AV320="yes",Summary!W320,"")),"")</f>
        <v>0</v>
      </c>
      <c r="AN320" s="646">
        <f>IFERROR(IF($AV320="No",0,IF($AV320="yes",Summary!X320,"")),"")</f>
        <v>0</v>
      </c>
      <c r="AO320" s="646">
        <f>IFERROR(IF($AV320="No",0,IF($AV320="yes",Summary!Y320+Z320,"")),"")</f>
        <v>0</v>
      </c>
      <c r="AP320" s="646">
        <f>IFERROR(IF($AV320="No",0,IF($AV320="yes",Summary!AB320,"")),"")</f>
        <v>0</v>
      </c>
      <c r="AQ320" s="649" t="str">
        <f t="shared" si="77"/>
        <v/>
      </c>
      <c r="AR320" s="649" t="str">
        <f t="shared" si="79"/>
        <v/>
      </c>
      <c r="AS320" s="649" t="str">
        <f t="shared" si="78"/>
        <v/>
      </c>
      <c r="AT320" s="641" t="s">
        <v>794</v>
      </c>
      <c r="AV320" t="str">
        <f>IF('Proposed Lighting'!AK17&gt;0,"No","Yes")</f>
        <v>Yes</v>
      </c>
    </row>
    <row r="321" spans="1:48" ht="34.5" customHeight="1" outlineLevel="1">
      <c r="A321" s="641" t="s">
        <v>795</v>
      </c>
      <c r="B321" s="641" t="str">
        <f>IF('Proposed Lighting'!AU18=3,"Commercial-All Com-ExtLight",IF('Proposed Lighting'!AH18&gt;8759,"IPC_8760","Commercial-All Com-IntLight"))</f>
        <v>IPC_8760</v>
      </c>
      <c r="C321" s="641" t="str">
        <f>IF(OR(E321="",E321=0),"No",
IF(AND('Data Entry'!$AF$23="OR",AE321&lt;1),"No",
IF(AND('Data Entry'!$AF$23="ID",E321="Non-standard lighting control system",AD321&lt;1),"No",
IF(AND('Data Entry'!$AF$23="OR",'Proposed Lighting'!F18="Existing LED (Provide Description)",'Proposed Lighting'!AK18=""),"No",
IF('Proposed Lighting'!DD18="Submit Control as Non-Standard","No",
IF(AND('Proposed Lighting'!T18="Non-Standard (Provide Description)",AD321&lt;1),"No",
IF('Proposed Lighting'!AW18&lt;'Proposed Lighting'!AZ18,"No","Yes")))))))</f>
        <v>No</v>
      </c>
      <c r="D321" s="1604">
        <f>'Proposed Lighting'!BQ18-Q321</f>
        <v>0</v>
      </c>
      <c r="E321" s="642" t="str">
        <f>IF('Proposed Lighting'!W18="","",'Proposed Lighting'!W18)</f>
        <v/>
      </c>
      <c r="F321" s="642"/>
      <c r="G321" s="641" t="s">
        <v>786</v>
      </c>
      <c r="H321" s="643">
        <v>10</v>
      </c>
      <c r="I321" s="644">
        <v>1</v>
      </c>
      <c r="J321" s="723">
        <f>IF('Proposed Lighting'!EF18=0,'Proposed Lighting'!AA18,'Proposed Lighting'!EF18)</f>
        <v>0</v>
      </c>
      <c r="K321" s="643" t="str">
        <f>'Proposed Lighting'!CU18</f>
        <v/>
      </c>
      <c r="L321" s="643" t="str">
        <f t="shared" si="75"/>
        <v/>
      </c>
      <c r="M321" s="645">
        <f t="shared" si="60"/>
        <v>0</v>
      </c>
      <c r="N321" s="645"/>
      <c r="O321" s="722">
        <f>IFERROR('Proposed Lighting'!AC18/1000,0)</f>
        <v>0</v>
      </c>
      <c r="P321" s="644">
        <f>'Proposed Lighting'!AV18</f>
        <v>0</v>
      </c>
      <c r="Q321" s="644">
        <f>IF(AND('Proposed Lighting'!T18="Lighting Controls Only",'Data Entry'!$AF$23="OR",'Proposed Lighting'!AU18=2),0,
IF(AND('Proposed Lighting'!T18="Lighting Controls Only",'Data Entry'!$AF$23="OR",'Proposed Lighting'!AU18=3,OR('Proposed Lighting'!W18="ceiling mount",'Proposed Lighting'!W18="wall switch",'Proposed Lighting'!W18="fixture mount (on exisiting equip)",'Proposed Lighting'!W18="daylight harvesting (on existing equip)")),0,
IF('Proposed Lighting'!AF18=1,IF(P321=0,0,J321*O321*(L321*(1-P321))),IF('Proposed Lighting'!AU18=1,0,'Proposed Lighting'!AX18-'Proposed Lighting'!AY18))))</f>
        <v>0</v>
      </c>
      <c r="R321" s="646">
        <f>IF('Proposed Lighting'!T18="Non-standard (provide description",0,
IF(AND(E321="Non-standard control",'Proposed Lighting'!AU18=2),Q321*0.1,
IF(AND(E321="Non-standard control",'Proposed Lighting'!AU18=3),Q321*0.08,
IF('Proposed Lighting'!EF18=0,0,IF('Proposed Lighting'!AU18=1,0,
IF(AND('Data Entry'!$AF$23="ID",'Proposed Lighting'!T18="Lighting controls only"),VLOOKUP(E321,'Proposed Lighting'!$DO$97:$DP$106,2,FALSE),
IF(AND('Data Entry'!$AF$23="OR",'Proposed Lighting'!AU18=3,'Proposed Lighting'!T18="Lighting controls only"),VLOOKUP(E321,'Proposed Lighting'!$DO$127:$DP$134,2,FALSE),0)))))))*J321</f>
        <v>0</v>
      </c>
      <c r="S321" s="646">
        <f>IF(Q321&lt;0.01,0,IF('Proposed Lighting'!AK18&gt;0,'Proposed Lighting'!AK18*'Proposed Lighting'!EF18,0))</f>
        <v>0</v>
      </c>
      <c r="T321" s="647">
        <f t="shared" si="76"/>
        <v>0</v>
      </c>
      <c r="U321" s="648"/>
      <c r="V321" s="646">
        <f t="shared" si="63"/>
        <v>0</v>
      </c>
      <c r="W321" s="646">
        <f t="shared" si="64"/>
        <v>0</v>
      </c>
      <c r="X321" s="646">
        <f t="shared" si="65"/>
        <v>0</v>
      </c>
      <c r="Y321" s="646"/>
      <c r="Z321" s="646"/>
      <c r="AA321" s="646"/>
      <c r="AB321" s="646">
        <f t="shared" si="66"/>
        <v>0</v>
      </c>
      <c r="AC321" s="649" t="str">
        <f t="shared" si="67"/>
        <v/>
      </c>
      <c r="AD321" s="649" t="str">
        <f t="shared" si="68"/>
        <v/>
      </c>
      <c r="AE321" s="649" t="str">
        <f t="shared" si="69"/>
        <v/>
      </c>
      <c r="AF321" s="72"/>
      <c r="AG321" s="644">
        <f>IFERROR(IF($AV321="No",0,IF($AV321="yes",Summary!Q321,"")),"")</f>
        <v>0</v>
      </c>
      <c r="AH321" s="646">
        <f>IFERROR(IF($AV321="No",0,IF($AV321="yes",Summary!R321,"")),"")</f>
        <v>0</v>
      </c>
      <c r="AI321" s="646">
        <f>IFERROR(IF($AV321="No",0,IF($AV321="yes",Summary!S321,"")),"")</f>
        <v>0</v>
      </c>
      <c r="AJ321" s="647">
        <f>IFERROR(IF($AV321="No",0,IF($AV321="yes",Summary!T321,"")),"")</f>
        <v>0</v>
      </c>
      <c r="AK321" s="648">
        <f>IFERROR(IF($AV321="No",0,IF($AV321="yes",Summary!U321,"")),"")</f>
        <v>0</v>
      </c>
      <c r="AL321" s="646">
        <f>IFERROR(IF($AV321="No",0,IF($AV321="yes",Summary!V321,"")),"")</f>
        <v>0</v>
      </c>
      <c r="AM321" s="646">
        <f>IFERROR(IF($AV321="No",0,IF($AV321="yes",Summary!W321,"")),"")</f>
        <v>0</v>
      </c>
      <c r="AN321" s="646">
        <f>IFERROR(IF($AV321="No",0,IF($AV321="yes",Summary!X321,"")),"")</f>
        <v>0</v>
      </c>
      <c r="AO321" s="646">
        <f>IFERROR(IF($AV321="No",0,IF($AV321="yes",Summary!Y321+Z321,"")),"")</f>
        <v>0</v>
      </c>
      <c r="AP321" s="646">
        <f>IFERROR(IF($AV321="No",0,IF($AV321="yes",Summary!AB321,"")),"")</f>
        <v>0</v>
      </c>
      <c r="AQ321" s="649" t="str">
        <f t="shared" si="77"/>
        <v/>
      </c>
      <c r="AR321" s="649" t="str">
        <f t="shared" si="79"/>
        <v/>
      </c>
      <c r="AS321" s="649" t="str">
        <f t="shared" si="78"/>
        <v/>
      </c>
      <c r="AT321" s="641" t="s">
        <v>795</v>
      </c>
      <c r="AV321" t="str">
        <f>IF('Proposed Lighting'!AK18&gt;0,"No","Yes")</f>
        <v>Yes</v>
      </c>
    </row>
    <row r="322" spans="1:48" ht="34.5" customHeight="1" outlineLevel="1">
      <c r="A322" s="641" t="s">
        <v>796</v>
      </c>
      <c r="B322" s="641" t="str">
        <f>IF('Proposed Lighting'!AU19=3,"Commercial-All Com-ExtLight",IF('Proposed Lighting'!AH19&gt;8759,"IPC_8760","Commercial-All Com-IntLight"))</f>
        <v>IPC_8760</v>
      </c>
      <c r="C322" s="641" t="str">
        <f>IF(OR(E322="",E322=0),"No",
IF(AND('Data Entry'!$AF$23="OR",AE322&lt;1),"No",
IF(AND('Data Entry'!$AF$23="ID",E322="Non-standard lighting control system",AD322&lt;1),"No",
IF(AND('Data Entry'!$AF$23="OR",'Proposed Lighting'!F19="Existing LED (Provide Description)",'Proposed Lighting'!AK19=""),"No",
IF('Proposed Lighting'!DD19="Submit Control as Non-Standard","No",
IF(AND('Proposed Lighting'!T19="Non-Standard (Provide Description)",AD322&lt;1),"No",
IF('Proposed Lighting'!AW19&lt;'Proposed Lighting'!AZ19,"No","Yes")))))))</f>
        <v>No</v>
      </c>
      <c r="D322" s="1604">
        <f>'Proposed Lighting'!BQ19-Q322</f>
        <v>0</v>
      </c>
      <c r="E322" s="642" t="str">
        <f>IF('Proposed Lighting'!W19="","",'Proposed Lighting'!W19)</f>
        <v/>
      </c>
      <c r="F322" s="642"/>
      <c r="G322" s="641" t="s">
        <v>786</v>
      </c>
      <c r="H322" s="643">
        <v>10</v>
      </c>
      <c r="I322" s="644">
        <v>1</v>
      </c>
      <c r="J322" s="723">
        <f>IF('Proposed Lighting'!EF19=0,'Proposed Lighting'!AA19,'Proposed Lighting'!EF19)</f>
        <v>0</v>
      </c>
      <c r="K322" s="643" t="str">
        <f>'Proposed Lighting'!CU19</f>
        <v/>
      </c>
      <c r="L322" s="643" t="str">
        <f t="shared" si="75"/>
        <v/>
      </c>
      <c r="M322" s="645">
        <f t="shared" si="60"/>
        <v>0</v>
      </c>
      <c r="N322" s="645"/>
      <c r="O322" s="722">
        <f>IFERROR('Proposed Lighting'!AC19/1000,0)</f>
        <v>0</v>
      </c>
      <c r="P322" s="644">
        <f>'Proposed Lighting'!AV19</f>
        <v>0</v>
      </c>
      <c r="Q322" s="644">
        <f>IF(AND('Proposed Lighting'!T19="Lighting Controls Only",'Data Entry'!$AF$23="OR",'Proposed Lighting'!AU19=2),0,
IF(AND('Proposed Lighting'!T19="Lighting Controls Only",'Data Entry'!$AF$23="OR",'Proposed Lighting'!AU19=3,OR('Proposed Lighting'!W19="ceiling mount",'Proposed Lighting'!W19="wall switch",'Proposed Lighting'!W19="fixture mount (on exisiting equip)",'Proposed Lighting'!W19="daylight harvesting (on existing equip)")),0,
IF('Proposed Lighting'!AF19=1,IF(P322=0,0,J322*O322*(L322*(1-P322))),IF('Proposed Lighting'!AU19=1,0,'Proposed Lighting'!AX19-'Proposed Lighting'!AY19))))</f>
        <v>0</v>
      </c>
      <c r="R322" s="646">
        <f>IF('Proposed Lighting'!T19="Non-standard (provide description",0,
IF(AND(E322="Non-standard control",'Proposed Lighting'!AU19=2),Q322*0.1,
IF(AND(E322="Non-standard control",'Proposed Lighting'!AU19=3),Q322*0.08,
IF('Proposed Lighting'!EF19=0,0,IF('Proposed Lighting'!AU19=1,0,
IF(AND('Data Entry'!$AF$23="ID",'Proposed Lighting'!T19="Lighting controls only"),VLOOKUP(E322,'Proposed Lighting'!$DO$97:$DP$106,2,FALSE),
IF(AND('Data Entry'!$AF$23="OR",'Proposed Lighting'!AU19=3,'Proposed Lighting'!T19="Lighting controls only"),VLOOKUP(E322,'Proposed Lighting'!$DO$127:$DP$134,2,FALSE),0)))))))*J322</f>
        <v>0</v>
      </c>
      <c r="S322" s="646">
        <f>IF(Q322&lt;0.01,0,IF('Proposed Lighting'!AK19&gt;0,'Proposed Lighting'!AK19*'Proposed Lighting'!EF19,0))</f>
        <v>0</v>
      </c>
      <c r="T322" s="647">
        <f t="shared" si="76"/>
        <v>0</v>
      </c>
      <c r="U322" s="648"/>
      <c r="V322" s="646">
        <f t="shared" si="63"/>
        <v>0</v>
      </c>
      <c r="W322" s="646">
        <f t="shared" si="64"/>
        <v>0</v>
      </c>
      <c r="X322" s="646">
        <f t="shared" si="65"/>
        <v>0</v>
      </c>
      <c r="Y322" s="646"/>
      <c r="Z322" s="646"/>
      <c r="AA322" s="646"/>
      <c r="AB322" s="646">
        <f t="shared" si="66"/>
        <v>0</v>
      </c>
      <c r="AC322" s="649" t="str">
        <f t="shared" si="67"/>
        <v/>
      </c>
      <c r="AD322" s="649" t="str">
        <f t="shared" si="68"/>
        <v/>
      </c>
      <c r="AE322" s="649" t="str">
        <f t="shared" si="69"/>
        <v/>
      </c>
      <c r="AF322" s="72"/>
      <c r="AG322" s="644">
        <f>IFERROR(IF($AV322="No",0,IF($AV322="yes",Summary!Q322,"")),"")</f>
        <v>0</v>
      </c>
      <c r="AH322" s="646">
        <f>IFERROR(IF($AV322="No",0,IF($AV322="yes",Summary!R322,"")),"")</f>
        <v>0</v>
      </c>
      <c r="AI322" s="646">
        <f>IFERROR(IF($AV322="No",0,IF($AV322="yes",Summary!S322,"")),"")</f>
        <v>0</v>
      </c>
      <c r="AJ322" s="647">
        <f>IFERROR(IF($AV322="No",0,IF($AV322="yes",Summary!T322,"")),"")</f>
        <v>0</v>
      </c>
      <c r="AK322" s="648">
        <f>IFERROR(IF($AV322="No",0,IF($AV322="yes",Summary!U322,"")),"")</f>
        <v>0</v>
      </c>
      <c r="AL322" s="646">
        <f>IFERROR(IF($AV322="No",0,IF($AV322="yes",Summary!V322,"")),"")</f>
        <v>0</v>
      </c>
      <c r="AM322" s="646">
        <f>IFERROR(IF($AV322="No",0,IF($AV322="yes",Summary!W322,"")),"")</f>
        <v>0</v>
      </c>
      <c r="AN322" s="646">
        <f>IFERROR(IF($AV322="No",0,IF($AV322="yes",Summary!X322,"")),"")</f>
        <v>0</v>
      </c>
      <c r="AO322" s="646">
        <f>IFERROR(IF($AV322="No",0,IF($AV322="yes",Summary!Y322+Z322,"")),"")</f>
        <v>0</v>
      </c>
      <c r="AP322" s="646">
        <f>IFERROR(IF($AV322="No",0,IF($AV322="yes",Summary!AB322,"")),"")</f>
        <v>0</v>
      </c>
      <c r="AQ322" s="649" t="str">
        <f t="shared" si="77"/>
        <v/>
      </c>
      <c r="AR322" s="649" t="str">
        <f t="shared" si="79"/>
        <v/>
      </c>
      <c r="AS322" s="649" t="str">
        <f t="shared" si="78"/>
        <v/>
      </c>
      <c r="AT322" s="641" t="s">
        <v>796</v>
      </c>
      <c r="AV322" t="str">
        <f>IF('Proposed Lighting'!AK19&gt;0,"No","Yes")</f>
        <v>Yes</v>
      </c>
    </row>
    <row r="323" spans="1:48" ht="34.5" customHeight="1" outlineLevel="1">
      <c r="A323" s="641" t="s">
        <v>797</v>
      </c>
      <c r="B323" s="641" t="str">
        <f>IF('Proposed Lighting'!AU20=3,"Commercial-All Com-ExtLight",IF('Proposed Lighting'!AH20&gt;8759,"IPC_8760","Commercial-All Com-IntLight"))</f>
        <v>IPC_8760</v>
      </c>
      <c r="C323" s="641" t="str">
        <f>IF(OR(E323="",E323=0),"No",
IF(AND('Data Entry'!$AF$23="OR",AE323&lt;1),"No",
IF(AND('Data Entry'!$AF$23="ID",E323="Non-standard lighting control system",AD323&lt;1),"No",
IF(AND('Data Entry'!$AF$23="OR",'Proposed Lighting'!F20="Existing LED (Provide Description)",'Proposed Lighting'!AK20=""),"No",
IF('Proposed Lighting'!DD20="Submit Control as Non-Standard","No",
IF(AND('Proposed Lighting'!T20="Non-Standard (Provide Description)",AD323&lt;1),"No",
IF('Proposed Lighting'!AW20&lt;'Proposed Lighting'!AZ20,"No","Yes")))))))</f>
        <v>No</v>
      </c>
      <c r="D323" s="1604">
        <f>'Proposed Lighting'!BQ20-Q323</f>
        <v>0</v>
      </c>
      <c r="E323" s="642" t="str">
        <f>IF('Proposed Lighting'!W20="","",'Proposed Lighting'!W20)</f>
        <v/>
      </c>
      <c r="F323" s="642"/>
      <c r="G323" s="641" t="s">
        <v>786</v>
      </c>
      <c r="H323" s="643">
        <v>10</v>
      </c>
      <c r="I323" s="644">
        <v>1</v>
      </c>
      <c r="J323" s="723">
        <f>IF('Proposed Lighting'!EF20=0,'Proposed Lighting'!AA20,'Proposed Lighting'!EF20)</f>
        <v>0</v>
      </c>
      <c r="K323" s="643" t="str">
        <f>'Proposed Lighting'!CU20</f>
        <v/>
      </c>
      <c r="L323" s="643" t="str">
        <f t="shared" si="75"/>
        <v/>
      </c>
      <c r="M323" s="645">
        <f t="shared" si="60"/>
        <v>0</v>
      </c>
      <c r="N323" s="645"/>
      <c r="O323" s="722">
        <f>IFERROR('Proposed Lighting'!AC20/1000,0)</f>
        <v>0</v>
      </c>
      <c r="P323" s="644">
        <f>'Proposed Lighting'!AV20</f>
        <v>0</v>
      </c>
      <c r="Q323" s="644">
        <f>IF(AND('Proposed Lighting'!T20="Lighting Controls Only",'Data Entry'!$AF$23="OR",'Proposed Lighting'!AU20=2),0,
IF(AND('Proposed Lighting'!T20="Lighting Controls Only",'Data Entry'!$AF$23="OR",'Proposed Lighting'!AU20=3,OR('Proposed Lighting'!W20="ceiling mount",'Proposed Lighting'!W20="wall switch",'Proposed Lighting'!W20="fixture mount (on exisiting equip)",'Proposed Lighting'!W20="daylight harvesting (on existing equip)")),0,
IF('Proposed Lighting'!AF20=1,IF(P323=0,0,J323*O323*(L323*(1-P323))),IF('Proposed Lighting'!AU20=1,0,'Proposed Lighting'!AX20-'Proposed Lighting'!AY20))))</f>
        <v>0</v>
      </c>
      <c r="R323" s="646">
        <f>IF('Proposed Lighting'!T20="Non-standard (provide description",0,
IF(AND(E323="Non-standard control",'Proposed Lighting'!AU20=2),Q323*0.1,
IF(AND(E323="Non-standard control",'Proposed Lighting'!AU20=3),Q323*0.08,
IF('Proposed Lighting'!EF20=0,0,IF('Proposed Lighting'!AU20=1,0,
IF(AND('Data Entry'!$AF$23="ID",'Proposed Lighting'!T20="Lighting controls only"),VLOOKUP(E323,'Proposed Lighting'!$DO$97:$DP$106,2,FALSE),
IF(AND('Data Entry'!$AF$23="OR",'Proposed Lighting'!AU20=3,'Proposed Lighting'!T20="Lighting controls only"),VLOOKUP(E323,'Proposed Lighting'!$DO$127:$DP$134,2,FALSE),0)))))))*J323</f>
        <v>0</v>
      </c>
      <c r="S323" s="646">
        <f>IF(Q323&lt;0.01,0,IF('Proposed Lighting'!AK20&gt;0,'Proposed Lighting'!AK20*'Proposed Lighting'!EF20,0))</f>
        <v>0</v>
      </c>
      <c r="T323" s="647">
        <f t="shared" si="76"/>
        <v>0</v>
      </c>
      <c r="U323" s="648"/>
      <c r="V323" s="646">
        <f t="shared" si="63"/>
        <v>0</v>
      </c>
      <c r="W323" s="646">
        <f t="shared" si="64"/>
        <v>0</v>
      </c>
      <c r="X323" s="646">
        <f t="shared" si="65"/>
        <v>0</v>
      </c>
      <c r="Y323" s="646"/>
      <c r="Z323" s="646"/>
      <c r="AA323" s="646"/>
      <c r="AB323" s="646">
        <f t="shared" si="66"/>
        <v>0</v>
      </c>
      <c r="AC323" s="649" t="str">
        <f t="shared" si="67"/>
        <v/>
      </c>
      <c r="AD323" s="649" t="str">
        <f t="shared" si="68"/>
        <v/>
      </c>
      <c r="AE323" s="649" t="str">
        <f t="shared" si="69"/>
        <v/>
      </c>
      <c r="AF323" s="72"/>
      <c r="AG323" s="644">
        <f>IFERROR(IF($AV323="No",0,IF($AV323="yes",Summary!Q323,"")),"")</f>
        <v>0</v>
      </c>
      <c r="AH323" s="646">
        <f>IFERROR(IF($AV323="No",0,IF($AV323="yes",Summary!R323,"")),"")</f>
        <v>0</v>
      </c>
      <c r="AI323" s="646">
        <f>IFERROR(IF($AV323="No",0,IF($AV323="yes",Summary!S323,"")),"")</f>
        <v>0</v>
      </c>
      <c r="AJ323" s="647">
        <f>IFERROR(IF($AV323="No",0,IF($AV323="yes",Summary!T323,"")),"")</f>
        <v>0</v>
      </c>
      <c r="AK323" s="648">
        <f>IFERROR(IF($AV323="No",0,IF($AV323="yes",Summary!U323,"")),"")</f>
        <v>0</v>
      </c>
      <c r="AL323" s="646">
        <f>IFERROR(IF($AV323="No",0,IF($AV323="yes",Summary!V323,"")),"")</f>
        <v>0</v>
      </c>
      <c r="AM323" s="646">
        <f>IFERROR(IF($AV323="No",0,IF($AV323="yes",Summary!W323,"")),"")</f>
        <v>0</v>
      </c>
      <c r="AN323" s="646">
        <f>IFERROR(IF($AV323="No",0,IF($AV323="yes",Summary!X323,"")),"")</f>
        <v>0</v>
      </c>
      <c r="AO323" s="646">
        <f>IFERROR(IF($AV323="No",0,IF($AV323="yes",Summary!Y323+Z323,"")),"")</f>
        <v>0</v>
      </c>
      <c r="AP323" s="646">
        <f>IFERROR(IF($AV323="No",0,IF($AV323="yes",Summary!AB323,"")),"")</f>
        <v>0</v>
      </c>
      <c r="AQ323" s="649" t="str">
        <f t="shared" si="77"/>
        <v/>
      </c>
      <c r="AR323" s="649" t="str">
        <f t="shared" si="79"/>
        <v/>
      </c>
      <c r="AS323" s="649" t="str">
        <f t="shared" si="78"/>
        <v/>
      </c>
      <c r="AT323" s="641" t="s">
        <v>797</v>
      </c>
      <c r="AV323" t="str">
        <f>IF('Proposed Lighting'!AK20&gt;0,"No","Yes")</f>
        <v>Yes</v>
      </c>
    </row>
    <row r="324" spans="1:48" ht="34.5" customHeight="1" outlineLevel="1">
      <c r="A324" s="641" t="s">
        <v>798</v>
      </c>
      <c r="B324" s="641" t="str">
        <f>IF('Proposed Lighting'!AU21=3,"Commercial-All Com-ExtLight",IF('Proposed Lighting'!AH21&gt;8759,"IPC_8760","Commercial-All Com-IntLight"))</f>
        <v>IPC_8760</v>
      </c>
      <c r="C324" s="641" t="str">
        <f>IF(OR(E324="",E324=0),"No",
IF(AND('Data Entry'!$AF$23="OR",AE324&lt;1),"No",
IF(AND('Data Entry'!$AF$23="ID",E324="Non-standard lighting control system",AD324&lt;1),"No",
IF(AND('Data Entry'!$AF$23="OR",'Proposed Lighting'!F21="Existing LED (Provide Description)",'Proposed Lighting'!AK21=""),"No",
IF('Proposed Lighting'!DD21="Submit Control as Non-Standard","No",
IF(AND('Proposed Lighting'!T21="Non-Standard (Provide Description)",AD324&lt;1),"No",
IF('Proposed Lighting'!AW21&lt;'Proposed Lighting'!AZ21,"No","Yes")))))))</f>
        <v>No</v>
      </c>
      <c r="D324" s="1604">
        <f>'Proposed Lighting'!BQ21-Q324</f>
        <v>0</v>
      </c>
      <c r="E324" s="642" t="str">
        <f>IF('Proposed Lighting'!W21="","",'Proposed Lighting'!W21)</f>
        <v/>
      </c>
      <c r="F324" s="642"/>
      <c r="G324" s="641" t="s">
        <v>786</v>
      </c>
      <c r="H324" s="643">
        <v>10</v>
      </c>
      <c r="I324" s="644">
        <v>1</v>
      </c>
      <c r="J324" s="723">
        <f>IF('Proposed Lighting'!EF21=0,'Proposed Lighting'!AA21,'Proposed Lighting'!EF21)</f>
        <v>0</v>
      </c>
      <c r="K324" s="643" t="str">
        <f>'Proposed Lighting'!CU21</f>
        <v/>
      </c>
      <c r="L324" s="643" t="str">
        <f t="shared" si="75"/>
        <v/>
      </c>
      <c r="M324" s="645">
        <f t="shared" si="60"/>
        <v>0</v>
      </c>
      <c r="N324" s="645"/>
      <c r="O324" s="722">
        <f>IFERROR('Proposed Lighting'!AC21/1000,0)</f>
        <v>0</v>
      </c>
      <c r="P324" s="644">
        <f>'Proposed Lighting'!AV21</f>
        <v>0</v>
      </c>
      <c r="Q324" s="644">
        <f>IF(AND('Proposed Lighting'!T21="Lighting Controls Only",'Data Entry'!$AF$23="OR",'Proposed Lighting'!AU21=2),0,
IF(AND('Proposed Lighting'!T21="Lighting Controls Only",'Data Entry'!$AF$23="OR",'Proposed Lighting'!AU21=3,OR('Proposed Lighting'!W21="ceiling mount",'Proposed Lighting'!W21="wall switch",'Proposed Lighting'!W21="fixture mount (on exisiting equip)",'Proposed Lighting'!W21="daylight harvesting (on existing equip)")),0,
IF('Proposed Lighting'!AF21=1,IF(P324=0,0,J324*O324*(L324*(1-P324))),IF('Proposed Lighting'!AU21=1,0,'Proposed Lighting'!AX21-'Proposed Lighting'!AY21))))</f>
        <v>0</v>
      </c>
      <c r="R324" s="646">
        <f>IF('Proposed Lighting'!T21="Non-standard (provide description",0,
IF(AND(E324="Non-standard control",'Proposed Lighting'!AU21=2),Q324*0.1,
IF(AND(E324="Non-standard control",'Proposed Lighting'!AU21=3),Q324*0.08,
IF('Proposed Lighting'!EF21=0,0,IF('Proposed Lighting'!AU21=1,0,
IF(AND('Data Entry'!$AF$23="ID",'Proposed Lighting'!T21="Lighting controls only"),VLOOKUP(E324,'Proposed Lighting'!$DO$97:$DP$106,2,FALSE),
IF(AND('Data Entry'!$AF$23="OR",'Proposed Lighting'!AU21=3,'Proposed Lighting'!T21="Lighting controls only"),VLOOKUP(E324,'Proposed Lighting'!$DO$127:$DP$134,2,FALSE),0)))))))*J324</f>
        <v>0</v>
      </c>
      <c r="S324" s="646">
        <f>IF(Q324&lt;0.01,0,IF('Proposed Lighting'!AK21&gt;0,'Proposed Lighting'!AK21*'Proposed Lighting'!EF21,0))</f>
        <v>0</v>
      </c>
      <c r="T324" s="647">
        <f t="shared" si="76"/>
        <v>0</v>
      </c>
      <c r="U324" s="648"/>
      <c r="V324" s="646">
        <f t="shared" si="63"/>
        <v>0</v>
      </c>
      <c r="W324" s="646">
        <f t="shared" si="64"/>
        <v>0</v>
      </c>
      <c r="X324" s="646">
        <f t="shared" si="65"/>
        <v>0</v>
      </c>
      <c r="Y324" s="646"/>
      <c r="Z324" s="646"/>
      <c r="AA324" s="646"/>
      <c r="AB324" s="646">
        <f t="shared" si="66"/>
        <v>0</v>
      </c>
      <c r="AC324" s="649" t="str">
        <f t="shared" si="67"/>
        <v/>
      </c>
      <c r="AD324" s="649" t="str">
        <f t="shared" si="68"/>
        <v/>
      </c>
      <c r="AE324" s="649" t="str">
        <f t="shared" si="69"/>
        <v/>
      </c>
      <c r="AF324" s="72"/>
      <c r="AG324" s="644">
        <f>IFERROR(IF($AV324="No",0,IF($AV324="yes",Summary!Q324,"")),"")</f>
        <v>0</v>
      </c>
      <c r="AH324" s="646">
        <f>IFERROR(IF($AV324="No",0,IF($AV324="yes",Summary!R324,"")),"")</f>
        <v>0</v>
      </c>
      <c r="AI324" s="646">
        <f>IFERROR(IF($AV324="No",0,IF($AV324="yes",Summary!S324,"")),"")</f>
        <v>0</v>
      </c>
      <c r="AJ324" s="647">
        <f>IFERROR(IF($AV324="No",0,IF($AV324="yes",Summary!T324,"")),"")</f>
        <v>0</v>
      </c>
      <c r="AK324" s="648">
        <f>IFERROR(IF($AV324="No",0,IF($AV324="yes",Summary!U324,"")),"")</f>
        <v>0</v>
      </c>
      <c r="AL324" s="646">
        <f>IFERROR(IF($AV324="No",0,IF($AV324="yes",Summary!V324,"")),"")</f>
        <v>0</v>
      </c>
      <c r="AM324" s="646">
        <f>IFERROR(IF($AV324="No",0,IF($AV324="yes",Summary!W324,"")),"")</f>
        <v>0</v>
      </c>
      <c r="AN324" s="646">
        <f>IFERROR(IF($AV324="No",0,IF($AV324="yes",Summary!X324,"")),"")</f>
        <v>0</v>
      </c>
      <c r="AO324" s="646">
        <f>IFERROR(IF($AV324="No",0,IF($AV324="yes",Summary!Y324+Z324,"")),"")</f>
        <v>0</v>
      </c>
      <c r="AP324" s="646">
        <f>IFERROR(IF($AV324="No",0,IF($AV324="yes",Summary!AB324,"")),"")</f>
        <v>0</v>
      </c>
      <c r="AQ324" s="649" t="str">
        <f t="shared" si="77"/>
        <v/>
      </c>
      <c r="AR324" s="649" t="str">
        <f t="shared" si="79"/>
        <v/>
      </c>
      <c r="AS324" s="649" t="str">
        <f t="shared" si="78"/>
        <v/>
      </c>
      <c r="AT324" s="641" t="s">
        <v>798</v>
      </c>
      <c r="AV324" t="str">
        <f>IF('Proposed Lighting'!AK21&gt;0,"No","Yes")</f>
        <v>Yes</v>
      </c>
    </row>
    <row r="325" spans="1:48" ht="34.5" customHeight="1" outlineLevel="1">
      <c r="A325" s="641" t="s">
        <v>799</v>
      </c>
      <c r="B325" s="641" t="str">
        <f>IF('Proposed Lighting'!AU22=3,"Commercial-All Com-ExtLight",IF('Proposed Lighting'!AH22&gt;8759,"IPC_8760","Commercial-All Com-IntLight"))</f>
        <v>IPC_8760</v>
      </c>
      <c r="C325" s="641" t="str">
        <f>IF(OR(E325="",E325=0),"No",
IF(AND('Data Entry'!$AF$23="OR",AE325&lt;1),"No",
IF(AND('Data Entry'!$AF$23="ID",E325="Non-standard lighting control system",AD325&lt;1),"No",
IF(AND('Data Entry'!$AF$23="OR",'Proposed Lighting'!F22="Existing LED (Provide Description)",'Proposed Lighting'!AK22=""),"No",
IF('Proposed Lighting'!DD22="Submit Control as Non-Standard","No",
IF(AND('Proposed Lighting'!T22="Non-Standard (Provide Description)",AD325&lt;1),"No",
IF('Proposed Lighting'!AW22&lt;'Proposed Lighting'!AZ22,"No","Yes")))))))</f>
        <v>No</v>
      </c>
      <c r="D325" s="1604">
        <f>'Proposed Lighting'!BQ22-Q325</f>
        <v>0</v>
      </c>
      <c r="E325" s="642" t="str">
        <f>IF('Proposed Lighting'!W22="","",'Proposed Lighting'!W22)</f>
        <v/>
      </c>
      <c r="F325" s="642"/>
      <c r="G325" s="641" t="s">
        <v>786</v>
      </c>
      <c r="H325" s="643">
        <v>10</v>
      </c>
      <c r="I325" s="644">
        <v>1</v>
      </c>
      <c r="J325" s="723">
        <f>IF('Proposed Lighting'!EF22=0,'Proposed Lighting'!AA22,'Proposed Lighting'!EF22)</f>
        <v>0</v>
      </c>
      <c r="K325" s="643" t="str">
        <f>'Proposed Lighting'!CU22</f>
        <v/>
      </c>
      <c r="L325" s="643" t="str">
        <f t="shared" si="75"/>
        <v/>
      </c>
      <c r="M325" s="645">
        <f t="shared" si="60"/>
        <v>0</v>
      </c>
      <c r="N325" s="645"/>
      <c r="O325" s="722">
        <f>IFERROR('Proposed Lighting'!AC22/1000,0)</f>
        <v>0</v>
      </c>
      <c r="P325" s="644">
        <f>'Proposed Lighting'!AV22</f>
        <v>0</v>
      </c>
      <c r="Q325" s="644">
        <f>IF(AND('Proposed Lighting'!T22="Lighting Controls Only",'Data Entry'!$AF$23="OR",'Proposed Lighting'!AU22=2),0,
IF(AND('Proposed Lighting'!T22="Lighting Controls Only",'Data Entry'!$AF$23="OR",'Proposed Lighting'!AU22=3,OR('Proposed Lighting'!W22="ceiling mount",'Proposed Lighting'!W22="wall switch",'Proposed Lighting'!W22="fixture mount (on exisiting equip)",'Proposed Lighting'!W22="daylight harvesting (on existing equip)")),0,
IF('Proposed Lighting'!AF22=1,IF(P325=0,0,J325*O325*(L325*(1-P325))),IF('Proposed Lighting'!AU22=1,0,'Proposed Lighting'!AX22-'Proposed Lighting'!AY22))))</f>
        <v>0</v>
      </c>
      <c r="R325" s="646">
        <f>IF('Proposed Lighting'!T22="Non-standard (provide description",0,
IF(AND(E325="Non-standard control",'Proposed Lighting'!AU22=2),Q325*0.1,
IF(AND(E325="Non-standard control",'Proposed Lighting'!AU22=3),Q325*0.08,
IF('Proposed Lighting'!EF22=0,0,IF('Proposed Lighting'!AU22=1,0,
IF(AND('Data Entry'!$AF$23="ID",'Proposed Lighting'!T22="Lighting controls only"),VLOOKUP(E325,'Proposed Lighting'!$DO$97:$DP$106,2,FALSE),
IF(AND('Data Entry'!$AF$23="OR",'Proposed Lighting'!AU22=3,'Proposed Lighting'!T22="Lighting controls only"),VLOOKUP(E325,'Proposed Lighting'!$DO$127:$DP$134,2,FALSE),0)))))))*J325</f>
        <v>0</v>
      </c>
      <c r="S325" s="646">
        <f>IF(Q325&lt;0.01,0,IF('Proposed Lighting'!AK22&gt;0,'Proposed Lighting'!AK22*'Proposed Lighting'!EF22,0))</f>
        <v>0</v>
      </c>
      <c r="T325" s="647">
        <f t="shared" si="76"/>
        <v>0</v>
      </c>
      <c r="U325" s="648"/>
      <c r="V325" s="646">
        <f t="shared" si="63"/>
        <v>0</v>
      </c>
      <c r="W325" s="646">
        <f t="shared" si="64"/>
        <v>0</v>
      </c>
      <c r="X325" s="646">
        <f t="shared" si="65"/>
        <v>0</v>
      </c>
      <c r="Y325" s="646"/>
      <c r="Z325" s="646"/>
      <c r="AA325" s="646"/>
      <c r="AB325" s="646">
        <f t="shared" si="66"/>
        <v>0</v>
      </c>
      <c r="AC325" s="649" t="str">
        <f t="shared" si="67"/>
        <v/>
      </c>
      <c r="AD325" s="649" t="str">
        <f t="shared" si="68"/>
        <v/>
      </c>
      <c r="AE325" s="649" t="str">
        <f t="shared" si="69"/>
        <v/>
      </c>
      <c r="AF325" s="72"/>
      <c r="AG325" s="644">
        <f>IFERROR(IF($AV325="No",0,IF($AV325="yes",Summary!Q325,"")),"")</f>
        <v>0</v>
      </c>
      <c r="AH325" s="646">
        <f>IFERROR(IF($AV325="No",0,IF($AV325="yes",Summary!R325,"")),"")</f>
        <v>0</v>
      </c>
      <c r="AI325" s="646">
        <f>IFERROR(IF($AV325="No",0,IF($AV325="yes",Summary!S325,"")),"")</f>
        <v>0</v>
      </c>
      <c r="AJ325" s="647">
        <f>IFERROR(IF($AV325="No",0,IF($AV325="yes",Summary!T325,"")),"")</f>
        <v>0</v>
      </c>
      <c r="AK325" s="648">
        <f>IFERROR(IF($AV325="No",0,IF($AV325="yes",Summary!U325,"")),"")</f>
        <v>0</v>
      </c>
      <c r="AL325" s="646">
        <f>IFERROR(IF($AV325="No",0,IF($AV325="yes",Summary!V325,"")),"")</f>
        <v>0</v>
      </c>
      <c r="AM325" s="646">
        <f>IFERROR(IF($AV325="No",0,IF($AV325="yes",Summary!W325,"")),"")</f>
        <v>0</v>
      </c>
      <c r="AN325" s="646">
        <f>IFERROR(IF($AV325="No",0,IF($AV325="yes",Summary!X325,"")),"")</f>
        <v>0</v>
      </c>
      <c r="AO325" s="646">
        <f>IFERROR(IF($AV325="No",0,IF($AV325="yes",Summary!Y325+Z325,"")),"")</f>
        <v>0</v>
      </c>
      <c r="AP325" s="646">
        <f>IFERROR(IF($AV325="No",0,IF($AV325="yes",Summary!AB325,"")),"")</f>
        <v>0</v>
      </c>
      <c r="AQ325" s="649" t="str">
        <f t="shared" si="77"/>
        <v/>
      </c>
      <c r="AR325" s="649" t="str">
        <f t="shared" si="79"/>
        <v/>
      </c>
      <c r="AS325" s="649" t="str">
        <f t="shared" si="78"/>
        <v/>
      </c>
      <c r="AT325" s="641" t="s">
        <v>799</v>
      </c>
      <c r="AV325" t="str">
        <f>IF('Proposed Lighting'!AK22&gt;0,"No","Yes")</f>
        <v>Yes</v>
      </c>
    </row>
    <row r="326" spans="1:48" ht="34.5" customHeight="1" outlineLevel="1">
      <c r="A326" s="641" t="s">
        <v>800</v>
      </c>
      <c r="B326" s="641" t="str">
        <f>IF('Proposed Lighting'!AU23=3,"Commercial-All Com-ExtLight",IF('Proposed Lighting'!AH23&gt;8759,"IPC_8760","Commercial-All Com-IntLight"))</f>
        <v>IPC_8760</v>
      </c>
      <c r="C326" s="641" t="str">
        <f>IF(OR(E326="",E326=0),"No",
IF(AND('Data Entry'!$AF$23="OR",AE326&lt;1),"No",
IF(AND('Data Entry'!$AF$23="ID",E326="Non-standard lighting control system",AD326&lt;1),"No",
IF(AND('Data Entry'!$AF$23="OR",'Proposed Lighting'!F23="Existing LED (Provide Description)",'Proposed Lighting'!AK23=""),"No",
IF('Proposed Lighting'!DD23="Submit Control as Non-Standard","No",
IF(AND('Proposed Lighting'!T23="Non-Standard (Provide Description)",AD326&lt;1),"No",
IF('Proposed Lighting'!AW23&lt;'Proposed Lighting'!AZ23,"No","Yes")))))))</f>
        <v>No</v>
      </c>
      <c r="D326" s="1604">
        <f>'Proposed Lighting'!BQ23-Q326</f>
        <v>0</v>
      </c>
      <c r="E326" s="642" t="str">
        <f>IF('Proposed Lighting'!W23="","",'Proposed Lighting'!W23)</f>
        <v/>
      </c>
      <c r="F326" s="642"/>
      <c r="G326" s="641" t="s">
        <v>786</v>
      </c>
      <c r="H326" s="643">
        <v>10</v>
      </c>
      <c r="I326" s="644">
        <v>1</v>
      </c>
      <c r="J326" s="723">
        <f>IF('Proposed Lighting'!EF23=0,'Proposed Lighting'!AA23,'Proposed Lighting'!EF23)</f>
        <v>0</v>
      </c>
      <c r="K326" s="643" t="str">
        <f>'Proposed Lighting'!CU23</f>
        <v/>
      </c>
      <c r="L326" s="643" t="str">
        <f t="shared" si="75"/>
        <v/>
      </c>
      <c r="M326" s="645">
        <f t="shared" si="60"/>
        <v>0</v>
      </c>
      <c r="N326" s="645"/>
      <c r="O326" s="722">
        <f>IFERROR('Proposed Lighting'!AC23/1000,0)</f>
        <v>0</v>
      </c>
      <c r="P326" s="644">
        <f>'Proposed Lighting'!AV23</f>
        <v>0</v>
      </c>
      <c r="Q326" s="644">
        <f>IF(AND('Proposed Lighting'!T23="Lighting Controls Only",'Data Entry'!$AF$23="OR",'Proposed Lighting'!AU23=2),0,
IF(AND('Proposed Lighting'!T23="Lighting Controls Only",'Data Entry'!$AF$23="OR",'Proposed Lighting'!AU23=3,OR('Proposed Lighting'!W23="ceiling mount",'Proposed Lighting'!W23="wall switch",'Proposed Lighting'!W23="fixture mount (on exisiting equip)",'Proposed Lighting'!W23="daylight harvesting (on existing equip)")),0,
IF('Proposed Lighting'!AF23=1,IF(P326=0,0,J326*O326*(L326*(1-P326))),IF('Proposed Lighting'!AU23=1,0,'Proposed Lighting'!AX23-'Proposed Lighting'!AY23))))</f>
        <v>0</v>
      </c>
      <c r="R326" s="646">
        <f>IF('Proposed Lighting'!T23="Non-standard (provide description",0,
IF(AND(E326="Non-standard control",'Proposed Lighting'!AU23=2),Q326*0.1,
IF(AND(E326="Non-standard control",'Proposed Lighting'!AU23=3),Q326*0.08,
IF('Proposed Lighting'!EF23=0,0,IF('Proposed Lighting'!AU23=1,0,
IF(AND('Data Entry'!$AF$23="ID",'Proposed Lighting'!T23="Lighting controls only"),VLOOKUP(E326,'Proposed Lighting'!$DO$97:$DP$106,2,FALSE),
IF(AND('Data Entry'!$AF$23="OR",'Proposed Lighting'!AU23=3,'Proposed Lighting'!T23="Lighting controls only"),VLOOKUP(E326,'Proposed Lighting'!$DO$127:$DP$134,2,FALSE),0)))))))*J326</f>
        <v>0</v>
      </c>
      <c r="S326" s="646">
        <f>IF(Q326&lt;0.01,0,IF('Proposed Lighting'!AK23&gt;0,'Proposed Lighting'!AK23*'Proposed Lighting'!EF23,0))</f>
        <v>0</v>
      </c>
      <c r="T326" s="647">
        <f t="shared" si="76"/>
        <v>0</v>
      </c>
      <c r="U326" s="648"/>
      <c r="V326" s="646">
        <f t="shared" si="63"/>
        <v>0</v>
      </c>
      <c r="W326" s="646">
        <f t="shared" si="64"/>
        <v>0</v>
      </c>
      <c r="X326" s="646">
        <f t="shared" si="65"/>
        <v>0</v>
      </c>
      <c r="Y326" s="646"/>
      <c r="Z326" s="646"/>
      <c r="AA326" s="646"/>
      <c r="AB326" s="646">
        <f t="shared" si="66"/>
        <v>0</v>
      </c>
      <c r="AC326" s="649" t="str">
        <f t="shared" si="67"/>
        <v/>
      </c>
      <c r="AD326" s="649" t="str">
        <f t="shared" si="68"/>
        <v/>
      </c>
      <c r="AE326" s="649" t="str">
        <f t="shared" si="69"/>
        <v/>
      </c>
      <c r="AF326" s="72"/>
      <c r="AG326" s="644">
        <f>IFERROR(IF($AV326="No",0,IF($AV326="yes",Summary!Q326,"")),"")</f>
        <v>0</v>
      </c>
      <c r="AH326" s="646">
        <f>IFERROR(IF($AV326="No",0,IF($AV326="yes",Summary!R326,"")),"")</f>
        <v>0</v>
      </c>
      <c r="AI326" s="646">
        <f>IFERROR(IF($AV326="No",0,IF($AV326="yes",Summary!S326,"")),"")</f>
        <v>0</v>
      </c>
      <c r="AJ326" s="647">
        <f>IFERROR(IF($AV326="No",0,IF($AV326="yes",Summary!T326,"")),"")</f>
        <v>0</v>
      </c>
      <c r="AK326" s="648">
        <f>IFERROR(IF($AV326="No",0,IF($AV326="yes",Summary!U326,"")),"")</f>
        <v>0</v>
      </c>
      <c r="AL326" s="646">
        <f>IFERROR(IF($AV326="No",0,IF($AV326="yes",Summary!V326,"")),"")</f>
        <v>0</v>
      </c>
      <c r="AM326" s="646">
        <f>IFERROR(IF($AV326="No",0,IF($AV326="yes",Summary!W326,"")),"")</f>
        <v>0</v>
      </c>
      <c r="AN326" s="646">
        <f>IFERROR(IF($AV326="No",0,IF($AV326="yes",Summary!X326,"")),"")</f>
        <v>0</v>
      </c>
      <c r="AO326" s="646">
        <f>IFERROR(IF($AV326="No",0,IF($AV326="yes",Summary!Y326+Z326,"")),"")</f>
        <v>0</v>
      </c>
      <c r="AP326" s="646">
        <f>IFERROR(IF($AV326="No",0,IF($AV326="yes",Summary!AB326,"")),"")</f>
        <v>0</v>
      </c>
      <c r="AQ326" s="649" t="str">
        <f t="shared" si="77"/>
        <v/>
      </c>
      <c r="AR326" s="649" t="str">
        <f t="shared" si="79"/>
        <v/>
      </c>
      <c r="AS326" s="649" t="str">
        <f t="shared" si="78"/>
        <v/>
      </c>
      <c r="AT326" s="641" t="s">
        <v>800</v>
      </c>
      <c r="AV326" t="str">
        <f>IF('Proposed Lighting'!AK23&gt;0,"No","Yes")</f>
        <v>Yes</v>
      </c>
    </row>
    <row r="327" spans="1:48" ht="34.5" customHeight="1" outlineLevel="1">
      <c r="A327" s="641" t="s">
        <v>801</v>
      </c>
      <c r="B327" s="641" t="str">
        <f>IF('Proposed Lighting'!AU24=3,"Commercial-All Com-ExtLight",IF('Proposed Lighting'!AH24&gt;8759,"IPC_8760","Commercial-All Com-IntLight"))</f>
        <v>IPC_8760</v>
      </c>
      <c r="C327" s="641" t="str">
        <f>IF(OR(E327="",E327=0),"No",
IF(AND('Data Entry'!$AF$23="OR",AE327&lt;1),"No",
IF(AND('Data Entry'!$AF$23="ID",E327="Non-standard lighting control system",AD327&lt;1),"No",
IF(AND('Data Entry'!$AF$23="OR",'Proposed Lighting'!F24="Existing LED (Provide Description)",'Proposed Lighting'!AK24=""),"No",
IF('Proposed Lighting'!DD24="Submit Control as Non-Standard","No",
IF(AND('Proposed Lighting'!T24="Non-Standard (Provide Description)",AD327&lt;1),"No",
IF('Proposed Lighting'!AW24&lt;'Proposed Lighting'!AZ24,"No","Yes")))))))</f>
        <v>No</v>
      </c>
      <c r="D327" s="1604">
        <f>'Proposed Lighting'!BQ24-Q327</f>
        <v>0</v>
      </c>
      <c r="E327" s="642" t="str">
        <f>IF('Proposed Lighting'!W24="","",'Proposed Lighting'!W24)</f>
        <v/>
      </c>
      <c r="F327" s="642"/>
      <c r="G327" s="641" t="s">
        <v>786</v>
      </c>
      <c r="H327" s="643">
        <v>10</v>
      </c>
      <c r="I327" s="644">
        <v>1</v>
      </c>
      <c r="J327" s="723">
        <f>IF('Proposed Lighting'!EF24=0,'Proposed Lighting'!AA24,'Proposed Lighting'!EF24)</f>
        <v>0</v>
      </c>
      <c r="K327" s="643" t="str">
        <f>'Proposed Lighting'!CU24</f>
        <v/>
      </c>
      <c r="L327" s="643" t="str">
        <f t="shared" si="75"/>
        <v/>
      </c>
      <c r="M327" s="645">
        <f t="shared" si="60"/>
        <v>0</v>
      </c>
      <c r="N327" s="645"/>
      <c r="O327" s="722">
        <f>IFERROR('Proposed Lighting'!AC24/1000,0)</f>
        <v>0</v>
      </c>
      <c r="P327" s="644">
        <f>'Proposed Lighting'!AV24</f>
        <v>0</v>
      </c>
      <c r="Q327" s="644">
        <f>IF(AND('Proposed Lighting'!T24="Lighting Controls Only",'Data Entry'!$AF$23="OR",'Proposed Lighting'!AU24=2),0,
IF(AND('Proposed Lighting'!T24="Lighting Controls Only",'Data Entry'!$AF$23="OR",'Proposed Lighting'!AU24=3,OR('Proposed Lighting'!W24="ceiling mount",'Proposed Lighting'!W24="wall switch",'Proposed Lighting'!W24="fixture mount (on exisiting equip)",'Proposed Lighting'!W24="daylight harvesting (on existing equip)")),0,
IF('Proposed Lighting'!AF24=1,IF(P327=0,0,J327*O327*(L327*(1-P327))),IF('Proposed Lighting'!AU24=1,0,'Proposed Lighting'!AX24-'Proposed Lighting'!AY24))))</f>
        <v>0</v>
      </c>
      <c r="R327" s="646">
        <f>IF('Proposed Lighting'!T24="Non-standard (provide description",0,
IF(AND(E327="Non-standard control",'Proposed Lighting'!AU24=2),Q327*0.1,
IF(AND(E327="Non-standard control",'Proposed Lighting'!AU24=3),Q327*0.08,
IF('Proposed Lighting'!EF24=0,0,IF('Proposed Lighting'!AU24=1,0,
IF(AND('Data Entry'!$AF$23="ID",'Proposed Lighting'!T24="Lighting controls only"),VLOOKUP(E327,'Proposed Lighting'!$DO$97:$DP$106,2,FALSE),
IF(AND('Data Entry'!$AF$23="OR",'Proposed Lighting'!AU24=3,'Proposed Lighting'!T24="Lighting controls only"),VLOOKUP(E327,'Proposed Lighting'!$DO$127:$DP$134,2,FALSE),0)))))))*J327</f>
        <v>0</v>
      </c>
      <c r="S327" s="646">
        <f>IF(Q327&lt;0.01,0,IF('Proposed Lighting'!AK24&gt;0,'Proposed Lighting'!AK24*'Proposed Lighting'!EF24,0))</f>
        <v>0</v>
      </c>
      <c r="T327" s="647">
        <f t="shared" si="76"/>
        <v>0</v>
      </c>
      <c r="U327" s="648"/>
      <c r="V327" s="646">
        <f t="shared" si="63"/>
        <v>0</v>
      </c>
      <c r="W327" s="646">
        <f t="shared" si="64"/>
        <v>0</v>
      </c>
      <c r="X327" s="646">
        <f t="shared" si="65"/>
        <v>0</v>
      </c>
      <c r="Y327" s="646"/>
      <c r="Z327" s="646"/>
      <c r="AA327" s="646"/>
      <c r="AB327" s="646">
        <f t="shared" si="66"/>
        <v>0</v>
      </c>
      <c r="AC327" s="649" t="str">
        <f t="shared" si="67"/>
        <v/>
      </c>
      <c r="AD327" s="649" t="str">
        <f t="shared" si="68"/>
        <v/>
      </c>
      <c r="AE327" s="649" t="str">
        <f t="shared" si="69"/>
        <v/>
      </c>
      <c r="AF327" s="72"/>
      <c r="AG327" s="644">
        <f>IFERROR(IF($AV327="No",0,IF($AV327="yes",Summary!Q327,"")),"")</f>
        <v>0</v>
      </c>
      <c r="AH327" s="646">
        <f>IFERROR(IF($AV327="No",0,IF($AV327="yes",Summary!R327,"")),"")</f>
        <v>0</v>
      </c>
      <c r="AI327" s="646">
        <f>IFERROR(IF($AV327="No",0,IF($AV327="yes",Summary!S327,"")),"")</f>
        <v>0</v>
      </c>
      <c r="AJ327" s="647">
        <f>IFERROR(IF($AV327="No",0,IF($AV327="yes",Summary!T327,"")),"")</f>
        <v>0</v>
      </c>
      <c r="AK327" s="648">
        <f>IFERROR(IF($AV327="No",0,IF($AV327="yes",Summary!U327,"")),"")</f>
        <v>0</v>
      </c>
      <c r="AL327" s="646">
        <f>IFERROR(IF($AV327="No",0,IF($AV327="yes",Summary!V327,"")),"")</f>
        <v>0</v>
      </c>
      <c r="AM327" s="646">
        <f>IFERROR(IF($AV327="No",0,IF($AV327="yes",Summary!W327,"")),"")</f>
        <v>0</v>
      </c>
      <c r="AN327" s="646">
        <f>IFERROR(IF($AV327="No",0,IF($AV327="yes",Summary!X327,"")),"")</f>
        <v>0</v>
      </c>
      <c r="AO327" s="646">
        <f>IFERROR(IF($AV327="No",0,IF($AV327="yes",Summary!Y327+Z327,"")),"")</f>
        <v>0</v>
      </c>
      <c r="AP327" s="646">
        <f>IFERROR(IF($AV327="No",0,IF($AV327="yes",Summary!AB327,"")),"")</f>
        <v>0</v>
      </c>
      <c r="AQ327" s="649" t="str">
        <f t="shared" si="77"/>
        <v/>
      </c>
      <c r="AR327" s="649" t="str">
        <f t="shared" si="79"/>
        <v/>
      </c>
      <c r="AS327" s="649" t="str">
        <f t="shared" si="78"/>
        <v/>
      </c>
      <c r="AT327" s="641" t="s">
        <v>801</v>
      </c>
      <c r="AV327" t="str">
        <f>IF('Proposed Lighting'!AK24&gt;0,"No","Yes")</f>
        <v>Yes</v>
      </c>
    </row>
    <row r="328" spans="1:48" ht="34.5" customHeight="1" outlineLevel="1">
      <c r="A328" s="641" t="s">
        <v>802</v>
      </c>
      <c r="B328" s="641" t="str">
        <f>IF('Proposed Lighting'!AU25=3,"Commercial-All Com-ExtLight",IF('Proposed Lighting'!AH25&gt;8759,"IPC_8760","Commercial-All Com-IntLight"))</f>
        <v>IPC_8760</v>
      </c>
      <c r="C328" s="641" t="str">
        <f>IF(OR(E328="",E328=0),"No",
IF(AND('Data Entry'!$AF$23="OR",AE328&lt;1),"No",
IF(AND('Data Entry'!$AF$23="ID",E328="Non-standard lighting control system",AD328&lt;1),"No",
IF(AND('Data Entry'!$AF$23="OR",'Proposed Lighting'!F25="Existing LED (Provide Description)",'Proposed Lighting'!AK25=""),"No",
IF('Proposed Lighting'!DD25="Submit Control as Non-Standard","No",
IF(AND('Proposed Lighting'!T25="Non-Standard (Provide Description)",AD328&lt;1),"No",
IF('Proposed Lighting'!AW25&lt;'Proposed Lighting'!AZ25,"No","Yes")))))))</f>
        <v>No</v>
      </c>
      <c r="D328" s="1604">
        <f>'Proposed Lighting'!BQ25-Q328</f>
        <v>0</v>
      </c>
      <c r="E328" s="642" t="str">
        <f>IF('Proposed Lighting'!W25="","",'Proposed Lighting'!W25)</f>
        <v/>
      </c>
      <c r="F328" s="642"/>
      <c r="G328" s="641" t="s">
        <v>786</v>
      </c>
      <c r="H328" s="643">
        <v>10</v>
      </c>
      <c r="I328" s="644">
        <v>1</v>
      </c>
      <c r="J328" s="723">
        <f>IF('Proposed Lighting'!EF25=0,'Proposed Lighting'!AA25,'Proposed Lighting'!EF25)</f>
        <v>0</v>
      </c>
      <c r="K328" s="643" t="str">
        <f>'Proposed Lighting'!CU25</f>
        <v/>
      </c>
      <c r="L328" s="643" t="str">
        <f t="shared" si="75"/>
        <v/>
      </c>
      <c r="M328" s="645">
        <f t="shared" si="60"/>
        <v>0</v>
      </c>
      <c r="N328" s="645"/>
      <c r="O328" s="722">
        <f>IFERROR('Proposed Lighting'!AC25/1000,0)</f>
        <v>0</v>
      </c>
      <c r="P328" s="644">
        <f>'Proposed Lighting'!AV25</f>
        <v>0</v>
      </c>
      <c r="Q328" s="644">
        <f>IF(AND('Proposed Lighting'!T25="Lighting Controls Only",'Data Entry'!$AF$23="OR",'Proposed Lighting'!AU25=2),0,
IF(AND('Proposed Lighting'!T25="Lighting Controls Only",'Data Entry'!$AF$23="OR",'Proposed Lighting'!AU25=3,OR('Proposed Lighting'!W25="ceiling mount",'Proposed Lighting'!W25="wall switch",'Proposed Lighting'!W25="fixture mount (on exisiting equip)",'Proposed Lighting'!W25="daylight harvesting (on existing equip)")),0,
IF('Proposed Lighting'!AF25=1,IF(P328=0,0,J328*O328*(L328*(1-P328))),IF('Proposed Lighting'!AU25=1,0,'Proposed Lighting'!AX25-'Proposed Lighting'!AY25))))</f>
        <v>0</v>
      </c>
      <c r="R328" s="646">
        <f>IF('Proposed Lighting'!T25="Non-standard (provide description",0,
IF(AND(E328="Non-standard control",'Proposed Lighting'!AU25=2),Q328*0.1,
IF(AND(E328="Non-standard control",'Proposed Lighting'!AU25=3),Q328*0.08,
IF('Proposed Lighting'!EF25=0,0,IF('Proposed Lighting'!AU25=1,0,
IF(AND('Data Entry'!$AF$23="ID",'Proposed Lighting'!T25="Lighting controls only"),VLOOKUP(E328,'Proposed Lighting'!$DO$97:$DP$106,2,FALSE),
IF(AND('Data Entry'!$AF$23="OR",'Proposed Lighting'!AU25=3,'Proposed Lighting'!T25="Lighting controls only"),VLOOKUP(E328,'Proposed Lighting'!$DO$127:$DP$134,2,FALSE),0)))))))*J328</f>
        <v>0</v>
      </c>
      <c r="S328" s="646">
        <f>IF(Q328&lt;0.01,0,IF('Proposed Lighting'!AK25&gt;0,'Proposed Lighting'!AK25*'Proposed Lighting'!EF25,0))</f>
        <v>0</v>
      </c>
      <c r="T328" s="647">
        <f t="shared" si="76"/>
        <v>0</v>
      </c>
      <c r="U328" s="648"/>
      <c r="V328" s="646">
        <f t="shared" si="63"/>
        <v>0</v>
      </c>
      <c r="W328" s="646">
        <f t="shared" si="64"/>
        <v>0</v>
      </c>
      <c r="X328" s="646">
        <f t="shared" si="65"/>
        <v>0</v>
      </c>
      <c r="Y328" s="646"/>
      <c r="Z328" s="646"/>
      <c r="AA328" s="646"/>
      <c r="AB328" s="646">
        <f t="shared" si="66"/>
        <v>0</v>
      </c>
      <c r="AC328" s="649" t="str">
        <f t="shared" si="67"/>
        <v/>
      </c>
      <c r="AD328" s="649" t="str">
        <f t="shared" si="68"/>
        <v/>
      </c>
      <c r="AE328" s="649" t="str">
        <f t="shared" si="69"/>
        <v/>
      </c>
      <c r="AF328" s="72"/>
      <c r="AG328" s="644">
        <f>IFERROR(IF($AV328="No",0,IF($AV328="yes",Summary!Q328,"")),"")</f>
        <v>0</v>
      </c>
      <c r="AH328" s="646">
        <f>IFERROR(IF($AV328="No",0,IF($AV328="yes",Summary!R328,"")),"")</f>
        <v>0</v>
      </c>
      <c r="AI328" s="646">
        <f>IFERROR(IF($AV328="No",0,IF($AV328="yes",Summary!S328,"")),"")</f>
        <v>0</v>
      </c>
      <c r="AJ328" s="647">
        <f>IFERROR(IF($AV328="No",0,IF($AV328="yes",Summary!T328,"")),"")</f>
        <v>0</v>
      </c>
      <c r="AK328" s="648">
        <f>IFERROR(IF($AV328="No",0,IF($AV328="yes",Summary!U328,"")),"")</f>
        <v>0</v>
      </c>
      <c r="AL328" s="646">
        <f>IFERROR(IF($AV328="No",0,IF($AV328="yes",Summary!V328,"")),"")</f>
        <v>0</v>
      </c>
      <c r="AM328" s="646">
        <f>IFERROR(IF($AV328="No",0,IF($AV328="yes",Summary!W328,"")),"")</f>
        <v>0</v>
      </c>
      <c r="AN328" s="646">
        <f>IFERROR(IF($AV328="No",0,IF($AV328="yes",Summary!X328,"")),"")</f>
        <v>0</v>
      </c>
      <c r="AO328" s="646">
        <f>IFERROR(IF($AV328="No",0,IF($AV328="yes",Summary!Y328+Z328,"")),"")</f>
        <v>0</v>
      </c>
      <c r="AP328" s="646">
        <f>IFERROR(IF($AV328="No",0,IF($AV328="yes",Summary!AB328,"")),"")</f>
        <v>0</v>
      </c>
      <c r="AQ328" s="649" t="str">
        <f t="shared" si="77"/>
        <v/>
      </c>
      <c r="AR328" s="649" t="str">
        <f t="shared" si="79"/>
        <v/>
      </c>
      <c r="AS328" s="649" t="str">
        <f t="shared" si="78"/>
        <v/>
      </c>
      <c r="AT328" s="641" t="s">
        <v>802</v>
      </c>
      <c r="AV328" t="str">
        <f>IF('Proposed Lighting'!AK25&gt;0,"No","Yes")</f>
        <v>Yes</v>
      </c>
    </row>
    <row r="329" spans="1:48" ht="34.5" customHeight="1" outlineLevel="1">
      <c r="A329" s="641" t="s">
        <v>803</v>
      </c>
      <c r="B329" s="641" t="str">
        <f>IF('Proposed Lighting'!AU26=3,"Commercial-All Com-ExtLight",IF('Proposed Lighting'!AH26&gt;8759,"IPC_8760","Commercial-All Com-IntLight"))</f>
        <v>IPC_8760</v>
      </c>
      <c r="C329" s="641" t="str">
        <f>IF(OR(E329="",E329=0),"No",
IF(AND('Data Entry'!$AF$23="OR",AE329&lt;1),"No",
IF(AND('Data Entry'!$AF$23="ID",E329="Non-standard lighting control system",AD329&lt;1),"No",
IF(AND('Data Entry'!$AF$23="OR",'Proposed Lighting'!F26="Existing LED (Provide Description)",'Proposed Lighting'!AK26=""),"No",
IF('Proposed Lighting'!DD26="Submit Control as Non-Standard","No",
IF(AND('Proposed Lighting'!T26="Non-Standard (Provide Description)",AD329&lt;1),"No",
IF('Proposed Lighting'!AW26&lt;'Proposed Lighting'!AZ26,"No","Yes")))))))</f>
        <v>No</v>
      </c>
      <c r="D329" s="1604">
        <f>'Proposed Lighting'!BQ26-Q329</f>
        <v>0</v>
      </c>
      <c r="E329" s="642" t="str">
        <f>IF('Proposed Lighting'!W26="","",'Proposed Lighting'!W26)</f>
        <v/>
      </c>
      <c r="F329" s="642"/>
      <c r="G329" s="641" t="s">
        <v>786</v>
      </c>
      <c r="H329" s="643">
        <v>10</v>
      </c>
      <c r="I329" s="644">
        <v>1</v>
      </c>
      <c r="J329" s="723">
        <f>IF('Proposed Lighting'!EF26=0,'Proposed Lighting'!AA26,'Proposed Lighting'!EF26)</f>
        <v>0</v>
      </c>
      <c r="K329" s="643" t="str">
        <f>'Proposed Lighting'!CU26</f>
        <v/>
      </c>
      <c r="L329" s="643" t="str">
        <f t="shared" si="75"/>
        <v/>
      </c>
      <c r="M329" s="645">
        <f t="shared" si="60"/>
        <v>0</v>
      </c>
      <c r="N329" s="645"/>
      <c r="O329" s="722">
        <f>IFERROR('Proposed Lighting'!AC26/1000,0)</f>
        <v>0</v>
      </c>
      <c r="P329" s="644">
        <f>'Proposed Lighting'!AV26</f>
        <v>0</v>
      </c>
      <c r="Q329" s="644">
        <f>IF(AND('Proposed Lighting'!T26="Lighting Controls Only",'Data Entry'!$AF$23="OR",'Proposed Lighting'!AU26=2),0,
IF(AND('Proposed Lighting'!T26="Lighting Controls Only",'Data Entry'!$AF$23="OR",'Proposed Lighting'!AU26=3,OR('Proposed Lighting'!W26="ceiling mount",'Proposed Lighting'!W26="wall switch",'Proposed Lighting'!W26="fixture mount (on exisiting equip)",'Proposed Lighting'!W26="daylight harvesting (on existing equip)")),0,
IF('Proposed Lighting'!AF26=1,IF(P329=0,0,J329*O329*(L329*(1-P329))),IF('Proposed Lighting'!AU26=1,0,'Proposed Lighting'!AX26-'Proposed Lighting'!AY26))))</f>
        <v>0</v>
      </c>
      <c r="R329" s="646">
        <f>IF('Proposed Lighting'!T26="Non-standard (provide description",0,
IF(AND(E329="Non-standard control",'Proposed Lighting'!AU26=2),Q329*0.1,
IF(AND(E329="Non-standard control",'Proposed Lighting'!AU26=3),Q329*0.08,
IF('Proposed Lighting'!EF26=0,0,IF('Proposed Lighting'!AU26=1,0,
IF(AND('Data Entry'!$AF$23="ID",'Proposed Lighting'!T26="Lighting controls only"),VLOOKUP(E329,'Proposed Lighting'!$DO$97:$DP$106,2,FALSE),
IF(AND('Data Entry'!$AF$23="OR",'Proposed Lighting'!AU26=3,'Proposed Lighting'!T26="Lighting controls only"),VLOOKUP(E329,'Proposed Lighting'!$DO$127:$DP$134,2,FALSE),0)))))))*J329</f>
        <v>0</v>
      </c>
      <c r="S329" s="646">
        <f>IF(Q329&lt;0.01,0,IF('Proposed Lighting'!AK26&gt;0,'Proposed Lighting'!AK26*'Proposed Lighting'!EF26,0))</f>
        <v>0</v>
      </c>
      <c r="T329" s="647">
        <f t="shared" si="76"/>
        <v>0</v>
      </c>
      <c r="U329" s="648"/>
      <c r="V329" s="646">
        <f t="shared" si="63"/>
        <v>0</v>
      </c>
      <c r="W329" s="646">
        <f t="shared" si="64"/>
        <v>0</v>
      </c>
      <c r="X329" s="646">
        <f t="shared" si="65"/>
        <v>0</v>
      </c>
      <c r="Y329" s="646"/>
      <c r="Z329" s="646"/>
      <c r="AA329" s="646"/>
      <c r="AB329" s="646">
        <f t="shared" si="66"/>
        <v>0</v>
      </c>
      <c r="AC329" s="649" t="str">
        <f t="shared" si="67"/>
        <v/>
      </c>
      <c r="AD329" s="649" t="str">
        <f t="shared" si="68"/>
        <v/>
      </c>
      <c r="AE329" s="649" t="str">
        <f t="shared" si="69"/>
        <v/>
      </c>
      <c r="AF329" s="72"/>
      <c r="AG329" s="644">
        <f>IFERROR(IF($AV329="No",0,IF($AV329="yes",Summary!Q329,"")),"")</f>
        <v>0</v>
      </c>
      <c r="AH329" s="646">
        <f>IFERROR(IF($AV329="No",0,IF($AV329="yes",Summary!R329,"")),"")</f>
        <v>0</v>
      </c>
      <c r="AI329" s="646">
        <f>IFERROR(IF($AV329="No",0,IF($AV329="yes",Summary!S329,"")),"")</f>
        <v>0</v>
      </c>
      <c r="AJ329" s="647">
        <f>IFERROR(IF($AV329="No",0,IF($AV329="yes",Summary!T329,"")),"")</f>
        <v>0</v>
      </c>
      <c r="AK329" s="648">
        <f>IFERROR(IF($AV329="No",0,IF($AV329="yes",Summary!U329,"")),"")</f>
        <v>0</v>
      </c>
      <c r="AL329" s="646">
        <f>IFERROR(IF($AV329="No",0,IF($AV329="yes",Summary!V329,"")),"")</f>
        <v>0</v>
      </c>
      <c r="AM329" s="646">
        <f>IFERROR(IF($AV329="No",0,IF($AV329="yes",Summary!W329,"")),"")</f>
        <v>0</v>
      </c>
      <c r="AN329" s="646">
        <f>IFERROR(IF($AV329="No",0,IF($AV329="yes",Summary!X329,"")),"")</f>
        <v>0</v>
      </c>
      <c r="AO329" s="646">
        <f>IFERROR(IF($AV329="No",0,IF($AV329="yes",Summary!Y329+Z329,"")),"")</f>
        <v>0</v>
      </c>
      <c r="AP329" s="646">
        <f>IFERROR(IF($AV329="No",0,IF($AV329="yes",Summary!AB329,"")),"")</f>
        <v>0</v>
      </c>
      <c r="AQ329" s="649" t="str">
        <f t="shared" si="77"/>
        <v/>
      </c>
      <c r="AR329" s="649" t="str">
        <f t="shared" si="79"/>
        <v/>
      </c>
      <c r="AS329" s="649" t="str">
        <f t="shared" si="78"/>
        <v/>
      </c>
      <c r="AT329" s="641" t="s">
        <v>803</v>
      </c>
      <c r="AV329" t="str">
        <f>IF('Proposed Lighting'!AK26&gt;0,"No","Yes")</f>
        <v>Yes</v>
      </c>
    </row>
    <row r="330" spans="1:48" ht="34.5" customHeight="1" outlineLevel="1">
      <c r="A330" s="641" t="s">
        <v>804</v>
      </c>
      <c r="B330" s="641" t="str">
        <f>IF('Proposed Lighting'!AU27=3,"Commercial-All Com-ExtLight",IF('Proposed Lighting'!AH27&gt;8759,"IPC_8760","Commercial-All Com-IntLight"))</f>
        <v>IPC_8760</v>
      </c>
      <c r="C330" s="641" t="str">
        <f>IF(OR(E330="",E330=0),"No",
IF(AND('Data Entry'!$AF$23="OR",AE330&lt;1),"No",
IF(AND('Data Entry'!$AF$23="ID",E330="Non-standard lighting control system",AD330&lt;1),"No",
IF(AND('Data Entry'!$AF$23="OR",'Proposed Lighting'!F27="Existing LED (Provide Description)",'Proposed Lighting'!AK27=""),"No",
IF('Proposed Lighting'!DD27="Submit Control as Non-Standard","No",
IF(AND('Proposed Lighting'!T27="Non-Standard (Provide Description)",AD330&lt;1),"No",
IF('Proposed Lighting'!AW27&lt;'Proposed Lighting'!AZ27,"No","Yes")))))))</f>
        <v>No</v>
      </c>
      <c r="D330" s="1604">
        <f>'Proposed Lighting'!BQ27-Q330</f>
        <v>0</v>
      </c>
      <c r="E330" s="642" t="str">
        <f>IF('Proposed Lighting'!W27="","",'Proposed Lighting'!W27)</f>
        <v/>
      </c>
      <c r="F330" s="642"/>
      <c r="G330" s="641" t="s">
        <v>786</v>
      </c>
      <c r="H330" s="643">
        <v>10</v>
      </c>
      <c r="I330" s="644">
        <v>1</v>
      </c>
      <c r="J330" s="723">
        <f>IF('Proposed Lighting'!EF27=0,'Proposed Lighting'!AA27,'Proposed Lighting'!EF27)</f>
        <v>0</v>
      </c>
      <c r="K330" s="643" t="str">
        <f>'Proposed Lighting'!CU27</f>
        <v/>
      </c>
      <c r="L330" s="643" t="str">
        <f t="shared" si="75"/>
        <v/>
      </c>
      <c r="M330" s="645">
        <f t="shared" si="60"/>
        <v>0</v>
      </c>
      <c r="N330" s="645"/>
      <c r="O330" s="722">
        <f>IFERROR('Proposed Lighting'!AC27/1000,0)</f>
        <v>0</v>
      </c>
      <c r="P330" s="644">
        <f>'Proposed Lighting'!AV27</f>
        <v>0</v>
      </c>
      <c r="Q330" s="644">
        <f>IF(AND('Proposed Lighting'!T27="Lighting Controls Only",'Data Entry'!$AF$23="OR",'Proposed Lighting'!AU27=2),0,
IF(AND('Proposed Lighting'!T27="Lighting Controls Only",'Data Entry'!$AF$23="OR",'Proposed Lighting'!AU27=3,OR('Proposed Lighting'!W27="ceiling mount",'Proposed Lighting'!W27="wall switch",'Proposed Lighting'!W27="fixture mount (on exisiting equip)",'Proposed Lighting'!W27="daylight harvesting (on existing equip)")),0,
IF('Proposed Lighting'!AF27=1,IF(P330=0,0,J330*O330*(L330*(1-P330))),IF('Proposed Lighting'!AU27=1,0,'Proposed Lighting'!AX27-'Proposed Lighting'!AY27))))</f>
        <v>0</v>
      </c>
      <c r="R330" s="646">
        <f>IF('Proposed Lighting'!T27="Non-standard (provide description",0,
IF(AND(E330="Non-standard control",'Proposed Lighting'!AU27=2),Q330*0.1,
IF(AND(E330="Non-standard control",'Proposed Lighting'!AU27=3),Q330*0.08,
IF('Proposed Lighting'!EF27=0,0,IF('Proposed Lighting'!AU27=1,0,
IF(AND('Data Entry'!$AF$23="ID",'Proposed Lighting'!T27="Lighting controls only"),VLOOKUP(E330,'Proposed Lighting'!$DO$97:$DP$106,2,FALSE),
IF(AND('Data Entry'!$AF$23="OR",'Proposed Lighting'!AU27=3,'Proposed Lighting'!T27="Lighting controls only"),VLOOKUP(E330,'Proposed Lighting'!$DO$127:$DP$134,2,FALSE),0)))))))*J330</f>
        <v>0</v>
      </c>
      <c r="S330" s="646">
        <f>IF(Q330&lt;0.01,0,IF('Proposed Lighting'!AK27&gt;0,'Proposed Lighting'!AK27*'Proposed Lighting'!EF27,0))</f>
        <v>0</v>
      </c>
      <c r="T330" s="647">
        <f t="shared" si="76"/>
        <v>0</v>
      </c>
      <c r="U330" s="648"/>
      <c r="V330" s="646">
        <f t="shared" si="63"/>
        <v>0</v>
      </c>
      <c r="W330" s="646">
        <f t="shared" si="64"/>
        <v>0</v>
      </c>
      <c r="X330" s="646">
        <f t="shared" si="65"/>
        <v>0</v>
      </c>
      <c r="Y330" s="646"/>
      <c r="Z330" s="646"/>
      <c r="AA330" s="646"/>
      <c r="AB330" s="646">
        <f t="shared" si="66"/>
        <v>0</v>
      </c>
      <c r="AC330" s="649" t="str">
        <f t="shared" si="67"/>
        <v/>
      </c>
      <c r="AD330" s="649" t="str">
        <f t="shared" si="68"/>
        <v/>
      </c>
      <c r="AE330" s="649" t="str">
        <f t="shared" si="69"/>
        <v/>
      </c>
      <c r="AF330" s="72"/>
      <c r="AG330" s="644">
        <f>IFERROR(IF($AV330="No",0,IF($AV330="yes",Summary!Q330,"")),"")</f>
        <v>0</v>
      </c>
      <c r="AH330" s="646">
        <f>IFERROR(IF($AV330="No",0,IF($AV330="yes",Summary!R330,"")),"")</f>
        <v>0</v>
      </c>
      <c r="AI330" s="646">
        <f>IFERROR(IF($AV330="No",0,IF($AV330="yes",Summary!S330,"")),"")</f>
        <v>0</v>
      </c>
      <c r="AJ330" s="647">
        <f>IFERROR(IF($AV330="No",0,IF($AV330="yes",Summary!T330,"")),"")</f>
        <v>0</v>
      </c>
      <c r="AK330" s="648">
        <f>IFERROR(IF($AV330="No",0,IF($AV330="yes",Summary!U330,"")),"")</f>
        <v>0</v>
      </c>
      <c r="AL330" s="646">
        <f>IFERROR(IF($AV330="No",0,IF($AV330="yes",Summary!V330,"")),"")</f>
        <v>0</v>
      </c>
      <c r="AM330" s="646">
        <f>IFERROR(IF($AV330="No",0,IF($AV330="yes",Summary!W330,"")),"")</f>
        <v>0</v>
      </c>
      <c r="AN330" s="646">
        <f>IFERROR(IF($AV330="No",0,IF($AV330="yes",Summary!X330,"")),"")</f>
        <v>0</v>
      </c>
      <c r="AO330" s="646">
        <f>IFERROR(IF($AV330="No",0,IF($AV330="yes",Summary!Y330+Z330,"")),"")</f>
        <v>0</v>
      </c>
      <c r="AP330" s="646">
        <f>IFERROR(IF($AV330="No",0,IF($AV330="yes",Summary!AB330,"")),"")</f>
        <v>0</v>
      </c>
      <c r="AQ330" s="649" t="str">
        <f t="shared" si="77"/>
        <v/>
      </c>
      <c r="AR330" s="649" t="str">
        <f t="shared" si="79"/>
        <v/>
      </c>
      <c r="AS330" s="649" t="str">
        <f t="shared" si="78"/>
        <v/>
      </c>
      <c r="AT330" s="641" t="s">
        <v>804</v>
      </c>
      <c r="AV330" t="str">
        <f>IF('Proposed Lighting'!AK27&gt;0,"No","Yes")</f>
        <v>Yes</v>
      </c>
    </row>
    <row r="331" spans="1:48" ht="34.5" customHeight="1" outlineLevel="1">
      <c r="A331" s="641" t="s">
        <v>805</v>
      </c>
      <c r="B331" s="641" t="str">
        <f>IF('Proposed Lighting'!AU28=3,"Commercial-All Com-ExtLight",IF('Proposed Lighting'!AH28&gt;8759,"IPC_8760","Commercial-All Com-IntLight"))</f>
        <v>IPC_8760</v>
      </c>
      <c r="C331" s="641" t="str">
        <f>IF(OR(E331="",E331=0),"No",
IF(AND('Data Entry'!$AF$23="OR",AE331&lt;1),"No",
IF(AND('Data Entry'!$AF$23="ID",E331="Non-standard lighting control system",AD331&lt;1),"No",
IF(AND('Data Entry'!$AF$23="OR",'Proposed Lighting'!F28="Existing LED (Provide Description)",'Proposed Lighting'!AK28=""),"No",
IF('Proposed Lighting'!DD28="Submit Control as Non-Standard","No",
IF(AND('Proposed Lighting'!T28="Non-Standard (Provide Description)",AD331&lt;1),"No",
IF('Proposed Lighting'!AW28&lt;'Proposed Lighting'!AZ28,"No","Yes")))))))</f>
        <v>No</v>
      </c>
      <c r="D331" s="1604">
        <f>'Proposed Lighting'!BQ28-Q331</f>
        <v>0</v>
      </c>
      <c r="E331" s="642" t="str">
        <f>IF('Proposed Lighting'!W28="","",'Proposed Lighting'!W28)</f>
        <v/>
      </c>
      <c r="F331" s="642"/>
      <c r="G331" s="641" t="s">
        <v>786</v>
      </c>
      <c r="H331" s="643">
        <v>10</v>
      </c>
      <c r="I331" s="644">
        <v>1</v>
      </c>
      <c r="J331" s="723">
        <f>IF('Proposed Lighting'!EF28=0,'Proposed Lighting'!AA28,'Proposed Lighting'!EF28)</f>
        <v>0</v>
      </c>
      <c r="K331" s="643" t="str">
        <f>'Proposed Lighting'!CU28</f>
        <v/>
      </c>
      <c r="L331" s="643" t="str">
        <f t="shared" si="75"/>
        <v/>
      </c>
      <c r="M331" s="645">
        <f t="shared" si="60"/>
        <v>0</v>
      </c>
      <c r="N331" s="645"/>
      <c r="O331" s="722">
        <f>IFERROR('Proposed Lighting'!AC28/1000,0)</f>
        <v>0</v>
      </c>
      <c r="P331" s="644">
        <f>'Proposed Lighting'!AV28</f>
        <v>0</v>
      </c>
      <c r="Q331" s="644">
        <f>IF(AND('Proposed Lighting'!T28="Lighting Controls Only",'Data Entry'!$AF$23="OR",'Proposed Lighting'!AU28=2),0,
IF(AND('Proposed Lighting'!T28="Lighting Controls Only",'Data Entry'!$AF$23="OR",'Proposed Lighting'!AU28=3,OR('Proposed Lighting'!W28="ceiling mount",'Proposed Lighting'!W28="wall switch",'Proposed Lighting'!W28="fixture mount (on exisiting equip)",'Proposed Lighting'!W28="daylight harvesting (on existing equip)")),0,
IF('Proposed Lighting'!AF28=1,IF(P331=0,0,J331*O331*(L331*(1-P331))),IF('Proposed Lighting'!AU28=1,0,'Proposed Lighting'!AX28-'Proposed Lighting'!AY28))))</f>
        <v>0</v>
      </c>
      <c r="R331" s="646">
        <f>IF('Proposed Lighting'!T28="Non-standard (provide description",0,
IF(AND(E331="Non-standard control",'Proposed Lighting'!AU28=2),Q331*0.1,
IF(AND(E331="Non-standard control",'Proposed Lighting'!AU28=3),Q331*0.08,
IF('Proposed Lighting'!EF28=0,0,IF('Proposed Lighting'!AU28=1,0,
IF(AND('Data Entry'!$AF$23="ID",'Proposed Lighting'!T28="Lighting controls only"),VLOOKUP(E331,'Proposed Lighting'!$DO$97:$DP$106,2,FALSE),
IF(AND('Data Entry'!$AF$23="OR",'Proposed Lighting'!AU28=3,'Proposed Lighting'!T28="Lighting controls only"),VLOOKUP(E331,'Proposed Lighting'!$DO$127:$DP$134,2,FALSE),0)))))))*J331</f>
        <v>0</v>
      </c>
      <c r="S331" s="646">
        <f>IF(Q331&lt;0.01,0,IF('Proposed Lighting'!AK28&gt;0,'Proposed Lighting'!AK28*'Proposed Lighting'!EF28,0))</f>
        <v>0</v>
      </c>
      <c r="T331" s="647">
        <f t="shared" si="76"/>
        <v>0</v>
      </c>
      <c r="U331" s="648"/>
      <c r="V331" s="646">
        <f t="shared" si="63"/>
        <v>0</v>
      </c>
      <c r="W331" s="646">
        <f t="shared" si="64"/>
        <v>0</v>
      </c>
      <c r="X331" s="646">
        <f t="shared" si="65"/>
        <v>0</v>
      </c>
      <c r="Y331" s="646"/>
      <c r="Z331" s="646"/>
      <c r="AA331" s="646"/>
      <c r="AB331" s="646">
        <f t="shared" si="66"/>
        <v>0</v>
      </c>
      <c r="AC331" s="649" t="str">
        <f t="shared" si="67"/>
        <v/>
      </c>
      <c r="AD331" s="649" t="str">
        <f t="shared" si="68"/>
        <v/>
      </c>
      <c r="AE331" s="649" t="str">
        <f t="shared" si="69"/>
        <v/>
      </c>
      <c r="AF331" s="72"/>
      <c r="AG331" s="644">
        <f>IFERROR(IF($AV331="No",0,IF($AV331="yes",Summary!Q331,"")),"")</f>
        <v>0</v>
      </c>
      <c r="AH331" s="646">
        <f>IFERROR(IF($AV331="No",0,IF($AV331="yes",Summary!R331,"")),"")</f>
        <v>0</v>
      </c>
      <c r="AI331" s="646">
        <f>IFERROR(IF($AV331="No",0,IF($AV331="yes",Summary!S331,"")),"")</f>
        <v>0</v>
      </c>
      <c r="AJ331" s="647">
        <f>IFERROR(IF($AV331="No",0,IF($AV331="yes",Summary!T331,"")),"")</f>
        <v>0</v>
      </c>
      <c r="AK331" s="648">
        <f>IFERROR(IF($AV331="No",0,IF($AV331="yes",Summary!U331,"")),"")</f>
        <v>0</v>
      </c>
      <c r="AL331" s="646">
        <f>IFERROR(IF($AV331="No",0,IF($AV331="yes",Summary!V331,"")),"")</f>
        <v>0</v>
      </c>
      <c r="AM331" s="646">
        <f>IFERROR(IF($AV331="No",0,IF($AV331="yes",Summary!W331,"")),"")</f>
        <v>0</v>
      </c>
      <c r="AN331" s="646">
        <f>IFERROR(IF($AV331="No",0,IF($AV331="yes",Summary!X331,"")),"")</f>
        <v>0</v>
      </c>
      <c r="AO331" s="646">
        <f>IFERROR(IF($AV331="No",0,IF($AV331="yes",Summary!Y331+Z331,"")),"")</f>
        <v>0</v>
      </c>
      <c r="AP331" s="646">
        <f>IFERROR(IF($AV331="No",0,IF($AV331="yes",Summary!AB331,"")),"")</f>
        <v>0</v>
      </c>
      <c r="AQ331" s="649" t="str">
        <f t="shared" si="77"/>
        <v/>
      </c>
      <c r="AR331" s="649" t="str">
        <f t="shared" si="79"/>
        <v/>
      </c>
      <c r="AS331" s="649" t="str">
        <f t="shared" si="78"/>
        <v/>
      </c>
      <c r="AT331" s="641" t="s">
        <v>805</v>
      </c>
      <c r="AV331" t="str">
        <f>IF('Proposed Lighting'!AK28&gt;0,"No","Yes")</f>
        <v>Yes</v>
      </c>
    </row>
    <row r="332" spans="1:48" ht="34.5" customHeight="1" outlineLevel="1">
      <c r="A332" s="641" t="s">
        <v>806</v>
      </c>
      <c r="B332" s="641" t="str">
        <f>IF('Proposed Lighting'!AU29=3,"Commercial-All Com-ExtLight",IF('Proposed Lighting'!AH29&gt;8759,"IPC_8760","Commercial-All Com-IntLight"))</f>
        <v>IPC_8760</v>
      </c>
      <c r="C332" s="641" t="str">
        <f>IF(OR(E332="",E332=0),"No",
IF(AND('Data Entry'!$AF$23="OR",AE332&lt;1),"No",
IF(AND('Data Entry'!$AF$23="ID",E332="Non-standard lighting control system",AD332&lt;1),"No",
IF(AND('Data Entry'!$AF$23="OR",'Proposed Lighting'!F29="Existing LED (Provide Description)",'Proposed Lighting'!AK29=""),"No",
IF('Proposed Lighting'!DD29="Submit Control as Non-Standard","No",
IF(AND('Proposed Lighting'!T29="Non-Standard (Provide Description)",AD332&lt;1),"No",
IF('Proposed Lighting'!AW29&lt;'Proposed Lighting'!AZ29,"No","Yes")))))))</f>
        <v>No</v>
      </c>
      <c r="D332" s="1604">
        <f>'Proposed Lighting'!BQ29-Q332</f>
        <v>0</v>
      </c>
      <c r="E332" s="642" t="str">
        <f>IF('Proposed Lighting'!W29="","",'Proposed Lighting'!W29)</f>
        <v/>
      </c>
      <c r="F332" s="642"/>
      <c r="G332" s="641" t="s">
        <v>786</v>
      </c>
      <c r="H332" s="643">
        <v>10</v>
      </c>
      <c r="I332" s="644">
        <v>1</v>
      </c>
      <c r="J332" s="723">
        <f>IF('Proposed Lighting'!EF29=0,'Proposed Lighting'!AA29,'Proposed Lighting'!EF29)</f>
        <v>0</v>
      </c>
      <c r="K332" s="643" t="str">
        <f>'Proposed Lighting'!CU29</f>
        <v/>
      </c>
      <c r="L332" s="643" t="str">
        <f t="shared" si="75"/>
        <v/>
      </c>
      <c r="M332" s="645">
        <f t="shared" ref="M332:M395" si="80">IFERROR(K332-L332,0)</f>
        <v>0</v>
      </c>
      <c r="N332" s="645"/>
      <c r="O332" s="722">
        <f>IFERROR('Proposed Lighting'!AC29/1000,0)</f>
        <v>0</v>
      </c>
      <c r="P332" s="644">
        <f>'Proposed Lighting'!AV29</f>
        <v>0</v>
      </c>
      <c r="Q332" s="644">
        <f>IF(AND('Proposed Lighting'!T29="Lighting Controls Only",'Data Entry'!$AF$23="OR",'Proposed Lighting'!AU29=2),0,
IF(AND('Proposed Lighting'!T29="Lighting Controls Only",'Data Entry'!$AF$23="OR",'Proposed Lighting'!AU29=3,OR('Proposed Lighting'!W29="ceiling mount",'Proposed Lighting'!W29="wall switch",'Proposed Lighting'!W29="fixture mount (on exisiting equip)",'Proposed Lighting'!W29="daylight harvesting (on existing equip)")),0,
IF('Proposed Lighting'!AF29=1,IF(P332=0,0,J332*O332*(L332*(1-P332))),IF('Proposed Lighting'!AU29=1,0,'Proposed Lighting'!AX29-'Proposed Lighting'!AY29))))</f>
        <v>0</v>
      </c>
      <c r="R332" s="646">
        <f>IF('Proposed Lighting'!T29="Non-standard (provide description",0,
IF(AND(E332="Non-standard control",'Proposed Lighting'!AU29=2),Q332*0.1,
IF(AND(E332="Non-standard control",'Proposed Lighting'!AU29=3),Q332*0.08,
IF('Proposed Lighting'!EF29=0,0,IF('Proposed Lighting'!AU29=1,0,
IF(AND('Data Entry'!$AF$23="ID",'Proposed Lighting'!T29="Lighting controls only"),VLOOKUP(E332,'Proposed Lighting'!$DO$97:$DP$106,2,FALSE),
IF(AND('Data Entry'!$AF$23="OR",'Proposed Lighting'!AU29=3,'Proposed Lighting'!T29="Lighting controls only"),VLOOKUP(E332,'Proposed Lighting'!$DO$127:$DP$134,2,FALSE),0)))))))*J332</f>
        <v>0</v>
      </c>
      <c r="S332" s="646">
        <f>IF(Q332&lt;0.01,0,IF('Proposed Lighting'!AK29&gt;0,'Proposed Lighting'!AK29*'Proposed Lighting'!EF29,0))</f>
        <v>0</v>
      </c>
      <c r="T332" s="647">
        <f t="shared" si="76"/>
        <v>0</v>
      </c>
      <c r="U332" s="648"/>
      <c r="V332" s="646">
        <f t="shared" ref="V332:V395" si="81">IFERROR((PV($C$6,$H332,-(IF(Q332=0,Q332,Q332)))*$C$7)*((1+$C$6)^0.5),0)</f>
        <v>0</v>
      </c>
      <c r="W332" s="646">
        <f t="shared" ref="W332:W395" si="82">IFERROR((VLOOKUP($B332,loadshapeac,$H332+1,FALSE)*$Q332),0)</f>
        <v>0</v>
      </c>
      <c r="X332" s="646">
        <f t="shared" ref="X332:X395" si="83">IFERROR((VLOOKUP($B332,loadshapeac,$H332+1,FALSE)*$Q332)*1.1,0)</f>
        <v>0</v>
      </c>
      <c r="Y332" s="646"/>
      <c r="Z332" s="646"/>
      <c r="AA332" s="646"/>
      <c r="AB332" s="646">
        <f t="shared" ref="AB332:AB395" si="84">IFERROR(PV($C$6,$H332,-$AA332)*((1+$C$6)^0.5),0)</f>
        <v>0</v>
      </c>
      <c r="AC332" s="649" t="str">
        <f t="shared" ref="AC332:AC395" si="85">IFERROR(IF($Q332&lt;0,"",(V332+R332+Y332+Z332+AB332)/(S332)),"")</f>
        <v/>
      </c>
      <c r="AD332" s="649" t="str">
        <f t="shared" ref="AD332:AD395" si="86">IFERROR(IF($Q332&lt;0,"",(I332*W332)/(((IF(Q332=0,Q332,Q332))*U332)+R332)),"")</f>
        <v/>
      </c>
      <c r="AE332" s="649" t="str">
        <f t="shared" ref="AE332:AE395" si="87">IFERROR(IF($Q332&lt;0,"",IF(S332=0,((X332+Y332+Z332+AB332)*I332)/((Q332*U332)+R332),((X332+Y332+Z332+AB332)*I332)/((Q332*U332)+R332+((S332-R332)*I332)))),"")</f>
        <v/>
      </c>
      <c r="AF332" s="72"/>
      <c r="AG332" s="644">
        <f>IFERROR(IF($AV332="No",0,IF($AV332="yes",Summary!Q332,"")),"")</f>
        <v>0</v>
      </c>
      <c r="AH332" s="646">
        <f>IFERROR(IF($AV332="No",0,IF($AV332="yes",Summary!R332,"")),"")</f>
        <v>0</v>
      </c>
      <c r="AI332" s="646">
        <f>IFERROR(IF($AV332="No",0,IF($AV332="yes",Summary!S332,"")),"")</f>
        <v>0</v>
      </c>
      <c r="AJ332" s="647">
        <f>IFERROR(IF($AV332="No",0,IF($AV332="yes",Summary!T332,"")),"")</f>
        <v>0</v>
      </c>
      <c r="AK332" s="648">
        <f>IFERROR(IF($AV332="No",0,IF($AV332="yes",Summary!U332,"")),"")</f>
        <v>0</v>
      </c>
      <c r="AL332" s="646">
        <f>IFERROR(IF($AV332="No",0,IF($AV332="yes",Summary!V332,"")),"")</f>
        <v>0</v>
      </c>
      <c r="AM332" s="646">
        <f>IFERROR(IF($AV332="No",0,IF($AV332="yes",Summary!W332,"")),"")</f>
        <v>0</v>
      </c>
      <c r="AN332" s="646">
        <f>IFERROR(IF($AV332="No",0,IF($AV332="yes",Summary!X332,"")),"")</f>
        <v>0</v>
      </c>
      <c r="AO332" s="646">
        <f>IFERROR(IF($AV332="No",0,IF($AV332="yes",Summary!Y332+Z332,"")),"")</f>
        <v>0</v>
      </c>
      <c r="AP332" s="646">
        <f>IFERROR(IF($AV332="No",0,IF($AV332="yes",Summary!AB332,"")),"")</f>
        <v>0</v>
      </c>
      <c r="AQ332" s="649" t="str">
        <f t="shared" si="77"/>
        <v/>
      </c>
      <c r="AR332" s="649" t="str">
        <f t="shared" si="79"/>
        <v/>
      </c>
      <c r="AS332" s="649" t="str">
        <f t="shared" si="78"/>
        <v/>
      </c>
      <c r="AT332" s="641" t="s">
        <v>806</v>
      </c>
      <c r="AV332" t="str">
        <f>IF('Proposed Lighting'!AK29&gt;0,"No","Yes")</f>
        <v>Yes</v>
      </c>
    </row>
    <row r="333" spans="1:48" ht="34.5" customHeight="1" outlineLevel="1">
      <c r="A333" s="641" t="s">
        <v>807</v>
      </c>
      <c r="B333" s="641" t="str">
        <f>IF('Proposed Lighting'!AU30=3,"Commercial-All Com-ExtLight",IF('Proposed Lighting'!AH30&gt;8759,"IPC_8760","Commercial-All Com-IntLight"))</f>
        <v>IPC_8760</v>
      </c>
      <c r="C333" s="641" t="str">
        <f>IF(OR(E333="",E333=0),"No",
IF(AND('Data Entry'!$AF$23="OR",AE333&lt;1),"No",
IF(AND('Data Entry'!$AF$23="ID",E333="Non-standard lighting control system",AD333&lt;1),"No",
IF(AND('Data Entry'!$AF$23="OR",'Proposed Lighting'!F30="Existing LED (Provide Description)",'Proposed Lighting'!AK30=""),"No",
IF('Proposed Lighting'!DD30="Submit Control as Non-Standard","No",
IF(AND('Proposed Lighting'!T30="Non-Standard (Provide Description)",AD333&lt;1),"No",
IF('Proposed Lighting'!AW30&lt;'Proposed Lighting'!AZ30,"No","Yes")))))))</f>
        <v>No</v>
      </c>
      <c r="D333" s="1604">
        <f>'Proposed Lighting'!BQ30-Q333</f>
        <v>0</v>
      </c>
      <c r="E333" s="642" t="str">
        <f>IF('Proposed Lighting'!W30="","",'Proposed Lighting'!W30)</f>
        <v/>
      </c>
      <c r="F333" s="642"/>
      <c r="G333" s="641" t="s">
        <v>786</v>
      </c>
      <c r="H333" s="643">
        <v>10</v>
      </c>
      <c r="I333" s="644">
        <v>1</v>
      </c>
      <c r="J333" s="723">
        <f>IF('Proposed Lighting'!EF30=0,'Proposed Lighting'!AA30,'Proposed Lighting'!EF30)</f>
        <v>0</v>
      </c>
      <c r="K333" s="643" t="str">
        <f>'Proposed Lighting'!CU30</f>
        <v/>
      </c>
      <c r="L333" s="643" t="str">
        <f t="shared" si="75"/>
        <v/>
      </c>
      <c r="M333" s="645">
        <f t="shared" si="80"/>
        <v>0</v>
      </c>
      <c r="N333" s="645"/>
      <c r="O333" s="722">
        <f>IFERROR('Proposed Lighting'!AC30/1000,0)</f>
        <v>0</v>
      </c>
      <c r="P333" s="644">
        <f>'Proposed Lighting'!AV30</f>
        <v>0</v>
      </c>
      <c r="Q333" s="644">
        <f>IF(AND('Proposed Lighting'!T30="Lighting Controls Only",'Data Entry'!$AF$23="OR",'Proposed Lighting'!AU30=2),0,
IF(AND('Proposed Lighting'!T30="Lighting Controls Only",'Data Entry'!$AF$23="OR",'Proposed Lighting'!AU30=3,OR('Proposed Lighting'!W30="ceiling mount",'Proposed Lighting'!W30="wall switch",'Proposed Lighting'!W30="fixture mount (on exisiting equip)",'Proposed Lighting'!W30="daylight harvesting (on existing equip)")),0,
IF('Proposed Lighting'!AF30=1,IF(P333=0,0,J333*O333*(L333*(1-P333))),IF('Proposed Lighting'!AU30=1,0,'Proposed Lighting'!AX30-'Proposed Lighting'!AY30))))</f>
        <v>0</v>
      </c>
      <c r="R333" s="646">
        <f>IF('Proposed Lighting'!T30="Non-standard (provide description",0,
IF(AND(E333="Non-standard control",'Proposed Lighting'!AU30=2),Q333*0.1,
IF(AND(E333="Non-standard control",'Proposed Lighting'!AU30=3),Q333*0.08,
IF('Proposed Lighting'!EF30=0,0,IF('Proposed Lighting'!AU30=1,0,
IF(AND('Data Entry'!$AF$23="ID",'Proposed Lighting'!T30="Lighting controls only"),VLOOKUP(E333,'Proposed Lighting'!$DO$97:$DP$106,2,FALSE),
IF(AND('Data Entry'!$AF$23="OR",'Proposed Lighting'!AU30=3,'Proposed Lighting'!T30="Lighting controls only"),VLOOKUP(E333,'Proposed Lighting'!$DO$127:$DP$134,2,FALSE),0)))))))*J333</f>
        <v>0</v>
      </c>
      <c r="S333" s="646">
        <f>IF(Q333&lt;0.01,0,IF('Proposed Lighting'!AK30&gt;0,'Proposed Lighting'!AK30*'Proposed Lighting'!EF30,0))</f>
        <v>0</v>
      </c>
      <c r="T333" s="647">
        <f t="shared" si="76"/>
        <v>0</v>
      </c>
      <c r="U333" s="648"/>
      <c r="V333" s="646">
        <f t="shared" si="81"/>
        <v>0</v>
      </c>
      <c r="W333" s="646">
        <f t="shared" si="82"/>
        <v>0</v>
      </c>
      <c r="X333" s="646">
        <f t="shared" si="83"/>
        <v>0</v>
      </c>
      <c r="Y333" s="646"/>
      <c r="Z333" s="646"/>
      <c r="AA333" s="646"/>
      <c r="AB333" s="646">
        <f t="shared" si="84"/>
        <v>0</v>
      </c>
      <c r="AC333" s="649" t="str">
        <f t="shared" si="85"/>
        <v/>
      </c>
      <c r="AD333" s="649" t="str">
        <f t="shared" si="86"/>
        <v/>
      </c>
      <c r="AE333" s="649" t="str">
        <f t="shared" si="87"/>
        <v/>
      </c>
      <c r="AF333" s="72"/>
      <c r="AG333" s="644">
        <f>IFERROR(IF($AV333="No",0,IF($AV333="yes",Summary!Q333,"")),"")</f>
        <v>0</v>
      </c>
      <c r="AH333" s="646">
        <f>IFERROR(IF($AV333="No",0,IF($AV333="yes",Summary!R333,"")),"")</f>
        <v>0</v>
      </c>
      <c r="AI333" s="646">
        <f>IFERROR(IF($AV333="No",0,IF($AV333="yes",Summary!S333,"")),"")</f>
        <v>0</v>
      </c>
      <c r="AJ333" s="647">
        <f>IFERROR(IF($AV333="No",0,IF($AV333="yes",Summary!T333,"")),"")</f>
        <v>0</v>
      </c>
      <c r="AK333" s="648">
        <f>IFERROR(IF($AV333="No",0,IF($AV333="yes",Summary!U333,"")),"")</f>
        <v>0</v>
      </c>
      <c r="AL333" s="646">
        <f>IFERROR(IF($AV333="No",0,IF($AV333="yes",Summary!V333,"")),"")</f>
        <v>0</v>
      </c>
      <c r="AM333" s="646">
        <f>IFERROR(IF($AV333="No",0,IF($AV333="yes",Summary!W333,"")),"")</f>
        <v>0</v>
      </c>
      <c r="AN333" s="646">
        <f>IFERROR(IF($AV333="No",0,IF($AV333="yes",Summary!X333,"")),"")</f>
        <v>0</v>
      </c>
      <c r="AO333" s="646">
        <f>IFERROR(IF($AV333="No",0,IF($AV333="yes",Summary!Y333+Z333,"")),"")</f>
        <v>0</v>
      </c>
      <c r="AP333" s="646">
        <f>IFERROR(IF($AV333="No",0,IF($AV333="yes",Summary!AB333,"")),"")</f>
        <v>0</v>
      </c>
      <c r="AQ333" s="649" t="str">
        <f t="shared" si="77"/>
        <v/>
      </c>
      <c r="AR333" s="649" t="str">
        <f t="shared" si="79"/>
        <v/>
      </c>
      <c r="AS333" s="649" t="str">
        <f t="shared" si="78"/>
        <v/>
      </c>
      <c r="AT333" s="641" t="s">
        <v>807</v>
      </c>
      <c r="AV333" t="str">
        <f>IF('Proposed Lighting'!AK30&gt;0,"No","Yes")</f>
        <v>Yes</v>
      </c>
    </row>
    <row r="334" spans="1:48" ht="34.5" customHeight="1" outlineLevel="1">
      <c r="A334" s="641" t="s">
        <v>808</v>
      </c>
      <c r="B334" s="641" t="str">
        <f>IF('Proposed Lighting'!AU31=3,"Commercial-All Com-ExtLight",IF('Proposed Lighting'!AH31&gt;8759,"IPC_8760","Commercial-All Com-IntLight"))</f>
        <v>IPC_8760</v>
      </c>
      <c r="C334" s="641" t="str">
        <f>IF(OR(E334="",E334=0),"No",
IF(AND('Data Entry'!$AF$23="OR",AE334&lt;1),"No",
IF(AND('Data Entry'!$AF$23="ID",E334="Non-standard lighting control system",AD334&lt;1),"No",
IF(AND('Data Entry'!$AF$23="OR",'Proposed Lighting'!F31="Existing LED (Provide Description)",'Proposed Lighting'!AK31=""),"No",
IF('Proposed Lighting'!DD31="Submit Control as Non-Standard","No",
IF(AND('Proposed Lighting'!T31="Non-Standard (Provide Description)",AD334&lt;1),"No",
IF('Proposed Lighting'!AW31&lt;'Proposed Lighting'!AZ31,"No","Yes")))))))</f>
        <v>No</v>
      </c>
      <c r="D334" s="1604">
        <f>'Proposed Lighting'!BQ31-Q334</f>
        <v>0</v>
      </c>
      <c r="E334" s="642" t="str">
        <f>IF('Proposed Lighting'!W31="","",'Proposed Lighting'!W31)</f>
        <v/>
      </c>
      <c r="F334" s="642"/>
      <c r="G334" s="641" t="s">
        <v>786</v>
      </c>
      <c r="H334" s="643">
        <v>10</v>
      </c>
      <c r="I334" s="644">
        <v>1</v>
      </c>
      <c r="J334" s="723">
        <f>IF('Proposed Lighting'!EF31=0,'Proposed Lighting'!AA31,'Proposed Lighting'!EF31)</f>
        <v>0</v>
      </c>
      <c r="K334" s="643" t="str">
        <f>'Proposed Lighting'!CU31</f>
        <v/>
      </c>
      <c r="L334" s="643" t="str">
        <f t="shared" si="75"/>
        <v/>
      </c>
      <c r="M334" s="645">
        <f t="shared" si="80"/>
        <v>0</v>
      </c>
      <c r="N334" s="645"/>
      <c r="O334" s="722">
        <f>IFERROR('Proposed Lighting'!AC31/1000,0)</f>
        <v>0</v>
      </c>
      <c r="P334" s="644">
        <f>'Proposed Lighting'!AV31</f>
        <v>0</v>
      </c>
      <c r="Q334" s="644">
        <f>IF(AND('Proposed Lighting'!T31="Lighting Controls Only",'Data Entry'!$AF$23="OR",'Proposed Lighting'!AU31=2),0,
IF(AND('Proposed Lighting'!T31="Lighting Controls Only",'Data Entry'!$AF$23="OR",'Proposed Lighting'!AU31=3,OR('Proposed Lighting'!W31="ceiling mount",'Proposed Lighting'!W31="wall switch",'Proposed Lighting'!W31="fixture mount (on exisiting equip)",'Proposed Lighting'!W31="daylight harvesting (on existing equip)")),0,
IF('Proposed Lighting'!AF31=1,IF(P334=0,0,J334*O334*(L334*(1-P334))),IF('Proposed Lighting'!AU31=1,0,'Proposed Lighting'!AX31-'Proposed Lighting'!AY31))))</f>
        <v>0</v>
      </c>
      <c r="R334" s="646">
        <f>IF('Proposed Lighting'!T31="Non-standard (provide description",0,
IF(AND(E334="Non-standard control",'Proposed Lighting'!AU31=2),Q334*0.1,
IF(AND(E334="Non-standard control",'Proposed Lighting'!AU31=3),Q334*0.08,
IF('Proposed Lighting'!EF31=0,0,IF('Proposed Lighting'!AU31=1,0,
IF(AND('Data Entry'!$AF$23="ID",'Proposed Lighting'!T31="Lighting controls only"),VLOOKUP(E334,'Proposed Lighting'!$DO$97:$DP$106,2,FALSE),
IF(AND('Data Entry'!$AF$23="OR",'Proposed Lighting'!AU31=3,'Proposed Lighting'!T31="Lighting controls only"),VLOOKUP(E334,'Proposed Lighting'!$DO$127:$DP$134,2,FALSE),0)))))))*J334</f>
        <v>0</v>
      </c>
      <c r="S334" s="646">
        <f>IF(Q334&lt;0.01,0,IF('Proposed Lighting'!AK31&gt;0,'Proposed Lighting'!AK31*'Proposed Lighting'!EF31,0))</f>
        <v>0</v>
      </c>
      <c r="T334" s="647">
        <f t="shared" si="76"/>
        <v>0</v>
      </c>
      <c r="U334" s="648"/>
      <c r="V334" s="646">
        <f t="shared" si="81"/>
        <v>0</v>
      </c>
      <c r="W334" s="646">
        <f t="shared" si="82"/>
        <v>0</v>
      </c>
      <c r="X334" s="646">
        <f t="shared" si="83"/>
        <v>0</v>
      </c>
      <c r="Y334" s="646"/>
      <c r="Z334" s="646"/>
      <c r="AA334" s="646"/>
      <c r="AB334" s="646">
        <f t="shared" si="84"/>
        <v>0</v>
      </c>
      <c r="AC334" s="649" t="str">
        <f t="shared" si="85"/>
        <v/>
      </c>
      <c r="AD334" s="649" t="str">
        <f t="shared" si="86"/>
        <v/>
      </c>
      <c r="AE334" s="649" t="str">
        <f t="shared" si="87"/>
        <v/>
      </c>
      <c r="AF334" s="72"/>
      <c r="AG334" s="644">
        <f>IFERROR(IF($AV334="No",0,IF($AV334="yes",Summary!Q334,"")),"")</f>
        <v>0</v>
      </c>
      <c r="AH334" s="646">
        <f>IFERROR(IF($AV334="No",0,IF($AV334="yes",Summary!R334,"")),"")</f>
        <v>0</v>
      </c>
      <c r="AI334" s="646">
        <f>IFERROR(IF($AV334="No",0,IF($AV334="yes",Summary!S334,"")),"")</f>
        <v>0</v>
      </c>
      <c r="AJ334" s="647">
        <f>IFERROR(IF($AV334="No",0,IF($AV334="yes",Summary!T334,"")),"")</f>
        <v>0</v>
      </c>
      <c r="AK334" s="648">
        <f>IFERROR(IF($AV334="No",0,IF($AV334="yes",Summary!U334,"")),"")</f>
        <v>0</v>
      </c>
      <c r="AL334" s="646">
        <f>IFERROR(IF($AV334="No",0,IF($AV334="yes",Summary!V334,"")),"")</f>
        <v>0</v>
      </c>
      <c r="AM334" s="646">
        <f>IFERROR(IF($AV334="No",0,IF($AV334="yes",Summary!W334,"")),"")</f>
        <v>0</v>
      </c>
      <c r="AN334" s="646">
        <f>IFERROR(IF($AV334="No",0,IF($AV334="yes",Summary!X334,"")),"")</f>
        <v>0</v>
      </c>
      <c r="AO334" s="646">
        <f>IFERROR(IF($AV334="No",0,IF($AV334="yes",Summary!Y334+Z334,"")),"")</f>
        <v>0</v>
      </c>
      <c r="AP334" s="646">
        <f>IFERROR(IF($AV334="No",0,IF($AV334="yes",Summary!AB334,"")),"")</f>
        <v>0</v>
      </c>
      <c r="AQ334" s="649" t="str">
        <f t="shared" si="77"/>
        <v/>
      </c>
      <c r="AR334" s="649" t="str">
        <f t="shared" si="79"/>
        <v/>
      </c>
      <c r="AS334" s="649" t="str">
        <f t="shared" si="78"/>
        <v/>
      </c>
      <c r="AT334" s="641" t="s">
        <v>808</v>
      </c>
      <c r="AV334" t="str">
        <f>IF('Proposed Lighting'!AK31&gt;0,"No","Yes")</f>
        <v>Yes</v>
      </c>
    </row>
    <row r="335" spans="1:48" ht="34.5" customHeight="1" outlineLevel="1">
      <c r="A335" s="641" t="s">
        <v>809</v>
      </c>
      <c r="B335" s="641" t="str">
        <f>IF('Proposed Lighting'!AU32=3,"Commercial-All Com-ExtLight",IF('Proposed Lighting'!AH32&gt;8759,"IPC_8760","Commercial-All Com-IntLight"))</f>
        <v>IPC_8760</v>
      </c>
      <c r="C335" s="641" t="str">
        <f>IF(OR(E335="",E335=0),"No",
IF(AND('Data Entry'!$AF$23="OR",AE335&lt;1),"No",
IF(AND('Data Entry'!$AF$23="ID",E335="Non-standard lighting control system",AD335&lt;1),"No",
IF(AND('Data Entry'!$AF$23="OR",'Proposed Lighting'!F32="Existing LED (Provide Description)",'Proposed Lighting'!AK32=""),"No",
IF('Proposed Lighting'!DD32="Submit Control as Non-Standard","No",
IF(AND('Proposed Lighting'!T32="Non-Standard (Provide Description)",AD335&lt;1),"No",
IF('Proposed Lighting'!AW32&lt;'Proposed Lighting'!AZ32,"No","Yes")))))))</f>
        <v>No</v>
      </c>
      <c r="D335" s="1604">
        <f>'Proposed Lighting'!BQ32-Q335</f>
        <v>0</v>
      </c>
      <c r="E335" s="642" t="str">
        <f>IF('Proposed Lighting'!W32="","",'Proposed Lighting'!W32)</f>
        <v/>
      </c>
      <c r="F335" s="642"/>
      <c r="G335" s="641" t="s">
        <v>786</v>
      </c>
      <c r="H335" s="643">
        <v>10</v>
      </c>
      <c r="I335" s="644">
        <v>1</v>
      </c>
      <c r="J335" s="723">
        <f>IF('Proposed Lighting'!EF32=0,'Proposed Lighting'!AA32,'Proposed Lighting'!EF32)</f>
        <v>0</v>
      </c>
      <c r="K335" s="643" t="str">
        <f>'Proposed Lighting'!CU32</f>
        <v/>
      </c>
      <c r="L335" s="643" t="str">
        <f t="shared" si="75"/>
        <v/>
      </c>
      <c r="M335" s="645">
        <f t="shared" si="80"/>
        <v>0</v>
      </c>
      <c r="N335" s="645"/>
      <c r="O335" s="722">
        <f>IFERROR('Proposed Lighting'!AC32/1000,0)</f>
        <v>0</v>
      </c>
      <c r="P335" s="644">
        <f>'Proposed Lighting'!AV32</f>
        <v>0</v>
      </c>
      <c r="Q335" s="644">
        <f>IF(AND('Proposed Lighting'!T32="Lighting Controls Only",'Data Entry'!$AF$23="OR",'Proposed Lighting'!AU32=2),0,
IF(AND('Proposed Lighting'!T32="Lighting Controls Only",'Data Entry'!$AF$23="OR",'Proposed Lighting'!AU32=3,OR('Proposed Lighting'!W32="ceiling mount",'Proposed Lighting'!W32="wall switch",'Proposed Lighting'!W32="fixture mount (on exisiting equip)",'Proposed Lighting'!W32="daylight harvesting (on existing equip)")),0,
IF('Proposed Lighting'!AF32=1,IF(P335=0,0,J335*O335*(L335*(1-P335))),IF('Proposed Lighting'!AU32=1,0,'Proposed Lighting'!AX32-'Proposed Lighting'!AY32))))</f>
        <v>0</v>
      </c>
      <c r="R335" s="646">
        <f>IF('Proposed Lighting'!T32="Non-standard (provide description",0,
IF(AND(E335="Non-standard control",'Proposed Lighting'!AU32=2),Q335*0.1,
IF(AND(E335="Non-standard control",'Proposed Lighting'!AU32=3),Q335*0.08,
IF('Proposed Lighting'!EF32=0,0,IF('Proposed Lighting'!AU32=1,0,
IF(AND('Data Entry'!$AF$23="ID",'Proposed Lighting'!T32="Lighting controls only"),VLOOKUP(E335,'Proposed Lighting'!$DO$97:$DP$106,2,FALSE),
IF(AND('Data Entry'!$AF$23="OR",'Proposed Lighting'!AU32=3,'Proposed Lighting'!T32="Lighting controls only"),VLOOKUP(E335,'Proposed Lighting'!$DO$127:$DP$134,2,FALSE),0)))))))*J335</f>
        <v>0</v>
      </c>
      <c r="S335" s="646">
        <f>IF(Q335&lt;0.01,0,IF('Proposed Lighting'!AK32&gt;0,'Proposed Lighting'!AK32*'Proposed Lighting'!EF32,0))</f>
        <v>0</v>
      </c>
      <c r="T335" s="647">
        <f t="shared" si="76"/>
        <v>0</v>
      </c>
      <c r="U335" s="648"/>
      <c r="V335" s="646">
        <f t="shared" si="81"/>
        <v>0</v>
      </c>
      <c r="W335" s="646">
        <f t="shared" si="82"/>
        <v>0</v>
      </c>
      <c r="X335" s="646">
        <f t="shared" si="83"/>
        <v>0</v>
      </c>
      <c r="Y335" s="646"/>
      <c r="Z335" s="646"/>
      <c r="AA335" s="646"/>
      <c r="AB335" s="646">
        <f t="shared" si="84"/>
        <v>0</v>
      </c>
      <c r="AC335" s="649" t="str">
        <f t="shared" si="85"/>
        <v/>
      </c>
      <c r="AD335" s="649" t="str">
        <f t="shared" si="86"/>
        <v/>
      </c>
      <c r="AE335" s="649" t="str">
        <f t="shared" si="87"/>
        <v/>
      </c>
      <c r="AF335" s="72"/>
      <c r="AG335" s="644">
        <f>IFERROR(IF($AV335="No",0,IF($AV335="yes",Summary!Q335,"")),"")</f>
        <v>0</v>
      </c>
      <c r="AH335" s="646">
        <f>IFERROR(IF($AV335="No",0,IF($AV335="yes",Summary!R335,"")),"")</f>
        <v>0</v>
      </c>
      <c r="AI335" s="646">
        <f>IFERROR(IF($AV335="No",0,IF($AV335="yes",Summary!S335,"")),"")</f>
        <v>0</v>
      </c>
      <c r="AJ335" s="647">
        <f>IFERROR(IF($AV335="No",0,IF($AV335="yes",Summary!T335,"")),"")</f>
        <v>0</v>
      </c>
      <c r="AK335" s="648">
        <f>IFERROR(IF($AV335="No",0,IF($AV335="yes",Summary!U335,"")),"")</f>
        <v>0</v>
      </c>
      <c r="AL335" s="646">
        <f>IFERROR(IF($AV335="No",0,IF($AV335="yes",Summary!V335,"")),"")</f>
        <v>0</v>
      </c>
      <c r="AM335" s="646">
        <f>IFERROR(IF($AV335="No",0,IF($AV335="yes",Summary!W335,"")),"")</f>
        <v>0</v>
      </c>
      <c r="AN335" s="646">
        <f>IFERROR(IF($AV335="No",0,IF($AV335="yes",Summary!X335,"")),"")</f>
        <v>0</v>
      </c>
      <c r="AO335" s="646">
        <f>IFERROR(IF($AV335="No",0,IF($AV335="yes",Summary!Y335+Z335,"")),"")</f>
        <v>0</v>
      </c>
      <c r="AP335" s="646">
        <f>IFERROR(IF($AV335="No",0,IF($AV335="yes",Summary!AB335,"")),"")</f>
        <v>0</v>
      </c>
      <c r="AQ335" s="649" t="str">
        <f t="shared" si="77"/>
        <v/>
      </c>
      <c r="AR335" s="649" t="str">
        <f t="shared" si="79"/>
        <v/>
      </c>
      <c r="AS335" s="649" t="str">
        <f t="shared" si="78"/>
        <v/>
      </c>
      <c r="AT335" s="641" t="s">
        <v>809</v>
      </c>
      <c r="AV335" t="str">
        <f>IF('Proposed Lighting'!AK32&gt;0,"No","Yes")</f>
        <v>Yes</v>
      </c>
    </row>
    <row r="336" spans="1:48" ht="34.5" customHeight="1" outlineLevel="1">
      <c r="A336" s="641" t="s">
        <v>810</v>
      </c>
      <c r="B336" s="641" t="str">
        <f>IF('Proposed Lighting'!AU33=3,"Commercial-All Com-ExtLight",IF('Proposed Lighting'!AH33&gt;8759,"IPC_8760","Commercial-All Com-IntLight"))</f>
        <v>IPC_8760</v>
      </c>
      <c r="C336" s="641" t="str">
        <f>IF(OR(E336="",E336=0),"No",
IF(AND('Data Entry'!$AF$23="OR",AE336&lt;1),"No",
IF(AND('Data Entry'!$AF$23="ID",E336="Non-standard lighting control system",AD336&lt;1),"No",
IF(AND('Data Entry'!$AF$23="OR",'Proposed Lighting'!F33="Existing LED (Provide Description)",'Proposed Lighting'!AK33=""),"No",
IF('Proposed Lighting'!DD33="Submit Control as Non-Standard","No",
IF(AND('Proposed Lighting'!T33="Non-Standard (Provide Description)",AD336&lt;1),"No",
IF('Proposed Lighting'!AW33&lt;'Proposed Lighting'!AZ33,"No","Yes")))))))</f>
        <v>No</v>
      </c>
      <c r="D336" s="1604">
        <f>'Proposed Lighting'!BQ33-Q336</f>
        <v>0</v>
      </c>
      <c r="E336" s="642" t="str">
        <f>IF('Proposed Lighting'!W33="","",'Proposed Lighting'!W33)</f>
        <v/>
      </c>
      <c r="F336" s="642"/>
      <c r="G336" s="641" t="s">
        <v>786</v>
      </c>
      <c r="H336" s="643">
        <v>10</v>
      </c>
      <c r="I336" s="644">
        <v>1</v>
      </c>
      <c r="J336" s="723">
        <f>IF('Proposed Lighting'!EF33=0,'Proposed Lighting'!AA33,'Proposed Lighting'!EF33)</f>
        <v>0</v>
      </c>
      <c r="K336" s="643" t="str">
        <f>'Proposed Lighting'!CU33</f>
        <v/>
      </c>
      <c r="L336" s="643" t="str">
        <f t="shared" si="75"/>
        <v/>
      </c>
      <c r="M336" s="645">
        <f t="shared" si="80"/>
        <v>0</v>
      </c>
      <c r="N336" s="645"/>
      <c r="O336" s="722">
        <f>IFERROR('Proposed Lighting'!AC33/1000,0)</f>
        <v>0</v>
      </c>
      <c r="P336" s="644">
        <f>'Proposed Lighting'!AV33</f>
        <v>0</v>
      </c>
      <c r="Q336" s="644">
        <f>IF(AND('Proposed Lighting'!T33="Lighting Controls Only",'Data Entry'!$AF$23="OR",'Proposed Lighting'!AU33=2),0,
IF(AND('Proposed Lighting'!T33="Lighting Controls Only",'Data Entry'!$AF$23="OR",'Proposed Lighting'!AU33=3,OR('Proposed Lighting'!W33="ceiling mount",'Proposed Lighting'!W33="wall switch",'Proposed Lighting'!W33="fixture mount (on exisiting equip)",'Proposed Lighting'!W33="daylight harvesting (on existing equip)")),0,
IF('Proposed Lighting'!AF33=1,IF(P336=0,0,J336*O336*(L336*(1-P336))),IF('Proposed Lighting'!AU33=1,0,'Proposed Lighting'!AX33-'Proposed Lighting'!AY33))))</f>
        <v>0</v>
      </c>
      <c r="R336" s="646">
        <f>IF('Proposed Lighting'!T33="Non-standard (provide description",0,
IF(AND(E336="Non-standard control",'Proposed Lighting'!AU33=2),Q336*0.1,
IF(AND(E336="Non-standard control",'Proposed Lighting'!AU33=3),Q336*0.08,
IF('Proposed Lighting'!EF33=0,0,IF('Proposed Lighting'!AU33=1,0,
IF(AND('Data Entry'!$AF$23="ID",'Proposed Lighting'!T33="Lighting controls only"),VLOOKUP(E336,'Proposed Lighting'!$DO$97:$DP$106,2,FALSE),
IF(AND('Data Entry'!$AF$23="OR",'Proposed Lighting'!AU33=3,'Proposed Lighting'!T33="Lighting controls only"),VLOOKUP(E336,'Proposed Lighting'!$DO$127:$DP$134,2,FALSE),0)))))))*J336</f>
        <v>0</v>
      </c>
      <c r="S336" s="646">
        <f>IF(Q336&lt;0.01,0,IF('Proposed Lighting'!AK33&gt;0,'Proposed Lighting'!AK33*'Proposed Lighting'!EF33,0))</f>
        <v>0</v>
      </c>
      <c r="T336" s="647">
        <f t="shared" si="76"/>
        <v>0</v>
      </c>
      <c r="U336" s="648"/>
      <c r="V336" s="646">
        <f t="shared" si="81"/>
        <v>0</v>
      </c>
      <c r="W336" s="646">
        <f t="shared" si="82"/>
        <v>0</v>
      </c>
      <c r="X336" s="646">
        <f t="shared" si="83"/>
        <v>0</v>
      </c>
      <c r="Y336" s="646"/>
      <c r="Z336" s="646"/>
      <c r="AA336" s="646"/>
      <c r="AB336" s="646">
        <f t="shared" si="84"/>
        <v>0</v>
      </c>
      <c r="AC336" s="649" t="str">
        <f t="shared" si="85"/>
        <v/>
      </c>
      <c r="AD336" s="649" t="str">
        <f t="shared" si="86"/>
        <v/>
      </c>
      <c r="AE336" s="649" t="str">
        <f t="shared" si="87"/>
        <v/>
      </c>
      <c r="AF336" s="72"/>
      <c r="AG336" s="644">
        <f>IFERROR(IF($AV336="No",0,IF($AV336="yes",Summary!Q336,"")),"")</f>
        <v>0</v>
      </c>
      <c r="AH336" s="646">
        <f>IFERROR(IF($AV336="No",0,IF($AV336="yes",Summary!R336,"")),"")</f>
        <v>0</v>
      </c>
      <c r="AI336" s="646">
        <f>IFERROR(IF($AV336="No",0,IF($AV336="yes",Summary!S336,"")),"")</f>
        <v>0</v>
      </c>
      <c r="AJ336" s="647">
        <f>IFERROR(IF($AV336="No",0,IF($AV336="yes",Summary!T336,"")),"")</f>
        <v>0</v>
      </c>
      <c r="AK336" s="648">
        <f>IFERROR(IF($AV336="No",0,IF($AV336="yes",Summary!U336,"")),"")</f>
        <v>0</v>
      </c>
      <c r="AL336" s="646">
        <f>IFERROR(IF($AV336="No",0,IF($AV336="yes",Summary!V336,"")),"")</f>
        <v>0</v>
      </c>
      <c r="AM336" s="646">
        <f>IFERROR(IF($AV336="No",0,IF($AV336="yes",Summary!W336,"")),"")</f>
        <v>0</v>
      </c>
      <c r="AN336" s="646">
        <f>IFERROR(IF($AV336="No",0,IF($AV336="yes",Summary!X336,"")),"")</f>
        <v>0</v>
      </c>
      <c r="AO336" s="646">
        <f>IFERROR(IF($AV336="No",0,IF($AV336="yes",Summary!Y336+Z336,"")),"")</f>
        <v>0</v>
      </c>
      <c r="AP336" s="646">
        <f>IFERROR(IF($AV336="No",0,IF($AV336="yes",Summary!AB336,"")),"")</f>
        <v>0</v>
      </c>
      <c r="AQ336" s="649" t="str">
        <f t="shared" si="77"/>
        <v/>
      </c>
      <c r="AR336" s="649" t="str">
        <f t="shared" si="79"/>
        <v/>
      </c>
      <c r="AS336" s="649" t="str">
        <f t="shared" si="78"/>
        <v/>
      </c>
      <c r="AT336" s="641" t="s">
        <v>810</v>
      </c>
      <c r="AV336" t="str">
        <f>IF('Proposed Lighting'!AK33&gt;0,"No","Yes")</f>
        <v>Yes</v>
      </c>
    </row>
    <row r="337" spans="1:48" ht="34.5" customHeight="1" outlineLevel="1">
      <c r="A337" s="641" t="s">
        <v>811</v>
      </c>
      <c r="B337" s="641" t="str">
        <f>IF('Proposed Lighting'!AU34=3,"Commercial-All Com-ExtLight",IF('Proposed Lighting'!AH34&gt;8759,"IPC_8760","Commercial-All Com-IntLight"))</f>
        <v>IPC_8760</v>
      </c>
      <c r="C337" s="641" t="str">
        <f>IF(OR(E337="",E337=0),"No",
IF(AND('Data Entry'!$AF$23="OR",AE337&lt;1),"No",
IF(AND('Data Entry'!$AF$23="ID",E337="Non-standard lighting control system",AD337&lt;1),"No",
IF(AND('Data Entry'!$AF$23="OR",'Proposed Lighting'!F34="Existing LED (Provide Description)",'Proposed Lighting'!AK34=""),"No",
IF('Proposed Lighting'!DD34="Submit Control as Non-Standard","No",
IF(AND('Proposed Lighting'!T34="Non-Standard (Provide Description)",AD337&lt;1),"No",
IF('Proposed Lighting'!AW34&lt;'Proposed Lighting'!AZ34,"No","Yes")))))))</f>
        <v>No</v>
      </c>
      <c r="D337" s="1604">
        <f>'Proposed Lighting'!BQ34-Q337</f>
        <v>0</v>
      </c>
      <c r="E337" s="642" t="str">
        <f>IF('Proposed Lighting'!W34="","",'Proposed Lighting'!W34)</f>
        <v/>
      </c>
      <c r="F337" s="642"/>
      <c r="G337" s="641" t="s">
        <v>786</v>
      </c>
      <c r="H337" s="643">
        <v>10</v>
      </c>
      <c r="I337" s="644">
        <v>1</v>
      </c>
      <c r="J337" s="723">
        <f>IF('Proposed Lighting'!EF34=0,'Proposed Lighting'!AA34,'Proposed Lighting'!EF34)</f>
        <v>0</v>
      </c>
      <c r="K337" s="643" t="str">
        <f>'Proposed Lighting'!CU34</f>
        <v/>
      </c>
      <c r="L337" s="643" t="str">
        <f t="shared" si="75"/>
        <v/>
      </c>
      <c r="M337" s="645">
        <f t="shared" si="80"/>
        <v>0</v>
      </c>
      <c r="N337" s="645"/>
      <c r="O337" s="722">
        <f>IFERROR('Proposed Lighting'!AC34/1000,0)</f>
        <v>0</v>
      </c>
      <c r="P337" s="644">
        <f>'Proposed Lighting'!AV34</f>
        <v>0</v>
      </c>
      <c r="Q337" s="644">
        <f>IF(AND('Proposed Lighting'!T34="Lighting Controls Only",'Data Entry'!$AF$23="OR",'Proposed Lighting'!AU34=2),0,
IF(AND('Proposed Lighting'!T34="Lighting Controls Only",'Data Entry'!$AF$23="OR",'Proposed Lighting'!AU34=3,OR('Proposed Lighting'!W34="ceiling mount",'Proposed Lighting'!W34="wall switch",'Proposed Lighting'!W34="fixture mount (on exisiting equip)",'Proposed Lighting'!W34="daylight harvesting (on existing equip)")),0,
IF('Proposed Lighting'!AF34=1,IF(P337=0,0,J337*O337*(L337*(1-P337))),IF('Proposed Lighting'!AU34=1,0,'Proposed Lighting'!AX34-'Proposed Lighting'!AY34))))</f>
        <v>0</v>
      </c>
      <c r="R337" s="646">
        <f>IF('Proposed Lighting'!T34="Non-standard (provide description",0,
IF(AND(E337="Non-standard control",'Proposed Lighting'!AU34=2),Q337*0.1,
IF(AND(E337="Non-standard control",'Proposed Lighting'!AU34=3),Q337*0.08,
IF('Proposed Lighting'!EF34=0,0,IF('Proposed Lighting'!AU34=1,0,
IF(AND('Data Entry'!$AF$23="ID",'Proposed Lighting'!T34="Lighting controls only"),VLOOKUP(E337,'Proposed Lighting'!$DO$97:$DP$106,2,FALSE),
IF(AND('Data Entry'!$AF$23="OR",'Proposed Lighting'!AU34=3,'Proposed Lighting'!T34="Lighting controls only"),VLOOKUP(E337,'Proposed Lighting'!$DO$127:$DP$134,2,FALSE),0)))))))*J337</f>
        <v>0</v>
      </c>
      <c r="S337" s="646">
        <f>IF(Q337&lt;0.01,0,IF('Proposed Lighting'!AK34&gt;0,'Proposed Lighting'!AK34*'Proposed Lighting'!EF34,0))</f>
        <v>0</v>
      </c>
      <c r="T337" s="647">
        <f t="shared" si="76"/>
        <v>0</v>
      </c>
      <c r="U337" s="648"/>
      <c r="V337" s="646">
        <f t="shared" si="81"/>
        <v>0</v>
      </c>
      <c r="W337" s="646">
        <f t="shared" si="82"/>
        <v>0</v>
      </c>
      <c r="X337" s="646">
        <f t="shared" si="83"/>
        <v>0</v>
      </c>
      <c r="Y337" s="646"/>
      <c r="Z337" s="646"/>
      <c r="AA337" s="646"/>
      <c r="AB337" s="646">
        <f t="shared" si="84"/>
        <v>0</v>
      </c>
      <c r="AC337" s="649" t="str">
        <f t="shared" si="85"/>
        <v/>
      </c>
      <c r="AD337" s="649" t="str">
        <f t="shared" si="86"/>
        <v/>
      </c>
      <c r="AE337" s="649" t="str">
        <f t="shared" si="87"/>
        <v/>
      </c>
      <c r="AF337" s="72"/>
      <c r="AG337" s="644">
        <f>IFERROR(IF($AV337="No",0,IF($AV337="yes",Summary!Q337,"")),"")</f>
        <v>0</v>
      </c>
      <c r="AH337" s="646">
        <f>IFERROR(IF($AV337="No",0,IF($AV337="yes",Summary!R337,"")),"")</f>
        <v>0</v>
      </c>
      <c r="AI337" s="646">
        <f>IFERROR(IF($AV337="No",0,IF($AV337="yes",Summary!S337,"")),"")</f>
        <v>0</v>
      </c>
      <c r="AJ337" s="647">
        <f>IFERROR(IF($AV337="No",0,IF($AV337="yes",Summary!T337,"")),"")</f>
        <v>0</v>
      </c>
      <c r="AK337" s="648">
        <f>IFERROR(IF($AV337="No",0,IF($AV337="yes",Summary!U337,"")),"")</f>
        <v>0</v>
      </c>
      <c r="AL337" s="646">
        <f>IFERROR(IF($AV337="No",0,IF($AV337="yes",Summary!V337,"")),"")</f>
        <v>0</v>
      </c>
      <c r="AM337" s="646">
        <f>IFERROR(IF($AV337="No",0,IF($AV337="yes",Summary!W337,"")),"")</f>
        <v>0</v>
      </c>
      <c r="AN337" s="646">
        <f>IFERROR(IF($AV337="No",0,IF($AV337="yes",Summary!X337,"")),"")</f>
        <v>0</v>
      </c>
      <c r="AO337" s="646">
        <f>IFERROR(IF($AV337="No",0,IF($AV337="yes",Summary!Y337+Z337,"")),"")</f>
        <v>0</v>
      </c>
      <c r="AP337" s="646">
        <f>IFERROR(IF($AV337="No",0,IF($AV337="yes",Summary!AB337,"")),"")</f>
        <v>0</v>
      </c>
      <c r="AQ337" s="649" t="str">
        <f t="shared" si="77"/>
        <v/>
      </c>
      <c r="AR337" s="649" t="str">
        <f t="shared" si="79"/>
        <v/>
      </c>
      <c r="AS337" s="649" t="str">
        <f t="shared" si="78"/>
        <v/>
      </c>
      <c r="AT337" s="641" t="s">
        <v>811</v>
      </c>
      <c r="AV337" t="str">
        <f>IF('Proposed Lighting'!AK34&gt;0,"No","Yes")</f>
        <v>Yes</v>
      </c>
    </row>
    <row r="338" spans="1:48" ht="34.5" customHeight="1" outlineLevel="1">
      <c r="A338" s="641" t="s">
        <v>812</v>
      </c>
      <c r="B338" s="641" t="str">
        <f>IF('Proposed Lighting'!AU35=3,"Commercial-All Com-ExtLight",IF('Proposed Lighting'!AH35&gt;8759,"IPC_8760","Commercial-All Com-IntLight"))</f>
        <v>IPC_8760</v>
      </c>
      <c r="C338" s="641" t="str">
        <f>IF(OR(E338="",E338=0),"No",
IF(AND('Data Entry'!$AF$23="OR",AE338&lt;1),"No",
IF(AND('Data Entry'!$AF$23="ID",E338="Non-standard lighting control system",AD338&lt;1),"No",
IF(AND('Data Entry'!$AF$23="OR",'Proposed Lighting'!F35="Existing LED (Provide Description)",'Proposed Lighting'!AK35=""),"No",
IF('Proposed Lighting'!DD35="Submit Control as Non-Standard","No",
IF(AND('Proposed Lighting'!T35="Non-Standard (Provide Description)",AD338&lt;1),"No",
IF('Proposed Lighting'!AW35&lt;'Proposed Lighting'!AZ35,"No","Yes")))))))</f>
        <v>No</v>
      </c>
      <c r="D338" s="1604">
        <f>'Proposed Lighting'!BQ35-Q338</f>
        <v>0</v>
      </c>
      <c r="E338" s="642" t="str">
        <f>IF('Proposed Lighting'!W35="","",'Proposed Lighting'!W35)</f>
        <v/>
      </c>
      <c r="F338" s="642"/>
      <c r="G338" s="641" t="s">
        <v>786</v>
      </c>
      <c r="H338" s="643">
        <v>10</v>
      </c>
      <c r="I338" s="644">
        <v>1</v>
      </c>
      <c r="J338" s="723">
        <f>IF('Proposed Lighting'!EF35=0,'Proposed Lighting'!AA35,'Proposed Lighting'!EF35)</f>
        <v>0</v>
      </c>
      <c r="K338" s="643" t="str">
        <f>'Proposed Lighting'!CU35</f>
        <v/>
      </c>
      <c r="L338" s="643" t="str">
        <f t="shared" si="75"/>
        <v/>
      </c>
      <c r="M338" s="645">
        <f t="shared" si="80"/>
        <v>0</v>
      </c>
      <c r="N338" s="645"/>
      <c r="O338" s="722">
        <f>IFERROR('Proposed Lighting'!AC35/1000,0)</f>
        <v>0</v>
      </c>
      <c r="P338" s="644">
        <f>'Proposed Lighting'!AV35</f>
        <v>0</v>
      </c>
      <c r="Q338" s="644">
        <f>IF(AND('Proposed Lighting'!T35="Lighting Controls Only",'Data Entry'!$AF$23="OR",'Proposed Lighting'!AU35=2),0,
IF(AND('Proposed Lighting'!T35="Lighting Controls Only",'Data Entry'!$AF$23="OR",'Proposed Lighting'!AU35=3,OR('Proposed Lighting'!W35="ceiling mount",'Proposed Lighting'!W35="wall switch",'Proposed Lighting'!W35="fixture mount (on exisiting equip)",'Proposed Lighting'!W35="daylight harvesting (on existing equip)")),0,
IF('Proposed Lighting'!AF35=1,IF(P338=0,0,J338*O338*(L338*(1-P338))),IF('Proposed Lighting'!AU35=1,0,'Proposed Lighting'!AX35-'Proposed Lighting'!AY35))))</f>
        <v>0</v>
      </c>
      <c r="R338" s="646">
        <f>IF('Proposed Lighting'!T35="Non-standard (provide description",0,
IF(AND(E338="Non-standard control",'Proposed Lighting'!AU35=2),Q338*0.1,
IF(AND(E338="Non-standard control",'Proposed Lighting'!AU35=3),Q338*0.08,
IF('Proposed Lighting'!EF35=0,0,IF('Proposed Lighting'!AU35=1,0,
IF(AND('Data Entry'!$AF$23="ID",'Proposed Lighting'!T35="Lighting controls only"),VLOOKUP(E338,'Proposed Lighting'!$DO$97:$DP$106,2,FALSE),
IF(AND('Data Entry'!$AF$23="OR",'Proposed Lighting'!AU35=3,'Proposed Lighting'!T35="Lighting controls only"),VLOOKUP(E338,'Proposed Lighting'!$DO$127:$DP$134,2,FALSE),0)))))))*J338</f>
        <v>0</v>
      </c>
      <c r="S338" s="646">
        <f>IF(Q338&lt;0.01,0,IF('Proposed Lighting'!AK35&gt;0,'Proposed Lighting'!AK35*'Proposed Lighting'!EF35,0))</f>
        <v>0</v>
      </c>
      <c r="T338" s="647">
        <f t="shared" si="76"/>
        <v>0</v>
      </c>
      <c r="U338" s="648"/>
      <c r="V338" s="646">
        <f t="shared" si="81"/>
        <v>0</v>
      </c>
      <c r="W338" s="646">
        <f t="shared" si="82"/>
        <v>0</v>
      </c>
      <c r="X338" s="646">
        <f t="shared" si="83"/>
        <v>0</v>
      </c>
      <c r="Y338" s="646"/>
      <c r="Z338" s="646"/>
      <c r="AA338" s="646"/>
      <c r="AB338" s="646">
        <f t="shared" si="84"/>
        <v>0</v>
      </c>
      <c r="AC338" s="649" t="str">
        <f t="shared" si="85"/>
        <v/>
      </c>
      <c r="AD338" s="649" t="str">
        <f t="shared" si="86"/>
        <v/>
      </c>
      <c r="AE338" s="649" t="str">
        <f t="shared" si="87"/>
        <v/>
      </c>
      <c r="AF338" s="72"/>
      <c r="AG338" s="644">
        <f>IFERROR(IF($AV338="No",0,IF($AV338="yes",Summary!Q338,"")),"")</f>
        <v>0</v>
      </c>
      <c r="AH338" s="646">
        <f>IFERROR(IF($AV338="No",0,IF($AV338="yes",Summary!R338,"")),"")</f>
        <v>0</v>
      </c>
      <c r="AI338" s="646">
        <f>IFERROR(IF($AV338="No",0,IF($AV338="yes",Summary!S338,"")),"")</f>
        <v>0</v>
      </c>
      <c r="AJ338" s="647">
        <f>IFERROR(IF($AV338="No",0,IF($AV338="yes",Summary!T338,"")),"")</f>
        <v>0</v>
      </c>
      <c r="AK338" s="648">
        <f>IFERROR(IF($AV338="No",0,IF($AV338="yes",Summary!U338,"")),"")</f>
        <v>0</v>
      </c>
      <c r="AL338" s="646">
        <f>IFERROR(IF($AV338="No",0,IF($AV338="yes",Summary!V338,"")),"")</f>
        <v>0</v>
      </c>
      <c r="AM338" s="646">
        <f>IFERROR(IF($AV338="No",0,IF($AV338="yes",Summary!W338,"")),"")</f>
        <v>0</v>
      </c>
      <c r="AN338" s="646">
        <f>IFERROR(IF($AV338="No",0,IF($AV338="yes",Summary!X338,"")),"")</f>
        <v>0</v>
      </c>
      <c r="AO338" s="646">
        <f>IFERROR(IF($AV338="No",0,IF($AV338="yes",Summary!Y338+Z338,"")),"")</f>
        <v>0</v>
      </c>
      <c r="AP338" s="646">
        <f>IFERROR(IF($AV338="No",0,IF($AV338="yes",Summary!AB338,"")),"")</f>
        <v>0</v>
      </c>
      <c r="AQ338" s="649" t="str">
        <f t="shared" si="77"/>
        <v/>
      </c>
      <c r="AR338" s="649" t="str">
        <f t="shared" si="79"/>
        <v/>
      </c>
      <c r="AS338" s="649" t="str">
        <f t="shared" si="78"/>
        <v/>
      </c>
      <c r="AT338" s="641" t="s">
        <v>812</v>
      </c>
      <c r="AV338" t="str">
        <f>IF('Proposed Lighting'!AK35&gt;0,"No","Yes")</f>
        <v>Yes</v>
      </c>
    </row>
    <row r="339" spans="1:48" ht="34.5" customHeight="1" outlineLevel="1">
      <c r="A339" s="641" t="s">
        <v>813</v>
      </c>
      <c r="B339" s="641" t="str">
        <f>IF('Proposed Lighting'!AU36=3,"Commercial-All Com-ExtLight",IF('Proposed Lighting'!AH36&gt;8759,"IPC_8760","Commercial-All Com-IntLight"))</f>
        <v>IPC_8760</v>
      </c>
      <c r="C339" s="641" t="str">
        <f>IF(OR(E339="",E339=0),"No",
IF(AND('Data Entry'!$AF$23="OR",AE339&lt;1),"No",
IF(AND('Data Entry'!$AF$23="ID",E339="Non-standard lighting control system",AD339&lt;1),"No",
IF(AND('Data Entry'!$AF$23="OR",'Proposed Lighting'!F36="Existing LED (Provide Description)",'Proposed Lighting'!AK36=""),"No",
IF('Proposed Lighting'!DD36="Submit Control as Non-Standard","No",
IF(AND('Proposed Lighting'!T36="Non-Standard (Provide Description)",AD339&lt;1),"No",
IF('Proposed Lighting'!AW36&lt;'Proposed Lighting'!AZ36,"No","Yes")))))))</f>
        <v>No</v>
      </c>
      <c r="D339" s="1604">
        <f>'Proposed Lighting'!BQ36-Q339</f>
        <v>0</v>
      </c>
      <c r="E339" s="642" t="str">
        <f>IF('Proposed Lighting'!W36="","",'Proposed Lighting'!W36)</f>
        <v/>
      </c>
      <c r="F339" s="642"/>
      <c r="G339" s="641" t="s">
        <v>786</v>
      </c>
      <c r="H339" s="643">
        <v>10</v>
      </c>
      <c r="I339" s="644">
        <v>1</v>
      </c>
      <c r="J339" s="723">
        <f>IF('Proposed Lighting'!EF36=0,'Proposed Lighting'!AA36,'Proposed Lighting'!EF36)</f>
        <v>0</v>
      </c>
      <c r="K339" s="643" t="str">
        <f>'Proposed Lighting'!CU36</f>
        <v/>
      </c>
      <c r="L339" s="643" t="str">
        <f t="shared" si="75"/>
        <v/>
      </c>
      <c r="M339" s="645">
        <f t="shared" si="80"/>
        <v>0</v>
      </c>
      <c r="N339" s="645"/>
      <c r="O339" s="722">
        <f>IFERROR('Proposed Lighting'!AC36/1000,0)</f>
        <v>0</v>
      </c>
      <c r="P339" s="644">
        <f>'Proposed Lighting'!AV36</f>
        <v>0</v>
      </c>
      <c r="Q339" s="644">
        <f>IF(AND('Proposed Lighting'!T36="Lighting Controls Only",'Data Entry'!$AF$23="OR",'Proposed Lighting'!AU36=2),0,
IF(AND('Proposed Lighting'!T36="Lighting Controls Only",'Data Entry'!$AF$23="OR",'Proposed Lighting'!AU36=3,OR('Proposed Lighting'!W36="ceiling mount",'Proposed Lighting'!W36="wall switch",'Proposed Lighting'!W36="fixture mount (on exisiting equip)",'Proposed Lighting'!W36="daylight harvesting (on existing equip)")),0,
IF('Proposed Lighting'!AF36=1,IF(P339=0,0,J339*O339*(L339*(1-P339))),IF('Proposed Lighting'!AU36=1,0,'Proposed Lighting'!AX36-'Proposed Lighting'!AY36))))</f>
        <v>0</v>
      </c>
      <c r="R339" s="646">
        <f>IF('Proposed Lighting'!T36="Non-standard (provide description",0,
IF(AND(E339="Non-standard control",'Proposed Lighting'!AU36=2),Q339*0.1,
IF(AND(E339="Non-standard control",'Proposed Lighting'!AU36=3),Q339*0.08,
IF('Proposed Lighting'!EF36=0,0,IF('Proposed Lighting'!AU36=1,0,
IF(AND('Data Entry'!$AF$23="ID",'Proposed Lighting'!T36="Lighting controls only"),VLOOKUP(E339,'Proposed Lighting'!$DO$97:$DP$106,2,FALSE),
IF(AND('Data Entry'!$AF$23="OR",'Proposed Lighting'!AU36=3,'Proposed Lighting'!T36="Lighting controls only"),VLOOKUP(E339,'Proposed Lighting'!$DO$127:$DP$134,2,FALSE),0)))))))*J339</f>
        <v>0</v>
      </c>
      <c r="S339" s="646">
        <f>IF(Q339&lt;0.01,0,IF('Proposed Lighting'!AK36&gt;0,'Proposed Lighting'!AK36*'Proposed Lighting'!EF36,0))</f>
        <v>0</v>
      </c>
      <c r="T339" s="647">
        <f t="shared" si="76"/>
        <v>0</v>
      </c>
      <c r="U339" s="648"/>
      <c r="V339" s="646">
        <f t="shared" si="81"/>
        <v>0</v>
      </c>
      <c r="W339" s="646">
        <f t="shared" si="82"/>
        <v>0</v>
      </c>
      <c r="X339" s="646">
        <f t="shared" si="83"/>
        <v>0</v>
      </c>
      <c r="Y339" s="646"/>
      <c r="Z339" s="646"/>
      <c r="AA339" s="646"/>
      <c r="AB339" s="646">
        <f t="shared" si="84"/>
        <v>0</v>
      </c>
      <c r="AC339" s="649" t="str">
        <f t="shared" si="85"/>
        <v/>
      </c>
      <c r="AD339" s="649" t="str">
        <f t="shared" si="86"/>
        <v/>
      </c>
      <c r="AE339" s="649" t="str">
        <f t="shared" si="87"/>
        <v/>
      </c>
      <c r="AF339" s="72"/>
      <c r="AG339" s="644">
        <f>IFERROR(IF($AV339="No",0,IF($AV339="yes",Summary!Q339,"")),"")</f>
        <v>0</v>
      </c>
      <c r="AH339" s="646">
        <f>IFERROR(IF($AV339="No",0,IF($AV339="yes",Summary!R339,"")),"")</f>
        <v>0</v>
      </c>
      <c r="AI339" s="646">
        <f>IFERROR(IF($AV339="No",0,IF($AV339="yes",Summary!S339,"")),"")</f>
        <v>0</v>
      </c>
      <c r="AJ339" s="647">
        <f>IFERROR(IF($AV339="No",0,IF($AV339="yes",Summary!T339,"")),"")</f>
        <v>0</v>
      </c>
      <c r="AK339" s="648">
        <f>IFERROR(IF($AV339="No",0,IF($AV339="yes",Summary!U339,"")),"")</f>
        <v>0</v>
      </c>
      <c r="AL339" s="646">
        <f>IFERROR(IF($AV339="No",0,IF($AV339="yes",Summary!V339,"")),"")</f>
        <v>0</v>
      </c>
      <c r="AM339" s="646">
        <f>IFERROR(IF($AV339="No",0,IF($AV339="yes",Summary!W339,"")),"")</f>
        <v>0</v>
      </c>
      <c r="AN339" s="646">
        <f>IFERROR(IF($AV339="No",0,IF($AV339="yes",Summary!X339,"")),"")</f>
        <v>0</v>
      </c>
      <c r="AO339" s="646">
        <f>IFERROR(IF($AV339="No",0,IF($AV339="yes",Summary!Y339+Z339,"")),"")</f>
        <v>0</v>
      </c>
      <c r="AP339" s="646">
        <f>IFERROR(IF($AV339="No",0,IF($AV339="yes",Summary!AB339,"")),"")</f>
        <v>0</v>
      </c>
      <c r="AQ339" s="649" t="str">
        <f t="shared" si="77"/>
        <v/>
      </c>
      <c r="AR339" s="649" t="str">
        <f t="shared" si="79"/>
        <v/>
      </c>
      <c r="AS339" s="649" t="str">
        <f t="shared" si="78"/>
        <v/>
      </c>
      <c r="AT339" s="641" t="s">
        <v>813</v>
      </c>
      <c r="AV339" t="str">
        <f>IF('Proposed Lighting'!AK36&gt;0,"No","Yes")</f>
        <v>Yes</v>
      </c>
    </row>
    <row r="340" spans="1:48" ht="34.5" customHeight="1" outlineLevel="1">
      <c r="A340" s="641" t="s">
        <v>814</v>
      </c>
      <c r="B340" s="641" t="str">
        <f>IF('Proposed Lighting'!AU37=3,"Commercial-All Com-ExtLight",IF('Proposed Lighting'!AH37&gt;8759,"IPC_8760","Commercial-All Com-IntLight"))</f>
        <v>IPC_8760</v>
      </c>
      <c r="C340" s="641" t="str">
        <f>IF(OR(E340="",E340=0),"No",
IF(AND('Data Entry'!$AF$23="OR",AE340&lt;1),"No",
IF(AND('Data Entry'!$AF$23="ID",E340="Non-standard lighting control system",AD340&lt;1),"No",
IF(AND('Data Entry'!$AF$23="OR",'Proposed Lighting'!F37="Existing LED (Provide Description)",'Proposed Lighting'!AK37=""),"No",
IF('Proposed Lighting'!DD37="Submit Control as Non-Standard","No",
IF(AND('Proposed Lighting'!T37="Non-Standard (Provide Description)",AD340&lt;1),"No",
IF('Proposed Lighting'!AW37&lt;'Proposed Lighting'!AZ37,"No","Yes")))))))</f>
        <v>No</v>
      </c>
      <c r="D340" s="1604">
        <f>'Proposed Lighting'!BQ37-Q340</f>
        <v>0</v>
      </c>
      <c r="E340" s="642" t="str">
        <f>IF('Proposed Lighting'!W37="","",'Proposed Lighting'!W37)</f>
        <v/>
      </c>
      <c r="F340" s="642"/>
      <c r="G340" s="641" t="s">
        <v>786</v>
      </c>
      <c r="H340" s="643">
        <v>10</v>
      </c>
      <c r="I340" s="644">
        <v>1</v>
      </c>
      <c r="J340" s="723">
        <f>IF('Proposed Lighting'!EF37=0,'Proposed Lighting'!AA37,'Proposed Lighting'!EF37)</f>
        <v>0</v>
      </c>
      <c r="K340" s="643" t="str">
        <f>'Proposed Lighting'!CU37</f>
        <v/>
      </c>
      <c r="L340" s="643" t="str">
        <f t="shared" si="75"/>
        <v/>
      </c>
      <c r="M340" s="645">
        <f t="shared" si="80"/>
        <v>0</v>
      </c>
      <c r="N340" s="645"/>
      <c r="O340" s="722">
        <f>IFERROR('Proposed Lighting'!AC37/1000,0)</f>
        <v>0</v>
      </c>
      <c r="P340" s="644">
        <f>'Proposed Lighting'!AV37</f>
        <v>0</v>
      </c>
      <c r="Q340" s="644">
        <f>IF(AND('Proposed Lighting'!T37="Lighting Controls Only",'Data Entry'!$AF$23="OR",'Proposed Lighting'!AU37=2),0,
IF(AND('Proposed Lighting'!T37="Lighting Controls Only",'Data Entry'!$AF$23="OR",'Proposed Lighting'!AU37=3,OR('Proposed Lighting'!W37="ceiling mount",'Proposed Lighting'!W37="wall switch",'Proposed Lighting'!W37="fixture mount (on exisiting equip)",'Proposed Lighting'!W37="daylight harvesting (on existing equip)")),0,
IF('Proposed Lighting'!AF37=1,IF(P340=0,0,J340*O340*(L340*(1-P340))),IF('Proposed Lighting'!AU37=1,0,'Proposed Lighting'!AX37-'Proposed Lighting'!AY37))))</f>
        <v>0</v>
      </c>
      <c r="R340" s="646">
        <f>IF('Proposed Lighting'!T37="Non-standard (provide description",0,
IF(AND(E340="Non-standard control",'Proposed Lighting'!AU37=2),Q340*0.1,
IF(AND(E340="Non-standard control",'Proposed Lighting'!AU37=3),Q340*0.08,
IF('Proposed Lighting'!EF37=0,0,IF('Proposed Lighting'!AU37=1,0,
IF(AND('Data Entry'!$AF$23="ID",'Proposed Lighting'!T37="Lighting controls only"),VLOOKUP(E340,'Proposed Lighting'!$DO$97:$DP$106,2,FALSE),
IF(AND('Data Entry'!$AF$23="OR",'Proposed Lighting'!AU37=3,'Proposed Lighting'!T37="Lighting controls only"),VLOOKUP(E340,'Proposed Lighting'!$DO$127:$DP$134,2,FALSE),0)))))))*J340</f>
        <v>0</v>
      </c>
      <c r="S340" s="646">
        <f>IF(Q340&lt;0.01,0,IF('Proposed Lighting'!AK37&gt;0,'Proposed Lighting'!AK37*'Proposed Lighting'!EF37,0))</f>
        <v>0</v>
      </c>
      <c r="T340" s="647">
        <f t="shared" si="76"/>
        <v>0</v>
      </c>
      <c r="U340" s="648"/>
      <c r="V340" s="646">
        <f t="shared" si="81"/>
        <v>0</v>
      </c>
      <c r="W340" s="646">
        <f t="shared" si="82"/>
        <v>0</v>
      </c>
      <c r="X340" s="646">
        <f t="shared" si="83"/>
        <v>0</v>
      </c>
      <c r="Y340" s="646"/>
      <c r="Z340" s="646"/>
      <c r="AA340" s="646"/>
      <c r="AB340" s="646">
        <f t="shared" si="84"/>
        <v>0</v>
      </c>
      <c r="AC340" s="649" t="str">
        <f t="shared" si="85"/>
        <v/>
      </c>
      <c r="AD340" s="649" t="str">
        <f t="shared" si="86"/>
        <v/>
      </c>
      <c r="AE340" s="649" t="str">
        <f t="shared" si="87"/>
        <v/>
      </c>
      <c r="AF340" s="72"/>
      <c r="AG340" s="644">
        <f>IFERROR(IF($AV340="No",0,IF($AV340="yes",Summary!Q340,"")),"")</f>
        <v>0</v>
      </c>
      <c r="AH340" s="646">
        <f>IFERROR(IF($AV340="No",0,IF($AV340="yes",Summary!R340,"")),"")</f>
        <v>0</v>
      </c>
      <c r="AI340" s="646">
        <f>IFERROR(IF($AV340="No",0,IF($AV340="yes",Summary!S340,"")),"")</f>
        <v>0</v>
      </c>
      <c r="AJ340" s="647">
        <f>IFERROR(IF($AV340="No",0,IF($AV340="yes",Summary!T340,"")),"")</f>
        <v>0</v>
      </c>
      <c r="AK340" s="648">
        <f>IFERROR(IF($AV340="No",0,IF($AV340="yes",Summary!U340,"")),"")</f>
        <v>0</v>
      </c>
      <c r="AL340" s="646">
        <f>IFERROR(IF($AV340="No",0,IF($AV340="yes",Summary!V340,"")),"")</f>
        <v>0</v>
      </c>
      <c r="AM340" s="646">
        <f>IFERROR(IF($AV340="No",0,IF($AV340="yes",Summary!W340,"")),"")</f>
        <v>0</v>
      </c>
      <c r="AN340" s="646">
        <f>IFERROR(IF($AV340="No",0,IF($AV340="yes",Summary!X340,"")),"")</f>
        <v>0</v>
      </c>
      <c r="AO340" s="646">
        <f>IFERROR(IF($AV340="No",0,IF($AV340="yes",Summary!Y340+Z340,"")),"")</f>
        <v>0</v>
      </c>
      <c r="AP340" s="646">
        <f>IFERROR(IF($AV340="No",0,IF($AV340="yes",Summary!AB340,"")),"")</f>
        <v>0</v>
      </c>
      <c r="AQ340" s="649" t="str">
        <f t="shared" si="77"/>
        <v/>
      </c>
      <c r="AR340" s="649" t="str">
        <f t="shared" si="79"/>
        <v/>
      </c>
      <c r="AS340" s="649" t="str">
        <f t="shared" si="78"/>
        <v/>
      </c>
      <c r="AT340" s="641" t="s">
        <v>814</v>
      </c>
      <c r="AV340" t="str">
        <f>IF('Proposed Lighting'!AK37&gt;0,"No","Yes")</f>
        <v>Yes</v>
      </c>
    </row>
    <row r="341" spans="1:48" ht="34.5" customHeight="1" outlineLevel="1">
      <c r="A341" s="641" t="s">
        <v>815</v>
      </c>
      <c r="B341" s="641" t="str">
        <f>IF('Proposed Lighting'!AU38=3,"Commercial-All Com-ExtLight",IF('Proposed Lighting'!AH38&gt;8759,"IPC_8760","Commercial-All Com-IntLight"))</f>
        <v>IPC_8760</v>
      </c>
      <c r="C341" s="641" t="str">
        <f>IF(OR(E341="",E341=0),"No",
IF(AND('Data Entry'!$AF$23="OR",AE341&lt;1),"No",
IF(AND('Data Entry'!$AF$23="ID",E341="Non-standard lighting control system",AD341&lt;1),"No",
IF(AND('Data Entry'!$AF$23="OR",'Proposed Lighting'!F38="Existing LED (Provide Description)",'Proposed Lighting'!AK38=""),"No",
IF('Proposed Lighting'!DD38="Submit Control as Non-Standard","No",
IF(AND('Proposed Lighting'!T38="Non-Standard (Provide Description)",AD341&lt;1),"No",
IF('Proposed Lighting'!AW38&lt;'Proposed Lighting'!AZ38,"No","Yes")))))))</f>
        <v>No</v>
      </c>
      <c r="D341" s="1604">
        <f>'Proposed Lighting'!BQ38-Q341</f>
        <v>0</v>
      </c>
      <c r="E341" s="642" t="str">
        <f>IF('Proposed Lighting'!W38="","",'Proposed Lighting'!W38)</f>
        <v/>
      </c>
      <c r="F341" s="642"/>
      <c r="G341" s="641" t="s">
        <v>786</v>
      </c>
      <c r="H341" s="643">
        <v>10</v>
      </c>
      <c r="I341" s="644">
        <v>1</v>
      </c>
      <c r="J341" s="723">
        <f>IF('Proposed Lighting'!EF38=0,'Proposed Lighting'!AA38,'Proposed Lighting'!EF38)</f>
        <v>0</v>
      </c>
      <c r="K341" s="643" t="str">
        <f>'Proposed Lighting'!CU38</f>
        <v/>
      </c>
      <c r="L341" s="643" t="str">
        <f t="shared" si="75"/>
        <v/>
      </c>
      <c r="M341" s="645">
        <f t="shared" si="80"/>
        <v>0</v>
      </c>
      <c r="N341" s="645"/>
      <c r="O341" s="722">
        <f>IFERROR('Proposed Lighting'!AC38/1000,0)</f>
        <v>0</v>
      </c>
      <c r="P341" s="644">
        <f>'Proposed Lighting'!AV38</f>
        <v>0</v>
      </c>
      <c r="Q341" s="644">
        <f>IF(AND('Proposed Lighting'!T38="Lighting Controls Only",'Data Entry'!$AF$23="OR",'Proposed Lighting'!AU38=2),0,
IF(AND('Proposed Lighting'!T38="Lighting Controls Only",'Data Entry'!$AF$23="OR",'Proposed Lighting'!AU38=3,OR('Proposed Lighting'!W38="ceiling mount",'Proposed Lighting'!W38="wall switch",'Proposed Lighting'!W38="fixture mount (on exisiting equip)",'Proposed Lighting'!W38="daylight harvesting (on existing equip)")),0,
IF('Proposed Lighting'!AF38=1,IF(P341=0,0,J341*O341*(L341*(1-P341))),IF('Proposed Lighting'!AU38=1,0,'Proposed Lighting'!AX38-'Proposed Lighting'!AY38))))</f>
        <v>0</v>
      </c>
      <c r="R341" s="646">
        <f>IF('Proposed Lighting'!T38="Non-standard (provide description",0,
IF(AND(E341="Non-standard control",'Proposed Lighting'!AU38=2),Q341*0.1,
IF(AND(E341="Non-standard control",'Proposed Lighting'!AU38=3),Q341*0.08,
IF('Proposed Lighting'!EF38=0,0,IF('Proposed Lighting'!AU38=1,0,
IF(AND('Data Entry'!$AF$23="ID",'Proposed Lighting'!T38="Lighting controls only"),VLOOKUP(E341,'Proposed Lighting'!$DO$97:$DP$106,2,FALSE),
IF(AND('Data Entry'!$AF$23="OR",'Proposed Lighting'!AU38=3,'Proposed Lighting'!T38="Lighting controls only"),VLOOKUP(E341,'Proposed Lighting'!$DO$127:$DP$134,2,FALSE),0)))))))*J341</f>
        <v>0</v>
      </c>
      <c r="S341" s="646">
        <f>IF(Q341&lt;0.01,0,IF('Proposed Lighting'!AK38&gt;0,'Proposed Lighting'!AK38*'Proposed Lighting'!EF38,0))</f>
        <v>0</v>
      </c>
      <c r="T341" s="647">
        <f t="shared" si="76"/>
        <v>0</v>
      </c>
      <c r="U341" s="648"/>
      <c r="V341" s="646">
        <f t="shared" si="81"/>
        <v>0</v>
      </c>
      <c r="W341" s="646">
        <f t="shared" si="82"/>
        <v>0</v>
      </c>
      <c r="X341" s="646">
        <f t="shared" si="83"/>
        <v>0</v>
      </c>
      <c r="Y341" s="646"/>
      <c r="Z341" s="646"/>
      <c r="AA341" s="646"/>
      <c r="AB341" s="646">
        <f t="shared" si="84"/>
        <v>0</v>
      </c>
      <c r="AC341" s="649" t="str">
        <f t="shared" si="85"/>
        <v/>
      </c>
      <c r="AD341" s="649" t="str">
        <f t="shared" si="86"/>
        <v/>
      </c>
      <c r="AE341" s="649" t="str">
        <f t="shared" si="87"/>
        <v/>
      </c>
      <c r="AF341" s="72"/>
      <c r="AG341" s="644">
        <f>IFERROR(IF($AV341="No",0,IF($AV341="yes",Summary!Q341,"")),"")</f>
        <v>0</v>
      </c>
      <c r="AH341" s="646">
        <f>IFERROR(IF($AV341="No",0,IF($AV341="yes",Summary!R341,"")),"")</f>
        <v>0</v>
      </c>
      <c r="AI341" s="646">
        <f>IFERROR(IF($AV341="No",0,IF($AV341="yes",Summary!S341,"")),"")</f>
        <v>0</v>
      </c>
      <c r="AJ341" s="647">
        <f>IFERROR(IF($AV341="No",0,IF($AV341="yes",Summary!T341,"")),"")</f>
        <v>0</v>
      </c>
      <c r="AK341" s="648">
        <f>IFERROR(IF($AV341="No",0,IF($AV341="yes",Summary!U341,"")),"")</f>
        <v>0</v>
      </c>
      <c r="AL341" s="646">
        <f>IFERROR(IF($AV341="No",0,IF($AV341="yes",Summary!V341,"")),"")</f>
        <v>0</v>
      </c>
      <c r="AM341" s="646">
        <f>IFERROR(IF($AV341="No",0,IF($AV341="yes",Summary!W341,"")),"")</f>
        <v>0</v>
      </c>
      <c r="AN341" s="646">
        <f>IFERROR(IF($AV341="No",0,IF($AV341="yes",Summary!X341,"")),"")</f>
        <v>0</v>
      </c>
      <c r="AO341" s="646">
        <f>IFERROR(IF($AV341="No",0,IF($AV341="yes",Summary!Y341+Z341,"")),"")</f>
        <v>0</v>
      </c>
      <c r="AP341" s="646">
        <f>IFERROR(IF($AV341="No",0,IF($AV341="yes",Summary!AB341,"")),"")</f>
        <v>0</v>
      </c>
      <c r="AQ341" s="649" t="str">
        <f t="shared" si="77"/>
        <v/>
      </c>
      <c r="AR341" s="649" t="str">
        <f t="shared" si="79"/>
        <v/>
      </c>
      <c r="AS341" s="649" t="str">
        <f t="shared" si="78"/>
        <v/>
      </c>
      <c r="AT341" s="641" t="s">
        <v>815</v>
      </c>
      <c r="AV341" t="str">
        <f>IF('Proposed Lighting'!AK38&gt;0,"No","Yes")</f>
        <v>Yes</v>
      </c>
    </row>
    <row r="342" spans="1:48" ht="34.5" customHeight="1" outlineLevel="1">
      <c r="A342" s="641" t="s">
        <v>816</v>
      </c>
      <c r="B342" s="641" t="str">
        <f>IF('Proposed Lighting'!AU39=3,"Commercial-All Com-ExtLight",IF('Proposed Lighting'!AH39&gt;8759,"IPC_8760","Commercial-All Com-IntLight"))</f>
        <v>IPC_8760</v>
      </c>
      <c r="C342" s="641" t="str">
        <f>IF(OR(E342="",E342=0),"No",
IF(AND('Data Entry'!$AF$23="OR",AE342&lt;1),"No",
IF(AND('Data Entry'!$AF$23="ID",E342="Non-standard lighting control system",AD342&lt;1),"No",
IF(AND('Data Entry'!$AF$23="OR",'Proposed Lighting'!F39="Existing LED (Provide Description)",'Proposed Lighting'!AK39=""),"No",
IF('Proposed Lighting'!DD39="Submit Control as Non-Standard","No",
IF(AND('Proposed Lighting'!T39="Non-Standard (Provide Description)",AD342&lt;1),"No",
IF('Proposed Lighting'!AW39&lt;'Proposed Lighting'!AZ39,"No","Yes")))))))</f>
        <v>No</v>
      </c>
      <c r="D342" s="1604">
        <f>'Proposed Lighting'!BQ39-Q342</f>
        <v>0</v>
      </c>
      <c r="E342" s="642" t="str">
        <f>IF('Proposed Lighting'!W39="","",'Proposed Lighting'!W39)</f>
        <v/>
      </c>
      <c r="F342" s="642"/>
      <c r="G342" s="641" t="s">
        <v>786</v>
      </c>
      <c r="H342" s="643">
        <v>10</v>
      </c>
      <c r="I342" s="644">
        <v>1</v>
      </c>
      <c r="J342" s="723">
        <f>IF('Proposed Lighting'!EF39=0,'Proposed Lighting'!AA39,'Proposed Lighting'!EF39)</f>
        <v>0</v>
      </c>
      <c r="K342" s="643" t="str">
        <f>'Proposed Lighting'!CU39</f>
        <v/>
      </c>
      <c r="L342" s="643" t="str">
        <f t="shared" si="75"/>
        <v/>
      </c>
      <c r="M342" s="645">
        <f t="shared" si="80"/>
        <v>0</v>
      </c>
      <c r="N342" s="645"/>
      <c r="O342" s="722">
        <f>IFERROR('Proposed Lighting'!AC39/1000,0)</f>
        <v>0</v>
      </c>
      <c r="P342" s="644">
        <f>'Proposed Lighting'!AV39</f>
        <v>0</v>
      </c>
      <c r="Q342" s="644">
        <f>IF(AND('Proposed Lighting'!T39="Lighting Controls Only",'Data Entry'!$AF$23="OR",'Proposed Lighting'!AU39=2),0,
IF(AND('Proposed Lighting'!T39="Lighting Controls Only",'Data Entry'!$AF$23="OR",'Proposed Lighting'!AU39=3,OR('Proposed Lighting'!W39="ceiling mount",'Proposed Lighting'!W39="wall switch",'Proposed Lighting'!W39="fixture mount (on exisiting equip)",'Proposed Lighting'!W39="daylight harvesting (on existing equip)")),0,
IF('Proposed Lighting'!AF39=1,IF(P342=0,0,J342*O342*(L342*(1-P342))),IF('Proposed Lighting'!AU39=1,0,'Proposed Lighting'!AX39-'Proposed Lighting'!AY39))))</f>
        <v>0</v>
      </c>
      <c r="R342" s="646">
        <f>IF('Proposed Lighting'!T39="Non-standard (provide description",0,
IF(AND(E342="Non-standard control",'Proposed Lighting'!AU39=2),Q342*0.1,
IF(AND(E342="Non-standard control",'Proposed Lighting'!AU39=3),Q342*0.08,
IF('Proposed Lighting'!EF39=0,0,IF('Proposed Lighting'!AU39=1,0,
IF(AND('Data Entry'!$AF$23="ID",'Proposed Lighting'!T39="Lighting controls only"),VLOOKUP(E342,'Proposed Lighting'!$DO$97:$DP$106,2,FALSE),
IF(AND('Data Entry'!$AF$23="OR",'Proposed Lighting'!AU39=3,'Proposed Lighting'!T39="Lighting controls only"),VLOOKUP(E342,'Proposed Lighting'!$DO$127:$DP$134,2,FALSE),0)))))))*J342</f>
        <v>0</v>
      </c>
      <c r="S342" s="646">
        <f>IF(Q342&lt;0.01,0,IF('Proposed Lighting'!AK39&gt;0,'Proposed Lighting'!AK39*'Proposed Lighting'!EF39,0))</f>
        <v>0</v>
      </c>
      <c r="T342" s="647">
        <f t="shared" si="76"/>
        <v>0</v>
      </c>
      <c r="U342" s="648"/>
      <c r="V342" s="646">
        <f t="shared" si="81"/>
        <v>0</v>
      </c>
      <c r="W342" s="646">
        <f t="shared" si="82"/>
        <v>0</v>
      </c>
      <c r="X342" s="646">
        <f t="shared" si="83"/>
        <v>0</v>
      </c>
      <c r="Y342" s="646"/>
      <c r="Z342" s="646"/>
      <c r="AA342" s="646"/>
      <c r="AB342" s="646">
        <f t="shared" si="84"/>
        <v>0</v>
      </c>
      <c r="AC342" s="649" t="str">
        <f t="shared" si="85"/>
        <v/>
      </c>
      <c r="AD342" s="649" t="str">
        <f t="shared" si="86"/>
        <v/>
      </c>
      <c r="AE342" s="649" t="str">
        <f t="shared" si="87"/>
        <v/>
      </c>
      <c r="AF342" s="72"/>
      <c r="AG342" s="644">
        <f>IFERROR(IF($AV342="No",0,IF($AV342="yes",Summary!Q342,"")),"")</f>
        <v>0</v>
      </c>
      <c r="AH342" s="646">
        <f>IFERROR(IF($AV342="No",0,IF($AV342="yes",Summary!R342,"")),"")</f>
        <v>0</v>
      </c>
      <c r="AI342" s="646">
        <f>IFERROR(IF($AV342="No",0,IF($AV342="yes",Summary!S342,"")),"")</f>
        <v>0</v>
      </c>
      <c r="AJ342" s="647">
        <f>IFERROR(IF($AV342="No",0,IF($AV342="yes",Summary!T342,"")),"")</f>
        <v>0</v>
      </c>
      <c r="AK342" s="648">
        <f>IFERROR(IF($AV342="No",0,IF($AV342="yes",Summary!U342,"")),"")</f>
        <v>0</v>
      </c>
      <c r="AL342" s="646">
        <f>IFERROR(IF($AV342="No",0,IF($AV342="yes",Summary!V342,"")),"")</f>
        <v>0</v>
      </c>
      <c r="AM342" s="646">
        <f>IFERROR(IF($AV342="No",0,IF($AV342="yes",Summary!W342,"")),"")</f>
        <v>0</v>
      </c>
      <c r="AN342" s="646">
        <f>IFERROR(IF($AV342="No",0,IF($AV342="yes",Summary!X342,"")),"")</f>
        <v>0</v>
      </c>
      <c r="AO342" s="646">
        <f>IFERROR(IF($AV342="No",0,IF($AV342="yes",Summary!Y342+Z342,"")),"")</f>
        <v>0</v>
      </c>
      <c r="AP342" s="646">
        <f>IFERROR(IF($AV342="No",0,IF($AV342="yes",Summary!AB342,"")),"")</f>
        <v>0</v>
      </c>
      <c r="AQ342" s="649" t="str">
        <f t="shared" si="77"/>
        <v/>
      </c>
      <c r="AR342" s="649" t="str">
        <f t="shared" si="79"/>
        <v/>
      </c>
      <c r="AS342" s="649" t="str">
        <f t="shared" si="78"/>
        <v/>
      </c>
      <c r="AT342" s="641" t="s">
        <v>816</v>
      </c>
      <c r="AV342" t="str">
        <f>IF('Proposed Lighting'!AK39&gt;0,"No","Yes")</f>
        <v>Yes</v>
      </c>
    </row>
    <row r="343" spans="1:48" ht="34.5" customHeight="1" outlineLevel="1">
      <c r="A343" s="641" t="s">
        <v>817</v>
      </c>
      <c r="B343" s="641" t="str">
        <f>IF('Proposed Lighting'!AU40=3,"Commercial-All Com-ExtLight",IF('Proposed Lighting'!AH40&gt;8759,"IPC_8760","Commercial-All Com-IntLight"))</f>
        <v>IPC_8760</v>
      </c>
      <c r="C343" s="641" t="str">
        <f>IF(OR(E343="",E343=0),"No",
IF(AND('Data Entry'!$AF$23="OR",AE343&lt;1),"No",
IF(AND('Data Entry'!$AF$23="ID",E343="Non-standard lighting control system",AD343&lt;1),"No",
IF(AND('Data Entry'!$AF$23="OR",'Proposed Lighting'!F40="Existing LED (Provide Description)",'Proposed Lighting'!AK40=""),"No",
IF('Proposed Lighting'!DD40="Submit Control as Non-Standard","No",
IF(AND('Proposed Lighting'!T40="Non-Standard (Provide Description)",AD343&lt;1),"No",
IF('Proposed Lighting'!AW40&lt;'Proposed Lighting'!AZ40,"No","Yes")))))))</f>
        <v>No</v>
      </c>
      <c r="D343" s="1604">
        <f>'Proposed Lighting'!BQ40-Q343</f>
        <v>0</v>
      </c>
      <c r="E343" s="642" t="str">
        <f>IF('Proposed Lighting'!W40="","",'Proposed Lighting'!W40)</f>
        <v/>
      </c>
      <c r="F343" s="642"/>
      <c r="G343" s="641" t="s">
        <v>786</v>
      </c>
      <c r="H343" s="643">
        <v>10</v>
      </c>
      <c r="I343" s="644">
        <v>1</v>
      </c>
      <c r="J343" s="723">
        <f>IF('Proposed Lighting'!EF40=0,'Proposed Lighting'!AA40,'Proposed Lighting'!EF40)</f>
        <v>0</v>
      </c>
      <c r="K343" s="643" t="str">
        <f>'Proposed Lighting'!CU40</f>
        <v/>
      </c>
      <c r="L343" s="643" t="str">
        <f t="shared" si="75"/>
        <v/>
      </c>
      <c r="M343" s="645">
        <f t="shared" si="80"/>
        <v>0</v>
      </c>
      <c r="N343" s="645"/>
      <c r="O343" s="722">
        <f>IFERROR('Proposed Lighting'!AC40/1000,0)</f>
        <v>0</v>
      </c>
      <c r="P343" s="644">
        <f>'Proposed Lighting'!AV40</f>
        <v>0</v>
      </c>
      <c r="Q343" s="644">
        <f>IF(AND('Proposed Lighting'!T40="Lighting Controls Only",'Data Entry'!$AF$23="OR",'Proposed Lighting'!AU40=2),0,
IF(AND('Proposed Lighting'!T40="Lighting Controls Only",'Data Entry'!$AF$23="OR",'Proposed Lighting'!AU40=3,OR('Proposed Lighting'!W40="ceiling mount",'Proposed Lighting'!W40="wall switch",'Proposed Lighting'!W40="fixture mount (on exisiting equip)",'Proposed Lighting'!W40="daylight harvesting (on existing equip)")),0,
IF('Proposed Lighting'!AF40=1,IF(P343=0,0,J343*O343*(L343*(1-P343))),IF('Proposed Lighting'!AU40=1,0,'Proposed Lighting'!AX40-'Proposed Lighting'!AY40))))</f>
        <v>0</v>
      </c>
      <c r="R343" s="646">
        <f>IF('Proposed Lighting'!T40="Non-standard (provide description",0,
IF(AND(E343="Non-standard control",'Proposed Lighting'!AU40=2),Q343*0.1,
IF(AND(E343="Non-standard control",'Proposed Lighting'!AU40=3),Q343*0.08,
IF('Proposed Lighting'!EF40=0,0,IF('Proposed Lighting'!AU40=1,0,
IF(AND('Data Entry'!$AF$23="ID",'Proposed Lighting'!T40="Lighting controls only"),VLOOKUP(E343,'Proposed Lighting'!$DO$97:$DP$106,2,FALSE),
IF(AND('Data Entry'!$AF$23="OR",'Proposed Lighting'!AU40=3,'Proposed Lighting'!T40="Lighting controls only"),VLOOKUP(E343,'Proposed Lighting'!$DO$127:$DP$134,2,FALSE),0)))))))*J343</f>
        <v>0</v>
      </c>
      <c r="S343" s="646">
        <f>IF(Q343&lt;0.01,0,IF('Proposed Lighting'!AK40&gt;0,'Proposed Lighting'!AK40*'Proposed Lighting'!EF40,0))</f>
        <v>0</v>
      </c>
      <c r="T343" s="647">
        <f t="shared" si="76"/>
        <v>0</v>
      </c>
      <c r="U343" s="648"/>
      <c r="V343" s="646">
        <f t="shared" si="81"/>
        <v>0</v>
      </c>
      <c r="W343" s="646">
        <f t="shared" si="82"/>
        <v>0</v>
      </c>
      <c r="X343" s="646">
        <f t="shared" si="83"/>
        <v>0</v>
      </c>
      <c r="Y343" s="646"/>
      <c r="Z343" s="646"/>
      <c r="AA343" s="646"/>
      <c r="AB343" s="646">
        <f t="shared" si="84"/>
        <v>0</v>
      </c>
      <c r="AC343" s="649" t="str">
        <f t="shared" si="85"/>
        <v/>
      </c>
      <c r="AD343" s="649" t="str">
        <f t="shared" si="86"/>
        <v/>
      </c>
      <c r="AE343" s="649" t="str">
        <f t="shared" si="87"/>
        <v/>
      </c>
      <c r="AF343" s="72"/>
      <c r="AG343" s="644">
        <f>IFERROR(IF($AV343="No",0,IF($AV343="yes",Summary!Q343,"")),"")</f>
        <v>0</v>
      </c>
      <c r="AH343" s="646">
        <f>IFERROR(IF($AV343="No",0,IF($AV343="yes",Summary!R343,"")),"")</f>
        <v>0</v>
      </c>
      <c r="AI343" s="646">
        <f>IFERROR(IF($AV343="No",0,IF($AV343="yes",Summary!S343,"")),"")</f>
        <v>0</v>
      </c>
      <c r="AJ343" s="647">
        <f>IFERROR(IF($AV343="No",0,IF($AV343="yes",Summary!T343,"")),"")</f>
        <v>0</v>
      </c>
      <c r="AK343" s="648">
        <f>IFERROR(IF($AV343="No",0,IF($AV343="yes",Summary!U343,"")),"")</f>
        <v>0</v>
      </c>
      <c r="AL343" s="646">
        <f>IFERROR(IF($AV343="No",0,IF($AV343="yes",Summary!V343,"")),"")</f>
        <v>0</v>
      </c>
      <c r="AM343" s="646">
        <f>IFERROR(IF($AV343="No",0,IF($AV343="yes",Summary!W343,"")),"")</f>
        <v>0</v>
      </c>
      <c r="AN343" s="646">
        <f>IFERROR(IF($AV343="No",0,IF($AV343="yes",Summary!X343,"")),"")</f>
        <v>0</v>
      </c>
      <c r="AO343" s="646">
        <f>IFERROR(IF($AV343="No",0,IF($AV343="yes",Summary!Y343+Z343,"")),"")</f>
        <v>0</v>
      </c>
      <c r="AP343" s="646">
        <f>IFERROR(IF($AV343="No",0,IF($AV343="yes",Summary!AB343,"")),"")</f>
        <v>0</v>
      </c>
      <c r="AQ343" s="649" t="str">
        <f t="shared" si="77"/>
        <v/>
      </c>
      <c r="AR343" s="649" t="str">
        <f t="shared" si="79"/>
        <v/>
      </c>
      <c r="AS343" s="649" t="str">
        <f t="shared" si="78"/>
        <v/>
      </c>
      <c r="AT343" s="641" t="s">
        <v>817</v>
      </c>
      <c r="AV343" t="str">
        <f>IF('Proposed Lighting'!AK40&gt;0,"No","Yes")</f>
        <v>Yes</v>
      </c>
    </row>
    <row r="344" spans="1:48" ht="34.5" customHeight="1" outlineLevel="1">
      <c r="A344" s="641" t="s">
        <v>818</v>
      </c>
      <c r="B344" s="641" t="str">
        <f>IF('Proposed Lighting'!AU41=3,"Commercial-All Com-ExtLight",IF('Proposed Lighting'!AH41&gt;8759,"IPC_8760","Commercial-All Com-IntLight"))</f>
        <v>IPC_8760</v>
      </c>
      <c r="C344" s="641" t="str">
        <f>IF(OR(E344="",E344=0),"No",
IF(AND('Data Entry'!$AF$23="OR",AE344&lt;1),"No",
IF(AND('Data Entry'!$AF$23="ID",E344="Non-standard lighting control system",AD344&lt;1),"No",
IF(AND('Data Entry'!$AF$23="OR",'Proposed Lighting'!F41="Existing LED (Provide Description)",'Proposed Lighting'!AK41=""),"No",
IF('Proposed Lighting'!DD41="Submit Control as Non-Standard","No",
IF(AND('Proposed Lighting'!T41="Non-Standard (Provide Description)",AD344&lt;1),"No",
IF('Proposed Lighting'!AW41&lt;'Proposed Lighting'!AZ41,"No","Yes")))))))</f>
        <v>No</v>
      </c>
      <c r="D344" s="1604">
        <f>'Proposed Lighting'!BQ41-Q344</f>
        <v>0</v>
      </c>
      <c r="E344" s="642" t="str">
        <f>IF('Proposed Lighting'!W41="","",'Proposed Lighting'!W41)</f>
        <v/>
      </c>
      <c r="F344" s="642"/>
      <c r="G344" s="641" t="s">
        <v>786</v>
      </c>
      <c r="H344" s="643">
        <v>10</v>
      </c>
      <c r="I344" s="644">
        <v>1</v>
      </c>
      <c r="J344" s="723">
        <f>IF('Proposed Lighting'!EF41=0,'Proposed Lighting'!AA41,'Proposed Lighting'!EF41)</f>
        <v>0</v>
      </c>
      <c r="K344" s="643" t="str">
        <f>'Proposed Lighting'!CU41</f>
        <v/>
      </c>
      <c r="L344" s="643" t="str">
        <f t="shared" si="75"/>
        <v/>
      </c>
      <c r="M344" s="645">
        <f t="shared" si="80"/>
        <v>0</v>
      </c>
      <c r="N344" s="645"/>
      <c r="O344" s="722">
        <f>IFERROR('Proposed Lighting'!AC41/1000,0)</f>
        <v>0</v>
      </c>
      <c r="P344" s="644">
        <f>'Proposed Lighting'!AV41</f>
        <v>0</v>
      </c>
      <c r="Q344" s="644">
        <f>IF(AND('Proposed Lighting'!T41="Lighting Controls Only",'Data Entry'!$AF$23="OR",'Proposed Lighting'!AU41=2),0,
IF(AND('Proposed Lighting'!T41="Lighting Controls Only",'Data Entry'!$AF$23="OR",'Proposed Lighting'!AU41=3,OR('Proposed Lighting'!W41="ceiling mount",'Proposed Lighting'!W41="wall switch",'Proposed Lighting'!W41="fixture mount (on exisiting equip)",'Proposed Lighting'!W41="daylight harvesting (on existing equip)")),0,
IF('Proposed Lighting'!AF41=1,IF(P344=0,0,J344*O344*(L344*(1-P344))),IF('Proposed Lighting'!AU41=1,0,'Proposed Lighting'!AX41-'Proposed Lighting'!AY41))))</f>
        <v>0</v>
      </c>
      <c r="R344" s="646">
        <f>IF('Proposed Lighting'!T41="Non-standard (provide description",0,
IF(AND(E344="Non-standard control",'Proposed Lighting'!AU41=2),Q344*0.1,
IF(AND(E344="Non-standard control",'Proposed Lighting'!AU41=3),Q344*0.08,
IF('Proposed Lighting'!EF41=0,0,IF('Proposed Lighting'!AU41=1,0,
IF(AND('Data Entry'!$AF$23="ID",'Proposed Lighting'!T41="Lighting controls only"),VLOOKUP(E344,'Proposed Lighting'!$DO$97:$DP$106,2,FALSE),
IF(AND('Data Entry'!$AF$23="OR",'Proposed Lighting'!AU41=3,'Proposed Lighting'!T41="Lighting controls only"),VLOOKUP(E344,'Proposed Lighting'!$DO$127:$DP$134,2,FALSE),0)))))))*J344</f>
        <v>0</v>
      </c>
      <c r="S344" s="646">
        <f>IF(Q344&lt;0.01,0,IF('Proposed Lighting'!AK41&gt;0,'Proposed Lighting'!AK41*'Proposed Lighting'!EF41,0))</f>
        <v>0</v>
      </c>
      <c r="T344" s="647">
        <f t="shared" si="76"/>
        <v>0</v>
      </c>
      <c r="U344" s="648"/>
      <c r="V344" s="646">
        <f t="shared" si="81"/>
        <v>0</v>
      </c>
      <c r="W344" s="646">
        <f t="shared" si="82"/>
        <v>0</v>
      </c>
      <c r="X344" s="646">
        <f t="shared" si="83"/>
        <v>0</v>
      </c>
      <c r="Y344" s="646"/>
      <c r="Z344" s="646"/>
      <c r="AA344" s="646"/>
      <c r="AB344" s="646">
        <f t="shared" si="84"/>
        <v>0</v>
      </c>
      <c r="AC344" s="649" t="str">
        <f t="shared" si="85"/>
        <v/>
      </c>
      <c r="AD344" s="649" t="str">
        <f t="shared" si="86"/>
        <v/>
      </c>
      <c r="AE344" s="649" t="str">
        <f t="shared" si="87"/>
        <v/>
      </c>
      <c r="AF344" s="72"/>
      <c r="AG344" s="644">
        <f>IFERROR(IF($AV344="No",0,IF($AV344="yes",Summary!Q344,"")),"")</f>
        <v>0</v>
      </c>
      <c r="AH344" s="646">
        <f>IFERROR(IF($AV344="No",0,IF($AV344="yes",Summary!R344,"")),"")</f>
        <v>0</v>
      </c>
      <c r="AI344" s="646">
        <f>IFERROR(IF($AV344="No",0,IF($AV344="yes",Summary!S344,"")),"")</f>
        <v>0</v>
      </c>
      <c r="AJ344" s="647">
        <f>IFERROR(IF($AV344="No",0,IF($AV344="yes",Summary!T344,"")),"")</f>
        <v>0</v>
      </c>
      <c r="AK344" s="648">
        <f>IFERROR(IF($AV344="No",0,IF($AV344="yes",Summary!U344,"")),"")</f>
        <v>0</v>
      </c>
      <c r="AL344" s="646">
        <f>IFERROR(IF($AV344="No",0,IF($AV344="yes",Summary!V344,"")),"")</f>
        <v>0</v>
      </c>
      <c r="AM344" s="646">
        <f>IFERROR(IF($AV344="No",0,IF($AV344="yes",Summary!W344,"")),"")</f>
        <v>0</v>
      </c>
      <c r="AN344" s="646">
        <f>IFERROR(IF($AV344="No",0,IF($AV344="yes",Summary!X344,"")),"")</f>
        <v>0</v>
      </c>
      <c r="AO344" s="646">
        <f>IFERROR(IF($AV344="No",0,IF($AV344="yes",Summary!Y344+Z344,"")),"")</f>
        <v>0</v>
      </c>
      <c r="AP344" s="646">
        <f>IFERROR(IF($AV344="No",0,IF($AV344="yes",Summary!AB344,"")),"")</f>
        <v>0</v>
      </c>
      <c r="AQ344" s="649" t="str">
        <f t="shared" si="77"/>
        <v/>
      </c>
      <c r="AR344" s="649" t="str">
        <f t="shared" si="79"/>
        <v/>
      </c>
      <c r="AS344" s="649" t="str">
        <f t="shared" si="78"/>
        <v/>
      </c>
      <c r="AT344" s="641" t="s">
        <v>818</v>
      </c>
      <c r="AV344" t="str">
        <f>IF('Proposed Lighting'!AK41&gt;0,"No","Yes")</f>
        <v>Yes</v>
      </c>
    </row>
    <row r="345" spans="1:48" ht="34.5" customHeight="1" outlineLevel="1">
      <c r="A345" s="641" t="s">
        <v>819</v>
      </c>
      <c r="B345" s="641" t="str">
        <f>IF('Proposed Lighting'!AU42=3,"Commercial-All Com-ExtLight",IF('Proposed Lighting'!AH42&gt;8759,"IPC_8760","Commercial-All Com-IntLight"))</f>
        <v>IPC_8760</v>
      </c>
      <c r="C345" s="641" t="str">
        <f>IF(OR(E345="",E345=0),"No",
IF(AND('Data Entry'!$AF$23="OR",AE345&lt;1),"No",
IF(AND('Data Entry'!$AF$23="ID",E345="Non-standard lighting control system",AD345&lt;1),"No",
IF(AND('Data Entry'!$AF$23="OR",'Proposed Lighting'!F42="Existing LED (Provide Description)",'Proposed Lighting'!AK42=""),"No",
IF('Proposed Lighting'!DD42="Submit Control as Non-Standard","No",
IF(AND('Proposed Lighting'!T42="Non-Standard (Provide Description)",AD345&lt;1),"No",
IF('Proposed Lighting'!AW42&lt;'Proposed Lighting'!AZ42,"No","Yes")))))))</f>
        <v>No</v>
      </c>
      <c r="D345" s="1604">
        <f>'Proposed Lighting'!BQ42-Q345</f>
        <v>0</v>
      </c>
      <c r="E345" s="642" t="str">
        <f>IF('Proposed Lighting'!W42="","",'Proposed Lighting'!W42)</f>
        <v/>
      </c>
      <c r="F345" s="642"/>
      <c r="G345" s="641" t="s">
        <v>786</v>
      </c>
      <c r="H345" s="643">
        <v>10</v>
      </c>
      <c r="I345" s="644">
        <v>1</v>
      </c>
      <c r="J345" s="723">
        <f>IF('Proposed Lighting'!EF42=0,'Proposed Lighting'!AA42,'Proposed Lighting'!EF42)</f>
        <v>0</v>
      </c>
      <c r="K345" s="643" t="str">
        <f>'Proposed Lighting'!CU42</f>
        <v/>
      </c>
      <c r="L345" s="643" t="str">
        <f t="shared" si="75"/>
        <v/>
      </c>
      <c r="M345" s="645">
        <f t="shared" si="80"/>
        <v>0</v>
      </c>
      <c r="N345" s="645"/>
      <c r="O345" s="722">
        <f>IFERROR('Proposed Lighting'!AC42/1000,0)</f>
        <v>0</v>
      </c>
      <c r="P345" s="644">
        <f>'Proposed Lighting'!AV42</f>
        <v>0</v>
      </c>
      <c r="Q345" s="644">
        <f>IF(AND('Proposed Lighting'!T42="Lighting Controls Only",'Data Entry'!$AF$23="OR",'Proposed Lighting'!AU42=2),0,
IF(AND('Proposed Lighting'!T42="Lighting Controls Only",'Data Entry'!$AF$23="OR",'Proposed Lighting'!AU42=3,OR('Proposed Lighting'!W42="ceiling mount",'Proposed Lighting'!W42="wall switch",'Proposed Lighting'!W42="fixture mount (on exisiting equip)",'Proposed Lighting'!W42="daylight harvesting (on existing equip)")),0,
IF('Proposed Lighting'!AF42=1,IF(P345=0,0,J345*O345*(L345*(1-P345))),IF('Proposed Lighting'!AU42=1,0,'Proposed Lighting'!AX42-'Proposed Lighting'!AY42))))</f>
        <v>0</v>
      </c>
      <c r="R345" s="646">
        <f>IF('Proposed Lighting'!T42="Non-standard (provide description",0,
IF(AND(E345="Non-standard control",'Proposed Lighting'!AU42=2),Q345*0.1,
IF(AND(E345="Non-standard control",'Proposed Lighting'!AU42=3),Q345*0.08,
IF('Proposed Lighting'!EF42=0,0,IF('Proposed Lighting'!AU42=1,0,
IF(AND('Data Entry'!$AF$23="ID",'Proposed Lighting'!T42="Lighting controls only"),VLOOKUP(E345,'Proposed Lighting'!$DO$97:$DP$106,2,FALSE),
IF(AND('Data Entry'!$AF$23="OR",'Proposed Lighting'!AU42=3,'Proposed Lighting'!T42="Lighting controls only"),VLOOKUP(E345,'Proposed Lighting'!$DO$127:$DP$134,2,FALSE),0)))))))*J345</f>
        <v>0</v>
      </c>
      <c r="S345" s="646">
        <f>IF(Q345&lt;0.01,0,IF('Proposed Lighting'!AK42&gt;0,'Proposed Lighting'!AK42*'Proposed Lighting'!EF42,0))</f>
        <v>0</v>
      </c>
      <c r="T345" s="647">
        <f t="shared" si="76"/>
        <v>0</v>
      </c>
      <c r="U345" s="648"/>
      <c r="V345" s="646">
        <f t="shared" si="81"/>
        <v>0</v>
      </c>
      <c r="W345" s="646">
        <f t="shared" si="82"/>
        <v>0</v>
      </c>
      <c r="X345" s="646">
        <f t="shared" si="83"/>
        <v>0</v>
      </c>
      <c r="Y345" s="646"/>
      <c r="Z345" s="646"/>
      <c r="AA345" s="646"/>
      <c r="AB345" s="646">
        <f t="shared" si="84"/>
        <v>0</v>
      </c>
      <c r="AC345" s="649" t="str">
        <f t="shared" si="85"/>
        <v/>
      </c>
      <c r="AD345" s="649" t="str">
        <f t="shared" si="86"/>
        <v/>
      </c>
      <c r="AE345" s="649" t="str">
        <f t="shared" si="87"/>
        <v/>
      </c>
      <c r="AF345" s="72"/>
      <c r="AG345" s="644">
        <f>IFERROR(IF($AV345="No",0,IF($AV345="yes",Summary!Q345,"")),"")</f>
        <v>0</v>
      </c>
      <c r="AH345" s="646">
        <f>IFERROR(IF($AV345="No",0,IF($AV345="yes",Summary!R345,"")),"")</f>
        <v>0</v>
      </c>
      <c r="AI345" s="646">
        <f>IFERROR(IF($AV345="No",0,IF($AV345="yes",Summary!S345,"")),"")</f>
        <v>0</v>
      </c>
      <c r="AJ345" s="647">
        <f>IFERROR(IF($AV345="No",0,IF($AV345="yes",Summary!T345,"")),"")</f>
        <v>0</v>
      </c>
      <c r="AK345" s="648">
        <f>IFERROR(IF($AV345="No",0,IF($AV345="yes",Summary!U345,"")),"")</f>
        <v>0</v>
      </c>
      <c r="AL345" s="646">
        <f>IFERROR(IF($AV345="No",0,IF($AV345="yes",Summary!V345,"")),"")</f>
        <v>0</v>
      </c>
      <c r="AM345" s="646">
        <f>IFERROR(IF($AV345="No",0,IF($AV345="yes",Summary!W345,"")),"")</f>
        <v>0</v>
      </c>
      <c r="AN345" s="646">
        <f>IFERROR(IF($AV345="No",0,IF($AV345="yes",Summary!X345,"")),"")</f>
        <v>0</v>
      </c>
      <c r="AO345" s="646">
        <f>IFERROR(IF($AV345="No",0,IF($AV345="yes",Summary!Y345+Z345,"")),"")</f>
        <v>0</v>
      </c>
      <c r="AP345" s="646">
        <f>IFERROR(IF($AV345="No",0,IF($AV345="yes",Summary!AB345,"")),"")</f>
        <v>0</v>
      </c>
      <c r="AQ345" s="649" t="str">
        <f t="shared" si="77"/>
        <v/>
      </c>
      <c r="AR345" s="649" t="str">
        <f t="shared" si="79"/>
        <v/>
      </c>
      <c r="AS345" s="649" t="str">
        <f t="shared" si="78"/>
        <v/>
      </c>
      <c r="AT345" s="641" t="s">
        <v>819</v>
      </c>
      <c r="AV345" t="str">
        <f>IF('Proposed Lighting'!AK42&gt;0,"No","Yes")</f>
        <v>Yes</v>
      </c>
    </row>
    <row r="346" spans="1:48" ht="34.5" customHeight="1" outlineLevel="1">
      <c r="A346" s="641" t="s">
        <v>820</v>
      </c>
      <c r="B346" s="641" t="str">
        <f>IF('Proposed Lighting'!AU43=3,"Commercial-All Com-ExtLight",IF('Proposed Lighting'!AH43&gt;8759,"IPC_8760","Commercial-All Com-IntLight"))</f>
        <v>IPC_8760</v>
      </c>
      <c r="C346" s="641" t="str">
        <f>IF(OR(E346="",E346=0),"No",
IF(AND('Data Entry'!$AF$23="OR",AE346&lt;1),"No",
IF(AND('Data Entry'!$AF$23="ID",E346="Non-standard lighting control system",AD346&lt;1),"No",
IF(AND('Data Entry'!$AF$23="OR",'Proposed Lighting'!F43="Existing LED (Provide Description)",'Proposed Lighting'!AK43=""),"No",
IF('Proposed Lighting'!DD43="Submit Control as Non-Standard","No",
IF(AND('Proposed Lighting'!T43="Non-Standard (Provide Description)",AD346&lt;1),"No",
IF('Proposed Lighting'!AW43&lt;'Proposed Lighting'!AZ43,"No","Yes")))))))</f>
        <v>No</v>
      </c>
      <c r="D346" s="1604">
        <f>'Proposed Lighting'!BQ43-Q346</f>
        <v>0</v>
      </c>
      <c r="E346" s="642" t="str">
        <f>IF('Proposed Lighting'!W43="","",'Proposed Lighting'!W43)</f>
        <v/>
      </c>
      <c r="F346" s="642"/>
      <c r="G346" s="641" t="s">
        <v>786</v>
      </c>
      <c r="H346" s="643">
        <v>10</v>
      </c>
      <c r="I346" s="644">
        <v>1</v>
      </c>
      <c r="J346" s="723">
        <f>IF('Proposed Lighting'!EF43=0,'Proposed Lighting'!AA43,'Proposed Lighting'!EF43)</f>
        <v>0</v>
      </c>
      <c r="K346" s="643" t="str">
        <f>'Proposed Lighting'!CU43</f>
        <v/>
      </c>
      <c r="L346" s="643" t="str">
        <f t="shared" si="75"/>
        <v/>
      </c>
      <c r="M346" s="645">
        <f t="shared" si="80"/>
        <v>0</v>
      </c>
      <c r="N346" s="645"/>
      <c r="O346" s="722">
        <f>IFERROR('Proposed Lighting'!AC43/1000,0)</f>
        <v>0</v>
      </c>
      <c r="P346" s="644">
        <f>'Proposed Lighting'!AV43</f>
        <v>0</v>
      </c>
      <c r="Q346" s="644">
        <f>IF(AND('Proposed Lighting'!T43="Lighting Controls Only",'Data Entry'!$AF$23="OR",'Proposed Lighting'!AU43=2),0,
IF(AND('Proposed Lighting'!T43="Lighting Controls Only",'Data Entry'!$AF$23="OR",'Proposed Lighting'!AU43=3,OR('Proposed Lighting'!W43="ceiling mount",'Proposed Lighting'!W43="wall switch",'Proposed Lighting'!W43="fixture mount (on exisiting equip)",'Proposed Lighting'!W43="daylight harvesting (on existing equip)")),0,
IF('Proposed Lighting'!AF43=1,IF(P346=0,0,J346*O346*(L346*(1-P346))),IF('Proposed Lighting'!AU43=1,0,'Proposed Lighting'!AX43-'Proposed Lighting'!AY43))))</f>
        <v>0</v>
      </c>
      <c r="R346" s="646">
        <f>IF('Proposed Lighting'!T43="Non-standard (provide description",0,
IF(AND(E346="Non-standard control",'Proposed Lighting'!AU43=2),Q346*0.1,
IF(AND(E346="Non-standard control",'Proposed Lighting'!AU43=3),Q346*0.08,
IF('Proposed Lighting'!EF43=0,0,IF('Proposed Lighting'!AU43=1,0,
IF(AND('Data Entry'!$AF$23="ID",'Proposed Lighting'!T43="Lighting controls only"),VLOOKUP(E346,'Proposed Lighting'!$DO$97:$DP$106,2,FALSE),
IF(AND('Data Entry'!$AF$23="OR",'Proposed Lighting'!AU43=3,'Proposed Lighting'!T43="Lighting controls only"),VLOOKUP(E346,'Proposed Lighting'!$DO$127:$DP$134,2,FALSE),0)))))))*J346</f>
        <v>0</v>
      </c>
      <c r="S346" s="646">
        <f>IF(Q346&lt;0.01,0,IF('Proposed Lighting'!AK43&gt;0,'Proposed Lighting'!AK43*'Proposed Lighting'!EF43,0))</f>
        <v>0</v>
      </c>
      <c r="T346" s="647">
        <f t="shared" si="76"/>
        <v>0</v>
      </c>
      <c r="U346" s="648"/>
      <c r="V346" s="646">
        <f t="shared" si="81"/>
        <v>0</v>
      </c>
      <c r="W346" s="646">
        <f t="shared" si="82"/>
        <v>0</v>
      </c>
      <c r="X346" s="646">
        <f t="shared" si="83"/>
        <v>0</v>
      </c>
      <c r="Y346" s="646"/>
      <c r="Z346" s="646"/>
      <c r="AA346" s="646"/>
      <c r="AB346" s="646">
        <f t="shared" si="84"/>
        <v>0</v>
      </c>
      <c r="AC346" s="649" t="str">
        <f t="shared" si="85"/>
        <v/>
      </c>
      <c r="AD346" s="649" t="str">
        <f t="shared" si="86"/>
        <v/>
      </c>
      <c r="AE346" s="649" t="str">
        <f t="shared" si="87"/>
        <v/>
      </c>
      <c r="AF346" s="72"/>
      <c r="AG346" s="644">
        <f>IFERROR(IF($AV346="No",0,IF($AV346="yes",Summary!Q346,"")),"")</f>
        <v>0</v>
      </c>
      <c r="AH346" s="646">
        <f>IFERROR(IF($AV346="No",0,IF($AV346="yes",Summary!R346,"")),"")</f>
        <v>0</v>
      </c>
      <c r="AI346" s="646">
        <f>IFERROR(IF($AV346="No",0,IF($AV346="yes",Summary!S346,"")),"")</f>
        <v>0</v>
      </c>
      <c r="AJ346" s="647">
        <f>IFERROR(IF($AV346="No",0,IF($AV346="yes",Summary!T346,"")),"")</f>
        <v>0</v>
      </c>
      <c r="AK346" s="648">
        <f>IFERROR(IF($AV346="No",0,IF($AV346="yes",Summary!U346,"")),"")</f>
        <v>0</v>
      </c>
      <c r="AL346" s="646">
        <f>IFERROR(IF($AV346="No",0,IF($AV346="yes",Summary!V346,"")),"")</f>
        <v>0</v>
      </c>
      <c r="AM346" s="646">
        <f>IFERROR(IF($AV346="No",0,IF($AV346="yes",Summary!W346,"")),"")</f>
        <v>0</v>
      </c>
      <c r="AN346" s="646">
        <f>IFERROR(IF($AV346="No",0,IF($AV346="yes",Summary!X346,"")),"")</f>
        <v>0</v>
      </c>
      <c r="AO346" s="646">
        <f>IFERROR(IF($AV346="No",0,IF($AV346="yes",Summary!Y346+Z346,"")),"")</f>
        <v>0</v>
      </c>
      <c r="AP346" s="646">
        <f>IFERROR(IF($AV346="No",0,IF($AV346="yes",Summary!AB346,"")),"")</f>
        <v>0</v>
      </c>
      <c r="AQ346" s="649" t="str">
        <f t="shared" si="77"/>
        <v/>
      </c>
      <c r="AR346" s="649" t="str">
        <f t="shared" si="79"/>
        <v/>
      </c>
      <c r="AS346" s="649" t="str">
        <f t="shared" si="78"/>
        <v/>
      </c>
      <c r="AT346" s="641" t="s">
        <v>820</v>
      </c>
      <c r="AV346" t="str">
        <f>IF('Proposed Lighting'!AK43&gt;0,"No","Yes")</f>
        <v>Yes</v>
      </c>
    </row>
    <row r="347" spans="1:48" ht="34.5" customHeight="1" outlineLevel="1">
      <c r="A347" s="641" t="s">
        <v>821</v>
      </c>
      <c r="B347" s="641" t="str">
        <f>IF('Proposed Lighting'!AU44=3,"Commercial-All Com-ExtLight",IF('Proposed Lighting'!AH44&gt;8759,"IPC_8760","Commercial-All Com-IntLight"))</f>
        <v>IPC_8760</v>
      </c>
      <c r="C347" s="641" t="str">
        <f>IF(OR(E347="",E347=0),"No",
IF(AND('Data Entry'!$AF$23="OR",AE347&lt;1),"No",
IF(AND('Data Entry'!$AF$23="ID",E347="Non-standard lighting control system",AD347&lt;1),"No",
IF(AND('Data Entry'!$AF$23="OR",'Proposed Lighting'!F44="Existing LED (Provide Description)",'Proposed Lighting'!AK44=""),"No",
IF('Proposed Lighting'!DD44="Submit Control as Non-Standard","No",
IF(AND('Proposed Lighting'!T44="Non-Standard (Provide Description)",AD347&lt;1),"No",
IF('Proposed Lighting'!AW44&lt;'Proposed Lighting'!AZ44,"No","Yes")))))))</f>
        <v>No</v>
      </c>
      <c r="D347" s="1604">
        <f>'Proposed Lighting'!BQ44-Q347</f>
        <v>0</v>
      </c>
      <c r="E347" s="642" t="str">
        <f>IF('Proposed Lighting'!W44="","",'Proposed Lighting'!W44)</f>
        <v/>
      </c>
      <c r="F347" s="642"/>
      <c r="G347" s="641" t="s">
        <v>786</v>
      </c>
      <c r="H347" s="643">
        <v>10</v>
      </c>
      <c r="I347" s="644">
        <v>1</v>
      </c>
      <c r="J347" s="723">
        <f>IF('Proposed Lighting'!EF44=0,'Proposed Lighting'!AA44,'Proposed Lighting'!EF44)</f>
        <v>0</v>
      </c>
      <c r="K347" s="643" t="str">
        <f>'Proposed Lighting'!CU44</f>
        <v/>
      </c>
      <c r="L347" s="643" t="str">
        <f t="shared" si="75"/>
        <v/>
      </c>
      <c r="M347" s="645">
        <f t="shared" si="80"/>
        <v>0</v>
      </c>
      <c r="N347" s="645"/>
      <c r="O347" s="722">
        <f>IFERROR('Proposed Lighting'!AC44/1000,0)</f>
        <v>0</v>
      </c>
      <c r="P347" s="644">
        <f>'Proposed Lighting'!AV44</f>
        <v>0</v>
      </c>
      <c r="Q347" s="644">
        <f>IF(AND('Proposed Lighting'!T44="Lighting Controls Only",'Data Entry'!$AF$23="OR",'Proposed Lighting'!AU44=2),0,
IF(AND('Proposed Lighting'!T44="Lighting Controls Only",'Data Entry'!$AF$23="OR",'Proposed Lighting'!AU44=3,OR('Proposed Lighting'!W44="ceiling mount",'Proposed Lighting'!W44="wall switch",'Proposed Lighting'!W44="fixture mount (on exisiting equip)",'Proposed Lighting'!W44="daylight harvesting (on existing equip)")),0,
IF('Proposed Lighting'!AF44=1,IF(P347=0,0,J347*O347*(L347*(1-P347))),IF('Proposed Lighting'!AU44=1,0,'Proposed Lighting'!AX44-'Proposed Lighting'!AY44))))</f>
        <v>0</v>
      </c>
      <c r="R347" s="646">
        <f>IF('Proposed Lighting'!T44="Non-standard (provide description",0,
IF(AND(E347="Non-standard control",'Proposed Lighting'!AU44=2),Q347*0.1,
IF(AND(E347="Non-standard control",'Proposed Lighting'!AU44=3),Q347*0.08,
IF('Proposed Lighting'!EF44=0,0,IF('Proposed Lighting'!AU44=1,0,
IF(AND('Data Entry'!$AF$23="ID",'Proposed Lighting'!T44="Lighting controls only"),VLOOKUP(E347,'Proposed Lighting'!$DO$97:$DP$106,2,FALSE),
IF(AND('Data Entry'!$AF$23="OR",'Proposed Lighting'!AU44=3,'Proposed Lighting'!T44="Lighting controls only"),VLOOKUP(E347,'Proposed Lighting'!$DO$127:$DP$134,2,FALSE),0)))))))*J347</f>
        <v>0</v>
      </c>
      <c r="S347" s="646">
        <f>IF(Q347&lt;0.01,0,IF('Proposed Lighting'!AK44&gt;0,'Proposed Lighting'!AK44*'Proposed Lighting'!EF44,0))</f>
        <v>0</v>
      </c>
      <c r="T347" s="647">
        <f t="shared" si="76"/>
        <v>0</v>
      </c>
      <c r="U347" s="648"/>
      <c r="V347" s="646">
        <f t="shared" si="81"/>
        <v>0</v>
      </c>
      <c r="W347" s="646">
        <f t="shared" si="82"/>
        <v>0</v>
      </c>
      <c r="X347" s="646">
        <f t="shared" si="83"/>
        <v>0</v>
      </c>
      <c r="Y347" s="646"/>
      <c r="Z347" s="646"/>
      <c r="AA347" s="646"/>
      <c r="AB347" s="646">
        <f t="shared" si="84"/>
        <v>0</v>
      </c>
      <c r="AC347" s="649" t="str">
        <f t="shared" si="85"/>
        <v/>
      </c>
      <c r="AD347" s="649" t="str">
        <f t="shared" si="86"/>
        <v/>
      </c>
      <c r="AE347" s="649" t="str">
        <f t="shared" si="87"/>
        <v/>
      </c>
      <c r="AF347" s="72"/>
      <c r="AG347" s="644">
        <f>IFERROR(IF($AV347="No",0,IF($AV347="yes",Summary!Q347,"")),"")</f>
        <v>0</v>
      </c>
      <c r="AH347" s="646">
        <f>IFERROR(IF($AV347="No",0,IF($AV347="yes",Summary!R347,"")),"")</f>
        <v>0</v>
      </c>
      <c r="AI347" s="646">
        <f>IFERROR(IF($AV347="No",0,IF($AV347="yes",Summary!S347,"")),"")</f>
        <v>0</v>
      </c>
      <c r="AJ347" s="647">
        <f>IFERROR(IF($AV347="No",0,IF($AV347="yes",Summary!T347,"")),"")</f>
        <v>0</v>
      </c>
      <c r="AK347" s="648">
        <f>IFERROR(IF($AV347="No",0,IF($AV347="yes",Summary!U347,"")),"")</f>
        <v>0</v>
      </c>
      <c r="AL347" s="646">
        <f>IFERROR(IF($AV347="No",0,IF($AV347="yes",Summary!V347,"")),"")</f>
        <v>0</v>
      </c>
      <c r="AM347" s="646">
        <f>IFERROR(IF($AV347="No",0,IF($AV347="yes",Summary!W347,"")),"")</f>
        <v>0</v>
      </c>
      <c r="AN347" s="646">
        <f>IFERROR(IF($AV347="No",0,IF($AV347="yes",Summary!X347,"")),"")</f>
        <v>0</v>
      </c>
      <c r="AO347" s="646">
        <f>IFERROR(IF($AV347="No",0,IF($AV347="yes",Summary!Y347+Z347,"")),"")</f>
        <v>0</v>
      </c>
      <c r="AP347" s="646">
        <f>IFERROR(IF($AV347="No",0,IF($AV347="yes",Summary!AB347,"")),"")</f>
        <v>0</v>
      </c>
      <c r="AQ347" s="649" t="str">
        <f t="shared" si="77"/>
        <v/>
      </c>
      <c r="AR347" s="649" t="str">
        <f t="shared" si="79"/>
        <v/>
      </c>
      <c r="AS347" s="649" t="str">
        <f t="shared" si="78"/>
        <v/>
      </c>
      <c r="AT347" s="641" t="s">
        <v>821</v>
      </c>
      <c r="AV347" t="str">
        <f>IF('Proposed Lighting'!AK44&gt;0,"No","Yes")</f>
        <v>Yes</v>
      </c>
    </row>
    <row r="348" spans="1:48" ht="34.5" customHeight="1" outlineLevel="1">
      <c r="A348" s="641" t="s">
        <v>822</v>
      </c>
      <c r="B348" s="641" t="str">
        <f>IF('Proposed Lighting'!AU45=3,"Commercial-All Com-ExtLight",IF('Proposed Lighting'!AH45&gt;8759,"IPC_8760","Commercial-All Com-IntLight"))</f>
        <v>IPC_8760</v>
      </c>
      <c r="C348" s="641" t="str">
        <f>IF(OR(E348="",E348=0),"No",
IF(AND('Data Entry'!$AF$23="OR",AE348&lt;1),"No",
IF(AND('Data Entry'!$AF$23="ID",E348="Non-standard lighting control system",AD348&lt;1),"No",
IF(AND('Data Entry'!$AF$23="OR",'Proposed Lighting'!F45="Existing LED (Provide Description)",'Proposed Lighting'!AK45=""),"No",
IF('Proposed Lighting'!DD45="Submit Control as Non-Standard","No",
IF(AND('Proposed Lighting'!T45="Non-Standard (Provide Description)",AD348&lt;1),"No",
IF('Proposed Lighting'!AW45&lt;'Proposed Lighting'!AZ45,"No","Yes")))))))</f>
        <v>No</v>
      </c>
      <c r="D348" s="1604">
        <f>'Proposed Lighting'!BQ45-Q348</f>
        <v>0</v>
      </c>
      <c r="E348" s="642" t="str">
        <f>IF('Proposed Lighting'!W45="","",'Proposed Lighting'!W45)</f>
        <v/>
      </c>
      <c r="F348" s="642"/>
      <c r="G348" s="641" t="s">
        <v>786</v>
      </c>
      <c r="H348" s="643">
        <v>10</v>
      </c>
      <c r="I348" s="644">
        <v>1</v>
      </c>
      <c r="J348" s="723">
        <f>IF('Proposed Lighting'!EF45=0,'Proposed Lighting'!AA45,'Proposed Lighting'!EF45)</f>
        <v>0</v>
      </c>
      <c r="K348" s="643" t="str">
        <f>'Proposed Lighting'!CU45</f>
        <v/>
      </c>
      <c r="L348" s="643" t="str">
        <f t="shared" si="75"/>
        <v/>
      </c>
      <c r="M348" s="645">
        <f t="shared" si="80"/>
        <v>0</v>
      </c>
      <c r="N348" s="645"/>
      <c r="O348" s="722">
        <f>IFERROR('Proposed Lighting'!AC45/1000,0)</f>
        <v>0</v>
      </c>
      <c r="P348" s="644">
        <f>'Proposed Lighting'!AV45</f>
        <v>0</v>
      </c>
      <c r="Q348" s="644">
        <f>IF(AND('Proposed Lighting'!T45="Lighting Controls Only",'Data Entry'!$AF$23="OR",'Proposed Lighting'!AU45=2),0,
IF(AND('Proposed Lighting'!T45="Lighting Controls Only",'Data Entry'!$AF$23="OR",'Proposed Lighting'!AU45=3,OR('Proposed Lighting'!W45="ceiling mount",'Proposed Lighting'!W45="wall switch",'Proposed Lighting'!W45="fixture mount (on exisiting equip)",'Proposed Lighting'!W45="daylight harvesting (on existing equip)")),0,
IF('Proposed Lighting'!AF45=1,IF(P348=0,0,J348*O348*(L348*(1-P348))),IF('Proposed Lighting'!AU45=1,0,'Proposed Lighting'!AX45-'Proposed Lighting'!AY45))))</f>
        <v>0</v>
      </c>
      <c r="R348" s="646">
        <f>IF('Proposed Lighting'!T45="Non-standard (provide description",0,
IF(AND(E348="Non-standard control",'Proposed Lighting'!AU45=2),Q348*0.1,
IF(AND(E348="Non-standard control",'Proposed Lighting'!AU45=3),Q348*0.08,
IF('Proposed Lighting'!EF45=0,0,IF('Proposed Lighting'!AU45=1,0,
IF(AND('Data Entry'!$AF$23="ID",'Proposed Lighting'!T45="Lighting controls only"),VLOOKUP(E348,'Proposed Lighting'!$DO$97:$DP$106,2,FALSE),
IF(AND('Data Entry'!$AF$23="OR",'Proposed Lighting'!AU45=3,'Proposed Lighting'!T45="Lighting controls only"),VLOOKUP(E348,'Proposed Lighting'!$DO$127:$DP$134,2,FALSE),0)))))))*J348</f>
        <v>0</v>
      </c>
      <c r="S348" s="646">
        <f>IF(Q348&lt;0.01,0,IF('Proposed Lighting'!AK45&gt;0,'Proposed Lighting'!AK45*'Proposed Lighting'!EF45,0))</f>
        <v>0</v>
      </c>
      <c r="T348" s="647">
        <f t="shared" si="76"/>
        <v>0</v>
      </c>
      <c r="U348" s="648"/>
      <c r="V348" s="646">
        <f t="shared" si="81"/>
        <v>0</v>
      </c>
      <c r="W348" s="646">
        <f t="shared" si="82"/>
        <v>0</v>
      </c>
      <c r="X348" s="646">
        <f t="shared" si="83"/>
        <v>0</v>
      </c>
      <c r="Y348" s="646"/>
      <c r="Z348" s="646"/>
      <c r="AA348" s="646"/>
      <c r="AB348" s="646">
        <f t="shared" si="84"/>
        <v>0</v>
      </c>
      <c r="AC348" s="649" t="str">
        <f t="shared" si="85"/>
        <v/>
      </c>
      <c r="AD348" s="649" t="str">
        <f t="shared" si="86"/>
        <v/>
      </c>
      <c r="AE348" s="649" t="str">
        <f t="shared" si="87"/>
        <v/>
      </c>
      <c r="AF348" s="72"/>
      <c r="AG348" s="644">
        <f>IFERROR(IF($AV348="No",0,IF($AV348="yes",Summary!Q348,"")),"")</f>
        <v>0</v>
      </c>
      <c r="AH348" s="646">
        <f>IFERROR(IF($AV348="No",0,IF($AV348="yes",Summary!R348,"")),"")</f>
        <v>0</v>
      </c>
      <c r="AI348" s="646">
        <f>IFERROR(IF($AV348="No",0,IF($AV348="yes",Summary!S348,"")),"")</f>
        <v>0</v>
      </c>
      <c r="AJ348" s="647">
        <f>IFERROR(IF($AV348="No",0,IF($AV348="yes",Summary!T348,"")),"")</f>
        <v>0</v>
      </c>
      <c r="AK348" s="648">
        <f>IFERROR(IF($AV348="No",0,IF($AV348="yes",Summary!U348,"")),"")</f>
        <v>0</v>
      </c>
      <c r="AL348" s="646">
        <f>IFERROR(IF($AV348="No",0,IF($AV348="yes",Summary!V348,"")),"")</f>
        <v>0</v>
      </c>
      <c r="AM348" s="646">
        <f>IFERROR(IF($AV348="No",0,IF($AV348="yes",Summary!W348,"")),"")</f>
        <v>0</v>
      </c>
      <c r="AN348" s="646">
        <f>IFERROR(IF($AV348="No",0,IF($AV348="yes",Summary!X348,"")),"")</f>
        <v>0</v>
      </c>
      <c r="AO348" s="646">
        <f>IFERROR(IF($AV348="No",0,IF($AV348="yes",Summary!Y348+Z348,"")),"")</f>
        <v>0</v>
      </c>
      <c r="AP348" s="646">
        <f>IFERROR(IF($AV348="No",0,IF($AV348="yes",Summary!AB348,"")),"")</f>
        <v>0</v>
      </c>
      <c r="AQ348" s="649" t="str">
        <f t="shared" si="77"/>
        <v/>
      </c>
      <c r="AR348" s="649" t="str">
        <f t="shared" si="79"/>
        <v/>
      </c>
      <c r="AS348" s="649" t="str">
        <f t="shared" si="78"/>
        <v/>
      </c>
      <c r="AT348" s="641" t="s">
        <v>822</v>
      </c>
      <c r="AV348" t="str">
        <f>IF('Proposed Lighting'!AK45&gt;0,"No","Yes")</f>
        <v>Yes</v>
      </c>
    </row>
    <row r="349" spans="1:48" ht="34.5" customHeight="1" outlineLevel="1">
      <c r="A349" s="641" t="s">
        <v>823</v>
      </c>
      <c r="B349" s="641" t="str">
        <f>IF('Proposed Lighting'!AU46=3,"Commercial-All Com-ExtLight",IF('Proposed Lighting'!AH46&gt;8759,"IPC_8760","Commercial-All Com-IntLight"))</f>
        <v>IPC_8760</v>
      </c>
      <c r="C349" s="641" t="str">
        <f>IF(OR(E349="",E349=0),"No",
IF(AND('Data Entry'!$AF$23="OR",AE349&lt;1),"No",
IF(AND('Data Entry'!$AF$23="ID",E349="Non-standard lighting control system",AD349&lt;1),"No",
IF(AND('Data Entry'!$AF$23="OR",'Proposed Lighting'!F46="Existing LED (Provide Description)",'Proposed Lighting'!AK46=""),"No",
IF('Proposed Lighting'!DD46="Submit Control as Non-Standard","No",
IF(AND('Proposed Lighting'!T46="Non-Standard (Provide Description)",AD349&lt;1),"No",
IF('Proposed Lighting'!AW46&lt;'Proposed Lighting'!AZ46,"No","Yes")))))))</f>
        <v>No</v>
      </c>
      <c r="D349" s="1604">
        <f>'Proposed Lighting'!BQ46-Q349</f>
        <v>0</v>
      </c>
      <c r="E349" s="642" t="str">
        <f>IF('Proposed Lighting'!W46="","",'Proposed Lighting'!W46)</f>
        <v/>
      </c>
      <c r="F349" s="642"/>
      <c r="G349" s="641" t="s">
        <v>786</v>
      </c>
      <c r="H349" s="643">
        <v>10</v>
      </c>
      <c r="I349" s="644">
        <v>1</v>
      </c>
      <c r="J349" s="723">
        <f>IF('Proposed Lighting'!EF46=0,'Proposed Lighting'!AA46,'Proposed Lighting'!EF46)</f>
        <v>0</v>
      </c>
      <c r="K349" s="643" t="str">
        <f>'Proposed Lighting'!CU46</f>
        <v/>
      </c>
      <c r="L349" s="643" t="str">
        <f t="shared" si="75"/>
        <v/>
      </c>
      <c r="M349" s="645">
        <f t="shared" si="80"/>
        <v>0</v>
      </c>
      <c r="N349" s="645"/>
      <c r="O349" s="722">
        <f>IFERROR('Proposed Lighting'!AC46/1000,0)</f>
        <v>0</v>
      </c>
      <c r="P349" s="644">
        <f>'Proposed Lighting'!AV46</f>
        <v>0</v>
      </c>
      <c r="Q349" s="644">
        <f>IF(AND('Proposed Lighting'!T46="Lighting Controls Only",'Data Entry'!$AF$23="OR",'Proposed Lighting'!AU46=2),0,
IF(AND('Proposed Lighting'!T46="Lighting Controls Only",'Data Entry'!$AF$23="OR",'Proposed Lighting'!AU46=3,OR('Proposed Lighting'!W46="ceiling mount",'Proposed Lighting'!W46="wall switch",'Proposed Lighting'!W46="fixture mount (on exisiting equip)",'Proposed Lighting'!W46="daylight harvesting (on existing equip)")),0,
IF('Proposed Lighting'!AF46=1,IF(P349=0,0,J349*O349*(L349*(1-P349))),IF('Proposed Lighting'!AU46=1,0,'Proposed Lighting'!AX46-'Proposed Lighting'!AY46))))</f>
        <v>0</v>
      </c>
      <c r="R349" s="646">
        <f>IF('Proposed Lighting'!T46="Non-standard (provide description",0,
IF(AND(E349="Non-standard control",'Proposed Lighting'!AU46=2),Q349*0.1,
IF(AND(E349="Non-standard control",'Proposed Lighting'!AU46=3),Q349*0.08,
IF('Proposed Lighting'!EF46=0,0,IF('Proposed Lighting'!AU46=1,0,
IF(AND('Data Entry'!$AF$23="ID",'Proposed Lighting'!T46="Lighting controls only"),VLOOKUP(E349,'Proposed Lighting'!$DO$97:$DP$106,2,FALSE),
IF(AND('Data Entry'!$AF$23="OR",'Proposed Lighting'!AU46=3,'Proposed Lighting'!T46="Lighting controls only"),VLOOKUP(E349,'Proposed Lighting'!$DO$127:$DP$134,2,FALSE),0)))))))*J349</f>
        <v>0</v>
      </c>
      <c r="S349" s="646">
        <f>IF(Q349&lt;0.01,0,IF('Proposed Lighting'!AK46&gt;0,'Proposed Lighting'!AK46*'Proposed Lighting'!EF46,0))</f>
        <v>0</v>
      </c>
      <c r="T349" s="647">
        <f t="shared" si="76"/>
        <v>0</v>
      </c>
      <c r="U349" s="648"/>
      <c r="V349" s="646">
        <f t="shared" si="81"/>
        <v>0</v>
      </c>
      <c r="W349" s="646">
        <f t="shared" si="82"/>
        <v>0</v>
      </c>
      <c r="X349" s="646">
        <f t="shared" si="83"/>
        <v>0</v>
      </c>
      <c r="Y349" s="646"/>
      <c r="Z349" s="646"/>
      <c r="AA349" s="646"/>
      <c r="AB349" s="646">
        <f t="shared" si="84"/>
        <v>0</v>
      </c>
      <c r="AC349" s="649" t="str">
        <f t="shared" si="85"/>
        <v/>
      </c>
      <c r="AD349" s="649" t="str">
        <f t="shared" si="86"/>
        <v/>
      </c>
      <c r="AE349" s="649" t="str">
        <f t="shared" si="87"/>
        <v/>
      </c>
      <c r="AF349" s="72"/>
      <c r="AG349" s="644">
        <f>IFERROR(IF($AV349="No",0,IF($AV349="yes",Summary!Q349,"")),"")</f>
        <v>0</v>
      </c>
      <c r="AH349" s="646">
        <f>IFERROR(IF($AV349="No",0,IF($AV349="yes",Summary!R349,"")),"")</f>
        <v>0</v>
      </c>
      <c r="AI349" s="646">
        <f>IFERROR(IF($AV349="No",0,IF($AV349="yes",Summary!S349,"")),"")</f>
        <v>0</v>
      </c>
      <c r="AJ349" s="647">
        <f>IFERROR(IF($AV349="No",0,IF($AV349="yes",Summary!T349,"")),"")</f>
        <v>0</v>
      </c>
      <c r="AK349" s="648">
        <f>IFERROR(IF($AV349="No",0,IF($AV349="yes",Summary!U349,"")),"")</f>
        <v>0</v>
      </c>
      <c r="AL349" s="646">
        <f>IFERROR(IF($AV349="No",0,IF($AV349="yes",Summary!V349,"")),"")</f>
        <v>0</v>
      </c>
      <c r="AM349" s="646">
        <f>IFERROR(IF($AV349="No",0,IF($AV349="yes",Summary!W349,"")),"")</f>
        <v>0</v>
      </c>
      <c r="AN349" s="646">
        <f>IFERROR(IF($AV349="No",0,IF($AV349="yes",Summary!X349,"")),"")</f>
        <v>0</v>
      </c>
      <c r="AO349" s="646">
        <f>IFERROR(IF($AV349="No",0,IF($AV349="yes",Summary!Y349+Z349,"")),"")</f>
        <v>0</v>
      </c>
      <c r="AP349" s="646">
        <f>IFERROR(IF($AV349="No",0,IF($AV349="yes",Summary!AB349,"")),"")</f>
        <v>0</v>
      </c>
      <c r="AQ349" s="649" t="str">
        <f t="shared" si="77"/>
        <v/>
      </c>
      <c r="AR349" s="649" t="str">
        <f t="shared" si="79"/>
        <v/>
      </c>
      <c r="AS349" s="649" t="str">
        <f t="shared" si="78"/>
        <v/>
      </c>
      <c r="AT349" s="641" t="s">
        <v>823</v>
      </c>
      <c r="AV349" t="str">
        <f>IF('Proposed Lighting'!AK46&gt;0,"No","Yes")</f>
        <v>Yes</v>
      </c>
    </row>
    <row r="350" spans="1:48" ht="34.5" customHeight="1" outlineLevel="1">
      <c r="A350" s="641" t="s">
        <v>824</v>
      </c>
      <c r="B350" s="641" t="str">
        <f>IF('Proposed Lighting'!AU47=3,"Commercial-All Com-ExtLight",IF('Proposed Lighting'!AH47&gt;8759,"IPC_8760","Commercial-All Com-IntLight"))</f>
        <v>IPC_8760</v>
      </c>
      <c r="C350" s="641" t="str">
        <f>IF(OR(E350="",E350=0),"No",
IF(AND('Data Entry'!$AF$23="OR",AE350&lt;1),"No",
IF(AND('Data Entry'!$AF$23="ID",E350="Non-standard lighting control system",AD350&lt;1),"No",
IF(AND('Data Entry'!$AF$23="OR",'Proposed Lighting'!F47="Existing LED (Provide Description)",'Proposed Lighting'!AK47=""),"No",
IF('Proposed Lighting'!DD47="Submit Control as Non-Standard","No",
IF(AND('Proposed Lighting'!T47="Non-Standard (Provide Description)",AD350&lt;1),"No",
IF('Proposed Lighting'!AW47&lt;'Proposed Lighting'!AZ47,"No","Yes")))))))</f>
        <v>No</v>
      </c>
      <c r="D350" s="1604">
        <f>'Proposed Lighting'!BQ47-Q350</f>
        <v>0</v>
      </c>
      <c r="E350" s="642" t="str">
        <f>IF('Proposed Lighting'!W47="","",'Proposed Lighting'!W47)</f>
        <v/>
      </c>
      <c r="F350" s="642"/>
      <c r="G350" s="641" t="s">
        <v>786</v>
      </c>
      <c r="H350" s="643">
        <v>10</v>
      </c>
      <c r="I350" s="644">
        <v>1</v>
      </c>
      <c r="J350" s="723">
        <f>IF('Proposed Lighting'!EF47=0,'Proposed Lighting'!AA47,'Proposed Lighting'!EF47)</f>
        <v>0</v>
      </c>
      <c r="K350" s="643" t="str">
        <f>'Proposed Lighting'!CU47</f>
        <v/>
      </c>
      <c r="L350" s="643" t="str">
        <f t="shared" si="75"/>
        <v/>
      </c>
      <c r="M350" s="645">
        <f t="shared" si="80"/>
        <v>0</v>
      </c>
      <c r="N350" s="645"/>
      <c r="O350" s="722">
        <f>IFERROR('Proposed Lighting'!AC47/1000,0)</f>
        <v>0</v>
      </c>
      <c r="P350" s="644">
        <f>'Proposed Lighting'!AV47</f>
        <v>0</v>
      </c>
      <c r="Q350" s="644">
        <f>IF(AND('Proposed Lighting'!T47="Lighting Controls Only",'Data Entry'!$AF$23="OR",'Proposed Lighting'!AU47=2),0,
IF(AND('Proposed Lighting'!T47="Lighting Controls Only",'Data Entry'!$AF$23="OR",'Proposed Lighting'!AU47=3,OR('Proposed Lighting'!W47="ceiling mount",'Proposed Lighting'!W47="wall switch",'Proposed Lighting'!W47="fixture mount (on exisiting equip)",'Proposed Lighting'!W47="daylight harvesting (on existing equip)")),0,
IF('Proposed Lighting'!AF47=1,IF(P350=0,0,J350*O350*(L350*(1-P350))),IF('Proposed Lighting'!AU47=1,0,'Proposed Lighting'!AX47-'Proposed Lighting'!AY47))))</f>
        <v>0</v>
      </c>
      <c r="R350" s="646">
        <f>IF('Proposed Lighting'!T47="Non-standard (provide description",0,
IF(AND(E350="Non-standard control",'Proposed Lighting'!AU47=2),Q350*0.1,
IF(AND(E350="Non-standard control",'Proposed Lighting'!AU47=3),Q350*0.08,
IF('Proposed Lighting'!EF47=0,0,IF('Proposed Lighting'!AU47=1,0,
IF(AND('Data Entry'!$AF$23="ID",'Proposed Lighting'!T47="Lighting controls only"),VLOOKUP(E350,'Proposed Lighting'!$DO$97:$DP$106,2,FALSE),
IF(AND('Data Entry'!$AF$23="OR",'Proposed Lighting'!AU47=3,'Proposed Lighting'!T47="Lighting controls only"),VLOOKUP(E350,'Proposed Lighting'!$DO$127:$DP$134,2,FALSE),0)))))))*J350</f>
        <v>0</v>
      </c>
      <c r="S350" s="646">
        <f>IF(Q350&lt;0.01,0,IF('Proposed Lighting'!AK47&gt;0,'Proposed Lighting'!AK47*'Proposed Lighting'!EF47,0))</f>
        <v>0</v>
      </c>
      <c r="T350" s="647">
        <f t="shared" si="76"/>
        <v>0</v>
      </c>
      <c r="U350" s="648"/>
      <c r="V350" s="646">
        <f t="shared" si="81"/>
        <v>0</v>
      </c>
      <c r="W350" s="646">
        <f t="shared" si="82"/>
        <v>0</v>
      </c>
      <c r="X350" s="646">
        <f t="shared" si="83"/>
        <v>0</v>
      </c>
      <c r="Y350" s="646"/>
      <c r="Z350" s="646"/>
      <c r="AA350" s="646"/>
      <c r="AB350" s="646">
        <f t="shared" si="84"/>
        <v>0</v>
      </c>
      <c r="AC350" s="649" t="str">
        <f t="shared" si="85"/>
        <v/>
      </c>
      <c r="AD350" s="649" t="str">
        <f t="shared" si="86"/>
        <v/>
      </c>
      <c r="AE350" s="649" t="str">
        <f t="shared" si="87"/>
        <v/>
      </c>
      <c r="AF350" s="72"/>
      <c r="AG350" s="644">
        <f>IFERROR(IF($AV350="No",0,IF($AV350="yes",Summary!Q350,"")),"")</f>
        <v>0</v>
      </c>
      <c r="AH350" s="646">
        <f>IFERROR(IF($AV350="No",0,IF($AV350="yes",Summary!R350,"")),"")</f>
        <v>0</v>
      </c>
      <c r="AI350" s="646">
        <f>IFERROR(IF($AV350="No",0,IF($AV350="yes",Summary!S350,"")),"")</f>
        <v>0</v>
      </c>
      <c r="AJ350" s="647">
        <f>IFERROR(IF($AV350="No",0,IF($AV350="yes",Summary!T350,"")),"")</f>
        <v>0</v>
      </c>
      <c r="AK350" s="648">
        <f>IFERROR(IF($AV350="No",0,IF($AV350="yes",Summary!U350,"")),"")</f>
        <v>0</v>
      </c>
      <c r="AL350" s="646">
        <f>IFERROR(IF($AV350="No",0,IF($AV350="yes",Summary!V350,"")),"")</f>
        <v>0</v>
      </c>
      <c r="AM350" s="646">
        <f>IFERROR(IF($AV350="No",0,IF($AV350="yes",Summary!W350,"")),"")</f>
        <v>0</v>
      </c>
      <c r="AN350" s="646">
        <f>IFERROR(IF($AV350="No",0,IF($AV350="yes",Summary!X350,"")),"")</f>
        <v>0</v>
      </c>
      <c r="AO350" s="646">
        <f>IFERROR(IF($AV350="No",0,IF($AV350="yes",Summary!Y350+Z350,"")),"")</f>
        <v>0</v>
      </c>
      <c r="AP350" s="646">
        <f>IFERROR(IF($AV350="No",0,IF($AV350="yes",Summary!AB350,"")),"")</f>
        <v>0</v>
      </c>
      <c r="AQ350" s="649" t="str">
        <f t="shared" si="77"/>
        <v/>
      </c>
      <c r="AR350" s="649" t="str">
        <f t="shared" si="79"/>
        <v/>
      </c>
      <c r="AS350" s="649" t="str">
        <f t="shared" si="78"/>
        <v/>
      </c>
      <c r="AT350" s="641" t="s">
        <v>824</v>
      </c>
      <c r="AV350" t="str">
        <f>IF('Proposed Lighting'!AK47&gt;0,"No","Yes")</f>
        <v>Yes</v>
      </c>
    </row>
    <row r="351" spans="1:48" ht="34.5" customHeight="1" outlineLevel="1">
      <c r="A351" s="641" t="s">
        <v>825</v>
      </c>
      <c r="B351" s="641" t="str">
        <f>IF('Proposed Lighting'!AU48=3,"Commercial-All Com-ExtLight",IF('Proposed Lighting'!AH48&gt;8759,"IPC_8760","Commercial-All Com-IntLight"))</f>
        <v>IPC_8760</v>
      </c>
      <c r="C351" s="641" t="str">
        <f>IF(OR(E351="",E351=0),"No",
IF(AND('Data Entry'!$AF$23="OR",AE351&lt;1),"No",
IF(AND('Data Entry'!$AF$23="ID",E351="Non-standard lighting control system",AD351&lt;1),"No",
IF(AND('Data Entry'!$AF$23="OR",'Proposed Lighting'!F48="Existing LED (Provide Description)",'Proposed Lighting'!AK48=""),"No",
IF('Proposed Lighting'!DD48="Submit Control as Non-Standard","No",
IF(AND('Proposed Lighting'!T48="Non-Standard (Provide Description)",AD351&lt;1),"No",
IF('Proposed Lighting'!AW48&lt;'Proposed Lighting'!AZ48,"No","Yes")))))))</f>
        <v>No</v>
      </c>
      <c r="D351" s="1604">
        <f>'Proposed Lighting'!BQ48-Q351</f>
        <v>0</v>
      </c>
      <c r="E351" s="642" t="str">
        <f>IF('Proposed Lighting'!W48="","",'Proposed Lighting'!W48)</f>
        <v/>
      </c>
      <c r="F351" s="642"/>
      <c r="G351" s="641" t="s">
        <v>786</v>
      </c>
      <c r="H351" s="643">
        <v>10</v>
      </c>
      <c r="I351" s="644">
        <v>1</v>
      </c>
      <c r="J351" s="723">
        <f>IF('Proposed Lighting'!EF48=0,'Proposed Lighting'!AA48,'Proposed Lighting'!EF48)</f>
        <v>0</v>
      </c>
      <c r="K351" s="643" t="str">
        <f>'Proposed Lighting'!CU48</f>
        <v/>
      </c>
      <c r="L351" s="643" t="str">
        <f t="shared" si="75"/>
        <v/>
      </c>
      <c r="M351" s="645">
        <f t="shared" si="80"/>
        <v>0</v>
      </c>
      <c r="N351" s="645"/>
      <c r="O351" s="722">
        <f>IFERROR('Proposed Lighting'!AC48/1000,0)</f>
        <v>0</v>
      </c>
      <c r="P351" s="644">
        <f>'Proposed Lighting'!AV48</f>
        <v>0</v>
      </c>
      <c r="Q351" s="644">
        <f>IF(AND('Proposed Lighting'!T48="Lighting Controls Only",'Data Entry'!$AF$23="OR",'Proposed Lighting'!AU48=2),0,
IF(AND('Proposed Lighting'!T48="Lighting Controls Only",'Data Entry'!$AF$23="OR",'Proposed Lighting'!AU48=3,OR('Proposed Lighting'!W48="ceiling mount",'Proposed Lighting'!W48="wall switch",'Proposed Lighting'!W48="fixture mount (on exisiting equip)",'Proposed Lighting'!W48="daylight harvesting (on existing equip)")),0,
IF('Proposed Lighting'!AF48=1,IF(P351=0,0,J351*O351*(L351*(1-P351))),IF('Proposed Lighting'!AU48=1,0,'Proposed Lighting'!AX48-'Proposed Lighting'!AY48))))</f>
        <v>0</v>
      </c>
      <c r="R351" s="646">
        <f>IF('Proposed Lighting'!T48="Non-standard (provide description",0,
IF(AND(E351="Non-standard control",'Proposed Lighting'!AU48=2),Q351*0.1,
IF(AND(E351="Non-standard control",'Proposed Lighting'!AU48=3),Q351*0.08,
IF('Proposed Lighting'!EF48=0,0,IF('Proposed Lighting'!AU48=1,0,
IF(AND('Data Entry'!$AF$23="ID",'Proposed Lighting'!T48="Lighting controls only"),VLOOKUP(E351,'Proposed Lighting'!$DO$97:$DP$106,2,FALSE),
IF(AND('Data Entry'!$AF$23="OR",'Proposed Lighting'!AU48=3,'Proposed Lighting'!T48="Lighting controls only"),VLOOKUP(E351,'Proposed Lighting'!$DO$127:$DP$134,2,FALSE),0)))))))*J351</f>
        <v>0</v>
      </c>
      <c r="S351" s="646">
        <f>IF(Q351&lt;0.01,0,IF('Proposed Lighting'!AK48&gt;0,'Proposed Lighting'!AK48*'Proposed Lighting'!EF48,0))</f>
        <v>0</v>
      </c>
      <c r="T351" s="647">
        <f t="shared" si="76"/>
        <v>0</v>
      </c>
      <c r="U351" s="648"/>
      <c r="V351" s="646">
        <f t="shared" si="81"/>
        <v>0</v>
      </c>
      <c r="W351" s="646">
        <f t="shared" si="82"/>
        <v>0</v>
      </c>
      <c r="X351" s="646">
        <f t="shared" si="83"/>
        <v>0</v>
      </c>
      <c r="Y351" s="646"/>
      <c r="Z351" s="646"/>
      <c r="AA351" s="646"/>
      <c r="AB351" s="646">
        <f t="shared" si="84"/>
        <v>0</v>
      </c>
      <c r="AC351" s="649" t="str">
        <f t="shared" si="85"/>
        <v/>
      </c>
      <c r="AD351" s="649" t="str">
        <f t="shared" si="86"/>
        <v/>
      </c>
      <c r="AE351" s="649" t="str">
        <f t="shared" si="87"/>
        <v/>
      </c>
      <c r="AF351" s="72"/>
      <c r="AG351" s="644">
        <f>IFERROR(IF($AV351="No",0,IF($AV351="yes",Summary!Q351,"")),"")</f>
        <v>0</v>
      </c>
      <c r="AH351" s="646">
        <f>IFERROR(IF($AV351="No",0,IF($AV351="yes",Summary!R351,"")),"")</f>
        <v>0</v>
      </c>
      <c r="AI351" s="646">
        <f>IFERROR(IF($AV351="No",0,IF($AV351="yes",Summary!S351,"")),"")</f>
        <v>0</v>
      </c>
      <c r="AJ351" s="647">
        <f>IFERROR(IF($AV351="No",0,IF($AV351="yes",Summary!T351,"")),"")</f>
        <v>0</v>
      </c>
      <c r="AK351" s="648">
        <f>IFERROR(IF($AV351="No",0,IF($AV351="yes",Summary!U351,"")),"")</f>
        <v>0</v>
      </c>
      <c r="AL351" s="646">
        <f>IFERROR(IF($AV351="No",0,IF($AV351="yes",Summary!V351,"")),"")</f>
        <v>0</v>
      </c>
      <c r="AM351" s="646">
        <f>IFERROR(IF($AV351="No",0,IF($AV351="yes",Summary!W351,"")),"")</f>
        <v>0</v>
      </c>
      <c r="AN351" s="646">
        <f>IFERROR(IF($AV351="No",0,IF($AV351="yes",Summary!X351,"")),"")</f>
        <v>0</v>
      </c>
      <c r="AO351" s="646">
        <f>IFERROR(IF($AV351="No",0,IF($AV351="yes",Summary!Y351+Z351,"")),"")</f>
        <v>0</v>
      </c>
      <c r="AP351" s="646">
        <f>IFERROR(IF($AV351="No",0,IF($AV351="yes",Summary!AB351,"")),"")</f>
        <v>0</v>
      </c>
      <c r="AQ351" s="649" t="str">
        <f t="shared" si="77"/>
        <v/>
      </c>
      <c r="AR351" s="649" t="str">
        <f t="shared" si="79"/>
        <v/>
      </c>
      <c r="AS351" s="649" t="str">
        <f t="shared" si="78"/>
        <v/>
      </c>
      <c r="AT351" s="641" t="s">
        <v>825</v>
      </c>
      <c r="AV351" t="str">
        <f>IF('Proposed Lighting'!AK48&gt;0,"No","Yes")</f>
        <v>Yes</v>
      </c>
    </row>
    <row r="352" spans="1:48" ht="34.5" customHeight="1" outlineLevel="1">
      <c r="A352" s="641" t="s">
        <v>826</v>
      </c>
      <c r="B352" s="641" t="str">
        <f>IF('Proposed Lighting'!AU49=3,"Commercial-All Com-ExtLight",IF('Proposed Lighting'!AH49&gt;8759,"IPC_8760","Commercial-All Com-IntLight"))</f>
        <v>IPC_8760</v>
      </c>
      <c r="C352" s="641" t="str">
        <f>IF(OR(E352="",E352=0),"No",
IF(AND('Data Entry'!$AF$23="OR",AE352&lt;1),"No",
IF(AND('Data Entry'!$AF$23="ID",E352="Non-standard lighting control system",AD352&lt;1),"No",
IF(AND('Data Entry'!$AF$23="OR",'Proposed Lighting'!F49="Existing LED (Provide Description)",'Proposed Lighting'!AK49=""),"No",
IF('Proposed Lighting'!DD49="Submit Control as Non-Standard","No",
IF(AND('Proposed Lighting'!T49="Non-Standard (Provide Description)",AD352&lt;1),"No",
IF('Proposed Lighting'!AW49&lt;'Proposed Lighting'!AZ49,"No","Yes")))))))</f>
        <v>No</v>
      </c>
      <c r="D352" s="1604">
        <f>'Proposed Lighting'!BQ49-Q352</f>
        <v>0</v>
      </c>
      <c r="E352" s="642" t="str">
        <f>IF('Proposed Lighting'!W49="","",'Proposed Lighting'!W49)</f>
        <v/>
      </c>
      <c r="F352" s="642"/>
      <c r="G352" s="641" t="s">
        <v>786</v>
      </c>
      <c r="H352" s="643">
        <v>10</v>
      </c>
      <c r="I352" s="644">
        <v>1</v>
      </c>
      <c r="J352" s="723">
        <f>IF('Proposed Lighting'!EF49=0,'Proposed Lighting'!AA49,'Proposed Lighting'!EF49)</f>
        <v>0</v>
      </c>
      <c r="K352" s="643" t="str">
        <f>'Proposed Lighting'!CU49</f>
        <v/>
      </c>
      <c r="L352" s="643" t="str">
        <f t="shared" si="75"/>
        <v/>
      </c>
      <c r="M352" s="645">
        <f t="shared" si="80"/>
        <v>0</v>
      </c>
      <c r="N352" s="645"/>
      <c r="O352" s="722">
        <f>IFERROR('Proposed Lighting'!AC49/1000,0)</f>
        <v>0</v>
      </c>
      <c r="P352" s="644">
        <f>'Proposed Lighting'!AV49</f>
        <v>0</v>
      </c>
      <c r="Q352" s="644">
        <f>IF(AND('Proposed Lighting'!T49="Lighting Controls Only",'Data Entry'!$AF$23="OR",'Proposed Lighting'!AU49=2),0,
IF(AND('Proposed Lighting'!T49="Lighting Controls Only",'Data Entry'!$AF$23="OR",'Proposed Lighting'!AU49=3,OR('Proposed Lighting'!W49="ceiling mount",'Proposed Lighting'!W49="wall switch",'Proposed Lighting'!W49="fixture mount (on exisiting equip)",'Proposed Lighting'!W49="daylight harvesting (on existing equip)")),0,
IF('Proposed Lighting'!AF49=1,IF(P352=0,0,J352*O352*(L352*(1-P352))),IF('Proposed Lighting'!AU49=1,0,'Proposed Lighting'!AX49-'Proposed Lighting'!AY49))))</f>
        <v>0</v>
      </c>
      <c r="R352" s="646">
        <f>IF('Proposed Lighting'!T49="Non-standard (provide description",0,
IF(AND(E352="Non-standard control",'Proposed Lighting'!AU49=2),Q352*0.1,
IF(AND(E352="Non-standard control",'Proposed Lighting'!AU49=3),Q352*0.08,
IF('Proposed Lighting'!EF49=0,0,IF('Proposed Lighting'!AU49=1,0,
IF(AND('Data Entry'!$AF$23="ID",'Proposed Lighting'!T49="Lighting controls only"),VLOOKUP(E352,'Proposed Lighting'!$DO$97:$DP$106,2,FALSE),
IF(AND('Data Entry'!$AF$23="OR",'Proposed Lighting'!AU49=3,'Proposed Lighting'!T49="Lighting controls only"),VLOOKUP(E352,'Proposed Lighting'!$DO$127:$DP$134,2,FALSE),0)))))))*J352</f>
        <v>0</v>
      </c>
      <c r="S352" s="646">
        <f>IF(Q352&lt;0.01,0,IF('Proposed Lighting'!AK49&gt;0,'Proposed Lighting'!AK49*'Proposed Lighting'!EF49,0))</f>
        <v>0</v>
      </c>
      <c r="T352" s="647">
        <f t="shared" si="76"/>
        <v>0</v>
      </c>
      <c r="U352" s="648"/>
      <c r="V352" s="646">
        <f t="shared" si="81"/>
        <v>0</v>
      </c>
      <c r="W352" s="646">
        <f t="shared" si="82"/>
        <v>0</v>
      </c>
      <c r="X352" s="646">
        <f t="shared" si="83"/>
        <v>0</v>
      </c>
      <c r="Y352" s="646"/>
      <c r="Z352" s="646"/>
      <c r="AA352" s="646"/>
      <c r="AB352" s="646">
        <f t="shared" si="84"/>
        <v>0</v>
      </c>
      <c r="AC352" s="649" t="str">
        <f t="shared" si="85"/>
        <v/>
      </c>
      <c r="AD352" s="649" t="str">
        <f t="shared" si="86"/>
        <v/>
      </c>
      <c r="AE352" s="649" t="str">
        <f t="shared" si="87"/>
        <v/>
      </c>
      <c r="AF352" s="72"/>
      <c r="AG352" s="644">
        <f>IFERROR(IF($AV352="No",0,IF($AV352="yes",Summary!Q352,"")),"")</f>
        <v>0</v>
      </c>
      <c r="AH352" s="646">
        <f>IFERROR(IF($AV352="No",0,IF($AV352="yes",Summary!R352,"")),"")</f>
        <v>0</v>
      </c>
      <c r="AI352" s="646">
        <f>IFERROR(IF($AV352="No",0,IF($AV352="yes",Summary!S352,"")),"")</f>
        <v>0</v>
      </c>
      <c r="AJ352" s="647">
        <f>IFERROR(IF($AV352="No",0,IF($AV352="yes",Summary!T352,"")),"")</f>
        <v>0</v>
      </c>
      <c r="AK352" s="648">
        <f>IFERROR(IF($AV352="No",0,IF($AV352="yes",Summary!U352,"")),"")</f>
        <v>0</v>
      </c>
      <c r="AL352" s="646">
        <f>IFERROR(IF($AV352="No",0,IF($AV352="yes",Summary!V352,"")),"")</f>
        <v>0</v>
      </c>
      <c r="AM352" s="646">
        <f>IFERROR(IF($AV352="No",0,IF($AV352="yes",Summary!W352,"")),"")</f>
        <v>0</v>
      </c>
      <c r="AN352" s="646">
        <f>IFERROR(IF($AV352="No",0,IF($AV352="yes",Summary!X352,"")),"")</f>
        <v>0</v>
      </c>
      <c r="AO352" s="646">
        <f>IFERROR(IF($AV352="No",0,IF($AV352="yes",Summary!Y352+Z352,"")),"")</f>
        <v>0</v>
      </c>
      <c r="AP352" s="646">
        <f>IFERROR(IF($AV352="No",0,IF($AV352="yes",Summary!AB352,"")),"")</f>
        <v>0</v>
      </c>
      <c r="AQ352" s="649" t="str">
        <f t="shared" si="77"/>
        <v/>
      </c>
      <c r="AR352" s="649" t="str">
        <f t="shared" si="79"/>
        <v/>
      </c>
      <c r="AS352" s="649" t="str">
        <f t="shared" si="78"/>
        <v/>
      </c>
      <c r="AT352" s="641" t="s">
        <v>826</v>
      </c>
      <c r="AV352" t="str">
        <f>IF('Proposed Lighting'!AK49&gt;0,"No","Yes")</f>
        <v>Yes</v>
      </c>
    </row>
    <row r="353" spans="1:48" ht="34.5" customHeight="1" outlineLevel="1">
      <c r="A353" s="641" t="s">
        <v>827</v>
      </c>
      <c r="B353" s="641" t="str">
        <f>IF('Proposed Lighting'!AU50=3,"Commercial-All Com-ExtLight",IF('Proposed Lighting'!AH50&gt;8759,"IPC_8760","Commercial-All Com-IntLight"))</f>
        <v>IPC_8760</v>
      </c>
      <c r="C353" s="641" t="str">
        <f>IF(OR(E353="",E353=0),"No",
IF(AND('Data Entry'!$AF$23="OR",AE353&lt;1),"No",
IF(AND('Data Entry'!$AF$23="ID",E353="Non-standard lighting control system",AD353&lt;1),"No",
IF(AND('Data Entry'!$AF$23="OR",'Proposed Lighting'!F50="Existing LED (Provide Description)",'Proposed Lighting'!AK50=""),"No",
IF('Proposed Lighting'!DD50="Submit Control as Non-Standard","No",
IF(AND('Proposed Lighting'!T50="Non-Standard (Provide Description)",AD353&lt;1),"No",
IF('Proposed Lighting'!AW50&lt;'Proposed Lighting'!AZ50,"No","Yes")))))))</f>
        <v>No</v>
      </c>
      <c r="D353" s="1604">
        <f>'Proposed Lighting'!BQ50-Q353</f>
        <v>0</v>
      </c>
      <c r="E353" s="642" t="str">
        <f>IF('Proposed Lighting'!W50="","",'Proposed Lighting'!W50)</f>
        <v/>
      </c>
      <c r="F353" s="642"/>
      <c r="G353" s="641" t="s">
        <v>786</v>
      </c>
      <c r="H353" s="643">
        <v>10</v>
      </c>
      <c r="I353" s="644">
        <v>1</v>
      </c>
      <c r="J353" s="723">
        <f>IF('Proposed Lighting'!EF50=0,'Proposed Lighting'!AA50,'Proposed Lighting'!EF50)</f>
        <v>0</v>
      </c>
      <c r="K353" s="643" t="str">
        <f>'Proposed Lighting'!CU50</f>
        <v/>
      </c>
      <c r="L353" s="643" t="str">
        <f t="shared" si="75"/>
        <v/>
      </c>
      <c r="M353" s="645">
        <f t="shared" si="80"/>
        <v>0</v>
      </c>
      <c r="N353" s="645"/>
      <c r="O353" s="722">
        <f>IFERROR('Proposed Lighting'!AC50/1000,0)</f>
        <v>0</v>
      </c>
      <c r="P353" s="644">
        <f>'Proposed Lighting'!AV50</f>
        <v>0</v>
      </c>
      <c r="Q353" s="644">
        <f>IF(AND('Proposed Lighting'!T50="Lighting Controls Only",'Data Entry'!$AF$23="OR",'Proposed Lighting'!AU50=2),0,
IF(AND('Proposed Lighting'!T50="Lighting Controls Only",'Data Entry'!$AF$23="OR",'Proposed Lighting'!AU50=3,OR('Proposed Lighting'!W50="ceiling mount",'Proposed Lighting'!W50="wall switch",'Proposed Lighting'!W50="fixture mount (on exisiting equip)",'Proposed Lighting'!W50="daylight harvesting (on existing equip)")),0,
IF('Proposed Lighting'!AF50=1,IF(P353=0,0,J353*O353*(L353*(1-P353))),IF('Proposed Lighting'!AU50=1,0,'Proposed Lighting'!AX50-'Proposed Lighting'!AY50))))</f>
        <v>0</v>
      </c>
      <c r="R353" s="646">
        <f>IF('Proposed Lighting'!T50="Non-standard (provide description",0,
IF(AND(E353="Non-standard control",'Proposed Lighting'!AU50=2),Q353*0.1,
IF(AND(E353="Non-standard control",'Proposed Lighting'!AU50=3),Q353*0.08,
IF('Proposed Lighting'!EF50=0,0,IF('Proposed Lighting'!AU50=1,0,
IF(AND('Data Entry'!$AF$23="ID",'Proposed Lighting'!T50="Lighting controls only"),VLOOKUP(E353,'Proposed Lighting'!$DO$97:$DP$106,2,FALSE),
IF(AND('Data Entry'!$AF$23="OR",'Proposed Lighting'!AU50=3,'Proposed Lighting'!T50="Lighting controls only"),VLOOKUP(E353,'Proposed Lighting'!$DO$127:$DP$134,2,FALSE),0)))))))*J353</f>
        <v>0</v>
      </c>
      <c r="S353" s="646">
        <f>IF(Q353&lt;0.01,0,IF('Proposed Lighting'!AK50&gt;0,'Proposed Lighting'!AK50*'Proposed Lighting'!EF50,0))</f>
        <v>0</v>
      </c>
      <c r="T353" s="647">
        <f t="shared" si="76"/>
        <v>0</v>
      </c>
      <c r="U353" s="648"/>
      <c r="V353" s="646">
        <f t="shared" si="81"/>
        <v>0</v>
      </c>
      <c r="W353" s="646">
        <f t="shared" si="82"/>
        <v>0</v>
      </c>
      <c r="X353" s="646">
        <f t="shared" si="83"/>
        <v>0</v>
      </c>
      <c r="Y353" s="646"/>
      <c r="Z353" s="646"/>
      <c r="AA353" s="646"/>
      <c r="AB353" s="646">
        <f t="shared" si="84"/>
        <v>0</v>
      </c>
      <c r="AC353" s="649" t="str">
        <f t="shared" si="85"/>
        <v/>
      </c>
      <c r="AD353" s="649" t="str">
        <f t="shared" si="86"/>
        <v/>
      </c>
      <c r="AE353" s="649" t="str">
        <f t="shared" si="87"/>
        <v/>
      </c>
      <c r="AF353" s="72"/>
      <c r="AG353" s="644">
        <f>IFERROR(IF($AV353="No",0,IF($AV353="yes",Summary!Q353,"")),"")</f>
        <v>0</v>
      </c>
      <c r="AH353" s="646">
        <f>IFERROR(IF($AV353="No",0,IF($AV353="yes",Summary!R353,"")),"")</f>
        <v>0</v>
      </c>
      <c r="AI353" s="646">
        <f>IFERROR(IF($AV353="No",0,IF($AV353="yes",Summary!S353,"")),"")</f>
        <v>0</v>
      </c>
      <c r="AJ353" s="647">
        <f>IFERROR(IF($AV353="No",0,IF($AV353="yes",Summary!T353,"")),"")</f>
        <v>0</v>
      </c>
      <c r="AK353" s="648">
        <f>IFERROR(IF($AV353="No",0,IF($AV353="yes",Summary!U353,"")),"")</f>
        <v>0</v>
      </c>
      <c r="AL353" s="646">
        <f>IFERROR(IF($AV353="No",0,IF($AV353="yes",Summary!V353,"")),"")</f>
        <v>0</v>
      </c>
      <c r="AM353" s="646">
        <f>IFERROR(IF($AV353="No",0,IF($AV353="yes",Summary!W353,"")),"")</f>
        <v>0</v>
      </c>
      <c r="AN353" s="646">
        <f>IFERROR(IF($AV353="No",0,IF($AV353="yes",Summary!X353,"")),"")</f>
        <v>0</v>
      </c>
      <c r="AO353" s="646">
        <f>IFERROR(IF($AV353="No",0,IF($AV353="yes",Summary!Y353+Z353,"")),"")</f>
        <v>0</v>
      </c>
      <c r="AP353" s="646">
        <f>IFERROR(IF($AV353="No",0,IF($AV353="yes",Summary!AB353,"")),"")</f>
        <v>0</v>
      </c>
      <c r="AQ353" s="649" t="str">
        <f t="shared" si="77"/>
        <v/>
      </c>
      <c r="AR353" s="649" t="str">
        <f t="shared" si="79"/>
        <v/>
      </c>
      <c r="AS353" s="649" t="str">
        <f t="shared" si="78"/>
        <v/>
      </c>
      <c r="AT353" s="641" t="s">
        <v>827</v>
      </c>
      <c r="AV353" t="str">
        <f>IF('Proposed Lighting'!AK50&gt;0,"No","Yes")</f>
        <v>Yes</v>
      </c>
    </row>
    <row r="354" spans="1:48" ht="34.5" customHeight="1" outlineLevel="1">
      <c r="A354" s="641" t="s">
        <v>828</v>
      </c>
      <c r="B354" s="641" t="str">
        <f>IF('Proposed Lighting'!AU51=3,"Commercial-All Com-ExtLight",IF('Proposed Lighting'!AH51&gt;8759,"IPC_8760","Commercial-All Com-IntLight"))</f>
        <v>IPC_8760</v>
      </c>
      <c r="C354" s="641" t="str">
        <f>IF(OR(E354="",E354=0),"No",
IF(AND('Data Entry'!$AF$23="OR",AE354&lt;1),"No",
IF(AND('Data Entry'!$AF$23="ID",E354="Non-standard lighting control system",AD354&lt;1),"No",
IF(AND('Data Entry'!$AF$23="OR",'Proposed Lighting'!F51="Existing LED (Provide Description)",'Proposed Lighting'!AK51=""),"No",
IF('Proposed Lighting'!DD51="Submit Control as Non-Standard","No",
IF(AND('Proposed Lighting'!T51="Non-Standard (Provide Description)",AD354&lt;1),"No",
IF('Proposed Lighting'!AW51&lt;'Proposed Lighting'!AZ51,"No","Yes")))))))</f>
        <v>No</v>
      </c>
      <c r="D354" s="1604">
        <f>'Proposed Lighting'!BQ51-Q354</f>
        <v>0</v>
      </c>
      <c r="E354" s="642" t="str">
        <f>IF('Proposed Lighting'!W51="","",'Proposed Lighting'!W51)</f>
        <v/>
      </c>
      <c r="F354" s="642"/>
      <c r="G354" s="641" t="s">
        <v>786</v>
      </c>
      <c r="H354" s="643">
        <v>10</v>
      </c>
      <c r="I354" s="644">
        <v>1</v>
      </c>
      <c r="J354" s="723">
        <f>IF('Proposed Lighting'!EF51=0,'Proposed Lighting'!AA51,'Proposed Lighting'!EF51)</f>
        <v>0</v>
      </c>
      <c r="K354" s="643" t="str">
        <f>'Proposed Lighting'!CU51</f>
        <v/>
      </c>
      <c r="L354" s="643" t="str">
        <f t="shared" si="75"/>
        <v/>
      </c>
      <c r="M354" s="645">
        <f t="shared" si="80"/>
        <v>0</v>
      </c>
      <c r="N354" s="645"/>
      <c r="O354" s="722">
        <f>IFERROR('Proposed Lighting'!AC51/1000,0)</f>
        <v>0</v>
      </c>
      <c r="P354" s="644">
        <f>'Proposed Lighting'!AV51</f>
        <v>0</v>
      </c>
      <c r="Q354" s="644">
        <f>IF(AND('Proposed Lighting'!T51="Lighting Controls Only",'Data Entry'!$AF$23="OR",'Proposed Lighting'!AU51=2),0,
IF(AND('Proposed Lighting'!T51="Lighting Controls Only",'Data Entry'!$AF$23="OR",'Proposed Lighting'!AU51=3,OR('Proposed Lighting'!W51="ceiling mount",'Proposed Lighting'!W51="wall switch",'Proposed Lighting'!W51="fixture mount (on exisiting equip)",'Proposed Lighting'!W51="daylight harvesting (on existing equip)")),0,
IF('Proposed Lighting'!AF51=1,IF(P354=0,0,J354*O354*(L354*(1-P354))),IF('Proposed Lighting'!AU51=1,0,'Proposed Lighting'!AX51-'Proposed Lighting'!AY51))))</f>
        <v>0</v>
      </c>
      <c r="R354" s="646">
        <f>IF('Proposed Lighting'!T51="Non-standard (provide description",0,
IF(AND(E354="Non-standard control",'Proposed Lighting'!AU51=2),Q354*0.1,
IF(AND(E354="Non-standard control",'Proposed Lighting'!AU51=3),Q354*0.08,
IF('Proposed Lighting'!EF51=0,0,IF('Proposed Lighting'!AU51=1,0,
IF(AND('Data Entry'!$AF$23="ID",'Proposed Lighting'!T51="Lighting controls only"),VLOOKUP(E354,'Proposed Lighting'!$DO$97:$DP$106,2,FALSE),
IF(AND('Data Entry'!$AF$23="OR",'Proposed Lighting'!AU51=3,'Proposed Lighting'!T51="Lighting controls only"),VLOOKUP(E354,'Proposed Lighting'!$DO$127:$DP$134,2,FALSE),0)))))))*J354</f>
        <v>0</v>
      </c>
      <c r="S354" s="646">
        <f>IF(Q354&lt;0.01,0,IF('Proposed Lighting'!AK51&gt;0,'Proposed Lighting'!AK51*'Proposed Lighting'!EF51,0))</f>
        <v>0</v>
      </c>
      <c r="T354" s="647">
        <f t="shared" si="76"/>
        <v>0</v>
      </c>
      <c r="U354" s="648"/>
      <c r="V354" s="646">
        <f t="shared" si="81"/>
        <v>0</v>
      </c>
      <c r="W354" s="646">
        <f t="shared" si="82"/>
        <v>0</v>
      </c>
      <c r="X354" s="646">
        <f t="shared" si="83"/>
        <v>0</v>
      </c>
      <c r="Y354" s="646"/>
      <c r="Z354" s="646"/>
      <c r="AA354" s="646"/>
      <c r="AB354" s="646">
        <f t="shared" si="84"/>
        <v>0</v>
      </c>
      <c r="AC354" s="649" t="str">
        <f t="shared" si="85"/>
        <v/>
      </c>
      <c r="AD354" s="649" t="str">
        <f t="shared" si="86"/>
        <v/>
      </c>
      <c r="AE354" s="649" t="str">
        <f t="shared" si="87"/>
        <v/>
      </c>
      <c r="AF354" s="72"/>
      <c r="AG354" s="644">
        <f>IFERROR(IF($AV354="No",0,IF($AV354="yes",Summary!Q354,"")),"")</f>
        <v>0</v>
      </c>
      <c r="AH354" s="646">
        <f>IFERROR(IF($AV354="No",0,IF($AV354="yes",Summary!R354,"")),"")</f>
        <v>0</v>
      </c>
      <c r="AI354" s="646">
        <f>IFERROR(IF($AV354="No",0,IF($AV354="yes",Summary!S354,"")),"")</f>
        <v>0</v>
      </c>
      <c r="AJ354" s="647">
        <f>IFERROR(IF($AV354="No",0,IF($AV354="yes",Summary!T354,"")),"")</f>
        <v>0</v>
      </c>
      <c r="AK354" s="648">
        <f>IFERROR(IF($AV354="No",0,IF($AV354="yes",Summary!U354,"")),"")</f>
        <v>0</v>
      </c>
      <c r="AL354" s="646">
        <f>IFERROR(IF($AV354="No",0,IF($AV354="yes",Summary!V354,"")),"")</f>
        <v>0</v>
      </c>
      <c r="AM354" s="646">
        <f>IFERROR(IF($AV354="No",0,IF($AV354="yes",Summary!W354,"")),"")</f>
        <v>0</v>
      </c>
      <c r="AN354" s="646">
        <f>IFERROR(IF($AV354="No",0,IF($AV354="yes",Summary!X354,"")),"")</f>
        <v>0</v>
      </c>
      <c r="AO354" s="646">
        <f>IFERROR(IF($AV354="No",0,IF($AV354="yes",Summary!Y354+Z354,"")),"")</f>
        <v>0</v>
      </c>
      <c r="AP354" s="646">
        <f>IFERROR(IF($AV354="No",0,IF($AV354="yes",Summary!AB354,"")),"")</f>
        <v>0</v>
      </c>
      <c r="AQ354" s="649" t="str">
        <f t="shared" si="77"/>
        <v/>
      </c>
      <c r="AR354" s="649" t="str">
        <f t="shared" si="79"/>
        <v/>
      </c>
      <c r="AS354" s="649" t="str">
        <f t="shared" si="78"/>
        <v/>
      </c>
      <c r="AT354" s="641" t="s">
        <v>828</v>
      </c>
      <c r="AV354" t="str">
        <f>IF('Proposed Lighting'!AK51&gt;0,"No","Yes")</f>
        <v>Yes</v>
      </c>
    </row>
    <row r="355" spans="1:48" ht="34.5" customHeight="1" outlineLevel="1">
      <c r="A355" s="641" t="s">
        <v>829</v>
      </c>
      <c r="B355" s="641" t="str">
        <f>IF('Proposed Lighting'!AU52=3,"Commercial-All Com-ExtLight",IF('Proposed Lighting'!AH52&gt;8759,"IPC_8760","Commercial-All Com-IntLight"))</f>
        <v>IPC_8760</v>
      </c>
      <c r="C355" s="641" t="str">
        <f>IF(OR(E355="",E355=0),"No",
IF(AND('Data Entry'!$AF$23="OR",AE355&lt;1),"No",
IF(AND('Data Entry'!$AF$23="ID",E355="Non-standard lighting control system",AD355&lt;1),"No",
IF(AND('Data Entry'!$AF$23="OR",'Proposed Lighting'!F52="Existing LED (Provide Description)",'Proposed Lighting'!AK52=""),"No",
IF('Proposed Lighting'!DD52="Submit Control as Non-Standard","No",
IF(AND('Proposed Lighting'!T52="Non-Standard (Provide Description)",AD355&lt;1),"No",
IF('Proposed Lighting'!AW52&lt;'Proposed Lighting'!AZ52,"No","Yes")))))))</f>
        <v>No</v>
      </c>
      <c r="D355" s="1604">
        <f>'Proposed Lighting'!BQ52-Q355</f>
        <v>0</v>
      </c>
      <c r="E355" s="642" t="str">
        <f>IF('Proposed Lighting'!W52="","",'Proposed Lighting'!W52)</f>
        <v/>
      </c>
      <c r="F355" s="642"/>
      <c r="G355" s="641" t="s">
        <v>786</v>
      </c>
      <c r="H355" s="643">
        <v>10</v>
      </c>
      <c r="I355" s="644">
        <v>1</v>
      </c>
      <c r="J355" s="723">
        <f>IF('Proposed Lighting'!EF52=0,'Proposed Lighting'!AA52,'Proposed Lighting'!EF52)</f>
        <v>0</v>
      </c>
      <c r="K355" s="643" t="str">
        <f>'Proposed Lighting'!CU52</f>
        <v/>
      </c>
      <c r="L355" s="643" t="str">
        <f t="shared" si="75"/>
        <v/>
      </c>
      <c r="M355" s="645">
        <f t="shared" si="80"/>
        <v>0</v>
      </c>
      <c r="N355" s="645"/>
      <c r="O355" s="722">
        <f>IFERROR('Proposed Lighting'!AC52/1000,0)</f>
        <v>0</v>
      </c>
      <c r="P355" s="644">
        <f>'Proposed Lighting'!AV52</f>
        <v>0</v>
      </c>
      <c r="Q355" s="644">
        <f>IF(AND('Proposed Lighting'!T52="Lighting Controls Only",'Data Entry'!$AF$23="OR",'Proposed Lighting'!AU52=2),0,
IF(AND('Proposed Lighting'!T52="Lighting Controls Only",'Data Entry'!$AF$23="OR",'Proposed Lighting'!AU52=3,OR('Proposed Lighting'!W52="ceiling mount",'Proposed Lighting'!W52="wall switch",'Proposed Lighting'!W52="fixture mount (on exisiting equip)",'Proposed Lighting'!W52="daylight harvesting (on existing equip)")),0,
IF('Proposed Lighting'!AF52=1,IF(P355=0,0,J355*O355*(L355*(1-P355))),IF('Proposed Lighting'!AU52=1,0,'Proposed Lighting'!AX52-'Proposed Lighting'!AY52))))</f>
        <v>0</v>
      </c>
      <c r="R355" s="646">
        <f>IF('Proposed Lighting'!T52="Non-standard (provide description",0,
IF(AND(E355="Non-standard control",'Proposed Lighting'!AU52=2),Q355*0.1,
IF(AND(E355="Non-standard control",'Proposed Lighting'!AU52=3),Q355*0.08,
IF('Proposed Lighting'!EF52=0,0,IF('Proposed Lighting'!AU52=1,0,
IF(AND('Data Entry'!$AF$23="ID",'Proposed Lighting'!T52="Lighting controls only"),VLOOKUP(E355,'Proposed Lighting'!$DO$97:$DP$106,2,FALSE),
IF(AND('Data Entry'!$AF$23="OR",'Proposed Lighting'!AU52=3,'Proposed Lighting'!T52="Lighting controls only"),VLOOKUP(E355,'Proposed Lighting'!$DO$127:$DP$134,2,FALSE),0)))))))*J355</f>
        <v>0</v>
      </c>
      <c r="S355" s="646">
        <f>IF(Q355&lt;0.01,0,IF('Proposed Lighting'!AK52&gt;0,'Proposed Lighting'!AK52*'Proposed Lighting'!EF52,0))</f>
        <v>0</v>
      </c>
      <c r="T355" s="647">
        <f t="shared" si="76"/>
        <v>0</v>
      </c>
      <c r="U355" s="648"/>
      <c r="V355" s="646">
        <f t="shared" si="81"/>
        <v>0</v>
      </c>
      <c r="W355" s="646">
        <f t="shared" si="82"/>
        <v>0</v>
      </c>
      <c r="X355" s="646">
        <f t="shared" si="83"/>
        <v>0</v>
      </c>
      <c r="Y355" s="646"/>
      <c r="Z355" s="646"/>
      <c r="AA355" s="646"/>
      <c r="AB355" s="646">
        <f t="shared" si="84"/>
        <v>0</v>
      </c>
      <c r="AC355" s="649" t="str">
        <f t="shared" si="85"/>
        <v/>
      </c>
      <c r="AD355" s="649" t="str">
        <f t="shared" si="86"/>
        <v/>
      </c>
      <c r="AE355" s="649" t="str">
        <f t="shared" si="87"/>
        <v/>
      </c>
      <c r="AF355" s="72"/>
      <c r="AG355" s="644">
        <f>IFERROR(IF($AV355="No",0,IF($AV355="yes",Summary!Q355,"")),"")</f>
        <v>0</v>
      </c>
      <c r="AH355" s="646">
        <f>IFERROR(IF($AV355="No",0,IF($AV355="yes",Summary!R355,"")),"")</f>
        <v>0</v>
      </c>
      <c r="AI355" s="646">
        <f>IFERROR(IF($AV355="No",0,IF($AV355="yes",Summary!S355,"")),"")</f>
        <v>0</v>
      </c>
      <c r="AJ355" s="647">
        <f>IFERROR(IF($AV355="No",0,IF($AV355="yes",Summary!T355,"")),"")</f>
        <v>0</v>
      </c>
      <c r="AK355" s="648">
        <f>IFERROR(IF($AV355="No",0,IF($AV355="yes",Summary!U355,"")),"")</f>
        <v>0</v>
      </c>
      <c r="AL355" s="646">
        <f>IFERROR(IF($AV355="No",0,IF($AV355="yes",Summary!V355,"")),"")</f>
        <v>0</v>
      </c>
      <c r="AM355" s="646">
        <f>IFERROR(IF($AV355="No",0,IF($AV355="yes",Summary!W355,"")),"")</f>
        <v>0</v>
      </c>
      <c r="AN355" s="646">
        <f>IFERROR(IF($AV355="No",0,IF($AV355="yes",Summary!X355,"")),"")</f>
        <v>0</v>
      </c>
      <c r="AO355" s="646">
        <f>IFERROR(IF($AV355="No",0,IF($AV355="yes",Summary!Y355+Z355,"")),"")</f>
        <v>0</v>
      </c>
      <c r="AP355" s="646">
        <f>IFERROR(IF($AV355="No",0,IF($AV355="yes",Summary!AB355,"")),"")</f>
        <v>0</v>
      </c>
      <c r="AQ355" s="649" t="str">
        <f t="shared" si="77"/>
        <v/>
      </c>
      <c r="AR355" s="649" t="str">
        <f t="shared" si="79"/>
        <v/>
      </c>
      <c r="AS355" s="649" t="str">
        <f t="shared" si="78"/>
        <v/>
      </c>
      <c r="AT355" s="641" t="s">
        <v>829</v>
      </c>
      <c r="AV355" t="str">
        <f>IF('Proposed Lighting'!AK52&gt;0,"No","Yes")</f>
        <v>Yes</v>
      </c>
    </row>
    <row r="356" spans="1:48" ht="34.5" customHeight="1" outlineLevel="1">
      <c r="A356" s="641" t="s">
        <v>830</v>
      </c>
      <c r="B356" s="641" t="str">
        <f>IF('Proposed Lighting'!AU53=3,"Commercial-All Com-ExtLight",IF('Proposed Lighting'!AH53&gt;8759,"IPC_8760","Commercial-All Com-IntLight"))</f>
        <v>IPC_8760</v>
      </c>
      <c r="C356" s="641" t="str">
        <f>IF(OR(E356="",E356=0),"No",
IF(AND('Data Entry'!$AF$23="OR",AE356&lt;1),"No",
IF(AND('Data Entry'!$AF$23="ID",E356="Non-standard lighting control system",AD356&lt;1),"No",
IF(AND('Data Entry'!$AF$23="OR",'Proposed Lighting'!F53="Existing LED (Provide Description)",'Proposed Lighting'!AK53=""),"No",
IF('Proposed Lighting'!DD53="Submit Control as Non-Standard","No",
IF(AND('Proposed Lighting'!T53="Non-Standard (Provide Description)",AD356&lt;1),"No",
IF('Proposed Lighting'!AW53&lt;'Proposed Lighting'!AZ53,"No","Yes")))))))</f>
        <v>No</v>
      </c>
      <c r="D356" s="1604">
        <f>'Proposed Lighting'!BQ53-Q356</f>
        <v>0</v>
      </c>
      <c r="E356" s="642" t="str">
        <f>IF('Proposed Lighting'!W53="","",'Proposed Lighting'!W53)</f>
        <v/>
      </c>
      <c r="F356" s="642"/>
      <c r="G356" s="641" t="s">
        <v>786</v>
      </c>
      <c r="H356" s="643">
        <v>10</v>
      </c>
      <c r="I356" s="644">
        <v>1</v>
      </c>
      <c r="J356" s="723">
        <f>IF('Proposed Lighting'!EF53=0,'Proposed Lighting'!AA53,'Proposed Lighting'!EF53)</f>
        <v>0</v>
      </c>
      <c r="K356" s="643" t="str">
        <f>'Proposed Lighting'!CU53</f>
        <v/>
      </c>
      <c r="L356" s="643" t="str">
        <f t="shared" si="75"/>
        <v/>
      </c>
      <c r="M356" s="645">
        <f t="shared" si="80"/>
        <v>0</v>
      </c>
      <c r="N356" s="645"/>
      <c r="O356" s="722">
        <f>IFERROR('Proposed Lighting'!AC53/1000,0)</f>
        <v>0</v>
      </c>
      <c r="P356" s="644">
        <f>'Proposed Lighting'!AV53</f>
        <v>0</v>
      </c>
      <c r="Q356" s="644">
        <f>IF(AND('Proposed Lighting'!T53="Lighting Controls Only",'Data Entry'!$AF$23="OR",'Proposed Lighting'!AU53=2),0,
IF(AND('Proposed Lighting'!T53="Lighting Controls Only",'Data Entry'!$AF$23="OR",'Proposed Lighting'!AU53=3,OR('Proposed Lighting'!W53="ceiling mount",'Proposed Lighting'!W53="wall switch",'Proposed Lighting'!W53="fixture mount (on exisiting equip)",'Proposed Lighting'!W53="daylight harvesting (on existing equip)")),0,
IF('Proposed Lighting'!AF53=1,IF(P356=0,0,J356*O356*(L356*(1-P356))),IF('Proposed Lighting'!AU53=1,0,'Proposed Lighting'!AX53-'Proposed Lighting'!AY53))))</f>
        <v>0</v>
      </c>
      <c r="R356" s="646">
        <f>IF('Proposed Lighting'!T53="Non-standard (provide description",0,
IF(AND(E356="Non-standard control",'Proposed Lighting'!AU53=2),Q356*0.1,
IF(AND(E356="Non-standard control",'Proposed Lighting'!AU53=3),Q356*0.08,
IF('Proposed Lighting'!EF53=0,0,IF('Proposed Lighting'!AU53=1,0,
IF(AND('Data Entry'!$AF$23="ID",'Proposed Lighting'!T53="Lighting controls only"),VLOOKUP(E356,'Proposed Lighting'!$DO$97:$DP$106,2,FALSE),
IF(AND('Data Entry'!$AF$23="OR",'Proposed Lighting'!AU53=3,'Proposed Lighting'!T53="Lighting controls only"),VLOOKUP(E356,'Proposed Lighting'!$DO$127:$DP$134,2,FALSE),0)))))))*J356</f>
        <v>0</v>
      </c>
      <c r="S356" s="646">
        <f>IF(Q356&lt;0.01,0,IF('Proposed Lighting'!AK53&gt;0,'Proposed Lighting'!AK53*'Proposed Lighting'!EF53,0))</f>
        <v>0</v>
      </c>
      <c r="T356" s="647">
        <f t="shared" si="76"/>
        <v>0</v>
      </c>
      <c r="U356" s="648"/>
      <c r="V356" s="646">
        <f t="shared" si="81"/>
        <v>0</v>
      </c>
      <c r="W356" s="646">
        <f t="shared" si="82"/>
        <v>0</v>
      </c>
      <c r="X356" s="646">
        <f t="shared" si="83"/>
        <v>0</v>
      </c>
      <c r="Y356" s="646"/>
      <c r="Z356" s="646"/>
      <c r="AA356" s="646"/>
      <c r="AB356" s="646">
        <f t="shared" si="84"/>
        <v>0</v>
      </c>
      <c r="AC356" s="649" t="str">
        <f t="shared" si="85"/>
        <v/>
      </c>
      <c r="AD356" s="649" t="str">
        <f t="shared" si="86"/>
        <v/>
      </c>
      <c r="AE356" s="649" t="str">
        <f t="shared" si="87"/>
        <v/>
      </c>
      <c r="AF356" s="72"/>
      <c r="AG356" s="644">
        <f>IFERROR(IF($AV356="No",0,IF($AV356="yes",Summary!Q356,"")),"")</f>
        <v>0</v>
      </c>
      <c r="AH356" s="646">
        <f>IFERROR(IF($AV356="No",0,IF($AV356="yes",Summary!R356,"")),"")</f>
        <v>0</v>
      </c>
      <c r="AI356" s="646">
        <f>IFERROR(IF($AV356="No",0,IF($AV356="yes",Summary!S356,"")),"")</f>
        <v>0</v>
      </c>
      <c r="AJ356" s="647">
        <f>IFERROR(IF($AV356="No",0,IF($AV356="yes",Summary!T356,"")),"")</f>
        <v>0</v>
      </c>
      <c r="AK356" s="648">
        <f>IFERROR(IF($AV356="No",0,IF($AV356="yes",Summary!U356,"")),"")</f>
        <v>0</v>
      </c>
      <c r="AL356" s="646">
        <f>IFERROR(IF($AV356="No",0,IF($AV356="yes",Summary!V356,"")),"")</f>
        <v>0</v>
      </c>
      <c r="AM356" s="646">
        <f>IFERROR(IF($AV356="No",0,IF($AV356="yes",Summary!W356,"")),"")</f>
        <v>0</v>
      </c>
      <c r="AN356" s="646">
        <f>IFERROR(IF($AV356="No",0,IF($AV356="yes",Summary!X356,"")),"")</f>
        <v>0</v>
      </c>
      <c r="AO356" s="646">
        <f>IFERROR(IF($AV356="No",0,IF($AV356="yes",Summary!Y356+Z356,"")),"")</f>
        <v>0</v>
      </c>
      <c r="AP356" s="646">
        <f>IFERROR(IF($AV356="No",0,IF($AV356="yes",Summary!AB356,"")),"")</f>
        <v>0</v>
      </c>
      <c r="AQ356" s="649" t="str">
        <f t="shared" si="77"/>
        <v/>
      </c>
      <c r="AR356" s="649" t="str">
        <f t="shared" si="79"/>
        <v/>
      </c>
      <c r="AS356" s="649" t="str">
        <f t="shared" si="78"/>
        <v/>
      </c>
      <c r="AT356" s="641" t="s">
        <v>830</v>
      </c>
      <c r="AV356" t="str">
        <f>IF('Proposed Lighting'!AK53&gt;0,"No","Yes")</f>
        <v>Yes</v>
      </c>
    </row>
    <row r="357" spans="1:48" ht="34.5" customHeight="1" outlineLevel="1">
      <c r="A357" s="641" t="s">
        <v>831</v>
      </c>
      <c r="B357" s="641" t="str">
        <f>IF('Proposed Lighting'!AU54=3,"Commercial-All Com-ExtLight",IF('Proposed Lighting'!AH54&gt;8759,"IPC_8760","Commercial-All Com-IntLight"))</f>
        <v>IPC_8760</v>
      </c>
      <c r="C357" s="641" t="str">
        <f>IF(OR(E357="",E357=0),"No",
IF(AND('Data Entry'!$AF$23="OR",AE357&lt;1),"No",
IF(AND('Data Entry'!$AF$23="ID",E357="Non-standard lighting control system",AD357&lt;1),"No",
IF(AND('Data Entry'!$AF$23="OR",'Proposed Lighting'!F54="Existing LED (Provide Description)",'Proposed Lighting'!AK54=""),"No",
IF('Proposed Lighting'!DD54="Submit Control as Non-Standard","No",
IF(AND('Proposed Lighting'!T54="Non-Standard (Provide Description)",AD357&lt;1),"No",
IF('Proposed Lighting'!AW54&lt;'Proposed Lighting'!AZ54,"No","Yes")))))))</f>
        <v>No</v>
      </c>
      <c r="D357" s="1604">
        <f>'Proposed Lighting'!BQ54-Q357</f>
        <v>0</v>
      </c>
      <c r="E357" s="642" t="str">
        <f>IF('Proposed Lighting'!W54="","",'Proposed Lighting'!W54)</f>
        <v/>
      </c>
      <c r="F357" s="642"/>
      <c r="G357" s="641" t="s">
        <v>786</v>
      </c>
      <c r="H357" s="643">
        <v>10</v>
      </c>
      <c r="I357" s="644">
        <v>1</v>
      </c>
      <c r="J357" s="723">
        <f>IF('Proposed Lighting'!EF54=0,'Proposed Lighting'!AA54,'Proposed Lighting'!EF54)</f>
        <v>0</v>
      </c>
      <c r="K357" s="643" t="str">
        <f>'Proposed Lighting'!CU54</f>
        <v/>
      </c>
      <c r="L357" s="643" t="str">
        <f t="shared" si="75"/>
        <v/>
      </c>
      <c r="M357" s="645">
        <f t="shared" si="80"/>
        <v>0</v>
      </c>
      <c r="N357" s="645"/>
      <c r="O357" s="722">
        <f>IFERROR('Proposed Lighting'!AC54/1000,0)</f>
        <v>0</v>
      </c>
      <c r="P357" s="644">
        <f>'Proposed Lighting'!AV54</f>
        <v>0</v>
      </c>
      <c r="Q357" s="644">
        <f>IF(AND('Proposed Lighting'!T54="Lighting Controls Only",'Data Entry'!$AF$23="OR",'Proposed Lighting'!AU54=2),0,
IF(AND('Proposed Lighting'!T54="Lighting Controls Only",'Data Entry'!$AF$23="OR",'Proposed Lighting'!AU54=3,OR('Proposed Lighting'!W54="ceiling mount",'Proposed Lighting'!W54="wall switch",'Proposed Lighting'!W54="fixture mount (on exisiting equip)",'Proposed Lighting'!W54="daylight harvesting (on existing equip)")),0,
IF('Proposed Lighting'!AF54=1,IF(P357=0,0,J357*O357*(L357*(1-P357))),IF('Proposed Lighting'!AU54=1,0,'Proposed Lighting'!AX54-'Proposed Lighting'!AY54))))</f>
        <v>0</v>
      </c>
      <c r="R357" s="646">
        <f>IF('Proposed Lighting'!T54="Non-standard (provide description",0,
IF(AND(E357="Non-standard control",'Proposed Lighting'!AU54=2),Q357*0.1,
IF(AND(E357="Non-standard control",'Proposed Lighting'!AU54=3),Q357*0.08,
IF('Proposed Lighting'!EF54=0,0,IF('Proposed Lighting'!AU54=1,0,
IF(AND('Data Entry'!$AF$23="ID",'Proposed Lighting'!T54="Lighting controls only"),VLOOKUP(E357,'Proposed Lighting'!$DO$97:$DP$106,2,FALSE),
IF(AND('Data Entry'!$AF$23="OR",'Proposed Lighting'!AU54=3,'Proposed Lighting'!T54="Lighting controls only"),VLOOKUP(E357,'Proposed Lighting'!$DO$127:$DP$134,2,FALSE),0)))))))*J357</f>
        <v>0</v>
      </c>
      <c r="S357" s="646">
        <f>IF(Q357&lt;0.01,0,IF('Proposed Lighting'!AK54&gt;0,'Proposed Lighting'!AK54*'Proposed Lighting'!EF54,0))</f>
        <v>0</v>
      </c>
      <c r="T357" s="647">
        <f t="shared" si="76"/>
        <v>0</v>
      </c>
      <c r="U357" s="648"/>
      <c r="V357" s="646">
        <f t="shared" si="81"/>
        <v>0</v>
      </c>
      <c r="W357" s="646">
        <f t="shared" si="82"/>
        <v>0</v>
      </c>
      <c r="X357" s="646">
        <f t="shared" si="83"/>
        <v>0</v>
      </c>
      <c r="Y357" s="646"/>
      <c r="Z357" s="646"/>
      <c r="AA357" s="646"/>
      <c r="AB357" s="646">
        <f t="shared" si="84"/>
        <v>0</v>
      </c>
      <c r="AC357" s="649" t="str">
        <f t="shared" si="85"/>
        <v/>
      </c>
      <c r="AD357" s="649" t="str">
        <f t="shared" si="86"/>
        <v/>
      </c>
      <c r="AE357" s="649" t="str">
        <f t="shared" si="87"/>
        <v/>
      </c>
      <c r="AF357" s="72"/>
      <c r="AG357" s="644">
        <f>IFERROR(IF($AV357="No",0,IF($AV357="yes",Summary!Q357,"")),"")</f>
        <v>0</v>
      </c>
      <c r="AH357" s="646">
        <f>IFERROR(IF($AV357="No",0,IF($AV357="yes",Summary!R357,"")),"")</f>
        <v>0</v>
      </c>
      <c r="AI357" s="646">
        <f>IFERROR(IF($AV357="No",0,IF($AV357="yes",Summary!S357,"")),"")</f>
        <v>0</v>
      </c>
      <c r="AJ357" s="647">
        <f>IFERROR(IF($AV357="No",0,IF($AV357="yes",Summary!T357,"")),"")</f>
        <v>0</v>
      </c>
      <c r="AK357" s="648">
        <f>IFERROR(IF($AV357="No",0,IF($AV357="yes",Summary!U357,"")),"")</f>
        <v>0</v>
      </c>
      <c r="AL357" s="646">
        <f>IFERROR(IF($AV357="No",0,IF($AV357="yes",Summary!V357,"")),"")</f>
        <v>0</v>
      </c>
      <c r="AM357" s="646">
        <f>IFERROR(IF($AV357="No",0,IF($AV357="yes",Summary!W357,"")),"")</f>
        <v>0</v>
      </c>
      <c r="AN357" s="646">
        <f>IFERROR(IF($AV357="No",0,IF($AV357="yes",Summary!X357,"")),"")</f>
        <v>0</v>
      </c>
      <c r="AO357" s="646">
        <f>IFERROR(IF($AV357="No",0,IF($AV357="yes",Summary!Y357+Z357,"")),"")</f>
        <v>0</v>
      </c>
      <c r="AP357" s="646">
        <f>IFERROR(IF($AV357="No",0,IF($AV357="yes",Summary!AB357,"")),"")</f>
        <v>0</v>
      </c>
      <c r="AQ357" s="649" t="str">
        <f t="shared" si="77"/>
        <v/>
      </c>
      <c r="AR357" s="649" t="str">
        <f t="shared" si="79"/>
        <v/>
      </c>
      <c r="AS357" s="649" t="str">
        <f t="shared" si="78"/>
        <v/>
      </c>
      <c r="AT357" s="641" t="s">
        <v>831</v>
      </c>
      <c r="AV357" t="str">
        <f>IF('Proposed Lighting'!AK54&gt;0,"No","Yes")</f>
        <v>Yes</v>
      </c>
    </row>
    <row r="358" spans="1:48" ht="34.5" customHeight="1" outlineLevel="1">
      <c r="A358" s="641" t="s">
        <v>832</v>
      </c>
      <c r="B358" s="641" t="str">
        <f>IF('Proposed Lighting'!AU55=3,"Commercial-All Com-ExtLight",IF('Proposed Lighting'!AH55&gt;8759,"IPC_8760","Commercial-All Com-IntLight"))</f>
        <v>IPC_8760</v>
      </c>
      <c r="C358" s="641" t="str">
        <f>IF(OR(E358="",E358=0),"No",
IF(AND('Data Entry'!$AF$23="OR",AE358&lt;1),"No",
IF(AND('Data Entry'!$AF$23="ID",E358="Non-standard lighting control system",AD358&lt;1),"No",
IF(AND('Data Entry'!$AF$23="OR",'Proposed Lighting'!F55="Existing LED (Provide Description)",'Proposed Lighting'!AK55=""),"No",
IF('Proposed Lighting'!DD55="Submit Control as Non-Standard","No",
IF(AND('Proposed Lighting'!T55="Non-Standard (Provide Description)",AD358&lt;1),"No",
IF('Proposed Lighting'!AW55&lt;'Proposed Lighting'!AZ55,"No","Yes")))))))</f>
        <v>No</v>
      </c>
      <c r="D358" s="1604">
        <f>'Proposed Lighting'!BQ55-Q358</f>
        <v>0</v>
      </c>
      <c r="E358" s="642" t="str">
        <f>IF('Proposed Lighting'!W55="","",'Proposed Lighting'!W55)</f>
        <v/>
      </c>
      <c r="F358" s="642"/>
      <c r="G358" s="641" t="s">
        <v>786</v>
      </c>
      <c r="H358" s="643">
        <v>10</v>
      </c>
      <c r="I358" s="644">
        <v>1</v>
      </c>
      <c r="J358" s="723">
        <f>IF('Proposed Lighting'!EF55=0,'Proposed Lighting'!AA55,'Proposed Lighting'!EF55)</f>
        <v>0</v>
      </c>
      <c r="K358" s="643" t="str">
        <f>'Proposed Lighting'!CU55</f>
        <v/>
      </c>
      <c r="L358" s="643" t="str">
        <f t="shared" si="75"/>
        <v/>
      </c>
      <c r="M358" s="645">
        <f t="shared" si="80"/>
        <v>0</v>
      </c>
      <c r="N358" s="645"/>
      <c r="O358" s="722">
        <f>IFERROR('Proposed Lighting'!AC55/1000,0)</f>
        <v>0</v>
      </c>
      <c r="P358" s="644">
        <f>'Proposed Lighting'!AV55</f>
        <v>0</v>
      </c>
      <c r="Q358" s="644">
        <f>IF(AND('Proposed Lighting'!T55="Lighting Controls Only",'Data Entry'!$AF$23="OR",'Proposed Lighting'!AU55=2),0,
IF(AND('Proposed Lighting'!T55="Lighting Controls Only",'Data Entry'!$AF$23="OR",'Proposed Lighting'!AU55=3,OR('Proposed Lighting'!W55="ceiling mount",'Proposed Lighting'!W55="wall switch",'Proposed Lighting'!W55="fixture mount (on exisiting equip)",'Proposed Lighting'!W55="daylight harvesting (on existing equip)")),0,
IF('Proposed Lighting'!AF55=1,IF(P358=0,0,J358*O358*(L358*(1-P358))),IF('Proposed Lighting'!AU55=1,0,'Proposed Lighting'!AX55-'Proposed Lighting'!AY55))))</f>
        <v>0</v>
      </c>
      <c r="R358" s="646">
        <f>IF('Proposed Lighting'!T55="Non-standard (provide description",0,
IF(AND(E358="Non-standard control",'Proposed Lighting'!AU55=2),Q358*0.1,
IF(AND(E358="Non-standard control",'Proposed Lighting'!AU55=3),Q358*0.08,
IF('Proposed Lighting'!EF55=0,0,IF('Proposed Lighting'!AU55=1,0,
IF(AND('Data Entry'!$AF$23="ID",'Proposed Lighting'!T55="Lighting controls only"),VLOOKUP(E358,'Proposed Lighting'!$DO$97:$DP$106,2,FALSE),
IF(AND('Data Entry'!$AF$23="OR",'Proposed Lighting'!AU55=3,'Proposed Lighting'!T55="Lighting controls only"),VLOOKUP(E358,'Proposed Lighting'!$DO$127:$DP$134,2,FALSE),0)))))))*J358</f>
        <v>0</v>
      </c>
      <c r="S358" s="646">
        <f>IF(Q358&lt;0.01,0,IF('Proposed Lighting'!AK55&gt;0,'Proposed Lighting'!AK55*'Proposed Lighting'!EF55,0))</f>
        <v>0</v>
      </c>
      <c r="T358" s="647">
        <f t="shared" si="76"/>
        <v>0</v>
      </c>
      <c r="U358" s="648"/>
      <c r="V358" s="646">
        <f t="shared" si="81"/>
        <v>0</v>
      </c>
      <c r="W358" s="646">
        <f t="shared" si="82"/>
        <v>0</v>
      </c>
      <c r="X358" s="646">
        <f t="shared" si="83"/>
        <v>0</v>
      </c>
      <c r="Y358" s="646"/>
      <c r="Z358" s="646"/>
      <c r="AA358" s="646"/>
      <c r="AB358" s="646">
        <f t="shared" si="84"/>
        <v>0</v>
      </c>
      <c r="AC358" s="649" t="str">
        <f t="shared" si="85"/>
        <v/>
      </c>
      <c r="AD358" s="649" t="str">
        <f t="shared" si="86"/>
        <v/>
      </c>
      <c r="AE358" s="649" t="str">
        <f t="shared" si="87"/>
        <v/>
      </c>
      <c r="AF358" s="72"/>
      <c r="AG358" s="644">
        <f>IFERROR(IF($AV358="No",0,IF($AV358="yes",Summary!Q358,"")),"")</f>
        <v>0</v>
      </c>
      <c r="AH358" s="646">
        <f>IFERROR(IF($AV358="No",0,IF($AV358="yes",Summary!R358,"")),"")</f>
        <v>0</v>
      </c>
      <c r="AI358" s="646">
        <f>IFERROR(IF($AV358="No",0,IF($AV358="yes",Summary!S358,"")),"")</f>
        <v>0</v>
      </c>
      <c r="AJ358" s="647">
        <f>IFERROR(IF($AV358="No",0,IF($AV358="yes",Summary!T358,"")),"")</f>
        <v>0</v>
      </c>
      <c r="AK358" s="648">
        <f>IFERROR(IF($AV358="No",0,IF($AV358="yes",Summary!U358,"")),"")</f>
        <v>0</v>
      </c>
      <c r="AL358" s="646">
        <f>IFERROR(IF($AV358="No",0,IF($AV358="yes",Summary!V358,"")),"")</f>
        <v>0</v>
      </c>
      <c r="AM358" s="646">
        <f>IFERROR(IF($AV358="No",0,IF($AV358="yes",Summary!W358,"")),"")</f>
        <v>0</v>
      </c>
      <c r="AN358" s="646">
        <f>IFERROR(IF($AV358="No",0,IF($AV358="yes",Summary!X358,"")),"")</f>
        <v>0</v>
      </c>
      <c r="AO358" s="646">
        <f>IFERROR(IF($AV358="No",0,IF($AV358="yes",Summary!Y358+Z358,"")),"")</f>
        <v>0</v>
      </c>
      <c r="AP358" s="646">
        <f>IFERROR(IF($AV358="No",0,IF($AV358="yes",Summary!AB358,"")),"")</f>
        <v>0</v>
      </c>
      <c r="AQ358" s="649" t="str">
        <f t="shared" si="77"/>
        <v/>
      </c>
      <c r="AR358" s="649" t="str">
        <f t="shared" si="79"/>
        <v/>
      </c>
      <c r="AS358" s="649" t="str">
        <f t="shared" si="78"/>
        <v/>
      </c>
      <c r="AT358" s="641" t="s">
        <v>832</v>
      </c>
      <c r="AV358" t="str">
        <f>IF('Proposed Lighting'!AK55&gt;0,"No","Yes")</f>
        <v>Yes</v>
      </c>
    </row>
    <row r="359" spans="1:48" ht="34.5" customHeight="1" outlineLevel="1">
      <c r="A359" s="641" t="s">
        <v>833</v>
      </c>
      <c r="B359" s="641" t="str">
        <f>IF('Proposed Lighting'!AU56=3,"Commercial-All Com-ExtLight",IF('Proposed Lighting'!AH56&gt;8759,"IPC_8760","Commercial-All Com-IntLight"))</f>
        <v>IPC_8760</v>
      </c>
      <c r="C359" s="641" t="str">
        <f>IF(OR(E359="",E359=0),"No",
IF(AND('Data Entry'!$AF$23="OR",AE359&lt;1),"No",
IF(AND('Data Entry'!$AF$23="ID",E359="Non-standard lighting control system",AD359&lt;1),"No",
IF(AND('Data Entry'!$AF$23="OR",'Proposed Lighting'!F56="Existing LED (Provide Description)",'Proposed Lighting'!AK56=""),"No",
IF('Proposed Lighting'!DD56="Submit Control as Non-Standard","No",
IF(AND('Proposed Lighting'!T56="Non-Standard (Provide Description)",AD359&lt;1),"No",
IF('Proposed Lighting'!AW56&lt;'Proposed Lighting'!AZ56,"No","Yes")))))))</f>
        <v>No</v>
      </c>
      <c r="D359" s="1604">
        <f>'Proposed Lighting'!BQ56-Q359</f>
        <v>0</v>
      </c>
      <c r="E359" s="642" t="str">
        <f>IF('Proposed Lighting'!W56="","",'Proposed Lighting'!W56)</f>
        <v/>
      </c>
      <c r="F359" s="642"/>
      <c r="G359" s="641" t="s">
        <v>786</v>
      </c>
      <c r="H359" s="643">
        <v>10</v>
      </c>
      <c r="I359" s="644">
        <v>1</v>
      </c>
      <c r="J359" s="723">
        <f>IF('Proposed Lighting'!EF56=0,'Proposed Lighting'!AA56,'Proposed Lighting'!EF56)</f>
        <v>0</v>
      </c>
      <c r="K359" s="643" t="str">
        <f>'Proposed Lighting'!CU56</f>
        <v/>
      </c>
      <c r="L359" s="643" t="str">
        <f t="shared" si="75"/>
        <v/>
      </c>
      <c r="M359" s="645">
        <f t="shared" si="80"/>
        <v>0</v>
      </c>
      <c r="N359" s="645"/>
      <c r="O359" s="722">
        <f>IFERROR('Proposed Lighting'!AC56/1000,0)</f>
        <v>0</v>
      </c>
      <c r="P359" s="644">
        <f>'Proposed Lighting'!AV56</f>
        <v>0</v>
      </c>
      <c r="Q359" s="644">
        <f>IF(AND('Proposed Lighting'!T56="Lighting Controls Only",'Data Entry'!$AF$23="OR",'Proposed Lighting'!AU56=2),0,
IF(AND('Proposed Lighting'!T56="Lighting Controls Only",'Data Entry'!$AF$23="OR",'Proposed Lighting'!AU56=3,OR('Proposed Lighting'!W56="ceiling mount",'Proposed Lighting'!W56="wall switch",'Proposed Lighting'!W56="fixture mount (on exisiting equip)",'Proposed Lighting'!W56="daylight harvesting (on existing equip)")),0,
IF('Proposed Lighting'!AF56=1,IF(P359=0,0,J359*O359*(L359*(1-P359))),IF('Proposed Lighting'!AU56=1,0,'Proposed Lighting'!AX56-'Proposed Lighting'!AY56))))</f>
        <v>0</v>
      </c>
      <c r="R359" s="646">
        <f>IF('Proposed Lighting'!T56="Non-standard (provide description",0,
IF(AND(E359="Non-standard control",'Proposed Lighting'!AU56=2),Q359*0.1,
IF(AND(E359="Non-standard control",'Proposed Lighting'!AU56=3),Q359*0.08,
IF('Proposed Lighting'!EF56=0,0,IF('Proposed Lighting'!AU56=1,0,
IF(AND('Data Entry'!$AF$23="ID",'Proposed Lighting'!T56="Lighting controls only"),VLOOKUP(E359,'Proposed Lighting'!$DO$97:$DP$106,2,FALSE),
IF(AND('Data Entry'!$AF$23="OR",'Proposed Lighting'!AU56=3,'Proposed Lighting'!T56="Lighting controls only"),VLOOKUP(E359,'Proposed Lighting'!$DO$127:$DP$134,2,FALSE),0)))))))*J359</f>
        <v>0</v>
      </c>
      <c r="S359" s="646">
        <f>IF(Q359&lt;0.01,0,IF('Proposed Lighting'!AK56&gt;0,'Proposed Lighting'!AK56*'Proposed Lighting'!EF56,0))</f>
        <v>0</v>
      </c>
      <c r="T359" s="647">
        <f t="shared" si="76"/>
        <v>0</v>
      </c>
      <c r="U359" s="648"/>
      <c r="V359" s="646">
        <f t="shared" si="81"/>
        <v>0</v>
      </c>
      <c r="W359" s="646">
        <f t="shared" si="82"/>
        <v>0</v>
      </c>
      <c r="X359" s="646">
        <f t="shared" si="83"/>
        <v>0</v>
      </c>
      <c r="Y359" s="646"/>
      <c r="Z359" s="646"/>
      <c r="AA359" s="646"/>
      <c r="AB359" s="646">
        <f t="shared" si="84"/>
        <v>0</v>
      </c>
      <c r="AC359" s="649" t="str">
        <f t="shared" si="85"/>
        <v/>
      </c>
      <c r="AD359" s="649" t="str">
        <f t="shared" si="86"/>
        <v/>
      </c>
      <c r="AE359" s="649" t="str">
        <f t="shared" si="87"/>
        <v/>
      </c>
      <c r="AF359" s="72"/>
      <c r="AG359" s="644">
        <f>IFERROR(IF($AV359="No",0,IF($AV359="yes",Summary!Q359,"")),"")</f>
        <v>0</v>
      </c>
      <c r="AH359" s="646">
        <f>IFERROR(IF($AV359="No",0,IF($AV359="yes",Summary!R359,"")),"")</f>
        <v>0</v>
      </c>
      <c r="AI359" s="646">
        <f>IFERROR(IF($AV359="No",0,IF($AV359="yes",Summary!S359,"")),"")</f>
        <v>0</v>
      </c>
      <c r="AJ359" s="647">
        <f>IFERROR(IF($AV359="No",0,IF($AV359="yes",Summary!T359,"")),"")</f>
        <v>0</v>
      </c>
      <c r="AK359" s="648">
        <f>IFERROR(IF($AV359="No",0,IF($AV359="yes",Summary!U359,"")),"")</f>
        <v>0</v>
      </c>
      <c r="AL359" s="646">
        <f>IFERROR(IF($AV359="No",0,IF($AV359="yes",Summary!V359,"")),"")</f>
        <v>0</v>
      </c>
      <c r="AM359" s="646">
        <f>IFERROR(IF($AV359="No",0,IF($AV359="yes",Summary!W359,"")),"")</f>
        <v>0</v>
      </c>
      <c r="AN359" s="646">
        <f>IFERROR(IF($AV359="No",0,IF($AV359="yes",Summary!X359,"")),"")</f>
        <v>0</v>
      </c>
      <c r="AO359" s="646">
        <f>IFERROR(IF($AV359="No",0,IF($AV359="yes",Summary!Y359+Z359,"")),"")</f>
        <v>0</v>
      </c>
      <c r="AP359" s="646">
        <f>IFERROR(IF($AV359="No",0,IF($AV359="yes",Summary!AB359,"")),"")</f>
        <v>0</v>
      </c>
      <c r="AQ359" s="649" t="str">
        <f t="shared" si="77"/>
        <v/>
      </c>
      <c r="AR359" s="649" t="str">
        <f t="shared" si="79"/>
        <v/>
      </c>
      <c r="AS359" s="649" t="str">
        <f t="shared" si="78"/>
        <v/>
      </c>
      <c r="AT359" s="641" t="s">
        <v>833</v>
      </c>
      <c r="AV359" t="str">
        <f>IF('Proposed Lighting'!AK56&gt;0,"No","Yes")</f>
        <v>Yes</v>
      </c>
    </row>
    <row r="360" spans="1:48" ht="34.5" customHeight="1" outlineLevel="1">
      <c r="A360" s="641" t="s">
        <v>834</v>
      </c>
      <c r="B360" s="641" t="str">
        <f>IF('Proposed Lighting'!AU57=3,"Commercial-All Com-ExtLight",IF('Proposed Lighting'!AH57&gt;8759,"IPC_8760","Commercial-All Com-IntLight"))</f>
        <v>IPC_8760</v>
      </c>
      <c r="C360" s="641" t="str">
        <f>IF(OR(E360="",E360=0),"No",
IF(AND('Data Entry'!$AF$23="OR",AE360&lt;1),"No",
IF(AND('Data Entry'!$AF$23="ID",E360="Non-standard lighting control system",AD360&lt;1),"No",
IF(AND('Data Entry'!$AF$23="OR",'Proposed Lighting'!F57="Existing LED (Provide Description)",'Proposed Lighting'!AK57=""),"No",
IF('Proposed Lighting'!DD57="Submit Control as Non-Standard","No",
IF(AND('Proposed Lighting'!T57="Non-Standard (Provide Description)",AD360&lt;1),"No",
IF('Proposed Lighting'!AW57&lt;'Proposed Lighting'!AZ57,"No","Yes")))))))</f>
        <v>No</v>
      </c>
      <c r="D360" s="1604">
        <f>'Proposed Lighting'!BQ57-Q360</f>
        <v>0</v>
      </c>
      <c r="E360" s="642" t="str">
        <f>IF('Proposed Lighting'!W57="","",'Proposed Lighting'!W57)</f>
        <v/>
      </c>
      <c r="F360" s="642"/>
      <c r="G360" s="641" t="s">
        <v>786</v>
      </c>
      <c r="H360" s="643">
        <v>10</v>
      </c>
      <c r="I360" s="644">
        <v>1</v>
      </c>
      <c r="J360" s="723">
        <f>IF('Proposed Lighting'!EF57=0,'Proposed Lighting'!AA57,'Proposed Lighting'!EF57)</f>
        <v>0</v>
      </c>
      <c r="K360" s="643" t="str">
        <f>'Proposed Lighting'!CU57</f>
        <v/>
      </c>
      <c r="L360" s="643" t="str">
        <f t="shared" si="75"/>
        <v/>
      </c>
      <c r="M360" s="645">
        <f t="shared" si="80"/>
        <v>0</v>
      </c>
      <c r="N360" s="645"/>
      <c r="O360" s="722">
        <f>IFERROR('Proposed Lighting'!AC57/1000,0)</f>
        <v>0</v>
      </c>
      <c r="P360" s="644">
        <f>'Proposed Lighting'!AV57</f>
        <v>0</v>
      </c>
      <c r="Q360" s="644">
        <f>IF(AND('Proposed Lighting'!T57="Lighting Controls Only",'Data Entry'!$AF$23="OR",'Proposed Lighting'!AU57=2),0,
IF(AND('Proposed Lighting'!T57="Lighting Controls Only",'Data Entry'!$AF$23="OR",'Proposed Lighting'!AU57=3,OR('Proposed Lighting'!W57="ceiling mount",'Proposed Lighting'!W57="wall switch",'Proposed Lighting'!W57="fixture mount (on exisiting equip)",'Proposed Lighting'!W57="daylight harvesting (on existing equip)")),0,
IF('Proposed Lighting'!AF57=1,IF(P360=0,0,J360*O360*(L360*(1-P360))),IF('Proposed Lighting'!AU57=1,0,'Proposed Lighting'!AX57-'Proposed Lighting'!AY57))))</f>
        <v>0</v>
      </c>
      <c r="R360" s="646">
        <f>IF('Proposed Lighting'!T57="Non-standard (provide description",0,
IF(AND(E360="Non-standard control",'Proposed Lighting'!AU57=2),Q360*0.1,
IF(AND(E360="Non-standard control",'Proposed Lighting'!AU57=3),Q360*0.08,
IF('Proposed Lighting'!EF57=0,0,IF('Proposed Lighting'!AU57=1,0,
IF(AND('Data Entry'!$AF$23="ID",'Proposed Lighting'!T57="Lighting controls only"),VLOOKUP(E360,'Proposed Lighting'!$DO$97:$DP$106,2,FALSE),
IF(AND('Data Entry'!$AF$23="OR",'Proposed Lighting'!AU57=3,'Proposed Lighting'!T57="Lighting controls only"),VLOOKUP(E360,'Proposed Lighting'!$DO$127:$DP$134,2,FALSE),0)))))))*J360</f>
        <v>0</v>
      </c>
      <c r="S360" s="646">
        <f>IF(Q360&lt;0.01,0,IF('Proposed Lighting'!AK57&gt;0,'Proposed Lighting'!AK57*'Proposed Lighting'!EF57,0))</f>
        <v>0</v>
      </c>
      <c r="T360" s="647">
        <f t="shared" si="76"/>
        <v>0</v>
      </c>
      <c r="U360" s="648"/>
      <c r="V360" s="646">
        <f t="shared" si="81"/>
        <v>0</v>
      </c>
      <c r="W360" s="646">
        <f t="shared" si="82"/>
        <v>0</v>
      </c>
      <c r="X360" s="646">
        <f t="shared" si="83"/>
        <v>0</v>
      </c>
      <c r="Y360" s="646"/>
      <c r="Z360" s="646"/>
      <c r="AA360" s="646"/>
      <c r="AB360" s="646">
        <f t="shared" si="84"/>
        <v>0</v>
      </c>
      <c r="AC360" s="649" t="str">
        <f t="shared" si="85"/>
        <v/>
      </c>
      <c r="AD360" s="649" t="str">
        <f t="shared" si="86"/>
        <v/>
      </c>
      <c r="AE360" s="649" t="str">
        <f t="shared" si="87"/>
        <v/>
      </c>
      <c r="AF360" s="72"/>
      <c r="AG360" s="644">
        <f>IFERROR(IF($AV360="No",0,IF($AV360="yes",Summary!Q360,"")),"")</f>
        <v>0</v>
      </c>
      <c r="AH360" s="646">
        <f>IFERROR(IF($AV360="No",0,IF($AV360="yes",Summary!R360,"")),"")</f>
        <v>0</v>
      </c>
      <c r="AI360" s="646">
        <f>IFERROR(IF($AV360="No",0,IF($AV360="yes",Summary!S360,"")),"")</f>
        <v>0</v>
      </c>
      <c r="AJ360" s="647">
        <f>IFERROR(IF($AV360="No",0,IF($AV360="yes",Summary!T360,"")),"")</f>
        <v>0</v>
      </c>
      <c r="AK360" s="648">
        <f>IFERROR(IF($AV360="No",0,IF($AV360="yes",Summary!U360,"")),"")</f>
        <v>0</v>
      </c>
      <c r="AL360" s="646">
        <f>IFERROR(IF($AV360="No",0,IF($AV360="yes",Summary!V360,"")),"")</f>
        <v>0</v>
      </c>
      <c r="AM360" s="646">
        <f>IFERROR(IF($AV360="No",0,IF($AV360="yes",Summary!W360,"")),"")</f>
        <v>0</v>
      </c>
      <c r="AN360" s="646">
        <f>IFERROR(IF($AV360="No",0,IF($AV360="yes",Summary!X360,"")),"")</f>
        <v>0</v>
      </c>
      <c r="AO360" s="646">
        <f>IFERROR(IF($AV360="No",0,IF($AV360="yes",Summary!Y360+Z360,"")),"")</f>
        <v>0</v>
      </c>
      <c r="AP360" s="646">
        <f>IFERROR(IF($AV360="No",0,IF($AV360="yes",Summary!AB360,"")),"")</f>
        <v>0</v>
      </c>
      <c r="AQ360" s="649" t="str">
        <f t="shared" si="77"/>
        <v/>
      </c>
      <c r="AR360" s="649" t="str">
        <f t="shared" si="79"/>
        <v/>
      </c>
      <c r="AS360" s="649" t="str">
        <f t="shared" si="78"/>
        <v/>
      </c>
      <c r="AT360" s="641" t="s">
        <v>834</v>
      </c>
      <c r="AV360" t="str">
        <f>IF('Proposed Lighting'!AK57&gt;0,"No","Yes")</f>
        <v>Yes</v>
      </c>
    </row>
    <row r="361" spans="1:48" ht="34.5" customHeight="1" outlineLevel="1">
      <c r="A361" s="641" t="s">
        <v>835</v>
      </c>
      <c r="B361" s="641" t="str">
        <f>IF('Proposed Lighting'!AU58=3,"Commercial-All Com-ExtLight",IF('Proposed Lighting'!AH58&gt;8759,"IPC_8760","Commercial-All Com-IntLight"))</f>
        <v>IPC_8760</v>
      </c>
      <c r="C361" s="641" t="str">
        <f>IF(OR(E361="",E361=0),"No",
IF(AND('Data Entry'!$AF$23="OR",AE361&lt;1),"No",
IF(AND('Data Entry'!$AF$23="ID",E361="Non-standard lighting control system",AD361&lt;1),"No",
IF(AND('Data Entry'!$AF$23="OR",'Proposed Lighting'!F58="Existing LED (Provide Description)",'Proposed Lighting'!AK58=""),"No",
IF('Proposed Lighting'!DD58="Submit Control as Non-Standard","No",
IF(AND('Proposed Lighting'!T58="Non-Standard (Provide Description)",AD361&lt;1),"No",
IF('Proposed Lighting'!AW58&lt;'Proposed Lighting'!AZ58,"No","Yes")))))))</f>
        <v>No</v>
      </c>
      <c r="D361" s="1604">
        <f>'Proposed Lighting'!BQ58-Q361</f>
        <v>0</v>
      </c>
      <c r="E361" s="642" t="str">
        <f>IF('Proposed Lighting'!W58="","",'Proposed Lighting'!W58)</f>
        <v/>
      </c>
      <c r="F361" s="642"/>
      <c r="G361" s="641" t="s">
        <v>786</v>
      </c>
      <c r="H361" s="643">
        <v>10</v>
      </c>
      <c r="I361" s="644">
        <v>1</v>
      </c>
      <c r="J361" s="723">
        <f>IF('Proposed Lighting'!EF58=0,'Proposed Lighting'!AA58,'Proposed Lighting'!EF58)</f>
        <v>0</v>
      </c>
      <c r="K361" s="643" t="str">
        <f>'Proposed Lighting'!CU58</f>
        <v/>
      </c>
      <c r="L361" s="643" t="str">
        <f t="shared" si="75"/>
        <v/>
      </c>
      <c r="M361" s="645">
        <f t="shared" si="80"/>
        <v>0</v>
      </c>
      <c r="N361" s="645"/>
      <c r="O361" s="722">
        <f>IFERROR('Proposed Lighting'!AC58/1000,0)</f>
        <v>0</v>
      </c>
      <c r="P361" s="644">
        <f>'Proposed Lighting'!AV58</f>
        <v>0</v>
      </c>
      <c r="Q361" s="644">
        <f>IF(AND('Proposed Lighting'!T58="Lighting Controls Only",'Data Entry'!$AF$23="OR",'Proposed Lighting'!AU58=2),0,
IF(AND('Proposed Lighting'!T58="Lighting Controls Only",'Data Entry'!$AF$23="OR",'Proposed Lighting'!AU58=3,OR('Proposed Lighting'!W58="ceiling mount",'Proposed Lighting'!W58="wall switch",'Proposed Lighting'!W58="fixture mount (on exisiting equip)",'Proposed Lighting'!W58="daylight harvesting (on existing equip)")),0,
IF('Proposed Lighting'!AF58=1,IF(P361=0,0,J361*O361*(L361*(1-P361))),IF('Proposed Lighting'!AU58=1,0,'Proposed Lighting'!AX58-'Proposed Lighting'!AY58))))</f>
        <v>0</v>
      </c>
      <c r="R361" s="646">
        <f>IF('Proposed Lighting'!T58="Non-standard (provide description",0,
IF(AND(E361="Non-standard control",'Proposed Lighting'!AU58=2),Q361*0.1,
IF(AND(E361="Non-standard control",'Proposed Lighting'!AU58=3),Q361*0.08,
IF('Proposed Lighting'!EF58=0,0,IF('Proposed Lighting'!AU58=1,0,
IF(AND('Data Entry'!$AF$23="ID",'Proposed Lighting'!T58="Lighting controls only"),VLOOKUP(E361,'Proposed Lighting'!$DO$97:$DP$106,2,FALSE),
IF(AND('Data Entry'!$AF$23="OR",'Proposed Lighting'!AU58=3,'Proposed Lighting'!T58="Lighting controls only"),VLOOKUP(E361,'Proposed Lighting'!$DO$127:$DP$134,2,FALSE),0)))))))*J361</f>
        <v>0</v>
      </c>
      <c r="S361" s="646">
        <f>IF(Q361&lt;0.01,0,IF('Proposed Lighting'!AK58&gt;0,'Proposed Lighting'!AK58*'Proposed Lighting'!EF58,0))</f>
        <v>0</v>
      </c>
      <c r="T361" s="647">
        <f t="shared" si="76"/>
        <v>0</v>
      </c>
      <c r="U361" s="648"/>
      <c r="V361" s="646">
        <f t="shared" si="81"/>
        <v>0</v>
      </c>
      <c r="W361" s="646">
        <f t="shared" si="82"/>
        <v>0</v>
      </c>
      <c r="X361" s="646">
        <f t="shared" si="83"/>
        <v>0</v>
      </c>
      <c r="Y361" s="646"/>
      <c r="Z361" s="646"/>
      <c r="AA361" s="646"/>
      <c r="AB361" s="646">
        <f t="shared" si="84"/>
        <v>0</v>
      </c>
      <c r="AC361" s="649" t="str">
        <f t="shared" si="85"/>
        <v/>
      </c>
      <c r="AD361" s="649" t="str">
        <f t="shared" si="86"/>
        <v/>
      </c>
      <c r="AE361" s="649" t="str">
        <f t="shared" si="87"/>
        <v/>
      </c>
      <c r="AF361" s="72"/>
      <c r="AG361" s="644">
        <f>IFERROR(IF($AV361="No",0,IF($AV361="yes",Summary!Q361,"")),"")</f>
        <v>0</v>
      </c>
      <c r="AH361" s="646">
        <f>IFERROR(IF($AV361="No",0,IF($AV361="yes",Summary!R361,"")),"")</f>
        <v>0</v>
      </c>
      <c r="AI361" s="646">
        <f>IFERROR(IF($AV361="No",0,IF($AV361="yes",Summary!S361,"")),"")</f>
        <v>0</v>
      </c>
      <c r="AJ361" s="647">
        <f>IFERROR(IF($AV361="No",0,IF($AV361="yes",Summary!T361,"")),"")</f>
        <v>0</v>
      </c>
      <c r="AK361" s="648">
        <f>IFERROR(IF($AV361="No",0,IF($AV361="yes",Summary!U361,"")),"")</f>
        <v>0</v>
      </c>
      <c r="AL361" s="646">
        <f>IFERROR(IF($AV361="No",0,IF($AV361="yes",Summary!V361,"")),"")</f>
        <v>0</v>
      </c>
      <c r="AM361" s="646">
        <f>IFERROR(IF($AV361="No",0,IF($AV361="yes",Summary!W361,"")),"")</f>
        <v>0</v>
      </c>
      <c r="AN361" s="646">
        <f>IFERROR(IF($AV361="No",0,IF($AV361="yes",Summary!X361,"")),"")</f>
        <v>0</v>
      </c>
      <c r="AO361" s="646">
        <f>IFERROR(IF($AV361="No",0,IF($AV361="yes",Summary!Y361+Z361,"")),"")</f>
        <v>0</v>
      </c>
      <c r="AP361" s="646">
        <f>IFERROR(IF($AV361="No",0,IF($AV361="yes",Summary!AB361,"")),"")</f>
        <v>0</v>
      </c>
      <c r="AQ361" s="649" t="str">
        <f t="shared" ref="AQ361:AQ424" si="88">IFERROR(IF($AG361&lt;0,"",(AL361+AH361+AO361+AP361)/(AI361)),"")</f>
        <v/>
      </c>
      <c r="AR361" s="649" t="str">
        <f t="shared" si="79"/>
        <v/>
      </c>
      <c r="AS361" s="649" t="str">
        <f t="shared" ref="AS361:AS424" si="89">IFERROR(IF($AG361&lt;0,"",IF(AI361=0,((AN361+AO361+AP361)*I361)/((AG361*AK361)+AH361),((AN361+AO361+AP361)*I361)/((AG361*AK361)+AH361+((AI361-AH361)*I361)))),"")</f>
        <v/>
      </c>
      <c r="AT361" s="641" t="s">
        <v>835</v>
      </c>
      <c r="AV361" t="str">
        <f>IF('Proposed Lighting'!AK58&gt;0,"No","Yes")</f>
        <v>Yes</v>
      </c>
    </row>
    <row r="362" spans="1:48" ht="34.5" customHeight="1" outlineLevel="1">
      <c r="A362" s="641" t="s">
        <v>836</v>
      </c>
      <c r="B362" s="641" t="str">
        <f>IF('Proposed Lighting'!AU59=3,"Commercial-All Com-ExtLight",IF('Proposed Lighting'!AH59&gt;8759,"IPC_8760","Commercial-All Com-IntLight"))</f>
        <v>IPC_8760</v>
      </c>
      <c r="C362" s="641" t="str">
        <f>IF(OR(E362="",E362=0),"No",
IF(AND('Data Entry'!$AF$23="OR",AE362&lt;1),"No",
IF(AND('Data Entry'!$AF$23="ID",E362="Non-standard lighting control system",AD362&lt;1),"No",
IF(AND('Data Entry'!$AF$23="OR",'Proposed Lighting'!F59="Existing LED (Provide Description)",'Proposed Lighting'!AK59=""),"No",
IF('Proposed Lighting'!DD59="Submit Control as Non-Standard","No",
IF(AND('Proposed Lighting'!T59="Non-Standard (Provide Description)",AD362&lt;1),"No",
IF('Proposed Lighting'!AW59&lt;'Proposed Lighting'!AZ59,"No","Yes")))))))</f>
        <v>No</v>
      </c>
      <c r="D362" s="1604">
        <f>'Proposed Lighting'!BQ59-Q362</f>
        <v>0</v>
      </c>
      <c r="E362" s="642" t="str">
        <f>IF('Proposed Lighting'!W59="","",'Proposed Lighting'!W59)</f>
        <v/>
      </c>
      <c r="F362" s="642"/>
      <c r="G362" s="641" t="s">
        <v>786</v>
      </c>
      <c r="H362" s="643">
        <v>10</v>
      </c>
      <c r="I362" s="644">
        <v>1</v>
      </c>
      <c r="J362" s="723">
        <f>IF('Proposed Lighting'!EF59=0,'Proposed Lighting'!AA59,'Proposed Lighting'!EF59)</f>
        <v>0</v>
      </c>
      <c r="K362" s="643" t="str">
        <f>'Proposed Lighting'!CU59</f>
        <v/>
      </c>
      <c r="L362" s="643" t="str">
        <f t="shared" si="75"/>
        <v/>
      </c>
      <c r="M362" s="645">
        <f t="shared" si="80"/>
        <v>0</v>
      </c>
      <c r="N362" s="645"/>
      <c r="O362" s="722">
        <f>IFERROR('Proposed Lighting'!AC59/1000,0)</f>
        <v>0</v>
      </c>
      <c r="P362" s="644">
        <f>'Proposed Lighting'!AV59</f>
        <v>0</v>
      </c>
      <c r="Q362" s="644">
        <f>IF(AND('Proposed Lighting'!T59="Lighting Controls Only",'Data Entry'!$AF$23="OR",'Proposed Lighting'!AU59=2),0,
IF(AND('Proposed Lighting'!T59="Lighting Controls Only",'Data Entry'!$AF$23="OR",'Proposed Lighting'!AU59=3,OR('Proposed Lighting'!W59="ceiling mount",'Proposed Lighting'!W59="wall switch",'Proposed Lighting'!W59="fixture mount (on exisiting equip)",'Proposed Lighting'!W59="daylight harvesting (on existing equip)")),0,
IF('Proposed Lighting'!AF59=1,IF(P362=0,0,J362*O362*(L362*(1-P362))),IF('Proposed Lighting'!AU59=1,0,'Proposed Lighting'!AX59-'Proposed Lighting'!AY59))))</f>
        <v>0</v>
      </c>
      <c r="R362" s="646">
        <f>IF('Proposed Lighting'!T59="Non-standard (provide description",0,
IF(AND(E362="Non-standard control",'Proposed Lighting'!AU59=2),Q362*0.1,
IF(AND(E362="Non-standard control",'Proposed Lighting'!AU59=3),Q362*0.08,
IF('Proposed Lighting'!EF59=0,0,IF('Proposed Lighting'!AU59=1,0,
IF(AND('Data Entry'!$AF$23="ID",'Proposed Lighting'!T59="Lighting controls only"),VLOOKUP(E362,'Proposed Lighting'!$DO$97:$DP$106,2,FALSE),
IF(AND('Data Entry'!$AF$23="OR",'Proposed Lighting'!AU59=3,'Proposed Lighting'!T59="Lighting controls only"),VLOOKUP(E362,'Proposed Lighting'!$DO$127:$DP$134,2,FALSE),0)))))))*J362</f>
        <v>0</v>
      </c>
      <c r="S362" s="646">
        <f>IF(Q362&lt;0.01,0,IF('Proposed Lighting'!AK59&gt;0,'Proposed Lighting'!AK59*'Proposed Lighting'!EF59,0))</f>
        <v>0</v>
      </c>
      <c r="T362" s="647">
        <f t="shared" si="76"/>
        <v>0</v>
      </c>
      <c r="U362" s="648"/>
      <c r="V362" s="646">
        <f t="shared" si="81"/>
        <v>0</v>
      </c>
      <c r="W362" s="646">
        <f t="shared" si="82"/>
        <v>0</v>
      </c>
      <c r="X362" s="646">
        <f t="shared" si="83"/>
        <v>0</v>
      </c>
      <c r="Y362" s="646"/>
      <c r="Z362" s="646"/>
      <c r="AA362" s="646"/>
      <c r="AB362" s="646">
        <f t="shared" si="84"/>
        <v>0</v>
      </c>
      <c r="AC362" s="649" t="str">
        <f t="shared" si="85"/>
        <v/>
      </c>
      <c r="AD362" s="649" t="str">
        <f t="shared" si="86"/>
        <v/>
      </c>
      <c r="AE362" s="649" t="str">
        <f t="shared" si="87"/>
        <v/>
      </c>
      <c r="AF362" s="72"/>
      <c r="AG362" s="644">
        <f>IFERROR(IF($AV362="No",0,IF($AV362="yes",Summary!Q362,"")),"")</f>
        <v>0</v>
      </c>
      <c r="AH362" s="646">
        <f>IFERROR(IF($AV362="No",0,IF($AV362="yes",Summary!R362,"")),"")</f>
        <v>0</v>
      </c>
      <c r="AI362" s="646">
        <f>IFERROR(IF($AV362="No",0,IF($AV362="yes",Summary!S362,"")),"")</f>
        <v>0</v>
      </c>
      <c r="AJ362" s="647">
        <f>IFERROR(IF($AV362="No",0,IF($AV362="yes",Summary!T362,"")),"")</f>
        <v>0</v>
      </c>
      <c r="AK362" s="648">
        <f>IFERROR(IF($AV362="No",0,IF($AV362="yes",Summary!U362,"")),"")</f>
        <v>0</v>
      </c>
      <c r="AL362" s="646">
        <f>IFERROR(IF($AV362="No",0,IF($AV362="yes",Summary!V362,"")),"")</f>
        <v>0</v>
      </c>
      <c r="AM362" s="646">
        <f>IFERROR(IF($AV362="No",0,IF($AV362="yes",Summary!W362,"")),"")</f>
        <v>0</v>
      </c>
      <c r="AN362" s="646">
        <f>IFERROR(IF($AV362="No",0,IF($AV362="yes",Summary!X362,"")),"")</f>
        <v>0</v>
      </c>
      <c r="AO362" s="646">
        <f>IFERROR(IF($AV362="No",0,IF($AV362="yes",Summary!Y362+Z362,"")),"")</f>
        <v>0</v>
      </c>
      <c r="AP362" s="646">
        <f>IFERROR(IF($AV362="No",0,IF($AV362="yes",Summary!AB362,"")),"")</f>
        <v>0</v>
      </c>
      <c r="AQ362" s="649" t="str">
        <f t="shared" si="88"/>
        <v/>
      </c>
      <c r="AR362" s="649" t="str">
        <f t="shared" si="79"/>
        <v/>
      </c>
      <c r="AS362" s="649" t="str">
        <f t="shared" si="89"/>
        <v/>
      </c>
      <c r="AT362" s="641" t="s">
        <v>836</v>
      </c>
      <c r="AV362" t="str">
        <f>IF('Proposed Lighting'!AK59&gt;0,"No","Yes")</f>
        <v>Yes</v>
      </c>
    </row>
    <row r="363" spans="1:48" ht="34.5" customHeight="1" outlineLevel="1">
      <c r="A363" s="641" t="s">
        <v>837</v>
      </c>
      <c r="B363" s="641" t="str">
        <f>IF('Proposed Lighting'!AU60=3,"Commercial-All Com-ExtLight",IF('Proposed Lighting'!AH60&gt;8759,"IPC_8760","Commercial-All Com-IntLight"))</f>
        <v>IPC_8760</v>
      </c>
      <c r="C363" s="641" t="str">
        <f>IF(OR(E363="",E363=0),"No",
IF(AND('Data Entry'!$AF$23="OR",AE363&lt;1),"No",
IF(AND('Data Entry'!$AF$23="ID",E363="Non-standard lighting control system",AD363&lt;1),"No",
IF(AND('Data Entry'!$AF$23="OR",'Proposed Lighting'!F60="Existing LED (Provide Description)",'Proposed Lighting'!AK60=""),"No",
IF('Proposed Lighting'!DD60="Submit Control as Non-Standard","No",
IF(AND('Proposed Lighting'!T60="Non-Standard (Provide Description)",AD363&lt;1),"No",
IF('Proposed Lighting'!AW60&lt;'Proposed Lighting'!AZ60,"No","Yes")))))))</f>
        <v>No</v>
      </c>
      <c r="D363" s="1604">
        <f>'Proposed Lighting'!BQ60-Q363</f>
        <v>0</v>
      </c>
      <c r="E363" s="642" t="str">
        <f>IF('Proposed Lighting'!W60="","",'Proposed Lighting'!W60)</f>
        <v/>
      </c>
      <c r="F363" s="642"/>
      <c r="G363" s="641" t="s">
        <v>786</v>
      </c>
      <c r="H363" s="643">
        <v>10</v>
      </c>
      <c r="I363" s="644">
        <v>1</v>
      </c>
      <c r="J363" s="723">
        <f>IF('Proposed Lighting'!EF60=0,'Proposed Lighting'!AA60,'Proposed Lighting'!EF60)</f>
        <v>0</v>
      </c>
      <c r="K363" s="643" t="str">
        <f>'Proposed Lighting'!CU60</f>
        <v/>
      </c>
      <c r="L363" s="643" t="str">
        <f t="shared" si="75"/>
        <v/>
      </c>
      <c r="M363" s="645">
        <f t="shared" si="80"/>
        <v>0</v>
      </c>
      <c r="N363" s="645"/>
      <c r="O363" s="722">
        <f>IFERROR('Proposed Lighting'!AC60/1000,0)</f>
        <v>0</v>
      </c>
      <c r="P363" s="644">
        <f>'Proposed Lighting'!AV60</f>
        <v>0</v>
      </c>
      <c r="Q363" s="644">
        <f>IF(AND('Proposed Lighting'!T60="Lighting Controls Only",'Data Entry'!$AF$23="OR",'Proposed Lighting'!AU60=2),0,
IF(AND('Proposed Lighting'!T60="Lighting Controls Only",'Data Entry'!$AF$23="OR",'Proposed Lighting'!AU60=3,OR('Proposed Lighting'!W60="ceiling mount",'Proposed Lighting'!W60="wall switch",'Proposed Lighting'!W60="fixture mount (on exisiting equip)",'Proposed Lighting'!W60="daylight harvesting (on existing equip)")),0,
IF('Proposed Lighting'!AF60=1,IF(P363=0,0,J363*O363*(L363*(1-P363))),IF('Proposed Lighting'!AU60=1,0,'Proposed Lighting'!AX60-'Proposed Lighting'!AY60))))</f>
        <v>0</v>
      </c>
      <c r="R363" s="646">
        <f>IF('Proposed Lighting'!T60="Non-standard (provide description",0,
IF(AND(E363="Non-standard control",'Proposed Lighting'!AU60=2),Q363*0.1,
IF(AND(E363="Non-standard control",'Proposed Lighting'!AU60=3),Q363*0.08,
IF('Proposed Lighting'!EF60=0,0,IF('Proposed Lighting'!AU60=1,0,
IF(AND('Data Entry'!$AF$23="ID",'Proposed Lighting'!T60="Lighting controls only"),VLOOKUP(E363,'Proposed Lighting'!$DO$97:$DP$106,2,FALSE),
IF(AND('Data Entry'!$AF$23="OR",'Proposed Lighting'!AU60=3,'Proposed Lighting'!T60="Lighting controls only"),VLOOKUP(E363,'Proposed Lighting'!$DO$127:$DP$134,2,FALSE),0)))))))*J363</f>
        <v>0</v>
      </c>
      <c r="S363" s="646">
        <f>IF(Q363&lt;0.01,0,IF('Proposed Lighting'!AK60&gt;0,'Proposed Lighting'!AK60*'Proposed Lighting'!EF60,0))</f>
        <v>0</v>
      </c>
      <c r="T363" s="647">
        <f t="shared" si="76"/>
        <v>0</v>
      </c>
      <c r="U363" s="648"/>
      <c r="V363" s="646">
        <f t="shared" si="81"/>
        <v>0</v>
      </c>
      <c r="W363" s="646">
        <f t="shared" si="82"/>
        <v>0</v>
      </c>
      <c r="X363" s="646">
        <f t="shared" si="83"/>
        <v>0</v>
      </c>
      <c r="Y363" s="646"/>
      <c r="Z363" s="646"/>
      <c r="AA363" s="646"/>
      <c r="AB363" s="646">
        <f t="shared" si="84"/>
        <v>0</v>
      </c>
      <c r="AC363" s="649" t="str">
        <f t="shared" si="85"/>
        <v/>
      </c>
      <c r="AD363" s="649" t="str">
        <f t="shared" si="86"/>
        <v/>
      </c>
      <c r="AE363" s="649" t="str">
        <f t="shared" si="87"/>
        <v/>
      </c>
      <c r="AF363" s="72"/>
      <c r="AG363" s="644">
        <f>IFERROR(IF($AV363="No",0,IF($AV363="yes",Summary!Q363,"")),"")</f>
        <v>0</v>
      </c>
      <c r="AH363" s="646">
        <f>IFERROR(IF($AV363="No",0,IF($AV363="yes",Summary!R363,"")),"")</f>
        <v>0</v>
      </c>
      <c r="AI363" s="646">
        <f>IFERROR(IF($AV363="No",0,IF($AV363="yes",Summary!S363,"")),"")</f>
        <v>0</v>
      </c>
      <c r="AJ363" s="647">
        <f>IFERROR(IF($AV363="No",0,IF($AV363="yes",Summary!T363,"")),"")</f>
        <v>0</v>
      </c>
      <c r="AK363" s="648">
        <f>IFERROR(IF($AV363="No",0,IF($AV363="yes",Summary!U363,"")),"")</f>
        <v>0</v>
      </c>
      <c r="AL363" s="646">
        <f>IFERROR(IF($AV363="No",0,IF($AV363="yes",Summary!V363,"")),"")</f>
        <v>0</v>
      </c>
      <c r="AM363" s="646">
        <f>IFERROR(IF($AV363="No",0,IF($AV363="yes",Summary!W363,"")),"")</f>
        <v>0</v>
      </c>
      <c r="AN363" s="646">
        <f>IFERROR(IF($AV363="No",0,IF($AV363="yes",Summary!X363,"")),"")</f>
        <v>0</v>
      </c>
      <c r="AO363" s="646">
        <f>IFERROR(IF($AV363="No",0,IF($AV363="yes",Summary!Y363+Z363,"")),"")</f>
        <v>0</v>
      </c>
      <c r="AP363" s="646">
        <f>IFERROR(IF($AV363="No",0,IF($AV363="yes",Summary!AB363,"")),"")</f>
        <v>0</v>
      </c>
      <c r="AQ363" s="649" t="str">
        <f t="shared" si="88"/>
        <v/>
      </c>
      <c r="AR363" s="649" t="str">
        <f t="shared" si="79"/>
        <v/>
      </c>
      <c r="AS363" s="649" t="str">
        <f t="shared" si="89"/>
        <v/>
      </c>
      <c r="AT363" s="641" t="s">
        <v>837</v>
      </c>
      <c r="AV363" t="str">
        <f>IF('Proposed Lighting'!AK60&gt;0,"No","Yes")</f>
        <v>Yes</v>
      </c>
    </row>
    <row r="364" spans="1:48" ht="34.5" customHeight="1" outlineLevel="1">
      <c r="A364" s="641" t="s">
        <v>838</v>
      </c>
      <c r="B364" s="641" t="str">
        <f>IF('Proposed Lighting'!AU61=3,"Commercial-All Com-ExtLight",IF('Proposed Lighting'!AH61&gt;8759,"IPC_8760","Commercial-All Com-IntLight"))</f>
        <v>IPC_8760</v>
      </c>
      <c r="C364" s="641" t="str">
        <f>IF(OR(E364="",E364=0),"No",
IF(AND('Data Entry'!$AF$23="OR",AE364&lt;1),"No",
IF(AND('Data Entry'!$AF$23="ID",E364="Non-standard lighting control system",AD364&lt;1),"No",
IF(AND('Data Entry'!$AF$23="OR",'Proposed Lighting'!F61="Existing LED (Provide Description)",'Proposed Lighting'!AK61=""),"No",
IF('Proposed Lighting'!DD61="Submit Control as Non-Standard","No",
IF(AND('Proposed Lighting'!T61="Non-Standard (Provide Description)",AD364&lt;1),"No",
IF('Proposed Lighting'!AW61&lt;'Proposed Lighting'!AZ61,"No","Yes")))))))</f>
        <v>No</v>
      </c>
      <c r="D364" s="1604">
        <f>'Proposed Lighting'!BQ61-Q364</f>
        <v>0</v>
      </c>
      <c r="E364" s="642" t="str">
        <f>IF('Proposed Lighting'!W61="","",'Proposed Lighting'!W61)</f>
        <v/>
      </c>
      <c r="F364" s="642"/>
      <c r="G364" s="641" t="s">
        <v>786</v>
      </c>
      <c r="H364" s="643">
        <v>10</v>
      </c>
      <c r="I364" s="644">
        <v>1</v>
      </c>
      <c r="J364" s="723">
        <f>IF('Proposed Lighting'!EF61=0,'Proposed Lighting'!AA61,'Proposed Lighting'!EF61)</f>
        <v>0</v>
      </c>
      <c r="K364" s="643" t="str">
        <f>'Proposed Lighting'!CU61</f>
        <v/>
      </c>
      <c r="L364" s="643" t="str">
        <f t="shared" si="75"/>
        <v/>
      </c>
      <c r="M364" s="645">
        <f t="shared" si="80"/>
        <v>0</v>
      </c>
      <c r="N364" s="645"/>
      <c r="O364" s="722">
        <f>IFERROR('Proposed Lighting'!AC61/1000,0)</f>
        <v>0</v>
      </c>
      <c r="P364" s="644">
        <f>'Proposed Lighting'!AV61</f>
        <v>0</v>
      </c>
      <c r="Q364" s="644">
        <f>IF(AND('Proposed Lighting'!T61="Lighting Controls Only",'Data Entry'!$AF$23="OR",'Proposed Lighting'!AU61=2),0,
IF(AND('Proposed Lighting'!T61="Lighting Controls Only",'Data Entry'!$AF$23="OR",'Proposed Lighting'!AU61=3,OR('Proposed Lighting'!W61="ceiling mount",'Proposed Lighting'!W61="wall switch",'Proposed Lighting'!W61="fixture mount (on exisiting equip)",'Proposed Lighting'!W61="daylight harvesting (on existing equip)")),0,
IF('Proposed Lighting'!AF61=1,IF(P364=0,0,J364*O364*(L364*(1-P364))),IF('Proposed Lighting'!AU61=1,0,'Proposed Lighting'!AX61-'Proposed Lighting'!AY61))))</f>
        <v>0</v>
      </c>
      <c r="R364" s="646">
        <f>IF('Proposed Lighting'!T61="Non-standard (provide description",0,
IF(AND(E364="Non-standard control",'Proposed Lighting'!AU61=2),Q364*0.1,
IF(AND(E364="Non-standard control",'Proposed Lighting'!AU61=3),Q364*0.08,
IF('Proposed Lighting'!EF61=0,0,IF('Proposed Lighting'!AU61=1,0,
IF(AND('Data Entry'!$AF$23="ID",'Proposed Lighting'!T61="Lighting controls only"),VLOOKUP(E364,'Proposed Lighting'!$DO$97:$DP$106,2,FALSE),
IF(AND('Data Entry'!$AF$23="OR",'Proposed Lighting'!AU61=3,'Proposed Lighting'!T61="Lighting controls only"),VLOOKUP(E364,'Proposed Lighting'!$DO$127:$DP$134,2,FALSE),0)))))))*J364</f>
        <v>0</v>
      </c>
      <c r="S364" s="646">
        <f>IF(Q364&lt;0.01,0,IF('Proposed Lighting'!AK61&gt;0,'Proposed Lighting'!AK61*'Proposed Lighting'!EF61,0))</f>
        <v>0</v>
      </c>
      <c r="T364" s="647">
        <f t="shared" si="76"/>
        <v>0</v>
      </c>
      <c r="U364" s="648"/>
      <c r="V364" s="646">
        <f t="shared" si="81"/>
        <v>0</v>
      </c>
      <c r="W364" s="646">
        <f t="shared" si="82"/>
        <v>0</v>
      </c>
      <c r="X364" s="646">
        <f t="shared" si="83"/>
        <v>0</v>
      </c>
      <c r="Y364" s="646"/>
      <c r="Z364" s="646"/>
      <c r="AA364" s="646"/>
      <c r="AB364" s="646">
        <f t="shared" si="84"/>
        <v>0</v>
      </c>
      <c r="AC364" s="649" t="str">
        <f t="shared" si="85"/>
        <v/>
      </c>
      <c r="AD364" s="649" t="str">
        <f t="shared" si="86"/>
        <v/>
      </c>
      <c r="AE364" s="649" t="str">
        <f t="shared" si="87"/>
        <v/>
      </c>
      <c r="AF364" s="72"/>
      <c r="AG364" s="644">
        <f>IFERROR(IF($AV364="No",0,IF($AV364="yes",Summary!Q364,"")),"")</f>
        <v>0</v>
      </c>
      <c r="AH364" s="646">
        <f>IFERROR(IF($AV364="No",0,IF($AV364="yes",Summary!R364,"")),"")</f>
        <v>0</v>
      </c>
      <c r="AI364" s="646">
        <f>IFERROR(IF($AV364="No",0,IF($AV364="yes",Summary!S364,"")),"")</f>
        <v>0</v>
      </c>
      <c r="AJ364" s="647">
        <f>IFERROR(IF($AV364="No",0,IF($AV364="yes",Summary!T364,"")),"")</f>
        <v>0</v>
      </c>
      <c r="AK364" s="648">
        <f>IFERROR(IF($AV364="No",0,IF($AV364="yes",Summary!U364,"")),"")</f>
        <v>0</v>
      </c>
      <c r="AL364" s="646">
        <f>IFERROR(IF($AV364="No",0,IF($AV364="yes",Summary!V364,"")),"")</f>
        <v>0</v>
      </c>
      <c r="AM364" s="646">
        <f>IFERROR(IF($AV364="No",0,IF($AV364="yes",Summary!W364,"")),"")</f>
        <v>0</v>
      </c>
      <c r="AN364" s="646">
        <f>IFERROR(IF($AV364="No",0,IF($AV364="yes",Summary!X364,"")),"")</f>
        <v>0</v>
      </c>
      <c r="AO364" s="646">
        <f>IFERROR(IF($AV364="No",0,IF($AV364="yes",Summary!Y364+Z364,"")),"")</f>
        <v>0</v>
      </c>
      <c r="AP364" s="646">
        <f>IFERROR(IF($AV364="No",0,IF($AV364="yes",Summary!AB364,"")),"")</f>
        <v>0</v>
      </c>
      <c r="AQ364" s="649" t="str">
        <f t="shared" si="88"/>
        <v/>
      </c>
      <c r="AR364" s="649" t="str">
        <f t="shared" si="79"/>
        <v/>
      </c>
      <c r="AS364" s="649" t="str">
        <f t="shared" si="89"/>
        <v/>
      </c>
      <c r="AT364" s="641" t="s">
        <v>838</v>
      </c>
      <c r="AV364" t="str">
        <f>IF('Proposed Lighting'!AK61&gt;0,"No","Yes")</f>
        <v>Yes</v>
      </c>
    </row>
    <row r="365" spans="1:48" ht="34.5" customHeight="1" outlineLevel="1">
      <c r="A365" s="641" t="s">
        <v>839</v>
      </c>
      <c r="B365" s="641" t="str">
        <f>IF('Proposed Lighting'!AU62=3,"Commercial-All Com-ExtLight",IF('Proposed Lighting'!AH62&gt;8759,"IPC_8760","Commercial-All Com-IntLight"))</f>
        <v>IPC_8760</v>
      </c>
      <c r="C365" s="641" t="str">
        <f>IF(OR(E365="",E365=0),"No",
IF(AND('Data Entry'!$AF$23="OR",AE365&lt;1),"No",
IF(AND('Data Entry'!$AF$23="ID",E365="Non-standard lighting control system",AD365&lt;1),"No",
IF(AND('Data Entry'!$AF$23="OR",'Proposed Lighting'!F62="Existing LED (Provide Description)",'Proposed Lighting'!AK62=""),"No",
IF('Proposed Lighting'!DD62="Submit Control as Non-Standard","No",
IF(AND('Proposed Lighting'!T62="Non-Standard (Provide Description)",AD365&lt;1),"No",
IF('Proposed Lighting'!AW62&lt;'Proposed Lighting'!AZ62,"No","Yes")))))))</f>
        <v>No</v>
      </c>
      <c r="D365" s="1604">
        <f>'Proposed Lighting'!BQ62-Q365</f>
        <v>0</v>
      </c>
      <c r="E365" s="642" t="str">
        <f>IF('Proposed Lighting'!W62="","",'Proposed Lighting'!W62)</f>
        <v/>
      </c>
      <c r="F365" s="642"/>
      <c r="G365" s="641" t="s">
        <v>786</v>
      </c>
      <c r="H365" s="643">
        <v>10</v>
      </c>
      <c r="I365" s="644">
        <v>1</v>
      </c>
      <c r="J365" s="723">
        <f>IF('Proposed Lighting'!EF62=0,'Proposed Lighting'!AA62,'Proposed Lighting'!EF62)</f>
        <v>0</v>
      </c>
      <c r="K365" s="643" t="str">
        <f>'Proposed Lighting'!CU62</f>
        <v/>
      </c>
      <c r="L365" s="643" t="str">
        <f t="shared" si="75"/>
        <v/>
      </c>
      <c r="M365" s="645">
        <f t="shared" si="80"/>
        <v>0</v>
      </c>
      <c r="N365" s="645"/>
      <c r="O365" s="722">
        <f>IFERROR('Proposed Lighting'!AC62/1000,0)</f>
        <v>0</v>
      </c>
      <c r="P365" s="644">
        <f>'Proposed Lighting'!AV62</f>
        <v>0</v>
      </c>
      <c r="Q365" s="644">
        <f>IF(AND('Proposed Lighting'!T62="Lighting Controls Only",'Data Entry'!$AF$23="OR",'Proposed Lighting'!AU62=2),0,
IF(AND('Proposed Lighting'!T62="Lighting Controls Only",'Data Entry'!$AF$23="OR",'Proposed Lighting'!AU62=3,OR('Proposed Lighting'!W62="ceiling mount",'Proposed Lighting'!W62="wall switch",'Proposed Lighting'!W62="fixture mount (on exisiting equip)",'Proposed Lighting'!W62="daylight harvesting (on existing equip)")),0,
IF('Proposed Lighting'!AF62=1,IF(P365=0,0,J365*O365*(L365*(1-P365))),IF('Proposed Lighting'!AU62=1,0,'Proposed Lighting'!AX62-'Proposed Lighting'!AY62))))</f>
        <v>0</v>
      </c>
      <c r="R365" s="646">
        <f>IF('Proposed Lighting'!T62="Non-standard (provide description",0,
IF(AND(E365="Non-standard control",'Proposed Lighting'!AU62=2),Q365*0.1,
IF(AND(E365="Non-standard control",'Proposed Lighting'!AU62=3),Q365*0.08,
IF('Proposed Lighting'!EF62=0,0,IF('Proposed Lighting'!AU62=1,0,
IF(AND('Data Entry'!$AF$23="ID",'Proposed Lighting'!T62="Lighting controls only"),VLOOKUP(E365,'Proposed Lighting'!$DO$97:$DP$106,2,FALSE),
IF(AND('Data Entry'!$AF$23="OR",'Proposed Lighting'!AU62=3,'Proposed Lighting'!T62="Lighting controls only"),VLOOKUP(E365,'Proposed Lighting'!$DO$127:$DP$134,2,FALSE),0)))))))*J365</f>
        <v>0</v>
      </c>
      <c r="S365" s="646">
        <f>IF(Q365&lt;0.01,0,IF('Proposed Lighting'!AK62&gt;0,'Proposed Lighting'!AK62*'Proposed Lighting'!EF62,0))</f>
        <v>0</v>
      </c>
      <c r="T365" s="647">
        <f t="shared" si="76"/>
        <v>0</v>
      </c>
      <c r="U365" s="648"/>
      <c r="V365" s="646">
        <f t="shared" si="81"/>
        <v>0</v>
      </c>
      <c r="W365" s="646">
        <f t="shared" si="82"/>
        <v>0</v>
      </c>
      <c r="X365" s="646">
        <f t="shared" si="83"/>
        <v>0</v>
      </c>
      <c r="Y365" s="646"/>
      <c r="Z365" s="646"/>
      <c r="AA365" s="646"/>
      <c r="AB365" s="646">
        <f t="shared" si="84"/>
        <v>0</v>
      </c>
      <c r="AC365" s="649" t="str">
        <f t="shared" si="85"/>
        <v/>
      </c>
      <c r="AD365" s="649" t="str">
        <f t="shared" si="86"/>
        <v/>
      </c>
      <c r="AE365" s="649" t="str">
        <f t="shared" si="87"/>
        <v/>
      </c>
      <c r="AF365" s="72"/>
      <c r="AG365" s="644">
        <f>IFERROR(IF($AV365="No",0,IF($AV365="yes",Summary!Q365,"")),"")</f>
        <v>0</v>
      </c>
      <c r="AH365" s="646">
        <f>IFERROR(IF($AV365="No",0,IF($AV365="yes",Summary!R365,"")),"")</f>
        <v>0</v>
      </c>
      <c r="AI365" s="646">
        <f>IFERROR(IF($AV365="No",0,IF($AV365="yes",Summary!S365,"")),"")</f>
        <v>0</v>
      </c>
      <c r="AJ365" s="647">
        <f>IFERROR(IF($AV365="No",0,IF($AV365="yes",Summary!T365,"")),"")</f>
        <v>0</v>
      </c>
      <c r="AK365" s="648">
        <f>IFERROR(IF($AV365="No",0,IF($AV365="yes",Summary!U365,"")),"")</f>
        <v>0</v>
      </c>
      <c r="AL365" s="646">
        <f>IFERROR(IF($AV365="No",0,IF($AV365="yes",Summary!V365,"")),"")</f>
        <v>0</v>
      </c>
      <c r="AM365" s="646">
        <f>IFERROR(IF($AV365="No",0,IF($AV365="yes",Summary!W365,"")),"")</f>
        <v>0</v>
      </c>
      <c r="AN365" s="646">
        <f>IFERROR(IF($AV365="No",0,IF($AV365="yes",Summary!X365,"")),"")</f>
        <v>0</v>
      </c>
      <c r="AO365" s="646">
        <f>IFERROR(IF($AV365="No",0,IF($AV365="yes",Summary!Y365+Z365,"")),"")</f>
        <v>0</v>
      </c>
      <c r="AP365" s="646">
        <f>IFERROR(IF($AV365="No",0,IF($AV365="yes",Summary!AB365,"")),"")</f>
        <v>0</v>
      </c>
      <c r="AQ365" s="649" t="str">
        <f t="shared" si="88"/>
        <v/>
      </c>
      <c r="AR365" s="649" t="str">
        <f t="shared" si="79"/>
        <v/>
      </c>
      <c r="AS365" s="649" t="str">
        <f t="shared" si="89"/>
        <v/>
      </c>
      <c r="AT365" s="641" t="s">
        <v>839</v>
      </c>
      <c r="AV365" t="str">
        <f>IF('Proposed Lighting'!AK62&gt;0,"No","Yes")</f>
        <v>Yes</v>
      </c>
    </row>
    <row r="366" spans="1:48" ht="34.5" customHeight="1" outlineLevel="1">
      <c r="A366" s="641" t="s">
        <v>840</v>
      </c>
      <c r="B366" s="641" t="str">
        <f>IF('Proposed Lighting'!AU63=3,"Commercial-All Com-ExtLight",IF('Proposed Lighting'!AH63&gt;8759,"IPC_8760","Commercial-All Com-IntLight"))</f>
        <v>IPC_8760</v>
      </c>
      <c r="C366" s="641" t="str">
        <f>IF(OR(E366="",E366=0),"No",
IF(AND('Data Entry'!$AF$23="OR",AE366&lt;1),"No",
IF(AND('Data Entry'!$AF$23="ID",E366="Non-standard lighting control system",AD366&lt;1),"No",
IF(AND('Data Entry'!$AF$23="OR",'Proposed Lighting'!F63="Existing LED (Provide Description)",'Proposed Lighting'!AK63=""),"No",
IF('Proposed Lighting'!DD63="Submit Control as Non-Standard","No",
IF(AND('Proposed Lighting'!T63="Non-Standard (Provide Description)",AD366&lt;1),"No",
IF('Proposed Lighting'!AW63&lt;'Proposed Lighting'!AZ63,"No","Yes")))))))</f>
        <v>No</v>
      </c>
      <c r="D366" s="1604">
        <f>'Proposed Lighting'!BQ63-Q366</f>
        <v>0</v>
      </c>
      <c r="E366" s="642" t="str">
        <f>IF('Proposed Lighting'!W63="","",'Proposed Lighting'!W63)</f>
        <v/>
      </c>
      <c r="F366" s="642"/>
      <c r="G366" s="641" t="s">
        <v>786</v>
      </c>
      <c r="H366" s="643">
        <v>10</v>
      </c>
      <c r="I366" s="644">
        <v>1</v>
      </c>
      <c r="J366" s="723">
        <f>IF('Proposed Lighting'!EF63=0,'Proposed Lighting'!AA63,'Proposed Lighting'!EF63)</f>
        <v>0</v>
      </c>
      <c r="K366" s="643" t="str">
        <f>'Proposed Lighting'!CU63</f>
        <v/>
      </c>
      <c r="L366" s="643" t="str">
        <f t="shared" si="75"/>
        <v/>
      </c>
      <c r="M366" s="645">
        <f t="shared" si="80"/>
        <v>0</v>
      </c>
      <c r="N366" s="645"/>
      <c r="O366" s="722">
        <f>IFERROR('Proposed Lighting'!AC63/1000,0)</f>
        <v>0</v>
      </c>
      <c r="P366" s="644">
        <f>'Proposed Lighting'!AV63</f>
        <v>0</v>
      </c>
      <c r="Q366" s="644">
        <f>IF(AND('Proposed Lighting'!T63="Lighting Controls Only",'Data Entry'!$AF$23="OR",'Proposed Lighting'!AU63=2),0,
IF(AND('Proposed Lighting'!T63="Lighting Controls Only",'Data Entry'!$AF$23="OR",'Proposed Lighting'!AU63=3,OR('Proposed Lighting'!W63="ceiling mount",'Proposed Lighting'!W63="wall switch",'Proposed Lighting'!W63="fixture mount (on exisiting equip)",'Proposed Lighting'!W63="daylight harvesting (on existing equip)")),0,
IF('Proposed Lighting'!AF63=1,IF(P366=0,0,J366*O366*(L366*(1-P366))),IF('Proposed Lighting'!AU63=1,0,'Proposed Lighting'!AX63-'Proposed Lighting'!AY63))))</f>
        <v>0</v>
      </c>
      <c r="R366" s="646">
        <f>IF('Proposed Lighting'!T63="Non-standard (provide description",0,
IF(AND(E366="Non-standard control",'Proposed Lighting'!AU63=2),Q366*0.1,
IF(AND(E366="Non-standard control",'Proposed Lighting'!AU63=3),Q366*0.08,
IF('Proposed Lighting'!EF63=0,0,IF('Proposed Lighting'!AU63=1,0,
IF(AND('Data Entry'!$AF$23="ID",'Proposed Lighting'!T63="Lighting controls only"),VLOOKUP(E366,'Proposed Lighting'!$DO$97:$DP$106,2,FALSE),
IF(AND('Data Entry'!$AF$23="OR",'Proposed Lighting'!AU63=3,'Proposed Lighting'!T63="Lighting controls only"),VLOOKUP(E366,'Proposed Lighting'!$DO$127:$DP$134,2,FALSE),0)))))))*J366</f>
        <v>0</v>
      </c>
      <c r="S366" s="646">
        <f>IF(Q366&lt;0.01,0,IF('Proposed Lighting'!AK63&gt;0,'Proposed Lighting'!AK63*'Proposed Lighting'!EF63,0))</f>
        <v>0</v>
      </c>
      <c r="T366" s="647">
        <f t="shared" si="76"/>
        <v>0</v>
      </c>
      <c r="U366" s="648"/>
      <c r="V366" s="646">
        <f t="shared" si="81"/>
        <v>0</v>
      </c>
      <c r="W366" s="646">
        <f t="shared" si="82"/>
        <v>0</v>
      </c>
      <c r="X366" s="646">
        <f t="shared" si="83"/>
        <v>0</v>
      </c>
      <c r="Y366" s="646"/>
      <c r="Z366" s="646"/>
      <c r="AA366" s="646"/>
      <c r="AB366" s="646">
        <f t="shared" si="84"/>
        <v>0</v>
      </c>
      <c r="AC366" s="649" t="str">
        <f t="shared" si="85"/>
        <v/>
      </c>
      <c r="AD366" s="649" t="str">
        <f t="shared" si="86"/>
        <v/>
      </c>
      <c r="AE366" s="649" t="str">
        <f t="shared" si="87"/>
        <v/>
      </c>
      <c r="AF366" s="72"/>
      <c r="AG366" s="644">
        <f>IFERROR(IF($AV366="No",0,IF($AV366="yes",Summary!Q366,"")),"")</f>
        <v>0</v>
      </c>
      <c r="AH366" s="646">
        <f>IFERROR(IF($AV366="No",0,IF($AV366="yes",Summary!R366,"")),"")</f>
        <v>0</v>
      </c>
      <c r="AI366" s="646">
        <f>IFERROR(IF($AV366="No",0,IF($AV366="yes",Summary!S366,"")),"")</f>
        <v>0</v>
      </c>
      <c r="AJ366" s="647">
        <f>IFERROR(IF($AV366="No",0,IF($AV366="yes",Summary!T366,"")),"")</f>
        <v>0</v>
      </c>
      <c r="AK366" s="648">
        <f>IFERROR(IF($AV366="No",0,IF($AV366="yes",Summary!U366,"")),"")</f>
        <v>0</v>
      </c>
      <c r="AL366" s="646">
        <f>IFERROR(IF($AV366="No",0,IF($AV366="yes",Summary!V366,"")),"")</f>
        <v>0</v>
      </c>
      <c r="AM366" s="646">
        <f>IFERROR(IF($AV366="No",0,IF($AV366="yes",Summary!W366,"")),"")</f>
        <v>0</v>
      </c>
      <c r="AN366" s="646">
        <f>IFERROR(IF($AV366="No",0,IF($AV366="yes",Summary!X366,"")),"")</f>
        <v>0</v>
      </c>
      <c r="AO366" s="646">
        <f>IFERROR(IF($AV366="No",0,IF($AV366="yes",Summary!Y366+Z366,"")),"")</f>
        <v>0</v>
      </c>
      <c r="AP366" s="646">
        <f>IFERROR(IF($AV366="No",0,IF($AV366="yes",Summary!AB366,"")),"")</f>
        <v>0</v>
      </c>
      <c r="AQ366" s="649" t="str">
        <f t="shared" si="88"/>
        <v/>
      </c>
      <c r="AR366" s="649" t="str">
        <f t="shared" si="79"/>
        <v/>
      </c>
      <c r="AS366" s="649" t="str">
        <f t="shared" si="89"/>
        <v/>
      </c>
      <c r="AT366" s="641" t="s">
        <v>840</v>
      </c>
      <c r="AV366" t="str">
        <f>IF('Proposed Lighting'!AK63&gt;0,"No","Yes")</f>
        <v>Yes</v>
      </c>
    </row>
    <row r="367" spans="1:48" ht="34.5" customHeight="1" outlineLevel="1">
      <c r="A367" s="641" t="s">
        <v>841</v>
      </c>
      <c r="B367" s="641" t="str">
        <f>IF('Proposed Lighting'!AU64=3,"Commercial-All Com-ExtLight",IF('Proposed Lighting'!AH64&gt;8759,"IPC_8760","Commercial-All Com-IntLight"))</f>
        <v>IPC_8760</v>
      </c>
      <c r="C367" s="641" t="str">
        <f>IF(OR(E367="",E367=0),"No",
IF(AND('Data Entry'!$AF$23="OR",AE367&lt;1),"No",
IF(AND('Data Entry'!$AF$23="ID",E367="Non-standard lighting control system",AD367&lt;1),"No",
IF(AND('Data Entry'!$AF$23="OR",'Proposed Lighting'!F64="Existing LED (Provide Description)",'Proposed Lighting'!AK64=""),"No",
IF('Proposed Lighting'!DD64="Submit Control as Non-Standard","No",
IF(AND('Proposed Lighting'!T64="Non-Standard (Provide Description)",AD367&lt;1),"No",
IF('Proposed Lighting'!AW64&lt;'Proposed Lighting'!AZ64,"No","Yes")))))))</f>
        <v>No</v>
      </c>
      <c r="D367" s="1604">
        <f>'Proposed Lighting'!BQ64-Q367</f>
        <v>0</v>
      </c>
      <c r="E367" s="642" t="str">
        <f>IF('Proposed Lighting'!W64="","",'Proposed Lighting'!W64)</f>
        <v/>
      </c>
      <c r="F367" s="642"/>
      <c r="G367" s="641" t="s">
        <v>786</v>
      </c>
      <c r="H367" s="643">
        <v>10</v>
      </c>
      <c r="I367" s="644">
        <v>1</v>
      </c>
      <c r="J367" s="723">
        <f>IF('Proposed Lighting'!EF64=0,'Proposed Lighting'!AA64,'Proposed Lighting'!EF64)</f>
        <v>0</v>
      </c>
      <c r="K367" s="643" t="str">
        <f>'Proposed Lighting'!CU64</f>
        <v/>
      </c>
      <c r="L367" s="643" t="str">
        <f t="shared" si="75"/>
        <v/>
      </c>
      <c r="M367" s="645">
        <f t="shared" si="80"/>
        <v>0</v>
      </c>
      <c r="N367" s="645"/>
      <c r="O367" s="722">
        <f>IFERROR('Proposed Lighting'!AC64/1000,0)</f>
        <v>0</v>
      </c>
      <c r="P367" s="644">
        <f>'Proposed Lighting'!AV64</f>
        <v>0</v>
      </c>
      <c r="Q367" s="644">
        <f>IF(AND('Proposed Lighting'!T64="Lighting Controls Only",'Data Entry'!$AF$23="OR",'Proposed Lighting'!AU64=2),0,
IF(AND('Proposed Lighting'!T64="Lighting Controls Only",'Data Entry'!$AF$23="OR",'Proposed Lighting'!AU64=3,OR('Proposed Lighting'!W64="ceiling mount",'Proposed Lighting'!W64="wall switch",'Proposed Lighting'!W64="fixture mount (on exisiting equip)",'Proposed Lighting'!W64="daylight harvesting (on existing equip)")),0,
IF('Proposed Lighting'!AF64=1,IF(P367=0,0,J367*O367*(L367*(1-P367))),IF('Proposed Lighting'!AU64=1,0,'Proposed Lighting'!AX64-'Proposed Lighting'!AY64))))</f>
        <v>0</v>
      </c>
      <c r="R367" s="646">
        <f>IF('Proposed Lighting'!T64="Non-standard (provide description",0,
IF(AND(E367="Non-standard control",'Proposed Lighting'!AU64=2),Q367*0.1,
IF(AND(E367="Non-standard control",'Proposed Lighting'!AU64=3),Q367*0.08,
IF('Proposed Lighting'!EF64=0,0,IF('Proposed Lighting'!AU64=1,0,
IF(AND('Data Entry'!$AF$23="ID",'Proposed Lighting'!T64="Lighting controls only"),VLOOKUP(E367,'Proposed Lighting'!$DO$97:$DP$106,2,FALSE),
IF(AND('Data Entry'!$AF$23="OR",'Proposed Lighting'!AU64=3,'Proposed Lighting'!T64="Lighting controls only"),VLOOKUP(E367,'Proposed Lighting'!$DO$127:$DP$134,2,FALSE),0)))))))*J367</f>
        <v>0</v>
      </c>
      <c r="S367" s="646">
        <f>IF(Q367&lt;0.01,0,IF('Proposed Lighting'!AK64&gt;0,'Proposed Lighting'!AK64*'Proposed Lighting'!EF64,0))</f>
        <v>0</v>
      </c>
      <c r="T367" s="647">
        <f t="shared" si="76"/>
        <v>0</v>
      </c>
      <c r="U367" s="648"/>
      <c r="V367" s="646">
        <f t="shared" si="81"/>
        <v>0</v>
      </c>
      <c r="W367" s="646">
        <f t="shared" si="82"/>
        <v>0</v>
      </c>
      <c r="X367" s="646">
        <f t="shared" si="83"/>
        <v>0</v>
      </c>
      <c r="Y367" s="646"/>
      <c r="Z367" s="646"/>
      <c r="AA367" s="646"/>
      <c r="AB367" s="646">
        <f t="shared" si="84"/>
        <v>0</v>
      </c>
      <c r="AC367" s="649" t="str">
        <f t="shared" si="85"/>
        <v/>
      </c>
      <c r="AD367" s="649" t="str">
        <f t="shared" si="86"/>
        <v/>
      </c>
      <c r="AE367" s="649" t="str">
        <f t="shared" si="87"/>
        <v/>
      </c>
      <c r="AF367" s="72"/>
      <c r="AG367" s="644">
        <f>IFERROR(IF($AV367="No",0,IF($AV367="yes",Summary!Q367,"")),"")</f>
        <v>0</v>
      </c>
      <c r="AH367" s="646">
        <f>IFERROR(IF($AV367="No",0,IF($AV367="yes",Summary!R367,"")),"")</f>
        <v>0</v>
      </c>
      <c r="AI367" s="646">
        <f>IFERROR(IF($AV367="No",0,IF($AV367="yes",Summary!S367,"")),"")</f>
        <v>0</v>
      </c>
      <c r="AJ367" s="647">
        <f>IFERROR(IF($AV367="No",0,IF($AV367="yes",Summary!T367,"")),"")</f>
        <v>0</v>
      </c>
      <c r="AK367" s="648">
        <f>IFERROR(IF($AV367="No",0,IF($AV367="yes",Summary!U367,"")),"")</f>
        <v>0</v>
      </c>
      <c r="AL367" s="646">
        <f>IFERROR(IF($AV367="No",0,IF($AV367="yes",Summary!V367,"")),"")</f>
        <v>0</v>
      </c>
      <c r="AM367" s="646">
        <f>IFERROR(IF($AV367="No",0,IF($AV367="yes",Summary!W367,"")),"")</f>
        <v>0</v>
      </c>
      <c r="AN367" s="646">
        <f>IFERROR(IF($AV367="No",0,IF($AV367="yes",Summary!X367,"")),"")</f>
        <v>0</v>
      </c>
      <c r="AO367" s="646">
        <f>IFERROR(IF($AV367="No",0,IF($AV367="yes",Summary!Y367+Z367,"")),"")</f>
        <v>0</v>
      </c>
      <c r="AP367" s="646">
        <f>IFERROR(IF($AV367="No",0,IF($AV367="yes",Summary!AB367,"")),"")</f>
        <v>0</v>
      </c>
      <c r="AQ367" s="649" t="str">
        <f t="shared" si="88"/>
        <v/>
      </c>
      <c r="AR367" s="649" t="str">
        <f t="shared" si="79"/>
        <v/>
      </c>
      <c r="AS367" s="649" t="str">
        <f t="shared" si="89"/>
        <v/>
      </c>
      <c r="AT367" s="641" t="s">
        <v>841</v>
      </c>
      <c r="AV367" t="str">
        <f>IF('Proposed Lighting'!AK64&gt;0,"No","Yes")</f>
        <v>Yes</v>
      </c>
    </row>
    <row r="368" spans="1:48" ht="34.5" customHeight="1" outlineLevel="1">
      <c r="A368" s="641" t="s">
        <v>842</v>
      </c>
      <c r="B368" s="641" t="str">
        <f>IF('Proposed Lighting'!AU65=3,"Commercial-All Com-ExtLight",IF('Proposed Lighting'!AH65&gt;8759,"IPC_8760","Commercial-All Com-IntLight"))</f>
        <v>IPC_8760</v>
      </c>
      <c r="C368" s="641" t="str">
        <f>IF(OR(E368="",E368=0),"No",
IF(AND('Data Entry'!$AF$23="OR",AE368&lt;1),"No",
IF(AND('Data Entry'!$AF$23="ID",E368="Non-standard lighting control system",AD368&lt;1),"No",
IF(AND('Data Entry'!$AF$23="OR",'Proposed Lighting'!F65="Existing LED (Provide Description)",'Proposed Lighting'!AK65=""),"No",
IF('Proposed Lighting'!DD65="Submit Control as Non-Standard","No",
IF(AND('Proposed Lighting'!T65="Non-Standard (Provide Description)",AD368&lt;1),"No",
IF('Proposed Lighting'!AW65&lt;'Proposed Lighting'!AZ65,"No","Yes")))))))</f>
        <v>No</v>
      </c>
      <c r="D368" s="1604">
        <f>'Proposed Lighting'!BQ65-Q368</f>
        <v>0</v>
      </c>
      <c r="E368" s="642" t="str">
        <f>IF('Proposed Lighting'!W65="","",'Proposed Lighting'!W65)</f>
        <v/>
      </c>
      <c r="F368" s="642"/>
      <c r="G368" s="641" t="s">
        <v>786</v>
      </c>
      <c r="H368" s="643">
        <v>10</v>
      </c>
      <c r="I368" s="644">
        <v>1</v>
      </c>
      <c r="J368" s="723">
        <f>IF('Proposed Lighting'!EF65=0,'Proposed Lighting'!AA65,'Proposed Lighting'!EF65)</f>
        <v>0</v>
      </c>
      <c r="K368" s="643" t="str">
        <f>'Proposed Lighting'!CU65</f>
        <v/>
      </c>
      <c r="L368" s="643" t="str">
        <f t="shared" si="75"/>
        <v/>
      </c>
      <c r="M368" s="645">
        <f t="shared" si="80"/>
        <v>0</v>
      </c>
      <c r="N368" s="645"/>
      <c r="O368" s="722">
        <f>IFERROR('Proposed Lighting'!AC65/1000,0)</f>
        <v>0</v>
      </c>
      <c r="P368" s="644">
        <f>'Proposed Lighting'!AV65</f>
        <v>0</v>
      </c>
      <c r="Q368" s="644">
        <f>IF(AND('Proposed Lighting'!T65="Lighting Controls Only",'Data Entry'!$AF$23="OR",'Proposed Lighting'!AU65=2),0,
IF(AND('Proposed Lighting'!T65="Lighting Controls Only",'Data Entry'!$AF$23="OR",'Proposed Lighting'!AU65=3,OR('Proposed Lighting'!W65="ceiling mount",'Proposed Lighting'!W65="wall switch",'Proposed Lighting'!W65="fixture mount (on exisiting equip)",'Proposed Lighting'!W65="daylight harvesting (on existing equip)")),0,
IF('Proposed Lighting'!AF65=1,IF(P368=0,0,J368*O368*(L368*(1-P368))),IF('Proposed Lighting'!AU65=1,0,'Proposed Lighting'!AX65-'Proposed Lighting'!AY65))))</f>
        <v>0</v>
      </c>
      <c r="R368" s="646">
        <f>IF('Proposed Lighting'!T65="Non-standard (provide description",0,
IF(AND(E368="Non-standard control",'Proposed Lighting'!AU65=2),Q368*0.1,
IF(AND(E368="Non-standard control",'Proposed Lighting'!AU65=3),Q368*0.08,
IF('Proposed Lighting'!EF65=0,0,IF('Proposed Lighting'!AU65=1,0,
IF(AND('Data Entry'!$AF$23="ID",'Proposed Lighting'!T65="Lighting controls only"),VLOOKUP(E368,'Proposed Lighting'!$DO$97:$DP$106,2,FALSE),
IF(AND('Data Entry'!$AF$23="OR",'Proposed Lighting'!AU65=3,'Proposed Lighting'!T65="Lighting controls only"),VLOOKUP(E368,'Proposed Lighting'!$DO$127:$DP$134,2,FALSE),0)))))))*J368</f>
        <v>0</v>
      </c>
      <c r="S368" s="646">
        <f>IF(Q368&lt;0.01,0,IF('Proposed Lighting'!AK65&gt;0,'Proposed Lighting'!AK65*'Proposed Lighting'!EF65,0))</f>
        <v>0</v>
      </c>
      <c r="T368" s="647">
        <f t="shared" si="76"/>
        <v>0</v>
      </c>
      <c r="U368" s="648"/>
      <c r="V368" s="646">
        <f t="shared" si="81"/>
        <v>0</v>
      </c>
      <c r="W368" s="646">
        <f t="shared" si="82"/>
        <v>0</v>
      </c>
      <c r="X368" s="646">
        <f t="shared" si="83"/>
        <v>0</v>
      </c>
      <c r="Y368" s="646"/>
      <c r="Z368" s="646"/>
      <c r="AA368" s="646"/>
      <c r="AB368" s="646">
        <f t="shared" si="84"/>
        <v>0</v>
      </c>
      <c r="AC368" s="649" t="str">
        <f t="shared" si="85"/>
        <v/>
      </c>
      <c r="AD368" s="649" t="str">
        <f t="shared" si="86"/>
        <v/>
      </c>
      <c r="AE368" s="649" t="str">
        <f t="shared" si="87"/>
        <v/>
      </c>
      <c r="AF368" s="72"/>
      <c r="AG368" s="644">
        <f>IFERROR(IF($AV368="No",0,IF($AV368="yes",Summary!Q368,"")),"")</f>
        <v>0</v>
      </c>
      <c r="AH368" s="646">
        <f>IFERROR(IF($AV368="No",0,IF($AV368="yes",Summary!R368,"")),"")</f>
        <v>0</v>
      </c>
      <c r="AI368" s="646">
        <f>IFERROR(IF($AV368="No",0,IF($AV368="yes",Summary!S368,"")),"")</f>
        <v>0</v>
      </c>
      <c r="AJ368" s="647">
        <f>IFERROR(IF($AV368="No",0,IF($AV368="yes",Summary!T368,"")),"")</f>
        <v>0</v>
      </c>
      <c r="AK368" s="648">
        <f>IFERROR(IF($AV368="No",0,IF($AV368="yes",Summary!U368,"")),"")</f>
        <v>0</v>
      </c>
      <c r="AL368" s="646">
        <f>IFERROR(IF($AV368="No",0,IF($AV368="yes",Summary!V368,"")),"")</f>
        <v>0</v>
      </c>
      <c r="AM368" s="646">
        <f>IFERROR(IF($AV368="No",0,IF($AV368="yes",Summary!W368,"")),"")</f>
        <v>0</v>
      </c>
      <c r="AN368" s="646">
        <f>IFERROR(IF($AV368="No",0,IF($AV368="yes",Summary!X368,"")),"")</f>
        <v>0</v>
      </c>
      <c r="AO368" s="646">
        <f>IFERROR(IF($AV368="No",0,IF($AV368="yes",Summary!Y368+Z368,"")),"")</f>
        <v>0</v>
      </c>
      <c r="AP368" s="646">
        <f>IFERROR(IF($AV368="No",0,IF($AV368="yes",Summary!AB368,"")),"")</f>
        <v>0</v>
      </c>
      <c r="AQ368" s="649" t="str">
        <f t="shared" si="88"/>
        <v/>
      </c>
      <c r="AR368" s="649" t="str">
        <f t="shared" si="79"/>
        <v/>
      </c>
      <c r="AS368" s="649" t="str">
        <f t="shared" si="89"/>
        <v/>
      </c>
      <c r="AT368" s="641" t="s">
        <v>842</v>
      </c>
      <c r="AV368" t="str">
        <f>IF('Proposed Lighting'!AK65&gt;0,"No","Yes")</f>
        <v>Yes</v>
      </c>
    </row>
    <row r="369" spans="1:48" ht="34.5" customHeight="1" outlineLevel="1">
      <c r="A369" s="641" t="s">
        <v>843</v>
      </c>
      <c r="B369" s="641" t="str">
        <f>IF('Proposed Lighting'!AU66=3,"Commercial-All Com-ExtLight",IF('Proposed Lighting'!AH66&gt;8759,"IPC_8760","Commercial-All Com-IntLight"))</f>
        <v>IPC_8760</v>
      </c>
      <c r="C369" s="641" t="str">
        <f>IF(OR(E369="",E369=0),"No",
IF(AND('Data Entry'!$AF$23="OR",AE369&lt;1),"No",
IF(AND('Data Entry'!$AF$23="ID",E369="Non-standard lighting control system",AD369&lt;1),"No",
IF(AND('Data Entry'!$AF$23="OR",'Proposed Lighting'!F66="Existing LED (Provide Description)",'Proposed Lighting'!AK66=""),"No",
IF('Proposed Lighting'!DD66="Submit Control as Non-Standard","No",
IF(AND('Proposed Lighting'!T66="Non-Standard (Provide Description)",AD369&lt;1),"No",
IF('Proposed Lighting'!AW66&lt;'Proposed Lighting'!AZ66,"No","Yes")))))))</f>
        <v>No</v>
      </c>
      <c r="D369" s="1604">
        <f>'Proposed Lighting'!BQ66-Q369</f>
        <v>0</v>
      </c>
      <c r="E369" s="642" t="str">
        <f>IF('Proposed Lighting'!W66="","",'Proposed Lighting'!W66)</f>
        <v/>
      </c>
      <c r="F369" s="642"/>
      <c r="G369" s="641" t="s">
        <v>786</v>
      </c>
      <c r="H369" s="643">
        <v>10</v>
      </c>
      <c r="I369" s="644">
        <v>1</v>
      </c>
      <c r="J369" s="723">
        <f>IF('Proposed Lighting'!EF66=0,'Proposed Lighting'!AA66,'Proposed Lighting'!EF66)</f>
        <v>0</v>
      </c>
      <c r="K369" s="643" t="str">
        <f>'Proposed Lighting'!CU66</f>
        <v/>
      </c>
      <c r="L369" s="643" t="str">
        <f t="shared" si="75"/>
        <v/>
      </c>
      <c r="M369" s="645">
        <f t="shared" si="80"/>
        <v>0</v>
      </c>
      <c r="N369" s="645"/>
      <c r="O369" s="722">
        <f>IFERROR('Proposed Lighting'!AC66/1000,0)</f>
        <v>0</v>
      </c>
      <c r="P369" s="644">
        <f>'Proposed Lighting'!AV66</f>
        <v>0</v>
      </c>
      <c r="Q369" s="644">
        <f>IF(AND('Proposed Lighting'!T66="Lighting Controls Only",'Data Entry'!$AF$23="OR",'Proposed Lighting'!AU66=2),0,
IF(AND('Proposed Lighting'!T66="Lighting Controls Only",'Data Entry'!$AF$23="OR",'Proposed Lighting'!AU66=3,OR('Proposed Lighting'!W66="ceiling mount",'Proposed Lighting'!W66="wall switch",'Proposed Lighting'!W66="fixture mount (on exisiting equip)",'Proposed Lighting'!W66="daylight harvesting (on existing equip)")),0,
IF('Proposed Lighting'!AF66=1,IF(P369=0,0,J369*O369*(L369*(1-P369))),IF('Proposed Lighting'!AU66=1,0,'Proposed Lighting'!AX66-'Proposed Lighting'!AY66))))</f>
        <v>0</v>
      </c>
      <c r="R369" s="646">
        <f>IF('Proposed Lighting'!T66="Non-standard (provide description",0,
IF(AND(E369="Non-standard control",'Proposed Lighting'!AU66=2),Q369*0.1,
IF(AND(E369="Non-standard control",'Proposed Lighting'!AU66=3),Q369*0.08,
IF('Proposed Lighting'!EF66=0,0,IF('Proposed Lighting'!AU66=1,0,
IF(AND('Data Entry'!$AF$23="ID",'Proposed Lighting'!T66="Lighting controls only"),VLOOKUP(E369,'Proposed Lighting'!$DO$97:$DP$106,2,FALSE),
IF(AND('Data Entry'!$AF$23="OR",'Proposed Lighting'!AU66=3,'Proposed Lighting'!T66="Lighting controls only"),VLOOKUP(E369,'Proposed Lighting'!$DO$127:$DP$134,2,FALSE),0)))))))*J369</f>
        <v>0</v>
      </c>
      <c r="S369" s="646">
        <f>IF(Q369&lt;0.01,0,IF('Proposed Lighting'!AK66&gt;0,'Proposed Lighting'!AK66*'Proposed Lighting'!EF66,0))</f>
        <v>0</v>
      </c>
      <c r="T369" s="647">
        <f t="shared" si="76"/>
        <v>0</v>
      </c>
      <c r="U369" s="648"/>
      <c r="V369" s="646">
        <f t="shared" si="81"/>
        <v>0</v>
      </c>
      <c r="W369" s="646">
        <f t="shared" si="82"/>
        <v>0</v>
      </c>
      <c r="X369" s="646">
        <f t="shared" si="83"/>
        <v>0</v>
      </c>
      <c r="Y369" s="646"/>
      <c r="Z369" s="646"/>
      <c r="AA369" s="646"/>
      <c r="AB369" s="646">
        <f t="shared" si="84"/>
        <v>0</v>
      </c>
      <c r="AC369" s="649" t="str">
        <f t="shared" si="85"/>
        <v/>
      </c>
      <c r="AD369" s="649" t="str">
        <f t="shared" si="86"/>
        <v/>
      </c>
      <c r="AE369" s="649" t="str">
        <f t="shared" si="87"/>
        <v/>
      </c>
      <c r="AF369" s="72"/>
      <c r="AG369" s="644">
        <f>IFERROR(IF($AV369="No",0,IF($AV369="yes",Summary!Q369,"")),"")</f>
        <v>0</v>
      </c>
      <c r="AH369" s="646">
        <f>IFERROR(IF($AV369="No",0,IF($AV369="yes",Summary!R369,"")),"")</f>
        <v>0</v>
      </c>
      <c r="AI369" s="646">
        <f>IFERROR(IF($AV369="No",0,IF($AV369="yes",Summary!S369,"")),"")</f>
        <v>0</v>
      </c>
      <c r="AJ369" s="647">
        <f>IFERROR(IF($AV369="No",0,IF($AV369="yes",Summary!T369,"")),"")</f>
        <v>0</v>
      </c>
      <c r="AK369" s="648">
        <f>IFERROR(IF($AV369="No",0,IF($AV369="yes",Summary!U369,"")),"")</f>
        <v>0</v>
      </c>
      <c r="AL369" s="646">
        <f>IFERROR(IF($AV369="No",0,IF($AV369="yes",Summary!V369,"")),"")</f>
        <v>0</v>
      </c>
      <c r="AM369" s="646">
        <f>IFERROR(IF($AV369="No",0,IF($AV369="yes",Summary!W369,"")),"")</f>
        <v>0</v>
      </c>
      <c r="AN369" s="646">
        <f>IFERROR(IF($AV369="No",0,IF($AV369="yes",Summary!X369,"")),"")</f>
        <v>0</v>
      </c>
      <c r="AO369" s="646">
        <f>IFERROR(IF($AV369="No",0,IF($AV369="yes",Summary!Y369+Z369,"")),"")</f>
        <v>0</v>
      </c>
      <c r="AP369" s="646">
        <f>IFERROR(IF($AV369="No",0,IF($AV369="yes",Summary!AB369,"")),"")</f>
        <v>0</v>
      </c>
      <c r="AQ369" s="649" t="str">
        <f t="shared" si="88"/>
        <v/>
      </c>
      <c r="AR369" s="649" t="str">
        <f t="shared" si="79"/>
        <v/>
      </c>
      <c r="AS369" s="649" t="str">
        <f t="shared" si="89"/>
        <v/>
      </c>
      <c r="AT369" s="641" t="s">
        <v>843</v>
      </c>
      <c r="AV369" t="str">
        <f>IF('Proposed Lighting'!AK66&gt;0,"No","Yes")</f>
        <v>Yes</v>
      </c>
    </row>
    <row r="370" spans="1:48" ht="34.5" customHeight="1" outlineLevel="1">
      <c r="A370" s="641" t="s">
        <v>844</v>
      </c>
      <c r="B370" s="641" t="str">
        <f>IF('Proposed Lighting'!AU67=3,"Commercial-All Com-ExtLight",IF('Proposed Lighting'!AH67&gt;8759,"IPC_8760","Commercial-All Com-IntLight"))</f>
        <v>IPC_8760</v>
      </c>
      <c r="C370" s="641" t="str">
        <f>IF(OR(E370="",E370=0),"No",
IF(AND('Data Entry'!$AF$23="OR",AE370&lt;1),"No",
IF(AND('Data Entry'!$AF$23="ID",E370="Non-standard lighting control system",AD370&lt;1),"No",
IF(AND('Data Entry'!$AF$23="OR",'Proposed Lighting'!F67="Existing LED (Provide Description)",'Proposed Lighting'!AK67=""),"No",
IF('Proposed Lighting'!DD67="Submit Control as Non-Standard","No",
IF(AND('Proposed Lighting'!T67="Non-Standard (Provide Description)",AD370&lt;1),"No",
IF('Proposed Lighting'!AW67&lt;'Proposed Lighting'!AZ67,"No","Yes")))))))</f>
        <v>No</v>
      </c>
      <c r="D370" s="1604">
        <f>'Proposed Lighting'!BQ67-Q370</f>
        <v>0</v>
      </c>
      <c r="E370" s="642" t="str">
        <f>IF('Proposed Lighting'!W67="","",'Proposed Lighting'!W67)</f>
        <v/>
      </c>
      <c r="F370" s="642"/>
      <c r="G370" s="641" t="s">
        <v>786</v>
      </c>
      <c r="H370" s="643">
        <v>10</v>
      </c>
      <c r="I370" s="644">
        <v>1</v>
      </c>
      <c r="J370" s="723">
        <f>IF('Proposed Lighting'!EF67=0,'Proposed Lighting'!AA67,'Proposed Lighting'!EF67)</f>
        <v>0</v>
      </c>
      <c r="K370" s="643" t="str">
        <f>'Proposed Lighting'!CU67</f>
        <v/>
      </c>
      <c r="L370" s="643" t="str">
        <f t="shared" si="75"/>
        <v/>
      </c>
      <c r="M370" s="645">
        <f t="shared" si="80"/>
        <v>0</v>
      </c>
      <c r="N370" s="645"/>
      <c r="O370" s="722">
        <f>IFERROR('Proposed Lighting'!AC67/1000,0)</f>
        <v>0</v>
      </c>
      <c r="P370" s="644">
        <f>'Proposed Lighting'!AV67</f>
        <v>0</v>
      </c>
      <c r="Q370" s="644">
        <f>IF(AND('Proposed Lighting'!T67="Lighting Controls Only",'Data Entry'!$AF$23="OR",'Proposed Lighting'!AU67=2),0,
IF(AND('Proposed Lighting'!T67="Lighting Controls Only",'Data Entry'!$AF$23="OR",'Proposed Lighting'!AU67=3,OR('Proposed Lighting'!W67="ceiling mount",'Proposed Lighting'!W67="wall switch",'Proposed Lighting'!W67="fixture mount (on exisiting equip)",'Proposed Lighting'!W67="daylight harvesting (on existing equip)")),0,
IF('Proposed Lighting'!AF67=1,IF(P370=0,0,J370*O370*(L370*(1-P370))),IF('Proposed Lighting'!AU67=1,0,'Proposed Lighting'!AX67-'Proposed Lighting'!AY67))))</f>
        <v>0</v>
      </c>
      <c r="R370" s="646">
        <f>IF('Proposed Lighting'!T67="Non-standard (provide description",0,
IF(AND(E370="Non-standard control",'Proposed Lighting'!AU67=2),Q370*0.1,
IF(AND(E370="Non-standard control",'Proposed Lighting'!AU67=3),Q370*0.08,
IF('Proposed Lighting'!EF67=0,0,IF('Proposed Lighting'!AU67=1,0,
IF(AND('Data Entry'!$AF$23="ID",'Proposed Lighting'!T67="Lighting controls only"),VLOOKUP(E370,'Proposed Lighting'!$DO$97:$DP$106,2,FALSE),
IF(AND('Data Entry'!$AF$23="OR",'Proposed Lighting'!AU67=3,'Proposed Lighting'!T67="Lighting controls only"),VLOOKUP(E370,'Proposed Lighting'!$DO$127:$DP$134,2,FALSE),0)))))))*J370</f>
        <v>0</v>
      </c>
      <c r="S370" s="646">
        <f>IF(Q370&lt;0.01,0,IF('Proposed Lighting'!AK67&gt;0,'Proposed Lighting'!AK67*'Proposed Lighting'!EF67,0))</f>
        <v>0</v>
      </c>
      <c r="T370" s="647">
        <f t="shared" si="76"/>
        <v>0</v>
      </c>
      <c r="U370" s="648"/>
      <c r="V370" s="646">
        <f t="shared" si="81"/>
        <v>0</v>
      </c>
      <c r="W370" s="646">
        <f t="shared" si="82"/>
        <v>0</v>
      </c>
      <c r="X370" s="646">
        <f t="shared" si="83"/>
        <v>0</v>
      </c>
      <c r="Y370" s="646"/>
      <c r="Z370" s="646"/>
      <c r="AA370" s="646"/>
      <c r="AB370" s="646">
        <f t="shared" si="84"/>
        <v>0</v>
      </c>
      <c r="AC370" s="649" t="str">
        <f t="shared" si="85"/>
        <v/>
      </c>
      <c r="AD370" s="649" t="str">
        <f t="shared" si="86"/>
        <v/>
      </c>
      <c r="AE370" s="649" t="str">
        <f t="shared" si="87"/>
        <v/>
      </c>
      <c r="AF370" s="72"/>
      <c r="AG370" s="644">
        <f>IFERROR(IF($AV370="No",0,IF($AV370="yes",Summary!Q370,"")),"")</f>
        <v>0</v>
      </c>
      <c r="AH370" s="646">
        <f>IFERROR(IF($AV370="No",0,IF($AV370="yes",Summary!R370,"")),"")</f>
        <v>0</v>
      </c>
      <c r="AI370" s="646">
        <f>IFERROR(IF($AV370="No",0,IF($AV370="yes",Summary!S370,"")),"")</f>
        <v>0</v>
      </c>
      <c r="AJ370" s="647">
        <f>IFERROR(IF($AV370="No",0,IF($AV370="yes",Summary!T370,"")),"")</f>
        <v>0</v>
      </c>
      <c r="AK370" s="648">
        <f>IFERROR(IF($AV370="No",0,IF($AV370="yes",Summary!U370,"")),"")</f>
        <v>0</v>
      </c>
      <c r="AL370" s="646">
        <f>IFERROR(IF($AV370="No",0,IF($AV370="yes",Summary!V370,"")),"")</f>
        <v>0</v>
      </c>
      <c r="AM370" s="646">
        <f>IFERROR(IF($AV370="No",0,IF($AV370="yes",Summary!W370,"")),"")</f>
        <v>0</v>
      </c>
      <c r="AN370" s="646">
        <f>IFERROR(IF($AV370="No",0,IF($AV370="yes",Summary!X370,"")),"")</f>
        <v>0</v>
      </c>
      <c r="AO370" s="646">
        <f>IFERROR(IF($AV370="No",0,IF($AV370="yes",Summary!Y370+Z370,"")),"")</f>
        <v>0</v>
      </c>
      <c r="AP370" s="646">
        <f>IFERROR(IF($AV370="No",0,IF($AV370="yes",Summary!AB370,"")),"")</f>
        <v>0</v>
      </c>
      <c r="AQ370" s="649" t="str">
        <f t="shared" si="88"/>
        <v/>
      </c>
      <c r="AR370" s="649" t="str">
        <f t="shared" si="79"/>
        <v/>
      </c>
      <c r="AS370" s="649" t="str">
        <f t="shared" si="89"/>
        <v/>
      </c>
      <c r="AT370" s="641" t="s">
        <v>844</v>
      </c>
      <c r="AV370" t="str">
        <f>IF('Proposed Lighting'!AK67&gt;0,"No","Yes")</f>
        <v>Yes</v>
      </c>
    </row>
    <row r="371" spans="1:48" ht="34.5" customHeight="1" outlineLevel="1">
      <c r="A371" s="641" t="s">
        <v>845</v>
      </c>
      <c r="B371" s="641" t="str">
        <f>IF('Proposed Lighting'!AU68=3,"Commercial-All Com-ExtLight",IF('Proposed Lighting'!AH68&gt;8759,"IPC_8760","Commercial-All Com-IntLight"))</f>
        <v>IPC_8760</v>
      </c>
      <c r="C371" s="641" t="str">
        <f>IF(OR(E371="",E371=0),"No",
IF(AND('Data Entry'!$AF$23="OR",AE371&lt;1),"No",
IF(AND('Data Entry'!$AF$23="ID",E371="Non-standard lighting control system",AD371&lt;1),"No",
IF(AND('Data Entry'!$AF$23="OR",'Proposed Lighting'!F68="Existing LED (Provide Description)",'Proposed Lighting'!AK68=""),"No",
IF('Proposed Lighting'!DD68="Submit Control as Non-Standard","No",
IF(AND('Proposed Lighting'!T68="Non-Standard (Provide Description)",AD371&lt;1),"No",
IF('Proposed Lighting'!AW68&lt;'Proposed Lighting'!AZ68,"No","Yes")))))))</f>
        <v>No</v>
      </c>
      <c r="D371" s="1604">
        <f>'Proposed Lighting'!BQ68-Q371</f>
        <v>0</v>
      </c>
      <c r="E371" s="642" t="str">
        <f>IF('Proposed Lighting'!W68="","",'Proposed Lighting'!W68)</f>
        <v/>
      </c>
      <c r="F371" s="642"/>
      <c r="G371" s="641" t="s">
        <v>786</v>
      </c>
      <c r="H371" s="643">
        <v>10</v>
      </c>
      <c r="I371" s="644">
        <v>1</v>
      </c>
      <c r="J371" s="723">
        <f>IF('Proposed Lighting'!EF68=0,'Proposed Lighting'!AA68,'Proposed Lighting'!EF68)</f>
        <v>0</v>
      </c>
      <c r="K371" s="643" t="str">
        <f>'Proposed Lighting'!CU68</f>
        <v/>
      </c>
      <c r="L371" s="643" t="str">
        <f t="shared" si="75"/>
        <v/>
      </c>
      <c r="M371" s="645">
        <f t="shared" si="80"/>
        <v>0</v>
      </c>
      <c r="N371" s="645"/>
      <c r="O371" s="722">
        <f>IFERROR('Proposed Lighting'!AC68/1000,0)</f>
        <v>0</v>
      </c>
      <c r="P371" s="644">
        <f>'Proposed Lighting'!AV68</f>
        <v>0</v>
      </c>
      <c r="Q371" s="644">
        <f>IF(AND('Proposed Lighting'!T68="Lighting Controls Only",'Data Entry'!$AF$23="OR",'Proposed Lighting'!AU68=2),0,
IF(AND('Proposed Lighting'!T68="Lighting Controls Only",'Data Entry'!$AF$23="OR",'Proposed Lighting'!AU68=3,OR('Proposed Lighting'!W68="ceiling mount",'Proposed Lighting'!W68="wall switch",'Proposed Lighting'!W68="fixture mount (on exisiting equip)",'Proposed Lighting'!W68="daylight harvesting (on existing equip)")),0,
IF('Proposed Lighting'!AF68=1,IF(P371=0,0,J371*O371*(L371*(1-P371))),IF('Proposed Lighting'!AU68=1,0,'Proposed Lighting'!AX68-'Proposed Lighting'!AY68))))</f>
        <v>0</v>
      </c>
      <c r="R371" s="646">
        <f>IF('Proposed Lighting'!T68="Non-standard (provide description",0,
IF(AND(E371="Non-standard control",'Proposed Lighting'!AU68=2),Q371*0.1,
IF(AND(E371="Non-standard control",'Proposed Lighting'!AU68=3),Q371*0.08,
IF('Proposed Lighting'!EF68=0,0,IF('Proposed Lighting'!AU68=1,0,
IF(AND('Data Entry'!$AF$23="ID",'Proposed Lighting'!T68="Lighting controls only"),VLOOKUP(E371,'Proposed Lighting'!$DO$97:$DP$106,2,FALSE),
IF(AND('Data Entry'!$AF$23="OR",'Proposed Lighting'!AU68=3,'Proposed Lighting'!T68="Lighting controls only"),VLOOKUP(E371,'Proposed Lighting'!$DO$127:$DP$134,2,FALSE),0)))))))*J371</f>
        <v>0</v>
      </c>
      <c r="S371" s="646">
        <f>IF(Q371&lt;0.01,0,IF('Proposed Lighting'!AK68&gt;0,'Proposed Lighting'!AK68*'Proposed Lighting'!EF68,0))</f>
        <v>0</v>
      </c>
      <c r="T371" s="647">
        <f t="shared" si="76"/>
        <v>0</v>
      </c>
      <c r="U371" s="648"/>
      <c r="V371" s="646">
        <f t="shared" si="81"/>
        <v>0</v>
      </c>
      <c r="W371" s="646">
        <f t="shared" si="82"/>
        <v>0</v>
      </c>
      <c r="X371" s="646">
        <f t="shared" si="83"/>
        <v>0</v>
      </c>
      <c r="Y371" s="646"/>
      <c r="Z371" s="646"/>
      <c r="AA371" s="646"/>
      <c r="AB371" s="646">
        <f t="shared" si="84"/>
        <v>0</v>
      </c>
      <c r="AC371" s="649" t="str">
        <f t="shared" si="85"/>
        <v/>
      </c>
      <c r="AD371" s="649" t="str">
        <f t="shared" si="86"/>
        <v/>
      </c>
      <c r="AE371" s="649" t="str">
        <f t="shared" si="87"/>
        <v/>
      </c>
      <c r="AF371" s="72"/>
      <c r="AG371" s="644">
        <f>IFERROR(IF($AV371="No",0,IF($AV371="yes",Summary!Q371,"")),"")</f>
        <v>0</v>
      </c>
      <c r="AH371" s="646">
        <f>IFERROR(IF($AV371="No",0,IF($AV371="yes",Summary!R371,"")),"")</f>
        <v>0</v>
      </c>
      <c r="AI371" s="646">
        <f>IFERROR(IF($AV371="No",0,IF($AV371="yes",Summary!S371,"")),"")</f>
        <v>0</v>
      </c>
      <c r="AJ371" s="647">
        <f>IFERROR(IF($AV371="No",0,IF($AV371="yes",Summary!T371,"")),"")</f>
        <v>0</v>
      </c>
      <c r="AK371" s="648">
        <f>IFERROR(IF($AV371="No",0,IF($AV371="yes",Summary!U371,"")),"")</f>
        <v>0</v>
      </c>
      <c r="AL371" s="646">
        <f>IFERROR(IF($AV371="No",0,IF($AV371="yes",Summary!V371,"")),"")</f>
        <v>0</v>
      </c>
      <c r="AM371" s="646">
        <f>IFERROR(IF($AV371="No",0,IF($AV371="yes",Summary!W371,"")),"")</f>
        <v>0</v>
      </c>
      <c r="AN371" s="646">
        <f>IFERROR(IF($AV371="No",0,IF($AV371="yes",Summary!X371,"")),"")</f>
        <v>0</v>
      </c>
      <c r="AO371" s="646">
        <f>IFERROR(IF($AV371="No",0,IF($AV371="yes",Summary!Y371+Z371,"")),"")</f>
        <v>0</v>
      </c>
      <c r="AP371" s="646">
        <f>IFERROR(IF($AV371="No",0,IF($AV371="yes",Summary!AB371,"")),"")</f>
        <v>0</v>
      </c>
      <c r="AQ371" s="649" t="str">
        <f t="shared" si="88"/>
        <v/>
      </c>
      <c r="AR371" s="649" t="str">
        <f t="shared" si="79"/>
        <v/>
      </c>
      <c r="AS371" s="649" t="str">
        <f t="shared" si="89"/>
        <v/>
      </c>
      <c r="AT371" s="641" t="s">
        <v>845</v>
      </c>
      <c r="AV371" t="str">
        <f>IF('Proposed Lighting'!AK68&gt;0,"No","Yes")</f>
        <v>Yes</v>
      </c>
    </row>
    <row r="372" spans="1:48" ht="34.5" customHeight="1" outlineLevel="1">
      <c r="A372" s="641" t="s">
        <v>846</v>
      </c>
      <c r="B372" s="641" t="str">
        <f>IF('Proposed Lighting'!AU69=3,"Commercial-All Com-ExtLight",IF('Proposed Lighting'!AH69&gt;8759,"IPC_8760","Commercial-All Com-IntLight"))</f>
        <v>IPC_8760</v>
      </c>
      <c r="C372" s="641" t="str">
        <f>IF(OR(E372="",E372=0),"No",
IF(AND('Data Entry'!$AF$23="OR",AE372&lt;1),"No",
IF(AND('Data Entry'!$AF$23="ID",E372="Non-standard lighting control system",AD372&lt;1),"No",
IF(AND('Data Entry'!$AF$23="OR",'Proposed Lighting'!F69="Existing LED (Provide Description)",'Proposed Lighting'!AK69=""),"No",
IF('Proposed Lighting'!DD69="Submit Control as Non-Standard","No",
IF(AND('Proposed Lighting'!T69="Non-Standard (Provide Description)",AD372&lt;1),"No",
IF('Proposed Lighting'!AW69&lt;'Proposed Lighting'!AZ69,"No","Yes")))))))</f>
        <v>No</v>
      </c>
      <c r="D372" s="1604">
        <f>'Proposed Lighting'!BQ69-Q372</f>
        <v>0</v>
      </c>
      <c r="E372" s="642" t="str">
        <f>IF('Proposed Lighting'!W69="","",'Proposed Lighting'!W69)</f>
        <v/>
      </c>
      <c r="F372" s="642"/>
      <c r="G372" s="641" t="s">
        <v>786</v>
      </c>
      <c r="H372" s="643">
        <v>10</v>
      </c>
      <c r="I372" s="644">
        <v>1</v>
      </c>
      <c r="J372" s="723">
        <f>IF('Proposed Lighting'!EF69=0,'Proposed Lighting'!AA69,'Proposed Lighting'!EF69)</f>
        <v>0</v>
      </c>
      <c r="K372" s="643" t="str">
        <f>'Proposed Lighting'!CU69</f>
        <v/>
      </c>
      <c r="L372" s="643" t="str">
        <f t="shared" si="75"/>
        <v/>
      </c>
      <c r="M372" s="645">
        <f t="shared" si="80"/>
        <v>0</v>
      </c>
      <c r="N372" s="645"/>
      <c r="O372" s="722">
        <f>IFERROR('Proposed Lighting'!AC69/1000,0)</f>
        <v>0</v>
      </c>
      <c r="P372" s="644">
        <f>'Proposed Lighting'!AV69</f>
        <v>0</v>
      </c>
      <c r="Q372" s="644">
        <f>IF(AND('Proposed Lighting'!T69="Lighting Controls Only",'Data Entry'!$AF$23="OR",'Proposed Lighting'!AU69=2),0,
IF(AND('Proposed Lighting'!T69="Lighting Controls Only",'Data Entry'!$AF$23="OR",'Proposed Lighting'!AU69=3,OR('Proposed Lighting'!W69="ceiling mount",'Proposed Lighting'!W69="wall switch",'Proposed Lighting'!W69="fixture mount (on exisiting equip)",'Proposed Lighting'!W69="daylight harvesting (on existing equip)")),0,
IF('Proposed Lighting'!AF69=1,IF(P372=0,0,J372*O372*(L372*(1-P372))),IF('Proposed Lighting'!AU69=1,0,'Proposed Lighting'!AX69-'Proposed Lighting'!AY69))))</f>
        <v>0</v>
      </c>
      <c r="R372" s="646">
        <f>IF('Proposed Lighting'!T69="Non-standard (provide description",0,
IF(AND(E372="Non-standard control",'Proposed Lighting'!AU69=2),Q372*0.1,
IF(AND(E372="Non-standard control",'Proposed Lighting'!AU69=3),Q372*0.08,
IF('Proposed Lighting'!EF69=0,0,IF('Proposed Lighting'!AU69=1,0,
IF(AND('Data Entry'!$AF$23="ID",'Proposed Lighting'!T69="Lighting controls only"),VLOOKUP(E372,'Proposed Lighting'!$DO$97:$DP$106,2,FALSE),
IF(AND('Data Entry'!$AF$23="OR",'Proposed Lighting'!AU69=3,'Proposed Lighting'!T69="Lighting controls only"),VLOOKUP(E372,'Proposed Lighting'!$DO$127:$DP$134,2,FALSE),0)))))))*J372</f>
        <v>0</v>
      </c>
      <c r="S372" s="646">
        <f>IF(Q372&lt;0.01,0,IF('Proposed Lighting'!AK69&gt;0,'Proposed Lighting'!AK69*'Proposed Lighting'!EF69,0))</f>
        <v>0</v>
      </c>
      <c r="T372" s="647">
        <f t="shared" si="76"/>
        <v>0</v>
      </c>
      <c r="U372" s="648"/>
      <c r="V372" s="646">
        <f t="shared" si="81"/>
        <v>0</v>
      </c>
      <c r="W372" s="646">
        <f t="shared" si="82"/>
        <v>0</v>
      </c>
      <c r="X372" s="646">
        <f t="shared" si="83"/>
        <v>0</v>
      </c>
      <c r="Y372" s="646"/>
      <c r="Z372" s="646"/>
      <c r="AA372" s="646"/>
      <c r="AB372" s="646">
        <f t="shared" si="84"/>
        <v>0</v>
      </c>
      <c r="AC372" s="649" t="str">
        <f t="shared" si="85"/>
        <v/>
      </c>
      <c r="AD372" s="649" t="str">
        <f t="shared" si="86"/>
        <v/>
      </c>
      <c r="AE372" s="649" t="str">
        <f>IFERROR(IF($Q372&lt;0,"",IF(S372=0,((X372+Y372+Z372+AB372)*I372)/((Q372*U372)+R372),((X372+Y372+Z372+AB372)*I372)/((Q372*U372)+R372+((S372-R372)*I372)))),"")</f>
        <v/>
      </c>
      <c r="AF372" s="72"/>
      <c r="AG372" s="644">
        <f>IFERROR(IF($AV372="No",0,IF($AV372="yes",Summary!Q372,"")),"")</f>
        <v>0</v>
      </c>
      <c r="AH372" s="646">
        <f>IFERROR(IF($AV372="No",0,IF($AV372="yes",Summary!R372,"")),"")</f>
        <v>0</v>
      </c>
      <c r="AI372" s="646">
        <f>IFERROR(IF($AV372="No",0,IF($AV372="yes",Summary!S372,"")),"")</f>
        <v>0</v>
      </c>
      <c r="AJ372" s="647">
        <f>IFERROR(IF($AV372="No",0,IF($AV372="yes",Summary!T372,"")),"")</f>
        <v>0</v>
      </c>
      <c r="AK372" s="648">
        <f>IFERROR(IF($AV372="No",0,IF($AV372="yes",Summary!U372,"")),"")</f>
        <v>0</v>
      </c>
      <c r="AL372" s="646">
        <f>IFERROR(IF($AV372="No",0,IF($AV372="yes",Summary!V372,"")),"")</f>
        <v>0</v>
      </c>
      <c r="AM372" s="646">
        <f>IFERROR(IF($AV372="No",0,IF($AV372="yes",Summary!W372,"")),"")</f>
        <v>0</v>
      </c>
      <c r="AN372" s="646">
        <f>IFERROR(IF($AV372="No",0,IF($AV372="yes",Summary!X372,"")),"")</f>
        <v>0</v>
      </c>
      <c r="AO372" s="646">
        <f>IFERROR(IF($AV372="No",0,IF($AV372="yes",Summary!Y372+Z372,"")),"")</f>
        <v>0</v>
      </c>
      <c r="AP372" s="646">
        <f>IFERROR(IF($AV372="No",0,IF($AV372="yes",Summary!AB372,"")),"")</f>
        <v>0</v>
      </c>
      <c r="AQ372" s="649" t="str">
        <f t="shared" si="88"/>
        <v/>
      </c>
      <c r="AR372" s="649" t="str">
        <f t="shared" si="79"/>
        <v/>
      </c>
      <c r="AS372" s="649" t="str">
        <f t="shared" si="89"/>
        <v/>
      </c>
      <c r="AT372" s="641" t="s">
        <v>846</v>
      </c>
      <c r="AV372" t="str">
        <f>IF('Proposed Lighting'!AK69&gt;0,"No","Yes")</f>
        <v>Yes</v>
      </c>
    </row>
    <row r="373" spans="1:48" ht="34.5" customHeight="1" outlineLevel="1">
      <c r="A373" s="641" t="s">
        <v>847</v>
      </c>
      <c r="B373" s="641" t="str">
        <f>IF('Proposed Lighting'!AU70=3,"Commercial-All Com-ExtLight",IF('Proposed Lighting'!AH70&gt;8759,"IPC_8760","Commercial-All Com-IntLight"))</f>
        <v>IPC_8760</v>
      </c>
      <c r="C373" s="641" t="str">
        <f>IF(OR(E373="",E373=0),"No",
IF(AND('Data Entry'!$AF$23="OR",AE373&lt;1),"No",
IF(AND('Data Entry'!$AF$23="ID",E373="Non-standard lighting control system",AD373&lt;1),"No",
IF(AND('Data Entry'!$AF$23="OR",'Proposed Lighting'!F70="Existing LED (Provide Description)",'Proposed Lighting'!AK70=""),"No",
IF('Proposed Lighting'!DD70="Submit Control as Non-Standard","No",
IF(AND('Proposed Lighting'!T70="Non-Standard (Provide Description)",AD373&lt;1),"No",
IF('Proposed Lighting'!AW70&lt;'Proposed Lighting'!AZ70,"No","Yes")))))))</f>
        <v>No</v>
      </c>
      <c r="D373" s="1604">
        <f>'Proposed Lighting'!BQ70-Q373</f>
        <v>0</v>
      </c>
      <c r="E373" s="642" t="str">
        <f>IF('Proposed Lighting'!W70="","",'Proposed Lighting'!W70)</f>
        <v/>
      </c>
      <c r="F373" s="642"/>
      <c r="G373" s="641" t="s">
        <v>786</v>
      </c>
      <c r="H373" s="643">
        <v>10</v>
      </c>
      <c r="I373" s="644">
        <v>1</v>
      </c>
      <c r="J373" s="723">
        <f>IF('Proposed Lighting'!EF70=0,'Proposed Lighting'!AA70,'Proposed Lighting'!EF70)</f>
        <v>0</v>
      </c>
      <c r="K373" s="643" t="str">
        <f>'Proposed Lighting'!CU70</f>
        <v/>
      </c>
      <c r="L373" s="643" t="str">
        <f t="shared" si="75"/>
        <v/>
      </c>
      <c r="M373" s="645">
        <f t="shared" si="80"/>
        <v>0</v>
      </c>
      <c r="N373" s="645"/>
      <c r="O373" s="722">
        <f>IFERROR('Proposed Lighting'!AC70/1000,0)</f>
        <v>0</v>
      </c>
      <c r="P373" s="644">
        <f>'Proposed Lighting'!AV70</f>
        <v>0</v>
      </c>
      <c r="Q373" s="644">
        <f>IF(AND('Proposed Lighting'!T70="Lighting Controls Only",'Data Entry'!$AF$23="OR",'Proposed Lighting'!AU70=2),0,
IF(AND('Proposed Lighting'!T70="Lighting Controls Only",'Data Entry'!$AF$23="OR",'Proposed Lighting'!AU70=3,OR('Proposed Lighting'!W70="ceiling mount",'Proposed Lighting'!W70="wall switch",'Proposed Lighting'!W70="fixture mount (on exisiting equip)",'Proposed Lighting'!W70="daylight harvesting (on existing equip)")),0,
IF('Proposed Lighting'!AF70=1,IF(P373=0,0,J373*O373*(L373*(1-P373))),IF('Proposed Lighting'!AU70=1,0,'Proposed Lighting'!AX70-'Proposed Lighting'!AY70))))</f>
        <v>0</v>
      </c>
      <c r="R373" s="646">
        <f>IF('Proposed Lighting'!T70="Non-standard (provide description",0,
IF(AND(E373="Non-standard control",'Proposed Lighting'!AU70=2),Q373*0.1,
IF(AND(E373="Non-standard control",'Proposed Lighting'!AU70=3),Q373*0.08,
IF('Proposed Lighting'!EF70=0,0,IF('Proposed Lighting'!AU70=1,0,
IF(AND('Data Entry'!$AF$23="ID",'Proposed Lighting'!T70="Lighting controls only"),VLOOKUP(E373,'Proposed Lighting'!$DO$97:$DP$106,2,FALSE),
IF(AND('Data Entry'!$AF$23="OR",'Proposed Lighting'!AU70=3,'Proposed Lighting'!T70="Lighting controls only"),VLOOKUP(E373,'Proposed Lighting'!$DO$127:$DP$134,2,FALSE),0)))))))*J373</f>
        <v>0</v>
      </c>
      <c r="S373" s="646">
        <f>IF(Q373&lt;0.01,0,IF('Proposed Lighting'!AK70&gt;0,'Proposed Lighting'!AK70*'Proposed Lighting'!EF70,0))</f>
        <v>0</v>
      </c>
      <c r="T373" s="647">
        <f t="shared" si="76"/>
        <v>0</v>
      </c>
      <c r="U373" s="648"/>
      <c r="V373" s="646">
        <f t="shared" si="81"/>
        <v>0</v>
      </c>
      <c r="W373" s="646">
        <f t="shared" si="82"/>
        <v>0</v>
      </c>
      <c r="X373" s="646">
        <f t="shared" si="83"/>
        <v>0</v>
      </c>
      <c r="Y373" s="646"/>
      <c r="Z373" s="646"/>
      <c r="AA373" s="646"/>
      <c r="AB373" s="646">
        <f t="shared" si="84"/>
        <v>0</v>
      </c>
      <c r="AC373" s="649" t="str">
        <f t="shared" si="85"/>
        <v/>
      </c>
      <c r="AD373" s="649" t="str">
        <f t="shared" si="86"/>
        <v/>
      </c>
      <c r="AE373" s="649" t="str">
        <f t="shared" si="87"/>
        <v/>
      </c>
      <c r="AF373" s="72"/>
      <c r="AG373" s="644">
        <f>IFERROR(IF($AV373="No",0,IF($AV373="yes",Summary!Q373,"")),"")</f>
        <v>0</v>
      </c>
      <c r="AH373" s="646">
        <f>IFERROR(IF($AV373="No",0,IF($AV373="yes",Summary!R373,"")),"")</f>
        <v>0</v>
      </c>
      <c r="AI373" s="646">
        <f>IFERROR(IF($AV373="No",0,IF($AV373="yes",Summary!S373,"")),"")</f>
        <v>0</v>
      </c>
      <c r="AJ373" s="647">
        <f>IFERROR(IF($AV373="No",0,IF($AV373="yes",Summary!T373,"")),"")</f>
        <v>0</v>
      </c>
      <c r="AK373" s="648">
        <f>IFERROR(IF($AV373="No",0,IF($AV373="yes",Summary!U373,"")),"")</f>
        <v>0</v>
      </c>
      <c r="AL373" s="646">
        <f>IFERROR(IF($AV373="No",0,IF($AV373="yes",Summary!V373,"")),"")</f>
        <v>0</v>
      </c>
      <c r="AM373" s="646">
        <f>IFERROR(IF($AV373="No",0,IF($AV373="yes",Summary!W373,"")),"")</f>
        <v>0</v>
      </c>
      <c r="AN373" s="646">
        <f>IFERROR(IF($AV373="No",0,IF($AV373="yes",Summary!X373,"")),"")</f>
        <v>0</v>
      </c>
      <c r="AO373" s="646">
        <f>IFERROR(IF($AV373="No",0,IF($AV373="yes",Summary!Y373+Z373,"")),"")</f>
        <v>0</v>
      </c>
      <c r="AP373" s="646">
        <f>IFERROR(IF($AV373="No",0,IF($AV373="yes",Summary!AB373,"")),"")</f>
        <v>0</v>
      </c>
      <c r="AQ373" s="649" t="str">
        <f t="shared" si="88"/>
        <v/>
      </c>
      <c r="AR373" s="649" t="str">
        <f t="shared" si="79"/>
        <v/>
      </c>
      <c r="AS373" s="649" t="str">
        <f t="shared" si="89"/>
        <v/>
      </c>
      <c r="AT373" s="641" t="s">
        <v>847</v>
      </c>
      <c r="AV373" t="str">
        <f>IF('Proposed Lighting'!AK70&gt;0,"No","Yes")</f>
        <v>Yes</v>
      </c>
    </row>
    <row r="374" spans="1:48" ht="34.5" customHeight="1" outlineLevel="1">
      <c r="A374" s="641" t="s">
        <v>848</v>
      </c>
      <c r="B374" s="641" t="str">
        <f>IF('Proposed Lighting'!AU71=3,"Commercial-All Com-ExtLight",IF('Proposed Lighting'!AH71&gt;8759,"IPC_8760","Commercial-All Com-IntLight"))</f>
        <v>IPC_8760</v>
      </c>
      <c r="C374" s="641" t="str">
        <f>IF(OR(E374="",E374=0),"No",
IF(AND('Data Entry'!$AF$23="OR",AE374&lt;1),"No",
IF(AND('Data Entry'!$AF$23="ID",E374="Non-standard lighting control system",AD374&lt;1),"No",
IF(AND('Data Entry'!$AF$23="OR",'Proposed Lighting'!F71="Existing LED (Provide Description)",'Proposed Lighting'!AK71=""),"No",
IF('Proposed Lighting'!DD71="Submit Control as Non-Standard","No",
IF(AND('Proposed Lighting'!T71="Non-Standard (Provide Description)",AD374&lt;1),"No",
IF('Proposed Lighting'!AW71&lt;'Proposed Lighting'!AZ71,"No","Yes")))))))</f>
        <v>No</v>
      </c>
      <c r="D374" s="1604">
        <f>'Proposed Lighting'!BQ71-Q374</f>
        <v>0</v>
      </c>
      <c r="E374" s="642" t="str">
        <f>IF('Proposed Lighting'!W71="","",'Proposed Lighting'!W71)</f>
        <v/>
      </c>
      <c r="F374" s="642"/>
      <c r="G374" s="641" t="s">
        <v>786</v>
      </c>
      <c r="H374" s="643">
        <v>10</v>
      </c>
      <c r="I374" s="644">
        <v>1</v>
      </c>
      <c r="J374" s="723">
        <f>IF('Proposed Lighting'!EF71=0,'Proposed Lighting'!AA71,'Proposed Lighting'!EF71)</f>
        <v>0</v>
      </c>
      <c r="K374" s="643" t="str">
        <f>'Proposed Lighting'!CU71</f>
        <v/>
      </c>
      <c r="L374" s="643" t="str">
        <f t="shared" si="75"/>
        <v/>
      </c>
      <c r="M374" s="645">
        <f t="shared" si="80"/>
        <v>0</v>
      </c>
      <c r="N374" s="645"/>
      <c r="O374" s="722">
        <f>IFERROR('Proposed Lighting'!AC71/1000,0)</f>
        <v>0</v>
      </c>
      <c r="P374" s="644">
        <f>'Proposed Lighting'!AV71</f>
        <v>0</v>
      </c>
      <c r="Q374" s="644">
        <f>IF(AND('Proposed Lighting'!T71="Lighting Controls Only",'Data Entry'!$AF$23="OR",'Proposed Lighting'!AU71=2),0,
IF(AND('Proposed Lighting'!T71="Lighting Controls Only",'Data Entry'!$AF$23="OR",'Proposed Lighting'!AU71=3,OR('Proposed Lighting'!W71="ceiling mount",'Proposed Lighting'!W71="wall switch",'Proposed Lighting'!W71="fixture mount (on exisiting equip)",'Proposed Lighting'!W71="daylight harvesting (on existing equip)")),0,
IF('Proposed Lighting'!AF71=1,IF(P374=0,0,J374*O374*(L374*(1-P374))),IF('Proposed Lighting'!AU71=1,0,'Proposed Lighting'!AX71-'Proposed Lighting'!AY71))))</f>
        <v>0</v>
      </c>
      <c r="R374" s="646">
        <f>IF('Proposed Lighting'!T71="Non-standard (provide description",0,
IF(AND(E374="Non-standard control",'Proposed Lighting'!AU71=2),Q374*0.1,
IF(AND(E374="Non-standard control",'Proposed Lighting'!AU71=3),Q374*0.08,
IF('Proposed Lighting'!EF71=0,0,IF('Proposed Lighting'!AU71=1,0,
IF(AND('Data Entry'!$AF$23="ID",'Proposed Lighting'!T71="Lighting controls only"),VLOOKUP(E374,'Proposed Lighting'!$DO$97:$DP$106,2,FALSE),
IF(AND('Data Entry'!$AF$23="OR",'Proposed Lighting'!AU71=3,'Proposed Lighting'!T71="Lighting controls only"),VLOOKUP(E374,'Proposed Lighting'!$DO$127:$DP$134,2,FALSE),0)))))))*J374</f>
        <v>0</v>
      </c>
      <c r="S374" s="646">
        <f>IF(Q374&lt;0.01,0,IF('Proposed Lighting'!AK71&gt;0,'Proposed Lighting'!AK71*'Proposed Lighting'!EF71,0))</f>
        <v>0</v>
      </c>
      <c r="T374" s="647">
        <f t="shared" si="76"/>
        <v>0</v>
      </c>
      <c r="U374" s="648"/>
      <c r="V374" s="646">
        <f t="shared" si="81"/>
        <v>0</v>
      </c>
      <c r="W374" s="646">
        <f t="shared" si="82"/>
        <v>0</v>
      </c>
      <c r="X374" s="646">
        <f t="shared" si="83"/>
        <v>0</v>
      </c>
      <c r="Y374" s="646"/>
      <c r="Z374" s="646"/>
      <c r="AA374" s="646"/>
      <c r="AB374" s="646">
        <f t="shared" si="84"/>
        <v>0</v>
      </c>
      <c r="AC374" s="649" t="str">
        <f t="shared" si="85"/>
        <v/>
      </c>
      <c r="AD374" s="649" t="str">
        <f t="shared" si="86"/>
        <v/>
      </c>
      <c r="AE374" s="649" t="str">
        <f t="shared" si="87"/>
        <v/>
      </c>
      <c r="AF374" s="72"/>
      <c r="AG374" s="644">
        <f>IFERROR(IF($AV374="No",0,IF($AV374="yes",Summary!Q374,"")),"")</f>
        <v>0</v>
      </c>
      <c r="AH374" s="646">
        <f>IFERROR(IF($AV374="No",0,IF($AV374="yes",Summary!R374,"")),"")</f>
        <v>0</v>
      </c>
      <c r="AI374" s="646">
        <f>IFERROR(IF($AV374="No",0,IF($AV374="yes",Summary!S374,"")),"")</f>
        <v>0</v>
      </c>
      <c r="AJ374" s="647">
        <f>IFERROR(IF($AV374="No",0,IF($AV374="yes",Summary!T374,"")),"")</f>
        <v>0</v>
      </c>
      <c r="AK374" s="648">
        <f>IFERROR(IF($AV374="No",0,IF($AV374="yes",Summary!U374,"")),"")</f>
        <v>0</v>
      </c>
      <c r="AL374" s="646">
        <f>IFERROR(IF($AV374="No",0,IF($AV374="yes",Summary!V374,"")),"")</f>
        <v>0</v>
      </c>
      <c r="AM374" s="646">
        <f>IFERROR(IF($AV374="No",0,IF($AV374="yes",Summary!W374,"")),"")</f>
        <v>0</v>
      </c>
      <c r="AN374" s="646">
        <f>IFERROR(IF($AV374="No",0,IF($AV374="yes",Summary!X374,"")),"")</f>
        <v>0</v>
      </c>
      <c r="AO374" s="646">
        <f>IFERROR(IF($AV374="No",0,IF($AV374="yes",Summary!Y374+Z374,"")),"")</f>
        <v>0</v>
      </c>
      <c r="AP374" s="646">
        <f>IFERROR(IF($AV374="No",0,IF($AV374="yes",Summary!AB374,"")),"")</f>
        <v>0</v>
      </c>
      <c r="AQ374" s="649" t="str">
        <f t="shared" si="88"/>
        <v/>
      </c>
      <c r="AR374" s="649" t="str">
        <f t="shared" si="79"/>
        <v/>
      </c>
      <c r="AS374" s="649" t="str">
        <f t="shared" si="89"/>
        <v/>
      </c>
      <c r="AT374" s="641" t="s">
        <v>848</v>
      </c>
      <c r="AV374" t="str">
        <f>IF('Proposed Lighting'!AK71&gt;0,"No","Yes")</f>
        <v>Yes</v>
      </c>
    </row>
    <row r="375" spans="1:48" ht="34.5" customHeight="1" outlineLevel="1">
      <c r="A375" s="641" t="s">
        <v>849</v>
      </c>
      <c r="B375" s="641" t="str">
        <f>IF('Proposed Lighting'!AU72=3,"Commercial-All Com-ExtLight",IF('Proposed Lighting'!AH72&gt;8759,"IPC_8760","Commercial-All Com-IntLight"))</f>
        <v>IPC_8760</v>
      </c>
      <c r="C375" s="641" t="str">
        <f>IF(OR(E375="",E375=0),"No",
IF(AND('Data Entry'!$AF$23="OR",AE375&lt;1),"No",
IF(AND('Data Entry'!$AF$23="ID",E375="Non-standard lighting control system",AD375&lt;1),"No",
IF(AND('Data Entry'!$AF$23="OR",'Proposed Lighting'!F72="Existing LED (Provide Description)",'Proposed Lighting'!AK72=""),"No",
IF('Proposed Lighting'!DD72="Submit Control as Non-Standard","No",
IF(AND('Proposed Lighting'!T72="Non-Standard (Provide Description)",AD375&lt;1),"No",
IF('Proposed Lighting'!AW72&lt;'Proposed Lighting'!AZ72,"No","Yes")))))))</f>
        <v>No</v>
      </c>
      <c r="D375" s="1604">
        <f>'Proposed Lighting'!BQ72-Q375</f>
        <v>0</v>
      </c>
      <c r="E375" s="642" t="str">
        <f>IF('Proposed Lighting'!W72="","",'Proposed Lighting'!W72)</f>
        <v/>
      </c>
      <c r="F375" s="642"/>
      <c r="G375" s="641" t="s">
        <v>786</v>
      </c>
      <c r="H375" s="643">
        <v>10</v>
      </c>
      <c r="I375" s="644">
        <v>1</v>
      </c>
      <c r="J375" s="723">
        <f>IF('Proposed Lighting'!EF72=0,'Proposed Lighting'!AA72,'Proposed Lighting'!EF72)</f>
        <v>0</v>
      </c>
      <c r="K375" s="643" t="str">
        <f>'Proposed Lighting'!CU72</f>
        <v/>
      </c>
      <c r="L375" s="643" t="str">
        <f t="shared" si="75"/>
        <v/>
      </c>
      <c r="M375" s="645">
        <f t="shared" si="80"/>
        <v>0</v>
      </c>
      <c r="N375" s="645"/>
      <c r="O375" s="722">
        <f>IFERROR('Proposed Lighting'!AC72/1000,0)</f>
        <v>0</v>
      </c>
      <c r="P375" s="644">
        <f>'Proposed Lighting'!AV72</f>
        <v>0</v>
      </c>
      <c r="Q375" s="644">
        <f>IF(AND('Proposed Lighting'!T72="Lighting Controls Only",'Data Entry'!$AF$23="OR",'Proposed Lighting'!AU72=2),0,
IF(AND('Proposed Lighting'!T72="Lighting Controls Only",'Data Entry'!$AF$23="OR",'Proposed Lighting'!AU72=3,OR('Proposed Lighting'!W72="ceiling mount",'Proposed Lighting'!W72="wall switch",'Proposed Lighting'!W72="fixture mount (on exisiting equip)",'Proposed Lighting'!W72="daylight harvesting (on existing equip)")),0,
IF('Proposed Lighting'!AF72=1,IF(P375=0,0,J375*O375*(L375*(1-P375))),IF('Proposed Lighting'!AU72=1,0,'Proposed Lighting'!AX72-'Proposed Lighting'!AY72))))</f>
        <v>0</v>
      </c>
      <c r="R375" s="646">
        <f>IF('Proposed Lighting'!T72="Non-standard (provide description",0,
IF(AND(E375="Non-standard control",'Proposed Lighting'!AU72=2),Q375*0.1,
IF(AND(E375="Non-standard control",'Proposed Lighting'!AU72=3),Q375*0.08,
IF('Proposed Lighting'!EF72=0,0,IF('Proposed Lighting'!AU72=1,0,
IF(AND('Data Entry'!$AF$23="ID",'Proposed Lighting'!T72="Lighting controls only"),VLOOKUP(E375,'Proposed Lighting'!$DO$97:$DP$106,2,FALSE),
IF(AND('Data Entry'!$AF$23="OR",'Proposed Lighting'!AU72=3,'Proposed Lighting'!T72="Lighting controls only"),VLOOKUP(E375,'Proposed Lighting'!$DO$127:$DP$134,2,FALSE),0)))))))*J375</f>
        <v>0</v>
      </c>
      <c r="S375" s="646">
        <f>IF(Q375&lt;0.01,0,IF('Proposed Lighting'!AK72&gt;0,'Proposed Lighting'!AK72*'Proposed Lighting'!EF72,0))</f>
        <v>0</v>
      </c>
      <c r="T375" s="647">
        <f t="shared" si="76"/>
        <v>0</v>
      </c>
      <c r="U375" s="648"/>
      <c r="V375" s="646">
        <f t="shared" si="81"/>
        <v>0</v>
      </c>
      <c r="W375" s="646">
        <f t="shared" si="82"/>
        <v>0</v>
      </c>
      <c r="X375" s="646">
        <f t="shared" si="83"/>
        <v>0</v>
      </c>
      <c r="Y375" s="646"/>
      <c r="Z375" s="646"/>
      <c r="AA375" s="646"/>
      <c r="AB375" s="646">
        <f t="shared" si="84"/>
        <v>0</v>
      </c>
      <c r="AC375" s="649" t="str">
        <f t="shared" si="85"/>
        <v/>
      </c>
      <c r="AD375" s="649" t="str">
        <f t="shared" si="86"/>
        <v/>
      </c>
      <c r="AE375" s="649" t="str">
        <f t="shared" si="87"/>
        <v/>
      </c>
      <c r="AF375" s="72"/>
      <c r="AG375" s="644">
        <f>IFERROR(IF($AV375="No",0,IF($AV375="yes",Summary!Q375,"")),"")</f>
        <v>0</v>
      </c>
      <c r="AH375" s="646">
        <f>IFERROR(IF($AV375="No",0,IF($AV375="yes",Summary!R375,"")),"")</f>
        <v>0</v>
      </c>
      <c r="AI375" s="646">
        <f>IFERROR(IF($AV375="No",0,IF($AV375="yes",Summary!S375,"")),"")</f>
        <v>0</v>
      </c>
      <c r="AJ375" s="647">
        <f>IFERROR(IF($AV375="No",0,IF($AV375="yes",Summary!T375,"")),"")</f>
        <v>0</v>
      </c>
      <c r="AK375" s="648">
        <f>IFERROR(IF($AV375="No",0,IF($AV375="yes",Summary!U375,"")),"")</f>
        <v>0</v>
      </c>
      <c r="AL375" s="646">
        <f>IFERROR(IF($AV375="No",0,IF($AV375="yes",Summary!V375,"")),"")</f>
        <v>0</v>
      </c>
      <c r="AM375" s="646">
        <f>IFERROR(IF($AV375="No",0,IF($AV375="yes",Summary!W375,"")),"")</f>
        <v>0</v>
      </c>
      <c r="AN375" s="646">
        <f>IFERROR(IF($AV375="No",0,IF($AV375="yes",Summary!X375,"")),"")</f>
        <v>0</v>
      </c>
      <c r="AO375" s="646">
        <f>IFERROR(IF($AV375="No",0,IF($AV375="yes",Summary!Y375+Z375,"")),"")</f>
        <v>0</v>
      </c>
      <c r="AP375" s="646">
        <f>IFERROR(IF($AV375="No",0,IF($AV375="yes",Summary!AB375,"")),"")</f>
        <v>0</v>
      </c>
      <c r="AQ375" s="649" t="str">
        <f t="shared" si="88"/>
        <v/>
      </c>
      <c r="AR375" s="649" t="str">
        <f t="shared" si="79"/>
        <v/>
      </c>
      <c r="AS375" s="649" t="str">
        <f t="shared" si="89"/>
        <v/>
      </c>
      <c r="AT375" s="641" t="s">
        <v>849</v>
      </c>
      <c r="AV375" t="str">
        <f>IF('Proposed Lighting'!AK72&gt;0,"No","Yes")</f>
        <v>Yes</v>
      </c>
    </row>
    <row r="376" spans="1:48" ht="34.5" customHeight="1" outlineLevel="1">
      <c r="A376" s="641" t="s">
        <v>850</v>
      </c>
      <c r="B376" s="641" t="str">
        <f>IF('Proposed Lighting'!AU73=3,"Commercial-All Com-ExtLight",IF('Proposed Lighting'!AH73&gt;8759,"IPC_8760","Commercial-All Com-IntLight"))</f>
        <v>IPC_8760</v>
      </c>
      <c r="C376" s="641" t="str">
        <f>IF(OR(E376="",E376=0),"No",
IF(AND('Data Entry'!$AF$23="OR",AE376&lt;1),"No",
IF(AND('Data Entry'!$AF$23="ID",E376="Non-standard lighting control system",AD376&lt;1),"No",
IF(AND('Data Entry'!$AF$23="OR",'Proposed Lighting'!F73="Existing LED (Provide Description)",'Proposed Lighting'!AK73=""),"No",
IF('Proposed Lighting'!DD73="Submit Control as Non-Standard","No",
IF(AND('Proposed Lighting'!T73="Non-Standard (Provide Description)",AD376&lt;1),"No",
IF('Proposed Lighting'!AW73&lt;'Proposed Lighting'!AZ73,"No","Yes")))))))</f>
        <v>No</v>
      </c>
      <c r="D376" s="1604">
        <f>'Proposed Lighting'!BQ73-Q376</f>
        <v>0</v>
      </c>
      <c r="E376" s="642" t="str">
        <f>IF('Proposed Lighting'!W73="","",'Proposed Lighting'!W73)</f>
        <v/>
      </c>
      <c r="F376" s="642"/>
      <c r="G376" s="641" t="s">
        <v>786</v>
      </c>
      <c r="H376" s="643">
        <v>10</v>
      </c>
      <c r="I376" s="644">
        <v>1</v>
      </c>
      <c r="J376" s="723">
        <f>IF('Proposed Lighting'!EF73=0,'Proposed Lighting'!AA73,'Proposed Lighting'!EF73)</f>
        <v>0</v>
      </c>
      <c r="K376" s="643" t="str">
        <f>'Proposed Lighting'!CU73</f>
        <v/>
      </c>
      <c r="L376" s="643" t="str">
        <f t="shared" ref="L376:L439" si="90">K376</f>
        <v/>
      </c>
      <c r="M376" s="645">
        <f t="shared" si="80"/>
        <v>0</v>
      </c>
      <c r="N376" s="645"/>
      <c r="O376" s="722">
        <f>IFERROR('Proposed Lighting'!AC73/1000,0)</f>
        <v>0</v>
      </c>
      <c r="P376" s="644">
        <f>'Proposed Lighting'!AV73</f>
        <v>0</v>
      </c>
      <c r="Q376" s="644">
        <f>IF(AND('Proposed Lighting'!T73="Lighting Controls Only",'Data Entry'!$AF$23="OR",'Proposed Lighting'!AU73=2),0,
IF(AND('Proposed Lighting'!T73="Lighting Controls Only",'Data Entry'!$AF$23="OR",'Proposed Lighting'!AU73=3,OR('Proposed Lighting'!W73="ceiling mount",'Proposed Lighting'!W73="wall switch",'Proposed Lighting'!W73="fixture mount (on exisiting equip)",'Proposed Lighting'!W73="daylight harvesting (on existing equip)")),0,
IF('Proposed Lighting'!AF73=1,IF(P376=0,0,J376*O376*(L376*(1-P376))),IF('Proposed Lighting'!AU73=1,0,'Proposed Lighting'!AX73-'Proposed Lighting'!AY73))))</f>
        <v>0</v>
      </c>
      <c r="R376" s="646">
        <f>IF('Proposed Lighting'!T73="Non-standard (provide description",0,
IF(AND(E376="Non-standard control",'Proposed Lighting'!AU73=2),Q376*0.1,
IF(AND(E376="Non-standard control",'Proposed Lighting'!AU73=3),Q376*0.08,
IF('Proposed Lighting'!EF73=0,0,IF('Proposed Lighting'!AU73=1,0,
IF(AND('Data Entry'!$AF$23="ID",'Proposed Lighting'!T73="Lighting controls only"),VLOOKUP(E376,'Proposed Lighting'!$DO$97:$DP$106,2,FALSE),
IF(AND('Data Entry'!$AF$23="OR",'Proposed Lighting'!AU73=3,'Proposed Lighting'!T73="Lighting controls only"),VLOOKUP(E376,'Proposed Lighting'!$DO$127:$DP$134,2,FALSE),0)))))))*J376</f>
        <v>0</v>
      </c>
      <c r="S376" s="646">
        <f>IF(Q376&lt;0.01,0,IF('Proposed Lighting'!AK73&gt;0,'Proposed Lighting'!AK73*'Proposed Lighting'!EF73,0))</f>
        <v>0</v>
      </c>
      <c r="T376" s="647">
        <f t="shared" ref="T376:T439" si="91">IF(Q3176=0,0,S376/SUM($S$312:$S$611))</f>
        <v>0</v>
      </c>
      <c r="U376" s="648"/>
      <c r="V376" s="646">
        <f t="shared" si="81"/>
        <v>0</v>
      </c>
      <c r="W376" s="646">
        <f t="shared" si="82"/>
        <v>0</v>
      </c>
      <c r="X376" s="646">
        <f t="shared" si="83"/>
        <v>0</v>
      </c>
      <c r="Y376" s="646"/>
      <c r="Z376" s="646"/>
      <c r="AA376" s="646"/>
      <c r="AB376" s="646">
        <f t="shared" si="84"/>
        <v>0</v>
      </c>
      <c r="AC376" s="649" t="str">
        <f t="shared" si="85"/>
        <v/>
      </c>
      <c r="AD376" s="649" t="str">
        <f t="shared" si="86"/>
        <v/>
      </c>
      <c r="AE376" s="649" t="str">
        <f t="shared" si="87"/>
        <v/>
      </c>
      <c r="AF376" s="72"/>
      <c r="AG376" s="644">
        <f>IFERROR(IF($AV376="No",0,IF($AV376="yes",Summary!Q376,"")),"")</f>
        <v>0</v>
      </c>
      <c r="AH376" s="646">
        <f>IFERROR(IF($AV376="No",0,IF($AV376="yes",Summary!R376,"")),"")</f>
        <v>0</v>
      </c>
      <c r="AI376" s="646">
        <f>IFERROR(IF($AV376="No",0,IF($AV376="yes",Summary!S376,"")),"")</f>
        <v>0</v>
      </c>
      <c r="AJ376" s="647">
        <f>IFERROR(IF($AV376="No",0,IF($AV376="yes",Summary!T376,"")),"")</f>
        <v>0</v>
      </c>
      <c r="AK376" s="648">
        <f>IFERROR(IF($AV376="No",0,IF($AV376="yes",Summary!U376,"")),"")</f>
        <v>0</v>
      </c>
      <c r="AL376" s="646">
        <f>IFERROR(IF($AV376="No",0,IF($AV376="yes",Summary!V376,"")),"")</f>
        <v>0</v>
      </c>
      <c r="AM376" s="646">
        <f>IFERROR(IF($AV376="No",0,IF($AV376="yes",Summary!W376,"")),"")</f>
        <v>0</v>
      </c>
      <c r="AN376" s="646">
        <f>IFERROR(IF($AV376="No",0,IF($AV376="yes",Summary!X376,"")),"")</f>
        <v>0</v>
      </c>
      <c r="AO376" s="646">
        <f>IFERROR(IF($AV376="No",0,IF($AV376="yes",Summary!Y376+Z376,"")),"")</f>
        <v>0</v>
      </c>
      <c r="AP376" s="646">
        <f>IFERROR(IF($AV376="No",0,IF($AV376="yes",Summary!AB376,"")),"")</f>
        <v>0</v>
      </c>
      <c r="AQ376" s="649" t="str">
        <f t="shared" si="88"/>
        <v/>
      </c>
      <c r="AR376" s="649" t="str">
        <f t="shared" si="79"/>
        <v/>
      </c>
      <c r="AS376" s="649" t="str">
        <f t="shared" si="89"/>
        <v/>
      </c>
      <c r="AT376" s="641" t="s">
        <v>850</v>
      </c>
      <c r="AV376" t="str">
        <f>IF('Proposed Lighting'!AK73&gt;0,"No","Yes")</f>
        <v>Yes</v>
      </c>
    </row>
    <row r="377" spans="1:48" ht="34.5" customHeight="1" outlineLevel="1">
      <c r="A377" s="641" t="s">
        <v>851</v>
      </c>
      <c r="B377" s="641" t="str">
        <f>IF('Proposed Lighting'!AU74=3,"Commercial-All Com-ExtLight",IF('Proposed Lighting'!AH74&gt;8759,"IPC_8760","Commercial-All Com-IntLight"))</f>
        <v>IPC_8760</v>
      </c>
      <c r="C377" s="641" t="str">
        <f>IF(OR(E377="",E377=0),"No",
IF(AND('Data Entry'!$AF$23="OR",AE377&lt;1),"No",
IF(AND('Data Entry'!$AF$23="ID",E377="Non-standard lighting control system",AD377&lt;1),"No",
IF(AND('Data Entry'!$AF$23="OR",'Proposed Lighting'!F74="Existing LED (Provide Description)",'Proposed Lighting'!AK74=""),"No",
IF('Proposed Lighting'!DD74="Submit Control as Non-Standard","No",
IF(AND('Proposed Lighting'!T74="Non-Standard (Provide Description)",AD377&lt;1),"No",
IF('Proposed Lighting'!AW74&lt;'Proposed Lighting'!AZ74,"No","Yes")))))))</f>
        <v>No</v>
      </c>
      <c r="D377" s="1604">
        <f>'Proposed Lighting'!BQ74-Q377</f>
        <v>0</v>
      </c>
      <c r="E377" s="642" t="str">
        <f>IF('Proposed Lighting'!W74="","",'Proposed Lighting'!W74)</f>
        <v/>
      </c>
      <c r="F377" s="642"/>
      <c r="G377" s="641" t="s">
        <v>786</v>
      </c>
      <c r="H377" s="643">
        <v>10</v>
      </c>
      <c r="I377" s="644">
        <v>1</v>
      </c>
      <c r="J377" s="723">
        <f>IF('Proposed Lighting'!EF74=0,'Proposed Lighting'!AA74,'Proposed Lighting'!EF74)</f>
        <v>0</v>
      </c>
      <c r="K377" s="643" t="str">
        <f>'Proposed Lighting'!CU74</f>
        <v/>
      </c>
      <c r="L377" s="643" t="str">
        <f t="shared" si="90"/>
        <v/>
      </c>
      <c r="M377" s="645">
        <f t="shared" si="80"/>
        <v>0</v>
      </c>
      <c r="N377" s="645"/>
      <c r="O377" s="722">
        <f>IFERROR('Proposed Lighting'!AC74/1000,0)</f>
        <v>0</v>
      </c>
      <c r="P377" s="644">
        <f>'Proposed Lighting'!AV74</f>
        <v>0</v>
      </c>
      <c r="Q377" s="644">
        <f>IF(AND('Proposed Lighting'!T74="Lighting Controls Only",'Data Entry'!$AF$23="OR",'Proposed Lighting'!AU74=2),0,
IF(AND('Proposed Lighting'!T74="Lighting Controls Only",'Data Entry'!$AF$23="OR",'Proposed Lighting'!AU74=3,OR('Proposed Lighting'!W74="ceiling mount",'Proposed Lighting'!W74="wall switch",'Proposed Lighting'!W74="fixture mount (on exisiting equip)",'Proposed Lighting'!W74="daylight harvesting (on existing equip)")),0,
IF('Proposed Lighting'!AF74=1,IF(P377=0,0,J377*O377*(L377*(1-P377))),IF('Proposed Lighting'!AU74=1,0,'Proposed Lighting'!AX74-'Proposed Lighting'!AY74))))</f>
        <v>0</v>
      </c>
      <c r="R377" s="646">
        <f>IF('Proposed Lighting'!T74="Non-standard (provide description",0,
IF(AND(E377="Non-standard control",'Proposed Lighting'!AU74=2),Q377*0.1,
IF(AND(E377="Non-standard control",'Proposed Lighting'!AU74=3),Q377*0.08,
IF('Proposed Lighting'!EF74=0,0,IF('Proposed Lighting'!AU74=1,0,
IF(AND('Data Entry'!$AF$23="ID",'Proposed Lighting'!T74="Lighting controls only"),VLOOKUP(E377,'Proposed Lighting'!$DO$97:$DP$106,2,FALSE),
IF(AND('Data Entry'!$AF$23="OR",'Proposed Lighting'!AU74=3,'Proposed Lighting'!T74="Lighting controls only"),VLOOKUP(E377,'Proposed Lighting'!$DO$127:$DP$134,2,FALSE),0)))))))*J377</f>
        <v>0</v>
      </c>
      <c r="S377" s="646">
        <f>IF(Q377&lt;0.01,0,IF('Proposed Lighting'!AK74&gt;0,'Proposed Lighting'!AK74*'Proposed Lighting'!EF74,0))</f>
        <v>0</v>
      </c>
      <c r="T377" s="647">
        <f t="shared" si="91"/>
        <v>0</v>
      </c>
      <c r="U377" s="648"/>
      <c r="V377" s="646">
        <f t="shared" si="81"/>
        <v>0</v>
      </c>
      <c r="W377" s="646">
        <f t="shared" si="82"/>
        <v>0</v>
      </c>
      <c r="X377" s="646">
        <f t="shared" si="83"/>
        <v>0</v>
      </c>
      <c r="Y377" s="646"/>
      <c r="Z377" s="646"/>
      <c r="AA377" s="646"/>
      <c r="AB377" s="646">
        <f t="shared" si="84"/>
        <v>0</v>
      </c>
      <c r="AC377" s="649" t="str">
        <f t="shared" si="85"/>
        <v/>
      </c>
      <c r="AD377" s="649" t="str">
        <f t="shared" si="86"/>
        <v/>
      </c>
      <c r="AE377" s="649" t="str">
        <f t="shared" si="87"/>
        <v/>
      </c>
      <c r="AF377" s="72"/>
      <c r="AG377" s="644">
        <f>IFERROR(IF($AV377="No",0,IF($AV377="yes",Summary!Q377,"")),"")</f>
        <v>0</v>
      </c>
      <c r="AH377" s="646">
        <f>IFERROR(IF($AV377="No",0,IF($AV377="yes",Summary!R377,"")),"")</f>
        <v>0</v>
      </c>
      <c r="AI377" s="646">
        <f>IFERROR(IF($AV377="No",0,IF($AV377="yes",Summary!S377,"")),"")</f>
        <v>0</v>
      </c>
      <c r="AJ377" s="647">
        <f>IFERROR(IF($AV377="No",0,IF($AV377="yes",Summary!T377,"")),"")</f>
        <v>0</v>
      </c>
      <c r="AK377" s="648">
        <f>IFERROR(IF($AV377="No",0,IF($AV377="yes",Summary!U377,"")),"")</f>
        <v>0</v>
      </c>
      <c r="AL377" s="646">
        <f>IFERROR(IF($AV377="No",0,IF($AV377="yes",Summary!V377,"")),"")</f>
        <v>0</v>
      </c>
      <c r="AM377" s="646">
        <f>IFERROR(IF($AV377="No",0,IF($AV377="yes",Summary!W377,"")),"")</f>
        <v>0</v>
      </c>
      <c r="AN377" s="646">
        <f>IFERROR(IF($AV377="No",0,IF($AV377="yes",Summary!X377,"")),"")</f>
        <v>0</v>
      </c>
      <c r="AO377" s="646">
        <f>IFERROR(IF($AV377="No",0,IF($AV377="yes",Summary!Y377+Z377,"")),"")</f>
        <v>0</v>
      </c>
      <c r="AP377" s="646">
        <f>IFERROR(IF($AV377="No",0,IF($AV377="yes",Summary!AB377,"")),"")</f>
        <v>0</v>
      </c>
      <c r="AQ377" s="649" t="str">
        <f t="shared" si="88"/>
        <v/>
      </c>
      <c r="AR377" s="649" t="str">
        <f t="shared" ref="AR377:AR440" si="92">IFERROR(IF($AG377&lt;0,"",(I377*AM377)/(((IF(AG377=0,AG377,AG377))*AK377)+AH377)),"")</f>
        <v/>
      </c>
      <c r="AS377" s="649" t="str">
        <f t="shared" si="89"/>
        <v/>
      </c>
      <c r="AT377" s="641" t="s">
        <v>851</v>
      </c>
      <c r="AV377" t="str">
        <f>IF('Proposed Lighting'!AK74&gt;0,"No","Yes")</f>
        <v>Yes</v>
      </c>
    </row>
    <row r="378" spans="1:48" ht="34.5" customHeight="1" outlineLevel="1">
      <c r="A378" s="641" t="s">
        <v>852</v>
      </c>
      <c r="B378" s="641" t="str">
        <f>IF('Proposed Lighting'!AU75=3,"Commercial-All Com-ExtLight",IF('Proposed Lighting'!AH75&gt;8759,"IPC_8760","Commercial-All Com-IntLight"))</f>
        <v>IPC_8760</v>
      </c>
      <c r="C378" s="641" t="str">
        <f>IF(OR(E378="",E378=0),"No",
IF(AND('Data Entry'!$AF$23="OR",AE378&lt;1),"No",
IF(AND('Data Entry'!$AF$23="ID",E378="Non-standard lighting control system",AD378&lt;1),"No",
IF(AND('Data Entry'!$AF$23="OR",'Proposed Lighting'!F75="Existing LED (Provide Description)",'Proposed Lighting'!AK75=""),"No",
IF('Proposed Lighting'!DD75="Submit Control as Non-Standard","No",
IF(AND('Proposed Lighting'!T75="Non-Standard (Provide Description)",AD378&lt;1),"No",
IF('Proposed Lighting'!AW75&lt;'Proposed Lighting'!AZ75,"No","Yes")))))))</f>
        <v>No</v>
      </c>
      <c r="D378" s="1604">
        <f>'Proposed Lighting'!BQ75-Q378</f>
        <v>0</v>
      </c>
      <c r="E378" s="642" t="str">
        <f>IF('Proposed Lighting'!W75="","",'Proposed Lighting'!W75)</f>
        <v/>
      </c>
      <c r="F378" s="642"/>
      <c r="G378" s="641" t="s">
        <v>786</v>
      </c>
      <c r="H378" s="643">
        <v>10</v>
      </c>
      <c r="I378" s="644">
        <v>1</v>
      </c>
      <c r="J378" s="723">
        <f>IF('Proposed Lighting'!EF75=0,'Proposed Lighting'!AA75,'Proposed Lighting'!EF75)</f>
        <v>0</v>
      </c>
      <c r="K378" s="643" t="str">
        <f>'Proposed Lighting'!CU75</f>
        <v/>
      </c>
      <c r="L378" s="643" t="str">
        <f t="shared" si="90"/>
        <v/>
      </c>
      <c r="M378" s="645">
        <f t="shared" si="80"/>
        <v>0</v>
      </c>
      <c r="N378" s="645"/>
      <c r="O378" s="722">
        <f>IFERROR('Proposed Lighting'!AC75/1000,0)</f>
        <v>0</v>
      </c>
      <c r="P378" s="644">
        <f>'Proposed Lighting'!AV75</f>
        <v>0</v>
      </c>
      <c r="Q378" s="644">
        <f>IF(AND('Proposed Lighting'!T75="Lighting Controls Only",'Data Entry'!$AF$23="OR",'Proposed Lighting'!AU75=2),0,
IF(AND('Proposed Lighting'!T75="Lighting Controls Only",'Data Entry'!$AF$23="OR",'Proposed Lighting'!AU75=3,OR('Proposed Lighting'!W75="ceiling mount",'Proposed Lighting'!W75="wall switch",'Proposed Lighting'!W75="fixture mount (on exisiting equip)",'Proposed Lighting'!W75="daylight harvesting (on existing equip)")),0,
IF('Proposed Lighting'!AF75=1,IF(P378=0,0,J378*O378*(L378*(1-P378))),IF('Proposed Lighting'!AU75=1,0,'Proposed Lighting'!AX75-'Proposed Lighting'!AY75))))</f>
        <v>0</v>
      </c>
      <c r="R378" s="646">
        <f>IF('Proposed Lighting'!T75="Non-standard (provide description",0,
IF(AND(E378="Non-standard control",'Proposed Lighting'!AU75=2),Q378*0.1,
IF(AND(E378="Non-standard control",'Proposed Lighting'!AU75=3),Q378*0.08,
IF('Proposed Lighting'!EF75=0,0,IF('Proposed Lighting'!AU75=1,0,
IF(AND('Data Entry'!$AF$23="ID",'Proposed Lighting'!T75="Lighting controls only"),VLOOKUP(E378,'Proposed Lighting'!$DO$97:$DP$106,2,FALSE),
IF(AND('Data Entry'!$AF$23="OR",'Proposed Lighting'!AU75=3,'Proposed Lighting'!T75="Lighting controls only"),VLOOKUP(E378,'Proposed Lighting'!$DO$127:$DP$134,2,FALSE),0)))))))*J378</f>
        <v>0</v>
      </c>
      <c r="S378" s="646">
        <f>IF(Q378&lt;0.01,0,IF('Proposed Lighting'!AK75&gt;0,'Proposed Lighting'!AK75*'Proposed Lighting'!EF75,0))</f>
        <v>0</v>
      </c>
      <c r="T378" s="647">
        <f t="shared" si="91"/>
        <v>0</v>
      </c>
      <c r="U378" s="648"/>
      <c r="V378" s="646">
        <f t="shared" si="81"/>
        <v>0</v>
      </c>
      <c r="W378" s="646">
        <f t="shared" si="82"/>
        <v>0</v>
      </c>
      <c r="X378" s="646">
        <f t="shared" si="83"/>
        <v>0</v>
      </c>
      <c r="Y378" s="646"/>
      <c r="Z378" s="646"/>
      <c r="AA378" s="646"/>
      <c r="AB378" s="646">
        <f t="shared" si="84"/>
        <v>0</v>
      </c>
      <c r="AC378" s="649" t="str">
        <f t="shared" si="85"/>
        <v/>
      </c>
      <c r="AD378" s="649" t="str">
        <f t="shared" si="86"/>
        <v/>
      </c>
      <c r="AE378" s="649" t="str">
        <f t="shared" si="87"/>
        <v/>
      </c>
      <c r="AF378" s="72"/>
      <c r="AG378" s="644">
        <f>IFERROR(IF($AV378="No",0,IF($AV378="yes",Summary!Q378,"")),"")</f>
        <v>0</v>
      </c>
      <c r="AH378" s="646">
        <f>IFERROR(IF($AV378="No",0,IF($AV378="yes",Summary!R378,"")),"")</f>
        <v>0</v>
      </c>
      <c r="AI378" s="646">
        <f>IFERROR(IF($AV378="No",0,IF($AV378="yes",Summary!S378,"")),"")</f>
        <v>0</v>
      </c>
      <c r="AJ378" s="647">
        <f>IFERROR(IF($AV378="No",0,IF($AV378="yes",Summary!T378,"")),"")</f>
        <v>0</v>
      </c>
      <c r="AK378" s="648">
        <f>IFERROR(IF($AV378="No",0,IF($AV378="yes",Summary!U378,"")),"")</f>
        <v>0</v>
      </c>
      <c r="AL378" s="646">
        <f>IFERROR(IF($AV378="No",0,IF($AV378="yes",Summary!V378,"")),"")</f>
        <v>0</v>
      </c>
      <c r="AM378" s="646">
        <f>IFERROR(IF($AV378="No",0,IF($AV378="yes",Summary!W378,"")),"")</f>
        <v>0</v>
      </c>
      <c r="AN378" s="646">
        <f>IFERROR(IF($AV378="No",0,IF($AV378="yes",Summary!X378,"")),"")</f>
        <v>0</v>
      </c>
      <c r="AO378" s="646">
        <f>IFERROR(IF($AV378="No",0,IF($AV378="yes",Summary!Y378+Z378,"")),"")</f>
        <v>0</v>
      </c>
      <c r="AP378" s="646">
        <f>IFERROR(IF($AV378="No",0,IF($AV378="yes",Summary!AB378,"")),"")</f>
        <v>0</v>
      </c>
      <c r="AQ378" s="649" t="str">
        <f t="shared" si="88"/>
        <v/>
      </c>
      <c r="AR378" s="649" t="str">
        <f t="shared" si="92"/>
        <v/>
      </c>
      <c r="AS378" s="649" t="str">
        <f t="shared" si="89"/>
        <v/>
      </c>
      <c r="AT378" s="641" t="s">
        <v>852</v>
      </c>
      <c r="AV378" t="str">
        <f>IF('Proposed Lighting'!AK75&gt;0,"No","Yes")</f>
        <v>Yes</v>
      </c>
    </row>
    <row r="379" spans="1:48" ht="34.5" customHeight="1" outlineLevel="1">
      <c r="A379" s="641" t="s">
        <v>853</v>
      </c>
      <c r="B379" s="641" t="str">
        <f>IF('Proposed Lighting'!AU76=3,"Commercial-All Com-ExtLight",IF('Proposed Lighting'!AH76&gt;8759,"IPC_8760","Commercial-All Com-IntLight"))</f>
        <v>IPC_8760</v>
      </c>
      <c r="C379" s="641" t="str">
        <f>IF(OR(E379="",E379=0),"No",
IF(AND('Data Entry'!$AF$23="OR",AE379&lt;1),"No",
IF(AND('Data Entry'!$AF$23="ID",E379="Non-standard lighting control system",AD379&lt;1),"No",
IF(AND('Data Entry'!$AF$23="OR",'Proposed Lighting'!F76="Existing LED (Provide Description)",'Proposed Lighting'!AK76=""),"No",
IF('Proposed Lighting'!DD76="Submit Control as Non-Standard","No",
IF(AND('Proposed Lighting'!T76="Non-Standard (Provide Description)",AD379&lt;1),"No",
IF('Proposed Lighting'!AW76&lt;'Proposed Lighting'!AZ76,"No","Yes")))))))</f>
        <v>No</v>
      </c>
      <c r="D379" s="1604">
        <f>'Proposed Lighting'!BQ76-Q379</f>
        <v>0</v>
      </c>
      <c r="E379" s="642" t="str">
        <f>IF('Proposed Lighting'!W76="","",'Proposed Lighting'!W76)</f>
        <v/>
      </c>
      <c r="F379" s="642"/>
      <c r="G379" s="641" t="s">
        <v>786</v>
      </c>
      <c r="H379" s="643">
        <v>10</v>
      </c>
      <c r="I379" s="644">
        <v>1</v>
      </c>
      <c r="J379" s="723">
        <f>IF('Proposed Lighting'!EF76=0,'Proposed Lighting'!AA76,'Proposed Lighting'!EF76)</f>
        <v>0</v>
      </c>
      <c r="K379" s="643" t="str">
        <f>'Proposed Lighting'!CU76</f>
        <v/>
      </c>
      <c r="L379" s="643" t="str">
        <f t="shared" si="90"/>
        <v/>
      </c>
      <c r="M379" s="645">
        <f t="shared" si="80"/>
        <v>0</v>
      </c>
      <c r="N379" s="645"/>
      <c r="O379" s="722">
        <f>IFERROR('Proposed Lighting'!AC76/1000,0)</f>
        <v>0</v>
      </c>
      <c r="P379" s="644">
        <f>'Proposed Lighting'!AV76</f>
        <v>0</v>
      </c>
      <c r="Q379" s="644">
        <f>IF(AND('Proposed Lighting'!T76="Lighting Controls Only",'Data Entry'!$AF$23="OR",'Proposed Lighting'!AU76=2),0,
IF(AND('Proposed Lighting'!T76="Lighting Controls Only",'Data Entry'!$AF$23="OR",'Proposed Lighting'!AU76=3,OR('Proposed Lighting'!W76="ceiling mount",'Proposed Lighting'!W76="wall switch",'Proposed Lighting'!W76="fixture mount (on exisiting equip)",'Proposed Lighting'!W76="daylight harvesting (on existing equip)")),0,
IF('Proposed Lighting'!AF76=1,IF(P379=0,0,J379*O379*(L379*(1-P379))),IF('Proposed Lighting'!AU76=1,0,'Proposed Lighting'!AX76-'Proposed Lighting'!AY76))))</f>
        <v>0</v>
      </c>
      <c r="R379" s="646">
        <f>IF('Proposed Lighting'!T76="Non-standard (provide description",0,
IF(AND(E379="Non-standard control",'Proposed Lighting'!AU76=2),Q379*0.1,
IF(AND(E379="Non-standard control",'Proposed Lighting'!AU76=3),Q379*0.08,
IF('Proposed Lighting'!EF76=0,0,IF('Proposed Lighting'!AU76=1,0,
IF(AND('Data Entry'!$AF$23="ID",'Proposed Lighting'!T76="Lighting controls only"),VLOOKUP(E379,'Proposed Lighting'!$DO$97:$DP$106,2,FALSE),
IF(AND('Data Entry'!$AF$23="OR",'Proposed Lighting'!AU76=3,'Proposed Lighting'!T76="Lighting controls only"),VLOOKUP(E379,'Proposed Lighting'!$DO$127:$DP$134,2,FALSE),0)))))))*J379</f>
        <v>0</v>
      </c>
      <c r="S379" s="646">
        <f>IF(Q379&lt;0.01,0,IF('Proposed Lighting'!AK76&gt;0,'Proposed Lighting'!AK76*'Proposed Lighting'!EF76,0))</f>
        <v>0</v>
      </c>
      <c r="T379" s="647">
        <f t="shared" si="91"/>
        <v>0</v>
      </c>
      <c r="U379" s="648"/>
      <c r="V379" s="646">
        <f t="shared" si="81"/>
        <v>0</v>
      </c>
      <c r="W379" s="646">
        <f t="shared" si="82"/>
        <v>0</v>
      </c>
      <c r="X379" s="646">
        <f t="shared" si="83"/>
        <v>0</v>
      </c>
      <c r="Y379" s="646"/>
      <c r="Z379" s="646"/>
      <c r="AA379" s="646"/>
      <c r="AB379" s="646">
        <f t="shared" si="84"/>
        <v>0</v>
      </c>
      <c r="AC379" s="649" t="str">
        <f t="shared" si="85"/>
        <v/>
      </c>
      <c r="AD379" s="649" t="str">
        <f t="shared" si="86"/>
        <v/>
      </c>
      <c r="AE379" s="649" t="str">
        <f t="shared" si="87"/>
        <v/>
      </c>
      <c r="AF379" s="72"/>
      <c r="AG379" s="644">
        <f>IFERROR(IF($AV379="No",0,IF($AV379="yes",Summary!Q379,"")),"")</f>
        <v>0</v>
      </c>
      <c r="AH379" s="646">
        <f>IFERROR(IF($AV379="No",0,IF($AV379="yes",Summary!R379,"")),"")</f>
        <v>0</v>
      </c>
      <c r="AI379" s="646">
        <f>IFERROR(IF($AV379="No",0,IF($AV379="yes",Summary!S379,"")),"")</f>
        <v>0</v>
      </c>
      <c r="AJ379" s="647">
        <f>IFERROR(IF($AV379="No",0,IF($AV379="yes",Summary!T379,"")),"")</f>
        <v>0</v>
      </c>
      <c r="AK379" s="648">
        <f>IFERROR(IF($AV379="No",0,IF($AV379="yes",Summary!U379,"")),"")</f>
        <v>0</v>
      </c>
      <c r="AL379" s="646">
        <f>IFERROR(IF($AV379="No",0,IF($AV379="yes",Summary!V379,"")),"")</f>
        <v>0</v>
      </c>
      <c r="AM379" s="646">
        <f>IFERROR(IF($AV379="No",0,IF($AV379="yes",Summary!W379,"")),"")</f>
        <v>0</v>
      </c>
      <c r="AN379" s="646">
        <f>IFERROR(IF($AV379="No",0,IF($AV379="yes",Summary!X379,"")),"")</f>
        <v>0</v>
      </c>
      <c r="AO379" s="646">
        <f>IFERROR(IF($AV379="No",0,IF($AV379="yes",Summary!Y379+Z379,"")),"")</f>
        <v>0</v>
      </c>
      <c r="AP379" s="646">
        <f>IFERROR(IF($AV379="No",0,IF($AV379="yes",Summary!AB379,"")),"")</f>
        <v>0</v>
      </c>
      <c r="AQ379" s="649" t="str">
        <f t="shared" si="88"/>
        <v/>
      </c>
      <c r="AR379" s="649" t="str">
        <f t="shared" si="92"/>
        <v/>
      </c>
      <c r="AS379" s="649" t="str">
        <f t="shared" si="89"/>
        <v/>
      </c>
      <c r="AT379" s="641" t="s">
        <v>853</v>
      </c>
      <c r="AV379" t="str">
        <f>IF('Proposed Lighting'!AK76&gt;0,"No","Yes")</f>
        <v>Yes</v>
      </c>
    </row>
    <row r="380" spans="1:48" ht="34.5" customHeight="1" outlineLevel="1">
      <c r="A380" s="641" t="s">
        <v>854</v>
      </c>
      <c r="B380" s="641" t="str">
        <f>IF('Proposed Lighting'!AU77=3,"Commercial-All Com-ExtLight",IF('Proposed Lighting'!AH77&gt;8759,"IPC_8760","Commercial-All Com-IntLight"))</f>
        <v>IPC_8760</v>
      </c>
      <c r="C380" s="641" t="str">
        <f>IF(OR(E380="",E380=0),"No",
IF(AND('Data Entry'!$AF$23="OR",AE380&lt;1),"No",
IF(AND('Data Entry'!$AF$23="ID",E380="Non-standard lighting control system",AD380&lt;1),"No",
IF(AND('Data Entry'!$AF$23="OR",'Proposed Lighting'!F77="Existing LED (Provide Description)",'Proposed Lighting'!AK77=""),"No",
IF('Proposed Lighting'!DD77="Submit Control as Non-Standard","No",
IF(AND('Proposed Lighting'!T77="Non-Standard (Provide Description)",AD380&lt;1),"No",
IF('Proposed Lighting'!AW77&lt;'Proposed Lighting'!AZ77,"No","Yes")))))))</f>
        <v>No</v>
      </c>
      <c r="D380" s="1604">
        <f>'Proposed Lighting'!BQ77-Q380</f>
        <v>0</v>
      </c>
      <c r="E380" s="642" t="str">
        <f>IF('Proposed Lighting'!W77="","",'Proposed Lighting'!W77)</f>
        <v/>
      </c>
      <c r="F380" s="642"/>
      <c r="G380" s="641" t="s">
        <v>786</v>
      </c>
      <c r="H380" s="643">
        <v>10</v>
      </c>
      <c r="I380" s="644">
        <v>1</v>
      </c>
      <c r="J380" s="723">
        <f>IF('Proposed Lighting'!EF77=0,'Proposed Lighting'!AA77,'Proposed Lighting'!EF77)</f>
        <v>0</v>
      </c>
      <c r="K380" s="643" t="str">
        <f>'Proposed Lighting'!CU77</f>
        <v/>
      </c>
      <c r="L380" s="643" t="str">
        <f t="shared" si="90"/>
        <v/>
      </c>
      <c r="M380" s="645">
        <f t="shared" si="80"/>
        <v>0</v>
      </c>
      <c r="N380" s="645"/>
      <c r="O380" s="722">
        <f>IFERROR('Proposed Lighting'!AC77/1000,0)</f>
        <v>0</v>
      </c>
      <c r="P380" s="644">
        <f>'Proposed Lighting'!AV77</f>
        <v>0</v>
      </c>
      <c r="Q380" s="644">
        <f>IF(AND('Proposed Lighting'!T77="Lighting Controls Only",'Data Entry'!$AF$23="OR",'Proposed Lighting'!AU77=2),0,
IF(AND('Proposed Lighting'!T77="Lighting Controls Only",'Data Entry'!$AF$23="OR",'Proposed Lighting'!AU77=3,OR('Proposed Lighting'!W77="ceiling mount",'Proposed Lighting'!W77="wall switch",'Proposed Lighting'!W77="fixture mount (on exisiting equip)",'Proposed Lighting'!W77="daylight harvesting (on existing equip)")),0,
IF('Proposed Lighting'!AF77=1,IF(P380=0,0,J380*O380*(L380*(1-P380))),IF('Proposed Lighting'!AU77=1,0,'Proposed Lighting'!AX77-'Proposed Lighting'!AY77))))</f>
        <v>0</v>
      </c>
      <c r="R380" s="646">
        <f>IF('Proposed Lighting'!T77="Non-standard (provide description",0,
IF(AND(E380="Non-standard control",'Proposed Lighting'!AU77=2),Q380*0.1,
IF(AND(E380="Non-standard control",'Proposed Lighting'!AU77=3),Q380*0.08,
IF('Proposed Lighting'!EF77=0,0,IF('Proposed Lighting'!AU77=1,0,
IF(AND('Data Entry'!$AF$23="ID",'Proposed Lighting'!T77="Lighting controls only"),VLOOKUP(E380,'Proposed Lighting'!$DO$97:$DP$106,2,FALSE),
IF(AND('Data Entry'!$AF$23="OR",'Proposed Lighting'!AU77=3,'Proposed Lighting'!T77="Lighting controls only"),VLOOKUP(E380,'Proposed Lighting'!$DO$127:$DP$134,2,FALSE),0)))))))*J380</f>
        <v>0</v>
      </c>
      <c r="S380" s="646">
        <f>IF(Q380&lt;0.01,0,IF('Proposed Lighting'!AK77&gt;0,'Proposed Lighting'!AK77*'Proposed Lighting'!EF77,0))</f>
        <v>0</v>
      </c>
      <c r="T380" s="647">
        <f t="shared" si="91"/>
        <v>0</v>
      </c>
      <c r="U380" s="648"/>
      <c r="V380" s="646">
        <f t="shared" si="81"/>
        <v>0</v>
      </c>
      <c r="W380" s="646">
        <f t="shared" si="82"/>
        <v>0</v>
      </c>
      <c r="X380" s="646">
        <f t="shared" si="83"/>
        <v>0</v>
      </c>
      <c r="Y380" s="646"/>
      <c r="Z380" s="646"/>
      <c r="AA380" s="646"/>
      <c r="AB380" s="646">
        <f t="shared" si="84"/>
        <v>0</v>
      </c>
      <c r="AC380" s="649" t="str">
        <f t="shared" si="85"/>
        <v/>
      </c>
      <c r="AD380" s="649" t="str">
        <f t="shared" si="86"/>
        <v/>
      </c>
      <c r="AE380" s="649" t="str">
        <f t="shared" si="87"/>
        <v/>
      </c>
      <c r="AF380" s="72"/>
      <c r="AG380" s="644">
        <f>IFERROR(IF($AV380="No",0,IF($AV380="yes",Summary!Q380,"")),"")</f>
        <v>0</v>
      </c>
      <c r="AH380" s="646">
        <f>IFERROR(IF($AV380="No",0,IF($AV380="yes",Summary!R380,"")),"")</f>
        <v>0</v>
      </c>
      <c r="AI380" s="646">
        <f>IFERROR(IF($AV380="No",0,IF($AV380="yes",Summary!S380,"")),"")</f>
        <v>0</v>
      </c>
      <c r="AJ380" s="647">
        <f>IFERROR(IF($AV380="No",0,IF($AV380="yes",Summary!T380,"")),"")</f>
        <v>0</v>
      </c>
      <c r="AK380" s="648">
        <f>IFERROR(IF($AV380="No",0,IF($AV380="yes",Summary!U380,"")),"")</f>
        <v>0</v>
      </c>
      <c r="AL380" s="646">
        <f>IFERROR(IF($AV380="No",0,IF($AV380="yes",Summary!V380,"")),"")</f>
        <v>0</v>
      </c>
      <c r="AM380" s="646">
        <f>IFERROR(IF($AV380="No",0,IF($AV380="yes",Summary!W380,"")),"")</f>
        <v>0</v>
      </c>
      <c r="AN380" s="646">
        <f>IFERROR(IF($AV380="No",0,IF($AV380="yes",Summary!X380,"")),"")</f>
        <v>0</v>
      </c>
      <c r="AO380" s="646">
        <f>IFERROR(IF($AV380="No",0,IF($AV380="yes",Summary!Y380+Z380,"")),"")</f>
        <v>0</v>
      </c>
      <c r="AP380" s="646">
        <f>IFERROR(IF($AV380="No",0,IF($AV380="yes",Summary!AB380,"")),"")</f>
        <v>0</v>
      </c>
      <c r="AQ380" s="649" t="str">
        <f t="shared" si="88"/>
        <v/>
      </c>
      <c r="AR380" s="649" t="str">
        <f t="shared" si="92"/>
        <v/>
      </c>
      <c r="AS380" s="649" t="str">
        <f t="shared" si="89"/>
        <v/>
      </c>
      <c r="AT380" s="641" t="s">
        <v>854</v>
      </c>
      <c r="AV380" t="str">
        <f>IF('Proposed Lighting'!AK77&gt;0,"No","Yes")</f>
        <v>Yes</v>
      </c>
    </row>
    <row r="381" spans="1:48" ht="34.5" customHeight="1" outlineLevel="1">
      <c r="A381" s="641" t="s">
        <v>855</v>
      </c>
      <c r="B381" s="641" t="str">
        <f>IF('Proposed Lighting'!AU78=3,"Commercial-All Com-ExtLight",IF('Proposed Lighting'!AH78&gt;8759,"IPC_8760","Commercial-All Com-IntLight"))</f>
        <v>IPC_8760</v>
      </c>
      <c r="C381" s="641" t="str">
        <f>IF(OR(E381="",E381=0),"No",
IF(AND('Data Entry'!$AF$23="OR",AE381&lt;1),"No",
IF(AND('Data Entry'!$AF$23="ID",E381="Non-standard lighting control system",AD381&lt;1),"No",
IF(AND('Data Entry'!$AF$23="OR",'Proposed Lighting'!F78="Existing LED (Provide Description)",'Proposed Lighting'!AK78=""),"No",
IF('Proposed Lighting'!DD78="Submit Control as Non-Standard","No",
IF(AND('Proposed Lighting'!T78="Non-Standard (Provide Description)",AD381&lt;1),"No",
IF('Proposed Lighting'!AW78&lt;'Proposed Lighting'!AZ78,"No","Yes")))))))</f>
        <v>No</v>
      </c>
      <c r="D381" s="1604">
        <f>'Proposed Lighting'!BQ78-Q381</f>
        <v>0</v>
      </c>
      <c r="E381" s="642" t="str">
        <f>IF('Proposed Lighting'!W78="","",'Proposed Lighting'!W78)</f>
        <v/>
      </c>
      <c r="F381" s="642"/>
      <c r="G381" s="641" t="s">
        <v>786</v>
      </c>
      <c r="H381" s="643">
        <v>10</v>
      </c>
      <c r="I381" s="644">
        <v>1</v>
      </c>
      <c r="J381" s="723">
        <f>IF('Proposed Lighting'!EF78=0,'Proposed Lighting'!AA78,'Proposed Lighting'!EF78)</f>
        <v>0</v>
      </c>
      <c r="K381" s="643" t="str">
        <f>'Proposed Lighting'!CU78</f>
        <v/>
      </c>
      <c r="L381" s="643" t="str">
        <f t="shared" si="90"/>
        <v/>
      </c>
      <c r="M381" s="645">
        <f t="shared" si="80"/>
        <v>0</v>
      </c>
      <c r="N381" s="645"/>
      <c r="O381" s="722">
        <f>IFERROR('Proposed Lighting'!AC78/1000,0)</f>
        <v>0</v>
      </c>
      <c r="P381" s="644">
        <f>'Proposed Lighting'!AV78</f>
        <v>0</v>
      </c>
      <c r="Q381" s="644">
        <f>IF(AND('Proposed Lighting'!T78="Lighting Controls Only",'Data Entry'!$AF$23="OR",'Proposed Lighting'!AU78=2),0,
IF(AND('Proposed Lighting'!T78="Lighting Controls Only",'Data Entry'!$AF$23="OR",'Proposed Lighting'!AU78=3,OR('Proposed Lighting'!W78="ceiling mount",'Proposed Lighting'!W78="wall switch",'Proposed Lighting'!W78="fixture mount (on exisiting equip)",'Proposed Lighting'!W78="daylight harvesting (on existing equip)")),0,
IF('Proposed Lighting'!AF78=1,IF(P381=0,0,J381*O381*(L381*(1-P381))),IF('Proposed Lighting'!AU78=1,0,'Proposed Lighting'!AX78-'Proposed Lighting'!AY78))))</f>
        <v>0</v>
      </c>
      <c r="R381" s="646">
        <f>IF('Proposed Lighting'!T78="Non-standard (provide description",0,
IF(AND(E381="Non-standard control",'Proposed Lighting'!AU78=2),Q381*0.1,
IF(AND(E381="Non-standard control",'Proposed Lighting'!AU78=3),Q381*0.08,
IF('Proposed Lighting'!EF78=0,0,IF('Proposed Lighting'!AU78=1,0,
IF(AND('Data Entry'!$AF$23="ID",'Proposed Lighting'!T78="Lighting controls only"),VLOOKUP(E381,'Proposed Lighting'!$DO$97:$DP$106,2,FALSE),
IF(AND('Data Entry'!$AF$23="OR",'Proposed Lighting'!AU78=3,'Proposed Lighting'!T78="Lighting controls only"),VLOOKUP(E381,'Proposed Lighting'!$DO$127:$DP$134,2,FALSE),0)))))))*J381</f>
        <v>0</v>
      </c>
      <c r="S381" s="646">
        <f>IF(Q381&lt;0.01,0,IF('Proposed Lighting'!AK78&gt;0,'Proposed Lighting'!AK78*'Proposed Lighting'!EF78,0))</f>
        <v>0</v>
      </c>
      <c r="T381" s="647">
        <f t="shared" si="91"/>
        <v>0</v>
      </c>
      <c r="U381" s="648"/>
      <c r="V381" s="646">
        <f t="shared" si="81"/>
        <v>0</v>
      </c>
      <c r="W381" s="646">
        <f t="shared" si="82"/>
        <v>0</v>
      </c>
      <c r="X381" s="646">
        <f t="shared" si="83"/>
        <v>0</v>
      </c>
      <c r="Y381" s="646"/>
      <c r="Z381" s="646"/>
      <c r="AA381" s="646"/>
      <c r="AB381" s="646">
        <f t="shared" si="84"/>
        <v>0</v>
      </c>
      <c r="AC381" s="649" t="str">
        <f t="shared" si="85"/>
        <v/>
      </c>
      <c r="AD381" s="649" t="str">
        <f t="shared" si="86"/>
        <v/>
      </c>
      <c r="AE381" s="649" t="str">
        <f t="shared" si="87"/>
        <v/>
      </c>
      <c r="AF381" s="72"/>
      <c r="AG381" s="644">
        <f>IFERROR(IF($AV381="No",0,IF($AV381="yes",Summary!Q381,"")),"")</f>
        <v>0</v>
      </c>
      <c r="AH381" s="646">
        <f>IFERROR(IF($AV381="No",0,IF($AV381="yes",Summary!R381,"")),"")</f>
        <v>0</v>
      </c>
      <c r="AI381" s="646">
        <f>IFERROR(IF($AV381="No",0,IF($AV381="yes",Summary!S381,"")),"")</f>
        <v>0</v>
      </c>
      <c r="AJ381" s="647">
        <f>IFERROR(IF($AV381="No",0,IF($AV381="yes",Summary!T381,"")),"")</f>
        <v>0</v>
      </c>
      <c r="AK381" s="648">
        <f>IFERROR(IF($AV381="No",0,IF($AV381="yes",Summary!U381,"")),"")</f>
        <v>0</v>
      </c>
      <c r="AL381" s="646">
        <f>IFERROR(IF($AV381="No",0,IF($AV381="yes",Summary!V381,"")),"")</f>
        <v>0</v>
      </c>
      <c r="AM381" s="646">
        <f>IFERROR(IF($AV381="No",0,IF($AV381="yes",Summary!W381,"")),"")</f>
        <v>0</v>
      </c>
      <c r="AN381" s="646">
        <f>IFERROR(IF($AV381="No",0,IF($AV381="yes",Summary!X381,"")),"")</f>
        <v>0</v>
      </c>
      <c r="AO381" s="646">
        <f>IFERROR(IF($AV381="No",0,IF($AV381="yes",Summary!Y381+Z381,"")),"")</f>
        <v>0</v>
      </c>
      <c r="AP381" s="646">
        <f>IFERROR(IF($AV381="No",0,IF($AV381="yes",Summary!AB381,"")),"")</f>
        <v>0</v>
      </c>
      <c r="AQ381" s="649" t="str">
        <f t="shared" si="88"/>
        <v/>
      </c>
      <c r="AR381" s="649" t="str">
        <f t="shared" si="92"/>
        <v/>
      </c>
      <c r="AS381" s="649" t="str">
        <f t="shared" si="89"/>
        <v/>
      </c>
      <c r="AT381" s="641" t="s">
        <v>855</v>
      </c>
      <c r="AV381" t="str">
        <f>IF('Proposed Lighting'!AK78&gt;0,"No","Yes")</f>
        <v>Yes</v>
      </c>
    </row>
    <row r="382" spans="1:48" ht="34.5" customHeight="1" outlineLevel="1">
      <c r="A382" s="641" t="s">
        <v>856</v>
      </c>
      <c r="B382" s="641" t="str">
        <f>IF('Proposed Lighting'!AU79=3,"Commercial-All Com-ExtLight",IF('Proposed Lighting'!AH79&gt;8759,"IPC_8760","Commercial-All Com-IntLight"))</f>
        <v>IPC_8760</v>
      </c>
      <c r="C382" s="641" t="str">
        <f>IF(OR(E382="",E382=0),"No",
IF(AND('Data Entry'!$AF$23="OR",AE382&lt;1),"No",
IF(AND('Data Entry'!$AF$23="ID",E382="Non-standard lighting control system",AD382&lt;1),"No",
IF(AND('Data Entry'!$AF$23="OR",'Proposed Lighting'!F79="Existing LED (Provide Description)",'Proposed Lighting'!AK79=""),"No",
IF('Proposed Lighting'!DD79="Submit Control as Non-Standard","No",
IF(AND('Proposed Lighting'!T79="Non-Standard (Provide Description)",AD382&lt;1),"No",
IF('Proposed Lighting'!AW79&lt;'Proposed Lighting'!AZ79,"No","Yes")))))))</f>
        <v>No</v>
      </c>
      <c r="D382" s="1604">
        <f>'Proposed Lighting'!BQ79-Q382</f>
        <v>0</v>
      </c>
      <c r="E382" s="642" t="str">
        <f>IF('Proposed Lighting'!W79="","",'Proposed Lighting'!W79)</f>
        <v/>
      </c>
      <c r="F382" s="642"/>
      <c r="G382" s="641" t="s">
        <v>786</v>
      </c>
      <c r="H382" s="643">
        <v>10</v>
      </c>
      <c r="I382" s="644">
        <v>1</v>
      </c>
      <c r="J382" s="723">
        <f>IF('Proposed Lighting'!EF79=0,'Proposed Lighting'!AA79,'Proposed Lighting'!EF79)</f>
        <v>0</v>
      </c>
      <c r="K382" s="643" t="str">
        <f>'Proposed Lighting'!CU79</f>
        <v/>
      </c>
      <c r="L382" s="643" t="str">
        <f t="shared" si="90"/>
        <v/>
      </c>
      <c r="M382" s="645">
        <f t="shared" si="80"/>
        <v>0</v>
      </c>
      <c r="N382" s="645"/>
      <c r="O382" s="722">
        <f>IFERROR('Proposed Lighting'!AC79/1000,0)</f>
        <v>0</v>
      </c>
      <c r="P382" s="644">
        <f>'Proposed Lighting'!AV79</f>
        <v>0</v>
      </c>
      <c r="Q382" s="644">
        <f>IF(AND('Proposed Lighting'!T79="Lighting Controls Only",'Data Entry'!$AF$23="OR",'Proposed Lighting'!AU79=2),0,
IF(AND('Proposed Lighting'!T79="Lighting Controls Only",'Data Entry'!$AF$23="OR",'Proposed Lighting'!AU79=3,OR('Proposed Lighting'!W79="ceiling mount",'Proposed Lighting'!W79="wall switch",'Proposed Lighting'!W79="fixture mount (on exisiting equip)",'Proposed Lighting'!W79="daylight harvesting (on existing equip)")),0,
IF('Proposed Lighting'!AF79=1,IF(P382=0,0,J382*O382*(L382*(1-P382))),IF('Proposed Lighting'!AU79=1,0,'Proposed Lighting'!AX79-'Proposed Lighting'!AY79))))</f>
        <v>0</v>
      </c>
      <c r="R382" s="646">
        <f>IF('Proposed Lighting'!T79="Non-standard (provide description",0,
IF(AND(E382="Non-standard control",'Proposed Lighting'!AU79=2),Q382*0.1,
IF(AND(E382="Non-standard control",'Proposed Lighting'!AU79=3),Q382*0.08,
IF('Proposed Lighting'!EF79=0,0,IF('Proposed Lighting'!AU79=1,0,
IF(AND('Data Entry'!$AF$23="ID",'Proposed Lighting'!T79="Lighting controls only"),VLOOKUP(E382,'Proposed Lighting'!$DO$97:$DP$106,2,FALSE),
IF(AND('Data Entry'!$AF$23="OR",'Proposed Lighting'!AU79=3,'Proposed Lighting'!T79="Lighting controls only"),VLOOKUP(E382,'Proposed Lighting'!$DO$127:$DP$134,2,FALSE),0)))))))*J382</f>
        <v>0</v>
      </c>
      <c r="S382" s="646">
        <f>IF(Q382&lt;0.01,0,IF('Proposed Lighting'!AK79&gt;0,'Proposed Lighting'!AK79*'Proposed Lighting'!EF79,0))</f>
        <v>0</v>
      </c>
      <c r="T382" s="647">
        <f t="shared" si="91"/>
        <v>0</v>
      </c>
      <c r="U382" s="648"/>
      <c r="V382" s="646">
        <f t="shared" si="81"/>
        <v>0</v>
      </c>
      <c r="W382" s="646">
        <f t="shared" si="82"/>
        <v>0</v>
      </c>
      <c r="X382" s="646">
        <f t="shared" si="83"/>
        <v>0</v>
      </c>
      <c r="Y382" s="646"/>
      <c r="Z382" s="646"/>
      <c r="AA382" s="646"/>
      <c r="AB382" s="646">
        <f t="shared" si="84"/>
        <v>0</v>
      </c>
      <c r="AC382" s="649" t="str">
        <f t="shared" si="85"/>
        <v/>
      </c>
      <c r="AD382" s="649" t="str">
        <f t="shared" si="86"/>
        <v/>
      </c>
      <c r="AE382" s="649" t="str">
        <f t="shared" si="87"/>
        <v/>
      </c>
      <c r="AF382" s="72"/>
      <c r="AG382" s="644">
        <f>IFERROR(IF($AV382="No",0,IF($AV382="yes",Summary!Q382,"")),"")</f>
        <v>0</v>
      </c>
      <c r="AH382" s="646">
        <f>IFERROR(IF($AV382="No",0,IF($AV382="yes",Summary!R382,"")),"")</f>
        <v>0</v>
      </c>
      <c r="AI382" s="646">
        <f>IFERROR(IF($AV382="No",0,IF($AV382="yes",Summary!S382,"")),"")</f>
        <v>0</v>
      </c>
      <c r="AJ382" s="647">
        <f>IFERROR(IF($AV382="No",0,IF($AV382="yes",Summary!T382,"")),"")</f>
        <v>0</v>
      </c>
      <c r="AK382" s="648">
        <f>IFERROR(IF($AV382="No",0,IF($AV382="yes",Summary!U382,"")),"")</f>
        <v>0</v>
      </c>
      <c r="AL382" s="646">
        <f>IFERROR(IF($AV382="No",0,IF($AV382="yes",Summary!V382,"")),"")</f>
        <v>0</v>
      </c>
      <c r="AM382" s="646">
        <f>IFERROR(IF($AV382="No",0,IF($AV382="yes",Summary!W382,"")),"")</f>
        <v>0</v>
      </c>
      <c r="AN382" s="646">
        <f>IFERROR(IF($AV382="No",0,IF($AV382="yes",Summary!X382,"")),"")</f>
        <v>0</v>
      </c>
      <c r="AO382" s="646">
        <f>IFERROR(IF($AV382="No",0,IF($AV382="yes",Summary!Y382+Z382,"")),"")</f>
        <v>0</v>
      </c>
      <c r="AP382" s="646">
        <f>IFERROR(IF($AV382="No",0,IF($AV382="yes",Summary!AB382,"")),"")</f>
        <v>0</v>
      </c>
      <c r="AQ382" s="649" t="str">
        <f t="shared" si="88"/>
        <v/>
      </c>
      <c r="AR382" s="649" t="str">
        <f t="shared" si="92"/>
        <v/>
      </c>
      <c r="AS382" s="649" t="str">
        <f t="shared" si="89"/>
        <v/>
      </c>
      <c r="AT382" s="641" t="s">
        <v>856</v>
      </c>
      <c r="AV382" t="str">
        <f>IF('Proposed Lighting'!AK79&gt;0,"No","Yes")</f>
        <v>Yes</v>
      </c>
    </row>
    <row r="383" spans="1:48" ht="34.5" customHeight="1" outlineLevel="1">
      <c r="A383" s="641" t="s">
        <v>857</v>
      </c>
      <c r="B383" s="641" t="str">
        <f>IF('Proposed Lighting'!AU80=3,"Commercial-All Com-ExtLight",IF('Proposed Lighting'!AH80&gt;8759,"IPC_8760","Commercial-All Com-IntLight"))</f>
        <v>IPC_8760</v>
      </c>
      <c r="C383" s="641" t="str">
        <f>IF(OR(E383="",E383=0),"No",
IF(AND('Data Entry'!$AF$23="OR",AE383&lt;1),"No",
IF(AND('Data Entry'!$AF$23="ID",E383="Non-standard lighting control system",AD383&lt;1),"No",
IF(AND('Data Entry'!$AF$23="OR",'Proposed Lighting'!F80="Existing LED (Provide Description)",'Proposed Lighting'!AK80=""),"No",
IF('Proposed Lighting'!DD80="Submit Control as Non-Standard","No",
IF(AND('Proposed Lighting'!T80="Non-Standard (Provide Description)",AD383&lt;1),"No",
IF('Proposed Lighting'!AW80&lt;'Proposed Lighting'!AZ80,"No","Yes")))))))</f>
        <v>No</v>
      </c>
      <c r="D383" s="1604">
        <f>'Proposed Lighting'!BQ80-Q383</f>
        <v>0</v>
      </c>
      <c r="E383" s="642" t="str">
        <f>IF('Proposed Lighting'!W80="","",'Proposed Lighting'!W80)</f>
        <v/>
      </c>
      <c r="F383" s="642"/>
      <c r="G383" s="641" t="s">
        <v>786</v>
      </c>
      <c r="H383" s="643">
        <v>10</v>
      </c>
      <c r="I383" s="644">
        <v>1</v>
      </c>
      <c r="J383" s="723">
        <f>IF('Proposed Lighting'!EF80=0,'Proposed Lighting'!AA80,'Proposed Lighting'!EF80)</f>
        <v>0</v>
      </c>
      <c r="K383" s="643" t="str">
        <f>'Proposed Lighting'!CU80</f>
        <v/>
      </c>
      <c r="L383" s="643" t="str">
        <f t="shared" si="90"/>
        <v/>
      </c>
      <c r="M383" s="645">
        <f t="shared" si="80"/>
        <v>0</v>
      </c>
      <c r="N383" s="645"/>
      <c r="O383" s="722">
        <f>IFERROR('Proposed Lighting'!AC80/1000,0)</f>
        <v>0</v>
      </c>
      <c r="P383" s="644">
        <f>'Proposed Lighting'!AV80</f>
        <v>0</v>
      </c>
      <c r="Q383" s="644">
        <f>IF(AND('Proposed Lighting'!T80="Lighting Controls Only",'Data Entry'!$AF$23="OR",'Proposed Lighting'!AU80=2),0,
IF(AND('Proposed Lighting'!T80="Lighting Controls Only",'Data Entry'!$AF$23="OR",'Proposed Lighting'!AU80=3,OR('Proposed Lighting'!W80="ceiling mount",'Proposed Lighting'!W80="wall switch",'Proposed Lighting'!W80="fixture mount (on exisiting equip)",'Proposed Lighting'!W80="daylight harvesting (on existing equip)")),0,
IF('Proposed Lighting'!AF80=1,IF(P383=0,0,J383*O383*(L383*(1-P383))),IF('Proposed Lighting'!AU80=1,0,'Proposed Lighting'!AX80-'Proposed Lighting'!AY80))))</f>
        <v>0</v>
      </c>
      <c r="R383" s="646">
        <f>IF('Proposed Lighting'!T80="Non-standard (provide description",0,
IF(AND(E383="Non-standard control",'Proposed Lighting'!AU80=2),Q383*0.1,
IF(AND(E383="Non-standard control",'Proposed Lighting'!AU80=3),Q383*0.08,
IF('Proposed Lighting'!EF80=0,0,IF('Proposed Lighting'!AU80=1,0,
IF(AND('Data Entry'!$AF$23="ID",'Proposed Lighting'!T80="Lighting controls only"),VLOOKUP(E383,'Proposed Lighting'!$DO$97:$DP$106,2,FALSE),
IF(AND('Data Entry'!$AF$23="OR",'Proposed Lighting'!AU80=3,'Proposed Lighting'!T80="Lighting controls only"),VLOOKUP(E383,'Proposed Lighting'!$DO$127:$DP$134,2,FALSE),0)))))))*J383</f>
        <v>0</v>
      </c>
      <c r="S383" s="646">
        <f>IF(Q383&lt;0.01,0,IF('Proposed Lighting'!AK80&gt;0,'Proposed Lighting'!AK80*'Proposed Lighting'!EF80,0))</f>
        <v>0</v>
      </c>
      <c r="T383" s="647">
        <f t="shared" si="91"/>
        <v>0</v>
      </c>
      <c r="U383" s="648"/>
      <c r="V383" s="646">
        <f t="shared" si="81"/>
        <v>0</v>
      </c>
      <c r="W383" s="646">
        <f t="shared" si="82"/>
        <v>0</v>
      </c>
      <c r="X383" s="646">
        <f t="shared" si="83"/>
        <v>0</v>
      </c>
      <c r="Y383" s="646"/>
      <c r="Z383" s="646"/>
      <c r="AA383" s="646"/>
      <c r="AB383" s="646">
        <f t="shared" si="84"/>
        <v>0</v>
      </c>
      <c r="AC383" s="649" t="str">
        <f t="shared" si="85"/>
        <v/>
      </c>
      <c r="AD383" s="649" t="str">
        <f t="shared" si="86"/>
        <v/>
      </c>
      <c r="AE383" s="649" t="str">
        <f t="shared" si="87"/>
        <v/>
      </c>
      <c r="AF383" s="72"/>
      <c r="AG383" s="644">
        <f>IFERROR(IF($AV383="No",0,IF($AV383="yes",Summary!Q383,"")),"")</f>
        <v>0</v>
      </c>
      <c r="AH383" s="646">
        <f>IFERROR(IF($AV383="No",0,IF($AV383="yes",Summary!R383,"")),"")</f>
        <v>0</v>
      </c>
      <c r="AI383" s="646">
        <f>IFERROR(IF($AV383="No",0,IF($AV383="yes",Summary!S383,"")),"")</f>
        <v>0</v>
      </c>
      <c r="AJ383" s="647">
        <f>IFERROR(IF($AV383="No",0,IF($AV383="yes",Summary!T383,"")),"")</f>
        <v>0</v>
      </c>
      <c r="AK383" s="648">
        <f>IFERROR(IF($AV383="No",0,IF($AV383="yes",Summary!U383,"")),"")</f>
        <v>0</v>
      </c>
      <c r="AL383" s="646">
        <f>IFERROR(IF($AV383="No",0,IF($AV383="yes",Summary!V383,"")),"")</f>
        <v>0</v>
      </c>
      <c r="AM383" s="646">
        <f>IFERROR(IF($AV383="No",0,IF($AV383="yes",Summary!W383,"")),"")</f>
        <v>0</v>
      </c>
      <c r="AN383" s="646">
        <f>IFERROR(IF($AV383="No",0,IF($AV383="yes",Summary!X383,"")),"")</f>
        <v>0</v>
      </c>
      <c r="AO383" s="646">
        <f>IFERROR(IF($AV383="No",0,IF($AV383="yes",Summary!Y383+Z383,"")),"")</f>
        <v>0</v>
      </c>
      <c r="AP383" s="646">
        <f>IFERROR(IF($AV383="No",0,IF($AV383="yes",Summary!AB383,"")),"")</f>
        <v>0</v>
      </c>
      <c r="AQ383" s="649" t="str">
        <f t="shared" si="88"/>
        <v/>
      </c>
      <c r="AR383" s="649" t="str">
        <f t="shared" si="92"/>
        <v/>
      </c>
      <c r="AS383" s="649" t="str">
        <f t="shared" si="89"/>
        <v/>
      </c>
      <c r="AT383" s="641" t="s">
        <v>857</v>
      </c>
      <c r="AV383" t="str">
        <f>IF('Proposed Lighting'!AK80&gt;0,"No","Yes")</f>
        <v>Yes</v>
      </c>
    </row>
    <row r="384" spans="1:48" ht="34.5" customHeight="1" outlineLevel="1">
      <c r="A384" s="641" t="s">
        <v>858</v>
      </c>
      <c r="B384" s="641" t="str">
        <f>IF('Proposed Lighting'!AU81=3,"Commercial-All Com-ExtLight",IF('Proposed Lighting'!AH81&gt;8759,"IPC_8760","Commercial-All Com-IntLight"))</f>
        <v>IPC_8760</v>
      </c>
      <c r="C384" s="641" t="str">
        <f>IF(OR(E384="",E384=0),"No",
IF(AND('Data Entry'!$AF$23="OR",AE384&lt;1),"No",
IF(AND('Data Entry'!$AF$23="ID",E384="Non-standard lighting control system",AD384&lt;1),"No",
IF(AND('Data Entry'!$AF$23="OR",'Proposed Lighting'!F81="Existing LED (Provide Description)",'Proposed Lighting'!AK81=""),"No",
IF('Proposed Lighting'!DD81="Submit Control as Non-Standard","No",
IF(AND('Proposed Lighting'!T81="Non-Standard (Provide Description)",AD384&lt;1),"No",
IF('Proposed Lighting'!AW81&lt;'Proposed Lighting'!AZ81,"No","Yes")))))))</f>
        <v>No</v>
      </c>
      <c r="D384" s="1604">
        <f>'Proposed Lighting'!BQ81-Q384</f>
        <v>0</v>
      </c>
      <c r="E384" s="642" t="str">
        <f>IF('Proposed Lighting'!W81="","",'Proposed Lighting'!W81)</f>
        <v/>
      </c>
      <c r="F384" s="642"/>
      <c r="G384" s="641" t="s">
        <v>786</v>
      </c>
      <c r="H384" s="643">
        <v>10</v>
      </c>
      <c r="I384" s="644">
        <v>1</v>
      </c>
      <c r="J384" s="723">
        <f>IF('Proposed Lighting'!EF81=0,'Proposed Lighting'!AA81,'Proposed Lighting'!EF81)</f>
        <v>0</v>
      </c>
      <c r="K384" s="643" t="str">
        <f>'Proposed Lighting'!CU81</f>
        <v/>
      </c>
      <c r="L384" s="643" t="str">
        <f t="shared" si="90"/>
        <v/>
      </c>
      <c r="M384" s="645">
        <f t="shared" si="80"/>
        <v>0</v>
      </c>
      <c r="N384" s="645"/>
      <c r="O384" s="722">
        <f>IFERROR('Proposed Lighting'!AC81/1000,0)</f>
        <v>0</v>
      </c>
      <c r="P384" s="644">
        <f>'Proposed Lighting'!AV81</f>
        <v>0</v>
      </c>
      <c r="Q384" s="644">
        <f>IF(AND('Proposed Lighting'!T81="Lighting Controls Only",'Data Entry'!$AF$23="OR",'Proposed Lighting'!AU81=2),0,
IF(AND('Proposed Lighting'!T81="Lighting Controls Only",'Data Entry'!$AF$23="OR",'Proposed Lighting'!AU81=3,OR('Proposed Lighting'!W81="ceiling mount",'Proposed Lighting'!W81="wall switch",'Proposed Lighting'!W81="fixture mount (on exisiting equip)",'Proposed Lighting'!W81="daylight harvesting (on existing equip)")),0,
IF('Proposed Lighting'!AF81=1,IF(P384=0,0,J384*O384*(L384*(1-P384))),IF('Proposed Lighting'!AU81=1,0,'Proposed Lighting'!AX81-'Proposed Lighting'!AY81))))</f>
        <v>0</v>
      </c>
      <c r="R384" s="646">
        <f>IF('Proposed Lighting'!T81="Non-standard (provide description",0,
IF(AND(E384="Non-standard control",'Proposed Lighting'!AU81=2),Q384*0.1,
IF(AND(E384="Non-standard control",'Proposed Lighting'!AU81=3),Q384*0.08,
IF('Proposed Lighting'!EF81=0,0,IF('Proposed Lighting'!AU81=1,0,
IF(AND('Data Entry'!$AF$23="ID",'Proposed Lighting'!T81="Lighting controls only"),VLOOKUP(E384,'Proposed Lighting'!$DO$97:$DP$106,2,FALSE),
IF(AND('Data Entry'!$AF$23="OR",'Proposed Lighting'!AU81=3,'Proposed Lighting'!T81="Lighting controls only"),VLOOKUP(E384,'Proposed Lighting'!$DO$127:$DP$134,2,FALSE),0)))))))*J384</f>
        <v>0</v>
      </c>
      <c r="S384" s="646">
        <f>IF(Q384&lt;0.01,0,IF('Proposed Lighting'!AK81&gt;0,'Proposed Lighting'!AK81*'Proposed Lighting'!EF81,0))</f>
        <v>0</v>
      </c>
      <c r="T384" s="647">
        <f t="shared" si="91"/>
        <v>0</v>
      </c>
      <c r="U384" s="648"/>
      <c r="V384" s="646">
        <f t="shared" si="81"/>
        <v>0</v>
      </c>
      <c r="W384" s="646">
        <f t="shared" si="82"/>
        <v>0</v>
      </c>
      <c r="X384" s="646">
        <f t="shared" si="83"/>
        <v>0</v>
      </c>
      <c r="Y384" s="646"/>
      <c r="Z384" s="646"/>
      <c r="AA384" s="646"/>
      <c r="AB384" s="646">
        <f t="shared" si="84"/>
        <v>0</v>
      </c>
      <c r="AC384" s="649" t="str">
        <f t="shared" si="85"/>
        <v/>
      </c>
      <c r="AD384" s="649" t="str">
        <f t="shared" si="86"/>
        <v/>
      </c>
      <c r="AE384" s="649" t="str">
        <f t="shared" si="87"/>
        <v/>
      </c>
      <c r="AF384" s="72"/>
      <c r="AG384" s="644">
        <f>IFERROR(IF($AV384="No",0,IF($AV384="yes",Summary!Q384,"")),"")</f>
        <v>0</v>
      </c>
      <c r="AH384" s="646">
        <f>IFERROR(IF($AV384="No",0,IF($AV384="yes",Summary!R384,"")),"")</f>
        <v>0</v>
      </c>
      <c r="AI384" s="646">
        <f>IFERROR(IF($AV384="No",0,IF($AV384="yes",Summary!S384,"")),"")</f>
        <v>0</v>
      </c>
      <c r="AJ384" s="647">
        <f>IFERROR(IF($AV384="No",0,IF($AV384="yes",Summary!T384,"")),"")</f>
        <v>0</v>
      </c>
      <c r="AK384" s="648">
        <f>IFERROR(IF($AV384="No",0,IF($AV384="yes",Summary!U384,"")),"")</f>
        <v>0</v>
      </c>
      <c r="AL384" s="646">
        <f>IFERROR(IF($AV384="No",0,IF($AV384="yes",Summary!V384,"")),"")</f>
        <v>0</v>
      </c>
      <c r="AM384" s="646">
        <f>IFERROR(IF($AV384="No",0,IF($AV384="yes",Summary!W384,"")),"")</f>
        <v>0</v>
      </c>
      <c r="AN384" s="646">
        <f>IFERROR(IF($AV384="No",0,IF($AV384="yes",Summary!X384,"")),"")</f>
        <v>0</v>
      </c>
      <c r="AO384" s="646">
        <f>IFERROR(IF($AV384="No",0,IF($AV384="yes",Summary!Y384+Z384,"")),"")</f>
        <v>0</v>
      </c>
      <c r="AP384" s="646">
        <f>IFERROR(IF($AV384="No",0,IF($AV384="yes",Summary!AB384,"")),"")</f>
        <v>0</v>
      </c>
      <c r="AQ384" s="649" t="str">
        <f t="shared" si="88"/>
        <v/>
      </c>
      <c r="AR384" s="649" t="str">
        <f t="shared" si="92"/>
        <v/>
      </c>
      <c r="AS384" s="649" t="str">
        <f t="shared" si="89"/>
        <v/>
      </c>
      <c r="AT384" s="641" t="s">
        <v>858</v>
      </c>
      <c r="AV384" t="str">
        <f>IF('Proposed Lighting'!AK81&gt;0,"No","Yes")</f>
        <v>Yes</v>
      </c>
    </row>
    <row r="385" spans="1:48" ht="34.5" customHeight="1" outlineLevel="1">
      <c r="A385" s="641" t="s">
        <v>859</v>
      </c>
      <c r="B385" s="641" t="str">
        <f>IF('Proposed Lighting'!AU82=3,"Commercial-All Com-ExtLight",IF('Proposed Lighting'!AH82&gt;8759,"IPC_8760","Commercial-All Com-IntLight"))</f>
        <v>IPC_8760</v>
      </c>
      <c r="C385" s="641" t="str">
        <f>IF(OR(E385="",E385=0),"No",
IF(AND('Data Entry'!$AF$23="OR",AE385&lt;1),"No",
IF(AND('Data Entry'!$AF$23="ID",E385="Non-standard lighting control system",AD385&lt;1),"No",
IF(AND('Data Entry'!$AF$23="OR",'Proposed Lighting'!F82="Existing LED (Provide Description)",'Proposed Lighting'!AK82=""),"No",
IF('Proposed Lighting'!DD82="Submit Control as Non-Standard","No",
IF(AND('Proposed Lighting'!T82="Non-Standard (Provide Description)",AD385&lt;1),"No",
IF('Proposed Lighting'!AW82&lt;'Proposed Lighting'!AZ82,"No","Yes")))))))</f>
        <v>No</v>
      </c>
      <c r="D385" s="1604">
        <f>'Proposed Lighting'!BQ82-Q385</f>
        <v>0</v>
      </c>
      <c r="E385" s="642" t="str">
        <f>IF('Proposed Lighting'!W82="","",'Proposed Lighting'!W82)</f>
        <v/>
      </c>
      <c r="F385" s="642"/>
      <c r="G385" s="641" t="s">
        <v>786</v>
      </c>
      <c r="H385" s="643">
        <v>10</v>
      </c>
      <c r="I385" s="644">
        <v>1</v>
      </c>
      <c r="J385" s="723">
        <f>IF('Proposed Lighting'!EF82=0,'Proposed Lighting'!AA82,'Proposed Lighting'!EF82)</f>
        <v>0</v>
      </c>
      <c r="K385" s="643" t="str">
        <f>'Proposed Lighting'!CU82</f>
        <v/>
      </c>
      <c r="L385" s="643" t="str">
        <f t="shared" si="90"/>
        <v/>
      </c>
      <c r="M385" s="645">
        <f t="shared" si="80"/>
        <v>0</v>
      </c>
      <c r="N385" s="645"/>
      <c r="O385" s="722">
        <f>IFERROR('Proposed Lighting'!AC82/1000,0)</f>
        <v>0</v>
      </c>
      <c r="P385" s="644">
        <f>'Proposed Lighting'!AV82</f>
        <v>0</v>
      </c>
      <c r="Q385" s="644">
        <f>IF(AND('Proposed Lighting'!T82="Lighting Controls Only",'Data Entry'!$AF$23="OR",'Proposed Lighting'!AU82=2),0,
IF(AND('Proposed Lighting'!T82="Lighting Controls Only",'Data Entry'!$AF$23="OR",'Proposed Lighting'!AU82=3,OR('Proposed Lighting'!W82="ceiling mount",'Proposed Lighting'!W82="wall switch",'Proposed Lighting'!W82="fixture mount (on exisiting equip)",'Proposed Lighting'!W82="daylight harvesting (on existing equip)")),0,
IF('Proposed Lighting'!AF82=1,IF(P385=0,0,J385*O385*(L385*(1-P385))),IF('Proposed Lighting'!AU82=1,0,'Proposed Lighting'!AX82-'Proposed Lighting'!AY82))))</f>
        <v>0</v>
      </c>
      <c r="R385" s="646">
        <f>IF('Proposed Lighting'!T82="Non-standard (provide description",0,
IF(AND(E385="Non-standard control",'Proposed Lighting'!AU82=2),Q385*0.1,
IF(AND(E385="Non-standard control",'Proposed Lighting'!AU82=3),Q385*0.08,
IF('Proposed Lighting'!EF82=0,0,IF('Proposed Lighting'!AU82=1,0,
IF(AND('Data Entry'!$AF$23="ID",'Proposed Lighting'!T82="Lighting controls only"),VLOOKUP(E385,'Proposed Lighting'!$DO$97:$DP$106,2,FALSE),
IF(AND('Data Entry'!$AF$23="OR",'Proposed Lighting'!AU82=3,'Proposed Lighting'!T82="Lighting controls only"),VLOOKUP(E385,'Proposed Lighting'!$DO$127:$DP$134,2,FALSE),0)))))))*J385</f>
        <v>0</v>
      </c>
      <c r="S385" s="646">
        <f>IF(Q385&lt;0.01,0,IF('Proposed Lighting'!AK82&gt;0,'Proposed Lighting'!AK82*'Proposed Lighting'!EF82,0))</f>
        <v>0</v>
      </c>
      <c r="T385" s="647">
        <f t="shared" si="91"/>
        <v>0</v>
      </c>
      <c r="U385" s="648"/>
      <c r="V385" s="646">
        <f t="shared" si="81"/>
        <v>0</v>
      </c>
      <c r="W385" s="646">
        <f t="shared" si="82"/>
        <v>0</v>
      </c>
      <c r="X385" s="646">
        <f t="shared" si="83"/>
        <v>0</v>
      </c>
      <c r="Y385" s="646"/>
      <c r="Z385" s="646"/>
      <c r="AA385" s="646"/>
      <c r="AB385" s="646">
        <f t="shared" si="84"/>
        <v>0</v>
      </c>
      <c r="AC385" s="649" t="str">
        <f t="shared" si="85"/>
        <v/>
      </c>
      <c r="AD385" s="649" t="str">
        <f t="shared" si="86"/>
        <v/>
      </c>
      <c r="AE385" s="649" t="str">
        <f t="shared" si="87"/>
        <v/>
      </c>
      <c r="AF385" s="72"/>
      <c r="AG385" s="644">
        <f>IFERROR(IF($AV385="No",0,IF($AV385="yes",Summary!Q385,"")),"")</f>
        <v>0</v>
      </c>
      <c r="AH385" s="646">
        <f>IFERROR(IF($AV385="No",0,IF($AV385="yes",Summary!R385,"")),"")</f>
        <v>0</v>
      </c>
      <c r="AI385" s="646">
        <f>IFERROR(IF($AV385="No",0,IF($AV385="yes",Summary!S385,"")),"")</f>
        <v>0</v>
      </c>
      <c r="AJ385" s="647">
        <f>IFERROR(IF($AV385="No",0,IF($AV385="yes",Summary!T385,"")),"")</f>
        <v>0</v>
      </c>
      <c r="AK385" s="648">
        <f>IFERROR(IF($AV385="No",0,IF($AV385="yes",Summary!U385,"")),"")</f>
        <v>0</v>
      </c>
      <c r="AL385" s="646">
        <f>IFERROR(IF($AV385="No",0,IF($AV385="yes",Summary!V385,"")),"")</f>
        <v>0</v>
      </c>
      <c r="AM385" s="646">
        <f>IFERROR(IF($AV385="No",0,IF($AV385="yes",Summary!W385,"")),"")</f>
        <v>0</v>
      </c>
      <c r="AN385" s="646">
        <f>IFERROR(IF($AV385="No",0,IF($AV385="yes",Summary!X385,"")),"")</f>
        <v>0</v>
      </c>
      <c r="AO385" s="646">
        <f>IFERROR(IF($AV385="No",0,IF($AV385="yes",Summary!Y385+Z385,"")),"")</f>
        <v>0</v>
      </c>
      <c r="AP385" s="646">
        <f>IFERROR(IF($AV385="No",0,IF($AV385="yes",Summary!AB385,"")),"")</f>
        <v>0</v>
      </c>
      <c r="AQ385" s="649" t="str">
        <f t="shared" si="88"/>
        <v/>
      </c>
      <c r="AR385" s="649" t="str">
        <f t="shared" si="92"/>
        <v/>
      </c>
      <c r="AS385" s="649" t="str">
        <f t="shared" si="89"/>
        <v/>
      </c>
      <c r="AT385" s="641" t="s">
        <v>859</v>
      </c>
      <c r="AV385" t="str">
        <f>IF('Proposed Lighting'!AK82&gt;0,"No","Yes")</f>
        <v>Yes</v>
      </c>
    </row>
    <row r="386" spans="1:48" ht="34.5" customHeight="1" outlineLevel="1">
      <c r="A386" s="641" t="s">
        <v>860</v>
      </c>
      <c r="B386" s="641" t="str">
        <f>IF('Proposed Lighting'!AU83=3,"Commercial-All Com-ExtLight",IF('Proposed Lighting'!AH83&gt;8759,"IPC_8760","Commercial-All Com-IntLight"))</f>
        <v>IPC_8760</v>
      </c>
      <c r="C386" s="641" t="str">
        <f>IF(OR(E386="",E386=0),"No",
IF(AND('Data Entry'!$AF$23="OR",AE386&lt;1),"No",
IF(AND('Data Entry'!$AF$23="ID",E386="Non-standard lighting control system",AD386&lt;1),"No",
IF(AND('Data Entry'!$AF$23="OR",'Proposed Lighting'!F83="Existing LED (Provide Description)",'Proposed Lighting'!AK83=""),"No",
IF('Proposed Lighting'!DD83="Submit Control as Non-Standard","No",
IF(AND('Proposed Lighting'!T83="Non-Standard (Provide Description)",AD386&lt;1),"No",
IF('Proposed Lighting'!AW83&lt;'Proposed Lighting'!AZ83,"No","Yes")))))))</f>
        <v>No</v>
      </c>
      <c r="D386" s="1604">
        <f>'Proposed Lighting'!BQ83-Q386</f>
        <v>0</v>
      </c>
      <c r="E386" s="642" t="str">
        <f>IF('Proposed Lighting'!W83="","",'Proposed Lighting'!W83)</f>
        <v/>
      </c>
      <c r="F386" s="642"/>
      <c r="G386" s="641" t="s">
        <v>786</v>
      </c>
      <c r="H386" s="643">
        <v>10</v>
      </c>
      <c r="I386" s="644">
        <v>1</v>
      </c>
      <c r="J386" s="723">
        <f>IF('Proposed Lighting'!EF83=0,'Proposed Lighting'!AA83,'Proposed Lighting'!EF83)</f>
        <v>0</v>
      </c>
      <c r="K386" s="643" t="str">
        <f>'Proposed Lighting'!CU83</f>
        <v/>
      </c>
      <c r="L386" s="643" t="str">
        <f t="shared" si="90"/>
        <v/>
      </c>
      <c r="M386" s="645">
        <f t="shared" si="80"/>
        <v>0</v>
      </c>
      <c r="N386" s="645"/>
      <c r="O386" s="722">
        <f>IFERROR('Proposed Lighting'!AC83/1000,0)</f>
        <v>0</v>
      </c>
      <c r="P386" s="644">
        <f>'Proposed Lighting'!AV83</f>
        <v>0</v>
      </c>
      <c r="Q386" s="644">
        <f>IF(AND('Proposed Lighting'!T83="Lighting Controls Only",'Data Entry'!$AF$23="OR",'Proposed Lighting'!AU83=2),0,
IF(AND('Proposed Lighting'!T83="Lighting Controls Only",'Data Entry'!$AF$23="OR",'Proposed Lighting'!AU83=3,OR('Proposed Lighting'!W83="ceiling mount",'Proposed Lighting'!W83="wall switch",'Proposed Lighting'!W83="fixture mount (on exisiting equip)",'Proposed Lighting'!W83="daylight harvesting (on existing equip)")),0,
IF('Proposed Lighting'!AF83=1,IF(P386=0,0,J386*O386*(L386*(1-P386))),IF('Proposed Lighting'!AU83=1,0,'Proposed Lighting'!AX83-'Proposed Lighting'!AY83))))</f>
        <v>0</v>
      </c>
      <c r="R386" s="646">
        <f>IF('Proposed Lighting'!T83="Non-standard (provide description",0,
IF(AND(E386="Non-standard control",'Proposed Lighting'!AU83=2),Q386*0.1,
IF(AND(E386="Non-standard control",'Proposed Lighting'!AU83=3),Q386*0.08,
IF('Proposed Lighting'!EF83=0,0,IF('Proposed Lighting'!AU83=1,0,
IF(AND('Data Entry'!$AF$23="ID",'Proposed Lighting'!T83="Lighting controls only"),VLOOKUP(E386,'Proposed Lighting'!$DO$97:$DP$106,2,FALSE),
IF(AND('Data Entry'!$AF$23="OR",'Proposed Lighting'!AU83=3,'Proposed Lighting'!T83="Lighting controls only"),VLOOKUP(E386,'Proposed Lighting'!$DO$127:$DP$134,2,FALSE),0)))))))*J386</f>
        <v>0</v>
      </c>
      <c r="S386" s="646">
        <f>IF(Q386&lt;0.01,0,IF('Proposed Lighting'!AK83&gt;0,'Proposed Lighting'!AK83*'Proposed Lighting'!EF83,0))</f>
        <v>0</v>
      </c>
      <c r="T386" s="647">
        <f t="shared" si="91"/>
        <v>0</v>
      </c>
      <c r="U386" s="648"/>
      <c r="V386" s="646">
        <f t="shared" si="81"/>
        <v>0</v>
      </c>
      <c r="W386" s="646">
        <f t="shared" si="82"/>
        <v>0</v>
      </c>
      <c r="X386" s="646">
        <f t="shared" si="83"/>
        <v>0</v>
      </c>
      <c r="Y386" s="646"/>
      <c r="Z386" s="646"/>
      <c r="AA386" s="646"/>
      <c r="AB386" s="646">
        <f t="shared" si="84"/>
        <v>0</v>
      </c>
      <c r="AC386" s="649" t="str">
        <f t="shared" si="85"/>
        <v/>
      </c>
      <c r="AD386" s="649" t="str">
        <f t="shared" si="86"/>
        <v/>
      </c>
      <c r="AE386" s="649" t="str">
        <f t="shared" si="87"/>
        <v/>
      </c>
      <c r="AF386" s="72"/>
      <c r="AG386" s="644">
        <f>IFERROR(IF($AV386="No",0,IF($AV386="yes",Summary!Q386,"")),"")</f>
        <v>0</v>
      </c>
      <c r="AH386" s="646">
        <f>IFERROR(IF($AV386="No",0,IF($AV386="yes",Summary!R386,"")),"")</f>
        <v>0</v>
      </c>
      <c r="AI386" s="646">
        <f>IFERROR(IF($AV386="No",0,IF($AV386="yes",Summary!S386,"")),"")</f>
        <v>0</v>
      </c>
      <c r="AJ386" s="647">
        <f>IFERROR(IF($AV386="No",0,IF($AV386="yes",Summary!T386,"")),"")</f>
        <v>0</v>
      </c>
      <c r="AK386" s="648">
        <f>IFERROR(IF($AV386="No",0,IF($AV386="yes",Summary!U386,"")),"")</f>
        <v>0</v>
      </c>
      <c r="AL386" s="646">
        <f>IFERROR(IF($AV386="No",0,IF($AV386="yes",Summary!V386,"")),"")</f>
        <v>0</v>
      </c>
      <c r="AM386" s="646">
        <f>IFERROR(IF($AV386="No",0,IF($AV386="yes",Summary!W386,"")),"")</f>
        <v>0</v>
      </c>
      <c r="AN386" s="646">
        <f>IFERROR(IF($AV386="No",0,IF($AV386="yes",Summary!X386,"")),"")</f>
        <v>0</v>
      </c>
      <c r="AO386" s="646">
        <f>IFERROR(IF($AV386="No",0,IF($AV386="yes",Summary!Y386+Z386,"")),"")</f>
        <v>0</v>
      </c>
      <c r="AP386" s="646">
        <f>IFERROR(IF($AV386="No",0,IF($AV386="yes",Summary!AB386,"")),"")</f>
        <v>0</v>
      </c>
      <c r="AQ386" s="649" t="str">
        <f t="shared" si="88"/>
        <v/>
      </c>
      <c r="AR386" s="649" t="str">
        <f t="shared" si="92"/>
        <v/>
      </c>
      <c r="AS386" s="649" t="str">
        <f t="shared" si="89"/>
        <v/>
      </c>
      <c r="AT386" s="641" t="s">
        <v>860</v>
      </c>
      <c r="AV386" t="str">
        <f>IF('Proposed Lighting'!AK83&gt;0,"No","Yes")</f>
        <v>Yes</v>
      </c>
    </row>
    <row r="387" spans="1:48" ht="34.5" customHeight="1" outlineLevel="1">
      <c r="A387" s="641" t="s">
        <v>861</v>
      </c>
      <c r="B387" s="641" t="str">
        <f>IF('Proposed Lighting'!AU84=3,"Commercial-All Com-ExtLight",IF('Proposed Lighting'!AH84&gt;8759,"IPC_8760","Commercial-All Com-IntLight"))</f>
        <v>IPC_8760</v>
      </c>
      <c r="C387" s="641" t="str">
        <f>IF(OR(E387="",E387=0),"No",
IF(AND('Data Entry'!$AF$23="OR",AE387&lt;1),"No",
IF(AND('Data Entry'!$AF$23="ID",E387="Non-standard lighting control system",AD387&lt;1),"No",
IF(AND('Data Entry'!$AF$23="OR",'Proposed Lighting'!F84="Existing LED (Provide Description)",'Proposed Lighting'!AK84=""),"No",
IF('Proposed Lighting'!DD84="Submit Control as Non-Standard","No",
IF(AND('Proposed Lighting'!T84="Non-Standard (Provide Description)",AD387&lt;1),"No",
IF('Proposed Lighting'!AW84&lt;'Proposed Lighting'!AZ84,"No","Yes")))))))</f>
        <v>No</v>
      </c>
      <c r="D387" s="1604">
        <f>'Proposed Lighting'!BQ84-Q387</f>
        <v>0</v>
      </c>
      <c r="E387" s="642" t="str">
        <f>IF('Proposed Lighting'!W84="","",'Proposed Lighting'!W84)</f>
        <v/>
      </c>
      <c r="F387" s="642"/>
      <c r="G387" s="641" t="s">
        <v>786</v>
      </c>
      <c r="H387" s="643">
        <v>10</v>
      </c>
      <c r="I387" s="644">
        <v>1</v>
      </c>
      <c r="J387" s="723">
        <f>IF('Proposed Lighting'!EF84=0,'Proposed Lighting'!AA84,'Proposed Lighting'!EF84)</f>
        <v>0</v>
      </c>
      <c r="K387" s="643" t="str">
        <f>'Proposed Lighting'!CU84</f>
        <v/>
      </c>
      <c r="L387" s="643" t="str">
        <f t="shared" si="90"/>
        <v/>
      </c>
      <c r="M387" s="645">
        <f t="shared" si="80"/>
        <v>0</v>
      </c>
      <c r="N387" s="645"/>
      <c r="O387" s="722">
        <f>IFERROR('Proposed Lighting'!AC84/1000,0)</f>
        <v>0</v>
      </c>
      <c r="P387" s="644">
        <f>'Proposed Lighting'!AV84</f>
        <v>0</v>
      </c>
      <c r="Q387" s="644">
        <f>IF(AND('Proposed Lighting'!T84="Lighting Controls Only",'Data Entry'!$AF$23="OR",'Proposed Lighting'!AU84=2),0,
IF(AND('Proposed Lighting'!T84="Lighting Controls Only",'Data Entry'!$AF$23="OR",'Proposed Lighting'!AU84=3,OR('Proposed Lighting'!W84="ceiling mount",'Proposed Lighting'!W84="wall switch",'Proposed Lighting'!W84="fixture mount (on exisiting equip)",'Proposed Lighting'!W84="daylight harvesting (on existing equip)")),0,
IF('Proposed Lighting'!AF84=1,IF(P387=0,0,J387*O387*(L387*(1-P387))),IF('Proposed Lighting'!AU84=1,0,'Proposed Lighting'!AX84-'Proposed Lighting'!AY84))))</f>
        <v>0</v>
      </c>
      <c r="R387" s="646">
        <f>IF('Proposed Lighting'!T84="Non-standard (provide description",0,
IF(AND(E387="Non-standard control",'Proposed Lighting'!AU84=2),Q387*0.1,
IF(AND(E387="Non-standard control",'Proposed Lighting'!AU84=3),Q387*0.08,
IF('Proposed Lighting'!EF84=0,0,IF('Proposed Lighting'!AU84=1,0,
IF(AND('Data Entry'!$AF$23="ID",'Proposed Lighting'!T84="Lighting controls only"),VLOOKUP(E387,'Proposed Lighting'!$DO$97:$DP$106,2,FALSE),
IF(AND('Data Entry'!$AF$23="OR",'Proposed Lighting'!AU84=3,'Proposed Lighting'!T84="Lighting controls only"),VLOOKUP(E387,'Proposed Lighting'!$DO$127:$DP$134,2,FALSE),0)))))))*J387</f>
        <v>0</v>
      </c>
      <c r="S387" s="646">
        <f>IF(Q387&lt;0.01,0,IF('Proposed Lighting'!AK84&gt;0,'Proposed Lighting'!AK84*'Proposed Lighting'!EF84,0))</f>
        <v>0</v>
      </c>
      <c r="T387" s="647">
        <f t="shared" si="91"/>
        <v>0</v>
      </c>
      <c r="U387" s="648"/>
      <c r="V387" s="646">
        <f t="shared" si="81"/>
        <v>0</v>
      </c>
      <c r="W387" s="646">
        <f t="shared" si="82"/>
        <v>0</v>
      </c>
      <c r="X387" s="646">
        <f t="shared" si="83"/>
        <v>0</v>
      </c>
      <c r="Y387" s="646"/>
      <c r="Z387" s="646"/>
      <c r="AA387" s="646"/>
      <c r="AB387" s="646">
        <f t="shared" si="84"/>
        <v>0</v>
      </c>
      <c r="AC387" s="649" t="str">
        <f t="shared" si="85"/>
        <v/>
      </c>
      <c r="AD387" s="649" t="str">
        <f t="shared" si="86"/>
        <v/>
      </c>
      <c r="AE387" s="649" t="str">
        <f t="shared" si="87"/>
        <v/>
      </c>
      <c r="AF387" s="72"/>
      <c r="AG387" s="644">
        <f>IFERROR(IF($AV387="No",0,IF($AV387="yes",Summary!Q387,"")),"")</f>
        <v>0</v>
      </c>
      <c r="AH387" s="646">
        <f>IFERROR(IF($AV387="No",0,IF($AV387="yes",Summary!R387,"")),"")</f>
        <v>0</v>
      </c>
      <c r="AI387" s="646">
        <f>IFERROR(IF($AV387="No",0,IF($AV387="yes",Summary!S387,"")),"")</f>
        <v>0</v>
      </c>
      <c r="AJ387" s="647">
        <f>IFERROR(IF($AV387="No",0,IF($AV387="yes",Summary!T387,"")),"")</f>
        <v>0</v>
      </c>
      <c r="AK387" s="648">
        <f>IFERROR(IF($AV387="No",0,IF($AV387="yes",Summary!U387,"")),"")</f>
        <v>0</v>
      </c>
      <c r="AL387" s="646">
        <f>IFERROR(IF($AV387="No",0,IF($AV387="yes",Summary!V387,"")),"")</f>
        <v>0</v>
      </c>
      <c r="AM387" s="646">
        <f>IFERROR(IF($AV387="No",0,IF($AV387="yes",Summary!W387,"")),"")</f>
        <v>0</v>
      </c>
      <c r="AN387" s="646">
        <f>IFERROR(IF($AV387="No",0,IF($AV387="yes",Summary!X387,"")),"")</f>
        <v>0</v>
      </c>
      <c r="AO387" s="646">
        <f>IFERROR(IF($AV387="No",0,IF($AV387="yes",Summary!Y387+Z387,"")),"")</f>
        <v>0</v>
      </c>
      <c r="AP387" s="646">
        <f>IFERROR(IF($AV387="No",0,IF($AV387="yes",Summary!AB387,"")),"")</f>
        <v>0</v>
      </c>
      <c r="AQ387" s="649" t="str">
        <f t="shared" si="88"/>
        <v/>
      </c>
      <c r="AR387" s="649" t="str">
        <f t="shared" si="92"/>
        <v/>
      </c>
      <c r="AS387" s="649" t="str">
        <f t="shared" si="89"/>
        <v/>
      </c>
      <c r="AT387" s="641" t="s">
        <v>861</v>
      </c>
      <c r="AV387" t="str">
        <f>IF('Proposed Lighting'!AK84&gt;0,"No","Yes")</f>
        <v>Yes</v>
      </c>
    </row>
    <row r="388" spans="1:48" ht="34.5" customHeight="1" outlineLevel="1">
      <c r="A388" s="641" t="s">
        <v>862</v>
      </c>
      <c r="B388" s="641" t="str">
        <f>IF('Proposed Lighting'!AU85=3,"Commercial-All Com-ExtLight",IF('Proposed Lighting'!AH85&gt;8759,"IPC_8760","Commercial-All Com-IntLight"))</f>
        <v>IPC_8760</v>
      </c>
      <c r="C388" s="641" t="str">
        <f>IF(OR(E388="",E388=0),"No",
IF(AND('Data Entry'!$AF$23="OR",AE388&lt;1),"No",
IF(AND('Data Entry'!$AF$23="ID",E388="Non-standard lighting control system",AD388&lt;1),"No",
IF(AND('Data Entry'!$AF$23="OR",'Proposed Lighting'!F85="Existing LED (Provide Description)",'Proposed Lighting'!AK85=""),"No",
IF('Proposed Lighting'!DD85="Submit Control as Non-Standard","No",
IF(AND('Proposed Lighting'!T85="Non-Standard (Provide Description)",AD388&lt;1),"No",
IF('Proposed Lighting'!AW85&lt;'Proposed Lighting'!AZ85,"No","Yes")))))))</f>
        <v>No</v>
      </c>
      <c r="D388" s="1604">
        <f>'Proposed Lighting'!BQ85-Q388</f>
        <v>0</v>
      </c>
      <c r="E388" s="642" t="str">
        <f>IF('Proposed Lighting'!W85="","",'Proposed Lighting'!W85)</f>
        <v/>
      </c>
      <c r="F388" s="642"/>
      <c r="G388" s="641" t="s">
        <v>786</v>
      </c>
      <c r="H388" s="643">
        <v>10</v>
      </c>
      <c r="I388" s="644">
        <v>1</v>
      </c>
      <c r="J388" s="723">
        <f>IF('Proposed Lighting'!EF85=0,'Proposed Lighting'!AA85,'Proposed Lighting'!EF85)</f>
        <v>0</v>
      </c>
      <c r="K388" s="643" t="str">
        <f>'Proposed Lighting'!CU85</f>
        <v/>
      </c>
      <c r="L388" s="643" t="str">
        <f t="shared" si="90"/>
        <v/>
      </c>
      <c r="M388" s="645">
        <f t="shared" si="80"/>
        <v>0</v>
      </c>
      <c r="N388" s="645"/>
      <c r="O388" s="722">
        <f>IFERROR('Proposed Lighting'!AC85/1000,0)</f>
        <v>0</v>
      </c>
      <c r="P388" s="644">
        <f>'Proposed Lighting'!AV85</f>
        <v>0</v>
      </c>
      <c r="Q388" s="644">
        <f>IF(AND('Proposed Lighting'!T85="Lighting Controls Only",'Data Entry'!$AF$23="OR",'Proposed Lighting'!AU85=2),0,
IF(AND('Proposed Lighting'!T85="Lighting Controls Only",'Data Entry'!$AF$23="OR",'Proposed Lighting'!AU85=3,OR('Proposed Lighting'!W85="ceiling mount",'Proposed Lighting'!W85="wall switch",'Proposed Lighting'!W85="fixture mount (on exisiting equip)",'Proposed Lighting'!W85="daylight harvesting (on existing equip)")),0,
IF('Proposed Lighting'!AF85=1,IF(P388=0,0,J388*O388*(L388*(1-P388))),IF('Proposed Lighting'!AU85=1,0,'Proposed Lighting'!AX85-'Proposed Lighting'!AY85))))</f>
        <v>0</v>
      </c>
      <c r="R388" s="646">
        <f>IF('Proposed Lighting'!T85="Non-standard (provide description",0,
IF(AND(E388="Non-standard control",'Proposed Lighting'!AU85=2),Q388*0.1,
IF(AND(E388="Non-standard control",'Proposed Lighting'!AU85=3),Q388*0.08,
IF('Proposed Lighting'!EF85=0,0,IF('Proposed Lighting'!AU85=1,0,
IF(AND('Data Entry'!$AF$23="ID",'Proposed Lighting'!T85="Lighting controls only"),VLOOKUP(E388,'Proposed Lighting'!$DO$97:$DP$106,2,FALSE),
IF(AND('Data Entry'!$AF$23="OR",'Proposed Lighting'!AU85=3,'Proposed Lighting'!T85="Lighting controls only"),VLOOKUP(E388,'Proposed Lighting'!$DO$127:$DP$134,2,FALSE),0)))))))*J388</f>
        <v>0</v>
      </c>
      <c r="S388" s="646">
        <f>IF(Q388&lt;0.01,0,IF('Proposed Lighting'!AK85&gt;0,'Proposed Lighting'!AK85*'Proposed Lighting'!EF85,0))</f>
        <v>0</v>
      </c>
      <c r="T388" s="647">
        <f t="shared" si="91"/>
        <v>0</v>
      </c>
      <c r="U388" s="648"/>
      <c r="V388" s="646">
        <f t="shared" si="81"/>
        <v>0</v>
      </c>
      <c r="W388" s="646">
        <f t="shared" si="82"/>
        <v>0</v>
      </c>
      <c r="X388" s="646">
        <f t="shared" si="83"/>
        <v>0</v>
      </c>
      <c r="Y388" s="646"/>
      <c r="Z388" s="646"/>
      <c r="AA388" s="646"/>
      <c r="AB388" s="646">
        <f t="shared" si="84"/>
        <v>0</v>
      </c>
      <c r="AC388" s="649" t="str">
        <f t="shared" si="85"/>
        <v/>
      </c>
      <c r="AD388" s="649" t="str">
        <f t="shared" si="86"/>
        <v/>
      </c>
      <c r="AE388" s="649" t="str">
        <f t="shared" si="87"/>
        <v/>
      </c>
      <c r="AF388" s="72"/>
      <c r="AG388" s="644">
        <f>IFERROR(IF($AV388="No",0,IF($AV388="yes",Summary!Q388,"")),"")</f>
        <v>0</v>
      </c>
      <c r="AH388" s="646">
        <f>IFERROR(IF($AV388="No",0,IF($AV388="yes",Summary!R388,"")),"")</f>
        <v>0</v>
      </c>
      <c r="AI388" s="646">
        <f>IFERROR(IF($AV388="No",0,IF($AV388="yes",Summary!S388,"")),"")</f>
        <v>0</v>
      </c>
      <c r="AJ388" s="647">
        <f>IFERROR(IF($AV388="No",0,IF($AV388="yes",Summary!T388,"")),"")</f>
        <v>0</v>
      </c>
      <c r="AK388" s="648">
        <f>IFERROR(IF($AV388="No",0,IF($AV388="yes",Summary!U388,"")),"")</f>
        <v>0</v>
      </c>
      <c r="AL388" s="646">
        <f>IFERROR(IF($AV388="No",0,IF($AV388="yes",Summary!V388,"")),"")</f>
        <v>0</v>
      </c>
      <c r="AM388" s="646">
        <f>IFERROR(IF($AV388="No",0,IF($AV388="yes",Summary!W388,"")),"")</f>
        <v>0</v>
      </c>
      <c r="AN388" s="646">
        <f>IFERROR(IF($AV388="No",0,IF($AV388="yes",Summary!X388,"")),"")</f>
        <v>0</v>
      </c>
      <c r="AO388" s="646">
        <f>IFERROR(IF($AV388="No",0,IF($AV388="yes",Summary!Y388+Z388,"")),"")</f>
        <v>0</v>
      </c>
      <c r="AP388" s="646">
        <f>IFERROR(IF($AV388="No",0,IF($AV388="yes",Summary!AB388,"")),"")</f>
        <v>0</v>
      </c>
      <c r="AQ388" s="649" t="str">
        <f t="shared" si="88"/>
        <v/>
      </c>
      <c r="AR388" s="649" t="str">
        <f t="shared" si="92"/>
        <v/>
      </c>
      <c r="AS388" s="649" t="str">
        <f t="shared" si="89"/>
        <v/>
      </c>
      <c r="AT388" s="641" t="s">
        <v>862</v>
      </c>
      <c r="AV388" t="str">
        <f>IF('Proposed Lighting'!AK85&gt;0,"No","Yes")</f>
        <v>Yes</v>
      </c>
    </row>
    <row r="389" spans="1:48" ht="34.5" customHeight="1" outlineLevel="1">
      <c r="A389" s="641" t="s">
        <v>863</v>
      </c>
      <c r="B389" s="641" t="str">
        <f>IF('Proposed Lighting'!AU86=3,"Commercial-All Com-ExtLight",IF('Proposed Lighting'!AH86&gt;8759,"IPC_8760","Commercial-All Com-IntLight"))</f>
        <v>IPC_8760</v>
      </c>
      <c r="C389" s="641" t="str">
        <f>IF(OR(E389="",E389=0),"No",
IF(AND('Data Entry'!$AF$23="OR",AE389&lt;1),"No",
IF(AND('Data Entry'!$AF$23="ID",E389="Non-standard lighting control system",AD389&lt;1),"No",
IF(AND('Data Entry'!$AF$23="OR",'Proposed Lighting'!F86="Existing LED (Provide Description)",'Proposed Lighting'!AK86=""),"No",
IF('Proposed Lighting'!DD86="Submit Control as Non-Standard","No",
IF(AND('Proposed Lighting'!T86="Non-Standard (Provide Description)",AD389&lt;1),"No",
IF('Proposed Lighting'!AW86&lt;'Proposed Lighting'!AZ86,"No","Yes")))))))</f>
        <v>No</v>
      </c>
      <c r="D389" s="1604">
        <f>'Proposed Lighting'!BQ86-Q389</f>
        <v>0</v>
      </c>
      <c r="E389" s="642" t="str">
        <f>IF('Proposed Lighting'!W86="","",'Proposed Lighting'!W86)</f>
        <v/>
      </c>
      <c r="F389" s="642"/>
      <c r="G389" s="641" t="s">
        <v>786</v>
      </c>
      <c r="H389" s="643">
        <v>10</v>
      </c>
      <c r="I389" s="644">
        <v>1</v>
      </c>
      <c r="J389" s="723">
        <f>IF('Proposed Lighting'!EF86=0,'Proposed Lighting'!AA86,'Proposed Lighting'!EF86)</f>
        <v>0</v>
      </c>
      <c r="K389" s="643" t="str">
        <f>'Proposed Lighting'!CU86</f>
        <v/>
      </c>
      <c r="L389" s="643" t="str">
        <f t="shared" si="90"/>
        <v/>
      </c>
      <c r="M389" s="645">
        <f t="shared" si="80"/>
        <v>0</v>
      </c>
      <c r="N389" s="645"/>
      <c r="O389" s="722">
        <f>IFERROR('Proposed Lighting'!AC86/1000,0)</f>
        <v>0</v>
      </c>
      <c r="P389" s="644">
        <f>'Proposed Lighting'!AV86</f>
        <v>0</v>
      </c>
      <c r="Q389" s="644">
        <f>IF(AND('Proposed Lighting'!T86="Lighting Controls Only",'Data Entry'!$AF$23="OR",'Proposed Lighting'!AU86=2),0,
IF(AND('Proposed Lighting'!T86="Lighting Controls Only",'Data Entry'!$AF$23="OR",'Proposed Lighting'!AU86=3,OR('Proposed Lighting'!W86="ceiling mount",'Proposed Lighting'!W86="wall switch",'Proposed Lighting'!W86="fixture mount (on exisiting equip)",'Proposed Lighting'!W86="daylight harvesting (on existing equip)")),0,
IF('Proposed Lighting'!AF86=1,IF(P389=0,0,J389*O389*(L389*(1-P389))),IF('Proposed Lighting'!AU86=1,0,'Proposed Lighting'!AX86-'Proposed Lighting'!AY86))))</f>
        <v>0</v>
      </c>
      <c r="R389" s="646">
        <f>IF('Proposed Lighting'!T86="Non-standard (provide description",0,
IF(AND(E389="Non-standard control",'Proposed Lighting'!AU86=2),Q389*0.1,
IF(AND(E389="Non-standard control",'Proposed Lighting'!AU86=3),Q389*0.08,
IF('Proposed Lighting'!EF86=0,0,IF('Proposed Lighting'!AU86=1,0,
IF(AND('Data Entry'!$AF$23="ID",'Proposed Lighting'!T86="Lighting controls only"),VLOOKUP(E389,'Proposed Lighting'!$DO$97:$DP$106,2,FALSE),
IF(AND('Data Entry'!$AF$23="OR",'Proposed Lighting'!AU86=3,'Proposed Lighting'!T86="Lighting controls only"),VLOOKUP(E389,'Proposed Lighting'!$DO$127:$DP$134,2,FALSE),0)))))))*J389</f>
        <v>0</v>
      </c>
      <c r="S389" s="646">
        <f>IF(Q389&lt;0.01,0,IF('Proposed Lighting'!AK86&gt;0,'Proposed Lighting'!AK86*'Proposed Lighting'!EF86,0))</f>
        <v>0</v>
      </c>
      <c r="T389" s="647">
        <f t="shared" si="91"/>
        <v>0</v>
      </c>
      <c r="U389" s="648"/>
      <c r="V389" s="646">
        <f t="shared" si="81"/>
        <v>0</v>
      </c>
      <c r="W389" s="646">
        <f t="shared" si="82"/>
        <v>0</v>
      </c>
      <c r="X389" s="646">
        <f t="shared" si="83"/>
        <v>0</v>
      </c>
      <c r="Y389" s="646"/>
      <c r="Z389" s="646"/>
      <c r="AA389" s="646"/>
      <c r="AB389" s="646">
        <f t="shared" si="84"/>
        <v>0</v>
      </c>
      <c r="AC389" s="649" t="str">
        <f t="shared" si="85"/>
        <v/>
      </c>
      <c r="AD389" s="649" t="str">
        <f t="shared" si="86"/>
        <v/>
      </c>
      <c r="AE389" s="649" t="str">
        <f t="shared" si="87"/>
        <v/>
      </c>
      <c r="AF389" s="72"/>
      <c r="AG389" s="644">
        <f>IFERROR(IF($AV389="No",0,IF($AV389="yes",Summary!Q389,"")),"")</f>
        <v>0</v>
      </c>
      <c r="AH389" s="646">
        <f>IFERROR(IF($AV389="No",0,IF($AV389="yes",Summary!R389,"")),"")</f>
        <v>0</v>
      </c>
      <c r="AI389" s="646">
        <f>IFERROR(IF($AV389="No",0,IF($AV389="yes",Summary!S389,"")),"")</f>
        <v>0</v>
      </c>
      <c r="AJ389" s="647">
        <f>IFERROR(IF($AV389="No",0,IF($AV389="yes",Summary!T389,"")),"")</f>
        <v>0</v>
      </c>
      <c r="AK389" s="648">
        <f>IFERROR(IF($AV389="No",0,IF($AV389="yes",Summary!U389,"")),"")</f>
        <v>0</v>
      </c>
      <c r="AL389" s="646">
        <f>IFERROR(IF($AV389="No",0,IF($AV389="yes",Summary!V389,"")),"")</f>
        <v>0</v>
      </c>
      <c r="AM389" s="646">
        <f>IFERROR(IF($AV389="No",0,IF($AV389="yes",Summary!W389,"")),"")</f>
        <v>0</v>
      </c>
      <c r="AN389" s="646">
        <f>IFERROR(IF($AV389="No",0,IF($AV389="yes",Summary!X389,"")),"")</f>
        <v>0</v>
      </c>
      <c r="AO389" s="646">
        <f>IFERROR(IF($AV389="No",0,IF($AV389="yes",Summary!Y389+Z389,"")),"")</f>
        <v>0</v>
      </c>
      <c r="AP389" s="646">
        <f>IFERROR(IF($AV389="No",0,IF($AV389="yes",Summary!AB389,"")),"")</f>
        <v>0</v>
      </c>
      <c r="AQ389" s="649" t="str">
        <f t="shared" si="88"/>
        <v/>
      </c>
      <c r="AR389" s="649" t="str">
        <f t="shared" si="92"/>
        <v/>
      </c>
      <c r="AS389" s="649" t="str">
        <f t="shared" si="89"/>
        <v/>
      </c>
      <c r="AT389" s="641" t="s">
        <v>863</v>
      </c>
      <c r="AV389" t="str">
        <f>IF('Proposed Lighting'!AK86&gt;0,"No","Yes")</f>
        <v>Yes</v>
      </c>
    </row>
    <row r="390" spans="1:48" ht="34.5" customHeight="1" outlineLevel="1">
      <c r="A390" s="641" t="s">
        <v>864</v>
      </c>
      <c r="B390" s="641" t="str">
        <f>IF('Proposed Lighting'!AU87=3,"Commercial-All Com-ExtLight",IF('Proposed Lighting'!AH87&gt;8759,"IPC_8760","Commercial-All Com-IntLight"))</f>
        <v>IPC_8760</v>
      </c>
      <c r="C390" s="641" t="str">
        <f>IF(OR(E390="",E390=0),"No",
IF(AND('Data Entry'!$AF$23="OR",AE390&lt;1),"No",
IF(AND('Data Entry'!$AF$23="ID",E390="Non-standard lighting control system",AD390&lt;1),"No",
IF(AND('Data Entry'!$AF$23="OR",'Proposed Lighting'!F87="Existing LED (Provide Description)",'Proposed Lighting'!AK87=""),"No",
IF('Proposed Lighting'!DD87="Submit Control as Non-Standard","No",
IF(AND('Proposed Lighting'!T87="Non-Standard (Provide Description)",AD390&lt;1),"No",
IF('Proposed Lighting'!AW87&lt;'Proposed Lighting'!AZ87,"No","Yes")))))))</f>
        <v>No</v>
      </c>
      <c r="D390" s="1604">
        <f>'Proposed Lighting'!BQ87-Q390</f>
        <v>0</v>
      </c>
      <c r="E390" s="642" t="str">
        <f>IF('Proposed Lighting'!W87="","",'Proposed Lighting'!W87)</f>
        <v/>
      </c>
      <c r="F390" s="642"/>
      <c r="G390" s="641" t="s">
        <v>786</v>
      </c>
      <c r="H390" s="643">
        <v>10</v>
      </c>
      <c r="I390" s="644">
        <v>1</v>
      </c>
      <c r="J390" s="723">
        <f>IF('Proposed Lighting'!EF87=0,'Proposed Lighting'!AA87,'Proposed Lighting'!EF87)</f>
        <v>0</v>
      </c>
      <c r="K390" s="643" t="str">
        <f>'Proposed Lighting'!CU87</f>
        <v/>
      </c>
      <c r="L390" s="643" t="str">
        <f t="shared" si="90"/>
        <v/>
      </c>
      <c r="M390" s="645">
        <f t="shared" si="80"/>
        <v>0</v>
      </c>
      <c r="N390" s="645"/>
      <c r="O390" s="722">
        <f>IFERROR('Proposed Lighting'!AC87/1000,0)</f>
        <v>0</v>
      </c>
      <c r="P390" s="644">
        <f>'Proposed Lighting'!AV87</f>
        <v>0</v>
      </c>
      <c r="Q390" s="644">
        <f>IF(AND('Proposed Lighting'!T87="Lighting Controls Only",'Data Entry'!$AF$23="OR",'Proposed Lighting'!AU87=2),0,
IF(AND('Proposed Lighting'!T87="Lighting Controls Only",'Data Entry'!$AF$23="OR",'Proposed Lighting'!AU87=3,OR('Proposed Lighting'!W87="ceiling mount",'Proposed Lighting'!W87="wall switch",'Proposed Lighting'!W87="fixture mount (on exisiting equip)",'Proposed Lighting'!W87="daylight harvesting (on existing equip)")),0,
IF('Proposed Lighting'!AF87=1,IF(P390=0,0,J390*O390*(L390*(1-P390))),IF('Proposed Lighting'!AU87=1,0,'Proposed Lighting'!AX87-'Proposed Lighting'!AY87))))</f>
        <v>0</v>
      </c>
      <c r="R390" s="646">
        <f>IF('Proposed Lighting'!T87="Non-standard (provide description",0,
IF(AND(E390="Non-standard control",'Proposed Lighting'!AU87=2),Q390*0.1,
IF(AND(E390="Non-standard control",'Proposed Lighting'!AU87=3),Q390*0.08,
IF('Proposed Lighting'!EF87=0,0,IF('Proposed Lighting'!AU87=1,0,
IF(AND('Data Entry'!$AF$23="ID",'Proposed Lighting'!T87="Lighting controls only"),VLOOKUP(E390,'Proposed Lighting'!$DO$97:$DP$106,2,FALSE),
IF(AND('Data Entry'!$AF$23="OR",'Proposed Lighting'!AU87=3,'Proposed Lighting'!T87="Lighting controls only"),VLOOKUP(E390,'Proposed Lighting'!$DO$127:$DP$134,2,FALSE),0)))))))*J390</f>
        <v>0</v>
      </c>
      <c r="S390" s="646">
        <f>IF(Q390&lt;0.01,0,IF('Proposed Lighting'!AK87&gt;0,'Proposed Lighting'!AK87*'Proposed Lighting'!EF87,0))</f>
        <v>0</v>
      </c>
      <c r="T390" s="647">
        <f t="shared" si="91"/>
        <v>0</v>
      </c>
      <c r="U390" s="648"/>
      <c r="V390" s="646">
        <f t="shared" si="81"/>
        <v>0</v>
      </c>
      <c r="W390" s="646">
        <f t="shared" si="82"/>
        <v>0</v>
      </c>
      <c r="X390" s="646">
        <f t="shared" si="83"/>
        <v>0</v>
      </c>
      <c r="Y390" s="646"/>
      <c r="Z390" s="646"/>
      <c r="AA390" s="646"/>
      <c r="AB390" s="646">
        <f t="shared" si="84"/>
        <v>0</v>
      </c>
      <c r="AC390" s="649" t="str">
        <f t="shared" si="85"/>
        <v/>
      </c>
      <c r="AD390" s="649" t="str">
        <f t="shared" si="86"/>
        <v/>
      </c>
      <c r="AE390" s="649" t="str">
        <f t="shared" si="87"/>
        <v/>
      </c>
      <c r="AF390" s="72"/>
      <c r="AG390" s="644">
        <f>IFERROR(IF($AV390="No",0,IF($AV390="yes",Summary!Q390,"")),"")</f>
        <v>0</v>
      </c>
      <c r="AH390" s="646">
        <f>IFERROR(IF($AV390="No",0,IF($AV390="yes",Summary!R390,"")),"")</f>
        <v>0</v>
      </c>
      <c r="AI390" s="646">
        <f>IFERROR(IF($AV390="No",0,IF($AV390="yes",Summary!S390,"")),"")</f>
        <v>0</v>
      </c>
      <c r="AJ390" s="647">
        <f>IFERROR(IF($AV390="No",0,IF($AV390="yes",Summary!T390,"")),"")</f>
        <v>0</v>
      </c>
      <c r="AK390" s="648">
        <f>IFERROR(IF($AV390="No",0,IF($AV390="yes",Summary!U390,"")),"")</f>
        <v>0</v>
      </c>
      <c r="AL390" s="646">
        <f>IFERROR(IF($AV390="No",0,IF($AV390="yes",Summary!V390,"")),"")</f>
        <v>0</v>
      </c>
      <c r="AM390" s="646">
        <f>IFERROR(IF($AV390="No",0,IF($AV390="yes",Summary!W390,"")),"")</f>
        <v>0</v>
      </c>
      <c r="AN390" s="646">
        <f>IFERROR(IF($AV390="No",0,IF($AV390="yes",Summary!X390,"")),"")</f>
        <v>0</v>
      </c>
      <c r="AO390" s="646">
        <f>IFERROR(IF($AV390="No",0,IF($AV390="yes",Summary!Y390+Z390,"")),"")</f>
        <v>0</v>
      </c>
      <c r="AP390" s="646">
        <f>IFERROR(IF($AV390="No",0,IF($AV390="yes",Summary!AB390,"")),"")</f>
        <v>0</v>
      </c>
      <c r="AQ390" s="649" t="str">
        <f t="shared" si="88"/>
        <v/>
      </c>
      <c r="AR390" s="649" t="str">
        <f t="shared" si="92"/>
        <v/>
      </c>
      <c r="AS390" s="649" t="str">
        <f t="shared" si="89"/>
        <v/>
      </c>
      <c r="AT390" s="641" t="s">
        <v>864</v>
      </c>
      <c r="AV390" t="str">
        <f>IF('Proposed Lighting'!AK87&gt;0,"No","Yes")</f>
        <v>Yes</v>
      </c>
    </row>
    <row r="391" spans="1:48" ht="34.5" customHeight="1" outlineLevel="1">
      <c r="A391" s="641" t="s">
        <v>865</v>
      </c>
      <c r="B391" s="641" t="str">
        <f>IF('Proposed Lighting'!AU88=3,"Commercial-All Com-ExtLight",IF('Proposed Lighting'!AH88&gt;8759,"IPC_8760","Commercial-All Com-IntLight"))</f>
        <v>IPC_8760</v>
      </c>
      <c r="C391" s="641" t="str">
        <f>IF(OR(E391="",E391=0),"No",
IF(AND('Data Entry'!$AF$23="OR",AE391&lt;1),"No",
IF(AND('Data Entry'!$AF$23="ID",E391="Non-standard lighting control system",AD391&lt;1),"No",
IF(AND('Data Entry'!$AF$23="OR",'Proposed Lighting'!F88="Existing LED (Provide Description)",'Proposed Lighting'!AK88=""),"No",
IF('Proposed Lighting'!DD88="Submit Control as Non-Standard","No",
IF(AND('Proposed Lighting'!T88="Non-Standard (Provide Description)",AD391&lt;1),"No",
IF('Proposed Lighting'!AW88&lt;'Proposed Lighting'!AZ88,"No","Yes")))))))</f>
        <v>No</v>
      </c>
      <c r="D391" s="1604">
        <f>'Proposed Lighting'!BQ88-Q391</f>
        <v>0</v>
      </c>
      <c r="E391" s="642" t="str">
        <f>IF('Proposed Lighting'!W88="","",'Proposed Lighting'!W88)</f>
        <v/>
      </c>
      <c r="F391" s="642"/>
      <c r="G391" s="641" t="s">
        <v>786</v>
      </c>
      <c r="H391" s="643">
        <v>10</v>
      </c>
      <c r="I391" s="644">
        <v>1</v>
      </c>
      <c r="J391" s="723">
        <f>IF('Proposed Lighting'!EF88=0,'Proposed Lighting'!AA88,'Proposed Lighting'!EF88)</f>
        <v>0</v>
      </c>
      <c r="K391" s="643" t="str">
        <f>'Proposed Lighting'!CU88</f>
        <v/>
      </c>
      <c r="L391" s="643" t="str">
        <f t="shared" si="90"/>
        <v/>
      </c>
      <c r="M391" s="645">
        <f t="shared" si="80"/>
        <v>0</v>
      </c>
      <c r="N391" s="645"/>
      <c r="O391" s="722">
        <f>IFERROR('Proposed Lighting'!AC88/1000,0)</f>
        <v>0</v>
      </c>
      <c r="P391" s="644">
        <f>'Proposed Lighting'!AV88</f>
        <v>0</v>
      </c>
      <c r="Q391" s="644">
        <f>IF(AND('Proposed Lighting'!T88="Lighting Controls Only",'Data Entry'!$AF$23="OR",'Proposed Lighting'!AU88=2),0,
IF(AND('Proposed Lighting'!T88="Lighting Controls Only",'Data Entry'!$AF$23="OR",'Proposed Lighting'!AU88=3,OR('Proposed Lighting'!W88="ceiling mount",'Proposed Lighting'!W88="wall switch",'Proposed Lighting'!W88="fixture mount (on exisiting equip)",'Proposed Lighting'!W88="daylight harvesting (on existing equip)")),0,
IF('Proposed Lighting'!AF88=1,IF(P391=0,0,J391*O391*(L391*(1-P391))),IF('Proposed Lighting'!AU88=1,0,'Proposed Lighting'!AX88-'Proposed Lighting'!AY88))))</f>
        <v>0</v>
      </c>
      <c r="R391" s="646">
        <f>IF('Proposed Lighting'!T88="Non-standard (provide description",0,
IF(AND(E391="Non-standard control",'Proposed Lighting'!AU88=2),Q391*0.1,
IF(AND(E391="Non-standard control",'Proposed Lighting'!AU88=3),Q391*0.08,
IF('Proposed Lighting'!EF88=0,0,IF('Proposed Lighting'!AU88=1,0,
IF(AND('Data Entry'!$AF$23="ID",'Proposed Lighting'!T88="Lighting controls only"),VLOOKUP(E391,'Proposed Lighting'!$DO$97:$DP$106,2,FALSE),
IF(AND('Data Entry'!$AF$23="OR",'Proposed Lighting'!AU88=3,'Proposed Lighting'!T88="Lighting controls only"),VLOOKUP(E391,'Proposed Lighting'!$DO$127:$DP$134,2,FALSE),0)))))))*J391</f>
        <v>0</v>
      </c>
      <c r="S391" s="646">
        <f>IF(Q391&lt;0.01,0,IF('Proposed Lighting'!AK88&gt;0,'Proposed Lighting'!AK88*'Proposed Lighting'!EF88,0))</f>
        <v>0</v>
      </c>
      <c r="T391" s="647">
        <f t="shared" si="91"/>
        <v>0</v>
      </c>
      <c r="U391" s="648"/>
      <c r="V391" s="646">
        <f t="shared" si="81"/>
        <v>0</v>
      </c>
      <c r="W391" s="646">
        <f t="shared" si="82"/>
        <v>0</v>
      </c>
      <c r="X391" s="646">
        <f t="shared" si="83"/>
        <v>0</v>
      </c>
      <c r="Y391" s="646"/>
      <c r="Z391" s="646"/>
      <c r="AA391" s="646"/>
      <c r="AB391" s="646">
        <f t="shared" si="84"/>
        <v>0</v>
      </c>
      <c r="AC391" s="649" t="str">
        <f t="shared" si="85"/>
        <v/>
      </c>
      <c r="AD391" s="649" t="str">
        <f t="shared" si="86"/>
        <v/>
      </c>
      <c r="AE391" s="649" t="str">
        <f t="shared" si="87"/>
        <v/>
      </c>
      <c r="AF391" s="72"/>
      <c r="AG391" s="644">
        <f>IFERROR(IF($AV391="No",0,IF($AV391="yes",Summary!Q391,"")),"")</f>
        <v>0</v>
      </c>
      <c r="AH391" s="646">
        <f>IFERROR(IF($AV391="No",0,IF($AV391="yes",Summary!R391,"")),"")</f>
        <v>0</v>
      </c>
      <c r="AI391" s="646">
        <f>IFERROR(IF($AV391="No",0,IF($AV391="yes",Summary!S391,"")),"")</f>
        <v>0</v>
      </c>
      <c r="AJ391" s="647">
        <f>IFERROR(IF($AV391="No",0,IF($AV391="yes",Summary!T391,"")),"")</f>
        <v>0</v>
      </c>
      <c r="AK391" s="648">
        <f>IFERROR(IF($AV391="No",0,IF($AV391="yes",Summary!U391,"")),"")</f>
        <v>0</v>
      </c>
      <c r="AL391" s="646">
        <f>IFERROR(IF($AV391="No",0,IF($AV391="yes",Summary!V391,"")),"")</f>
        <v>0</v>
      </c>
      <c r="AM391" s="646">
        <f>IFERROR(IF($AV391="No",0,IF($AV391="yes",Summary!W391,"")),"")</f>
        <v>0</v>
      </c>
      <c r="AN391" s="646">
        <f>IFERROR(IF($AV391="No",0,IF($AV391="yes",Summary!X391,"")),"")</f>
        <v>0</v>
      </c>
      <c r="AO391" s="646">
        <f>IFERROR(IF($AV391="No",0,IF($AV391="yes",Summary!Y391+Z391,"")),"")</f>
        <v>0</v>
      </c>
      <c r="AP391" s="646">
        <f>IFERROR(IF($AV391="No",0,IF($AV391="yes",Summary!AB391,"")),"")</f>
        <v>0</v>
      </c>
      <c r="AQ391" s="649" t="str">
        <f t="shared" si="88"/>
        <v/>
      </c>
      <c r="AR391" s="649" t="str">
        <f t="shared" si="92"/>
        <v/>
      </c>
      <c r="AS391" s="649" t="str">
        <f t="shared" si="89"/>
        <v/>
      </c>
      <c r="AT391" s="641" t="s">
        <v>865</v>
      </c>
      <c r="AV391" t="str">
        <f>IF('Proposed Lighting'!AK88&gt;0,"No","Yes")</f>
        <v>Yes</v>
      </c>
    </row>
    <row r="392" spans="1:48" ht="34.5" customHeight="1" outlineLevel="1">
      <c r="A392" s="641" t="s">
        <v>866</v>
      </c>
      <c r="B392" s="641" t="str">
        <f>IF('Proposed Lighting'!AU89=3,"Commercial-All Com-ExtLight",IF('Proposed Lighting'!AH89&gt;8759,"IPC_8760","Commercial-All Com-IntLight"))</f>
        <v>IPC_8760</v>
      </c>
      <c r="C392" s="641" t="str">
        <f>IF(OR(E392="",E392=0),"No",
IF(AND('Data Entry'!$AF$23="OR",AE392&lt;1),"No",
IF(AND('Data Entry'!$AF$23="ID",E392="Non-standard lighting control system",AD392&lt;1),"No",
IF(AND('Data Entry'!$AF$23="OR",'Proposed Lighting'!F89="Existing LED (Provide Description)",'Proposed Lighting'!AK89=""),"No",
IF('Proposed Lighting'!DD89="Submit Control as Non-Standard","No",
IF(AND('Proposed Lighting'!T89="Non-Standard (Provide Description)",AD392&lt;1),"No",
IF('Proposed Lighting'!AW89&lt;'Proposed Lighting'!AZ89,"No","Yes")))))))</f>
        <v>No</v>
      </c>
      <c r="D392" s="1604">
        <f>'Proposed Lighting'!BQ89-Q392</f>
        <v>0</v>
      </c>
      <c r="E392" s="642" t="str">
        <f>IF('Proposed Lighting'!W89="","",'Proposed Lighting'!W89)</f>
        <v/>
      </c>
      <c r="F392" s="642"/>
      <c r="G392" s="641" t="s">
        <v>786</v>
      </c>
      <c r="H392" s="643">
        <v>10</v>
      </c>
      <c r="I392" s="644">
        <v>1</v>
      </c>
      <c r="J392" s="723">
        <f>IF('Proposed Lighting'!EF89=0,'Proposed Lighting'!AA89,'Proposed Lighting'!EF89)</f>
        <v>0</v>
      </c>
      <c r="K392" s="643" t="str">
        <f>'Proposed Lighting'!CU89</f>
        <v/>
      </c>
      <c r="L392" s="643" t="str">
        <f t="shared" si="90"/>
        <v/>
      </c>
      <c r="M392" s="645">
        <f t="shared" si="80"/>
        <v>0</v>
      </c>
      <c r="N392" s="645"/>
      <c r="O392" s="722">
        <f>IFERROR('Proposed Lighting'!AC89/1000,0)</f>
        <v>0</v>
      </c>
      <c r="P392" s="644">
        <f>'Proposed Lighting'!AV89</f>
        <v>0</v>
      </c>
      <c r="Q392" s="644">
        <f>IF(AND('Proposed Lighting'!T89="Lighting Controls Only",'Data Entry'!$AF$23="OR",'Proposed Lighting'!AU89=2),0,
IF(AND('Proposed Lighting'!T89="Lighting Controls Only",'Data Entry'!$AF$23="OR",'Proposed Lighting'!AU89=3,OR('Proposed Lighting'!W89="ceiling mount",'Proposed Lighting'!W89="wall switch",'Proposed Lighting'!W89="fixture mount (on exisiting equip)",'Proposed Lighting'!W89="daylight harvesting (on existing equip)")),0,
IF('Proposed Lighting'!AF89=1,IF(P392=0,0,J392*O392*(L392*(1-P392))),IF('Proposed Lighting'!AU89=1,0,'Proposed Lighting'!AX89-'Proposed Lighting'!AY89))))</f>
        <v>0</v>
      </c>
      <c r="R392" s="646">
        <f>IF('Proposed Lighting'!T89="Non-standard (provide description",0,
IF(AND(E392="Non-standard control",'Proposed Lighting'!AU89=2),Q392*0.1,
IF(AND(E392="Non-standard control",'Proposed Lighting'!AU89=3),Q392*0.08,
IF('Proposed Lighting'!EF89=0,0,IF('Proposed Lighting'!AU89=1,0,
IF(AND('Data Entry'!$AF$23="ID",'Proposed Lighting'!T89="Lighting controls only"),VLOOKUP(E392,'Proposed Lighting'!$DO$97:$DP$106,2,FALSE),
IF(AND('Data Entry'!$AF$23="OR",'Proposed Lighting'!AU89=3,'Proposed Lighting'!T89="Lighting controls only"),VLOOKUP(E392,'Proposed Lighting'!$DO$127:$DP$134,2,FALSE),0)))))))*J392</f>
        <v>0</v>
      </c>
      <c r="S392" s="646">
        <f>IF(Q392&lt;0.01,0,IF('Proposed Lighting'!AK89&gt;0,'Proposed Lighting'!AK89*'Proposed Lighting'!EF89,0))</f>
        <v>0</v>
      </c>
      <c r="T392" s="647">
        <f t="shared" si="91"/>
        <v>0</v>
      </c>
      <c r="U392" s="648"/>
      <c r="V392" s="646">
        <f t="shared" si="81"/>
        <v>0</v>
      </c>
      <c r="W392" s="646">
        <f t="shared" si="82"/>
        <v>0</v>
      </c>
      <c r="X392" s="646">
        <f t="shared" si="83"/>
        <v>0</v>
      </c>
      <c r="Y392" s="646"/>
      <c r="Z392" s="646"/>
      <c r="AA392" s="646"/>
      <c r="AB392" s="646">
        <f t="shared" si="84"/>
        <v>0</v>
      </c>
      <c r="AC392" s="649" t="str">
        <f t="shared" si="85"/>
        <v/>
      </c>
      <c r="AD392" s="649" t="str">
        <f t="shared" si="86"/>
        <v/>
      </c>
      <c r="AE392" s="649" t="str">
        <f t="shared" si="87"/>
        <v/>
      </c>
      <c r="AF392" s="72"/>
      <c r="AG392" s="644">
        <f>IFERROR(IF($AV392="No",0,IF($AV392="yes",Summary!Q392,"")),"")</f>
        <v>0</v>
      </c>
      <c r="AH392" s="646">
        <f>IFERROR(IF($AV392="No",0,IF($AV392="yes",Summary!R392,"")),"")</f>
        <v>0</v>
      </c>
      <c r="AI392" s="646">
        <f>IFERROR(IF($AV392="No",0,IF($AV392="yes",Summary!S392,"")),"")</f>
        <v>0</v>
      </c>
      <c r="AJ392" s="647">
        <f>IFERROR(IF($AV392="No",0,IF($AV392="yes",Summary!T392,"")),"")</f>
        <v>0</v>
      </c>
      <c r="AK392" s="648">
        <f>IFERROR(IF($AV392="No",0,IF($AV392="yes",Summary!U392,"")),"")</f>
        <v>0</v>
      </c>
      <c r="AL392" s="646">
        <f>IFERROR(IF($AV392="No",0,IF($AV392="yes",Summary!V392,"")),"")</f>
        <v>0</v>
      </c>
      <c r="AM392" s="646">
        <f>IFERROR(IF($AV392="No",0,IF($AV392="yes",Summary!W392,"")),"")</f>
        <v>0</v>
      </c>
      <c r="AN392" s="646">
        <f>IFERROR(IF($AV392="No",0,IF($AV392="yes",Summary!X392,"")),"")</f>
        <v>0</v>
      </c>
      <c r="AO392" s="646">
        <f>IFERROR(IF($AV392="No",0,IF($AV392="yes",Summary!Y392+Z392,"")),"")</f>
        <v>0</v>
      </c>
      <c r="AP392" s="646">
        <f>IFERROR(IF($AV392="No",0,IF($AV392="yes",Summary!AB392,"")),"")</f>
        <v>0</v>
      </c>
      <c r="AQ392" s="649" t="str">
        <f t="shared" si="88"/>
        <v/>
      </c>
      <c r="AR392" s="649" t="str">
        <f t="shared" si="92"/>
        <v/>
      </c>
      <c r="AS392" s="649" t="str">
        <f t="shared" si="89"/>
        <v/>
      </c>
      <c r="AT392" s="641" t="s">
        <v>866</v>
      </c>
      <c r="AV392" t="str">
        <f>IF('Proposed Lighting'!AK89&gt;0,"No","Yes")</f>
        <v>Yes</v>
      </c>
    </row>
    <row r="393" spans="1:48" ht="34.5" customHeight="1" outlineLevel="1">
      <c r="A393" s="641" t="s">
        <v>867</v>
      </c>
      <c r="B393" s="641" t="str">
        <f>IF('Proposed Lighting'!AU90=3,"Commercial-All Com-ExtLight",IF('Proposed Lighting'!AH90&gt;8759,"IPC_8760","Commercial-All Com-IntLight"))</f>
        <v>IPC_8760</v>
      </c>
      <c r="C393" s="641" t="str">
        <f>IF(OR(E393="",E393=0),"No",
IF(AND('Data Entry'!$AF$23="OR",AE393&lt;1),"No",
IF(AND('Data Entry'!$AF$23="ID",E393="Non-standard lighting control system",AD393&lt;1),"No",
IF(AND('Data Entry'!$AF$23="OR",'Proposed Lighting'!F90="Existing LED (Provide Description)",'Proposed Lighting'!AK90=""),"No",
IF('Proposed Lighting'!DD90="Submit Control as Non-Standard","No",
IF(AND('Proposed Lighting'!T90="Non-Standard (Provide Description)",AD393&lt;1),"No",
IF('Proposed Lighting'!AW90&lt;'Proposed Lighting'!AZ90,"No","Yes")))))))</f>
        <v>No</v>
      </c>
      <c r="D393" s="1604">
        <f>'Proposed Lighting'!BQ90-Q393</f>
        <v>0</v>
      </c>
      <c r="E393" s="642" t="str">
        <f>IF('Proposed Lighting'!W90="","",'Proposed Lighting'!W90)</f>
        <v/>
      </c>
      <c r="F393" s="642"/>
      <c r="G393" s="641" t="s">
        <v>786</v>
      </c>
      <c r="H393" s="643">
        <v>10</v>
      </c>
      <c r="I393" s="644">
        <v>1</v>
      </c>
      <c r="J393" s="723">
        <f>IF('Proposed Lighting'!EF90=0,'Proposed Lighting'!AA90,'Proposed Lighting'!EF90)</f>
        <v>0</v>
      </c>
      <c r="K393" s="643" t="str">
        <f>'Proposed Lighting'!CU90</f>
        <v/>
      </c>
      <c r="L393" s="643" t="str">
        <f t="shared" si="90"/>
        <v/>
      </c>
      <c r="M393" s="645">
        <f t="shared" si="80"/>
        <v>0</v>
      </c>
      <c r="N393" s="645"/>
      <c r="O393" s="722">
        <f>IFERROR('Proposed Lighting'!AC90/1000,0)</f>
        <v>0</v>
      </c>
      <c r="P393" s="644">
        <f>'Proposed Lighting'!AV90</f>
        <v>0</v>
      </c>
      <c r="Q393" s="644">
        <f>IF(AND('Proposed Lighting'!T90="Lighting Controls Only",'Data Entry'!$AF$23="OR",'Proposed Lighting'!AU90=2),0,
IF(AND('Proposed Lighting'!T90="Lighting Controls Only",'Data Entry'!$AF$23="OR",'Proposed Lighting'!AU90=3,OR('Proposed Lighting'!W90="ceiling mount",'Proposed Lighting'!W90="wall switch",'Proposed Lighting'!W90="fixture mount (on exisiting equip)",'Proposed Lighting'!W90="daylight harvesting (on existing equip)")),0,
IF('Proposed Lighting'!AF90=1,IF(P393=0,0,J393*O393*(L393*(1-P393))),IF('Proposed Lighting'!AU90=1,0,'Proposed Lighting'!AX90-'Proposed Lighting'!AY90))))</f>
        <v>0</v>
      </c>
      <c r="R393" s="646">
        <f>IF('Proposed Lighting'!T90="Non-standard (provide description",0,
IF(AND(E393="Non-standard control",'Proposed Lighting'!AU90=2),Q393*0.1,
IF(AND(E393="Non-standard control",'Proposed Lighting'!AU90=3),Q393*0.08,
IF('Proposed Lighting'!EF90=0,0,IF('Proposed Lighting'!AU90=1,0,
IF(AND('Data Entry'!$AF$23="ID",'Proposed Lighting'!T90="Lighting controls only"),VLOOKUP(E393,'Proposed Lighting'!$DO$97:$DP$106,2,FALSE),
IF(AND('Data Entry'!$AF$23="OR",'Proposed Lighting'!AU90=3,'Proposed Lighting'!T90="Lighting controls only"),VLOOKUP(E393,'Proposed Lighting'!$DO$127:$DP$134,2,FALSE),0)))))))*J393</f>
        <v>0</v>
      </c>
      <c r="S393" s="646">
        <f>IF(Q393&lt;0.01,0,IF('Proposed Lighting'!AK90&gt;0,'Proposed Lighting'!AK90*'Proposed Lighting'!EF90,0))</f>
        <v>0</v>
      </c>
      <c r="T393" s="647">
        <f t="shared" si="91"/>
        <v>0</v>
      </c>
      <c r="U393" s="648"/>
      <c r="V393" s="646">
        <f t="shared" si="81"/>
        <v>0</v>
      </c>
      <c r="W393" s="646">
        <f t="shared" si="82"/>
        <v>0</v>
      </c>
      <c r="X393" s="646">
        <f t="shared" si="83"/>
        <v>0</v>
      </c>
      <c r="Y393" s="646"/>
      <c r="Z393" s="646"/>
      <c r="AA393" s="646"/>
      <c r="AB393" s="646">
        <f t="shared" si="84"/>
        <v>0</v>
      </c>
      <c r="AC393" s="649" t="str">
        <f t="shared" si="85"/>
        <v/>
      </c>
      <c r="AD393" s="649" t="str">
        <f t="shared" si="86"/>
        <v/>
      </c>
      <c r="AE393" s="649" t="str">
        <f t="shared" si="87"/>
        <v/>
      </c>
      <c r="AF393" s="72"/>
      <c r="AG393" s="644">
        <f>IFERROR(IF($AV393="No",0,IF($AV393="yes",Summary!Q393,"")),"")</f>
        <v>0</v>
      </c>
      <c r="AH393" s="646">
        <f>IFERROR(IF($AV393="No",0,IF($AV393="yes",Summary!R393,"")),"")</f>
        <v>0</v>
      </c>
      <c r="AI393" s="646">
        <f>IFERROR(IF($AV393="No",0,IF($AV393="yes",Summary!S393,"")),"")</f>
        <v>0</v>
      </c>
      <c r="AJ393" s="647">
        <f>IFERROR(IF($AV393="No",0,IF($AV393="yes",Summary!T393,"")),"")</f>
        <v>0</v>
      </c>
      <c r="AK393" s="648">
        <f>IFERROR(IF($AV393="No",0,IF($AV393="yes",Summary!U393,"")),"")</f>
        <v>0</v>
      </c>
      <c r="AL393" s="646">
        <f>IFERROR(IF($AV393="No",0,IF($AV393="yes",Summary!V393,"")),"")</f>
        <v>0</v>
      </c>
      <c r="AM393" s="646">
        <f>IFERROR(IF($AV393="No",0,IF($AV393="yes",Summary!W393,"")),"")</f>
        <v>0</v>
      </c>
      <c r="AN393" s="646">
        <f>IFERROR(IF($AV393="No",0,IF($AV393="yes",Summary!X393,"")),"")</f>
        <v>0</v>
      </c>
      <c r="AO393" s="646">
        <f>IFERROR(IF($AV393="No",0,IF($AV393="yes",Summary!Y393+Z393,"")),"")</f>
        <v>0</v>
      </c>
      <c r="AP393" s="646">
        <f>IFERROR(IF($AV393="No",0,IF($AV393="yes",Summary!AB393,"")),"")</f>
        <v>0</v>
      </c>
      <c r="AQ393" s="649" t="str">
        <f t="shared" si="88"/>
        <v/>
      </c>
      <c r="AR393" s="649" t="str">
        <f t="shared" si="92"/>
        <v/>
      </c>
      <c r="AS393" s="649" t="str">
        <f t="shared" si="89"/>
        <v/>
      </c>
      <c r="AT393" s="641" t="s">
        <v>867</v>
      </c>
      <c r="AV393" t="str">
        <f>IF('Proposed Lighting'!AK90&gt;0,"No","Yes")</f>
        <v>Yes</v>
      </c>
    </row>
    <row r="394" spans="1:48" ht="34.5" customHeight="1" outlineLevel="1">
      <c r="A394" s="641" t="s">
        <v>868</v>
      </c>
      <c r="B394" s="641" t="str">
        <f>IF('Proposed Lighting'!AU91=3,"Commercial-All Com-ExtLight",IF('Proposed Lighting'!AH91&gt;8759,"IPC_8760","Commercial-All Com-IntLight"))</f>
        <v>IPC_8760</v>
      </c>
      <c r="C394" s="641" t="str">
        <f>IF(OR(E394="",E394=0),"No",
IF(AND('Data Entry'!$AF$23="OR",AE394&lt;1),"No",
IF(AND('Data Entry'!$AF$23="ID",E394="Non-standard lighting control system",AD394&lt;1),"No",
IF(AND('Data Entry'!$AF$23="OR",'Proposed Lighting'!F91="Existing LED (Provide Description)",'Proposed Lighting'!AK91=""),"No",
IF('Proposed Lighting'!DD91="Submit Control as Non-Standard","No",
IF(AND('Proposed Lighting'!T91="Non-Standard (Provide Description)",AD394&lt;1),"No",
IF('Proposed Lighting'!AW91&lt;'Proposed Lighting'!AZ91,"No","Yes")))))))</f>
        <v>No</v>
      </c>
      <c r="D394" s="1604">
        <f>'Proposed Lighting'!BQ91-Q394</f>
        <v>0</v>
      </c>
      <c r="E394" s="642" t="str">
        <f>IF('Proposed Lighting'!W91="","",'Proposed Lighting'!W91)</f>
        <v/>
      </c>
      <c r="F394" s="642"/>
      <c r="G394" s="641" t="s">
        <v>786</v>
      </c>
      <c r="H394" s="643">
        <v>10</v>
      </c>
      <c r="I394" s="644">
        <v>1</v>
      </c>
      <c r="J394" s="723">
        <f>IF('Proposed Lighting'!EF91=0,'Proposed Lighting'!AA91,'Proposed Lighting'!EF91)</f>
        <v>0</v>
      </c>
      <c r="K394" s="643" t="str">
        <f>'Proposed Lighting'!CU91</f>
        <v/>
      </c>
      <c r="L394" s="643" t="str">
        <f t="shared" si="90"/>
        <v/>
      </c>
      <c r="M394" s="645">
        <f t="shared" si="80"/>
        <v>0</v>
      </c>
      <c r="N394" s="645"/>
      <c r="O394" s="722">
        <f>IFERROR('Proposed Lighting'!AC91/1000,0)</f>
        <v>0</v>
      </c>
      <c r="P394" s="644">
        <f>'Proposed Lighting'!AV91</f>
        <v>0</v>
      </c>
      <c r="Q394" s="644">
        <f>IF(AND('Proposed Lighting'!T91="Lighting Controls Only",'Data Entry'!$AF$23="OR",'Proposed Lighting'!AU91=2),0,
IF(AND('Proposed Lighting'!T91="Lighting Controls Only",'Data Entry'!$AF$23="OR",'Proposed Lighting'!AU91=3,OR('Proposed Lighting'!W91="ceiling mount",'Proposed Lighting'!W91="wall switch",'Proposed Lighting'!W91="fixture mount (on exisiting equip)",'Proposed Lighting'!W91="daylight harvesting (on existing equip)")),0,
IF('Proposed Lighting'!AF91=1,IF(P394=0,0,J394*O394*(L394*(1-P394))),IF('Proposed Lighting'!AU91=1,0,'Proposed Lighting'!AX91-'Proposed Lighting'!AY91))))</f>
        <v>0</v>
      </c>
      <c r="R394" s="646">
        <f>IF('Proposed Lighting'!T91="Non-standard (provide description",0,
IF(AND(E394="Non-standard control",'Proposed Lighting'!AU91=2),Q394*0.1,
IF(AND(E394="Non-standard control",'Proposed Lighting'!AU91=3),Q394*0.08,
IF('Proposed Lighting'!EF91=0,0,IF('Proposed Lighting'!AU91=1,0,
IF(AND('Data Entry'!$AF$23="ID",'Proposed Lighting'!T91="Lighting controls only"),VLOOKUP(E394,'Proposed Lighting'!$DO$97:$DP$106,2,FALSE),
IF(AND('Data Entry'!$AF$23="OR",'Proposed Lighting'!AU91=3,'Proposed Lighting'!T91="Lighting controls only"),VLOOKUP(E394,'Proposed Lighting'!$DO$127:$DP$134,2,FALSE),0)))))))*J394</f>
        <v>0</v>
      </c>
      <c r="S394" s="646">
        <f>IF(Q394&lt;0.01,0,IF('Proposed Lighting'!AK91&gt;0,'Proposed Lighting'!AK91*'Proposed Lighting'!EF91,0))</f>
        <v>0</v>
      </c>
      <c r="T394" s="647">
        <f t="shared" si="91"/>
        <v>0</v>
      </c>
      <c r="U394" s="648"/>
      <c r="V394" s="646">
        <f t="shared" si="81"/>
        <v>0</v>
      </c>
      <c r="W394" s="646">
        <f t="shared" si="82"/>
        <v>0</v>
      </c>
      <c r="X394" s="646">
        <f t="shared" si="83"/>
        <v>0</v>
      </c>
      <c r="Y394" s="646"/>
      <c r="Z394" s="646"/>
      <c r="AA394" s="646"/>
      <c r="AB394" s="646">
        <f t="shared" si="84"/>
        <v>0</v>
      </c>
      <c r="AC394" s="649" t="str">
        <f t="shared" si="85"/>
        <v/>
      </c>
      <c r="AD394" s="649" t="str">
        <f t="shared" si="86"/>
        <v/>
      </c>
      <c r="AE394" s="649" t="str">
        <f t="shared" si="87"/>
        <v/>
      </c>
      <c r="AF394" s="72"/>
      <c r="AG394" s="644">
        <f>IFERROR(IF($AV394="No",0,IF($AV394="yes",Summary!Q394,"")),"")</f>
        <v>0</v>
      </c>
      <c r="AH394" s="646">
        <f>IFERROR(IF($AV394="No",0,IF($AV394="yes",Summary!R394,"")),"")</f>
        <v>0</v>
      </c>
      <c r="AI394" s="646">
        <f>IFERROR(IF($AV394="No",0,IF($AV394="yes",Summary!S394,"")),"")</f>
        <v>0</v>
      </c>
      <c r="AJ394" s="647">
        <f>IFERROR(IF($AV394="No",0,IF($AV394="yes",Summary!T394,"")),"")</f>
        <v>0</v>
      </c>
      <c r="AK394" s="648">
        <f>IFERROR(IF($AV394="No",0,IF($AV394="yes",Summary!U394,"")),"")</f>
        <v>0</v>
      </c>
      <c r="AL394" s="646">
        <f>IFERROR(IF($AV394="No",0,IF($AV394="yes",Summary!V394,"")),"")</f>
        <v>0</v>
      </c>
      <c r="AM394" s="646">
        <f>IFERROR(IF($AV394="No",0,IF($AV394="yes",Summary!W394,"")),"")</f>
        <v>0</v>
      </c>
      <c r="AN394" s="646">
        <f>IFERROR(IF($AV394="No",0,IF($AV394="yes",Summary!X394,"")),"")</f>
        <v>0</v>
      </c>
      <c r="AO394" s="646">
        <f>IFERROR(IF($AV394="No",0,IF($AV394="yes",Summary!Y394+Z394,"")),"")</f>
        <v>0</v>
      </c>
      <c r="AP394" s="646">
        <f>IFERROR(IF($AV394="No",0,IF($AV394="yes",Summary!AB394,"")),"")</f>
        <v>0</v>
      </c>
      <c r="AQ394" s="649" t="str">
        <f t="shared" si="88"/>
        <v/>
      </c>
      <c r="AR394" s="649" t="str">
        <f t="shared" si="92"/>
        <v/>
      </c>
      <c r="AS394" s="649" t="str">
        <f t="shared" si="89"/>
        <v/>
      </c>
      <c r="AT394" s="641" t="s">
        <v>868</v>
      </c>
      <c r="AV394" t="str">
        <f>IF('Proposed Lighting'!AK91&gt;0,"No","Yes")</f>
        <v>Yes</v>
      </c>
    </row>
    <row r="395" spans="1:48" ht="34.5" customHeight="1" outlineLevel="1">
      <c r="A395" s="641" t="s">
        <v>869</v>
      </c>
      <c r="B395" s="641" t="str">
        <f>IF('Proposed Lighting'!AU92=3,"Commercial-All Com-ExtLight",IF('Proposed Lighting'!AH92&gt;8759,"IPC_8760","Commercial-All Com-IntLight"))</f>
        <v>IPC_8760</v>
      </c>
      <c r="C395" s="641" t="str">
        <f>IF(OR(E395="",E395=0),"No",
IF(AND('Data Entry'!$AF$23="OR",AE395&lt;1),"No",
IF(AND('Data Entry'!$AF$23="ID",E395="Non-standard lighting control system",AD395&lt;1),"No",
IF(AND('Data Entry'!$AF$23="OR",'Proposed Lighting'!F92="Existing LED (Provide Description)",'Proposed Lighting'!AK92=""),"No",
IF('Proposed Lighting'!DD92="Submit Control as Non-Standard","No",
IF(AND('Proposed Lighting'!T92="Non-Standard (Provide Description)",AD395&lt;1),"No",
IF('Proposed Lighting'!AW92&lt;'Proposed Lighting'!AZ92,"No","Yes")))))))</f>
        <v>No</v>
      </c>
      <c r="D395" s="1604">
        <f>'Proposed Lighting'!BQ92-Q395</f>
        <v>0</v>
      </c>
      <c r="E395" s="642" t="str">
        <f>IF('Proposed Lighting'!W92="","",'Proposed Lighting'!W92)</f>
        <v/>
      </c>
      <c r="F395" s="642"/>
      <c r="G395" s="641" t="s">
        <v>786</v>
      </c>
      <c r="H395" s="643">
        <v>10</v>
      </c>
      <c r="I395" s="644">
        <v>1</v>
      </c>
      <c r="J395" s="723">
        <f>IF('Proposed Lighting'!EF92=0,'Proposed Lighting'!AA92,'Proposed Lighting'!EF92)</f>
        <v>0</v>
      </c>
      <c r="K395" s="643" t="str">
        <f>'Proposed Lighting'!CU92</f>
        <v/>
      </c>
      <c r="L395" s="643" t="str">
        <f t="shared" si="90"/>
        <v/>
      </c>
      <c r="M395" s="645">
        <f t="shared" si="80"/>
        <v>0</v>
      </c>
      <c r="N395" s="645"/>
      <c r="O395" s="722">
        <f>IFERROR('Proposed Lighting'!AC92/1000,0)</f>
        <v>0</v>
      </c>
      <c r="P395" s="644">
        <f>'Proposed Lighting'!AV92</f>
        <v>0</v>
      </c>
      <c r="Q395" s="644">
        <f>IF(AND('Proposed Lighting'!T92="Lighting Controls Only",'Data Entry'!$AF$23="OR",'Proposed Lighting'!AU92=2),0,
IF(AND('Proposed Lighting'!T92="Lighting Controls Only",'Data Entry'!$AF$23="OR",'Proposed Lighting'!AU92=3,OR('Proposed Lighting'!W92="ceiling mount",'Proposed Lighting'!W92="wall switch",'Proposed Lighting'!W92="fixture mount (on exisiting equip)",'Proposed Lighting'!W92="daylight harvesting (on existing equip)")),0,
IF('Proposed Lighting'!AF92=1,IF(P395=0,0,J395*O395*(L395*(1-P395))),IF('Proposed Lighting'!AU92=1,0,'Proposed Lighting'!AX92-'Proposed Lighting'!AY92))))</f>
        <v>0</v>
      </c>
      <c r="R395" s="646">
        <f>IF('Proposed Lighting'!T92="Non-standard (provide description",0,
IF(AND(E395="Non-standard control",'Proposed Lighting'!AU92=2),Q395*0.1,
IF(AND(E395="Non-standard control",'Proposed Lighting'!AU92=3),Q395*0.08,
IF('Proposed Lighting'!EF92=0,0,IF('Proposed Lighting'!AU92=1,0,
IF(AND('Data Entry'!$AF$23="ID",'Proposed Lighting'!T92="Lighting controls only"),VLOOKUP(E395,'Proposed Lighting'!$DO$97:$DP$106,2,FALSE),
IF(AND('Data Entry'!$AF$23="OR",'Proposed Lighting'!AU92=3,'Proposed Lighting'!T92="Lighting controls only"),VLOOKUP(E395,'Proposed Lighting'!$DO$127:$DP$134,2,FALSE),0)))))))*J395</f>
        <v>0</v>
      </c>
      <c r="S395" s="646">
        <f>IF(Q395&lt;0.01,0,IF('Proposed Lighting'!AK92&gt;0,'Proposed Lighting'!AK92*'Proposed Lighting'!EF92,0))</f>
        <v>0</v>
      </c>
      <c r="T395" s="647">
        <f t="shared" si="91"/>
        <v>0</v>
      </c>
      <c r="U395" s="648"/>
      <c r="V395" s="646">
        <f t="shared" si="81"/>
        <v>0</v>
      </c>
      <c r="W395" s="646">
        <f t="shared" si="82"/>
        <v>0</v>
      </c>
      <c r="X395" s="646">
        <f t="shared" si="83"/>
        <v>0</v>
      </c>
      <c r="Y395" s="646"/>
      <c r="Z395" s="646"/>
      <c r="AA395" s="646"/>
      <c r="AB395" s="646">
        <f t="shared" si="84"/>
        <v>0</v>
      </c>
      <c r="AC395" s="649" t="str">
        <f t="shared" si="85"/>
        <v/>
      </c>
      <c r="AD395" s="649" t="str">
        <f t="shared" si="86"/>
        <v/>
      </c>
      <c r="AE395" s="649" t="str">
        <f t="shared" si="87"/>
        <v/>
      </c>
      <c r="AF395" s="72"/>
      <c r="AG395" s="644">
        <f>IFERROR(IF($AV395="No",0,IF($AV395="yes",Summary!Q395,"")),"")</f>
        <v>0</v>
      </c>
      <c r="AH395" s="646">
        <f>IFERROR(IF($AV395="No",0,IF($AV395="yes",Summary!R395,"")),"")</f>
        <v>0</v>
      </c>
      <c r="AI395" s="646">
        <f>IFERROR(IF($AV395="No",0,IF($AV395="yes",Summary!S395,"")),"")</f>
        <v>0</v>
      </c>
      <c r="AJ395" s="647">
        <f>IFERROR(IF($AV395="No",0,IF($AV395="yes",Summary!T395,"")),"")</f>
        <v>0</v>
      </c>
      <c r="AK395" s="648">
        <f>IFERROR(IF($AV395="No",0,IF($AV395="yes",Summary!U395,"")),"")</f>
        <v>0</v>
      </c>
      <c r="AL395" s="646">
        <f>IFERROR(IF($AV395="No",0,IF($AV395="yes",Summary!V395,"")),"")</f>
        <v>0</v>
      </c>
      <c r="AM395" s="646">
        <f>IFERROR(IF($AV395="No",0,IF($AV395="yes",Summary!W395,"")),"")</f>
        <v>0</v>
      </c>
      <c r="AN395" s="646">
        <f>IFERROR(IF($AV395="No",0,IF($AV395="yes",Summary!X395,"")),"")</f>
        <v>0</v>
      </c>
      <c r="AO395" s="646">
        <f>IFERROR(IF($AV395="No",0,IF($AV395="yes",Summary!Y395+Z395,"")),"")</f>
        <v>0</v>
      </c>
      <c r="AP395" s="646">
        <f>IFERROR(IF($AV395="No",0,IF($AV395="yes",Summary!AB395,"")),"")</f>
        <v>0</v>
      </c>
      <c r="AQ395" s="649" t="str">
        <f t="shared" si="88"/>
        <v/>
      </c>
      <c r="AR395" s="649" t="str">
        <f t="shared" si="92"/>
        <v/>
      </c>
      <c r="AS395" s="649" t="str">
        <f t="shared" si="89"/>
        <v/>
      </c>
      <c r="AT395" s="641" t="s">
        <v>869</v>
      </c>
      <c r="AV395" t="str">
        <f>IF('Proposed Lighting'!AK92&gt;0,"No","Yes")</f>
        <v>Yes</v>
      </c>
    </row>
    <row r="396" spans="1:48" ht="34.5" customHeight="1" outlineLevel="1">
      <c r="A396" s="641" t="s">
        <v>870</v>
      </c>
      <c r="B396" s="641" t="str">
        <f>IF('Proposed Lighting'!AU93=3,"Commercial-All Com-ExtLight",IF('Proposed Lighting'!AH93&gt;8759,"IPC_8760","Commercial-All Com-IntLight"))</f>
        <v>IPC_8760</v>
      </c>
      <c r="C396" s="641" t="str">
        <f>IF(OR(E396="",E396=0),"No",
IF(AND('Data Entry'!$AF$23="OR",AE396&lt;1),"No",
IF(AND('Data Entry'!$AF$23="ID",E396="Non-standard lighting control system",AD396&lt;1),"No",
IF(AND('Data Entry'!$AF$23="OR",'Proposed Lighting'!F93="Existing LED (Provide Description)",'Proposed Lighting'!AK93=""),"No",
IF('Proposed Lighting'!DD93="Submit Control as Non-Standard","No",
IF(AND('Proposed Lighting'!T93="Non-Standard (Provide Description)",AD396&lt;1),"No",
IF('Proposed Lighting'!AW93&lt;'Proposed Lighting'!AZ93,"No","Yes")))))))</f>
        <v>No</v>
      </c>
      <c r="D396" s="1604">
        <f>'Proposed Lighting'!BQ93-Q396</f>
        <v>0</v>
      </c>
      <c r="E396" s="642" t="str">
        <f>IF('Proposed Lighting'!W93="","",'Proposed Lighting'!W93)</f>
        <v/>
      </c>
      <c r="F396" s="642"/>
      <c r="G396" s="641" t="s">
        <v>786</v>
      </c>
      <c r="H396" s="643">
        <v>10</v>
      </c>
      <c r="I396" s="644">
        <v>1</v>
      </c>
      <c r="J396" s="723">
        <f>IF('Proposed Lighting'!EF93=0,'Proposed Lighting'!AA93,'Proposed Lighting'!EF93)</f>
        <v>0</v>
      </c>
      <c r="K396" s="643" t="str">
        <f>'Proposed Lighting'!CU93</f>
        <v/>
      </c>
      <c r="L396" s="643" t="str">
        <f t="shared" si="90"/>
        <v/>
      </c>
      <c r="M396" s="645">
        <f t="shared" ref="M396:M459" si="93">IFERROR(K396-L396,0)</f>
        <v>0</v>
      </c>
      <c r="N396" s="645"/>
      <c r="O396" s="722">
        <f>IFERROR('Proposed Lighting'!AC93/1000,0)</f>
        <v>0</v>
      </c>
      <c r="P396" s="644">
        <f>'Proposed Lighting'!AV93</f>
        <v>0</v>
      </c>
      <c r="Q396" s="644">
        <f>IF(AND('Proposed Lighting'!T93="Lighting Controls Only",'Data Entry'!$AF$23="OR",'Proposed Lighting'!AU93=2),0,
IF(AND('Proposed Lighting'!T93="Lighting Controls Only",'Data Entry'!$AF$23="OR",'Proposed Lighting'!AU93=3,OR('Proposed Lighting'!W93="ceiling mount",'Proposed Lighting'!W93="wall switch",'Proposed Lighting'!W93="fixture mount (on exisiting equip)",'Proposed Lighting'!W93="daylight harvesting (on existing equip)")),0,
IF('Proposed Lighting'!AF93=1,IF(P396=0,0,J396*O396*(L396*(1-P396))),IF('Proposed Lighting'!AU93=1,0,'Proposed Lighting'!AX93-'Proposed Lighting'!AY93))))</f>
        <v>0</v>
      </c>
      <c r="R396" s="646">
        <f>IF('Proposed Lighting'!T93="Non-standard (provide description",0,
IF(AND(E396="Non-standard control",'Proposed Lighting'!AU93=2),Q396*0.1,
IF(AND(E396="Non-standard control",'Proposed Lighting'!AU93=3),Q396*0.08,
IF('Proposed Lighting'!EF93=0,0,IF('Proposed Lighting'!AU93=1,0,
IF(AND('Data Entry'!$AF$23="ID",'Proposed Lighting'!T93="Lighting controls only"),VLOOKUP(E396,'Proposed Lighting'!$DO$97:$DP$106,2,FALSE),
IF(AND('Data Entry'!$AF$23="OR",'Proposed Lighting'!AU93=3,'Proposed Lighting'!T93="Lighting controls only"),VLOOKUP(E396,'Proposed Lighting'!$DO$127:$DP$134,2,FALSE),0)))))))*J396</f>
        <v>0</v>
      </c>
      <c r="S396" s="646">
        <f>IF(Q396&lt;0.01,0,IF('Proposed Lighting'!AK93&gt;0,'Proposed Lighting'!AK93*'Proposed Lighting'!EF93,0))</f>
        <v>0</v>
      </c>
      <c r="T396" s="647">
        <f t="shared" si="91"/>
        <v>0</v>
      </c>
      <c r="U396" s="648"/>
      <c r="V396" s="646">
        <f t="shared" ref="V396:V459" si="94">IFERROR((PV($C$6,$H396,-(IF(Q396=0,Q396,Q396)))*$C$7)*((1+$C$6)^0.5),0)</f>
        <v>0</v>
      </c>
      <c r="W396" s="646">
        <f t="shared" ref="W396:W459" si="95">IFERROR((VLOOKUP($B396,loadshapeac,$H396+1,FALSE)*$Q396),0)</f>
        <v>0</v>
      </c>
      <c r="X396" s="646">
        <f t="shared" ref="X396:X459" si="96">IFERROR((VLOOKUP($B396,loadshapeac,$H396+1,FALSE)*$Q396)*1.1,0)</f>
        <v>0</v>
      </c>
      <c r="Y396" s="646"/>
      <c r="Z396" s="646"/>
      <c r="AA396" s="646"/>
      <c r="AB396" s="646">
        <f t="shared" ref="AB396:AB459" si="97">IFERROR(PV($C$6,$H396,-$AA396)*((1+$C$6)^0.5),0)</f>
        <v>0</v>
      </c>
      <c r="AC396" s="649" t="str">
        <f t="shared" ref="AC396:AC459" si="98">IFERROR(IF($Q396&lt;0,"",(V396+R396+Y396+Z396+AB396)/(S396)),"")</f>
        <v/>
      </c>
      <c r="AD396" s="649" t="str">
        <f t="shared" ref="AD396:AD459" si="99">IFERROR(IF($Q396&lt;0,"",(I396*W396)/(((IF(Q396=0,Q396,Q396))*U396)+R396)),"")</f>
        <v/>
      </c>
      <c r="AE396" s="649" t="str">
        <f t="shared" ref="AE396:AE459" si="100">IFERROR(IF($Q396&lt;0,"",IF(S396=0,((X396+Y396+Z396+AB396)*I396)/((Q396*U396)+R396),((X396+Y396+Z396+AB396)*I396)/((Q396*U396)+R396+((S396-R396)*I396)))),"")</f>
        <v/>
      </c>
      <c r="AF396" s="72"/>
      <c r="AG396" s="644">
        <f>IFERROR(IF($AV396="No",0,IF($AV396="yes",Summary!Q396,"")),"")</f>
        <v>0</v>
      </c>
      <c r="AH396" s="646">
        <f>IFERROR(IF($AV396="No",0,IF($AV396="yes",Summary!R396,"")),"")</f>
        <v>0</v>
      </c>
      <c r="AI396" s="646">
        <f>IFERROR(IF($AV396="No",0,IF($AV396="yes",Summary!S396,"")),"")</f>
        <v>0</v>
      </c>
      <c r="AJ396" s="647">
        <f>IFERROR(IF($AV396="No",0,IF($AV396="yes",Summary!T396,"")),"")</f>
        <v>0</v>
      </c>
      <c r="AK396" s="648">
        <f>IFERROR(IF($AV396="No",0,IF($AV396="yes",Summary!U396,"")),"")</f>
        <v>0</v>
      </c>
      <c r="AL396" s="646">
        <f>IFERROR(IF($AV396="No",0,IF($AV396="yes",Summary!V396,"")),"")</f>
        <v>0</v>
      </c>
      <c r="AM396" s="646">
        <f>IFERROR(IF($AV396="No",0,IF($AV396="yes",Summary!W396,"")),"")</f>
        <v>0</v>
      </c>
      <c r="AN396" s="646">
        <f>IFERROR(IF($AV396="No",0,IF($AV396="yes",Summary!X396,"")),"")</f>
        <v>0</v>
      </c>
      <c r="AO396" s="646">
        <f>IFERROR(IF($AV396="No",0,IF($AV396="yes",Summary!Y396+Z396,"")),"")</f>
        <v>0</v>
      </c>
      <c r="AP396" s="646">
        <f>IFERROR(IF($AV396="No",0,IF($AV396="yes",Summary!AB396,"")),"")</f>
        <v>0</v>
      </c>
      <c r="AQ396" s="649" t="str">
        <f t="shared" si="88"/>
        <v/>
      </c>
      <c r="AR396" s="649" t="str">
        <f t="shared" si="92"/>
        <v/>
      </c>
      <c r="AS396" s="649" t="str">
        <f t="shared" si="89"/>
        <v/>
      </c>
      <c r="AT396" s="641" t="s">
        <v>870</v>
      </c>
      <c r="AV396" t="str">
        <f>IF('Proposed Lighting'!AK93&gt;0,"No","Yes")</f>
        <v>Yes</v>
      </c>
    </row>
    <row r="397" spans="1:48" ht="34.5" customHeight="1" outlineLevel="1">
      <c r="A397" s="641" t="s">
        <v>871</v>
      </c>
      <c r="B397" s="641" t="str">
        <f>IF('Proposed Lighting'!AU94=3,"Commercial-All Com-ExtLight",IF('Proposed Lighting'!AH94&gt;8759,"IPC_8760","Commercial-All Com-IntLight"))</f>
        <v>IPC_8760</v>
      </c>
      <c r="C397" s="641" t="str">
        <f>IF(OR(E397="",E397=0),"No",
IF(AND('Data Entry'!$AF$23="OR",AE397&lt;1),"No",
IF(AND('Data Entry'!$AF$23="ID",E397="Non-standard lighting control system",AD397&lt;1),"No",
IF(AND('Data Entry'!$AF$23="OR",'Proposed Lighting'!F94="Existing LED (Provide Description)",'Proposed Lighting'!AK94=""),"No",
IF('Proposed Lighting'!DD94="Submit Control as Non-Standard","No",
IF(AND('Proposed Lighting'!T94="Non-Standard (Provide Description)",AD397&lt;1),"No",
IF('Proposed Lighting'!AW94&lt;'Proposed Lighting'!AZ94,"No","Yes")))))))</f>
        <v>No</v>
      </c>
      <c r="D397" s="1604">
        <f>'Proposed Lighting'!BQ94-Q397</f>
        <v>0</v>
      </c>
      <c r="E397" s="642" t="str">
        <f>IF('Proposed Lighting'!W94="","",'Proposed Lighting'!W94)</f>
        <v/>
      </c>
      <c r="F397" s="642"/>
      <c r="G397" s="641" t="s">
        <v>786</v>
      </c>
      <c r="H397" s="643">
        <v>10</v>
      </c>
      <c r="I397" s="644">
        <v>1</v>
      </c>
      <c r="J397" s="723">
        <f>IF('Proposed Lighting'!EF94=0,'Proposed Lighting'!AA94,'Proposed Lighting'!EF94)</f>
        <v>0</v>
      </c>
      <c r="K397" s="643" t="str">
        <f>'Proposed Lighting'!CU94</f>
        <v/>
      </c>
      <c r="L397" s="643" t="str">
        <f t="shared" si="90"/>
        <v/>
      </c>
      <c r="M397" s="645">
        <f t="shared" si="93"/>
        <v>0</v>
      </c>
      <c r="N397" s="645"/>
      <c r="O397" s="722">
        <f>IFERROR('Proposed Lighting'!AC94/1000,0)</f>
        <v>0</v>
      </c>
      <c r="P397" s="644">
        <f>'Proposed Lighting'!AV94</f>
        <v>0</v>
      </c>
      <c r="Q397" s="644">
        <f>IF(AND('Proposed Lighting'!T94="Lighting Controls Only",'Data Entry'!$AF$23="OR",'Proposed Lighting'!AU94=2),0,
IF(AND('Proposed Lighting'!T94="Lighting Controls Only",'Data Entry'!$AF$23="OR",'Proposed Lighting'!AU94=3,OR('Proposed Lighting'!W94="ceiling mount",'Proposed Lighting'!W94="wall switch",'Proposed Lighting'!W94="fixture mount (on exisiting equip)",'Proposed Lighting'!W94="daylight harvesting (on existing equip)")),0,
IF('Proposed Lighting'!AF94=1,IF(P397=0,0,J397*O397*(L397*(1-P397))),IF('Proposed Lighting'!AU94=1,0,'Proposed Lighting'!AX94-'Proposed Lighting'!AY94))))</f>
        <v>0</v>
      </c>
      <c r="R397" s="646">
        <f>IF('Proposed Lighting'!T94="Non-standard (provide description",0,
IF(AND(E397="Non-standard control",'Proposed Lighting'!AU94=2),Q397*0.1,
IF(AND(E397="Non-standard control",'Proposed Lighting'!AU94=3),Q397*0.08,
IF('Proposed Lighting'!EF94=0,0,IF('Proposed Lighting'!AU94=1,0,
IF(AND('Data Entry'!$AF$23="ID",'Proposed Lighting'!T94="Lighting controls only"),VLOOKUP(E397,'Proposed Lighting'!$DO$97:$DP$106,2,FALSE),
IF(AND('Data Entry'!$AF$23="OR",'Proposed Lighting'!AU94=3,'Proposed Lighting'!T94="Lighting controls only"),VLOOKUP(E397,'Proposed Lighting'!$DO$127:$DP$134,2,FALSE),0)))))))*J397</f>
        <v>0</v>
      </c>
      <c r="S397" s="646">
        <f>IF(Q397&lt;0.01,0,IF('Proposed Lighting'!AK94&gt;0,'Proposed Lighting'!AK94*'Proposed Lighting'!EF94,0))</f>
        <v>0</v>
      </c>
      <c r="T397" s="647">
        <f t="shared" si="91"/>
        <v>0</v>
      </c>
      <c r="U397" s="648"/>
      <c r="V397" s="646">
        <f t="shared" si="94"/>
        <v>0</v>
      </c>
      <c r="W397" s="646">
        <f t="shared" si="95"/>
        <v>0</v>
      </c>
      <c r="X397" s="646">
        <f t="shared" si="96"/>
        <v>0</v>
      </c>
      <c r="Y397" s="646"/>
      <c r="Z397" s="646"/>
      <c r="AA397" s="646"/>
      <c r="AB397" s="646">
        <f t="shared" si="97"/>
        <v>0</v>
      </c>
      <c r="AC397" s="649" t="str">
        <f t="shared" si="98"/>
        <v/>
      </c>
      <c r="AD397" s="649" t="str">
        <f t="shared" si="99"/>
        <v/>
      </c>
      <c r="AE397" s="649" t="str">
        <f t="shared" si="100"/>
        <v/>
      </c>
      <c r="AF397" s="72"/>
      <c r="AG397" s="644">
        <f>IFERROR(IF($AV397="No",0,IF($AV397="yes",Summary!Q397,"")),"")</f>
        <v>0</v>
      </c>
      <c r="AH397" s="646">
        <f>IFERROR(IF($AV397="No",0,IF($AV397="yes",Summary!R397,"")),"")</f>
        <v>0</v>
      </c>
      <c r="AI397" s="646">
        <f>IFERROR(IF($AV397="No",0,IF($AV397="yes",Summary!S397,"")),"")</f>
        <v>0</v>
      </c>
      <c r="AJ397" s="647">
        <f>IFERROR(IF($AV397="No",0,IF($AV397="yes",Summary!T397,"")),"")</f>
        <v>0</v>
      </c>
      <c r="AK397" s="648">
        <f>IFERROR(IF($AV397="No",0,IF($AV397="yes",Summary!U397,"")),"")</f>
        <v>0</v>
      </c>
      <c r="AL397" s="646">
        <f>IFERROR(IF($AV397="No",0,IF($AV397="yes",Summary!V397,"")),"")</f>
        <v>0</v>
      </c>
      <c r="AM397" s="646">
        <f>IFERROR(IF($AV397="No",0,IF($AV397="yes",Summary!W397,"")),"")</f>
        <v>0</v>
      </c>
      <c r="AN397" s="646">
        <f>IFERROR(IF($AV397="No",0,IF($AV397="yes",Summary!X397,"")),"")</f>
        <v>0</v>
      </c>
      <c r="AO397" s="646">
        <f>IFERROR(IF($AV397="No",0,IF($AV397="yes",Summary!Y397+Z397,"")),"")</f>
        <v>0</v>
      </c>
      <c r="AP397" s="646">
        <f>IFERROR(IF($AV397="No",0,IF($AV397="yes",Summary!AB397,"")),"")</f>
        <v>0</v>
      </c>
      <c r="AQ397" s="649" t="str">
        <f t="shared" si="88"/>
        <v/>
      </c>
      <c r="AR397" s="649" t="str">
        <f t="shared" si="92"/>
        <v/>
      </c>
      <c r="AS397" s="649" t="str">
        <f t="shared" si="89"/>
        <v/>
      </c>
      <c r="AT397" s="641" t="s">
        <v>871</v>
      </c>
      <c r="AV397" t="str">
        <f>IF('Proposed Lighting'!AK94&gt;0,"No","Yes")</f>
        <v>Yes</v>
      </c>
    </row>
    <row r="398" spans="1:48" ht="34.5" customHeight="1" outlineLevel="1">
      <c r="A398" s="641" t="s">
        <v>872</v>
      </c>
      <c r="B398" s="641" t="str">
        <f>IF('Proposed Lighting'!AU95=3,"Commercial-All Com-ExtLight",IF('Proposed Lighting'!AH95&gt;8759,"IPC_8760","Commercial-All Com-IntLight"))</f>
        <v>IPC_8760</v>
      </c>
      <c r="C398" s="641" t="str">
        <f>IF(OR(E398="",E398=0),"No",
IF(AND('Data Entry'!$AF$23="OR",AE398&lt;1),"No",
IF(AND('Data Entry'!$AF$23="ID",E398="Non-standard lighting control system",AD398&lt;1),"No",
IF(AND('Data Entry'!$AF$23="OR",'Proposed Lighting'!F95="Existing LED (Provide Description)",'Proposed Lighting'!AK95=""),"No",
IF('Proposed Lighting'!DD95="Submit Control as Non-Standard","No",
IF(AND('Proposed Lighting'!T95="Non-Standard (Provide Description)",AD398&lt;1),"No",
IF('Proposed Lighting'!AW95&lt;'Proposed Lighting'!AZ95,"No","Yes")))))))</f>
        <v>No</v>
      </c>
      <c r="D398" s="1604">
        <f>'Proposed Lighting'!BQ95-Q398</f>
        <v>0</v>
      </c>
      <c r="E398" s="642" t="str">
        <f>IF('Proposed Lighting'!W95="","",'Proposed Lighting'!W95)</f>
        <v/>
      </c>
      <c r="F398" s="642"/>
      <c r="G398" s="641" t="s">
        <v>786</v>
      </c>
      <c r="H398" s="643">
        <v>10</v>
      </c>
      <c r="I398" s="644">
        <v>1</v>
      </c>
      <c r="J398" s="723">
        <f>IF('Proposed Lighting'!EF95=0,'Proposed Lighting'!AA95,'Proposed Lighting'!EF95)</f>
        <v>0</v>
      </c>
      <c r="K398" s="643" t="str">
        <f>'Proposed Lighting'!CU95</f>
        <v/>
      </c>
      <c r="L398" s="643" t="str">
        <f t="shared" si="90"/>
        <v/>
      </c>
      <c r="M398" s="645">
        <f t="shared" si="93"/>
        <v>0</v>
      </c>
      <c r="N398" s="645"/>
      <c r="O398" s="722">
        <f>IFERROR('Proposed Lighting'!AC95/1000,0)</f>
        <v>0</v>
      </c>
      <c r="P398" s="644">
        <f>'Proposed Lighting'!AV95</f>
        <v>0</v>
      </c>
      <c r="Q398" s="644">
        <f>IF(AND('Proposed Lighting'!T95="Lighting Controls Only",'Data Entry'!$AF$23="OR",'Proposed Lighting'!AU95=2),0,
IF(AND('Proposed Lighting'!T95="Lighting Controls Only",'Data Entry'!$AF$23="OR",'Proposed Lighting'!AU95=3,OR('Proposed Lighting'!W95="ceiling mount",'Proposed Lighting'!W95="wall switch",'Proposed Lighting'!W95="fixture mount (on exisiting equip)",'Proposed Lighting'!W95="daylight harvesting (on existing equip)")),0,
IF('Proposed Lighting'!AF95=1,IF(P398=0,0,J398*O398*(L398*(1-P398))),IF('Proposed Lighting'!AU95=1,0,'Proposed Lighting'!AX95-'Proposed Lighting'!AY95))))</f>
        <v>0</v>
      </c>
      <c r="R398" s="646">
        <f>IF('Proposed Lighting'!T95="Non-standard (provide description",0,
IF(AND(E398="Non-standard control",'Proposed Lighting'!AU95=2),Q398*0.1,
IF(AND(E398="Non-standard control",'Proposed Lighting'!AU95=3),Q398*0.08,
IF('Proposed Lighting'!EF95=0,0,IF('Proposed Lighting'!AU95=1,0,
IF(AND('Data Entry'!$AF$23="ID",'Proposed Lighting'!T95="Lighting controls only"),VLOOKUP(E398,'Proposed Lighting'!$DO$97:$DP$106,2,FALSE),
IF(AND('Data Entry'!$AF$23="OR",'Proposed Lighting'!AU95=3,'Proposed Lighting'!T95="Lighting controls only"),VLOOKUP(E398,'Proposed Lighting'!$DO$127:$DP$134,2,FALSE),0)))))))*J398</f>
        <v>0</v>
      </c>
      <c r="S398" s="646">
        <f>IF(Q398&lt;0.01,0,IF('Proposed Lighting'!AK95&gt;0,'Proposed Lighting'!AK95*'Proposed Lighting'!EF95,0))</f>
        <v>0</v>
      </c>
      <c r="T398" s="647">
        <f t="shared" si="91"/>
        <v>0</v>
      </c>
      <c r="U398" s="648"/>
      <c r="V398" s="646">
        <f t="shared" si="94"/>
        <v>0</v>
      </c>
      <c r="W398" s="646">
        <f t="shared" si="95"/>
        <v>0</v>
      </c>
      <c r="X398" s="646">
        <f t="shared" si="96"/>
        <v>0</v>
      </c>
      <c r="Y398" s="646"/>
      <c r="Z398" s="646"/>
      <c r="AA398" s="646"/>
      <c r="AB398" s="646">
        <f t="shared" si="97"/>
        <v>0</v>
      </c>
      <c r="AC398" s="649" t="str">
        <f t="shared" si="98"/>
        <v/>
      </c>
      <c r="AD398" s="649" t="str">
        <f t="shared" si="99"/>
        <v/>
      </c>
      <c r="AE398" s="649" t="str">
        <f t="shared" si="100"/>
        <v/>
      </c>
      <c r="AF398" s="72"/>
      <c r="AG398" s="644">
        <f>IFERROR(IF($AV398="No",0,IF($AV398="yes",Summary!Q398,"")),"")</f>
        <v>0</v>
      </c>
      <c r="AH398" s="646">
        <f>IFERROR(IF($AV398="No",0,IF($AV398="yes",Summary!R398,"")),"")</f>
        <v>0</v>
      </c>
      <c r="AI398" s="646">
        <f>IFERROR(IF($AV398="No",0,IF($AV398="yes",Summary!S398,"")),"")</f>
        <v>0</v>
      </c>
      <c r="AJ398" s="647">
        <f>IFERROR(IF($AV398="No",0,IF($AV398="yes",Summary!T398,"")),"")</f>
        <v>0</v>
      </c>
      <c r="AK398" s="648">
        <f>IFERROR(IF($AV398="No",0,IF($AV398="yes",Summary!U398,"")),"")</f>
        <v>0</v>
      </c>
      <c r="AL398" s="646">
        <f>IFERROR(IF($AV398="No",0,IF($AV398="yes",Summary!V398,"")),"")</f>
        <v>0</v>
      </c>
      <c r="AM398" s="646">
        <f>IFERROR(IF($AV398="No",0,IF($AV398="yes",Summary!W398,"")),"")</f>
        <v>0</v>
      </c>
      <c r="AN398" s="646">
        <f>IFERROR(IF($AV398="No",0,IF($AV398="yes",Summary!X398,"")),"")</f>
        <v>0</v>
      </c>
      <c r="AO398" s="646">
        <f>IFERROR(IF($AV398="No",0,IF($AV398="yes",Summary!Y398+Z398,"")),"")</f>
        <v>0</v>
      </c>
      <c r="AP398" s="646">
        <f>IFERROR(IF($AV398="No",0,IF($AV398="yes",Summary!AB398,"")),"")</f>
        <v>0</v>
      </c>
      <c r="AQ398" s="649" t="str">
        <f t="shared" si="88"/>
        <v/>
      </c>
      <c r="AR398" s="649" t="str">
        <f t="shared" si="92"/>
        <v/>
      </c>
      <c r="AS398" s="649" t="str">
        <f t="shared" si="89"/>
        <v/>
      </c>
      <c r="AT398" s="641" t="s">
        <v>872</v>
      </c>
      <c r="AV398" t="str">
        <f>IF('Proposed Lighting'!AK95&gt;0,"No","Yes")</f>
        <v>Yes</v>
      </c>
    </row>
    <row r="399" spans="1:48" ht="34.5" customHeight="1" outlineLevel="1">
      <c r="A399" s="641" t="s">
        <v>873</v>
      </c>
      <c r="B399" s="641" t="str">
        <f>IF('Proposed Lighting'!AU96=3,"Commercial-All Com-ExtLight",IF('Proposed Lighting'!AH96&gt;8759,"IPC_8760","Commercial-All Com-IntLight"))</f>
        <v>IPC_8760</v>
      </c>
      <c r="C399" s="641" t="str">
        <f>IF(OR(E399="",E399=0),"No",
IF(AND('Data Entry'!$AF$23="OR",AE399&lt;1),"No",
IF(AND('Data Entry'!$AF$23="ID",E399="Non-standard lighting control system",AD399&lt;1),"No",
IF(AND('Data Entry'!$AF$23="OR",'Proposed Lighting'!F96="Existing LED (Provide Description)",'Proposed Lighting'!AK96=""),"No",
IF('Proposed Lighting'!DD96="Submit Control as Non-Standard","No",
IF(AND('Proposed Lighting'!T96="Non-Standard (Provide Description)",AD399&lt;1),"No",
IF('Proposed Lighting'!AW96&lt;'Proposed Lighting'!AZ96,"No","Yes")))))))</f>
        <v>No</v>
      </c>
      <c r="D399" s="1604">
        <f>'Proposed Lighting'!BQ96-Q399</f>
        <v>0</v>
      </c>
      <c r="E399" s="642" t="str">
        <f>IF('Proposed Lighting'!W96="","",'Proposed Lighting'!W96)</f>
        <v/>
      </c>
      <c r="F399" s="642"/>
      <c r="G399" s="641" t="s">
        <v>786</v>
      </c>
      <c r="H399" s="643">
        <v>10</v>
      </c>
      <c r="I399" s="644">
        <v>1</v>
      </c>
      <c r="J399" s="723">
        <f>IF('Proposed Lighting'!EF96=0,'Proposed Lighting'!AA96,'Proposed Lighting'!EF96)</f>
        <v>0</v>
      </c>
      <c r="K399" s="643" t="str">
        <f>'Proposed Lighting'!CU96</f>
        <v/>
      </c>
      <c r="L399" s="643" t="str">
        <f t="shared" si="90"/>
        <v/>
      </c>
      <c r="M399" s="645">
        <f t="shared" si="93"/>
        <v>0</v>
      </c>
      <c r="N399" s="645"/>
      <c r="O399" s="722">
        <f>IFERROR('Proposed Lighting'!AC96/1000,0)</f>
        <v>0</v>
      </c>
      <c r="P399" s="644">
        <f>'Proposed Lighting'!AV96</f>
        <v>0</v>
      </c>
      <c r="Q399" s="644">
        <f>IF(AND('Proposed Lighting'!T96="Lighting Controls Only",'Data Entry'!$AF$23="OR",'Proposed Lighting'!AU96=2),0,
IF(AND('Proposed Lighting'!T96="Lighting Controls Only",'Data Entry'!$AF$23="OR",'Proposed Lighting'!AU96=3,OR('Proposed Lighting'!W96="ceiling mount",'Proposed Lighting'!W96="wall switch",'Proposed Lighting'!W96="fixture mount (on exisiting equip)",'Proposed Lighting'!W96="daylight harvesting (on existing equip)")),0,
IF('Proposed Lighting'!AF96=1,IF(P399=0,0,J399*O399*(L399*(1-P399))),IF('Proposed Lighting'!AU96=1,0,'Proposed Lighting'!AX96-'Proposed Lighting'!AY96))))</f>
        <v>0</v>
      </c>
      <c r="R399" s="646">
        <f>IF('Proposed Lighting'!T96="Non-standard (provide description",0,
IF(AND(E399="Non-standard control",'Proposed Lighting'!AU96=2),Q399*0.1,
IF(AND(E399="Non-standard control",'Proposed Lighting'!AU96=3),Q399*0.08,
IF('Proposed Lighting'!EF96=0,0,IF('Proposed Lighting'!AU96=1,0,
IF(AND('Data Entry'!$AF$23="ID",'Proposed Lighting'!T96="Lighting controls only"),VLOOKUP(E399,'Proposed Lighting'!$DO$97:$DP$106,2,FALSE),
IF(AND('Data Entry'!$AF$23="OR",'Proposed Lighting'!AU96=3,'Proposed Lighting'!T96="Lighting controls only"),VLOOKUP(E399,'Proposed Lighting'!$DO$127:$DP$134,2,FALSE),0)))))))*J399</f>
        <v>0</v>
      </c>
      <c r="S399" s="646">
        <f>IF(Q399&lt;0.01,0,IF('Proposed Lighting'!AK96&gt;0,'Proposed Lighting'!AK96*'Proposed Lighting'!EF96,0))</f>
        <v>0</v>
      </c>
      <c r="T399" s="647">
        <f t="shared" si="91"/>
        <v>0</v>
      </c>
      <c r="U399" s="648"/>
      <c r="V399" s="646">
        <f t="shared" si="94"/>
        <v>0</v>
      </c>
      <c r="W399" s="646">
        <f t="shared" si="95"/>
        <v>0</v>
      </c>
      <c r="X399" s="646">
        <f t="shared" si="96"/>
        <v>0</v>
      </c>
      <c r="Y399" s="646"/>
      <c r="Z399" s="646"/>
      <c r="AA399" s="646"/>
      <c r="AB399" s="646">
        <f t="shared" si="97"/>
        <v>0</v>
      </c>
      <c r="AC399" s="649" t="str">
        <f t="shared" si="98"/>
        <v/>
      </c>
      <c r="AD399" s="649" t="str">
        <f t="shared" si="99"/>
        <v/>
      </c>
      <c r="AE399" s="649" t="str">
        <f t="shared" si="100"/>
        <v/>
      </c>
      <c r="AF399" s="72"/>
      <c r="AG399" s="644">
        <f>IFERROR(IF($AV399="No",0,IF($AV399="yes",Summary!Q399,"")),"")</f>
        <v>0</v>
      </c>
      <c r="AH399" s="646">
        <f>IFERROR(IF($AV399="No",0,IF($AV399="yes",Summary!R399,"")),"")</f>
        <v>0</v>
      </c>
      <c r="AI399" s="646">
        <f>IFERROR(IF($AV399="No",0,IF($AV399="yes",Summary!S399,"")),"")</f>
        <v>0</v>
      </c>
      <c r="AJ399" s="647">
        <f>IFERROR(IF($AV399="No",0,IF($AV399="yes",Summary!T399,"")),"")</f>
        <v>0</v>
      </c>
      <c r="AK399" s="648">
        <f>IFERROR(IF($AV399="No",0,IF($AV399="yes",Summary!U399,"")),"")</f>
        <v>0</v>
      </c>
      <c r="AL399" s="646">
        <f>IFERROR(IF($AV399="No",0,IF($AV399="yes",Summary!V399,"")),"")</f>
        <v>0</v>
      </c>
      <c r="AM399" s="646">
        <f>IFERROR(IF($AV399="No",0,IF($AV399="yes",Summary!W399,"")),"")</f>
        <v>0</v>
      </c>
      <c r="AN399" s="646">
        <f>IFERROR(IF($AV399="No",0,IF($AV399="yes",Summary!X399,"")),"")</f>
        <v>0</v>
      </c>
      <c r="AO399" s="646">
        <f>IFERROR(IF($AV399="No",0,IF($AV399="yes",Summary!Y399+Z399,"")),"")</f>
        <v>0</v>
      </c>
      <c r="AP399" s="646">
        <f>IFERROR(IF($AV399="No",0,IF($AV399="yes",Summary!AB399,"")),"")</f>
        <v>0</v>
      </c>
      <c r="AQ399" s="649" t="str">
        <f t="shared" si="88"/>
        <v/>
      </c>
      <c r="AR399" s="649" t="str">
        <f t="shared" si="92"/>
        <v/>
      </c>
      <c r="AS399" s="649" t="str">
        <f t="shared" si="89"/>
        <v/>
      </c>
      <c r="AT399" s="641" t="s">
        <v>873</v>
      </c>
      <c r="AV399" t="str">
        <f>IF('Proposed Lighting'!AK96&gt;0,"No","Yes")</f>
        <v>Yes</v>
      </c>
    </row>
    <row r="400" spans="1:48" ht="34.5" customHeight="1" outlineLevel="1">
      <c r="A400" s="641" t="s">
        <v>874</v>
      </c>
      <c r="B400" s="641" t="str">
        <f>IF('Proposed Lighting'!AU97=3,"Commercial-All Com-ExtLight",IF('Proposed Lighting'!AH97&gt;8759,"IPC_8760","Commercial-All Com-IntLight"))</f>
        <v>IPC_8760</v>
      </c>
      <c r="C400" s="641" t="str">
        <f>IF(OR(E400="",E400=0),"No",
IF(AND('Data Entry'!$AF$23="OR",AE400&lt;1),"No",
IF(AND('Data Entry'!$AF$23="ID",E400="Non-standard lighting control system",AD400&lt;1),"No",
IF(AND('Data Entry'!$AF$23="OR",'Proposed Lighting'!F97="Existing LED (Provide Description)",'Proposed Lighting'!AK97=""),"No",
IF('Proposed Lighting'!DD97="Submit Control as Non-Standard","No",
IF(AND('Proposed Lighting'!T97="Non-Standard (Provide Description)",AD400&lt;1),"No",
IF('Proposed Lighting'!AW97&lt;'Proposed Lighting'!AZ97,"No","Yes")))))))</f>
        <v>No</v>
      </c>
      <c r="D400" s="1604">
        <f>'Proposed Lighting'!BQ97-Q400</f>
        <v>0</v>
      </c>
      <c r="E400" s="642" t="str">
        <f>IF('Proposed Lighting'!W97="","",'Proposed Lighting'!W97)</f>
        <v/>
      </c>
      <c r="F400" s="642"/>
      <c r="G400" s="641" t="s">
        <v>786</v>
      </c>
      <c r="H400" s="643">
        <v>10</v>
      </c>
      <c r="I400" s="644">
        <v>1</v>
      </c>
      <c r="J400" s="723">
        <f>IF('Proposed Lighting'!EF97=0,'Proposed Lighting'!AA97,'Proposed Lighting'!EF97)</f>
        <v>0</v>
      </c>
      <c r="K400" s="643" t="str">
        <f>'Proposed Lighting'!CU97</f>
        <v/>
      </c>
      <c r="L400" s="643" t="str">
        <f t="shared" si="90"/>
        <v/>
      </c>
      <c r="M400" s="645">
        <f t="shared" si="93"/>
        <v>0</v>
      </c>
      <c r="N400" s="645"/>
      <c r="O400" s="722">
        <f>IFERROR('Proposed Lighting'!AC97/1000,0)</f>
        <v>0</v>
      </c>
      <c r="P400" s="644">
        <f>'Proposed Lighting'!AV97</f>
        <v>0</v>
      </c>
      <c r="Q400" s="644">
        <f>IF(AND('Proposed Lighting'!T97="Lighting Controls Only",'Data Entry'!$AF$23="OR",'Proposed Lighting'!AU97=2),0,
IF(AND('Proposed Lighting'!T97="Lighting Controls Only",'Data Entry'!$AF$23="OR",'Proposed Lighting'!AU97=3,OR('Proposed Lighting'!W97="ceiling mount",'Proposed Lighting'!W97="wall switch",'Proposed Lighting'!W97="fixture mount (on exisiting equip)",'Proposed Lighting'!W97="daylight harvesting (on existing equip)")),0,
IF('Proposed Lighting'!AF97=1,IF(P400=0,0,J400*O400*(L400*(1-P400))),IF('Proposed Lighting'!AU97=1,0,'Proposed Lighting'!AX97-'Proposed Lighting'!AY97))))</f>
        <v>0</v>
      </c>
      <c r="R400" s="646">
        <f>IF('Proposed Lighting'!T97="Non-standard (provide description",0,
IF(AND(E400="Non-standard control",'Proposed Lighting'!AU97=2),Q400*0.1,
IF(AND(E400="Non-standard control",'Proposed Lighting'!AU97=3),Q400*0.08,
IF('Proposed Lighting'!EF97=0,0,IF('Proposed Lighting'!AU97=1,0,
IF(AND('Data Entry'!$AF$23="ID",'Proposed Lighting'!T97="Lighting controls only"),VLOOKUP(E400,'Proposed Lighting'!$DO$97:$DP$106,2,FALSE),
IF(AND('Data Entry'!$AF$23="OR",'Proposed Lighting'!AU97=3,'Proposed Lighting'!T97="Lighting controls only"),VLOOKUP(E400,'Proposed Lighting'!$DO$127:$DP$134,2,FALSE),0)))))))*J400</f>
        <v>0</v>
      </c>
      <c r="S400" s="646">
        <f>IF(Q400&lt;0.01,0,IF('Proposed Lighting'!AK97&gt;0,'Proposed Lighting'!AK97*'Proposed Lighting'!EF97,0))</f>
        <v>0</v>
      </c>
      <c r="T400" s="647">
        <f t="shared" si="91"/>
        <v>0</v>
      </c>
      <c r="U400" s="648"/>
      <c r="V400" s="646">
        <f t="shared" si="94"/>
        <v>0</v>
      </c>
      <c r="W400" s="646">
        <f t="shared" si="95"/>
        <v>0</v>
      </c>
      <c r="X400" s="646">
        <f t="shared" si="96"/>
        <v>0</v>
      </c>
      <c r="Y400" s="646"/>
      <c r="Z400" s="646"/>
      <c r="AA400" s="646"/>
      <c r="AB400" s="646">
        <f t="shared" si="97"/>
        <v>0</v>
      </c>
      <c r="AC400" s="649" t="str">
        <f t="shared" si="98"/>
        <v/>
      </c>
      <c r="AD400" s="649" t="str">
        <f t="shared" si="99"/>
        <v/>
      </c>
      <c r="AE400" s="649" t="str">
        <f t="shared" si="100"/>
        <v/>
      </c>
      <c r="AF400" s="72"/>
      <c r="AG400" s="644">
        <f>IFERROR(IF($AV400="No",0,IF($AV400="yes",Summary!Q400,"")),"")</f>
        <v>0</v>
      </c>
      <c r="AH400" s="646">
        <f>IFERROR(IF($AV400="No",0,IF($AV400="yes",Summary!R400,"")),"")</f>
        <v>0</v>
      </c>
      <c r="AI400" s="646">
        <f>IFERROR(IF($AV400="No",0,IF($AV400="yes",Summary!S400,"")),"")</f>
        <v>0</v>
      </c>
      <c r="AJ400" s="647">
        <f>IFERROR(IF($AV400="No",0,IF($AV400="yes",Summary!T400,"")),"")</f>
        <v>0</v>
      </c>
      <c r="AK400" s="648">
        <f>IFERROR(IF($AV400="No",0,IF($AV400="yes",Summary!U400,"")),"")</f>
        <v>0</v>
      </c>
      <c r="AL400" s="646">
        <f>IFERROR(IF($AV400="No",0,IF($AV400="yes",Summary!V400,"")),"")</f>
        <v>0</v>
      </c>
      <c r="AM400" s="646">
        <f>IFERROR(IF($AV400="No",0,IF($AV400="yes",Summary!W400,"")),"")</f>
        <v>0</v>
      </c>
      <c r="AN400" s="646">
        <f>IFERROR(IF($AV400="No",0,IF($AV400="yes",Summary!X400,"")),"")</f>
        <v>0</v>
      </c>
      <c r="AO400" s="646">
        <f>IFERROR(IF($AV400="No",0,IF($AV400="yes",Summary!Y400+Z400,"")),"")</f>
        <v>0</v>
      </c>
      <c r="AP400" s="646">
        <f>IFERROR(IF($AV400="No",0,IF($AV400="yes",Summary!AB400,"")),"")</f>
        <v>0</v>
      </c>
      <c r="AQ400" s="649" t="str">
        <f t="shared" si="88"/>
        <v/>
      </c>
      <c r="AR400" s="649" t="str">
        <f t="shared" si="92"/>
        <v/>
      </c>
      <c r="AS400" s="649" t="str">
        <f t="shared" si="89"/>
        <v/>
      </c>
      <c r="AT400" s="641" t="s">
        <v>874</v>
      </c>
      <c r="AV400" t="str">
        <f>IF('Proposed Lighting'!AK97&gt;0,"No","Yes")</f>
        <v>Yes</v>
      </c>
    </row>
    <row r="401" spans="1:48" ht="34.5" customHeight="1" outlineLevel="1">
      <c r="A401" s="641" t="s">
        <v>875</v>
      </c>
      <c r="B401" s="641" t="str">
        <f>IF('Proposed Lighting'!AU98=3,"Commercial-All Com-ExtLight",IF('Proposed Lighting'!AH98&gt;8759,"IPC_8760","Commercial-All Com-IntLight"))</f>
        <v>IPC_8760</v>
      </c>
      <c r="C401" s="641" t="str">
        <f>IF(OR(E401="",E401=0),"No",
IF(AND('Data Entry'!$AF$23="OR",AE401&lt;1),"No",
IF(AND('Data Entry'!$AF$23="ID",E401="Non-standard lighting control system",AD401&lt;1),"No",
IF(AND('Data Entry'!$AF$23="OR",'Proposed Lighting'!F98="Existing LED (Provide Description)",'Proposed Lighting'!AK98=""),"No",
IF('Proposed Lighting'!DD98="Submit Control as Non-Standard","No",
IF(AND('Proposed Lighting'!T98="Non-Standard (Provide Description)",AD401&lt;1),"No",
IF('Proposed Lighting'!AW98&lt;'Proposed Lighting'!AZ98,"No","Yes")))))))</f>
        <v>No</v>
      </c>
      <c r="D401" s="1604">
        <f>'Proposed Lighting'!BQ98-Q401</f>
        <v>0</v>
      </c>
      <c r="E401" s="642" t="str">
        <f>IF('Proposed Lighting'!W98="","",'Proposed Lighting'!W98)</f>
        <v/>
      </c>
      <c r="F401" s="642"/>
      <c r="G401" s="641" t="s">
        <v>786</v>
      </c>
      <c r="H401" s="643">
        <v>10</v>
      </c>
      <c r="I401" s="644">
        <v>1</v>
      </c>
      <c r="J401" s="723">
        <f>IF('Proposed Lighting'!EF98=0,'Proposed Lighting'!AA98,'Proposed Lighting'!EF98)</f>
        <v>0</v>
      </c>
      <c r="K401" s="643" t="str">
        <f>'Proposed Lighting'!CU98</f>
        <v/>
      </c>
      <c r="L401" s="643" t="str">
        <f t="shared" si="90"/>
        <v/>
      </c>
      <c r="M401" s="645">
        <f t="shared" si="93"/>
        <v>0</v>
      </c>
      <c r="N401" s="645"/>
      <c r="O401" s="722">
        <f>IFERROR('Proposed Lighting'!AC98/1000,0)</f>
        <v>0</v>
      </c>
      <c r="P401" s="644">
        <f>'Proposed Lighting'!AV98</f>
        <v>0</v>
      </c>
      <c r="Q401" s="644">
        <f>IF(AND('Proposed Lighting'!T98="Lighting Controls Only",'Data Entry'!$AF$23="OR",'Proposed Lighting'!AU98=2),0,
IF(AND('Proposed Lighting'!T98="Lighting Controls Only",'Data Entry'!$AF$23="OR",'Proposed Lighting'!AU98=3,OR('Proposed Lighting'!W98="ceiling mount",'Proposed Lighting'!W98="wall switch",'Proposed Lighting'!W98="fixture mount (on exisiting equip)",'Proposed Lighting'!W98="daylight harvesting (on existing equip)")),0,
IF('Proposed Lighting'!AF98=1,IF(P401=0,0,J401*O401*(L401*(1-P401))),IF('Proposed Lighting'!AU98=1,0,'Proposed Lighting'!AX98-'Proposed Lighting'!AY98))))</f>
        <v>0</v>
      </c>
      <c r="R401" s="646">
        <f>IF('Proposed Lighting'!T98="Non-standard (provide description",0,
IF(AND(E401="Non-standard control",'Proposed Lighting'!AU98=2),Q401*0.1,
IF(AND(E401="Non-standard control",'Proposed Lighting'!AU98=3),Q401*0.08,
IF('Proposed Lighting'!EF98=0,0,IF('Proposed Lighting'!AU98=1,0,
IF(AND('Data Entry'!$AF$23="ID",'Proposed Lighting'!T98="Lighting controls only"),VLOOKUP(E401,'Proposed Lighting'!$DO$97:$DP$106,2,FALSE),
IF(AND('Data Entry'!$AF$23="OR",'Proposed Lighting'!AU98=3,'Proposed Lighting'!T98="Lighting controls only"),VLOOKUP(E401,'Proposed Lighting'!$DO$127:$DP$134,2,FALSE),0)))))))*J401</f>
        <v>0</v>
      </c>
      <c r="S401" s="646">
        <f>IF(Q401&lt;0.01,0,IF('Proposed Lighting'!AK98&gt;0,'Proposed Lighting'!AK98*'Proposed Lighting'!EF98,0))</f>
        <v>0</v>
      </c>
      <c r="T401" s="647">
        <f t="shared" si="91"/>
        <v>0</v>
      </c>
      <c r="U401" s="648"/>
      <c r="V401" s="646">
        <f t="shared" si="94"/>
        <v>0</v>
      </c>
      <c r="W401" s="646">
        <f t="shared" si="95"/>
        <v>0</v>
      </c>
      <c r="X401" s="646">
        <f t="shared" si="96"/>
        <v>0</v>
      </c>
      <c r="Y401" s="646"/>
      <c r="Z401" s="646"/>
      <c r="AA401" s="646"/>
      <c r="AB401" s="646">
        <f t="shared" si="97"/>
        <v>0</v>
      </c>
      <c r="AC401" s="649" t="str">
        <f t="shared" si="98"/>
        <v/>
      </c>
      <c r="AD401" s="649" t="str">
        <f t="shared" si="99"/>
        <v/>
      </c>
      <c r="AE401" s="649" t="str">
        <f t="shared" si="100"/>
        <v/>
      </c>
      <c r="AF401" s="72"/>
      <c r="AG401" s="644">
        <f>IFERROR(IF($AV401="No",0,IF($AV401="yes",Summary!Q401,"")),"")</f>
        <v>0</v>
      </c>
      <c r="AH401" s="646">
        <f>IFERROR(IF($AV401="No",0,IF($AV401="yes",Summary!R401,"")),"")</f>
        <v>0</v>
      </c>
      <c r="AI401" s="646">
        <f>IFERROR(IF($AV401="No",0,IF($AV401="yes",Summary!S401,"")),"")</f>
        <v>0</v>
      </c>
      <c r="AJ401" s="647">
        <f>IFERROR(IF($AV401="No",0,IF($AV401="yes",Summary!T401,"")),"")</f>
        <v>0</v>
      </c>
      <c r="AK401" s="648">
        <f>IFERROR(IF($AV401="No",0,IF($AV401="yes",Summary!U401,"")),"")</f>
        <v>0</v>
      </c>
      <c r="AL401" s="646">
        <f>IFERROR(IF($AV401="No",0,IF($AV401="yes",Summary!V401,"")),"")</f>
        <v>0</v>
      </c>
      <c r="AM401" s="646">
        <f>IFERROR(IF($AV401="No",0,IF($AV401="yes",Summary!W401,"")),"")</f>
        <v>0</v>
      </c>
      <c r="AN401" s="646">
        <f>IFERROR(IF($AV401="No",0,IF($AV401="yes",Summary!X401,"")),"")</f>
        <v>0</v>
      </c>
      <c r="AO401" s="646">
        <f>IFERROR(IF($AV401="No",0,IF($AV401="yes",Summary!Y401+Z401,"")),"")</f>
        <v>0</v>
      </c>
      <c r="AP401" s="646">
        <f>IFERROR(IF($AV401="No",0,IF($AV401="yes",Summary!AB401,"")),"")</f>
        <v>0</v>
      </c>
      <c r="AQ401" s="649" t="str">
        <f t="shared" si="88"/>
        <v/>
      </c>
      <c r="AR401" s="649" t="str">
        <f t="shared" si="92"/>
        <v/>
      </c>
      <c r="AS401" s="649" t="str">
        <f t="shared" si="89"/>
        <v/>
      </c>
      <c r="AT401" s="641" t="s">
        <v>875</v>
      </c>
      <c r="AV401" t="str">
        <f>IF('Proposed Lighting'!AK98&gt;0,"No","Yes")</f>
        <v>Yes</v>
      </c>
    </row>
    <row r="402" spans="1:48" ht="34.5" customHeight="1" outlineLevel="1">
      <c r="A402" s="641" t="s">
        <v>876</v>
      </c>
      <c r="B402" s="641" t="str">
        <f>IF('Proposed Lighting'!AU99=3,"Commercial-All Com-ExtLight",IF('Proposed Lighting'!AH99&gt;8759,"IPC_8760","Commercial-All Com-IntLight"))</f>
        <v>IPC_8760</v>
      </c>
      <c r="C402" s="641" t="str">
        <f>IF(OR(E402="",E402=0),"No",
IF(AND('Data Entry'!$AF$23="OR",AE402&lt;1),"No",
IF(AND('Data Entry'!$AF$23="ID",E402="Non-standard lighting control system",AD402&lt;1),"No",
IF(AND('Data Entry'!$AF$23="OR",'Proposed Lighting'!F99="Existing LED (Provide Description)",'Proposed Lighting'!AK99=""),"No",
IF('Proposed Lighting'!DD99="Submit Control as Non-Standard","No",
IF(AND('Proposed Lighting'!T99="Non-Standard (Provide Description)",AD402&lt;1),"No",
IF('Proposed Lighting'!AW99&lt;'Proposed Lighting'!AZ99,"No","Yes")))))))</f>
        <v>No</v>
      </c>
      <c r="D402" s="1604">
        <f>'Proposed Lighting'!BQ99-Q402</f>
        <v>0</v>
      </c>
      <c r="E402" s="642" t="str">
        <f>IF('Proposed Lighting'!W99="","",'Proposed Lighting'!W99)</f>
        <v/>
      </c>
      <c r="F402" s="642"/>
      <c r="G402" s="641" t="s">
        <v>786</v>
      </c>
      <c r="H402" s="643">
        <v>10</v>
      </c>
      <c r="I402" s="644">
        <v>1</v>
      </c>
      <c r="J402" s="723">
        <f>IF('Proposed Lighting'!EF99=0,'Proposed Lighting'!AA99,'Proposed Lighting'!EF99)</f>
        <v>0</v>
      </c>
      <c r="K402" s="643" t="str">
        <f>'Proposed Lighting'!CU99</f>
        <v/>
      </c>
      <c r="L402" s="643" t="str">
        <f t="shared" si="90"/>
        <v/>
      </c>
      <c r="M402" s="645">
        <f t="shared" si="93"/>
        <v>0</v>
      </c>
      <c r="N402" s="645"/>
      <c r="O402" s="722">
        <f>IFERROR('Proposed Lighting'!AC99/1000,0)</f>
        <v>0</v>
      </c>
      <c r="P402" s="644">
        <f>'Proposed Lighting'!AV99</f>
        <v>0</v>
      </c>
      <c r="Q402" s="644">
        <f>IF(AND('Proposed Lighting'!T99="Lighting Controls Only",'Data Entry'!$AF$23="OR",'Proposed Lighting'!AU99=2),0,
IF(AND('Proposed Lighting'!T99="Lighting Controls Only",'Data Entry'!$AF$23="OR",'Proposed Lighting'!AU99=3,OR('Proposed Lighting'!W99="ceiling mount",'Proposed Lighting'!W99="wall switch",'Proposed Lighting'!W99="fixture mount (on exisiting equip)",'Proposed Lighting'!W99="daylight harvesting (on existing equip)")),0,
IF('Proposed Lighting'!AF99=1,IF(P402=0,0,J402*O402*(L402*(1-P402))),IF('Proposed Lighting'!AU99=1,0,'Proposed Lighting'!AX99-'Proposed Lighting'!AY99))))</f>
        <v>0</v>
      </c>
      <c r="R402" s="646">
        <f>IF('Proposed Lighting'!T99="Non-standard (provide description",0,
IF(AND(E402="Non-standard control",'Proposed Lighting'!AU99=2),Q402*0.1,
IF(AND(E402="Non-standard control",'Proposed Lighting'!AU99=3),Q402*0.08,
IF('Proposed Lighting'!EF99=0,0,IF('Proposed Lighting'!AU99=1,0,
IF(AND('Data Entry'!$AF$23="ID",'Proposed Lighting'!T99="Lighting controls only"),VLOOKUP(E402,'Proposed Lighting'!$DO$97:$DP$106,2,FALSE),
IF(AND('Data Entry'!$AF$23="OR",'Proposed Lighting'!AU99=3,'Proposed Lighting'!T99="Lighting controls only"),VLOOKUP(E402,'Proposed Lighting'!$DO$127:$DP$134,2,FALSE),0)))))))*J402</f>
        <v>0</v>
      </c>
      <c r="S402" s="646">
        <f>IF(Q402&lt;0.01,0,IF('Proposed Lighting'!AK99&gt;0,'Proposed Lighting'!AK99*'Proposed Lighting'!EF99,0))</f>
        <v>0</v>
      </c>
      <c r="T402" s="647">
        <f t="shared" si="91"/>
        <v>0</v>
      </c>
      <c r="U402" s="648"/>
      <c r="V402" s="646">
        <f t="shared" si="94"/>
        <v>0</v>
      </c>
      <c r="W402" s="646">
        <f t="shared" si="95"/>
        <v>0</v>
      </c>
      <c r="X402" s="646">
        <f t="shared" si="96"/>
        <v>0</v>
      </c>
      <c r="Y402" s="646"/>
      <c r="Z402" s="646"/>
      <c r="AA402" s="646"/>
      <c r="AB402" s="646">
        <f t="shared" si="97"/>
        <v>0</v>
      </c>
      <c r="AC402" s="649" t="str">
        <f t="shared" si="98"/>
        <v/>
      </c>
      <c r="AD402" s="649" t="str">
        <f t="shared" si="99"/>
        <v/>
      </c>
      <c r="AE402" s="649" t="str">
        <f t="shared" si="100"/>
        <v/>
      </c>
      <c r="AF402" s="72"/>
      <c r="AG402" s="644">
        <f>IFERROR(IF($AV402="No",0,IF($AV402="yes",Summary!Q402,"")),"")</f>
        <v>0</v>
      </c>
      <c r="AH402" s="646">
        <f>IFERROR(IF($AV402="No",0,IF($AV402="yes",Summary!R402,"")),"")</f>
        <v>0</v>
      </c>
      <c r="AI402" s="646">
        <f>IFERROR(IF($AV402="No",0,IF($AV402="yes",Summary!S402,"")),"")</f>
        <v>0</v>
      </c>
      <c r="AJ402" s="647">
        <f>IFERROR(IF($AV402="No",0,IF($AV402="yes",Summary!T402,"")),"")</f>
        <v>0</v>
      </c>
      <c r="AK402" s="648">
        <f>IFERROR(IF($AV402="No",0,IF($AV402="yes",Summary!U402,"")),"")</f>
        <v>0</v>
      </c>
      <c r="AL402" s="646">
        <f>IFERROR(IF($AV402="No",0,IF($AV402="yes",Summary!V402,"")),"")</f>
        <v>0</v>
      </c>
      <c r="AM402" s="646">
        <f>IFERROR(IF($AV402="No",0,IF($AV402="yes",Summary!W402,"")),"")</f>
        <v>0</v>
      </c>
      <c r="AN402" s="646">
        <f>IFERROR(IF($AV402="No",0,IF($AV402="yes",Summary!X402,"")),"")</f>
        <v>0</v>
      </c>
      <c r="AO402" s="646">
        <f>IFERROR(IF($AV402="No",0,IF($AV402="yes",Summary!Y402+Z402,"")),"")</f>
        <v>0</v>
      </c>
      <c r="AP402" s="646">
        <f>IFERROR(IF($AV402="No",0,IF($AV402="yes",Summary!AB402,"")),"")</f>
        <v>0</v>
      </c>
      <c r="AQ402" s="649" t="str">
        <f t="shared" si="88"/>
        <v/>
      </c>
      <c r="AR402" s="649" t="str">
        <f t="shared" si="92"/>
        <v/>
      </c>
      <c r="AS402" s="649" t="str">
        <f t="shared" si="89"/>
        <v/>
      </c>
      <c r="AT402" s="641" t="s">
        <v>876</v>
      </c>
      <c r="AV402" t="str">
        <f>IF('Proposed Lighting'!AK99&gt;0,"No","Yes")</f>
        <v>Yes</v>
      </c>
    </row>
    <row r="403" spans="1:48" ht="34.5" customHeight="1" outlineLevel="1">
      <c r="A403" s="641" t="s">
        <v>877</v>
      </c>
      <c r="B403" s="641" t="str">
        <f>IF('Proposed Lighting'!AU100=3,"Commercial-All Com-ExtLight",IF('Proposed Lighting'!AH100&gt;8759,"IPC_8760","Commercial-All Com-IntLight"))</f>
        <v>IPC_8760</v>
      </c>
      <c r="C403" s="641" t="str">
        <f>IF(OR(E403="",E403=0),"No",
IF(AND('Data Entry'!$AF$23="OR",AE403&lt;1),"No",
IF(AND('Data Entry'!$AF$23="ID",E403="Non-standard lighting control system",AD403&lt;1),"No",
IF(AND('Data Entry'!$AF$23="OR",'Proposed Lighting'!F100="Existing LED (Provide Description)",'Proposed Lighting'!AK100=""),"No",
IF('Proposed Lighting'!DD100="Submit Control as Non-Standard","No",
IF(AND('Proposed Lighting'!T100="Non-Standard (Provide Description)",AD403&lt;1),"No",
IF('Proposed Lighting'!AW100&lt;'Proposed Lighting'!AZ100,"No","Yes")))))))</f>
        <v>No</v>
      </c>
      <c r="D403" s="1604">
        <f>'Proposed Lighting'!BQ100-Q403</f>
        <v>0</v>
      </c>
      <c r="E403" s="642" t="str">
        <f>IF('Proposed Lighting'!W100="","",'Proposed Lighting'!W100)</f>
        <v/>
      </c>
      <c r="F403" s="642"/>
      <c r="G403" s="641" t="s">
        <v>786</v>
      </c>
      <c r="H403" s="643">
        <v>10</v>
      </c>
      <c r="I403" s="644">
        <v>1</v>
      </c>
      <c r="J403" s="723">
        <f>IF('Proposed Lighting'!EF100=0,'Proposed Lighting'!AA100,'Proposed Lighting'!EF100)</f>
        <v>0</v>
      </c>
      <c r="K403" s="643" t="str">
        <f>'Proposed Lighting'!CU100</f>
        <v/>
      </c>
      <c r="L403" s="643" t="str">
        <f t="shared" si="90"/>
        <v/>
      </c>
      <c r="M403" s="645">
        <f t="shared" si="93"/>
        <v>0</v>
      </c>
      <c r="N403" s="645"/>
      <c r="O403" s="722">
        <f>IFERROR('Proposed Lighting'!AC100/1000,0)</f>
        <v>0</v>
      </c>
      <c r="P403" s="644">
        <f>'Proposed Lighting'!AV100</f>
        <v>0</v>
      </c>
      <c r="Q403" s="644">
        <f>IF(AND('Proposed Lighting'!T100="Lighting Controls Only",'Data Entry'!$AF$23="OR",'Proposed Lighting'!AU100=2),0,
IF(AND('Proposed Lighting'!T100="Lighting Controls Only",'Data Entry'!$AF$23="OR",'Proposed Lighting'!AU100=3,OR('Proposed Lighting'!W100="ceiling mount",'Proposed Lighting'!W100="wall switch",'Proposed Lighting'!W100="fixture mount (on exisiting equip)",'Proposed Lighting'!W100="daylight harvesting (on existing equip)")),0,
IF('Proposed Lighting'!AF100=1,IF(P403=0,0,J403*O403*(L403*(1-P403))),IF('Proposed Lighting'!AU100=1,0,'Proposed Lighting'!AX100-'Proposed Lighting'!AY100))))</f>
        <v>0</v>
      </c>
      <c r="R403" s="646">
        <f>IF('Proposed Lighting'!T100="Non-standard (provide description",0,
IF(AND(E403="Non-standard control",'Proposed Lighting'!AU100=2),Q403*0.1,
IF(AND(E403="Non-standard control",'Proposed Lighting'!AU100=3),Q403*0.08,
IF('Proposed Lighting'!EF100=0,0,IF('Proposed Lighting'!AU100=1,0,
IF(AND('Data Entry'!$AF$23="ID",'Proposed Lighting'!T100="Lighting controls only"),VLOOKUP(E403,'Proposed Lighting'!$DO$97:$DP$106,2,FALSE),
IF(AND('Data Entry'!$AF$23="OR",'Proposed Lighting'!AU100=3,'Proposed Lighting'!T100="Lighting controls only"),VLOOKUP(E403,'Proposed Lighting'!$DO$127:$DP$134,2,FALSE),0)))))))*J403</f>
        <v>0</v>
      </c>
      <c r="S403" s="646">
        <f>IF(Q403&lt;0.01,0,IF('Proposed Lighting'!AK100&gt;0,'Proposed Lighting'!AK100*'Proposed Lighting'!EF100,0))</f>
        <v>0</v>
      </c>
      <c r="T403" s="647">
        <f t="shared" si="91"/>
        <v>0</v>
      </c>
      <c r="U403" s="648"/>
      <c r="V403" s="646">
        <f t="shared" si="94"/>
        <v>0</v>
      </c>
      <c r="W403" s="646">
        <f t="shared" si="95"/>
        <v>0</v>
      </c>
      <c r="X403" s="646">
        <f t="shared" si="96"/>
        <v>0</v>
      </c>
      <c r="Y403" s="646"/>
      <c r="Z403" s="646"/>
      <c r="AA403" s="646"/>
      <c r="AB403" s="646">
        <f t="shared" si="97"/>
        <v>0</v>
      </c>
      <c r="AC403" s="649" t="str">
        <f t="shared" si="98"/>
        <v/>
      </c>
      <c r="AD403" s="649" t="str">
        <f t="shared" si="99"/>
        <v/>
      </c>
      <c r="AE403" s="649" t="str">
        <f t="shared" si="100"/>
        <v/>
      </c>
      <c r="AF403" s="72"/>
      <c r="AG403" s="644">
        <f>IFERROR(IF($AV403="No",0,IF($AV403="yes",Summary!Q403,"")),"")</f>
        <v>0</v>
      </c>
      <c r="AH403" s="646">
        <f>IFERROR(IF($AV403="No",0,IF($AV403="yes",Summary!R403,"")),"")</f>
        <v>0</v>
      </c>
      <c r="AI403" s="646">
        <f>IFERROR(IF($AV403="No",0,IF($AV403="yes",Summary!S403,"")),"")</f>
        <v>0</v>
      </c>
      <c r="AJ403" s="647">
        <f>IFERROR(IF($AV403="No",0,IF($AV403="yes",Summary!T403,"")),"")</f>
        <v>0</v>
      </c>
      <c r="AK403" s="648">
        <f>IFERROR(IF($AV403="No",0,IF($AV403="yes",Summary!U403,"")),"")</f>
        <v>0</v>
      </c>
      <c r="AL403" s="646">
        <f>IFERROR(IF($AV403="No",0,IF($AV403="yes",Summary!V403,"")),"")</f>
        <v>0</v>
      </c>
      <c r="AM403" s="646">
        <f>IFERROR(IF($AV403="No",0,IF($AV403="yes",Summary!W403,"")),"")</f>
        <v>0</v>
      </c>
      <c r="AN403" s="646">
        <f>IFERROR(IF($AV403="No",0,IF($AV403="yes",Summary!X403,"")),"")</f>
        <v>0</v>
      </c>
      <c r="AO403" s="646">
        <f>IFERROR(IF($AV403="No",0,IF($AV403="yes",Summary!Y403+Z403,"")),"")</f>
        <v>0</v>
      </c>
      <c r="AP403" s="646">
        <f>IFERROR(IF($AV403="No",0,IF($AV403="yes",Summary!AB403,"")),"")</f>
        <v>0</v>
      </c>
      <c r="AQ403" s="649" t="str">
        <f t="shared" si="88"/>
        <v/>
      </c>
      <c r="AR403" s="649" t="str">
        <f t="shared" si="92"/>
        <v/>
      </c>
      <c r="AS403" s="649" t="str">
        <f t="shared" si="89"/>
        <v/>
      </c>
      <c r="AT403" s="641" t="s">
        <v>877</v>
      </c>
      <c r="AV403" t="str">
        <f>IF('Proposed Lighting'!AK100&gt;0,"No","Yes")</f>
        <v>Yes</v>
      </c>
    </row>
    <row r="404" spans="1:48" ht="34.5" customHeight="1" outlineLevel="1">
      <c r="A404" s="641" t="s">
        <v>878</v>
      </c>
      <c r="B404" s="641" t="str">
        <f>IF('Proposed Lighting'!AU101=3,"Commercial-All Com-ExtLight",IF('Proposed Lighting'!AH101&gt;8759,"IPC_8760","Commercial-All Com-IntLight"))</f>
        <v>IPC_8760</v>
      </c>
      <c r="C404" s="641" t="str">
        <f>IF(OR(E404="",E404=0),"No",
IF(AND('Data Entry'!$AF$23="OR",AE404&lt;1),"No",
IF(AND('Data Entry'!$AF$23="ID",E404="Non-standard lighting control system",AD404&lt;1),"No",
IF(AND('Data Entry'!$AF$23="OR",'Proposed Lighting'!F101="Existing LED (Provide Description)",'Proposed Lighting'!AK101=""),"No",
IF('Proposed Lighting'!DD101="Submit Control as Non-Standard","No",
IF(AND('Proposed Lighting'!T101="Non-Standard (Provide Description)",AD404&lt;1),"No",
IF('Proposed Lighting'!AW101&lt;'Proposed Lighting'!AZ101,"No","Yes")))))))</f>
        <v>No</v>
      </c>
      <c r="D404" s="1604">
        <f>'Proposed Lighting'!BQ101-Q404</f>
        <v>0</v>
      </c>
      <c r="E404" s="642" t="str">
        <f>IF('Proposed Lighting'!W101="","",'Proposed Lighting'!W101)</f>
        <v/>
      </c>
      <c r="F404" s="642"/>
      <c r="G404" s="641" t="s">
        <v>786</v>
      </c>
      <c r="H404" s="643">
        <v>10</v>
      </c>
      <c r="I404" s="644">
        <v>1</v>
      </c>
      <c r="J404" s="723">
        <f>IF('Proposed Lighting'!EF101=0,'Proposed Lighting'!AA101,'Proposed Lighting'!EF101)</f>
        <v>0</v>
      </c>
      <c r="K404" s="643" t="str">
        <f>'Proposed Lighting'!CU101</f>
        <v/>
      </c>
      <c r="L404" s="643" t="str">
        <f t="shared" si="90"/>
        <v/>
      </c>
      <c r="M404" s="645">
        <f t="shared" si="93"/>
        <v>0</v>
      </c>
      <c r="N404" s="645"/>
      <c r="O404" s="722">
        <f>IFERROR('Proposed Lighting'!AC101/1000,0)</f>
        <v>0</v>
      </c>
      <c r="P404" s="644">
        <f>'Proposed Lighting'!AV101</f>
        <v>0</v>
      </c>
      <c r="Q404" s="644">
        <f>IF(AND('Proposed Lighting'!T101="Lighting Controls Only",'Data Entry'!$AF$23="OR",'Proposed Lighting'!AU101=2),0,
IF(AND('Proposed Lighting'!T101="Lighting Controls Only",'Data Entry'!$AF$23="OR",'Proposed Lighting'!AU101=3,OR('Proposed Lighting'!W101="ceiling mount",'Proposed Lighting'!W101="wall switch",'Proposed Lighting'!W101="fixture mount (on exisiting equip)",'Proposed Lighting'!W101="daylight harvesting (on existing equip)")),0,
IF('Proposed Lighting'!AF101=1,IF(P404=0,0,J404*O404*(L404*(1-P404))),IF('Proposed Lighting'!AU101=1,0,'Proposed Lighting'!AX101-'Proposed Lighting'!AY101))))</f>
        <v>0</v>
      </c>
      <c r="R404" s="646">
        <f>IF('Proposed Lighting'!T101="Non-standard (provide description",0,
IF(AND(E404="Non-standard control",'Proposed Lighting'!AU101=2),Q404*0.1,
IF(AND(E404="Non-standard control",'Proposed Lighting'!AU101=3),Q404*0.08,
IF('Proposed Lighting'!EF101=0,0,IF('Proposed Lighting'!AU101=1,0,
IF(AND('Data Entry'!$AF$23="ID",'Proposed Lighting'!T101="Lighting controls only"),VLOOKUP(E404,'Proposed Lighting'!$DO$97:$DP$106,2,FALSE),
IF(AND('Data Entry'!$AF$23="OR",'Proposed Lighting'!AU101=3,'Proposed Lighting'!T101="Lighting controls only"),VLOOKUP(E404,'Proposed Lighting'!$DO$127:$DP$134,2,FALSE),0)))))))*J404</f>
        <v>0</v>
      </c>
      <c r="S404" s="646">
        <f>IF(Q404&lt;0.01,0,IF('Proposed Lighting'!AK101&gt;0,'Proposed Lighting'!AK101*'Proposed Lighting'!EF101,0))</f>
        <v>0</v>
      </c>
      <c r="T404" s="647">
        <f t="shared" si="91"/>
        <v>0</v>
      </c>
      <c r="U404" s="648"/>
      <c r="V404" s="646">
        <f t="shared" si="94"/>
        <v>0</v>
      </c>
      <c r="W404" s="646">
        <f t="shared" si="95"/>
        <v>0</v>
      </c>
      <c r="X404" s="646">
        <f t="shared" si="96"/>
        <v>0</v>
      </c>
      <c r="Y404" s="646"/>
      <c r="Z404" s="646"/>
      <c r="AA404" s="646"/>
      <c r="AB404" s="646">
        <f t="shared" si="97"/>
        <v>0</v>
      </c>
      <c r="AC404" s="649" t="str">
        <f t="shared" si="98"/>
        <v/>
      </c>
      <c r="AD404" s="649" t="str">
        <f t="shared" si="99"/>
        <v/>
      </c>
      <c r="AE404" s="649" t="str">
        <f t="shared" si="100"/>
        <v/>
      </c>
      <c r="AF404" s="72"/>
      <c r="AG404" s="644">
        <f>IFERROR(IF($AV404="No",0,IF($AV404="yes",Summary!Q404,"")),"")</f>
        <v>0</v>
      </c>
      <c r="AH404" s="646">
        <f>IFERROR(IF($AV404="No",0,IF($AV404="yes",Summary!R404,"")),"")</f>
        <v>0</v>
      </c>
      <c r="AI404" s="646">
        <f>IFERROR(IF($AV404="No",0,IF($AV404="yes",Summary!S404,"")),"")</f>
        <v>0</v>
      </c>
      <c r="AJ404" s="647">
        <f>IFERROR(IF($AV404="No",0,IF($AV404="yes",Summary!T404,"")),"")</f>
        <v>0</v>
      </c>
      <c r="AK404" s="648">
        <f>IFERROR(IF($AV404="No",0,IF($AV404="yes",Summary!U404,"")),"")</f>
        <v>0</v>
      </c>
      <c r="AL404" s="646">
        <f>IFERROR(IF($AV404="No",0,IF($AV404="yes",Summary!V404,"")),"")</f>
        <v>0</v>
      </c>
      <c r="AM404" s="646">
        <f>IFERROR(IF($AV404="No",0,IF($AV404="yes",Summary!W404,"")),"")</f>
        <v>0</v>
      </c>
      <c r="AN404" s="646">
        <f>IFERROR(IF($AV404="No",0,IF($AV404="yes",Summary!X404,"")),"")</f>
        <v>0</v>
      </c>
      <c r="AO404" s="646">
        <f>IFERROR(IF($AV404="No",0,IF($AV404="yes",Summary!Y404+Z404,"")),"")</f>
        <v>0</v>
      </c>
      <c r="AP404" s="646">
        <f>IFERROR(IF($AV404="No",0,IF($AV404="yes",Summary!AB404,"")),"")</f>
        <v>0</v>
      </c>
      <c r="AQ404" s="649" t="str">
        <f t="shared" si="88"/>
        <v/>
      </c>
      <c r="AR404" s="649" t="str">
        <f t="shared" si="92"/>
        <v/>
      </c>
      <c r="AS404" s="649" t="str">
        <f t="shared" si="89"/>
        <v/>
      </c>
      <c r="AT404" s="641" t="s">
        <v>878</v>
      </c>
      <c r="AV404" t="str">
        <f>IF('Proposed Lighting'!AK101&gt;0,"No","Yes")</f>
        <v>Yes</v>
      </c>
    </row>
    <row r="405" spans="1:48" ht="34.5" customHeight="1" outlineLevel="1">
      <c r="A405" s="641" t="s">
        <v>879</v>
      </c>
      <c r="B405" s="641" t="str">
        <f>IF('Proposed Lighting'!AU102=3,"Commercial-All Com-ExtLight",IF('Proposed Lighting'!AH102&gt;8759,"IPC_8760","Commercial-All Com-IntLight"))</f>
        <v>IPC_8760</v>
      </c>
      <c r="C405" s="641" t="str">
        <f>IF(OR(E405="",E405=0),"No",
IF(AND('Data Entry'!$AF$23="OR",AE405&lt;1),"No",
IF(AND('Data Entry'!$AF$23="ID",E405="Non-standard lighting control system",AD405&lt;1),"No",
IF(AND('Data Entry'!$AF$23="OR",'Proposed Lighting'!F102="Existing LED (Provide Description)",'Proposed Lighting'!AK102=""),"No",
IF('Proposed Lighting'!DD102="Submit Control as Non-Standard","No",
IF(AND('Proposed Lighting'!T102="Non-Standard (Provide Description)",AD405&lt;1),"No",
IF('Proposed Lighting'!AW102&lt;'Proposed Lighting'!AZ102,"No","Yes")))))))</f>
        <v>No</v>
      </c>
      <c r="D405" s="1604">
        <f>'Proposed Lighting'!BQ102-Q405</f>
        <v>0</v>
      </c>
      <c r="E405" s="642" t="str">
        <f>IF('Proposed Lighting'!W102="","",'Proposed Lighting'!W102)</f>
        <v/>
      </c>
      <c r="F405" s="642"/>
      <c r="G405" s="641" t="s">
        <v>786</v>
      </c>
      <c r="H405" s="643">
        <v>10</v>
      </c>
      <c r="I405" s="644">
        <v>1</v>
      </c>
      <c r="J405" s="723">
        <f>IF('Proposed Lighting'!EF102=0,'Proposed Lighting'!AA102,'Proposed Lighting'!EF102)</f>
        <v>0</v>
      </c>
      <c r="K405" s="643" t="str">
        <f>'Proposed Lighting'!CU102</f>
        <v/>
      </c>
      <c r="L405" s="643" t="str">
        <f t="shared" si="90"/>
        <v/>
      </c>
      <c r="M405" s="645">
        <f t="shared" si="93"/>
        <v>0</v>
      </c>
      <c r="N405" s="645"/>
      <c r="O405" s="722">
        <f>IFERROR('Proposed Lighting'!AC102/1000,0)</f>
        <v>0</v>
      </c>
      <c r="P405" s="644">
        <f>'Proposed Lighting'!AV102</f>
        <v>0</v>
      </c>
      <c r="Q405" s="644">
        <f>IF(AND('Proposed Lighting'!T102="Lighting Controls Only",'Data Entry'!$AF$23="OR",'Proposed Lighting'!AU102=2),0,
IF(AND('Proposed Lighting'!T102="Lighting Controls Only",'Data Entry'!$AF$23="OR",'Proposed Lighting'!AU102=3,OR('Proposed Lighting'!W102="ceiling mount",'Proposed Lighting'!W102="wall switch",'Proposed Lighting'!W102="fixture mount (on exisiting equip)",'Proposed Lighting'!W102="daylight harvesting (on existing equip)")),0,
IF('Proposed Lighting'!AF102=1,IF(P405=0,0,J405*O405*(L405*(1-P405))),IF('Proposed Lighting'!AU102=1,0,'Proposed Lighting'!AX102-'Proposed Lighting'!AY102))))</f>
        <v>0</v>
      </c>
      <c r="R405" s="646">
        <f>IF('Proposed Lighting'!T102="Non-standard (provide description",0,
IF(AND(E405="Non-standard control",'Proposed Lighting'!AU102=2),Q405*0.1,
IF(AND(E405="Non-standard control",'Proposed Lighting'!AU102=3),Q405*0.08,
IF('Proposed Lighting'!EF102=0,0,IF('Proposed Lighting'!AU102=1,0,
IF(AND('Data Entry'!$AF$23="ID",'Proposed Lighting'!T102="Lighting controls only"),VLOOKUP(E405,'Proposed Lighting'!$DO$97:$DP$106,2,FALSE),
IF(AND('Data Entry'!$AF$23="OR",'Proposed Lighting'!AU102=3,'Proposed Lighting'!T102="Lighting controls only"),VLOOKUP(E405,'Proposed Lighting'!$DO$127:$DP$134,2,FALSE),0)))))))*J405</f>
        <v>0</v>
      </c>
      <c r="S405" s="646">
        <f>IF(Q405&lt;0.01,0,IF('Proposed Lighting'!AK102&gt;0,'Proposed Lighting'!AK102*'Proposed Lighting'!EF102,0))</f>
        <v>0</v>
      </c>
      <c r="T405" s="647">
        <f t="shared" si="91"/>
        <v>0</v>
      </c>
      <c r="U405" s="648"/>
      <c r="V405" s="646">
        <f t="shared" si="94"/>
        <v>0</v>
      </c>
      <c r="W405" s="646">
        <f t="shared" si="95"/>
        <v>0</v>
      </c>
      <c r="X405" s="646">
        <f t="shared" si="96"/>
        <v>0</v>
      </c>
      <c r="Y405" s="646"/>
      <c r="Z405" s="646"/>
      <c r="AA405" s="646"/>
      <c r="AB405" s="646">
        <f t="shared" si="97"/>
        <v>0</v>
      </c>
      <c r="AC405" s="649" t="str">
        <f t="shared" si="98"/>
        <v/>
      </c>
      <c r="AD405" s="649" t="str">
        <f t="shared" si="99"/>
        <v/>
      </c>
      <c r="AE405" s="649" t="str">
        <f t="shared" si="100"/>
        <v/>
      </c>
      <c r="AF405" s="72"/>
      <c r="AG405" s="644">
        <f>IFERROR(IF($AV405="No",0,IF($AV405="yes",Summary!Q405,"")),"")</f>
        <v>0</v>
      </c>
      <c r="AH405" s="646">
        <f>IFERROR(IF($AV405="No",0,IF($AV405="yes",Summary!R405,"")),"")</f>
        <v>0</v>
      </c>
      <c r="AI405" s="646">
        <f>IFERROR(IF($AV405="No",0,IF($AV405="yes",Summary!S405,"")),"")</f>
        <v>0</v>
      </c>
      <c r="AJ405" s="647">
        <f>IFERROR(IF($AV405="No",0,IF($AV405="yes",Summary!T405,"")),"")</f>
        <v>0</v>
      </c>
      <c r="AK405" s="648">
        <f>IFERROR(IF($AV405="No",0,IF($AV405="yes",Summary!U405,"")),"")</f>
        <v>0</v>
      </c>
      <c r="AL405" s="646">
        <f>IFERROR(IF($AV405="No",0,IF($AV405="yes",Summary!V405,"")),"")</f>
        <v>0</v>
      </c>
      <c r="AM405" s="646">
        <f>IFERROR(IF($AV405="No",0,IF($AV405="yes",Summary!W405,"")),"")</f>
        <v>0</v>
      </c>
      <c r="AN405" s="646">
        <f>IFERROR(IF($AV405="No",0,IF($AV405="yes",Summary!X405,"")),"")</f>
        <v>0</v>
      </c>
      <c r="AO405" s="646">
        <f>IFERROR(IF($AV405="No",0,IF($AV405="yes",Summary!Y405+Z405,"")),"")</f>
        <v>0</v>
      </c>
      <c r="AP405" s="646">
        <f>IFERROR(IF($AV405="No",0,IF($AV405="yes",Summary!AB405,"")),"")</f>
        <v>0</v>
      </c>
      <c r="AQ405" s="649" t="str">
        <f t="shared" si="88"/>
        <v/>
      </c>
      <c r="AR405" s="649" t="str">
        <f t="shared" si="92"/>
        <v/>
      </c>
      <c r="AS405" s="649" t="str">
        <f t="shared" si="89"/>
        <v/>
      </c>
      <c r="AT405" s="641" t="s">
        <v>879</v>
      </c>
      <c r="AV405" t="str">
        <f>IF('Proposed Lighting'!AK102&gt;0,"No","Yes")</f>
        <v>Yes</v>
      </c>
    </row>
    <row r="406" spans="1:48" ht="34.5" customHeight="1" outlineLevel="1">
      <c r="A406" s="641" t="s">
        <v>880</v>
      </c>
      <c r="B406" s="641" t="str">
        <f>IF('Proposed Lighting'!AU103=3,"Commercial-All Com-ExtLight",IF('Proposed Lighting'!AH103&gt;8759,"IPC_8760","Commercial-All Com-IntLight"))</f>
        <v>IPC_8760</v>
      </c>
      <c r="C406" s="641" t="str">
        <f>IF(OR(E406="",E406=0),"No",
IF(AND('Data Entry'!$AF$23="OR",AE406&lt;1),"No",
IF(AND('Data Entry'!$AF$23="ID",E406="Non-standard lighting control system",AD406&lt;1),"No",
IF(AND('Data Entry'!$AF$23="OR",'Proposed Lighting'!F103="Existing LED (Provide Description)",'Proposed Lighting'!AK103=""),"No",
IF('Proposed Lighting'!DD103="Submit Control as Non-Standard","No",
IF(AND('Proposed Lighting'!T103="Non-Standard (Provide Description)",AD406&lt;1),"No",
IF('Proposed Lighting'!AW103&lt;'Proposed Lighting'!AZ103,"No","Yes")))))))</f>
        <v>No</v>
      </c>
      <c r="D406" s="1604">
        <f>'Proposed Lighting'!BQ103-Q406</f>
        <v>0</v>
      </c>
      <c r="E406" s="642" t="str">
        <f>IF('Proposed Lighting'!W103="","",'Proposed Lighting'!W103)</f>
        <v/>
      </c>
      <c r="F406" s="642"/>
      <c r="G406" s="641" t="s">
        <v>786</v>
      </c>
      <c r="H406" s="643">
        <v>10</v>
      </c>
      <c r="I406" s="644">
        <v>1</v>
      </c>
      <c r="J406" s="723">
        <f>IF('Proposed Lighting'!EF103=0,'Proposed Lighting'!AA103,'Proposed Lighting'!EF103)</f>
        <v>0</v>
      </c>
      <c r="K406" s="643" t="str">
        <f>'Proposed Lighting'!CU103</f>
        <v/>
      </c>
      <c r="L406" s="643" t="str">
        <f t="shared" si="90"/>
        <v/>
      </c>
      <c r="M406" s="645">
        <f t="shared" si="93"/>
        <v>0</v>
      </c>
      <c r="N406" s="645"/>
      <c r="O406" s="722">
        <f>IFERROR('Proposed Lighting'!AC103/1000,0)</f>
        <v>0</v>
      </c>
      <c r="P406" s="644">
        <f>'Proposed Lighting'!AV103</f>
        <v>0</v>
      </c>
      <c r="Q406" s="644">
        <f>IF(AND('Proposed Lighting'!T103="Lighting Controls Only",'Data Entry'!$AF$23="OR",'Proposed Lighting'!AU103=2),0,
IF(AND('Proposed Lighting'!T103="Lighting Controls Only",'Data Entry'!$AF$23="OR",'Proposed Lighting'!AU103=3,OR('Proposed Lighting'!W103="ceiling mount",'Proposed Lighting'!W103="wall switch",'Proposed Lighting'!W103="fixture mount (on exisiting equip)",'Proposed Lighting'!W103="daylight harvesting (on existing equip)")),0,
IF('Proposed Lighting'!AF103=1,IF(P406=0,0,J406*O406*(L406*(1-P406))),IF('Proposed Lighting'!AU103=1,0,'Proposed Lighting'!AX103-'Proposed Lighting'!AY103))))</f>
        <v>0</v>
      </c>
      <c r="R406" s="646">
        <f>IF('Proposed Lighting'!T103="Non-standard (provide description",0,
IF(AND(E406="Non-standard control",'Proposed Lighting'!AU103=2),Q406*0.1,
IF(AND(E406="Non-standard control",'Proposed Lighting'!AU103=3),Q406*0.08,
IF('Proposed Lighting'!EF103=0,0,IF('Proposed Lighting'!AU103=1,0,
IF(AND('Data Entry'!$AF$23="ID",'Proposed Lighting'!T103="Lighting controls only"),VLOOKUP(E406,'Proposed Lighting'!$DO$97:$DP$106,2,FALSE),
IF(AND('Data Entry'!$AF$23="OR",'Proposed Lighting'!AU103=3,'Proposed Lighting'!T103="Lighting controls only"),VLOOKUP(E406,'Proposed Lighting'!$DO$127:$DP$134,2,FALSE),0)))))))*J406</f>
        <v>0</v>
      </c>
      <c r="S406" s="646">
        <f>IF(Q406&lt;0.01,0,IF('Proposed Lighting'!AK103&gt;0,'Proposed Lighting'!AK103*'Proposed Lighting'!EF103,0))</f>
        <v>0</v>
      </c>
      <c r="T406" s="647">
        <f t="shared" si="91"/>
        <v>0</v>
      </c>
      <c r="U406" s="648"/>
      <c r="V406" s="646">
        <f t="shared" si="94"/>
        <v>0</v>
      </c>
      <c r="W406" s="646">
        <f t="shared" si="95"/>
        <v>0</v>
      </c>
      <c r="X406" s="646">
        <f t="shared" si="96"/>
        <v>0</v>
      </c>
      <c r="Y406" s="646"/>
      <c r="Z406" s="646"/>
      <c r="AA406" s="646"/>
      <c r="AB406" s="646">
        <f t="shared" si="97"/>
        <v>0</v>
      </c>
      <c r="AC406" s="649" t="str">
        <f t="shared" si="98"/>
        <v/>
      </c>
      <c r="AD406" s="649" t="str">
        <f t="shared" si="99"/>
        <v/>
      </c>
      <c r="AE406" s="649" t="str">
        <f t="shared" si="100"/>
        <v/>
      </c>
      <c r="AF406" s="72"/>
      <c r="AG406" s="644">
        <f>IFERROR(IF($AV406="No",0,IF($AV406="yes",Summary!Q406,"")),"")</f>
        <v>0</v>
      </c>
      <c r="AH406" s="646">
        <f>IFERROR(IF($AV406="No",0,IF($AV406="yes",Summary!R406,"")),"")</f>
        <v>0</v>
      </c>
      <c r="AI406" s="646">
        <f>IFERROR(IF($AV406="No",0,IF($AV406="yes",Summary!S406,"")),"")</f>
        <v>0</v>
      </c>
      <c r="AJ406" s="647">
        <f>IFERROR(IF($AV406="No",0,IF($AV406="yes",Summary!T406,"")),"")</f>
        <v>0</v>
      </c>
      <c r="AK406" s="648">
        <f>IFERROR(IF($AV406="No",0,IF($AV406="yes",Summary!U406,"")),"")</f>
        <v>0</v>
      </c>
      <c r="AL406" s="646">
        <f>IFERROR(IF($AV406="No",0,IF($AV406="yes",Summary!V406,"")),"")</f>
        <v>0</v>
      </c>
      <c r="AM406" s="646">
        <f>IFERROR(IF($AV406="No",0,IF($AV406="yes",Summary!W406,"")),"")</f>
        <v>0</v>
      </c>
      <c r="AN406" s="646">
        <f>IFERROR(IF($AV406="No",0,IF($AV406="yes",Summary!X406,"")),"")</f>
        <v>0</v>
      </c>
      <c r="AO406" s="646">
        <f>IFERROR(IF($AV406="No",0,IF($AV406="yes",Summary!Y406+Z406,"")),"")</f>
        <v>0</v>
      </c>
      <c r="AP406" s="646">
        <f>IFERROR(IF($AV406="No",0,IF($AV406="yes",Summary!AB406,"")),"")</f>
        <v>0</v>
      </c>
      <c r="AQ406" s="649" t="str">
        <f t="shared" si="88"/>
        <v/>
      </c>
      <c r="AR406" s="649" t="str">
        <f t="shared" si="92"/>
        <v/>
      </c>
      <c r="AS406" s="649" t="str">
        <f t="shared" si="89"/>
        <v/>
      </c>
      <c r="AT406" s="641" t="s">
        <v>880</v>
      </c>
      <c r="AV406" t="str">
        <f>IF('Proposed Lighting'!AK103&gt;0,"No","Yes")</f>
        <v>Yes</v>
      </c>
    </row>
    <row r="407" spans="1:48" ht="34.5" customHeight="1" outlineLevel="1">
      <c r="A407" s="641" t="s">
        <v>881</v>
      </c>
      <c r="B407" s="641" t="str">
        <f>IF('Proposed Lighting'!AU104=3,"Commercial-All Com-ExtLight",IF('Proposed Lighting'!AH104&gt;8759,"IPC_8760","Commercial-All Com-IntLight"))</f>
        <v>IPC_8760</v>
      </c>
      <c r="C407" s="641" t="str">
        <f>IF(OR(E407="",E407=0),"No",
IF(AND('Data Entry'!$AF$23="OR",AE407&lt;1),"No",
IF(AND('Data Entry'!$AF$23="ID",E407="Non-standard lighting control system",AD407&lt;1),"No",
IF(AND('Data Entry'!$AF$23="OR",'Proposed Lighting'!F104="Existing LED (Provide Description)",'Proposed Lighting'!AK104=""),"No",
IF('Proposed Lighting'!DD104="Submit Control as Non-Standard","No",
IF(AND('Proposed Lighting'!T104="Non-Standard (Provide Description)",AD407&lt;1),"No",
IF('Proposed Lighting'!AW104&lt;'Proposed Lighting'!AZ104,"No","Yes")))))))</f>
        <v>No</v>
      </c>
      <c r="D407" s="1604">
        <f>'Proposed Lighting'!BQ104-Q407</f>
        <v>0</v>
      </c>
      <c r="E407" s="642" t="str">
        <f>IF('Proposed Lighting'!W104="","",'Proposed Lighting'!W104)</f>
        <v/>
      </c>
      <c r="F407" s="642"/>
      <c r="G407" s="641" t="s">
        <v>786</v>
      </c>
      <c r="H407" s="643">
        <v>10</v>
      </c>
      <c r="I407" s="644">
        <v>1</v>
      </c>
      <c r="J407" s="723">
        <f>IF('Proposed Lighting'!EF104=0,'Proposed Lighting'!AA104,'Proposed Lighting'!EF104)</f>
        <v>0</v>
      </c>
      <c r="K407" s="643" t="str">
        <f>'Proposed Lighting'!CU104</f>
        <v/>
      </c>
      <c r="L407" s="643" t="str">
        <f t="shared" si="90"/>
        <v/>
      </c>
      <c r="M407" s="645">
        <f t="shared" si="93"/>
        <v>0</v>
      </c>
      <c r="N407" s="645"/>
      <c r="O407" s="722">
        <f>IFERROR('Proposed Lighting'!AC104/1000,0)</f>
        <v>0</v>
      </c>
      <c r="P407" s="644">
        <f>'Proposed Lighting'!AV104</f>
        <v>0</v>
      </c>
      <c r="Q407" s="644">
        <f>IF(AND('Proposed Lighting'!T104="Lighting Controls Only",'Data Entry'!$AF$23="OR",'Proposed Lighting'!AU104=2),0,
IF(AND('Proposed Lighting'!T104="Lighting Controls Only",'Data Entry'!$AF$23="OR",'Proposed Lighting'!AU104=3,OR('Proposed Lighting'!W104="ceiling mount",'Proposed Lighting'!W104="wall switch",'Proposed Lighting'!W104="fixture mount (on exisiting equip)",'Proposed Lighting'!W104="daylight harvesting (on existing equip)")),0,
IF('Proposed Lighting'!AF104=1,IF(P407=0,0,J407*O407*(L407*(1-P407))),IF('Proposed Lighting'!AU104=1,0,'Proposed Lighting'!AX104-'Proposed Lighting'!AY104))))</f>
        <v>0</v>
      </c>
      <c r="R407" s="646">
        <f>IF('Proposed Lighting'!T104="Non-standard (provide description",0,
IF(AND(E407="Non-standard control",'Proposed Lighting'!AU104=2),Q407*0.1,
IF(AND(E407="Non-standard control",'Proposed Lighting'!AU104=3),Q407*0.08,
IF('Proposed Lighting'!EF104=0,0,IF('Proposed Lighting'!AU104=1,0,
IF(AND('Data Entry'!$AF$23="ID",'Proposed Lighting'!T104="Lighting controls only"),VLOOKUP(E407,'Proposed Lighting'!$DO$97:$DP$106,2,FALSE),
IF(AND('Data Entry'!$AF$23="OR",'Proposed Lighting'!AU104=3,'Proposed Lighting'!T104="Lighting controls only"),VLOOKUP(E407,'Proposed Lighting'!$DO$127:$DP$134,2,FALSE),0)))))))*J407</f>
        <v>0</v>
      </c>
      <c r="S407" s="646">
        <f>IF(Q407&lt;0.01,0,IF('Proposed Lighting'!AK104&gt;0,'Proposed Lighting'!AK104*'Proposed Lighting'!EF104,0))</f>
        <v>0</v>
      </c>
      <c r="T407" s="647">
        <f t="shared" si="91"/>
        <v>0</v>
      </c>
      <c r="U407" s="648"/>
      <c r="V407" s="646">
        <f t="shared" si="94"/>
        <v>0</v>
      </c>
      <c r="W407" s="646">
        <f t="shared" si="95"/>
        <v>0</v>
      </c>
      <c r="X407" s="646">
        <f t="shared" si="96"/>
        <v>0</v>
      </c>
      <c r="Y407" s="646"/>
      <c r="Z407" s="646"/>
      <c r="AA407" s="646"/>
      <c r="AB407" s="646">
        <f t="shared" si="97"/>
        <v>0</v>
      </c>
      <c r="AC407" s="649" t="str">
        <f t="shared" si="98"/>
        <v/>
      </c>
      <c r="AD407" s="649" t="str">
        <f t="shared" si="99"/>
        <v/>
      </c>
      <c r="AE407" s="649" t="str">
        <f t="shared" si="100"/>
        <v/>
      </c>
      <c r="AF407" s="72"/>
      <c r="AG407" s="644">
        <f>IFERROR(IF($AV407="No",0,IF($AV407="yes",Summary!Q407,"")),"")</f>
        <v>0</v>
      </c>
      <c r="AH407" s="646">
        <f>IFERROR(IF($AV407="No",0,IF($AV407="yes",Summary!R407,"")),"")</f>
        <v>0</v>
      </c>
      <c r="AI407" s="646">
        <f>IFERROR(IF($AV407="No",0,IF($AV407="yes",Summary!S407,"")),"")</f>
        <v>0</v>
      </c>
      <c r="AJ407" s="647">
        <f>IFERROR(IF($AV407="No",0,IF($AV407="yes",Summary!T407,"")),"")</f>
        <v>0</v>
      </c>
      <c r="AK407" s="648">
        <f>IFERROR(IF($AV407="No",0,IF($AV407="yes",Summary!U407,"")),"")</f>
        <v>0</v>
      </c>
      <c r="AL407" s="646">
        <f>IFERROR(IF($AV407="No",0,IF($AV407="yes",Summary!V407,"")),"")</f>
        <v>0</v>
      </c>
      <c r="AM407" s="646">
        <f>IFERROR(IF($AV407="No",0,IF($AV407="yes",Summary!W407,"")),"")</f>
        <v>0</v>
      </c>
      <c r="AN407" s="646">
        <f>IFERROR(IF($AV407="No",0,IF($AV407="yes",Summary!X407,"")),"")</f>
        <v>0</v>
      </c>
      <c r="AO407" s="646">
        <f>IFERROR(IF($AV407="No",0,IF($AV407="yes",Summary!Y407+Z407,"")),"")</f>
        <v>0</v>
      </c>
      <c r="AP407" s="646">
        <f>IFERROR(IF($AV407="No",0,IF($AV407="yes",Summary!AB407,"")),"")</f>
        <v>0</v>
      </c>
      <c r="AQ407" s="649" t="str">
        <f t="shared" si="88"/>
        <v/>
      </c>
      <c r="AR407" s="649" t="str">
        <f t="shared" si="92"/>
        <v/>
      </c>
      <c r="AS407" s="649" t="str">
        <f t="shared" si="89"/>
        <v/>
      </c>
      <c r="AT407" s="641" t="s">
        <v>881</v>
      </c>
      <c r="AV407" t="str">
        <f>IF('Proposed Lighting'!AK104&gt;0,"No","Yes")</f>
        <v>Yes</v>
      </c>
    </row>
    <row r="408" spans="1:48" ht="34.5" customHeight="1" outlineLevel="1">
      <c r="A408" s="641" t="s">
        <v>882</v>
      </c>
      <c r="B408" s="641" t="str">
        <f>IF('Proposed Lighting'!AU105=3,"Commercial-All Com-ExtLight",IF('Proposed Lighting'!AH105&gt;8759,"IPC_8760","Commercial-All Com-IntLight"))</f>
        <v>IPC_8760</v>
      </c>
      <c r="C408" s="641" t="str">
        <f>IF(OR(E408="",E408=0),"No",
IF(AND('Data Entry'!$AF$23="OR",AE408&lt;1),"No",
IF(AND('Data Entry'!$AF$23="ID",E408="Non-standard lighting control system",AD408&lt;1),"No",
IF(AND('Data Entry'!$AF$23="OR",'Proposed Lighting'!F105="Existing LED (Provide Description)",'Proposed Lighting'!AK105=""),"No",
IF('Proposed Lighting'!DD105="Submit Control as Non-Standard","No",
IF(AND('Proposed Lighting'!T105="Non-Standard (Provide Description)",AD408&lt;1),"No",
IF('Proposed Lighting'!AW105&lt;'Proposed Lighting'!AZ105,"No","Yes")))))))</f>
        <v>No</v>
      </c>
      <c r="D408" s="1604">
        <f>'Proposed Lighting'!BQ105-Q408</f>
        <v>0</v>
      </c>
      <c r="E408" s="642" t="str">
        <f>IF('Proposed Lighting'!W105="","",'Proposed Lighting'!W105)</f>
        <v/>
      </c>
      <c r="F408" s="642"/>
      <c r="G408" s="641" t="s">
        <v>786</v>
      </c>
      <c r="H408" s="643">
        <v>10</v>
      </c>
      <c r="I408" s="644">
        <v>1</v>
      </c>
      <c r="J408" s="723">
        <f>IF('Proposed Lighting'!EF105=0,'Proposed Lighting'!AA105,'Proposed Lighting'!EF105)</f>
        <v>0</v>
      </c>
      <c r="K408" s="643" t="str">
        <f>'Proposed Lighting'!CU105</f>
        <v/>
      </c>
      <c r="L408" s="643" t="str">
        <f t="shared" si="90"/>
        <v/>
      </c>
      <c r="M408" s="645">
        <f t="shared" si="93"/>
        <v>0</v>
      </c>
      <c r="N408" s="645"/>
      <c r="O408" s="722">
        <f>IFERROR('Proposed Lighting'!AC105/1000,0)</f>
        <v>0</v>
      </c>
      <c r="P408" s="644">
        <f>'Proposed Lighting'!AV105</f>
        <v>0</v>
      </c>
      <c r="Q408" s="644">
        <f>IF(AND('Proposed Lighting'!T105="Lighting Controls Only",'Data Entry'!$AF$23="OR",'Proposed Lighting'!AU105=2),0,
IF(AND('Proposed Lighting'!T105="Lighting Controls Only",'Data Entry'!$AF$23="OR",'Proposed Lighting'!AU105=3,OR('Proposed Lighting'!W105="ceiling mount",'Proposed Lighting'!W105="wall switch",'Proposed Lighting'!W105="fixture mount (on exisiting equip)",'Proposed Lighting'!W105="daylight harvesting (on existing equip)")),0,
IF('Proposed Lighting'!AF105=1,IF(P408=0,0,J408*O408*(L408*(1-P408))),IF('Proposed Lighting'!AU105=1,0,'Proposed Lighting'!AX105-'Proposed Lighting'!AY105))))</f>
        <v>0</v>
      </c>
      <c r="R408" s="646">
        <f>IF('Proposed Lighting'!T105="Non-standard (provide description",0,
IF(AND(E408="Non-standard control",'Proposed Lighting'!AU105=2),Q408*0.1,
IF(AND(E408="Non-standard control",'Proposed Lighting'!AU105=3),Q408*0.08,
IF('Proposed Lighting'!EF105=0,0,IF('Proposed Lighting'!AU105=1,0,
IF(AND('Data Entry'!$AF$23="ID",'Proposed Lighting'!T105="Lighting controls only"),VLOOKUP(E408,'Proposed Lighting'!$DO$97:$DP$106,2,FALSE),
IF(AND('Data Entry'!$AF$23="OR",'Proposed Lighting'!AU105=3,'Proposed Lighting'!T105="Lighting controls only"),VLOOKUP(E408,'Proposed Lighting'!$DO$127:$DP$134,2,FALSE),0)))))))*J408</f>
        <v>0</v>
      </c>
      <c r="S408" s="646">
        <f>IF(Q408&lt;0.01,0,IF('Proposed Lighting'!AK105&gt;0,'Proposed Lighting'!AK105*'Proposed Lighting'!EF105,0))</f>
        <v>0</v>
      </c>
      <c r="T408" s="647">
        <f t="shared" si="91"/>
        <v>0</v>
      </c>
      <c r="U408" s="648"/>
      <c r="V408" s="646">
        <f t="shared" si="94"/>
        <v>0</v>
      </c>
      <c r="W408" s="646">
        <f t="shared" si="95"/>
        <v>0</v>
      </c>
      <c r="X408" s="646">
        <f t="shared" si="96"/>
        <v>0</v>
      </c>
      <c r="Y408" s="646"/>
      <c r="Z408" s="646"/>
      <c r="AA408" s="646"/>
      <c r="AB408" s="646">
        <f t="shared" si="97"/>
        <v>0</v>
      </c>
      <c r="AC408" s="649" t="str">
        <f t="shared" si="98"/>
        <v/>
      </c>
      <c r="AD408" s="649" t="str">
        <f t="shared" si="99"/>
        <v/>
      </c>
      <c r="AE408" s="649" t="str">
        <f t="shared" si="100"/>
        <v/>
      </c>
      <c r="AF408" s="72"/>
      <c r="AG408" s="644">
        <f>IFERROR(IF($AV408="No",0,IF($AV408="yes",Summary!Q408,"")),"")</f>
        <v>0</v>
      </c>
      <c r="AH408" s="646">
        <f>IFERROR(IF($AV408="No",0,IF($AV408="yes",Summary!R408,"")),"")</f>
        <v>0</v>
      </c>
      <c r="AI408" s="646">
        <f>IFERROR(IF($AV408="No",0,IF($AV408="yes",Summary!S408,"")),"")</f>
        <v>0</v>
      </c>
      <c r="AJ408" s="647">
        <f>IFERROR(IF($AV408="No",0,IF($AV408="yes",Summary!T408,"")),"")</f>
        <v>0</v>
      </c>
      <c r="AK408" s="648">
        <f>IFERROR(IF($AV408="No",0,IF($AV408="yes",Summary!U408,"")),"")</f>
        <v>0</v>
      </c>
      <c r="AL408" s="646">
        <f>IFERROR(IF($AV408="No",0,IF($AV408="yes",Summary!V408,"")),"")</f>
        <v>0</v>
      </c>
      <c r="AM408" s="646">
        <f>IFERROR(IF($AV408="No",0,IF($AV408="yes",Summary!W408,"")),"")</f>
        <v>0</v>
      </c>
      <c r="AN408" s="646">
        <f>IFERROR(IF($AV408="No",0,IF($AV408="yes",Summary!X408,"")),"")</f>
        <v>0</v>
      </c>
      <c r="AO408" s="646">
        <f>IFERROR(IF($AV408="No",0,IF($AV408="yes",Summary!Y408+Z408,"")),"")</f>
        <v>0</v>
      </c>
      <c r="AP408" s="646">
        <f>IFERROR(IF($AV408="No",0,IF($AV408="yes",Summary!AB408,"")),"")</f>
        <v>0</v>
      </c>
      <c r="AQ408" s="649" t="str">
        <f t="shared" si="88"/>
        <v/>
      </c>
      <c r="AR408" s="649" t="str">
        <f t="shared" si="92"/>
        <v/>
      </c>
      <c r="AS408" s="649" t="str">
        <f t="shared" si="89"/>
        <v/>
      </c>
      <c r="AT408" s="641" t="s">
        <v>882</v>
      </c>
      <c r="AV408" t="str">
        <f>IF('Proposed Lighting'!AK105&gt;0,"No","Yes")</f>
        <v>Yes</v>
      </c>
    </row>
    <row r="409" spans="1:48" ht="34.5" customHeight="1" outlineLevel="1">
      <c r="A409" s="641" t="s">
        <v>883</v>
      </c>
      <c r="B409" s="641" t="str">
        <f>IF('Proposed Lighting'!AU106=3,"Commercial-All Com-ExtLight",IF('Proposed Lighting'!AH106&gt;8759,"IPC_8760","Commercial-All Com-IntLight"))</f>
        <v>IPC_8760</v>
      </c>
      <c r="C409" s="641" t="str">
        <f>IF(OR(E409="",E409=0),"No",
IF(AND('Data Entry'!$AF$23="OR",AE409&lt;1),"No",
IF(AND('Data Entry'!$AF$23="ID",E409="Non-standard lighting control system",AD409&lt;1),"No",
IF(AND('Data Entry'!$AF$23="OR",'Proposed Lighting'!F106="Existing LED (Provide Description)",'Proposed Lighting'!AK106=""),"No",
IF('Proposed Lighting'!DD106="Submit Control as Non-Standard","No",
IF(AND('Proposed Lighting'!T106="Non-Standard (Provide Description)",AD409&lt;1),"No",
IF('Proposed Lighting'!AW106&lt;'Proposed Lighting'!AZ106,"No","Yes")))))))</f>
        <v>No</v>
      </c>
      <c r="D409" s="1604">
        <f>'Proposed Lighting'!BQ106-Q409</f>
        <v>0</v>
      </c>
      <c r="E409" s="642" t="str">
        <f>IF('Proposed Lighting'!W106="","",'Proposed Lighting'!W106)</f>
        <v/>
      </c>
      <c r="F409" s="642"/>
      <c r="G409" s="641" t="s">
        <v>786</v>
      </c>
      <c r="H409" s="643">
        <v>10</v>
      </c>
      <c r="I409" s="644">
        <v>1</v>
      </c>
      <c r="J409" s="723">
        <f>IF('Proposed Lighting'!EF106=0,'Proposed Lighting'!AA106,'Proposed Lighting'!EF106)</f>
        <v>0</v>
      </c>
      <c r="K409" s="643" t="str">
        <f>'Proposed Lighting'!CU106</f>
        <v/>
      </c>
      <c r="L409" s="643" t="str">
        <f t="shared" si="90"/>
        <v/>
      </c>
      <c r="M409" s="645">
        <f t="shared" si="93"/>
        <v>0</v>
      </c>
      <c r="N409" s="645"/>
      <c r="O409" s="722">
        <f>IFERROR('Proposed Lighting'!AC106/1000,0)</f>
        <v>0</v>
      </c>
      <c r="P409" s="644">
        <f>'Proposed Lighting'!AV106</f>
        <v>0</v>
      </c>
      <c r="Q409" s="644">
        <f>IF(AND('Proposed Lighting'!T106="Lighting Controls Only",'Data Entry'!$AF$23="OR",'Proposed Lighting'!AU106=2),0,
IF(AND('Proposed Lighting'!T106="Lighting Controls Only",'Data Entry'!$AF$23="OR",'Proposed Lighting'!AU106=3,OR('Proposed Lighting'!W106="ceiling mount",'Proposed Lighting'!W106="wall switch",'Proposed Lighting'!W106="fixture mount (on exisiting equip)",'Proposed Lighting'!W106="daylight harvesting (on existing equip)")),0,
IF('Proposed Lighting'!AF106=1,IF(P409=0,0,J409*O409*(L409*(1-P409))),IF('Proposed Lighting'!AU106=1,0,'Proposed Lighting'!AX106-'Proposed Lighting'!AY106))))</f>
        <v>0</v>
      </c>
      <c r="R409" s="646">
        <f>IF('Proposed Lighting'!T106="Non-standard (provide description",0,
IF(AND(E409="Non-standard control",'Proposed Lighting'!AU106=2),Q409*0.1,
IF(AND(E409="Non-standard control",'Proposed Lighting'!AU106=3),Q409*0.08,
IF('Proposed Lighting'!EF106=0,0,IF('Proposed Lighting'!AU106=1,0,
IF(AND('Data Entry'!$AF$23="ID",'Proposed Lighting'!T106="Lighting controls only"),VLOOKUP(E409,'Proposed Lighting'!$DO$97:$DP$106,2,FALSE),
IF(AND('Data Entry'!$AF$23="OR",'Proposed Lighting'!AU106=3,'Proposed Lighting'!T106="Lighting controls only"),VLOOKUP(E409,'Proposed Lighting'!$DO$127:$DP$134,2,FALSE),0)))))))*J409</f>
        <v>0</v>
      </c>
      <c r="S409" s="646">
        <f>IF(Q409&lt;0.01,0,IF('Proposed Lighting'!AK106&gt;0,'Proposed Lighting'!AK106*'Proposed Lighting'!EF106,0))</f>
        <v>0</v>
      </c>
      <c r="T409" s="647">
        <f t="shared" si="91"/>
        <v>0</v>
      </c>
      <c r="U409" s="648"/>
      <c r="V409" s="646">
        <f t="shared" si="94"/>
        <v>0</v>
      </c>
      <c r="W409" s="646">
        <f t="shared" si="95"/>
        <v>0</v>
      </c>
      <c r="X409" s="646">
        <f t="shared" si="96"/>
        <v>0</v>
      </c>
      <c r="Y409" s="646"/>
      <c r="Z409" s="646"/>
      <c r="AA409" s="646"/>
      <c r="AB409" s="646">
        <f t="shared" si="97"/>
        <v>0</v>
      </c>
      <c r="AC409" s="649" t="str">
        <f t="shared" si="98"/>
        <v/>
      </c>
      <c r="AD409" s="649" t="str">
        <f t="shared" si="99"/>
        <v/>
      </c>
      <c r="AE409" s="649" t="str">
        <f t="shared" si="100"/>
        <v/>
      </c>
      <c r="AF409" s="72"/>
      <c r="AG409" s="644">
        <f>IFERROR(IF($AV409="No",0,IF($AV409="yes",Summary!Q409,"")),"")</f>
        <v>0</v>
      </c>
      <c r="AH409" s="646">
        <f>IFERROR(IF($AV409="No",0,IF($AV409="yes",Summary!R409,"")),"")</f>
        <v>0</v>
      </c>
      <c r="AI409" s="646">
        <f>IFERROR(IF($AV409="No",0,IF($AV409="yes",Summary!S409,"")),"")</f>
        <v>0</v>
      </c>
      <c r="AJ409" s="647">
        <f>IFERROR(IF($AV409="No",0,IF($AV409="yes",Summary!T409,"")),"")</f>
        <v>0</v>
      </c>
      <c r="AK409" s="648">
        <f>IFERROR(IF($AV409="No",0,IF($AV409="yes",Summary!U409,"")),"")</f>
        <v>0</v>
      </c>
      <c r="AL409" s="646">
        <f>IFERROR(IF($AV409="No",0,IF($AV409="yes",Summary!V409,"")),"")</f>
        <v>0</v>
      </c>
      <c r="AM409" s="646">
        <f>IFERROR(IF($AV409="No",0,IF($AV409="yes",Summary!W409,"")),"")</f>
        <v>0</v>
      </c>
      <c r="AN409" s="646">
        <f>IFERROR(IF($AV409="No",0,IF($AV409="yes",Summary!X409,"")),"")</f>
        <v>0</v>
      </c>
      <c r="AO409" s="646">
        <f>IFERROR(IF($AV409="No",0,IF($AV409="yes",Summary!Y409+Z409,"")),"")</f>
        <v>0</v>
      </c>
      <c r="AP409" s="646">
        <f>IFERROR(IF($AV409="No",0,IF($AV409="yes",Summary!AB409,"")),"")</f>
        <v>0</v>
      </c>
      <c r="AQ409" s="649" t="str">
        <f t="shared" si="88"/>
        <v/>
      </c>
      <c r="AR409" s="649" t="str">
        <f t="shared" si="92"/>
        <v/>
      </c>
      <c r="AS409" s="649" t="str">
        <f t="shared" si="89"/>
        <v/>
      </c>
      <c r="AT409" s="641" t="s">
        <v>883</v>
      </c>
      <c r="AV409" t="str">
        <f>IF('Proposed Lighting'!AK106&gt;0,"No","Yes")</f>
        <v>Yes</v>
      </c>
    </row>
    <row r="410" spans="1:48" ht="34.5" customHeight="1" outlineLevel="1">
      <c r="A410" s="641" t="s">
        <v>884</v>
      </c>
      <c r="B410" s="641" t="str">
        <f>IF('Proposed Lighting'!AU107=3,"Commercial-All Com-ExtLight",IF('Proposed Lighting'!AH107&gt;8759,"IPC_8760","Commercial-All Com-IntLight"))</f>
        <v>IPC_8760</v>
      </c>
      <c r="C410" s="641" t="str">
        <f>IF(OR(E410="",E410=0),"No",
IF(AND('Data Entry'!$AF$23="OR",AE410&lt;1),"No",
IF(AND('Data Entry'!$AF$23="ID",E410="Non-standard lighting control system",AD410&lt;1),"No",
IF(AND('Data Entry'!$AF$23="OR",'Proposed Lighting'!F107="Existing LED (Provide Description)",'Proposed Lighting'!AK107=""),"No",
IF('Proposed Lighting'!DD107="Submit Control as Non-Standard","No",
IF(AND('Proposed Lighting'!T107="Non-Standard (Provide Description)",AD410&lt;1),"No",
IF('Proposed Lighting'!AW107&lt;'Proposed Lighting'!AZ107,"No","Yes")))))))</f>
        <v>No</v>
      </c>
      <c r="D410" s="1604">
        <f>'Proposed Lighting'!BQ107-Q410</f>
        <v>0</v>
      </c>
      <c r="E410" s="642" t="str">
        <f>IF('Proposed Lighting'!W107="","",'Proposed Lighting'!W107)</f>
        <v/>
      </c>
      <c r="F410" s="642"/>
      <c r="G410" s="641" t="s">
        <v>786</v>
      </c>
      <c r="H410" s="643">
        <v>10</v>
      </c>
      <c r="I410" s="644">
        <v>1</v>
      </c>
      <c r="J410" s="723">
        <f>IF('Proposed Lighting'!EF107=0,'Proposed Lighting'!AA107,'Proposed Lighting'!EF107)</f>
        <v>0</v>
      </c>
      <c r="K410" s="643" t="str">
        <f>'Proposed Lighting'!CU107</f>
        <v/>
      </c>
      <c r="L410" s="643" t="str">
        <f t="shared" si="90"/>
        <v/>
      </c>
      <c r="M410" s="645">
        <f t="shared" si="93"/>
        <v>0</v>
      </c>
      <c r="N410" s="645"/>
      <c r="O410" s="722">
        <f>IFERROR('Proposed Lighting'!AC107/1000,0)</f>
        <v>0</v>
      </c>
      <c r="P410" s="644">
        <f>'Proposed Lighting'!AV107</f>
        <v>0</v>
      </c>
      <c r="Q410" s="644">
        <f>IF(AND('Proposed Lighting'!T107="Lighting Controls Only",'Data Entry'!$AF$23="OR",'Proposed Lighting'!AU107=2),0,
IF(AND('Proposed Lighting'!T107="Lighting Controls Only",'Data Entry'!$AF$23="OR",'Proposed Lighting'!AU107=3,OR('Proposed Lighting'!W107="ceiling mount",'Proposed Lighting'!W107="wall switch",'Proposed Lighting'!W107="fixture mount (on exisiting equip)",'Proposed Lighting'!W107="daylight harvesting (on existing equip)")),0,
IF('Proposed Lighting'!AF107=1,IF(P410=0,0,J410*O410*(L410*(1-P410))),IF('Proposed Lighting'!AU107=1,0,'Proposed Lighting'!AX107-'Proposed Lighting'!AY107))))</f>
        <v>0</v>
      </c>
      <c r="R410" s="646">
        <f>IF('Proposed Lighting'!T107="Non-standard (provide description",0,
IF(AND(E410="Non-standard control",'Proposed Lighting'!AU107=2),Q410*0.1,
IF(AND(E410="Non-standard control",'Proposed Lighting'!AU107=3),Q410*0.08,
IF('Proposed Lighting'!EF107=0,0,IF('Proposed Lighting'!AU107=1,0,
IF(AND('Data Entry'!$AF$23="ID",'Proposed Lighting'!T107="Lighting controls only"),VLOOKUP(E410,'Proposed Lighting'!$DO$97:$DP$106,2,FALSE),
IF(AND('Data Entry'!$AF$23="OR",'Proposed Lighting'!AU107=3,'Proposed Lighting'!T107="Lighting controls only"),VLOOKUP(E410,'Proposed Lighting'!$DO$127:$DP$134,2,FALSE),0)))))))*J410</f>
        <v>0</v>
      </c>
      <c r="S410" s="646">
        <f>IF(Q410&lt;0.01,0,IF('Proposed Lighting'!AK107&gt;0,'Proposed Lighting'!AK107*'Proposed Lighting'!EF107,0))</f>
        <v>0</v>
      </c>
      <c r="T410" s="647">
        <f t="shared" si="91"/>
        <v>0</v>
      </c>
      <c r="U410" s="648"/>
      <c r="V410" s="646">
        <f t="shared" si="94"/>
        <v>0</v>
      </c>
      <c r="W410" s="646">
        <f t="shared" si="95"/>
        <v>0</v>
      </c>
      <c r="X410" s="646">
        <f t="shared" si="96"/>
        <v>0</v>
      </c>
      <c r="Y410" s="646"/>
      <c r="Z410" s="646"/>
      <c r="AA410" s="646"/>
      <c r="AB410" s="646">
        <f t="shared" si="97"/>
        <v>0</v>
      </c>
      <c r="AC410" s="649" t="str">
        <f t="shared" si="98"/>
        <v/>
      </c>
      <c r="AD410" s="649" t="str">
        <f t="shared" si="99"/>
        <v/>
      </c>
      <c r="AE410" s="649" t="str">
        <f t="shared" si="100"/>
        <v/>
      </c>
      <c r="AF410" s="72"/>
      <c r="AG410" s="644">
        <f>IFERROR(IF($AV410="No",0,IF($AV410="yes",Summary!Q410,"")),"")</f>
        <v>0</v>
      </c>
      <c r="AH410" s="646">
        <f>IFERROR(IF($AV410="No",0,IF($AV410="yes",Summary!R410,"")),"")</f>
        <v>0</v>
      </c>
      <c r="AI410" s="646">
        <f>IFERROR(IF($AV410="No",0,IF($AV410="yes",Summary!S410,"")),"")</f>
        <v>0</v>
      </c>
      <c r="AJ410" s="647">
        <f>IFERROR(IF($AV410="No",0,IF($AV410="yes",Summary!T410,"")),"")</f>
        <v>0</v>
      </c>
      <c r="AK410" s="648">
        <f>IFERROR(IF($AV410="No",0,IF($AV410="yes",Summary!U410,"")),"")</f>
        <v>0</v>
      </c>
      <c r="AL410" s="646">
        <f>IFERROR(IF($AV410="No",0,IF($AV410="yes",Summary!V410,"")),"")</f>
        <v>0</v>
      </c>
      <c r="AM410" s="646">
        <f>IFERROR(IF($AV410="No",0,IF($AV410="yes",Summary!W410,"")),"")</f>
        <v>0</v>
      </c>
      <c r="AN410" s="646">
        <f>IFERROR(IF($AV410="No",0,IF($AV410="yes",Summary!X410,"")),"")</f>
        <v>0</v>
      </c>
      <c r="AO410" s="646">
        <f>IFERROR(IF($AV410="No",0,IF($AV410="yes",Summary!Y410+Z410,"")),"")</f>
        <v>0</v>
      </c>
      <c r="AP410" s="646">
        <f>IFERROR(IF($AV410="No",0,IF($AV410="yes",Summary!AB410,"")),"")</f>
        <v>0</v>
      </c>
      <c r="AQ410" s="649" t="str">
        <f t="shared" si="88"/>
        <v/>
      </c>
      <c r="AR410" s="649" t="str">
        <f t="shared" si="92"/>
        <v/>
      </c>
      <c r="AS410" s="649" t="str">
        <f t="shared" si="89"/>
        <v/>
      </c>
      <c r="AT410" s="641" t="s">
        <v>884</v>
      </c>
      <c r="AV410" t="str">
        <f>IF('Proposed Lighting'!AK107&gt;0,"No","Yes")</f>
        <v>Yes</v>
      </c>
    </row>
    <row r="411" spans="1:48" ht="34.5" customHeight="1" outlineLevel="1">
      <c r="A411" s="641" t="s">
        <v>885</v>
      </c>
      <c r="B411" s="641" t="str">
        <f>IF('Proposed Lighting'!AU108=3,"Commercial-All Com-ExtLight",IF('Proposed Lighting'!AH108&gt;8759,"IPC_8760","Commercial-All Com-IntLight"))</f>
        <v>IPC_8760</v>
      </c>
      <c r="C411" s="641" t="str">
        <f>IF(OR(E411="",E411=0),"No",
IF(AND('Data Entry'!$AF$23="OR",AE411&lt;1),"No",
IF(AND('Data Entry'!$AF$23="ID",E411="Non-standard lighting control system",AD411&lt;1),"No",
IF(AND('Data Entry'!$AF$23="OR",'Proposed Lighting'!F108="Existing LED (Provide Description)",'Proposed Lighting'!AK108=""),"No",
IF('Proposed Lighting'!DD108="Submit Control as Non-Standard","No",
IF(AND('Proposed Lighting'!T108="Non-Standard (Provide Description)",AD411&lt;1),"No",
IF('Proposed Lighting'!AW108&lt;'Proposed Lighting'!AZ108,"No","Yes")))))))</f>
        <v>No</v>
      </c>
      <c r="D411" s="1604">
        <f>'Proposed Lighting'!BQ108-Q411</f>
        <v>0</v>
      </c>
      <c r="E411" s="642" t="str">
        <f>IF('Proposed Lighting'!W108="","",'Proposed Lighting'!W108)</f>
        <v/>
      </c>
      <c r="F411" s="642"/>
      <c r="G411" s="641" t="s">
        <v>786</v>
      </c>
      <c r="H411" s="643">
        <v>10</v>
      </c>
      <c r="I411" s="644">
        <v>1</v>
      </c>
      <c r="J411" s="723">
        <f>IF('Proposed Lighting'!EF108=0,'Proposed Lighting'!AA108,'Proposed Lighting'!EF108)</f>
        <v>0</v>
      </c>
      <c r="K411" s="643" t="str">
        <f>'Proposed Lighting'!CU108</f>
        <v/>
      </c>
      <c r="L411" s="643" t="str">
        <f t="shared" si="90"/>
        <v/>
      </c>
      <c r="M411" s="645">
        <f t="shared" si="93"/>
        <v>0</v>
      </c>
      <c r="N411" s="645"/>
      <c r="O411" s="722">
        <f>IFERROR('Proposed Lighting'!AC108/1000,0)</f>
        <v>0</v>
      </c>
      <c r="P411" s="644">
        <f>'Proposed Lighting'!AV108</f>
        <v>0</v>
      </c>
      <c r="Q411" s="644">
        <f>IF(AND('Proposed Lighting'!T108="Lighting Controls Only",'Data Entry'!$AF$23="OR",'Proposed Lighting'!AU108=2),0,
IF(AND('Proposed Lighting'!T108="Lighting Controls Only",'Data Entry'!$AF$23="OR",'Proposed Lighting'!AU108=3,OR('Proposed Lighting'!W108="ceiling mount",'Proposed Lighting'!W108="wall switch",'Proposed Lighting'!W108="fixture mount (on exisiting equip)",'Proposed Lighting'!W108="daylight harvesting (on existing equip)")),0,
IF('Proposed Lighting'!AF108=1,IF(P411=0,0,J411*O411*(L411*(1-P411))),IF('Proposed Lighting'!AU108=1,0,'Proposed Lighting'!AX108-'Proposed Lighting'!AY108))))</f>
        <v>0</v>
      </c>
      <c r="R411" s="646">
        <f>IF('Proposed Lighting'!T108="Non-standard (provide description",0,
IF(AND(E411="Non-standard control",'Proposed Lighting'!AU108=2),Q411*0.1,
IF(AND(E411="Non-standard control",'Proposed Lighting'!AU108=3),Q411*0.08,
IF('Proposed Lighting'!EF108=0,0,IF('Proposed Lighting'!AU108=1,0,
IF(AND('Data Entry'!$AF$23="ID",'Proposed Lighting'!T108="Lighting controls only"),VLOOKUP(E411,'Proposed Lighting'!$DO$97:$DP$106,2,FALSE),
IF(AND('Data Entry'!$AF$23="OR",'Proposed Lighting'!AU108=3,'Proposed Lighting'!T108="Lighting controls only"),VLOOKUP(E411,'Proposed Lighting'!$DO$127:$DP$134,2,FALSE),0)))))))*J411</f>
        <v>0</v>
      </c>
      <c r="S411" s="646">
        <f>IF(Q411&lt;0.01,0,IF('Proposed Lighting'!AK108&gt;0,'Proposed Lighting'!AK108*'Proposed Lighting'!EF108,0))</f>
        <v>0</v>
      </c>
      <c r="T411" s="647">
        <f t="shared" si="91"/>
        <v>0</v>
      </c>
      <c r="U411" s="648"/>
      <c r="V411" s="646">
        <f t="shared" si="94"/>
        <v>0</v>
      </c>
      <c r="W411" s="646">
        <f t="shared" si="95"/>
        <v>0</v>
      </c>
      <c r="X411" s="646">
        <f t="shared" si="96"/>
        <v>0</v>
      </c>
      <c r="Y411" s="646"/>
      <c r="Z411" s="646"/>
      <c r="AA411" s="646"/>
      <c r="AB411" s="646">
        <f t="shared" si="97"/>
        <v>0</v>
      </c>
      <c r="AC411" s="649" t="str">
        <f t="shared" si="98"/>
        <v/>
      </c>
      <c r="AD411" s="649" t="str">
        <f t="shared" si="99"/>
        <v/>
      </c>
      <c r="AE411" s="649" t="str">
        <f t="shared" si="100"/>
        <v/>
      </c>
      <c r="AF411" s="72"/>
      <c r="AG411" s="644">
        <f>IFERROR(IF($AV411="No",0,IF($AV411="yes",Summary!Q411,"")),"")</f>
        <v>0</v>
      </c>
      <c r="AH411" s="646">
        <f>IFERROR(IF($AV411="No",0,IF($AV411="yes",Summary!R411,"")),"")</f>
        <v>0</v>
      </c>
      <c r="AI411" s="646">
        <f>IFERROR(IF($AV411="No",0,IF($AV411="yes",Summary!S411,"")),"")</f>
        <v>0</v>
      </c>
      <c r="AJ411" s="647">
        <f>IFERROR(IF($AV411="No",0,IF($AV411="yes",Summary!T411,"")),"")</f>
        <v>0</v>
      </c>
      <c r="AK411" s="648">
        <f>IFERROR(IF($AV411="No",0,IF($AV411="yes",Summary!U411,"")),"")</f>
        <v>0</v>
      </c>
      <c r="AL411" s="646">
        <f>IFERROR(IF($AV411="No",0,IF($AV411="yes",Summary!V411,"")),"")</f>
        <v>0</v>
      </c>
      <c r="AM411" s="646">
        <f>IFERROR(IF($AV411="No",0,IF($AV411="yes",Summary!W411,"")),"")</f>
        <v>0</v>
      </c>
      <c r="AN411" s="646">
        <f>IFERROR(IF($AV411="No",0,IF($AV411="yes",Summary!X411,"")),"")</f>
        <v>0</v>
      </c>
      <c r="AO411" s="646">
        <f>IFERROR(IF($AV411="No",0,IF($AV411="yes",Summary!Y411+Z411,"")),"")</f>
        <v>0</v>
      </c>
      <c r="AP411" s="646">
        <f>IFERROR(IF($AV411="No",0,IF($AV411="yes",Summary!AB411,"")),"")</f>
        <v>0</v>
      </c>
      <c r="AQ411" s="649" t="str">
        <f t="shared" si="88"/>
        <v/>
      </c>
      <c r="AR411" s="649" t="str">
        <f t="shared" si="92"/>
        <v/>
      </c>
      <c r="AS411" s="649" t="str">
        <f t="shared" si="89"/>
        <v/>
      </c>
      <c r="AT411" s="641" t="s">
        <v>885</v>
      </c>
      <c r="AV411" t="str">
        <f>IF('Proposed Lighting'!AK108&gt;0,"No","Yes")</f>
        <v>Yes</v>
      </c>
    </row>
    <row r="412" spans="1:48" ht="34.5" customHeight="1" outlineLevel="1">
      <c r="A412" s="641" t="s">
        <v>886</v>
      </c>
      <c r="B412" s="641" t="str">
        <f>IF('Proposed Lighting'!AU109=3,"Commercial-All Com-ExtLight",IF('Proposed Lighting'!AH109&gt;8759,"IPC_8760","Commercial-All Com-IntLight"))</f>
        <v>IPC_8760</v>
      </c>
      <c r="C412" s="641" t="str">
        <f>IF(OR(E412="",E412=0),"No",
IF(AND('Data Entry'!$AF$23="OR",AE412&lt;1),"No",
IF(AND('Data Entry'!$AF$23="ID",E412="Non-standard lighting control system",AD412&lt;1),"No",
IF(AND('Data Entry'!$AF$23="OR",'Proposed Lighting'!F109="Existing LED (Provide Description)",'Proposed Lighting'!AK109=""),"No",
IF('Proposed Lighting'!DD109="Submit Control as Non-Standard","No",
IF(AND('Proposed Lighting'!T109="Non-Standard (Provide Description)",AD412&lt;1),"No",
IF('Proposed Lighting'!AW109&lt;'Proposed Lighting'!AZ109,"No","Yes")))))))</f>
        <v>No</v>
      </c>
      <c r="D412" s="1604">
        <f>'Proposed Lighting'!BQ109-Q412</f>
        <v>0</v>
      </c>
      <c r="E412" s="642" t="str">
        <f>IF('Proposed Lighting'!W109="","",'Proposed Lighting'!W109)</f>
        <v/>
      </c>
      <c r="F412" s="642"/>
      <c r="G412" s="641" t="s">
        <v>786</v>
      </c>
      <c r="H412" s="643">
        <v>10</v>
      </c>
      <c r="I412" s="644">
        <v>1</v>
      </c>
      <c r="J412" s="723">
        <f>IF('Proposed Lighting'!EF109=0,'Proposed Lighting'!AA109,'Proposed Lighting'!EF109)</f>
        <v>0</v>
      </c>
      <c r="K412" s="643" t="str">
        <f>'Proposed Lighting'!CU109</f>
        <v/>
      </c>
      <c r="L412" s="643" t="str">
        <f t="shared" si="90"/>
        <v/>
      </c>
      <c r="M412" s="645">
        <f t="shared" si="93"/>
        <v>0</v>
      </c>
      <c r="N412" s="645"/>
      <c r="O412" s="722">
        <f>IFERROR('Proposed Lighting'!AC109/1000,0)</f>
        <v>0</v>
      </c>
      <c r="P412" s="644">
        <f>'Proposed Lighting'!AV109</f>
        <v>0</v>
      </c>
      <c r="Q412" s="644">
        <f>IF(AND('Proposed Lighting'!T109="Lighting Controls Only",'Data Entry'!$AF$23="OR",'Proposed Lighting'!AU109=2),0,
IF(AND('Proposed Lighting'!T109="Lighting Controls Only",'Data Entry'!$AF$23="OR",'Proposed Lighting'!AU109=3,OR('Proposed Lighting'!W109="ceiling mount",'Proposed Lighting'!W109="wall switch",'Proposed Lighting'!W109="fixture mount (on exisiting equip)",'Proposed Lighting'!W109="daylight harvesting (on existing equip)")),0,
IF('Proposed Lighting'!AF109=1,IF(P412=0,0,J412*O412*(L412*(1-P412))),IF('Proposed Lighting'!AU109=1,0,'Proposed Lighting'!AX109-'Proposed Lighting'!AY109))))</f>
        <v>0</v>
      </c>
      <c r="R412" s="646">
        <f>IF('Proposed Lighting'!T109="Non-standard (provide description",0,
IF(AND(E412="Non-standard control",'Proposed Lighting'!AU109=2),Q412*0.1,
IF(AND(E412="Non-standard control",'Proposed Lighting'!AU109=3),Q412*0.08,
IF('Proposed Lighting'!EF109=0,0,IF('Proposed Lighting'!AU109=1,0,
IF(AND('Data Entry'!$AF$23="ID",'Proposed Lighting'!T109="Lighting controls only"),VLOOKUP(E412,'Proposed Lighting'!$DO$97:$DP$106,2,FALSE),
IF(AND('Data Entry'!$AF$23="OR",'Proposed Lighting'!AU109=3,'Proposed Lighting'!T109="Lighting controls only"),VLOOKUP(E412,'Proposed Lighting'!$DO$127:$DP$134,2,FALSE),0)))))))*J412</f>
        <v>0</v>
      </c>
      <c r="S412" s="646">
        <f>IF(Q412&lt;0.01,0,IF('Proposed Lighting'!AK109&gt;0,'Proposed Lighting'!AK109*'Proposed Lighting'!EF109,0))</f>
        <v>0</v>
      </c>
      <c r="T412" s="647">
        <f t="shared" si="91"/>
        <v>0</v>
      </c>
      <c r="U412" s="648"/>
      <c r="V412" s="646">
        <f t="shared" si="94"/>
        <v>0</v>
      </c>
      <c r="W412" s="646">
        <f t="shared" si="95"/>
        <v>0</v>
      </c>
      <c r="X412" s="646">
        <f t="shared" si="96"/>
        <v>0</v>
      </c>
      <c r="Y412" s="646"/>
      <c r="Z412" s="646"/>
      <c r="AA412" s="646"/>
      <c r="AB412" s="646">
        <f t="shared" si="97"/>
        <v>0</v>
      </c>
      <c r="AC412" s="649" t="str">
        <f t="shared" si="98"/>
        <v/>
      </c>
      <c r="AD412" s="649" t="str">
        <f t="shared" si="99"/>
        <v/>
      </c>
      <c r="AE412" s="649" t="str">
        <f t="shared" si="100"/>
        <v/>
      </c>
      <c r="AF412" s="72"/>
      <c r="AG412" s="644">
        <f>IFERROR(IF($AV412="No",0,IF($AV412="yes",Summary!Q412,"")),"")</f>
        <v>0</v>
      </c>
      <c r="AH412" s="646">
        <f>IFERROR(IF($AV412="No",0,IF($AV412="yes",Summary!R412,"")),"")</f>
        <v>0</v>
      </c>
      <c r="AI412" s="646">
        <f>IFERROR(IF($AV412="No",0,IF($AV412="yes",Summary!S412,"")),"")</f>
        <v>0</v>
      </c>
      <c r="AJ412" s="647">
        <f>IFERROR(IF($AV412="No",0,IF($AV412="yes",Summary!T412,"")),"")</f>
        <v>0</v>
      </c>
      <c r="AK412" s="648">
        <f>IFERROR(IF($AV412="No",0,IF($AV412="yes",Summary!U412,"")),"")</f>
        <v>0</v>
      </c>
      <c r="AL412" s="646">
        <f>IFERROR(IF($AV412="No",0,IF($AV412="yes",Summary!V412,"")),"")</f>
        <v>0</v>
      </c>
      <c r="AM412" s="646">
        <f>IFERROR(IF($AV412="No",0,IF($AV412="yes",Summary!W412,"")),"")</f>
        <v>0</v>
      </c>
      <c r="AN412" s="646">
        <f>IFERROR(IF($AV412="No",0,IF($AV412="yes",Summary!X412,"")),"")</f>
        <v>0</v>
      </c>
      <c r="AO412" s="646">
        <f>IFERROR(IF($AV412="No",0,IF($AV412="yes",Summary!Y412+Z412,"")),"")</f>
        <v>0</v>
      </c>
      <c r="AP412" s="646">
        <f>IFERROR(IF($AV412="No",0,IF($AV412="yes",Summary!AB412,"")),"")</f>
        <v>0</v>
      </c>
      <c r="AQ412" s="649" t="str">
        <f t="shared" si="88"/>
        <v/>
      </c>
      <c r="AR412" s="649" t="str">
        <f t="shared" si="92"/>
        <v/>
      </c>
      <c r="AS412" s="649" t="str">
        <f t="shared" si="89"/>
        <v/>
      </c>
      <c r="AT412" s="641" t="s">
        <v>886</v>
      </c>
      <c r="AV412" t="str">
        <f>IF('Proposed Lighting'!AK109&gt;0,"No","Yes")</f>
        <v>Yes</v>
      </c>
    </row>
    <row r="413" spans="1:48" ht="34.5" customHeight="1" outlineLevel="1">
      <c r="A413" s="641" t="s">
        <v>887</v>
      </c>
      <c r="B413" s="641" t="str">
        <f>IF('Proposed Lighting'!AU110=3,"Commercial-All Com-ExtLight",IF('Proposed Lighting'!AH110&gt;8759,"IPC_8760","Commercial-All Com-IntLight"))</f>
        <v>IPC_8760</v>
      </c>
      <c r="C413" s="641" t="str">
        <f>IF(OR(E413="",E413=0),"No",
IF(AND('Data Entry'!$AF$23="OR",AE413&lt;1),"No",
IF(AND('Data Entry'!$AF$23="ID",E413="Non-standard lighting control system",AD413&lt;1),"No",
IF(AND('Data Entry'!$AF$23="OR",'Proposed Lighting'!F110="Existing LED (Provide Description)",'Proposed Lighting'!AK110=""),"No",
IF('Proposed Lighting'!DD110="Submit Control as Non-Standard","No",
IF(AND('Proposed Lighting'!T110="Non-Standard (Provide Description)",AD413&lt;1),"No",
IF('Proposed Lighting'!AW110&lt;'Proposed Lighting'!AZ110,"No","Yes")))))))</f>
        <v>No</v>
      </c>
      <c r="D413" s="1604">
        <f>'Proposed Lighting'!BQ110-Q413</f>
        <v>0</v>
      </c>
      <c r="E413" s="642" t="str">
        <f>IF('Proposed Lighting'!W110="","",'Proposed Lighting'!W110)</f>
        <v/>
      </c>
      <c r="F413" s="642"/>
      <c r="G413" s="641" t="s">
        <v>786</v>
      </c>
      <c r="H413" s="643">
        <v>10</v>
      </c>
      <c r="I413" s="644">
        <v>1</v>
      </c>
      <c r="J413" s="723">
        <f>IF('Proposed Lighting'!EF110=0,'Proposed Lighting'!AA110,'Proposed Lighting'!EF110)</f>
        <v>0</v>
      </c>
      <c r="K413" s="643" t="str">
        <f>'Proposed Lighting'!CU110</f>
        <v/>
      </c>
      <c r="L413" s="643" t="str">
        <f t="shared" si="90"/>
        <v/>
      </c>
      <c r="M413" s="645">
        <f t="shared" si="93"/>
        <v>0</v>
      </c>
      <c r="N413" s="645"/>
      <c r="O413" s="722">
        <f>IFERROR('Proposed Lighting'!AC110/1000,0)</f>
        <v>0</v>
      </c>
      <c r="P413" s="644">
        <f>'Proposed Lighting'!AV110</f>
        <v>0</v>
      </c>
      <c r="Q413" s="644">
        <f>IF(AND('Proposed Lighting'!T110="Lighting Controls Only",'Data Entry'!$AF$23="OR",'Proposed Lighting'!AU110=2),0,
IF(AND('Proposed Lighting'!T110="Lighting Controls Only",'Data Entry'!$AF$23="OR",'Proposed Lighting'!AU110=3,OR('Proposed Lighting'!W110="ceiling mount",'Proposed Lighting'!W110="wall switch",'Proposed Lighting'!W110="fixture mount (on exisiting equip)",'Proposed Lighting'!W110="daylight harvesting (on existing equip)")),0,
IF('Proposed Lighting'!AF110=1,IF(P413=0,0,J413*O413*(L413*(1-P413))),IF('Proposed Lighting'!AU110=1,0,'Proposed Lighting'!AX110-'Proposed Lighting'!AY110))))</f>
        <v>0</v>
      </c>
      <c r="R413" s="646">
        <f>IF('Proposed Lighting'!T110="Non-standard (provide description",0,
IF(AND(E413="Non-standard control",'Proposed Lighting'!AU110=2),Q413*0.1,
IF(AND(E413="Non-standard control",'Proposed Lighting'!AU110=3),Q413*0.08,
IF('Proposed Lighting'!EF110=0,0,IF('Proposed Lighting'!AU110=1,0,
IF(AND('Data Entry'!$AF$23="ID",'Proposed Lighting'!T110="Lighting controls only"),VLOOKUP(E413,'Proposed Lighting'!$DO$97:$DP$106,2,FALSE),
IF(AND('Data Entry'!$AF$23="OR",'Proposed Lighting'!AU110=3,'Proposed Lighting'!T110="Lighting controls only"),VLOOKUP(E413,'Proposed Lighting'!$DO$127:$DP$134,2,FALSE),0)))))))*J413</f>
        <v>0</v>
      </c>
      <c r="S413" s="646">
        <f>IF(Q413&lt;0.01,0,IF('Proposed Lighting'!AK110&gt;0,'Proposed Lighting'!AK110*'Proposed Lighting'!EF110,0))</f>
        <v>0</v>
      </c>
      <c r="T413" s="647">
        <f t="shared" si="91"/>
        <v>0</v>
      </c>
      <c r="U413" s="648"/>
      <c r="V413" s="646">
        <f t="shared" si="94"/>
        <v>0</v>
      </c>
      <c r="W413" s="646">
        <f t="shared" si="95"/>
        <v>0</v>
      </c>
      <c r="X413" s="646">
        <f t="shared" si="96"/>
        <v>0</v>
      </c>
      <c r="Y413" s="646"/>
      <c r="Z413" s="646"/>
      <c r="AA413" s="646"/>
      <c r="AB413" s="646">
        <f t="shared" si="97"/>
        <v>0</v>
      </c>
      <c r="AC413" s="649" t="str">
        <f t="shared" si="98"/>
        <v/>
      </c>
      <c r="AD413" s="649" t="str">
        <f t="shared" si="99"/>
        <v/>
      </c>
      <c r="AE413" s="649" t="str">
        <f t="shared" si="100"/>
        <v/>
      </c>
      <c r="AF413" s="72"/>
      <c r="AG413" s="644">
        <f>IFERROR(IF($AV413="No",0,IF($AV413="yes",Summary!Q413,"")),"")</f>
        <v>0</v>
      </c>
      <c r="AH413" s="646">
        <f>IFERROR(IF($AV413="No",0,IF($AV413="yes",Summary!R413,"")),"")</f>
        <v>0</v>
      </c>
      <c r="AI413" s="646">
        <f>IFERROR(IF($AV413="No",0,IF($AV413="yes",Summary!S413,"")),"")</f>
        <v>0</v>
      </c>
      <c r="AJ413" s="647">
        <f>IFERROR(IF($AV413="No",0,IF($AV413="yes",Summary!T413,"")),"")</f>
        <v>0</v>
      </c>
      <c r="AK413" s="648">
        <f>IFERROR(IF($AV413="No",0,IF($AV413="yes",Summary!U413,"")),"")</f>
        <v>0</v>
      </c>
      <c r="AL413" s="646">
        <f>IFERROR(IF($AV413="No",0,IF($AV413="yes",Summary!V413,"")),"")</f>
        <v>0</v>
      </c>
      <c r="AM413" s="646">
        <f>IFERROR(IF($AV413="No",0,IF($AV413="yes",Summary!W413,"")),"")</f>
        <v>0</v>
      </c>
      <c r="AN413" s="646">
        <f>IFERROR(IF($AV413="No",0,IF($AV413="yes",Summary!X413,"")),"")</f>
        <v>0</v>
      </c>
      <c r="AO413" s="646">
        <f>IFERROR(IF($AV413="No",0,IF($AV413="yes",Summary!Y413+Z413,"")),"")</f>
        <v>0</v>
      </c>
      <c r="AP413" s="646">
        <f>IFERROR(IF($AV413="No",0,IF($AV413="yes",Summary!AB413,"")),"")</f>
        <v>0</v>
      </c>
      <c r="AQ413" s="649" t="str">
        <f t="shared" si="88"/>
        <v/>
      </c>
      <c r="AR413" s="649" t="str">
        <f t="shared" si="92"/>
        <v/>
      </c>
      <c r="AS413" s="649" t="str">
        <f t="shared" si="89"/>
        <v/>
      </c>
      <c r="AT413" s="641" t="s">
        <v>887</v>
      </c>
      <c r="AV413" t="str">
        <f>IF('Proposed Lighting'!AK110&gt;0,"No","Yes")</f>
        <v>Yes</v>
      </c>
    </row>
    <row r="414" spans="1:48" ht="34.5" customHeight="1" outlineLevel="1">
      <c r="A414" s="641" t="s">
        <v>888</v>
      </c>
      <c r="B414" s="641" t="str">
        <f>IF('Proposed Lighting'!AU111=3,"Commercial-All Com-ExtLight",IF('Proposed Lighting'!AH111&gt;8759,"IPC_8760","Commercial-All Com-IntLight"))</f>
        <v>IPC_8760</v>
      </c>
      <c r="C414" s="641" t="str">
        <f>IF(OR(E414="",E414=0),"No",
IF(AND('Data Entry'!$AF$23="OR",AE414&lt;1),"No",
IF(AND('Data Entry'!$AF$23="ID",E414="Non-standard lighting control system",AD414&lt;1),"No",
IF(AND('Data Entry'!$AF$23="OR",'Proposed Lighting'!F111="Existing LED (Provide Description)",'Proposed Lighting'!AK111=""),"No",
IF('Proposed Lighting'!DD111="Submit Control as Non-Standard","No",
IF(AND('Proposed Lighting'!T111="Non-Standard (Provide Description)",AD414&lt;1),"No",
IF('Proposed Lighting'!AW111&lt;'Proposed Lighting'!AZ111,"No","Yes")))))))</f>
        <v>No</v>
      </c>
      <c r="D414" s="1604">
        <f>'Proposed Lighting'!BQ111-Q414</f>
        <v>0</v>
      </c>
      <c r="E414" s="642" t="str">
        <f>IF('Proposed Lighting'!W111="","",'Proposed Lighting'!W111)</f>
        <v/>
      </c>
      <c r="F414" s="642"/>
      <c r="G414" s="641" t="s">
        <v>786</v>
      </c>
      <c r="H414" s="643">
        <v>10</v>
      </c>
      <c r="I414" s="644">
        <v>1</v>
      </c>
      <c r="J414" s="723">
        <f>IF('Proposed Lighting'!EF111=0,'Proposed Lighting'!AA111,'Proposed Lighting'!EF111)</f>
        <v>0</v>
      </c>
      <c r="K414" s="643" t="str">
        <f>'Proposed Lighting'!CU111</f>
        <v/>
      </c>
      <c r="L414" s="643" t="str">
        <f t="shared" si="90"/>
        <v/>
      </c>
      <c r="M414" s="645">
        <f t="shared" si="93"/>
        <v>0</v>
      </c>
      <c r="N414" s="645"/>
      <c r="O414" s="722">
        <f>IFERROR('Proposed Lighting'!AC111/1000,0)</f>
        <v>0</v>
      </c>
      <c r="P414" s="644">
        <f>'Proposed Lighting'!AV111</f>
        <v>0</v>
      </c>
      <c r="Q414" s="644">
        <f>IF(AND('Proposed Lighting'!T111="Lighting Controls Only",'Data Entry'!$AF$23="OR",'Proposed Lighting'!AU111=2),0,
IF(AND('Proposed Lighting'!T111="Lighting Controls Only",'Data Entry'!$AF$23="OR",'Proposed Lighting'!AU111=3,OR('Proposed Lighting'!W111="ceiling mount",'Proposed Lighting'!W111="wall switch",'Proposed Lighting'!W111="fixture mount (on exisiting equip)",'Proposed Lighting'!W111="daylight harvesting (on existing equip)")),0,
IF('Proposed Lighting'!AF111=1,IF(P414=0,0,J414*O414*(L414*(1-P414))),IF('Proposed Lighting'!AU111=1,0,'Proposed Lighting'!AX111-'Proposed Lighting'!AY111))))</f>
        <v>0</v>
      </c>
      <c r="R414" s="646">
        <f>IF('Proposed Lighting'!T111="Non-standard (provide description",0,
IF(AND(E414="Non-standard control",'Proposed Lighting'!AU111=2),Q414*0.1,
IF(AND(E414="Non-standard control",'Proposed Lighting'!AU111=3),Q414*0.08,
IF('Proposed Lighting'!EF111=0,0,IF('Proposed Lighting'!AU111=1,0,
IF(AND('Data Entry'!$AF$23="ID",'Proposed Lighting'!T111="Lighting controls only"),VLOOKUP(E414,'Proposed Lighting'!$DO$97:$DP$106,2,FALSE),
IF(AND('Data Entry'!$AF$23="OR",'Proposed Lighting'!AU111=3,'Proposed Lighting'!T111="Lighting controls only"),VLOOKUP(E414,'Proposed Lighting'!$DO$127:$DP$134,2,FALSE),0)))))))*J414</f>
        <v>0</v>
      </c>
      <c r="S414" s="646">
        <f>IF(Q414&lt;0.01,0,IF('Proposed Lighting'!AK111&gt;0,'Proposed Lighting'!AK111*'Proposed Lighting'!EF111,0))</f>
        <v>0</v>
      </c>
      <c r="T414" s="647">
        <f t="shared" si="91"/>
        <v>0</v>
      </c>
      <c r="U414" s="648"/>
      <c r="V414" s="646">
        <f t="shared" si="94"/>
        <v>0</v>
      </c>
      <c r="W414" s="646">
        <f t="shared" si="95"/>
        <v>0</v>
      </c>
      <c r="X414" s="646">
        <f t="shared" si="96"/>
        <v>0</v>
      </c>
      <c r="Y414" s="646"/>
      <c r="Z414" s="646"/>
      <c r="AA414" s="646"/>
      <c r="AB414" s="646">
        <f t="shared" si="97"/>
        <v>0</v>
      </c>
      <c r="AC414" s="649" t="str">
        <f t="shared" si="98"/>
        <v/>
      </c>
      <c r="AD414" s="649" t="str">
        <f t="shared" si="99"/>
        <v/>
      </c>
      <c r="AE414" s="649" t="str">
        <f t="shared" si="100"/>
        <v/>
      </c>
      <c r="AF414" s="72"/>
      <c r="AG414" s="644">
        <f>IFERROR(IF($AV414="No",0,IF($AV414="yes",Summary!Q414,"")),"")</f>
        <v>0</v>
      </c>
      <c r="AH414" s="646">
        <f>IFERROR(IF($AV414="No",0,IF($AV414="yes",Summary!R414,"")),"")</f>
        <v>0</v>
      </c>
      <c r="AI414" s="646">
        <f>IFERROR(IF($AV414="No",0,IF($AV414="yes",Summary!S414,"")),"")</f>
        <v>0</v>
      </c>
      <c r="AJ414" s="647">
        <f>IFERROR(IF($AV414="No",0,IF($AV414="yes",Summary!T414,"")),"")</f>
        <v>0</v>
      </c>
      <c r="AK414" s="648">
        <f>IFERROR(IF($AV414="No",0,IF($AV414="yes",Summary!U414,"")),"")</f>
        <v>0</v>
      </c>
      <c r="AL414" s="646">
        <f>IFERROR(IF($AV414="No",0,IF($AV414="yes",Summary!V414,"")),"")</f>
        <v>0</v>
      </c>
      <c r="AM414" s="646">
        <f>IFERROR(IF($AV414="No",0,IF($AV414="yes",Summary!W414,"")),"")</f>
        <v>0</v>
      </c>
      <c r="AN414" s="646">
        <f>IFERROR(IF($AV414="No",0,IF($AV414="yes",Summary!X414,"")),"")</f>
        <v>0</v>
      </c>
      <c r="AO414" s="646">
        <f>IFERROR(IF($AV414="No",0,IF($AV414="yes",Summary!Y414+Z414,"")),"")</f>
        <v>0</v>
      </c>
      <c r="AP414" s="646">
        <f>IFERROR(IF($AV414="No",0,IF($AV414="yes",Summary!AB414,"")),"")</f>
        <v>0</v>
      </c>
      <c r="AQ414" s="649" t="str">
        <f t="shared" si="88"/>
        <v/>
      </c>
      <c r="AR414" s="649" t="str">
        <f t="shared" si="92"/>
        <v/>
      </c>
      <c r="AS414" s="649" t="str">
        <f t="shared" si="89"/>
        <v/>
      </c>
      <c r="AT414" s="641" t="s">
        <v>888</v>
      </c>
      <c r="AV414" t="str">
        <f>IF('Proposed Lighting'!AK111&gt;0,"No","Yes")</f>
        <v>Yes</v>
      </c>
    </row>
    <row r="415" spans="1:48" ht="34.5" customHeight="1" outlineLevel="1">
      <c r="A415" s="641" t="s">
        <v>889</v>
      </c>
      <c r="B415" s="641" t="str">
        <f>IF('Proposed Lighting'!AU112=3,"Commercial-All Com-ExtLight",IF('Proposed Lighting'!AH112&gt;8759,"IPC_8760","Commercial-All Com-IntLight"))</f>
        <v>IPC_8760</v>
      </c>
      <c r="C415" s="641" t="str">
        <f>IF(OR(E415="",E415=0),"No",
IF(AND('Data Entry'!$AF$23="OR",AE415&lt;1),"No",
IF(AND('Data Entry'!$AF$23="ID",E415="Non-standard lighting control system",AD415&lt;1),"No",
IF(AND('Data Entry'!$AF$23="OR",'Proposed Lighting'!F112="Existing LED (Provide Description)",'Proposed Lighting'!AK112=""),"No",
IF('Proposed Lighting'!DD112="Submit Control as Non-Standard","No",
IF(AND('Proposed Lighting'!T112="Non-Standard (Provide Description)",AD415&lt;1),"No",
IF('Proposed Lighting'!AW112&lt;'Proposed Lighting'!AZ112,"No","Yes")))))))</f>
        <v>No</v>
      </c>
      <c r="D415" s="1604">
        <f>'Proposed Lighting'!BQ112-Q415</f>
        <v>0</v>
      </c>
      <c r="E415" s="642" t="str">
        <f>IF('Proposed Lighting'!W112="","",'Proposed Lighting'!W112)</f>
        <v/>
      </c>
      <c r="F415" s="642"/>
      <c r="G415" s="641" t="s">
        <v>786</v>
      </c>
      <c r="H415" s="643">
        <v>10</v>
      </c>
      <c r="I415" s="644">
        <v>1</v>
      </c>
      <c r="J415" s="723">
        <f>IF('Proposed Lighting'!EF112=0,'Proposed Lighting'!AA112,'Proposed Lighting'!EF112)</f>
        <v>0</v>
      </c>
      <c r="K415" s="643" t="str">
        <f>'Proposed Lighting'!CU112</f>
        <v/>
      </c>
      <c r="L415" s="643" t="str">
        <f t="shared" si="90"/>
        <v/>
      </c>
      <c r="M415" s="645">
        <f t="shared" si="93"/>
        <v>0</v>
      </c>
      <c r="N415" s="645"/>
      <c r="O415" s="722">
        <f>IFERROR('Proposed Lighting'!AC112/1000,0)</f>
        <v>0</v>
      </c>
      <c r="P415" s="644">
        <f>'Proposed Lighting'!AV112</f>
        <v>0</v>
      </c>
      <c r="Q415" s="644">
        <f>IF(AND('Proposed Lighting'!T112="Lighting Controls Only",'Data Entry'!$AF$23="OR",'Proposed Lighting'!AU112=2),0,
IF(AND('Proposed Lighting'!T112="Lighting Controls Only",'Data Entry'!$AF$23="OR",'Proposed Lighting'!AU112=3,OR('Proposed Lighting'!W112="ceiling mount",'Proposed Lighting'!W112="wall switch",'Proposed Lighting'!W112="fixture mount (on exisiting equip)",'Proposed Lighting'!W112="daylight harvesting (on existing equip)")),0,
IF('Proposed Lighting'!AF112=1,IF(P415=0,0,J415*O415*(L415*(1-P415))),IF('Proposed Lighting'!AU112=1,0,'Proposed Lighting'!AX112-'Proposed Lighting'!AY112))))</f>
        <v>0</v>
      </c>
      <c r="R415" s="646">
        <f>IF('Proposed Lighting'!T112="Non-standard (provide description",0,
IF(AND(E415="Non-standard control",'Proposed Lighting'!AU112=2),Q415*0.1,
IF(AND(E415="Non-standard control",'Proposed Lighting'!AU112=3),Q415*0.08,
IF('Proposed Lighting'!EF112=0,0,IF('Proposed Lighting'!AU112=1,0,
IF(AND('Data Entry'!$AF$23="ID",'Proposed Lighting'!T112="Lighting controls only"),VLOOKUP(E415,'Proposed Lighting'!$DO$97:$DP$106,2,FALSE),
IF(AND('Data Entry'!$AF$23="OR",'Proposed Lighting'!AU112=3,'Proposed Lighting'!T112="Lighting controls only"),VLOOKUP(E415,'Proposed Lighting'!$DO$127:$DP$134,2,FALSE),0)))))))*J415</f>
        <v>0</v>
      </c>
      <c r="S415" s="646">
        <f>IF(Q415&lt;0.01,0,IF('Proposed Lighting'!AK112&gt;0,'Proposed Lighting'!AK112*'Proposed Lighting'!EF112,0))</f>
        <v>0</v>
      </c>
      <c r="T415" s="647">
        <f t="shared" si="91"/>
        <v>0</v>
      </c>
      <c r="U415" s="648"/>
      <c r="V415" s="646">
        <f t="shared" si="94"/>
        <v>0</v>
      </c>
      <c r="W415" s="646">
        <f t="shared" si="95"/>
        <v>0</v>
      </c>
      <c r="X415" s="646">
        <f t="shared" si="96"/>
        <v>0</v>
      </c>
      <c r="Y415" s="646"/>
      <c r="Z415" s="646"/>
      <c r="AA415" s="646"/>
      <c r="AB415" s="646">
        <f t="shared" si="97"/>
        <v>0</v>
      </c>
      <c r="AC415" s="649" t="str">
        <f t="shared" si="98"/>
        <v/>
      </c>
      <c r="AD415" s="649" t="str">
        <f t="shared" si="99"/>
        <v/>
      </c>
      <c r="AE415" s="649" t="str">
        <f t="shared" si="100"/>
        <v/>
      </c>
      <c r="AF415" s="72"/>
      <c r="AG415" s="644">
        <f>IFERROR(IF($AV415="No",0,IF($AV415="yes",Summary!Q415,"")),"")</f>
        <v>0</v>
      </c>
      <c r="AH415" s="646">
        <f>IFERROR(IF($AV415="No",0,IF($AV415="yes",Summary!R415,"")),"")</f>
        <v>0</v>
      </c>
      <c r="AI415" s="646">
        <f>IFERROR(IF($AV415="No",0,IF($AV415="yes",Summary!S415,"")),"")</f>
        <v>0</v>
      </c>
      <c r="AJ415" s="647">
        <f>IFERROR(IF($AV415="No",0,IF($AV415="yes",Summary!T415,"")),"")</f>
        <v>0</v>
      </c>
      <c r="AK415" s="648">
        <f>IFERROR(IF($AV415="No",0,IF($AV415="yes",Summary!U415,"")),"")</f>
        <v>0</v>
      </c>
      <c r="AL415" s="646">
        <f>IFERROR(IF($AV415="No",0,IF($AV415="yes",Summary!V415,"")),"")</f>
        <v>0</v>
      </c>
      <c r="AM415" s="646">
        <f>IFERROR(IF($AV415="No",0,IF($AV415="yes",Summary!W415,"")),"")</f>
        <v>0</v>
      </c>
      <c r="AN415" s="646">
        <f>IFERROR(IF($AV415="No",0,IF($AV415="yes",Summary!X415,"")),"")</f>
        <v>0</v>
      </c>
      <c r="AO415" s="646">
        <f>IFERROR(IF($AV415="No",0,IF($AV415="yes",Summary!Y415+Z415,"")),"")</f>
        <v>0</v>
      </c>
      <c r="AP415" s="646">
        <f>IFERROR(IF($AV415="No",0,IF($AV415="yes",Summary!AB415,"")),"")</f>
        <v>0</v>
      </c>
      <c r="AQ415" s="649" t="str">
        <f t="shared" si="88"/>
        <v/>
      </c>
      <c r="AR415" s="649" t="str">
        <f t="shared" si="92"/>
        <v/>
      </c>
      <c r="AS415" s="649" t="str">
        <f t="shared" si="89"/>
        <v/>
      </c>
      <c r="AT415" s="641" t="s">
        <v>889</v>
      </c>
      <c r="AV415" t="str">
        <f>IF('Proposed Lighting'!AK112&gt;0,"No","Yes")</f>
        <v>Yes</v>
      </c>
    </row>
    <row r="416" spans="1:48" ht="34.5" customHeight="1" outlineLevel="1">
      <c r="A416" s="641" t="s">
        <v>890</v>
      </c>
      <c r="B416" s="641" t="str">
        <f>IF('Proposed Lighting'!AU113=3,"Commercial-All Com-ExtLight",IF('Proposed Lighting'!AH113&gt;8759,"IPC_8760","Commercial-All Com-IntLight"))</f>
        <v>IPC_8760</v>
      </c>
      <c r="C416" s="641" t="str">
        <f>IF(OR(E416="",E416=0),"No",
IF(AND('Data Entry'!$AF$23="OR",AE416&lt;1),"No",
IF(AND('Data Entry'!$AF$23="ID",E416="Non-standard lighting control system",AD416&lt;1),"No",
IF(AND('Data Entry'!$AF$23="OR",'Proposed Lighting'!F113="Existing LED (Provide Description)",'Proposed Lighting'!AK113=""),"No",
IF('Proposed Lighting'!DD113="Submit Control as Non-Standard","No",
IF(AND('Proposed Lighting'!T113="Non-Standard (Provide Description)",AD416&lt;1),"No",
IF('Proposed Lighting'!AW113&lt;'Proposed Lighting'!AZ113,"No","Yes")))))))</f>
        <v>No</v>
      </c>
      <c r="D416" s="1604">
        <f>'Proposed Lighting'!BQ113-Q416</f>
        <v>0</v>
      </c>
      <c r="E416" s="642" t="str">
        <f>IF('Proposed Lighting'!W113="","",'Proposed Lighting'!W113)</f>
        <v/>
      </c>
      <c r="F416" s="642"/>
      <c r="G416" s="641" t="s">
        <v>786</v>
      </c>
      <c r="H416" s="643">
        <v>10</v>
      </c>
      <c r="I416" s="644">
        <v>1</v>
      </c>
      <c r="J416" s="723">
        <f>IF('Proposed Lighting'!EF113=0,'Proposed Lighting'!AA113,'Proposed Lighting'!EF113)</f>
        <v>0</v>
      </c>
      <c r="K416" s="643" t="str">
        <f>'Proposed Lighting'!CU113</f>
        <v/>
      </c>
      <c r="L416" s="643" t="str">
        <f t="shared" si="90"/>
        <v/>
      </c>
      <c r="M416" s="645">
        <f t="shared" si="93"/>
        <v>0</v>
      </c>
      <c r="N416" s="645"/>
      <c r="O416" s="722">
        <f>IFERROR('Proposed Lighting'!AC113/1000,0)</f>
        <v>0</v>
      </c>
      <c r="P416" s="644">
        <f>'Proposed Lighting'!AV113</f>
        <v>0</v>
      </c>
      <c r="Q416" s="644">
        <f>IF(AND('Proposed Lighting'!T113="Lighting Controls Only",'Data Entry'!$AF$23="OR",'Proposed Lighting'!AU113=2),0,
IF(AND('Proposed Lighting'!T113="Lighting Controls Only",'Data Entry'!$AF$23="OR",'Proposed Lighting'!AU113=3,OR('Proposed Lighting'!W113="ceiling mount",'Proposed Lighting'!W113="wall switch",'Proposed Lighting'!W113="fixture mount (on exisiting equip)",'Proposed Lighting'!W113="daylight harvesting (on existing equip)")),0,
IF('Proposed Lighting'!AF113=1,IF(P416=0,0,J416*O416*(L416*(1-P416))),IF('Proposed Lighting'!AU113=1,0,'Proposed Lighting'!AX113-'Proposed Lighting'!AY113))))</f>
        <v>0</v>
      </c>
      <c r="R416" s="646">
        <f>IF('Proposed Lighting'!T113="Non-standard (provide description",0,
IF(AND(E416="Non-standard control",'Proposed Lighting'!AU113=2),Q416*0.1,
IF(AND(E416="Non-standard control",'Proposed Lighting'!AU113=3),Q416*0.08,
IF('Proposed Lighting'!EF113=0,0,IF('Proposed Lighting'!AU113=1,0,
IF(AND('Data Entry'!$AF$23="ID",'Proposed Lighting'!T113="Lighting controls only"),VLOOKUP(E416,'Proposed Lighting'!$DO$97:$DP$106,2,FALSE),
IF(AND('Data Entry'!$AF$23="OR",'Proposed Lighting'!AU113=3,'Proposed Lighting'!T113="Lighting controls only"),VLOOKUP(E416,'Proposed Lighting'!$DO$127:$DP$134,2,FALSE),0)))))))*J416</f>
        <v>0</v>
      </c>
      <c r="S416" s="646">
        <f>IF(Q416&lt;0.01,0,IF('Proposed Lighting'!AK113&gt;0,'Proposed Lighting'!AK113*'Proposed Lighting'!EF113,0))</f>
        <v>0</v>
      </c>
      <c r="T416" s="647">
        <f t="shared" si="91"/>
        <v>0</v>
      </c>
      <c r="U416" s="648"/>
      <c r="V416" s="646">
        <f t="shared" si="94"/>
        <v>0</v>
      </c>
      <c r="W416" s="646">
        <f t="shared" si="95"/>
        <v>0</v>
      </c>
      <c r="X416" s="646">
        <f t="shared" si="96"/>
        <v>0</v>
      </c>
      <c r="Y416" s="646"/>
      <c r="Z416" s="646"/>
      <c r="AA416" s="646"/>
      <c r="AB416" s="646">
        <f t="shared" si="97"/>
        <v>0</v>
      </c>
      <c r="AC416" s="649" t="str">
        <f t="shared" si="98"/>
        <v/>
      </c>
      <c r="AD416" s="649" t="str">
        <f t="shared" si="99"/>
        <v/>
      </c>
      <c r="AE416" s="649" t="str">
        <f t="shared" si="100"/>
        <v/>
      </c>
      <c r="AF416" s="72"/>
      <c r="AG416" s="644">
        <f>IFERROR(IF($AV416="No",0,IF($AV416="yes",Summary!Q416,"")),"")</f>
        <v>0</v>
      </c>
      <c r="AH416" s="646">
        <f>IFERROR(IF($AV416="No",0,IF($AV416="yes",Summary!R416,"")),"")</f>
        <v>0</v>
      </c>
      <c r="AI416" s="646">
        <f>IFERROR(IF($AV416="No",0,IF($AV416="yes",Summary!S416,"")),"")</f>
        <v>0</v>
      </c>
      <c r="AJ416" s="647">
        <f>IFERROR(IF($AV416="No",0,IF($AV416="yes",Summary!T416,"")),"")</f>
        <v>0</v>
      </c>
      <c r="AK416" s="648">
        <f>IFERROR(IF($AV416="No",0,IF($AV416="yes",Summary!U416,"")),"")</f>
        <v>0</v>
      </c>
      <c r="AL416" s="646">
        <f>IFERROR(IF($AV416="No",0,IF($AV416="yes",Summary!V416,"")),"")</f>
        <v>0</v>
      </c>
      <c r="AM416" s="646">
        <f>IFERROR(IF($AV416="No",0,IF($AV416="yes",Summary!W416,"")),"")</f>
        <v>0</v>
      </c>
      <c r="AN416" s="646">
        <f>IFERROR(IF($AV416="No",0,IF($AV416="yes",Summary!X416,"")),"")</f>
        <v>0</v>
      </c>
      <c r="AO416" s="646">
        <f>IFERROR(IF($AV416="No",0,IF($AV416="yes",Summary!Y416+Z416,"")),"")</f>
        <v>0</v>
      </c>
      <c r="AP416" s="646">
        <f>IFERROR(IF($AV416="No",0,IF($AV416="yes",Summary!AB416,"")),"")</f>
        <v>0</v>
      </c>
      <c r="AQ416" s="649" t="str">
        <f t="shared" si="88"/>
        <v/>
      </c>
      <c r="AR416" s="649" t="str">
        <f t="shared" si="92"/>
        <v/>
      </c>
      <c r="AS416" s="649" t="str">
        <f t="shared" si="89"/>
        <v/>
      </c>
      <c r="AT416" s="641" t="s">
        <v>890</v>
      </c>
      <c r="AV416" t="str">
        <f>IF('Proposed Lighting'!AK113&gt;0,"No","Yes")</f>
        <v>Yes</v>
      </c>
    </row>
    <row r="417" spans="1:48" ht="34.5" customHeight="1" outlineLevel="1">
      <c r="A417" s="641" t="s">
        <v>891</v>
      </c>
      <c r="B417" s="641" t="str">
        <f>IF('Proposed Lighting'!AU114=3,"Commercial-All Com-ExtLight",IF('Proposed Lighting'!AH114&gt;8759,"IPC_8760","Commercial-All Com-IntLight"))</f>
        <v>IPC_8760</v>
      </c>
      <c r="C417" s="641" t="str">
        <f>IF(OR(E417="",E417=0),"No",
IF(AND('Data Entry'!$AF$23="OR",AE417&lt;1),"No",
IF(AND('Data Entry'!$AF$23="ID",E417="Non-standard lighting control system",AD417&lt;1),"No",
IF(AND('Data Entry'!$AF$23="OR",'Proposed Lighting'!F114="Existing LED (Provide Description)",'Proposed Lighting'!AK114=""),"No",
IF('Proposed Lighting'!DD114="Submit Control as Non-Standard","No",
IF(AND('Proposed Lighting'!T114="Non-Standard (Provide Description)",AD417&lt;1),"No",
IF('Proposed Lighting'!AW114&lt;'Proposed Lighting'!AZ114,"No","Yes")))))))</f>
        <v>No</v>
      </c>
      <c r="D417" s="1604">
        <f>'Proposed Lighting'!BQ114-Q417</f>
        <v>0</v>
      </c>
      <c r="E417" s="642" t="str">
        <f>IF('Proposed Lighting'!W114="","",'Proposed Lighting'!W114)</f>
        <v/>
      </c>
      <c r="F417" s="642"/>
      <c r="G417" s="641" t="s">
        <v>786</v>
      </c>
      <c r="H417" s="643">
        <v>10</v>
      </c>
      <c r="I417" s="644">
        <v>1</v>
      </c>
      <c r="J417" s="723">
        <f>IF('Proposed Lighting'!EF114=0,'Proposed Lighting'!AA114,'Proposed Lighting'!EF114)</f>
        <v>0</v>
      </c>
      <c r="K417" s="643" t="str">
        <f>'Proposed Lighting'!CU114</f>
        <v/>
      </c>
      <c r="L417" s="643" t="str">
        <f t="shared" si="90"/>
        <v/>
      </c>
      <c r="M417" s="645">
        <f t="shared" si="93"/>
        <v>0</v>
      </c>
      <c r="N417" s="645"/>
      <c r="O417" s="722">
        <f>IFERROR('Proposed Lighting'!AC114/1000,0)</f>
        <v>0</v>
      </c>
      <c r="P417" s="644">
        <f>'Proposed Lighting'!AV114</f>
        <v>0</v>
      </c>
      <c r="Q417" s="644">
        <f>IF(AND('Proposed Lighting'!T114="Lighting Controls Only",'Data Entry'!$AF$23="OR",'Proposed Lighting'!AU114=2),0,
IF(AND('Proposed Lighting'!T114="Lighting Controls Only",'Data Entry'!$AF$23="OR",'Proposed Lighting'!AU114=3,OR('Proposed Lighting'!W114="ceiling mount",'Proposed Lighting'!W114="wall switch",'Proposed Lighting'!W114="fixture mount (on exisiting equip)",'Proposed Lighting'!W114="daylight harvesting (on existing equip)")),0,
IF('Proposed Lighting'!AF114=1,IF(P417=0,0,J417*O417*(L417*(1-P417))),IF('Proposed Lighting'!AU114=1,0,'Proposed Lighting'!AX114-'Proposed Lighting'!AY114))))</f>
        <v>0</v>
      </c>
      <c r="R417" s="646">
        <f>IF('Proposed Lighting'!T114="Non-standard (provide description",0,
IF(AND(E417="Non-standard control",'Proposed Lighting'!AU114=2),Q417*0.1,
IF(AND(E417="Non-standard control",'Proposed Lighting'!AU114=3),Q417*0.08,
IF('Proposed Lighting'!EF114=0,0,IF('Proposed Lighting'!AU114=1,0,
IF(AND('Data Entry'!$AF$23="ID",'Proposed Lighting'!T114="Lighting controls only"),VLOOKUP(E417,'Proposed Lighting'!$DO$97:$DP$106,2,FALSE),
IF(AND('Data Entry'!$AF$23="OR",'Proposed Lighting'!AU114=3,'Proposed Lighting'!T114="Lighting controls only"),VLOOKUP(E417,'Proposed Lighting'!$DO$127:$DP$134,2,FALSE),0)))))))*J417</f>
        <v>0</v>
      </c>
      <c r="S417" s="646">
        <f>IF(Q417&lt;0.01,0,IF('Proposed Lighting'!AK114&gt;0,'Proposed Lighting'!AK114*'Proposed Lighting'!EF114,0))</f>
        <v>0</v>
      </c>
      <c r="T417" s="647">
        <f t="shared" si="91"/>
        <v>0</v>
      </c>
      <c r="U417" s="648"/>
      <c r="V417" s="646">
        <f t="shared" si="94"/>
        <v>0</v>
      </c>
      <c r="W417" s="646">
        <f t="shared" si="95"/>
        <v>0</v>
      </c>
      <c r="X417" s="646">
        <f t="shared" si="96"/>
        <v>0</v>
      </c>
      <c r="Y417" s="646"/>
      <c r="Z417" s="646"/>
      <c r="AA417" s="646"/>
      <c r="AB417" s="646">
        <f t="shared" si="97"/>
        <v>0</v>
      </c>
      <c r="AC417" s="649" t="str">
        <f t="shared" si="98"/>
        <v/>
      </c>
      <c r="AD417" s="649" t="str">
        <f t="shared" si="99"/>
        <v/>
      </c>
      <c r="AE417" s="649" t="str">
        <f t="shared" si="100"/>
        <v/>
      </c>
      <c r="AF417" s="72"/>
      <c r="AG417" s="644">
        <f>IFERROR(IF($AV417="No",0,IF($AV417="yes",Summary!Q417,"")),"")</f>
        <v>0</v>
      </c>
      <c r="AH417" s="646">
        <f>IFERROR(IF($AV417="No",0,IF($AV417="yes",Summary!R417,"")),"")</f>
        <v>0</v>
      </c>
      <c r="AI417" s="646">
        <f>IFERROR(IF($AV417="No",0,IF($AV417="yes",Summary!S417,"")),"")</f>
        <v>0</v>
      </c>
      <c r="AJ417" s="647">
        <f>IFERROR(IF($AV417="No",0,IF($AV417="yes",Summary!T417,"")),"")</f>
        <v>0</v>
      </c>
      <c r="AK417" s="648">
        <f>IFERROR(IF($AV417="No",0,IF($AV417="yes",Summary!U417,"")),"")</f>
        <v>0</v>
      </c>
      <c r="AL417" s="646">
        <f>IFERROR(IF($AV417="No",0,IF($AV417="yes",Summary!V417,"")),"")</f>
        <v>0</v>
      </c>
      <c r="AM417" s="646">
        <f>IFERROR(IF($AV417="No",0,IF($AV417="yes",Summary!W417,"")),"")</f>
        <v>0</v>
      </c>
      <c r="AN417" s="646">
        <f>IFERROR(IF($AV417="No",0,IF($AV417="yes",Summary!X417,"")),"")</f>
        <v>0</v>
      </c>
      <c r="AO417" s="646">
        <f>IFERROR(IF($AV417="No",0,IF($AV417="yes",Summary!Y417+Z417,"")),"")</f>
        <v>0</v>
      </c>
      <c r="AP417" s="646">
        <f>IFERROR(IF($AV417="No",0,IF($AV417="yes",Summary!AB417,"")),"")</f>
        <v>0</v>
      </c>
      <c r="AQ417" s="649" t="str">
        <f t="shared" si="88"/>
        <v/>
      </c>
      <c r="AR417" s="649" t="str">
        <f t="shared" si="92"/>
        <v/>
      </c>
      <c r="AS417" s="649" t="str">
        <f t="shared" si="89"/>
        <v/>
      </c>
      <c r="AT417" s="641" t="s">
        <v>891</v>
      </c>
      <c r="AV417" t="str">
        <f>IF('Proposed Lighting'!AK114&gt;0,"No","Yes")</f>
        <v>Yes</v>
      </c>
    </row>
    <row r="418" spans="1:48" ht="34.5" customHeight="1" outlineLevel="1">
      <c r="A418" s="641" t="s">
        <v>892</v>
      </c>
      <c r="B418" s="641" t="str">
        <f>IF('Proposed Lighting'!AU115=3,"Commercial-All Com-ExtLight",IF('Proposed Lighting'!AH115&gt;8759,"IPC_8760","Commercial-All Com-IntLight"))</f>
        <v>IPC_8760</v>
      </c>
      <c r="C418" s="641" t="str">
        <f>IF(OR(E418="",E418=0),"No",
IF(AND('Data Entry'!$AF$23="OR",AE418&lt;1),"No",
IF(AND('Data Entry'!$AF$23="ID",E418="Non-standard lighting control system",AD418&lt;1),"No",
IF(AND('Data Entry'!$AF$23="OR",'Proposed Lighting'!F115="Existing LED (Provide Description)",'Proposed Lighting'!AK115=""),"No",
IF('Proposed Lighting'!DD115="Submit Control as Non-Standard","No",
IF(AND('Proposed Lighting'!T115="Non-Standard (Provide Description)",AD418&lt;1),"No",
IF('Proposed Lighting'!AW115&lt;'Proposed Lighting'!AZ115,"No","Yes")))))))</f>
        <v>No</v>
      </c>
      <c r="D418" s="1604">
        <f>'Proposed Lighting'!BQ115-Q418</f>
        <v>0</v>
      </c>
      <c r="E418" s="642" t="str">
        <f>IF('Proposed Lighting'!W115="","",'Proposed Lighting'!W115)</f>
        <v/>
      </c>
      <c r="F418" s="642"/>
      <c r="G418" s="641" t="s">
        <v>786</v>
      </c>
      <c r="H418" s="643">
        <v>10</v>
      </c>
      <c r="I418" s="644">
        <v>1</v>
      </c>
      <c r="J418" s="723">
        <f>IF('Proposed Lighting'!EF115=0,'Proposed Lighting'!AA115,'Proposed Lighting'!EF115)</f>
        <v>0</v>
      </c>
      <c r="K418" s="643" t="str">
        <f>'Proposed Lighting'!CU115</f>
        <v/>
      </c>
      <c r="L418" s="643" t="str">
        <f t="shared" si="90"/>
        <v/>
      </c>
      <c r="M418" s="645">
        <f t="shared" si="93"/>
        <v>0</v>
      </c>
      <c r="N418" s="645"/>
      <c r="O418" s="722">
        <f>IFERROR('Proposed Lighting'!AC115/1000,0)</f>
        <v>0</v>
      </c>
      <c r="P418" s="644">
        <f>'Proposed Lighting'!AV115</f>
        <v>0</v>
      </c>
      <c r="Q418" s="644">
        <f>IF(AND('Proposed Lighting'!T115="Lighting Controls Only",'Data Entry'!$AF$23="OR",'Proposed Lighting'!AU115=2),0,
IF(AND('Proposed Lighting'!T115="Lighting Controls Only",'Data Entry'!$AF$23="OR",'Proposed Lighting'!AU115=3,OR('Proposed Lighting'!W115="ceiling mount",'Proposed Lighting'!W115="wall switch",'Proposed Lighting'!W115="fixture mount (on exisiting equip)",'Proposed Lighting'!W115="daylight harvesting (on existing equip)")),0,
IF('Proposed Lighting'!AF115=1,IF(P418=0,0,J418*O418*(L418*(1-P418))),IF('Proposed Lighting'!AU115=1,0,'Proposed Lighting'!AX115-'Proposed Lighting'!AY115))))</f>
        <v>0</v>
      </c>
      <c r="R418" s="646">
        <f>IF('Proposed Lighting'!T115="Non-standard (provide description",0,
IF(AND(E418="Non-standard control",'Proposed Lighting'!AU115=2),Q418*0.1,
IF(AND(E418="Non-standard control",'Proposed Lighting'!AU115=3),Q418*0.08,
IF('Proposed Lighting'!EF115=0,0,IF('Proposed Lighting'!AU115=1,0,
IF(AND('Data Entry'!$AF$23="ID",'Proposed Lighting'!T115="Lighting controls only"),VLOOKUP(E418,'Proposed Lighting'!$DO$97:$DP$106,2,FALSE),
IF(AND('Data Entry'!$AF$23="OR",'Proposed Lighting'!AU115=3,'Proposed Lighting'!T115="Lighting controls only"),VLOOKUP(E418,'Proposed Lighting'!$DO$127:$DP$134,2,FALSE),0)))))))*J418</f>
        <v>0</v>
      </c>
      <c r="S418" s="646">
        <f>IF(Q418&lt;0.01,0,IF('Proposed Lighting'!AK115&gt;0,'Proposed Lighting'!AK115*'Proposed Lighting'!EF115,0))</f>
        <v>0</v>
      </c>
      <c r="T418" s="647">
        <f t="shared" si="91"/>
        <v>0</v>
      </c>
      <c r="U418" s="648"/>
      <c r="V418" s="646">
        <f t="shared" si="94"/>
        <v>0</v>
      </c>
      <c r="W418" s="646">
        <f t="shared" si="95"/>
        <v>0</v>
      </c>
      <c r="X418" s="646">
        <f t="shared" si="96"/>
        <v>0</v>
      </c>
      <c r="Y418" s="646"/>
      <c r="Z418" s="646"/>
      <c r="AA418" s="646"/>
      <c r="AB418" s="646">
        <f t="shared" si="97"/>
        <v>0</v>
      </c>
      <c r="AC418" s="649" t="str">
        <f t="shared" si="98"/>
        <v/>
      </c>
      <c r="AD418" s="649" t="str">
        <f t="shared" si="99"/>
        <v/>
      </c>
      <c r="AE418" s="649" t="str">
        <f t="shared" si="100"/>
        <v/>
      </c>
      <c r="AF418" s="72"/>
      <c r="AG418" s="644">
        <f>IFERROR(IF($AV418="No",0,IF($AV418="yes",Summary!Q418,"")),"")</f>
        <v>0</v>
      </c>
      <c r="AH418" s="646">
        <f>IFERROR(IF($AV418="No",0,IF($AV418="yes",Summary!R418,"")),"")</f>
        <v>0</v>
      </c>
      <c r="AI418" s="646">
        <f>IFERROR(IF($AV418="No",0,IF($AV418="yes",Summary!S418,"")),"")</f>
        <v>0</v>
      </c>
      <c r="AJ418" s="647">
        <f>IFERROR(IF($AV418="No",0,IF($AV418="yes",Summary!T418,"")),"")</f>
        <v>0</v>
      </c>
      <c r="AK418" s="648">
        <f>IFERROR(IF($AV418="No",0,IF($AV418="yes",Summary!U418,"")),"")</f>
        <v>0</v>
      </c>
      <c r="AL418" s="646">
        <f>IFERROR(IF($AV418="No",0,IF($AV418="yes",Summary!V418,"")),"")</f>
        <v>0</v>
      </c>
      <c r="AM418" s="646">
        <f>IFERROR(IF($AV418="No",0,IF($AV418="yes",Summary!W418,"")),"")</f>
        <v>0</v>
      </c>
      <c r="AN418" s="646">
        <f>IFERROR(IF($AV418="No",0,IF($AV418="yes",Summary!X418,"")),"")</f>
        <v>0</v>
      </c>
      <c r="AO418" s="646">
        <f>IFERROR(IF($AV418="No",0,IF($AV418="yes",Summary!Y418+Z418,"")),"")</f>
        <v>0</v>
      </c>
      <c r="AP418" s="646">
        <f>IFERROR(IF($AV418="No",0,IF($AV418="yes",Summary!AB418,"")),"")</f>
        <v>0</v>
      </c>
      <c r="AQ418" s="649" t="str">
        <f t="shared" si="88"/>
        <v/>
      </c>
      <c r="AR418" s="649" t="str">
        <f t="shared" si="92"/>
        <v/>
      </c>
      <c r="AS418" s="649" t="str">
        <f t="shared" si="89"/>
        <v/>
      </c>
      <c r="AT418" s="641" t="s">
        <v>892</v>
      </c>
      <c r="AV418" t="str">
        <f>IF('Proposed Lighting'!AK115&gt;0,"No","Yes")</f>
        <v>Yes</v>
      </c>
    </row>
    <row r="419" spans="1:48" ht="34.5" customHeight="1" outlineLevel="1">
      <c r="A419" s="641" t="s">
        <v>893</v>
      </c>
      <c r="B419" s="641" t="str">
        <f>IF('Proposed Lighting'!AU116=3,"Commercial-All Com-ExtLight",IF('Proposed Lighting'!AH116&gt;8759,"IPC_8760","Commercial-All Com-IntLight"))</f>
        <v>IPC_8760</v>
      </c>
      <c r="C419" s="641" t="str">
        <f>IF(OR(E419="",E419=0),"No",
IF(AND('Data Entry'!$AF$23="OR",AE419&lt;1),"No",
IF(AND('Data Entry'!$AF$23="ID",E419="Non-standard lighting control system",AD419&lt;1),"No",
IF(AND('Data Entry'!$AF$23="OR",'Proposed Lighting'!F116="Existing LED (Provide Description)",'Proposed Lighting'!AK116=""),"No",
IF('Proposed Lighting'!DD116="Submit Control as Non-Standard","No",
IF(AND('Proposed Lighting'!T116="Non-Standard (Provide Description)",AD419&lt;1),"No",
IF('Proposed Lighting'!AW116&lt;'Proposed Lighting'!AZ116,"No","Yes")))))))</f>
        <v>No</v>
      </c>
      <c r="D419" s="1604">
        <f>'Proposed Lighting'!BQ116-Q419</f>
        <v>0</v>
      </c>
      <c r="E419" s="642" t="str">
        <f>IF('Proposed Lighting'!W116="","",'Proposed Lighting'!W116)</f>
        <v/>
      </c>
      <c r="F419" s="642"/>
      <c r="G419" s="641" t="s">
        <v>786</v>
      </c>
      <c r="H419" s="643">
        <v>10</v>
      </c>
      <c r="I419" s="644">
        <v>1</v>
      </c>
      <c r="J419" s="723">
        <f>IF('Proposed Lighting'!EF116=0,'Proposed Lighting'!AA116,'Proposed Lighting'!EF116)</f>
        <v>0</v>
      </c>
      <c r="K419" s="643" t="str">
        <f>'Proposed Lighting'!CU116</f>
        <v/>
      </c>
      <c r="L419" s="643" t="str">
        <f t="shared" si="90"/>
        <v/>
      </c>
      <c r="M419" s="645">
        <f t="shared" si="93"/>
        <v>0</v>
      </c>
      <c r="N419" s="645"/>
      <c r="O419" s="722">
        <f>IFERROR('Proposed Lighting'!AC116/1000,0)</f>
        <v>0</v>
      </c>
      <c r="P419" s="644">
        <f>'Proposed Lighting'!AV116</f>
        <v>0</v>
      </c>
      <c r="Q419" s="644">
        <f>IF(AND('Proposed Lighting'!T116="Lighting Controls Only",'Data Entry'!$AF$23="OR",'Proposed Lighting'!AU116=2),0,
IF(AND('Proposed Lighting'!T116="Lighting Controls Only",'Data Entry'!$AF$23="OR",'Proposed Lighting'!AU116=3,OR('Proposed Lighting'!W116="ceiling mount",'Proposed Lighting'!W116="wall switch",'Proposed Lighting'!W116="fixture mount (on exisiting equip)",'Proposed Lighting'!W116="daylight harvesting (on existing equip)")),0,
IF('Proposed Lighting'!AF116=1,IF(P419=0,0,J419*O419*(L419*(1-P419))),IF('Proposed Lighting'!AU116=1,0,'Proposed Lighting'!AX116-'Proposed Lighting'!AY116))))</f>
        <v>0</v>
      </c>
      <c r="R419" s="646">
        <f>IF('Proposed Lighting'!T116="Non-standard (provide description",0,
IF(AND(E419="Non-standard control",'Proposed Lighting'!AU116=2),Q419*0.1,
IF(AND(E419="Non-standard control",'Proposed Lighting'!AU116=3),Q419*0.08,
IF('Proposed Lighting'!EF116=0,0,IF('Proposed Lighting'!AU116=1,0,
IF(AND('Data Entry'!$AF$23="ID",'Proposed Lighting'!T116="Lighting controls only"),VLOOKUP(E419,'Proposed Lighting'!$DO$97:$DP$106,2,FALSE),
IF(AND('Data Entry'!$AF$23="OR",'Proposed Lighting'!AU116=3,'Proposed Lighting'!T116="Lighting controls only"),VLOOKUP(E419,'Proposed Lighting'!$DO$127:$DP$134,2,FALSE),0)))))))*J419</f>
        <v>0</v>
      </c>
      <c r="S419" s="646">
        <f>IF(Q419&lt;0.01,0,IF('Proposed Lighting'!AK116&gt;0,'Proposed Lighting'!AK116*'Proposed Lighting'!EF116,0))</f>
        <v>0</v>
      </c>
      <c r="T419" s="647">
        <f t="shared" si="91"/>
        <v>0</v>
      </c>
      <c r="U419" s="648"/>
      <c r="V419" s="646">
        <f t="shared" si="94"/>
        <v>0</v>
      </c>
      <c r="W419" s="646">
        <f t="shared" si="95"/>
        <v>0</v>
      </c>
      <c r="X419" s="646">
        <f t="shared" si="96"/>
        <v>0</v>
      </c>
      <c r="Y419" s="646"/>
      <c r="Z419" s="646"/>
      <c r="AA419" s="646"/>
      <c r="AB419" s="646">
        <f t="shared" si="97"/>
        <v>0</v>
      </c>
      <c r="AC419" s="649" t="str">
        <f t="shared" si="98"/>
        <v/>
      </c>
      <c r="AD419" s="649" t="str">
        <f t="shared" si="99"/>
        <v/>
      </c>
      <c r="AE419" s="649" t="str">
        <f t="shared" si="100"/>
        <v/>
      </c>
      <c r="AF419" s="72"/>
      <c r="AG419" s="644">
        <f>IFERROR(IF($AV419="No",0,IF($AV419="yes",Summary!Q419,"")),"")</f>
        <v>0</v>
      </c>
      <c r="AH419" s="646">
        <f>IFERROR(IF($AV419="No",0,IF($AV419="yes",Summary!R419,"")),"")</f>
        <v>0</v>
      </c>
      <c r="AI419" s="646">
        <f>IFERROR(IF($AV419="No",0,IF($AV419="yes",Summary!S419,"")),"")</f>
        <v>0</v>
      </c>
      <c r="AJ419" s="647">
        <f>IFERROR(IF($AV419="No",0,IF($AV419="yes",Summary!T419,"")),"")</f>
        <v>0</v>
      </c>
      <c r="AK419" s="648">
        <f>IFERROR(IF($AV419="No",0,IF($AV419="yes",Summary!U419,"")),"")</f>
        <v>0</v>
      </c>
      <c r="AL419" s="646">
        <f>IFERROR(IF($AV419="No",0,IF($AV419="yes",Summary!V419,"")),"")</f>
        <v>0</v>
      </c>
      <c r="AM419" s="646">
        <f>IFERROR(IF($AV419="No",0,IF($AV419="yes",Summary!W419,"")),"")</f>
        <v>0</v>
      </c>
      <c r="AN419" s="646">
        <f>IFERROR(IF($AV419="No",0,IF($AV419="yes",Summary!X419,"")),"")</f>
        <v>0</v>
      </c>
      <c r="AO419" s="646">
        <f>IFERROR(IF($AV419="No",0,IF($AV419="yes",Summary!Y419+Z419,"")),"")</f>
        <v>0</v>
      </c>
      <c r="AP419" s="646">
        <f>IFERROR(IF($AV419="No",0,IF($AV419="yes",Summary!AB419,"")),"")</f>
        <v>0</v>
      </c>
      <c r="AQ419" s="649" t="str">
        <f t="shared" si="88"/>
        <v/>
      </c>
      <c r="AR419" s="649" t="str">
        <f t="shared" si="92"/>
        <v/>
      </c>
      <c r="AS419" s="649" t="str">
        <f t="shared" si="89"/>
        <v/>
      </c>
      <c r="AT419" s="641" t="s">
        <v>893</v>
      </c>
      <c r="AV419" t="str">
        <f>IF('Proposed Lighting'!AK116&gt;0,"No","Yes")</f>
        <v>Yes</v>
      </c>
    </row>
    <row r="420" spans="1:48" ht="34.5" customHeight="1" outlineLevel="1">
      <c r="A420" s="641" t="s">
        <v>894</v>
      </c>
      <c r="B420" s="641" t="str">
        <f>IF('Proposed Lighting'!AU117=3,"Commercial-All Com-ExtLight",IF('Proposed Lighting'!AH117&gt;8759,"IPC_8760","Commercial-All Com-IntLight"))</f>
        <v>IPC_8760</v>
      </c>
      <c r="C420" s="641" t="str">
        <f>IF(OR(E420="",E420=0),"No",
IF(AND('Data Entry'!$AF$23="OR",AE420&lt;1),"No",
IF(AND('Data Entry'!$AF$23="ID",E420="Non-standard lighting control system",AD420&lt;1),"No",
IF(AND('Data Entry'!$AF$23="OR",'Proposed Lighting'!F117="Existing LED (Provide Description)",'Proposed Lighting'!AK117=""),"No",
IF('Proposed Lighting'!DD117="Submit Control as Non-Standard","No",
IF(AND('Proposed Lighting'!T117="Non-Standard (Provide Description)",AD420&lt;1),"No",
IF('Proposed Lighting'!AW117&lt;'Proposed Lighting'!AZ117,"No","Yes")))))))</f>
        <v>No</v>
      </c>
      <c r="D420" s="1604">
        <f>'Proposed Lighting'!BQ117-Q420</f>
        <v>0</v>
      </c>
      <c r="E420" s="642" t="str">
        <f>IF('Proposed Lighting'!W117="","",'Proposed Lighting'!W117)</f>
        <v/>
      </c>
      <c r="F420" s="642"/>
      <c r="G420" s="641" t="s">
        <v>786</v>
      </c>
      <c r="H420" s="643">
        <v>10</v>
      </c>
      <c r="I420" s="644">
        <v>1</v>
      </c>
      <c r="J420" s="723">
        <f>IF('Proposed Lighting'!EF117=0,'Proposed Lighting'!AA117,'Proposed Lighting'!EF117)</f>
        <v>0</v>
      </c>
      <c r="K420" s="643" t="str">
        <f>'Proposed Lighting'!CU117</f>
        <v/>
      </c>
      <c r="L420" s="643" t="str">
        <f t="shared" si="90"/>
        <v/>
      </c>
      <c r="M420" s="645">
        <f t="shared" si="93"/>
        <v>0</v>
      </c>
      <c r="N420" s="645"/>
      <c r="O420" s="722">
        <f>IFERROR('Proposed Lighting'!AC117/1000,0)</f>
        <v>0</v>
      </c>
      <c r="P420" s="644">
        <f>'Proposed Lighting'!AV117</f>
        <v>0</v>
      </c>
      <c r="Q420" s="644">
        <f>IF(AND('Proposed Lighting'!T117="Lighting Controls Only",'Data Entry'!$AF$23="OR",'Proposed Lighting'!AU117=2),0,
IF(AND('Proposed Lighting'!T117="Lighting Controls Only",'Data Entry'!$AF$23="OR",'Proposed Lighting'!AU117=3,OR('Proposed Lighting'!W117="ceiling mount",'Proposed Lighting'!W117="wall switch",'Proposed Lighting'!W117="fixture mount (on exisiting equip)",'Proposed Lighting'!W117="daylight harvesting (on existing equip)")),0,
IF('Proposed Lighting'!AF117=1,IF(P420=0,0,J420*O420*(L420*(1-P420))),IF('Proposed Lighting'!AU117=1,0,'Proposed Lighting'!AX117-'Proposed Lighting'!AY117))))</f>
        <v>0</v>
      </c>
      <c r="R420" s="646">
        <f>IF('Proposed Lighting'!T117="Non-standard (provide description",0,
IF(AND(E420="Non-standard control",'Proposed Lighting'!AU117=2),Q420*0.1,
IF(AND(E420="Non-standard control",'Proposed Lighting'!AU117=3),Q420*0.08,
IF('Proposed Lighting'!EF117=0,0,IF('Proposed Lighting'!AU117=1,0,
IF(AND('Data Entry'!$AF$23="ID",'Proposed Lighting'!T117="Lighting controls only"),VLOOKUP(E420,'Proposed Lighting'!$DO$97:$DP$106,2,FALSE),
IF(AND('Data Entry'!$AF$23="OR",'Proposed Lighting'!AU117=3,'Proposed Lighting'!T117="Lighting controls only"),VLOOKUP(E420,'Proposed Lighting'!$DO$127:$DP$134,2,FALSE),0)))))))*J420</f>
        <v>0</v>
      </c>
      <c r="S420" s="646">
        <f>IF(Q420&lt;0.01,0,IF('Proposed Lighting'!AK117&gt;0,'Proposed Lighting'!AK117*'Proposed Lighting'!EF117,0))</f>
        <v>0</v>
      </c>
      <c r="T420" s="647">
        <f t="shared" si="91"/>
        <v>0</v>
      </c>
      <c r="U420" s="648"/>
      <c r="V420" s="646">
        <f t="shared" si="94"/>
        <v>0</v>
      </c>
      <c r="W420" s="646">
        <f t="shared" si="95"/>
        <v>0</v>
      </c>
      <c r="X420" s="646">
        <f t="shared" si="96"/>
        <v>0</v>
      </c>
      <c r="Y420" s="646"/>
      <c r="Z420" s="646"/>
      <c r="AA420" s="646"/>
      <c r="AB420" s="646">
        <f t="shared" si="97"/>
        <v>0</v>
      </c>
      <c r="AC420" s="649" t="str">
        <f t="shared" si="98"/>
        <v/>
      </c>
      <c r="AD420" s="649" t="str">
        <f t="shared" si="99"/>
        <v/>
      </c>
      <c r="AE420" s="649" t="str">
        <f t="shared" si="100"/>
        <v/>
      </c>
      <c r="AF420" s="72"/>
      <c r="AG420" s="644">
        <f>IFERROR(IF($AV420="No",0,IF($AV420="yes",Summary!Q420,"")),"")</f>
        <v>0</v>
      </c>
      <c r="AH420" s="646">
        <f>IFERROR(IF($AV420="No",0,IF($AV420="yes",Summary!R420,"")),"")</f>
        <v>0</v>
      </c>
      <c r="AI420" s="646">
        <f>IFERROR(IF($AV420="No",0,IF($AV420="yes",Summary!S420,"")),"")</f>
        <v>0</v>
      </c>
      <c r="AJ420" s="647">
        <f>IFERROR(IF($AV420="No",0,IF($AV420="yes",Summary!T420,"")),"")</f>
        <v>0</v>
      </c>
      <c r="AK420" s="648">
        <f>IFERROR(IF($AV420="No",0,IF($AV420="yes",Summary!U420,"")),"")</f>
        <v>0</v>
      </c>
      <c r="AL420" s="646">
        <f>IFERROR(IF($AV420="No",0,IF($AV420="yes",Summary!V420,"")),"")</f>
        <v>0</v>
      </c>
      <c r="AM420" s="646">
        <f>IFERROR(IF($AV420="No",0,IF($AV420="yes",Summary!W420,"")),"")</f>
        <v>0</v>
      </c>
      <c r="AN420" s="646">
        <f>IFERROR(IF($AV420="No",0,IF($AV420="yes",Summary!X420,"")),"")</f>
        <v>0</v>
      </c>
      <c r="AO420" s="646">
        <f>IFERROR(IF($AV420="No",0,IF($AV420="yes",Summary!Y420+Z420,"")),"")</f>
        <v>0</v>
      </c>
      <c r="AP420" s="646">
        <f>IFERROR(IF($AV420="No",0,IF($AV420="yes",Summary!AB420,"")),"")</f>
        <v>0</v>
      </c>
      <c r="AQ420" s="649" t="str">
        <f t="shared" si="88"/>
        <v/>
      </c>
      <c r="AR420" s="649" t="str">
        <f t="shared" si="92"/>
        <v/>
      </c>
      <c r="AS420" s="649" t="str">
        <f t="shared" si="89"/>
        <v/>
      </c>
      <c r="AT420" s="641" t="s">
        <v>894</v>
      </c>
      <c r="AV420" t="str">
        <f>IF('Proposed Lighting'!AK117&gt;0,"No","Yes")</f>
        <v>Yes</v>
      </c>
    </row>
    <row r="421" spans="1:48" ht="34.5" customHeight="1" outlineLevel="1">
      <c r="A421" s="641" t="s">
        <v>895</v>
      </c>
      <c r="B421" s="641" t="str">
        <f>IF('Proposed Lighting'!AU118=3,"Commercial-All Com-ExtLight",IF('Proposed Lighting'!AH118&gt;8759,"IPC_8760","Commercial-All Com-IntLight"))</f>
        <v>IPC_8760</v>
      </c>
      <c r="C421" s="641" t="str">
        <f>IF(OR(E421="",E421=0),"No",
IF(AND('Data Entry'!$AF$23="OR",AE421&lt;1),"No",
IF(AND('Data Entry'!$AF$23="ID",E421="Non-standard lighting control system",AD421&lt;1),"No",
IF(AND('Data Entry'!$AF$23="OR",'Proposed Lighting'!F118="Existing LED (Provide Description)",'Proposed Lighting'!AK118=""),"No",
IF('Proposed Lighting'!DD118="Submit Control as Non-Standard","No",
IF(AND('Proposed Lighting'!T118="Non-Standard (Provide Description)",AD421&lt;1),"No",
IF('Proposed Lighting'!AW118&lt;'Proposed Lighting'!AZ118,"No","Yes")))))))</f>
        <v>No</v>
      </c>
      <c r="D421" s="1604">
        <f>'Proposed Lighting'!BQ118-Q421</f>
        <v>0</v>
      </c>
      <c r="E421" s="642" t="str">
        <f>IF('Proposed Lighting'!W118="","",'Proposed Lighting'!W118)</f>
        <v/>
      </c>
      <c r="F421" s="642"/>
      <c r="G421" s="641" t="s">
        <v>786</v>
      </c>
      <c r="H421" s="643">
        <v>10</v>
      </c>
      <c r="I421" s="644">
        <v>1</v>
      </c>
      <c r="J421" s="723">
        <f>IF('Proposed Lighting'!EF118=0,'Proposed Lighting'!AA118,'Proposed Lighting'!EF118)</f>
        <v>0</v>
      </c>
      <c r="K421" s="643" t="str">
        <f>'Proposed Lighting'!CU118</f>
        <v/>
      </c>
      <c r="L421" s="643" t="str">
        <f t="shared" si="90"/>
        <v/>
      </c>
      <c r="M421" s="645">
        <f t="shared" si="93"/>
        <v>0</v>
      </c>
      <c r="N421" s="645"/>
      <c r="O421" s="722">
        <f>IFERROR('Proposed Lighting'!AC118/1000,0)</f>
        <v>0</v>
      </c>
      <c r="P421" s="644">
        <f>'Proposed Lighting'!AV118</f>
        <v>0</v>
      </c>
      <c r="Q421" s="644">
        <f>IF(AND('Proposed Lighting'!T118="Lighting Controls Only",'Data Entry'!$AF$23="OR",'Proposed Lighting'!AU118=2),0,
IF(AND('Proposed Lighting'!T118="Lighting Controls Only",'Data Entry'!$AF$23="OR",'Proposed Lighting'!AU118=3,OR('Proposed Lighting'!W118="ceiling mount",'Proposed Lighting'!W118="wall switch",'Proposed Lighting'!W118="fixture mount (on exisiting equip)",'Proposed Lighting'!W118="daylight harvesting (on existing equip)")),0,
IF('Proposed Lighting'!AF118=1,IF(P421=0,0,J421*O421*(L421*(1-P421))),IF('Proposed Lighting'!AU118=1,0,'Proposed Lighting'!AX118-'Proposed Lighting'!AY118))))</f>
        <v>0</v>
      </c>
      <c r="R421" s="646">
        <f>IF('Proposed Lighting'!T118="Non-standard (provide description",0,
IF(AND(E421="Non-standard control",'Proposed Lighting'!AU118=2),Q421*0.1,
IF(AND(E421="Non-standard control",'Proposed Lighting'!AU118=3),Q421*0.08,
IF('Proposed Lighting'!EF118=0,0,IF('Proposed Lighting'!AU118=1,0,
IF(AND('Data Entry'!$AF$23="ID",'Proposed Lighting'!T118="Lighting controls only"),VLOOKUP(E421,'Proposed Lighting'!$DO$97:$DP$106,2,FALSE),
IF(AND('Data Entry'!$AF$23="OR",'Proposed Lighting'!AU118=3,'Proposed Lighting'!T118="Lighting controls only"),VLOOKUP(E421,'Proposed Lighting'!$DO$127:$DP$134,2,FALSE),0)))))))*J421</f>
        <v>0</v>
      </c>
      <c r="S421" s="646">
        <f>IF(Q421&lt;0.01,0,IF('Proposed Lighting'!AK118&gt;0,'Proposed Lighting'!AK118*'Proposed Lighting'!EF118,0))</f>
        <v>0</v>
      </c>
      <c r="T421" s="647">
        <f t="shared" si="91"/>
        <v>0</v>
      </c>
      <c r="U421" s="648"/>
      <c r="V421" s="646">
        <f t="shared" si="94"/>
        <v>0</v>
      </c>
      <c r="W421" s="646">
        <f t="shared" si="95"/>
        <v>0</v>
      </c>
      <c r="X421" s="646">
        <f t="shared" si="96"/>
        <v>0</v>
      </c>
      <c r="Y421" s="646"/>
      <c r="Z421" s="646"/>
      <c r="AA421" s="646"/>
      <c r="AB421" s="646">
        <f t="shared" si="97"/>
        <v>0</v>
      </c>
      <c r="AC421" s="649" t="str">
        <f t="shared" si="98"/>
        <v/>
      </c>
      <c r="AD421" s="649" t="str">
        <f t="shared" si="99"/>
        <v/>
      </c>
      <c r="AE421" s="649" t="str">
        <f t="shared" si="100"/>
        <v/>
      </c>
      <c r="AF421" s="72"/>
      <c r="AG421" s="644">
        <f>IFERROR(IF($AV421="No",0,IF($AV421="yes",Summary!Q421,"")),"")</f>
        <v>0</v>
      </c>
      <c r="AH421" s="646">
        <f>IFERROR(IF($AV421="No",0,IF($AV421="yes",Summary!R421,"")),"")</f>
        <v>0</v>
      </c>
      <c r="AI421" s="646">
        <f>IFERROR(IF($AV421="No",0,IF($AV421="yes",Summary!S421,"")),"")</f>
        <v>0</v>
      </c>
      <c r="AJ421" s="647">
        <f>IFERROR(IF($AV421="No",0,IF($AV421="yes",Summary!T421,"")),"")</f>
        <v>0</v>
      </c>
      <c r="AK421" s="648">
        <f>IFERROR(IF($AV421="No",0,IF($AV421="yes",Summary!U421,"")),"")</f>
        <v>0</v>
      </c>
      <c r="AL421" s="646">
        <f>IFERROR(IF($AV421="No",0,IF($AV421="yes",Summary!V421,"")),"")</f>
        <v>0</v>
      </c>
      <c r="AM421" s="646">
        <f>IFERROR(IF($AV421="No",0,IF($AV421="yes",Summary!W421,"")),"")</f>
        <v>0</v>
      </c>
      <c r="AN421" s="646">
        <f>IFERROR(IF($AV421="No",0,IF($AV421="yes",Summary!X421,"")),"")</f>
        <v>0</v>
      </c>
      <c r="AO421" s="646">
        <f>IFERROR(IF($AV421="No",0,IF($AV421="yes",Summary!Y421+Z421,"")),"")</f>
        <v>0</v>
      </c>
      <c r="AP421" s="646">
        <f>IFERROR(IF($AV421="No",0,IF($AV421="yes",Summary!AB421,"")),"")</f>
        <v>0</v>
      </c>
      <c r="AQ421" s="649" t="str">
        <f t="shared" si="88"/>
        <v/>
      </c>
      <c r="AR421" s="649" t="str">
        <f t="shared" si="92"/>
        <v/>
      </c>
      <c r="AS421" s="649" t="str">
        <f t="shared" si="89"/>
        <v/>
      </c>
      <c r="AT421" s="641" t="s">
        <v>895</v>
      </c>
      <c r="AV421" t="str">
        <f>IF('Proposed Lighting'!AK118&gt;0,"No","Yes")</f>
        <v>Yes</v>
      </c>
    </row>
    <row r="422" spans="1:48" ht="34.5" customHeight="1" outlineLevel="1">
      <c r="A422" s="641" t="s">
        <v>896</v>
      </c>
      <c r="B422" s="641" t="str">
        <f>IF('Proposed Lighting'!AU119=3,"Commercial-All Com-ExtLight",IF('Proposed Lighting'!AH119&gt;8759,"IPC_8760","Commercial-All Com-IntLight"))</f>
        <v>IPC_8760</v>
      </c>
      <c r="C422" s="641" t="str">
        <f>IF(OR(E422="",E422=0),"No",
IF(AND('Data Entry'!$AF$23="OR",AE422&lt;1),"No",
IF(AND('Data Entry'!$AF$23="ID",E422="Non-standard lighting control system",AD422&lt;1),"No",
IF(AND('Data Entry'!$AF$23="OR",'Proposed Lighting'!F119="Existing LED (Provide Description)",'Proposed Lighting'!AK119=""),"No",
IF('Proposed Lighting'!DD119="Submit Control as Non-Standard","No",
IF(AND('Proposed Lighting'!T119="Non-Standard (Provide Description)",AD422&lt;1),"No",
IF('Proposed Lighting'!AW119&lt;'Proposed Lighting'!AZ119,"No","Yes")))))))</f>
        <v>No</v>
      </c>
      <c r="D422" s="1604">
        <f>'Proposed Lighting'!BQ119-Q422</f>
        <v>0</v>
      </c>
      <c r="E422" s="642" t="str">
        <f>IF('Proposed Lighting'!W119="","",'Proposed Lighting'!W119)</f>
        <v/>
      </c>
      <c r="F422" s="642"/>
      <c r="G422" s="641" t="s">
        <v>786</v>
      </c>
      <c r="H422" s="643">
        <v>10</v>
      </c>
      <c r="I422" s="644">
        <v>1</v>
      </c>
      <c r="J422" s="723">
        <f>IF('Proposed Lighting'!EF119=0,'Proposed Lighting'!AA119,'Proposed Lighting'!EF119)</f>
        <v>0</v>
      </c>
      <c r="K422" s="643" t="str">
        <f>'Proposed Lighting'!CU119</f>
        <v/>
      </c>
      <c r="L422" s="643" t="str">
        <f t="shared" si="90"/>
        <v/>
      </c>
      <c r="M422" s="645">
        <f t="shared" si="93"/>
        <v>0</v>
      </c>
      <c r="N422" s="645"/>
      <c r="O422" s="722">
        <f>IFERROR('Proposed Lighting'!AC119/1000,0)</f>
        <v>0</v>
      </c>
      <c r="P422" s="644">
        <f>'Proposed Lighting'!AV119</f>
        <v>0</v>
      </c>
      <c r="Q422" s="644">
        <f>IF(AND('Proposed Lighting'!T119="Lighting Controls Only",'Data Entry'!$AF$23="OR",'Proposed Lighting'!AU119=2),0,
IF(AND('Proposed Lighting'!T119="Lighting Controls Only",'Data Entry'!$AF$23="OR",'Proposed Lighting'!AU119=3,OR('Proposed Lighting'!W119="ceiling mount",'Proposed Lighting'!W119="wall switch",'Proposed Lighting'!W119="fixture mount (on exisiting equip)",'Proposed Lighting'!W119="daylight harvesting (on existing equip)")),0,
IF('Proposed Lighting'!AF119=1,IF(P422=0,0,J422*O422*(L422*(1-P422))),IF('Proposed Lighting'!AU119=1,0,'Proposed Lighting'!AX119-'Proposed Lighting'!AY119))))</f>
        <v>0</v>
      </c>
      <c r="R422" s="646">
        <f>IF('Proposed Lighting'!T119="Non-standard (provide description",0,
IF(AND(E422="Non-standard control",'Proposed Lighting'!AU119=2),Q422*0.1,
IF(AND(E422="Non-standard control",'Proposed Lighting'!AU119=3),Q422*0.08,
IF('Proposed Lighting'!EF119=0,0,IF('Proposed Lighting'!AU119=1,0,
IF(AND('Data Entry'!$AF$23="ID",'Proposed Lighting'!T119="Lighting controls only"),VLOOKUP(E422,'Proposed Lighting'!$DO$97:$DP$106,2,FALSE),
IF(AND('Data Entry'!$AF$23="OR",'Proposed Lighting'!AU119=3,'Proposed Lighting'!T119="Lighting controls only"),VLOOKUP(E422,'Proposed Lighting'!$DO$127:$DP$134,2,FALSE),0)))))))*J422</f>
        <v>0</v>
      </c>
      <c r="S422" s="646">
        <f>IF(Q422&lt;0.01,0,IF('Proposed Lighting'!AK119&gt;0,'Proposed Lighting'!AK119*'Proposed Lighting'!EF119,0))</f>
        <v>0</v>
      </c>
      <c r="T422" s="647">
        <f t="shared" si="91"/>
        <v>0</v>
      </c>
      <c r="U422" s="648"/>
      <c r="V422" s="646">
        <f t="shared" si="94"/>
        <v>0</v>
      </c>
      <c r="W422" s="646">
        <f t="shared" si="95"/>
        <v>0</v>
      </c>
      <c r="X422" s="646">
        <f t="shared" si="96"/>
        <v>0</v>
      </c>
      <c r="Y422" s="646"/>
      <c r="Z422" s="646"/>
      <c r="AA422" s="646"/>
      <c r="AB422" s="646">
        <f t="shared" si="97"/>
        <v>0</v>
      </c>
      <c r="AC422" s="649" t="str">
        <f t="shared" si="98"/>
        <v/>
      </c>
      <c r="AD422" s="649" t="str">
        <f t="shared" si="99"/>
        <v/>
      </c>
      <c r="AE422" s="649" t="str">
        <f t="shared" si="100"/>
        <v/>
      </c>
      <c r="AF422" s="72"/>
      <c r="AG422" s="644">
        <f>IFERROR(IF($AV422="No",0,IF($AV422="yes",Summary!Q422,"")),"")</f>
        <v>0</v>
      </c>
      <c r="AH422" s="646">
        <f>IFERROR(IF($AV422="No",0,IF($AV422="yes",Summary!R422,"")),"")</f>
        <v>0</v>
      </c>
      <c r="AI422" s="646">
        <f>IFERROR(IF($AV422="No",0,IF($AV422="yes",Summary!S422,"")),"")</f>
        <v>0</v>
      </c>
      <c r="AJ422" s="647">
        <f>IFERROR(IF($AV422="No",0,IF($AV422="yes",Summary!T422,"")),"")</f>
        <v>0</v>
      </c>
      <c r="AK422" s="648">
        <f>IFERROR(IF($AV422="No",0,IF($AV422="yes",Summary!U422,"")),"")</f>
        <v>0</v>
      </c>
      <c r="AL422" s="646">
        <f>IFERROR(IF($AV422="No",0,IF($AV422="yes",Summary!V422,"")),"")</f>
        <v>0</v>
      </c>
      <c r="AM422" s="646">
        <f>IFERROR(IF($AV422="No",0,IF($AV422="yes",Summary!W422,"")),"")</f>
        <v>0</v>
      </c>
      <c r="AN422" s="646">
        <f>IFERROR(IF($AV422="No",0,IF($AV422="yes",Summary!X422,"")),"")</f>
        <v>0</v>
      </c>
      <c r="AO422" s="646">
        <f>IFERROR(IF($AV422="No",0,IF($AV422="yes",Summary!Y422+Z422,"")),"")</f>
        <v>0</v>
      </c>
      <c r="AP422" s="646">
        <f>IFERROR(IF($AV422="No",0,IF($AV422="yes",Summary!AB422,"")),"")</f>
        <v>0</v>
      </c>
      <c r="AQ422" s="649" t="str">
        <f t="shared" si="88"/>
        <v/>
      </c>
      <c r="AR422" s="649" t="str">
        <f t="shared" si="92"/>
        <v/>
      </c>
      <c r="AS422" s="649" t="str">
        <f t="shared" si="89"/>
        <v/>
      </c>
      <c r="AT422" s="641" t="s">
        <v>896</v>
      </c>
      <c r="AV422" t="str">
        <f>IF('Proposed Lighting'!AK119&gt;0,"No","Yes")</f>
        <v>Yes</v>
      </c>
    </row>
    <row r="423" spans="1:48" ht="34.5" customHeight="1" outlineLevel="1">
      <c r="A423" s="641" t="s">
        <v>897</v>
      </c>
      <c r="B423" s="641" t="str">
        <f>IF('Proposed Lighting'!AU120=3,"Commercial-All Com-ExtLight",IF('Proposed Lighting'!AH120&gt;8759,"IPC_8760","Commercial-All Com-IntLight"))</f>
        <v>IPC_8760</v>
      </c>
      <c r="C423" s="641" t="str">
        <f>IF(OR(E423="",E423=0),"No",
IF(AND('Data Entry'!$AF$23="OR",AE423&lt;1),"No",
IF(AND('Data Entry'!$AF$23="ID",E423="Non-standard lighting control system",AD423&lt;1),"No",
IF(AND('Data Entry'!$AF$23="OR",'Proposed Lighting'!F120="Existing LED (Provide Description)",'Proposed Lighting'!AK120=""),"No",
IF('Proposed Lighting'!DD120="Submit Control as Non-Standard","No",
IF(AND('Proposed Lighting'!T120="Non-Standard (Provide Description)",AD423&lt;1),"No",
IF('Proposed Lighting'!AW120&lt;'Proposed Lighting'!AZ120,"No","Yes")))))))</f>
        <v>No</v>
      </c>
      <c r="D423" s="1604">
        <f>'Proposed Lighting'!BQ120-Q423</f>
        <v>0</v>
      </c>
      <c r="E423" s="642" t="str">
        <f>IF('Proposed Lighting'!W120="","",'Proposed Lighting'!W120)</f>
        <v/>
      </c>
      <c r="F423" s="642"/>
      <c r="G423" s="641" t="s">
        <v>786</v>
      </c>
      <c r="H423" s="643">
        <v>10</v>
      </c>
      <c r="I423" s="644">
        <v>1</v>
      </c>
      <c r="J423" s="723">
        <f>IF('Proposed Lighting'!EF120=0,'Proposed Lighting'!AA120,'Proposed Lighting'!EF120)</f>
        <v>0</v>
      </c>
      <c r="K423" s="643" t="str">
        <f>'Proposed Lighting'!CU120</f>
        <v/>
      </c>
      <c r="L423" s="643" t="str">
        <f t="shared" si="90"/>
        <v/>
      </c>
      <c r="M423" s="645">
        <f t="shared" si="93"/>
        <v>0</v>
      </c>
      <c r="N423" s="645"/>
      <c r="O423" s="722">
        <f>IFERROR('Proposed Lighting'!AC120/1000,0)</f>
        <v>0</v>
      </c>
      <c r="P423" s="644">
        <f>'Proposed Lighting'!AV120</f>
        <v>0</v>
      </c>
      <c r="Q423" s="644">
        <f>IF(AND('Proposed Lighting'!T120="Lighting Controls Only",'Data Entry'!$AF$23="OR",'Proposed Lighting'!AU120=2),0,
IF(AND('Proposed Lighting'!T120="Lighting Controls Only",'Data Entry'!$AF$23="OR",'Proposed Lighting'!AU120=3,OR('Proposed Lighting'!W120="ceiling mount",'Proposed Lighting'!W120="wall switch",'Proposed Lighting'!W120="fixture mount (on exisiting equip)",'Proposed Lighting'!W120="daylight harvesting (on existing equip)")),0,
IF('Proposed Lighting'!AF120=1,IF(P423=0,0,J423*O423*(L423*(1-P423))),IF('Proposed Lighting'!AU120=1,0,'Proposed Lighting'!AX120-'Proposed Lighting'!AY120))))</f>
        <v>0</v>
      </c>
      <c r="R423" s="646">
        <f>IF('Proposed Lighting'!T120="Non-standard (provide description",0,
IF(AND(E423="Non-standard control",'Proposed Lighting'!AU120=2),Q423*0.1,
IF(AND(E423="Non-standard control",'Proposed Lighting'!AU120=3),Q423*0.08,
IF('Proposed Lighting'!EF120=0,0,IF('Proposed Lighting'!AU120=1,0,
IF(AND('Data Entry'!$AF$23="ID",'Proposed Lighting'!T120="Lighting controls only"),VLOOKUP(E423,'Proposed Lighting'!$DO$97:$DP$106,2,FALSE),
IF(AND('Data Entry'!$AF$23="OR",'Proposed Lighting'!AU120=3,'Proposed Lighting'!T120="Lighting controls only"),VLOOKUP(E423,'Proposed Lighting'!$DO$127:$DP$134,2,FALSE),0)))))))*J423</f>
        <v>0</v>
      </c>
      <c r="S423" s="646">
        <f>IF(Q423&lt;0.01,0,IF('Proposed Lighting'!AK120&gt;0,'Proposed Lighting'!AK120*'Proposed Lighting'!EF120,0))</f>
        <v>0</v>
      </c>
      <c r="T423" s="647">
        <f t="shared" si="91"/>
        <v>0</v>
      </c>
      <c r="U423" s="648"/>
      <c r="V423" s="646">
        <f t="shared" si="94"/>
        <v>0</v>
      </c>
      <c r="W423" s="646">
        <f t="shared" si="95"/>
        <v>0</v>
      </c>
      <c r="X423" s="646">
        <f t="shared" si="96"/>
        <v>0</v>
      </c>
      <c r="Y423" s="646"/>
      <c r="Z423" s="646"/>
      <c r="AA423" s="646"/>
      <c r="AB423" s="646">
        <f t="shared" si="97"/>
        <v>0</v>
      </c>
      <c r="AC423" s="649" t="str">
        <f t="shared" si="98"/>
        <v/>
      </c>
      <c r="AD423" s="649" t="str">
        <f t="shared" si="99"/>
        <v/>
      </c>
      <c r="AE423" s="649" t="str">
        <f t="shared" si="100"/>
        <v/>
      </c>
      <c r="AF423" s="72"/>
      <c r="AG423" s="644">
        <f>IFERROR(IF($AV423="No",0,IF($AV423="yes",Summary!Q423,"")),"")</f>
        <v>0</v>
      </c>
      <c r="AH423" s="646">
        <f>IFERROR(IF($AV423="No",0,IF($AV423="yes",Summary!R423,"")),"")</f>
        <v>0</v>
      </c>
      <c r="AI423" s="646">
        <f>IFERROR(IF($AV423="No",0,IF($AV423="yes",Summary!S423,"")),"")</f>
        <v>0</v>
      </c>
      <c r="AJ423" s="647">
        <f>IFERROR(IF($AV423="No",0,IF($AV423="yes",Summary!T423,"")),"")</f>
        <v>0</v>
      </c>
      <c r="AK423" s="648">
        <f>IFERROR(IF($AV423="No",0,IF($AV423="yes",Summary!U423,"")),"")</f>
        <v>0</v>
      </c>
      <c r="AL423" s="646">
        <f>IFERROR(IF($AV423="No",0,IF($AV423="yes",Summary!V423,"")),"")</f>
        <v>0</v>
      </c>
      <c r="AM423" s="646">
        <f>IFERROR(IF($AV423="No",0,IF($AV423="yes",Summary!W423,"")),"")</f>
        <v>0</v>
      </c>
      <c r="AN423" s="646">
        <f>IFERROR(IF($AV423="No",0,IF($AV423="yes",Summary!X423,"")),"")</f>
        <v>0</v>
      </c>
      <c r="AO423" s="646">
        <f>IFERROR(IF($AV423="No",0,IF($AV423="yes",Summary!Y423+Z423,"")),"")</f>
        <v>0</v>
      </c>
      <c r="AP423" s="646">
        <f>IFERROR(IF($AV423="No",0,IF($AV423="yes",Summary!AB423,"")),"")</f>
        <v>0</v>
      </c>
      <c r="AQ423" s="649" t="str">
        <f t="shared" si="88"/>
        <v/>
      </c>
      <c r="AR423" s="649" t="str">
        <f t="shared" si="92"/>
        <v/>
      </c>
      <c r="AS423" s="649" t="str">
        <f t="shared" si="89"/>
        <v/>
      </c>
      <c r="AT423" s="641" t="s">
        <v>897</v>
      </c>
      <c r="AV423" t="str">
        <f>IF('Proposed Lighting'!AK120&gt;0,"No","Yes")</f>
        <v>Yes</v>
      </c>
    </row>
    <row r="424" spans="1:48" ht="34.5" customHeight="1" outlineLevel="1">
      <c r="A424" s="641" t="s">
        <v>898</v>
      </c>
      <c r="B424" s="641" t="str">
        <f>IF('Proposed Lighting'!AU121=3,"Commercial-All Com-ExtLight",IF('Proposed Lighting'!AH121&gt;8759,"IPC_8760","Commercial-All Com-IntLight"))</f>
        <v>IPC_8760</v>
      </c>
      <c r="C424" s="641" t="str">
        <f>IF(OR(E424="",E424=0),"No",
IF(AND('Data Entry'!$AF$23="OR",AE424&lt;1),"No",
IF(AND('Data Entry'!$AF$23="ID",E424="Non-standard lighting control system",AD424&lt;1),"No",
IF(AND('Data Entry'!$AF$23="OR",'Proposed Lighting'!F121="Existing LED (Provide Description)",'Proposed Lighting'!AK121=""),"No",
IF('Proposed Lighting'!DD121="Submit Control as Non-Standard","No",
IF(AND('Proposed Lighting'!T121="Non-Standard (Provide Description)",AD424&lt;1),"No",
IF('Proposed Lighting'!AW121&lt;'Proposed Lighting'!AZ121,"No","Yes")))))))</f>
        <v>No</v>
      </c>
      <c r="D424" s="1604">
        <f>'Proposed Lighting'!BQ121-Q424</f>
        <v>0</v>
      </c>
      <c r="E424" s="642" t="str">
        <f>IF('Proposed Lighting'!W121="","",'Proposed Lighting'!W121)</f>
        <v/>
      </c>
      <c r="F424" s="642"/>
      <c r="G424" s="641" t="s">
        <v>786</v>
      </c>
      <c r="H424" s="643">
        <v>10</v>
      </c>
      <c r="I424" s="644">
        <v>1</v>
      </c>
      <c r="J424" s="723">
        <f>IF('Proposed Lighting'!EF121=0,'Proposed Lighting'!AA121,'Proposed Lighting'!EF121)</f>
        <v>0</v>
      </c>
      <c r="K424" s="643" t="str">
        <f>'Proposed Lighting'!CU121</f>
        <v/>
      </c>
      <c r="L424" s="643" t="str">
        <f t="shared" si="90"/>
        <v/>
      </c>
      <c r="M424" s="645">
        <f t="shared" si="93"/>
        <v>0</v>
      </c>
      <c r="N424" s="645"/>
      <c r="O424" s="722">
        <f>IFERROR('Proposed Lighting'!AC121/1000,0)</f>
        <v>0</v>
      </c>
      <c r="P424" s="644">
        <f>'Proposed Lighting'!AV121</f>
        <v>0</v>
      </c>
      <c r="Q424" s="644">
        <f>IF(AND('Proposed Lighting'!T121="Lighting Controls Only",'Data Entry'!$AF$23="OR",'Proposed Lighting'!AU121=2),0,
IF(AND('Proposed Lighting'!T121="Lighting Controls Only",'Data Entry'!$AF$23="OR",'Proposed Lighting'!AU121=3,OR('Proposed Lighting'!W121="ceiling mount",'Proposed Lighting'!W121="wall switch",'Proposed Lighting'!W121="fixture mount (on exisiting equip)",'Proposed Lighting'!W121="daylight harvesting (on existing equip)")),0,
IF('Proposed Lighting'!AF121=1,IF(P424=0,0,J424*O424*(L424*(1-P424))),IF('Proposed Lighting'!AU121=1,0,'Proposed Lighting'!AX121-'Proposed Lighting'!AY121))))</f>
        <v>0</v>
      </c>
      <c r="R424" s="646">
        <f>IF('Proposed Lighting'!T121="Non-standard (provide description",0,
IF(AND(E424="Non-standard control",'Proposed Lighting'!AU121=2),Q424*0.1,
IF(AND(E424="Non-standard control",'Proposed Lighting'!AU121=3),Q424*0.08,
IF('Proposed Lighting'!EF121=0,0,IF('Proposed Lighting'!AU121=1,0,
IF(AND('Data Entry'!$AF$23="ID",'Proposed Lighting'!T121="Lighting controls only"),VLOOKUP(E424,'Proposed Lighting'!$DO$97:$DP$106,2,FALSE),
IF(AND('Data Entry'!$AF$23="OR",'Proposed Lighting'!AU121=3,'Proposed Lighting'!T121="Lighting controls only"),VLOOKUP(E424,'Proposed Lighting'!$DO$127:$DP$134,2,FALSE),0)))))))*J424</f>
        <v>0</v>
      </c>
      <c r="S424" s="646">
        <f>IF(Q424&lt;0.01,0,IF('Proposed Lighting'!AK121&gt;0,'Proposed Lighting'!AK121*'Proposed Lighting'!EF121,0))</f>
        <v>0</v>
      </c>
      <c r="T424" s="647">
        <f t="shared" si="91"/>
        <v>0</v>
      </c>
      <c r="U424" s="648"/>
      <c r="V424" s="646">
        <f t="shared" si="94"/>
        <v>0</v>
      </c>
      <c r="W424" s="646">
        <f t="shared" si="95"/>
        <v>0</v>
      </c>
      <c r="X424" s="646">
        <f t="shared" si="96"/>
        <v>0</v>
      </c>
      <c r="Y424" s="646"/>
      <c r="Z424" s="646"/>
      <c r="AA424" s="646"/>
      <c r="AB424" s="646">
        <f t="shared" si="97"/>
        <v>0</v>
      </c>
      <c r="AC424" s="649" t="str">
        <f t="shared" si="98"/>
        <v/>
      </c>
      <c r="AD424" s="649" t="str">
        <f t="shared" si="99"/>
        <v/>
      </c>
      <c r="AE424" s="649" t="str">
        <f t="shared" si="100"/>
        <v/>
      </c>
      <c r="AF424" s="72"/>
      <c r="AG424" s="644">
        <f>IFERROR(IF($AV424="No",0,IF($AV424="yes",Summary!Q424,"")),"")</f>
        <v>0</v>
      </c>
      <c r="AH424" s="646">
        <f>IFERROR(IF($AV424="No",0,IF($AV424="yes",Summary!R424,"")),"")</f>
        <v>0</v>
      </c>
      <c r="AI424" s="646">
        <f>IFERROR(IF($AV424="No",0,IF($AV424="yes",Summary!S424,"")),"")</f>
        <v>0</v>
      </c>
      <c r="AJ424" s="647">
        <f>IFERROR(IF($AV424="No",0,IF($AV424="yes",Summary!T424,"")),"")</f>
        <v>0</v>
      </c>
      <c r="AK424" s="648">
        <f>IFERROR(IF($AV424="No",0,IF($AV424="yes",Summary!U424,"")),"")</f>
        <v>0</v>
      </c>
      <c r="AL424" s="646">
        <f>IFERROR(IF($AV424="No",0,IF($AV424="yes",Summary!V424,"")),"")</f>
        <v>0</v>
      </c>
      <c r="AM424" s="646">
        <f>IFERROR(IF($AV424="No",0,IF($AV424="yes",Summary!W424,"")),"")</f>
        <v>0</v>
      </c>
      <c r="AN424" s="646">
        <f>IFERROR(IF($AV424="No",0,IF($AV424="yes",Summary!X424,"")),"")</f>
        <v>0</v>
      </c>
      <c r="AO424" s="646">
        <f>IFERROR(IF($AV424="No",0,IF($AV424="yes",Summary!Y424+Z424,"")),"")</f>
        <v>0</v>
      </c>
      <c r="AP424" s="646">
        <f>IFERROR(IF($AV424="No",0,IF($AV424="yes",Summary!AB424,"")),"")</f>
        <v>0</v>
      </c>
      <c r="AQ424" s="649" t="str">
        <f t="shared" si="88"/>
        <v/>
      </c>
      <c r="AR424" s="649" t="str">
        <f t="shared" si="92"/>
        <v/>
      </c>
      <c r="AS424" s="649" t="str">
        <f t="shared" si="89"/>
        <v/>
      </c>
      <c r="AT424" s="641" t="s">
        <v>898</v>
      </c>
      <c r="AV424" t="str">
        <f>IF('Proposed Lighting'!AK121&gt;0,"No","Yes")</f>
        <v>Yes</v>
      </c>
    </row>
    <row r="425" spans="1:48" ht="34.5" customHeight="1" outlineLevel="1">
      <c r="A425" s="641" t="s">
        <v>899</v>
      </c>
      <c r="B425" s="641" t="str">
        <f>IF('Proposed Lighting'!AU122=3,"Commercial-All Com-ExtLight",IF('Proposed Lighting'!AH122&gt;8759,"IPC_8760","Commercial-All Com-IntLight"))</f>
        <v>IPC_8760</v>
      </c>
      <c r="C425" s="641" t="str">
        <f>IF(OR(E425="",E425=0),"No",
IF(AND('Data Entry'!$AF$23="OR",AE425&lt;1),"No",
IF(AND('Data Entry'!$AF$23="ID",E425="Non-standard lighting control system",AD425&lt;1),"No",
IF(AND('Data Entry'!$AF$23="OR",'Proposed Lighting'!F122="Existing LED (Provide Description)",'Proposed Lighting'!AK122=""),"No",
IF('Proposed Lighting'!DD122="Submit Control as Non-Standard","No",
IF(AND('Proposed Lighting'!T122="Non-Standard (Provide Description)",AD425&lt;1),"No",
IF('Proposed Lighting'!AW122&lt;'Proposed Lighting'!AZ122,"No","Yes")))))))</f>
        <v>No</v>
      </c>
      <c r="D425" s="1604">
        <f>'Proposed Lighting'!BQ122-Q425</f>
        <v>0</v>
      </c>
      <c r="E425" s="642" t="str">
        <f>IF('Proposed Lighting'!W122="","",'Proposed Lighting'!W122)</f>
        <v/>
      </c>
      <c r="F425" s="642"/>
      <c r="G425" s="641" t="s">
        <v>786</v>
      </c>
      <c r="H425" s="643">
        <v>10</v>
      </c>
      <c r="I425" s="644">
        <v>1</v>
      </c>
      <c r="J425" s="723">
        <f>IF('Proposed Lighting'!EF122=0,'Proposed Lighting'!AA122,'Proposed Lighting'!EF122)</f>
        <v>0</v>
      </c>
      <c r="K425" s="643" t="str">
        <f>'Proposed Lighting'!CU122</f>
        <v/>
      </c>
      <c r="L425" s="643" t="str">
        <f t="shared" si="90"/>
        <v/>
      </c>
      <c r="M425" s="645">
        <f t="shared" si="93"/>
        <v>0</v>
      </c>
      <c r="N425" s="645"/>
      <c r="O425" s="722">
        <f>IFERROR('Proposed Lighting'!AC122/1000,0)</f>
        <v>0</v>
      </c>
      <c r="P425" s="644">
        <f>'Proposed Lighting'!AV122</f>
        <v>0</v>
      </c>
      <c r="Q425" s="644">
        <f>IF(AND('Proposed Lighting'!T122="Lighting Controls Only",'Data Entry'!$AF$23="OR",'Proposed Lighting'!AU122=2),0,
IF(AND('Proposed Lighting'!T122="Lighting Controls Only",'Data Entry'!$AF$23="OR",'Proposed Lighting'!AU122=3,OR('Proposed Lighting'!W122="ceiling mount",'Proposed Lighting'!W122="wall switch",'Proposed Lighting'!W122="fixture mount (on exisiting equip)",'Proposed Lighting'!W122="daylight harvesting (on existing equip)")),0,
IF('Proposed Lighting'!AF122=1,IF(P425=0,0,J425*O425*(L425*(1-P425))),IF('Proposed Lighting'!AU122=1,0,'Proposed Lighting'!AX122-'Proposed Lighting'!AY122))))</f>
        <v>0</v>
      </c>
      <c r="R425" s="646">
        <f>IF('Proposed Lighting'!T122="Non-standard (provide description",0,
IF(AND(E425="Non-standard control",'Proposed Lighting'!AU122=2),Q425*0.1,
IF(AND(E425="Non-standard control",'Proposed Lighting'!AU122=3),Q425*0.08,
IF('Proposed Lighting'!EF122=0,0,IF('Proposed Lighting'!AU122=1,0,
IF(AND('Data Entry'!$AF$23="ID",'Proposed Lighting'!T122="Lighting controls only"),VLOOKUP(E425,'Proposed Lighting'!$DO$97:$DP$106,2,FALSE),
IF(AND('Data Entry'!$AF$23="OR",'Proposed Lighting'!AU122=3,'Proposed Lighting'!T122="Lighting controls only"),VLOOKUP(E425,'Proposed Lighting'!$DO$127:$DP$134,2,FALSE),0)))))))*J425</f>
        <v>0</v>
      </c>
      <c r="S425" s="646">
        <f>IF(Q425&lt;0.01,0,IF('Proposed Lighting'!AK122&gt;0,'Proposed Lighting'!AK122*'Proposed Lighting'!EF122,0))</f>
        <v>0</v>
      </c>
      <c r="T425" s="647">
        <f t="shared" si="91"/>
        <v>0</v>
      </c>
      <c r="U425" s="648"/>
      <c r="V425" s="646">
        <f t="shared" si="94"/>
        <v>0</v>
      </c>
      <c r="W425" s="646">
        <f t="shared" si="95"/>
        <v>0</v>
      </c>
      <c r="X425" s="646">
        <f t="shared" si="96"/>
        <v>0</v>
      </c>
      <c r="Y425" s="646"/>
      <c r="Z425" s="646"/>
      <c r="AA425" s="646"/>
      <c r="AB425" s="646">
        <f t="shared" si="97"/>
        <v>0</v>
      </c>
      <c r="AC425" s="649" t="str">
        <f t="shared" si="98"/>
        <v/>
      </c>
      <c r="AD425" s="649" t="str">
        <f t="shared" si="99"/>
        <v/>
      </c>
      <c r="AE425" s="649" t="str">
        <f t="shared" si="100"/>
        <v/>
      </c>
      <c r="AF425" s="72"/>
      <c r="AG425" s="644">
        <f>IFERROR(IF($AV425="No",0,IF($AV425="yes",Summary!Q425,"")),"")</f>
        <v>0</v>
      </c>
      <c r="AH425" s="646">
        <f>IFERROR(IF($AV425="No",0,IF($AV425="yes",Summary!R425,"")),"")</f>
        <v>0</v>
      </c>
      <c r="AI425" s="646">
        <f>IFERROR(IF($AV425="No",0,IF($AV425="yes",Summary!S425,"")),"")</f>
        <v>0</v>
      </c>
      <c r="AJ425" s="647">
        <f>IFERROR(IF($AV425="No",0,IF($AV425="yes",Summary!T425,"")),"")</f>
        <v>0</v>
      </c>
      <c r="AK425" s="648">
        <f>IFERROR(IF($AV425="No",0,IF($AV425="yes",Summary!U425,"")),"")</f>
        <v>0</v>
      </c>
      <c r="AL425" s="646">
        <f>IFERROR(IF($AV425="No",0,IF($AV425="yes",Summary!V425,"")),"")</f>
        <v>0</v>
      </c>
      <c r="AM425" s="646">
        <f>IFERROR(IF($AV425="No",0,IF($AV425="yes",Summary!W425,"")),"")</f>
        <v>0</v>
      </c>
      <c r="AN425" s="646">
        <f>IFERROR(IF($AV425="No",0,IF($AV425="yes",Summary!X425,"")),"")</f>
        <v>0</v>
      </c>
      <c r="AO425" s="646">
        <f>IFERROR(IF($AV425="No",0,IF($AV425="yes",Summary!Y425+Z425,"")),"")</f>
        <v>0</v>
      </c>
      <c r="AP425" s="646">
        <f>IFERROR(IF($AV425="No",0,IF($AV425="yes",Summary!AB425,"")),"")</f>
        <v>0</v>
      </c>
      <c r="AQ425" s="649" t="str">
        <f t="shared" ref="AQ425:AQ488" si="101">IFERROR(IF($AG425&lt;0,"",(AL425+AH425+AO425+AP425)/(AI425)),"")</f>
        <v/>
      </c>
      <c r="AR425" s="649" t="str">
        <f t="shared" si="92"/>
        <v/>
      </c>
      <c r="AS425" s="649" t="str">
        <f t="shared" ref="AS425:AS488" si="102">IFERROR(IF($AG425&lt;0,"",IF(AI425=0,((AN425+AO425+AP425)*I425)/((AG425*AK425)+AH425),((AN425+AO425+AP425)*I425)/((AG425*AK425)+AH425+((AI425-AH425)*I425)))),"")</f>
        <v/>
      </c>
      <c r="AT425" s="641" t="s">
        <v>899</v>
      </c>
      <c r="AV425" t="str">
        <f>IF('Proposed Lighting'!AK122&gt;0,"No","Yes")</f>
        <v>Yes</v>
      </c>
    </row>
    <row r="426" spans="1:48" ht="34.5" customHeight="1" outlineLevel="1">
      <c r="A426" s="641" t="s">
        <v>900</v>
      </c>
      <c r="B426" s="641" t="str">
        <f>IF('Proposed Lighting'!AU123=3,"Commercial-All Com-ExtLight",IF('Proposed Lighting'!AH123&gt;8759,"IPC_8760","Commercial-All Com-IntLight"))</f>
        <v>IPC_8760</v>
      </c>
      <c r="C426" s="641" t="str">
        <f>IF(OR(E426="",E426=0),"No",
IF(AND('Data Entry'!$AF$23="OR",AE426&lt;1),"No",
IF(AND('Data Entry'!$AF$23="ID",E426="Non-standard lighting control system",AD426&lt;1),"No",
IF(AND('Data Entry'!$AF$23="OR",'Proposed Lighting'!F123="Existing LED (Provide Description)",'Proposed Lighting'!AK123=""),"No",
IF('Proposed Lighting'!DD123="Submit Control as Non-Standard","No",
IF(AND('Proposed Lighting'!T123="Non-Standard (Provide Description)",AD426&lt;1),"No",
IF('Proposed Lighting'!AW123&lt;'Proposed Lighting'!AZ123,"No","Yes")))))))</f>
        <v>No</v>
      </c>
      <c r="D426" s="1604">
        <f>'Proposed Lighting'!BQ123-Q426</f>
        <v>0</v>
      </c>
      <c r="E426" s="642" t="str">
        <f>IF('Proposed Lighting'!W123="","",'Proposed Lighting'!W123)</f>
        <v/>
      </c>
      <c r="F426" s="642"/>
      <c r="G426" s="641" t="s">
        <v>786</v>
      </c>
      <c r="H426" s="643">
        <v>10</v>
      </c>
      <c r="I426" s="644">
        <v>1</v>
      </c>
      <c r="J426" s="723">
        <f>IF('Proposed Lighting'!EF123=0,'Proposed Lighting'!AA123,'Proposed Lighting'!EF123)</f>
        <v>0</v>
      </c>
      <c r="K426" s="643" t="str">
        <f>'Proposed Lighting'!CU123</f>
        <v/>
      </c>
      <c r="L426" s="643" t="str">
        <f t="shared" si="90"/>
        <v/>
      </c>
      <c r="M426" s="645">
        <f t="shared" si="93"/>
        <v>0</v>
      </c>
      <c r="N426" s="645"/>
      <c r="O426" s="722">
        <f>IFERROR('Proposed Lighting'!AC123/1000,0)</f>
        <v>0</v>
      </c>
      <c r="P426" s="644">
        <f>'Proposed Lighting'!AV123</f>
        <v>0</v>
      </c>
      <c r="Q426" s="644">
        <f>IF(AND('Proposed Lighting'!T123="Lighting Controls Only",'Data Entry'!$AF$23="OR",'Proposed Lighting'!AU123=2),0,
IF(AND('Proposed Lighting'!T123="Lighting Controls Only",'Data Entry'!$AF$23="OR",'Proposed Lighting'!AU123=3,OR('Proposed Lighting'!W123="ceiling mount",'Proposed Lighting'!W123="wall switch",'Proposed Lighting'!W123="fixture mount (on exisiting equip)",'Proposed Lighting'!W123="daylight harvesting (on existing equip)")),0,
IF('Proposed Lighting'!AF123=1,IF(P426=0,0,J426*O426*(L426*(1-P426))),IF('Proposed Lighting'!AU123=1,0,'Proposed Lighting'!AX123-'Proposed Lighting'!AY123))))</f>
        <v>0</v>
      </c>
      <c r="R426" s="646">
        <f>IF('Proposed Lighting'!T123="Non-standard (provide description",0,
IF(AND(E426="Non-standard control",'Proposed Lighting'!AU123=2),Q426*0.1,
IF(AND(E426="Non-standard control",'Proposed Lighting'!AU123=3),Q426*0.08,
IF('Proposed Lighting'!EF123=0,0,IF('Proposed Lighting'!AU123=1,0,
IF(AND('Data Entry'!$AF$23="ID",'Proposed Lighting'!T123="Lighting controls only"),VLOOKUP(E426,'Proposed Lighting'!$DO$97:$DP$106,2,FALSE),
IF(AND('Data Entry'!$AF$23="OR",'Proposed Lighting'!AU123=3,'Proposed Lighting'!T123="Lighting controls only"),VLOOKUP(E426,'Proposed Lighting'!$DO$127:$DP$134,2,FALSE),0)))))))*J426</f>
        <v>0</v>
      </c>
      <c r="S426" s="646">
        <f>IF(Q426&lt;0.01,0,IF('Proposed Lighting'!AK123&gt;0,'Proposed Lighting'!AK123*'Proposed Lighting'!EF123,0))</f>
        <v>0</v>
      </c>
      <c r="T426" s="647">
        <f t="shared" si="91"/>
        <v>0</v>
      </c>
      <c r="U426" s="648"/>
      <c r="V426" s="646">
        <f t="shared" si="94"/>
        <v>0</v>
      </c>
      <c r="W426" s="646">
        <f t="shared" si="95"/>
        <v>0</v>
      </c>
      <c r="X426" s="646">
        <f t="shared" si="96"/>
        <v>0</v>
      </c>
      <c r="Y426" s="646"/>
      <c r="Z426" s="646"/>
      <c r="AA426" s="646"/>
      <c r="AB426" s="646">
        <f t="shared" si="97"/>
        <v>0</v>
      </c>
      <c r="AC426" s="649" t="str">
        <f t="shared" si="98"/>
        <v/>
      </c>
      <c r="AD426" s="649" t="str">
        <f t="shared" si="99"/>
        <v/>
      </c>
      <c r="AE426" s="649" t="str">
        <f t="shared" si="100"/>
        <v/>
      </c>
      <c r="AF426" s="72"/>
      <c r="AG426" s="644">
        <f>IFERROR(IF($AV426="No",0,IF($AV426="yes",Summary!Q426,"")),"")</f>
        <v>0</v>
      </c>
      <c r="AH426" s="646">
        <f>IFERROR(IF($AV426="No",0,IF($AV426="yes",Summary!R426,"")),"")</f>
        <v>0</v>
      </c>
      <c r="AI426" s="646">
        <f>IFERROR(IF($AV426="No",0,IF($AV426="yes",Summary!S426,"")),"")</f>
        <v>0</v>
      </c>
      <c r="AJ426" s="647">
        <f>IFERROR(IF($AV426="No",0,IF($AV426="yes",Summary!T426,"")),"")</f>
        <v>0</v>
      </c>
      <c r="AK426" s="648">
        <f>IFERROR(IF($AV426="No",0,IF($AV426="yes",Summary!U426,"")),"")</f>
        <v>0</v>
      </c>
      <c r="AL426" s="646">
        <f>IFERROR(IF($AV426="No",0,IF($AV426="yes",Summary!V426,"")),"")</f>
        <v>0</v>
      </c>
      <c r="AM426" s="646">
        <f>IFERROR(IF($AV426="No",0,IF($AV426="yes",Summary!W426,"")),"")</f>
        <v>0</v>
      </c>
      <c r="AN426" s="646">
        <f>IFERROR(IF($AV426="No",0,IF($AV426="yes",Summary!X426,"")),"")</f>
        <v>0</v>
      </c>
      <c r="AO426" s="646">
        <f>IFERROR(IF($AV426="No",0,IF($AV426="yes",Summary!Y426+Z426,"")),"")</f>
        <v>0</v>
      </c>
      <c r="AP426" s="646">
        <f>IFERROR(IF($AV426="No",0,IF($AV426="yes",Summary!AB426,"")),"")</f>
        <v>0</v>
      </c>
      <c r="AQ426" s="649" t="str">
        <f t="shared" si="101"/>
        <v/>
      </c>
      <c r="AR426" s="649" t="str">
        <f t="shared" si="92"/>
        <v/>
      </c>
      <c r="AS426" s="649" t="str">
        <f t="shared" si="102"/>
        <v/>
      </c>
      <c r="AT426" s="641" t="s">
        <v>900</v>
      </c>
      <c r="AV426" t="str">
        <f>IF('Proposed Lighting'!AK123&gt;0,"No","Yes")</f>
        <v>Yes</v>
      </c>
    </row>
    <row r="427" spans="1:48" ht="34.5" customHeight="1" outlineLevel="1">
      <c r="A427" s="641" t="s">
        <v>901</v>
      </c>
      <c r="B427" s="641" t="str">
        <f>IF('Proposed Lighting'!AU124=3,"Commercial-All Com-ExtLight",IF('Proposed Lighting'!AH124&gt;8759,"IPC_8760","Commercial-All Com-IntLight"))</f>
        <v>IPC_8760</v>
      </c>
      <c r="C427" s="641" t="str">
        <f>IF(OR(E427="",E427=0),"No",
IF(AND('Data Entry'!$AF$23="OR",AE427&lt;1),"No",
IF(AND('Data Entry'!$AF$23="ID",E427="Non-standard lighting control system",AD427&lt;1),"No",
IF(AND('Data Entry'!$AF$23="OR",'Proposed Lighting'!F124="Existing LED (Provide Description)",'Proposed Lighting'!AK124=""),"No",
IF('Proposed Lighting'!DD124="Submit Control as Non-Standard","No",
IF(AND('Proposed Lighting'!T124="Non-Standard (Provide Description)",AD427&lt;1),"No",
IF('Proposed Lighting'!AW124&lt;'Proposed Lighting'!AZ124,"No","Yes")))))))</f>
        <v>No</v>
      </c>
      <c r="D427" s="1604">
        <f>'Proposed Lighting'!BQ124-Q427</f>
        <v>0</v>
      </c>
      <c r="E427" s="642" t="str">
        <f>IF('Proposed Lighting'!W124="","",'Proposed Lighting'!W124)</f>
        <v/>
      </c>
      <c r="F427" s="642"/>
      <c r="G427" s="641" t="s">
        <v>786</v>
      </c>
      <c r="H427" s="643">
        <v>10</v>
      </c>
      <c r="I427" s="644">
        <v>1</v>
      </c>
      <c r="J427" s="723">
        <f>IF('Proposed Lighting'!EF124=0,'Proposed Lighting'!AA124,'Proposed Lighting'!EF124)</f>
        <v>0</v>
      </c>
      <c r="K427" s="643" t="str">
        <f>'Proposed Lighting'!CU124</f>
        <v/>
      </c>
      <c r="L427" s="643" t="str">
        <f t="shared" si="90"/>
        <v/>
      </c>
      <c r="M427" s="645">
        <f t="shared" si="93"/>
        <v>0</v>
      </c>
      <c r="N427" s="645"/>
      <c r="O427" s="722">
        <f>IFERROR('Proposed Lighting'!AC124/1000,0)</f>
        <v>0</v>
      </c>
      <c r="P427" s="644">
        <f>'Proposed Lighting'!AV124</f>
        <v>0</v>
      </c>
      <c r="Q427" s="644">
        <f>IF(AND('Proposed Lighting'!T124="Lighting Controls Only",'Data Entry'!$AF$23="OR",'Proposed Lighting'!AU124=2),0,
IF(AND('Proposed Lighting'!T124="Lighting Controls Only",'Data Entry'!$AF$23="OR",'Proposed Lighting'!AU124=3,OR('Proposed Lighting'!W124="ceiling mount",'Proposed Lighting'!W124="wall switch",'Proposed Lighting'!W124="fixture mount (on exisiting equip)",'Proposed Lighting'!W124="daylight harvesting (on existing equip)")),0,
IF('Proposed Lighting'!AF124=1,IF(P427=0,0,J427*O427*(L427*(1-P427))),IF('Proposed Lighting'!AU124=1,0,'Proposed Lighting'!AX124-'Proposed Lighting'!AY124))))</f>
        <v>0</v>
      </c>
      <c r="R427" s="646">
        <f>IF('Proposed Lighting'!T124="Non-standard (provide description",0,
IF(AND(E427="Non-standard control",'Proposed Lighting'!AU124=2),Q427*0.1,
IF(AND(E427="Non-standard control",'Proposed Lighting'!AU124=3),Q427*0.08,
IF('Proposed Lighting'!EF124=0,0,IF('Proposed Lighting'!AU124=1,0,
IF(AND('Data Entry'!$AF$23="ID",'Proposed Lighting'!T124="Lighting controls only"),VLOOKUP(E427,'Proposed Lighting'!$DO$97:$DP$106,2,FALSE),
IF(AND('Data Entry'!$AF$23="OR",'Proposed Lighting'!AU124=3,'Proposed Lighting'!T124="Lighting controls only"),VLOOKUP(E427,'Proposed Lighting'!$DO$127:$DP$134,2,FALSE),0)))))))*J427</f>
        <v>0</v>
      </c>
      <c r="S427" s="646">
        <f>IF(Q427&lt;0.01,0,IF('Proposed Lighting'!AK124&gt;0,'Proposed Lighting'!AK124*'Proposed Lighting'!EF124,0))</f>
        <v>0</v>
      </c>
      <c r="T427" s="647">
        <f t="shared" si="91"/>
        <v>0</v>
      </c>
      <c r="U427" s="648"/>
      <c r="V427" s="646">
        <f t="shared" si="94"/>
        <v>0</v>
      </c>
      <c r="W427" s="646">
        <f t="shared" si="95"/>
        <v>0</v>
      </c>
      <c r="X427" s="646">
        <f t="shared" si="96"/>
        <v>0</v>
      </c>
      <c r="Y427" s="646"/>
      <c r="Z427" s="646"/>
      <c r="AA427" s="646"/>
      <c r="AB427" s="646">
        <f t="shared" si="97"/>
        <v>0</v>
      </c>
      <c r="AC427" s="649" t="str">
        <f t="shared" si="98"/>
        <v/>
      </c>
      <c r="AD427" s="649" t="str">
        <f t="shared" si="99"/>
        <v/>
      </c>
      <c r="AE427" s="649" t="str">
        <f t="shared" si="100"/>
        <v/>
      </c>
      <c r="AF427" s="72"/>
      <c r="AG427" s="644">
        <f>IFERROR(IF($AV427="No",0,IF($AV427="yes",Summary!Q427,"")),"")</f>
        <v>0</v>
      </c>
      <c r="AH427" s="646">
        <f>IFERROR(IF($AV427="No",0,IF($AV427="yes",Summary!R427,"")),"")</f>
        <v>0</v>
      </c>
      <c r="AI427" s="646">
        <f>IFERROR(IF($AV427="No",0,IF($AV427="yes",Summary!S427,"")),"")</f>
        <v>0</v>
      </c>
      <c r="AJ427" s="647">
        <f>IFERROR(IF($AV427="No",0,IF($AV427="yes",Summary!T427,"")),"")</f>
        <v>0</v>
      </c>
      <c r="AK427" s="648">
        <f>IFERROR(IF($AV427="No",0,IF($AV427="yes",Summary!U427,"")),"")</f>
        <v>0</v>
      </c>
      <c r="AL427" s="646">
        <f>IFERROR(IF($AV427="No",0,IF($AV427="yes",Summary!V427,"")),"")</f>
        <v>0</v>
      </c>
      <c r="AM427" s="646">
        <f>IFERROR(IF($AV427="No",0,IF($AV427="yes",Summary!W427,"")),"")</f>
        <v>0</v>
      </c>
      <c r="AN427" s="646">
        <f>IFERROR(IF($AV427="No",0,IF($AV427="yes",Summary!X427,"")),"")</f>
        <v>0</v>
      </c>
      <c r="AO427" s="646">
        <f>IFERROR(IF($AV427="No",0,IF($AV427="yes",Summary!Y427+Z427,"")),"")</f>
        <v>0</v>
      </c>
      <c r="AP427" s="646">
        <f>IFERROR(IF($AV427="No",0,IF($AV427="yes",Summary!AB427,"")),"")</f>
        <v>0</v>
      </c>
      <c r="AQ427" s="649" t="str">
        <f t="shared" si="101"/>
        <v/>
      </c>
      <c r="AR427" s="649" t="str">
        <f t="shared" si="92"/>
        <v/>
      </c>
      <c r="AS427" s="649" t="str">
        <f t="shared" si="102"/>
        <v/>
      </c>
      <c r="AT427" s="641" t="s">
        <v>901</v>
      </c>
      <c r="AV427" t="str">
        <f>IF('Proposed Lighting'!AK124&gt;0,"No","Yes")</f>
        <v>Yes</v>
      </c>
    </row>
    <row r="428" spans="1:48" ht="34.5" customHeight="1" outlineLevel="1">
      <c r="A428" s="641" t="s">
        <v>902</v>
      </c>
      <c r="B428" s="641" t="str">
        <f>IF('Proposed Lighting'!AU125=3,"Commercial-All Com-ExtLight",IF('Proposed Lighting'!AH125&gt;8759,"IPC_8760","Commercial-All Com-IntLight"))</f>
        <v>IPC_8760</v>
      </c>
      <c r="C428" s="641" t="str">
        <f>IF(OR(E428="",E428=0),"No",
IF(AND('Data Entry'!$AF$23="OR",AE428&lt;1),"No",
IF(AND('Data Entry'!$AF$23="ID",E428="Non-standard lighting control system",AD428&lt;1),"No",
IF(AND('Data Entry'!$AF$23="OR",'Proposed Lighting'!F125="Existing LED (Provide Description)",'Proposed Lighting'!AK125=""),"No",
IF('Proposed Lighting'!DD125="Submit Control as Non-Standard","No",
IF(AND('Proposed Lighting'!T125="Non-Standard (Provide Description)",AD428&lt;1),"No",
IF('Proposed Lighting'!AW125&lt;'Proposed Lighting'!AZ125,"No","Yes")))))))</f>
        <v>No</v>
      </c>
      <c r="D428" s="1604">
        <f>'Proposed Lighting'!BQ125-Q428</f>
        <v>0</v>
      </c>
      <c r="E428" s="642" t="str">
        <f>IF('Proposed Lighting'!W125="","",'Proposed Lighting'!W125)</f>
        <v/>
      </c>
      <c r="F428" s="642"/>
      <c r="G428" s="641" t="s">
        <v>786</v>
      </c>
      <c r="H428" s="643">
        <v>10</v>
      </c>
      <c r="I428" s="644">
        <v>1</v>
      </c>
      <c r="J428" s="723">
        <f>IF('Proposed Lighting'!EF125=0,'Proposed Lighting'!AA125,'Proposed Lighting'!EF125)</f>
        <v>0</v>
      </c>
      <c r="K428" s="643" t="str">
        <f>'Proposed Lighting'!CU125</f>
        <v/>
      </c>
      <c r="L428" s="643" t="str">
        <f t="shared" si="90"/>
        <v/>
      </c>
      <c r="M428" s="645">
        <f t="shared" si="93"/>
        <v>0</v>
      </c>
      <c r="N428" s="645"/>
      <c r="O428" s="722">
        <f>IFERROR('Proposed Lighting'!AC125/1000,0)</f>
        <v>0</v>
      </c>
      <c r="P428" s="644">
        <f>'Proposed Lighting'!AV125</f>
        <v>0</v>
      </c>
      <c r="Q428" s="644">
        <f>IF(AND('Proposed Lighting'!T125="Lighting Controls Only",'Data Entry'!$AF$23="OR",'Proposed Lighting'!AU125=2),0,
IF(AND('Proposed Lighting'!T125="Lighting Controls Only",'Data Entry'!$AF$23="OR",'Proposed Lighting'!AU125=3,OR('Proposed Lighting'!W125="ceiling mount",'Proposed Lighting'!W125="wall switch",'Proposed Lighting'!W125="fixture mount (on exisiting equip)",'Proposed Lighting'!W125="daylight harvesting (on existing equip)")),0,
IF('Proposed Lighting'!AF125=1,IF(P428=0,0,J428*O428*(L428*(1-P428))),IF('Proposed Lighting'!AU125=1,0,'Proposed Lighting'!AX125-'Proposed Lighting'!AY125))))</f>
        <v>0</v>
      </c>
      <c r="R428" s="646">
        <f>IF('Proposed Lighting'!T125="Non-standard (provide description",0,
IF(AND(E428="Non-standard control",'Proposed Lighting'!AU125=2),Q428*0.1,
IF(AND(E428="Non-standard control",'Proposed Lighting'!AU125=3),Q428*0.08,
IF('Proposed Lighting'!EF125=0,0,IF('Proposed Lighting'!AU125=1,0,
IF(AND('Data Entry'!$AF$23="ID",'Proposed Lighting'!T125="Lighting controls only"),VLOOKUP(E428,'Proposed Lighting'!$DO$97:$DP$106,2,FALSE),
IF(AND('Data Entry'!$AF$23="OR",'Proposed Lighting'!AU125=3,'Proposed Lighting'!T125="Lighting controls only"),VLOOKUP(E428,'Proposed Lighting'!$DO$127:$DP$134,2,FALSE),0)))))))*J428</f>
        <v>0</v>
      </c>
      <c r="S428" s="646">
        <f>IF(Q428&lt;0.01,0,IF('Proposed Lighting'!AK125&gt;0,'Proposed Lighting'!AK125*'Proposed Lighting'!EF125,0))</f>
        <v>0</v>
      </c>
      <c r="T428" s="647">
        <f t="shared" si="91"/>
        <v>0</v>
      </c>
      <c r="U428" s="648"/>
      <c r="V428" s="646">
        <f t="shared" si="94"/>
        <v>0</v>
      </c>
      <c r="W428" s="646">
        <f t="shared" si="95"/>
        <v>0</v>
      </c>
      <c r="X428" s="646">
        <f t="shared" si="96"/>
        <v>0</v>
      </c>
      <c r="Y428" s="646"/>
      <c r="Z428" s="646"/>
      <c r="AA428" s="646"/>
      <c r="AB428" s="646">
        <f t="shared" si="97"/>
        <v>0</v>
      </c>
      <c r="AC428" s="649" t="str">
        <f t="shared" si="98"/>
        <v/>
      </c>
      <c r="AD428" s="649" t="str">
        <f t="shared" si="99"/>
        <v/>
      </c>
      <c r="AE428" s="649" t="str">
        <f t="shared" si="100"/>
        <v/>
      </c>
      <c r="AF428" s="72"/>
      <c r="AG428" s="644">
        <f>IFERROR(IF($AV428="No",0,IF($AV428="yes",Summary!Q428,"")),"")</f>
        <v>0</v>
      </c>
      <c r="AH428" s="646">
        <f>IFERROR(IF($AV428="No",0,IF($AV428="yes",Summary!R428,"")),"")</f>
        <v>0</v>
      </c>
      <c r="AI428" s="646">
        <f>IFERROR(IF($AV428="No",0,IF($AV428="yes",Summary!S428,"")),"")</f>
        <v>0</v>
      </c>
      <c r="AJ428" s="647">
        <f>IFERROR(IF($AV428="No",0,IF($AV428="yes",Summary!T428,"")),"")</f>
        <v>0</v>
      </c>
      <c r="AK428" s="648">
        <f>IFERROR(IF($AV428="No",0,IF($AV428="yes",Summary!U428,"")),"")</f>
        <v>0</v>
      </c>
      <c r="AL428" s="646">
        <f>IFERROR(IF($AV428="No",0,IF($AV428="yes",Summary!V428,"")),"")</f>
        <v>0</v>
      </c>
      <c r="AM428" s="646">
        <f>IFERROR(IF($AV428="No",0,IF($AV428="yes",Summary!W428,"")),"")</f>
        <v>0</v>
      </c>
      <c r="AN428" s="646">
        <f>IFERROR(IF($AV428="No",0,IF($AV428="yes",Summary!X428,"")),"")</f>
        <v>0</v>
      </c>
      <c r="AO428" s="646">
        <f>IFERROR(IF($AV428="No",0,IF($AV428="yes",Summary!Y428+Z428,"")),"")</f>
        <v>0</v>
      </c>
      <c r="AP428" s="646">
        <f>IFERROR(IF($AV428="No",0,IF($AV428="yes",Summary!AB428,"")),"")</f>
        <v>0</v>
      </c>
      <c r="AQ428" s="649" t="str">
        <f t="shared" si="101"/>
        <v/>
      </c>
      <c r="AR428" s="649" t="str">
        <f t="shared" si="92"/>
        <v/>
      </c>
      <c r="AS428" s="649" t="str">
        <f t="shared" si="102"/>
        <v/>
      </c>
      <c r="AT428" s="641" t="s">
        <v>902</v>
      </c>
      <c r="AV428" t="str">
        <f>IF('Proposed Lighting'!AK125&gt;0,"No","Yes")</f>
        <v>Yes</v>
      </c>
    </row>
    <row r="429" spans="1:48" ht="34.5" customHeight="1" outlineLevel="1">
      <c r="A429" s="641" t="s">
        <v>903</v>
      </c>
      <c r="B429" s="641" t="str">
        <f>IF('Proposed Lighting'!AU126=3,"Commercial-All Com-ExtLight",IF('Proposed Lighting'!AH126&gt;8759,"IPC_8760","Commercial-All Com-IntLight"))</f>
        <v>IPC_8760</v>
      </c>
      <c r="C429" s="641" t="str">
        <f>IF(OR(E429="",E429=0),"No",
IF(AND('Data Entry'!$AF$23="OR",AE429&lt;1),"No",
IF(AND('Data Entry'!$AF$23="ID",E429="Non-standard lighting control system",AD429&lt;1),"No",
IF(AND('Data Entry'!$AF$23="OR",'Proposed Lighting'!F126="Existing LED (Provide Description)",'Proposed Lighting'!AK126=""),"No",
IF('Proposed Lighting'!DD126="Submit Control as Non-Standard","No",
IF(AND('Proposed Lighting'!T126="Non-Standard (Provide Description)",AD429&lt;1),"No",
IF('Proposed Lighting'!AW126&lt;'Proposed Lighting'!AZ126,"No","Yes")))))))</f>
        <v>No</v>
      </c>
      <c r="D429" s="1604">
        <f>'Proposed Lighting'!BQ126-Q429</f>
        <v>0</v>
      </c>
      <c r="E429" s="642" t="str">
        <f>IF('Proposed Lighting'!W126="","",'Proposed Lighting'!W126)</f>
        <v/>
      </c>
      <c r="F429" s="642"/>
      <c r="G429" s="641" t="s">
        <v>786</v>
      </c>
      <c r="H429" s="643">
        <v>10</v>
      </c>
      <c r="I429" s="644">
        <v>1</v>
      </c>
      <c r="J429" s="723">
        <f>IF('Proposed Lighting'!EF126=0,'Proposed Lighting'!AA126,'Proposed Lighting'!EF126)</f>
        <v>0</v>
      </c>
      <c r="K429" s="643" t="str">
        <f>'Proposed Lighting'!CU126</f>
        <v/>
      </c>
      <c r="L429" s="643" t="str">
        <f t="shared" si="90"/>
        <v/>
      </c>
      <c r="M429" s="645">
        <f t="shared" si="93"/>
        <v>0</v>
      </c>
      <c r="N429" s="645"/>
      <c r="O429" s="722">
        <f>IFERROR('Proposed Lighting'!AC126/1000,0)</f>
        <v>0</v>
      </c>
      <c r="P429" s="644">
        <f>'Proposed Lighting'!AV126</f>
        <v>0</v>
      </c>
      <c r="Q429" s="644">
        <f>IF(AND('Proposed Lighting'!T126="Lighting Controls Only",'Data Entry'!$AF$23="OR",'Proposed Lighting'!AU126=2),0,
IF(AND('Proposed Lighting'!T126="Lighting Controls Only",'Data Entry'!$AF$23="OR",'Proposed Lighting'!AU126=3,OR('Proposed Lighting'!W126="ceiling mount",'Proposed Lighting'!W126="wall switch",'Proposed Lighting'!W126="fixture mount (on exisiting equip)",'Proposed Lighting'!W126="daylight harvesting (on existing equip)")),0,
IF('Proposed Lighting'!AF126=1,IF(P429=0,0,J429*O429*(L429*(1-P429))),IF('Proposed Lighting'!AU126=1,0,'Proposed Lighting'!AX126-'Proposed Lighting'!AY126))))</f>
        <v>0</v>
      </c>
      <c r="R429" s="646">
        <f>IF('Proposed Lighting'!T126="Non-standard (provide description",0,
IF(AND(E429="Non-standard control",'Proposed Lighting'!AU126=2),Q429*0.1,
IF(AND(E429="Non-standard control",'Proposed Lighting'!AU126=3),Q429*0.08,
IF('Proposed Lighting'!EF126=0,0,IF('Proposed Lighting'!AU126=1,0,
IF(AND('Data Entry'!$AF$23="ID",'Proposed Lighting'!T126="Lighting controls only"),VLOOKUP(E429,'Proposed Lighting'!$DO$97:$DP$106,2,FALSE),
IF(AND('Data Entry'!$AF$23="OR",'Proposed Lighting'!AU126=3,'Proposed Lighting'!T126="Lighting controls only"),VLOOKUP(E429,'Proposed Lighting'!$DO$127:$DP$134,2,FALSE),0)))))))*J429</f>
        <v>0</v>
      </c>
      <c r="S429" s="646">
        <f>IF(Q429&lt;0.01,0,IF('Proposed Lighting'!AK126&gt;0,'Proposed Lighting'!AK126*'Proposed Lighting'!EF126,0))</f>
        <v>0</v>
      </c>
      <c r="T429" s="647">
        <f t="shared" si="91"/>
        <v>0</v>
      </c>
      <c r="U429" s="648"/>
      <c r="V429" s="646">
        <f t="shared" si="94"/>
        <v>0</v>
      </c>
      <c r="W429" s="646">
        <f t="shared" si="95"/>
        <v>0</v>
      </c>
      <c r="X429" s="646">
        <f t="shared" si="96"/>
        <v>0</v>
      </c>
      <c r="Y429" s="646"/>
      <c r="Z429" s="646"/>
      <c r="AA429" s="646"/>
      <c r="AB429" s="646">
        <f t="shared" si="97"/>
        <v>0</v>
      </c>
      <c r="AC429" s="649" t="str">
        <f t="shared" si="98"/>
        <v/>
      </c>
      <c r="AD429" s="649" t="str">
        <f t="shared" si="99"/>
        <v/>
      </c>
      <c r="AE429" s="649" t="str">
        <f t="shared" si="100"/>
        <v/>
      </c>
      <c r="AF429" s="72"/>
      <c r="AG429" s="644">
        <f>IFERROR(IF($AV429="No",0,IF($AV429="yes",Summary!Q429,"")),"")</f>
        <v>0</v>
      </c>
      <c r="AH429" s="646">
        <f>IFERROR(IF($AV429="No",0,IF($AV429="yes",Summary!R429,"")),"")</f>
        <v>0</v>
      </c>
      <c r="AI429" s="646">
        <f>IFERROR(IF($AV429="No",0,IF($AV429="yes",Summary!S429,"")),"")</f>
        <v>0</v>
      </c>
      <c r="AJ429" s="647">
        <f>IFERROR(IF($AV429="No",0,IF($AV429="yes",Summary!T429,"")),"")</f>
        <v>0</v>
      </c>
      <c r="AK429" s="648">
        <f>IFERROR(IF($AV429="No",0,IF($AV429="yes",Summary!U429,"")),"")</f>
        <v>0</v>
      </c>
      <c r="AL429" s="646">
        <f>IFERROR(IF($AV429="No",0,IF($AV429="yes",Summary!V429,"")),"")</f>
        <v>0</v>
      </c>
      <c r="AM429" s="646">
        <f>IFERROR(IF($AV429="No",0,IF($AV429="yes",Summary!W429,"")),"")</f>
        <v>0</v>
      </c>
      <c r="AN429" s="646">
        <f>IFERROR(IF($AV429="No",0,IF($AV429="yes",Summary!X429,"")),"")</f>
        <v>0</v>
      </c>
      <c r="AO429" s="646">
        <f>IFERROR(IF($AV429="No",0,IF($AV429="yes",Summary!Y429+Z429,"")),"")</f>
        <v>0</v>
      </c>
      <c r="AP429" s="646">
        <f>IFERROR(IF($AV429="No",0,IF($AV429="yes",Summary!AB429,"")),"")</f>
        <v>0</v>
      </c>
      <c r="AQ429" s="649" t="str">
        <f t="shared" si="101"/>
        <v/>
      </c>
      <c r="AR429" s="649" t="str">
        <f t="shared" si="92"/>
        <v/>
      </c>
      <c r="AS429" s="649" t="str">
        <f t="shared" si="102"/>
        <v/>
      </c>
      <c r="AT429" s="641" t="s">
        <v>903</v>
      </c>
      <c r="AV429" t="str">
        <f>IF('Proposed Lighting'!AK126&gt;0,"No","Yes")</f>
        <v>Yes</v>
      </c>
    </row>
    <row r="430" spans="1:48" ht="34.5" customHeight="1" outlineLevel="1">
      <c r="A430" s="641" t="s">
        <v>904</v>
      </c>
      <c r="B430" s="641" t="str">
        <f>IF('Proposed Lighting'!AU127=3,"Commercial-All Com-ExtLight",IF('Proposed Lighting'!AH127&gt;8759,"IPC_8760","Commercial-All Com-IntLight"))</f>
        <v>IPC_8760</v>
      </c>
      <c r="C430" s="641" t="str">
        <f>IF(OR(E430="",E430=0),"No",
IF(AND('Data Entry'!$AF$23="OR",AE430&lt;1),"No",
IF(AND('Data Entry'!$AF$23="ID",E430="Non-standard lighting control system",AD430&lt;1),"No",
IF(AND('Data Entry'!$AF$23="OR",'Proposed Lighting'!F127="Existing LED (Provide Description)",'Proposed Lighting'!AK127=""),"No",
IF('Proposed Lighting'!DD127="Submit Control as Non-Standard","No",
IF(AND('Proposed Lighting'!T127="Non-Standard (Provide Description)",AD430&lt;1),"No",
IF('Proposed Lighting'!AW127&lt;'Proposed Lighting'!AZ127,"No","Yes")))))))</f>
        <v>No</v>
      </c>
      <c r="D430" s="1604">
        <f>'Proposed Lighting'!BQ127-Q430</f>
        <v>0</v>
      </c>
      <c r="E430" s="642" t="str">
        <f>IF('Proposed Lighting'!W127="","",'Proposed Lighting'!W127)</f>
        <v/>
      </c>
      <c r="F430" s="642"/>
      <c r="G430" s="641" t="s">
        <v>786</v>
      </c>
      <c r="H430" s="643">
        <v>10</v>
      </c>
      <c r="I430" s="644">
        <v>1</v>
      </c>
      <c r="J430" s="723">
        <f>IF('Proposed Lighting'!EF127=0,'Proposed Lighting'!AA127,'Proposed Lighting'!EF127)</f>
        <v>0</v>
      </c>
      <c r="K430" s="643" t="str">
        <f>'Proposed Lighting'!CU127</f>
        <v/>
      </c>
      <c r="L430" s="643" t="str">
        <f t="shared" si="90"/>
        <v/>
      </c>
      <c r="M430" s="645">
        <f t="shared" si="93"/>
        <v>0</v>
      </c>
      <c r="N430" s="645"/>
      <c r="O430" s="722">
        <f>IFERROR('Proposed Lighting'!AC127/1000,0)</f>
        <v>0</v>
      </c>
      <c r="P430" s="644">
        <f>'Proposed Lighting'!AV127</f>
        <v>0</v>
      </c>
      <c r="Q430" s="644">
        <f>IF(AND('Proposed Lighting'!T127="Lighting Controls Only",'Data Entry'!$AF$23="OR",'Proposed Lighting'!AU127=2),0,
IF(AND('Proposed Lighting'!T127="Lighting Controls Only",'Data Entry'!$AF$23="OR",'Proposed Lighting'!AU127=3,OR('Proposed Lighting'!W127="ceiling mount",'Proposed Lighting'!W127="wall switch",'Proposed Lighting'!W127="fixture mount (on exisiting equip)",'Proposed Lighting'!W127="daylight harvesting (on existing equip)")),0,
IF('Proposed Lighting'!AF127=1,IF(P430=0,0,J430*O430*(L430*(1-P430))),IF('Proposed Lighting'!AU127=1,0,'Proposed Lighting'!AX127-'Proposed Lighting'!AY127))))</f>
        <v>0</v>
      </c>
      <c r="R430" s="646">
        <f>IF('Proposed Lighting'!T127="Non-standard (provide description",0,
IF(AND(E430="Non-standard control",'Proposed Lighting'!AU127=2),Q430*0.1,
IF(AND(E430="Non-standard control",'Proposed Lighting'!AU127=3),Q430*0.08,
IF('Proposed Lighting'!EF127=0,0,IF('Proposed Lighting'!AU127=1,0,
IF(AND('Data Entry'!$AF$23="ID",'Proposed Lighting'!T127="Lighting controls only"),VLOOKUP(E430,'Proposed Lighting'!$DO$97:$DP$106,2,FALSE),
IF(AND('Data Entry'!$AF$23="OR",'Proposed Lighting'!AU127=3,'Proposed Lighting'!T127="Lighting controls only"),VLOOKUP(E430,'Proposed Lighting'!$DO$127:$DP$134,2,FALSE),0)))))))*J430</f>
        <v>0</v>
      </c>
      <c r="S430" s="646">
        <f>IF(Q430&lt;0.01,0,IF('Proposed Lighting'!AK127&gt;0,'Proposed Lighting'!AK127*'Proposed Lighting'!EF127,0))</f>
        <v>0</v>
      </c>
      <c r="T430" s="647">
        <f t="shared" si="91"/>
        <v>0</v>
      </c>
      <c r="U430" s="648"/>
      <c r="V430" s="646">
        <f t="shared" si="94"/>
        <v>0</v>
      </c>
      <c r="W430" s="646">
        <f t="shared" si="95"/>
        <v>0</v>
      </c>
      <c r="X430" s="646">
        <f t="shared" si="96"/>
        <v>0</v>
      </c>
      <c r="Y430" s="646"/>
      <c r="Z430" s="646"/>
      <c r="AA430" s="646"/>
      <c r="AB430" s="646">
        <f t="shared" si="97"/>
        <v>0</v>
      </c>
      <c r="AC430" s="649" t="str">
        <f t="shared" si="98"/>
        <v/>
      </c>
      <c r="AD430" s="649" t="str">
        <f t="shared" si="99"/>
        <v/>
      </c>
      <c r="AE430" s="649" t="str">
        <f t="shared" si="100"/>
        <v/>
      </c>
      <c r="AF430" s="72"/>
      <c r="AG430" s="644">
        <f>IFERROR(IF($AV430="No",0,IF($AV430="yes",Summary!Q430,"")),"")</f>
        <v>0</v>
      </c>
      <c r="AH430" s="646">
        <f>IFERROR(IF($AV430="No",0,IF($AV430="yes",Summary!R430,"")),"")</f>
        <v>0</v>
      </c>
      <c r="AI430" s="646">
        <f>IFERROR(IF($AV430="No",0,IF($AV430="yes",Summary!S430,"")),"")</f>
        <v>0</v>
      </c>
      <c r="AJ430" s="647">
        <f>IFERROR(IF($AV430="No",0,IF($AV430="yes",Summary!T430,"")),"")</f>
        <v>0</v>
      </c>
      <c r="AK430" s="648">
        <f>IFERROR(IF($AV430="No",0,IF($AV430="yes",Summary!U430,"")),"")</f>
        <v>0</v>
      </c>
      <c r="AL430" s="646">
        <f>IFERROR(IF($AV430="No",0,IF($AV430="yes",Summary!V430,"")),"")</f>
        <v>0</v>
      </c>
      <c r="AM430" s="646">
        <f>IFERROR(IF($AV430="No",0,IF($AV430="yes",Summary!W430,"")),"")</f>
        <v>0</v>
      </c>
      <c r="AN430" s="646">
        <f>IFERROR(IF($AV430="No",0,IF($AV430="yes",Summary!X430,"")),"")</f>
        <v>0</v>
      </c>
      <c r="AO430" s="646">
        <f>IFERROR(IF($AV430="No",0,IF($AV430="yes",Summary!Y430+Z430,"")),"")</f>
        <v>0</v>
      </c>
      <c r="AP430" s="646">
        <f>IFERROR(IF($AV430="No",0,IF($AV430="yes",Summary!AB430,"")),"")</f>
        <v>0</v>
      </c>
      <c r="AQ430" s="649" t="str">
        <f t="shared" si="101"/>
        <v/>
      </c>
      <c r="AR430" s="649" t="str">
        <f t="shared" si="92"/>
        <v/>
      </c>
      <c r="AS430" s="649" t="str">
        <f t="shared" si="102"/>
        <v/>
      </c>
      <c r="AT430" s="641" t="s">
        <v>904</v>
      </c>
      <c r="AV430" t="str">
        <f>IF('Proposed Lighting'!AK127&gt;0,"No","Yes")</f>
        <v>Yes</v>
      </c>
    </row>
    <row r="431" spans="1:48" ht="34.5" customHeight="1" outlineLevel="1">
      <c r="A431" s="641" t="s">
        <v>905</v>
      </c>
      <c r="B431" s="641" t="str">
        <f>IF('Proposed Lighting'!AU128=3,"Commercial-All Com-ExtLight",IF('Proposed Lighting'!AH128&gt;8759,"IPC_8760","Commercial-All Com-IntLight"))</f>
        <v>IPC_8760</v>
      </c>
      <c r="C431" s="641" t="str">
        <f>IF(OR(E431="",E431=0),"No",
IF(AND('Data Entry'!$AF$23="OR",AE431&lt;1),"No",
IF(AND('Data Entry'!$AF$23="ID",E431="Non-standard lighting control system",AD431&lt;1),"No",
IF(AND('Data Entry'!$AF$23="OR",'Proposed Lighting'!F128="Existing LED (Provide Description)",'Proposed Lighting'!AK128=""),"No",
IF('Proposed Lighting'!DD128="Submit Control as Non-Standard","No",
IF(AND('Proposed Lighting'!T128="Non-Standard (Provide Description)",AD431&lt;1),"No",
IF('Proposed Lighting'!AW128&lt;'Proposed Lighting'!AZ128,"No","Yes")))))))</f>
        <v>No</v>
      </c>
      <c r="D431" s="1604">
        <f>'Proposed Lighting'!BQ128-Q431</f>
        <v>0</v>
      </c>
      <c r="E431" s="642" t="str">
        <f>IF('Proposed Lighting'!W128="","",'Proposed Lighting'!W128)</f>
        <v/>
      </c>
      <c r="F431" s="642"/>
      <c r="G431" s="641" t="s">
        <v>786</v>
      </c>
      <c r="H431" s="643">
        <v>10</v>
      </c>
      <c r="I431" s="644">
        <v>1</v>
      </c>
      <c r="J431" s="723">
        <f>IF('Proposed Lighting'!EF128=0,'Proposed Lighting'!AA128,'Proposed Lighting'!EF128)</f>
        <v>0</v>
      </c>
      <c r="K431" s="643" t="str">
        <f>'Proposed Lighting'!CU128</f>
        <v/>
      </c>
      <c r="L431" s="643" t="str">
        <f t="shared" si="90"/>
        <v/>
      </c>
      <c r="M431" s="645">
        <f t="shared" si="93"/>
        <v>0</v>
      </c>
      <c r="N431" s="645"/>
      <c r="O431" s="722">
        <f>IFERROR('Proposed Lighting'!AC128/1000,0)</f>
        <v>0</v>
      </c>
      <c r="P431" s="644">
        <f>'Proposed Lighting'!AV128</f>
        <v>0</v>
      </c>
      <c r="Q431" s="644">
        <f>IF(AND('Proposed Lighting'!T128="Lighting Controls Only",'Data Entry'!$AF$23="OR",'Proposed Lighting'!AU128=2),0,
IF(AND('Proposed Lighting'!T128="Lighting Controls Only",'Data Entry'!$AF$23="OR",'Proposed Lighting'!AU128=3,OR('Proposed Lighting'!W128="ceiling mount",'Proposed Lighting'!W128="wall switch",'Proposed Lighting'!W128="fixture mount (on exisiting equip)",'Proposed Lighting'!W128="daylight harvesting (on existing equip)")),0,
IF('Proposed Lighting'!AF128=1,IF(P431=0,0,J431*O431*(L431*(1-P431))),IF('Proposed Lighting'!AU128=1,0,'Proposed Lighting'!AX128-'Proposed Lighting'!AY128))))</f>
        <v>0</v>
      </c>
      <c r="R431" s="646">
        <f>IF('Proposed Lighting'!T128="Non-standard (provide description",0,
IF(AND(E431="Non-standard control",'Proposed Lighting'!AU128=2),Q431*0.1,
IF(AND(E431="Non-standard control",'Proposed Lighting'!AU128=3),Q431*0.08,
IF('Proposed Lighting'!EF128=0,0,IF('Proposed Lighting'!AU128=1,0,
IF(AND('Data Entry'!$AF$23="ID",'Proposed Lighting'!T128="Lighting controls only"),VLOOKUP(E431,'Proposed Lighting'!$DO$97:$DP$106,2,FALSE),
IF(AND('Data Entry'!$AF$23="OR",'Proposed Lighting'!AU128=3,'Proposed Lighting'!T128="Lighting controls only"),VLOOKUP(E431,'Proposed Lighting'!$DO$127:$DP$134,2,FALSE),0)))))))*J431</f>
        <v>0</v>
      </c>
      <c r="S431" s="646">
        <f>IF(Q431&lt;0.01,0,IF('Proposed Lighting'!AK128&gt;0,'Proposed Lighting'!AK128*'Proposed Lighting'!EF128,0))</f>
        <v>0</v>
      </c>
      <c r="T431" s="647">
        <f t="shared" si="91"/>
        <v>0</v>
      </c>
      <c r="U431" s="648"/>
      <c r="V431" s="646">
        <f t="shared" si="94"/>
        <v>0</v>
      </c>
      <c r="W431" s="646">
        <f t="shared" si="95"/>
        <v>0</v>
      </c>
      <c r="X431" s="646">
        <f t="shared" si="96"/>
        <v>0</v>
      </c>
      <c r="Y431" s="646"/>
      <c r="Z431" s="646"/>
      <c r="AA431" s="646"/>
      <c r="AB431" s="646">
        <f t="shared" si="97"/>
        <v>0</v>
      </c>
      <c r="AC431" s="649" t="str">
        <f t="shared" si="98"/>
        <v/>
      </c>
      <c r="AD431" s="649" t="str">
        <f t="shared" si="99"/>
        <v/>
      </c>
      <c r="AE431" s="649" t="str">
        <f t="shared" si="100"/>
        <v/>
      </c>
      <c r="AF431" s="72"/>
      <c r="AG431" s="644">
        <f>IFERROR(IF($AV431="No",0,IF($AV431="yes",Summary!Q431,"")),"")</f>
        <v>0</v>
      </c>
      <c r="AH431" s="646">
        <f>IFERROR(IF($AV431="No",0,IF($AV431="yes",Summary!R431,"")),"")</f>
        <v>0</v>
      </c>
      <c r="AI431" s="646">
        <f>IFERROR(IF($AV431="No",0,IF($AV431="yes",Summary!S431,"")),"")</f>
        <v>0</v>
      </c>
      <c r="AJ431" s="647">
        <f>IFERROR(IF($AV431="No",0,IF($AV431="yes",Summary!T431,"")),"")</f>
        <v>0</v>
      </c>
      <c r="AK431" s="648">
        <f>IFERROR(IF($AV431="No",0,IF($AV431="yes",Summary!U431,"")),"")</f>
        <v>0</v>
      </c>
      <c r="AL431" s="646">
        <f>IFERROR(IF($AV431="No",0,IF($AV431="yes",Summary!V431,"")),"")</f>
        <v>0</v>
      </c>
      <c r="AM431" s="646">
        <f>IFERROR(IF($AV431="No",0,IF($AV431="yes",Summary!W431,"")),"")</f>
        <v>0</v>
      </c>
      <c r="AN431" s="646">
        <f>IFERROR(IF($AV431="No",0,IF($AV431="yes",Summary!X431,"")),"")</f>
        <v>0</v>
      </c>
      <c r="AO431" s="646">
        <f>IFERROR(IF($AV431="No",0,IF($AV431="yes",Summary!Y431+Z431,"")),"")</f>
        <v>0</v>
      </c>
      <c r="AP431" s="646">
        <f>IFERROR(IF($AV431="No",0,IF($AV431="yes",Summary!AB431,"")),"")</f>
        <v>0</v>
      </c>
      <c r="AQ431" s="649" t="str">
        <f t="shared" si="101"/>
        <v/>
      </c>
      <c r="AR431" s="649" t="str">
        <f t="shared" si="92"/>
        <v/>
      </c>
      <c r="AS431" s="649" t="str">
        <f t="shared" si="102"/>
        <v/>
      </c>
      <c r="AT431" s="641" t="s">
        <v>905</v>
      </c>
      <c r="AV431" t="str">
        <f>IF('Proposed Lighting'!AK128&gt;0,"No","Yes")</f>
        <v>Yes</v>
      </c>
    </row>
    <row r="432" spans="1:48" ht="34.5" customHeight="1" outlineLevel="1">
      <c r="A432" s="641" t="s">
        <v>906</v>
      </c>
      <c r="B432" s="641" t="str">
        <f>IF('Proposed Lighting'!AU129=3,"Commercial-All Com-ExtLight",IF('Proposed Lighting'!AH129&gt;8759,"IPC_8760","Commercial-All Com-IntLight"))</f>
        <v>IPC_8760</v>
      </c>
      <c r="C432" s="641" t="str">
        <f>IF(OR(E432="",E432=0),"No",
IF(AND('Data Entry'!$AF$23="OR",AE432&lt;1),"No",
IF(AND('Data Entry'!$AF$23="ID",E432="Non-standard lighting control system",AD432&lt;1),"No",
IF(AND('Data Entry'!$AF$23="OR",'Proposed Lighting'!F129="Existing LED (Provide Description)",'Proposed Lighting'!AK129=""),"No",
IF('Proposed Lighting'!DD129="Submit Control as Non-Standard","No",
IF(AND('Proposed Lighting'!T129="Non-Standard (Provide Description)",AD432&lt;1),"No",
IF('Proposed Lighting'!AW129&lt;'Proposed Lighting'!AZ129,"No","Yes")))))))</f>
        <v>No</v>
      </c>
      <c r="D432" s="1604">
        <f>'Proposed Lighting'!BQ129-Q432</f>
        <v>0</v>
      </c>
      <c r="E432" s="642" t="str">
        <f>IF('Proposed Lighting'!W129="","",'Proposed Lighting'!W129)</f>
        <v/>
      </c>
      <c r="F432" s="642"/>
      <c r="G432" s="641" t="s">
        <v>786</v>
      </c>
      <c r="H432" s="643">
        <v>10</v>
      </c>
      <c r="I432" s="644">
        <v>1</v>
      </c>
      <c r="J432" s="723">
        <f>IF('Proposed Lighting'!EF129=0,'Proposed Lighting'!AA129,'Proposed Lighting'!EF129)</f>
        <v>0</v>
      </c>
      <c r="K432" s="643" t="str">
        <f>'Proposed Lighting'!CU129</f>
        <v/>
      </c>
      <c r="L432" s="643" t="str">
        <f t="shared" si="90"/>
        <v/>
      </c>
      <c r="M432" s="645">
        <f t="shared" si="93"/>
        <v>0</v>
      </c>
      <c r="N432" s="645"/>
      <c r="O432" s="722">
        <f>IFERROR('Proposed Lighting'!AC129/1000,0)</f>
        <v>0</v>
      </c>
      <c r="P432" s="644">
        <f>'Proposed Lighting'!AV129</f>
        <v>0</v>
      </c>
      <c r="Q432" s="644">
        <f>IF(AND('Proposed Lighting'!T129="Lighting Controls Only",'Data Entry'!$AF$23="OR",'Proposed Lighting'!AU129=2),0,
IF(AND('Proposed Lighting'!T129="Lighting Controls Only",'Data Entry'!$AF$23="OR",'Proposed Lighting'!AU129=3,OR('Proposed Lighting'!W129="ceiling mount",'Proposed Lighting'!W129="wall switch",'Proposed Lighting'!W129="fixture mount (on exisiting equip)",'Proposed Lighting'!W129="daylight harvesting (on existing equip)")),0,
IF('Proposed Lighting'!AF129=1,IF(P432=0,0,J432*O432*(L432*(1-P432))),IF('Proposed Lighting'!AU129=1,0,'Proposed Lighting'!AX129-'Proposed Lighting'!AY129))))</f>
        <v>0</v>
      </c>
      <c r="R432" s="646">
        <f>IF('Proposed Lighting'!T129="Non-standard (provide description",0,
IF(AND(E432="Non-standard control",'Proposed Lighting'!AU129=2),Q432*0.1,
IF(AND(E432="Non-standard control",'Proposed Lighting'!AU129=3),Q432*0.08,
IF('Proposed Lighting'!EF129=0,0,IF('Proposed Lighting'!AU129=1,0,
IF(AND('Data Entry'!$AF$23="ID",'Proposed Lighting'!T129="Lighting controls only"),VLOOKUP(E432,'Proposed Lighting'!$DO$97:$DP$106,2,FALSE),
IF(AND('Data Entry'!$AF$23="OR",'Proposed Lighting'!AU129=3,'Proposed Lighting'!T129="Lighting controls only"),VLOOKUP(E432,'Proposed Lighting'!$DO$127:$DP$134,2,FALSE),0)))))))*J432</f>
        <v>0</v>
      </c>
      <c r="S432" s="646">
        <f>IF(Q432&lt;0.01,0,IF('Proposed Lighting'!AK129&gt;0,'Proposed Lighting'!AK129*'Proposed Lighting'!EF129,0))</f>
        <v>0</v>
      </c>
      <c r="T432" s="647">
        <f t="shared" si="91"/>
        <v>0</v>
      </c>
      <c r="U432" s="648"/>
      <c r="V432" s="646">
        <f t="shared" si="94"/>
        <v>0</v>
      </c>
      <c r="W432" s="646">
        <f t="shared" si="95"/>
        <v>0</v>
      </c>
      <c r="X432" s="646">
        <f t="shared" si="96"/>
        <v>0</v>
      </c>
      <c r="Y432" s="646"/>
      <c r="Z432" s="646"/>
      <c r="AA432" s="646"/>
      <c r="AB432" s="646">
        <f t="shared" si="97"/>
        <v>0</v>
      </c>
      <c r="AC432" s="649" t="str">
        <f t="shared" si="98"/>
        <v/>
      </c>
      <c r="AD432" s="649" t="str">
        <f t="shared" si="99"/>
        <v/>
      </c>
      <c r="AE432" s="649" t="str">
        <f t="shared" si="100"/>
        <v/>
      </c>
      <c r="AF432" s="72"/>
      <c r="AG432" s="644">
        <f>IFERROR(IF($AV432="No",0,IF($AV432="yes",Summary!Q432,"")),"")</f>
        <v>0</v>
      </c>
      <c r="AH432" s="646">
        <f>IFERROR(IF($AV432="No",0,IF($AV432="yes",Summary!R432,"")),"")</f>
        <v>0</v>
      </c>
      <c r="AI432" s="646">
        <f>IFERROR(IF($AV432="No",0,IF($AV432="yes",Summary!S432,"")),"")</f>
        <v>0</v>
      </c>
      <c r="AJ432" s="647">
        <f>IFERROR(IF($AV432="No",0,IF($AV432="yes",Summary!T432,"")),"")</f>
        <v>0</v>
      </c>
      <c r="AK432" s="648">
        <f>IFERROR(IF($AV432="No",0,IF($AV432="yes",Summary!U432,"")),"")</f>
        <v>0</v>
      </c>
      <c r="AL432" s="646">
        <f>IFERROR(IF($AV432="No",0,IF($AV432="yes",Summary!V432,"")),"")</f>
        <v>0</v>
      </c>
      <c r="AM432" s="646">
        <f>IFERROR(IF($AV432="No",0,IF($AV432="yes",Summary!W432,"")),"")</f>
        <v>0</v>
      </c>
      <c r="AN432" s="646">
        <f>IFERROR(IF($AV432="No",0,IF($AV432="yes",Summary!X432,"")),"")</f>
        <v>0</v>
      </c>
      <c r="AO432" s="646">
        <f>IFERROR(IF($AV432="No",0,IF($AV432="yes",Summary!Y432+Z432,"")),"")</f>
        <v>0</v>
      </c>
      <c r="AP432" s="646">
        <f>IFERROR(IF($AV432="No",0,IF($AV432="yes",Summary!AB432,"")),"")</f>
        <v>0</v>
      </c>
      <c r="AQ432" s="649" t="str">
        <f t="shared" si="101"/>
        <v/>
      </c>
      <c r="AR432" s="649" t="str">
        <f t="shared" si="92"/>
        <v/>
      </c>
      <c r="AS432" s="649" t="str">
        <f t="shared" si="102"/>
        <v/>
      </c>
      <c r="AT432" s="641" t="s">
        <v>906</v>
      </c>
      <c r="AV432" t="str">
        <f>IF('Proposed Lighting'!AK129&gt;0,"No","Yes")</f>
        <v>Yes</v>
      </c>
    </row>
    <row r="433" spans="1:48" ht="34.5" customHeight="1" outlineLevel="1">
      <c r="A433" s="641" t="s">
        <v>907</v>
      </c>
      <c r="B433" s="641" t="str">
        <f>IF('Proposed Lighting'!AU130=3,"Commercial-All Com-ExtLight",IF('Proposed Lighting'!AH130&gt;8759,"IPC_8760","Commercial-All Com-IntLight"))</f>
        <v>IPC_8760</v>
      </c>
      <c r="C433" s="641" t="str">
        <f>IF(OR(E433="",E433=0),"No",
IF(AND('Data Entry'!$AF$23="OR",AE433&lt;1),"No",
IF(AND('Data Entry'!$AF$23="ID",E433="Non-standard lighting control system",AD433&lt;1),"No",
IF(AND('Data Entry'!$AF$23="OR",'Proposed Lighting'!F130="Existing LED (Provide Description)",'Proposed Lighting'!AK130=""),"No",
IF('Proposed Lighting'!DD130="Submit Control as Non-Standard","No",
IF(AND('Proposed Lighting'!T130="Non-Standard (Provide Description)",AD433&lt;1),"No",
IF('Proposed Lighting'!AW130&lt;'Proposed Lighting'!AZ130,"No","Yes")))))))</f>
        <v>No</v>
      </c>
      <c r="D433" s="1604">
        <f>'Proposed Lighting'!BQ130-Q433</f>
        <v>0</v>
      </c>
      <c r="E433" s="642" t="str">
        <f>IF('Proposed Lighting'!W130="","",'Proposed Lighting'!W130)</f>
        <v/>
      </c>
      <c r="F433" s="642"/>
      <c r="G433" s="641" t="s">
        <v>786</v>
      </c>
      <c r="H433" s="643">
        <v>10</v>
      </c>
      <c r="I433" s="644">
        <v>1</v>
      </c>
      <c r="J433" s="723">
        <f>IF('Proposed Lighting'!EF130=0,'Proposed Lighting'!AA130,'Proposed Lighting'!EF130)</f>
        <v>0</v>
      </c>
      <c r="K433" s="643" t="str">
        <f>'Proposed Lighting'!CU130</f>
        <v/>
      </c>
      <c r="L433" s="643" t="str">
        <f t="shared" si="90"/>
        <v/>
      </c>
      <c r="M433" s="645">
        <f t="shared" si="93"/>
        <v>0</v>
      </c>
      <c r="N433" s="645"/>
      <c r="O433" s="722">
        <f>IFERROR('Proposed Lighting'!AC130/1000,0)</f>
        <v>0</v>
      </c>
      <c r="P433" s="644">
        <f>'Proposed Lighting'!AV130</f>
        <v>0</v>
      </c>
      <c r="Q433" s="644">
        <f>IF(AND('Proposed Lighting'!T130="Lighting Controls Only",'Data Entry'!$AF$23="OR",'Proposed Lighting'!AU130=2),0,
IF(AND('Proposed Lighting'!T130="Lighting Controls Only",'Data Entry'!$AF$23="OR",'Proposed Lighting'!AU130=3,OR('Proposed Lighting'!W130="ceiling mount",'Proposed Lighting'!W130="wall switch",'Proposed Lighting'!W130="fixture mount (on exisiting equip)",'Proposed Lighting'!W130="daylight harvesting (on existing equip)")),0,
IF('Proposed Lighting'!AF130=1,IF(P433=0,0,J433*O433*(L433*(1-P433))),IF('Proposed Lighting'!AU130=1,0,'Proposed Lighting'!AX130-'Proposed Lighting'!AY130))))</f>
        <v>0</v>
      </c>
      <c r="R433" s="646">
        <f>IF('Proposed Lighting'!T130="Non-standard (provide description",0,
IF(AND(E433="Non-standard control",'Proposed Lighting'!AU130=2),Q433*0.1,
IF(AND(E433="Non-standard control",'Proposed Lighting'!AU130=3),Q433*0.08,
IF('Proposed Lighting'!EF130=0,0,IF('Proposed Lighting'!AU130=1,0,
IF(AND('Data Entry'!$AF$23="ID",'Proposed Lighting'!T130="Lighting controls only"),VLOOKUP(E433,'Proposed Lighting'!$DO$97:$DP$106,2,FALSE),
IF(AND('Data Entry'!$AF$23="OR",'Proposed Lighting'!AU130=3,'Proposed Lighting'!T130="Lighting controls only"),VLOOKUP(E433,'Proposed Lighting'!$DO$127:$DP$134,2,FALSE),0)))))))*J433</f>
        <v>0</v>
      </c>
      <c r="S433" s="646">
        <f>IF(Q433&lt;0.01,0,IF('Proposed Lighting'!AK130&gt;0,'Proposed Lighting'!AK130*'Proposed Lighting'!EF130,0))</f>
        <v>0</v>
      </c>
      <c r="T433" s="647">
        <f t="shared" si="91"/>
        <v>0</v>
      </c>
      <c r="U433" s="648"/>
      <c r="V433" s="646">
        <f t="shared" si="94"/>
        <v>0</v>
      </c>
      <c r="W433" s="646">
        <f t="shared" si="95"/>
        <v>0</v>
      </c>
      <c r="X433" s="646">
        <f t="shared" si="96"/>
        <v>0</v>
      </c>
      <c r="Y433" s="646"/>
      <c r="Z433" s="646"/>
      <c r="AA433" s="646"/>
      <c r="AB433" s="646">
        <f t="shared" si="97"/>
        <v>0</v>
      </c>
      <c r="AC433" s="649" t="str">
        <f t="shared" si="98"/>
        <v/>
      </c>
      <c r="AD433" s="649" t="str">
        <f t="shared" si="99"/>
        <v/>
      </c>
      <c r="AE433" s="649" t="str">
        <f t="shared" si="100"/>
        <v/>
      </c>
      <c r="AF433" s="72"/>
      <c r="AG433" s="644">
        <f>IFERROR(IF($AV433="No",0,IF($AV433="yes",Summary!Q433,"")),"")</f>
        <v>0</v>
      </c>
      <c r="AH433" s="646">
        <f>IFERROR(IF($AV433="No",0,IF($AV433="yes",Summary!R433,"")),"")</f>
        <v>0</v>
      </c>
      <c r="AI433" s="646">
        <f>IFERROR(IF($AV433="No",0,IF($AV433="yes",Summary!S433,"")),"")</f>
        <v>0</v>
      </c>
      <c r="AJ433" s="647">
        <f>IFERROR(IF($AV433="No",0,IF($AV433="yes",Summary!T433,"")),"")</f>
        <v>0</v>
      </c>
      <c r="AK433" s="648">
        <f>IFERROR(IF($AV433="No",0,IF($AV433="yes",Summary!U433,"")),"")</f>
        <v>0</v>
      </c>
      <c r="AL433" s="646">
        <f>IFERROR(IF($AV433="No",0,IF($AV433="yes",Summary!V433,"")),"")</f>
        <v>0</v>
      </c>
      <c r="AM433" s="646">
        <f>IFERROR(IF($AV433="No",0,IF($AV433="yes",Summary!W433,"")),"")</f>
        <v>0</v>
      </c>
      <c r="AN433" s="646">
        <f>IFERROR(IF($AV433="No",0,IF($AV433="yes",Summary!X433,"")),"")</f>
        <v>0</v>
      </c>
      <c r="AO433" s="646">
        <f>IFERROR(IF($AV433="No",0,IF($AV433="yes",Summary!Y433+Z433,"")),"")</f>
        <v>0</v>
      </c>
      <c r="AP433" s="646">
        <f>IFERROR(IF($AV433="No",0,IF($AV433="yes",Summary!AB433,"")),"")</f>
        <v>0</v>
      </c>
      <c r="AQ433" s="649" t="str">
        <f t="shared" si="101"/>
        <v/>
      </c>
      <c r="AR433" s="649" t="str">
        <f t="shared" si="92"/>
        <v/>
      </c>
      <c r="AS433" s="649" t="str">
        <f t="shared" si="102"/>
        <v/>
      </c>
      <c r="AT433" s="641" t="s">
        <v>907</v>
      </c>
      <c r="AV433" t="str">
        <f>IF('Proposed Lighting'!AK130&gt;0,"No","Yes")</f>
        <v>Yes</v>
      </c>
    </row>
    <row r="434" spans="1:48" ht="34.5" customHeight="1" outlineLevel="1">
      <c r="A434" s="641" t="s">
        <v>908</v>
      </c>
      <c r="B434" s="641" t="str">
        <f>IF('Proposed Lighting'!AU131=3,"Commercial-All Com-ExtLight",IF('Proposed Lighting'!AH131&gt;8759,"IPC_8760","Commercial-All Com-IntLight"))</f>
        <v>IPC_8760</v>
      </c>
      <c r="C434" s="641" t="str">
        <f>IF(OR(E434="",E434=0),"No",
IF(AND('Data Entry'!$AF$23="OR",AE434&lt;1),"No",
IF(AND('Data Entry'!$AF$23="ID",E434="Non-standard lighting control system",AD434&lt;1),"No",
IF(AND('Data Entry'!$AF$23="OR",'Proposed Lighting'!F131="Existing LED (Provide Description)",'Proposed Lighting'!AK131=""),"No",
IF('Proposed Lighting'!DD131="Submit Control as Non-Standard","No",
IF(AND('Proposed Lighting'!T131="Non-Standard (Provide Description)",AD434&lt;1),"No",
IF('Proposed Lighting'!AW131&lt;'Proposed Lighting'!AZ131,"No","Yes")))))))</f>
        <v>No</v>
      </c>
      <c r="D434" s="1604">
        <f>'Proposed Lighting'!BQ131-Q434</f>
        <v>0</v>
      </c>
      <c r="E434" s="642" t="str">
        <f>IF('Proposed Lighting'!W131="","",'Proposed Lighting'!W131)</f>
        <v/>
      </c>
      <c r="F434" s="642"/>
      <c r="G434" s="641" t="s">
        <v>786</v>
      </c>
      <c r="H434" s="643">
        <v>10</v>
      </c>
      <c r="I434" s="644">
        <v>1</v>
      </c>
      <c r="J434" s="723">
        <f>IF('Proposed Lighting'!EF131=0,'Proposed Lighting'!AA131,'Proposed Lighting'!EF131)</f>
        <v>0</v>
      </c>
      <c r="K434" s="643" t="str">
        <f>'Proposed Lighting'!CU131</f>
        <v/>
      </c>
      <c r="L434" s="643" t="str">
        <f t="shared" si="90"/>
        <v/>
      </c>
      <c r="M434" s="645">
        <f t="shared" si="93"/>
        <v>0</v>
      </c>
      <c r="N434" s="645"/>
      <c r="O434" s="722">
        <f>IFERROR('Proposed Lighting'!AC131/1000,0)</f>
        <v>0</v>
      </c>
      <c r="P434" s="644">
        <f>'Proposed Lighting'!AV131</f>
        <v>0</v>
      </c>
      <c r="Q434" s="644">
        <f>IF(AND('Proposed Lighting'!T131="Lighting Controls Only",'Data Entry'!$AF$23="OR",'Proposed Lighting'!AU131=2),0,
IF(AND('Proposed Lighting'!T131="Lighting Controls Only",'Data Entry'!$AF$23="OR",'Proposed Lighting'!AU131=3,OR('Proposed Lighting'!W131="ceiling mount",'Proposed Lighting'!W131="wall switch",'Proposed Lighting'!W131="fixture mount (on exisiting equip)",'Proposed Lighting'!W131="daylight harvesting (on existing equip)")),0,
IF('Proposed Lighting'!AF131=1,IF(P434=0,0,J434*O434*(L434*(1-P434))),IF('Proposed Lighting'!AU131=1,0,'Proposed Lighting'!AX131-'Proposed Lighting'!AY131))))</f>
        <v>0</v>
      </c>
      <c r="R434" s="646">
        <f>IF('Proposed Lighting'!T131="Non-standard (provide description",0,
IF(AND(E434="Non-standard control",'Proposed Lighting'!AU131=2),Q434*0.1,
IF(AND(E434="Non-standard control",'Proposed Lighting'!AU131=3),Q434*0.08,
IF('Proposed Lighting'!EF131=0,0,IF('Proposed Lighting'!AU131=1,0,
IF(AND('Data Entry'!$AF$23="ID",'Proposed Lighting'!T131="Lighting controls only"),VLOOKUP(E434,'Proposed Lighting'!$DO$97:$DP$106,2,FALSE),
IF(AND('Data Entry'!$AF$23="OR",'Proposed Lighting'!AU131=3,'Proposed Lighting'!T131="Lighting controls only"),VLOOKUP(E434,'Proposed Lighting'!$DO$127:$DP$134,2,FALSE),0)))))))*J434</f>
        <v>0</v>
      </c>
      <c r="S434" s="646">
        <f>IF(Q434&lt;0.01,0,IF('Proposed Lighting'!AK131&gt;0,'Proposed Lighting'!AK131*'Proposed Lighting'!EF131,0))</f>
        <v>0</v>
      </c>
      <c r="T434" s="647">
        <f t="shared" si="91"/>
        <v>0</v>
      </c>
      <c r="U434" s="648"/>
      <c r="V434" s="646">
        <f t="shared" si="94"/>
        <v>0</v>
      </c>
      <c r="W434" s="646">
        <f t="shared" si="95"/>
        <v>0</v>
      </c>
      <c r="X434" s="646">
        <f t="shared" si="96"/>
        <v>0</v>
      </c>
      <c r="Y434" s="646"/>
      <c r="Z434" s="646"/>
      <c r="AA434" s="646"/>
      <c r="AB434" s="646">
        <f t="shared" si="97"/>
        <v>0</v>
      </c>
      <c r="AC434" s="649" t="str">
        <f t="shared" si="98"/>
        <v/>
      </c>
      <c r="AD434" s="649" t="str">
        <f t="shared" si="99"/>
        <v/>
      </c>
      <c r="AE434" s="649" t="str">
        <f t="shared" si="100"/>
        <v/>
      </c>
      <c r="AF434" s="72"/>
      <c r="AG434" s="644">
        <f>IFERROR(IF($AV434="No",0,IF($AV434="yes",Summary!Q434,"")),"")</f>
        <v>0</v>
      </c>
      <c r="AH434" s="646">
        <f>IFERROR(IF($AV434="No",0,IF($AV434="yes",Summary!R434,"")),"")</f>
        <v>0</v>
      </c>
      <c r="AI434" s="646">
        <f>IFERROR(IF($AV434="No",0,IF($AV434="yes",Summary!S434,"")),"")</f>
        <v>0</v>
      </c>
      <c r="AJ434" s="647">
        <f>IFERROR(IF($AV434="No",0,IF($AV434="yes",Summary!T434,"")),"")</f>
        <v>0</v>
      </c>
      <c r="AK434" s="648">
        <f>IFERROR(IF($AV434="No",0,IF($AV434="yes",Summary!U434,"")),"")</f>
        <v>0</v>
      </c>
      <c r="AL434" s="646">
        <f>IFERROR(IF($AV434="No",0,IF($AV434="yes",Summary!V434,"")),"")</f>
        <v>0</v>
      </c>
      <c r="AM434" s="646">
        <f>IFERROR(IF($AV434="No",0,IF($AV434="yes",Summary!W434,"")),"")</f>
        <v>0</v>
      </c>
      <c r="AN434" s="646">
        <f>IFERROR(IF($AV434="No",0,IF($AV434="yes",Summary!X434,"")),"")</f>
        <v>0</v>
      </c>
      <c r="AO434" s="646">
        <f>IFERROR(IF($AV434="No",0,IF($AV434="yes",Summary!Y434+Z434,"")),"")</f>
        <v>0</v>
      </c>
      <c r="AP434" s="646">
        <f>IFERROR(IF($AV434="No",0,IF($AV434="yes",Summary!AB434,"")),"")</f>
        <v>0</v>
      </c>
      <c r="AQ434" s="649" t="str">
        <f t="shared" si="101"/>
        <v/>
      </c>
      <c r="AR434" s="649" t="str">
        <f t="shared" si="92"/>
        <v/>
      </c>
      <c r="AS434" s="649" t="str">
        <f t="shared" si="102"/>
        <v/>
      </c>
      <c r="AT434" s="641" t="s">
        <v>908</v>
      </c>
      <c r="AV434" t="str">
        <f>IF('Proposed Lighting'!AK131&gt;0,"No","Yes")</f>
        <v>Yes</v>
      </c>
    </row>
    <row r="435" spans="1:48" ht="34.5" customHeight="1" outlineLevel="1">
      <c r="A435" s="641" t="s">
        <v>909</v>
      </c>
      <c r="B435" s="641" t="str">
        <f>IF('Proposed Lighting'!AU132=3,"Commercial-All Com-ExtLight",IF('Proposed Lighting'!AH132&gt;8759,"IPC_8760","Commercial-All Com-IntLight"))</f>
        <v>IPC_8760</v>
      </c>
      <c r="C435" s="641" t="str">
        <f>IF(OR(E435="",E435=0),"No",
IF(AND('Data Entry'!$AF$23="OR",AE435&lt;1),"No",
IF(AND('Data Entry'!$AF$23="ID",E435="Non-standard lighting control system",AD435&lt;1),"No",
IF(AND('Data Entry'!$AF$23="OR",'Proposed Lighting'!F132="Existing LED (Provide Description)",'Proposed Lighting'!AK132=""),"No",
IF('Proposed Lighting'!DD132="Submit Control as Non-Standard","No",
IF(AND('Proposed Lighting'!T132="Non-Standard (Provide Description)",AD435&lt;1),"No",
IF('Proposed Lighting'!AW132&lt;'Proposed Lighting'!AZ132,"No","Yes")))))))</f>
        <v>No</v>
      </c>
      <c r="D435" s="1604">
        <f>'Proposed Lighting'!BQ132-Q435</f>
        <v>0</v>
      </c>
      <c r="E435" s="642" t="str">
        <f>IF('Proposed Lighting'!W132="","",'Proposed Lighting'!W132)</f>
        <v/>
      </c>
      <c r="F435" s="642"/>
      <c r="G435" s="641" t="s">
        <v>786</v>
      </c>
      <c r="H435" s="643">
        <v>10</v>
      </c>
      <c r="I435" s="644">
        <v>1</v>
      </c>
      <c r="J435" s="723">
        <f>IF('Proposed Lighting'!EF132=0,'Proposed Lighting'!AA132,'Proposed Lighting'!EF132)</f>
        <v>0</v>
      </c>
      <c r="K435" s="643" t="str">
        <f>'Proposed Lighting'!CU132</f>
        <v/>
      </c>
      <c r="L435" s="643" t="str">
        <f t="shared" si="90"/>
        <v/>
      </c>
      <c r="M435" s="645">
        <f t="shared" si="93"/>
        <v>0</v>
      </c>
      <c r="N435" s="645"/>
      <c r="O435" s="722">
        <f>IFERROR('Proposed Lighting'!AC132/1000,0)</f>
        <v>0</v>
      </c>
      <c r="P435" s="644">
        <f>'Proposed Lighting'!AV132</f>
        <v>0</v>
      </c>
      <c r="Q435" s="644">
        <f>IF(AND('Proposed Lighting'!T132="Lighting Controls Only",'Data Entry'!$AF$23="OR",'Proposed Lighting'!AU132=2),0,
IF(AND('Proposed Lighting'!T132="Lighting Controls Only",'Data Entry'!$AF$23="OR",'Proposed Lighting'!AU132=3,OR('Proposed Lighting'!W132="ceiling mount",'Proposed Lighting'!W132="wall switch",'Proposed Lighting'!W132="fixture mount (on exisiting equip)",'Proposed Lighting'!W132="daylight harvesting (on existing equip)")),0,
IF('Proposed Lighting'!AF132=1,IF(P435=0,0,J435*O435*(L435*(1-P435))),IF('Proposed Lighting'!AU132=1,0,'Proposed Lighting'!AX132-'Proposed Lighting'!AY132))))</f>
        <v>0</v>
      </c>
      <c r="R435" s="646">
        <f>IF('Proposed Lighting'!T132="Non-standard (provide description",0,
IF(AND(E435="Non-standard control",'Proposed Lighting'!AU132=2),Q435*0.1,
IF(AND(E435="Non-standard control",'Proposed Lighting'!AU132=3),Q435*0.08,
IF('Proposed Lighting'!EF132=0,0,IF('Proposed Lighting'!AU132=1,0,
IF(AND('Data Entry'!$AF$23="ID",'Proposed Lighting'!T132="Lighting controls only"),VLOOKUP(E435,'Proposed Lighting'!$DO$97:$DP$106,2,FALSE),
IF(AND('Data Entry'!$AF$23="OR",'Proposed Lighting'!AU132=3,'Proposed Lighting'!T132="Lighting controls only"),VLOOKUP(E435,'Proposed Lighting'!$DO$127:$DP$134,2,FALSE),0)))))))*J435</f>
        <v>0</v>
      </c>
      <c r="S435" s="646">
        <f>IF(Q435&lt;0.01,0,IF('Proposed Lighting'!AK132&gt;0,'Proposed Lighting'!AK132*'Proposed Lighting'!EF132,0))</f>
        <v>0</v>
      </c>
      <c r="T435" s="647">
        <f t="shared" si="91"/>
        <v>0</v>
      </c>
      <c r="U435" s="648"/>
      <c r="V435" s="646">
        <f t="shared" si="94"/>
        <v>0</v>
      </c>
      <c r="W435" s="646">
        <f t="shared" si="95"/>
        <v>0</v>
      </c>
      <c r="X435" s="646">
        <f t="shared" si="96"/>
        <v>0</v>
      </c>
      <c r="Y435" s="646"/>
      <c r="Z435" s="646"/>
      <c r="AA435" s="646"/>
      <c r="AB435" s="646">
        <f t="shared" si="97"/>
        <v>0</v>
      </c>
      <c r="AC435" s="649" t="str">
        <f t="shared" si="98"/>
        <v/>
      </c>
      <c r="AD435" s="649" t="str">
        <f t="shared" si="99"/>
        <v/>
      </c>
      <c r="AE435" s="649" t="str">
        <f t="shared" si="100"/>
        <v/>
      </c>
      <c r="AF435" s="72"/>
      <c r="AG435" s="644">
        <f>IFERROR(IF($AV435="No",0,IF($AV435="yes",Summary!Q435,"")),"")</f>
        <v>0</v>
      </c>
      <c r="AH435" s="646">
        <f>IFERROR(IF($AV435="No",0,IF($AV435="yes",Summary!R435,"")),"")</f>
        <v>0</v>
      </c>
      <c r="AI435" s="646">
        <f>IFERROR(IF($AV435="No",0,IF($AV435="yes",Summary!S435,"")),"")</f>
        <v>0</v>
      </c>
      <c r="AJ435" s="647">
        <f>IFERROR(IF($AV435="No",0,IF($AV435="yes",Summary!T435,"")),"")</f>
        <v>0</v>
      </c>
      <c r="AK435" s="648">
        <f>IFERROR(IF($AV435="No",0,IF($AV435="yes",Summary!U435,"")),"")</f>
        <v>0</v>
      </c>
      <c r="AL435" s="646">
        <f>IFERROR(IF($AV435="No",0,IF($AV435="yes",Summary!V435,"")),"")</f>
        <v>0</v>
      </c>
      <c r="AM435" s="646">
        <f>IFERROR(IF($AV435="No",0,IF($AV435="yes",Summary!W435,"")),"")</f>
        <v>0</v>
      </c>
      <c r="AN435" s="646">
        <f>IFERROR(IF($AV435="No",0,IF($AV435="yes",Summary!X435,"")),"")</f>
        <v>0</v>
      </c>
      <c r="AO435" s="646">
        <f>IFERROR(IF($AV435="No",0,IF($AV435="yes",Summary!Y435+Z435,"")),"")</f>
        <v>0</v>
      </c>
      <c r="AP435" s="646">
        <f>IFERROR(IF($AV435="No",0,IF($AV435="yes",Summary!AB435,"")),"")</f>
        <v>0</v>
      </c>
      <c r="AQ435" s="649" t="str">
        <f t="shared" si="101"/>
        <v/>
      </c>
      <c r="AR435" s="649" t="str">
        <f t="shared" si="92"/>
        <v/>
      </c>
      <c r="AS435" s="649" t="str">
        <f t="shared" si="102"/>
        <v/>
      </c>
      <c r="AT435" s="641" t="s">
        <v>909</v>
      </c>
      <c r="AV435" t="str">
        <f>IF('Proposed Lighting'!AK132&gt;0,"No","Yes")</f>
        <v>Yes</v>
      </c>
    </row>
    <row r="436" spans="1:48" ht="34.5" customHeight="1" outlineLevel="1">
      <c r="A436" s="641" t="s">
        <v>910</v>
      </c>
      <c r="B436" s="641" t="str">
        <f>IF('Proposed Lighting'!AU133=3,"Commercial-All Com-ExtLight",IF('Proposed Lighting'!AH133&gt;8759,"IPC_8760","Commercial-All Com-IntLight"))</f>
        <v>IPC_8760</v>
      </c>
      <c r="C436" s="641" t="str">
        <f>IF(OR(E436="",E436=0),"No",
IF(AND('Data Entry'!$AF$23="OR",AE436&lt;1),"No",
IF(AND('Data Entry'!$AF$23="ID",E436="Non-standard lighting control system",AD436&lt;1),"No",
IF(AND('Data Entry'!$AF$23="OR",'Proposed Lighting'!F133="Existing LED (Provide Description)",'Proposed Lighting'!AK133=""),"No",
IF('Proposed Lighting'!DD133="Submit Control as Non-Standard","No",
IF(AND('Proposed Lighting'!T133="Non-Standard (Provide Description)",AD436&lt;1),"No",
IF('Proposed Lighting'!AW133&lt;'Proposed Lighting'!AZ133,"No","Yes")))))))</f>
        <v>No</v>
      </c>
      <c r="D436" s="1604">
        <f>'Proposed Lighting'!BQ133-Q436</f>
        <v>0</v>
      </c>
      <c r="E436" s="642" t="str">
        <f>IF('Proposed Lighting'!W133="","",'Proposed Lighting'!W133)</f>
        <v/>
      </c>
      <c r="F436" s="642"/>
      <c r="G436" s="641" t="s">
        <v>786</v>
      </c>
      <c r="H436" s="643">
        <v>10</v>
      </c>
      <c r="I436" s="644">
        <v>1</v>
      </c>
      <c r="J436" s="723">
        <f>IF('Proposed Lighting'!EF133=0,'Proposed Lighting'!AA133,'Proposed Lighting'!EF133)</f>
        <v>0</v>
      </c>
      <c r="K436" s="643" t="str">
        <f>'Proposed Lighting'!CU133</f>
        <v/>
      </c>
      <c r="L436" s="643" t="str">
        <f t="shared" si="90"/>
        <v/>
      </c>
      <c r="M436" s="645">
        <f t="shared" si="93"/>
        <v>0</v>
      </c>
      <c r="N436" s="645"/>
      <c r="O436" s="722">
        <f>IFERROR('Proposed Lighting'!AC133/1000,0)</f>
        <v>0</v>
      </c>
      <c r="P436" s="644">
        <f>'Proposed Lighting'!AV133</f>
        <v>0</v>
      </c>
      <c r="Q436" s="644">
        <f>IF(AND('Proposed Lighting'!T133="Lighting Controls Only",'Data Entry'!$AF$23="OR",'Proposed Lighting'!AU133=2),0,
IF(AND('Proposed Lighting'!T133="Lighting Controls Only",'Data Entry'!$AF$23="OR",'Proposed Lighting'!AU133=3,OR('Proposed Lighting'!W133="ceiling mount",'Proposed Lighting'!W133="wall switch",'Proposed Lighting'!W133="fixture mount (on exisiting equip)",'Proposed Lighting'!W133="daylight harvesting (on existing equip)")),0,
IF('Proposed Lighting'!AF133=1,IF(P436=0,0,J436*O436*(L436*(1-P436))),IF('Proposed Lighting'!AU133=1,0,'Proposed Lighting'!AX133-'Proposed Lighting'!AY133))))</f>
        <v>0</v>
      </c>
      <c r="R436" s="646">
        <f>IF('Proposed Lighting'!T133="Non-standard (provide description",0,
IF(AND(E436="Non-standard control",'Proposed Lighting'!AU133=2),Q436*0.1,
IF(AND(E436="Non-standard control",'Proposed Lighting'!AU133=3),Q436*0.08,
IF('Proposed Lighting'!EF133=0,0,IF('Proposed Lighting'!AU133=1,0,
IF(AND('Data Entry'!$AF$23="ID",'Proposed Lighting'!T133="Lighting controls only"),VLOOKUP(E436,'Proposed Lighting'!$DO$97:$DP$106,2,FALSE),
IF(AND('Data Entry'!$AF$23="OR",'Proposed Lighting'!AU133=3,'Proposed Lighting'!T133="Lighting controls only"),VLOOKUP(E436,'Proposed Lighting'!$DO$127:$DP$134,2,FALSE),0)))))))*J436</f>
        <v>0</v>
      </c>
      <c r="S436" s="646">
        <f>IF(Q436&lt;0.01,0,IF('Proposed Lighting'!AK133&gt;0,'Proposed Lighting'!AK133*'Proposed Lighting'!EF133,0))</f>
        <v>0</v>
      </c>
      <c r="T436" s="647">
        <f t="shared" si="91"/>
        <v>0</v>
      </c>
      <c r="U436" s="648"/>
      <c r="V436" s="646">
        <f t="shared" si="94"/>
        <v>0</v>
      </c>
      <c r="W436" s="646">
        <f t="shared" si="95"/>
        <v>0</v>
      </c>
      <c r="X436" s="646">
        <f t="shared" si="96"/>
        <v>0</v>
      </c>
      <c r="Y436" s="646"/>
      <c r="Z436" s="646"/>
      <c r="AA436" s="646"/>
      <c r="AB436" s="646">
        <f t="shared" si="97"/>
        <v>0</v>
      </c>
      <c r="AC436" s="649" t="str">
        <f t="shared" si="98"/>
        <v/>
      </c>
      <c r="AD436" s="649" t="str">
        <f t="shared" si="99"/>
        <v/>
      </c>
      <c r="AE436" s="649" t="str">
        <f t="shared" si="100"/>
        <v/>
      </c>
      <c r="AF436" s="72"/>
      <c r="AG436" s="644">
        <f>IFERROR(IF($AV436="No",0,IF($AV436="yes",Summary!Q436,"")),"")</f>
        <v>0</v>
      </c>
      <c r="AH436" s="646">
        <f>IFERROR(IF($AV436="No",0,IF($AV436="yes",Summary!R436,"")),"")</f>
        <v>0</v>
      </c>
      <c r="AI436" s="646">
        <f>IFERROR(IF($AV436="No",0,IF($AV436="yes",Summary!S436,"")),"")</f>
        <v>0</v>
      </c>
      <c r="AJ436" s="647">
        <f>IFERROR(IF($AV436="No",0,IF($AV436="yes",Summary!T436,"")),"")</f>
        <v>0</v>
      </c>
      <c r="AK436" s="648">
        <f>IFERROR(IF($AV436="No",0,IF($AV436="yes",Summary!U436,"")),"")</f>
        <v>0</v>
      </c>
      <c r="AL436" s="646">
        <f>IFERROR(IF($AV436="No",0,IF($AV436="yes",Summary!V436,"")),"")</f>
        <v>0</v>
      </c>
      <c r="AM436" s="646">
        <f>IFERROR(IF($AV436="No",0,IF($AV436="yes",Summary!W436,"")),"")</f>
        <v>0</v>
      </c>
      <c r="AN436" s="646">
        <f>IFERROR(IF($AV436="No",0,IF($AV436="yes",Summary!X436,"")),"")</f>
        <v>0</v>
      </c>
      <c r="AO436" s="646">
        <f>IFERROR(IF($AV436="No",0,IF($AV436="yes",Summary!Y436+Z436,"")),"")</f>
        <v>0</v>
      </c>
      <c r="AP436" s="646">
        <f>IFERROR(IF($AV436="No",0,IF($AV436="yes",Summary!AB436,"")),"")</f>
        <v>0</v>
      </c>
      <c r="AQ436" s="649" t="str">
        <f t="shared" si="101"/>
        <v/>
      </c>
      <c r="AR436" s="649" t="str">
        <f t="shared" si="92"/>
        <v/>
      </c>
      <c r="AS436" s="649" t="str">
        <f t="shared" si="102"/>
        <v/>
      </c>
      <c r="AT436" s="641" t="s">
        <v>910</v>
      </c>
      <c r="AV436" t="str">
        <f>IF('Proposed Lighting'!AK133&gt;0,"No","Yes")</f>
        <v>Yes</v>
      </c>
    </row>
    <row r="437" spans="1:48" ht="34.5" customHeight="1" outlineLevel="1">
      <c r="A437" s="641" t="s">
        <v>911</v>
      </c>
      <c r="B437" s="641" t="str">
        <f>IF('Proposed Lighting'!AU134=3,"Commercial-All Com-ExtLight",IF('Proposed Lighting'!AH134&gt;8759,"IPC_8760","Commercial-All Com-IntLight"))</f>
        <v>IPC_8760</v>
      </c>
      <c r="C437" s="641" t="str">
        <f>IF(OR(E437="",E437=0),"No",
IF(AND('Data Entry'!$AF$23="OR",AE437&lt;1),"No",
IF(AND('Data Entry'!$AF$23="ID",E437="Non-standard lighting control system",AD437&lt;1),"No",
IF(AND('Data Entry'!$AF$23="OR",'Proposed Lighting'!F134="Existing LED (Provide Description)",'Proposed Lighting'!AK134=""),"No",
IF('Proposed Lighting'!DD134="Submit Control as Non-Standard","No",
IF(AND('Proposed Lighting'!T134="Non-Standard (Provide Description)",AD437&lt;1),"No",
IF('Proposed Lighting'!AW134&lt;'Proposed Lighting'!AZ134,"No","Yes")))))))</f>
        <v>No</v>
      </c>
      <c r="D437" s="1604">
        <f>'Proposed Lighting'!BQ134-Q437</f>
        <v>0</v>
      </c>
      <c r="E437" s="642" t="str">
        <f>IF('Proposed Lighting'!W134="","",'Proposed Lighting'!W134)</f>
        <v/>
      </c>
      <c r="F437" s="642"/>
      <c r="G437" s="641" t="s">
        <v>786</v>
      </c>
      <c r="H437" s="643">
        <v>10</v>
      </c>
      <c r="I437" s="644">
        <v>1</v>
      </c>
      <c r="J437" s="723">
        <f>IF('Proposed Lighting'!EF134=0,'Proposed Lighting'!AA134,'Proposed Lighting'!EF134)</f>
        <v>0</v>
      </c>
      <c r="K437" s="643" t="str">
        <f>'Proposed Lighting'!CU134</f>
        <v/>
      </c>
      <c r="L437" s="643" t="str">
        <f t="shared" si="90"/>
        <v/>
      </c>
      <c r="M437" s="645">
        <f t="shared" si="93"/>
        <v>0</v>
      </c>
      <c r="N437" s="645"/>
      <c r="O437" s="722">
        <f>IFERROR('Proposed Lighting'!AC134/1000,0)</f>
        <v>0</v>
      </c>
      <c r="P437" s="644">
        <f>'Proposed Lighting'!AV134</f>
        <v>0</v>
      </c>
      <c r="Q437" s="644">
        <f>IF(AND('Proposed Lighting'!T134="Lighting Controls Only",'Data Entry'!$AF$23="OR",'Proposed Lighting'!AU134=2),0,
IF(AND('Proposed Lighting'!T134="Lighting Controls Only",'Data Entry'!$AF$23="OR",'Proposed Lighting'!AU134=3,OR('Proposed Lighting'!W134="ceiling mount",'Proposed Lighting'!W134="wall switch",'Proposed Lighting'!W134="fixture mount (on exisiting equip)",'Proposed Lighting'!W134="daylight harvesting (on existing equip)")),0,
IF('Proposed Lighting'!AF134=1,IF(P437=0,0,J437*O437*(L437*(1-P437))),IF('Proposed Lighting'!AU134=1,0,'Proposed Lighting'!AX134-'Proposed Lighting'!AY134))))</f>
        <v>0</v>
      </c>
      <c r="R437" s="646">
        <f>IF('Proposed Lighting'!T134="Non-standard (provide description",0,
IF(AND(E437="Non-standard control",'Proposed Lighting'!AU134=2),Q437*0.1,
IF(AND(E437="Non-standard control",'Proposed Lighting'!AU134=3),Q437*0.08,
IF('Proposed Lighting'!EF134=0,0,IF('Proposed Lighting'!AU134=1,0,
IF(AND('Data Entry'!$AF$23="ID",'Proposed Lighting'!T134="Lighting controls only"),VLOOKUP(E437,'Proposed Lighting'!$DO$97:$DP$106,2,FALSE),
IF(AND('Data Entry'!$AF$23="OR",'Proposed Lighting'!AU134=3,'Proposed Lighting'!T134="Lighting controls only"),VLOOKUP(E437,'Proposed Lighting'!$DO$127:$DP$134,2,FALSE),0)))))))*J437</f>
        <v>0</v>
      </c>
      <c r="S437" s="646">
        <f>IF(Q437&lt;0.01,0,IF('Proposed Lighting'!AK134&gt;0,'Proposed Lighting'!AK134*'Proposed Lighting'!EF134,0))</f>
        <v>0</v>
      </c>
      <c r="T437" s="647">
        <f t="shared" si="91"/>
        <v>0</v>
      </c>
      <c r="U437" s="648"/>
      <c r="V437" s="646">
        <f t="shared" si="94"/>
        <v>0</v>
      </c>
      <c r="W437" s="646">
        <f t="shared" si="95"/>
        <v>0</v>
      </c>
      <c r="X437" s="646">
        <f t="shared" si="96"/>
        <v>0</v>
      </c>
      <c r="Y437" s="646"/>
      <c r="Z437" s="646"/>
      <c r="AA437" s="646"/>
      <c r="AB437" s="646">
        <f t="shared" si="97"/>
        <v>0</v>
      </c>
      <c r="AC437" s="649" t="str">
        <f t="shared" si="98"/>
        <v/>
      </c>
      <c r="AD437" s="649" t="str">
        <f t="shared" si="99"/>
        <v/>
      </c>
      <c r="AE437" s="649" t="str">
        <f t="shared" si="100"/>
        <v/>
      </c>
      <c r="AF437" s="72"/>
      <c r="AG437" s="644">
        <f>IFERROR(IF($AV437="No",0,IF($AV437="yes",Summary!Q437,"")),"")</f>
        <v>0</v>
      </c>
      <c r="AH437" s="646">
        <f>IFERROR(IF($AV437="No",0,IF($AV437="yes",Summary!R437,"")),"")</f>
        <v>0</v>
      </c>
      <c r="AI437" s="646">
        <f>IFERROR(IF($AV437="No",0,IF($AV437="yes",Summary!S437,"")),"")</f>
        <v>0</v>
      </c>
      <c r="AJ437" s="647">
        <f>IFERROR(IF($AV437="No",0,IF($AV437="yes",Summary!T437,"")),"")</f>
        <v>0</v>
      </c>
      <c r="AK437" s="648">
        <f>IFERROR(IF($AV437="No",0,IF($AV437="yes",Summary!U437,"")),"")</f>
        <v>0</v>
      </c>
      <c r="AL437" s="646">
        <f>IFERROR(IF($AV437="No",0,IF($AV437="yes",Summary!V437,"")),"")</f>
        <v>0</v>
      </c>
      <c r="AM437" s="646">
        <f>IFERROR(IF($AV437="No",0,IF($AV437="yes",Summary!W437,"")),"")</f>
        <v>0</v>
      </c>
      <c r="AN437" s="646">
        <f>IFERROR(IF($AV437="No",0,IF($AV437="yes",Summary!X437,"")),"")</f>
        <v>0</v>
      </c>
      <c r="AO437" s="646">
        <f>IFERROR(IF($AV437="No",0,IF($AV437="yes",Summary!Y437+Z437,"")),"")</f>
        <v>0</v>
      </c>
      <c r="AP437" s="646">
        <f>IFERROR(IF($AV437="No",0,IF($AV437="yes",Summary!AB437,"")),"")</f>
        <v>0</v>
      </c>
      <c r="AQ437" s="649" t="str">
        <f t="shared" si="101"/>
        <v/>
      </c>
      <c r="AR437" s="649" t="str">
        <f t="shared" si="92"/>
        <v/>
      </c>
      <c r="AS437" s="649" t="str">
        <f t="shared" si="102"/>
        <v/>
      </c>
      <c r="AT437" s="641" t="s">
        <v>911</v>
      </c>
      <c r="AV437" t="str">
        <f>IF('Proposed Lighting'!AK134&gt;0,"No","Yes")</f>
        <v>Yes</v>
      </c>
    </row>
    <row r="438" spans="1:48" ht="34.5" customHeight="1" outlineLevel="1">
      <c r="A438" s="641" t="s">
        <v>912</v>
      </c>
      <c r="B438" s="641" t="str">
        <f>IF('Proposed Lighting'!AU135=3,"Commercial-All Com-ExtLight",IF('Proposed Lighting'!AH135&gt;8759,"IPC_8760","Commercial-All Com-IntLight"))</f>
        <v>IPC_8760</v>
      </c>
      <c r="C438" s="641" t="str">
        <f>IF(OR(E438="",E438=0),"No",
IF(AND('Data Entry'!$AF$23="OR",AE438&lt;1),"No",
IF(AND('Data Entry'!$AF$23="ID",E438="Non-standard lighting control system",AD438&lt;1),"No",
IF(AND('Data Entry'!$AF$23="OR",'Proposed Lighting'!F135="Existing LED (Provide Description)",'Proposed Lighting'!AK135=""),"No",
IF('Proposed Lighting'!DD135="Submit Control as Non-Standard","No",
IF(AND('Proposed Lighting'!T135="Non-Standard (Provide Description)",AD438&lt;1),"No",
IF('Proposed Lighting'!AW135&lt;'Proposed Lighting'!AZ135,"No","Yes")))))))</f>
        <v>No</v>
      </c>
      <c r="D438" s="1604">
        <f>'Proposed Lighting'!BQ135-Q438</f>
        <v>0</v>
      </c>
      <c r="E438" s="642" t="str">
        <f>IF('Proposed Lighting'!W135="","",'Proposed Lighting'!W135)</f>
        <v/>
      </c>
      <c r="F438" s="642"/>
      <c r="G438" s="641" t="s">
        <v>786</v>
      </c>
      <c r="H438" s="643">
        <v>10</v>
      </c>
      <c r="I438" s="644">
        <v>1</v>
      </c>
      <c r="J438" s="723">
        <f>IF('Proposed Lighting'!EF135=0,'Proposed Lighting'!AA135,'Proposed Lighting'!EF135)</f>
        <v>0</v>
      </c>
      <c r="K438" s="643" t="str">
        <f>'Proposed Lighting'!CU135</f>
        <v/>
      </c>
      <c r="L438" s="643" t="str">
        <f t="shared" si="90"/>
        <v/>
      </c>
      <c r="M438" s="645">
        <f t="shared" si="93"/>
        <v>0</v>
      </c>
      <c r="N438" s="645"/>
      <c r="O438" s="722">
        <f>IFERROR('Proposed Lighting'!AC135/1000,0)</f>
        <v>0</v>
      </c>
      <c r="P438" s="644">
        <f>'Proposed Lighting'!AV135</f>
        <v>0</v>
      </c>
      <c r="Q438" s="644">
        <f>IF(AND('Proposed Lighting'!T135="Lighting Controls Only",'Data Entry'!$AF$23="OR",'Proposed Lighting'!AU135=2),0,
IF(AND('Proposed Lighting'!T135="Lighting Controls Only",'Data Entry'!$AF$23="OR",'Proposed Lighting'!AU135=3,OR('Proposed Lighting'!W135="ceiling mount",'Proposed Lighting'!W135="wall switch",'Proposed Lighting'!W135="fixture mount (on exisiting equip)",'Proposed Lighting'!W135="daylight harvesting (on existing equip)")),0,
IF('Proposed Lighting'!AF135=1,IF(P438=0,0,J438*O438*(L438*(1-P438))),IF('Proposed Lighting'!AU135=1,0,'Proposed Lighting'!AX135-'Proposed Lighting'!AY135))))</f>
        <v>0</v>
      </c>
      <c r="R438" s="646">
        <f>IF('Proposed Lighting'!T135="Non-standard (provide description",0,
IF(AND(E438="Non-standard control",'Proposed Lighting'!AU135=2),Q438*0.1,
IF(AND(E438="Non-standard control",'Proposed Lighting'!AU135=3),Q438*0.08,
IF('Proposed Lighting'!EF135=0,0,IF('Proposed Lighting'!AU135=1,0,
IF(AND('Data Entry'!$AF$23="ID",'Proposed Lighting'!T135="Lighting controls only"),VLOOKUP(E438,'Proposed Lighting'!$DO$97:$DP$106,2,FALSE),
IF(AND('Data Entry'!$AF$23="OR",'Proposed Lighting'!AU135=3,'Proposed Lighting'!T135="Lighting controls only"),VLOOKUP(E438,'Proposed Lighting'!$DO$127:$DP$134,2,FALSE),0)))))))*J438</f>
        <v>0</v>
      </c>
      <c r="S438" s="646">
        <f>IF(Q438&lt;0.01,0,IF('Proposed Lighting'!AK135&gt;0,'Proposed Lighting'!AK135*'Proposed Lighting'!EF135,0))</f>
        <v>0</v>
      </c>
      <c r="T438" s="647">
        <f t="shared" si="91"/>
        <v>0</v>
      </c>
      <c r="U438" s="648"/>
      <c r="V438" s="646">
        <f t="shared" si="94"/>
        <v>0</v>
      </c>
      <c r="W438" s="646">
        <f t="shared" si="95"/>
        <v>0</v>
      </c>
      <c r="X438" s="646">
        <f t="shared" si="96"/>
        <v>0</v>
      </c>
      <c r="Y438" s="646"/>
      <c r="Z438" s="646"/>
      <c r="AA438" s="646"/>
      <c r="AB438" s="646">
        <f t="shared" si="97"/>
        <v>0</v>
      </c>
      <c r="AC438" s="649" t="str">
        <f t="shared" si="98"/>
        <v/>
      </c>
      <c r="AD438" s="649" t="str">
        <f t="shared" si="99"/>
        <v/>
      </c>
      <c r="AE438" s="649" t="str">
        <f t="shared" si="100"/>
        <v/>
      </c>
      <c r="AF438" s="72"/>
      <c r="AG438" s="644">
        <f>IFERROR(IF($AV438="No",0,IF($AV438="yes",Summary!Q438,"")),"")</f>
        <v>0</v>
      </c>
      <c r="AH438" s="646">
        <f>IFERROR(IF($AV438="No",0,IF($AV438="yes",Summary!R438,"")),"")</f>
        <v>0</v>
      </c>
      <c r="AI438" s="646">
        <f>IFERROR(IF($AV438="No",0,IF($AV438="yes",Summary!S438,"")),"")</f>
        <v>0</v>
      </c>
      <c r="AJ438" s="647">
        <f>IFERROR(IF($AV438="No",0,IF($AV438="yes",Summary!T438,"")),"")</f>
        <v>0</v>
      </c>
      <c r="AK438" s="648">
        <f>IFERROR(IF($AV438="No",0,IF($AV438="yes",Summary!U438,"")),"")</f>
        <v>0</v>
      </c>
      <c r="AL438" s="646">
        <f>IFERROR(IF($AV438="No",0,IF($AV438="yes",Summary!V438,"")),"")</f>
        <v>0</v>
      </c>
      <c r="AM438" s="646">
        <f>IFERROR(IF($AV438="No",0,IF($AV438="yes",Summary!W438,"")),"")</f>
        <v>0</v>
      </c>
      <c r="AN438" s="646">
        <f>IFERROR(IF($AV438="No",0,IF($AV438="yes",Summary!X438,"")),"")</f>
        <v>0</v>
      </c>
      <c r="AO438" s="646">
        <f>IFERROR(IF($AV438="No",0,IF($AV438="yes",Summary!Y438+Z438,"")),"")</f>
        <v>0</v>
      </c>
      <c r="AP438" s="646">
        <f>IFERROR(IF($AV438="No",0,IF($AV438="yes",Summary!AB438,"")),"")</f>
        <v>0</v>
      </c>
      <c r="AQ438" s="649" t="str">
        <f t="shared" si="101"/>
        <v/>
      </c>
      <c r="AR438" s="649" t="str">
        <f t="shared" si="92"/>
        <v/>
      </c>
      <c r="AS438" s="649" t="str">
        <f t="shared" si="102"/>
        <v/>
      </c>
      <c r="AT438" s="641" t="s">
        <v>912</v>
      </c>
      <c r="AV438" t="str">
        <f>IF('Proposed Lighting'!AK135&gt;0,"No","Yes")</f>
        <v>Yes</v>
      </c>
    </row>
    <row r="439" spans="1:48" ht="34.5" customHeight="1" outlineLevel="1">
      <c r="A439" s="641" t="s">
        <v>913</v>
      </c>
      <c r="B439" s="641" t="str">
        <f>IF('Proposed Lighting'!AU136=3,"Commercial-All Com-ExtLight",IF('Proposed Lighting'!AH136&gt;8759,"IPC_8760","Commercial-All Com-IntLight"))</f>
        <v>IPC_8760</v>
      </c>
      <c r="C439" s="641" t="str">
        <f>IF(OR(E439="",E439=0),"No",
IF(AND('Data Entry'!$AF$23="OR",AE439&lt;1),"No",
IF(AND('Data Entry'!$AF$23="ID",E439="Non-standard lighting control system",AD439&lt;1),"No",
IF(AND('Data Entry'!$AF$23="OR",'Proposed Lighting'!F136="Existing LED (Provide Description)",'Proposed Lighting'!AK136=""),"No",
IF('Proposed Lighting'!DD136="Submit Control as Non-Standard","No",
IF(AND('Proposed Lighting'!T136="Non-Standard (Provide Description)",AD439&lt;1),"No",
IF('Proposed Lighting'!AW136&lt;'Proposed Lighting'!AZ136,"No","Yes")))))))</f>
        <v>No</v>
      </c>
      <c r="D439" s="1604">
        <f>'Proposed Lighting'!BQ136-Q439</f>
        <v>0</v>
      </c>
      <c r="E439" s="642" t="str">
        <f>IF('Proposed Lighting'!W136="","",'Proposed Lighting'!W136)</f>
        <v/>
      </c>
      <c r="F439" s="642"/>
      <c r="G439" s="641" t="s">
        <v>786</v>
      </c>
      <c r="H439" s="643">
        <v>10</v>
      </c>
      <c r="I439" s="644">
        <v>1</v>
      </c>
      <c r="J439" s="723">
        <f>IF('Proposed Lighting'!EF136=0,'Proposed Lighting'!AA136,'Proposed Lighting'!EF136)</f>
        <v>0</v>
      </c>
      <c r="K439" s="643" t="str">
        <f>'Proposed Lighting'!CU136</f>
        <v/>
      </c>
      <c r="L439" s="643" t="str">
        <f t="shared" si="90"/>
        <v/>
      </c>
      <c r="M439" s="645">
        <f t="shared" si="93"/>
        <v>0</v>
      </c>
      <c r="N439" s="645"/>
      <c r="O439" s="722">
        <f>IFERROR('Proposed Lighting'!AC136/1000,0)</f>
        <v>0</v>
      </c>
      <c r="P439" s="644">
        <f>'Proposed Lighting'!AV136</f>
        <v>0</v>
      </c>
      <c r="Q439" s="644">
        <f>IF(AND('Proposed Lighting'!T136="Lighting Controls Only",'Data Entry'!$AF$23="OR",'Proposed Lighting'!AU136=2),0,
IF(AND('Proposed Lighting'!T136="Lighting Controls Only",'Data Entry'!$AF$23="OR",'Proposed Lighting'!AU136=3,OR('Proposed Lighting'!W136="ceiling mount",'Proposed Lighting'!W136="wall switch",'Proposed Lighting'!W136="fixture mount (on exisiting equip)",'Proposed Lighting'!W136="daylight harvesting (on existing equip)")),0,
IF('Proposed Lighting'!AF136=1,IF(P439=0,0,J439*O439*(L439*(1-P439))),IF('Proposed Lighting'!AU136=1,0,'Proposed Lighting'!AX136-'Proposed Lighting'!AY136))))</f>
        <v>0</v>
      </c>
      <c r="R439" s="646">
        <f>IF('Proposed Lighting'!T136="Non-standard (provide description",0,
IF(AND(E439="Non-standard control",'Proposed Lighting'!AU136=2),Q439*0.1,
IF(AND(E439="Non-standard control",'Proposed Lighting'!AU136=3),Q439*0.08,
IF('Proposed Lighting'!EF136=0,0,IF('Proposed Lighting'!AU136=1,0,
IF(AND('Data Entry'!$AF$23="ID",'Proposed Lighting'!T136="Lighting controls only"),VLOOKUP(E439,'Proposed Lighting'!$DO$97:$DP$106,2,FALSE),
IF(AND('Data Entry'!$AF$23="OR",'Proposed Lighting'!AU136=3,'Proposed Lighting'!T136="Lighting controls only"),VLOOKUP(E439,'Proposed Lighting'!$DO$127:$DP$134,2,FALSE),0)))))))*J439</f>
        <v>0</v>
      </c>
      <c r="S439" s="646">
        <f>IF(Q439&lt;0.01,0,IF('Proposed Lighting'!AK136&gt;0,'Proposed Lighting'!AK136*'Proposed Lighting'!EF136,0))</f>
        <v>0</v>
      </c>
      <c r="T439" s="647">
        <f t="shared" si="91"/>
        <v>0</v>
      </c>
      <c r="U439" s="648"/>
      <c r="V439" s="646">
        <f t="shared" si="94"/>
        <v>0</v>
      </c>
      <c r="W439" s="646">
        <f t="shared" si="95"/>
        <v>0</v>
      </c>
      <c r="X439" s="646">
        <f t="shared" si="96"/>
        <v>0</v>
      </c>
      <c r="Y439" s="646"/>
      <c r="Z439" s="646"/>
      <c r="AA439" s="646"/>
      <c r="AB439" s="646">
        <f t="shared" si="97"/>
        <v>0</v>
      </c>
      <c r="AC439" s="649" t="str">
        <f t="shared" si="98"/>
        <v/>
      </c>
      <c r="AD439" s="649" t="str">
        <f t="shared" si="99"/>
        <v/>
      </c>
      <c r="AE439" s="649" t="str">
        <f t="shared" si="100"/>
        <v/>
      </c>
      <c r="AF439" s="72"/>
      <c r="AG439" s="644">
        <f>IFERROR(IF($AV439="No",0,IF($AV439="yes",Summary!Q439,"")),"")</f>
        <v>0</v>
      </c>
      <c r="AH439" s="646">
        <f>IFERROR(IF($AV439="No",0,IF($AV439="yes",Summary!R439,"")),"")</f>
        <v>0</v>
      </c>
      <c r="AI439" s="646">
        <f>IFERROR(IF($AV439="No",0,IF($AV439="yes",Summary!S439,"")),"")</f>
        <v>0</v>
      </c>
      <c r="AJ439" s="647">
        <f>IFERROR(IF($AV439="No",0,IF($AV439="yes",Summary!T439,"")),"")</f>
        <v>0</v>
      </c>
      <c r="AK439" s="648">
        <f>IFERROR(IF($AV439="No",0,IF($AV439="yes",Summary!U439,"")),"")</f>
        <v>0</v>
      </c>
      <c r="AL439" s="646">
        <f>IFERROR(IF($AV439="No",0,IF($AV439="yes",Summary!V439,"")),"")</f>
        <v>0</v>
      </c>
      <c r="AM439" s="646">
        <f>IFERROR(IF($AV439="No",0,IF($AV439="yes",Summary!W439,"")),"")</f>
        <v>0</v>
      </c>
      <c r="AN439" s="646">
        <f>IFERROR(IF($AV439="No",0,IF($AV439="yes",Summary!X439,"")),"")</f>
        <v>0</v>
      </c>
      <c r="AO439" s="646">
        <f>IFERROR(IF($AV439="No",0,IF($AV439="yes",Summary!Y439+Z439,"")),"")</f>
        <v>0</v>
      </c>
      <c r="AP439" s="646">
        <f>IFERROR(IF($AV439="No",0,IF($AV439="yes",Summary!AB439,"")),"")</f>
        <v>0</v>
      </c>
      <c r="AQ439" s="649" t="str">
        <f t="shared" si="101"/>
        <v/>
      </c>
      <c r="AR439" s="649" t="str">
        <f t="shared" si="92"/>
        <v/>
      </c>
      <c r="AS439" s="649" t="str">
        <f t="shared" si="102"/>
        <v/>
      </c>
      <c r="AT439" s="641" t="s">
        <v>913</v>
      </c>
      <c r="AV439" t="str">
        <f>IF('Proposed Lighting'!AK136&gt;0,"No","Yes")</f>
        <v>Yes</v>
      </c>
    </row>
    <row r="440" spans="1:48" ht="34.5" customHeight="1" outlineLevel="1">
      <c r="A440" s="641" t="s">
        <v>914</v>
      </c>
      <c r="B440" s="641" t="str">
        <f>IF('Proposed Lighting'!AU137=3,"Commercial-All Com-ExtLight",IF('Proposed Lighting'!AH137&gt;8759,"IPC_8760","Commercial-All Com-IntLight"))</f>
        <v>IPC_8760</v>
      </c>
      <c r="C440" s="641" t="str">
        <f>IF(OR(E440="",E440=0),"No",
IF(AND('Data Entry'!$AF$23="OR",AE440&lt;1),"No",
IF(AND('Data Entry'!$AF$23="ID",E440="Non-standard lighting control system",AD440&lt;1),"No",
IF(AND('Data Entry'!$AF$23="OR",'Proposed Lighting'!F137="Existing LED (Provide Description)",'Proposed Lighting'!AK137=""),"No",
IF('Proposed Lighting'!DD137="Submit Control as Non-Standard","No",
IF(AND('Proposed Lighting'!T137="Non-Standard (Provide Description)",AD440&lt;1),"No",
IF('Proposed Lighting'!AW137&lt;'Proposed Lighting'!AZ137,"No","Yes")))))))</f>
        <v>No</v>
      </c>
      <c r="D440" s="1604">
        <f>'Proposed Lighting'!BQ137-Q440</f>
        <v>0</v>
      </c>
      <c r="E440" s="642" t="str">
        <f>IF('Proposed Lighting'!W137="","",'Proposed Lighting'!W137)</f>
        <v/>
      </c>
      <c r="F440" s="642"/>
      <c r="G440" s="641" t="s">
        <v>786</v>
      </c>
      <c r="H440" s="643">
        <v>10</v>
      </c>
      <c r="I440" s="644">
        <v>1</v>
      </c>
      <c r="J440" s="723">
        <f>IF('Proposed Lighting'!EF137=0,'Proposed Lighting'!AA137,'Proposed Lighting'!EF137)</f>
        <v>0</v>
      </c>
      <c r="K440" s="643" t="str">
        <f>'Proposed Lighting'!CU137</f>
        <v/>
      </c>
      <c r="L440" s="643" t="str">
        <f t="shared" ref="L440:L503" si="103">K440</f>
        <v/>
      </c>
      <c r="M440" s="645">
        <f t="shared" si="93"/>
        <v>0</v>
      </c>
      <c r="N440" s="645"/>
      <c r="O440" s="722">
        <f>IFERROR('Proposed Lighting'!AC137/1000,0)</f>
        <v>0</v>
      </c>
      <c r="P440" s="644">
        <f>'Proposed Lighting'!AV137</f>
        <v>0</v>
      </c>
      <c r="Q440" s="644">
        <f>IF(AND('Proposed Lighting'!T137="Lighting Controls Only",'Data Entry'!$AF$23="OR",'Proposed Lighting'!AU137=2),0,
IF(AND('Proposed Lighting'!T137="Lighting Controls Only",'Data Entry'!$AF$23="OR",'Proposed Lighting'!AU137=3,OR('Proposed Lighting'!W137="ceiling mount",'Proposed Lighting'!W137="wall switch",'Proposed Lighting'!W137="fixture mount (on exisiting equip)",'Proposed Lighting'!W137="daylight harvesting (on existing equip)")),0,
IF('Proposed Lighting'!AF137=1,IF(P440=0,0,J440*O440*(L440*(1-P440))),IF('Proposed Lighting'!AU137=1,0,'Proposed Lighting'!AX137-'Proposed Lighting'!AY137))))</f>
        <v>0</v>
      </c>
      <c r="R440" s="646">
        <f>IF('Proposed Lighting'!T137="Non-standard (provide description",0,
IF(AND(E440="Non-standard control",'Proposed Lighting'!AU137=2),Q440*0.1,
IF(AND(E440="Non-standard control",'Proposed Lighting'!AU137=3),Q440*0.08,
IF('Proposed Lighting'!EF137=0,0,IF('Proposed Lighting'!AU137=1,0,
IF(AND('Data Entry'!$AF$23="ID",'Proposed Lighting'!T137="Lighting controls only"),VLOOKUP(E440,'Proposed Lighting'!$DO$97:$DP$106,2,FALSE),
IF(AND('Data Entry'!$AF$23="OR",'Proposed Lighting'!AU137=3,'Proposed Lighting'!T137="Lighting controls only"),VLOOKUP(E440,'Proposed Lighting'!$DO$127:$DP$134,2,FALSE),0)))))))*J440</f>
        <v>0</v>
      </c>
      <c r="S440" s="646">
        <f>IF(Q440&lt;0.01,0,IF('Proposed Lighting'!AK137&gt;0,'Proposed Lighting'!AK137*'Proposed Lighting'!EF137,0))</f>
        <v>0</v>
      </c>
      <c r="T440" s="647">
        <f t="shared" ref="T440:T503" si="104">IF(Q3240=0,0,S440/SUM($S$312:$S$611))</f>
        <v>0</v>
      </c>
      <c r="U440" s="648"/>
      <c r="V440" s="646">
        <f t="shared" si="94"/>
        <v>0</v>
      </c>
      <c r="W440" s="646">
        <f t="shared" si="95"/>
        <v>0</v>
      </c>
      <c r="X440" s="646">
        <f t="shared" si="96"/>
        <v>0</v>
      </c>
      <c r="Y440" s="646"/>
      <c r="Z440" s="646"/>
      <c r="AA440" s="646"/>
      <c r="AB440" s="646">
        <f t="shared" si="97"/>
        <v>0</v>
      </c>
      <c r="AC440" s="649" t="str">
        <f t="shared" si="98"/>
        <v/>
      </c>
      <c r="AD440" s="649" t="str">
        <f t="shared" si="99"/>
        <v/>
      </c>
      <c r="AE440" s="649" t="str">
        <f t="shared" si="100"/>
        <v/>
      </c>
      <c r="AF440" s="72"/>
      <c r="AG440" s="644">
        <f>IFERROR(IF($AV440="No",0,IF($AV440="yes",Summary!Q440,"")),"")</f>
        <v>0</v>
      </c>
      <c r="AH440" s="646">
        <f>IFERROR(IF($AV440="No",0,IF($AV440="yes",Summary!R440,"")),"")</f>
        <v>0</v>
      </c>
      <c r="AI440" s="646">
        <f>IFERROR(IF($AV440="No",0,IF($AV440="yes",Summary!S440,"")),"")</f>
        <v>0</v>
      </c>
      <c r="AJ440" s="647">
        <f>IFERROR(IF($AV440="No",0,IF($AV440="yes",Summary!T440,"")),"")</f>
        <v>0</v>
      </c>
      <c r="AK440" s="648">
        <f>IFERROR(IF($AV440="No",0,IF($AV440="yes",Summary!U440,"")),"")</f>
        <v>0</v>
      </c>
      <c r="AL440" s="646">
        <f>IFERROR(IF($AV440="No",0,IF($AV440="yes",Summary!V440,"")),"")</f>
        <v>0</v>
      </c>
      <c r="AM440" s="646">
        <f>IFERROR(IF($AV440="No",0,IF($AV440="yes",Summary!W440,"")),"")</f>
        <v>0</v>
      </c>
      <c r="AN440" s="646">
        <f>IFERROR(IF($AV440="No",0,IF($AV440="yes",Summary!X440,"")),"")</f>
        <v>0</v>
      </c>
      <c r="AO440" s="646">
        <f>IFERROR(IF($AV440="No",0,IF($AV440="yes",Summary!Y440+Z440,"")),"")</f>
        <v>0</v>
      </c>
      <c r="AP440" s="646">
        <f>IFERROR(IF($AV440="No",0,IF($AV440="yes",Summary!AB440,"")),"")</f>
        <v>0</v>
      </c>
      <c r="AQ440" s="649" t="str">
        <f t="shared" si="101"/>
        <v/>
      </c>
      <c r="AR440" s="649" t="str">
        <f t="shared" si="92"/>
        <v/>
      </c>
      <c r="AS440" s="649" t="str">
        <f t="shared" si="102"/>
        <v/>
      </c>
      <c r="AT440" s="641" t="s">
        <v>914</v>
      </c>
      <c r="AV440" t="str">
        <f>IF('Proposed Lighting'!AK137&gt;0,"No","Yes")</f>
        <v>Yes</v>
      </c>
    </row>
    <row r="441" spans="1:48" ht="34.5" customHeight="1" outlineLevel="1">
      <c r="A441" s="641" t="s">
        <v>915</v>
      </c>
      <c r="B441" s="641" t="str">
        <f>IF('Proposed Lighting'!AU138=3,"Commercial-All Com-ExtLight",IF('Proposed Lighting'!AH138&gt;8759,"IPC_8760","Commercial-All Com-IntLight"))</f>
        <v>IPC_8760</v>
      </c>
      <c r="C441" s="641" t="str">
        <f>IF(OR(E441="",E441=0),"No",
IF(AND('Data Entry'!$AF$23="OR",AE441&lt;1),"No",
IF(AND('Data Entry'!$AF$23="ID",E441="Non-standard lighting control system",AD441&lt;1),"No",
IF(AND('Data Entry'!$AF$23="OR",'Proposed Lighting'!F138="Existing LED (Provide Description)",'Proposed Lighting'!AK138=""),"No",
IF('Proposed Lighting'!DD138="Submit Control as Non-Standard","No",
IF(AND('Proposed Lighting'!T138="Non-Standard (Provide Description)",AD441&lt;1),"No",
IF('Proposed Lighting'!AW138&lt;'Proposed Lighting'!AZ138,"No","Yes")))))))</f>
        <v>No</v>
      </c>
      <c r="D441" s="1604">
        <f>'Proposed Lighting'!BQ138-Q441</f>
        <v>0</v>
      </c>
      <c r="E441" s="642" t="str">
        <f>IF('Proposed Lighting'!W138="","",'Proposed Lighting'!W138)</f>
        <v/>
      </c>
      <c r="F441" s="642"/>
      <c r="G441" s="641" t="s">
        <v>786</v>
      </c>
      <c r="H441" s="643">
        <v>10</v>
      </c>
      <c r="I441" s="644">
        <v>1</v>
      </c>
      <c r="J441" s="723">
        <f>IF('Proposed Lighting'!EF138=0,'Proposed Lighting'!AA138,'Proposed Lighting'!EF138)</f>
        <v>0</v>
      </c>
      <c r="K441" s="643" t="str">
        <f>'Proposed Lighting'!CU138</f>
        <v/>
      </c>
      <c r="L441" s="643" t="str">
        <f t="shared" si="103"/>
        <v/>
      </c>
      <c r="M441" s="645">
        <f t="shared" si="93"/>
        <v>0</v>
      </c>
      <c r="N441" s="645"/>
      <c r="O441" s="722">
        <f>IFERROR('Proposed Lighting'!AC138/1000,0)</f>
        <v>0</v>
      </c>
      <c r="P441" s="644">
        <f>'Proposed Lighting'!AV138</f>
        <v>0</v>
      </c>
      <c r="Q441" s="644">
        <f>IF(AND('Proposed Lighting'!T138="Lighting Controls Only",'Data Entry'!$AF$23="OR",'Proposed Lighting'!AU138=2),0,
IF(AND('Proposed Lighting'!T138="Lighting Controls Only",'Data Entry'!$AF$23="OR",'Proposed Lighting'!AU138=3,OR('Proposed Lighting'!W138="ceiling mount",'Proposed Lighting'!W138="wall switch",'Proposed Lighting'!W138="fixture mount (on exisiting equip)",'Proposed Lighting'!W138="daylight harvesting (on existing equip)")),0,
IF('Proposed Lighting'!AF138=1,IF(P441=0,0,J441*O441*(L441*(1-P441))),IF('Proposed Lighting'!AU138=1,0,'Proposed Lighting'!AX138-'Proposed Lighting'!AY138))))</f>
        <v>0</v>
      </c>
      <c r="R441" s="646">
        <f>IF('Proposed Lighting'!T138="Non-standard (provide description",0,
IF(AND(E441="Non-standard control",'Proposed Lighting'!AU138=2),Q441*0.1,
IF(AND(E441="Non-standard control",'Proposed Lighting'!AU138=3),Q441*0.08,
IF('Proposed Lighting'!EF138=0,0,IF('Proposed Lighting'!AU138=1,0,
IF(AND('Data Entry'!$AF$23="ID",'Proposed Lighting'!T138="Lighting controls only"),VLOOKUP(E441,'Proposed Lighting'!$DO$97:$DP$106,2,FALSE),
IF(AND('Data Entry'!$AF$23="OR",'Proposed Lighting'!AU138=3,'Proposed Lighting'!T138="Lighting controls only"),VLOOKUP(E441,'Proposed Lighting'!$DO$127:$DP$134,2,FALSE),0)))))))*J441</f>
        <v>0</v>
      </c>
      <c r="S441" s="646">
        <f>IF(Q441&lt;0.01,0,IF('Proposed Lighting'!AK138&gt;0,'Proposed Lighting'!AK138*'Proposed Lighting'!EF138,0))</f>
        <v>0</v>
      </c>
      <c r="T441" s="647">
        <f t="shared" si="104"/>
        <v>0</v>
      </c>
      <c r="U441" s="648"/>
      <c r="V441" s="646">
        <f t="shared" si="94"/>
        <v>0</v>
      </c>
      <c r="W441" s="646">
        <f t="shared" si="95"/>
        <v>0</v>
      </c>
      <c r="X441" s="646">
        <f t="shared" si="96"/>
        <v>0</v>
      </c>
      <c r="Y441" s="646"/>
      <c r="Z441" s="646"/>
      <c r="AA441" s="646"/>
      <c r="AB441" s="646">
        <f t="shared" si="97"/>
        <v>0</v>
      </c>
      <c r="AC441" s="649" t="str">
        <f t="shared" si="98"/>
        <v/>
      </c>
      <c r="AD441" s="649" t="str">
        <f t="shared" si="99"/>
        <v/>
      </c>
      <c r="AE441" s="649" t="str">
        <f t="shared" si="100"/>
        <v/>
      </c>
      <c r="AF441" s="72"/>
      <c r="AG441" s="644">
        <f>IFERROR(IF($AV441="No",0,IF($AV441="yes",Summary!Q441,"")),"")</f>
        <v>0</v>
      </c>
      <c r="AH441" s="646">
        <f>IFERROR(IF($AV441="No",0,IF($AV441="yes",Summary!R441,"")),"")</f>
        <v>0</v>
      </c>
      <c r="AI441" s="646">
        <f>IFERROR(IF($AV441="No",0,IF($AV441="yes",Summary!S441,"")),"")</f>
        <v>0</v>
      </c>
      <c r="AJ441" s="647">
        <f>IFERROR(IF($AV441="No",0,IF($AV441="yes",Summary!T441,"")),"")</f>
        <v>0</v>
      </c>
      <c r="AK441" s="648">
        <f>IFERROR(IF($AV441="No",0,IF($AV441="yes",Summary!U441,"")),"")</f>
        <v>0</v>
      </c>
      <c r="AL441" s="646">
        <f>IFERROR(IF($AV441="No",0,IF($AV441="yes",Summary!V441,"")),"")</f>
        <v>0</v>
      </c>
      <c r="AM441" s="646">
        <f>IFERROR(IF($AV441="No",0,IF($AV441="yes",Summary!W441,"")),"")</f>
        <v>0</v>
      </c>
      <c r="AN441" s="646">
        <f>IFERROR(IF($AV441="No",0,IF($AV441="yes",Summary!X441,"")),"")</f>
        <v>0</v>
      </c>
      <c r="AO441" s="646">
        <f>IFERROR(IF($AV441="No",0,IF($AV441="yes",Summary!Y441+Z441,"")),"")</f>
        <v>0</v>
      </c>
      <c r="AP441" s="646">
        <f>IFERROR(IF($AV441="No",0,IF($AV441="yes",Summary!AB441,"")),"")</f>
        <v>0</v>
      </c>
      <c r="AQ441" s="649" t="str">
        <f t="shared" si="101"/>
        <v/>
      </c>
      <c r="AR441" s="649" t="str">
        <f t="shared" ref="AR441:AR504" si="105">IFERROR(IF($AG441&lt;0,"",(I441*AM441)/(((IF(AG441=0,AG441,AG441))*AK441)+AH441)),"")</f>
        <v/>
      </c>
      <c r="AS441" s="649" t="str">
        <f t="shared" si="102"/>
        <v/>
      </c>
      <c r="AT441" s="641" t="s">
        <v>915</v>
      </c>
      <c r="AV441" t="str">
        <f>IF('Proposed Lighting'!AK138&gt;0,"No","Yes")</f>
        <v>Yes</v>
      </c>
    </row>
    <row r="442" spans="1:48" ht="34.5" customHeight="1" outlineLevel="1">
      <c r="A442" s="641" t="s">
        <v>916</v>
      </c>
      <c r="B442" s="641" t="str">
        <f>IF('Proposed Lighting'!AU139=3,"Commercial-All Com-ExtLight",IF('Proposed Lighting'!AH139&gt;8759,"IPC_8760","Commercial-All Com-IntLight"))</f>
        <v>IPC_8760</v>
      </c>
      <c r="C442" s="641" t="str">
        <f>IF(OR(E442="",E442=0),"No",
IF(AND('Data Entry'!$AF$23="OR",AE442&lt;1),"No",
IF(AND('Data Entry'!$AF$23="ID",E442="Non-standard lighting control system",AD442&lt;1),"No",
IF(AND('Data Entry'!$AF$23="OR",'Proposed Lighting'!F139="Existing LED (Provide Description)",'Proposed Lighting'!AK139=""),"No",
IF('Proposed Lighting'!DD139="Submit Control as Non-Standard","No",
IF(AND('Proposed Lighting'!T139="Non-Standard (Provide Description)",AD442&lt;1),"No",
IF('Proposed Lighting'!AW139&lt;'Proposed Lighting'!AZ139,"No","Yes")))))))</f>
        <v>No</v>
      </c>
      <c r="D442" s="1604">
        <f>'Proposed Lighting'!BQ139-Q442</f>
        <v>0</v>
      </c>
      <c r="E442" s="642" t="str">
        <f>IF('Proposed Lighting'!W139="","",'Proposed Lighting'!W139)</f>
        <v/>
      </c>
      <c r="F442" s="642"/>
      <c r="G442" s="641" t="s">
        <v>786</v>
      </c>
      <c r="H442" s="643">
        <v>10</v>
      </c>
      <c r="I442" s="644">
        <v>1</v>
      </c>
      <c r="J442" s="723">
        <f>IF('Proposed Lighting'!EF139=0,'Proposed Lighting'!AA139,'Proposed Lighting'!EF139)</f>
        <v>0</v>
      </c>
      <c r="K442" s="643" t="str">
        <f>'Proposed Lighting'!CU139</f>
        <v/>
      </c>
      <c r="L442" s="643" t="str">
        <f t="shared" si="103"/>
        <v/>
      </c>
      <c r="M442" s="645">
        <f t="shared" si="93"/>
        <v>0</v>
      </c>
      <c r="N442" s="645"/>
      <c r="O442" s="722">
        <f>IFERROR('Proposed Lighting'!AC139/1000,0)</f>
        <v>0</v>
      </c>
      <c r="P442" s="644">
        <f>'Proposed Lighting'!AV139</f>
        <v>0</v>
      </c>
      <c r="Q442" s="644">
        <f>IF(AND('Proposed Lighting'!T139="Lighting Controls Only",'Data Entry'!$AF$23="OR",'Proposed Lighting'!AU139=2),0,
IF(AND('Proposed Lighting'!T139="Lighting Controls Only",'Data Entry'!$AF$23="OR",'Proposed Lighting'!AU139=3,OR('Proposed Lighting'!W139="ceiling mount",'Proposed Lighting'!W139="wall switch",'Proposed Lighting'!W139="fixture mount (on exisiting equip)",'Proposed Lighting'!W139="daylight harvesting (on existing equip)")),0,
IF('Proposed Lighting'!AF139=1,IF(P442=0,0,J442*O442*(L442*(1-P442))),IF('Proposed Lighting'!AU139=1,0,'Proposed Lighting'!AX139-'Proposed Lighting'!AY139))))</f>
        <v>0</v>
      </c>
      <c r="R442" s="646">
        <f>IF('Proposed Lighting'!T139="Non-standard (provide description",0,
IF(AND(E442="Non-standard control",'Proposed Lighting'!AU139=2),Q442*0.1,
IF(AND(E442="Non-standard control",'Proposed Lighting'!AU139=3),Q442*0.08,
IF('Proposed Lighting'!EF139=0,0,IF('Proposed Lighting'!AU139=1,0,
IF(AND('Data Entry'!$AF$23="ID",'Proposed Lighting'!T139="Lighting controls only"),VLOOKUP(E442,'Proposed Lighting'!$DO$97:$DP$106,2,FALSE),
IF(AND('Data Entry'!$AF$23="OR",'Proposed Lighting'!AU139=3,'Proposed Lighting'!T139="Lighting controls only"),VLOOKUP(E442,'Proposed Lighting'!$DO$127:$DP$134,2,FALSE),0)))))))*J442</f>
        <v>0</v>
      </c>
      <c r="S442" s="646">
        <f>IF(Q442&lt;0.01,0,IF('Proposed Lighting'!AK139&gt;0,'Proposed Lighting'!AK139*'Proposed Lighting'!EF139,0))</f>
        <v>0</v>
      </c>
      <c r="T442" s="647">
        <f t="shared" si="104"/>
        <v>0</v>
      </c>
      <c r="U442" s="648"/>
      <c r="V442" s="646">
        <f t="shared" si="94"/>
        <v>0</v>
      </c>
      <c r="W442" s="646">
        <f t="shared" si="95"/>
        <v>0</v>
      </c>
      <c r="X442" s="646">
        <f t="shared" si="96"/>
        <v>0</v>
      </c>
      <c r="Y442" s="646"/>
      <c r="Z442" s="646"/>
      <c r="AA442" s="646"/>
      <c r="AB442" s="646">
        <f t="shared" si="97"/>
        <v>0</v>
      </c>
      <c r="AC442" s="649" t="str">
        <f t="shared" si="98"/>
        <v/>
      </c>
      <c r="AD442" s="649" t="str">
        <f t="shared" si="99"/>
        <v/>
      </c>
      <c r="AE442" s="649" t="str">
        <f t="shared" si="100"/>
        <v/>
      </c>
      <c r="AF442" s="72"/>
      <c r="AG442" s="644">
        <f>IFERROR(IF($AV442="No",0,IF($AV442="yes",Summary!Q442,"")),"")</f>
        <v>0</v>
      </c>
      <c r="AH442" s="646">
        <f>IFERROR(IF($AV442="No",0,IF($AV442="yes",Summary!R442,"")),"")</f>
        <v>0</v>
      </c>
      <c r="AI442" s="646">
        <f>IFERROR(IF($AV442="No",0,IF($AV442="yes",Summary!S442,"")),"")</f>
        <v>0</v>
      </c>
      <c r="AJ442" s="647">
        <f>IFERROR(IF($AV442="No",0,IF($AV442="yes",Summary!T442,"")),"")</f>
        <v>0</v>
      </c>
      <c r="AK442" s="648">
        <f>IFERROR(IF($AV442="No",0,IF($AV442="yes",Summary!U442,"")),"")</f>
        <v>0</v>
      </c>
      <c r="AL442" s="646">
        <f>IFERROR(IF($AV442="No",0,IF($AV442="yes",Summary!V442,"")),"")</f>
        <v>0</v>
      </c>
      <c r="AM442" s="646">
        <f>IFERROR(IF($AV442="No",0,IF($AV442="yes",Summary!W442,"")),"")</f>
        <v>0</v>
      </c>
      <c r="AN442" s="646">
        <f>IFERROR(IF($AV442="No",0,IF($AV442="yes",Summary!X442,"")),"")</f>
        <v>0</v>
      </c>
      <c r="AO442" s="646">
        <f>IFERROR(IF($AV442="No",0,IF($AV442="yes",Summary!Y442+Z442,"")),"")</f>
        <v>0</v>
      </c>
      <c r="AP442" s="646">
        <f>IFERROR(IF($AV442="No",0,IF($AV442="yes",Summary!AB442,"")),"")</f>
        <v>0</v>
      </c>
      <c r="AQ442" s="649" t="str">
        <f t="shared" si="101"/>
        <v/>
      </c>
      <c r="AR442" s="649" t="str">
        <f t="shared" si="105"/>
        <v/>
      </c>
      <c r="AS442" s="649" t="str">
        <f t="shared" si="102"/>
        <v/>
      </c>
      <c r="AT442" s="641" t="s">
        <v>916</v>
      </c>
      <c r="AV442" t="str">
        <f>IF('Proposed Lighting'!AK139&gt;0,"No","Yes")</f>
        <v>Yes</v>
      </c>
    </row>
    <row r="443" spans="1:48" ht="34.5" customHeight="1" outlineLevel="1">
      <c r="A443" s="641" t="s">
        <v>917</v>
      </c>
      <c r="B443" s="641" t="str">
        <f>IF('Proposed Lighting'!AU140=3,"Commercial-All Com-ExtLight",IF('Proposed Lighting'!AH140&gt;8759,"IPC_8760","Commercial-All Com-IntLight"))</f>
        <v>IPC_8760</v>
      </c>
      <c r="C443" s="641" t="str">
        <f>IF(OR(E443="",E443=0),"No",
IF(AND('Data Entry'!$AF$23="OR",AE443&lt;1),"No",
IF(AND('Data Entry'!$AF$23="ID",E443="Non-standard lighting control system",AD443&lt;1),"No",
IF(AND('Data Entry'!$AF$23="OR",'Proposed Lighting'!F140="Existing LED (Provide Description)",'Proposed Lighting'!AK140=""),"No",
IF('Proposed Lighting'!DD140="Submit Control as Non-Standard","No",
IF(AND('Proposed Lighting'!T140="Non-Standard (Provide Description)",AD443&lt;1),"No",
IF('Proposed Lighting'!AW140&lt;'Proposed Lighting'!AZ140,"No","Yes")))))))</f>
        <v>No</v>
      </c>
      <c r="D443" s="1604">
        <f>'Proposed Lighting'!BQ140-Q443</f>
        <v>0</v>
      </c>
      <c r="E443" s="642" t="str">
        <f>IF('Proposed Lighting'!W140="","",'Proposed Lighting'!W140)</f>
        <v/>
      </c>
      <c r="F443" s="642"/>
      <c r="G443" s="641" t="s">
        <v>786</v>
      </c>
      <c r="H443" s="643">
        <v>10</v>
      </c>
      <c r="I443" s="644">
        <v>1</v>
      </c>
      <c r="J443" s="723">
        <f>IF('Proposed Lighting'!EF140=0,'Proposed Lighting'!AA140,'Proposed Lighting'!EF140)</f>
        <v>0</v>
      </c>
      <c r="K443" s="643" t="str">
        <f>'Proposed Lighting'!CU140</f>
        <v/>
      </c>
      <c r="L443" s="643" t="str">
        <f t="shared" si="103"/>
        <v/>
      </c>
      <c r="M443" s="645">
        <f t="shared" si="93"/>
        <v>0</v>
      </c>
      <c r="N443" s="645"/>
      <c r="O443" s="722">
        <f>IFERROR('Proposed Lighting'!AC140/1000,0)</f>
        <v>0</v>
      </c>
      <c r="P443" s="644">
        <f>'Proposed Lighting'!AV140</f>
        <v>0</v>
      </c>
      <c r="Q443" s="644">
        <f>IF(AND('Proposed Lighting'!T140="Lighting Controls Only",'Data Entry'!$AF$23="OR",'Proposed Lighting'!AU140=2),0,
IF(AND('Proposed Lighting'!T140="Lighting Controls Only",'Data Entry'!$AF$23="OR",'Proposed Lighting'!AU140=3,OR('Proposed Lighting'!W140="ceiling mount",'Proposed Lighting'!W140="wall switch",'Proposed Lighting'!W140="fixture mount (on exisiting equip)",'Proposed Lighting'!W140="daylight harvesting (on existing equip)")),0,
IF('Proposed Lighting'!AF140=1,IF(P443=0,0,J443*O443*(L443*(1-P443))),IF('Proposed Lighting'!AU140=1,0,'Proposed Lighting'!AX140-'Proposed Lighting'!AY140))))</f>
        <v>0</v>
      </c>
      <c r="R443" s="646">
        <f>IF('Proposed Lighting'!T140="Non-standard (provide description",0,
IF(AND(E443="Non-standard control",'Proposed Lighting'!AU140=2),Q443*0.1,
IF(AND(E443="Non-standard control",'Proposed Lighting'!AU140=3),Q443*0.08,
IF('Proposed Lighting'!EF140=0,0,IF('Proposed Lighting'!AU140=1,0,
IF(AND('Data Entry'!$AF$23="ID",'Proposed Lighting'!T140="Lighting controls only"),VLOOKUP(E443,'Proposed Lighting'!$DO$97:$DP$106,2,FALSE),
IF(AND('Data Entry'!$AF$23="OR",'Proposed Lighting'!AU140=3,'Proposed Lighting'!T140="Lighting controls only"),VLOOKUP(E443,'Proposed Lighting'!$DO$127:$DP$134,2,FALSE),0)))))))*J443</f>
        <v>0</v>
      </c>
      <c r="S443" s="646">
        <f>IF(Q443&lt;0.01,0,IF('Proposed Lighting'!AK140&gt;0,'Proposed Lighting'!AK140*'Proposed Lighting'!EF140,0))</f>
        <v>0</v>
      </c>
      <c r="T443" s="647">
        <f t="shared" si="104"/>
        <v>0</v>
      </c>
      <c r="U443" s="648"/>
      <c r="V443" s="646">
        <f t="shared" si="94"/>
        <v>0</v>
      </c>
      <c r="W443" s="646">
        <f t="shared" si="95"/>
        <v>0</v>
      </c>
      <c r="X443" s="646">
        <f t="shared" si="96"/>
        <v>0</v>
      </c>
      <c r="Y443" s="646"/>
      <c r="Z443" s="646"/>
      <c r="AA443" s="646"/>
      <c r="AB443" s="646">
        <f t="shared" si="97"/>
        <v>0</v>
      </c>
      <c r="AC443" s="649" t="str">
        <f t="shared" si="98"/>
        <v/>
      </c>
      <c r="AD443" s="649" t="str">
        <f t="shared" si="99"/>
        <v/>
      </c>
      <c r="AE443" s="649" t="str">
        <f t="shared" si="100"/>
        <v/>
      </c>
      <c r="AF443" s="72"/>
      <c r="AG443" s="644">
        <f>IFERROR(IF($AV443="No",0,IF($AV443="yes",Summary!Q443,"")),"")</f>
        <v>0</v>
      </c>
      <c r="AH443" s="646">
        <f>IFERROR(IF($AV443="No",0,IF($AV443="yes",Summary!R443,"")),"")</f>
        <v>0</v>
      </c>
      <c r="AI443" s="646">
        <f>IFERROR(IF($AV443="No",0,IF($AV443="yes",Summary!S443,"")),"")</f>
        <v>0</v>
      </c>
      <c r="AJ443" s="647">
        <f>IFERROR(IF($AV443="No",0,IF($AV443="yes",Summary!T443,"")),"")</f>
        <v>0</v>
      </c>
      <c r="AK443" s="648">
        <f>IFERROR(IF($AV443="No",0,IF($AV443="yes",Summary!U443,"")),"")</f>
        <v>0</v>
      </c>
      <c r="AL443" s="646">
        <f>IFERROR(IF($AV443="No",0,IF($AV443="yes",Summary!V443,"")),"")</f>
        <v>0</v>
      </c>
      <c r="AM443" s="646">
        <f>IFERROR(IF($AV443="No",0,IF($AV443="yes",Summary!W443,"")),"")</f>
        <v>0</v>
      </c>
      <c r="AN443" s="646">
        <f>IFERROR(IF($AV443="No",0,IF($AV443="yes",Summary!X443,"")),"")</f>
        <v>0</v>
      </c>
      <c r="AO443" s="646">
        <f>IFERROR(IF($AV443="No",0,IF($AV443="yes",Summary!Y443+Z443,"")),"")</f>
        <v>0</v>
      </c>
      <c r="AP443" s="646">
        <f>IFERROR(IF($AV443="No",0,IF($AV443="yes",Summary!AB443,"")),"")</f>
        <v>0</v>
      </c>
      <c r="AQ443" s="649" t="str">
        <f t="shared" si="101"/>
        <v/>
      </c>
      <c r="AR443" s="649" t="str">
        <f t="shared" si="105"/>
        <v/>
      </c>
      <c r="AS443" s="649" t="str">
        <f t="shared" si="102"/>
        <v/>
      </c>
      <c r="AT443" s="641" t="s">
        <v>917</v>
      </c>
      <c r="AV443" t="str">
        <f>IF('Proposed Lighting'!AK140&gt;0,"No","Yes")</f>
        <v>Yes</v>
      </c>
    </row>
    <row r="444" spans="1:48" ht="34.5" customHeight="1" outlineLevel="1">
      <c r="A444" s="641" t="s">
        <v>918</v>
      </c>
      <c r="B444" s="641" t="str">
        <f>IF('Proposed Lighting'!AU141=3,"Commercial-All Com-ExtLight",IF('Proposed Lighting'!AH141&gt;8759,"IPC_8760","Commercial-All Com-IntLight"))</f>
        <v>IPC_8760</v>
      </c>
      <c r="C444" s="641" t="str">
        <f>IF(OR(E444="",E444=0),"No",
IF(AND('Data Entry'!$AF$23="OR",AE444&lt;1),"No",
IF(AND('Data Entry'!$AF$23="ID",E444="Non-standard lighting control system",AD444&lt;1),"No",
IF(AND('Data Entry'!$AF$23="OR",'Proposed Lighting'!F141="Existing LED (Provide Description)",'Proposed Lighting'!AK141=""),"No",
IF('Proposed Lighting'!DD141="Submit Control as Non-Standard","No",
IF(AND('Proposed Lighting'!T141="Non-Standard (Provide Description)",AD444&lt;1),"No",
IF('Proposed Lighting'!AW141&lt;'Proposed Lighting'!AZ141,"No","Yes")))))))</f>
        <v>No</v>
      </c>
      <c r="D444" s="1604">
        <f>'Proposed Lighting'!BQ141-Q444</f>
        <v>0</v>
      </c>
      <c r="E444" s="642" t="str">
        <f>IF('Proposed Lighting'!W141="","",'Proposed Lighting'!W141)</f>
        <v/>
      </c>
      <c r="F444" s="642"/>
      <c r="G444" s="641" t="s">
        <v>786</v>
      </c>
      <c r="H444" s="643">
        <v>10</v>
      </c>
      <c r="I444" s="644">
        <v>1</v>
      </c>
      <c r="J444" s="723">
        <f>IF('Proposed Lighting'!EF141=0,'Proposed Lighting'!AA141,'Proposed Lighting'!EF141)</f>
        <v>0</v>
      </c>
      <c r="K444" s="643" t="str">
        <f>'Proposed Lighting'!CU141</f>
        <v/>
      </c>
      <c r="L444" s="643" t="str">
        <f t="shared" si="103"/>
        <v/>
      </c>
      <c r="M444" s="645">
        <f t="shared" si="93"/>
        <v>0</v>
      </c>
      <c r="N444" s="645"/>
      <c r="O444" s="722">
        <f>IFERROR('Proposed Lighting'!AC141/1000,0)</f>
        <v>0</v>
      </c>
      <c r="P444" s="644">
        <f>'Proposed Lighting'!AV141</f>
        <v>0</v>
      </c>
      <c r="Q444" s="644">
        <f>IF(AND('Proposed Lighting'!T141="Lighting Controls Only",'Data Entry'!$AF$23="OR",'Proposed Lighting'!AU141=2),0,
IF(AND('Proposed Lighting'!T141="Lighting Controls Only",'Data Entry'!$AF$23="OR",'Proposed Lighting'!AU141=3,OR('Proposed Lighting'!W141="ceiling mount",'Proposed Lighting'!W141="wall switch",'Proposed Lighting'!W141="fixture mount (on exisiting equip)",'Proposed Lighting'!W141="daylight harvesting (on existing equip)")),0,
IF('Proposed Lighting'!AF141=1,IF(P444=0,0,J444*O444*(L444*(1-P444))),IF('Proposed Lighting'!AU141=1,0,'Proposed Lighting'!AX141-'Proposed Lighting'!AY141))))</f>
        <v>0</v>
      </c>
      <c r="R444" s="646">
        <f>IF('Proposed Lighting'!T141="Non-standard (provide description",0,
IF(AND(E444="Non-standard control",'Proposed Lighting'!AU141=2),Q444*0.1,
IF(AND(E444="Non-standard control",'Proposed Lighting'!AU141=3),Q444*0.08,
IF('Proposed Lighting'!EF141=0,0,IF('Proposed Lighting'!AU141=1,0,
IF(AND('Data Entry'!$AF$23="ID",'Proposed Lighting'!T141="Lighting controls only"),VLOOKUP(E444,'Proposed Lighting'!$DO$97:$DP$106,2,FALSE),
IF(AND('Data Entry'!$AF$23="OR",'Proposed Lighting'!AU141=3,'Proposed Lighting'!T141="Lighting controls only"),VLOOKUP(E444,'Proposed Lighting'!$DO$127:$DP$134,2,FALSE),0)))))))*J444</f>
        <v>0</v>
      </c>
      <c r="S444" s="646">
        <f>IF(Q444&lt;0.01,0,IF('Proposed Lighting'!AK141&gt;0,'Proposed Lighting'!AK141*'Proposed Lighting'!EF141,0))</f>
        <v>0</v>
      </c>
      <c r="T444" s="647">
        <f t="shared" si="104"/>
        <v>0</v>
      </c>
      <c r="U444" s="648"/>
      <c r="V444" s="646">
        <f t="shared" si="94"/>
        <v>0</v>
      </c>
      <c r="W444" s="646">
        <f t="shared" si="95"/>
        <v>0</v>
      </c>
      <c r="X444" s="646">
        <f t="shared" si="96"/>
        <v>0</v>
      </c>
      <c r="Y444" s="646"/>
      <c r="Z444" s="646"/>
      <c r="AA444" s="646"/>
      <c r="AB444" s="646">
        <f t="shared" si="97"/>
        <v>0</v>
      </c>
      <c r="AC444" s="649" t="str">
        <f t="shared" si="98"/>
        <v/>
      </c>
      <c r="AD444" s="649" t="str">
        <f t="shared" si="99"/>
        <v/>
      </c>
      <c r="AE444" s="649" t="str">
        <f t="shared" si="100"/>
        <v/>
      </c>
      <c r="AF444" s="72"/>
      <c r="AG444" s="644">
        <f>IFERROR(IF($AV444="No",0,IF($AV444="yes",Summary!Q444,"")),"")</f>
        <v>0</v>
      </c>
      <c r="AH444" s="646">
        <f>IFERROR(IF($AV444="No",0,IF($AV444="yes",Summary!R444,"")),"")</f>
        <v>0</v>
      </c>
      <c r="AI444" s="646">
        <f>IFERROR(IF($AV444="No",0,IF($AV444="yes",Summary!S444,"")),"")</f>
        <v>0</v>
      </c>
      <c r="AJ444" s="647">
        <f>IFERROR(IF($AV444="No",0,IF($AV444="yes",Summary!T444,"")),"")</f>
        <v>0</v>
      </c>
      <c r="AK444" s="648">
        <f>IFERROR(IF($AV444="No",0,IF($AV444="yes",Summary!U444,"")),"")</f>
        <v>0</v>
      </c>
      <c r="AL444" s="646">
        <f>IFERROR(IF($AV444="No",0,IF($AV444="yes",Summary!V444,"")),"")</f>
        <v>0</v>
      </c>
      <c r="AM444" s="646">
        <f>IFERROR(IF($AV444="No",0,IF($AV444="yes",Summary!W444,"")),"")</f>
        <v>0</v>
      </c>
      <c r="AN444" s="646">
        <f>IFERROR(IF($AV444="No",0,IF($AV444="yes",Summary!X444,"")),"")</f>
        <v>0</v>
      </c>
      <c r="AO444" s="646">
        <f>IFERROR(IF($AV444="No",0,IF($AV444="yes",Summary!Y444+Z444,"")),"")</f>
        <v>0</v>
      </c>
      <c r="AP444" s="646">
        <f>IFERROR(IF($AV444="No",0,IF($AV444="yes",Summary!AB444,"")),"")</f>
        <v>0</v>
      </c>
      <c r="AQ444" s="649" t="str">
        <f t="shared" si="101"/>
        <v/>
      </c>
      <c r="AR444" s="649" t="str">
        <f t="shared" si="105"/>
        <v/>
      </c>
      <c r="AS444" s="649" t="str">
        <f t="shared" si="102"/>
        <v/>
      </c>
      <c r="AT444" s="641" t="s">
        <v>918</v>
      </c>
      <c r="AV444" t="str">
        <f>IF('Proposed Lighting'!AK141&gt;0,"No","Yes")</f>
        <v>Yes</v>
      </c>
    </row>
    <row r="445" spans="1:48" ht="34.5" customHeight="1" outlineLevel="1">
      <c r="A445" s="641" t="s">
        <v>919</v>
      </c>
      <c r="B445" s="641" t="str">
        <f>IF('Proposed Lighting'!AU142=3,"Commercial-All Com-ExtLight",IF('Proposed Lighting'!AH142&gt;8759,"IPC_8760","Commercial-All Com-IntLight"))</f>
        <v>IPC_8760</v>
      </c>
      <c r="C445" s="641" t="str">
        <f>IF(OR(E445="",E445=0),"No",
IF(AND('Data Entry'!$AF$23="OR",AE445&lt;1),"No",
IF(AND('Data Entry'!$AF$23="ID",E445="Non-standard lighting control system",AD445&lt;1),"No",
IF(AND('Data Entry'!$AF$23="OR",'Proposed Lighting'!F142="Existing LED (Provide Description)",'Proposed Lighting'!AK142=""),"No",
IF('Proposed Lighting'!DD142="Submit Control as Non-Standard","No",
IF(AND('Proposed Lighting'!T142="Non-Standard (Provide Description)",AD445&lt;1),"No",
IF('Proposed Lighting'!AW142&lt;'Proposed Lighting'!AZ142,"No","Yes")))))))</f>
        <v>No</v>
      </c>
      <c r="D445" s="1604">
        <f>'Proposed Lighting'!BQ142-Q445</f>
        <v>0</v>
      </c>
      <c r="E445" s="642" t="str">
        <f>IF('Proposed Lighting'!W142="","",'Proposed Lighting'!W142)</f>
        <v/>
      </c>
      <c r="F445" s="642"/>
      <c r="G445" s="641" t="s">
        <v>786</v>
      </c>
      <c r="H445" s="643">
        <v>10</v>
      </c>
      <c r="I445" s="644">
        <v>1</v>
      </c>
      <c r="J445" s="723">
        <f>IF('Proposed Lighting'!EF142=0,'Proposed Lighting'!AA142,'Proposed Lighting'!EF142)</f>
        <v>0</v>
      </c>
      <c r="K445" s="643" t="str">
        <f>'Proposed Lighting'!CU142</f>
        <v/>
      </c>
      <c r="L445" s="643" t="str">
        <f t="shared" si="103"/>
        <v/>
      </c>
      <c r="M445" s="645">
        <f t="shared" si="93"/>
        <v>0</v>
      </c>
      <c r="N445" s="645"/>
      <c r="O445" s="722">
        <f>IFERROR('Proposed Lighting'!AC142/1000,0)</f>
        <v>0</v>
      </c>
      <c r="P445" s="644">
        <f>'Proposed Lighting'!AV142</f>
        <v>0</v>
      </c>
      <c r="Q445" s="644">
        <f>IF(AND('Proposed Lighting'!T142="Lighting Controls Only",'Data Entry'!$AF$23="OR",'Proposed Lighting'!AU142=2),0,
IF(AND('Proposed Lighting'!T142="Lighting Controls Only",'Data Entry'!$AF$23="OR",'Proposed Lighting'!AU142=3,OR('Proposed Lighting'!W142="ceiling mount",'Proposed Lighting'!W142="wall switch",'Proposed Lighting'!W142="fixture mount (on exisiting equip)",'Proposed Lighting'!W142="daylight harvesting (on existing equip)")),0,
IF('Proposed Lighting'!AF142=1,IF(P445=0,0,J445*O445*(L445*(1-P445))),IF('Proposed Lighting'!AU142=1,0,'Proposed Lighting'!AX142-'Proposed Lighting'!AY142))))</f>
        <v>0</v>
      </c>
      <c r="R445" s="646">
        <f>IF('Proposed Lighting'!T142="Non-standard (provide description",0,
IF(AND(E445="Non-standard control",'Proposed Lighting'!AU142=2),Q445*0.1,
IF(AND(E445="Non-standard control",'Proposed Lighting'!AU142=3),Q445*0.08,
IF('Proposed Lighting'!EF142=0,0,IF('Proposed Lighting'!AU142=1,0,
IF(AND('Data Entry'!$AF$23="ID",'Proposed Lighting'!T142="Lighting controls only"),VLOOKUP(E445,'Proposed Lighting'!$DO$97:$DP$106,2,FALSE),
IF(AND('Data Entry'!$AF$23="OR",'Proposed Lighting'!AU142=3,'Proposed Lighting'!T142="Lighting controls only"),VLOOKUP(E445,'Proposed Lighting'!$DO$127:$DP$134,2,FALSE),0)))))))*J445</f>
        <v>0</v>
      </c>
      <c r="S445" s="646">
        <f>IF(Q445&lt;0.01,0,IF('Proposed Lighting'!AK142&gt;0,'Proposed Lighting'!AK142*'Proposed Lighting'!EF142,0))</f>
        <v>0</v>
      </c>
      <c r="T445" s="647">
        <f t="shared" si="104"/>
        <v>0</v>
      </c>
      <c r="U445" s="648"/>
      <c r="V445" s="646">
        <f t="shared" si="94"/>
        <v>0</v>
      </c>
      <c r="W445" s="646">
        <f t="shared" si="95"/>
        <v>0</v>
      </c>
      <c r="X445" s="646">
        <f t="shared" si="96"/>
        <v>0</v>
      </c>
      <c r="Y445" s="646"/>
      <c r="Z445" s="646"/>
      <c r="AA445" s="646"/>
      <c r="AB445" s="646">
        <f t="shared" si="97"/>
        <v>0</v>
      </c>
      <c r="AC445" s="649" t="str">
        <f t="shared" si="98"/>
        <v/>
      </c>
      <c r="AD445" s="649" t="str">
        <f t="shared" si="99"/>
        <v/>
      </c>
      <c r="AE445" s="649" t="str">
        <f t="shared" si="100"/>
        <v/>
      </c>
      <c r="AF445" s="72"/>
      <c r="AG445" s="644">
        <f>IFERROR(IF($AV445="No",0,IF($AV445="yes",Summary!Q445,"")),"")</f>
        <v>0</v>
      </c>
      <c r="AH445" s="646">
        <f>IFERROR(IF($AV445="No",0,IF($AV445="yes",Summary!R445,"")),"")</f>
        <v>0</v>
      </c>
      <c r="AI445" s="646">
        <f>IFERROR(IF($AV445="No",0,IF($AV445="yes",Summary!S445,"")),"")</f>
        <v>0</v>
      </c>
      <c r="AJ445" s="647">
        <f>IFERROR(IF($AV445="No",0,IF($AV445="yes",Summary!T445,"")),"")</f>
        <v>0</v>
      </c>
      <c r="AK445" s="648">
        <f>IFERROR(IF($AV445="No",0,IF($AV445="yes",Summary!U445,"")),"")</f>
        <v>0</v>
      </c>
      <c r="AL445" s="646">
        <f>IFERROR(IF($AV445="No",0,IF($AV445="yes",Summary!V445,"")),"")</f>
        <v>0</v>
      </c>
      <c r="AM445" s="646">
        <f>IFERROR(IF($AV445="No",0,IF($AV445="yes",Summary!W445,"")),"")</f>
        <v>0</v>
      </c>
      <c r="AN445" s="646">
        <f>IFERROR(IF($AV445="No",0,IF($AV445="yes",Summary!X445,"")),"")</f>
        <v>0</v>
      </c>
      <c r="AO445" s="646">
        <f>IFERROR(IF($AV445="No",0,IF($AV445="yes",Summary!Y445+Z445,"")),"")</f>
        <v>0</v>
      </c>
      <c r="AP445" s="646">
        <f>IFERROR(IF($AV445="No",0,IF($AV445="yes",Summary!AB445,"")),"")</f>
        <v>0</v>
      </c>
      <c r="AQ445" s="649" t="str">
        <f t="shared" si="101"/>
        <v/>
      </c>
      <c r="AR445" s="649" t="str">
        <f t="shared" si="105"/>
        <v/>
      </c>
      <c r="AS445" s="649" t="str">
        <f t="shared" si="102"/>
        <v/>
      </c>
      <c r="AT445" s="641" t="s">
        <v>919</v>
      </c>
      <c r="AV445" t="str">
        <f>IF('Proposed Lighting'!AK142&gt;0,"No","Yes")</f>
        <v>Yes</v>
      </c>
    </row>
    <row r="446" spans="1:48" ht="34.5" customHeight="1" outlineLevel="1">
      <c r="A446" s="641" t="s">
        <v>920</v>
      </c>
      <c r="B446" s="641" t="str">
        <f>IF('Proposed Lighting'!AU143=3,"Commercial-All Com-ExtLight",IF('Proposed Lighting'!AH143&gt;8759,"IPC_8760","Commercial-All Com-IntLight"))</f>
        <v>IPC_8760</v>
      </c>
      <c r="C446" s="641" t="str">
        <f>IF(OR(E446="",E446=0),"No",
IF(AND('Data Entry'!$AF$23="OR",AE446&lt;1),"No",
IF(AND('Data Entry'!$AF$23="ID",E446="Non-standard lighting control system",AD446&lt;1),"No",
IF(AND('Data Entry'!$AF$23="OR",'Proposed Lighting'!F143="Existing LED (Provide Description)",'Proposed Lighting'!AK143=""),"No",
IF('Proposed Lighting'!DD143="Submit Control as Non-Standard","No",
IF(AND('Proposed Lighting'!T143="Non-Standard (Provide Description)",AD446&lt;1),"No",
IF('Proposed Lighting'!AW143&lt;'Proposed Lighting'!AZ143,"No","Yes")))))))</f>
        <v>No</v>
      </c>
      <c r="D446" s="1604">
        <f>'Proposed Lighting'!BQ143-Q446</f>
        <v>0</v>
      </c>
      <c r="E446" s="642" t="str">
        <f>IF('Proposed Lighting'!W143="","",'Proposed Lighting'!W143)</f>
        <v/>
      </c>
      <c r="F446" s="642"/>
      <c r="G446" s="641" t="s">
        <v>786</v>
      </c>
      <c r="H446" s="643">
        <v>10</v>
      </c>
      <c r="I446" s="644">
        <v>1</v>
      </c>
      <c r="J446" s="723">
        <f>IF('Proposed Lighting'!EF143=0,'Proposed Lighting'!AA143,'Proposed Lighting'!EF143)</f>
        <v>0</v>
      </c>
      <c r="K446" s="643" t="str">
        <f>'Proposed Lighting'!CU143</f>
        <v/>
      </c>
      <c r="L446" s="643" t="str">
        <f t="shared" si="103"/>
        <v/>
      </c>
      <c r="M446" s="645">
        <f t="shared" si="93"/>
        <v>0</v>
      </c>
      <c r="N446" s="645"/>
      <c r="O446" s="722">
        <f>IFERROR('Proposed Lighting'!AC143/1000,0)</f>
        <v>0</v>
      </c>
      <c r="P446" s="644">
        <f>'Proposed Lighting'!AV143</f>
        <v>0</v>
      </c>
      <c r="Q446" s="644">
        <f>IF(AND('Proposed Lighting'!T143="Lighting Controls Only",'Data Entry'!$AF$23="OR",'Proposed Lighting'!AU143=2),0,
IF(AND('Proposed Lighting'!T143="Lighting Controls Only",'Data Entry'!$AF$23="OR",'Proposed Lighting'!AU143=3,OR('Proposed Lighting'!W143="ceiling mount",'Proposed Lighting'!W143="wall switch",'Proposed Lighting'!W143="fixture mount (on exisiting equip)",'Proposed Lighting'!W143="daylight harvesting (on existing equip)")),0,
IF('Proposed Lighting'!AF143=1,IF(P446=0,0,J446*O446*(L446*(1-P446))),IF('Proposed Lighting'!AU143=1,0,'Proposed Lighting'!AX143-'Proposed Lighting'!AY143))))</f>
        <v>0</v>
      </c>
      <c r="R446" s="646">
        <f>IF('Proposed Lighting'!T143="Non-standard (provide description",0,
IF(AND(E446="Non-standard control",'Proposed Lighting'!AU143=2),Q446*0.1,
IF(AND(E446="Non-standard control",'Proposed Lighting'!AU143=3),Q446*0.08,
IF('Proposed Lighting'!EF143=0,0,IF('Proposed Lighting'!AU143=1,0,
IF(AND('Data Entry'!$AF$23="ID",'Proposed Lighting'!T143="Lighting controls only"),VLOOKUP(E446,'Proposed Lighting'!$DO$97:$DP$106,2,FALSE),
IF(AND('Data Entry'!$AF$23="OR",'Proposed Lighting'!AU143=3,'Proposed Lighting'!T143="Lighting controls only"),VLOOKUP(E446,'Proposed Lighting'!$DO$127:$DP$134,2,FALSE),0)))))))*J446</f>
        <v>0</v>
      </c>
      <c r="S446" s="646">
        <f>IF(Q446&lt;0.01,0,IF('Proposed Lighting'!AK143&gt;0,'Proposed Lighting'!AK143*'Proposed Lighting'!EF143,0))</f>
        <v>0</v>
      </c>
      <c r="T446" s="647">
        <f t="shared" si="104"/>
        <v>0</v>
      </c>
      <c r="U446" s="648"/>
      <c r="V446" s="646">
        <f t="shared" si="94"/>
        <v>0</v>
      </c>
      <c r="W446" s="646">
        <f t="shared" si="95"/>
        <v>0</v>
      </c>
      <c r="X446" s="646">
        <f t="shared" si="96"/>
        <v>0</v>
      </c>
      <c r="Y446" s="646"/>
      <c r="Z446" s="646"/>
      <c r="AA446" s="646"/>
      <c r="AB446" s="646">
        <f t="shared" si="97"/>
        <v>0</v>
      </c>
      <c r="AC446" s="649" t="str">
        <f t="shared" si="98"/>
        <v/>
      </c>
      <c r="AD446" s="649" t="str">
        <f t="shared" si="99"/>
        <v/>
      </c>
      <c r="AE446" s="649" t="str">
        <f t="shared" si="100"/>
        <v/>
      </c>
      <c r="AF446" s="72"/>
      <c r="AG446" s="644">
        <f>IFERROR(IF($AV446="No",0,IF($AV446="yes",Summary!Q446,"")),"")</f>
        <v>0</v>
      </c>
      <c r="AH446" s="646">
        <f>IFERROR(IF($AV446="No",0,IF($AV446="yes",Summary!R446,"")),"")</f>
        <v>0</v>
      </c>
      <c r="AI446" s="646">
        <f>IFERROR(IF($AV446="No",0,IF($AV446="yes",Summary!S446,"")),"")</f>
        <v>0</v>
      </c>
      <c r="AJ446" s="647">
        <f>IFERROR(IF($AV446="No",0,IF($AV446="yes",Summary!T446,"")),"")</f>
        <v>0</v>
      </c>
      <c r="AK446" s="648">
        <f>IFERROR(IF($AV446="No",0,IF($AV446="yes",Summary!U446,"")),"")</f>
        <v>0</v>
      </c>
      <c r="AL446" s="646">
        <f>IFERROR(IF($AV446="No",0,IF($AV446="yes",Summary!V446,"")),"")</f>
        <v>0</v>
      </c>
      <c r="AM446" s="646">
        <f>IFERROR(IF($AV446="No",0,IF($AV446="yes",Summary!W446,"")),"")</f>
        <v>0</v>
      </c>
      <c r="AN446" s="646">
        <f>IFERROR(IF($AV446="No",0,IF($AV446="yes",Summary!X446,"")),"")</f>
        <v>0</v>
      </c>
      <c r="AO446" s="646">
        <f>IFERROR(IF($AV446="No",0,IF($AV446="yes",Summary!Y446+Z446,"")),"")</f>
        <v>0</v>
      </c>
      <c r="AP446" s="646">
        <f>IFERROR(IF($AV446="No",0,IF($AV446="yes",Summary!AB446,"")),"")</f>
        <v>0</v>
      </c>
      <c r="AQ446" s="649" t="str">
        <f t="shared" si="101"/>
        <v/>
      </c>
      <c r="AR446" s="649" t="str">
        <f t="shared" si="105"/>
        <v/>
      </c>
      <c r="AS446" s="649" t="str">
        <f t="shared" si="102"/>
        <v/>
      </c>
      <c r="AT446" s="641" t="s">
        <v>920</v>
      </c>
      <c r="AV446" t="str">
        <f>IF('Proposed Lighting'!AK143&gt;0,"No","Yes")</f>
        <v>Yes</v>
      </c>
    </row>
    <row r="447" spans="1:48" ht="34.5" customHeight="1" outlineLevel="1">
      <c r="A447" s="641" t="s">
        <v>921</v>
      </c>
      <c r="B447" s="641" t="str">
        <f>IF('Proposed Lighting'!AU144=3,"Commercial-All Com-ExtLight",IF('Proposed Lighting'!AH144&gt;8759,"IPC_8760","Commercial-All Com-IntLight"))</f>
        <v>IPC_8760</v>
      </c>
      <c r="C447" s="641" t="str">
        <f>IF(OR(E447="",E447=0),"No",
IF(AND('Data Entry'!$AF$23="OR",AE447&lt;1),"No",
IF(AND('Data Entry'!$AF$23="ID",E447="Non-standard lighting control system",AD447&lt;1),"No",
IF(AND('Data Entry'!$AF$23="OR",'Proposed Lighting'!F144="Existing LED (Provide Description)",'Proposed Lighting'!AK144=""),"No",
IF('Proposed Lighting'!DD144="Submit Control as Non-Standard","No",
IF(AND('Proposed Lighting'!T144="Non-Standard (Provide Description)",AD447&lt;1),"No",
IF('Proposed Lighting'!AW144&lt;'Proposed Lighting'!AZ144,"No","Yes")))))))</f>
        <v>No</v>
      </c>
      <c r="D447" s="1604">
        <f>'Proposed Lighting'!BQ144-Q447</f>
        <v>0</v>
      </c>
      <c r="E447" s="642" t="str">
        <f>IF('Proposed Lighting'!W144="","",'Proposed Lighting'!W144)</f>
        <v/>
      </c>
      <c r="F447" s="642"/>
      <c r="G447" s="641" t="s">
        <v>786</v>
      </c>
      <c r="H447" s="643">
        <v>10</v>
      </c>
      <c r="I447" s="644">
        <v>1</v>
      </c>
      <c r="J447" s="723">
        <f>IF('Proposed Lighting'!EF144=0,'Proposed Lighting'!AA144,'Proposed Lighting'!EF144)</f>
        <v>0</v>
      </c>
      <c r="K447" s="643" t="str">
        <f>'Proposed Lighting'!CU144</f>
        <v/>
      </c>
      <c r="L447" s="643" t="str">
        <f t="shared" si="103"/>
        <v/>
      </c>
      <c r="M447" s="645">
        <f t="shared" si="93"/>
        <v>0</v>
      </c>
      <c r="N447" s="645"/>
      <c r="O447" s="722">
        <f>IFERROR('Proposed Lighting'!AC144/1000,0)</f>
        <v>0</v>
      </c>
      <c r="P447" s="644">
        <f>'Proposed Lighting'!AV144</f>
        <v>0</v>
      </c>
      <c r="Q447" s="644">
        <f>IF(AND('Proposed Lighting'!T144="Lighting Controls Only",'Data Entry'!$AF$23="OR",'Proposed Lighting'!AU144=2),0,
IF(AND('Proposed Lighting'!T144="Lighting Controls Only",'Data Entry'!$AF$23="OR",'Proposed Lighting'!AU144=3,OR('Proposed Lighting'!W144="ceiling mount",'Proposed Lighting'!W144="wall switch",'Proposed Lighting'!W144="fixture mount (on exisiting equip)",'Proposed Lighting'!W144="daylight harvesting (on existing equip)")),0,
IF('Proposed Lighting'!AF144=1,IF(P447=0,0,J447*O447*(L447*(1-P447))),IF('Proposed Lighting'!AU144=1,0,'Proposed Lighting'!AX144-'Proposed Lighting'!AY144))))</f>
        <v>0</v>
      </c>
      <c r="R447" s="646">
        <f>IF('Proposed Lighting'!T144="Non-standard (provide description",0,
IF(AND(E447="Non-standard control",'Proposed Lighting'!AU144=2),Q447*0.1,
IF(AND(E447="Non-standard control",'Proposed Lighting'!AU144=3),Q447*0.08,
IF('Proposed Lighting'!EF144=0,0,IF('Proposed Lighting'!AU144=1,0,
IF(AND('Data Entry'!$AF$23="ID",'Proposed Lighting'!T144="Lighting controls only"),VLOOKUP(E447,'Proposed Lighting'!$DO$97:$DP$106,2,FALSE),
IF(AND('Data Entry'!$AF$23="OR",'Proposed Lighting'!AU144=3,'Proposed Lighting'!T144="Lighting controls only"),VLOOKUP(E447,'Proposed Lighting'!$DO$127:$DP$134,2,FALSE),0)))))))*J447</f>
        <v>0</v>
      </c>
      <c r="S447" s="646">
        <f>IF(Q447&lt;0.01,0,IF('Proposed Lighting'!AK144&gt;0,'Proposed Lighting'!AK144*'Proposed Lighting'!EF144,0))</f>
        <v>0</v>
      </c>
      <c r="T447" s="647">
        <f t="shared" si="104"/>
        <v>0</v>
      </c>
      <c r="U447" s="648"/>
      <c r="V447" s="646">
        <f t="shared" si="94"/>
        <v>0</v>
      </c>
      <c r="W447" s="646">
        <f t="shared" si="95"/>
        <v>0</v>
      </c>
      <c r="X447" s="646">
        <f t="shared" si="96"/>
        <v>0</v>
      </c>
      <c r="Y447" s="646"/>
      <c r="Z447" s="646"/>
      <c r="AA447" s="646"/>
      <c r="AB447" s="646">
        <f t="shared" si="97"/>
        <v>0</v>
      </c>
      <c r="AC447" s="649" t="str">
        <f t="shared" si="98"/>
        <v/>
      </c>
      <c r="AD447" s="649" t="str">
        <f t="shared" si="99"/>
        <v/>
      </c>
      <c r="AE447" s="649" t="str">
        <f t="shared" si="100"/>
        <v/>
      </c>
      <c r="AF447" s="72"/>
      <c r="AG447" s="644">
        <f>IFERROR(IF($AV447="No",0,IF($AV447="yes",Summary!Q447,"")),"")</f>
        <v>0</v>
      </c>
      <c r="AH447" s="646">
        <f>IFERROR(IF($AV447="No",0,IF($AV447="yes",Summary!R447,"")),"")</f>
        <v>0</v>
      </c>
      <c r="AI447" s="646">
        <f>IFERROR(IF($AV447="No",0,IF($AV447="yes",Summary!S447,"")),"")</f>
        <v>0</v>
      </c>
      <c r="AJ447" s="647">
        <f>IFERROR(IF($AV447="No",0,IF($AV447="yes",Summary!T447,"")),"")</f>
        <v>0</v>
      </c>
      <c r="AK447" s="648">
        <f>IFERROR(IF($AV447="No",0,IF($AV447="yes",Summary!U447,"")),"")</f>
        <v>0</v>
      </c>
      <c r="AL447" s="646">
        <f>IFERROR(IF($AV447="No",0,IF($AV447="yes",Summary!V447,"")),"")</f>
        <v>0</v>
      </c>
      <c r="AM447" s="646">
        <f>IFERROR(IF($AV447="No",0,IF($AV447="yes",Summary!W447,"")),"")</f>
        <v>0</v>
      </c>
      <c r="AN447" s="646">
        <f>IFERROR(IF($AV447="No",0,IF($AV447="yes",Summary!X447,"")),"")</f>
        <v>0</v>
      </c>
      <c r="AO447" s="646">
        <f>IFERROR(IF($AV447="No",0,IF($AV447="yes",Summary!Y447+Z447,"")),"")</f>
        <v>0</v>
      </c>
      <c r="AP447" s="646">
        <f>IFERROR(IF($AV447="No",0,IF($AV447="yes",Summary!AB447,"")),"")</f>
        <v>0</v>
      </c>
      <c r="AQ447" s="649" t="str">
        <f t="shared" si="101"/>
        <v/>
      </c>
      <c r="AR447" s="649" t="str">
        <f t="shared" si="105"/>
        <v/>
      </c>
      <c r="AS447" s="649" t="str">
        <f t="shared" si="102"/>
        <v/>
      </c>
      <c r="AT447" s="641" t="s">
        <v>921</v>
      </c>
      <c r="AV447" t="str">
        <f>IF('Proposed Lighting'!AK144&gt;0,"No","Yes")</f>
        <v>Yes</v>
      </c>
    </row>
    <row r="448" spans="1:48" ht="34.5" customHeight="1" outlineLevel="1">
      <c r="A448" s="641" t="s">
        <v>922</v>
      </c>
      <c r="B448" s="641" t="str">
        <f>IF('Proposed Lighting'!AU145=3,"Commercial-All Com-ExtLight",IF('Proposed Lighting'!AH145&gt;8759,"IPC_8760","Commercial-All Com-IntLight"))</f>
        <v>IPC_8760</v>
      </c>
      <c r="C448" s="641" t="str">
        <f>IF(OR(E448="",E448=0),"No",
IF(AND('Data Entry'!$AF$23="OR",AE448&lt;1),"No",
IF(AND('Data Entry'!$AF$23="ID",E448="Non-standard lighting control system",AD448&lt;1),"No",
IF(AND('Data Entry'!$AF$23="OR",'Proposed Lighting'!F145="Existing LED (Provide Description)",'Proposed Lighting'!AK145=""),"No",
IF('Proposed Lighting'!DD145="Submit Control as Non-Standard","No",
IF(AND('Proposed Lighting'!T145="Non-Standard (Provide Description)",AD448&lt;1),"No",
IF('Proposed Lighting'!AW145&lt;'Proposed Lighting'!AZ145,"No","Yes")))))))</f>
        <v>No</v>
      </c>
      <c r="D448" s="1604">
        <f>'Proposed Lighting'!BQ145-Q448</f>
        <v>0</v>
      </c>
      <c r="E448" s="642" t="str">
        <f>IF('Proposed Lighting'!W145="","",'Proposed Lighting'!W145)</f>
        <v/>
      </c>
      <c r="F448" s="642"/>
      <c r="G448" s="641" t="s">
        <v>786</v>
      </c>
      <c r="H448" s="643">
        <v>10</v>
      </c>
      <c r="I448" s="644">
        <v>1</v>
      </c>
      <c r="J448" s="723">
        <f>IF('Proposed Lighting'!EF145=0,'Proposed Lighting'!AA145,'Proposed Lighting'!EF145)</f>
        <v>0</v>
      </c>
      <c r="K448" s="643" t="str">
        <f>'Proposed Lighting'!CU145</f>
        <v/>
      </c>
      <c r="L448" s="643" t="str">
        <f t="shared" si="103"/>
        <v/>
      </c>
      <c r="M448" s="645">
        <f t="shared" si="93"/>
        <v>0</v>
      </c>
      <c r="N448" s="645"/>
      <c r="O448" s="722">
        <f>IFERROR('Proposed Lighting'!AC145/1000,0)</f>
        <v>0</v>
      </c>
      <c r="P448" s="644">
        <f>'Proposed Lighting'!AV145</f>
        <v>0</v>
      </c>
      <c r="Q448" s="644">
        <f>IF(AND('Proposed Lighting'!T145="Lighting Controls Only",'Data Entry'!$AF$23="OR",'Proposed Lighting'!AU145=2),0,
IF(AND('Proposed Lighting'!T145="Lighting Controls Only",'Data Entry'!$AF$23="OR",'Proposed Lighting'!AU145=3,OR('Proposed Lighting'!W145="ceiling mount",'Proposed Lighting'!W145="wall switch",'Proposed Lighting'!W145="fixture mount (on exisiting equip)",'Proposed Lighting'!W145="daylight harvesting (on existing equip)")),0,
IF('Proposed Lighting'!AF145=1,IF(P448=0,0,J448*O448*(L448*(1-P448))),IF('Proposed Lighting'!AU145=1,0,'Proposed Lighting'!AX145-'Proposed Lighting'!AY145))))</f>
        <v>0</v>
      </c>
      <c r="R448" s="646">
        <f>IF('Proposed Lighting'!T145="Non-standard (provide description",0,
IF(AND(E448="Non-standard control",'Proposed Lighting'!AU145=2),Q448*0.1,
IF(AND(E448="Non-standard control",'Proposed Lighting'!AU145=3),Q448*0.08,
IF('Proposed Lighting'!EF145=0,0,IF('Proposed Lighting'!AU145=1,0,
IF(AND('Data Entry'!$AF$23="ID",'Proposed Lighting'!T145="Lighting controls only"),VLOOKUP(E448,'Proposed Lighting'!$DO$97:$DP$106,2,FALSE),
IF(AND('Data Entry'!$AF$23="OR",'Proposed Lighting'!AU145=3,'Proposed Lighting'!T145="Lighting controls only"),VLOOKUP(E448,'Proposed Lighting'!$DO$127:$DP$134,2,FALSE),0)))))))*J448</f>
        <v>0</v>
      </c>
      <c r="S448" s="646">
        <f>IF(Q448&lt;0.01,0,IF('Proposed Lighting'!AK145&gt;0,'Proposed Lighting'!AK145*'Proposed Lighting'!EF145,0))</f>
        <v>0</v>
      </c>
      <c r="T448" s="647">
        <f t="shared" si="104"/>
        <v>0</v>
      </c>
      <c r="U448" s="648"/>
      <c r="V448" s="646">
        <f t="shared" si="94"/>
        <v>0</v>
      </c>
      <c r="W448" s="646">
        <f t="shared" si="95"/>
        <v>0</v>
      </c>
      <c r="X448" s="646">
        <f t="shared" si="96"/>
        <v>0</v>
      </c>
      <c r="Y448" s="646"/>
      <c r="Z448" s="646"/>
      <c r="AA448" s="646"/>
      <c r="AB448" s="646">
        <f t="shared" si="97"/>
        <v>0</v>
      </c>
      <c r="AC448" s="649" t="str">
        <f t="shared" si="98"/>
        <v/>
      </c>
      <c r="AD448" s="649" t="str">
        <f t="shared" si="99"/>
        <v/>
      </c>
      <c r="AE448" s="649" t="str">
        <f t="shared" si="100"/>
        <v/>
      </c>
      <c r="AF448" s="72"/>
      <c r="AG448" s="644">
        <f>IFERROR(IF($AV448="No",0,IF($AV448="yes",Summary!Q448,"")),"")</f>
        <v>0</v>
      </c>
      <c r="AH448" s="646">
        <f>IFERROR(IF($AV448="No",0,IF($AV448="yes",Summary!R448,"")),"")</f>
        <v>0</v>
      </c>
      <c r="AI448" s="646">
        <f>IFERROR(IF($AV448="No",0,IF($AV448="yes",Summary!S448,"")),"")</f>
        <v>0</v>
      </c>
      <c r="AJ448" s="647">
        <f>IFERROR(IF($AV448="No",0,IF($AV448="yes",Summary!T448,"")),"")</f>
        <v>0</v>
      </c>
      <c r="AK448" s="648">
        <f>IFERROR(IF($AV448="No",0,IF($AV448="yes",Summary!U448,"")),"")</f>
        <v>0</v>
      </c>
      <c r="AL448" s="646">
        <f>IFERROR(IF($AV448="No",0,IF($AV448="yes",Summary!V448,"")),"")</f>
        <v>0</v>
      </c>
      <c r="AM448" s="646">
        <f>IFERROR(IF($AV448="No",0,IF($AV448="yes",Summary!W448,"")),"")</f>
        <v>0</v>
      </c>
      <c r="AN448" s="646">
        <f>IFERROR(IF($AV448="No",0,IF($AV448="yes",Summary!X448,"")),"")</f>
        <v>0</v>
      </c>
      <c r="AO448" s="646">
        <f>IFERROR(IF($AV448="No",0,IF($AV448="yes",Summary!Y448+Z448,"")),"")</f>
        <v>0</v>
      </c>
      <c r="AP448" s="646">
        <f>IFERROR(IF($AV448="No",0,IF($AV448="yes",Summary!AB448,"")),"")</f>
        <v>0</v>
      </c>
      <c r="AQ448" s="649" t="str">
        <f t="shared" si="101"/>
        <v/>
      </c>
      <c r="AR448" s="649" t="str">
        <f t="shared" si="105"/>
        <v/>
      </c>
      <c r="AS448" s="649" t="str">
        <f t="shared" si="102"/>
        <v/>
      </c>
      <c r="AT448" s="641" t="s">
        <v>922</v>
      </c>
      <c r="AV448" t="str">
        <f>IF('Proposed Lighting'!AK145&gt;0,"No","Yes")</f>
        <v>Yes</v>
      </c>
    </row>
    <row r="449" spans="1:48" ht="34.5" customHeight="1" outlineLevel="1">
      <c r="A449" s="641" t="s">
        <v>923</v>
      </c>
      <c r="B449" s="641" t="str">
        <f>IF('Proposed Lighting'!AU146=3,"Commercial-All Com-ExtLight",IF('Proposed Lighting'!AH146&gt;8759,"IPC_8760","Commercial-All Com-IntLight"))</f>
        <v>IPC_8760</v>
      </c>
      <c r="C449" s="641" t="str">
        <f>IF(OR(E449="",E449=0),"No",
IF(AND('Data Entry'!$AF$23="OR",AE449&lt;1),"No",
IF(AND('Data Entry'!$AF$23="ID",E449="Non-standard lighting control system",AD449&lt;1),"No",
IF(AND('Data Entry'!$AF$23="OR",'Proposed Lighting'!F146="Existing LED (Provide Description)",'Proposed Lighting'!AK146=""),"No",
IF('Proposed Lighting'!DD146="Submit Control as Non-Standard","No",
IF(AND('Proposed Lighting'!T146="Non-Standard (Provide Description)",AD449&lt;1),"No",
IF('Proposed Lighting'!AW146&lt;'Proposed Lighting'!AZ146,"No","Yes")))))))</f>
        <v>No</v>
      </c>
      <c r="D449" s="1604">
        <f>'Proposed Lighting'!BQ146-Q449</f>
        <v>0</v>
      </c>
      <c r="E449" s="642" t="str">
        <f>IF('Proposed Lighting'!W146="","",'Proposed Lighting'!W146)</f>
        <v/>
      </c>
      <c r="F449" s="642"/>
      <c r="G449" s="641" t="s">
        <v>786</v>
      </c>
      <c r="H449" s="643">
        <v>10</v>
      </c>
      <c r="I449" s="644">
        <v>1</v>
      </c>
      <c r="J449" s="723">
        <f>IF('Proposed Lighting'!EF146=0,'Proposed Lighting'!AA146,'Proposed Lighting'!EF146)</f>
        <v>0</v>
      </c>
      <c r="K449" s="643" t="str">
        <f>'Proposed Lighting'!CU146</f>
        <v/>
      </c>
      <c r="L449" s="643" t="str">
        <f t="shared" si="103"/>
        <v/>
      </c>
      <c r="M449" s="645">
        <f t="shared" si="93"/>
        <v>0</v>
      </c>
      <c r="N449" s="645"/>
      <c r="O449" s="722">
        <f>IFERROR('Proposed Lighting'!AC146/1000,0)</f>
        <v>0</v>
      </c>
      <c r="P449" s="644">
        <f>'Proposed Lighting'!AV146</f>
        <v>0</v>
      </c>
      <c r="Q449" s="644">
        <f>IF(AND('Proposed Lighting'!T146="Lighting Controls Only",'Data Entry'!$AF$23="OR",'Proposed Lighting'!AU146=2),0,
IF(AND('Proposed Lighting'!T146="Lighting Controls Only",'Data Entry'!$AF$23="OR",'Proposed Lighting'!AU146=3,OR('Proposed Lighting'!W146="ceiling mount",'Proposed Lighting'!W146="wall switch",'Proposed Lighting'!W146="fixture mount (on exisiting equip)",'Proposed Lighting'!W146="daylight harvesting (on existing equip)")),0,
IF('Proposed Lighting'!AF146=1,IF(P449=0,0,J449*O449*(L449*(1-P449))),IF('Proposed Lighting'!AU146=1,0,'Proposed Lighting'!AX146-'Proposed Lighting'!AY146))))</f>
        <v>0</v>
      </c>
      <c r="R449" s="646">
        <f>IF('Proposed Lighting'!T146="Non-standard (provide description",0,
IF(AND(E449="Non-standard control",'Proposed Lighting'!AU146=2),Q449*0.1,
IF(AND(E449="Non-standard control",'Proposed Lighting'!AU146=3),Q449*0.08,
IF('Proposed Lighting'!EF146=0,0,IF('Proposed Lighting'!AU146=1,0,
IF(AND('Data Entry'!$AF$23="ID",'Proposed Lighting'!T146="Lighting controls only"),VLOOKUP(E449,'Proposed Lighting'!$DO$97:$DP$106,2,FALSE),
IF(AND('Data Entry'!$AF$23="OR",'Proposed Lighting'!AU146=3,'Proposed Lighting'!T146="Lighting controls only"),VLOOKUP(E449,'Proposed Lighting'!$DO$127:$DP$134,2,FALSE),0)))))))*J449</f>
        <v>0</v>
      </c>
      <c r="S449" s="646">
        <f>IF(Q449&lt;0.01,0,IF('Proposed Lighting'!AK146&gt;0,'Proposed Lighting'!AK146*'Proposed Lighting'!EF146,0))</f>
        <v>0</v>
      </c>
      <c r="T449" s="647">
        <f t="shared" si="104"/>
        <v>0</v>
      </c>
      <c r="U449" s="648"/>
      <c r="V449" s="646">
        <f t="shared" si="94"/>
        <v>0</v>
      </c>
      <c r="W449" s="646">
        <f t="shared" si="95"/>
        <v>0</v>
      </c>
      <c r="X449" s="646">
        <f t="shared" si="96"/>
        <v>0</v>
      </c>
      <c r="Y449" s="646"/>
      <c r="Z449" s="646"/>
      <c r="AA449" s="646"/>
      <c r="AB449" s="646">
        <f t="shared" si="97"/>
        <v>0</v>
      </c>
      <c r="AC449" s="649" t="str">
        <f t="shared" si="98"/>
        <v/>
      </c>
      <c r="AD449" s="649" t="str">
        <f t="shared" si="99"/>
        <v/>
      </c>
      <c r="AE449" s="649" t="str">
        <f t="shared" si="100"/>
        <v/>
      </c>
      <c r="AF449" s="72"/>
      <c r="AG449" s="644">
        <f>IFERROR(IF($AV449="No",0,IF($AV449="yes",Summary!Q449,"")),"")</f>
        <v>0</v>
      </c>
      <c r="AH449" s="646">
        <f>IFERROR(IF($AV449="No",0,IF($AV449="yes",Summary!R449,"")),"")</f>
        <v>0</v>
      </c>
      <c r="AI449" s="646">
        <f>IFERROR(IF($AV449="No",0,IF($AV449="yes",Summary!S449,"")),"")</f>
        <v>0</v>
      </c>
      <c r="AJ449" s="647">
        <f>IFERROR(IF($AV449="No",0,IF($AV449="yes",Summary!T449,"")),"")</f>
        <v>0</v>
      </c>
      <c r="AK449" s="648">
        <f>IFERROR(IF($AV449="No",0,IF($AV449="yes",Summary!U449,"")),"")</f>
        <v>0</v>
      </c>
      <c r="AL449" s="646">
        <f>IFERROR(IF($AV449="No",0,IF($AV449="yes",Summary!V449,"")),"")</f>
        <v>0</v>
      </c>
      <c r="AM449" s="646">
        <f>IFERROR(IF($AV449="No",0,IF($AV449="yes",Summary!W449,"")),"")</f>
        <v>0</v>
      </c>
      <c r="AN449" s="646">
        <f>IFERROR(IF($AV449="No",0,IF($AV449="yes",Summary!X449,"")),"")</f>
        <v>0</v>
      </c>
      <c r="AO449" s="646">
        <f>IFERROR(IF($AV449="No",0,IF($AV449="yes",Summary!Y449+Z449,"")),"")</f>
        <v>0</v>
      </c>
      <c r="AP449" s="646">
        <f>IFERROR(IF($AV449="No",0,IF($AV449="yes",Summary!AB449,"")),"")</f>
        <v>0</v>
      </c>
      <c r="AQ449" s="649" t="str">
        <f t="shared" si="101"/>
        <v/>
      </c>
      <c r="AR449" s="649" t="str">
        <f t="shared" si="105"/>
        <v/>
      </c>
      <c r="AS449" s="649" t="str">
        <f t="shared" si="102"/>
        <v/>
      </c>
      <c r="AT449" s="641" t="s">
        <v>923</v>
      </c>
      <c r="AV449" t="str">
        <f>IF('Proposed Lighting'!AK146&gt;0,"No","Yes")</f>
        <v>Yes</v>
      </c>
    </row>
    <row r="450" spans="1:48" ht="34.5" customHeight="1" outlineLevel="1">
      <c r="A450" s="641" t="s">
        <v>924</v>
      </c>
      <c r="B450" s="641" t="str">
        <f>IF('Proposed Lighting'!AU147=3,"Commercial-All Com-ExtLight",IF('Proposed Lighting'!AH147&gt;8759,"IPC_8760","Commercial-All Com-IntLight"))</f>
        <v>IPC_8760</v>
      </c>
      <c r="C450" s="641" t="str">
        <f>IF(OR(E450="",E450=0),"No",
IF(AND('Data Entry'!$AF$23="OR",AE450&lt;1),"No",
IF(AND('Data Entry'!$AF$23="ID",E450="Non-standard lighting control system",AD450&lt;1),"No",
IF(AND('Data Entry'!$AF$23="OR",'Proposed Lighting'!F147="Existing LED (Provide Description)",'Proposed Lighting'!AK147=""),"No",
IF('Proposed Lighting'!DD147="Submit Control as Non-Standard","No",
IF(AND('Proposed Lighting'!T147="Non-Standard (Provide Description)",AD450&lt;1),"No",
IF('Proposed Lighting'!AW147&lt;'Proposed Lighting'!AZ147,"No","Yes")))))))</f>
        <v>No</v>
      </c>
      <c r="D450" s="1604">
        <f>'Proposed Lighting'!BQ147-Q450</f>
        <v>0</v>
      </c>
      <c r="E450" s="642" t="str">
        <f>IF('Proposed Lighting'!W147="","",'Proposed Lighting'!W147)</f>
        <v/>
      </c>
      <c r="F450" s="642"/>
      <c r="G450" s="641" t="s">
        <v>786</v>
      </c>
      <c r="H450" s="643">
        <v>10</v>
      </c>
      <c r="I450" s="644">
        <v>1</v>
      </c>
      <c r="J450" s="723">
        <f>IF('Proposed Lighting'!EF147=0,'Proposed Lighting'!AA147,'Proposed Lighting'!EF147)</f>
        <v>0</v>
      </c>
      <c r="K450" s="643" t="str">
        <f>'Proposed Lighting'!CU147</f>
        <v/>
      </c>
      <c r="L450" s="643" t="str">
        <f t="shared" si="103"/>
        <v/>
      </c>
      <c r="M450" s="645">
        <f t="shared" si="93"/>
        <v>0</v>
      </c>
      <c r="N450" s="645"/>
      <c r="O450" s="722">
        <f>IFERROR('Proposed Lighting'!AC147/1000,0)</f>
        <v>0</v>
      </c>
      <c r="P450" s="644">
        <f>'Proposed Lighting'!AV147</f>
        <v>0</v>
      </c>
      <c r="Q450" s="644">
        <f>IF(AND('Proposed Lighting'!T147="Lighting Controls Only",'Data Entry'!$AF$23="OR",'Proposed Lighting'!AU147=2),0,
IF(AND('Proposed Lighting'!T147="Lighting Controls Only",'Data Entry'!$AF$23="OR",'Proposed Lighting'!AU147=3,OR('Proposed Lighting'!W147="ceiling mount",'Proposed Lighting'!W147="wall switch",'Proposed Lighting'!W147="fixture mount (on exisiting equip)",'Proposed Lighting'!W147="daylight harvesting (on existing equip)")),0,
IF('Proposed Lighting'!AF147=1,IF(P450=0,0,J450*O450*(L450*(1-P450))),IF('Proposed Lighting'!AU147=1,0,'Proposed Lighting'!AX147-'Proposed Lighting'!AY147))))</f>
        <v>0</v>
      </c>
      <c r="R450" s="646">
        <f>IF('Proposed Lighting'!T147="Non-standard (provide description",0,
IF(AND(E450="Non-standard control",'Proposed Lighting'!AU147=2),Q450*0.1,
IF(AND(E450="Non-standard control",'Proposed Lighting'!AU147=3),Q450*0.08,
IF('Proposed Lighting'!EF147=0,0,IF('Proposed Lighting'!AU147=1,0,
IF(AND('Data Entry'!$AF$23="ID",'Proposed Lighting'!T147="Lighting controls only"),VLOOKUP(E450,'Proposed Lighting'!$DO$97:$DP$106,2,FALSE),
IF(AND('Data Entry'!$AF$23="OR",'Proposed Lighting'!AU147=3,'Proposed Lighting'!T147="Lighting controls only"),VLOOKUP(E450,'Proposed Lighting'!$DO$127:$DP$134,2,FALSE),0)))))))*J450</f>
        <v>0</v>
      </c>
      <c r="S450" s="646">
        <f>IF(Q450&lt;0.01,0,IF('Proposed Lighting'!AK147&gt;0,'Proposed Lighting'!AK147*'Proposed Lighting'!EF147,0))</f>
        <v>0</v>
      </c>
      <c r="T450" s="647">
        <f t="shared" si="104"/>
        <v>0</v>
      </c>
      <c r="U450" s="648"/>
      <c r="V450" s="646">
        <f t="shared" si="94"/>
        <v>0</v>
      </c>
      <c r="W450" s="646">
        <f t="shared" si="95"/>
        <v>0</v>
      </c>
      <c r="X450" s="646">
        <f t="shared" si="96"/>
        <v>0</v>
      </c>
      <c r="Y450" s="646"/>
      <c r="Z450" s="646"/>
      <c r="AA450" s="646"/>
      <c r="AB450" s="646">
        <f t="shared" si="97"/>
        <v>0</v>
      </c>
      <c r="AC450" s="649" t="str">
        <f t="shared" si="98"/>
        <v/>
      </c>
      <c r="AD450" s="649" t="str">
        <f t="shared" si="99"/>
        <v/>
      </c>
      <c r="AE450" s="649" t="str">
        <f t="shared" si="100"/>
        <v/>
      </c>
      <c r="AF450" s="72"/>
      <c r="AG450" s="644">
        <f>IFERROR(IF($AV450="No",0,IF($AV450="yes",Summary!Q450,"")),"")</f>
        <v>0</v>
      </c>
      <c r="AH450" s="646">
        <f>IFERROR(IF($AV450="No",0,IF($AV450="yes",Summary!R450,"")),"")</f>
        <v>0</v>
      </c>
      <c r="AI450" s="646">
        <f>IFERROR(IF($AV450="No",0,IF($AV450="yes",Summary!S450,"")),"")</f>
        <v>0</v>
      </c>
      <c r="AJ450" s="647">
        <f>IFERROR(IF($AV450="No",0,IF($AV450="yes",Summary!T450,"")),"")</f>
        <v>0</v>
      </c>
      <c r="AK450" s="648">
        <f>IFERROR(IF($AV450="No",0,IF($AV450="yes",Summary!U450,"")),"")</f>
        <v>0</v>
      </c>
      <c r="AL450" s="646">
        <f>IFERROR(IF($AV450="No",0,IF($AV450="yes",Summary!V450,"")),"")</f>
        <v>0</v>
      </c>
      <c r="AM450" s="646">
        <f>IFERROR(IF($AV450="No",0,IF($AV450="yes",Summary!W450,"")),"")</f>
        <v>0</v>
      </c>
      <c r="AN450" s="646">
        <f>IFERROR(IF($AV450="No",0,IF($AV450="yes",Summary!X450,"")),"")</f>
        <v>0</v>
      </c>
      <c r="AO450" s="646">
        <f>IFERROR(IF($AV450="No",0,IF($AV450="yes",Summary!Y450+Z450,"")),"")</f>
        <v>0</v>
      </c>
      <c r="AP450" s="646">
        <f>IFERROR(IF($AV450="No",0,IF($AV450="yes",Summary!AB450,"")),"")</f>
        <v>0</v>
      </c>
      <c r="AQ450" s="649" t="str">
        <f t="shared" si="101"/>
        <v/>
      </c>
      <c r="AR450" s="649" t="str">
        <f t="shared" si="105"/>
        <v/>
      </c>
      <c r="AS450" s="649" t="str">
        <f t="shared" si="102"/>
        <v/>
      </c>
      <c r="AT450" s="641" t="s">
        <v>924</v>
      </c>
      <c r="AV450" t="str">
        <f>IF('Proposed Lighting'!AK147&gt;0,"No","Yes")</f>
        <v>Yes</v>
      </c>
    </row>
    <row r="451" spans="1:48" ht="34.5" customHeight="1" outlineLevel="1">
      <c r="A451" s="641" t="s">
        <v>925</v>
      </c>
      <c r="B451" s="641" t="str">
        <f>IF('Proposed Lighting'!AU148=3,"Commercial-All Com-ExtLight",IF('Proposed Lighting'!AH148&gt;8759,"IPC_8760","Commercial-All Com-IntLight"))</f>
        <v>IPC_8760</v>
      </c>
      <c r="C451" s="641" t="str">
        <f>IF(OR(E451="",E451=0),"No",
IF(AND('Data Entry'!$AF$23="OR",AE451&lt;1),"No",
IF(AND('Data Entry'!$AF$23="ID",E451="Non-standard lighting control system",AD451&lt;1),"No",
IF(AND('Data Entry'!$AF$23="OR",'Proposed Lighting'!F148="Existing LED (Provide Description)",'Proposed Lighting'!AK148=""),"No",
IF('Proposed Lighting'!DD148="Submit Control as Non-Standard","No",
IF(AND('Proposed Lighting'!T148="Non-Standard (Provide Description)",AD451&lt;1),"No",
IF('Proposed Lighting'!AW148&lt;'Proposed Lighting'!AZ148,"No","Yes")))))))</f>
        <v>No</v>
      </c>
      <c r="D451" s="1604">
        <f>'Proposed Lighting'!BQ148-Q451</f>
        <v>0</v>
      </c>
      <c r="E451" s="642" t="str">
        <f>IF('Proposed Lighting'!W148="","",'Proposed Lighting'!W148)</f>
        <v/>
      </c>
      <c r="F451" s="642"/>
      <c r="G451" s="641" t="s">
        <v>786</v>
      </c>
      <c r="H451" s="643">
        <v>10</v>
      </c>
      <c r="I451" s="644">
        <v>1</v>
      </c>
      <c r="J451" s="723">
        <f>IF('Proposed Lighting'!EF148=0,'Proposed Lighting'!AA148,'Proposed Lighting'!EF148)</f>
        <v>0</v>
      </c>
      <c r="K451" s="643" t="str">
        <f>'Proposed Lighting'!CU148</f>
        <v/>
      </c>
      <c r="L451" s="643" t="str">
        <f t="shared" si="103"/>
        <v/>
      </c>
      <c r="M451" s="645">
        <f t="shared" si="93"/>
        <v>0</v>
      </c>
      <c r="N451" s="645"/>
      <c r="O451" s="722">
        <f>IFERROR('Proposed Lighting'!AC148/1000,0)</f>
        <v>0</v>
      </c>
      <c r="P451" s="644">
        <f>'Proposed Lighting'!AV148</f>
        <v>0</v>
      </c>
      <c r="Q451" s="644">
        <f>IF(AND('Proposed Lighting'!T148="Lighting Controls Only",'Data Entry'!$AF$23="OR",'Proposed Lighting'!AU148=2),0,
IF(AND('Proposed Lighting'!T148="Lighting Controls Only",'Data Entry'!$AF$23="OR",'Proposed Lighting'!AU148=3,OR('Proposed Lighting'!W148="ceiling mount",'Proposed Lighting'!W148="wall switch",'Proposed Lighting'!W148="fixture mount (on exisiting equip)",'Proposed Lighting'!W148="daylight harvesting (on existing equip)")),0,
IF('Proposed Lighting'!AF148=1,IF(P451=0,0,J451*O451*(L451*(1-P451))),IF('Proposed Lighting'!AU148=1,0,'Proposed Lighting'!AX148-'Proposed Lighting'!AY148))))</f>
        <v>0</v>
      </c>
      <c r="R451" s="646">
        <f>IF('Proposed Lighting'!T148="Non-standard (provide description",0,
IF(AND(E451="Non-standard control",'Proposed Lighting'!AU148=2),Q451*0.1,
IF(AND(E451="Non-standard control",'Proposed Lighting'!AU148=3),Q451*0.08,
IF('Proposed Lighting'!EF148=0,0,IF('Proposed Lighting'!AU148=1,0,
IF(AND('Data Entry'!$AF$23="ID",'Proposed Lighting'!T148="Lighting controls only"),VLOOKUP(E451,'Proposed Lighting'!$DO$97:$DP$106,2,FALSE),
IF(AND('Data Entry'!$AF$23="OR",'Proposed Lighting'!AU148=3,'Proposed Lighting'!T148="Lighting controls only"),VLOOKUP(E451,'Proposed Lighting'!$DO$127:$DP$134,2,FALSE),0)))))))*J451</f>
        <v>0</v>
      </c>
      <c r="S451" s="646">
        <f>IF(Q451&lt;0.01,0,IF('Proposed Lighting'!AK148&gt;0,'Proposed Lighting'!AK148*'Proposed Lighting'!EF148,0))</f>
        <v>0</v>
      </c>
      <c r="T451" s="647">
        <f t="shared" si="104"/>
        <v>0</v>
      </c>
      <c r="U451" s="648"/>
      <c r="V451" s="646">
        <f t="shared" si="94"/>
        <v>0</v>
      </c>
      <c r="W451" s="646">
        <f t="shared" si="95"/>
        <v>0</v>
      </c>
      <c r="X451" s="646">
        <f t="shared" si="96"/>
        <v>0</v>
      </c>
      <c r="Y451" s="646"/>
      <c r="Z451" s="646"/>
      <c r="AA451" s="646"/>
      <c r="AB451" s="646">
        <f t="shared" si="97"/>
        <v>0</v>
      </c>
      <c r="AC451" s="649" t="str">
        <f t="shared" si="98"/>
        <v/>
      </c>
      <c r="AD451" s="649" t="str">
        <f t="shared" si="99"/>
        <v/>
      </c>
      <c r="AE451" s="649" t="str">
        <f t="shared" si="100"/>
        <v/>
      </c>
      <c r="AF451" s="72"/>
      <c r="AG451" s="644">
        <f>IFERROR(IF($AV451="No",0,IF($AV451="yes",Summary!Q451,"")),"")</f>
        <v>0</v>
      </c>
      <c r="AH451" s="646">
        <f>IFERROR(IF($AV451="No",0,IF($AV451="yes",Summary!R451,"")),"")</f>
        <v>0</v>
      </c>
      <c r="AI451" s="646">
        <f>IFERROR(IF($AV451="No",0,IF($AV451="yes",Summary!S451,"")),"")</f>
        <v>0</v>
      </c>
      <c r="AJ451" s="647">
        <f>IFERROR(IF($AV451="No",0,IF($AV451="yes",Summary!T451,"")),"")</f>
        <v>0</v>
      </c>
      <c r="AK451" s="648">
        <f>IFERROR(IF($AV451="No",0,IF($AV451="yes",Summary!U451,"")),"")</f>
        <v>0</v>
      </c>
      <c r="AL451" s="646">
        <f>IFERROR(IF($AV451="No",0,IF($AV451="yes",Summary!V451,"")),"")</f>
        <v>0</v>
      </c>
      <c r="AM451" s="646">
        <f>IFERROR(IF($AV451="No",0,IF($AV451="yes",Summary!W451,"")),"")</f>
        <v>0</v>
      </c>
      <c r="AN451" s="646">
        <f>IFERROR(IF($AV451="No",0,IF($AV451="yes",Summary!X451,"")),"")</f>
        <v>0</v>
      </c>
      <c r="AO451" s="646">
        <f>IFERROR(IF($AV451="No",0,IF($AV451="yes",Summary!Y451+Z451,"")),"")</f>
        <v>0</v>
      </c>
      <c r="AP451" s="646">
        <f>IFERROR(IF($AV451="No",0,IF($AV451="yes",Summary!AB451,"")),"")</f>
        <v>0</v>
      </c>
      <c r="AQ451" s="649" t="str">
        <f t="shared" si="101"/>
        <v/>
      </c>
      <c r="AR451" s="649" t="str">
        <f t="shared" si="105"/>
        <v/>
      </c>
      <c r="AS451" s="649" t="str">
        <f t="shared" si="102"/>
        <v/>
      </c>
      <c r="AT451" s="641" t="s">
        <v>925</v>
      </c>
      <c r="AV451" t="str">
        <f>IF('Proposed Lighting'!AK148&gt;0,"No","Yes")</f>
        <v>Yes</v>
      </c>
    </row>
    <row r="452" spans="1:48" ht="34.5" customHeight="1" outlineLevel="1">
      <c r="A452" s="641" t="s">
        <v>926</v>
      </c>
      <c r="B452" s="641" t="str">
        <f>IF('Proposed Lighting'!AU149=3,"Commercial-All Com-ExtLight",IF('Proposed Lighting'!AH149&gt;8759,"IPC_8760","Commercial-All Com-IntLight"))</f>
        <v>IPC_8760</v>
      </c>
      <c r="C452" s="641" t="str">
        <f>IF(OR(E452="",E452=0),"No",
IF(AND('Data Entry'!$AF$23="OR",AE452&lt;1),"No",
IF(AND('Data Entry'!$AF$23="ID",E452="Non-standard lighting control system",AD452&lt;1),"No",
IF(AND('Data Entry'!$AF$23="OR",'Proposed Lighting'!F149="Existing LED (Provide Description)",'Proposed Lighting'!AK149=""),"No",
IF('Proposed Lighting'!DD149="Submit Control as Non-Standard","No",
IF(AND('Proposed Lighting'!T149="Non-Standard (Provide Description)",AD452&lt;1),"No",
IF('Proposed Lighting'!AW149&lt;'Proposed Lighting'!AZ149,"No","Yes")))))))</f>
        <v>No</v>
      </c>
      <c r="D452" s="1604">
        <f>'Proposed Lighting'!BQ149-Q452</f>
        <v>0</v>
      </c>
      <c r="E452" s="642" t="str">
        <f>IF('Proposed Lighting'!W149="","",'Proposed Lighting'!W149)</f>
        <v/>
      </c>
      <c r="F452" s="642"/>
      <c r="G452" s="641" t="s">
        <v>786</v>
      </c>
      <c r="H452" s="643">
        <v>10</v>
      </c>
      <c r="I452" s="644">
        <v>1</v>
      </c>
      <c r="J452" s="723">
        <f>IF('Proposed Lighting'!EF149=0,'Proposed Lighting'!AA149,'Proposed Lighting'!EF149)</f>
        <v>0</v>
      </c>
      <c r="K452" s="643" t="str">
        <f>'Proposed Lighting'!CU149</f>
        <v/>
      </c>
      <c r="L452" s="643" t="str">
        <f t="shared" si="103"/>
        <v/>
      </c>
      <c r="M452" s="645">
        <f t="shared" si="93"/>
        <v>0</v>
      </c>
      <c r="N452" s="645"/>
      <c r="O452" s="722">
        <f>IFERROR('Proposed Lighting'!AC149/1000,0)</f>
        <v>0</v>
      </c>
      <c r="P452" s="644">
        <f>'Proposed Lighting'!AV149</f>
        <v>0</v>
      </c>
      <c r="Q452" s="644">
        <f>IF(AND('Proposed Lighting'!T149="Lighting Controls Only",'Data Entry'!$AF$23="OR",'Proposed Lighting'!AU149=2),0,
IF(AND('Proposed Lighting'!T149="Lighting Controls Only",'Data Entry'!$AF$23="OR",'Proposed Lighting'!AU149=3,OR('Proposed Lighting'!W149="ceiling mount",'Proposed Lighting'!W149="wall switch",'Proposed Lighting'!W149="fixture mount (on exisiting equip)",'Proposed Lighting'!W149="daylight harvesting (on existing equip)")),0,
IF('Proposed Lighting'!AF149=1,IF(P452=0,0,J452*O452*(L452*(1-P452))),IF('Proposed Lighting'!AU149=1,0,'Proposed Lighting'!AX149-'Proposed Lighting'!AY149))))</f>
        <v>0</v>
      </c>
      <c r="R452" s="646">
        <f>IF('Proposed Lighting'!T149="Non-standard (provide description",0,
IF(AND(E452="Non-standard control",'Proposed Lighting'!AU149=2),Q452*0.1,
IF(AND(E452="Non-standard control",'Proposed Lighting'!AU149=3),Q452*0.08,
IF('Proposed Lighting'!EF149=0,0,IF('Proposed Lighting'!AU149=1,0,
IF(AND('Data Entry'!$AF$23="ID",'Proposed Lighting'!T149="Lighting controls only"),VLOOKUP(E452,'Proposed Lighting'!$DO$97:$DP$106,2,FALSE),
IF(AND('Data Entry'!$AF$23="OR",'Proposed Lighting'!AU149=3,'Proposed Lighting'!T149="Lighting controls only"),VLOOKUP(E452,'Proposed Lighting'!$DO$127:$DP$134,2,FALSE),0)))))))*J452</f>
        <v>0</v>
      </c>
      <c r="S452" s="646">
        <f>IF(Q452&lt;0.01,0,IF('Proposed Lighting'!AK149&gt;0,'Proposed Lighting'!AK149*'Proposed Lighting'!EF149,0))</f>
        <v>0</v>
      </c>
      <c r="T452" s="647">
        <f t="shared" si="104"/>
        <v>0</v>
      </c>
      <c r="U452" s="648"/>
      <c r="V452" s="646">
        <f t="shared" si="94"/>
        <v>0</v>
      </c>
      <c r="W452" s="646">
        <f t="shared" si="95"/>
        <v>0</v>
      </c>
      <c r="X452" s="646">
        <f t="shared" si="96"/>
        <v>0</v>
      </c>
      <c r="Y452" s="646"/>
      <c r="Z452" s="646"/>
      <c r="AA452" s="646"/>
      <c r="AB452" s="646">
        <f t="shared" si="97"/>
        <v>0</v>
      </c>
      <c r="AC452" s="649" t="str">
        <f t="shared" si="98"/>
        <v/>
      </c>
      <c r="AD452" s="649" t="str">
        <f t="shared" si="99"/>
        <v/>
      </c>
      <c r="AE452" s="649" t="str">
        <f t="shared" si="100"/>
        <v/>
      </c>
      <c r="AF452" s="72"/>
      <c r="AG452" s="644">
        <f>IFERROR(IF($AV452="No",0,IF($AV452="yes",Summary!Q452,"")),"")</f>
        <v>0</v>
      </c>
      <c r="AH452" s="646">
        <f>IFERROR(IF($AV452="No",0,IF($AV452="yes",Summary!R452,"")),"")</f>
        <v>0</v>
      </c>
      <c r="AI452" s="646">
        <f>IFERROR(IF($AV452="No",0,IF($AV452="yes",Summary!S452,"")),"")</f>
        <v>0</v>
      </c>
      <c r="AJ452" s="647">
        <f>IFERROR(IF($AV452="No",0,IF($AV452="yes",Summary!T452,"")),"")</f>
        <v>0</v>
      </c>
      <c r="AK452" s="648">
        <f>IFERROR(IF($AV452="No",0,IF($AV452="yes",Summary!U452,"")),"")</f>
        <v>0</v>
      </c>
      <c r="AL452" s="646">
        <f>IFERROR(IF($AV452="No",0,IF($AV452="yes",Summary!V452,"")),"")</f>
        <v>0</v>
      </c>
      <c r="AM452" s="646">
        <f>IFERROR(IF($AV452="No",0,IF($AV452="yes",Summary!W452,"")),"")</f>
        <v>0</v>
      </c>
      <c r="AN452" s="646">
        <f>IFERROR(IF($AV452="No",0,IF($AV452="yes",Summary!X452,"")),"")</f>
        <v>0</v>
      </c>
      <c r="AO452" s="646">
        <f>IFERROR(IF($AV452="No",0,IF($AV452="yes",Summary!Y452+Z452,"")),"")</f>
        <v>0</v>
      </c>
      <c r="AP452" s="646">
        <f>IFERROR(IF($AV452="No",0,IF($AV452="yes",Summary!AB452,"")),"")</f>
        <v>0</v>
      </c>
      <c r="AQ452" s="649" t="str">
        <f t="shared" si="101"/>
        <v/>
      </c>
      <c r="AR452" s="649" t="str">
        <f t="shared" si="105"/>
        <v/>
      </c>
      <c r="AS452" s="649" t="str">
        <f t="shared" si="102"/>
        <v/>
      </c>
      <c r="AT452" s="641" t="s">
        <v>926</v>
      </c>
      <c r="AV452" t="str">
        <f>IF('Proposed Lighting'!AK149&gt;0,"No","Yes")</f>
        <v>Yes</v>
      </c>
    </row>
    <row r="453" spans="1:48" ht="34.5" customHeight="1" outlineLevel="1">
      <c r="A453" s="641" t="s">
        <v>927</v>
      </c>
      <c r="B453" s="641" t="str">
        <f>IF('Proposed Lighting'!AU150=3,"Commercial-All Com-ExtLight",IF('Proposed Lighting'!AH150&gt;8759,"IPC_8760","Commercial-All Com-IntLight"))</f>
        <v>IPC_8760</v>
      </c>
      <c r="C453" s="641" t="str">
        <f>IF(OR(E453="",E453=0),"No",
IF(AND('Data Entry'!$AF$23="OR",AE453&lt;1),"No",
IF(AND('Data Entry'!$AF$23="ID",E453="Non-standard lighting control system",AD453&lt;1),"No",
IF(AND('Data Entry'!$AF$23="OR",'Proposed Lighting'!F150="Existing LED (Provide Description)",'Proposed Lighting'!AK150=""),"No",
IF('Proposed Lighting'!DD150="Submit Control as Non-Standard","No",
IF(AND('Proposed Lighting'!T150="Non-Standard (Provide Description)",AD453&lt;1),"No",
IF('Proposed Lighting'!AW150&lt;'Proposed Lighting'!AZ150,"No","Yes")))))))</f>
        <v>No</v>
      </c>
      <c r="D453" s="1604">
        <f>'Proposed Lighting'!BQ150-Q453</f>
        <v>0</v>
      </c>
      <c r="E453" s="642" t="str">
        <f>IF('Proposed Lighting'!W150="","",'Proposed Lighting'!W150)</f>
        <v/>
      </c>
      <c r="F453" s="642"/>
      <c r="G453" s="641" t="s">
        <v>786</v>
      </c>
      <c r="H453" s="643">
        <v>10</v>
      </c>
      <c r="I453" s="644">
        <v>1</v>
      </c>
      <c r="J453" s="723">
        <f>IF('Proposed Lighting'!EF150=0,'Proposed Lighting'!AA150,'Proposed Lighting'!EF150)</f>
        <v>0</v>
      </c>
      <c r="K453" s="643" t="str">
        <f>'Proposed Lighting'!CU150</f>
        <v/>
      </c>
      <c r="L453" s="643" t="str">
        <f t="shared" si="103"/>
        <v/>
      </c>
      <c r="M453" s="645">
        <f t="shared" si="93"/>
        <v>0</v>
      </c>
      <c r="N453" s="645"/>
      <c r="O453" s="722">
        <f>IFERROR('Proposed Lighting'!AC150/1000,0)</f>
        <v>0</v>
      </c>
      <c r="P453" s="644">
        <f>'Proposed Lighting'!AV150</f>
        <v>0</v>
      </c>
      <c r="Q453" s="644">
        <f>IF(AND('Proposed Lighting'!T150="Lighting Controls Only",'Data Entry'!$AF$23="OR",'Proposed Lighting'!AU150=2),0,
IF(AND('Proposed Lighting'!T150="Lighting Controls Only",'Data Entry'!$AF$23="OR",'Proposed Lighting'!AU150=3,OR('Proposed Lighting'!W150="ceiling mount",'Proposed Lighting'!W150="wall switch",'Proposed Lighting'!W150="fixture mount (on exisiting equip)",'Proposed Lighting'!W150="daylight harvesting (on existing equip)")),0,
IF('Proposed Lighting'!AF150=1,IF(P453=0,0,J453*O453*(L453*(1-P453))),IF('Proposed Lighting'!AU150=1,0,'Proposed Lighting'!AX150-'Proposed Lighting'!AY150))))</f>
        <v>0</v>
      </c>
      <c r="R453" s="646">
        <f>IF('Proposed Lighting'!T150="Non-standard (provide description",0,
IF(AND(E453="Non-standard control",'Proposed Lighting'!AU150=2),Q453*0.1,
IF(AND(E453="Non-standard control",'Proposed Lighting'!AU150=3),Q453*0.08,
IF('Proposed Lighting'!EF150=0,0,IF('Proposed Lighting'!AU150=1,0,
IF(AND('Data Entry'!$AF$23="ID",'Proposed Lighting'!T150="Lighting controls only"),VLOOKUP(E453,'Proposed Lighting'!$DO$97:$DP$106,2,FALSE),
IF(AND('Data Entry'!$AF$23="OR",'Proposed Lighting'!AU150=3,'Proposed Lighting'!T150="Lighting controls only"),VLOOKUP(E453,'Proposed Lighting'!$DO$127:$DP$134,2,FALSE),0)))))))*J453</f>
        <v>0</v>
      </c>
      <c r="S453" s="646">
        <f>IF(Q453&lt;0.01,0,IF('Proposed Lighting'!AK150&gt;0,'Proposed Lighting'!AK150*'Proposed Lighting'!EF150,0))</f>
        <v>0</v>
      </c>
      <c r="T453" s="647">
        <f t="shared" si="104"/>
        <v>0</v>
      </c>
      <c r="U453" s="648"/>
      <c r="V453" s="646">
        <f t="shared" si="94"/>
        <v>0</v>
      </c>
      <c r="W453" s="646">
        <f t="shared" si="95"/>
        <v>0</v>
      </c>
      <c r="X453" s="646">
        <f t="shared" si="96"/>
        <v>0</v>
      </c>
      <c r="Y453" s="646"/>
      <c r="Z453" s="646"/>
      <c r="AA453" s="646"/>
      <c r="AB453" s="646">
        <f t="shared" si="97"/>
        <v>0</v>
      </c>
      <c r="AC453" s="649" t="str">
        <f t="shared" si="98"/>
        <v/>
      </c>
      <c r="AD453" s="649" t="str">
        <f t="shared" si="99"/>
        <v/>
      </c>
      <c r="AE453" s="649" t="str">
        <f t="shared" si="100"/>
        <v/>
      </c>
      <c r="AF453" s="72"/>
      <c r="AG453" s="644">
        <f>IFERROR(IF($AV453="No",0,IF($AV453="yes",Summary!Q453,"")),"")</f>
        <v>0</v>
      </c>
      <c r="AH453" s="646">
        <f>IFERROR(IF($AV453="No",0,IF($AV453="yes",Summary!R453,"")),"")</f>
        <v>0</v>
      </c>
      <c r="AI453" s="646">
        <f>IFERROR(IF($AV453="No",0,IF($AV453="yes",Summary!S453,"")),"")</f>
        <v>0</v>
      </c>
      <c r="AJ453" s="647">
        <f>IFERROR(IF($AV453="No",0,IF($AV453="yes",Summary!T453,"")),"")</f>
        <v>0</v>
      </c>
      <c r="AK453" s="648">
        <f>IFERROR(IF($AV453="No",0,IF($AV453="yes",Summary!U453,"")),"")</f>
        <v>0</v>
      </c>
      <c r="AL453" s="646">
        <f>IFERROR(IF($AV453="No",0,IF($AV453="yes",Summary!V453,"")),"")</f>
        <v>0</v>
      </c>
      <c r="AM453" s="646">
        <f>IFERROR(IF($AV453="No",0,IF($AV453="yes",Summary!W453,"")),"")</f>
        <v>0</v>
      </c>
      <c r="AN453" s="646">
        <f>IFERROR(IF($AV453="No",0,IF($AV453="yes",Summary!X453,"")),"")</f>
        <v>0</v>
      </c>
      <c r="AO453" s="646">
        <f>IFERROR(IF($AV453="No",0,IF($AV453="yes",Summary!Y453+Z453,"")),"")</f>
        <v>0</v>
      </c>
      <c r="AP453" s="646">
        <f>IFERROR(IF($AV453="No",0,IF($AV453="yes",Summary!AB453,"")),"")</f>
        <v>0</v>
      </c>
      <c r="AQ453" s="649" t="str">
        <f t="shared" si="101"/>
        <v/>
      </c>
      <c r="AR453" s="649" t="str">
        <f t="shared" si="105"/>
        <v/>
      </c>
      <c r="AS453" s="649" t="str">
        <f t="shared" si="102"/>
        <v/>
      </c>
      <c r="AT453" s="641" t="s">
        <v>927</v>
      </c>
      <c r="AV453" t="str">
        <f>IF('Proposed Lighting'!AK150&gt;0,"No","Yes")</f>
        <v>Yes</v>
      </c>
    </row>
    <row r="454" spans="1:48" ht="34.5" customHeight="1" outlineLevel="1">
      <c r="A454" s="641" t="s">
        <v>928</v>
      </c>
      <c r="B454" s="641" t="str">
        <f>IF('Proposed Lighting'!AU151=3,"Commercial-All Com-ExtLight",IF('Proposed Lighting'!AH151&gt;8759,"IPC_8760","Commercial-All Com-IntLight"))</f>
        <v>IPC_8760</v>
      </c>
      <c r="C454" s="641" t="str">
        <f>IF(OR(E454="",E454=0),"No",
IF(AND('Data Entry'!$AF$23="OR",AE454&lt;1),"No",
IF(AND('Data Entry'!$AF$23="ID",E454="Non-standard lighting control system",AD454&lt;1),"No",
IF(AND('Data Entry'!$AF$23="OR",'Proposed Lighting'!F151="Existing LED (Provide Description)",'Proposed Lighting'!AK151=""),"No",
IF('Proposed Lighting'!DD151="Submit Control as Non-Standard","No",
IF(AND('Proposed Lighting'!T151="Non-Standard (Provide Description)",AD454&lt;1),"No",
IF('Proposed Lighting'!AW151&lt;'Proposed Lighting'!AZ151,"No","Yes")))))))</f>
        <v>No</v>
      </c>
      <c r="D454" s="1604">
        <f>'Proposed Lighting'!BQ151-Q454</f>
        <v>0</v>
      </c>
      <c r="E454" s="642" t="str">
        <f>IF('Proposed Lighting'!W151="","",'Proposed Lighting'!W151)</f>
        <v/>
      </c>
      <c r="F454" s="642"/>
      <c r="G454" s="641" t="s">
        <v>786</v>
      </c>
      <c r="H454" s="643">
        <v>10</v>
      </c>
      <c r="I454" s="644">
        <v>1</v>
      </c>
      <c r="J454" s="723">
        <f>IF('Proposed Lighting'!EF151=0,'Proposed Lighting'!AA151,'Proposed Lighting'!EF151)</f>
        <v>0</v>
      </c>
      <c r="K454" s="643" t="str">
        <f>'Proposed Lighting'!CU151</f>
        <v/>
      </c>
      <c r="L454" s="643" t="str">
        <f t="shared" si="103"/>
        <v/>
      </c>
      <c r="M454" s="645">
        <f t="shared" si="93"/>
        <v>0</v>
      </c>
      <c r="N454" s="645"/>
      <c r="O454" s="722">
        <f>IFERROR('Proposed Lighting'!AC151/1000,0)</f>
        <v>0</v>
      </c>
      <c r="P454" s="644">
        <f>'Proposed Lighting'!AV151</f>
        <v>0</v>
      </c>
      <c r="Q454" s="644">
        <f>IF(AND('Proposed Lighting'!T151="Lighting Controls Only",'Data Entry'!$AF$23="OR",'Proposed Lighting'!AU151=2),0,
IF(AND('Proposed Lighting'!T151="Lighting Controls Only",'Data Entry'!$AF$23="OR",'Proposed Lighting'!AU151=3,OR('Proposed Lighting'!W151="ceiling mount",'Proposed Lighting'!W151="wall switch",'Proposed Lighting'!W151="fixture mount (on exisiting equip)",'Proposed Lighting'!W151="daylight harvesting (on existing equip)")),0,
IF('Proposed Lighting'!AF151=1,IF(P454=0,0,J454*O454*(L454*(1-P454))),IF('Proposed Lighting'!AU151=1,0,'Proposed Lighting'!AX151-'Proposed Lighting'!AY151))))</f>
        <v>0</v>
      </c>
      <c r="R454" s="646">
        <f>IF('Proposed Lighting'!T151="Non-standard (provide description",0,
IF(AND(E454="Non-standard control",'Proposed Lighting'!AU151=2),Q454*0.1,
IF(AND(E454="Non-standard control",'Proposed Lighting'!AU151=3),Q454*0.08,
IF('Proposed Lighting'!EF151=0,0,IF('Proposed Lighting'!AU151=1,0,
IF(AND('Data Entry'!$AF$23="ID",'Proposed Lighting'!T151="Lighting controls only"),VLOOKUP(E454,'Proposed Lighting'!$DO$97:$DP$106,2,FALSE),
IF(AND('Data Entry'!$AF$23="OR",'Proposed Lighting'!AU151=3,'Proposed Lighting'!T151="Lighting controls only"),VLOOKUP(E454,'Proposed Lighting'!$DO$127:$DP$134,2,FALSE),0)))))))*J454</f>
        <v>0</v>
      </c>
      <c r="S454" s="646">
        <f>IF(Q454&lt;0.01,0,IF('Proposed Lighting'!AK151&gt;0,'Proposed Lighting'!AK151*'Proposed Lighting'!EF151,0))</f>
        <v>0</v>
      </c>
      <c r="T454" s="647">
        <f t="shared" si="104"/>
        <v>0</v>
      </c>
      <c r="U454" s="648"/>
      <c r="V454" s="646">
        <f t="shared" si="94"/>
        <v>0</v>
      </c>
      <c r="W454" s="646">
        <f t="shared" si="95"/>
        <v>0</v>
      </c>
      <c r="X454" s="646">
        <f t="shared" si="96"/>
        <v>0</v>
      </c>
      <c r="Y454" s="646"/>
      <c r="Z454" s="646"/>
      <c r="AA454" s="646"/>
      <c r="AB454" s="646">
        <f t="shared" si="97"/>
        <v>0</v>
      </c>
      <c r="AC454" s="649" t="str">
        <f t="shared" si="98"/>
        <v/>
      </c>
      <c r="AD454" s="649" t="str">
        <f t="shared" si="99"/>
        <v/>
      </c>
      <c r="AE454" s="649" t="str">
        <f t="shared" si="100"/>
        <v/>
      </c>
      <c r="AF454" s="72"/>
      <c r="AG454" s="644">
        <f>IFERROR(IF($AV454="No",0,IF($AV454="yes",Summary!Q454,"")),"")</f>
        <v>0</v>
      </c>
      <c r="AH454" s="646">
        <f>IFERROR(IF($AV454="No",0,IF($AV454="yes",Summary!R454,"")),"")</f>
        <v>0</v>
      </c>
      <c r="AI454" s="646">
        <f>IFERROR(IF($AV454="No",0,IF($AV454="yes",Summary!S454,"")),"")</f>
        <v>0</v>
      </c>
      <c r="AJ454" s="647">
        <f>IFERROR(IF($AV454="No",0,IF($AV454="yes",Summary!T454,"")),"")</f>
        <v>0</v>
      </c>
      <c r="AK454" s="648">
        <f>IFERROR(IF($AV454="No",0,IF($AV454="yes",Summary!U454,"")),"")</f>
        <v>0</v>
      </c>
      <c r="AL454" s="646">
        <f>IFERROR(IF($AV454="No",0,IF($AV454="yes",Summary!V454,"")),"")</f>
        <v>0</v>
      </c>
      <c r="AM454" s="646">
        <f>IFERROR(IF($AV454="No",0,IF($AV454="yes",Summary!W454,"")),"")</f>
        <v>0</v>
      </c>
      <c r="AN454" s="646">
        <f>IFERROR(IF($AV454="No",0,IF($AV454="yes",Summary!X454,"")),"")</f>
        <v>0</v>
      </c>
      <c r="AO454" s="646">
        <f>IFERROR(IF($AV454="No",0,IF($AV454="yes",Summary!Y454+Z454,"")),"")</f>
        <v>0</v>
      </c>
      <c r="AP454" s="646">
        <f>IFERROR(IF($AV454="No",0,IF($AV454="yes",Summary!AB454,"")),"")</f>
        <v>0</v>
      </c>
      <c r="AQ454" s="649" t="str">
        <f t="shared" si="101"/>
        <v/>
      </c>
      <c r="AR454" s="649" t="str">
        <f t="shared" si="105"/>
        <v/>
      </c>
      <c r="AS454" s="649" t="str">
        <f t="shared" si="102"/>
        <v/>
      </c>
      <c r="AT454" s="641" t="s">
        <v>928</v>
      </c>
      <c r="AV454" t="str">
        <f>IF('Proposed Lighting'!AK151&gt;0,"No","Yes")</f>
        <v>Yes</v>
      </c>
    </row>
    <row r="455" spans="1:48" ht="34.5" customHeight="1" outlineLevel="1">
      <c r="A455" s="641" t="s">
        <v>929</v>
      </c>
      <c r="B455" s="641" t="str">
        <f>IF('Proposed Lighting'!AU152=3,"Commercial-All Com-ExtLight",IF('Proposed Lighting'!AH152&gt;8759,"IPC_8760","Commercial-All Com-IntLight"))</f>
        <v>IPC_8760</v>
      </c>
      <c r="C455" s="641" t="str">
        <f>IF(OR(E455="",E455=0),"No",
IF(AND('Data Entry'!$AF$23="OR",AE455&lt;1),"No",
IF(AND('Data Entry'!$AF$23="ID",E455="Non-standard lighting control system",AD455&lt;1),"No",
IF(AND('Data Entry'!$AF$23="OR",'Proposed Lighting'!F152="Existing LED (Provide Description)",'Proposed Lighting'!AK152=""),"No",
IF('Proposed Lighting'!DD152="Submit Control as Non-Standard","No",
IF(AND('Proposed Lighting'!T152="Non-Standard (Provide Description)",AD455&lt;1),"No",
IF('Proposed Lighting'!AW152&lt;'Proposed Lighting'!AZ152,"No","Yes")))))))</f>
        <v>No</v>
      </c>
      <c r="D455" s="1604">
        <f>'Proposed Lighting'!BQ152-Q455</f>
        <v>0</v>
      </c>
      <c r="E455" s="642" t="str">
        <f>IF('Proposed Lighting'!W152="","",'Proposed Lighting'!W152)</f>
        <v/>
      </c>
      <c r="F455" s="642"/>
      <c r="G455" s="641" t="s">
        <v>786</v>
      </c>
      <c r="H455" s="643">
        <v>10</v>
      </c>
      <c r="I455" s="644">
        <v>1</v>
      </c>
      <c r="J455" s="723">
        <f>IF('Proposed Lighting'!EF152=0,'Proposed Lighting'!AA152,'Proposed Lighting'!EF152)</f>
        <v>0</v>
      </c>
      <c r="K455" s="643" t="str">
        <f>'Proposed Lighting'!CU152</f>
        <v/>
      </c>
      <c r="L455" s="643" t="str">
        <f t="shared" si="103"/>
        <v/>
      </c>
      <c r="M455" s="645">
        <f t="shared" si="93"/>
        <v>0</v>
      </c>
      <c r="N455" s="645"/>
      <c r="O455" s="722">
        <f>IFERROR('Proposed Lighting'!AC152/1000,0)</f>
        <v>0</v>
      </c>
      <c r="P455" s="644">
        <f>'Proposed Lighting'!AV152</f>
        <v>0</v>
      </c>
      <c r="Q455" s="644">
        <f>IF(AND('Proposed Lighting'!T152="Lighting Controls Only",'Data Entry'!$AF$23="OR",'Proposed Lighting'!AU152=2),0,
IF(AND('Proposed Lighting'!T152="Lighting Controls Only",'Data Entry'!$AF$23="OR",'Proposed Lighting'!AU152=3,OR('Proposed Lighting'!W152="ceiling mount",'Proposed Lighting'!W152="wall switch",'Proposed Lighting'!W152="fixture mount (on exisiting equip)",'Proposed Lighting'!W152="daylight harvesting (on existing equip)")),0,
IF('Proposed Lighting'!AF152=1,IF(P455=0,0,J455*O455*(L455*(1-P455))),IF('Proposed Lighting'!AU152=1,0,'Proposed Lighting'!AX152-'Proposed Lighting'!AY152))))</f>
        <v>0</v>
      </c>
      <c r="R455" s="646">
        <f>IF('Proposed Lighting'!T152="Non-standard (provide description",0,
IF(AND(E455="Non-standard control",'Proposed Lighting'!AU152=2),Q455*0.1,
IF(AND(E455="Non-standard control",'Proposed Lighting'!AU152=3),Q455*0.08,
IF('Proposed Lighting'!EF152=0,0,IF('Proposed Lighting'!AU152=1,0,
IF(AND('Data Entry'!$AF$23="ID",'Proposed Lighting'!T152="Lighting controls only"),VLOOKUP(E455,'Proposed Lighting'!$DO$97:$DP$106,2,FALSE),
IF(AND('Data Entry'!$AF$23="OR",'Proposed Lighting'!AU152=3,'Proposed Lighting'!T152="Lighting controls only"),VLOOKUP(E455,'Proposed Lighting'!$DO$127:$DP$134,2,FALSE),0)))))))*J455</f>
        <v>0</v>
      </c>
      <c r="S455" s="646">
        <f>IF(Q455&lt;0.01,0,IF('Proposed Lighting'!AK152&gt;0,'Proposed Lighting'!AK152*'Proposed Lighting'!EF152,0))</f>
        <v>0</v>
      </c>
      <c r="T455" s="647">
        <f t="shared" si="104"/>
        <v>0</v>
      </c>
      <c r="U455" s="648"/>
      <c r="V455" s="646">
        <f t="shared" si="94"/>
        <v>0</v>
      </c>
      <c r="W455" s="646">
        <f t="shared" si="95"/>
        <v>0</v>
      </c>
      <c r="X455" s="646">
        <f t="shared" si="96"/>
        <v>0</v>
      </c>
      <c r="Y455" s="646"/>
      <c r="Z455" s="646"/>
      <c r="AA455" s="646"/>
      <c r="AB455" s="646">
        <f t="shared" si="97"/>
        <v>0</v>
      </c>
      <c r="AC455" s="649" t="str">
        <f t="shared" si="98"/>
        <v/>
      </c>
      <c r="AD455" s="649" t="str">
        <f t="shared" si="99"/>
        <v/>
      </c>
      <c r="AE455" s="649" t="str">
        <f t="shared" si="100"/>
        <v/>
      </c>
      <c r="AF455" s="72"/>
      <c r="AG455" s="644">
        <f>IFERROR(IF($AV455="No",0,IF($AV455="yes",Summary!Q455,"")),"")</f>
        <v>0</v>
      </c>
      <c r="AH455" s="646">
        <f>IFERROR(IF($AV455="No",0,IF($AV455="yes",Summary!R455,"")),"")</f>
        <v>0</v>
      </c>
      <c r="AI455" s="646">
        <f>IFERROR(IF($AV455="No",0,IF($AV455="yes",Summary!S455,"")),"")</f>
        <v>0</v>
      </c>
      <c r="AJ455" s="647">
        <f>IFERROR(IF($AV455="No",0,IF($AV455="yes",Summary!T455,"")),"")</f>
        <v>0</v>
      </c>
      <c r="AK455" s="648">
        <f>IFERROR(IF($AV455="No",0,IF($AV455="yes",Summary!U455,"")),"")</f>
        <v>0</v>
      </c>
      <c r="AL455" s="646">
        <f>IFERROR(IF($AV455="No",0,IF($AV455="yes",Summary!V455,"")),"")</f>
        <v>0</v>
      </c>
      <c r="AM455" s="646">
        <f>IFERROR(IF($AV455="No",0,IF($AV455="yes",Summary!W455,"")),"")</f>
        <v>0</v>
      </c>
      <c r="AN455" s="646">
        <f>IFERROR(IF($AV455="No",0,IF($AV455="yes",Summary!X455,"")),"")</f>
        <v>0</v>
      </c>
      <c r="AO455" s="646">
        <f>IFERROR(IF($AV455="No",0,IF($AV455="yes",Summary!Y455+Z455,"")),"")</f>
        <v>0</v>
      </c>
      <c r="AP455" s="646">
        <f>IFERROR(IF($AV455="No",0,IF($AV455="yes",Summary!AB455,"")),"")</f>
        <v>0</v>
      </c>
      <c r="AQ455" s="649" t="str">
        <f t="shared" si="101"/>
        <v/>
      </c>
      <c r="AR455" s="649" t="str">
        <f t="shared" si="105"/>
        <v/>
      </c>
      <c r="AS455" s="649" t="str">
        <f t="shared" si="102"/>
        <v/>
      </c>
      <c r="AT455" s="641" t="s">
        <v>929</v>
      </c>
      <c r="AV455" t="str">
        <f>IF('Proposed Lighting'!AK152&gt;0,"No","Yes")</f>
        <v>Yes</v>
      </c>
    </row>
    <row r="456" spans="1:48" ht="34.5" customHeight="1" outlineLevel="1">
      <c r="A456" s="641" t="s">
        <v>930</v>
      </c>
      <c r="B456" s="641" t="str">
        <f>IF('Proposed Lighting'!AU153=3,"Commercial-All Com-ExtLight",IF('Proposed Lighting'!AH153&gt;8759,"IPC_8760","Commercial-All Com-IntLight"))</f>
        <v>IPC_8760</v>
      </c>
      <c r="C456" s="641" t="str">
        <f>IF(OR(E456="",E456=0),"No",
IF(AND('Data Entry'!$AF$23="OR",AE456&lt;1),"No",
IF(AND('Data Entry'!$AF$23="ID",E456="Non-standard lighting control system",AD456&lt;1),"No",
IF(AND('Data Entry'!$AF$23="OR",'Proposed Lighting'!F153="Existing LED (Provide Description)",'Proposed Lighting'!AK153=""),"No",
IF('Proposed Lighting'!DD153="Submit Control as Non-Standard","No",
IF(AND('Proposed Lighting'!T153="Non-Standard (Provide Description)",AD456&lt;1),"No",
IF('Proposed Lighting'!AW153&lt;'Proposed Lighting'!AZ153,"No","Yes")))))))</f>
        <v>No</v>
      </c>
      <c r="D456" s="1604">
        <f>'Proposed Lighting'!BQ153-Q456</f>
        <v>0</v>
      </c>
      <c r="E456" s="642" t="str">
        <f>IF('Proposed Lighting'!W153="","",'Proposed Lighting'!W153)</f>
        <v/>
      </c>
      <c r="F456" s="642"/>
      <c r="G456" s="641" t="s">
        <v>786</v>
      </c>
      <c r="H456" s="643">
        <v>10</v>
      </c>
      <c r="I456" s="644">
        <v>1</v>
      </c>
      <c r="J456" s="723">
        <f>IF('Proposed Lighting'!EF153=0,'Proposed Lighting'!AA153,'Proposed Lighting'!EF153)</f>
        <v>0</v>
      </c>
      <c r="K456" s="643" t="str">
        <f>'Proposed Lighting'!CU153</f>
        <v/>
      </c>
      <c r="L456" s="643" t="str">
        <f t="shared" si="103"/>
        <v/>
      </c>
      <c r="M456" s="645">
        <f t="shared" si="93"/>
        <v>0</v>
      </c>
      <c r="N456" s="645"/>
      <c r="O456" s="722">
        <f>IFERROR('Proposed Lighting'!AC153/1000,0)</f>
        <v>0</v>
      </c>
      <c r="P456" s="644">
        <f>'Proposed Lighting'!AV153</f>
        <v>0</v>
      </c>
      <c r="Q456" s="644">
        <f>IF(AND('Proposed Lighting'!T153="Lighting Controls Only",'Data Entry'!$AF$23="OR",'Proposed Lighting'!AU153=2),0,
IF(AND('Proposed Lighting'!T153="Lighting Controls Only",'Data Entry'!$AF$23="OR",'Proposed Lighting'!AU153=3,OR('Proposed Lighting'!W153="ceiling mount",'Proposed Lighting'!W153="wall switch",'Proposed Lighting'!W153="fixture mount (on exisiting equip)",'Proposed Lighting'!W153="daylight harvesting (on existing equip)")),0,
IF('Proposed Lighting'!AF153=1,IF(P456=0,0,J456*O456*(L456*(1-P456))),IF('Proposed Lighting'!AU153=1,0,'Proposed Lighting'!AX153-'Proposed Lighting'!AY153))))</f>
        <v>0</v>
      </c>
      <c r="R456" s="646">
        <f>IF('Proposed Lighting'!T153="Non-standard (provide description",0,
IF(AND(E456="Non-standard control",'Proposed Lighting'!AU153=2),Q456*0.1,
IF(AND(E456="Non-standard control",'Proposed Lighting'!AU153=3),Q456*0.08,
IF('Proposed Lighting'!EF153=0,0,IF('Proposed Lighting'!AU153=1,0,
IF(AND('Data Entry'!$AF$23="ID",'Proposed Lighting'!T153="Lighting controls only"),VLOOKUP(E456,'Proposed Lighting'!$DO$97:$DP$106,2,FALSE),
IF(AND('Data Entry'!$AF$23="OR",'Proposed Lighting'!AU153=3,'Proposed Lighting'!T153="Lighting controls only"),VLOOKUP(E456,'Proposed Lighting'!$DO$127:$DP$134,2,FALSE),0)))))))*J456</f>
        <v>0</v>
      </c>
      <c r="S456" s="646">
        <f>IF(Q456&lt;0.01,0,IF('Proposed Lighting'!AK153&gt;0,'Proposed Lighting'!AK153*'Proposed Lighting'!EF153,0))</f>
        <v>0</v>
      </c>
      <c r="T456" s="647">
        <f t="shared" si="104"/>
        <v>0</v>
      </c>
      <c r="U456" s="648"/>
      <c r="V456" s="646">
        <f t="shared" si="94"/>
        <v>0</v>
      </c>
      <c r="W456" s="646">
        <f t="shared" si="95"/>
        <v>0</v>
      </c>
      <c r="X456" s="646">
        <f t="shared" si="96"/>
        <v>0</v>
      </c>
      <c r="Y456" s="646"/>
      <c r="Z456" s="646"/>
      <c r="AA456" s="646"/>
      <c r="AB456" s="646">
        <f t="shared" si="97"/>
        <v>0</v>
      </c>
      <c r="AC456" s="649" t="str">
        <f t="shared" si="98"/>
        <v/>
      </c>
      <c r="AD456" s="649" t="str">
        <f t="shared" si="99"/>
        <v/>
      </c>
      <c r="AE456" s="649" t="str">
        <f t="shared" si="100"/>
        <v/>
      </c>
      <c r="AF456" s="72"/>
      <c r="AG456" s="644">
        <f>IFERROR(IF($AV456="No",0,IF($AV456="yes",Summary!Q456,"")),"")</f>
        <v>0</v>
      </c>
      <c r="AH456" s="646">
        <f>IFERROR(IF($AV456="No",0,IF($AV456="yes",Summary!R456,"")),"")</f>
        <v>0</v>
      </c>
      <c r="AI456" s="646">
        <f>IFERROR(IF($AV456="No",0,IF($AV456="yes",Summary!S456,"")),"")</f>
        <v>0</v>
      </c>
      <c r="AJ456" s="647">
        <f>IFERROR(IF($AV456="No",0,IF($AV456="yes",Summary!T456,"")),"")</f>
        <v>0</v>
      </c>
      <c r="AK456" s="648">
        <f>IFERROR(IF($AV456="No",0,IF($AV456="yes",Summary!U456,"")),"")</f>
        <v>0</v>
      </c>
      <c r="AL456" s="646">
        <f>IFERROR(IF($AV456="No",0,IF($AV456="yes",Summary!V456,"")),"")</f>
        <v>0</v>
      </c>
      <c r="AM456" s="646">
        <f>IFERROR(IF($AV456="No",0,IF($AV456="yes",Summary!W456,"")),"")</f>
        <v>0</v>
      </c>
      <c r="AN456" s="646">
        <f>IFERROR(IF($AV456="No",0,IF($AV456="yes",Summary!X456,"")),"")</f>
        <v>0</v>
      </c>
      <c r="AO456" s="646">
        <f>IFERROR(IF($AV456="No",0,IF($AV456="yes",Summary!Y456+Z456,"")),"")</f>
        <v>0</v>
      </c>
      <c r="AP456" s="646">
        <f>IFERROR(IF($AV456="No",0,IF($AV456="yes",Summary!AB456,"")),"")</f>
        <v>0</v>
      </c>
      <c r="AQ456" s="649" t="str">
        <f t="shared" si="101"/>
        <v/>
      </c>
      <c r="AR456" s="649" t="str">
        <f t="shared" si="105"/>
        <v/>
      </c>
      <c r="AS456" s="649" t="str">
        <f t="shared" si="102"/>
        <v/>
      </c>
      <c r="AT456" s="641" t="s">
        <v>930</v>
      </c>
      <c r="AV456" t="str">
        <f>IF('Proposed Lighting'!AK153&gt;0,"No","Yes")</f>
        <v>Yes</v>
      </c>
    </row>
    <row r="457" spans="1:48" ht="34.5" customHeight="1" outlineLevel="1">
      <c r="A457" s="641" t="s">
        <v>931</v>
      </c>
      <c r="B457" s="641" t="str">
        <f>IF('Proposed Lighting'!AU154=3,"Commercial-All Com-ExtLight",IF('Proposed Lighting'!AH154&gt;8759,"IPC_8760","Commercial-All Com-IntLight"))</f>
        <v>IPC_8760</v>
      </c>
      <c r="C457" s="641" t="str">
        <f>IF(OR(E457="",E457=0),"No",
IF(AND('Data Entry'!$AF$23="OR",AE457&lt;1),"No",
IF(AND('Data Entry'!$AF$23="ID",E457="Non-standard lighting control system",AD457&lt;1),"No",
IF(AND('Data Entry'!$AF$23="OR",'Proposed Lighting'!F154="Existing LED (Provide Description)",'Proposed Lighting'!AK154=""),"No",
IF('Proposed Lighting'!DD154="Submit Control as Non-Standard","No",
IF(AND('Proposed Lighting'!T154="Non-Standard (Provide Description)",AD457&lt;1),"No",
IF('Proposed Lighting'!AW154&lt;'Proposed Lighting'!AZ154,"No","Yes")))))))</f>
        <v>No</v>
      </c>
      <c r="D457" s="1604">
        <f>'Proposed Lighting'!BQ154-Q457</f>
        <v>0</v>
      </c>
      <c r="E457" s="642" t="str">
        <f>IF('Proposed Lighting'!W154="","",'Proposed Lighting'!W154)</f>
        <v/>
      </c>
      <c r="F457" s="642"/>
      <c r="G457" s="641" t="s">
        <v>786</v>
      </c>
      <c r="H457" s="643">
        <v>10</v>
      </c>
      <c r="I457" s="644">
        <v>1</v>
      </c>
      <c r="J457" s="723">
        <f>IF('Proposed Lighting'!EF154=0,'Proposed Lighting'!AA154,'Proposed Lighting'!EF154)</f>
        <v>0</v>
      </c>
      <c r="K457" s="643" t="str">
        <f>'Proposed Lighting'!CU154</f>
        <v/>
      </c>
      <c r="L457" s="643" t="str">
        <f t="shared" si="103"/>
        <v/>
      </c>
      <c r="M457" s="645">
        <f t="shared" si="93"/>
        <v>0</v>
      </c>
      <c r="N457" s="645"/>
      <c r="O457" s="722">
        <f>IFERROR('Proposed Lighting'!AC154/1000,0)</f>
        <v>0</v>
      </c>
      <c r="P457" s="644">
        <f>'Proposed Lighting'!AV154</f>
        <v>0</v>
      </c>
      <c r="Q457" s="644">
        <f>IF(AND('Proposed Lighting'!T154="Lighting Controls Only",'Data Entry'!$AF$23="OR",'Proposed Lighting'!AU154=2),0,
IF(AND('Proposed Lighting'!T154="Lighting Controls Only",'Data Entry'!$AF$23="OR",'Proposed Lighting'!AU154=3,OR('Proposed Lighting'!W154="ceiling mount",'Proposed Lighting'!W154="wall switch",'Proposed Lighting'!W154="fixture mount (on exisiting equip)",'Proposed Lighting'!W154="daylight harvesting (on existing equip)")),0,
IF('Proposed Lighting'!AF154=1,IF(P457=0,0,J457*O457*(L457*(1-P457))),IF('Proposed Lighting'!AU154=1,0,'Proposed Lighting'!AX154-'Proposed Lighting'!AY154))))</f>
        <v>0</v>
      </c>
      <c r="R457" s="646">
        <f>IF('Proposed Lighting'!T154="Non-standard (provide description",0,
IF(AND(E457="Non-standard control",'Proposed Lighting'!AU154=2),Q457*0.1,
IF(AND(E457="Non-standard control",'Proposed Lighting'!AU154=3),Q457*0.08,
IF('Proposed Lighting'!EF154=0,0,IF('Proposed Lighting'!AU154=1,0,
IF(AND('Data Entry'!$AF$23="ID",'Proposed Lighting'!T154="Lighting controls only"),VLOOKUP(E457,'Proposed Lighting'!$DO$97:$DP$106,2,FALSE),
IF(AND('Data Entry'!$AF$23="OR",'Proposed Lighting'!AU154=3,'Proposed Lighting'!T154="Lighting controls only"),VLOOKUP(E457,'Proposed Lighting'!$DO$127:$DP$134,2,FALSE),0)))))))*J457</f>
        <v>0</v>
      </c>
      <c r="S457" s="646">
        <f>IF(Q457&lt;0.01,0,IF('Proposed Lighting'!AK154&gt;0,'Proposed Lighting'!AK154*'Proposed Lighting'!EF154,0))</f>
        <v>0</v>
      </c>
      <c r="T457" s="647">
        <f t="shared" si="104"/>
        <v>0</v>
      </c>
      <c r="U457" s="648"/>
      <c r="V457" s="646">
        <f t="shared" si="94"/>
        <v>0</v>
      </c>
      <c r="W457" s="646">
        <f t="shared" si="95"/>
        <v>0</v>
      </c>
      <c r="X457" s="646">
        <f t="shared" si="96"/>
        <v>0</v>
      </c>
      <c r="Y457" s="646"/>
      <c r="Z457" s="646"/>
      <c r="AA457" s="646"/>
      <c r="AB457" s="646">
        <f t="shared" si="97"/>
        <v>0</v>
      </c>
      <c r="AC457" s="649" t="str">
        <f t="shared" si="98"/>
        <v/>
      </c>
      <c r="AD457" s="649" t="str">
        <f t="shared" si="99"/>
        <v/>
      </c>
      <c r="AE457" s="649" t="str">
        <f t="shared" si="100"/>
        <v/>
      </c>
      <c r="AF457" s="72"/>
      <c r="AG457" s="644">
        <f>IFERROR(IF($AV457="No",0,IF($AV457="yes",Summary!Q457,"")),"")</f>
        <v>0</v>
      </c>
      <c r="AH457" s="646">
        <f>IFERROR(IF($AV457="No",0,IF($AV457="yes",Summary!R457,"")),"")</f>
        <v>0</v>
      </c>
      <c r="AI457" s="646">
        <f>IFERROR(IF($AV457="No",0,IF($AV457="yes",Summary!S457,"")),"")</f>
        <v>0</v>
      </c>
      <c r="AJ457" s="647">
        <f>IFERROR(IF($AV457="No",0,IF($AV457="yes",Summary!T457,"")),"")</f>
        <v>0</v>
      </c>
      <c r="AK457" s="648">
        <f>IFERROR(IF($AV457="No",0,IF($AV457="yes",Summary!U457,"")),"")</f>
        <v>0</v>
      </c>
      <c r="AL457" s="646">
        <f>IFERROR(IF($AV457="No",0,IF($AV457="yes",Summary!V457,"")),"")</f>
        <v>0</v>
      </c>
      <c r="AM457" s="646">
        <f>IFERROR(IF($AV457="No",0,IF($AV457="yes",Summary!W457,"")),"")</f>
        <v>0</v>
      </c>
      <c r="AN457" s="646">
        <f>IFERROR(IF($AV457="No",0,IF($AV457="yes",Summary!X457,"")),"")</f>
        <v>0</v>
      </c>
      <c r="AO457" s="646">
        <f>IFERROR(IF($AV457="No",0,IF($AV457="yes",Summary!Y457+Z457,"")),"")</f>
        <v>0</v>
      </c>
      <c r="AP457" s="646">
        <f>IFERROR(IF($AV457="No",0,IF($AV457="yes",Summary!AB457,"")),"")</f>
        <v>0</v>
      </c>
      <c r="AQ457" s="649" t="str">
        <f t="shared" si="101"/>
        <v/>
      </c>
      <c r="AR457" s="649" t="str">
        <f t="shared" si="105"/>
        <v/>
      </c>
      <c r="AS457" s="649" t="str">
        <f t="shared" si="102"/>
        <v/>
      </c>
      <c r="AT457" s="641" t="s">
        <v>931</v>
      </c>
      <c r="AV457" t="str">
        <f>IF('Proposed Lighting'!AK154&gt;0,"No","Yes")</f>
        <v>Yes</v>
      </c>
    </row>
    <row r="458" spans="1:48" ht="34.5" customHeight="1" outlineLevel="1">
      <c r="A458" s="641" t="s">
        <v>932</v>
      </c>
      <c r="B458" s="641" t="str">
        <f>IF('Proposed Lighting'!AU155=3,"Commercial-All Com-ExtLight",IF('Proposed Lighting'!AH155&gt;8759,"IPC_8760","Commercial-All Com-IntLight"))</f>
        <v>IPC_8760</v>
      </c>
      <c r="C458" s="641" t="str">
        <f>IF(OR(E458="",E458=0),"No",
IF(AND('Data Entry'!$AF$23="OR",AE458&lt;1),"No",
IF(AND('Data Entry'!$AF$23="ID",E458="Non-standard lighting control system",AD458&lt;1),"No",
IF(AND('Data Entry'!$AF$23="OR",'Proposed Lighting'!F155="Existing LED (Provide Description)",'Proposed Lighting'!AK155=""),"No",
IF('Proposed Lighting'!DD155="Submit Control as Non-Standard","No",
IF(AND('Proposed Lighting'!T155="Non-Standard (Provide Description)",AD458&lt;1),"No",
IF('Proposed Lighting'!AW155&lt;'Proposed Lighting'!AZ155,"No","Yes")))))))</f>
        <v>No</v>
      </c>
      <c r="D458" s="1604">
        <f>'Proposed Lighting'!BQ155-Q458</f>
        <v>0</v>
      </c>
      <c r="E458" s="642" t="str">
        <f>IF('Proposed Lighting'!W155="","",'Proposed Lighting'!W155)</f>
        <v/>
      </c>
      <c r="F458" s="642"/>
      <c r="G458" s="641" t="s">
        <v>786</v>
      </c>
      <c r="H458" s="643">
        <v>10</v>
      </c>
      <c r="I458" s="644">
        <v>1</v>
      </c>
      <c r="J458" s="723">
        <f>IF('Proposed Lighting'!EF155=0,'Proposed Lighting'!AA155,'Proposed Lighting'!EF155)</f>
        <v>0</v>
      </c>
      <c r="K458" s="643" t="str">
        <f>'Proposed Lighting'!CU155</f>
        <v/>
      </c>
      <c r="L458" s="643" t="str">
        <f t="shared" si="103"/>
        <v/>
      </c>
      <c r="M458" s="645">
        <f t="shared" si="93"/>
        <v>0</v>
      </c>
      <c r="N458" s="645"/>
      <c r="O458" s="722">
        <f>IFERROR('Proposed Lighting'!AC155/1000,0)</f>
        <v>0</v>
      </c>
      <c r="P458" s="644">
        <f>'Proposed Lighting'!AV155</f>
        <v>0</v>
      </c>
      <c r="Q458" s="644">
        <f>IF(AND('Proposed Lighting'!T155="Lighting Controls Only",'Data Entry'!$AF$23="OR",'Proposed Lighting'!AU155=2),0,
IF(AND('Proposed Lighting'!T155="Lighting Controls Only",'Data Entry'!$AF$23="OR",'Proposed Lighting'!AU155=3,OR('Proposed Lighting'!W155="ceiling mount",'Proposed Lighting'!W155="wall switch",'Proposed Lighting'!W155="fixture mount (on exisiting equip)",'Proposed Lighting'!W155="daylight harvesting (on existing equip)")),0,
IF('Proposed Lighting'!AF155=1,IF(P458=0,0,J458*O458*(L458*(1-P458))),IF('Proposed Lighting'!AU155=1,0,'Proposed Lighting'!AX155-'Proposed Lighting'!AY155))))</f>
        <v>0</v>
      </c>
      <c r="R458" s="646">
        <f>IF('Proposed Lighting'!T155="Non-standard (provide description",0,
IF(AND(E458="Non-standard control",'Proposed Lighting'!AU155=2),Q458*0.1,
IF(AND(E458="Non-standard control",'Proposed Lighting'!AU155=3),Q458*0.08,
IF('Proposed Lighting'!EF155=0,0,IF('Proposed Lighting'!AU155=1,0,
IF(AND('Data Entry'!$AF$23="ID",'Proposed Lighting'!T155="Lighting controls only"),VLOOKUP(E458,'Proposed Lighting'!$DO$97:$DP$106,2,FALSE),
IF(AND('Data Entry'!$AF$23="OR",'Proposed Lighting'!AU155=3,'Proposed Lighting'!T155="Lighting controls only"),VLOOKUP(E458,'Proposed Lighting'!$DO$127:$DP$134,2,FALSE),0)))))))*J458</f>
        <v>0</v>
      </c>
      <c r="S458" s="646">
        <f>IF(Q458&lt;0.01,0,IF('Proposed Lighting'!AK155&gt;0,'Proposed Lighting'!AK155*'Proposed Lighting'!EF155,0))</f>
        <v>0</v>
      </c>
      <c r="T458" s="647">
        <f t="shared" si="104"/>
        <v>0</v>
      </c>
      <c r="U458" s="648"/>
      <c r="V458" s="646">
        <f t="shared" si="94"/>
        <v>0</v>
      </c>
      <c r="W458" s="646">
        <f t="shared" si="95"/>
        <v>0</v>
      </c>
      <c r="X458" s="646">
        <f t="shared" si="96"/>
        <v>0</v>
      </c>
      <c r="Y458" s="646"/>
      <c r="Z458" s="646"/>
      <c r="AA458" s="646"/>
      <c r="AB458" s="646">
        <f t="shared" si="97"/>
        <v>0</v>
      </c>
      <c r="AC458" s="649" t="str">
        <f t="shared" si="98"/>
        <v/>
      </c>
      <c r="AD458" s="649" t="str">
        <f t="shared" si="99"/>
        <v/>
      </c>
      <c r="AE458" s="649" t="str">
        <f t="shared" si="100"/>
        <v/>
      </c>
      <c r="AF458" s="72"/>
      <c r="AG458" s="644">
        <f>IFERROR(IF($AV458="No",0,IF($AV458="yes",Summary!Q458,"")),"")</f>
        <v>0</v>
      </c>
      <c r="AH458" s="646">
        <f>IFERROR(IF($AV458="No",0,IF($AV458="yes",Summary!R458,"")),"")</f>
        <v>0</v>
      </c>
      <c r="AI458" s="646">
        <f>IFERROR(IF($AV458="No",0,IF($AV458="yes",Summary!S458,"")),"")</f>
        <v>0</v>
      </c>
      <c r="AJ458" s="647">
        <f>IFERROR(IF($AV458="No",0,IF($AV458="yes",Summary!T458,"")),"")</f>
        <v>0</v>
      </c>
      <c r="AK458" s="648">
        <f>IFERROR(IF($AV458="No",0,IF($AV458="yes",Summary!U458,"")),"")</f>
        <v>0</v>
      </c>
      <c r="AL458" s="646">
        <f>IFERROR(IF($AV458="No",0,IF($AV458="yes",Summary!V458,"")),"")</f>
        <v>0</v>
      </c>
      <c r="AM458" s="646">
        <f>IFERROR(IF($AV458="No",0,IF($AV458="yes",Summary!W458,"")),"")</f>
        <v>0</v>
      </c>
      <c r="AN458" s="646">
        <f>IFERROR(IF($AV458="No",0,IF($AV458="yes",Summary!X458,"")),"")</f>
        <v>0</v>
      </c>
      <c r="AO458" s="646">
        <f>IFERROR(IF($AV458="No",0,IF($AV458="yes",Summary!Y458+Z458,"")),"")</f>
        <v>0</v>
      </c>
      <c r="AP458" s="646">
        <f>IFERROR(IF($AV458="No",0,IF($AV458="yes",Summary!AB458,"")),"")</f>
        <v>0</v>
      </c>
      <c r="AQ458" s="649" t="str">
        <f t="shared" si="101"/>
        <v/>
      </c>
      <c r="AR458" s="649" t="str">
        <f t="shared" si="105"/>
        <v/>
      </c>
      <c r="AS458" s="649" t="str">
        <f t="shared" si="102"/>
        <v/>
      </c>
      <c r="AT458" s="641" t="s">
        <v>932</v>
      </c>
      <c r="AV458" t="str">
        <f>IF('Proposed Lighting'!AK155&gt;0,"No","Yes")</f>
        <v>Yes</v>
      </c>
    </row>
    <row r="459" spans="1:48" ht="34.5" customHeight="1" outlineLevel="1">
      <c r="A459" s="641" t="s">
        <v>933</v>
      </c>
      <c r="B459" s="641" t="str">
        <f>IF('Proposed Lighting'!AU156=3,"Commercial-All Com-ExtLight",IF('Proposed Lighting'!AH156&gt;8759,"IPC_8760","Commercial-All Com-IntLight"))</f>
        <v>IPC_8760</v>
      </c>
      <c r="C459" s="641" t="str">
        <f>IF(OR(E459="",E459=0),"No",
IF(AND('Data Entry'!$AF$23="OR",AE459&lt;1),"No",
IF(AND('Data Entry'!$AF$23="ID",E459="Non-standard lighting control system",AD459&lt;1),"No",
IF(AND('Data Entry'!$AF$23="OR",'Proposed Lighting'!F156="Existing LED (Provide Description)",'Proposed Lighting'!AK156=""),"No",
IF('Proposed Lighting'!DD156="Submit Control as Non-Standard","No",
IF(AND('Proposed Lighting'!T156="Non-Standard (Provide Description)",AD459&lt;1),"No",
IF('Proposed Lighting'!AW156&lt;'Proposed Lighting'!AZ156,"No","Yes")))))))</f>
        <v>No</v>
      </c>
      <c r="D459" s="1604">
        <f>'Proposed Lighting'!BQ156-Q459</f>
        <v>0</v>
      </c>
      <c r="E459" s="642" t="str">
        <f>IF('Proposed Lighting'!W156="","",'Proposed Lighting'!W156)</f>
        <v/>
      </c>
      <c r="F459" s="642"/>
      <c r="G459" s="641" t="s">
        <v>786</v>
      </c>
      <c r="H459" s="643">
        <v>10</v>
      </c>
      <c r="I459" s="644">
        <v>1</v>
      </c>
      <c r="J459" s="723">
        <f>IF('Proposed Lighting'!EF156=0,'Proposed Lighting'!AA156,'Proposed Lighting'!EF156)</f>
        <v>0</v>
      </c>
      <c r="K459" s="643" t="str">
        <f>'Proposed Lighting'!CU156</f>
        <v/>
      </c>
      <c r="L459" s="643" t="str">
        <f t="shared" si="103"/>
        <v/>
      </c>
      <c r="M459" s="645">
        <f t="shared" si="93"/>
        <v>0</v>
      </c>
      <c r="N459" s="645"/>
      <c r="O459" s="722">
        <f>IFERROR('Proposed Lighting'!AC156/1000,0)</f>
        <v>0</v>
      </c>
      <c r="P459" s="644">
        <f>'Proposed Lighting'!AV156</f>
        <v>0</v>
      </c>
      <c r="Q459" s="644">
        <f>IF(AND('Proposed Lighting'!T156="Lighting Controls Only",'Data Entry'!$AF$23="OR",'Proposed Lighting'!AU156=2),0,
IF(AND('Proposed Lighting'!T156="Lighting Controls Only",'Data Entry'!$AF$23="OR",'Proposed Lighting'!AU156=3,OR('Proposed Lighting'!W156="ceiling mount",'Proposed Lighting'!W156="wall switch",'Proposed Lighting'!W156="fixture mount (on exisiting equip)",'Proposed Lighting'!W156="daylight harvesting (on existing equip)")),0,
IF('Proposed Lighting'!AF156=1,IF(P459=0,0,J459*O459*(L459*(1-P459))),IF('Proposed Lighting'!AU156=1,0,'Proposed Lighting'!AX156-'Proposed Lighting'!AY156))))</f>
        <v>0</v>
      </c>
      <c r="R459" s="646">
        <f>IF('Proposed Lighting'!T156="Non-standard (provide description",0,
IF(AND(E459="Non-standard control",'Proposed Lighting'!AU156=2),Q459*0.1,
IF(AND(E459="Non-standard control",'Proposed Lighting'!AU156=3),Q459*0.08,
IF('Proposed Lighting'!EF156=0,0,IF('Proposed Lighting'!AU156=1,0,
IF(AND('Data Entry'!$AF$23="ID",'Proposed Lighting'!T156="Lighting controls only"),VLOOKUP(E459,'Proposed Lighting'!$DO$97:$DP$106,2,FALSE),
IF(AND('Data Entry'!$AF$23="OR",'Proposed Lighting'!AU156=3,'Proposed Lighting'!T156="Lighting controls only"),VLOOKUP(E459,'Proposed Lighting'!$DO$127:$DP$134,2,FALSE),0)))))))*J459</f>
        <v>0</v>
      </c>
      <c r="S459" s="646">
        <f>IF(Q459&lt;0.01,0,IF('Proposed Lighting'!AK156&gt;0,'Proposed Lighting'!AK156*'Proposed Lighting'!EF156,0))</f>
        <v>0</v>
      </c>
      <c r="T459" s="647">
        <f t="shared" si="104"/>
        <v>0</v>
      </c>
      <c r="U459" s="648"/>
      <c r="V459" s="646">
        <f t="shared" si="94"/>
        <v>0</v>
      </c>
      <c r="W459" s="646">
        <f t="shared" si="95"/>
        <v>0</v>
      </c>
      <c r="X459" s="646">
        <f t="shared" si="96"/>
        <v>0</v>
      </c>
      <c r="Y459" s="646"/>
      <c r="Z459" s="646"/>
      <c r="AA459" s="646"/>
      <c r="AB459" s="646">
        <f t="shared" si="97"/>
        <v>0</v>
      </c>
      <c r="AC459" s="649" t="str">
        <f t="shared" si="98"/>
        <v/>
      </c>
      <c r="AD459" s="649" t="str">
        <f t="shared" si="99"/>
        <v/>
      </c>
      <c r="AE459" s="649" t="str">
        <f t="shared" si="100"/>
        <v/>
      </c>
      <c r="AF459" s="72"/>
      <c r="AG459" s="644">
        <f>IFERROR(IF($AV459="No",0,IF($AV459="yes",Summary!Q459,"")),"")</f>
        <v>0</v>
      </c>
      <c r="AH459" s="646">
        <f>IFERROR(IF($AV459="No",0,IF($AV459="yes",Summary!R459,"")),"")</f>
        <v>0</v>
      </c>
      <c r="AI459" s="646">
        <f>IFERROR(IF($AV459="No",0,IF($AV459="yes",Summary!S459,"")),"")</f>
        <v>0</v>
      </c>
      <c r="AJ459" s="647">
        <f>IFERROR(IF($AV459="No",0,IF($AV459="yes",Summary!T459,"")),"")</f>
        <v>0</v>
      </c>
      <c r="AK459" s="648">
        <f>IFERROR(IF($AV459="No",0,IF($AV459="yes",Summary!U459,"")),"")</f>
        <v>0</v>
      </c>
      <c r="AL459" s="646">
        <f>IFERROR(IF($AV459="No",0,IF($AV459="yes",Summary!V459,"")),"")</f>
        <v>0</v>
      </c>
      <c r="AM459" s="646">
        <f>IFERROR(IF($AV459="No",0,IF($AV459="yes",Summary!W459,"")),"")</f>
        <v>0</v>
      </c>
      <c r="AN459" s="646">
        <f>IFERROR(IF($AV459="No",0,IF($AV459="yes",Summary!X459,"")),"")</f>
        <v>0</v>
      </c>
      <c r="AO459" s="646">
        <f>IFERROR(IF($AV459="No",0,IF($AV459="yes",Summary!Y459+Z459,"")),"")</f>
        <v>0</v>
      </c>
      <c r="AP459" s="646">
        <f>IFERROR(IF($AV459="No",0,IF($AV459="yes",Summary!AB459,"")),"")</f>
        <v>0</v>
      </c>
      <c r="AQ459" s="649" t="str">
        <f t="shared" si="101"/>
        <v/>
      </c>
      <c r="AR459" s="649" t="str">
        <f t="shared" si="105"/>
        <v/>
      </c>
      <c r="AS459" s="649" t="str">
        <f t="shared" si="102"/>
        <v/>
      </c>
      <c r="AT459" s="641" t="s">
        <v>933</v>
      </c>
      <c r="AV459" t="str">
        <f>IF('Proposed Lighting'!AK156&gt;0,"No","Yes")</f>
        <v>Yes</v>
      </c>
    </row>
    <row r="460" spans="1:48" ht="34.5" customHeight="1" outlineLevel="1">
      <c r="A460" s="641" t="s">
        <v>934</v>
      </c>
      <c r="B460" s="641" t="str">
        <f>IF('Proposed Lighting'!AU157=3,"Commercial-All Com-ExtLight",IF('Proposed Lighting'!AH157&gt;8759,"IPC_8760","Commercial-All Com-IntLight"))</f>
        <v>IPC_8760</v>
      </c>
      <c r="C460" s="641" t="str">
        <f>IF(OR(E460="",E460=0),"No",
IF(AND('Data Entry'!$AF$23="OR",AE460&lt;1),"No",
IF(AND('Data Entry'!$AF$23="ID",E460="Non-standard lighting control system",AD460&lt;1),"No",
IF(AND('Data Entry'!$AF$23="OR",'Proposed Lighting'!F157="Existing LED (Provide Description)",'Proposed Lighting'!AK157=""),"No",
IF('Proposed Lighting'!DD157="Submit Control as Non-Standard","No",
IF(AND('Proposed Lighting'!T157="Non-Standard (Provide Description)",AD460&lt;1),"No",
IF('Proposed Lighting'!AW157&lt;'Proposed Lighting'!AZ157,"No","Yes")))))))</f>
        <v>No</v>
      </c>
      <c r="D460" s="1604">
        <f>'Proposed Lighting'!BQ157-Q460</f>
        <v>0</v>
      </c>
      <c r="E460" s="642" t="str">
        <f>IF('Proposed Lighting'!W157="","",'Proposed Lighting'!W157)</f>
        <v/>
      </c>
      <c r="F460" s="642"/>
      <c r="G460" s="641" t="s">
        <v>786</v>
      </c>
      <c r="H460" s="643">
        <v>10</v>
      </c>
      <c r="I460" s="644">
        <v>1</v>
      </c>
      <c r="J460" s="723">
        <f>IF('Proposed Lighting'!EF157=0,'Proposed Lighting'!AA157,'Proposed Lighting'!EF157)</f>
        <v>0</v>
      </c>
      <c r="K460" s="643" t="str">
        <f>'Proposed Lighting'!CU157</f>
        <v/>
      </c>
      <c r="L460" s="643" t="str">
        <f t="shared" si="103"/>
        <v/>
      </c>
      <c r="M460" s="645">
        <f t="shared" ref="M460:M523" si="106">IFERROR(K460-L460,0)</f>
        <v>0</v>
      </c>
      <c r="N460" s="645"/>
      <c r="O460" s="722">
        <f>IFERROR('Proposed Lighting'!AC157/1000,0)</f>
        <v>0</v>
      </c>
      <c r="P460" s="644">
        <f>'Proposed Lighting'!AV157</f>
        <v>0</v>
      </c>
      <c r="Q460" s="644">
        <f>IF(AND('Proposed Lighting'!T157="Lighting Controls Only",'Data Entry'!$AF$23="OR",'Proposed Lighting'!AU157=2),0,
IF(AND('Proposed Lighting'!T157="Lighting Controls Only",'Data Entry'!$AF$23="OR",'Proposed Lighting'!AU157=3,OR('Proposed Lighting'!W157="ceiling mount",'Proposed Lighting'!W157="wall switch",'Proposed Lighting'!W157="fixture mount (on exisiting equip)",'Proposed Lighting'!W157="daylight harvesting (on existing equip)")),0,
IF('Proposed Lighting'!AF157=1,IF(P460=0,0,J460*O460*(L460*(1-P460))),IF('Proposed Lighting'!AU157=1,0,'Proposed Lighting'!AX157-'Proposed Lighting'!AY157))))</f>
        <v>0</v>
      </c>
      <c r="R460" s="646">
        <f>IF('Proposed Lighting'!T157="Non-standard (provide description",0,
IF(AND(E460="Non-standard control",'Proposed Lighting'!AU157=2),Q460*0.1,
IF(AND(E460="Non-standard control",'Proposed Lighting'!AU157=3),Q460*0.08,
IF('Proposed Lighting'!EF157=0,0,IF('Proposed Lighting'!AU157=1,0,
IF(AND('Data Entry'!$AF$23="ID",'Proposed Lighting'!T157="Lighting controls only"),VLOOKUP(E460,'Proposed Lighting'!$DO$97:$DP$106,2,FALSE),
IF(AND('Data Entry'!$AF$23="OR",'Proposed Lighting'!AU157=3,'Proposed Lighting'!T157="Lighting controls only"),VLOOKUP(E460,'Proposed Lighting'!$DO$127:$DP$134,2,FALSE),0)))))))*J460</f>
        <v>0</v>
      </c>
      <c r="S460" s="646">
        <f>IF(Q460&lt;0.01,0,IF('Proposed Lighting'!AK157&gt;0,'Proposed Lighting'!AK157*'Proposed Lighting'!EF157,0))</f>
        <v>0</v>
      </c>
      <c r="T460" s="647">
        <f t="shared" si="104"/>
        <v>0</v>
      </c>
      <c r="U460" s="648"/>
      <c r="V460" s="646">
        <f t="shared" ref="V460:V523" si="107">IFERROR((PV($C$6,$H460,-(IF(Q460=0,Q460,Q460)))*$C$7)*((1+$C$6)^0.5),0)</f>
        <v>0</v>
      </c>
      <c r="W460" s="646">
        <f t="shared" ref="W460:W523" si="108">IFERROR((VLOOKUP($B460,loadshapeac,$H460+1,FALSE)*$Q460),0)</f>
        <v>0</v>
      </c>
      <c r="X460" s="646">
        <f t="shared" ref="X460:X523" si="109">IFERROR((VLOOKUP($B460,loadshapeac,$H460+1,FALSE)*$Q460)*1.1,0)</f>
        <v>0</v>
      </c>
      <c r="Y460" s="646"/>
      <c r="Z460" s="646"/>
      <c r="AA460" s="646"/>
      <c r="AB460" s="646">
        <f t="shared" ref="AB460:AB523" si="110">IFERROR(PV($C$6,$H460,-$AA460)*((1+$C$6)^0.5),0)</f>
        <v>0</v>
      </c>
      <c r="AC460" s="649" t="str">
        <f t="shared" ref="AC460:AC523" si="111">IFERROR(IF($Q460&lt;0,"",(V460+R460+Y460+Z460+AB460)/(S460)),"")</f>
        <v/>
      </c>
      <c r="AD460" s="649" t="str">
        <f t="shared" ref="AD460:AD523" si="112">IFERROR(IF($Q460&lt;0,"",(I460*W460)/(((IF(Q460=0,Q460,Q460))*U460)+R460)),"")</f>
        <v/>
      </c>
      <c r="AE460" s="649" t="str">
        <f t="shared" ref="AE460:AE523" si="113">IFERROR(IF($Q460&lt;0,"",IF(S460=0,((X460+Y460+Z460+AB460)*I460)/((Q460*U460)+R460),((X460+Y460+Z460+AB460)*I460)/((Q460*U460)+R460+((S460-R460)*I460)))),"")</f>
        <v/>
      </c>
      <c r="AF460" s="72"/>
      <c r="AG460" s="644">
        <f>IFERROR(IF($AV460="No",0,IF($AV460="yes",Summary!Q460,"")),"")</f>
        <v>0</v>
      </c>
      <c r="AH460" s="646">
        <f>IFERROR(IF($AV460="No",0,IF($AV460="yes",Summary!R460,"")),"")</f>
        <v>0</v>
      </c>
      <c r="AI460" s="646">
        <f>IFERROR(IF($AV460="No",0,IF($AV460="yes",Summary!S460,"")),"")</f>
        <v>0</v>
      </c>
      <c r="AJ460" s="647">
        <f>IFERROR(IF($AV460="No",0,IF($AV460="yes",Summary!T460,"")),"")</f>
        <v>0</v>
      </c>
      <c r="AK460" s="648">
        <f>IFERROR(IF($AV460="No",0,IF($AV460="yes",Summary!U460,"")),"")</f>
        <v>0</v>
      </c>
      <c r="AL460" s="646">
        <f>IFERROR(IF($AV460="No",0,IF($AV460="yes",Summary!V460,"")),"")</f>
        <v>0</v>
      </c>
      <c r="AM460" s="646">
        <f>IFERROR(IF($AV460="No",0,IF($AV460="yes",Summary!W460,"")),"")</f>
        <v>0</v>
      </c>
      <c r="AN460" s="646">
        <f>IFERROR(IF($AV460="No",0,IF($AV460="yes",Summary!X460,"")),"")</f>
        <v>0</v>
      </c>
      <c r="AO460" s="646">
        <f>IFERROR(IF($AV460="No",0,IF($AV460="yes",Summary!Y460+Z460,"")),"")</f>
        <v>0</v>
      </c>
      <c r="AP460" s="646">
        <f>IFERROR(IF($AV460="No",0,IF($AV460="yes",Summary!AB460,"")),"")</f>
        <v>0</v>
      </c>
      <c r="AQ460" s="649" t="str">
        <f t="shared" si="101"/>
        <v/>
      </c>
      <c r="AR460" s="649" t="str">
        <f t="shared" si="105"/>
        <v/>
      </c>
      <c r="AS460" s="649" t="str">
        <f t="shared" si="102"/>
        <v/>
      </c>
      <c r="AT460" s="641" t="s">
        <v>934</v>
      </c>
      <c r="AV460" t="str">
        <f>IF('Proposed Lighting'!AK157&gt;0,"No","Yes")</f>
        <v>Yes</v>
      </c>
    </row>
    <row r="461" spans="1:48" ht="34.5" customHeight="1" outlineLevel="1">
      <c r="A461" s="641" t="s">
        <v>935</v>
      </c>
      <c r="B461" s="641" t="str">
        <f>IF('Proposed Lighting'!AU158=3,"Commercial-All Com-ExtLight",IF('Proposed Lighting'!AH158&gt;8759,"IPC_8760","Commercial-All Com-IntLight"))</f>
        <v>IPC_8760</v>
      </c>
      <c r="C461" s="641" t="str">
        <f>IF(OR(E461="",E461=0),"No",
IF(AND('Data Entry'!$AF$23="OR",AE461&lt;1),"No",
IF(AND('Data Entry'!$AF$23="ID",E461="Non-standard lighting control system",AD461&lt;1),"No",
IF(AND('Data Entry'!$AF$23="OR",'Proposed Lighting'!F158="Existing LED (Provide Description)",'Proposed Lighting'!AK158=""),"No",
IF('Proposed Lighting'!DD158="Submit Control as Non-Standard","No",
IF(AND('Proposed Lighting'!T158="Non-Standard (Provide Description)",AD461&lt;1),"No",
IF('Proposed Lighting'!AW158&lt;'Proposed Lighting'!AZ158,"No","Yes")))))))</f>
        <v>No</v>
      </c>
      <c r="D461" s="1604">
        <f>'Proposed Lighting'!BQ158-Q461</f>
        <v>0</v>
      </c>
      <c r="E461" s="642" t="str">
        <f>IF('Proposed Lighting'!W158="","",'Proposed Lighting'!W158)</f>
        <v/>
      </c>
      <c r="F461" s="642"/>
      <c r="G461" s="641" t="s">
        <v>786</v>
      </c>
      <c r="H461" s="643">
        <v>10</v>
      </c>
      <c r="I461" s="644">
        <v>1</v>
      </c>
      <c r="J461" s="723">
        <f>IF('Proposed Lighting'!EF158=0,'Proposed Lighting'!AA158,'Proposed Lighting'!EF158)</f>
        <v>0</v>
      </c>
      <c r="K461" s="643" t="str">
        <f>'Proposed Lighting'!CU158</f>
        <v/>
      </c>
      <c r="L461" s="643" t="str">
        <f t="shared" si="103"/>
        <v/>
      </c>
      <c r="M461" s="645">
        <f t="shared" si="106"/>
        <v>0</v>
      </c>
      <c r="N461" s="645"/>
      <c r="O461" s="722">
        <f>IFERROR('Proposed Lighting'!AC158/1000,0)</f>
        <v>0</v>
      </c>
      <c r="P461" s="644">
        <f>'Proposed Lighting'!AV158</f>
        <v>0</v>
      </c>
      <c r="Q461" s="644">
        <f>IF(AND('Proposed Lighting'!T158="Lighting Controls Only",'Data Entry'!$AF$23="OR",'Proposed Lighting'!AU158=2),0,
IF(AND('Proposed Lighting'!T158="Lighting Controls Only",'Data Entry'!$AF$23="OR",'Proposed Lighting'!AU158=3,OR('Proposed Lighting'!W158="ceiling mount",'Proposed Lighting'!W158="wall switch",'Proposed Lighting'!W158="fixture mount (on exisiting equip)",'Proposed Lighting'!W158="daylight harvesting (on existing equip)")),0,
IF('Proposed Lighting'!AF158=1,IF(P461=0,0,J461*O461*(L461*(1-P461))),IF('Proposed Lighting'!AU158=1,0,'Proposed Lighting'!AX158-'Proposed Lighting'!AY158))))</f>
        <v>0</v>
      </c>
      <c r="R461" s="646">
        <f>IF('Proposed Lighting'!T158="Non-standard (provide description",0,
IF(AND(E461="Non-standard control",'Proposed Lighting'!AU158=2),Q461*0.1,
IF(AND(E461="Non-standard control",'Proposed Lighting'!AU158=3),Q461*0.08,
IF('Proposed Lighting'!EF158=0,0,IF('Proposed Lighting'!AU158=1,0,
IF(AND('Data Entry'!$AF$23="ID",'Proposed Lighting'!T158="Lighting controls only"),VLOOKUP(E461,'Proposed Lighting'!$DO$97:$DP$106,2,FALSE),
IF(AND('Data Entry'!$AF$23="OR",'Proposed Lighting'!AU158=3,'Proposed Lighting'!T158="Lighting controls only"),VLOOKUP(E461,'Proposed Lighting'!$DO$127:$DP$134,2,FALSE),0)))))))*J461</f>
        <v>0</v>
      </c>
      <c r="S461" s="646">
        <f>IF(Q461&lt;0.01,0,IF('Proposed Lighting'!AK158&gt;0,'Proposed Lighting'!AK158*'Proposed Lighting'!EF158,0))</f>
        <v>0</v>
      </c>
      <c r="T461" s="647">
        <f t="shared" si="104"/>
        <v>0</v>
      </c>
      <c r="U461" s="648"/>
      <c r="V461" s="646">
        <f t="shared" si="107"/>
        <v>0</v>
      </c>
      <c r="W461" s="646">
        <f t="shared" si="108"/>
        <v>0</v>
      </c>
      <c r="X461" s="646">
        <f t="shared" si="109"/>
        <v>0</v>
      </c>
      <c r="Y461" s="646"/>
      <c r="Z461" s="646"/>
      <c r="AA461" s="646"/>
      <c r="AB461" s="646">
        <f t="shared" si="110"/>
        <v>0</v>
      </c>
      <c r="AC461" s="649" t="str">
        <f t="shared" si="111"/>
        <v/>
      </c>
      <c r="AD461" s="649" t="str">
        <f t="shared" si="112"/>
        <v/>
      </c>
      <c r="AE461" s="649" t="str">
        <f t="shared" si="113"/>
        <v/>
      </c>
      <c r="AF461" s="72"/>
      <c r="AG461" s="644">
        <f>IFERROR(IF($AV461="No",0,IF($AV461="yes",Summary!Q461,"")),"")</f>
        <v>0</v>
      </c>
      <c r="AH461" s="646">
        <f>IFERROR(IF($AV461="No",0,IF($AV461="yes",Summary!R461,"")),"")</f>
        <v>0</v>
      </c>
      <c r="AI461" s="646">
        <f>IFERROR(IF($AV461="No",0,IF($AV461="yes",Summary!S461,"")),"")</f>
        <v>0</v>
      </c>
      <c r="AJ461" s="647">
        <f>IFERROR(IF($AV461="No",0,IF($AV461="yes",Summary!T461,"")),"")</f>
        <v>0</v>
      </c>
      <c r="AK461" s="648">
        <f>IFERROR(IF($AV461="No",0,IF($AV461="yes",Summary!U461,"")),"")</f>
        <v>0</v>
      </c>
      <c r="AL461" s="646">
        <f>IFERROR(IF($AV461="No",0,IF($AV461="yes",Summary!V461,"")),"")</f>
        <v>0</v>
      </c>
      <c r="AM461" s="646">
        <f>IFERROR(IF($AV461="No",0,IF($AV461="yes",Summary!W461,"")),"")</f>
        <v>0</v>
      </c>
      <c r="AN461" s="646">
        <f>IFERROR(IF($AV461="No",0,IF($AV461="yes",Summary!X461,"")),"")</f>
        <v>0</v>
      </c>
      <c r="AO461" s="646">
        <f>IFERROR(IF($AV461="No",0,IF($AV461="yes",Summary!Y461+Z461,"")),"")</f>
        <v>0</v>
      </c>
      <c r="AP461" s="646">
        <f>IFERROR(IF($AV461="No",0,IF($AV461="yes",Summary!AB461,"")),"")</f>
        <v>0</v>
      </c>
      <c r="AQ461" s="649" t="str">
        <f t="shared" si="101"/>
        <v/>
      </c>
      <c r="AR461" s="649" t="str">
        <f t="shared" si="105"/>
        <v/>
      </c>
      <c r="AS461" s="649" t="str">
        <f t="shared" si="102"/>
        <v/>
      </c>
      <c r="AT461" s="641" t="s">
        <v>935</v>
      </c>
      <c r="AV461" t="str">
        <f>IF('Proposed Lighting'!AK158&gt;0,"No","Yes")</f>
        <v>Yes</v>
      </c>
    </row>
    <row r="462" spans="1:48" ht="34.5" customHeight="1" outlineLevel="1">
      <c r="A462" s="641" t="s">
        <v>936</v>
      </c>
      <c r="B462" s="641" t="str">
        <f>IF('Proposed Lighting'!AU159=3,"Commercial-All Com-ExtLight",IF('Proposed Lighting'!AH159&gt;8759,"IPC_8760","Commercial-All Com-IntLight"))</f>
        <v>IPC_8760</v>
      </c>
      <c r="C462" s="641" t="str">
        <f>IF(OR(E462="",E462=0),"No",
IF(AND('Data Entry'!$AF$23="OR",AE462&lt;1),"No",
IF(AND('Data Entry'!$AF$23="ID",E462="Non-standard lighting control system",AD462&lt;1),"No",
IF(AND('Data Entry'!$AF$23="OR",'Proposed Lighting'!F159="Existing LED (Provide Description)",'Proposed Lighting'!AK159=""),"No",
IF('Proposed Lighting'!DD159="Submit Control as Non-Standard","No",
IF(AND('Proposed Lighting'!T159="Non-Standard (Provide Description)",AD462&lt;1),"No",
IF('Proposed Lighting'!AW159&lt;'Proposed Lighting'!AZ159,"No","Yes")))))))</f>
        <v>No</v>
      </c>
      <c r="D462" s="1604">
        <f>'Proposed Lighting'!BQ159-Q462</f>
        <v>0</v>
      </c>
      <c r="E462" s="642" t="str">
        <f>IF('Proposed Lighting'!W159="","",'Proposed Lighting'!W159)</f>
        <v/>
      </c>
      <c r="F462" s="642"/>
      <c r="G462" s="641" t="s">
        <v>786</v>
      </c>
      <c r="H462" s="643">
        <v>10</v>
      </c>
      <c r="I462" s="644">
        <v>1</v>
      </c>
      <c r="J462" s="723">
        <f>IF('Proposed Lighting'!EF159=0,'Proposed Lighting'!AA159,'Proposed Lighting'!EF159)</f>
        <v>0</v>
      </c>
      <c r="K462" s="643" t="str">
        <f>'Proposed Lighting'!CU159</f>
        <v/>
      </c>
      <c r="L462" s="643" t="str">
        <f t="shared" si="103"/>
        <v/>
      </c>
      <c r="M462" s="645">
        <f t="shared" si="106"/>
        <v>0</v>
      </c>
      <c r="N462" s="645"/>
      <c r="O462" s="722">
        <f>IFERROR('Proposed Lighting'!AC159/1000,0)</f>
        <v>0</v>
      </c>
      <c r="P462" s="644">
        <f>'Proposed Lighting'!AV159</f>
        <v>0</v>
      </c>
      <c r="Q462" s="644">
        <f>IF(AND('Proposed Lighting'!T159="Lighting Controls Only",'Data Entry'!$AF$23="OR",'Proposed Lighting'!AU159=2),0,
IF(AND('Proposed Lighting'!T159="Lighting Controls Only",'Data Entry'!$AF$23="OR",'Proposed Lighting'!AU159=3,OR('Proposed Lighting'!W159="ceiling mount",'Proposed Lighting'!W159="wall switch",'Proposed Lighting'!W159="fixture mount (on exisiting equip)",'Proposed Lighting'!W159="daylight harvesting (on existing equip)")),0,
IF('Proposed Lighting'!AF159=1,IF(P462=0,0,J462*O462*(L462*(1-P462))),IF('Proposed Lighting'!AU159=1,0,'Proposed Lighting'!AX159-'Proposed Lighting'!AY159))))</f>
        <v>0</v>
      </c>
      <c r="R462" s="646">
        <f>IF('Proposed Lighting'!T159="Non-standard (provide description",0,
IF(AND(E462="Non-standard control",'Proposed Lighting'!AU159=2),Q462*0.1,
IF(AND(E462="Non-standard control",'Proposed Lighting'!AU159=3),Q462*0.08,
IF('Proposed Lighting'!EF159=0,0,IF('Proposed Lighting'!AU159=1,0,
IF(AND('Data Entry'!$AF$23="ID",'Proposed Lighting'!T159="Lighting controls only"),VLOOKUP(E462,'Proposed Lighting'!$DO$97:$DP$106,2,FALSE),
IF(AND('Data Entry'!$AF$23="OR",'Proposed Lighting'!AU159=3,'Proposed Lighting'!T159="Lighting controls only"),VLOOKUP(E462,'Proposed Lighting'!$DO$127:$DP$134,2,FALSE),0)))))))*J462</f>
        <v>0</v>
      </c>
      <c r="S462" s="646">
        <f>IF(Q462&lt;0.01,0,IF('Proposed Lighting'!AK159&gt;0,'Proposed Lighting'!AK159*'Proposed Lighting'!EF159,0))</f>
        <v>0</v>
      </c>
      <c r="T462" s="647">
        <f t="shared" si="104"/>
        <v>0</v>
      </c>
      <c r="U462" s="648"/>
      <c r="V462" s="646">
        <f t="shared" si="107"/>
        <v>0</v>
      </c>
      <c r="W462" s="646">
        <f t="shared" si="108"/>
        <v>0</v>
      </c>
      <c r="X462" s="646">
        <f t="shared" si="109"/>
        <v>0</v>
      </c>
      <c r="Y462" s="646"/>
      <c r="Z462" s="646"/>
      <c r="AA462" s="646"/>
      <c r="AB462" s="646">
        <f t="shared" si="110"/>
        <v>0</v>
      </c>
      <c r="AC462" s="649" t="str">
        <f t="shared" si="111"/>
        <v/>
      </c>
      <c r="AD462" s="649" t="str">
        <f t="shared" si="112"/>
        <v/>
      </c>
      <c r="AE462" s="649" t="str">
        <f t="shared" si="113"/>
        <v/>
      </c>
      <c r="AF462" s="72"/>
      <c r="AG462" s="644">
        <f>IFERROR(IF($AV462="No",0,IF($AV462="yes",Summary!Q462,"")),"")</f>
        <v>0</v>
      </c>
      <c r="AH462" s="646">
        <f>IFERROR(IF($AV462="No",0,IF($AV462="yes",Summary!R462,"")),"")</f>
        <v>0</v>
      </c>
      <c r="AI462" s="646">
        <f>IFERROR(IF($AV462="No",0,IF($AV462="yes",Summary!S462,"")),"")</f>
        <v>0</v>
      </c>
      <c r="AJ462" s="647">
        <f>IFERROR(IF($AV462="No",0,IF($AV462="yes",Summary!T462,"")),"")</f>
        <v>0</v>
      </c>
      <c r="AK462" s="648">
        <f>IFERROR(IF($AV462="No",0,IF($AV462="yes",Summary!U462,"")),"")</f>
        <v>0</v>
      </c>
      <c r="AL462" s="646">
        <f>IFERROR(IF($AV462="No",0,IF($AV462="yes",Summary!V462,"")),"")</f>
        <v>0</v>
      </c>
      <c r="AM462" s="646">
        <f>IFERROR(IF($AV462="No",0,IF($AV462="yes",Summary!W462,"")),"")</f>
        <v>0</v>
      </c>
      <c r="AN462" s="646">
        <f>IFERROR(IF($AV462="No",0,IF($AV462="yes",Summary!X462,"")),"")</f>
        <v>0</v>
      </c>
      <c r="AO462" s="646">
        <f>IFERROR(IF($AV462="No",0,IF($AV462="yes",Summary!Y462+Z462,"")),"")</f>
        <v>0</v>
      </c>
      <c r="AP462" s="646">
        <f>IFERROR(IF($AV462="No",0,IF($AV462="yes",Summary!AB462,"")),"")</f>
        <v>0</v>
      </c>
      <c r="AQ462" s="649" t="str">
        <f t="shared" si="101"/>
        <v/>
      </c>
      <c r="AR462" s="649" t="str">
        <f t="shared" si="105"/>
        <v/>
      </c>
      <c r="AS462" s="649" t="str">
        <f t="shared" si="102"/>
        <v/>
      </c>
      <c r="AT462" s="641" t="s">
        <v>936</v>
      </c>
      <c r="AV462" t="str">
        <f>IF('Proposed Lighting'!AK159&gt;0,"No","Yes")</f>
        <v>Yes</v>
      </c>
    </row>
    <row r="463" spans="1:48" ht="34.5" customHeight="1" outlineLevel="1">
      <c r="A463" s="641" t="s">
        <v>937</v>
      </c>
      <c r="B463" s="641" t="str">
        <f>IF('Proposed Lighting'!AU160=3,"Commercial-All Com-ExtLight",IF('Proposed Lighting'!AH160&gt;8759,"IPC_8760","Commercial-All Com-IntLight"))</f>
        <v>IPC_8760</v>
      </c>
      <c r="C463" s="641" t="str">
        <f>IF(OR(E463="",E463=0),"No",
IF(AND('Data Entry'!$AF$23="OR",AE463&lt;1),"No",
IF(AND('Data Entry'!$AF$23="ID",E463="Non-standard lighting control system",AD463&lt;1),"No",
IF(AND('Data Entry'!$AF$23="OR",'Proposed Lighting'!F160="Existing LED (Provide Description)",'Proposed Lighting'!AK160=""),"No",
IF('Proposed Lighting'!DD160="Submit Control as Non-Standard","No",
IF(AND('Proposed Lighting'!T160="Non-Standard (Provide Description)",AD463&lt;1),"No",
IF('Proposed Lighting'!AW160&lt;'Proposed Lighting'!AZ160,"No","Yes")))))))</f>
        <v>No</v>
      </c>
      <c r="D463" s="1604">
        <f>'Proposed Lighting'!BQ160-Q463</f>
        <v>0</v>
      </c>
      <c r="E463" s="642" t="str">
        <f>IF('Proposed Lighting'!W160="","",'Proposed Lighting'!W160)</f>
        <v/>
      </c>
      <c r="F463" s="642"/>
      <c r="G463" s="641" t="s">
        <v>786</v>
      </c>
      <c r="H463" s="643">
        <v>10</v>
      </c>
      <c r="I463" s="644">
        <v>1</v>
      </c>
      <c r="J463" s="723">
        <f>IF('Proposed Lighting'!EF160=0,'Proposed Lighting'!AA160,'Proposed Lighting'!EF160)</f>
        <v>0</v>
      </c>
      <c r="K463" s="643" t="str">
        <f>'Proposed Lighting'!CU160</f>
        <v/>
      </c>
      <c r="L463" s="643" t="str">
        <f t="shared" si="103"/>
        <v/>
      </c>
      <c r="M463" s="645">
        <f t="shared" si="106"/>
        <v>0</v>
      </c>
      <c r="N463" s="645"/>
      <c r="O463" s="722">
        <f>IFERROR('Proposed Lighting'!AC160/1000,0)</f>
        <v>0</v>
      </c>
      <c r="P463" s="644">
        <f>'Proposed Lighting'!AV160</f>
        <v>0</v>
      </c>
      <c r="Q463" s="644">
        <f>IF(AND('Proposed Lighting'!T160="Lighting Controls Only",'Data Entry'!$AF$23="OR",'Proposed Lighting'!AU160=2),0,
IF(AND('Proposed Lighting'!T160="Lighting Controls Only",'Data Entry'!$AF$23="OR",'Proposed Lighting'!AU160=3,OR('Proposed Lighting'!W160="ceiling mount",'Proposed Lighting'!W160="wall switch",'Proposed Lighting'!W160="fixture mount (on exisiting equip)",'Proposed Lighting'!W160="daylight harvesting (on existing equip)")),0,
IF('Proposed Lighting'!AF160=1,IF(P463=0,0,J463*O463*(L463*(1-P463))),IF('Proposed Lighting'!AU160=1,0,'Proposed Lighting'!AX160-'Proposed Lighting'!AY160))))</f>
        <v>0</v>
      </c>
      <c r="R463" s="646">
        <f>IF('Proposed Lighting'!T160="Non-standard (provide description",0,
IF(AND(E463="Non-standard control",'Proposed Lighting'!AU160=2),Q463*0.1,
IF(AND(E463="Non-standard control",'Proposed Lighting'!AU160=3),Q463*0.08,
IF('Proposed Lighting'!EF160=0,0,IF('Proposed Lighting'!AU160=1,0,
IF(AND('Data Entry'!$AF$23="ID",'Proposed Lighting'!T160="Lighting controls only"),VLOOKUP(E463,'Proposed Lighting'!$DO$97:$DP$106,2,FALSE),
IF(AND('Data Entry'!$AF$23="OR",'Proposed Lighting'!AU160=3,'Proposed Lighting'!T160="Lighting controls only"),VLOOKUP(E463,'Proposed Lighting'!$DO$127:$DP$134,2,FALSE),0)))))))*J463</f>
        <v>0</v>
      </c>
      <c r="S463" s="646">
        <f>IF(Q463&lt;0.01,0,IF('Proposed Lighting'!AK160&gt;0,'Proposed Lighting'!AK160*'Proposed Lighting'!EF160,0))</f>
        <v>0</v>
      </c>
      <c r="T463" s="647">
        <f t="shared" si="104"/>
        <v>0</v>
      </c>
      <c r="U463" s="648"/>
      <c r="V463" s="646">
        <f t="shared" si="107"/>
        <v>0</v>
      </c>
      <c r="W463" s="646">
        <f t="shared" si="108"/>
        <v>0</v>
      </c>
      <c r="X463" s="646">
        <f t="shared" si="109"/>
        <v>0</v>
      </c>
      <c r="Y463" s="646"/>
      <c r="Z463" s="646"/>
      <c r="AA463" s="646"/>
      <c r="AB463" s="646">
        <f t="shared" si="110"/>
        <v>0</v>
      </c>
      <c r="AC463" s="649" t="str">
        <f t="shared" si="111"/>
        <v/>
      </c>
      <c r="AD463" s="649" t="str">
        <f t="shared" si="112"/>
        <v/>
      </c>
      <c r="AE463" s="649" t="str">
        <f t="shared" si="113"/>
        <v/>
      </c>
      <c r="AF463" s="72"/>
      <c r="AG463" s="644">
        <f>IFERROR(IF($AV463="No",0,IF($AV463="yes",Summary!Q463,"")),"")</f>
        <v>0</v>
      </c>
      <c r="AH463" s="646">
        <f>IFERROR(IF($AV463="No",0,IF($AV463="yes",Summary!R463,"")),"")</f>
        <v>0</v>
      </c>
      <c r="AI463" s="646">
        <f>IFERROR(IF($AV463="No",0,IF($AV463="yes",Summary!S463,"")),"")</f>
        <v>0</v>
      </c>
      <c r="AJ463" s="647">
        <f>IFERROR(IF($AV463="No",0,IF($AV463="yes",Summary!T463,"")),"")</f>
        <v>0</v>
      </c>
      <c r="AK463" s="648">
        <f>IFERROR(IF($AV463="No",0,IF($AV463="yes",Summary!U463,"")),"")</f>
        <v>0</v>
      </c>
      <c r="AL463" s="646">
        <f>IFERROR(IF($AV463="No",0,IF($AV463="yes",Summary!V463,"")),"")</f>
        <v>0</v>
      </c>
      <c r="AM463" s="646">
        <f>IFERROR(IF($AV463="No",0,IF($AV463="yes",Summary!W463,"")),"")</f>
        <v>0</v>
      </c>
      <c r="AN463" s="646">
        <f>IFERROR(IF($AV463="No",0,IF($AV463="yes",Summary!X463,"")),"")</f>
        <v>0</v>
      </c>
      <c r="AO463" s="646">
        <f>IFERROR(IF($AV463="No",0,IF($AV463="yes",Summary!Y463+Z463,"")),"")</f>
        <v>0</v>
      </c>
      <c r="AP463" s="646">
        <f>IFERROR(IF($AV463="No",0,IF($AV463="yes",Summary!AB463,"")),"")</f>
        <v>0</v>
      </c>
      <c r="AQ463" s="649" t="str">
        <f t="shared" si="101"/>
        <v/>
      </c>
      <c r="AR463" s="649" t="str">
        <f t="shared" si="105"/>
        <v/>
      </c>
      <c r="AS463" s="649" t="str">
        <f t="shared" si="102"/>
        <v/>
      </c>
      <c r="AT463" s="641" t="s">
        <v>937</v>
      </c>
      <c r="AV463" t="str">
        <f>IF('Proposed Lighting'!AK160&gt;0,"No","Yes")</f>
        <v>Yes</v>
      </c>
    </row>
    <row r="464" spans="1:48" ht="34.5" customHeight="1" outlineLevel="1">
      <c r="A464" s="641" t="s">
        <v>938</v>
      </c>
      <c r="B464" s="641" t="str">
        <f>IF('Proposed Lighting'!AU161=3,"Commercial-All Com-ExtLight",IF('Proposed Lighting'!AH161&gt;8759,"IPC_8760","Commercial-All Com-IntLight"))</f>
        <v>IPC_8760</v>
      </c>
      <c r="C464" s="641" t="str">
        <f>IF(OR(E464="",E464=0),"No",
IF(AND('Data Entry'!$AF$23="OR",AE464&lt;1),"No",
IF(AND('Data Entry'!$AF$23="ID",E464="Non-standard lighting control system",AD464&lt;1),"No",
IF(AND('Data Entry'!$AF$23="OR",'Proposed Lighting'!F161="Existing LED (Provide Description)",'Proposed Lighting'!AK161=""),"No",
IF('Proposed Lighting'!DD161="Submit Control as Non-Standard","No",
IF(AND('Proposed Lighting'!T161="Non-Standard (Provide Description)",AD464&lt;1),"No",
IF('Proposed Lighting'!AW161&lt;'Proposed Lighting'!AZ161,"No","Yes")))))))</f>
        <v>No</v>
      </c>
      <c r="D464" s="1604">
        <f>'Proposed Lighting'!BQ161-Q464</f>
        <v>0</v>
      </c>
      <c r="E464" s="642" t="str">
        <f>IF('Proposed Lighting'!W161="","",'Proposed Lighting'!W161)</f>
        <v/>
      </c>
      <c r="F464" s="642"/>
      <c r="G464" s="641" t="s">
        <v>786</v>
      </c>
      <c r="H464" s="643">
        <v>10</v>
      </c>
      <c r="I464" s="644">
        <v>1</v>
      </c>
      <c r="J464" s="723">
        <f>IF('Proposed Lighting'!EF161=0,'Proposed Lighting'!AA161,'Proposed Lighting'!EF161)</f>
        <v>0</v>
      </c>
      <c r="K464" s="643" t="str">
        <f>'Proposed Lighting'!CU161</f>
        <v/>
      </c>
      <c r="L464" s="643" t="str">
        <f t="shared" si="103"/>
        <v/>
      </c>
      <c r="M464" s="645">
        <f t="shared" si="106"/>
        <v>0</v>
      </c>
      <c r="N464" s="645"/>
      <c r="O464" s="722">
        <f>IFERROR('Proposed Lighting'!AC161/1000,0)</f>
        <v>0</v>
      </c>
      <c r="P464" s="644">
        <f>'Proposed Lighting'!AV161</f>
        <v>0</v>
      </c>
      <c r="Q464" s="644">
        <f>IF(AND('Proposed Lighting'!T161="Lighting Controls Only",'Data Entry'!$AF$23="OR",'Proposed Lighting'!AU161=2),0,
IF(AND('Proposed Lighting'!T161="Lighting Controls Only",'Data Entry'!$AF$23="OR",'Proposed Lighting'!AU161=3,OR('Proposed Lighting'!W161="ceiling mount",'Proposed Lighting'!W161="wall switch",'Proposed Lighting'!W161="fixture mount (on exisiting equip)",'Proposed Lighting'!W161="daylight harvesting (on existing equip)")),0,
IF('Proposed Lighting'!AF161=1,IF(P464=0,0,J464*O464*(L464*(1-P464))),IF('Proposed Lighting'!AU161=1,0,'Proposed Lighting'!AX161-'Proposed Lighting'!AY161))))</f>
        <v>0</v>
      </c>
      <c r="R464" s="646">
        <f>IF('Proposed Lighting'!T161="Non-standard (provide description",0,
IF(AND(E464="Non-standard control",'Proposed Lighting'!AU161=2),Q464*0.1,
IF(AND(E464="Non-standard control",'Proposed Lighting'!AU161=3),Q464*0.08,
IF('Proposed Lighting'!EF161=0,0,IF('Proposed Lighting'!AU161=1,0,
IF(AND('Data Entry'!$AF$23="ID",'Proposed Lighting'!T161="Lighting controls only"),VLOOKUP(E464,'Proposed Lighting'!$DO$97:$DP$106,2,FALSE),
IF(AND('Data Entry'!$AF$23="OR",'Proposed Lighting'!AU161=3,'Proposed Lighting'!T161="Lighting controls only"),VLOOKUP(E464,'Proposed Lighting'!$DO$127:$DP$134,2,FALSE),0)))))))*J464</f>
        <v>0</v>
      </c>
      <c r="S464" s="646">
        <f>IF(Q464&lt;0.01,0,IF('Proposed Lighting'!AK161&gt;0,'Proposed Lighting'!AK161*'Proposed Lighting'!EF161,0))</f>
        <v>0</v>
      </c>
      <c r="T464" s="647">
        <f t="shared" si="104"/>
        <v>0</v>
      </c>
      <c r="U464" s="648"/>
      <c r="V464" s="646">
        <f t="shared" si="107"/>
        <v>0</v>
      </c>
      <c r="W464" s="646">
        <f t="shared" si="108"/>
        <v>0</v>
      </c>
      <c r="X464" s="646">
        <f t="shared" si="109"/>
        <v>0</v>
      </c>
      <c r="Y464" s="646"/>
      <c r="Z464" s="646"/>
      <c r="AA464" s="646"/>
      <c r="AB464" s="646">
        <f t="shared" si="110"/>
        <v>0</v>
      </c>
      <c r="AC464" s="649" t="str">
        <f t="shared" si="111"/>
        <v/>
      </c>
      <c r="AD464" s="649" t="str">
        <f t="shared" si="112"/>
        <v/>
      </c>
      <c r="AE464" s="649" t="str">
        <f t="shared" si="113"/>
        <v/>
      </c>
      <c r="AF464" s="72"/>
      <c r="AG464" s="644">
        <f>IFERROR(IF($AV464="No",0,IF($AV464="yes",Summary!Q464,"")),"")</f>
        <v>0</v>
      </c>
      <c r="AH464" s="646">
        <f>IFERROR(IF($AV464="No",0,IF($AV464="yes",Summary!R464,"")),"")</f>
        <v>0</v>
      </c>
      <c r="AI464" s="646">
        <f>IFERROR(IF($AV464="No",0,IF($AV464="yes",Summary!S464,"")),"")</f>
        <v>0</v>
      </c>
      <c r="AJ464" s="647">
        <f>IFERROR(IF($AV464="No",0,IF($AV464="yes",Summary!T464,"")),"")</f>
        <v>0</v>
      </c>
      <c r="AK464" s="648">
        <f>IFERROR(IF($AV464="No",0,IF($AV464="yes",Summary!U464,"")),"")</f>
        <v>0</v>
      </c>
      <c r="AL464" s="646">
        <f>IFERROR(IF($AV464="No",0,IF($AV464="yes",Summary!V464,"")),"")</f>
        <v>0</v>
      </c>
      <c r="AM464" s="646">
        <f>IFERROR(IF($AV464="No",0,IF($AV464="yes",Summary!W464,"")),"")</f>
        <v>0</v>
      </c>
      <c r="AN464" s="646">
        <f>IFERROR(IF($AV464="No",0,IF($AV464="yes",Summary!X464,"")),"")</f>
        <v>0</v>
      </c>
      <c r="AO464" s="646">
        <f>IFERROR(IF($AV464="No",0,IF($AV464="yes",Summary!Y464+Z464,"")),"")</f>
        <v>0</v>
      </c>
      <c r="AP464" s="646">
        <f>IFERROR(IF($AV464="No",0,IF($AV464="yes",Summary!AB464,"")),"")</f>
        <v>0</v>
      </c>
      <c r="AQ464" s="649" t="str">
        <f t="shared" si="101"/>
        <v/>
      </c>
      <c r="AR464" s="649" t="str">
        <f t="shared" si="105"/>
        <v/>
      </c>
      <c r="AS464" s="649" t="str">
        <f t="shared" si="102"/>
        <v/>
      </c>
      <c r="AT464" s="641" t="s">
        <v>938</v>
      </c>
      <c r="AV464" t="str">
        <f>IF('Proposed Lighting'!AK161&gt;0,"No","Yes")</f>
        <v>Yes</v>
      </c>
    </row>
    <row r="465" spans="1:48" ht="34.5" customHeight="1" outlineLevel="1">
      <c r="A465" s="641" t="s">
        <v>939</v>
      </c>
      <c r="B465" s="641" t="str">
        <f>IF('Proposed Lighting'!AU162=3,"Commercial-All Com-ExtLight",IF('Proposed Lighting'!AH162&gt;8759,"IPC_8760","Commercial-All Com-IntLight"))</f>
        <v>IPC_8760</v>
      </c>
      <c r="C465" s="641" t="str">
        <f>IF(OR(E465="",E465=0),"No",
IF(AND('Data Entry'!$AF$23="OR",AE465&lt;1),"No",
IF(AND('Data Entry'!$AF$23="ID",E465="Non-standard lighting control system",AD465&lt;1),"No",
IF(AND('Data Entry'!$AF$23="OR",'Proposed Lighting'!F162="Existing LED (Provide Description)",'Proposed Lighting'!AK162=""),"No",
IF('Proposed Lighting'!DD162="Submit Control as Non-Standard","No",
IF(AND('Proposed Lighting'!T162="Non-Standard (Provide Description)",AD465&lt;1),"No",
IF('Proposed Lighting'!AW162&lt;'Proposed Lighting'!AZ162,"No","Yes")))))))</f>
        <v>No</v>
      </c>
      <c r="D465" s="1604">
        <f>'Proposed Lighting'!BQ162-Q465</f>
        <v>0</v>
      </c>
      <c r="E465" s="642" t="str">
        <f>IF('Proposed Lighting'!W162="","",'Proposed Lighting'!W162)</f>
        <v/>
      </c>
      <c r="F465" s="642"/>
      <c r="G465" s="641" t="s">
        <v>786</v>
      </c>
      <c r="H465" s="643">
        <v>10</v>
      </c>
      <c r="I465" s="644">
        <v>1</v>
      </c>
      <c r="J465" s="723">
        <f>IF('Proposed Lighting'!EF162=0,'Proposed Lighting'!AA162,'Proposed Lighting'!EF162)</f>
        <v>0</v>
      </c>
      <c r="K465" s="643" t="str">
        <f>'Proposed Lighting'!CU162</f>
        <v/>
      </c>
      <c r="L465" s="643" t="str">
        <f t="shared" si="103"/>
        <v/>
      </c>
      <c r="M465" s="645">
        <f t="shared" si="106"/>
        <v>0</v>
      </c>
      <c r="N465" s="645"/>
      <c r="O465" s="722">
        <f>IFERROR('Proposed Lighting'!AC162/1000,0)</f>
        <v>0</v>
      </c>
      <c r="P465" s="644">
        <f>'Proposed Lighting'!AV162</f>
        <v>0</v>
      </c>
      <c r="Q465" s="644">
        <f>IF(AND('Proposed Lighting'!T162="Lighting Controls Only",'Data Entry'!$AF$23="OR",'Proposed Lighting'!AU162=2),0,
IF(AND('Proposed Lighting'!T162="Lighting Controls Only",'Data Entry'!$AF$23="OR",'Proposed Lighting'!AU162=3,OR('Proposed Lighting'!W162="ceiling mount",'Proposed Lighting'!W162="wall switch",'Proposed Lighting'!W162="fixture mount (on exisiting equip)",'Proposed Lighting'!W162="daylight harvesting (on existing equip)")),0,
IF('Proposed Lighting'!AF162=1,IF(P465=0,0,J465*O465*(L465*(1-P465))),IF('Proposed Lighting'!AU162=1,0,'Proposed Lighting'!AX162-'Proposed Lighting'!AY162))))</f>
        <v>0</v>
      </c>
      <c r="R465" s="646">
        <f>IF('Proposed Lighting'!T162="Non-standard (provide description",0,
IF(AND(E465="Non-standard control",'Proposed Lighting'!AU162=2),Q465*0.1,
IF(AND(E465="Non-standard control",'Proposed Lighting'!AU162=3),Q465*0.08,
IF('Proposed Lighting'!EF162=0,0,IF('Proposed Lighting'!AU162=1,0,
IF(AND('Data Entry'!$AF$23="ID",'Proposed Lighting'!T162="Lighting controls only"),VLOOKUP(E465,'Proposed Lighting'!$DO$97:$DP$106,2,FALSE),
IF(AND('Data Entry'!$AF$23="OR",'Proposed Lighting'!AU162=3,'Proposed Lighting'!T162="Lighting controls only"),VLOOKUP(E465,'Proposed Lighting'!$DO$127:$DP$134,2,FALSE),0)))))))*J465</f>
        <v>0</v>
      </c>
      <c r="S465" s="646">
        <f>IF(Q465&lt;0.01,0,IF('Proposed Lighting'!AK162&gt;0,'Proposed Lighting'!AK162*'Proposed Lighting'!EF162,0))</f>
        <v>0</v>
      </c>
      <c r="T465" s="647">
        <f t="shared" si="104"/>
        <v>0</v>
      </c>
      <c r="U465" s="648"/>
      <c r="V465" s="646">
        <f t="shared" si="107"/>
        <v>0</v>
      </c>
      <c r="W465" s="646">
        <f t="shared" si="108"/>
        <v>0</v>
      </c>
      <c r="X465" s="646">
        <f t="shared" si="109"/>
        <v>0</v>
      </c>
      <c r="Y465" s="646"/>
      <c r="Z465" s="646"/>
      <c r="AA465" s="646"/>
      <c r="AB465" s="646">
        <f t="shared" si="110"/>
        <v>0</v>
      </c>
      <c r="AC465" s="649" t="str">
        <f t="shared" si="111"/>
        <v/>
      </c>
      <c r="AD465" s="649" t="str">
        <f t="shared" si="112"/>
        <v/>
      </c>
      <c r="AE465" s="649" t="str">
        <f t="shared" si="113"/>
        <v/>
      </c>
      <c r="AF465" s="72"/>
      <c r="AG465" s="644">
        <f>IFERROR(IF($AV465="No",0,IF($AV465="yes",Summary!Q465,"")),"")</f>
        <v>0</v>
      </c>
      <c r="AH465" s="646">
        <f>IFERROR(IF($AV465="No",0,IF($AV465="yes",Summary!R465,"")),"")</f>
        <v>0</v>
      </c>
      <c r="AI465" s="646">
        <f>IFERROR(IF($AV465="No",0,IF($AV465="yes",Summary!S465,"")),"")</f>
        <v>0</v>
      </c>
      <c r="AJ465" s="647">
        <f>IFERROR(IF($AV465="No",0,IF($AV465="yes",Summary!T465,"")),"")</f>
        <v>0</v>
      </c>
      <c r="AK465" s="648">
        <f>IFERROR(IF($AV465="No",0,IF($AV465="yes",Summary!U465,"")),"")</f>
        <v>0</v>
      </c>
      <c r="AL465" s="646">
        <f>IFERROR(IF($AV465="No",0,IF($AV465="yes",Summary!V465,"")),"")</f>
        <v>0</v>
      </c>
      <c r="AM465" s="646">
        <f>IFERROR(IF($AV465="No",0,IF($AV465="yes",Summary!W465,"")),"")</f>
        <v>0</v>
      </c>
      <c r="AN465" s="646">
        <f>IFERROR(IF($AV465="No",0,IF($AV465="yes",Summary!X465,"")),"")</f>
        <v>0</v>
      </c>
      <c r="AO465" s="646">
        <f>IFERROR(IF($AV465="No",0,IF($AV465="yes",Summary!Y465+Z465,"")),"")</f>
        <v>0</v>
      </c>
      <c r="AP465" s="646">
        <f>IFERROR(IF($AV465="No",0,IF($AV465="yes",Summary!AB465,"")),"")</f>
        <v>0</v>
      </c>
      <c r="AQ465" s="649" t="str">
        <f t="shared" si="101"/>
        <v/>
      </c>
      <c r="AR465" s="649" t="str">
        <f t="shared" si="105"/>
        <v/>
      </c>
      <c r="AS465" s="649" t="str">
        <f t="shared" si="102"/>
        <v/>
      </c>
      <c r="AT465" s="641" t="s">
        <v>939</v>
      </c>
      <c r="AV465" t="str">
        <f>IF('Proposed Lighting'!AK162&gt;0,"No","Yes")</f>
        <v>Yes</v>
      </c>
    </row>
    <row r="466" spans="1:48" ht="34.5" customHeight="1" outlineLevel="1">
      <c r="A466" s="641" t="s">
        <v>940</v>
      </c>
      <c r="B466" s="641" t="str">
        <f>IF('Proposed Lighting'!AU163=3,"Commercial-All Com-ExtLight",IF('Proposed Lighting'!AH163&gt;8759,"IPC_8760","Commercial-All Com-IntLight"))</f>
        <v>IPC_8760</v>
      </c>
      <c r="C466" s="641" t="str">
        <f>IF(OR(E466="",E466=0),"No",
IF(AND('Data Entry'!$AF$23="OR",AE466&lt;1),"No",
IF(AND('Data Entry'!$AF$23="ID",E466="Non-standard lighting control system",AD466&lt;1),"No",
IF(AND('Data Entry'!$AF$23="OR",'Proposed Lighting'!F163="Existing LED (Provide Description)",'Proposed Lighting'!AK163=""),"No",
IF('Proposed Lighting'!DD163="Submit Control as Non-Standard","No",
IF(AND('Proposed Lighting'!T163="Non-Standard (Provide Description)",AD466&lt;1),"No",
IF('Proposed Lighting'!AW163&lt;'Proposed Lighting'!AZ163,"No","Yes")))))))</f>
        <v>No</v>
      </c>
      <c r="D466" s="1604">
        <f>'Proposed Lighting'!BQ163-Q466</f>
        <v>0</v>
      </c>
      <c r="E466" s="642" t="str">
        <f>IF('Proposed Lighting'!W163="","",'Proposed Lighting'!W163)</f>
        <v/>
      </c>
      <c r="F466" s="642"/>
      <c r="G466" s="641" t="s">
        <v>786</v>
      </c>
      <c r="H466" s="643">
        <v>10</v>
      </c>
      <c r="I466" s="644">
        <v>1</v>
      </c>
      <c r="J466" s="723">
        <f>IF('Proposed Lighting'!EF163=0,'Proposed Lighting'!AA163,'Proposed Lighting'!EF163)</f>
        <v>0</v>
      </c>
      <c r="K466" s="643" t="str">
        <f>'Proposed Lighting'!CU163</f>
        <v/>
      </c>
      <c r="L466" s="643" t="str">
        <f t="shared" si="103"/>
        <v/>
      </c>
      <c r="M466" s="645">
        <f t="shared" si="106"/>
        <v>0</v>
      </c>
      <c r="N466" s="645"/>
      <c r="O466" s="722">
        <f>IFERROR('Proposed Lighting'!AC163/1000,0)</f>
        <v>0</v>
      </c>
      <c r="P466" s="644">
        <f>'Proposed Lighting'!AV163</f>
        <v>0</v>
      </c>
      <c r="Q466" s="644">
        <f>IF(AND('Proposed Lighting'!T163="Lighting Controls Only",'Data Entry'!$AF$23="OR",'Proposed Lighting'!AU163=2),0,
IF(AND('Proposed Lighting'!T163="Lighting Controls Only",'Data Entry'!$AF$23="OR",'Proposed Lighting'!AU163=3,OR('Proposed Lighting'!W163="ceiling mount",'Proposed Lighting'!W163="wall switch",'Proposed Lighting'!W163="fixture mount (on exisiting equip)",'Proposed Lighting'!W163="daylight harvesting (on existing equip)")),0,
IF('Proposed Lighting'!AF163=1,IF(P466=0,0,J466*O466*(L466*(1-P466))),IF('Proposed Lighting'!AU163=1,0,'Proposed Lighting'!AX163-'Proposed Lighting'!AY163))))</f>
        <v>0</v>
      </c>
      <c r="R466" s="646">
        <f>IF('Proposed Lighting'!T163="Non-standard (provide description",0,
IF(AND(E466="Non-standard control",'Proposed Lighting'!AU163=2),Q466*0.1,
IF(AND(E466="Non-standard control",'Proposed Lighting'!AU163=3),Q466*0.08,
IF('Proposed Lighting'!EF163=0,0,IF('Proposed Lighting'!AU163=1,0,
IF(AND('Data Entry'!$AF$23="ID",'Proposed Lighting'!T163="Lighting controls only"),VLOOKUP(E466,'Proposed Lighting'!$DO$97:$DP$106,2,FALSE),
IF(AND('Data Entry'!$AF$23="OR",'Proposed Lighting'!AU163=3,'Proposed Lighting'!T163="Lighting controls only"),VLOOKUP(E466,'Proposed Lighting'!$DO$127:$DP$134,2,FALSE),0)))))))*J466</f>
        <v>0</v>
      </c>
      <c r="S466" s="646">
        <f>IF(Q466&lt;0.01,0,IF('Proposed Lighting'!AK163&gt;0,'Proposed Lighting'!AK163*'Proposed Lighting'!EF163,0))</f>
        <v>0</v>
      </c>
      <c r="T466" s="647">
        <f t="shared" si="104"/>
        <v>0</v>
      </c>
      <c r="U466" s="648"/>
      <c r="V466" s="646">
        <f t="shared" si="107"/>
        <v>0</v>
      </c>
      <c r="W466" s="646">
        <f t="shared" si="108"/>
        <v>0</v>
      </c>
      <c r="X466" s="646">
        <f t="shared" si="109"/>
        <v>0</v>
      </c>
      <c r="Y466" s="646"/>
      <c r="Z466" s="646"/>
      <c r="AA466" s="646"/>
      <c r="AB466" s="646">
        <f t="shared" si="110"/>
        <v>0</v>
      </c>
      <c r="AC466" s="649" t="str">
        <f t="shared" si="111"/>
        <v/>
      </c>
      <c r="AD466" s="649" t="str">
        <f t="shared" si="112"/>
        <v/>
      </c>
      <c r="AE466" s="649" t="str">
        <f t="shared" si="113"/>
        <v/>
      </c>
      <c r="AF466" s="72"/>
      <c r="AG466" s="644">
        <f>IFERROR(IF($AV466="No",0,IF($AV466="yes",Summary!Q466,"")),"")</f>
        <v>0</v>
      </c>
      <c r="AH466" s="646">
        <f>IFERROR(IF($AV466="No",0,IF($AV466="yes",Summary!R466,"")),"")</f>
        <v>0</v>
      </c>
      <c r="AI466" s="646">
        <f>IFERROR(IF($AV466="No",0,IF($AV466="yes",Summary!S466,"")),"")</f>
        <v>0</v>
      </c>
      <c r="AJ466" s="647">
        <f>IFERROR(IF($AV466="No",0,IF($AV466="yes",Summary!T466,"")),"")</f>
        <v>0</v>
      </c>
      <c r="AK466" s="648">
        <f>IFERROR(IF($AV466="No",0,IF($AV466="yes",Summary!U466,"")),"")</f>
        <v>0</v>
      </c>
      <c r="AL466" s="646">
        <f>IFERROR(IF($AV466="No",0,IF($AV466="yes",Summary!V466,"")),"")</f>
        <v>0</v>
      </c>
      <c r="AM466" s="646">
        <f>IFERROR(IF($AV466="No",0,IF($AV466="yes",Summary!W466,"")),"")</f>
        <v>0</v>
      </c>
      <c r="AN466" s="646">
        <f>IFERROR(IF($AV466="No",0,IF($AV466="yes",Summary!X466,"")),"")</f>
        <v>0</v>
      </c>
      <c r="AO466" s="646">
        <f>IFERROR(IF($AV466="No",0,IF($AV466="yes",Summary!Y466+Z466,"")),"")</f>
        <v>0</v>
      </c>
      <c r="AP466" s="646">
        <f>IFERROR(IF($AV466="No",0,IF($AV466="yes",Summary!AB466,"")),"")</f>
        <v>0</v>
      </c>
      <c r="AQ466" s="649" t="str">
        <f t="shared" si="101"/>
        <v/>
      </c>
      <c r="AR466" s="649" t="str">
        <f t="shared" si="105"/>
        <v/>
      </c>
      <c r="AS466" s="649" t="str">
        <f t="shared" si="102"/>
        <v/>
      </c>
      <c r="AT466" s="641" t="s">
        <v>940</v>
      </c>
      <c r="AV466" t="str">
        <f>IF('Proposed Lighting'!AK163&gt;0,"No","Yes")</f>
        <v>Yes</v>
      </c>
    </row>
    <row r="467" spans="1:48" ht="34.5" customHeight="1" outlineLevel="1">
      <c r="A467" s="641" t="s">
        <v>941</v>
      </c>
      <c r="B467" s="641" t="str">
        <f>IF('Proposed Lighting'!AU164=3,"Commercial-All Com-ExtLight",IF('Proposed Lighting'!AH164&gt;8759,"IPC_8760","Commercial-All Com-IntLight"))</f>
        <v>IPC_8760</v>
      </c>
      <c r="C467" s="641" t="str">
        <f>IF(OR(E467="",E467=0),"No",
IF(AND('Data Entry'!$AF$23="OR",AE467&lt;1),"No",
IF(AND('Data Entry'!$AF$23="ID",E467="Non-standard lighting control system",AD467&lt;1),"No",
IF(AND('Data Entry'!$AF$23="OR",'Proposed Lighting'!F164="Existing LED (Provide Description)",'Proposed Lighting'!AK164=""),"No",
IF('Proposed Lighting'!DD164="Submit Control as Non-Standard","No",
IF(AND('Proposed Lighting'!T164="Non-Standard (Provide Description)",AD467&lt;1),"No",
IF('Proposed Lighting'!AW164&lt;'Proposed Lighting'!AZ164,"No","Yes")))))))</f>
        <v>No</v>
      </c>
      <c r="D467" s="1604">
        <f>'Proposed Lighting'!BQ164-Q467</f>
        <v>0</v>
      </c>
      <c r="E467" s="642" t="str">
        <f>IF('Proposed Lighting'!W164="","",'Proposed Lighting'!W164)</f>
        <v/>
      </c>
      <c r="F467" s="642"/>
      <c r="G467" s="641" t="s">
        <v>786</v>
      </c>
      <c r="H467" s="643">
        <v>10</v>
      </c>
      <c r="I467" s="644">
        <v>1</v>
      </c>
      <c r="J467" s="723">
        <f>IF('Proposed Lighting'!EF164=0,'Proposed Lighting'!AA164,'Proposed Lighting'!EF164)</f>
        <v>0</v>
      </c>
      <c r="K467" s="643" t="str">
        <f>'Proposed Lighting'!CU164</f>
        <v/>
      </c>
      <c r="L467" s="643" t="str">
        <f t="shared" si="103"/>
        <v/>
      </c>
      <c r="M467" s="645">
        <f t="shared" si="106"/>
        <v>0</v>
      </c>
      <c r="N467" s="645"/>
      <c r="O467" s="722">
        <f>IFERROR('Proposed Lighting'!AC164/1000,0)</f>
        <v>0</v>
      </c>
      <c r="P467" s="644">
        <f>'Proposed Lighting'!AV164</f>
        <v>0</v>
      </c>
      <c r="Q467" s="644">
        <f>IF(AND('Proposed Lighting'!T164="Lighting Controls Only",'Data Entry'!$AF$23="OR",'Proposed Lighting'!AU164=2),0,
IF(AND('Proposed Lighting'!T164="Lighting Controls Only",'Data Entry'!$AF$23="OR",'Proposed Lighting'!AU164=3,OR('Proposed Lighting'!W164="ceiling mount",'Proposed Lighting'!W164="wall switch",'Proposed Lighting'!W164="fixture mount (on exisiting equip)",'Proposed Lighting'!W164="daylight harvesting (on existing equip)")),0,
IF('Proposed Lighting'!AF164=1,IF(P467=0,0,J467*O467*(L467*(1-P467))),IF('Proposed Lighting'!AU164=1,0,'Proposed Lighting'!AX164-'Proposed Lighting'!AY164))))</f>
        <v>0</v>
      </c>
      <c r="R467" s="646">
        <f>IF('Proposed Lighting'!T164="Non-standard (provide description",0,
IF(AND(E467="Non-standard control",'Proposed Lighting'!AU164=2),Q467*0.1,
IF(AND(E467="Non-standard control",'Proposed Lighting'!AU164=3),Q467*0.08,
IF('Proposed Lighting'!EF164=0,0,IF('Proposed Lighting'!AU164=1,0,
IF(AND('Data Entry'!$AF$23="ID",'Proposed Lighting'!T164="Lighting controls only"),VLOOKUP(E467,'Proposed Lighting'!$DO$97:$DP$106,2,FALSE),
IF(AND('Data Entry'!$AF$23="OR",'Proposed Lighting'!AU164=3,'Proposed Lighting'!T164="Lighting controls only"),VLOOKUP(E467,'Proposed Lighting'!$DO$127:$DP$134,2,FALSE),0)))))))*J467</f>
        <v>0</v>
      </c>
      <c r="S467" s="646">
        <f>IF(Q467&lt;0.01,0,IF('Proposed Lighting'!AK164&gt;0,'Proposed Lighting'!AK164*'Proposed Lighting'!EF164,0))</f>
        <v>0</v>
      </c>
      <c r="T467" s="647">
        <f t="shared" si="104"/>
        <v>0</v>
      </c>
      <c r="U467" s="648"/>
      <c r="V467" s="646">
        <f t="shared" si="107"/>
        <v>0</v>
      </c>
      <c r="W467" s="646">
        <f t="shared" si="108"/>
        <v>0</v>
      </c>
      <c r="X467" s="646">
        <f t="shared" si="109"/>
        <v>0</v>
      </c>
      <c r="Y467" s="646"/>
      <c r="Z467" s="646"/>
      <c r="AA467" s="646"/>
      <c r="AB467" s="646">
        <f t="shared" si="110"/>
        <v>0</v>
      </c>
      <c r="AC467" s="649" t="str">
        <f t="shared" si="111"/>
        <v/>
      </c>
      <c r="AD467" s="649" t="str">
        <f t="shared" si="112"/>
        <v/>
      </c>
      <c r="AE467" s="649" t="str">
        <f t="shared" si="113"/>
        <v/>
      </c>
      <c r="AF467" s="72"/>
      <c r="AG467" s="644">
        <f>IFERROR(IF($AV467="No",0,IF($AV467="yes",Summary!Q467,"")),"")</f>
        <v>0</v>
      </c>
      <c r="AH467" s="646">
        <f>IFERROR(IF($AV467="No",0,IF($AV467="yes",Summary!R467,"")),"")</f>
        <v>0</v>
      </c>
      <c r="AI467" s="646">
        <f>IFERROR(IF($AV467="No",0,IF($AV467="yes",Summary!S467,"")),"")</f>
        <v>0</v>
      </c>
      <c r="AJ467" s="647">
        <f>IFERROR(IF($AV467="No",0,IF($AV467="yes",Summary!T467,"")),"")</f>
        <v>0</v>
      </c>
      <c r="AK467" s="648">
        <f>IFERROR(IF($AV467="No",0,IF($AV467="yes",Summary!U467,"")),"")</f>
        <v>0</v>
      </c>
      <c r="AL467" s="646">
        <f>IFERROR(IF($AV467="No",0,IF($AV467="yes",Summary!V467,"")),"")</f>
        <v>0</v>
      </c>
      <c r="AM467" s="646">
        <f>IFERROR(IF($AV467="No",0,IF($AV467="yes",Summary!W467,"")),"")</f>
        <v>0</v>
      </c>
      <c r="AN467" s="646">
        <f>IFERROR(IF($AV467="No",0,IF($AV467="yes",Summary!X467,"")),"")</f>
        <v>0</v>
      </c>
      <c r="AO467" s="646">
        <f>IFERROR(IF($AV467="No",0,IF($AV467="yes",Summary!Y467+Z467,"")),"")</f>
        <v>0</v>
      </c>
      <c r="AP467" s="646">
        <f>IFERROR(IF($AV467="No",0,IF($AV467="yes",Summary!AB467,"")),"")</f>
        <v>0</v>
      </c>
      <c r="AQ467" s="649" t="str">
        <f t="shared" si="101"/>
        <v/>
      </c>
      <c r="AR467" s="649" t="str">
        <f t="shared" si="105"/>
        <v/>
      </c>
      <c r="AS467" s="649" t="str">
        <f t="shared" si="102"/>
        <v/>
      </c>
      <c r="AT467" s="641" t="s">
        <v>941</v>
      </c>
      <c r="AV467" t="str">
        <f>IF('Proposed Lighting'!AK164&gt;0,"No","Yes")</f>
        <v>Yes</v>
      </c>
    </row>
    <row r="468" spans="1:48" ht="34.5" customHeight="1" outlineLevel="1">
      <c r="A468" s="641" t="s">
        <v>942</v>
      </c>
      <c r="B468" s="641" t="str">
        <f>IF('Proposed Lighting'!AU165=3,"Commercial-All Com-ExtLight",IF('Proposed Lighting'!AH165&gt;8759,"IPC_8760","Commercial-All Com-IntLight"))</f>
        <v>IPC_8760</v>
      </c>
      <c r="C468" s="641" t="str">
        <f>IF(OR(E468="",E468=0),"No",
IF(AND('Data Entry'!$AF$23="OR",AE468&lt;1),"No",
IF(AND('Data Entry'!$AF$23="ID",E468="Non-standard lighting control system",AD468&lt;1),"No",
IF(AND('Data Entry'!$AF$23="OR",'Proposed Lighting'!F165="Existing LED (Provide Description)",'Proposed Lighting'!AK165=""),"No",
IF('Proposed Lighting'!DD165="Submit Control as Non-Standard","No",
IF(AND('Proposed Lighting'!T165="Non-Standard (Provide Description)",AD468&lt;1),"No",
IF('Proposed Lighting'!AW165&lt;'Proposed Lighting'!AZ165,"No","Yes")))))))</f>
        <v>No</v>
      </c>
      <c r="D468" s="1604">
        <f>'Proposed Lighting'!BQ165-Q468</f>
        <v>0</v>
      </c>
      <c r="E468" s="642" t="str">
        <f>IF('Proposed Lighting'!W165="","",'Proposed Lighting'!W165)</f>
        <v/>
      </c>
      <c r="F468" s="642"/>
      <c r="G468" s="641" t="s">
        <v>786</v>
      </c>
      <c r="H468" s="643">
        <v>10</v>
      </c>
      <c r="I468" s="644">
        <v>1</v>
      </c>
      <c r="J468" s="723">
        <f>IF('Proposed Lighting'!EF165=0,'Proposed Lighting'!AA165,'Proposed Lighting'!EF165)</f>
        <v>0</v>
      </c>
      <c r="K468" s="643" t="str">
        <f>'Proposed Lighting'!CU165</f>
        <v/>
      </c>
      <c r="L468" s="643" t="str">
        <f t="shared" si="103"/>
        <v/>
      </c>
      <c r="M468" s="645">
        <f t="shared" si="106"/>
        <v>0</v>
      </c>
      <c r="N468" s="645"/>
      <c r="O468" s="722">
        <f>IFERROR('Proposed Lighting'!AC165/1000,0)</f>
        <v>0</v>
      </c>
      <c r="P468" s="644">
        <f>'Proposed Lighting'!AV165</f>
        <v>0</v>
      </c>
      <c r="Q468" s="644">
        <f>IF(AND('Proposed Lighting'!T165="Lighting Controls Only",'Data Entry'!$AF$23="OR",'Proposed Lighting'!AU165=2),0,
IF(AND('Proposed Lighting'!T165="Lighting Controls Only",'Data Entry'!$AF$23="OR",'Proposed Lighting'!AU165=3,OR('Proposed Lighting'!W165="ceiling mount",'Proposed Lighting'!W165="wall switch",'Proposed Lighting'!W165="fixture mount (on exisiting equip)",'Proposed Lighting'!W165="daylight harvesting (on existing equip)")),0,
IF('Proposed Lighting'!AF165=1,IF(P468=0,0,J468*O468*(L468*(1-P468))),IF('Proposed Lighting'!AU165=1,0,'Proposed Lighting'!AX165-'Proposed Lighting'!AY165))))</f>
        <v>0</v>
      </c>
      <c r="R468" s="646">
        <f>IF('Proposed Lighting'!T165="Non-standard (provide description",0,
IF(AND(E468="Non-standard control",'Proposed Lighting'!AU165=2),Q468*0.1,
IF(AND(E468="Non-standard control",'Proposed Lighting'!AU165=3),Q468*0.08,
IF('Proposed Lighting'!EF165=0,0,IF('Proposed Lighting'!AU165=1,0,
IF(AND('Data Entry'!$AF$23="ID",'Proposed Lighting'!T165="Lighting controls only"),VLOOKUP(E468,'Proposed Lighting'!$DO$97:$DP$106,2,FALSE),
IF(AND('Data Entry'!$AF$23="OR",'Proposed Lighting'!AU165=3,'Proposed Lighting'!T165="Lighting controls only"),VLOOKUP(E468,'Proposed Lighting'!$DO$127:$DP$134,2,FALSE),0)))))))*J468</f>
        <v>0</v>
      </c>
      <c r="S468" s="646">
        <f>IF(Q468&lt;0.01,0,IF('Proposed Lighting'!AK165&gt;0,'Proposed Lighting'!AK165*'Proposed Lighting'!EF165,0))</f>
        <v>0</v>
      </c>
      <c r="T468" s="647">
        <f t="shared" si="104"/>
        <v>0</v>
      </c>
      <c r="U468" s="648"/>
      <c r="V468" s="646">
        <f t="shared" si="107"/>
        <v>0</v>
      </c>
      <c r="W468" s="646">
        <f t="shared" si="108"/>
        <v>0</v>
      </c>
      <c r="X468" s="646">
        <f t="shared" si="109"/>
        <v>0</v>
      </c>
      <c r="Y468" s="646"/>
      <c r="Z468" s="646"/>
      <c r="AA468" s="646"/>
      <c r="AB468" s="646">
        <f t="shared" si="110"/>
        <v>0</v>
      </c>
      <c r="AC468" s="649" t="str">
        <f t="shared" si="111"/>
        <v/>
      </c>
      <c r="AD468" s="649" t="str">
        <f t="shared" si="112"/>
        <v/>
      </c>
      <c r="AE468" s="649" t="str">
        <f t="shared" si="113"/>
        <v/>
      </c>
      <c r="AF468" s="72"/>
      <c r="AG468" s="644">
        <f>IFERROR(IF($AV468="No",0,IF($AV468="yes",Summary!Q468,"")),"")</f>
        <v>0</v>
      </c>
      <c r="AH468" s="646">
        <f>IFERROR(IF($AV468="No",0,IF($AV468="yes",Summary!R468,"")),"")</f>
        <v>0</v>
      </c>
      <c r="AI468" s="646">
        <f>IFERROR(IF($AV468="No",0,IF($AV468="yes",Summary!S468,"")),"")</f>
        <v>0</v>
      </c>
      <c r="AJ468" s="647">
        <f>IFERROR(IF($AV468="No",0,IF($AV468="yes",Summary!T468,"")),"")</f>
        <v>0</v>
      </c>
      <c r="AK468" s="648">
        <f>IFERROR(IF($AV468="No",0,IF($AV468="yes",Summary!U468,"")),"")</f>
        <v>0</v>
      </c>
      <c r="AL468" s="646">
        <f>IFERROR(IF($AV468="No",0,IF($AV468="yes",Summary!V468,"")),"")</f>
        <v>0</v>
      </c>
      <c r="AM468" s="646">
        <f>IFERROR(IF($AV468="No",0,IF($AV468="yes",Summary!W468,"")),"")</f>
        <v>0</v>
      </c>
      <c r="AN468" s="646">
        <f>IFERROR(IF($AV468="No",0,IF($AV468="yes",Summary!X468,"")),"")</f>
        <v>0</v>
      </c>
      <c r="AO468" s="646">
        <f>IFERROR(IF($AV468="No",0,IF($AV468="yes",Summary!Y468+Z468,"")),"")</f>
        <v>0</v>
      </c>
      <c r="AP468" s="646">
        <f>IFERROR(IF($AV468="No",0,IF($AV468="yes",Summary!AB468,"")),"")</f>
        <v>0</v>
      </c>
      <c r="AQ468" s="649" t="str">
        <f t="shared" si="101"/>
        <v/>
      </c>
      <c r="AR468" s="649" t="str">
        <f t="shared" si="105"/>
        <v/>
      </c>
      <c r="AS468" s="649" t="str">
        <f t="shared" si="102"/>
        <v/>
      </c>
      <c r="AT468" s="641" t="s">
        <v>942</v>
      </c>
      <c r="AV468" t="str">
        <f>IF('Proposed Lighting'!AK165&gt;0,"No","Yes")</f>
        <v>Yes</v>
      </c>
    </row>
    <row r="469" spans="1:48" ht="34.5" customHeight="1" outlineLevel="1">
      <c r="A469" s="641" t="s">
        <v>943</v>
      </c>
      <c r="B469" s="641" t="str">
        <f>IF('Proposed Lighting'!AU166=3,"Commercial-All Com-ExtLight",IF('Proposed Lighting'!AH166&gt;8759,"IPC_8760","Commercial-All Com-IntLight"))</f>
        <v>IPC_8760</v>
      </c>
      <c r="C469" s="641" t="str">
        <f>IF(OR(E469="",E469=0),"No",
IF(AND('Data Entry'!$AF$23="OR",AE469&lt;1),"No",
IF(AND('Data Entry'!$AF$23="ID",E469="Non-standard lighting control system",AD469&lt;1),"No",
IF(AND('Data Entry'!$AF$23="OR",'Proposed Lighting'!F166="Existing LED (Provide Description)",'Proposed Lighting'!AK166=""),"No",
IF('Proposed Lighting'!DD166="Submit Control as Non-Standard","No",
IF(AND('Proposed Lighting'!T166="Non-Standard (Provide Description)",AD469&lt;1),"No",
IF('Proposed Lighting'!AW166&lt;'Proposed Lighting'!AZ166,"No","Yes")))))))</f>
        <v>No</v>
      </c>
      <c r="D469" s="1604">
        <f>'Proposed Lighting'!BQ166-Q469</f>
        <v>0</v>
      </c>
      <c r="E469" s="642" t="str">
        <f>IF('Proposed Lighting'!W166="","",'Proposed Lighting'!W166)</f>
        <v/>
      </c>
      <c r="F469" s="642"/>
      <c r="G469" s="641" t="s">
        <v>786</v>
      </c>
      <c r="H469" s="643">
        <v>10</v>
      </c>
      <c r="I469" s="644">
        <v>1</v>
      </c>
      <c r="J469" s="723">
        <f>IF('Proposed Lighting'!EF166=0,'Proposed Lighting'!AA166,'Proposed Lighting'!EF166)</f>
        <v>0</v>
      </c>
      <c r="K469" s="643" t="str">
        <f>'Proposed Lighting'!CU166</f>
        <v/>
      </c>
      <c r="L469" s="643" t="str">
        <f t="shared" si="103"/>
        <v/>
      </c>
      <c r="M469" s="645">
        <f t="shared" si="106"/>
        <v>0</v>
      </c>
      <c r="N469" s="645"/>
      <c r="O469" s="722">
        <f>IFERROR('Proposed Lighting'!AC166/1000,0)</f>
        <v>0</v>
      </c>
      <c r="P469" s="644">
        <f>'Proposed Lighting'!AV166</f>
        <v>0</v>
      </c>
      <c r="Q469" s="644">
        <f>IF(AND('Proposed Lighting'!T166="Lighting Controls Only",'Data Entry'!$AF$23="OR",'Proposed Lighting'!AU166=2),0,
IF(AND('Proposed Lighting'!T166="Lighting Controls Only",'Data Entry'!$AF$23="OR",'Proposed Lighting'!AU166=3,OR('Proposed Lighting'!W166="ceiling mount",'Proposed Lighting'!W166="wall switch",'Proposed Lighting'!W166="fixture mount (on exisiting equip)",'Proposed Lighting'!W166="daylight harvesting (on existing equip)")),0,
IF('Proposed Lighting'!AF166=1,IF(P469=0,0,J469*O469*(L469*(1-P469))),IF('Proposed Lighting'!AU166=1,0,'Proposed Lighting'!AX166-'Proposed Lighting'!AY166))))</f>
        <v>0</v>
      </c>
      <c r="R469" s="646">
        <f>IF('Proposed Lighting'!T166="Non-standard (provide description",0,
IF(AND(E469="Non-standard control",'Proposed Lighting'!AU166=2),Q469*0.1,
IF(AND(E469="Non-standard control",'Proposed Lighting'!AU166=3),Q469*0.08,
IF('Proposed Lighting'!EF166=0,0,IF('Proposed Lighting'!AU166=1,0,
IF(AND('Data Entry'!$AF$23="ID",'Proposed Lighting'!T166="Lighting controls only"),VLOOKUP(E469,'Proposed Lighting'!$DO$97:$DP$106,2,FALSE),
IF(AND('Data Entry'!$AF$23="OR",'Proposed Lighting'!AU166=3,'Proposed Lighting'!T166="Lighting controls only"),VLOOKUP(E469,'Proposed Lighting'!$DO$127:$DP$134,2,FALSE),0)))))))*J469</f>
        <v>0</v>
      </c>
      <c r="S469" s="646">
        <f>IF(Q469&lt;0.01,0,IF('Proposed Lighting'!AK166&gt;0,'Proposed Lighting'!AK166*'Proposed Lighting'!EF166,0))</f>
        <v>0</v>
      </c>
      <c r="T469" s="647">
        <f t="shared" si="104"/>
        <v>0</v>
      </c>
      <c r="U469" s="648"/>
      <c r="V469" s="646">
        <f t="shared" si="107"/>
        <v>0</v>
      </c>
      <c r="W469" s="646">
        <f t="shared" si="108"/>
        <v>0</v>
      </c>
      <c r="X469" s="646">
        <f t="shared" si="109"/>
        <v>0</v>
      </c>
      <c r="Y469" s="646"/>
      <c r="Z469" s="646"/>
      <c r="AA469" s="646"/>
      <c r="AB469" s="646">
        <f t="shared" si="110"/>
        <v>0</v>
      </c>
      <c r="AC469" s="649" t="str">
        <f t="shared" si="111"/>
        <v/>
      </c>
      <c r="AD469" s="649" t="str">
        <f t="shared" si="112"/>
        <v/>
      </c>
      <c r="AE469" s="649" t="str">
        <f t="shared" si="113"/>
        <v/>
      </c>
      <c r="AF469" s="72"/>
      <c r="AG469" s="644">
        <f>IFERROR(IF($AV469="No",0,IF($AV469="yes",Summary!Q469,"")),"")</f>
        <v>0</v>
      </c>
      <c r="AH469" s="646">
        <f>IFERROR(IF($AV469="No",0,IF($AV469="yes",Summary!R469,"")),"")</f>
        <v>0</v>
      </c>
      <c r="AI469" s="646">
        <f>IFERROR(IF($AV469="No",0,IF($AV469="yes",Summary!S469,"")),"")</f>
        <v>0</v>
      </c>
      <c r="AJ469" s="647">
        <f>IFERROR(IF($AV469="No",0,IF($AV469="yes",Summary!T469,"")),"")</f>
        <v>0</v>
      </c>
      <c r="AK469" s="648">
        <f>IFERROR(IF($AV469="No",0,IF($AV469="yes",Summary!U469,"")),"")</f>
        <v>0</v>
      </c>
      <c r="AL469" s="646">
        <f>IFERROR(IF($AV469="No",0,IF($AV469="yes",Summary!V469,"")),"")</f>
        <v>0</v>
      </c>
      <c r="AM469" s="646">
        <f>IFERROR(IF($AV469="No",0,IF($AV469="yes",Summary!W469,"")),"")</f>
        <v>0</v>
      </c>
      <c r="AN469" s="646">
        <f>IFERROR(IF($AV469="No",0,IF($AV469="yes",Summary!X469,"")),"")</f>
        <v>0</v>
      </c>
      <c r="AO469" s="646">
        <f>IFERROR(IF($AV469="No",0,IF($AV469="yes",Summary!Y469+Z469,"")),"")</f>
        <v>0</v>
      </c>
      <c r="AP469" s="646">
        <f>IFERROR(IF($AV469="No",0,IF($AV469="yes",Summary!AB469,"")),"")</f>
        <v>0</v>
      </c>
      <c r="AQ469" s="649" t="str">
        <f t="shared" si="101"/>
        <v/>
      </c>
      <c r="AR469" s="649" t="str">
        <f t="shared" si="105"/>
        <v/>
      </c>
      <c r="AS469" s="649" t="str">
        <f t="shared" si="102"/>
        <v/>
      </c>
      <c r="AT469" s="641" t="s">
        <v>943</v>
      </c>
      <c r="AV469" t="str">
        <f>IF('Proposed Lighting'!AK166&gt;0,"No","Yes")</f>
        <v>Yes</v>
      </c>
    </row>
    <row r="470" spans="1:48" ht="34.5" customHeight="1" outlineLevel="1">
      <c r="A470" s="641" t="s">
        <v>944</v>
      </c>
      <c r="B470" s="641" t="str">
        <f>IF('Proposed Lighting'!AU167=3,"Commercial-All Com-ExtLight",IF('Proposed Lighting'!AH167&gt;8759,"IPC_8760","Commercial-All Com-IntLight"))</f>
        <v>IPC_8760</v>
      </c>
      <c r="C470" s="641" t="str">
        <f>IF(OR(E470="",E470=0),"No",
IF(AND('Data Entry'!$AF$23="OR",AE470&lt;1),"No",
IF(AND('Data Entry'!$AF$23="ID",E470="Non-standard lighting control system",AD470&lt;1),"No",
IF(AND('Data Entry'!$AF$23="OR",'Proposed Lighting'!F167="Existing LED (Provide Description)",'Proposed Lighting'!AK167=""),"No",
IF('Proposed Lighting'!DD167="Submit Control as Non-Standard","No",
IF(AND('Proposed Lighting'!T167="Non-Standard (Provide Description)",AD470&lt;1),"No",
IF('Proposed Lighting'!AW167&lt;'Proposed Lighting'!AZ167,"No","Yes")))))))</f>
        <v>No</v>
      </c>
      <c r="D470" s="1604">
        <f>'Proposed Lighting'!BQ167-Q470</f>
        <v>0</v>
      </c>
      <c r="E470" s="642" t="str">
        <f>IF('Proposed Lighting'!W167="","",'Proposed Lighting'!W167)</f>
        <v/>
      </c>
      <c r="F470" s="642"/>
      <c r="G470" s="641" t="s">
        <v>786</v>
      </c>
      <c r="H470" s="643">
        <v>10</v>
      </c>
      <c r="I470" s="644">
        <v>1</v>
      </c>
      <c r="J470" s="723">
        <f>IF('Proposed Lighting'!EF167=0,'Proposed Lighting'!AA167,'Proposed Lighting'!EF167)</f>
        <v>0</v>
      </c>
      <c r="K470" s="643" t="str">
        <f>'Proposed Lighting'!CU167</f>
        <v/>
      </c>
      <c r="L470" s="643" t="str">
        <f t="shared" si="103"/>
        <v/>
      </c>
      <c r="M470" s="645">
        <f t="shared" si="106"/>
        <v>0</v>
      </c>
      <c r="N470" s="645"/>
      <c r="O470" s="722">
        <f>IFERROR('Proposed Lighting'!AC167/1000,0)</f>
        <v>0</v>
      </c>
      <c r="P470" s="644">
        <f>'Proposed Lighting'!AV167</f>
        <v>0</v>
      </c>
      <c r="Q470" s="644">
        <f>IF(AND('Proposed Lighting'!T167="Lighting Controls Only",'Data Entry'!$AF$23="OR",'Proposed Lighting'!AU167=2),0,
IF(AND('Proposed Lighting'!T167="Lighting Controls Only",'Data Entry'!$AF$23="OR",'Proposed Lighting'!AU167=3,OR('Proposed Lighting'!W167="ceiling mount",'Proposed Lighting'!W167="wall switch",'Proposed Lighting'!W167="fixture mount (on exisiting equip)",'Proposed Lighting'!W167="daylight harvesting (on existing equip)")),0,
IF('Proposed Lighting'!AF167=1,IF(P470=0,0,J470*O470*(L470*(1-P470))),IF('Proposed Lighting'!AU167=1,0,'Proposed Lighting'!AX167-'Proposed Lighting'!AY167))))</f>
        <v>0</v>
      </c>
      <c r="R470" s="646">
        <f>IF('Proposed Lighting'!T167="Non-standard (provide description",0,
IF(AND(E470="Non-standard control",'Proposed Lighting'!AU167=2),Q470*0.1,
IF(AND(E470="Non-standard control",'Proposed Lighting'!AU167=3),Q470*0.08,
IF('Proposed Lighting'!EF167=0,0,IF('Proposed Lighting'!AU167=1,0,
IF(AND('Data Entry'!$AF$23="ID",'Proposed Lighting'!T167="Lighting controls only"),VLOOKUP(E470,'Proposed Lighting'!$DO$97:$DP$106,2,FALSE),
IF(AND('Data Entry'!$AF$23="OR",'Proposed Lighting'!AU167=3,'Proposed Lighting'!T167="Lighting controls only"),VLOOKUP(E470,'Proposed Lighting'!$DO$127:$DP$134,2,FALSE),0)))))))*J470</f>
        <v>0</v>
      </c>
      <c r="S470" s="646">
        <f>IF(Q470&lt;0.01,0,IF('Proposed Lighting'!AK167&gt;0,'Proposed Lighting'!AK167*'Proposed Lighting'!EF167,0))</f>
        <v>0</v>
      </c>
      <c r="T470" s="647">
        <f t="shared" si="104"/>
        <v>0</v>
      </c>
      <c r="U470" s="648"/>
      <c r="V470" s="646">
        <f t="shared" si="107"/>
        <v>0</v>
      </c>
      <c r="W470" s="646">
        <f t="shared" si="108"/>
        <v>0</v>
      </c>
      <c r="X470" s="646">
        <f t="shared" si="109"/>
        <v>0</v>
      </c>
      <c r="Y470" s="646"/>
      <c r="Z470" s="646"/>
      <c r="AA470" s="646"/>
      <c r="AB470" s="646">
        <f t="shared" si="110"/>
        <v>0</v>
      </c>
      <c r="AC470" s="649" t="str">
        <f t="shared" si="111"/>
        <v/>
      </c>
      <c r="AD470" s="649" t="str">
        <f t="shared" si="112"/>
        <v/>
      </c>
      <c r="AE470" s="649" t="str">
        <f t="shared" si="113"/>
        <v/>
      </c>
      <c r="AF470" s="72"/>
      <c r="AG470" s="644">
        <f>IFERROR(IF($AV470="No",0,IF($AV470="yes",Summary!Q470,"")),"")</f>
        <v>0</v>
      </c>
      <c r="AH470" s="646">
        <f>IFERROR(IF($AV470="No",0,IF($AV470="yes",Summary!R470,"")),"")</f>
        <v>0</v>
      </c>
      <c r="AI470" s="646">
        <f>IFERROR(IF($AV470="No",0,IF($AV470="yes",Summary!S470,"")),"")</f>
        <v>0</v>
      </c>
      <c r="AJ470" s="647">
        <f>IFERROR(IF($AV470="No",0,IF($AV470="yes",Summary!T470,"")),"")</f>
        <v>0</v>
      </c>
      <c r="AK470" s="648">
        <f>IFERROR(IF($AV470="No",0,IF($AV470="yes",Summary!U470,"")),"")</f>
        <v>0</v>
      </c>
      <c r="AL470" s="646">
        <f>IFERROR(IF($AV470="No",0,IF($AV470="yes",Summary!V470,"")),"")</f>
        <v>0</v>
      </c>
      <c r="AM470" s="646">
        <f>IFERROR(IF($AV470="No",0,IF($AV470="yes",Summary!W470,"")),"")</f>
        <v>0</v>
      </c>
      <c r="AN470" s="646">
        <f>IFERROR(IF($AV470="No",0,IF($AV470="yes",Summary!X470,"")),"")</f>
        <v>0</v>
      </c>
      <c r="AO470" s="646">
        <f>IFERROR(IF($AV470="No",0,IF($AV470="yes",Summary!Y470+Z470,"")),"")</f>
        <v>0</v>
      </c>
      <c r="AP470" s="646">
        <f>IFERROR(IF($AV470="No",0,IF($AV470="yes",Summary!AB470,"")),"")</f>
        <v>0</v>
      </c>
      <c r="AQ470" s="649" t="str">
        <f t="shared" si="101"/>
        <v/>
      </c>
      <c r="AR470" s="649" t="str">
        <f t="shared" si="105"/>
        <v/>
      </c>
      <c r="AS470" s="649" t="str">
        <f t="shared" si="102"/>
        <v/>
      </c>
      <c r="AT470" s="641" t="s">
        <v>944</v>
      </c>
      <c r="AV470" t="str">
        <f>IF('Proposed Lighting'!AK167&gt;0,"No","Yes")</f>
        <v>Yes</v>
      </c>
    </row>
    <row r="471" spans="1:48" ht="34.5" customHeight="1" outlineLevel="1">
      <c r="A471" s="641" t="s">
        <v>945</v>
      </c>
      <c r="B471" s="641" t="str">
        <f>IF('Proposed Lighting'!AU168=3,"Commercial-All Com-ExtLight",IF('Proposed Lighting'!AH168&gt;8759,"IPC_8760","Commercial-All Com-IntLight"))</f>
        <v>IPC_8760</v>
      </c>
      <c r="C471" s="641" t="str">
        <f>IF(OR(E471="",E471=0),"No",
IF(AND('Data Entry'!$AF$23="OR",AE471&lt;1),"No",
IF(AND('Data Entry'!$AF$23="ID",E471="Non-standard lighting control system",AD471&lt;1),"No",
IF(AND('Data Entry'!$AF$23="OR",'Proposed Lighting'!F168="Existing LED (Provide Description)",'Proposed Lighting'!AK168=""),"No",
IF('Proposed Lighting'!DD168="Submit Control as Non-Standard","No",
IF(AND('Proposed Lighting'!T168="Non-Standard (Provide Description)",AD471&lt;1),"No",
IF('Proposed Lighting'!AW168&lt;'Proposed Lighting'!AZ168,"No","Yes")))))))</f>
        <v>No</v>
      </c>
      <c r="D471" s="1604">
        <f>'Proposed Lighting'!BQ168-Q471</f>
        <v>0</v>
      </c>
      <c r="E471" s="642" t="str">
        <f>IF('Proposed Lighting'!W168="","",'Proposed Lighting'!W168)</f>
        <v/>
      </c>
      <c r="F471" s="642"/>
      <c r="G471" s="641" t="s">
        <v>786</v>
      </c>
      <c r="H471" s="643">
        <v>10</v>
      </c>
      <c r="I471" s="644">
        <v>1</v>
      </c>
      <c r="J471" s="723">
        <f>IF('Proposed Lighting'!EF168=0,'Proposed Lighting'!AA168,'Proposed Lighting'!EF168)</f>
        <v>0</v>
      </c>
      <c r="K471" s="643" t="str">
        <f>'Proposed Lighting'!CU168</f>
        <v/>
      </c>
      <c r="L471" s="643" t="str">
        <f t="shared" si="103"/>
        <v/>
      </c>
      <c r="M471" s="645">
        <f t="shared" si="106"/>
        <v>0</v>
      </c>
      <c r="N471" s="645"/>
      <c r="O471" s="722">
        <f>IFERROR('Proposed Lighting'!AC168/1000,0)</f>
        <v>0</v>
      </c>
      <c r="P471" s="644">
        <f>'Proposed Lighting'!AV168</f>
        <v>0</v>
      </c>
      <c r="Q471" s="644">
        <f>IF(AND('Proposed Lighting'!T168="Lighting Controls Only",'Data Entry'!$AF$23="OR",'Proposed Lighting'!AU168=2),0,
IF(AND('Proposed Lighting'!T168="Lighting Controls Only",'Data Entry'!$AF$23="OR",'Proposed Lighting'!AU168=3,OR('Proposed Lighting'!W168="ceiling mount",'Proposed Lighting'!W168="wall switch",'Proposed Lighting'!W168="fixture mount (on exisiting equip)",'Proposed Lighting'!W168="daylight harvesting (on existing equip)")),0,
IF('Proposed Lighting'!AF168=1,IF(P471=0,0,J471*O471*(L471*(1-P471))),IF('Proposed Lighting'!AU168=1,0,'Proposed Lighting'!AX168-'Proposed Lighting'!AY168))))</f>
        <v>0</v>
      </c>
      <c r="R471" s="646">
        <f>IF('Proposed Lighting'!T168="Non-standard (provide description",0,
IF(AND(E471="Non-standard control",'Proposed Lighting'!AU168=2),Q471*0.1,
IF(AND(E471="Non-standard control",'Proposed Lighting'!AU168=3),Q471*0.08,
IF('Proposed Lighting'!EF168=0,0,IF('Proposed Lighting'!AU168=1,0,
IF(AND('Data Entry'!$AF$23="ID",'Proposed Lighting'!T168="Lighting controls only"),VLOOKUP(E471,'Proposed Lighting'!$DO$97:$DP$106,2,FALSE),
IF(AND('Data Entry'!$AF$23="OR",'Proposed Lighting'!AU168=3,'Proposed Lighting'!T168="Lighting controls only"),VLOOKUP(E471,'Proposed Lighting'!$DO$127:$DP$134,2,FALSE),0)))))))*J471</f>
        <v>0</v>
      </c>
      <c r="S471" s="646">
        <f>IF(Q471&lt;0.01,0,IF('Proposed Lighting'!AK168&gt;0,'Proposed Lighting'!AK168*'Proposed Lighting'!EF168,0))</f>
        <v>0</v>
      </c>
      <c r="T471" s="647">
        <f t="shared" si="104"/>
        <v>0</v>
      </c>
      <c r="U471" s="648"/>
      <c r="V471" s="646">
        <f t="shared" si="107"/>
        <v>0</v>
      </c>
      <c r="W471" s="646">
        <f t="shared" si="108"/>
        <v>0</v>
      </c>
      <c r="X471" s="646">
        <f t="shared" si="109"/>
        <v>0</v>
      </c>
      <c r="Y471" s="646"/>
      <c r="Z471" s="646"/>
      <c r="AA471" s="646"/>
      <c r="AB471" s="646">
        <f t="shared" si="110"/>
        <v>0</v>
      </c>
      <c r="AC471" s="649" t="str">
        <f t="shared" si="111"/>
        <v/>
      </c>
      <c r="AD471" s="649" t="str">
        <f t="shared" si="112"/>
        <v/>
      </c>
      <c r="AE471" s="649" t="str">
        <f t="shared" si="113"/>
        <v/>
      </c>
      <c r="AF471" s="72"/>
      <c r="AG471" s="644">
        <f>IFERROR(IF($AV471="No",0,IF($AV471="yes",Summary!Q471,"")),"")</f>
        <v>0</v>
      </c>
      <c r="AH471" s="646">
        <f>IFERROR(IF($AV471="No",0,IF($AV471="yes",Summary!R471,"")),"")</f>
        <v>0</v>
      </c>
      <c r="AI471" s="646">
        <f>IFERROR(IF($AV471="No",0,IF($AV471="yes",Summary!S471,"")),"")</f>
        <v>0</v>
      </c>
      <c r="AJ471" s="647">
        <f>IFERROR(IF($AV471="No",0,IF($AV471="yes",Summary!T471,"")),"")</f>
        <v>0</v>
      </c>
      <c r="AK471" s="648">
        <f>IFERROR(IF($AV471="No",0,IF($AV471="yes",Summary!U471,"")),"")</f>
        <v>0</v>
      </c>
      <c r="AL471" s="646">
        <f>IFERROR(IF($AV471="No",0,IF($AV471="yes",Summary!V471,"")),"")</f>
        <v>0</v>
      </c>
      <c r="AM471" s="646">
        <f>IFERROR(IF($AV471="No",0,IF($AV471="yes",Summary!W471,"")),"")</f>
        <v>0</v>
      </c>
      <c r="AN471" s="646">
        <f>IFERROR(IF($AV471="No",0,IF($AV471="yes",Summary!X471,"")),"")</f>
        <v>0</v>
      </c>
      <c r="AO471" s="646">
        <f>IFERROR(IF($AV471="No",0,IF($AV471="yes",Summary!Y471+Z471,"")),"")</f>
        <v>0</v>
      </c>
      <c r="AP471" s="646">
        <f>IFERROR(IF($AV471="No",0,IF($AV471="yes",Summary!AB471,"")),"")</f>
        <v>0</v>
      </c>
      <c r="AQ471" s="649" t="str">
        <f t="shared" si="101"/>
        <v/>
      </c>
      <c r="AR471" s="649" t="str">
        <f t="shared" si="105"/>
        <v/>
      </c>
      <c r="AS471" s="649" t="str">
        <f t="shared" si="102"/>
        <v/>
      </c>
      <c r="AT471" s="641" t="s">
        <v>945</v>
      </c>
      <c r="AV471" t="str">
        <f>IF('Proposed Lighting'!AK168&gt;0,"No","Yes")</f>
        <v>Yes</v>
      </c>
    </row>
    <row r="472" spans="1:48" ht="34.5" customHeight="1" outlineLevel="1">
      <c r="A472" s="641" t="s">
        <v>946</v>
      </c>
      <c r="B472" s="641" t="str">
        <f>IF('Proposed Lighting'!AU169=3,"Commercial-All Com-ExtLight",IF('Proposed Lighting'!AH169&gt;8759,"IPC_8760","Commercial-All Com-IntLight"))</f>
        <v>IPC_8760</v>
      </c>
      <c r="C472" s="641" t="str">
        <f>IF(OR(E472="",E472=0),"No",
IF(AND('Data Entry'!$AF$23="OR",AE472&lt;1),"No",
IF(AND('Data Entry'!$AF$23="ID",E472="Non-standard lighting control system",AD472&lt;1),"No",
IF(AND('Data Entry'!$AF$23="OR",'Proposed Lighting'!F169="Existing LED (Provide Description)",'Proposed Lighting'!AK169=""),"No",
IF('Proposed Lighting'!DD169="Submit Control as Non-Standard","No",
IF(AND('Proposed Lighting'!T169="Non-Standard (Provide Description)",AD472&lt;1),"No",
IF('Proposed Lighting'!AW169&lt;'Proposed Lighting'!AZ169,"No","Yes")))))))</f>
        <v>No</v>
      </c>
      <c r="D472" s="1604">
        <f>'Proposed Lighting'!BQ169-Q472</f>
        <v>0</v>
      </c>
      <c r="E472" s="642" t="str">
        <f>IF('Proposed Lighting'!W169="","",'Proposed Lighting'!W169)</f>
        <v/>
      </c>
      <c r="F472" s="642"/>
      <c r="G472" s="641" t="s">
        <v>786</v>
      </c>
      <c r="H472" s="643">
        <v>10</v>
      </c>
      <c r="I472" s="644">
        <v>1</v>
      </c>
      <c r="J472" s="723">
        <f>IF('Proposed Lighting'!EF169=0,'Proposed Lighting'!AA169,'Proposed Lighting'!EF169)</f>
        <v>0</v>
      </c>
      <c r="K472" s="643" t="str">
        <f>'Proposed Lighting'!CU169</f>
        <v/>
      </c>
      <c r="L472" s="643" t="str">
        <f t="shared" si="103"/>
        <v/>
      </c>
      <c r="M472" s="645">
        <f t="shared" si="106"/>
        <v>0</v>
      </c>
      <c r="N472" s="645"/>
      <c r="O472" s="722">
        <f>IFERROR('Proposed Lighting'!AC169/1000,0)</f>
        <v>0</v>
      </c>
      <c r="P472" s="644">
        <f>'Proposed Lighting'!AV169</f>
        <v>0</v>
      </c>
      <c r="Q472" s="644">
        <f>IF(AND('Proposed Lighting'!T169="Lighting Controls Only",'Data Entry'!$AF$23="OR",'Proposed Lighting'!AU169=2),0,
IF(AND('Proposed Lighting'!T169="Lighting Controls Only",'Data Entry'!$AF$23="OR",'Proposed Lighting'!AU169=3,OR('Proposed Lighting'!W169="ceiling mount",'Proposed Lighting'!W169="wall switch",'Proposed Lighting'!W169="fixture mount (on exisiting equip)",'Proposed Lighting'!W169="daylight harvesting (on existing equip)")),0,
IF('Proposed Lighting'!AF169=1,IF(P472=0,0,J472*O472*(L472*(1-P472))),IF('Proposed Lighting'!AU169=1,0,'Proposed Lighting'!AX169-'Proposed Lighting'!AY169))))</f>
        <v>0</v>
      </c>
      <c r="R472" s="646">
        <f>IF('Proposed Lighting'!T169="Non-standard (provide description",0,
IF(AND(E472="Non-standard control",'Proposed Lighting'!AU169=2),Q472*0.1,
IF(AND(E472="Non-standard control",'Proposed Lighting'!AU169=3),Q472*0.08,
IF('Proposed Lighting'!EF169=0,0,IF('Proposed Lighting'!AU169=1,0,
IF(AND('Data Entry'!$AF$23="ID",'Proposed Lighting'!T169="Lighting controls only"),VLOOKUP(E472,'Proposed Lighting'!$DO$97:$DP$106,2,FALSE),
IF(AND('Data Entry'!$AF$23="OR",'Proposed Lighting'!AU169=3,'Proposed Lighting'!T169="Lighting controls only"),VLOOKUP(E472,'Proposed Lighting'!$DO$127:$DP$134,2,FALSE),0)))))))*J472</f>
        <v>0</v>
      </c>
      <c r="S472" s="646">
        <f>IF(Q472&lt;0.01,0,IF('Proposed Lighting'!AK169&gt;0,'Proposed Lighting'!AK169*'Proposed Lighting'!EF169,0))</f>
        <v>0</v>
      </c>
      <c r="T472" s="647">
        <f t="shared" si="104"/>
        <v>0</v>
      </c>
      <c r="U472" s="648"/>
      <c r="V472" s="646">
        <f t="shared" si="107"/>
        <v>0</v>
      </c>
      <c r="W472" s="646">
        <f t="shared" si="108"/>
        <v>0</v>
      </c>
      <c r="X472" s="646">
        <f t="shared" si="109"/>
        <v>0</v>
      </c>
      <c r="Y472" s="646"/>
      <c r="Z472" s="646"/>
      <c r="AA472" s="646"/>
      <c r="AB472" s="646">
        <f t="shared" si="110"/>
        <v>0</v>
      </c>
      <c r="AC472" s="649" t="str">
        <f t="shared" si="111"/>
        <v/>
      </c>
      <c r="AD472" s="649" t="str">
        <f t="shared" si="112"/>
        <v/>
      </c>
      <c r="AE472" s="649" t="str">
        <f t="shared" si="113"/>
        <v/>
      </c>
      <c r="AF472" s="72"/>
      <c r="AG472" s="644">
        <f>IFERROR(IF($AV472="No",0,IF($AV472="yes",Summary!Q472,"")),"")</f>
        <v>0</v>
      </c>
      <c r="AH472" s="646">
        <f>IFERROR(IF($AV472="No",0,IF($AV472="yes",Summary!R472,"")),"")</f>
        <v>0</v>
      </c>
      <c r="AI472" s="646">
        <f>IFERROR(IF($AV472="No",0,IF($AV472="yes",Summary!S472,"")),"")</f>
        <v>0</v>
      </c>
      <c r="AJ472" s="647">
        <f>IFERROR(IF($AV472="No",0,IF($AV472="yes",Summary!T472,"")),"")</f>
        <v>0</v>
      </c>
      <c r="AK472" s="648">
        <f>IFERROR(IF($AV472="No",0,IF($AV472="yes",Summary!U472,"")),"")</f>
        <v>0</v>
      </c>
      <c r="AL472" s="646">
        <f>IFERROR(IF($AV472="No",0,IF($AV472="yes",Summary!V472,"")),"")</f>
        <v>0</v>
      </c>
      <c r="AM472" s="646">
        <f>IFERROR(IF($AV472="No",0,IF($AV472="yes",Summary!W472,"")),"")</f>
        <v>0</v>
      </c>
      <c r="AN472" s="646">
        <f>IFERROR(IF($AV472="No",0,IF($AV472="yes",Summary!X472,"")),"")</f>
        <v>0</v>
      </c>
      <c r="AO472" s="646">
        <f>IFERROR(IF($AV472="No",0,IF($AV472="yes",Summary!Y472+Z472,"")),"")</f>
        <v>0</v>
      </c>
      <c r="AP472" s="646">
        <f>IFERROR(IF($AV472="No",0,IF($AV472="yes",Summary!AB472,"")),"")</f>
        <v>0</v>
      </c>
      <c r="AQ472" s="649" t="str">
        <f t="shared" si="101"/>
        <v/>
      </c>
      <c r="AR472" s="649" t="str">
        <f t="shared" si="105"/>
        <v/>
      </c>
      <c r="AS472" s="649" t="str">
        <f t="shared" si="102"/>
        <v/>
      </c>
      <c r="AT472" s="641" t="s">
        <v>946</v>
      </c>
      <c r="AV472" t="str">
        <f>IF('Proposed Lighting'!AK169&gt;0,"No","Yes")</f>
        <v>Yes</v>
      </c>
    </row>
    <row r="473" spans="1:48" ht="34.5" customHeight="1" outlineLevel="1">
      <c r="A473" s="641" t="s">
        <v>947</v>
      </c>
      <c r="B473" s="641" t="str">
        <f>IF('Proposed Lighting'!AU170=3,"Commercial-All Com-ExtLight",IF('Proposed Lighting'!AH170&gt;8759,"IPC_8760","Commercial-All Com-IntLight"))</f>
        <v>IPC_8760</v>
      </c>
      <c r="C473" s="641" t="str">
        <f>IF(OR(E473="",E473=0),"No",
IF(AND('Data Entry'!$AF$23="OR",AE473&lt;1),"No",
IF(AND('Data Entry'!$AF$23="ID",E473="Non-standard lighting control system",AD473&lt;1),"No",
IF(AND('Data Entry'!$AF$23="OR",'Proposed Lighting'!F170="Existing LED (Provide Description)",'Proposed Lighting'!AK170=""),"No",
IF('Proposed Lighting'!DD170="Submit Control as Non-Standard","No",
IF(AND('Proposed Lighting'!T170="Non-Standard (Provide Description)",AD473&lt;1),"No",
IF('Proposed Lighting'!AW170&lt;'Proposed Lighting'!AZ170,"No","Yes")))))))</f>
        <v>No</v>
      </c>
      <c r="D473" s="1604">
        <f>'Proposed Lighting'!BQ170-Q473</f>
        <v>0</v>
      </c>
      <c r="E473" s="642" t="str">
        <f>IF('Proposed Lighting'!W170="","",'Proposed Lighting'!W170)</f>
        <v/>
      </c>
      <c r="F473" s="642"/>
      <c r="G473" s="641" t="s">
        <v>786</v>
      </c>
      <c r="H473" s="643">
        <v>10</v>
      </c>
      <c r="I473" s="644">
        <v>1</v>
      </c>
      <c r="J473" s="723">
        <f>IF('Proposed Lighting'!EF170=0,'Proposed Lighting'!AA170,'Proposed Lighting'!EF170)</f>
        <v>0</v>
      </c>
      <c r="K473" s="643" t="str">
        <f>'Proposed Lighting'!CU170</f>
        <v/>
      </c>
      <c r="L473" s="643" t="str">
        <f t="shared" si="103"/>
        <v/>
      </c>
      <c r="M473" s="645">
        <f t="shared" si="106"/>
        <v>0</v>
      </c>
      <c r="N473" s="645"/>
      <c r="O473" s="722">
        <f>IFERROR('Proposed Lighting'!AC170/1000,0)</f>
        <v>0</v>
      </c>
      <c r="P473" s="644">
        <f>'Proposed Lighting'!AV170</f>
        <v>0</v>
      </c>
      <c r="Q473" s="644">
        <f>IF(AND('Proposed Lighting'!T170="Lighting Controls Only",'Data Entry'!$AF$23="OR",'Proposed Lighting'!AU170=2),0,
IF(AND('Proposed Lighting'!T170="Lighting Controls Only",'Data Entry'!$AF$23="OR",'Proposed Lighting'!AU170=3,OR('Proposed Lighting'!W170="ceiling mount",'Proposed Lighting'!W170="wall switch",'Proposed Lighting'!W170="fixture mount (on exisiting equip)",'Proposed Lighting'!W170="daylight harvesting (on existing equip)")),0,
IF('Proposed Lighting'!AF170=1,IF(P473=0,0,J473*O473*(L473*(1-P473))),IF('Proposed Lighting'!AU170=1,0,'Proposed Lighting'!AX170-'Proposed Lighting'!AY170))))</f>
        <v>0</v>
      </c>
      <c r="R473" s="646">
        <f>IF('Proposed Lighting'!T170="Non-standard (provide description",0,
IF(AND(E473="Non-standard control",'Proposed Lighting'!AU170=2),Q473*0.1,
IF(AND(E473="Non-standard control",'Proposed Lighting'!AU170=3),Q473*0.08,
IF('Proposed Lighting'!EF170=0,0,IF('Proposed Lighting'!AU170=1,0,
IF(AND('Data Entry'!$AF$23="ID",'Proposed Lighting'!T170="Lighting controls only"),VLOOKUP(E473,'Proposed Lighting'!$DO$97:$DP$106,2,FALSE),
IF(AND('Data Entry'!$AF$23="OR",'Proposed Lighting'!AU170=3,'Proposed Lighting'!T170="Lighting controls only"),VLOOKUP(E473,'Proposed Lighting'!$DO$127:$DP$134,2,FALSE),0)))))))*J473</f>
        <v>0</v>
      </c>
      <c r="S473" s="646">
        <f>IF(Q473&lt;0.01,0,IF('Proposed Lighting'!AK170&gt;0,'Proposed Lighting'!AK170*'Proposed Lighting'!EF170,0))</f>
        <v>0</v>
      </c>
      <c r="T473" s="647">
        <f t="shared" si="104"/>
        <v>0</v>
      </c>
      <c r="U473" s="648"/>
      <c r="V473" s="646">
        <f t="shared" si="107"/>
        <v>0</v>
      </c>
      <c r="W473" s="646">
        <f t="shared" si="108"/>
        <v>0</v>
      </c>
      <c r="X473" s="646">
        <f t="shared" si="109"/>
        <v>0</v>
      </c>
      <c r="Y473" s="646"/>
      <c r="Z473" s="646"/>
      <c r="AA473" s="646"/>
      <c r="AB473" s="646">
        <f t="shared" si="110"/>
        <v>0</v>
      </c>
      <c r="AC473" s="649" t="str">
        <f t="shared" si="111"/>
        <v/>
      </c>
      <c r="AD473" s="649" t="str">
        <f t="shared" si="112"/>
        <v/>
      </c>
      <c r="AE473" s="649" t="str">
        <f t="shared" si="113"/>
        <v/>
      </c>
      <c r="AF473" s="72"/>
      <c r="AG473" s="644">
        <f>IFERROR(IF($AV473="No",0,IF($AV473="yes",Summary!Q473,"")),"")</f>
        <v>0</v>
      </c>
      <c r="AH473" s="646">
        <f>IFERROR(IF($AV473="No",0,IF($AV473="yes",Summary!R473,"")),"")</f>
        <v>0</v>
      </c>
      <c r="AI473" s="646">
        <f>IFERROR(IF($AV473="No",0,IF($AV473="yes",Summary!S473,"")),"")</f>
        <v>0</v>
      </c>
      <c r="AJ473" s="647">
        <f>IFERROR(IF($AV473="No",0,IF($AV473="yes",Summary!T473,"")),"")</f>
        <v>0</v>
      </c>
      <c r="AK473" s="648">
        <f>IFERROR(IF($AV473="No",0,IF($AV473="yes",Summary!U473,"")),"")</f>
        <v>0</v>
      </c>
      <c r="AL473" s="646">
        <f>IFERROR(IF($AV473="No",0,IF($AV473="yes",Summary!V473,"")),"")</f>
        <v>0</v>
      </c>
      <c r="AM473" s="646">
        <f>IFERROR(IF($AV473="No",0,IF($AV473="yes",Summary!W473,"")),"")</f>
        <v>0</v>
      </c>
      <c r="AN473" s="646">
        <f>IFERROR(IF($AV473="No",0,IF($AV473="yes",Summary!X473,"")),"")</f>
        <v>0</v>
      </c>
      <c r="AO473" s="646">
        <f>IFERROR(IF($AV473="No",0,IF($AV473="yes",Summary!Y473+Z473,"")),"")</f>
        <v>0</v>
      </c>
      <c r="AP473" s="646">
        <f>IFERROR(IF($AV473="No",0,IF($AV473="yes",Summary!AB473,"")),"")</f>
        <v>0</v>
      </c>
      <c r="AQ473" s="649" t="str">
        <f t="shared" si="101"/>
        <v/>
      </c>
      <c r="AR473" s="649" t="str">
        <f t="shared" si="105"/>
        <v/>
      </c>
      <c r="AS473" s="649" t="str">
        <f t="shared" si="102"/>
        <v/>
      </c>
      <c r="AT473" s="641" t="s">
        <v>947</v>
      </c>
      <c r="AV473" t="str">
        <f>IF('Proposed Lighting'!AK170&gt;0,"No","Yes")</f>
        <v>Yes</v>
      </c>
    </row>
    <row r="474" spans="1:48" ht="34.5" customHeight="1" outlineLevel="1">
      <c r="A474" s="641" t="s">
        <v>948</v>
      </c>
      <c r="B474" s="641" t="str">
        <f>IF('Proposed Lighting'!AU171=3,"Commercial-All Com-ExtLight",IF('Proposed Lighting'!AH171&gt;8759,"IPC_8760","Commercial-All Com-IntLight"))</f>
        <v>IPC_8760</v>
      </c>
      <c r="C474" s="641" t="str">
        <f>IF(OR(E474="",E474=0),"No",
IF(AND('Data Entry'!$AF$23="OR",AE474&lt;1),"No",
IF(AND('Data Entry'!$AF$23="ID",E474="Non-standard lighting control system",AD474&lt;1),"No",
IF(AND('Data Entry'!$AF$23="OR",'Proposed Lighting'!F171="Existing LED (Provide Description)",'Proposed Lighting'!AK171=""),"No",
IF('Proposed Lighting'!DD171="Submit Control as Non-Standard","No",
IF(AND('Proposed Lighting'!T171="Non-Standard (Provide Description)",AD474&lt;1),"No",
IF('Proposed Lighting'!AW171&lt;'Proposed Lighting'!AZ171,"No","Yes")))))))</f>
        <v>No</v>
      </c>
      <c r="D474" s="1604">
        <f>'Proposed Lighting'!BQ171-Q474</f>
        <v>0</v>
      </c>
      <c r="E474" s="642" t="str">
        <f>IF('Proposed Lighting'!W171="","",'Proposed Lighting'!W171)</f>
        <v/>
      </c>
      <c r="F474" s="642"/>
      <c r="G474" s="641" t="s">
        <v>786</v>
      </c>
      <c r="H474" s="643">
        <v>10</v>
      </c>
      <c r="I474" s="644">
        <v>1</v>
      </c>
      <c r="J474" s="723">
        <f>IF('Proposed Lighting'!EF171=0,'Proposed Lighting'!AA171,'Proposed Lighting'!EF171)</f>
        <v>0</v>
      </c>
      <c r="K474" s="643" t="str">
        <f>'Proposed Lighting'!CU171</f>
        <v/>
      </c>
      <c r="L474" s="643" t="str">
        <f t="shared" si="103"/>
        <v/>
      </c>
      <c r="M474" s="645">
        <f t="shared" si="106"/>
        <v>0</v>
      </c>
      <c r="N474" s="645"/>
      <c r="O474" s="722">
        <f>IFERROR('Proposed Lighting'!AC171/1000,0)</f>
        <v>0</v>
      </c>
      <c r="P474" s="644">
        <f>'Proposed Lighting'!AV171</f>
        <v>0</v>
      </c>
      <c r="Q474" s="644">
        <f>IF(AND('Proposed Lighting'!T171="Lighting Controls Only",'Data Entry'!$AF$23="OR",'Proposed Lighting'!AU171=2),0,
IF(AND('Proposed Lighting'!T171="Lighting Controls Only",'Data Entry'!$AF$23="OR",'Proposed Lighting'!AU171=3,OR('Proposed Lighting'!W171="ceiling mount",'Proposed Lighting'!W171="wall switch",'Proposed Lighting'!W171="fixture mount (on exisiting equip)",'Proposed Lighting'!W171="daylight harvesting (on existing equip)")),0,
IF('Proposed Lighting'!AF171=1,IF(P474=0,0,J474*O474*(L474*(1-P474))),IF('Proposed Lighting'!AU171=1,0,'Proposed Lighting'!AX171-'Proposed Lighting'!AY171))))</f>
        <v>0</v>
      </c>
      <c r="R474" s="646">
        <f>IF('Proposed Lighting'!T171="Non-standard (provide description",0,
IF(AND(E474="Non-standard control",'Proposed Lighting'!AU171=2),Q474*0.1,
IF(AND(E474="Non-standard control",'Proposed Lighting'!AU171=3),Q474*0.08,
IF('Proposed Lighting'!EF171=0,0,IF('Proposed Lighting'!AU171=1,0,
IF(AND('Data Entry'!$AF$23="ID",'Proposed Lighting'!T171="Lighting controls only"),VLOOKUP(E474,'Proposed Lighting'!$DO$97:$DP$106,2,FALSE),
IF(AND('Data Entry'!$AF$23="OR",'Proposed Lighting'!AU171=3,'Proposed Lighting'!T171="Lighting controls only"),VLOOKUP(E474,'Proposed Lighting'!$DO$127:$DP$134,2,FALSE),0)))))))*J474</f>
        <v>0</v>
      </c>
      <c r="S474" s="646">
        <f>IF(Q474&lt;0.01,0,IF('Proposed Lighting'!AK171&gt;0,'Proposed Lighting'!AK171*'Proposed Lighting'!EF171,0))</f>
        <v>0</v>
      </c>
      <c r="T474" s="647">
        <f t="shared" si="104"/>
        <v>0</v>
      </c>
      <c r="U474" s="648"/>
      <c r="V474" s="646">
        <f t="shared" si="107"/>
        <v>0</v>
      </c>
      <c r="W474" s="646">
        <f t="shared" si="108"/>
        <v>0</v>
      </c>
      <c r="X474" s="646">
        <f t="shared" si="109"/>
        <v>0</v>
      </c>
      <c r="Y474" s="646"/>
      <c r="Z474" s="646"/>
      <c r="AA474" s="646"/>
      <c r="AB474" s="646">
        <f t="shared" si="110"/>
        <v>0</v>
      </c>
      <c r="AC474" s="649" t="str">
        <f t="shared" si="111"/>
        <v/>
      </c>
      <c r="AD474" s="649" t="str">
        <f t="shared" si="112"/>
        <v/>
      </c>
      <c r="AE474" s="649" t="str">
        <f t="shared" si="113"/>
        <v/>
      </c>
      <c r="AF474" s="72"/>
      <c r="AG474" s="644">
        <f>IFERROR(IF($AV474="No",0,IF($AV474="yes",Summary!Q474,"")),"")</f>
        <v>0</v>
      </c>
      <c r="AH474" s="646">
        <f>IFERROR(IF($AV474="No",0,IF($AV474="yes",Summary!R474,"")),"")</f>
        <v>0</v>
      </c>
      <c r="AI474" s="646">
        <f>IFERROR(IF($AV474="No",0,IF($AV474="yes",Summary!S474,"")),"")</f>
        <v>0</v>
      </c>
      <c r="AJ474" s="647">
        <f>IFERROR(IF($AV474="No",0,IF($AV474="yes",Summary!T474,"")),"")</f>
        <v>0</v>
      </c>
      <c r="AK474" s="648">
        <f>IFERROR(IF($AV474="No",0,IF($AV474="yes",Summary!U474,"")),"")</f>
        <v>0</v>
      </c>
      <c r="AL474" s="646">
        <f>IFERROR(IF($AV474="No",0,IF($AV474="yes",Summary!V474,"")),"")</f>
        <v>0</v>
      </c>
      <c r="AM474" s="646">
        <f>IFERROR(IF($AV474="No",0,IF($AV474="yes",Summary!W474,"")),"")</f>
        <v>0</v>
      </c>
      <c r="AN474" s="646">
        <f>IFERROR(IF($AV474="No",0,IF($AV474="yes",Summary!X474,"")),"")</f>
        <v>0</v>
      </c>
      <c r="AO474" s="646">
        <f>IFERROR(IF($AV474="No",0,IF($AV474="yes",Summary!Y474+Z474,"")),"")</f>
        <v>0</v>
      </c>
      <c r="AP474" s="646">
        <f>IFERROR(IF($AV474="No",0,IF($AV474="yes",Summary!AB474,"")),"")</f>
        <v>0</v>
      </c>
      <c r="AQ474" s="649" t="str">
        <f t="shared" si="101"/>
        <v/>
      </c>
      <c r="AR474" s="649" t="str">
        <f t="shared" si="105"/>
        <v/>
      </c>
      <c r="AS474" s="649" t="str">
        <f t="shared" si="102"/>
        <v/>
      </c>
      <c r="AT474" s="641" t="s">
        <v>948</v>
      </c>
      <c r="AV474" t="str">
        <f>IF('Proposed Lighting'!AK171&gt;0,"No","Yes")</f>
        <v>Yes</v>
      </c>
    </row>
    <row r="475" spans="1:48" ht="34.5" customHeight="1" outlineLevel="1">
      <c r="A475" s="641" t="s">
        <v>949</v>
      </c>
      <c r="B475" s="641" t="str">
        <f>IF('Proposed Lighting'!AU172=3,"Commercial-All Com-ExtLight",IF('Proposed Lighting'!AH172&gt;8759,"IPC_8760","Commercial-All Com-IntLight"))</f>
        <v>IPC_8760</v>
      </c>
      <c r="C475" s="641" t="str">
        <f>IF(OR(E475="",E475=0),"No",
IF(AND('Data Entry'!$AF$23="OR",AE475&lt;1),"No",
IF(AND('Data Entry'!$AF$23="ID",E475="Non-standard lighting control system",AD475&lt;1),"No",
IF(AND('Data Entry'!$AF$23="OR",'Proposed Lighting'!F172="Existing LED (Provide Description)",'Proposed Lighting'!AK172=""),"No",
IF('Proposed Lighting'!DD172="Submit Control as Non-Standard","No",
IF(AND('Proposed Lighting'!T172="Non-Standard (Provide Description)",AD475&lt;1),"No",
IF('Proposed Lighting'!AW172&lt;'Proposed Lighting'!AZ172,"No","Yes")))))))</f>
        <v>No</v>
      </c>
      <c r="D475" s="1604">
        <f>'Proposed Lighting'!BQ172-Q475</f>
        <v>0</v>
      </c>
      <c r="E475" s="642" t="str">
        <f>IF('Proposed Lighting'!W172="","",'Proposed Lighting'!W172)</f>
        <v/>
      </c>
      <c r="F475" s="642"/>
      <c r="G475" s="641" t="s">
        <v>786</v>
      </c>
      <c r="H475" s="643">
        <v>10</v>
      </c>
      <c r="I475" s="644">
        <v>1</v>
      </c>
      <c r="J475" s="723">
        <f>IF('Proposed Lighting'!EF172=0,'Proposed Lighting'!AA172,'Proposed Lighting'!EF172)</f>
        <v>0</v>
      </c>
      <c r="K475" s="643" t="str">
        <f>'Proposed Lighting'!CU172</f>
        <v/>
      </c>
      <c r="L475" s="643" t="str">
        <f t="shared" si="103"/>
        <v/>
      </c>
      <c r="M475" s="645">
        <f t="shared" si="106"/>
        <v>0</v>
      </c>
      <c r="N475" s="645"/>
      <c r="O475" s="722">
        <f>IFERROR('Proposed Lighting'!AC172/1000,0)</f>
        <v>0</v>
      </c>
      <c r="P475" s="644">
        <f>'Proposed Lighting'!AV172</f>
        <v>0</v>
      </c>
      <c r="Q475" s="644">
        <f>IF(AND('Proposed Lighting'!T172="Lighting Controls Only",'Data Entry'!$AF$23="OR",'Proposed Lighting'!AU172=2),0,
IF(AND('Proposed Lighting'!T172="Lighting Controls Only",'Data Entry'!$AF$23="OR",'Proposed Lighting'!AU172=3,OR('Proposed Lighting'!W172="ceiling mount",'Proposed Lighting'!W172="wall switch",'Proposed Lighting'!W172="fixture mount (on exisiting equip)",'Proposed Lighting'!W172="daylight harvesting (on existing equip)")),0,
IF('Proposed Lighting'!AF172=1,IF(P475=0,0,J475*O475*(L475*(1-P475))),IF('Proposed Lighting'!AU172=1,0,'Proposed Lighting'!AX172-'Proposed Lighting'!AY172))))</f>
        <v>0</v>
      </c>
      <c r="R475" s="646">
        <f>IF('Proposed Lighting'!T172="Non-standard (provide description",0,
IF(AND(E475="Non-standard control",'Proposed Lighting'!AU172=2),Q475*0.1,
IF(AND(E475="Non-standard control",'Proposed Lighting'!AU172=3),Q475*0.08,
IF('Proposed Lighting'!EF172=0,0,IF('Proposed Lighting'!AU172=1,0,
IF(AND('Data Entry'!$AF$23="ID",'Proposed Lighting'!T172="Lighting controls only"),VLOOKUP(E475,'Proposed Lighting'!$DO$97:$DP$106,2,FALSE),
IF(AND('Data Entry'!$AF$23="OR",'Proposed Lighting'!AU172=3,'Proposed Lighting'!T172="Lighting controls only"),VLOOKUP(E475,'Proposed Lighting'!$DO$127:$DP$134,2,FALSE),0)))))))*J475</f>
        <v>0</v>
      </c>
      <c r="S475" s="646">
        <f>IF(Q475&lt;0.01,0,IF('Proposed Lighting'!AK172&gt;0,'Proposed Lighting'!AK172*'Proposed Lighting'!EF172,0))</f>
        <v>0</v>
      </c>
      <c r="T475" s="647">
        <f t="shared" si="104"/>
        <v>0</v>
      </c>
      <c r="U475" s="648"/>
      <c r="V475" s="646">
        <f t="shared" si="107"/>
        <v>0</v>
      </c>
      <c r="W475" s="646">
        <f t="shared" si="108"/>
        <v>0</v>
      </c>
      <c r="X475" s="646">
        <f t="shared" si="109"/>
        <v>0</v>
      </c>
      <c r="Y475" s="646"/>
      <c r="Z475" s="646"/>
      <c r="AA475" s="646"/>
      <c r="AB475" s="646">
        <f t="shared" si="110"/>
        <v>0</v>
      </c>
      <c r="AC475" s="649" t="str">
        <f t="shared" si="111"/>
        <v/>
      </c>
      <c r="AD475" s="649" t="str">
        <f t="shared" si="112"/>
        <v/>
      </c>
      <c r="AE475" s="649" t="str">
        <f t="shared" si="113"/>
        <v/>
      </c>
      <c r="AF475" s="72"/>
      <c r="AG475" s="644">
        <f>IFERROR(IF($AV475="No",0,IF($AV475="yes",Summary!Q475,"")),"")</f>
        <v>0</v>
      </c>
      <c r="AH475" s="646">
        <f>IFERROR(IF($AV475="No",0,IF($AV475="yes",Summary!R475,"")),"")</f>
        <v>0</v>
      </c>
      <c r="AI475" s="646">
        <f>IFERROR(IF($AV475="No",0,IF($AV475="yes",Summary!S475,"")),"")</f>
        <v>0</v>
      </c>
      <c r="AJ475" s="647">
        <f>IFERROR(IF($AV475="No",0,IF($AV475="yes",Summary!T475,"")),"")</f>
        <v>0</v>
      </c>
      <c r="AK475" s="648">
        <f>IFERROR(IF($AV475="No",0,IF($AV475="yes",Summary!U475,"")),"")</f>
        <v>0</v>
      </c>
      <c r="AL475" s="646">
        <f>IFERROR(IF($AV475="No",0,IF($AV475="yes",Summary!V475,"")),"")</f>
        <v>0</v>
      </c>
      <c r="AM475" s="646">
        <f>IFERROR(IF($AV475="No",0,IF($AV475="yes",Summary!W475,"")),"")</f>
        <v>0</v>
      </c>
      <c r="AN475" s="646">
        <f>IFERROR(IF($AV475="No",0,IF($AV475="yes",Summary!X475,"")),"")</f>
        <v>0</v>
      </c>
      <c r="AO475" s="646">
        <f>IFERROR(IF($AV475="No",0,IF($AV475="yes",Summary!Y475+Z475,"")),"")</f>
        <v>0</v>
      </c>
      <c r="AP475" s="646">
        <f>IFERROR(IF($AV475="No",0,IF($AV475="yes",Summary!AB475,"")),"")</f>
        <v>0</v>
      </c>
      <c r="AQ475" s="649" t="str">
        <f t="shared" si="101"/>
        <v/>
      </c>
      <c r="AR475" s="649" t="str">
        <f t="shared" si="105"/>
        <v/>
      </c>
      <c r="AS475" s="649" t="str">
        <f t="shared" si="102"/>
        <v/>
      </c>
      <c r="AT475" s="641" t="s">
        <v>949</v>
      </c>
      <c r="AV475" t="str">
        <f>IF('Proposed Lighting'!AK172&gt;0,"No","Yes")</f>
        <v>Yes</v>
      </c>
    </row>
    <row r="476" spans="1:48" ht="34.5" customHeight="1" outlineLevel="1">
      <c r="A476" s="641" t="s">
        <v>950</v>
      </c>
      <c r="B476" s="641" t="str">
        <f>IF('Proposed Lighting'!AU173=3,"Commercial-All Com-ExtLight",IF('Proposed Lighting'!AH173&gt;8759,"IPC_8760","Commercial-All Com-IntLight"))</f>
        <v>IPC_8760</v>
      </c>
      <c r="C476" s="641" t="str">
        <f>IF(OR(E476="",E476=0),"No",
IF(AND('Data Entry'!$AF$23="OR",AE476&lt;1),"No",
IF(AND('Data Entry'!$AF$23="ID",E476="Non-standard lighting control system",AD476&lt;1),"No",
IF(AND('Data Entry'!$AF$23="OR",'Proposed Lighting'!F173="Existing LED (Provide Description)",'Proposed Lighting'!AK173=""),"No",
IF('Proposed Lighting'!DD173="Submit Control as Non-Standard","No",
IF(AND('Proposed Lighting'!T173="Non-Standard (Provide Description)",AD476&lt;1),"No",
IF('Proposed Lighting'!AW173&lt;'Proposed Lighting'!AZ173,"No","Yes")))))))</f>
        <v>No</v>
      </c>
      <c r="D476" s="1604">
        <f>'Proposed Lighting'!BQ173-Q476</f>
        <v>0</v>
      </c>
      <c r="E476" s="642" t="str">
        <f>IF('Proposed Lighting'!W173="","",'Proposed Lighting'!W173)</f>
        <v/>
      </c>
      <c r="F476" s="642"/>
      <c r="G476" s="641" t="s">
        <v>786</v>
      </c>
      <c r="H476" s="643">
        <v>10</v>
      </c>
      <c r="I476" s="644">
        <v>1</v>
      </c>
      <c r="J476" s="723">
        <f>IF('Proposed Lighting'!EF173=0,'Proposed Lighting'!AA173,'Proposed Lighting'!EF173)</f>
        <v>0</v>
      </c>
      <c r="K476" s="643" t="str">
        <f>'Proposed Lighting'!CU173</f>
        <v/>
      </c>
      <c r="L476" s="643" t="str">
        <f t="shared" si="103"/>
        <v/>
      </c>
      <c r="M476" s="645">
        <f t="shared" si="106"/>
        <v>0</v>
      </c>
      <c r="N476" s="645"/>
      <c r="O476" s="722">
        <f>IFERROR('Proposed Lighting'!AC173/1000,0)</f>
        <v>0</v>
      </c>
      <c r="P476" s="644">
        <f>'Proposed Lighting'!AV173</f>
        <v>0</v>
      </c>
      <c r="Q476" s="644">
        <f>IF(AND('Proposed Lighting'!T173="Lighting Controls Only",'Data Entry'!$AF$23="OR",'Proposed Lighting'!AU173=2),0,
IF(AND('Proposed Lighting'!T173="Lighting Controls Only",'Data Entry'!$AF$23="OR",'Proposed Lighting'!AU173=3,OR('Proposed Lighting'!W173="ceiling mount",'Proposed Lighting'!W173="wall switch",'Proposed Lighting'!W173="fixture mount (on exisiting equip)",'Proposed Lighting'!W173="daylight harvesting (on existing equip)")),0,
IF('Proposed Lighting'!AF173=1,IF(P476=0,0,J476*O476*(L476*(1-P476))),IF('Proposed Lighting'!AU173=1,0,'Proposed Lighting'!AX173-'Proposed Lighting'!AY173))))</f>
        <v>0</v>
      </c>
      <c r="R476" s="646">
        <f>IF('Proposed Lighting'!T173="Non-standard (provide description",0,
IF(AND(E476="Non-standard control",'Proposed Lighting'!AU173=2),Q476*0.1,
IF(AND(E476="Non-standard control",'Proposed Lighting'!AU173=3),Q476*0.08,
IF('Proposed Lighting'!EF173=0,0,IF('Proposed Lighting'!AU173=1,0,
IF(AND('Data Entry'!$AF$23="ID",'Proposed Lighting'!T173="Lighting controls only"),VLOOKUP(E476,'Proposed Lighting'!$DO$97:$DP$106,2,FALSE),
IF(AND('Data Entry'!$AF$23="OR",'Proposed Lighting'!AU173=3,'Proposed Lighting'!T173="Lighting controls only"),VLOOKUP(E476,'Proposed Lighting'!$DO$127:$DP$134,2,FALSE),0)))))))*J476</f>
        <v>0</v>
      </c>
      <c r="S476" s="646">
        <f>IF(Q476&lt;0.01,0,IF('Proposed Lighting'!AK173&gt;0,'Proposed Lighting'!AK173*'Proposed Lighting'!EF173,0))</f>
        <v>0</v>
      </c>
      <c r="T476" s="647">
        <f t="shared" si="104"/>
        <v>0</v>
      </c>
      <c r="U476" s="648"/>
      <c r="V476" s="646">
        <f t="shared" si="107"/>
        <v>0</v>
      </c>
      <c r="W476" s="646">
        <f t="shared" si="108"/>
        <v>0</v>
      </c>
      <c r="X476" s="646">
        <f t="shared" si="109"/>
        <v>0</v>
      </c>
      <c r="Y476" s="646"/>
      <c r="Z476" s="646"/>
      <c r="AA476" s="646"/>
      <c r="AB476" s="646">
        <f t="shared" si="110"/>
        <v>0</v>
      </c>
      <c r="AC476" s="649" t="str">
        <f t="shared" si="111"/>
        <v/>
      </c>
      <c r="AD476" s="649" t="str">
        <f t="shared" si="112"/>
        <v/>
      </c>
      <c r="AE476" s="649" t="str">
        <f t="shared" si="113"/>
        <v/>
      </c>
      <c r="AF476" s="72"/>
      <c r="AG476" s="644">
        <f>IFERROR(IF($AV476="No",0,IF($AV476="yes",Summary!Q476,"")),"")</f>
        <v>0</v>
      </c>
      <c r="AH476" s="646">
        <f>IFERROR(IF($AV476="No",0,IF($AV476="yes",Summary!R476,"")),"")</f>
        <v>0</v>
      </c>
      <c r="AI476" s="646">
        <f>IFERROR(IF($AV476="No",0,IF($AV476="yes",Summary!S476,"")),"")</f>
        <v>0</v>
      </c>
      <c r="AJ476" s="647">
        <f>IFERROR(IF($AV476="No",0,IF($AV476="yes",Summary!T476,"")),"")</f>
        <v>0</v>
      </c>
      <c r="AK476" s="648">
        <f>IFERROR(IF($AV476="No",0,IF($AV476="yes",Summary!U476,"")),"")</f>
        <v>0</v>
      </c>
      <c r="AL476" s="646">
        <f>IFERROR(IF($AV476="No",0,IF($AV476="yes",Summary!V476,"")),"")</f>
        <v>0</v>
      </c>
      <c r="AM476" s="646">
        <f>IFERROR(IF($AV476="No",0,IF($AV476="yes",Summary!W476,"")),"")</f>
        <v>0</v>
      </c>
      <c r="AN476" s="646">
        <f>IFERROR(IF($AV476="No",0,IF($AV476="yes",Summary!X476,"")),"")</f>
        <v>0</v>
      </c>
      <c r="AO476" s="646">
        <f>IFERROR(IF($AV476="No",0,IF($AV476="yes",Summary!Y476+Z476,"")),"")</f>
        <v>0</v>
      </c>
      <c r="AP476" s="646">
        <f>IFERROR(IF($AV476="No",0,IF($AV476="yes",Summary!AB476,"")),"")</f>
        <v>0</v>
      </c>
      <c r="AQ476" s="649" t="str">
        <f t="shared" si="101"/>
        <v/>
      </c>
      <c r="AR476" s="649" t="str">
        <f t="shared" si="105"/>
        <v/>
      </c>
      <c r="AS476" s="649" t="str">
        <f t="shared" si="102"/>
        <v/>
      </c>
      <c r="AT476" s="641" t="s">
        <v>950</v>
      </c>
      <c r="AV476" t="str">
        <f>IF('Proposed Lighting'!AK173&gt;0,"No","Yes")</f>
        <v>Yes</v>
      </c>
    </row>
    <row r="477" spans="1:48" ht="34.5" customHeight="1" outlineLevel="1">
      <c r="A477" s="641" t="s">
        <v>951</v>
      </c>
      <c r="B477" s="641" t="str">
        <f>IF('Proposed Lighting'!AU174=3,"Commercial-All Com-ExtLight",IF('Proposed Lighting'!AH174&gt;8759,"IPC_8760","Commercial-All Com-IntLight"))</f>
        <v>IPC_8760</v>
      </c>
      <c r="C477" s="641" t="str">
        <f>IF(OR(E477="",E477=0),"No",
IF(AND('Data Entry'!$AF$23="OR",AE477&lt;1),"No",
IF(AND('Data Entry'!$AF$23="ID",E477="Non-standard lighting control system",AD477&lt;1),"No",
IF(AND('Data Entry'!$AF$23="OR",'Proposed Lighting'!F174="Existing LED (Provide Description)",'Proposed Lighting'!AK174=""),"No",
IF('Proposed Lighting'!DD174="Submit Control as Non-Standard","No",
IF(AND('Proposed Lighting'!T174="Non-Standard (Provide Description)",AD477&lt;1),"No",
IF('Proposed Lighting'!AW174&lt;'Proposed Lighting'!AZ174,"No","Yes")))))))</f>
        <v>No</v>
      </c>
      <c r="D477" s="1604">
        <f>'Proposed Lighting'!BQ174-Q477</f>
        <v>0</v>
      </c>
      <c r="E477" s="642" t="str">
        <f>IF('Proposed Lighting'!W174="","",'Proposed Lighting'!W174)</f>
        <v/>
      </c>
      <c r="F477" s="642"/>
      <c r="G477" s="641" t="s">
        <v>786</v>
      </c>
      <c r="H477" s="643">
        <v>10</v>
      </c>
      <c r="I477" s="644">
        <v>1</v>
      </c>
      <c r="J477" s="723">
        <f>IF('Proposed Lighting'!EF174=0,'Proposed Lighting'!AA174,'Proposed Lighting'!EF174)</f>
        <v>0</v>
      </c>
      <c r="K477" s="643" t="str">
        <f>'Proposed Lighting'!CU174</f>
        <v/>
      </c>
      <c r="L477" s="643" t="str">
        <f t="shared" si="103"/>
        <v/>
      </c>
      <c r="M477" s="645">
        <f t="shared" si="106"/>
        <v>0</v>
      </c>
      <c r="N477" s="645"/>
      <c r="O477" s="722">
        <f>IFERROR('Proposed Lighting'!AC174/1000,0)</f>
        <v>0</v>
      </c>
      <c r="P477" s="644">
        <f>'Proposed Lighting'!AV174</f>
        <v>0</v>
      </c>
      <c r="Q477" s="644">
        <f>IF(AND('Proposed Lighting'!T174="Lighting Controls Only",'Data Entry'!$AF$23="OR",'Proposed Lighting'!AU174=2),0,
IF(AND('Proposed Lighting'!T174="Lighting Controls Only",'Data Entry'!$AF$23="OR",'Proposed Lighting'!AU174=3,OR('Proposed Lighting'!W174="ceiling mount",'Proposed Lighting'!W174="wall switch",'Proposed Lighting'!W174="fixture mount (on exisiting equip)",'Proposed Lighting'!W174="daylight harvesting (on existing equip)")),0,
IF('Proposed Lighting'!AF174=1,IF(P477=0,0,J477*O477*(L477*(1-P477))),IF('Proposed Lighting'!AU174=1,0,'Proposed Lighting'!AX174-'Proposed Lighting'!AY174))))</f>
        <v>0</v>
      </c>
      <c r="R477" s="646">
        <f>IF('Proposed Lighting'!T174="Non-standard (provide description",0,
IF(AND(E477="Non-standard control",'Proposed Lighting'!AU174=2),Q477*0.1,
IF(AND(E477="Non-standard control",'Proposed Lighting'!AU174=3),Q477*0.08,
IF('Proposed Lighting'!EF174=0,0,IF('Proposed Lighting'!AU174=1,0,
IF(AND('Data Entry'!$AF$23="ID",'Proposed Lighting'!T174="Lighting controls only"),VLOOKUP(E477,'Proposed Lighting'!$DO$97:$DP$106,2,FALSE),
IF(AND('Data Entry'!$AF$23="OR",'Proposed Lighting'!AU174=3,'Proposed Lighting'!T174="Lighting controls only"),VLOOKUP(E477,'Proposed Lighting'!$DO$127:$DP$134,2,FALSE),0)))))))*J477</f>
        <v>0</v>
      </c>
      <c r="S477" s="646">
        <f>IF(Q477&lt;0.01,0,IF('Proposed Lighting'!AK174&gt;0,'Proposed Lighting'!AK174*'Proposed Lighting'!EF174,0))</f>
        <v>0</v>
      </c>
      <c r="T477" s="647">
        <f t="shared" si="104"/>
        <v>0</v>
      </c>
      <c r="U477" s="648"/>
      <c r="V477" s="646">
        <f t="shared" si="107"/>
        <v>0</v>
      </c>
      <c r="W477" s="646">
        <f t="shared" si="108"/>
        <v>0</v>
      </c>
      <c r="X477" s="646">
        <f t="shared" si="109"/>
        <v>0</v>
      </c>
      <c r="Y477" s="646"/>
      <c r="Z477" s="646"/>
      <c r="AA477" s="646"/>
      <c r="AB477" s="646">
        <f t="shared" si="110"/>
        <v>0</v>
      </c>
      <c r="AC477" s="649" t="str">
        <f t="shared" si="111"/>
        <v/>
      </c>
      <c r="AD477" s="649" t="str">
        <f t="shared" si="112"/>
        <v/>
      </c>
      <c r="AE477" s="649" t="str">
        <f t="shared" si="113"/>
        <v/>
      </c>
      <c r="AF477" s="72"/>
      <c r="AG477" s="644">
        <f>IFERROR(IF($AV477="No",0,IF($AV477="yes",Summary!Q477,"")),"")</f>
        <v>0</v>
      </c>
      <c r="AH477" s="646">
        <f>IFERROR(IF($AV477="No",0,IF($AV477="yes",Summary!R477,"")),"")</f>
        <v>0</v>
      </c>
      <c r="AI477" s="646">
        <f>IFERROR(IF($AV477="No",0,IF($AV477="yes",Summary!S477,"")),"")</f>
        <v>0</v>
      </c>
      <c r="AJ477" s="647">
        <f>IFERROR(IF($AV477="No",0,IF($AV477="yes",Summary!T477,"")),"")</f>
        <v>0</v>
      </c>
      <c r="AK477" s="648">
        <f>IFERROR(IF($AV477="No",0,IF($AV477="yes",Summary!U477,"")),"")</f>
        <v>0</v>
      </c>
      <c r="AL477" s="646">
        <f>IFERROR(IF($AV477="No",0,IF($AV477="yes",Summary!V477,"")),"")</f>
        <v>0</v>
      </c>
      <c r="AM477" s="646">
        <f>IFERROR(IF($AV477="No",0,IF($AV477="yes",Summary!W477,"")),"")</f>
        <v>0</v>
      </c>
      <c r="AN477" s="646">
        <f>IFERROR(IF($AV477="No",0,IF($AV477="yes",Summary!X477,"")),"")</f>
        <v>0</v>
      </c>
      <c r="AO477" s="646">
        <f>IFERROR(IF($AV477="No",0,IF($AV477="yes",Summary!Y477+Z477,"")),"")</f>
        <v>0</v>
      </c>
      <c r="AP477" s="646">
        <f>IFERROR(IF($AV477="No",0,IF($AV477="yes",Summary!AB477,"")),"")</f>
        <v>0</v>
      </c>
      <c r="AQ477" s="649" t="str">
        <f t="shared" si="101"/>
        <v/>
      </c>
      <c r="AR477" s="649" t="str">
        <f t="shared" si="105"/>
        <v/>
      </c>
      <c r="AS477" s="649" t="str">
        <f t="shared" si="102"/>
        <v/>
      </c>
      <c r="AT477" s="641" t="s">
        <v>951</v>
      </c>
      <c r="AV477" t="str">
        <f>IF('Proposed Lighting'!AK174&gt;0,"No","Yes")</f>
        <v>Yes</v>
      </c>
    </row>
    <row r="478" spans="1:48" ht="34.5" customHeight="1" outlineLevel="1">
      <c r="A478" s="641" t="s">
        <v>952</v>
      </c>
      <c r="B478" s="641" t="str">
        <f>IF('Proposed Lighting'!AU175=3,"Commercial-All Com-ExtLight",IF('Proposed Lighting'!AH175&gt;8759,"IPC_8760","Commercial-All Com-IntLight"))</f>
        <v>IPC_8760</v>
      </c>
      <c r="C478" s="641" t="str">
        <f>IF(OR(E478="",E478=0),"No",
IF(AND('Data Entry'!$AF$23="OR",AE478&lt;1),"No",
IF(AND('Data Entry'!$AF$23="ID",E478="Non-standard lighting control system",AD478&lt;1),"No",
IF(AND('Data Entry'!$AF$23="OR",'Proposed Lighting'!F175="Existing LED (Provide Description)",'Proposed Lighting'!AK175=""),"No",
IF('Proposed Lighting'!DD175="Submit Control as Non-Standard","No",
IF(AND('Proposed Lighting'!T175="Non-Standard (Provide Description)",AD478&lt;1),"No",
IF('Proposed Lighting'!AW175&lt;'Proposed Lighting'!AZ175,"No","Yes")))))))</f>
        <v>No</v>
      </c>
      <c r="D478" s="1604">
        <f>'Proposed Lighting'!BQ175-Q478</f>
        <v>0</v>
      </c>
      <c r="E478" s="642" t="str">
        <f>IF('Proposed Lighting'!W175="","",'Proposed Lighting'!W175)</f>
        <v/>
      </c>
      <c r="F478" s="642"/>
      <c r="G478" s="641" t="s">
        <v>786</v>
      </c>
      <c r="H478" s="643">
        <v>10</v>
      </c>
      <c r="I478" s="644">
        <v>1</v>
      </c>
      <c r="J478" s="723">
        <f>IF('Proposed Lighting'!EF175=0,'Proposed Lighting'!AA175,'Proposed Lighting'!EF175)</f>
        <v>0</v>
      </c>
      <c r="K478" s="643" t="str">
        <f>'Proposed Lighting'!CU175</f>
        <v/>
      </c>
      <c r="L478" s="643" t="str">
        <f t="shared" si="103"/>
        <v/>
      </c>
      <c r="M478" s="645">
        <f t="shared" si="106"/>
        <v>0</v>
      </c>
      <c r="N478" s="645"/>
      <c r="O478" s="722">
        <f>IFERROR('Proposed Lighting'!AC175/1000,0)</f>
        <v>0</v>
      </c>
      <c r="P478" s="644">
        <f>'Proposed Lighting'!AV175</f>
        <v>0</v>
      </c>
      <c r="Q478" s="644">
        <f>IF(AND('Proposed Lighting'!T175="Lighting Controls Only",'Data Entry'!$AF$23="OR",'Proposed Lighting'!AU175=2),0,
IF(AND('Proposed Lighting'!T175="Lighting Controls Only",'Data Entry'!$AF$23="OR",'Proposed Lighting'!AU175=3,OR('Proposed Lighting'!W175="ceiling mount",'Proposed Lighting'!W175="wall switch",'Proposed Lighting'!W175="fixture mount (on exisiting equip)",'Proposed Lighting'!W175="daylight harvesting (on existing equip)")),0,
IF('Proposed Lighting'!AF175=1,IF(P478=0,0,J478*O478*(L478*(1-P478))),IF('Proposed Lighting'!AU175=1,0,'Proposed Lighting'!AX175-'Proposed Lighting'!AY175))))</f>
        <v>0</v>
      </c>
      <c r="R478" s="646">
        <f>IF('Proposed Lighting'!T175="Non-standard (provide description",0,
IF(AND(E478="Non-standard control",'Proposed Lighting'!AU175=2),Q478*0.1,
IF(AND(E478="Non-standard control",'Proposed Lighting'!AU175=3),Q478*0.08,
IF('Proposed Lighting'!EF175=0,0,IF('Proposed Lighting'!AU175=1,0,
IF(AND('Data Entry'!$AF$23="ID",'Proposed Lighting'!T175="Lighting controls only"),VLOOKUP(E478,'Proposed Lighting'!$DO$97:$DP$106,2,FALSE),
IF(AND('Data Entry'!$AF$23="OR",'Proposed Lighting'!AU175=3,'Proposed Lighting'!T175="Lighting controls only"),VLOOKUP(E478,'Proposed Lighting'!$DO$127:$DP$134,2,FALSE),0)))))))*J478</f>
        <v>0</v>
      </c>
      <c r="S478" s="646">
        <f>IF(Q478&lt;0.01,0,IF('Proposed Lighting'!AK175&gt;0,'Proposed Lighting'!AK175*'Proposed Lighting'!EF175,0))</f>
        <v>0</v>
      </c>
      <c r="T478" s="647">
        <f t="shared" si="104"/>
        <v>0</v>
      </c>
      <c r="U478" s="648"/>
      <c r="V478" s="646">
        <f t="shared" si="107"/>
        <v>0</v>
      </c>
      <c r="W478" s="646">
        <f t="shared" si="108"/>
        <v>0</v>
      </c>
      <c r="X478" s="646">
        <f t="shared" si="109"/>
        <v>0</v>
      </c>
      <c r="Y478" s="646"/>
      <c r="Z478" s="646"/>
      <c r="AA478" s="646"/>
      <c r="AB478" s="646">
        <f t="shared" si="110"/>
        <v>0</v>
      </c>
      <c r="AC478" s="649" t="str">
        <f t="shared" si="111"/>
        <v/>
      </c>
      <c r="AD478" s="649" t="str">
        <f t="shared" si="112"/>
        <v/>
      </c>
      <c r="AE478" s="649" t="str">
        <f t="shared" si="113"/>
        <v/>
      </c>
      <c r="AF478" s="72"/>
      <c r="AG478" s="644">
        <f>IFERROR(IF($AV478="No",0,IF($AV478="yes",Summary!Q478,"")),"")</f>
        <v>0</v>
      </c>
      <c r="AH478" s="646">
        <f>IFERROR(IF($AV478="No",0,IF($AV478="yes",Summary!R478,"")),"")</f>
        <v>0</v>
      </c>
      <c r="AI478" s="646">
        <f>IFERROR(IF($AV478="No",0,IF($AV478="yes",Summary!S478,"")),"")</f>
        <v>0</v>
      </c>
      <c r="AJ478" s="647">
        <f>IFERROR(IF($AV478="No",0,IF($AV478="yes",Summary!T478,"")),"")</f>
        <v>0</v>
      </c>
      <c r="AK478" s="648">
        <f>IFERROR(IF($AV478="No",0,IF($AV478="yes",Summary!U478,"")),"")</f>
        <v>0</v>
      </c>
      <c r="AL478" s="646">
        <f>IFERROR(IF($AV478="No",0,IF($AV478="yes",Summary!V478,"")),"")</f>
        <v>0</v>
      </c>
      <c r="AM478" s="646">
        <f>IFERROR(IF($AV478="No",0,IF($AV478="yes",Summary!W478,"")),"")</f>
        <v>0</v>
      </c>
      <c r="AN478" s="646">
        <f>IFERROR(IF($AV478="No",0,IF($AV478="yes",Summary!X478,"")),"")</f>
        <v>0</v>
      </c>
      <c r="AO478" s="646">
        <f>IFERROR(IF($AV478="No",0,IF($AV478="yes",Summary!Y478+Z478,"")),"")</f>
        <v>0</v>
      </c>
      <c r="AP478" s="646">
        <f>IFERROR(IF($AV478="No",0,IF($AV478="yes",Summary!AB478,"")),"")</f>
        <v>0</v>
      </c>
      <c r="AQ478" s="649" t="str">
        <f t="shared" si="101"/>
        <v/>
      </c>
      <c r="AR478" s="649" t="str">
        <f t="shared" si="105"/>
        <v/>
      </c>
      <c r="AS478" s="649" t="str">
        <f t="shared" si="102"/>
        <v/>
      </c>
      <c r="AT478" s="641" t="s">
        <v>952</v>
      </c>
      <c r="AV478" t="str">
        <f>IF('Proposed Lighting'!AK175&gt;0,"No","Yes")</f>
        <v>Yes</v>
      </c>
    </row>
    <row r="479" spans="1:48" ht="34.5" customHeight="1" outlineLevel="1">
      <c r="A479" s="641" t="s">
        <v>953</v>
      </c>
      <c r="B479" s="641" t="str">
        <f>IF('Proposed Lighting'!AU176=3,"Commercial-All Com-ExtLight",IF('Proposed Lighting'!AH176&gt;8759,"IPC_8760","Commercial-All Com-IntLight"))</f>
        <v>IPC_8760</v>
      </c>
      <c r="C479" s="641" t="str">
        <f>IF(OR(E479="",E479=0),"No",
IF(AND('Data Entry'!$AF$23="OR",AE479&lt;1),"No",
IF(AND('Data Entry'!$AF$23="ID",E479="Non-standard lighting control system",AD479&lt;1),"No",
IF(AND('Data Entry'!$AF$23="OR",'Proposed Lighting'!F176="Existing LED (Provide Description)",'Proposed Lighting'!AK176=""),"No",
IF('Proposed Lighting'!DD176="Submit Control as Non-Standard","No",
IF(AND('Proposed Lighting'!T176="Non-Standard (Provide Description)",AD479&lt;1),"No",
IF('Proposed Lighting'!AW176&lt;'Proposed Lighting'!AZ176,"No","Yes")))))))</f>
        <v>No</v>
      </c>
      <c r="D479" s="1604">
        <f>'Proposed Lighting'!BQ176-Q479</f>
        <v>0</v>
      </c>
      <c r="E479" s="642" t="str">
        <f>IF('Proposed Lighting'!W176="","",'Proposed Lighting'!W176)</f>
        <v/>
      </c>
      <c r="F479" s="642"/>
      <c r="G479" s="641" t="s">
        <v>786</v>
      </c>
      <c r="H479" s="643">
        <v>10</v>
      </c>
      <c r="I479" s="644">
        <v>1</v>
      </c>
      <c r="J479" s="723">
        <f>IF('Proposed Lighting'!EF176=0,'Proposed Lighting'!AA176,'Proposed Lighting'!EF176)</f>
        <v>0</v>
      </c>
      <c r="K479" s="643" t="str">
        <f>'Proposed Lighting'!CU176</f>
        <v/>
      </c>
      <c r="L479" s="643" t="str">
        <f t="shared" si="103"/>
        <v/>
      </c>
      <c r="M479" s="645">
        <f t="shared" si="106"/>
        <v>0</v>
      </c>
      <c r="N479" s="645"/>
      <c r="O479" s="722">
        <f>IFERROR('Proposed Lighting'!AC176/1000,0)</f>
        <v>0</v>
      </c>
      <c r="P479" s="644">
        <f>'Proposed Lighting'!AV176</f>
        <v>0</v>
      </c>
      <c r="Q479" s="644">
        <f>IF(AND('Proposed Lighting'!T176="Lighting Controls Only",'Data Entry'!$AF$23="OR",'Proposed Lighting'!AU176=2),0,
IF(AND('Proposed Lighting'!T176="Lighting Controls Only",'Data Entry'!$AF$23="OR",'Proposed Lighting'!AU176=3,OR('Proposed Lighting'!W176="ceiling mount",'Proposed Lighting'!W176="wall switch",'Proposed Lighting'!W176="fixture mount (on exisiting equip)",'Proposed Lighting'!W176="daylight harvesting (on existing equip)")),0,
IF('Proposed Lighting'!AF176=1,IF(P479=0,0,J479*O479*(L479*(1-P479))),IF('Proposed Lighting'!AU176=1,0,'Proposed Lighting'!AX176-'Proposed Lighting'!AY176))))</f>
        <v>0</v>
      </c>
      <c r="R479" s="646">
        <f>IF('Proposed Lighting'!T176="Non-standard (provide description",0,
IF(AND(E479="Non-standard control",'Proposed Lighting'!AU176=2),Q479*0.1,
IF(AND(E479="Non-standard control",'Proposed Lighting'!AU176=3),Q479*0.08,
IF('Proposed Lighting'!EF176=0,0,IF('Proposed Lighting'!AU176=1,0,
IF(AND('Data Entry'!$AF$23="ID",'Proposed Lighting'!T176="Lighting controls only"),VLOOKUP(E479,'Proposed Lighting'!$DO$97:$DP$106,2,FALSE),
IF(AND('Data Entry'!$AF$23="OR",'Proposed Lighting'!AU176=3,'Proposed Lighting'!T176="Lighting controls only"),VLOOKUP(E479,'Proposed Lighting'!$DO$127:$DP$134,2,FALSE),0)))))))*J479</f>
        <v>0</v>
      </c>
      <c r="S479" s="646">
        <f>IF(Q479&lt;0.01,0,IF('Proposed Lighting'!AK176&gt;0,'Proposed Lighting'!AK176*'Proposed Lighting'!EF176,0))</f>
        <v>0</v>
      </c>
      <c r="T479" s="647">
        <f t="shared" si="104"/>
        <v>0</v>
      </c>
      <c r="U479" s="648"/>
      <c r="V479" s="646">
        <f t="shared" si="107"/>
        <v>0</v>
      </c>
      <c r="W479" s="646">
        <f t="shared" si="108"/>
        <v>0</v>
      </c>
      <c r="X479" s="646">
        <f t="shared" si="109"/>
        <v>0</v>
      </c>
      <c r="Y479" s="646"/>
      <c r="Z479" s="646"/>
      <c r="AA479" s="646"/>
      <c r="AB479" s="646">
        <f t="shared" si="110"/>
        <v>0</v>
      </c>
      <c r="AC479" s="649" t="str">
        <f t="shared" si="111"/>
        <v/>
      </c>
      <c r="AD479" s="649" t="str">
        <f t="shared" si="112"/>
        <v/>
      </c>
      <c r="AE479" s="649" t="str">
        <f t="shared" si="113"/>
        <v/>
      </c>
      <c r="AF479" s="72"/>
      <c r="AG479" s="644">
        <f>IFERROR(IF($AV479="No",0,IF($AV479="yes",Summary!Q479,"")),"")</f>
        <v>0</v>
      </c>
      <c r="AH479" s="646">
        <f>IFERROR(IF($AV479="No",0,IF($AV479="yes",Summary!R479,"")),"")</f>
        <v>0</v>
      </c>
      <c r="AI479" s="646">
        <f>IFERROR(IF($AV479="No",0,IF($AV479="yes",Summary!S479,"")),"")</f>
        <v>0</v>
      </c>
      <c r="AJ479" s="647">
        <f>IFERROR(IF($AV479="No",0,IF($AV479="yes",Summary!T479,"")),"")</f>
        <v>0</v>
      </c>
      <c r="AK479" s="648">
        <f>IFERROR(IF($AV479="No",0,IF($AV479="yes",Summary!U479,"")),"")</f>
        <v>0</v>
      </c>
      <c r="AL479" s="646">
        <f>IFERROR(IF($AV479="No",0,IF($AV479="yes",Summary!V479,"")),"")</f>
        <v>0</v>
      </c>
      <c r="AM479" s="646">
        <f>IFERROR(IF($AV479="No",0,IF($AV479="yes",Summary!W479,"")),"")</f>
        <v>0</v>
      </c>
      <c r="AN479" s="646">
        <f>IFERROR(IF($AV479="No",0,IF($AV479="yes",Summary!X479,"")),"")</f>
        <v>0</v>
      </c>
      <c r="AO479" s="646">
        <f>IFERROR(IF($AV479="No",0,IF($AV479="yes",Summary!Y479+Z479,"")),"")</f>
        <v>0</v>
      </c>
      <c r="AP479" s="646">
        <f>IFERROR(IF($AV479="No",0,IF($AV479="yes",Summary!AB479,"")),"")</f>
        <v>0</v>
      </c>
      <c r="AQ479" s="649" t="str">
        <f t="shared" si="101"/>
        <v/>
      </c>
      <c r="AR479" s="649" t="str">
        <f t="shared" si="105"/>
        <v/>
      </c>
      <c r="AS479" s="649" t="str">
        <f t="shared" si="102"/>
        <v/>
      </c>
      <c r="AT479" s="641" t="s">
        <v>953</v>
      </c>
      <c r="AV479" t="str">
        <f>IF('Proposed Lighting'!AK176&gt;0,"No","Yes")</f>
        <v>Yes</v>
      </c>
    </row>
    <row r="480" spans="1:48" ht="34.5" customHeight="1" outlineLevel="1">
      <c r="A480" s="641" t="s">
        <v>954</v>
      </c>
      <c r="B480" s="641" t="str">
        <f>IF('Proposed Lighting'!AU177=3,"Commercial-All Com-ExtLight",IF('Proposed Lighting'!AH177&gt;8759,"IPC_8760","Commercial-All Com-IntLight"))</f>
        <v>IPC_8760</v>
      </c>
      <c r="C480" s="641" t="str">
        <f>IF(OR(E480="",E480=0),"No",
IF(AND('Data Entry'!$AF$23="OR",AE480&lt;1),"No",
IF(AND('Data Entry'!$AF$23="ID",E480="Non-standard lighting control system",AD480&lt;1),"No",
IF(AND('Data Entry'!$AF$23="OR",'Proposed Lighting'!F177="Existing LED (Provide Description)",'Proposed Lighting'!AK177=""),"No",
IF('Proposed Lighting'!DD177="Submit Control as Non-Standard","No",
IF(AND('Proposed Lighting'!T177="Non-Standard (Provide Description)",AD480&lt;1),"No",
IF('Proposed Lighting'!AW177&lt;'Proposed Lighting'!AZ177,"No","Yes")))))))</f>
        <v>No</v>
      </c>
      <c r="D480" s="1604">
        <f>'Proposed Lighting'!BQ177-Q480</f>
        <v>0</v>
      </c>
      <c r="E480" s="642" t="str">
        <f>IF('Proposed Lighting'!W177="","",'Proposed Lighting'!W177)</f>
        <v/>
      </c>
      <c r="F480" s="642"/>
      <c r="G480" s="641" t="s">
        <v>786</v>
      </c>
      <c r="H480" s="643">
        <v>10</v>
      </c>
      <c r="I480" s="644">
        <v>1</v>
      </c>
      <c r="J480" s="723">
        <f>IF('Proposed Lighting'!EF177=0,'Proposed Lighting'!AA177,'Proposed Lighting'!EF177)</f>
        <v>0</v>
      </c>
      <c r="K480" s="643" t="str">
        <f>'Proposed Lighting'!CU177</f>
        <v/>
      </c>
      <c r="L480" s="643" t="str">
        <f t="shared" si="103"/>
        <v/>
      </c>
      <c r="M480" s="645">
        <f t="shared" si="106"/>
        <v>0</v>
      </c>
      <c r="N480" s="645"/>
      <c r="O480" s="722">
        <f>IFERROR('Proposed Lighting'!AC177/1000,0)</f>
        <v>0</v>
      </c>
      <c r="P480" s="644">
        <f>'Proposed Lighting'!AV177</f>
        <v>0</v>
      </c>
      <c r="Q480" s="644">
        <f>IF(AND('Proposed Lighting'!T177="Lighting Controls Only",'Data Entry'!$AF$23="OR",'Proposed Lighting'!AU177=2),0,
IF(AND('Proposed Lighting'!T177="Lighting Controls Only",'Data Entry'!$AF$23="OR",'Proposed Lighting'!AU177=3,OR('Proposed Lighting'!W177="ceiling mount",'Proposed Lighting'!W177="wall switch",'Proposed Lighting'!W177="fixture mount (on exisiting equip)",'Proposed Lighting'!W177="daylight harvesting (on existing equip)")),0,
IF('Proposed Lighting'!AF177=1,IF(P480=0,0,J480*O480*(L480*(1-P480))),IF('Proposed Lighting'!AU177=1,0,'Proposed Lighting'!AX177-'Proposed Lighting'!AY177))))</f>
        <v>0</v>
      </c>
      <c r="R480" s="646">
        <f>IF('Proposed Lighting'!T177="Non-standard (provide description",0,
IF(AND(E480="Non-standard control",'Proposed Lighting'!AU177=2),Q480*0.1,
IF(AND(E480="Non-standard control",'Proposed Lighting'!AU177=3),Q480*0.08,
IF('Proposed Lighting'!EF177=0,0,IF('Proposed Lighting'!AU177=1,0,
IF(AND('Data Entry'!$AF$23="ID",'Proposed Lighting'!T177="Lighting controls only"),VLOOKUP(E480,'Proposed Lighting'!$DO$97:$DP$106,2,FALSE),
IF(AND('Data Entry'!$AF$23="OR",'Proposed Lighting'!AU177=3,'Proposed Lighting'!T177="Lighting controls only"),VLOOKUP(E480,'Proposed Lighting'!$DO$127:$DP$134,2,FALSE),0)))))))*J480</f>
        <v>0</v>
      </c>
      <c r="S480" s="646">
        <f>IF(Q480&lt;0.01,0,IF('Proposed Lighting'!AK177&gt;0,'Proposed Lighting'!AK177*'Proposed Lighting'!EF177,0))</f>
        <v>0</v>
      </c>
      <c r="T480" s="647">
        <f t="shared" si="104"/>
        <v>0</v>
      </c>
      <c r="U480" s="648"/>
      <c r="V480" s="646">
        <f t="shared" si="107"/>
        <v>0</v>
      </c>
      <c r="W480" s="646">
        <f t="shared" si="108"/>
        <v>0</v>
      </c>
      <c r="X480" s="646">
        <f t="shared" si="109"/>
        <v>0</v>
      </c>
      <c r="Y480" s="646"/>
      <c r="Z480" s="646"/>
      <c r="AA480" s="646"/>
      <c r="AB480" s="646">
        <f t="shared" si="110"/>
        <v>0</v>
      </c>
      <c r="AC480" s="649" t="str">
        <f t="shared" si="111"/>
        <v/>
      </c>
      <c r="AD480" s="649" t="str">
        <f t="shared" si="112"/>
        <v/>
      </c>
      <c r="AE480" s="649" t="str">
        <f t="shared" si="113"/>
        <v/>
      </c>
      <c r="AF480" s="72"/>
      <c r="AG480" s="644">
        <f>IFERROR(IF($AV480="No",0,IF($AV480="yes",Summary!Q480,"")),"")</f>
        <v>0</v>
      </c>
      <c r="AH480" s="646">
        <f>IFERROR(IF($AV480="No",0,IF($AV480="yes",Summary!R480,"")),"")</f>
        <v>0</v>
      </c>
      <c r="AI480" s="646">
        <f>IFERROR(IF($AV480="No",0,IF($AV480="yes",Summary!S480,"")),"")</f>
        <v>0</v>
      </c>
      <c r="AJ480" s="647">
        <f>IFERROR(IF($AV480="No",0,IF($AV480="yes",Summary!T480,"")),"")</f>
        <v>0</v>
      </c>
      <c r="AK480" s="648">
        <f>IFERROR(IF($AV480="No",0,IF($AV480="yes",Summary!U480,"")),"")</f>
        <v>0</v>
      </c>
      <c r="AL480" s="646">
        <f>IFERROR(IF($AV480="No",0,IF($AV480="yes",Summary!V480,"")),"")</f>
        <v>0</v>
      </c>
      <c r="AM480" s="646">
        <f>IFERROR(IF($AV480="No",0,IF($AV480="yes",Summary!W480,"")),"")</f>
        <v>0</v>
      </c>
      <c r="AN480" s="646">
        <f>IFERROR(IF($AV480="No",0,IF($AV480="yes",Summary!X480,"")),"")</f>
        <v>0</v>
      </c>
      <c r="AO480" s="646">
        <f>IFERROR(IF($AV480="No",0,IF($AV480="yes",Summary!Y480+Z480,"")),"")</f>
        <v>0</v>
      </c>
      <c r="AP480" s="646">
        <f>IFERROR(IF($AV480="No",0,IF($AV480="yes",Summary!AB480,"")),"")</f>
        <v>0</v>
      </c>
      <c r="AQ480" s="649" t="str">
        <f t="shared" si="101"/>
        <v/>
      </c>
      <c r="AR480" s="649" t="str">
        <f t="shared" si="105"/>
        <v/>
      </c>
      <c r="AS480" s="649" t="str">
        <f t="shared" si="102"/>
        <v/>
      </c>
      <c r="AT480" s="641" t="s">
        <v>954</v>
      </c>
      <c r="AV480" t="str">
        <f>IF('Proposed Lighting'!AK177&gt;0,"No","Yes")</f>
        <v>Yes</v>
      </c>
    </row>
    <row r="481" spans="1:48" ht="34.5" customHeight="1" outlineLevel="1">
      <c r="A481" s="641" t="s">
        <v>955</v>
      </c>
      <c r="B481" s="641" t="str">
        <f>IF('Proposed Lighting'!AU178=3,"Commercial-All Com-ExtLight",IF('Proposed Lighting'!AH178&gt;8759,"IPC_8760","Commercial-All Com-IntLight"))</f>
        <v>IPC_8760</v>
      </c>
      <c r="C481" s="641" t="str">
        <f>IF(OR(E481="",E481=0),"No",
IF(AND('Data Entry'!$AF$23="OR",AE481&lt;1),"No",
IF(AND('Data Entry'!$AF$23="ID",E481="Non-standard lighting control system",AD481&lt;1),"No",
IF(AND('Data Entry'!$AF$23="OR",'Proposed Lighting'!F178="Existing LED (Provide Description)",'Proposed Lighting'!AK178=""),"No",
IF('Proposed Lighting'!DD178="Submit Control as Non-Standard","No",
IF(AND('Proposed Lighting'!T178="Non-Standard (Provide Description)",AD481&lt;1),"No",
IF('Proposed Lighting'!AW178&lt;'Proposed Lighting'!AZ178,"No","Yes")))))))</f>
        <v>No</v>
      </c>
      <c r="D481" s="1604">
        <f>'Proposed Lighting'!BQ178-Q481</f>
        <v>0</v>
      </c>
      <c r="E481" s="642" t="str">
        <f>IF('Proposed Lighting'!W178="","",'Proposed Lighting'!W178)</f>
        <v/>
      </c>
      <c r="F481" s="642"/>
      <c r="G481" s="641" t="s">
        <v>786</v>
      </c>
      <c r="H481" s="643">
        <v>10</v>
      </c>
      <c r="I481" s="644">
        <v>1</v>
      </c>
      <c r="J481" s="723">
        <f>IF('Proposed Lighting'!EF178=0,'Proposed Lighting'!AA178,'Proposed Lighting'!EF178)</f>
        <v>0</v>
      </c>
      <c r="K481" s="643" t="str">
        <f>'Proposed Lighting'!CU178</f>
        <v/>
      </c>
      <c r="L481" s="643" t="str">
        <f t="shared" si="103"/>
        <v/>
      </c>
      <c r="M481" s="645">
        <f t="shared" si="106"/>
        <v>0</v>
      </c>
      <c r="N481" s="645"/>
      <c r="O481" s="722">
        <f>IFERROR('Proposed Lighting'!AC178/1000,0)</f>
        <v>0</v>
      </c>
      <c r="P481" s="644">
        <f>'Proposed Lighting'!AV178</f>
        <v>0</v>
      </c>
      <c r="Q481" s="644">
        <f>IF(AND('Proposed Lighting'!T178="Lighting Controls Only",'Data Entry'!$AF$23="OR",'Proposed Lighting'!AU178=2),0,
IF(AND('Proposed Lighting'!T178="Lighting Controls Only",'Data Entry'!$AF$23="OR",'Proposed Lighting'!AU178=3,OR('Proposed Lighting'!W178="ceiling mount",'Proposed Lighting'!W178="wall switch",'Proposed Lighting'!W178="fixture mount (on exisiting equip)",'Proposed Lighting'!W178="daylight harvesting (on existing equip)")),0,
IF('Proposed Lighting'!AF178=1,IF(P481=0,0,J481*O481*(L481*(1-P481))),IF('Proposed Lighting'!AU178=1,0,'Proposed Lighting'!AX178-'Proposed Lighting'!AY178))))</f>
        <v>0</v>
      </c>
      <c r="R481" s="646">
        <f>IF('Proposed Lighting'!T178="Non-standard (provide description",0,
IF(AND(E481="Non-standard control",'Proposed Lighting'!AU178=2),Q481*0.1,
IF(AND(E481="Non-standard control",'Proposed Lighting'!AU178=3),Q481*0.08,
IF('Proposed Lighting'!EF178=0,0,IF('Proposed Lighting'!AU178=1,0,
IF(AND('Data Entry'!$AF$23="ID",'Proposed Lighting'!T178="Lighting controls only"),VLOOKUP(E481,'Proposed Lighting'!$DO$97:$DP$106,2,FALSE),
IF(AND('Data Entry'!$AF$23="OR",'Proposed Lighting'!AU178=3,'Proposed Lighting'!T178="Lighting controls only"),VLOOKUP(E481,'Proposed Lighting'!$DO$127:$DP$134,2,FALSE),0)))))))*J481</f>
        <v>0</v>
      </c>
      <c r="S481" s="646">
        <f>IF(Q481&lt;0.01,0,IF('Proposed Lighting'!AK178&gt;0,'Proposed Lighting'!AK178*'Proposed Lighting'!EF178,0))</f>
        <v>0</v>
      </c>
      <c r="T481" s="647">
        <f t="shared" si="104"/>
        <v>0</v>
      </c>
      <c r="U481" s="648"/>
      <c r="V481" s="646">
        <f t="shared" si="107"/>
        <v>0</v>
      </c>
      <c r="W481" s="646">
        <f t="shared" si="108"/>
        <v>0</v>
      </c>
      <c r="X481" s="646">
        <f t="shared" si="109"/>
        <v>0</v>
      </c>
      <c r="Y481" s="646"/>
      <c r="Z481" s="646"/>
      <c r="AA481" s="646"/>
      <c r="AB481" s="646">
        <f t="shared" si="110"/>
        <v>0</v>
      </c>
      <c r="AC481" s="649" t="str">
        <f t="shared" si="111"/>
        <v/>
      </c>
      <c r="AD481" s="649" t="str">
        <f t="shared" si="112"/>
        <v/>
      </c>
      <c r="AE481" s="649" t="str">
        <f t="shared" si="113"/>
        <v/>
      </c>
      <c r="AF481" s="72"/>
      <c r="AG481" s="644">
        <f>IFERROR(IF($AV481="No",0,IF($AV481="yes",Summary!Q481,"")),"")</f>
        <v>0</v>
      </c>
      <c r="AH481" s="646">
        <f>IFERROR(IF($AV481="No",0,IF($AV481="yes",Summary!R481,"")),"")</f>
        <v>0</v>
      </c>
      <c r="AI481" s="646">
        <f>IFERROR(IF($AV481="No",0,IF($AV481="yes",Summary!S481,"")),"")</f>
        <v>0</v>
      </c>
      <c r="AJ481" s="647">
        <f>IFERROR(IF($AV481="No",0,IF($AV481="yes",Summary!T481,"")),"")</f>
        <v>0</v>
      </c>
      <c r="AK481" s="648">
        <f>IFERROR(IF($AV481="No",0,IF($AV481="yes",Summary!U481,"")),"")</f>
        <v>0</v>
      </c>
      <c r="AL481" s="646">
        <f>IFERROR(IF($AV481="No",0,IF($AV481="yes",Summary!V481,"")),"")</f>
        <v>0</v>
      </c>
      <c r="AM481" s="646">
        <f>IFERROR(IF($AV481="No",0,IF($AV481="yes",Summary!W481,"")),"")</f>
        <v>0</v>
      </c>
      <c r="AN481" s="646">
        <f>IFERROR(IF($AV481="No",0,IF($AV481="yes",Summary!X481,"")),"")</f>
        <v>0</v>
      </c>
      <c r="AO481" s="646">
        <f>IFERROR(IF($AV481="No",0,IF($AV481="yes",Summary!Y481+Z481,"")),"")</f>
        <v>0</v>
      </c>
      <c r="AP481" s="646">
        <f>IFERROR(IF($AV481="No",0,IF($AV481="yes",Summary!AB481,"")),"")</f>
        <v>0</v>
      </c>
      <c r="AQ481" s="649" t="str">
        <f t="shared" si="101"/>
        <v/>
      </c>
      <c r="AR481" s="649" t="str">
        <f t="shared" si="105"/>
        <v/>
      </c>
      <c r="AS481" s="649" t="str">
        <f t="shared" si="102"/>
        <v/>
      </c>
      <c r="AT481" s="641" t="s">
        <v>955</v>
      </c>
      <c r="AV481" t="str">
        <f>IF('Proposed Lighting'!AK178&gt;0,"No","Yes")</f>
        <v>Yes</v>
      </c>
    </row>
    <row r="482" spans="1:48" ht="34.5" customHeight="1" outlineLevel="1">
      <c r="A482" s="641" t="s">
        <v>956</v>
      </c>
      <c r="B482" s="641" t="str">
        <f>IF('Proposed Lighting'!AU179=3,"Commercial-All Com-ExtLight",IF('Proposed Lighting'!AH179&gt;8759,"IPC_8760","Commercial-All Com-IntLight"))</f>
        <v>IPC_8760</v>
      </c>
      <c r="C482" s="641" t="str">
        <f>IF(OR(E482="",E482=0),"No",
IF(AND('Data Entry'!$AF$23="OR",AE482&lt;1),"No",
IF(AND('Data Entry'!$AF$23="ID",E482="Non-standard lighting control system",AD482&lt;1),"No",
IF(AND('Data Entry'!$AF$23="OR",'Proposed Lighting'!F179="Existing LED (Provide Description)",'Proposed Lighting'!AK179=""),"No",
IF('Proposed Lighting'!DD179="Submit Control as Non-Standard","No",
IF(AND('Proposed Lighting'!T179="Non-Standard (Provide Description)",AD482&lt;1),"No",
IF('Proposed Lighting'!AW179&lt;'Proposed Lighting'!AZ179,"No","Yes")))))))</f>
        <v>No</v>
      </c>
      <c r="D482" s="1604">
        <f>'Proposed Lighting'!BQ179-Q482</f>
        <v>0</v>
      </c>
      <c r="E482" s="642" t="str">
        <f>IF('Proposed Lighting'!W179="","",'Proposed Lighting'!W179)</f>
        <v/>
      </c>
      <c r="F482" s="642"/>
      <c r="G482" s="641" t="s">
        <v>786</v>
      </c>
      <c r="H482" s="643">
        <v>10</v>
      </c>
      <c r="I482" s="644">
        <v>1</v>
      </c>
      <c r="J482" s="723">
        <f>IF('Proposed Lighting'!EF179=0,'Proposed Lighting'!AA179,'Proposed Lighting'!EF179)</f>
        <v>0</v>
      </c>
      <c r="K482" s="643" t="str">
        <f>'Proposed Lighting'!CU179</f>
        <v/>
      </c>
      <c r="L482" s="643" t="str">
        <f t="shared" si="103"/>
        <v/>
      </c>
      <c r="M482" s="645">
        <f t="shared" si="106"/>
        <v>0</v>
      </c>
      <c r="N482" s="645"/>
      <c r="O482" s="722">
        <f>IFERROR('Proposed Lighting'!AC179/1000,0)</f>
        <v>0</v>
      </c>
      <c r="P482" s="644">
        <f>'Proposed Lighting'!AV179</f>
        <v>0</v>
      </c>
      <c r="Q482" s="644">
        <f>IF(AND('Proposed Lighting'!T179="Lighting Controls Only",'Data Entry'!$AF$23="OR",'Proposed Lighting'!AU179=2),0,
IF(AND('Proposed Lighting'!T179="Lighting Controls Only",'Data Entry'!$AF$23="OR",'Proposed Lighting'!AU179=3,OR('Proposed Lighting'!W179="ceiling mount",'Proposed Lighting'!W179="wall switch",'Proposed Lighting'!W179="fixture mount (on exisiting equip)",'Proposed Lighting'!W179="daylight harvesting (on existing equip)")),0,
IF('Proposed Lighting'!AF179=1,IF(P482=0,0,J482*O482*(L482*(1-P482))),IF('Proposed Lighting'!AU179=1,0,'Proposed Lighting'!AX179-'Proposed Lighting'!AY179))))</f>
        <v>0</v>
      </c>
      <c r="R482" s="646">
        <f>IF('Proposed Lighting'!T179="Non-standard (provide description",0,
IF(AND(E482="Non-standard control",'Proposed Lighting'!AU179=2),Q482*0.1,
IF(AND(E482="Non-standard control",'Proposed Lighting'!AU179=3),Q482*0.08,
IF('Proposed Lighting'!EF179=0,0,IF('Proposed Lighting'!AU179=1,0,
IF(AND('Data Entry'!$AF$23="ID",'Proposed Lighting'!T179="Lighting controls only"),VLOOKUP(E482,'Proposed Lighting'!$DO$97:$DP$106,2,FALSE),
IF(AND('Data Entry'!$AF$23="OR",'Proposed Lighting'!AU179=3,'Proposed Lighting'!T179="Lighting controls only"),VLOOKUP(E482,'Proposed Lighting'!$DO$127:$DP$134,2,FALSE),0)))))))*J482</f>
        <v>0</v>
      </c>
      <c r="S482" s="646">
        <f>IF(Q482&lt;0.01,0,IF('Proposed Lighting'!AK179&gt;0,'Proposed Lighting'!AK179*'Proposed Lighting'!EF179,0))</f>
        <v>0</v>
      </c>
      <c r="T482" s="647">
        <f t="shared" si="104"/>
        <v>0</v>
      </c>
      <c r="U482" s="648"/>
      <c r="V482" s="646">
        <f t="shared" si="107"/>
        <v>0</v>
      </c>
      <c r="W482" s="646">
        <f t="shared" si="108"/>
        <v>0</v>
      </c>
      <c r="X482" s="646">
        <f t="shared" si="109"/>
        <v>0</v>
      </c>
      <c r="Y482" s="646"/>
      <c r="Z482" s="646"/>
      <c r="AA482" s="646"/>
      <c r="AB482" s="646">
        <f t="shared" si="110"/>
        <v>0</v>
      </c>
      <c r="AC482" s="649" t="str">
        <f t="shared" si="111"/>
        <v/>
      </c>
      <c r="AD482" s="649" t="str">
        <f t="shared" si="112"/>
        <v/>
      </c>
      <c r="AE482" s="649" t="str">
        <f t="shared" si="113"/>
        <v/>
      </c>
      <c r="AF482" s="72"/>
      <c r="AG482" s="644">
        <f>IFERROR(IF($AV482="No",0,IF($AV482="yes",Summary!Q482,"")),"")</f>
        <v>0</v>
      </c>
      <c r="AH482" s="646">
        <f>IFERROR(IF($AV482="No",0,IF($AV482="yes",Summary!R482,"")),"")</f>
        <v>0</v>
      </c>
      <c r="AI482" s="646">
        <f>IFERROR(IF($AV482="No",0,IF($AV482="yes",Summary!S482,"")),"")</f>
        <v>0</v>
      </c>
      <c r="AJ482" s="647">
        <f>IFERROR(IF($AV482="No",0,IF($AV482="yes",Summary!T482,"")),"")</f>
        <v>0</v>
      </c>
      <c r="AK482" s="648">
        <f>IFERROR(IF($AV482="No",0,IF($AV482="yes",Summary!U482,"")),"")</f>
        <v>0</v>
      </c>
      <c r="AL482" s="646">
        <f>IFERROR(IF($AV482="No",0,IF($AV482="yes",Summary!V482,"")),"")</f>
        <v>0</v>
      </c>
      <c r="AM482" s="646">
        <f>IFERROR(IF($AV482="No",0,IF($AV482="yes",Summary!W482,"")),"")</f>
        <v>0</v>
      </c>
      <c r="AN482" s="646">
        <f>IFERROR(IF($AV482="No",0,IF($AV482="yes",Summary!X482,"")),"")</f>
        <v>0</v>
      </c>
      <c r="AO482" s="646">
        <f>IFERROR(IF($AV482="No",0,IF($AV482="yes",Summary!Y482+Z482,"")),"")</f>
        <v>0</v>
      </c>
      <c r="AP482" s="646">
        <f>IFERROR(IF($AV482="No",0,IF($AV482="yes",Summary!AB482,"")),"")</f>
        <v>0</v>
      </c>
      <c r="AQ482" s="649" t="str">
        <f t="shared" si="101"/>
        <v/>
      </c>
      <c r="AR482" s="649" t="str">
        <f t="shared" si="105"/>
        <v/>
      </c>
      <c r="AS482" s="649" t="str">
        <f t="shared" si="102"/>
        <v/>
      </c>
      <c r="AT482" s="641" t="s">
        <v>956</v>
      </c>
      <c r="AV482" t="str">
        <f>IF('Proposed Lighting'!AK179&gt;0,"No","Yes")</f>
        <v>Yes</v>
      </c>
    </row>
    <row r="483" spans="1:48" ht="34.5" customHeight="1" outlineLevel="1">
      <c r="A483" s="641" t="s">
        <v>957</v>
      </c>
      <c r="B483" s="641" t="str">
        <f>IF('Proposed Lighting'!AU180=3,"Commercial-All Com-ExtLight",IF('Proposed Lighting'!AH180&gt;8759,"IPC_8760","Commercial-All Com-IntLight"))</f>
        <v>IPC_8760</v>
      </c>
      <c r="C483" s="641" t="str">
        <f>IF(OR(E483="",E483=0),"No",
IF(AND('Data Entry'!$AF$23="OR",AE483&lt;1),"No",
IF(AND('Data Entry'!$AF$23="ID",E483="Non-standard lighting control system",AD483&lt;1),"No",
IF(AND('Data Entry'!$AF$23="OR",'Proposed Lighting'!F180="Existing LED (Provide Description)",'Proposed Lighting'!AK180=""),"No",
IF('Proposed Lighting'!DD180="Submit Control as Non-Standard","No",
IF(AND('Proposed Lighting'!T180="Non-Standard (Provide Description)",AD483&lt;1),"No",
IF('Proposed Lighting'!AW180&lt;'Proposed Lighting'!AZ180,"No","Yes")))))))</f>
        <v>No</v>
      </c>
      <c r="D483" s="1604">
        <f>'Proposed Lighting'!BQ180-Q483</f>
        <v>0</v>
      </c>
      <c r="E483" s="642" t="str">
        <f>IF('Proposed Lighting'!W180="","",'Proposed Lighting'!W180)</f>
        <v/>
      </c>
      <c r="F483" s="642"/>
      <c r="G483" s="641" t="s">
        <v>786</v>
      </c>
      <c r="H483" s="643">
        <v>10</v>
      </c>
      <c r="I483" s="644">
        <v>1</v>
      </c>
      <c r="J483" s="723">
        <f>IF('Proposed Lighting'!EF180=0,'Proposed Lighting'!AA180,'Proposed Lighting'!EF180)</f>
        <v>0</v>
      </c>
      <c r="K483" s="643" t="str">
        <f>'Proposed Lighting'!CU180</f>
        <v/>
      </c>
      <c r="L483" s="643" t="str">
        <f t="shared" si="103"/>
        <v/>
      </c>
      <c r="M483" s="645">
        <f t="shared" si="106"/>
        <v>0</v>
      </c>
      <c r="N483" s="645"/>
      <c r="O483" s="722">
        <f>IFERROR('Proposed Lighting'!AC180/1000,0)</f>
        <v>0</v>
      </c>
      <c r="P483" s="644">
        <f>'Proposed Lighting'!AV180</f>
        <v>0</v>
      </c>
      <c r="Q483" s="644">
        <f>IF(AND('Proposed Lighting'!T180="Lighting Controls Only",'Data Entry'!$AF$23="OR",'Proposed Lighting'!AU180=2),0,
IF(AND('Proposed Lighting'!T180="Lighting Controls Only",'Data Entry'!$AF$23="OR",'Proposed Lighting'!AU180=3,OR('Proposed Lighting'!W180="ceiling mount",'Proposed Lighting'!W180="wall switch",'Proposed Lighting'!W180="fixture mount (on exisiting equip)",'Proposed Lighting'!W180="daylight harvesting (on existing equip)")),0,
IF('Proposed Lighting'!AF180=1,IF(P483=0,0,J483*O483*(L483*(1-P483))),IF('Proposed Lighting'!AU180=1,0,'Proposed Lighting'!AX180-'Proposed Lighting'!AY180))))</f>
        <v>0</v>
      </c>
      <c r="R483" s="646">
        <f>IF('Proposed Lighting'!T180="Non-standard (provide description",0,
IF(AND(E483="Non-standard control",'Proposed Lighting'!AU180=2),Q483*0.1,
IF(AND(E483="Non-standard control",'Proposed Lighting'!AU180=3),Q483*0.08,
IF('Proposed Lighting'!EF180=0,0,IF('Proposed Lighting'!AU180=1,0,
IF(AND('Data Entry'!$AF$23="ID",'Proposed Lighting'!T180="Lighting controls only"),VLOOKUP(E483,'Proposed Lighting'!$DO$97:$DP$106,2,FALSE),
IF(AND('Data Entry'!$AF$23="OR",'Proposed Lighting'!AU180=3,'Proposed Lighting'!T180="Lighting controls only"),VLOOKUP(E483,'Proposed Lighting'!$DO$127:$DP$134,2,FALSE),0)))))))*J483</f>
        <v>0</v>
      </c>
      <c r="S483" s="646">
        <f>IF(Q483&lt;0.01,0,IF('Proposed Lighting'!AK180&gt;0,'Proposed Lighting'!AK180*'Proposed Lighting'!EF180,0))</f>
        <v>0</v>
      </c>
      <c r="T483" s="647">
        <f t="shared" si="104"/>
        <v>0</v>
      </c>
      <c r="U483" s="648"/>
      <c r="V483" s="646">
        <f t="shared" si="107"/>
        <v>0</v>
      </c>
      <c r="W483" s="646">
        <f t="shared" si="108"/>
        <v>0</v>
      </c>
      <c r="X483" s="646">
        <f t="shared" si="109"/>
        <v>0</v>
      </c>
      <c r="Y483" s="646"/>
      <c r="Z483" s="646"/>
      <c r="AA483" s="646"/>
      <c r="AB483" s="646">
        <f t="shared" si="110"/>
        <v>0</v>
      </c>
      <c r="AC483" s="649" t="str">
        <f t="shared" si="111"/>
        <v/>
      </c>
      <c r="AD483" s="649" t="str">
        <f t="shared" si="112"/>
        <v/>
      </c>
      <c r="AE483" s="649" t="str">
        <f t="shared" si="113"/>
        <v/>
      </c>
      <c r="AF483" s="72"/>
      <c r="AG483" s="644">
        <f>IFERROR(IF($AV483="No",0,IF($AV483="yes",Summary!Q483,"")),"")</f>
        <v>0</v>
      </c>
      <c r="AH483" s="646">
        <f>IFERROR(IF($AV483="No",0,IF($AV483="yes",Summary!R483,"")),"")</f>
        <v>0</v>
      </c>
      <c r="AI483" s="646">
        <f>IFERROR(IF($AV483="No",0,IF($AV483="yes",Summary!S483,"")),"")</f>
        <v>0</v>
      </c>
      <c r="AJ483" s="647">
        <f>IFERROR(IF($AV483="No",0,IF($AV483="yes",Summary!T483,"")),"")</f>
        <v>0</v>
      </c>
      <c r="AK483" s="648">
        <f>IFERROR(IF($AV483="No",0,IF($AV483="yes",Summary!U483,"")),"")</f>
        <v>0</v>
      </c>
      <c r="AL483" s="646">
        <f>IFERROR(IF($AV483="No",0,IF($AV483="yes",Summary!V483,"")),"")</f>
        <v>0</v>
      </c>
      <c r="AM483" s="646">
        <f>IFERROR(IF($AV483="No",0,IF($AV483="yes",Summary!W483,"")),"")</f>
        <v>0</v>
      </c>
      <c r="AN483" s="646">
        <f>IFERROR(IF($AV483="No",0,IF($AV483="yes",Summary!X483,"")),"")</f>
        <v>0</v>
      </c>
      <c r="AO483" s="646">
        <f>IFERROR(IF($AV483="No",0,IF($AV483="yes",Summary!Y483+Z483,"")),"")</f>
        <v>0</v>
      </c>
      <c r="AP483" s="646">
        <f>IFERROR(IF($AV483="No",0,IF($AV483="yes",Summary!AB483,"")),"")</f>
        <v>0</v>
      </c>
      <c r="AQ483" s="649" t="str">
        <f t="shared" si="101"/>
        <v/>
      </c>
      <c r="AR483" s="649" t="str">
        <f t="shared" si="105"/>
        <v/>
      </c>
      <c r="AS483" s="649" t="str">
        <f t="shared" si="102"/>
        <v/>
      </c>
      <c r="AT483" s="641" t="s">
        <v>957</v>
      </c>
      <c r="AV483" t="str">
        <f>IF('Proposed Lighting'!AK180&gt;0,"No","Yes")</f>
        <v>Yes</v>
      </c>
    </row>
    <row r="484" spans="1:48" ht="34.5" customHeight="1" outlineLevel="1">
      <c r="A484" s="641" t="s">
        <v>958</v>
      </c>
      <c r="B484" s="641" t="str">
        <f>IF('Proposed Lighting'!AU181=3,"Commercial-All Com-ExtLight",IF('Proposed Lighting'!AH181&gt;8759,"IPC_8760","Commercial-All Com-IntLight"))</f>
        <v>IPC_8760</v>
      </c>
      <c r="C484" s="641" t="str">
        <f>IF(OR(E484="",E484=0),"No",
IF(AND('Data Entry'!$AF$23="OR",AE484&lt;1),"No",
IF(AND('Data Entry'!$AF$23="ID",E484="Non-standard lighting control system",AD484&lt;1),"No",
IF(AND('Data Entry'!$AF$23="OR",'Proposed Lighting'!F181="Existing LED (Provide Description)",'Proposed Lighting'!AK181=""),"No",
IF('Proposed Lighting'!DD181="Submit Control as Non-Standard","No",
IF(AND('Proposed Lighting'!T181="Non-Standard (Provide Description)",AD484&lt;1),"No",
IF('Proposed Lighting'!AW181&lt;'Proposed Lighting'!AZ181,"No","Yes")))))))</f>
        <v>No</v>
      </c>
      <c r="D484" s="1604">
        <f>'Proposed Lighting'!BQ181-Q484</f>
        <v>0</v>
      </c>
      <c r="E484" s="642" t="str">
        <f>IF('Proposed Lighting'!W181="","",'Proposed Lighting'!W181)</f>
        <v/>
      </c>
      <c r="F484" s="642"/>
      <c r="G484" s="641" t="s">
        <v>786</v>
      </c>
      <c r="H484" s="643">
        <v>10</v>
      </c>
      <c r="I484" s="644">
        <v>1</v>
      </c>
      <c r="J484" s="723">
        <f>IF('Proposed Lighting'!EF181=0,'Proposed Lighting'!AA181,'Proposed Lighting'!EF181)</f>
        <v>0</v>
      </c>
      <c r="K484" s="643" t="str">
        <f>'Proposed Lighting'!CU181</f>
        <v/>
      </c>
      <c r="L484" s="643" t="str">
        <f t="shared" si="103"/>
        <v/>
      </c>
      <c r="M484" s="645">
        <f t="shared" si="106"/>
        <v>0</v>
      </c>
      <c r="N484" s="645"/>
      <c r="O484" s="722">
        <f>IFERROR('Proposed Lighting'!AC181/1000,0)</f>
        <v>0</v>
      </c>
      <c r="P484" s="644">
        <f>'Proposed Lighting'!AV181</f>
        <v>0</v>
      </c>
      <c r="Q484" s="644">
        <f>IF(AND('Proposed Lighting'!T181="Lighting Controls Only",'Data Entry'!$AF$23="OR",'Proposed Lighting'!AU181=2),0,
IF(AND('Proposed Lighting'!T181="Lighting Controls Only",'Data Entry'!$AF$23="OR",'Proposed Lighting'!AU181=3,OR('Proposed Lighting'!W181="ceiling mount",'Proposed Lighting'!W181="wall switch",'Proposed Lighting'!W181="fixture mount (on exisiting equip)",'Proposed Lighting'!W181="daylight harvesting (on existing equip)")),0,
IF('Proposed Lighting'!AF181=1,IF(P484=0,0,J484*O484*(L484*(1-P484))),IF('Proposed Lighting'!AU181=1,0,'Proposed Lighting'!AX181-'Proposed Lighting'!AY181))))</f>
        <v>0</v>
      </c>
      <c r="R484" s="646">
        <f>IF('Proposed Lighting'!T181="Non-standard (provide description",0,
IF(AND(E484="Non-standard control",'Proposed Lighting'!AU181=2),Q484*0.1,
IF(AND(E484="Non-standard control",'Proposed Lighting'!AU181=3),Q484*0.08,
IF('Proposed Lighting'!EF181=0,0,IF('Proposed Lighting'!AU181=1,0,
IF(AND('Data Entry'!$AF$23="ID",'Proposed Lighting'!T181="Lighting controls only"),VLOOKUP(E484,'Proposed Lighting'!$DO$97:$DP$106,2,FALSE),
IF(AND('Data Entry'!$AF$23="OR",'Proposed Lighting'!AU181=3,'Proposed Lighting'!T181="Lighting controls only"),VLOOKUP(E484,'Proposed Lighting'!$DO$127:$DP$134,2,FALSE),0)))))))*J484</f>
        <v>0</v>
      </c>
      <c r="S484" s="646">
        <f>IF(Q484&lt;0.01,0,IF('Proposed Lighting'!AK181&gt;0,'Proposed Lighting'!AK181*'Proposed Lighting'!EF181,0))</f>
        <v>0</v>
      </c>
      <c r="T484" s="647">
        <f t="shared" si="104"/>
        <v>0</v>
      </c>
      <c r="U484" s="648"/>
      <c r="V484" s="646">
        <f t="shared" si="107"/>
        <v>0</v>
      </c>
      <c r="W484" s="646">
        <f t="shared" si="108"/>
        <v>0</v>
      </c>
      <c r="X484" s="646">
        <f t="shared" si="109"/>
        <v>0</v>
      </c>
      <c r="Y484" s="646"/>
      <c r="Z484" s="646"/>
      <c r="AA484" s="646"/>
      <c r="AB484" s="646">
        <f t="shared" si="110"/>
        <v>0</v>
      </c>
      <c r="AC484" s="649" t="str">
        <f t="shared" si="111"/>
        <v/>
      </c>
      <c r="AD484" s="649" t="str">
        <f t="shared" si="112"/>
        <v/>
      </c>
      <c r="AE484" s="649" t="str">
        <f t="shared" si="113"/>
        <v/>
      </c>
      <c r="AF484" s="72"/>
      <c r="AG484" s="644">
        <f>IFERROR(IF($AV484="No",0,IF($AV484="yes",Summary!Q484,"")),"")</f>
        <v>0</v>
      </c>
      <c r="AH484" s="646">
        <f>IFERROR(IF($AV484="No",0,IF($AV484="yes",Summary!R484,"")),"")</f>
        <v>0</v>
      </c>
      <c r="AI484" s="646">
        <f>IFERROR(IF($AV484="No",0,IF($AV484="yes",Summary!S484,"")),"")</f>
        <v>0</v>
      </c>
      <c r="AJ484" s="647">
        <f>IFERROR(IF($AV484="No",0,IF($AV484="yes",Summary!T484,"")),"")</f>
        <v>0</v>
      </c>
      <c r="AK484" s="648">
        <f>IFERROR(IF($AV484="No",0,IF($AV484="yes",Summary!U484,"")),"")</f>
        <v>0</v>
      </c>
      <c r="AL484" s="646">
        <f>IFERROR(IF($AV484="No",0,IF($AV484="yes",Summary!V484,"")),"")</f>
        <v>0</v>
      </c>
      <c r="AM484" s="646">
        <f>IFERROR(IF($AV484="No",0,IF($AV484="yes",Summary!W484,"")),"")</f>
        <v>0</v>
      </c>
      <c r="AN484" s="646">
        <f>IFERROR(IF($AV484="No",0,IF($AV484="yes",Summary!X484,"")),"")</f>
        <v>0</v>
      </c>
      <c r="AO484" s="646">
        <f>IFERROR(IF($AV484="No",0,IF($AV484="yes",Summary!Y484+Z484,"")),"")</f>
        <v>0</v>
      </c>
      <c r="AP484" s="646">
        <f>IFERROR(IF($AV484="No",0,IF($AV484="yes",Summary!AB484,"")),"")</f>
        <v>0</v>
      </c>
      <c r="AQ484" s="649" t="str">
        <f t="shared" si="101"/>
        <v/>
      </c>
      <c r="AR484" s="649" t="str">
        <f t="shared" si="105"/>
        <v/>
      </c>
      <c r="AS484" s="649" t="str">
        <f t="shared" si="102"/>
        <v/>
      </c>
      <c r="AT484" s="641" t="s">
        <v>958</v>
      </c>
      <c r="AV484" t="str">
        <f>IF('Proposed Lighting'!AK181&gt;0,"No","Yes")</f>
        <v>Yes</v>
      </c>
    </row>
    <row r="485" spans="1:48" ht="34.5" customHeight="1" outlineLevel="1">
      <c r="A485" s="641" t="s">
        <v>959</v>
      </c>
      <c r="B485" s="641" t="str">
        <f>IF('Proposed Lighting'!AU182=3,"Commercial-All Com-ExtLight",IF('Proposed Lighting'!AH182&gt;8759,"IPC_8760","Commercial-All Com-IntLight"))</f>
        <v>IPC_8760</v>
      </c>
      <c r="C485" s="641" t="str">
        <f>IF(OR(E485="",E485=0),"No",
IF(AND('Data Entry'!$AF$23="OR",AE485&lt;1),"No",
IF(AND('Data Entry'!$AF$23="ID",E485="Non-standard lighting control system",AD485&lt;1),"No",
IF(AND('Data Entry'!$AF$23="OR",'Proposed Lighting'!F182="Existing LED (Provide Description)",'Proposed Lighting'!AK182=""),"No",
IF('Proposed Lighting'!DD182="Submit Control as Non-Standard","No",
IF(AND('Proposed Lighting'!T182="Non-Standard (Provide Description)",AD485&lt;1),"No",
IF('Proposed Lighting'!AW182&lt;'Proposed Lighting'!AZ182,"No","Yes")))))))</f>
        <v>No</v>
      </c>
      <c r="D485" s="1604">
        <f>'Proposed Lighting'!BQ182-Q485</f>
        <v>0</v>
      </c>
      <c r="E485" s="642" t="str">
        <f>IF('Proposed Lighting'!W182="","",'Proposed Lighting'!W182)</f>
        <v/>
      </c>
      <c r="F485" s="642"/>
      <c r="G485" s="641" t="s">
        <v>786</v>
      </c>
      <c r="H485" s="643">
        <v>10</v>
      </c>
      <c r="I485" s="644">
        <v>1</v>
      </c>
      <c r="J485" s="723">
        <f>IF('Proposed Lighting'!EF182=0,'Proposed Lighting'!AA182,'Proposed Lighting'!EF182)</f>
        <v>0</v>
      </c>
      <c r="K485" s="643" t="str">
        <f>'Proposed Lighting'!CU182</f>
        <v/>
      </c>
      <c r="L485" s="643" t="str">
        <f t="shared" si="103"/>
        <v/>
      </c>
      <c r="M485" s="645">
        <f t="shared" si="106"/>
        <v>0</v>
      </c>
      <c r="N485" s="645"/>
      <c r="O485" s="722">
        <f>IFERROR('Proposed Lighting'!AC182/1000,0)</f>
        <v>0</v>
      </c>
      <c r="P485" s="644">
        <f>'Proposed Lighting'!AV182</f>
        <v>0</v>
      </c>
      <c r="Q485" s="644">
        <f>IF(AND('Proposed Lighting'!T182="Lighting Controls Only",'Data Entry'!$AF$23="OR",'Proposed Lighting'!AU182=2),0,
IF(AND('Proposed Lighting'!T182="Lighting Controls Only",'Data Entry'!$AF$23="OR",'Proposed Lighting'!AU182=3,OR('Proposed Lighting'!W182="ceiling mount",'Proposed Lighting'!W182="wall switch",'Proposed Lighting'!W182="fixture mount (on exisiting equip)",'Proposed Lighting'!W182="daylight harvesting (on existing equip)")),0,
IF('Proposed Lighting'!AF182=1,IF(P485=0,0,J485*O485*(L485*(1-P485))),IF('Proposed Lighting'!AU182=1,0,'Proposed Lighting'!AX182-'Proposed Lighting'!AY182))))</f>
        <v>0</v>
      </c>
      <c r="R485" s="646">
        <f>IF('Proposed Lighting'!T182="Non-standard (provide description",0,
IF(AND(E485="Non-standard control",'Proposed Lighting'!AU182=2),Q485*0.1,
IF(AND(E485="Non-standard control",'Proposed Lighting'!AU182=3),Q485*0.08,
IF('Proposed Lighting'!EF182=0,0,IF('Proposed Lighting'!AU182=1,0,
IF(AND('Data Entry'!$AF$23="ID",'Proposed Lighting'!T182="Lighting controls only"),VLOOKUP(E485,'Proposed Lighting'!$DO$97:$DP$106,2,FALSE),
IF(AND('Data Entry'!$AF$23="OR",'Proposed Lighting'!AU182=3,'Proposed Lighting'!T182="Lighting controls only"),VLOOKUP(E485,'Proposed Lighting'!$DO$127:$DP$134,2,FALSE),0)))))))*J485</f>
        <v>0</v>
      </c>
      <c r="S485" s="646">
        <f>IF(Q485&lt;0.01,0,IF('Proposed Lighting'!AK182&gt;0,'Proposed Lighting'!AK182*'Proposed Lighting'!EF182,0))</f>
        <v>0</v>
      </c>
      <c r="T485" s="647">
        <f t="shared" si="104"/>
        <v>0</v>
      </c>
      <c r="U485" s="648"/>
      <c r="V485" s="646">
        <f t="shared" si="107"/>
        <v>0</v>
      </c>
      <c r="W485" s="646">
        <f t="shared" si="108"/>
        <v>0</v>
      </c>
      <c r="X485" s="646">
        <f t="shared" si="109"/>
        <v>0</v>
      </c>
      <c r="Y485" s="646"/>
      <c r="Z485" s="646"/>
      <c r="AA485" s="646"/>
      <c r="AB485" s="646">
        <f t="shared" si="110"/>
        <v>0</v>
      </c>
      <c r="AC485" s="649" t="str">
        <f t="shared" si="111"/>
        <v/>
      </c>
      <c r="AD485" s="649" t="str">
        <f t="shared" si="112"/>
        <v/>
      </c>
      <c r="AE485" s="649" t="str">
        <f t="shared" si="113"/>
        <v/>
      </c>
      <c r="AF485" s="72"/>
      <c r="AG485" s="644">
        <f>IFERROR(IF($AV485="No",0,IF($AV485="yes",Summary!Q485,"")),"")</f>
        <v>0</v>
      </c>
      <c r="AH485" s="646">
        <f>IFERROR(IF($AV485="No",0,IF($AV485="yes",Summary!R485,"")),"")</f>
        <v>0</v>
      </c>
      <c r="AI485" s="646">
        <f>IFERROR(IF($AV485="No",0,IF($AV485="yes",Summary!S485,"")),"")</f>
        <v>0</v>
      </c>
      <c r="AJ485" s="647">
        <f>IFERROR(IF($AV485="No",0,IF($AV485="yes",Summary!T485,"")),"")</f>
        <v>0</v>
      </c>
      <c r="AK485" s="648">
        <f>IFERROR(IF($AV485="No",0,IF($AV485="yes",Summary!U485,"")),"")</f>
        <v>0</v>
      </c>
      <c r="AL485" s="646">
        <f>IFERROR(IF($AV485="No",0,IF($AV485="yes",Summary!V485,"")),"")</f>
        <v>0</v>
      </c>
      <c r="AM485" s="646">
        <f>IFERROR(IF($AV485="No",0,IF($AV485="yes",Summary!W485,"")),"")</f>
        <v>0</v>
      </c>
      <c r="AN485" s="646">
        <f>IFERROR(IF($AV485="No",0,IF($AV485="yes",Summary!X485,"")),"")</f>
        <v>0</v>
      </c>
      <c r="AO485" s="646">
        <f>IFERROR(IF($AV485="No",0,IF($AV485="yes",Summary!Y485+Z485,"")),"")</f>
        <v>0</v>
      </c>
      <c r="AP485" s="646">
        <f>IFERROR(IF($AV485="No",0,IF($AV485="yes",Summary!AB485,"")),"")</f>
        <v>0</v>
      </c>
      <c r="AQ485" s="649" t="str">
        <f t="shared" si="101"/>
        <v/>
      </c>
      <c r="AR485" s="649" t="str">
        <f t="shared" si="105"/>
        <v/>
      </c>
      <c r="AS485" s="649" t="str">
        <f t="shared" si="102"/>
        <v/>
      </c>
      <c r="AT485" s="641" t="s">
        <v>959</v>
      </c>
      <c r="AV485" t="str">
        <f>IF('Proposed Lighting'!AK182&gt;0,"No","Yes")</f>
        <v>Yes</v>
      </c>
    </row>
    <row r="486" spans="1:48" ht="34.5" customHeight="1" outlineLevel="1">
      <c r="A486" s="641" t="s">
        <v>960</v>
      </c>
      <c r="B486" s="641" t="str">
        <f>IF('Proposed Lighting'!AU183=3,"Commercial-All Com-ExtLight",IF('Proposed Lighting'!AH183&gt;8759,"IPC_8760","Commercial-All Com-IntLight"))</f>
        <v>IPC_8760</v>
      </c>
      <c r="C486" s="641" t="str">
        <f>IF(OR(E486="",E486=0),"No",
IF(AND('Data Entry'!$AF$23="OR",AE486&lt;1),"No",
IF(AND('Data Entry'!$AF$23="ID",E486="Non-standard lighting control system",AD486&lt;1),"No",
IF(AND('Data Entry'!$AF$23="OR",'Proposed Lighting'!F183="Existing LED (Provide Description)",'Proposed Lighting'!AK183=""),"No",
IF('Proposed Lighting'!DD183="Submit Control as Non-Standard","No",
IF(AND('Proposed Lighting'!T183="Non-Standard (Provide Description)",AD486&lt;1),"No",
IF('Proposed Lighting'!AW183&lt;'Proposed Lighting'!AZ183,"No","Yes")))))))</f>
        <v>No</v>
      </c>
      <c r="D486" s="1604">
        <f>'Proposed Lighting'!BQ183-Q486</f>
        <v>0</v>
      </c>
      <c r="E486" s="642" t="str">
        <f>IF('Proposed Lighting'!W183="","",'Proposed Lighting'!W183)</f>
        <v/>
      </c>
      <c r="F486" s="642"/>
      <c r="G486" s="641" t="s">
        <v>786</v>
      </c>
      <c r="H486" s="643">
        <v>10</v>
      </c>
      <c r="I486" s="644">
        <v>1</v>
      </c>
      <c r="J486" s="723">
        <f>IF('Proposed Lighting'!EF183=0,'Proposed Lighting'!AA183,'Proposed Lighting'!EF183)</f>
        <v>0</v>
      </c>
      <c r="K486" s="643" t="str">
        <f>'Proposed Lighting'!CU183</f>
        <v/>
      </c>
      <c r="L486" s="643" t="str">
        <f t="shared" si="103"/>
        <v/>
      </c>
      <c r="M486" s="645">
        <f t="shared" si="106"/>
        <v>0</v>
      </c>
      <c r="N486" s="645"/>
      <c r="O486" s="722">
        <f>IFERROR('Proposed Lighting'!AC183/1000,0)</f>
        <v>0</v>
      </c>
      <c r="P486" s="644">
        <f>'Proposed Lighting'!AV183</f>
        <v>0</v>
      </c>
      <c r="Q486" s="644">
        <f>IF(AND('Proposed Lighting'!T183="Lighting Controls Only",'Data Entry'!$AF$23="OR",'Proposed Lighting'!AU183=2),0,
IF(AND('Proposed Lighting'!T183="Lighting Controls Only",'Data Entry'!$AF$23="OR",'Proposed Lighting'!AU183=3,OR('Proposed Lighting'!W183="ceiling mount",'Proposed Lighting'!W183="wall switch",'Proposed Lighting'!W183="fixture mount (on exisiting equip)",'Proposed Lighting'!W183="daylight harvesting (on existing equip)")),0,
IF('Proposed Lighting'!AF183=1,IF(P486=0,0,J486*O486*(L486*(1-P486))),IF('Proposed Lighting'!AU183=1,0,'Proposed Lighting'!AX183-'Proposed Lighting'!AY183))))</f>
        <v>0</v>
      </c>
      <c r="R486" s="646">
        <f>IF('Proposed Lighting'!T183="Non-standard (provide description",0,
IF(AND(E486="Non-standard control",'Proposed Lighting'!AU183=2),Q486*0.1,
IF(AND(E486="Non-standard control",'Proposed Lighting'!AU183=3),Q486*0.08,
IF('Proposed Lighting'!EF183=0,0,IF('Proposed Lighting'!AU183=1,0,
IF(AND('Data Entry'!$AF$23="ID",'Proposed Lighting'!T183="Lighting controls only"),VLOOKUP(E486,'Proposed Lighting'!$DO$97:$DP$106,2,FALSE),
IF(AND('Data Entry'!$AF$23="OR",'Proposed Lighting'!AU183=3,'Proposed Lighting'!T183="Lighting controls only"),VLOOKUP(E486,'Proposed Lighting'!$DO$127:$DP$134,2,FALSE),0)))))))*J486</f>
        <v>0</v>
      </c>
      <c r="S486" s="646">
        <f>IF(Q486&lt;0.01,0,IF('Proposed Lighting'!AK183&gt;0,'Proposed Lighting'!AK183*'Proposed Lighting'!EF183,0))</f>
        <v>0</v>
      </c>
      <c r="T486" s="647">
        <f t="shared" si="104"/>
        <v>0</v>
      </c>
      <c r="U486" s="648"/>
      <c r="V486" s="646">
        <f t="shared" si="107"/>
        <v>0</v>
      </c>
      <c r="W486" s="646">
        <f t="shared" si="108"/>
        <v>0</v>
      </c>
      <c r="X486" s="646">
        <f t="shared" si="109"/>
        <v>0</v>
      </c>
      <c r="Y486" s="646"/>
      <c r="Z486" s="646"/>
      <c r="AA486" s="646"/>
      <c r="AB486" s="646">
        <f t="shared" si="110"/>
        <v>0</v>
      </c>
      <c r="AC486" s="649" t="str">
        <f t="shared" si="111"/>
        <v/>
      </c>
      <c r="AD486" s="649" t="str">
        <f t="shared" si="112"/>
        <v/>
      </c>
      <c r="AE486" s="649" t="str">
        <f t="shared" si="113"/>
        <v/>
      </c>
      <c r="AF486" s="72"/>
      <c r="AG486" s="644">
        <f>IFERROR(IF($AV486="No",0,IF($AV486="yes",Summary!Q486,"")),"")</f>
        <v>0</v>
      </c>
      <c r="AH486" s="646">
        <f>IFERROR(IF($AV486="No",0,IF($AV486="yes",Summary!R486,"")),"")</f>
        <v>0</v>
      </c>
      <c r="AI486" s="646">
        <f>IFERROR(IF($AV486="No",0,IF($AV486="yes",Summary!S486,"")),"")</f>
        <v>0</v>
      </c>
      <c r="AJ486" s="647">
        <f>IFERROR(IF($AV486="No",0,IF($AV486="yes",Summary!T486,"")),"")</f>
        <v>0</v>
      </c>
      <c r="AK486" s="648">
        <f>IFERROR(IF($AV486="No",0,IF($AV486="yes",Summary!U486,"")),"")</f>
        <v>0</v>
      </c>
      <c r="AL486" s="646">
        <f>IFERROR(IF($AV486="No",0,IF($AV486="yes",Summary!V486,"")),"")</f>
        <v>0</v>
      </c>
      <c r="AM486" s="646">
        <f>IFERROR(IF($AV486="No",0,IF($AV486="yes",Summary!W486,"")),"")</f>
        <v>0</v>
      </c>
      <c r="AN486" s="646">
        <f>IFERROR(IF($AV486="No",0,IF($AV486="yes",Summary!X486,"")),"")</f>
        <v>0</v>
      </c>
      <c r="AO486" s="646">
        <f>IFERROR(IF($AV486="No",0,IF($AV486="yes",Summary!Y486+Z486,"")),"")</f>
        <v>0</v>
      </c>
      <c r="AP486" s="646">
        <f>IFERROR(IF($AV486="No",0,IF($AV486="yes",Summary!AB486,"")),"")</f>
        <v>0</v>
      </c>
      <c r="AQ486" s="649" t="str">
        <f t="shared" si="101"/>
        <v/>
      </c>
      <c r="AR486" s="649" t="str">
        <f t="shared" si="105"/>
        <v/>
      </c>
      <c r="AS486" s="649" t="str">
        <f t="shared" si="102"/>
        <v/>
      </c>
      <c r="AT486" s="641" t="s">
        <v>960</v>
      </c>
      <c r="AV486" t="str">
        <f>IF('Proposed Lighting'!AK183&gt;0,"No","Yes")</f>
        <v>Yes</v>
      </c>
    </row>
    <row r="487" spans="1:48" ht="34.5" customHeight="1" outlineLevel="1">
      <c r="A487" s="641" t="s">
        <v>961</v>
      </c>
      <c r="B487" s="641" t="str">
        <f>IF('Proposed Lighting'!AU184=3,"Commercial-All Com-ExtLight",IF('Proposed Lighting'!AH184&gt;8759,"IPC_8760","Commercial-All Com-IntLight"))</f>
        <v>IPC_8760</v>
      </c>
      <c r="C487" s="641" t="str">
        <f>IF(OR(E487="",E487=0),"No",
IF(AND('Data Entry'!$AF$23="OR",AE487&lt;1),"No",
IF(AND('Data Entry'!$AF$23="ID",E487="Non-standard lighting control system",AD487&lt;1),"No",
IF(AND('Data Entry'!$AF$23="OR",'Proposed Lighting'!F184="Existing LED (Provide Description)",'Proposed Lighting'!AK184=""),"No",
IF('Proposed Lighting'!DD184="Submit Control as Non-Standard","No",
IF(AND('Proposed Lighting'!T184="Non-Standard (Provide Description)",AD487&lt;1),"No",
IF('Proposed Lighting'!AW184&lt;'Proposed Lighting'!AZ184,"No","Yes")))))))</f>
        <v>No</v>
      </c>
      <c r="D487" s="1604">
        <f>'Proposed Lighting'!BQ184-Q487</f>
        <v>0</v>
      </c>
      <c r="E487" s="642" t="str">
        <f>IF('Proposed Lighting'!W184="","",'Proposed Lighting'!W184)</f>
        <v/>
      </c>
      <c r="F487" s="642"/>
      <c r="G487" s="641" t="s">
        <v>786</v>
      </c>
      <c r="H487" s="643">
        <v>10</v>
      </c>
      <c r="I487" s="644">
        <v>1</v>
      </c>
      <c r="J487" s="723">
        <f>IF('Proposed Lighting'!EF184=0,'Proposed Lighting'!AA184,'Proposed Lighting'!EF184)</f>
        <v>0</v>
      </c>
      <c r="K487" s="643" t="str">
        <f>'Proposed Lighting'!CU184</f>
        <v/>
      </c>
      <c r="L487" s="643" t="str">
        <f t="shared" si="103"/>
        <v/>
      </c>
      <c r="M487" s="645">
        <f t="shared" si="106"/>
        <v>0</v>
      </c>
      <c r="N487" s="645"/>
      <c r="O487" s="722">
        <f>IFERROR('Proposed Lighting'!AC184/1000,0)</f>
        <v>0</v>
      </c>
      <c r="P487" s="644">
        <f>'Proposed Lighting'!AV184</f>
        <v>0</v>
      </c>
      <c r="Q487" s="644">
        <f>IF(AND('Proposed Lighting'!T184="Lighting Controls Only",'Data Entry'!$AF$23="OR",'Proposed Lighting'!AU184=2),0,
IF(AND('Proposed Lighting'!T184="Lighting Controls Only",'Data Entry'!$AF$23="OR",'Proposed Lighting'!AU184=3,OR('Proposed Lighting'!W184="ceiling mount",'Proposed Lighting'!W184="wall switch",'Proposed Lighting'!W184="fixture mount (on exisiting equip)",'Proposed Lighting'!W184="daylight harvesting (on existing equip)")),0,
IF('Proposed Lighting'!AF184=1,IF(P487=0,0,J487*O487*(L487*(1-P487))),IF('Proposed Lighting'!AU184=1,0,'Proposed Lighting'!AX184-'Proposed Lighting'!AY184))))</f>
        <v>0</v>
      </c>
      <c r="R487" s="646">
        <f>IF('Proposed Lighting'!T184="Non-standard (provide description",0,
IF(AND(E487="Non-standard control",'Proposed Lighting'!AU184=2),Q487*0.1,
IF(AND(E487="Non-standard control",'Proposed Lighting'!AU184=3),Q487*0.08,
IF('Proposed Lighting'!EF184=0,0,IF('Proposed Lighting'!AU184=1,0,
IF(AND('Data Entry'!$AF$23="ID",'Proposed Lighting'!T184="Lighting controls only"),VLOOKUP(E487,'Proposed Lighting'!$DO$97:$DP$106,2,FALSE),
IF(AND('Data Entry'!$AF$23="OR",'Proposed Lighting'!AU184=3,'Proposed Lighting'!T184="Lighting controls only"),VLOOKUP(E487,'Proposed Lighting'!$DO$127:$DP$134,2,FALSE),0)))))))*J487</f>
        <v>0</v>
      </c>
      <c r="S487" s="646">
        <f>IF(Q487&lt;0.01,0,IF('Proposed Lighting'!AK184&gt;0,'Proposed Lighting'!AK184*'Proposed Lighting'!EF184,0))</f>
        <v>0</v>
      </c>
      <c r="T487" s="647">
        <f t="shared" si="104"/>
        <v>0</v>
      </c>
      <c r="U487" s="648"/>
      <c r="V487" s="646">
        <f t="shared" si="107"/>
        <v>0</v>
      </c>
      <c r="W487" s="646">
        <f t="shared" si="108"/>
        <v>0</v>
      </c>
      <c r="X487" s="646">
        <f t="shared" si="109"/>
        <v>0</v>
      </c>
      <c r="Y487" s="646"/>
      <c r="Z487" s="646"/>
      <c r="AA487" s="646"/>
      <c r="AB487" s="646">
        <f t="shared" si="110"/>
        <v>0</v>
      </c>
      <c r="AC487" s="649" t="str">
        <f t="shared" si="111"/>
        <v/>
      </c>
      <c r="AD487" s="649" t="str">
        <f t="shared" si="112"/>
        <v/>
      </c>
      <c r="AE487" s="649" t="str">
        <f t="shared" si="113"/>
        <v/>
      </c>
      <c r="AF487" s="72"/>
      <c r="AG487" s="644">
        <f>IFERROR(IF($AV487="No",0,IF($AV487="yes",Summary!Q487,"")),"")</f>
        <v>0</v>
      </c>
      <c r="AH487" s="646">
        <f>IFERROR(IF($AV487="No",0,IF($AV487="yes",Summary!R487,"")),"")</f>
        <v>0</v>
      </c>
      <c r="AI487" s="646">
        <f>IFERROR(IF($AV487="No",0,IF($AV487="yes",Summary!S487,"")),"")</f>
        <v>0</v>
      </c>
      <c r="AJ487" s="647">
        <f>IFERROR(IF($AV487="No",0,IF($AV487="yes",Summary!T487,"")),"")</f>
        <v>0</v>
      </c>
      <c r="AK487" s="648">
        <f>IFERROR(IF($AV487="No",0,IF($AV487="yes",Summary!U487,"")),"")</f>
        <v>0</v>
      </c>
      <c r="AL487" s="646">
        <f>IFERROR(IF($AV487="No",0,IF($AV487="yes",Summary!V487,"")),"")</f>
        <v>0</v>
      </c>
      <c r="AM487" s="646">
        <f>IFERROR(IF($AV487="No",0,IF($AV487="yes",Summary!W487,"")),"")</f>
        <v>0</v>
      </c>
      <c r="AN487" s="646">
        <f>IFERROR(IF($AV487="No",0,IF($AV487="yes",Summary!X487,"")),"")</f>
        <v>0</v>
      </c>
      <c r="AO487" s="646">
        <f>IFERROR(IF($AV487="No",0,IF($AV487="yes",Summary!Y487+Z487,"")),"")</f>
        <v>0</v>
      </c>
      <c r="AP487" s="646">
        <f>IFERROR(IF($AV487="No",0,IF($AV487="yes",Summary!AB487,"")),"")</f>
        <v>0</v>
      </c>
      <c r="AQ487" s="649" t="str">
        <f t="shared" si="101"/>
        <v/>
      </c>
      <c r="AR487" s="649" t="str">
        <f t="shared" si="105"/>
        <v/>
      </c>
      <c r="AS487" s="649" t="str">
        <f t="shared" si="102"/>
        <v/>
      </c>
      <c r="AT487" s="641" t="s">
        <v>961</v>
      </c>
      <c r="AV487" t="str">
        <f>IF('Proposed Lighting'!AK184&gt;0,"No","Yes")</f>
        <v>Yes</v>
      </c>
    </row>
    <row r="488" spans="1:48" ht="34.5" customHeight="1" outlineLevel="1">
      <c r="A488" s="641" t="s">
        <v>962</v>
      </c>
      <c r="B488" s="641" t="str">
        <f>IF('Proposed Lighting'!AU185=3,"Commercial-All Com-ExtLight",IF('Proposed Lighting'!AH185&gt;8759,"IPC_8760","Commercial-All Com-IntLight"))</f>
        <v>IPC_8760</v>
      </c>
      <c r="C488" s="641" t="str">
        <f>IF(OR(E488="",E488=0),"No",
IF(AND('Data Entry'!$AF$23="OR",AE488&lt;1),"No",
IF(AND('Data Entry'!$AF$23="ID",E488="Non-standard lighting control system",AD488&lt;1),"No",
IF(AND('Data Entry'!$AF$23="OR",'Proposed Lighting'!F185="Existing LED (Provide Description)",'Proposed Lighting'!AK185=""),"No",
IF('Proposed Lighting'!DD185="Submit Control as Non-Standard","No",
IF(AND('Proposed Lighting'!T185="Non-Standard (Provide Description)",AD488&lt;1),"No",
IF('Proposed Lighting'!AW185&lt;'Proposed Lighting'!AZ185,"No","Yes")))))))</f>
        <v>No</v>
      </c>
      <c r="D488" s="1604">
        <f>'Proposed Lighting'!BQ185-Q488</f>
        <v>0</v>
      </c>
      <c r="E488" s="642" t="str">
        <f>IF('Proposed Lighting'!W185="","",'Proposed Lighting'!W185)</f>
        <v/>
      </c>
      <c r="F488" s="642"/>
      <c r="G488" s="641" t="s">
        <v>786</v>
      </c>
      <c r="H488" s="643">
        <v>10</v>
      </c>
      <c r="I488" s="644">
        <v>1</v>
      </c>
      <c r="J488" s="723">
        <f>IF('Proposed Lighting'!EF185=0,'Proposed Lighting'!AA185,'Proposed Lighting'!EF185)</f>
        <v>0</v>
      </c>
      <c r="K488" s="643" t="str">
        <f>'Proposed Lighting'!CU185</f>
        <v/>
      </c>
      <c r="L488" s="643" t="str">
        <f t="shared" si="103"/>
        <v/>
      </c>
      <c r="M488" s="645">
        <f t="shared" si="106"/>
        <v>0</v>
      </c>
      <c r="N488" s="645"/>
      <c r="O488" s="722">
        <f>IFERROR('Proposed Lighting'!AC185/1000,0)</f>
        <v>0</v>
      </c>
      <c r="P488" s="644">
        <f>'Proposed Lighting'!AV185</f>
        <v>0</v>
      </c>
      <c r="Q488" s="644">
        <f>IF(AND('Proposed Lighting'!T185="Lighting Controls Only",'Data Entry'!$AF$23="OR",'Proposed Lighting'!AU185=2),0,
IF(AND('Proposed Lighting'!T185="Lighting Controls Only",'Data Entry'!$AF$23="OR",'Proposed Lighting'!AU185=3,OR('Proposed Lighting'!W185="ceiling mount",'Proposed Lighting'!W185="wall switch",'Proposed Lighting'!W185="fixture mount (on exisiting equip)",'Proposed Lighting'!W185="daylight harvesting (on existing equip)")),0,
IF('Proposed Lighting'!AF185=1,IF(P488=0,0,J488*O488*(L488*(1-P488))),IF('Proposed Lighting'!AU185=1,0,'Proposed Lighting'!AX185-'Proposed Lighting'!AY185))))</f>
        <v>0</v>
      </c>
      <c r="R488" s="646">
        <f>IF('Proposed Lighting'!T185="Non-standard (provide description",0,
IF(AND(E488="Non-standard control",'Proposed Lighting'!AU185=2),Q488*0.1,
IF(AND(E488="Non-standard control",'Proposed Lighting'!AU185=3),Q488*0.08,
IF('Proposed Lighting'!EF185=0,0,IF('Proposed Lighting'!AU185=1,0,
IF(AND('Data Entry'!$AF$23="ID",'Proposed Lighting'!T185="Lighting controls only"),VLOOKUP(E488,'Proposed Lighting'!$DO$97:$DP$106,2,FALSE),
IF(AND('Data Entry'!$AF$23="OR",'Proposed Lighting'!AU185=3,'Proposed Lighting'!T185="Lighting controls only"),VLOOKUP(E488,'Proposed Lighting'!$DO$127:$DP$134,2,FALSE),0)))))))*J488</f>
        <v>0</v>
      </c>
      <c r="S488" s="646">
        <f>IF(Q488&lt;0.01,0,IF('Proposed Lighting'!AK185&gt;0,'Proposed Lighting'!AK185*'Proposed Lighting'!EF185,0))</f>
        <v>0</v>
      </c>
      <c r="T488" s="647">
        <f t="shared" si="104"/>
        <v>0</v>
      </c>
      <c r="U488" s="648"/>
      <c r="V488" s="646">
        <f t="shared" si="107"/>
        <v>0</v>
      </c>
      <c r="W488" s="646">
        <f t="shared" si="108"/>
        <v>0</v>
      </c>
      <c r="X488" s="646">
        <f t="shared" si="109"/>
        <v>0</v>
      </c>
      <c r="Y488" s="646"/>
      <c r="Z488" s="646"/>
      <c r="AA488" s="646"/>
      <c r="AB488" s="646">
        <f t="shared" si="110"/>
        <v>0</v>
      </c>
      <c r="AC488" s="649" t="str">
        <f t="shared" si="111"/>
        <v/>
      </c>
      <c r="AD488" s="649" t="str">
        <f t="shared" si="112"/>
        <v/>
      </c>
      <c r="AE488" s="649" t="str">
        <f t="shared" si="113"/>
        <v/>
      </c>
      <c r="AF488" s="72"/>
      <c r="AG488" s="644">
        <f>IFERROR(IF($AV488="No",0,IF($AV488="yes",Summary!Q488,"")),"")</f>
        <v>0</v>
      </c>
      <c r="AH488" s="646">
        <f>IFERROR(IF($AV488="No",0,IF($AV488="yes",Summary!R488,"")),"")</f>
        <v>0</v>
      </c>
      <c r="AI488" s="646">
        <f>IFERROR(IF($AV488="No",0,IF($AV488="yes",Summary!S488,"")),"")</f>
        <v>0</v>
      </c>
      <c r="AJ488" s="647">
        <f>IFERROR(IF($AV488="No",0,IF($AV488="yes",Summary!T488,"")),"")</f>
        <v>0</v>
      </c>
      <c r="AK488" s="648">
        <f>IFERROR(IF($AV488="No",0,IF($AV488="yes",Summary!U488,"")),"")</f>
        <v>0</v>
      </c>
      <c r="AL488" s="646">
        <f>IFERROR(IF($AV488="No",0,IF($AV488="yes",Summary!V488,"")),"")</f>
        <v>0</v>
      </c>
      <c r="AM488" s="646">
        <f>IFERROR(IF($AV488="No",0,IF($AV488="yes",Summary!W488,"")),"")</f>
        <v>0</v>
      </c>
      <c r="AN488" s="646">
        <f>IFERROR(IF($AV488="No",0,IF($AV488="yes",Summary!X488,"")),"")</f>
        <v>0</v>
      </c>
      <c r="AO488" s="646">
        <f>IFERROR(IF($AV488="No",0,IF($AV488="yes",Summary!Y488+Z488,"")),"")</f>
        <v>0</v>
      </c>
      <c r="AP488" s="646">
        <f>IFERROR(IF($AV488="No",0,IF($AV488="yes",Summary!AB488,"")),"")</f>
        <v>0</v>
      </c>
      <c r="AQ488" s="649" t="str">
        <f t="shared" si="101"/>
        <v/>
      </c>
      <c r="AR488" s="649" t="str">
        <f t="shared" si="105"/>
        <v/>
      </c>
      <c r="AS488" s="649" t="str">
        <f t="shared" si="102"/>
        <v/>
      </c>
      <c r="AT488" s="641" t="s">
        <v>962</v>
      </c>
      <c r="AV488" t="str">
        <f>IF('Proposed Lighting'!AK185&gt;0,"No","Yes")</f>
        <v>Yes</v>
      </c>
    </row>
    <row r="489" spans="1:48" ht="34.5" customHeight="1" outlineLevel="1">
      <c r="A489" s="641" t="s">
        <v>963</v>
      </c>
      <c r="B489" s="641" t="str">
        <f>IF('Proposed Lighting'!AU186=3,"Commercial-All Com-ExtLight",IF('Proposed Lighting'!AH186&gt;8759,"IPC_8760","Commercial-All Com-IntLight"))</f>
        <v>IPC_8760</v>
      </c>
      <c r="C489" s="641" t="str">
        <f>IF(OR(E489="",E489=0),"No",
IF(AND('Data Entry'!$AF$23="OR",AE489&lt;1),"No",
IF(AND('Data Entry'!$AF$23="ID",E489="Non-standard lighting control system",AD489&lt;1),"No",
IF(AND('Data Entry'!$AF$23="OR",'Proposed Lighting'!F186="Existing LED (Provide Description)",'Proposed Lighting'!AK186=""),"No",
IF('Proposed Lighting'!DD186="Submit Control as Non-Standard","No",
IF(AND('Proposed Lighting'!T186="Non-Standard (Provide Description)",AD489&lt;1),"No",
IF('Proposed Lighting'!AW186&lt;'Proposed Lighting'!AZ186,"No","Yes")))))))</f>
        <v>No</v>
      </c>
      <c r="D489" s="1604">
        <f>'Proposed Lighting'!BQ186-Q489</f>
        <v>0</v>
      </c>
      <c r="E489" s="642" t="str">
        <f>IF('Proposed Lighting'!W186="","",'Proposed Lighting'!W186)</f>
        <v/>
      </c>
      <c r="F489" s="642"/>
      <c r="G489" s="641" t="s">
        <v>786</v>
      </c>
      <c r="H489" s="643">
        <v>10</v>
      </c>
      <c r="I489" s="644">
        <v>1</v>
      </c>
      <c r="J489" s="723">
        <f>IF('Proposed Lighting'!EF186=0,'Proposed Lighting'!AA186,'Proposed Lighting'!EF186)</f>
        <v>0</v>
      </c>
      <c r="K489" s="643" t="str">
        <f>'Proposed Lighting'!CU186</f>
        <v/>
      </c>
      <c r="L489" s="643" t="str">
        <f t="shared" si="103"/>
        <v/>
      </c>
      <c r="M489" s="645">
        <f t="shared" si="106"/>
        <v>0</v>
      </c>
      <c r="N489" s="645"/>
      <c r="O489" s="722">
        <f>IFERROR('Proposed Lighting'!AC186/1000,0)</f>
        <v>0</v>
      </c>
      <c r="P489" s="644">
        <f>'Proposed Lighting'!AV186</f>
        <v>0</v>
      </c>
      <c r="Q489" s="644">
        <f>IF(AND('Proposed Lighting'!T186="Lighting Controls Only",'Data Entry'!$AF$23="OR",'Proposed Lighting'!AU186=2),0,
IF(AND('Proposed Lighting'!T186="Lighting Controls Only",'Data Entry'!$AF$23="OR",'Proposed Lighting'!AU186=3,OR('Proposed Lighting'!W186="ceiling mount",'Proposed Lighting'!W186="wall switch",'Proposed Lighting'!W186="fixture mount (on exisiting equip)",'Proposed Lighting'!W186="daylight harvesting (on existing equip)")),0,
IF('Proposed Lighting'!AF186=1,IF(P489=0,0,J489*O489*(L489*(1-P489))),IF('Proposed Lighting'!AU186=1,0,'Proposed Lighting'!AX186-'Proposed Lighting'!AY186))))</f>
        <v>0</v>
      </c>
      <c r="R489" s="646">
        <f>IF('Proposed Lighting'!T186="Non-standard (provide description",0,
IF(AND(E489="Non-standard control",'Proposed Lighting'!AU186=2),Q489*0.1,
IF(AND(E489="Non-standard control",'Proposed Lighting'!AU186=3),Q489*0.08,
IF('Proposed Lighting'!EF186=0,0,IF('Proposed Lighting'!AU186=1,0,
IF(AND('Data Entry'!$AF$23="ID",'Proposed Lighting'!T186="Lighting controls only"),VLOOKUP(E489,'Proposed Lighting'!$DO$97:$DP$106,2,FALSE),
IF(AND('Data Entry'!$AF$23="OR",'Proposed Lighting'!AU186=3,'Proposed Lighting'!T186="Lighting controls only"),VLOOKUP(E489,'Proposed Lighting'!$DO$127:$DP$134,2,FALSE),0)))))))*J489</f>
        <v>0</v>
      </c>
      <c r="S489" s="646">
        <f>IF(Q489&lt;0.01,0,IF('Proposed Lighting'!AK186&gt;0,'Proposed Lighting'!AK186*'Proposed Lighting'!EF186,0))</f>
        <v>0</v>
      </c>
      <c r="T489" s="647">
        <f t="shared" si="104"/>
        <v>0</v>
      </c>
      <c r="U489" s="648"/>
      <c r="V489" s="646">
        <f t="shared" si="107"/>
        <v>0</v>
      </c>
      <c r="W489" s="646">
        <f t="shared" si="108"/>
        <v>0</v>
      </c>
      <c r="X489" s="646">
        <f t="shared" si="109"/>
        <v>0</v>
      </c>
      <c r="Y489" s="646"/>
      <c r="Z489" s="646"/>
      <c r="AA489" s="646"/>
      <c r="AB489" s="646">
        <f t="shared" si="110"/>
        <v>0</v>
      </c>
      <c r="AC489" s="649" t="str">
        <f t="shared" si="111"/>
        <v/>
      </c>
      <c r="AD489" s="649" t="str">
        <f t="shared" si="112"/>
        <v/>
      </c>
      <c r="AE489" s="649" t="str">
        <f t="shared" si="113"/>
        <v/>
      </c>
      <c r="AF489" s="72"/>
      <c r="AG489" s="644">
        <f>IFERROR(IF($AV489="No",0,IF($AV489="yes",Summary!Q489,"")),"")</f>
        <v>0</v>
      </c>
      <c r="AH489" s="646">
        <f>IFERROR(IF($AV489="No",0,IF($AV489="yes",Summary!R489,"")),"")</f>
        <v>0</v>
      </c>
      <c r="AI489" s="646">
        <f>IFERROR(IF($AV489="No",0,IF($AV489="yes",Summary!S489,"")),"")</f>
        <v>0</v>
      </c>
      <c r="AJ489" s="647">
        <f>IFERROR(IF($AV489="No",0,IF($AV489="yes",Summary!T489,"")),"")</f>
        <v>0</v>
      </c>
      <c r="AK489" s="648">
        <f>IFERROR(IF($AV489="No",0,IF($AV489="yes",Summary!U489,"")),"")</f>
        <v>0</v>
      </c>
      <c r="AL489" s="646">
        <f>IFERROR(IF($AV489="No",0,IF($AV489="yes",Summary!V489,"")),"")</f>
        <v>0</v>
      </c>
      <c r="AM489" s="646">
        <f>IFERROR(IF($AV489="No",0,IF($AV489="yes",Summary!W489,"")),"")</f>
        <v>0</v>
      </c>
      <c r="AN489" s="646">
        <f>IFERROR(IF($AV489="No",0,IF($AV489="yes",Summary!X489,"")),"")</f>
        <v>0</v>
      </c>
      <c r="AO489" s="646">
        <f>IFERROR(IF($AV489="No",0,IF($AV489="yes",Summary!Y489+Z489,"")),"")</f>
        <v>0</v>
      </c>
      <c r="AP489" s="646">
        <f>IFERROR(IF($AV489="No",0,IF($AV489="yes",Summary!AB489,"")),"")</f>
        <v>0</v>
      </c>
      <c r="AQ489" s="649" t="str">
        <f t="shared" ref="AQ489:AQ552" si="114">IFERROR(IF($AG489&lt;0,"",(AL489+AH489+AO489+AP489)/(AI489)),"")</f>
        <v/>
      </c>
      <c r="AR489" s="649" t="str">
        <f t="shared" si="105"/>
        <v/>
      </c>
      <c r="AS489" s="649" t="str">
        <f t="shared" ref="AS489:AS552" si="115">IFERROR(IF($AG489&lt;0,"",IF(AI489=0,((AN489+AO489+AP489)*I489)/((AG489*AK489)+AH489),((AN489+AO489+AP489)*I489)/((AG489*AK489)+AH489+((AI489-AH489)*I489)))),"")</f>
        <v/>
      </c>
      <c r="AT489" s="641" t="s">
        <v>963</v>
      </c>
      <c r="AV489" t="str">
        <f>IF('Proposed Lighting'!AK186&gt;0,"No","Yes")</f>
        <v>Yes</v>
      </c>
    </row>
    <row r="490" spans="1:48" ht="34.5" customHeight="1" outlineLevel="1">
      <c r="A490" s="641" t="s">
        <v>964</v>
      </c>
      <c r="B490" s="641" t="str">
        <f>IF('Proposed Lighting'!AU187=3,"Commercial-All Com-ExtLight",IF('Proposed Lighting'!AH187&gt;8759,"IPC_8760","Commercial-All Com-IntLight"))</f>
        <v>IPC_8760</v>
      </c>
      <c r="C490" s="641" t="str">
        <f>IF(OR(E490="",E490=0),"No",
IF(AND('Data Entry'!$AF$23="OR",AE490&lt;1),"No",
IF(AND('Data Entry'!$AF$23="ID",E490="Non-standard lighting control system",AD490&lt;1),"No",
IF(AND('Data Entry'!$AF$23="OR",'Proposed Lighting'!F187="Existing LED (Provide Description)",'Proposed Lighting'!AK187=""),"No",
IF('Proposed Lighting'!DD187="Submit Control as Non-Standard","No",
IF(AND('Proposed Lighting'!T187="Non-Standard (Provide Description)",AD490&lt;1),"No",
IF('Proposed Lighting'!AW187&lt;'Proposed Lighting'!AZ187,"No","Yes")))))))</f>
        <v>No</v>
      </c>
      <c r="D490" s="1604">
        <f>'Proposed Lighting'!BQ187-Q490</f>
        <v>0</v>
      </c>
      <c r="E490" s="642" t="str">
        <f>IF('Proposed Lighting'!W187="","",'Proposed Lighting'!W187)</f>
        <v/>
      </c>
      <c r="F490" s="642"/>
      <c r="G490" s="641" t="s">
        <v>786</v>
      </c>
      <c r="H490" s="643">
        <v>10</v>
      </c>
      <c r="I490" s="644">
        <v>1</v>
      </c>
      <c r="J490" s="723">
        <f>IF('Proposed Lighting'!EF187=0,'Proposed Lighting'!AA187,'Proposed Lighting'!EF187)</f>
        <v>0</v>
      </c>
      <c r="K490" s="643" t="str">
        <f>'Proposed Lighting'!CU187</f>
        <v/>
      </c>
      <c r="L490" s="643" t="str">
        <f t="shared" si="103"/>
        <v/>
      </c>
      <c r="M490" s="645">
        <f t="shared" si="106"/>
        <v>0</v>
      </c>
      <c r="N490" s="645"/>
      <c r="O490" s="722">
        <f>IFERROR('Proposed Lighting'!AC187/1000,0)</f>
        <v>0</v>
      </c>
      <c r="P490" s="644">
        <f>'Proposed Lighting'!AV187</f>
        <v>0</v>
      </c>
      <c r="Q490" s="644">
        <f>IF(AND('Proposed Lighting'!T187="Lighting Controls Only",'Data Entry'!$AF$23="OR",'Proposed Lighting'!AU187=2),0,
IF(AND('Proposed Lighting'!T187="Lighting Controls Only",'Data Entry'!$AF$23="OR",'Proposed Lighting'!AU187=3,OR('Proposed Lighting'!W187="ceiling mount",'Proposed Lighting'!W187="wall switch",'Proposed Lighting'!W187="fixture mount (on exisiting equip)",'Proposed Lighting'!W187="daylight harvesting (on existing equip)")),0,
IF('Proposed Lighting'!AF187=1,IF(P490=0,0,J490*O490*(L490*(1-P490))),IF('Proposed Lighting'!AU187=1,0,'Proposed Lighting'!AX187-'Proposed Lighting'!AY187))))</f>
        <v>0</v>
      </c>
      <c r="R490" s="646">
        <f>IF('Proposed Lighting'!T187="Non-standard (provide description",0,
IF(AND(E490="Non-standard control",'Proposed Lighting'!AU187=2),Q490*0.1,
IF(AND(E490="Non-standard control",'Proposed Lighting'!AU187=3),Q490*0.08,
IF('Proposed Lighting'!EF187=0,0,IF('Proposed Lighting'!AU187=1,0,
IF(AND('Data Entry'!$AF$23="ID",'Proposed Lighting'!T187="Lighting controls only"),VLOOKUP(E490,'Proposed Lighting'!$DO$97:$DP$106,2,FALSE),
IF(AND('Data Entry'!$AF$23="OR",'Proposed Lighting'!AU187=3,'Proposed Lighting'!T187="Lighting controls only"),VLOOKUP(E490,'Proposed Lighting'!$DO$127:$DP$134,2,FALSE),0)))))))*J490</f>
        <v>0</v>
      </c>
      <c r="S490" s="646">
        <f>IF(Q490&lt;0.01,0,IF('Proposed Lighting'!AK187&gt;0,'Proposed Lighting'!AK187*'Proposed Lighting'!EF187,0))</f>
        <v>0</v>
      </c>
      <c r="T490" s="647">
        <f t="shared" si="104"/>
        <v>0</v>
      </c>
      <c r="U490" s="648"/>
      <c r="V490" s="646">
        <f t="shared" si="107"/>
        <v>0</v>
      </c>
      <c r="W490" s="646">
        <f t="shared" si="108"/>
        <v>0</v>
      </c>
      <c r="X490" s="646">
        <f t="shared" si="109"/>
        <v>0</v>
      </c>
      <c r="Y490" s="646"/>
      <c r="Z490" s="646"/>
      <c r="AA490" s="646"/>
      <c r="AB490" s="646">
        <f t="shared" si="110"/>
        <v>0</v>
      </c>
      <c r="AC490" s="649" t="str">
        <f t="shared" si="111"/>
        <v/>
      </c>
      <c r="AD490" s="649" t="str">
        <f t="shared" si="112"/>
        <v/>
      </c>
      <c r="AE490" s="649" t="str">
        <f t="shared" si="113"/>
        <v/>
      </c>
      <c r="AF490" s="72"/>
      <c r="AG490" s="644">
        <f>IFERROR(IF($AV490="No",0,IF($AV490="yes",Summary!Q490,"")),"")</f>
        <v>0</v>
      </c>
      <c r="AH490" s="646">
        <f>IFERROR(IF($AV490="No",0,IF($AV490="yes",Summary!R490,"")),"")</f>
        <v>0</v>
      </c>
      <c r="AI490" s="646">
        <f>IFERROR(IF($AV490="No",0,IF($AV490="yes",Summary!S490,"")),"")</f>
        <v>0</v>
      </c>
      <c r="AJ490" s="647">
        <f>IFERROR(IF($AV490="No",0,IF($AV490="yes",Summary!T490,"")),"")</f>
        <v>0</v>
      </c>
      <c r="AK490" s="648">
        <f>IFERROR(IF($AV490="No",0,IF($AV490="yes",Summary!U490,"")),"")</f>
        <v>0</v>
      </c>
      <c r="AL490" s="646">
        <f>IFERROR(IF($AV490="No",0,IF($AV490="yes",Summary!V490,"")),"")</f>
        <v>0</v>
      </c>
      <c r="AM490" s="646">
        <f>IFERROR(IF($AV490="No",0,IF($AV490="yes",Summary!W490,"")),"")</f>
        <v>0</v>
      </c>
      <c r="AN490" s="646">
        <f>IFERROR(IF($AV490="No",0,IF($AV490="yes",Summary!X490,"")),"")</f>
        <v>0</v>
      </c>
      <c r="AO490" s="646">
        <f>IFERROR(IF($AV490="No",0,IF($AV490="yes",Summary!Y490+Z490,"")),"")</f>
        <v>0</v>
      </c>
      <c r="AP490" s="646">
        <f>IFERROR(IF($AV490="No",0,IF($AV490="yes",Summary!AB490,"")),"")</f>
        <v>0</v>
      </c>
      <c r="AQ490" s="649" t="str">
        <f t="shared" si="114"/>
        <v/>
      </c>
      <c r="AR490" s="649" t="str">
        <f t="shared" si="105"/>
        <v/>
      </c>
      <c r="AS490" s="649" t="str">
        <f t="shared" si="115"/>
        <v/>
      </c>
      <c r="AT490" s="641" t="s">
        <v>964</v>
      </c>
      <c r="AV490" t="str">
        <f>IF('Proposed Lighting'!AK187&gt;0,"No","Yes")</f>
        <v>Yes</v>
      </c>
    </row>
    <row r="491" spans="1:48" ht="34.5" customHeight="1" outlineLevel="1">
      <c r="A491" s="641" t="s">
        <v>965</v>
      </c>
      <c r="B491" s="641" t="str">
        <f>IF('Proposed Lighting'!AU188=3,"Commercial-All Com-ExtLight",IF('Proposed Lighting'!AH188&gt;8759,"IPC_8760","Commercial-All Com-IntLight"))</f>
        <v>IPC_8760</v>
      </c>
      <c r="C491" s="641" t="str">
        <f>IF(OR(E491="",E491=0),"No",
IF(AND('Data Entry'!$AF$23="OR",AE491&lt;1),"No",
IF(AND('Data Entry'!$AF$23="ID",E491="Non-standard lighting control system",AD491&lt;1),"No",
IF(AND('Data Entry'!$AF$23="OR",'Proposed Lighting'!F188="Existing LED (Provide Description)",'Proposed Lighting'!AK188=""),"No",
IF('Proposed Lighting'!DD188="Submit Control as Non-Standard","No",
IF(AND('Proposed Lighting'!T188="Non-Standard (Provide Description)",AD491&lt;1),"No",
IF('Proposed Lighting'!AW188&lt;'Proposed Lighting'!AZ188,"No","Yes")))))))</f>
        <v>No</v>
      </c>
      <c r="D491" s="1604">
        <f>'Proposed Lighting'!BQ188-Q491</f>
        <v>0</v>
      </c>
      <c r="E491" s="642" t="str">
        <f>IF('Proposed Lighting'!W188="","",'Proposed Lighting'!W188)</f>
        <v/>
      </c>
      <c r="F491" s="642"/>
      <c r="G491" s="641" t="s">
        <v>786</v>
      </c>
      <c r="H491" s="643">
        <v>10</v>
      </c>
      <c r="I491" s="644">
        <v>1</v>
      </c>
      <c r="J491" s="723">
        <f>IF('Proposed Lighting'!EF188=0,'Proposed Lighting'!AA188,'Proposed Lighting'!EF188)</f>
        <v>0</v>
      </c>
      <c r="K491" s="643" t="str">
        <f>'Proposed Lighting'!CU188</f>
        <v/>
      </c>
      <c r="L491" s="643" t="str">
        <f t="shared" si="103"/>
        <v/>
      </c>
      <c r="M491" s="645">
        <f t="shared" si="106"/>
        <v>0</v>
      </c>
      <c r="N491" s="645"/>
      <c r="O491" s="722">
        <f>IFERROR('Proposed Lighting'!AC188/1000,0)</f>
        <v>0</v>
      </c>
      <c r="P491" s="644">
        <f>'Proposed Lighting'!AV188</f>
        <v>0</v>
      </c>
      <c r="Q491" s="644">
        <f>IF(AND('Proposed Lighting'!T188="Lighting Controls Only",'Data Entry'!$AF$23="OR",'Proposed Lighting'!AU188=2),0,
IF(AND('Proposed Lighting'!T188="Lighting Controls Only",'Data Entry'!$AF$23="OR",'Proposed Lighting'!AU188=3,OR('Proposed Lighting'!W188="ceiling mount",'Proposed Lighting'!W188="wall switch",'Proposed Lighting'!W188="fixture mount (on exisiting equip)",'Proposed Lighting'!W188="daylight harvesting (on existing equip)")),0,
IF('Proposed Lighting'!AF188=1,IF(P491=0,0,J491*O491*(L491*(1-P491))),IF('Proposed Lighting'!AU188=1,0,'Proposed Lighting'!AX188-'Proposed Lighting'!AY188))))</f>
        <v>0</v>
      </c>
      <c r="R491" s="646">
        <f>IF('Proposed Lighting'!T188="Non-standard (provide description",0,
IF(AND(E491="Non-standard control",'Proposed Lighting'!AU188=2),Q491*0.1,
IF(AND(E491="Non-standard control",'Proposed Lighting'!AU188=3),Q491*0.08,
IF('Proposed Lighting'!EF188=0,0,IF('Proposed Lighting'!AU188=1,0,
IF(AND('Data Entry'!$AF$23="ID",'Proposed Lighting'!T188="Lighting controls only"),VLOOKUP(E491,'Proposed Lighting'!$DO$97:$DP$106,2,FALSE),
IF(AND('Data Entry'!$AF$23="OR",'Proposed Lighting'!AU188=3,'Proposed Lighting'!T188="Lighting controls only"),VLOOKUP(E491,'Proposed Lighting'!$DO$127:$DP$134,2,FALSE),0)))))))*J491</f>
        <v>0</v>
      </c>
      <c r="S491" s="646">
        <f>IF(Q491&lt;0.01,0,IF('Proposed Lighting'!AK188&gt;0,'Proposed Lighting'!AK188*'Proposed Lighting'!EF188,0))</f>
        <v>0</v>
      </c>
      <c r="T491" s="647">
        <f t="shared" si="104"/>
        <v>0</v>
      </c>
      <c r="U491" s="648"/>
      <c r="V491" s="646">
        <f t="shared" si="107"/>
        <v>0</v>
      </c>
      <c r="W491" s="646">
        <f t="shared" si="108"/>
        <v>0</v>
      </c>
      <c r="X491" s="646">
        <f t="shared" si="109"/>
        <v>0</v>
      </c>
      <c r="Y491" s="646"/>
      <c r="Z491" s="646"/>
      <c r="AA491" s="646"/>
      <c r="AB491" s="646">
        <f t="shared" si="110"/>
        <v>0</v>
      </c>
      <c r="AC491" s="649" t="str">
        <f t="shared" si="111"/>
        <v/>
      </c>
      <c r="AD491" s="649" t="str">
        <f t="shared" si="112"/>
        <v/>
      </c>
      <c r="AE491" s="649" t="str">
        <f t="shared" si="113"/>
        <v/>
      </c>
      <c r="AF491" s="72"/>
      <c r="AG491" s="644">
        <f>IFERROR(IF($AV491="No",0,IF($AV491="yes",Summary!Q491,"")),"")</f>
        <v>0</v>
      </c>
      <c r="AH491" s="646">
        <f>IFERROR(IF($AV491="No",0,IF($AV491="yes",Summary!R491,"")),"")</f>
        <v>0</v>
      </c>
      <c r="AI491" s="646">
        <f>IFERROR(IF($AV491="No",0,IF($AV491="yes",Summary!S491,"")),"")</f>
        <v>0</v>
      </c>
      <c r="AJ491" s="647">
        <f>IFERROR(IF($AV491="No",0,IF($AV491="yes",Summary!T491,"")),"")</f>
        <v>0</v>
      </c>
      <c r="AK491" s="648">
        <f>IFERROR(IF($AV491="No",0,IF($AV491="yes",Summary!U491,"")),"")</f>
        <v>0</v>
      </c>
      <c r="AL491" s="646">
        <f>IFERROR(IF($AV491="No",0,IF($AV491="yes",Summary!V491,"")),"")</f>
        <v>0</v>
      </c>
      <c r="AM491" s="646">
        <f>IFERROR(IF($AV491="No",0,IF($AV491="yes",Summary!W491,"")),"")</f>
        <v>0</v>
      </c>
      <c r="AN491" s="646">
        <f>IFERROR(IF($AV491="No",0,IF($AV491="yes",Summary!X491,"")),"")</f>
        <v>0</v>
      </c>
      <c r="AO491" s="646">
        <f>IFERROR(IF($AV491="No",0,IF($AV491="yes",Summary!Y491+Z491,"")),"")</f>
        <v>0</v>
      </c>
      <c r="AP491" s="646">
        <f>IFERROR(IF($AV491="No",0,IF($AV491="yes",Summary!AB491,"")),"")</f>
        <v>0</v>
      </c>
      <c r="AQ491" s="649" t="str">
        <f t="shared" si="114"/>
        <v/>
      </c>
      <c r="AR491" s="649" t="str">
        <f t="shared" si="105"/>
        <v/>
      </c>
      <c r="AS491" s="649" t="str">
        <f t="shared" si="115"/>
        <v/>
      </c>
      <c r="AT491" s="641" t="s">
        <v>965</v>
      </c>
      <c r="AV491" t="str">
        <f>IF('Proposed Lighting'!AK188&gt;0,"No","Yes")</f>
        <v>Yes</v>
      </c>
    </row>
    <row r="492" spans="1:48" ht="34.5" customHeight="1" outlineLevel="1">
      <c r="A492" s="641" t="s">
        <v>966</v>
      </c>
      <c r="B492" s="641" t="str">
        <f>IF('Proposed Lighting'!AU189=3,"Commercial-All Com-ExtLight",IF('Proposed Lighting'!AH189&gt;8759,"IPC_8760","Commercial-All Com-IntLight"))</f>
        <v>IPC_8760</v>
      </c>
      <c r="C492" s="641" t="str">
        <f>IF(OR(E492="",E492=0),"No",
IF(AND('Data Entry'!$AF$23="OR",AE492&lt;1),"No",
IF(AND('Data Entry'!$AF$23="ID",E492="Non-standard lighting control system",AD492&lt;1),"No",
IF(AND('Data Entry'!$AF$23="OR",'Proposed Lighting'!F189="Existing LED (Provide Description)",'Proposed Lighting'!AK189=""),"No",
IF('Proposed Lighting'!DD189="Submit Control as Non-Standard","No",
IF(AND('Proposed Lighting'!T189="Non-Standard (Provide Description)",AD492&lt;1),"No",
IF('Proposed Lighting'!AW189&lt;'Proposed Lighting'!AZ189,"No","Yes")))))))</f>
        <v>No</v>
      </c>
      <c r="D492" s="1604">
        <f>'Proposed Lighting'!BQ189-Q492</f>
        <v>0</v>
      </c>
      <c r="E492" s="642" t="str">
        <f>IF('Proposed Lighting'!W189="","",'Proposed Lighting'!W189)</f>
        <v/>
      </c>
      <c r="F492" s="642"/>
      <c r="G492" s="641" t="s">
        <v>786</v>
      </c>
      <c r="H492" s="643">
        <v>10</v>
      </c>
      <c r="I492" s="644">
        <v>1</v>
      </c>
      <c r="J492" s="723">
        <f>IF('Proposed Lighting'!EF189=0,'Proposed Lighting'!AA189,'Proposed Lighting'!EF189)</f>
        <v>0</v>
      </c>
      <c r="K492" s="643" t="str">
        <f>'Proposed Lighting'!CU189</f>
        <v/>
      </c>
      <c r="L492" s="643" t="str">
        <f t="shared" si="103"/>
        <v/>
      </c>
      <c r="M492" s="645">
        <f t="shared" si="106"/>
        <v>0</v>
      </c>
      <c r="N492" s="645"/>
      <c r="O492" s="722">
        <f>IFERROR('Proposed Lighting'!AC189/1000,0)</f>
        <v>0</v>
      </c>
      <c r="P492" s="644">
        <f>'Proposed Lighting'!AV189</f>
        <v>0</v>
      </c>
      <c r="Q492" s="644">
        <f>IF(AND('Proposed Lighting'!T189="Lighting Controls Only",'Data Entry'!$AF$23="OR",'Proposed Lighting'!AU189=2),0,
IF(AND('Proposed Lighting'!T189="Lighting Controls Only",'Data Entry'!$AF$23="OR",'Proposed Lighting'!AU189=3,OR('Proposed Lighting'!W189="ceiling mount",'Proposed Lighting'!W189="wall switch",'Proposed Lighting'!W189="fixture mount (on exisiting equip)",'Proposed Lighting'!W189="daylight harvesting (on existing equip)")),0,
IF('Proposed Lighting'!AF189=1,IF(P492=0,0,J492*O492*(L492*(1-P492))),IF('Proposed Lighting'!AU189=1,0,'Proposed Lighting'!AX189-'Proposed Lighting'!AY189))))</f>
        <v>0</v>
      </c>
      <c r="R492" s="646">
        <f>IF('Proposed Lighting'!T189="Non-standard (provide description",0,
IF(AND(E492="Non-standard control",'Proposed Lighting'!AU189=2),Q492*0.1,
IF(AND(E492="Non-standard control",'Proposed Lighting'!AU189=3),Q492*0.08,
IF('Proposed Lighting'!EF189=0,0,IF('Proposed Lighting'!AU189=1,0,
IF(AND('Data Entry'!$AF$23="ID",'Proposed Lighting'!T189="Lighting controls only"),VLOOKUP(E492,'Proposed Lighting'!$DO$97:$DP$106,2,FALSE),
IF(AND('Data Entry'!$AF$23="OR",'Proposed Lighting'!AU189=3,'Proposed Lighting'!T189="Lighting controls only"),VLOOKUP(E492,'Proposed Lighting'!$DO$127:$DP$134,2,FALSE),0)))))))*J492</f>
        <v>0</v>
      </c>
      <c r="S492" s="646">
        <f>IF(Q492&lt;0.01,0,IF('Proposed Lighting'!AK189&gt;0,'Proposed Lighting'!AK189*'Proposed Lighting'!EF189,0))</f>
        <v>0</v>
      </c>
      <c r="T492" s="647">
        <f t="shared" si="104"/>
        <v>0</v>
      </c>
      <c r="U492" s="648"/>
      <c r="V492" s="646">
        <f t="shared" si="107"/>
        <v>0</v>
      </c>
      <c r="W492" s="646">
        <f t="shared" si="108"/>
        <v>0</v>
      </c>
      <c r="X492" s="646">
        <f t="shared" si="109"/>
        <v>0</v>
      </c>
      <c r="Y492" s="646"/>
      <c r="Z492" s="646"/>
      <c r="AA492" s="646"/>
      <c r="AB492" s="646">
        <f t="shared" si="110"/>
        <v>0</v>
      </c>
      <c r="AC492" s="649" t="str">
        <f t="shared" si="111"/>
        <v/>
      </c>
      <c r="AD492" s="649" t="str">
        <f t="shared" si="112"/>
        <v/>
      </c>
      <c r="AE492" s="649" t="str">
        <f t="shared" si="113"/>
        <v/>
      </c>
      <c r="AF492" s="72"/>
      <c r="AG492" s="644">
        <f>IFERROR(IF($AV492="No",0,IF($AV492="yes",Summary!Q492,"")),"")</f>
        <v>0</v>
      </c>
      <c r="AH492" s="646">
        <f>IFERROR(IF($AV492="No",0,IF($AV492="yes",Summary!R492,"")),"")</f>
        <v>0</v>
      </c>
      <c r="AI492" s="646">
        <f>IFERROR(IF($AV492="No",0,IF($AV492="yes",Summary!S492,"")),"")</f>
        <v>0</v>
      </c>
      <c r="AJ492" s="647">
        <f>IFERROR(IF($AV492="No",0,IF($AV492="yes",Summary!T492,"")),"")</f>
        <v>0</v>
      </c>
      <c r="AK492" s="648">
        <f>IFERROR(IF($AV492="No",0,IF($AV492="yes",Summary!U492,"")),"")</f>
        <v>0</v>
      </c>
      <c r="AL492" s="646">
        <f>IFERROR(IF($AV492="No",0,IF($AV492="yes",Summary!V492,"")),"")</f>
        <v>0</v>
      </c>
      <c r="AM492" s="646">
        <f>IFERROR(IF($AV492="No",0,IF($AV492="yes",Summary!W492,"")),"")</f>
        <v>0</v>
      </c>
      <c r="AN492" s="646">
        <f>IFERROR(IF($AV492="No",0,IF($AV492="yes",Summary!X492,"")),"")</f>
        <v>0</v>
      </c>
      <c r="AO492" s="646">
        <f>IFERROR(IF($AV492="No",0,IF($AV492="yes",Summary!Y492+Z492,"")),"")</f>
        <v>0</v>
      </c>
      <c r="AP492" s="646">
        <f>IFERROR(IF($AV492="No",0,IF($AV492="yes",Summary!AB492,"")),"")</f>
        <v>0</v>
      </c>
      <c r="AQ492" s="649" t="str">
        <f t="shared" si="114"/>
        <v/>
      </c>
      <c r="AR492" s="649" t="str">
        <f t="shared" si="105"/>
        <v/>
      </c>
      <c r="AS492" s="649" t="str">
        <f t="shared" si="115"/>
        <v/>
      </c>
      <c r="AT492" s="641" t="s">
        <v>966</v>
      </c>
      <c r="AV492" t="str">
        <f>IF('Proposed Lighting'!AK189&gt;0,"No","Yes")</f>
        <v>Yes</v>
      </c>
    </row>
    <row r="493" spans="1:48" ht="34.5" customHeight="1" outlineLevel="1">
      <c r="A493" s="641" t="s">
        <v>967</v>
      </c>
      <c r="B493" s="641" t="str">
        <f>IF('Proposed Lighting'!AU190=3,"Commercial-All Com-ExtLight",IF('Proposed Lighting'!AH190&gt;8759,"IPC_8760","Commercial-All Com-IntLight"))</f>
        <v>IPC_8760</v>
      </c>
      <c r="C493" s="641" t="str">
        <f>IF(OR(E493="",E493=0),"No",
IF(AND('Data Entry'!$AF$23="OR",AE493&lt;1),"No",
IF(AND('Data Entry'!$AF$23="ID",E493="Non-standard lighting control system",AD493&lt;1),"No",
IF(AND('Data Entry'!$AF$23="OR",'Proposed Lighting'!F190="Existing LED (Provide Description)",'Proposed Lighting'!AK190=""),"No",
IF('Proposed Lighting'!DD190="Submit Control as Non-Standard","No",
IF(AND('Proposed Lighting'!T190="Non-Standard (Provide Description)",AD493&lt;1),"No",
IF('Proposed Lighting'!AW190&lt;'Proposed Lighting'!AZ190,"No","Yes")))))))</f>
        <v>No</v>
      </c>
      <c r="D493" s="1604">
        <f>'Proposed Lighting'!BQ190-Q493</f>
        <v>0</v>
      </c>
      <c r="E493" s="642" t="str">
        <f>IF('Proposed Lighting'!W190="","",'Proposed Lighting'!W190)</f>
        <v/>
      </c>
      <c r="F493" s="642"/>
      <c r="G493" s="641" t="s">
        <v>786</v>
      </c>
      <c r="H493" s="643">
        <v>10</v>
      </c>
      <c r="I493" s="644">
        <v>1</v>
      </c>
      <c r="J493" s="723">
        <f>IF('Proposed Lighting'!EF190=0,'Proposed Lighting'!AA190,'Proposed Lighting'!EF190)</f>
        <v>0</v>
      </c>
      <c r="K493" s="643" t="str">
        <f>'Proposed Lighting'!CU190</f>
        <v/>
      </c>
      <c r="L493" s="643" t="str">
        <f t="shared" si="103"/>
        <v/>
      </c>
      <c r="M493" s="645">
        <f t="shared" si="106"/>
        <v>0</v>
      </c>
      <c r="N493" s="645"/>
      <c r="O493" s="722">
        <f>IFERROR('Proposed Lighting'!AC190/1000,0)</f>
        <v>0</v>
      </c>
      <c r="P493" s="644">
        <f>'Proposed Lighting'!AV190</f>
        <v>0</v>
      </c>
      <c r="Q493" s="644">
        <f>IF(AND('Proposed Lighting'!T190="Lighting Controls Only",'Data Entry'!$AF$23="OR",'Proposed Lighting'!AU190=2),0,
IF(AND('Proposed Lighting'!T190="Lighting Controls Only",'Data Entry'!$AF$23="OR",'Proposed Lighting'!AU190=3,OR('Proposed Lighting'!W190="ceiling mount",'Proposed Lighting'!W190="wall switch",'Proposed Lighting'!W190="fixture mount (on exisiting equip)",'Proposed Lighting'!W190="daylight harvesting (on existing equip)")),0,
IF('Proposed Lighting'!AF190=1,IF(P493=0,0,J493*O493*(L493*(1-P493))),IF('Proposed Lighting'!AU190=1,0,'Proposed Lighting'!AX190-'Proposed Lighting'!AY190))))</f>
        <v>0</v>
      </c>
      <c r="R493" s="646">
        <f>IF('Proposed Lighting'!T190="Non-standard (provide description",0,
IF(AND(E493="Non-standard control",'Proposed Lighting'!AU190=2),Q493*0.1,
IF(AND(E493="Non-standard control",'Proposed Lighting'!AU190=3),Q493*0.08,
IF('Proposed Lighting'!EF190=0,0,IF('Proposed Lighting'!AU190=1,0,
IF(AND('Data Entry'!$AF$23="ID",'Proposed Lighting'!T190="Lighting controls only"),VLOOKUP(E493,'Proposed Lighting'!$DO$97:$DP$106,2,FALSE),
IF(AND('Data Entry'!$AF$23="OR",'Proposed Lighting'!AU190=3,'Proposed Lighting'!T190="Lighting controls only"),VLOOKUP(E493,'Proposed Lighting'!$DO$127:$DP$134,2,FALSE),0)))))))*J493</f>
        <v>0</v>
      </c>
      <c r="S493" s="646">
        <f>IF(Q493&lt;0.01,0,IF('Proposed Lighting'!AK190&gt;0,'Proposed Lighting'!AK190*'Proposed Lighting'!EF190,0))</f>
        <v>0</v>
      </c>
      <c r="T493" s="647">
        <f t="shared" si="104"/>
        <v>0</v>
      </c>
      <c r="U493" s="648"/>
      <c r="V493" s="646">
        <f t="shared" si="107"/>
        <v>0</v>
      </c>
      <c r="W493" s="646">
        <f t="shared" si="108"/>
        <v>0</v>
      </c>
      <c r="X493" s="646">
        <f t="shared" si="109"/>
        <v>0</v>
      </c>
      <c r="Y493" s="646"/>
      <c r="Z493" s="646"/>
      <c r="AA493" s="646"/>
      <c r="AB493" s="646">
        <f t="shared" si="110"/>
        <v>0</v>
      </c>
      <c r="AC493" s="649" t="str">
        <f t="shared" si="111"/>
        <v/>
      </c>
      <c r="AD493" s="649" t="str">
        <f t="shared" si="112"/>
        <v/>
      </c>
      <c r="AE493" s="649" t="str">
        <f t="shared" si="113"/>
        <v/>
      </c>
      <c r="AF493" s="72"/>
      <c r="AG493" s="644">
        <f>IFERROR(IF($AV493="No",0,IF($AV493="yes",Summary!Q493,"")),"")</f>
        <v>0</v>
      </c>
      <c r="AH493" s="646">
        <f>IFERROR(IF($AV493="No",0,IF($AV493="yes",Summary!R493,"")),"")</f>
        <v>0</v>
      </c>
      <c r="AI493" s="646">
        <f>IFERROR(IF($AV493="No",0,IF($AV493="yes",Summary!S493,"")),"")</f>
        <v>0</v>
      </c>
      <c r="AJ493" s="647">
        <f>IFERROR(IF($AV493="No",0,IF($AV493="yes",Summary!T493,"")),"")</f>
        <v>0</v>
      </c>
      <c r="AK493" s="648">
        <f>IFERROR(IF($AV493="No",0,IF($AV493="yes",Summary!U493,"")),"")</f>
        <v>0</v>
      </c>
      <c r="AL493" s="646">
        <f>IFERROR(IF($AV493="No",0,IF($AV493="yes",Summary!V493,"")),"")</f>
        <v>0</v>
      </c>
      <c r="AM493" s="646">
        <f>IFERROR(IF($AV493="No",0,IF($AV493="yes",Summary!W493,"")),"")</f>
        <v>0</v>
      </c>
      <c r="AN493" s="646">
        <f>IFERROR(IF($AV493="No",0,IF($AV493="yes",Summary!X493,"")),"")</f>
        <v>0</v>
      </c>
      <c r="AO493" s="646">
        <f>IFERROR(IF($AV493="No",0,IF($AV493="yes",Summary!Y493+Z493,"")),"")</f>
        <v>0</v>
      </c>
      <c r="AP493" s="646">
        <f>IFERROR(IF($AV493="No",0,IF($AV493="yes",Summary!AB493,"")),"")</f>
        <v>0</v>
      </c>
      <c r="AQ493" s="649" t="str">
        <f t="shared" si="114"/>
        <v/>
      </c>
      <c r="AR493" s="649" t="str">
        <f t="shared" si="105"/>
        <v/>
      </c>
      <c r="AS493" s="649" t="str">
        <f t="shared" si="115"/>
        <v/>
      </c>
      <c r="AT493" s="641" t="s">
        <v>967</v>
      </c>
      <c r="AV493" t="str">
        <f>IF('Proposed Lighting'!AK190&gt;0,"No","Yes")</f>
        <v>Yes</v>
      </c>
    </row>
    <row r="494" spans="1:48" ht="34.5" customHeight="1" outlineLevel="1">
      <c r="A494" s="641" t="s">
        <v>968</v>
      </c>
      <c r="B494" s="641" t="str">
        <f>IF('Proposed Lighting'!AU191=3,"Commercial-All Com-ExtLight",IF('Proposed Lighting'!AH191&gt;8759,"IPC_8760","Commercial-All Com-IntLight"))</f>
        <v>IPC_8760</v>
      </c>
      <c r="C494" s="641" t="str">
        <f>IF(OR(E494="",E494=0),"No",
IF(AND('Data Entry'!$AF$23="OR",AE494&lt;1),"No",
IF(AND('Data Entry'!$AF$23="ID",E494="Non-standard lighting control system",AD494&lt;1),"No",
IF(AND('Data Entry'!$AF$23="OR",'Proposed Lighting'!F191="Existing LED (Provide Description)",'Proposed Lighting'!AK191=""),"No",
IF('Proposed Lighting'!DD191="Submit Control as Non-Standard","No",
IF(AND('Proposed Lighting'!T191="Non-Standard (Provide Description)",AD494&lt;1),"No",
IF('Proposed Lighting'!AW191&lt;'Proposed Lighting'!AZ191,"No","Yes")))))))</f>
        <v>No</v>
      </c>
      <c r="D494" s="1604">
        <f>'Proposed Lighting'!BQ191-Q494</f>
        <v>0</v>
      </c>
      <c r="E494" s="642" t="str">
        <f>IF('Proposed Lighting'!W191="","",'Proposed Lighting'!W191)</f>
        <v/>
      </c>
      <c r="F494" s="642"/>
      <c r="G494" s="641" t="s">
        <v>786</v>
      </c>
      <c r="H494" s="643">
        <v>10</v>
      </c>
      <c r="I494" s="644">
        <v>1</v>
      </c>
      <c r="J494" s="723">
        <f>IF('Proposed Lighting'!EF191=0,'Proposed Lighting'!AA191,'Proposed Lighting'!EF191)</f>
        <v>0</v>
      </c>
      <c r="K494" s="643" t="str">
        <f>'Proposed Lighting'!CU191</f>
        <v/>
      </c>
      <c r="L494" s="643" t="str">
        <f t="shared" si="103"/>
        <v/>
      </c>
      <c r="M494" s="645">
        <f t="shared" si="106"/>
        <v>0</v>
      </c>
      <c r="N494" s="645"/>
      <c r="O494" s="722">
        <f>IFERROR('Proposed Lighting'!AC191/1000,0)</f>
        <v>0</v>
      </c>
      <c r="P494" s="644">
        <f>'Proposed Lighting'!AV191</f>
        <v>0</v>
      </c>
      <c r="Q494" s="644">
        <f>IF(AND('Proposed Lighting'!T191="Lighting Controls Only",'Data Entry'!$AF$23="OR",'Proposed Lighting'!AU191=2),0,
IF(AND('Proposed Lighting'!T191="Lighting Controls Only",'Data Entry'!$AF$23="OR",'Proposed Lighting'!AU191=3,OR('Proposed Lighting'!W191="ceiling mount",'Proposed Lighting'!W191="wall switch",'Proposed Lighting'!W191="fixture mount (on exisiting equip)",'Proposed Lighting'!W191="daylight harvesting (on existing equip)")),0,
IF('Proposed Lighting'!AF191=1,IF(P494=0,0,J494*O494*(L494*(1-P494))),IF('Proposed Lighting'!AU191=1,0,'Proposed Lighting'!AX191-'Proposed Lighting'!AY191))))</f>
        <v>0</v>
      </c>
      <c r="R494" s="646">
        <f>IF('Proposed Lighting'!T191="Non-standard (provide description",0,
IF(AND(E494="Non-standard control",'Proposed Lighting'!AU191=2),Q494*0.1,
IF(AND(E494="Non-standard control",'Proposed Lighting'!AU191=3),Q494*0.08,
IF('Proposed Lighting'!EF191=0,0,IF('Proposed Lighting'!AU191=1,0,
IF(AND('Data Entry'!$AF$23="ID",'Proposed Lighting'!T191="Lighting controls only"),VLOOKUP(E494,'Proposed Lighting'!$DO$97:$DP$106,2,FALSE),
IF(AND('Data Entry'!$AF$23="OR",'Proposed Lighting'!AU191=3,'Proposed Lighting'!T191="Lighting controls only"),VLOOKUP(E494,'Proposed Lighting'!$DO$127:$DP$134,2,FALSE),0)))))))*J494</f>
        <v>0</v>
      </c>
      <c r="S494" s="646">
        <f>IF(Q494&lt;0.01,0,IF('Proposed Lighting'!AK191&gt;0,'Proposed Lighting'!AK191*'Proposed Lighting'!EF191,0))</f>
        <v>0</v>
      </c>
      <c r="T494" s="647">
        <f t="shared" si="104"/>
        <v>0</v>
      </c>
      <c r="U494" s="648"/>
      <c r="V494" s="646">
        <f t="shared" si="107"/>
        <v>0</v>
      </c>
      <c r="W494" s="646">
        <f t="shared" si="108"/>
        <v>0</v>
      </c>
      <c r="X494" s="646">
        <f t="shared" si="109"/>
        <v>0</v>
      </c>
      <c r="Y494" s="646"/>
      <c r="Z494" s="646"/>
      <c r="AA494" s="646"/>
      <c r="AB494" s="646">
        <f t="shared" si="110"/>
        <v>0</v>
      </c>
      <c r="AC494" s="649" t="str">
        <f t="shared" si="111"/>
        <v/>
      </c>
      <c r="AD494" s="649" t="str">
        <f t="shared" si="112"/>
        <v/>
      </c>
      <c r="AE494" s="649" t="str">
        <f t="shared" si="113"/>
        <v/>
      </c>
      <c r="AF494" s="72"/>
      <c r="AG494" s="644">
        <f>IFERROR(IF($AV494="No",0,IF($AV494="yes",Summary!Q494,"")),"")</f>
        <v>0</v>
      </c>
      <c r="AH494" s="646">
        <f>IFERROR(IF($AV494="No",0,IF($AV494="yes",Summary!R494,"")),"")</f>
        <v>0</v>
      </c>
      <c r="AI494" s="646">
        <f>IFERROR(IF($AV494="No",0,IF($AV494="yes",Summary!S494,"")),"")</f>
        <v>0</v>
      </c>
      <c r="AJ494" s="647">
        <f>IFERROR(IF($AV494="No",0,IF($AV494="yes",Summary!T494,"")),"")</f>
        <v>0</v>
      </c>
      <c r="AK494" s="648">
        <f>IFERROR(IF($AV494="No",0,IF($AV494="yes",Summary!U494,"")),"")</f>
        <v>0</v>
      </c>
      <c r="AL494" s="646">
        <f>IFERROR(IF($AV494="No",0,IF($AV494="yes",Summary!V494,"")),"")</f>
        <v>0</v>
      </c>
      <c r="AM494" s="646">
        <f>IFERROR(IF($AV494="No",0,IF($AV494="yes",Summary!W494,"")),"")</f>
        <v>0</v>
      </c>
      <c r="AN494" s="646">
        <f>IFERROR(IF($AV494="No",0,IF($AV494="yes",Summary!X494,"")),"")</f>
        <v>0</v>
      </c>
      <c r="AO494" s="646">
        <f>IFERROR(IF($AV494="No",0,IF($AV494="yes",Summary!Y494+Z494,"")),"")</f>
        <v>0</v>
      </c>
      <c r="AP494" s="646">
        <f>IFERROR(IF($AV494="No",0,IF($AV494="yes",Summary!AB494,"")),"")</f>
        <v>0</v>
      </c>
      <c r="AQ494" s="649" t="str">
        <f t="shared" si="114"/>
        <v/>
      </c>
      <c r="AR494" s="649" t="str">
        <f t="shared" si="105"/>
        <v/>
      </c>
      <c r="AS494" s="649" t="str">
        <f t="shared" si="115"/>
        <v/>
      </c>
      <c r="AT494" s="641" t="s">
        <v>968</v>
      </c>
      <c r="AV494" t="str">
        <f>IF('Proposed Lighting'!AK191&gt;0,"No","Yes")</f>
        <v>Yes</v>
      </c>
    </row>
    <row r="495" spans="1:48" ht="34.5" customHeight="1" outlineLevel="1">
      <c r="A495" s="641" t="s">
        <v>969</v>
      </c>
      <c r="B495" s="641" t="str">
        <f>IF('Proposed Lighting'!AU192=3,"Commercial-All Com-ExtLight",IF('Proposed Lighting'!AH192&gt;8759,"IPC_8760","Commercial-All Com-IntLight"))</f>
        <v>IPC_8760</v>
      </c>
      <c r="C495" s="641" t="str">
        <f>IF(OR(E495="",E495=0),"No",
IF(AND('Data Entry'!$AF$23="OR",AE495&lt;1),"No",
IF(AND('Data Entry'!$AF$23="ID",E495="Non-standard lighting control system",AD495&lt;1),"No",
IF(AND('Data Entry'!$AF$23="OR",'Proposed Lighting'!F192="Existing LED (Provide Description)",'Proposed Lighting'!AK192=""),"No",
IF('Proposed Lighting'!DD192="Submit Control as Non-Standard","No",
IF(AND('Proposed Lighting'!T192="Non-Standard (Provide Description)",AD495&lt;1),"No",
IF('Proposed Lighting'!AW192&lt;'Proposed Lighting'!AZ192,"No","Yes")))))))</f>
        <v>No</v>
      </c>
      <c r="D495" s="1604">
        <f>'Proposed Lighting'!BQ192-Q495</f>
        <v>0</v>
      </c>
      <c r="E495" s="642" t="str">
        <f>IF('Proposed Lighting'!W192="","",'Proposed Lighting'!W192)</f>
        <v/>
      </c>
      <c r="F495" s="642"/>
      <c r="G495" s="641" t="s">
        <v>786</v>
      </c>
      <c r="H495" s="643">
        <v>10</v>
      </c>
      <c r="I495" s="644">
        <v>1</v>
      </c>
      <c r="J495" s="723">
        <f>IF('Proposed Lighting'!EF192=0,'Proposed Lighting'!AA192,'Proposed Lighting'!EF192)</f>
        <v>0</v>
      </c>
      <c r="K495" s="643" t="str">
        <f>'Proposed Lighting'!CU192</f>
        <v/>
      </c>
      <c r="L495" s="643" t="str">
        <f t="shared" si="103"/>
        <v/>
      </c>
      <c r="M495" s="645">
        <f t="shared" si="106"/>
        <v>0</v>
      </c>
      <c r="N495" s="645"/>
      <c r="O495" s="722">
        <f>IFERROR('Proposed Lighting'!AC192/1000,0)</f>
        <v>0</v>
      </c>
      <c r="P495" s="644">
        <f>'Proposed Lighting'!AV192</f>
        <v>0</v>
      </c>
      <c r="Q495" s="644">
        <f>IF(AND('Proposed Lighting'!T192="Lighting Controls Only",'Data Entry'!$AF$23="OR",'Proposed Lighting'!AU192=2),0,
IF(AND('Proposed Lighting'!T192="Lighting Controls Only",'Data Entry'!$AF$23="OR",'Proposed Lighting'!AU192=3,OR('Proposed Lighting'!W192="ceiling mount",'Proposed Lighting'!W192="wall switch",'Proposed Lighting'!W192="fixture mount (on exisiting equip)",'Proposed Lighting'!W192="daylight harvesting (on existing equip)")),0,
IF('Proposed Lighting'!AF192=1,IF(P495=0,0,J495*O495*(L495*(1-P495))),IF('Proposed Lighting'!AU192=1,0,'Proposed Lighting'!AX192-'Proposed Lighting'!AY192))))</f>
        <v>0</v>
      </c>
      <c r="R495" s="646">
        <f>IF('Proposed Lighting'!T192="Non-standard (provide description",0,
IF(AND(E495="Non-standard control",'Proposed Lighting'!AU192=2),Q495*0.1,
IF(AND(E495="Non-standard control",'Proposed Lighting'!AU192=3),Q495*0.08,
IF('Proposed Lighting'!EF192=0,0,IF('Proposed Lighting'!AU192=1,0,
IF(AND('Data Entry'!$AF$23="ID",'Proposed Lighting'!T192="Lighting controls only"),VLOOKUP(E495,'Proposed Lighting'!$DO$97:$DP$106,2,FALSE),
IF(AND('Data Entry'!$AF$23="OR",'Proposed Lighting'!AU192=3,'Proposed Lighting'!T192="Lighting controls only"),VLOOKUP(E495,'Proposed Lighting'!$DO$127:$DP$134,2,FALSE),0)))))))*J495</f>
        <v>0</v>
      </c>
      <c r="S495" s="646">
        <f>IF(Q495&lt;0.01,0,IF('Proposed Lighting'!AK192&gt;0,'Proposed Lighting'!AK192*'Proposed Lighting'!EF192,0))</f>
        <v>0</v>
      </c>
      <c r="T495" s="647">
        <f t="shared" si="104"/>
        <v>0</v>
      </c>
      <c r="U495" s="648"/>
      <c r="V495" s="646">
        <f t="shared" si="107"/>
        <v>0</v>
      </c>
      <c r="W495" s="646">
        <f t="shared" si="108"/>
        <v>0</v>
      </c>
      <c r="X495" s="646">
        <f t="shared" si="109"/>
        <v>0</v>
      </c>
      <c r="Y495" s="646"/>
      <c r="Z495" s="646"/>
      <c r="AA495" s="646"/>
      <c r="AB495" s="646">
        <f t="shared" si="110"/>
        <v>0</v>
      </c>
      <c r="AC495" s="649" t="str">
        <f t="shared" si="111"/>
        <v/>
      </c>
      <c r="AD495" s="649" t="str">
        <f t="shared" si="112"/>
        <v/>
      </c>
      <c r="AE495" s="649" t="str">
        <f t="shared" si="113"/>
        <v/>
      </c>
      <c r="AF495" s="72"/>
      <c r="AG495" s="644">
        <f>IFERROR(IF($AV495="No",0,IF($AV495="yes",Summary!Q495,"")),"")</f>
        <v>0</v>
      </c>
      <c r="AH495" s="646">
        <f>IFERROR(IF($AV495="No",0,IF($AV495="yes",Summary!R495,"")),"")</f>
        <v>0</v>
      </c>
      <c r="AI495" s="646">
        <f>IFERROR(IF($AV495="No",0,IF($AV495="yes",Summary!S495,"")),"")</f>
        <v>0</v>
      </c>
      <c r="AJ495" s="647">
        <f>IFERROR(IF($AV495="No",0,IF($AV495="yes",Summary!T495,"")),"")</f>
        <v>0</v>
      </c>
      <c r="AK495" s="648">
        <f>IFERROR(IF($AV495="No",0,IF($AV495="yes",Summary!U495,"")),"")</f>
        <v>0</v>
      </c>
      <c r="AL495" s="646">
        <f>IFERROR(IF($AV495="No",0,IF($AV495="yes",Summary!V495,"")),"")</f>
        <v>0</v>
      </c>
      <c r="AM495" s="646">
        <f>IFERROR(IF($AV495="No",0,IF($AV495="yes",Summary!W495,"")),"")</f>
        <v>0</v>
      </c>
      <c r="AN495" s="646">
        <f>IFERROR(IF($AV495="No",0,IF($AV495="yes",Summary!X495,"")),"")</f>
        <v>0</v>
      </c>
      <c r="AO495" s="646">
        <f>IFERROR(IF($AV495="No",0,IF($AV495="yes",Summary!Y495+Z495,"")),"")</f>
        <v>0</v>
      </c>
      <c r="AP495" s="646">
        <f>IFERROR(IF($AV495="No",0,IF($AV495="yes",Summary!AB495,"")),"")</f>
        <v>0</v>
      </c>
      <c r="AQ495" s="649" t="str">
        <f t="shared" si="114"/>
        <v/>
      </c>
      <c r="AR495" s="649" t="str">
        <f t="shared" si="105"/>
        <v/>
      </c>
      <c r="AS495" s="649" t="str">
        <f t="shared" si="115"/>
        <v/>
      </c>
      <c r="AT495" s="641" t="s">
        <v>969</v>
      </c>
      <c r="AV495" t="str">
        <f>IF('Proposed Lighting'!AK192&gt;0,"No","Yes")</f>
        <v>Yes</v>
      </c>
    </row>
    <row r="496" spans="1:48" ht="34.5" customHeight="1" outlineLevel="1">
      <c r="A496" s="641" t="s">
        <v>970</v>
      </c>
      <c r="B496" s="641" t="str">
        <f>IF('Proposed Lighting'!AU193=3,"Commercial-All Com-ExtLight",IF('Proposed Lighting'!AH193&gt;8759,"IPC_8760","Commercial-All Com-IntLight"))</f>
        <v>IPC_8760</v>
      </c>
      <c r="C496" s="641" t="str">
        <f>IF(OR(E496="",E496=0),"No",
IF(AND('Data Entry'!$AF$23="OR",AE496&lt;1),"No",
IF(AND('Data Entry'!$AF$23="ID",E496="Non-standard lighting control system",AD496&lt;1),"No",
IF(AND('Data Entry'!$AF$23="OR",'Proposed Lighting'!F193="Existing LED (Provide Description)",'Proposed Lighting'!AK193=""),"No",
IF('Proposed Lighting'!DD193="Submit Control as Non-Standard","No",
IF(AND('Proposed Lighting'!T193="Non-Standard (Provide Description)",AD496&lt;1),"No",
IF('Proposed Lighting'!AW193&lt;'Proposed Lighting'!AZ193,"No","Yes")))))))</f>
        <v>No</v>
      </c>
      <c r="D496" s="1604">
        <f>'Proposed Lighting'!BQ193-Q496</f>
        <v>0</v>
      </c>
      <c r="E496" s="642" t="str">
        <f>IF('Proposed Lighting'!W193="","",'Proposed Lighting'!W193)</f>
        <v/>
      </c>
      <c r="F496" s="642"/>
      <c r="G496" s="641" t="s">
        <v>786</v>
      </c>
      <c r="H496" s="643">
        <v>10</v>
      </c>
      <c r="I496" s="644">
        <v>1</v>
      </c>
      <c r="J496" s="723">
        <f>IF('Proposed Lighting'!EF193=0,'Proposed Lighting'!AA193,'Proposed Lighting'!EF193)</f>
        <v>0</v>
      </c>
      <c r="K496" s="643" t="str">
        <f>'Proposed Lighting'!CU193</f>
        <v/>
      </c>
      <c r="L496" s="643" t="str">
        <f t="shared" si="103"/>
        <v/>
      </c>
      <c r="M496" s="645">
        <f t="shared" si="106"/>
        <v>0</v>
      </c>
      <c r="N496" s="645"/>
      <c r="O496" s="722">
        <f>IFERROR('Proposed Lighting'!AC193/1000,0)</f>
        <v>0</v>
      </c>
      <c r="P496" s="644">
        <f>'Proposed Lighting'!AV193</f>
        <v>0</v>
      </c>
      <c r="Q496" s="644">
        <f>IF(AND('Proposed Lighting'!T193="Lighting Controls Only",'Data Entry'!$AF$23="OR",'Proposed Lighting'!AU193=2),0,
IF(AND('Proposed Lighting'!T193="Lighting Controls Only",'Data Entry'!$AF$23="OR",'Proposed Lighting'!AU193=3,OR('Proposed Lighting'!W193="ceiling mount",'Proposed Lighting'!W193="wall switch",'Proposed Lighting'!W193="fixture mount (on exisiting equip)",'Proposed Lighting'!W193="daylight harvesting (on existing equip)")),0,
IF('Proposed Lighting'!AF193=1,IF(P496=0,0,J496*O496*(L496*(1-P496))),IF('Proposed Lighting'!AU193=1,0,'Proposed Lighting'!AX193-'Proposed Lighting'!AY193))))</f>
        <v>0</v>
      </c>
      <c r="R496" s="646">
        <f>IF('Proposed Lighting'!T193="Non-standard (provide description",0,
IF(AND(E496="Non-standard control",'Proposed Lighting'!AU193=2),Q496*0.1,
IF(AND(E496="Non-standard control",'Proposed Lighting'!AU193=3),Q496*0.08,
IF('Proposed Lighting'!EF193=0,0,IF('Proposed Lighting'!AU193=1,0,
IF(AND('Data Entry'!$AF$23="ID",'Proposed Lighting'!T193="Lighting controls only"),VLOOKUP(E496,'Proposed Lighting'!$DO$97:$DP$106,2,FALSE),
IF(AND('Data Entry'!$AF$23="OR",'Proposed Lighting'!AU193=3,'Proposed Lighting'!T193="Lighting controls only"),VLOOKUP(E496,'Proposed Lighting'!$DO$127:$DP$134,2,FALSE),0)))))))*J496</f>
        <v>0</v>
      </c>
      <c r="S496" s="646">
        <f>IF(Q496&lt;0.01,0,IF('Proposed Lighting'!AK193&gt;0,'Proposed Lighting'!AK193*'Proposed Lighting'!EF193,0))</f>
        <v>0</v>
      </c>
      <c r="T496" s="647">
        <f t="shared" si="104"/>
        <v>0</v>
      </c>
      <c r="U496" s="648"/>
      <c r="V496" s="646">
        <f t="shared" si="107"/>
        <v>0</v>
      </c>
      <c r="W496" s="646">
        <f t="shared" si="108"/>
        <v>0</v>
      </c>
      <c r="X496" s="646">
        <f t="shared" si="109"/>
        <v>0</v>
      </c>
      <c r="Y496" s="646"/>
      <c r="Z496" s="646"/>
      <c r="AA496" s="646"/>
      <c r="AB496" s="646">
        <f t="shared" si="110"/>
        <v>0</v>
      </c>
      <c r="AC496" s="649" t="str">
        <f t="shared" si="111"/>
        <v/>
      </c>
      <c r="AD496" s="649" t="str">
        <f t="shared" si="112"/>
        <v/>
      </c>
      <c r="AE496" s="649" t="str">
        <f t="shared" si="113"/>
        <v/>
      </c>
      <c r="AF496" s="72"/>
      <c r="AG496" s="644">
        <f>IFERROR(IF($AV496="No",0,IF($AV496="yes",Summary!Q496,"")),"")</f>
        <v>0</v>
      </c>
      <c r="AH496" s="646">
        <f>IFERROR(IF($AV496="No",0,IF($AV496="yes",Summary!R496,"")),"")</f>
        <v>0</v>
      </c>
      <c r="AI496" s="646">
        <f>IFERROR(IF($AV496="No",0,IF($AV496="yes",Summary!S496,"")),"")</f>
        <v>0</v>
      </c>
      <c r="AJ496" s="647">
        <f>IFERROR(IF($AV496="No",0,IF($AV496="yes",Summary!T496,"")),"")</f>
        <v>0</v>
      </c>
      <c r="AK496" s="648">
        <f>IFERROR(IF($AV496="No",0,IF($AV496="yes",Summary!U496,"")),"")</f>
        <v>0</v>
      </c>
      <c r="AL496" s="646">
        <f>IFERROR(IF($AV496="No",0,IF($AV496="yes",Summary!V496,"")),"")</f>
        <v>0</v>
      </c>
      <c r="AM496" s="646">
        <f>IFERROR(IF($AV496="No",0,IF($AV496="yes",Summary!W496,"")),"")</f>
        <v>0</v>
      </c>
      <c r="AN496" s="646">
        <f>IFERROR(IF($AV496="No",0,IF($AV496="yes",Summary!X496,"")),"")</f>
        <v>0</v>
      </c>
      <c r="AO496" s="646">
        <f>IFERROR(IF($AV496="No",0,IF($AV496="yes",Summary!Y496+Z496,"")),"")</f>
        <v>0</v>
      </c>
      <c r="AP496" s="646">
        <f>IFERROR(IF($AV496="No",0,IF($AV496="yes",Summary!AB496,"")),"")</f>
        <v>0</v>
      </c>
      <c r="AQ496" s="649" t="str">
        <f t="shared" si="114"/>
        <v/>
      </c>
      <c r="AR496" s="649" t="str">
        <f t="shared" si="105"/>
        <v/>
      </c>
      <c r="AS496" s="649" t="str">
        <f t="shared" si="115"/>
        <v/>
      </c>
      <c r="AT496" s="641" t="s">
        <v>970</v>
      </c>
      <c r="AV496" t="str">
        <f>IF('Proposed Lighting'!AK193&gt;0,"No","Yes")</f>
        <v>Yes</v>
      </c>
    </row>
    <row r="497" spans="1:48" ht="34.5" customHeight="1" outlineLevel="1">
      <c r="A497" s="641" t="s">
        <v>971</v>
      </c>
      <c r="B497" s="641" t="str">
        <f>IF('Proposed Lighting'!AU194=3,"Commercial-All Com-ExtLight",IF('Proposed Lighting'!AH194&gt;8759,"IPC_8760","Commercial-All Com-IntLight"))</f>
        <v>IPC_8760</v>
      </c>
      <c r="C497" s="641" t="str">
        <f>IF(OR(E497="",E497=0),"No",
IF(AND('Data Entry'!$AF$23="OR",AE497&lt;1),"No",
IF(AND('Data Entry'!$AF$23="ID",E497="Non-standard lighting control system",AD497&lt;1),"No",
IF(AND('Data Entry'!$AF$23="OR",'Proposed Lighting'!F194="Existing LED (Provide Description)",'Proposed Lighting'!AK194=""),"No",
IF('Proposed Lighting'!DD194="Submit Control as Non-Standard","No",
IF(AND('Proposed Lighting'!T194="Non-Standard (Provide Description)",AD497&lt;1),"No",
IF('Proposed Lighting'!AW194&lt;'Proposed Lighting'!AZ194,"No","Yes")))))))</f>
        <v>No</v>
      </c>
      <c r="D497" s="1604">
        <f>'Proposed Lighting'!BQ194-Q497</f>
        <v>0</v>
      </c>
      <c r="E497" s="642" t="str">
        <f>IF('Proposed Lighting'!W194="","",'Proposed Lighting'!W194)</f>
        <v/>
      </c>
      <c r="F497" s="642"/>
      <c r="G497" s="641" t="s">
        <v>786</v>
      </c>
      <c r="H497" s="643">
        <v>10</v>
      </c>
      <c r="I497" s="644">
        <v>1</v>
      </c>
      <c r="J497" s="723">
        <f>IF('Proposed Lighting'!EF194=0,'Proposed Lighting'!AA194,'Proposed Lighting'!EF194)</f>
        <v>0</v>
      </c>
      <c r="K497" s="643" t="str">
        <f>'Proposed Lighting'!CU194</f>
        <v/>
      </c>
      <c r="L497" s="643" t="str">
        <f t="shared" si="103"/>
        <v/>
      </c>
      <c r="M497" s="645">
        <f t="shared" si="106"/>
        <v>0</v>
      </c>
      <c r="N497" s="645"/>
      <c r="O497" s="722">
        <f>IFERROR('Proposed Lighting'!AC194/1000,0)</f>
        <v>0</v>
      </c>
      <c r="P497" s="644">
        <f>'Proposed Lighting'!AV194</f>
        <v>0</v>
      </c>
      <c r="Q497" s="644">
        <f>IF(AND('Proposed Lighting'!T194="Lighting Controls Only",'Data Entry'!$AF$23="OR",'Proposed Lighting'!AU194=2),0,
IF(AND('Proposed Lighting'!T194="Lighting Controls Only",'Data Entry'!$AF$23="OR",'Proposed Lighting'!AU194=3,OR('Proposed Lighting'!W194="ceiling mount",'Proposed Lighting'!W194="wall switch",'Proposed Lighting'!W194="fixture mount (on exisiting equip)",'Proposed Lighting'!W194="daylight harvesting (on existing equip)")),0,
IF('Proposed Lighting'!AF194=1,IF(P497=0,0,J497*O497*(L497*(1-P497))),IF('Proposed Lighting'!AU194=1,0,'Proposed Lighting'!AX194-'Proposed Lighting'!AY194))))</f>
        <v>0</v>
      </c>
      <c r="R497" s="646">
        <f>IF('Proposed Lighting'!T194="Non-standard (provide description",0,
IF(AND(E497="Non-standard control",'Proposed Lighting'!AU194=2),Q497*0.1,
IF(AND(E497="Non-standard control",'Proposed Lighting'!AU194=3),Q497*0.08,
IF('Proposed Lighting'!EF194=0,0,IF('Proposed Lighting'!AU194=1,0,
IF(AND('Data Entry'!$AF$23="ID",'Proposed Lighting'!T194="Lighting controls only"),VLOOKUP(E497,'Proposed Lighting'!$DO$97:$DP$106,2,FALSE),
IF(AND('Data Entry'!$AF$23="OR",'Proposed Lighting'!AU194=3,'Proposed Lighting'!T194="Lighting controls only"),VLOOKUP(E497,'Proposed Lighting'!$DO$127:$DP$134,2,FALSE),0)))))))*J497</f>
        <v>0</v>
      </c>
      <c r="S497" s="646">
        <f>IF(Q497&lt;0.01,0,IF('Proposed Lighting'!AK194&gt;0,'Proposed Lighting'!AK194*'Proposed Lighting'!EF194,0))</f>
        <v>0</v>
      </c>
      <c r="T497" s="647">
        <f t="shared" si="104"/>
        <v>0</v>
      </c>
      <c r="U497" s="648"/>
      <c r="V497" s="646">
        <f t="shared" si="107"/>
        <v>0</v>
      </c>
      <c r="W497" s="646">
        <f t="shared" si="108"/>
        <v>0</v>
      </c>
      <c r="X497" s="646">
        <f t="shared" si="109"/>
        <v>0</v>
      </c>
      <c r="Y497" s="646"/>
      <c r="Z497" s="646"/>
      <c r="AA497" s="646"/>
      <c r="AB497" s="646">
        <f t="shared" si="110"/>
        <v>0</v>
      </c>
      <c r="AC497" s="649" t="str">
        <f t="shared" si="111"/>
        <v/>
      </c>
      <c r="AD497" s="649" t="str">
        <f t="shared" si="112"/>
        <v/>
      </c>
      <c r="AE497" s="649" t="str">
        <f t="shared" si="113"/>
        <v/>
      </c>
      <c r="AF497" s="72"/>
      <c r="AG497" s="644">
        <f>IFERROR(IF($AV497="No",0,IF($AV497="yes",Summary!Q497,"")),"")</f>
        <v>0</v>
      </c>
      <c r="AH497" s="646">
        <f>IFERROR(IF($AV497="No",0,IF($AV497="yes",Summary!R497,"")),"")</f>
        <v>0</v>
      </c>
      <c r="AI497" s="646">
        <f>IFERROR(IF($AV497="No",0,IF($AV497="yes",Summary!S497,"")),"")</f>
        <v>0</v>
      </c>
      <c r="AJ497" s="647">
        <f>IFERROR(IF($AV497="No",0,IF($AV497="yes",Summary!T497,"")),"")</f>
        <v>0</v>
      </c>
      <c r="AK497" s="648">
        <f>IFERROR(IF($AV497="No",0,IF($AV497="yes",Summary!U497,"")),"")</f>
        <v>0</v>
      </c>
      <c r="AL497" s="646">
        <f>IFERROR(IF($AV497="No",0,IF($AV497="yes",Summary!V497,"")),"")</f>
        <v>0</v>
      </c>
      <c r="AM497" s="646">
        <f>IFERROR(IF($AV497="No",0,IF($AV497="yes",Summary!W497,"")),"")</f>
        <v>0</v>
      </c>
      <c r="AN497" s="646">
        <f>IFERROR(IF($AV497="No",0,IF($AV497="yes",Summary!X497,"")),"")</f>
        <v>0</v>
      </c>
      <c r="AO497" s="646">
        <f>IFERROR(IF($AV497="No",0,IF($AV497="yes",Summary!Y497+Z497,"")),"")</f>
        <v>0</v>
      </c>
      <c r="AP497" s="646">
        <f>IFERROR(IF($AV497="No",0,IF($AV497="yes",Summary!AB497,"")),"")</f>
        <v>0</v>
      </c>
      <c r="AQ497" s="649" t="str">
        <f t="shared" si="114"/>
        <v/>
      </c>
      <c r="AR497" s="649" t="str">
        <f t="shared" si="105"/>
        <v/>
      </c>
      <c r="AS497" s="649" t="str">
        <f t="shared" si="115"/>
        <v/>
      </c>
      <c r="AT497" s="641" t="s">
        <v>971</v>
      </c>
      <c r="AV497" t="str">
        <f>IF('Proposed Lighting'!AK194&gt;0,"No","Yes")</f>
        <v>Yes</v>
      </c>
    </row>
    <row r="498" spans="1:48" ht="34.5" customHeight="1" outlineLevel="1">
      <c r="A498" s="641" t="s">
        <v>972</v>
      </c>
      <c r="B498" s="641" t="str">
        <f>IF('Proposed Lighting'!AU195=3,"Commercial-All Com-ExtLight",IF('Proposed Lighting'!AH195&gt;8759,"IPC_8760","Commercial-All Com-IntLight"))</f>
        <v>IPC_8760</v>
      </c>
      <c r="C498" s="641" t="str">
        <f>IF(OR(E498="",E498=0),"No",
IF(AND('Data Entry'!$AF$23="OR",AE498&lt;1),"No",
IF(AND('Data Entry'!$AF$23="ID",E498="Non-standard lighting control system",AD498&lt;1),"No",
IF(AND('Data Entry'!$AF$23="OR",'Proposed Lighting'!F195="Existing LED (Provide Description)",'Proposed Lighting'!AK195=""),"No",
IF('Proposed Lighting'!DD195="Submit Control as Non-Standard","No",
IF(AND('Proposed Lighting'!T195="Non-Standard (Provide Description)",AD498&lt;1),"No",
IF('Proposed Lighting'!AW195&lt;'Proposed Lighting'!AZ195,"No","Yes")))))))</f>
        <v>No</v>
      </c>
      <c r="D498" s="1604">
        <f>'Proposed Lighting'!BQ195-Q498</f>
        <v>0</v>
      </c>
      <c r="E498" s="642" t="str">
        <f>IF('Proposed Lighting'!W195="","",'Proposed Lighting'!W195)</f>
        <v/>
      </c>
      <c r="F498" s="642"/>
      <c r="G498" s="641" t="s">
        <v>786</v>
      </c>
      <c r="H498" s="643">
        <v>10</v>
      </c>
      <c r="I498" s="644">
        <v>1</v>
      </c>
      <c r="J498" s="723">
        <f>IF('Proposed Lighting'!EF195=0,'Proposed Lighting'!AA195,'Proposed Lighting'!EF195)</f>
        <v>0</v>
      </c>
      <c r="K498" s="643" t="str">
        <f>'Proposed Lighting'!CU195</f>
        <v/>
      </c>
      <c r="L498" s="643" t="str">
        <f t="shared" si="103"/>
        <v/>
      </c>
      <c r="M498" s="645">
        <f t="shared" si="106"/>
        <v>0</v>
      </c>
      <c r="N498" s="645"/>
      <c r="O498" s="722">
        <f>IFERROR('Proposed Lighting'!AC195/1000,0)</f>
        <v>0</v>
      </c>
      <c r="P498" s="644">
        <f>'Proposed Lighting'!AV195</f>
        <v>0</v>
      </c>
      <c r="Q498" s="644">
        <f>IF(AND('Proposed Lighting'!T195="Lighting Controls Only",'Data Entry'!$AF$23="OR",'Proposed Lighting'!AU195=2),0,
IF(AND('Proposed Lighting'!T195="Lighting Controls Only",'Data Entry'!$AF$23="OR",'Proposed Lighting'!AU195=3,OR('Proposed Lighting'!W195="ceiling mount",'Proposed Lighting'!W195="wall switch",'Proposed Lighting'!W195="fixture mount (on exisiting equip)",'Proposed Lighting'!W195="daylight harvesting (on existing equip)")),0,
IF('Proposed Lighting'!AF195=1,IF(P498=0,0,J498*O498*(L498*(1-P498))),IF('Proposed Lighting'!AU195=1,0,'Proposed Lighting'!AX195-'Proposed Lighting'!AY195))))</f>
        <v>0</v>
      </c>
      <c r="R498" s="646">
        <f>IF('Proposed Lighting'!T195="Non-standard (provide description",0,
IF(AND(E498="Non-standard control",'Proposed Lighting'!AU195=2),Q498*0.1,
IF(AND(E498="Non-standard control",'Proposed Lighting'!AU195=3),Q498*0.08,
IF('Proposed Lighting'!EF195=0,0,IF('Proposed Lighting'!AU195=1,0,
IF(AND('Data Entry'!$AF$23="ID",'Proposed Lighting'!T195="Lighting controls only"),VLOOKUP(E498,'Proposed Lighting'!$DO$97:$DP$106,2,FALSE),
IF(AND('Data Entry'!$AF$23="OR",'Proposed Lighting'!AU195=3,'Proposed Lighting'!T195="Lighting controls only"),VLOOKUP(E498,'Proposed Lighting'!$DO$127:$DP$134,2,FALSE),0)))))))*J498</f>
        <v>0</v>
      </c>
      <c r="S498" s="646">
        <f>IF(Q498&lt;0.01,0,IF('Proposed Lighting'!AK195&gt;0,'Proposed Lighting'!AK195*'Proposed Lighting'!EF195,0))</f>
        <v>0</v>
      </c>
      <c r="T498" s="647">
        <f t="shared" si="104"/>
        <v>0</v>
      </c>
      <c r="U498" s="648"/>
      <c r="V498" s="646">
        <f t="shared" si="107"/>
        <v>0</v>
      </c>
      <c r="W498" s="646">
        <f t="shared" si="108"/>
        <v>0</v>
      </c>
      <c r="X498" s="646">
        <f t="shared" si="109"/>
        <v>0</v>
      </c>
      <c r="Y498" s="646"/>
      <c r="Z498" s="646"/>
      <c r="AA498" s="646"/>
      <c r="AB498" s="646">
        <f t="shared" si="110"/>
        <v>0</v>
      </c>
      <c r="AC498" s="649" t="str">
        <f t="shared" si="111"/>
        <v/>
      </c>
      <c r="AD498" s="649" t="str">
        <f t="shared" si="112"/>
        <v/>
      </c>
      <c r="AE498" s="649" t="str">
        <f t="shared" si="113"/>
        <v/>
      </c>
      <c r="AF498" s="72"/>
      <c r="AG498" s="644">
        <f>IFERROR(IF($AV498="No",0,IF($AV498="yes",Summary!Q498,"")),"")</f>
        <v>0</v>
      </c>
      <c r="AH498" s="646">
        <f>IFERROR(IF($AV498="No",0,IF($AV498="yes",Summary!R498,"")),"")</f>
        <v>0</v>
      </c>
      <c r="AI498" s="646">
        <f>IFERROR(IF($AV498="No",0,IF($AV498="yes",Summary!S498,"")),"")</f>
        <v>0</v>
      </c>
      <c r="AJ498" s="647">
        <f>IFERROR(IF($AV498="No",0,IF($AV498="yes",Summary!T498,"")),"")</f>
        <v>0</v>
      </c>
      <c r="AK498" s="648">
        <f>IFERROR(IF($AV498="No",0,IF($AV498="yes",Summary!U498,"")),"")</f>
        <v>0</v>
      </c>
      <c r="AL498" s="646">
        <f>IFERROR(IF($AV498="No",0,IF($AV498="yes",Summary!V498,"")),"")</f>
        <v>0</v>
      </c>
      <c r="AM498" s="646">
        <f>IFERROR(IF($AV498="No",0,IF($AV498="yes",Summary!W498,"")),"")</f>
        <v>0</v>
      </c>
      <c r="AN498" s="646">
        <f>IFERROR(IF($AV498="No",0,IF($AV498="yes",Summary!X498,"")),"")</f>
        <v>0</v>
      </c>
      <c r="AO498" s="646">
        <f>IFERROR(IF($AV498="No",0,IF($AV498="yes",Summary!Y498+Z498,"")),"")</f>
        <v>0</v>
      </c>
      <c r="AP498" s="646">
        <f>IFERROR(IF($AV498="No",0,IF($AV498="yes",Summary!AB498,"")),"")</f>
        <v>0</v>
      </c>
      <c r="AQ498" s="649" t="str">
        <f t="shared" si="114"/>
        <v/>
      </c>
      <c r="AR498" s="649" t="str">
        <f t="shared" si="105"/>
        <v/>
      </c>
      <c r="AS498" s="649" t="str">
        <f t="shared" si="115"/>
        <v/>
      </c>
      <c r="AT498" s="641" t="s">
        <v>972</v>
      </c>
      <c r="AV498" t="str">
        <f>IF('Proposed Lighting'!AK195&gt;0,"No","Yes")</f>
        <v>Yes</v>
      </c>
    </row>
    <row r="499" spans="1:48" ht="34.5" customHeight="1" outlineLevel="1">
      <c r="A499" s="641" t="s">
        <v>973</v>
      </c>
      <c r="B499" s="641" t="str">
        <f>IF('Proposed Lighting'!AU196=3,"Commercial-All Com-ExtLight",IF('Proposed Lighting'!AH196&gt;8759,"IPC_8760","Commercial-All Com-IntLight"))</f>
        <v>IPC_8760</v>
      </c>
      <c r="C499" s="641" t="str">
        <f>IF(OR(E499="",E499=0),"No",
IF(AND('Data Entry'!$AF$23="OR",AE499&lt;1),"No",
IF(AND('Data Entry'!$AF$23="ID",E499="Non-standard lighting control system",AD499&lt;1),"No",
IF(AND('Data Entry'!$AF$23="OR",'Proposed Lighting'!F196="Existing LED (Provide Description)",'Proposed Lighting'!AK196=""),"No",
IF('Proposed Lighting'!DD196="Submit Control as Non-Standard","No",
IF(AND('Proposed Lighting'!T196="Non-Standard (Provide Description)",AD499&lt;1),"No",
IF('Proposed Lighting'!AW196&lt;'Proposed Lighting'!AZ196,"No","Yes")))))))</f>
        <v>No</v>
      </c>
      <c r="D499" s="1604">
        <f>'Proposed Lighting'!BQ196-Q499</f>
        <v>0</v>
      </c>
      <c r="E499" s="642" t="str">
        <f>IF('Proposed Lighting'!W196="","",'Proposed Lighting'!W196)</f>
        <v/>
      </c>
      <c r="F499" s="642"/>
      <c r="G499" s="641" t="s">
        <v>786</v>
      </c>
      <c r="H499" s="643">
        <v>10</v>
      </c>
      <c r="I499" s="644">
        <v>1</v>
      </c>
      <c r="J499" s="723">
        <f>IF('Proposed Lighting'!EF196=0,'Proposed Lighting'!AA196,'Proposed Lighting'!EF196)</f>
        <v>0</v>
      </c>
      <c r="K499" s="643" t="str">
        <f>'Proposed Lighting'!CU196</f>
        <v/>
      </c>
      <c r="L499" s="643" t="str">
        <f t="shared" si="103"/>
        <v/>
      </c>
      <c r="M499" s="645">
        <f t="shared" si="106"/>
        <v>0</v>
      </c>
      <c r="N499" s="645"/>
      <c r="O499" s="722">
        <f>IFERROR('Proposed Lighting'!AC196/1000,0)</f>
        <v>0</v>
      </c>
      <c r="P499" s="644">
        <f>'Proposed Lighting'!AV196</f>
        <v>0</v>
      </c>
      <c r="Q499" s="644">
        <f>IF(AND('Proposed Lighting'!T196="Lighting Controls Only",'Data Entry'!$AF$23="OR",'Proposed Lighting'!AU196=2),0,
IF(AND('Proposed Lighting'!T196="Lighting Controls Only",'Data Entry'!$AF$23="OR",'Proposed Lighting'!AU196=3,OR('Proposed Lighting'!W196="ceiling mount",'Proposed Lighting'!W196="wall switch",'Proposed Lighting'!W196="fixture mount (on exisiting equip)",'Proposed Lighting'!W196="daylight harvesting (on existing equip)")),0,
IF('Proposed Lighting'!AF196=1,IF(P499=0,0,J499*O499*(L499*(1-P499))),IF('Proposed Lighting'!AU196=1,0,'Proposed Lighting'!AX196-'Proposed Lighting'!AY196))))</f>
        <v>0</v>
      </c>
      <c r="R499" s="646">
        <f>IF('Proposed Lighting'!T196="Non-standard (provide description",0,
IF(AND(E499="Non-standard control",'Proposed Lighting'!AU196=2),Q499*0.1,
IF(AND(E499="Non-standard control",'Proposed Lighting'!AU196=3),Q499*0.08,
IF('Proposed Lighting'!EF196=0,0,IF('Proposed Lighting'!AU196=1,0,
IF(AND('Data Entry'!$AF$23="ID",'Proposed Lighting'!T196="Lighting controls only"),VLOOKUP(E499,'Proposed Lighting'!$DO$97:$DP$106,2,FALSE),
IF(AND('Data Entry'!$AF$23="OR",'Proposed Lighting'!AU196=3,'Proposed Lighting'!T196="Lighting controls only"),VLOOKUP(E499,'Proposed Lighting'!$DO$127:$DP$134,2,FALSE),0)))))))*J499</f>
        <v>0</v>
      </c>
      <c r="S499" s="646">
        <f>IF(Q499&lt;0.01,0,IF('Proposed Lighting'!AK196&gt;0,'Proposed Lighting'!AK196*'Proposed Lighting'!EF196,0))</f>
        <v>0</v>
      </c>
      <c r="T499" s="647">
        <f t="shared" si="104"/>
        <v>0</v>
      </c>
      <c r="U499" s="648"/>
      <c r="V499" s="646">
        <f t="shared" si="107"/>
        <v>0</v>
      </c>
      <c r="W499" s="646">
        <f t="shared" si="108"/>
        <v>0</v>
      </c>
      <c r="X499" s="646">
        <f t="shared" si="109"/>
        <v>0</v>
      </c>
      <c r="Y499" s="646"/>
      <c r="Z499" s="646"/>
      <c r="AA499" s="646"/>
      <c r="AB499" s="646">
        <f t="shared" si="110"/>
        <v>0</v>
      </c>
      <c r="AC499" s="649" t="str">
        <f t="shared" si="111"/>
        <v/>
      </c>
      <c r="AD499" s="649" t="str">
        <f t="shared" si="112"/>
        <v/>
      </c>
      <c r="AE499" s="649" t="str">
        <f t="shared" si="113"/>
        <v/>
      </c>
      <c r="AF499" s="72"/>
      <c r="AG499" s="644">
        <f>IFERROR(IF($AV499="No",0,IF($AV499="yes",Summary!Q499,"")),"")</f>
        <v>0</v>
      </c>
      <c r="AH499" s="646">
        <f>IFERROR(IF($AV499="No",0,IF($AV499="yes",Summary!R499,"")),"")</f>
        <v>0</v>
      </c>
      <c r="AI499" s="646">
        <f>IFERROR(IF($AV499="No",0,IF($AV499="yes",Summary!S499,"")),"")</f>
        <v>0</v>
      </c>
      <c r="AJ499" s="647">
        <f>IFERROR(IF($AV499="No",0,IF($AV499="yes",Summary!T499,"")),"")</f>
        <v>0</v>
      </c>
      <c r="AK499" s="648">
        <f>IFERROR(IF($AV499="No",0,IF($AV499="yes",Summary!U499,"")),"")</f>
        <v>0</v>
      </c>
      <c r="AL499" s="646">
        <f>IFERROR(IF($AV499="No",0,IF($AV499="yes",Summary!V499,"")),"")</f>
        <v>0</v>
      </c>
      <c r="AM499" s="646">
        <f>IFERROR(IF($AV499="No",0,IF($AV499="yes",Summary!W499,"")),"")</f>
        <v>0</v>
      </c>
      <c r="AN499" s="646">
        <f>IFERROR(IF($AV499="No",0,IF($AV499="yes",Summary!X499,"")),"")</f>
        <v>0</v>
      </c>
      <c r="AO499" s="646">
        <f>IFERROR(IF($AV499="No",0,IF($AV499="yes",Summary!Y499+Z499,"")),"")</f>
        <v>0</v>
      </c>
      <c r="AP499" s="646">
        <f>IFERROR(IF($AV499="No",0,IF($AV499="yes",Summary!AB499,"")),"")</f>
        <v>0</v>
      </c>
      <c r="AQ499" s="649" t="str">
        <f t="shared" si="114"/>
        <v/>
      </c>
      <c r="AR499" s="649" t="str">
        <f t="shared" si="105"/>
        <v/>
      </c>
      <c r="AS499" s="649" t="str">
        <f t="shared" si="115"/>
        <v/>
      </c>
      <c r="AT499" s="641" t="s">
        <v>973</v>
      </c>
      <c r="AV499" t="str">
        <f>IF('Proposed Lighting'!AK196&gt;0,"No","Yes")</f>
        <v>Yes</v>
      </c>
    </row>
    <row r="500" spans="1:48" ht="34.5" customHeight="1" outlineLevel="1">
      <c r="A500" s="641" t="s">
        <v>974</v>
      </c>
      <c r="B500" s="641" t="str">
        <f>IF('Proposed Lighting'!AU197=3,"Commercial-All Com-ExtLight",IF('Proposed Lighting'!AH197&gt;8759,"IPC_8760","Commercial-All Com-IntLight"))</f>
        <v>IPC_8760</v>
      </c>
      <c r="C500" s="641" t="str">
        <f>IF(OR(E500="",E500=0),"No",
IF(AND('Data Entry'!$AF$23="OR",AE500&lt;1),"No",
IF(AND('Data Entry'!$AF$23="ID",E500="Non-standard lighting control system",AD500&lt;1),"No",
IF(AND('Data Entry'!$AF$23="OR",'Proposed Lighting'!F197="Existing LED (Provide Description)",'Proposed Lighting'!AK197=""),"No",
IF('Proposed Lighting'!DD197="Submit Control as Non-Standard","No",
IF(AND('Proposed Lighting'!T197="Non-Standard (Provide Description)",AD500&lt;1),"No",
IF('Proposed Lighting'!AW197&lt;'Proposed Lighting'!AZ197,"No","Yes")))))))</f>
        <v>No</v>
      </c>
      <c r="D500" s="1604">
        <f>'Proposed Lighting'!BQ197-Q500</f>
        <v>0</v>
      </c>
      <c r="E500" s="642" t="str">
        <f>IF('Proposed Lighting'!W197="","",'Proposed Lighting'!W197)</f>
        <v/>
      </c>
      <c r="F500" s="642"/>
      <c r="G500" s="641" t="s">
        <v>786</v>
      </c>
      <c r="H500" s="643">
        <v>10</v>
      </c>
      <c r="I500" s="644">
        <v>1</v>
      </c>
      <c r="J500" s="723">
        <f>IF('Proposed Lighting'!EF197=0,'Proposed Lighting'!AA197,'Proposed Lighting'!EF197)</f>
        <v>0</v>
      </c>
      <c r="K500" s="643" t="str">
        <f>'Proposed Lighting'!CU197</f>
        <v/>
      </c>
      <c r="L500" s="643" t="str">
        <f t="shared" si="103"/>
        <v/>
      </c>
      <c r="M500" s="645">
        <f t="shared" si="106"/>
        <v>0</v>
      </c>
      <c r="N500" s="645"/>
      <c r="O500" s="722">
        <f>IFERROR('Proposed Lighting'!AC197/1000,0)</f>
        <v>0</v>
      </c>
      <c r="P500" s="644">
        <f>'Proposed Lighting'!AV197</f>
        <v>0</v>
      </c>
      <c r="Q500" s="644">
        <f>IF(AND('Proposed Lighting'!T197="Lighting Controls Only",'Data Entry'!$AF$23="OR",'Proposed Lighting'!AU197=2),0,
IF(AND('Proposed Lighting'!T197="Lighting Controls Only",'Data Entry'!$AF$23="OR",'Proposed Lighting'!AU197=3,OR('Proposed Lighting'!W197="ceiling mount",'Proposed Lighting'!W197="wall switch",'Proposed Lighting'!W197="fixture mount (on exisiting equip)",'Proposed Lighting'!W197="daylight harvesting (on existing equip)")),0,
IF('Proposed Lighting'!AF197=1,IF(P500=0,0,J500*O500*(L500*(1-P500))),IF('Proposed Lighting'!AU197=1,0,'Proposed Lighting'!AX197-'Proposed Lighting'!AY197))))</f>
        <v>0</v>
      </c>
      <c r="R500" s="646">
        <f>IF('Proposed Lighting'!T197="Non-standard (provide description",0,
IF(AND(E500="Non-standard control",'Proposed Lighting'!AU197=2),Q500*0.1,
IF(AND(E500="Non-standard control",'Proposed Lighting'!AU197=3),Q500*0.08,
IF('Proposed Lighting'!EF197=0,0,IF('Proposed Lighting'!AU197=1,0,
IF(AND('Data Entry'!$AF$23="ID",'Proposed Lighting'!T197="Lighting controls only"),VLOOKUP(E500,'Proposed Lighting'!$DO$97:$DP$106,2,FALSE),
IF(AND('Data Entry'!$AF$23="OR",'Proposed Lighting'!AU197=3,'Proposed Lighting'!T197="Lighting controls only"),VLOOKUP(E500,'Proposed Lighting'!$DO$127:$DP$134,2,FALSE),0)))))))*J500</f>
        <v>0</v>
      </c>
      <c r="S500" s="646">
        <f>IF(Q500&lt;0.01,0,IF('Proposed Lighting'!AK197&gt;0,'Proposed Lighting'!AK197*'Proposed Lighting'!EF197,0))</f>
        <v>0</v>
      </c>
      <c r="T500" s="647">
        <f t="shared" si="104"/>
        <v>0</v>
      </c>
      <c r="U500" s="648"/>
      <c r="V500" s="646">
        <f t="shared" si="107"/>
        <v>0</v>
      </c>
      <c r="W500" s="646">
        <f t="shared" si="108"/>
        <v>0</v>
      </c>
      <c r="X500" s="646">
        <f t="shared" si="109"/>
        <v>0</v>
      </c>
      <c r="Y500" s="646"/>
      <c r="Z500" s="646"/>
      <c r="AA500" s="646"/>
      <c r="AB500" s="646">
        <f t="shared" si="110"/>
        <v>0</v>
      </c>
      <c r="AC500" s="649" t="str">
        <f t="shared" si="111"/>
        <v/>
      </c>
      <c r="AD500" s="649" t="str">
        <f t="shared" si="112"/>
        <v/>
      </c>
      <c r="AE500" s="649" t="str">
        <f t="shared" si="113"/>
        <v/>
      </c>
      <c r="AF500" s="72"/>
      <c r="AG500" s="644">
        <f>IFERROR(IF($AV500="No",0,IF($AV500="yes",Summary!Q500,"")),"")</f>
        <v>0</v>
      </c>
      <c r="AH500" s="646">
        <f>IFERROR(IF($AV500="No",0,IF($AV500="yes",Summary!R500,"")),"")</f>
        <v>0</v>
      </c>
      <c r="AI500" s="646">
        <f>IFERROR(IF($AV500="No",0,IF($AV500="yes",Summary!S500,"")),"")</f>
        <v>0</v>
      </c>
      <c r="AJ500" s="647">
        <f>IFERROR(IF($AV500="No",0,IF($AV500="yes",Summary!T500,"")),"")</f>
        <v>0</v>
      </c>
      <c r="AK500" s="648">
        <f>IFERROR(IF($AV500="No",0,IF($AV500="yes",Summary!U500,"")),"")</f>
        <v>0</v>
      </c>
      <c r="AL500" s="646">
        <f>IFERROR(IF($AV500="No",0,IF($AV500="yes",Summary!V500,"")),"")</f>
        <v>0</v>
      </c>
      <c r="AM500" s="646">
        <f>IFERROR(IF($AV500="No",0,IF($AV500="yes",Summary!W500,"")),"")</f>
        <v>0</v>
      </c>
      <c r="AN500" s="646">
        <f>IFERROR(IF($AV500="No",0,IF($AV500="yes",Summary!X500,"")),"")</f>
        <v>0</v>
      </c>
      <c r="AO500" s="646">
        <f>IFERROR(IF($AV500="No",0,IF($AV500="yes",Summary!Y500+Z500,"")),"")</f>
        <v>0</v>
      </c>
      <c r="AP500" s="646">
        <f>IFERROR(IF($AV500="No",0,IF($AV500="yes",Summary!AB500,"")),"")</f>
        <v>0</v>
      </c>
      <c r="AQ500" s="649" t="str">
        <f t="shared" si="114"/>
        <v/>
      </c>
      <c r="AR500" s="649" t="str">
        <f t="shared" si="105"/>
        <v/>
      </c>
      <c r="AS500" s="649" t="str">
        <f t="shared" si="115"/>
        <v/>
      </c>
      <c r="AT500" s="641" t="s">
        <v>974</v>
      </c>
      <c r="AV500" t="str">
        <f>IF('Proposed Lighting'!AK197&gt;0,"No","Yes")</f>
        <v>Yes</v>
      </c>
    </row>
    <row r="501" spans="1:48" ht="34.5" customHeight="1" outlineLevel="1">
      <c r="A501" s="641" t="s">
        <v>975</v>
      </c>
      <c r="B501" s="641" t="str">
        <f>IF('Proposed Lighting'!AU198=3,"Commercial-All Com-ExtLight",IF('Proposed Lighting'!AH198&gt;8759,"IPC_8760","Commercial-All Com-IntLight"))</f>
        <v>IPC_8760</v>
      </c>
      <c r="C501" s="641" t="str">
        <f>IF(OR(E501="",E501=0),"No",
IF(AND('Data Entry'!$AF$23="OR",AE501&lt;1),"No",
IF(AND('Data Entry'!$AF$23="ID",E501="Non-standard lighting control system",AD501&lt;1),"No",
IF(AND('Data Entry'!$AF$23="OR",'Proposed Lighting'!F198="Existing LED (Provide Description)",'Proposed Lighting'!AK198=""),"No",
IF('Proposed Lighting'!DD198="Submit Control as Non-Standard","No",
IF(AND('Proposed Lighting'!T198="Non-Standard (Provide Description)",AD501&lt;1),"No",
IF('Proposed Lighting'!AW198&lt;'Proposed Lighting'!AZ198,"No","Yes")))))))</f>
        <v>No</v>
      </c>
      <c r="D501" s="1604">
        <f>'Proposed Lighting'!BQ198-Q501</f>
        <v>0</v>
      </c>
      <c r="E501" s="642" t="str">
        <f>IF('Proposed Lighting'!W198="","",'Proposed Lighting'!W198)</f>
        <v/>
      </c>
      <c r="F501" s="642"/>
      <c r="G501" s="641" t="s">
        <v>786</v>
      </c>
      <c r="H501" s="643">
        <v>10</v>
      </c>
      <c r="I501" s="644">
        <v>1</v>
      </c>
      <c r="J501" s="723">
        <f>IF('Proposed Lighting'!EF198=0,'Proposed Lighting'!AA198,'Proposed Lighting'!EF198)</f>
        <v>0</v>
      </c>
      <c r="K501" s="643" t="str">
        <f>'Proposed Lighting'!CU198</f>
        <v/>
      </c>
      <c r="L501" s="643" t="str">
        <f t="shared" si="103"/>
        <v/>
      </c>
      <c r="M501" s="645">
        <f t="shared" si="106"/>
        <v>0</v>
      </c>
      <c r="N501" s="645"/>
      <c r="O501" s="722">
        <f>IFERROR('Proposed Lighting'!AC198/1000,0)</f>
        <v>0</v>
      </c>
      <c r="P501" s="644">
        <f>'Proposed Lighting'!AV198</f>
        <v>0</v>
      </c>
      <c r="Q501" s="644">
        <f>IF(AND('Proposed Lighting'!T198="Lighting Controls Only",'Data Entry'!$AF$23="OR",'Proposed Lighting'!AU198=2),0,
IF(AND('Proposed Lighting'!T198="Lighting Controls Only",'Data Entry'!$AF$23="OR",'Proposed Lighting'!AU198=3,OR('Proposed Lighting'!W198="ceiling mount",'Proposed Lighting'!W198="wall switch",'Proposed Lighting'!W198="fixture mount (on exisiting equip)",'Proposed Lighting'!W198="daylight harvesting (on existing equip)")),0,
IF('Proposed Lighting'!AF198=1,IF(P501=0,0,J501*O501*(L501*(1-P501))),IF('Proposed Lighting'!AU198=1,0,'Proposed Lighting'!AX198-'Proposed Lighting'!AY198))))</f>
        <v>0</v>
      </c>
      <c r="R501" s="646">
        <f>IF('Proposed Lighting'!T198="Non-standard (provide description",0,
IF(AND(E501="Non-standard control",'Proposed Lighting'!AU198=2),Q501*0.1,
IF(AND(E501="Non-standard control",'Proposed Lighting'!AU198=3),Q501*0.08,
IF('Proposed Lighting'!EF198=0,0,IF('Proposed Lighting'!AU198=1,0,
IF(AND('Data Entry'!$AF$23="ID",'Proposed Lighting'!T198="Lighting controls only"),VLOOKUP(E501,'Proposed Lighting'!$DO$97:$DP$106,2,FALSE),
IF(AND('Data Entry'!$AF$23="OR",'Proposed Lighting'!AU198=3,'Proposed Lighting'!T198="Lighting controls only"),VLOOKUP(E501,'Proposed Lighting'!$DO$127:$DP$134,2,FALSE),0)))))))*J501</f>
        <v>0</v>
      </c>
      <c r="S501" s="646">
        <f>IF(Q501&lt;0.01,0,IF('Proposed Lighting'!AK198&gt;0,'Proposed Lighting'!AK198*'Proposed Lighting'!EF198,0))</f>
        <v>0</v>
      </c>
      <c r="T501" s="647">
        <f t="shared" si="104"/>
        <v>0</v>
      </c>
      <c r="U501" s="648"/>
      <c r="V501" s="646">
        <f t="shared" si="107"/>
        <v>0</v>
      </c>
      <c r="W501" s="646">
        <f t="shared" si="108"/>
        <v>0</v>
      </c>
      <c r="X501" s="646">
        <f t="shared" si="109"/>
        <v>0</v>
      </c>
      <c r="Y501" s="646"/>
      <c r="Z501" s="646"/>
      <c r="AA501" s="646"/>
      <c r="AB501" s="646">
        <f t="shared" si="110"/>
        <v>0</v>
      </c>
      <c r="AC501" s="649" t="str">
        <f t="shared" si="111"/>
        <v/>
      </c>
      <c r="AD501" s="649" t="str">
        <f t="shared" si="112"/>
        <v/>
      </c>
      <c r="AE501" s="649" t="str">
        <f t="shared" si="113"/>
        <v/>
      </c>
      <c r="AF501" s="72"/>
      <c r="AG501" s="644">
        <f>IFERROR(IF($AV501="No",0,IF($AV501="yes",Summary!Q501,"")),"")</f>
        <v>0</v>
      </c>
      <c r="AH501" s="646">
        <f>IFERROR(IF($AV501="No",0,IF($AV501="yes",Summary!R501,"")),"")</f>
        <v>0</v>
      </c>
      <c r="AI501" s="646">
        <f>IFERROR(IF($AV501="No",0,IF($AV501="yes",Summary!S501,"")),"")</f>
        <v>0</v>
      </c>
      <c r="AJ501" s="647">
        <f>IFERROR(IF($AV501="No",0,IF($AV501="yes",Summary!T501,"")),"")</f>
        <v>0</v>
      </c>
      <c r="AK501" s="648">
        <f>IFERROR(IF($AV501="No",0,IF($AV501="yes",Summary!U501,"")),"")</f>
        <v>0</v>
      </c>
      <c r="AL501" s="646">
        <f>IFERROR(IF($AV501="No",0,IF($AV501="yes",Summary!V501,"")),"")</f>
        <v>0</v>
      </c>
      <c r="AM501" s="646">
        <f>IFERROR(IF($AV501="No",0,IF($AV501="yes",Summary!W501,"")),"")</f>
        <v>0</v>
      </c>
      <c r="AN501" s="646">
        <f>IFERROR(IF($AV501="No",0,IF($AV501="yes",Summary!X501,"")),"")</f>
        <v>0</v>
      </c>
      <c r="AO501" s="646">
        <f>IFERROR(IF($AV501="No",0,IF($AV501="yes",Summary!Y501+Z501,"")),"")</f>
        <v>0</v>
      </c>
      <c r="AP501" s="646">
        <f>IFERROR(IF($AV501="No",0,IF($AV501="yes",Summary!AB501,"")),"")</f>
        <v>0</v>
      </c>
      <c r="AQ501" s="649" t="str">
        <f t="shared" si="114"/>
        <v/>
      </c>
      <c r="AR501" s="649" t="str">
        <f t="shared" si="105"/>
        <v/>
      </c>
      <c r="AS501" s="649" t="str">
        <f t="shared" si="115"/>
        <v/>
      </c>
      <c r="AT501" s="641" t="s">
        <v>975</v>
      </c>
      <c r="AV501" t="str">
        <f>IF('Proposed Lighting'!AK198&gt;0,"No","Yes")</f>
        <v>Yes</v>
      </c>
    </row>
    <row r="502" spans="1:48" ht="34.5" customHeight="1" outlineLevel="1">
      <c r="A502" s="641" t="s">
        <v>976</v>
      </c>
      <c r="B502" s="641" t="str">
        <f>IF('Proposed Lighting'!AU199=3,"Commercial-All Com-ExtLight",IF('Proposed Lighting'!AH199&gt;8759,"IPC_8760","Commercial-All Com-IntLight"))</f>
        <v>IPC_8760</v>
      </c>
      <c r="C502" s="641" t="str">
        <f>IF(OR(E502="",E502=0),"No",
IF(AND('Data Entry'!$AF$23="OR",AE502&lt;1),"No",
IF(AND('Data Entry'!$AF$23="ID",E502="Non-standard lighting control system",AD502&lt;1),"No",
IF(AND('Data Entry'!$AF$23="OR",'Proposed Lighting'!F199="Existing LED (Provide Description)",'Proposed Lighting'!AK199=""),"No",
IF('Proposed Lighting'!DD199="Submit Control as Non-Standard","No",
IF(AND('Proposed Lighting'!T199="Non-Standard (Provide Description)",AD502&lt;1),"No",
IF('Proposed Lighting'!AW199&lt;'Proposed Lighting'!AZ199,"No","Yes")))))))</f>
        <v>No</v>
      </c>
      <c r="D502" s="1604">
        <f>'Proposed Lighting'!BQ199-Q502</f>
        <v>0</v>
      </c>
      <c r="E502" s="642" t="str">
        <f>IF('Proposed Lighting'!W199="","",'Proposed Lighting'!W199)</f>
        <v/>
      </c>
      <c r="F502" s="642"/>
      <c r="G502" s="641" t="s">
        <v>786</v>
      </c>
      <c r="H502" s="643">
        <v>10</v>
      </c>
      <c r="I502" s="644">
        <v>1</v>
      </c>
      <c r="J502" s="723">
        <f>IF('Proposed Lighting'!EF199=0,'Proposed Lighting'!AA199,'Proposed Lighting'!EF199)</f>
        <v>0</v>
      </c>
      <c r="K502" s="643" t="str">
        <f>'Proposed Lighting'!CU199</f>
        <v/>
      </c>
      <c r="L502" s="643" t="str">
        <f t="shared" si="103"/>
        <v/>
      </c>
      <c r="M502" s="645">
        <f t="shared" si="106"/>
        <v>0</v>
      </c>
      <c r="N502" s="645"/>
      <c r="O502" s="722">
        <f>IFERROR('Proposed Lighting'!AC199/1000,0)</f>
        <v>0</v>
      </c>
      <c r="P502" s="644">
        <f>'Proposed Lighting'!AV199</f>
        <v>0</v>
      </c>
      <c r="Q502" s="644">
        <f>IF(AND('Proposed Lighting'!T199="Lighting Controls Only",'Data Entry'!$AF$23="OR",'Proposed Lighting'!AU199=2),0,
IF(AND('Proposed Lighting'!T199="Lighting Controls Only",'Data Entry'!$AF$23="OR",'Proposed Lighting'!AU199=3,OR('Proposed Lighting'!W199="ceiling mount",'Proposed Lighting'!W199="wall switch",'Proposed Lighting'!W199="fixture mount (on exisiting equip)",'Proposed Lighting'!W199="daylight harvesting (on existing equip)")),0,
IF('Proposed Lighting'!AF199=1,IF(P502=0,0,J502*O502*(L502*(1-P502))),IF('Proposed Lighting'!AU199=1,0,'Proposed Lighting'!AX199-'Proposed Lighting'!AY199))))</f>
        <v>0</v>
      </c>
      <c r="R502" s="646">
        <f>IF('Proposed Lighting'!T199="Non-standard (provide description",0,
IF(AND(E502="Non-standard control",'Proposed Lighting'!AU199=2),Q502*0.1,
IF(AND(E502="Non-standard control",'Proposed Lighting'!AU199=3),Q502*0.08,
IF('Proposed Lighting'!EF199=0,0,IF('Proposed Lighting'!AU199=1,0,
IF(AND('Data Entry'!$AF$23="ID",'Proposed Lighting'!T199="Lighting controls only"),VLOOKUP(E502,'Proposed Lighting'!$DO$97:$DP$106,2,FALSE),
IF(AND('Data Entry'!$AF$23="OR",'Proposed Lighting'!AU199=3,'Proposed Lighting'!T199="Lighting controls only"),VLOOKUP(E502,'Proposed Lighting'!$DO$127:$DP$134,2,FALSE),0)))))))*J502</f>
        <v>0</v>
      </c>
      <c r="S502" s="646">
        <f>IF(Q502&lt;0.01,0,IF('Proposed Lighting'!AK199&gt;0,'Proposed Lighting'!AK199*'Proposed Lighting'!EF199,0))</f>
        <v>0</v>
      </c>
      <c r="T502" s="647">
        <f t="shared" si="104"/>
        <v>0</v>
      </c>
      <c r="U502" s="648"/>
      <c r="V502" s="646">
        <f t="shared" si="107"/>
        <v>0</v>
      </c>
      <c r="W502" s="646">
        <f t="shared" si="108"/>
        <v>0</v>
      </c>
      <c r="X502" s="646">
        <f t="shared" si="109"/>
        <v>0</v>
      </c>
      <c r="Y502" s="646"/>
      <c r="Z502" s="646"/>
      <c r="AA502" s="646"/>
      <c r="AB502" s="646">
        <f t="shared" si="110"/>
        <v>0</v>
      </c>
      <c r="AC502" s="649" t="str">
        <f t="shared" si="111"/>
        <v/>
      </c>
      <c r="AD502" s="649" t="str">
        <f t="shared" si="112"/>
        <v/>
      </c>
      <c r="AE502" s="649" t="str">
        <f t="shared" si="113"/>
        <v/>
      </c>
      <c r="AF502" s="72"/>
      <c r="AG502" s="644">
        <f>IFERROR(IF($AV502="No",0,IF($AV502="yes",Summary!Q502,"")),"")</f>
        <v>0</v>
      </c>
      <c r="AH502" s="646">
        <f>IFERROR(IF($AV502="No",0,IF($AV502="yes",Summary!R502,"")),"")</f>
        <v>0</v>
      </c>
      <c r="AI502" s="646">
        <f>IFERROR(IF($AV502="No",0,IF($AV502="yes",Summary!S502,"")),"")</f>
        <v>0</v>
      </c>
      <c r="AJ502" s="647">
        <f>IFERROR(IF($AV502="No",0,IF($AV502="yes",Summary!T502,"")),"")</f>
        <v>0</v>
      </c>
      <c r="AK502" s="648">
        <f>IFERROR(IF($AV502="No",0,IF($AV502="yes",Summary!U502,"")),"")</f>
        <v>0</v>
      </c>
      <c r="AL502" s="646">
        <f>IFERROR(IF($AV502="No",0,IF($AV502="yes",Summary!V502,"")),"")</f>
        <v>0</v>
      </c>
      <c r="AM502" s="646">
        <f>IFERROR(IF($AV502="No",0,IF($AV502="yes",Summary!W502,"")),"")</f>
        <v>0</v>
      </c>
      <c r="AN502" s="646">
        <f>IFERROR(IF($AV502="No",0,IF($AV502="yes",Summary!X502,"")),"")</f>
        <v>0</v>
      </c>
      <c r="AO502" s="646">
        <f>IFERROR(IF($AV502="No",0,IF($AV502="yes",Summary!Y502+Z502,"")),"")</f>
        <v>0</v>
      </c>
      <c r="AP502" s="646">
        <f>IFERROR(IF($AV502="No",0,IF($AV502="yes",Summary!AB502,"")),"")</f>
        <v>0</v>
      </c>
      <c r="AQ502" s="649" t="str">
        <f t="shared" si="114"/>
        <v/>
      </c>
      <c r="AR502" s="649" t="str">
        <f t="shared" si="105"/>
        <v/>
      </c>
      <c r="AS502" s="649" t="str">
        <f t="shared" si="115"/>
        <v/>
      </c>
      <c r="AT502" s="641" t="s">
        <v>976</v>
      </c>
      <c r="AV502" t="str">
        <f>IF('Proposed Lighting'!AK199&gt;0,"No","Yes")</f>
        <v>Yes</v>
      </c>
    </row>
    <row r="503" spans="1:48" ht="34.5" customHeight="1" outlineLevel="1">
      <c r="A503" s="641" t="s">
        <v>977</v>
      </c>
      <c r="B503" s="641" t="str">
        <f>IF('Proposed Lighting'!AU200=3,"Commercial-All Com-ExtLight",IF('Proposed Lighting'!AH200&gt;8759,"IPC_8760","Commercial-All Com-IntLight"))</f>
        <v>IPC_8760</v>
      </c>
      <c r="C503" s="641" t="str">
        <f>IF(OR(E503="",E503=0),"No",
IF(AND('Data Entry'!$AF$23="OR",AE503&lt;1),"No",
IF(AND('Data Entry'!$AF$23="ID",E503="Non-standard lighting control system",AD503&lt;1),"No",
IF(AND('Data Entry'!$AF$23="OR",'Proposed Lighting'!F200="Existing LED (Provide Description)",'Proposed Lighting'!AK200=""),"No",
IF('Proposed Lighting'!DD200="Submit Control as Non-Standard","No",
IF(AND('Proposed Lighting'!T200="Non-Standard (Provide Description)",AD503&lt;1),"No",
IF('Proposed Lighting'!AW200&lt;'Proposed Lighting'!AZ200,"No","Yes")))))))</f>
        <v>No</v>
      </c>
      <c r="D503" s="1604">
        <f>'Proposed Lighting'!BQ200-Q503</f>
        <v>0</v>
      </c>
      <c r="E503" s="642" t="str">
        <f>IF('Proposed Lighting'!W200="","",'Proposed Lighting'!W200)</f>
        <v/>
      </c>
      <c r="F503" s="642"/>
      <c r="G503" s="641" t="s">
        <v>786</v>
      </c>
      <c r="H503" s="643">
        <v>10</v>
      </c>
      <c r="I503" s="644">
        <v>1</v>
      </c>
      <c r="J503" s="723">
        <f>IF('Proposed Lighting'!EF200=0,'Proposed Lighting'!AA200,'Proposed Lighting'!EF200)</f>
        <v>0</v>
      </c>
      <c r="K503" s="643" t="str">
        <f>'Proposed Lighting'!CU200</f>
        <v/>
      </c>
      <c r="L503" s="643" t="str">
        <f t="shared" si="103"/>
        <v/>
      </c>
      <c r="M503" s="645">
        <f t="shared" si="106"/>
        <v>0</v>
      </c>
      <c r="N503" s="645"/>
      <c r="O503" s="722">
        <f>IFERROR('Proposed Lighting'!AC200/1000,0)</f>
        <v>0</v>
      </c>
      <c r="P503" s="644">
        <f>'Proposed Lighting'!AV200</f>
        <v>0</v>
      </c>
      <c r="Q503" s="644">
        <f>IF(AND('Proposed Lighting'!T200="Lighting Controls Only",'Data Entry'!$AF$23="OR",'Proposed Lighting'!AU200=2),0,
IF(AND('Proposed Lighting'!T200="Lighting Controls Only",'Data Entry'!$AF$23="OR",'Proposed Lighting'!AU200=3,OR('Proposed Lighting'!W200="ceiling mount",'Proposed Lighting'!W200="wall switch",'Proposed Lighting'!W200="fixture mount (on exisiting equip)",'Proposed Lighting'!W200="daylight harvesting (on existing equip)")),0,
IF('Proposed Lighting'!AF200=1,IF(P503=0,0,J503*O503*(L503*(1-P503))),IF('Proposed Lighting'!AU200=1,0,'Proposed Lighting'!AX200-'Proposed Lighting'!AY200))))</f>
        <v>0</v>
      </c>
      <c r="R503" s="646">
        <f>IF('Proposed Lighting'!T200="Non-standard (provide description",0,
IF(AND(E503="Non-standard control",'Proposed Lighting'!AU200=2),Q503*0.1,
IF(AND(E503="Non-standard control",'Proposed Lighting'!AU200=3),Q503*0.08,
IF('Proposed Lighting'!EF200=0,0,IF('Proposed Lighting'!AU200=1,0,
IF(AND('Data Entry'!$AF$23="ID",'Proposed Lighting'!T200="Lighting controls only"),VLOOKUP(E503,'Proposed Lighting'!$DO$97:$DP$106,2,FALSE),
IF(AND('Data Entry'!$AF$23="OR",'Proposed Lighting'!AU200=3,'Proposed Lighting'!T200="Lighting controls only"),VLOOKUP(E503,'Proposed Lighting'!$DO$127:$DP$134,2,FALSE),0)))))))*J503</f>
        <v>0</v>
      </c>
      <c r="S503" s="646">
        <f>IF(Q503&lt;0.01,0,IF('Proposed Lighting'!AK200&gt;0,'Proposed Lighting'!AK200*'Proposed Lighting'!EF200,0))</f>
        <v>0</v>
      </c>
      <c r="T503" s="647">
        <f t="shared" si="104"/>
        <v>0</v>
      </c>
      <c r="U503" s="648"/>
      <c r="V503" s="646">
        <f t="shared" si="107"/>
        <v>0</v>
      </c>
      <c r="W503" s="646">
        <f t="shared" si="108"/>
        <v>0</v>
      </c>
      <c r="X503" s="646">
        <f t="shared" si="109"/>
        <v>0</v>
      </c>
      <c r="Y503" s="646"/>
      <c r="Z503" s="646"/>
      <c r="AA503" s="646"/>
      <c r="AB503" s="646">
        <f t="shared" si="110"/>
        <v>0</v>
      </c>
      <c r="AC503" s="649" t="str">
        <f t="shared" si="111"/>
        <v/>
      </c>
      <c r="AD503" s="649" t="str">
        <f t="shared" si="112"/>
        <v/>
      </c>
      <c r="AE503" s="649" t="str">
        <f t="shared" si="113"/>
        <v/>
      </c>
      <c r="AF503" s="72"/>
      <c r="AG503" s="644">
        <f>IFERROR(IF($AV503="No",0,IF($AV503="yes",Summary!Q503,"")),"")</f>
        <v>0</v>
      </c>
      <c r="AH503" s="646">
        <f>IFERROR(IF($AV503="No",0,IF($AV503="yes",Summary!R503,"")),"")</f>
        <v>0</v>
      </c>
      <c r="AI503" s="646">
        <f>IFERROR(IF($AV503="No",0,IF($AV503="yes",Summary!S503,"")),"")</f>
        <v>0</v>
      </c>
      <c r="AJ503" s="647">
        <f>IFERROR(IF($AV503="No",0,IF($AV503="yes",Summary!T503,"")),"")</f>
        <v>0</v>
      </c>
      <c r="AK503" s="648">
        <f>IFERROR(IF($AV503="No",0,IF($AV503="yes",Summary!U503,"")),"")</f>
        <v>0</v>
      </c>
      <c r="AL503" s="646">
        <f>IFERROR(IF($AV503="No",0,IF($AV503="yes",Summary!V503,"")),"")</f>
        <v>0</v>
      </c>
      <c r="AM503" s="646">
        <f>IFERROR(IF($AV503="No",0,IF($AV503="yes",Summary!W503,"")),"")</f>
        <v>0</v>
      </c>
      <c r="AN503" s="646">
        <f>IFERROR(IF($AV503="No",0,IF($AV503="yes",Summary!X503,"")),"")</f>
        <v>0</v>
      </c>
      <c r="AO503" s="646">
        <f>IFERROR(IF($AV503="No",0,IF($AV503="yes",Summary!Y503+Z503,"")),"")</f>
        <v>0</v>
      </c>
      <c r="AP503" s="646">
        <f>IFERROR(IF($AV503="No",0,IF($AV503="yes",Summary!AB503,"")),"")</f>
        <v>0</v>
      </c>
      <c r="AQ503" s="649" t="str">
        <f t="shared" si="114"/>
        <v/>
      </c>
      <c r="AR503" s="649" t="str">
        <f t="shared" si="105"/>
        <v/>
      </c>
      <c r="AS503" s="649" t="str">
        <f t="shared" si="115"/>
        <v/>
      </c>
      <c r="AT503" s="641" t="s">
        <v>977</v>
      </c>
      <c r="AV503" t="str">
        <f>IF('Proposed Lighting'!AK200&gt;0,"No","Yes")</f>
        <v>Yes</v>
      </c>
    </row>
    <row r="504" spans="1:48" ht="34.5" customHeight="1" outlineLevel="1">
      <c r="A504" s="641" t="s">
        <v>978</v>
      </c>
      <c r="B504" s="641" t="str">
        <f>IF('Proposed Lighting'!AU201=3,"Commercial-All Com-ExtLight",IF('Proposed Lighting'!AH201&gt;8759,"IPC_8760","Commercial-All Com-IntLight"))</f>
        <v>IPC_8760</v>
      </c>
      <c r="C504" s="641" t="str">
        <f>IF(OR(E504="",E504=0),"No",
IF(AND('Data Entry'!$AF$23="OR",AE504&lt;1),"No",
IF(AND('Data Entry'!$AF$23="ID",E504="Non-standard lighting control system",AD504&lt;1),"No",
IF(AND('Data Entry'!$AF$23="OR",'Proposed Lighting'!F201="Existing LED (Provide Description)",'Proposed Lighting'!AK201=""),"No",
IF('Proposed Lighting'!DD201="Submit Control as Non-Standard","No",
IF(AND('Proposed Lighting'!T201="Non-Standard (Provide Description)",AD504&lt;1),"No",
IF('Proposed Lighting'!AW201&lt;'Proposed Lighting'!AZ201,"No","Yes")))))))</f>
        <v>No</v>
      </c>
      <c r="D504" s="1604">
        <f>'Proposed Lighting'!BQ201-Q504</f>
        <v>0</v>
      </c>
      <c r="E504" s="642" t="str">
        <f>IF('Proposed Lighting'!W201="","",'Proposed Lighting'!W201)</f>
        <v/>
      </c>
      <c r="F504" s="642"/>
      <c r="G504" s="641" t="s">
        <v>786</v>
      </c>
      <c r="H504" s="643">
        <v>10</v>
      </c>
      <c r="I504" s="644">
        <v>1</v>
      </c>
      <c r="J504" s="723">
        <f>IF('Proposed Lighting'!EF201=0,'Proposed Lighting'!AA201,'Proposed Lighting'!EF201)</f>
        <v>0</v>
      </c>
      <c r="K504" s="643" t="str">
        <f>'Proposed Lighting'!CU201</f>
        <v/>
      </c>
      <c r="L504" s="643" t="str">
        <f t="shared" ref="L504:L567" si="116">K504</f>
        <v/>
      </c>
      <c r="M504" s="645">
        <f t="shared" si="106"/>
        <v>0</v>
      </c>
      <c r="N504" s="645"/>
      <c r="O504" s="722">
        <f>IFERROR('Proposed Lighting'!AC201/1000,0)</f>
        <v>0</v>
      </c>
      <c r="P504" s="644">
        <f>'Proposed Lighting'!AV201</f>
        <v>0</v>
      </c>
      <c r="Q504" s="644">
        <f>IF(AND('Proposed Lighting'!T201="Lighting Controls Only",'Data Entry'!$AF$23="OR",'Proposed Lighting'!AU201=2),0,
IF(AND('Proposed Lighting'!T201="Lighting Controls Only",'Data Entry'!$AF$23="OR",'Proposed Lighting'!AU201=3,OR('Proposed Lighting'!W201="ceiling mount",'Proposed Lighting'!W201="wall switch",'Proposed Lighting'!W201="fixture mount (on exisiting equip)",'Proposed Lighting'!W201="daylight harvesting (on existing equip)")),0,
IF('Proposed Lighting'!AF201=1,IF(P504=0,0,J504*O504*(L504*(1-P504))),IF('Proposed Lighting'!AU201=1,0,'Proposed Lighting'!AX201-'Proposed Lighting'!AY201))))</f>
        <v>0</v>
      </c>
      <c r="R504" s="646">
        <f>IF('Proposed Lighting'!T201="Non-standard (provide description",0,
IF(AND(E504="Non-standard control",'Proposed Lighting'!AU201=2),Q504*0.1,
IF(AND(E504="Non-standard control",'Proposed Lighting'!AU201=3),Q504*0.08,
IF('Proposed Lighting'!EF201=0,0,IF('Proposed Lighting'!AU201=1,0,
IF(AND('Data Entry'!$AF$23="ID",'Proposed Lighting'!T201="Lighting controls only"),VLOOKUP(E504,'Proposed Lighting'!$DO$97:$DP$106,2,FALSE),
IF(AND('Data Entry'!$AF$23="OR",'Proposed Lighting'!AU201=3,'Proposed Lighting'!T201="Lighting controls only"),VLOOKUP(E504,'Proposed Lighting'!$DO$127:$DP$134,2,FALSE),0)))))))*J504</f>
        <v>0</v>
      </c>
      <c r="S504" s="646">
        <f>IF(Q504&lt;0.01,0,IF('Proposed Lighting'!AK201&gt;0,'Proposed Lighting'!AK201*'Proposed Lighting'!EF201,0))</f>
        <v>0</v>
      </c>
      <c r="T504" s="647">
        <f t="shared" ref="T504:T567" si="117">IF(Q3304=0,0,S504/SUM($S$312:$S$611))</f>
        <v>0</v>
      </c>
      <c r="U504" s="648"/>
      <c r="V504" s="646">
        <f t="shared" si="107"/>
        <v>0</v>
      </c>
      <c r="W504" s="646">
        <f t="shared" si="108"/>
        <v>0</v>
      </c>
      <c r="X504" s="646">
        <f t="shared" si="109"/>
        <v>0</v>
      </c>
      <c r="Y504" s="646"/>
      <c r="Z504" s="646"/>
      <c r="AA504" s="646"/>
      <c r="AB504" s="646">
        <f t="shared" si="110"/>
        <v>0</v>
      </c>
      <c r="AC504" s="649" t="str">
        <f t="shared" si="111"/>
        <v/>
      </c>
      <c r="AD504" s="649" t="str">
        <f t="shared" si="112"/>
        <v/>
      </c>
      <c r="AE504" s="649" t="str">
        <f t="shared" si="113"/>
        <v/>
      </c>
      <c r="AF504" s="72"/>
      <c r="AG504" s="644">
        <f>IFERROR(IF($AV504="No",0,IF($AV504="yes",Summary!Q504,"")),"")</f>
        <v>0</v>
      </c>
      <c r="AH504" s="646">
        <f>IFERROR(IF($AV504="No",0,IF($AV504="yes",Summary!R504,"")),"")</f>
        <v>0</v>
      </c>
      <c r="AI504" s="646">
        <f>IFERROR(IF($AV504="No",0,IF($AV504="yes",Summary!S504,"")),"")</f>
        <v>0</v>
      </c>
      <c r="AJ504" s="647">
        <f>IFERROR(IF($AV504="No",0,IF($AV504="yes",Summary!T504,"")),"")</f>
        <v>0</v>
      </c>
      <c r="AK504" s="648">
        <f>IFERROR(IF($AV504="No",0,IF($AV504="yes",Summary!U504,"")),"")</f>
        <v>0</v>
      </c>
      <c r="AL504" s="646">
        <f>IFERROR(IF($AV504="No",0,IF($AV504="yes",Summary!V504,"")),"")</f>
        <v>0</v>
      </c>
      <c r="AM504" s="646">
        <f>IFERROR(IF($AV504="No",0,IF($AV504="yes",Summary!W504,"")),"")</f>
        <v>0</v>
      </c>
      <c r="AN504" s="646">
        <f>IFERROR(IF($AV504="No",0,IF($AV504="yes",Summary!X504,"")),"")</f>
        <v>0</v>
      </c>
      <c r="AO504" s="646">
        <f>IFERROR(IF($AV504="No",0,IF($AV504="yes",Summary!Y504+Z504,"")),"")</f>
        <v>0</v>
      </c>
      <c r="AP504" s="646">
        <f>IFERROR(IF($AV504="No",0,IF($AV504="yes",Summary!AB504,"")),"")</f>
        <v>0</v>
      </c>
      <c r="AQ504" s="649" t="str">
        <f t="shared" si="114"/>
        <v/>
      </c>
      <c r="AR504" s="649" t="str">
        <f t="shared" si="105"/>
        <v/>
      </c>
      <c r="AS504" s="649" t="str">
        <f t="shared" si="115"/>
        <v/>
      </c>
      <c r="AT504" s="641" t="s">
        <v>978</v>
      </c>
      <c r="AV504" t="str">
        <f>IF('Proposed Lighting'!AK201&gt;0,"No","Yes")</f>
        <v>Yes</v>
      </c>
    </row>
    <row r="505" spans="1:48" ht="34.5" customHeight="1" outlineLevel="1">
      <c r="A505" s="641" t="s">
        <v>979</v>
      </c>
      <c r="B505" s="641" t="str">
        <f>IF('Proposed Lighting'!AU202=3,"Commercial-All Com-ExtLight",IF('Proposed Lighting'!AH202&gt;8759,"IPC_8760","Commercial-All Com-IntLight"))</f>
        <v>IPC_8760</v>
      </c>
      <c r="C505" s="641" t="str">
        <f>IF(OR(E505="",E505=0),"No",
IF(AND('Data Entry'!$AF$23="OR",AE505&lt;1),"No",
IF(AND('Data Entry'!$AF$23="ID",E505="Non-standard lighting control system",AD505&lt;1),"No",
IF(AND('Data Entry'!$AF$23="OR",'Proposed Lighting'!F202="Existing LED (Provide Description)",'Proposed Lighting'!AK202=""),"No",
IF('Proposed Lighting'!DD202="Submit Control as Non-Standard","No",
IF(AND('Proposed Lighting'!T202="Non-Standard (Provide Description)",AD505&lt;1),"No",
IF('Proposed Lighting'!AW202&lt;'Proposed Lighting'!AZ202,"No","Yes")))))))</f>
        <v>No</v>
      </c>
      <c r="D505" s="1604">
        <f>'Proposed Lighting'!BQ202-Q505</f>
        <v>0</v>
      </c>
      <c r="E505" s="642" t="str">
        <f>IF('Proposed Lighting'!W202="","",'Proposed Lighting'!W202)</f>
        <v/>
      </c>
      <c r="F505" s="642"/>
      <c r="G505" s="641" t="s">
        <v>786</v>
      </c>
      <c r="H505" s="643">
        <v>10</v>
      </c>
      <c r="I505" s="644">
        <v>1</v>
      </c>
      <c r="J505" s="723">
        <f>IF('Proposed Lighting'!EF202=0,'Proposed Lighting'!AA202,'Proposed Lighting'!EF202)</f>
        <v>0</v>
      </c>
      <c r="K505" s="643" t="str">
        <f>'Proposed Lighting'!CU202</f>
        <v/>
      </c>
      <c r="L505" s="643" t="str">
        <f t="shared" si="116"/>
        <v/>
      </c>
      <c r="M505" s="645">
        <f t="shared" si="106"/>
        <v>0</v>
      </c>
      <c r="N505" s="645"/>
      <c r="O505" s="722">
        <f>IFERROR('Proposed Lighting'!AC202/1000,0)</f>
        <v>0</v>
      </c>
      <c r="P505" s="644">
        <f>'Proposed Lighting'!AV202</f>
        <v>0</v>
      </c>
      <c r="Q505" s="644">
        <f>IF(AND('Proposed Lighting'!T202="Lighting Controls Only",'Data Entry'!$AF$23="OR",'Proposed Lighting'!AU202=2),0,
IF(AND('Proposed Lighting'!T202="Lighting Controls Only",'Data Entry'!$AF$23="OR",'Proposed Lighting'!AU202=3,OR('Proposed Lighting'!W202="ceiling mount",'Proposed Lighting'!W202="wall switch",'Proposed Lighting'!W202="fixture mount (on exisiting equip)",'Proposed Lighting'!W202="daylight harvesting (on existing equip)")),0,
IF('Proposed Lighting'!AF202=1,IF(P505=0,0,J505*O505*(L505*(1-P505))),IF('Proposed Lighting'!AU202=1,0,'Proposed Lighting'!AX202-'Proposed Lighting'!AY202))))</f>
        <v>0</v>
      </c>
      <c r="R505" s="646">
        <f>IF('Proposed Lighting'!T202="Non-standard (provide description",0,
IF(AND(E505="Non-standard control",'Proposed Lighting'!AU202=2),Q505*0.1,
IF(AND(E505="Non-standard control",'Proposed Lighting'!AU202=3),Q505*0.08,
IF('Proposed Lighting'!EF202=0,0,IF('Proposed Lighting'!AU202=1,0,
IF(AND('Data Entry'!$AF$23="ID",'Proposed Lighting'!T202="Lighting controls only"),VLOOKUP(E505,'Proposed Lighting'!$DO$97:$DP$106,2,FALSE),
IF(AND('Data Entry'!$AF$23="OR",'Proposed Lighting'!AU202=3,'Proposed Lighting'!T202="Lighting controls only"),VLOOKUP(E505,'Proposed Lighting'!$DO$127:$DP$134,2,FALSE),0)))))))*J505</f>
        <v>0</v>
      </c>
      <c r="S505" s="646">
        <f>IF(Q505&lt;0.01,0,IF('Proposed Lighting'!AK202&gt;0,'Proposed Lighting'!AK202*'Proposed Lighting'!EF202,0))</f>
        <v>0</v>
      </c>
      <c r="T505" s="647">
        <f t="shared" si="117"/>
        <v>0</v>
      </c>
      <c r="U505" s="648"/>
      <c r="V505" s="646">
        <f t="shared" si="107"/>
        <v>0</v>
      </c>
      <c r="W505" s="646">
        <f t="shared" si="108"/>
        <v>0</v>
      </c>
      <c r="X505" s="646">
        <f t="shared" si="109"/>
        <v>0</v>
      </c>
      <c r="Y505" s="646"/>
      <c r="Z505" s="646"/>
      <c r="AA505" s="646"/>
      <c r="AB505" s="646">
        <f t="shared" si="110"/>
        <v>0</v>
      </c>
      <c r="AC505" s="649" t="str">
        <f t="shared" si="111"/>
        <v/>
      </c>
      <c r="AD505" s="649" t="str">
        <f t="shared" si="112"/>
        <v/>
      </c>
      <c r="AE505" s="649" t="str">
        <f t="shared" si="113"/>
        <v/>
      </c>
      <c r="AF505" s="72"/>
      <c r="AG505" s="644">
        <f>IFERROR(IF($AV505="No",0,IF($AV505="yes",Summary!Q505,"")),"")</f>
        <v>0</v>
      </c>
      <c r="AH505" s="646">
        <f>IFERROR(IF($AV505="No",0,IF($AV505="yes",Summary!R505,"")),"")</f>
        <v>0</v>
      </c>
      <c r="AI505" s="646">
        <f>IFERROR(IF($AV505="No",0,IF($AV505="yes",Summary!S505,"")),"")</f>
        <v>0</v>
      </c>
      <c r="AJ505" s="647">
        <f>IFERROR(IF($AV505="No",0,IF($AV505="yes",Summary!T505,"")),"")</f>
        <v>0</v>
      </c>
      <c r="AK505" s="648">
        <f>IFERROR(IF($AV505="No",0,IF($AV505="yes",Summary!U505,"")),"")</f>
        <v>0</v>
      </c>
      <c r="AL505" s="646">
        <f>IFERROR(IF($AV505="No",0,IF($AV505="yes",Summary!V505,"")),"")</f>
        <v>0</v>
      </c>
      <c r="AM505" s="646">
        <f>IFERROR(IF($AV505="No",0,IF($AV505="yes",Summary!W505,"")),"")</f>
        <v>0</v>
      </c>
      <c r="AN505" s="646">
        <f>IFERROR(IF($AV505="No",0,IF($AV505="yes",Summary!X505,"")),"")</f>
        <v>0</v>
      </c>
      <c r="AO505" s="646">
        <f>IFERROR(IF($AV505="No",0,IF($AV505="yes",Summary!Y505+Z505,"")),"")</f>
        <v>0</v>
      </c>
      <c r="AP505" s="646">
        <f>IFERROR(IF($AV505="No",0,IF($AV505="yes",Summary!AB505,"")),"")</f>
        <v>0</v>
      </c>
      <c r="AQ505" s="649" t="str">
        <f t="shared" si="114"/>
        <v/>
      </c>
      <c r="AR505" s="649" t="str">
        <f t="shared" ref="AR505:AR568" si="118">IFERROR(IF($AG505&lt;0,"",(I505*AM505)/(((IF(AG505=0,AG505,AG505))*AK505)+AH505)),"")</f>
        <v/>
      </c>
      <c r="AS505" s="649" t="str">
        <f t="shared" si="115"/>
        <v/>
      </c>
      <c r="AT505" s="641" t="s">
        <v>979</v>
      </c>
      <c r="AV505" t="str">
        <f>IF('Proposed Lighting'!AK202&gt;0,"No","Yes")</f>
        <v>Yes</v>
      </c>
    </row>
    <row r="506" spans="1:48" ht="34.5" customHeight="1" outlineLevel="1">
      <c r="A506" s="641" t="s">
        <v>980</v>
      </c>
      <c r="B506" s="641" t="str">
        <f>IF('Proposed Lighting'!AU203=3,"Commercial-All Com-ExtLight",IF('Proposed Lighting'!AH203&gt;8759,"IPC_8760","Commercial-All Com-IntLight"))</f>
        <v>IPC_8760</v>
      </c>
      <c r="C506" s="641" t="str">
        <f>IF(OR(E506="",E506=0),"No",
IF(AND('Data Entry'!$AF$23="OR",AE506&lt;1),"No",
IF(AND('Data Entry'!$AF$23="ID",E506="Non-standard lighting control system",AD506&lt;1),"No",
IF(AND('Data Entry'!$AF$23="OR",'Proposed Lighting'!F203="Existing LED (Provide Description)",'Proposed Lighting'!AK203=""),"No",
IF('Proposed Lighting'!DD203="Submit Control as Non-Standard","No",
IF(AND('Proposed Lighting'!T203="Non-Standard (Provide Description)",AD506&lt;1),"No",
IF('Proposed Lighting'!AW203&lt;'Proposed Lighting'!AZ203,"No","Yes")))))))</f>
        <v>No</v>
      </c>
      <c r="D506" s="1604">
        <f>'Proposed Lighting'!BQ203-Q506</f>
        <v>0</v>
      </c>
      <c r="E506" s="642" t="str">
        <f>IF('Proposed Lighting'!W203="","",'Proposed Lighting'!W203)</f>
        <v/>
      </c>
      <c r="F506" s="642"/>
      <c r="G506" s="641" t="s">
        <v>786</v>
      </c>
      <c r="H506" s="643">
        <v>10</v>
      </c>
      <c r="I506" s="644">
        <v>1</v>
      </c>
      <c r="J506" s="723">
        <f>IF('Proposed Lighting'!EF203=0,'Proposed Lighting'!AA203,'Proposed Lighting'!EF203)</f>
        <v>0</v>
      </c>
      <c r="K506" s="643" t="str">
        <f>'Proposed Lighting'!CU203</f>
        <v/>
      </c>
      <c r="L506" s="643" t="str">
        <f t="shared" si="116"/>
        <v/>
      </c>
      <c r="M506" s="645">
        <f t="shared" si="106"/>
        <v>0</v>
      </c>
      <c r="N506" s="645"/>
      <c r="O506" s="722">
        <f>IFERROR('Proposed Lighting'!AC203/1000,0)</f>
        <v>0</v>
      </c>
      <c r="P506" s="644">
        <f>'Proposed Lighting'!AV203</f>
        <v>0</v>
      </c>
      <c r="Q506" s="644">
        <f>IF(AND('Proposed Lighting'!T203="Lighting Controls Only",'Data Entry'!$AF$23="OR",'Proposed Lighting'!AU203=2),0,
IF(AND('Proposed Lighting'!T203="Lighting Controls Only",'Data Entry'!$AF$23="OR",'Proposed Lighting'!AU203=3,OR('Proposed Lighting'!W203="ceiling mount",'Proposed Lighting'!W203="wall switch",'Proposed Lighting'!W203="fixture mount (on exisiting equip)",'Proposed Lighting'!W203="daylight harvesting (on existing equip)")),0,
IF('Proposed Lighting'!AF203=1,IF(P506=0,0,J506*O506*(L506*(1-P506))),IF('Proposed Lighting'!AU203=1,0,'Proposed Lighting'!AX203-'Proposed Lighting'!AY203))))</f>
        <v>0</v>
      </c>
      <c r="R506" s="646">
        <f>IF('Proposed Lighting'!T203="Non-standard (provide description",0,
IF(AND(E506="Non-standard control",'Proposed Lighting'!AU203=2),Q506*0.1,
IF(AND(E506="Non-standard control",'Proposed Lighting'!AU203=3),Q506*0.08,
IF('Proposed Lighting'!EF203=0,0,IF('Proposed Lighting'!AU203=1,0,
IF(AND('Data Entry'!$AF$23="ID",'Proposed Lighting'!T203="Lighting controls only"),VLOOKUP(E506,'Proposed Lighting'!$DO$97:$DP$106,2,FALSE),
IF(AND('Data Entry'!$AF$23="OR",'Proposed Lighting'!AU203=3,'Proposed Lighting'!T203="Lighting controls only"),VLOOKUP(E506,'Proposed Lighting'!$DO$127:$DP$134,2,FALSE),0)))))))*J506</f>
        <v>0</v>
      </c>
      <c r="S506" s="646">
        <f>IF(Q506&lt;0.01,0,IF('Proposed Lighting'!AK203&gt;0,'Proposed Lighting'!AK203*'Proposed Lighting'!EF203,0))</f>
        <v>0</v>
      </c>
      <c r="T506" s="647">
        <f t="shared" si="117"/>
        <v>0</v>
      </c>
      <c r="U506" s="648"/>
      <c r="V506" s="646">
        <f t="shared" si="107"/>
        <v>0</v>
      </c>
      <c r="W506" s="646">
        <f t="shared" si="108"/>
        <v>0</v>
      </c>
      <c r="X506" s="646">
        <f t="shared" si="109"/>
        <v>0</v>
      </c>
      <c r="Y506" s="646"/>
      <c r="Z506" s="646"/>
      <c r="AA506" s="646"/>
      <c r="AB506" s="646">
        <f t="shared" si="110"/>
        <v>0</v>
      </c>
      <c r="AC506" s="649" t="str">
        <f t="shared" si="111"/>
        <v/>
      </c>
      <c r="AD506" s="649" t="str">
        <f t="shared" si="112"/>
        <v/>
      </c>
      <c r="AE506" s="649" t="str">
        <f t="shared" si="113"/>
        <v/>
      </c>
      <c r="AF506" s="72"/>
      <c r="AG506" s="644">
        <f>IFERROR(IF($AV506="No",0,IF($AV506="yes",Summary!Q506,"")),"")</f>
        <v>0</v>
      </c>
      <c r="AH506" s="646">
        <f>IFERROR(IF($AV506="No",0,IF($AV506="yes",Summary!R506,"")),"")</f>
        <v>0</v>
      </c>
      <c r="AI506" s="646">
        <f>IFERROR(IF($AV506="No",0,IF($AV506="yes",Summary!S506,"")),"")</f>
        <v>0</v>
      </c>
      <c r="AJ506" s="647">
        <f>IFERROR(IF($AV506="No",0,IF($AV506="yes",Summary!T506,"")),"")</f>
        <v>0</v>
      </c>
      <c r="AK506" s="648">
        <f>IFERROR(IF($AV506="No",0,IF($AV506="yes",Summary!U506,"")),"")</f>
        <v>0</v>
      </c>
      <c r="AL506" s="646">
        <f>IFERROR(IF($AV506="No",0,IF($AV506="yes",Summary!V506,"")),"")</f>
        <v>0</v>
      </c>
      <c r="AM506" s="646">
        <f>IFERROR(IF($AV506="No",0,IF($AV506="yes",Summary!W506,"")),"")</f>
        <v>0</v>
      </c>
      <c r="AN506" s="646">
        <f>IFERROR(IF($AV506="No",0,IF($AV506="yes",Summary!X506,"")),"")</f>
        <v>0</v>
      </c>
      <c r="AO506" s="646">
        <f>IFERROR(IF($AV506="No",0,IF($AV506="yes",Summary!Y506+Z506,"")),"")</f>
        <v>0</v>
      </c>
      <c r="AP506" s="646">
        <f>IFERROR(IF($AV506="No",0,IF($AV506="yes",Summary!AB506,"")),"")</f>
        <v>0</v>
      </c>
      <c r="AQ506" s="649" t="str">
        <f t="shared" si="114"/>
        <v/>
      </c>
      <c r="AR506" s="649" t="str">
        <f t="shared" si="118"/>
        <v/>
      </c>
      <c r="AS506" s="649" t="str">
        <f t="shared" si="115"/>
        <v/>
      </c>
      <c r="AT506" s="641" t="s">
        <v>980</v>
      </c>
      <c r="AV506" t="str">
        <f>IF('Proposed Lighting'!AK203&gt;0,"No","Yes")</f>
        <v>Yes</v>
      </c>
    </row>
    <row r="507" spans="1:48" ht="34.5" customHeight="1" outlineLevel="1">
      <c r="A507" s="641" t="s">
        <v>981</v>
      </c>
      <c r="B507" s="641" t="str">
        <f>IF('Proposed Lighting'!AU204=3,"Commercial-All Com-ExtLight",IF('Proposed Lighting'!AH204&gt;8759,"IPC_8760","Commercial-All Com-IntLight"))</f>
        <v>IPC_8760</v>
      </c>
      <c r="C507" s="641" t="str">
        <f>IF(OR(E507="",E507=0),"No",
IF(AND('Data Entry'!$AF$23="OR",AE507&lt;1),"No",
IF(AND('Data Entry'!$AF$23="ID",E507="Non-standard lighting control system",AD507&lt;1),"No",
IF(AND('Data Entry'!$AF$23="OR",'Proposed Lighting'!F204="Existing LED (Provide Description)",'Proposed Lighting'!AK204=""),"No",
IF('Proposed Lighting'!DD204="Submit Control as Non-Standard","No",
IF(AND('Proposed Lighting'!T204="Non-Standard (Provide Description)",AD507&lt;1),"No",
IF('Proposed Lighting'!AW204&lt;'Proposed Lighting'!AZ204,"No","Yes")))))))</f>
        <v>No</v>
      </c>
      <c r="D507" s="1604">
        <f>'Proposed Lighting'!BQ204-Q507</f>
        <v>0</v>
      </c>
      <c r="E507" s="642" t="str">
        <f>IF('Proposed Lighting'!W204="","",'Proposed Lighting'!W204)</f>
        <v/>
      </c>
      <c r="F507" s="642"/>
      <c r="G507" s="641" t="s">
        <v>786</v>
      </c>
      <c r="H507" s="643">
        <v>10</v>
      </c>
      <c r="I507" s="644">
        <v>1</v>
      </c>
      <c r="J507" s="723">
        <f>IF('Proposed Lighting'!EF204=0,'Proposed Lighting'!AA204,'Proposed Lighting'!EF204)</f>
        <v>0</v>
      </c>
      <c r="K507" s="643" t="str">
        <f>'Proposed Lighting'!CU204</f>
        <v/>
      </c>
      <c r="L507" s="643" t="str">
        <f t="shared" si="116"/>
        <v/>
      </c>
      <c r="M507" s="645">
        <f t="shared" si="106"/>
        <v>0</v>
      </c>
      <c r="N507" s="645"/>
      <c r="O507" s="722">
        <f>IFERROR('Proposed Lighting'!AC204/1000,0)</f>
        <v>0</v>
      </c>
      <c r="P507" s="644">
        <f>'Proposed Lighting'!AV204</f>
        <v>0</v>
      </c>
      <c r="Q507" s="644">
        <f>IF(AND('Proposed Lighting'!T204="Lighting Controls Only",'Data Entry'!$AF$23="OR",'Proposed Lighting'!AU204=2),0,
IF(AND('Proposed Lighting'!T204="Lighting Controls Only",'Data Entry'!$AF$23="OR",'Proposed Lighting'!AU204=3,OR('Proposed Lighting'!W204="ceiling mount",'Proposed Lighting'!W204="wall switch",'Proposed Lighting'!W204="fixture mount (on exisiting equip)",'Proposed Lighting'!W204="daylight harvesting (on existing equip)")),0,
IF('Proposed Lighting'!AF204=1,IF(P507=0,0,J507*O507*(L507*(1-P507))),IF('Proposed Lighting'!AU204=1,0,'Proposed Lighting'!AX204-'Proposed Lighting'!AY204))))</f>
        <v>0</v>
      </c>
      <c r="R507" s="646">
        <f>IF('Proposed Lighting'!T204="Non-standard (provide description",0,
IF(AND(E507="Non-standard control",'Proposed Lighting'!AU204=2),Q507*0.1,
IF(AND(E507="Non-standard control",'Proposed Lighting'!AU204=3),Q507*0.08,
IF('Proposed Lighting'!EF204=0,0,IF('Proposed Lighting'!AU204=1,0,
IF(AND('Data Entry'!$AF$23="ID",'Proposed Lighting'!T204="Lighting controls only"),VLOOKUP(E507,'Proposed Lighting'!$DO$97:$DP$106,2,FALSE),
IF(AND('Data Entry'!$AF$23="OR",'Proposed Lighting'!AU204=3,'Proposed Lighting'!T204="Lighting controls only"),VLOOKUP(E507,'Proposed Lighting'!$DO$127:$DP$134,2,FALSE),0)))))))*J507</f>
        <v>0</v>
      </c>
      <c r="S507" s="646">
        <f>IF(Q507&lt;0.01,0,IF('Proposed Lighting'!AK204&gt;0,'Proposed Lighting'!AK204*'Proposed Lighting'!EF204,0))</f>
        <v>0</v>
      </c>
      <c r="T507" s="647">
        <f t="shared" si="117"/>
        <v>0</v>
      </c>
      <c r="U507" s="648"/>
      <c r="V507" s="646">
        <f t="shared" si="107"/>
        <v>0</v>
      </c>
      <c r="W507" s="646">
        <f t="shared" si="108"/>
        <v>0</v>
      </c>
      <c r="X507" s="646">
        <f t="shared" si="109"/>
        <v>0</v>
      </c>
      <c r="Y507" s="646"/>
      <c r="Z507" s="646"/>
      <c r="AA507" s="646"/>
      <c r="AB507" s="646">
        <f t="shared" si="110"/>
        <v>0</v>
      </c>
      <c r="AC507" s="649" t="str">
        <f t="shared" si="111"/>
        <v/>
      </c>
      <c r="AD507" s="649" t="str">
        <f t="shared" si="112"/>
        <v/>
      </c>
      <c r="AE507" s="649" t="str">
        <f t="shared" si="113"/>
        <v/>
      </c>
      <c r="AF507" s="72"/>
      <c r="AG507" s="644">
        <f>IFERROR(IF($AV507="No",0,IF($AV507="yes",Summary!Q507,"")),"")</f>
        <v>0</v>
      </c>
      <c r="AH507" s="646">
        <f>IFERROR(IF($AV507="No",0,IF($AV507="yes",Summary!R507,"")),"")</f>
        <v>0</v>
      </c>
      <c r="AI507" s="646">
        <f>IFERROR(IF($AV507="No",0,IF($AV507="yes",Summary!S507,"")),"")</f>
        <v>0</v>
      </c>
      <c r="AJ507" s="647">
        <f>IFERROR(IF($AV507="No",0,IF($AV507="yes",Summary!T507,"")),"")</f>
        <v>0</v>
      </c>
      <c r="AK507" s="648">
        <f>IFERROR(IF($AV507="No",0,IF($AV507="yes",Summary!U507,"")),"")</f>
        <v>0</v>
      </c>
      <c r="AL507" s="646">
        <f>IFERROR(IF($AV507="No",0,IF($AV507="yes",Summary!V507,"")),"")</f>
        <v>0</v>
      </c>
      <c r="AM507" s="646">
        <f>IFERROR(IF($AV507="No",0,IF($AV507="yes",Summary!W507,"")),"")</f>
        <v>0</v>
      </c>
      <c r="AN507" s="646">
        <f>IFERROR(IF($AV507="No",0,IF($AV507="yes",Summary!X507,"")),"")</f>
        <v>0</v>
      </c>
      <c r="AO507" s="646">
        <f>IFERROR(IF($AV507="No",0,IF($AV507="yes",Summary!Y507+Z507,"")),"")</f>
        <v>0</v>
      </c>
      <c r="AP507" s="646">
        <f>IFERROR(IF($AV507="No",0,IF($AV507="yes",Summary!AB507,"")),"")</f>
        <v>0</v>
      </c>
      <c r="AQ507" s="649" t="str">
        <f t="shared" si="114"/>
        <v/>
      </c>
      <c r="AR507" s="649" t="str">
        <f t="shared" si="118"/>
        <v/>
      </c>
      <c r="AS507" s="649" t="str">
        <f t="shared" si="115"/>
        <v/>
      </c>
      <c r="AT507" s="641" t="s">
        <v>981</v>
      </c>
      <c r="AV507" t="str">
        <f>IF('Proposed Lighting'!AK204&gt;0,"No","Yes")</f>
        <v>Yes</v>
      </c>
    </row>
    <row r="508" spans="1:48" ht="34.5" customHeight="1" outlineLevel="1">
      <c r="A508" s="641" t="s">
        <v>982</v>
      </c>
      <c r="B508" s="641" t="str">
        <f>IF('Proposed Lighting'!AU205=3,"Commercial-All Com-ExtLight",IF('Proposed Lighting'!AH205&gt;8759,"IPC_8760","Commercial-All Com-IntLight"))</f>
        <v>IPC_8760</v>
      </c>
      <c r="C508" s="641" t="str">
        <f>IF(OR(E508="",E508=0),"No",
IF(AND('Data Entry'!$AF$23="OR",AE508&lt;1),"No",
IF(AND('Data Entry'!$AF$23="ID",E508="Non-standard lighting control system",AD508&lt;1),"No",
IF(AND('Data Entry'!$AF$23="OR",'Proposed Lighting'!F205="Existing LED (Provide Description)",'Proposed Lighting'!AK205=""),"No",
IF('Proposed Lighting'!DD205="Submit Control as Non-Standard","No",
IF(AND('Proposed Lighting'!T205="Non-Standard (Provide Description)",AD508&lt;1),"No",
IF('Proposed Lighting'!AW205&lt;'Proposed Lighting'!AZ205,"No","Yes")))))))</f>
        <v>No</v>
      </c>
      <c r="D508" s="1604">
        <f>'Proposed Lighting'!BQ205-Q508</f>
        <v>0</v>
      </c>
      <c r="E508" s="642" t="str">
        <f>IF('Proposed Lighting'!W205="","",'Proposed Lighting'!W205)</f>
        <v/>
      </c>
      <c r="F508" s="642"/>
      <c r="G508" s="641" t="s">
        <v>786</v>
      </c>
      <c r="H508" s="643">
        <v>10</v>
      </c>
      <c r="I508" s="644">
        <v>1</v>
      </c>
      <c r="J508" s="723">
        <f>IF('Proposed Lighting'!EF205=0,'Proposed Lighting'!AA205,'Proposed Lighting'!EF205)</f>
        <v>0</v>
      </c>
      <c r="K508" s="643" t="str">
        <f>'Proposed Lighting'!CU205</f>
        <v/>
      </c>
      <c r="L508" s="643" t="str">
        <f t="shared" si="116"/>
        <v/>
      </c>
      <c r="M508" s="645">
        <f t="shared" si="106"/>
        <v>0</v>
      </c>
      <c r="N508" s="645"/>
      <c r="O508" s="722">
        <f>IFERROR('Proposed Lighting'!AC205/1000,0)</f>
        <v>0</v>
      </c>
      <c r="P508" s="644">
        <f>'Proposed Lighting'!AV205</f>
        <v>0</v>
      </c>
      <c r="Q508" s="644">
        <f>IF(AND('Proposed Lighting'!T205="Lighting Controls Only",'Data Entry'!$AF$23="OR",'Proposed Lighting'!AU205=2),0,
IF(AND('Proposed Lighting'!T205="Lighting Controls Only",'Data Entry'!$AF$23="OR",'Proposed Lighting'!AU205=3,OR('Proposed Lighting'!W205="ceiling mount",'Proposed Lighting'!W205="wall switch",'Proposed Lighting'!W205="fixture mount (on exisiting equip)",'Proposed Lighting'!W205="daylight harvesting (on existing equip)")),0,
IF('Proposed Lighting'!AF205=1,IF(P508=0,0,J508*O508*(L508*(1-P508))),IF('Proposed Lighting'!AU205=1,0,'Proposed Lighting'!AX205-'Proposed Lighting'!AY205))))</f>
        <v>0</v>
      </c>
      <c r="R508" s="646">
        <f>IF('Proposed Lighting'!T205="Non-standard (provide description",0,
IF(AND(E508="Non-standard control",'Proposed Lighting'!AU205=2),Q508*0.1,
IF(AND(E508="Non-standard control",'Proposed Lighting'!AU205=3),Q508*0.08,
IF('Proposed Lighting'!EF205=0,0,IF('Proposed Lighting'!AU205=1,0,
IF(AND('Data Entry'!$AF$23="ID",'Proposed Lighting'!T205="Lighting controls only"),VLOOKUP(E508,'Proposed Lighting'!$DO$97:$DP$106,2,FALSE),
IF(AND('Data Entry'!$AF$23="OR",'Proposed Lighting'!AU205=3,'Proposed Lighting'!T205="Lighting controls only"),VLOOKUP(E508,'Proposed Lighting'!$DO$127:$DP$134,2,FALSE),0)))))))*J508</f>
        <v>0</v>
      </c>
      <c r="S508" s="646">
        <f>IF(Q508&lt;0.01,0,IF('Proposed Lighting'!AK205&gt;0,'Proposed Lighting'!AK205*'Proposed Lighting'!EF205,0))</f>
        <v>0</v>
      </c>
      <c r="T508" s="647">
        <f t="shared" si="117"/>
        <v>0</v>
      </c>
      <c r="U508" s="648"/>
      <c r="V508" s="646">
        <f t="shared" si="107"/>
        <v>0</v>
      </c>
      <c r="W508" s="646">
        <f t="shared" si="108"/>
        <v>0</v>
      </c>
      <c r="X508" s="646">
        <f t="shared" si="109"/>
        <v>0</v>
      </c>
      <c r="Y508" s="646"/>
      <c r="Z508" s="646"/>
      <c r="AA508" s="646"/>
      <c r="AB508" s="646">
        <f t="shared" si="110"/>
        <v>0</v>
      </c>
      <c r="AC508" s="649" t="str">
        <f t="shared" si="111"/>
        <v/>
      </c>
      <c r="AD508" s="649" t="str">
        <f t="shared" si="112"/>
        <v/>
      </c>
      <c r="AE508" s="649" t="str">
        <f t="shared" si="113"/>
        <v/>
      </c>
      <c r="AF508" s="72"/>
      <c r="AG508" s="644">
        <f>IFERROR(IF($AV508="No",0,IF($AV508="yes",Summary!Q508,"")),"")</f>
        <v>0</v>
      </c>
      <c r="AH508" s="646">
        <f>IFERROR(IF($AV508="No",0,IF($AV508="yes",Summary!R508,"")),"")</f>
        <v>0</v>
      </c>
      <c r="AI508" s="646">
        <f>IFERROR(IF($AV508="No",0,IF($AV508="yes",Summary!S508,"")),"")</f>
        <v>0</v>
      </c>
      <c r="AJ508" s="647">
        <f>IFERROR(IF($AV508="No",0,IF($AV508="yes",Summary!T508,"")),"")</f>
        <v>0</v>
      </c>
      <c r="AK508" s="648">
        <f>IFERROR(IF($AV508="No",0,IF($AV508="yes",Summary!U508,"")),"")</f>
        <v>0</v>
      </c>
      <c r="AL508" s="646">
        <f>IFERROR(IF($AV508="No",0,IF($AV508="yes",Summary!V508,"")),"")</f>
        <v>0</v>
      </c>
      <c r="AM508" s="646">
        <f>IFERROR(IF($AV508="No",0,IF($AV508="yes",Summary!W508,"")),"")</f>
        <v>0</v>
      </c>
      <c r="AN508" s="646">
        <f>IFERROR(IF($AV508="No",0,IF($AV508="yes",Summary!X508,"")),"")</f>
        <v>0</v>
      </c>
      <c r="AO508" s="646">
        <f>IFERROR(IF($AV508="No",0,IF($AV508="yes",Summary!Y508+Z508,"")),"")</f>
        <v>0</v>
      </c>
      <c r="AP508" s="646">
        <f>IFERROR(IF($AV508="No",0,IF($AV508="yes",Summary!AB508,"")),"")</f>
        <v>0</v>
      </c>
      <c r="AQ508" s="649" t="str">
        <f t="shared" si="114"/>
        <v/>
      </c>
      <c r="AR508" s="649" t="str">
        <f t="shared" si="118"/>
        <v/>
      </c>
      <c r="AS508" s="649" t="str">
        <f t="shared" si="115"/>
        <v/>
      </c>
      <c r="AT508" s="641" t="s">
        <v>982</v>
      </c>
      <c r="AV508" t="str">
        <f>IF('Proposed Lighting'!AK205&gt;0,"No","Yes")</f>
        <v>Yes</v>
      </c>
    </row>
    <row r="509" spans="1:48" ht="34.5" customHeight="1" outlineLevel="1">
      <c r="A509" s="641" t="s">
        <v>983</v>
      </c>
      <c r="B509" s="641" t="str">
        <f>IF('Proposed Lighting'!AU206=3,"Commercial-All Com-ExtLight",IF('Proposed Lighting'!AH206&gt;8759,"IPC_8760","Commercial-All Com-IntLight"))</f>
        <v>IPC_8760</v>
      </c>
      <c r="C509" s="641" t="str">
        <f>IF(OR(E509="",E509=0),"No",
IF(AND('Data Entry'!$AF$23="OR",AE509&lt;1),"No",
IF(AND('Data Entry'!$AF$23="ID",E509="Non-standard lighting control system",AD509&lt;1),"No",
IF(AND('Data Entry'!$AF$23="OR",'Proposed Lighting'!F206="Existing LED (Provide Description)",'Proposed Lighting'!AK206=""),"No",
IF('Proposed Lighting'!DD206="Submit Control as Non-Standard","No",
IF(AND('Proposed Lighting'!T206="Non-Standard (Provide Description)",AD509&lt;1),"No",
IF('Proposed Lighting'!AW206&lt;'Proposed Lighting'!AZ206,"No","Yes")))))))</f>
        <v>No</v>
      </c>
      <c r="D509" s="1604">
        <f>'Proposed Lighting'!BQ206-Q509</f>
        <v>0</v>
      </c>
      <c r="E509" s="642" t="str">
        <f>IF('Proposed Lighting'!W206="","",'Proposed Lighting'!W206)</f>
        <v/>
      </c>
      <c r="F509" s="642"/>
      <c r="G509" s="641" t="s">
        <v>786</v>
      </c>
      <c r="H509" s="643">
        <v>10</v>
      </c>
      <c r="I509" s="644">
        <v>1</v>
      </c>
      <c r="J509" s="723">
        <f>IF('Proposed Lighting'!EF206=0,'Proposed Lighting'!AA206,'Proposed Lighting'!EF206)</f>
        <v>0</v>
      </c>
      <c r="K509" s="643" t="str">
        <f>'Proposed Lighting'!CU206</f>
        <v/>
      </c>
      <c r="L509" s="643" t="str">
        <f t="shared" si="116"/>
        <v/>
      </c>
      <c r="M509" s="645">
        <f t="shared" si="106"/>
        <v>0</v>
      </c>
      <c r="N509" s="645"/>
      <c r="O509" s="722">
        <f>IFERROR('Proposed Lighting'!AC206/1000,0)</f>
        <v>0</v>
      </c>
      <c r="P509" s="644">
        <f>'Proposed Lighting'!AV206</f>
        <v>0</v>
      </c>
      <c r="Q509" s="644">
        <f>IF(AND('Proposed Lighting'!T206="Lighting Controls Only",'Data Entry'!$AF$23="OR",'Proposed Lighting'!AU206=2),0,
IF(AND('Proposed Lighting'!T206="Lighting Controls Only",'Data Entry'!$AF$23="OR",'Proposed Lighting'!AU206=3,OR('Proposed Lighting'!W206="ceiling mount",'Proposed Lighting'!W206="wall switch",'Proposed Lighting'!W206="fixture mount (on exisiting equip)",'Proposed Lighting'!W206="daylight harvesting (on existing equip)")),0,
IF('Proposed Lighting'!AF206=1,IF(P509=0,0,J509*O509*(L509*(1-P509))),IF('Proposed Lighting'!AU206=1,0,'Proposed Lighting'!AX206-'Proposed Lighting'!AY206))))</f>
        <v>0</v>
      </c>
      <c r="R509" s="646">
        <f>IF('Proposed Lighting'!T206="Non-standard (provide description",0,
IF(AND(E509="Non-standard control",'Proposed Lighting'!AU206=2),Q509*0.1,
IF(AND(E509="Non-standard control",'Proposed Lighting'!AU206=3),Q509*0.08,
IF('Proposed Lighting'!EF206=0,0,IF('Proposed Lighting'!AU206=1,0,
IF(AND('Data Entry'!$AF$23="ID",'Proposed Lighting'!T206="Lighting controls only"),VLOOKUP(E509,'Proposed Lighting'!$DO$97:$DP$106,2,FALSE),
IF(AND('Data Entry'!$AF$23="OR",'Proposed Lighting'!AU206=3,'Proposed Lighting'!T206="Lighting controls only"),VLOOKUP(E509,'Proposed Lighting'!$DO$127:$DP$134,2,FALSE),0)))))))*J509</f>
        <v>0</v>
      </c>
      <c r="S509" s="646">
        <f>IF(Q509&lt;0.01,0,IF('Proposed Lighting'!AK206&gt;0,'Proposed Lighting'!AK206*'Proposed Lighting'!EF206,0))</f>
        <v>0</v>
      </c>
      <c r="T509" s="647">
        <f t="shared" si="117"/>
        <v>0</v>
      </c>
      <c r="U509" s="648"/>
      <c r="V509" s="646">
        <f t="shared" si="107"/>
        <v>0</v>
      </c>
      <c r="W509" s="646">
        <f t="shared" si="108"/>
        <v>0</v>
      </c>
      <c r="X509" s="646">
        <f t="shared" si="109"/>
        <v>0</v>
      </c>
      <c r="Y509" s="646"/>
      <c r="Z509" s="646"/>
      <c r="AA509" s="646"/>
      <c r="AB509" s="646">
        <f t="shared" si="110"/>
        <v>0</v>
      </c>
      <c r="AC509" s="649" t="str">
        <f t="shared" si="111"/>
        <v/>
      </c>
      <c r="AD509" s="649" t="str">
        <f t="shared" si="112"/>
        <v/>
      </c>
      <c r="AE509" s="649" t="str">
        <f t="shared" si="113"/>
        <v/>
      </c>
      <c r="AF509" s="72"/>
      <c r="AG509" s="644">
        <f>IFERROR(IF($AV509="No",0,IF($AV509="yes",Summary!Q509,"")),"")</f>
        <v>0</v>
      </c>
      <c r="AH509" s="646">
        <f>IFERROR(IF($AV509="No",0,IF($AV509="yes",Summary!R509,"")),"")</f>
        <v>0</v>
      </c>
      <c r="AI509" s="646">
        <f>IFERROR(IF($AV509="No",0,IF($AV509="yes",Summary!S509,"")),"")</f>
        <v>0</v>
      </c>
      <c r="AJ509" s="647">
        <f>IFERROR(IF($AV509="No",0,IF($AV509="yes",Summary!T509,"")),"")</f>
        <v>0</v>
      </c>
      <c r="AK509" s="648">
        <f>IFERROR(IF($AV509="No",0,IF($AV509="yes",Summary!U509,"")),"")</f>
        <v>0</v>
      </c>
      <c r="AL509" s="646">
        <f>IFERROR(IF($AV509="No",0,IF($AV509="yes",Summary!V509,"")),"")</f>
        <v>0</v>
      </c>
      <c r="AM509" s="646">
        <f>IFERROR(IF($AV509="No",0,IF($AV509="yes",Summary!W509,"")),"")</f>
        <v>0</v>
      </c>
      <c r="AN509" s="646">
        <f>IFERROR(IF($AV509="No",0,IF($AV509="yes",Summary!X509,"")),"")</f>
        <v>0</v>
      </c>
      <c r="AO509" s="646">
        <f>IFERROR(IF($AV509="No",0,IF($AV509="yes",Summary!Y509+Z509,"")),"")</f>
        <v>0</v>
      </c>
      <c r="AP509" s="646">
        <f>IFERROR(IF($AV509="No",0,IF($AV509="yes",Summary!AB509,"")),"")</f>
        <v>0</v>
      </c>
      <c r="AQ509" s="649" t="str">
        <f t="shared" si="114"/>
        <v/>
      </c>
      <c r="AR509" s="649" t="str">
        <f t="shared" si="118"/>
        <v/>
      </c>
      <c r="AS509" s="649" t="str">
        <f t="shared" si="115"/>
        <v/>
      </c>
      <c r="AT509" s="641" t="s">
        <v>983</v>
      </c>
      <c r="AV509" t="str">
        <f>IF('Proposed Lighting'!AK206&gt;0,"No","Yes")</f>
        <v>Yes</v>
      </c>
    </row>
    <row r="510" spans="1:48" ht="34.5" customHeight="1" outlineLevel="1">
      <c r="A510" s="641" t="s">
        <v>984</v>
      </c>
      <c r="B510" s="641" t="str">
        <f>IF('Proposed Lighting'!AU207=3,"Commercial-All Com-ExtLight",IF('Proposed Lighting'!AH207&gt;8759,"IPC_8760","Commercial-All Com-IntLight"))</f>
        <v>IPC_8760</v>
      </c>
      <c r="C510" s="641" t="str">
        <f>IF(OR(E510="",E510=0),"No",
IF(AND('Data Entry'!$AF$23="OR",AE510&lt;1),"No",
IF(AND('Data Entry'!$AF$23="ID",E510="Non-standard lighting control system",AD510&lt;1),"No",
IF(AND('Data Entry'!$AF$23="OR",'Proposed Lighting'!F207="Existing LED (Provide Description)",'Proposed Lighting'!AK207=""),"No",
IF('Proposed Lighting'!DD207="Submit Control as Non-Standard","No",
IF(AND('Proposed Lighting'!T207="Non-Standard (Provide Description)",AD510&lt;1),"No",
IF('Proposed Lighting'!AW207&lt;'Proposed Lighting'!AZ207,"No","Yes")))))))</f>
        <v>No</v>
      </c>
      <c r="D510" s="1604">
        <f>'Proposed Lighting'!BQ207-Q510</f>
        <v>0</v>
      </c>
      <c r="E510" s="642" t="str">
        <f>IF('Proposed Lighting'!W207="","",'Proposed Lighting'!W207)</f>
        <v/>
      </c>
      <c r="F510" s="642"/>
      <c r="G510" s="641" t="s">
        <v>786</v>
      </c>
      <c r="H510" s="643">
        <v>10</v>
      </c>
      <c r="I510" s="644">
        <v>1</v>
      </c>
      <c r="J510" s="723">
        <f>IF('Proposed Lighting'!EF207=0,'Proposed Lighting'!AA207,'Proposed Lighting'!EF207)</f>
        <v>0</v>
      </c>
      <c r="K510" s="643" t="str">
        <f>'Proposed Lighting'!CU207</f>
        <v/>
      </c>
      <c r="L510" s="643" t="str">
        <f t="shared" si="116"/>
        <v/>
      </c>
      <c r="M510" s="645">
        <f t="shared" si="106"/>
        <v>0</v>
      </c>
      <c r="N510" s="645"/>
      <c r="O510" s="722">
        <f>IFERROR('Proposed Lighting'!AC207/1000,0)</f>
        <v>0</v>
      </c>
      <c r="P510" s="644">
        <f>'Proposed Lighting'!AV207</f>
        <v>0</v>
      </c>
      <c r="Q510" s="644">
        <f>IF(AND('Proposed Lighting'!T207="Lighting Controls Only",'Data Entry'!$AF$23="OR",'Proposed Lighting'!AU207=2),0,
IF(AND('Proposed Lighting'!T207="Lighting Controls Only",'Data Entry'!$AF$23="OR",'Proposed Lighting'!AU207=3,OR('Proposed Lighting'!W207="ceiling mount",'Proposed Lighting'!W207="wall switch",'Proposed Lighting'!W207="fixture mount (on exisiting equip)",'Proposed Lighting'!W207="daylight harvesting (on existing equip)")),0,
IF('Proposed Lighting'!AF207=1,IF(P510=0,0,J510*O510*(L510*(1-P510))),IF('Proposed Lighting'!AU207=1,0,'Proposed Lighting'!AX207-'Proposed Lighting'!AY207))))</f>
        <v>0</v>
      </c>
      <c r="R510" s="646">
        <f>IF('Proposed Lighting'!T207="Non-standard (provide description",0,
IF(AND(E510="Non-standard control",'Proposed Lighting'!AU207=2),Q510*0.1,
IF(AND(E510="Non-standard control",'Proposed Lighting'!AU207=3),Q510*0.08,
IF('Proposed Lighting'!EF207=0,0,IF('Proposed Lighting'!AU207=1,0,
IF(AND('Data Entry'!$AF$23="ID",'Proposed Lighting'!T207="Lighting controls only"),VLOOKUP(E510,'Proposed Lighting'!$DO$97:$DP$106,2,FALSE),
IF(AND('Data Entry'!$AF$23="OR",'Proposed Lighting'!AU207=3,'Proposed Lighting'!T207="Lighting controls only"),VLOOKUP(E510,'Proposed Lighting'!$DO$127:$DP$134,2,FALSE),0)))))))*J510</f>
        <v>0</v>
      </c>
      <c r="S510" s="646">
        <f>IF(Q510&lt;0.01,0,IF('Proposed Lighting'!AK207&gt;0,'Proposed Lighting'!AK207*'Proposed Lighting'!EF207,0))</f>
        <v>0</v>
      </c>
      <c r="T510" s="647">
        <f t="shared" si="117"/>
        <v>0</v>
      </c>
      <c r="U510" s="648"/>
      <c r="V510" s="646">
        <f t="shared" si="107"/>
        <v>0</v>
      </c>
      <c r="W510" s="646">
        <f t="shared" si="108"/>
        <v>0</v>
      </c>
      <c r="X510" s="646">
        <f t="shared" si="109"/>
        <v>0</v>
      </c>
      <c r="Y510" s="646"/>
      <c r="Z510" s="646"/>
      <c r="AA510" s="646"/>
      <c r="AB510" s="646">
        <f t="shared" si="110"/>
        <v>0</v>
      </c>
      <c r="AC510" s="649" t="str">
        <f t="shared" si="111"/>
        <v/>
      </c>
      <c r="AD510" s="649" t="str">
        <f t="shared" si="112"/>
        <v/>
      </c>
      <c r="AE510" s="649" t="str">
        <f t="shared" si="113"/>
        <v/>
      </c>
      <c r="AF510" s="72"/>
      <c r="AG510" s="644">
        <f>IFERROR(IF($AV510="No",0,IF($AV510="yes",Summary!Q510,"")),"")</f>
        <v>0</v>
      </c>
      <c r="AH510" s="646">
        <f>IFERROR(IF($AV510="No",0,IF($AV510="yes",Summary!R510,"")),"")</f>
        <v>0</v>
      </c>
      <c r="AI510" s="646">
        <f>IFERROR(IF($AV510="No",0,IF($AV510="yes",Summary!S510,"")),"")</f>
        <v>0</v>
      </c>
      <c r="AJ510" s="647">
        <f>IFERROR(IF($AV510="No",0,IF($AV510="yes",Summary!T510,"")),"")</f>
        <v>0</v>
      </c>
      <c r="AK510" s="648">
        <f>IFERROR(IF($AV510="No",0,IF($AV510="yes",Summary!U510,"")),"")</f>
        <v>0</v>
      </c>
      <c r="AL510" s="646">
        <f>IFERROR(IF($AV510="No",0,IF($AV510="yes",Summary!V510,"")),"")</f>
        <v>0</v>
      </c>
      <c r="AM510" s="646">
        <f>IFERROR(IF($AV510="No",0,IF($AV510="yes",Summary!W510,"")),"")</f>
        <v>0</v>
      </c>
      <c r="AN510" s="646">
        <f>IFERROR(IF($AV510="No",0,IF($AV510="yes",Summary!X510,"")),"")</f>
        <v>0</v>
      </c>
      <c r="AO510" s="646">
        <f>IFERROR(IF($AV510="No",0,IF($AV510="yes",Summary!Y510+Z510,"")),"")</f>
        <v>0</v>
      </c>
      <c r="AP510" s="646">
        <f>IFERROR(IF($AV510="No",0,IF($AV510="yes",Summary!AB510,"")),"")</f>
        <v>0</v>
      </c>
      <c r="AQ510" s="649" t="str">
        <f t="shared" si="114"/>
        <v/>
      </c>
      <c r="AR510" s="649" t="str">
        <f t="shared" si="118"/>
        <v/>
      </c>
      <c r="AS510" s="649" t="str">
        <f t="shared" si="115"/>
        <v/>
      </c>
      <c r="AT510" s="641" t="s">
        <v>984</v>
      </c>
      <c r="AV510" t="str">
        <f>IF('Proposed Lighting'!AK207&gt;0,"No","Yes")</f>
        <v>Yes</v>
      </c>
    </row>
    <row r="511" spans="1:48" ht="34.5" customHeight="1" outlineLevel="1">
      <c r="A511" s="641" t="s">
        <v>985</v>
      </c>
      <c r="B511" s="641" t="str">
        <f>IF('Proposed Lighting'!AU208=3,"Commercial-All Com-ExtLight",IF('Proposed Lighting'!AH208&gt;8759,"IPC_8760","Commercial-All Com-IntLight"))</f>
        <v>IPC_8760</v>
      </c>
      <c r="C511" s="641" t="str">
        <f>IF(OR(E511="",E511=0),"No",
IF(AND('Data Entry'!$AF$23="OR",AE511&lt;1),"No",
IF(AND('Data Entry'!$AF$23="ID",E511="Non-standard lighting control system",AD511&lt;1),"No",
IF(AND('Data Entry'!$AF$23="OR",'Proposed Lighting'!F208="Existing LED (Provide Description)",'Proposed Lighting'!AK208=""),"No",
IF('Proposed Lighting'!DD208="Submit Control as Non-Standard","No",
IF(AND('Proposed Lighting'!T208="Non-Standard (Provide Description)",AD511&lt;1),"No",
IF('Proposed Lighting'!AW208&lt;'Proposed Lighting'!AZ208,"No","Yes")))))))</f>
        <v>No</v>
      </c>
      <c r="D511" s="1604">
        <f>'Proposed Lighting'!BQ208-Q511</f>
        <v>0</v>
      </c>
      <c r="E511" s="642" t="str">
        <f>IF('Proposed Lighting'!W208="","",'Proposed Lighting'!W208)</f>
        <v/>
      </c>
      <c r="F511" s="642"/>
      <c r="G511" s="641" t="s">
        <v>786</v>
      </c>
      <c r="H511" s="643">
        <v>10</v>
      </c>
      <c r="I511" s="644">
        <v>1</v>
      </c>
      <c r="J511" s="723">
        <f>IF('Proposed Lighting'!EF208=0,'Proposed Lighting'!AA208,'Proposed Lighting'!EF208)</f>
        <v>0</v>
      </c>
      <c r="K511" s="643" t="str">
        <f>'Proposed Lighting'!CU208</f>
        <v/>
      </c>
      <c r="L511" s="643" t="str">
        <f t="shared" si="116"/>
        <v/>
      </c>
      <c r="M511" s="645">
        <f t="shared" si="106"/>
        <v>0</v>
      </c>
      <c r="N511" s="645"/>
      <c r="O511" s="722">
        <f>IFERROR('Proposed Lighting'!AC208/1000,0)</f>
        <v>0</v>
      </c>
      <c r="P511" s="644">
        <f>'Proposed Lighting'!AV208</f>
        <v>0</v>
      </c>
      <c r="Q511" s="644">
        <f>IF(AND('Proposed Lighting'!T208="Lighting Controls Only",'Data Entry'!$AF$23="OR",'Proposed Lighting'!AU208=2),0,
IF(AND('Proposed Lighting'!T208="Lighting Controls Only",'Data Entry'!$AF$23="OR",'Proposed Lighting'!AU208=3,OR('Proposed Lighting'!W208="ceiling mount",'Proposed Lighting'!W208="wall switch",'Proposed Lighting'!W208="fixture mount (on exisiting equip)",'Proposed Lighting'!W208="daylight harvesting (on existing equip)")),0,
IF('Proposed Lighting'!AF208=1,IF(P511=0,0,J511*O511*(L511*(1-P511))),IF('Proposed Lighting'!AU208=1,0,'Proposed Lighting'!AX208-'Proposed Lighting'!AY208))))</f>
        <v>0</v>
      </c>
      <c r="R511" s="646">
        <f>IF('Proposed Lighting'!T208="Non-standard (provide description",0,
IF(AND(E511="Non-standard control",'Proposed Lighting'!AU208=2),Q511*0.1,
IF(AND(E511="Non-standard control",'Proposed Lighting'!AU208=3),Q511*0.08,
IF('Proposed Lighting'!EF208=0,0,IF('Proposed Lighting'!AU208=1,0,
IF(AND('Data Entry'!$AF$23="ID",'Proposed Lighting'!T208="Lighting controls only"),VLOOKUP(E511,'Proposed Lighting'!$DO$97:$DP$106,2,FALSE),
IF(AND('Data Entry'!$AF$23="OR",'Proposed Lighting'!AU208=3,'Proposed Lighting'!T208="Lighting controls only"),VLOOKUP(E511,'Proposed Lighting'!$DO$127:$DP$134,2,FALSE),0)))))))*J511</f>
        <v>0</v>
      </c>
      <c r="S511" s="646">
        <f>IF(Q511&lt;0.01,0,IF('Proposed Lighting'!AK208&gt;0,'Proposed Lighting'!AK208*'Proposed Lighting'!EF208,0))</f>
        <v>0</v>
      </c>
      <c r="T511" s="647">
        <f t="shared" si="117"/>
        <v>0</v>
      </c>
      <c r="U511" s="648"/>
      <c r="V511" s="646">
        <f t="shared" si="107"/>
        <v>0</v>
      </c>
      <c r="W511" s="646">
        <f t="shared" si="108"/>
        <v>0</v>
      </c>
      <c r="X511" s="646">
        <f t="shared" si="109"/>
        <v>0</v>
      </c>
      <c r="Y511" s="646"/>
      <c r="Z511" s="646"/>
      <c r="AA511" s="646"/>
      <c r="AB511" s="646">
        <f t="shared" si="110"/>
        <v>0</v>
      </c>
      <c r="AC511" s="649" t="str">
        <f t="shared" si="111"/>
        <v/>
      </c>
      <c r="AD511" s="649" t="str">
        <f t="shared" si="112"/>
        <v/>
      </c>
      <c r="AE511" s="649" t="str">
        <f t="shared" si="113"/>
        <v/>
      </c>
      <c r="AF511" s="72"/>
      <c r="AG511" s="644">
        <f>IFERROR(IF($AV511="No",0,IF($AV511="yes",Summary!Q511,"")),"")</f>
        <v>0</v>
      </c>
      <c r="AH511" s="646">
        <f>IFERROR(IF($AV511="No",0,IF($AV511="yes",Summary!R511,"")),"")</f>
        <v>0</v>
      </c>
      <c r="AI511" s="646">
        <f>IFERROR(IF($AV511="No",0,IF($AV511="yes",Summary!S511,"")),"")</f>
        <v>0</v>
      </c>
      <c r="AJ511" s="647">
        <f>IFERROR(IF($AV511="No",0,IF($AV511="yes",Summary!T511,"")),"")</f>
        <v>0</v>
      </c>
      <c r="AK511" s="648">
        <f>IFERROR(IF($AV511="No",0,IF($AV511="yes",Summary!U511,"")),"")</f>
        <v>0</v>
      </c>
      <c r="AL511" s="646">
        <f>IFERROR(IF($AV511="No",0,IF($AV511="yes",Summary!V511,"")),"")</f>
        <v>0</v>
      </c>
      <c r="AM511" s="646">
        <f>IFERROR(IF($AV511="No",0,IF($AV511="yes",Summary!W511,"")),"")</f>
        <v>0</v>
      </c>
      <c r="AN511" s="646">
        <f>IFERROR(IF($AV511="No",0,IF($AV511="yes",Summary!X511,"")),"")</f>
        <v>0</v>
      </c>
      <c r="AO511" s="646">
        <f>IFERROR(IF($AV511="No",0,IF($AV511="yes",Summary!Y511+Z511,"")),"")</f>
        <v>0</v>
      </c>
      <c r="AP511" s="646">
        <f>IFERROR(IF($AV511="No",0,IF($AV511="yes",Summary!AB511,"")),"")</f>
        <v>0</v>
      </c>
      <c r="AQ511" s="649" t="str">
        <f t="shared" si="114"/>
        <v/>
      </c>
      <c r="AR511" s="649" t="str">
        <f t="shared" si="118"/>
        <v/>
      </c>
      <c r="AS511" s="649" t="str">
        <f t="shared" si="115"/>
        <v/>
      </c>
      <c r="AT511" s="641" t="s">
        <v>985</v>
      </c>
      <c r="AV511" t="str">
        <f>IF('Proposed Lighting'!AK208&gt;0,"No","Yes")</f>
        <v>Yes</v>
      </c>
    </row>
    <row r="512" spans="1:48" ht="34.5" customHeight="1" outlineLevel="1">
      <c r="A512" s="641" t="s">
        <v>986</v>
      </c>
      <c r="B512" s="641" t="str">
        <f>IF('Proposed Lighting'!AU209=3,"Commercial-All Com-ExtLight",IF('Proposed Lighting'!AH209&gt;8759,"IPC_8760","Commercial-All Com-IntLight"))</f>
        <v>IPC_8760</v>
      </c>
      <c r="C512" s="641" t="str">
        <f>IF(OR(E512="",E512=0),"No",
IF(AND('Data Entry'!$AF$23="OR",AE512&lt;1),"No",
IF(AND('Data Entry'!$AF$23="ID",E512="Non-standard lighting control system",AD512&lt;1),"No",
IF(AND('Data Entry'!$AF$23="OR",'Proposed Lighting'!F209="Existing LED (Provide Description)",'Proposed Lighting'!AK209=""),"No",
IF('Proposed Lighting'!DD209="Submit Control as Non-Standard","No",
IF(AND('Proposed Lighting'!T209="Non-Standard (Provide Description)",AD512&lt;1),"No",
IF('Proposed Lighting'!AW209&lt;'Proposed Lighting'!AZ209,"No","Yes")))))))</f>
        <v>No</v>
      </c>
      <c r="D512" s="1604">
        <f>'Proposed Lighting'!BQ209-Q512</f>
        <v>0</v>
      </c>
      <c r="E512" s="642" t="str">
        <f>IF('Proposed Lighting'!W209="","",'Proposed Lighting'!W209)</f>
        <v/>
      </c>
      <c r="F512" s="642"/>
      <c r="G512" s="641" t="s">
        <v>786</v>
      </c>
      <c r="H512" s="643">
        <v>10</v>
      </c>
      <c r="I512" s="644">
        <v>1</v>
      </c>
      <c r="J512" s="723">
        <f>IF('Proposed Lighting'!EF209=0,'Proposed Lighting'!AA209,'Proposed Lighting'!EF209)</f>
        <v>0</v>
      </c>
      <c r="K512" s="643" t="str">
        <f>'Proposed Lighting'!CU209</f>
        <v/>
      </c>
      <c r="L512" s="643" t="str">
        <f t="shared" si="116"/>
        <v/>
      </c>
      <c r="M512" s="645">
        <f t="shared" si="106"/>
        <v>0</v>
      </c>
      <c r="N512" s="645"/>
      <c r="O512" s="722">
        <f>IFERROR('Proposed Lighting'!AC209/1000,0)</f>
        <v>0</v>
      </c>
      <c r="P512" s="644">
        <f>'Proposed Lighting'!AV209</f>
        <v>0</v>
      </c>
      <c r="Q512" s="644">
        <f>IF(AND('Proposed Lighting'!T209="Lighting Controls Only",'Data Entry'!$AF$23="OR",'Proposed Lighting'!AU209=2),0,
IF(AND('Proposed Lighting'!T209="Lighting Controls Only",'Data Entry'!$AF$23="OR",'Proposed Lighting'!AU209=3,OR('Proposed Lighting'!W209="ceiling mount",'Proposed Lighting'!W209="wall switch",'Proposed Lighting'!W209="fixture mount (on exisiting equip)",'Proposed Lighting'!W209="daylight harvesting (on existing equip)")),0,
IF('Proposed Lighting'!AF209=1,IF(P512=0,0,J512*O512*(L512*(1-P512))),IF('Proposed Lighting'!AU209=1,0,'Proposed Lighting'!AX209-'Proposed Lighting'!AY209))))</f>
        <v>0</v>
      </c>
      <c r="R512" s="646">
        <f>IF('Proposed Lighting'!T209="Non-standard (provide description",0,
IF(AND(E512="Non-standard control",'Proposed Lighting'!AU209=2),Q512*0.1,
IF(AND(E512="Non-standard control",'Proposed Lighting'!AU209=3),Q512*0.08,
IF('Proposed Lighting'!EF209=0,0,IF('Proposed Lighting'!AU209=1,0,
IF(AND('Data Entry'!$AF$23="ID",'Proposed Lighting'!T209="Lighting controls only"),VLOOKUP(E512,'Proposed Lighting'!$DO$97:$DP$106,2,FALSE),
IF(AND('Data Entry'!$AF$23="OR",'Proposed Lighting'!AU209=3,'Proposed Lighting'!T209="Lighting controls only"),VLOOKUP(E512,'Proposed Lighting'!$DO$127:$DP$134,2,FALSE),0)))))))*J512</f>
        <v>0</v>
      </c>
      <c r="S512" s="646">
        <f>IF(Q512&lt;0.01,0,IF('Proposed Lighting'!AK209&gt;0,'Proposed Lighting'!AK209*'Proposed Lighting'!EF209,0))</f>
        <v>0</v>
      </c>
      <c r="T512" s="647">
        <f t="shared" si="117"/>
        <v>0</v>
      </c>
      <c r="U512" s="648"/>
      <c r="V512" s="646">
        <f t="shared" si="107"/>
        <v>0</v>
      </c>
      <c r="W512" s="646">
        <f t="shared" si="108"/>
        <v>0</v>
      </c>
      <c r="X512" s="646">
        <f t="shared" si="109"/>
        <v>0</v>
      </c>
      <c r="Y512" s="646"/>
      <c r="Z512" s="646"/>
      <c r="AA512" s="646"/>
      <c r="AB512" s="646">
        <f t="shared" si="110"/>
        <v>0</v>
      </c>
      <c r="AC512" s="649" t="str">
        <f t="shared" si="111"/>
        <v/>
      </c>
      <c r="AD512" s="649" t="str">
        <f t="shared" si="112"/>
        <v/>
      </c>
      <c r="AE512" s="649" t="str">
        <f t="shared" si="113"/>
        <v/>
      </c>
      <c r="AF512" s="72"/>
      <c r="AG512" s="644">
        <f>IFERROR(IF($AV512="No",0,IF($AV512="yes",Summary!Q512,"")),"")</f>
        <v>0</v>
      </c>
      <c r="AH512" s="646">
        <f>IFERROR(IF($AV512="No",0,IF($AV512="yes",Summary!R512,"")),"")</f>
        <v>0</v>
      </c>
      <c r="AI512" s="646">
        <f>IFERROR(IF($AV512="No",0,IF($AV512="yes",Summary!S512,"")),"")</f>
        <v>0</v>
      </c>
      <c r="AJ512" s="647">
        <f>IFERROR(IF($AV512="No",0,IF($AV512="yes",Summary!T512,"")),"")</f>
        <v>0</v>
      </c>
      <c r="AK512" s="648">
        <f>IFERROR(IF($AV512="No",0,IF($AV512="yes",Summary!U512,"")),"")</f>
        <v>0</v>
      </c>
      <c r="AL512" s="646">
        <f>IFERROR(IF($AV512="No",0,IF($AV512="yes",Summary!V512,"")),"")</f>
        <v>0</v>
      </c>
      <c r="AM512" s="646">
        <f>IFERROR(IF($AV512="No",0,IF($AV512="yes",Summary!W512,"")),"")</f>
        <v>0</v>
      </c>
      <c r="AN512" s="646">
        <f>IFERROR(IF($AV512="No",0,IF($AV512="yes",Summary!X512,"")),"")</f>
        <v>0</v>
      </c>
      <c r="AO512" s="646">
        <f>IFERROR(IF($AV512="No",0,IF($AV512="yes",Summary!Y512+Z512,"")),"")</f>
        <v>0</v>
      </c>
      <c r="AP512" s="646">
        <f>IFERROR(IF($AV512="No",0,IF($AV512="yes",Summary!AB512,"")),"")</f>
        <v>0</v>
      </c>
      <c r="AQ512" s="649" t="str">
        <f t="shared" si="114"/>
        <v/>
      </c>
      <c r="AR512" s="649" t="str">
        <f t="shared" si="118"/>
        <v/>
      </c>
      <c r="AS512" s="649" t="str">
        <f t="shared" si="115"/>
        <v/>
      </c>
      <c r="AT512" s="641" t="s">
        <v>986</v>
      </c>
      <c r="AV512" t="str">
        <f>IF('Proposed Lighting'!AK209&gt;0,"No","Yes")</f>
        <v>Yes</v>
      </c>
    </row>
    <row r="513" spans="1:48" ht="34.5" customHeight="1" outlineLevel="1">
      <c r="A513" s="641" t="s">
        <v>987</v>
      </c>
      <c r="B513" s="641" t="str">
        <f>IF('Proposed Lighting'!AU210=3,"Commercial-All Com-ExtLight",IF('Proposed Lighting'!AH210&gt;8759,"IPC_8760","Commercial-All Com-IntLight"))</f>
        <v>IPC_8760</v>
      </c>
      <c r="C513" s="641" t="str">
        <f>IF(OR(E513="",E513=0),"No",
IF(AND('Data Entry'!$AF$23="OR",AE513&lt;1),"No",
IF(AND('Data Entry'!$AF$23="ID",E513="Non-standard lighting control system",AD513&lt;1),"No",
IF(AND('Data Entry'!$AF$23="OR",'Proposed Lighting'!F210="Existing LED (Provide Description)",'Proposed Lighting'!AK210=""),"No",
IF('Proposed Lighting'!DD210="Submit Control as Non-Standard","No",
IF(AND('Proposed Lighting'!T210="Non-Standard (Provide Description)",AD513&lt;1),"No",
IF('Proposed Lighting'!AW210&lt;'Proposed Lighting'!AZ210,"No","Yes")))))))</f>
        <v>No</v>
      </c>
      <c r="D513" s="1604">
        <f>'Proposed Lighting'!BQ210-Q513</f>
        <v>0</v>
      </c>
      <c r="E513" s="642" t="str">
        <f>IF('Proposed Lighting'!W210="","",'Proposed Lighting'!W210)</f>
        <v/>
      </c>
      <c r="F513" s="642"/>
      <c r="G513" s="641" t="s">
        <v>786</v>
      </c>
      <c r="H513" s="643">
        <v>10</v>
      </c>
      <c r="I513" s="644">
        <v>1</v>
      </c>
      <c r="J513" s="723">
        <f>IF('Proposed Lighting'!EF210=0,'Proposed Lighting'!AA210,'Proposed Lighting'!EF210)</f>
        <v>0</v>
      </c>
      <c r="K513" s="643" t="str">
        <f>'Proposed Lighting'!CU210</f>
        <v/>
      </c>
      <c r="L513" s="643" t="str">
        <f t="shared" si="116"/>
        <v/>
      </c>
      <c r="M513" s="645">
        <f t="shared" si="106"/>
        <v>0</v>
      </c>
      <c r="N513" s="645"/>
      <c r="O513" s="722">
        <f>IFERROR('Proposed Lighting'!AC210/1000,0)</f>
        <v>0</v>
      </c>
      <c r="P513" s="644">
        <f>'Proposed Lighting'!AV210</f>
        <v>0</v>
      </c>
      <c r="Q513" s="644">
        <f>IF(AND('Proposed Lighting'!T210="Lighting Controls Only",'Data Entry'!$AF$23="OR",'Proposed Lighting'!AU210=2),0,
IF(AND('Proposed Lighting'!T210="Lighting Controls Only",'Data Entry'!$AF$23="OR",'Proposed Lighting'!AU210=3,OR('Proposed Lighting'!W210="ceiling mount",'Proposed Lighting'!W210="wall switch",'Proposed Lighting'!W210="fixture mount (on exisiting equip)",'Proposed Lighting'!W210="daylight harvesting (on existing equip)")),0,
IF('Proposed Lighting'!AF210=1,IF(P513=0,0,J513*O513*(L513*(1-P513))),IF('Proposed Lighting'!AU210=1,0,'Proposed Lighting'!AX210-'Proposed Lighting'!AY210))))</f>
        <v>0</v>
      </c>
      <c r="R513" s="646">
        <f>IF('Proposed Lighting'!T210="Non-standard (provide description",0,
IF(AND(E513="Non-standard control",'Proposed Lighting'!AU210=2),Q513*0.1,
IF(AND(E513="Non-standard control",'Proposed Lighting'!AU210=3),Q513*0.08,
IF('Proposed Lighting'!EF210=0,0,IF('Proposed Lighting'!AU210=1,0,
IF(AND('Data Entry'!$AF$23="ID",'Proposed Lighting'!T210="Lighting controls only"),VLOOKUP(E513,'Proposed Lighting'!$DO$97:$DP$106,2,FALSE),
IF(AND('Data Entry'!$AF$23="OR",'Proposed Lighting'!AU210=3,'Proposed Lighting'!T210="Lighting controls only"),VLOOKUP(E513,'Proposed Lighting'!$DO$127:$DP$134,2,FALSE),0)))))))*J513</f>
        <v>0</v>
      </c>
      <c r="S513" s="646">
        <f>IF(Q513&lt;0.01,0,IF('Proposed Lighting'!AK210&gt;0,'Proposed Lighting'!AK210*'Proposed Lighting'!EF210,0))</f>
        <v>0</v>
      </c>
      <c r="T513" s="647">
        <f t="shared" si="117"/>
        <v>0</v>
      </c>
      <c r="U513" s="648"/>
      <c r="V513" s="646">
        <f t="shared" si="107"/>
        <v>0</v>
      </c>
      <c r="W513" s="646">
        <f t="shared" si="108"/>
        <v>0</v>
      </c>
      <c r="X513" s="646">
        <f t="shared" si="109"/>
        <v>0</v>
      </c>
      <c r="Y513" s="646"/>
      <c r="Z513" s="646"/>
      <c r="AA513" s="646"/>
      <c r="AB513" s="646">
        <f t="shared" si="110"/>
        <v>0</v>
      </c>
      <c r="AC513" s="649" t="str">
        <f t="shared" si="111"/>
        <v/>
      </c>
      <c r="AD513" s="649" t="str">
        <f t="shared" si="112"/>
        <v/>
      </c>
      <c r="AE513" s="649" t="str">
        <f t="shared" si="113"/>
        <v/>
      </c>
      <c r="AF513" s="72"/>
      <c r="AG513" s="644">
        <f>IFERROR(IF($AV513="No",0,IF($AV513="yes",Summary!Q513,"")),"")</f>
        <v>0</v>
      </c>
      <c r="AH513" s="646">
        <f>IFERROR(IF($AV513="No",0,IF($AV513="yes",Summary!R513,"")),"")</f>
        <v>0</v>
      </c>
      <c r="AI513" s="646">
        <f>IFERROR(IF($AV513="No",0,IF($AV513="yes",Summary!S513,"")),"")</f>
        <v>0</v>
      </c>
      <c r="AJ513" s="647">
        <f>IFERROR(IF($AV513="No",0,IF($AV513="yes",Summary!T513,"")),"")</f>
        <v>0</v>
      </c>
      <c r="AK513" s="648">
        <f>IFERROR(IF($AV513="No",0,IF($AV513="yes",Summary!U513,"")),"")</f>
        <v>0</v>
      </c>
      <c r="AL513" s="646">
        <f>IFERROR(IF($AV513="No",0,IF($AV513="yes",Summary!V513,"")),"")</f>
        <v>0</v>
      </c>
      <c r="AM513" s="646">
        <f>IFERROR(IF($AV513="No",0,IF($AV513="yes",Summary!W513,"")),"")</f>
        <v>0</v>
      </c>
      <c r="AN513" s="646">
        <f>IFERROR(IF($AV513="No",0,IF($AV513="yes",Summary!X513,"")),"")</f>
        <v>0</v>
      </c>
      <c r="AO513" s="646">
        <f>IFERROR(IF($AV513="No",0,IF($AV513="yes",Summary!Y513+Z513,"")),"")</f>
        <v>0</v>
      </c>
      <c r="AP513" s="646">
        <f>IFERROR(IF($AV513="No",0,IF($AV513="yes",Summary!AB513,"")),"")</f>
        <v>0</v>
      </c>
      <c r="AQ513" s="649" t="str">
        <f t="shared" si="114"/>
        <v/>
      </c>
      <c r="AR513" s="649" t="str">
        <f t="shared" si="118"/>
        <v/>
      </c>
      <c r="AS513" s="649" t="str">
        <f t="shared" si="115"/>
        <v/>
      </c>
      <c r="AT513" s="641" t="s">
        <v>987</v>
      </c>
      <c r="AV513" t="str">
        <f>IF('Proposed Lighting'!AK210&gt;0,"No","Yes")</f>
        <v>Yes</v>
      </c>
    </row>
    <row r="514" spans="1:48" ht="34.5" customHeight="1" outlineLevel="1">
      <c r="A514" s="641" t="s">
        <v>988</v>
      </c>
      <c r="B514" s="641" t="str">
        <f>IF('Proposed Lighting'!AU211=3,"Commercial-All Com-ExtLight",IF('Proposed Lighting'!AH211&gt;8759,"IPC_8760","Commercial-All Com-IntLight"))</f>
        <v>IPC_8760</v>
      </c>
      <c r="C514" s="641" t="str">
        <f>IF(OR(E514="",E514=0),"No",
IF(AND('Data Entry'!$AF$23="OR",AE514&lt;1),"No",
IF(AND('Data Entry'!$AF$23="ID",E514="Non-standard lighting control system",AD514&lt;1),"No",
IF(AND('Data Entry'!$AF$23="OR",'Proposed Lighting'!F211="Existing LED (Provide Description)",'Proposed Lighting'!AK211=""),"No",
IF('Proposed Lighting'!DD211="Submit Control as Non-Standard","No",
IF(AND('Proposed Lighting'!T211="Non-Standard (Provide Description)",AD514&lt;1),"No",
IF('Proposed Lighting'!AW211&lt;'Proposed Lighting'!AZ211,"No","Yes")))))))</f>
        <v>No</v>
      </c>
      <c r="D514" s="1604">
        <f>'Proposed Lighting'!BQ211-Q514</f>
        <v>0</v>
      </c>
      <c r="E514" s="642" t="str">
        <f>IF('Proposed Lighting'!W211="","",'Proposed Lighting'!W211)</f>
        <v/>
      </c>
      <c r="F514" s="642"/>
      <c r="G514" s="641" t="s">
        <v>786</v>
      </c>
      <c r="H514" s="643">
        <v>10</v>
      </c>
      <c r="I514" s="644">
        <v>1</v>
      </c>
      <c r="J514" s="723">
        <f>IF('Proposed Lighting'!EF211=0,'Proposed Lighting'!AA211,'Proposed Lighting'!EF211)</f>
        <v>0</v>
      </c>
      <c r="K514" s="643" t="str">
        <f>'Proposed Lighting'!CU211</f>
        <v/>
      </c>
      <c r="L514" s="643" t="str">
        <f t="shared" si="116"/>
        <v/>
      </c>
      <c r="M514" s="645">
        <f t="shared" si="106"/>
        <v>0</v>
      </c>
      <c r="N514" s="645"/>
      <c r="O514" s="722">
        <f>IFERROR('Proposed Lighting'!AC211/1000,0)</f>
        <v>0</v>
      </c>
      <c r="P514" s="644">
        <f>'Proposed Lighting'!AV211</f>
        <v>0</v>
      </c>
      <c r="Q514" s="644">
        <f>IF(AND('Proposed Lighting'!T211="Lighting Controls Only",'Data Entry'!$AF$23="OR",'Proposed Lighting'!AU211=2),0,
IF(AND('Proposed Lighting'!T211="Lighting Controls Only",'Data Entry'!$AF$23="OR",'Proposed Lighting'!AU211=3,OR('Proposed Lighting'!W211="ceiling mount",'Proposed Lighting'!W211="wall switch",'Proposed Lighting'!W211="fixture mount (on exisiting equip)",'Proposed Lighting'!W211="daylight harvesting (on existing equip)")),0,
IF('Proposed Lighting'!AF211=1,IF(P514=0,0,J514*O514*(L514*(1-P514))),IF('Proposed Lighting'!AU211=1,0,'Proposed Lighting'!AX211-'Proposed Lighting'!AY211))))</f>
        <v>0</v>
      </c>
      <c r="R514" s="646">
        <f>IF('Proposed Lighting'!T211="Non-standard (provide description",0,
IF(AND(E514="Non-standard control",'Proposed Lighting'!AU211=2),Q514*0.1,
IF(AND(E514="Non-standard control",'Proposed Lighting'!AU211=3),Q514*0.08,
IF('Proposed Lighting'!EF211=0,0,IF('Proposed Lighting'!AU211=1,0,
IF(AND('Data Entry'!$AF$23="ID",'Proposed Lighting'!T211="Lighting controls only"),VLOOKUP(E514,'Proposed Lighting'!$DO$97:$DP$106,2,FALSE),
IF(AND('Data Entry'!$AF$23="OR",'Proposed Lighting'!AU211=3,'Proposed Lighting'!T211="Lighting controls only"),VLOOKUP(E514,'Proposed Lighting'!$DO$127:$DP$134,2,FALSE),0)))))))*J514</f>
        <v>0</v>
      </c>
      <c r="S514" s="646">
        <f>IF(Q514&lt;0.01,0,IF('Proposed Lighting'!AK211&gt;0,'Proposed Lighting'!AK211*'Proposed Lighting'!EF211,0))</f>
        <v>0</v>
      </c>
      <c r="T514" s="647">
        <f t="shared" si="117"/>
        <v>0</v>
      </c>
      <c r="U514" s="648"/>
      <c r="V514" s="646">
        <f t="shared" si="107"/>
        <v>0</v>
      </c>
      <c r="W514" s="646">
        <f t="shared" si="108"/>
        <v>0</v>
      </c>
      <c r="X514" s="646">
        <f t="shared" si="109"/>
        <v>0</v>
      </c>
      <c r="Y514" s="646"/>
      <c r="Z514" s="646"/>
      <c r="AA514" s="646"/>
      <c r="AB514" s="646">
        <f t="shared" si="110"/>
        <v>0</v>
      </c>
      <c r="AC514" s="649" t="str">
        <f t="shared" si="111"/>
        <v/>
      </c>
      <c r="AD514" s="649" t="str">
        <f t="shared" si="112"/>
        <v/>
      </c>
      <c r="AE514" s="649" t="str">
        <f t="shared" si="113"/>
        <v/>
      </c>
      <c r="AF514" s="72"/>
      <c r="AG514" s="644">
        <f>IFERROR(IF($AV514="No",0,IF($AV514="yes",Summary!Q514,"")),"")</f>
        <v>0</v>
      </c>
      <c r="AH514" s="646">
        <f>IFERROR(IF($AV514="No",0,IF($AV514="yes",Summary!R514,"")),"")</f>
        <v>0</v>
      </c>
      <c r="AI514" s="646">
        <f>IFERROR(IF($AV514="No",0,IF($AV514="yes",Summary!S514,"")),"")</f>
        <v>0</v>
      </c>
      <c r="AJ514" s="647">
        <f>IFERROR(IF($AV514="No",0,IF($AV514="yes",Summary!T514,"")),"")</f>
        <v>0</v>
      </c>
      <c r="AK514" s="648">
        <f>IFERROR(IF($AV514="No",0,IF($AV514="yes",Summary!U514,"")),"")</f>
        <v>0</v>
      </c>
      <c r="AL514" s="646">
        <f>IFERROR(IF($AV514="No",0,IF($AV514="yes",Summary!V514,"")),"")</f>
        <v>0</v>
      </c>
      <c r="AM514" s="646">
        <f>IFERROR(IF($AV514="No",0,IF($AV514="yes",Summary!W514,"")),"")</f>
        <v>0</v>
      </c>
      <c r="AN514" s="646">
        <f>IFERROR(IF($AV514="No",0,IF($AV514="yes",Summary!X514,"")),"")</f>
        <v>0</v>
      </c>
      <c r="AO514" s="646">
        <f>IFERROR(IF($AV514="No",0,IF($AV514="yes",Summary!Y514+Z514,"")),"")</f>
        <v>0</v>
      </c>
      <c r="AP514" s="646">
        <f>IFERROR(IF($AV514="No",0,IF($AV514="yes",Summary!AB514,"")),"")</f>
        <v>0</v>
      </c>
      <c r="AQ514" s="649" t="str">
        <f t="shared" si="114"/>
        <v/>
      </c>
      <c r="AR514" s="649" t="str">
        <f t="shared" si="118"/>
        <v/>
      </c>
      <c r="AS514" s="649" t="str">
        <f t="shared" si="115"/>
        <v/>
      </c>
      <c r="AT514" s="641" t="s">
        <v>988</v>
      </c>
      <c r="AV514" t="str">
        <f>IF('Proposed Lighting'!AK211&gt;0,"No","Yes")</f>
        <v>Yes</v>
      </c>
    </row>
    <row r="515" spans="1:48" ht="34.5" customHeight="1" outlineLevel="1">
      <c r="A515" s="641" t="s">
        <v>989</v>
      </c>
      <c r="B515" s="641" t="str">
        <f>IF('Proposed Lighting'!AU212=3,"Commercial-All Com-ExtLight",IF('Proposed Lighting'!AH212&gt;8759,"IPC_8760","Commercial-All Com-IntLight"))</f>
        <v>IPC_8760</v>
      </c>
      <c r="C515" s="641" t="str">
        <f>IF(OR(E515="",E515=0),"No",
IF(AND('Data Entry'!$AF$23="OR",AE515&lt;1),"No",
IF(AND('Data Entry'!$AF$23="ID",E515="Non-standard lighting control system",AD515&lt;1),"No",
IF(AND('Data Entry'!$AF$23="OR",'Proposed Lighting'!F212="Existing LED (Provide Description)",'Proposed Lighting'!AK212=""),"No",
IF('Proposed Lighting'!DD212="Submit Control as Non-Standard","No",
IF(AND('Proposed Lighting'!T212="Non-Standard (Provide Description)",AD515&lt;1),"No",
IF('Proposed Lighting'!AW212&lt;'Proposed Lighting'!AZ212,"No","Yes")))))))</f>
        <v>No</v>
      </c>
      <c r="D515" s="1604">
        <f>'Proposed Lighting'!BQ212-Q515</f>
        <v>0</v>
      </c>
      <c r="E515" s="642" t="str">
        <f>IF('Proposed Lighting'!W212="","",'Proposed Lighting'!W212)</f>
        <v/>
      </c>
      <c r="F515" s="642"/>
      <c r="G515" s="641" t="s">
        <v>786</v>
      </c>
      <c r="H515" s="643">
        <v>10</v>
      </c>
      <c r="I515" s="644">
        <v>1</v>
      </c>
      <c r="J515" s="723">
        <f>IF('Proposed Lighting'!EF212=0,'Proposed Lighting'!AA212,'Proposed Lighting'!EF212)</f>
        <v>0</v>
      </c>
      <c r="K515" s="643" t="str">
        <f>'Proposed Lighting'!CU212</f>
        <v/>
      </c>
      <c r="L515" s="643" t="str">
        <f t="shared" si="116"/>
        <v/>
      </c>
      <c r="M515" s="645">
        <f t="shared" si="106"/>
        <v>0</v>
      </c>
      <c r="N515" s="645"/>
      <c r="O515" s="722">
        <f>IFERROR('Proposed Lighting'!AC212/1000,0)</f>
        <v>0</v>
      </c>
      <c r="P515" s="644">
        <f>'Proposed Lighting'!AV212</f>
        <v>0</v>
      </c>
      <c r="Q515" s="644">
        <f>IF(AND('Proposed Lighting'!T212="Lighting Controls Only",'Data Entry'!$AF$23="OR",'Proposed Lighting'!AU212=2),0,
IF(AND('Proposed Lighting'!T212="Lighting Controls Only",'Data Entry'!$AF$23="OR",'Proposed Lighting'!AU212=3,OR('Proposed Lighting'!W212="ceiling mount",'Proposed Lighting'!W212="wall switch",'Proposed Lighting'!W212="fixture mount (on exisiting equip)",'Proposed Lighting'!W212="daylight harvesting (on existing equip)")),0,
IF('Proposed Lighting'!AF212=1,IF(P515=0,0,J515*O515*(L515*(1-P515))),IF('Proposed Lighting'!AU212=1,0,'Proposed Lighting'!AX212-'Proposed Lighting'!AY212))))</f>
        <v>0</v>
      </c>
      <c r="R515" s="646">
        <f>IF('Proposed Lighting'!T212="Non-standard (provide description",0,
IF(AND(E515="Non-standard control",'Proposed Lighting'!AU212=2),Q515*0.1,
IF(AND(E515="Non-standard control",'Proposed Lighting'!AU212=3),Q515*0.08,
IF('Proposed Lighting'!EF212=0,0,IF('Proposed Lighting'!AU212=1,0,
IF(AND('Data Entry'!$AF$23="ID",'Proposed Lighting'!T212="Lighting controls only"),VLOOKUP(E515,'Proposed Lighting'!$DO$97:$DP$106,2,FALSE),
IF(AND('Data Entry'!$AF$23="OR",'Proposed Lighting'!AU212=3,'Proposed Lighting'!T212="Lighting controls only"),VLOOKUP(E515,'Proposed Lighting'!$DO$127:$DP$134,2,FALSE),0)))))))*J515</f>
        <v>0</v>
      </c>
      <c r="S515" s="646">
        <f>IF(Q515&lt;0.01,0,IF('Proposed Lighting'!AK212&gt;0,'Proposed Lighting'!AK212*'Proposed Lighting'!EF212,0))</f>
        <v>0</v>
      </c>
      <c r="T515" s="647">
        <f t="shared" si="117"/>
        <v>0</v>
      </c>
      <c r="U515" s="648"/>
      <c r="V515" s="646">
        <f t="shared" si="107"/>
        <v>0</v>
      </c>
      <c r="W515" s="646">
        <f t="shared" si="108"/>
        <v>0</v>
      </c>
      <c r="X515" s="646">
        <f t="shared" si="109"/>
        <v>0</v>
      </c>
      <c r="Y515" s="646"/>
      <c r="Z515" s="646"/>
      <c r="AA515" s="646"/>
      <c r="AB515" s="646">
        <f t="shared" si="110"/>
        <v>0</v>
      </c>
      <c r="AC515" s="649" t="str">
        <f t="shared" si="111"/>
        <v/>
      </c>
      <c r="AD515" s="649" t="str">
        <f t="shared" si="112"/>
        <v/>
      </c>
      <c r="AE515" s="649" t="str">
        <f t="shared" si="113"/>
        <v/>
      </c>
      <c r="AF515" s="72"/>
      <c r="AG515" s="644">
        <f>IFERROR(IF($AV515="No",0,IF($AV515="yes",Summary!Q515,"")),"")</f>
        <v>0</v>
      </c>
      <c r="AH515" s="646">
        <f>IFERROR(IF($AV515="No",0,IF($AV515="yes",Summary!R515,"")),"")</f>
        <v>0</v>
      </c>
      <c r="AI515" s="646">
        <f>IFERROR(IF($AV515="No",0,IF($AV515="yes",Summary!S515,"")),"")</f>
        <v>0</v>
      </c>
      <c r="AJ515" s="647">
        <f>IFERROR(IF($AV515="No",0,IF($AV515="yes",Summary!T515,"")),"")</f>
        <v>0</v>
      </c>
      <c r="AK515" s="648">
        <f>IFERROR(IF($AV515="No",0,IF($AV515="yes",Summary!U515,"")),"")</f>
        <v>0</v>
      </c>
      <c r="AL515" s="646">
        <f>IFERROR(IF($AV515="No",0,IF($AV515="yes",Summary!V515,"")),"")</f>
        <v>0</v>
      </c>
      <c r="AM515" s="646">
        <f>IFERROR(IF($AV515="No",0,IF($AV515="yes",Summary!W515,"")),"")</f>
        <v>0</v>
      </c>
      <c r="AN515" s="646">
        <f>IFERROR(IF($AV515="No",0,IF($AV515="yes",Summary!X515,"")),"")</f>
        <v>0</v>
      </c>
      <c r="AO515" s="646">
        <f>IFERROR(IF($AV515="No",0,IF($AV515="yes",Summary!Y515+Z515,"")),"")</f>
        <v>0</v>
      </c>
      <c r="AP515" s="646">
        <f>IFERROR(IF($AV515="No",0,IF($AV515="yes",Summary!AB515,"")),"")</f>
        <v>0</v>
      </c>
      <c r="AQ515" s="649" t="str">
        <f t="shared" si="114"/>
        <v/>
      </c>
      <c r="AR515" s="649" t="str">
        <f t="shared" si="118"/>
        <v/>
      </c>
      <c r="AS515" s="649" t="str">
        <f t="shared" si="115"/>
        <v/>
      </c>
      <c r="AT515" s="641" t="s">
        <v>989</v>
      </c>
      <c r="AV515" t="str">
        <f>IF('Proposed Lighting'!AK212&gt;0,"No","Yes")</f>
        <v>Yes</v>
      </c>
    </row>
    <row r="516" spans="1:48" ht="34.5" customHeight="1" outlineLevel="1">
      <c r="A516" s="641" t="s">
        <v>990</v>
      </c>
      <c r="B516" s="641" t="str">
        <f>IF('Proposed Lighting'!AU213=3,"Commercial-All Com-ExtLight",IF('Proposed Lighting'!AH213&gt;8759,"IPC_8760","Commercial-All Com-IntLight"))</f>
        <v>IPC_8760</v>
      </c>
      <c r="C516" s="641" t="str">
        <f>IF(OR(E516="",E516=0),"No",
IF(AND('Data Entry'!$AF$23="OR",AE516&lt;1),"No",
IF(AND('Data Entry'!$AF$23="ID",E516="Non-standard lighting control system",AD516&lt;1),"No",
IF(AND('Data Entry'!$AF$23="OR",'Proposed Lighting'!F213="Existing LED (Provide Description)",'Proposed Lighting'!AK213=""),"No",
IF('Proposed Lighting'!DD213="Submit Control as Non-Standard","No",
IF(AND('Proposed Lighting'!T213="Non-Standard (Provide Description)",AD516&lt;1),"No",
IF('Proposed Lighting'!AW213&lt;'Proposed Lighting'!AZ213,"No","Yes")))))))</f>
        <v>No</v>
      </c>
      <c r="D516" s="1604">
        <f>'Proposed Lighting'!BQ213-Q516</f>
        <v>0</v>
      </c>
      <c r="E516" s="642" t="str">
        <f>IF('Proposed Lighting'!W213="","",'Proposed Lighting'!W213)</f>
        <v/>
      </c>
      <c r="F516" s="642"/>
      <c r="G516" s="641" t="s">
        <v>786</v>
      </c>
      <c r="H516" s="643">
        <v>10</v>
      </c>
      <c r="I516" s="644">
        <v>1</v>
      </c>
      <c r="J516" s="723">
        <f>IF('Proposed Lighting'!EF213=0,'Proposed Lighting'!AA213,'Proposed Lighting'!EF213)</f>
        <v>0</v>
      </c>
      <c r="K516" s="643" t="str">
        <f>'Proposed Lighting'!CU213</f>
        <v/>
      </c>
      <c r="L516" s="643" t="str">
        <f t="shared" si="116"/>
        <v/>
      </c>
      <c r="M516" s="645">
        <f t="shared" si="106"/>
        <v>0</v>
      </c>
      <c r="N516" s="645"/>
      <c r="O516" s="722">
        <f>IFERROR('Proposed Lighting'!AC213/1000,0)</f>
        <v>0</v>
      </c>
      <c r="P516" s="644">
        <f>'Proposed Lighting'!AV213</f>
        <v>0</v>
      </c>
      <c r="Q516" s="644">
        <f>IF(AND('Proposed Lighting'!T213="Lighting Controls Only",'Data Entry'!$AF$23="OR",'Proposed Lighting'!AU213=2),0,
IF(AND('Proposed Lighting'!T213="Lighting Controls Only",'Data Entry'!$AF$23="OR",'Proposed Lighting'!AU213=3,OR('Proposed Lighting'!W213="ceiling mount",'Proposed Lighting'!W213="wall switch",'Proposed Lighting'!W213="fixture mount (on exisiting equip)",'Proposed Lighting'!W213="daylight harvesting (on existing equip)")),0,
IF('Proposed Lighting'!AF213=1,IF(P516=0,0,J516*O516*(L516*(1-P516))),IF('Proposed Lighting'!AU213=1,0,'Proposed Lighting'!AX213-'Proposed Lighting'!AY213))))</f>
        <v>0</v>
      </c>
      <c r="R516" s="646">
        <f>IF('Proposed Lighting'!T213="Non-standard (provide description",0,
IF(AND(E516="Non-standard control",'Proposed Lighting'!AU213=2),Q516*0.1,
IF(AND(E516="Non-standard control",'Proposed Lighting'!AU213=3),Q516*0.08,
IF('Proposed Lighting'!EF213=0,0,IF('Proposed Lighting'!AU213=1,0,
IF(AND('Data Entry'!$AF$23="ID",'Proposed Lighting'!T213="Lighting controls only"),VLOOKUP(E516,'Proposed Lighting'!$DO$97:$DP$106,2,FALSE),
IF(AND('Data Entry'!$AF$23="OR",'Proposed Lighting'!AU213=3,'Proposed Lighting'!T213="Lighting controls only"),VLOOKUP(E516,'Proposed Lighting'!$DO$127:$DP$134,2,FALSE),0)))))))*J516</f>
        <v>0</v>
      </c>
      <c r="S516" s="646">
        <f>IF(Q516&lt;0.01,0,IF('Proposed Lighting'!AK213&gt;0,'Proposed Lighting'!AK213*'Proposed Lighting'!EF213,0))</f>
        <v>0</v>
      </c>
      <c r="T516" s="647">
        <f t="shared" si="117"/>
        <v>0</v>
      </c>
      <c r="U516" s="648"/>
      <c r="V516" s="646">
        <f t="shared" si="107"/>
        <v>0</v>
      </c>
      <c r="W516" s="646">
        <f t="shared" si="108"/>
        <v>0</v>
      </c>
      <c r="X516" s="646">
        <f t="shared" si="109"/>
        <v>0</v>
      </c>
      <c r="Y516" s="646"/>
      <c r="Z516" s="646"/>
      <c r="AA516" s="646"/>
      <c r="AB516" s="646">
        <f t="shared" si="110"/>
        <v>0</v>
      </c>
      <c r="AC516" s="649" t="str">
        <f t="shared" si="111"/>
        <v/>
      </c>
      <c r="AD516" s="649" t="str">
        <f t="shared" si="112"/>
        <v/>
      </c>
      <c r="AE516" s="649" t="str">
        <f t="shared" si="113"/>
        <v/>
      </c>
      <c r="AF516" s="72"/>
      <c r="AG516" s="644">
        <f>IFERROR(IF($AV516="No",0,IF($AV516="yes",Summary!Q516,"")),"")</f>
        <v>0</v>
      </c>
      <c r="AH516" s="646">
        <f>IFERROR(IF($AV516="No",0,IF($AV516="yes",Summary!R516,"")),"")</f>
        <v>0</v>
      </c>
      <c r="AI516" s="646">
        <f>IFERROR(IF($AV516="No",0,IF($AV516="yes",Summary!S516,"")),"")</f>
        <v>0</v>
      </c>
      <c r="AJ516" s="647">
        <f>IFERROR(IF($AV516="No",0,IF($AV516="yes",Summary!T516,"")),"")</f>
        <v>0</v>
      </c>
      <c r="AK516" s="648">
        <f>IFERROR(IF($AV516="No",0,IF($AV516="yes",Summary!U516,"")),"")</f>
        <v>0</v>
      </c>
      <c r="AL516" s="646">
        <f>IFERROR(IF($AV516="No",0,IF($AV516="yes",Summary!V516,"")),"")</f>
        <v>0</v>
      </c>
      <c r="AM516" s="646">
        <f>IFERROR(IF($AV516="No",0,IF($AV516="yes",Summary!W516,"")),"")</f>
        <v>0</v>
      </c>
      <c r="AN516" s="646">
        <f>IFERROR(IF($AV516="No",0,IF($AV516="yes",Summary!X516,"")),"")</f>
        <v>0</v>
      </c>
      <c r="AO516" s="646">
        <f>IFERROR(IF($AV516="No",0,IF($AV516="yes",Summary!Y516+Z516,"")),"")</f>
        <v>0</v>
      </c>
      <c r="AP516" s="646">
        <f>IFERROR(IF($AV516="No",0,IF($AV516="yes",Summary!AB516,"")),"")</f>
        <v>0</v>
      </c>
      <c r="AQ516" s="649" t="str">
        <f t="shared" si="114"/>
        <v/>
      </c>
      <c r="AR516" s="649" t="str">
        <f t="shared" si="118"/>
        <v/>
      </c>
      <c r="AS516" s="649" t="str">
        <f t="shared" si="115"/>
        <v/>
      </c>
      <c r="AT516" s="641" t="s">
        <v>990</v>
      </c>
      <c r="AV516" t="str">
        <f>IF('Proposed Lighting'!AK213&gt;0,"No","Yes")</f>
        <v>Yes</v>
      </c>
    </row>
    <row r="517" spans="1:48" ht="34.5" customHeight="1" outlineLevel="1">
      <c r="A517" s="641" t="s">
        <v>991</v>
      </c>
      <c r="B517" s="641" t="str">
        <f>IF('Proposed Lighting'!AU214=3,"Commercial-All Com-ExtLight",IF('Proposed Lighting'!AH214&gt;8759,"IPC_8760","Commercial-All Com-IntLight"))</f>
        <v>IPC_8760</v>
      </c>
      <c r="C517" s="641" t="str">
        <f>IF(OR(E517="",E517=0),"No",
IF(AND('Data Entry'!$AF$23="OR",AE517&lt;1),"No",
IF(AND('Data Entry'!$AF$23="ID",E517="Non-standard lighting control system",AD517&lt;1),"No",
IF(AND('Data Entry'!$AF$23="OR",'Proposed Lighting'!F214="Existing LED (Provide Description)",'Proposed Lighting'!AK214=""),"No",
IF('Proposed Lighting'!DD214="Submit Control as Non-Standard","No",
IF(AND('Proposed Lighting'!T214="Non-Standard (Provide Description)",AD517&lt;1),"No",
IF('Proposed Lighting'!AW214&lt;'Proposed Lighting'!AZ214,"No","Yes")))))))</f>
        <v>No</v>
      </c>
      <c r="D517" s="1604">
        <f>'Proposed Lighting'!BQ214-Q517</f>
        <v>0</v>
      </c>
      <c r="E517" s="642" t="str">
        <f>IF('Proposed Lighting'!W214="","",'Proposed Lighting'!W214)</f>
        <v/>
      </c>
      <c r="F517" s="642"/>
      <c r="G517" s="641" t="s">
        <v>786</v>
      </c>
      <c r="H517" s="643">
        <v>10</v>
      </c>
      <c r="I517" s="644">
        <v>1</v>
      </c>
      <c r="J517" s="723">
        <f>IF('Proposed Lighting'!EF214=0,'Proposed Lighting'!AA214,'Proposed Lighting'!EF214)</f>
        <v>0</v>
      </c>
      <c r="K517" s="643" t="str">
        <f>'Proposed Lighting'!CU214</f>
        <v/>
      </c>
      <c r="L517" s="643" t="str">
        <f t="shared" si="116"/>
        <v/>
      </c>
      <c r="M517" s="645">
        <f t="shared" si="106"/>
        <v>0</v>
      </c>
      <c r="N517" s="645"/>
      <c r="O517" s="722">
        <f>IFERROR('Proposed Lighting'!AC214/1000,0)</f>
        <v>0</v>
      </c>
      <c r="P517" s="644">
        <f>'Proposed Lighting'!AV214</f>
        <v>0</v>
      </c>
      <c r="Q517" s="644">
        <f>IF(AND('Proposed Lighting'!T214="Lighting Controls Only",'Data Entry'!$AF$23="OR",'Proposed Lighting'!AU214=2),0,
IF(AND('Proposed Lighting'!T214="Lighting Controls Only",'Data Entry'!$AF$23="OR",'Proposed Lighting'!AU214=3,OR('Proposed Lighting'!W214="ceiling mount",'Proposed Lighting'!W214="wall switch",'Proposed Lighting'!W214="fixture mount (on exisiting equip)",'Proposed Lighting'!W214="daylight harvesting (on existing equip)")),0,
IF('Proposed Lighting'!AF214=1,IF(P517=0,0,J517*O517*(L517*(1-P517))),IF('Proposed Lighting'!AU214=1,0,'Proposed Lighting'!AX214-'Proposed Lighting'!AY214))))</f>
        <v>0</v>
      </c>
      <c r="R517" s="646">
        <f>IF('Proposed Lighting'!T214="Non-standard (provide description",0,
IF(AND(E517="Non-standard control",'Proposed Lighting'!AU214=2),Q517*0.1,
IF(AND(E517="Non-standard control",'Proposed Lighting'!AU214=3),Q517*0.08,
IF('Proposed Lighting'!EF214=0,0,IF('Proposed Lighting'!AU214=1,0,
IF(AND('Data Entry'!$AF$23="ID",'Proposed Lighting'!T214="Lighting controls only"),VLOOKUP(E517,'Proposed Lighting'!$DO$97:$DP$106,2,FALSE),
IF(AND('Data Entry'!$AF$23="OR",'Proposed Lighting'!AU214=3,'Proposed Lighting'!T214="Lighting controls only"),VLOOKUP(E517,'Proposed Lighting'!$DO$127:$DP$134,2,FALSE),0)))))))*J517</f>
        <v>0</v>
      </c>
      <c r="S517" s="646">
        <f>IF(Q517&lt;0.01,0,IF('Proposed Lighting'!AK214&gt;0,'Proposed Lighting'!AK214*'Proposed Lighting'!EF214,0))</f>
        <v>0</v>
      </c>
      <c r="T517" s="647">
        <f t="shared" si="117"/>
        <v>0</v>
      </c>
      <c r="U517" s="648"/>
      <c r="V517" s="646">
        <f t="shared" si="107"/>
        <v>0</v>
      </c>
      <c r="W517" s="646">
        <f t="shared" si="108"/>
        <v>0</v>
      </c>
      <c r="X517" s="646">
        <f t="shared" si="109"/>
        <v>0</v>
      </c>
      <c r="Y517" s="646"/>
      <c r="Z517" s="646"/>
      <c r="AA517" s="646"/>
      <c r="AB517" s="646">
        <f t="shared" si="110"/>
        <v>0</v>
      </c>
      <c r="AC517" s="649" t="str">
        <f t="shared" si="111"/>
        <v/>
      </c>
      <c r="AD517" s="649" t="str">
        <f t="shared" si="112"/>
        <v/>
      </c>
      <c r="AE517" s="649" t="str">
        <f t="shared" si="113"/>
        <v/>
      </c>
      <c r="AF517" s="72"/>
      <c r="AG517" s="644">
        <f>IFERROR(IF($AV517="No",0,IF($AV517="yes",Summary!Q517,"")),"")</f>
        <v>0</v>
      </c>
      <c r="AH517" s="646">
        <f>IFERROR(IF($AV517="No",0,IF($AV517="yes",Summary!R517,"")),"")</f>
        <v>0</v>
      </c>
      <c r="AI517" s="646">
        <f>IFERROR(IF($AV517="No",0,IF($AV517="yes",Summary!S517,"")),"")</f>
        <v>0</v>
      </c>
      <c r="AJ517" s="647">
        <f>IFERROR(IF($AV517="No",0,IF($AV517="yes",Summary!T517,"")),"")</f>
        <v>0</v>
      </c>
      <c r="AK517" s="648">
        <f>IFERROR(IF($AV517="No",0,IF($AV517="yes",Summary!U517,"")),"")</f>
        <v>0</v>
      </c>
      <c r="AL517" s="646">
        <f>IFERROR(IF($AV517="No",0,IF($AV517="yes",Summary!V517,"")),"")</f>
        <v>0</v>
      </c>
      <c r="AM517" s="646">
        <f>IFERROR(IF($AV517="No",0,IF($AV517="yes",Summary!W517,"")),"")</f>
        <v>0</v>
      </c>
      <c r="AN517" s="646">
        <f>IFERROR(IF($AV517="No",0,IF($AV517="yes",Summary!X517,"")),"")</f>
        <v>0</v>
      </c>
      <c r="AO517" s="646">
        <f>IFERROR(IF($AV517="No",0,IF($AV517="yes",Summary!Y517+Z517,"")),"")</f>
        <v>0</v>
      </c>
      <c r="AP517" s="646">
        <f>IFERROR(IF($AV517="No",0,IF($AV517="yes",Summary!AB517,"")),"")</f>
        <v>0</v>
      </c>
      <c r="AQ517" s="649" t="str">
        <f t="shared" si="114"/>
        <v/>
      </c>
      <c r="AR517" s="649" t="str">
        <f t="shared" si="118"/>
        <v/>
      </c>
      <c r="AS517" s="649" t="str">
        <f t="shared" si="115"/>
        <v/>
      </c>
      <c r="AT517" s="641" t="s">
        <v>991</v>
      </c>
      <c r="AV517" t="str">
        <f>IF('Proposed Lighting'!AK214&gt;0,"No","Yes")</f>
        <v>Yes</v>
      </c>
    </row>
    <row r="518" spans="1:48" ht="34.5" customHeight="1" outlineLevel="1">
      <c r="A518" s="641" t="s">
        <v>992</v>
      </c>
      <c r="B518" s="641" t="str">
        <f>IF('Proposed Lighting'!AU215=3,"Commercial-All Com-ExtLight",IF('Proposed Lighting'!AH215&gt;8759,"IPC_8760","Commercial-All Com-IntLight"))</f>
        <v>IPC_8760</v>
      </c>
      <c r="C518" s="641" t="str">
        <f>IF(OR(E518="",E518=0),"No",
IF(AND('Data Entry'!$AF$23="OR",AE518&lt;1),"No",
IF(AND('Data Entry'!$AF$23="ID",E518="Non-standard lighting control system",AD518&lt;1),"No",
IF(AND('Data Entry'!$AF$23="OR",'Proposed Lighting'!F215="Existing LED (Provide Description)",'Proposed Lighting'!AK215=""),"No",
IF('Proposed Lighting'!DD215="Submit Control as Non-Standard","No",
IF(AND('Proposed Lighting'!T215="Non-Standard (Provide Description)",AD518&lt;1),"No",
IF('Proposed Lighting'!AW215&lt;'Proposed Lighting'!AZ215,"No","Yes")))))))</f>
        <v>No</v>
      </c>
      <c r="D518" s="1604">
        <f>'Proposed Lighting'!BQ215-Q518</f>
        <v>0</v>
      </c>
      <c r="E518" s="642" t="str">
        <f>IF('Proposed Lighting'!W215="","",'Proposed Lighting'!W215)</f>
        <v/>
      </c>
      <c r="F518" s="642"/>
      <c r="G518" s="641" t="s">
        <v>786</v>
      </c>
      <c r="H518" s="643">
        <v>10</v>
      </c>
      <c r="I518" s="644">
        <v>1</v>
      </c>
      <c r="J518" s="723">
        <f>IF('Proposed Lighting'!EF215=0,'Proposed Lighting'!AA215,'Proposed Lighting'!EF215)</f>
        <v>0</v>
      </c>
      <c r="K518" s="643" t="str">
        <f>'Proposed Lighting'!CU215</f>
        <v/>
      </c>
      <c r="L518" s="643" t="str">
        <f t="shared" si="116"/>
        <v/>
      </c>
      <c r="M518" s="645">
        <f t="shared" si="106"/>
        <v>0</v>
      </c>
      <c r="N518" s="645"/>
      <c r="O518" s="722">
        <f>IFERROR('Proposed Lighting'!AC215/1000,0)</f>
        <v>0</v>
      </c>
      <c r="P518" s="644">
        <f>'Proposed Lighting'!AV215</f>
        <v>0</v>
      </c>
      <c r="Q518" s="644">
        <f>IF(AND('Proposed Lighting'!T215="Lighting Controls Only",'Data Entry'!$AF$23="OR",'Proposed Lighting'!AU215=2),0,
IF(AND('Proposed Lighting'!T215="Lighting Controls Only",'Data Entry'!$AF$23="OR",'Proposed Lighting'!AU215=3,OR('Proposed Lighting'!W215="ceiling mount",'Proposed Lighting'!W215="wall switch",'Proposed Lighting'!W215="fixture mount (on exisiting equip)",'Proposed Lighting'!W215="daylight harvesting (on existing equip)")),0,
IF('Proposed Lighting'!AF215=1,IF(P518=0,0,J518*O518*(L518*(1-P518))),IF('Proposed Lighting'!AU215=1,0,'Proposed Lighting'!AX215-'Proposed Lighting'!AY215))))</f>
        <v>0</v>
      </c>
      <c r="R518" s="646">
        <f>IF('Proposed Lighting'!T215="Non-standard (provide description",0,
IF(AND(E518="Non-standard control",'Proposed Lighting'!AU215=2),Q518*0.1,
IF(AND(E518="Non-standard control",'Proposed Lighting'!AU215=3),Q518*0.08,
IF('Proposed Lighting'!EF215=0,0,IF('Proposed Lighting'!AU215=1,0,
IF(AND('Data Entry'!$AF$23="ID",'Proposed Lighting'!T215="Lighting controls only"),VLOOKUP(E518,'Proposed Lighting'!$DO$97:$DP$106,2,FALSE),
IF(AND('Data Entry'!$AF$23="OR",'Proposed Lighting'!AU215=3,'Proposed Lighting'!T215="Lighting controls only"),VLOOKUP(E518,'Proposed Lighting'!$DO$127:$DP$134,2,FALSE),0)))))))*J518</f>
        <v>0</v>
      </c>
      <c r="S518" s="646">
        <f>IF(Q518&lt;0.01,0,IF('Proposed Lighting'!AK215&gt;0,'Proposed Lighting'!AK215*'Proposed Lighting'!EF215,0))</f>
        <v>0</v>
      </c>
      <c r="T518" s="647">
        <f t="shared" si="117"/>
        <v>0</v>
      </c>
      <c r="U518" s="648"/>
      <c r="V518" s="646">
        <f t="shared" si="107"/>
        <v>0</v>
      </c>
      <c r="W518" s="646">
        <f t="shared" si="108"/>
        <v>0</v>
      </c>
      <c r="X518" s="646">
        <f t="shared" si="109"/>
        <v>0</v>
      </c>
      <c r="Y518" s="646"/>
      <c r="Z518" s="646"/>
      <c r="AA518" s="646"/>
      <c r="AB518" s="646">
        <f t="shared" si="110"/>
        <v>0</v>
      </c>
      <c r="AC518" s="649" t="str">
        <f t="shared" si="111"/>
        <v/>
      </c>
      <c r="AD518" s="649" t="str">
        <f t="shared" si="112"/>
        <v/>
      </c>
      <c r="AE518" s="649" t="str">
        <f t="shared" si="113"/>
        <v/>
      </c>
      <c r="AF518" s="72"/>
      <c r="AG518" s="644">
        <f>IFERROR(IF($AV518="No",0,IF($AV518="yes",Summary!Q518,"")),"")</f>
        <v>0</v>
      </c>
      <c r="AH518" s="646">
        <f>IFERROR(IF($AV518="No",0,IF($AV518="yes",Summary!R518,"")),"")</f>
        <v>0</v>
      </c>
      <c r="AI518" s="646">
        <f>IFERROR(IF($AV518="No",0,IF($AV518="yes",Summary!S518,"")),"")</f>
        <v>0</v>
      </c>
      <c r="AJ518" s="647">
        <f>IFERROR(IF($AV518="No",0,IF($AV518="yes",Summary!T518,"")),"")</f>
        <v>0</v>
      </c>
      <c r="AK518" s="648">
        <f>IFERROR(IF($AV518="No",0,IF($AV518="yes",Summary!U518,"")),"")</f>
        <v>0</v>
      </c>
      <c r="AL518" s="646">
        <f>IFERROR(IF($AV518="No",0,IF($AV518="yes",Summary!V518,"")),"")</f>
        <v>0</v>
      </c>
      <c r="AM518" s="646">
        <f>IFERROR(IF($AV518="No",0,IF($AV518="yes",Summary!W518,"")),"")</f>
        <v>0</v>
      </c>
      <c r="AN518" s="646">
        <f>IFERROR(IF($AV518="No",0,IF($AV518="yes",Summary!X518,"")),"")</f>
        <v>0</v>
      </c>
      <c r="AO518" s="646">
        <f>IFERROR(IF($AV518="No",0,IF($AV518="yes",Summary!Y518+Z518,"")),"")</f>
        <v>0</v>
      </c>
      <c r="AP518" s="646">
        <f>IFERROR(IF($AV518="No",0,IF($AV518="yes",Summary!AB518,"")),"")</f>
        <v>0</v>
      </c>
      <c r="AQ518" s="649" t="str">
        <f t="shared" si="114"/>
        <v/>
      </c>
      <c r="AR518" s="649" t="str">
        <f t="shared" si="118"/>
        <v/>
      </c>
      <c r="AS518" s="649" t="str">
        <f t="shared" si="115"/>
        <v/>
      </c>
      <c r="AT518" s="641" t="s">
        <v>992</v>
      </c>
      <c r="AV518" t="str">
        <f>IF('Proposed Lighting'!AK215&gt;0,"No","Yes")</f>
        <v>Yes</v>
      </c>
    </row>
    <row r="519" spans="1:48" ht="34.5" customHeight="1" outlineLevel="1">
      <c r="A519" s="641" t="s">
        <v>993</v>
      </c>
      <c r="B519" s="641" t="str">
        <f>IF('Proposed Lighting'!AU216=3,"Commercial-All Com-ExtLight",IF('Proposed Lighting'!AH216&gt;8759,"IPC_8760","Commercial-All Com-IntLight"))</f>
        <v>IPC_8760</v>
      </c>
      <c r="C519" s="641" t="str">
        <f>IF(OR(E519="",E519=0),"No",
IF(AND('Data Entry'!$AF$23="OR",AE519&lt;1),"No",
IF(AND('Data Entry'!$AF$23="ID",E519="Non-standard lighting control system",AD519&lt;1),"No",
IF(AND('Data Entry'!$AF$23="OR",'Proposed Lighting'!F216="Existing LED (Provide Description)",'Proposed Lighting'!AK216=""),"No",
IF('Proposed Lighting'!DD216="Submit Control as Non-Standard","No",
IF(AND('Proposed Lighting'!T216="Non-Standard (Provide Description)",AD519&lt;1),"No",
IF('Proposed Lighting'!AW216&lt;'Proposed Lighting'!AZ216,"No","Yes")))))))</f>
        <v>No</v>
      </c>
      <c r="D519" s="1604">
        <f>'Proposed Lighting'!BQ216-Q519</f>
        <v>0</v>
      </c>
      <c r="E519" s="642" t="str">
        <f>IF('Proposed Lighting'!W216="","",'Proposed Lighting'!W216)</f>
        <v/>
      </c>
      <c r="F519" s="642"/>
      <c r="G519" s="641" t="s">
        <v>786</v>
      </c>
      <c r="H519" s="643">
        <v>10</v>
      </c>
      <c r="I519" s="644">
        <v>1</v>
      </c>
      <c r="J519" s="723">
        <f>IF('Proposed Lighting'!EF216=0,'Proposed Lighting'!AA216,'Proposed Lighting'!EF216)</f>
        <v>0</v>
      </c>
      <c r="K519" s="643" t="str">
        <f>'Proposed Lighting'!CU216</f>
        <v/>
      </c>
      <c r="L519" s="643" t="str">
        <f t="shared" si="116"/>
        <v/>
      </c>
      <c r="M519" s="645">
        <f t="shared" si="106"/>
        <v>0</v>
      </c>
      <c r="N519" s="645"/>
      <c r="O519" s="722">
        <f>IFERROR('Proposed Lighting'!AC216/1000,0)</f>
        <v>0</v>
      </c>
      <c r="P519" s="644">
        <f>'Proposed Lighting'!AV216</f>
        <v>0</v>
      </c>
      <c r="Q519" s="644">
        <f>IF(AND('Proposed Lighting'!T216="Lighting Controls Only",'Data Entry'!$AF$23="OR",'Proposed Lighting'!AU216=2),0,
IF(AND('Proposed Lighting'!T216="Lighting Controls Only",'Data Entry'!$AF$23="OR",'Proposed Lighting'!AU216=3,OR('Proposed Lighting'!W216="ceiling mount",'Proposed Lighting'!W216="wall switch",'Proposed Lighting'!W216="fixture mount (on exisiting equip)",'Proposed Lighting'!W216="daylight harvesting (on existing equip)")),0,
IF('Proposed Lighting'!AF216=1,IF(P519=0,0,J519*O519*(L519*(1-P519))),IF('Proposed Lighting'!AU216=1,0,'Proposed Lighting'!AX216-'Proposed Lighting'!AY216))))</f>
        <v>0</v>
      </c>
      <c r="R519" s="646">
        <f>IF('Proposed Lighting'!T216="Non-standard (provide description",0,
IF(AND(E519="Non-standard control",'Proposed Lighting'!AU216=2),Q519*0.1,
IF(AND(E519="Non-standard control",'Proposed Lighting'!AU216=3),Q519*0.08,
IF('Proposed Lighting'!EF216=0,0,IF('Proposed Lighting'!AU216=1,0,
IF(AND('Data Entry'!$AF$23="ID",'Proposed Lighting'!T216="Lighting controls only"),VLOOKUP(E519,'Proposed Lighting'!$DO$97:$DP$106,2,FALSE),
IF(AND('Data Entry'!$AF$23="OR",'Proposed Lighting'!AU216=3,'Proposed Lighting'!T216="Lighting controls only"),VLOOKUP(E519,'Proposed Lighting'!$DO$127:$DP$134,2,FALSE),0)))))))*J519</f>
        <v>0</v>
      </c>
      <c r="S519" s="646">
        <f>IF(Q519&lt;0.01,0,IF('Proposed Lighting'!AK216&gt;0,'Proposed Lighting'!AK216*'Proposed Lighting'!EF216,0))</f>
        <v>0</v>
      </c>
      <c r="T519" s="647">
        <f t="shared" si="117"/>
        <v>0</v>
      </c>
      <c r="U519" s="648"/>
      <c r="V519" s="646">
        <f t="shared" si="107"/>
        <v>0</v>
      </c>
      <c r="W519" s="646">
        <f t="shared" si="108"/>
        <v>0</v>
      </c>
      <c r="X519" s="646">
        <f t="shared" si="109"/>
        <v>0</v>
      </c>
      <c r="Y519" s="646"/>
      <c r="Z519" s="646"/>
      <c r="AA519" s="646"/>
      <c r="AB519" s="646">
        <f t="shared" si="110"/>
        <v>0</v>
      </c>
      <c r="AC519" s="649" t="str">
        <f t="shared" si="111"/>
        <v/>
      </c>
      <c r="AD519" s="649" t="str">
        <f t="shared" si="112"/>
        <v/>
      </c>
      <c r="AE519" s="649" t="str">
        <f t="shared" si="113"/>
        <v/>
      </c>
      <c r="AF519" s="72"/>
      <c r="AG519" s="644">
        <f>IFERROR(IF($AV519="No",0,IF($AV519="yes",Summary!Q519,"")),"")</f>
        <v>0</v>
      </c>
      <c r="AH519" s="646">
        <f>IFERROR(IF($AV519="No",0,IF($AV519="yes",Summary!R519,"")),"")</f>
        <v>0</v>
      </c>
      <c r="AI519" s="646">
        <f>IFERROR(IF($AV519="No",0,IF($AV519="yes",Summary!S519,"")),"")</f>
        <v>0</v>
      </c>
      <c r="AJ519" s="647">
        <f>IFERROR(IF($AV519="No",0,IF($AV519="yes",Summary!T519,"")),"")</f>
        <v>0</v>
      </c>
      <c r="AK519" s="648">
        <f>IFERROR(IF($AV519="No",0,IF($AV519="yes",Summary!U519,"")),"")</f>
        <v>0</v>
      </c>
      <c r="AL519" s="646">
        <f>IFERROR(IF($AV519="No",0,IF($AV519="yes",Summary!V519,"")),"")</f>
        <v>0</v>
      </c>
      <c r="AM519" s="646">
        <f>IFERROR(IF($AV519="No",0,IF($AV519="yes",Summary!W519,"")),"")</f>
        <v>0</v>
      </c>
      <c r="AN519" s="646">
        <f>IFERROR(IF($AV519="No",0,IF($AV519="yes",Summary!X519,"")),"")</f>
        <v>0</v>
      </c>
      <c r="AO519" s="646">
        <f>IFERROR(IF($AV519="No",0,IF($AV519="yes",Summary!Y519+Z519,"")),"")</f>
        <v>0</v>
      </c>
      <c r="AP519" s="646">
        <f>IFERROR(IF($AV519="No",0,IF($AV519="yes",Summary!AB519,"")),"")</f>
        <v>0</v>
      </c>
      <c r="AQ519" s="649" t="str">
        <f t="shared" si="114"/>
        <v/>
      </c>
      <c r="AR519" s="649" t="str">
        <f t="shared" si="118"/>
        <v/>
      </c>
      <c r="AS519" s="649" t="str">
        <f t="shared" si="115"/>
        <v/>
      </c>
      <c r="AT519" s="641" t="s">
        <v>993</v>
      </c>
      <c r="AV519" t="str">
        <f>IF('Proposed Lighting'!AK216&gt;0,"No","Yes")</f>
        <v>Yes</v>
      </c>
    </row>
    <row r="520" spans="1:48" ht="34.5" customHeight="1" outlineLevel="1">
      <c r="A520" s="641" t="s">
        <v>994</v>
      </c>
      <c r="B520" s="641" t="str">
        <f>IF('Proposed Lighting'!AU217=3,"Commercial-All Com-ExtLight",IF('Proposed Lighting'!AH217&gt;8759,"IPC_8760","Commercial-All Com-IntLight"))</f>
        <v>IPC_8760</v>
      </c>
      <c r="C520" s="641" t="str">
        <f>IF(OR(E520="",E520=0),"No",
IF(AND('Data Entry'!$AF$23="OR",AE520&lt;1),"No",
IF(AND('Data Entry'!$AF$23="ID",E520="Non-standard lighting control system",AD520&lt;1),"No",
IF(AND('Data Entry'!$AF$23="OR",'Proposed Lighting'!F217="Existing LED (Provide Description)",'Proposed Lighting'!AK217=""),"No",
IF('Proposed Lighting'!DD217="Submit Control as Non-Standard","No",
IF(AND('Proposed Lighting'!T217="Non-Standard (Provide Description)",AD520&lt;1),"No",
IF('Proposed Lighting'!AW217&lt;'Proposed Lighting'!AZ217,"No","Yes")))))))</f>
        <v>No</v>
      </c>
      <c r="D520" s="1604">
        <f>'Proposed Lighting'!BQ217-Q520</f>
        <v>0</v>
      </c>
      <c r="E520" s="642" t="str">
        <f>IF('Proposed Lighting'!W217="","",'Proposed Lighting'!W217)</f>
        <v/>
      </c>
      <c r="F520" s="642"/>
      <c r="G520" s="641" t="s">
        <v>786</v>
      </c>
      <c r="H520" s="643">
        <v>10</v>
      </c>
      <c r="I520" s="644">
        <v>1</v>
      </c>
      <c r="J520" s="723">
        <f>IF('Proposed Lighting'!EF217=0,'Proposed Lighting'!AA217,'Proposed Lighting'!EF217)</f>
        <v>0</v>
      </c>
      <c r="K520" s="643" t="str">
        <f>'Proposed Lighting'!CU217</f>
        <v/>
      </c>
      <c r="L520" s="643" t="str">
        <f t="shared" si="116"/>
        <v/>
      </c>
      <c r="M520" s="645">
        <f t="shared" si="106"/>
        <v>0</v>
      </c>
      <c r="N520" s="645"/>
      <c r="O520" s="722">
        <f>IFERROR('Proposed Lighting'!AC217/1000,0)</f>
        <v>0</v>
      </c>
      <c r="P520" s="644">
        <f>'Proposed Lighting'!AV217</f>
        <v>0</v>
      </c>
      <c r="Q520" s="644">
        <f>IF(AND('Proposed Lighting'!T217="Lighting Controls Only",'Data Entry'!$AF$23="OR",'Proposed Lighting'!AU217=2),0,
IF(AND('Proposed Lighting'!T217="Lighting Controls Only",'Data Entry'!$AF$23="OR",'Proposed Lighting'!AU217=3,OR('Proposed Lighting'!W217="ceiling mount",'Proposed Lighting'!W217="wall switch",'Proposed Lighting'!W217="fixture mount (on exisiting equip)",'Proposed Lighting'!W217="daylight harvesting (on existing equip)")),0,
IF('Proposed Lighting'!AF217=1,IF(P520=0,0,J520*O520*(L520*(1-P520))),IF('Proposed Lighting'!AU217=1,0,'Proposed Lighting'!AX217-'Proposed Lighting'!AY217))))</f>
        <v>0</v>
      </c>
      <c r="R520" s="646">
        <f>IF('Proposed Lighting'!T217="Non-standard (provide description",0,
IF(AND(E520="Non-standard control",'Proposed Lighting'!AU217=2),Q520*0.1,
IF(AND(E520="Non-standard control",'Proposed Lighting'!AU217=3),Q520*0.08,
IF('Proposed Lighting'!EF217=0,0,IF('Proposed Lighting'!AU217=1,0,
IF(AND('Data Entry'!$AF$23="ID",'Proposed Lighting'!T217="Lighting controls only"),VLOOKUP(E520,'Proposed Lighting'!$DO$97:$DP$106,2,FALSE),
IF(AND('Data Entry'!$AF$23="OR",'Proposed Lighting'!AU217=3,'Proposed Lighting'!T217="Lighting controls only"),VLOOKUP(E520,'Proposed Lighting'!$DO$127:$DP$134,2,FALSE),0)))))))*J520</f>
        <v>0</v>
      </c>
      <c r="S520" s="646">
        <f>IF(Q520&lt;0.01,0,IF('Proposed Lighting'!AK217&gt;0,'Proposed Lighting'!AK217*'Proposed Lighting'!EF217,0))</f>
        <v>0</v>
      </c>
      <c r="T520" s="647">
        <f t="shared" si="117"/>
        <v>0</v>
      </c>
      <c r="U520" s="648"/>
      <c r="V520" s="646">
        <f t="shared" si="107"/>
        <v>0</v>
      </c>
      <c r="W520" s="646">
        <f t="shared" si="108"/>
        <v>0</v>
      </c>
      <c r="X520" s="646">
        <f t="shared" si="109"/>
        <v>0</v>
      </c>
      <c r="Y520" s="646"/>
      <c r="Z520" s="646"/>
      <c r="AA520" s="646"/>
      <c r="AB520" s="646">
        <f t="shared" si="110"/>
        <v>0</v>
      </c>
      <c r="AC520" s="649" t="str">
        <f t="shared" si="111"/>
        <v/>
      </c>
      <c r="AD520" s="649" t="str">
        <f t="shared" si="112"/>
        <v/>
      </c>
      <c r="AE520" s="649" t="str">
        <f t="shared" si="113"/>
        <v/>
      </c>
      <c r="AF520" s="72"/>
      <c r="AG520" s="644">
        <f>IFERROR(IF($AV520="No",0,IF($AV520="yes",Summary!Q520,"")),"")</f>
        <v>0</v>
      </c>
      <c r="AH520" s="646">
        <f>IFERROR(IF($AV520="No",0,IF($AV520="yes",Summary!R520,"")),"")</f>
        <v>0</v>
      </c>
      <c r="AI520" s="646">
        <f>IFERROR(IF($AV520="No",0,IF($AV520="yes",Summary!S520,"")),"")</f>
        <v>0</v>
      </c>
      <c r="AJ520" s="647">
        <f>IFERROR(IF($AV520="No",0,IF($AV520="yes",Summary!T520,"")),"")</f>
        <v>0</v>
      </c>
      <c r="AK520" s="648">
        <f>IFERROR(IF($AV520="No",0,IF($AV520="yes",Summary!U520,"")),"")</f>
        <v>0</v>
      </c>
      <c r="AL520" s="646">
        <f>IFERROR(IF($AV520="No",0,IF($AV520="yes",Summary!V520,"")),"")</f>
        <v>0</v>
      </c>
      <c r="AM520" s="646">
        <f>IFERROR(IF($AV520="No",0,IF($AV520="yes",Summary!W520,"")),"")</f>
        <v>0</v>
      </c>
      <c r="AN520" s="646">
        <f>IFERROR(IF($AV520="No",0,IF($AV520="yes",Summary!X520,"")),"")</f>
        <v>0</v>
      </c>
      <c r="AO520" s="646">
        <f>IFERROR(IF($AV520="No",0,IF($AV520="yes",Summary!Y520+Z520,"")),"")</f>
        <v>0</v>
      </c>
      <c r="AP520" s="646">
        <f>IFERROR(IF($AV520="No",0,IF($AV520="yes",Summary!AB520,"")),"")</f>
        <v>0</v>
      </c>
      <c r="AQ520" s="649" t="str">
        <f t="shared" si="114"/>
        <v/>
      </c>
      <c r="AR520" s="649" t="str">
        <f t="shared" si="118"/>
        <v/>
      </c>
      <c r="AS520" s="649" t="str">
        <f t="shared" si="115"/>
        <v/>
      </c>
      <c r="AT520" s="641" t="s">
        <v>994</v>
      </c>
      <c r="AV520" t="str">
        <f>IF('Proposed Lighting'!AK217&gt;0,"No","Yes")</f>
        <v>Yes</v>
      </c>
    </row>
    <row r="521" spans="1:48" ht="34.5" customHeight="1" outlineLevel="1">
      <c r="A521" s="641" t="s">
        <v>995</v>
      </c>
      <c r="B521" s="641" t="str">
        <f>IF('Proposed Lighting'!AU218=3,"Commercial-All Com-ExtLight",IF('Proposed Lighting'!AH218&gt;8759,"IPC_8760","Commercial-All Com-IntLight"))</f>
        <v>IPC_8760</v>
      </c>
      <c r="C521" s="641" t="str">
        <f>IF(OR(E521="",E521=0),"No",
IF(AND('Data Entry'!$AF$23="OR",AE521&lt;1),"No",
IF(AND('Data Entry'!$AF$23="ID",E521="Non-standard lighting control system",AD521&lt;1),"No",
IF(AND('Data Entry'!$AF$23="OR",'Proposed Lighting'!F218="Existing LED (Provide Description)",'Proposed Lighting'!AK218=""),"No",
IF('Proposed Lighting'!DD218="Submit Control as Non-Standard","No",
IF(AND('Proposed Lighting'!T218="Non-Standard (Provide Description)",AD521&lt;1),"No",
IF('Proposed Lighting'!AW218&lt;'Proposed Lighting'!AZ218,"No","Yes")))))))</f>
        <v>No</v>
      </c>
      <c r="D521" s="1604">
        <f>'Proposed Lighting'!BQ218-Q521</f>
        <v>0</v>
      </c>
      <c r="E521" s="642" t="str">
        <f>IF('Proposed Lighting'!W218="","",'Proposed Lighting'!W218)</f>
        <v/>
      </c>
      <c r="F521" s="642"/>
      <c r="G521" s="641" t="s">
        <v>786</v>
      </c>
      <c r="H521" s="643">
        <v>10</v>
      </c>
      <c r="I521" s="644">
        <v>1</v>
      </c>
      <c r="J521" s="723">
        <f>IF('Proposed Lighting'!EF218=0,'Proposed Lighting'!AA218,'Proposed Lighting'!EF218)</f>
        <v>0</v>
      </c>
      <c r="K521" s="643" t="str">
        <f>'Proposed Lighting'!CU218</f>
        <v/>
      </c>
      <c r="L521" s="643" t="str">
        <f t="shared" si="116"/>
        <v/>
      </c>
      <c r="M521" s="645">
        <f t="shared" si="106"/>
        <v>0</v>
      </c>
      <c r="N521" s="645"/>
      <c r="O521" s="722">
        <f>IFERROR('Proposed Lighting'!AC218/1000,0)</f>
        <v>0</v>
      </c>
      <c r="P521" s="644">
        <f>'Proposed Lighting'!AV218</f>
        <v>0</v>
      </c>
      <c r="Q521" s="644">
        <f>IF(AND('Proposed Lighting'!T218="Lighting Controls Only",'Data Entry'!$AF$23="OR",'Proposed Lighting'!AU218=2),0,
IF(AND('Proposed Lighting'!T218="Lighting Controls Only",'Data Entry'!$AF$23="OR",'Proposed Lighting'!AU218=3,OR('Proposed Lighting'!W218="ceiling mount",'Proposed Lighting'!W218="wall switch",'Proposed Lighting'!W218="fixture mount (on exisiting equip)",'Proposed Lighting'!W218="daylight harvesting (on existing equip)")),0,
IF('Proposed Lighting'!AF218=1,IF(P521=0,0,J521*O521*(L521*(1-P521))),IF('Proposed Lighting'!AU218=1,0,'Proposed Lighting'!AX218-'Proposed Lighting'!AY218))))</f>
        <v>0</v>
      </c>
      <c r="R521" s="646">
        <f>IF('Proposed Lighting'!T218="Non-standard (provide description",0,
IF(AND(E521="Non-standard control",'Proposed Lighting'!AU218=2),Q521*0.1,
IF(AND(E521="Non-standard control",'Proposed Lighting'!AU218=3),Q521*0.08,
IF('Proposed Lighting'!EF218=0,0,IF('Proposed Lighting'!AU218=1,0,
IF(AND('Data Entry'!$AF$23="ID",'Proposed Lighting'!T218="Lighting controls only"),VLOOKUP(E521,'Proposed Lighting'!$DO$97:$DP$106,2,FALSE),
IF(AND('Data Entry'!$AF$23="OR",'Proposed Lighting'!AU218=3,'Proposed Lighting'!T218="Lighting controls only"),VLOOKUP(E521,'Proposed Lighting'!$DO$127:$DP$134,2,FALSE),0)))))))*J521</f>
        <v>0</v>
      </c>
      <c r="S521" s="646">
        <f>IF(Q521&lt;0.01,0,IF('Proposed Lighting'!AK218&gt;0,'Proposed Lighting'!AK218*'Proposed Lighting'!EF218,0))</f>
        <v>0</v>
      </c>
      <c r="T521" s="647">
        <f t="shared" si="117"/>
        <v>0</v>
      </c>
      <c r="U521" s="648"/>
      <c r="V521" s="646">
        <f t="shared" si="107"/>
        <v>0</v>
      </c>
      <c r="W521" s="646">
        <f t="shared" si="108"/>
        <v>0</v>
      </c>
      <c r="X521" s="646">
        <f t="shared" si="109"/>
        <v>0</v>
      </c>
      <c r="Y521" s="646"/>
      <c r="Z521" s="646"/>
      <c r="AA521" s="646"/>
      <c r="AB521" s="646">
        <f t="shared" si="110"/>
        <v>0</v>
      </c>
      <c r="AC521" s="649" t="str">
        <f t="shared" si="111"/>
        <v/>
      </c>
      <c r="AD521" s="649" t="str">
        <f t="shared" si="112"/>
        <v/>
      </c>
      <c r="AE521" s="649" t="str">
        <f t="shared" si="113"/>
        <v/>
      </c>
      <c r="AF521" s="72"/>
      <c r="AG521" s="644">
        <f>IFERROR(IF($AV521="No",0,IF($AV521="yes",Summary!Q521,"")),"")</f>
        <v>0</v>
      </c>
      <c r="AH521" s="646">
        <f>IFERROR(IF($AV521="No",0,IF($AV521="yes",Summary!R521,"")),"")</f>
        <v>0</v>
      </c>
      <c r="AI521" s="646">
        <f>IFERROR(IF($AV521="No",0,IF($AV521="yes",Summary!S521,"")),"")</f>
        <v>0</v>
      </c>
      <c r="AJ521" s="647">
        <f>IFERROR(IF($AV521="No",0,IF($AV521="yes",Summary!T521,"")),"")</f>
        <v>0</v>
      </c>
      <c r="AK521" s="648">
        <f>IFERROR(IF($AV521="No",0,IF($AV521="yes",Summary!U521,"")),"")</f>
        <v>0</v>
      </c>
      <c r="AL521" s="646">
        <f>IFERROR(IF($AV521="No",0,IF($AV521="yes",Summary!V521,"")),"")</f>
        <v>0</v>
      </c>
      <c r="AM521" s="646">
        <f>IFERROR(IF($AV521="No",0,IF($AV521="yes",Summary!W521,"")),"")</f>
        <v>0</v>
      </c>
      <c r="AN521" s="646">
        <f>IFERROR(IF($AV521="No",0,IF($AV521="yes",Summary!X521,"")),"")</f>
        <v>0</v>
      </c>
      <c r="AO521" s="646">
        <f>IFERROR(IF($AV521="No",0,IF($AV521="yes",Summary!Y521+Z521,"")),"")</f>
        <v>0</v>
      </c>
      <c r="AP521" s="646">
        <f>IFERROR(IF($AV521="No",0,IF($AV521="yes",Summary!AB521,"")),"")</f>
        <v>0</v>
      </c>
      <c r="AQ521" s="649" t="str">
        <f t="shared" si="114"/>
        <v/>
      </c>
      <c r="AR521" s="649" t="str">
        <f t="shared" si="118"/>
        <v/>
      </c>
      <c r="AS521" s="649" t="str">
        <f t="shared" si="115"/>
        <v/>
      </c>
      <c r="AT521" s="641" t="s">
        <v>995</v>
      </c>
      <c r="AV521" t="str">
        <f>IF('Proposed Lighting'!AK218&gt;0,"No","Yes")</f>
        <v>Yes</v>
      </c>
    </row>
    <row r="522" spans="1:48" ht="34.5" customHeight="1" outlineLevel="1">
      <c r="A522" s="641" t="s">
        <v>996</v>
      </c>
      <c r="B522" s="641" t="str">
        <f>IF('Proposed Lighting'!AU219=3,"Commercial-All Com-ExtLight",IF('Proposed Lighting'!AH219&gt;8759,"IPC_8760","Commercial-All Com-IntLight"))</f>
        <v>IPC_8760</v>
      </c>
      <c r="C522" s="641" t="str">
        <f>IF(OR(E522="",E522=0),"No",
IF(AND('Data Entry'!$AF$23="OR",AE522&lt;1),"No",
IF(AND('Data Entry'!$AF$23="ID",E522="Non-standard lighting control system",AD522&lt;1),"No",
IF(AND('Data Entry'!$AF$23="OR",'Proposed Lighting'!F219="Existing LED (Provide Description)",'Proposed Lighting'!AK219=""),"No",
IF('Proposed Lighting'!DD219="Submit Control as Non-Standard","No",
IF(AND('Proposed Lighting'!T219="Non-Standard (Provide Description)",AD522&lt;1),"No",
IF('Proposed Lighting'!AW219&lt;'Proposed Lighting'!AZ219,"No","Yes")))))))</f>
        <v>No</v>
      </c>
      <c r="D522" s="1604">
        <f>'Proposed Lighting'!BQ219-Q522</f>
        <v>0</v>
      </c>
      <c r="E522" s="642" t="str">
        <f>IF('Proposed Lighting'!W219="","",'Proposed Lighting'!W219)</f>
        <v/>
      </c>
      <c r="F522" s="642"/>
      <c r="G522" s="641" t="s">
        <v>786</v>
      </c>
      <c r="H522" s="643">
        <v>10</v>
      </c>
      <c r="I522" s="644">
        <v>1</v>
      </c>
      <c r="J522" s="723">
        <f>IF('Proposed Lighting'!EF219=0,'Proposed Lighting'!AA219,'Proposed Lighting'!EF219)</f>
        <v>0</v>
      </c>
      <c r="K522" s="643" t="str">
        <f>'Proposed Lighting'!CU219</f>
        <v/>
      </c>
      <c r="L522" s="643" t="str">
        <f t="shared" si="116"/>
        <v/>
      </c>
      <c r="M522" s="645">
        <f t="shared" si="106"/>
        <v>0</v>
      </c>
      <c r="N522" s="645"/>
      <c r="O522" s="722">
        <f>IFERROR('Proposed Lighting'!AC219/1000,0)</f>
        <v>0</v>
      </c>
      <c r="P522" s="644">
        <f>'Proposed Lighting'!AV219</f>
        <v>0</v>
      </c>
      <c r="Q522" s="644">
        <f>IF(AND('Proposed Lighting'!T219="Lighting Controls Only",'Data Entry'!$AF$23="OR",'Proposed Lighting'!AU219=2),0,
IF(AND('Proposed Lighting'!T219="Lighting Controls Only",'Data Entry'!$AF$23="OR",'Proposed Lighting'!AU219=3,OR('Proposed Lighting'!W219="ceiling mount",'Proposed Lighting'!W219="wall switch",'Proposed Lighting'!W219="fixture mount (on exisiting equip)",'Proposed Lighting'!W219="daylight harvesting (on existing equip)")),0,
IF('Proposed Lighting'!AF219=1,IF(P522=0,0,J522*O522*(L522*(1-P522))),IF('Proposed Lighting'!AU219=1,0,'Proposed Lighting'!AX219-'Proposed Lighting'!AY219))))</f>
        <v>0</v>
      </c>
      <c r="R522" s="646">
        <f>IF('Proposed Lighting'!T219="Non-standard (provide description",0,
IF(AND(E522="Non-standard control",'Proposed Lighting'!AU219=2),Q522*0.1,
IF(AND(E522="Non-standard control",'Proposed Lighting'!AU219=3),Q522*0.08,
IF('Proposed Lighting'!EF219=0,0,IF('Proposed Lighting'!AU219=1,0,
IF(AND('Data Entry'!$AF$23="ID",'Proposed Lighting'!T219="Lighting controls only"),VLOOKUP(E522,'Proposed Lighting'!$DO$97:$DP$106,2,FALSE),
IF(AND('Data Entry'!$AF$23="OR",'Proposed Lighting'!AU219=3,'Proposed Lighting'!T219="Lighting controls only"),VLOOKUP(E522,'Proposed Lighting'!$DO$127:$DP$134,2,FALSE),0)))))))*J522</f>
        <v>0</v>
      </c>
      <c r="S522" s="646">
        <f>IF(Q522&lt;0.01,0,IF('Proposed Lighting'!AK219&gt;0,'Proposed Lighting'!AK219*'Proposed Lighting'!EF219,0))</f>
        <v>0</v>
      </c>
      <c r="T522" s="647">
        <f t="shared" si="117"/>
        <v>0</v>
      </c>
      <c r="U522" s="648"/>
      <c r="V522" s="646">
        <f t="shared" si="107"/>
        <v>0</v>
      </c>
      <c r="W522" s="646">
        <f t="shared" si="108"/>
        <v>0</v>
      </c>
      <c r="X522" s="646">
        <f t="shared" si="109"/>
        <v>0</v>
      </c>
      <c r="Y522" s="646"/>
      <c r="Z522" s="646"/>
      <c r="AA522" s="646"/>
      <c r="AB522" s="646">
        <f t="shared" si="110"/>
        <v>0</v>
      </c>
      <c r="AC522" s="649" t="str">
        <f t="shared" si="111"/>
        <v/>
      </c>
      <c r="AD522" s="649" t="str">
        <f t="shared" si="112"/>
        <v/>
      </c>
      <c r="AE522" s="649" t="str">
        <f t="shared" si="113"/>
        <v/>
      </c>
      <c r="AF522" s="72"/>
      <c r="AG522" s="644">
        <f>IFERROR(IF($AV522="No",0,IF($AV522="yes",Summary!Q522,"")),"")</f>
        <v>0</v>
      </c>
      <c r="AH522" s="646">
        <f>IFERROR(IF($AV522="No",0,IF($AV522="yes",Summary!R522,"")),"")</f>
        <v>0</v>
      </c>
      <c r="AI522" s="646">
        <f>IFERROR(IF($AV522="No",0,IF($AV522="yes",Summary!S522,"")),"")</f>
        <v>0</v>
      </c>
      <c r="AJ522" s="647">
        <f>IFERROR(IF($AV522="No",0,IF($AV522="yes",Summary!T522,"")),"")</f>
        <v>0</v>
      </c>
      <c r="AK522" s="648">
        <f>IFERROR(IF($AV522="No",0,IF($AV522="yes",Summary!U522,"")),"")</f>
        <v>0</v>
      </c>
      <c r="AL522" s="646">
        <f>IFERROR(IF($AV522="No",0,IF($AV522="yes",Summary!V522,"")),"")</f>
        <v>0</v>
      </c>
      <c r="AM522" s="646">
        <f>IFERROR(IF($AV522="No",0,IF($AV522="yes",Summary!W522,"")),"")</f>
        <v>0</v>
      </c>
      <c r="AN522" s="646">
        <f>IFERROR(IF($AV522="No",0,IF($AV522="yes",Summary!X522,"")),"")</f>
        <v>0</v>
      </c>
      <c r="AO522" s="646">
        <f>IFERROR(IF($AV522="No",0,IF($AV522="yes",Summary!Y522+Z522,"")),"")</f>
        <v>0</v>
      </c>
      <c r="AP522" s="646">
        <f>IFERROR(IF($AV522="No",0,IF($AV522="yes",Summary!AB522,"")),"")</f>
        <v>0</v>
      </c>
      <c r="AQ522" s="649" t="str">
        <f t="shared" si="114"/>
        <v/>
      </c>
      <c r="AR522" s="649" t="str">
        <f t="shared" si="118"/>
        <v/>
      </c>
      <c r="AS522" s="649" t="str">
        <f t="shared" si="115"/>
        <v/>
      </c>
      <c r="AT522" s="641" t="s">
        <v>996</v>
      </c>
      <c r="AV522" t="str">
        <f>IF('Proposed Lighting'!AK219&gt;0,"No","Yes")</f>
        <v>Yes</v>
      </c>
    </row>
    <row r="523" spans="1:48" ht="34.5" customHeight="1" outlineLevel="1">
      <c r="A523" s="641" t="s">
        <v>997</v>
      </c>
      <c r="B523" s="641" t="str">
        <f>IF('Proposed Lighting'!AU220=3,"Commercial-All Com-ExtLight",IF('Proposed Lighting'!AH220&gt;8759,"IPC_8760","Commercial-All Com-IntLight"))</f>
        <v>IPC_8760</v>
      </c>
      <c r="C523" s="641" t="str">
        <f>IF(OR(E523="",E523=0),"No",
IF(AND('Data Entry'!$AF$23="OR",AE523&lt;1),"No",
IF(AND('Data Entry'!$AF$23="ID",E523="Non-standard lighting control system",AD523&lt;1),"No",
IF(AND('Data Entry'!$AF$23="OR",'Proposed Lighting'!F220="Existing LED (Provide Description)",'Proposed Lighting'!AK220=""),"No",
IF('Proposed Lighting'!DD220="Submit Control as Non-Standard","No",
IF(AND('Proposed Lighting'!T220="Non-Standard (Provide Description)",AD523&lt;1),"No",
IF('Proposed Lighting'!AW220&lt;'Proposed Lighting'!AZ220,"No","Yes")))))))</f>
        <v>No</v>
      </c>
      <c r="D523" s="1604">
        <f>'Proposed Lighting'!BQ220-Q523</f>
        <v>0</v>
      </c>
      <c r="E523" s="642" t="str">
        <f>IF('Proposed Lighting'!W220="","",'Proposed Lighting'!W220)</f>
        <v/>
      </c>
      <c r="F523" s="642"/>
      <c r="G523" s="641" t="s">
        <v>786</v>
      </c>
      <c r="H523" s="643">
        <v>10</v>
      </c>
      <c r="I523" s="644">
        <v>1</v>
      </c>
      <c r="J523" s="723">
        <f>IF('Proposed Lighting'!EF220=0,'Proposed Lighting'!AA220,'Proposed Lighting'!EF220)</f>
        <v>0</v>
      </c>
      <c r="K523" s="643" t="str">
        <f>'Proposed Lighting'!CU220</f>
        <v/>
      </c>
      <c r="L523" s="643" t="str">
        <f t="shared" si="116"/>
        <v/>
      </c>
      <c r="M523" s="645">
        <f t="shared" si="106"/>
        <v>0</v>
      </c>
      <c r="N523" s="645"/>
      <c r="O523" s="722">
        <f>IFERROR('Proposed Lighting'!AC220/1000,0)</f>
        <v>0</v>
      </c>
      <c r="P523" s="644">
        <f>'Proposed Lighting'!AV220</f>
        <v>0</v>
      </c>
      <c r="Q523" s="644">
        <f>IF(AND('Proposed Lighting'!T220="Lighting Controls Only",'Data Entry'!$AF$23="OR",'Proposed Lighting'!AU220=2),0,
IF(AND('Proposed Lighting'!T220="Lighting Controls Only",'Data Entry'!$AF$23="OR",'Proposed Lighting'!AU220=3,OR('Proposed Lighting'!W220="ceiling mount",'Proposed Lighting'!W220="wall switch",'Proposed Lighting'!W220="fixture mount (on exisiting equip)",'Proposed Lighting'!W220="daylight harvesting (on existing equip)")),0,
IF('Proposed Lighting'!AF220=1,IF(P523=0,0,J523*O523*(L523*(1-P523))),IF('Proposed Lighting'!AU220=1,0,'Proposed Lighting'!AX220-'Proposed Lighting'!AY220))))</f>
        <v>0</v>
      </c>
      <c r="R523" s="646">
        <f>IF('Proposed Lighting'!T220="Non-standard (provide description",0,
IF(AND(E523="Non-standard control",'Proposed Lighting'!AU220=2),Q523*0.1,
IF(AND(E523="Non-standard control",'Proposed Lighting'!AU220=3),Q523*0.08,
IF('Proposed Lighting'!EF220=0,0,IF('Proposed Lighting'!AU220=1,0,
IF(AND('Data Entry'!$AF$23="ID",'Proposed Lighting'!T220="Lighting controls only"),VLOOKUP(E523,'Proposed Lighting'!$DO$97:$DP$106,2,FALSE),
IF(AND('Data Entry'!$AF$23="OR",'Proposed Lighting'!AU220=3,'Proposed Lighting'!T220="Lighting controls only"),VLOOKUP(E523,'Proposed Lighting'!$DO$127:$DP$134,2,FALSE),0)))))))*J523</f>
        <v>0</v>
      </c>
      <c r="S523" s="646">
        <f>IF(Q523&lt;0.01,0,IF('Proposed Lighting'!AK220&gt;0,'Proposed Lighting'!AK220*'Proposed Lighting'!EF220,0))</f>
        <v>0</v>
      </c>
      <c r="T523" s="647">
        <f t="shared" si="117"/>
        <v>0</v>
      </c>
      <c r="U523" s="648"/>
      <c r="V523" s="646">
        <f t="shared" si="107"/>
        <v>0</v>
      </c>
      <c r="W523" s="646">
        <f t="shared" si="108"/>
        <v>0</v>
      </c>
      <c r="X523" s="646">
        <f t="shared" si="109"/>
        <v>0</v>
      </c>
      <c r="Y523" s="646"/>
      <c r="Z523" s="646"/>
      <c r="AA523" s="646"/>
      <c r="AB523" s="646">
        <f t="shared" si="110"/>
        <v>0</v>
      </c>
      <c r="AC523" s="649" t="str">
        <f t="shared" si="111"/>
        <v/>
      </c>
      <c r="AD523" s="649" t="str">
        <f t="shared" si="112"/>
        <v/>
      </c>
      <c r="AE523" s="649" t="str">
        <f t="shared" si="113"/>
        <v/>
      </c>
      <c r="AF523" s="72"/>
      <c r="AG523" s="644">
        <f>IFERROR(IF($AV523="No",0,IF($AV523="yes",Summary!Q523,"")),"")</f>
        <v>0</v>
      </c>
      <c r="AH523" s="646">
        <f>IFERROR(IF($AV523="No",0,IF($AV523="yes",Summary!R523,"")),"")</f>
        <v>0</v>
      </c>
      <c r="AI523" s="646">
        <f>IFERROR(IF($AV523="No",0,IF($AV523="yes",Summary!S523,"")),"")</f>
        <v>0</v>
      </c>
      <c r="AJ523" s="647">
        <f>IFERROR(IF($AV523="No",0,IF($AV523="yes",Summary!T523,"")),"")</f>
        <v>0</v>
      </c>
      <c r="AK523" s="648">
        <f>IFERROR(IF($AV523="No",0,IF($AV523="yes",Summary!U523,"")),"")</f>
        <v>0</v>
      </c>
      <c r="AL523" s="646">
        <f>IFERROR(IF($AV523="No",0,IF($AV523="yes",Summary!V523,"")),"")</f>
        <v>0</v>
      </c>
      <c r="AM523" s="646">
        <f>IFERROR(IF($AV523="No",0,IF($AV523="yes",Summary!W523,"")),"")</f>
        <v>0</v>
      </c>
      <c r="AN523" s="646">
        <f>IFERROR(IF($AV523="No",0,IF($AV523="yes",Summary!X523,"")),"")</f>
        <v>0</v>
      </c>
      <c r="AO523" s="646">
        <f>IFERROR(IF($AV523="No",0,IF($AV523="yes",Summary!Y523+Z523,"")),"")</f>
        <v>0</v>
      </c>
      <c r="AP523" s="646">
        <f>IFERROR(IF($AV523="No",0,IF($AV523="yes",Summary!AB523,"")),"")</f>
        <v>0</v>
      </c>
      <c r="AQ523" s="649" t="str">
        <f t="shared" si="114"/>
        <v/>
      </c>
      <c r="AR523" s="649" t="str">
        <f t="shared" si="118"/>
        <v/>
      </c>
      <c r="AS523" s="649" t="str">
        <f t="shared" si="115"/>
        <v/>
      </c>
      <c r="AT523" s="641" t="s">
        <v>997</v>
      </c>
      <c r="AV523" t="str">
        <f>IF('Proposed Lighting'!AK220&gt;0,"No","Yes")</f>
        <v>Yes</v>
      </c>
    </row>
    <row r="524" spans="1:48" ht="34.5" customHeight="1" outlineLevel="1">
      <c r="A524" s="641" t="s">
        <v>998</v>
      </c>
      <c r="B524" s="641" t="str">
        <f>IF('Proposed Lighting'!AU221=3,"Commercial-All Com-ExtLight",IF('Proposed Lighting'!AH221&gt;8759,"IPC_8760","Commercial-All Com-IntLight"))</f>
        <v>IPC_8760</v>
      </c>
      <c r="C524" s="641" t="str">
        <f>IF(OR(E524="",E524=0),"No",
IF(AND('Data Entry'!$AF$23="OR",AE524&lt;1),"No",
IF(AND('Data Entry'!$AF$23="ID",E524="Non-standard lighting control system",AD524&lt;1),"No",
IF(AND('Data Entry'!$AF$23="OR",'Proposed Lighting'!F221="Existing LED (Provide Description)",'Proposed Lighting'!AK221=""),"No",
IF('Proposed Lighting'!DD221="Submit Control as Non-Standard","No",
IF(AND('Proposed Lighting'!T221="Non-Standard (Provide Description)",AD524&lt;1),"No",
IF('Proposed Lighting'!AW221&lt;'Proposed Lighting'!AZ221,"No","Yes")))))))</f>
        <v>No</v>
      </c>
      <c r="D524" s="1604">
        <f>'Proposed Lighting'!BQ221-Q524</f>
        <v>0</v>
      </c>
      <c r="E524" s="642" t="str">
        <f>IF('Proposed Lighting'!W221="","",'Proposed Lighting'!W221)</f>
        <v/>
      </c>
      <c r="F524" s="642"/>
      <c r="G524" s="641" t="s">
        <v>786</v>
      </c>
      <c r="H524" s="643">
        <v>10</v>
      </c>
      <c r="I524" s="644">
        <v>1</v>
      </c>
      <c r="J524" s="723">
        <f>IF('Proposed Lighting'!EF221=0,'Proposed Lighting'!AA221,'Proposed Lighting'!EF221)</f>
        <v>0</v>
      </c>
      <c r="K524" s="643" t="str">
        <f>'Proposed Lighting'!CU221</f>
        <v/>
      </c>
      <c r="L524" s="643" t="str">
        <f t="shared" si="116"/>
        <v/>
      </c>
      <c r="M524" s="645">
        <f t="shared" ref="M524:M587" si="119">IFERROR(K524-L524,0)</f>
        <v>0</v>
      </c>
      <c r="N524" s="645"/>
      <c r="O524" s="722">
        <f>IFERROR('Proposed Lighting'!AC221/1000,0)</f>
        <v>0</v>
      </c>
      <c r="P524" s="644">
        <f>'Proposed Lighting'!AV221</f>
        <v>0</v>
      </c>
      <c r="Q524" s="644">
        <f>IF(AND('Proposed Lighting'!T221="Lighting Controls Only",'Data Entry'!$AF$23="OR",'Proposed Lighting'!AU221=2),0,
IF(AND('Proposed Lighting'!T221="Lighting Controls Only",'Data Entry'!$AF$23="OR",'Proposed Lighting'!AU221=3,OR('Proposed Lighting'!W221="ceiling mount",'Proposed Lighting'!W221="wall switch",'Proposed Lighting'!W221="fixture mount (on exisiting equip)",'Proposed Lighting'!W221="daylight harvesting (on existing equip)")),0,
IF('Proposed Lighting'!AF221=1,IF(P524=0,0,J524*O524*(L524*(1-P524))),IF('Proposed Lighting'!AU221=1,0,'Proposed Lighting'!AX221-'Proposed Lighting'!AY221))))</f>
        <v>0</v>
      </c>
      <c r="R524" s="646">
        <f>IF('Proposed Lighting'!T221="Non-standard (provide description",0,
IF(AND(E524="Non-standard control",'Proposed Lighting'!AU221=2),Q524*0.1,
IF(AND(E524="Non-standard control",'Proposed Lighting'!AU221=3),Q524*0.08,
IF('Proposed Lighting'!EF221=0,0,IF('Proposed Lighting'!AU221=1,0,
IF(AND('Data Entry'!$AF$23="ID",'Proposed Lighting'!T221="Lighting controls only"),VLOOKUP(E524,'Proposed Lighting'!$DO$97:$DP$106,2,FALSE),
IF(AND('Data Entry'!$AF$23="OR",'Proposed Lighting'!AU221=3,'Proposed Lighting'!T221="Lighting controls only"),VLOOKUP(E524,'Proposed Lighting'!$DO$127:$DP$134,2,FALSE),0)))))))*J524</f>
        <v>0</v>
      </c>
      <c r="S524" s="646">
        <f>IF(Q524&lt;0.01,0,IF('Proposed Lighting'!AK221&gt;0,'Proposed Lighting'!AK221*'Proposed Lighting'!EF221,0))</f>
        <v>0</v>
      </c>
      <c r="T524" s="647">
        <f t="shared" si="117"/>
        <v>0</v>
      </c>
      <c r="U524" s="648"/>
      <c r="V524" s="646">
        <f t="shared" ref="V524:V587" si="120">IFERROR((PV($C$6,$H524,-(IF(Q524=0,Q524,Q524)))*$C$7)*((1+$C$6)^0.5),0)</f>
        <v>0</v>
      </c>
      <c r="W524" s="646">
        <f t="shared" ref="W524:W587" si="121">IFERROR((VLOOKUP($B524,loadshapeac,$H524+1,FALSE)*$Q524),0)</f>
        <v>0</v>
      </c>
      <c r="X524" s="646">
        <f t="shared" ref="X524:X587" si="122">IFERROR((VLOOKUP($B524,loadshapeac,$H524+1,FALSE)*$Q524)*1.1,0)</f>
        <v>0</v>
      </c>
      <c r="Y524" s="646"/>
      <c r="Z524" s="646"/>
      <c r="AA524" s="646"/>
      <c r="AB524" s="646">
        <f t="shared" ref="AB524:AB587" si="123">IFERROR(PV($C$6,$H524,-$AA524)*((1+$C$6)^0.5),0)</f>
        <v>0</v>
      </c>
      <c r="AC524" s="649" t="str">
        <f t="shared" ref="AC524:AC587" si="124">IFERROR(IF($Q524&lt;0,"",(V524+R524+Y524+Z524+AB524)/(S524)),"")</f>
        <v/>
      </c>
      <c r="AD524" s="649" t="str">
        <f t="shared" ref="AD524:AD587" si="125">IFERROR(IF($Q524&lt;0,"",(I524*W524)/(((IF(Q524=0,Q524,Q524))*U524)+R524)),"")</f>
        <v/>
      </c>
      <c r="AE524" s="649" t="str">
        <f t="shared" ref="AE524:AE587" si="126">IFERROR(IF($Q524&lt;0,"",IF(S524=0,((X524+Y524+Z524+AB524)*I524)/((Q524*U524)+R524),((X524+Y524+Z524+AB524)*I524)/((Q524*U524)+R524+((S524-R524)*I524)))),"")</f>
        <v/>
      </c>
      <c r="AF524" s="72"/>
      <c r="AG524" s="644">
        <f>IFERROR(IF($AV524="No",0,IF($AV524="yes",Summary!Q524,"")),"")</f>
        <v>0</v>
      </c>
      <c r="AH524" s="646">
        <f>IFERROR(IF($AV524="No",0,IF($AV524="yes",Summary!R524,"")),"")</f>
        <v>0</v>
      </c>
      <c r="AI524" s="646">
        <f>IFERROR(IF($AV524="No",0,IF($AV524="yes",Summary!S524,"")),"")</f>
        <v>0</v>
      </c>
      <c r="AJ524" s="647">
        <f>IFERROR(IF($AV524="No",0,IF($AV524="yes",Summary!T524,"")),"")</f>
        <v>0</v>
      </c>
      <c r="AK524" s="648">
        <f>IFERROR(IF($AV524="No",0,IF($AV524="yes",Summary!U524,"")),"")</f>
        <v>0</v>
      </c>
      <c r="AL524" s="646">
        <f>IFERROR(IF($AV524="No",0,IF($AV524="yes",Summary!V524,"")),"")</f>
        <v>0</v>
      </c>
      <c r="AM524" s="646">
        <f>IFERROR(IF($AV524="No",0,IF($AV524="yes",Summary!W524,"")),"")</f>
        <v>0</v>
      </c>
      <c r="AN524" s="646">
        <f>IFERROR(IF($AV524="No",0,IF($AV524="yes",Summary!X524,"")),"")</f>
        <v>0</v>
      </c>
      <c r="AO524" s="646">
        <f>IFERROR(IF($AV524="No",0,IF($AV524="yes",Summary!Y524+Z524,"")),"")</f>
        <v>0</v>
      </c>
      <c r="AP524" s="646">
        <f>IFERROR(IF($AV524="No",0,IF($AV524="yes",Summary!AB524,"")),"")</f>
        <v>0</v>
      </c>
      <c r="AQ524" s="649" t="str">
        <f t="shared" si="114"/>
        <v/>
      </c>
      <c r="AR524" s="649" t="str">
        <f t="shared" si="118"/>
        <v/>
      </c>
      <c r="AS524" s="649" t="str">
        <f t="shared" si="115"/>
        <v/>
      </c>
      <c r="AT524" s="641" t="s">
        <v>998</v>
      </c>
      <c r="AV524" t="str">
        <f>IF('Proposed Lighting'!AK221&gt;0,"No","Yes")</f>
        <v>Yes</v>
      </c>
    </row>
    <row r="525" spans="1:48" ht="34.5" customHeight="1" outlineLevel="1">
      <c r="A525" s="641" t="s">
        <v>999</v>
      </c>
      <c r="B525" s="641" t="str">
        <f>IF('Proposed Lighting'!AU222=3,"Commercial-All Com-ExtLight",IF('Proposed Lighting'!AH222&gt;8759,"IPC_8760","Commercial-All Com-IntLight"))</f>
        <v>IPC_8760</v>
      </c>
      <c r="C525" s="641" t="str">
        <f>IF(OR(E525="",E525=0),"No",
IF(AND('Data Entry'!$AF$23="OR",AE525&lt;1),"No",
IF(AND('Data Entry'!$AF$23="ID",E525="Non-standard lighting control system",AD525&lt;1),"No",
IF(AND('Data Entry'!$AF$23="OR",'Proposed Lighting'!F222="Existing LED (Provide Description)",'Proposed Lighting'!AK222=""),"No",
IF('Proposed Lighting'!DD222="Submit Control as Non-Standard","No",
IF(AND('Proposed Lighting'!T222="Non-Standard (Provide Description)",AD525&lt;1),"No",
IF('Proposed Lighting'!AW222&lt;'Proposed Lighting'!AZ222,"No","Yes")))))))</f>
        <v>No</v>
      </c>
      <c r="D525" s="1604">
        <f>'Proposed Lighting'!BQ222-Q525</f>
        <v>0</v>
      </c>
      <c r="E525" s="642" t="str">
        <f>IF('Proposed Lighting'!W222="","",'Proposed Lighting'!W222)</f>
        <v/>
      </c>
      <c r="F525" s="642"/>
      <c r="G525" s="641" t="s">
        <v>786</v>
      </c>
      <c r="H525" s="643">
        <v>10</v>
      </c>
      <c r="I525" s="644">
        <v>1</v>
      </c>
      <c r="J525" s="723">
        <f>IF('Proposed Lighting'!EF222=0,'Proposed Lighting'!AA222,'Proposed Lighting'!EF222)</f>
        <v>0</v>
      </c>
      <c r="K525" s="643" t="str">
        <f>'Proposed Lighting'!CU222</f>
        <v/>
      </c>
      <c r="L525" s="643" t="str">
        <f t="shared" si="116"/>
        <v/>
      </c>
      <c r="M525" s="645">
        <f t="shared" si="119"/>
        <v>0</v>
      </c>
      <c r="N525" s="645"/>
      <c r="O525" s="722">
        <f>IFERROR('Proposed Lighting'!AC222/1000,0)</f>
        <v>0</v>
      </c>
      <c r="P525" s="644">
        <f>'Proposed Lighting'!AV222</f>
        <v>0</v>
      </c>
      <c r="Q525" s="644">
        <f>IF(AND('Proposed Lighting'!T222="Lighting Controls Only",'Data Entry'!$AF$23="OR",'Proposed Lighting'!AU222=2),0,
IF(AND('Proposed Lighting'!T222="Lighting Controls Only",'Data Entry'!$AF$23="OR",'Proposed Lighting'!AU222=3,OR('Proposed Lighting'!W222="ceiling mount",'Proposed Lighting'!W222="wall switch",'Proposed Lighting'!W222="fixture mount (on exisiting equip)",'Proposed Lighting'!W222="daylight harvesting (on existing equip)")),0,
IF('Proposed Lighting'!AF222=1,IF(P525=0,0,J525*O525*(L525*(1-P525))),IF('Proposed Lighting'!AU222=1,0,'Proposed Lighting'!AX222-'Proposed Lighting'!AY222))))</f>
        <v>0</v>
      </c>
      <c r="R525" s="646">
        <f>IF('Proposed Lighting'!T222="Non-standard (provide description",0,
IF(AND(E525="Non-standard control",'Proposed Lighting'!AU222=2),Q525*0.1,
IF(AND(E525="Non-standard control",'Proposed Lighting'!AU222=3),Q525*0.08,
IF('Proposed Lighting'!EF222=0,0,IF('Proposed Lighting'!AU222=1,0,
IF(AND('Data Entry'!$AF$23="ID",'Proposed Lighting'!T222="Lighting controls only"),VLOOKUP(E525,'Proposed Lighting'!$DO$97:$DP$106,2,FALSE),
IF(AND('Data Entry'!$AF$23="OR",'Proposed Lighting'!AU222=3,'Proposed Lighting'!T222="Lighting controls only"),VLOOKUP(E525,'Proposed Lighting'!$DO$127:$DP$134,2,FALSE),0)))))))*J525</f>
        <v>0</v>
      </c>
      <c r="S525" s="646">
        <f>IF(Q525&lt;0.01,0,IF('Proposed Lighting'!AK222&gt;0,'Proposed Lighting'!AK222*'Proposed Lighting'!EF222,0))</f>
        <v>0</v>
      </c>
      <c r="T525" s="647">
        <f t="shared" si="117"/>
        <v>0</v>
      </c>
      <c r="U525" s="648"/>
      <c r="V525" s="646">
        <f t="shared" si="120"/>
        <v>0</v>
      </c>
      <c r="W525" s="646">
        <f t="shared" si="121"/>
        <v>0</v>
      </c>
      <c r="X525" s="646">
        <f t="shared" si="122"/>
        <v>0</v>
      </c>
      <c r="Y525" s="646"/>
      <c r="Z525" s="646"/>
      <c r="AA525" s="646"/>
      <c r="AB525" s="646">
        <f t="shared" si="123"/>
        <v>0</v>
      </c>
      <c r="AC525" s="649" t="str">
        <f t="shared" si="124"/>
        <v/>
      </c>
      <c r="AD525" s="649" t="str">
        <f t="shared" si="125"/>
        <v/>
      </c>
      <c r="AE525" s="649" t="str">
        <f t="shared" si="126"/>
        <v/>
      </c>
      <c r="AF525" s="72"/>
      <c r="AG525" s="644">
        <f>IFERROR(IF($AV525="No",0,IF($AV525="yes",Summary!Q525,"")),"")</f>
        <v>0</v>
      </c>
      <c r="AH525" s="646">
        <f>IFERROR(IF($AV525="No",0,IF($AV525="yes",Summary!R525,"")),"")</f>
        <v>0</v>
      </c>
      <c r="AI525" s="646">
        <f>IFERROR(IF($AV525="No",0,IF($AV525="yes",Summary!S525,"")),"")</f>
        <v>0</v>
      </c>
      <c r="AJ525" s="647">
        <f>IFERROR(IF($AV525="No",0,IF($AV525="yes",Summary!T525,"")),"")</f>
        <v>0</v>
      </c>
      <c r="AK525" s="648">
        <f>IFERROR(IF($AV525="No",0,IF($AV525="yes",Summary!U525,"")),"")</f>
        <v>0</v>
      </c>
      <c r="AL525" s="646">
        <f>IFERROR(IF($AV525="No",0,IF($AV525="yes",Summary!V525,"")),"")</f>
        <v>0</v>
      </c>
      <c r="AM525" s="646">
        <f>IFERROR(IF($AV525="No",0,IF($AV525="yes",Summary!W525,"")),"")</f>
        <v>0</v>
      </c>
      <c r="AN525" s="646">
        <f>IFERROR(IF($AV525="No",0,IF($AV525="yes",Summary!X525,"")),"")</f>
        <v>0</v>
      </c>
      <c r="AO525" s="646">
        <f>IFERROR(IF($AV525="No",0,IF($AV525="yes",Summary!Y525+Z525,"")),"")</f>
        <v>0</v>
      </c>
      <c r="AP525" s="646">
        <f>IFERROR(IF($AV525="No",0,IF($AV525="yes",Summary!AB525,"")),"")</f>
        <v>0</v>
      </c>
      <c r="AQ525" s="649" t="str">
        <f t="shared" si="114"/>
        <v/>
      </c>
      <c r="AR525" s="649" t="str">
        <f t="shared" si="118"/>
        <v/>
      </c>
      <c r="AS525" s="649" t="str">
        <f t="shared" si="115"/>
        <v/>
      </c>
      <c r="AT525" s="641" t="s">
        <v>999</v>
      </c>
      <c r="AV525" t="str">
        <f>IF('Proposed Lighting'!AK222&gt;0,"No","Yes")</f>
        <v>Yes</v>
      </c>
    </row>
    <row r="526" spans="1:48" ht="34.5" customHeight="1" outlineLevel="1">
      <c r="A526" s="641" t="s">
        <v>1000</v>
      </c>
      <c r="B526" s="641" t="str">
        <f>IF('Proposed Lighting'!AU223=3,"Commercial-All Com-ExtLight",IF('Proposed Lighting'!AH223&gt;8759,"IPC_8760","Commercial-All Com-IntLight"))</f>
        <v>IPC_8760</v>
      </c>
      <c r="C526" s="641" t="str">
        <f>IF(OR(E526="",E526=0),"No",
IF(AND('Data Entry'!$AF$23="OR",AE526&lt;1),"No",
IF(AND('Data Entry'!$AF$23="ID",E526="Non-standard lighting control system",AD526&lt;1),"No",
IF(AND('Data Entry'!$AF$23="OR",'Proposed Lighting'!F223="Existing LED (Provide Description)",'Proposed Lighting'!AK223=""),"No",
IF('Proposed Lighting'!DD223="Submit Control as Non-Standard","No",
IF(AND('Proposed Lighting'!T223="Non-Standard (Provide Description)",AD526&lt;1),"No",
IF('Proposed Lighting'!AW223&lt;'Proposed Lighting'!AZ223,"No","Yes")))))))</f>
        <v>No</v>
      </c>
      <c r="D526" s="1604">
        <f>'Proposed Lighting'!BQ223-Q526</f>
        <v>0</v>
      </c>
      <c r="E526" s="642" t="str">
        <f>IF('Proposed Lighting'!W223="","",'Proposed Lighting'!W223)</f>
        <v/>
      </c>
      <c r="F526" s="642"/>
      <c r="G526" s="641" t="s">
        <v>786</v>
      </c>
      <c r="H526" s="643">
        <v>10</v>
      </c>
      <c r="I526" s="644">
        <v>1</v>
      </c>
      <c r="J526" s="723">
        <f>IF('Proposed Lighting'!EF223=0,'Proposed Lighting'!AA223,'Proposed Lighting'!EF223)</f>
        <v>0</v>
      </c>
      <c r="K526" s="643" t="str">
        <f>'Proposed Lighting'!CU223</f>
        <v/>
      </c>
      <c r="L526" s="643" t="str">
        <f t="shared" si="116"/>
        <v/>
      </c>
      <c r="M526" s="645">
        <f t="shared" si="119"/>
        <v>0</v>
      </c>
      <c r="N526" s="645"/>
      <c r="O526" s="722">
        <f>IFERROR('Proposed Lighting'!AC223/1000,0)</f>
        <v>0</v>
      </c>
      <c r="P526" s="644">
        <f>'Proposed Lighting'!AV223</f>
        <v>0</v>
      </c>
      <c r="Q526" s="644">
        <f>IF(AND('Proposed Lighting'!T223="Lighting Controls Only",'Data Entry'!$AF$23="OR",'Proposed Lighting'!AU223=2),0,
IF(AND('Proposed Lighting'!T223="Lighting Controls Only",'Data Entry'!$AF$23="OR",'Proposed Lighting'!AU223=3,OR('Proposed Lighting'!W223="ceiling mount",'Proposed Lighting'!W223="wall switch",'Proposed Lighting'!W223="fixture mount (on exisiting equip)",'Proposed Lighting'!W223="daylight harvesting (on existing equip)")),0,
IF('Proposed Lighting'!AF223=1,IF(P526=0,0,J526*O526*(L526*(1-P526))),IF('Proposed Lighting'!AU223=1,0,'Proposed Lighting'!AX223-'Proposed Lighting'!AY223))))</f>
        <v>0</v>
      </c>
      <c r="R526" s="646">
        <f>IF('Proposed Lighting'!T223="Non-standard (provide description",0,
IF(AND(E526="Non-standard control",'Proposed Lighting'!AU223=2),Q526*0.1,
IF(AND(E526="Non-standard control",'Proposed Lighting'!AU223=3),Q526*0.08,
IF('Proposed Lighting'!EF223=0,0,IF('Proposed Lighting'!AU223=1,0,
IF(AND('Data Entry'!$AF$23="ID",'Proposed Lighting'!T223="Lighting controls only"),VLOOKUP(E526,'Proposed Lighting'!$DO$97:$DP$106,2,FALSE),
IF(AND('Data Entry'!$AF$23="OR",'Proposed Lighting'!AU223=3,'Proposed Lighting'!T223="Lighting controls only"),VLOOKUP(E526,'Proposed Lighting'!$DO$127:$DP$134,2,FALSE),0)))))))*J526</f>
        <v>0</v>
      </c>
      <c r="S526" s="646">
        <f>IF(Q526&lt;0.01,0,IF('Proposed Lighting'!AK223&gt;0,'Proposed Lighting'!AK223*'Proposed Lighting'!EF223,0))</f>
        <v>0</v>
      </c>
      <c r="T526" s="647">
        <f t="shared" si="117"/>
        <v>0</v>
      </c>
      <c r="U526" s="648"/>
      <c r="V526" s="646">
        <f t="shared" si="120"/>
        <v>0</v>
      </c>
      <c r="W526" s="646">
        <f t="shared" si="121"/>
        <v>0</v>
      </c>
      <c r="X526" s="646">
        <f t="shared" si="122"/>
        <v>0</v>
      </c>
      <c r="Y526" s="646"/>
      <c r="Z526" s="646"/>
      <c r="AA526" s="646"/>
      <c r="AB526" s="646">
        <f t="shared" si="123"/>
        <v>0</v>
      </c>
      <c r="AC526" s="649" t="str">
        <f t="shared" si="124"/>
        <v/>
      </c>
      <c r="AD526" s="649" t="str">
        <f t="shared" si="125"/>
        <v/>
      </c>
      <c r="AE526" s="649" t="str">
        <f t="shared" si="126"/>
        <v/>
      </c>
      <c r="AF526" s="72"/>
      <c r="AG526" s="644">
        <f>IFERROR(IF($AV526="No",0,IF($AV526="yes",Summary!Q526,"")),"")</f>
        <v>0</v>
      </c>
      <c r="AH526" s="646">
        <f>IFERROR(IF($AV526="No",0,IF($AV526="yes",Summary!R526,"")),"")</f>
        <v>0</v>
      </c>
      <c r="AI526" s="646">
        <f>IFERROR(IF($AV526="No",0,IF($AV526="yes",Summary!S526,"")),"")</f>
        <v>0</v>
      </c>
      <c r="AJ526" s="647">
        <f>IFERROR(IF($AV526="No",0,IF($AV526="yes",Summary!T526,"")),"")</f>
        <v>0</v>
      </c>
      <c r="AK526" s="648">
        <f>IFERROR(IF($AV526="No",0,IF($AV526="yes",Summary!U526,"")),"")</f>
        <v>0</v>
      </c>
      <c r="AL526" s="646">
        <f>IFERROR(IF($AV526="No",0,IF($AV526="yes",Summary!V526,"")),"")</f>
        <v>0</v>
      </c>
      <c r="AM526" s="646">
        <f>IFERROR(IF($AV526="No",0,IF($AV526="yes",Summary!W526,"")),"")</f>
        <v>0</v>
      </c>
      <c r="AN526" s="646">
        <f>IFERROR(IF($AV526="No",0,IF($AV526="yes",Summary!X526,"")),"")</f>
        <v>0</v>
      </c>
      <c r="AO526" s="646">
        <f>IFERROR(IF($AV526="No",0,IF($AV526="yes",Summary!Y526+Z526,"")),"")</f>
        <v>0</v>
      </c>
      <c r="AP526" s="646">
        <f>IFERROR(IF($AV526="No",0,IF($AV526="yes",Summary!AB526,"")),"")</f>
        <v>0</v>
      </c>
      <c r="AQ526" s="649" t="str">
        <f t="shared" si="114"/>
        <v/>
      </c>
      <c r="AR526" s="649" t="str">
        <f t="shared" si="118"/>
        <v/>
      </c>
      <c r="AS526" s="649" t="str">
        <f t="shared" si="115"/>
        <v/>
      </c>
      <c r="AT526" s="641" t="s">
        <v>1000</v>
      </c>
      <c r="AV526" t="str">
        <f>IF('Proposed Lighting'!AK223&gt;0,"No","Yes")</f>
        <v>Yes</v>
      </c>
    </row>
    <row r="527" spans="1:48" ht="34.5" customHeight="1" outlineLevel="1">
      <c r="A527" s="641" t="s">
        <v>1001</v>
      </c>
      <c r="B527" s="641" t="str">
        <f>IF('Proposed Lighting'!AU224=3,"Commercial-All Com-ExtLight",IF('Proposed Lighting'!AH224&gt;8759,"IPC_8760","Commercial-All Com-IntLight"))</f>
        <v>IPC_8760</v>
      </c>
      <c r="C527" s="641" t="str">
        <f>IF(OR(E527="",E527=0),"No",
IF(AND('Data Entry'!$AF$23="OR",AE527&lt;1),"No",
IF(AND('Data Entry'!$AF$23="ID",E527="Non-standard lighting control system",AD527&lt;1),"No",
IF(AND('Data Entry'!$AF$23="OR",'Proposed Lighting'!F224="Existing LED (Provide Description)",'Proposed Lighting'!AK224=""),"No",
IF('Proposed Lighting'!DD224="Submit Control as Non-Standard","No",
IF(AND('Proposed Lighting'!T224="Non-Standard (Provide Description)",AD527&lt;1),"No",
IF('Proposed Lighting'!AW224&lt;'Proposed Lighting'!AZ224,"No","Yes")))))))</f>
        <v>No</v>
      </c>
      <c r="D527" s="1604">
        <f>'Proposed Lighting'!BQ224-Q527</f>
        <v>0</v>
      </c>
      <c r="E527" s="642" t="str">
        <f>IF('Proposed Lighting'!W224="","",'Proposed Lighting'!W224)</f>
        <v/>
      </c>
      <c r="F527" s="642"/>
      <c r="G527" s="641" t="s">
        <v>786</v>
      </c>
      <c r="H527" s="643">
        <v>10</v>
      </c>
      <c r="I527" s="644">
        <v>1</v>
      </c>
      <c r="J527" s="723">
        <f>IF('Proposed Lighting'!EF224=0,'Proposed Lighting'!AA224,'Proposed Lighting'!EF224)</f>
        <v>0</v>
      </c>
      <c r="K527" s="643" t="str">
        <f>'Proposed Lighting'!CU224</f>
        <v/>
      </c>
      <c r="L527" s="643" t="str">
        <f t="shared" si="116"/>
        <v/>
      </c>
      <c r="M527" s="645">
        <f t="shared" si="119"/>
        <v>0</v>
      </c>
      <c r="N527" s="645"/>
      <c r="O527" s="722">
        <f>IFERROR('Proposed Lighting'!AC224/1000,0)</f>
        <v>0</v>
      </c>
      <c r="P527" s="644">
        <f>'Proposed Lighting'!AV224</f>
        <v>0</v>
      </c>
      <c r="Q527" s="644">
        <f>IF(AND('Proposed Lighting'!T224="Lighting Controls Only",'Data Entry'!$AF$23="OR",'Proposed Lighting'!AU224=2),0,
IF(AND('Proposed Lighting'!T224="Lighting Controls Only",'Data Entry'!$AF$23="OR",'Proposed Lighting'!AU224=3,OR('Proposed Lighting'!W224="ceiling mount",'Proposed Lighting'!W224="wall switch",'Proposed Lighting'!W224="fixture mount (on exisiting equip)",'Proposed Lighting'!W224="daylight harvesting (on existing equip)")),0,
IF('Proposed Lighting'!AF224=1,IF(P527=0,0,J527*O527*(L527*(1-P527))),IF('Proposed Lighting'!AU224=1,0,'Proposed Lighting'!AX224-'Proposed Lighting'!AY224))))</f>
        <v>0</v>
      </c>
      <c r="R527" s="646">
        <f>IF('Proposed Lighting'!T224="Non-standard (provide description",0,
IF(AND(E527="Non-standard control",'Proposed Lighting'!AU224=2),Q527*0.1,
IF(AND(E527="Non-standard control",'Proposed Lighting'!AU224=3),Q527*0.08,
IF('Proposed Lighting'!EF224=0,0,IF('Proposed Lighting'!AU224=1,0,
IF(AND('Data Entry'!$AF$23="ID",'Proposed Lighting'!T224="Lighting controls only"),VLOOKUP(E527,'Proposed Lighting'!$DO$97:$DP$106,2,FALSE),
IF(AND('Data Entry'!$AF$23="OR",'Proposed Lighting'!AU224=3,'Proposed Lighting'!T224="Lighting controls only"),VLOOKUP(E527,'Proposed Lighting'!$DO$127:$DP$134,2,FALSE),0)))))))*J527</f>
        <v>0</v>
      </c>
      <c r="S527" s="646">
        <f>IF(Q527&lt;0.01,0,IF('Proposed Lighting'!AK224&gt;0,'Proposed Lighting'!AK224*'Proposed Lighting'!EF224,0))</f>
        <v>0</v>
      </c>
      <c r="T527" s="647">
        <f t="shared" si="117"/>
        <v>0</v>
      </c>
      <c r="U527" s="648"/>
      <c r="V527" s="646">
        <f t="shared" si="120"/>
        <v>0</v>
      </c>
      <c r="W527" s="646">
        <f t="shared" si="121"/>
        <v>0</v>
      </c>
      <c r="X527" s="646">
        <f t="shared" si="122"/>
        <v>0</v>
      </c>
      <c r="Y527" s="646"/>
      <c r="Z527" s="646"/>
      <c r="AA527" s="646"/>
      <c r="AB527" s="646">
        <f t="shared" si="123"/>
        <v>0</v>
      </c>
      <c r="AC527" s="649" t="str">
        <f t="shared" si="124"/>
        <v/>
      </c>
      <c r="AD527" s="649" t="str">
        <f t="shared" si="125"/>
        <v/>
      </c>
      <c r="AE527" s="649" t="str">
        <f t="shared" si="126"/>
        <v/>
      </c>
      <c r="AF527" s="72"/>
      <c r="AG527" s="644">
        <f>IFERROR(IF($AV527="No",0,IF($AV527="yes",Summary!Q527,"")),"")</f>
        <v>0</v>
      </c>
      <c r="AH527" s="646">
        <f>IFERROR(IF($AV527="No",0,IF($AV527="yes",Summary!R527,"")),"")</f>
        <v>0</v>
      </c>
      <c r="AI527" s="646">
        <f>IFERROR(IF($AV527="No",0,IF($AV527="yes",Summary!S527,"")),"")</f>
        <v>0</v>
      </c>
      <c r="AJ527" s="647">
        <f>IFERROR(IF($AV527="No",0,IF($AV527="yes",Summary!T527,"")),"")</f>
        <v>0</v>
      </c>
      <c r="AK527" s="648">
        <f>IFERROR(IF($AV527="No",0,IF($AV527="yes",Summary!U527,"")),"")</f>
        <v>0</v>
      </c>
      <c r="AL527" s="646">
        <f>IFERROR(IF($AV527="No",0,IF($AV527="yes",Summary!V527,"")),"")</f>
        <v>0</v>
      </c>
      <c r="AM527" s="646">
        <f>IFERROR(IF($AV527="No",0,IF($AV527="yes",Summary!W527,"")),"")</f>
        <v>0</v>
      </c>
      <c r="AN527" s="646">
        <f>IFERROR(IF($AV527="No",0,IF($AV527="yes",Summary!X527,"")),"")</f>
        <v>0</v>
      </c>
      <c r="AO527" s="646">
        <f>IFERROR(IF($AV527="No",0,IF($AV527="yes",Summary!Y527+Z527,"")),"")</f>
        <v>0</v>
      </c>
      <c r="AP527" s="646">
        <f>IFERROR(IF($AV527="No",0,IF($AV527="yes",Summary!AB527,"")),"")</f>
        <v>0</v>
      </c>
      <c r="AQ527" s="649" t="str">
        <f t="shared" si="114"/>
        <v/>
      </c>
      <c r="AR527" s="649" t="str">
        <f t="shared" si="118"/>
        <v/>
      </c>
      <c r="AS527" s="649" t="str">
        <f t="shared" si="115"/>
        <v/>
      </c>
      <c r="AT527" s="641" t="s">
        <v>1001</v>
      </c>
      <c r="AV527" t="str">
        <f>IF('Proposed Lighting'!AK224&gt;0,"No","Yes")</f>
        <v>Yes</v>
      </c>
    </row>
    <row r="528" spans="1:48" ht="34.5" customHeight="1" outlineLevel="1">
      <c r="A528" s="641" t="s">
        <v>1002</v>
      </c>
      <c r="B528" s="641" t="str">
        <f>IF('Proposed Lighting'!AU225=3,"Commercial-All Com-ExtLight",IF('Proposed Lighting'!AH225&gt;8759,"IPC_8760","Commercial-All Com-IntLight"))</f>
        <v>IPC_8760</v>
      </c>
      <c r="C528" s="641" t="str">
        <f>IF(OR(E528="",E528=0),"No",
IF(AND('Data Entry'!$AF$23="OR",AE528&lt;1),"No",
IF(AND('Data Entry'!$AF$23="ID",E528="Non-standard lighting control system",AD528&lt;1),"No",
IF(AND('Data Entry'!$AF$23="OR",'Proposed Lighting'!F225="Existing LED (Provide Description)",'Proposed Lighting'!AK225=""),"No",
IF('Proposed Lighting'!DD225="Submit Control as Non-Standard","No",
IF(AND('Proposed Lighting'!T225="Non-Standard (Provide Description)",AD528&lt;1),"No",
IF('Proposed Lighting'!AW225&lt;'Proposed Lighting'!AZ225,"No","Yes")))))))</f>
        <v>No</v>
      </c>
      <c r="D528" s="1604">
        <f>'Proposed Lighting'!BQ225-Q528</f>
        <v>0</v>
      </c>
      <c r="E528" s="642" t="str">
        <f>IF('Proposed Lighting'!W225="","",'Proposed Lighting'!W225)</f>
        <v/>
      </c>
      <c r="F528" s="642"/>
      <c r="G528" s="641" t="s">
        <v>786</v>
      </c>
      <c r="H528" s="643">
        <v>10</v>
      </c>
      <c r="I528" s="644">
        <v>1</v>
      </c>
      <c r="J528" s="723">
        <f>IF('Proposed Lighting'!EF225=0,'Proposed Lighting'!AA225,'Proposed Lighting'!EF225)</f>
        <v>0</v>
      </c>
      <c r="K528" s="643" t="str">
        <f>'Proposed Lighting'!CU225</f>
        <v/>
      </c>
      <c r="L528" s="643" t="str">
        <f t="shared" si="116"/>
        <v/>
      </c>
      <c r="M528" s="645">
        <f t="shared" si="119"/>
        <v>0</v>
      </c>
      <c r="N528" s="645"/>
      <c r="O528" s="722">
        <f>IFERROR('Proposed Lighting'!AC225/1000,0)</f>
        <v>0</v>
      </c>
      <c r="P528" s="644">
        <f>'Proposed Lighting'!AV225</f>
        <v>0</v>
      </c>
      <c r="Q528" s="644">
        <f>IF(AND('Proposed Lighting'!T225="Lighting Controls Only",'Data Entry'!$AF$23="OR",'Proposed Lighting'!AU225=2),0,
IF(AND('Proposed Lighting'!T225="Lighting Controls Only",'Data Entry'!$AF$23="OR",'Proposed Lighting'!AU225=3,OR('Proposed Lighting'!W225="ceiling mount",'Proposed Lighting'!W225="wall switch",'Proposed Lighting'!W225="fixture mount (on exisiting equip)",'Proposed Lighting'!W225="daylight harvesting (on existing equip)")),0,
IF('Proposed Lighting'!AF225=1,IF(P528=0,0,J528*O528*(L528*(1-P528))),IF('Proposed Lighting'!AU225=1,0,'Proposed Lighting'!AX225-'Proposed Lighting'!AY225))))</f>
        <v>0</v>
      </c>
      <c r="R528" s="646">
        <f>IF('Proposed Lighting'!T225="Non-standard (provide description",0,
IF(AND(E528="Non-standard control",'Proposed Lighting'!AU225=2),Q528*0.1,
IF(AND(E528="Non-standard control",'Proposed Lighting'!AU225=3),Q528*0.08,
IF('Proposed Lighting'!EF225=0,0,IF('Proposed Lighting'!AU225=1,0,
IF(AND('Data Entry'!$AF$23="ID",'Proposed Lighting'!T225="Lighting controls only"),VLOOKUP(E528,'Proposed Lighting'!$DO$97:$DP$106,2,FALSE),
IF(AND('Data Entry'!$AF$23="OR",'Proposed Lighting'!AU225=3,'Proposed Lighting'!T225="Lighting controls only"),VLOOKUP(E528,'Proposed Lighting'!$DO$127:$DP$134,2,FALSE),0)))))))*J528</f>
        <v>0</v>
      </c>
      <c r="S528" s="646">
        <f>IF(Q528&lt;0.01,0,IF('Proposed Lighting'!AK225&gt;0,'Proposed Lighting'!AK225*'Proposed Lighting'!EF225,0))</f>
        <v>0</v>
      </c>
      <c r="T528" s="647">
        <f t="shared" si="117"/>
        <v>0</v>
      </c>
      <c r="U528" s="648"/>
      <c r="V528" s="646">
        <f t="shared" si="120"/>
        <v>0</v>
      </c>
      <c r="W528" s="646">
        <f t="shared" si="121"/>
        <v>0</v>
      </c>
      <c r="X528" s="646">
        <f t="shared" si="122"/>
        <v>0</v>
      </c>
      <c r="Y528" s="646"/>
      <c r="Z528" s="646"/>
      <c r="AA528" s="646"/>
      <c r="AB528" s="646">
        <f t="shared" si="123"/>
        <v>0</v>
      </c>
      <c r="AC528" s="649" t="str">
        <f t="shared" si="124"/>
        <v/>
      </c>
      <c r="AD528" s="649" t="str">
        <f t="shared" si="125"/>
        <v/>
      </c>
      <c r="AE528" s="649" t="str">
        <f t="shared" si="126"/>
        <v/>
      </c>
      <c r="AF528" s="72"/>
      <c r="AG528" s="644">
        <f>IFERROR(IF($AV528="No",0,IF($AV528="yes",Summary!Q528,"")),"")</f>
        <v>0</v>
      </c>
      <c r="AH528" s="646">
        <f>IFERROR(IF($AV528="No",0,IF($AV528="yes",Summary!R528,"")),"")</f>
        <v>0</v>
      </c>
      <c r="AI528" s="646">
        <f>IFERROR(IF($AV528="No",0,IF($AV528="yes",Summary!S528,"")),"")</f>
        <v>0</v>
      </c>
      <c r="AJ528" s="647">
        <f>IFERROR(IF($AV528="No",0,IF($AV528="yes",Summary!T528,"")),"")</f>
        <v>0</v>
      </c>
      <c r="AK528" s="648">
        <f>IFERROR(IF($AV528="No",0,IF($AV528="yes",Summary!U528,"")),"")</f>
        <v>0</v>
      </c>
      <c r="AL528" s="646">
        <f>IFERROR(IF($AV528="No",0,IF($AV528="yes",Summary!V528,"")),"")</f>
        <v>0</v>
      </c>
      <c r="AM528" s="646">
        <f>IFERROR(IF($AV528="No",0,IF($AV528="yes",Summary!W528,"")),"")</f>
        <v>0</v>
      </c>
      <c r="AN528" s="646">
        <f>IFERROR(IF($AV528="No",0,IF($AV528="yes",Summary!X528,"")),"")</f>
        <v>0</v>
      </c>
      <c r="AO528" s="646">
        <f>IFERROR(IF($AV528="No",0,IF($AV528="yes",Summary!Y528+Z528,"")),"")</f>
        <v>0</v>
      </c>
      <c r="AP528" s="646">
        <f>IFERROR(IF($AV528="No",0,IF($AV528="yes",Summary!AB528,"")),"")</f>
        <v>0</v>
      </c>
      <c r="AQ528" s="649" t="str">
        <f t="shared" si="114"/>
        <v/>
      </c>
      <c r="AR528" s="649" t="str">
        <f t="shared" si="118"/>
        <v/>
      </c>
      <c r="AS528" s="649" t="str">
        <f t="shared" si="115"/>
        <v/>
      </c>
      <c r="AT528" s="641" t="s">
        <v>1002</v>
      </c>
      <c r="AV528" t="str">
        <f>IF('Proposed Lighting'!AK225&gt;0,"No","Yes")</f>
        <v>Yes</v>
      </c>
    </row>
    <row r="529" spans="1:48" ht="34.5" customHeight="1" outlineLevel="1">
      <c r="A529" s="641" t="s">
        <v>1003</v>
      </c>
      <c r="B529" s="641" t="str">
        <f>IF('Proposed Lighting'!AU226=3,"Commercial-All Com-ExtLight",IF('Proposed Lighting'!AH226&gt;8759,"IPC_8760","Commercial-All Com-IntLight"))</f>
        <v>IPC_8760</v>
      </c>
      <c r="C529" s="641" t="str">
        <f>IF(OR(E529="",E529=0),"No",
IF(AND('Data Entry'!$AF$23="OR",AE529&lt;1),"No",
IF(AND('Data Entry'!$AF$23="ID",E529="Non-standard lighting control system",AD529&lt;1),"No",
IF(AND('Data Entry'!$AF$23="OR",'Proposed Lighting'!F226="Existing LED (Provide Description)",'Proposed Lighting'!AK226=""),"No",
IF('Proposed Lighting'!DD226="Submit Control as Non-Standard","No",
IF(AND('Proposed Lighting'!T226="Non-Standard (Provide Description)",AD529&lt;1),"No",
IF('Proposed Lighting'!AW226&lt;'Proposed Lighting'!AZ226,"No","Yes")))))))</f>
        <v>No</v>
      </c>
      <c r="D529" s="1604">
        <f>'Proposed Lighting'!BQ226-Q529</f>
        <v>0</v>
      </c>
      <c r="E529" s="642" t="str">
        <f>IF('Proposed Lighting'!W226="","",'Proposed Lighting'!W226)</f>
        <v/>
      </c>
      <c r="F529" s="642"/>
      <c r="G529" s="641" t="s">
        <v>786</v>
      </c>
      <c r="H529" s="643">
        <v>10</v>
      </c>
      <c r="I529" s="644">
        <v>1</v>
      </c>
      <c r="J529" s="723">
        <f>IF('Proposed Lighting'!EF226=0,'Proposed Lighting'!AA226,'Proposed Lighting'!EF226)</f>
        <v>0</v>
      </c>
      <c r="K529" s="643" t="str">
        <f>'Proposed Lighting'!CU226</f>
        <v/>
      </c>
      <c r="L529" s="643" t="str">
        <f t="shared" si="116"/>
        <v/>
      </c>
      <c r="M529" s="645">
        <f t="shared" si="119"/>
        <v>0</v>
      </c>
      <c r="N529" s="645"/>
      <c r="O529" s="722">
        <f>IFERROR('Proposed Lighting'!AC226/1000,0)</f>
        <v>0</v>
      </c>
      <c r="P529" s="644">
        <f>'Proposed Lighting'!AV226</f>
        <v>0</v>
      </c>
      <c r="Q529" s="644">
        <f>IF(AND('Proposed Lighting'!T226="Lighting Controls Only",'Data Entry'!$AF$23="OR",'Proposed Lighting'!AU226=2),0,
IF(AND('Proposed Lighting'!T226="Lighting Controls Only",'Data Entry'!$AF$23="OR",'Proposed Lighting'!AU226=3,OR('Proposed Lighting'!W226="ceiling mount",'Proposed Lighting'!W226="wall switch",'Proposed Lighting'!W226="fixture mount (on exisiting equip)",'Proposed Lighting'!W226="daylight harvesting (on existing equip)")),0,
IF('Proposed Lighting'!AF226=1,IF(P529=0,0,J529*O529*(L529*(1-P529))),IF('Proposed Lighting'!AU226=1,0,'Proposed Lighting'!AX226-'Proposed Lighting'!AY226))))</f>
        <v>0</v>
      </c>
      <c r="R529" s="646">
        <f>IF('Proposed Lighting'!T226="Non-standard (provide description",0,
IF(AND(E529="Non-standard control",'Proposed Lighting'!AU226=2),Q529*0.1,
IF(AND(E529="Non-standard control",'Proposed Lighting'!AU226=3),Q529*0.08,
IF('Proposed Lighting'!EF226=0,0,IF('Proposed Lighting'!AU226=1,0,
IF(AND('Data Entry'!$AF$23="ID",'Proposed Lighting'!T226="Lighting controls only"),VLOOKUP(E529,'Proposed Lighting'!$DO$97:$DP$106,2,FALSE),
IF(AND('Data Entry'!$AF$23="OR",'Proposed Lighting'!AU226=3,'Proposed Lighting'!T226="Lighting controls only"),VLOOKUP(E529,'Proposed Lighting'!$DO$127:$DP$134,2,FALSE),0)))))))*J529</f>
        <v>0</v>
      </c>
      <c r="S529" s="646">
        <f>IF(Q529&lt;0.01,0,IF('Proposed Lighting'!AK226&gt;0,'Proposed Lighting'!AK226*'Proposed Lighting'!EF226,0))</f>
        <v>0</v>
      </c>
      <c r="T529" s="647">
        <f t="shared" si="117"/>
        <v>0</v>
      </c>
      <c r="U529" s="648"/>
      <c r="V529" s="646">
        <f t="shared" si="120"/>
        <v>0</v>
      </c>
      <c r="W529" s="646">
        <f t="shared" si="121"/>
        <v>0</v>
      </c>
      <c r="X529" s="646">
        <f t="shared" si="122"/>
        <v>0</v>
      </c>
      <c r="Y529" s="646"/>
      <c r="Z529" s="646"/>
      <c r="AA529" s="646"/>
      <c r="AB529" s="646">
        <f t="shared" si="123"/>
        <v>0</v>
      </c>
      <c r="AC529" s="649" t="str">
        <f t="shared" si="124"/>
        <v/>
      </c>
      <c r="AD529" s="649" t="str">
        <f t="shared" si="125"/>
        <v/>
      </c>
      <c r="AE529" s="649" t="str">
        <f t="shared" si="126"/>
        <v/>
      </c>
      <c r="AF529" s="72"/>
      <c r="AG529" s="644">
        <f>IFERROR(IF($AV529="No",0,IF($AV529="yes",Summary!Q529,"")),"")</f>
        <v>0</v>
      </c>
      <c r="AH529" s="646">
        <f>IFERROR(IF($AV529="No",0,IF($AV529="yes",Summary!R529,"")),"")</f>
        <v>0</v>
      </c>
      <c r="AI529" s="646">
        <f>IFERROR(IF($AV529="No",0,IF($AV529="yes",Summary!S529,"")),"")</f>
        <v>0</v>
      </c>
      <c r="AJ529" s="647">
        <f>IFERROR(IF($AV529="No",0,IF($AV529="yes",Summary!T529,"")),"")</f>
        <v>0</v>
      </c>
      <c r="AK529" s="648">
        <f>IFERROR(IF($AV529="No",0,IF($AV529="yes",Summary!U529,"")),"")</f>
        <v>0</v>
      </c>
      <c r="AL529" s="646">
        <f>IFERROR(IF($AV529="No",0,IF($AV529="yes",Summary!V529,"")),"")</f>
        <v>0</v>
      </c>
      <c r="AM529" s="646">
        <f>IFERROR(IF($AV529="No",0,IF($AV529="yes",Summary!W529,"")),"")</f>
        <v>0</v>
      </c>
      <c r="AN529" s="646">
        <f>IFERROR(IF($AV529="No",0,IF($AV529="yes",Summary!X529,"")),"")</f>
        <v>0</v>
      </c>
      <c r="AO529" s="646">
        <f>IFERROR(IF($AV529="No",0,IF($AV529="yes",Summary!Y529+Z529,"")),"")</f>
        <v>0</v>
      </c>
      <c r="AP529" s="646">
        <f>IFERROR(IF($AV529="No",0,IF($AV529="yes",Summary!AB529,"")),"")</f>
        <v>0</v>
      </c>
      <c r="AQ529" s="649" t="str">
        <f t="shared" si="114"/>
        <v/>
      </c>
      <c r="AR529" s="649" t="str">
        <f t="shared" si="118"/>
        <v/>
      </c>
      <c r="AS529" s="649" t="str">
        <f t="shared" si="115"/>
        <v/>
      </c>
      <c r="AT529" s="641" t="s">
        <v>1003</v>
      </c>
      <c r="AV529" t="str">
        <f>IF('Proposed Lighting'!AK226&gt;0,"No","Yes")</f>
        <v>Yes</v>
      </c>
    </row>
    <row r="530" spans="1:48" ht="34.5" customHeight="1" outlineLevel="1">
      <c r="A530" s="641" t="s">
        <v>1004</v>
      </c>
      <c r="B530" s="641" t="str">
        <f>IF('Proposed Lighting'!AU227=3,"Commercial-All Com-ExtLight",IF('Proposed Lighting'!AH227&gt;8759,"IPC_8760","Commercial-All Com-IntLight"))</f>
        <v>IPC_8760</v>
      </c>
      <c r="C530" s="641" t="str">
        <f>IF(OR(E530="",E530=0),"No",
IF(AND('Data Entry'!$AF$23="OR",AE530&lt;1),"No",
IF(AND('Data Entry'!$AF$23="ID",E530="Non-standard lighting control system",AD530&lt;1),"No",
IF(AND('Data Entry'!$AF$23="OR",'Proposed Lighting'!F227="Existing LED (Provide Description)",'Proposed Lighting'!AK227=""),"No",
IF('Proposed Lighting'!DD227="Submit Control as Non-Standard","No",
IF(AND('Proposed Lighting'!T227="Non-Standard (Provide Description)",AD530&lt;1),"No",
IF('Proposed Lighting'!AW227&lt;'Proposed Lighting'!AZ227,"No","Yes")))))))</f>
        <v>No</v>
      </c>
      <c r="D530" s="1604">
        <f>'Proposed Lighting'!BQ227-Q530</f>
        <v>0</v>
      </c>
      <c r="E530" s="642" t="str">
        <f>IF('Proposed Lighting'!W227="","",'Proposed Lighting'!W227)</f>
        <v/>
      </c>
      <c r="F530" s="642"/>
      <c r="G530" s="641" t="s">
        <v>786</v>
      </c>
      <c r="H530" s="643">
        <v>10</v>
      </c>
      <c r="I530" s="644">
        <v>1</v>
      </c>
      <c r="J530" s="723">
        <f>IF('Proposed Lighting'!EF227=0,'Proposed Lighting'!AA227,'Proposed Lighting'!EF227)</f>
        <v>0</v>
      </c>
      <c r="K530" s="643" t="str">
        <f>'Proposed Lighting'!CU227</f>
        <v/>
      </c>
      <c r="L530" s="643" t="str">
        <f t="shared" si="116"/>
        <v/>
      </c>
      <c r="M530" s="645">
        <f t="shared" si="119"/>
        <v>0</v>
      </c>
      <c r="N530" s="645"/>
      <c r="O530" s="722">
        <f>IFERROR('Proposed Lighting'!AC227/1000,0)</f>
        <v>0</v>
      </c>
      <c r="P530" s="644">
        <f>'Proposed Lighting'!AV227</f>
        <v>0</v>
      </c>
      <c r="Q530" s="644">
        <f>IF(AND('Proposed Lighting'!T227="Lighting Controls Only",'Data Entry'!$AF$23="OR",'Proposed Lighting'!AU227=2),0,
IF(AND('Proposed Lighting'!T227="Lighting Controls Only",'Data Entry'!$AF$23="OR",'Proposed Lighting'!AU227=3,OR('Proposed Lighting'!W227="ceiling mount",'Proposed Lighting'!W227="wall switch",'Proposed Lighting'!W227="fixture mount (on exisiting equip)",'Proposed Lighting'!W227="daylight harvesting (on existing equip)")),0,
IF('Proposed Lighting'!AF227=1,IF(P530=0,0,J530*O530*(L530*(1-P530))),IF('Proposed Lighting'!AU227=1,0,'Proposed Lighting'!AX227-'Proposed Lighting'!AY227))))</f>
        <v>0</v>
      </c>
      <c r="R530" s="646">
        <f>IF('Proposed Lighting'!T227="Non-standard (provide description",0,
IF(AND(E530="Non-standard control",'Proposed Lighting'!AU227=2),Q530*0.1,
IF(AND(E530="Non-standard control",'Proposed Lighting'!AU227=3),Q530*0.08,
IF('Proposed Lighting'!EF227=0,0,IF('Proposed Lighting'!AU227=1,0,
IF(AND('Data Entry'!$AF$23="ID",'Proposed Lighting'!T227="Lighting controls only"),VLOOKUP(E530,'Proposed Lighting'!$DO$97:$DP$106,2,FALSE),
IF(AND('Data Entry'!$AF$23="OR",'Proposed Lighting'!AU227=3,'Proposed Lighting'!T227="Lighting controls only"),VLOOKUP(E530,'Proposed Lighting'!$DO$127:$DP$134,2,FALSE),0)))))))*J530</f>
        <v>0</v>
      </c>
      <c r="S530" s="646">
        <f>IF(Q530&lt;0.01,0,IF('Proposed Lighting'!AK227&gt;0,'Proposed Lighting'!AK227*'Proposed Lighting'!EF227,0))</f>
        <v>0</v>
      </c>
      <c r="T530" s="647">
        <f t="shared" si="117"/>
        <v>0</v>
      </c>
      <c r="U530" s="648"/>
      <c r="V530" s="646">
        <f t="shared" si="120"/>
        <v>0</v>
      </c>
      <c r="W530" s="646">
        <f t="shared" si="121"/>
        <v>0</v>
      </c>
      <c r="X530" s="646">
        <f t="shared" si="122"/>
        <v>0</v>
      </c>
      <c r="Y530" s="646"/>
      <c r="Z530" s="646"/>
      <c r="AA530" s="646"/>
      <c r="AB530" s="646">
        <f t="shared" si="123"/>
        <v>0</v>
      </c>
      <c r="AC530" s="649" t="str">
        <f t="shared" si="124"/>
        <v/>
      </c>
      <c r="AD530" s="649" t="str">
        <f t="shared" si="125"/>
        <v/>
      </c>
      <c r="AE530" s="649" t="str">
        <f t="shared" si="126"/>
        <v/>
      </c>
      <c r="AF530" s="72"/>
      <c r="AG530" s="644">
        <f>IFERROR(IF($AV530="No",0,IF($AV530="yes",Summary!Q530,"")),"")</f>
        <v>0</v>
      </c>
      <c r="AH530" s="646">
        <f>IFERROR(IF($AV530="No",0,IF($AV530="yes",Summary!R530,"")),"")</f>
        <v>0</v>
      </c>
      <c r="AI530" s="646">
        <f>IFERROR(IF($AV530="No",0,IF($AV530="yes",Summary!S530,"")),"")</f>
        <v>0</v>
      </c>
      <c r="AJ530" s="647">
        <f>IFERROR(IF($AV530="No",0,IF($AV530="yes",Summary!T530,"")),"")</f>
        <v>0</v>
      </c>
      <c r="AK530" s="648">
        <f>IFERROR(IF($AV530="No",0,IF($AV530="yes",Summary!U530,"")),"")</f>
        <v>0</v>
      </c>
      <c r="AL530" s="646">
        <f>IFERROR(IF($AV530="No",0,IF($AV530="yes",Summary!V530,"")),"")</f>
        <v>0</v>
      </c>
      <c r="AM530" s="646">
        <f>IFERROR(IF($AV530="No",0,IF($AV530="yes",Summary!W530,"")),"")</f>
        <v>0</v>
      </c>
      <c r="AN530" s="646">
        <f>IFERROR(IF($AV530="No",0,IF($AV530="yes",Summary!X530,"")),"")</f>
        <v>0</v>
      </c>
      <c r="AO530" s="646">
        <f>IFERROR(IF($AV530="No",0,IF($AV530="yes",Summary!Y530+Z530,"")),"")</f>
        <v>0</v>
      </c>
      <c r="AP530" s="646">
        <f>IFERROR(IF($AV530="No",0,IF($AV530="yes",Summary!AB530,"")),"")</f>
        <v>0</v>
      </c>
      <c r="AQ530" s="649" t="str">
        <f t="shared" si="114"/>
        <v/>
      </c>
      <c r="AR530" s="649" t="str">
        <f t="shared" si="118"/>
        <v/>
      </c>
      <c r="AS530" s="649" t="str">
        <f t="shared" si="115"/>
        <v/>
      </c>
      <c r="AT530" s="641" t="s">
        <v>1004</v>
      </c>
      <c r="AV530" t="str">
        <f>IF('Proposed Lighting'!AK227&gt;0,"No","Yes")</f>
        <v>Yes</v>
      </c>
    </row>
    <row r="531" spans="1:48" ht="34.5" customHeight="1" outlineLevel="1">
      <c r="A531" s="641" t="s">
        <v>1005</v>
      </c>
      <c r="B531" s="641" t="str">
        <f>IF('Proposed Lighting'!AU228=3,"Commercial-All Com-ExtLight",IF('Proposed Lighting'!AH228&gt;8759,"IPC_8760","Commercial-All Com-IntLight"))</f>
        <v>IPC_8760</v>
      </c>
      <c r="C531" s="641" t="str">
        <f>IF(OR(E531="",E531=0),"No",
IF(AND('Data Entry'!$AF$23="OR",AE531&lt;1),"No",
IF(AND('Data Entry'!$AF$23="ID",E531="Non-standard lighting control system",AD531&lt;1),"No",
IF(AND('Data Entry'!$AF$23="OR",'Proposed Lighting'!F228="Existing LED (Provide Description)",'Proposed Lighting'!AK228=""),"No",
IF('Proposed Lighting'!DD228="Submit Control as Non-Standard","No",
IF(AND('Proposed Lighting'!T228="Non-Standard (Provide Description)",AD531&lt;1),"No",
IF('Proposed Lighting'!AW228&lt;'Proposed Lighting'!AZ228,"No","Yes")))))))</f>
        <v>No</v>
      </c>
      <c r="D531" s="1604">
        <f>'Proposed Lighting'!BQ228-Q531</f>
        <v>0</v>
      </c>
      <c r="E531" s="642" t="str">
        <f>IF('Proposed Lighting'!W228="","",'Proposed Lighting'!W228)</f>
        <v/>
      </c>
      <c r="F531" s="642"/>
      <c r="G531" s="641" t="s">
        <v>786</v>
      </c>
      <c r="H531" s="643">
        <v>10</v>
      </c>
      <c r="I531" s="644">
        <v>1</v>
      </c>
      <c r="J531" s="723">
        <f>IF('Proposed Lighting'!EF228=0,'Proposed Lighting'!AA228,'Proposed Lighting'!EF228)</f>
        <v>0</v>
      </c>
      <c r="K531" s="643" t="str">
        <f>'Proposed Lighting'!CU228</f>
        <v/>
      </c>
      <c r="L531" s="643" t="str">
        <f t="shared" si="116"/>
        <v/>
      </c>
      <c r="M531" s="645">
        <f t="shared" si="119"/>
        <v>0</v>
      </c>
      <c r="N531" s="645"/>
      <c r="O531" s="722">
        <f>IFERROR('Proposed Lighting'!AC228/1000,0)</f>
        <v>0</v>
      </c>
      <c r="P531" s="644">
        <f>'Proposed Lighting'!AV228</f>
        <v>0</v>
      </c>
      <c r="Q531" s="644">
        <f>IF(AND('Proposed Lighting'!T228="Lighting Controls Only",'Data Entry'!$AF$23="OR",'Proposed Lighting'!AU228=2),0,
IF(AND('Proposed Lighting'!T228="Lighting Controls Only",'Data Entry'!$AF$23="OR",'Proposed Lighting'!AU228=3,OR('Proposed Lighting'!W228="ceiling mount",'Proposed Lighting'!W228="wall switch",'Proposed Lighting'!W228="fixture mount (on exisiting equip)",'Proposed Lighting'!W228="daylight harvesting (on existing equip)")),0,
IF('Proposed Lighting'!AF228=1,IF(P531=0,0,J531*O531*(L531*(1-P531))),IF('Proposed Lighting'!AU228=1,0,'Proposed Lighting'!AX228-'Proposed Lighting'!AY228))))</f>
        <v>0</v>
      </c>
      <c r="R531" s="646">
        <f>IF('Proposed Lighting'!T228="Non-standard (provide description",0,
IF(AND(E531="Non-standard control",'Proposed Lighting'!AU228=2),Q531*0.1,
IF(AND(E531="Non-standard control",'Proposed Lighting'!AU228=3),Q531*0.08,
IF('Proposed Lighting'!EF228=0,0,IF('Proposed Lighting'!AU228=1,0,
IF(AND('Data Entry'!$AF$23="ID",'Proposed Lighting'!T228="Lighting controls only"),VLOOKUP(E531,'Proposed Lighting'!$DO$97:$DP$106,2,FALSE),
IF(AND('Data Entry'!$AF$23="OR",'Proposed Lighting'!AU228=3,'Proposed Lighting'!T228="Lighting controls only"),VLOOKUP(E531,'Proposed Lighting'!$DO$127:$DP$134,2,FALSE),0)))))))*J531</f>
        <v>0</v>
      </c>
      <c r="S531" s="646">
        <f>IF(Q531&lt;0.01,0,IF('Proposed Lighting'!AK228&gt;0,'Proposed Lighting'!AK228*'Proposed Lighting'!EF228,0))</f>
        <v>0</v>
      </c>
      <c r="T531" s="647">
        <f t="shared" si="117"/>
        <v>0</v>
      </c>
      <c r="U531" s="648"/>
      <c r="V531" s="646">
        <f t="shared" si="120"/>
        <v>0</v>
      </c>
      <c r="W531" s="646">
        <f t="shared" si="121"/>
        <v>0</v>
      </c>
      <c r="X531" s="646">
        <f t="shared" si="122"/>
        <v>0</v>
      </c>
      <c r="Y531" s="646"/>
      <c r="Z531" s="646"/>
      <c r="AA531" s="646"/>
      <c r="AB531" s="646">
        <f t="shared" si="123"/>
        <v>0</v>
      </c>
      <c r="AC531" s="649" t="str">
        <f t="shared" si="124"/>
        <v/>
      </c>
      <c r="AD531" s="649" t="str">
        <f t="shared" si="125"/>
        <v/>
      </c>
      <c r="AE531" s="649" t="str">
        <f t="shared" si="126"/>
        <v/>
      </c>
      <c r="AF531" s="72"/>
      <c r="AG531" s="644">
        <f>IFERROR(IF($AV531="No",0,IF($AV531="yes",Summary!Q531,"")),"")</f>
        <v>0</v>
      </c>
      <c r="AH531" s="646">
        <f>IFERROR(IF($AV531="No",0,IF($AV531="yes",Summary!R531,"")),"")</f>
        <v>0</v>
      </c>
      <c r="AI531" s="646">
        <f>IFERROR(IF($AV531="No",0,IF($AV531="yes",Summary!S531,"")),"")</f>
        <v>0</v>
      </c>
      <c r="AJ531" s="647">
        <f>IFERROR(IF($AV531="No",0,IF($AV531="yes",Summary!T531,"")),"")</f>
        <v>0</v>
      </c>
      <c r="AK531" s="648">
        <f>IFERROR(IF($AV531="No",0,IF($AV531="yes",Summary!U531,"")),"")</f>
        <v>0</v>
      </c>
      <c r="AL531" s="646">
        <f>IFERROR(IF($AV531="No",0,IF($AV531="yes",Summary!V531,"")),"")</f>
        <v>0</v>
      </c>
      <c r="AM531" s="646">
        <f>IFERROR(IF($AV531="No",0,IF($AV531="yes",Summary!W531,"")),"")</f>
        <v>0</v>
      </c>
      <c r="AN531" s="646">
        <f>IFERROR(IF($AV531="No",0,IF($AV531="yes",Summary!X531,"")),"")</f>
        <v>0</v>
      </c>
      <c r="AO531" s="646">
        <f>IFERROR(IF($AV531="No",0,IF($AV531="yes",Summary!Y531+Z531,"")),"")</f>
        <v>0</v>
      </c>
      <c r="AP531" s="646">
        <f>IFERROR(IF($AV531="No",0,IF($AV531="yes",Summary!AB531,"")),"")</f>
        <v>0</v>
      </c>
      <c r="AQ531" s="649" t="str">
        <f t="shared" si="114"/>
        <v/>
      </c>
      <c r="AR531" s="649" t="str">
        <f t="shared" si="118"/>
        <v/>
      </c>
      <c r="AS531" s="649" t="str">
        <f t="shared" si="115"/>
        <v/>
      </c>
      <c r="AT531" s="641" t="s">
        <v>1005</v>
      </c>
      <c r="AV531" t="str">
        <f>IF('Proposed Lighting'!AK228&gt;0,"No","Yes")</f>
        <v>Yes</v>
      </c>
    </row>
    <row r="532" spans="1:48" ht="34.5" customHeight="1" outlineLevel="1">
      <c r="A532" s="641" t="s">
        <v>1006</v>
      </c>
      <c r="B532" s="641" t="str">
        <f>IF('Proposed Lighting'!AU229=3,"Commercial-All Com-ExtLight",IF('Proposed Lighting'!AH229&gt;8759,"IPC_8760","Commercial-All Com-IntLight"))</f>
        <v>IPC_8760</v>
      </c>
      <c r="C532" s="641" t="str">
        <f>IF(OR(E532="",E532=0),"No",
IF(AND('Data Entry'!$AF$23="OR",AE532&lt;1),"No",
IF(AND('Data Entry'!$AF$23="ID",E532="Non-standard lighting control system",AD532&lt;1),"No",
IF(AND('Data Entry'!$AF$23="OR",'Proposed Lighting'!F229="Existing LED (Provide Description)",'Proposed Lighting'!AK229=""),"No",
IF('Proposed Lighting'!DD229="Submit Control as Non-Standard","No",
IF(AND('Proposed Lighting'!T229="Non-Standard (Provide Description)",AD532&lt;1),"No",
IF('Proposed Lighting'!AW229&lt;'Proposed Lighting'!AZ229,"No","Yes")))))))</f>
        <v>No</v>
      </c>
      <c r="D532" s="1604">
        <f>'Proposed Lighting'!BQ229-Q532</f>
        <v>0</v>
      </c>
      <c r="E532" s="642" t="str">
        <f>IF('Proposed Lighting'!W229="","",'Proposed Lighting'!W229)</f>
        <v/>
      </c>
      <c r="F532" s="642"/>
      <c r="G532" s="641" t="s">
        <v>786</v>
      </c>
      <c r="H532" s="643">
        <v>10</v>
      </c>
      <c r="I532" s="644">
        <v>1</v>
      </c>
      <c r="J532" s="723">
        <f>IF('Proposed Lighting'!EF229=0,'Proposed Lighting'!AA229,'Proposed Lighting'!EF229)</f>
        <v>0</v>
      </c>
      <c r="K532" s="643" t="str">
        <f>'Proposed Lighting'!CU229</f>
        <v/>
      </c>
      <c r="L532" s="643" t="str">
        <f t="shared" si="116"/>
        <v/>
      </c>
      <c r="M532" s="645">
        <f t="shared" si="119"/>
        <v>0</v>
      </c>
      <c r="N532" s="645"/>
      <c r="O532" s="722">
        <f>IFERROR('Proposed Lighting'!AC229/1000,0)</f>
        <v>0</v>
      </c>
      <c r="P532" s="644">
        <f>'Proposed Lighting'!AV229</f>
        <v>0</v>
      </c>
      <c r="Q532" s="644">
        <f>IF(AND('Proposed Lighting'!T229="Lighting Controls Only",'Data Entry'!$AF$23="OR",'Proposed Lighting'!AU229=2),0,
IF(AND('Proposed Lighting'!T229="Lighting Controls Only",'Data Entry'!$AF$23="OR",'Proposed Lighting'!AU229=3,OR('Proposed Lighting'!W229="ceiling mount",'Proposed Lighting'!W229="wall switch",'Proposed Lighting'!W229="fixture mount (on exisiting equip)",'Proposed Lighting'!W229="daylight harvesting (on existing equip)")),0,
IF('Proposed Lighting'!AF229=1,IF(P532=0,0,J532*O532*(L532*(1-P532))),IF('Proposed Lighting'!AU229=1,0,'Proposed Lighting'!AX229-'Proposed Lighting'!AY229))))</f>
        <v>0</v>
      </c>
      <c r="R532" s="646">
        <f>IF('Proposed Lighting'!T229="Non-standard (provide description",0,
IF(AND(E532="Non-standard control",'Proposed Lighting'!AU229=2),Q532*0.1,
IF(AND(E532="Non-standard control",'Proposed Lighting'!AU229=3),Q532*0.08,
IF('Proposed Lighting'!EF229=0,0,IF('Proposed Lighting'!AU229=1,0,
IF(AND('Data Entry'!$AF$23="ID",'Proposed Lighting'!T229="Lighting controls only"),VLOOKUP(E532,'Proposed Lighting'!$DO$97:$DP$106,2,FALSE),
IF(AND('Data Entry'!$AF$23="OR",'Proposed Lighting'!AU229=3,'Proposed Lighting'!T229="Lighting controls only"),VLOOKUP(E532,'Proposed Lighting'!$DO$127:$DP$134,2,FALSE),0)))))))*J532</f>
        <v>0</v>
      </c>
      <c r="S532" s="646">
        <f>IF(Q532&lt;0.01,0,IF('Proposed Lighting'!AK229&gt;0,'Proposed Lighting'!AK229*'Proposed Lighting'!EF229,0))</f>
        <v>0</v>
      </c>
      <c r="T532" s="647">
        <f t="shared" si="117"/>
        <v>0</v>
      </c>
      <c r="U532" s="648"/>
      <c r="V532" s="646">
        <f t="shared" si="120"/>
        <v>0</v>
      </c>
      <c r="W532" s="646">
        <f t="shared" si="121"/>
        <v>0</v>
      </c>
      <c r="X532" s="646">
        <f t="shared" si="122"/>
        <v>0</v>
      </c>
      <c r="Y532" s="646"/>
      <c r="Z532" s="646"/>
      <c r="AA532" s="646"/>
      <c r="AB532" s="646">
        <f t="shared" si="123"/>
        <v>0</v>
      </c>
      <c r="AC532" s="649" t="str">
        <f t="shared" si="124"/>
        <v/>
      </c>
      <c r="AD532" s="649" t="str">
        <f t="shared" si="125"/>
        <v/>
      </c>
      <c r="AE532" s="649" t="str">
        <f t="shared" si="126"/>
        <v/>
      </c>
      <c r="AF532" s="72"/>
      <c r="AG532" s="644">
        <f>IFERROR(IF($AV532="No",0,IF($AV532="yes",Summary!Q532,"")),"")</f>
        <v>0</v>
      </c>
      <c r="AH532" s="646">
        <f>IFERROR(IF($AV532="No",0,IF($AV532="yes",Summary!R532,"")),"")</f>
        <v>0</v>
      </c>
      <c r="AI532" s="646">
        <f>IFERROR(IF($AV532="No",0,IF($AV532="yes",Summary!S532,"")),"")</f>
        <v>0</v>
      </c>
      <c r="AJ532" s="647">
        <f>IFERROR(IF($AV532="No",0,IF($AV532="yes",Summary!T532,"")),"")</f>
        <v>0</v>
      </c>
      <c r="AK532" s="648">
        <f>IFERROR(IF($AV532="No",0,IF($AV532="yes",Summary!U532,"")),"")</f>
        <v>0</v>
      </c>
      <c r="AL532" s="646">
        <f>IFERROR(IF($AV532="No",0,IF($AV532="yes",Summary!V532,"")),"")</f>
        <v>0</v>
      </c>
      <c r="AM532" s="646">
        <f>IFERROR(IF($AV532="No",0,IF($AV532="yes",Summary!W532,"")),"")</f>
        <v>0</v>
      </c>
      <c r="AN532" s="646">
        <f>IFERROR(IF($AV532="No",0,IF($AV532="yes",Summary!X532,"")),"")</f>
        <v>0</v>
      </c>
      <c r="AO532" s="646">
        <f>IFERROR(IF($AV532="No",0,IF($AV532="yes",Summary!Y532+Z532,"")),"")</f>
        <v>0</v>
      </c>
      <c r="AP532" s="646">
        <f>IFERROR(IF($AV532="No",0,IF($AV532="yes",Summary!AB532,"")),"")</f>
        <v>0</v>
      </c>
      <c r="AQ532" s="649" t="str">
        <f t="shared" si="114"/>
        <v/>
      </c>
      <c r="AR532" s="649" t="str">
        <f t="shared" si="118"/>
        <v/>
      </c>
      <c r="AS532" s="649" t="str">
        <f t="shared" si="115"/>
        <v/>
      </c>
      <c r="AT532" s="641" t="s">
        <v>1006</v>
      </c>
      <c r="AV532" t="str">
        <f>IF('Proposed Lighting'!AK229&gt;0,"No","Yes")</f>
        <v>Yes</v>
      </c>
    </row>
    <row r="533" spans="1:48" ht="34.5" customHeight="1" outlineLevel="1">
      <c r="A533" s="641" t="s">
        <v>1007</v>
      </c>
      <c r="B533" s="641" t="str">
        <f>IF('Proposed Lighting'!AU230=3,"Commercial-All Com-ExtLight",IF('Proposed Lighting'!AH230&gt;8759,"IPC_8760","Commercial-All Com-IntLight"))</f>
        <v>IPC_8760</v>
      </c>
      <c r="C533" s="641" t="str">
        <f>IF(OR(E533="",E533=0),"No",
IF(AND('Data Entry'!$AF$23="OR",AE533&lt;1),"No",
IF(AND('Data Entry'!$AF$23="ID",E533="Non-standard lighting control system",AD533&lt;1),"No",
IF(AND('Data Entry'!$AF$23="OR",'Proposed Lighting'!F230="Existing LED (Provide Description)",'Proposed Lighting'!AK230=""),"No",
IF('Proposed Lighting'!DD230="Submit Control as Non-Standard","No",
IF(AND('Proposed Lighting'!T230="Non-Standard (Provide Description)",AD533&lt;1),"No",
IF('Proposed Lighting'!AW230&lt;'Proposed Lighting'!AZ230,"No","Yes")))))))</f>
        <v>No</v>
      </c>
      <c r="D533" s="1604">
        <f>'Proposed Lighting'!BQ230-Q533</f>
        <v>0</v>
      </c>
      <c r="E533" s="642" t="str">
        <f>IF('Proposed Lighting'!W230="","",'Proposed Lighting'!W230)</f>
        <v/>
      </c>
      <c r="F533" s="642"/>
      <c r="G533" s="641" t="s">
        <v>786</v>
      </c>
      <c r="H533" s="643">
        <v>10</v>
      </c>
      <c r="I533" s="644">
        <v>1</v>
      </c>
      <c r="J533" s="723">
        <f>IF('Proposed Lighting'!EF230=0,'Proposed Lighting'!AA230,'Proposed Lighting'!EF230)</f>
        <v>0</v>
      </c>
      <c r="K533" s="643" t="str">
        <f>'Proposed Lighting'!CU230</f>
        <v/>
      </c>
      <c r="L533" s="643" t="str">
        <f t="shared" si="116"/>
        <v/>
      </c>
      <c r="M533" s="645">
        <f t="shared" si="119"/>
        <v>0</v>
      </c>
      <c r="N533" s="645"/>
      <c r="O533" s="722">
        <f>IFERROR('Proposed Lighting'!AC230/1000,0)</f>
        <v>0</v>
      </c>
      <c r="P533" s="644">
        <f>'Proposed Lighting'!AV230</f>
        <v>0</v>
      </c>
      <c r="Q533" s="644">
        <f>IF(AND('Proposed Lighting'!T230="Lighting Controls Only",'Data Entry'!$AF$23="OR",'Proposed Lighting'!AU230=2),0,
IF(AND('Proposed Lighting'!T230="Lighting Controls Only",'Data Entry'!$AF$23="OR",'Proposed Lighting'!AU230=3,OR('Proposed Lighting'!W230="ceiling mount",'Proposed Lighting'!W230="wall switch",'Proposed Lighting'!W230="fixture mount (on exisiting equip)",'Proposed Lighting'!W230="daylight harvesting (on existing equip)")),0,
IF('Proposed Lighting'!AF230=1,IF(P533=0,0,J533*O533*(L533*(1-P533))),IF('Proposed Lighting'!AU230=1,0,'Proposed Lighting'!AX230-'Proposed Lighting'!AY230))))</f>
        <v>0</v>
      </c>
      <c r="R533" s="646">
        <f>IF('Proposed Lighting'!T230="Non-standard (provide description",0,
IF(AND(E533="Non-standard control",'Proposed Lighting'!AU230=2),Q533*0.1,
IF(AND(E533="Non-standard control",'Proposed Lighting'!AU230=3),Q533*0.08,
IF('Proposed Lighting'!EF230=0,0,IF('Proposed Lighting'!AU230=1,0,
IF(AND('Data Entry'!$AF$23="ID",'Proposed Lighting'!T230="Lighting controls only"),VLOOKUP(E533,'Proposed Lighting'!$DO$97:$DP$106,2,FALSE),
IF(AND('Data Entry'!$AF$23="OR",'Proposed Lighting'!AU230=3,'Proposed Lighting'!T230="Lighting controls only"),VLOOKUP(E533,'Proposed Lighting'!$DO$127:$DP$134,2,FALSE),0)))))))*J533</f>
        <v>0</v>
      </c>
      <c r="S533" s="646">
        <f>IF(Q533&lt;0.01,0,IF('Proposed Lighting'!AK230&gt;0,'Proposed Lighting'!AK230*'Proposed Lighting'!EF230,0))</f>
        <v>0</v>
      </c>
      <c r="T533" s="647">
        <f t="shared" si="117"/>
        <v>0</v>
      </c>
      <c r="U533" s="648"/>
      <c r="V533" s="646">
        <f t="shared" si="120"/>
        <v>0</v>
      </c>
      <c r="W533" s="646">
        <f t="shared" si="121"/>
        <v>0</v>
      </c>
      <c r="X533" s="646">
        <f t="shared" si="122"/>
        <v>0</v>
      </c>
      <c r="Y533" s="646"/>
      <c r="Z533" s="646"/>
      <c r="AA533" s="646"/>
      <c r="AB533" s="646">
        <f t="shared" si="123"/>
        <v>0</v>
      </c>
      <c r="AC533" s="649" t="str">
        <f t="shared" si="124"/>
        <v/>
      </c>
      <c r="AD533" s="649" t="str">
        <f t="shared" si="125"/>
        <v/>
      </c>
      <c r="AE533" s="649" t="str">
        <f t="shared" si="126"/>
        <v/>
      </c>
      <c r="AF533" s="72"/>
      <c r="AG533" s="644">
        <f>IFERROR(IF($AV533="No",0,IF($AV533="yes",Summary!Q533,"")),"")</f>
        <v>0</v>
      </c>
      <c r="AH533" s="646">
        <f>IFERROR(IF($AV533="No",0,IF($AV533="yes",Summary!R533,"")),"")</f>
        <v>0</v>
      </c>
      <c r="AI533" s="646">
        <f>IFERROR(IF($AV533="No",0,IF($AV533="yes",Summary!S533,"")),"")</f>
        <v>0</v>
      </c>
      <c r="AJ533" s="647">
        <f>IFERROR(IF($AV533="No",0,IF($AV533="yes",Summary!T533,"")),"")</f>
        <v>0</v>
      </c>
      <c r="AK533" s="648">
        <f>IFERROR(IF($AV533="No",0,IF($AV533="yes",Summary!U533,"")),"")</f>
        <v>0</v>
      </c>
      <c r="AL533" s="646">
        <f>IFERROR(IF($AV533="No",0,IF($AV533="yes",Summary!V533,"")),"")</f>
        <v>0</v>
      </c>
      <c r="AM533" s="646">
        <f>IFERROR(IF($AV533="No",0,IF($AV533="yes",Summary!W533,"")),"")</f>
        <v>0</v>
      </c>
      <c r="AN533" s="646">
        <f>IFERROR(IF($AV533="No",0,IF($AV533="yes",Summary!X533,"")),"")</f>
        <v>0</v>
      </c>
      <c r="AO533" s="646">
        <f>IFERROR(IF($AV533="No",0,IF($AV533="yes",Summary!Y533+Z533,"")),"")</f>
        <v>0</v>
      </c>
      <c r="AP533" s="646">
        <f>IFERROR(IF($AV533="No",0,IF($AV533="yes",Summary!AB533,"")),"")</f>
        <v>0</v>
      </c>
      <c r="AQ533" s="649" t="str">
        <f t="shared" si="114"/>
        <v/>
      </c>
      <c r="AR533" s="649" t="str">
        <f t="shared" si="118"/>
        <v/>
      </c>
      <c r="AS533" s="649" t="str">
        <f t="shared" si="115"/>
        <v/>
      </c>
      <c r="AT533" s="641" t="s">
        <v>1007</v>
      </c>
      <c r="AV533" t="str">
        <f>IF('Proposed Lighting'!AK230&gt;0,"No","Yes")</f>
        <v>Yes</v>
      </c>
    </row>
    <row r="534" spans="1:48" ht="34.5" customHeight="1" outlineLevel="1">
      <c r="A534" s="641" t="s">
        <v>1008</v>
      </c>
      <c r="B534" s="641" t="str">
        <f>IF('Proposed Lighting'!AU231=3,"Commercial-All Com-ExtLight",IF('Proposed Lighting'!AH231&gt;8759,"IPC_8760","Commercial-All Com-IntLight"))</f>
        <v>IPC_8760</v>
      </c>
      <c r="C534" s="641" t="str">
        <f>IF(OR(E534="",E534=0),"No",
IF(AND('Data Entry'!$AF$23="OR",AE534&lt;1),"No",
IF(AND('Data Entry'!$AF$23="ID",E534="Non-standard lighting control system",AD534&lt;1),"No",
IF(AND('Data Entry'!$AF$23="OR",'Proposed Lighting'!F231="Existing LED (Provide Description)",'Proposed Lighting'!AK231=""),"No",
IF('Proposed Lighting'!DD231="Submit Control as Non-Standard","No",
IF(AND('Proposed Lighting'!T231="Non-Standard (Provide Description)",AD534&lt;1),"No",
IF('Proposed Lighting'!AW231&lt;'Proposed Lighting'!AZ231,"No","Yes")))))))</f>
        <v>No</v>
      </c>
      <c r="D534" s="1604">
        <f>'Proposed Lighting'!BQ231-Q534</f>
        <v>0</v>
      </c>
      <c r="E534" s="642" t="str">
        <f>IF('Proposed Lighting'!W231="","",'Proposed Lighting'!W231)</f>
        <v/>
      </c>
      <c r="F534" s="642"/>
      <c r="G534" s="641" t="s">
        <v>786</v>
      </c>
      <c r="H534" s="643">
        <v>10</v>
      </c>
      <c r="I534" s="644">
        <v>1</v>
      </c>
      <c r="J534" s="723">
        <f>IF('Proposed Lighting'!EF231=0,'Proposed Lighting'!AA231,'Proposed Lighting'!EF231)</f>
        <v>0</v>
      </c>
      <c r="K534" s="643" t="str">
        <f>'Proposed Lighting'!CU231</f>
        <v/>
      </c>
      <c r="L534" s="643" t="str">
        <f t="shared" si="116"/>
        <v/>
      </c>
      <c r="M534" s="645">
        <f t="shared" si="119"/>
        <v>0</v>
      </c>
      <c r="N534" s="645"/>
      <c r="O534" s="722">
        <f>IFERROR('Proposed Lighting'!AC231/1000,0)</f>
        <v>0</v>
      </c>
      <c r="P534" s="644">
        <f>'Proposed Lighting'!AV231</f>
        <v>0</v>
      </c>
      <c r="Q534" s="644">
        <f>IF(AND('Proposed Lighting'!T231="Lighting Controls Only",'Data Entry'!$AF$23="OR",'Proposed Lighting'!AU231=2),0,
IF(AND('Proposed Lighting'!T231="Lighting Controls Only",'Data Entry'!$AF$23="OR",'Proposed Lighting'!AU231=3,OR('Proposed Lighting'!W231="ceiling mount",'Proposed Lighting'!W231="wall switch",'Proposed Lighting'!W231="fixture mount (on exisiting equip)",'Proposed Lighting'!W231="daylight harvesting (on existing equip)")),0,
IF('Proposed Lighting'!AF231=1,IF(P534=0,0,J534*O534*(L534*(1-P534))),IF('Proposed Lighting'!AU231=1,0,'Proposed Lighting'!AX231-'Proposed Lighting'!AY231))))</f>
        <v>0</v>
      </c>
      <c r="R534" s="646">
        <f>IF('Proposed Lighting'!T231="Non-standard (provide description",0,
IF(AND(E534="Non-standard control",'Proposed Lighting'!AU231=2),Q534*0.1,
IF(AND(E534="Non-standard control",'Proposed Lighting'!AU231=3),Q534*0.08,
IF('Proposed Lighting'!EF231=0,0,IF('Proposed Lighting'!AU231=1,0,
IF(AND('Data Entry'!$AF$23="ID",'Proposed Lighting'!T231="Lighting controls only"),VLOOKUP(E534,'Proposed Lighting'!$DO$97:$DP$106,2,FALSE),
IF(AND('Data Entry'!$AF$23="OR",'Proposed Lighting'!AU231=3,'Proposed Lighting'!T231="Lighting controls only"),VLOOKUP(E534,'Proposed Lighting'!$DO$127:$DP$134,2,FALSE),0)))))))*J534</f>
        <v>0</v>
      </c>
      <c r="S534" s="646">
        <f>IF(Q534&lt;0.01,0,IF('Proposed Lighting'!AK231&gt;0,'Proposed Lighting'!AK231*'Proposed Lighting'!EF231,0))</f>
        <v>0</v>
      </c>
      <c r="T534" s="647">
        <f t="shared" si="117"/>
        <v>0</v>
      </c>
      <c r="U534" s="648"/>
      <c r="V534" s="646">
        <f t="shared" si="120"/>
        <v>0</v>
      </c>
      <c r="W534" s="646">
        <f t="shared" si="121"/>
        <v>0</v>
      </c>
      <c r="X534" s="646">
        <f t="shared" si="122"/>
        <v>0</v>
      </c>
      <c r="Y534" s="646"/>
      <c r="Z534" s="646"/>
      <c r="AA534" s="646"/>
      <c r="AB534" s="646">
        <f t="shared" si="123"/>
        <v>0</v>
      </c>
      <c r="AC534" s="649" t="str">
        <f t="shared" si="124"/>
        <v/>
      </c>
      <c r="AD534" s="649" t="str">
        <f t="shared" si="125"/>
        <v/>
      </c>
      <c r="AE534" s="649" t="str">
        <f t="shared" si="126"/>
        <v/>
      </c>
      <c r="AF534" s="72"/>
      <c r="AG534" s="644">
        <f>IFERROR(IF($AV534="No",0,IF($AV534="yes",Summary!Q534,"")),"")</f>
        <v>0</v>
      </c>
      <c r="AH534" s="646">
        <f>IFERROR(IF($AV534="No",0,IF($AV534="yes",Summary!R534,"")),"")</f>
        <v>0</v>
      </c>
      <c r="AI534" s="646">
        <f>IFERROR(IF($AV534="No",0,IF($AV534="yes",Summary!S534,"")),"")</f>
        <v>0</v>
      </c>
      <c r="AJ534" s="647">
        <f>IFERROR(IF($AV534="No",0,IF($AV534="yes",Summary!T534,"")),"")</f>
        <v>0</v>
      </c>
      <c r="AK534" s="648">
        <f>IFERROR(IF($AV534="No",0,IF($AV534="yes",Summary!U534,"")),"")</f>
        <v>0</v>
      </c>
      <c r="AL534" s="646">
        <f>IFERROR(IF($AV534="No",0,IF($AV534="yes",Summary!V534,"")),"")</f>
        <v>0</v>
      </c>
      <c r="AM534" s="646">
        <f>IFERROR(IF($AV534="No",0,IF($AV534="yes",Summary!W534,"")),"")</f>
        <v>0</v>
      </c>
      <c r="AN534" s="646">
        <f>IFERROR(IF($AV534="No",0,IF($AV534="yes",Summary!X534,"")),"")</f>
        <v>0</v>
      </c>
      <c r="AO534" s="646">
        <f>IFERROR(IF($AV534="No",0,IF($AV534="yes",Summary!Y534+Z534,"")),"")</f>
        <v>0</v>
      </c>
      <c r="AP534" s="646">
        <f>IFERROR(IF($AV534="No",0,IF($AV534="yes",Summary!AB534,"")),"")</f>
        <v>0</v>
      </c>
      <c r="AQ534" s="649" t="str">
        <f t="shared" si="114"/>
        <v/>
      </c>
      <c r="AR534" s="649" t="str">
        <f t="shared" si="118"/>
        <v/>
      </c>
      <c r="AS534" s="649" t="str">
        <f t="shared" si="115"/>
        <v/>
      </c>
      <c r="AT534" s="641" t="s">
        <v>1008</v>
      </c>
      <c r="AV534" t="str">
        <f>IF('Proposed Lighting'!AK231&gt;0,"No","Yes")</f>
        <v>Yes</v>
      </c>
    </row>
    <row r="535" spans="1:48" ht="34.5" customHeight="1" outlineLevel="1">
      <c r="A535" s="641" t="s">
        <v>1009</v>
      </c>
      <c r="B535" s="641" t="str">
        <f>IF('Proposed Lighting'!AU232=3,"Commercial-All Com-ExtLight",IF('Proposed Lighting'!AH232&gt;8759,"IPC_8760","Commercial-All Com-IntLight"))</f>
        <v>IPC_8760</v>
      </c>
      <c r="C535" s="641" t="str">
        <f>IF(OR(E535="",E535=0),"No",
IF(AND('Data Entry'!$AF$23="OR",AE535&lt;1),"No",
IF(AND('Data Entry'!$AF$23="ID",E535="Non-standard lighting control system",AD535&lt;1),"No",
IF(AND('Data Entry'!$AF$23="OR",'Proposed Lighting'!F232="Existing LED (Provide Description)",'Proposed Lighting'!AK232=""),"No",
IF('Proposed Lighting'!DD232="Submit Control as Non-Standard","No",
IF(AND('Proposed Lighting'!T232="Non-Standard (Provide Description)",AD535&lt;1),"No",
IF('Proposed Lighting'!AW232&lt;'Proposed Lighting'!AZ232,"No","Yes")))))))</f>
        <v>No</v>
      </c>
      <c r="D535" s="1604">
        <f>'Proposed Lighting'!BQ232-Q535</f>
        <v>0</v>
      </c>
      <c r="E535" s="642" t="str">
        <f>IF('Proposed Lighting'!W232="","",'Proposed Lighting'!W232)</f>
        <v/>
      </c>
      <c r="F535" s="642"/>
      <c r="G535" s="641" t="s">
        <v>786</v>
      </c>
      <c r="H535" s="643">
        <v>10</v>
      </c>
      <c r="I535" s="644">
        <v>1</v>
      </c>
      <c r="J535" s="723">
        <f>IF('Proposed Lighting'!EF232=0,'Proposed Lighting'!AA232,'Proposed Lighting'!EF232)</f>
        <v>0</v>
      </c>
      <c r="K535" s="643" t="str">
        <f>'Proposed Lighting'!CU232</f>
        <v/>
      </c>
      <c r="L535" s="643" t="str">
        <f t="shared" si="116"/>
        <v/>
      </c>
      <c r="M535" s="645">
        <f t="shared" si="119"/>
        <v>0</v>
      </c>
      <c r="N535" s="645"/>
      <c r="O535" s="722">
        <f>IFERROR('Proposed Lighting'!AC232/1000,0)</f>
        <v>0</v>
      </c>
      <c r="P535" s="644">
        <f>'Proposed Lighting'!AV232</f>
        <v>0</v>
      </c>
      <c r="Q535" s="644">
        <f>IF(AND('Proposed Lighting'!T232="Lighting Controls Only",'Data Entry'!$AF$23="OR",'Proposed Lighting'!AU232=2),0,
IF(AND('Proposed Lighting'!T232="Lighting Controls Only",'Data Entry'!$AF$23="OR",'Proposed Lighting'!AU232=3,OR('Proposed Lighting'!W232="ceiling mount",'Proposed Lighting'!W232="wall switch",'Proposed Lighting'!W232="fixture mount (on exisiting equip)",'Proposed Lighting'!W232="daylight harvesting (on existing equip)")),0,
IF('Proposed Lighting'!AF232=1,IF(P535=0,0,J535*O535*(L535*(1-P535))),IF('Proposed Lighting'!AU232=1,0,'Proposed Lighting'!AX232-'Proposed Lighting'!AY232))))</f>
        <v>0</v>
      </c>
      <c r="R535" s="646">
        <f>IF('Proposed Lighting'!T232="Non-standard (provide description",0,
IF(AND(E535="Non-standard control",'Proposed Lighting'!AU232=2),Q535*0.1,
IF(AND(E535="Non-standard control",'Proposed Lighting'!AU232=3),Q535*0.08,
IF('Proposed Lighting'!EF232=0,0,IF('Proposed Lighting'!AU232=1,0,
IF(AND('Data Entry'!$AF$23="ID",'Proposed Lighting'!T232="Lighting controls only"),VLOOKUP(E535,'Proposed Lighting'!$DO$97:$DP$106,2,FALSE),
IF(AND('Data Entry'!$AF$23="OR",'Proposed Lighting'!AU232=3,'Proposed Lighting'!T232="Lighting controls only"),VLOOKUP(E535,'Proposed Lighting'!$DO$127:$DP$134,2,FALSE),0)))))))*J535</f>
        <v>0</v>
      </c>
      <c r="S535" s="646">
        <f>IF(Q535&lt;0.01,0,IF('Proposed Lighting'!AK232&gt;0,'Proposed Lighting'!AK232*'Proposed Lighting'!EF232,0))</f>
        <v>0</v>
      </c>
      <c r="T535" s="647">
        <f t="shared" si="117"/>
        <v>0</v>
      </c>
      <c r="U535" s="648"/>
      <c r="V535" s="646">
        <f t="shared" si="120"/>
        <v>0</v>
      </c>
      <c r="W535" s="646">
        <f t="shared" si="121"/>
        <v>0</v>
      </c>
      <c r="X535" s="646">
        <f t="shared" si="122"/>
        <v>0</v>
      </c>
      <c r="Y535" s="646"/>
      <c r="Z535" s="646"/>
      <c r="AA535" s="646"/>
      <c r="AB535" s="646">
        <f t="shared" si="123"/>
        <v>0</v>
      </c>
      <c r="AC535" s="649" t="str">
        <f t="shared" si="124"/>
        <v/>
      </c>
      <c r="AD535" s="649" t="str">
        <f t="shared" si="125"/>
        <v/>
      </c>
      <c r="AE535" s="649" t="str">
        <f t="shared" si="126"/>
        <v/>
      </c>
      <c r="AF535" s="72"/>
      <c r="AG535" s="644">
        <f>IFERROR(IF($AV535="No",0,IF($AV535="yes",Summary!Q535,"")),"")</f>
        <v>0</v>
      </c>
      <c r="AH535" s="646">
        <f>IFERROR(IF($AV535="No",0,IF($AV535="yes",Summary!R535,"")),"")</f>
        <v>0</v>
      </c>
      <c r="AI535" s="646">
        <f>IFERROR(IF($AV535="No",0,IF($AV535="yes",Summary!S535,"")),"")</f>
        <v>0</v>
      </c>
      <c r="AJ535" s="647">
        <f>IFERROR(IF($AV535="No",0,IF($AV535="yes",Summary!T535,"")),"")</f>
        <v>0</v>
      </c>
      <c r="AK535" s="648">
        <f>IFERROR(IF($AV535="No",0,IF($AV535="yes",Summary!U535,"")),"")</f>
        <v>0</v>
      </c>
      <c r="AL535" s="646">
        <f>IFERROR(IF($AV535="No",0,IF($AV535="yes",Summary!V535,"")),"")</f>
        <v>0</v>
      </c>
      <c r="AM535" s="646">
        <f>IFERROR(IF($AV535="No",0,IF($AV535="yes",Summary!W535,"")),"")</f>
        <v>0</v>
      </c>
      <c r="AN535" s="646">
        <f>IFERROR(IF($AV535="No",0,IF($AV535="yes",Summary!X535,"")),"")</f>
        <v>0</v>
      </c>
      <c r="AO535" s="646">
        <f>IFERROR(IF($AV535="No",0,IF($AV535="yes",Summary!Y535+Z535,"")),"")</f>
        <v>0</v>
      </c>
      <c r="AP535" s="646">
        <f>IFERROR(IF($AV535="No",0,IF($AV535="yes",Summary!AB535,"")),"")</f>
        <v>0</v>
      </c>
      <c r="AQ535" s="649" t="str">
        <f t="shared" si="114"/>
        <v/>
      </c>
      <c r="AR535" s="649" t="str">
        <f t="shared" si="118"/>
        <v/>
      </c>
      <c r="AS535" s="649" t="str">
        <f t="shared" si="115"/>
        <v/>
      </c>
      <c r="AT535" s="641" t="s">
        <v>1009</v>
      </c>
      <c r="AV535" t="str">
        <f>IF('Proposed Lighting'!AK232&gt;0,"No","Yes")</f>
        <v>Yes</v>
      </c>
    </row>
    <row r="536" spans="1:48" ht="34.5" customHeight="1" outlineLevel="1">
      <c r="A536" s="641" t="s">
        <v>1010</v>
      </c>
      <c r="B536" s="641" t="str">
        <f>IF('Proposed Lighting'!AU233=3,"Commercial-All Com-ExtLight",IF('Proposed Lighting'!AH233&gt;8759,"IPC_8760","Commercial-All Com-IntLight"))</f>
        <v>IPC_8760</v>
      </c>
      <c r="C536" s="641" t="str">
        <f>IF(OR(E536="",E536=0),"No",
IF(AND('Data Entry'!$AF$23="OR",AE536&lt;1),"No",
IF(AND('Data Entry'!$AF$23="ID",E536="Non-standard lighting control system",AD536&lt;1),"No",
IF(AND('Data Entry'!$AF$23="OR",'Proposed Lighting'!F233="Existing LED (Provide Description)",'Proposed Lighting'!AK233=""),"No",
IF('Proposed Lighting'!DD233="Submit Control as Non-Standard","No",
IF(AND('Proposed Lighting'!T233="Non-Standard (Provide Description)",AD536&lt;1),"No",
IF('Proposed Lighting'!AW233&lt;'Proposed Lighting'!AZ233,"No","Yes")))))))</f>
        <v>No</v>
      </c>
      <c r="D536" s="1604">
        <f>'Proposed Lighting'!BQ233-Q536</f>
        <v>0</v>
      </c>
      <c r="E536" s="642" t="str">
        <f>IF('Proposed Lighting'!W233="","",'Proposed Lighting'!W233)</f>
        <v/>
      </c>
      <c r="F536" s="642"/>
      <c r="G536" s="641" t="s">
        <v>786</v>
      </c>
      <c r="H536" s="643">
        <v>10</v>
      </c>
      <c r="I536" s="644">
        <v>1</v>
      </c>
      <c r="J536" s="723">
        <f>IF('Proposed Lighting'!EF233=0,'Proposed Lighting'!AA233,'Proposed Lighting'!EF233)</f>
        <v>0</v>
      </c>
      <c r="K536" s="643" t="str">
        <f>'Proposed Lighting'!CU233</f>
        <v/>
      </c>
      <c r="L536" s="643" t="str">
        <f t="shared" si="116"/>
        <v/>
      </c>
      <c r="M536" s="645">
        <f t="shared" si="119"/>
        <v>0</v>
      </c>
      <c r="N536" s="645"/>
      <c r="O536" s="722">
        <f>IFERROR('Proposed Lighting'!AC233/1000,0)</f>
        <v>0</v>
      </c>
      <c r="P536" s="644">
        <f>'Proposed Lighting'!AV233</f>
        <v>0</v>
      </c>
      <c r="Q536" s="644">
        <f>IF(AND('Proposed Lighting'!T233="Lighting Controls Only",'Data Entry'!$AF$23="OR",'Proposed Lighting'!AU233=2),0,
IF(AND('Proposed Lighting'!T233="Lighting Controls Only",'Data Entry'!$AF$23="OR",'Proposed Lighting'!AU233=3,OR('Proposed Lighting'!W233="ceiling mount",'Proposed Lighting'!W233="wall switch",'Proposed Lighting'!W233="fixture mount (on exisiting equip)",'Proposed Lighting'!W233="daylight harvesting (on existing equip)")),0,
IF('Proposed Lighting'!AF233=1,IF(P536=0,0,J536*O536*(L536*(1-P536))),IF('Proposed Lighting'!AU233=1,0,'Proposed Lighting'!AX233-'Proposed Lighting'!AY233))))</f>
        <v>0</v>
      </c>
      <c r="R536" s="646">
        <f>IF('Proposed Lighting'!T233="Non-standard (provide description",0,
IF(AND(E536="Non-standard control",'Proposed Lighting'!AU233=2),Q536*0.1,
IF(AND(E536="Non-standard control",'Proposed Lighting'!AU233=3),Q536*0.08,
IF('Proposed Lighting'!EF233=0,0,IF('Proposed Lighting'!AU233=1,0,
IF(AND('Data Entry'!$AF$23="ID",'Proposed Lighting'!T233="Lighting controls only"),VLOOKUP(E536,'Proposed Lighting'!$DO$97:$DP$106,2,FALSE),
IF(AND('Data Entry'!$AF$23="OR",'Proposed Lighting'!AU233=3,'Proposed Lighting'!T233="Lighting controls only"),VLOOKUP(E536,'Proposed Lighting'!$DO$127:$DP$134,2,FALSE),0)))))))*J536</f>
        <v>0</v>
      </c>
      <c r="S536" s="646">
        <f>IF(Q536&lt;0.01,0,IF('Proposed Lighting'!AK233&gt;0,'Proposed Lighting'!AK233*'Proposed Lighting'!EF233,0))</f>
        <v>0</v>
      </c>
      <c r="T536" s="647">
        <f t="shared" si="117"/>
        <v>0</v>
      </c>
      <c r="U536" s="648"/>
      <c r="V536" s="646">
        <f t="shared" si="120"/>
        <v>0</v>
      </c>
      <c r="W536" s="646">
        <f t="shared" si="121"/>
        <v>0</v>
      </c>
      <c r="X536" s="646">
        <f t="shared" si="122"/>
        <v>0</v>
      </c>
      <c r="Y536" s="646"/>
      <c r="Z536" s="646"/>
      <c r="AA536" s="646"/>
      <c r="AB536" s="646">
        <f t="shared" si="123"/>
        <v>0</v>
      </c>
      <c r="AC536" s="649" t="str">
        <f t="shared" si="124"/>
        <v/>
      </c>
      <c r="AD536" s="649" t="str">
        <f t="shared" si="125"/>
        <v/>
      </c>
      <c r="AE536" s="649" t="str">
        <f t="shared" si="126"/>
        <v/>
      </c>
      <c r="AF536" s="72"/>
      <c r="AG536" s="644">
        <f>IFERROR(IF($AV536="No",0,IF($AV536="yes",Summary!Q536,"")),"")</f>
        <v>0</v>
      </c>
      <c r="AH536" s="646">
        <f>IFERROR(IF($AV536="No",0,IF($AV536="yes",Summary!R536,"")),"")</f>
        <v>0</v>
      </c>
      <c r="AI536" s="646">
        <f>IFERROR(IF($AV536="No",0,IF($AV536="yes",Summary!S536,"")),"")</f>
        <v>0</v>
      </c>
      <c r="AJ536" s="647">
        <f>IFERROR(IF($AV536="No",0,IF($AV536="yes",Summary!T536,"")),"")</f>
        <v>0</v>
      </c>
      <c r="AK536" s="648">
        <f>IFERROR(IF($AV536="No",0,IF($AV536="yes",Summary!U536,"")),"")</f>
        <v>0</v>
      </c>
      <c r="AL536" s="646">
        <f>IFERROR(IF($AV536="No",0,IF($AV536="yes",Summary!V536,"")),"")</f>
        <v>0</v>
      </c>
      <c r="AM536" s="646">
        <f>IFERROR(IF($AV536="No",0,IF($AV536="yes",Summary!W536,"")),"")</f>
        <v>0</v>
      </c>
      <c r="AN536" s="646">
        <f>IFERROR(IF($AV536="No",0,IF($AV536="yes",Summary!X536,"")),"")</f>
        <v>0</v>
      </c>
      <c r="AO536" s="646">
        <f>IFERROR(IF($AV536="No",0,IF($AV536="yes",Summary!Y536+Z536,"")),"")</f>
        <v>0</v>
      </c>
      <c r="AP536" s="646">
        <f>IFERROR(IF($AV536="No",0,IF($AV536="yes",Summary!AB536,"")),"")</f>
        <v>0</v>
      </c>
      <c r="AQ536" s="649" t="str">
        <f t="shared" si="114"/>
        <v/>
      </c>
      <c r="AR536" s="649" t="str">
        <f t="shared" si="118"/>
        <v/>
      </c>
      <c r="AS536" s="649" t="str">
        <f t="shared" si="115"/>
        <v/>
      </c>
      <c r="AT536" s="641" t="s">
        <v>1010</v>
      </c>
      <c r="AV536" t="str">
        <f>IF('Proposed Lighting'!AK233&gt;0,"No","Yes")</f>
        <v>Yes</v>
      </c>
    </row>
    <row r="537" spans="1:48" ht="34.5" customHeight="1" outlineLevel="1">
      <c r="A537" s="641" t="s">
        <v>1011</v>
      </c>
      <c r="B537" s="641" t="str">
        <f>IF('Proposed Lighting'!AU234=3,"Commercial-All Com-ExtLight",IF('Proposed Lighting'!AH234&gt;8759,"IPC_8760","Commercial-All Com-IntLight"))</f>
        <v>IPC_8760</v>
      </c>
      <c r="C537" s="641" t="str">
        <f>IF(OR(E537="",E537=0),"No",
IF(AND('Data Entry'!$AF$23="OR",AE537&lt;1),"No",
IF(AND('Data Entry'!$AF$23="ID",E537="Non-standard lighting control system",AD537&lt;1),"No",
IF(AND('Data Entry'!$AF$23="OR",'Proposed Lighting'!F234="Existing LED (Provide Description)",'Proposed Lighting'!AK234=""),"No",
IF('Proposed Lighting'!DD234="Submit Control as Non-Standard","No",
IF(AND('Proposed Lighting'!T234="Non-Standard (Provide Description)",AD537&lt;1),"No",
IF('Proposed Lighting'!AW234&lt;'Proposed Lighting'!AZ234,"No","Yes")))))))</f>
        <v>No</v>
      </c>
      <c r="D537" s="1604">
        <f>'Proposed Lighting'!BQ234-Q537</f>
        <v>0</v>
      </c>
      <c r="E537" s="642" t="str">
        <f>IF('Proposed Lighting'!W234="","",'Proposed Lighting'!W234)</f>
        <v/>
      </c>
      <c r="F537" s="642"/>
      <c r="G537" s="641" t="s">
        <v>786</v>
      </c>
      <c r="H537" s="643">
        <v>10</v>
      </c>
      <c r="I537" s="644">
        <v>1</v>
      </c>
      <c r="J537" s="723">
        <f>IF('Proposed Lighting'!EF234=0,'Proposed Lighting'!AA234,'Proposed Lighting'!EF234)</f>
        <v>0</v>
      </c>
      <c r="K537" s="643" t="str">
        <f>'Proposed Lighting'!CU234</f>
        <v/>
      </c>
      <c r="L537" s="643" t="str">
        <f t="shared" si="116"/>
        <v/>
      </c>
      <c r="M537" s="645">
        <f t="shared" si="119"/>
        <v>0</v>
      </c>
      <c r="N537" s="645"/>
      <c r="O537" s="722">
        <f>IFERROR('Proposed Lighting'!AC234/1000,0)</f>
        <v>0</v>
      </c>
      <c r="P537" s="644">
        <f>'Proposed Lighting'!AV234</f>
        <v>0</v>
      </c>
      <c r="Q537" s="644">
        <f>IF(AND('Proposed Lighting'!T234="Lighting Controls Only",'Data Entry'!$AF$23="OR",'Proposed Lighting'!AU234=2),0,
IF(AND('Proposed Lighting'!T234="Lighting Controls Only",'Data Entry'!$AF$23="OR",'Proposed Lighting'!AU234=3,OR('Proposed Lighting'!W234="ceiling mount",'Proposed Lighting'!W234="wall switch",'Proposed Lighting'!W234="fixture mount (on exisiting equip)",'Proposed Lighting'!W234="daylight harvesting (on existing equip)")),0,
IF('Proposed Lighting'!AF234=1,IF(P537=0,0,J537*O537*(L537*(1-P537))),IF('Proposed Lighting'!AU234=1,0,'Proposed Lighting'!AX234-'Proposed Lighting'!AY234))))</f>
        <v>0</v>
      </c>
      <c r="R537" s="646">
        <f>IF('Proposed Lighting'!T234="Non-standard (provide description",0,
IF(AND(E537="Non-standard control",'Proposed Lighting'!AU234=2),Q537*0.1,
IF(AND(E537="Non-standard control",'Proposed Lighting'!AU234=3),Q537*0.08,
IF('Proposed Lighting'!EF234=0,0,IF('Proposed Lighting'!AU234=1,0,
IF(AND('Data Entry'!$AF$23="ID",'Proposed Lighting'!T234="Lighting controls only"),VLOOKUP(E537,'Proposed Lighting'!$DO$97:$DP$106,2,FALSE),
IF(AND('Data Entry'!$AF$23="OR",'Proposed Lighting'!AU234=3,'Proposed Lighting'!T234="Lighting controls only"),VLOOKUP(E537,'Proposed Lighting'!$DO$127:$DP$134,2,FALSE),0)))))))*J537</f>
        <v>0</v>
      </c>
      <c r="S537" s="646">
        <f>IF(Q537&lt;0.01,0,IF('Proposed Lighting'!AK234&gt;0,'Proposed Lighting'!AK234*'Proposed Lighting'!EF234,0))</f>
        <v>0</v>
      </c>
      <c r="T537" s="647">
        <f t="shared" si="117"/>
        <v>0</v>
      </c>
      <c r="U537" s="648"/>
      <c r="V537" s="646">
        <f t="shared" si="120"/>
        <v>0</v>
      </c>
      <c r="W537" s="646">
        <f t="shared" si="121"/>
        <v>0</v>
      </c>
      <c r="X537" s="646">
        <f t="shared" si="122"/>
        <v>0</v>
      </c>
      <c r="Y537" s="646"/>
      <c r="Z537" s="646"/>
      <c r="AA537" s="646"/>
      <c r="AB537" s="646">
        <f t="shared" si="123"/>
        <v>0</v>
      </c>
      <c r="AC537" s="649" t="str">
        <f t="shared" si="124"/>
        <v/>
      </c>
      <c r="AD537" s="649" t="str">
        <f t="shared" si="125"/>
        <v/>
      </c>
      <c r="AE537" s="649" t="str">
        <f t="shared" si="126"/>
        <v/>
      </c>
      <c r="AF537" s="72"/>
      <c r="AG537" s="644">
        <f>IFERROR(IF($AV537="No",0,IF($AV537="yes",Summary!Q537,"")),"")</f>
        <v>0</v>
      </c>
      <c r="AH537" s="646">
        <f>IFERROR(IF($AV537="No",0,IF($AV537="yes",Summary!R537,"")),"")</f>
        <v>0</v>
      </c>
      <c r="AI537" s="646">
        <f>IFERROR(IF($AV537="No",0,IF($AV537="yes",Summary!S537,"")),"")</f>
        <v>0</v>
      </c>
      <c r="AJ537" s="647">
        <f>IFERROR(IF($AV537="No",0,IF($AV537="yes",Summary!T537,"")),"")</f>
        <v>0</v>
      </c>
      <c r="AK537" s="648">
        <f>IFERROR(IF($AV537="No",0,IF($AV537="yes",Summary!U537,"")),"")</f>
        <v>0</v>
      </c>
      <c r="AL537" s="646">
        <f>IFERROR(IF($AV537="No",0,IF($AV537="yes",Summary!V537,"")),"")</f>
        <v>0</v>
      </c>
      <c r="AM537" s="646">
        <f>IFERROR(IF($AV537="No",0,IF($AV537="yes",Summary!W537,"")),"")</f>
        <v>0</v>
      </c>
      <c r="AN537" s="646">
        <f>IFERROR(IF($AV537="No",0,IF($AV537="yes",Summary!X537,"")),"")</f>
        <v>0</v>
      </c>
      <c r="AO537" s="646">
        <f>IFERROR(IF($AV537="No",0,IF($AV537="yes",Summary!Y537+Z537,"")),"")</f>
        <v>0</v>
      </c>
      <c r="AP537" s="646">
        <f>IFERROR(IF($AV537="No",0,IF($AV537="yes",Summary!AB537,"")),"")</f>
        <v>0</v>
      </c>
      <c r="AQ537" s="649" t="str">
        <f t="shared" si="114"/>
        <v/>
      </c>
      <c r="AR537" s="649" t="str">
        <f t="shared" si="118"/>
        <v/>
      </c>
      <c r="AS537" s="649" t="str">
        <f t="shared" si="115"/>
        <v/>
      </c>
      <c r="AT537" s="641" t="s">
        <v>1011</v>
      </c>
      <c r="AV537" t="str">
        <f>IF('Proposed Lighting'!AK234&gt;0,"No","Yes")</f>
        <v>Yes</v>
      </c>
    </row>
    <row r="538" spans="1:48" ht="34.5" customHeight="1" outlineLevel="1">
      <c r="A538" s="641" t="s">
        <v>1012</v>
      </c>
      <c r="B538" s="641" t="str">
        <f>IF('Proposed Lighting'!AU235=3,"Commercial-All Com-ExtLight",IF('Proposed Lighting'!AH235&gt;8759,"IPC_8760","Commercial-All Com-IntLight"))</f>
        <v>IPC_8760</v>
      </c>
      <c r="C538" s="641" t="str">
        <f>IF(OR(E538="",E538=0),"No",
IF(AND('Data Entry'!$AF$23="OR",AE538&lt;1),"No",
IF(AND('Data Entry'!$AF$23="ID",E538="Non-standard lighting control system",AD538&lt;1),"No",
IF(AND('Data Entry'!$AF$23="OR",'Proposed Lighting'!F235="Existing LED (Provide Description)",'Proposed Lighting'!AK235=""),"No",
IF('Proposed Lighting'!DD235="Submit Control as Non-Standard","No",
IF(AND('Proposed Lighting'!T235="Non-Standard (Provide Description)",AD538&lt;1),"No",
IF('Proposed Lighting'!AW235&lt;'Proposed Lighting'!AZ235,"No","Yes")))))))</f>
        <v>No</v>
      </c>
      <c r="D538" s="1604">
        <f>'Proposed Lighting'!BQ235-Q538</f>
        <v>0</v>
      </c>
      <c r="E538" s="642" t="str">
        <f>IF('Proposed Lighting'!W235="","",'Proposed Lighting'!W235)</f>
        <v/>
      </c>
      <c r="F538" s="642"/>
      <c r="G538" s="641" t="s">
        <v>786</v>
      </c>
      <c r="H538" s="643">
        <v>10</v>
      </c>
      <c r="I538" s="644">
        <v>1</v>
      </c>
      <c r="J538" s="723">
        <f>IF('Proposed Lighting'!EF235=0,'Proposed Lighting'!AA235,'Proposed Lighting'!EF235)</f>
        <v>0</v>
      </c>
      <c r="K538" s="643" t="str">
        <f>'Proposed Lighting'!CU235</f>
        <v/>
      </c>
      <c r="L538" s="643" t="str">
        <f t="shared" si="116"/>
        <v/>
      </c>
      <c r="M538" s="645">
        <f t="shared" si="119"/>
        <v>0</v>
      </c>
      <c r="N538" s="645"/>
      <c r="O538" s="722">
        <f>IFERROR('Proposed Lighting'!AC235/1000,0)</f>
        <v>0</v>
      </c>
      <c r="P538" s="644">
        <f>'Proposed Lighting'!AV235</f>
        <v>0</v>
      </c>
      <c r="Q538" s="644">
        <f>IF(AND('Proposed Lighting'!T235="Lighting Controls Only",'Data Entry'!$AF$23="OR",'Proposed Lighting'!AU235=2),0,
IF(AND('Proposed Lighting'!T235="Lighting Controls Only",'Data Entry'!$AF$23="OR",'Proposed Lighting'!AU235=3,OR('Proposed Lighting'!W235="ceiling mount",'Proposed Lighting'!W235="wall switch",'Proposed Lighting'!W235="fixture mount (on exisiting equip)",'Proposed Lighting'!W235="daylight harvesting (on existing equip)")),0,
IF('Proposed Lighting'!AF235=1,IF(P538=0,0,J538*O538*(L538*(1-P538))),IF('Proposed Lighting'!AU235=1,0,'Proposed Lighting'!AX235-'Proposed Lighting'!AY235))))</f>
        <v>0</v>
      </c>
      <c r="R538" s="646">
        <f>IF('Proposed Lighting'!T235="Non-standard (provide description",0,
IF(AND(E538="Non-standard control",'Proposed Lighting'!AU235=2),Q538*0.1,
IF(AND(E538="Non-standard control",'Proposed Lighting'!AU235=3),Q538*0.08,
IF('Proposed Lighting'!EF235=0,0,IF('Proposed Lighting'!AU235=1,0,
IF(AND('Data Entry'!$AF$23="ID",'Proposed Lighting'!T235="Lighting controls only"),VLOOKUP(E538,'Proposed Lighting'!$DO$97:$DP$106,2,FALSE),
IF(AND('Data Entry'!$AF$23="OR",'Proposed Lighting'!AU235=3,'Proposed Lighting'!T235="Lighting controls only"),VLOOKUP(E538,'Proposed Lighting'!$DO$127:$DP$134,2,FALSE),0)))))))*J538</f>
        <v>0</v>
      </c>
      <c r="S538" s="646">
        <f>IF(Q538&lt;0.01,0,IF('Proposed Lighting'!AK235&gt;0,'Proposed Lighting'!AK235*'Proposed Lighting'!EF235,0))</f>
        <v>0</v>
      </c>
      <c r="T538" s="647">
        <f t="shared" si="117"/>
        <v>0</v>
      </c>
      <c r="U538" s="648"/>
      <c r="V538" s="646">
        <f t="shared" si="120"/>
        <v>0</v>
      </c>
      <c r="W538" s="646">
        <f t="shared" si="121"/>
        <v>0</v>
      </c>
      <c r="X538" s="646">
        <f t="shared" si="122"/>
        <v>0</v>
      </c>
      <c r="Y538" s="646"/>
      <c r="Z538" s="646"/>
      <c r="AA538" s="646"/>
      <c r="AB538" s="646">
        <f t="shared" si="123"/>
        <v>0</v>
      </c>
      <c r="AC538" s="649" t="str">
        <f t="shared" si="124"/>
        <v/>
      </c>
      <c r="AD538" s="649" t="str">
        <f t="shared" si="125"/>
        <v/>
      </c>
      <c r="AE538" s="649" t="str">
        <f t="shared" si="126"/>
        <v/>
      </c>
      <c r="AF538" s="72"/>
      <c r="AG538" s="644">
        <f>IFERROR(IF($AV538="No",0,IF($AV538="yes",Summary!Q538,"")),"")</f>
        <v>0</v>
      </c>
      <c r="AH538" s="646">
        <f>IFERROR(IF($AV538="No",0,IF($AV538="yes",Summary!R538,"")),"")</f>
        <v>0</v>
      </c>
      <c r="AI538" s="646">
        <f>IFERROR(IF($AV538="No",0,IF($AV538="yes",Summary!S538,"")),"")</f>
        <v>0</v>
      </c>
      <c r="AJ538" s="647">
        <f>IFERROR(IF($AV538="No",0,IF($AV538="yes",Summary!T538,"")),"")</f>
        <v>0</v>
      </c>
      <c r="AK538" s="648">
        <f>IFERROR(IF($AV538="No",0,IF($AV538="yes",Summary!U538,"")),"")</f>
        <v>0</v>
      </c>
      <c r="AL538" s="646">
        <f>IFERROR(IF($AV538="No",0,IF($AV538="yes",Summary!V538,"")),"")</f>
        <v>0</v>
      </c>
      <c r="AM538" s="646">
        <f>IFERROR(IF($AV538="No",0,IF($AV538="yes",Summary!W538,"")),"")</f>
        <v>0</v>
      </c>
      <c r="AN538" s="646">
        <f>IFERROR(IF($AV538="No",0,IF($AV538="yes",Summary!X538,"")),"")</f>
        <v>0</v>
      </c>
      <c r="AO538" s="646">
        <f>IFERROR(IF($AV538="No",0,IF($AV538="yes",Summary!Y538+Z538,"")),"")</f>
        <v>0</v>
      </c>
      <c r="AP538" s="646">
        <f>IFERROR(IF($AV538="No",0,IF($AV538="yes",Summary!AB538,"")),"")</f>
        <v>0</v>
      </c>
      <c r="AQ538" s="649" t="str">
        <f t="shared" si="114"/>
        <v/>
      </c>
      <c r="AR538" s="649" t="str">
        <f t="shared" si="118"/>
        <v/>
      </c>
      <c r="AS538" s="649" t="str">
        <f t="shared" si="115"/>
        <v/>
      </c>
      <c r="AT538" s="641" t="s">
        <v>1012</v>
      </c>
      <c r="AV538" t="str">
        <f>IF('Proposed Lighting'!AK235&gt;0,"No","Yes")</f>
        <v>Yes</v>
      </c>
    </row>
    <row r="539" spans="1:48" ht="34.5" customHeight="1" outlineLevel="1">
      <c r="A539" s="641" t="s">
        <v>1013</v>
      </c>
      <c r="B539" s="641" t="str">
        <f>IF('Proposed Lighting'!AU236=3,"Commercial-All Com-ExtLight",IF('Proposed Lighting'!AH236&gt;8759,"IPC_8760","Commercial-All Com-IntLight"))</f>
        <v>IPC_8760</v>
      </c>
      <c r="C539" s="641" t="str">
        <f>IF(OR(E539="",E539=0),"No",
IF(AND('Data Entry'!$AF$23="OR",AE539&lt;1),"No",
IF(AND('Data Entry'!$AF$23="ID",E539="Non-standard lighting control system",AD539&lt;1),"No",
IF(AND('Data Entry'!$AF$23="OR",'Proposed Lighting'!F236="Existing LED (Provide Description)",'Proposed Lighting'!AK236=""),"No",
IF('Proposed Lighting'!DD236="Submit Control as Non-Standard","No",
IF(AND('Proposed Lighting'!T236="Non-Standard (Provide Description)",AD539&lt;1),"No",
IF('Proposed Lighting'!AW236&lt;'Proposed Lighting'!AZ236,"No","Yes")))))))</f>
        <v>No</v>
      </c>
      <c r="D539" s="1604">
        <f>'Proposed Lighting'!BQ236-Q539</f>
        <v>0</v>
      </c>
      <c r="E539" s="642" t="str">
        <f>IF('Proposed Lighting'!W236="","",'Proposed Lighting'!W236)</f>
        <v/>
      </c>
      <c r="F539" s="642"/>
      <c r="G539" s="641" t="s">
        <v>786</v>
      </c>
      <c r="H539" s="643">
        <v>10</v>
      </c>
      <c r="I539" s="644">
        <v>1</v>
      </c>
      <c r="J539" s="723">
        <f>IF('Proposed Lighting'!EF236=0,'Proposed Lighting'!AA236,'Proposed Lighting'!EF236)</f>
        <v>0</v>
      </c>
      <c r="K539" s="643" t="str">
        <f>'Proposed Lighting'!CU236</f>
        <v/>
      </c>
      <c r="L539" s="643" t="str">
        <f t="shared" si="116"/>
        <v/>
      </c>
      <c r="M539" s="645">
        <f t="shared" si="119"/>
        <v>0</v>
      </c>
      <c r="N539" s="645"/>
      <c r="O539" s="722">
        <f>IFERROR('Proposed Lighting'!AC236/1000,0)</f>
        <v>0</v>
      </c>
      <c r="P539" s="644">
        <f>'Proposed Lighting'!AV236</f>
        <v>0</v>
      </c>
      <c r="Q539" s="644">
        <f>IF(AND('Proposed Lighting'!T236="Lighting Controls Only",'Data Entry'!$AF$23="OR",'Proposed Lighting'!AU236=2),0,
IF(AND('Proposed Lighting'!T236="Lighting Controls Only",'Data Entry'!$AF$23="OR",'Proposed Lighting'!AU236=3,OR('Proposed Lighting'!W236="ceiling mount",'Proposed Lighting'!W236="wall switch",'Proposed Lighting'!W236="fixture mount (on exisiting equip)",'Proposed Lighting'!W236="daylight harvesting (on existing equip)")),0,
IF('Proposed Lighting'!AF236=1,IF(P539=0,0,J539*O539*(L539*(1-P539))),IF('Proposed Lighting'!AU236=1,0,'Proposed Lighting'!AX236-'Proposed Lighting'!AY236))))</f>
        <v>0</v>
      </c>
      <c r="R539" s="646">
        <f>IF('Proposed Lighting'!T236="Non-standard (provide description",0,
IF(AND(E539="Non-standard control",'Proposed Lighting'!AU236=2),Q539*0.1,
IF(AND(E539="Non-standard control",'Proposed Lighting'!AU236=3),Q539*0.08,
IF('Proposed Lighting'!EF236=0,0,IF('Proposed Lighting'!AU236=1,0,
IF(AND('Data Entry'!$AF$23="ID",'Proposed Lighting'!T236="Lighting controls only"),VLOOKUP(E539,'Proposed Lighting'!$DO$97:$DP$106,2,FALSE),
IF(AND('Data Entry'!$AF$23="OR",'Proposed Lighting'!AU236=3,'Proposed Lighting'!T236="Lighting controls only"),VLOOKUP(E539,'Proposed Lighting'!$DO$127:$DP$134,2,FALSE),0)))))))*J539</f>
        <v>0</v>
      </c>
      <c r="S539" s="646">
        <f>IF(Q539&lt;0.01,0,IF('Proposed Lighting'!AK236&gt;0,'Proposed Lighting'!AK236*'Proposed Lighting'!EF236,0))</f>
        <v>0</v>
      </c>
      <c r="T539" s="647">
        <f t="shared" si="117"/>
        <v>0</v>
      </c>
      <c r="U539" s="648"/>
      <c r="V539" s="646">
        <f t="shared" si="120"/>
        <v>0</v>
      </c>
      <c r="W539" s="646">
        <f t="shared" si="121"/>
        <v>0</v>
      </c>
      <c r="X539" s="646">
        <f t="shared" si="122"/>
        <v>0</v>
      </c>
      <c r="Y539" s="646"/>
      <c r="Z539" s="646"/>
      <c r="AA539" s="646"/>
      <c r="AB539" s="646">
        <f t="shared" si="123"/>
        <v>0</v>
      </c>
      <c r="AC539" s="649" t="str">
        <f t="shared" si="124"/>
        <v/>
      </c>
      <c r="AD539" s="649" t="str">
        <f t="shared" si="125"/>
        <v/>
      </c>
      <c r="AE539" s="649" t="str">
        <f t="shared" si="126"/>
        <v/>
      </c>
      <c r="AF539" s="72"/>
      <c r="AG539" s="644">
        <f>IFERROR(IF($AV539="No",0,IF($AV539="yes",Summary!Q539,"")),"")</f>
        <v>0</v>
      </c>
      <c r="AH539" s="646">
        <f>IFERROR(IF($AV539="No",0,IF($AV539="yes",Summary!R539,"")),"")</f>
        <v>0</v>
      </c>
      <c r="AI539" s="646">
        <f>IFERROR(IF($AV539="No",0,IF($AV539="yes",Summary!S539,"")),"")</f>
        <v>0</v>
      </c>
      <c r="AJ539" s="647">
        <f>IFERROR(IF($AV539="No",0,IF($AV539="yes",Summary!T539,"")),"")</f>
        <v>0</v>
      </c>
      <c r="AK539" s="648">
        <f>IFERROR(IF($AV539="No",0,IF($AV539="yes",Summary!U539,"")),"")</f>
        <v>0</v>
      </c>
      <c r="AL539" s="646">
        <f>IFERROR(IF($AV539="No",0,IF($AV539="yes",Summary!V539,"")),"")</f>
        <v>0</v>
      </c>
      <c r="AM539" s="646">
        <f>IFERROR(IF($AV539="No",0,IF($AV539="yes",Summary!W539,"")),"")</f>
        <v>0</v>
      </c>
      <c r="AN539" s="646">
        <f>IFERROR(IF($AV539="No",0,IF($AV539="yes",Summary!X539,"")),"")</f>
        <v>0</v>
      </c>
      <c r="AO539" s="646">
        <f>IFERROR(IF($AV539="No",0,IF($AV539="yes",Summary!Y539+Z539,"")),"")</f>
        <v>0</v>
      </c>
      <c r="AP539" s="646">
        <f>IFERROR(IF($AV539="No",0,IF($AV539="yes",Summary!AB539,"")),"")</f>
        <v>0</v>
      </c>
      <c r="AQ539" s="649" t="str">
        <f t="shared" si="114"/>
        <v/>
      </c>
      <c r="AR539" s="649" t="str">
        <f t="shared" si="118"/>
        <v/>
      </c>
      <c r="AS539" s="649" t="str">
        <f t="shared" si="115"/>
        <v/>
      </c>
      <c r="AT539" s="641" t="s">
        <v>1013</v>
      </c>
      <c r="AV539" t="str">
        <f>IF('Proposed Lighting'!AK236&gt;0,"No","Yes")</f>
        <v>Yes</v>
      </c>
    </row>
    <row r="540" spans="1:48" ht="34.5" customHeight="1" outlineLevel="1">
      <c r="A540" s="641" t="s">
        <v>1014</v>
      </c>
      <c r="B540" s="641" t="str">
        <f>IF('Proposed Lighting'!AU237=3,"Commercial-All Com-ExtLight",IF('Proposed Lighting'!AH237&gt;8759,"IPC_8760","Commercial-All Com-IntLight"))</f>
        <v>IPC_8760</v>
      </c>
      <c r="C540" s="641" t="str">
        <f>IF(OR(E540="",E540=0),"No",
IF(AND('Data Entry'!$AF$23="OR",AE540&lt;1),"No",
IF(AND('Data Entry'!$AF$23="ID",E540="Non-standard lighting control system",AD540&lt;1),"No",
IF(AND('Data Entry'!$AF$23="OR",'Proposed Lighting'!F237="Existing LED (Provide Description)",'Proposed Lighting'!AK237=""),"No",
IF('Proposed Lighting'!DD237="Submit Control as Non-Standard","No",
IF(AND('Proposed Lighting'!T237="Non-Standard (Provide Description)",AD540&lt;1),"No",
IF('Proposed Lighting'!AW237&lt;'Proposed Lighting'!AZ237,"No","Yes")))))))</f>
        <v>No</v>
      </c>
      <c r="D540" s="1604">
        <f>'Proposed Lighting'!BQ237-Q540</f>
        <v>0</v>
      </c>
      <c r="E540" s="642" t="str">
        <f>IF('Proposed Lighting'!W237="","",'Proposed Lighting'!W237)</f>
        <v/>
      </c>
      <c r="F540" s="642"/>
      <c r="G540" s="641" t="s">
        <v>786</v>
      </c>
      <c r="H540" s="643">
        <v>10</v>
      </c>
      <c r="I540" s="644">
        <v>1</v>
      </c>
      <c r="J540" s="723">
        <f>IF('Proposed Lighting'!EF237=0,'Proposed Lighting'!AA237,'Proposed Lighting'!EF237)</f>
        <v>0</v>
      </c>
      <c r="K540" s="643" t="str">
        <f>'Proposed Lighting'!CU237</f>
        <v/>
      </c>
      <c r="L540" s="643" t="str">
        <f t="shared" si="116"/>
        <v/>
      </c>
      <c r="M540" s="645">
        <f t="shared" si="119"/>
        <v>0</v>
      </c>
      <c r="N540" s="645"/>
      <c r="O540" s="722">
        <f>IFERROR('Proposed Lighting'!AC237/1000,0)</f>
        <v>0</v>
      </c>
      <c r="P540" s="644">
        <f>'Proposed Lighting'!AV237</f>
        <v>0</v>
      </c>
      <c r="Q540" s="644">
        <f>IF(AND('Proposed Lighting'!T237="Lighting Controls Only",'Data Entry'!$AF$23="OR",'Proposed Lighting'!AU237=2),0,
IF(AND('Proposed Lighting'!T237="Lighting Controls Only",'Data Entry'!$AF$23="OR",'Proposed Lighting'!AU237=3,OR('Proposed Lighting'!W237="ceiling mount",'Proposed Lighting'!W237="wall switch",'Proposed Lighting'!W237="fixture mount (on exisiting equip)",'Proposed Lighting'!W237="daylight harvesting (on existing equip)")),0,
IF('Proposed Lighting'!AF237=1,IF(P540=0,0,J540*O540*(L540*(1-P540))),IF('Proposed Lighting'!AU237=1,0,'Proposed Lighting'!AX237-'Proposed Lighting'!AY237))))</f>
        <v>0</v>
      </c>
      <c r="R540" s="646">
        <f>IF('Proposed Lighting'!T237="Non-standard (provide description",0,
IF(AND(E540="Non-standard control",'Proposed Lighting'!AU237=2),Q540*0.1,
IF(AND(E540="Non-standard control",'Proposed Lighting'!AU237=3),Q540*0.08,
IF('Proposed Lighting'!EF237=0,0,IF('Proposed Lighting'!AU237=1,0,
IF(AND('Data Entry'!$AF$23="ID",'Proposed Lighting'!T237="Lighting controls only"),VLOOKUP(E540,'Proposed Lighting'!$DO$97:$DP$106,2,FALSE),
IF(AND('Data Entry'!$AF$23="OR",'Proposed Lighting'!AU237=3,'Proposed Lighting'!T237="Lighting controls only"),VLOOKUP(E540,'Proposed Lighting'!$DO$127:$DP$134,2,FALSE),0)))))))*J540</f>
        <v>0</v>
      </c>
      <c r="S540" s="646">
        <f>IF(Q540&lt;0.01,0,IF('Proposed Lighting'!AK237&gt;0,'Proposed Lighting'!AK237*'Proposed Lighting'!EF237,0))</f>
        <v>0</v>
      </c>
      <c r="T540" s="647">
        <f t="shared" si="117"/>
        <v>0</v>
      </c>
      <c r="U540" s="648"/>
      <c r="V540" s="646">
        <f t="shared" si="120"/>
        <v>0</v>
      </c>
      <c r="W540" s="646">
        <f t="shared" si="121"/>
        <v>0</v>
      </c>
      <c r="X540" s="646">
        <f t="shared" si="122"/>
        <v>0</v>
      </c>
      <c r="Y540" s="646"/>
      <c r="Z540" s="646"/>
      <c r="AA540" s="646"/>
      <c r="AB540" s="646">
        <f t="shared" si="123"/>
        <v>0</v>
      </c>
      <c r="AC540" s="649" t="str">
        <f t="shared" si="124"/>
        <v/>
      </c>
      <c r="AD540" s="649" t="str">
        <f t="shared" si="125"/>
        <v/>
      </c>
      <c r="AE540" s="649" t="str">
        <f t="shared" si="126"/>
        <v/>
      </c>
      <c r="AF540" s="72"/>
      <c r="AG540" s="644">
        <f>IFERROR(IF($AV540="No",0,IF($AV540="yes",Summary!Q540,"")),"")</f>
        <v>0</v>
      </c>
      <c r="AH540" s="646">
        <f>IFERROR(IF($AV540="No",0,IF($AV540="yes",Summary!R540,"")),"")</f>
        <v>0</v>
      </c>
      <c r="AI540" s="646">
        <f>IFERROR(IF($AV540="No",0,IF($AV540="yes",Summary!S540,"")),"")</f>
        <v>0</v>
      </c>
      <c r="AJ540" s="647">
        <f>IFERROR(IF($AV540="No",0,IF($AV540="yes",Summary!T540,"")),"")</f>
        <v>0</v>
      </c>
      <c r="AK540" s="648">
        <f>IFERROR(IF($AV540="No",0,IF($AV540="yes",Summary!U540,"")),"")</f>
        <v>0</v>
      </c>
      <c r="AL540" s="646">
        <f>IFERROR(IF($AV540="No",0,IF($AV540="yes",Summary!V540,"")),"")</f>
        <v>0</v>
      </c>
      <c r="AM540" s="646">
        <f>IFERROR(IF($AV540="No",0,IF($AV540="yes",Summary!W540,"")),"")</f>
        <v>0</v>
      </c>
      <c r="AN540" s="646">
        <f>IFERROR(IF($AV540="No",0,IF($AV540="yes",Summary!X540,"")),"")</f>
        <v>0</v>
      </c>
      <c r="AO540" s="646">
        <f>IFERROR(IF($AV540="No",0,IF($AV540="yes",Summary!Y540+Z540,"")),"")</f>
        <v>0</v>
      </c>
      <c r="AP540" s="646">
        <f>IFERROR(IF($AV540="No",0,IF($AV540="yes",Summary!AB540,"")),"")</f>
        <v>0</v>
      </c>
      <c r="AQ540" s="649" t="str">
        <f t="shared" si="114"/>
        <v/>
      </c>
      <c r="AR540" s="649" t="str">
        <f t="shared" si="118"/>
        <v/>
      </c>
      <c r="AS540" s="649" t="str">
        <f t="shared" si="115"/>
        <v/>
      </c>
      <c r="AT540" s="641" t="s">
        <v>1014</v>
      </c>
      <c r="AV540" t="str">
        <f>IF('Proposed Lighting'!AK237&gt;0,"No","Yes")</f>
        <v>Yes</v>
      </c>
    </row>
    <row r="541" spans="1:48" ht="34.5" customHeight="1" outlineLevel="1">
      <c r="A541" s="641" t="s">
        <v>1015</v>
      </c>
      <c r="B541" s="641" t="str">
        <f>IF('Proposed Lighting'!AU238=3,"Commercial-All Com-ExtLight",IF('Proposed Lighting'!AH238&gt;8759,"IPC_8760","Commercial-All Com-IntLight"))</f>
        <v>IPC_8760</v>
      </c>
      <c r="C541" s="641" t="str">
        <f>IF(OR(E541="",E541=0),"No",
IF(AND('Data Entry'!$AF$23="OR",AE541&lt;1),"No",
IF(AND('Data Entry'!$AF$23="ID",E541="Non-standard lighting control system",AD541&lt;1),"No",
IF(AND('Data Entry'!$AF$23="OR",'Proposed Lighting'!F238="Existing LED (Provide Description)",'Proposed Lighting'!AK238=""),"No",
IF('Proposed Lighting'!DD238="Submit Control as Non-Standard","No",
IF(AND('Proposed Lighting'!T238="Non-Standard (Provide Description)",AD541&lt;1),"No",
IF('Proposed Lighting'!AW238&lt;'Proposed Lighting'!AZ238,"No","Yes")))))))</f>
        <v>No</v>
      </c>
      <c r="D541" s="1604">
        <f>'Proposed Lighting'!BQ238-Q541</f>
        <v>0</v>
      </c>
      <c r="E541" s="642" t="str">
        <f>IF('Proposed Lighting'!W238="","",'Proposed Lighting'!W238)</f>
        <v/>
      </c>
      <c r="F541" s="642"/>
      <c r="G541" s="641" t="s">
        <v>786</v>
      </c>
      <c r="H541" s="643">
        <v>10</v>
      </c>
      <c r="I541" s="644">
        <v>1</v>
      </c>
      <c r="J541" s="723">
        <f>IF('Proposed Lighting'!EF238=0,'Proposed Lighting'!AA238,'Proposed Lighting'!EF238)</f>
        <v>0</v>
      </c>
      <c r="K541" s="643" t="str">
        <f>'Proposed Lighting'!CU238</f>
        <v/>
      </c>
      <c r="L541" s="643" t="str">
        <f t="shared" si="116"/>
        <v/>
      </c>
      <c r="M541" s="645">
        <f t="shared" si="119"/>
        <v>0</v>
      </c>
      <c r="N541" s="645"/>
      <c r="O541" s="722">
        <f>IFERROR('Proposed Lighting'!AC238/1000,0)</f>
        <v>0</v>
      </c>
      <c r="P541" s="644">
        <f>'Proposed Lighting'!AV238</f>
        <v>0</v>
      </c>
      <c r="Q541" s="644">
        <f>IF(AND('Proposed Lighting'!T238="Lighting Controls Only",'Data Entry'!$AF$23="OR",'Proposed Lighting'!AU238=2),0,
IF(AND('Proposed Lighting'!T238="Lighting Controls Only",'Data Entry'!$AF$23="OR",'Proposed Lighting'!AU238=3,OR('Proposed Lighting'!W238="ceiling mount",'Proposed Lighting'!W238="wall switch",'Proposed Lighting'!W238="fixture mount (on exisiting equip)",'Proposed Lighting'!W238="daylight harvesting (on existing equip)")),0,
IF('Proposed Lighting'!AF238=1,IF(P541=0,0,J541*O541*(L541*(1-P541))),IF('Proposed Lighting'!AU238=1,0,'Proposed Lighting'!AX238-'Proposed Lighting'!AY238))))</f>
        <v>0</v>
      </c>
      <c r="R541" s="646">
        <f>IF('Proposed Lighting'!T238="Non-standard (provide description",0,
IF(AND(E541="Non-standard control",'Proposed Lighting'!AU238=2),Q541*0.1,
IF(AND(E541="Non-standard control",'Proposed Lighting'!AU238=3),Q541*0.08,
IF('Proposed Lighting'!EF238=0,0,IF('Proposed Lighting'!AU238=1,0,
IF(AND('Data Entry'!$AF$23="ID",'Proposed Lighting'!T238="Lighting controls only"),VLOOKUP(E541,'Proposed Lighting'!$DO$97:$DP$106,2,FALSE),
IF(AND('Data Entry'!$AF$23="OR",'Proposed Lighting'!AU238=3,'Proposed Lighting'!T238="Lighting controls only"),VLOOKUP(E541,'Proposed Lighting'!$DO$127:$DP$134,2,FALSE),0)))))))*J541</f>
        <v>0</v>
      </c>
      <c r="S541" s="646">
        <f>IF(Q541&lt;0.01,0,IF('Proposed Lighting'!AK238&gt;0,'Proposed Lighting'!AK238*'Proposed Lighting'!EF238,0))</f>
        <v>0</v>
      </c>
      <c r="T541" s="647">
        <f t="shared" si="117"/>
        <v>0</v>
      </c>
      <c r="U541" s="648"/>
      <c r="V541" s="646">
        <f t="shared" si="120"/>
        <v>0</v>
      </c>
      <c r="W541" s="646">
        <f t="shared" si="121"/>
        <v>0</v>
      </c>
      <c r="X541" s="646">
        <f t="shared" si="122"/>
        <v>0</v>
      </c>
      <c r="Y541" s="646"/>
      <c r="Z541" s="646"/>
      <c r="AA541" s="646"/>
      <c r="AB541" s="646">
        <f t="shared" si="123"/>
        <v>0</v>
      </c>
      <c r="AC541" s="649" t="str">
        <f t="shared" si="124"/>
        <v/>
      </c>
      <c r="AD541" s="649" t="str">
        <f t="shared" si="125"/>
        <v/>
      </c>
      <c r="AE541" s="649" t="str">
        <f t="shared" si="126"/>
        <v/>
      </c>
      <c r="AF541" s="72"/>
      <c r="AG541" s="644">
        <f>IFERROR(IF($AV541="No",0,IF($AV541="yes",Summary!Q541,"")),"")</f>
        <v>0</v>
      </c>
      <c r="AH541" s="646">
        <f>IFERROR(IF($AV541="No",0,IF($AV541="yes",Summary!R541,"")),"")</f>
        <v>0</v>
      </c>
      <c r="AI541" s="646">
        <f>IFERROR(IF($AV541="No",0,IF($AV541="yes",Summary!S541,"")),"")</f>
        <v>0</v>
      </c>
      <c r="AJ541" s="647">
        <f>IFERROR(IF($AV541="No",0,IF($AV541="yes",Summary!T541,"")),"")</f>
        <v>0</v>
      </c>
      <c r="AK541" s="648">
        <f>IFERROR(IF($AV541="No",0,IF($AV541="yes",Summary!U541,"")),"")</f>
        <v>0</v>
      </c>
      <c r="AL541" s="646">
        <f>IFERROR(IF($AV541="No",0,IF($AV541="yes",Summary!V541,"")),"")</f>
        <v>0</v>
      </c>
      <c r="AM541" s="646">
        <f>IFERROR(IF($AV541="No",0,IF($AV541="yes",Summary!W541,"")),"")</f>
        <v>0</v>
      </c>
      <c r="AN541" s="646">
        <f>IFERROR(IF($AV541="No",0,IF($AV541="yes",Summary!X541,"")),"")</f>
        <v>0</v>
      </c>
      <c r="AO541" s="646">
        <f>IFERROR(IF($AV541="No",0,IF($AV541="yes",Summary!Y541+Z541,"")),"")</f>
        <v>0</v>
      </c>
      <c r="AP541" s="646">
        <f>IFERROR(IF($AV541="No",0,IF($AV541="yes",Summary!AB541,"")),"")</f>
        <v>0</v>
      </c>
      <c r="AQ541" s="649" t="str">
        <f t="shared" si="114"/>
        <v/>
      </c>
      <c r="AR541" s="649" t="str">
        <f t="shared" si="118"/>
        <v/>
      </c>
      <c r="AS541" s="649" t="str">
        <f t="shared" si="115"/>
        <v/>
      </c>
      <c r="AT541" s="641" t="s">
        <v>1015</v>
      </c>
      <c r="AV541" t="str">
        <f>IF('Proposed Lighting'!AK238&gt;0,"No","Yes")</f>
        <v>Yes</v>
      </c>
    </row>
    <row r="542" spans="1:48" ht="34.5" customHeight="1" outlineLevel="1">
      <c r="A542" s="641" t="s">
        <v>1016</v>
      </c>
      <c r="B542" s="641" t="str">
        <f>IF('Proposed Lighting'!AU239=3,"Commercial-All Com-ExtLight",IF('Proposed Lighting'!AH239&gt;8759,"IPC_8760","Commercial-All Com-IntLight"))</f>
        <v>IPC_8760</v>
      </c>
      <c r="C542" s="641" t="str">
        <f>IF(OR(E542="",E542=0),"No",
IF(AND('Data Entry'!$AF$23="OR",AE542&lt;1),"No",
IF(AND('Data Entry'!$AF$23="ID",E542="Non-standard lighting control system",AD542&lt;1),"No",
IF(AND('Data Entry'!$AF$23="OR",'Proposed Lighting'!F239="Existing LED (Provide Description)",'Proposed Lighting'!AK239=""),"No",
IF('Proposed Lighting'!DD239="Submit Control as Non-Standard","No",
IF(AND('Proposed Lighting'!T239="Non-Standard (Provide Description)",AD542&lt;1),"No",
IF('Proposed Lighting'!AW239&lt;'Proposed Lighting'!AZ239,"No","Yes")))))))</f>
        <v>No</v>
      </c>
      <c r="D542" s="1604">
        <f>'Proposed Lighting'!BQ239-Q542</f>
        <v>0</v>
      </c>
      <c r="E542" s="642" t="str">
        <f>IF('Proposed Lighting'!W239="","",'Proposed Lighting'!W239)</f>
        <v/>
      </c>
      <c r="F542" s="642"/>
      <c r="G542" s="641" t="s">
        <v>786</v>
      </c>
      <c r="H542" s="643">
        <v>10</v>
      </c>
      <c r="I542" s="644">
        <v>1</v>
      </c>
      <c r="J542" s="723">
        <f>IF('Proposed Lighting'!EF239=0,'Proposed Lighting'!AA239,'Proposed Lighting'!EF239)</f>
        <v>0</v>
      </c>
      <c r="K542" s="643" t="str">
        <f>'Proposed Lighting'!CU239</f>
        <v/>
      </c>
      <c r="L542" s="643" t="str">
        <f t="shared" si="116"/>
        <v/>
      </c>
      <c r="M542" s="645">
        <f t="shared" si="119"/>
        <v>0</v>
      </c>
      <c r="N542" s="645"/>
      <c r="O542" s="722">
        <f>IFERROR('Proposed Lighting'!AC239/1000,0)</f>
        <v>0</v>
      </c>
      <c r="P542" s="644">
        <f>'Proposed Lighting'!AV239</f>
        <v>0</v>
      </c>
      <c r="Q542" s="644">
        <f>IF(AND('Proposed Lighting'!T239="Lighting Controls Only",'Data Entry'!$AF$23="OR",'Proposed Lighting'!AU239=2),0,
IF(AND('Proposed Lighting'!T239="Lighting Controls Only",'Data Entry'!$AF$23="OR",'Proposed Lighting'!AU239=3,OR('Proposed Lighting'!W239="ceiling mount",'Proposed Lighting'!W239="wall switch",'Proposed Lighting'!W239="fixture mount (on exisiting equip)",'Proposed Lighting'!W239="daylight harvesting (on existing equip)")),0,
IF('Proposed Lighting'!AF239=1,IF(P542=0,0,J542*O542*(L542*(1-P542))),IF('Proposed Lighting'!AU239=1,0,'Proposed Lighting'!AX239-'Proposed Lighting'!AY239))))</f>
        <v>0</v>
      </c>
      <c r="R542" s="646">
        <f>IF('Proposed Lighting'!T239="Non-standard (provide description",0,
IF(AND(E542="Non-standard control",'Proposed Lighting'!AU239=2),Q542*0.1,
IF(AND(E542="Non-standard control",'Proposed Lighting'!AU239=3),Q542*0.08,
IF('Proposed Lighting'!EF239=0,0,IF('Proposed Lighting'!AU239=1,0,
IF(AND('Data Entry'!$AF$23="ID",'Proposed Lighting'!T239="Lighting controls only"),VLOOKUP(E542,'Proposed Lighting'!$DO$97:$DP$106,2,FALSE),
IF(AND('Data Entry'!$AF$23="OR",'Proposed Lighting'!AU239=3,'Proposed Lighting'!T239="Lighting controls only"),VLOOKUP(E542,'Proposed Lighting'!$DO$127:$DP$134,2,FALSE),0)))))))*J542</f>
        <v>0</v>
      </c>
      <c r="S542" s="646">
        <f>IF(Q542&lt;0.01,0,IF('Proposed Lighting'!AK239&gt;0,'Proposed Lighting'!AK239*'Proposed Lighting'!EF239,0))</f>
        <v>0</v>
      </c>
      <c r="T542" s="647">
        <f t="shared" si="117"/>
        <v>0</v>
      </c>
      <c r="U542" s="648"/>
      <c r="V542" s="646">
        <f t="shared" si="120"/>
        <v>0</v>
      </c>
      <c r="W542" s="646">
        <f t="shared" si="121"/>
        <v>0</v>
      </c>
      <c r="X542" s="646">
        <f t="shared" si="122"/>
        <v>0</v>
      </c>
      <c r="Y542" s="646"/>
      <c r="Z542" s="646"/>
      <c r="AA542" s="646"/>
      <c r="AB542" s="646">
        <f t="shared" si="123"/>
        <v>0</v>
      </c>
      <c r="AC542" s="649" t="str">
        <f t="shared" si="124"/>
        <v/>
      </c>
      <c r="AD542" s="649" t="str">
        <f t="shared" si="125"/>
        <v/>
      </c>
      <c r="AE542" s="649" t="str">
        <f t="shared" si="126"/>
        <v/>
      </c>
      <c r="AF542" s="72"/>
      <c r="AG542" s="644">
        <f>IFERROR(IF($AV542="No",0,IF($AV542="yes",Summary!Q542,"")),"")</f>
        <v>0</v>
      </c>
      <c r="AH542" s="646">
        <f>IFERROR(IF($AV542="No",0,IF($AV542="yes",Summary!R542,"")),"")</f>
        <v>0</v>
      </c>
      <c r="AI542" s="646">
        <f>IFERROR(IF($AV542="No",0,IF($AV542="yes",Summary!S542,"")),"")</f>
        <v>0</v>
      </c>
      <c r="AJ542" s="647">
        <f>IFERROR(IF($AV542="No",0,IF($AV542="yes",Summary!T542,"")),"")</f>
        <v>0</v>
      </c>
      <c r="AK542" s="648">
        <f>IFERROR(IF($AV542="No",0,IF($AV542="yes",Summary!U542,"")),"")</f>
        <v>0</v>
      </c>
      <c r="AL542" s="646">
        <f>IFERROR(IF($AV542="No",0,IF($AV542="yes",Summary!V542,"")),"")</f>
        <v>0</v>
      </c>
      <c r="AM542" s="646">
        <f>IFERROR(IF($AV542="No",0,IF($AV542="yes",Summary!W542,"")),"")</f>
        <v>0</v>
      </c>
      <c r="AN542" s="646">
        <f>IFERROR(IF($AV542="No",0,IF($AV542="yes",Summary!X542,"")),"")</f>
        <v>0</v>
      </c>
      <c r="AO542" s="646">
        <f>IFERROR(IF($AV542="No",0,IF($AV542="yes",Summary!Y542+Z542,"")),"")</f>
        <v>0</v>
      </c>
      <c r="AP542" s="646">
        <f>IFERROR(IF($AV542="No",0,IF($AV542="yes",Summary!AB542,"")),"")</f>
        <v>0</v>
      </c>
      <c r="AQ542" s="649" t="str">
        <f t="shared" si="114"/>
        <v/>
      </c>
      <c r="AR542" s="649" t="str">
        <f t="shared" si="118"/>
        <v/>
      </c>
      <c r="AS542" s="649" t="str">
        <f t="shared" si="115"/>
        <v/>
      </c>
      <c r="AT542" s="641" t="s">
        <v>1016</v>
      </c>
      <c r="AV542" t="str">
        <f>IF('Proposed Lighting'!AK239&gt;0,"No","Yes")</f>
        <v>Yes</v>
      </c>
    </row>
    <row r="543" spans="1:48" ht="34.5" customHeight="1" outlineLevel="1">
      <c r="A543" s="641" t="s">
        <v>1017</v>
      </c>
      <c r="B543" s="641" t="str">
        <f>IF('Proposed Lighting'!AU240=3,"Commercial-All Com-ExtLight",IF('Proposed Lighting'!AH240&gt;8759,"IPC_8760","Commercial-All Com-IntLight"))</f>
        <v>IPC_8760</v>
      </c>
      <c r="C543" s="641" t="str">
        <f>IF(OR(E543="",E543=0),"No",
IF(AND('Data Entry'!$AF$23="OR",AE543&lt;1),"No",
IF(AND('Data Entry'!$AF$23="ID",E543="Non-standard lighting control system",AD543&lt;1),"No",
IF(AND('Data Entry'!$AF$23="OR",'Proposed Lighting'!F240="Existing LED (Provide Description)",'Proposed Lighting'!AK240=""),"No",
IF('Proposed Lighting'!DD240="Submit Control as Non-Standard","No",
IF(AND('Proposed Lighting'!T240="Non-Standard (Provide Description)",AD543&lt;1),"No",
IF('Proposed Lighting'!AW240&lt;'Proposed Lighting'!AZ240,"No","Yes")))))))</f>
        <v>No</v>
      </c>
      <c r="D543" s="1604">
        <f>'Proposed Lighting'!BQ240-Q543</f>
        <v>0</v>
      </c>
      <c r="E543" s="642" t="str">
        <f>IF('Proposed Lighting'!W240="","",'Proposed Lighting'!W240)</f>
        <v/>
      </c>
      <c r="F543" s="642"/>
      <c r="G543" s="641" t="s">
        <v>786</v>
      </c>
      <c r="H543" s="643">
        <v>10</v>
      </c>
      <c r="I543" s="644">
        <v>1</v>
      </c>
      <c r="J543" s="723">
        <f>IF('Proposed Lighting'!EF240=0,'Proposed Lighting'!AA240,'Proposed Lighting'!EF240)</f>
        <v>0</v>
      </c>
      <c r="K543" s="643" t="str">
        <f>'Proposed Lighting'!CU240</f>
        <v/>
      </c>
      <c r="L543" s="643" t="str">
        <f t="shared" si="116"/>
        <v/>
      </c>
      <c r="M543" s="645">
        <f t="shared" si="119"/>
        <v>0</v>
      </c>
      <c r="N543" s="645"/>
      <c r="O543" s="722">
        <f>IFERROR('Proposed Lighting'!AC240/1000,0)</f>
        <v>0</v>
      </c>
      <c r="P543" s="644">
        <f>'Proposed Lighting'!AV240</f>
        <v>0</v>
      </c>
      <c r="Q543" s="644">
        <f>IF(AND('Proposed Lighting'!T240="Lighting Controls Only",'Data Entry'!$AF$23="OR",'Proposed Lighting'!AU240=2),0,
IF(AND('Proposed Lighting'!T240="Lighting Controls Only",'Data Entry'!$AF$23="OR",'Proposed Lighting'!AU240=3,OR('Proposed Lighting'!W240="ceiling mount",'Proposed Lighting'!W240="wall switch",'Proposed Lighting'!W240="fixture mount (on exisiting equip)",'Proposed Lighting'!W240="daylight harvesting (on existing equip)")),0,
IF('Proposed Lighting'!AF240=1,IF(P543=0,0,J543*O543*(L543*(1-P543))),IF('Proposed Lighting'!AU240=1,0,'Proposed Lighting'!AX240-'Proposed Lighting'!AY240))))</f>
        <v>0</v>
      </c>
      <c r="R543" s="646">
        <f>IF('Proposed Lighting'!T240="Non-standard (provide description",0,
IF(AND(E543="Non-standard control",'Proposed Lighting'!AU240=2),Q543*0.1,
IF(AND(E543="Non-standard control",'Proposed Lighting'!AU240=3),Q543*0.08,
IF('Proposed Lighting'!EF240=0,0,IF('Proposed Lighting'!AU240=1,0,
IF(AND('Data Entry'!$AF$23="ID",'Proposed Lighting'!T240="Lighting controls only"),VLOOKUP(E543,'Proposed Lighting'!$DO$97:$DP$106,2,FALSE),
IF(AND('Data Entry'!$AF$23="OR",'Proposed Lighting'!AU240=3,'Proposed Lighting'!T240="Lighting controls only"),VLOOKUP(E543,'Proposed Lighting'!$DO$127:$DP$134,2,FALSE),0)))))))*J543</f>
        <v>0</v>
      </c>
      <c r="S543" s="646">
        <f>IF(Q543&lt;0.01,0,IF('Proposed Lighting'!AK240&gt;0,'Proposed Lighting'!AK240*'Proposed Lighting'!EF240,0))</f>
        <v>0</v>
      </c>
      <c r="T543" s="647">
        <f t="shared" si="117"/>
        <v>0</v>
      </c>
      <c r="U543" s="648"/>
      <c r="V543" s="646">
        <f t="shared" si="120"/>
        <v>0</v>
      </c>
      <c r="W543" s="646">
        <f t="shared" si="121"/>
        <v>0</v>
      </c>
      <c r="X543" s="646">
        <f t="shared" si="122"/>
        <v>0</v>
      </c>
      <c r="Y543" s="646"/>
      <c r="Z543" s="646"/>
      <c r="AA543" s="646"/>
      <c r="AB543" s="646">
        <f t="shared" si="123"/>
        <v>0</v>
      </c>
      <c r="AC543" s="649" t="str">
        <f t="shared" si="124"/>
        <v/>
      </c>
      <c r="AD543" s="649" t="str">
        <f t="shared" si="125"/>
        <v/>
      </c>
      <c r="AE543" s="649" t="str">
        <f t="shared" si="126"/>
        <v/>
      </c>
      <c r="AF543" s="72"/>
      <c r="AG543" s="644">
        <f>IFERROR(IF($AV543="No",0,IF($AV543="yes",Summary!Q543,"")),"")</f>
        <v>0</v>
      </c>
      <c r="AH543" s="646">
        <f>IFERROR(IF($AV543="No",0,IF($AV543="yes",Summary!R543,"")),"")</f>
        <v>0</v>
      </c>
      <c r="AI543" s="646">
        <f>IFERROR(IF($AV543="No",0,IF($AV543="yes",Summary!S543,"")),"")</f>
        <v>0</v>
      </c>
      <c r="AJ543" s="647">
        <f>IFERROR(IF($AV543="No",0,IF($AV543="yes",Summary!T543,"")),"")</f>
        <v>0</v>
      </c>
      <c r="AK543" s="648">
        <f>IFERROR(IF($AV543="No",0,IF($AV543="yes",Summary!U543,"")),"")</f>
        <v>0</v>
      </c>
      <c r="AL543" s="646">
        <f>IFERROR(IF($AV543="No",0,IF($AV543="yes",Summary!V543,"")),"")</f>
        <v>0</v>
      </c>
      <c r="AM543" s="646">
        <f>IFERROR(IF($AV543="No",0,IF($AV543="yes",Summary!W543,"")),"")</f>
        <v>0</v>
      </c>
      <c r="AN543" s="646">
        <f>IFERROR(IF($AV543="No",0,IF($AV543="yes",Summary!X543,"")),"")</f>
        <v>0</v>
      </c>
      <c r="AO543" s="646">
        <f>IFERROR(IF($AV543="No",0,IF($AV543="yes",Summary!Y543+Z543,"")),"")</f>
        <v>0</v>
      </c>
      <c r="AP543" s="646">
        <f>IFERROR(IF($AV543="No",0,IF($AV543="yes",Summary!AB543,"")),"")</f>
        <v>0</v>
      </c>
      <c r="AQ543" s="649" t="str">
        <f t="shared" si="114"/>
        <v/>
      </c>
      <c r="AR543" s="649" t="str">
        <f t="shared" si="118"/>
        <v/>
      </c>
      <c r="AS543" s="649" t="str">
        <f t="shared" si="115"/>
        <v/>
      </c>
      <c r="AT543" s="641" t="s">
        <v>1017</v>
      </c>
      <c r="AV543" t="str">
        <f>IF('Proposed Lighting'!AK240&gt;0,"No","Yes")</f>
        <v>Yes</v>
      </c>
    </row>
    <row r="544" spans="1:48" ht="34.5" customHeight="1" outlineLevel="1">
      <c r="A544" s="641" t="s">
        <v>1018</v>
      </c>
      <c r="B544" s="641" t="str">
        <f>IF('Proposed Lighting'!AU241=3,"Commercial-All Com-ExtLight",IF('Proposed Lighting'!AH241&gt;8759,"IPC_8760","Commercial-All Com-IntLight"))</f>
        <v>IPC_8760</v>
      </c>
      <c r="C544" s="641" t="str">
        <f>IF(OR(E544="",E544=0),"No",
IF(AND('Data Entry'!$AF$23="OR",AE544&lt;1),"No",
IF(AND('Data Entry'!$AF$23="ID",E544="Non-standard lighting control system",AD544&lt;1),"No",
IF(AND('Data Entry'!$AF$23="OR",'Proposed Lighting'!F241="Existing LED (Provide Description)",'Proposed Lighting'!AK241=""),"No",
IF('Proposed Lighting'!DD241="Submit Control as Non-Standard","No",
IF(AND('Proposed Lighting'!T241="Non-Standard (Provide Description)",AD544&lt;1),"No",
IF('Proposed Lighting'!AW241&lt;'Proposed Lighting'!AZ241,"No","Yes")))))))</f>
        <v>No</v>
      </c>
      <c r="D544" s="1604">
        <f>'Proposed Lighting'!BQ241-Q544</f>
        <v>0</v>
      </c>
      <c r="E544" s="642" t="str">
        <f>IF('Proposed Lighting'!W241="","",'Proposed Lighting'!W241)</f>
        <v/>
      </c>
      <c r="F544" s="642"/>
      <c r="G544" s="641" t="s">
        <v>786</v>
      </c>
      <c r="H544" s="643">
        <v>10</v>
      </c>
      <c r="I544" s="644">
        <v>1</v>
      </c>
      <c r="J544" s="723">
        <f>IF('Proposed Lighting'!EF241=0,'Proposed Lighting'!AA241,'Proposed Lighting'!EF241)</f>
        <v>0</v>
      </c>
      <c r="K544" s="643" t="str">
        <f>'Proposed Lighting'!CU241</f>
        <v/>
      </c>
      <c r="L544" s="643" t="str">
        <f t="shared" si="116"/>
        <v/>
      </c>
      <c r="M544" s="645">
        <f t="shared" si="119"/>
        <v>0</v>
      </c>
      <c r="N544" s="645"/>
      <c r="O544" s="722">
        <f>IFERROR('Proposed Lighting'!AC241/1000,0)</f>
        <v>0</v>
      </c>
      <c r="P544" s="644">
        <f>'Proposed Lighting'!AV241</f>
        <v>0</v>
      </c>
      <c r="Q544" s="644">
        <f>IF(AND('Proposed Lighting'!T241="Lighting Controls Only",'Data Entry'!$AF$23="OR",'Proposed Lighting'!AU241=2),0,
IF(AND('Proposed Lighting'!T241="Lighting Controls Only",'Data Entry'!$AF$23="OR",'Proposed Lighting'!AU241=3,OR('Proposed Lighting'!W241="ceiling mount",'Proposed Lighting'!W241="wall switch",'Proposed Lighting'!W241="fixture mount (on exisiting equip)",'Proposed Lighting'!W241="daylight harvesting (on existing equip)")),0,
IF('Proposed Lighting'!AF241=1,IF(P544=0,0,J544*O544*(L544*(1-P544))),IF('Proposed Lighting'!AU241=1,0,'Proposed Lighting'!AX241-'Proposed Lighting'!AY241))))</f>
        <v>0</v>
      </c>
      <c r="R544" s="646">
        <f>IF('Proposed Lighting'!T241="Non-standard (provide description",0,
IF(AND(E544="Non-standard control",'Proposed Lighting'!AU241=2),Q544*0.1,
IF(AND(E544="Non-standard control",'Proposed Lighting'!AU241=3),Q544*0.08,
IF('Proposed Lighting'!EF241=0,0,IF('Proposed Lighting'!AU241=1,0,
IF(AND('Data Entry'!$AF$23="ID",'Proposed Lighting'!T241="Lighting controls only"),VLOOKUP(E544,'Proposed Lighting'!$DO$97:$DP$106,2,FALSE),
IF(AND('Data Entry'!$AF$23="OR",'Proposed Lighting'!AU241=3,'Proposed Lighting'!T241="Lighting controls only"),VLOOKUP(E544,'Proposed Lighting'!$DO$127:$DP$134,2,FALSE),0)))))))*J544</f>
        <v>0</v>
      </c>
      <c r="S544" s="646">
        <f>IF(Q544&lt;0.01,0,IF('Proposed Lighting'!AK241&gt;0,'Proposed Lighting'!AK241*'Proposed Lighting'!EF241,0))</f>
        <v>0</v>
      </c>
      <c r="T544" s="647">
        <f t="shared" si="117"/>
        <v>0</v>
      </c>
      <c r="U544" s="648"/>
      <c r="V544" s="646">
        <f t="shared" si="120"/>
        <v>0</v>
      </c>
      <c r="W544" s="646">
        <f t="shared" si="121"/>
        <v>0</v>
      </c>
      <c r="X544" s="646">
        <f t="shared" si="122"/>
        <v>0</v>
      </c>
      <c r="Y544" s="646"/>
      <c r="Z544" s="646"/>
      <c r="AA544" s="646"/>
      <c r="AB544" s="646">
        <f t="shared" si="123"/>
        <v>0</v>
      </c>
      <c r="AC544" s="649" t="str">
        <f t="shared" si="124"/>
        <v/>
      </c>
      <c r="AD544" s="649" t="str">
        <f t="shared" si="125"/>
        <v/>
      </c>
      <c r="AE544" s="649" t="str">
        <f t="shared" si="126"/>
        <v/>
      </c>
      <c r="AF544" s="72"/>
      <c r="AG544" s="644">
        <f>IFERROR(IF($AV544="No",0,IF($AV544="yes",Summary!Q544,"")),"")</f>
        <v>0</v>
      </c>
      <c r="AH544" s="646">
        <f>IFERROR(IF($AV544="No",0,IF($AV544="yes",Summary!R544,"")),"")</f>
        <v>0</v>
      </c>
      <c r="AI544" s="646">
        <f>IFERROR(IF($AV544="No",0,IF($AV544="yes",Summary!S544,"")),"")</f>
        <v>0</v>
      </c>
      <c r="AJ544" s="647">
        <f>IFERROR(IF($AV544="No",0,IF($AV544="yes",Summary!T544,"")),"")</f>
        <v>0</v>
      </c>
      <c r="AK544" s="648">
        <f>IFERROR(IF($AV544="No",0,IF($AV544="yes",Summary!U544,"")),"")</f>
        <v>0</v>
      </c>
      <c r="AL544" s="646">
        <f>IFERROR(IF($AV544="No",0,IF($AV544="yes",Summary!V544,"")),"")</f>
        <v>0</v>
      </c>
      <c r="AM544" s="646">
        <f>IFERROR(IF($AV544="No",0,IF($AV544="yes",Summary!W544,"")),"")</f>
        <v>0</v>
      </c>
      <c r="AN544" s="646">
        <f>IFERROR(IF($AV544="No",0,IF($AV544="yes",Summary!X544,"")),"")</f>
        <v>0</v>
      </c>
      <c r="AO544" s="646">
        <f>IFERROR(IF($AV544="No",0,IF($AV544="yes",Summary!Y544+Z544,"")),"")</f>
        <v>0</v>
      </c>
      <c r="AP544" s="646">
        <f>IFERROR(IF($AV544="No",0,IF($AV544="yes",Summary!AB544,"")),"")</f>
        <v>0</v>
      </c>
      <c r="AQ544" s="649" t="str">
        <f t="shared" si="114"/>
        <v/>
      </c>
      <c r="AR544" s="649" t="str">
        <f t="shared" si="118"/>
        <v/>
      </c>
      <c r="AS544" s="649" t="str">
        <f t="shared" si="115"/>
        <v/>
      </c>
      <c r="AT544" s="641" t="s">
        <v>1018</v>
      </c>
      <c r="AV544" t="str">
        <f>IF('Proposed Lighting'!AK241&gt;0,"No","Yes")</f>
        <v>Yes</v>
      </c>
    </row>
    <row r="545" spans="1:48" ht="34.5" customHeight="1" outlineLevel="1">
      <c r="A545" s="641" t="s">
        <v>1019</v>
      </c>
      <c r="B545" s="641" t="str">
        <f>IF('Proposed Lighting'!AU242=3,"Commercial-All Com-ExtLight",IF('Proposed Lighting'!AH242&gt;8759,"IPC_8760","Commercial-All Com-IntLight"))</f>
        <v>IPC_8760</v>
      </c>
      <c r="C545" s="641" t="str">
        <f>IF(OR(E545="",E545=0),"No",
IF(AND('Data Entry'!$AF$23="OR",AE545&lt;1),"No",
IF(AND('Data Entry'!$AF$23="ID",E545="Non-standard lighting control system",AD545&lt;1),"No",
IF(AND('Data Entry'!$AF$23="OR",'Proposed Lighting'!F242="Existing LED (Provide Description)",'Proposed Lighting'!AK242=""),"No",
IF('Proposed Lighting'!DD242="Submit Control as Non-Standard","No",
IF(AND('Proposed Lighting'!T242="Non-Standard (Provide Description)",AD545&lt;1),"No",
IF('Proposed Lighting'!AW242&lt;'Proposed Lighting'!AZ242,"No","Yes")))))))</f>
        <v>No</v>
      </c>
      <c r="D545" s="1604">
        <f>'Proposed Lighting'!BQ242-Q545</f>
        <v>0</v>
      </c>
      <c r="E545" s="642" t="str">
        <f>IF('Proposed Lighting'!W242="","",'Proposed Lighting'!W242)</f>
        <v/>
      </c>
      <c r="F545" s="642"/>
      <c r="G545" s="641" t="s">
        <v>786</v>
      </c>
      <c r="H545" s="643">
        <v>10</v>
      </c>
      <c r="I545" s="644">
        <v>1</v>
      </c>
      <c r="J545" s="723">
        <f>IF('Proposed Lighting'!EF242=0,'Proposed Lighting'!AA242,'Proposed Lighting'!EF242)</f>
        <v>0</v>
      </c>
      <c r="K545" s="643" t="str">
        <f>'Proposed Lighting'!CU242</f>
        <v/>
      </c>
      <c r="L545" s="643" t="str">
        <f t="shared" si="116"/>
        <v/>
      </c>
      <c r="M545" s="645">
        <f t="shared" si="119"/>
        <v>0</v>
      </c>
      <c r="N545" s="645"/>
      <c r="O545" s="722">
        <f>IFERROR('Proposed Lighting'!AC242/1000,0)</f>
        <v>0</v>
      </c>
      <c r="P545" s="644">
        <f>'Proposed Lighting'!AV242</f>
        <v>0</v>
      </c>
      <c r="Q545" s="644">
        <f>IF(AND('Proposed Lighting'!T242="Lighting Controls Only",'Data Entry'!$AF$23="OR",'Proposed Lighting'!AU242=2),0,
IF(AND('Proposed Lighting'!T242="Lighting Controls Only",'Data Entry'!$AF$23="OR",'Proposed Lighting'!AU242=3,OR('Proposed Lighting'!W242="ceiling mount",'Proposed Lighting'!W242="wall switch",'Proposed Lighting'!W242="fixture mount (on exisiting equip)",'Proposed Lighting'!W242="daylight harvesting (on existing equip)")),0,
IF('Proposed Lighting'!AF242=1,IF(P545=0,0,J545*O545*(L545*(1-P545))),IF('Proposed Lighting'!AU242=1,0,'Proposed Lighting'!AX242-'Proposed Lighting'!AY242))))</f>
        <v>0</v>
      </c>
      <c r="R545" s="646">
        <f>IF('Proposed Lighting'!T242="Non-standard (provide description",0,
IF(AND(E545="Non-standard control",'Proposed Lighting'!AU242=2),Q545*0.1,
IF(AND(E545="Non-standard control",'Proposed Lighting'!AU242=3),Q545*0.08,
IF('Proposed Lighting'!EF242=0,0,IF('Proposed Lighting'!AU242=1,0,
IF(AND('Data Entry'!$AF$23="ID",'Proposed Lighting'!T242="Lighting controls only"),VLOOKUP(E545,'Proposed Lighting'!$DO$97:$DP$106,2,FALSE),
IF(AND('Data Entry'!$AF$23="OR",'Proposed Lighting'!AU242=3,'Proposed Lighting'!T242="Lighting controls only"),VLOOKUP(E545,'Proposed Lighting'!$DO$127:$DP$134,2,FALSE),0)))))))*J545</f>
        <v>0</v>
      </c>
      <c r="S545" s="646">
        <f>IF(Q545&lt;0.01,0,IF('Proposed Lighting'!AK242&gt;0,'Proposed Lighting'!AK242*'Proposed Lighting'!EF242,0))</f>
        <v>0</v>
      </c>
      <c r="T545" s="647">
        <f t="shared" si="117"/>
        <v>0</v>
      </c>
      <c r="U545" s="648"/>
      <c r="V545" s="646">
        <f t="shared" si="120"/>
        <v>0</v>
      </c>
      <c r="W545" s="646">
        <f t="shared" si="121"/>
        <v>0</v>
      </c>
      <c r="X545" s="646">
        <f t="shared" si="122"/>
        <v>0</v>
      </c>
      <c r="Y545" s="646"/>
      <c r="Z545" s="646"/>
      <c r="AA545" s="646"/>
      <c r="AB545" s="646">
        <f t="shared" si="123"/>
        <v>0</v>
      </c>
      <c r="AC545" s="649" t="str">
        <f t="shared" si="124"/>
        <v/>
      </c>
      <c r="AD545" s="649" t="str">
        <f t="shared" si="125"/>
        <v/>
      </c>
      <c r="AE545" s="649" t="str">
        <f t="shared" si="126"/>
        <v/>
      </c>
      <c r="AF545" s="72"/>
      <c r="AG545" s="644">
        <f>IFERROR(IF($AV545="No",0,IF($AV545="yes",Summary!Q545,"")),"")</f>
        <v>0</v>
      </c>
      <c r="AH545" s="646">
        <f>IFERROR(IF($AV545="No",0,IF($AV545="yes",Summary!R545,"")),"")</f>
        <v>0</v>
      </c>
      <c r="AI545" s="646">
        <f>IFERROR(IF($AV545="No",0,IF($AV545="yes",Summary!S545,"")),"")</f>
        <v>0</v>
      </c>
      <c r="AJ545" s="647">
        <f>IFERROR(IF($AV545="No",0,IF($AV545="yes",Summary!T545,"")),"")</f>
        <v>0</v>
      </c>
      <c r="AK545" s="648">
        <f>IFERROR(IF($AV545="No",0,IF($AV545="yes",Summary!U545,"")),"")</f>
        <v>0</v>
      </c>
      <c r="AL545" s="646">
        <f>IFERROR(IF($AV545="No",0,IF($AV545="yes",Summary!V545,"")),"")</f>
        <v>0</v>
      </c>
      <c r="AM545" s="646">
        <f>IFERROR(IF($AV545="No",0,IF($AV545="yes",Summary!W545,"")),"")</f>
        <v>0</v>
      </c>
      <c r="AN545" s="646">
        <f>IFERROR(IF($AV545="No",0,IF($AV545="yes",Summary!X545,"")),"")</f>
        <v>0</v>
      </c>
      <c r="AO545" s="646">
        <f>IFERROR(IF($AV545="No",0,IF($AV545="yes",Summary!Y545+Z545,"")),"")</f>
        <v>0</v>
      </c>
      <c r="AP545" s="646">
        <f>IFERROR(IF($AV545="No",0,IF($AV545="yes",Summary!AB545,"")),"")</f>
        <v>0</v>
      </c>
      <c r="AQ545" s="649" t="str">
        <f t="shared" si="114"/>
        <v/>
      </c>
      <c r="AR545" s="649" t="str">
        <f t="shared" si="118"/>
        <v/>
      </c>
      <c r="AS545" s="649" t="str">
        <f t="shared" si="115"/>
        <v/>
      </c>
      <c r="AT545" s="641" t="s">
        <v>1019</v>
      </c>
      <c r="AV545" t="str">
        <f>IF('Proposed Lighting'!AK242&gt;0,"No","Yes")</f>
        <v>Yes</v>
      </c>
    </row>
    <row r="546" spans="1:48" ht="34.5" customHeight="1" outlineLevel="1">
      <c r="A546" s="641" t="s">
        <v>1020</v>
      </c>
      <c r="B546" s="641" t="str">
        <f>IF('Proposed Lighting'!AU243=3,"Commercial-All Com-ExtLight",IF('Proposed Lighting'!AH243&gt;8759,"IPC_8760","Commercial-All Com-IntLight"))</f>
        <v>IPC_8760</v>
      </c>
      <c r="C546" s="641" t="str">
        <f>IF(OR(E546="",E546=0),"No",
IF(AND('Data Entry'!$AF$23="OR",AE546&lt;1),"No",
IF(AND('Data Entry'!$AF$23="ID",E546="Non-standard lighting control system",AD546&lt;1),"No",
IF(AND('Data Entry'!$AF$23="OR",'Proposed Lighting'!F243="Existing LED (Provide Description)",'Proposed Lighting'!AK243=""),"No",
IF('Proposed Lighting'!DD243="Submit Control as Non-Standard","No",
IF(AND('Proposed Lighting'!T243="Non-Standard (Provide Description)",AD546&lt;1),"No",
IF('Proposed Lighting'!AW243&lt;'Proposed Lighting'!AZ243,"No","Yes")))))))</f>
        <v>No</v>
      </c>
      <c r="D546" s="1604">
        <f>'Proposed Lighting'!BQ243-Q546</f>
        <v>0</v>
      </c>
      <c r="E546" s="642" t="str">
        <f>IF('Proposed Lighting'!W243="","",'Proposed Lighting'!W243)</f>
        <v/>
      </c>
      <c r="F546" s="642"/>
      <c r="G546" s="641" t="s">
        <v>786</v>
      </c>
      <c r="H546" s="643">
        <v>10</v>
      </c>
      <c r="I546" s="644">
        <v>1</v>
      </c>
      <c r="J546" s="723">
        <f>IF('Proposed Lighting'!EF243=0,'Proposed Lighting'!AA243,'Proposed Lighting'!EF243)</f>
        <v>0</v>
      </c>
      <c r="K546" s="643" t="str">
        <f>'Proposed Lighting'!CU243</f>
        <v/>
      </c>
      <c r="L546" s="643" t="str">
        <f t="shared" si="116"/>
        <v/>
      </c>
      <c r="M546" s="645">
        <f t="shared" si="119"/>
        <v>0</v>
      </c>
      <c r="N546" s="645"/>
      <c r="O546" s="722">
        <f>IFERROR('Proposed Lighting'!AC243/1000,0)</f>
        <v>0</v>
      </c>
      <c r="P546" s="644">
        <f>'Proposed Lighting'!AV243</f>
        <v>0</v>
      </c>
      <c r="Q546" s="644">
        <f>IF(AND('Proposed Lighting'!T243="Lighting Controls Only",'Data Entry'!$AF$23="OR",'Proposed Lighting'!AU243=2),0,
IF(AND('Proposed Lighting'!T243="Lighting Controls Only",'Data Entry'!$AF$23="OR",'Proposed Lighting'!AU243=3,OR('Proposed Lighting'!W243="ceiling mount",'Proposed Lighting'!W243="wall switch",'Proposed Lighting'!W243="fixture mount (on exisiting equip)",'Proposed Lighting'!W243="daylight harvesting (on existing equip)")),0,
IF('Proposed Lighting'!AF243=1,IF(P546=0,0,J546*O546*(L546*(1-P546))),IF('Proposed Lighting'!AU243=1,0,'Proposed Lighting'!AX243-'Proposed Lighting'!AY243))))</f>
        <v>0</v>
      </c>
      <c r="R546" s="646">
        <f>IF('Proposed Lighting'!T243="Non-standard (provide description",0,
IF(AND(E546="Non-standard control",'Proposed Lighting'!AU243=2),Q546*0.1,
IF(AND(E546="Non-standard control",'Proposed Lighting'!AU243=3),Q546*0.08,
IF('Proposed Lighting'!EF243=0,0,IF('Proposed Lighting'!AU243=1,0,
IF(AND('Data Entry'!$AF$23="ID",'Proposed Lighting'!T243="Lighting controls only"),VLOOKUP(E546,'Proposed Lighting'!$DO$97:$DP$106,2,FALSE),
IF(AND('Data Entry'!$AF$23="OR",'Proposed Lighting'!AU243=3,'Proposed Lighting'!T243="Lighting controls only"),VLOOKUP(E546,'Proposed Lighting'!$DO$127:$DP$134,2,FALSE),0)))))))*J546</f>
        <v>0</v>
      </c>
      <c r="S546" s="646">
        <f>IF(Q546&lt;0.01,0,IF('Proposed Lighting'!AK243&gt;0,'Proposed Lighting'!AK243*'Proposed Lighting'!EF243,0))</f>
        <v>0</v>
      </c>
      <c r="T546" s="647">
        <f t="shared" si="117"/>
        <v>0</v>
      </c>
      <c r="U546" s="648"/>
      <c r="V546" s="646">
        <f t="shared" si="120"/>
        <v>0</v>
      </c>
      <c r="W546" s="646">
        <f t="shared" si="121"/>
        <v>0</v>
      </c>
      <c r="X546" s="646">
        <f t="shared" si="122"/>
        <v>0</v>
      </c>
      <c r="Y546" s="646"/>
      <c r="Z546" s="646"/>
      <c r="AA546" s="646"/>
      <c r="AB546" s="646">
        <f t="shared" si="123"/>
        <v>0</v>
      </c>
      <c r="AC546" s="649" t="str">
        <f t="shared" si="124"/>
        <v/>
      </c>
      <c r="AD546" s="649" t="str">
        <f t="shared" si="125"/>
        <v/>
      </c>
      <c r="AE546" s="649" t="str">
        <f t="shared" si="126"/>
        <v/>
      </c>
      <c r="AF546" s="72"/>
      <c r="AG546" s="644">
        <f>IFERROR(IF($AV546="No",0,IF($AV546="yes",Summary!Q546,"")),"")</f>
        <v>0</v>
      </c>
      <c r="AH546" s="646">
        <f>IFERROR(IF($AV546="No",0,IF($AV546="yes",Summary!R546,"")),"")</f>
        <v>0</v>
      </c>
      <c r="AI546" s="646">
        <f>IFERROR(IF($AV546="No",0,IF($AV546="yes",Summary!S546,"")),"")</f>
        <v>0</v>
      </c>
      <c r="AJ546" s="647">
        <f>IFERROR(IF($AV546="No",0,IF($AV546="yes",Summary!T546,"")),"")</f>
        <v>0</v>
      </c>
      <c r="AK546" s="648">
        <f>IFERROR(IF($AV546="No",0,IF($AV546="yes",Summary!U546,"")),"")</f>
        <v>0</v>
      </c>
      <c r="AL546" s="646">
        <f>IFERROR(IF($AV546="No",0,IF($AV546="yes",Summary!V546,"")),"")</f>
        <v>0</v>
      </c>
      <c r="AM546" s="646">
        <f>IFERROR(IF($AV546="No",0,IF($AV546="yes",Summary!W546,"")),"")</f>
        <v>0</v>
      </c>
      <c r="AN546" s="646">
        <f>IFERROR(IF($AV546="No",0,IF($AV546="yes",Summary!X546,"")),"")</f>
        <v>0</v>
      </c>
      <c r="AO546" s="646">
        <f>IFERROR(IF($AV546="No",0,IF($AV546="yes",Summary!Y546+Z546,"")),"")</f>
        <v>0</v>
      </c>
      <c r="AP546" s="646">
        <f>IFERROR(IF($AV546="No",0,IF($AV546="yes",Summary!AB546,"")),"")</f>
        <v>0</v>
      </c>
      <c r="AQ546" s="649" t="str">
        <f t="shared" si="114"/>
        <v/>
      </c>
      <c r="AR546" s="649" t="str">
        <f t="shared" si="118"/>
        <v/>
      </c>
      <c r="AS546" s="649" t="str">
        <f t="shared" si="115"/>
        <v/>
      </c>
      <c r="AT546" s="641" t="s">
        <v>1020</v>
      </c>
      <c r="AV546" t="str">
        <f>IF('Proposed Lighting'!AK243&gt;0,"No","Yes")</f>
        <v>Yes</v>
      </c>
    </row>
    <row r="547" spans="1:48" ht="34.5" customHeight="1" outlineLevel="1">
      <c r="A547" s="641" t="s">
        <v>1021</v>
      </c>
      <c r="B547" s="641" t="str">
        <f>IF('Proposed Lighting'!AU244=3,"Commercial-All Com-ExtLight",IF('Proposed Lighting'!AH244&gt;8759,"IPC_8760","Commercial-All Com-IntLight"))</f>
        <v>IPC_8760</v>
      </c>
      <c r="C547" s="641" t="str">
        <f>IF(OR(E547="",E547=0),"No",
IF(AND('Data Entry'!$AF$23="OR",AE547&lt;1),"No",
IF(AND('Data Entry'!$AF$23="ID",E547="Non-standard lighting control system",AD547&lt;1),"No",
IF(AND('Data Entry'!$AF$23="OR",'Proposed Lighting'!F244="Existing LED (Provide Description)",'Proposed Lighting'!AK244=""),"No",
IF('Proposed Lighting'!DD244="Submit Control as Non-Standard","No",
IF(AND('Proposed Lighting'!T244="Non-Standard (Provide Description)",AD547&lt;1),"No",
IF('Proposed Lighting'!AW244&lt;'Proposed Lighting'!AZ244,"No","Yes")))))))</f>
        <v>No</v>
      </c>
      <c r="D547" s="1604">
        <f>'Proposed Lighting'!BQ244-Q547</f>
        <v>0</v>
      </c>
      <c r="E547" s="642" t="str">
        <f>IF('Proposed Lighting'!W244="","",'Proposed Lighting'!W244)</f>
        <v/>
      </c>
      <c r="F547" s="642"/>
      <c r="G547" s="641" t="s">
        <v>786</v>
      </c>
      <c r="H547" s="643">
        <v>10</v>
      </c>
      <c r="I547" s="644">
        <v>1</v>
      </c>
      <c r="J547" s="723">
        <f>IF('Proposed Lighting'!EF244=0,'Proposed Lighting'!AA244,'Proposed Lighting'!EF244)</f>
        <v>0</v>
      </c>
      <c r="K547" s="643" t="str">
        <f>'Proposed Lighting'!CU244</f>
        <v/>
      </c>
      <c r="L547" s="643" t="str">
        <f t="shared" si="116"/>
        <v/>
      </c>
      <c r="M547" s="645">
        <f t="shared" si="119"/>
        <v>0</v>
      </c>
      <c r="N547" s="645"/>
      <c r="O547" s="722">
        <f>IFERROR('Proposed Lighting'!AC244/1000,0)</f>
        <v>0</v>
      </c>
      <c r="P547" s="644">
        <f>'Proposed Lighting'!AV244</f>
        <v>0</v>
      </c>
      <c r="Q547" s="644">
        <f>IF(AND('Proposed Lighting'!T244="Lighting Controls Only",'Data Entry'!$AF$23="OR",'Proposed Lighting'!AU244=2),0,
IF(AND('Proposed Lighting'!T244="Lighting Controls Only",'Data Entry'!$AF$23="OR",'Proposed Lighting'!AU244=3,OR('Proposed Lighting'!W244="ceiling mount",'Proposed Lighting'!W244="wall switch",'Proposed Lighting'!W244="fixture mount (on exisiting equip)",'Proposed Lighting'!W244="daylight harvesting (on existing equip)")),0,
IF('Proposed Lighting'!AF244=1,IF(P547=0,0,J547*O547*(L547*(1-P547))),IF('Proposed Lighting'!AU244=1,0,'Proposed Lighting'!AX244-'Proposed Lighting'!AY244))))</f>
        <v>0</v>
      </c>
      <c r="R547" s="646">
        <f>IF('Proposed Lighting'!T244="Non-standard (provide description",0,
IF(AND(E547="Non-standard control",'Proposed Lighting'!AU244=2),Q547*0.1,
IF(AND(E547="Non-standard control",'Proposed Lighting'!AU244=3),Q547*0.08,
IF('Proposed Lighting'!EF244=0,0,IF('Proposed Lighting'!AU244=1,0,
IF(AND('Data Entry'!$AF$23="ID",'Proposed Lighting'!T244="Lighting controls only"),VLOOKUP(E547,'Proposed Lighting'!$DO$97:$DP$106,2,FALSE),
IF(AND('Data Entry'!$AF$23="OR",'Proposed Lighting'!AU244=3,'Proposed Lighting'!T244="Lighting controls only"),VLOOKUP(E547,'Proposed Lighting'!$DO$127:$DP$134,2,FALSE),0)))))))*J547</f>
        <v>0</v>
      </c>
      <c r="S547" s="646">
        <f>IF(Q547&lt;0.01,0,IF('Proposed Lighting'!AK244&gt;0,'Proposed Lighting'!AK244*'Proposed Lighting'!EF244,0))</f>
        <v>0</v>
      </c>
      <c r="T547" s="647">
        <f t="shared" si="117"/>
        <v>0</v>
      </c>
      <c r="U547" s="648"/>
      <c r="V547" s="646">
        <f t="shared" si="120"/>
        <v>0</v>
      </c>
      <c r="W547" s="646">
        <f t="shared" si="121"/>
        <v>0</v>
      </c>
      <c r="X547" s="646">
        <f t="shared" si="122"/>
        <v>0</v>
      </c>
      <c r="Y547" s="646"/>
      <c r="Z547" s="646"/>
      <c r="AA547" s="646"/>
      <c r="AB547" s="646">
        <f t="shared" si="123"/>
        <v>0</v>
      </c>
      <c r="AC547" s="649" t="str">
        <f t="shared" si="124"/>
        <v/>
      </c>
      <c r="AD547" s="649" t="str">
        <f t="shared" si="125"/>
        <v/>
      </c>
      <c r="AE547" s="649" t="str">
        <f t="shared" si="126"/>
        <v/>
      </c>
      <c r="AF547" s="72"/>
      <c r="AG547" s="644">
        <f>IFERROR(IF($AV547="No",0,IF($AV547="yes",Summary!Q547,"")),"")</f>
        <v>0</v>
      </c>
      <c r="AH547" s="646">
        <f>IFERROR(IF($AV547="No",0,IF($AV547="yes",Summary!R547,"")),"")</f>
        <v>0</v>
      </c>
      <c r="AI547" s="646">
        <f>IFERROR(IF($AV547="No",0,IF($AV547="yes",Summary!S547,"")),"")</f>
        <v>0</v>
      </c>
      <c r="AJ547" s="647">
        <f>IFERROR(IF($AV547="No",0,IF($AV547="yes",Summary!T547,"")),"")</f>
        <v>0</v>
      </c>
      <c r="AK547" s="648">
        <f>IFERROR(IF($AV547="No",0,IF($AV547="yes",Summary!U547,"")),"")</f>
        <v>0</v>
      </c>
      <c r="AL547" s="646">
        <f>IFERROR(IF($AV547="No",0,IF($AV547="yes",Summary!V547,"")),"")</f>
        <v>0</v>
      </c>
      <c r="AM547" s="646">
        <f>IFERROR(IF($AV547="No",0,IF($AV547="yes",Summary!W547,"")),"")</f>
        <v>0</v>
      </c>
      <c r="AN547" s="646">
        <f>IFERROR(IF($AV547="No",0,IF($AV547="yes",Summary!X547,"")),"")</f>
        <v>0</v>
      </c>
      <c r="AO547" s="646">
        <f>IFERROR(IF($AV547="No",0,IF($AV547="yes",Summary!Y547+Z547,"")),"")</f>
        <v>0</v>
      </c>
      <c r="AP547" s="646">
        <f>IFERROR(IF($AV547="No",0,IF($AV547="yes",Summary!AB547,"")),"")</f>
        <v>0</v>
      </c>
      <c r="AQ547" s="649" t="str">
        <f t="shared" si="114"/>
        <v/>
      </c>
      <c r="AR547" s="649" t="str">
        <f t="shared" si="118"/>
        <v/>
      </c>
      <c r="AS547" s="649" t="str">
        <f t="shared" si="115"/>
        <v/>
      </c>
      <c r="AT547" s="641" t="s">
        <v>1021</v>
      </c>
      <c r="AV547" t="str">
        <f>IF('Proposed Lighting'!AK244&gt;0,"No","Yes")</f>
        <v>Yes</v>
      </c>
    </row>
    <row r="548" spans="1:48" ht="34.5" customHeight="1" outlineLevel="1">
      <c r="A548" s="641" t="s">
        <v>1022</v>
      </c>
      <c r="B548" s="641" t="str">
        <f>IF('Proposed Lighting'!AU245=3,"Commercial-All Com-ExtLight",IF('Proposed Lighting'!AH245&gt;8759,"IPC_8760","Commercial-All Com-IntLight"))</f>
        <v>IPC_8760</v>
      </c>
      <c r="C548" s="641" t="str">
        <f>IF(OR(E548="",E548=0),"No",
IF(AND('Data Entry'!$AF$23="OR",AE548&lt;1),"No",
IF(AND('Data Entry'!$AF$23="ID",E548="Non-standard lighting control system",AD548&lt;1),"No",
IF(AND('Data Entry'!$AF$23="OR",'Proposed Lighting'!F245="Existing LED (Provide Description)",'Proposed Lighting'!AK245=""),"No",
IF('Proposed Lighting'!DD245="Submit Control as Non-Standard","No",
IF(AND('Proposed Lighting'!T245="Non-Standard (Provide Description)",AD548&lt;1),"No",
IF('Proposed Lighting'!AW245&lt;'Proposed Lighting'!AZ245,"No","Yes")))))))</f>
        <v>No</v>
      </c>
      <c r="D548" s="1604">
        <f>'Proposed Lighting'!BQ245-Q548</f>
        <v>0</v>
      </c>
      <c r="E548" s="642" t="str">
        <f>IF('Proposed Lighting'!W245="","",'Proposed Lighting'!W245)</f>
        <v/>
      </c>
      <c r="F548" s="642"/>
      <c r="G548" s="641" t="s">
        <v>786</v>
      </c>
      <c r="H548" s="643">
        <v>10</v>
      </c>
      <c r="I548" s="644">
        <v>1</v>
      </c>
      <c r="J548" s="723">
        <f>IF('Proposed Lighting'!EF245=0,'Proposed Lighting'!AA245,'Proposed Lighting'!EF245)</f>
        <v>0</v>
      </c>
      <c r="K548" s="643" t="str">
        <f>'Proposed Lighting'!CU245</f>
        <v/>
      </c>
      <c r="L548" s="643" t="str">
        <f t="shared" si="116"/>
        <v/>
      </c>
      <c r="M548" s="645">
        <f t="shared" si="119"/>
        <v>0</v>
      </c>
      <c r="N548" s="645"/>
      <c r="O548" s="722">
        <f>IFERROR('Proposed Lighting'!AC245/1000,0)</f>
        <v>0</v>
      </c>
      <c r="P548" s="644">
        <f>'Proposed Lighting'!AV245</f>
        <v>0</v>
      </c>
      <c r="Q548" s="644">
        <f>IF(AND('Proposed Lighting'!T245="Lighting Controls Only",'Data Entry'!$AF$23="OR",'Proposed Lighting'!AU245=2),0,
IF(AND('Proposed Lighting'!T245="Lighting Controls Only",'Data Entry'!$AF$23="OR",'Proposed Lighting'!AU245=3,OR('Proposed Lighting'!W245="ceiling mount",'Proposed Lighting'!W245="wall switch",'Proposed Lighting'!W245="fixture mount (on exisiting equip)",'Proposed Lighting'!W245="daylight harvesting (on existing equip)")),0,
IF('Proposed Lighting'!AF245=1,IF(P548=0,0,J548*O548*(L548*(1-P548))),IF('Proposed Lighting'!AU245=1,0,'Proposed Lighting'!AX245-'Proposed Lighting'!AY245))))</f>
        <v>0</v>
      </c>
      <c r="R548" s="646">
        <f>IF('Proposed Lighting'!T245="Non-standard (provide description",0,
IF(AND(E548="Non-standard control",'Proposed Lighting'!AU245=2),Q548*0.1,
IF(AND(E548="Non-standard control",'Proposed Lighting'!AU245=3),Q548*0.08,
IF('Proposed Lighting'!EF245=0,0,IF('Proposed Lighting'!AU245=1,0,
IF(AND('Data Entry'!$AF$23="ID",'Proposed Lighting'!T245="Lighting controls only"),VLOOKUP(E548,'Proposed Lighting'!$DO$97:$DP$106,2,FALSE),
IF(AND('Data Entry'!$AF$23="OR",'Proposed Lighting'!AU245=3,'Proposed Lighting'!T245="Lighting controls only"),VLOOKUP(E548,'Proposed Lighting'!$DO$127:$DP$134,2,FALSE),0)))))))*J548</f>
        <v>0</v>
      </c>
      <c r="S548" s="646">
        <f>IF(Q548&lt;0.01,0,IF('Proposed Lighting'!AK245&gt;0,'Proposed Lighting'!AK245*'Proposed Lighting'!EF245,0))</f>
        <v>0</v>
      </c>
      <c r="T548" s="647">
        <f t="shared" si="117"/>
        <v>0</v>
      </c>
      <c r="U548" s="648"/>
      <c r="V548" s="646">
        <f t="shared" si="120"/>
        <v>0</v>
      </c>
      <c r="W548" s="646">
        <f t="shared" si="121"/>
        <v>0</v>
      </c>
      <c r="X548" s="646">
        <f t="shared" si="122"/>
        <v>0</v>
      </c>
      <c r="Y548" s="646"/>
      <c r="Z548" s="646"/>
      <c r="AA548" s="646"/>
      <c r="AB548" s="646">
        <f t="shared" si="123"/>
        <v>0</v>
      </c>
      <c r="AC548" s="649" t="str">
        <f t="shared" si="124"/>
        <v/>
      </c>
      <c r="AD548" s="649" t="str">
        <f t="shared" si="125"/>
        <v/>
      </c>
      <c r="AE548" s="649" t="str">
        <f t="shared" si="126"/>
        <v/>
      </c>
      <c r="AF548" s="72"/>
      <c r="AG548" s="644">
        <f>IFERROR(IF($AV548="No",0,IF($AV548="yes",Summary!Q548,"")),"")</f>
        <v>0</v>
      </c>
      <c r="AH548" s="646">
        <f>IFERROR(IF($AV548="No",0,IF($AV548="yes",Summary!R548,"")),"")</f>
        <v>0</v>
      </c>
      <c r="AI548" s="646">
        <f>IFERROR(IF($AV548="No",0,IF($AV548="yes",Summary!S548,"")),"")</f>
        <v>0</v>
      </c>
      <c r="AJ548" s="647">
        <f>IFERROR(IF($AV548="No",0,IF($AV548="yes",Summary!T548,"")),"")</f>
        <v>0</v>
      </c>
      <c r="AK548" s="648">
        <f>IFERROR(IF($AV548="No",0,IF($AV548="yes",Summary!U548,"")),"")</f>
        <v>0</v>
      </c>
      <c r="AL548" s="646">
        <f>IFERROR(IF($AV548="No",0,IF($AV548="yes",Summary!V548,"")),"")</f>
        <v>0</v>
      </c>
      <c r="AM548" s="646">
        <f>IFERROR(IF($AV548="No",0,IF($AV548="yes",Summary!W548,"")),"")</f>
        <v>0</v>
      </c>
      <c r="AN548" s="646">
        <f>IFERROR(IF($AV548="No",0,IF($AV548="yes",Summary!X548,"")),"")</f>
        <v>0</v>
      </c>
      <c r="AO548" s="646">
        <f>IFERROR(IF($AV548="No",0,IF($AV548="yes",Summary!Y548+Z548,"")),"")</f>
        <v>0</v>
      </c>
      <c r="AP548" s="646">
        <f>IFERROR(IF($AV548="No",0,IF($AV548="yes",Summary!AB548,"")),"")</f>
        <v>0</v>
      </c>
      <c r="AQ548" s="649" t="str">
        <f t="shared" si="114"/>
        <v/>
      </c>
      <c r="AR548" s="649" t="str">
        <f t="shared" si="118"/>
        <v/>
      </c>
      <c r="AS548" s="649" t="str">
        <f t="shared" si="115"/>
        <v/>
      </c>
      <c r="AT548" s="641" t="s">
        <v>1022</v>
      </c>
      <c r="AV548" t="str">
        <f>IF('Proposed Lighting'!AK245&gt;0,"No","Yes")</f>
        <v>Yes</v>
      </c>
    </row>
    <row r="549" spans="1:48" ht="34.5" customHeight="1" outlineLevel="1">
      <c r="A549" s="641" t="s">
        <v>1023</v>
      </c>
      <c r="B549" s="641" t="str">
        <f>IF('Proposed Lighting'!AU246=3,"Commercial-All Com-ExtLight",IF('Proposed Lighting'!AH246&gt;8759,"IPC_8760","Commercial-All Com-IntLight"))</f>
        <v>IPC_8760</v>
      </c>
      <c r="C549" s="641" t="str">
        <f>IF(OR(E549="",E549=0),"No",
IF(AND('Data Entry'!$AF$23="OR",AE549&lt;1),"No",
IF(AND('Data Entry'!$AF$23="ID",E549="Non-standard lighting control system",AD549&lt;1),"No",
IF(AND('Data Entry'!$AF$23="OR",'Proposed Lighting'!F246="Existing LED (Provide Description)",'Proposed Lighting'!AK246=""),"No",
IF('Proposed Lighting'!DD246="Submit Control as Non-Standard","No",
IF(AND('Proposed Lighting'!T246="Non-Standard (Provide Description)",AD549&lt;1),"No",
IF('Proposed Lighting'!AW246&lt;'Proposed Lighting'!AZ246,"No","Yes")))))))</f>
        <v>No</v>
      </c>
      <c r="D549" s="1604">
        <f>'Proposed Lighting'!BQ246-Q549</f>
        <v>0</v>
      </c>
      <c r="E549" s="642" t="str">
        <f>IF('Proposed Lighting'!W246="","",'Proposed Lighting'!W246)</f>
        <v/>
      </c>
      <c r="F549" s="642"/>
      <c r="G549" s="641" t="s">
        <v>786</v>
      </c>
      <c r="H549" s="643">
        <v>10</v>
      </c>
      <c r="I549" s="644">
        <v>1</v>
      </c>
      <c r="J549" s="723">
        <f>IF('Proposed Lighting'!EF246=0,'Proposed Lighting'!AA246,'Proposed Lighting'!EF246)</f>
        <v>0</v>
      </c>
      <c r="K549" s="643" t="str">
        <f>'Proposed Lighting'!CU246</f>
        <v/>
      </c>
      <c r="L549" s="643" t="str">
        <f t="shared" si="116"/>
        <v/>
      </c>
      <c r="M549" s="645">
        <f t="shared" si="119"/>
        <v>0</v>
      </c>
      <c r="N549" s="645"/>
      <c r="O549" s="722">
        <f>IFERROR('Proposed Lighting'!AC246/1000,0)</f>
        <v>0</v>
      </c>
      <c r="P549" s="644">
        <f>'Proposed Lighting'!AV246</f>
        <v>0</v>
      </c>
      <c r="Q549" s="644">
        <f>IF(AND('Proposed Lighting'!T246="Lighting Controls Only",'Data Entry'!$AF$23="OR",'Proposed Lighting'!AU246=2),0,
IF(AND('Proposed Lighting'!T246="Lighting Controls Only",'Data Entry'!$AF$23="OR",'Proposed Lighting'!AU246=3,OR('Proposed Lighting'!W246="ceiling mount",'Proposed Lighting'!W246="wall switch",'Proposed Lighting'!W246="fixture mount (on exisiting equip)",'Proposed Lighting'!W246="daylight harvesting (on existing equip)")),0,
IF('Proposed Lighting'!AF246=1,IF(P549=0,0,J549*O549*(L549*(1-P549))),IF('Proposed Lighting'!AU246=1,0,'Proposed Lighting'!AX246-'Proposed Lighting'!AY246))))</f>
        <v>0</v>
      </c>
      <c r="R549" s="646">
        <f>IF('Proposed Lighting'!T246="Non-standard (provide description",0,
IF(AND(E549="Non-standard control",'Proposed Lighting'!AU246=2),Q549*0.1,
IF(AND(E549="Non-standard control",'Proposed Lighting'!AU246=3),Q549*0.08,
IF('Proposed Lighting'!EF246=0,0,IF('Proposed Lighting'!AU246=1,0,
IF(AND('Data Entry'!$AF$23="ID",'Proposed Lighting'!T246="Lighting controls only"),VLOOKUP(E549,'Proposed Lighting'!$DO$97:$DP$106,2,FALSE),
IF(AND('Data Entry'!$AF$23="OR",'Proposed Lighting'!AU246=3,'Proposed Lighting'!T246="Lighting controls only"),VLOOKUP(E549,'Proposed Lighting'!$DO$127:$DP$134,2,FALSE),0)))))))*J549</f>
        <v>0</v>
      </c>
      <c r="S549" s="646">
        <f>IF(Q549&lt;0.01,0,IF('Proposed Lighting'!AK246&gt;0,'Proposed Lighting'!AK246*'Proposed Lighting'!EF246,0))</f>
        <v>0</v>
      </c>
      <c r="T549" s="647">
        <f t="shared" si="117"/>
        <v>0</v>
      </c>
      <c r="U549" s="648"/>
      <c r="V549" s="646">
        <f t="shared" si="120"/>
        <v>0</v>
      </c>
      <c r="W549" s="646">
        <f t="shared" si="121"/>
        <v>0</v>
      </c>
      <c r="X549" s="646">
        <f t="shared" si="122"/>
        <v>0</v>
      </c>
      <c r="Y549" s="646"/>
      <c r="Z549" s="646"/>
      <c r="AA549" s="646"/>
      <c r="AB549" s="646">
        <f t="shared" si="123"/>
        <v>0</v>
      </c>
      <c r="AC549" s="649" t="str">
        <f t="shared" si="124"/>
        <v/>
      </c>
      <c r="AD549" s="649" t="str">
        <f t="shared" si="125"/>
        <v/>
      </c>
      <c r="AE549" s="649" t="str">
        <f t="shared" si="126"/>
        <v/>
      </c>
      <c r="AF549" s="72"/>
      <c r="AG549" s="644">
        <f>IFERROR(IF($AV549="No",0,IF($AV549="yes",Summary!Q549,"")),"")</f>
        <v>0</v>
      </c>
      <c r="AH549" s="646">
        <f>IFERROR(IF($AV549="No",0,IF($AV549="yes",Summary!R549,"")),"")</f>
        <v>0</v>
      </c>
      <c r="AI549" s="646">
        <f>IFERROR(IF($AV549="No",0,IF($AV549="yes",Summary!S549,"")),"")</f>
        <v>0</v>
      </c>
      <c r="AJ549" s="647">
        <f>IFERROR(IF($AV549="No",0,IF($AV549="yes",Summary!T549,"")),"")</f>
        <v>0</v>
      </c>
      <c r="AK549" s="648">
        <f>IFERROR(IF($AV549="No",0,IF($AV549="yes",Summary!U549,"")),"")</f>
        <v>0</v>
      </c>
      <c r="AL549" s="646">
        <f>IFERROR(IF($AV549="No",0,IF($AV549="yes",Summary!V549,"")),"")</f>
        <v>0</v>
      </c>
      <c r="AM549" s="646">
        <f>IFERROR(IF($AV549="No",0,IF($AV549="yes",Summary!W549,"")),"")</f>
        <v>0</v>
      </c>
      <c r="AN549" s="646">
        <f>IFERROR(IF($AV549="No",0,IF($AV549="yes",Summary!X549,"")),"")</f>
        <v>0</v>
      </c>
      <c r="AO549" s="646">
        <f>IFERROR(IF($AV549="No",0,IF($AV549="yes",Summary!Y549+Z549,"")),"")</f>
        <v>0</v>
      </c>
      <c r="AP549" s="646">
        <f>IFERROR(IF($AV549="No",0,IF($AV549="yes",Summary!AB549,"")),"")</f>
        <v>0</v>
      </c>
      <c r="AQ549" s="649" t="str">
        <f t="shared" si="114"/>
        <v/>
      </c>
      <c r="AR549" s="649" t="str">
        <f t="shared" si="118"/>
        <v/>
      </c>
      <c r="AS549" s="649" t="str">
        <f t="shared" si="115"/>
        <v/>
      </c>
      <c r="AT549" s="641" t="s">
        <v>1023</v>
      </c>
      <c r="AV549" t="str">
        <f>IF('Proposed Lighting'!AK246&gt;0,"No","Yes")</f>
        <v>Yes</v>
      </c>
    </row>
    <row r="550" spans="1:48" ht="34.5" customHeight="1" outlineLevel="1">
      <c r="A550" s="641" t="s">
        <v>1024</v>
      </c>
      <c r="B550" s="641" t="str">
        <f>IF('Proposed Lighting'!AU247=3,"Commercial-All Com-ExtLight",IF('Proposed Lighting'!AH247&gt;8759,"IPC_8760","Commercial-All Com-IntLight"))</f>
        <v>IPC_8760</v>
      </c>
      <c r="C550" s="641" t="str">
        <f>IF(OR(E550="",E550=0),"No",
IF(AND('Data Entry'!$AF$23="OR",AE550&lt;1),"No",
IF(AND('Data Entry'!$AF$23="ID",E550="Non-standard lighting control system",AD550&lt;1),"No",
IF(AND('Data Entry'!$AF$23="OR",'Proposed Lighting'!F247="Existing LED (Provide Description)",'Proposed Lighting'!AK247=""),"No",
IF('Proposed Lighting'!DD247="Submit Control as Non-Standard","No",
IF(AND('Proposed Lighting'!T247="Non-Standard (Provide Description)",AD550&lt;1),"No",
IF('Proposed Lighting'!AW247&lt;'Proposed Lighting'!AZ247,"No","Yes")))))))</f>
        <v>No</v>
      </c>
      <c r="D550" s="1604">
        <f>'Proposed Lighting'!BQ247-Q550</f>
        <v>0</v>
      </c>
      <c r="E550" s="642" t="str">
        <f>IF('Proposed Lighting'!W247="","",'Proposed Lighting'!W247)</f>
        <v/>
      </c>
      <c r="F550" s="642"/>
      <c r="G550" s="641" t="s">
        <v>786</v>
      </c>
      <c r="H550" s="643">
        <v>10</v>
      </c>
      <c r="I550" s="644">
        <v>1</v>
      </c>
      <c r="J550" s="723">
        <f>IF('Proposed Lighting'!EF247=0,'Proposed Lighting'!AA247,'Proposed Lighting'!EF247)</f>
        <v>0</v>
      </c>
      <c r="K550" s="643" t="str">
        <f>'Proposed Lighting'!CU247</f>
        <v/>
      </c>
      <c r="L550" s="643" t="str">
        <f t="shared" si="116"/>
        <v/>
      </c>
      <c r="M550" s="645">
        <f t="shared" si="119"/>
        <v>0</v>
      </c>
      <c r="N550" s="645"/>
      <c r="O550" s="722">
        <f>IFERROR('Proposed Lighting'!AC247/1000,0)</f>
        <v>0</v>
      </c>
      <c r="P550" s="644">
        <f>'Proposed Lighting'!AV247</f>
        <v>0</v>
      </c>
      <c r="Q550" s="644">
        <f>IF(AND('Proposed Lighting'!T247="Lighting Controls Only",'Data Entry'!$AF$23="OR",'Proposed Lighting'!AU247=2),0,
IF(AND('Proposed Lighting'!T247="Lighting Controls Only",'Data Entry'!$AF$23="OR",'Proposed Lighting'!AU247=3,OR('Proposed Lighting'!W247="ceiling mount",'Proposed Lighting'!W247="wall switch",'Proposed Lighting'!W247="fixture mount (on exisiting equip)",'Proposed Lighting'!W247="daylight harvesting (on existing equip)")),0,
IF('Proposed Lighting'!AF247=1,IF(P550=0,0,J550*O550*(L550*(1-P550))),IF('Proposed Lighting'!AU247=1,0,'Proposed Lighting'!AX247-'Proposed Lighting'!AY247))))</f>
        <v>0</v>
      </c>
      <c r="R550" s="646">
        <f>IF('Proposed Lighting'!T247="Non-standard (provide description",0,
IF(AND(E550="Non-standard control",'Proposed Lighting'!AU247=2),Q550*0.1,
IF(AND(E550="Non-standard control",'Proposed Lighting'!AU247=3),Q550*0.08,
IF('Proposed Lighting'!EF247=0,0,IF('Proposed Lighting'!AU247=1,0,
IF(AND('Data Entry'!$AF$23="ID",'Proposed Lighting'!T247="Lighting controls only"),VLOOKUP(E550,'Proposed Lighting'!$DO$97:$DP$106,2,FALSE),
IF(AND('Data Entry'!$AF$23="OR",'Proposed Lighting'!AU247=3,'Proposed Lighting'!T247="Lighting controls only"),VLOOKUP(E550,'Proposed Lighting'!$DO$127:$DP$134,2,FALSE),0)))))))*J550</f>
        <v>0</v>
      </c>
      <c r="S550" s="646">
        <f>IF(Q550&lt;0.01,0,IF('Proposed Lighting'!AK247&gt;0,'Proposed Lighting'!AK247*'Proposed Lighting'!EF247,0))</f>
        <v>0</v>
      </c>
      <c r="T550" s="647">
        <f t="shared" si="117"/>
        <v>0</v>
      </c>
      <c r="U550" s="648"/>
      <c r="V550" s="646">
        <f t="shared" si="120"/>
        <v>0</v>
      </c>
      <c r="W550" s="646">
        <f t="shared" si="121"/>
        <v>0</v>
      </c>
      <c r="X550" s="646">
        <f t="shared" si="122"/>
        <v>0</v>
      </c>
      <c r="Y550" s="646"/>
      <c r="Z550" s="646"/>
      <c r="AA550" s="646"/>
      <c r="AB550" s="646">
        <f t="shared" si="123"/>
        <v>0</v>
      </c>
      <c r="AC550" s="649" t="str">
        <f t="shared" si="124"/>
        <v/>
      </c>
      <c r="AD550" s="649" t="str">
        <f t="shared" si="125"/>
        <v/>
      </c>
      <c r="AE550" s="649" t="str">
        <f t="shared" si="126"/>
        <v/>
      </c>
      <c r="AF550" s="72"/>
      <c r="AG550" s="644">
        <f>IFERROR(IF($AV550="No",0,IF($AV550="yes",Summary!Q550,"")),"")</f>
        <v>0</v>
      </c>
      <c r="AH550" s="646">
        <f>IFERROR(IF($AV550="No",0,IF($AV550="yes",Summary!R550,"")),"")</f>
        <v>0</v>
      </c>
      <c r="AI550" s="646">
        <f>IFERROR(IF($AV550="No",0,IF($AV550="yes",Summary!S550,"")),"")</f>
        <v>0</v>
      </c>
      <c r="AJ550" s="647">
        <f>IFERROR(IF($AV550="No",0,IF($AV550="yes",Summary!T550,"")),"")</f>
        <v>0</v>
      </c>
      <c r="AK550" s="648">
        <f>IFERROR(IF($AV550="No",0,IF($AV550="yes",Summary!U550,"")),"")</f>
        <v>0</v>
      </c>
      <c r="AL550" s="646">
        <f>IFERROR(IF($AV550="No",0,IF($AV550="yes",Summary!V550,"")),"")</f>
        <v>0</v>
      </c>
      <c r="AM550" s="646">
        <f>IFERROR(IF($AV550="No",0,IF($AV550="yes",Summary!W550,"")),"")</f>
        <v>0</v>
      </c>
      <c r="AN550" s="646">
        <f>IFERROR(IF($AV550="No",0,IF($AV550="yes",Summary!X550,"")),"")</f>
        <v>0</v>
      </c>
      <c r="AO550" s="646">
        <f>IFERROR(IF($AV550="No",0,IF($AV550="yes",Summary!Y550+Z550,"")),"")</f>
        <v>0</v>
      </c>
      <c r="AP550" s="646">
        <f>IFERROR(IF($AV550="No",0,IF($AV550="yes",Summary!AB550,"")),"")</f>
        <v>0</v>
      </c>
      <c r="AQ550" s="649" t="str">
        <f t="shared" si="114"/>
        <v/>
      </c>
      <c r="AR550" s="649" t="str">
        <f t="shared" si="118"/>
        <v/>
      </c>
      <c r="AS550" s="649" t="str">
        <f t="shared" si="115"/>
        <v/>
      </c>
      <c r="AT550" s="641" t="s">
        <v>1024</v>
      </c>
      <c r="AV550" t="str">
        <f>IF('Proposed Lighting'!AK247&gt;0,"No","Yes")</f>
        <v>Yes</v>
      </c>
    </row>
    <row r="551" spans="1:48" ht="34.5" customHeight="1" outlineLevel="1">
      <c r="A551" s="641" t="s">
        <v>1025</v>
      </c>
      <c r="B551" s="641" t="str">
        <f>IF('Proposed Lighting'!AU248=3,"Commercial-All Com-ExtLight",IF('Proposed Lighting'!AH248&gt;8759,"IPC_8760","Commercial-All Com-IntLight"))</f>
        <v>IPC_8760</v>
      </c>
      <c r="C551" s="641" t="str">
        <f>IF(OR(E551="",E551=0),"No",
IF(AND('Data Entry'!$AF$23="OR",AE551&lt;1),"No",
IF(AND('Data Entry'!$AF$23="ID",E551="Non-standard lighting control system",AD551&lt;1),"No",
IF(AND('Data Entry'!$AF$23="OR",'Proposed Lighting'!F248="Existing LED (Provide Description)",'Proposed Lighting'!AK248=""),"No",
IF('Proposed Lighting'!DD248="Submit Control as Non-Standard","No",
IF(AND('Proposed Lighting'!T248="Non-Standard (Provide Description)",AD551&lt;1),"No",
IF('Proposed Lighting'!AW248&lt;'Proposed Lighting'!AZ248,"No","Yes")))))))</f>
        <v>No</v>
      </c>
      <c r="D551" s="1604">
        <f>'Proposed Lighting'!BQ248-Q551</f>
        <v>0</v>
      </c>
      <c r="E551" s="642" t="str">
        <f>IF('Proposed Lighting'!W248="","",'Proposed Lighting'!W248)</f>
        <v/>
      </c>
      <c r="F551" s="642"/>
      <c r="G551" s="641" t="s">
        <v>786</v>
      </c>
      <c r="H551" s="643">
        <v>10</v>
      </c>
      <c r="I551" s="644">
        <v>1</v>
      </c>
      <c r="J551" s="723">
        <f>IF('Proposed Lighting'!EF248=0,'Proposed Lighting'!AA248,'Proposed Lighting'!EF248)</f>
        <v>0</v>
      </c>
      <c r="K551" s="643" t="str">
        <f>'Proposed Lighting'!CU248</f>
        <v/>
      </c>
      <c r="L551" s="643" t="str">
        <f t="shared" si="116"/>
        <v/>
      </c>
      <c r="M551" s="645">
        <f t="shared" si="119"/>
        <v>0</v>
      </c>
      <c r="N551" s="645"/>
      <c r="O551" s="722">
        <f>IFERROR('Proposed Lighting'!AC248/1000,0)</f>
        <v>0</v>
      </c>
      <c r="P551" s="644">
        <f>'Proposed Lighting'!AV248</f>
        <v>0</v>
      </c>
      <c r="Q551" s="644">
        <f>IF(AND('Proposed Lighting'!T248="Lighting Controls Only",'Data Entry'!$AF$23="OR",'Proposed Lighting'!AU248=2),0,
IF(AND('Proposed Lighting'!T248="Lighting Controls Only",'Data Entry'!$AF$23="OR",'Proposed Lighting'!AU248=3,OR('Proposed Lighting'!W248="ceiling mount",'Proposed Lighting'!W248="wall switch",'Proposed Lighting'!W248="fixture mount (on exisiting equip)",'Proposed Lighting'!W248="daylight harvesting (on existing equip)")),0,
IF('Proposed Lighting'!AF248=1,IF(P551=0,0,J551*O551*(L551*(1-P551))),IF('Proposed Lighting'!AU248=1,0,'Proposed Lighting'!AX248-'Proposed Lighting'!AY248))))</f>
        <v>0</v>
      </c>
      <c r="R551" s="646">
        <f>IF('Proposed Lighting'!T248="Non-standard (provide description",0,
IF(AND(E551="Non-standard control",'Proposed Lighting'!AU248=2),Q551*0.1,
IF(AND(E551="Non-standard control",'Proposed Lighting'!AU248=3),Q551*0.08,
IF('Proposed Lighting'!EF248=0,0,IF('Proposed Lighting'!AU248=1,0,
IF(AND('Data Entry'!$AF$23="ID",'Proposed Lighting'!T248="Lighting controls only"),VLOOKUP(E551,'Proposed Lighting'!$DO$97:$DP$106,2,FALSE),
IF(AND('Data Entry'!$AF$23="OR",'Proposed Lighting'!AU248=3,'Proposed Lighting'!T248="Lighting controls only"),VLOOKUP(E551,'Proposed Lighting'!$DO$127:$DP$134,2,FALSE),0)))))))*J551</f>
        <v>0</v>
      </c>
      <c r="S551" s="646">
        <f>IF(Q551&lt;0.01,0,IF('Proposed Lighting'!AK248&gt;0,'Proposed Lighting'!AK248*'Proposed Lighting'!EF248,0))</f>
        <v>0</v>
      </c>
      <c r="T551" s="647">
        <f t="shared" si="117"/>
        <v>0</v>
      </c>
      <c r="U551" s="648"/>
      <c r="V551" s="646">
        <f t="shared" si="120"/>
        <v>0</v>
      </c>
      <c r="W551" s="646">
        <f t="shared" si="121"/>
        <v>0</v>
      </c>
      <c r="X551" s="646">
        <f t="shared" si="122"/>
        <v>0</v>
      </c>
      <c r="Y551" s="646"/>
      <c r="Z551" s="646"/>
      <c r="AA551" s="646"/>
      <c r="AB551" s="646">
        <f t="shared" si="123"/>
        <v>0</v>
      </c>
      <c r="AC551" s="649" t="str">
        <f t="shared" si="124"/>
        <v/>
      </c>
      <c r="AD551" s="649" t="str">
        <f t="shared" si="125"/>
        <v/>
      </c>
      <c r="AE551" s="649" t="str">
        <f t="shared" si="126"/>
        <v/>
      </c>
      <c r="AF551" s="72"/>
      <c r="AG551" s="644">
        <f>IFERROR(IF($AV551="No",0,IF($AV551="yes",Summary!Q551,"")),"")</f>
        <v>0</v>
      </c>
      <c r="AH551" s="646">
        <f>IFERROR(IF($AV551="No",0,IF($AV551="yes",Summary!R551,"")),"")</f>
        <v>0</v>
      </c>
      <c r="AI551" s="646">
        <f>IFERROR(IF($AV551="No",0,IF($AV551="yes",Summary!S551,"")),"")</f>
        <v>0</v>
      </c>
      <c r="AJ551" s="647">
        <f>IFERROR(IF($AV551="No",0,IF($AV551="yes",Summary!T551,"")),"")</f>
        <v>0</v>
      </c>
      <c r="AK551" s="648">
        <f>IFERROR(IF($AV551="No",0,IF($AV551="yes",Summary!U551,"")),"")</f>
        <v>0</v>
      </c>
      <c r="AL551" s="646">
        <f>IFERROR(IF($AV551="No",0,IF($AV551="yes",Summary!V551,"")),"")</f>
        <v>0</v>
      </c>
      <c r="AM551" s="646">
        <f>IFERROR(IF($AV551="No",0,IF($AV551="yes",Summary!W551,"")),"")</f>
        <v>0</v>
      </c>
      <c r="AN551" s="646">
        <f>IFERROR(IF($AV551="No",0,IF($AV551="yes",Summary!X551,"")),"")</f>
        <v>0</v>
      </c>
      <c r="AO551" s="646">
        <f>IFERROR(IF($AV551="No",0,IF($AV551="yes",Summary!Y551+Z551,"")),"")</f>
        <v>0</v>
      </c>
      <c r="AP551" s="646">
        <f>IFERROR(IF($AV551="No",0,IF($AV551="yes",Summary!AB551,"")),"")</f>
        <v>0</v>
      </c>
      <c r="AQ551" s="649" t="str">
        <f t="shared" si="114"/>
        <v/>
      </c>
      <c r="AR551" s="649" t="str">
        <f t="shared" si="118"/>
        <v/>
      </c>
      <c r="AS551" s="649" t="str">
        <f t="shared" si="115"/>
        <v/>
      </c>
      <c r="AT551" s="641" t="s">
        <v>1025</v>
      </c>
      <c r="AV551" t="str">
        <f>IF('Proposed Lighting'!AK248&gt;0,"No","Yes")</f>
        <v>Yes</v>
      </c>
    </row>
    <row r="552" spans="1:48" ht="34.5" customHeight="1" outlineLevel="1">
      <c r="A552" s="641" t="s">
        <v>1026</v>
      </c>
      <c r="B552" s="641" t="str">
        <f>IF('Proposed Lighting'!AU249=3,"Commercial-All Com-ExtLight",IF('Proposed Lighting'!AH249&gt;8759,"IPC_8760","Commercial-All Com-IntLight"))</f>
        <v>IPC_8760</v>
      </c>
      <c r="C552" s="641" t="str">
        <f>IF(OR(E552="",E552=0),"No",
IF(AND('Data Entry'!$AF$23="OR",AE552&lt;1),"No",
IF(AND('Data Entry'!$AF$23="ID",E552="Non-standard lighting control system",AD552&lt;1),"No",
IF(AND('Data Entry'!$AF$23="OR",'Proposed Lighting'!F249="Existing LED (Provide Description)",'Proposed Lighting'!AK249=""),"No",
IF('Proposed Lighting'!DD249="Submit Control as Non-Standard","No",
IF(AND('Proposed Lighting'!T249="Non-Standard (Provide Description)",AD552&lt;1),"No",
IF('Proposed Lighting'!AW249&lt;'Proposed Lighting'!AZ249,"No","Yes")))))))</f>
        <v>No</v>
      </c>
      <c r="D552" s="1604">
        <f>'Proposed Lighting'!BQ249-Q552</f>
        <v>0</v>
      </c>
      <c r="E552" s="642" t="str">
        <f>IF('Proposed Lighting'!W249="","",'Proposed Lighting'!W249)</f>
        <v/>
      </c>
      <c r="F552" s="642"/>
      <c r="G552" s="641" t="s">
        <v>786</v>
      </c>
      <c r="H552" s="643">
        <v>10</v>
      </c>
      <c r="I552" s="644">
        <v>1</v>
      </c>
      <c r="J552" s="723">
        <f>IF('Proposed Lighting'!EF249=0,'Proposed Lighting'!AA249,'Proposed Lighting'!EF249)</f>
        <v>0</v>
      </c>
      <c r="K552" s="643" t="str">
        <f>'Proposed Lighting'!CU249</f>
        <v/>
      </c>
      <c r="L552" s="643" t="str">
        <f t="shared" si="116"/>
        <v/>
      </c>
      <c r="M552" s="645">
        <f t="shared" si="119"/>
        <v>0</v>
      </c>
      <c r="N552" s="645"/>
      <c r="O552" s="722">
        <f>IFERROR('Proposed Lighting'!AC249/1000,0)</f>
        <v>0</v>
      </c>
      <c r="P552" s="644">
        <f>'Proposed Lighting'!AV249</f>
        <v>0</v>
      </c>
      <c r="Q552" s="644">
        <f>IF(AND('Proposed Lighting'!T249="Lighting Controls Only",'Data Entry'!$AF$23="OR",'Proposed Lighting'!AU249=2),0,
IF(AND('Proposed Lighting'!T249="Lighting Controls Only",'Data Entry'!$AF$23="OR",'Proposed Lighting'!AU249=3,OR('Proposed Lighting'!W249="ceiling mount",'Proposed Lighting'!W249="wall switch",'Proposed Lighting'!W249="fixture mount (on exisiting equip)",'Proposed Lighting'!W249="daylight harvesting (on existing equip)")),0,
IF('Proposed Lighting'!AF249=1,IF(P552=0,0,J552*O552*(L552*(1-P552))),IF('Proposed Lighting'!AU249=1,0,'Proposed Lighting'!AX249-'Proposed Lighting'!AY249))))</f>
        <v>0</v>
      </c>
      <c r="R552" s="646">
        <f>IF('Proposed Lighting'!T249="Non-standard (provide description",0,
IF(AND(E552="Non-standard control",'Proposed Lighting'!AU249=2),Q552*0.1,
IF(AND(E552="Non-standard control",'Proposed Lighting'!AU249=3),Q552*0.08,
IF('Proposed Lighting'!EF249=0,0,IF('Proposed Lighting'!AU249=1,0,
IF(AND('Data Entry'!$AF$23="ID",'Proposed Lighting'!T249="Lighting controls only"),VLOOKUP(E552,'Proposed Lighting'!$DO$97:$DP$106,2,FALSE),
IF(AND('Data Entry'!$AF$23="OR",'Proposed Lighting'!AU249=3,'Proposed Lighting'!T249="Lighting controls only"),VLOOKUP(E552,'Proposed Lighting'!$DO$127:$DP$134,2,FALSE),0)))))))*J552</f>
        <v>0</v>
      </c>
      <c r="S552" s="646">
        <f>IF(Q552&lt;0.01,0,IF('Proposed Lighting'!AK249&gt;0,'Proposed Lighting'!AK249*'Proposed Lighting'!EF249,0))</f>
        <v>0</v>
      </c>
      <c r="T552" s="647">
        <f t="shared" si="117"/>
        <v>0</v>
      </c>
      <c r="U552" s="648"/>
      <c r="V552" s="646">
        <f t="shared" si="120"/>
        <v>0</v>
      </c>
      <c r="W552" s="646">
        <f t="shared" si="121"/>
        <v>0</v>
      </c>
      <c r="X552" s="646">
        <f t="shared" si="122"/>
        <v>0</v>
      </c>
      <c r="Y552" s="646"/>
      <c r="Z552" s="646"/>
      <c r="AA552" s="646"/>
      <c r="AB552" s="646">
        <f t="shared" si="123"/>
        <v>0</v>
      </c>
      <c r="AC552" s="649" t="str">
        <f t="shared" si="124"/>
        <v/>
      </c>
      <c r="AD552" s="649" t="str">
        <f t="shared" si="125"/>
        <v/>
      </c>
      <c r="AE552" s="649" t="str">
        <f t="shared" si="126"/>
        <v/>
      </c>
      <c r="AF552" s="72"/>
      <c r="AG552" s="644">
        <f>IFERROR(IF($AV552="No",0,IF($AV552="yes",Summary!Q552,"")),"")</f>
        <v>0</v>
      </c>
      <c r="AH552" s="646">
        <f>IFERROR(IF($AV552="No",0,IF($AV552="yes",Summary!R552,"")),"")</f>
        <v>0</v>
      </c>
      <c r="AI552" s="646">
        <f>IFERROR(IF($AV552="No",0,IF($AV552="yes",Summary!S552,"")),"")</f>
        <v>0</v>
      </c>
      <c r="AJ552" s="647">
        <f>IFERROR(IF($AV552="No",0,IF($AV552="yes",Summary!T552,"")),"")</f>
        <v>0</v>
      </c>
      <c r="AK552" s="648">
        <f>IFERROR(IF($AV552="No",0,IF($AV552="yes",Summary!U552,"")),"")</f>
        <v>0</v>
      </c>
      <c r="AL552" s="646">
        <f>IFERROR(IF($AV552="No",0,IF($AV552="yes",Summary!V552,"")),"")</f>
        <v>0</v>
      </c>
      <c r="AM552" s="646">
        <f>IFERROR(IF($AV552="No",0,IF($AV552="yes",Summary!W552,"")),"")</f>
        <v>0</v>
      </c>
      <c r="AN552" s="646">
        <f>IFERROR(IF($AV552="No",0,IF($AV552="yes",Summary!X552,"")),"")</f>
        <v>0</v>
      </c>
      <c r="AO552" s="646">
        <f>IFERROR(IF($AV552="No",0,IF($AV552="yes",Summary!Y552+Z552,"")),"")</f>
        <v>0</v>
      </c>
      <c r="AP552" s="646">
        <f>IFERROR(IF($AV552="No",0,IF($AV552="yes",Summary!AB552,"")),"")</f>
        <v>0</v>
      </c>
      <c r="AQ552" s="649" t="str">
        <f t="shared" si="114"/>
        <v/>
      </c>
      <c r="AR552" s="649" t="str">
        <f t="shared" si="118"/>
        <v/>
      </c>
      <c r="AS552" s="649" t="str">
        <f t="shared" si="115"/>
        <v/>
      </c>
      <c r="AT552" s="641" t="s">
        <v>1026</v>
      </c>
      <c r="AV552" t="str">
        <f>IF('Proposed Lighting'!AK249&gt;0,"No","Yes")</f>
        <v>Yes</v>
      </c>
    </row>
    <row r="553" spans="1:48" ht="34.5" customHeight="1" outlineLevel="1">
      <c r="A553" s="641" t="s">
        <v>1027</v>
      </c>
      <c r="B553" s="641" t="str">
        <f>IF('Proposed Lighting'!AU250=3,"Commercial-All Com-ExtLight",IF('Proposed Lighting'!AH250&gt;8759,"IPC_8760","Commercial-All Com-IntLight"))</f>
        <v>IPC_8760</v>
      </c>
      <c r="C553" s="641" t="str">
        <f>IF(OR(E553="",E553=0),"No",
IF(AND('Data Entry'!$AF$23="OR",AE553&lt;1),"No",
IF(AND('Data Entry'!$AF$23="ID",E553="Non-standard lighting control system",AD553&lt;1),"No",
IF(AND('Data Entry'!$AF$23="OR",'Proposed Lighting'!F250="Existing LED (Provide Description)",'Proposed Lighting'!AK250=""),"No",
IF('Proposed Lighting'!DD250="Submit Control as Non-Standard","No",
IF(AND('Proposed Lighting'!T250="Non-Standard (Provide Description)",AD553&lt;1),"No",
IF('Proposed Lighting'!AW250&lt;'Proposed Lighting'!AZ250,"No","Yes")))))))</f>
        <v>No</v>
      </c>
      <c r="D553" s="1604">
        <f>'Proposed Lighting'!BQ250-Q553</f>
        <v>0</v>
      </c>
      <c r="E553" s="642" t="str">
        <f>IF('Proposed Lighting'!W250="","",'Proposed Lighting'!W250)</f>
        <v/>
      </c>
      <c r="F553" s="642"/>
      <c r="G553" s="641" t="s">
        <v>786</v>
      </c>
      <c r="H553" s="643">
        <v>10</v>
      </c>
      <c r="I553" s="644">
        <v>1</v>
      </c>
      <c r="J553" s="723">
        <f>IF('Proposed Lighting'!EF250=0,'Proposed Lighting'!AA250,'Proposed Lighting'!EF250)</f>
        <v>0</v>
      </c>
      <c r="K553" s="643" t="str">
        <f>'Proposed Lighting'!CU250</f>
        <v/>
      </c>
      <c r="L553" s="643" t="str">
        <f t="shared" si="116"/>
        <v/>
      </c>
      <c r="M553" s="645">
        <f t="shared" si="119"/>
        <v>0</v>
      </c>
      <c r="N553" s="645"/>
      <c r="O553" s="722">
        <f>IFERROR('Proposed Lighting'!AC250/1000,0)</f>
        <v>0</v>
      </c>
      <c r="P553" s="644">
        <f>'Proposed Lighting'!AV250</f>
        <v>0</v>
      </c>
      <c r="Q553" s="644">
        <f>IF(AND('Proposed Lighting'!T250="Lighting Controls Only",'Data Entry'!$AF$23="OR",'Proposed Lighting'!AU250=2),0,
IF(AND('Proposed Lighting'!T250="Lighting Controls Only",'Data Entry'!$AF$23="OR",'Proposed Lighting'!AU250=3,OR('Proposed Lighting'!W250="ceiling mount",'Proposed Lighting'!W250="wall switch",'Proposed Lighting'!W250="fixture mount (on exisiting equip)",'Proposed Lighting'!W250="daylight harvesting (on existing equip)")),0,
IF('Proposed Lighting'!AF250=1,IF(P553=0,0,J553*O553*(L553*(1-P553))),IF('Proposed Lighting'!AU250=1,0,'Proposed Lighting'!AX250-'Proposed Lighting'!AY250))))</f>
        <v>0</v>
      </c>
      <c r="R553" s="646">
        <f>IF('Proposed Lighting'!T250="Non-standard (provide description",0,
IF(AND(E553="Non-standard control",'Proposed Lighting'!AU250=2),Q553*0.1,
IF(AND(E553="Non-standard control",'Proposed Lighting'!AU250=3),Q553*0.08,
IF('Proposed Lighting'!EF250=0,0,IF('Proposed Lighting'!AU250=1,0,
IF(AND('Data Entry'!$AF$23="ID",'Proposed Lighting'!T250="Lighting controls only"),VLOOKUP(E553,'Proposed Lighting'!$DO$97:$DP$106,2,FALSE),
IF(AND('Data Entry'!$AF$23="OR",'Proposed Lighting'!AU250=3,'Proposed Lighting'!T250="Lighting controls only"),VLOOKUP(E553,'Proposed Lighting'!$DO$127:$DP$134,2,FALSE),0)))))))*J553</f>
        <v>0</v>
      </c>
      <c r="S553" s="646">
        <f>IF(Q553&lt;0.01,0,IF('Proposed Lighting'!AK250&gt;0,'Proposed Lighting'!AK250*'Proposed Lighting'!EF250,0))</f>
        <v>0</v>
      </c>
      <c r="T553" s="647">
        <f t="shared" si="117"/>
        <v>0</v>
      </c>
      <c r="U553" s="648"/>
      <c r="V553" s="646">
        <f t="shared" si="120"/>
        <v>0</v>
      </c>
      <c r="W553" s="646">
        <f t="shared" si="121"/>
        <v>0</v>
      </c>
      <c r="X553" s="646">
        <f t="shared" si="122"/>
        <v>0</v>
      </c>
      <c r="Y553" s="646"/>
      <c r="Z553" s="646"/>
      <c r="AA553" s="646"/>
      <c r="AB553" s="646">
        <f t="shared" si="123"/>
        <v>0</v>
      </c>
      <c r="AC553" s="649" t="str">
        <f t="shared" si="124"/>
        <v/>
      </c>
      <c r="AD553" s="649" t="str">
        <f t="shared" si="125"/>
        <v/>
      </c>
      <c r="AE553" s="649" t="str">
        <f t="shared" si="126"/>
        <v/>
      </c>
      <c r="AF553" s="72"/>
      <c r="AG553" s="644">
        <f>IFERROR(IF($AV553="No",0,IF($AV553="yes",Summary!Q553,"")),"")</f>
        <v>0</v>
      </c>
      <c r="AH553" s="646">
        <f>IFERROR(IF($AV553="No",0,IF($AV553="yes",Summary!R553,"")),"")</f>
        <v>0</v>
      </c>
      <c r="AI553" s="646">
        <f>IFERROR(IF($AV553="No",0,IF($AV553="yes",Summary!S553,"")),"")</f>
        <v>0</v>
      </c>
      <c r="AJ553" s="647">
        <f>IFERROR(IF($AV553="No",0,IF($AV553="yes",Summary!T553,"")),"")</f>
        <v>0</v>
      </c>
      <c r="AK553" s="648">
        <f>IFERROR(IF($AV553="No",0,IF($AV553="yes",Summary!U553,"")),"")</f>
        <v>0</v>
      </c>
      <c r="AL553" s="646">
        <f>IFERROR(IF($AV553="No",0,IF($AV553="yes",Summary!V553,"")),"")</f>
        <v>0</v>
      </c>
      <c r="AM553" s="646">
        <f>IFERROR(IF($AV553="No",0,IF($AV553="yes",Summary!W553,"")),"")</f>
        <v>0</v>
      </c>
      <c r="AN553" s="646">
        <f>IFERROR(IF($AV553="No",0,IF($AV553="yes",Summary!X553,"")),"")</f>
        <v>0</v>
      </c>
      <c r="AO553" s="646">
        <f>IFERROR(IF($AV553="No",0,IF($AV553="yes",Summary!Y553+Z553,"")),"")</f>
        <v>0</v>
      </c>
      <c r="AP553" s="646">
        <f>IFERROR(IF($AV553="No",0,IF($AV553="yes",Summary!AB553,"")),"")</f>
        <v>0</v>
      </c>
      <c r="AQ553" s="649" t="str">
        <f t="shared" ref="AQ553:AQ612" si="127">IFERROR(IF($AG553&lt;0,"",(AL553+AH553+AO553+AP553)/(AI553)),"")</f>
        <v/>
      </c>
      <c r="AR553" s="649" t="str">
        <f t="shared" si="118"/>
        <v/>
      </c>
      <c r="AS553" s="649" t="str">
        <f t="shared" ref="AS553:AS612" si="128">IFERROR(IF($AG553&lt;0,"",IF(AI553=0,((AN553+AO553+AP553)*I553)/((AG553*AK553)+AH553),((AN553+AO553+AP553)*I553)/((AG553*AK553)+AH553+((AI553-AH553)*I553)))),"")</f>
        <v/>
      </c>
      <c r="AT553" s="641" t="s">
        <v>1027</v>
      </c>
      <c r="AV553" t="str">
        <f>IF('Proposed Lighting'!AK250&gt;0,"No","Yes")</f>
        <v>Yes</v>
      </c>
    </row>
    <row r="554" spans="1:48" ht="34.5" customHeight="1" outlineLevel="1">
      <c r="A554" s="641" t="s">
        <v>1028</v>
      </c>
      <c r="B554" s="641" t="str">
        <f>IF('Proposed Lighting'!AU251=3,"Commercial-All Com-ExtLight",IF('Proposed Lighting'!AH251&gt;8759,"IPC_8760","Commercial-All Com-IntLight"))</f>
        <v>IPC_8760</v>
      </c>
      <c r="C554" s="641" t="str">
        <f>IF(OR(E554="",E554=0),"No",
IF(AND('Data Entry'!$AF$23="OR",AE554&lt;1),"No",
IF(AND('Data Entry'!$AF$23="ID",E554="Non-standard lighting control system",AD554&lt;1),"No",
IF(AND('Data Entry'!$AF$23="OR",'Proposed Lighting'!F251="Existing LED (Provide Description)",'Proposed Lighting'!AK251=""),"No",
IF('Proposed Lighting'!DD251="Submit Control as Non-Standard","No",
IF(AND('Proposed Lighting'!T251="Non-Standard (Provide Description)",AD554&lt;1),"No",
IF('Proposed Lighting'!AW251&lt;'Proposed Lighting'!AZ251,"No","Yes")))))))</f>
        <v>No</v>
      </c>
      <c r="D554" s="1604">
        <f>'Proposed Lighting'!BQ251-Q554</f>
        <v>0</v>
      </c>
      <c r="E554" s="642" t="str">
        <f>IF('Proposed Lighting'!W251="","",'Proposed Lighting'!W251)</f>
        <v/>
      </c>
      <c r="F554" s="642"/>
      <c r="G554" s="641" t="s">
        <v>786</v>
      </c>
      <c r="H554" s="643">
        <v>10</v>
      </c>
      <c r="I554" s="644">
        <v>1</v>
      </c>
      <c r="J554" s="723">
        <f>IF('Proposed Lighting'!EF251=0,'Proposed Lighting'!AA251,'Proposed Lighting'!EF251)</f>
        <v>0</v>
      </c>
      <c r="K554" s="643" t="str">
        <f>'Proposed Lighting'!CU251</f>
        <v/>
      </c>
      <c r="L554" s="643" t="str">
        <f t="shared" si="116"/>
        <v/>
      </c>
      <c r="M554" s="645">
        <f t="shared" si="119"/>
        <v>0</v>
      </c>
      <c r="N554" s="645"/>
      <c r="O554" s="722">
        <f>IFERROR('Proposed Lighting'!AC251/1000,0)</f>
        <v>0</v>
      </c>
      <c r="P554" s="644">
        <f>'Proposed Lighting'!AV251</f>
        <v>0</v>
      </c>
      <c r="Q554" s="644">
        <f>IF(AND('Proposed Lighting'!T251="Lighting Controls Only",'Data Entry'!$AF$23="OR",'Proposed Lighting'!AU251=2),0,
IF(AND('Proposed Lighting'!T251="Lighting Controls Only",'Data Entry'!$AF$23="OR",'Proposed Lighting'!AU251=3,OR('Proposed Lighting'!W251="ceiling mount",'Proposed Lighting'!W251="wall switch",'Proposed Lighting'!W251="fixture mount (on exisiting equip)",'Proposed Lighting'!W251="daylight harvesting (on existing equip)")),0,
IF('Proposed Lighting'!AF251=1,IF(P554=0,0,J554*O554*(L554*(1-P554))),IF('Proposed Lighting'!AU251=1,0,'Proposed Lighting'!AX251-'Proposed Lighting'!AY251))))</f>
        <v>0</v>
      </c>
      <c r="R554" s="646">
        <f>IF('Proposed Lighting'!T251="Non-standard (provide description",0,
IF(AND(E554="Non-standard control",'Proposed Lighting'!AU251=2),Q554*0.1,
IF(AND(E554="Non-standard control",'Proposed Lighting'!AU251=3),Q554*0.08,
IF('Proposed Lighting'!EF251=0,0,IF('Proposed Lighting'!AU251=1,0,
IF(AND('Data Entry'!$AF$23="ID",'Proposed Lighting'!T251="Lighting controls only"),VLOOKUP(E554,'Proposed Lighting'!$DO$97:$DP$106,2,FALSE),
IF(AND('Data Entry'!$AF$23="OR",'Proposed Lighting'!AU251=3,'Proposed Lighting'!T251="Lighting controls only"),VLOOKUP(E554,'Proposed Lighting'!$DO$127:$DP$134,2,FALSE),0)))))))*J554</f>
        <v>0</v>
      </c>
      <c r="S554" s="646">
        <f>IF(Q554&lt;0.01,0,IF('Proposed Lighting'!AK251&gt;0,'Proposed Lighting'!AK251*'Proposed Lighting'!EF251,0))</f>
        <v>0</v>
      </c>
      <c r="T554" s="647">
        <f t="shared" si="117"/>
        <v>0</v>
      </c>
      <c r="U554" s="648"/>
      <c r="V554" s="646">
        <f t="shared" si="120"/>
        <v>0</v>
      </c>
      <c r="W554" s="646">
        <f t="shared" si="121"/>
        <v>0</v>
      </c>
      <c r="X554" s="646">
        <f t="shared" si="122"/>
        <v>0</v>
      </c>
      <c r="Y554" s="646"/>
      <c r="Z554" s="646"/>
      <c r="AA554" s="646"/>
      <c r="AB554" s="646">
        <f t="shared" si="123"/>
        <v>0</v>
      </c>
      <c r="AC554" s="649" t="str">
        <f t="shared" si="124"/>
        <v/>
      </c>
      <c r="AD554" s="649" t="str">
        <f t="shared" si="125"/>
        <v/>
      </c>
      <c r="AE554" s="649" t="str">
        <f t="shared" si="126"/>
        <v/>
      </c>
      <c r="AF554" s="72"/>
      <c r="AG554" s="644">
        <f>IFERROR(IF($AV554="No",0,IF($AV554="yes",Summary!Q554,"")),"")</f>
        <v>0</v>
      </c>
      <c r="AH554" s="646">
        <f>IFERROR(IF($AV554="No",0,IF($AV554="yes",Summary!R554,"")),"")</f>
        <v>0</v>
      </c>
      <c r="AI554" s="646">
        <f>IFERROR(IF($AV554="No",0,IF($AV554="yes",Summary!S554,"")),"")</f>
        <v>0</v>
      </c>
      <c r="AJ554" s="647">
        <f>IFERROR(IF($AV554="No",0,IF($AV554="yes",Summary!T554,"")),"")</f>
        <v>0</v>
      </c>
      <c r="AK554" s="648">
        <f>IFERROR(IF($AV554="No",0,IF($AV554="yes",Summary!U554,"")),"")</f>
        <v>0</v>
      </c>
      <c r="AL554" s="646">
        <f>IFERROR(IF($AV554="No",0,IF($AV554="yes",Summary!V554,"")),"")</f>
        <v>0</v>
      </c>
      <c r="AM554" s="646">
        <f>IFERROR(IF($AV554="No",0,IF($AV554="yes",Summary!W554,"")),"")</f>
        <v>0</v>
      </c>
      <c r="AN554" s="646">
        <f>IFERROR(IF($AV554="No",0,IF($AV554="yes",Summary!X554,"")),"")</f>
        <v>0</v>
      </c>
      <c r="AO554" s="646">
        <f>IFERROR(IF($AV554="No",0,IF($AV554="yes",Summary!Y554+Z554,"")),"")</f>
        <v>0</v>
      </c>
      <c r="AP554" s="646">
        <f>IFERROR(IF($AV554="No",0,IF($AV554="yes",Summary!AB554,"")),"")</f>
        <v>0</v>
      </c>
      <c r="AQ554" s="649" t="str">
        <f t="shared" si="127"/>
        <v/>
      </c>
      <c r="AR554" s="649" t="str">
        <f t="shared" si="118"/>
        <v/>
      </c>
      <c r="AS554" s="649" t="str">
        <f t="shared" si="128"/>
        <v/>
      </c>
      <c r="AT554" s="641" t="s">
        <v>1028</v>
      </c>
      <c r="AV554" t="str">
        <f>IF('Proposed Lighting'!AK251&gt;0,"No","Yes")</f>
        <v>Yes</v>
      </c>
    </row>
    <row r="555" spans="1:48" ht="34.5" customHeight="1" outlineLevel="1">
      <c r="A555" s="641" t="s">
        <v>1029</v>
      </c>
      <c r="B555" s="641" t="str">
        <f>IF('Proposed Lighting'!AU252=3,"Commercial-All Com-ExtLight",IF('Proposed Lighting'!AH252&gt;8759,"IPC_8760","Commercial-All Com-IntLight"))</f>
        <v>IPC_8760</v>
      </c>
      <c r="C555" s="641" t="str">
        <f>IF(OR(E555="",E555=0),"No",
IF(AND('Data Entry'!$AF$23="OR",AE555&lt;1),"No",
IF(AND('Data Entry'!$AF$23="ID",E555="Non-standard lighting control system",AD555&lt;1),"No",
IF(AND('Data Entry'!$AF$23="OR",'Proposed Lighting'!F252="Existing LED (Provide Description)",'Proposed Lighting'!AK252=""),"No",
IF('Proposed Lighting'!DD252="Submit Control as Non-Standard","No",
IF(AND('Proposed Lighting'!T252="Non-Standard (Provide Description)",AD555&lt;1),"No",
IF('Proposed Lighting'!AW252&lt;'Proposed Lighting'!AZ252,"No","Yes")))))))</f>
        <v>No</v>
      </c>
      <c r="D555" s="1604">
        <f>'Proposed Lighting'!BQ252-Q555</f>
        <v>0</v>
      </c>
      <c r="E555" s="642" t="str">
        <f>IF('Proposed Lighting'!W252="","",'Proposed Lighting'!W252)</f>
        <v/>
      </c>
      <c r="F555" s="642"/>
      <c r="G555" s="641" t="s">
        <v>786</v>
      </c>
      <c r="H555" s="643">
        <v>10</v>
      </c>
      <c r="I555" s="644">
        <v>1</v>
      </c>
      <c r="J555" s="723">
        <f>IF('Proposed Lighting'!EF252=0,'Proposed Lighting'!AA252,'Proposed Lighting'!EF252)</f>
        <v>0</v>
      </c>
      <c r="K555" s="643" t="str">
        <f>'Proposed Lighting'!CU252</f>
        <v/>
      </c>
      <c r="L555" s="643" t="str">
        <f t="shared" si="116"/>
        <v/>
      </c>
      <c r="M555" s="645">
        <f t="shared" si="119"/>
        <v>0</v>
      </c>
      <c r="N555" s="645"/>
      <c r="O555" s="722">
        <f>IFERROR('Proposed Lighting'!AC252/1000,0)</f>
        <v>0</v>
      </c>
      <c r="P555" s="644">
        <f>'Proposed Lighting'!AV252</f>
        <v>0</v>
      </c>
      <c r="Q555" s="644">
        <f>IF(AND('Proposed Lighting'!T252="Lighting Controls Only",'Data Entry'!$AF$23="OR",'Proposed Lighting'!AU252=2),0,
IF(AND('Proposed Lighting'!T252="Lighting Controls Only",'Data Entry'!$AF$23="OR",'Proposed Lighting'!AU252=3,OR('Proposed Lighting'!W252="ceiling mount",'Proposed Lighting'!W252="wall switch",'Proposed Lighting'!W252="fixture mount (on exisiting equip)",'Proposed Lighting'!W252="daylight harvesting (on existing equip)")),0,
IF('Proposed Lighting'!AF252=1,IF(P555=0,0,J555*O555*(L555*(1-P555))),IF('Proposed Lighting'!AU252=1,0,'Proposed Lighting'!AX252-'Proposed Lighting'!AY252))))</f>
        <v>0</v>
      </c>
      <c r="R555" s="646">
        <f>IF('Proposed Lighting'!T252="Non-standard (provide description",0,
IF(AND(E555="Non-standard control",'Proposed Lighting'!AU252=2),Q555*0.1,
IF(AND(E555="Non-standard control",'Proposed Lighting'!AU252=3),Q555*0.08,
IF('Proposed Lighting'!EF252=0,0,IF('Proposed Lighting'!AU252=1,0,
IF(AND('Data Entry'!$AF$23="ID",'Proposed Lighting'!T252="Lighting controls only"),VLOOKUP(E555,'Proposed Lighting'!$DO$97:$DP$106,2,FALSE),
IF(AND('Data Entry'!$AF$23="OR",'Proposed Lighting'!AU252=3,'Proposed Lighting'!T252="Lighting controls only"),VLOOKUP(E555,'Proposed Lighting'!$DO$127:$DP$134,2,FALSE),0)))))))*J555</f>
        <v>0</v>
      </c>
      <c r="S555" s="646">
        <f>IF(Q555&lt;0.01,0,IF('Proposed Lighting'!AK252&gt;0,'Proposed Lighting'!AK252*'Proposed Lighting'!EF252,0))</f>
        <v>0</v>
      </c>
      <c r="T555" s="647">
        <f t="shared" si="117"/>
        <v>0</v>
      </c>
      <c r="U555" s="648"/>
      <c r="V555" s="646">
        <f t="shared" si="120"/>
        <v>0</v>
      </c>
      <c r="W555" s="646">
        <f t="shared" si="121"/>
        <v>0</v>
      </c>
      <c r="X555" s="646">
        <f t="shared" si="122"/>
        <v>0</v>
      </c>
      <c r="Y555" s="646"/>
      <c r="Z555" s="646"/>
      <c r="AA555" s="646"/>
      <c r="AB555" s="646">
        <f t="shared" si="123"/>
        <v>0</v>
      </c>
      <c r="AC555" s="649" t="str">
        <f t="shared" si="124"/>
        <v/>
      </c>
      <c r="AD555" s="649" t="str">
        <f t="shared" si="125"/>
        <v/>
      </c>
      <c r="AE555" s="649" t="str">
        <f t="shared" si="126"/>
        <v/>
      </c>
      <c r="AF555" s="72"/>
      <c r="AG555" s="644">
        <f>IFERROR(IF($AV555="No",0,IF($AV555="yes",Summary!Q555,"")),"")</f>
        <v>0</v>
      </c>
      <c r="AH555" s="646">
        <f>IFERROR(IF($AV555="No",0,IF($AV555="yes",Summary!R555,"")),"")</f>
        <v>0</v>
      </c>
      <c r="AI555" s="646">
        <f>IFERROR(IF($AV555="No",0,IF($AV555="yes",Summary!S555,"")),"")</f>
        <v>0</v>
      </c>
      <c r="AJ555" s="647">
        <f>IFERROR(IF($AV555="No",0,IF($AV555="yes",Summary!T555,"")),"")</f>
        <v>0</v>
      </c>
      <c r="AK555" s="648">
        <f>IFERROR(IF($AV555="No",0,IF($AV555="yes",Summary!U555,"")),"")</f>
        <v>0</v>
      </c>
      <c r="AL555" s="646">
        <f>IFERROR(IF($AV555="No",0,IF($AV555="yes",Summary!V555,"")),"")</f>
        <v>0</v>
      </c>
      <c r="AM555" s="646">
        <f>IFERROR(IF($AV555="No",0,IF($AV555="yes",Summary!W555,"")),"")</f>
        <v>0</v>
      </c>
      <c r="AN555" s="646">
        <f>IFERROR(IF($AV555="No",0,IF($AV555="yes",Summary!X555,"")),"")</f>
        <v>0</v>
      </c>
      <c r="AO555" s="646">
        <f>IFERROR(IF($AV555="No",0,IF($AV555="yes",Summary!Y555+Z555,"")),"")</f>
        <v>0</v>
      </c>
      <c r="AP555" s="646">
        <f>IFERROR(IF($AV555="No",0,IF($AV555="yes",Summary!AB555,"")),"")</f>
        <v>0</v>
      </c>
      <c r="AQ555" s="649" t="str">
        <f t="shared" si="127"/>
        <v/>
      </c>
      <c r="AR555" s="649" t="str">
        <f t="shared" si="118"/>
        <v/>
      </c>
      <c r="AS555" s="649" t="str">
        <f t="shared" si="128"/>
        <v/>
      </c>
      <c r="AT555" s="641" t="s">
        <v>1029</v>
      </c>
      <c r="AV555" t="str">
        <f>IF('Proposed Lighting'!AK252&gt;0,"No","Yes")</f>
        <v>Yes</v>
      </c>
    </row>
    <row r="556" spans="1:48" ht="34.5" customHeight="1" outlineLevel="1">
      <c r="A556" s="641" t="s">
        <v>1030</v>
      </c>
      <c r="B556" s="641" t="str">
        <f>IF('Proposed Lighting'!AU253=3,"Commercial-All Com-ExtLight",IF('Proposed Lighting'!AH253&gt;8759,"IPC_8760","Commercial-All Com-IntLight"))</f>
        <v>IPC_8760</v>
      </c>
      <c r="C556" s="641" t="str">
        <f>IF(OR(E556="",E556=0),"No",
IF(AND('Data Entry'!$AF$23="OR",AE556&lt;1),"No",
IF(AND('Data Entry'!$AF$23="ID",E556="Non-standard lighting control system",AD556&lt;1),"No",
IF(AND('Data Entry'!$AF$23="OR",'Proposed Lighting'!F253="Existing LED (Provide Description)",'Proposed Lighting'!AK253=""),"No",
IF('Proposed Lighting'!DD253="Submit Control as Non-Standard","No",
IF(AND('Proposed Lighting'!T253="Non-Standard (Provide Description)",AD556&lt;1),"No",
IF('Proposed Lighting'!AW253&lt;'Proposed Lighting'!AZ253,"No","Yes")))))))</f>
        <v>No</v>
      </c>
      <c r="D556" s="1604">
        <f>'Proposed Lighting'!BQ253-Q556</f>
        <v>0</v>
      </c>
      <c r="E556" s="642" t="str">
        <f>IF('Proposed Lighting'!W253="","",'Proposed Lighting'!W253)</f>
        <v/>
      </c>
      <c r="F556" s="642"/>
      <c r="G556" s="641" t="s">
        <v>786</v>
      </c>
      <c r="H556" s="643">
        <v>10</v>
      </c>
      <c r="I556" s="644">
        <v>1</v>
      </c>
      <c r="J556" s="723">
        <f>IF('Proposed Lighting'!EF253=0,'Proposed Lighting'!AA253,'Proposed Lighting'!EF253)</f>
        <v>0</v>
      </c>
      <c r="K556" s="643" t="str">
        <f>'Proposed Lighting'!CU253</f>
        <v/>
      </c>
      <c r="L556" s="643" t="str">
        <f t="shared" si="116"/>
        <v/>
      </c>
      <c r="M556" s="645">
        <f t="shared" si="119"/>
        <v>0</v>
      </c>
      <c r="N556" s="645"/>
      <c r="O556" s="722">
        <f>IFERROR('Proposed Lighting'!AC253/1000,0)</f>
        <v>0</v>
      </c>
      <c r="P556" s="644">
        <f>'Proposed Lighting'!AV253</f>
        <v>0</v>
      </c>
      <c r="Q556" s="644">
        <f>IF(AND('Proposed Lighting'!T253="Lighting Controls Only",'Data Entry'!$AF$23="OR",'Proposed Lighting'!AU253=2),0,
IF(AND('Proposed Lighting'!T253="Lighting Controls Only",'Data Entry'!$AF$23="OR",'Proposed Lighting'!AU253=3,OR('Proposed Lighting'!W253="ceiling mount",'Proposed Lighting'!W253="wall switch",'Proposed Lighting'!W253="fixture mount (on exisiting equip)",'Proposed Lighting'!W253="daylight harvesting (on existing equip)")),0,
IF('Proposed Lighting'!AF253=1,IF(P556=0,0,J556*O556*(L556*(1-P556))),IF('Proposed Lighting'!AU253=1,0,'Proposed Lighting'!AX253-'Proposed Lighting'!AY253))))</f>
        <v>0</v>
      </c>
      <c r="R556" s="646">
        <f>IF('Proposed Lighting'!T253="Non-standard (provide description",0,
IF(AND(E556="Non-standard control",'Proposed Lighting'!AU253=2),Q556*0.1,
IF(AND(E556="Non-standard control",'Proposed Lighting'!AU253=3),Q556*0.08,
IF('Proposed Lighting'!EF253=0,0,IF('Proposed Lighting'!AU253=1,0,
IF(AND('Data Entry'!$AF$23="ID",'Proposed Lighting'!T253="Lighting controls only"),VLOOKUP(E556,'Proposed Lighting'!$DO$97:$DP$106,2,FALSE),
IF(AND('Data Entry'!$AF$23="OR",'Proposed Lighting'!AU253=3,'Proposed Lighting'!T253="Lighting controls only"),VLOOKUP(E556,'Proposed Lighting'!$DO$127:$DP$134,2,FALSE),0)))))))*J556</f>
        <v>0</v>
      </c>
      <c r="S556" s="646">
        <f>IF(Q556&lt;0.01,0,IF('Proposed Lighting'!AK253&gt;0,'Proposed Lighting'!AK253*'Proposed Lighting'!EF253,0))</f>
        <v>0</v>
      </c>
      <c r="T556" s="647">
        <f t="shared" si="117"/>
        <v>0</v>
      </c>
      <c r="U556" s="648"/>
      <c r="V556" s="646">
        <f t="shared" si="120"/>
        <v>0</v>
      </c>
      <c r="W556" s="646">
        <f t="shared" si="121"/>
        <v>0</v>
      </c>
      <c r="X556" s="646">
        <f t="shared" si="122"/>
        <v>0</v>
      </c>
      <c r="Y556" s="646"/>
      <c r="Z556" s="646"/>
      <c r="AA556" s="646"/>
      <c r="AB556" s="646">
        <f t="shared" si="123"/>
        <v>0</v>
      </c>
      <c r="AC556" s="649" t="str">
        <f t="shared" si="124"/>
        <v/>
      </c>
      <c r="AD556" s="649" t="str">
        <f t="shared" si="125"/>
        <v/>
      </c>
      <c r="AE556" s="649" t="str">
        <f t="shared" si="126"/>
        <v/>
      </c>
      <c r="AF556" s="72"/>
      <c r="AG556" s="644">
        <f>IFERROR(IF($AV556="No",0,IF($AV556="yes",Summary!Q556,"")),"")</f>
        <v>0</v>
      </c>
      <c r="AH556" s="646">
        <f>IFERROR(IF($AV556="No",0,IF($AV556="yes",Summary!R556,"")),"")</f>
        <v>0</v>
      </c>
      <c r="AI556" s="646">
        <f>IFERROR(IF($AV556="No",0,IF($AV556="yes",Summary!S556,"")),"")</f>
        <v>0</v>
      </c>
      <c r="AJ556" s="647">
        <f>IFERROR(IF($AV556="No",0,IF($AV556="yes",Summary!T556,"")),"")</f>
        <v>0</v>
      </c>
      <c r="AK556" s="648">
        <f>IFERROR(IF($AV556="No",0,IF($AV556="yes",Summary!U556,"")),"")</f>
        <v>0</v>
      </c>
      <c r="AL556" s="646">
        <f>IFERROR(IF($AV556="No",0,IF($AV556="yes",Summary!V556,"")),"")</f>
        <v>0</v>
      </c>
      <c r="AM556" s="646">
        <f>IFERROR(IF($AV556="No",0,IF($AV556="yes",Summary!W556,"")),"")</f>
        <v>0</v>
      </c>
      <c r="AN556" s="646">
        <f>IFERROR(IF($AV556="No",0,IF($AV556="yes",Summary!X556,"")),"")</f>
        <v>0</v>
      </c>
      <c r="AO556" s="646">
        <f>IFERROR(IF($AV556="No",0,IF($AV556="yes",Summary!Y556+Z556,"")),"")</f>
        <v>0</v>
      </c>
      <c r="AP556" s="646">
        <f>IFERROR(IF($AV556="No",0,IF($AV556="yes",Summary!AB556,"")),"")</f>
        <v>0</v>
      </c>
      <c r="AQ556" s="649" t="str">
        <f t="shared" si="127"/>
        <v/>
      </c>
      <c r="AR556" s="649" t="str">
        <f t="shared" si="118"/>
        <v/>
      </c>
      <c r="AS556" s="649" t="str">
        <f t="shared" si="128"/>
        <v/>
      </c>
      <c r="AT556" s="641" t="s">
        <v>1030</v>
      </c>
      <c r="AV556" t="str">
        <f>IF('Proposed Lighting'!AK253&gt;0,"No","Yes")</f>
        <v>Yes</v>
      </c>
    </row>
    <row r="557" spans="1:48" ht="34.5" customHeight="1" outlineLevel="1">
      <c r="A557" s="641" t="s">
        <v>1031</v>
      </c>
      <c r="B557" s="641" t="str">
        <f>IF('Proposed Lighting'!AU254=3,"Commercial-All Com-ExtLight",IF('Proposed Lighting'!AH254&gt;8759,"IPC_8760","Commercial-All Com-IntLight"))</f>
        <v>IPC_8760</v>
      </c>
      <c r="C557" s="641" t="str">
        <f>IF(OR(E557="",E557=0),"No",
IF(AND('Data Entry'!$AF$23="OR",AE557&lt;1),"No",
IF(AND('Data Entry'!$AF$23="ID",E557="Non-standard lighting control system",AD557&lt;1),"No",
IF(AND('Data Entry'!$AF$23="OR",'Proposed Lighting'!F254="Existing LED (Provide Description)",'Proposed Lighting'!AK254=""),"No",
IF('Proposed Lighting'!DD254="Submit Control as Non-Standard","No",
IF(AND('Proposed Lighting'!T254="Non-Standard (Provide Description)",AD557&lt;1),"No",
IF('Proposed Lighting'!AW254&lt;'Proposed Lighting'!AZ254,"No","Yes")))))))</f>
        <v>No</v>
      </c>
      <c r="D557" s="1604">
        <f>'Proposed Lighting'!BQ254-Q557</f>
        <v>0</v>
      </c>
      <c r="E557" s="642" t="str">
        <f>IF('Proposed Lighting'!W254="","",'Proposed Lighting'!W254)</f>
        <v/>
      </c>
      <c r="F557" s="642"/>
      <c r="G557" s="641" t="s">
        <v>786</v>
      </c>
      <c r="H557" s="643">
        <v>10</v>
      </c>
      <c r="I557" s="644">
        <v>1</v>
      </c>
      <c r="J557" s="723">
        <f>IF('Proposed Lighting'!EF254=0,'Proposed Lighting'!AA254,'Proposed Lighting'!EF254)</f>
        <v>0</v>
      </c>
      <c r="K557" s="643" t="str">
        <f>'Proposed Lighting'!CU254</f>
        <v/>
      </c>
      <c r="L557" s="643" t="str">
        <f t="shared" si="116"/>
        <v/>
      </c>
      <c r="M557" s="645">
        <f t="shared" si="119"/>
        <v>0</v>
      </c>
      <c r="N557" s="645"/>
      <c r="O557" s="722">
        <f>IFERROR('Proposed Lighting'!AC254/1000,0)</f>
        <v>0</v>
      </c>
      <c r="P557" s="644">
        <f>'Proposed Lighting'!AV254</f>
        <v>0</v>
      </c>
      <c r="Q557" s="644">
        <f>IF(AND('Proposed Lighting'!T254="Lighting Controls Only",'Data Entry'!$AF$23="OR",'Proposed Lighting'!AU254=2),0,
IF(AND('Proposed Lighting'!T254="Lighting Controls Only",'Data Entry'!$AF$23="OR",'Proposed Lighting'!AU254=3,OR('Proposed Lighting'!W254="ceiling mount",'Proposed Lighting'!W254="wall switch",'Proposed Lighting'!W254="fixture mount (on exisiting equip)",'Proposed Lighting'!W254="daylight harvesting (on existing equip)")),0,
IF('Proposed Lighting'!AF254=1,IF(P557=0,0,J557*O557*(L557*(1-P557))),IF('Proposed Lighting'!AU254=1,0,'Proposed Lighting'!AX254-'Proposed Lighting'!AY254))))</f>
        <v>0</v>
      </c>
      <c r="R557" s="646">
        <f>IF('Proposed Lighting'!T254="Non-standard (provide description",0,
IF(AND(E557="Non-standard control",'Proposed Lighting'!AU254=2),Q557*0.1,
IF(AND(E557="Non-standard control",'Proposed Lighting'!AU254=3),Q557*0.08,
IF('Proposed Lighting'!EF254=0,0,IF('Proposed Lighting'!AU254=1,0,
IF(AND('Data Entry'!$AF$23="ID",'Proposed Lighting'!T254="Lighting controls only"),VLOOKUP(E557,'Proposed Lighting'!$DO$97:$DP$106,2,FALSE),
IF(AND('Data Entry'!$AF$23="OR",'Proposed Lighting'!AU254=3,'Proposed Lighting'!T254="Lighting controls only"),VLOOKUP(E557,'Proposed Lighting'!$DO$127:$DP$134,2,FALSE),0)))))))*J557</f>
        <v>0</v>
      </c>
      <c r="S557" s="646">
        <f>IF(Q557&lt;0.01,0,IF('Proposed Lighting'!AK254&gt;0,'Proposed Lighting'!AK254*'Proposed Lighting'!EF254,0))</f>
        <v>0</v>
      </c>
      <c r="T557" s="647">
        <f t="shared" si="117"/>
        <v>0</v>
      </c>
      <c r="U557" s="648"/>
      <c r="V557" s="646">
        <f t="shared" si="120"/>
        <v>0</v>
      </c>
      <c r="W557" s="646">
        <f t="shared" si="121"/>
        <v>0</v>
      </c>
      <c r="X557" s="646">
        <f t="shared" si="122"/>
        <v>0</v>
      </c>
      <c r="Y557" s="646"/>
      <c r="Z557" s="646"/>
      <c r="AA557" s="646"/>
      <c r="AB557" s="646">
        <f t="shared" si="123"/>
        <v>0</v>
      </c>
      <c r="AC557" s="649" t="str">
        <f t="shared" si="124"/>
        <v/>
      </c>
      <c r="AD557" s="649" t="str">
        <f t="shared" si="125"/>
        <v/>
      </c>
      <c r="AE557" s="649" t="str">
        <f t="shared" si="126"/>
        <v/>
      </c>
      <c r="AF557" s="72"/>
      <c r="AG557" s="644">
        <f>IFERROR(IF($AV557="No",0,IF($AV557="yes",Summary!Q557,"")),"")</f>
        <v>0</v>
      </c>
      <c r="AH557" s="646">
        <f>IFERROR(IF($AV557="No",0,IF($AV557="yes",Summary!R557,"")),"")</f>
        <v>0</v>
      </c>
      <c r="AI557" s="646">
        <f>IFERROR(IF($AV557="No",0,IF($AV557="yes",Summary!S557,"")),"")</f>
        <v>0</v>
      </c>
      <c r="AJ557" s="647">
        <f>IFERROR(IF($AV557="No",0,IF($AV557="yes",Summary!T557,"")),"")</f>
        <v>0</v>
      </c>
      <c r="AK557" s="648">
        <f>IFERROR(IF($AV557="No",0,IF($AV557="yes",Summary!U557,"")),"")</f>
        <v>0</v>
      </c>
      <c r="AL557" s="646">
        <f>IFERROR(IF($AV557="No",0,IF($AV557="yes",Summary!V557,"")),"")</f>
        <v>0</v>
      </c>
      <c r="AM557" s="646">
        <f>IFERROR(IF($AV557="No",0,IF($AV557="yes",Summary!W557,"")),"")</f>
        <v>0</v>
      </c>
      <c r="AN557" s="646">
        <f>IFERROR(IF($AV557="No",0,IF($AV557="yes",Summary!X557,"")),"")</f>
        <v>0</v>
      </c>
      <c r="AO557" s="646">
        <f>IFERROR(IF($AV557="No",0,IF($AV557="yes",Summary!Y557+Z557,"")),"")</f>
        <v>0</v>
      </c>
      <c r="AP557" s="646">
        <f>IFERROR(IF($AV557="No",0,IF($AV557="yes",Summary!AB557,"")),"")</f>
        <v>0</v>
      </c>
      <c r="AQ557" s="649" t="str">
        <f t="shared" si="127"/>
        <v/>
      </c>
      <c r="AR557" s="649" t="str">
        <f t="shared" si="118"/>
        <v/>
      </c>
      <c r="AS557" s="649" t="str">
        <f t="shared" si="128"/>
        <v/>
      </c>
      <c r="AT557" s="641" t="s">
        <v>1031</v>
      </c>
      <c r="AV557" t="str">
        <f>IF('Proposed Lighting'!AK254&gt;0,"No","Yes")</f>
        <v>Yes</v>
      </c>
    </row>
    <row r="558" spans="1:48" ht="34.5" customHeight="1" outlineLevel="1">
      <c r="A558" s="641" t="s">
        <v>1032</v>
      </c>
      <c r="B558" s="641" t="str">
        <f>IF('Proposed Lighting'!AU255=3,"Commercial-All Com-ExtLight",IF('Proposed Lighting'!AH255&gt;8759,"IPC_8760","Commercial-All Com-IntLight"))</f>
        <v>IPC_8760</v>
      </c>
      <c r="C558" s="641" t="str">
        <f>IF(OR(E558="",E558=0),"No",
IF(AND('Data Entry'!$AF$23="OR",AE558&lt;1),"No",
IF(AND('Data Entry'!$AF$23="ID",E558="Non-standard lighting control system",AD558&lt;1),"No",
IF(AND('Data Entry'!$AF$23="OR",'Proposed Lighting'!F255="Existing LED (Provide Description)",'Proposed Lighting'!AK255=""),"No",
IF('Proposed Lighting'!DD255="Submit Control as Non-Standard","No",
IF(AND('Proposed Lighting'!T255="Non-Standard (Provide Description)",AD558&lt;1),"No",
IF('Proposed Lighting'!AW255&lt;'Proposed Lighting'!AZ255,"No","Yes")))))))</f>
        <v>No</v>
      </c>
      <c r="D558" s="1604">
        <f>'Proposed Lighting'!BQ255-Q558</f>
        <v>0</v>
      </c>
      <c r="E558" s="642" t="str">
        <f>IF('Proposed Lighting'!W255="","",'Proposed Lighting'!W255)</f>
        <v/>
      </c>
      <c r="F558" s="642"/>
      <c r="G558" s="641" t="s">
        <v>786</v>
      </c>
      <c r="H558" s="643">
        <v>10</v>
      </c>
      <c r="I558" s="644">
        <v>1</v>
      </c>
      <c r="J558" s="723">
        <f>IF('Proposed Lighting'!EF255=0,'Proposed Lighting'!AA255,'Proposed Lighting'!EF255)</f>
        <v>0</v>
      </c>
      <c r="K558" s="643" t="str">
        <f>'Proposed Lighting'!CU255</f>
        <v/>
      </c>
      <c r="L558" s="643" t="str">
        <f t="shared" si="116"/>
        <v/>
      </c>
      <c r="M558" s="645">
        <f t="shared" si="119"/>
        <v>0</v>
      </c>
      <c r="N558" s="645"/>
      <c r="O558" s="722">
        <f>IFERROR('Proposed Lighting'!AC255/1000,0)</f>
        <v>0</v>
      </c>
      <c r="P558" s="644">
        <f>'Proposed Lighting'!AV255</f>
        <v>0</v>
      </c>
      <c r="Q558" s="644">
        <f>IF(AND('Proposed Lighting'!T255="Lighting Controls Only",'Data Entry'!$AF$23="OR",'Proposed Lighting'!AU255=2),0,
IF(AND('Proposed Lighting'!T255="Lighting Controls Only",'Data Entry'!$AF$23="OR",'Proposed Lighting'!AU255=3,OR('Proposed Lighting'!W255="ceiling mount",'Proposed Lighting'!W255="wall switch",'Proposed Lighting'!W255="fixture mount (on exisiting equip)",'Proposed Lighting'!W255="daylight harvesting (on existing equip)")),0,
IF('Proposed Lighting'!AF255=1,IF(P558=0,0,J558*O558*(L558*(1-P558))),IF('Proposed Lighting'!AU255=1,0,'Proposed Lighting'!AX255-'Proposed Lighting'!AY255))))</f>
        <v>0</v>
      </c>
      <c r="R558" s="646">
        <f>IF('Proposed Lighting'!T255="Non-standard (provide description",0,
IF(AND(E558="Non-standard control",'Proposed Lighting'!AU255=2),Q558*0.1,
IF(AND(E558="Non-standard control",'Proposed Lighting'!AU255=3),Q558*0.08,
IF('Proposed Lighting'!EF255=0,0,IF('Proposed Lighting'!AU255=1,0,
IF(AND('Data Entry'!$AF$23="ID",'Proposed Lighting'!T255="Lighting controls only"),VLOOKUP(E558,'Proposed Lighting'!$DO$97:$DP$106,2,FALSE),
IF(AND('Data Entry'!$AF$23="OR",'Proposed Lighting'!AU255=3,'Proposed Lighting'!T255="Lighting controls only"),VLOOKUP(E558,'Proposed Lighting'!$DO$127:$DP$134,2,FALSE),0)))))))*J558</f>
        <v>0</v>
      </c>
      <c r="S558" s="646">
        <f>IF(Q558&lt;0.01,0,IF('Proposed Lighting'!AK255&gt;0,'Proposed Lighting'!AK255*'Proposed Lighting'!EF255,0))</f>
        <v>0</v>
      </c>
      <c r="T558" s="647">
        <f t="shared" si="117"/>
        <v>0</v>
      </c>
      <c r="U558" s="648"/>
      <c r="V558" s="646">
        <f t="shared" si="120"/>
        <v>0</v>
      </c>
      <c r="W558" s="646">
        <f t="shared" si="121"/>
        <v>0</v>
      </c>
      <c r="X558" s="646">
        <f t="shared" si="122"/>
        <v>0</v>
      </c>
      <c r="Y558" s="646"/>
      <c r="Z558" s="646"/>
      <c r="AA558" s="646"/>
      <c r="AB558" s="646">
        <f t="shared" si="123"/>
        <v>0</v>
      </c>
      <c r="AC558" s="649" t="str">
        <f t="shared" si="124"/>
        <v/>
      </c>
      <c r="AD558" s="649" t="str">
        <f t="shared" si="125"/>
        <v/>
      </c>
      <c r="AE558" s="649" t="str">
        <f t="shared" si="126"/>
        <v/>
      </c>
      <c r="AF558" s="72"/>
      <c r="AG558" s="644">
        <f>IFERROR(IF($AV558="No",0,IF($AV558="yes",Summary!Q558,"")),"")</f>
        <v>0</v>
      </c>
      <c r="AH558" s="646">
        <f>IFERROR(IF($AV558="No",0,IF($AV558="yes",Summary!R558,"")),"")</f>
        <v>0</v>
      </c>
      <c r="AI558" s="646">
        <f>IFERROR(IF($AV558="No",0,IF($AV558="yes",Summary!S558,"")),"")</f>
        <v>0</v>
      </c>
      <c r="AJ558" s="647">
        <f>IFERROR(IF($AV558="No",0,IF($AV558="yes",Summary!T558,"")),"")</f>
        <v>0</v>
      </c>
      <c r="AK558" s="648">
        <f>IFERROR(IF($AV558="No",0,IF($AV558="yes",Summary!U558,"")),"")</f>
        <v>0</v>
      </c>
      <c r="AL558" s="646">
        <f>IFERROR(IF($AV558="No",0,IF($AV558="yes",Summary!V558,"")),"")</f>
        <v>0</v>
      </c>
      <c r="AM558" s="646">
        <f>IFERROR(IF($AV558="No",0,IF($AV558="yes",Summary!W558,"")),"")</f>
        <v>0</v>
      </c>
      <c r="AN558" s="646">
        <f>IFERROR(IF($AV558="No",0,IF($AV558="yes",Summary!X558,"")),"")</f>
        <v>0</v>
      </c>
      <c r="AO558" s="646">
        <f>IFERROR(IF($AV558="No",0,IF($AV558="yes",Summary!Y558+Z558,"")),"")</f>
        <v>0</v>
      </c>
      <c r="AP558" s="646">
        <f>IFERROR(IF($AV558="No",0,IF($AV558="yes",Summary!AB558,"")),"")</f>
        <v>0</v>
      </c>
      <c r="AQ558" s="649" t="str">
        <f t="shared" si="127"/>
        <v/>
      </c>
      <c r="AR558" s="649" t="str">
        <f t="shared" si="118"/>
        <v/>
      </c>
      <c r="AS558" s="649" t="str">
        <f t="shared" si="128"/>
        <v/>
      </c>
      <c r="AT558" s="641" t="s">
        <v>1032</v>
      </c>
      <c r="AV558" t="str">
        <f>IF('Proposed Lighting'!AK255&gt;0,"No","Yes")</f>
        <v>Yes</v>
      </c>
    </row>
    <row r="559" spans="1:48" ht="34.5" customHeight="1" outlineLevel="1">
      <c r="A559" s="641" t="s">
        <v>1033</v>
      </c>
      <c r="B559" s="641" t="str">
        <f>IF('Proposed Lighting'!AU256=3,"Commercial-All Com-ExtLight",IF('Proposed Lighting'!AH256&gt;8759,"IPC_8760","Commercial-All Com-IntLight"))</f>
        <v>IPC_8760</v>
      </c>
      <c r="C559" s="641" t="str">
        <f>IF(OR(E559="",E559=0),"No",
IF(AND('Data Entry'!$AF$23="OR",AE559&lt;1),"No",
IF(AND('Data Entry'!$AF$23="ID",E559="Non-standard lighting control system",AD559&lt;1),"No",
IF(AND('Data Entry'!$AF$23="OR",'Proposed Lighting'!F256="Existing LED (Provide Description)",'Proposed Lighting'!AK256=""),"No",
IF('Proposed Lighting'!DD256="Submit Control as Non-Standard","No",
IF(AND('Proposed Lighting'!T256="Non-Standard (Provide Description)",AD559&lt;1),"No",
IF('Proposed Lighting'!AW256&lt;'Proposed Lighting'!AZ256,"No","Yes")))))))</f>
        <v>No</v>
      </c>
      <c r="D559" s="1604">
        <f>'Proposed Lighting'!BQ256-Q559</f>
        <v>0</v>
      </c>
      <c r="E559" s="642" t="str">
        <f>IF('Proposed Lighting'!W256="","",'Proposed Lighting'!W256)</f>
        <v/>
      </c>
      <c r="F559" s="642"/>
      <c r="G559" s="641" t="s">
        <v>786</v>
      </c>
      <c r="H559" s="643">
        <v>10</v>
      </c>
      <c r="I559" s="644">
        <v>1</v>
      </c>
      <c r="J559" s="723">
        <f>IF('Proposed Lighting'!EF256=0,'Proposed Lighting'!AA256,'Proposed Lighting'!EF256)</f>
        <v>0</v>
      </c>
      <c r="K559" s="643" t="str">
        <f>'Proposed Lighting'!CU256</f>
        <v/>
      </c>
      <c r="L559" s="643" t="str">
        <f t="shared" si="116"/>
        <v/>
      </c>
      <c r="M559" s="645">
        <f t="shared" si="119"/>
        <v>0</v>
      </c>
      <c r="N559" s="645"/>
      <c r="O559" s="722">
        <f>IFERROR('Proposed Lighting'!AC256/1000,0)</f>
        <v>0</v>
      </c>
      <c r="P559" s="644">
        <f>'Proposed Lighting'!AV256</f>
        <v>0</v>
      </c>
      <c r="Q559" s="644">
        <f>IF(AND('Proposed Lighting'!T256="Lighting Controls Only",'Data Entry'!$AF$23="OR",'Proposed Lighting'!AU256=2),0,
IF(AND('Proposed Lighting'!T256="Lighting Controls Only",'Data Entry'!$AF$23="OR",'Proposed Lighting'!AU256=3,OR('Proposed Lighting'!W256="ceiling mount",'Proposed Lighting'!W256="wall switch",'Proposed Lighting'!W256="fixture mount (on exisiting equip)",'Proposed Lighting'!W256="daylight harvesting (on existing equip)")),0,
IF('Proposed Lighting'!AF256=1,IF(P559=0,0,J559*O559*(L559*(1-P559))),IF('Proposed Lighting'!AU256=1,0,'Proposed Lighting'!AX256-'Proposed Lighting'!AY256))))</f>
        <v>0</v>
      </c>
      <c r="R559" s="646">
        <f>IF('Proposed Lighting'!T256="Non-standard (provide description",0,
IF(AND(E559="Non-standard control",'Proposed Lighting'!AU256=2),Q559*0.1,
IF(AND(E559="Non-standard control",'Proposed Lighting'!AU256=3),Q559*0.08,
IF('Proposed Lighting'!EF256=0,0,IF('Proposed Lighting'!AU256=1,0,
IF(AND('Data Entry'!$AF$23="ID",'Proposed Lighting'!T256="Lighting controls only"),VLOOKUP(E559,'Proposed Lighting'!$DO$97:$DP$106,2,FALSE),
IF(AND('Data Entry'!$AF$23="OR",'Proposed Lighting'!AU256=3,'Proposed Lighting'!T256="Lighting controls only"),VLOOKUP(E559,'Proposed Lighting'!$DO$127:$DP$134,2,FALSE),0)))))))*J559</f>
        <v>0</v>
      </c>
      <c r="S559" s="646">
        <f>IF(Q559&lt;0.01,0,IF('Proposed Lighting'!AK256&gt;0,'Proposed Lighting'!AK256*'Proposed Lighting'!EF256,0))</f>
        <v>0</v>
      </c>
      <c r="T559" s="647">
        <f t="shared" si="117"/>
        <v>0</v>
      </c>
      <c r="U559" s="648"/>
      <c r="V559" s="646">
        <f t="shared" si="120"/>
        <v>0</v>
      </c>
      <c r="W559" s="646">
        <f t="shared" si="121"/>
        <v>0</v>
      </c>
      <c r="X559" s="646">
        <f t="shared" si="122"/>
        <v>0</v>
      </c>
      <c r="Y559" s="646"/>
      <c r="Z559" s="646"/>
      <c r="AA559" s="646"/>
      <c r="AB559" s="646">
        <f t="shared" si="123"/>
        <v>0</v>
      </c>
      <c r="AC559" s="649" t="str">
        <f t="shared" si="124"/>
        <v/>
      </c>
      <c r="AD559" s="649" t="str">
        <f t="shared" si="125"/>
        <v/>
      </c>
      <c r="AE559" s="649" t="str">
        <f t="shared" si="126"/>
        <v/>
      </c>
      <c r="AF559" s="72"/>
      <c r="AG559" s="644">
        <f>IFERROR(IF($AV559="No",0,IF($AV559="yes",Summary!Q559,"")),"")</f>
        <v>0</v>
      </c>
      <c r="AH559" s="646">
        <f>IFERROR(IF($AV559="No",0,IF($AV559="yes",Summary!R559,"")),"")</f>
        <v>0</v>
      </c>
      <c r="AI559" s="646">
        <f>IFERROR(IF($AV559="No",0,IF($AV559="yes",Summary!S559,"")),"")</f>
        <v>0</v>
      </c>
      <c r="AJ559" s="647">
        <f>IFERROR(IF($AV559="No",0,IF($AV559="yes",Summary!T559,"")),"")</f>
        <v>0</v>
      </c>
      <c r="AK559" s="648">
        <f>IFERROR(IF($AV559="No",0,IF($AV559="yes",Summary!U559,"")),"")</f>
        <v>0</v>
      </c>
      <c r="AL559" s="646">
        <f>IFERROR(IF($AV559="No",0,IF($AV559="yes",Summary!V559,"")),"")</f>
        <v>0</v>
      </c>
      <c r="AM559" s="646">
        <f>IFERROR(IF($AV559="No",0,IF($AV559="yes",Summary!W559,"")),"")</f>
        <v>0</v>
      </c>
      <c r="AN559" s="646">
        <f>IFERROR(IF($AV559="No",0,IF($AV559="yes",Summary!X559,"")),"")</f>
        <v>0</v>
      </c>
      <c r="AO559" s="646">
        <f>IFERROR(IF($AV559="No",0,IF($AV559="yes",Summary!Y559+Z559,"")),"")</f>
        <v>0</v>
      </c>
      <c r="AP559" s="646">
        <f>IFERROR(IF($AV559="No",0,IF($AV559="yes",Summary!AB559,"")),"")</f>
        <v>0</v>
      </c>
      <c r="AQ559" s="649" t="str">
        <f t="shared" si="127"/>
        <v/>
      </c>
      <c r="AR559" s="649" t="str">
        <f t="shared" si="118"/>
        <v/>
      </c>
      <c r="AS559" s="649" t="str">
        <f t="shared" si="128"/>
        <v/>
      </c>
      <c r="AT559" s="641" t="s">
        <v>1033</v>
      </c>
      <c r="AV559" t="str">
        <f>IF('Proposed Lighting'!AK256&gt;0,"No","Yes")</f>
        <v>Yes</v>
      </c>
    </row>
    <row r="560" spans="1:48" ht="34.5" customHeight="1" outlineLevel="1">
      <c r="A560" s="641" t="s">
        <v>1034</v>
      </c>
      <c r="B560" s="641" t="str">
        <f>IF('Proposed Lighting'!AU257=3,"Commercial-All Com-ExtLight",IF('Proposed Lighting'!AH257&gt;8759,"IPC_8760","Commercial-All Com-IntLight"))</f>
        <v>IPC_8760</v>
      </c>
      <c r="C560" s="641" t="str">
        <f>IF(OR(E560="",E560=0),"No",
IF(AND('Data Entry'!$AF$23="OR",AE560&lt;1),"No",
IF(AND('Data Entry'!$AF$23="ID",E560="Non-standard lighting control system",AD560&lt;1),"No",
IF(AND('Data Entry'!$AF$23="OR",'Proposed Lighting'!F257="Existing LED (Provide Description)",'Proposed Lighting'!AK257=""),"No",
IF('Proposed Lighting'!DD257="Submit Control as Non-Standard","No",
IF(AND('Proposed Lighting'!T257="Non-Standard (Provide Description)",AD560&lt;1),"No",
IF('Proposed Lighting'!AW257&lt;'Proposed Lighting'!AZ257,"No","Yes")))))))</f>
        <v>No</v>
      </c>
      <c r="D560" s="1604">
        <f>'Proposed Lighting'!BQ257-Q560</f>
        <v>0</v>
      </c>
      <c r="E560" s="642" t="str">
        <f>IF('Proposed Lighting'!W257="","",'Proposed Lighting'!W257)</f>
        <v/>
      </c>
      <c r="F560" s="642"/>
      <c r="G560" s="641" t="s">
        <v>786</v>
      </c>
      <c r="H560" s="643">
        <v>10</v>
      </c>
      <c r="I560" s="644">
        <v>1</v>
      </c>
      <c r="J560" s="723">
        <f>IF('Proposed Lighting'!EF257=0,'Proposed Lighting'!AA257,'Proposed Lighting'!EF257)</f>
        <v>0</v>
      </c>
      <c r="K560" s="643" t="str">
        <f>'Proposed Lighting'!CU257</f>
        <v/>
      </c>
      <c r="L560" s="643" t="str">
        <f t="shared" si="116"/>
        <v/>
      </c>
      <c r="M560" s="645">
        <f t="shared" si="119"/>
        <v>0</v>
      </c>
      <c r="N560" s="645"/>
      <c r="O560" s="722">
        <f>IFERROR('Proposed Lighting'!AC257/1000,0)</f>
        <v>0</v>
      </c>
      <c r="P560" s="644">
        <f>'Proposed Lighting'!AV257</f>
        <v>0</v>
      </c>
      <c r="Q560" s="644">
        <f>IF(AND('Proposed Lighting'!T257="Lighting Controls Only",'Data Entry'!$AF$23="OR",'Proposed Lighting'!AU257=2),0,
IF(AND('Proposed Lighting'!T257="Lighting Controls Only",'Data Entry'!$AF$23="OR",'Proposed Lighting'!AU257=3,OR('Proposed Lighting'!W257="ceiling mount",'Proposed Lighting'!W257="wall switch",'Proposed Lighting'!W257="fixture mount (on exisiting equip)",'Proposed Lighting'!W257="daylight harvesting (on existing equip)")),0,
IF('Proposed Lighting'!AF257=1,IF(P560=0,0,J560*O560*(L560*(1-P560))),IF('Proposed Lighting'!AU257=1,0,'Proposed Lighting'!AX257-'Proposed Lighting'!AY257))))</f>
        <v>0</v>
      </c>
      <c r="R560" s="646">
        <f>IF('Proposed Lighting'!T257="Non-standard (provide description",0,
IF(AND(E560="Non-standard control",'Proposed Lighting'!AU257=2),Q560*0.1,
IF(AND(E560="Non-standard control",'Proposed Lighting'!AU257=3),Q560*0.08,
IF('Proposed Lighting'!EF257=0,0,IF('Proposed Lighting'!AU257=1,0,
IF(AND('Data Entry'!$AF$23="ID",'Proposed Lighting'!T257="Lighting controls only"),VLOOKUP(E560,'Proposed Lighting'!$DO$97:$DP$106,2,FALSE),
IF(AND('Data Entry'!$AF$23="OR",'Proposed Lighting'!AU257=3,'Proposed Lighting'!T257="Lighting controls only"),VLOOKUP(E560,'Proposed Lighting'!$DO$127:$DP$134,2,FALSE),0)))))))*J560</f>
        <v>0</v>
      </c>
      <c r="S560" s="646">
        <f>IF(Q560&lt;0.01,0,IF('Proposed Lighting'!AK257&gt;0,'Proposed Lighting'!AK257*'Proposed Lighting'!EF257,0))</f>
        <v>0</v>
      </c>
      <c r="T560" s="647">
        <f t="shared" si="117"/>
        <v>0</v>
      </c>
      <c r="U560" s="648"/>
      <c r="V560" s="646">
        <f t="shared" si="120"/>
        <v>0</v>
      </c>
      <c r="W560" s="646">
        <f t="shared" si="121"/>
        <v>0</v>
      </c>
      <c r="X560" s="646">
        <f t="shared" si="122"/>
        <v>0</v>
      </c>
      <c r="Y560" s="646"/>
      <c r="Z560" s="646"/>
      <c r="AA560" s="646"/>
      <c r="AB560" s="646">
        <f t="shared" si="123"/>
        <v>0</v>
      </c>
      <c r="AC560" s="649" t="str">
        <f t="shared" si="124"/>
        <v/>
      </c>
      <c r="AD560" s="649" t="str">
        <f t="shared" si="125"/>
        <v/>
      </c>
      <c r="AE560" s="649" t="str">
        <f t="shared" si="126"/>
        <v/>
      </c>
      <c r="AF560" s="72"/>
      <c r="AG560" s="644">
        <f>IFERROR(IF($AV560="No",0,IF($AV560="yes",Summary!Q560,"")),"")</f>
        <v>0</v>
      </c>
      <c r="AH560" s="646">
        <f>IFERROR(IF($AV560="No",0,IF($AV560="yes",Summary!R560,"")),"")</f>
        <v>0</v>
      </c>
      <c r="AI560" s="646">
        <f>IFERROR(IF($AV560="No",0,IF($AV560="yes",Summary!S560,"")),"")</f>
        <v>0</v>
      </c>
      <c r="AJ560" s="647">
        <f>IFERROR(IF($AV560="No",0,IF($AV560="yes",Summary!T560,"")),"")</f>
        <v>0</v>
      </c>
      <c r="AK560" s="648">
        <f>IFERROR(IF($AV560="No",0,IF($AV560="yes",Summary!U560,"")),"")</f>
        <v>0</v>
      </c>
      <c r="AL560" s="646">
        <f>IFERROR(IF($AV560="No",0,IF($AV560="yes",Summary!V560,"")),"")</f>
        <v>0</v>
      </c>
      <c r="AM560" s="646">
        <f>IFERROR(IF($AV560="No",0,IF($AV560="yes",Summary!W560,"")),"")</f>
        <v>0</v>
      </c>
      <c r="AN560" s="646">
        <f>IFERROR(IF($AV560="No",0,IF($AV560="yes",Summary!X560,"")),"")</f>
        <v>0</v>
      </c>
      <c r="AO560" s="646">
        <f>IFERROR(IF($AV560="No",0,IF($AV560="yes",Summary!Y560+Z560,"")),"")</f>
        <v>0</v>
      </c>
      <c r="AP560" s="646">
        <f>IFERROR(IF($AV560="No",0,IF($AV560="yes",Summary!AB560,"")),"")</f>
        <v>0</v>
      </c>
      <c r="AQ560" s="649" t="str">
        <f t="shared" si="127"/>
        <v/>
      </c>
      <c r="AR560" s="649" t="str">
        <f t="shared" si="118"/>
        <v/>
      </c>
      <c r="AS560" s="649" t="str">
        <f t="shared" si="128"/>
        <v/>
      </c>
      <c r="AT560" s="641" t="s">
        <v>1034</v>
      </c>
      <c r="AV560" t="str">
        <f>IF('Proposed Lighting'!AK257&gt;0,"No","Yes")</f>
        <v>Yes</v>
      </c>
    </row>
    <row r="561" spans="1:48" ht="34.5" customHeight="1" outlineLevel="1">
      <c r="A561" s="641" t="s">
        <v>1035</v>
      </c>
      <c r="B561" s="641" t="str">
        <f>IF('Proposed Lighting'!AU258=3,"Commercial-All Com-ExtLight",IF('Proposed Lighting'!AH258&gt;8759,"IPC_8760","Commercial-All Com-IntLight"))</f>
        <v>IPC_8760</v>
      </c>
      <c r="C561" s="641" t="str">
        <f>IF(OR(E561="",E561=0),"No",
IF(AND('Data Entry'!$AF$23="OR",AE561&lt;1),"No",
IF(AND('Data Entry'!$AF$23="ID",E561="Non-standard lighting control system",AD561&lt;1),"No",
IF(AND('Data Entry'!$AF$23="OR",'Proposed Lighting'!F258="Existing LED (Provide Description)",'Proposed Lighting'!AK258=""),"No",
IF('Proposed Lighting'!DD258="Submit Control as Non-Standard","No",
IF(AND('Proposed Lighting'!T258="Non-Standard (Provide Description)",AD561&lt;1),"No",
IF('Proposed Lighting'!AW258&lt;'Proposed Lighting'!AZ258,"No","Yes")))))))</f>
        <v>No</v>
      </c>
      <c r="D561" s="1604">
        <f>'Proposed Lighting'!BQ258-Q561</f>
        <v>0</v>
      </c>
      <c r="E561" s="642" t="str">
        <f>IF('Proposed Lighting'!W258="","",'Proposed Lighting'!W258)</f>
        <v/>
      </c>
      <c r="F561" s="642"/>
      <c r="G561" s="641" t="s">
        <v>786</v>
      </c>
      <c r="H561" s="643">
        <v>10</v>
      </c>
      <c r="I561" s="644">
        <v>1</v>
      </c>
      <c r="J561" s="723">
        <f>IF('Proposed Lighting'!EF258=0,'Proposed Lighting'!AA258,'Proposed Lighting'!EF258)</f>
        <v>0</v>
      </c>
      <c r="K561" s="643" t="str">
        <f>'Proposed Lighting'!CU258</f>
        <v/>
      </c>
      <c r="L561" s="643" t="str">
        <f t="shared" si="116"/>
        <v/>
      </c>
      <c r="M561" s="645">
        <f t="shared" si="119"/>
        <v>0</v>
      </c>
      <c r="N561" s="645"/>
      <c r="O561" s="722">
        <f>IFERROR('Proposed Lighting'!AC258/1000,0)</f>
        <v>0</v>
      </c>
      <c r="P561" s="644">
        <f>'Proposed Lighting'!AV258</f>
        <v>0</v>
      </c>
      <c r="Q561" s="644">
        <f>IF(AND('Proposed Lighting'!T258="Lighting Controls Only",'Data Entry'!$AF$23="OR",'Proposed Lighting'!AU258=2),0,
IF(AND('Proposed Lighting'!T258="Lighting Controls Only",'Data Entry'!$AF$23="OR",'Proposed Lighting'!AU258=3,OR('Proposed Lighting'!W258="ceiling mount",'Proposed Lighting'!W258="wall switch",'Proposed Lighting'!W258="fixture mount (on exisiting equip)",'Proposed Lighting'!W258="daylight harvesting (on existing equip)")),0,
IF('Proposed Lighting'!AF258=1,IF(P561=0,0,J561*O561*(L561*(1-P561))),IF('Proposed Lighting'!AU258=1,0,'Proposed Lighting'!AX258-'Proposed Lighting'!AY258))))</f>
        <v>0</v>
      </c>
      <c r="R561" s="646">
        <f>IF('Proposed Lighting'!T258="Non-standard (provide description",0,
IF(AND(E561="Non-standard control",'Proposed Lighting'!AU258=2),Q561*0.1,
IF(AND(E561="Non-standard control",'Proposed Lighting'!AU258=3),Q561*0.08,
IF('Proposed Lighting'!EF258=0,0,IF('Proposed Lighting'!AU258=1,0,
IF(AND('Data Entry'!$AF$23="ID",'Proposed Lighting'!T258="Lighting controls only"),VLOOKUP(E561,'Proposed Lighting'!$DO$97:$DP$106,2,FALSE),
IF(AND('Data Entry'!$AF$23="OR",'Proposed Lighting'!AU258=3,'Proposed Lighting'!T258="Lighting controls only"),VLOOKUP(E561,'Proposed Lighting'!$DO$127:$DP$134,2,FALSE),0)))))))*J561</f>
        <v>0</v>
      </c>
      <c r="S561" s="646">
        <f>IF(Q561&lt;0.01,0,IF('Proposed Lighting'!AK258&gt;0,'Proposed Lighting'!AK258*'Proposed Lighting'!EF258,0))</f>
        <v>0</v>
      </c>
      <c r="T561" s="647">
        <f t="shared" si="117"/>
        <v>0</v>
      </c>
      <c r="U561" s="648"/>
      <c r="V561" s="646">
        <f t="shared" si="120"/>
        <v>0</v>
      </c>
      <c r="W561" s="646">
        <f t="shared" si="121"/>
        <v>0</v>
      </c>
      <c r="X561" s="646">
        <f t="shared" si="122"/>
        <v>0</v>
      </c>
      <c r="Y561" s="646"/>
      <c r="Z561" s="646"/>
      <c r="AA561" s="646"/>
      <c r="AB561" s="646">
        <f t="shared" si="123"/>
        <v>0</v>
      </c>
      <c r="AC561" s="649" t="str">
        <f t="shared" si="124"/>
        <v/>
      </c>
      <c r="AD561" s="649" t="str">
        <f t="shared" si="125"/>
        <v/>
      </c>
      <c r="AE561" s="649" t="str">
        <f t="shared" si="126"/>
        <v/>
      </c>
      <c r="AF561" s="72"/>
      <c r="AG561" s="644">
        <f>IFERROR(IF($AV561="No",0,IF($AV561="yes",Summary!Q561,"")),"")</f>
        <v>0</v>
      </c>
      <c r="AH561" s="646">
        <f>IFERROR(IF($AV561="No",0,IF($AV561="yes",Summary!R561,"")),"")</f>
        <v>0</v>
      </c>
      <c r="AI561" s="646">
        <f>IFERROR(IF($AV561="No",0,IF($AV561="yes",Summary!S561,"")),"")</f>
        <v>0</v>
      </c>
      <c r="AJ561" s="647">
        <f>IFERROR(IF($AV561="No",0,IF($AV561="yes",Summary!T561,"")),"")</f>
        <v>0</v>
      </c>
      <c r="AK561" s="648">
        <f>IFERROR(IF($AV561="No",0,IF($AV561="yes",Summary!U561,"")),"")</f>
        <v>0</v>
      </c>
      <c r="AL561" s="646">
        <f>IFERROR(IF($AV561="No",0,IF($AV561="yes",Summary!V561,"")),"")</f>
        <v>0</v>
      </c>
      <c r="AM561" s="646">
        <f>IFERROR(IF($AV561="No",0,IF($AV561="yes",Summary!W561,"")),"")</f>
        <v>0</v>
      </c>
      <c r="AN561" s="646">
        <f>IFERROR(IF($AV561="No",0,IF($AV561="yes",Summary!X561,"")),"")</f>
        <v>0</v>
      </c>
      <c r="AO561" s="646">
        <f>IFERROR(IF($AV561="No",0,IF($AV561="yes",Summary!Y561+Z561,"")),"")</f>
        <v>0</v>
      </c>
      <c r="AP561" s="646">
        <f>IFERROR(IF($AV561="No",0,IF($AV561="yes",Summary!AB561,"")),"")</f>
        <v>0</v>
      </c>
      <c r="AQ561" s="649" t="str">
        <f t="shared" si="127"/>
        <v/>
      </c>
      <c r="AR561" s="649" t="str">
        <f t="shared" si="118"/>
        <v/>
      </c>
      <c r="AS561" s="649" t="str">
        <f t="shared" si="128"/>
        <v/>
      </c>
      <c r="AT561" s="641" t="s">
        <v>1035</v>
      </c>
      <c r="AV561" t="str">
        <f>IF('Proposed Lighting'!AK258&gt;0,"No","Yes")</f>
        <v>Yes</v>
      </c>
    </row>
    <row r="562" spans="1:48" ht="34.5" customHeight="1" outlineLevel="1">
      <c r="A562" s="641" t="s">
        <v>1036</v>
      </c>
      <c r="B562" s="641" t="str">
        <f>IF('Proposed Lighting'!AU259=3,"Commercial-All Com-ExtLight",IF('Proposed Lighting'!AH259&gt;8759,"IPC_8760","Commercial-All Com-IntLight"))</f>
        <v>IPC_8760</v>
      </c>
      <c r="C562" s="641" t="str">
        <f>IF(OR(E562="",E562=0),"No",
IF(AND('Data Entry'!$AF$23="OR",AE562&lt;1),"No",
IF(AND('Data Entry'!$AF$23="ID",E562="Non-standard lighting control system",AD562&lt;1),"No",
IF(AND('Data Entry'!$AF$23="OR",'Proposed Lighting'!F259="Existing LED (Provide Description)",'Proposed Lighting'!AK259=""),"No",
IF('Proposed Lighting'!DD259="Submit Control as Non-Standard","No",
IF(AND('Proposed Lighting'!T259="Non-Standard (Provide Description)",AD562&lt;1),"No",
IF('Proposed Lighting'!AW259&lt;'Proposed Lighting'!AZ259,"No","Yes")))))))</f>
        <v>No</v>
      </c>
      <c r="D562" s="1604">
        <f>'Proposed Lighting'!BQ259-Q562</f>
        <v>0</v>
      </c>
      <c r="E562" s="642" t="str">
        <f>IF('Proposed Lighting'!W259="","",'Proposed Lighting'!W259)</f>
        <v/>
      </c>
      <c r="F562" s="642"/>
      <c r="G562" s="641" t="s">
        <v>786</v>
      </c>
      <c r="H562" s="643">
        <v>10</v>
      </c>
      <c r="I562" s="644">
        <v>1</v>
      </c>
      <c r="J562" s="723">
        <f>IF('Proposed Lighting'!EF259=0,'Proposed Lighting'!AA259,'Proposed Lighting'!EF259)</f>
        <v>0</v>
      </c>
      <c r="K562" s="643" t="str">
        <f>'Proposed Lighting'!CU259</f>
        <v/>
      </c>
      <c r="L562" s="643" t="str">
        <f t="shared" si="116"/>
        <v/>
      </c>
      <c r="M562" s="645">
        <f t="shared" si="119"/>
        <v>0</v>
      </c>
      <c r="N562" s="645"/>
      <c r="O562" s="722">
        <f>IFERROR('Proposed Lighting'!AC259/1000,0)</f>
        <v>0</v>
      </c>
      <c r="P562" s="644">
        <f>'Proposed Lighting'!AV259</f>
        <v>0</v>
      </c>
      <c r="Q562" s="644">
        <f>IF(AND('Proposed Lighting'!T259="Lighting Controls Only",'Data Entry'!$AF$23="OR",'Proposed Lighting'!AU259=2),0,
IF(AND('Proposed Lighting'!T259="Lighting Controls Only",'Data Entry'!$AF$23="OR",'Proposed Lighting'!AU259=3,OR('Proposed Lighting'!W259="ceiling mount",'Proposed Lighting'!W259="wall switch",'Proposed Lighting'!W259="fixture mount (on exisiting equip)",'Proposed Lighting'!W259="daylight harvesting (on existing equip)")),0,
IF('Proposed Lighting'!AF259=1,IF(P562=0,0,J562*O562*(L562*(1-P562))),IF('Proposed Lighting'!AU259=1,0,'Proposed Lighting'!AX259-'Proposed Lighting'!AY259))))</f>
        <v>0</v>
      </c>
      <c r="R562" s="646">
        <f>IF('Proposed Lighting'!T259="Non-standard (provide description",0,
IF(AND(E562="Non-standard control",'Proposed Lighting'!AU259=2),Q562*0.1,
IF(AND(E562="Non-standard control",'Proposed Lighting'!AU259=3),Q562*0.08,
IF('Proposed Lighting'!EF259=0,0,IF('Proposed Lighting'!AU259=1,0,
IF(AND('Data Entry'!$AF$23="ID",'Proposed Lighting'!T259="Lighting controls only"),VLOOKUP(E562,'Proposed Lighting'!$DO$97:$DP$106,2,FALSE),
IF(AND('Data Entry'!$AF$23="OR",'Proposed Lighting'!AU259=3,'Proposed Lighting'!T259="Lighting controls only"),VLOOKUP(E562,'Proposed Lighting'!$DO$127:$DP$134,2,FALSE),0)))))))*J562</f>
        <v>0</v>
      </c>
      <c r="S562" s="646">
        <f>IF(Q562&lt;0.01,0,IF('Proposed Lighting'!AK259&gt;0,'Proposed Lighting'!AK259*'Proposed Lighting'!EF259,0))</f>
        <v>0</v>
      </c>
      <c r="T562" s="647">
        <f t="shared" si="117"/>
        <v>0</v>
      </c>
      <c r="U562" s="648"/>
      <c r="V562" s="646">
        <f t="shared" si="120"/>
        <v>0</v>
      </c>
      <c r="W562" s="646">
        <f t="shared" si="121"/>
        <v>0</v>
      </c>
      <c r="X562" s="646">
        <f t="shared" si="122"/>
        <v>0</v>
      </c>
      <c r="Y562" s="646"/>
      <c r="Z562" s="646"/>
      <c r="AA562" s="646"/>
      <c r="AB562" s="646">
        <f t="shared" si="123"/>
        <v>0</v>
      </c>
      <c r="AC562" s="649" t="str">
        <f t="shared" si="124"/>
        <v/>
      </c>
      <c r="AD562" s="649" t="str">
        <f t="shared" si="125"/>
        <v/>
      </c>
      <c r="AE562" s="649" t="str">
        <f t="shared" si="126"/>
        <v/>
      </c>
      <c r="AF562" s="72"/>
      <c r="AG562" s="644">
        <f>IFERROR(IF($AV562="No",0,IF($AV562="yes",Summary!Q562,"")),"")</f>
        <v>0</v>
      </c>
      <c r="AH562" s="646">
        <f>IFERROR(IF($AV562="No",0,IF($AV562="yes",Summary!R562,"")),"")</f>
        <v>0</v>
      </c>
      <c r="AI562" s="646">
        <f>IFERROR(IF($AV562="No",0,IF($AV562="yes",Summary!S562,"")),"")</f>
        <v>0</v>
      </c>
      <c r="AJ562" s="647">
        <f>IFERROR(IF($AV562="No",0,IF($AV562="yes",Summary!T562,"")),"")</f>
        <v>0</v>
      </c>
      <c r="AK562" s="648">
        <f>IFERROR(IF($AV562="No",0,IF($AV562="yes",Summary!U562,"")),"")</f>
        <v>0</v>
      </c>
      <c r="AL562" s="646">
        <f>IFERROR(IF($AV562="No",0,IF($AV562="yes",Summary!V562,"")),"")</f>
        <v>0</v>
      </c>
      <c r="AM562" s="646">
        <f>IFERROR(IF($AV562="No",0,IF($AV562="yes",Summary!W562,"")),"")</f>
        <v>0</v>
      </c>
      <c r="AN562" s="646">
        <f>IFERROR(IF($AV562="No",0,IF($AV562="yes",Summary!X562,"")),"")</f>
        <v>0</v>
      </c>
      <c r="AO562" s="646">
        <f>IFERROR(IF($AV562="No",0,IF($AV562="yes",Summary!Y562+Z562,"")),"")</f>
        <v>0</v>
      </c>
      <c r="AP562" s="646">
        <f>IFERROR(IF($AV562="No",0,IF($AV562="yes",Summary!AB562,"")),"")</f>
        <v>0</v>
      </c>
      <c r="AQ562" s="649" t="str">
        <f t="shared" si="127"/>
        <v/>
      </c>
      <c r="AR562" s="649" t="str">
        <f t="shared" si="118"/>
        <v/>
      </c>
      <c r="AS562" s="649" t="str">
        <f t="shared" si="128"/>
        <v/>
      </c>
      <c r="AT562" s="641" t="s">
        <v>1036</v>
      </c>
      <c r="AV562" t="str">
        <f>IF('Proposed Lighting'!AK259&gt;0,"No","Yes")</f>
        <v>Yes</v>
      </c>
    </row>
    <row r="563" spans="1:48" ht="34.5" customHeight="1" outlineLevel="1">
      <c r="A563" s="641" t="s">
        <v>1037</v>
      </c>
      <c r="B563" s="641" t="str">
        <f>IF('Proposed Lighting'!AU260=3,"Commercial-All Com-ExtLight",IF('Proposed Lighting'!AH260&gt;8759,"IPC_8760","Commercial-All Com-IntLight"))</f>
        <v>IPC_8760</v>
      </c>
      <c r="C563" s="641" t="str">
        <f>IF(OR(E563="",E563=0),"No",
IF(AND('Data Entry'!$AF$23="OR",AE563&lt;1),"No",
IF(AND('Data Entry'!$AF$23="ID",E563="Non-standard lighting control system",AD563&lt;1),"No",
IF(AND('Data Entry'!$AF$23="OR",'Proposed Lighting'!F260="Existing LED (Provide Description)",'Proposed Lighting'!AK260=""),"No",
IF('Proposed Lighting'!DD260="Submit Control as Non-Standard","No",
IF(AND('Proposed Lighting'!T260="Non-Standard (Provide Description)",AD563&lt;1),"No",
IF('Proposed Lighting'!AW260&lt;'Proposed Lighting'!AZ260,"No","Yes")))))))</f>
        <v>No</v>
      </c>
      <c r="D563" s="1604">
        <f>'Proposed Lighting'!BQ260-Q563</f>
        <v>0</v>
      </c>
      <c r="E563" s="642" t="str">
        <f>IF('Proposed Lighting'!W260="","",'Proposed Lighting'!W260)</f>
        <v/>
      </c>
      <c r="F563" s="642"/>
      <c r="G563" s="641" t="s">
        <v>786</v>
      </c>
      <c r="H563" s="643">
        <v>10</v>
      </c>
      <c r="I563" s="644">
        <v>1</v>
      </c>
      <c r="J563" s="723">
        <f>IF('Proposed Lighting'!EF260=0,'Proposed Lighting'!AA260,'Proposed Lighting'!EF260)</f>
        <v>0</v>
      </c>
      <c r="K563" s="643" t="str">
        <f>'Proposed Lighting'!CU260</f>
        <v/>
      </c>
      <c r="L563" s="643" t="str">
        <f t="shared" si="116"/>
        <v/>
      </c>
      <c r="M563" s="645">
        <f t="shared" si="119"/>
        <v>0</v>
      </c>
      <c r="N563" s="645"/>
      <c r="O563" s="722">
        <f>IFERROR('Proposed Lighting'!AC260/1000,0)</f>
        <v>0</v>
      </c>
      <c r="P563" s="644">
        <f>'Proposed Lighting'!AV260</f>
        <v>0</v>
      </c>
      <c r="Q563" s="644">
        <f>IF(AND('Proposed Lighting'!T260="Lighting Controls Only",'Data Entry'!$AF$23="OR",'Proposed Lighting'!AU260=2),0,
IF(AND('Proposed Lighting'!T260="Lighting Controls Only",'Data Entry'!$AF$23="OR",'Proposed Lighting'!AU260=3,OR('Proposed Lighting'!W260="ceiling mount",'Proposed Lighting'!W260="wall switch",'Proposed Lighting'!W260="fixture mount (on exisiting equip)",'Proposed Lighting'!W260="daylight harvesting (on existing equip)")),0,
IF('Proposed Lighting'!AF260=1,IF(P563=0,0,J563*O563*(L563*(1-P563))),IF('Proposed Lighting'!AU260=1,0,'Proposed Lighting'!AX260-'Proposed Lighting'!AY260))))</f>
        <v>0</v>
      </c>
      <c r="R563" s="646">
        <f>IF('Proposed Lighting'!T260="Non-standard (provide description",0,
IF(AND(E563="Non-standard control",'Proposed Lighting'!AU260=2),Q563*0.1,
IF(AND(E563="Non-standard control",'Proposed Lighting'!AU260=3),Q563*0.08,
IF('Proposed Lighting'!EF260=0,0,IF('Proposed Lighting'!AU260=1,0,
IF(AND('Data Entry'!$AF$23="ID",'Proposed Lighting'!T260="Lighting controls only"),VLOOKUP(E563,'Proposed Lighting'!$DO$97:$DP$106,2,FALSE),
IF(AND('Data Entry'!$AF$23="OR",'Proposed Lighting'!AU260=3,'Proposed Lighting'!T260="Lighting controls only"),VLOOKUP(E563,'Proposed Lighting'!$DO$127:$DP$134,2,FALSE),0)))))))*J563</f>
        <v>0</v>
      </c>
      <c r="S563" s="646">
        <f>IF(Q563&lt;0.01,0,IF('Proposed Lighting'!AK260&gt;0,'Proposed Lighting'!AK260*'Proposed Lighting'!EF260,0))</f>
        <v>0</v>
      </c>
      <c r="T563" s="647">
        <f t="shared" si="117"/>
        <v>0</v>
      </c>
      <c r="U563" s="648"/>
      <c r="V563" s="646">
        <f t="shared" si="120"/>
        <v>0</v>
      </c>
      <c r="W563" s="646">
        <f t="shared" si="121"/>
        <v>0</v>
      </c>
      <c r="X563" s="646">
        <f t="shared" si="122"/>
        <v>0</v>
      </c>
      <c r="Y563" s="646"/>
      <c r="Z563" s="646"/>
      <c r="AA563" s="646"/>
      <c r="AB563" s="646">
        <f t="shared" si="123"/>
        <v>0</v>
      </c>
      <c r="AC563" s="649" t="str">
        <f t="shared" si="124"/>
        <v/>
      </c>
      <c r="AD563" s="649" t="str">
        <f t="shared" si="125"/>
        <v/>
      </c>
      <c r="AE563" s="649" t="str">
        <f t="shared" si="126"/>
        <v/>
      </c>
      <c r="AF563" s="72"/>
      <c r="AG563" s="644">
        <f>IFERROR(IF($AV563="No",0,IF($AV563="yes",Summary!Q563,"")),"")</f>
        <v>0</v>
      </c>
      <c r="AH563" s="646">
        <f>IFERROR(IF($AV563="No",0,IF($AV563="yes",Summary!R563,"")),"")</f>
        <v>0</v>
      </c>
      <c r="AI563" s="646">
        <f>IFERROR(IF($AV563="No",0,IF($AV563="yes",Summary!S563,"")),"")</f>
        <v>0</v>
      </c>
      <c r="AJ563" s="647">
        <f>IFERROR(IF($AV563="No",0,IF($AV563="yes",Summary!T563,"")),"")</f>
        <v>0</v>
      </c>
      <c r="AK563" s="648">
        <f>IFERROR(IF($AV563="No",0,IF($AV563="yes",Summary!U563,"")),"")</f>
        <v>0</v>
      </c>
      <c r="AL563" s="646">
        <f>IFERROR(IF($AV563="No",0,IF($AV563="yes",Summary!V563,"")),"")</f>
        <v>0</v>
      </c>
      <c r="AM563" s="646">
        <f>IFERROR(IF($AV563="No",0,IF($AV563="yes",Summary!W563,"")),"")</f>
        <v>0</v>
      </c>
      <c r="AN563" s="646">
        <f>IFERROR(IF($AV563="No",0,IF($AV563="yes",Summary!X563,"")),"")</f>
        <v>0</v>
      </c>
      <c r="AO563" s="646">
        <f>IFERROR(IF($AV563="No",0,IF($AV563="yes",Summary!Y563+Z563,"")),"")</f>
        <v>0</v>
      </c>
      <c r="AP563" s="646">
        <f>IFERROR(IF($AV563="No",0,IF($AV563="yes",Summary!AB563,"")),"")</f>
        <v>0</v>
      </c>
      <c r="AQ563" s="649" t="str">
        <f t="shared" si="127"/>
        <v/>
      </c>
      <c r="AR563" s="649" t="str">
        <f t="shared" si="118"/>
        <v/>
      </c>
      <c r="AS563" s="649" t="str">
        <f t="shared" si="128"/>
        <v/>
      </c>
      <c r="AT563" s="641" t="s">
        <v>1037</v>
      </c>
      <c r="AV563" t="str">
        <f>IF('Proposed Lighting'!AK260&gt;0,"No","Yes")</f>
        <v>Yes</v>
      </c>
    </row>
    <row r="564" spans="1:48" ht="34.5" customHeight="1" outlineLevel="1">
      <c r="A564" s="641" t="s">
        <v>1038</v>
      </c>
      <c r="B564" s="641" t="str">
        <f>IF('Proposed Lighting'!AU261=3,"Commercial-All Com-ExtLight",IF('Proposed Lighting'!AH261&gt;8759,"IPC_8760","Commercial-All Com-IntLight"))</f>
        <v>IPC_8760</v>
      </c>
      <c r="C564" s="641" t="str">
        <f>IF(OR(E564="",E564=0),"No",
IF(AND('Data Entry'!$AF$23="OR",AE564&lt;1),"No",
IF(AND('Data Entry'!$AF$23="ID",E564="Non-standard lighting control system",AD564&lt;1),"No",
IF(AND('Data Entry'!$AF$23="OR",'Proposed Lighting'!F261="Existing LED (Provide Description)",'Proposed Lighting'!AK261=""),"No",
IF('Proposed Lighting'!DD261="Submit Control as Non-Standard","No",
IF(AND('Proposed Lighting'!T261="Non-Standard (Provide Description)",AD564&lt;1),"No",
IF('Proposed Lighting'!AW261&lt;'Proposed Lighting'!AZ261,"No","Yes")))))))</f>
        <v>No</v>
      </c>
      <c r="D564" s="1604">
        <f>'Proposed Lighting'!BQ261-Q564</f>
        <v>0</v>
      </c>
      <c r="E564" s="642" t="str">
        <f>IF('Proposed Lighting'!W261="","",'Proposed Lighting'!W261)</f>
        <v/>
      </c>
      <c r="F564" s="642"/>
      <c r="G564" s="641" t="s">
        <v>786</v>
      </c>
      <c r="H564" s="643">
        <v>10</v>
      </c>
      <c r="I564" s="644">
        <v>1</v>
      </c>
      <c r="J564" s="723">
        <f>IF('Proposed Lighting'!EF261=0,'Proposed Lighting'!AA261,'Proposed Lighting'!EF261)</f>
        <v>0</v>
      </c>
      <c r="K564" s="643" t="str">
        <f>'Proposed Lighting'!CU261</f>
        <v/>
      </c>
      <c r="L564" s="643" t="str">
        <f t="shared" si="116"/>
        <v/>
      </c>
      <c r="M564" s="645">
        <f t="shared" si="119"/>
        <v>0</v>
      </c>
      <c r="N564" s="645"/>
      <c r="O564" s="722">
        <f>IFERROR('Proposed Lighting'!AC261/1000,0)</f>
        <v>0</v>
      </c>
      <c r="P564" s="644">
        <f>'Proposed Lighting'!AV261</f>
        <v>0</v>
      </c>
      <c r="Q564" s="644">
        <f>IF(AND('Proposed Lighting'!T261="Lighting Controls Only",'Data Entry'!$AF$23="OR",'Proposed Lighting'!AU261=2),0,
IF(AND('Proposed Lighting'!T261="Lighting Controls Only",'Data Entry'!$AF$23="OR",'Proposed Lighting'!AU261=3,OR('Proposed Lighting'!W261="ceiling mount",'Proposed Lighting'!W261="wall switch",'Proposed Lighting'!W261="fixture mount (on exisiting equip)",'Proposed Lighting'!W261="daylight harvesting (on existing equip)")),0,
IF('Proposed Lighting'!AF261=1,IF(P564=0,0,J564*O564*(L564*(1-P564))),IF('Proposed Lighting'!AU261=1,0,'Proposed Lighting'!AX261-'Proposed Lighting'!AY261))))</f>
        <v>0</v>
      </c>
      <c r="R564" s="646">
        <f>IF('Proposed Lighting'!T261="Non-standard (provide description",0,
IF(AND(E564="Non-standard control",'Proposed Lighting'!AU261=2),Q564*0.1,
IF(AND(E564="Non-standard control",'Proposed Lighting'!AU261=3),Q564*0.08,
IF('Proposed Lighting'!EF261=0,0,IF('Proposed Lighting'!AU261=1,0,
IF(AND('Data Entry'!$AF$23="ID",'Proposed Lighting'!T261="Lighting controls only"),VLOOKUP(E564,'Proposed Lighting'!$DO$97:$DP$106,2,FALSE),
IF(AND('Data Entry'!$AF$23="OR",'Proposed Lighting'!AU261=3,'Proposed Lighting'!T261="Lighting controls only"),VLOOKUP(E564,'Proposed Lighting'!$DO$127:$DP$134,2,FALSE),0)))))))*J564</f>
        <v>0</v>
      </c>
      <c r="S564" s="646">
        <f>IF(Q564&lt;0.01,0,IF('Proposed Lighting'!AK261&gt;0,'Proposed Lighting'!AK261*'Proposed Lighting'!EF261,0))</f>
        <v>0</v>
      </c>
      <c r="T564" s="647">
        <f t="shared" si="117"/>
        <v>0</v>
      </c>
      <c r="U564" s="648"/>
      <c r="V564" s="646">
        <f t="shared" si="120"/>
        <v>0</v>
      </c>
      <c r="W564" s="646">
        <f t="shared" si="121"/>
        <v>0</v>
      </c>
      <c r="X564" s="646">
        <f t="shared" si="122"/>
        <v>0</v>
      </c>
      <c r="Y564" s="646"/>
      <c r="Z564" s="646"/>
      <c r="AA564" s="646"/>
      <c r="AB564" s="646">
        <f t="shared" si="123"/>
        <v>0</v>
      </c>
      <c r="AC564" s="649" t="str">
        <f t="shared" si="124"/>
        <v/>
      </c>
      <c r="AD564" s="649" t="str">
        <f t="shared" si="125"/>
        <v/>
      </c>
      <c r="AE564" s="649" t="str">
        <f t="shared" si="126"/>
        <v/>
      </c>
      <c r="AF564" s="72"/>
      <c r="AG564" s="644">
        <f>IFERROR(IF($AV564="No",0,IF($AV564="yes",Summary!Q564,"")),"")</f>
        <v>0</v>
      </c>
      <c r="AH564" s="646">
        <f>IFERROR(IF($AV564="No",0,IF($AV564="yes",Summary!R564,"")),"")</f>
        <v>0</v>
      </c>
      <c r="AI564" s="646">
        <f>IFERROR(IF($AV564="No",0,IF($AV564="yes",Summary!S564,"")),"")</f>
        <v>0</v>
      </c>
      <c r="AJ564" s="647">
        <f>IFERROR(IF($AV564="No",0,IF($AV564="yes",Summary!T564,"")),"")</f>
        <v>0</v>
      </c>
      <c r="AK564" s="648">
        <f>IFERROR(IF($AV564="No",0,IF($AV564="yes",Summary!U564,"")),"")</f>
        <v>0</v>
      </c>
      <c r="AL564" s="646">
        <f>IFERROR(IF($AV564="No",0,IF($AV564="yes",Summary!V564,"")),"")</f>
        <v>0</v>
      </c>
      <c r="AM564" s="646">
        <f>IFERROR(IF($AV564="No",0,IF($AV564="yes",Summary!W564,"")),"")</f>
        <v>0</v>
      </c>
      <c r="AN564" s="646">
        <f>IFERROR(IF($AV564="No",0,IF($AV564="yes",Summary!X564,"")),"")</f>
        <v>0</v>
      </c>
      <c r="AO564" s="646">
        <f>IFERROR(IF($AV564="No",0,IF($AV564="yes",Summary!Y564+Z564,"")),"")</f>
        <v>0</v>
      </c>
      <c r="AP564" s="646">
        <f>IFERROR(IF($AV564="No",0,IF($AV564="yes",Summary!AB564,"")),"")</f>
        <v>0</v>
      </c>
      <c r="AQ564" s="649" t="str">
        <f t="shared" si="127"/>
        <v/>
      </c>
      <c r="AR564" s="649" t="str">
        <f t="shared" si="118"/>
        <v/>
      </c>
      <c r="AS564" s="649" t="str">
        <f t="shared" si="128"/>
        <v/>
      </c>
      <c r="AT564" s="641" t="s">
        <v>1038</v>
      </c>
      <c r="AV564" t="str">
        <f>IF('Proposed Lighting'!AK261&gt;0,"No","Yes")</f>
        <v>Yes</v>
      </c>
    </row>
    <row r="565" spans="1:48" ht="34.5" customHeight="1" outlineLevel="1">
      <c r="A565" s="641" t="s">
        <v>1039</v>
      </c>
      <c r="B565" s="641" t="str">
        <f>IF('Proposed Lighting'!AU262=3,"Commercial-All Com-ExtLight",IF('Proposed Lighting'!AH262&gt;8759,"IPC_8760","Commercial-All Com-IntLight"))</f>
        <v>IPC_8760</v>
      </c>
      <c r="C565" s="641" t="str">
        <f>IF(OR(E565="",E565=0),"No",
IF(AND('Data Entry'!$AF$23="OR",AE565&lt;1),"No",
IF(AND('Data Entry'!$AF$23="ID",E565="Non-standard lighting control system",AD565&lt;1),"No",
IF(AND('Data Entry'!$AF$23="OR",'Proposed Lighting'!F262="Existing LED (Provide Description)",'Proposed Lighting'!AK262=""),"No",
IF('Proposed Lighting'!DD262="Submit Control as Non-Standard","No",
IF(AND('Proposed Lighting'!T262="Non-Standard (Provide Description)",AD565&lt;1),"No",
IF('Proposed Lighting'!AW262&lt;'Proposed Lighting'!AZ262,"No","Yes")))))))</f>
        <v>No</v>
      </c>
      <c r="D565" s="1604">
        <f>'Proposed Lighting'!BQ262-Q565</f>
        <v>0</v>
      </c>
      <c r="E565" s="642" t="str">
        <f>IF('Proposed Lighting'!W262="","",'Proposed Lighting'!W262)</f>
        <v/>
      </c>
      <c r="F565" s="642"/>
      <c r="G565" s="641" t="s">
        <v>786</v>
      </c>
      <c r="H565" s="643">
        <v>10</v>
      </c>
      <c r="I565" s="644">
        <v>1</v>
      </c>
      <c r="J565" s="723">
        <f>IF('Proposed Lighting'!EF262=0,'Proposed Lighting'!AA262,'Proposed Lighting'!EF262)</f>
        <v>0</v>
      </c>
      <c r="K565" s="643" t="str">
        <f>'Proposed Lighting'!CU262</f>
        <v/>
      </c>
      <c r="L565" s="643" t="str">
        <f t="shared" si="116"/>
        <v/>
      </c>
      <c r="M565" s="645">
        <f t="shared" si="119"/>
        <v>0</v>
      </c>
      <c r="N565" s="645"/>
      <c r="O565" s="722">
        <f>IFERROR('Proposed Lighting'!AC262/1000,0)</f>
        <v>0</v>
      </c>
      <c r="P565" s="644">
        <f>'Proposed Lighting'!AV262</f>
        <v>0</v>
      </c>
      <c r="Q565" s="644">
        <f>IF(AND('Proposed Lighting'!T262="Lighting Controls Only",'Data Entry'!$AF$23="OR",'Proposed Lighting'!AU262=2),0,
IF(AND('Proposed Lighting'!T262="Lighting Controls Only",'Data Entry'!$AF$23="OR",'Proposed Lighting'!AU262=3,OR('Proposed Lighting'!W262="ceiling mount",'Proposed Lighting'!W262="wall switch",'Proposed Lighting'!W262="fixture mount (on exisiting equip)",'Proposed Lighting'!W262="daylight harvesting (on existing equip)")),0,
IF('Proposed Lighting'!AF262=1,IF(P565=0,0,J565*O565*(L565*(1-P565))),IF('Proposed Lighting'!AU262=1,0,'Proposed Lighting'!AX262-'Proposed Lighting'!AY262))))</f>
        <v>0</v>
      </c>
      <c r="R565" s="646">
        <f>IF('Proposed Lighting'!T262="Non-standard (provide description",0,
IF(AND(E565="Non-standard control",'Proposed Lighting'!AU262=2),Q565*0.1,
IF(AND(E565="Non-standard control",'Proposed Lighting'!AU262=3),Q565*0.08,
IF('Proposed Lighting'!EF262=0,0,IF('Proposed Lighting'!AU262=1,0,
IF(AND('Data Entry'!$AF$23="ID",'Proposed Lighting'!T262="Lighting controls only"),VLOOKUP(E565,'Proposed Lighting'!$DO$97:$DP$106,2,FALSE),
IF(AND('Data Entry'!$AF$23="OR",'Proposed Lighting'!AU262=3,'Proposed Lighting'!T262="Lighting controls only"),VLOOKUP(E565,'Proposed Lighting'!$DO$127:$DP$134,2,FALSE),0)))))))*J565</f>
        <v>0</v>
      </c>
      <c r="S565" s="646">
        <f>IF(Q565&lt;0.01,0,IF('Proposed Lighting'!AK262&gt;0,'Proposed Lighting'!AK262*'Proposed Lighting'!EF262,0))</f>
        <v>0</v>
      </c>
      <c r="T565" s="647">
        <f t="shared" si="117"/>
        <v>0</v>
      </c>
      <c r="U565" s="648"/>
      <c r="V565" s="646">
        <f t="shared" si="120"/>
        <v>0</v>
      </c>
      <c r="W565" s="646">
        <f t="shared" si="121"/>
        <v>0</v>
      </c>
      <c r="X565" s="646">
        <f t="shared" si="122"/>
        <v>0</v>
      </c>
      <c r="Y565" s="646"/>
      <c r="Z565" s="646"/>
      <c r="AA565" s="646"/>
      <c r="AB565" s="646">
        <f t="shared" si="123"/>
        <v>0</v>
      </c>
      <c r="AC565" s="649" t="str">
        <f t="shared" si="124"/>
        <v/>
      </c>
      <c r="AD565" s="649" t="str">
        <f t="shared" si="125"/>
        <v/>
      </c>
      <c r="AE565" s="649" t="str">
        <f t="shared" si="126"/>
        <v/>
      </c>
      <c r="AF565" s="72"/>
      <c r="AG565" s="644">
        <f>IFERROR(IF($AV565="No",0,IF($AV565="yes",Summary!Q565,"")),"")</f>
        <v>0</v>
      </c>
      <c r="AH565" s="646">
        <f>IFERROR(IF($AV565="No",0,IF($AV565="yes",Summary!R565,"")),"")</f>
        <v>0</v>
      </c>
      <c r="AI565" s="646">
        <f>IFERROR(IF($AV565="No",0,IF($AV565="yes",Summary!S565,"")),"")</f>
        <v>0</v>
      </c>
      <c r="AJ565" s="647">
        <f>IFERROR(IF($AV565="No",0,IF($AV565="yes",Summary!T565,"")),"")</f>
        <v>0</v>
      </c>
      <c r="AK565" s="648">
        <f>IFERROR(IF($AV565="No",0,IF($AV565="yes",Summary!U565,"")),"")</f>
        <v>0</v>
      </c>
      <c r="AL565" s="646">
        <f>IFERROR(IF($AV565="No",0,IF($AV565="yes",Summary!V565,"")),"")</f>
        <v>0</v>
      </c>
      <c r="AM565" s="646">
        <f>IFERROR(IF($AV565="No",0,IF($AV565="yes",Summary!W565,"")),"")</f>
        <v>0</v>
      </c>
      <c r="AN565" s="646">
        <f>IFERROR(IF($AV565="No",0,IF($AV565="yes",Summary!X565,"")),"")</f>
        <v>0</v>
      </c>
      <c r="AO565" s="646">
        <f>IFERROR(IF($AV565="No",0,IF($AV565="yes",Summary!Y565+Z565,"")),"")</f>
        <v>0</v>
      </c>
      <c r="AP565" s="646">
        <f>IFERROR(IF($AV565="No",0,IF($AV565="yes",Summary!AB565,"")),"")</f>
        <v>0</v>
      </c>
      <c r="AQ565" s="649" t="str">
        <f t="shared" si="127"/>
        <v/>
      </c>
      <c r="AR565" s="649" t="str">
        <f t="shared" si="118"/>
        <v/>
      </c>
      <c r="AS565" s="649" t="str">
        <f t="shared" si="128"/>
        <v/>
      </c>
      <c r="AT565" s="641" t="s">
        <v>1039</v>
      </c>
      <c r="AV565" t="str">
        <f>IF('Proposed Lighting'!AK262&gt;0,"No","Yes")</f>
        <v>Yes</v>
      </c>
    </row>
    <row r="566" spans="1:48" ht="34.5" customHeight="1" outlineLevel="1">
      <c r="A566" s="641" t="s">
        <v>1040</v>
      </c>
      <c r="B566" s="641" t="str">
        <f>IF('Proposed Lighting'!AU263=3,"Commercial-All Com-ExtLight",IF('Proposed Lighting'!AH263&gt;8759,"IPC_8760","Commercial-All Com-IntLight"))</f>
        <v>IPC_8760</v>
      </c>
      <c r="C566" s="641" t="str">
        <f>IF(OR(E566="",E566=0),"No",
IF(AND('Data Entry'!$AF$23="OR",AE566&lt;1),"No",
IF(AND('Data Entry'!$AF$23="ID",E566="Non-standard lighting control system",AD566&lt;1),"No",
IF(AND('Data Entry'!$AF$23="OR",'Proposed Lighting'!F263="Existing LED (Provide Description)",'Proposed Lighting'!AK263=""),"No",
IF('Proposed Lighting'!DD263="Submit Control as Non-Standard","No",
IF(AND('Proposed Lighting'!T263="Non-Standard (Provide Description)",AD566&lt;1),"No",
IF('Proposed Lighting'!AW263&lt;'Proposed Lighting'!AZ263,"No","Yes")))))))</f>
        <v>No</v>
      </c>
      <c r="D566" s="1604">
        <f>'Proposed Lighting'!BQ263-Q566</f>
        <v>0</v>
      </c>
      <c r="E566" s="642" t="str">
        <f>IF('Proposed Lighting'!W263="","",'Proposed Lighting'!W263)</f>
        <v/>
      </c>
      <c r="F566" s="642"/>
      <c r="G566" s="641" t="s">
        <v>786</v>
      </c>
      <c r="H566" s="643">
        <v>10</v>
      </c>
      <c r="I566" s="644">
        <v>1</v>
      </c>
      <c r="J566" s="723">
        <f>IF('Proposed Lighting'!EF263=0,'Proposed Lighting'!AA263,'Proposed Lighting'!EF263)</f>
        <v>0</v>
      </c>
      <c r="K566" s="643" t="str">
        <f>'Proposed Lighting'!CU263</f>
        <v/>
      </c>
      <c r="L566" s="643" t="str">
        <f t="shared" si="116"/>
        <v/>
      </c>
      <c r="M566" s="645">
        <f t="shared" si="119"/>
        <v>0</v>
      </c>
      <c r="N566" s="645"/>
      <c r="O566" s="722">
        <f>IFERROR('Proposed Lighting'!AC263/1000,0)</f>
        <v>0</v>
      </c>
      <c r="P566" s="644">
        <f>'Proposed Lighting'!AV263</f>
        <v>0</v>
      </c>
      <c r="Q566" s="644">
        <f>IF(AND('Proposed Lighting'!T263="Lighting Controls Only",'Data Entry'!$AF$23="OR",'Proposed Lighting'!AU263=2),0,
IF(AND('Proposed Lighting'!T263="Lighting Controls Only",'Data Entry'!$AF$23="OR",'Proposed Lighting'!AU263=3,OR('Proposed Lighting'!W263="ceiling mount",'Proposed Lighting'!W263="wall switch",'Proposed Lighting'!W263="fixture mount (on exisiting equip)",'Proposed Lighting'!W263="daylight harvesting (on existing equip)")),0,
IF('Proposed Lighting'!AF263=1,IF(P566=0,0,J566*O566*(L566*(1-P566))),IF('Proposed Lighting'!AU263=1,0,'Proposed Lighting'!AX263-'Proposed Lighting'!AY263))))</f>
        <v>0</v>
      </c>
      <c r="R566" s="646">
        <f>IF('Proposed Lighting'!T263="Non-standard (provide description",0,
IF(AND(E566="Non-standard control",'Proposed Lighting'!AU263=2),Q566*0.1,
IF(AND(E566="Non-standard control",'Proposed Lighting'!AU263=3),Q566*0.08,
IF('Proposed Lighting'!EF263=0,0,IF('Proposed Lighting'!AU263=1,0,
IF(AND('Data Entry'!$AF$23="ID",'Proposed Lighting'!T263="Lighting controls only"),VLOOKUP(E566,'Proposed Lighting'!$DO$97:$DP$106,2,FALSE),
IF(AND('Data Entry'!$AF$23="OR",'Proposed Lighting'!AU263=3,'Proposed Lighting'!T263="Lighting controls only"),VLOOKUP(E566,'Proposed Lighting'!$DO$127:$DP$134,2,FALSE),0)))))))*J566</f>
        <v>0</v>
      </c>
      <c r="S566" s="646">
        <f>IF(Q566&lt;0.01,0,IF('Proposed Lighting'!AK263&gt;0,'Proposed Lighting'!AK263*'Proposed Lighting'!EF263,0))</f>
        <v>0</v>
      </c>
      <c r="T566" s="647">
        <f t="shared" si="117"/>
        <v>0</v>
      </c>
      <c r="U566" s="648"/>
      <c r="V566" s="646">
        <f t="shared" si="120"/>
        <v>0</v>
      </c>
      <c r="W566" s="646">
        <f t="shared" si="121"/>
        <v>0</v>
      </c>
      <c r="X566" s="646">
        <f t="shared" si="122"/>
        <v>0</v>
      </c>
      <c r="Y566" s="646"/>
      <c r="Z566" s="646"/>
      <c r="AA566" s="646"/>
      <c r="AB566" s="646">
        <f t="shared" si="123"/>
        <v>0</v>
      </c>
      <c r="AC566" s="649" t="str">
        <f t="shared" si="124"/>
        <v/>
      </c>
      <c r="AD566" s="649" t="str">
        <f t="shared" si="125"/>
        <v/>
      </c>
      <c r="AE566" s="649" t="str">
        <f t="shared" si="126"/>
        <v/>
      </c>
      <c r="AF566" s="72"/>
      <c r="AG566" s="644">
        <f>IFERROR(IF($AV566="No",0,IF($AV566="yes",Summary!Q566,"")),"")</f>
        <v>0</v>
      </c>
      <c r="AH566" s="646">
        <f>IFERROR(IF($AV566="No",0,IF($AV566="yes",Summary!R566,"")),"")</f>
        <v>0</v>
      </c>
      <c r="AI566" s="646">
        <f>IFERROR(IF($AV566="No",0,IF($AV566="yes",Summary!S566,"")),"")</f>
        <v>0</v>
      </c>
      <c r="AJ566" s="647">
        <f>IFERROR(IF($AV566="No",0,IF($AV566="yes",Summary!T566,"")),"")</f>
        <v>0</v>
      </c>
      <c r="AK566" s="648">
        <f>IFERROR(IF($AV566="No",0,IF($AV566="yes",Summary!U566,"")),"")</f>
        <v>0</v>
      </c>
      <c r="AL566" s="646">
        <f>IFERROR(IF($AV566="No",0,IF($AV566="yes",Summary!V566,"")),"")</f>
        <v>0</v>
      </c>
      <c r="AM566" s="646">
        <f>IFERROR(IF($AV566="No",0,IF($AV566="yes",Summary!W566,"")),"")</f>
        <v>0</v>
      </c>
      <c r="AN566" s="646">
        <f>IFERROR(IF($AV566="No",0,IF($AV566="yes",Summary!X566,"")),"")</f>
        <v>0</v>
      </c>
      <c r="AO566" s="646">
        <f>IFERROR(IF($AV566="No",0,IF($AV566="yes",Summary!Y566+Z566,"")),"")</f>
        <v>0</v>
      </c>
      <c r="AP566" s="646">
        <f>IFERROR(IF($AV566="No",0,IF($AV566="yes",Summary!AB566,"")),"")</f>
        <v>0</v>
      </c>
      <c r="AQ566" s="649" t="str">
        <f t="shared" si="127"/>
        <v/>
      </c>
      <c r="AR566" s="649" t="str">
        <f t="shared" si="118"/>
        <v/>
      </c>
      <c r="AS566" s="649" t="str">
        <f t="shared" si="128"/>
        <v/>
      </c>
      <c r="AT566" s="641" t="s">
        <v>1040</v>
      </c>
      <c r="AV566" t="str">
        <f>IF('Proposed Lighting'!AK263&gt;0,"No","Yes")</f>
        <v>Yes</v>
      </c>
    </row>
    <row r="567" spans="1:48" ht="34.5" customHeight="1" outlineLevel="1">
      <c r="A567" s="641" t="s">
        <v>1041</v>
      </c>
      <c r="B567" s="641" t="str">
        <f>IF('Proposed Lighting'!AU264=3,"Commercial-All Com-ExtLight",IF('Proposed Lighting'!AH264&gt;8759,"IPC_8760","Commercial-All Com-IntLight"))</f>
        <v>IPC_8760</v>
      </c>
      <c r="C567" s="641" t="str">
        <f>IF(OR(E567="",E567=0),"No",
IF(AND('Data Entry'!$AF$23="OR",AE567&lt;1),"No",
IF(AND('Data Entry'!$AF$23="ID",E567="Non-standard lighting control system",AD567&lt;1),"No",
IF(AND('Data Entry'!$AF$23="OR",'Proposed Lighting'!F264="Existing LED (Provide Description)",'Proposed Lighting'!AK264=""),"No",
IF('Proposed Lighting'!DD264="Submit Control as Non-Standard","No",
IF(AND('Proposed Lighting'!T264="Non-Standard (Provide Description)",AD567&lt;1),"No",
IF('Proposed Lighting'!AW264&lt;'Proposed Lighting'!AZ264,"No","Yes")))))))</f>
        <v>No</v>
      </c>
      <c r="D567" s="1604">
        <f>'Proposed Lighting'!BQ264-Q567</f>
        <v>0</v>
      </c>
      <c r="E567" s="642" t="str">
        <f>IF('Proposed Lighting'!W264="","",'Proposed Lighting'!W264)</f>
        <v/>
      </c>
      <c r="F567" s="642"/>
      <c r="G567" s="641" t="s">
        <v>786</v>
      </c>
      <c r="H567" s="643">
        <v>10</v>
      </c>
      <c r="I567" s="644">
        <v>1</v>
      </c>
      <c r="J567" s="723">
        <f>IF('Proposed Lighting'!EF264=0,'Proposed Lighting'!AA264,'Proposed Lighting'!EF264)</f>
        <v>0</v>
      </c>
      <c r="K567" s="643" t="str">
        <f>'Proposed Lighting'!CU264</f>
        <v/>
      </c>
      <c r="L567" s="643" t="str">
        <f t="shared" si="116"/>
        <v/>
      </c>
      <c r="M567" s="645">
        <f t="shared" si="119"/>
        <v>0</v>
      </c>
      <c r="N567" s="645"/>
      <c r="O567" s="722">
        <f>IFERROR('Proposed Lighting'!AC264/1000,0)</f>
        <v>0</v>
      </c>
      <c r="P567" s="644">
        <f>'Proposed Lighting'!AV264</f>
        <v>0</v>
      </c>
      <c r="Q567" s="644">
        <f>IF(AND('Proposed Lighting'!T264="Lighting Controls Only",'Data Entry'!$AF$23="OR",'Proposed Lighting'!AU264=2),0,
IF(AND('Proposed Lighting'!T264="Lighting Controls Only",'Data Entry'!$AF$23="OR",'Proposed Lighting'!AU264=3,OR('Proposed Lighting'!W264="ceiling mount",'Proposed Lighting'!W264="wall switch",'Proposed Lighting'!W264="fixture mount (on exisiting equip)",'Proposed Lighting'!W264="daylight harvesting (on existing equip)")),0,
IF('Proposed Lighting'!AF264=1,IF(P567=0,0,J567*O567*(L567*(1-P567))),IF('Proposed Lighting'!AU264=1,0,'Proposed Lighting'!AX264-'Proposed Lighting'!AY264))))</f>
        <v>0</v>
      </c>
      <c r="R567" s="646">
        <f>IF('Proposed Lighting'!T264="Non-standard (provide description",0,
IF(AND(E567="Non-standard control",'Proposed Lighting'!AU264=2),Q567*0.1,
IF(AND(E567="Non-standard control",'Proposed Lighting'!AU264=3),Q567*0.08,
IF('Proposed Lighting'!EF264=0,0,IF('Proposed Lighting'!AU264=1,0,
IF(AND('Data Entry'!$AF$23="ID",'Proposed Lighting'!T264="Lighting controls only"),VLOOKUP(E567,'Proposed Lighting'!$DO$97:$DP$106,2,FALSE),
IF(AND('Data Entry'!$AF$23="OR",'Proposed Lighting'!AU264=3,'Proposed Lighting'!T264="Lighting controls only"),VLOOKUP(E567,'Proposed Lighting'!$DO$127:$DP$134,2,FALSE),0)))))))*J567</f>
        <v>0</v>
      </c>
      <c r="S567" s="646">
        <f>IF(Q567&lt;0.01,0,IF('Proposed Lighting'!AK264&gt;0,'Proposed Lighting'!AK264*'Proposed Lighting'!EF264,0))</f>
        <v>0</v>
      </c>
      <c r="T567" s="647">
        <f t="shared" si="117"/>
        <v>0</v>
      </c>
      <c r="U567" s="648"/>
      <c r="V567" s="646">
        <f t="shared" si="120"/>
        <v>0</v>
      </c>
      <c r="W567" s="646">
        <f t="shared" si="121"/>
        <v>0</v>
      </c>
      <c r="X567" s="646">
        <f t="shared" si="122"/>
        <v>0</v>
      </c>
      <c r="Y567" s="646"/>
      <c r="Z567" s="646"/>
      <c r="AA567" s="646"/>
      <c r="AB567" s="646">
        <f t="shared" si="123"/>
        <v>0</v>
      </c>
      <c r="AC567" s="649" t="str">
        <f t="shared" si="124"/>
        <v/>
      </c>
      <c r="AD567" s="649" t="str">
        <f t="shared" si="125"/>
        <v/>
      </c>
      <c r="AE567" s="649" t="str">
        <f t="shared" si="126"/>
        <v/>
      </c>
      <c r="AF567" s="72"/>
      <c r="AG567" s="644">
        <f>IFERROR(IF($AV567="No",0,IF($AV567="yes",Summary!Q567,"")),"")</f>
        <v>0</v>
      </c>
      <c r="AH567" s="646">
        <f>IFERROR(IF($AV567="No",0,IF($AV567="yes",Summary!R567,"")),"")</f>
        <v>0</v>
      </c>
      <c r="AI567" s="646">
        <f>IFERROR(IF($AV567="No",0,IF($AV567="yes",Summary!S567,"")),"")</f>
        <v>0</v>
      </c>
      <c r="AJ567" s="647">
        <f>IFERROR(IF($AV567="No",0,IF($AV567="yes",Summary!T567,"")),"")</f>
        <v>0</v>
      </c>
      <c r="AK567" s="648">
        <f>IFERROR(IF($AV567="No",0,IF($AV567="yes",Summary!U567,"")),"")</f>
        <v>0</v>
      </c>
      <c r="AL567" s="646">
        <f>IFERROR(IF($AV567="No",0,IF($AV567="yes",Summary!V567,"")),"")</f>
        <v>0</v>
      </c>
      <c r="AM567" s="646">
        <f>IFERROR(IF($AV567="No",0,IF($AV567="yes",Summary!W567,"")),"")</f>
        <v>0</v>
      </c>
      <c r="AN567" s="646">
        <f>IFERROR(IF($AV567="No",0,IF($AV567="yes",Summary!X567,"")),"")</f>
        <v>0</v>
      </c>
      <c r="AO567" s="646">
        <f>IFERROR(IF($AV567="No",0,IF($AV567="yes",Summary!Y567+Z567,"")),"")</f>
        <v>0</v>
      </c>
      <c r="AP567" s="646">
        <f>IFERROR(IF($AV567="No",0,IF($AV567="yes",Summary!AB567,"")),"")</f>
        <v>0</v>
      </c>
      <c r="AQ567" s="649" t="str">
        <f t="shared" si="127"/>
        <v/>
      </c>
      <c r="AR567" s="649" t="str">
        <f t="shared" si="118"/>
        <v/>
      </c>
      <c r="AS567" s="649" t="str">
        <f t="shared" si="128"/>
        <v/>
      </c>
      <c r="AT567" s="641" t="s">
        <v>1041</v>
      </c>
      <c r="AV567" t="str">
        <f>IF('Proposed Lighting'!AK264&gt;0,"No","Yes")</f>
        <v>Yes</v>
      </c>
    </row>
    <row r="568" spans="1:48" ht="34.5" customHeight="1" outlineLevel="1">
      <c r="A568" s="641" t="s">
        <v>1042</v>
      </c>
      <c r="B568" s="641" t="str">
        <f>IF('Proposed Lighting'!AU265=3,"Commercial-All Com-ExtLight",IF('Proposed Lighting'!AH265&gt;8759,"IPC_8760","Commercial-All Com-IntLight"))</f>
        <v>IPC_8760</v>
      </c>
      <c r="C568" s="641" t="str">
        <f>IF(OR(E568="",E568=0),"No",
IF(AND('Data Entry'!$AF$23="OR",AE568&lt;1),"No",
IF(AND('Data Entry'!$AF$23="ID",E568="Non-standard lighting control system",AD568&lt;1),"No",
IF(AND('Data Entry'!$AF$23="OR",'Proposed Lighting'!F265="Existing LED (Provide Description)",'Proposed Lighting'!AK265=""),"No",
IF('Proposed Lighting'!DD265="Submit Control as Non-Standard","No",
IF(AND('Proposed Lighting'!T265="Non-Standard (Provide Description)",AD568&lt;1),"No",
IF('Proposed Lighting'!AW265&lt;'Proposed Lighting'!AZ265,"No","Yes")))))))</f>
        <v>No</v>
      </c>
      <c r="D568" s="1604">
        <f>'Proposed Lighting'!BQ265-Q568</f>
        <v>0</v>
      </c>
      <c r="E568" s="642" t="str">
        <f>IF('Proposed Lighting'!W265="","",'Proposed Lighting'!W265)</f>
        <v/>
      </c>
      <c r="F568" s="642"/>
      <c r="G568" s="641" t="s">
        <v>786</v>
      </c>
      <c r="H568" s="643">
        <v>10</v>
      </c>
      <c r="I568" s="644">
        <v>1</v>
      </c>
      <c r="J568" s="723">
        <f>IF('Proposed Lighting'!EF265=0,'Proposed Lighting'!AA265,'Proposed Lighting'!EF265)</f>
        <v>0</v>
      </c>
      <c r="K568" s="643" t="str">
        <f>'Proposed Lighting'!CU265</f>
        <v/>
      </c>
      <c r="L568" s="643" t="str">
        <f t="shared" ref="L568:L611" si="129">K568</f>
        <v/>
      </c>
      <c r="M568" s="645">
        <f t="shared" si="119"/>
        <v>0</v>
      </c>
      <c r="N568" s="645"/>
      <c r="O568" s="722">
        <f>IFERROR('Proposed Lighting'!AC265/1000,0)</f>
        <v>0</v>
      </c>
      <c r="P568" s="644">
        <f>'Proposed Lighting'!AV265</f>
        <v>0</v>
      </c>
      <c r="Q568" s="644">
        <f>IF(AND('Proposed Lighting'!T265="Lighting Controls Only",'Data Entry'!$AF$23="OR",'Proposed Lighting'!AU265=2),0,
IF(AND('Proposed Lighting'!T265="Lighting Controls Only",'Data Entry'!$AF$23="OR",'Proposed Lighting'!AU265=3,OR('Proposed Lighting'!W265="ceiling mount",'Proposed Lighting'!W265="wall switch",'Proposed Lighting'!W265="fixture mount (on exisiting equip)",'Proposed Lighting'!W265="daylight harvesting (on existing equip)")),0,
IF('Proposed Lighting'!AF265=1,IF(P568=0,0,J568*O568*(L568*(1-P568))),IF('Proposed Lighting'!AU265=1,0,'Proposed Lighting'!AX265-'Proposed Lighting'!AY265))))</f>
        <v>0</v>
      </c>
      <c r="R568" s="646">
        <f>IF('Proposed Lighting'!T265="Non-standard (provide description",0,
IF(AND(E568="Non-standard control",'Proposed Lighting'!AU265=2),Q568*0.1,
IF(AND(E568="Non-standard control",'Proposed Lighting'!AU265=3),Q568*0.08,
IF('Proposed Lighting'!EF265=0,0,IF('Proposed Lighting'!AU265=1,0,
IF(AND('Data Entry'!$AF$23="ID",'Proposed Lighting'!T265="Lighting controls only"),VLOOKUP(E568,'Proposed Lighting'!$DO$97:$DP$106,2,FALSE),
IF(AND('Data Entry'!$AF$23="OR",'Proposed Lighting'!AU265=3,'Proposed Lighting'!T265="Lighting controls only"),VLOOKUP(E568,'Proposed Lighting'!$DO$127:$DP$134,2,FALSE),0)))))))*J568</f>
        <v>0</v>
      </c>
      <c r="S568" s="646">
        <f>IF(Q568&lt;0.01,0,IF('Proposed Lighting'!AK265&gt;0,'Proposed Lighting'!AK265*'Proposed Lighting'!EF265,0))</f>
        <v>0</v>
      </c>
      <c r="T568" s="647">
        <f t="shared" ref="T568:T611" si="130">IF(Q3368=0,0,S568/SUM($S$312:$S$611))</f>
        <v>0</v>
      </c>
      <c r="U568" s="648"/>
      <c r="V568" s="646">
        <f t="shared" si="120"/>
        <v>0</v>
      </c>
      <c r="W568" s="646">
        <f t="shared" si="121"/>
        <v>0</v>
      </c>
      <c r="X568" s="646">
        <f t="shared" si="122"/>
        <v>0</v>
      </c>
      <c r="Y568" s="646"/>
      <c r="Z568" s="646"/>
      <c r="AA568" s="646"/>
      <c r="AB568" s="646">
        <f t="shared" si="123"/>
        <v>0</v>
      </c>
      <c r="AC568" s="649" t="str">
        <f t="shared" si="124"/>
        <v/>
      </c>
      <c r="AD568" s="649" t="str">
        <f t="shared" si="125"/>
        <v/>
      </c>
      <c r="AE568" s="649" t="str">
        <f t="shared" si="126"/>
        <v/>
      </c>
      <c r="AF568" s="72"/>
      <c r="AG568" s="644">
        <f>IFERROR(IF($AV568="No",0,IF($AV568="yes",Summary!Q568,"")),"")</f>
        <v>0</v>
      </c>
      <c r="AH568" s="646">
        <f>IFERROR(IF($AV568="No",0,IF($AV568="yes",Summary!R568,"")),"")</f>
        <v>0</v>
      </c>
      <c r="AI568" s="646">
        <f>IFERROR(IF($AV568="No",0,IF($AV568="yes",Summary!S568,"")),"")</f>
        <v>0</v>
      </c>
      <c r="AJ568" s="647">
        <f>IFERROR(IF($AV568="No",0,IF($AV568="yes",Summary!T568,"")),"")</f>
        <v>0</v>
      </c>
      <c r="AK568" s="648">
        <f>IFERROR(IF($AV568="No",0,IF($AV568="yes",Summary!U568,"")),"")</f>
        <v>0</v>
      </c>
      <c r="AL568" s="646">
        <f>IFERROR(IF($AV568="No",0,IF($AV568="yes",Summary!V568,"")),"")</f>
        <v>0</v>
      </c>
      <c r="AM568" s="646">
        <f>IFERROR(IF($AV568="No",0,IF($AV568="yes",Summary!W568,"")),"")</f>
        <v>0</v>
      </c>
      <c r="AN568" s="646">
        <f>IFERROR(IF($AV568="No",0,IF($AV568="yes",Summary!X568,"")),"")</f>
        <v>0</v>
      </c>
      <c r="AO568" s="646">
        <f>IFERROR(IF($AV568="No",0,IF($AV568="yes",Summary!Y568+Z568,"")),"")</f>
        <v>0</v>
      </c>
      <c r="AP568" s="646">
        <f>IFERROR(IF($AV568="No",0,IF($AV568="yes",Summary!AB568,"")),"")</f>
        <v>0</v>
      </c>
      <c r="AQ568" s="649" t="str">
        <f t="shared" si="127"/>
        <v/>
      </c>
      <c r="AR568" s="649" t="str">
        <f t="shared" si="118"/>
        <v/>
      </c>
      <c r="AS568" s="649" t="str">
        <f t="shared" si="128"/>
        <v/>
      </c>
      <c r="AT568" s="641" t="s">
        <v>1042</v>
      </c>
      <c r="AV568" t="str">
        <f>IF('Proposed Lighting'!AK265&gt;0,"No","Yes")</f>
        <v>Yes</v>
      </c>
    </row>
    <row r="569" spans="1:48" ht="34.5" customHeight="1" outlineLevel="1">
      <c r="A569" s="641" t="s">
        <v>1043</v>
      </c>
      <c r="B569" s="641" t="str">
        <f>IF('Proposed Lighting'!AU266=3,"Commercial-All Com-ExtLight",IF('Proposed Lighting'!AH266&gt;8759,"IPC_8760","Commercial-All Com-IntLight"))</f>
        <v>IPC_8760</v>
      </c>
      <c r="C569" s="641" t="str">
        <f>IF(OR(E569="",E569=0),"No",
IF(AND('Data Entry'!$AF$23="OR",AE569&lt;1),"No",
IF(AND('Data Entry'!$AF$23="ID",E569="Non-standard lighting control system",AD569&lt;1),"No",
IF(AND('Data Entry'!$AF$23="OR",'Proposed Lighting'!F266="Existing LED (Provide Description)",'Proposed Lighting'!AK266=""),"No",
IF('Proposed Lighting'!DD266="Submit Control as Non-Standard","No",
IF(AND('Proposed Lighting'!T266="Non-Standard (Provide Description)",AD569&lt;1),"No",
IF('Proposed Lighting'!AW266&lt;'Proposed Lighting'!AZ266,"No","Yes")))))))</f>
        <v>No</v>
      </c>
      <c r="D569" s="1604">
        <f>'Proposed Lighting'!BQ266-Q569</f>
        <v>0</v>
      </c>
      <c r="E569" s="642" t="str">
        <f>IF('Proposed Lighting'!W266="","",'Proposed Lighting'!W266)</f>
        <v/>
      </c>
      <c r="F569" s="642"/>
      <c r="G569" s="641" t="s">
        <v>786</v>
      </c>
      <c r="H569" s="643">
        <v>10</v>
      </c>
      <c r="I569" s="644">
        <v>1</v>
      </c>
      <c r="J569" s="723">
        <f>IF('Proposed Lighting'!EF266=0,'Proposed Lighting'!AA266,'Proposed Lighting'!EF266)</f>
        <v>0</v>
      </c>
      <c r="K569" s="643" t="str">
        <f>'Proposed Lighting'!CU266</f>
        <v/>
      </c>
      <c r="L569" s="643" t="str">
        <f t="shared" si="129"/>
        <v/>
      </c>
      <c r="M569" s="645">
        <f t="shared" si="119"/>
        <v>0</v>
      </c>
      <c r="N569" s="645"/>
      <c r="O569" s="722">
        <f>IFERROR('Proposed Lighting'!AC266/1000,0)</f>
        <v>0</v>
      </c>
      <c r="P569" s="644">
        <f>'Proposed Lighting'!AV266</f>
        <v>0</v>
      </c>
      <c r="Q569" s="644">
        <f>IF(AND('Proposed Lighting'!T266="Lighting Controls Only",'Data Entry'!$AF$23="OR",'Proposed Lighting'!AU266=2),0,
IF(AND('Proposed Lighting'!T266="Lighting Controls Only",'Data Entry'!$AF$23="OR",'Proposed Lighting'!AU266=3,OR('Proposed Lighting'!W266="ceiling mount",'Proposed Lighting'!W266="wall switch",'Proposed Lighting'!W266="fixture mount (on exisiting equip)",'Proposed Lighting'!W266="daylight harvesting (on existing equip)")),0,
IF('Proposed Lighting'!AF266=1,IF(P569=0,0,J569*O569*(L569*(1-P569))),IF('Proposed Lighting'!AU266=1,0,'Proposed Lighting'!AX266-'Proposed Lighting'!AY266))))</f>
        <v>0</v>
      </c>
      <c r="R569" s="646">
        <f>IF('Proposed Lighting'!T266="Non-standard (provide description",0,
IF(AND(E569="Non-standard control",'Proposed Lighting'!AU266=2),Q569*0.1,
IF(AND(E569="Non-standard control",'Proposed Lighting'!AU266=3),Q569*0.08,
IF('Proposed Lighting'!EF266=0,0,IF('Proposed Lighting'!AU266=1,0,
IF(AND('Data Entry'!$AF$23="ID",'Proposed Lighting'!T266="Lighting controls only"),VLOOKUP(E569,'Proposed Lighting'!$DO$97:$DP$106,2,FALSE),
IF(AND('Data Entry'!$AF$23="OR",'Proposed Lighting'!AU266=3,'Proposed Lighting'!T266="Lighting controls only"),VLOOKUP(E569,'Proposed Lighting'!$DO$127:$DP$134,2,FALSE),0)))))))*J569</f>
        <v>0</v>
      </c>
      <c r="S569" s="646">
        <f>IF(Q569&lt;0.01,0,IF('Proposed Lighting'!AK266&gt;0,'Proposed Lighting'!AK266*'Proposed Lighting'!EF266,0))</f>
        <v>0</v>
      </c>
      <c r="T569" s="647">
        <f t="shared" si="130"/>
        <v>0</v>
      </c>
      <c r="U569" s="648"/>
      <c r="V569" s="646">
        <f t="shared" si="120"/>
        <v>0</v>
      </c>
      <c r="W569" s="646">
        <f t="shared" si="121"/>
        <v>0</v>
      </c>
      <c r="X569" s="646">
        <f t="shared" si="122"/>
        <v>0</v>
      </c>
      <c r="Y569" s="646"/>
      <c r="Z569" s="646"/>
      <c r="AA569" s="646"/>
      <c r="AB569" s="646">
        <f t="shared" si="123"/>
        <v>0</v>
      </c>
      <c r="AC569" s="649" t="str">
        <f t="shared" si="124"/>
        <v/>
      </c>
      <c r="AD569" s="649" t="str">
        <f t="shared" si="125"/>
        <v/>
      </c>
      <c r="AE569" s="649" t="str">
        <f t="shared" si="126"/>
        <v/>
      </c>
      <c r="AF569" s="72"/>
      <c r="AG569" s="644">
        <f>IFERROR(IF($AV569="No",0,IF($AV569="yes",Summary!Q569,"")),"")</f>
        <v>0</v>
      </c>
      <c r="AH569" s="646">
        <f>IFERROR(IF($AV569="No",0,IF($AV569="yes",Summary!R569,"")),"")</f>
        <v>0</v>
      </c>
      <c r="AI569" s="646">
        <f>IFERROR(IF($AV569="No",0,IF($AV569="yes",Summary!S569,"")),"")</f>
        <v>0</v>
      </c>
      <c r="AJ569" s="647">
        <f>IFERROR(IF($AV569="No",0,IF($AV569="yes",Summary!T569,"")),"")</f>
        <v>0</v>
      </c>
      <c r="AK569" s="648">
        <f>IFERROR(IF($AV569="No",0,IF($AV569="yes",Summary!U569,"")),"")</f>
        <v>0</v>
      </c>
      <c r="AL569" s="646">
        <f>IFERROR(IF($AV569="No",0,IF($AV569="yes",Summary!V569,"")),"")</f>
        <v>0</v>
      </c>
      <c r="AM569" s="646">
        <f>IFERROR(IF($AV569="No",0,IF($AV569="yes",Summary!W569,"")),"")</f>
        <v>0</v>
      </c>
      <c r="AN569" s="646">
        <f>IFERROR(IF($AV569="No",0,IF($AV569="yes",Summary!X569,"")),"")</f>
        <v>0</v>
      </c>
      <c r="AO569" s="646">
        <f>IFERROR(IF($AV569="No",0,IF($AV569="yes",Summary!Y569+Z569,"")),"")</f>
        <v>0</v>
      </c>
      <c r="AP569" s="646">
        <f>IFERROR(IF($AV569="No",0,IF($AV569="yes",Summary!AB569,"")),"")</f>
        <v>0</v>
      </c>
      <c r="AQ569" s="649" t="str">
        <f t="shared" si="127"/>
        <v/>
      </c>
      <c r="AR569" s="649" t="str">
        <f t="shared" ref="AR569:AR611" si="131">IFERROR(IF($AG569&lt;0,"",(I569*AM569)/(((IF(AG569=0,AG569,AG569))*AK569)+AH569)),"")</f>
        <v/>
      </c>
      <c r="AS569" s="649" t="str">
        <f t="shared" si="128"/>
        <v/>
      </c>
      <c r="AT569" s="641" t="s">
        <v>1043</v>
      </c>
      <c r="AV569" t="str">
        <f>IF('Proposed Lighting'!AK266&gt;0,"No","Yes")</f>
        <v>Yes</v>
      </c>
    </row>
    <row r="570" spans="1:48" ht="34.5" customHeight="1" outlineLevel="1">
      <c r="A570" s="641" t="s">
        <v>1044</v>
      </c>
      <c r="B570" s="641" t="str">
        <f>IF('Proposed Lighting'!AU267=3,"Commercial-All Com-ExtLight",IF('Proposed Lighting'!AH267&gt;8759,"IPC_8760","Commercial-All Com-IntLight"))</f>
        <v>IPC_8760</v>
      </c>
      <c r="C570" s="641" t="str">
        <f>IF(OR(E570="",E570=0),"No",
IF(AND('Data Entry'!$AF$23="OR",AE570&lt;1),"No",
IF(AND('Data Entry'!$AF$23="ID",E570="Non-standard lighting control system",AD570&lt;1),"No",
IF(AND('Data Entry'!$AF$23="OR",'Proposed Lighting'!F267="Existing LED (Provide Description)",'Proposed Lighting'!AK267=""),"No",
IF('Proposed Lighting'!DD267="Submit Control as Non-Standard","No",
IF(AND('Proposed Lighting'!T267="Non-Standard (Provide Description)",AD570&lt;1),"No",
IF('Proposed Lighting'!AW267&lt;'Proposed Lighting'!AZ267,"No","Yes")))))))</f>
        <v>No</v>
      </c>
      <c r="D570" s="1604">
        <f>'Proposed Lighting'!BQ267-Q570</f>
        <v>0</v>
      </c>
      <c r="E570" s="642" t="str">
        <f>IF('Proposed Lighting'!W267="","",'Proposed Lighting'!W267)</f>
        <v/>
      </c>
      <c r="F570" s="642"/>
      <c r="G570" s="641" t="s">
        <v>786</v>
      </c>
      <c r="H570" s="643">
        <v>10</v>
      </c>
      <c r="I570" s="644">
        <v>1</v>
      </c>
      <c r="J570" s="723">
        <f>IF('Proposed Lighting'!EF267=0,'Proposed Lighting'!AA267,'Proposed Lighting'!EF267)</f>
        <v>0</v>
      </c>
      <c r="K570" s="643" t="str">
        <f>'Proposed Lighting'!CU267</f>
        <v/>
      </c>
      <c r="L570" s="643" t="str">
        <f t="shared" si="129"/>
        <v/>
      </c>
      <c r="M570" s="645">
        <f t="shared" si="119"/>
        <v>0</v>
      </c>
      <c r="N570" s="645"/>
      <c r="O570" s="722">
        <f>IFERROR('Proposed Lighting'!AC267/1000,0)</f>
        <v>0</v>
      </c>
      <c r="P570" s="644">
        <f>'Proposed Lighting'!AV267</f>
        <v>0</v>
      </c>
      <c r="Q570" s="644">
        <f>IF(AND('Proposed Lighting'!T267="Lighting Controls Only",'Data Entry'!$AF$23="OR",'Proposed Lighting'!AU267=2),0,
IF(AND('Proposed Lighting'!T267="Lighting Controls Only",'Data Entry'!$AF$23="OR",'Proposed Lighting'!AU267=3,OR('Proposed Lighting'!W267="ceiling mount",'Proposed Lighting'!W267="wall switch",'Proposed Lighting'!W267="fixture mount (on exisiting equip)",'Proposed Lighting'!W267="daylight harvesting (on existing equip)")),0,
IF('Proposed Lighting'!AF267=1,IF(P570=0,0,J570*O570*(L570*(1-P570))),IF('Proposed Lighting'!AU267=1,0,'Proposed Lighting'!AX267-'Proposed Lighting'!AY267))))</f>
        <v>0</v>
      </c>
      <c r="R570" s="646">
        <f>IF('Proposed Lighting'!T267="Non-standard (provide description",0,
IF(AND(E570="Non-standard control",'Proposed Lighting'!AU267=2),Q570*0.1,
IF(AND(E570="Non-standard control",'Proposed Lighting'!AU267=3),Q570*0.08,
IF('Proposed Lighting'!EF267=0,0,IF('Proposed Lighting'!AU267=1,0,
IF(AND('Data Entry'!$AF$23="ID",'Proposed Lighting'!T267="Lighting controls only"),VLOOKUP(E570,'Proposed Lighting'!$DO$97:$DP$106,2,FALSE),
IF(AND('Data Entry'!$AF$23="OR",'Proposed Lighting'!AU267=3,'Proposed Lighting'!T267="Lighting controls only"),VLOOKUP(E570,'Proposed Lighting'!$DO$127:$DP$134,2,FALSE),0)))))))*J570</f>
        <v>0</v>
      </c>
      <c r="S570" s="646">
        <f>IF(Q570&lt;0.01,0,IF('Proposed Lighting'!AK267&gt;0,'Proposed Lighting'!AK267*'Proposed Lighting'!EF267,0))</f>
        <v>0</v>
      </c>
      <c r="T570" s="647">
        <f t="shared" si="130"/>
        <v>0</v>
      </c>
      <c r="U570" s="648"/>
      <c r="V570" s="646">
        <f t="shared" si="120"/>
        <v>0</v>
      </c>
      <c r="W570" s="646">
        <f t="shared" si="121"/>
        <v>0</v>
      </c>
      <c r="X570" s="646">
        <f t="shared" si="122"/>
        <v>0</v>
      </c>
      <c r="Y570" s="646"/>
      <c r="Z570" s="646"/>
      <c r="AA570" s="646"/>
      <c r="AB570" s="646">
        <f t="shared" si="123"/>
        <v>0</v>
      </c>
      <c r="AC570" s="649" t="str">
        <f t="shared" si="124"/>
        <v/>
      </c>
      <c r="AD570" s="649" t="str">
        <f t="shared" si="125"/>
        <v/>
      </c>
      <c r="AE570" s="649" t="str">
        <f t="shared" si="126"/>
        <v/>
      </c>
      <c r="AF570" s="72"/>
      <c r="AG570" s="644">
        <f>IFERROR(IF($AV570="No",0,IF($AV570="yes",Summary!Q570,"")),"")</f>
        <v>0</v>
      </c>
      <c r="AH570" s="646">
        <f>IFERROR(IF($AV570="No",0,IF($AV570="yes",Summary!R570,"")),"")</f>
        <v>0</v>
      </c>
      <c r="AI570" s="646">
        <f>IFERROR(IF($AV570="No",0,IF($AV570="yes",Summary!S570,"")),"")</f>
        <v>0</v>
      </c>
      <c r="AJ570" s="647">
        <f>IFERROR(IF($AV570="No",0,IF($AV570="yes",Summary!T570,"")),"")</f>
        <v>0</v>
      </c>
      <c r="AK570" s="648">
        <f>IFERROR(IF($AV570="No",0,IF($AV570="yes",Summary!U570,"")),"")</f>
        <v>0</v>
      </c>
      <c r="AL570" s="646">
        <f>IFERROR(IF($AV570="No",0,IF($AV570="yes",Summary!V570,"")),"")</f>
        <v>0</v>
      </c>
      <c r="AM570" s="646">
        <f>IFERROR(IF($AV570="No",0,IF($AV570="yes",Summary!W570,"")),"")</f>
        <v>0</v>
      </c>
      <c r="AN570" s="646">
        <f>IFERROR(IF($AV570="No",0,IF($AV570="yes",Summary!X570,"")),"")</f>
        <v>0</v>
      </c>
      <c r="AO570" s="646">
        <f>IFERROR(IF($AV570="No",0,IF($AV570="yes",Summary!Y570+Z570,"")),"")</f>
        <v>0</v>
      </c>
      <c r="AP570" s="646">
        <f>IFERROR(IF($AV570="No",0,IF($AV570="yes",Summary!AB570,"")),"")</f>
        <v>0</v>
      </c>
      <c r="AQ570" s="649" t="str">
        <f t="shared" si="127"/>
        <v/>
      </c>
      <c r="AR570" s="649" t="str">
        <f t="shared" si="131"/>
        <v/>
      </c>
      <c r="AS570" s="649" t="str">
        <f t="shared" si="128"/>
        <v/>
      </c>
      <c r="AT570" s="641" t="s">
        <v>1044</v>
      </c>
      <c r="AV570" t="str">
        <f>IF('Proposed Lighting'!AK267&gt;0,"No","Yes")</f>
        <v>Yes</v>
      </c>
    </row>
    <row r="571" spans="1:48" ht="34.5" customHeight="1" outlineLevel="1">
      <c r="A571" s="641" t="s">
        <v>1045</v>
      </c>
      <c r="B571" s="641" t="str">
        <f>IF('Proposed Lighting'!AU268=3,"Commercial-All Com-ExtLight",IF('Proposed Lighting'!AH268&gt;8759,"IPC_8760","Commercial-All Com-IntLight"))</f>
        <v>IPC_8760</v>
      </c>
      <c r="C571" s="641" t="str">
        <f>IF(OR(E571="",E571=0),"No",
IF(AND('Data Entry'!$AF$23="OR",AE571&lt;1),"No",
IF(AND('Data Entry'!$AF$23="ID",E571="Non-standard lighting control system",AD571&lt;1),"No",
IF(AND('Data Entry'!$AF$23="OR",'Proposed Lighting'!F268="Existing LED (Provide Description)",'Proposed Lighting'!AK268=""),"No",
IF('Proposed Lighting'!DD268="Submit Control as Non-Standard","No",
IF(AND('Proposed Lighting'!T268="Non-Standard (Provide Description)",AD571&lt;1),"No",
IF('Proposed Lighting'!AW268&lt;'Proposed Lighting'!AZ268,"No","Yes")))))))</f>
        <v>No</v>
      </c>
      <c r="D571" s="1604">
        <f>'Proposed Lighting'!BQ268-Q571</f>
        <v>0</v>
      </c>
      <c r="E571" s="642" t="str">
        <f>IF('Proposed Lighting'!W268="","",'Proposed Lighting'!W268)</f>
        <v/>
      </c>
      <c r="F571" s="642"/>
      <c r="G571" s="641" t="s">
        <v>786</v>
      </c>
      <c r="H571" s="643">
        <v>10</v>
      </c>
      <c r="I571" s="644">
        <v>1</v>
      </c>
      <c r="J571" s="723">
        <f>IF('Proposed Lighting'!EF268=0,'Proposed Lighting'!AA268,'Proposed Lighting'!EF268)</f>
        <v>0</v>
      </c>
      <c r="K571" s="643" t="str">
        <f>'Proposed Lighting'!CU268</f>
        <v/>
      </c>
      <c r="L571" s="643" t="str">
        <f t="shared" si="129"/>
        <v/>
      </c>
      <c r="M571" s="645">
        <f t="shared" si="119"/>
        <v>0</v>
      </c>
      <c r="N571" s="645"/>
      <c r="O571" s="722">
        <f>IFERROR('Proposed Lighting'!AC268/1000,0)</f>
        <v>0</v>
      </c>
      <c r="P571" s="644">
        <f>'Proposed Lighting'!AV268</f>
        <v>0</v>
      </c>
      <c r="Q571" s="644">
        <f>IF(AND('Proposed Lighting'!T268="Lighting Controls Only",'Data Entry'!$AF$23="OR",'Proposed Lighting'!AU268=2),0,
IF(AND('Proposed Lighting'!T268="Lighting Controls Only",'Data Entry'!$AF$23="OR",'Proposed Lighting'!AU268=3,OR('Proposed Lighting'!W268="ceiling mount",'Proposed Lighting'!W268="wall switch",'Proposed Lighting'!W268="fixture mount (on exisiting equip)",'Proposed Lighting'!W268="daylight harvesting (on existing equip)")),0,
IF('Proposed Lighting'!AF268=1,IF(P571=0,0,J571*O571*(L571*(1-P571))),IF('Proposed Lighting'!AU268=1,0,'Proposed Lighting'!AX268-'Proposed Lighting'!AY268))))</f>
        <v>0</v>
      </c>
      <c r="R571" s="646">
        <f>IF('Proposed Lighting'!T268="Non-standard (provide description",0,
IF(AND(E571="Non-standard control",'Proposed Lighting'!AU268=2),Q571*0.1,
IF(AND(E571="Non-standard control",'Proposed Lighting'!AU268=3),Q571*0.08,
IF('Proposed Lighting'!EF268=0,0,IF('Proposed Lighting'!AU268=1,0,
IF(AND('Data Entry'!$AF$23="ID",'Proposed Lighting'!T268="Lighting controls only"),VLOOKUP(E571,'Proposed Lighting'!$DO$97:$DP$106,2,FALSE),
IF(AND('Data Entry'!$AF$23="OR",'Proposed Lighting'!AU268=3,'Proposed Lighting'!T268="Lighting controls only"),VLOOKUP(E571,'Proposed Lighting'!$DO$127:$DP$134,2,FALSE),0)))))))*J571</f>
        <v>0</v>
      </c>
      <c r="S571" s="646">
        <f>IF(Q571&lt;0.01,0,IF('Proposed Lighting'!AK268&gt;0,'Proposed Lighting'!AK268*'Proposed Lighting'!EF268,0))</f>
        <v>0</v>
      </c>
      <c r="T571" s="647">
        <f t="shared" si="130"/>
        <v>0</v>
      </c>
      <c r="U571" s="648"/>
      <c r="V571" s="646">
        <f t="shared" si="120"/>
        <v>0</v>
      </c>
      <c r="W571" s="646">
        <f t="shared" si="121"/>
        <v>0</v>
      </c>
      <c r="X571" s="646">
        <f t="shared" si="122"/>
        <v>0</v>
      </c>
      <c r="Y571" s="646"/>
      <c r="Z571" s="646"/>
      <c r="AA571" s="646"/>
      <c r="AB571" s="646">
        <f t="shared" si="123"/>
        <v>0</v>
      </c>
      <c r="AC571" s="649" t="str">
        <f t="shared" si="124"/>
        <v/>
      </c>
      <c r="AD571" s="649" t="str">
        <f t="shared" si="125"/>
        <v/>
      </c>
      <c r="AE571" s="649" t="str">
        <f t="shared" si="126"/>
        <v/>
      </c>
      <c r="AF571" s="72"/>
      <c r="AG571" s="644">
        <f>IFERROR(IF($AV571="No",0,IF($AV571="yes",Summary!Q571,"")),"")</f>
        <v>0</v>
      </c>
      <c r="AH571" s="646">
        <f>IFERROR(IF($AV571="No",0,IF($AV571="yes",Summary!R571,"")),"")</f>
        <v>0</v>
      </c>
      <c r="AI571" s="646">
        <f>IFERROR(IF($AV571="No",0,IF($AV571="yes",Summary!S571,"")),"")</f>
        <v>0</v>
      </c>
      <c r="AJ571" s="647">
        <f>IFERROR(IF($AV571="No",0,IF($AV571="yes",Summary!T571,"")),"")</f>
        <v>0</v>
      </c>
      <c r="AK571" s="648">
        <f>IFERROR(IF($AV571="No",0,IF($AV571="yes",Summary!U571,"")),"")</f>
        <v>0</v>
      </c>
      <c r="AL571" s="646">
        <f>IFERROR(IF($AV571="No",0,IF($AV571="yes",Summary!V571,"")),"")</f>
        <v>0</v>
      </c>
      <c r="AM571" s="646">
        <f>IFERROR(IF($AV571="No",0,IF($AV571="yes",Summary!W571,"")),"")</f>
        <v>0</v>
      </c>
      <c r="AN571" s="646">
        <f>IFERROR(IF($AV571="No",0,IF($AV571="yes",Summary!X571,"")),"")</f>
        <v>0</v>
      </c>
      <c r="AO571" s="646">
        <f>IFERROR(IF($AV571="No",0,IF($AV571="yes",Summary!Y571+Z571,"")),"")</f>
        <v>0</v>
      </c>
      <c r="AP571" s="646">
        <f>IFERROR(IF($AV571="No",0,IF($AV571="yes",Summary!AB571,"")),"")</f>
        <v>0</v>
      </c>
      <c r="AQ571" s="649" t="str">
        <f t="shared" si="127"/>
        <v/>
      </c>
      <c r="AR571" s="649" t="str">
        <f t="shared" si="131"/>
        <v/>
      </c>
      <c r="AS571" s="649" t="str">
        <f t="shared" si="128"/>
        <v/>
      </c>
      <c r="AT571" s="641" t="s">
        <v>1045</v>
      </c>
      <c r="AV571" t="str">
        <f>IF('Proposed Lighting'!AK268&gt;0,"No","Yes")</f>
        <v>Yes</v>
      </c>
    </row>
    <row r="572" spans="1:48" ht="34.5" customHeight="1" outlineLevel="1">
      <c r="A572" s="641" t="s">
        <v>1046</v>
      </c>
      <c r="B572" s="641" t="str">
        <f>IF('Proposed Lighting'!AU269=3,"Commercial-All Com-ExtLight",IF('Proposed Lighting'!AH269&gt;8759,"IPC_8760","Commercial-All Com-IntLight"))</f>
        <v>IPC_8760</v>
      </c>
      <c r="C572" s="641" t="str">
        <f>IF(OR(E572="",E572=0),"No",
IF(AND('Data Entry'!$AF$23="OR",AE572&lt;1),"No",
IF(AND('Data Entry'!$AF$23="ID",E572="Non-standard lighting control system",AD572&lt;1),"No",
IF(AND('Data Entry'!$AF$23="OR",'Proposed Lighting'!F269="Existing LED (Provide Description)",'Proposed Lighting'!AK269=""),"No",
IF('Proposed Lighting'!DD269="Submit Control as Non-Standard","No",
IF(AND('Proposed Lighting'!T269="Non-Standard (Provide Description)",AD572&lt;1),"No",
IF('Proposed Lighting'!AW269&lt;'Proposed Lighting'!AZ269,"No","Yes")))))))</f>
        <v>No</v>
      </c>
      <c r="D572" s="1604">
        <f>'Proposed Lighting'!BQ269-Q572</f>
        <v>0</v>
      </c>
      <c r="E572" s="642" t="str">
        <f>IF('Proposed Lighting'!W269="","",'Proposed Lighting'!W269)</f>
        <v/>
      </c>
      <c r="F572" s="642"/>
      <c r="G572" s="641" t="s">
        <v>786</v>
      </c>
      <c r="H572" s="643">
        <v>10</v>
      </c>
      <c r="I572" s="644">
        <v>1</v>
      </c>
      <c r="J572" s="723">
        <f>IF('Proposed Lighting'!EF269=0,'Proposed Lighting'!AA269,'Proposed Lighting'!EF269)</f>
        <v>0</v>
      </c>
      <c r="K572" s="643" t="str">
        <f>'Proposed Lighting'!CU269</f>
        <v/>
      </c>
      <c r="L572" s="643" t="str">
        <f t="shared" si="129"/>
        <v/>
      </c>
      <c r="M572" s="645">
        <f t="shared" si="119"/>
        <v>0</v>
      </c>
      <c r="N572" s="645"/>
      <c r="O572" s="722">
        <f>IFERROR('Proposed Lighting'!AC269/1000,0)</f>
        <v>0</v>
      </c>
      <c r="P572" s="644">
        <f>'Proposed Lighting'!AV269</f>
        <v>0</v>
      </c>
      <c r="Q572" s="644">
        <f>IF(AND('Proposed Lighting'!T269="Lighting Controls Only",'Data Entry'!$AF$23="OR",'Proposed Lighting'!AU269=2),0,
IF(AND('Proposed Lighting'!T269="Lighting Controls Only",'Data Entry'!$AF$23="OR",'Proposed Lighting'!AU269=3,OR('Proposed Lighting'!W269="ceiling mount",'Proposed Lighting'!W269="wall switch",'Proposed Lighting'!W269="fixture mount (on exisiting equip)",'Proposed Lighting'!W269="daylight harvesting (on existing equip)")),0,
IF('Proposed Lighting'!AF269=1,IF(P572=0,0,J572*O572*(L572*(1-P572))),IF('Proposed Lighting'!AU269=1,0,'Proposed Lighting'!AX269-'Proposed Lighting'!AY269))))</f>
        <v>0</v>
      </c>
      <c r="R572" s="646">
        <f>IF('Proposed Lighting'!T269="Non-standard (provide description",0,
IF(AND(E572="Non-standard control",'Proposed Lighting'!AU269=2),Q572*0.1,
IF(AND(E572="Non-standard control",'Proposed Lighting'!AU269=3),Q572*0.08,
IF('Proposed Lighting'!EF269=0,0,IF('Proposed Lighting'!AU269=1,0,
IF(AND('Data Entry'!$AF$23="ID",'Proposed Lighting'!T269="Lighting controls only"),VLOOKUP(E572,'Proposed Lighting'!$DO$97:$DP$106,2,FALSE),
IF(AND('Data Entry'!$AF$23="OR",'Proposed Lighting'!AU269=3,'Proposed Lighting'!T269="Lighting controls only"),VLOOKUP(E572,'Proposed Lighting'!$DO$127:$DP$134,2,FALSE),0)))))))*J572</f>
        <v>0</v>
      </c>
      <c r="S572" s="646">
        <f>IF(Q572&lt;0.01,0,IF('Proposed Lighting'!AK269&gt;0,'Proposed Lighting'!AK269*'Proposed Lighting'!EF269,0))</f>
        <v>0</v>
      </c>
      <c r="T572" s="647">
        <f t="shared" si="130"/>
        <v>0</v>
      </c>
      <c r="U572" s="648"/>
      <c r="V572" s="646">
        <f t="shared" si="120"/>
        <v>0</v>
      </c>
      <c r="W572" s="646">
        <f t="shared" si="121"/>
        <v>0</v>
      </c>
      <c r="X572" s="646">
        <f t="shared" si="122"/>
        <v>0</v>
      </c>
      <c r="Y572" s="646"/>
      <c r="Z572" s="646"/>
      <c r="AA572" s="646"/>
      <c r="AB572" s="646">
        <f t="shared" si="123"/>
        <v>0</v>
      </c>
      <c r="AC572" s="649" t="str">
        <f t="shared" si="124"/>
        <v/>
      </c>
      <c r="AD572" s="649" t="str">
        <f t="shared" si="125"/>
        <v/>
      </c>
      <c r="AE572" s="649" t="str">
        <f t="shared" si="126"/>
        <v/>
      </c>
      <c r="AF572" s="72"/>
      <c r="AG572" s="644">
        <f>IFERROR(IF($AV572="No",0,IF($AV572="yes",Summary!Q572,"")),"")</f>
        <v>0</v>
      </c>
      <c r="AH572" s="646">
        <f>IFERROR(IF($AV572="No",0,IF($AV572="yes",Summary!R572,"")),"")</f>
        <v>0</v>
      </c>
      <c r="AI572" s="646">
        <f>IFERROR(IF($AV572="No",0,IF($AV572="yes",Summary!S572,"")),"")</f>
        <v>0</v>
      </c>
      <c r="AJ572" s="647">
        <f>IFERROR(IF($AV572="No",0,IF($AV572="yes",Summary!T572,"")),"")</f>
        <v>0</v>
      </c>
      <c r="AK572" s="648">
        <f>IFERROR(IF($AV572="No",0,IF($AV572="yes",Summary!U572,"")),"")</f>
        <v>0</v>
      </c>
      <c r="AL572" s="646">
        <f>IFERROR(IF($AV572="No",0,IF($AV572="yes",Summary!V572,"")),"")</f>
        <v>0</v>
      </c>
      <c r="AM572" s="646">
        <f>IFERROR(IF($AV572="No",0,IF($AV572="yes",Summary!W572,"")),"")</f>
        <v>0</v>
      </c>
      <c r="AN572" s="646">
        <f>IFERROR(IF($AV572="No",0,IF($AV572="yes",Summary!X572,"")),"")</f>
        <v>0</v>
      </c>
      <c r="AO572" s="646">
        <f>IFERROR(IF($AV572="No",0,IF($AV572="yes",Summary!Y572+Z572,"")),"")</f>
        <v>0</v>
      </c>
      <c r="AP572" s="646">
        <f>IFERROR(IF($AV572="No",0,IF($AV572="yes",Summary!AB572,"")),"")</f>
        <v>0</v>
      </c>
      <c r="AQ572" s="649" t="str">
        <f t="shared" si="127"/>
        <v/>
      </c>
      <c r="AR572" s="649" t="str">
        <f t="shared" si="131"/>
        <v/>
      </c>
      <c r="AS572" s="649" t="str">
        <f t="shared" si="128"/>
        <v/>
      </c>
      <c r="AT572" s="641" t="s">
        <v>1046</v>
      </c>
      <c r="AV572" t="str">
        <f>IF('Proposed Lighting'!AK269&gt;0,"No","Yes")</f>
        <v>Yes</v>
      </c>
    </row>
    <row r="573" spans="1:48" ht="34.5" customHeight="1" outlineLevel="1">
      <c r="A573" s="641" t="s">
        <v>1047</v>
      </c>
      <c r="B573" s="641" t="str">
        <f>IF('Proposed Lighting'!AU270=3,"Commercial-All Com-ExtLight",IF('Proposed Lighting'!AH270&gt;8759,"IPC_8760","Commercial-All Com-IntLight"))</f>
        <v>IPC_8760</v>
      </c>
      <c r="C573" s="641" t="str">
        <f>IF(OR(E573="",E573=0),"No",
IF(AND('Data Entry'!$AF$23="OR",AE573&lt;1),"No",
IF(AND('Data Entry'!$AF$23="ID",E573="Non-standard lighting control system",AD573&lt;1),"No",
IF(AND('Data Entry'!$AF$23="OR",'Proposed Lighting'!F270="Existing LED (Provide Description)",'Proposed Lighting'!AK270=""),"No",
IF('Proposed Lighting'!DD270="Submit Control as Non-Standard","No",
IF(AND('Proposed Lighting'!T270="Non-Standard (Provide Description)",AD573&lt;1),"No",
IF('Proposed Lighting'!AW270&lt;'Proposed Lighting'!AZ270,"No","Yes")))))))</f>
        <v>No</v>
      </c>
      <c r="D573" s="1604">
        <f>'Proposed Lighting'!BQ270-Q573</f>
        <v>0</v>
      </c>
      <c r="E573" s="642" t="str">
        <f>IF('Proposed Lighting'!W270="","",'Proposed Lighting'!W270)</f>
        <v/>
      </c>
      <c r="F573" s="642"/>
      <c r="G573" s="641" t="s">
        <v>786</v>
      </c>
      <c r="H573" s="643">
        <v>10</v>
      </c>
      <c r="I573" s="644">
        <v>1</v>
      </c>
      <c r="J573" s="723">
        <f>IF('Proposed Lighting'!EF270=0,'Proposed Lighting'!AA270,'Proposed Lighting'!EF270)</f>
        <v>0</v>
      </c>
      <c r="K573" s="643" t="str">
        <f>'Proposed Lighting'!CU270</f>
        <v/>
      </c>
      <c r="L573" s="643" t="str">
        <f t="shared" si="129"/>
        <v/>
      </c>
      <c r="M573" s="645">
        <f t="shared" si="119"/>
        <v>0</v>
      </c>
      <c r="N573" s="645"/>
      <c r="O573" s="722">
        <f>IFERROR('Proposed Lighting'!AC270/1000,0)</f>
        <v>0</v>
      </c>
      <c r="P573" s="644">
        <f>'Proposed Lighting'!AV270</f>
        <v>0</v>
      </c>
      <c r="Q573" s="644">
        <f>IF(AND('Proposed Lighting'!T270="Lighting Controls Only",'Data Entry'!$AF$23="OR",'Proposed Lighting'!AU270=2),0,
IF(AND('Proposed Lighting'!T270="Lighting Controls Only",'Data Entry'!$AF$23="OR",'Proposed Lighting'!AU270=3,OR('Proposed Lighting'!W270="ceiling mount",'Proposed Lighting'!W270="wall switch",'Proposed Lighting'!W270="fixture mount (on exisiting equip)",'Proposed Lighting'!W270="daylight harvesting (on existing equip)")),0,
IF('Proposed Lighting'!AF270=1,IF(P573=0,0,J573*O573*(L573*(1-P573))),IF('Proposed Lighting'!AU270=1,0,'Proposed Lighting'!AX270-'Proposed Lighting'!AY270))))</f>
        <v>0</v>
      </c>
      <c r="R573" s="646">
        <f>IF('Proposed Lighting'!T270="Non-standard (provide description",0,
IF(AND(E573="Non-standard control",'Proposed Lighting'!AU270=2),Q573*0.1,
IF(AND(E573="Non-standard control",'Proposed Lighting'!AU270=3),Q573*0.08,
IF('Proposed Lighting'!EF270=0,0,IF('Proposed Lighting'!AU270=1,0,
IF(AND('Data Entry'!$AF$23="ID",'Proposed Lighting'!T270="Lighting controls only"),VLOOKUP(E573,'Proposed Lighting'!$DO$97:$DP$106,2,FALSE),
IF(AND('Data Entry'!$AF$23="OR",'Proposed Lighting'!AU270=3,'Proposed Lighting'!T270="Lighting controls only"),VLOOKUP(E573,'Proposed Lighting'!$DO$127:$DP$134,2,FALSE),0)))))))*J573</f>
        <v>0</v>
      </c>
      <c r="S573" s="646">
        <f>IF(Q573&lt;0.01,0,IF('Proposed Lighting'!AK270&gt;0,'Proposed Lighting'!AK270*'Proposed Lighting'!EF270,0))</f>
        <v>0</v>
      </c>
      <c r="T573" s="647">
        <f t="shared" si="130"/>
        <v>0</v>
      </c>
      <c r="U573" s="648"/>
      <c r="V573" s="646">
        <f t="shared" si="120"/>
        <v>0</v>
      </c>
      <c r="W573" s="646">
        <f t="shared" si="121"/>
        <v>0</v>
      </c>
      <c r="X573" s="646">
        <f t="shared" si="122"/>
        <v>0</v>
      </c>
      <c r="Y573" s="646"/>
      <c r="Z573" s="646"/>
      <c r="AA573" s="646"/>
      <c r="AB573" s="646">
        <f t="shared" si="123"/>
        <v>0</v>
      </c>
      <c r="AC573" s="649" t="str">
        <f t="shared" si="124"/>
        <v/>
      </c>
      <c r="AD573" s="649" t="str">
        <f t="shared" si="125"/>
        <v/>
      </c>
      <c r="AE573" s="649" t="str">
        <f t="shared" si="126"/>
        <v/>
      </c>
      <c r="AF573" s="72"/>
      <c r="AG573" s="644">
        <f>IFERROR(IF($AV573="No",0,IF($AV573="yes",Summary!Q573,"")),"")</f>
        <v>0</v>
      </c>
      <c r="AH573" s="646">
        <f>IFERROR(IF($AV573="No",0,IF($AV573="yes",Summary!R573,"")),"")</f>
        <v>0</v>
      </c>
      <c r="AI573" s="646">
        <f>IFERROR(IF($AV573="No",0,IF($AV573="yes",Summary!S573,"")),"")</f>
        <v>0</v>
      </c>
      <c r="AJ573" s="647">
        <f>IFERROR(IF($AV573="No",0,IF($AV573="yes",Summary!T573,"")),"")</f>
        <v>0</v>
      </c>
      <c r="AK573" s="648">
        <f>IFERROR(IF($AV573="No",0,IF($AV573="yes",Summary!U573,"")),"")</f>
        <v>0</v>
      </c>
      <c r="AL573" s="646">
        <f>IFERROR(IF($AV573="No",0,IF($AV573="yes",Summary!V573,"")),"")</f>
        <v>0</v>
      </c>
      <c r="AM573" s="646">
        <f>IFERROR(IF($AV573="No",0,IF($AV573="yes",Summary!W573,"")),"")</f>
        <v>0</v>
      </c>
      <c r="AN573" s="646">
        <f>IFERROR(IF($AV573="No",0,IF($AV573="yes",Summary!X573,"")),"")</f>
        <v>0</v>
      </c>
      <c r="AO573" s="646">
        <f>IFERROR(IF($AV573="No",0,IF($AV573="yes",Summary!Y573+Z573,"")),"")</f>
        <v>0</v>
      </c>
      <c r="AP573" s="646">
        <f>IFERROR(IF($AV573="No",0,IF($AV573="yes",Summary!AB573,"")),"")</f>
        <v>0</v>
      </c>
      <c r="AQ573" s="649" t="str">
        <f t="shared" si="127"/>
        <v/>
      </c>
      <c r="AR573" s="649" t="str">
        <f t="shared" si="131"/>
        <v/>
      </c>
      <c r="AS573" s="649" t="str">
        <f t="shared" si="128"/>
        <v/>
      </c>
      <c r="AT573" s="641" t="s">
        <v>1047</v>
      </c>
      <c r="AV573" t="str">
        <f>IF('Proposed Lighting'!AK270&gt;0,"No","Yes")</f>
        <v>Yes</v>
      </c>
    </row>
    <row r="574" spans="1:48" ht="34.5" customHeight="1" outlineLevel="1">
      <c r="A574" s="641" t="s">
        <v>1048</v>
      </c>
      <c r="B574" s="641" t="str">
        <f>IF('Proposed Lighting'!AU271=3,"Commercial-All Com-ExtLight",IF('Proposed Lighting'!AH271&gt;8759,"IPC_8760","Commercial-All Com-IntLight"))</f>
        <v>IPC_8760</v>
      </c>
      <c r="C574" s="641" t="str">
        <f>IF(OR(E574="",E574=0),"No",
IF(AND('Data Entry'!$AF$23="OR",AE574&lt;1),"No",
IF(AND('Data Entry'!$AF$23="ID",E574="Non-standard lighting control system",AD574&lt;1),"No",
IF(AND('Data Entry'!$AF$23="OR",'Proposed Lighting'!F271="Existing LED (Provide Description)",'Proposed Lighting'!AK271=""),"No",
IF('Proposed Lighting'!DD271="Submit Control as Non-Standard","No",
IF(AND('Proposed Lighting'!T271="Non-Standard (Provide Description)",AD574&lt;1),"No",
IF('Proposed Lighting'!AW271&lt;'Proposed Lighting'!AZ271,"No","Yes")))))))</f>
        <v>No</v>
      </c>
      <c r="D574" s="1604">
        <f>'Proposed Lighting'!BQ271-Q574</f>
        <v>0</v>
      </c>
      <c r="E574" s="642" t="str">
        <f>IF('Proposed Lighting'!W271="","",'Proposed Lighting'!W271)</f>
        <v/>
      </c>
      <c r="F574" s="642"/>
      <c r="G574" s="641" t="s">
        <v>786</v>
      </c>
      <c r="H574" s="643">
        <v>10</v>
      </c>
      <c r="I574" s="644">
        <v>1</v>
      </c>
      <c r="J574" s="723">
        <f>IF('Proposed Lighting'!EF271=0,'Proposed Lighting'!AA271,'Proposed Lighting'!EF271)</f>
        <v>0</v>
      </c>
      <c r="K574" s="643" t="str">
        <f>'Proposed Lighting'!CU271</f>
        <v/>
      </c>
      <c r="L574" s="643" t="str">
        <f t="shared" si="129"/>
        <v/>
      </c>
      <c r="M574" s="645">
        <f t="shared" si="119"/>
        <v>0</v>
      </c>
      <c r="N574" s="645"/>
      <c r="O574" s="722">
        <f>IFERROR('Proposed Lighting'!AC271/1000,0)</f>
        <v>0</v>
      </c>
      <c r="P574" s="644">
        <f>'Proposed Lighting'!AV271</f>
        <v>0</v>
      </c>
      <c r="Q574" s="644">
        <f>IF(AND('Proposed Lighting'!T271="Lighting Controls Only",'Data Entry'!$AF$23="OR",'Proposed Lighting'!AU271=2),0,
IF(AND('Proposed Lighting'!T271="Lighting Controls Only",'Data Entry'!$AF$23="OR",'Proposed Lighting'!AU271=3,OR('Proposed Lighting'!W271="ceiling mount",'Proposed Lighting'!W271="wall switch",'Proposed Lighting'!W271="fixture mount (on exisiting equip)",'Proposed Lighting'!W271="daylight harvesting (on existing equip)")),0,
IF('Proposed Lighting'!AF271=1,IF(P574=0,0,J574*O574*(L574*(1-P574))),IF('Proposed Lighting'!AU271=1,0,'Proposed Lighting'!AX271-'Proposed Lighting'!AY271))))</f>
        <v>0</v>
      </c>
      <c r="R574" s="646">
        <f>IF('Proposed Lighting'!T271="Non-standard (provide description",0,
IF(AND(E574="Non-standard control",'Proposed Lighting'!AU271=2),Q574*0.1,
IF(AND(E574="Non-standard control",'Proposed Lighting'!AU271=3),Q574*0.08,
IF('Proposed Lighting'!EF271=0,0,IF('Proposed Lighting'!AU271=1,0,
IF(AND('Data Entry'!$AF$23="ID",'Proposed Lighting'!T271="Lighting controls only"),VLOOKUP(E574,'Proposed Lighting'!$DO$97:$DP$106,2,FALSE),
IF(AND('Data Entry'!$AF$23="OR",'Proposed Lighting'!AU271=3,'Proposed Lighting'!T271="Lighting controls only"),VLOOKUP(E574,'Proposed Lighting'!$DO$127:$DP$134,2,FALSE),0)))))))*J574</f>
        <v>0</v>
      </c>
      <c r="S574" s="646">
        <f>IF(Q574&lt;0.01,0,IF('Proposed Lighting'!AK271&gt;0,'Proposed Lighting'!AK271*'Proposed Lighting'!EF271,0))</f>
        <v>0</v>
      </c>
      <c r="T574" s="647">
        <f t="shared" si="130"/>
        <v>0</v>
      </c>
      <c r="U574" s="648"/>
      <c r="V574" s="646">
        <f t="shared" si="120"/>
        <v>0</v>
      </c>
      <c r="W574" s="646">
        <f t="shared" si="121"/>
        <v>0</v>
      </c>
      <c r="X574" s="646">
        <f t="shared" si="122"/>
        <v>0</v>
      </c>
      <c r="Y574" s="646"/>
      <c r="Z574" s="646"/>
      <c r="AA574" s="646"/>
      <c r="AB574" s="646">
        <f t="shared" si="123"/>
        <v>0</v>
      </c>
      <c r="AC574" s="649" t="str">
        <f t="shared" si="124"/>
        <v/>
      </c>
      <c r="AD574" s="649" t="str">
        <f t="shared" si="125"/>
        <v/>
      </c>
      <c r="AE574" s="649" t="str">
        <f t="shared" si="126"/>
        <v/>
      </c>
      <c r="AF574" s="72"/>
      <c r="AG574" s="644">
        <f>IFERROR(IF($AV574="No",0,IF($AV574="yes",Summary!Q574,"")),"")</f>
        <v>0</v>
      </c>
      <c r="AH574" s="646">
        <f>IFERROR(IF($AV574="No",0,IF($AV574="yes",Summary!R574,"")),"")</f>
        <v>0</v>
      </c>
      <c r="AI574" s="646">
        <f>IFERROR(IF($AV574="No",0,IF($AV574="yes",Summary!S574,"")),"")</f>
        <v>0</v>
      </c>
      <c r="AJ574" s="647">
        <f>IFERROR(IF($AV574="No",0,IF($AV574="yes",Summary!T574,"")),"")</f>
        <v>0</v>
      </c>
      <c r="AK574" s="648">
        <f>IFERROR(IF($AV574="No",0,IF($AV574="yes",Summary!U574,"")),"")</f>
        <v>0</v>
      </c>
      <c r="AL574" s="646">
        <f>IFERROR(IF($AV574="No",0,IF($AV574="yes",Summary!V574,"")),"")</f>
        <v>0</v>
      </c>
      <c r="AM574" s="646">
        <f>IFERROR(IF($AV574="No",0,IF($AV574="yes",Summary!W574,"")),"")</f>
        <v>0</v>
      </c>
      <c r="AN574" s="646">
        <f>IFERROR(IF($AV574="No",0,IF($AV574="yes",Summary!X574,"")),"")</f>
        <v>0</v>
      </c>
      <c r="AO574" s="646">
        <f>IFERROR(IF($AV574="No",0,IF($AV574="yes",Summary!Y574+Z574,"")),"")</f>
        <v>0</v>
      </c>
      <c r="AP574" s="646">
        <f>IFERROR(IF($AV574="No",0,IF($AV574="yes",Summary!AB574,"")),"")</f>
        <v>0</v>
      </c>
      <c r="AQ574" s="649" t="str">
        <f t="shared" si="127"/>
        <v/>
      </c>
      <c r="AR574" s="649" t="str">
        <f t="shared" si="131"/>
        <v/>
      </c>
      <c r="AS574" s="649" t="str">
        <f t="shared" si="128"/>
        <v/>
      </c>
      <c r="AT574" s="641" t="s">
        <v>1048</v>
      </c>
      <c r="AV574" t="str">
        <f>IF('Proposed Lighting'!AK271&gt;0,"No","Yes")</f>
        <v>Yes</v>
      </c>
    </row>
    <row r="575" spans="1:48" ht="34.5" customHeight="1" outlineLevel="1">
      <c r="A575" s="641" t="s">
        <v>1049</v>
      </c>
      <c r="B575" s="641" t="str">
        <f>IF('Proposed Lighting'!AU272=3,"Commercial-All Com-ExtLight",IF('Proposed Lighting'!AH272&gt;8759,"IPC_8760","Commercial-All Com-IntLight"))</f>
        <v>IPC_8760</v>
      </c>
      <c r="C575" s="641" t="str">
        <f>IF(OR(E575="",E575=0),"No",
IF(AND('Data Entry'!$AF$23="OR",AE575&lt;1),"No",
IF(AND('Data Entry'!$AF$23="ID",E575="Non-standard lighting control system",AD575&lt;1),"No",
IF(AND('Data Entry'!$AF$23="OR",'Proposed Lighting'!F272="Existing LED (Provide Description)",'Proposed Lighting'!AK272=""),"No",
IF('Proposed Lighting'!DD272="Submit Control as Non-Standard","No",
IF(AND('Proposed Lighting'!T272="Non-Standard (Provide Description)",AD575&lt;1),"No",
IF('Proposed Lighting'!AW272&lt;'Proposed Lighting'!AZ272,"No","Yes")))))))</f>
        <v>No</v>
      </c>
      <c r="D575" s="1604">
        <f>'Proposed Lighting'!BQ272-Q575</f>
        <v>0</v>
      </c>
      <c r="E575" s="642" t="str">
        <f>IF('Proposed Lighting'!W272="","",'Proposed Lighting'!W272)</f>
        <v/>
      </c>
      <c r="F575" s="642"/>
      <c r="G575" s="641" t="s">
        <v>786</v>
      </c>
      <c r="H575" s="643">
        <v>10</v>
      </c>
      <c r="I575" s="644">
        <v>1</v>
      </c>
      <c r="J575" s="723">
        <f>IF('Proposed Lighting'!EF272=0,'Proposed Lighting'!AA272,'Proposed Lighting'!EF272)</f>
        <v>0</v>
      </c>
      <c r="K575" s="643" t="str">
        <f>'Proposed Lighting'!CU272</f>
        <v/>
      </c>
      <c r="L575" s="643" t="str">
        <f t="shared" si="129"/>
        <v/>
      </c>
      <c r="M575" s="645">
        <f t="shared" si="119"/>
        <v>0</v>
      </c>
      <c r="N575" s="645"/>
      <c r="O575" s="722">
        <f>IFERROR('Proposed Lighting'!AC272/1000,0)</f>
        <v>0</v>
      </c>
      <c r="P575" s="644">
        <f>'Proposed Lighting'!AV272</f>
        <v>0</v>
      </c>
      <c r="Q575" s="644">
        <f>IF(AND('Proposed Lighting'!T272="Lighting Controls Only",'Data Entry'!$AF$23="OR",'Proposed Lighting'!AU272=2),0,
IF(AND('Proposed Lighting'!T272="Lighting Controls Only",'Data Entry'!$AF$23="OR",'Proposed Lighting'!AU272=3,OR('Proposed Lighting'!W272="ceiling mount",'Proposed Lighting'!W272="wall switch",'Proposed Lighting'!W272="fixture mount (on exisiting equip)",'Proposed Lighting'!W272="daylight harvesting (on existing equip)")),0,
IF('Proposed Lighting'!AF272=1,IF(P575=0,0,J575*O575*(L575*(1-P575))),IF('Proposed Lighting'!AU272=1,0,'Proposed Lighting'!AX272-'Proposed Lighting'!AY272))))</f>
        <v>0</v>
      </c>
      <c r="R575" s="646">
        <f>IF('Proposed Lighting'!T272="Non-standard (provide description",0,
IF(AND(E575="Non-standard control",'Proposed Lighting'!AU272=2),Q575*0.1,
IF(AND(E575="Non-standard control",'Proposed Lighting'!AU272=3),Q575*0.08,
IF('Proposed Lighting'!EF272=0,0,IF('Proposed Lighting'!AU272=1,0,
IF(AND('Data Entry'!$AF$23="ID",'Proposed Lighting'!T272="Lighting controls only"),VLOOKUP(E575,'Proposed Lighting'!$DO$97:$DP$106,2,FALSE),
IF(AND('Data Entry'!$AF$23="OR",'Proposed Lighting'!AU272=3,'Proposed Lighting'!T272="Lighting controls only"),VLOOKUP(E575,'Proposed Lighting'!$DO$127:$DP$134,2,FALSE),0)))))))*J575</f>
        <v>0</v>
      </c>
      <c r="S575" s="646">
        <f>IF(Q575&lt;0.01,0,IF('Proposed Lighting'!AK272&gt;0,'Proposed Lighting'!AK272*'Proposed Lighting'!EF272,0))</f>
        <v>0</v>
      </c>
      <c r="T575" s="647">
        <f t="shared" si="130"/>
        <v>0</v>
      </c>
      <c r="U575" s="648"/>
      <c r="V575" s="646">
        <f t="shared" si="120"/>
        <v>0</v>
      </c>
      <c r="W575" s="646">
        <f t="shared" si="121"/>
        <v>0</v>
      </c>
      <c r="X575" s="646">
        <f t="shared" si="122"/>
        <v>0</v>
      </c>
      <c r="Y575" s="646"/>
      <c r="Z575" s="646"/>
      <c r="AA575" s="646"/>
      <c r="AB575" s="646">
        <f t="shared" si="123"/>
        <v>0</v>
      </c>
      <c r="AC575" s="649" t="str">
        <f t="shared" si="124"/>
        <v/>
      </c>
      <c r="AD575" s="649" t="str">
        <f t="shared" si="125"/>
        <v/>
      </c>
      <c r="AE575" s="649" t="str">
        <f t="shared" si="126"/>
        <v/>
      </c>
      <c r="AF575" s="72"/>
      <c r="AG575" s="644">
        <f>IFERROR(IF($AV575="No",0,IF($AV575="yes",Summary!Q575,"")),"")</f>
        <v>0</v>
      </c>
      <c r="AH575" s="646">
        <f>IFERROR(IF($AV575="No",0,IF($AV575="yes",Summary!R575,"")),"")</f>
        <v>0</v>
      </c>
      <c r="AI575" s="646">
        <f>IFERROR(IF($AV575="No",0,IF($AV575="yes",Summary!S575,"")),"")</f>
        <v>0</v>
      </c>
      <c r="AJ575" s="647">
        <f>IFERROR(IF($AV575="No",0,IF($AV575="yes",Summary!T575,"")),"")</f>
        <v>0</v>
      </c>
      <c r="AK575" s="648">
        <f>IFERROR(IF($AV575="No",0,IF($AV575="yes",Summary!U575,"")),"")</f>
        <v>0</v>
      </c>
      <c r="AL575" s="646">
        <f>IFERROR(IF($AV575="No",0,IF($AV575="yes",Summary!V575,"")),"")</f>
        <v>0</v>
      </c>
      <c r="AM575" s="646">
        <f>IFERROR(IF($AV575="No",0,IF($AV575="yes",Summary!W575,"")),"")</f>
        <v>0</v>
      </c>
      <c r="AN575" s="646">
        <f>IFERROR(IF($AV575="No",0,IF($AV575="yes",Summary!X575,"")),"")</f>
        <v>0</v>
      </c>
      <c r="AO575" s="646">
        <f>IFERROR(IF($AV575="No",0,IF($AV575="yes",Summary!Y575+Z575,"")),"")</f>
        <v>0</v>
      </c>
      <c r="AP575" s="646">
        <f>IFERROR(IF($AV575="No",0,IF($AV575="yes",Summary!AB575,"")),"")</f>
        <v>0</v>
      </c>
      <c r="AQ575" s="649" t="str">
        <f t="shared" si="127"/>
        <v/>
      </c>
      <c r="AR575" s="649" t="str">
        <f t="shared" si="131"/>
        <v/>
      </c>
      <c r="AS575" s="649" t="str">
        <f t="shared" si="128"/>
        <v/>
      </c>
      <c r="AT575" s="641" t="s">
        <v>1049</v>
      </c>
      <c r="AV575" t="str">
        <f>IF('Proposed Lighting'!AK272&gt;0,"No","Yes")</f>
        <v>Yes</v>
      </c>
    </row>
    <row r="576" spans="1:48" ht="34.5" customHeight="1" outlineLevel="1">
      <c r="A576" s="641" t="s">
        <v>1050</v>
      </c>
      <c r="B576" s="641" t="str">
        <f>IF('Proposed Lighting'!AU273=3,"Commercial-All Com-ExtLight",IF('Proposed Lighting'!AH273&gt;8759,"IPC_8760","Commercial-All Com-IntLight"))</f>
        <v>IPC_8760</v>
      </c>
      <c r="C576" s="641" t="str">
        <f>IF(OR(E576="",E576=0),"No",
IF(AND('Data Entry'!$AF$23="OR",AE576&lt;1),"No",
IF(AND('Data Entry'!$AF$23="ID",E576="Non-standard lighting control system",AD576&lt;1),"No",
IF(AND('Data Entry'!$AF$23="OR",'Proposed Lighting'!F273="Existing LED (Provide Description)",'Proposed Lighting'!AK273=""),"No",
IF('Proposed Lighting'!DD273="Submit Control as Non-Standard","No",
IF(AND('Proposed Lighting'!T273="Non-Standard (Provide Description)",AD576&lt;1),"No",
IF('Proposed Lighting'!AW273&lt;'Proposed Lighting'!AZ273,"No","Yes")))))))</f>
        <v>No</v>
      </c>
      <c r="D576" s="1604">
        <f>'Proposed Lighting'!BQ273-Q576</f>
        <v>0</v>
      </c>
      <c r="E576" s="642" t="str">
        <f>IF('Proposed Lighting'!W273="","",'Proposed Lighting'!W273)</f>
        <v/>
      </c>
      <c r="F576" s="642"/>
      <c r="G576" s="641" t="s">
        <v>786</v>
      </c>
      <c r="H576" s="643">
        <v>10</v>
      </c>
      <c r="I576" s="644">
        <v>1</v>
      </c>
      <c r="J576" s="723">
        <f>IF('Proposed Lighting'!EF273=0,'Proposed Lighting'!AA273,'Proposed Lighting'!EF273)</f>
        <v>0</v>
      </c>
      <c r="K576" s="643" t="str">
        <f>'Proposed Lighting'!CU273</f>
        <v/>
      </c>
      <c r="L576" s="643" t="str">
        <f t="shared" si="129"/>
        <v/>
      </c>
      <c r="M576" s="645">
        <f t="shared" si="119"/>
        <v>0</v>
      </c>
      <c r="N576" s="645"/>
      <c r="O576" s="722">
        <f>IFERROR('Proposed Lighting'!AC273/1000,0)</f>
        <v>0</v>
      </c>
      <c r="P576" s="644">
        <f>'Proposed Lighting'!AV273</f>
        <v>0</v>
      </c>
      <c r="Q576" s="644">
        <f>IF(AND('Proposed Lighting'!T273="Lighting Controls Only",'Data Entry'!$AF$23="OR",'Proposed Lighting'!AU273=2),0,
IF(AND('Proposed Lighting'!T273="Lighting Controls Only",'Data Entry'!$AF$23="OR",'Proposed Lighting'!AU273=3,OR('Proposed Lighting'!W273="ceiling mount",'Proposed Lighting'!W273="wall switch",'Proposed Lighting'!W273="fixture mount (on exisiting equip)",'Proposed Lighting'!W273="daylight harvesting (on existing equip)")),0,
IF('Proposed Lighting'!AF273=1,IF(P576=0,0,J576*O576*(L576*(1-P576))),IF('Proposed Lighting'!AU273=1,0,'Proposed Lighting'!AX273-'Proposed Lighting'!AY273))))</f>
        <v>0</v>
      </c>
      <c r="R576" s="646">
        <f>IF('Proposed Lighting'!T273="Non-standard (provide description",0,
IF(AND(E576="Non-standard control",'Proposed Lighting'!AU273=2),Q576*0.1,
IF(AND(E576="Non-standard control",'Proposed Lighting'!AU273=3),Q576*0.08,
IF('Proposed Lighting'!EF273=0,0,IF('Proposed Lighting'!AU273=1,0,
IF(AND('Data Entry'!$AF$23="ID",'Proposed Lighting'!T273="Lighting controls only"),VLOOKUP(E576,'Proposed Lighting'!$DO$97:$DP$106,2,FALSE),
IF(AND('Data Entry'!$AF$23="OR",'Proposed Lighting'!AU273=3,'Proposed Lighting'!T273="Lighting controls only"),VLOOKUP(E576,'Proposed Lighting'!$DO$127:$DP$134,2,FALSE),0)))))))*J576</f>
        <v>0</v>
      </c>
      <c r="S576" s="646">
        <f>IF(Q576&lt;0.01,0,IF('Proposed Lighting'!AK273&gt;0,'Proposed Lighting'!AK273*'Proposed Lighting'!EF273,0))</f>
        <v>0</v>
      </c>
      <c r="T576" s="647">
        <f t="shared" si="130"/>
        <v>0</v>
      </c>
      <c r="U576" s="648"/>
      <c r="V576" s="646">
        <f t="shared" si="120"/>
        <v>0</v>
      </c>
      <c r="W576" s="646">
        <f t="shared" si="121"/>
        <v>0</v>
      </c>
      <c r="X576" s="646">
        <f t="shared" si="122"/>
        <v>0</v>
      </c>
      <c r="Y576" s="646"/>
      <c r="Z576" s="646"/>
      <c r="AA576" s="646"/>
      <c r="AB576" s="646">
        <f t="shared" si="123"/>
        <v>0</v>
      </c>
      <c r="AC576" s="649" t="str">
        <f t="shared" si="124"/>
        <v/>
      </c>
      <c r="AD576" s="649" t="str">
        <f t="shared" si="125"/>
        <v/>
      </c>
      <c r="AE576" s="649" t="str">
        <f t="shared" si="126"/>
        <v/>
      </c>
      <c r="AF576" s="72"/>
      <c r="AG576" s="644">
        <f>IFERROR(IF($AV576="No",0,IF($AV576="yes",Summary!Q576,"")),"")</f>
        <v>0</v>
      </c>
      <c r="AH576" s="646">
        <f>IFERROR(IF($AV576="No",0,IF($AV576="yes",Summary!R576,"")),"")</f>
        <v>0</v>
      </c>
      <c r="AI576" s="646">
        <f>IFERROR(IF($AV576="No",0,IF($AV576="yes",Summary!S576,"")),"")</f>
        <v>0</v>
      </c>
      <c r="AJ576" s="647">
        <f>IFERROR(IF($AV576="No",0,IF($AV576="yes",Summary!T576,"")),"")</f>
        <v>0</v>
      </c>
      <c r="AK576" s="648">
        <f>IFERROR(IF($AV576="No",0,IF($AV576="yes",Summary!U576,"")),"")</f>
        <v>0</v>
      </c>
      <c r="AL576" s="646">
        <f>IFERROR(IF($AV576="No",0,IF($AV576="yes",Summary!V576,"")),"")</f>
        <v>0</v>
      </c>
      <c r="AM576" s="646">
        <f>IFERROR(IF($AV576="No",0,IF($AV576="yes",Summary!W576,"")),"")</f>
        <v>0</v>
      </c>
      <c r="AN576" s="646">
        <f>IFERROR(IF($AV576="No",0,IF($AV576="yes",Summary!X576,"")),"")</f>
        <v>0</v>
      </c>
      <c r="AO576" s="646">
        <f>IFERROR(IF($AV576="No",0,IF($AV576="yes",Summary!Y576+Z576,"")),"")</f>
        <v>0</v>
      </c>
      <c r="AP576" s="646">
        <f>IFERROR(IF($AV576="No",0,IF($AV576="yes",Summary!AB576,"")),"")</f>
        <v>0</v>
      </c>
      <c r="AQ576" s="649" t="str">
        <f t="shared" si="127"/>
        <v/>
      </c>
      <c r="AR576" s="649" t="str">
        <f t="shared" si="131"/>
        <v/>
      </c>
      <c r="AS576" s="649" t="str">
        <f t="shared" si="128"/>
        <v/>
      </c>
      <c r="AT576" s="641" t="s">
        <v>1050</v>
      </c>
      <c r="AV576" t="str">
        <f>IF('Proposed Lighting'!AK273&gt;0,"No","Yes")</f>
        <v>Yes</v>
      </c>
    </row>
    <row r="577" spans="1:48" ht="34.5" customHeight="1" outlineLevel="1">
      <c r="A577" s="641" t="s">
        <v>1051</v>
      </c>
      <c r="B577" s="641" t="str">
        <f>IF('Proposed Lighting'!AU274=3,"Commercial-All Com-ExtLight",IF('Proposed Lighting'!AH274&gt;8759,"IPC_8760","Commercial-All Com-IntLight"))</f>
        <v>IPC_8760</v>
      </c>
      <c r="C577" s="641" t="str">
        <f>IF(OR(E577="",E577=0),"No",
IF(AND('Data Entry'!$AF$23="OR",AE577&lt;1),"No",
IF(AND('Data Entry'!$AF$23="ID",E577="Non-standard lighting control system",AD577&lt;1),"No",
IF(AND('Data Entry'!$AF$23="OR",'Proposed Lighting'!F274="Existing LED (Provide Description)",'Proposed Lighting'!AK274=""),"No",
IF('Proposed Lighting'!DD274="Submit Control as Non-Standard","No",
IF(AND('Proposed Lighting'!T274="Non-Standard (Provide Description)",AD577&lt;1),"No",
IF('Proposed Lighting'!AW274&lt;'Proposed Lighting'!AZ274,"No","Yes")))))))</f>
        <v>No</v>
      </c>
      <c r="D577" s="1604">
        <f>'Proposed Lighting'!BQ274-Q577</f>
        <v>0</v>
      </c>
      <c r="E577" s="642" t="str">
        <f>IF('Proposed Lighting'!W274="","",'Proposed Lighting'!W274)</f>
        <v/>
      </c>
      <c r="F577" s="642"/>
      <c r="G577" s="641" t="s">
        <v>786</v>
      </c>
      <c r="H577" s="643">
        <v>10</v>
      </c>
      <c r="I577" s="644">
        <v>1</v>
      </c>
      <c r="J577" s="723">
        <f>IF('Proposed Lighting'!EF274=0,'Proposed Lighting'!AA274,'Proposed Lighting'!EF274)</f>
        <v>0</v>
      </c>
      <c r="K577" s="643" t="str">
        <f>'Proposed Lighting'!CU274</f>
        <v/>
      </c>
      <c r="L577" s="643" t="str">
        <f t="shared" si="129"/>
        <v/>
      </c>
      <c r="M577" s="645">
        <f t="shared" si="119"/>
        <v>0</v>
      </c>
      <c r="N577" s="645"/>
      <c r="O577" s="722">
        <f>IFERROR('Proposed Lighting'!AC274/1000,0)</f>
        <v>0</v>
      </c>
      <c r="P577" s="644">
        <f>'Proposed Lighting'!AV274</f>
        <v>0</v>
      </c>
      <c r="Q577" s="644">
        <f>IF(AND('Proposed Lighting'!T274="Lighting Controls Only",'Data Entry'!$AF$23="OR",'Proposed Lighting'!AU274=2),0,
IF(AND('Proposed Lighting'!T274="Lighting Controls Only",'Data Entry'!$AF$23="OR",'Proposed Lighting'!AU274=3,OR('Proposed Lighting'!W274="ceiling mount",'Proposed Lighting'!W274="wall switch",'Proposed Lighting'!W274="fixture mount (on exisiting equip)",'Proposed Lighting'!W274="daylight harvesting (on existing equip)")),0,
IF('Proposed Lighting'!AF274=1,IF(P577=0,0,J577*O577*(L577*(1-P577))),IF('Proposed Lighting'!AU274=1,0,'Proposed Lighting'!AX274-'Proposed Lighting'!AY274))))</f>
        <v>0</v>
      </c>
      <c r="R577" s="646">
        <f>IF('Proposed Lighting'!T274="Non-standard (provide description",0,
IF(AND(E577="Non-standard control",'Proposed Lighting'!AU274=2),Q577*0.1,
IF(AND(E577="Non-standard control",'Proposed Lighting'!AU274=3),Q577*0.08,
IF('Proposed Lighting'!EF274=0,0,IF('Proposed Lighting'!AU274=1,0,
IF(AND('Data Entry'!$AF$23="ID",'Proposed Lighting'!T274="Lighting controls only"),VLOOKUP(E577,'Proposed Lighting'!$DO$97:$DP$106,2,FALSE),
IF(AND('Data Entry'!$AF$23="OR",'Proposed Lighting'!AU274=3,'Proposed Lighting'!T274="Lighting controls only"),VLOOKUP(E577,'Proposed Lighting'!$DO$127:$DP$134,2,FALSE),0)))))))*J577</f>
        <v>0</v>
      </c>
      <c r="S577" s="646">
        <f>IF(Q577&lt;0.01,0,IF('Proposed Lighting'!AK274&gt;0,'Proposed Lighting'!AK274*'Proposed Lighting'!EF274,0))</f>
        <v>0</v>
      </c>
      <c r="T577" s="647">
        <f t="shared" si="130"/>
        <v>0</v>
      </c>
      <c r="U577" s="648"/>
      <c r="V577" s="646">
        <f t="shared" si="120"/>
        <v>0</v>
      </c>
      <c r="W577" s="646">
        <f t="shared" si="121"/>
        <v>0</v>
      </c>
      <c r="X577" s="646">
        <f t="shared" si="122"/>
        <v>0</v>
      </c>
      <c r="Y577" s="646"/>
      <c r="Z577" s="646"/>
      <c r="AA577" s="646"/>
      <c r="AB577" s="646">
        <f t="shared" si="123"/>
        <v>0</v>
      </c>
      <c r="AC577" s="649" t="str">
        <f t="shared" si="124"/>
        <v/>
      </c>
      <c r="AD577" s="649" t="str">
        <f t="shared" si="125"/>
        <v/>
      </c>
      <c r="AE577" s="649" t="str">
        <f t="shared" si="126"/>
        <v/>
      </c>
      <c r="AF577" s="72"/>
      <c r="AG577" s="644">
        <f>IFERROR(IF($AV577="No",0,IF($AV577="yes",Summary!Q577,"")),"")</f>
        <v>0</v>
      </c>
      <c r="AH577" s="646">
        <f>IFERROR(IF($AV577="No",0,IF($AV577="yes",Summary!R577,"")),"")</f>
        <v>0</v>
      </c>
      <c r="AI577" s="646">
        <f>IFERROR(IF($AV577="No",0,IF($AV577="yes",Summary!S577,"")),"")</f>
        <v>0</v>
      </c>
      <c r="AJ577" s="647">
        <f>IFERROR(IF($AV577="No",0,IF($AV577="yes",Summary!T577,"")),"")</f>
        <v>0</v>
      </c>
      <c r="AK577" s="648">
        <f>IFERROR(IF($AV577="No",0,IF($AV577="yes",Summary!U577,"")),"")</f>
        <v>0</v>
      </c>
      <c r="AL577" s="646">
        <f>IFERROR(IF($AV577="No",0,IF($AV577="yes",Summary!V577,"")),"")</f>
        <v>0</v>
      </c>
      <c r="AM577" s="646">
        <f>IFERROR(IF($AV577="No",0,IF($AV577="yes",Summary!W577,"")),"")</f>
        <v>0</v>
      </c>
      <c r="AN577" s="646">
        <f>IFERROR(IF($AV577="No",0,IF($AV577="yes",Summary!X577,"")),"")</f>
        <v>0</v>
      </c>
      <c r="AO577" s="646">
        <f>IFERROR(IF($AV577="No",0,IF($AV577="yes",Summary!Y577+Z577,"")),"")</f>
        <v>0</v>
      </c>
      <c r="AP577" s="646">
        <f>IFERROR(IF($AV577="No",0,IF($AV577="yes",Summary!AB577,"")),"")</f>
        <v>0</v>
      </c>
      <c r="AQ577" s="649" t="str">
        <f t="shared" si="127"/>
        <v/>
      </c>
      <c r="AR577" s="649" t="str">
        <f t="shared" si="131"/>
        <v/>
      </c>
      <c r="AS577" s="649" t="str">
        <f t="shared" si="128"/>
        <v/>
      </c>
      <c r="AT577" s="641" t="s">
        <v>1051</v>
      </c>
      <c r="AV577" t="str">
        <f>IF('Proposed Lighting'!AK274&gt;0,"No","Yes")</f>
        <v>Yes</v>
      </c>
    </row>
    <row r="578" spans="1:48" ht="34.5" customHeight="1" outlineLevel="1">
      <c r="A578" s="641" t="s">
        <v>1052</v>
      </c>
      <c r="B578" s="641" t="str">
        <f>IF('Proposed Lighting'!AU275=3,"Commercial-All Com-ExtLight",IF('Proposed Lighting'!AH275&gt;8759,"IPC_8760","Commercial-All Com-IntLight"))</f>
        <v>IPC_8760</v>
      </c>
      <c r="C578" s="641" t="str">
        <f>IF(OR(E578="",E578=0),"No",
IF(AND('Data Entry'!$AF$23="OR",AE578&lt;1),"No",
IF(AND('Data Entry'!$AF$23="ID",E578="Non-standard lighting control system",AD578&lt;1),"No",
IF(AND('Data Entry'!$AF$23="OR",'Proposed Lighting'!F275="Existing LED (Provide Description)",'Proposed Lighting'!AK275=""),"No",
IF('Proposed Lighting'!DD275="Submit Control as Non-Standard","No",
IF(AND('Proposed Lighting'!T275="Non-Standard (Provide Description)",AD578&lt;1),"No",
IF('Proposed Lighting'!AW275&lt;'Proposed Lighting'!AZ275,"No","Yes")))))))</f>
        <v>No</v>
      </c>
      <c r="D578" s="1604">
        <f>'Proposed Lighting'!BQ275-Q578</f>
        <v>0</v>
      </c>
      <c r="E578" s="642" t="str">
        <f>IF('Proposed Lighting'!W275="","",'Proposed Lighting'!W275)</f>
        <v/>
      </c>
      <c r="F578" s="642"/>
      <c r="G578" s="641" t="s">
        <v>786</v>
      </c>
      <c r="H578" s="643">
        <v>10</v>
      </c>
      <c r="I578" s="644">
        <v>1</v>
      </c>
      <c r="J578" s="723">
        <f>IF('Proposed Lighting'!EF275=0,'Proposed Lighting'!AA275,'Proposed Lighting'!EF275)</f>
        <v>0</v>
      </c>
      <c r="K578" s="643" t="str">
        <f>'Proposed Lighting'!CU275</f>
        <v/>
      </c>
      <c r="L578" s="643" t="str">
        <f t="shared" si="129"/>
        <v/>
      </c>
      <c r="M578" s="645">
        <f t="shared" si="119"/>
        <v>0</v>
      </c>
      <c r="N578" s="645"/>
      <c r="O578" s="722">
        <f>IFERROR('Proposed Lighting'!AC275/1000,0)</f>
        <v>0</v>
      </c>
      <c r="P578" s="644">
        <f>'Proposed Lighting'!AV275</f>
        <v>0</v>
      </c>
      <c r="Q578" s="644">
        <f>IF(AND('Proposed Lighting'!T275="Lighting Controls Only",'Data Entry'!$AF$23="OR",'Proposed Lighting'!AU275=2),0,
IF(AND('Proposed Lighting'!T275="Lighting Controls Only",'Data Entry'!$AF$23="OR",'Proposed Lighting'!AU275=3,OR('Proposed Lighting'!W275="ceiling mount",'Proposed Lighting'!W275="wall switch",'Proposed Lighting'!W275="fixture mount (on exisiting equip)",'Proposed Lighting'!W275="daylight harvesting (on existing equip)")),0,
IF('Proposed Lighting'!AF275=1,IF(P578=0,0,J578*O578*(L578*(1-P578))),IF('Proposed Lighting'!AU275=1,0,'Proposed Lighting'!AX275-'Proposed Lighting'!AY275))))</f>
        <v>0</v>
      </c>
      <c r="R578" s="646">
        <f>IF('Proposed Lighting'!T275="Non-standard (provide description",0,
IF(AND(E578="Non-standard control",'Proposed Lighting'!AU275=2),Q578*0.1,
IF(AND(E578="Non-standard control",'Proposed Lighting'!AU275=3),Q578*0.08,
IF('Proposed Lighting'!EF275=0,0,IF('Proposed Lighting'!AU275=1,0,
IF(AND('Data Entry'!$AF$23="ID",'Proposed Lighting'!T275="Lighting controls only"),VLOOKUP(E578,'Proposed Lighting'!$DO$97:$DP$106,2,FALSE),
IF(AND('Data Entry'!$AF$23="OR",'Proposed Lighting'!AU275=3,'Proposed Lighting'!T275="Lighting controls only"),VLOOKUP(E578,'Proposed Lighting'!$DO$127:$DP$134,2,FALSE),0)))))))*J578</f>
        <v>0</v>
      </c>
      <c r="S578" s="646">
        <f>IF(Q578&lt;0.01,0,IF('Proposed Lighting'!AK275&gt;0,'Proposed Lighting'!AK275*'Proposed Lighting'!EF275,0))</f>
        <v>0</v>
      </c>
      <c r="T578" s="647">
        <f t="shared" si="130"/>
        <v>0</v>
      </c>
      <c r="U578" s="648"/>
      <c r="V578" s="646">
        <f t="shared" si="120"/>
        <v>0</v>
      </c>
      <c r="W578" s="646">
        <f t="shared" si="121"/>
        <v>0</v>
      </c>
      <c r="X578" s="646">
        <f t="shared" si="122"/>
        <v>0</v>
      </c>
      <c r="Y578" s="646"/>
      <c r="Z578" s="646"/>
      <c r="AA578" s="646"/>
      <c r="AB578" s="646">
        <f t="shared" si="123"/>
        <v>0</v>
      </c>
      <c r="AC578" s="649" t="str">
        <f t="shared" si="124"/>
        <v/>
      </c>
      <c r="AD578" s="649" t="str">
        <f t="shared" si="125"/>
        <v/>
      </c>
      <c r="AE578" s="649" t="str">
        <f t="shared" si="126"/>
        <v/>
      </c>
      <c r="AF578" s="72"/>
      <c r="AG578" s="644">
        <f>IFERROR(IF($AV578="No",0,IF($AV578="yes",Summary!Q578,"")),"")</f>
        <v>0</v>
      </c>
      <c r="AH578" s="646">
        <f>IFERROR(IF($AV578="No",0,IF($AV578="yes",Summary!R578,"")),"")</f>
        <v>0</v>
      </c>
      <c r="AI578" s="646">
        <f>IFERROR(IF($AV578="No",0,IF($AV578="yes",Summary!S578,"")),"")</f>
        <v>0</v>
      </c>
      <c r="AJ578" s="647">
        <f>IFERROR(IF($AV578="No",0,IF($AV578="yes",Summary!T578,"")),"")</f>
        <v>0</v>
      </c>
      <c r="AK578" s="648">
        <f>IFERROR(IF($AV578="No",0,IF($AV578="yes",Summary!U578,"")),"")</f>
        <v>0</v>
      </c>
      <c r="AL578" s="646">
        <f>IFERROR(IF($AV578="No",0,IF($AV578="yes",Summary!V578,"")),"")</f>
        <v>0</v>
      </c>
      <c r="AM578" s="646">
        <f>IFERROR(IF($AV578="No",0,IF($AV578="yes",Summary!W578,"")),"")</f>
        <v>0</v>
      </c>
      <c r="AN578" s="646">
        <f>IFERROR(IF($AV578="No",0,IF($AV578="yes",Summary!X578,"")),"")</f>
        <v>0</v>
      </c>
      <c r="AO578" s="646">
        <f>IFERROR(IF($AV578="No",0,IF($AV578="yes",Summary!Y578+Z578,"")),"")</f>
        <v>0</v>
      </c>
      <c r="AP578" s="646">
        <f>IFERROR(IF($AV578="No",0,IF($AV578="yes",Summary!AB578,"")),"")</f>
        <v>0</v>
      </c>
      <c r="AQ578" s="649" t="str">
        <f t="shared" si="127"/>
        <v/>
      </c>
      <c r="AR578" s="649" t="str">
        <f t="shared" si="131"/>
        <v/>
      </c>
      <c r="AS578" s="649" t="str">
        <f t="shared" si="128"/>
        <v/>
      </c>
      <c r="AT578" s="641" t="s">
        <v>1052</v>
      </c>
      <c r="AV578" t="str">
        <f>IF('Proposed Lighting'!AK275&gt;0,"No","Yes")</f>
        <v>Yes</v>
      </c>
    </row>
    <row r="579" spans="1:48" ht="34.5" customHeight="1" outlineLevel="1">
      <c r="A579" s="641" t="s">
        <v>1053</v>
      </c>
      <c r="B579" s="641" t="str">
        <f>IF('Proposed Lighting'!AU276=3,"Commercial-All Com-ExtLight",IF('Proposed Lighting'!AH276&gt;8759,"IPC_8760","Commercial-All Com-IntLight"))</f>
        <v>IPC_8760</v>
      </c>
      <c r="C579" s="641" t="str">
        <f>IF(OR(E579="",E579=0),"No",
IF(AND('Data Entry'!$AF$23="OR",AE579&lt;1),"No",
IF(AND('Data Entry'!$AF$23="ID",E579="Non-standard lighting control system",AD579&lt;1),"No",
IF(AND('Data Entry'!$AF$23="OR",'Proposed Lighting'!F276="Existing LED (Provide Description)",'Proposed Lighting'!AK276=""),"No",
IF('Proposed Lighting'!DD276="Submit Control as Non-Standard","No",
IF(AND('Proposed Lighting'!T276="Non-Standard (Provide Description)",AD579&lt;1),"No",
IF('Proposed Lighting'!AW276&lt;'Proposed Lighting'!AZ276,"No","Yes")))))))</f>
        <v>No</v>
      </c>
      <c r="D579" s="1604">
        <f>'Proposed Lighting'!BQ276-Q579</f>
        <v>0</v>
      </c>
      <c r="E579" s="642" t="str">
        <f>IF('Proposed Lighting'!W276="","",'Proposed Lighting'!W276)</f>
        <v/>
      </c>
      <c r="F579" s="642"/>
      <c r="G579" s="641" t="s">
        <v>786</v>
      </c>
      <c r="H579" s="643">
        <v>10</v>
      </c>
      <c r="I579" s="644">
        <v>1</v>
      </c>
      <c r="J579" s="723">
        <f>IF('Proposed Lighting'!EF276=0,'Proposed Lighting'!AA276,'Proposed Lighting'!EF276)</f>
        <v>0</v>
      </c>
      <c r="K579" s="643" t="str">
        <f>'Proposed Lighting'!CU276</f>
        <v/>
      </c>
      <c r="L579" s="643" t="str">
        <f t="shared" si="129"/>
        <v/>
      </c>
      <c r="M579" s="645">
        <f t="shared" si="119"/>
        <v>0</v>
      </c>
      <c r="N579" s="645"/>
      <c r="O579" s="722">
        <f>IFERROR('Proposed Lighting'!AC276/1000,0)</f>
        <v>0</v>
      </c>
      <c r="P579" s="644">
        <f>'Proposed Lighting'!AV276</f>
        <v>0</v>
      </c>
      <c r="Q579" s="644">
        <f>IF(AND('Proposed Lighting'!T276="Lighting Controls Only",'Data Entry'!$AF$23="OR",'Proposed Lighting'!AU276=2),0,
IF(AND('Proposed Lighting'!T276="Lighting Controls Only",'Data Entry'!$AF$23="OR",'Proposed Lighting'!AU276=3,OR('Proposed Lighting'!W276="ceiling mount",'Proposed Lighting'!W276="wall switch",'Proposed Lighting'!W276="fixture mount (on exisiting equip)",'Proposed Lighting'!W276="daylight harvesting (on existing equip)")),0,
IF('Proposed Lighting'!AF276=1,IF(P579=0,0,J579*O579*(L579*(1-P579))),IF('Proposed Lighting'!AU276=1,0,'Proposed Lighting'!AX276-'Proposed Lighting'!AY276))))</f>
        <v>0</v>
      </c>
      <c r="R579" s="646">
        <f>IF('Proposed Lighting'!T276="Non-standard (provide description",0,
IF(AND(E579="Non-standard control",'Proposed Lighting'!AU276=2),Q579*0.1,
IF(AND(E579="Non-standard control",'Proposed Lighting'!AU276=3),Q579*0.08,
IF('Proposed Lighting'!EF276=0,0,IF('Proposed Lighting'!AU276=1,0,
IF(AND('Data Entry'!$AF$23="ID",'Proposed Lighting'!T276="Lighting controls only"),VLOOKUP(E579,'Proposed Lighting'!$DO$97:$DP$106,2,FALSE),
IF(AND('Data Entry'!$AF$23="OR",'Proposed Lighting'!AU276=3,'Proposed Lighting'!T276="Lighting controls only"),VLOOKUP(E579,'Proposed Lighting'!$DO$127:$DP$134,2,FALSE),0)))))))*J579</f>
        <v>0</v>
      </c>
      <c r="S579" s="646">
        <f>IF(Q579&lt;0.01,0,IF('Proposed Lighting'!AK276&gt;0,'Proposed Lighting'!AK276*'Proposed Lighting'!EF276,0))</f>
        <v>0</v>
      </c>
      <c r="T579" s="647">
        <f t="shared" si="130"/>
        <v>0</v>
      </c>
      <c r="U579" s="648"/>
      <c r="V579" s="646">
        <f t="shared" si="120"/>
        <v>0</v>
      </c>
      <c r="W579" s="646">
        <f t="shared" si="121"/>
        <v>0</v>
      </c>
      <c r="X579" s="646">
        <f t="shared" si="122"/>
        <v>0</v>
      </c>
      <c r="Y579" s="646"/>
      <c r="Z579" s="646"/>
      <c r="AA579" s="646"/>
      <c r="AB579" s="646">
        <f t="shared" si="123"/>
        <v>0</v>
      </c>
      <c r="AC579" s="649" t="str">
        <f t="shared" si="124"/>
        <v/>
      </c>
      <c r="AD579" s="649" t="str">
        <f t="shared" si="125"/>
        <v/>
      </c>
      <c r="AE579" s="649" t="str">
        <f t="shared" si="126"/>
        <v/>
      </c>
      <c r="AF579" s="72"/>
      <c r="AG579" s="644">
        <f>IFERROR(IF($AV579="No",0,IF($AV579="yes",Summary!Q579,"")),"")</f>
        <v>0</v>
      </c>
      <c r="AH579" s="646">
        <f>IFERROR(IF($AV579="No",0,IF($AV579="yes",Summary!R579,"")),"")</f>
        <v>0</v>
      </c>
      <c r="AI579" s="646">
        <f>IFERROR(IF($AV579="No",0,IF($AV579="yes",Summary!S579,"")),"")</f>
        <v>0</v>
      </c>
      <c r="AJ579" s="647">
        <f>IFERROR(IF($AV579="No",0,IF($AV579="yes",Summary!T579,"")),"")</f>
        <v>0</v>
      </c>
      <c r="AK579" s="648">
        <f>IFERROR(IF($AV579="No",0,IF($AV579="yes",Summary!U579,"")),"")</f>
        <v>0</v>
      </c>
      <c r="AL579" s="646">
        <f>IFERROR(IF($AV579="No",0,IF($AV579="yes",Summary!V579,"")),"")</f>
        <v>0</v>
      </c>
      <c r="AM579" s="646">
        <f>IFERROR(IF($AV579="No",0,IF($AV579="yes",Summary!W579,"")),"")</f>
        <v>0</v>
      </c>
      <c r="AN579" s="646">
        <f>IFERROR(IF($AV579="No",0,IF($AV579="yes",Summary!X579,"")),"")</f>
        <v>0</v>
      </c>
      <c r="AO579" s="646">
        <f>IFERROR(IF($AV579="No",0,IF($AV579="yes",Summary!Y579+Z579,"")),"")</f>
        <v>0</v>
      </c>
      <c r="AP579" s="646">
        <f>IFERROR(IF($AV579="No",0,IF($AV579="yes",Summary!AB579,"")),"")</f>
        <v>0</v>
      </c>
      <c r="AQ579" s="649" t="str">
        <f t="shared" si="127"/>
        <v/>
      </c>
      <c r="AR579" s="649" t="str">
        <f t="shared" si="131"/>
        <v/>
      </c>
      <c r="AS579" s="649" t="str">
        <f t="shared" si="128"/>
        <v/>
      </c>
      <c r="AT579" s="641" t="s">
        <v>1053</v>
      </c>
      <c r="AV579" t="str">
        <f>IF('Proposed Lighting'!AK276&gt;0,"No","Yes")</f>
        <v>Yes</v>
      </c>
    </row>
    <row r="580" spans="1:48" ht="34.5" customHeight="1" outlineLevel="1">
      <c r="A580" s="641" t="s">
        <v>1054</v>
      </c>
      <c r="B580" s="641" t="str">
        <f>IF('Proposed Lighting'!AU277=3,"Commercial-All Com-ExtLight",IF('Proposed Lighting'!AH277&gt;8759,"IPC_8760","Commercial-All Com-IntLight"))</f>
        <v>IPC_8760</v>
      </c>
      <c r="C580" s="641" t="str">
        <f>IF(OR(E580="",E580=0),"No",
IF(AND('Data Entry'!$AF$23="OR",AE580&lt;1),"No",
IF(AND('Data Entry'!$AF$23="ID",E580="Non-standard lighting control system",AD580&lt;1),"No",
IF(AND('Data Entry'!$AF$23="OR",'Proposed Lighting'!F277="Existing LED (Provide Description)",'Proposed Lighting'!AK277=""),"No",
IF('Proposed Lighting'!DD277="Submit Control as Non-Standard","No",
IF(AND('Proposed Lighting'!T277="Non-Standard (Provide Description)",AD580&lt;1),"No",
IF('Proposed Lighting'!AW277&lt;'Proposed Lighting'!AZ277,"No","Yes")))))))</f>
        <v>No</v>
      </c>
      <c r="D580" s="1604">
        <f>'Proposed Lighting'!BQ277-Q580</f>
        <v>0</v>
      </c>
      <c r="E580" s="642" t="str">
        <f>IF('Proposed Lighting'!W277="","",'Proposed Lighting'!W277)</f>
        <v/>
      </c>
      <c r="F580" s="642"/>
      <c r="G580" s="641" t="s">
        <v>786</v>
      </c>
      <c r="H580" s="643">
        <v>10</v>
      </c>
      <c r="I580" s="644">
        <v>1</v>
      </c>
      <c r="J580" s="723">
        <f>IF('Proposed Lighting'!EF277=0,'Proposed Lighting'!AA277,'Proposed Lighting'!EF277)</f>
        <v>0</v>
      </c>
      <c r="K580" s="643" t="str">
        <f>'Proposed Lighting'!CU277</f>
        <v/>
      </c>
      <c r="L580" s="643" t="str">
        <f t="shared" si="129"/>
        <v/>
      </c>
      <c r="M580" s="645">
        <f t="shared" si="119"/>
        <v>0</v>
      </c>
      <c r="N580" s="645"/>
      <c r="O580" s="722">
        <f>IFERROR('Proposed Lighting'!AC277/1000,0)</f>
        <v>0</v>
      </c>
      <c r="P580" s="644">
        <f>'Proposed Lighting'!AV277</f>
        <v>0</v>
      </c>
      <c r="Q580" s="644">
        <f>IF(AND('Proposed Lighting'!T277="Lighting Controls Only",'Data Entry'!$AF$23="OR",'Proposed Lighting'!AU277=2),0,
IF(AND('Proposed Lighting'!T277="Lighting Controls Only",'Data Entry'!$AF$23="OR",'Proposed Lighting'!AU277=3,OR('Proposed Lighting'!W277="ceiling mount",'Proposed Lighting'!W277="wall switch",'Proposed Lighting'!W277="fixture mount (on exisiting equip)",'Proposed Lighting'!W277="daylight harvesting (on existing equip)")),0,
IF('Proposed Lighting'!AF277=1,IF(P580=0,0,J580*O580*(L580*(1-P580))),IF('Proposed Lighting'!AU277=1,0,'Proposed Lighting'!AX277-'Proposed Lighting'!AY277))))</f>
        <v>0</v>
      </c>
      <c r="R580" s="646">
        <f>IF('Proposed Lighting'!T277="Non-standard (provide description",0,
IF(AND(E580="Non-standard control",'Proposed Lighting'!AU277=2),Q580*0.1,
IF(AND(E580="Non-standard control",'Proposed Lighting'!AU277=3),Q580*0.08,
IF('Proposed Lighting'!EF277=0,0,IF('Proposed Lighting'!AU277=1,0,
IF(AND('Data Entry'!$AF$23="ID",'Proposed Lighting'!T277="Lighting controls only"),VLOOKUP(E580,'Proposed Lighting'!$DO$97:$DP$106,2,FALSE),
IF(AND('Data Entry'!$AF$23="OR",'Proposed Lighting'!AU277=3,'Proposed Lighting'!T277="Lighting controls only"),VLOOKUP(E580,'Proposed Lighting'!$DO$127:$DP$134,2,FALSE),0)))))))*J580</f>
        <v>0</v>
      </c>
      <c r="S580" s="646">
        <f>IF(Q580&lt;0.01,0,IF('Proposed Lighting'!AK277&gt;0,'Proposed Lighting'!AK277*'Proposed Lighting'!EF277,0))</f>
        <v>0</v>
      </c>
      <c r="T580" s="647">
        <f t="shared" si="130"/>
        <v>0</v>
      </c>
      <c r="U580" s="648"/>
      <c r="V580" s="646">
        <f t="shared" si="120"/>
        <v>0</v>
      </c>
      <c r="W580" s="646">
        <f t="shared" si="121"/>
        <v>0</v>
      </c>
      <c r="X580" s="646">
        <f t="shared" si="122"/>
        <v>0</v>
      </c>
      <c r="Y580" s="646"/>
      <c r="Z580" s="646"/>
      <c r="AA580" s="646"/>
      <c r="AB580" s="646">
        <f t="shared" si="123"/>
        <v>0</v>
      </c>
      <c r="AC580" s="649" t="str">
        <f t="shared" si="124"/>
        <v/>
      </c>
      <c r="AD580" s="649" t="str">
        <f t="shared" si="125"/>
        <v/>
      </c>
      <c r="AE580" s="649" t="str">
        <f t="shared" si="126"/>
        <v/>
      </c>
      <c r="AF580" s="72"/>
      <c r="AG580" s="644">
        <f>IFERROR(IF($AV580="No",0,IF($AV580="yes",Summary!Q580,"")),"")</f>
        <v>0</v>
      </c>
      <c r="AH580" s="646">
        <f>IFERROR(IF($AV580="No",0,IF($AV580="yes",Summary!R580,"")),"")</f>
        <v>0</v>
      </c>
      <c r="AI580" s="646">
        <f>IFERROR(IF($AV580="No",0,IF($AV580="yes",Summary!S580,"")),"")</f>
        <v>0</v>
      </c>
      <c r="AJ580" s="647">
        <f>IFERROR(IF($AV580="No",0,IF($AV580="yes",Summary!T580,"")),"")</f>
        <v>0</v>
      </c>
      <c r="AK580" s="648">
        <f>IFERROR(IF($AV580="No",0,IF($AV580="yes",Summary!U580,"")),"")</f>
        <v>0</v>
      </c>
      <c r="AL580" s="646">
        <f>IFERROR(IF($AV580="No",0,IF($AV580="yes",Summary!V580,"")),"")</f>
        <v>0</v>
      </c>
      <c r="AM580" s="646">
        <f>IFERROR(IF($AV580="No",0,IF($AV580="yes",Summary!W580,"")),"")</f>
        <v>0</v>
      </c>
      <c r="AN580" s="646">
        <f>IFERROR(IF($AV580="No",0,IF($AV580="yes",Summary!X580,"")),"")</f>
        <v>0</v>
      </c>
      <c r="AO580" s="646">
        <f>IFERROR(IF($AV580="No",0,IF($AV580="yes",Summary!Y580+Z580,"")),"")</f>
        <v>0</v>
      </c>
      <c r="AP580" s="646">
        <f>IFERROR(IF($AV580="No",0,IF($AV580="yes",Summary!AB580,"")),"")</f>
        <v>0</v>
      </c>
      <c r="AQ580" s="649" t="str">
        <f t="shared" si="127"/>
        <v/>
      </c>
      <c r="AR580" s="649" t="str">
        <f t="shared" si="131"/>
        <v/>
      </c>
      <c r="AS580" s="649" t="str">
        <f t="shared" si="128"/>
        <v/>
      </c>
      <c r="AT580" s="641" t="s">
        <v>1054</v>
      </c>
      <c r="AV580" t="str">
        <f>IF('Proposed Lighting'!AK277&gt;0,"No","Yes")</f>
        <v>Yes</v>
      </c>
    </row>
    <row r="581" spans="1:48" ht="34.5" customHeight="1" outlineLevel="1">
      <c r="A581" s="641" t="s">
        <v>1055</v>
      </c>
      <c r="B581" s="641" t="str">
        <f>IF('Proposed Lighting'!AU278=3,"Commercial-All Com-ExtLight",IF('Proposed Lighting'!AH278&gt;8759,"IPC_8760","Commercial-All Com-IntLight"))</f>
        <v>IPC_8760</v>
      </c>
      <c r="C581" s="641" t="str">
        <f>IF(OR(E581="",E581=0),"No",
IF(AND('Data Entry'!$AF$23="OR",AE581&lt;1),"No",
IF(AND('Data Entry'!$AF$23="ID",E581="Non-standard lighting control system",AD581&lt;1),"No",
IF(AND('Data Entry'!$AF$23="OR",'Proposed Lighting'!F278="Existing LED (Provide Description)",'Proposed Lighting'!AK278=""),"No",
IF('Proposed Lighting'!DD278="Submit Control as Non-Standard","No",
IF(AND('Proposed Lighting'!T278="Non-Standard (Provide Description)",AD581&lt;1),"No",
IF('Proposed Lighting'!AW278&lt;'Proposed Lighting'!AZ278,"No","Yes")))))))</f>
        <v>No</v>
      </c>
      <c r="D581" s="1604">
        <f>'Proposed Lighting'!BQ278-Q581</f>
        <v>0</v>
      </c>
      <c r="E581" s="642" t="str">
        <f>IF('Proposed Lighting'!W278="","",'Proposed Lighting'!W278)</f>
        <v/>
      </c>
      <c r="F581" s="642"/>
      <c r="G581" s="641" t="s">
        <v>786</v>
      </c>
      <c r="H581" s="643">
        <v>10</v>
      </c>
      <c r="I581" s="644">
        <v>1</v>
      </c>
      <c r="J581" s="723">
        <f>IF('Proposed Lighting'!EF278=0,'Proposed Lighting'!AA278,'Proposed Lighting'!EF278)</f>
        <v>0</v>
      </c>
      <c r="K581" s="643" t="str">
        <f>'Proposed Lighting'!CU278</f>
        <v/>
      </c>
      <c r="L581" s="643" t="str">
        <f t="shared" si="129"/>
        <v/>
      </c>
      <c r="M581" s="645">
        <f t="shared" si="119"/>
        <v>0</v>
      </c>
      <c r="N581" s="645"/>
      <c r="O581" s="722">
        <f>IFERROR('Proposed Lighting'!AC278/1000,0)</f>
        <v>0</v>
      </c>
      <c r="P581" s="644">
        <f>'Proposed Lighting'!AV278</f>
        <v>0</v>
      </c>
      <c r="Q581" s="644">
        <f>IF(AND('Proposed Lighting'!T278="Lighting Controls Only",'Data Entry'!$AF$23="OR",'Proposed Lighting'!AU278=2),0,
IF(AND('Proposed Lighting'!T278="Lighting Controls Only",'Data Entry'!$AF$23="OR",'Proposed Lighting'!AU278=3,OR('Proposed Lighting'!W278="ceiling mount",'Proposed Lighting'!W278="wall switch",'Proposed Lighting'!W278="fixture mount (on exisiting equip)",'Proposed Lighting'!W278="daylight harvesting (on existing equip)")),0,
IF('Proposed Lighting'!AF278=1,IF(P581=0,0,J581*O581*(L581*(1-P581))),IF('Proposed Lighting'!AU278=1,0,'Proposed Lighting'!AX278-'Proposed Lighting'!AY278))))</f>
        <v>0</v>
      </c>
      <c r="R581" s="646">
        <f>IF('Proposed Lighting'!T278="Non-standard (provide description",0,
IF(AND(E581="Non-standard control",'Proposed Lighting'!AU278=2),Q581*0.1,
IF(AND(E581="Non-standard control",'Proposed Lighting'!AU278=3),Q581*0.08,
IF('Proposed Lighting'!EF278=0,0,IF('Proposed Lighting'!AU278=1,0,
IF(AND('Data Entry'!$AF$23="ID",'Proposed Lighting'!T278="Lighting controls only"),VLOOKUP(E581,'Proposed Lighting'!$DO$97:$DP$106,2,FALSE),
IF(AND('Data Entry'!$AF$23="OR",'Proposed Lighting'!AU278=3,'Proposed Lighting'!T278="Lighting controls only"),VLOOKUP(E581,'Proposed Lighting'!$DO$127:$DP$134,2,FALSE),0)))))))*J581</f>
        <v>0</v>
      </c>
      <c r="S581" s="646">
        <f>IF(Q581&lt;0.01,0,IF('Proposed Lighting'!AK278&gt;0,'Proposed Lighting'!AK278*'Proposed Lighting'!EF278,0))</f>
        <v>0</v>
      </c>
      <c r="T581" s="647">
        <f t="shared" si="130"/>
        <v>0</v>
      </c>
      <c r="U581" s="648"/>
      <c r="V581" s="646">
        <f t="shared" si="120"/>
        <v>0</v>
      </c>
      <c r="W581" s="646">
        <f t="shared" si="121"/>
        <v>0</v>
      </c>
      <c r="X581" s="646">
        <f t="shared" si="122"/>
        <v>0</v>
      </c>
      <c r="Y581" s="646"/>
      <c r="Z581" s="646"/>
      <c r="AA581" s="646"/>
      <c r="AB581" s="646">
        <f t="shared" si="123"/>
        <v>0</v>
      </c>
      <c r="AC581" s="649" t="str">
        <f t="shared" si="124"/>
        <v/>
      </c>
      <c r="AD581" s="649" t="str">
        <f t="shared" si="125"/>
        <v/>
      </c>
      <c r="AE581" s="649" t="str">
        <f t="shared" si="126"/>
        <v/>
      </c>
      <c r="AF581" s="72"/>
      <c r="AG581" s="644">
        <f>IFERROR(IF($AV581="No",0,IF($AV581="yes",Summary!Q581,"")),"")</f>
        <v>0</v>
      </c>
      <c r="AH581" s="646">
        <f>IFERROR(IF($AV581="No",0,IF($AV581="yes",Summary!R581,"")),"")</f>
        <v>0</v>
      </c>
      <c r="AI581" s="646">
        <f>IFERROR(IF($AV581="No",0,IF($AV581="yes",Summary!S581,"")),"")</f>
        <v>0</v>
      </c>
      <c r="AJ581" s="647">
        <f>IFERROR(IF($AV581="No",0,IF($AV581="yes",Summary!T581,"")),"")</f>
        <v>0</v>
      </c>
      <c r="AK581" s="648">
        <f>IFERROR(IF($AV581="No",0,IF($AV581="yes",Summary!U581,"")),"")</f>
        <v>0</v>
      </c>
      <c r="AL581" s="646">
        <f>IFERROR(IF($AV581="No",0,IF($AV581="yes",Summary!V581,"")),"")</f>
        <v>0</v>
      </c>
      <c r="AM581" s="646">
        <f>IFERROR(IF($AV581="No",0,IF($AV581="yes",Summary!W581,"")),"")</f>
        <v>0</v>
      </c>
      <c r="AN581" s="646">
        <f>IFERROR(IF($AV581="No",0,IF($AV581="yes",Summary!X581,"")),"")</f>
        <v>0</v>
      </c>
      <c r="AO581" s="646">
        <f>IFERROR(IF($AV581="No",0,IF($AV581="yes",Summary!Y581+Z581,"")),"")</f>
        <v>0</v>
      </c>
      <c r="AP581" s="646">
        <f>IFERROR(IF($AV581="No",0,IF($AV581="yes",Summary!AB581,"")),"")</f>
        <v>0</v>
      </c>
      <c r="AQ581" s="649" t="str">
        <f t="shared" si="127"/>
        <v/>
      </c>
      <c r="AR581" s="649" t="str">
        <f t="shared" si="131"/>
        <v/>
      </c>
      <c r="AS581" s="649" t="str">
        <f t="shared" si="128"/>
        <v/>
      </c>
      <c r="AT581" s="641" t="s">
        <v>1055</v>
      </c>
      <c r="AV581" t="str">
        <f>IF('Proposed Lighting'!AK278&gt;0,"No","Yes")</f>
        <v>Yes</v>
      </c>
    </row>
    <row r="582" spans="1:48" ht="34.5" customHeight="1" outlineLevel="1">
      <c r="A582" s="641" t="s">
        <v>1056</v>
      </c>
      <c r="B582" s="641" t="str">
        <f>IF('Proposed Lighting'!AU279=3,"Commercial-All Com-ExtLight",IF('Proposed Lighting'!AH279&gt;8759,"IPC_8760","Commercial-All Com-IntLight"))</f>
        <v>IPC_8760</v>
      </c>
      <c r="C582" s="641" t="str">
        <f>IF(OR(E582="",E582=0),"No",
IF(AND('Data Entry'!$AF$23="OR",AE582&lt;1),"No",
IF(AND('Data Entry'!$AF$23="ID",E582="Non-standard lighting control system",AD582&lt;1),"No",
IF(AND('Data Entry'!$AF$23="OR",'Proposed Lighting'!F279="Existing LED (Provide Description)",'Proposed Lighting'!AK279=""),"No",
IF('Proposed Lighting'!DD279="Submit Control as Non-Standard","No",
IF(AND('Proposed Lighting'!T279="Non-Standard (Provide Description)",AD582&lt;1),"No",
IF('Proposed Lighting'!AW279&lt;'Proposed Lighting'!AZ279,"No","Yes")))))))</f>
        <v>No</v>
      </c>
      <c r="D582" s="1604">
        <f>'Proposed Lighting'!BQ279-Q582</f>
        <v>0</v>
      </c>
      <c r="E582" s="642" t="str">
        <f>IF('Proposed Lighting'!W279="","",'Proposed Lighting'!W279)</f>
        <v/>
      </c>
      <c r="F582" s="642"/>
      <c r="G582" s="641" t="s">
        <v>786</v>
      </c>
      <c r="H582" s="643">
        <v>10</v>
      </c>
      <c r="I582" s="644">
        <v>1</v>
      </c>
      <c r="J582" s="723">
        <f>IF('Proposed Lighting'!EF279=0,'Proposed Lighting'!AA279,'Proposed Lighting'!EF279)</f>
        <v>0</v>
      </c>
      <c r="K582" s="643" t="str">
        <f>'Proposed Lighting'!CU279</f>
        <v/>
      </c>
      <c r="L582" s="643" t="str">
        <f t="shared" si="129"/>
        <v/>
      </c>
      <c r="M582" s="645">
        <f t="shared" si="119"/>
        <v>0</v>
      </c>
      <c r="N582" s="645"/>
      <c r="O582" s="722">
        <f>IFERROR('Proposed Lighting'!AC279/1000,0)</f>
        <v>0</v>
      </c>
      <c r="P582" s="644">
        <f>'Proposed Lighting'!AV279</f>
        <v>0</v>
      </c>
      <c r="Q582" s="644">
        <f>IF(AND('Proposed Lighting'!T279="Lighting Controls Only",'Data Entry'!$AF$23="OR",'Proposed Lighting'!AU279=2),0,
IF(AND('Proposed Lighting'!T279="Lighting Controls Only",'Data Entry'!$AF$23="OR",'Proposed Lighting'!AU279=3,OR('Proposed Lighting'!W279="ceiling mount",'Proposed Lighting'!W279="wall switch",'Proposed Lighting'!W279="fixture mount (on exisiting equip)",'Proposed Lighting'!W279="daylight harvesting (on existing equip)")),0,
IF('Proposed Lighting'!AF279=1,IF(P582=0,0,J582*O582*(L582*(1-P582))),IF('Proposed Lighting'!AU279=1,0,'Proposed Lighting'!AX279-'Proposed Lighting'!AY279))))</f>
        <v>0</v>
      </c>
      <c r="R582" s="646">
        <f>IF('Proposed Lighting'!T279="Non-standard (provide description",0,
IF(AND(E582="Non-standard control",'Proposed Lighting'!AU279=2),Q582*0.1,
IF(AND(E582="Non-standard control",'Proposed Lighting'!AU279=3),Q582*0.08,
IF('Proposed Lighting'!EF279=0,0,IF('Proposed Lighting'!AU279=1,0,
IF(AND('Data Entry'!$AF$23="ID",'Proposed Lighting'!T279="Lighting controls only"),VLOOKUP(E582,'Proposed Lighting'!$DO$97:$DP$106,2,FALSE),
IF(AND('Data Entry'!$AF$23="OR",'Proposed Lighting'!AU279=3,'Proposed Lighting'!T279="Lighting controls only"),VLOOKUP(E582,'Proposed Lighting'!$DO$127:$DP$134,2,FALSE),0)))))))*J582</f>
        <v>0</v>
      </c>
      <c r="S582" s="646">
        <f>IF(Q582&lt;0.01,0,IF('Proposed Lighting'!AK279&gt;0,'Proposed Lighting'!AK279*'Proposed Lighting'!EF279,0))</f>
        <v>0</v>
      </c>
      <c r="T582" s="647">
        <f t="shared" si="130"/>
        <v>0</v>
      </c>
      <c r="U582" s="648"/>
      <c r="V582" s="646">
        <f t="shared" si="120"/>
        <v>0</v>
      </c>
      <c r="W582" s="646">
        <f t="shared" si="121"/>
        <v>0</v>
      </c>
      <c r="X582" s="646">
        <f t="shared" si="122"/>
        <v>0</v>
      </c>
      <c r="Y582" s="646"/>
      <c r="Z582" s="646"/>
      <c r="AA582" s="646"/>
      <c r="AB582" s="646">
        <f t="shared" si="123"/>
        <v>0</v>
      </c>
      <c r="AC582" s="649" t="str">
        <f t="shared" si="124"/>
        <v/>
      </c>
      <c r="AD582" s="649" t="str">
        <f t="shared" si="125"/>
        <v/>
      </c>
      <c r="AE582" s="649" t="str">
        <f t="shared" si="126"/>
        <v/>
      </c>
      <c r="AF582" s="72"/>
      <c r="AG582" s="644">
        <f>IFERROR(IF($AV582="No",0,IF($AV582="yes",Summary!Q582,"")),"")</f>
        <v>0</v>
      </c>
      <c r="AH582" s="646">
        <f>IFERROR(IF($AV582="No",0,IF($AV582="yes",Summary!R582,"")),"")</f>
        <v>0</v>
      </c>
      <c r="AI582" s="646">
        <f>IFERROR(IF($AV582="No",0,IF($AV582="yes",Summary!S582,"")),"")</f>
        <v>0</v>
      </c>
      <c r="AJ582" s="647">
        <f>IFERROR(IF($AV582="No",0,IF($AV582="yes",Summary!T582,"")),"")</f>
        <v>0</v>
      </c>
      <c r="AK582" s="648">
        <f>IFERROR(IF($AV582="No",0,IF($AV582="yes",Summary!U582,"")),"")</f>
        <v>0</v>
      </c>
      <c r="AL582" s="646">
        <f>IFERROR(IF($AV582="No",0,IF($AV582="yes",Summary!V582,"")),"")</f>
        <v>0</v>
      </c>
      <c r="AM582" s="646">
        <f>IFERROR(IF($AV582="No",0,IF($AV582="yes",Summary!W582,"")),"")</f>
        <v>0</v>
      </c>
      <c r="AN582" s="646">
        <f>IFERROR(IF($AV582="No",0,IF($AV582="yes",Summary!X582,"")),"")</f>
        <v>0</v>
      </c>
      <c r="AO582" s="646">
        <f>IFERROR(IF($AV582="No",0,IF($AV582="yes",Summary!Y582+Z582,"")),"")</f>
        <v>0</v>
      </c>
      <c r="AP582" s="646">
        <f>IFERROR(IF($AV582="No",0,IF($AV582="yes",Summary!AB582,"")),"")</f>
        <v>0</v>
      </c>
      <c r="AQ582" s="649" t="str">
        <f t="shared" si="127"/>
        <v/>
      </c>
      <c r="AR582" s="649" t="str">
        <f t="shared" si="131"/>
        <v/>
      </c>
      <c r="AS582" s="649" t="str">
        <f t="shared" si="128"/>
        <v/>
      </c>
      <c r="AT582" s="641" t="s">
        <v>1056</v>
      </c>
      <c r="AV582" t="str">
        <f>IF('Proposed Lighting'!AK279&gt;0,"No","Yes")</f>
        <v>Yes</v>
      </c>
    </row>
    <row r="583" spans="1:48" ht="34.5" customHeight="1" outlineLevel="1">
      <c r="A583" s="641" t="s">
        <v>1057</v>
      </c>
      <c r="B583" s="641" t="str">
        <f>IF('Proposed Lighting'!AU280=3,"Commercial-All Com-ExtLight",IF('Proposed Lighting'!AH280&gt;8759,"IPC_8760","Commercial-All Com-IntLight"))</f>
        <v>IPC_8760</v>
      </c>
      <c r="C583" s="641" t="str">
        <f>IF(OR(E583="",E583=0),"No",
IF(AND('Data Entry'!$AF$23="OR",AE583&lt;1),"No",
IF(AND('Data Entry'!$AF$23="ID",E583="Non-standard lighting control system",AD583&lt;1),"No",
IF(AND('Data Entry'!$AF$23="OR",'Proposed Lighting'!F280="Existing LED (Provide Description)",'Proposed Lighting'!AK280=""),"No",
IF('Proposed Lighting'!DD280="Submit Control as Non-Standard","No",
IF(AND('Proposed Lighting'!T280="Non-Standard (Provide Description)",AD583&lt;1),"No",
IF('Proposed Lighting'!AW280&lt;'Proposed Lighting'!AZ280,"No","Yes")))))))</f>
        <v>No</v>
      </c>
      <c r="D583" s="1604">
        <f>'Proposed Lighting'!BQ280-Q583</f>
        <v>0</v>
      </c>
      <c r="E583" s="642" t="str">
        <f>IF('Proposed Lighting'!W280="","",'Proposed Lighting'!W280)</f>
        <v/>
      </c>
      <c r="F583" s="642"/>
      <c r="G583" s="641" t="s">
        <v>786</v>
      </c>
      <c r="H583" s="643">
        <v>10</v>
      </c>
      <c r="I583" s="644">
        <v>1</v>
      </c>
      <c r="J583" s="723">
        <f>IF('Proposed Lighting'!EF280=0,'Proposed Lighting'!AA280,'Proposed Lighting'!EF280)</f>
        <v>0</v>
      </c>
      <c r="K583" s="643" t="str">
        <f>'Proposed Lighting'!CU280</f>
        <v/>
      </c>
      <c r="L583" s="643" t="str">
        <f t="shared" si="129"/>
        <v/>
      </c>
      <c r="M583" s="645">
        <f t="shared" si="119"/>
        <v>0</v>
      </c>
      <c r="N583" s="645"/>
      <c r="O583" s="722">
        <f>IFERROR('Proposed Lighting'!AC280/1000,0)</f>
        <v>0</v>
      </c>
      <c r="P583" s="644">
        <f>'Proposed Lighting'!AV280</f>
        <v>0</v>
      </c>
      <c r="Q583" s="644">
        <f>IF(AND('Proposed Lighting'!T280="Lighting Controls Only",'Data Entry'!$AF$23="OR",'Proposed Lighting'!AU280=2),0,
IF(AND('Proposed Lighting'!T280="Lighting Controls Only",'Data Entry'!$AF$23="OR",'Proposed Lighting'!AU280=3,OR('Proposed Lighting'!W280="ceiling mount",'Proposed Lighting'!W280="wall switch",'Proposed Lighting'!W280="fixture mount (on exisiting equip)",'Proposed Lighting'!W280="daylight harvesting (on existing equip)")),0,
IF('Proposed Lighting'!AF280=1,IF(P583=0,0,J583*O583*(L583*(1-P583))),IF('Proposed Lighting'!AU280=1,0,'Proposed Lighting'!AX280-'Proposed Lighting'!AY280))))</f>
        <v>0</v>
      </c>
      <c r="R583" s="646">
        <f>IF('Proposed Lighting'!T280="Non-standard (provide description",0,
IF(AND(E583="Non-standard control",'Proposed Lighting'!AU280=2),Q583*0.1,
IF(AND(E583="Non-standard control",'Proposed Lighting'!AU280=3),Q583*0.08,
IF('Proposed Lighting'!EF280=0,0,IF('Proposed Lighting'!AU280=1,0,
IF(AND('Data Entry'!$AF$23="ID",'Proposed Lighting'!T280="Lighting controls only"),VLOOKUP(E583,'Proposed Lighting'!$DO$97:$DP$106,2,FALSE),
IF(AND('Data Entry'!$AF$23="OR",'Proposed Lighting'!AU280=3,'Proposed Lighting'!T280="Lighting controls only"),VLOOKUP(E583,'Proposed Lighting'!$DO$127:$DP$134,2,FALSE),0)))))))*J583</f>
        <v>0</v>
      </c>
      <c r="S583" s="646">
        <f>IF(Q583&lt;0.01,0,IF('Proposed Lighting'!AK280&gt;0,'Proposed Lighting'!AK280*'Proposed Lighting'!EF280,0))</f>
        <v>0</v>
      </c>
      <c r="T583" s="647">
        <f t="shared" si="130"/>
        <v>0</v>
      </c>
      <c r="U583" s="648"/>
      <c r="V583" s="646">
        <f t="shared" si="120"/>
        <v>0</v>
      </c>
      <c r="W583" s="646">
        <f t="shared" si="121"/>
        <v>0</v>
      </c>
      <c r="X583" s="646">
        <f t="shared" si="122"/>
        <v>0</v>
      </c>
      <c r="Y583" s="646"/>
      <c r="Z583" s="646"/>
      <c r="AA583" s="646"/>
      <c r="AB583" s="646">
        <f t="shared" si="123"/>
        <v>0</v>
      </c>
      <c r="AC583" s="649" t="str">
        <f t="shared" si="124"/>
        <v/>
      </c>
      <c r="AD583" s="649" t="str">
        <f t="shared" si="125"/>
        <v/>
      </c>
      <c r="AE583" s="649" t="str">
        <f t="shared" si="126"/>
        <v/>
      </c>
      <c r="AF583" s="72"/>
      <c r="AG583" s="644">
        <f>IFERROR(IF($AV583="No",0,IF($AV583="yes",Summary!Q583,"")),"")</f>
        <v>0</v>
      </c>
      <c r="AH583" s="646">
        <f>IFERROR(IF($AV583="No",0,IF($AV583="yes",Summary!R583,"")),"")</f>
        <v>0</v>
      </c>
      <c r="AI583" s="646">
        <f>IFERROR(IF($AV583="No",0,IF($AV583="yes",Summary!S583,"")),"")</f>
        <v>0</v>
      </c>
      <c r="AJ583" s="647">
        <f>IFERROR(IF($AV583="No",0,IF($AV583="yes",Summary!T583,"")),"")</f>
        <v>0</v>
      </c>
      <c r="AK583" s="648">
        <f>IFERROR(IF($AV583="No",0,IF($AV583="yes",Summary!U583,"")),"")</f>
        <v>0</v>
      </c>
      <c r="AL583" s="646">
        <f>IFERROR(IF($AV583="No",0,IF($AV583="yes",Summary!V583,"")),"")</f>
        <v>0</v>
      </c>
      <c r="AM583" s="646">
        <f>IFERROR(IF($AV583="No",0,IF($AV583="yes",Summary!W583,"")),"")</f>
        <v>0</v>
      </c>
      <c r="AN583" s="646">
        <f>IFERROR(IF($AV583="No",0,IF($AV583="yes",Summary!X583,"")),"")</f>
        <v>0</v>
      </c>
      <c r="AO583" s="646">
        <f>IFERROR(IF($AV583="No",0,IF($AV583="yes",Summary!Y583+Z583,"")),"")</f>
        <v>0</v>
      </c>
      <c r="AP583" s="646">
        <f>IFERROR(IF($AV583="No",0,IF($AV583="yes",Summary!AB583,"")),"")</f>
        <v>0</v>
      </c>
      <c r="AQ583" s="649" t="str">
        <f t="shared" si="127"/>
        <v/>
      </c>
      <c r="AR583" s="649" t="str">
        <f t="shared" si="131"/>
        <v/>
      </c>
      <c r="AS583" s="649" t="str">
        <f t="shared" si="128"/>
        <v/>
      </c>
      <c r="AT583" s="641" t="s">
        <v>1057</v>
      </c>
      <c r="AV583" t="str">
        <f>IF('Proposed Lighting'!AK280&gt;0,"No","Yes")</f>
        <v>Yes</v>
      </c>
    </row>
    <row r="584" spans="1:48" ht="34.5" customHeight="1" outlineLevel="1">
      <c r="A584" s="641" t="s">
        <v>1058</v>
      </c>
      <c r="B584" s="641" t="str">
        <f>IF('Proposed Lighting'!AU281=3,"Commercial-All Com-ExtLight",IF('Proposed Lighting'!AH281&gt;8759,"IPC_8760","Commercial-All Com-IntLight"))</f>
        <v>IPC_8760</v>
      </c>
      <c r="C584" s="641" t="str">
        <f>IF(OR(E584="",E584=0),"No",
IF(AND('Data Entry'!$AF$23="OR",AE584&lt;1),"No",
IF(AND('Data Entry'!$AF$23="ID",E584="Non-standard lighting control system",AD584&lt;1),"No",
IF(AND('Data Entry'!$AF$23="OR",'Proposed Lighting'!F281="Existing LED (Provide Description)",'Proposed Lighting'!AK281=""),"No",
IF('Proposed Lighting'!DD281="Submit Control as Non-Standard","No",
IF(AND('Proposed Lighting'!T281="Non-Standard (Provide Description)",AD584&lt;1),"No",
IF('Proposed Lighting'!AW281&lt;'Proposed Lighting'!AZ281,"No","Yes")))))))</f>
        <v>No</v>
      </c>
      <c r="D584" s="1604">
        <f>'Proposed Lighting'!BQ281-Q584</f>
        <v>0</v>
      </c>
      <c r="E584" s="642" t="str">
        <f>IF('Proposed Lighting'!W281="","",'Proposed Lighting'!W281)</f>
        <v/>
      </c>
      <c r="F584" s="642"/>
      <c r="G584" s="641" t="s">
        <v>786</v>
      </c>
      <c r="H584" s="643">
        <v>10</v>
      </c>
      <c r="I584" s="644">
        <v>1</v>
      </c>
      <c r="J584" s="723">
        <f>IF('Proposed Lighting'!EF281=0,'Proposed Lighting'!AA281,'Proposed Lighting'!EF281)</f>
        <v>0</v>
      </c>
      <c r="K584" s="643" t="str">
        <f>'Proposed Lighting'!CU281</f>
        <v/>
      </c>
      <c r="L584" s="643" t="str">
        <f t="shared" si="129"/>
        <v/>
      </c>
      <c r="M584" s="645">
        <f t="shared" si="119"/>
        <v>0</v>
      </c>
      <c r="N584" s="645"/>
      <c r="O584" s="722">
        <f>IFERROR('Proposed Lighting'!AC281/1000,0)</f>
        <v>0</v>
      </c>
      <c r="P584" s="644">
        <f>'Proposed Lighting'!AV281</f>
        <v>0</v>
      </c>
      <c r="Q584" s="644">
        <f>IF(AND('Proposed Lighting'!T281="Lighting Controls Only",'Data Entry'!$AF$23="OR",'Proposed Lighting'!AU281=2),0,
IF(AND('Proposed Lighting'!T281="Lighting Controls Only",'Data Entry'!$AF$23="OR",'Proposed Lighting'!AU281=3,OR('Proposed Lighting'!W281="ceiling mount",'Proposed Lighting'!W281="wall switch",'Proposed Lighting'!W281="fixture mount (on exisiting equip)",'Proposed Lighting'!W281="daylight harvesting (on existing equip)")),0,
IF('Proposed Lighting'!AF281=1,IF(P584=0,0,J584*O584*(L584*(1-P584))),IF('Proposed Lighting'!AU281=1,0,'Proposed Lighting'!AX281-'Proposed Lighting'!AY281))))</f>
        <v>0</v>
      </c>
      <c r="R584" s="646">
        <f>IF('Proposed Lighting'!T281="Non-standard (provide description",0,
IF(AND(E584="Non-standard control",'Proposed Lighting'!AU281=2),Q584*0.1,
IF(AND(E584="Non-standard control",'Proposed Lighting'!AU281=3),Q584*0.08,
IF('Proposed Lighting'!EF281=0,0,IF('Proposed Lighting'!AU281=1,0,
IF(AND('Data Entry'!$AF$23="ID",'Proposed Lighting'!T281="Lighting controls only"),VLOOKUP(E584,'Proposed Lighting'!$DO$97:$DP$106,2,FALSE),
IF(AND('Data Entry'!$AF$23="OR",'Proposed Lighting'!AU281=3,'Proposed Lighting'!T281="Lighting controls only"),VLOOKUP(E584,'Proposed Lighting'!$DO$127:$DP$134,2,FALSE),0)))))))*J584</f>
        <v>0</v>
      </c>
      <c r="S584" s="646">
        <f>IF(Q584&lt;0.01,0,IF('Proposed Lighting'!AK281&gt;0,'Proposed Lighting'!AK281*'Proposed Lighting'!EF281,0))</f>
        <v>0</v>
      </c>
      <c r="T584" s="647">
        <f t="shared" si="130"/>
        <v>0</v>
      </c>
      <c r="U584" s="648"/>
      <c r="V584" s="646">
        <f t="shared" si="120"/>
        <v>0</v>
      </c>
      <c r="W584" s="646">
        <f t="shared" si="121"/>
        <v>0</v>
      </c>
      <c r="X584" s="646">
        <f t="shared" si="122"/>
        <v>0</v>
      </c>
      <c r="Y584" s="646"/>
      <c r="Z584" s="646"/>
      <c r="AA584" s="646"/>
      <c r="AB584" s="646">
        <f t="shared" si="123"/>
        <v>0</v>
      </c>
      <c r="AC584" s="649" t="str">
        <f t="shared" si="124"/>
        <v/>
      </c>
      <c r="AD584" s="649" t="str">
        <f t="shared" si="125"/>
        <v/>
      </c>
      <c r="AE584" s="649" t="str">
        <f t="shared" si="126"/>
        <v/>
      </c>
      <c r="AF584" s="72"/>
      <c r="AG584" s="644">
        <f>IFERROR(IF($AV584="No",0,IF($AV584="yes",Summary!Q584,"")),"")</f>
        <v>0</v>
      </c>
      <c r="AH584" s="646">
        <f>IFERROR(IF($AV584="No",0,IF($AV584="yes",Summary!R584,"")),"")</f>
        <v>0</v>
      </c>
      <c r="AI584" s="646">
        <f>IFERROR(IF($AV584="No",0,IF($AV584="yes",Summary!S584,"")),"")</f>
        <v>0</v>
      </c>
      <c r="AJ584" s="647">
        <f>IFERROR(IF($AV584="No",0,IF($AV584="yes",Summary!T584,"")),"")</f>
        <v>0</v>
      </c>
      <c r="AK584" s="648">
        <f>IFERROR(IF($AV584="No",0,IF($AV584="yes",Summary!U584,"")),"")</f>
        <v>0</v>
      </c>
      <c r="AL584" s="646">
        <f>IFERROR(IF($AV584="No",0,IF($AV584="yes",Summary!V584,"")),"")</f>
        <v>0</v>
      </c>
      <c r="AM584" s="646">
        <f>IFERROR(IF($AV584="No",0,IF($AV584="yes",Summary!W584,"")),"")</f>
        <v>0</v>
      </c>
      <c r="AN584" s="646">
        <f>IFERROR(IF($AV584="No",0,IF($AV584="yes",Summary!X584,"")),"")</f>
        <v>0</v>
      </c>
      <c r="AO584" s="646">
        <f>IFERROR(IF($AV584="No",0,IF($AV584="yes",Summary!Y584+Z584,"")),"")</f>
        <v>0</v>
      </c>
      <c r="AP584" s="646">
        <f>IFERROR(IF($AV584="No",0,IF($AV584="yes",Summary!AB584,"")),"")</f>
        <v>0</v>
      </c>
      <c r="AQ584" s="649" t="str">
        <f t="shared" si="127"/>
        <v/>
      </c>
      <c r="AR584" s="649" t="str">
        <f t="shared" si="131"/>
        <v/>
      </c>
      <c r="AS584" s="649" t="str">
        <f t="shared" si="128"/>
        <v/>
      </c>
      <c r="AT584" s="641" t="s">
        <v>1058</v>
      </c>
      <c r="AV584" t="str">
        <f>IF('Proposed Lighting'!AK281&gt;0,"No","Yes")</f>
        <v>Yes</v>
      </c>
    </row>
    <row r="585" spans="1:48" ht="34.5" customHeight="1" outlineLevel="1">
      <c r="A585" s="641" t="s">
        <v>1059</v>
      </c>
      <c r="B585" s="641" t="str">
        <f>IF('Proposed Lighting'!AU282=3,"Commercial-All Com-ExtLight",IF('Proposed Lighting'!AH282&gt;8759,"IPC_8760","Commercial-All Com-IntLight"))</f>
        <v>IPC_8760</v>
      </c>
      <c r="C585" s="641" t="str">
        <f>IF(OR(E585="",E585=0),"No",
IF(AND('Data Entry'!$AF$23="OR",AE585&lt;1),"No",
IF(AND('Data Entry'!$AF$23="ID",E585="Non-standard lighting control system",AD585&lt;1),"No",
IF(AND('Data Entry'!$AF$23="OR",'Proposed Lighting'!F282="Existing LED (Provide Description)",'Proposed Lighting'!AK282=""),"No",
IF('Proposed Lighting'!DD282="Submit Control as Non-Standard","No",
IF(AND('Proposed Lighting'!T282="Non-Standard (Provide Description)",AD585&lt;1),"No",
IF('Proposed Lighting'!AW282&lt;'Proposed Lighting'!AZ282,"No","Yes")))))))</f>
        <v>No</v>
      </c>
      <c r="D585" s="1604">
        <f>'Proposed Lighting'!BQ282-Q585</f>
        <v>0</v>
      </c>
      <c r="E585" s="642" t="str">
        <f>IF('Proposed Lighting'!W282="","",'Proposed Lighting'!W282)</f>
        <v/>
      </c>
      <c r="F585" s="642"/>
      <c r="G585" s="641" t="s">
        <v>786</v>
      </c>
      <c r="H585" s="643">
        <v>10</v>
      </c>
      <c r="I585" s="644">
        <v>1</v>
      </c>
      <c r="J585" s="723">
        <f>IF('Proposed Lighting'!EF282=0,'Proposed Lighting'!AA282,'Proposed Lighting'!EF282)</f>
        <v>0</v>
      </c>
      <c r="K585" s="643" t="str">
        <f>'Proposed Lighting'!CU282</f>
        <v/>
      </c>
      <c r="L585" s="643" t="str">
        <f t="shared" si="129"/>
        <v/>
      </c>
      <c r="M585" s="645">
        <f t="shared" si="119"/>
        <v>0</v>
      </c>
      <c r="N585" s="645"/>
      <c r="O585" s="722">
        <f>IFERROR('Proposed Lighting'!AC282/1000,0)</f>
        <v>0</v>
      </c>
      <c r="P585" s="644">
        <f>'Proposed Lighting'!AV282</f>
        <v>0</v>
      </c>
      <c r="Q585" s="644">
        <f>IF(AND('Proposed Lighting'!T282="Lighting Controls Only",'Data Entry'!$AF$23="OR",'Proposed Lighting'!AU282=2),0,
IF(AND('Proposed Lighting'!T282="Lighting Controls Only",'Data Entry'!$AF$23="OR",'Proposed Lighting'!AU282=3,OR('Proposed Lighting'!W282="ceiling mount",'Proposed Lighting'!W282="wall switch",'Proposed Lighting'!W282="fixture mount (on exisiting equip)",'Proposed Lighting'!W282="daylight harvesting (on existing equip)")),0,
IF('Proposed Lighting'!AF282=1,IF(P585=0,0,J585*O585*(L585*(1-P585))),IF('Proposed Lighting'!AU282=1,0,'Proposed Lighting'!AX282-'Proposed Lighting'!AY282))))</f>
        <v>0</v>
      </c>
      <c r="R585" s="646">
        <f>IF('Proposed Lighting'!T282="Non-standard (provide description",0,
IF(AND(E585="Non-standard control",'Proposed Lighting'!AU282=2),Q585*0.1,
IF(AND(E585="Non-standard control",'Proposed Lighting'!AU282=3),Q585*0.08,
IF('Proposed Lighting'!EF282=0,0,IF('Proposed Lighting'!AU282=1,0,
IF(AND('Data Entry'!$AF$23="ID",'Proposed Lighting'!T282="Lighting controls only"),VLOOKUP(E585,'Proposed Lighting'!$DO$97:$DP$106,2,FALSE),
IF(AND('Data Entry'!$AF$23="OR",'Proposed Lighting'!AU282=3,'Proposed Lighting'!T282="Lighting controls only"),VLOOKUP(E585,'Proposed Lighting'!$DO$127:$DP$134,2,FALSE),0)))))))*J585</f>
        <v>0</v>
      </c>
      <c r="S585" s="646">
        <f>IF(Q585&lt;0.01,0,IF('Proposed Lighting'!AK282&gt;0,'Proposed Lighting'!AK282*'Proposed Lighting'!EF282,0))</f>
        <v>0</v>
      </c>
      <c r="T585" s="647">
        <f t="shared" si="130"/>
        <v>0</v>
      </c>
      <c r="U585" s="648"/>
      <c r="V585" s="646">
        <f t="shared" si="120"/>
        <v>0</v>
      </c>
      <c r="W585" s="646">
        <f t="shared" si="121"/>
        <v>0</v>
      </c>
      <c r="X585" s="646">
        <f t="shared" si="122"/>
        <v>0</v>
      </c>
      <c r="Y585" s="646"/>
      <c r="Z585" s="646"/>
      <c r="AA585" s="646"/>
      <c r="AB585" s="646">
        <f t="shared" si="123"/>
        <v>0</v>
      </c>
      <c r="AC585" s="649" t="str">
        <f t="shared" si="124"/>
        <v/>
      </c>
      <c r="AD585" s="649" t="str">
        <f t="shared" si="125"/>
        <v/>
      </c>
      <c r="AE585" s="649" t="str">
        <f t="shared" si="126"/>
        <v/>
      </c>
      <c r="AF585" s="72"/>
      <c r="AG585" s="644">
        <f>IFERROR(IF($AV585="No",0,IF($AV585="yes",Summary!Q585,"")),"")</f>
        <v>0</v>
      </c>
      <c r="AH585" s="646">
        <f>IFERROR(IF($AV585="No",0,IF($AV585="yes",Summary!R585,"")),"")</f>
        <v>0</v>
      </c>
      <c r="AI585" s="646">
        <f>IFERROR(IF($AV585="No",0,IF($AV585="yes",Summary!S585,"")),"")</f>
        <v>0</v>
      </c>
      <c r="AJ585" s="647">
        <f>IFERROR(IF($AV585="No",0,IF($AV585="yes",Summary!T585,"")),"")</f>
        <v>0</v>
      </c>
      <c r="AK585" s="648">
        <f>IFERROR(IF($AV585="No",0,IF($AV585="yes",Summary!U585,"")),"")</f>
        <v>0</v>
      </c>
      <c r="AL585" s="646">
        <f>IFERROR(IF($AV585="No",0,IF($AV585="yes",Summary!V585,"")),"")</f>
        <v>0</v>
      </c>
      <c r="AM585" s="646">
        <f>IFERROR(IF($AV585="No",0,IF($AV585="yes",Summary!W585,"")),"")</f>
        <v>0</v>
      </c>
      <c r="AN585" s="646">
        <f>IFERROR(IF($AV585="No",0,IF($AV585="yes",Summary!X585,"")),"")</f>
        <v>0</v>
      </c>
      <c r="AO585" s="646">
        <f>IFERROR(IF($AV585="No",0,IF($AV585="yes",Summary!Y585+Z585,"")),"")</f>
        <v>0</v>
      </c>
      <c r="AP585" s="646">
        <f>IFERROR(IF($AV585="No",0,IF($AV585="yes",Summary!AB585,"")),"")</f>
        <v>0</v>
      </c>
      <c r="AQ585" s="649" t="str">
        <f t="shared" si="127"/>
        <v/>
      </c>
      <c r="AR585" s="649" t="str">
        <f t="shared" si="131"/>
        <v/>
      </c>
      <c r="AS585" s="649" t="str">
        <f t="shared" si="128"/>
        <v/>
      </c>
      <c r="AT585" s="641" t="s">
        <v>1059</v>
      </c>
      <c r="AV585" t="str">
        <f>IF('Proposed Lighting'!AK282&gt;0,"No","Yes")</f>
        <v>Yes</v>
      </c>
    </row>
    <row r="586" spans="1:48" ht="34.5" customHeight="1" outlineLevel="1">
      <c r="A586" s="641" t="s">
        <v>1060</v>
      </c>
      <c r="B586" s="641" t="str">
        <f>IF('Proposed Lighting'!AU283=3,"Commercial-All Com-ExtLight",IF('Proposed Lighting'!AH283&gt;8759,"IPC_8760","Commercial-All Com-IntLight"))</f>
        <v>IPC_8760</v>
      </c>
      <c r="C586" s="641" t="str">
        <f>IF(OR(E586="",E586=0),"No",
IF(AND('Data Entry'!$AF$23="OR",AE586&lt;1),"No",
IF(AND('Data Entry'!$AF$23="ID",E586="Non-standard lighting control system",AD586&lt;1),"No",
IF(AND('Data Entry'!$AF$23="OR",'Proposed Lighting'!F283="Existing LED (Provide Description)",'Proposed Lighting'!AK283=""),"No",
IF('Proposed Lighting'!DD283="Submit Control as Non-Standard","No",
IF(AND('Proposed Lighting'!T283="Non-Standard (Provide Description)",AD586&lt;1),"No",
IF('Proposed Lighting'!AW283&lt;'Proposed Lighting'!AZ283,"No","Yes")))))))</f>
        <v>No</v>
      </c>
      <c r="D586" s="1604">
        <f>'Proposed Lighting'!BQ283-Q586</f>
        <v>0</v>
      </c>
      <c r="E586" s="642" t="str">
        <f>IF('Proposed Lighting'!W283="","",'Proposed Lighting'!W283)</f>
        <v/>
      </c>
      <c r="F586" s="642"/>
      <c r="G586" s="641" t="s">
        <v>786</v>
      </c>
      <c r="H586" s="643">
        <v>10</v>
      </c>
      <c r="I586" s="644">
        <v>1</v>
      </c>
      <c r="J586" s="723">
        <f>IF('Proposed Lighting'!EF283=0,'Proposed Lighting'!AA283,'Proposed Lighting'!EF283)</f>
        <v>0</v>
      </c>
      <c r="K586" s="643" t="str">
        <f>'Proposed Lighting'!CU283</f>
        <v/>
      </c>
      <c r="L586" s="643" t="str">
        <f t="shared" si="129"/>
        <v/>
      </c>
      <c r="M586" s="645">
        <f t="shared" si="119"/>
        <v>0</v>
      </c>
      <c r="N586" s="645"/>
      <c r="O586" s="722">
        <f>IFERROR('Proposed Lighting'!AC283/1000,0)</f>
        <v>0</v>
      </c>
      <c r="P586" s="644">
        <f>'Proposed Lighting'!AV283</f>
        <v>0</v>
      </c>
      <c r="Q586" s="644">
        <f>IF(AND('Proposed Lighting'!T283="Lighting Controls Only",'Data Entry'!$AF$23="OR",'Proposed Lighting'!AU283=2),0,
IF(AND('Proposed Lighting'!T283="Lighting Controls Only",'Data Entry'!$AF$23="OR",'Proposed Lighting'!AU283=3,OR('Proposed Lighting'!W283="ceiling mount",'Proposed Lighting'!W283="wall switch",'Proposed Lighting'!W283="fixture mount (on exisiting equip)",'Proposed Lighting'!W283="daylight harvesting (on existing equip)")),0,
IF('Proposed Lighting'!AF283=1,IF(P586=0,0,J586*O586*(L586*(1-P586))),IF('Proposed Lighting'!AU283=1,0,'Proposed Lighting'!AX283-'Proposed Lighting'!AY283))))</f>
        <v>0</v>
      </c>
      <c r="R586" s="646">
        <f>IF('Proposed Lighting'!T283="Non-standard (provide description",0,
IF(AND(E586="Non-standard control",'Proposed Lighting'!AU283=2),Q586*0.1,
IF(AND(E586="Non-standard control",'Proposed Lighting'!AU283=3),Q586*0.08,
IF('Proposed Lighting'!EF283=0,0,IF('Proposed Lighting'!AU283=1,0,
IF(AND('Data Entry'!$AF$23="ID",'Proposed Lighting'!T283="Lighting controls only"),VLOOKUP(E586,'Proposed Lighting'!$DO$97:$DP$106,2,FALSE),
IF(AND('Data Entry'!$AF$23="OR",'Proposed Lighting'!AU283=3,'Proposed Lighting'!T283="Lighting controls only"),VLOOKUP(E586,'Proposed Lighting'!$DO$127:$DP$134,2,FALSE),0)))))))*J586</f>
        <v>0</v>
      </c>
      <c r="S586" s="646">
        <f>IF(Q586&lt;0.01,0,IF('Proposed Lighting'!AK283&gt;0,'Proposed Lighting'!AK283*'Proposed Lighting'!EF283,0))</f>
        <v>0</v>
      </c>
      <c r="T586" s="647">
        <f t="shared" si="130"/>
        <v>0</v>
      </c>
      <c r="U586" s="648"/>
      <c r="V586" s="646">
        <f t="shared" si="120"/>
        <v>0</v>
      </c>
      <c r="W586" s="646">
        <f t="shared" si="121"/>
        <v>0</v>
      </c>
      <c r="X586" s="646">
        <f t="shared" si="122"/>
        <v>0</v>
      </c>
      <c r="Y586" s="646"/>
      <c r="Z586" s="646"/>
      <c r="AA586" s="646"/>
      <c r="AB586" s="646">
        <f t="shared" si="123"/>
        <v>0</v>
      </c>
      <c r="AC586" s="649" t="str">
        <f t="shared" si="124"/>
        <v/>
      </c>
      <c r="AD586" s="649" t="str">
        <f t="shared" si="125"/>
        <v/>
      </c>
      <c r="AE586" s="649" t="str">
        <f t="shared" si="126"/>
        <v/>
      </c>
      <c r="AF586" s="72"/>
      <c r="AG586" s="644">
        <f>IFERROR(IF($AV586="No",0,IF($AV586="yes",Summary!Q586,"")),"")</f>
        <v>0</v>
      </c>
      <c r="AH586" s="646">
        <f>IFERROR(IF($AV586="No",0,IF($AV586="yes",Summary!R586,"")),"")</f>
        <v>0</v>
      </c>
      <c r="AI586" s="646">
        <f>IFERROR(IF($AV586="No",0,IF($AV586="yes",Summary!S586,"")),"")</f>
        <v>0</v>
      </c>
      <c r="AJ586" s="647">
        <f>IFERROR(IF($AV586="No",0,IF($AV586="yes",Summary!T586,"")),"")</f>
        <v>0</v>
      </c>
      <c r="AK586" s="648">
        <f>IFERROR(IF($AV586="No",0,IF($AV586="yes",Summary!U586,"")),"")</f>
        <v>0</v>
      </c>
      <c r="AL586" s="646">
        <f>IFERROR(IF($AV586="No",0,IF($AV586="yes",Summary!V586,"")),"")</f>
        <v>0</v>
      </c>
      <c r="AM586" s="646">
        <f>IFERROR(IF($AV586="No",0,IF($AV586="yes",Summary!W586,"")),"")</f>
        <v>0</v>
      </c>
      <c r="AN586" s="646">
        <f>IFERROR(IF($AV586="No",0,IF($AV586="yes",Summary!X586,"")),"")</f>
        <v>0</v>
      </c>
      <c r="AO586" s="646">
        <f>IFERROR(IF($AV586="No",0,IF($AV586="yes",Summary!Y586+Z586,"")),"")</f>
        <v>0</v>
      </c>
      <c r="AP586" s="646">
        <f>IFERROR(IF($AV586="No",0,IF($AV586="yes",Summary!AB586,"")),"")</f>
        <v>0</v>
      </c>
      <c r="AQ586" s="649" t="str">
        <f t="shared" si="127"/>
        <v/>
      </c>
      <c r="AR586" s="649" t="str">
        <f t="shared" si="131"/>
        <v/>
      </c>
      <c r="AS586" s="649" t="str">
        <f t="shared" si="128"/>
        <v/>
      </c>
      <c r="AT586" s="641" t="s">
        <v>1060</v>
      </c>
      <c r="AV586" t="str">
        <f>IF('Proposed Lighting'!AK283&gt;0,"No","Yes")</f>
        <v>Yes</v>
      </c>
    </row>
    <row r="587" spans="1:48" ht="34.5" customHeight="1" outlineLevel="1">
      <c r="A587" s="641" t="s">
        <v>1061</v>
      </c>
      <c r="B587" s="641" t="str">
        <f>IF('Proposed Lighting'!AU284=3,"Commercial-All Com-ExtLight",IF('Proposed Lighting'!AH284&gt;8759,"IPC_8760","Commercial-All Com-IntLight"))</f>
        <v>IPC_8760</v>
      </c>
      <c r="C587" s="641" t="str">
        <f>IF(OR(E587="",E587=0),"No",
IF(AND('Data Entry'!$AF$23="OR",AE587&lt;1),"No",
IF(AND('Data Entry'!$AF$23="ID",E587="Non-standard lighting control system",AD587&lt;1),"No",
IF(AND('Data Entry'!$AF$23="OR",'Proposed Lighting'!F284="Existing LED (Provide Description)",'Proposed Lighting'!AK284=""),"No",
IF('Proposed Lighting'!DD284="Submit Control as Non-Standard","No",
IF(AND('Proposed Lighting'!T284="Non-Standard (Provide Description)",AD587&lt;1),"No",
IF('Proposed Lighting'!AW284&lt;'Proposed Lighting'!AZ284,"No","Yes")))))))</f>
        <v>No</v>
      </c>
      <c r="D587" s="1604">
        <f>'Proposed Lighting'!BQ284-Q587</f>
        <v>0</v>
      </c>
      <c r="E587" s="642" t="str">
        <f>IF('Proposed Lighting'!W284="","",'Proposed Lighting'!W284)</f>
        <v/>
      </c>
      <c r="F587" s="642"/>
      <c r="G587" s="641" t="s">
        <v>786</v>
      </c>
      <c r="H587" s="643">
        <v>10</v>
      </c>
      <c r="I587" s="644">
        <v>1</v>
      </c>
      <c r="J587" s="723">
        <f>IF('Proposed Lighting'!EF284=0,'Proposed Lighting'!AA284,'Proposed Lighting'!EF284)</f>
        <v>0</v>
      </c>
      <c r="K587" s="643" t="str">
        <f>'Proposed Lighting'!CU284</f>
        <v/>
      </c>
      <c r="L587" s="643" t="str">
        <f t="shared" si="129"/>
        <v/>
      </c>
      <c r="M587" s="645">
        <f t="shared" si="119"/>
        <v>0</v>
      </c>
      <c r="N587" s="645"/>
      <c r="O587" s="722">
        <f>IFERROR('Proposed Lighting'!AC284/1000,0)</f>
        <v>0</v>
      </c>
      <c r="P587" s="644">
        <f>'Proposed Lighting'!AV284</f>
        <v>0</v>
      </c>
      <c r="Q587" s="644">
        <f>IF(AND('Proposed Lighting'!T284="Lighting Controls Only",'Data Entry'!$AF$23="OR",'Proposed Lighting'!AU284=2),0,
IF(AND('Proposed Lighting'!T284="Lighting Controls Only",'Data Entry'!$AF$23="OR",'Proposed Lighting'!AU284=3,OR('Proposed Lighting'!W284="ceiling mount",'Proposed Lighting'!W284="wall switch",'Proposed Lighting'!W284="fixture mount (on exisiting equip)",'Proposed Lighting'!W284="daylight harvesting (on existing equip)")),0,
IF('Proposed Lighting'!AF284=1,IF(P587=0,0,J587*O587*(L587*(1-P587))),IF('Proposed Lighting'!AU284=1,0,'Proposed Lighting'!AX284-'Proposed Lighting'!AY284))))</f>
        <v>0</v>
      </c>
      <c r="R587" s="646">
        <f>IF('Proposed Lighting'!T284="Non-standard (provide description",0,
IF(AND(E587="Non-standard control",'Proposed Lighting'!AU284=2),Q587*0.1,
IF(AND(E587="Non-standard control",'Proposed Lighting'!AU284=3),Q587*0.08,
IF('Proposed Lighting'!EF284=0,0,IF('Proposed Lighting'!AU284=1,0,
IF(AND('Data Entry'!$AF$23="ID",'Proposed Lighting'!T284="Lighting controls only"),VLOOKUP(E587,'Proposed Lighting'!$DO$97:$DP$106,2,FALSE),
IF(AND('Data Entry'!$AF$23="OR",'Proposed Lighting'!AU284=3,'Proposed Lighting'!T284="Lighting controls only"),VLOOKUP(E587,'Proposed Lighting'!$DO$127:$DP$134,2,FALSE),0)))))))*J587</f>
        <v>0</v>
      </c>
      <c r="S587" s="646">
        <f>IF(Q587&lt;0.01,0,IF('Proposed Lighting'!AK284&gt;0,'Proposed Lighting'!AK284*'Proposed Lighting'!EF284,0))</f>
        <v>0</v>
      </c>
      <c r="T587" s="647">
        <f t="shared" si="130"/>
        <v>0</v>
      </c>
      <c r="U587" s="648"/>
      <c r="V587" s="646">
        <f t="shared" si="120"/>
        <v>0</v>
      </c>
      <c r="W587" s="646">
        <f t="shared" si="121"/>
        <v>0</v>
      </c>
      <c r="X587" s="646">
        <f t="shared" si="122"/>
        <v>0</v>
      </c>
      <c r="Y587" s="646"/>
      <c r="Z587" s="646"/>
      <c r="AA587" s="646"/>
      <c r="AB587" s="646">
        <f t="shared" si="123"/>
        <v>0</v>
      </c>
      <c r="AC587" s="649" t="str">
        <f t="shared" si="124"/>
        <v/>
      </c>
      <c r="AD587" s="649" t="str">
        <f t="shared" si="125"/>
        <v/>
      </c>
      <c r="AE587" s="649" t="str">
        <f t="shared" si="126"/>
        <v/>
      </c>
      <c r="AF587" s="72"/>
      <c r="AG587" s="644">
        <f>IFERROR(IF($AV587="No",0,IF($AV587="yes",Summary!Q587,"")),"")</f>
        <v>0</v>
      </c>
      <c r="AH587" s="646">
        <f>IFERROR(IF($AV587="No",0,IF($AV587="yes",Summary!R587,"")),"")</f>
        <v>0</v>
      </c>
      <c r="AI587" s="646">
        <f>IFERROR(IF($AV587="No",0,IF($AV587="yes",Summary!S587,"")),"")</f>
        <v>0</v>
      </c>
      <c r="AJ587" s="647">
        <f>IFERROR(IF($AV587="No",0,IF($AV587="yes",Summary!T587,"")),"")</f>
        <v>0</v>
      </c>
      <c r="AK587" s="648">
        <f>IFERROR(IF($AV587="No",0,IF($AV587="yes",Summary!U587,"")),"")</f>
        <v>0</v>
      </c>
      <c r="AL587" s="646">
        <f>IFERROR(IF($AV587="No",0,IF($AV587="yes",Summary!V587,"")),"")</f>
        <v>0</v>
      </c>
      <c r="AM587" s="646">
        <f>IFERROR(IF($AV587="No",0,IF($AV587="yes",Summary!W587,"")),"")</f>
        <v>0</v>
      </c>
      <c r="AN587" s="646">
        <f>IFERROR(IF($AV587="No",0,IF($AV587="yes",Summary!X587,"")),"")</f>
        <v>0</v>
      </c>
      <c r="AO587" s="646">
        <f>IFERROR(IF($AV587="No",0,IF($AV587="yes",Summary!Y587+Z587,"")),"")</f>
        <v>0</v>
      </c>
      <c r="AP587" s="646">
        <f>IFERROR(IF($AV587="No",0,IF($AV587="yes",Summary!AB587,"")),"")</f>
        <v>0</v>
      </c>
      <c r="AQ587" s="649" t="str">
        <f t="shared" si="127"/>
        <v/>
      </c>
      <c r="AR587" s="649" t="str">
        <f t="shared" si="131"/>
        <v/>
      </c>
      <c r="AS587" s="649" t="str">
        <f t="shared" si="128"/>
        <v/>
      </c>
      <c r="AT587" s="641" t="s">
        <v>1061</v>
      </c>
      <c r="AV587" t="str">
        <f>IF('Proposed Lighting'!AK284&gt;0,"No","Yes")</f>
        <v>Yes</v>
      </c>
    </row>
    <row r="588" spans="1:48" ht="34.5" customHeight="1" outlineLevel="1">
      <c r="A588" s="641" t="s">
        <v>1062</v>
      </c>
      <c r="B588" s="641" t="str">
        <f>IF('Proposed Lighting'!AU285=3,"Commercial-All Com-ExtLight",IF('Proposed Lighting'!AH285&gt;8759,"IPC_8760","Commercial-All Com-IntLight"))</f>
        <v>IPC_8760</v>
      </c>
      <c r="C588" s="641" t="str">
        <f>IF(OR(E588="",E588=0),"No",
IF(AND('Data Entry'!$AF$23="OR",AE588&lt;1),"No",
IF(AND('Data Entry'!$AF$23="ID",E588="Non-standard lighting control system",AD588&lt;1),"No",
IF(AND('Data Entry'!$AF$23="OR",'Proposed Lighting'!F285="Existing LED (Provide Description)",'Proposed Lighting'!AK285=""),"No",
IF('Proposed Lighting'!DD285="Submit Control as Non-Standard","No",
IF(AND('Proposed Lighting'!T285="Non-Standard (Provide Description)",AD588&lt;1),"No",
IF('Proposed Lighting'!AW285&lt;'Proposed Lighting'!AZ285,"No","Yes")))))))</f>
        <v>No</v>
      </c>
      <c r="D588" s="1604">
        <f>'Proposed Lighting'!BQ285-Q588</f>
        <v>0</v>
      </c>
      <c r="E588" s="642" t="str">
        <f>IF('Proposed Lighting'!W285="","",'Proposed Lighting'!W285)</f>
        <v/>
      </c>
      <c r="F588" s="642"/>
      <c r="G588" s="641" t="s">
        <v>786</v>
      </c>
      <c r="H588" s="643">
        <v>10</v>
      </c>
      <c r="I588" s="644">
        <v>1</v>
      </c>
      <c r="J588" s="723">
        <f>IF('Proposed Lighting'!EF285=0,'Proposed Lighting'!AA285,'Proposed Lighting'!EF285)</f>
        <v>0</v>
      </c>
      <c r="K588" s="643" t="str">
        <f>'Proposed Lighting'!CU285</f>
        <v/>
      </c>
      <c r="L588" s="643" t="str">
        <f t="shared" si="129"/>
        <v/>
      </c>
      <c r="M588" s="645">
        <f t="shared" ref="M588:M611" si="132">IFERROR(K588-L588,0)</f>
        <v>0</v>
      </c>
      <c r="N588" s="645"/>
      <c r="O588" s="722">
        <f>IFERROR('Proposed Lighting'!AC285/1000,0)</f>
        <v>0</v>
      </c>
      <c r="P588" s="644">
        <f>'Proposed Lighting'!AV285</f>
        <v>0</v>
      </c>
      <c r="Q588" s="644">
        <f>IF(AND('Proposed Lighting'!T285="Lighting Controls Only",'Data Entry'!$AF$23="OR",'Proposed Lighting'!AU285=2),0,
IF(AND('Proposed Lighting'!T285="Lighting Controls Only",'Data Entry'!$AF$23="OR",'Proposed Lighting'!AU285=3,OR('Proposed Lighting'!W285="ceiling mount",'Proposed Lighting'!W285="wall switch",'Proposed Lighting'!W285="fixture mount (on exisiting equip)",'Proposed Lighting'!W285="daylight harvesting (on existing equip)")),0,
IF('Proposed Lighting'!AF285=1,IF(P588=0,0,J588*O588*(L588*(1-P588))),IF('Proposed Lighting'!AU285=1,0,'Proposed Lighting'!AX285-'Proposed Lighting'!AY285))))</f>
        <v>0</v>
      </c>
      <c r="R588" s="646">
        <f>IF('Proposed Lighting'!T285="Non-standard (provide description",0,
IF(AND(E588="Non-standard control",'Proposed Lighting'!AU285=2),Q588*0.1,
IF(AND(E588="Non-standard control",'Proposed Lighting'!AU285=3),Q588*0.08,
IF('Proposed Lighting'!EF285=0,0,IF('Proposed Lighting'!AU285=1,0,
IF(AND('Data Entry'!$AF$23="ID",'Proposed Lighting'!T285="Lighting controls only"),VLOOKUP(E588,'Proposed Lighting'!$DO$97:$DP$106,2,FALSE),
IF(AND('Data Entry'!$AF$23="OR",'Proposed Lighting'!AU285=3,'Proposed Lighting'!T285="Lighting controls only"),VLOOKUP(E588,'Proposed Lighting'!$DO$127:$DP$134,2,FALSE),0)))))))*J588</f>
        <v>0</v>
      </c>
      <c r="S588" s="646">
        <f>IF(Q588&lt;0.01,0,IF('Proposed Lighting'!AK285&gt;0,'Proposed Lighting'!AK285*'Proposed Lighting'!EF285,0))</f>
        <v>0</v>
      </c>
      <c r="T588" s="647">
        <f t="shared" si="130"/>
        <v>0</v>
      </c>
      <c r="U588" s="648"/>
      <c r="V588" s="646">
        <f t="shared" ref="V588:V611" si="133">IFERROR((PV($C$6,$H588,-(IF(Q588=0,Q588,Q588)))*$C$7)*((1+$C$6)^0.5),0)</f>
        <v>0</v>
      </c>
      <c r="W588" s="646">
        <f t="shared" ref="W588:W611" si="134">IFERROR((VLOOKUP($B588,loadshapeac,$H588+1,FALSE)*$Q588),0)</f>
        <v>0</v>
      </c>
      <c r="X588" s="646">
        <f t="shared" ref="X588:X611" si="135">IFERROR((VLOOKUP($B588,loadshapeac,$H588+1,FALSE)*$Q588)*1.1,0)</f>
        <v>0</v>
      </c>
      <c r="Y588" s="646"/>
      <c r="Z588" s="646"/>
      <c r="AA588" s="646"/>
      <c r="AB588" s="646">
        <f t="shared" ref="AB588:AB611" si="136">IFERROR(PV($C$6,$H588,-$AA588)*((1+$C$6)^0.5),0)</f>
        <v>0</v>
      </c>
      <c r="AC588" s="649" t="str">
        <f t="shared" ref="AC588:AC612" si="137">IFERROR(IF($Q588&lt;0,"",(V588+R588+Y588+Z588+AB588)/(S588)),"")</f>
        <v/>
      </c>
      <c r="AD588" s="649" t="str">
        <f t="shared" ref="AD588:AD611" si="138">IFERROR(IF($Q588&lt;0,"",(I588*W588)/(((IF(Q588=0,Q588,Q588))*U588)+R588)),"")</f>
        <v/>
      </c>
      <c r="AE588" s="649" t="str">
        <f t="shared" ref="AE588:AE612" si="139">IFERROR(IF($Q588&lt;0,"",IF(S588=0,((X588+Y588+Z588+AB588)*I588)/((Q588*U588)+R588),((X588+Y588+Z588+AB588)*I588)/((Q588*U588)+R588+((S588-R588)*I588)))),"")</f>
        <v/>
      </c>
      <c r="AF588" s="72"/>
      <c r="AG588" s="644">
        <f>IFERROR(IF($AV588="No",0,IF($AV588="yes",Summary!Q588,"")),"")</f>
        <v>0</v>
      </c>
      <c r="AH588" s="646">
        <f>IFERROR(IF($AV588="No",0,IF($AV588="yes",Summary!R588,"")),"")</f>
        <v>0</v>
      </c>
      <c r="AI588" s="646">
        <f>IFERROR(IF($AV588="No",0,IF($AV588="yes",Summary!S588,"")),"")</f>
        <v>0</v>
      </c>
      <c r="AJ588" s="647">
        <f>IFERROR(IF($AV588="No",0,IF($AV588="yes",Summary!T588,"")),"")</f>
        <v>0</v>
      </c>
      <c r="AK588" s="648">
        <f>IFERROR(IF($AV588="No",0,IF($AV588="yes",Summary!U588,"")),"")</f>
        <v>0</v>
      </c>
      <c r="AL588" s="646">
        <f>IFERROR(IF($AV588="No",0,IF($AV588="yes",Summary!V588,"")),"")</f>
        <v>0</v>
      </c>
      <c r="AM588" s="646">
        <f>IFERROR(IF($AV588="No",0,IF($AV588="yes",Summary!W588,"")),"")</f>
        <v>0</v>
      </c>
      <c r="AN588" s="646">
        <f>IFERROR(IF($AV588="No",0,IF($AV588="yes",Summary!X588,"")),"")</f>
        <v>0</v>
      </c>
      <c r="AO588" s="646">
        <f>IFERROR(IF($AV588="No",0,IF($AV588="yes",Summary!Y588+Z588,"")),"")</f>
        <v>0</v>
      </c>
      <c r="AP588" s="646">
        <f>IFERROR(IF($AV588="No",0,IF($AV588="yes",Summary!AB588,"")),"")</f>
        <v>0</v>
      </c>
      <c r="AQ588" s="649" t="str">
        <f t="shared" si="127"/>
        <v/>
      </c>
      <c r="AR588" s="649" t="str">
        <f t="shared" si="131"/>
        <v/>
      </c>
      <c r="AS588" s="649" t="str">
        <f t="shared" si="128"/>
        <v/>
      </c>
      <c r="AT588" s="641" t="s">
        <v>1062</v>
      </c>
      <c r="AV588" t="str">
        <f>IF('Proposed Lighting'!AK285&gt;0,"No","Yes")</f>
        <v>Yes</v>
      </c>
    </row>
    <row r="589" spans="1:48" ht="34.5" customHeight="1" outlineLevel="1">
      <c r="A589" s="641" t="s">
        <v>1063</v>
      </c>
      <c r="B589" s="641" t="str">
        <f>IF('Proposed Lighting'!AU286=3,"Commercial-All Com-ExtLight",IF('Proposed Lighting'!AH286&gt;8759,"IPC_8760","Commercial-All Com-IntLight"))</f>
        <v>IPC_8760</v>
      </c>
      <c r="C589" s="641" t="str">
        <f>IF(OR(E589="",E589=0),"No",
IF(AND('Data Entry'!$AF$23="OR",AE589&lt;1),"No",
IF(AND('Data Entry'!$AF$23="ID",E589="Non-standard lighting control system",AD589&lt;1),"No",
IF(AND('Data Entry'!$AF$23="OR",'Proposed Lighting'!F286="Existing LED (Provide Description)",'Proposed Lighting'!AK286=""),"No",
IF('Proposed Lighting'!DD286="Submit Control as Non-Standard","No",
IF(AND('Proposed Lighting'!T286="Non-Standard (Provide Description)",AD589&lt;1),"No",
IF('Proposed Lighting'!AW286&lt;'Proposed Lighting'!AZ286,"No","Yes")))))))</f>
        <v>No</v>
      </c>
      <c r="D589" s="1604">
        <f>'Proposed Lighting'!BQ286-Q589</f>
        <v>0</v>
      </c>
      <c r="E589" s="642" t="str">
        <f>IF('Proposed Lighting'!W286="","",'Proposed Lighting'!W286)</f>
        <v/>
      </c>
      <c r="F589" s="642"/>
      <c r="G589" s="641" t="s">
        <v>786</v>
      </c>
      <c r="H589" s="643">
        <v>10</v>
      </c>
      <c r="I589" s="644">
        <v>1</v>
      </c>
      <c r="J589" s="723">
        <f>IF('Proposed Lighting'!EF286=0,'Proposed Lighting'!AA286,'Proposed Lighting'!EF286)</f>
        <v>0</v>
      </c>
      <c r="K589" s="643" t="str">
        <f>'Proposed Lighting'!CU286</f>
        <v/>
      </c>
      <c r="L589" s="643" t="str">
        <f t="shared" si="129"/>
        <v/>
      </c>
      <c r="M589" s="645">
        <f t="shared" si="132"/>
        <v>0</v>
      </c>
      <c r="N589" s="645"/>
      <c r="O589" s="722">
        <f>IFERROR('Proposed Lighting'!AC286/1000,0)</f>
        <v>0</v>
      </c>
      <c r="P589" s="644">
        <f>'Proposed Lighting'!AV286</f>
        <v>0</v>
      </c>
      <c r="Q589" s="644">
        <f>IF(AND('Proposed Lighting'!T286="Lighting Controls Only",'Data Entry'!$AF$23="OR",'Proposed Lighting'!AU286=2),0,
IF(AND('Proposed Lighting'!T286="Lighting Controls Only",'Data Entry'!$AF$23="OR",'Proposed Lighting'!AU286=3,OR('Proposed Lighting'!W286="ceiling mount",'Proposed Lighting'!W286="wall switch",'Proposed Lighting'!W286="fixture mount (on exisiting equip)",'Proposed Lighting'!W286="daylight harvesting (on existing equip)")),0,
IF('Proposed Lighting'!AF286=1,IF(P589=0,0,J589*O589*(L589*(1-P589))),IF('Proposed Lighting'!AU286=1,0,'Proposed Lighting'!AX286-'Proposed Lighting'!AY286))))</f>
        <v>0</v>
      </c>
      <c r="R589" s="646">
        <f>IF('Proposed Lighting'!T286="Non-standard (provide description",0,
IF(AND(E589="Non-standard control",'Proposed Lighting'!AU286=2),Q589*0.1,
IF(AND(E589="Non-standard control",'Proposed Lighting'!AU286=3),Q589*0.08,
IF('Proposed Lighting'!EF286=0,0,IF('Proposed Lighting'!AU286=1,0,
IF(AND('Data Entry'!$AF$23="ID",'Proposed Lighting'!T286="Lighting controls only"),VLOOKUP(E589,'Proposed Lighting'!$DO$97:$DP$106,2,FALSE),
IF(AND('Data Entry'!$AF$23="OR",'Proposed Lighting'!AU286=3,'Proposed Lighting'!T286="Lighting controls only"),VLOOKUP(E589,'Proposed Lighting'!$DO$127:$DP$134,2,FALSE),0)))))))*J589</f>
        <v>0</v>
      </c>
      <c r="S589" s="646">
        <f>IF(Q589&lt;0.01,0,IF('Proposed Lighting'!AK286&gt;0,'Proposed Lighting'!AK286*'Proposed Lighting'!EF286,0))</f>
        <v>0</v>
      </c>
      <c r="T589" s="647">
        <f t="shared" si="130"/>
        <v>0</v>
      </c>
      <c r="U589" s="648"/>
      <c r="V589" s="646">
        <f t="shared" si="133"/>
        <v>0</v>
      </c>
      <c r="W589" s="646">
        <f t="shared" si="134"/>
        <v>0</v>
      </c>
      <c r="X589" s="646">
        <f t="shared" si="135"/>
        <v>0</v>
      </c>
      <c r="Y589" s="646"/>
      <c r="Z589" s="646"/>
      <c r="AA589" s="646"/>
      <c r="AB589" s="646">
        <f t="shared" si="136"/>
        <v>0</v>
      </c>
      <c r="AC589" s="649" t="str">
        <f t="shared" si="137"/>
        <v/>
      </c>
      <c r="AD589" s="649" t="str">
        <f t="shared" si="138"/>
        <v/>
      </c>
      <c r="AE589" s="649" t="str">
        <f t="shared" si="139"/>
        <v/>
      </c>
      <c r="AF589" s="72"/>
      <c r="AG589" s="644">
        <f>IFERROR(IF($AV589="No",0,IF($AV589="yes",Summary!Q589,"")),"")</f>
        <v>0</v>
      </c>
      <c r="AH589" s="646">
        <f>IFERROR(IF($AV589="No",0,IF($AV589="yes",Summary!R589,"")),"")</f>
        <v>0</v>
      </c>
      <c r="AI589" s="646">
        <f>IFERROR(IF($AV589="No",0,IF($AV589="yes",Summary!S589,"")),"")</f>
        <v>0</v>
      </c>
      <c r="AJ589" s="647">
        <f>IFERROR(IF($AV589="No",0,IF($AV589="yes",Summary!T589,"")),"")</f>
        <v>0</v>
      </c>
      <c r="AK589" s="648">
        <f>IFERROR(IF($AV589="No",0,IF($AV589="yes",Summary!U589,"")),"")</f>
        <v>0</v>
      </c>
      <c r="AL589" s="646">
        <f>IFERROR(IF($AV589="No",0,IF($AV589="yes",Summary!V589,"")),"")</f>
        <v>0</v>
      </c>
      <c r="AM589" s="646">
        <f>IFERROR(IF($AV589="No",0,IF($AV589="yes",Summary!W589,"")),"")</f>
        <v>0</v>
      </c>
      <c r="AN589" s="646">
        <f>IFERROR(IF($AV589="No",0,IF($AV589="yes",Summary!X589,"")),"")</f>
        <v>0</v>
      </c>
      <c r="AO589" s="646">
        <f>IFERROR(IF($AV589="No",0,IF($AV589="yes",Summary!Y589+Z589,"")),"")</f>
        <v>0</v>
      </c>
      <c r="AP589" s="646">
        <f>IFERROR(IF($AV589="No",0,IF($AV589="yes",Summary!AB589,"")),"")</f>
        <v>0</v>
      </c>
      <c r="AQ589" s="649" t="str">
        <f t="shared" si="127"/>
        <v/>
      </c>
      <c r="AR589" s="649" t="str">
        <f t="shared" si="131"/>
        <v/>
      </c>
      <c r="AS589" s="649" t="str">
        <f t="shared" si="128"/>
        <v/>
      </c>
      <c r="AT589" s="641" t="s">
        <v>1063</v>
      </c>
      <c r="AV589" t="str">
        <f>IF('Proposed Lighting'!AK286&gt;0,"No","Yes")</f>
        <v>Yes</v>
      </c>
    </row>
    <row r="590" spans="1:48" ht="34.5" customHeight="1" outlineLevel="1">
      <c r="A590" s="641" t="s">
        <v>1064</v>
      </c>
      <c r="B590" s="641" t="str">
        <f>IF('Proposed Lighting'!AU287=3,"Commercial-All Com-ExtLight",IF('Proposed Lighting'!AH287&gt;8759,"IPC_8760","Commercial-All Com-IntLight"))</f>
        <v>IPC_8760</v>
      </c>
      <c r="C590" s="641" t="str">
        <f>IF(OR(E590="",E590=0),"No",
IF(AND('Data Entry'!$AF$23="OR",AE590&lt;1),"No",
IF(AND('Data Entry'!$AF$23="ID",E590="Non-standard lighting control system",AD590&lt;1),"No",
IF(AND('Data Entry'!$AF$23="OR",'Proposed Lighting'!F287="Existing LED (Provide Description)",'Proposed Lighting'!AK287=""),"No",
IF('Proposed Lighting'!DD287="Submit Control as Non-Standard","No",
IF(AND('Proposed Lighting'!T287="Non-Standard (Provide Description)",AD590&lt;1),"No",
IF('Proposed Lighting'!AW287&lt;'Proposed Lighting'!AZ287,"No","Yes")))))))</f>
        <v>No</v>
      </c>
      <c r="D590" s="1604">
        <f>'Proposed Lighting'!BQ287-Q590</f>
        <v>0</v>
      </c>
      <c r="E590" s="642" t="str">
        <f>IF('Proposed Lighting'!W287="","",'Proposed Lighting'!W287)</f>
        <v/>
      </c>
      <c r="F590" s="642"/>
      <c r="G590" s="641" t="s">
        <v>786</v>
      </c>
      <c r="H590" s="643">
        <v>10</v>
      </c>
      <c r="I590" s="644">
        <v>1</v>
      </c>
      <c r="J590" s="723">
        <f>IF('Proposed Lighting'!EF287=0,'Proposed Lighting'!AA287,'Proposed Lighting'!EF287)</f>
        <v>0</v>
      </c>
      <c r="K590" s="643" t="str">
        <f>'Proposed Lighting'!CU287</f>
        <v/>
      </c>
      <c r="L590" s="643" t="str">
        <f t="shared" si="129"/>
        <v/>
      </c>
      <c r="M590" s="645">
        <f t="shared" si="132"/>
        <v>0</v>
      </c>
      <c r="N590" s="645"/>
      <c r="O590" s="722">
        <f>IFERROR('Proposed Lighting'!AC287/1000,0)</f>
        <v>0</v>
      </c>
      <c r="P590" s="644">
        <f>'Proposed Lighting'!AV287</f>
        <v>0</v>
      </c>
      <c r="Q590" s="644">
        <f>IF(AND('Proposed Lighting'!T287="Lighting Controls Only",'Data Entry'!$AF$23="OR",'Proposed Lighting'!AU287=2),0,
IF(AND('Proposed Lighting'!T287="Lighting Controls Only",'Data Entry'!$AF$23="OR",'Proposed Lighting'!AU287=3,OR('Proposed Lighting'!W287="ceiling mount",'Proposed Lighting'!W287="wall switch",'Proposed Lighting'!W287="fixture mount (on exisiting equip)",'Proposed Lighting'!W287="daylight harvesting (on existing equip)")),0,
IF('Proposed Lighting'!AF287=1,IF(P590=0,0,J590*O590*(L590*(1-P590))),IF('Proposed Lighting'!AU287=1,0,'Proposed Lighting'!AX287-'Proposed Lighting'!AY287))))</f>
        <v>0</v>
      </c>
      <c r="R590" s="646">
        <f>IF('Proposed Lighting'!T287="Non-standard (provide description",0,
IF(AND(E590="Non-standard control",'Proposed Lighting'!AU287=2),Q590*0.1,
IF(AND(E590="Non-standard control",'Proposed Lighting'!AU287=3),Q590*0.08,
IF('Proposed Lighting'!EF287=0,0,IF('Proposed Lighting'!AU287=1,0,
IF(AND('Data Entry'!$AF$23="ID",'Proposed Lighting'!T287="Lighting controls only"),VLOOKUP(E590,'Proposed Lighting'!$DO$97:$DP$106,2,FALSE),
IF(AND('Data Entry'!$AF$23="OR",'Proposed Lighting'!AU287=3,'Proposed Lighting'!T287="Lighting controls only"),VLOOKUP(E590,'Proposed Lighting'!$DO$127:$DP$134,2,FALSE),0)))))))*J590</f>
        <v>0</v>
      </c>
      <c r="S590" s="646">
        <f>IF(Q590&lt;0.01,0,IF('Proposed Lighting'!AK287&gt;0,'Proposed Lighting'!AK287*'Proposed Lighting'!EF287,0))</f>
        <v>0</v>
      </c>
      <c r="T590" s="647">
        <f t="shared" si="130"/>
        <v>0</v>
      </c>
      <c r="U590" s="648"/>
      <c r="V590" s="646">
        <f t="shared" si="133"/>
        <v>0</v>
      </c>
      <c r="W590" s="646">
        <f t="shared" si="134"/>
        <v>0</v>
      </c>
      <c r="X590" s="646">
        <f t="shared" si="135"/>
        <v>0</v>
      </c>
      <c r="Y590" s="646"/>
      <c r="Z590" s="646"/>
      <c r="AA590" s="646"/>
      <c r="AB590" s="646">
        <f t="shared" si="136"/>
        <v>0</v>
      </c>
      <c r="AC590" s="649" t="str">
        <f t="shared" si="137"/>
        <v/>
      </c>
      <c r="AD590" s="649" t="str">
        <f t="shared" si="138"/>
        <v/>
      </c>
      <c r="AE590" s="649" t="str">
        <f t="shared" si="139"/>
        <v/>
      </c>
      <c r="AF590" s="72"/>
      <c r="AG590" s="644">
        <f>IFERROR(IF($AV590="No",0,IF($AV590="yes",Summary!Q590,"")),"")</f>
        <v>0</v>
      </c>
      <c r="AH590" s="646">
        <f>IFERROR(IF($AV590="No",0,IF($AV590="yes",Summary!R590,"")),"")</f>
        <v>0</v>
      </c>
      <c r="AI590" s="646">
        <f>IFERROR(IF($AV590="No",0,IF($AV590="yes",Summary!S590,"")),"")</f>
        <v>0</v>
      </c>
      <c r="AJ590" s="647">
        <f>IFERROR(IF($AV590="No",0,IF($AV590="yes",Summary!T590,"")),"")</f>
        <v>0</v>
      </c>
      <c r="AK590" s="648">
        <f>IFERROR(IF($AV590="No",0,IF($AV590="yes",Summary!U590,"")),"")</f>
        <v>0</v>
      </c>
      <c r="AL590" s="646">
        <f>IFERROR(IF($AV590="No",0,IF($AV590="yes",Summary!V590,"")),"")</f>
        <v>0</v>
      </c>
      <c r="AM590" s="646">
        <f>IFERROR(IF($AV590="No",0,IF($AV590="yes",Summary!W590,"")),"")</f>
        <v>0</v>
      </c>
      <c r="AN590" s="646">
        <f>IFERROR(IF($AV590="No",0,IF($AV590="yes",Summary!X590,"")),"")</f>
        <v>0</v>
      </c>
      <c r="AO590" s="646">
        <f>IFERROR(IF($AV590="No",0,IF($AV590="yes",Summary!Y590+Z590,"")),"")</f>
        <v>0</v>
      </c>
      <c r="AP590" s="646">
        <f>IFERROR(IF($AV590="No",0,IF($AV590="yes",Summary!AB590,"")),"")</f>
        <v>0</v>
      </c>
      <c r="AQ590" s="649" t="str">
        <f t="shared" si="127"/>
        <v/>
      </c>
      <c r="AR590" s="649" t="str">
        <f t="shared" si="131"/>
        <v/>
      </c>
      <c r="AS590" s="649" t="str">
        <f t="shared" si="128"/>
        <v/>
      </c>
      <c r="AT590" s="641" t="s">
        <v>1064</v>
      </c>
      <c r="AV590" t="str">
        <f>IF('Proposed Lighting'!AK287&gt;0,"No","Yes")</f>
        <v>Yes</v>
      </c>
    </row>
    <row r="591" spans="1:48" ht="34.5" customHeight="1" outlineLevel="1">
      <c r="A591" s="641" t="s">
        <v>1065</v>
      </c>
      <c r="B591" s="641" t="str">
        <f>IF('Proposed Lighting'!AU288=3,"Commercial-All Com-ExtLight",IF('Proposed Lighting'!AH288&gt;8759,"IPC_8760","Commercial-All Com-IntLight"))</f>
        <v>IPC_8760</v>
      </c>
      <c r="C591" s="641" t="str">
        <f>IF(OR(E591="",E591=0),"No",
IF(AND('Data Entry'!$AF$23="OR",AE591&lt;1),"No",
IF(AND('Data Entry'!$AF$23="ID",E591="Non-standard lighting control system",AD591&lt;1),"No",
IF(AND('Data Entry'!$AF$23="OR",'Proposed Lighting'!F288="Existing LED (Provide Description)",'Proposed Lighting'!AK288=""),"No",
IF('Proposed Lighting'!DD288="Submit Control as Non-Standard","No",
IF(AND('Proposed Lighting'!T288="Non-Standard (Provide Description)",AD591&lt;1),"No",
IF('Proposed Lighting'!AW288&lt;'Proposed Lighting'!AZ288,"No","Yes")))))))</f>
        <v>No</v>
      </c>
      <c r="D591" s="1604">
        <f>'Proposed Lighting'!BQ288-Q591</f>
        <v>0</v>
      </c>
      <c r="E591" s="642" t="str">
        <f>IF('Proposed Lighting'!W288="","",'Proposed Lighting'!W288)</f>
        <v/>
      </c>
      <c r="F591" s="642"/>
      <c r="G591" s="641" t="s">
        <v>786</v>
      </c>
      <c r="H591" s="643">
        <v>10</v>
      </c>
      <c r="I591" s="644">
        <v>1</v>
      </c>
      <c r="J591" s="723">
        <f>IF('Proposed Lighting'!EF288=0,'Proposed Lighting'!AA288,'Proposed Lighting'!EF288)</f>
        <v>0</v>
      </c>
      <c r="K591" s="643" t="str">
        <f>'Proposed Lighting'!CU288</f>
        <v/>
      </c>
      <c r="L591" s="643" t="str">
        <f t="shared" si="129"/>
        <v/>
      </c>
      <c r="M591" s="645">
        <f t="shared" si="132"/>
        <v>0</v>
      </c>
      <c r="N591" s="645"/>
      <c r="O591" s="722">
        <f>IFERROR('Proposed Lighting'!AC288/1000,0)</f>
        <v>0</v>
      </c>
      <c r="P591" s="644">
        <f>'Proposed Lighting'!AV288</f>
        <v>0</v>
      </c>
      <c r="Q591" s="644">
        <f>IF(AND('Proposed Lighting'!T288="Lighting Controls Only",'Data Entry'!$AF$23="OR",'Proposed Lighting'!AU288=2),0,
IF(AND('Proposed Lighting'!T288="Lighting Controls Only",'Data Entry'!$AF$23="OR",'Proposed Lighting'!AU288=3,OR('Proposed Lighting'!W288="ceiling mount",'Proposed Lighting'!W288="wall switch",'Proposed Lighting'!W288="fixture mount (on exisiting equip)",'Proposed Lighting'!W288="daylight harvesting (on existing equip)")),0,
IF('Proposed Lighting'!AF288=1,IF(P591=0,0,J591*O591*(L591*(1-P591))),IF('Proposed Lighting'!AU288=1,0,'Proposed Lighting'!AX288-'Proposed Lighting'!AY288))))</f>
        <v>0</v>
      </c>
      <c r="R591" s="646">
        <f>IF('Proposed Lighting'!T288="Non-standard (provide description",0,
IF(AND(E591="Non-standard control",'Proposed Lighting'!AU288=2),Q591*0.1,
IF(AND(E591="Non-standard control",'Proposed Lighting'!AU288=3),Q591*0.08,
IF('Proposed Lighting'!EF288=0,0,IF('Proposed Lighting'!AU288=1,0,
IF(AND('Data Entry'!$AF$23="ID",'Proposed Lighting'!T288="Lighting controls only"),VLOOKUP(E591,'Proposed Lighting'!$DO$97:$DP$106,2,FALSE),
IF(AND('Data Entry'!$AF$23="OR",'Proposed Lighting'!AU288=3,'Proposed Lighting'!T288="Lighting controls only"),VLOOKUP(E591,'Proposed Lighting'!$DO$127:$DP$134,2,FALSE),0)))))))*J591</f>
        <v>0</v>
      </c>
      <c r="S591" s="646">
        <f>IF(Q591&lt;0.01,0,IF('Proposed Lighting'!AK288&gt;0,'Proposed Lighting'!AK288*'Proposed Lighting'!EF288,0))</f>
        <v>0</v>
      </c>
      <c r="T591" s="647">
        <f t="shared" si="130"/>
        <v>0</v>
      </c>
      <c r="U591" s="648"/>
      <c r="V591" s="646">
        <f t="shared" si="133"/>
        <v>0</v>
      </c>
      <c r="W591" s="646">
        <f t="shared" si="134"/>
        <v>0</v>
      </c>
      <c r="X591" s="646">
        <f t="shared" si="135"/>
        <v>0</v>
      </c>
      <c r="Y591" s="646"/>
      <c r="Z591" s="646"/>
      <c r="AA591" s="646"/>
      <c r="AB591" s="646">
        <f t="shared" si="136"/>
        <v>0</v>
      </c>
      <c r="AC591" s="649" t="str">
        <f t="shared" si="137"/>
        <v/>
      </c>
      <c r="AD591" s="649" t="str">
        <f t="shared" si="138"/>
        <v/>
      </c>
      <c r="AE591" s="649" t="str">
        <f t="shared" si="139"/>
        <v/>
      </c>
      <c r="AF591" s="72"/>
      <c r="AG591" s="644">
        <f>IFERROR(IF($AV591="No",0,IF($AV591="yes",Summary!Q591,"")),"")</f>
        <v>0</v>
      </c>
      <c r="AH591" s="646">
        <f>IFERROR(IF($AV591="No",0,IF($AV591="yes",Summary!R591,"")),"")</f>
        <v>0</v>
      </c>
      <c r="AI591" s="646">
        <f>IFERROR(IF($AV591="No",0,IF($AV591="yes",Summary!S591,"")),"")</f>
        <v>0</v>
      </c>
      <c r="AJ591" s="647">
        <f>IFERROR(IF($AV591="No",0,IF($AV591="yes",Summary!T591,"")),"")</f>
        <v>0</v>
      </c>
      <c r="AK591" s="648">
        <f>IFERROR(IF($AV591="No",0,IF($AV591="yes",Summary!U591,"")),"")</f>
        <v>0</v>
      </c>
      <c r="AL591" s="646">
        <f>IFERROR(IF($AV591="No",0,IF($AV591="yes",Summary!V591,"")),"")</f>
        <v>0</v>
      </c>
      <c r="AM591" s="646">
        <f>IFERROR(IF($AV591="No",0,IF($AV591="yes",Summary!W591,"")),"")</f>
        <v>0</v>
      </c>
      <c r="AN591" s="646">
        <f>IFERROR(IF($AV591="No",0,IF($AV591="yes",Summary!X591,"")),"")</f>
        <v>0</v>
      </c>
      <c r="AO591" s="646">
        <f>IFERROR(IF($AV591="No",0,IF($AV591="yes",Summary!Y591+Z591,"")),"")</f>
        <v>0</v>
      </c>
      <c r="AP591" s="646">
        <f>IFERROR(IF($AV591="No",0,IF($AV591="yes",Summary!AB591,"")),"")</f>
        <v>0</v>
      </c>
      <c r="AQ591" s="649" t="str">
        <f t="shared" si="127"/>
        <v/>
      </c>
      <c r="AR591" s="649" t="str">
        <f t="shared" si="131"/>
        <v/>
      </c>
      <c r="AS591" s="649" t="str">
        <f t="shared" si="128"/>
        <v/>
      </c>
      <c r="AT591" s="641" t="s">
        <v>1065</v>
      </c>
      <c r="AV591" t="str">
        <f>IF('Proposed Lighting'!AK288&gt;0,"No","Yes")</f>
        <v>Yes</v>
      </c>
    </row>
    <row r="592" spans="1:48" ht="34.5" customHeight="1" outlineLevel="1">
      <c r="A592" s="641" t="s">
        <v>1066</v>
      </c>
      <c r="B592" s="641" t="str">
        <f>IF('Proposed Lighting'!AU289=3,"Commercial-All Com-ExtLight",IF('Proposed Lighting'!AH289&gt;8759,"IPC_8760","Commercial-All Com-IntLight"))</f>
        <v>IPC_8760</v>
      </c>
      <c r="C592" s="641" t="str">
        <f>IF(OR(E592="",E592=0),"No",
IF(AND('Data Entry'!$AF$23="OR",AE592&lt;1),"No",
IF(AND('Data Entry'!$AF$23="ID",E592="Non-standard lighting control system",AD592&lt;1),"No",
IF(AND('Data Entry'!$AF$23="OR",'Proposed Lighting'!F289="Existing LED (Provide Description)",'Proposed Lighting'!AK289=""),"No",
IF('Proposed Lighting'!DD289="Submit Control as Non-Standard","No",
IF(AND('Proposed Lighting'!T289="Non-Standard (Provide Description)",AD592&lt;1),"No",
IF('Proposed Lighting'!AW289&lt;'Proposed Lighting'!AZ289,"No","Yes")))))))</f>
        <v>No</v>
      </c>
      <c r="D592" s="1604">
        <f>'Proposed Lighting'!BQ289-Q592</f>
        <v>0</v>
      </c>
      <c r="E592" s="642" t="str">
        <f>IF('Proposed Lighting'!W289="","",'Proposed Lighting'!W289)</f>
        <v/>
      </c>
      <c r="F592" s="642"/>
      <c r="G592" s="641" t="s">
        <v>786</v>
      </c>
      <c r="H592" s="643">
        <v>10</v>
      </c>
      <c r="I592" s="644">
        <v>1</v>
      </c>
      <c r="J592" s="723">
        <f>IF('Proposed Lighting'!EF289=0,'Proposed Lighting'!AA289,'Proposed Lighting'!EF289)</f>
        <v>0</v>
      </c>
      <c r="K592" s="643" t="str">
        <f>'Proposed Lighting'!CU289</f>
        <v/>
      </c>
      <c r="L592" s="643" t="str">
        <f t="shared" si="129"/>
        <v/>
      </c>
      <c r="M592" s="645">
        <f t="shared" si="132"/>
        <v>0</v>
      </c>
      <c r="N592" s="645"/>
      <c r="O592" s="722">
        <f>IFERROR('Proposed Lighting'!AC289/1000,0)</f>
        <v>0</v>
      </c>
      <c r="P592" s="644">
        <f>'Proposed Lighting'!AV289</f>
        <v>0</v>
      </c>
      <c r="Q592" s="644">
        <f>IF(AND('Proposed Lighting'!T289="Lighting Controls Only",'Data Entry'!$AF$23="OR",'Proposed Lighting'!AU289=2),0,
IF(AND('Proposed Lighting'!T289="Lighting Controls Only",'Data Entry'!$AF$23="OR",'Proposed Lighting'!AU289=3,OR('Proposed Lighting'!W289="ceiling mount",'Proposed Lighting'!W289="wall switch",'Proposed Lighting'!W289="fixture mount (on exisiting equip)",'Proposed Lighting'!W289="daylight harvesting (on existing equip)")),0,
IF('Proposed Lighting'!AF289=1,IF(P592=0,0,J592*O592*(L592*(1-P592))),IF('Proposed Lighting'!AU289=1,0,'Proposed Lighting'!AX289-'Proposed Lighting'!AY289))))</f>
        <v>0</v>
      </c>
      <c r="R592" s="646">
        <f>IF('Proposed Lighting'!T289="Non-standard (provide description",0,
IF(AND(E592="Non-standard control",'Proposed Lighting'!AU289=2),Q592*0.1,
IF(AND(E592="Non-standard control",'Proposed Lighting'!AU289=3),Q592*0.08,
IF('Proposed Lighting'!EF289=0,0,IF('Proposed Lighting'!AU289=1,0,
IF(AND('Data Entry'!$AF$23="ID",'Proposed Lighting'!T289="Lighting controls only"),VLOOKUP(E592,'Proposed Lighting'!$DO$97:$DP$106,2,FALSE),
IF(AND('Data Entry'!$AF$23="OR",'Proposed Lighting'!AU289=3,'Proposed Lighting'!T289="Lighting controls only"),VLOOKUP(E592,'Proposed Lighting'!$DO$127:$DP$134,2,FALSE),0)))))))*J592</f>
        <v>0</v>
      </c>
      <c r="S592" s="646">
        <f>IF(Q592&lt;0.01,0,IF('Proposed Lighting'!AK289&gt;0,'Proposed Lighting'!AK289*'Proposed Lighting'!EF289,0))</f>
        <v>0</v>
      </c>
      <c r="T592" s="647">
        <f t="shared" si="130"/>
        <v>0</v>
      </c>
      <c r="U592" s="648"/>
      <c r="V592" s="646">
        <f t="shared" si="133"/>
        <v>0</v>
      </c>
      <c r="W592" s="646">
        <f t="shared" si="134"/>
        <v>0</v>
      </c>
      <c r="X592" s="646">
        <f t="shared" si="135"/>
        <v>0</v>
      </c>
      <c r="Y592" s="646"/>
      <c r="Z592" s="646"/>
      <c r="AA592" s="646"/>
      <c r="AB592" s="646">
        <f t="shared" si="136"/>
        <v>0</v>
      </c>
      <c r="AC592" s="649" t="str">
        <f t="shared" si="137"/>
        <v/>
      </c>
      <c r="AD592" s="649" t="str">
        <f t="shared" si="138"/>
        <v/>
      </c>
      <c r="AE592" s="649" t="str">
        <f t="shared" si="139"/>
        <v/>
      </c>
      <c r="AF592" s="72"/>
      <c r="AG592" s="644">
        <f>IFERROR(IF($AV592="No",0,IF($AV592="yes",Summary!Q592,"")),"")</f>
        <v>0</v>
      </c>
      <c r="AH592" s="646">
        <f>IFERROR(IF($AV592="No",0,IF($AV592="yes",Summary!R592,"")),"")</f>
        <v>0</v>
      </c>
      <c r="AI592" s="646">
        <f>IFERROR(IF($AV592="No",0,IF($AV592="yes",Summary!S592,"")),"")</f>
        <v>0</v>
      </c>
      <c r="AJ592" s="647">
        <f>IFERROR(IF($AV592="No",0,IF($AV592="yes",Summary!T592,"")),"")</f>
        <v>0</v>
      </c>
      <c r="AK592" s="648">
        <f>IFERROR(IF($AV592="No",0,IF($AV592="yes",Summary!U592,"")),"")</f>
        <v>0</v>
      </c>
      <c r="AL592" s="646">
        <f>IFERROR(IF($AV592="No",0,IF($AV592="yes",Summary!V592,"")),"")</f>
        <v>0</v>
      </c>
      <c r="AM592" s="646">
        <f>IFERROR(IF($AV592="No",0,IF($AV592="yes",Summary!W592,"")),"")</f>
        <v>0</v>
      </c>
      <c r="AN592" s="646">
        <f>IFERROR(IF($AV592="No",0,IF($AV592="yes",Summary!X592,"")),"")</f>
        <v>0</v>
      </c>
      <c r="AO592" s="646">
        <f>IFERROR(IF($AV592="No",0,IF($AV592="yes",Summary!Y592+Z592,"")),"")</f>
        <v>0</v>
      </c>
      <c r="AP592" s="646">
        <f>IFERROR(IF($AV592="No",0,IF($AV592="yes",Summary!AB592,"")),"")</f>
        <v>0</v>
      </c>
      <c r="AQ592" s="649" t="str">
        <f t="shared" si="127"/>
        <v/>
      </c>
      <c r="AR592" s="649" t="str">
        <f t="shared" si="131"/>
        <v/>
      </c>
      <c r="AS592" s="649" t="str">
        <f t="shared" si="128"/>
        <v/>
      </c>
      <c r="AT592" s="641" t="s">
        <v>1066</v>
      </c>
      <c r="AV592" t="str">
        <f>IF('Proposed Lighting'!AK289&gt;0,"No","Yes")</f>
        <v>Yes</v>
      </c>
    </row>
    <row r="593" spans="1:48" ht="34.5" customHeight="1" outlineLevel="1">
      <c r="A593" s="641" t="s">
        <v>1067</v>
      </c>
      <c r="B593" s="641" t="str">
        <f>IF('Proposed Lighting'!AU290=3,"Commercial-All Com-ExtLight",IF('Proposed Lighting'!AH290&gt;8759,"IPC_8760","Commercial-All Com-IntLight"))</f>
        <v>IPC_8760</v>
      </c>
      <c r="C593" s="641" t="str">
        <f>IF(OR(E593="",E593=0),"No",
IF(AND('Data Entry'!$AF$23="OR",AE593&lt;1),"No",
IF(AND('Data Entry'!$AF$23="ID",E593="Non-standard lighting control system",AD593&lt;1),"No",
IF(AND('Data Entry'!$AF$23="OR",'Proposed Lighting'!F290="Existing LED (Provide Description)",'Proposed Lighting'!AK290=""),"No",
IF('Proposed Lighting'!DD290="Submit Control as Non-Standard","No",
IF(AND('Proposed Lighting'!T290="Non-Standard (Provide Description)",AD593&lt;1),"No",
IF('Proposed Lighting'!AW290&lt;'Proposed Lighting'!AZ290,"No","Yes")))))))</f>
        <v>No</v>
      </c>
      <c r="D593" s="1604">
        <f>'Proposed Lighting'!BQ290-Q593</f>
        <v>0</v>
      </c>
      <c r="E593" s="642" t="str">
        <f>IF('Proposed Lighting'!W290="","",'Proposed Lighting'!W290)</f>
        <v/>
      </c>
      <c r="F593" s="642"/>
      <c r="G593" s="641" t="s">
        <v>786</v>
      </c>
      <c r="H593" s="643">
        <v>10</v>
      </c>
      <c r="I593" s="644">
        <v>1</v>
      </c>
      <c r="J593" s="723">
        <f>IF('Proposed Lighting'!EF290=0,'Proposed Lighting'!AA290,'Proposed Lighting'!EF290)</f>
        <v>0</v>
      </c>
      <c r="K593" s="643" t="str">
        <f>'Proposed Lighting'!CU290</f>
        <v/>
      </c>
      <c r="L593" s="643" t="str">
        <f t="shared" si="129"/>
        <v/>
      </c>
      <c r="M593" s="645">
        <f t="shared" si="132"/>
        <v>0</v>
      </c>
      <c r="N593" s="645"/>
      <c r="O593" s="722">
        <f>IFERROR('Proposed Lighting'!AC290/1000,0)</f>
        <v>0</v>
      </c>
      <c r="P593" s="644">
        <f>'Proposed Lighting'!AV290</f>
        <v>0</v>
      </c>
      <c r="Q593" s="644">
        <f>IF(AND('Proposed Lighting'!T290="Lighting Controls Only",'Data Entry'!$AF$23="OR",'Proposed Lighting'!AU290=2),0,
IF(AND('Proposed Lighting'!T290="Lighting Controls Only",'Data Entry'!$AF$23="OR",'Proposed Lighting'!AU290=3,OR('Proposed Lighting'!W290="ceiling mount",'Proposed Lighting'!W290="wall switch",'Proposed Lighting'!W290="fixture mount (on exisiting equip)",'Proposed Lighting'!W290="daylight harvesting (on existing equip)")),0,
IF('Proposed Lighting'!AF290=1,IF(P593=0,0,J593*O593*(L593*(1-P593))),IF('Proposed Lighting'!AU290=1,0,'Proposed Lighting'!AX290-'Proposed Lighting'!AY290))))</f>
        <v>0</v>
      </c>
      <c r="R593" s="646">
        <f>IF('Proposed Lighting'!T290="Non-standard (provide description",0,
IF(AND(E593="Non-standard control",'Proposed Lighting'!AU290=2),Q593*0.1,
IF(AND(E593="Non-standard control",'Proposed Lighting'!AU290=3),Q593*0.08,
IF('Proposed Lighting'!EF290=0,0,IF('Proposed Lighting'!AU290=1,0,
IF(AND('Data Entry'!$AF$23="ID",'Proposed Lighting'!T290="Lighting controls only"),VLOOKUP(E593,'Proposed Lighting'!$DO$97:$DP$106,2,FALSE),
IF(AND('Data Entry'!$AF$23="OR",'Proposed Lighting'!AU290=3,'Proposed Lighting'!T290="Lighting controls only"),VLOOKUP(E593,'Proposed Lighting'!$DO$127:$DP$134,2,FALSE),0)))))))*J593</f>
        <v>0</v>
      </c>
      <c r="S593" s="646">
        <f>IF(Q593&lt;0.01,0,IF('Proposed Lighting'!AK290&gt;0,'Proposed Lighting'!AK290*'Proposed Lighting'!EF290,0))</f>
        <v>0</v>
      </c>
      <c r="T593" s="647">
        <f t="shared" si="130"/>
        <v>0</v>
      </c>
      <c r="U593" s="648"/>
      <c r="V593" s="646">
        <f t="shared" si="133"/>
        <v>0</v>
      </c>
      <c r="W593" s="646">
        <f t="shared" si="134"/>
        <v>0</v>
      </c>
      <c r="X593" s="646">
        <f t="shared" si="135"/>
        <v>0</v>
      </c>
      <c r="Y593" s="646"/>
      <c r="Z593" s="646"/>
      <c r="AA593" s="646"/>
      <c r="AB593" s="646">
        <f t="shared" si="136"/>
        <v>0</v>
      </c>
      <c r="AC593" s="649" t="str">
        <f t="shared" si="137"/>
        <v/>
      </c>
      <c r="AD593" s="649" t="str">
        <f t="shared" si="138"/>
        <v/>
      </c>
      <c r="AE593" s="649" t="str">
        <f t="shared" si="139"/>
        <v/>
      </c>
      <c r="AF593" s="72"/>
      <c r="AG593" s="644">
        <f>IFERROR(IF($AV593="No",0,IF($AV593="yes",Summary!Q593,"")),"")</f>
        <v>0</v>
      </c>
      <c r="AH593" s="646">
        <f>IFERROR(IF($AV593="No",0,IF($AV593="yes",Summary!R593,"")),"")</f>
        <v>0</v>
      </c>
      <c r="AI593" s="646">
        <f>IFERROR(IF($AV593="No",0,IF($AV593="yes",Summary!S593,"")),"")</f>
        <v>0</v>
      </c>
      <c r="AJ593" s="647">
        <f>IFERROR(IF($AV593="No",0,IF($AV593="yes",Summary!T593,"")),"")</f>
        <v>0</v>
      </c>
      <c r="AK593" s="648">
        <f>IFERROR(IF($AV593="No",0,IF($AV593="yes",Summary!U593,"")),"")</f>
        <v>0</v>
      </c>
      <c r="AL593" s="646">
        <f>IFERROR(IF($AV593="No",0,IF($AV593="yes",Summary!V593,"")),"")</f>
        <v>0</v>
      </c>
      <c r="AM593" s="646">
        <f>IFERROR(IF($AV593="No",0,IF($AV593="yes",Summary!W593,"")),"")</f>
        <v>0</v>
      </c>
      <c r="AN593" s="646">
        <f>IFERROR(IF($AV593="No",0,IF($AV593="yes",Summary!X593,"")),"")</f>
        <v>0</v>
      </c>
      <c r="AO593" s="646">
        <f>IFERROR(IF($AV593="No",0,IF($AV593="yes",Summary!Y593+Z593,"")),"")</f>
        <v>0</v>
      </c>
      <c r="AP593" s="646">
        <f>IFERROR(IF($AV593="No",0,IF($AV593="yes",Summary!AB593,"")),"")</f>
        <v>0</v>
      </c>
      <c r="AQ593" s="649" t="str">
        <f t="shared" si="127"/>
        <v/>
      </c>
      <c r="AR593" s="649" t="str">
        <f t="shared" si="131"/>
        <v/>
      </c>
      <c r="AS593" s="649" t="str">
        <f t="shared" si="128"/>
        <v/>
      </c>
      <c r="AT593" s="641" t="s">
        <v>1067</v>
      </c>
      <c r="AV593" t="str">
        <f>IF('Proposed Lighting'!AK290&gt;0,"No","Yes")</f>
        <v>Yes</v>
      </c>
    </row>
    <row r="594" spans="1:48" ht="34.5" customHeight="1" outlineLevel="1">
      <c r="A594" s="641" t="s">
        <v>1068</v>
      </c>
      <c r="B594" s="641" t="str">
        <f>IF('Proposed Lighting'!AU291=3,"Commercial-All Com-ExtLight",IF('Proposed Lighting'!AH291&gt;8759,"IPC_8760","Commercial-All Com-IntLight"))</f>
        <v>IPC_8760</v>
      </c>
      <c r="C594" s="641" t="str">
        <f>IF(OR(E594="",E594=0),"No",
IF(AND('Data Entry'!$AF$23="OR",AE594&lt;1),"No",
IF(AND('Data Entry'!$AF$23="ID",E594="Non-standard lighting control system",AD594&lt;1),"No",
IF(AND('Data Entry'!$AF$23="OR",'Proposed Lighting'!F291="Existing LED (Provide Description)",'Proposed Lighting'!AK291=""),"No",
IF('Proposed Lighting'!DD291="Submit Control as Non-Standard","No",
IF(AND('Proposed Lighting'!T291="Non-Standard (Provide Description)",AD594&lt;1),"No",
IF('Proposed Lighting'!AW291&lt;'Proposed Lighting'!AZ291,"No","Yes")))))))</f>
        <v>No</v>
      </c>
      <c r="D594" s="1604">
        <f>'Proposed Lighting'!BQ291-Q594</f>
        <v>0</v>
      </c>
      <c r="E594" s="642" t="str">
        <f>IF('Proposed Lighting'!W291="","",'Proposed Lighting'!W291)</f>
        <v/>
      </c>
      <c r="F594" s="642"/>
      <c r="G594" s="641" t="s">
        <v>786</v>
      </c>
      <c r="H594" s="643">
        <v>10</v>
      </c>
      <c r="I594" s="644">
        <v>1</v>
      </c>
      <c r="J594" s="723">
        <f>IF('Proposed Lighting'!EF291=0,'Proposed Lighting'!AA291,'Proposed Lighting'!EF291)</f>
        <v>0</v>
      </c>
      <c r="K594" s="643" t="str">
        <f>'Proposed Lighting'!CU291</f>
        <v/>
      </c>
      <c r="L594" s="643" t="str">
        <f t="shared" si="129"/>
        <v/>
      </c>
      <c r="M594" s="645">
        <f t="shared" si="132"/>
        <v>0</v>
      </c>
      <c r="N594" s="645"/>
      <c r="O594" s="722">
        <f>IFERROR('Proposed Lighting'!AC291/1000,0)</f>
        <v>0</v>
      </c>
      <c r="P594" s="644">
        <f>'Proposed Lighting'!AV291</f>
        <v>0</v>
      </c>
      <c r="Q594" s="644">
        <f>IF(AND('Proposed Lighting'!T291="Lighting Controls Only",'Data Entry'!$AF$23="OR",'Proposed Lighting'!AU291=2),0,
IF(AND('Proposed Lighting'!T291="Lighting Controls Only",'Data Entry'!$AF$23="OR",'Proposed Lighting'!AU291=3,OR('Proposed Lighting'!W291="ceiling mount",'Proposed Lighting'!W291="wall switch",'Proposed Lighting'!W291="fixture mount (on exisiting equip)",'Proposed Lighting'!W291="daylight harvesting (on existing equip)")),0,
IF('Proposed Lighting'!AF291=1,IF(P594=0,0,J594*O594*(L594*(1-P594))),IF('Proposed Lighting'!AU291=1,0,'Proposed Lighting'!AX291-'Proposed Lighting'!AY291))))</f>
        <v>0</v>
      </c>
      <c r="R594" s="646">
        <f>IF('Proposed Lighting'!T291="Non-standard (provide description",0,
IF(AND(E594="Non-standard control",'Proposed Lighting'!AU291=2),Q594*0.1,
IF(AND(E594="Non-standard control",'Proposed Lighting'!AU291=3),Q594*0.08,
IF('Proposed Lighting'!EF291=0,0,IF('Proposed Lighting'!AU291=1,0,
IF(AND('Data Entry'!$AF$23="ID",'Proposed Lighting'!T291="Lighting controls only"),VLOOKUP(E594,'Proposed Lighting'!$DO$97:$DP$106,2,FALSE),
IF(AND('Data Entry'!$AF$23="OR",'Proposed Lighting'!AU291=3,'Proposed Lighting'!T291="Lighting controls only"),VLOOKUP(E594,'Proposed Lighting'!$DO$127:$DP$134,2,FALSE),0)))))))*J594</f>
        <v>0</v>
      </c>
      <c r="S594" s="646">
        <f>IF(Q594&lt;0.01,0,IF('Proposed Lighting'!AK291&gt;0,'Proposed Lighting'!AK291*'Proposed Lighting'!EF291,0))</f>
        <v>0</v>
      </c>
      <c r="T594" s="647">
        <f t="shared" si="130"/>
        <v>0</v>
      </c>
      <c r="U594" s="648"/>
      <c r="V594" s="646">
        <f t="shared" si="133"/>
        <v>0</v>
      </c>
      <c r="W594" s="646">
        <f t="shared" si="134"/>
        <v>0</v>
      </c>
      <c r="X594" s="646">
        <f t="shared" si="135"/>
        <v>0</v>
      </c>
      <c r="Y594" s="646"/>
      <c r="Z594" s="646"/>
      <c r="AA594" s="646"/>
      <c r="AB594" s="646">
        <f t="shared" si="136"/>
        <v>0</v>
      </c>
      <c r="AC594" s="649" t="str">
        <f t="shared" si="137"/>
        <v/>
      </c>
      <c r="AD594" s="649" t="str">
        <f t="shared" si="138"/>
        <v/>
      </c>
      <c r="AE594" s="649" t="str">
        <f t="shared" si="139"/>
        <v/>
      </c>
      <c r="AF594" s="72"/>
      <c r="AG594" s="644">
        <f>IFERROR(IF($AV594="No",0,IF($AV594="yes",Summary!Q594,"")),"")</f>
        <v>0</v>
      </c>
      <c r="AH594" s="646">
        <f>IFERROR(IF($AV594="No",0,IF($AV594="yes",Summary!R594,"")),"")</f>
        <v>0</v>
      </c>
      <c r="AI594" s="646">
        <f>IFERROR(IF($AV594="No",0,IF($AV594="yes",Summary!S594,"")),"")</f>
        <v>0</v>
      </c>
      <c r="AJ594" s="647">
        <f>IFERROR(IF($AV594="No",0,IF($AV594="yes",Summary!T594,"")),"")</f>
        <v>0</v>
      </c>
      <c r="AK594" s="648">
        <f>IFERROR(IF($AV594="No",0,IF($AV594="yes",Summary!U594,"")),"")</f>
        <v>0</v>
      </c>
      <c r="AL594" s="646">
        <f>IFERROR(IF($AV594="No",0,IF($AV594="yes",Summary!V594,"")),"")</f>
        <v>0</v>
      </c>
      <c r="AM594" s="646">
        <f>IFERROR(IF($AV594="No",0,IF($AV594="yes",Summary!W594,"")),"")</f>
        <v>0</v>
      </c>
      <c r="AN594" s="646">
        <f>IFERROR(IF($AV594="No",0,IF($AV594="yes",Summary!X594,"")),"")</f>
        <v>0</v>
      </c>
      <c r="AO594" s="646">
        <f>IFERROR(IF($AV594="No",0,IF($AV594="yes",Summary!Y594+Z594,"")),"")</f>
        <v>0</v>
      </c>
      <c r="AP594" s="646">
        <f>IFERROR(IF($AV594="No",0,IF($AV594="yes",Summary!AB594,"")),"")</f>
        <v>0</v>
      </c>
      <c r="AQ594" s="649" t="str">
        <f t="shared" si="127"/>
        <v/>
      </c>
      <c r="AR594" s="649" t="str">
        <f t="shared" si="131"/>
        <v/>
      </c>
      <c r="AS594" s="649" t="str">
        <f t="shared" si="128"/>
        <v/>
      </c>
      <c r="AT594" s="641" t="s">
        <v>1068</v>
      </c>
      <c r="AV594" t="str">
        <f>IF('Proposed Lighting'!AK291&gt;0,"No","Yes")</f>
        <v>Yes</v>
      </c>
    </row>
    <row r="595" spans="1:48" ht="34.5" customHeight="1" outlineLevel="1">
      <c r="A595" s="641" t="s">
        <v>1069</v>
      </c>
      <c r="B595" s="641" t="str">
        <f>IF('Proposed Lighting'!AU292=3,"Commercial-All Com-ExtLight",IF('Proposed Lighting'!AH292&gt;8759,"IPC_8760","Commercial-All Com-IntLight"))</f>
        <v>IPC_8760</v>
      </c>
      <c r="C595" s="641" t="str">
        <f>IF(OR(E595="",E595=0),"No",
IF(AND('Data Entry'!$AF$23="OR",AE595&lt;1),"No",
IF(AND('Data Entry'!$AF$23="ID",E595="Non-standard lighting control system",AD595&lt;1),"No",
IF(AND('Data Entry'!$AF$23="OR",'Proposed Lighting'!F292="Existing LED (Provide Description)",'Proposed Lighting'!AK292=""),"No",
IF('Proposed Lighting'!DD292="Submit Control as Non-Standard","No",
IF(AND('Proposed Lighting'!T292="Non-Standard (Provide Description)",AD595&lt;1),"No",
IF('Proposed Lighting'!AW292&lt;'Proposed Lighting'!AZ292,"No","Yes")))))))</f>
        <v>No</v>
      </c>
      <c r="D595" s="1604">
        <f>'Proposed Lighting'!BQ292-Q595</f>
        <v>0</v>
      </c>
      <c r="E595" s="642" t="str">
        <f>IF('Proposed Lighting'!W292="","",'Proposed Lighting'!W292)</f>
        <v/>
      </c>
      <c r="F595" s="642"/>
      <c r="G595" s="641" t="s">
        <v>786</v>
      </c>
      <c r="H595" s="643">
        <v>10</v>
      </c>
      <c r="I595" s="644">
        <v>1</v>
      </c>
      <c r="J595" s="723">
        <f>IF('Proposed Lighting'!EF292=0,'Proposed Lighting'!AA292,'Proposed Lighting'!EF292)</f>
        <v>0</v>
      </c>
      <c r="K595" s="643" t="str">
        <f>'Proposed Lighting'!CU292</f>
        <v/>
      </c>
      <c r="L595" s="643" t="str">
        <f t="shared" si="129"/>
        <v/>
      </c>
      <c r="M595" s="645">
        <f t="shared" si="132"/>
        <v>0</v>
      </c>
      <c r="N595" s="645"/>
      <c r="O595" s="722">
        <f>IFERROR('Proposed Lighting'!AC292/1000,0)</f>
        <v>0</v>
      </c>
      <c r="P595" s="644">
        <f>'Proposed Lighting'!AV292</f>
        <v>0</v>
      </c>
      <c r="Q595" s="644">
        <f>IF(AND('Proposed Lighting'!T292="Lighting Controls Only",'Data Entry'!$AF$23="OR",'Proposed Lighting'!AU292=2),0,
IF(AND('Proposed Lighting'!T292="Lighting Controls Only",'Data Entry'!$AF$23="OR",'Proposed Lighting'!AU292=3,OR('Proposed Lighting'!W292="ceiling mount",'Proposed Lighting'!W292="wall switch",'Proposed Lighting'!W292="fixture mount (on exisiting equip)",'Proposed Lighting'!W292="daylight harvesting (on existing equip)")),0,
IF('Proposed Lighting'!AF292=1,IF(P595=0,0,J595*O595*(L595*(1-P595))),IF('Proposed Lighting'!AU292=1,0,'Proposed Lighting'!AX292-'Proposed Lighting'!AY292))))</f>
        <v>0</v>
      </c>
      <c r="R595" s="646">
        <f>IF('Proposed Lighting'!T292="Non-standard (provide description",0,
IF(AND(E595="Non-standard control",'Proposed Lighting'!AU292=2),Q595*0.1,
IF(AND(E595="Non-standard control",'Proposed Lighting'!AU292=3),Q595*0.08,
IF('Proposed Lighting'!EF292=0,0,IF('Proposed Lighting'!AU292=1,0,
IF(AND('Data Entry'!$AF$23="ID",'Proposed Lighting'!T292="Lighting controls only"),VLOOKUP(E595,'Proposed Lighting'!$DO$97:$DP$106,2,FALSE),
IF(AND('Data Entry'!$AF$23="OR",'Proposed Lighting'!AU292=3,'Proposed Lighting'!T292="Lighting controls only"),VLOOKUP(E595,'Proposed Lighting'!$DO$127:$DP$134,2,FALSE),0)))))))*J595</f>
        <v>0</v>
      </c>
      <c r="S595" s="646">
        <f>IF(Q595&lt;0.01,0,IF('Proposed Lighting'!AK292&gt;0,'Proposed Lighting'!AK292*'Proposed Lighting'!EF292,0))</f>
        <v>0</v>
      </c>
      <c r="T595" s="647">
        <f t="shared" si="130"/>
        <v>0</v>
      </c>
      <c r="U595" s="648"/>
      <c r="V595" s="646">
        <f t="shared" si="133"/>
        <v>0</v>
      </c>
      <c r="W595" s="646">
        <f t="shared" si="134"/>
        <v>0</v>
      </c>
      <c r="X595" s="646">
        <f t="shared" si="135"/>
        <v>0</v>
      </c>
      <c r="Y595" s="646"/>
      <c r="Z595" s="646"/>
      <c r="AA595" s="646"/>
      <c r="AB595" s="646">
        <f t="shared" si="136"/>
        <v>0</v>
      </c>
      <c r="AC595" s="649" t="str">
        <f t="shared" si="137"/>
        <v/>
      </c>
      <c r="AD595" s="649" t="str">
        <f t="shared" si="138"/>
        <v/>
      </c>
      <c r="AE595" s="649" t="str">
        <f t="shared" si="139"/>
        <v/>
      </c>
      <c r="AF595" s="72"/>
      <c r="AG595" s="644">
        <f>IFERROR(IF($AV595="No",0,IF($AV595="yes",Summary!Q595,"")),"")</f>
        <v>0</v>
      </c>
      <c r="AH595" s="646">
        <f>IFERROR(IF($AV595="No",0,IF($AV595="yes",Summary!R595,"")),"")</f>
        <v>0</v>
      </c>
      <c r="AI595" s="646">
        <f>IFERROR(IF($AV595="No",0,IF($AV595="yes",Summary!S595,"")),"")</f>
        <v>0</v>
      </c>
      <c r="AJ595" s="647">
        <f>IFERROR(IF($AV595="No",0,IF($AV595="yes",Summary!T595,"")),"")</f>
        <v>0</v>
      </c>
      <c r="AK595" s="648">
        <f>IFERROR(IF($AV595="No",0,IF($AV595="yes",Summary!U595,"")),"")</f>
        <v>0</v>
      </c>
      <c r="AL595" s="646">
        <f>IFERROR(IF($AV595="No",0,IF($AV595="yes",Summary!V595,"")),"")</f>
        <v>0</v>
      </c>
      <c r="AM595" s="646">
        <f>IFERROR(IF($AV595="No",0,IF($AV595="yes",Summary!W595,"")),"")</f>
        <v>0</v>
      </c>
      <c r="AN595" s="646">
        <f>IFERROR(IF($AV595="No",0,IF($AV595="yes",Summary!X595,"")),"")</f>
        <v>0</v>
      </c>
      <c r="AO595" s="646">
        <f>IFERROR(IF($AV595="No",0,IF($AV595="yes",Summary!Y595+Z595,"")),"")</f>
        <v>0</v>
      </c>
      <c r="AP595" s="646">
        <f>IFERROR(IF($AV595="No",0,IF($AV595="yes",Summary!AB595,"")),"")</f>
        <v>0</v>
      </c>
      <c r="AQ595" s="649" t="str">
        <f t="shared" si="127"/>
        <v/>
      </c>
      <c r="AR595" s="649" t="str">
        <f t="shared" si="131"/>
        <v/>
      </c>
      <c r="AS595" s="649" t="str">
        <f t="shared" si="128"/>
        <v/>
      </c>
      <c r="AT595" s="641" t="s">
        <v>1069</v>
      </c>
      <c r="AV595" t="str">
        <f>IF('Proposed Lighting'!AK292&gt;0,"No","Yes")</f>
        <v>Yes</v>
      </c>
    </row>
    <row r="596" spans="1:48" ht="34.5" customHeight="1" outlineLevel="1">
      <c r="A596" s="641" t="s">
        <v>1070</v>
      </c>
      <c r="B596" s="641" t="str">
        <f>IF('Proposed Lighting'!AU293=3,"Commercial-All Com-ExtLight",IF('Proposed Lighting'!AH293&gt;8759,"IPC_8760","Commercial-All Com-IntLight"))</f>
        <v>IPC_8760</v>
      </c>
      <c r="C596" s="641" t="str">
        <f>IF(OR(E596="",E596=0),"No",
IF(AND('Data Entry'!$AF$23="OR",AE596&lt;1),"No",
IF(AND('Data Entry'!$AF$23="ID",E596="Non-standard lighting control system",AD596&lt;1),"No",
IF(AND('Data Entry'!$AF$23="OR",'Proposed Lighting'!F293="Existing LED (Provide Description)",'Proposed Lighting'!AK293=""),"No",
IF('Proposed Lighting'!DD293="Submit Control as Non-Standard","No",
IF(AND('Proposed Lighting'!T293="Non-Standard (Provide Description)",AD596&lt;1),"No",
IF('Proposed Lighting'!AW293&lt;'Proposed Lighting'!AZ293,"No","Yes")))))))</f>
        <v>No</v>
      </c>
      <c r="D596" s="1604">
        <f>'Proposed Lighting'!BQ293-Q596</f>
        <v>0</v>
      </c>
      <c r="E596" s="642" t="str">
        <f>IF('Proposed Lighting'!W293="","",'Proposed Lighting'!W293)</f>
        <v/>
      </c>
      <c r="F596" s="642"/>
      <c r="G596" s="641" t="s">
        <v>786</v>
      </c>
      <c r="H596" s="643">
        <v>10</v>
      </c>
      <c r="I596" s="644">
        <v>1</v>
      </c>
      <c r="J596" s="723">
        <f>IF('Proposed Lighting'!EF293=0,'Proposed Lighting'!AA293,'Proposed Lighting'!EF293)</f>
        <v>0</v>
      </c>
      <c r="K596" s="643" t="str">
        <f>'Proposed Lighting'!CU293</f>
        <v/>
      </c>
      <c r="L596" s="643" t="str">
        <f t="shared" si="129"/>
        <v/>
      </c>
      <c r="M596" s="645">
        <f t="shared" si="132"/>
        <v>0</v>
      </c>
      <c r="N596" s="645"/>
      <c r="O596" s="722">
        <f>IFERROR('Proposed Lighting'!AC293/1000,0)</f>
        <v>0</v>
      </c>
      <c r="P596" s="644">
        <f>'Proposed Lighting'!AV293</f>
        <v>0</v>
      </c>
      <c r="Q596" s="644">
        <f>IF(AND('Proposed Lighting'!T293="Lighting Controls Only",'Data Entry'!$AF$23="OR",'Proposed Lighting'!AU293=2),0,
IF(AND('Proposed Lighting'!T293="Lighting Controls Only",'Data Entry'!$AF$23="OR",'Proposed Lighting'!AU293=3,OR('Proposed Lighting'!W293="ceiling mount",'Proposed Lighting'!W293="wall switch",'Proposed Lighting'!W293="fixture mount (on exisiting equip)",'Proposed Lighting'!W293="daylight harvesting (on existing equip)")),0,
IF('Proposed Lighting'!AF293=1,IF(P596=0,0,J596*O596*(L596*(1-P596))),IF('Proposed Lighting'!AU293=1,0,'Proposed Lighting'!AX293-'Proposed Lighting'!AY293))))</f>
        <v>0</v>
      </c>
      <c r="R596" s="646">
        <f>IF('Proposed Lighting'!T293="Non-standard (provide description",0,
IF(AND(E596="Non-standard control",'Proposed Lighting'!AU293=2),Q596*0.1,
IF(AND(E596="Non-standard control",'Proposed Lighting'!AU293=3),Q596*0.08,
IF('Proposed Lighting'!EF293=0,0,IF('Proposed Lighting'!AU293=1,0,
IF(AND('Data Entry'!$AF$23="ID",'Proposed Lighting'!T293="Lighting controls only"),VLOOKUP(E596,'Proposed Lighting'!$DO$97:$DP$106,2,FALSE),
IF(AND('Data Entry'!$AF$23="OR",'Proposed Lighting'!AU293=3,'Proposed Lighting'!T293="Lighting controls only"),VLOOKUP(E596,'Proposed Lighting'!$DO$127:$DP$134,2,FALSE),0)))))))*J596</f>
        <v>0</v>
      </c>
      <c r="S596" s="646">
        <f>IF(Q596&lt;0.01,0,IF('Proposed Lighting'!AK293&gt;0,'Proposed Lighting'!AK293*'Proposed Lighting'!EF293,0))</f>
        <v>0</v>
      </c>
      <c r="T596" s="647">
        <f t="shared" si="130"/>
        <v>0</v>
      </c>
      <c r="U596" s="648"/>
      <c r="V596" s="646">
        <f t="shared" si="133"/>
        <v>0</v>
      </c>
      <c r="W596" s="646">
        <f t="shared" si="134"/>
        <v>0</v>
      </c>
      <c r="X596" s="646">
        <f t="shared" si="135"/>
        <v>0</v>
      </c>
      <c r="Y596" s="646"/>
      <c r="Z596" s="646"/>
      <c r="AA596" s="646"/>
      <c r="AB596" s="646">
        <f t="shared" si="136"/>
        <v>0</v>
      </c>
      <c r="AC596" s="649" t="str">
        <f t="shared" si="137"/>
        <v/>
      </c>
      <c r="AD596" s="649" t="str">
        <f t="shared" si="138"/>
        <v/>
      </c>
      <c r="AE596" s="649" t="str">
        <f t="shared" si="139"/>
        <v/>
      </c>
      <c r="AF596" s="72"/>
      <c r="AG596" s="644">
        <f>IFERROR(IF($AV596="No",0,IF($AV596="yes",Summary!Q596,"")),"")</f>
        <v>0</v>
      </c>
      <c r="AH596" s="646">
        <f>IFERROR(IF($AV596="No",0,IF($AV596="yes",Summary!R596,"")),"")</f>
        <v>0</v>
      </c>
      <c r="AI596" s="646">
        <f>IFERROR(IF($AV596="No",0,IF($AV596="yes",Summary!S596,"")),"")</f>
        <v>0</v>
      </c>
      <c r="AJ596" s="647">
        <f>IFERROR(IF($AV596="No",0,IF($AV596="yes",Summary!T596,"")),"")</f>
        <v>0</v>
      </c>
      <c r="AK596" s="648">
        <f>IFERROR(IF($AV596="No",0,IF($AV596="yes",Summary!U596,"")),"")</f>
        <v>0</v>
      </c>
      <c r="AL596" s="646">
        <f>IFERROR(IF($AV596="No",0,IF($AV596="yes",Summary!V596,"")),"")</f>
        <v>0</v>
      </c>
      <c r="AM596" s="646">
        <f>IFERROR(IF($AV596="No",0,IF($AV596="yes",Summary!W596,"")),"")</f>
        <v>0</v>
      </c>
      <c r="AN596" s="646">
        <f>IFERROR(IF($AV596="No",0,IF($AV596="yes",Summary!X596,"")),"")</f>
        <v>0</v>
      </c>
      <c r="AO596" s="646">
        <f>IFERROR(IF($AV596="No",0,IF($AV596="yes",Summary!Y596+Z596,"")),"")</f>
        <v>0</v>
      </c>
      <c r="AP596" s="646">
        <f>IFERROR(IF($AV596="No",0,IF($AV596="yes",Summary!AB596,"")),"")</f>
        <v>0</v>
      </c>
      <c r="AQ596" s="649" t="str">
        <f t="shared" si="127"/>
        <v/>
      </c>
      <c r="AR596" s="649" t="str">
        <f t="shared" si="131"/>
        <v/>
      </c>
      <c r="AS596" s="649" t="str">
        <f t="shared" si="128"/>
        <v/>
      </c>
      <c r="AT596" s="641" t="s">
        <v>1070</v>
      </c>
      <c r="AV596" t="str">
        <f>IF('Proposed Lighting'!AK293&gt;0,"No","Yes")</f>
        <v>Yes</v>
      </c>
    </row>
    <row r="597" spans="1:48" ht="34.5" customHeight="1" outlineLevel="1">
      <c r="A597" s="641" t="s">
        <v>1071</v>
      </c>
      <c r="B597" s="641" t="str">
        <f>IF('Proposed Lighting'!AU294=3,"Commercial-All Com-ExtLight",IF('Proposed Lighting'!AH294&gt;8759,"IPC_8760","Commercial-All Com-IntLight"))</f>
        <v>IPC_8760</v>
      </c>
      <c r="C597" s="641" t="str">
        <f>IF(OR(E597="",E597=0),"No",
IF(AND('Data Entry'!$AF$23="OR",AE597&lt;1),"No",
IF(AND('Data Entry'!$AF$23="ID",E597="Non-standard lighting control system",AD597&lt;1),"No",
IF(AND('Data Entry'!$AF$23="OR",'Proposed Lighting'!F294="Existing LED (Provide Description)",'Proposed Lighting'!AK294=""),"No",
IF('Proposed Lighting'!DD294="Submit Control as Non-Standard","No",
IF(AND('Proposed Lighting'!T294="Non-Standard (Provide Description)",AD597&lt;1),"No",
IF('Proposed Lighting'!AW294&lt;'Proposed Lighting'!AZ294,"No","Yes")))))))</f>
        <v>No</v>
      </c>
      <c r="D597" s="1604">
        <f>'Proposed Lighting'!BQ294-Q597</f>
        <v>0</v>
      </c>
      <c r="E597" s="642" t="str">
        <f>IF('Proposed Lighting'!W294="","",'Proposed Lighting'!W294)</f>
        <v/>
      </c>
      <c r="F597" s="642"/>
      <c r="G597" s="641" t="s">
        <v>786</v>
      </c>
      <c r="H597" s="643">
        <v>10</v>
      </c>
      <c r="I597" s="644">
        <v>1</v>
      </c>
      <c r="J597" s="723">
        <f>IF('Proposed Lighting'!EF294=0,'Proposed Lighting'!AA294,'Proposed Lighting'!EF294)</f>
        <v>0</v>
      </c>
      <c r="K597" s="643" t="str">
        <f>'Proposed Lighting'!CU294</f>
        <v/>
      </c>
      <c r="L597" s="643" t="str">
        <f t="shared" si="129"/>
        <v/>
      </c>
      <c r="M597" s="645">
        <f t="shared" si="132"/>
        <v>0</v>
      </c>
      <c r="N597" s="645"/>
      <c r="O597" s="722">
        <f>IFERROR('Proposed Lighting'!AC294/1000,0)</f>
        <v>0</v>
      </c>
      <c r="P597" s="644">
        <f>'Proposed Lighting'!AV294</f>
        <v>0</v>
      </c>
      <c r="Q597" s="644">
        <f>IF(AND('Proposed Lighting'!T294="Lighting Controls Only",'Data Entry'!$AF$23="OR",'Proposed Lighting'!AU294=2),0,
IF(AND('Proposed Lighting'!T294="Lighting Controls Only",'Data Entry'!$AF$23="OR",'Proposed Lighting'!AU294=3,OR('Proposed Lighting'!W294="ceiling mount",'Proposed Lighting'!W294="wall switch",'Proposed Lighting'!W294="fixture mount (on exisiting equip)",'Proposed Lighting'!W294="daylight harvesting (on existing equip)")),0,
IF('Proposed Lighting'!AF294=1,IF(P597=0,0,J597*O597*(L597*(1-P597))),IF('Proposed Lighting'!AU294=1,0,'Proposed Lighting'!AX294-'Proposed Lighting'!AY294))))</f>
        <v>0</v>
      </c>
      <c r="R597" s="646">
        <f>IF('Proposed Lighting'!T294="Non-standard (provide description",0,
IF(AND(E597="Non-standard control",'Proposed Lighting'!AU294=2),Q597*0.1,
IF(AND(E597="Non-standard control",'Proposed Lighting'!AU294=3),Q597*0.08,
IF('Proposed Lighting'!EF294=0,0,IF('Proposed Lighting'!AU294=1,0,
IF(AND('Data Entry'!$AF$23="ID",'Proposed Lighting'!T294="Lighting controls only"),VLOOKUP(E597,'Proposed Lighting'!$DO$97:$DP$106,2,FALSE),
IF(AND('Data Entry'!$AF$23="OR",'Proposed Lighting'!AU294=3,'Proposed Lighting'!T294="Lighting controls only"),VLOOKUP(E597,'Proposed Lighting'!$DO$127:$DP$134,2,FALSE),0)))))))*J597</f>
        <v>0</v>
      </c>
      <c r="S597" s="646">
        <f>IF(Q597&lt;0.01,0,IF('Proposed Lighting'!AK294&gt;0,'Proposed Lighting'!AK294*'Proposed Lighting'!EF294,0))</f>
        <v>0</v>
      </c>
      <c r="T597" s="647">
        <f t="shared" si="130"/>
        <v>0</v>
      </c>
      <c r="U597" s="648"/>
      <c r="V597" s="646">
        <f t="shared" si="133"/>
        <v>0</v>
      </c>
      <c r="W597" s="646">
        <f t="shared" si="134"/>
        <v>0</v>
      </c>
      <c r="X597" s="646">
        <f t="shared" si="135"/>
        <v>0</v>
      </c>
      <c r="Y597" s="646"/>
      <c r="Z597" s="646"/>
      <c r="AA597" s="646"/>
      <c r="AB597" s="646">
        <f t="shared" si="136"/>
        <v>0</v>
      </c>
      <c r="AC597" s="649" t="str">
        <f t="shared" si="137"/>
        <v/>
      </c>
      <c r="AD597" s="649" t="str">
        <f t="shared" si="138"/>
        <v/>
      </c>
      <c r="AE597" s="649" t="str">
        <f t="shared" si="139"/>
        <v/>
      </c>
      <c r="AF597" s="72"/>
      <c r="AG597" s="644">
        <f>IFERROR(IF($AV597="No",0,IF($AV597="yes",Summary!Q597,"")),"")</f>
        <v>0</v>
      </c>
      <c r="AH597" s="646">
        <f>IFERROR(IF($AV597="No",0,IF($AV597="yes",Summary!R597,"")),"")</f>
        <v>0</v>
      </c>
      <c r="AI597" s="646">
        <f>IFERROR(IF($AV597="No",0,IF($AV597="yes",Summary!S597,"")),"")</f>
        <v>0</v>
      </c>
      <c r="AJ597" s="647">
        <f>IFERROR(IF($AV597="No",0,IF($AV597="yes",Summary!T597,"")),"")</f>
        <v>0</v>
      </c>
      <c r="AK597" s="648">
        <f>IFERROR(IF($AV597="No",0,IF($AV597="yes",Summary!U597,"")),"")</f>
        <v>0</v>
      </c>
      <c r="AL597" s="646">
        <f>IFERROR(IF($AV597="No",0,IF($AV597="yes",Summary!V597,"")),"")</f>
        <v>0</v>
      </c>
      <c r="AM597" s="646">
        <f>IFERROR(IF($AV597="No",0,IF($AV597="yes",Summary!W597,"")),"")</f>
        <v>0</v>
      </c>
      <c r="AN597" s="646">
        <f>IFERROR(IF($AV597="No",0,IF($AV597="yes",Summary!X597,"")),"")</f>
        <v>0</v>
      </c>
      <c r="AO597" s="646">
        <f>IFERROR(IF($AV597="No",0,IF($AV597="yes",Summary!Y597+Z597,"")),"")</f>
        <v>0</v>
      </c>
      <c r="AP597" s="646">
        <f>IFERROR(IF($AV597="No",0,IF($AV597="yes",Summary!AB597,"")),"")</f>
        <v>0</v>
      </c>
      <c r="AQ597" s="649" t="str">
        <f t="shared" si="127"/>
        <v/>
      </c>
      <c r="AR597" s="649" t="str">
        <f t="shared" si="131"/>
        <v/>
      </c>
      <c r="AS597" s="649" t="str">
        <f t="shared" si="128"/>
        <v/>
      </c>
      <c r="AT597" s="641" t="s">
        <v>1071</v>
      </c>
      <c r="AV597" t="str">
        <f>IF('Proposed Lighting'!AK294&gt;0,"No","Yes")</f>
        <v>Yes</v>
      </c>
    </row>
    <row r="598" spans="1:48" ht="34.5" customHeight="1" outlineLevel="1">
      <c r="A598" s="641" t="s">
        <v>1072</v>
      </c>
      <c r="B598" s="641" t="str">
        <f>IF('Proposed Lighting'!AU295=3,"Commercial-All Com-ExtLight",IF('Proposed Lighting'!AH295&gt;8759,"IPC_8760","Commercial-All Com-IntLight"))</f>
        <v>IPC_8760</v>
      </c>
      <c r="C598" s="641" t="str">
        <f>IF(OR(E598="",E598=0),"No",
IF(AND('Data Entry'!$AF$23="OR",AE598&lt;1),"No",
IF(AND('Data Entry'!$AF$23="ID",E598="Non-standard lighting control system",AD598&lt;1),"No",
IF(AND('Data Entry'!$AF$23="OR",'Proposed Lighting'!F295="Existing LED (Provide Description)",'Proposed Lighting'!AK295=""),"No",
IF('Proposed Lighting'!DD295="Submit Control as Non-Standard","No",
IF(AND('Proposed Lighting'!T295="Non-Standard (Provide Description)",AD598&lt;1),"No",
IF('Proposed Lighting'!AW295&lt;'Proposed Lighting'!AZ295,"No","Yes")))))))</f>
        <v>No</v>
      </c>
      <c r="D598" s="1604">
        <f>'Proposed Lighting'!BQ295-Q598</f>
        <v>0</v>
      </c>
      <c r="E598" s="642" t="str">
        <f>IF('Proposed Lighting'!W295="","",'Proposed Lighting'!W295)</f>
        <v/>
      </c>
      <c r="F598" s="642"/>
      <c r="G598" s="641" t="s">
        <v>786</v>
      </c>
      <c r="H598" s="643">
        <v>10</v>
      </c>
      <c r="I598" s="644">
        <v>1</v>
      </c>
      <c r="J598" s="723">
        <f>IF('Proposed Lighting'!EF295=0,'Proposed Lighting'!AA295,'Proposed Lighting'!EF295)</f>
        <v>0</v>
      </c>
      <c r="K598" s="643" t="str">
        <f>'Proposed Lighting'!CU295</f>
        <v/>
      </c>
      <c r="L598" s="643" t="str">
        <f t="shared" si="129"/>
        <v/>
      </c>
      <c r="M598" s="645">
        <f t="shared" si="132"/>
        <v>0</v>
      </c>
      <c r="N598" s="645"/>
      <c r="O598" s="722">
        <f>IFERROR('Proposed Lighting'!AC295/1000,0)</f>
        <v>0</v>
      </c>
      <c r="P598" s="644">
        <f>'Proposed Lighting'!AV295</f>
        <v>0</v>
      </c>
      <c r="Q598" s="644">
        <f>IF(AND('Proposed Lighting'!T295="Lighting Controls Only",'Data Entry'!$AF$23="OR",'Proposed Lighting'!AU295=2),0,
IF(AND('Proposed Lighting'!T295="Lighting Controls Only",'Data Entry'!$AF$23="OR",'Proposed Lighting'!AU295=3,OR('Proposed Lighting'!W295="ceiling mount",'Proposed Lighting'!W295="wall switch",'Proposed Lighting'!W295="fixture mount (on exisiting equip)",'Proposed Lighting'!W295="daylight harvesting (on existing equip)")),0,
IF('Proposed Lighting'!AF295=1,IF(P598=0,0,J598*O598*(L598*(1-P598))),IF('Proposed Lighting'!AU295=1,0,'Proposed Lighting'!AX295-'Proposed Lighting'!AY295))))</f>
        <v>0</v>
      </c>
      <c r="R598" s="646">
        <f>IF('Proposed Lighting'!T295="Non-standard (provide description",0,
IF(AND(E598="Non-standard control",'Proposed Lighting'!AU295=2),Q598*0.1,
IF(AND(E598="Non-standard control",'Proposed Lighting'!AU295=3),Q598*0.08,
IF('Proposed Lighting'!EF295=0,0,IF('Proposed Lighting'!AU295=1,0,
IF(AND('Data Entry'!$AF$23="ID",'Proposed Lighting'!T295="Lighting controls only"),VLOOKUP(E598,'Proposed Lighting'!$DO$97:$DP$106,2,FALSE),
IF(AND('Data Entry'!$AF$23="OR",'Proposed Lighting'!AU295=3,'Proposed Lighting'!T295="Lighting controls only"),VLOOKUP(E598,'Proposed Lighting'!$DO$127:$DP$134,2,FALSE),0)))))))*J598</f>
        <v>0</v>
      </c>
      <c r="S598" s="646">
        <f>IF(Q598&lt;0.01,0,IF('Proposed Lighting'!AK295&gt;0,'Proposed Lighting'!AK295*'Proposed Lighting'!EF295,0))</f>
        <v>0</v>
      </c>
      <c r="T598" s="647">
        <f t="shared" si="130"/>
        <v>0</v>
      </c>
      <c r="U598" s="648"/>
      <c r="V598" s="646">
        <f t="shared" si="133"/>
        <v>0</v>
      </c>
      <c r="W598" s="646">
        <f t="shared" si="134"/>
        <v>0</v>
      </c>
      <c r="X598" s="646">
        <f t="shared" si="135"/>
        <v>0</v>
      </c>
      <c r="Y598" s="646"/>
      <c r="Z598" s="646"/>
      <c r="AA598" s="646"/>
      <c r="AB598" s="646">
        <f t="shared" si="136"/>
        <v>0</v>
      </c>
      <c r="AC598" s="649" t="str">
        <f t="shared" si="137"/>
        <v/>
      </c>
      <c r="AD598" s="649" t="str">
        <f t="shared" si="138"/>
        <v/>
      </c>
      <c r="AE598" s="649" t="str">
        <f t="shared" si="139"/>
        <v/>
      </c>
      <c r="AF598" s="72"/>
      <c r="AG598" s="644">
        <f>IFERROR(IF($AV598="No",0,IF($AV598="yes",Summary!Q598,"")),"")</f>
        <v>0</v>
      </c>
      <c r="AH598" s="646">
        <f>IFERROR(IF($AV598="No",0,IF($AV598="yes",Summary!R598,"")),"")</f>
        <v>0</v>
      </c>
      <c r="AI598" s="646">
        <f>IFERROR(IF($AV598="No",0,IF($AV598="yes",Summary!S598,"")),"")</f>
        <v>0</v>
      </c>
      <c r="AJ598" s="647">
        <f>IFERROR(IF($AV598="No",0,IF($AV598="yes",Summary!T598,"")),"")</f>
        <v>0</v>
      </c>
      <c r="AK598" s="648">
        <f>IFERROR(IF($AV598="No",0,IF($AV598="yes",Summary!U598,"")),"")</f>
        <v>0</v>
      </c>
      <c r="AL598" s="646">
        <f>IFERROR(IF($AV598="No",0,IF($AV598="yes",Summary!V598,"")),"")</f>
        <v>0</v>
      </c>
      <c r="AM598" s="646">
        <f>IFERROR(IF($AV598="No",0,IF($AV598="yes",Summary!W598,"")),"")</f>
        <v>0</v>
      </c>
      <c r="AN598" s="646">
        <f>IFERROR(IF($AV598="No",0,IF($AV598="yes",Summary!X598,"")),"")</f>
        <v>0</v>
      </c>
      <c r="AO598" s="646">
        <f>IFERROR(IF($AV598="No",0,IF($AV598="yes",Summary!Y598+Z598,"")),"")</f>
        <v>0</v>
      </c>
      <c r="AP598" s="646">
        <f>IFERROR(IF($AV598="No",0,IF($AV598="yes",Summary!AB598,"")),"")</f>
        <v>0</v>
      </c>
      <c r="AQ598" s="649" t="str">
        <f t="shared" si="127"/>
        <v/>
      </c>
      <c r="AR598" s="649" t="str">
        <f t="shared" si="131"/>
        <v/>
      </c>
      <c r="AS598" s="649" t="str">
        <f t="shared" si="128"/>
        <v/>
      </c>
      <c r="AT598" s="641" t="s">
        <v>1072</v>
      </c>
      <c r="AV598" t="str">
        <f>IF('Proposed Lighting'!AK295&gt;0,"No","Yes")</f>
        <v>Yes</v>
      </c>
    </row>
    <row r="599" spans="1:48" ht="34.5" customHeight="1" outlineLevel="1">
      <c r="A599" s="641" t="s">
        <v>1073</v>
      </c>
      <c r="B599" s="641" t="str">
        <f>IF('Proposed Lighting'!AU296=3,"Commercial-All Com-ExtLight",IF('Proposed Lighting'!AH296&gt;8759,"IPC_8760","Commercial-All Com-IntLight"))</f>
        <v>IPC_8760</v>
      </c>
      <c r="C599" s="641" t="str">
        <f>IF(OR(E599="",E599=0),"No",
IF(AND('Data Entry'!$AF$23="OR",AE599&lt;1),"No",
IF(AND('Data Entry'!$AF$23="ID",E599="Non-standard lighting control system",AD599&lt;1),"No",
IF(AND('Data Entry'!$AF$23="OR",'Proposed Lighting'!F296="Existing LED (Provide Description)",'Proposed Lighting'!AK296=""),"No",
IF('Proposed Lighting'!DD296="Submit Control as Non-Standard","No",
IF(AND('Proposed Lighting'!T296="Non-Standard (Provide Description)",AD599&lt;1),"No",
IF('Proposed Lighting'!AW296&lt;'Proposed Lighting'!AZ296,"No","Yes")))))))</f>
        <v>No</v>
      </c>
      <c r="D599" s="1604">
        <f>'Proposed Lighting'!BQ296-Q599</f>
        <v>0</v>
      </c>
      <c r="E599" s="642" t="str">
        <f>IF('Proposed Lighting'!W296="","",'Proposed Lighting'!W296)</f>
        <v/>
      </c>
      <c r="F599" s="642"/>
      <c r="G599" s="641" t="s">
        <v>786</v>
      </c>
      <c r="H599" s="643">
        <v>10</v>
      </c>
      <c r="I599" s="644">
        <v>1</v>
      </c>
      <c r="J599" s="723">
        <f>IF('Proposed Lighting'!EF296=0,'Proposed Lighting'!AA296,'Proposed Lighting'!EF296)</f>
        <v>0</v>
      </c>
      <c r="K599" s="643" t="str">
        <f>'Proposed Lighting'!CU296</f>
        <v/>
      </c>
      <c r="L599" s="643" t="str">
        <f t="shared" si="129"/>
        <v/>
      </c>
      <c r="M599" s="645">
        <f t="shared" si="132"/>
        <v>0</v>
      </c>
      <c r="N599" s="645"/>
      <c r="O599" s="722">
        <f>IFERROR('Proposed Lighting'!AC296/1000,0)</f>
        <v>0</v>
      </c>
      <c r="P599" s="644">
        <f>'Proposed Lighting'!AV296</f>
        <v>0</v>
      </c>
      <c r="Q599" s="644">
        <f>IF(AND('Proposed Lighting'!T296="Lighting Controls Only",'Data Entry'!$AF$23="OR",'Proposed Lighting'!AU296=2),0,
IF(AND('Proposed Lighting'!T296="Lighting Controls Only",'Data Entry'!$AF$23="OR",'Proposed Lighting'!AU296=3,OR('Proposed Lighting'!W296="ceiling mount",'Proposed Lighting'!W296="wall switch",'Proposed Lighting'!W296="fixture mount (on exisiting equip)",'Proposed Lighting'!W296="daylight harvesting (on existing equip)")),0,
IF('Proposed Lighting'!AF296=1,IF(P599=0,0,J599*O599*(L599*(1-P599))),IF('Proposed Lighting'!AU296=1,0,'Proposed Lighting'!AX296-'Proposed Lighting'!AY296))))</f>
        <v>0</v>
      </c>
      <c r="R599" s="646">
        <f>IF('Proposed Lighting'!T296="Non-standard (provide description",0,
IF(AND(E599="Non-standard control",'Proposed Lighting'!AU296=2),Q599*0.1,
IF(AND(E599="Non-standard control",'Proposed Lighting'!AU296=3),Q599*0.08,
IF('Proposed Lighting'!EF296=0,0,IF('Proposed Lighting'!AU296=1,0,
IF(AND('Data Entry'!$AF$23="ID",'Proposed Lighting'!T296="Lighting controls only"),VLOOKUP(E599,'Proposed Lighting'!$DO$97:$DP$106,2,FALSE),
IF(AND('Data Entry'!$AF$23="OR",'Proposed Lighting'!AU296=3,'Proposed Lighting'!T296="Lighting controls only"),VLOOKUP(E599,'Proposed Lighting'!$DO$127:$DP$134,2,FALSE),0)))))))*J599</f>
        <v>0</v>
      </c>
      <c r="S599" s="646">
        <f>IF(Q599&lt;0.01,0,IF('Proposed Lighting'!AK296&gt;0,'Proposed Lighting'!AK296*'Proposed Lighting'!EF296,0))</f>
        <v>0</v>
      </c>
      <c r="T599" s="647">
        <f t="shared" si="130"/>
        <v>0</v>
      </c>
      <c r="U599" s="648"/>
      <c r="V599" s="646">
        <f t="shared" si="133"/>
        <v>0</v>
      </c>
      <c r="W599" s="646">
        <f t="shared" si="134"/>
        <v>0</v>
      </c>
      <c r="X599" s="646">
        <f t="shared" si="135"/>
        <v>0</v>
      </c>
      <c r="Y599" s="646"/>
      <c r="Z599" s="646"/>
      <c r="AA599" s="646"/>
      <c r="AB599" s="646">
        <f t="shared" si="136"/>
        <v>0</v>
      </c>
      <c r="AC599" s="649" t="str">
        <f t="shared" si="137"/>
        <v/>
      </c>
      <c r="AD599" s="649" t="str">
        <f t="shared" si="138"/>
        <v/>
      </c>
      <c r="AE599" s="649" t="str">
        <f t="shared" si="139"/>
        <v/>
      </c>
      <c r="AF599" s="72"/>
      <c r="AG599" s="644">
        <f>IFERROR(IF($AV599="No",0,IF($AV599="yes",Summary!Q599,"")),"")</f>
        <v>0</v>
      </c>
      <c r="AH599" s="646">
        <f>IFERROR(IF($AV599="No",0,IF($AV599="yes",Summary!R599,"")),"")</f>
        <v>0</v>
      </c>
      <c r="AI599" s="646">
        <f>IFERROR(IF($AV599="No",0,IF($AV599="yes",Summary!S599,"")),"")</f>
        <v>0</v>
      </c>
      <c r="AJ599" s="647">
        <f>IFERROR(IF($AV599="No",0,IF($AV599="yes",Summary!T599,"")),"")</f>
        <v>0</v>
      </c>
      <c r="AK599" s="648">
        <f>IFERROR(IF($AV599="No",0,IF($AV599="yes",Summary!U599,"")),"")</f>
        <v>0</v>
      </c>
      <c r="AL599" s="646">
        <f>IFERROR(IF($AV599="No",0,IF($AV599="yes",Summary!V599,"")),"")</f>
        <v>0</v>
      </c>
      <c r="AM599" s="646">
        <f>IFERROR(IF($AV599="No",0,IF($AV599="yes",Summary!W599,"")),"")</f>
        <v>0</v>
      </c>
      <c r="AN599" s="646">
        <f>IFERROR(IF($AV599="No",0,IF($AV599="yes",Summary!X599,"")),"")</f>
        <v>0</v>
      </c>
      <c r="AO599" s="646">
        <f>IFERROR(IF($AV599="No",0,IF($AV599="yes",Summary!Y599+Z599,"")),"")</f>
        <v>0</v>
      </c>
      <c r="AP599" s="646">
        <f>IFERROR(IF($AV599="No",0,IF($AV599="yes",Summary!AB599,"")),"")</f>
        <v>0</v>
      </c>
      <c r="AQ599" s="649" t="str">
        <f t="shared" si="127"/>
        <v/>
      </c>
      <c r="AR599" s="649" t="str">
        <f t="shared" si="131"/>
        <v/>
      </c>
      <c r="AS599" s="649" t="str">
        <f t="shared" si="128"/>
        <v/>
      </c>
      <c r="AT599" s="641" t="s">
        <v>1073</v>
      </c>
      <c r="AV599" t="str">
        <f>IF('Proposed Lighting'!AK296&gt;0,"No","Yes")</f>
        <v>Yes</v>
      </c>
    </row>
    <row r="600" spans="1:48" ht="34.5" customHeight="1" outlineLevel="1">
      <c r="A600" s="641" t="s">
        <v>1074</v>
      </c>
      <c r="B600" s="641" t="str">
        <f>IF('Proposed Lighting'!AU297=3,"Commercial-All Com-ExtLight",IF('Proposed Lighting'!AH297&gt;8759,"IPC_8760","Commercial-All Com-IntLight"))</f>
        <v>IPC_8760</v>
      </c>
      <c r="C600" s="641" t="str">
        <f>IF(OR(E600="",E600=0),"No",
IF(AND('Data Entry'!$AF$23="OR",AE600&lt;1),"No",
IF(AND('Data Entry'!$AF$23="ID",E600="Non-standard lighting control system",AD600&lt;1),"No",
IF(AND('Data Entry'!$AF$23="OR",'Proposed Lighting'!F297="Existing LED (Provide Description)",'Proposed Lighting'!AK297=""),"No",
IF('Proposed Lighting'!DD297="Submit Control as Non-Standard","No",
IF(AND('Proposed Lighting'!T297="Non-Standard (Provide Description)",AD600&lt;1),"No",
IF('Proposed Lighting'!AW297&lt;'Proposed Lighting'!AZ297,"No","Yes")))))))</f>
        <v>No</v>
      </c>
      <c r="D600" s="1604">
        <f>'Proposed Lighting'!BQ297-Q600</f>
        <v>0</v>
      </c>
      <c r="E600" s="642" t="str">
        <f>IF('Proposed Lighting'!W297="","",'Proposed Lighting'!W297)</f>
        <v/>
      </c>
      <c r="F600" s="642"/>
      <c r="G600" s="641" t="s">
        <v>786</v>
      </c>
      <c r="H600" s="643">
        <v>10</v>
      </c>
      <c r="I600" s="644">
        <v>1</v>
      </c>
      <c r="J600" s="723">
        <f>IF('Proposed Lighting'!EF297=0,'Proposed Lighting'!AA297,'Proposed Lighting'!EF297)</f>
        <v>0</v>
      </c>
      <c r="K600" s="643" t="str">
        <f>'Proposed Lighting'!CU297</f>
        <v/>
      </c>
      <c r="L600" s="643" t="str">
        <f t="shared" si="129"/>
        <v/>
      </c>
      <c r="M600" s="645">
        <f t="shared" si="132"/>
        <v>0</v>
      </c>
      <c r="N600" s="645"/>
      <c r="O600" s="722">
        <f>IFERROR('Proposed Lighting'!AC297/1000,0)</f>
        <v>0</v>
      </c>
      <c r="P600" s="644">
        <f>'Proposed Lighting'!AV297</f>
        <v>0</v>
      </c>
      <c r="Q600" s="644">
        <f>IF(AND('Proposed Lighting'!T297="Lighting Controls Only",'Data Entry'!$AF$23="OR",'Proposed Lighting'!AU297=2),0,
IF(AND('Proposed Lighting'!T297="Lighting Controls Only",'Data Entry'!$AF$23="OR",'Proposed Lighting'!AU297=3,OR('Proposed Lighting'!W297="ceiling mount",'Proposed Lighting'!W297="wall switch",'Proposed Lighting'!W297="fixture mount (on exisiting equip)",'Proposed Lighting'!W297="daylight harvesting (on existing equip)")),0,
IF('Proposed Lighting'!AF297=1,IF(P600=0,0,J600*O600*(L600*(1-P600))),IF('Proposed Lighting'!AU297=1,0,'Proposed Lighting'!AX297-'Proposed Lighting'!AY297))))</f>
        <v>0</v>
      </c>
      <c r="R600" s="646">
        <f>IF('Proposed Lighting'!T297="Non-standard (provide description",0,
IF(AND(E600="Non-standard control",'Proposed Lighting'!AU297=2),Q600*0.1,
IF(AND(E600="Non-standard control",'Proposed Lighting'!AU297=3),Q600*0.08,
IF('Proposed Lighting'!EF297=0,0,IF('Proposed Lighting'!AU297=1,0,
IF(AND('Data Entry'!$AF$23="ID",'Proposed Lighting'!T297="Lighting controls only"),VLOOKUP(E600,'Proposed Lighting'!$DO$97:$DP$106,2,FALSE),
IF(AND('Data Entry'!$AF$23="OR",'Proposed Lighting'!AU297=3,'Proposed Lighting'!T297="Lighting controls only"),VLOOKUP(E600,'Proposed Lighting'!$DO$127:$DP$134,2,FALSE),0)))))))*J600</f>
        <v>0</v>
      </c>
      <c r="S600" s="646">
        <f>IF(Q600&lt;0.01,0,IF('Proposed Lighting'!AK297&gt;0,'Proposed Lighting'!AK297*'Proposed Lighting'!EF297,0))</f>
        <v>0</v>
      </c>
      <c r="T600" s="647">
        <f t="shared" si="130"/>
        <v>0</v>
      </c>
      <c r="U600" s="648"/>
      <c r="V600" s="646">
        <f t="shared" si="133"/>
        <v>0</v>
      </c>
      <c r="W600" s="646">
        <f t="shared" si="134"/>
        <v>0</v>
      </c>
      <c r="X600" s="646">
        <f t="shared" si="135"/>
        <v>0</v>
      </c>
      <c r="Y600" s="646"/>
      <c r="Z600" s="646"/>
      <c r="AA600" s="646"/>
      <c r="AB600" s="646">
        <f t="shared" si="136"/>
        <v>0</v>
      </c>
      <c r="AC600" s="649" t="str">
        <f t="shared" si="137"/>
        <v/>
      </c>
      <c r="AD600" s="649" t="str">
        <f t="shared" si="138"/>
        <v/>
      </c>
      <c r="AE600" s="649" t="str">
        <f t="shared" si="139"/>
        <v/>
      </c>
      <c r="AF600" s="72"/>
      <c r="AG600" s="644">
        <f>IFERROR(IF($AV600="No",0,IF($AV600="yes",Summary!Q600,"")),"")</f>
        <v>0</v>
      </c>
      <c r="AH600" s="646">
        <f>IFERROR(IF($AV600="No",0,IF($AV600="yes",Summary!R600,"")),"")</f>
        <v>0</v>
      </c>
      <c r="AI600" s="646">
        <f>IFERROR(IF($AV600="No",0,IF($AV600="yes",Summary!S600,"")),"")</f>
        <v>0</v>
      </c>
      <c r="AJ600" s="647">
        <f>IFERROR(IF($AV600="No",0,IF($AV600="yes",Summary!T600,"")),"")</f>
        <v>0</v>
      </c>
      <c r="AK600" s="648">
        <f>IFERROR(IF($AV600="No",0,IF($AV600="yes",Summary!U600,"")),"")</f>
        <v>0</v>
      </c>
      <c r="AL600" s="646">
        <f>IFERROR(IF($AV600="No",0,IF($AV600="yes",Summary!V600,"")),"")</f>
        <v>0</v>
      </c>
      <c r="AM600" s="646">
        <f>IFERROR(IF($AV600="No",0,IF($AV600="yes",Summary!W600,"")),"")</f>
        <v>0</v>
      </c>
      <c r="AN600" s="646">
        <f>IFERROR(IF($AV600="No",0,IF($AV600="yes",Summary!X600,"")),"")</f>
        <v>0</v>
      </c>
      <c r="AO600" s="646">
        <f>IFERROR(IF($AV600="No",0,IF($AV600="yes",Summary!Y600+Z600,"")),"")</f>
        <v>0</v>
      </c>
      <c r="AP600" s="646">
        <f>IFERROR(IF($AV600="No",0,IF($AV600="yes",Summary!AB600,"")),"")</f>
        <v>0</v>
      </c>
      <c r="AQ600" s="649" t="str">
        <f t="shared" si="127"/>
        <v/>
      </c>
      <c r="AR600" s="649" t="str">
        <f t="shared" si="131"/>
        <v/>
      </c>
      <c r="AS600" s="649" t="str">
        <f t="shared" si="128"/>
        <v/>
      </c>
      <c r="AT600" s="641" t="s">
        <v>1074</v>
      </c>
      <c r="AV600" t="str">
        <f>IF('Proposed Lighting'!AK297&gt;0,"No","Yes")</f>
        <v>Yes</v>
      </c>
    </row>
    <row r="601" spans="1:48" ht="34.5" customHeight="1" outlineLevel="1">
      <c r="A601" s="641" t="s">
        <v>1075</v>
      </c>
      <c r="B601" s="641" t="str">
        <f>IF('Proposed Lighting'!AU298=3,"Commercial-All Com-ExtLight",IF('Proposed Lighting'!AH298&gt;8759,"IPC_8760","Commercial-All Com-IntLight"))</f>
        <v>IPC_8760</v>
      </c>
      <c r="C601" s="641" t="str">
        <f>IF(OR(E601="",E601=0),"No",
IF(AND('Data Entry'!$AF$23="OR",AE601&lt;1),"No",
IF(AND('Data Entry'!$AF$23="ID",E601="Non-standard lighting control system",AD601&lt;1),"No",
IF(AND('Data Entry'!$AF$23="OR",'Proposed Lighting'!F298="Existing LED (Provide Description)",'Proposed Lighting'!AK298=""),"No",
IF('Proposed Lighting'!DD298="Submit Control as Non-Standard","No",
IF(AND('Proposed Lighting'!T298="Non-Standard (Provide Description)",AD601&lt;1),"No",
IF('Proposed Lighting'!AW298&lt;'Proposed Lighting'!AZ298,"No","Yes")))))))</f>
        <v>No</v>
      </c>
      <c r="D601" s="1604">
        <f>'Proposed Lighting'!BQ298-Q601</f>
        <v>0</v>
      </c>
      <c r="E601" s="642" t="str">
        <f>IF('Proposed Lighting'!W298="","",'Proposed Lighting'!W298)</f>
        <v/>
      </c>
      <c r="F601" s="642"/>
      <c r="G601" s="641" t="s">
        <v>786</v>
      </c>
      <c r="H601" s="643">
        <v>10</v>
      </c>
      <c r="I601" s="644">
        <v>1</v>
      </c>
      <c r="J601" s="723">
        <f>IF('Proposed Lighting'!EF298=0,'Proposed Lighting'!AA298,'Proposed Lighting'!EF298)</f>
        <v>0</v>
      </c>
      <c r="K601" s="643" t="str">
        <f>'Proposed Lighting'!CU298</f>
        <v/>
      </c>
      <c r="L601" s="643" t="str">
        <f t="shared" si="129"/>
        <v/>
      </c>
      <c r="M601" s="645">
        <f t="shared" si="132"/>
        <v>0</v>
      </c>
      <c r="N601" s="645"/>
      <c r="O601" s="722">
        <f>IFERROR('Proposed Lighting'!AC298/1000,0)</f>
        <v>0</v>
      </c>
      <c r="P601" s="644">
        <f>'Proposed Lighting'!AV298</f>
        <v>0</v>
      </c>
      <c r="Q601" s="644">
        <f>IF(AND('Proposed Lighting'!T298="Lighting Controls Only",'Data Entry'!$AF$23="OR",'Proposed Lighting'!AU298=2),0,
IF(AND('Proposed Lighting'!T298="Lighting Controls Only",'Data Entry'!$AF$23="OR",'Proposed Lighting'!AU298=3,OR('Proposed Lighting'!W298="ceiling mount",'Proposed Lighting'!W298="wall switch",'Proposed Lighting'!W298="fixture mount (on exisiting equip)",'Proposed Lighting'!W298="daylight harvesting (on existing equip)")),0,
IF('Proposed Lighting'!AF298=1,IF(P601=0,0,J601*O601*(L601*(1-P601))),IF('Proposed Lighting'!AU298=1,0,'Proposed Lighting'!AX298-'Proposed Lighting'!AY298))))</f>
        <v>0</v>
      </c>
      <c r="R601" s="646">
        <f>IF('Proposed Lighting'!T298="Non-standard (provide description",0,
IF(AND(E601="Non-standard control",'Proposed Lighting'!AU298=2),Q601*0.1,
IF(AND(E601="Non-standard control",'Proposed Lighting'!AU298=3),Q601*0.08,
IF('Proposed Lighting'!EF298=0,0,IF('Proposed Lighting'!AU298=1,0,
IF(AND('Data Entry'!$AF$23="ID",'Proposed Lighting'!T298="Lighting controls only"),VLOOKUP(E601,'Proposed Lighting'!$DO$97:$DP$106,2,FALSE),
IF(AND('Data Entry'!$AF$23="OR",'Proposed Lighting'!AU298=3,'Proposed Lighting'!T298="Lighting controls only"),VLOOKUP(E601,'Proposed Lighting'!$DO$127:$DP$134,2,FALSE),0)))))))*J601</f>
        <v>0</v>
      </c>
      <c r="S601" s="646">
        <f>IF(Q601&lt;0.01,0,IF('Proposed Lighting'!AK298&gt;0,'Proposed Lighting'!AK298*'Proposed Lighting'!EF298,0))</f>
        <v>0</v>
      </c>
      <c r="T601" s="647">
        <f t="shared" si="130"/>
        <v>0</v>
      </c>
      <c r="U601" s="648"/>
      <c r="V601" s="646">
        <f t="shared" si="133"/>
        <v>0</v>
      </c>
      <c r="W601" s="646">
        <f t="shared" si="134"/>
        <v>0</v>
      </c>
      <c r="X601" s="646">
        <f t="shared" si="135"/>
        <v>0</v>
      </c>
      <c r="Y601" s="646"/>
      <c r="Z601" s="646"/>
      <c r="AA601" s="646"/>
      <c r="AB601" s="646">
        <f t="shared" si="136"/>
        <v>0</v>
      </c>
      <c r="AC601" s="649" t="str">
        <f t="shared" si="137"/>
        <v/>
      </c>
      <c r="AD601" s="649" t="str">
        <f t="shared" si="138"/>
        <v/>
      </c>
      <c r="AE601" s="649" t="str">
        <f t="shared" si="139"/>
        <v/>
      </c>
      <c r="AF601" s="72"/>
      <c r="AG601" s="644">
        <f>IFERROR(IF($AV601="No",0,IF($AV601="yes",Summary!Q601,"")),"")</f>
        <v>0</v>
      </c>
      <c r="AH601" s="646">
        <f>IFERROR(IF($AV601="No",0,IF($AV601="yes",Summary!R601,"")),"")</f>
        <v>0</v>
      </c>
      <c r="AI601" s="646">
        <f>IFERROR(IF($AV601="No",0,IF($AV601="yes",Summary!S601,"")),"")</f>
        <v>0</v>
      </c>
      <c r="AJ601" s="647">
        <f>IFERROR(IF($AV601="No",0,IF($AV601="yes",Summary!T601,"")),"")</f>
        <v>0</v>
      </c>
      <c r="AK601" s="648">
        <f>IFERROR(IF($AV601="No",0,IF($AV601="yes",Summary!U601,"")),"")</f>
        <v>0</v>
      </c>
      <c r="AL601" s="646">
        <f>IFERROR(IF($AV601="No",0,IF($AV601="yes",Summary!V601,"")),"")</f>
        <v>0</v>
      </c>
      <c r="AM601" s="646">
        <f>IFERROR(IF($AV601="No",0,IF($AV601="yes",Summary!W601,"")),"")</f>
        <v>0</v>
      </c>
      <c r="AN601" s="646">
        <f>IFERROR(IF($AV601="No",0,IF($AV601="yes",Summary!X601,"")),"")</f>
        <v>0</v>
      </c>
      <c r="AO601" s="646">
        <f>IFERROR(IF($AV601="No",0,IF($AV601="yes",Summary!Y601+Z601,"")),"")</f>
        <v>0</v>
      </c>
      <c r="AP601" s="646">
        <f>IFERROR(IF($AV601="No",0,IF($AV601="yes",Summary!AB601,"")),"")</f>
        <v>0</v>
      </c>
      <c r="AQ601" s="649" t="str">
        <f t="shared" si="127"/>
        <v/>
      </c>
      <c r="AR601" s="649" t="str">
        <f t="shared" si="131"/>
        <v/>
      </c>
      <c r="AS601" s="649" t="str">
        <f t="shared" si="128"/>
        <v/>
      </c>
      <c r="AT601" s="641" t="s">
        <v>1075</v>
      </c>
      <c r="AV601" t="str">
        <f>IF('Proposed Lighting'!AK298&gt;0,"No","Yes")</f>
        <v>Yes</v>
      </c>
    </row>
    <row r="602" spans="1:48" ht="34.5" customHeight="1" outlineLevel="1">
      <c r="A602" s="641" t="s">
        <v>1076</v>
      </c>
      <c r="B602" s="641" t="str">
        <f>IF('Proposed Lighting'!AU299=3,"Commercial-All Com-ExtLight",IF('Proposed Lighting'!AH299&gt;8759,"IPC_8760","Commercial-All Com-IntLight"))</f>
        <v>IPC_8760</v>
      </c>
      <c r="C602" s="641" t="str">
        <f>IF(OR(E602="",E602=0),"No",
IF(AND('Data Entry'!$AF$23="OR",AE602&lt;1),"No",
IF(AND('Data Entry'!$AF$23="ID",E602="Non-standard lighting control system",AD602&lt;1),"No",
IF(AND('Data Entry'!$AF$23="OR",'Proposed Lighting'!F299="Existing LED (Provide Description)",'Proposed Lighting'!AK299=""),"No",
IF('Proposed Lighting'!DD299="Submit Control as Non-Standard","No",
IF(AND('Proposed Lighting'!T299="Non-Standard (Provide Description)",AD602&lt;1),"No",
IF('Proposed Lighting'!AW299&lt;'Proposed Lighting'!AZ299,"No","Yes")))))))</f>
        <v>No</v>
      </c>
      <c r="D602" s="1604">
        <f>'Proposed Lighting'!BQ299-Q602</f>
        <v>0</v>
      </c>
      <c r="E602" s="642" t="str">
        <f>IF('Proposed Lighting'!W299="","",'Proposed Lighting'!W299)</f>
        <v/>
      </c>
      <c r="F602" s="642"/>
      <c r="G602" s="641" t="s">
        <v>786</v>
      </c>
      <c r="H602" s="643">
        <v>10</v>
      </c>
      <c r="I602" s="644">
        <v>1</v>
      </c>
      <c r="J602" s="723">
        <f>IF('Proposed Lighting'!EF299=0,'Proposed Lighting'!AA299,'Proposed Lighting'!EF299)</f>
        <v>0</v>
      </c>
      <c r="K602" s="643" t="str">
        <f>'Proposed Lighting'!CU299</f>
        <v/>
      </c>
      <c r="L602" s="643" t="str">
        <f t="shared" si="129"/>
        <v/>
      </c>
      <c r="M602" s="645">
        <f t="shared" si="132"/>
        <v>0</v>
      </c>
      <c r="N602" s="645"/>
      <c r="O602" s="722">
        <f>IFERROR('Proposed Lighting'!AC299/1000,0)</f>
        <v>0</v>
      </c>
      <c r="P602" s="644">
        <f>'Proposed Lighting'!AV299</f>
        <v>0</v>
      </c>
      <c r="Q602" s="644">
        <f>IF(AND('Proposed Lighting'!T299="Lighting Controls Only",'Data Entry'!$AF$23="OR",'Proposed Lighting'!AU299=2),0,
IF(AND('Proposed Lighting'!T299="Lighting Controls Only",'Data Entry'!$AF$23="OR",'Proposed Lighting'!AU299=3,OR('Proposed Lighting'!W299="ceiling mount",'Proposed Lighting'!W299="wall switch",'Proposed Lighting'!W299="fixture mount (on exisiting equip)",'Proposed Lighting'!W299="daylight harvesting (on existing equip)")),0,
IF('Proposed Lighting'!AF299=1,IF(P602=0,0,J602*O602*(L602*(1-P602))),IF('Proposed Lighting'!AU299=1,0,'Proposed Lighting'!AX299-'Proposed Lighting'!AY299))))</f>
        <v>0</v>
      </c>
      <c r="R602" s="646">
        <f>IF('Proposed Lighting'!T299="Non-standard (provide description",0,
IF(AND(E602="Non-standard control",'Proposed Lighting'!AU299=2),Q602*0.1,
IF(AND(E602="Non-standard control",'Proposed Lighting'!AU299=3),Q602*0.08,
IF('Proposed Lighting'!EF299=0,0,IF('Proposed Lighting'!AU299=1,0,
IF(AND('Data Entry'!$AF$23="ID",'Proposed Lighting'!T299="Lighting controls only"),VLOOKUP(E602,'Proposed Lighting'!$DO$97:$DP$106,2,FALSE),
IF(AND('Data Entry'!$AF$23="OR",'Proposed Lighting'!AU299=3,'Proposed Lighting'!T299="Lighting controls only"),VLOOKUP(E602,'Proposed Lighting'!$DO$127:$DP$134,2,FALSE),0)))))))*J602</f>
        <v>0</v>
      </c>
      <c r="S602" s="646">
        <f>IF(Q602&lt;0.01,0,IF('Proposed Lighting'!AK299&gt;0,'Proposed Lighting'!AK299*'Proposed Lighting'!EF299,0))</f>
        <v>0</v>
      </c>
      <c r="T602" s="647">
        <f t="shared" si="130"/>
        <v>0</v>
      </c>
      <c r="U602" s="648"/>
      <c r="V602" s="646">
        <f t="shared" si="133"/>
        <v>0</v>
      </c>
      <c r="W602" s="646">
        <f t="shared" si="134"/>
        <v>0</v>
      </c>
      <c r="X602" s="646">
        <f t="shared" si="135"/>
        <v>0</v>
      </c>
      <c r="Y602" s="646"/>
      <c r="Z602" s="646"/>
      <c r="AA602" s="646"/>
      <c r="AB602" s="646">
        <f t="shared" si="136"/>
        <v>0</v>
      </c>
      <c r="AC602" s="649" t="str">
        <f t="shared" si="137"/>
        <v/>
      </c>
      <c r="AD602" s="649" t="str">
        <f t="shared" si="138"/>
        <v/>
      </c>
      <c r="AE602" s="649" t="str">
        <f t="shared" si="139"/>
        <v/>
      </c>
      <c r="AF602" s="72"/>
      <c r="AG602" s="644">
        <f>IFERROR(IF($AV602="No",0,IF($AV602="yes",Summary!Q602,"")),"")</f>
        <v>0</v>
      </c>
      <c r="AH602" s="646">
        <f>IFERROR(IF($AV602="No",0,IF($AV602="yes",Summary!R602,"")),"")</f>
        <v>0</v>
      </c>
      <c r="AI602" s="646">
        <f>IFERROR(IF($AV602="No",0,IF($AV602="yes",Summary!S602,"")),"")</f>
        <v>0</v>
      </c>
      <c r="AJ602" s="647">
        <f>IFERROR(IF($AV602="No",0,IF($AV602="yes",Summary!T602,"")),"")</f>
        <v>0</v>
      </c>
      <c r="AK602" s="648">
        <f>IFERROR(IF($AV602="No",0,IF($AV602="yes",Summary!U602,"")),"")</f>
        <v>0</v>
      </c>
      <c r="AL602" s="646">
        <f>IFERROR(IF($AV602="No",0,IF($AV602="yes",Summary!V602,"")),"")</f>
        <v>0</v>
      </c>
      <c r="AM602" s="646">
        <f>IFERROR(IF($AV602="No",0,IF($AV602="yes",Summary!W602,"")),"")</f>
        <v>0</v>
      </c>
      <c r="AN602" s="646">
        <f>IFERROR(IF($AV602="No",0,IF($AV602="yes",Summary!X602,"")),"")</f>
        <v>0</v>
      </c>
      <c r="AO602" s="646">
        <f>IFERROR(IF($AV602="No",0,IF($AV602="yes",Summary!Y602+Z602,"")),"")</f>
        <v>0</v>
      </c>
      <c r="AP602" s="646">
        <f>IFERROR(IF($AV602="No",0,IF($AV602="yes",Summary!AB602,"")),"")</f>
        <v>0</v>
      </c>
      <c r="AQ602" s="649" t="str">
        <f t="shared" si="127"/>
        <v/>
      </c>
      <c r="AR602" s="649" t="str">
        <f t="shared" si="131"/>
        <v/>
      </c>
      <c r="AS602" s="649" t="str">
        <f t="shared" si="128"/>
        <v/>
      </c>
      <c r="AT602" s="641" t="s">
        <v>1076</v>
      </c>
      <c r="AV602" t="str">
        <f>IF('Proposed Lighting'!AK299&gt;0,"No","Yes")</f>
        <v>Yes</v>
      </c>
    </row>
    <row r="603" spans="1:48" ht="34.5" customHeight="1" outlineLevel="1">
      <c r="A603" s="641" t="s">
        <v>1077</v>
      </c>
      <c r="B603" s="641" t="str">
        <f>IF('Proposed Lighting'!AU300=3,"Commercial-All Com-ExtLight",IF('Proposed Lighting'!AH300&gt;8759,"IPC_8760","Commercial-All Com-IntLight"))</f>
        <v>IPC_8760</v>
      </c>
      <c r="C603" s="641" t="str">
        <f>IF(OR(E603="",E603=0),"No",
IF(AND('Data Entry'!$AF$23="OR",AE603&lt;1),"No",
IF(AND('Data Entry'!$AF$23="ID",E603="Non-standard lighting control system",AD603&lt;1),"No",
IF(AND('Data Entry'!$AF$23="OR",'Proposed Lighting'!F300="Existing LED (Provide Description)",'Proposed Lighting'!AK300=""),"No",
IF('Proposed Lighting'!DD300="Submit Control as Non-Standard","No",
IF(AND('Proposed Lighting'!T300="Non-Standard (Provide Description)",AD603&lt;1),"No",
IF('Proposed Lighting'!AW300&lt;'Proposed Lighting'!AZ300,"No","Yes")))))))</f>
        <v>No</v>
      </c>
      <c r="D603" s="1604">
        <f>'Proposed Lighting'!BQ300-Q603</f>
        <v>0</v>
      </c>
      <c r="E603" s="642" t="str">
        <f>IF('Proposed Lighting'!W300="","",'Proposed Lighting'!W300)</f>
        <v/>
      </c>
      <c r="F603" s="642"/>
      <c r="G603" s="641" t="s">
        <v>786</v>
      </c>
      <c r="H603" s="643">
        <v>10</v>
      </c>
      <c r="I603" s="644">
        <v>1</v>
      </c>
      <c r="J603" s="723">
        <f>IF('Proposed Lighting'!EF300=0,'Proposed Lighting'!AA300,'Proposed Lighting'!EF300)</f>
        <v>0</v>
      </c>
      <c r="K603" s="643" t="str">
        <f>'Proposed Lighting'!CU300</f>
        <v/>
      </c>
      <c r="L603" s="643" t="str">
        <f t="shared" si="129"/>
        <v/>
      </c>
      <c r="M603" s="645">
        <f t="shared" si="132"/>
        <v>0</v>
      </c>
      <c r="N603" s="645"/>
      <c r="O603" s="722">
        <f>IFERROR('Proposed Lighting'!AC300/1000,0)</f>
        <v>0</v>
      </c>
      <c r="P603" s="644">
        <f>'Proposed Lighting'!AV300</f>
        <v>0</v>
      </c>
      <c r="Q603" s="644">
        <f>IF(AND('Proposed Lighting'!T300="Lighting Controls Only",'Data Entry'!$AF$23="OR",'Proposed Lighting'!AU300=2),0,
IF(AND('Proposed Lighting'!T300="Lighting Controls Only",'Data Entry'!$AF$23="OR",'Proposed Lighting'!AU300=3,OR('Proposed Lighting'!W300="ceiling mount",'Proposed Lighting'!W300="wall switch",'Proposed Lighting'!W300="fixture mount (on exisiting equip)",'Proposed Lighting'!W300="daylight harvesting (on existing equip)")),0,
IF('Proposed Lighting'!AF300=1,IF(P603=0,0,J603*O603*(L603*(1-P603))),IF('Proposed Lighting'!AU300=1,0,'Proposed Lighting'!AX300-'Proposed Lighting'!AY300))))</f>
        <v>0</v>
      </c>
      <c r="R603" s="646">
        <f>IF('Proposed Lighting'!T300="Non-standard (provide description",0,
IF(AND(E603="Non-standard control",'Proposed Lighting'!AU300=2),Q603*0.1,
IF(AND(E603="Non-standard control",'Proposed Lighting'!AU300=3),Q603*0.08,
IF('Proposed Lighting'!EF300=0,0,IF('Proposed Lighting'!AU300=1,0,
IF(AND('Data Entry'!$AF$23="ID",'Proposed Lighting'!T300="Lighting controls only"),VLOOKUP(E603,'Proposed Lighting'!$DO$97:$DP$106,2,FALSE),
IF(AND('Data Entry'!$AF$23="OR",'Proposed Lighting'!AU300=3,'Proposed Lighting'!T300="Lighting controls only"),VLOOKUP(E603,'Proposed Lighting'!$DO$127:$DP$134,2,FALSE),0)))))))*J603</f>
        <v>0</v>
      </c>
      <c r="S603" s="646">
        <f>IF(Q603&lt;0.01,0,IF('Proposed Lighting'!AK300&gt;0,'Proposed Lighting'!AK300*'Proposed Lighting'!EF300,0))</f>
        <v>0</v>
      </c>
      <c r="T603" s="647">
        <f t="shared" si="130"/>
        <v>0</v>
      </c>
      <c r="U603" s="648"/>
      <c r="V603" s="646">
        <f t="shared" si="133"/>
        <v>0</v>
      </c>
      <c r="W603" s="646">
        <f t="shared" si="134"/>
        <v>0</v>
      </c>
      <c r="X603" s="646">
        <f t="shared" si="135"/>
        <v>0</v>
      </c>
      <c r="Y603" s="646"/>
      <c r="Z603" s="646"/>
      <c r="AA603" s="646"/>
      <c r="AB603" s="646">
        <f t="shared" si="136"/>
        <v>0</v>
      </c>
      <c r="AC603" s="649" t="str">
        <f t="shared" si="137"/>
        <v/>
      </c>
      <c r="AD603" s="649" t="str">
        <f t="shared" si="138"/>
        <v/>
      </c>
      <c r="AE603" s="649" t="str">
        <f t="shared" si="139"/>
        <v/>
      </c>
      <c r="AF603" s="72"/>
      <c r="AG603" s="644">
        <f>IFERROR(IF($AV603="No",0,IF($AV603="yes",Summary!Q603,"")),"")</f>
        <v>0</v>
      </c>
      <c r="AH603" s="646">
        <f>IFERROR(IF($AV603="No",0,IF($AV603="yes",Summary!R603,"")),"")</f>
        <v>0</v>
      </c>
      <c r="AI603" s="646">
        <f>IFERROR(IF($AV603="No",0,IF($AV603="yes",Summary!S603,"")),"")</f>
        <v>0</v>
      </c>
      <c r="AJ603" s="647">
        <f>IFERROR(IF($AV603="No",0,IF($AV603="yes",Summary!T603,"")),"")</f>
        <v>0</v>
      </c>
      <c r="AK603" s="648">
        <f>IFERROR(IF($AV603="No",0,IF($AV603="yes",Summary!U603,"")),"")</f>
        <v>0</v>
      </c>
      <c r="AL603" s="646">
        <f>IFERROR(IF($AV603="No",0,IF($AV603="yes",Summary!V603,"")),"")</f>
        <v>0</v>
      </c>
      <c r="AM603" s="646">
        <f>IFERROR(IF($AV603="No",0,IF($AV603="yes",Summary!W603,"")),"")</f>
        <v>0</v>
      </c>
      <c r="AN603" s="646">
        <f>IFERROR(IF($AV603="No",0,IF($AV603="yes",Summary!X603,"")),"")</f>
        <v>0</v>
      </c>
      <c r="AO603" s="646">
        <f>IFERROR(IF($AV603="No",0,IF($AV603="yes",Summary!Y603+Z603,"")),"")</f>
        <v>0</v>
      </c>
      <c r="AP603" s="646">
        <f>IFERROR(IF($AV603="No",0,IF($AV603="yes",Summary!AB603,"")),"")</f>
        <v>0</v>
      </c>
      <c r="AQ603" s="649" t="str">
        <f t="shared" si="127"/>
        <v/>
      </c>
      <c r="AR603" s="649" t="str">
        <f t="shared" si="131"/>
        <v/>
      </c>
      <c r="AS603" s="649" t="str">
        <f t="shared" si="128"/>
        <v/>
      </c>
      <c r="AT603" s="641" t="s">
        <v>1077</v>
      </c>
      <c r="AV603" t="str">
        <f>IF('Proposed Lighting'!AK300&gt;0,"No","Yes")</f>
        <v>Yes</v>
      </c>
    </row>
    <row r="604" spans="1:48" ht="34.5" customHeight="1" outlineLevel="1">
      <c r="A604" s="641" t="s">
        <v>1078</v>
      </c>
      <c r="B604" s="641" t="str">
        <f>IF('Proposed Lighting'!AU301=3,"Commercial-All Com-ExtLight",IF('Proposed Lighting'!AH301&gt;8759,"IPC_8760","Commercial-All Com-IntLight"))</f>
        <v>IPC_8760</v>
      </c>
      <c r="C604" s="641" t="str">
        <f>IF(OR(E604="",E604=0),"No",
IF(AND('Data Entry'!$AF$23="OR",AE604&lt;1),"No",
IF(AND('Data Entry'!$AF$23="ID",E604="Non-standard lighting control system",AD604&lt;1),"No",
IF(AND('Data Entry'!$AF$23="OR",'Proposed Lighting'!F301="Existing LED (Provide Description)",'Proposed Lighting'!AK301=""),"No",
IF('Proposed Lighting'!DD301="Submit Control as Non-Standard","No",
IF(AND('Proposed Lighting'!T301="Non-Standard (Provide Description)",AD604&lt;1),"No",
IF('Proposed Lighting'!AW301&lt;'Proposed Lighting'!AZ301,"No","Yes")))))))</f>
        <v>No</v>
      </c>
      <c r="D604" s="1604">
        <f>'Proposed Lighting'!BQ301-Q604</f>
        <v>0</v>
      </c>
      <c r="E604" s="642" t="str">
        <f>IF('Proposed Lighting'!W301="","",'Proposed Lighting'!W301)</f>
        <v/>
      </c>
      <c r="F604" s="642"/>
      <c r="G604" s="641" t="s">
        <v>786</v>
      </c>
      <c r="H604" s="643">
        <v>10</v>
      </c>
      <c r="I604" s="644">
        <v>1</v>
      </c>
      <c r="J604" s="723">
        <f>IF('Proposed Lighting'!EF301=0,'Proposed Lighting'!AA301,'Proposed Lighting'!EF301)</f>
        <v>0</v>
      </c>
      <c r="K604" s="643" t="str">
        <f>'Proposed Lighting'!CU301</f>
        <v/>
      </c>
      <c r="L604" s="643" t="str">
        <f t="shared" si="129"/>
        <v/>
      </c>
      <c r="M604" s="645">
        <f t="shared" si="132"/>
        <v>0</v>
      </c>
      <c r="N604" s="645"/>
      <c r="O604" s="722">
        <f>IFERROR('Proposed Lighting'!AC301/1000,0)</f>
        <v>0</v>
      </c>
      <c r="P604" s="644">
        <f>'Proposed Lighting'!AV301</f>
        <v>0</v>
      </c>
      <c r="Q604" s="644">
        <f>IF(AND('Proposed Lighting'!T301="Lighting Controls Only",'Data Entry'!$AF$23="OR",'Proposed Lighting'!AU301=2),0,
IF(AND('Proposed Lighting'!T301="Lighting Controls Only",'Data Entry'!$AF$23="OR",'Proposed Lighting'!AU301=3,OR('Proposed Lighting'!W301="ceiling mount",'Proposed Lighting'!W301="wall switch",'Proposed Lighting'!W301="fixture mount (on exisiting equip)",'Proposed Lighting'!W301="daylight harvesting (on existing equip)")),0,
IF('Proposed Lighting'!AF301=1,IF(P604=0,0,J604*O604*(L604*(1-P604))),IF('Proposed Lighting'!AU301=1,0,'Proposed Lighting'!AX301-'Proposed Lighting'!AY301))))</f>
        <v>0</v>
      </c>
      <c r="R604" s="646">
        <f>IF('Proposed Lighting'!T301="Non-standard (provide description",0,
IF(AND(E604="Non-standard control",'Proposed Lighting'!AU301=2),Q604*0.1,
IF(AND(E604="Non-standard control",'Proposed Lighting'!AU301=3),Q604*0.08,
IF('Proposed Lighting'!EF301=0,0,IF('Proposed Lighting'!AU301=1,0,
IF(AND('Data Entry'!$AF$23="ID",'Proposed Lighting'!T301="Lighting controls only"),VLOOKUP(E604,'Proposed Lighting'!$DO$97:$DP$106,2,FALSE),
IF(AND('Data Entry'!$AF$23="OR",'Proposed Lighting'!AU301=3,'Proposed Lighting'!T301="Lighting controls only"),VLOOKUP(E604,'Proposed Lighting'!$DO$127:$DP$134,2,FALSE),0)))))))*J604</f>
        <v>0</v>
      </c>
      <c r="S604" s="646">
        <f>IF(Q604&lt;0.01,0,IF('Proposed Lighting'!AK301&gt;0,'Proposed Lighting'!AK301*'Proposed Lighting'!EF301,0))</f>
        <v>0</v>
      </c>
      <c r="T604" s="647">
        <f t="shared" si="130"/>
        <v>0</v>
      </c>
      <c r="U604" s="648"/>
      <c r="V604" s="646">
        <f t="shared" si="133"/>
        <v>0</v>
      </c>
      <c r="W604" s="646">
        <f t="shared" si="134"/>
        <v>0</v>
      </c>
      <c r="X604" s="646">
        <f t="shared" si="135"/>
        <v>0</v>
      </c>
      <c r="Y604" s="646"/>
      <c r="Z604" s="646"/>
      <c r="AA604" s="646"/>
      <c r="AB604" s="646">
        <f t="shared" si="136"/>
        <v>0</v>
      </c>
      <c r="AC604" s="649" t="str">
        <f t="shared" si="137"/>
        <v/>
      </c>
      <c r="AD604" s="649" t="str">
        <f t="shared" si="138"/>
        <v/>
      </c>
      <c r="AE604" s="649" t="str">
        <f t="shared" si="139"/>
        <v/>
      </c>
      <c r="AF604" s="72"/>
      <c r="AG604" s="644">
        <f>IFERROR(IF($AV604="No",0,IF($AV604="yes",Summary!Q604,"")),"")</f>
        <v>0</v>
      </c>
      <c r="AH604" s="646">
        <f>IFERROR(IF($AV604="No",0,IF($AV604="yes",Summary!R604,"")),"")</f>
        <v>0</v>
      </c>
      <c r="AI604" s="646">
        <f>IFERROR(IF($AV604="No",0,IF($AV604="yes",Summary!S604,"")),"")</f>
        <v>0</v>
      </c>
      <c r="AJ604" s="647">
        <f>IFERROR(IF($AV604="No",0,IF($AV604="yes",Summary!T604,"")),"")</f>
        <v>0</v>
      </c>
      <c r="AK604" s="648">
        <f>IFERROR(IF($AV604="No",0,IF($AV604="yes",Summary!U604,"")),"")</f>
        <v>0</v>
      </c>
      <c r="AL604" s="646">
        <f>IFERROR(IF($AV604="No",0,IF($AV604="yes",Summary!V604,"")),"")</f>
        <v>0</v>
      </c>
      <c r="AM604" s="646">
        <f>IFERROR(IF($AV604="No",0,IF($AV604="yes",Summary!W604,"")),"")</f>
        <v>0</v>
      </c>
      <c r="AN604" s="646">
        <f>IFERROR(IF($AV604="No",0,IF($AV604="yes",Summary!X604,"")),"")</f>
        <v>0</v>
      </c>
      <c r="AO604" s="646">
        <f>IFERROR(IF($AV604="No",0,IF($AV604="yes",Summary!Y604+Z604,"")),"")</f>
        <v>0</v>
      </c>
      <c r="AP604" s="646">
        <f>IFERROR(IF($AV604="No",0,IF($AV604="yes",Summary!AB604,"")),"")</f>
        <v>0</v>
      </c>
      <c r="AQ604" s="649" t="str">
        <f t="shared" si="127"/>
        <v/>
      </c>
      <c r="AR604" s="649" t="str">
        <f t="shared" si="131"/>
        <v/>
      </c>
      <c r="AS604" s="649" t="str">
        <f t="shared" si="128"/>
        <v/>
      </c>
      <c r="AT604" s="641" t="s">
        <v>1078</v>
      </c>
      <c r="AV604" t="str">
        <f>IF('Proposed Lighting'!AK301&gt;0,"No","Yes")</f>
        <v>Yes</v>
      </c>
    </row>
    <row r="605" spans="1:48" ht="34.5" customHeight="1" outlineLevel="1">
      <c r="A605" s="641" t="s">
        <v>1079</v>
      </c>
      <c r="B605" s="641" t="str">
        <f>IF('Proposed Lighting'!AU302=3,"Commercial-All Com-ExtLight",IF('Proposed Lighting'!AH302&gt;8759,"IPC_8760","Commercial-All Com-IntLight"))</f>
        <v>IPC_8760</v>
      </c>
      <c r="C605" s="641" t="str">
        <f>IF(OR(E605="",E605=0),"No",
IF(AND('Data Entry'!$AF$23="OR",AE605&lt;1),"No",
IF(AND('Data Entry'!$AF$23="ID",E605="Non-standard lighting control system",AD605&lt;1),"No",
IF(AND('Data Entry'!$AF$23="OR",'Proposed Lighting'!F302="Existing LED (Provide Description)",'Proposed Lighting'!AK302=""),"No",
IF('Proposed Lighting'!DD302="Submit Control as Non-Standard","No",
IF(AND('Proposed Lighting'!T302="Non-Standard (Provide Description)",AD605&lt;1),"No",
IF('Proposed Lighting'!AW302&lt;'Proposed Lighting'!AZ302,"No","Yes")))))))</f>
        <v>No</v>
      </c>
      <c r="D605" s="1604">
        <f>'Proposed Lighting'!BQ302-Q605</f>
        <v>0</v>
      </c>
      <c r="E605" s="642" t="str">
        <f>IF('Proposed Lighting'!W302="","",'Proposed Lighting'!W302)</f>
        <v/>
      </c>
      <c r="F605" s="642"/>
      <c r="G605" s="641" t="s">
        <v>786</v>
      </c>
      <c r="H605" s="643">
        <v>10</v>
      </c>
      <c r="I605" s="644">
        <v>1</v>
      </c>
      <c r="J605" s="723">
        <f>IF('Proposed Lighting'!EF302=0,'Proposed Lighting'!AA302,'Proposed Lighting'!EF302)</f>
        <v>0</v>
      </c>
      <c r="K605" s="643" t="str">
        <f>'Proposed Lighting'!CU302</f>
        <v/>
      </c>
      <c r="L605" s="643" t="str">
        <f t="shared" si="129"/>
        <v/>
      </c>
      <c r="M605" s="645">
        <f t="shared" si="132"/>
        <v>0</v>
      </c>
      <c r="N605" s="645"/>
      <c r="O605" s="722">
        <f>IFERROR('Proposed Lighting'!AC302/1000,0)</f>
        <v>0</v>
      </c>
      <c r="P605" s="644">
        <f>'Proposed Lighting'!AV302</f>
        <v>0</v>
      </c>
      <c r="Q605" s="644">
        <f>IF(AND('Proposed Lighting'!T302="Lighting Controls Only",'Data Entry'!$AF$23="OR",'Proposed Lighting'!AU302=2),0,
IF(AND('Proposed Lighting'!T302="Lighting Controls Only",'Data Entry'!$AF$23="OR",'Proposed Lighting'!AU302=3,OR('Proposed Lighting'!W302="ceiling mount",'Proposed Lighting'!W302="wall switch",'Proposed Lighting'!W302="fixture mount (on exisiting equip)",'Proposed Lighting'!W302="daylight harvesting (on existing equip)")),0,
IF('Proposed Lighting'!AF302=1,IF(P605=0,0,J605*O605*(L605*(1-P605))),IF('Proposed Lighting'!AU302=1,0,'Proposed Lighting'!AX302-'Proposed Lighting'!AY302))))</f>
        <v>0</v>
      </c>
      <c r="R605" s="646">
        <f>IF('Proposed Lighting'!T302="Non-standard (provide description",0,
IF(AND(E605="Non-standard control",'Proposed Lighting'!AU302=2),Q605*0.1,
IF(AND(E605="Non-standard control",'Proposed Lighting'!AU302=3),Q605*0.08,
IF('Proposed Lighting'!EF302=0,0,IF('Proposed Lighting'!AU302=1,0,
IF(AND('Data Entry'!$AF$23="ID",'Proposed Lighting'!T302="Lighting controls only"),VLOOKUP(E605,'Proposed Lighting'!$DO$97:$DP$106,2,FALSE),
IF(AND('Data Entry'!$AF$23="OR",'Proposed Lighting'!AU302=3,'Proposed Lighting'!T302="Lighting controls only"),VLOOKUP(E605,'Proposed Lighting'!$DO$127:$DP$134,2,FALSE),0)))))))*J605</f>
        <v>0</v>
      </c>
      <c r="S605" s="646">
        <f>IF(Q605&lt;0.01,0,IF('Proposed Lighting'!AK302&gt;0,'Proposed Lighting'!AK302*'Proposed Lighting'!EF302,0))</f>
        <v>0</v>
      </c>
      <c r="T605" s="647">
        <f t="shared" si="130"/>
        <v>0</v>
      </c>
      <c r="U605" s="648"/>
      <c r="V605" s="646">
        <f t="shared" si="133"/>
        <v>0</v>
      </c>
      <c r="W605" s="646">
        <f t="shared" si="134"/>
        <v>0</v>
      </c>
      <c r="X605" s="646">
        <f t="shared" si="135"/>
        <v>0</v>
      </c>
      <c r="Y605" s="646"/>
      <c r="Z605" s="646"/>
      <c r="AA605" s="646"/>
      <c r="AB605" s="646">
        <f t="shared" si="136"/>
        <v>0</v>
      </c>
      <c r="AC605" s="649" t="str">
        <f t="shared" si="137"/>
        <v/>
      </c>
      <c r="AD605" s="649" t="str">
        <f t="shared" si="138"/>
        <v/>
      </c>
      <c r="AE605" s="649" t="str">
        <f t="shared" si="139"/>
        <v/>
      </c>
      <c r="AF605" s="72"/>
      <c r="AG605" s="644">
        <f>IFERROR(IF($AV605="No",0,IF($AV605="yes",Summary!Q605,"")),"")</f>
        <v>0</v>
      </c>
      <c r="AH605" s="646">
        <f>IFERROR(IF($AV605="No",0,IF($AV605="yes",Summary!R605,"")),"")</f>
        <v>0</v>
      </c>
      <c r="AI605" s="646">
        <f>IFERROR(IF($AV605="No",0,IF($AV605="yes",Summary!S605,"")),"")</f>
        <v>0</v>
      </c>
      <c r="AJ605" s="647">
        <f>IFERROR(IF($AV605="No",0,IF($AV605="yes",Summary!T605,"")),"")</f>
        <v>0</v>
      </c>
      <c r="AK605" s="648">
        <f>IFERROR(IF($AV605="No",0,IF($AV605="yes",Summary!U605,"")),"")</f>
        <v>0</v>
      </c>
      <c r="AL605" s="646">
        <f>IFERROR(IF($AV605="No",0,IF($AV605="yes",Summary!V605,"")),"")</f>
        <v>0</v>
      </c>
      <c r="AM605" s="646">
        <f>IFERROR(IF($AV605="No",0,IF($AV605="yes",Summary!W605,"")),"")</f>
        <v>0</v>
      </c>
      <c r="AN605" s="646">
        <f>IFERROR(IF($AV605="No",0,IF($AV605="yes",Summary!X605,"")),"")</f>
        <v>0</v>
      </c>
      <c r="AO605" s="646">
        <f>IFERROR(IF($AV605="No",0,IF($AV605="yes",Summary!Y605+Z605,"")),"")</f>
        <v>0</v>
      </c>
      <c r="AP605" s="646">
        <f>IFERROR(IF($AV605="No",0,IF($AV605="yes",Summary!AB605,"")),"")</f>
        <v>0</v>
      </c>
      <c r="AQ605" s="649" t="str">
        <f t="shared" si="127"/>
        <v/>
      </c>
      <c r="AR605" s="649" t="str">
        <f t="shared" si="131"/>
        <v/>
      </c>
      <c r="AS605" s="649" t="str">
        <f t="shared" si="128"/>
        <v/>
      </c>
      <c r="AT605" s="641" t="s">
        <v>1079</v>
      </c>
      <c r="AV605" t="str">
        <f>IF('Proposed Lighting'!AK302&gt;0,"No","Yes")</f>
        <v>Yes</v>
      </c>
    </row>
    <row r="606" spans="1:48" ht="34.5" customHeight="1" outlineLevel="1">
      <c r="A606" s="641" t="s">
        <v>1080</v>
      </c>
      <c r="B606" s="641" t="str">
        <f>IF('Proposed Lighting'!AU303=3,"Commercial-All Com-ExtLight",IF('Proposed Lighting'!AH303&gt;8759,"IPC_8760","Commercial-All Com-IntLight"))</f>
        <v>IPC_8760</v>
      </c>
      <c r="C606" s="641" t="str">
        <f>IF(OR(E606="",E606=0),"No",
IF(AND('Data Entry'!$AF$23="OR",AE606&lt;1),"No",
IF(AND('Data Entry'!$AF$23="ID",E606="Non-standard lighting control system",AD606&lt;1),"No",
IF(AND('Data Entry'!$AF$23="OR",'Proposed Lighting'!F303="Existing LED (Provide Description)",'Proposed Lighting'!AK303=""),"No",
IF('Proposed Lighting'!DD303="Submit Control as Non-Standard","No",
IF(AND('Proposed Lighting'!T303="Non-Standard (Provide Description)",AD606&lt;1),"No",
IF('Proposed Lighting'!AW303&lt;'Proposed Lighting'!AZ303,"No","Yes")))))))</f>
        <v>No</v>
      </c>
      <c r="D606" s="1604">
        <f>'Proposed Lighting'!BQ303-Q606</f>
        <v>0</v>
      </c>
      <c r="E606" s="642" t="str">
        <f>IF('Proposed Lighting'!W303="","",'Proposed Lighting'!W303)</f>
        <v/>
      </c>
      <c r="F606" s="642"/>
      <c r="G606" s="641" t="s">
        <v>786</v>
      </c>
      <c r="H606" s="643">
        <v>10</v>
      </c>
      <c r="I606" s="644">
        <v>1</v>
      </c>
      <c r="J606" s="723">
        <f>IF('Proposed Lighting'!EF303=0,'Proposed Lighting'!AA303,'Proposed Lighting'!EF303)</f>
        <v>0</v>
      </c>
      <c r="K606" s="643" t="str">
        <f>'Proposed Lighting'!CU303</f>
        <v/>
      </c>
      <c r="L606" s="643" t="str">
        <f t="shared" si="129"/>
        <v/>
      </c>
      <c r="M606" s="645">
        <f t="shared" si="132"/>
        <v>0</v>
      </c>
      <c r="N606" s="645"/>
      <c r="O606" s="722">
        <f>IFERROR('Proposed Lighting'!AC303/1000,0)</f>
        <v>0</v>
      </c>
      <c r="P606" s="644">
        <f>'Proposed Lighting'!AV303</f>
        <v>0</v>
      </c>
      <c r="Q606" s="644">
        <f>IF(AND('Proposed Lighting'!T303="Lighting Controls Only",'Data Entry'!$AF$23="OR",'Proposed Lighting'!AU303=2),0,
IF(AND('Proposed Lighting'!T303="Lighting Controls Only",'Data Entry'!$AF$23="OR",'Proposed Lighting'!AU303=3,OR('Proposed Lighting'!W303="ceiling mount",'Proposed Lighting'!W303="wall switch",'Proposed Lighting'!W303="fixture mount (on exisiting equip)",'Proposed Lighting'!W303="daylight harvesting (on existing equip)")),0,
IF('Proposed Lighting'!AF303=1,IF(P606=0,0,J606*O606*(L606*(1-P606))),IF('Proposed Lighting'!AU303=1,0,'Proposed Lighting'!AX303-'Proposed Lighting'!AY303))))</f>
        <v>0</v>
      </c>
      <c r="R606" s="646">
        <f>IF('Proposed Lighting'!T303="Non-standard (provide description",0,
IF(AND(E606="Non-standard control",'Proposed Lighting'!AU303=2),Q606*0.1,
IF(AND(E606="Non-standard control",'Proposed Lighting'!AU303=3),Q606*0.08,
IF('Proposed Lighting'!EF303=0,0,IF('Proposed Lighting'!AU303=1,0,
IF(AND('Data Entry'!$AF$23="ID",'Proposed Lighting'!T303="Lighting controls only"),VLOOKUP(E606,'Proposed Lighting'!$DO$97:$DP$106,2,FALSE),
IF(AND('Data Entry'!$AF$23="OR",'Proposed Lighting'!AU303=3,'Proposed Lighting'!T303="Lighting controls only"),VLOOKUP(E606,'Proposed Lighting'!$DO$127:$DP$134,2,FALSE),0)))))))*J606</f>
        <v>0</v>
      </c>
      <c r="S606" s="646">
        <f>IF(Q606&lt;0.01,0,IF('Proposed Lighting'!AK303&gt;0,'Proposed Lighting'!AK303*'Proposed Lighting'!EF303,0))</f>
        <v>0</v>
      </c>
      <c r="T606" s="647">
        <f t="shared" si="130"/>
        <v>0</v>
      </c>
      <c r="U606" s="648"/>
      <c r="V606" s="646">
        <f t="shared" si="133"/>
        <v>0</v>
      </c>
      <c r="W606" s="646">
        <f t="shared" si="134"/>
        <v>0</v>
      </c>
      <c r="X606" s="646">
        <f t="shared" si="135"/>
        <v>0</v>
      </c>
      <c r="Y606" s="646"/>
      <c r="Z606" s="646"/>
      <c r="AA606" s="646"/>
      <c r="AB606" s="646">
        <f t="shared" si="136"/>
        <v>0</v>
      </c>
      <c r="AC606" s="649" t="str">
        <f t="shared" si="137"/>
        <v/>
      </c>
      <c r="AD606" s="649" t="str">
        <f t="shared" si="138"/>
        <v/>
      </c>
      <c r="AE606" s="649" t="str">
        <f t="shared" si="139"/>
        <v/>
      </c>
      <c r="AF606" s="72"/>
      <c r="AG606" s="644">
        <f>IFERROR(IF($AV606="No",0,IF($AV606="yes",Summary!Q606,"")),"")</f>
        <v>0</v>
      </c>
      <c r="AH606" s="646">
        <f>IFERROR(IF($AV606="No",0,IF($AV606="yes",Summary!R606,"")),"")</f>
        <v>0</v>
      </c>
      <c r="AI606" s="646">
        <f>IFERROR(IF($AV606="No",0,IF($AV606="yes",Summary!S606,"")),"")</f>
        <v>0</v>
      </c>
      <c r="AJ606" s="647">
        <f>IFERROR(IF($AV606="No",0,IF($AV606="yes",Summary!T606,"")),"")</f>
        <v>0</v>
      </c>
      <c r="AK606" s="648">
        <f>IFERROR(IF($AV606="No",0,IF($AV606="yes",Summary!U606,"")),"")</f>
        <v>0</v>
      </c>
      <c r="AL606" s="646">
        <f>IFERROR(IF($AV606="No",0,IF($AV606="yes",Summary!V606,"")),"")</f>
        <v>0</v>
      </c>
      <c r="AM606" s="646">
        <f>IFERROR(IF($AV606="No",0,IF($AV606="yes",Summary!W606,"")),"")</f>
        <v>0</v>
      </c>
      <c r="AN606" s="646">
        <f>IFERROR(IF($AV606="No",0,IF($AV606="yes",Summary!X606,"")),"")</f>
        <v>0</v>
      </c>
      <c r="AO606" s="646">
        <f>IFERROR(IF($AV606="No",0,IF($AV606="yes",Summary!Y606+Z606,"")),"")</f>
        <v>0</v>
      </c>
      <c r="AP606" s="646">
        <f>IFERROR(IF($AV606="No",0,IF($AV606="yes",Summary!AB606,"")),"")</f>
        <v>0</v>
      </c>
      <c r="AQ606" s="649" t="str">
        <f t="shared" si="127"/>
        <v/>
      </c>
      <c r="AR606" s="649" t="str">
        <f t="shared" si="131"/>
        <v/>
      </c>
      <c r="AS606" s="649" t="str">
        <f t="shared" si="128"/>
        <v/>
      </c>
      <c r="AT606" s="641" t="s">
        <v>1080</v>
      </c>
      <c r="AV606" t="str">
        <f>IF('Proposed Lighting'!AK303&gt;0,"No","Yes")</f>
        <v>Yes</v>
      </c>
    </row>
    <row r="607" spans="1:48" ht="34.5" customHeight="1" outlineLevel="1">
      <c r="A607" s="641" t="s">
        <v>1081</v>
      </c>
      <c r="B607" s="641" t="str">
        <f>IF('Proposed Lighting'!AU304=3,"Commercial-All Com-ExtLight",IF('Proposed Lighting'!AH304&gt;8759,"IPC_8760","Commercial-All Com-IntLight"))</f>
        <v>IPC_8760</v>
      </c>
      <c r="C607" s="641" t="str">
        <f>IF(OR(E607="",E607=0),"No",
IF(AND('Data Entry'!$AF$23="OR",AE607&lt;1),"No",
IF(AND('Data Entry'!$AF$23="ID",E607="Non-standard lighting control system",AD607&lt;1),"No",
IF(AND('Data Entry'!$AF$23="OR",'Proposed Lighting'!F304="Existing LED (Provide Description)",'Proposed Lighting'!AK304=""),"No",
IF('Proposed Lighting'!DD304="Submit Control as Non-Standard","No",
IF(AND('Proposed Lighting'!T304="Non-Standard (Provide Description)",AD607&lt;1),"No",
IF('Proposed Lighting'!AW304&lt;'Proposed Lighting'!AZ304,"No","Yes")))))))</f>
        <v>No</v>
      </c>
      <c r="D607" s="1604">
        <f>'Proposed Lighting'!BQ304-Q607</f>
        <v>0</v>
      </c>
      <c r="E607" s="642" t="str">
        <f>IF('Proposed Lighting'!W304="","",'Proposed Lighting'!W304)</f>
        <v/>
      </c>
      <c r="F607" s="642"/>
      <c r="G607" s="641" t="s">
        <v>786</v>
      </c>
      <c r="H607" s="643">
        <v>10</v>
      </c>
      <c r="I607" s="644">
        <v>1</v>
      </c>
      <c r="J607" s="723">
        <f>IF('Proposed Lighting'!EF304=0,'Proposed Lighting'!AA304,'Proposed Lighting'!EF304)</f>
        <v>0</v>
      </c>
      <c r="K607" s="643" t="str">
        <f>'Proposed Lighting'!CU304</f>
        <v/>
      </c>
      <c r="L607" s="643" t="str">
        <f t="shared" si="129"/>
        <v/>
      </c>
      <c r="M607" s="645">
        <f t="shared" si="132"/>
        <v>0</v>
      </c>
      <c r="N607" s="645"/>
      <c r="O607" s="722">
        <f>IFERROR('Proposed Lighting'!AC304/1000,0)</f>
        <v>0</v>
      </c>
      <c r="P607" s="644">
        <f>'Proposed Lighting'!AV304</f>
        <v>0</v>
      </c>
      <c r="Q607" s="644">
        <f>IF(AND('Proposed Lighting'!T304="Lighting Controls Only",'Data Entry'!$AF$23="OR",'Proposed Lighting'!AU304=2),0,
IF(AND('Proposed Lighting'!T304="Lighting Controls Only",'Data Entry'!$AF$23="OR",'Proposed Lighting'!AU304=3,OR('Proposed Lighting'!W304="ceiling mount",'Proposed Lighting'!W304="wall switch",'Proposed Lighting'!W304="fixture mount (on exisiting equip)",'Proposed Lighting'!W304="daylight harvesting (on existing equip)")),0,
IF('Proposed Lighting'!AF304=1,IF(P607=0,0,J607*O607*(L607*(1-P607))),IF('Proposed Lighting'!AU304=1,0,'Proposed Lighting'!AX304-'Proposed Lighting'!AY304))))</f>
        <v>0</v>
      </c>
      <c r="R607" s="646">
        <f>IF('Proposed Lighting'!T304="Non-standard (provide description",0,
IF(AND(E607="Non-standard control",'Proposed Lighting'!AU304=2),Q607*0.1,
IF(AND(E607="Non-standard control",'Proposed Lighting'!AU304=3),Q607*0.08,
IF('Proposed Lighting'!EF304=0,0,IF('Proposed Lighting'!AU304=1,0,
IF(AND('Data Entry'!$AF$23="ID",'Proposed Lighting'!T304="Lighting controls only"),VLOOKUP(E607,'Proposed Lighting'!$DO$97:$DP$106,2,FALSE),
IF(AND('Data Entry'!$AF$23="OR",'Proposed Lighting'!AU304=3,'Proposed Lighting'!T304="Lighting controls only"),VLOOKUP(E607,'Proposed Lighting'!$DO$127:$DP$134,2,FALSE),0)))))))*J607</f>
        <v>0</v>
      </c>
      <c r="S607" s="646">
        <f>IF(Q607&lt;0.01,0,IF('Proposed Lighting'!AK304&gt;0,'Proposed Lighting'!AK304*'Proposed Lighting'!EF304,0))</f>
        <v>0</v>
      </c>
      <c r="T607" s="647">
        <f t="shared" si="130"/>
        <v>0</v>
      </c>
      <c r="U607" s="648"/>
      <c r="V607" s="646">
        <f t="shared" si="133"/>
        <v>0</v>
      </c>
      <c r="W607" s="646">
        <f t="shared" si="134"/>
        <v>0</v>
      </c>
      <c r="X607" s="646">
        <f t="shared" si="135"/>
        <v>0</v>
      </c>
      <c r="Y607" s="646"/>
      <c r="Z607" s="646"/>
      <c r="AA607" s="646"/>
      <c r="AB607" s="646">
        <f t="shared" si="136"/>
        <v>0</v>
      </c>
      <c r="AC607" s="649" t="str">
        <f t="shared" si="137"/>
        <v/>
      </c>
      <c r="AD607" s="649" t="str">
        <f t="shared" si="138"/>
        <v/>
      </c>
      <c r="AE607" s="649" t="str">
        <f t="shared" si="139"/>
        <v/>
      </c>
      <c r="AF607" s="72"/>
      <c r="AG607" s="644">
        <f>IFERROR(IF($AV607="No",0,IF($AV607="yes",Summary!Q607,"")),"")</f>
        <v>0</v>
      </c>
      <c r="AH607" s="646">
        <f>IFERROR(IF($AV607="No",0,IF($AV607="yes",Summary!R607,"")),"")</f>
        <v>0</v>
      </c>
      <c r="AI607" s="646">
        <f>IFERROR(IF($AV607="No",0,IF($AV607="yes",Summary!S607,"")),"")</f>
        <v>0</v>
      </c>
      <c r="AJ607" s="647">
        <f>IFERROR(IF($AV607="No",0,IF($AV607="yes",Summary!T607,"")),"")</f>
        <v>0</v>
      </c>
      <c r="AK607" s="648">
        <f>IFERROR(IF($AV607="No",0,IF($AV607="yes",Summary!U607,"")),"")</f>
        <v>0</v>
      </c>
      <c r="AL607" s="646">
        <f>IFERROR(IF($AV607="No",0,IF($AV607="yes",Summary!V607,"")),"")</f>
        <v>0</v>
      </c>
      <c r="AM607" s="646">
        <f>IFERROR(IF($AV607="No",0,IF($AV607="yes",Summary!W607,"")),"")</f>
        <v>0</v>
      </c>
      <c r="AN607" s="646">
        <f>IFERROR(IF($AV607="No",0,IF($AV607="yes",Summary!X607,"")),"")</f>
        <v>0</v>
      </c>
      <c r="AO607" s="646">
        <f>IFERROR(IF($AV607="No",0,IF($AV607="yes",Summary!Y607+Z607,"")),"")</f>
        <v>0</v>
      </c>
      <c r="AP607" s="646">
        <f>IFERROR(IF($AV607="No",0,IF($AV607="yes",Summary!AB607,"")),"")</f>
        <v>0</v>
      </c>
      <c r="AQ607" s="649" t="str">
        <f t="shared" si="127"/>
        <v/>
      </c>
      <c r="AR607" s="649" t="str">
        <f t="shared" si="131"/>
        <v/>
      </c>
      <c r="AS607" s="649" t="str">
        <f t="shared" si="128"/>
        <v/>
      </c>
      <c r="AT607" s="641" t="s">
        <v>1081</v>
      </c>
      <c r="AV607" t="str">
        <f>IF('Proposed Lighting'!AK304&gt;0,"No","Yes")</f>
        <v>Yes</v>
      </c>
    </row>
    <row r="608" spans="1:48" ht="34.5" customHeight="1" outlineLevel="1">
      <c r="A608" s="641" t="s">
        <v>1082</v>
      </c>
      <c r="B608" s="641" t="str">
        <f>IF('Proposed Lighting'!AU305=3,"Commercial-All Com-ExtLight",IF('Proposed Lighting'!AH305&gt;8759,"IPC_8760","Commercial-All Com-IntLight"))</f>
        <v>IPC_8760</v>
      </c>
      <c r="C608" s="641" t="str">
        <f>IF(OR(E608="",E608=0),"No",
IF(AND('Data Entry'!$AF$23="OR",AE608&lt;1),"No",
IF(AND('Data Entry'!$AF$23="ID",E608="Non-standard lighting control system",AD608&lt;1),"No",
IF(AND('Data Entry'!$AF$23="OR",'Proposed Lighting'!F305="Existing LED (Provide Description)",'Proposed Lighting'!AK305=""),"No",
IF('Proposed Lighting'!DD305="Submit Control as Non-Standard","No",
IF(AND('Proposed Lighting'!T305="Non-Standard (Provide Description)",AD608&lt;1),"No",
IF('Proposed Lighting'!AW305&lt;'Proposed Lighting'!AZ305,"No","Yes")))))))</f>
        <v>No</v>
      </c>
      <c r="D608" s="1604">
        <f>'Proposed Lighting'!BQ305-Q608</f>
        <v>0</v>
      </c>
      <c r="E608" s="642" t="str">
        <f>IF('Proposed Lighting'!W305="","",'Proposed Lighting'!W305)</f>
        <v/>
      </c>
      <c r="F608" s="642"/>
      <c r="G608" s="641" t="s">
        <v>786</v>
      </c>
      <c r="H608" s="643">
        <v>10</v>
      </c>
      <c r="I608" s="644">
        <v>1</v>
      </c>
      <c r="J608" s="723">
        <f>IF('Proposed Lighting'!EF305=0,'Proposed Lighting'!AA305,'Proposed Lighting'!EF305)</f>
        <v>0</v>
      </c>
      <c r="K608" s="643" t="str">
        <f>'Proposed Lighting'!CU305</f>
        <v/>
      </c>
      <c r="L608" s="643" t="str">
        <f t="shared" si="129"/>
        <v/>
      </c>
      <c r="M608" s="645">
        <f t="shared" si="132"/>
        <v>0</v>
      </c>
      <c r="N608" s="645"/>
      <c r="O608" s="722">
        <f>IFERROR('Proposed Lighting'!AC305/1000,0)</f>
        <v>0</v>
      </c>
      <c r="P608" s="644">
        <f>'Proposed Lighting'!AV305</f>
        <v>0</v>
      </c>
      <c r="Q608" s="644">
        <f>IF(AND('Proposed Lighting'!T305="Lighting Controls Only",'Data Entry'!$AF$23="OR",'Proposed Lighting'!AU305=2),0,
IF(AND('Proposed Lighting'!T305="Lighting Controls Only",'Data Entry'!$AF$23="OR",'Proposed Lighting'!AU305=3,OR('Proposed Lighting'!W305="ceiling mount",'Proposed Lighting'!W305="wall switch",'Proposed Lighting'!W305="fixture mount (on exisiting equip)",'Proposed Lighting'!W305="daylight harvesting (on existing equip)")),0,
IF('Proposed Lighting'!AF305=1,IF(P608=0,0,J608*O608*(L608*(1-P608))),IF('Proposed Lighting'!AU305=1,0,'Proposed Lighting'!AX305-'Proposed Lighting'!AY305))))</f>
        <v>0</v>
      </c>
      <c r="R608" s="646">
        <f>IF('Proposed Lighting'!T305="Non-standard (provide description",0,
IF(AND(E608="Non-standard control",'Proposed Lighting'!AU305=2),Q608*0.1,
IF(AND(E608="Non-standard control",'Proposed Lighting'!AU305=3),Q608*0.08,
IF('Proposed Lighting'!EF305=0,0,IF('Proposed Lighting'!AU305=1,0,
IF(AND('Data Entry'!$AF$23="ID",'Proposed Lighting'!T305="Lighting controls only"),VLOOKUP(E608,'Proposed Lighting'!$DO$97:$DP$106,2,FALSE),
IF(AND('Data Entry'!$AF$23="OR",'Proposed Lighting'!AU305=3,'Proposed Lighting'!T305="Lighting controls only"),VLOOKUP(E608,'Proposed Lighting'!$DO$127:$DP$134,2,FALSE),0)))))))*J608</f>
        <v>0</v>
      </c>
      <c r="S608" s="646">
        <f>IF(Q608&lt;0.01,0,IF('Proposed Lighting'!AK305&gt;0,'Proposed Lighting'!AK305*'Proposed Lighting'!EF305,0))</f>
        <v>0</v>
      </c>
      <c r="T608" s="647">
        <f t="shared" si="130"/>
        <v>0</v>
      </c>
      <c r="U608" s="648"/>
      <c r="V608" s="646">
        <f t="shared" si="133"/>
        <v>0</v>
      </c>
      <c r="W608" s="646">
        <f t="shared" si="134"/>
        <v>0</v>
      </c>
      <c r="X608" s="646">
        <f t="shared" si="135"/>
        <v>0</v>
      </c>
      <c r="Y608" s="646"/>
      <c r="Z608" s="646"/>
      <c r="AA608" s="646"/>
      <c r="AB608" s="646">
        <f t="shared" si="136"/>
        <v>0</v>
      </c>
      <c r="AC608" s="649" t="str">
        <f t="shared" si="137"/>
        <v/>
      </c>
      <c r="AD608" s="649" t="str">
        <f t="shared" si="138"/>
        <v/>
      </c>
      <c r="AE608" s="649" t="str">
        <f t="shared" si="139"/>
        <v/>
      </c>
      <c r="AF608" s="72"/>
      <c r="AG608" s="644">
        <f>IFERROR(IF($AV608="No",0,IF($AV608="yes",Summary!Q608,"")),"")</f>
        <v>0</v>
      </c>
      <c r="AH608" s="646">
        <f>IFERROR(IF($AV608="No",0,IF($AV608="yes",Summary!R608,"")),"")</f>
        <v>0</v>
      </c>
      <c r="AI608" s="646">
        <f>IFERROR(IF($AV608="No",0,IF($AV608="yes",Summary!S608,"")),"")</f>
        <v>0</v>
      </c>
      <c r="AJ608" s="647">
        <f>IFERROR(IF($AV608="No",0,IF($AV608="yes",Summary!T608,"")),"")</f>
        <v>0</v>
      </c>
      <c r="AK608" s="648">
        <f>IFERROR(IF($AV608="No",0,IF($AV608="yes",Summary!U608,"")),"")</f>
        <v>0</v>
      </c>
      <c r="AL608" s="646">
        <f>IFERROR(IF($AV608="No",0,IF($AV608="yes",Summary!V608,"")),"")</f>
        <v>0</v>
      </c>
      <c r="AM608" s="646">
        <f>IFERROR(IF($AV608="No",0,IF($AV608="yes",Summary!W608,"")),"")</f>
        <v>0</v>
      </c>
      <c r="AN608" s="646">
        <f>IFERROR(IF($AV608="No",0,IF($AV608="yes",Summary!X608,"")),"")</f>
        <v>0</v>
      </c>
      <c r="AO608" s="646">
        <f>IFERROR(IF($AV608="No",0,IF($AV608="yes",Summary!Y608+Z608,"")),"")</f>
        <v>0</v>
      </c>
      <c r="AP608" s="646">
        <f>IFERROR(IF($AV608="No",0,IF($AV608="yes",Summary!AB608,"")),"")</f>
        <v>0</v>
      </c>
      <c r="AQ608" s="649" t="str">
        <f t="shared" si="127"/>
        <v/>
      </c>
      <c r="AR608" s="649" t="str">
        <f t="shared" si="131"/>
        <v/>
      </c>
      <c r="AS608" s="649" t="str">
        <f t="shared" si="128"/>
        <v/>
      </c>
      <c r="AT608" s="641" t="s">
        <v>1082</v>
      </c>
      <c r="AV608" t="str">
        <f>IF('Proposed Lighting'!AK305&gt;0,"No","Yes")</f>
        <v>Yes</v>
      </c>
    </row>
    <row r="609" spans="1:48" ht="34.5" customHeight="1" outlineLevel="1">
      <c r="A609" s="641" t="s">
        <v>1083</v>
      </c>
      <c r="B609" s="641" t="str">
        <f>IF('Proposed Lighting'!AU306=3,"Commercial-All Com-ExtLight",IF('Proposed Lighting'!AH306&gt;8759,"IPC_8760","Commercial-All Com-IntLight"))</f>
        <v>IPC_8760</v>
      </c>
      <c r="C609" s="641" t="str">
        <f>IF(OR(E609="",E609=0),"No",
IF(AND('Data Entry'!$AF$23="OR",AE609&lt;1),"No",
IF(AND('Data Entry'!$AF$23="ID",E609="Non-standard lighting control system",AD609&lt;1),"No",
IF(AND('Data Entry'!$AF$23="OR",'Proposed Lighting'!F306="Existing LED (Provide Description)",'Proposed Lighting'!AK306=""),"No",
IF('Proposed Lighting'!DD306="Submit Control as Non-Standard","No",
IF(AND('Proposed Lighting'!T306="Non-Standard (Provide Description)",AD609&lt;1),"No",
IF('Proposed Lighting'!AW306&lt;'Proposed Lighting'!AZ306,"No","Yes")))))))</f>
        <v>No</v>
      </c>
      <c r="D609" s="1604">
        <f>'Proposed Lighting'!BQ306-Q609</f>
        <v>0</v>
      </c>
      <c r="E609" s="642" t="str">
        <f>IF('Proposed Lighting'!W306="","",'Proposed Lighting'!W306)</f>
        <v/>
      </c>
      <c r="F609" s="642"/>
      <c r="G609" s="641" t="s">
        <v>786</v>
      </c>
      <c r="H609" s="643">
        <v>10</v>
      </c>
      <c r="I609" s="644">
        <v>1</v>
      </c>
      <c r="J609" s="723">
        <f>IF('Proposed Lighting'!EF306=0,'Proposed Lighting'!AA306,'Proposed Lighting'!EF306)</f>
        <v>0</v>
      </c>
      <c r="K609" s="643" t="str">
        <f>'Proposed Lighting'!CU306</f>
        <v/>
      </c>
      <c r="L609" s="643" t="str">
        <f t="shared" si="129"/>
        <v/>
      </c>
      <c r="M609" s="645">
        <f t="shared" si="132"/>
        <v>0</v>
      </c>
      <c r="N609" s="645"/>
      <c r="O609" s="722">
        <f>IFERROR('Proposed Lighting'!AC306/1000,0)</f>
        <v>0</v>
      </c>
      <c r="P609" s="644">
        <f>'Proposed Lighting'!AV306</f>
        <v>0</v>
      </c>
      <c r="Q609" s="644">
        <f>IF(AND('Proposed Lighting'!T306="Lighting Controls Only",'Data Entry'!$AF$23="OR",'Proposed Lighting'!AU306=2),0,
IF(AND('Proposed Lighting'!T306="Lighting Controls Only",'Data Entry'!$AF$23="OR",'Proposed Lighting'!AU306=3,OR('Proposed Lighting'!W306="ceiling mount",'Proposed Lighting'!W306="wall switch",'Proposed Lighting'!W306="fixture mount (on exisiting equip)",'Proposed Lighting'!W306="daylight harvesting (on existing equip)")),0,
IF('Proposed Lighting'!AF306=1,IF(P609=0,0,J609*O609*(L609*(1-P609))),IF('Proposed Lighting'!AU306=1,0,'Proposed Lighting'!AX306-'Proposed Lighting'!AY306))))</f>
        <v>0</v>
      </c>
      <c r="R609" s="646">
        <f>IF('Proposed Lighting'!T306="Non-standard (provide description",0,
IF(AND(E609="Non-standard control",'Proposed Lighting'!AU306=2),Q609*0.1,
IF(AND(E609="Non-standard control",'Proposed Lighting'!AU306=3),Q609*0.08,
IF('Proposed Lighting'!EF306=0,0,IF('Proposed Lighting'!AU306=1,0,
IF(AND('Data Entry'!$AF$23="ID",'Proposed Lighting'!T306="Lighting controls only"),VLOOKUP(E609,'Proposed Lighting'!$DO$97:$DP$106,2,FALSE),
IF(AND('Data Entry'!$AF$23="OR",'Proposed Lighting'!AU306=3,'Proposed Lighting'!T306="Lighting controls only"),VLOOKUP(E609,'Proposed Lighting'!$DO$127:$DP$134,2,FALSE),0)))))))*J609</f>
        <v>0</v>
      </c>
      <c r="S609" s="646">
        <f>IF(Q609&lt;0.01,0,IF('Proposed Lighting'!AK306&gt;0,'Proposed Lighting'!AK306*'Proposed Lighting'!EF306,0))</f>
        <v>0</v>
      </c>
      <c r="T609" s="647">
        <f t="shared" si="130"/>
        <v>0</v>
      </c>
      <c r="U609" s="648"/>
      <c r="V609" s="646">
        <f t="shared" si="133"/>
        <v>0</v>
      </c>
      <c r="W609" s="646">
        <f t="shared" si="134"/>
        <v>0</v>
      </c>
      <c r="X609" s="646">
        <f t="shared" si="135"/>
        <v>0</v>
      </c>
      <c r="Y609" s="646"/>
      <c r="Z609" s="646"/>
      <c r="AA609" s="646"/>
      <c r="AB609" s="646">
        <f t="shared" si="136"/>
        <v>0</v>
      </c>
      <c r="AC609" s="649" t="str">
        <f t="shared" si="137"/>
        <v/>
      </c>
      <c r="AD609" s="649" t="str">
        <f t="shared" si="138"/>
        <v/>
      </c>
      <c r="AE609" s="649" t="str">
        <f t="shared" si="139"/>
        <v/>
      </c>
      <c r="AF609" s="72"/>
      <c r="AG609" s="644">
        <f>IFERROR(IF($AV609="No",0,IF($AV609="yes",Summary!Q609,"")),"")</f>
        <v>0</v>
      </c>
      <c r="AH609" s="646">
        <f>IFERROR(IF($AV609="No",0,IF($AV609="yes",Summary!R609,"")),"")</f>
        <v>0</v>
      </c>
      <c r="AI609" s="646">
        <f>IFERROR(IF($AV609="No",0,IF($AV609="yes",Summary!S609,"")),"")</f>
        <v>0</v>
      </c>
      <c r="AJ609" s="647">
        <f>IFERROR(IF($AV609="No",0,IF($AV609="yes",Summary!T609,"")),"")</f>
        <v>0</v>
      </c>
      <c r="AK609" s="648">
        <f>IFERROR(IF($AV609="No",0,IF($AV609="yes",Summary!U609,"")),"")</f>
        <v>0</v>
      </c>
      <c r="AL609" s="646">
        <f>IFERROR(IF($AV609="No",0,IF($AV609="yes",Summary!V609,"")),"")</f>
        <v>0</v>
      </c>
      <c r="AM609" s="646">
        <f>IFERROR(IF($AV609="No",0,IF($AV609="yes",Summary!W609,"")),"")</f>
        <v>0</v>
      </c>
      <c r="AN609" s="646">
        <f>IFERROR(IF($AV609="No",0,IF($AV609="yes",Summary!X609,"")),"")</f>
        <v>0</v>
      </c>
      <c r="AO609" s="646">
        <f>IFERROR(IF($AV609="No",0,IF($AV609="yes",Summary!Y609+Z609,"")),"")</f>
        <v>0</v>
      </c>
      <c r="AP609" s="646">
        <f>IFERROR(IF($AV609="No",0,IF($AV609="yes",Summary!AB609,"")),"")</f>
        <v>0</v>
      </c>
      <c r="AQ609" s="649" t="str">
        <f t="shared" si="127"/>
        <v/>
      </c>
      <c r="AR609" s="649" t="str">
        <f t="shared" si="131"/>
        <v/>
      </c>
      <c r="AS609" s="649" t="str">
        <f t="shared" si="128"/>
        <v/>
      </c>
      <c r="AT609" s="641" t="s">
        <v>1083</v>
      </c>
      <c r="AV609" t="str">
        <f>IF('Proposed Lighting'!AK306&gt;0,"No","Yes")</f>
        <v>Yes</v>
      </c>
    </row>
    <row r="610" spans="1:48" ht="34.5" customHeight="1" outlineLevel="1">
      <c r="A610" s="641" t="s">
        <v>1084</v>
      </c>
      <c r="B610" s="641" t="str">
        <f>IF('Proposed Lighting'!AU307=3,"Commercial-All Com-ExtLight",IF('Proposed Lighting'!AH307&gt;8759,"IPC_8760","Commercial-All Com-IntLight"))</f>
        <v>IPC_8760</v>
      </c>
      <c r="C610" s="641" t="str">
        <f>IF(OR(E610="",E610=0),"No",
IF(AND('Data Entry'!$AF$23="OR",AE610&lt;1),"No",
IF(AND('Data Entry'!$AF$23="ID",E610="Non-standard lighting control system",AD610&lt;1),"No",
IF(AND('Data Entry'!$AF$23="OR",'Proposed Lighting'!F307="Existing LED (Provide Description)",'Proposed Lighting'!AK307=""),"No",
IF('Proposed Lighting'!DD307="Submit Control as Non-Standard","No",
IF(AND('Proposed Lighting'!T307="Non-Standard (Provide Description)",AD610&lt;1),"No",
IF('Proposed Lighting'!AW307&lt;'Proposed Lighting'!AZ307,"No","Yes")))))))</f>
        <v>No</v>
      </c>
      <c r="D610" s="1604">
        <f>'Proposed Lighting'!BQ307-Q610</f>
        <v>0</v>
      </c>
      <c r="E610" s="642" t="str">
        <f>IF('Proposed Lighting'!W307="","",'Proposed Lighting'!W307)</f>
        <v/>
      </c>
      <c r="F610" s="642"/>
      <c r="G610" s="641" t="s">
        <v>786</v>
      </c>
      <c r="H610" s="643">
        <v>10</v>
      </c>
      <c r="I610" s="644">
        <v>1</v>
      </c>
      <c r="J610" s="723">
        <f>IF('Proposed Lighting'!EF307=0,'Proposed Lighting'!AA307,'Proposed Lighting'!EF307)</f>
        <v>0</v>
      </c>
      <c r="K610" s="643" t="str">
        <f>'Proposed Lighting'!CU307</f>
        <v/>
      </c>
      <c r="L610" s="643" t="str">
        <f t="shared" si="129"/>
        <v/>
      </c>
      <c r="M610" s="645">
        <f t="shared" si="132"/>
        <v>0</v>
      </c>
      <c r="N610" s="645"/>
      <c r="O610" s="722">
        <f>IFERROR('Proposed Lighting'!AC307/1000,0)</f>
        <v>0</v>
      </c>
      <c r="P610" s="644">
        <f>'Proposed Lighting'!AV307</f>
        <v>0</v>
      </c>
      <c r="Q610" s="644">
        <f>IF(AND('Proposed Lighting'!T307="Lighting Controls Only",'Data Entry'!$AF$23="OR",'Proposed Lighting'!AU307=2),0,
IF(AND('Proposed Lighting'!T307="Lighting Controls Only",'Data Entry'!$AF$23="OR",'Proposed Lighting'!AU307=3,OR('Proposed Lighting'!W307="ceiling mount",'Proposed Lighting'!W307="wall switch",'Proposed Lighting'!W307="fixture mount (on exisiting equip)",'Proposed Lighting'!W307="daylight harvesting (on existing equip)")),0,
IF('Proposed Lighting'!AF307=1,IF(P610=0,0,J610*O610*(L610*(1-P610))),IF('Proposed Lighting'!AU307=1,0,'Proposed Lighting'!AX307-'Proposed Lighting'!AY307))))</f>
        <v>0</v>
      </c>
      <c r="R610" s="646">
        <f>IF('Proposed Lighting'!T307="Non-standard (provide description",0,
IF(AND(E610="Non-standard control",'Proposed Lighting'!AU307=2),Q610*0.1,
IF(AND(E610="Non-standard control",'Proposed Lighting'!AU307=3),Q610*0.08,
IF('Proposed Lighting'!EF307=0,0,IF('Proposed Lighting'!AU307=1,0,
IF(AND('Data Entry'!$AF$23="ID",'Proposed Lighting'!T307="Lighting controls only"),VLOOKUP(E610,'Proposed Lighting'!$DO$97:$DP$106,2,FALSE),
IF(AND('Data Entry'!$AF$23="OR",'Proposed Lighting'!AU307=3,'Proposed Lighting'!T307="Lighting controls only"),VLOOKUP(E610,'Proposed Lighting'!$DO$127:$DP$134,2,FALSE),0)))))))*J610</f>
        <v>0</v>
      </c>
      <c r="S610" s="646">
        <f>IF(Q610&lt;0.01,0,IF('Proposed Lighting'!AK307&gt;0,'Proposed Lighting'!AK307*'Proposed Lighting'!EF307,0))</f>
        <v>0</v>
      </c>
      <c r="T610" s="647">
        <f t="shared" si="130"/>
        <v>0</v>
      </c>
      <c r="U610" s="648"/>
      <c r="V610" s="646">
        <f t="shared" si="133"/>
        <v>0</v>
      </c>
      <c r="W610" s="646">
        <f t="shared" si="134"/>
        <v>0</v>
      </c>
      <c r="X610" s="646">
        <f t="shared" si="135"/>
        <v>0</v>
      </c>
      <c r="Y610" s="646"/>
      <c r="Z610" s="646"/>
      <c r="AA610" s="646"/>
      <c r="AB610" s="646">
        <f t="shared" si="136"/>
        <v>0</v>
      </c>
      <c r="AC610" s="649" t="str">
        <f t="shared" si="137"/>
        <v/>
      </c>
      <c r="AD610" s="649" t="str">
        <f t="shared" si="138"/>
        <v/>
      </c>
      <c r="AE610" s="649" t="str">
        <f t="shared" si="139"/>
        <v/>
      </c>
      <c r="AF610" s="72"/>
      <c r="AG610" s="644">
        <f>IFERROR(IF($AV610="No",0,IF($AV610="yes",Summary!Q610,"")),"")</f>
        <v>0</v>
      </c>
      <c r="AH610" s="646">
        <f>IFERROR(IF($AV610="No",0,IF($AV610="yes",Summary!R610,"")),"")</f>
        <v>0</v>
      </c>
      <c r="AI610" s="646">
        <f>IFERROR(IF($AV610="No",0,IF($AV610="yes",Summary!S610,"")),"")</f>
        <v>0</v>
      </c>
      <c r="AJ610" s="647">
        <f>IFERROR(IF($AV610="No",0,IF($AV610="yes",Summary!T610,"")),"")</f>
        <v>0</v>
      </c>
      <c r="AK610" s="648">
        <f>IFERROR(IF($AV610="No",0,IF($AV610="yes",Summary!U610,"")),"")</f>
        <v>0</v>
      </c>
      <c r="AL610" s="646">
        <f>IFERROR(IF($AV610="No",0,IF($AV610="yes",Summary!V610,"")),"")</f>
        <v>0</v>
      </c>
      <c r="AM610" s="646">
        <f>IFERROR(IF($AV610="No",0,IF($AV610="yes",Summary!W610,"")),"")</f>
        <v>0</v>
      </c>
      <c r="AN610" s="646">
        <f>IFERROR(IF($AV610="No",0,IF($AV610="yes",Summary!X610,"")),"")</f>
        <v>0</v>
      </c>
      <c r="AO610" s="646">
        <f>IFERROR(IF($AV610="No",0,IF($AV610="yes",Summary!Y610+Z610,"")),"")</f>
        <v>0</v>
      </c>
      <c r="AP610" s="646">
        <f>IFERROR(IF($AV610="No",0,IF($AV610="yes",Summary!AB610,"")),"")</f>
        <v>0</v>
      </c>
      <c r="AQ610" s="649" t="str">
        <f t="shared" si="127"/>
        <v/>
      </c>
      <c r="AR610" s="649" t="str">
        <f t="shared" si="131"/>
        <v/>
      </c>
      <c r="AS610" s="649" t="str">
        <f t="shared" si="128"/>
        <v/>
      </c>
      <c r="AT610" s="641" t="s">
        <v>1084</v>
      </c>
      <c r="AV610" t="str">
        <f>IF('Proposed Lighting'!AK307&gt;0,"No","Yes")</f>
        <v>Yes</v>
      </c>
    </row>
    <row r="611" spans="1:48" ht="34.5" customHeight="1" outlineLevel="1">
      <c r="A611" s="641" t="s">
        <v>1085</v>
      </c>
      <c r="B611" s="641" t="str">
        <f>IF('Proposed Lighting'!AU308=3,"Commercial-All Com-ExtLight",IF('Proposed Lighting'!AH308&gt;8759,"IPC_8760","Commercial-All Com-IntLight"))</f>
        <v>IPC_8760</v>
      </c>
      <c r="C611" s="641" t="str">
        <f>IF(OR(E611="",E611=0),"No",
IF(AND('Data Entry'!$AF$23="OR",AE611&lt;1),"No",
IF(AND('Data Entry'!$AF$23="ID",E611="Non-standard lighting control system",AD611&lt;1),"No",
IF(AND('Data Entry'!$AF$23="OR",'Proposed Lighting'!F308="Existing LED (Provide Description)",'Proposed Lighting'!AK308=""),"No",
IF('Proposed Lighting'!DD308="Submit Control as Non-Standard","No",
IF(AND('Proposed Lighting'!T308="Non-Standard (Provide Description)",AD611&lt;1),"No",
IF('Proposed Lighting'!AW308&lt;'Proposed Lighting'!AZ308,"No","Yes")))))))</f>
        <v>No</v>
      </c>
      <c r="D611" s="1604">
        <f>'Proposed Lighting'!BQ308-Q611</f>
        <v>0</v>
      </c>
      <c r="E611" s="642" t="str">
        <f>IF('Proposed Lighting'!W308="","",'Proposed Lighting'!W308)</f>
        <v/>
      </c>
      <c r="F611" s="642"/>
      <c r="G611" s="641" t="s">
        <v>786</v>
      </c>
      <c r="H611" s="643">
        <v>10</v>
      </c>
      <c r="I611" s="644">
        <v>1</v>
      </c>
      <c r="J611" s="723">
        <f>IF('Proposed Lighting'!EF308=0,'Proposed Lighting'!AA308,'Proposed Lighting'!EF308)</f>
        <v>0</v>
      </c>
      <c r="K611" s="643" t="str">
        <f>'Proposed Lighting'!CU308</f>
        <v/>
      </c>
      <c r="L611" s="643" t="str">
        <f t="shared" si="129"/>
        <v/>
      </c>
      <c r="M611" s="645">
        <f t="shared" si="132"/>
        <v>0</v>
      </c>
      <c r="N611" s="645"/>
      <c r="O611" s="722">
        <f>IFERROR('Proposed Lighting'!AC308/1000,0)</f>
        <v>0</v>
      </c>
      <c r="P611" s="644">
        <f>'Proposed Lighting'!AV308</f>
        <v>0</v>
      </c>
      <c r="Q611" s="644">
        <f>IF(AND('Proposed Lighting'!T308="Lighting Controls Only",'Data Entry'!$AF$23="OR",'Proposed Lighting'!AU308=2),0,
IF(AND('Proposed Lighting'!T308="Lighting Controls Only",'Data Entry'!$AF$23="OR",'Proposed Lighting'!AU308=3,OR('Proposed Lighting'!W308="ceiling mount",'Proposed Lighting'!W308="wall switch",'Proposed Lighting'!W308="fixture mount (on exisiting equip)",'Proposed Lighting'!W308="daylight harvesting (on existing equip)")),0,
IF('Proposed Lighting'!AF308=1,IF(P611=0,0,J611*O611*(L611*(1-P611))),IF('Proposed Lighting'!AU308=1,0,'Proposed Lighting'!AX308-'Proposed Lighting'!AY308))))</f>
        <v>0</v>
      </c>
      <c r="R611" s="646">
        <f>IF('Proposed Lighting'!T308="Non-standard (provide description",0,
IF(AND(E611="Non-standard control",'Proposed Lighting'!AU308=2),Q611*0.1,
IF(AND(E611="Non-standard control",'Proposed Lighting'!AU308=3),Q611*0.08,
IF('Proposed Lighting'!EF308=0,0,IF('Proposed Lighting'!AU308=1,0,
IF(AND('Data Entry'!$AF$23="ID",'Proposed Lighting'!T308="Lighting controls only"),VLOOKUP(E611,'Proposed Lighting'!$DO$97:$DP$106,2,FALSE),
IF(AND('Data Entry'!$AF$23="OR",'Proposed Lighting'!AU308=3,'Proposed Lighting'!T308="Lighting controls only"),VLOOKUP(E611,'Proposed Lighting'!$DO$127:$DP$134,2,FALSE),0)))))))*J611</f>
        <v>0</v>
      </c>
      <c r="S611" s="646">
        <f>IF(Q611&lt;0.01,0,IF('Proposed Lighting'!AK308&gt;0,'Proposed Lighting'!AK308*'Proposed Lighting'!EF308,0))</f>
        <v>0</v>
      </c>
      <c r="T611" s="647">
        <f t="shared" si="130"/>
        <v>0</v>
      </c>
      <c r="U611" s="648"/>
      <c r="V611" s="646">
        <f t="shared" si="133"/>
        <v>0</v>
      </c>
      <c r="W611" s="646">
        <f t="shared" si="134"/>
        <v>0</v>
      </c>
      <c r="X611" s="646">
        <f t="shared" si="135"/>
        <v>0</v>
      </c>
      <c r="Y611" s="646"/>
      <c r="Z611" s="646"/>
      <c r="AA611" s="646"/>
      <c r="AB611" s="646">
        <f t="shared" si="136"/>
        <v>0</v>
      </c>
      <c r="AC611" s="649" t="str">
        <f t="shared" si="137"/>
        <v/>
      </c>
      <c r="AD611" s="649" t="str">
        <f t="shared" si="138"/>
        <v/>
      </c>
      <c r="AE611" s="649" t="str">
        <f t="shared" si="139"/>
        <v/>
      </c>
      <c r="AF611" s="72"/>
      <c r="AG611" s="644">
        <f>IFERROR(IF($AV611="No",0,IF($AV611="yes",Summary!Q611,"")),"")</f>
        <v>0</v>
      </c>
      <c r="AH611" s="646">
        <f>IFERROR(IF($AV611="No",0,IF($AV611="yes",Summary!R611,"")),"")</f>
        <v>0</v>
      </c>
      <c r="AI611" s="646">
        <f>IFERROR(IF($AV611="No",0,IF($AV611="yes",Summary!S611,"")),"")</f>
        <v>0</v>
      </c>
      <c r="AJ611" s="647">
        <f>IFERROR(IF($AV611="No",0,IF($AV611="yes",Summary!T611,"")),"")</f>
        <v>0</v>
      </c>
      <c r="AK611" s="648">
        <f>IFERROR(IF($AV611="No",0,IF($AV611="yes",Summary!U611,"")),"")</f>
        <v>0</v>
      </c>
      <c r="AL611" s="646">
        <f>IFERROR(IF($AV611="No",0,IF($AV611="yes",Summary!V611,"")),"")</f>
        <v>0</v>
      </c>
      <c r="AM611" s="646">
        <f>IFERROR(IF($AV611="No",0,IF($AV611="yes",Summary!W611,"")),"")</f>
        <v>0</v>
      </c>
      <c r="AN611" s="646">
        <f>IFERROR(IF($AV611="No",0,IF($AV611="yes",Summary!X611,"")),"")</f>
        <v>0</v>
      </c>
      <c r="AO611" s="646">
        <f>IFERROR(IF($AV611="No",0,IF($AV611="yes",Summary!Y611+Z611,"")),"")</f>
        <v>0</v>
      </c>
      <c r="AP611" s="646">
        <f>IFERROR(IF($AV611="No",0,IF($AV611="yes",Summary!AB611,"")),"")</f>
        <v>0</v>
      </c>
      <c r="AQ611" s="649" t="str">
        <f t="shared" si="127"/>
        <v/>
      </c>
      <c r="AR611" s="649" t="str">
        <f t="shared" si="131"/>
        <v/>
      </c>
      <c r="AS611" s="649" t="str">
        <f t="shared" si="128"/>
        <v/>
      </c>
      <c r="AT611" s="641" t="s">
        <v>1085</v>
      </c>
      <c r="AV611" t="str">
        <f>IF('Proposed Lighting'!AK308&gt;0,"No","Yes")</f>
        <v>Yes</v>
      </c>
    </row>
    <row r="612" spans="1:48" ht="34.5" customHeight="1">
      <c r="A612" s="479" t="s">
        <v>324</v>
      </c>
      <c r="B612" s="1393"/>
      <c r="C612" s="1393"/>
      <c r="D612" s="1393"/>
      <c r="E612" s="1394"/>
      <c r="F612" s="1394"/>
      <c r="G612" s="1393"/>
      <c r="H612" s="1395">
        <v>10</v>
      </c>
      <c r="I612" s="1396">
        <v>1</v>
      </c>
      <c r="J612" s="1396"/>
      <c r="K612" s="1395"/>
      <c r="L612" s="1395"/>
      <c r="M612" s="1397"/>
      <c r="N612" s="1397"/>
      <c r="O612" s="1396"/>
      <c r="P612" s="1397"/>
      <c r="Q612" s="1396">
        <f>SUMIF($C$312:$C$611,"Yes",Q312:Q611)</f>
        <v>0</v>
      </c>
      <c r="R612" s="1398">
        <f>SUMIF($C$312:$C$611,"Yes",R312:R611)</f>
        <v>0</v>
      </c>
      <c r="S612" s="1398">
        <f>SUM(S312:S611)</f>
        <v>0</v>
      </c>
      <c r="T612" s="1398"/>
      <c r="U612" s="1399"/>
      <c r="V612" s="1398">
        <f>SUMIF($C$312:$C$611,"Yes",V312:V611)</f>
        <v>0</v>
      </c>
      <c r="W612" s="1398">
        <f>SUMIF($C$312:$C$611,"Yes",W312:W611)</f>
        <v>0</v>
      </c>
      <c r="X612" s="1398">
        <f>SUMIF($C$312:$C$611,"Yes",X312:X611)</f>
        <v>0</v>
      </c>
      <c r="Y612" s="1398">
        <f>SUM(Y312:Y611)</f>
        <v>0</v>
      </c>
      <c r="Z612" s="1398">
        <f>SUM(Z312:Z611)</f>
        <v>0</v>
      </c>
      <c r="AA612" s="1398"/>
      <c r="AB612" s="1398">
        <f>SUMIF($C$312:$C$611,"Yes",AB312:AB611)</f>
        <v>0</v>
      </c>
      <c r="AC612" s="1400" t="str">
        <f t="shared" si="137"/>
        <v/>
      </c>
      <c r="AD612" s="1400" t="str">
        <f>IFERROR(IF($Q612&lt;0,"",(I612*W612)/(((IF(Q612=0,Q612,Q612))*U612)+R612)),"")</f>
        <v/>
      </c>
      <c r="AE612" s="1400" t="str">
        <f t="shared" si="139"/>
        <v/>
      </c>
      <c r="AF612" s="72"/>
      <c r="AG612" s="1396">
        <f>SUMIF($C$312:$C$611,"Yes",AG312:AG611)</f>
        <v>0</v>
      </c>
      <c r="AH612" s="1398">
        <f>SUMIF($C$312:$C$611,"Yes",AH312:AH611)</f>
        <v>0</v>
      </c>
      <c r="AI612" s="1398">
        <f>SUMIF($C$312:$C$611,"Yes",AI312:AI611)</f>
        <v>0</v>
      </c>
      <c r="AJ612" s="1398"/>
      <c r="AK612" s="1399"/>
      <c r="AL612" s="1398">
        <f>SUMIF($C$312:$C$611,"Yes",AL312:AL611)</f>
        <v>0</v>
      </c>
      <c r="AM612" s="1398">
        <f>SUMIF($C$312:$C$611,"Yes",AM312:AM611)</f>
        <v>0</v>
      </c>
      <c r="AN612" s="1398">
        <f>SUMIF($C$312:$C$611,"Yes",AN312:AN611)</f>
        <v>0</v>
      </c>
      <c r="AO612" s="1398">
        <f>SUMIF($C$312:$C$611,"Yes",AO312:AO611)</f>
        <v>0</v>
      </c>
      <c r="AP612" s="1398">
        <f>SUMIF($C$312:$C$611,"Yes",AP312:AP611)</f>
        <v>0</v>
      </c>
      <c r="AQ612" s="1400" t="str">
        <f t="shared" si="127"/>
        <v/>
      </c>
      <c r="AR612" s="1400" t="str">
        <f>IFERROR(IF($AG612&lt;0,"",(I612*AM612)/(((IF(AG612=0,AG612,AG612))*AK612)+AH612)),"")</f>
        <v/>
      </c>
      <c r="AS612" s="1400" t="str">
        <f t="shared" si="128"/>
        <v/>
      </c>
      <c r="AT612" s="479" t="s">
        <v>324</v>
      </c>
    </row>
    <row r="613" spans="1:48" ht="45.75">
      <c r="A613" s="479" t="s">
        <v>773</v>
      </c>
      <c r="B613" s="479"/>
      <c r="C613" s="479"/>
      <c r="D613" s="479"/>
      <c r="E613" s="480"/>
      <c r="F613" s="480"/>
      <c r="G613" s="479"/>
      <c r="H613" s="481"/>
      <c r="I613" s="482"/>
      <c r="J613" s="482"/>
      <c r="K613" s="481"/>
      <c r="L613" s="481"/>
      <c r="M613" s="483"/>
      <c r="N613" s="483"/>
      <c r="O613" s="482"/>
      <c r="P613" s="483"/>
      <c r="Q613" s="482"/>
      <c r="R613" s="484"/>
      <c r="S613" s="484"/>
      <c r="T613" s="484"/>
      <c r="U613" s="485"/>
      <c r="V613" s="484"/>
      <c r="W613" s="484"/>
      <c r="X613" s="484"/>
      <c r="Y613" s="484"/>
      <c r="Z613" s="484"/>
      <c r="AA613" s="484">
        <f>IF(AND($Y$4="YES",$Y$5="project"),$Y$6,0)</f>
        <v>0</v>
      </c>
      <c r="AB613" s="484">
        <f>IFERROR(PV($C$6,12,-AA613)*((1+$C$6)^0.5),"")</f>
        <v>0</v>
      </c>
      <c r="AC613" s="651"/>
      <c r="AD613" s="651"/>
      <c r="AE613" s="651"/>
      <c r="AF613" s="72"/>
      <c r="AG613" s="482">
        <f t="shared" ref="AG613:AM613" si="140">Q613</f>
        <v>0</v>
      </c>
      <c r="AH613" s="484">
        <f t="shared" si="140"/>
        <v>0</v>
      </c>
      <c r="AI613" s="484">
        <f t="shared" si="140"/>
        <v>0</v>
      </c>
      <c r="AJ613" s="484">
        <f t="shared" si="140"/>
        <v>0</v>
      </c>
      <c r="AK613" s="485">
        <f t="shared" si="140"/>
        <v>0</v>
      </c>
      <c r="AL613" s="484">
        <f t="shared" si="140"/>
        <v>0</v>
      </c>
      <c r="AM613" s="484">
        <f t="shared" si="140"/>
        <v>0</v>
      </c>
      <c r="AN613" s="484">
        <f>X613</f>
        <v>0</v>
      </c>
      <c r="AO613" s="484">
        <f>Y613</f>
        <v>0</v>
      </c>
      <c r="AP613" s="484">
        <f>AB613</f>
        <v>0</v>
      </c>
      <c r="AQ613" s="651"/>
      <c r="AR613" s="651"/>
      <c r="AS613" s="651"/>
      <c r="AT613" s="479" t="s">
        <v>773</v>
      </c>
    </row>
    <row r="614" spans="1:48" ht="30.75">
      <c r="A614" s="479" t="s">
        <v>1705</v>
      </c>
      <c r="B614" s="479"/>
      <c r="C614" s="479"/>
      <c r="D614" s="479"/>
      <c r="E614" s="480"/>
      <c r="F614" s="480"/>
      <c r="G614" s="479" t="s">
        <v>242</v>
      </c>
      <c r="H614" s="481"/>
      <c r="I614" s="482">
        <v>1</v>
      </c>
      <c r="J614" s="482"/>
      <c r="K614" s="481"/>
      <c r="L614" s="481"/>
      <c r="M614" s="483"/>
      <c r="N614" s="483"/>
      <c r="O614" s="482"/>
      <c r="P614" s="482"/>
      <c r="Q614" s="482">
        <f>SUMIF($C$12:$C$311,"Yes",Q12:Q311)</f>
        <v>0</v>
      </c>
      <c r="R614" s="484">
        <f>SUMIF($C$12:$C$311,"Yes",R12:R311)</f>
        <v>0</v>
      </c>
      <c r="S614" s="484">
        <f>SUM(S12:S311)</f>
        <v>0</v>
      </c>
      <c r="T614" s="484"/>
      <c r="U614" s="485"/>
      <c r="V614" s="484">
        <f>SUMIF($C$12:$C$311,"Yes",V12:V311)</f>
        <v>0</v>
      </c>
      <c r="W614" s="484">
        <f>SUMIF($C$12:$C$311,"Yes",W12:W311)</f>
        <v>0</v>
      </c>
      <c r="X614" s="484">
        <f>SUMIF($C$12:$C$311,"Yes",X12:X311)</f>
        <v>0</v>
      </c>
      <c r="Y614" s="484">
        <f>SUMIF($C$12:$C$311,"Yes",Y12:Y311)</f>
        <v>0</v>
      </c>
      <c r="Z614" s="484"/>
      <c r="AA614" s="484"/>
      <c r="AB614" s="484">
        <f>IF(AB613&gt;0,AB613,AB612)</f>
        <v>0</v>
      </c>
      <c r="AC614" s="651" t="str">
        <f>IFERROR(IF($Q614&lt;0,"",(V614+R614+Y614+Z614+AB614)/(S614)),"")</f>
        <v/>
      </c>
      <c r="AD614" s="651" t="str">
        <f>IFERROR(IF($Q614&lt;0,"",(I614*W614)/(((IF(Q614=0,Q614,Q614))*U614)+R614)),"")</f>
        <v/>
      </c>
      <c r="AE614" s="651" t="str">
        <f>IFERROR(IF($Q614&lt;0,"",IF(S614=0,((X614+Y614+Z614+AB614)*I614)/((Q614*U614)+R614),((X614+Y614+Z614+AB614)*I614)/((Q614*U614)+R614+((S614-R614)*I614)))),"")</f>
        <v/>
      </c>
      <c r="AF614" s="72"/>
      <c r="AG614" s="482">
        <f>SUMIF($C$12:$C$311,"Yes",AG12:AG311)</f>
        <v>0</v>
      </c>
      <c r="AH614" s="484">
        <f>SUMIF($C$12:$C$311,"Yes",AH12:AH311)</f>
        <v>0</v>
      </c>
      <c r="AI614" s="484">
        <f>SUM(AI12:AI311)</f>
        <v>0</v>
      </c>
      <c r="AJ614" s="484"/>
      <c r="AK614" s="485"/>
      <c r="AL614" s="484">
        <f>SUMIF($C$12:$C$311,"Yes",AL12:AL311)</f>
        <v>0</v>
      </c>
      <c r="AM614" s="484">
        <f>SUMIF($C$12:$C$311,"Yes",AM12:AM311)</f>
        <v>0</v>
      </c>
      <c r="AN614" s="484">
        <f>SUMIF($C$12:$C$311,"Yes",AN12:AN311)</f>
        <v>0</v>
      </c>
      <c r="AO614" s="484">
        <f>SUMIF($C$12:$C$311,"Yes",AO12:AO311)</f>
        <v>0</v>
      </c>
      <c r="AP614" s="484">
        <f>IF(AP613&gt;0,AP613,AP612)</f>
        <v>0</v>
      </c>
      <c r="AQ614" s="651" t="str">
        <f>IFERROR(IF($AG614&lt;0,"",(AL614+AH614+AO614+AP614)/(AI614)),"")</f>
        <v/>
      </c>
      <c r="AR614" s="651" t="str">
        <f>IFERROR(IF($AG614&lt;0,"",(I614*AM614)/(((IF(AG614=0,AG614,AG614))*AK614)+AH614)),"")</f>
        <v/>
      </c>
      <c r="AS614" s="651" t="str">
        <f>IFERROR(IF($AG614&lt;0,"",IF(AI614=0,((AN614+AO614+AP614)*I614)/((AG614*AK614)+AH614),((AN614+AO614+AP614)*I614)/((AG614*AK614)+AH614+((AI614-AH614)*I614)))),"")</f>
        <v/>
      </c>
      <c r="AT614" s="479" t="s">
        <v>767</v>
      </c>
    </row>
    <row r="615" spans="1:48" ht="30.75">
      <c r="A615" s="479" t="s">
        <v>770</v>
      </c>
      <c r="B615" s="479"/>
      <c r="C615" s="479"/>
      <c r="D615" s="479"/>
      <c r="E615" s="480"/>
      <c r="F615" s="480"/>
      <c r="G615" s="479"/>
      <c r="H615" s="481"/>
      <c r="I615" s="482"/>
      <c r="J615" s="482"/>
      <c r="K615" s="481"/>
      <c r="L615" s="481"/>
      <c r="M615" s="483"/>
      <c r="N615" s="483"/>
      <c r="O615" s="482"/>
      <c r="P615" s="482"/>
      <c r="Q615" s="482"/>
      <c r="R615" s="639">
        <f>'Project Summary'!J23</f>
        <v>0</v>
      </c>
      <c r="S615" s="484"/>
      <c r="T615" s="484"/>
      <c r="U615" s="485"/>
      <c r="V615" s="484"/>
      <c r="W615" s="484"/>
      <c r="X615" s="484"/>
      <c r="Y615" s="484"/>
      <c r="Z615" s="484"/>
      <c r="AA615" s="484"/>
      <c r="AB615" s="484"/>
      <c r="AC615" s="651"/>
      <c r="AD615" s="651"/>
      <c r="AE615" s="651"/>
      <c r="AF615" s="72"/>
      <c r="AG615" s="482">
        <f t="shared" ref="AG615:AM615" si="141">Q615</f>
        <v>0</v>
      </c>
      <c r="AH615" s="484">
        <f t="shared" si="141"/>
        <v>0</v>
      </c>
      <c r="AI615" s="484">
        <f t="shared" si="141"/>
        <v>0</v>
      </c>
      <c r="AJ615" s="484">
        <f t="shared" si="141"/>
        <v>0</v>
      </c>
      <c r="AK615" s="485">
        <f t="shared" si="141"/>
        <v>0</v>
      </c>
      <c r="AL615" s="484">
        <f t="shared" si="141"/>
        <v>0</v>
      </c>
      <c r="AM615" s="484">
        <f t="shared" si="141"/>
        <v>0</v>
      </c>
      <c r="AN615" s="484">
        <f>X615</f>
        <v>0</v>
      </c>
      <c r="AO615" s="484">
        <f>Y615</f>
        <v>0</v>
      </c>
      <c r="AP615" s="484">
        <f>AB615</f>
        <v>0</v>
      </c>
      <c r="AQ615" s="651"/>
      <c r="AR615" s="651"/>
      <c r="AS615" s="651"/>
      <c r="AT615" s="479" t="s">
        <v>770</v>
      </c>
    </row>
    <row r="616" spans="1:48" ht="45.75">
      <c r="A616" s="479" t="s">
        <v>768</v>
      </c>
      <c r="B616" s="479"/>
      <c r="C616" s="479" t="s">
        <v>0</v>
      </c>
      <c r="D616" s="479"/>
      <c r="E616" s="480"/>
      <c r="F616" s="480"/>
      <c r="G616" s="479" t="s">
        <v>242</v>
      </c>
      <c r="H616" s="481"/>
      <c r="I616" s="482">
        <v>1</v>
      </c>
      <c r="J616" s="482"/>
      <c r="K616" s="481"/>
      <c r="L616" s="481"/>
      <c r="M616" s="483"/>
      <c r="N616" s="483"/>
      <c r="O616" s="482"/>
      <c r="P616" s="482"/>
      <c r="Q616" s="482">
        <f>SUM(Q612:Q615)</f>
        <v>0</v>
      </c>
      <c r="R616" s="484">
        <f>MIN(SUM(R612:R615),'Proposed Lighting'!X4)</f>
        <v>0</v>
      </c>
      <c r="S616" s="484">
        <f>SUM(S612:S615)</f>
        <v>0</v>
      </c>
      <c r="T616" s="484"/>
      <c r="U616" s="485"/>
      <c r="V616" s="484">
        <f>SUM(V612:V615)</f>
        <v>0</v>
      </c>
      <c r="W616" s="484">
        <f>SUM(W612:W615)</f>
        <v>0</v>
      </c>
      <c r="X616" s="484">
        <f>SUM(X612:X615)</f>
        <v>0</v>
      </c>
      <c r="Y616" s="484">
        <f>SUM(Y612:Y615)</f>
        <v>0</v>
      </c>
      <c r="Z616" s="484"/>
      <c r="AA616" s="484"/>
      <c r="AB616" s="484">
        <f>AB614</f>
        <v>0</v>
      </c>
      <c r="AC616" s="651" t="str">
        <f>IFERROR(IF($Q616&lt;0,"",(V616+R616+Y616+Z616+AB616)/(S616)),"")</f>
        <v/>
      </c>
      <c r="AD616" s="651" t="str">
        <f>IFERROR(IF($Q616&lt;0,"",(I616*X616)/(((IF(Q616=0,Q616,Q616))*U616)+R616)),"")</f>
        <v/>
      </c>
      <c r="AE616" s="651" t="str">
        <f>IFERROR(IF($Q616&lt;0,"",IF(S616=0,((X616+Y616+Z616+AB616)*I616)/((Q616*U616)+R616),((X616+Y616+Z616+AB616)*I616)/((Q616*U616)+R616+((S616-R616)*I616)))),"")</f>
        <v/>
      </c>
      <c r="AF616" s="72"/>
      <c r="AG616" s="482">
        <f>SUM(AG612:AG615)</f>
        <v>0</v>
      </c>
      <c r="AH616" s="484">
        <f>SUM(AH612:AH615)</f>
        <v>0</v>
      </c>
      <c r="AI616" s="484">
        <f>SUM(AI612:AI615)</f>
        <v>0</v>
      </c>
      <c r="AJ616" s="484"/>
      <c r="AK616" s="485">
        <f>SUM(AK614:AK615)</f>
        <v>0</v>
      </c>
      <c r="AL616" s="484">
        <f>SUM(AL612:AL615)</f>
        <v>0</v>
      </c>
      <c r="AM616" s="484">
        <f>SUM(AM612:AM615)</f>
        <v>0</v>
      </c>
      <c r="AN616" s="484">
        <f>SUM(AN612:AN615)</f>
        <v>0</v>
      </c>
      <c r="AO616" s="484">
        <f>SUM(AO612:AO615)</f>
        <v>0</v>
      </c>
      <c r="AP616" s="484">
        <f>AP614</f>
        <v>0</v>
      </c>
      <c r="AQ616" s="651" t="str">
        <f>IFERROR(IF($AG616&lt;0,"",(AL616+AH616+AO616+AP616)/(AI616)),"")</f>
        <v/>
      </c>
      <c r="AR616" s="651" t="str">
        <f>IFERROR(IF($AG616&lt;0,"",(I616*AM616)/(((IF(AG616=0,AG616,AG616))*AK616)+AH616)),"")</f>
        <v/>
      </c>
      <c r="AS616" s="651" t="str">
        <f>IFERROR(IF($AG616&lt;0,"",IF(AI616=0,((AN616+AO616+AP616)*I616)/((AG616*AK616)+AH616),((AN616+AO616+AP616)*I616)/((AG616*AK616)+AH616+((AI616-AH616)*I616)))),"")</f>
        <v/>
      </c>
      <c r="AT616" s="479" t="s">
        <v>768</v>
      </c>
    </row>
    <row r="617" spans="1:48">
      <c r="R617" s="640"/>
    </row>
    <row r="618" spans="1:48" ht="15.75">
      <c r="A618" s="479" t="s">
        <v>769</v>
      </c>
      <c r="B618" s="479"/>
      <c r="C618" s="479"/>
      <c r="D618" s="479"/>
      <c r="E618" s="480"/>
      <c r="F618" s="480"/>
      <c r="G618" s="479"/>
      <c r="H618" s="481"/>
      <c r="I618" s="482"/>
      <c r="J618" s="482"/>
      <c r="K618" s="481"/>
      <c r="L618" s="481"/>
      <c r="M618" s="483"/>
      <c r="N618" s="483"/>
      <c r="O618" s="482"/>
      <c r="P618" s="482"/>
      <c r="Q618" s="482">
        <f>Q616-'Project Summary'!J19</f>
        <v>0</v>
      </c>
      <c r="R618" s="484">
        <f>R616-'Project Summary'!J24</f>
        <v>0</v>
      </c>
      <c r="S618" s="484">
        <f>S616-'Project Summary'!J22</f>
        <v>0</v>
      </c>
      <c r="T618" s="484"/>
      <c r="U618" s="485"/>
      <c r="V618" s="484"/>
      <c r="W618" s="484"/>
      <c r="X618" s="484"/>
      <c r="Y618" s="484"/>
      <c r="Z618" s="484"/>
      <c r="AA618" s="484"/>
      <c r="AB618" s="484"/>
      <c r="AC618" s="486"/>
      <c r="AD618" s="486"/>
      <c r="AE618" s="486"/>
      <c r="AF618" s="72"/>
      <c r="AG618" s="1401">
        <f>AG616-'Project Summary'!J19</f>
        <v>0</v>
      </c>
      <c r="AH618" s="1402">
        <f>AH616-'Project Summary'!J24</f>
        <v>0</v>
      </c>
      <c r="AI618" s="1402">
        <f>AI616-'Project Summary'!J22</f>
        <v>0</v>
      </c>
      <c r="AJ618" s="412"/>
      <c r="AK618" s="412"/>
      <c r="AL618" s="412"/>
      <c r="AM618" s="412"/>
      <c r="AN618" s="412"/>
      <c r="AO618" s="412"/>
      <c r="AP618" s="412"/>
      <c r="AQ618" s="412"/>
      <c r="AR618" s="412"/>
      <c r="AS618" s="412"/>
      <c r="AT618" s="412"/>
    </row>
  </sheetData>
  <mergeCells count="7">
    <mergeCell ref="AG10:AT10"/>
    <mergeCell ref="AC10:AE10"/>
    <mergeCell ref="F7:M7"/>
    <mergeCell ref="C10:I10"/>
    <mergeCell ref="K10:Q10"/>
    <mergeCell ref="R10:U10"/>
    <mergeCell ref="V10:X10"/>
  </mergeCells>
  <conditionalFormatting sqref="Y6">
    <cfRule type="expression" dxfId="0" priority="1">
      <formula>$Y$5="project"</formula>
    </cfRule>
  </conditionalFormatting>
  <dataValidations count="2">
    <dataValidation type="list" allowBlank="1" showInputMessage="1" showErrorMessage="1" sqref="Y5" xr:uid="{00000000-0002-0000-1000-000000000000}">
      <formula1>$G$1:$G$3</formula1>
    </dataValidation>
    <dataValidation type="list" allowBlank="1" showInputMessage="1" showErrorMessage="1" sqref="Y4" xr:uid="{00000000-0002-0000-1000-000001000000}">
      <formula1>$F$1:$F$3</formula1>
    </dataValidation>
  </dataValidations>
  <pageMargins left="0.7" right="0.7" top="0.75" bottom="0.75" header="0.3" footer="0.3"/>
  <pageSetup paperSize="17" scale="10" orientation="landscape" verticalDpi="4294967293"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2:G127"/>
  <sheetViews>
    <sheetView workbookViewId="0"/>
  </sheetViews>
  <sheetFormatPr defaultRowHeight="15"/>
  <cols>
    <col min="1" max="1" width="47.7109375" customWidth="1"/>
    <col min="6" max="6" width="54.28515625" customWidth="1"/>
    <col min="7" max="7" width="38.42578125" customWidth="1"/>
    <col min="8" max="8" width="28.28515625" customWidth="1"/>
  </cols>
  <sheetData>
    <row r="2" spans="1:7" ht="15.75">
      <c r="A2" t="s">
        <v>54</v>
      </c>
      <c r="B2" s="397" t="s">
        <v>486</v>
      </c>
      <c r="G2" s="398" t="s">
        <v>44</v>
      </c>
    </row>
    <row r="3" spans="1:7" ht="15.75">
      <c r="A3" t="s">
        <v>52</v>
      </c>
      <c r="B3" t="s">
        <v>485</v>
      </c>
      <c r="G3" s="85" t="s">
        <v>487</v>
      </c>
    </row>
    <row r="4" spans="1:7" ht="15.75">
      <c r="A4" t="s">
        <v>53</v>
      </c>
      <c r="B4" t="s">
        <v>489</v>
      </c>
      <c r="G4" s="85" t="s">
        <v>490</v>
      </c>
    </row>
    <row r="5" spans="1:7" ht="15.75">
      <c r="B5" t="s">
        <v>491</v>
      </c>
      <c r="G5" s="85" t="s">
        <v>492</v>
      </c>
    </row>
    <row r="6" spans="1:7" ht="15.75">
      <c r="A6" t="s">
        <v>54</v>
      </c>
      <c r="B6" t="s">
        <v>494</v>
      </c>
      <c r="G6" s="85" t="s">
        <v>493</v>
      </c>
    </row>
    <row r="7" spans="1:7" ht="15.75">
      <c r="A7" t="s">
        <v>69</v>
      </c>
      <c r="G7" s="85"/>
    </row>
    <row r="8" spans="1:7" ht="15.75">
      <c r="A8" t="s">
        <v>70</v>
      </c>
      <c r="B8" s="35"/>
      <c r="G8" s="102"/>
    </row>
    <row r="9" spans="1:7" ht="15.75">
      <c r="A9" t="s">
        <v>239</v>
      </c>
      <c r="B9" s="35" t="s">
        <v>1119</v>
      </c>
      <c r="G9" s="102"/>
    </row>
    <row r="10" spans="1:7" ht="15.75">
      <c r="A10" t="s">
        <v>54</v>
      </c>
      <c r="G10" s="102"/>
    </row>
    <row r="11" spans="1:7" ht="15.75">
      <c r="A11" t="s">
        <v>268</v>
      </c>
      <c r="G11" s="102"/>
    </row>
    <row r="12" spans="1:7" ht="15.75">
      <c r="A12" t="s">
        <v>281</v>
      </c>
      <c r="G12" s="85"/>
    </row>
    <row r="13" spans="1:7" ht="15.75">
      <c r="G13" s="85"/>
    </row>
    <row r="14" spans="1:7">
      <c r="A14" t="s">
        <v>192</v>
      </c>
    </row>
    <row r="15" spans="1:7">
      <c r="A15" t="s">
        <v>194</v>
      </c>
    </row>
    <row r="16" spans="1:7">
      <c r="A16" t="s">
        <v>193</v>
      </c>
    </row>
    <row r="17" spans="1:7">
      <c r="A17" t="s">
        <v>195</v>
      </c>
    </row>
    <row r="18" spans="1:7">
      <c r="A18" t="s">
        <v>196</v>
      </c>
    </row>
    <row r="19" spans="1:7">
      <c r="A19" t="s">
        <v>0</v>
      </c>
      <c r="G19" t="s">
        <v>0</v>
      </c>
    </row>
    <row r="20" spans="1:7">
      <c r="A20" t="s">
        <v>54</v>
      </c>
    </row>
    <row r="21" spans="1:7">
      <c r="A21" s="801" t="s">
        <v>1454</v>
      </c>
    </row>
    <row r="22" spans="1:7">
      <c r="A22" s="801" t="s">
        <v>1219</v>
      </c>
    </row>
    <row r="23" spans="1:7">
      <c r="A23" s="801" t="s">
        <v>1220</v>
      </c>
    </row>
    <row r="24" spans="1:7">
      <c r="A24" s="801" t="s">
        <v>272</v>
      </c>
      <c r="C24" s="256"/>
    </row>
    <row r="25" spans="1:7">
      <c r="A25" s="801" t="s">
        <v>1221</v>
      </c>
      <c r="C25" s="256"/>
    </row>
    <row r="26" spans="1:7">
      <c r="A26" s="801" t="s">
        <v>1222</v>
      </c>
      <c r="C26" s="256"/>
    </row>
    <row r="27" spans="1:7">
      <c r="A27" s="801" t="s">
        <v>1223</v>
      </c>
      <c r="C27" s="256"/>
    </row>
    <row r="28" spans="1:7">
      <c r="A28" s="801" t="s">
        <v>1224</v>
      </c>
      <c r="C28" s="256"/>
    </row>
    <row r="29" spans="1:7">
      <c r="A29" s="801" t="s">
        <v>1225</v>
      </c>
    </row>
    <row r="30" spans="1:7">
      <c r="A30" s="801" t="s">
        <v>1226</v>
      </c>
    </row>
    <row r="31" spans="1:7">
      <c r="A31" s="801" t="s">
        <v>1227</v>
      </c>
      <c r="C31" s="256"/>
    </row>
    <row r="32" spans="1:7">
      <c r="A32" s="801" t="s">
        <v>1266</v>
      </c>
      <c r="C32" s="256"/>
    </row>
    <row r="33" spans="1:3">
      <c r="A33" s="801" t="s">
        <v>1228</v>
      </c>
      <c r="C33" s="256"/>
    </row>
    <row r="34" spans="1:3">
      <c r="A34" s="801" t="s">
        <v>1267</v>
      </c>
      <c r="C34" s="256"/>
    </row>
    <row r="35" spans="1:3">
      <c r="A35" s="801" t="s">
        <v>1229</v>
      </c>
      <c r="C35" s="256"/>
    </row>
    <row r="36" spans="1:3">
      <c r="A36" s="801" t="s">
        <v>271</v>
      </c>
      <c r="C36" s="256"/>
    </row>
    <row r="37" spans="1:3">
      <c r="A37" s="801" t="s">
        <v>1230</v>
      </c>
      <c r="C37" s="256"/>
    </row>
    <row r="38" spans="1:3">
      <c r="A38" s="801" t="s">
        <v>1231</v>
      </c>
      <c r="C38" s="256"/>
    </row>
    <row r="39" spans="1:3">
      <c r="A39" s="801" t="s">
        <v>1232</v>
      </c>
      <c r="C39" s="256"/>
    </row>
    <row r="40" spans="1:3">
      <c r="A40" s="801" t="s">
        <v>1459</v>
      </c>
      <c r="C40" s="256"/>
    </row>
    <row r="41" spans="1:3">
      <c r="A41" t="s">
        <v>41</v>
      </c>
      <c r="C41" s="256"/>
    </row>
    <row r="42" spans="1:3">
      <c r="C42" s="256"/>
    </row>
    <row r="43" spans="1:3">
      <c r="A43" t="s">
        <v>54</v>
      </c>
      <c r="C43" s="256"/>
    </row>
    <row r="44" spans="1:3">
      <c r="A44" t="s">
        <v>484</v>
      </c>
      <c r="C44" s="257"/>
    </row>
    <row r="45" spans="1:3">
      <c r="A45" t="s">
        <v>1547</v>
      </c>
      <c r="C45" s="257"/>
    </row>
    <row r="46" spans="1:3">
      <c r="A46" t="s">
        <v>1545</v>
      </c>
    </row>
    <row r="47" spans="1:3">
      <c r="A47" t="s">
        <v>1548</v>
      </c>
    </row>
    <row r="48" spans="1:3">
      <c r="A48" t="s">
        <v>523</v>
      </c>
    </row>
    <row r="49" spans="1:2">
      <c r="A49" t="s">
        <v>1546</v>
      </c>
    </row>
    <row r="50" spans="1:2">
      <c r="A50" t="s">
        <v>1549</v>
      </c>
    </row>
    <row r="52" spans="1:2">
      <c r="A52" t="s">
        <v>496</v>
      </c>
    </row>
    <row r="53" spans="1:2">
      <c r="A53" t="s">
        <v>495</v>
      </c>
    </row>
    <row r="56" spans="1:2" ht="15.75">
      <c r="A56" s="356" t="s">
        <v>483</v>
      </c>
    </row>
    <row r="57" spans="1:2" ht="15.75">
      <c r="A57" s="331" t="s">
        <v>273</v>
      </c>
    </row>
    <row r="59" spans="1:2">
      <c r="A59" s="3" t="s">
        <v>1395</v>
      </c>
    </row>
    <row r="60" spans="1:2">
      <c r="A60" s="3" t="str">
        <f>CONCATENATE(LEFT('Product Type'!A10,2)," ",LEFT('Product Type'!C10,4),," ",LEFT('Product Type'!D10,6))</f>
        <v xml:space="preserve">A:  </v>
      </c>
      <c r="B60">
        <f>'Product Type'!E10</f>
        <v>0</v>
      </c>
    </row>
    <row r="61" spans="1:2">
      <c r="A61" s="3" t="str">
        <f>CONCATENATE(LEFT('Product Type'!A11,2)," ",LEFT('Product Type'!C11,4),," ",LEFT('Product Type'!D11,6))</f>
        <v xml:space="preserve">B:  </v>
      </c>
      <c r="B61">
        <f>'Product Type'!E11</f>
        <v>0</v>
      </c>
    </row>
    <row r="62" spans="1:2">
      <c r="A62" s="3" t="str">
        <f>CONCATENATE(LEFT('Product Type'!A12,2)," ",LEFT('Product Type'!C12,4),," ",LEFT('Product Type'!D12,6))</f>
        <v xml:space="preserve">C:  </v>
      </c>
      <c r="B62">
        <f>'Product Type'!E12</f>
        <v>0</v>
      </c>
    </row>
    <row r="63" spans="1:2">
      <c r="A63" s="3" t="str">
        <f>CONCATENATE(LEFT('Product Type'!A13,2)," ",LEFT('Product Type'!C13,4),," ",LEFT('Product Type'!D13,6))</f>
        <v xml:space="preserve">D:  </v>
      </c>
      <c r="B63">
        <f>'Product Type'!E13</f>
        <v>0</v>
      </c>
    </row>
    <row r="64" spans="1:2">
      <c r="A64" s="3" t="str">
        <f>CONCATENATE(LEFT('Product Type'!A14,2)," ",LEFT('Product Type'!C14,4),," ",LEFT('Product Type'!D14,6))</f>
        <v xml:space="preserve">E:  </v>
      </c>
      <c r="B64">
        <f>'Product Type'!E14</f>
        <v>0</v>
      </c>
    </row>
    <row r="65" spans="1:2">
      <c r="A65" s="3" t="str">
        <f>CONCATENATE(LEFT('Product Type'!A15,2)," ",LEFT('Product Type'!C15,4),," ",LEFT('Product Type'!D15,6))</f>
        <v xml:space="preserve">F:  </v>
      </c>
      <c r="B65">
        <f>'Product Type'!E15</f>
        <v>0</v>
      </c>
    </row>
    <row r="66" spans="1:2">
      <c r="A66" s="3" t="str">
        <f>CONCATENATE(LEFT('Product Type'!A16,2)," ",LEFT('Product Type'!C16,4),," ",LEFT('Product Type'!D16,6))</f>
        <v xml:space="preserve">G:  </v>
      </c>
      <c r="B66">
        <f>'Product Type'!E16</f>
        <v>0</v>
      </c>
    </row>
    <row r="67" spans="1:2">
      <c r="A67" s="3" t="str">
        <f>CONCATENATE(LEFT('Product Type'!A17,2)," ",LEFT('Product Type'!C17,4),," ",LEFT('Product Type'!D17,6))</f>
        <v xml:space="preserve">H:  </v>
      </c>
      <c r="B67">
        <f>'Product Type'!E17</f>
        <v>0</v>
      </c>
    </row>
    <row r="68" spans="1:2">
      <c r="A68" s="3" t="str">
        <f>CONCATENATE(LEFT('Product Type'!A18,2)," ",LEFT('Product Type'!C18,4),," ",LEFT('Product Type'!D18,6))</f>
        <v xml:space="preserve">I:  </v>
      </c>
      <c r="B68">
        <f>'Product Type'!E18</f>
        <v>0</v>
      </c>
    </row>
    <row r="69" spans="1:2">
      <c r="A69" s="3" t="str">
        <f>CONCATENATE(LEFT('Product Type'!A19,2)," ",LEFT('Product Type'!C19,4),," ",LEFT('Product Type'!D19,6))</f>
        <v xml:space="preserve">J:  </v>
      </c>
      <c r="B69">
        <f>'Product Type'!E19</f>
        <v>0</v>
      </c>
    </row>
    <row r="70" spans="1:2">
      <c r="A70" s="3" t="str">
        <f>CONCATENATE(LEFT('Product Type'!A20,2)," ",LEFT('Product Type'!C20,4),," ",LEFT('Product Type'!D20,6))</f>
        <v xml:space="preserve">K:  </v>
      </c>
      <c r="B70">
        <f>'Product Type'!E20</f>
        <v>0</v>
      </c>
    </row>
    <row r="71" spans="1:2">
      <c r="A71" s="3" t="str">
        <f>CONCATENATE(LEFT('Product Type'!A21,2)," ",LEFT('Product Type'!C21,4),," ",LEFT('Product Type'!D21,6))</f>
        <v xml:space="preserve">L:  </v>
      </c>
      <c r="B71">
        <f>'Product Type'!E21</f>
        <v>0</v>
      </c>
    </row>
    <row r="72" spans="1:2">
      <c r="A72" s="3" t="str">
        <f>CONCATENATE(LEFT('Product Type'!A22,2)," ",LEFT('Product Type'!C22,4),," ",LEFT('Product Type'!D22,6))</f>
        <v xml:space="preserve">M:  </v>
      </c>
      <c r="B72">
        <f>'Product Type'!E22</f>
        <v>0</v>
      </c>
    </row>
    <row r="73" spans="1:2">
      <c r="A73" s="3" t="str">
        <f>CONCATENATE(LEFT('Product Type'!A23,2)," ",LEFT('Product Type'!C23,4),," ",LEFT('Product Type'!D23,6))</f>
        <v xml:space="preserve">N:  </v>
      </c>
      <c r="B73">
        <f>'Product Type'!E23</f>
        <v>0</v>
      </c>
    </row>
    <row r="74" spans="1:2">
      <c r="A74" s="3" t="str">
        <f>CONCATENATE(LEFT('Product Type'!A24,2)," ",LEFT('Product Type'!C24,4),," ",LEFT('Product Type'!D24,6))</f>
        <v xml:space="preserve">O:  </v>
      </c>
      <c r="B74">
        <f>'Product Type'!E24</f>
        <v>0</v>
      </c>
    </row>
    <row r="75" spans="1:2">
      <c r="A75" s="3" t="str">
        <f>CONCATENATE(LEFT('Product Type'!A25,2)," ",LEFT('Product Type'!C25,4),," ",LEFT('Product Type'!D25,6))</f>
        <v xml:space="preserve">P:  </v>
      </c>
      <c r="B75">
        <f>'Product Type'!E25</f>
        <v>0</v>
      </c>
    </row>
    <row r="76" spans="1:2">
      <c r="A76" s="3" t="str">
        <f>CONCATENATE(LEFT('Product Type'!A26,2)," ",LEFT('Product Type'!C26,4),," ",LEFT('Product Type'!D26,6))</f>
        <v xml:space="preserve">Q:  </v>
      </c>
      <c r="B76">
        <f>'Product Type'!E26</f>
        <v>0</v>
      </c>
    </row>
    <row r="77" spans="1:2">
      <c r="A77" s="3" t="str">
        <f>CONCATENATE(LEFT('Product Type'!A27,2)," ",LEFT('Product Type'!C27,4),," ",LEFT('Product Type'!D27,6))</f>
        <v xml:space="preserve">R:  </v>
      </c>
      <c r="B77">
        <f>'Product Type'!E27</f>
        <v>0</v>
      </c>
    </row>
    <row r="78" spans="1:2">
      <c r="A78" s="3" t="str">
        <f>CONCATENATE(LEFT('Product Type'!A28,2)," ",LEFT('Product Type'!C28,4),," ",LEFT('Product Type'!D28,6))</f>
        <v xml:space="preserve">S:  </v>
      </c>
      <c r="B78">
        <f>'Product Type'!E28</f>
        <v>0</v>
      </c>
    </row>
    <row r="79" spans="1:2">
      <c r="A79" s="3" t="str">
        <f>CONCATENATE(LEFT('Product Type'!A29,2)," ",LEFT('Product Type'!C29,4),," ",LEFT('Product Type'!D29,6))</f>
        <v xml:space="preserve">T:  </v>
      </c>
      <c r="B79">
        <f>'Product Type'!E29</f>
        <v>0</v>
      </c>
    </row>
    <row r="80" spans="1:2">
      <c r="A80" s="3" t="str">
        <f>CONCATENATE(LEFT('Product Type'!A30,2)," ",LEFT('Product Type'!C30,4),," ",LEFT('Product Type'!D30,6))</f>
        <v xml:space="preserve">U:  </v>
      </c>
      <c r="B80">
        <f>'Product Type'!E30</f>
        <v>0</v>
      </c>
    </row>
    <row r="81" spans="1:2">
      <c r="A81" s="3" t="str">
        <f>CONCATENATE(LEFT('Product Type'!A31,2)," ",LEFT('Product Type'!C31,4),," ",LEFT('Product Type'!D31,6))</f>
        <v xml:space="preserve">V:  </v>
      </c>
      <c r="B81">
        <f>'Product Type'!E31</f>
        <v>0</v>
      </c>
    </row>
    <row r="82" spans="1:2">
      <c r="A82" s="3" t="str">
        <f>CONCATENATE(LEFT('Product Type'!A32,2)," ",LEFT('Product Type'!C32,4),," ",LEFT('Product Type'!D32,6))</f>
        <v xml:space="preserve">W:  </v>
      </c>
      <c r="B82">
        <f>'Product Type'!E32</f>
        <v>0</v>
      </c>
    </row>
    <row r="83" spans="1:2">
      <c r="A83" s="3" t="str">
        <f>CONCATENATE(LEFT('Product Type'!A33,2)," ",LEFT('Product Type'!C33,4),," ",LEFT('Product Type'!D33,6))</f>
        <v xml:space="preserve">X:  </v>
      </c>
      <c r="B83">
        <f>'Product Type'!E33</f>
        <v>0</v>
      </c>
    </row>
    <row r="84" spans="1:2">
      <c r="A84" s="3" t="str">
        <f>CONCATENATE(LEFT('Product Type'!A34,2)," ",LEFT('Product Type'!C34,4),," ",LEFT('Product Type'!D34,6))</f>
        <v xml:space="preserve">Y:  </v>
      </c>
      <c r="B84">
        <f>'Product Type'!E34</f>
        <v>0</v>
      </c>
    </row>
    <row r="85" spans="1:2">
      <c r="A85" s="3" t="str">
        <f>CONCATENATE(LEFT('Product Type'!A35,2)," ",LEFT('Product Type'!C35,4),," ",LEFT('Product Type'!D35,6))</f>
        <v xml:space="preserve">Z:  </v>
      </c>
      <c r="B85">
        <f>'Product Type'!E35</f>
        <v>0</v>
      </c>
    </row>
    <row r="86" spans="1:2">
      <c r="A86" s="3" t="str">
        <f>CONCATENATE(LEFT('Product Type'!A36,2)," ",LEFT('Product Type'!C36,4),," ",LEFT('Product Type'!D36,6))</f>
        <v xml:space="preserve">AA  </v>
      </c>
      <c r="B86">
        <f>'Product Type'!E36</f>
        <v>0</v>
      </c>
    </row>
    <row r="87" spans="1:2">
      <c r="A87" s="3" t="str">
        <f>CONCATENATE(LEFT('Product Type'!A37,2)," ",LEFT('Product Type'!C37,4),," ",LEFT('Product Type'!D37,6))</f>
        <v xml:space="preserve">BB  </v>
      </c>
      <c r="B87">
        <f>'Product Type'!E37</f>
        <v>0</v>
      </c>
    </row>
    <row r="88" spans="1:2">
      <c r="A88" s="3" t="str">
        <f>CONCATENATE(LEFT('Product Type'!A38,2)," ",LEFT('Product Type'!C38,4),," ",LEFT('Product Type'!D38,6))</f>
        <v xml:space="preserve">CC  </v>
      </c>
      <c r="B88">
        <f>'Product Type'!E38</f>
        <v>0</v>
      </c>
    </row>
    <row r="89" spans="1:2">
      <c r="A89" s="3" t="str">
        <f>CONCATENATE(LEFT('Product Type'!A39,2)," ",LEFT('Product Type'!C39,4),," ",LEFT('Product Type'!D39,6))</f>
        <v xml:space="preserve">DD  </v>
      </c>
      <c r="B89">
        <f>'Product Type'!E39</f>
        <v>0</v>
      </c>
    </row>
    <row r="90" spans="1:2">
      <c r="A90" s="3" t="str">
        <f>CONCATENATE(LEFT('Product Type'!A40,2)," ",LEFT('Product Type'!C40,4),," ",LEFT('Product Type'!D40,6))</f>
        <v xml:space="preserve">EE  </v>
      </c>
      <c r="B90">
        <f>'Product Type'!E40</f>
        <v>0</v>
      </c>
    </row>
    <row r="91" spans="1:2">
      <c r="A91" s="3" t="str">
        <f>CONCATENATE(LEFT('Product Type'!A41,2)," ",LEFT('Product Type'!C41,4),," ",LEFT('Product Type'!D41,6))</f>
        <v xml:space="preserve">FF  </v>
      </c>
      <c r="B91">
        <f>'Product Type'!E41</f>
        <v>0</v>
      </c>
    </row>
    <row r="92" spans="1:2">
      <c r="A92" s="3" t="str">
        <f>CONCATENATE(LEFT('Product Type'!A42,2)," ",LEFT('Product Type'!C42,4),," ",LEFT('Product Type'!D42,6))</f>
        <v xml:space="preserve">GG  </v>
      </c>
      <c r="B92">
        <f>'Product Type'!E42</f>
        <v>0</v>
      </c>
    </row>
    <row r="93" spans="1:2">
      <c r="A93" s="3" t="str">
        <f>CONCATENATE(LEFT('Product Type'!A43,2)," ",LEFT('Product Type'!C43,4),," ",LEFT('Product Type'!D43,6))</f>
        <v xml:space="preserve">HH  </v>
      </c>
      <c r="B93">
        <f>'Product Type'!E43</f>
        <v>0</v>
      </c>
    </row>
    <row r="94" spans="1:2">
      <c r="A94" s="3" t="str">
        <f>CONCATENATE(LEFT('Product Type'!A44,2)," ",LEFT('Product Type'!C44,4),," ",LEFT('Product Type'!D44,6))</f>
        <v xml:space="preserve">II  </v>
      </c>
      <c r="B94">
        <f>'Product Type'!E44</f>
        <v>0</v>
      </c>
    </row>
    <row r="95" spans="1:2">
      <c r="A95" s="3" t="str">
        <f>CONCATENATE(LEFT('Product Type'!A45,2)," ",LEFT('Product Type'!C45,4),," ",LEFT('Product Type'!D45,6))</f>
        <v xml:space="preserve">JJ  </v>
      </c>
      <c r="B95">
        <f>'Product Type'!E45</f>
        <v>0</v>
      </c>
    </row>
    <row r="96" spans="1:2">
      <c r="A96" s="3" t="str">
        <f>CONCATENATE(LEFT('Product Type'!A46,2)," ",LEFT('Product Type'!C46,4),," ",LEFT('Product Type'!D46,6))</f>
        <v xml:space="preserve">KK  </v>
      </c>
      <c r="B96">
        <f>'Product Type'!E46</f>
        <v>0</v>
      </c>
    </row>
    <row r="97" spans="1:2">
      <c r="A97" s="3" t="str">
        <f>CONCATENATE(LEFT('Product Type'!A47,2)," ",LEFT('Product Type'!C47,4),," ",LEFT('Product Type'!D47,6))</f>
        <v xml:space="preserve">LL  </v>
      </c>
      <c r="B97">
        <f>'Product Type'!E47</f>
        <v>0</v>
      </c>
    </row>
    <row r="98" spans="1:2">
      <c r="A98" s="3" t="str">
        <f>CONCATENATE(LEFT('Product Type'!A48,2)," ",LEFT('Product Type'!C48,4),," ",LEFT('Product Type'!D48,6))</f>
        <v xml:space="preserve">MM  </v>
      </c>
      <c r="B98">
        <f>'Product Type'!E48</f>
        <v>0</v>
      </c>
    </row>
    <row r="99" spans="1:2">
      <c r="A99" s="3" t="str">
        <f>CONCATENATE(LEFT('Product Type'!A49,2)," ",LEFT('Product Type'!C49,4),," ",LEFT('Product Type'!D49,6))</f>
        <v xml:space="preserve">NN  </v>
      </c>
      <c r="B99">
        <f>'Product Type'!E49</f>
        <v>0</v>
      </c>
    </row>
    <row r="100" spans="1:2">
      <c r="A100" s="3" t="str">
        <f>CONCATENATE(LEFT('Product Type'!A50,2)," ",LEFT('Product Type'!C50,4),," ",LEFT('Product Type'!D50,6))</f>
        <v xml:space="preserve">OO  </v>
      </c>
      <c r="B100">
        <f>'Product Type'!E50</f>
        <v>0</v>
      </c>
    </row>
    <row r="101" spans="1:2">
      <c r="A101" s="3" t="str">
        <f>CONCATENATE(LEFT('Product Type'!A51,2)," ",LEFT('Product Type'!C51,4),," ",LEFT('Product Type'!D51,6))</f>
        <v xml:space="preserve">PP  </v>
      </c>
      <c r="B101">
        <f>'Product Type'!E51</f>
        <v>0</v>
      </c>
    </row>
    <row r="102" spans="1:2">
      <c r="A102" s="3" t="str">
        <f>CONCATENATE(LEFT('Product Type'!A52,2)," ",LEFT('Product Type'!C52,4),," ",LEFT('Product Type'!D52,6))</f>
        <v xml:space="preserve">QQ  </v>
      </c>
      <c r="B102">
        <f>'Product Type'!E52</f>
        <v>0</v>
      </c>
    </row>
    <row r="103" spans="1:2">
      <c r="A103" s="3" t="str">
        <f>CONCATENATE(LEFT('Product Type'!A53,2)," ",LEFT('Product Type'!C53,4),," ",LEFT('Product Type'!D53,6))</f>
        <v xml:space="preserve">RR  </v>
      </c>
      <c r="B103">
        <f>'Product Type'!E53</f>
        <v>0</v>
      </c>
    </row>
    <row r="104" spans="1:2">
      <c r="A104" s="3" t="str">
        <f>CONCATENATE(LEFT('Product Type'!A54,2)," ",LEFT('Product Type'!C54,4),," ",LEFT('Product Type'!D54,6))</f>
        <v xml:space="preserve">SS  </v>
      </c>
      <c r="B104">
        <f>'Product Type'!E54</f>
        <v>0</v>
      </c>
    </row>
    <row r="105" spans="1:2">
      <c r="A105" s="3" t="str">
        <f>CONCATENATE(LEFT('Product Type'!A55,2)," ",LEFT('Product Type'!C55,4),," ",LEFT('Product Type'!D55,6))</f>
        <v xml:space="preserve">TT  </v>
      </c>
      <c r="B105">
        <f>'Product Type'!E55</f>
        <v>0</v>
      </c>
    </row>
    <row r="106" spans="1:2">
      <c r="A106" s="3" t="str">
        <f>CONCATENATE(LEFT('Product Type'!A56,2)," ",LEFT('Product Type'!C56,4),," ",LEFT('Product Type'!D56,6))</f>
        <v xml:space="preserve">UU  </v>
      </c>
      <c r="B106">
        <f>'Product Type'!E56</f>
        <v>0</v>
      </c>
    </row>
    <row r="107" spans="1:2">
      <c r="A107" s="3" t="str">
        <f>CONCATENATE(LEFT('Product Type'!A57,2)," ",LEFT('Product Type'!C57,4),," ",LEFT('Product Type'!D57,6))</f>
        <v xml:space="preserve">VV  </v>
      </c>
      <c r="B107">
        <f>'Product Type'!E57</f>
        <v>0</v>
      </c>
    </row>
    <row r="108" spans="1:2">
      <c r="A108" s="3" t="str">
        <f>CONCATENATE(LEFT('Product Type'!A58,2)," ",LEFT('Product Type'!C58,4),," ",LEFT('Product Type'!D58,6))</f>
        <v xml:space="preserve">WW  </v>
      </c>
      <c r="B108">
        <f>'Product Type'!E58</f>
        <v>0</v>
      </c>
    </row>
    <row r="109" spans="1:2">
      <c r="A109" s="3" t="str">
        <f>CONCATENATE(LEFT('Product Type'!A59,2)," ",LEFT('Product Type'!C59,4),," ",LEFT('Product Type'!D59,6))</f>
        <v xml:space="preserve">XX  </v>
      </c>
      <c r="B109">
        <f>'Product Type'!E59</f>
        <v>0</v>
      </c>
    </row>
    <row r="110" spans="1:2">
      <c r="A110" s="3" t="str">
        <f>CONCATENATE(LEFT('Product Type'!A60,2)," ",LEFT('Product Type'!C60,4),," ",LEFT('Product Type'!D60,6))</f>
        <v xml:space="preserve">YY  </v>
      </c>
      <c r="B110">
        <f>'Product Type'!E60</f>
        <v>0</v>
      </c>
    </row>
    <row r="111" spans="1:2">
      <c r="A111" s="3" t="str">
        <f>CONCATENATE(LEFT('Product Type'!A61,2)," ",LEFT('Product Type'!C61,4),," ",LEFT('Product Type'!D61,6))</f>
        <v xml:space="preserve">ZZ  </v>
      </c>
      <c r="B111">
        <f>'Product Type'!E61</f>
        <v>0</v>
      </c>
    </row>
    <row r="113" spans="1:1">
      <c r="A113" s="44" t="s">
        <v>1553</v>
      </c>
    </row>
    <row r="114" spans="1:1">
      <c r="A114" s="44" t="s">
        <v>1554</v>
      </c>
    </row>
    <row r="115" spans="1:1">
      <c r="A115" s="44" t="s">
        <v>1555</v>
      </c>
    </row>
    <row r="116" spans="1:1">
      <c r="A116" s="44" t="s">
        <v>1556</v>
      </c>
    </row>
    <row r="117" spans="1:1">
      <c r="A117" s="44" t="s">
        <v>1557</v>
      </c>
    </row>
    <row r="118" spans="1:1">
      <c r="A118" s="44" t="s">
        <v>1558</v>
      </c>
    </row>
    <row r="119" spans="1:1">
      <c r="A119" s="44" t="s">
        <v>1601</v>
      </c>
    </row>
    <row r="120" spans="1:1">
      <c r="A120" s="44" t="s">
        <v>1602</v>
      </c>
    </row>
    <row r="121" spans="1:1">
      <c r="A121" s="54"/>
    </row>
    <row r="122" spans="1:1">
      <c r="A122" s="44" t="s">
        <v>1498</v>
      </c>
    </row>
    <row r="123" spans="1:1">
      <c r="A123" s="44" t="s">
        <v>1499</v>
      </c>
    </row>
    <row r="124" spans="1:1">
      <c r="A124" s="44" t="s">
        <v>1102</v>
      </c>
    </row>
    <row r="125" spans="1:1">
      <c r="A125" s="44" t="s">
        <v>1525</v>
      </c>
    </row>
    <row r="126" spans="1:1">
      <c r="A126" s="3" t="s">
        <v>1601</v>
      </c>
    </row>
    <row r="127" spans="1:1">
      <c r="A127" s="3" t="s">
        <v>1602</v>
      </c>
    </row>
  </sheetData>
  <pageMargins left="0.7" right="0.7" top="0.75" bottom="0.75" header="0.3" footer="0.3"/>
  <pageSetup orientation="portrait" horizontalDpi="4294967293" vertic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rgb="FF009999"/>
  </sheetPr>
  <dimension ref="A1:CU100"/>
  <sheetViews>
    <sheetView workbookViewId="0"/>
  </sheetViews>
  <sheetFormatPr defaultColWidth="9.28515625" defaultRowHeight="11.25"/>
  <cols>
    <col min="1" max="1" width="7.42578125" style="541" customWidth="1"/>
    <col min="2" max="2" width="10.28515625" style="541" customWidth="1"/>
    <col min="3" max="7" width="13.28515625" style="541" customWidth="1"/>
    <col min="8" max="8" width="1" style="541" customWidth="1"/>
    <col min="9" max="9" width="3.7109375" style="541" customWidth="1"/>
    <col min="10" max="10" width="9.28515625" style="541"/>
    <col min="11" max="11" width="10" style="541" bestFit="1" customWidth="1"/>
    <col min="12" max="12" width="5.5703125" style="541" bestFit="1" customWidth="1"/>
    <col min="13" max="13" width="11.5703125" style="541" customWidth="1"/>
    <col min="14" max="14" width="15.140625" style="541" bestFit="1" customWidth="1"/>
    <col min="15" max="15" width="8.28515625" style="541" customWidth="1"/>
    <col min="16" max="18" width="9.140625" style="541" bestFit="1" customWidth="1"/>
    <col min="19" max="20" width="10.140625" style="541" bestFit="1" customWidth="1"/>
    <col min="21" max="21" width="3.7109375" style="541" customWidth="1"/>
    <col min="22" max="22" width="8.7109375" style="541" bestFit="1" customWidth="1"/>
    <col min="23" max="27" width="8.28515625" style="541" bestFit="1" customWidth="1"/>
    <col min="28" max="28" width="3.7109375" style="541" customWidth="1"/>
    <col min="29" max="29" width="8.7109375" style="541" bestFit="1" customWidth="1"/>
    <col min="30" max="34" width="8.28515625" style="541" bestFit="1" customWidth="1"/>
    <col min="35" max="35" width="3.7109375" style="541" customWidth="1"/>
    <col min="36" max="43" width="9.28515625" style="541"/>
    <col min="44" max="44" width="16.42578125" style="541" bestFit="1" customWidth="1"/>
    <col min="45" max="45" width="17.5703125" style="541" customWidth="1"/>
    <col min="46" max="50" width="9.28515625" style="541"/>
    <col min="51" max="51" width="10.28515625" style="541" bestFit="1" customWidth="1"/>
    <col min="52" max="16384" width="9.28515625" style="541"/>
  </cols>
  <sheetData>
    <row r="1" spans="1:99" ht="12" thickBot="1">
      <c r="A1" s="539"/>
      <c r="B1" s="540"/>
      <c r="C1" s="540"/>
      <c r="D1" s="540"/>
      <c r="E1" s="540"/>
      <c r="F1" s="540"/>
      <c r="G1" s="540"/>
    </row>
    <row r="2" spans="1:99" ht="16.5" thickBot="1">
      <c r="A2" s="539"/>
      <c r="B2" s="2161" t="s">
        <v>736</v>
      </c>
      <c r="C2" s="2162"/>
      <c r="D2" s="2162"/>
      <c r="E2" s="2162"/>
      <c r="F2" s="2162"/>
      <c r="G2" s="2163"/>
      <c r="AR2" s="593"/>
      <c r="AS2" s="593" t="s">
        <v>754</v>
      </c>
      <c r="AT2" s="593"/>
      <c r="AU2" s="593"/>
      <c r="AV2" s="593"/>
      <c r="AW2" s="593"/>
      <c r="AX2" s="593"/>
      <c r="AY2" s="593"/>
      <c r="AZ2" s="583"/>
      <c r="BA2" s="583"/>
      <c r="BB2" s="583"/>
      <c r="BC2" s="583"/>
      <c r="BD2" s="583"/>
      <c r="BE2" s="583"/>
      <c r="BF2" s="583"/>
      <c r="BG2" s="583"/>
      <c r="BH2" s="583"/>
      <c r="BI2" s="583"/>
      <c r="BJ2" s="583"/>
      <c r="BK2" s="583"/>
      <c r="BL2" s="583"/>
      <c r="BM2" s="583"/>
      <c r="BN2" s="583"/>
      <c r="BO2" s="583"/>
      <c r="BP2" s="583"/>
      <c r="BQ2" s="583"/>
      <c r="BR2" s="583"/>
      <c r="BS2" s="583"/>
      <c r="BT2" s="583"/>
      <c r="BU2" s="583"/>
      <c r="BV2" s="583"/>
      <c r="BW2" s="583"/>
      <c r="BX2" s="583"/>
      <c r="BY2" s="583"/>
      <c r="BZ2" s="583"/>
      <c r="CA2" s="583"/>
      <c r="CB2" s="583"/>
      <c r="CC2" s="583"/>
      <c r="CD2" s="583"/>
      <c r="CE2" s="583"/>
      <c r="CF2" s="583"/>
      <c r="CG2" s="583"/>
      <c r="CH2" s="583"/>
      <c r="CI2" s="583"/>
      <c r="CJ2" s="583"/>
      <c r="CK2" s="583"/>
      <c r="CL2" s="583"/>
      <c r="CM2" s="583"/>
      <c r="CN2" s="583"/>
      <c r="CO2" s="583"/>
      <c r="CP2" s="583"/>
      <c r="CQ2" s="583"/>
      <c r="CR2" s="583"/>
      <c r="CS2" s="583"/>
      <c r="CT2" s="583"/>
      <c r="CU2" s="583"/>
    </row>
    <row r="3" spans="1:99" s="548" customFormat="1" ht="37.5" customHeight="1">
      <c r="A3" s="542"/>
      <c r="B3" s="543" t="s">
        <v>737</v>
      </c>
      <c r="C3" s="544">
        <v>7.1199999999999999E-2</v>
      </c>
      <c r="D3" s="542"/>
      <c r="E3" s="545" t="s">
        <v>738</v>
      </c>
      <c r="F3" s="546">
        <v>2024</v>
      </c>
      <c r="G3" s="547"/>
      <c r="AC3" s="541"/>
      <c r="AR3" s="593"/>
      <c r="AS3" s="593" t="s">
        <v>755</v>
      </c>
      <c r="AT3" s="593"/>
      <c r="AU3" s="593"/>
      <c r="AV3" s="593"/>
      <c r="AW3" s="593"/>
      <c r="AX3" s="593"/>
      <c r="AY3" s="593"/>
      <c r="AZ3" s="583"/>
      <c r="BA3" s="583"/>
      <c r="BB3" s="583"/>
      <c r="BC3" s="583"/>
      <c r="BD3" s="583"/>
      <c r="BE3" s="583"/>
      <c r="BF3" s="583"/>
      <c r="BG3" s="583"/>
      <c r="BH3" s="583"/>
      <c r="BI3" s="583"/>
      <c r="BJ3" s="583"/>
      <c r="BK3" s="583"/>
      <c r="BL3" s="583"/>
      <c r="BM3" s="583"/>
      <c r="BN3" s="583"/>
      <c r="BO3" s="583"/>
      <c r="BP3" s="583"/>
      <c r="BQ3" s="583"/>
      <c r="BR3" s="583"/>
      <c r="BS3" s="583"/>
      <c r="BT3" s="583"/>
      <c r="BU3" s="583"/>
      <c r="BV3" s="583"/>
      <c r="BW3" s="583"/>
      <c r="BX3" s="583"/>
      <c r="BY3" s="583"/>
      <c r="BZ3" s="583"/>
      <c r="CA3" s="583"/>
      <c r="CB3" s="583"/>
      <c r="CC3" s="583"/>
      <c r="CD3" s="583"/>
      <c r="CE3" s="583"/>
      <c r="CF3" s="583"/>
      <c r="CG3" s="583"/>
      <c r="CH3" s="583"/>
      <c r="CI3" s="583"/>
      <c r="CJ3" s="583"/>
      <c r="CK3" s="583"/>
      <c r="CL3" s="583"/>
      <c r="CM3" s="583"/>
      <c r="CN3" s="583"/>
      <c r="CO3" s="583"/>
      <c r="CP3" s="583"/>
      <c r="CQ3" s="583"/>
      <c r="CR3" s="583"/>
      <c r="CS3" s="583"/>
      <c r="CT3" s="583"/>
      <c r="CU3" s="583"/>
    </row>
    <row r="4" spans="1:99" s="548" customFormat="1" ht="25.5">
      <c r="A4" s="542"/>
      <c r="B4" s="543" t="s">
        <v>739</v>
      </c>
      <c r="C4" s="549">
        <v>2.3E-2</v>
      </c>
      <c r="D4" s="542"/>
      <c r="E4" s="542" t="s">
        <v>1975</v>
      </c>
      <c r="F4" s="542">
        <v>2021</v>
      </c>
      <c r="G4" s="547"/>
      <c r="AC4" s="550"/>
      <c r="AR4" s="593"/>
      <c r="AS4" s="594"/>
      <c r="AT4" s="595" t="s">
        <v>756</v>
      </c>
      <c r="AU4" s="596"/>
      <c r="AV4" s="597"/>
      <c r="AW4" s="595" t="s">
        <v>757</v>
      </c>
      <c r="AX4" s="596"/>
      <c r="AY4" s="597"/>
      <c r="AZ4" s="583"/>
      <c r="BA4" s="583"/>
      <c r="BB4" s="583"/>
      <c r="BC4" s="583"/>
      <c r="BD4" s="583"/>
      <c r="BE4" s="583"/>
      <c r="BF4" s="583"/>
      <c r="BG4" s="583"/>
      <c r="BH4" s="583"/>
      <c r="BI4" s="583"/>
      <c r="BJ4" s="583"/>
      <c r="BK4" s="583"/>
      <c r="BL4" s="583"/>
      <c r="BM4" s="583"/>
      <c r="BN4" s="583"/>
      <c r="BO4" s="583"/>
      <c r="BP4" s="583"/>
      <c r="BQ4" s="583"/>
      <c r="BR4" s="583"/>
      <c r="BS4" s="583"/>
      <c r="BT4" s="583"/>
      <c r="BU4" s="583"/>
      <c r="BV4" s="583"/>
      <c r="BW4" s="583"/>
      <c r="BX4" s="583"/>
      <c r="BY4" s="583"/>
      <c r="BZ4" s="583"/>
      <c r="CA4" s="583"/>
      <c r="CB4" s="583"/>
      <c r="CC4" s="583"/>
      <c r="CD4" s="583"/>
      <c r="CE4" s="583"/>
      <c r="CF4" s="583"/>
      <c r="CG4" s="583"/>
      <c r="CH4" s="583"/>
      <c r="CI4" s="583"/>
      <c r="CJ4" s="583"/>
      <c r="CK4" s="583"/>
      <c r="CL4" s="583"/>
      <c r="CM4" s="583"/>
      <c r="CN4" s="583"/>
      <c r="CO4" s="583"/>
      <c r="CP4" s="583"/>
      <c r="CQ4" s="583"/>
      <c r="CR4" s="583"/>
      <c r="CS4" s="583"/>
      <c r="CT4" s="583"/>
      <c r="CU4" s="583"/>
    </row>
    <row r="5" spans="1:99" s="548" customFormat="1" ht="15" customHeight="1">
      <c r="A5" s="542"/>
      <c r="B5" s="543" t="s">
        <v>740</v>
      </c>
      <c r="C5" s="549">
        <v>9.6000000000000002E-2</v>
      </c>
      <c r="D5" s="542"/>
      <c r="E5" s="542" t="s">
        <v>741</v>
      </c>
      <c r="F5" s="551">
        <v>131.6</v>
      </c>
      <c r="G5" s="547"/>
      <c r="AC5" s="541"/>
      <c r="AR5" s="593"/>
      <c r="AS5" s="593"/>
      <c r="AT5" s="598" t="s">
        <v>749</v>
      </c>
      <c r="AU5" s="598" t="s">
        <v>750</v>
      </c>
      <c r="AV5" s="598" t="s">
        <v>751</v>
      </c>
      <c r="AW5" s="598" t="s">
        <v>750</v>
      </c>
      <c r="AX5" s="598" t="s">
        <v>751</v>
      </c>
      <c r="AY5" s="593"/>
      <c r="AZ5" s="583"/>
      <c r="BA5" s="583"/>
      <c r="BB5" s="583"/>
      <c r="BC5" s="583"/>
      <c r="BD5" s="583"/>
      <c r="BE5" s="583"/>
      <c r="BF5" s="583"/>
      <c r="BG5" s="583"/>
      <c r="BH5" s="583"/>
      <c r="BI5" s="583"/>
      <c r="BJ5" s="583"/>
      <c r="BK5" s="583"/>
      <c r="BL5" s="583"/>
      <c r="BM5" s="583"/>
      <c r="BN5" s="583"/>
      <c r="BO5" s="583"/>
      <c r="BP5" s="583"/>
      <c r="BQ5" s="583"/>
      <c r="BR5" s="583"/>
      <c r="BS5" s="583"/>
      <c r="BT5" s="583"/>
      <c r="BU5" s="583"/>
      <c r="BV5" s="583"/>
      <c r="BW5" s="583"/>
      <c r="BX5" s="583"/>
      <c r="BY5" s="583"/>
      <c r="BZ5" s="583"/>
      <c r="CA5" s="583"/>
      <c r="CB5" s="583"/>
      <c r="CC5" s="583"/>
      <c r="CD5" s="583"/>
      <c r="CE5" s="583"/>
      <c r="CF5" s="583"/>
      <c r="CG5" s="583"/>
      <c r="CH5" s="583"/>
      <c r="CI5" s="583"/>
      <c r="CJ5" s="583"/>
      <c r="CK5" s="583"/>
      <c r="CL5" s="583"/>
      <c r="CM5" s="583"/>
      <c r="CN5" s="583"/>
      <c r="CO5" s="583"/>
      <c r="CP5" s="583"/>
      <c r="CQ5" s="583"/>
      <c r="CR5" s="583"/>
      <c r="CS5" s="583"/>
      <c r="CT5" s="583"/>
      <c r="CU5" s="583"/>
    </row>
    <row r="6" spans="1:99" s="548" customFormat="1" ht="25.5">
      <c r="A6" s="542"/>
      <c r="B6" s="543" t="s">
        <v>742</v>
      </c>
      <c r="C6" s="549">
        <v>9.7000000000000003E-2</v>
      </c>
      <c r="D6" s="542"/>
      <c r="E6" s="542" t="s">
        <v>1382</v>
      </c>
      <c r="F6" s="902">
        <f>3.76/8760</f>
        <v>4.2922374429223744E-4</v>
      </c>
      <c r="G6" s="547"/>
      <c r="AC6" s="550"/>
      <c r="AR6" s="593"/>
      <c r="AS6" s="593"/>
      <c r="AT6" s="593"/>
      <c r="AU6" s="593"/>
      <c r="AV6" s="593"/>
      <c r="AW6" s="593"/>
      <c r="AX6" s="593"/>
      <c r="AY6" s="593"/>
      <c r="AZ6" s="583"/>
      <c r="BA6" s="583"/>
      <c r="BB6" s="583"/>
      <c r="BC6" s="583"/>
      <c r="BD6" s="583"/>
      <c r="BE6" s="583"/>
      <c r="BF6" s="583"/>
      <c r="BG6" s="583"/>
      <c r="BH6" s="583"/>
      <c r="BI6" s="583"/>
      <c r="BJ6" s="583"/>
      <c r="BK6" s="583"/>
      <c r="BL6" s="583"/>
      <c r="BM6" s="583"/>
      <c r="BN6" s="583"/>
      <c r="BO6" s="583"/>
      <c r="BP6" s="583"/>
      <c r="BQ6" s="583"/>
      <c r="BR6" s="583"/>
      <c r="BS6" s="583"/>
      <c r="BT6" s="583"/>
      <c r="BU6" s="583"/>
      <c r="BV6" s="583"/>
      <c r="BW6" s="583"/>
      <c r="BX6" s="583"/>
      <c r="BY6" s="583"/>
      <c r="BZ6" s="583"/>
      <c r="CA6" s="583"/>
      <c r="CB6" s="583"/>
      <c r="CC6" s="583"/>
      <c r="CD6" s="583"/>
      <c r="CE6" s="583"/>
      <c r="CF6" s="583"/>
      <c r="CG6" s="583"/>
      <c r="CH6" s="583"/>
      <c r="CI6" s="583"/>
      <c r="CJ6" s="583"/>
      <c r="CK6" s="583"/>
      <c r="CL6" s="583"/>
      <c r="CM6" s="583"/>
      <c r="CN6" s="583"/>
      <c r="CO6" s="583"/>
      <c r="CP6" s="583"/>
      <c r="CQ6" s="583"/>
      <c r="CR6" s="583"/>
      <c r="CS6" s="583"/>
      <c r="CT6" s="583"/>
      <c r="CU6" s="583"/>
    </row>
    <row r="7" spans="1:99" s="548" customFormat="1" ht="24.75" customHeight="1" thickBot="1">
      <c r="A7" s="542"/>
      <c r="B7" s="552" t="s">
        <v>425</v>
      </c>
      <c r="C7" s="553">
        <f>((1+$C$3)/(1+$C$4))-1</f>
        <v>4.7116324535679377E-2</v>
      </c>
      <c r="D7" s="554"/>
      <c r="E7" s="554"/>
      <c r="F7" s="554"/>
      <c r="G7" s="555"/>
      <c r="AR7" s="593" t="s">
        <v>758</v>
      </c>
      <c r="AS7" s="593"/>
      <c r="AT7" s="599">
        <v>512</v>
      </c>
      <c r="AU7" s="599">
        <v>960</v>
      </c>
      <c r="AV7" s="599">
        <v>736</v>
      </c>
      <c r="AW7" s="599">
        <v>3616</v>
      </c>
      <c r="AX7" s="599">
        <v>2936</v>
      </c>
      <c r="AY7" s="599">
        <v>8760</v>
      </c>
      <c r="AZ7" s="583"/>
      <c r="BA7" s="583"/>
      <c r="BB7" s="583"/>
      <c r="BC7" s="583"/>
      <c r="BD7" s="583"/>
      <c r="BE7" s="583"/>
      <c r="BF7" s="583"/>
      <c r="BG7" s="583"/>
      <c r="BH7" s="583"/>
      <c r="BI7" s="583"/>
      <c r="BJ7" s="583"/>
      <c r="BK7" s="583"/>
      <c r="BL7" s="583"/>
      <c r="BM7" s="583"/>
      <c r="BN7" s="583"/>
      <c r="BO7" s="583"/>
      <c r="BP7" s="583"/>
      <c r="BQ7" s="583"/>
      <c r="BR7" s="583"/>
      <c r="BS7" s="583"/>
      <c r="BT7" s="583"/>
      <c r="BU7" s="583"/>
      <c r="BV7" s="583"/>
      <c r="BW7" s="583"/>
      <c r="BX7" s="583"/>
      <c r="BY7" s="583"/>
      <c r="BZ7" s="583"/>
      <c r="CA7" s="583"/>
      <c r="CB7" s="583"/>
      <c r="CC7" s="583"/>
      <c r="CD7" s="583"/>
      <c r="CE7" s="583"/>
      <c r="CF7" s="583"/>
      <c r="CG7" s="583"/>
      <c r="CH7" s="583"/>
      <c r="CI7" s="583"/>
      <c r="CJ7" s="583"/>
      <c r="CK7" s="583"/>
      <c r="CL7" s="583"/>
      <c r="CM7" s="583"/>
      <c r="CN7" s="583"/>
      <c r="CO7" s="583"/>
      <c r="CP7" s="583"/>
      <c r="CQ7" s="583"/>
      <c r="CR7" s="583"/>
      <c r="CS7" s="583"/>
      <c r="CT7" s="583"/>
      <c r="CU7" s="583"/>
    </row>
    <row r="8" spans="1:99" ht="25.5" customHeight="1">
      <c r="A8" s="556" t="str">
        <f>"Annual RAW Incremental  "&amp;F4&amp;" IRP Costs"</f>
        <v>Annual RAW Incremental  2021 IRP Costs</v>
      </c>
      <c r="B8" s="556"/>
      <c r="C8" s="556"/>
      <c r="D8" s="556"/>
      <c r="E8" s="556"/>
      <c r="F8" s="556"/>
      <c r="G8" s="556"/>
      <c r="H8" s="557"/>
      <c r="I8" s="558"/>
      <c r="J8" s="559" t="s">
        <v>743</v>
      </c>
      <c r="K8" s="559"/>
      <c r="L8" s="559"/>
      <c r="M8" s="559"/>
      <c r="N8" s="558"/>
      <c r="O8" s="559" t="s">
        <v>1383</v>
      </c>
      <c r="P8" s="559"/>
      <c r="Q8" s="559"/>
      <c r="R8" s="559"/>
      <c r="S8" s="559"/>
      <c r="T8" s="559"/>
      <c r="U8" s="558"/>
      <c r="V8" s="559" t="s">
        <v>744</v>
      </c>
      <c r="W8" s="559"/>
      <c r="X8" s="559"/>
      <c r="Y8" s="559"/>
      <c r="Z8" s="559"/>
      <c r="AA8" s="559"/>
      <c r="AB8" s="558"/>
      <c r="AC8" s="559" t="s">
        <v>1381</v>
      </c>
      <c r="AD8" s="559"/>
      <c r="AE8" s="559"/>
      <c r="AF8" s="559"/>
      <c r="AG8" s="559"/>
      <c r="AH8" s="559"/>
      <c r="AI8" s="558"/>
      <c r="AJ8" s="560" t="s">
        <v>745</v>
      </c>
      <c r="AK8" s="561"/>
      <c r="AL8" s="561"/>
      <c r="AM8" s="561"/>
      <c r="AN8" s="561"/>
      <c r="AO8" s="561"/>
      <c r="AP8" s="562"/>
      <c r="AQ8" s="548"/>
      <c r="AR8" s="593"/>
      <c r="AS8" s="593"/>
      <c r="AT8" s="593"/>
      <c r="AU8" s="593"/>
      <c r="AV8" s="593"/>
      <c r="AW8" s="593"/>
      <c r="AX8" s="593"/>
      <c r="AY8" s="593"/>
      <c r="AZ8" s="583"/>
      <c r="BA8" s="583"/>
      <c r="BB8" s="583"/>
      <c r="BC8" s="583"/>
      <c r="BD8" s="583"/>
      <c r="BE8" s="583"/>
      <c r="BF8" s="583"/>
      <c r="BG8" s="583"/>
      <c r="BH8" s="583"/>
      <c r="BI8" s="583"/>
      <c r="BJ8" s="583"/>
      <c r="BK8" s="583"/>
      <c r="BL8" s="583"/>
      <c r="BM8" s="583"/>
      <c r="BN8" s="583"/>
      <c r="BO8" s="583"/>
      <c r="BP8" s="583"/>
      <c r="BQ8" s="583"/>
      <c r="BR8" s="583"/>
      <c r="BS8" s="583"/>
      <c r="BT8" s="583"/>
      <c r="BU8" s="583"/>
      <c r="BV8" s="583"/>
      <c r="BW8" s="583"/>
      <c r="BX8" s="583"/>
      <c r="BY8" s="583"/>
      <c r="BZ8" s="583"/>
      <c r="CA8" s="583"/>
      <c r="CB8" s="583"/>
      <c r="CC8" s="583"/>
      <c r="CD8" s="583"/>
      <c r="CE8" s="583"/>
      <c r="CF8" s="583"/>
      <c r="CG8" s="583"/>
      <c r="CH8" s="583"/>
      <c r="CI8" s="583"/>
      <c r="CJ8" s="583"/>
      <c r="CK8" s="583"/>
      <c r="CL8" s="583"/>
      <c r="CM8" s="583"/>
      <c r="CN8" s="583"/>
      <c r="CO8" s="583"/>
      <c r="CP8" s="583"/>
      <c r="CQ8" s="583"/>
      <c r="CR8" s="583"/>
      <c r="CS8" s="583"/>
      <c r="CT8" s="583"/>
      <c r="CU8" s="583"/>
    </row>
    <row r="9" spans="1:99" ht="12.75">
      <c r="A9" s="563"/>
      <c r="B9" s="564"/>
      <c r="C9" s="564"/>
      <c r="D9" s="564"/>
      <c r="E9" s="564"/>
      <c r="F9" s="564"/>
      <c r="G9" s="564"/>
      <c r="H9" s="557"/>
      <c r="I9" s="558"/>
      <c r="J9" s="559"/>
      <c r="K9" s="559"/>
      <c r="L9" s="559"/>
      <c r="M9" s="559"/>
      <c r="N9" s="558"/>
      <c r="O9" s="559"/>
      <c r="P9" s="559"/>
      <c r="Q9" s="559"/>
      <c r="R9" s="559"/>
      <c r="S9" s="559"/>
      <c r="T9" s="559"/>
      <c r="U9" s="558"/>
      <c r="V9" s="559"/>
      <c r="W9" s="559"/>
      <c r="X9" s="559"/>
      <c r="Y9" s="559"/>
      <c r="Z9" s="559"/>
      <c r="AA9" s="559"/>
      <c r="AB9" s="558"/>
      <c r="AC9" s="559"/>
      <c r="AD9" s="559"/>
      <c r="AE9" s="559"/>
      <c r="AF9" s="559"/>
      <c r="AG9" s="559"/>
      <c r="AH9" s="559"/>
      <c r="AI9" s="558"/>
      <c r="AJ9" s="2164"/>
      <c r="AK9" s="2165"/>
      <c r="AL9" s="2165"/>
      <c r="AM9" s="2165"/>
      <c r="AN9" s="2165"/>
      <c r="AO9" s="2165"/>
      <c r="AP9" s="2166"/>
      <c r="AR9" s="593" t="s">
        <v>759</v>
      </c>
      <c r="AS9" s="593"/>
      <c r="AT9" s="593"/>
      <c r="AU9" s="593"/>
      <c r="AV9" s="593"/>
      <c r="AW9" s="593"/>
      <c r="AX9" s="593"/>
      <c r="AY9" s="593"/>
      <c r="AZ9" s="583"/>
      <c r="BA9" s="583"/>
      <c r="BB9" s="583"/>
      <c r="BC9" s="583" t="s">
        <v>224</v>
      </c>
      <c r="BD9" s="583"/>
      <c r="BE9" s="583"/>
      <c r="BF9" s="583"/>
      <c r="BG9" s="583"/>
      <c r="BH9" s="583"/>
      <c r="BI9" s="583"/>
      <c r="BJ9" s="583"/>
      <c r="BK9" s="583"/>
      <c r="BL9" s="583"/>
      <c r="BM9" s="583"/>
      <c r="BN9" s="583"/>
      <c r="BO9" s="583"/>
      <c r="BP9" s="583"/>
      <c r="BQ9" s="583"/>
      <c r="BR9" s="583"/>
      <c r="BS9" s="583"/>
      <c r="BT9" s="583"/>
      <c r="BU9" s="583"/>
      <c r="BV9" s="583"/>
      <c r="BW9" s="583"/>
      <c r="BX9" s="583"/>
      <c r="BY9" s="583"/>
      <c r="BZ9" s="583"/>
      <c r="CA9" s="583"/>
      <c r="CB9" s="583"/>
      <c r="CC9" s="583"/>
      <c r="CD9" s="583"/>
      <c r="CE9" s="583"/>
      <c r="CF9" s="583"/>
      <c r="CG9" s="583"/>
      <c r="CH9" s="583"/>
      <c r="CI9" s="583"/>
      <c r="CJ9" s="583"/>
      <c r="CK9" s="583"/>
      <c r="CL9" s="583"/>
      <c r="CM9" s="583"/>
      <c r="CN9" s="583"/>
      <c r="CO9" s="583"/>
      <c r="CP9" s="583"/>
      <c r="CQ9" s="583"/>
      <c r="CR9" s="583"/>
      <c r="CS9" s="583"/>
      <c r="CT9" s="583"/>
      <c r="CU9" s="583"/>
    </row>
    <row r="10" spans="1:99" ht="9.75" customHeight="1">
      <c r="A10" s="559" t="s">
        <v>746</v>
      </c>
      <c r="B10" s="565"/>
      <c r="C10" s="2167"/>
      <c r="D10" s="2167"/>
      <c r="E10" s="2167"/>
      <c r="F10" s="2168"/>
      <c r="G10" s="2168"/>
      <c r="H10" s="557"/>
      <c r="I10" s="558"/>
      <c r="J10" s="559" t="s">
        <v>747</v>
      </c>
      <c r="K10" s="559"/>
      <c r="L10" s="559"/>
      <c r="M10" s="559"/>
      <c r="N10" s="558"/>
      <c r="O10" s="559" t="s">
        <v>746</v>
      </c>
      <c r="P10" s="559"/>
      <c r="Q10" s="559"/>
      <c r="R10" s="559"/>
      <c r="S10" s="559"/>
      <c r="T10" s="559"/>
      <c r="U10" s="558"/>
      <c r="V10" s="559" t="s">
        <v>746</v>
      </c>
      <c r="W10" s="559"/>
      <c r="X10" s="559"/>
      <c r="Y10" s="559"/>
      <c r="Z10" s="559"/>
      <c r="AA10" s="559"/>
      <c r="AB10" s="558"/>
      <c r="AC10" s="559" t="s">
        <v>746</v>
      </c>
      <c r="AD10" s="559"/>
      <c r="AE10" s="559"/>
      <c r="AF10" s="559"/>
      <c r="AG10" s="559"/>
      <c r="AH10" s="559"/>
      <c r="AI10" s="558"/>
      <c r="AJ10" s="566" t="s">
        <v>746</v>
      </c>
      <c r="AK10" s="565"/>
      <c r="AL10" s="2167"/>
      <c r="AM10" s="2167"/>
      <c r="AN10" s="2167"/>
      <c r="AO10" s="2168"/>
      <c r="AP10" s="2169"/>
      <c r="AQ10" s="567"/>
      <c r="AR10" s="583" t="s">
        <v>760</v>
      </c>
      <c r="AS10" s="583"/>
      <c r="AT10" s="583"/>
      <c r="AU10" s="583"/>
      <c r="AV10" s="583"/>
      <c r="AW10" s="583"/>
      <c r="AX10" s="583"/>
      <c r="AY10" s="583"/>
      <c r="AZ10" s="583"/>
      <c r="BA10" s="583"/>
      <c r="BB10" s="583" t="s">
        <v>764</v>
      </c>
      <c r="BC10" s="583">
        <v>1</v>
      </c>
      <c r="BD10" s="583">
        <v>2</v>
      </c>
      <c r="BE10" s="583">
        <v>3</v>
      </c>
      <c r="BF10" s="583">
        <v>4</v>
      </c>
      <c r="BG10" s="583">
        <v>5</v>
      </c>
      <c r="BH10" s="583">
        <v>6</v>
      </c>
      <c r="BI10" s="583">
        <v>7</v>
      </c>
      <c r="BJ10" s="583">
        <v>8</v>
      </c>
      <c r="BK10" s="583">
        <v>9</v>
      </c>
      <c r="BL10" s="583">
        <v>10</v>
      </c>
      <c r="BM10" s="583">
        <v>11</v>
      </c>
      <c r="BN10" s="583">
        <v>12</v>
      </c>
      <c r="BO10" s="583">
        <v>13</v>
      </c>
      <c r="BP10" s="583">
        <v>14</v>
      </c>
      <c r="BQ10" s="583">
        <v>15</v>
      </c>
      <c r="BR10" s="583">
        <v>16</v>
      </c>
      <c r="BS10" s="583">
        <v>17</v>
      </c>
      <c r="BT10" s="583">
        <v>18</v>
      </c>
      <c r="BU10" s="583">
        <v>19</v>
      </c>
      <c r="BV10" s="583">
        <v>20</v>
      </c>
      <c r="BW10" s="583">
        <v>21</v>
      </c>
      <c r="BX10" s="583">
        <v>22</v>
      </c>
      <c r="BY10" s="583">
        <v>23</v>
      </c>
      <c r="BZ10" s="583">
        <v>24</v>
      </c>
      <c r="CA10" s="583">
        <v>25</v>
      </c>
      <c r="CB10" s="583">
        <v>26</v>
      </c>
      <c r="CC10" s="583">
        <v>27</v>
      </c>
      <c r="CD10" s="583">
        <v>28</v>
      </c>
      <c r="CE10" s="583">
        <v>29</v>
      </c>
      <c r="CF10" s="583">
        <v>30</v>
      </c>
      <c r="CG10" s="583">
        <v>31</v>
      </c>
      <c r="CH10" s="583">
        <v>32</v>
      </c>
      <c r="CI10" s="583">
        <v>33</v>
      </c>
      <c r="CJ10" s="583">
        <v>34</v>
      </c>
      <c r="CK10" s="583">
        <v>35</v>
      </c>
      <c r="CL10" s="583">
        <v>36</v>
      </c>
      <c r="CM10" s="583">
        <v>37</v>
      </c>
      <c r="CN10" s="583">
        <v>38</v>
      </c>
      <c r="CO10" s="583">
        <v>39</v>
      </c>
      <c r="CP10" s="583">
        <v>40</v>
      </c>
      <c r="CQ10" s="583">
        <v>41</v>
      </c>
      <c r="CR10" s="583">
        <v>42</v>
      </c>
      <c r="CS10" s="583">
        <v>43</v>
      </c>
      <c r="CT10" s="583">
        <v>44</v>
      </c>
      <c r="CU10" s="583">
        <v>45</v>
      </c>
    </row>
    <row r="11" spans="1:99" ht="34.5">
      <c r="A11" s="568" t="s">
        <v>224</v>
      </c>
      <c r="B11" s="569" t="s">
        <v>748</v>
      </c>
      <c r="C11" s="570" t="s">
        <v>749</v>
      </c>
      <c r="D11" s="570" t="s">
        <v>750</v>
      </c>
      <c r="E11" s="570" t="s">
        <v>751</v>
      </c>
      <c r="F11" s="570" t="s">
        <v>750</v>
      </c>
      <c r="G11" s="570" t="s">
        <v>751</v>
      </c>
      <c r="H11" s="557"/>
      <c r="I11" s="558"/>
      <c r="J11" s="559" t="s">
        <v>291</v>
      </c>
      <c r="K11" s="571" t="s">
        <v>752</v>
      </c>
      <c r="L11" s="571" t="s">
        <v>1645</v>
      </c>
      <c r="M11" s="571" t="s">
        <v>1646</v>
      </c>
      <c r="N11" s="558"/>
      <c r="O11" s="559" t="s">
        <v>224</v>
      </c>
      <c r="P11" s="559" t="s">
        <v>291</v>
      </c>
      <c r="Q11" s="559" t="s">
        <v>292</v>
      </c>
      <c r="R11" s="559" t="s">
        <v>293</v>
      </c>
      <c r="S11" s="559" t="s">
        <v>294</v>
      </c>
      <c r="T11" s="559" t="s">
        <v>295</v>
      </c>
      <c r="U11" s="558"/>
      <c r="V11" s="559" t="s">
        <v>224</v>
      </c>
      <c r="W11" s="559" t="s">
        <v>291</v>
      </c>
      <c r="X11" s="559" t="s">
        <v>292</v>
      </c>
      <c r="Y11" s="559" t="s">
        <v>293</v>
      </c>
      <c r="Z11" s="559" t="s">
        <v>294</v>
      </c>
      <c r="AA11" s="559" t="s">
        <v>295</v>
      </c>
      <c r="AB11" s="558"/>
      <c r="AC11" s="559" t="s">
        <v>224</v>
      </c>
      <c r="AD11" s="559" t="s">
        <v>291</v>
      </c>
      <c r="AE11" s="559" t="s">
        <v>292</v>
      </c>
      <c r="AF11" s="559" t="s">
        <v>293</v>
      </c>
      <c r="AG11" s="559" t="s">
        <v>294</v>
      </c>
      <c r="AH11" s="559" t="s">
        <v>295</v>
      </c>
      <c r="AI11" s="558"/>
      <c r="AJ11" s="572" t="s">
        <v>224</v>
      </c>
      <c r="AK11" s="569" t="s">
        <v>748</v>
      </c>
      <c r="AL11" s="559" t="s">
        <v>291</v>
      </c>
      <c r="AM11" s="559" t="s">
        <v>292</v>
      </c>
      <c r="AN11" s="559" t="s">
        <v>293</v>
      </c>
      <c r="AO11" s="559" t="s">
        <v>294</v>
      </c>
      <c r="AP11" s="573" t="s">
        <v>295</v>
      </c>
      <c r="AQ11" s="567"/>
      <c r="AS11" s="541" t="s">
        <v>1649</v>
      </c>
      <c r="AT11" s="600">
        <v>7.6448813930122053E-2</v>
      </c>
      <c r="AU11" s="600">
        <v>0.1338139641818902</v>
      </c>
      <c r="AV11" s="600">
        <v>4.2895110316524786E-2</v>
      </c>
      <c r="AW11" s="601">
        <v>0.53726587187797814</v>
      </c>
      <c r="AX11" s="601">
        <v>0.20957623969348474</v>
      </c>
      <c r="AY11" s="600">
        <f t="shared" ref="AY11:AY18" si="0">SUM(AT11:AX11)</f>
        <v>0.99999999999999989</v>
      </c>
      <c r="BB11" s="541" t="s">
        <v>1649</v>
      </c>
      <c r="BC11" s="541">
        <f t="shared" ref="BC11:BL18" si="1">VLOOKUP(BC$10,Cum_Disc_AltCosts,2,FALSE)*VLOOKUP($BB11,loadshapes,2,FALSE)+
VLOOKUP(BC$10,Cum_Disc_AltCosts,3,FALSE)*VLOOKUP($BB11,loadshapes,3,FALSE)+
VLOOKUP(BC$10,Cum_Disc_AltCosts,4,FALSE)*VLOOKUP($BB11,loadshapes,4,FALSE)+
VLOOKUP(BC$10,Cum_Disc_AltCosts,5,FALSE)*VLOOKUP($BB11,loadshapes,5,FALSE)+
VLOOKUP(BC$10,Cum_Disc_AltCosts,6,FALSE)*VLOOKUP($BB11,loadshapes,6,FALSE)</f>
        <v>6.1567174885840639E-2</v>
      </c>
      <c r="BD11" s="541">
        <f t="shared" si="1"/>
        <v>0.11774754387882741</v>
      </c>
      <c r="BE11" s="541">
        <f t="shared" si="1"/>
        <v>0.16984754429277416</v>
      </c>
      <c r="BF11" s="541">
        <f t="shared" si="1"/>
        <v>0.21570815741812394</v>
      </c>
      <c r="BG11" s="541">
        <f t="shared" si="1"/>
        <v>0.25987127885573091</v>
      </c>
      <c r="BH11" s="541">
        <f t="shared" si="1"/>
        <v>0.30192607438087016</v>
      </c>
      <c r="BI11" s="541">
        <f t="shared" si="1"/>
        <v>0.3397033912101286</v>
      </c>
      <c r="BJ11" s="541">
        <f t="shared" si="1"/>
        <v>0.37588425004129555</v>
      </c>
      <c r="BK11" s="541">
        <f t="shared" si="1"/>
        <v>0.41029904414455354</v>
      </c>
      <c r="BL11" s="541">
        <f t="shared" si="1"/>
        <v>0.44191230533631859</v>
      </c>
      <c r="BM11" s="541">
        <f t="shared" ref="BM11:BV18" si="2">VLOOKUP(BM$10,Cum_Disc_AltCosts,2,FALSE)*VLOOKUP($BB11,loadshapes,2,FALSE)+
VLOOKUP(BM$10,Cum_Disc_AltCosts,3,FALSE)*VLOOKUP($BB11,loadshapes,3,FALSE)+
VLOOKUP(BM$10,Cum_Disc_AltCosts,4,FALSE)*VLOOKUP($BB11,loadshapes,4,FALSE)+
VLOOKUP(BM$10,Cum_Disc_AltCosts,5,FALSE)*VLOOKUP($BB11,loadshapes,5,FALSE)+
VLOOKUP(BM$10,Cum_Disc_AltCosts,6,FALSE)*VLOOKUP($BB11,loadshapes,6,FALSE)</f>
        <v>0.47204899072121553</v>
      </c>
      <c r="BN11" s="541">
        <f t="shared" si="2"/>
        <v>0.50063476902293125</v>
      </c>
      <c r="BO11" s="541">
        <f t="shared" si="2"/>
        <v>0.5281379398620929</v>
      </c>
      <c r="BP11" s="541">
        <f t="shared" si="2"/>
        <v>0.55160500289950631</v>
      </c>
      <c r="BQ11" s="541">
        <f t="shared" si="2"/>
        <v>0.57432111168542443</v>
      </c>
      <c r="BR11" s="541">
        <f t="shared" si="2"/>
        <v>0.59582113197981978</v>
      </c>
      <c r="BS11" s="541">
        <f t="shared" si="2"/>
        <v>0.61589690145930864</v>
      </c>
      <c r="BT11" s="541">
        <f t="shared" si="2"/>
        <v>0.63502236232791098</v>
      </c>
      <c r="BU11" s="541">
        <f t="shared" si="2"/>
        <v>0.65314835416297679</v>
      </c>
      <c r="BV11" s="541">
        <f t="shared" si="2"/>
        <v>0.67015824769466281</v>
      </c>
      <c r="BW11" s="541">
        <f t="shared" ref="BW11:CF18" si="3">VLOOKUP(BW$10,Cum_Disc_AltCosts,2,FALSE)*VLOOKUP($BB11,loadshapes,2,FALSE)+
VLOOKUP(BW$10,Cum_Disc_AltCosts,3,FALSE)*VLOOKUP($BB11,loadshapes,3,FALSE)+
VLOOKUP(BW$10,Cum_Disc_AltCosts,4,FALSE)*VLOOKUP($BB11,loadshapes,4,FALSE)+
VLOOKUP(BW$10,Cum_Disc_AltCosts,5,FALSE)*VLOOKUP($BB11,loadshapes,5,FALSE)+
VLOOKUP(BW$10,Cum_Disc_AltCosts,6,FALSE)*VLOOKUP($BB11,loadshapes,6,FALSE)</f>
        <v>0.68636389579149593</v>
      </c>
      <c r="BX11" s="541">
        <f t="shared" si="3"/>
        <v>0.70172908983333238</v>
      </c>
      <c r="BY11" s="541">
        <f t="shared" si="3"/>
        <v>0.71629904231668173</v>
      </c>
      <c r="BZ11" s="541">
        <f t="shared" si="3"/>
        <v>0.73018231041561321</v>
      </c>
      <c r="CA11" s="541">
        <f t="shared" si="3"/>
        <v>0.7432278309124023</v>
      </c>
      <c r="CB11" s="541">
        <f t="shared" si="3"/>
        <v>0.75565879724671703</v>
      </c>
      <c r="CC11" s="541">
        <f t="shared" si="3"/>
        <v>0.76745153271633515</v>
      </c>
      <c r="CD11" s="541">
        <f t="shared" si="3"/>
        <v>0.77863999853683907</v>
      </c>
      <c r="CE11" s="541">
        <f t="shared" si="3"/>
        <v>0.78930298165815738</v>
      </c>
      <c r="CF11" s="541">
        <f t="shared" si="3"/>
        <v>0.79942099108394316</v>
      </c>
      <c r="CG11" s="541">
        <f t="shared" ref="CG11:CU18" si="4">VLOOKUP(CG$10,Cum_Disc_AltCosts,2,FALSE)*VLOOKUP($BB11,loadshapes,2,FALSE)+
VLOOKUP(CG$10,Cum_Disc_AltCosts,3,FALSE)*VLOOKUP($BB11,loadshapes,3,FALSE)+
VLOOKUP(CG$10,Cum_Disc_AltCosts,4,FALSE)*VLOOKUP($BB11,loadshapes,4,FALSE)+
VLOOKUP(CG$10,Cum_Disc_AltCosts,5,FALSE)*VLOOKUP($BB11,loadshapes,5,FALSE)+
VLOOKUP(CG$10,Cum_Disc_AltCosts,6,FALSE)*VLOOKUP($BB11,loadshapes,6,FALSE)</f>
        <v>0.80894271361644388</v>
      </c>
      <c r="CH11" s="541">
        <f t="shared" si="4"/>
        <v>0.81801775655941678</v>
      </c>
      <c r="CI11" s="541">
        <f t="shared" si="4"/>
        <v>0.82663224516645206</v>
      </c>
      <c r="CJ11" s="541">
        <f t="shared" si="4"/>
        <v>0.83481037301755689</v>
      </c>
      <c r="CK11" s="541">
        <f t="shared" si="4"/>
        <v>0.84260592557965408</v>
      </c>
      <c r="CL11" s="541">
        <f t="shared" si="4"/>
        <v>0.85000756679195533</v>
      </c>
      <c r="CM11" s="541">
        <f t="shared" si="4"/>
        <v>0.85700895008302025</v>
      </c>
      <c r="CN11" s="541">
        <f t="shared" si="4"/>
        <v>0.8636582793842873</v>
      </c>
      <c r="CO11" s="541">
        <f t="shared" si="4"/>
        <v>0.86997385629748858</v>
      </c>
      <c r="CP11" s="541">
        <f t="shared" si="4"/>
        <v>0.87597299537818019</v>
      </c>
      <c r="CQ11" s="541" t="e">
        <f t="shared" si="4"/>
        <v>#N/A</v>
      </c>
      <c r="CR11" s="541" t="e">
        <f t="shared" si="4"/>
        <v>#N/A</v>
      </c>
      <c r="CS11" s="541" t="e">
        <f t="shared" si="4"/>
        <v>#N/A</v>
      </c>
      <c r="CT11" s="541" t="e">
        <f t="shared" si="4"/>
        <v>#N/A</v>
      </c>
      <c r="CU11" s="541" t="e">
        <f t="shared" si="4"/>
        <v>#N/A</v>
      </c>
    </row>
    <row r="12" spans="1:99" ht="15">
      <c r="A12" s="541">
        <v>2011</v>
      </c>
      <c r="B12" s="541">
        <f>IF($A12-$F$3&lt;0,0,IF($A12-$F$3=0,1,$A12-$F$3+1))</f>
        <v>0</v>
      </c>
      <c r="C12" s="574"/>
      <c r="D12" s="575"/>
      <c r="E12" s="575"/>
      <c r="F12" s="575"/>
      <c r="G12" s="575"/>
      <c r="H12" s="576"/>
      <c r="J12" s="656"/>
      <c r="K12" s="657">
        <v>585</v>
      </c>
      <c r="O12" s="541">
        <v>2011</v>
      </c>
      <c r="P12" s="903">
        <f t="shared" ref="P12:T19" si="5">C12+$M12</f>
        <v>0</v>
      </c>
      <c r="Q12" s="904">
        <f t="shared" si="5"/>
        <v>0</v>
      </c>
      <c r="R12" s="904">
        <f t="shared" si="5"/>
        <v>0</v>
      </c>
      <c r="S12" s="541">
        <f t="shared" si="5"/>
        <v>0</v>
      </c>
      <c r="T12" s="541">
        <f t="shared" si="5"/>
        <v>0</v>
      </c>
      <c r="V12" s="577">
        <v>2011</v>
      </c>
      <c r="W12" s="578">
        <f>(P12+J12)*(1+$C$6)</f>
        <v>0</v>
      </c>
      <c r="X12" s="578">
        <f>Q12*(1+$C$5)</f>
        <v>0</v>
      </c>
      <c r="Y12" s="578">
        <f>R12*(1+$C$5)</f>
        <v>0</v>
      </c>
      <c r="Z12" s="578">
        <f>S12*(1+$C$5)</f>
        <v>0</v>
      </c>
      <c r="AA12" s="578">
        <f>T12*(1+$C$5)</f>
        <v>0</v>
      </c>
      <c r="AC12" s="577">
        <v>2011</v>
      </c>
      <c r="AD12" s="578">
        <f>IF($B12=0,0,(W12/(((1+$C$3)^($B12-1))*((1+$C$3)^0.5))))</f>
        <v>0</v>
      </c>
      <c r="AE12" s="578">
        <f>IF($B12=0,0,(X12/(((1+$C$3)^($B12-1))*((1+$C$3)^0.5))))</f>
        <v>0</v>
      </c>
      <c r="AF12" s="578">
        <f>IF($B12=0,0,(Y12/(((1+$C$3)^($B12-1))*((1+$C$3)^0.5))))</f>
        <v>0</v>
      </c>
      <c r="AG12" s="578">
        <f>IF($B12=0,0,(Z12/(((1+$C$3)^($B12-1))*((1+$C$3)^0.5))))</f>
        <v>0</v>
      </c>
      <c r="AH12" s="578">
        <f>IF($B12=0,0,(AA12/(((1+$C$3)^($B12-1))*((1+$C$3)^0.5))))</f>
        <v>0</v>
      </c>
      <c r="AJ12" s="579">
        <v>2011</v>
      </c>
      <c r="AK12" s="580">
        <f t="shared" ref="AK12:AK43" si="6">B12</f>
        <v>0</v>
      </c>
      <c r="AL12" s="578">
        <f>AD12</f>
        <v>0</v>
      </c>
      <c r="AM12" s="578">
        <f>AE12</f>
        <v>0</v>
      </c>
      <c r="AN12" s="578">
        <f>AF12</f>
        <v>0</v>
      </c>
      <c r="AO12" s="578">
        <f>AG12</f>
        <v>0</v>
      </c>
      <c r="AP12" s="581">
        <f>AH12</f>
        <v>0</v>
      </c>
      <c r="AQ12" s="582"/>
      <c r="AS12" s="541" t="s">
        <v>1650</v>
      </c>
      <c r="AT12" s="600">
        <v>6.5334689398099444E-2</v>
      </c>
      <c r="AU12" s="600">
        <v>0.1157505247171192</v>
      </c>
      <c r="AV12" s="600">
        <v>8.0221332397661479E-2</v>
      </c>
      <c r="AW12" s="601">
        <v>0.42706511461628893</v>
      </c>
      <c r="AX12" s="601">
        <v>0.3116283388708273</v>
      </c>
      <c r="AY12" s="600">
        <f t="shared" si="0"/>
        <v>0.99999999999999634</v>
      </c>
      <c r="BB12" s="541" t="s">
        <v>1650</v>
      </c>
      <c r="BC12" s="541">
        <f t="shared" si="1"/>
        <v>5.7810513030532383E-2</v>
      </c>
      <c r="BD12" s="541">
        <f t="shared" si="1"/>
        <v>0.11057822288604716</v>
      </c>
      <c r="BE12" s="541">
        <f t="shared" si="1"/>
        <v>0.15953026948519125</v>
      </c>
      <c r="BF12" s="541">
        <f t="shared" si="1"/>
        <v>0.20263271542595121</v>
      </c>
      <c r="BG12" s="541">
        <f t="shared" si="1"/>
        <v>0.24431828002577655</v>
      </c>
      <c r="BH12" s="541">
        <f t="shared" si="1"/>
        <v>0.28416111319912069</v>
      </c>
      <c r="BI12" s="541">
        <f t="shared" si="1"/>
        <v>0.32008127284063637</v>
      </c>
      <c r="BJ12" s="541">
        <f t="shared" si="1"/>
        <v>0.35452177289536368</v>
      </c>
      <c r="BK12" s="541">
        <f t="shared" si="1"/>
        <v>0.38738027275223652</v>
      </c>
      <c r="BL12" s="541">
        <f t="shared" si="1"/>
        <v>0.41772539865456781</v>
      </c>
      <c r="BM12" s="541">
        <f t="shared" si="2"/>
        <v>0.44669265136444097</v>
      </c>
      <c r="BN12" s="541">
        <f t="shared" si="2"/>
        <v>0.47422624862780927</v>
      </c>
      <c r="BO12" s="541">
        <f t="shared" si="2"/>
        <v>0.50066994428885891</v>
      </c>
      <c r="BP12" s="541">
        <f t="shared" si="2"/>
        <v>0.52327705732180196</v>
      </c>
      <c r="BQ12" s="541">
        <f t="shared" si="2"/>
        <v>0.54523910829894084</v>
      </c>
      <c r="BR12" s="541">
        <f t="shared" si="2"/>
        <v>0.56600433507935433</v>
      </c>
      <c r="BS12" s="541">
        <f t="shared" si="2"/>
        <v>0.5854229059565963</v>
      </c>
      <c r="BT12" s="541">
        <f t="shared" si="2"/>
        <v>0.60392756877633513</v>
      </c>
      <c r="BU12" s="541">
        <f t="shared" si="2"/>
        <v>0.62148088866240525</v>
      </c>
      <c r="BV12" s="541">
        <f t="shared" si="2"/>
        <v>0.63798756448867866</v>
      </c>
      <c r="BW12" s="541">
        <f t="shared" si="3"/>
        <v>0.65371828780667929</v>
      </c>
      <c r="BX12" s="541">
        <f t="shared" si="3"/>
        <v>0.66864610194305008</v>
      </c>
      <c r="BY12" s="541">
        <f t="shared" si="3"/>
        <v>0.68281345490106227</v>
      </c>
      <c r="BZ12" s="541">
        <f t="shared" si="3"/>
        <v>0.69631675894751988</v>
      </c>
      <c r="CA12" s="541">
        <f t="shared" si="3"/>
        <v>0.70903038589905887</v>
      </c>
      <c r="CB12" s="541">
        <f t="shared" si="3"/>
        <v>0.72114839852336265</v>
      </c>
      <c r="CC12" s="541">
        <f t="shared" si="3"/>
        <v>0.73265373015377044</v>
      </c>
      <c r="CD12" s="541">
        <f t="shared" si="3"/>
        <v>0.74357843009950508</v>
      </c>
      <c r="CE12" s="541">
        <f t="shared" si="3"/>
        <v>0.75399272051073984</v>
      </c>
      <c r="CF12" s="541">
        <f t="shared" si="3"/>
        <v>0.76388270322887175</v>
      </c>
      <c r="CG12" s="541">
        <f t="shared" si="4"/>
        <v>0.77320716004845802</v>
      </c>
      <c r="CH12" s="541">
        <f t="shared" si="4"/>
        <v>0.78209646488480089</v>
      </c>
      <c r="CI12" s="541">
        <f t="shared" si="4"/>
        <v>0.79054116338114733</v>
      </c>
      <c r="CJ12" s="541">
        <f t="shared" si="4"/>
        <v>0.79856422699726171</v>
      </c>
      <c r="CK12" s="541">
        <f t="shared" si="4"/>
        <v>0.80621381374008605</v>
      </c>
      <c r="CL12" s="541">
        <f t="shared" si="4"/>
        <v>0.8134823288272196</v>
      </c>
      <c r="CM12" s="541">
        <f t="shared" si="4"/>
        <v>0.82036634740581682</v>
      </c>
      <c r="CN12" s="541">
        <f t="shared" si="4"/>
        <v>0.82690897462670132</v>
      </c>
      <c r="CO12" s="541">
        <f t="shared" si="4"/>
        <v>0.83312767460753512</v>
      </c>
      <c r="CP12" s="541">
        <f t="shared" si="4"/>
        <v>0.83903898587925074</v>
      </c>
      <c r="CQ12" s="541" t="e">
        <f t="shared" si="4"/>
        <v>#N/A</v>
      </c>
      <c r="CR12" s="541" t="e">
        <f t="shared" si="4"/>
        <v>#N/A</v>
      </c>
      <c r="CS12" s="541" t="e">
        <f t="shared" si="4"/>
        <v>#N/A</v>
      </c>
      <c r="CT12" s="541" t="e">
        <f t="shared" si="4"/>
        <v>#N/A</v>
      </c>
      <c r="CU12" s="541" t="e">
        <f t="shared" si="4"/>
        <v>#N/A</v>
      </c>
    </row>
    <row r="13" spans="1:99" ht="15">
      <c r="A13" s="541">
        <v>2012</v>
      </c>
      <c r="B13" s="541">
        <f t="shared" ref="B13:B64" si="7">IF($A13-$F$3&lt;0,0,IF($A13-$F$3=0,1,$A13-$F$3+1))</f>
        <v>0</v>
      </c>
      <c r="C13" s="574"/>
      <c r="D13" s="575"/>
      <c r="E13" s="575"/>
      <c r="F13" s="575"/>
      <c r="G13" s="575"/>
      <c r="H13" s="576"/>
      <c r="J13" s="656"/>
      <c r="K13" s="657">
        <v>585</v>
      </c>
      <c r="O13" s="541">
        <v>2012</v>
      </c>
      <c r="P13" s="903">
        <f t="shared" si="5"/>
        <v>0</v>
      </c>
      <c r="Q13" s="904">
        <f t="shared" si="5"/>
        <v>0</v>
      </c>
      <c r="R13" s="904">
        <f t="shared" si="5"/>
        <v>0</v>
      </c>
      <c r="S13" s="541">
        <f t="shared" si="5"/>
        <v>0</v>
      </c>
      <c r="T13" s="541">
        <f t="shared" si="5"/>
        <v>0</v>
      </c>
      <c r="V13" s="577">
        <v>2012</v>
      </c>
      <c r="W13" s="578">
        <f t="shared" ref="W13:W64" si="8">(P13+J13)*(1+$C$6)</f>
        <v>0</v>
      </c>
      <c r="X13" s="578">
        <f t="shared" ref="X13:X64" si="9">Q13*(1+$C$5)</f>
        <v>0</v>
      </c>
      <c r="Y13" s="578">
        <f t="shared" ref="Y13:Y64" si="10">R13*(1+$C$5)</f>
        <v>0</v>
      </c>
      <c r="Z13" s="578">
        <f t="shared" ref="Z13:Z64" si="11">S13*(1+$C$5)</f>
        <v>0</v>
      </c>
      <c r="AA13" s="578">
        <f t="shared" ref="AA13:AA64" si="12">T13*(1+$C$5)</f>
        <v>0</v>
      </c>
      <c r="AC13" s="577">
        <v>2012</v>
      </c>
      <c r="AD13" s="578">
        <f t="shared" ref="AD13:AD64" si="13">IF($B13=0,0,(W13/(((1+$C$3)^($B13-1))*((1+$C$3)^0.5))))</f>
        <v>0</v>
      </c>
      <c r="AE13" s="578">
        <f t="shared" ref="AE13:AE64" si="14">IF($B13=0,0,(X13/(((1+$C$3)^($B13-1))*((1+$C$3)^0.5))))</f>
        <v>0</v>
      </c>
      <c r="AF13" s="578">
        <f t="shared" ref="AF13:AF64" si="15">IF($B13=0,0,(Y13/(((1+$C$3)^($B13-1))*((1+$C$3)^0.5))))</f>
        <v>0</v>
      </c>
      <c r="AG13" s="578">
        <f t="shared" ref="AG13:AG64" si="16">IF($B13=0,0,(Z13/(((1+$C$3)^($B13-1))*((1+$C$3)^0.5))))</f>
        <v>0</v>
      </c>
      <c r="AH13" s="578">
        <f t="shared" ref="AH13:AH64" si="17">IF($B13=0,0,(AA13/(((1+$C$3)^($B13-1))*((1+$C$3)^0.5))))</f>
        <v>0</v>
      </c>
      <c r="AJ13" s="579">
        <v>2012</v>
      </c>
      <c r="AK13" s="580">
        <f t="shared" si="6"/>
        <v>0</v>
      </c>
      <c r="AL13" s="578">
        <f t="shared" ref="AL13:AP28" si="18">AD13+AL12</f>
        <v>0</v>
      </c>
      <c r="AM13" s="578">
        <f t="shared" si="18"/>
        <v>0</v>
      </c>
      <c r="AN13" s="578">
        <f t="shared" si="18"/>
        <v>0</v>
      </c>
      <c r="AO13" s="578">
        <f t="shared" si="18"/>
        <v>0</v>
      </c>
      <c r="AP13" s="581">
        <f t="shared" si="18"/>
        <v>0</v>
      </c>
      <c r="AQ13" s="582"/>
      <c r="AS13" s="541" t="s">
        <v>1978</v>
      </c>
      <c r="AT13" s="600">
        <v>8.207360948475273E-2</v>
      </c>
      <c r="AU13" s="600">
        <v>5.3489236842636373E-2</v>
      </c>
      <c r="AV13" s="600">
        <v>9.4431046622843476E-2</v>
      </c>
      <c r="AW13" s="601">
        <v>0.28157209777795644</v>
      </c>
      <c r="AX13" s="601">
        <v>0.48843400927181096</v>
      </c>
      <c r="AY13" s="600">
        <f t="shared" si="0"/>
        <v>1</v>
      </c>
      <c r="BB13" s="541" t="s">
        <v>1978</v>
      </c>
      <c r="BC13" s="541">
        <f t="shared" si="1"/>
        <v>6.1961746100603496E-2</v>
      </c>
      <c r="BD13" s="541">
        <f t="shared" si="1"/>
        <v>0.1186691979819022</v>
      </c>
      <c r="BE13" s="541">
        <f t="shared" si="1"/>
        <v>0.17125977484342142</v>
      </c>
      <c r="BF13" s="541">
        <f t="shared" si="1"/>
        <v>0.21830280669500529</v>
      </c>
      <c r="BG13" s="541">
        <f t="shared" si="1"/>
        <v>0.26387943281444221</v>
      </c>
      <c r="BH13" s="541">
        <f t="shared" si="1"/>
        <v>0.30754186541380624</v>
      </c>
      <c r="BI13" s="541">
        <f t="shared" si="1"/>
        <v>0.34758948180972737</v>
      </c>
      <c r="BJ13" s="541">
        <f t="shared" si="1"/>
        <v>0.38588321278797733</v>
      </c>
      <c r="BK13" s="541">
        <f t="shared" si="1"/>
        <v>0.422374286294878</v>
      </c>
      <c r="BL13" s="541">
        <f t="shared" si="1"/>
        <v>0.45645952079064989</v>
      </c>
      <c r="BM13" s="541">
        <f t="shared" si="2"/>
        <v>0.48892708888399045</v>
      </c>
      <c r="BN13" s="541">
        <f t="shared" si="2"/>
        <v>0.51972970681876329</v>
      </c>
      <c r="BO13" s="541">
        <f t="shared" si="2"/>
        <v>0.5491384038229854</v>
      </c>
      <c r="BP13" s="541">
        <f t="shared" si="2"/>
        <v>0.57453194951766395</v>
      </c>
      <c r="BQ13" s="541">
        <f t="shared" si="2"/>
        <v>0.59918778227293601</v>
      </c>
      <c r="BR13" s="541">
        <f t="shared" si="2"/>
        <v>0.62239433323407678</v>
      </c>
      <c r="BS13" s="541">
        <f t="shared" si="2"/>
        <v>0.64411457555478824</v>
      </c>
      <c r="BT13" s="541">
        <f t="shared" si="2"/>
        <v>0.66480705797356177</v>
      </c>
      <c r="BU13" s="541">
        <f t="shared" si="2"/>
        <v>0.68441934192753917</v>
      </c>
      <c r="BV13" s="541">
        <f t="shared" si="2"/>
        <v>0.70282654067228478</v>
      </c>
      <c r="BW13" s="541">
        <f t="shared" si="3"/>
        <v>0.72036376102775757</v>
      </c>
      <c r="BX13" s="541">
        <f t="shared" si="3"/>
        <v>0.73699242545678989</v>
      </c>
      <c r="BY13" s="541">
        <f t="shared" si="3"/>
        <v>0.7527613548949863</v>
      </c>
      <c r="BZ13" s="541">
        <f t="shared" si="3"/>
        <v>0.76778736291772565</v>
      </c>
      <c r="CA13" s="541">
        <f t="shared" si="3"/>
        <v>0.78190852877363781</v>
      </c>
      <c r="CB13" s="541">
        <f t="shared" si="3"/>
        <v>0.79536471309688017</v>
      </c>
      <c r="CC13" s="541">
        <f t="shared" si="3"/>
        <v>0.80813073162231852</v>
      </c>
      <c r="CD13" s="541">
        <f t="shared" si="3"/>
        <v>0.82024326821784155</v>
      </c>
      <c r="CE13" s="541">
        <f t="shared" si="3"/>
        <v>0.83178712050682346</v>
      </c>
      <c r="CF13" s="541">
        <f t="shared" si="3"/>
        <v>0.84274156764891672</v>
      </c>
      <c r="CG13" s="541">
        <f t="shared" si="4"/>
        <v>0.85305171606370855</v>
      </c>
      <c r="CH13" s="541">
        <f t="shared" si="4"/>
        <v>0.86287836681698959</v>
      </c>
      <c r="CI13" s="541">
        <f t="shared" si="4"/>
        <v>0.87220680219315661</v>
      </c>
      <c r="CJ13" s="541">
        <f t="shared" si="4"/>
        <v>0.88106316571314469</v>
      </c>
      <c r="CK13" s="541">
        <f t="shared" si="4"/>
        <v>0.88950536239282207</v>
      </c>
      <c r="CL13" s="541">
        <f t="shared" si="4"/>
        <v>0.89752137704105617</v>
      </c>
      <c r="CM13" s="541">
        <f t="shared" si="4"/>
        <v>0.9051045440912443</v>
      </c>
      <c r="CN13" s="541">
        <f t="shared" si="4"/>
        <v>0.91230675542811845</v>
      </c>
      <c r="CO13" s="541">
        <f t="shared" si="4"/>
        <v>0.91914779415574688</v>
      </c>
      <c r="CP13" s="541">
        <f t="shared" si="4"/>
        <v>0.92564637763715529</v>
      </c>
      <c r="CQ13" s="541" t="e">
        <f t="shared" si="4"/>
        <v>#N/A</v>
      </c>
      <c r="CR13" s="541" t="e">
        <f t="shared" si="4"/>
        <v>#N/A</v>
      </c>
      <c r="CS13" s="541" t="e">
        <f t="shared" si="4"/>
        <v>#N/A</v>
      </c>
      <c r="CT13" s="541" t="e">
        <f t="shared" si="4"/>
        <v>#N/A</v>
      </c>
      <c r="CU13" s="541" t="e">
        <f t="shared" si="4"/>
        <v>#N/A</v>
      </c>
    </row>
    <row r="14" spans="1:99" ht="15">
      <c r="A14" s="541">
        <v>2013</v>
      </c>
      <c r="B14" s="541">
        <f t="shared" si="7"/>
        <v>0</v>
      </c>
      <c r="C14" s="574"/>
      <c r="D14" s="575"/>
      <c r="E14" s="575"/>
      <c r="F14" s="575"/>
      <c r="G14" s="575"/>
      <c r="H14" s="583"/>
      <c r="J14" s="656"/>
      <c r="K14" s="657">
        <v>576</v>
      </c>
      <c r="O14" s="541">
        <v>2013</v>
      </c>
      <c r="P14" s="903">
        <f t="shared" si="5"/>
        <v>0</v>
      </c>
      <c r="Q14" s="904">
        <f t="shared" si="5"/>
        <v>0</v>
      </c>
      <c r="R14" s="904">
        <f t="shared" si="5"/>
        <v>0</v>
      </c>
      <c r="S14" s="541">
        <f t="shared" si="5"/>
        <v>0</v>
      </c>
      <c r="T14" s="541">
        <f t="shared" si="5"/>
        <v>0</v>
      </c>
      <c r="V14" s="577">
        <v>2013</v>
      </c>
      <c r="W14" s="578">
        <f t="shared" si="8"/>
        <v>0</v>
      </c>
      <c r="X14" s="578">
        <f t="shared" si="9"/>
        <v>0</v>
      </c>
      <c r="Y14" s="578">
        <f t="shared" si="10"/>
        <v>0</v>
      </c>
      <c r="Z14" s="578">
        <f t="shared" si="11"/>
        <v>0</v>
      </c>
      <c r="AA14" s="578">
        <f t="shared" si="12"/>
        <v>0</v>
      </c>
      <c r="AC14" s="577">
        <v>2013</v>
      </c>
      <c r="AD14" s="578">
        <f t="shared" si="13"/>
        <v>0</v>
      </c>
      <c r="AE14" s="578">
        <f t="shared" si="14"/>
        <v>0</v>
      </c>
      <c r="AF14" s="578">
        <f t="shared" si="15"/>
        <v>0</v>
      </c>
      <c r="AG14" s="578">
        <f t="shared" si="16"/>
        <v>0</v>
      </c>
      <c r="AH14" s="578">
        <f t="shared" si="17"/>
        <v>0</v>
      </c>
      <c r="AJ14" s="579">
        <v>2013</v>
      </c>
      <c r="AK14" s="580">
        <f t="shared" si="6"/>
        <v>0</v>
      </c>
      <c r="AL14" s="578">
        <f t="shared" si="18"/>
        <v>0</v>
      </c>
      <c r="AM14" s="578">
        <f t="shared" si="18"/>
        <v>0</v>
      </c>
      <c r="AN14" s="578">
        <f t="shared" si="18"/>
        <v>0</v>
      </c>
      <c r="AO14" s="578">
        <f t="shared" si="18"/>
        <v>0</v>
      </c>
      <c r="AP14" s="581">
        <f t="shared" si="18"/>
        <v>0</v>
      </c>
      <c r="AQ14" s="582"/>
      <c r="AS14" s="541" t="s">
        <v>1979</v>
      </c>
      <c r="AT14" s="600">
        <v>5.8634042424717633E-2</v>
      </c>
      <c r="AU14" s="600">
        <v>8.1691588800119661E-2</v>
      </c>
      <c r="AV14" s="600">
        <v>0.11052991967188934</v>
      </c>
      <c r="AW14" s="601">
        <v>0.54716675701075168</v>
      </c>
      <c r="AX14" s="601">
        <v>0.2019776920925217</v>
      </c>
      <c r="AY14" s="600">
        <f t="shared" si="0"/>
        <v>1</v>
      </c>
      <c r="BB14" s="541" t="s">
        <v>1979</v>
      </c>
      <c r="BC14" s="541">
        <f t="shared" si="1"/>
        <v>5.5945548099229754E-2</v>
      </c>
      <c r="BD14" s="541">
        <f t="shared" si="1"/>
        <v>0.10690958411297083</v>
      </c>
      <c r="BE14" s="541">
        <f t="shared" si="1"/>
        <v>0.1541904838881705</v>
      </c>
      <c r="BF14" s="541">
        <f t="shared" si="1"/>
        <v>0.19549282155545947</v>
      </c>
      <c r="BG14" s="541">
        <f t="shared" si="1"/>
        <v>0.23535428213260953</v>
      </c>
      <c r="BH14" s="541">
        <f t="shared" si="1"/>
        <v>0.27344789699153094</v>
      </c>
      <c r="BI14" s="541">
        <f t="shared" si="1"/>
        <v>0.30755294941475403</v>
      </c>
      <c r="BJ14" s="541">
        <f t="shared" si="1"/>
        <v>0.34032651802160468</v>
      </c>
      <c r="BK14" s="541">
        <f t="shared" si="1"/>
        <v>0.37161818359130488</v>
      </c>
      <c r="BL14" s="541">
        <f t="shared" si="1"/>
        <v>0.40038087468174666</v>
      </c>
      <c r="BM14" s="541">
        <f t="shared" si="2"/>
        <v>0.42784602667807514</v>
      </c>
      <c r="BN14" s="541">
        <f t="shared" si="2"/>
        <v>0.45397339027789663</v>
      </c>
      <c r="BO14" s="541">
        <f t="shared" si="2"/>
        <v>0.47920146711925271</v>
      </c>
      <c r="BP14" s="541">
        <f t="shared" si="2"/>
        <v>0.50064211941454717</v>
      </c>
      <c r="BQ14" s="541">
        <f t="shared" si="2"/>
        <v>0.52144880295185514</v>
      </c>
      <c r="BR14" s="541">
        <f t="shared" si="2"/>
        <v>0.54115928017108883</v>
      </c>
      <c r="BS14" s="541">
        <f t="shared" si="2"/>
        <v>0.55956878058388371</v>
      </c>
      <c r="BT14" s="541">
        <f t="shared" si="2"/>
        <v>0.57711389455251538</v>
      </c>
      <c r="BU14" s="541">
        <f t="shared" si="2"/>
        <v>0.59376301565778944</v>
      </c>
      <c r="BV14" s="541">
        <f t="shared" si="2"/>
        <v>0.60943251641765295</v>
      </c>
      <c r="BW14" s="541">
        <f t="shared" si="3"/>
        <v>0.62436714078164279</v>
      </c>
      <c r="BX14" s="541">
        <f t="shared" si="3"/>
        <v>0.63854442928539912</v>
      </c>
      <c r="BY14" s="541">
        <f t="shared" si="3"/>
        <v>0.65200413112227418</v>
      </c>
      <c r="BZ14" s="541">
        <f t="shared" si="3"/>
        <v>0.66483435078825093</v>
      </c>
      <c r="CA14" s="541">
        <f t="shared" si="3"/>
        <v>0.67692385342893369</v>
      </c>
      <c r="CB14" s="541">
        <f t="shared" si="3"/>
        <v>0.68844824012067896</v>
      </c>
      <c r="CC14" s="541">
        <f t="shared" si="3"/>
        <v>0.69939357083927112</v>
      </c>
      <c r="CD14" s="541">
        <f t="shared" si="3"/>
        <v>0.70978992233249139</v>
      </c>
      <c r="CE14" s="541">
        <f t="shared" si="3"/>
        <v>0.71970157008646696</v>
      </c>
      <c r="CF14" s="541">
        <f t="shared" si="3"/>
        <v>0.72911724007510803</v>
      </c>
      <c r="CG14" s="541">
        <f t="shared" si="4"/>
        <v>0.73800108619709126</v>
      </c>
      <c r="CH14" s="541">
        <f t="shared" si="4"/>
        <v>0.74647120467843109</v>
      </c>
      <c r="CI14" s="541">
        <f t="shared" si="4"/>
        <v>0.75452015489756308</v>
      </c>
      <c r="CJ14" s="541">
        <f t="shared" si="4"/>
        <v>0.76216954951584304</v>
      </c>
      <c r="CK14" s="541">
        <f t="shared" si="4"/>
        <v>0.76946355977290892</v>
      </c>
      <c r="CL14" s="541">
        <f t="shared" si="4"/>
        <v>0.77639627920977539</v>
      </c>
      <c r="CM14" s="541">
        <f t="shared" si="4"/>
        <v>0.78296550271393539</v>
      </c>
      <c r="CN14" s="541">
        <f t="shared" si="4"/>
        <v>0.78921074403659608</v>
      </c>
      <c r="CO14" s="541">
        <f t="shared" si="4"/>
        <v>0.7951484682887765</v>
      </c>
      <c r="CP14" s="541">
        <f t="shared" si="4"/>
        <v>0.80079427428063366</v>
      </c>
      <c r="CQ14" s="541" t="e">
        <f t="shared" si="4"/>
        <v>#N/A</v>
      </c>
      <c r="CR14" s="541" t="e">
        <f t="shared" si="4"/>
        <v>#N/A</v>
      </c>
      <c r="CS14" s="541" t="e">
        <f t="shared" si="4"/>
        <v>#N/A</v>
      </c>
      <c r="CT14" s="541" t="e">
        <f t="shared" si="4"/>
        <v>#N/A</v>
      </c>
      <c r="CU14" s="541" t="e">
        <f t="shared" si="4"/>
        <v>#N/A</v>
      </c>
    </row>
    <row r="15" spans="1:99" ht="15">
      <c r="A15" s="541">
        <v>2014</v>
      </c>
      <c r="B15" s="541">
        <f t="shared" si="7"/>
        <v>0</v>
      </c>
      <c r="C15" s="574"/>
      <c r="D15" s="575"/>
      <c r="E15" s="575"/>
      <c r="F15" s="575"/>
      <c r="G15" s="575"/>
      <c r="H15" s="583"/>
      <c r="J15" s="656"/>
      <c r="K15" s="657">
        <v>576</v>
      </c>
      <c r="O15" s="541">
        <v>2014</v>
      </c>
      <c r="P15" s="903">
        <f t="shared" si="5"/>
        <v>0</v>
      </c>
      <c r="Q15" s="904">
        <f t="shared" si="5"/>
        <v>0</v>
      </c>
      <c r="R15" s="904">
        <f t="shared" si="5"/>
        <v>0</v>
      </c>
      <c r="S15" s="541">
        <f t="shared" si="5"/>
        <v>0</v>
      </c>
      <c r="T15" s="541">
        <f t="shared" si="5"/>
        <v>0</v>
      </c>
      <c r="V15" s="577">
        <v>2014</v>
      </c>
      <c r="W15" s="578">
        <f t="shared" si="8"/>
        <v>0</v>
      </c>
      <c r="X15" s="578">
        <f t="shared" si="9"/>
        <v>0</v>
      </c>
      <c r="Y15" s="578">
        <f t="shared" si="10"/>
        <v>0</v>
      </c>
      <c r="Z15" s="578">
        <f t="shared" si="11"/>
        <v>0</v>
      </c>
      <c r="AA15" s="578">
        <f t="shared" si="12"/>
        <v>0</v>
      </c>
      <c r="AC15" s="577">
        <v>2014</v>
      </c>
      <c r="AD15" s="578">
        <f t="shared" si="13"/>
        <v>0</v>
      </c>
      <c r="AE15" s="578">
        <f t="shared" si="14"/>
        <v>0</v>
      </c>
      <c r="AF15" s="578">
        <f t="shared" si="15"/>
        <v>0</v>
      </c>
      <c r="AG15" s="578">
        <f t="shared" si="16"/>
        <v>0</v>
      </c>
      <c r="AH15" s="578">
        <f t="shared" si="17"/>
        <v>0</v>
      </c>
      <c r="AJ15" s="579">
        <v>2014</v>
      </c>
      <c r="AK15" s="580">
        <f t="shared" si="6"/>
        <v>0</v>
      </c>
      <c r="AL15" s="578">
        <f t="shared" si="18"/>
        <v>0</v>
      </c>
      <c r="AM15" s="578">
        <f t="shared" si="18"/>
        <v>0</v>
      </c>
      <c r="AN15" s="578">
        <f t="shared" si="18"/>
        <v>0</v>
      </c>
      <c r="AO15" s="578">
        <f t="shared" si="18"/>
        <v>0</v>
      </c>
      <c r="AP15" s="581">
        <f t="shared" si="18"/>
        <v>0</v>
      </c>
      <c r="AS15" s="541" t="s">
        <v>761</v>
      </c>
      <c r="AT15" s="601">
        <v>7.9034811776632394E-2</v>
      </c>
      <c r="AU15" s="601">
        <v>0.12000063511792226</v>
      </c>
      <c r="AV15" s="601">
        <v>5.3606228466473477E-2</v>
      </c>
      <c r="AW15" s="601">
        <v>0.52342268617474241</v>
      </c>
      <c r="AX15" s="601">
        <v>0.22393563912471526</v>
      </c>
      <c r="AY15" s="600">
        <f t="shared" si="0"/>
        <v>1.0000000006604859</v>
      </c>
      <c r="BB15" s="541" t="s">
        <v>761</v>
      </c>
      <c r="BC15" s="541">
        <f t="shared" si="1"/>
        <v>6.2222339169838908E-2</v>
      </c>
      <c r="BD15" s="541">
        <f t="shared" si="1"/>
        <v>0.11902815893621707</v>
      </c>
      <c r="BE15" s="541">
        <f t="shared" si="1"/>
        <v>0.1716910791330388</v>
      </c>
      <c r="BF15" s="541">
        <f t="shared" si="1"/>
        <v>0.21814385335840039</v>
      </c>
      <c r="BG15" s="541">
        <f t="shared" si="1"/>
        <v>0.26287912508134209</v>
      </c>
      <c r="BH15" s="541">
        <f t="shared" si="1"/>
        <v>0.30548871128932287</v>
      </c>
      <c r="BI15" s="541">
        <f t="shared" si="1"/>
        <v>0.34385016769402837</v>
      </c>
      <c r="BJ15" s="541">
        <f t="shared" si="1"/>
        <v>0.38058396485166945</v>
      </c>
      <c r="BK15" s="541">
        <f t="shared" si="1"/>
        <v>0.41551633103873969</v>
      </c>
      <c r="BL15" s="541">
        <f t="shared" si="1"/>
        <v>0.44765521762164107</v>
      </c>
      <c r="BM15" s="541">
        <f t="shared" si="2"/>
        <v>0.47828323037834919</v>
      </c>
      <c r="BN15" s="541">
        <f t="shared" si="2"/>
        <v>0.50732208198982631</v>
      </c>
      <c r="BO15" s="541">
        <f t="shared" si="2"/>
        <v>0.53524552142660231</v>
      </c>
      <c r="BP15" s="541">
        <f t="shared" si="2"/>
        <v>0.55911168646174758</v>
      </c>
      <c r="BQ15" s="541">
        <f t="shared" si="2"/>
        <v>0.58220981309234143</v>
      </c>
      <c r="BR15" s="541">
        <f t="shared" si="2"/>
        <v>0.60406199416000206</v>
      </c>
      <c r="BS15" s="541">
        <f t="shared" si="2"/>
        <v>0.6244706608897419</v>
      </c>
      <c r="BT15" s="541">
        <f t="shared" si="2"/>
        <v>0.64391245090984661</v>
      </c>
      <c r="BU15" s="541">
        <f t="shared" si="2"/>
        <v>0.66233583994014567</v>
      </c>
      <c r="BV15" s="541">
        <f t="shared" si="2"/>
        <v>0.67961958415579948</v>
      </c>
      <c r="BW15" s="541">
        <f t="shared" si="3"/>
        <v>0.69608544605297229</v>
      </c>
      <c r="BX15" s="541">
        <f t="shared" si="3"/>
        <v>0.71169538169275615</v>
      </c>
      <c r="BY15" s="541">
        <f t="shared" si="3"/>
        <v>0.72649554991700416</v>
      </c>
      <c r="BZ15" s="541">
        <f t="shared" si="3"/>
        <v>0.7405976232100171</v>
      </c>
      <c r="CA15" s="541">
        <f t="shared" si="3"/>
        <v>0.75384489666219068</v>
      </c>
      <c r="CB15" s="541">
        <f t="shared" si="3"/>
        <v>0.76646760575080219</v>
      </c>
      <c r="CC15" s="541">
        <f t="shared" si="3"/>
        <v>0.77844078790184945</v>
      </c>
      <c r="CD15" s="541">
        <f t="shared" si="3"/>
        <v>0.78979908997159243</v>
      </c>
      <c r="CE15" s="541">
        <f t="shared" si="3"/>
        <v>0.80062352168952677</v>
      </c>
      <c r="CF15" s="541">
        <f t="shared" si="3"/>
        <v>0.81089351033956425</v>
      </c>
      <c r="CG15" s="541">
        <f t="shared" si="4"/>
        <v>0.82055560357640422</v>
      </c>
      <c r="CH15" s="541">
        <f t="shared" si="4"/>
        <v>0.82976408415047431</v>
      </c>
      <c r="CI15" s="541">
        <f t="shared" si="4"/>
        <v>0.83850424006685476</v>
      </c>
      <c r="CJ15" s="541">
        <f t="shared" si="4"/>
        <v>0.84680073193106087</v>
      </c>
      <c r="CK15" s="541">
        <f t="shared" si="4"/>
        <v>0.85470882903613188</v>
      </c>
      <c r="CL15" s="541">
        <f t="shared" si="4"/>
        <v>0.86221649141077006</v>
      </c>
      <c r="CM15" s="541">
        <f t="shared" si="4"/>
        <v>0.86931685176921636</v>
      </c>
      <c r="CN15" s="541">
        <f t="shared" si="4"/>
        <v>0.87605945235292393</v>
      </c>
      <c r="CO15" s="541">
        <f t="shared" si="4"/>
        <v>0.88246293473236392</v>
      </c>
      <c r="CP15" s="541">
        <f t="shared" si="4"/>
        <v>0.88854493260243417</v>
      </c>
      <c r="CQ15" s="541" t="e">
        <f t="shared" si="4"/>
        <v>#N/A</v>
      </c>
      <c r="CR15" s="541" t="e">
        <f t="shared" si="4"/>
        <v>#N/A</v>
      </c>
      <c r="CS15" s="541" t="e">
        <f t="shared" si="4"/>
        <v>#N/A</v>
      </c>
      <c r="CT15" s="541" t="e">
        <f t="shared" si="4"/>
        <v>#N/A</v>
      </c>
      <c r="CU15" s="541" t="e">
        <f t="shared" si="4"/>
        <v>#N/A</v>
      </c>
    </row>
    <row r="16" spans="1:99" ht="15">
      <c r="A16" s="541">
        <v>2015</v>
      </c>
      <c r="B16" s="541">
        <f>IF($A16-$F$3&lt;0,0,IF($A16-$F$3=0,1,$A16-$F$3+1))</f>
        <v>0</v>
      </c>
      <c r="C16" s="574"/>
      <c r="D16" s="575"/>
      <c r="E16" s="575"/>
      <c r="F16" s="575"/>
      <c r="G16" s="575"/>
      <c r="H16" s="583"/>
      <c r="J16" s="656"/>
      <c r="K16" s="657">
        <v>594</v>
      </c>
      <c r="O16" s="541">
        <v>2015</v>
      </c>
      <c r="P16" s="903">
        <f t="shared" si="5"/>
        <v>0</v>
      </c>
      <c r="Q16" s="904">
        <f t="shared" si="5"/>
        <v>0</v>
      </c>
      <c r="R16" s="904">
        <f t="shared" si="5"/>
        <v>0</v>
      </c>
      <c r="S16" s="541">
        <f t="shared" si="5"/>
        <v>0</v>
      </c>
      <c r="T16" s="541">
        <f t="shared" si="5"/>
        <v>0</v>
      </c>
      <c r="V16" s="577">
        <v>2015</v>
      </c>
      <c r="W16" s="578">
        <f t="shared" si="8"/>
        <v>0</v>
      </c>
      <c r="X16" s="578">
        <f t="shared" si="9"/>
        <v>0</v>
      </c>
      <c r="Y16" s="578">
        <f t="shared" si="10"/>
        <v>0</v>
      </c>
      <c r="Z16" s="578">
        <f t="shared" si="11"/>
        <v>0</v>
      </c>
      <c r="AA16" s="578">
        <f t="shared" si="12"/>
        <v>0</v>
      </c>
      <c r="AC16" s="577">
        <v>2015</v>
      </c>
      <c r="AD16" s="578">
        <f t="shared" si="13"/>
        <v>0</v>
      </c>
      <c r="AE16" s="578">
        <f t="shared" si="14"/>
        <v>0</v>
      </c>
      <c r="AF16" s="578">
        <f t="shared" si="15"/>
        <v>0</v>
      </c>
      <c r="AG16" s="578">
        <f t="shared" si="16"/>
        <v>0</v>
      </c>
      <c r="AH16" s="578">
        <f t="shared" si="17"/>
        <v>0</v>
      </c>
      <c r="AJ16" s="579">
        <v>2015</v>
      </c>
      <c r="AK16" s="580">
        <f t="shared" si="6"/>
        <v>0</v>
      </c>
      <c r="AL16" s="578">
        <f t="shared" si="18"/>
        <v>0</v>
      </c>
      <c r="AM16" s="578">
        <f t="shared" si="18"/>
        <v>0</v>
      </c>
      <c r="AN16" s="578">
        <f t="shared" si="18"/>
        <v>0</v>
      </c>
      <c r="AO16" s="578">
        <f t="shared" si="18"/>
        <v>0</v>
      </c>
      <c r="AP16" s="581">
        <f t="shared" si="18"/>
        <v>0</v>
      </c>
      <c r="AS16" s="541" t="s">
        <v>1425</v>
      </c>
      <c r="AT16" s="601">
        <v>7.1873768931212459E-2</v>
      </c>
      <c r="AU16" s="601">
        <v>0.1273589752621439</v>
      </c>
      <c r="AV16" s="601">
        <v>8.8497119943945629E-2</v>
      </c>
      <c r="AW16" s="601">
        <v>0.41526794566390018</v>
      </c>
      <c r="AX16" s="601">
        <v>0.29700218944189627</v>
      </c>
      <c r="AY16" s="600">
        <f t="shared" si="0"/>
        <v>0.99999999924309846</v>
      </c>
      <c r="BB16" s="541" t="s">
        <v>1425</v>
      </c>
      <c r="BC16" s="541">
        <f t="shared" si="1"/>
        <v>5.987242724334111E-2</v>
      </c>
      <c r="BD16" s="541">
        <f t="shared" si="1"/>
        <v>0.11460118504299462</v>
      </c>
      <c r="BE16" s="541">
        <f t="shared" si="1"/>
        <v>0.1653001751499783</v>
      </c>
      <c r="BF16" s="541">
        <f t="shared" si="1"/>
        <v>0.21005463993570064</v>
      </c>
      <c r="BG16" s="541">
        <f t="shared" si="1"/>
        <v>0.25328866813475781</v>
      </c>
      <c r="BH16" s="541">
        <f t="shared" si="1"/>
        <v>0.29453964322281317</v>
      </c>
      <c r="BI16" s="541">
        <f t="shared" si="1"/>
        <v>0.33173353490227792</v>
      </c>
      <c r="BJ16" s="541">
        <f t="shared" si="1"/>
        <v>0.36738016417358055</v>
      </c>
      <c r="BK16" s="541">
        <f t="shared" si="1"/>
        <v>0.40133573760576996</v>
      </c>
      <c r="BL16" s="541">
        <f t="shared" si="1"/>
        <v>0.43267710418846483</v>
      </c>
      <c r="BM16" s="541">
        <f t="shared" si="2"/>
        <v>0.46258459439347877</v>
      </c>
      <c r="BN16" s="541">
        <f t="shared" si="2"/>
        <v>0.49096286895850005</v>
      </c>
      <c r="BO16" s="541">
        <f t="shared" si="2"/>
        <v>0.51819834863712411</v>
      </c>
      <c r="BP16" s="541">
        <f t="shared" si="2"/>
        <v>0.54155318074508718</v>
      </c>
      <c r="BQ16" s="541">
        <f t="shared" si="2"/>
        <v>0.56422176183847472</v>
      </c>
      <c r="BR16" s="541">
        <f t="shared" si="2"/>
        <v>0.58567183223566521</v>
      </c>
      <c r="BS16" s="541">
        <f t="shared" si="2"/>
        <v>0.60574190003517392</v>
      </c>
      <c r="BT16" s="541">
        <f t="shared" si="2"/>
        <v>0.62486472691307504</v>
      </c>
      <c r="BU16" s="541">
        <f t="shared" si="2"/>
        <v>0.64299651536892533</v>
      </c>
      <c r="BV16" s="541">
        <f t="shared" si="2"/>
        <v>0.66002992776480007</v>
      </c>
      <c r="BW16" s="541">
        <f t="shared" si="3"/>
        <v>0.67626036224803832</v>
      </c>
      <c r="BX16" s="541">
        <f t="shared" si="3"/>
        <v>0.69165588571048653</v>
      </c>
      <c r="BY16" s="541">
        <f t="shared" si="3"/>
        <v>0.70626101867024071</v>
      </c>
      <c r="BZ16" s="541">
        <f t="shared" si="3"/>
        <v>0.72017974487820191</v>
      </c>
      <c r="CA16" s="541">
        <f t="shared" si="3"/>
        <v>0.73327187802566973</v>
      </c>
      <c r="CB16" s="541">
        <f t="shared" si="3"/>
        <v>0.74574900859937476</v>
      </c>
      <c r="CC16" s="541">
        <f t="shared" si="3"/>
        <v>0.75759055185555313</v>
      </c>
      <c r="CD16" s="541">
        <f t="shared" si="3"/>
        <v>0.76883003628248847</v>
      </c>
      <c r="CE16" s="541">
        <f t="shared" si="3"/>
        <v>0.77954306154781938</v>
      </c>
      <c r="CF16" s="541">
        <f t="shared" si="3"/>
        <v>0.78971276203231699</v>
      </c>
      <c r="CG16" s="541">
        <f t="shared" si="4"/>
        <v>0.79929228865355084</v>
      </c>
      <c r="CH16" s="541">
        <f t="shared" si="4"/>
        <v>0.808423626139958</v>
      </c>
      <c r="CI16" s="541">
        <f t="shared" si="4"/>
        <v>0.81709500080748243</v>
      </c>
      <c r="CJ16" s="541">
        <f t="shared" si="4"/>
        <v>0.82533037193825354</v>
      </c>
      <c r="CK16" s="541">
        <f t="shared" si="4"/>
        <v>0.83318146518261793</v>
      </c>
      <c r="CL16" s="541">
        <f t="shared" si="4"/>
        <v>0.84063872968339537</v>
      </c>
      <c r="CM16" s="541">
        <f t="shared" si="4"/>
        <v>0.84769725567703802</v>
      </c>
      <c r="CN16" s="541">
        <f t="shared" si="4"/>
        <v>0.85440337179142478</v>
      </c>
      <c r="CO16" s="541">
        <f t="shared" si="4"/>
        <v>0.86077524839525466</v>
      </c>
      <c r="CP16" s="541">
        <f t="shared" si="4"/>
        <v>0.86683008450317034</v>
      </c>
      <c r="CQ16" s="541" t="e">
        <f t="shared" si="4"/>
        <v>#N/A</v>
      </c>
      <c r="CR16" s="541" t="e">
        <f t="shared" si="4"/>
        <v>#N/A</v>
      </c>
      <c r="CS16" s="541" t="e">
        <f t="shared" si="4"/>
        <v>#N/A</v>
      </c>
      <c r="CT16" s="541" t="e">
        <f t="shared" si="4"/>
        <v>#N/A</v>
      </c>
      <c r="CU16" s="541" t="e">
        <f t="shared" si="4"/>
        <v>#N/A</v>
      </c>
    </row>
    <row r="17" spans="1:99" ht="15">
      <c r="A17" s="541">
        <v>2016</v>
      </c>
      <c r="B17" s="541">
        <f t="shared" si="7"/>
        <v>0</v>
      </c>
      <c r="C17" s="574"/>
      <c r="D17" s="575"/>
      <c r="E17" s="575"/>
      <c r="F17" s="575"/>
      <c r="G17" s="575"/>
      <c r="H17" s="584"/>
      <c r="J17" s="656"/>
      <c r="K17" s="657">
        <v>585</v>
      </c>
      <c r="O17" s="541">
        <v>2016</v>
      </c>
      <c r="P17" s="903">
        <f t="shared" si="5"/>
        <v>0</v>
      </c>
      <c r="Q17" s="904">
        <f t="shared" si="5"/>
        <v>0</v>
      </c>
      <c r="R17" s="904">
        <f t="shared" si="5"/>
        <v>0</v>
      </c>
      <c r="S17" s="541">
        <f t="shared" si="5"/>
        <v>0</v>
      </c>
      <c r="T17" s="541">
        <f t="shared" si="5"/>
        <v>0</v>
      </c>
      <c r="V17" s="577">
        <v>2016</v>
      </c>
      <c r="W17" s="578">
        <f t="shared" si="8"/>
        <v>0</v>
      </c>
      <c r="X17" s="578">
        <f t="shared" si="9"/>
        <v>0</v>
      </c>
      <c r="Y17" s="578">
        <f t="shared" si="10"/>
        <v>0</v>
      </c>
      <c r="Z17" s="578">
        <f t="shared" si="11"/>
        <v>0</v>
      </c>
      <c r="AA17" s="578">
        <f t="shared" si="12"/>
        <v>0</v>
      </c>
      <c r="AC17" s="577">
        <v>2016</v>
      </c>
      <c r="AD17" s="578">
        <f t="shared" si="13"/>
        <v>0</v>
      </c>
      <c r="AE17" s="578">
        <f t="shared" si="14"/>
        <v>0</v>
      </c>
      <c r="AF17" s="578">
        <f t="shared" si="15"/>
        <v>0</v>
      </c>
      <c r="AG17" s="578">
        <f t="shared" si="16"/>
        <v>0</v>
      </c>
      <c r="AH17" s="578">
        <f t="shared" si="17"/>
        <v>0</v>
      </c>
      <c r="AJ17" s="579">
        <v>2016</v>
      </c>
      <c r="AK17" s="580">
        <f t="shared" si="6"/>
        <v>0</v>
      </c>
      <c r="AL17" s="578">
        <f t="shared" si="18"/>
        <v>0</v>
      </c>
      <c r="AM17" s="578">
        <f t="shared" si="18"/>
        <v>0</v>
      </c>
      <c r="AN17" s="578">
        <f t="shared" si="18"/>
        <v>0</v>
      </c>
      <c r="AO17" s="578">
        <f t="shared" si="18"/>
        <v>0</v>
      </c>
      <c r="AP17" s="581">
        <f t="shared" si="18"/>
        <v>0</v>
      </c>
      <c r="AS17" s="541" t="s">
        <v>762</v>
      </c>
      <c r="AT17" s="600">
        <v>5.8447488584474884E-2</v>
      </c>
      <c r="AU17" s="600">
        <v>0.1095890410958904</v>
      </c>
      <c r="AV17" s="600">
        <v>8.4018264840182655E-2</v>
      </c>
      <c r="AW17" s="600">
        <v>0.41278538812785387</v>
      </c>
      <c r="AX17" s="600">
        <v>0.33515981735159817</v>
      </c>
      <c r="AY17" s="600">
        <f t="shared" si="0"/>
        <v>1</v>
      </c>
      <c r="BB17" s="541" t="s">
        <v>762</v>
      </c>
      <c r="BC17" s="541">
        <f t="shared" si="1"/>
        <v>5.5639295197054649E-2</v>
      </c>
      <c r="BD17" s="541">
        <f t="shared" si="1"/>
        <v>0.10638224225870155</v>
      </c>
      <c r="BE17" s="541">
        <f t="shared" si="1"/>
        <v>0.15349743098389196</v>
      </c>
      <c r="BF17" s="541">
        <f t="shared" si="1"/>
        <v>0.19489034072219868</v>
      </c>
      <c r="BG17" s="541">
        <f t="shared" si="1"/>
        <v>0.23499029219607398</v>
      </c>
      <c r="BH17" s="541">
        <f t="shared" si="1"/>
        <v>0.27338610318467799</v>
      </c>
      <c r="BI17" s="541">
        <f t="shared" si="1"/>
        <v>0.30799654536666421</v>
      </c>
      <c r="BJ17" s="541">
        <f t="shared" si="1"/>
        <v>0.34120384478715499</v>
      </c>
      <c r="BK17" s="541">
        <f t="shared" si="1"/>
        <v>0.37294043284540662</v>
      </c>
      <c r="BL17" s="541">
        <f t="shared" si="1"/>
        <v>0.40227879606422767</v>
      </c>
      <c r="BM17" s="541">
        <f t="shared" si="2"/>
        <v>0.43030445061992895</v>
      </c>
      <c r="BN17" s="541">
        <f t="shared" si="2"/>
        <v>0.45698525485522462</v>
      </c>
      <c r="BO17" s="541">
        <f t="shared" si="2"/>
        <v>0.4826160118103674</v>
      </c>
      <c r="BP17" s="541">
        <f t="shared" si="2"/>
        <v>0.50449098695376282</v>
      </c>
      <c r="BQ17" s="541">
        <f t="shared" si="2"/>
        <v>0.52577276346202562</v>
      </c>
      <c r="BR17" s="541">
        <f t="shared" si="2"/>
        <v>0.54588667333556939</v>
      </c>
      <c r="BS17" s="541">
        <f t="shared" si="2"/>
        <v>0.56469719824777598</v>
      </c>
      <c r="BT17" s="541">
        <f t="shared" si="2"/>
        <v>0.58262540673877228</v>
      </c>
      <c r="BU17" s="541">
        <f t="shared" si="2"/>
        <v>0.59964072348056219</v>
      </c>
      <c r="BV17" s="541">
        <f t="shared" si="2"/>
        <v>0.61566067572546657</v>
      </c>
      <c r="BW17" s="541">
        <f t="shared" si="3"/>
        <v>0.6309300774033586</v>
      </c>
      <c r="BX17" s="541">
        <f t="shared" si="3"/>
        <v>0.6454273509946461</v>
      </c>
      <c r="BY17" s="541">
        <f t="shared" si="3"/>
        <v>0.65919289324152563</v>
      </c>
      <c r="BZ17" s="541">
        <f t="shared" si="3"/>
        <v>0.67231526751058945</v>
      </c>
      <c r="CA17" s="541">
        <f t="shared" si="3"/>
        <v>0.68468429878817971</v>
      </c>
      <c r="CB17" s="541">
        <f t="shared" si="3"/>
        <v>0.69647570361158784</v>
      </c>
      <c r="CC17" s="541">
        <f t="shared" si="3"/>
        <v>0.70767623013879721</v>
      </c>
      <c r="CD17" s="541">
        <f t="shared" si="3"/>
        <v>0.71831647428326384</v>
      </c>
      <c r="CE17" s="541">
        <f t="shared" si="3"/>
        <v>0.72846109422148864</v>
      </c>
      <c r="CF17" s="541">
        <f t="shared" si="3"/>
        <v>0.73809941256943212</v>
      </c>
      <c r="CG17" s="541">
        <f t="shared" si="4"/>
        <v>0.74719623281527647</v>
      </c>
      <c r="CH17" s="541">
        <f t="shared" si="4"/>
        <v>0.75586978688446504</v>
      </c>
      <c r="CI17" s="541">
        <f t="shared" si="4"/>
        <v>0.76411314625799232</v>
      </c>
      <c r="CJ17" s="541">
        <f t="shared" si="4"/>
        <v>0.77194832128449731</v>
      </c>
      <c r="CK17" s="541">
        <f t="shared" si="4"/>
        <v>0.7794197881285021</v>
      </c>
      <c r="CL17" s="541">
        <f t="shared" si="4"/>
        <v>0.78652208454216255</v>
      </c>
      <c r="CM17" s="541">
        <f t="shared" si="4"/>
        <v>0.7932534187054151</v>
      </c>
      <c r="CN17" s="541">
        <f t="shared" si="4"/>
        <v>0.79965356664556431</v>
      </c>
      <c r="CO17" s="541">
        <f t="shared" si="4"/>
        <v>0.80573931162440959</v>
      </c>
      <c r="CP17" s="541">
        <f t="shared" si="4"/>
        <v>0.81152655668637497</v>
      </c>
      <c r="CQ17" s="541" t="e">
        <f t="shared" si="4"/>
        <v>#N/A</v>
      </c>
      <c r="CR17" s="541" t="e">
        <f t="shared" si="4"/>
        <v>#N/A</v>
      </c>
      <c r="CS17" s="541" t="e">
        <f t="shared" si="4"/>
        <v>#N/A</v>
      </c>
      <c r="CT17" s="541" t="e">
        <f t="shared" si="4"/>
        <v>#N/A</v>
      </c>
      <c r="CU17" s="541" t="e">
        <f t="shared" si="4"/>
        <v>#N/A</v>
      </c>
    </row>
    <row r="18" spans="1:99" ht="15">
      <c r="A18" s="541">
        <v>2017</v>
      </c>
      <c r="B18" s="541">
        <f t="shared" si="7"/>
        <v>0</v>
      </c>
      <c r="C18" s="1321">
        <v>3.12185884E-2</v>
      </c>
      <c r="D18" s="1322">
        <v>2.9843837270000003E-2</v>
      </c>
      <c r="E18" s="1322">
        <v>2.728115939E-2</v>
      </c>
      <c r="F18" s="1322">
        <v>2.825215914E-2</v>
      </c>
      <c r="G18" s="1322">
        <v>2.649046297E-2</v>
      </c>
      <c r="H18" s="584"/>
      <c r="J18" s="656"/>
      <c r="K18" s="657">
        <v>585</v>
      </c>
      <c r="L18" s="1323">
        <v>3.75</v>
      </c>
      <c r="M18" s="1324">
        <f>L18/8760</f>
        <v>4.2808219178082189E-4</v>
      </c>
      <c r="N18" s="541" t="s">
        <v>1647</v>
      </c>
      <c r="O18" s="541">
        <v>2017</v>
      </c>
      <c r="P18" s="1326">
        <f t="shared" si="5"/>
        <v>3.1646670591780821E-2</v>
      </c>
      <c r="Q18" s="1326">
        <f t="shared" si="5"/>
        <v>3.0271919461780823E-2</v>
      </c>
      <c r="R18" s="1326">
        <f t="shared" si="5"/>
        <v>2.770924158178082E-2</v>
      </c>
      <c r="S18" s="1326">
        <f t="shared" si="5"/>
        <v>2.868024133178082E-2</v>
      </c>
      <c r="T18" s="1326">
        <f t="shared" si="5"/>
        <v>2.691854516178082E-2</v>
      </c>
      <c r="V18" s="577">
        <v>2017</v>
      </c>
      <c r="W18" s="578">
        <f t="shared" si="8"/>
        <v>3.4716397639183556E-2</v>
      </c>
      <c r="X18" s="578">
        <f t="shared" si="9"/>
        <v>3.3178023730111784E-2</v>
      </c>
      <c r="Y18" s="578">
        <f t="shared" si="10"/>
        <v>3.0369328773631781E-2</v>
      </c>
      <c r="Z18" s="578">
        <f t="shared" si="11"/>
        <v>3.1433544499631781E-2</v>
      </c>
      <c r="AA18" s="578">
        <f t="shared" si="12"/>
        <v>2.9502725497311783E-2</v>
      </c>
      <c r="AC18" s="577">
        <v>2017</v>
      </c>
      <c r="AD18" s="578">
        <f t="shared" si="13"/>
        <v>0</v>
      </c>
      <c r="AE18" s="578">
        <f t="shared" si="14"/>
        <v>0</v>
      </c>
      <c r="AF18" s="578">
        <f t="shared" si="15"/>
        <v>0</v>
      </c>
      <c r="AG18" s="578">
        <f t="shared" si="16"/>
        <v>0</v>
      </c>
      <c r="AH18" s="578">
        <f t="shared" si="17"/>
        <v>0</v>
      </c>
      <c r="AJ18" s="579">
        <v>2017</v>
      </c>
      <c r="AK18" s="580">
        <f t="shared" si="6"/>
        <v>0</v>
      </c>
      <c r="AL18" s="578">
        <f t="shared" si="18"/>
        <v>0</v>
      </c>
      <c r="AM18" s="578">
        <f t="shared" si="18"/>
        <v>0</v>
      </c>
      <c r="AN18" s="578">
        <f t="shared" si="18"/>
        <v>0</v>
      </c>
      <c r="AO18" s="578">
        <f t="shared" si="18"/>
        <v>0</v>
      </c>
      <c r="AP18" s="581">
        <f t="shared" si="18"/>
        <v>0</v>
      </c>
      <c r="AS18" s="541" t="s">
        <v>763</v>
      </c>
      <c r="AT18" s="600">
        <v>0</v>
      </c>
      <c r="AU18" s="600">
        <v>2.93E-2</v>
      </c>
      <c r="AV18" s="600">
        <v>0.18160000000000001</v>
      </c>
      <c r="AW18" s="600">
        <v>0.22020000000000001</v>
      </c>
      <c r="AX18" s="600">
        <v>0.56889999999999996</v>
      </c>
      <c r="AY18" s="600">
        <f t="shared" si="0"/>
        <v>1</v>
      </c>
      <c r="BB18" s="541" t="s">
        <v>763</v>
      </c>
      <c r="BC18" s="541">
        <f t="shared" si="1"/>
        <v>3.6933278003478801E-2</v>
      </c>
      <c r="BD18" s="541">
        <f t="shared" si="1"/>
        <v>7.034639563610319E-2</v>
      </c>
      <c r="BE18" s="541">
        <f t="shared" si="1"/>
        <v>0.10163577091945539</v>
      </c>
      <c r="BF18" s="541">
        <f t="shared" si="1"/>
        <v>0.12844980133902828</v>
      </c>
      <c r="BG18" s="541">
        <f t="shared" si="1"/>
        <v>0.15507733636524632</v>
      </c>
      <c r="BH18" s="541">
        <f t="shared" si="1"/>
        <v>0.1812130133359576</v>
      </c>
      <c r="BI18" s="541">
        <f t="shared" si="1"/>
        <v>0.20483924911727711</v>
      </c>
      <c r="BJ18" s="541">
        <f t="shared" si="1"/>
        <v>0.22774022837619889</v>
      </c>
      <c r="BK18" s="541">
        <f t="shared" si="1"/>
        <v>0.25011776826247661</v>
      </c>
      <c r="BL18" s="541">
        <f t="shared" si="1"/>
        <v>0.27117329842677074</v>
      </c>
      <c r="BM18" s="541">
        <f t="shared" si="2"/>
        <v>0.29146780983138976</v>
      </c>
      <c r="BN18" s="541">
        <f t="shared" si="2"/>
        <v>0.31113335831661565</v>
      </c>
      <c r="BO18" s="541">
        <f t="shared" si="2"/>
        <v>0.33005082218269943</v>
      </c>
      <c r="BP18" s="541">
        <f t="shared" si="2"/>
        <v>0.34599614245119925</v>
      </c>
      <c r="BQ18" s="541">
        <f t="shared" si="2"/>
        <v>0.36180384201188548</v>
      </c>
      <c r="BR18" s="541">
        <f t="shared" si="2"/>
        <v>0.37668342894216128</v>
      </c>
      <c r="BS18" s="541">
        <f t="shared" si="2"/>
        <v>0.3906416390773283</v>
      </c>
      <c r="BT18" s="541">
        <f t="shared" si="2"/>
        <v>0.40397178187818339</v>
      </c>
      <c r="BU18" s="541">
        <f t="shared" si="2"/>
        <v>0.41670211802948531</v>
      </c>
      <c r="BV18" s="541">
        <f t="shared" si="2"/>
        <v>0.42885963659070819</v>
      </c>
      <c r="BW18" s="541">
        <f t="shared" si="3"/>
        <v>0.44047011221443022</v>
      </c>
      <c r="BX18" s="541">
        <f t="shared" si="3"/>
        <v>0.45155815979010938</v>
      </c>
      <c r="BY18" s="541">
        <f t="shared" si="3"/>
        <v>0.46214728662909355</v>
      </c>
      <c r="BZ18" s="541">
        <f t="shared" si="3"/>
        <v>0.47225994230149915</v>
      </c>
      <c r="CA18" s="541">
        <f t="shared" si="3"/>
        <v>0.48191756623061677</v>
      </c>
      <c r="CB18" s="541">
        <f t="shared" si="3"/>
        <v>0.49114063314574691</v>
      </c>
      <c r="CC18" s="541">
        <f t="shared" si="3"/>
        <v>0.49994869648982659</v>
      </c>
      <c r="CD18" s="541">
        <f t="shared" si="3"/>
        <v>0.50836042987387575</v>
      </c>
      <c r="CE18" s="541">
        <f t="shared" si="3"/>
        <v>0.51639366666614817</v>
      </c>
      <c r="CF18" s="541">
        <f t="shared" si="3"/>
        <v>0.52406543779991854</v>
      </c>
      <c r="CG18" s="541">
        <f t="shared" si="4"/>
        <v>0.53139200788005958</v>
      </c>
      <c r="CH18" s="541">
        <f t="shared" si="4"/>
        <v>0.538388909664959</v>
      </c>
      <c r="CI18" s="541">
        <f t="shared" si="4"/>
        <v>0.54507097699687845</v>
      </c>
      <c r="CJ18" s="541">
        <f t="shared" si="4"/>
        <v>0.5514523762505692</v>
      </c>
      <c r="CK18" s="541">
        <f t="shared" si="4"/>
        <v>0.557546636366818</v>
      </c>
      <c r="CL18" s="541">
        <f t="shared" si="4"/>
        <v>0.5633666775345948</v>
      </c>
      <c r="CM18" s="541">
        <f t="shared" si="4"/>
        <v>0.56892483858261167</v>
      </c>
      <c r="CN18" s="541">
        <f t="shared" si="4"/>
        <v>0.57423290313836339</v>
      </c>
      <c r="CO18" s="541">
        <f t="shared" si="4"/>
        <v>0.5793021246101091</v>
      </c>
      <c r="CP18" s="541">
        <f t="shared" si="4"/>
        <v>0.58414325004475798</v>
      </c>
      <c r="CQ18" s="541" t="e">
        <f t="shared" si="4"/>
        <v>#N/A</v>
      </c>
      <c r="CR18" s="541" t="e">
        <f t="shared" si="4"/>
        <v>#N/A</v>
      </c>
      <c r="CS18" s="541" t="e">
        <f t="shared" si="4"/>
        <v>#N/A</v>
      </c>
      <c r="CT18" s="541" t="e">
        <f t="shared" si="4"/>
        <v>#N/A</v>
      </c>
      <c r="CU18" s="541" t="e">
        <f t="shared" si="4"/>
        <v>#N/A</v>
      </c>
    </row>
    <row r="19" spans="1:99" ht="12.75">
      <c r="A19" s="541">
        <v>2018</v>
      </c>
      <c r="B19" s="541">
        <f t="shared" si="7"/>
        <v>0</v>
      </c>
      <c r="C19" s="1321">
        <v>3.3145246679999997E-2</v>
      </c>
      <c r="D19" s="1322">
        <v>3.1156178870000002E-2</v>
      </c>
      <c r="E19" s="1322">
        <v>2.9138626639999998E-2</v>
      </c>
      <c r="F19" s="1322">
        <v>2.9904588579999999E-2</v>
      </c>
      <c r="G19" s="1322">
        <v>2.796137961E-2</v>
      </c>
      <c r="H19" s="584"/>
      <c r="J19" s="656"/>
      <c r="K19" s="657">
        <v>585</v>
      </c>
      <c r="L19" s="1323">
        <f>L18*(1+C4)</f>
        <v>3.8362499999999997</v>
      </c>
      <c r="M19" s="1324">
        <f>L19/8760</f>
        <v>4.3792808219178081E-4</v>
      </c>
      <c r="N19" s="541" t="s">
        <v>1647</v>
      </c>
      <c r="O19" s="541">
        <v>2018</v>
      </c>
      <c r="P19" s="1326">
        <f t="shared" si="5"/>
        <v>3.3583174762191775E-2</v>
      </c>
      <c r="Q19" s="1326">
        <f t="shared" si="5"/>
        <v>3.1594106952191781E-2</v>
      </c>
      <c r="R19" s="1326">
        <f t="shared" si="5"/>
        <v>2.957655472219178E-2</v>
      </c>
      <c r="S19" s="1326">
        <f t="shared" si="5"/>
        <v>3.0342516662191781E-2</v>
      </c>
      <c r="T19" s="1326">
        <f t="shared" si="5"/>
        <v>2.8399307692191782E-2</v>
      </c>
      <c r="V19" s="577">
        <v>2018</v>
      </c>
      <c r="W19" s="578">
        <f t="shared" si="8"/>
        <v>3.6840742714124373E-2</v>
      </c>
      <c r="X19" s="578">
        <f t="shared" si="9"/>
        <v>3.4627141219602191E-2</v>
      </c>
      <c r="Y19" s="578">
        <f t="shared" si="10"/>
        <v>3.2415903975522194E-2</v>
      </c>
      <c r="Z19" s="578">
        <f t="shared" si="11"/>
        <v>3.3255398261762194E-2</v>
      </c>
      <c r="AA19" s="578">
        <f t="shared" si="12"/>
        <v>3.1125641230642195E-2</v>
      </c>
      <c r="AC19" s="577">
        <v>2018</v>
      </c>
      <c r="AD19" s="578">
        <f t="shared" si="13"/>
        <v>0</v>
      </c>
      <c r="AE19" s="578">
        <f t="shared" si="14"/>
        <v>0</v>
      </c>
      <c r="AF19" s="578">
        <f t="shared" si="15"/>
        <v>0</v>
      </c>
      <c r="AG19" s="578">
        <f t="shared" si="16"/>
        <v>0</v>
      </c>
      <c r="AH19" s="578">
        <f t="shared" si="17"/>
        <v>0</v>
      </c>
      <c r="AJ19" s="579">
        <v>2018</v>
      </c>
      <c r="AK19" s="580">
        <f t="shared" si="6"/>
        <v>0</v>
      </c>
      <c r="AL19" s="578">
        <f t="shared" si="18"/>
        <v>0</v>
      </c>
      <c r="AM19" s="578">
        <f t="shared" si="18"/>
        <v>0</v>
      </c>
      <c r="AN19" s="578">
        <f t="shared" si="18"/>
        <v>0</v>
      </c>
      <c r="AO19" s="578">
        <f t="shared" si="18"/>
        <v>0</v>
      </c>
      <c r="AP19" s="581">
        <f t="shared" si="18"/>
        <v>0</v>
      </c>
    </row>
    <row r="20" spans="1:99">
      <c r="A20" s="541">
        <v>2019</v>
      </c>
      <c r="B20" s="541">
        <f>IF($A20-$F$3&lt;0,0,IF($A20-$F$3=0,1,$A20-$F$3+1))</f>
        <v>0</v>
      </c>
      <c r="C20" s="1387">
        <v>4.0266450829999995E-2</v>
      </c>
      <c r="D20" s="1388">
        <v>3.1168337340000001E-2</v>
      </c>
      <c r="E20" s="1388">
        <v>2.6311708800000003E-2</v>
      </c>
      <c r="F20" s="1388">
        <v>2.7218827840000001E-2</v>
      </c>
      <c r="G20" s="1388">
        <v>2.283817652E-2</v>
      </c>
      <c r="J20" s="656"/>
      <c r="K20" s="657">
        <v>576</v>
      </c>
      <c r="L20" s="1323">
        <v>6.52</v>
      </c>
      <c r="M20" s="1324">
        <f>L20/K20</f>
        <v>1.1319444444444444E-2</v>
      </c>
      <c r="N20" s="541" t="s">
        <v>1648</v>
      </c>
      <c r="O20" s="541">
        <v>2019</v>
      </c>
      <c r="P20" s="1326">
        <f>C20+$M20</f>
        <v>5.1585895274444439E-2</v>
      </c>
      <c r="Q20" s="1327">
        <f t="shared" ref="Q20:Q36" si="19">D20</f>
        <v>3.1168337340000001E-2</v>
      </c>
      <c r="R20" s="1327">
        <f t="shared" ref="R20:T35" si="20">E20</f>
        <v>2.6311708800000003E-2</v>
      </c>
      <c r="S20" s="1327">
        <f t="shared" si="20"/>
        <v>2.7218827840000001E-2</v>
      </c>
      <c r="T20" s="1327">
        <f t="shared" si="20"/>
        <v>2.283817652E-2</v>
      </c>
      <c r="V20" s="577">
        <v>2019</v>
      </c>
      <c r="W20" s="578">
        <f t="shared" si="8"/>
        <v>5.6589727116065545E-2</v>
      </c>
      <c r="X20" s="578">
        <f t="shared" si="9"/>
        <v>3.4160497724640006E-2</v>
      </c>
      <c r="Y20" s="578">
        <f t="shared" si="10"/>
        <v>2.8837632844800006E-2</v>
      </c>
      <c r="Z20" s="578">
        <f t="shared" si="11"/>
        <v>2.9831835312640005E-2</v>
      </c>
      <c r="AA20" s="578">
        <f t="shared" si="12"/>
        <v>2.503064146592E-2</v>
      </c>
      <c r="AC20" s="577">
        <v>2019</v>
      </c>
      <c r="AD20" s="578">
        <f t="shared" si="13"/>
        <v>0</v>
      </c>
      <c r="AE20" s="578">
        <f t="shared" si="14"/>
        <v>0</v>
      </c>
      <c r="AF20" s="578">
        <f t="shared" si="15"/>
        <v>0</v>
      </c>
      <c r="AG20" s="578">
        <f t="shared" si="16"/>
        <v>0</v>
      </c>
      <c r="AH20" s="578">
        <f t="shared" si="17"/>
        <v>0</v>
      </c>
      <c r="AJ20" s="579">
        <v>2019</v>
      </c>
      <c r="AK20" s="580">
        <f t="shared" si="6"/>
        <v>0</v>
      </c>
      <c r="AL20" s="578">
        <f t="shared" si="18"/>
        <v>0</v>
      </c>
      <c r="AM20" s="578">
        <f t="shared" si="18"/>
        <v>0</v>
      </c>
      <c r="AN20" s="578">
        <f t="shared" si="18"/>
        <v>0</v>
      </c>
      <c r="AO20" s="578">
        <f t="shared" si="18"/>
        <v>0</v>
      </c>
      <c r="AP20" s="581">
        <f t="shared" si="18"/>
        <v>0</v>
      </c>
    </row>
    <row r="21" spans="1:99">
      <c r="A21" s="541">
        <v>2020</v>
      </c>
      <c r="B21" s="541">
        <f t="shared" si="7"/>
        <v>0</v>
      </c>
      <c r="C21" s="1387">
        <v>3.9610650919999997E-2</v>
      </c>
      <c r="D21" s="1388">
        <v>3.0848168090000003E-2</v>
      </c>
      <c r="E21" s="1388">
        <v>2.531804063E-2</v>
      </c>
      <c r="F21" s="1388">
        <v>2.7998105549999999E-2</v>
      </c>
      <c r="G21" s="1388">
        <v>2.296464342E-2</v>
      </c>
      <c r="J21" s="656"/>
      <c r="K21" s="657">
        <v>594</v>
      </c>
      <c r="L21" s="1323">
        <v>4.0999999999999996</v>
      </c>
      <c r="M21" s="1324">
        <f t="shared" ref="M21:M38" si="21">L21/K21</f>
        <v>6.902356902356902E-3</v>
      </c>
      <c r="N21" s="541" t="s">
        <v>1648</v>
      </c>
      <c r="O21" s="541">
        <v>2020</v>
      </c>
      <c r="P21" s="1326">
        <f t="shared" ref="P21:P64" si="22">C21+$M21</f>
        <v>4.65130078223569E-2</v>
      </c>
      <c r="Q21" s="1327">
        <f t="shared" si="19"/>
        <v>3.0848168090000003E-2</v>
      </c>
      <c r="R21" s="1327">
        <f t="shared" si="20"/>
        <v>2.531804063E-2</v>
      </c>
      <c r="S21" s="1327">
        <f t="shared" si="20"/>
        <v>2.7998105549999999E-2</v>
      </c>
      <c r="T21" s="1327">
        <f t="shared" si="20"/>
        <v>2.296464342E-2</v>
      </c>
      <c r="V21" s="577">
        <v>2020</v>
      </c>
      <c r="W21" s="578">
        <f t="shared" si="8"/>
        <v>5.102476958112552E-2</v>
      </c>
      <c r="X21" s="578">
        <f t="shared" si="9"/>
        <v>3.3809592226640005E-2</v>
      </c>
      <c r="Y21" s="578">
        <f t="shared" si="10"/>
        <v>2.7748572530480003E-2</v>
      </c>
      <c r="Z21" s="578">
        <f t="shared" si="11"/>
        <v>3.0685923682800001E-2</v>
      </c>
      <c r="AA21" s="578">
        <f t="shared" si="12"/>
        <v>2.5169249188320003E-2</v>
      </c>
      <c r="AC21" s="577">
        <v>2020</v>
      </c>
      <c r="AD21" s="578">
        <f t="shared" si="13"/>
        <v>0</v>
      </c>
      <c r="AE21" s="578">
        <f t="shared" si="14"/>
        <v>0</v>
      </c>
      <c r="AF21" s="578">
        <f t="shared" si="15"/>
        <v>0</v>
      </c>
      <c r="AG21" s="578">
        <f t="shared" si="16"/>
        <v>0</v>
      </c>
      <c r="AH21" s="578">
        <f t="shared" si="17"/>
        <v>0</v>
      </c>
      <c r="AJ21" s="579">
        <v>2020</v>
      </c>
      <c r="AK21" s="580">
        <f t="shared" si="6"/>
        <v>0</v>
      </c>
      <c r="AL21" s="578">
        <f t="shared" si="18"/>
        <v>0</v>
      </c>
      <c r="AM21" s="578">
        <f t="shared" si="18"/>
        <v>0</v>
      </c>
      <c r="AN21" s="578">
        <f t="shared" si="18"/>
        <v>0</v>
      </c>
      <c r="AO21" s="578">
        <f t="shared" si="18"/>
        <v>0</v>
      </c>
      <c r="AP21" s="581">
        <f t="shared" si="18"/>
        <v>0</v>
      </c>
    </row>
    <row r="22" spans="1:99" ht="15">
      <c r="A22" s="541">
        <v>2021</v>
      </c>
      <c r="B22" s="541">
        <f t="shared" si="7"/>
        <v>0</v>
      </c>
      <c r="C22" s="1600">
        <v>3.2428022612884681E-2</v>
      </c>
      <c r="D22" s="1601">
        <v>2.6859625250708924E-2</v>
      </c>
      <c r="E22" s="1601">
        <v>2.3328715536292663E-2</v>
      </c>
      <c r="F22" s="1601">
        <v>2.696423864826554E-2</v>
      </c>
      <c r="G22" s="1601">
        <v>2.3916751015168294E-2</v>
      </c>
      <c r="J22" s="656"/>
      <c r="K22" s="657">
        <v>520</v>
      </c>
      <c r="L22" s="1603">
        <v>6.33</v>
      </c>
      <c r="M22" s="1324">
        <f>L22/K22</f>
        <v>1.2173076923076924E-2</v>
      </c>
      <c r="N22" s="541" t="s">
        <v>1648</v>
      </c>
      <c r="O22" s="541">
        <v>2021</v>
      </c>
      <c r="P22" s="1326">
        <f t="shared" si="22"/>
        <v>4.4601099535961607E-2</v>
      </c>
      <c r="Q22" s="1327">
        <f t="shared" si="19"/>
        <v>2.6859625250708924E-2</v>
      </c>
      <c r="R22" s="1327">
        <f t="shared" si="20"/>
        <v>2.3328715536292663E-2</v>
      </c>
      <c r="S22" s="1327">
        <f t="shared" si="20"/>
        <v>2.696423864826554E-2</v>
      </c>
      <c r="T22" s="1327">
        <f t="shared" si="20"/>
        <v>2.3916751015168294E-2</v>
      </c>
      <c r="V22" s="577">
        <v>2021</v>
      </c>
      <c r="W22" s="578">
        <f t="shared" si="8"/>
        <v>4.8927406190949881E-2</v>
      </c>
      <c r="X22" s="578">
        <f t="shared" si="9"/>
        <v>2.9438149274776983E-2</v>
      </c>
      <c r="Y22" s="578">
        <f t="shared" si="10"/>
        <v>2.5568272227776762E-2</v>
      </c>
      <c r="Z22" s="578">
        <f t="shared" si="11"/>
        <v>2.9552805558499033E-2</v>
      </c>
      <c r="AA22" s="578">
        <f t="shared" si="12"/>
        <v>2.6212759112624454E-2</v>
      </c>
      <c r="AC22" s="577">
        <v>2021</v>
      </c>
      <c r="AD22" s="578">
        <f t="shared" si="13"/>
        <v>0</v>
      </c>
      <c r="AE22" s="578">
        <f t="shared" si="14"/>
        <v>0</v>
      </c>
      <c r="AF22" s="578">
        <f t="shared" si="15"/>
        <v>0</v>
      </c>
      <c r="AG22" s="578">
        <f t="shared" si="16"/>
        <v>0</v>
      </c>
      <c r="AH22" s="578">
        <f t="shared" si="17"/>
        <v>0</v>
      </c>
      <c r="AJ22" s="579">
        <v>2021</v>
      </c>
      <c r="AK22" s="580">
        <f t="shared" si="6"/>
        <v>0</v>
      </c>
      <c r="AL22" s="578">
        <f t="shared" si="18"/>
        <v>0</v>
      </c>
      <c r="AM22" s="578">
        <f t="shared" si="18"/>
        <v>0</v>
      </c>
      <c r="AN22" s="578">
        <f t="shared" si="18"/>
        <v>0</v>
      </c>
      <c r="AO22" s="578">
        <f t="shared" si="18"/>
        <v>0</v>
      </c>
      <c r="AP22" s="581">
        <f t="shared" si="18"/>
        <v>0</v>
      </c>
    </row>
    <row r="23" spans="1:99" ht="15">
      <c r="A23" s="541">
        <v>2022</v>
      </c>
      <c r="B23" s="541">
        <f t="shared" si="7"/>
        <v>0</v>
      </c>
      <c r="C23" s="1600">
        <v>3.2834695031346159E-2</v>
      </c>
      <c r="D23" s="1601">
        <v>2.6701471839668124E-2</v>
      </c>
      <c r="E23" s="1601">
        <v>2.3615280093746291E-2</v>
      </c>
      <c r="F23" s="1601">
        <v>2.6409460182229009E-2</v>
      </c>
      <c r="G23" s="1601">
        <v>2.3637469697098755E-2</v>
      </c>
      <c r="J23" s="656"/>
      <c r="K23" s="657">
        <v>520</v>
      </c>
      <c r="L23" s="1603">
        <v>6.42</v>
      </c>
      <c r="M23" s="1324">
        <f t="shared" si="21"/>
        <v>1.2346153846153845E-2</v>
      </c>
      <c r="N23" s="541" t="s">
        <v>1648</v>
      </c>
      <c r="O23" s="541">
        <v>2022</v>
      </c>
      <c r="P23" s="1326">
        <f t="shared" si="22"/>
        <v>4.5180848877500006E-2</v>
      </c>
      <c r="Q23" s="1327">
        <f t="shared" si="19"/>
        <v>2.6701471839668124E-2</v>
      </c>
      <c r="R23" s="1327">
        <f t="shared" si="20"/>
        <v>2.3615280093746291E-2</v>
      </c>
      <c r="S23" s="1327">
        <f t="shared" si="20"/>
        <v>2.6409460182229009E-2</v>
      </c>
      <c r="T23" s="1327">
        <f t="shared" si="20"/>
        <v>2.3637469697098755E-2</v>
      </c>
      <c r="V23" s="577">
        <v>2022</v>
      </c>
      <c r="W23" s="578">
        <f t="shared" si="8"/>
        <v>4.9563391218617504E-2</v>
      </c>
      <c r="X23" s="578">
        <f t="shared" si="9"/>
        <v>2.9264813136276265E-2</v>
      </c>
      <c r="Y23" s="578">
        <f t="shared" si="10"/>
        <v>2.5882346982745937E-2</v>
      </c>
      <c r="Z23" s="578">
        <f t="shared" si="11"/>
        <v>2.8944768359722997E-2</v>
      </c>
      <c r="AA23" s="578">
        <f t="shared" si="12"/>
        <v>2.5906666788020238E-2</v>
      </c>
      <c r="AC23" s="577">
        <v>2022</v>
      </c>
      <c r="AD23" s="578">
        <f t="shared" si="13"/>
        <v>0</v>
      </c>
      <c r="AE23" s="578">
        <f t="shared" si="14"/>
        <v>0</v>
      </c>
      <c r="AF23" s="578">
        <f t="shared" si="15"/>
        <v>0</v>
      </c>
      <c r="AG23" s="578">
        <f t="shared" si="16"/>
        <v>0</v>
      </c>
      <c r="AH23" s="578">
        <f t="shared" si="17"/>
        <v>0</v>
      </c>
      <c r="AJ23" s="579">
        <v>2022</v>
      </c>
      <c r="AK23" s="580">
        <f t="shared" si="6"/>
        <v>0</v>
      </c>
      <c r="AL23" s="578">
        <f t="shared" si="18"/>
        <v>0</v>
      </c>
      <c r="AM23" s="578">
        <f t="shared" si="18"/>
        <v>0</v>
      </c>
      <c r="AN23" s="578">
        <f t="shared" si="18"/>
        <v>0</v>
      </c>
      <c r="AO23" s="578">
        <f t="shared" si="18"/>
        <v>0</v>
      </c>
      <c r="AP23" s="581">
        <f t="shared" si="18"/>
        <v>0</v>
      </c>
    </row>
    <row r="24" spans="1:99" ht="15">
      <c r="A24" s="541">
        <v>2023</v>
      </c>
      <c r="B24" s="541">
        <f t="shared" si="7"/>
        <v>0</v>
      </c>
      <c r="C24" s="1600">
        <v>4.7747777765000006E-2</v>
      </c>
      <c r="D24" s="1601">
        <v>4.0762866934087504E-2</v>
      </c>
      <c r="E24" s="1601">
        <v>3.5043692707024454E-2</v>
      </c>
      <c r="F24" s="1601">
        <v>3.6775263792757286E-2</v>
      </c>
      <c r="G24" s="1601">
        <v>3.3100825202176387E-2</v>
      </c>
      <c r="J24" s="656">
        <f t="shared" ref="J24:J26" si="23">IFERROR($F$5/K24,"")</f>
        <v>0.25307692307692309</v>
      </c>
      <c r="K24" s="657">
        <v>520</v>
      </c>
      <c r="L24" s="1603">
        <v>6.42</v>
      </c>
      <c r="M24" s="1324">
        <f t="shared" si="21"/>
        <v>1.2346153846153845E-2</v>
      </c>
      <c r="N24" s="541" t="s">
        <v>1648</v>
      </c>
      <c r="O24" s="541">
        <v>2023</v>
      </c>
      <c r="P24" s="1326">
        <f t="shared" si="22"/>
        <v>6.0093931611153853E-2</v>
      </c>
      <c r="Q24" s="1327">
        <f t="shared" si="19"/>
        <v>4.0762866934087504E-2</v>
      </c>
      <c r="R24" s="1327">
        <f t="shared" si="20"/>
        <v>3.5043692707024454E-2</v>
      </c>
      <c r="S24" s="1327">
        <f t="shared" si="20"/>
        <v>3.6775263792757286E-2</v>
      </c>
      <c r="T24" s="1327">
        <f t="shared" si="20"/>
        <v>3.3100825202176387E-2</v>
      </c>
      <c r="V24" s="577">
        <v>2023</v>
      </c>
      <c r="W24" s="578">
        <f t="shared" si="8"/>
        <v>0.34354842759282039</v>
      </c>
      <c r="X24" s="578">
        <f t="shared" si="9"/>
        <v>4.4676102159759909E-2</v>
      </c>
      <c r="Y24" s="578">
        <f t="shared" si="10"/>
        <v>3.8407887206898805E-2</v>
      </c>
      <c r="Z24" s="578">
        <f t="shared" si="11"/>
        <v>4.0305689116861991E-2</v>
      </c>
      <c r="AA24" s="578">
        <f t="shared" si="12"/>
        <v>3.6278504421585325E-2</v>
      </c>
      <c r="AC24" s="577">
        <v>2023</v>
      </c>
      <c r="AD24" s="578">
        <f t="shared" si="13"/>
        <v>0</v>
      </c>
      <c r="AE24" s="578">
        <f t="shared" si="14"/>
        <v>0</v>
      </c>
      <c r="AF24" s="578">
        <f t="shared" si="15"/>
        <v>0</v>
      </c>
      <c r="AG24" s="578">
        <f t="shared" si="16"/>
        <v>0</v>
      </c>
      <c r="AH24" s="578">
        <f t="shared" si="17"/>
        <v>0</v>
      </c>
      <c r="AJ24" s="579">
        <v>2023</v>
      </c>
      <c r="AK24" s="580">
        <f t="shared" si="6"/>
        <v>0</v>
      </c>
      <c r="AL24" s="578">
        <f t="shared" si="18"/>
        <v>0</v>
      </c>
      <c r="AM24" s="578">
        <f t="shared" si="18"/>
        <v>0</v>
      </c>
      <c r="AN24" s="578">
        <f t="shared" si="18"/>
        <v>0</v>
      </c>
      <c r="AO24" s="578">
        <f t="shared" si="18"/>
        <v>0</v>
      </c>
      <c r="AP24" s="581">
        <f t="shared" si="18"/>
        <v>0</v>
      </c>
    </row>
    <row r="25" spans="1:99" ht="15">
      <c r="A25" s="541">
        <v>2024</v>
      </c>
      <c r="B25" s="541">
        <f t="shared" si="7"/>
        <v>1</v>
      </c>
      <c r="C25" s="1600">
        <v>4.9138133430078182E-2</v>
      </c>
      <c r="D25" s="1601">
        <v>4.1338526962593172E-2</v>
      </c>
      <c r="E25" s="1601">
        <v>3.6004932148975592E-2</v>
      </c>
      <c r="F25" s="1601">
        <v>3.64594185846756E-2</v>
      </c>
      <c r="G25" s="1601">
        <v>3.357215591366363E-2</v>
      </c>
      <c r="J25" s="656">
        <f t="shared" si="23"/>
        <v>0.25703124999999999</v>
      </c>
      <c r="K25" s="657">
        <v>512</v>
      </c>
      <c r="L25" s="1603">
        <v>6.77</v>
      </c>
      <c r="M25" s="1324">
        <f t="shared" si="21"/>
        <v>1.3222656249999999E-2</v>
      </c>
      <c r="N25" s="541" t="s">
        <v>1648</v>
      </c>
      <c r="O25" s="541">
        <v>2024</v>
      </c>
      <c r="P25" s="1326">
        <f t="shared" si="22"/>
        <v>6.2360789680078181E-2</v>
      </c>
      <c r="Q25" s="1327">
        <f t="shared" si="19"/>
        <v>4.1338526962593172E-2</v>
      </c>
      <c r="R25" s="1327">
        <f t="shared" si="20"/>
        <v>3.6004932148975592E-2</v>
      </c>
      <c r="S25" s="1327">
        <f t="shared" si="20"/>
        <v>3.64594185846756E-2</v>
      </c>
      <c r="T25" s="1327">
        <f t="shared" si="20"/>
        <v>3.357215591366363E-2</v>
      </c>
      <c r="V25" s="577">
        <v>2024</v>
      </c>
      <c r="W25" s="578">
        <f t="shared" si="8"/>
        <v>0.35037306752904573</v>
      </c>
      <c r="X25" s="578">
        <f t="shared" si="9"/>
        <v>4.530702555100212E-2</v>
      </c>
      <c r="Y25" s="578">
        <f t="shared" si="10"/>
        <v>3.9461405635277252E-2</v>
      </c>
      <c r="Z25" s="578">
        <f t="shared" si="11"/>
        <v>3.9959522768804462E-2</v>
      </c>
      <c r="AA25" s="578">
        <f t="shared" si="12"/>
        <v>3.6795082881375341E-2</v>
      </c>
      <c r="AC25" s="577">
        <v>2024</v>
      </c>
      <c r="AD25" s="578">
        <f t="shared" si="13"/>
        <v>0.33852865320116382</v>
      </c>
      <c r="AE25" s="578">
        <f t="shared" si="14"/>
        <v>4.3775414727217798E-2</v>
      </c>
      <c r="AF25" s="578">
        <f t="shared" si="15"/>
        <v>3.8127406873325921E-2</v>
      </c>
      <c r="AG25" s="578">
        <f t="shared" si="16"/>
        <v>3.8608685082118073E-2</v>
      </c>
      <c r="AH25" s="578">
        <f t="shared" si="17"/>
        <v>3.5551219561773484E-2</v>
      </c>
      <c r="AJ25" s="579">
        <v>2024</v>
      </c>
      <c r="AK25" s="580">
        <f t="shared" si="6"/>
        <v>1</v>
      </c>
      <c r="AL25" s="578">
        <f t="shared" si="18"/>
        <v>0.33852865320116382</v>
      </c>
      <c r="AM25" s="578">
        <f t="shared" si="18"/>
        <v>4.3775414727217798E-2</v>
      </c>
      <c r="AN25" s="578">
        <f t="shared" si="18"/>
        <v>3.8127406873325921E-2</v>
      </c>
      <c r="AO25" s="578">
        <f t="shared" si="18"/>
        <v>3.8608685082118073E-2</v>
      </c>
      <c r="AP25" s="581">
        <f t="shared" si="18"/>
        <v>3.5551219561773484E-2</v>
      </c>
    </row>
    <row r="26" spans="1:99" ht="15">
      <c r="A26" s="541">
        <v>2025</v>
      </c>
      <c r="B26" s="541">
        <f t="shared" si="7"/>
        <v>2</v>
      </c>
      <c r="C26" s="1600">
        <v>4.9628049275781239E-2</v>
      </c>
      <c r="D26" s="1601">
        <v>4.1027435891236967E-2</v>
      </c>
      <c r="E26" s="1601">
        <v>3.6281021657161044E-2</v>
      </c>
      <c r="F26" s="1601">
        <v>3.4612638254631942E-2</v>
      </c>
      <c r="G26" s="1601">
        <v>3.2320647795870495E-2</v>
      </c>
      <c r="J26" s="656">
        <f t="shared" si="23"/>
        <v>0.25703124999999999</v>
      </c>
      <c r="K26" s="657">
        <v>512</v>
      </c>
      <c r="L26" s="1603">
        <v>6.35</v>
      </c>
      <c r="M26" s="1324">
        <f t="shared" si="21"/>
        <v>1.2402343749999999E-2</v>
      </c>
      <c r="N26" s="541" t="s">
        <v>1648</v>
      </c>
      <c r="O26" s="541">
        <v>2025</v>
      </c>
      <c r="P26" s="1326">
        <f t="shared" si="22"/>
        <v>6.2030393025781241E-2</v>
      </c>
      <c r="Q26" s="1327">
        <f t="shared" si="19"/>
        <v>4.1027435891236967E-2</v>
      </c>
      <c r="R26" s="1327">
        <f t="shared" si="20"/>
        <v>3.6281021657161044E-2</v>
      </c>
      <c r="S26" s="1327">
        <f t="shared" si="20"/>
        <v>3.4612638254631942E-2</v>
      </c>
      <c r="T26" s="1327">
        <f t="shared" si="20"/>
        <v>3.2320647795870495E-2</v>
      </c>
      <c r="V26" s="577">
        <v>2025</v>
      </c>
      <c r="W26" s="578">
        <f t="shared" si="8"/>
        <v>0.35001062239928199</v>
      </c>
      <c r="X26" s="578">
        <f t="shared" si="9"/>
        <v>4.4966069736795719E-2</v>
      </c>
      <c r="Y26" s="578">
        <f t="shared" si="10"/>
        <v>3.9763999736248508E-2</v>
      </c>
      <c r="Z26" s="578">
        <f t="shared" si="11"/>
        <v>3.7935451527076613E-2</v>
      </c>
      <c r="AA26" s="578">
        <f t="shared" si="12"/>
        <v>3.5423429984274064E-2</v>
      </c>
      <c r="AC26" s="577">
        <v>2025</v>
      </c>
      <c r="AD26" s="578">
        <f t="shared" si="13"/>
        <v>0.31570057933496115</v>
      </c>
      <c r="AE26" s="578">
        <f t="shared" si="14"/>
        <v>4.0558238401486278E-2</v>
      </c>
      <c r="AF26" s="578">
        <f t="shared" si="15"/>
        <v>3.5866105055200888E-2</v>
      </c>
      <c r="AG26" s="578">
        <f t="shared" si="16"/>
        <v>3.4216801599721937E-2</v>
      </c>
      <c r="AH26" s="578">
        <f t="shared" si="17"/>
        <v>3.1951022775843892E-2</v>
      </c>
      <c r="AJ26" s="579">
        <v>2025</v>
      </c>
      <c r="AK26" s="580">
        <f t="shared" si="6"/>
        <v>2</v>
      </c>
      <c r="AL26" s="578">
        <f t="shared" si="18"/>
        <v>0.65422923253612497</v>
      </c>
      <c r="AM26" s="578">
        <f t="shared" si="18"/>
        <v>8.4333653128704084E-2</v>
      </c>
      <c r="AN26" s="578">
        <f t="shared" si="18"/>
        <v>7.3993511928526809E-2</v>
      </c>
      <c r="AO26" s="578">
        <f t="shared" si="18"/>
        <v>7.282548668184001E-2</v>
      </c>
      <c r="AP26" s="581">
        <f t="shared" si="18"/>
        <v>6.7502242337617369E-2</v>
      </c>
    </row>
    <row r="27" spans="1:99" ht="15">
      <c r="A27" s="541">
        <v>2026</v>
      </c>
      <c r="B27" s="541">
        <f t="shared" si="7"/>
        <v>3</v>
      </c>
      <c r="C27" s="1600">
        <v>5.0403015392045475E-2</v>
      </c>
      <c r="D27" s="1601">
        <v>4.0011777527812147E-2</v>
      </c>
      <c r="E27" s="1601">
        <v>3.4380549135102446E-2</v>
      </c>
      <c r="F27" s="1601">
        <v>3.5106035260383008E-2</v>
      </c>
      <c r="G27" s="1601">
        <v>3.2973668679480241E-2</v>
      </c>
      <c r="J27" s="656">
        <f>IFERROR($F$5/K27,"")</f>
        <v>0.24924242424242424</v>
      </c>
      <c r="K27" s="657">
        <v>528</v>
      </c>
      <c r="L27" s="1603">
        <v>6.39</v>
      </c>
      <c r="M27" s="1324">
        <f t="shared" si="21"/>
        <v>1.2102272727272727E-2</v>
      </c>
      <c r="N27" s="541" t="s">
        <v>1648</v>
      </c>
      <c r="O27" s="541">
        <v>2026</v>
      </c>
      <c r="P27" s="1326">
        <f t="shared" si="22"/>
        <v>6.25052881193182E-2</v>
      </c>
      <c r="Q27" s="1327">
        <f t="shared" si="19"/>
        <v>4.0011777527812147E-2</v>
      </c>
      <c r="R27" s="1327">
        <f t="shared" si="20"/>
        <v>3.4380549135102446E-2</v>
      </c>
      <c r="S27" s="1327">
        <f t="shared" si="20"/>
        <v>3.5106035260383008E-2</v>
      </c>
      <c r="T27" s="1327">
        <f t="shared" si="20"/>
        <v>3.2973668679480241E-2</v>
      </c>
      <c r="V27" s="577">
        <v>2026</v>
      </c>
      <c r="W27" s="578">
        <f t="shared" si="8"/>
        <v>0.34198724046083145</v>
      </c>
      <c r="X27" s="578">
        <f t="shared" si="9"/>
        <v>4.3852908170482117E-2</v>
      </c>
      <c r="Y27" s="578">
        <f t="shared" si="10"/>
        <v>3.7681081852072286E-2</v>
      </c>
      <c r="Z27" s="578">
        <f t="shared" si="11"/>
        <v>3.8476214645379779E-2</v>
      </c>
      <c r="AA27" s="578">
        <f t="shared" si="12"/>
        <v>3.6139140872710349E-2</v>
      </c>
      <c r="AC27" s="577">
        <v>2026</v>
      </c>
      <c r="AD27" s="578">
        <f t="shared" si="13"/>
        <v>0.2879608804921448</v>
      </c>
      <c r="AE27" s="578">
        <f t="shared" si="14"/>
        <v>3.6925126305580709E-2</v>
      </c>
      <c r="AF27" s="578">
        <f t="shared" si="15"/>
        <v>3.172831095510438E-2</v>
      </c>
      <c r="AG27" s="578">
        <f t="shared" si="16"/>
        <v>3.2397830493203134E-2</v>
      </c>
      <c r="AH27" s="578">
        <f t="shared" si="17"/>
        <v>3.0429962275528896E-2</v>
      </c>
      <c r="AJ27" s="579">
        <v>2026</v>
      </c>
      <c r="AK27" s="580">
        <f t="shared" si="6"/>
        <v>3</v>
      </c>
      <c r="AL27" s="578">
        <f t="shared" si="18"/>
        <v>0.94219011302826972</v>
      </c>
      <c r="AM27" s="578">
        <f t="shared" si="18"/>
        <v>0.12125877943428479</v>
      </c>
      <c r="AN27" s="578">
        <f t="shared" si="18"/>
        <v>0.10572182288363119</v>
      </c>
      <c r="AO27" s="578">
        <f t="shared" si="18"/>
        <v>0.10522331717504314</v>
      </c>
      <c r="AP27" s="581">
        <f t="shared" si="18"/>
        <v>9.7932204613146265E-2</v>
      </c>
    </row>
    <row r="28" spans="1:99" ht="15">
      <c r="A28" s="541">
        <v>2027</v>
      </c>
      <c r="B28" s="541">
        <f t="shared" si="7"/>
        <v>4</v>
      </c>
      <c r="C28" s="1600">
        <v>5.0747635709499972E-2</v>
      </c>
      <c r="D28" s="1602">
        <v>3.513709907528053E-2</v>
      </c>
      <c r="E28" s="1602">
        <v>3.1162229993396028E-2</v>
      </c>
      <c r="F28" s="1602">
        <v>3.0712586940145465E-2</v>
      </c>
      <c r="G28" s="1602">
        <v>3.1064744833443018E-2</v>
      </c>
      <c r="J28" s="656">
        <f t="shared" ref="J28:J64" si="24">IFERROR($F$5/K28,"")</f>
        <v>0.25307692307692309</v>
      </c>
      <c r="K28" s="657">
        <v>520</v>
      </c>
      <c r="L28" s="1603">
        <v>6.35</v>
      </c>
      <c r="M28" s="1324">
        <f t="shared" si="21"/>
        <v>1.2211538461538461E-2</v>
      </c>
      <c r="N28" s="541" t="s">
        <v>1648</v>
      </c>
      <c r="O28" s="541">
        <v>2027</v>
      </c>
      <c r="P28" s="1326">
        <f t="shared" si="22"/>
        <v>6.295917417103844E-2</v>
      </c>
      <c r="Q28" s="1327">
        <f t="shared" si="19"/>
        <v>3.513709907528053E-2</v>
      </c>
      <c r="R28" s="1327">
        <f t="shared" si="20"/>
        <v>3.1162229993396028E-2</v>
      </c>
      <c r="S28" s="1327">
        <f t="shared" si="20"/>
        <v>3.0712586940145465E-2</v>
      </c>
      <c r="T28" s="1327">
        <f t="shared" si="20"/>
        <v>3.1064744833443018E-2</v>
      </c>
      <c r="V28" s="577">
        <v>2027</v>
      </c>
      <c r="W28" s="578">
        <f t="shared" si="8"/>
        <v>0.34669159868101385</v>
      </c>
      <c r="X28" s="578">
        <f t="shared" si="9"/>
        <v>3.8510260586507465E-2</v>
      </c>
      <c r="Y28" s="578">
        <f t="shared" si="10"/>
        <v>3.4153804072762049E-2</v>
      </c>
      <c r="Z28" s="578">
        <f t="shared" si="11"/>
        <v>3.3660995286399431E-2</v>
      </c>
      <c r="AA28" s="578">
        <f t="shared" si="12"/>
        <v>3.4046960337453552E-2</v>
      </c>
      <c r="AC28" s="577">
        <v>2027</v>
      </c>
      <c r="AD28" s="578">
        <f t="shared" si="13"/>
        <v>0.27251872198394994</v>
      </c>
      <c r="AE28" s="578">
        <f t="shared" si="14"/>
        <v>3.0271189259362421E-2</v>
      </c>
      <c r="AF28" s="578">
        <f t="shared" si="15"/>
        <v>2.6846774113390294E-2</v>
      </c>
      <c r="AG28" s="578">
        <f t="shared" si="16"/>
        <v>2.6459399221258659E-2</v>
      </c>
      <c r="AH28" s="578">
        <f t="shared" si="17"/>
        <v>2.6762789043348105E-2</v>
      </c>
      <c r="AJ28" s="579">
        <v>2027</v>
      </c>
      <c r="AK28" s="580">
        <f t="shared" si="6"/>
        <v>4</v>
      </c>
      <c r="AL28" s="578">
        <f t="shared" si="18"/>
        <v>1.2147088350122197</v>
      </c>
      <c r="AM28" s="578">
        <f t="shared" si="18"/>
        <v>0.15152996869364721</v>
      </c>
      <c r="AN28" s="578">
        <f t="shared" si="18"/>
        <v>0.13256859699702148</v>
      </c>
      <c r="AO28" s="578">
        <f t="shared" si="18"/>
        <v>0.1316827163963018</v>
      </c>
      <c r="AP28" s="581">
        <f t="shared" si="18"/>
        <v>0.12469499365649436</v>
      </c>
    </row>
    <row r="29" spans="1:99" ht="15">
      <c r="A29" s="541">
        <v>2028</v>
      </c>
      <c r="B29" s="541">
        <f t="shared" si="7"/>
        <v>5</v>
      </c>
      <c r="C29" s="1600">
        <v>5.4165819692076865E-2</v>
      </c>
      <c r="D29" s="1602">
        <v>3.681022638229263E-2</v>
      </c>
      <c r="E29" s="1602">
        <v>3.2713462275367762E-2</v>
      </c>
      <c r="F29" s="1602">
        <v>3.1791036831654455E-2</v>
      </c>
      <c r="G29" s="1602">
        <v>3.3553683653180857E-2</v>
      </c>
      <c r="J29" s="656">
        <f t="shared" si="24"/>
        <v>0.25307692307692309</v>
      </c>
      <c r="K29" s="657">
        <v>520</v>
      </c>
      <c r="L29" s="1603">
        <v>6.53</v>
      </c>
      <c r="M29" s="1324">
        <f t="shared" si="21"/>
        <v>1.2557692307692308E-2</v>
      </c>
      <c r="N29" s="541" t="s">
        <v>1648</v>
      </c>
      <c r="O29" s="541">
        <v>2028</v>
      </c>
      <c r="P29" s="1326">
        <f t="shared" si="22"/>
        <v>6.6723511999769169E-2</v>
      </c>
      <c r="Q29" s="1327">
        <f t="shared" si="19"/>
        <v>3.681022638229263E-2</v>
      </c>
      <c r="R29" s="1327">
        <f t="shared" si="20"/>
        <v>3.2713462275367762E-2</v>
      </c>
      <c r="S29" s="1327">
        <f t="shared" si="20"/>
        <v>3.1791036831654455E-2</v>
      </c>
      <c r="T29" s="1327">
        <f t="shared" si="20"/>
        <v>3.3553683653180857E-2</v>
      </c>
      <c r="V29" s="577">
        <v>2028</v>
      </c>
      <c r="W29" s="578">
        <f t="shared" si="8"/>
        <v>0.35082107727913142</v>
      </c>
      <c r="X29" s="578">
        <f t="shared" si="9"/>
        <v>4.0344008114992724E-2</v>
      </c>
      <c r="Y29" s="578">
        <f t="shared" si="10"/>
        <v>3.5853954653803068E-2</v>
      </c>
      <c r="Z29" s="578">
        <f t="shared" si="11"/>
        <v>3.4842976367493284E-2</v>
      </c>
      <c r="AA29" s="578">
        <f t="shared" si="12"/>
        <v>3.6774837283886225E-2</v>
      </c>
      <c r="AC29" s="577">
        <v>2028</v>
      </c>
      <c r="AD29" s="578">
        <f t="shared" si="13"/>
        <v>0.25743532483839149</v>
      </c>
      <c r="AE29" s="578">
        <f t="shared" si="14"/>
        <v>2.9604757259502505E-2</v>
      </c>
      <c r="AF29" s="578">
        <f t="shared" si="15"/>
        <v>2.6309919958711108E-2</v>
      </c>
      <c r="AG29" s="578">
        <f t="shared" si="16"/>
        <v>2.5568055970494566E-2</v>
      </c>
      <c r="AH29" s="578">
        <f t="shared" si="17"/>
        <v>2.6985671030602568E-2</v>
      </c>
      <c r="AJ29" s="579">
        <v>2028</v>
      </c>
      <c r="AK29" s="580">
        <f t="shared" si="6"/>
        <v>5</v>
      </c>
      <c r="AL29" s="578">
        <f t="shared" ref="AL29:AP44" si="25">AD29+AL28</f>
        <v>1.4721441598506111</v>
      </c>
      <c r="AM29" s="578">
        <f t="shared" si="25"/>
        <v>0.18113472595314972</v>
      </c>
      <c r="AN29" s="578">
        <f t="shared" si="25"/>
        <v>0.15887851695573257</v>
      </c>
      <c r="AO29" s="578">
        <f t="shared" si="25"/>
        <v>0.15725077236679635</v>
      </c>
      <c r="AP29" s="581">
        <f t="shared" si="25"/>
        <v>0.15168066468709693</v>
      </c>
    </row>
    <row r="30" spans="1:99" ht="15">
      <c r="A30" s="541">
        <v>2029</v>
      </c>
      <c r="B30" s="541">
        <f t="shared" si="7"/>
        <v>6</v>
      </c>
      <c r="C30" s="1600">
        <v>5.3507072359194191E-2</v>
      </c>
      <c r="D30" s="1602">
        <v>3.6419534885260924E-2</v>
      </c>
      <c r="E30" s="1602">
        <v>3.3442126648319075E-2</v>
      </c>
      <c r="F30" s="1602">
        <v>3.3050092620793843E-2</v>
      </c>
      <c r="G30" s="1602">
        <v>3.5845966635269018E-2</v>
      </c>
      <c r="J30" s="656">
        <f t="shared" si="24"/>
        <v>0.25307692307692309</v>
      </c>
      <c r="K30" s="657">
        <v>520</v>
      </c>
      <c r="L30" s="1603">
        <v>6.64</v>
      </c>
      <c r="M30" s="1324">
        <f t="shared" si="21"/>
        <v>1.2769230769230769E-2</v>
      </c>
      <c r="N30" s="541" t="s">
        <v>1648</v>
      </c>
      <c r="O30" s="541">
        <v>2029</v>
      </c>
      <c r="P30" s="1326">
        <f t="shared" si="22"/>
        <v>6.627630312842496E-2</v>
      </c>
      <c r="Q30" s="1327">
        <f t="shared" si="19"/>
        <v>3.6419534885260924E-2</v>
      </c>
      <c r="R30" s="1327">
        <f t="shared" si="20"/>
        <v>3.3442126648319075E-2</v>
      </c>
      <c r="S30" s="1327">
        <f t="shared" si="20"/>
        <v>3.3050092620793843E-2</v>
      </c>
      <c r="T30" s="1327">
        <f t="shared" si="20"/>
        <v>3.5845966635269018E-2</v>
      </c>
      <c r="V30" s="577">
        <v>2029</v>
      </c>
      <c r="W30" s="578">
        <f t="shared" si="8"/>
        <v>0.35033048914726683</v>
      </c>
      <c r="X30" s="578">
        <f t="shared" si="9"/>
        <v>3.9915810234245973E-2</v>
      </c>
      <c r="Y30" s="578">
        <f t="shared" si="10"/>
        <v>3.6652570806557712E-2</v>
      </c>
      <c r="Z30" s="578">
        <f t="shared" si="11"/>
        <v>3.6222901512390056E-2</v>
      </c>
      <c r="AA30" s="578">
        <f t="shared" si="12"/>
        <v>3.9287179432254848E-2</v>
      </c>
      <c r="AC30" s="577">
        <v>2029</v>
      </c>
      <c r="AD30" s="578">
        <f t="shared" si="13"/>
        <v>0.23998816964719547</v>
      </c>
      <c r="AE30" s="578">
        <f t="shared" si="14"/>
        <v>2.7343672717205801E-2</v>
      </c>
      <c r="AF30" s="578">
        <f t="shared" si="15"/>
        <v>2.5108243938860839E-2</v>
      </c>
      <c r="AG30" s="578">
        <f t="shared" si="16"/>
        <v>2.481390601893874E-2</v>
      </c>
      <c r="AH30" s="578">
        <f t="shared" si="17"/>
        <v>2.6913039471664103E-2</v>
      </c>
      <c r="AJ30" s="579">
        <v>2029</v>
      </c>
      <c r="AK30" s="580">
        <f t="shared" si="6"/>
        <v>6</v>
      </c>
      <c r="AL30" s="578">
        <f t="shared" si="25"/>
        <v>1.7121323294978066</v>
      </c>
      <c r="AM30" s="578">
        <f t="shared" si="25"/>
        <v>0.20847839867035553</v>
      </c>
      <c r="AN30" s="578">
        <f t="shared" si="25"/>
        <v>0.18398676089459343</v>
      </c>
      <c r="AO30" s="578">
        <f t="shared" si="25"/>
        <v>0.18206467838573509</v>
      </c>
      <c r="AP30" s="581">
        <f t="shared" si="25"/>
        <v>0.17859370415876102</v>
      </c>
    </row>
    <row r="31" spans="1:99" ht="15">
      <c r="A31" s="541">
        <v>2030</v>
      </c>
      <c r="B31" s="541">
        <f t="shared" si="7"/>
        <v>7</v>
      </c>
      <c r="C31" s="1600">
        <v>5.1511482135429637E-2</v>
      </c>
      <c r="D31" s="1602">
        <v>3.0481151430116704E-2</v>
      </c>
      <c r="E31" s="1602">
        <v>3.029685646106401E-2</v>
      </c>
      <c r="F31" s="1602">
        <v>3.0443378681531234E-2</v>
      </c>
      <c r="G31" s="1602">
        <v>3.6228003072600934E-2</v>
      </c>
      <c r="J31" s="656">
        <f t="shared" si="24"/>
        <v>0.25703124999999999</v>
      </c>
      <c r="K31" s="657">
        <v>512</v>
      </c>
      <c r="L31" s="1603">
        <v>6.44</v>
      </c>
      <c r="M31" s="1324">
        <f t="shared" si="21"/>
        <v>1.2578125000000001E-2</v>
      </c>
      <c r="N31" s="541" t="s">
        <v>1648</v>
      </c>
      <c r="O31" s="541">
        <v>2030</v>
      </c>
      <c r="P31" s="1326">
        <f t="shared" si="22"/>
        <v>6.4089607135429633E-2</v>
      </c>
      <c r="Q31" s="1327">
        <f t="shared" si="19"/>
        <v>3.0481151430116704E-2</v>
      </c>
      <c r="R31" s="1327">
        <f t="shared" si="20"/>
        <v>3.029685646106401E-2</v>
      </c>
      <c r="S31" s="1327">
        <f t="shared" si="20"/>
        <v>3.0443378681531234E-2</v>
      </c>
      <c r="T31" s="1327">
        <f t="shared" si="20"/>
        <v>3.6228003072600934E-2</v>
      </c>
      <c r="V31" s="577">
        <v>2030</v>
      </c>
      <c r="W31" s="578">
        <f t="shared" si="8"/>
        <v>0.35226958027756627</v>
      </c>
      <c r="X31" s="578">
        <f t="shared" si="9"/>
        <v>3.3407341967407911E-2</v>
      </c>
      <c r="Y31" s="578">
        <f t="shared" si="10"/>
        <v>3.3205354681326155E-2</v>
      </c>
      <c r="Z31" s="578">
        <f t="shared" si="11"/>
        <v>3.3365943034958233E-2</v>
      </c>
      <c r="AA31" s="578">
        <f t="shared" si="12"/>
        <v>3.9705891367570627E-2</v>
      </c>
      <c r="AC31" s="577">
        <v>2030</v>
      </c>
      <c r="AD31" s="578">
        <f t="shared" si="13"/>
        <v>0.22527680386436477</v>
      </c>
      <c r="AE31" s="578">
        <f t="shared" si="14"/>
        <v>2.136403381209237E-2</v>
      </c>
      <c r="AF31" s="578">
        <f t="shared" si="15"/>
        <v>2.1234862709115267E-2</v>
      </c>
      <c r="AG31" s="578">
        <f t="shared" si="16"/>
        <v>2.1337559146927382E-2</v>
      </c>
      <c r="AH31" s="578">
        <f t="shared" si="17"/>
        <v>2.5391963435571218E-2</v>
      </c>
      <c r="AJ31" s="579">
        <v>2030</v>
      </c>
      <c r="AK31" s="580">
        <f t="shared" si="6"/>
        <v>7</v>
      </c>
      <c r="AL31" s="578">
        <f t="shared" si="25"/>
        <v>1.9374091333621712</v>
      </c>
      <c r="AM31" s="578">
        <f t="shared" si="25"/>
        <v>0.2298424324824479</v>
      </c>
      <c r="AN31" s="578">
        <f t="shared" si="25"/>
        <v>0.20522162360370869</v>
      </c>
      <c r="AO31" s="578">
        <f t="shared" si="25"/>
        <v>0.20340223753266248</v>
      </c>
      <c r="AP31" s="581">
        <f t="shared" si="25"/>
        <v>0.20398566759433223</v>
      </c>
    </row>
    <row r="32" spans="1:99" ht="15">
      <c r="A32" s="541">
        <v>2031</v>
      </c>
      <c r="B32" s="541">
        <f t="shared" si="7"/>
        <v>8</v>
      </c>
      <c r="C32" s="1600">
        <v>5.4928180586103582E-2</v>
      </c>
      <c r="D32" s="1602">
        <v>3.1798162367967217E-2</v>
      </c>
      <c r="E32" s="1602">
        <v>3.2568461623233187E-2</v>
      </c>
      <c r="F32" s="1602">
        <v>3.1685019575445741E-2</v>
      </c>
      <c r="G32" s="1602">
        <v>3.7224850528246679E-2</v>
      </c>
      <c r="J32" s="656">
        <f t="shared" si="24"/>
        <v>0.25703124999999999</v>
      </c>
      <c r="K32" s="657">
        <v>512</v>
      </c>
      <c r="L32" s="1603">
        <v>6.35</v>
      </c>
      <c r="M32" s="1324">
        <f t="shared" si="21"/>
        <v>1.2402343749999999E-2</v>
      </c>
      <c r="N32" s="541" t="s">
        <v>1648</v>
      </c>
      <c r="O32" s="541">
        <v>2031</v>
      </c>
      <c r="P32" s="1326">
        <f t="shared" si="22"/>
        <v>6.7330524336103578E-2</v>
      </c>
      <c r="Q32" s="1327">
        <f t="shared" si="19"/>
        <v>3.1798162367967217E-2</v>
      </c>
      <c r="R32" s="1327">
        <f t="shared" si="20"/>
        <v>3.2568461623233187E-2</v>
      </c>
      <c r="S32" s="1327">
        <f t="shared" si="20"/>
        <v>3.1685019575445741E-2</v>
      </c>
      <c r="T32" s="1327">
        <f t="shared" si="20"/>
        <v>3.7224850528246679E-2</v>
      </c>
      <c r="V32" s="577">
        <v>2031</v>
      </c>
      <c r="W32" s="578">
        <f t="shared" si="8"/>
        <v>0.35582486644670563</v>
      </c>
      <c r="X32" s="578">
        <f t="shared" si="9"/>
        <v>3.485078595529207E-2</v>
      </c>
      <c r="Y32" s="578">
        <f t="shared" si="10"/>
        <v>3.5695033939063578E-2</v>
      </c>
      <c r="Z32" s="578">
        <f t="shared" si="11"/>
        <v>3.4726781454688535E-2</v>
      </c>
      <c r="AA32" s="578">
        <f t="shared" si="12"/>
        <v>4.0798436178958362E-2</v>
      </c>
      <c r="AC32" s="577">
        <v>2031</v>
      </c>
      <c r="AD32" s="578">
        <f t="shared" si="13"/>
        <v>0.21242570339803721</v>
      </c>
      <c r="AE32" s="578">
        <f t="shared" si="14"/>
        <v>2.0805748610141565E-2</v>
      </c>
      <c r="AF32" s="578">
        <f t="shared" si="15"/>
        <v>2.1309760523603206E-2</v>
      </c>
      <c r="AG32" s="578">
        <f t="shared" si="16"/>
        <v>2.0731718530320898E-2</v>
      </c>
      <c r="AH32" s="578">
        <f t="shared" si="17"/>
        <v>2.4356466678118523E-2</v>
      </c>
      <c r="AJ32" s="579">
        <v>2031</v>
      </c>
      <c r="AK32" s="580">
        <f t="shared" si="6"/>
        <v>8</v>
      </c>
      <c r="AL32" s="578">
        <f t="shared" si="25"/>
        <v>2.1498348367602085</v>
      </c>
      <c r="AM32" s="578">
        <f t="shared" si="25"/>
        <v>0.25064818109258946</v>
      </c>
      <c r="AN32" s="578">
        <f t="shared" si="25"/>
        <v>0.22653138412731189</v>
      </c>
      <c r="AO32" s="578">
        <f t="shared" si="25"/>
        <v>0.22413395606298339</v>
      </c>
      <c r="AP32" s="581">
        <f t="shared" si="25"/>
        <v>0.22834213427245076</v>
      </c>
    </row>
    <row r="33" spans="1:43" ht="15">
      <c r="A33" s="541">
        <v>2032</v>
      </c>
      <c r="B33" s="541">
        <f t="shared" si="7"/>
        <v>9</v>
      </c>
      <c r="C33" s="1600">
        <v>5.5877946280499975E-2</v>
      </c>
      <c r="D33" s="1602">
        <v>3.2561384920257917E-2</v>
      </c>
      <c r="E33" s="1602">
        <v>3.3717726860679982E-2</v>
      </c>
      <c r="F33" s="1602">
        <v>3.305429794602608E-2</v>
      </c>
      <c r="G33" s="1602">
        <v>3.9162787800563162E-2</v>
      </c>
      <c r="J33" s="656">
        <f t="shared" si="24"/>
        <v>0.25307692307692309</v>
      </c>
      <c r="K33" s="657">
        <v>520</v>
      </c>
      <c r="L33" s="1603">
        <v>6.33</v>
      </c>
      <c r="M33" s="1324">
        <f t="shared" si="21"/>
        <v>1.2173076923076924E-2</v>
      </c>
      <c r="N33" s="541" t="s">
        <v>1648</v>
      </c>
      <c r="O33" s="541">
        <v>2032</v>
      </c>
      <c r="P33" s="1326">
        <f t="shared" si="22"/>
        <v>6.8051023203576894E-2</v>
      </c>
      <c r="Q33" s="1327">
        <f t="shared" si="19"/>
        <v>3.2561384920257917E-2</v>
      </c>
      <c r="R33" s="1327">
        <f t="shared" si="20"/>
        <v>3.3717726860679982E-2</v>
      </c>
      <c r="S33" s="1327">
        <f t="shared" si="20"/>
        <v>3.305429794602608E-2</v>
      </c>
      <c r="T33" s="1327">
        <f t="shared" si="20"/>
        <v>3.9162787800563162E-2</v>
      </c>
      <c r="V33" s="577">
        <v>2032</v>
      </c>
      <c r="W33" s="578">
        <f t="shared" si="8"/>
        <v>0.35227735706970853</v>
      </c>
      <c r="X33" s="578">
        <f t="shared" si="9"/>
        <v>3.5687277872602681E-2</v>
      </c>
      <c r="Y33" s="578">
        <f t="shared" si="10"/>
        <v>3.6954628639305265E-2</v>
      </c>
      <c r="Z33" s="578">
        <f t="shared" si="11"/>
        <v>3.6227510548844585E-2</v>
      </c>
      <c r="AA33" s="578">
        <f t="shared" si="12"/>
        <v>4.2922415429417229E-2</v>
      </c>
      <c r="AC33" s="577">
        <v>2032</v>
      </c>
      <c r="AD33" s="578">
        <f t="shared" si="13"/>
        <v>0.19632921738807346</v>
      </c>
      <c r="AE33" s="578">
        <f t="shared" si="14"/>
        <v>1.9889031170551109E-2</v>
      </c>
      <c r="AF33" s="578">
        <f t="shared" si="15"/>
        <v>2.0595343907346329E-2</v>
      </c>
      <c r="AG33" s="578">
        <f t="shared" si="16"/>
        <v>2.0190110579731104E-2</v>
      </c>
      <c r="AH33" s="578">
        <f t="shared" si="17"/>
        <v>2.3921276972665991E-2</v>
      </c>
      <c r="AJ33" s="579">
        <v>2032</v>
      </c>
      <c r="AK33" s="580">
        <f t="shared" si="6"/>
        <v>9</v>
      </c>
      <c r="AL33" s="578">
        <f t="shared" si="25"/>
        <v>2.3461640541482818</v>
      </c>
      <c r="AM33" s="578">
        <f t="shared" si="25"/>
        <v>0.27053721226314059</v>
      </c>
      <c r="AN33" s="578">
        <f t="shared" si="25"/>
        <v>0.24712672803465821</v>
      </c>
      <c r="AO33" s="578">
        <f t="shared" si="25"/>
        <v>0.2443240666427145</v>
      </c>
      <c r="AP33" s="581">
        <f t="shared" si="25"/>
        <v>0.25226341124511675</v>
      </c>
    </row>
    <row r="34" spans="1:43" ht="15">
      <c r="A34" s="541">
        <v>2033</v>
      </c>
      <c r="B34" s="541">
        <f t="shared" si="7"/>
        <v>10</v>
      </c>
      <c r="C34" s="1600">
        <v>5.5057099281230697E-2</v>
      </c>
      <c r="D34" s="1602">
        <v>2.9373731937889884E-2</v>
      </c>
      <c r="E34" s="1602">
        <v>3.3168663244672304E-2</v>
      </c>
      <c r="F34" s="1602">
        <v>3.1750882204836191E-2</v>
      </c>
      <c r="G34" s="1602">
        <v>4.0516509342907597E-2</v>
      </c>
      <c r="J34" s="656">
        <f t="shared" si="24"/>
        <v>0.25307692307692309</v>
      </c>
      <c r="K34" s="657">
        <v>520</v>
      </c>
      <c r="L34" s="1603">
        <v>6.52</v>
      </c>
      <c r="M34" s="1324">
        <f t="shared" si="21"/>
        <v>1.2538461538461538E-2</v>
      </c>
      <c r="N34" s="541" t="s">
        <v>1648</v>
      </c>
      <c r="O34" s="541">
        <v>2033</v>
      </c>
      <c r="P34" s="1326">
        <f t="shared" si="22"/>
        <v>6.759556081969223E-2</v>
      </c>
      <c r="Q34" s="1327">
        <f t="shared" si="19"/>
        <v>2.9373731937889884E-2</v>
      </c>
      <c r="R34" s="1327">
        <f t="shared" si="20"/>
        <v>3.3168663244672304E-2</v>
      </c>
      <c r="S34" s="1327">
        <f t="shared" si="20"/>
        <v>3.1750882204836191E-2</v>
      </c>
      <c r="T34" s="1327">
        <f t="shared" si="20"/>
        <v>4.0516509342907597E-2</v>
      </c>
      <c r="V34" s="577">
        <v>2033</v>
      </c>
      <c r="W34" s="578">
        <f t="shared" si="8"/>
        <v>0.35177771483458697</v>
      </c>
      <c r="X34" s="578">
        <f t="shared" si="9"/>
        <v>3.2193610203927317E-2</v>
      </c>
      <c r="Y34" s="578">
        <f t="shared" si="10"/>
        <v>3.6352854916160846E-2</v>
      </c>
      <c r="Z34" s="578">
        <f t="shared" si="11"/>
        <v>3.4798966896500465E-2</v>
      </c>
      <c r="AA34" s="578">
        <f t="shared" si="12"/>
        <v>4.4406094239826728E-2</v>
      </c>
      <c r="AC34" s="577">
        <v>2033</v>
      </c>
      <c r="AD34" s="578">
        <f t="shared" si="13"/>
        <v>0.18301975318631322</v>
      </c>
      <c r="AE34" s="578">
        <f t="shared" si="14"/>
        <v>1.6749402663183827E-2</v>
      </c>
      <c r="AF34" s="578">
        <f t="shared" si="15"/>
        <v>1.8913337183687498E-2</v>
      </c>
      <c r="AG34" s="578">
        <f t="shared" si="16"/>
        <v>1.8104894266912232E-2</v>
      </c>
      <c r="AH34" s="578">
        <f t="shared" si="17"/>
        <v>2.3103204282178092E-2</v>
      </c>
      <c r="AJ34" s="579">
        <v>2033</v>
      </c>
      <c r="AK34" s="580">
        <f t="shared" si="6"/>
        <v>10</v>
      </c>
      <c r="AL34" s="578">
        <f t="shared" si="25"/>
        <v>2.5291838073345949</v>
      </c>
      <c r="AM34" s="578">
        <f t="shared" si="25"/>
        <v>0.2872866149263244</v>
      </c>
      <c r="AN34" s="578">
        <f t="shared" si="25"/>
        <v>0.26604006521834572</v>
      </c>
      <c r="AO34" s="578">
        <f t="shared" si="25"/>
        <v>0.26242896090962675</v>
      </c>
      <c r="AP34" s="581">
        <f t="shared" si="25"/>
        <v>0.27536661552729486</v>
      </c>
    </row>
    <row r="35" spans="1:43" ht="15">
      <c r="A35" s="541">
        <v>2034</v>
      </c>
      <c r="B35" s="541">
        <f t="shared" si="7"/>
        <v>11</v>
      </c>
      <c r="C35" s="1600">
        <v>5.7354886356426937E-2</v>
      </c>
      <c r="D35" s="1602">
        <v>3.1196951697371682E-2</v>
      </c>
      <c r="E35" s="1602">
        <v>3.477372528861071E-2</v>
      </c>
      <c r="F35" s="1602">
        <v>3.2636347908934507E-2</v>
      </c>
      <c r="G35" s="1602">
        <v>4.1675899723680111E-2</v>
      </c>
      <c r="J35" s="656">
        <f t="shared" si="24"/>
        <v>0.25307692307692309</v>
      </c>
      <c r="K35" s="657">
        <v>520</v>
      </c>
      <c r="L35" s="1603">
        <v>6.29</v>
      </c>
      <c r="M35" s="1324">
        <f t="shared" si="21"/>
        <v>1.2096153846153847E-2</v>
      </c>
      <c r="N35" s="541" t="s">
        <v>1648</v>
      </c>
      <c r="O35" s="541">
        <v>2034</v>
      </c>
      <c r="P35" s="1326">
        <f t="shared" si="22"/>
        <v>6.9451040202580777E-2</v>
      </c>
      <c r="Q35" s="1327">
        <f t="shared" si="19"/>
        <v>3.1196951697371682E-2</v>
      </c>
      <c r="R35" s="1327">
        <f t="shared" si="20"/>
        <v>3.477372528861071E-2</v>
      </c>
      <c r="S35" s="1327">
        <f t="shared" si="20"/>
        <v>3.2636347908934507E-2</v>
      </c>
      <c r="T35" s="1327">
        <f t="shared" si="20"/>
        <v>4.1675899723680111E-2</v>
      </c>
      <c r="V35" s="577">
        <v>2034</v>
      </c>
      <c r="W35" s="578">
        <f t="shared" si="8"/>
        <v>0.35381317571761572</v>
      </c>
      <c r="X35" s="578">
        <f t="shared" si="9"/>
        <v>3.4191859060319366E-2</v>
      </c>
      <c r="Y35" s="578">
        <f t="shared" si="10"/>
        <v>3.811200291631734E-2</v>
      </c>
      <c r="Z35" s="578">
        <f t="shared" si="11"/>
        <v>3.5769437308192223E-2</v>
      </c>
      <c r="AA35" s="578">
        <f t="shared" si="12"/>
        <v>4.5676786097153407E-2</v>
      </c>
      <c r="AC35" s="577">
        <v>2034</v>
      </c>
      <c r="AD35" s="578">
        <f t="shared" si="13"/>
        <v>0.17184348815494857</v>
      </c>
      <c r="AE35" s="578">
        <f t="shared" si="14"/>
        <v>1.6606640822548441E-2</v>
      </c>
      <c r="AF35" s="578">
        <f t="shared" si="15"/>
        <v>1.8510615124572555E-2</v>
      </c>
      <c r="AG35" s="578">
        <f t="shared" si="16"/>
        <v>1.737285465390731E-2</v>
      </c>
      <c r="AH35" s="578">
        <f t="shared" si="17"/>
        <v>2.2184753958701998E-2</v>
      </c>
      <c r="AJ35" s="579">
        <v>2034</v>
      </c>
      <c r="AK35" s="580">
        <f t="shared" si="6"/>
        <v>11</v>
      </c>
      <c r="AL35" s="578">
        <f t="shared" si="25"/>
        <v>2.7010272954895433</v>
      </c>
      <c r="AM35" s="578">
        <f t="shared" si="25"/>
        <v>0.30389325574887283</v>
      </c>
      <c r="AN35" s="578">
        <f t="shared" si="25"/>
        <v>0.28455068034291831</v>
      </c>
      <c r="AO35" s="578">
        <f t="shared" si="25"/>
        <v>0.27980181556353406</v>
      </c>
      <c r="AP35" s="581">
        <f t="shared" si="25"/>
        <v>0.29755136948599686</v>
      </c>
    </row>
    <row r="36" spans="1:43" ht="15">
      <c r="A36" s="541">
        <v>2035</v>
      </c>
      <c r="B36" s="541">
        <f t="shared" si="7"/>
        <v>12</v>
      </c>
      <c r="C36" s="1600">
        <v>5.7240062346711564E-2</v>
      </c>
      <c r="D36" s="1602">
        <v>3.1789488121040724E-2</v>
      </c>
      <c r="E36" s="1602">
        <v>3.503475091132683E-2</v>
      </c>
      <c r="F36" s="1602">
        <v>3.4108642447292559E-2</v>
      </c>
      <c r="G36" s="1602">
        <v>4.3538873270017181E-2</v>
      </c>
      <c r="J36" s="656">
        <f t="shared" si="24"/>
        <v>0.25307692307692309</v>
      </c>
      <c r="K36" s="657">
        <v>520</v>
      </c>
      <c r="L36" s="1603">
        <v>3.89</v>
      </c>
      <c r="M36" s="1324">
        <f t="shared" si="21"/>
        <v>7.4807692307692309E-3</v>
      </c>
      <c r="N36" s="541" t="s">
        <v>1648</v>
      </c>
      <c r="O36" s="541">
        <v>2035</v>
      </c>
      <c r="P36" s="1326">
        <f t="shared" si="22"/>
        <v>6.4720831577480792E-2</v>
      </c>
      <c r="Q36" s="1327">
        <f t="shared" si="19"/>
        <v>3.1789488121040724E-2</v>
      </c>
      <c r="R36" s="1327">
        <f>E36</f>
        <v>3.503475091132683E-2</v>
      </c>
      <c r="S36" s="1327">
        <f>F36</f>
        <v>3.4108642447292559E-2</v>
      </c>
      <c r="T36" s="1327">
        <f>G36</f>
        <v>4.3538873270017181E-2</v>
      </c>
      <c r="V36" s="577">
        <v>2035</v>
      </c>
      <c r="W36" s="578">
        <f t="shared" si="8"/>
        <v>0.34862413685588101</v>
      </c>
      <c r="X36" s="578">
        <f t="shared" si="9"/>
        <v>3.4841278980660639E-2</v>
      </c>
      <c r="Y36" s="578">
        <f t="shared" si="10"/>
        <v>3.839808699881421E-2</v>
      </c>
      <c r="Z36" s="578">
        <f t="shared" si="11"/>
        <v>3.7383072122232644E-2</v>
      </c>
      <c r="AA36" s="578">
        <f t="shared" si="12"/>
        <v>4.7718605103938834E-2</v>
      </c>
      <c r="AC36" s="577">
        <v>2035</v>
      </c>
      <c r="AD36" s="578">
        <f t="shared" si="13"/>
        <v>0.15806873072863048</v>
      </c>
      <c r="AE36" s="578">
        <f t="shared" si="14"/>
        <v>1.5797290443236949E-2</v>
      </c>
      <c r="AF36" s="578">
        <f t="shared" si="15"/>
        <v>1.7409973185015578E-2</v>
      </c>
      <c r="AG36" s="578">
        <f t="shared" si="16"/>
        <v>1.6949758024186794E-2</v>
      </c>
      <c r="AH36" s="578">
        <f t="shared" si="17"/>
        <v>2.1635964190392567E-2</v>
      </c>
      <c r="AJ36" s="579">
        <v>2035</v>
      </c>
      <c r="AK36" s="580">
        <f t="shared" si="6"/>
        <v>12</v>
      </c>
      <c r="AL36" s="578">
        <f t="shared" si="25"/>
        <v>2.8590960262181739</v>
      </c>
      <c r="AM36" s="578">
        <f t="shared" si="25"/>
        <v>0.31969054619210979</v>
      </c>
      <c r="AN36" s="578">
        <f t="shared" si="25"/>
        <v>0.30196065352793389</v>
      </c>
      <c r="AO36" s="578">
        <f t="shared" si="25"/>
        <v>0.29675157358772086</v>
      </c>
      <c r="AP36" s="581">
        <f t="shared" si="25"/>
        <v>0.31918733367638941</v>
      </c>
      <c r="AQ36" s="582"/>
    </row>
    <row r="37" spans="1:43" ht="15">
      <c r="A37" s="541">
        <v>2036</v>
      </c>
      <c r="B37" s="541">
        <f t="shared" si="7"/>
        <v>13</v>
      </c>
      <c r="C37" s="1600">
        <v>5.8878214083453138E-2</v>
      </c>
      <c r="D37" s="1602">
        <v>3.2535137868599115E-2</v>
      </c>
      <c r="E37" s="1602">
        <v>3.678902873075126E-2</v>
      </c>
      <c r="F37" s="1602">
        <v>3.6377358936575788E-2</v>
      </c>
      <c r="G37" s="1602">
        <v>4.4180585941766201E-2</v>
      </c>
      <c r="J37" s="656">
        <f t="shared" si="24"/>
        <v>0.25703124999999999</v>
      </c>
      <c r="K37" s="657">
        <v>512</v>
      </c>
      <c r="L37" s="1603">
        <v>2.5299999999999998</v>
      </c>
      <c r="M37" s="1324">
        <f t="shared" si="21"/>
        <v>4.9414062499999996E-3</v>
      </c>
      <c r="N37" s="541" t="s">
        <v>1648</v>
      </c>
      <c r="O37" s="541">
        <v>2036</v>
      </c>
      <c r="P37" s="1326">
        <f t="shared" si="22"/>
        <v>6.3819620333453134E-2</v>
      </c>
      <c r="Q37" s="1327">
        <f t="shared" ref="Q37:T58" si="26">D37</f>
        <v>3.2535137868599115E-2</v>
      </c>
      <c r="R37" s="1327">
        <f t="shared" si="26"/>
        <v>3.678902873075126E-2</v>
      </c>
      <c r="S37" s="1327">
        <f t="shared" si="26"/>
        <v>3.6377358936575788E-2</v>
      </c>
      <c r="T37" s="1327">
        <f t="shared" si="26"/>
        <v>4.4180585941766201E-2</v>
      </c>
      <c r="V37" s="577">
        <v>2036</v>
      </c>
      <c r="W37" s="578">
        <f t="shared" si="8"/>
        <v>0.35197340475579802</v>
      </c>
      <c r="X37" s="578">
        <f t="shared" si="9"/>
        <v>3.565851110398463E-2</v>
      </c>
      <c r="Y37" s="578">
        <f t="shared" si="10"/>
        <v>4.0320775488903386E-2</v>
      </c>
      <c r="Z37" s="578">
        <f t="shared" si="11"/>
        <v>3.9869585394487067E-2</v>
      </c>
      <c r="AA37" s="578">
        <f t="shared" si="12"/>
        <v>4.8421922192175761E-2</v>
      </c>
      <c r="AC37" s="577">
        <v>2036</v>
      </c>
      <c r="AD37" s="578">
        <f t="shared" si="13"/>
        <v>0.14897994143436755</v>
      </c>
      <c r="AE37" s="578">
        <f t="shared" si="14"/>
        <v>1.509319404286856E-2</v>
      </c>
      <c r="AF37" s="578">
        <f t="shared" si="15"/>
        <v>1.7066592787295404E-2</v>
      </c>
      <c r="AG37" s="578">
        <f t="shared" si="16"/>
        <v>1.6875617352976591E-2</v>
      </c>
      <c r="AH37" s="578">
        <f t="shared" si="17"/>
        <v>2.0495568798258791E-2</v>
      </c>
      <c r="AJ37" s="579">
        <v>2036</v>
      </c>
      <c r="AK37" s="580">
        <f t="shared" si="6"/>
        <v>13</v>
      </c>
      <c r="AL37" s="578">
        <f t="shared" si="25"/>
        <v>3.0080759676525415</v>
      </c>
      <c r="AM37" s="578">
        <f t="shared" si="25"/>
        <v>0.33478374023497837</v>
      </c>
      <c r="AN37" s="578">
        <f t="shared" si="25"/>
        <v>0.31902724631522927</v>
      </c>
      <c r="AO37" s="578">
        <f t="shared" si="25"/>
        <v>0.31362719094069746</v>
      </c>
      <c r="AP37" s="581">
        <f t="shared" si="25"/>
        <v>0.33968290247464822</v>
      </c>
    </row>
    <row r="38" spans="1:43" ht="15">
      <c r="A38" s="541">
        <v>2037</v>
      </c>
      <c r="B38" s="541">
        <f t="shared" si="7"/>
        <v>14</v>
      </c>
      <c r="C38" s="1600">
        <v>5.6638807602462121E-2</v>
      </c>
      <c r="D38" s="1602">
        <v>2.973533324114961E-2</v>
      </c>
      <c r="E38" s="1602">
        <v>3.5616760188698512E-2</v>
      </c>
      <c r="F38" s="1602">
        <v>3.07951849432491E-2</v>
      </c>
      <c r="G38" s="1602">
        <v>3.9899688216968508E-2</v>
      </c>
      <c r="J38" s="656">
        <f t="shared" si="24"/>
        <v>0.24924242424242424</v>
      </c>
      <c r="K38" s="657">
        <v>528</v>
      </c>
      <c r="L38" s="1603">
        <v>2.54</v>
      </c>
      <c r="M38" s="1324">
        <f t="shared" si="21"/>
        <v>4.8106060606060604E-3</v>
      </c>
      <c r="N38" s="541" t="s">
        <v>1648</v>
      </c>
      <c r="O38" s="541">
        <v>2037</v>
      </c>
      <c r="P38" s="1326">
        <f t="shared" si="22"/>
        <v>6.1449413663068178E-2</v>
      </c>
      <c r="Q38" s="1327">
        <f t="shared" si="26"/>
        <v>2.973533324114961E-2</v>
      </c>
      <c r="R38" s="1327">
        <f t="shared" si="26"/>
        <v>3.5616760188698512E-2</v>
      </c>
      <c r="S38" s="1327">
        <f t="shared" si="26"/>
        <v>3.07951849432491E-2</v>
      </c>
      <c r="T38" s="1327">
        <f t="shared" si="26"/>
        <v>3.9899688216968508E-2</v>
      </c>
      <c r="V38" s="577">
        <v>2037</v>
      </c>
      <c r="W38" s="578">
        <f t="shared" si="8"/>
        <v>0.34082894618232518</v>
      </c>
      <c r="X38" s="578">
        <f t="shared" si="9"/>
        <v>3.2589925232299977E-2</v>
      </c>
      <c r="Y38" s="578">
        <f t="shared" si="10"/>
        <v>3.9035969166813574E-2</v>
      </c>
      <c r="Z38" s="578">
        <f t="shared" si="11"/>
        <v>3.3751522697801017E-2</v>
      </c>
      <c r="AA38" s="578">
        <f t="shared" si="12"/>
        <v>4.3730058285797485E-2</v>
      </c>
      <c r="AC38" s="577">
        <v>2037</v>
      </c>
      <c r="AD38" s="578">
        <f t="shared" si="13"/>
        <v>0.13467403046908269</v>
      </c>
      <c r="AE38" s="578">
        <f t="shared" si="14"/>
        <v>1.2877476026851329E-2</v>
      </c>
      <c r="AF38" s="578">
        <f t="shared" si="15"/>
        <v>1.5424544657510813E-2</v>
      </c>
      <c r="AG38" s="578">
        <f t="shared" si="16"/>
        <v>1.3336465834536298E-2</v>
      </c>
      <c r="AH38" s="578">
        <f t="shared" si="17"/>
        <v>1.7279351616003271E-2</v>
      </c>
      <c r="AJ38" s="579">
        <v>2037</v>
      </c>
      <c r="AK38" s="580">
        <f t="shared" si="6"/>
        <v>14</v>
      </c>
      <c r="AL38" s="578">
        <f t="shared" si="25"/>
        <v>3.1427499981216243</v>
      </c>
      <c r="AM38" s="578">
        <f t="shared" si="25"/>
        <v>0.34766121626182972</v>
      </c>
      <c r="AN38" s="578">
        <f t="shared" si="25"/>
        <v>0.33445179097274008</v>
      </c>
      <c r="AO38" s="578">
        <f t="shared" si="25"/>
        <v>0.32696365677523376</v>
      </c>
      <c r="AP38" s="581">
        <f t="shared" si="25"/>
        <v>0.35696225409065147</v>
      </c>
    </row>
    <row r="39" spans="1:43" ht="15">
      <c r="A39" s="541">
        <v>2038</v>
      </c>
      <c r="B39" s="541">
        <f t="shared" si="7"/>
        <v>15</v>
      </c>
      <c r="C39" s="1600">
        <v>5.892740868822112E-2</v>
      </c>
      <c r="D39" s="1602">
        <v>3.2086515156758658E-2</v>
      </c>
      <c r="E39" s="1602">
        <v>3.8003276717120935E-2</v>
      </c>
      <c r="F39" s="1602">
        <v>3.2116706646463947E-2</v>
      </c>
      <c r="G39" s="1602">
        <v>4.2514993786830275E-2</v>
      </c>
      <c r="J39" s="656">
        <f t="shared" si="24"/>
        <v>0.25307692307692309</v>
      </c>
      <c r="K39" s="657">
        <v>520</v>
      </c>
      <c r="L39" s="1603">
        <v>1.53</v>
      </c>
      <c r="M39" s="1324">
        <f>L39/K39</f>
        <v>2.9423076923076924E-3</v>
      </c>
      <c r="N39" s="541" t="s">
        <v>1648</v>
      </c>
      <c r="O39" s="541">
        <v>2038</v>
      </c>
      <c r="P39" s="1326">
        <f t="shared" si="22"/>
        <v>6.1869716380528815E-2</v>
      </c>
      <c r="Q39" s="1327">
        <f t="shared" si="26"/>
        <v>3.2086515156758658E-2</v>
      </c>
      <c r="R39" s="1327">
        <f t="shared" si="26"/>
        <v>3.8003276717120935E-2</v>
      </c>
      <c r="S39" s="1327">
        <f t="shared" si="26"/>
        <v>3.2116706646463947E-2</v>
      </c>
      <c r="T39" s="1327">
        <f t="shared" si="26"/>
        <v>4.2514993786830275E-2</v>
      </c>
      <c r="V39" s="577">
        <v>2038</v>
      </c>
      <c r="W39" s="578">
        <f t="shared" si="8"/>
        <v>0.34549646348482471</v>
      </c>
      <c r="X39" s="578">
        <f t="shared" si="9"/>
        <v>3.5166820611807488E-2</v>
      </c>
      <c r="Y39" s="578">
        <f t="shared" si="10"/>
        <v>4.1651591281964551E-2</v>
      </c>
      <c r="Z39" s="578">
        <f t="shared" si="11"/>
        <v>3.5199910484524491E-2</v>
      </c>
      <c r="AA39" s="578">
        <f t="shared" si="12"/>
        <v>4.6596433190365986E-2</v>
      </c>
      <c r="AC39" s="577">
        <v>2038</v>
      </c>
      <c r="AD39" s="578">
        <f t="shared" si="13"/>
        <v>0.12744430351687336</v>
      </c>
      <c r="AE39" s="578">
        <f t="shared" si="14"/>
        <v>1.2972089249681962E-2</v>
      </c>
      <c r="AF39" s="578">
        <f t="shared" si="15"/>
        <v>1.5364145808492774E-2</v>
      </c>
      <c r="AG39" s="578">
        <f t="shared" si="16"/>
        <v>1.2984295209011747E-2</v>
      </c>
      <c r="AH39" s="578">
        <f t="shared" si="17"/>
        <v>1.7188164285153528E-2</v>
      </c>
      <c r="AJ39" s="579">
        <v>2038</v>
      </c>
      <c r="AK39" s="580">
        <f t="shared" si="6"/>
        <v>15</v>
      </c>
      <c r="AL39" s="578">
        <f t="shared" si="25"/>
        <v>3.2701943016384978</v>
      </c>
      <c r="AM39" s="578">
        <f t="shared" si="25"/>
        <v>0.36063330551151168</v>
      </c>
      <c r="AN39" s="578">
        <f t="shared" si="25"/>
        <v>0.34981593678123285</v>
      </c>
      <c r="AO39" s="578">
        <f t="shared" si="25"/>
        <v>0.33994795198424549</v>
      </c>
      <c r="AP39" s="581">
        <f t="shared" si="25"/>
        <v>0.37415041837580498</v>
      </c>
    </row>
    <row r="40" spans="1:43" ht="15">
      <c r="A40" s="541">
        <v>2039</v>
      </c>
      <c r="B40" s="541">
        <f t="shared" si="7"/>
        <v>16</v>
      </c>
      <c r="C40" s="1600">
        <v>6.1815710547711525E-2</v>
      </c>
      <c r="D40" s="1602">
        <v>3.4403428894343932E-2</v>
      </c>
      <c r="E40" s="1602">
        <v>4.0228077490568739E-2</v>
      </c>
      <c r="F40" s="1602">
        <v>3.2529950386481758E-2</v>
      </c>
      <c r="G40" s="1602">
        <v>4.2096466705689832E-2</v>
      </c>
      <c r="J40" s="656">
        <f t="shared" si="24"/>
        <v>0.25307692307692309</v>
      </c>
      <c r="K40" s="657">
        <v>520</v>
      </c>
      <c r="L40" s="1603">
        <v>1.65</v>
      </c>
      <c r="M40" s="1324">
        <f t="shared" ref="M40:M41" si="27">L40/K40</f>
        <v>3.173076923076923E-3</v>
      </c>
      <c r="N40" s="541" t="s">
        <v>1648</v>
      </c>
      <c r="O40" s="541">
        <v>2039</v>
      </c>
      <c r="P40" s="1326">
        <f t="shared" si="22"/>
        <v>6.4988787470788442E-2</v>
      </c>
      <c r="Q40" s="1327">
        <f t="shared" si="26"/>
        <v>3.4403428894343932E-2</v>
      </c>
      <c r="R40" s="1327">
        <f t="shared" si="26"/>
        <v>4.0228077490568739E-2</v>
      </c>
      <c r="S40" s="1327">
        <f t="shared" si="26"/>
        <v>3.2529950386481758E-2</v>
      </c>
      <c r="T40" s="1327">
        <f t="shared" si="26"/>
        <v>4.2096466705689832E-2</v>
      </c>
      <c r="V40" s="577">
        <v>2039</v>
      </c>
      <c r="W40" s="578">
        <f t="shared" si="8"/>
        <v>0.34891808447083955</v>
      </c>
      <c r="X40" s="578">
        <f t="shared" si="9"/>
        <v>3.7706158068200955E-2</v>
      </c>
      <c r="Y40" s="578">
        <f t="shared" si="10"/>
        <v>4.4089972929663344E-2</v>
      </c>
      <c r="Z40" s="578">
        <f t="shared" si="11"/>
        <v>3.565282562358401E-2</v>
      </c>
      <c r="AA40" s="578">
        <f t="shared" si="12"/>
        <v>4.6137727509436059E-2</v>
      </c>
      <c r="AC40" s="577">
        <v>2039</v>
      </c>
      <c r="AD40" s="578">
        <f t="shared" si="13"/>
        <v>0.12015164953469458</v>
      </c>
      <c r="AE40" s="578">
        <f t="shared" si="14"/>
        <v>1.2984300015234394E-2</v>
      </c>
      <c r="AF40" s="578">
        <f t="shared" si="15"/>
        <v>1.5182597896790336E-2</v>
      </c>
      <c r="AG40" s="578">
        <f t="shared" si="16"/>
        <v>1.2277224941616502E-2</v>
      </c>
      <c r="AH40" s="578">
        <f t="shared" si="17"/>
        <v>1.5887752205358367E-2</v>
      </c>
      <c r="AJ40" s="579">
        <v>2039</v>
      </c>
      <c r="AK40" s="580">
        <f t="shared" si="6"/>
        <v>16</v>
      </c>
      <c r="AL40" s="578">
        <f t="shared" si="25"/>
        <v>3.3903459511731922</v>
      </c>
      <c r="AM40" s="578">
        <f t="shared" si="25"/>
        <v>0.37361760552674605</v>
      </c>
      <c r="AN40" s="578">
        <f t="shared" si="25"/>
        <v>0.36499853467802318</v>
      </c>
      <c r="AO40" s="578">
        <f t="shared" si="25"/>
        <v>0.35222517692586197</v>
      </c>
      <c r="AP40" s="581">
        <f t="shared" si="25"/>
        <v>0.39003817058116336</v>
      </c>
    </row>
    <row r="41" spans="1:43" ht="15">
      <c r="A41" s="541">
        <v>2040</v>
      </c>
      <c r="B41" s="541">
        <f t="shared" si="7"/>
        <v>17</v>
      </c>
      <c r="C41" s="1600">
        <v>6.2836980870115411E-2</v>
      </c>
      <c r="D41" s="1602">
        <v>3.5363198926274583E-2</v>
      </c>
      <c r="E41" s="1602">
        <v>4.1536155663629247E-2</v>
      </c>
      <c r="F41" s="1602">
        <v>3.2020894312976667E-2</v>
      </c>
      <c r="G41" s="1602">
        <v>4.2163938600860595E-2</v>
      </c>
      <c r="J41" s="656">
        <f t="shared" si="24"/>
        <v>0.25307692307692309</v>
      </c>
      <c r="K41" s="657">
        <v>520</v>
      </c>
      <c r="L41" s="1603">
        <v>1.72</v>
      </c>
      <c r="M41" s="1324">
        <f t="shared" si="27"/>
        <v>3.3076923076923075E-3</v>
      </c>
      <c r="N41" s="541" t="s">
        <v>1648</v>
      </c>
      <c r="O41" s="541">
        <v>2040</v>
      </c>
      <c r="P41" s="1326">
        <f t="shared" si="22"/>
        <v>6.6144673177807714E-2</v>
      </c>
      <c r="Q41" s="1327">
        <f t="shared" si="26"/>
        <v>3.5363198926274583E-2</v>
      </c>
      <c r="R41" s="1327">
        <f t="shared" si="26"/>
        <v>4.1536155663629247E-2</v>
      </c>
      <c r="S41" s="1327">
        <f t="shared" si="26"/>
        <v>3.2020894312976667E-2</v>
      </c>
      <c r="T41" s="1327">
        <f t="shared" si="26"/>
        <v>4.2163938600860595E-2</v>
      </c>
      <c r="V41" s="577">
        <v>2040</v>
      </c>
      <c r="W41" s="578">
        <f t="shared" si="8"/>
        <v>0.35018609109143967</v>
      </c>
      <c r="X41" s="578">
        <f t="shared" si="9"/>
        <v>3.8758066023196945E-2</v>
      </c>
      <c r="Y41" s="578">
        <f t="shared" si="10"/>
        <v>4.5523626607337657E-2</v>
      </c>
      <c r="Z41" s="578">
        <f t="shared" si="11"/>
        <v>3.5094900167022429E-2</v>
      </c>
      <c r="AA41" s="578">
        <f t="shared" si="12"/>
        <v>4.6211676706543213E-2</v>
      </c>
      <c r="AC41" s="577">
        <v>2040</v>
      </c>
      <c r="AD41" s="578">
        <f t="shared" si="13"/>
        <v>0.11257308982305676</v>
      </c>
      <c r="AE41" s="578">
        <f t="shared" si="14"/>
        <v>1.2459419031174567E-2</v>
      </c>
      <c r="AF41" s="578">
        <f t="shared" si="15"/>
        <v>1.463431997303674E-2</v>
      </c>
      <c r="AG41" s="578">
        <f t="shared" si="16"/>
        <v>1.1281834000088309E-2</v>
      </c>
      <c r="AH41" s="578">
        <f t="shared" si="17"/>
        <v>1.4855505016049785E-2</v>
      </c>
      <c r="AJ41" s="579">
        <v>2040</v>
      </c>
      <c r="AK41" s="580">
        <f t="shared" si="6"/>
        <v>17</v>
      </c>
      <c r="AL41" s="578">
        <f t="shared" si="25"/>
        <v>3.502919040996249</v>
      </c>
      <c r="AM41" s="578">
        <f t="shared" si="25"/>
        <v>0.38607702455792064</v>
      </c>
      <c r="AN41" s="578">
        <f t="shared" si="25"/>
        <v>0.37963285465105989</v>
      </c>
      <c r="AO41" s="578">
        <f t="shared" si="25"/>
        <v>0.36350701092595028</v>
      </c>
      <c r="AP41" s="581">
        <f t="shared" si="25"/>
        <v>0.40489367559721312</v>
      </c>
    </row>
    <row r="42" spans="1:43">
      <c r="A42" s="541">
        <v>2041</v>
      </c>
      <c r="B42" s="541">
        <f t="shared" si="7"/>
        <v>18</v>
      </c>
      <c r="C42" s="1329">
        <f t="shared" ref="C42:G49" si="28">C41*(1+$C$4)</f>
        <v>6.4282231430128053E-2</v>
      </c>
      <c r="D42" s="1329">
        <f t="shared" si="28"/>
        <v>3.6176552501578897E-2</v>
      </c>
      <c r="E42" s="1329">
        <f t="shared" si="28"/>
        <v>4.2491487243892713E-2</v>
      </c>
      <c r="F42" s="1329">
        <f t="shared" si="28"/>
        <v>3.275737488217513E-2</v>
      </c>
      <c r="G42" s="1329">
        <f t="shared" si="28"/>
        <v>4.3133709188680383E-2</v>
      </c>
      <c r="J42" s="656">
        <f t="shared" si="24"/>
        <v>0.25703124999999999</v>
      </c>
      <c r="K42" s="657">
        <v>512</v>
      </c>
      <c r="M42" s="1325">
        <f t="shared" ref="M42:M64" si="29">M41*(1+$C$4)</f>
        <v>3.3837692307692301E-3</v>
      </c>
      <c r="O42" s="541">
        <v>2041</v>
      </c>
      <c r="P42" s="1326">
        <f t="shared" si="22"/>
        <v>6.7666000660897285E-2</v>
      </c>
      <c r="Q42" s="1327">
        <f t="shared" si="26"/>
        <v>3.6176552501578897E-2</v>
      </c>
      <c r="R42" s="1327">
        <f t="shared" si="26"/>
        <v>4.2491487243892713E-2</v>
      </c>
      <c r="S42" s="1327">
        <f t="shared" si="26"/>
        <v>3.275737488217513E-2</v>
      </c>
      <c r="T42" s="1327">
        <f t="shared" si="26"/>
        <v>4.3133709188680383E-2</v>
      </c>
      <c r="V42" s="577">
        <v>2041</v>
      </c>
      <c r="W42" s="578">
        <f t="shared" si="8"/>
        <v>0.35619288397500432</v>
      </c>
      <c r="X42" s="578">
        <f t="shared" si="9"/>
        <v>3.9649501541730477E-2</v>
      </c>
      <c r="Y42" s="578">
        <f t="shared" si="10"/>
        <v>4.6570670019306419E-2</v>
      </c>
      <c r="Z42" s="578">
        <f t="shared" si="11"/>
        <v>3.5902082870863945E-2</v>
      </c>
      <c r="AA42" s="578">
        <f t="shared" si="12"/>
        <v>4.7274545270793701E-2</v>
      </c>
      <c r="AC42" s="577">
        <v>2041</v>
      </c>
      <c r="AD42" s="578">
        <f t="shared" si="13"/>
        <v>0.10689327145590434</v>
      </c>
      <c r="AE42" s="578">
        <f t="shared" si="14"/>
        <v>1.1898791699861449E-2</v>
      </c>
      <c r="AF42" s="578">
        <f t="shared" si="15"/>
        <v>1.3975830220702562E-2</v>
      </c>
      <c r="AG42" s="578">
        <f t="shared" si="16"/>
        <v>1.0774193597918541E-2</v>
      </c>
      <c r="AH42" s="578">
        <f t="shared" si="17"/>
        <v>1.4187062762713714E-2</v>
      </c>
      <c r="AJ42" s="579">
        <v>2041</v>
      </c>
      <c r="AK42" s="580">
        <f t="shared" si="6"/>
        <v>18</v>
      </c>
      <c r="AL42" s="578">
        <f t="shared" si="25"/>
        <v>3.6098123124521533</v>
      </c>
      <c r="AM42" s="578">
        <f t="shared" si="25"/>
        <v>0.39797581625778211</v>
      </c>
      <c r="AN42" s="578">
        <f t="shared" si="25"/>
        <v>0.39360868487176248</v>
      </c>
      <c r="AO42" s="578">
        <f t="shared" si="25"/>
        <v>0.37428120452386882</v>
      </c>
      <c r="AP42" s="581">
        <f t="shared" si="25"/>
        <v>0.41908073835992682</v>
      </c>
    </row>
    <row r="43" spans="1:43">
      <c r="A43" s="541">
        <v>2042</v>
      </c>
      <c r="B43" s="541">
        <f t="shared" si="7"/>
        <v>19</v>
      </c>
      <c r="C43" s="1329">
        <f t="shared" si="28"/>
        <v>6.5760722753020986E-2</v>
      </c>
      <c r="D43" s="1329">
        <f t="shared" si="28"/>
        <v>3.7008613209115207E-2</v>
      </c>
      <c r="E43" s="1329">
        <f t="shared" si="28"/>
        <v>4.3468791450502239E-2</v>
      </c>
      <c r="F43" s="1329">
        <f t="shared" si="28"/>
        <v>3.3510794504465154E-2</v>
      </c>
      <c r="G43" s="1329">
        <f t="shared" si="28"/>
        <v>4.4125784500020027E-2</v>
      </c>
      <c r="J43" s="656">
        <f t="shared" si="24"/>
        <v>0.25703124999999999</v>
      </c>
      <c r="K43" s="657">
        <v>512</v>
      </c>
      <c r="M43" s="1325">
        <f t="shared" si="29"/>
        <v>3.4615959230769222E-3</v>
      </c>
      <c r="O43" s="541">
        <v>2042</v>
      </c>
      <c r="P43" s="1326">
        <f t="shared" si="22"/>
        <v>6.9222318676097905E-2</v>
      </c>
      <c r="Q43" s="1327">
        <f t="shared" si="26"/>
        <v>3.7008613209115207E-2</v>
      </c>
      <c r="R43" s="1327">
        <f t="shared" si="26"/>
        <v>4.3468791450502239E-2</v>
      </c>
      <c r="S43" s="1327">
        <f t="shared" si="26"/>
        <v>3.3510794504465154E-2</v>
      </c>
      <c r="T43" s="1327">
        <f t="shared" si="26"/>
        <v>4.4125784500020027E-2</v>
      </c>
      <c r="V43" s="577">
        <v>2042</v>
      </c>
      <c r="W43" s="578">
        <f t="shared" si="8"/>
        <v>0.35790016483767939</v>
      </c>
      <c r="X43" s="578">
        <f t="shared" si="9"/>
        <v>4.0561440077190272E-2</v>
      </c>
      <c r="Y43" s="578">
        <f t="shared" si="10"/>
        <v>4.7641795429750458E-2</v>
      </c>
      <c r="Z43" s="578">
        <f t="shared" si="11"/>
        <v>3.6727830776893809E-2</v>
      </c>
      <c r="AA43" s="578">
        <f t="shared" si="12"/>
        <v>4.836185981202195E-2</v>
      </c>
      <c r="AC43" s="577">
        <v>2042</v>
      </c>
      <c r="AD43" s="578">
        <f t="shared" si="13"/>
        <v>0.10026664061028324</v>
      </c>
      <c r="AE43" s="578">
        <f t="shared" si="14"/>
        <v>1.1363390505002111E-2</v>
      </c>
      <c r="AF43" s="578">
        <f t="shared" si="15"/>
        <v>1.3346970048337117E-2</v>
      </c>
      <c r="AG43" s="578">
        <f t="shared" si="16"/>
        <v>1.0289395118251181E-2</v>
      </c>
      <c r="AH43" s="578">
        <f t="shared" si="17"/>
        <v>1.3548697914727528E-2</v>
      </c>
      <c r="AJ43" s="579">
        <v>2042</v>
      </c>
      <c r="AK43" s="580">
        <f t="shared" si="6"/>
        <v>19</v>
      </c>
      <c r="AL43" s="578">
        <f t="shared" si="25"/>
        <v>3.7100789530624367</v>
      </c>
      <c r="AM43" s="578">
        <f t="shared" si="25"/>
        <v>0.40933920676278424</v>
      </c>
      <c r="AN43" s="578">
        <f t="shared" si="25"/>
        <v>0.40695565492009961</v>
      </c>
      <c r="AO43" s="578">
        <f t="shared" si="25"/>
        <v>0.38457059964211998</v>
      </c>
      <c r="AP43" s="581">
        <f t="shared" si="25"/>
        <v>0.43262943627465433</v>
      </c>
    </row>
    <row r="44" spans="1:43">
      <c r="A44" s="541">
        <v>2043</v>
      </c>
      <c r="B44" s="541">
        <f t="shared" si="7"/>
        <v>20</v>
      </c>
      <c r="C44" s="1329">
        <f t="shared" si="28"/>
        <v>6.7273219376340468E-2</v>
      </c>
      <c r="D44" s="1329">
        <f t="shared" si="28"/>
        <v>3.7859811312924853E-2</v>
      </c>
      <c r="E44" s="1329">
        <f t="shared" si="28"/>
        <v>4.4468573653863787E-2</v>
      </c>
      <c r="F44" s="1329">
        <f t="shared" si="28"/>
        <v>3.4281542778067851E-2</v>
      </c>
      <c r="G44" s="1329">
        <f t="shared" si="28"/>
        <v>4.5140677543520483E-2</v>
      </c>
      <c r="J44" s="656">
        <f t="shared" si="24"/>
        <v>0.24924242424242424</v>
      </c>
      <c r="K44" s="657">
        <v>528</v>
      </c>
      <c r="M44" s="1325">
        <f t="shared" si="29"/>
        <v>3.5412126293076912E-3</v>
      </c>
      <c r="O44" s="541">
        <v>2043</v>
      </c>
      <c r="P44" s="1326">
        <f t="shared" si="22"/>
        <v>7.0814432005648159E-2</v>
      </c>
      <c r="Q44" s="1327">
        <f t="shared" si="26"/>
        <v>3.7859811312924853E-2</v>
      </c>
      <c r="R44" s="1327">
        <f t="shared" si="26"/>
        <v>4.4468573653863787E-2</v>
      </c>
      <c r="S44" s="1327">
        <f t="shared" si="26"/>
        <v>3.4281542778067851E-2</v>
      </c>
      <c r="T44" s="1327">
        <f t="shared" si="26"/>
        <v>4.5140677543520483E-2</v>
      </c>
      <c r="V44" s="577">
        <v>2043</v>
      </c>
      <c r="W44" s="578">
        <f t="shared" si="8"/>
        <v>0.35110237130413541</v>
      </c>
      <c r="X44" s="578">
        <f t="shared" si="9"/>
        <v>4.149435319896564E-2</v>
      </c>
      <c r="Y44" s="578">
        <f t="shared" si="10"/>
        <v>4.8737556724634715E-2</v>
      </c>
      <c r="Z44" s="578">
        <f t="shared" si="11"/>
        <v>3.7572570884762367E-2</v>
      </c>
      <c r="AA44" s="578">
        <f t="shared" si="12"/>
        <v>4.9474182587698451E-2</v>
      </c>
      <c r="AC44" s="577">
        <v>2043</v>
      </c>
      <c r="AD44" s="578">
        <f t="shared" si="13"/>
        <v>9.1824329236874988E-2</v>
      </c>
      <c r="AE44" s="578">
        <f t="shared" si="14"/>
        <v>1.0852080364653807E-2</v>
      </c>
      <c r="AF44" s="578">
        <f t="shared" si="15"/>
        <v>1.2746406235482515E-2</v>
      </c>
      <c r="AG44" s="578">
        <f t="shared" si="16"/>
        <v>9.8264107598683339E-3</v>
      </c>
      <c r="AH44" s="578">
        <f t="shared" si="17"/>
        <v>1.2939057101163425E-2</v>
      </c>
      <c r="AJ44" s="579">
        <v>2043</v>
      </c>
      <c r="AK44" s="580">
        <f t="shared" ref="AK44:AK64" si="30">B44</f>
        <v>20</v>
      </c>
      <c r="AL44" s="578">
        <f t="shared" si="25"/>
        <v>3.8019032822993117</v>
      </c>
      <c r="AM44" s="578">
        <f t="shared" si="25"/>
        <v>0.42019128712743803</v>
      </c>
      <c r="AN44" s="578">
        <f t="shared" si="25"/>
        <v>0.41970206115558212</v>
      </c>
      <c r="AO44" s="578">
        <f t="shared" si="25"/>
        <v>0.39439701040198832</v>
      </c>
      <c r="AP44" s="581">
        <f t="shared" si="25"/>
        <v>0.44556849337581778</v>
      </c>
    </row>
    <row r="45" spans="1:43">
      <c r="A45" s="541">
        <v>2044</v>
      </c>
      <c r="B45" s="541">
        <f t="shared" si="7"/>
        <v>21</v>
      </c>
      <c r="C45" s="1329">
        <f t="shared" si="28"/>
        <v>6.882050342199629E-2</v>
      </c>
      <c r="D45" s="1329">
        <f t="shared" si="28"/>
        <v>3.8730586973122122E-2</v>
      </c>
      <c r="E45" s="1329">
        <f t="shared" si="28"/>
        <v>4.5491350847902651E-2</v>
      </c>
      <c r="F45" s="1329">
        <f t="shared" si="28"/>
        <v>3.5070018261963411E-2</v>
      </c>
      <c r="G45" s="1329">
        <f t="shared" si="28"/>
        <v>4.6178913127021451E-2</v>
      </c>
      <c r="J45" s="656">
        <f t="shared" si="24"/>
        <v>0.25307692307692309</v>
      </c>
      <c r="K45" s="657">
        <v>520</v>
      </c>
      <c r="M45" s="1325">
        <f t="shared" si="29"/>
        <v>3.6226605197817677E-3</v>
      </c>
      <c r="O45" s="541">
        <v>2044</v>
      </c>
      <c r="P45" s="1326">
        <f t="shared" si="22"/>
        <v>7.2443163941778063E-2</v>
      </c>
      <c r="Q45" s="1327">
        <f t="shared" si="26"/>
        <v>3.8730586973122122E-2</v>
      </c>
      <c r="R45" s="1327">
        <f t="shared" si="26"/>
        <v>4.5491350847902651E-2</v>
      </c>
      <c r="S45" s="1327">
        <f t="shared" si="26"/>
        <v>3.5070018261963411E-2</v>
      </c>
      <c r="T45" s="1327">
        <f t="shared" si="26"/>
        <v>4.6178913127021451E-2</v>
      </c>
      <c r="V45" s="577">
        <v>2044</v>
      </c>
      <c r="W45" s="578">
        <f t="shared" si="8"/>
        <v>0.35709553545951517</v>
      </c>
      <c r="X45" s="578">
        <f t="shared" si="9"/>
        <v>4.2448723322541848E-2</v>
      </c>
      <c r="Y45" s="578">
        <f t="shared" si="10"/>
        <v>4.9858520529301308E-2</v>
      </c>
      <c r="Z45" s="578">
        <f t="shared" si="11"/>
        <v>3.8436740015111902E-2</v>
      </c>
      <c r="AA45" s="578">
        <f t="shared" si="12"/>
        <v>5.0612088787215515E-2</v>
      </c>
      <c r="AC45" s="577">
        <v>2044</v>
      </c>
      <c r="AD45" s="578">
        <f t="shared" si="13"/>
        <v>8.718421437473077E-2</v>
      </c>
      <c r="AE45" s="578">
        <f t="shared" si="14"/>
        <v>1.0363777271322672E-2</v>
      </c>
      <c r="AF45" s="578">
        <f t="shared" si="15"/>
        <v>1.2172865551623053E-2</v>
      </c>
      <c r="AG45" s="578">
        <f t="shared" si="16"/>
        <v>9.3842589687689569E-3</v>
      </c>
      <c r="AH45" s="578">
        <f t="shared" si="17"/>
        <v>1.2356847847731689E-2</v>
      </c>
      <c r="AJ45" s="579">
        <v>2044</v>
      </c>
      <c r="AK45" s="580">
        <f t="shared" si="30"/>
        <v>21</v>
      </c>
      <c r="AL45" s="578">
        <f t="shared" ref="AL45:AP60" si="31">AD45+AL44</f>
        <v>3.8890874966740423</v>
      </c>
      <c r="AM45" s="578">
        <f t="shared" si="31"/>
        <v>0.43055506439876068</v>
      </c>
      <c r="AN45" s="578">
        <f t="shared" si="31"/>
        <v>0.43187492670720518</v>
      </c>
      <c r="AO45" s="578">
        <f t="shared" si="31"/>
        <v>0.40378126937075726</v>
      </c>
      <c r="AP45" s="581">
        <f t="shared" si="31"/>
        <v>0.45792534122354944</v>
      </c>
    </row>
    <row r="46" spans="1:43">
      <c r="A46" s="541">
        <v>2045</v>
      </c>
      <c r="B46" s="541">
        <f t="shared" si="7"/>
        <v>22</v>
      </c>
      <c r="C46" s="1329">
        <f t="shared" si="28"/>
        <v>7.0403375000702192E-2</v>
      </c>
      <c r="D46" s="1329">
        <f t="shared" si="28"/>
        <v>3.962139047350393E-2</v>
      </c>
      <c r="E46" s="1329">
        <f t="shared" si="28"/>
        <v>4.6537651917404409E-2</v>
      </c>
      <c r="F46" s="1329">
        <f t="shared" si="28"/>
        <v>3.5876628681988564E-2</v>
      </c>
      <c r="G46" s="1329">
        <f t="shared" si="28"/>
        <v>4.7241028128942937E-2</v>
      </c>
      <c r="J46" s="656">
        <f t="shared" si="24"/>
        <v>0.25307692307692309</v>
      </c>
      <c r="K46" s="657">
        <v>520</v>
      </c>
      <c r="M46" s="1325">
        <f t="shared" si="29"/>
        <v>3.7059817117367482E-3</v>
      </c>
      <c r="O46" s="541">
        <v>2045</v>
      </c>
      <c r="P46" s="1326">
        <f t="shared" si="22"/>
        <v>7.4109356712438942E-2</v>
      </c>
      <c r="Q46" s="1327">
        <f t="shared" si="26"/>
        <v>3.962139047350393E-2</v>
      </c>
      <c r="R46" s="1327">
        <f t="shared" si="26"/>
        <v>4.6537651917404409E-2</v>
      </c>
      <c r="S46" s="1327">
        <f t="shared" si="26"/>
        <v>3.5876628681988564E-2</v>
      </c>
      <c r="T46" s="1327">
        <f t="shared" si="26"/>
        <v>4.7241028128942937E-2</v>
      </c>
      <c r="V46" s="577">
        <v>2045</v>
      </c>
      <c r="W46" s="578">
        <f t="shared" si="8"/>
        <v>0.35892334892893013</v>
      </c>
      <c r="X46" s="578">
        <f t="shared" si="9"/>
        <v>4.342504395896031E-2</v>
      </c>
      <c r="Y46" s="578">
        <f t="shared" si="10"/>
        <v>5.1005266501475237E-2</v>
      </c>
      <c r="Z46" s="578">
        <f t="shared" si="11"/>
        <v>3.9320785035459466E-2</v>
      </c>
      <c r="AA46" s="578">
        <f t="shared" si="12"/>
        <v>5.1776166829321464E-2</v>
      </c>
      <c r="AC46" s="577">
        <v>2045</v>
      </c>
      <c r="AD46" s="578">
        <f t="shared" si="13"/>
        <v>8.1805892132123706E-2</v>
      </c>
      <c r="AE46" s="578">
        <f t="shared" si="14"/>
        <v>9.8974459938042311E-3</v>
      </c>
      <c r="AF46" s="578">
        <f t="shared" si="15"/>
        <v>1.1625132056861821E-2</v>
      </c>
      <c r="AG46" s="578">
        <f t="shared" si="16"/>
        <v>8.9620023572168049E-3</v>
      </c>
      <c r="AH46" s="578">
        <f t="shared" si="17"/>
        <v>1.1800835836659368E-2</v>
      </c>
      <c r="AJ46" s="579">
        <v>2045</v>
      </c>
      <c r="AK46" s="580">
        <f t="shared" si="30"/>
        <v>22</v>
      </c>
      <c r="AL46" s="578">
        <f t="shared" si="31"/>
        <v>3.9708933888061662</v>
      </c>
      <c r="AM46" s="578">
        <f t="shared" si="31"/>
        <v>0.44045251039256489</v>
      </c>
      <c r="AN46" s="578">
        <f t="shared" si="31"/>
        <v>0.44350005876406701</v>
      </c>
      <c r="AO46" s="578">
        <f t="shared" si="31"/>
        <v>0.41274327172797404</v>
      </c>
      <c r="AP46" s="581">
        <f t="shared" si="31"/>
        <v>0.4697261770602088</v>
      </c>
    </row>
    <row r="47" spans="1:43">
      <c r="A47" s="541">
        <v>2046</v>
      </c>
      <c r="B47" s="541">
        <f t="shared" si="7"/>
        <v>23</v>
      </c>
      <c r="C47" s="1329">
        <f t="shared" si="28"/>
        <v>7.2022652625718331E-2</v>
      </c>
      <c r="D47" s="1329">
        <f t="shared" si="28"/>
        <v>4.0532682454394516E-2</v>
      </c>
      <c r="E47" s="1329">
        <f t="shared" si="28"/>
        <v>4.7608017911504708E-2</v>
      </c>
      <c r="F47" s="1329">
        <f t="shared" si="28"/>
        <v>3.6701791141674295E-2</v>
      </c>
      <c r="G47" s="1329">
        <f t="shared" si="28"/>
        <v>4.8327571775908622E-2</v>
      </c>
      <c r="J47" s="656">
        <f t="shared" si="24"/>
        <v>0.25307692307692309</v>
      </c>
      <c r="K47" s="657">
        <v>520</v>
      </c>
      <c r="M47" s="1325">
        <f t="shared" si="29"/>
        <v>3.7912192911066932E-3</v>
      </c>
      <c r="O47" s="541">
        <v>2046</v>
      </c>
      <c r="P47" s="1326">
        <f t="shared" si="22"/>
        <v>7.5813871916825024E-2</v>
      </c>
      <c r="Q47" s="1327">
        <f t="shared" si="26"/>
        <v>4.0532682454394516E-2</v>
      </c>
      <c r="R47" s="1327">
        <f t="shared" si="26"/>
        <v>4.7608017911504708E-2</v>
      </c>
      <c r="S47" s="1327">
        <f t="shared" si="26"/>
        <v>3.6701791141674295E-2</v>
      </c>
      <c r="T47" s="1327">
        <f t="shared" si="26"/>
        <v>4.8327571775908622E-2</v>
      </c>
      <c r="V47" s="577">
        <v>2046</v>
      </c>
      <c r="W47" s="578">
        <f t="shared" si="8"/>
        <v>0.3607932021081417</v>
      </c>
      <c r="X47" s="578">
        <f t="shared" si="9"/>
        <v>4.442381997001639E-2</v>
      </c>
      <c r="Y47" s="578">
        <f t="shared" si="10"/>
        <v>5.2178387631009161E-2</v>
      </c>
      <c r="Z47" s="578">
        <f t="shared" si="11"/>
        <v>4.022516309127503E-2</v>
      </c>
      <c r="AA47" s="578">
        <f t="shared" si="12"/>
        <v>5.2967018666395853E-2</v>
      </c>
      <c r="AC47" s="577">
        <v>2046</v>
      </c>
      <c r="AD47" s="578">
        <f t="shared" si="13"/>
        <v>7.6766308344130466E-2</v>
      </c>
      <c r="AE47" s="578">
        <f t="shared" si="14"/>
        <v>9.4520978824325329E-3</v>
      </c>
      <c r="AF47" s="578">
        <f t="shared" si="15"/>
        <v>1.1102044524056798E-2</v>
      </c>
      <c r="AG47" s="578">
        <f t="shared" si="16"/>
        <v>8.5587457164234427E-3</v>
      </c>
      <c r="AH47" s="578">
        <f t="shared" si="17"/>
        <v>1.1269842289864204E-2</v>
      </c>
      <c r="AJ47" s="579">
        <v>2046</v>
      </c>
      <c r="AK47" s="580">
        <f t="shared" si="30"/>
        <v>23</v>
      </c>
      <c r="AL47" s="578">
        <f t="shared" si="31"/>
        <v>4.0476596971502969</v>
      </c>
      <c r="AM47" s="578">
        <f t="shared" si="31"/>
        <v>0.4499046082749974</v>
      </c>
      <c r="AN47" s="578">
        <f t="shared" si="31"/>
        <v>0.45460210328812378</v>
      </c>
      <c r="AO47" s="578">
        <f t="shared" si="31"/>
        <v>0.42130201744439749</v>
      </c>
      <c r="AP47" s="581">
        <f t="shared" si="31"/>
        <v>0.48099601935007302</v>
      </c>
    </row>
    <row r="48" spans="1:43">
      <c r="A48" s="541">
        <v>2047</v>
      </c>
      <c r="B48" s="541">
        <f t="shared" si="7"/>
        <v>24</v>
      </c>
      <c r="C48" s="1329">
        <f t="shared" si="28"/>
        <v>7.3679173636109846E-2</v>
      </c>
      <c r="D48" s="1329">
        <f t="shared" si="28"/>
        <v>4.1464934150845588E-2</v>
      </c>
      <c r="E48" s="1329">
        <f>E47*(1+$C$4)</f>
        <v>4.8703002323469309E-2</v>
      </c>
      <c r="F48" s="1329">
        <f>F47*(1+$C$4)</f>
        <v>3.7545932337932797E-2</v>
      </c>
      <c r="G48" s="1329">
        <f>G47*(1+$C$4)</f>
        <v>4.9439105926754517E-2</v>
      </c>
      <c r="J48" s="656">
        <f t="shared" si="24"/>
        <v>0.25703124999999999</v>
      </c>
      <c r="K48" s="657">
        <v>512</v>
      </c>
      <c r="M48" s="1325">
        <f t="shared" si="29"/>
        <v>3.8784173348021468E-3</v>
      </c>
      <c r="O48" s="541">
        <v>2047</v>
      </c>
      <c r="P48" s="1326">
        <f t="shared" si="22"/>
        <v>7.7557590970911999E-2</v>
      </c>
      <c r="Q48" s="1327">
        <f t="shared" si="26"/>
        <v>4.1464934150845588E-2</v>
      </c>
      <c r="R48" s="1327">
        <f t="shared" si="26"/>
        <v>4.8703002323469309E-2</v>
      </c>
      <c r="S48" s="1327">
        <f t="shared" si="26"/>
        <v>3.7545932337932797E-2</v>
      </c>
      <c r="T48" s="1327">
        <f t="shared" si="26"/>
        <v>4.9439105926754517E-2</v>
      </c>
      <c r="V48" s="577">
        <v>2047</v>
      </c>
      <c r="W48" s="578">
        <f t="shared" si="8"/>
        <v>0.36704395854509048</v>
      </c>
      <c r="X48" s="578">
        <f t="shared" si="9"/>
        <v>4.5445567829326766E-2</v>
      </c>
      <c r="Y48" s="578">
        <f t="shared" si="10"/>
        <v>5.337849054652237E-2</v>
      </c>
      <c r="Z48" s="578">
        <f t="shared" si="11"/>
        <v>4.1150341842374351E-2</v>
      </c>
      <c r="AA48" s="578">
        <f t="shared" si="12"/>
        <v>5.4185260095722956E-2</v>
      </c>
      <c r="AC48" s="577">
        <v>2047</v>
      </c>
      <c r="AD48" s="578">
        <f t="shared" si="13"/>
        <v>7.290542163905718E-2</v>
      </c>
      <c r="AE48" s="578">
        <f t="shared" si="14"/>
        <v>9.0267887730848418E-3</v>
      </c>
      <c r="AF48" s="578">
        <f t="shared" si="15"/>
        <v>1.0602493976951182E-2</v>
      </c>
      <c r="AG48" s="578">
        <f t="shared" si="16"/>
        <v>8.173634118653083E-3</v>
      </c>
      <c r="AH48" s="578">
        <f t="shared" si="17"/>
        <v>1.0762741469875917E-2</v>
      </c>
      <c r="AJ48" s="579">
        <v>2047</v>
      </c>
      <c r="AK48" s="580">
        <f t="shared" si="30"/>
        <v>24</v>
      </c>
      <c r="AL48" s="578">
        <f t="shared" si="31"/>
        <v>4.1205651187893544</v>
      </c>
      <c r="AM48" s="578">
        <f t="shared" si="31"/>
        <v>0.45893139704808222</v>
      </c>
      <c r="AN48" s="578">
        <f t="shared" si="31"/>
        <v>0.46520459726507496</v>
      </c>
      <c r="AO48" s="578">
        <f t="shared" si="31"/>
        <v>0.42947565156305056</v>
      </c>
      <c r="AP48" s="581">
        <f t="shared" si="31"/>
        <v>0.49175876081994896</v>
      </c>
    </row>
    <row r="49" spans="1:42">
      <c r="A49" s="541">
        <v>2048</v>
      </c>
      <c r="B49" s="541">
        <f t="shared" si="7"/>
        <v>25</v>
      </c>
      <c r="C49" s="1329">
        <f t="shared" si="28"/>
        <v>7.5373794629740365E-2</v>
      </c>
      <c r="D49" s="1329">
        <f t="shared" si="28"/>
        <v>4.2418627636315036E-2</v>
      </c>
      <c r="E49" s="1329">
        <f t="shared" si="28"/>
        <v>4.9823171376909101E-2</v>
      </c>
      <c r="F49" s="1329">
        <f t="shared" si="28"/>
        <v>3.8409488781705248E-2</v>
      </c>
      <c r="G49" s="1329">
        <f t="shared" si="28"/>
        <v>5.0576205363069865E-2</v>
      </c>
      <c r="J49" s="656">
        <f t="shared" si="24"/>
        <v>0.24924242424242424</v>
      </c>
      <c r="K49" s="657">
        <v>528</v>
      </c>
      <c r="M49" s="1325">
        <f t="shared" si="29"/>
        <v>3.9676209335025962E-3</v>
      </c>
      <c r="O49" s="541">
        <v>2048</v>
      </c>
      <c r="P49" s="1326">
        <f t="shared" si="22"/>
        <v>7.9341415563242965E-2</v>
      </c>
      <c r="Q49" s="1327">
        <f t="shared" si="26"/>
        <v>4.2418627636315036E-2</v>
      </c>
      <c r="R49" s="1327">
        <f t="shared" si="26"/>
        <v>4.9823171376909101E-2</v>
      </c>
      <c r="S49" s="1327">
        <f t="shared" si="26"/>
        <v>3.8409488781705248E-2</v>
      </c>
      <c r="T49" s="1327">
        <f t="shared" si="26"/>
        <v>5.0576205363069865E-2</v>
      </c>
      <c r="V49" s="577">
        <v>2048</v>
      </c>
      <c r="W49" s="578">
        <f t="shared" si="8"/>
        <v>0.36045647226681687</v>
      </c>
      <c r="X49" s="578">
        <f t="shared" si="9"/>
        <v>4.649081588940128E-2</v>
      </c>
      <c r="Y49" s="578">
        <f t="shared" si="10"/>
        <v>5.4606195829092381E-2</v>
      </c>
      <c r="Z49" s="578">
        <f t="shared" si="11"/>
        <v>4.2096799704748958E-2</v>
      </c>
      <c r="AA49" s="578">
        <f t="shared" si="12"/>
        <v>5.5431521077924574E-2</v>
      </c>
      <c r="AC49" s="577">
        <v>2048</v>
      </c>
      <c r="AD49" s="578">
        <f t="shared" si="13"/>
        <v>6.6838086790051821E-2</v>
      </c>
      <c r="AE49" s="578">
        <f t="shared" si="14"/>
        <v>8.6206169854983125E-3</v>
      </c>
      <c r="AF49" s="578">
        <f t="shared" si="15"/>
        <v>1.0125421339078658E-2</v>
      </c>
      <c r="AG49" s="578">
        <f t="shared" si="16"/>
        <v>7.805851104725637E-3</v>
      </c>
      <c r="AH49" s="578">
        <f t="shared" si="17"/>
        <v>1.0278458293206741E-2</v>
      </c>
      <c r="AJ49" s="579">
        <v>2048</v>
      </c>
      <c r="AK49" s="580">
        <f t="shared" si="30"/>
        <v>25</v>
      </c>
      <c r="AL49" s="578">
        <f t="shared" si="31"/>
        <v>4.1874032055794066</v>
      </c>
      <c r="AM49" s="578">
        <f t="shared" si="31"/>
        <v>0.46755201403358054</v>
      </c>
      <c r="AN49" s="578">
        <f t="shared" si="31"/>
        <v>0.47533001860415364</v>
      </c>
      <c r="AO49" s="578">
        <f t="shared" si="31"/>
        <v>0.43728150266777621</v>
      </c>
      <c r="AP49" s="581">
        <f t="shared" si="31"/>
        <v>0.50203721911315569</v>
      </c>
    </row>
    <row r="50" spans="1:42">
      <c r="A50" s="541">
        <v>2049</v>
      </c>
      <c r="B50" s="541">
        <f t="shared" si="7"/>
        <v>26</v>
      </c>
      <c r="C50" s="1329">
        <f t="shared" ref="C50:G64" si="32">C49*(1+$C$4)</f>
        <v>7.7107391906224385E-2</v>
      </c>
      <c r="D50" s="1329">
        <f t="shared" si="32"/>
        <v>4.3394256071950278E-2</v>
      </c>
      <c r="E50" s="1329">
        <f t="shared" si="32"/>
        <v>5.0969104318578005E-2</v>
      </c>
      <c r="F50" s="1329">
        <f t="shared" si="32"/>
        <v>3.9292907023684466E-2</v>
      </c>
      <c r="G50" s="1329">
        <f t="shared" si="32"/>
        <v>5.173945808642047E-2</v>
      </c>
      <c r="J50" s="656">
        <f t="shared" si="24"/>
        <v>0.25307692307692309</v>
      </c>
      <c r="K50" s="657">
        <v>520</v>
      </c>
      <c r="M50" s="1325">
        <f t="shared" si="29"/>
        <v>4.0588762149731559E-3</v>
      </c>
      <c r="O50" s="541">
        <v>2049</v>
      </c>
      <c r="P50" s="1326">
        <f t="shared" si="22"/>
        <v>8.1166268121197538E-2</v>
      </c>
      <c r="Q50" s="1327">
        <f t="shared" si="26"/>
        <v>4.3394256071950278E-2</v>
      </c>
      <c r="R50" s="1327">
        <f t="shared" si="26"/>
        <v>5.0969104318578005E-2</v>
      </c>
      <c r="S50" s="1327">
        <f t="shared" si="26"/>
        <v>3.9292907023684466E-2</v>
      </c>
      <c r="T50" s="1327">
        <f t="shared" si="26"/>
        <v>5.173945808642047E-2</v>
      </c>
      <c r="V50" s="577">
        <v>2049</v>
      </c>
      <c r="W50" s="578">
        <f t="shared" si="8"/>
        <v>0.36666478074433834</v>
      </c>
      <c r="X50" s="578">
        <f t="shared" si="9"/>
        <v>4.7560104654857507E-2</v>
      </c>
      <c r="Y50" s="578">
        <f t="shared" si="10"/>
        <v>5.5862138333161497E-2</v>
      </c>
      <c r="Z50" s="578">
        <f t="shared" si="11"/>
        <v>4.3065026097958176E-2</v>
      </c>
      <c r="AA50" s="578">
        <f t="shared" si="12"/>
        <v>5.6706446062716839E-2</v>
      </c>
      <c r="AC50" s="577">
        <v>2049</v>
      </c>
      <c r="AD50" s="578">
        <f t="shared" si="13"/>
        <v>6.3470192364796896E-2</v>
      </c>
      <c r="AE50" s="578">
        <f t="shared" si="14"/>
        <v>8.2327214116549412E-3</v>
      </c>
      <c r="AF50" s="578">
        <f t="shared" si="15"/>
        <v>9.6698151884591719E-3</v>
      </c>
      <c r="AG50" s="578">
        <f t="shared" si="16"/>
        <v>7.4546169530753598E-3</v>
      </c>
      <c r="AH50" s="578">
        <f t="shared" si="17"/>
        <v>9.8159660511113658E-3</v>
      </c>
      <c r="AJ50" s="579">
        <v>2049</v>
      </c>
      <c r="AK50" s="580">
        <f t="shared" si="30"/>
        <v>26</v>
      </c>
      <c r="AL50" s="578">
        <f t="shared" si="31"/>
        <v>4.2508733979442033</v>
      </c>
      <c r="AM50" s="578">
        <f t="shared" si="31"/>
        <v>0.47578473544523547</v>
      </c>
      <c r="AN50" s="578">
        <f t="shared" si="31"/>
        <v>0.4849998337926128</v>
      </c>
      <c r="AO50" s="578">
        <f t="shared" si="31"/>
        <v>0.44473611962085158</v>
      </c>
      <c r="AP50" s="581">
        <f t="shared" si="31"/>
        <v>0.51185318516426703</v>
      </c>
    </row>
    <row r="51" spans="1:42">
      <c r="A51" s="541">
        <v>2050</v>
      </c>
      <c r="B51" s="541">
        <f t="shared" si="7"/>
        <v>27</v>
      </c>
      <c r="C51" s="1329">
        <f t="shared" si="32"/>
        <v>7.8880861920067533E-2</v>
      </c>
      <c r="D51" s="1329">
        <f t="shared" si="32"/>
        <v>4.4392323961605133E-2</v>
      </c>
      <c r="E51" s="1329">
        <f t="shared" si="32"/>
        <v>5.2141393717905292E-2</v>
      </c>
      <c r="F51" s="1329">
        <f t="shared" si="32"/>
        <v>4.0196643885229207E-2</v>
      </c>
      <c r="G51" s="1329">
        <f t="shared" si="32"/>
        <v>5.2929465622408134E-2</v>
      </c>
      <c r="J51" s="656">
        <f t="shared" si="24"/>
        <v>0.25307692307692309</v>
      </c>
      <c r="K51" s="657">
        <v>520</v>
      </c>
      <c r="M51" s="1325">
        <f t="shared" si="29"/>
        <v>4.1522303679175383E-3</v>
      </c>
      <c r="O51" s="541">
        <v>2050</v>
      </c>
      <c r="P51" s="1326">
        <f t="shared" si="22"/>
        <v>8.3033092287985069E-2</v>
      </c>
      <c r="Q51" s="1327">
        <f t="shared" si="26"/>
        <v>4.4392323961605133E-2</v>
      </c>
      <c r="R51" s="1327">
        <f t="shared" si="26"/>
        <v>5.2141393717905292E-2</v>
      </c>
      <c r="S51" s="1327">
        <f t="shared" si="26"/>
        <v>4.0196643885229207E-2</v>
      </c>
      <c r="T51" s="1327">
        <f t="shared" si="26"/>
        <v>5.2929465622408134E-2</v>
      </c>
      <c r="V51" s="577">
        <v>2050</v>
      </c>
      <c r="W51" s="578">
        <f t="shared" si="8"/>
        <v>0.36871268685530423</v>
      </c>
      <c r="X51" s="578">
        <f t="shared" si="9"/>
        <v>4.8653987061919229E-2</v>
      </c>
      <c r="Y51" s="578">
        <f t="shared" si="10"/>
        <v>5.7146967514824204E-2</v>
      </c>
      <c r="Z51" s="578">
        <f t="shared" si="11"/>
        <v>4.4055521698211211E-2</v>
      </c>
      <c r="AA51" s="578">
        <f t="shared" si="12"/>
        <v>5.8010694322159322E-2</v>
      </c>
      <c r="AC51" s="577">
        <v>2050</v>
      </c>
      <c r="AD51" s="578">
        <f t="shared" si="13"/>
        <v>5.9582419539134845E-2</v>
      </c>
      <c r="AE51" s="578">
        <f t="shared" si="14"/>
        <v>7.8622796901820433E-3</v>
      </c>
      <c r="AF51" s="578">
        <f t="shared" si="15"/>
        <v>9.2347096133249939E-3</v>
      </c>
      <c r="AG51" s="578">
        <f t="shared" si="16"/>
        <v>7.1191870266953819E-3</v>
      </c>
      <c r="AH51" s="578">
        <f t="shared" si="17"/>
        <v>9.3742842329041509E-3</v>
      </c>
      <c r="AJ51" s="579">
        <v>2050</v>
      </c>
      <c r="AK51" s="580">
        <f t="shared" si="30"/>
        <v>27</v>
      </c>
      <c r="AL51" s="578">
        <f t="shared" si="31"/>
        <v>4.3104558174833381</v>
      </c>
      <c r="AM51" s="578">
        <f t="shared" si="31"/>
        <v>0.48364701513541752</v>
      </c>
      <c r="AN51" s="578">
        <f t="shared" si="31"/>
        <v>0.49423454340593781</v>
      </c>
      <c r="AO51" s="578">
        <f t="shared" si="31"/>
        <v>0.45185530664754697</v>
      </c>
      <c r="AP51" s="581">
        <f t="shared" si="31"/>
        <v>0.52122746939717124</v>
      </c>
    </row>
    <row r="52" spans="1:42">
      <c r="A52" s="541">
        <v>2051</v>
      </c>
      <c r="B52" s="541">
        <f t="shared" si="7"/>
        <v>28</v>
      </c>
      <c r="C52" s="1329">
        <f t="shared" si="32"/>
        <v>8.0695121744229076E-2</v>
      </c>
      <c r="D52" s="1329">
        <f t="shared" si="32"/>
        <v>4.5413347412722051E-2</v>
      </c>
      <c r="E52" s="1329">
        <f t="shared" si="32"/>
        <v>5.3340645773417107E-2</v>
      </c>
      <c r="F52" s="1329">
        <f t="shared" si="32"/>
        <v>4.1121166694589477E-2</v>
      </c>
      <c r="G52" s="1329">
        <f t="shared" si="32"/>
        <v>5.4146843331723517E-2</v>
      </c>
      <c r="J52" s="656">
        <f t="shared" si="24"/>
        <v>0.25307692307692309</v>
      </c>
      <c r="K52" s="657">
        <v>520</v>
      </c>
      <c r="M52" s="1325">
        <f t="shared" si="29"/>
        <v>4.247731666379641E-3</v>
      </c>
      <c r="O52" s="541">
        <v>2051</v>
      </c>
      <c r="P52" s="1326">
        <f t="shared" si="22"/>
        <v>8.4942853410608712E-2</v>
      </c>
      <c r="Q52" s="1327">
        <f t="shared" si="26"/>
        <v>4.5413347412722051E-2</v>
      </c>
      <c r="R52" s="1327">
        <f t="shared" si="26"/>
        <v>5.3340645773417107E-2</v>
      </c>
      <c r="S52" s="1327">
        <f t="shared" si="26"/>
        <v>4.1121166694589477E-2</v>
      </c>
      <c r="T52" s="1327">
        <f t="shared" si="26"/>
        <v>5.4146843331723517E-2</v>
      </c>
      <c r="V52" s="577">
        <v>2051</v>
      </c>
      <c r="W52" s="578">
        <f t="shared" si="8"/>
        <v>0.37080769480682235</v>
      </c>
      <c r="X52" s="578">
        <f t="shared" si="9"/>
        <v>4.977302876434337E-2</v>
      </c>
      <c r="Y52" s="578">
        <f t="shared" si="10"/>
        <v>5.8461347767665157E-2</v>
      </c>
      <c r="Z52" s="578">
        <f t="shared" si="11"/>
        <v>4.5068798697270068E-2</v>
      </c>
      <c r="AA52" s="578">
        <f t="shared" si="12"/>
        <v>5.9344940291568976E-2</v>
      </c>
      <c r="AC52" s="577">
        <v>2051</v>
      </c>
      <c r="AD52" s="578">
        <f t="shared" si="13"/>
        <v>5.5938166554651482E-2</v>
      </c>
      <c r="AE52" s="578">
        <f t="shared" si="14"/>
        <v>7.5085064628979022E-3</v>
      </c>
      <c r="AF52" s="578">
        <f t="shared" si="15"/>
        <v>8.8191821643310974E-3</v>
      </c>
      <c r="AG52" s="578">
        <f t="shared" si="16"/>
        <v>6.7988501944635715E-3</v>
      </c>
      <c r="AH52" s="578">
        <f t="shared" si="17"/>
        <v>8.9524764472189589E-3</v>
      </c>
      <c r="AJ52" s="579">
        <v>2051</v>
      </c>
      <c r="AK52" s="580">
        <f t="shared" si="30"/>
        <v>28</v>
      </c>
      <c r="AL52" s="578">
        <f t="shared" si="31"/>
        <v>4.3663939840379893</v>
      </c>
      <c r="AM52" s="578">
        <f t="shared" si="31"/>
        <v>0.49115552159831544</v>
      </c>
      <c r="AN52" s="578">
        <f t="shared" si="31"/>
        <v>0.50305372557026895</v>
      </c>
      <c r="AO52" s="578">
        <f t="shared" si="31"/>
        <v>0.45865415684201055</v>
      </c>
      <c r="AP52" s="581">
        <f t="shared" si="31"/>
        <v>0.53017994584439021</v>
      </c>
    </row>
    <row r="53" spans="1:42">
      <c r="A53" s="541">
        <v>2052</v>
      </c>
      <c r="B53" s="541">
        <f t="shared" si="7"/>
        <v>29</v>
      </c>
      <c r="C53" s="1329">
        <f t="shared" si="32"/>
        <v>8.2551109544346343E-2</v>
      </c>
      <c r="D53" s="1329">
        <f t="shared" si="32"/>
        <v>4.6457854403214656E-2</v>
      </c>
      <c r="E53" s="1329">
        <f t="shared" si="32"/>
        <v>5.4567480626205693E-2</v>
      </c>
      <c r="F53" s="1329">
        <f t="shared" si="32"/>
        <v>4.2066953528565029E-2</v>
      </c>
      <c r="G53" s="1329">
        <f t="shared" si="32"/>
        <v>5.5392220728353155E-2</v>
      </c>
      <c r="J53" s="656">
        <f t="shared" si="24"/>
        <v>0.25703124999999999</v>
      </c>
      <c r="K53" s="657">
        <v>512</v>
      </c>
      <c r="M53" s="1325">
        <f t="shared" si="29"/>
        <v>4.3454294947063727E-3</v>
      </c>
      <c r="O53" s="541">
        <v>2052</v>
      </c>
      <c r="P53" s="1326">
        <f t="shared" si="22"/>
        <v>8.6896539039052714E-2</v>
      </c>
      <c r="Q53" s="1327">
        <f t="shared" si="26"/>
        <v>4.6457854403214656E-2</v>
      </c>
      <c r="R53" s="1327">
        <f t="shared" si="26"/>
        <v>5.4567480626205693E-2</v>
      </c>
      <c r="S53" s="1327">
        <f t="shared" si="26"/>
        <v>4.2066953528565029E-2</v>
      </c>
      <c r="T53" s="1327">
        <f t="shared" si="26"/>
        <v>5.5392220728353155E-2</v>
      </c>
      <c r="V53" s="577">
        <v>2052</v>
      </c>
      <c r="W53" s="578">
        <f t="shared" si="8"/>
        <v>0.37728878457584081</v>
      </c>
      <c r="X53" s="578">
        <f t="shared" si="9"/>
        <v>5.0917808425923264E-2</v>
      </c>
      <c r="Y53" s="578">
        <f t="shared" si="10"/>
        <v>5.9805958766321443E-2</v>
      </c>
      <c r="Z53" s="578">
        <f t="shared" si="11"/>
        <v>4.6105381067307279E-2</v>
      </c>
      <c r="AA53" s="578">
        <f t="shared" si="12"/>
        <v>6.0709873918275065E-2</v>
      </c>
      <c r="AC53" s="577">
        <v>2052</v>
      </c>
      <c r="AD53" s="578">
        <f t="shared" si="13"/>
        <v>5.3132814467956035E-2</v>
      </c>
      <c r="AE53" s="578">
        <f t="shared" si="14"/>
        <v>7.1706517098063414E-3</v>
      </c>
      <c r="AF53" s="578">
        <f t="shared" si="15"/>
        <v>8.4223518989084284E-3</v>
      </c>
      <c r="AG53" s="578">
        <f t="shared" si="16"/>
        <v>6.4929273235028312E-3</v>
      </c>
      <c r="AH53" s="578">
        <f t="shared" si="17"/>
        <v>8.5496484368045127E-3</v>
      </c>
      <c r="AJ53" s="579">
        <v>2052</v>
      </c>
      <c r="AK53" s="580">
        <f t="shared" si="30"/>
        <v>29</v>
      </c>
      <c r="AL53" s="578">
        <f t="shared" si="31"/>
        <v>4.4195267985059452</v>
      </c>
      <c r="AM53" s="578">
        <f t="shared" si="31"/>
        <v>0.49832617330812179</v>
      </c>
      <c r="AN53" s="578">
        <f t="shared" si="31"/>
        <v>0.51147607746917734</v>
      </c>
      <c r="AO53" s="578">
        <f t="shared" si="31"/>
        <v>0.46514708416551337</v>
      </c>
      <c r="AP53" s="581">
        <f t="shared" si="31"/>
        <v>0.53872959428119471</v>
      </c>
    </row>
    <row r="54" spans="1:42">
      <c r="A54" s="541">
        <v>2053</v>
      </c>
      <c r="B54" s="541">
        <f t="shared" si="7"/>
        <v>30</v>
      </c>
      <c r="C54" s="1329">
        <f t="shared" si="32"/>
        <v>8.4449785063866301E-2</v>
      </c>
      <c r="D54" s="1329">
        <f t="shared" si="32"/>
        <v>4.7526385054488592E-2</v>
      </c>
      <c r="E54" s="1329">
        <f t="shared" si="32"/>
        <v>5.5822532680608418E-2</v>
      </c>
      <c r="F54" s="1329">
        <f t="shared" si="32"/>
        <v>4.3034493459722024E-2</v>
      </c>
      <c r="G54" s="1329">
        <f t="shared" si="32"/>
        <v>5.6666241805105273E-2</v>
      </c>
      <c r="J54" s="656">
        <f t="shared" si="24"/>
        <v>0.25703124999999999</v>
      </c>
      <c r="K54" s="657">
        <v>512</v>
      </c>
      <c r="M54" s="1325">
        <f t="shared" si="29"/>
        <v>4.445374373084619E-3</v>
      </c>
      <c r="O54" s="541">
        <v>2053</v>
      </c>
      <c r="P54" s="1326">
        <f t="shared" si="22"/>
        <v>8.8895159436950921E-2</v>
      </c>
      <c r="Q54" s="1327">
        <f t="shared" si="26"/>
        <v>4.7526385054488592E-2</v>
      </c>
      <c r="R54" s="1327">
        <f t="shared" si="26"/>
        <v>5.5822532680608418E-2</v>
      </c>
      <c r="S54" s="1327">
        <f t="shared" si="26"/>
        <v>4.3034493459722024E-2</v>
      </c>
      <c r="T54" s="1327">
        <f t="shared" si="26"/>
        <v>5.6666241805105273E-2</v>
      </c>
      <c r="V54" s="577">
        <v>2053</v>
      </c>
      <c r="W54" s="578">
        <f t="shared" si="8"/>
        <v>0.37948127115233515</v>
      </c>
      <c r="X54" s="578">
        <f t="shared" si="9"/>
        <v>5.2088918019719502E-2</v>
      </c>
      <c r="Y54" s="578">
        <f t="shared" si="10"/>
        <v>6.1181495817946831E-2</v>
      </c>
      <c r="Z54" s="578">
        <f t="shared" si="11"/>
        <v>4.716580483185534E-2</v>
      </c>
      <c r="AA54" s="578">
        <f t="shared" si="12"/>
        <v>6.2106201018395382E-2</v>
      </c>
      <c r="AC54" s="577">
        <v>2053</v>
      </c>
      <c r="AD54" s="578">
        <f t="shared" si="13"/>
        <v>4.9889449128652952E-2</v>
      </c>
      <c r="AE54" s="578">
        <f t="shared" si="14"/>
        <v>6.8479991590103513E-3</v>
      </c>
      <c r="AF54" s="578">
        <f t="shared" si="15"/>
        <v>8.0433775136140046E-3</v>
      </c>
      <c r="AG54" s="578">
        <f t="shared" si="16"/>
        <v>6.2007698393795703E-3</v>
      </c>
      <c r="AH54" s="578">
        <f t="shared" si="17"/>
        <v>8.1649461826465795E-3</v>
      </c>
      <c r="AJ54" s="579">
        <v>2053</v>
      </c>
      <c r="AK54" s="580">
        <f t="shared" si="30"/>
        <v>30</v>
      </c>
      <c r="AL54" s="578">
        <f t="shared" si="31"/>
        <v>4.469416247634598</v>
      </c>
      <c r="AM54" s="578">
        <f t="shared" si="31"/>
        <v>0.50517417246713214</v>
      </c>
      <c r="AN54" s="578">
        <f t="shared" si="31"/>
        <v>0.5195194549827914</v>
      </c>
      <c r="AO54" s="578">
        <f t="shared" si="31"/>
        <v>0.47134785400489293</v>
      </c>
      <c r="AP54" s="581">
        <f t="shared" si="31"/>
        <v>0.54689454046384134</v>
      </c>
    </row>
    <row r="55" spans="1:42">
      <c r="A55" s="541">
        <v>2054</v>
      </c>
      <c r="B55" s="541">
        <f t="shared" si="7"/>
        <v>31</v>
      </c>
      <c r="C55" s="1329">
        <f t="shared" si="32"/>
        <v>8.6392130120335212E-2</v>
      </c>
      <c r="D55" s="1329">
        <f t="shared" si="32"/>
        <v>4.8619491910741823E-2</v>
      </c>
      <c r="E55" s="1329">
        <f t="shared" si="32"/>
        <v>5.7106450932262409E-2</v>
      </c>
      <c r="F55" s="1329">
        <f t="shared" si="32"/>
        <v>4.4024286809295626E-2</v>
      </c>
      <c r="G55" s="1329">
        <f t="shared" si="32"/>
        <v>5.7969565366622691E-2</v>
      </c>
      <c r="J55" s="656">
        <f t="shared" si="24"/>
        <v>0.24924242424242424</v>
      </c>
      <c r="K55" s="658">
        <v>528</v>
      </c>
      <c r="M55" s="1325">
        <f t="shared" si="29"/>
        <v>4.5476179836655651E-3</v>
      </c>
      <c r="O55" s="541">
        <v>2054</v>
      </c>
      <c r="P55" s="1326">
        <f t="shared" si="22"/>
        <v>9.0939748104000781E-2</v>
      </c>
      <c r="Q55" s="1327">
        <f t="shared" si="26"/>
        <v>4.8619491910741823E-2</v>
      </c>
      <c r="R55" s="1327">
        <f t="shared" si="26"/>
        <v>5.7106450932262409E-2</v>
      </c>
      <c r="S55" s="1327">
        <f t="shared" si="26"/>
        <v>4.4024286809295626E-2</v>
      </c>
      <c r="T55" s="1327">
        <f t="shared" si="26"/>
        <v>5.7969565366622691E-2</v>
      </c>
      <c r="V55" s="541">
        <v>2054</v>
      </c>
      <c r="W55" s="578">
        <f t="shared" si="8"/>
        <v>0.37317984306402824</v>
      </c>
      <c r="X55" s="578">
        <f t="shared" si="9"/>
        <v>5.328696313417304E-2</v>
      </c>
      <c r="Y55" s="578">
        <f t="shared" si="10"/>
        <v>6.258867022175961E-2</v>
      </c>
      <c r="Z55" s="578">
        <f t="shared" si="11"/>
        <v>4.8250618342988008E-2</v>
      </c>
      <c r="AA55" s="578">
        <f t="shared" si="12"/>
        <v>6.3534643641818475E-2</v>
      </c>
      <c r="AC55" s="541">
        <v>2054</v>
      </c>
      <c r="AD55" s="578">
        <f t="shared" si="13"/>
        <v>4.580005247628522E-2</v>
      </c>
      <c r="AE55" s="578">
        <f t="shared" si="14"/>
        <v>6.5398647681736257E-3</v>
      </c>
      <c r="AF55" s="578">
        <f t="shared" si="15"/>
        <v>7.6814555605182301E-3</v>
      </c>
      <c r="AG55" s="578">
        <f t="shared" si="16"/>
        <v>5.9217583510878455E-3</v>
      </c>
      <c r="AH55" s="578">
        <f t="shared" si="17"/>
        <v>7.7975540933975457E-3</v>
      </c>
      <c r="AJ55" s="579">
        <v>2054</v>
      </c>
      <c r="AK55" s="580">
        <f t="shared" si="30"/>
        <v>31</v>
      </c>
      <c r="AL55" s="578">
        <f t="shared" si="31"/>
        <v>4.5152163001108834</v>
      </c>
      <c r="AM55" s="578">
        <f t="shared" si="31"/>
        <v>0.51171403723530573</v>
      </c>
      <c r="AN55" s="578">
        <f t="shared" si="31"/>
        <v>0.52720091054330964</v>
      </c>
      <c r="AO55" s="578">
        <f t="shared" si="31"/>
        <v>0.47726961235598075</v>
      </c>
      <c r="AP55" s="581">
        <f t="shared" si="31"/>
        <v>0.55469209455723889</v>
      </c>
    </row>
    <row r="56" spans="1:42">
      <c r="A56" s="541">
        <v>2055</v>
      </c>
      <c r="B56" s="541">
        <f t="shared" si="7"/>
        <v>32</v>
      </c>
      <c r="C56" s="1329">
        <f>C55*(1+$C$4)</f>
        <v>8.837914911310292E-2</v>
      </c>
      <c r="D56" s="1329">
        <f t="shared" si="32"/>
        <v>4.9737740224688881E-2</v>
      </c>
      <c r="E56" s="1329">
        <f t="shared" si="32"/>
        <v>5.8419899303704441E-2</v>
      </c>
      <c r="F56" s="1329">
        <f t="shared" si="32"/>
        <v>4.5036845405909423E-2</v>
      </c>
      <c r="G56" s="1329">
        <f t="shared" si="32"/>
        <v>5.9302865370055011E-2</v>
      </c>
      <c r="J56" s="656">
        <f t="shared" si="24"/>
        <v>0.25307692307692309</v>
      </c>
      <c r="K56" s="657">
        <v>520</v>
      </c>
      <c r="M56" s="1325">
        <f t="shared" si="29"/>
        <v>4.6522131972898725E-3</v>
      </c>
      <c r="O56" s="541">
        <v>2055</v>
      </c>
      <c r="P56" s="1326">
        <f t="shared" si="22"/>
        <v>9.3031362310392787E-2</v>
      </c>
      <c r="Q56" s="1327">
        <f t="shared" si="26"/>
        <v>4.9737740224688881E-2</v>
      </c>
      <c r="R56" s="1327">
        <f t="shared" si="26"/>
        <v>5.8419899303704441E-2</v>
      </c>
      <c r="S56" s="1327">
        <f t="shared" si="26"/>
        <v>4.5036845405909423E-2</v>
      </c>
      <c r="T56" s="1327">
        <f t="shared" si="26"/>
        <v>5.9302865370055011E-2</v>
      </c>
      <c r="V56" s="541">
        <v>2055</v>
      </c>
      <c r="W56" s="578">
        <f t="shared" si="8"/>
        <v>0.3796807890698855</v>
      </c>
      <c r="X56" s="578">
        <f t="shared" si="9"/>
        <v>5.4512563286259016E-2</v>
      </c>
      <c r="Y56" s="578">
        <f t="shared" si="10"/>
        <v>6.4028209636860067E-2</v>
      </c>
      <c r="Z56" s="578">
        <f t="shared" si="11"/>
        <v>4.936038256487673E-2</v>
      </c>
      <c r="AA56" s="578">
        <f t="shared" si="12"/>
        <v>6.4995940445580297E-2</v>
      </c>
      <c r="AC56" s="541">
        <v>2055</v>
      </c>
      <c r="AD56" s="578">
        <f t="shared" si="13"/>
        <v>4.3500661113823939E-2</v>
      </c>
      <c r="AE56" s="578">
        <f t="shared" si="14"/>
        <v>6.2455952743106996E-3</v>
      </c>
      <c r="AF56" s="578">
        <f t="shared" si="15"/>
        <v>7.335818743848161E-3</v>
      </c>
      <c r="AG56" s="578">
        <f t="shared" si="16"/>
        <v>5.6553013379040959E-3</v>
      </c>
      <c r="AH56" s="578">
        <f t="shared" si="17"/>
        <v>7.4466932762749178E-3</v>
      </c>
      <c r="AJ56" s="579">
        <v>2055</v>
      </c>
      <c r="AK56" s="580">
        <f t="shared" si="30"/>
        <v>32</v>
      </c>
      <c r="AL56" s="578">
        <f t="shared" si="31"/>
        <v>4.5587169612247074</v>
      </c>
      <c r="AM56" s="578">
        <f t="shared" si="31"/>
        <v>0.51795963250961641</v>
      </c>
      <c r="AN56" s="578">
        <f t="shared" si="31"/>
        <v>0.53453672928715779</v>
      </c>
      <c r="AO56" s="578">
        <f t="shared" si="31"/>
        <v>0.48292491369388485</v>
      </c>
      <c r="AP56" s="581">
        <f t="shared" si="31"/>
        <v>0.56213878783351379</v>
      </c>
    </row>
    <row r="57" spans="1:42">
      <c r="A57" s="541">
        <v>2056</v>
      </c>
      <c r="B57" s="541">
        <f t="shared" si="7"/>
        <v>33</v>
      </c>
      <c r="C57" s="1329">
        <f t="shared" si="32"/>
        <v>9.0411869542704276E-2</v>
      </c>
      <c r="D57" s="1329">
        <f t="shared" si="32"/>
        <v>5.0881708249856723E-2</v>
      </c>
      <c r="E57" s="1329">
        <f t="shared" si="32"/>
        <v>5.9763556987689641E-2</v>
      </c>
      <c r="F57" s="1329">
        <f t="shared" si="32"/>
        <v>4.6072692850245338E-2</v>
      </c>
      <c r="G57" s="1329">
        <f t="shared" si="32"/>
        <v>6.0666831273566271E-2</v>
      </c>
      <c r="J57" s="656">
        <f t="shared" si="24"/>
        <v>0.25307692307692309</v>
      </c>
      <c r="K57" s="657">
        <v>520</v>
      </c>
      <c r="M57" s="1325">
        <f t="shared" si="29"/>
        <v>4.7592141008275394E-3</v>
      </c>
      <c r="O57" s="541">
        <v>2056</v>
      </c>
      <c r="P57" s="1326">
        <f t="shared" si="22"/>
        <v>9.5171083643531815E-2</v>
      </c>
      <c r="Q57" s="1327">
        <f t="shared" si="26"/>
        <v>5.0881708249856723E-2</v>
      </c>
      <c r="R57" s="1327">
        <f t="shared" si="26"/>
        <v>5.9763556987689641E-2</v>
      </c>
      <c r="S57" s="1327">
        <f t="shared" si="26"/>
        <v>4.6072692850245338E-2</v>
      </c>
      <c r="T57" s="1327">
        <f t="shared" si="26"/>
        <v>6.0666831273566271E-2</v>
      </c>
      <c r="V57" s="541">
        <v>2056</v>
      </c>
      <c r="W57" s="578">
        <f t="shared" si="8"/>
        <v>0.38202806337233902</v>
      </c>
      <c r="X57" s="578">
        <f t="shared" si="9"/>
        <v>5.5766352241842974E-2</v>
      </c>
      <c r="Y57" s="578">
        <f t="shared" si="10"/>
        <v>6.5500858458507852E-2</v>
      </c>
      <c r="Z57" s="578">
        <f t="shared" si="11"/>
        <v>5.0495671363868892E-2</v>
      </c>
      <c r="AA57" s="578">
        <f t="shared" si="12"/>
        <v>6.6490847075828641E-2</v>
      </c>
      <c r="AC57" s="541">
        <v>2056</v>
      </c>
      <c r="AD57" s="578">
        <f t="shared" si="13"/>
        <v>4.0860336300120217E-2</v>
      </c>
      <c r="AE57" s="578">
        <f t="shared" si="14"/>
        <v>5.9645668088310726E-3</v>
      </c>
      <c r="AF57" s="578">
        <f t="shared" si="15"/>
        <v>7.0057342932754564E-3</v>
      </c>
      <c r="AG57" s="578">
        <f t="shared" si="16"/>
        <v>5.4008338953285004E-3</v>
      </c>
      <c r="AH57" s="578">
        <f t="shared" si="17"/>
        <v>7.1116198857629201E-3</v>
      </c>
      <c r="AJ57" s="579">
        <v>2056</v>
      </c>
      <c r="AK57" s="580">
        <f t="shared" si="30"/>
        <v>33</v>
      </c>
      <c r="AL57" s="578">
        <f t="shared" si="31"/>
        <v>4.5995772975248279</v>
      </c>
      <c r="AM57" s="578">
        <f t="shared" si="31"/>
        <v>0.52392419931844747</v>
      </c>
      <c r="AN57" s="578">
        <f t="shared" si="31"/>
        <v>0.54154246358043323</v>
      </c>
      <c r="AO57" s="578">
        <f t="shared" si="31"/>
        <v>0.48832574758921338</v>
      </c>
      <c r="AP57" s="581">
        <f t="shared" si="31"/>
        <v>0.56925040771927671</v>
      </c>
    </row>
    <row r="58" spans="1:42">
      <c r="A58" s="541">
        <v>2057</v>
      </c>
      <c r="B58" s="541">
        <f t="shared" si="7"/>
        <v>34</v>
      </c>
      <c r="C58" s="1329">
        <f t="shared" si="32"/>
        <v>9.2491342542186467E-2</v>
      </c>
      <c r="D58" s="1329">
        <f t="shared" si="32"/>
        <v>5.2051987539603425E-2</v>
      </c>
      <c r="E58" s="1329">
        <f t="shared" si="32"/>
        <v>6.1138118798406499E-2</v>
      </c>
      <c r="F58" s="1329">
        <f t="shared" si="32"/>
        <v>4.7132364785800976E-2</v>
      </c>
      <c r="G58" s="1329">
        <f t="shared" si="32"/>
        <v>6.2062168392858288E-2</v>
      </c>
      <c r="J58" s="656">
        <f t="shared" si="24"/>
        <v>0.25307692307692309</v>
      </c>
      <c r="K58" s="657">
        <v>520</v>
      </c>
      <c r="M58" s="1325">
        <f t="shared" si="29"/>
        <v>4.8686760251465721E-3</v>
      </c>
      <c r="O58" s="541">
        <v>2057</v>
      </c>
      <c r="P58" s="1326">
        <f t="shared" si="22"/>
        <v>9.7360018567333034E-2</v>
      </c>
      <c r="Q58" s="1327">
        <f t="shared" si="26"/>
        <v>5.2051987539603425E-2</v>
      </c>
      <c r="R58" s="1327">
        <f t="shared" si="26"/>
        <v>6.1138118798406499E-2</v>
      </c>
      <c r="S58" s="1327">
        <f t="shared" si="26"/>
        <v>4.7132364785800976E-2</v>
      </c>
      <c r="T58" s="1327">
        <f t="shared" si="26"/>
        <v>6.2062168392858288E-2</v>
      </c>
      <c r="V58" s="541">
        <v>2057</v>
      </c>
      <c r="W58" s="578">
        <f t="shared" si="8"/>
        <v>0.38442932498374893</v>
      </c>
      <c r="X58" s="578">
        <f t="shared" si="9"/>
        <v>5.704897834340536E-2</v>
      </c>
      <c r="Y58" s="578">
        <f t="shared" si="10"/>
        <v>6.7007378203053525E-2</v>
      </c>
      <c r="Z58" s="578">
        <f t="shared" si="11"/>
        <v>5.1657071805237875E-2</v>
      </c>
      <c r="AA58" s="578">
        <f t="shared" si="12"/>
        <v>6.8020136558572683E-2</v>
      </c>
      <c r="AC58" s="541">
        <v>2057</v>
      </c>
      <c r="AD58" s="578">
        <f t="shared" si="13"/>
        <v>3.8384210730321069E-2</v>
      </c>
      <c r="AE58" s="578">
        <f t="shared" si="14"/>
        <v>5.6961835749012209E-3</v>
      </c>
      <c r="AF58" s="578">
        <f t="shared" si="15"/>
        <v>6.6905024104002911E-3</v>
      </c>
      <c r="AG58" s="578">
        <f t="shared" si="16"/>
        <v>5.1578165374543093E-3</v>
      </c>
      <c r="AH58" s="578">
        <f t="shared" si="17"/>
        <v>6.7916235466163799E-3</v>
      </c>
      <c r="AJ58" s="579">
        <v>2057</v>
      </c>
      <c r="AK58" s="580">
        <f t="shared" si="30"/>
        <v>34</v>
      </c>
      <c r="AL58" s="578">
        <f t="shared" si="31"/>
        <v>4.6379615082551489</v>
      </c>
      <c r="AM58" s="578">
        <f t="shared" si="31"/>
        <v>0.52962038289334867</v>
      </c>
      <c r="AN58" s="578">
        <f t="shared" si="31"/>
        <v>0.54823296599083349</v>
      </c>
      <c r="AO58" s="578">
        <f t="shared" si="31"/>
        <v>0.49348356412666766</v>
      </c>
      <c r="AP58" s="581">
        <f t="shared" si="31"/>
        <v>0.57604203126589304</v>
      </c>
    </row>
    <row r="59" spans="1:42">
      <c r="A59" s="541">
        <v>2058</v>
      </c>
      <c r="B59" s="541">
        <f t="shared" si="7"/>
        <v>35</v>
      </c>
      <c r="C59" s="1329">
        <f t="shared" si="32"/>
        <v>9.4618643420656748E-2</v>
      </c>
      <c r="D59" s="1329">
        <f t="shared" si="32"/>
        <v>5.3249183253014302E-2</v>
      </c>
      <c r="E59" s="1329">
        <f t="shared" si="32"/>
        <v>6.2544295530769844E-2</v>
      </c>
      <c r="F59" s="1329">
        <f t="shared" si="32"/>
        <v>4.8216409175874393E-2</v>
      </c>
      <c r="G59" s="1329">
        <f t="shared" si="32"/>
        <v>6.3489598265894023E-2</v>
      </c>
      <c r="J59" s="656">
        <f t="shared" si="24"/>
        <v>0.25703124999999999</v>
      </c>
      <c r="K59" s="657">
        <v>512</v>
      </c>
      <c r="M59" s="1325">
        <f t="shared" si="29"/>
        <v>4.9806555737249431E-3</v>
      </c>
      <c r="O59" s="541">
        <v>2058</v>
      </c>
      <c r="P59" s="1326">
        <f t="shared" si="22"/>
        <v>9.9599298994381691E-2</v>
      </c>
      <c r="Q59" s="1327">
        <f t="shared" ref="Q59:Q64" si="33">D59</f>
        <v>5.3249183253014302E-2</v>
      </c>
      <c r="R59" s="1327">
        <f t="shared" ref="R59:R64" si="34">E59</f>
        <v>6.2544295530769844E-2</v>
      </c>
      <c r="S59" s="1327">
        <f t="shared" ref="S59:S64" si="35">F59</f>
        <v>4.8216409175874393E-2</v>
      </c>
      <c r="T59" s="1327">
        <f t="shared" ref="T59:T64" si="36">G59</f>
        <v>6.3489598265894023E-2</v>
      </c>
      <c r="V59" s="541">
        <v>2058</v>
      </c>
      <c r="W59" s="578">
        <f t="shared" si="8"/>
        <v>0.39122371224683672</v>
      </c>
      <c r="X59" s="578">
        <f t="shared" si="9"/>
        <v>5.8361104845303678E-2</v>
      </c>
      <c r="Y59" s="578">
        <f t="shared" si="10"/>
        <v>6.8548547901723753E-2</v>
      </c>
      <c r="Z59" s="578">
        <f t="shared" si="11"/>
        <v>5.2845184456758336E-2</v>
      </c>
      <c r="AA59" s="578">
        <f t="shared" si="12"/>
        <v>6.9584599699419852E-2</v>
      </c>
      <c r="AC59" s="541">
        <v>2058</v>
      </c>
      <c r="AD59" s="578">
        <f t="shared" si="13"/>
        <v>3.6466216962883671E-2</v>
      </c>
      <c r="AE59" s="578">
        <f t="shared" si="14"/>
        <v>5.4398765843203392E-3</v>
      </c>
      <c r="AF59" s="578">
        <f t="shared" si="15"/>
        <v>6.3894547851376928E-3</v>
      </c>
      <c r="AG59" s="578">
        <f t="shared" si="16"/>
        <v>4.9257340532260618E-3</v>
      </c>
      <c r="AH59" s="578">
        <f t="shared" si="17"/>
        <v>6.4860258478235209E-3</v>
      </c>
      <c r="AJ59" s="579">
        <v>2058</v>
      </c>
      <c r="AK59" s="580">
        <f t="shared" si="30"/>
        <v>35</v>
      </c>
      <c r="AL59" s="578">
        <f t="shared" si="31"/>
        <v>4.6744277252180328</v>
      </c>
      <c r="AM59" s="578">
        <f t="shared" si="31"/>
        <v>0.535060259477669</v>
      </c>
      <c r="AN59" s="578">
        <f t="shared" si="31"/>
        <v>0.55462242077597113</v>
      </c>
      <c r="AO59" s="578">
        <f t="shared" si="31"/>
        <v>0.49840929817989371</v>
      </c>
      <c r="AP59" s="581">
        <f t="shared" si="31"/>
        <v>0.58252805711371658</v>
      </c>
    </row>
    <row r="60" spans="1:42">
      <c r="A60" s="541">
        <v>2059</v>
      </c>
      <c r="B60" s="541">
        <f t="shared" si="7"/>
        <v>36</v>
      </c>
      <c r="C60" s="1329">
        <f t="shared" si="32"/>
        <v>9.6794872219331848E-2</v>
      </c>
      <c r="D60" s="1329">
        <f t="shared" si="32"/>
        <v>5.4473914467833624E-2</v>
      </c>
      <c r="E60" s="1329">
        <f t="shared" si="32"/>
        <v>6.3982814327977547E-2</v>
      </c>
      <c r="F60" s="1329">
        <f t="shared" si="32"/>
        <v>4.9325386586919498E-2</v>
      </c>
      <c r="G60" s="1329">
        <f t="shared" si="32"/>
        <v>6.4949859026009582E-2</v>
      </c>
      <c r="J60" s="656">
        <f t="shared" si="24"/>
        <v>0.25703124999999999</v>
      </c>
      <c r="K60" s="657">
        <v>512</v>
      </c>
      <c r="M60" s="1325">
        <f t="shared" si="29"/>
        <v>5.0952106519206166E-3</v>
      </c>
      <c r="O60" s="541">
        <v>2059</v>
      </c>
      <c r="P60" s="1326">
        <f t="shared" si="22"/>
        <v>0.10189008287125247</v>
      </c>
      <c r="Q60" s="1327">
        <f t="shared" si="33"/>
        <v>5.4473914467833624E-2</v>
      </c>
      <c r="R60" s="1327">
        <f t="shared" si="34"/>
        <v>6.3982814327977547E-2</v>
      </c>
      <c r="S60" s="1327">
        <f t="shared" si="35"/>
        <v>4.9325386586919498E-2</v>
      </c>
      <c r="T60" s="1327">
        <f t="shared" si="36"/>
        <v>6.4949859026009582E-2</v>
      </c>
      <c r="V60" s="541">
        <v>2059</v>
      </c>
      <c r="W60" s="578">
        <f t="shared" si="8"/>
        <v>0.39373670215976392</v>
      </c>
      <c r="X60" s="578">
        <f t="shared" si="9"/>
        <v>5.9703410256745658E-2</v>
      </c>
      <c r="Y60" s="578">
        <f t="shared" si="10"/>
        <v>7.01251645034634E-2</v>
      </c>
      <c r="Z60" s="578">
        <f t="shared" si="11"/>
        <v>5.4060623699263774E-2</v>
      </c>
      <c r="AA60" s="578">
        <f t="shared" si="12"/>
        <v>7.118504549250651E-2</v>
      </c>
      <c r="AC60" s="541">
        <v>2059</v>
      </c>
      <c r="AD60" s="578">
        <f t="shared" si="13"/>
        <v>3.4261066457239371E-2</v>
      </c>
      <c r="AE60" s="578">
        <f t="shared" si="14"/>
        <v>5.1951024512319911E-3</v>
      </c>
      <c r="AF60" s="578">
        <f t="shared" si="15"/>
        <v>6.1019531788609619E-3</v>
      </c>
      <c r="AG60" s="578">
        <f t="shared" si="16"/>
        <v>4.7040944141619329E-3</v>
      </c>
      <c r="AH60" s="578">
        <f t="shared" si="17"/>
        <v>6.1941789043348247E-3</v>
      </c>
      <c r="AJ60" s="579">
        <v>2059</v>
      </c>
      <c r="AK60" s="580">
        <f t="shared" si="30"/>
        <v>36</v>
      </c>
      <c r="AL60" s="578">
        <f t="shared" si="31"/>
        <v>4.7086887916752724</v>
      </c>
      <c r="AM60" s="578">
        <f t="shared" si="31"/>
        <v>0.540255361928901</v>
      </c>
      <c r="AN60" s="578">
        <f t="shared" si="31"/>
        <v>0.5607243739548321</v>
      </c>
      <c r="AO60" s="578">
        <f t="shared" si="31"/>
        <v>0.50311339259405563</v>
      </c>
      <c r="AP60" s="581">
        <f t="shared" si="31"/>
        <v>0.5887222360180514</v>
      </c>
    </row>
    <row r="61" spans="1:42">
      <c r="A61" s="541">
        <v>2060</v>
      </c>
      <c r="B61" s="541">
        <f t="shared" si="7"/>
        <v>37</v>
      </c>
      <c r="C61" s="1329">
        <f t="shared" si="32"/>
        <v>9.9021154280376472E-2</v>
      </c>
      <c r="D61" s="1329">
        <f t="shared" si="32"/>
        <v>5.5726814500593795E-2</v>
      </c>
      <c r="E61" s="1329">
        <f t="shared" si="32"/>
        <v>6.5454419057521029E-2</v>
      </c>
      <c r="F61" s="1329">
        <f t="shared" si="32"/>
        <v>5.0459870478418642E-2</v>
      </c>
      <c r="G61" s="1329">
        <f t="shared" si="32"/>
        <v>6.6443705783607795E-2</v>
      </c>
      <c r="J61" s="656">
        <f t="shared" si="24"/>
        <v>0.25307692307692309</v>
      </c>
      <c r="K61" s="657">
        <v>520</v>
      </c>
      <c r="M61" s="1325">
        <f t="shared" si="29"/>
        <v>5.2124004969147904E-3</v>
      </c>
      <c r="O61" s="541">
        <v>2060</v>
      </c>
      <c r="P61" s="1326">
        <f t="shared" si="22"/>
        <v>0.10423355477729127</v>
      </c>
      <c r="Q61" s="1327">
        <f t="shared" si="33"/>
        <v>5.5726814500593795E-2</v>
      </c>
      <c r="R61" s="1327">
        <f t="shared" si="34"/>
        <v>6.5454419057521029E-2</v>
      </c>
      <c r="S61" s="1327">
        <f t="shared" si="35"/>
        <v>5.0459870478418642E-2</v>
      </c>
      <c r="T61" s="1327">
        <f t="shared" si="36"/>
        <v>6.6443705783607795E-2</v>
      </c>
      <c r="V61" s="541">
        <v>2060</v>
      </c>
      <c r="W61" s="578">
        <f t="shared" si="8"/>
        <v>0.39196959420607308</v>
      </c>
      <c r="X61" s="578">
        <f t="shared" si="9"/>
        <v>6.1076588692650806E-2</v>
      </c>
      <c r="Y61" s="578">
        <f t="shared" si="10"/>
        <v>7.1738043287043057E-2</v>
      </c>
      <c r="Z61" s="578">
        <f t="shared" si="11"/>
        <v>5.5304018044346835E-2</v>
      </c>
      <c r="AA61" s="578">
        <f t="shared" si="12"/>
        <v>7.282230153883415E-2</v>
      </c>
      <c r="AC61" s="541">
        <v>2060</v>
      </c>
      <c r="AD61" s="578">
        <f t="shared" si="13"/>
        <v>3.1840273764487628E-2</v>
      </c>
      <c r="AE61" s="578">
        <f t="shared" si="14"/>
        <v>4.9613422401141964E-3</v>
      </c>
      <c r="AF61" s="578">
        <f t="shared" si="15"/>
        <v>5.8273880712983233E-3</v>
      </c>
      <c r="AG61" s="578">
        <f t="shared" si="16"/>
        <v>4.4924277312244744E-3</v>
      </c>
      <c r="AH61" s="578">
        <f t="shared" si="17"/>
        <v>5.9154639835087052E-3</v>
      </c>
      <c r="AJ61" s="579">
        <v>2060</v>
      </c>
      <c r="AK61" s="580">
        <f t="shared" si="30"/>
        <v>37</v>
      </c>
      <c r="AL61" s="578">
        <f t="shared" ref="AL61:AP64" si="37">AD61+AL60</f>
        <v>4.7405290654397598</v>
      </c>
      <c r="AM61" s="578">
        <f t="shared" si="37"/>
        <v>0.54521670416901524</v>
      </c>
      <c r="AN61" s="578">
        <f t="shared" si="37"/>
        <v>0.56655176202613045</v>
      </c>
      <c r="AO61" s="578">
        <f t="shared" si="37"/>
        <v>0.50760582032528012</v>
      </c>
      <c r="AP61" s="581">
        <f t="shared" si="37"/>
        <v>0.59463770000156013</v>
      </c>
    </row>
    <row r="62" spans="1:42">
      <c r="A62" s="541">
        <v>2061</v>
      </c>
      <c r="B62" s="541">
        <f t="shared" si="7"/>
        <v>38</v>
      </c>
      <c r="C62" s="1329">
        <f t="shared" si="32"/>
        <v>0.10129864082882513</v>
      </c>
      <c r="D62" s="1329">
        <f t="shared" si="32"/>
        <v>5.700853123410745E-2</v>
      </c>
      <c r="E62" s="1329">
        <f t="shared" si="32"/>
        <v>6.6959870695844012E-2</v>
      </c>
      <c r="F62" s="1329">
        <f t="shared" si="32"/>
        <v>5.1620447499422267E-2</v>
      </c>
      <c r="G62" s="1329">
        <f t="shared" si="32"/>
        <v>6.7971911016630762E-2</v>
      </c>
      <c r="J62" s="656">
        <f t="shared" si="24"/>
        <v>0.25307692307692309</v>
      </c>
      <c r="K62" s="657">
        <v>520</v>
      </c>
      <c r="M62" s="1325">
        <f t="shared" si="29"/>
        <v>5.3322857083438297E-3</v>
      </c>
      <c r="O62" s="541">
        <v>2061</v>
      </c>
      <c r="P62" s="1326">
        <f t="shared" si="22"/>
        <v>0.10663092653716896</v>
      </c>
      <c r="Q62" s="1327">
        <f t="shared" si="33"/>
        <v>5.700853123410745E-2</v>
      </c>
      <c r="R62" s="1327">
        <f t="shared" si="34"/>
        <v>6.6959870695844012E-2</v>
      </c>
      <c r="S62" s="1327">
        <f t="shared" si="35"/>
        <v>5.1620447499422267E-2</v>
      </c>
      <c r="T62" s="1327">
        <f t="shared" si="36"/>
        <v>6.7971911016630762E-2</v>
      </c>
      <c r="V62" s="541">
        <v>2061</v>
      </c>
      <c r="W62" s="578">
        <f t="shared" si="8"/>
        <v>0.39459951102665902</v>
      </c>
      <c r="X62" s="578">
        <f t="shared" si="9"/>
        <v>6.2481350232581771E-2</v>
      </c>
      <c r="Y62" s="578">
        <f t="shared" si="10"/>
        <v>7.3388018282645046E-2</v>
      </c>
      <c r="Z62" s="578">
        <f t="shared" si="11"/>
        <v>5.6576010459366811E-2</v>
      </c>
      <c r="AA62" s="578">
        <f t="shared" si="12"/>
        <v>7.4497214474227316E-2</v>
      </c>
      <c r="AC62" s="541">
        <v>2061</v>
      </c>
      <c r="AD62" s="578">
        <f t="shared" si="13"/>
        <v>2.9923362419403771E-2</v>
      </c>
      <c r="AE62" s="578">
        <f t="shared" si="14"/>
        <v>4.7381003656056971E-3</v>
      </c>
      <c r="AF62" s="578">
        <f t="shared" si="15"/>
        <v>5.5651773683142126E-3</v>
      </c>
      <c r="AG62" s="578">
        <f t="shared" si="16"/>
        <v>4.2902852586283024E-3</v>
      </c>
      <c r="AH62" s="578">
        <f t="shared" si="17"/>
        <v>5.6492901933620282E-3</v>
      </c>
      <c r="AJ62" s="579">
        <v>2061</v>
      </c>
      <c r="AK62" s="580">
        <f t="shared" si="30"/>
        <v>38</v>
      </c>
      <c r="AL62" s="578">
        <f t="shared" si="37"/>
        <v>4.7704524278591638</v>
      </c>
      <c r="AM62" s="578">
        <f t="shared" si="37"/>
        <v>0.54995480453462098</v>
      </c>
      <c r="AN62" s="578">
        <f t="shared" si="37"/>
        <v>0.57211693939444463</v>
      </c>
      <c r="AO62" s="578">
        <f t="shared" si="37"/>
        <v>0.51189610558390841</v>
      </c>
      <c r="AP62" s="581">
        <f t="shared" si="37"/>
        <v>0.60028699019492215</v>
      </c>
    </row>
    <row r="63" spans="1:42">
      <c r="A63" s="541">
        <v>2062</v>
      </c>
      <c r="B63" s="541">
        <f t="shared" si="7"/>
        <v>39</v>
      </c>
      <c r="C63" s="1329">
        <f t="shared" si="32"/>
        <v>0.10362850956788809</v>
      </c>
      <c r="D63" s="1329">
        <f t="shared" si="32"/>
        <v>5.8319727452491914E-2</v>
      </c>
      <c r="E63" s="1329">
        <f t="shared" si="32"/>
        <v>6.849994772184842E-2</v>
      </c>
      <c r="F63" s="1329">
        <f t="shared" si="32"/>
        <v>5.2807717791908973E-2</v>
      </c>
      <c r="G63" s="1329">
        <f t="shared" si="32"/>
        <v>6.9535264970013264E-2</v>
      </c>
      <c r="J63" s="656">
        <f t="shared" si="24"/>
        <v>0.25307692307692309</v>
      </c>
      <c r="K63" s="657">
        <v>520</v>
      </c>
      <c r="M63" s="1325">
        <f t="shared" si="29"/>
        <v>5.4549282796357377E-3</v>
      </c>
      <c r="O63" s="541">
        <v>2062</v>
      </c>
      <c r="P63" s="1326">
        <f t="shared" si="22"/>
        <v>0.10908343784752383</v>
      </c>
      <c r="Q63" s="1327">
        <f t="shared" si="33"/>
        <v>5.8319727452491914E-2</v>
      </c>
      <c r="R63" s="1327">
        <f t="shared" si="34"/>
        <v>6.849994772184842E-2</v>
      </c>
      <c r="S63" s="1327">
        <f t="shared" si="35"/>
        <v>5.2807717791908973E-2</v>
      </c>
      <c r="T63" s="1327">
        <f t="shared" si="36"/>
        <v>6.9535264970013264E-2</v>
      </c>
      <c r="V63" s="541">
        <v>2062</v>
      </c>
      <c r="W63" s="578">
        <f t="shared" si="8"/>
        <v>0.39728991593411828</v>
      </c>
      <c r="X63" s="578">
        <f t="shared" si="9"/>
        <v>6.391842128793114E-2</v>
      </c>
      <c r="Y63" s="578">
        <f t="shared" si="10"/>
        <v>7.5075942703145868E-2</v>
      </c>
      <c r="Z63" s="578">
        <f t="shared" si="11"/>
        <v>5.7877258699932238E-2</v>
      </c>
      <c r="AA63" s="578">
        <f t="shared" si="12"/>
        <v>7.6210650407134539E-2</v>
      </c>
      <c r="AC63" s="541">
        <v>2062</v>
      </c>
      <c r="AD63" s="578">
        <f t="shared" si="13"/>
        <v>2.8124889687871846E-2</v>
      </c>
      <c r="AE63" s="578">
        <f t="shared" si="14"/>
        <v>4.5249035418359106E-3</v>
      </c>
      <c r="AF63" s="578">
        <f t="shared" si="15"/>
        <v>5.3147651678355475E-3</v>
      </c>
      <c r="AG63" s="578">
        <f t="shared" si="16"/>
        <v>4.0972384424726969E-3</v>
      </c>
      <c r="AH63" s="578">
        <f t="shared" si="17"/>
        <v>5.3950932298444309E-3</v>
      </c>
      <c r="AJ63" s="579">
        <v>2062</v>
      </c>
      <c r="AK63" s="580">
        <f t="shared" si="30"/>
        <v>39</v>
      </c>
      <c r="AL63" s="578">
        <f t="shared" si="37"/>
        <v>4.7985773175470356</v>
      </c>
      <c r="AM63" s="578">
        <f t="shared" si="37"/>
        <v>0.55447970807645686</v>
      </c>
      <c r="AN63" s="578">
        <f t="shared" si="37"/>
        <v>0.57743170456228021</v>
      </c>
      <c r="AO63" s="578">
        <f t="shared" si="37"/>
        <v>0.51599334402638108</v>
      </c>
      <c r="AP63" s="581">
        <f t="shared" si="37"/>
        <v>0.60568208342476659</v>
      </c>
    </row>
    <row r="64" spans="1:42" ht="12" thickBot="1">
      <c r="A64" s="541">
        <v>2063</v>
      </c>
      <c r="B64" s="541">
        <f t="shared" si="7"/>
        <v>40</v>
      </c>
      <c r="C64" s="1329">
        <f t="shared" si="32"/>
        <v>0.10601196528794951</v>
      </c>
      <c r="D64" s="1329">
        <f t="shared" si="32"/>
        <v>5.966108118389922E-2</v>
      </c>
      <c r="E64" s="1329">
        <f t="shared" si="32"/>
        <v>7.0075446519450926E-2</v>
      </c>
      <c r="F64" s="1329">
        <f t="shared" si="32"/>
        <v>5.4022295301122875E-2</v>
      </c>
      <c r="G64" s="1329">
        <f t="shared" si="32"/>
        <v>7.1134576064323565E-2</v>
      </c>
      <c r="J64" s="656">
        <f t="shared" si="24"/>
        <v>0.25307692307692309</v>
      </c>
      <c r="K64" s="657">
        <v>520</v>
      </c>
      <c r="M64" s="1325">
        <f t="shared" si="29"/>
        <v>5.580391630067359E-3</v>
      </c>
      <c r="O64" s="541">
        <v>2063</v>
      </c>
      <c r="P64" s="1326">
        <f t="shared" si="22"/>
        <v>0.11159235691801687</v>
      </c>
      <c r="Q64" s="1327">
        <f t="shared" si="33"/>
        <v>5.966108118389922E-2</v>
      </c>
      <c r="R64" s="1327">
        <f t="shared" si="34"/>
        <v>7.0075446519450926E-2</v>
      </c>
      <c r="S64" s="1327">
        <f t="shared" si="35"/>
        <v>5.4022295301122875E-2</v>
      </c>
      <c r="T64" s="1327">
        <f t="shared" si="36"/>
        <v>7.1134576064323565E-2</v>
      </c>
      <c r="V64" s="541">
        <v>2063</v>
      </c>
      <c r="W64" s="578">
        <f t="shared" si="8"/>
        <v>0.40004220015444913</v>
      </c>
      <c r="X64" s="578">
        <f t="shared" si="9"/>
        <v>6.5388544977553545E-2</v>
      </c>
      <c r="Y64" s="578">
        <f t="shared" si="10"/>
        <v>7.6802689385318215E-2</v>
      </c>
      <c r="Z64" s="578">
        <f t="shared" si="11"/>
        <v>5.9208435650030672E-2</v>
      </c>
      <c r="AA64" s="578">
        <f t="shared" si="12"/>
        <v>7.7963495366498631E-2</v>
      </c>
      <c r="AC64" s="541">
        <v>2063</v>
      </c>
      <c r="AD64" s="578">
        <f t="shared" si="13"/>
        <v>2.6437387033523531E-2</v>
      </c>
      <c r="AE64" s="578">
        <f t="shared" si="14"/>
        <v>4.3212997790311207E-3</v>
      </c>
      <c r="AF64" s="578">
        <f t="shared" si="15"/>
        <v>5.075620581306727E-3</v>
      </c>
      <c r="AG64" s="578">
        <f t="shared" si="16"/>
        <v>3.9128780121821961E-3</v>
      </c>
      <c r="AH64" s="578">
        <f t="shared" si="17"/>
        <v>5.1523341804806319E-3</v>
      </c>
      <c r="AJ64" s="587">
        <v>2063</v>
      </c>
      <c r="AK64" s="588">
        <f t="shared" si="30"/>
        <v>40</v>
      </c>
      <c r="AL64" s="589">
        <f t="shared" si="37"/>
        <v>4.8250147045805596</v>
      </c>
      <c r="AM64" s="589">
        <f>AE64+AM63</f>
        <v>0.55880100785548803</v>
      </c>
      <c r="AN64" s="589">
        <f t="shared" si="37"/>
        <v>0.58250732514358694</v>
      </c>
      <c r="AO64" s="589">
        <f t="shared" si="37"/>
        <v>0.51990622203856329</v>
      </c>
      <c r="AP64" s="590">
        <f t="shared" si="37"/>
        <v>0.61083441760524726</v>
      </c>
    </row>
    <row r="65" spans="1:42" ht="15">
      <c r="C65" s="585"/>
      <c r="D65" s="586"/>
      <c r="E65" s="586"/>
      <c r="F65" s="586"/>
      <c r="G65" s="586"/>
      <c r="J65" s="656"/>
      <c r="W65" s="578"/>
      <c r="X65" s="578"/>
      <c r="Y65" s="578"/>
      <c r="Z65" s="578"/>
      <c r="AA65" s="578"/>
      <c r="AD65" s="578"/>
      <c r="AE65" s="578"/>
      <c r="AF65" s="578"/>
      <c r="AG65" s="578"/>
      <c r="AH65" s="578"/>
      <c r="AK65" s="580"/>
      <c r="AL65" s="578"/>
      <c r="AM65" s="578"/>
      <c r="AN65" s="578"/>
      <c r="AO65" s="578"/>
      <c r="AP65" s="578"/>
    </row>
    <row r="66" spans="1:42" ht="12" customHeight="1">
      <c r="A66" s="539" t="s">
        <v>205</v>
      </c>
      <c r="B66" s="550"/>
      <c r="P66" s="541">
        <v>0.11159235691801686</v>
      </c>
      <c r="Q66" s="541">
        <v>5.966108118389922E-2</v>
      </c>
      <c r="R66" s="541">
        <v>7.0075446519450926E-2</v>
      </c>
      <c r="S66" s="541">
        <v>5.4022295301122875E-2</v>
      </c>
      <c r="T66" s="541">
        <v>7.1134576064323565E-2</v>
      </c>
    </row>
    <row r="67" spans="1:42">
      <c r="A67" s="541" t="s">
        <v>753</v>
      </c>
      <c r="B67" s="550"/>
    </row>
    <row r="68" spans="1:42">
      <c r="B68" s="550"/>
    </row>
    <row r="69" spans="1:42">
      <c r="B69" s="550"/>
      <c r="AL69" s="1328"/>
      <c r="AM69" s="1328"/>
      <c r="AN69" s="1328"/>
      <c r="AO69" s="1328"/>
      <c r="AP69" s="1328"/>
    </row>
    <row r="70" spans="1:42" ht="12.75">
      <c r="B70" s="550"/>
      <c r="C70" s="591"/>
      <c r="D70" s="592"/>
      <c r="E70" s="548"/>
      <c r="F70" s="548"/>
      <c r="G70" s="548"/>
    </row>
    <row r="71" spans="1:42">
      <c r="B71" s="550"/>
      <c r="C71" s="548"/>
      <c r="E71" s="548"/>
      <c r="F71" s="548"/>
      <c r="G71" s="548"/>
    </row>
    <row r="72" spans="1:42" ht="12.75">
      <c r="B72" s="550"/>
      <c r="C72" s="550"/>
      <c r="D72" s="591"/>
      <c r="E72" s="592"/>
    </row>
    <row r="73" spans="1:42" ht="12.75">
      <c r="B73" s="550"/>
      <c r="C73" s="550"/>
      <c r="D73" s="591"/>
      <c r="E73" s="592"/>
    </row>
    <row r="74" spans="1:42" ht="12.75">
      <c r="B74" s="550"/>
      <c r="C74" s="550"/>
      <c r="D74" s="591"/>
      <c r="E74" s="592"/>
    </row>
    <row r="75" spans="1:42" ht="12.75">
      <c r="B75" s="550"/>
      <c r="C75" s="550"/>
      <c r="D75" s="591"/>
      <c r="E75" s="592"/>
    </row>
    <row r="76" spans="1:42" ht="12.75">
      <c r="B76" s="550"/>
      <c r="C76" s="550"/>
      <c r="D76" s="591"/>
      <c r="E76" s="592"/>
    </row>
    <row r="77" spans="1:42" ht="12.75">
      <c r="B77" s="550"/>
      <c r="C77" s="550"/>
      <c r="D77" s="591"/>
      <c r="E77" s="592"/>
    </row>
    <row r="78" spans="1:42" ht="12.75">
      <c r="B78" s="550"/>
      <c r="C78" s="550"/>
      <c r="D78" s="591"/>
      <c r="E78" s="592"/>
    </row>
    <row r="79" spans="1:42" ht="12.75">
      <c r="B79" s="550"/>
      <c r="C79" s="550"/>
      <c r="D79" s="591"/>
      <c r="E79" s="592"/>
    </row>
    <row r="80" spans="1:42" ht="12.75">
      <c r="B80" s="550"/>
      <c r="C80" s="550"/>
      <c r="D80" s="591"/>
      <c r="E80" s="592"/>
    </row>
    <row r="81" spans="2:5" ht="12.75">
      <c r="B81" s="550"/>
      <c r="C81" s="550"/>
      <c r="D81" s="591"/>
      <c r="E81" s="592"/>
    </row>
    <row r="82" spans="2:5" ht="12.75">
      <c r="B82" s="550"/>
      <c r="C82" s="550"/>
      <c r="D82" s="591"/>
      <c r="E82" s="592"/>
    </row>
    <row r="83" spans="2:5" ht="12.75">
      <c r="B83" s="550"/>
      <c r="C83" s="550"/>
      <c r="D83" s="591"/>
      <c r="E83" s="592"/>
    </row>
    <row r="84" spans="2:5" ht="12.75">
      <c r="B84" s="550"/>
      <c r="C84" s="550"/>
      <c r="D84" s="591"/>
      <c r="E84" s="592"/>
    </row>
    <row r="85" spans="2:5" ht="12.75">
      <c r="B85" s="550"/>
      <c r="C85" s="550"/>
      <c r="D85" s="591"/>
      <c r="E85" s="592"/>
    </row>
    <row r="86" spans="2:5" ht="12.75">
      <c r="B86" s="550"/>
      <c r="C86" s="550"/>
      <c r="D86" s="591"/>
      <c r="E86" s="592"/>
    </row>
    <row r="87" spans="2:5" ht="12.75">
      <c r="B87" s="550"/>
      <c r="C87" s="550"/>
      <c r="D87" s="591"/>
      <c r="E87" s="592"/>
    </row>
    <row r="88" spans="2:5" ht="12.75">
      <c r="B88" s="550"/>
      <c r="C88" s="550"/>
      <c r="D88" s="591"/>
      <c r="E88" s="592"/>
    </row>
    <row r="89" spans="2:5" ht="12.75">
      <c r="B89" s="550"/>
      <c r="C89" s="550"/>
      <c r="D89" s="591"/>
      <c r="E89" s="592"/>
    </row>
    <row r="90" spans="2:5" ht="12.75">
      <c r="B90" s="550"/>
      <c r="C90" s="550"/>
      <c r="D90" s="591"/>
      <c r="E90" s="592"/>
    </row>
    <row r="91" spans="2:5" ht="12.75">
      <c r="B91" s="550"/>
      <c r="C91" s="550"/>
      <c r="D91" s="591"/>
      <c r="E91" s="592"/>
    </row>
    <row r="92" spans="2:5" ht="12.75">
      <c r="B92" s="550"/>
      <c r="C92" s="550"/>
      <c r="D92" s="591"/>
      <c r="E92" s="592"/>
    </row>
    <row r="93" spans="2:5" ht="12.75">
      <c r="B93" s="550"/>
      <c r="C93" s="550"/>
      <c r="D93" s="591"/>
      <c r="E93" s="592"/>
    </row>
    <row r="94" spans="2:5" ht="12.75">
      <c r="B94" s="550"/>
      <c r="C94" s="550"/>
      <c r="D94" s="591"/>
      <c r="E94" s="592"/>
    </row>
    <row r="95" spans="2:5" ht="12.75">
      <c r="C95" s="550"/>
      <c r="D95" s="591"/>
      <c r="E95" s="592"/>
    </row>
    <row r="96" spans="2:5" ht="12.75">
      <c r="C96" s="550"/>
      <c r="D96" s="591"/>
      <c r="E96" s="592"/>
    </row>
    <row r="97" spans="3:5" ht="12.75">
      <c r="C97" s="550"/>
      <c r="D97" s="591"/>
      <c r="E97" s="592"/>
    </row>
    <row r="98" spans="3:5" ht="12.75">
      <c r="C98" s="550"/>
      <c r="D98" s="591"/>
      <c r="E98" s="592"/>
    </row>
    <row r="99" spans="3:5" ht="12.75">
      <c r="C99" s="550"/>
      <c r="D99" s="591"/>
      <c r="E99" s="592"/>
    </row>
    <row r="100" spans="3:5" ht="12.75">
      <c r="C100" s="550"/>
      <c r="D100" s="591"/>
      <c r="E100" s="592"/>
    </row>
  </sheetData>
  <mergeCells count="6">
    <mergeCell ref="B2:G2"/>
    <mergeCell ref="AJ9:AP9"/>
    <mergeCell ref="C10:E10"/>
    <mergeCell ref="F10:G10"/>
    <mergeCell ref="AL10:AN10"/>
    <mergeCell ref="AO10:AP10"/>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tint="0.59999389629810485"/>
    <pageSetUpPr fitToPage="1"/>
  </sheetPr>
  <dimension ref="A1:BN115"/>
  <sheetViews>
    <sheetView showGridLines="0" workbookViewId="0">
      <selection activeCell="B14" sqref="B14:T14"/>
    </sheetView>
  </sheetViews>
  <sheetFormatPr defaultRowHeight="15"/>
  <cols>
    <col min="1" max="1" width="4" customWidth="1"/>
    <col min="2" max="6" width="2.7109375" customWidth="1"/>
    <col min="7" max="7" width="3.7109375" customWidth="1"/>
    <col min="8" max="13" width="2.7109375" customWidth="1"/>
    <col min="14" max="14" width="3.42578125" customWidth="1"/>
    <col min="15" max="15" width="3.7109375" customWidth="1"/>
    <col min="16" max="26" width="2.7109375" customWidth="1"/>
    <col min="27" max="27" width="3" customWidth="1"/>
    <col min="28" max="28" width="3.42578125" customWidth="1"/>
    <col min="29" max="29" width="2.7109375" customWidth="1"/>
    <col min="30" max="30" width="3.7109375" customWidth="1"/>
    <col min="31" max="31" width="2.28515625" customWidth="1"/>
    <col min="32" max="33" width="3.28515625" customWidth="1"/>
    <col min="34" max="34" width="2.7109375" customWidth="1"/>
    <col min="35" max="35" width="4.42578125" customWidth="1"/>
    <col min="36" max="39" width="2.7109375" customWidth="1"/>
    <col min="40" max="40" width="3.28515625" customWidth="1"/>
    <col min="41" max="41" width="5.42578125" customWidth="1"/>
    <col min="42" max="42" width="5" hidden="1" customWidth="1"/>
    <col min="43" max="45" width="2.7109375" customWidth="1"/>
    <col min="46" max="46" width="2.5703125" customWidth="1"/>
    <col min="47" max="48" width="2.7109375" customWidth="1"/>
    <col min="49" max="50" width="3.28515625" customWidth="1"/>
    <col min="51" max="52" width="2.7109375" customWidth="1"/>
    <col min="53" max="53" width="2.5703125" customWidth="1"/>
    <col min="54" max="54" width="9.28515625" hidden="1" customWidth="1"/>
  </cols>
  <sheetData>
    <row r="1" spans="1:57" ht="14.25" customHeight="1">
      <c r="A1" s="199" t="s">
        <v>334</v>
      </c>
      <c r="B1" s="200"/>
      <c r="C1" s="200"/>
      <c r="D1" s="200"/>
      <c r="E1" s="200"/>
      <c r="F1" s="1645">
        <v>45174</v>
      </c>
      <c r="G1" s="1645"/>
      <c r="H1" s="1645"/>
      <c r="I1" s="1646"/>
      <c r="J1" s="5"/>
      <c r="K1" s="5"/>
      <c r="L1" s="5"/>
      <c r="M1" s="5"/>
      <c r="N1" s="1120" t="s">
        <v>0</v>
      </c>
      <c r="O1" s="5"/>
      <c r="P1" s="5"/>
      <c r="Q1" s="5"/>
      <c r="R1" s="5"/>
      <c r="S1" s="5"/>
      <c r="T1" s="5"/>
      <c r="U1" s="5"/>
      <c r="V1" s="5"/>
      <c r="W1" s="5"/>
      <c r="X1" s="5"/>
      <c r="Y1" s="5"/>
      <c r="Z1" s="5"/>
      <c r="AA1" s="5"/>
      <c r="AB1" s="5"/>
      <c r="AC1" s="5"/>
      <c r="AD1" s="5"/>
      <c r="AE1" s="5"/>
      <c r="AF1" s="5"/>
      <c r="AG1" s="5"/>
      <c r="AH1" s="5"/>
      <c r="AI1" s="5"/>
      <c r="AJ1" s="5"/>
      <c r="AK1" s="5"/>
      <c r="AL1" s="5"/>
      <c r="AM1" s="5"/>
      <c r="AN1" s="5"/>
      <c r="AO1" s="5"/>
      <c r="AP1" s="276" t="b">
        <f>IF(ISBLANK(U33),TRUE,FALSE)</f>
        <v>1</v>
      </c>
      <c r="AQ1" s="5"/>
      <c r="AR1" s="5"/>
      <c r="AS1" s="5"/>
      <c r="AT1" s="5"/>
      <c r="AU1" s="5"/>
      <c r="AV1" s="5"/>
      <c r="AW1" s="5"/>
      <c r="AX1" s="5"/>
      <c r="AY1" s="5"/>
      <c r="AZ1" s="5"/>
      <c r="BA1" s="5"/>
      <c r="BB1" s="5"/>
      <c r="BC1" s="5"/>
      <c r="BD1" s="5"/>
      <c r="BE1" s="5"/>
    </row>
    <row r="2" spans="1:57" ht="10.15"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276"/>
      <c r="AQ2" s="5"/>
      <c r="AR2" s="5"/>
      <c r="AS2" s="5"/>
      <c r="AT2" s="5"/>
      <c r="AU2" s="5"/>
      <c r="AV2" s="5"/>
      <c r="AW2" s="5"/>
      <c r="AX2" s="5"/>
      <c r="AY2" s="5"/>
      <c r="AZ2" s="5"/>
      <c r="BA2" s="5"/>
      <c r="BB2" s="5"/>
      <c r="BC2" s="5"/>
      <c r="BD2" s="5"/>
      <c r="BE2" s="5"/>
    </row>
    <row r="3" spans="1:57" ht="8.25" customHeight="1">
      <c r="A3" s="5"/>
      <c r="B3" s="5"/>
      <c r="C3" s="5"/>
      <c r="D3" s="5"/>
      <c r="E3" s="5"/>
      <c r="F3" s="5"/>
      <c r="G3" s="1661" t="s">
        <v>1409</v>
      </c>
      <c r="H3" s="1661"/>
      <c r="I3" s="1661"/>
      <c r="J3" s="1661"/>
      <c r="K3" s="1661"/>
      <c r="L3" s="1661"/>
      <c r="M3" s="1661"/>
      <c r="N3" s="1661"/>
      <c r="O3" s="1661"/>
      <c r="P3" s="1661"/>
      <c r="Q3" s="1661"/>
      <c r="R3" s="1661"/>
      <c r="S3" s="1661"/>
      <c r="T3" s="1661"/>
      <c r="U3" s="1661"/>
      <c r="V3" s="1661"/>
      <c r="W3" s="1661"/>
      <c r="X3" s="1661"/>
      <c r="Y3" s="1661"/>
      <c r="Z3" s="1661"/>
      <c r="AA3" s="1661"/>
      <c r="AB3" s="1661"/>
      <c r="AC3" s="1661"/>
      <c r="AD3" s="1661"/>
      <c r="AE3" s="5"/>
      <c r="AF3" s="5"/>
      <c r="AG3" s="5"/>
      <c r="AH3" s="5"/>
      <c r="AI3" s="5"/>
      <c r="AJ3" s="5"/>
      <c r="AK3" s="5"/>
      <c r="AL3" s="5"/>
      <c r="AM3" s="5"/>
      <c r="AN3" s="5"/>
      <c r="AO3" s="5"/>
      <c r="AP3" s="276"/>
      <c r="AQ3" s="5"/>
      <c r="AR3" s="5"/>
      <c r="AS3" s="5"/>
      <c r="AT3" s="5"/>
      <c r="AU3" s="5"/>
      <c r="AV3" s="5"/>
      <c r="AW3" s="5"/>
      <c r="AX3" s="5"/>
      <c r="AY3" s="5"/>
      <c r="AZ3" s="5"/>
      <c r="BA3" s="5"/>
      <c r="BB3" s="156">
        <v>1</v>
      </c>
      <c r="BC3" s="5"/>
      <c r="BD3" s="5"/>
      <c r="BE3" s="5"/>
    </row>
    <row r="4" spans="1:57" ht="10.15" customHeight="1">
      <c r="A4" s="5"/>
      <c r="B4" s="5"/>
      <c r="C4" s="5"/>
      <c r="D4" s="5"/>
      <c r="E4" s="5"/>
      <c r="F4" s="5"/>
      <c r="G4" s="1661"/>
      <c r="H4" s="1661"/>
      <c r="I4" s="1661"/>
      <c r="J4" s="1661"/>
      <c r="K4" s="1661"/>
      <c r="L4" s="1661"/>
      <c r="M4" s="1661"/>
      <c r="N4" s="1661"/>
      <c r="O4" s="1661"/>
      <c r="P4" s="1661"/>
      <c r="Q4" s="1661"/>
      <c r="R4" s="1661"/>
      <c r="S4" s="1661"/>
      <c r="T4" s="1661"/>
      <c r="U4" s="1661"/>
      <c r="V4" s="1661"/>
      <c r="W4" s="1661"/>
      <c r="X4" s="1661"/>
      <c r="Y4" s="1661"/>
      <c r="Z4" s="1661"/>
      <c r="AA4" s="1661"/>
      <c r="AB4" s="1661"/>
      <c r="AC4" s="1661"/>
      <c r="AD4" s="1661"/>
      <c r="AE4" s="5"/>
      <c r="AF4" s="5"/>
      <c r="AG4" s="5"/>
      <c r="AH4" s="5"/>
      <c r="AI4" s="5"/>
      <c r="AJ4" s="5"/>
      <c r="AK4" s="5"/>
      <c r="AL4" s="5"/>
      <c r="AM4" s="5"/>
      <c r="AN4" s="5"/>
      <c r="AO4" s="5"/>
      <c r="AP4" s="276"/>
      <c r="AQ4" s="5"/>
      <c r="AR4" s="5"/>
      <c r="AS4" s="5"/>
      <c r="AT4" s="5"/>
      <c r="AU4" s="5"/>
      <c r="AV4" s="5"/>
      <c r="AW4" s="5"/>
      <c r="AX4" s="5"/>
      <c r="AY4" s="5"/>
      <c r="AZ4" s="5"/>
      <c r="BA4" s="5"/>
      <c r="BB4" s="5">
        <f>IF(LEFT(U19,1)="2",2,1)</f>
        <v>1</v>
      </c>
      <c r="BC4" s="5"/>
      <c r="BD4" s="5"/>
      <c r="BE4" s="5"/>
    </row>
    <row r="5" spans="1:57" ht="18" customHeight="1">
      <c r="A5" s="144" t="s">
        <v>0</v>
      </c>
      <c r="B5" s="5"/>
      <c r="C5" s="5"/>
      <c r="D5" s="5"/>
      <c r="E5" s="374"/>
      <c r="F5" s="5"/>
      <c r="G5" s="5"/>
      <c r="H5" s="5"/>
      <c r="I5" s="5"/>
      <c r="J5" s="6"/>
      <c r="K5" s="6"/>
      <c r="L5" s="6"/>
      <c r="M5" s="6"/>
      <c r="N5" s="6"/>
      <c r="O5" s="6"/>
      <c r="P5" s="6"/>
      <c r="Q5" s="6"/>
      <c r="R5" s="6"/>
      <c r="S5" s="6"/>
      <c r="T5" s="6"/>
      <c r="U5" s="6"/>
      <c r="V5" s="6"/>
      <c r="W5" s="6"/>
      <c r="X5" s="6"/>
      <c r="Y5" s="5"/>
      <c r="Z5" s="5"/>
      <c r="AA5" s="5"/>
      <c r="AB5" s="5"/>
      <c r="AC5" s="5"/>
      <c r="AD5" s="5"/>
      <c r="AE5" s="5"/>
      <c r="AF5" s="5"/>
      <c r="AG5" s="5"/>
      <c r="AH5" s="5"/>
      <c r="AI5" s="5"/>
      <c r="AJ5" s="5"/>
      <c r="AK5" s="5"/>
      <c r="AL5" s="5"/>
      <c r="AM5" s="5"/>
      <c r="AN5" s="5"/>
      <c r="AO5" s="5"/>
      <c r="AP5" s="276"/>
      <c r="AQ5" s="5"/>
      <c r="AR5" s="5"/>
      <c r="AS5" s="5"/>
      <c r="AT5" s="5"/>
      <c r="AU5" s="5"/>
      <c r="AV5" s="5"/>
      <c r="AW5" s="5"/>
      <c r="AX5" s="5"/>
      <c r="AY5" s="5"/>
      <c r="AZ5" s="5"/>
      <c r="BA5" s="5"/>
      <c r="BB5" s="5"/>
      <c r="BC5" s="5"/>
      <c r="BD5" s="5"/>
      <c r="BE5" s="5"/>
    </row>
    <row r="6" spans="1:57" ht="6" hidden="1" customHeight="1">
      <c r="A6" s="283"/>
      <c r="B6" s="283"/>
      <c r="C6" s="283"/>
      <c r="D6" s="283"/>
      <c r="E6" s="283"/>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76"/>
      <c r="AQ6" s="5"/>
      <c r="AR6" s="5"/>
      <c r="AS6" s="5"/>
      <c r="AT6" s="5"/>
      <c r="AU6" s="5"/>
      <c r="AV6" s="5"/>
      <c r="AW6" s="5"/>
      <c r="AX6" s="5"/>
      <c r="AY6" s="5"/>
      <c r="AZ6" s="5"/>
      <c r="BA6" s="5"/>
      <c r="BB6" s="5"/>
      <c r="BC6" s="5"/>
      <c r="BD6" s="5"/>
      <c r="BE6" s="5"/>
    </row>
    <row r="7" spans="1:57" ht="6" hidden="1" customHeight="1">
      <c r="A7" s="111"/>
      <c r="B7" s="111"/>
      <c r="C7" s="111"/>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1"/>
      <c r="AN7" s="111"/>
      <c r="AO7" s="111"/>
      <c r="AP7" s="276"/>
      <c r="AQ7" s="5"/>
      <c r="AR7" s="5"/>
      <c r="AS7" s="5"/>
      <c r="AT7" s="5"/>
      <c r="AU7" s="5"/>
      <c r="AV7" s="5"/>
      <c r="AW7" s="5"/>
      <c r="AX7" s="5"/>
      <c r="AY7" s="5"/>
      <c r="AZ7" s="5"/>
      <c r="BA7" s="5"/>
      <c r="BB7" s="5"/>
      <c r="BC7" s="5"/>
      <c r="BD7" s="5"/>
      <c r="BE7" s="5"/>
    </row>
    <row r="8" spans="1:57" ht="21.75" customHeight="1">
      <c r="A8" s="59"/>
      <c r="B8" s="59"/>
      <c r="C8" s="59"/>
      <c r="D8" s="59"/>
      <c r="E8" s="59"/>
      <c r="F8" s="59"/>
      <c r="G8" s="59"/>
      <c r="H8" s="59"/>
      <c r="I8" s="59"/>
      <c r="J8" s="59"/>
      <c r="K8" s="59"/>
      <c r="L8" s="121" t="s">
        <v>1408</v>
      </c>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276"/>
      <c r="AQ8" s="5"/>
      <c r="AR8" s="5"/>
      <c r="AS8" s="5"/>
      <c r="AT8" s="5"/>
      <c r="AU8" s="5"/>
      <c r="AV8" s="5"/>
      <c r="AW8" s="5"/>
      <c r="AX8" s="5"/>
      <c r="AY8" s="5"/>
      <c r="AZ8" s="5"/>
      <c r="BA8" s="5"/>
      <c r="BB8" s="5"/>
      <c r="BC8" s="5"/>
      <c r="BD8" s="5"/>
      <c r="BE8" s="5"/>
    </row>
    <row r="9" spans="1:57" ht="12" customHeight="1">
      <c r="A9" s="59"/>
      <c r="B9" s="912" t="s">
        <v>51</v>
      </c>
      <c r="C9" s="59"/>
      <c r="D9" s="59"/>
      <c r="E9" s="59"/>
      <c r="F9" s="59"/>
      <c r="G9" s="59"/>
      <c r="H9" s="59"/>
      <c r="I9" s="59"/>
      <c r="J9" s="59"/>
      <c r="K9" s="59"/>
      <c r="L9" s="59"/>
      <c r="M9" s="59"/>
      <c r="N9" s="61" t="s">
        <v>0</v>
      </c>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276"/>
      <c r="AQ9" s="5"/>
      <c r="AR9" s="5"/>
      <c r="AS9" s="5"/>
      <c r="AT9" s="5"/>
      <c r="AU9" s="5"/>
      <c r="AV9" s="5"/>
      <c r="AW9" s="5"/>
      <c r="AX9" s="5"/>
      <c r="AY9" s="5"/>
      <c r="AZ9" s="5"/>
      <c r="BA9" s="5"/>
      <c r="BB9" s="5"/>
      <c r="BC9" s="5"/>
      <c r="BD9" s="5"/>
      <c r="BE9" s="5"/>
    </row>
    <row r="10" spans="1:57" ht="12" customHeight="1">
      <c r="A10" s="59"/>
      <c r="B10" s="60"/>
      <c r="C10" s="59"/>
      <c r="D10" s="59"/>
      <c r="E10" s="59"/>
      <c r="F10" s="59"/>
      <c r="G10" s="59"/>
      <c r="H10" s="59"/>
      <c r="I10" s="59"/>
      <c r="J10" s="59"/>
      <c r="K10" s="59"/>
      <c r="L10" s="59"/>
      <c r="M10" s="59"/>
      <c r="N10" s="61"/>
      <c r="O10" s="59" t="s">
        <v>0</v>
      </c>
      <c r="P10" s="59"/>
      <c r="Q10" s="59"/>
      <c r="R10" s="59"/>
      <c r="S10" s="59"/>
      <c r="T10" s="59"/>
      <c r="U10" s="1647" t="str">
        <f>IF(G11="","",IF(ISNUMBER(SEARCH("Pre",G11)),"Estimated Start Date:*",IF(ISNUMBER(SEARCH("Payment",G11)),"Start Date:",IF(ISNUMBER(SEARCH("Please",G11)),"Estimated Start Date:*"))))</f>
        <v>Estimated Start Date:*</v>
      </c>
      <c r="V10" s="1647"/>
      <c r="W10" s="1647"/>
      <c r="X10" s="1647"/>
      <c r="Y10" s="59"/>
      <c r="Z10" s="59"/>
      <c r="AA10" s="59"/>
      <c r="AB10" s="59"/>
      <c r="AC10" s="59"/>
      <c r="AD10" s="59"/>
      <c r="AE10" s="1647" t="str">
        <f>IF(G11="","",IF(ISNUMBER(SEARCH("Pre",G11)),"Estimated Completion Date:*",IF(ISNUMBER(SEARCH("Payment",G11)),"Completion Date:",IF(ISNUMBER(SEARCH("Please",G11)),"Estimated Completion Date:*"))))</f>
        <v>Estimated Completion Date:*</v>
      </c>
      <c r="AF10" s="1647"/>
      <c r="AG10" s="1647"/>
      <c r="AH10" s="1647"/>
      <c r="AI10" s="1647"/>
      <c r="AJ10" s="59"/>
      <c r="AK10" s="59"/>
      <c r="AL10" s="59"/>
      <c r="AM10" s="59"/>
      <c r="AN10" s="59"/>
      <c r="AO10" s="59"/>
      <c r="AP10" s="276"/>
      <c r="AQ10" s="5"/>
      <c r="AR10" s="5"/>
      <c r="AS10" s="5"/>
      <c r="AT10" s="5"/>
      <c r="AU10" s="5"/>
      <c r="AV10" s="5"/>
      <c r="AW10" s="5"/>
      <c r="AX10" s="5"/>
      <c r="AY10" s="5"/>
      <c r="AZ10" s="5"/>
      <c r="BA10" s="5"/>
      <c r="BB10" s="5"/>
      <c r="BC10" s="5"/>
      <c r="BD10" s="5"/>
      <c r="BE10" s="5"/>
    </row>
    <row r="11" spans="1:57" ht="15" customHeight="1">
      <c r="A11" s="59"/>
      <c r="B11" s="62" t="s">
        <v>423</v>
      </c>
      <c r="C11" s="59"/>
      <c r="D11" s="59"/>
      <c r="E11" s="59"/>
      <c r="F11" s="59"/>
      <c r="G11" s="1654" t="s">
        <v>54</v>
      </c>
      <c r="H11" s="1655"/>
      <c r="I11" s="1655"/>
      <c r="J11" s="1655"/>
      <c r="K11" s="1655"/>
      <c r="L11" s="1655"/>
      <c r="M11" s="1655"/>
      <c r="N11" s="1655"/>
      <c r="O11" s="1655"/>
      <c r="P11" s="1655"/>
      <c r="Q11" s="1655"/>
      <c r="R11" s="1656"/>
      <c r="S11" s="59"/>
      <c r="T11" s="59"/>
      <c r="U11" s="1647"/>
      <c r="V11" s="1647"/>
      <c r="W11" s="1647"/>
      <c r="X11" s="1647"/>
      <c r="Y11" s="1648"/>
      <c r="Z11" s="1649"/>
      <c r="AA11" s="1649"/>
      <c r="AB11" s="1649"/>
      <c r="AC11" s="1650"/>
      <c r="AD11" s="63" t="s">
        <v>0</v>
      </c>
      <c r="AE11" s="1647"/>
      <c r="AF11" s="1647"/>
      <c r="AG11" s="1647"/>
      <c r="AH11" s="1647"/>
      <c r="AI11" s="1647"/>
      <c r="AJ11" s="1648"/>
      <c r="AK11" s="1649"/>
      <c r="AL11" s="1649"/>
      <c r="AM11" s="1649"/>
      <c r="AN11" s="1650"/>
      <c r="AO11" s="59"/>
      <c r="AP11" s="276"/>
      <c r="AQ11" s="5"/>
      <c r="AR11" s="5"/>
      <c r="AS11" s="5"/>
      <c r="AT11" s="5" t="s">
        <v>0</v>
      </c>
      <c r="AU11" s="5"/>
      <c r="AV11" s="5"/>
      <c r="AW11" s="5"/>
      <c r="AX11" s="5"/>
      <c r="AY11" s="5"/>
      <c r="AZ11" s="5"/>
      <c r="BA11" s="5"/>
      <c r="BB11" s="5"/>
      <c r="BC11" s="5"/>
      <c r="BD11" s="5"/>
      <c r="BE11" s="5"/>
    </row>
    <row r="12" spans="1:57" ht="25.5" customHeight="1">
      <c r="A12" s="59"/>
      <c r="B12" s="912" t="s">
        <v>1238</v>
      </c>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276"/>
      <c r="AQ12" s="5"/>
      <c r="AR12" s="5"/>
      <c r="AS12" s="5"/>
      <c r="AT12" s="5"/>
      <c r="AU12" s="5"/>
      <c r="AV12" s="5"/>
      <c r="AW12" s="5"/>
      <c r="AX12" s="5"/>
      <c r="AY12" s="5"/>
      <c r="AZ12" s="5"/>
      <c r="BA12" s="5"/>
      <c r="BB12" s="5"/>
      <c r="BC12" s="5"/>
      <c r="BD12" s="5"/>
      <c r="BE12" s="5"/>
    </row>
    <row r="13" spans="1:57" ht="18" customHeight="1">
      <c r="A13" s="59"/>
      <c r="B13" s="64" t="s">
        <v>204</v>
      </c>
      <c r="C13" s="59"/>
      <c r="D13" s="66"/>
      <c r="E13" s="59"/>
      <c r="F13" s="59"/>
      <c r="G13" s="59"/>
      <c r="H13" s="59"/>
      <c r="I13" s="59"/>
      <c r="J13" s="59"/>
      <c r="K13" s="59"/>
      <c r="L13" s="59"/>
      <c r="M13" s="59"/>
      <c r="N13" s="59"/>
      <c r="O13" s="59"/>
      <c r="P13" s="59"/>
      <c r="Q13" s="59"/>
      <c r="R13" s="59"/>
      <c r="S13" s="59"/>
      <c r="T13" s="59"/>
      <c r="U13" s="64" t="s">
        <v>237</v>
      </c>
      <c r="V13" s="59"/>
      <c r="W13" s="59"/>
      <c r="X13" s="59"/>
      <c r="Y13" s="59"/>
      <c r="Z13" s="59"/>
      <c r="AA13" s="59"/>
      <c r="AB13" s="59"/>
      <c r="AC13" s="59"/>
      <c r="AD13" s="59"/>
      <c r="AE13" s="59"/>
      <c r="AF13" s="59"/>
      <c r="AG13" s="59"/>
      <c r="AH13" s="59"/>
      <c r="AI13" s="59"/>
      <c r="AJ13" s="59"/>
      <c r="AK13" s="59"/>
      <c r="AL13" s="59"/>
      <c r="AM13" s="59"/>
      <c r="AN13" s="59"/>
      <c r="AO13" s="59"/>
      <c r="AP13" s="276"/>
      <c r="AQ13" s="5"/>
      <c r="AR13" s="5"/>
      <c r="AS13" s="5"/>
      <c r="AT13" s="5"/>
      <c r="AU13" s="5"/>
      <c r="AV13" s="5"/>
      <c r="AW13" s="5"/>
      <c r="AX13" s="5"/>
      <c r="AY13" s="5"/>
      <c r="AZ13" s="5"/>
      <c r="BA13" s="5"/>
      <c r="BB13" s="5"/>
      <c r="BC13" s="5"/>
      <c r="BD13" s="5"/>
      <c r="BE13" s="5"/>
    </row>
    <row r="14" spans="1:57" ht="15" customHeight="1">
      <c r="A14" s="59"/>
      <c r="B14" s="1626"/>
      <c r="C14" s="1627"/>
      <c r="D14" s="1627"/>
      <c r="E14" s="1627"/>
      <c r="F14" s="1627"/>
      <c r="G14" s="1627"/>
      <c r="H14" s="1627"/>
      <c r="I14" s="1627"/>
      <c r="J14" s="1627"/>
      <c r="K14" s="1627"/>
      <c r="L14" s="1627"/>
      <c r="M14" s="1627"/>
      <c r="N14" s="1627"/>
      <c r="O14" s="1627"/>
      <c r="P14" s="1627"/>
      <c r="Q14" s="1627"/>
      <c r="R14" s="1627"/>
      <c r="S14" s="1627"/>
      <c r="T14" s="1628"/>
      <c r="U14" s="1626"/>
      <c r="V14" s="1627"/>
      <c r="W14" s="1627"/>
      <c r="X14" s="1627"/>
      <c r="Y14" s="1627"/>
      <c r="Z14" s="1627"/>
      <c r="AA14" s="1627"/>
      <c r="AB14" s="1627"/>
      <c r="AC14" s="1627"/>
      <c r="AD14" s="1627"/>
      <c r="AE14" s="1627"/>
      <c r="AF14" s="1627"/>
      <c r="AG14" s="1627"/>
      <c r="AH14" s="1627"/>
      <c r="AI14" s="1627"/>
      <c r="AJ14" s="1627"/>
      <c r="AK14" s="1627"/>
      <c r="AL14" s="1627"/>
      <c r="AM14" s="1627"/>
      <c r="AN14" s="1628"/>
      <c r="AO14" s="59"/>
      <c r="AP14" s="276"/>
      <c r="AQ14" s="5"/>
      <c r="AR14" s="5"/>
      <c r="AS14" s="5"/>
      <c r="AT14" s="5"/>
      <c r="AU14" s="5"/>
      <c r="AV14" s="5"/>
      <c r="AW14" s="5"/>
      <c r="AX14" s="5"/>
      <c r="AY14" s="5"/>
      <c r="AZ14" s="5"/>
      <c r="BA14" s="5"/>
      <c r="BB14" s="5"/>
      <c r="BC14" s="5"/>
      <c r="BD14" s="5"/>
      <c r="BE14" s="5"/>
    </row>
    <row r="15" spans="1:57" ht="14.25" customHeight="1">
      <c r="A15" s="59"/>
      <c r="B15" s="64" t="s">
        <v>1542</v>
      </c>
      <c r="C15" s="59"/>
      <c r="D15" s="59"/>
      <c r="E15" s="59"/>
      <c r="F15" s="59"/>
      <c r="G15" s="59"/>
      <c r="H15" s="59"/>
      <c r="I15" s="59"/>
      <c r="J15" s="59"/>
      <c r="K15" s="65" t="s">
        <v>1544</v>
      </c>
      <c r="L15" s="59"/>
      <c r="M15" s="59"/>
      <c r="N15" s="59"/>
      <c r="O15" s="59"/>
      <c r="P15" s="59"/>
      <c r="Q15" s="59"/>
      <c r="R15" s="59"/>
      <c r="S15" s="59"/>
      <c r="T15" s="59"/>
      <c r="U15" s="64" t="s">
        <v>235</v>
      </c>
      <c r="V15" s="59"/>
      <c r="W15" s="59"/>
      <c r="X15" s="59"/>
      <c r="Y15" s="59"/>
      <c r="Z15" s="59"/>
      <c r="AA15" s="59"/>
      <c r="AB15" s="59"/>
      <c r="AC15" s="59"/>
      <c r="AD15" s="59"/>
      <c r="AE15" s="59"/>
      <c r="AF15" s="59"/>
      <c r="AG15" s="59"/>
      <c r="AH15" s="59"/>
      <c r="AI15" s="59"/>
      <c r="AJ15" s="59"/>
      <c r="AK15" s="59"/>
      <c r="AL15" s="59"/>
      <c r="AM15" s="59"/>
      <c r="AN15" s="59"/>
      <c r="AO15" s="59"/>
      <c r="AP15" s="276"/>
      <c r="AQ15" s="5"/>
      <c r="AR15" s="5"/>
      <c r="AS15" s="5"/>
      <c r="AT15" s="5"/>
      <c r="AU15" s="5"/>
      <c r="AV15" s="5"/>
      <c r="AW15" s="5"/>
      <c r="AX15" s="5"/>
      <c r="AY15" s="5"/>
      <c r="AZ15" s="5"/>
      <c r="BA15" s="5"/>
      <c r="BB15" s="5"/>
      <c r="BC15" s="5"/>
      <c r="BD15" s="5"/>
      <c r="BE15" s="5"/>
    </row>
    <row r="16" spans="1:57" ht="15" customHeight="1">
      <c r="A16" s="59"/>
      <c r="B16" s="1637"/>
      <c r="C16" s="1630"/>
      <c r="D16" s="1630"/>
      <c r="E16" s="1630"/>
      <c r="F16" s="1630"/>
      <c r="G16" s="1630"/>
      <c r="H16" s="1630"/>
      <c r="I16" s="1630"/>
      <c r="J16" s="1631"/>
      <c r="K16" s="1638"/>
      <c r="L16" s="1630"/>
      <c r="M16" s="1630"/>
      <c r="N16" s="1630"/>
      <c r="O16" s="1630"/>
      <c r="P16" s="1630"/>
      <c r="Q16" s="1630"/>
      <c r="R16" s="1630"/>
      <c r="S16" s="1630"/>
      <c r="T16" s="1631"/>
      <c r="U16" s="1651"/>
      <c r="V16" s="1652"/>
      <c r="W16" s="1652"/>
      <c r="X16" s="1652"/>
      <c r="Y16" s="1652"/>
      <c r="Z16" s="1652"/>
      <c r="AA16" s="1652"/>
      <c r="AB16" s="1652"/>
      <c r="AC16" s="1652"/>
      <c r="AD16" s="1652"/>
      <c r="AE16" s="1652"/>
      <c r="AF16" s="1652"/>
      <c r="AG16" s="1652"/>
      <c r="AH16" s="1652"/>
      <c r="AI16" s="1652"/>
      <c r="AJ16" s="1652"/>
      <c r="AK16" s="1652"/>
      <c r="AL16" s="1652"/>
      <c r="AM16" s="1652"/>
      <c r="AN16" s="1652"/>
      <c r="AO16" s="59"/>
      <c r="AP16" s="276"/>
      <c r="AQ16" s="5"/>
      <c r="AR16" s="5"/>
      <c r="AS16" s="5"/>
      <c r="AT16" s="5"/>
      <c r="AU16" s="5"/>
      <c r="AV16" s="5"/>
      <c r="AW16" s="5"/>
      <c r="AX16" s="5"/>
      <c r="AY16" s="5"/>
      <c r="AZ16" s="5"/>
      <c r="BA16" s="5"/>
      <c r="BB16" s="5"/>
      <c r="BC16" s="5"/>
      <c r="BD16" s="5"/>
      <c r="BE16" s="5"/>
    </row>
    <row r="17" spans="1:57" ht="24.75" customHeight="1">
      <c r="A17" s="59"/>
      <c r="B17" s="912" t="s">
        <v>51</v>
      </c>
      <c r="C17" s="748"/>
      <c r="D17" s="748"/>
      <c r="E17" s="748"/>
      <c r="F17" s="748"/>
      <c r="G17" s="748"/>
      <c r="H17" s="748"/>
      <c r="I17" s="748"/>
      <c r="J17" s="748"/>
      <c r="K17" s="749"/>
      <c r="L17" s="749"/>
      <c r="M17" s="749"/>
      <c r="N17" s="749"/>
      <c r="O17" s="749"/>
      <c r="P17" s="749"/>
      <c r="Q17" s="749"/>
      <c r="R17" s="749"/>
      <c r="S17" s="749"/>
      <c r="T17" s="749"/>
      <c r="U17" s="750"/>
      <c r="V17" s="612"/>
      <c r="W17" s="612"/>
      <c r="X17" s="612"/>
      <c r="Y17" s="612"/>
      <c r="Z17" s="612"/>
      <c r="AA17" s="612"/>
      <c r="AB17" s="612"/>
      <c r="AC17" s="612"/>
      <c r="AD17" s="612"/>
      <c r="AE17" s="612"/>
      <c r="AF17" s="612"/>
      <c r="AG17" s="612"/>
      <c r="AH17" s="612"/>
      <c r="AI17" s="612"/>
      <c r="AJ17" s="612"/>
      <c r="AK17" s="612"/>
      <c r="AL17" s="612"/>
      <c r="AM17" s="612"/>
      <c r="AN17" s="612"/>
      <c r="AO17" s="1337" t="s">
        <v>1653</v>
      </c>
      <c r="AP17" s="276"/>
      <c r="AQ17" s="5"/>
      <c r="AR17" s="5"/>
      <c r="AS17" s="5"/>
      <c r="AT17" s="5"/>
      <c r="AU17" s="5"/>
      <c r="AV17" s="5"/>
      <c r="AW17" s="5"/>
      <c r="AX17" s="5"/>
      <c r="AY17" s="5"/>
      <c r="AZ17" s="5"/>
      <c r="BA17" s="5"/>
      <c r="BB17" s="5"/>
      <c r="BC17" s="5"/>
      <c r="BD17" s="5"/>
      <c r="BE17" s="5"/>
    </row>
    <row r="18" spans="1:57" ht="19.5" customHeight="1">
      <c r="A18" s="59"/>
      <c r="B18" s="64" t="s">
        <v>427</v>
      </c>
      <c r="C18" s="59"/>
      <c r="D18" s="59"/>
      <c r="E18" s="59"/>
      <c r="F18" s="59"/>
      <c r="G18" s="59"/>
      <c r="H18" s="59"/>
      <c r="I18" s="59"/>
      <c r="J18" s="59"/>
      <c r="K18" s="59"/>
      <c r="L18" s="59"/>
      <c r="M18" s="59"/>
      <c r="N18" s="59"/>
      <c r="O18" s="59"/>
      <c r="P18" s="59"/>
      <c r="Q18" s="59"/>
      <c r="R18" s="59"/>
      <c r="S18" s="59"/>
      <c r="T18" s="59"/>
      <c r="U18" s="64" t="s">
        <v>62</v>
      </c>
      <c r="V18" s="59"/>
      <c r="W18" s="59"/>
      <c r="X18" s="59"/>
      <c r="Y18" s="59"/>
      <c r="Z18" s="59"/>
      <c r="AA18" s="59"/>
      <c r="AB18" s="59"/>
      <c r="AC18" s="59"/>
      <c r="AD18" s="59"/>
      <c r="AE18" s="71"/>
      <c r="AF18" s="277"/>
      <c r="AG18" s="277" t="s">
        <v>309</v>
      </c>
      <c r="AH18" s="71"/>
      <c r="AI18" s="71"/>
      <c r="AJ18" s="155"/>
      <c r="AK18" s="71"/>
      <c r="AL18" s="71"/>
      <c r="AM18" s="71"/>
      <c r="AN18" s="71"/>
      <c r="AO18" s="1337" t="s">
        <v>1654</v>
      </c>
      <c r="AP18" s="276"/>
      <c r="AQ18" s="5"/>
      <c r="AR18" s="5"/>
      <c r="AS18" s="5"/>
      <c r="AT18" s="5"/>
      <c r="AU18" s="5"/>
      <c r="AV18" s="5"/>
      <c r="AW18" s="5"/>
      <c r="AX18" s="5"/>
      <c r="AY18" s="5"/>
      <c r="AZ18" s="5"/>
      <c r="BA18" s="5"/>
      <c r="BB18" s="5"/>
      <c r="BC18" s="5"/>
      <c r="BD18" s="5"/>
      <c r="BE18" s="5"/>
    </row>
    <row r="19" spans="1:57" ht="17.25" customHeight="1">
      <c r="A19" s="59"/>
      <c r="B19" s="1653"/>
      <c r="C19" s="1627"/>
      <c r="D19" s="1627"/>
      <c r="E19" s="1627"/>
      <c r="F19" s="1627"/>
      <c r="G19" s="1627"/>
      <c r="H19" s="1627"/>
      <c r="I19" s="1627"/>
      <c r="J19" s="1627"/>
      <c r="K19" s="1627"/>
      <c r="L19" s="1627"/>
      <c r="M19" s="1627"/>
      <c r="N19" s="1627"/>
      <c r="O19" s="1627"/>
      <c r="P19" s="1627"/>
      <c r="Q19" s="1627"/>
      <c r="R19" s="1627"/>
      <c r="S19" s="1627"/>
      <c r="T19" s="1628"/>
      <c r="U19" s="1664"/>
      <c r="V19" s="1665"/>
      <c r="W19" s="1665"/>
      <c r="X19" s="1665"/>
      <c r="Y19" s="1665"/>
      <c r="Z19" s="1665"/>
      <c r="AA19" s="1665"/>
      <c r="AB19" s="1665"/>
      <c r="AC19" s="1665"/>
      <c r="AD19" s="1666"/>
      <c r="AE19" s="114"/>
      <c r="AF19" s="114"/>
      <c r="AG19" s="114"/>
      <c r="AH19" s="114"/>
      <c r="AI19" s="114"/>
      <c r="AJ19" s="114"/>
      <c r="AK19" s="114"/>
      <c r="AL19" s="114"/>
      <c r="AM19" s="114"/>
      <c r="AN19" s="278"/>
      <c r="AO19" s="59"/>
      <c r="AP19" s="276"/>
      <c r="AQ19" s="5"/>
      <c r="AR19" s="5"/>
      <c r="AS19" s="5"/>
      <c r="AT19" s="5"/>
      <c r="AU19" s="5"/>
      <c r="AV19" s="5"/>
      <c r="AW19" s="5"/>
      <c r="AX19" s="5"/>
      <c r="AY19" s="5"/>
      <c r="AZ19" s="5"/>
      <c r="BA19" s="5"/>
      <c r="BB19" s="5"/>
      <c r="BC19" s="5"/>
      <c r="BD19" s="5"/>
      <c r="BE19" s="5"/>
    </row>
    <row r="20" spans="1:57" ht="16.5" customHeight="1">
      <c r="A20" s="59"/>
      <c r="B20" s="64" t="s">
        <v>1884</v>
      </c>
      <c r="C20" s="59"/>
      <c r="D20" s="59"/>
      <c r="E20" s="59"/>
      <c r="F20" s="59"/>
      <c r="G20" s="59"/>
      <c r="H20" s="59"/>
      <c r="I20" s="59"/>
      <c r="J20" s="59"/>
      <c r="K20" s="59"/>
      <c r="L20" s="59"/>
      <c r="M20" s="59"/>
      <c r="N20" s="59"/>
      <c r="O20" s="59"/>
      <c r="P20" s="59"/>
      <c r="Q20" s="59"/>
      <c r="R20" s="59"/>
      <c r="S20" s="59"/>
      <c r="T20" s="59"/>
      <c r="U20" s="64" t="s">
        <v>413</v>
      </c>
      <c r="V20" s="59"/>
      <c r="W20" s="59"/>
      <c r="X20" s="59"/>
      <c r="Y20" s="59"/>
      <c r="Z20" s="59"/>
      <c r="AA20" s="59"/>
      <c r="AB20" s="59"/>
      <c r="AC20" s="59"/>
      <c r="AD20" s="59"/>
      <c r="AE20" s="279"/>
      <c r="AF20" s="279"/>
      <c r="AG20" s="279"/>
      <c r="AH20" s="279"/>
      <c r="AI20" s="279"/>
      <c r="AJ20" s="279"/>
      <c r="AK20" s="279"/>
      <c r="AL20" s="279"/>
      <c r="AM20" s="279"/>
      <c r="AN20" s="279"/>
      <c r="AO20" s="59"/>
      <c r="AP20" s="276"/>
      <c r="AQ20" s="5"/>
      <c r="AR20" s="5"/>
      <c r="AS20" s="5"/>
      <c r="AT20" s="5"/>
      <c r="AU20" s="5"/>
      <c r="AV20" s="5"/>
      <c r="AW20" s="5"/>
      <c r="AX20" s="5"/>
      <c r="AY20" s="5"/>
      <c r="AZ20" s="5"/>
      <c r="BA20" s="5"/>
      <c r="BB20" s="907" t="s">
        <v>0</v>
      </c>
      <c r="BC20" s="5"/>
      <c r="BD20" s="5"/>
      <c r="BE20" s="5"/>
    </row>
    <row r="21" spans="1:57" ht="15" customHeight="1">
      <c r="A21" s="59"/>
      <c r="B21" s="1653"/>
      <c r="C21" s="1627"/>
      <c r="D21" s="1627"/>
      <c r="E21" s="1627"/>
      <c r="F21" s="1627"/>
      <c r="G21" s="1627"/>
      <c r="H21" s="1627"/>
      <c r="I21" s="1627"/>
      <c r="J21" s="1627"/>
      <c r="K21" s="1627"/>
      <c r="L21" s="1627"/>
      <c r="M21" s="1627"/>
      <c r="N21" s="1627"/>
      <c r="O21" s="1627"/>
      <c r="P21" s="1627"/>
      <c r="Q21" s="1627"/>
      <c r="R21" s="1627"/>
      <c r="S21" s="1627"/>
      <c r="T21" s="1628"/>
      <c r="U21" s="1660" t="s">
        <v>54</v>
      </c>
      <c r="V21" s="1627"/>
      <c r="W21" s="1627"/>
      <c r="X21" s="1627"/>
      <c r="Y21" s="1627"/>
      <c r="Z21" s="1627"/>
      <c r="AA21" s="1627"/>
      <c r="AB21" s="1627"/>
      <c r="AC21" s="1627"/>
      <c r="AD21" s="1627"/>
      <c r="AE21" s="1627"/>
      <c r="AF21" s="1627"/>
      <c r="AG21" s="1627"/>
      <c r="AH21" s="1627"/>
      <c r="AI21" s="1627"/>
      <c r="AJ21" s="1627"/>
      <c r="AK21" s="1627"/>
      <c r="AL21" s="1627"/>
      <c r="AM21" s="1627"/>
      <c r="AN21" s="1628"/>
      <c r="AO21" s="59"/>
      <c r="AP21" s="276"/>
      <c r="AQ21" s="5"/>
      <c r="AR21" s="5"/>
      <c r="AS21" s="5"/>
      <c r="AT21" s="5"/>
      <c r="AU21" s="5"/>
      <c r="AV21" s="5"/>
      <c r="AW21" s="5"/>
      <c r="AX21" s="5"/>
      <c r="AY21" s="5"/>
      <c r="AZ21" s="5"/>
      <c r="BA21" s="5"/>
      <c r="BB21" s="5" t="s">
        <v>0</v>
      </c>
      <c r="BC21" s="5"/>
      <c r="BD21" s="5"/>
      <c r="BE21" s="5"/>
    </row>
    <row r="22" spans="1:57" ht="12.75" customHeight="1">
      <c r="A22" s="59"/>
      <c r="B22" s="64" t="s">
        <v>1162</v>
      </c>
      <c r="C22" s="59"/>
      <c r="D22" s="59"/>
      <c r="E22" s="59"/>
      <c r="F22" s="59"/>
      <c r="G22" s="59"/>
      <c r="H22" s="59"/>
      <c r="I22" s="59"/>
      <c r="J22" s="59"/>
      <c r="K22" s="59"/>
      <c r="L22" s="59"/>
      <c r="M22" s="59"/>
      <c r="N22" s="59"/>
      <c r="O22" s="59"/>
      <c r="P22" s="59"/>
      <c r="Q22" s="59"/>
      <c r="R22" s="59"/>
      <c r="S22" s="59"/>
      <c r="T22" s="59"/>
      <c r="U22" s="64" t="s">
        <v>63</v>
      </c>
      <c r="V22" s="59"/>
      <c r="W22" s="59"/>
      <c r="X22" s="59"/>
      <c r="Y22" s="59"/>
      <c r="Z22" s="59"/>
      <c r="AA22" s="59"/>
      <c r="AB22" s="59"/>
      <c r="AC22" s="59"/>
      <c r="AD22" s="59"/>
      <c r="AE22" s="59"/>
      <c r="AF22" s="64" t="s">
        <v>64</v>
      </c>
      <c r="AG22" s="59"/>
      <c r="AH22" s="59"/>
      <c r="AI22" s="64" t="s">
        <v>65</v>
      </c>
      <c r="AJ22" s="59"/>
      <c r="AK22" s="59"/>
      <c r="AL22" s="59"/>
      <c r="AM22" s="59"/>
      <c r="AN22" s="59"/>
      <c r="AO22" s="59"/>
      <c r="AP22" s="276"/>
      <c r="AQ22" s="5"/>
      <c r="AR22" s="5"/>
      <c r="AS22" s="5"/>
      <c r="AT22" s="5"/>
      <c r="AU22" s="5"/>
      <c r="AV22" s="5" t="s">
        <v>0</v>
      </c>
      <c r="AW22" s="5" t="s">
        <v>0</v>
      </c>
      <c r="AX22" s="5"/>
      <c r="AY22" s="5"/>
      <c r="AZ22" s="5"/>
      <c r="BA22" s="5"/>
      <c r="BB22" s="5"/>
      <c r="BC22" s="5"/>
      <c r="BD22" s="5"/>
      <c r="BE22" s="5"/>
    </row>
    <row r="23" spans="1:57" ht="15" customHeight="1">
      <c r="A23" s="59"/>
      <c r="B23" s="1626"/>
      <c r="C23" s="1627"/>
      <c r="D23" s="1627"/>
      <c r="E23" s="1627"/>
      <c r="F23" s="1627"/>
      <c r="G23" s="1627"/>
      <c r="H23" s="1627"/>
      <c r="I23" s="1627"/>
      <c r="J23" s="1627"/>
      <c r="K23" s="1627"/>
      <c r="L23" s="1627"/>
      <c r="M23" s="1627"/>
      <c r="N23" s="1627"/>
      <c r="O23" s="1627"/>
      <c r="P23" s="1627"/>
      <c r="Q23" s="1627"/>
      <c r="R23" s="1627"/>
      <c r="S23" s="1627"/>
      <c r="T23" s="1628"/>
      <c r="U23" s="1626"/>
      <c r="V23" s="1627"/>
      <c r="W23" s="1627"/>
      <c r="X23" s="1627"/>
      <c r="Y23" s="1627"/>
      <c r="Z23" s="1627"/>
      <c r="AA23" s="1627"/>
      <c r="AB23" s="1627"/>
      <c r="AC23" s="1627"/>
      <c r="AD23" s="1627"/>
      <c r="AE23" s="1628"/>
      <c r="AF23" s="1657"/>
      <c r="AG23" s="1658"/>
      <c r="AH23" s="1659"/>
      <c r="AI23" s="1642"/>
      <c r="AJ23" s="1643"/>
      <c r="AK23" s="1643"/>
      <c r="AL23" s="1643"/>
      <c r="AM23" s="1643"/>
      <c r="AN23" s="1644"/>
      <c r="AO23" s="59"/>
      <c r="AP23" s="276"/>
      <c r="AQ23" s="5"/>
      <c r="AR23" s="5"/>
      <c r="AS23" s="5"/>
      <c r="AT23" s="5"/>
      <c r="AU23" s="5"/>
      <c r="AV23" s="5"/>
      <c r="AW23" s="5"/>
      <c r="AX23" s="5"/>
      <c r="AY23" s="5"/>
      <c r="AZ23" s="5"/>
      <c r="BA23" s="5"/>
      <c r="BB23" s="5"/>
      <c r="BC23" s="5"/>
      <c r="BD23" s="5"/>
      <c r="BE23" s="5"/>
    </row>
    <row r="24" spans="1:57" ht="12.75" customHeight="1">
      <c r="A24" s="59"/>
      <c r="B24" s="65" t="s">
        <v>429</v>
      </c>
      <c r="C24" s="59"/>
      <c r="D24" s="59"/>
      <c r="E24" s="59"/>
      <c r="F24" s="59"/>
      <c r="G24" s="59"/>
      <c r="H24" s="59"/>
      <c r="I24" s="59"/>
      <c r="J24" s="59"/>
      <c r="K24" s="59"/>
      <c r="L24" s="59"/>
      <c r="M24" s="59"/>
      <c r="N24" s="59"/>
      <c r="O24" s="59"/>
      <c r="P24" s="59"/>
      <c r="Q24" s="59"/>
      <c r="R24" s="59"/>
      <c r="S24" s="59"/>
      <c r="T24" s="59"/>
      <c r="U24" s="65" t="s">
        <v>55</v>
      </c>
      <c r="V24" s="59"/>
      <c r="W24" s="59"/>
      <c r="X24" s="59"/>
      <c r="Y24" s="59"/>
      <c r="Z24" s="59"/>
      <c r="AA24" s="59"/>
      <c r="AB24" s="59"/>
      <c r="AC24" s="59"/>
      <c r="AD24" s="59"/>
      <c r="AE24" s="59"/>
      <c r="AF24" s="65" t="s">
        <v>56</v>
      </c>
      <c r="AG24" s="59"/>
      <c r="AH24" s="59"/>
      <c r="AI24" s="65" t="s">
        <v>57</v>
      </c>
      <c r="AJ24" s="59"/>
      <c r="AK24" s="59"/>
      <c r="AL24" s="59"/>
      <c r="AM24" s="59"/>
      <c r="AN24" s="59"/>
      <c r="AO24" s="59"/>
      <c r="AP24" s="276"/>
      <c r="AQ24" s="5"/>
      <c r="AR24" s="5"/>
      <c r="AS24" s="5"/>
      <c r="AT24" s="5"/>
      <c r="AU24" s="5"/>
      <c r="AV24" s="5"/>
      <c r="AW24" s="5"/>
      <c r="AX24" s="5"/>
      <c r="AY24" s="5"/>
      <c r="AZ24" s="5"/>
      <c r="BA24" s="5"/>
      <c r="BB24" s="5"/>
      <c r="BC24" s="5"/>
      <c r="BD24" s="5"/>
      <c r="BE24" s="5"/>
    </row>
    <row r="25" spans="1:57" ht="15" customHeight="1">
      <c r="A25" s="59"/>
      <c r="B25" s="1626"/>
      <c r="C25" s="1627"/>
      <c r="D25" s="1627"/>
      <c r="E25" s="1627"/>
      <c r="F25" s="1627"/>
      <c r="G25" s="1627"/>
      <c r="H25" s="1627"/>
      <c r="I25" s="1627"/>
      <c r="J25" s="1627"/>
      <c r="K25" s="1627"/>
      <c r="L25" s="1627"/>
      <c r="M25" s="1627"/>
      <c r="N25" s="1627"/>
      <c r="O25" s="1627"/>
      <c r="P25" s="1627"/>
      <c r="Q25" s="1627"/>
      <c r="R25" s="1627"/>
      <c r="S25" s="1627"/>
      <c r="T25" s="1628"/>
      <c r="U25" s="1626"/>
      <c r="V25" s="1627"/>
      <c r="W25" s="1627"/>
      <c r="X25" s="1627"/>
      <c r="Y25" s="1627"/>
      <c r="Z25" s="1627"/>
      <c r="AA25" s="1627"/>
      <c r="AB25" s="1627"/>
      <c r="AC25" s="1627"/>
      <c r="AD25" s="1627"/>
      <c r="AE25" s="1628"/>
      <c r="AF25" s="1639"/>
      <c r="AG25" s="1640"/>
      <c r="AH25" s="1641"/>
      <c r="AI25" s="1642"/>
      <c r="AJ25" s="1643"/>
      <c r="AK25" s="1643"/>
      <c r="AL25" s="1643"/>
      <c r="AM25" s="1643"/>
      <c r="AN25" s="1644"/>
      <c r="AO25" s="59"/>
      <c r="AP25" s="276"/>
      <c r="AQ25" s="5"/>
      <c r="AR25" s="5"/>
      <c r="AS25" s="5"/>
      <c r="AT25" s="5"/>
      <c r="AU25" s="5"/>
      <c r="AV25" s="5"/>
      <c r="AW25" s="5"/>
      <c r="AX25" s="5"/>
      <c r="AY25" s="5"/>
      <c r="AZ25" s="5"/>
      <c r="BA25" s="5"/>
      <c r="BB25" s="5"/>
      <c r="BC25" s="5"/>
      <c r="BD25" s="5"/>
      <c r="BE25" s="5"/>
    </row>
    <row r="26" spans="1:57" ht="12.75" customHeight="1">
      <c r="A26" s="59"/>
      <c r="B26" s="64" t="s">
        <v>237</v>
      </c>
      <c r="C26" s="59"/>
      <c r="D26" s="59"/>
      <c r="E26" s="59"/>
      <c r="F26" s="59"/>
      <c r="G26" s="59"/>
      <c r="H26" s="59"/>
      <c r="I26" s="59"/>
      <c r="J26" s="59"/>
      <c r="K26" s="59"/>
      <c r="L26" s="59"/>
      <c r="M26" s="59"/>
      <c r="N26" s="59"/>
      <c r="O26" s="59"/>
      <c r="P26" s="59"/>
      <c r="Q26" s="59"/>
      <c r="R26" s="59"/>
      <c r="S26" s="59"/>
      <c r="T26" s="59"/>
      <c r="U26" s="64" t="s">
        <v>236</v>
      </c>
      <c r="V26" s="59"/>
      <c r="W26" s="59"/>
      <c r="X26" s="59"/>
      <c r="Y26" s="59"/>
      <c r="Z26" s="59"/>
      <c r="AA26" s="59"/>
      <c r="AB26" s="59"/>
      <c r="AC26" s="59"/>
      <c r="AD26" s="59"/>
      <c r="AE26" s="59"/>
      <c r="AF26" s="59"/>
      <c r="AG26" s="59"/>
      <c r="AH26" s="59"/>
      <c r="AI26" s="59"/>
      <c r="AJ26" s="59"/>
      <c r="AK26" s="59"/>
      <c r="AL26" s="59"/>
      <c r="AM26" s="59"/>
      <c r="AN26" s="59"/>
      <c r="AO26" s="59"/>
      <c r="AP26" s="276"/>
      <c r="AQ26" s="5"/>
      <c r="AR26" s="5"/>
      <c r="AS26" s="5"/>
      <c r="AT26" s="5"/>
      <c r="AU26" s="5"/>
      <c r="AV26" s="5"/>
      <c r="AW26" s="5"/>
      <c r="AX26" s="5"/>
      <c r="AY26" s="5"/>
      <c r="AZ26" s="5"/>
      <c r="BA26" s="5"/>
      <c r="BB26" s="5"/>
      <c r="BC26" s="5"/>
      <c r="BD26" s="5"/>
      <c r="BE26" s="5"/>
    </row>
    <row r="27" spans="1:57" ht="15" customHeight="1">
      <c r="A27" s="59"/>
      <c r="B27" s="1626"/>
      <c r="C27" s="1627"/>
      <c r="D27" s="1627"/>
      <c r="E27" s="1627"/>
      <c r="F27" s="1627"/>
      <c r="G27" s="1627"/>
      <c r="H27" s="1627"/>
      <c r="I27" s="1627"/>
      <c r="J27" s="1627"/>
      <c r="K27" s="1627"/>
      <c r="L27" s="1627"/>
      <c r="M27" s="1627"/>
      <c r="N27" s="1627"/>
      <c r="O27" s="1627"/>
      <c r="P27" s="1627"/>
      <c r="Q27" s="1627"/>
      <c r="R27" s="1627"/>
      <c r="S27" s="1627"/>
      <c r="T27" s="1628"/>
      <c r="U27" s="1626"/>
      <c r="V27" s="1627"/>
      <c r="W27" s="1627"/>
      <c r="X27" s="1627"/>
      <c r="Y27" s="1627"/>
      <c r="Z27" s="1627"/>
      <c r="AA27" s="1627"/>
      <c r="AB27" s="1627"/>
      <c r="AC27" s="1627"/>
      <c r="AD27" s="1627"/>
      <c r="AE27" s="1627"/>
      <c r="AF27" s="1627"/>
      <c r="AG27" s="1627"/>
      <c r="AH27" s="1627"/>
      <c r="AI27" s="1627"/>
      <c r="AJ27" s="1627"/>
      <c r="AK27" s="1627"/>
      <c r="AL27" s="1627"/>
      <c r="AM27" s="1627"/>
      <c r="AN27" s="1628"/>
      <c r="AO27" s="59"/>
      <c r="AP27" s="276"/>
      <c r="AQ27" s="5"/>
      <c r="AR27" s="5"/>
      <c r="AS27" s="5"/>
      <c r="AT27" s="5"/>
      <c r="AU27" s="5"/>
      <c r="AV27" s="5"/>
      <c r="AW27" s="5"/>
      <c r="AX27" s="5"/>
      <c r="AY27" s="5"/>
      <c r="AZ27" s="5"/>
      <c r="BA27" s="5"/>
      <c r="BB27" s="5"/>
      <c r="BC27" s="5"/>
      <c r="BD27" s="5"/>
      <c r="BE27" s="5"/>
    </row>
    <row r="28" spans="1:57" ht="12.75" customHeight="1">
      <c r="A28" s="59"/>
      <c r="B28" s="64" t="s">
        <v>1542</v>
      </c>
      <c r="C28" s="59"/>
      <c r="D28" s="59"/>
      <c r="E28" s="59"/>
      <c r="F28" s="59"/>
      <c r="G28" s="59"/>
      <c r="H28" s="59"/>
      <c r="I28" s="59"/>
      <c r="J28" s="59"/>
      <c r="K28" s="65" t="s">
        <v>1544</v>
      </c>
      <c r="L28" s="59"/>
      <c r="M28" s="59"/>
      <c r="N28" s="59"/>
      <c r="O28" s="59"/>
      <c r="P28" s="59"/>
      <c r="Q28" s="59"/>
      <c r="R28" s="59"/>
      <c r="S28" s="59"/>
      <c r="T28" s="59"/>
      <c r="U28" s="950" t="s">
        <v>235</v>
      </c>
      <c r="V28" s="59"/>
      <c r="W28" s="59"/>
      <c r="X28" s="59"/>
      <c r="Y28" s="59"/>
      <c r="Z28" s="59"/>
      <c r="AA28" s="59"/>
      <c r="AB28" s="59"/>
      <c r="AC28" s="59"/>
      <c r="AD28" s="59"/>
      <c r="AE28" s="59"/>
      <c r="AF28" s="59"/>
      <c r="AG28" s="59"/>
      <c r="AH28" s="59"/>
      <c r="AI28" s="59"/>
      <c r="AJ28" s="59"/>
      <c r="AK28" s="59"/>
      <c r="AL28" s="59"/>
      <c r="AM28" s="59"/>
      <c r="AN28" s="59"/>
      <c r="AO28" s="59"/>
      <c r="AP28" s="276"/>
      <c r="AQ28" s="5"/>
      <c r="AR28" s="5"/>
      <c r="AS28" s="5"/>
      <c r="AT28" s="5"/>
      <c r="AU28" s="5"/>
      <c r="AV28" s="5"/>
      <c r="AW28" s="5"/>
      <c r="AX28" s="5"/>
      <c r="AY28" s="5"/>
      <c r="AZ28" s="5"/>
      <c r="BA28" s="5"/>
      <c r="BB28" s="5"/>
      <c r="BC28" s="5"/>
      <c r="BD28" s="5"/>
    </row>
    <row r="29" spans="1:57" ht="15" customHeight="1">
      <c r="A29" s="59"/>
      <c r="B29" s="1637"/>
      <c r="C29" s="1630"/>
      <c r="D29" s="1630"/>
      <c r="E29" s="1630"/>
      <c r="F29" s="1630"/>
      <c r="G29" s="1630"/>
      <c r="H29" s="1630"/>
      <c r="I29" s="1630"/>
      <c r="J29" s="1631"/>
      <c r="K29" s="1638"/>
      <c r="L29" s="1630"/>
      <c r="M29" s="1630"/>
      <c r="N29" s="1630"/>
      <c r="O29" s="1630"/>
      <c r="P29" s="1630"/>
      <c r="Q29" s="1630"/>
      <c r="R29" s="1630"/>
      <c r="S29" s="1630"/>
      <c r="T29" s="1631"/>
      <c r="U29" s="1632"/>
      <c r="V29" s="1627"/>
      <c r="W29" s="1627"/>
      <c r="X29" s="1627"/>
      <c r="Y29" s="1627"/>
      <c r="Z29" s="1627"/>
      <c r="AA29" s="1627"/>
      <c r="AB29" s="1627"/>
      <c r="AC29" s="1627"/>
      <c r="AD29" s="1627"/>
      <c r="AE29" s="1627"/>
      <c r="AF29" s="1627"/>
      <c r="AG29" s="1627"/>
      <c r="AH29" s="1627"/>
      <c r="AI29" s="1627"/>
      <c r="AJ29" s="1627"/>
      <c r="AK29" s="1627"/>
      <c r="AL29" s="1627"/>
      <c r="AM29" s="1627"/>
      <c r="AN29" s="1628"/>
      <c r="AO29" s="59"/>
      <c r="AP29" s="276"/>
      <c r="AQ29" s="5"/>
      <c r="AR29" s="5"/>
      <c r="AS29" s="5"/>
      <c r="AT29" s="5"/>
      <c r="AU29" s="5"/>
      <c r="AV29" s="5"/>
      <c r="AW29" s="5"/>
      <c r="AX29" s="5"/>
      <c r="AY29" s="5"/>
      <c r="AZ29" s="5"/>
      <c r="BA29" s="5"/>
      <c r="BB29" s="5"/>
      <c r="BC29" s="5"/>
      <c r="BD29" s="5"/>
      <c r="BE29" s="5"/>
    </row>
    <row r="30" spans="1:57" ht="12.75" customHeight="1">
      <c r="A30" s="59"/>
      <c r="B30" s="65"/>
      <c r="C30" s="59"/>
      <c r="D30" s="59"/>
      <c r="E30" s="59"/>
      <c r="F30" s="59"/>
      <c r="G30" s="59"/>
      <c r="H30" s="59"/>
      <c r="I30" s="59"/>
      <c r="J30" s="59"/>
      <c r="K30" s="59"/>
      <c r="L30" s="59"/>
      <c r="M30" s="59"/>
      <c r="N30" s="65"/>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276"/>
      <c r="AQ30" s="5"/>
      <c r="AR30" s="5"/>
      <c r="AS30" s="5"/>
      <c r="AT30" s="5"/>
      <c r="AU30" s="5"/>
      <c r="AV30" s="5"/>
      <c r="AW30" s="5"/>
      <c r="AX30" s="5"/>
      <c r="AY30" s="5"/>
      <c r="AZ30" s="5"/>
      <c r="BA30" s="5"/>
      <c r="BB30" s="5"/>
      <c r="BC30" s="5"/>
      <c r="BD30" s="5"/>
      <c r="BE30" s="5"/>
    </row>
    <row r="31" spans="1:57" ht="15" customHeight="1">
      <c r="A31" s="59"/>
      <c r="B31" s="912" t="s">
        <v>238</v>
      </c>
      <c r="C31" s="59"/>
      <c r="D31" s="66"/>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276"/>
      <c r="AQ31" s="5"/>
      <c r="AR31" s="5"/>
      <c r="AS31" s="5"/>
      <c r="AT31" s="5"/>
      <c r="AU31" s="5"/>
      <c r="AV31" s="5"/>
      <c r="AW31" s="5"/>
      <c r="AX31" s="5"/>
      <c r="AY31" s="5"/>
      <c r="AZ31" s="5"/>
      <c r="BA31" s="5"/>
      <c r="BB31" s="5"/>
      <c r="BC31" s="5"/>
      <c r="BD31" s="5"/>
      <c r="BE31" s="5"/>
    </row>
    <row r="32" spans="1:57" ht="13.5" customHeight="1">
      <c r="A32" s="59"/>
      <c r="B32" s="64" t="s">
        <v>204</v>
      </c>
      <c r="C32" s="59"/>
      <c r="D32" s="66"/>
      <c r="E32" s="59"/>
      <c r="F32" s="59"/>
      <c r="G32" s="59"/>
      <c r="H32" s="59"/>
      <c r="I32" s="59"/>
      <c r="J32" s="59"/>
      <c r="K32" s="59"/>
      <c r="L32" s="59"/>
      <c r="M32" s="59"/>
      <c r="N32" s="59"/>
      <c r="O32" s="59"/>
      <c r="P32" s="59"/>
      <c r="Q32" s="59"/>
      <c r="R32" s="59"/>
      <c r="S32" s="59"/>
      <c r="T32" s="59"/>
      <c r="U32" s="64" t="s">
        <v>412</v>
      </c>
      <c r="V32" s="59"/>
      <c r="W32" s="59"/>
      <c r="X32" s="59"/>
      <c r="Y32" s="59"/>
      <c r="Z32" s="59"/>
      <c r="AA32" s="59"/>
      <c r="AB32" s="59"/>
      <c r="AC32" s="59"/>
      <c r="AD32" s="59"/>
      <c r="AE32" s="59"/>
      <c r="AF32" s="59"/>
      <c r="AG32" s="59"/>
      <c r="AH32" s="59"/>
      <c r="AI32" s="59"/>
      <c r="AJ32" s="59"/>
      <c r="AK32" s="59"/>
      <c r="AL32" s="59"/>
      <c r="AM32" s="59"/>
      <c r="AN32" s="59"/>
      <c r="AO32" s="59"/>
      <c r="AP32" s="276"/>
      <c r="AQ32" s="5"/>
      <c r="AR32" s="5"/>
      <c r="AS32" s="5"/>
      <c r="AT32" s="5"/>
      <c r="AU32" s="5"/>
      <c r="AV32" s="5"/>
      <c r="AW32" s="5"/>
      <c r="AX32" s="5"/>
      <c r="AY32" s="5"/>
      <c r="AZ32" s="5"/>
      <c r="BA32" s="5"/>
      <c r="BB32" s="5"/>
      <c r="BC32" s="5"/>
      <c r="BD32" s="5"/>
      <c r="BE32" s="5"/>
    </row>
    <row r="33" spans="1:57" ht="15" customHeight="1">
      <c r="A33" s="59"/>
      <c r="B33" s="1636"/>
      <c r="C33" s="1627"/>
      <c r="D33" s="1627"/>
      <c r="E33" s="1627"/>
      <c r="F33" s="1627"/>
      <c r="G33" s="1627"/>
      <c r="H33" s="1627"/>
      <c r="I33" s="1627"/>
      <c r="J33" s="1627"/>
      <c r="K33" s="1627"/>
      <c r="L33" s="1627"/>
      <c r="M33" s="1627"/>
      <c r="N33" s="1627"/>
      <c r="O33" s="1627"/>
      <c r="P33" s="1627"/>
      <c r="Q33" s="1627"/>
      <c r="R33" s="1627"/>
      <c r="S33" s="1627"/>
      <c r="T33" s="1628"/>
      <c r="U33" s="1633"/>
      <c r="V33" s="1634"/>
      <c r="W33" s="1634"/>
      <c r="X33" s="1634"/>
      <c r="Y33" s="1634"/>
      <c r="Z33" s="1634"/>
      <c r="AA33" s="1634"/>
      <c r="AB33" s="1634"/>
      <c r="AC33" s="1634"/>
      <c r="AD33" s="1634"/>
      <c r="AE33" s="1634"/>
      <c r="AF33" s="1634"/>
      <c r="AG33" s="1634"/>
      <c r="AH33" s="1634"/>
      <c r="AI33" s="1634"/>
      <c r="AJ33" s="1634"/>
      <c r="AK33" s="1634"/>
      <c r="AL33" s="1634"/>
      <c r="AM33" s="1634"/>
      <c r="AN33" s="1635"/>
      <c r="AO33" s="59"/>
      <c r="AP33" s="276"/>
      <c r="AQ33" s="5"/>
      <c r="AR33" s="5"/>
      <c r="AS33" s="5"/>
      <c r="AT33" s="5"/>
      <c r="AU33" s="5"/>
      <c r="AV33" s="5"/>
      <c r="AW33" s="5"/>
      <c r="AX33" s="5"/>
      <c r="AY33" s="5"/>
      <c r="AZ33" s="5"/>
      <c r="BA33" s="5"/>
      <c r="BB33" s="5"/>
      <c r="BC33" s="5"/>
      <c r="BD33" s="5"/>
      <c r="BE33" s="5"/>
    </row>
    <row r="34" spans="1:57" ht="12.75" customHeight="1">
      <c r="A34" s="59"/>
      <c r="B34" s="65" t="s">
        <v>61</v>
      </c>
      <c r="C34" s="59"/>
      <c r="D34" s="66"/>
      <c r="E34" s="59"/>
      <c r="F34" s="59"/>
      <c r="G34" s="59"/>
      <c r="H34" s="59"/>
      <c r="I34" s="59"/>
      <c r="J34" s="59"/>
      <c r="K34" s="59"/>
      <c r="L34" s="59"/>
      <c r="M34" s="59"/>
      <c r="N34" s="59"/>
      <c r="O34" s="59"/>
      <c r="P34" s="59"/>
      <c r="Q34" s="59"/>
      <c r="R34" s="59"/>
      <c r="S34" s="59"/>
      <c r="T34" s="59"/>
      <c r="U34" s="65" t="s">
        <v>55</v>
      </c>
      <c r="V34" s="59"/>
      <c r="W34" s="59"/>
      <c r="X34" s="59"/>
      <c r="Y34" s="59"/>
      <c r="Z34" s="59"/>
      <c r="AA34" s="59"/>
      <c r="AB34" s="59"/>
      <c r="AC34" s="59"/>
      <c r="AD34" s="59"/>
      <c r="AE34" s="59"/>
      <c r="AF34" s="65" t="s">
        <v>56</v>
      </c>
      <c r="AG34" s="59"/>
      <c r="AH34" s="59"/>
      <c r="AI34" s="65" t="s">
        <v>57</v>
      </c>
      <c r="AJ34" s="59"/>
      <c r="AK34" s="59"/>
      <c r="AL34" s="59"/>
      <c r="AM34" s="59"/>
      <c r="AN34" s="59"/>
      <c r="AO34" s="59"/>
      <c r="AP34" s="276"/>
      <c r="AQ34" s="5"/>
      <c r="AR34" s="5"/>
      <c r="AS34" s="5"/>
      <c r="AT34" s="5"/>
      <c r="AU34" s="5"/>
      <c r="AV34" s="5"/>
      <c r="AW34" s="5"/>
      <c r="AX34" s="5"/>
      <c r="AY34" s="5"/>
      <c r="AZ34" s="5"/>
      <c r="BA34" s="5"/>
      <c r="BB34" s="5"/>
      <c r="BC34" s="5"/>
      <c r="BD34" s="5"/>
      <c r="BE34" s="5"/>
    </row>
    <row r="35" spans="1:57" ht="15" customHeight="1">
      <c r="A35" s="59"/>
      <c r="B35" s="1626"/>
      <c r="C35" s="1627"/>
      <c r="D35" s="1627"/>
      <c r="E35" s="1627"/>
      <c r="F35" s="1627"/>
      <c r="G35" s="1627"/>
      <c r="H35" s="1627"/>
      <c r="I35" s="1627"/>
      <c r="J35" s="1627"/>
      <c r="K35" s="1627"/>
      <c r="L35" s="1627"/>
      <c r="M35" s="1627"/>
      <c r="N35" s="1627"/>
      <c r="O35" s="1627"/>
      <c r="P35" s="1627"/>
      <c r="Q35" s="1627"/>
      <c r="R35" s="1627"/>
      <c r="S35" s="1627"/>
      <c r="T35" s="1628"/>
      <c r="U35" s="1626"/>
      <c r="V35" s="1627"/>
      <c r="W35" s="1627"/>
      <c r="X35" s="1627"/>
      <c r="Y35" s="1627"/>
      <c r="Z35" s="1627"/>
      <c r="AA35" s="1627"/>
      <c r="AB35" s="1627"/>
      <c r="AC35" s="1627"/>
      <c r="AD35" s="1627"/>
      <c r="AE35" s="1628"/>
      <c r="AF35" s="1639"/>
      <c r="AG35" s="1640"/>
      <c r="AH35" s="1641"/>
      <c r="AI35" s="1642"/>
      <c r="AJ35" s="1643"/>
      <c r="AK35" s="1643"/>
      <c r="AL35" s="1643"/>
      <c r="AM35" s="1643"/>
      <c r="AN35" s="1644"/>
      <c r="AO35" s="59"/>
      <c r="AP35" s="276"/>
      <c r="AQ35" s="5"/>
      <c r="AR35" s="5"/>
      <c r="AS35" s="5"/>
      <c r="AT35" s="5"/>
      <c r="AU35" s="5"/>
      <c r="AV35" s="5"/>
      <c r="AW35" s="5"/>
      <c r="AX35" s="5"/>
      <c r="AY35" s="5"/>
      <c r="AZ35" s="5"/>
      <c r="BA35" s="5"/>
      <c r="BB35" s="5"/>
      <c r="BC35" s="5"/>
      <c r="BD35" s="5"/>
      <c r="BE35" s="5"/>
    </row>
    <row r="36" spans="1:57">
      <c r="A36" s="59"/>
      <c r="B36" s="65" t="s">
        <v>58</v>
      </c>
      <c r="C36" s="59"/>
      <c r="D36" s="59"/>
      <c r="E36" s="59"/>
      <c r="F36" s="59"/>
      <c r="G36" s="59"/>
      <c r="H36" s="59"/>
      <c r="I36" s="59"/>
      <c r="J36" s="59"/>
      <c r="K36" s="59"/>
      <c r="L36" s="59"/>
      <c r="M36" s="59"/>
      <c r="N36" s="59"/>
      <c r="O36" s="59"/>
      <c r="P36" s="59"/>
      <c r="Q36" s="59"/>
      <c r="R36" s="59"/>
      <c r="S36" s="59"/>
      <c r="T36" s="59"/>
      <c r="U36" s="65" t="s">
        <v>59</v>
      </c>
      <c r="V36" s="59"/>
      <c r="W36" s="59"/>
      <c r="X36" s="59"/>
      <c r="Y36" s="59"/>
      <c r="Z36" s="59"/>
      <c r="AA36" s="59"/>
      <c r="AB36" s="59"/>
      <c r="AC36" s="59"/>
      <c r="AD36" s="59"/>
      <c r="AE36" s="59"/>
      <c r="AF36" s="59"/>
      <c r="AG36" s="59"/>
      <c r="AH36" s="59"/>
      <c r="AI36" s="59"/>
      <c r="AJ36" s="59"/>
      <c r="AK36" s="59"/>
      <c r="AL36" s="59"/>
      <c r="AM36" s="59"/>
      <c r="AN36" s="59"/>
      <c r="AO36" s="59"/>
      <c r="AP36" s="276"/>
      <c r="AQ36" s="5"/>
      <c r="AR36" s="5"/>
      <c r="AS36" s="5"/>
      <c r="AT36" s="5"/>
      <c r="AU36" s="5"/>
      <c r="AV36" s="5"/>
      <c r="AW36" s="5"/>
      <c r="AX36" s="5"/>
      <c r="AY36" s="5"/>
      <c r="AZ36" s="5"/>
      <c r="BA36" s="5"/>
      <c r="BB36" s="5"/>
      <c r="BC36" s="5"/>
      <c r="BD36" s="5"/>
      <c r="BE36" s="5"/>
    </row>
    <row r="37" spans="1:57" ht="15" customHeight="1">
      <c r="A37" s="59"/>
      <c r="B37" s="1626"/>
      <c r="C37" s="1627"/>
      <c r="D37" s="1627"/>
      <c r="E37" s="1627"/>
      <c r="F37" s="1627"/>
      <c r="G37" s="1627"/>
      <c r="H37" s="1627"/>
      <c r="I37" s="1627"/>
      <c r="J37" s="1627"/>
      <c r="K37" s="1627"/>
      <c r="L37" s="1627"/>
      <c r="M37" s="1627"/>
      <c r="N37" s="1627"/>
      <c r="O37" s="1627"/>
      <c r="P37" s="1627"/>
      <c r="Q37" s="1627"/>
      <c r="R37" s="1627"/>
      <c r="S37" s="1627"/>
      <c r="T37" s="1628"/>
      <c r="U37" s="1626"/>
      <c r="V37" s="1627"/>
      <c r="W37" s="1627"/>
      <c r="X37" s="1627"/>
      <c r="Y37" s="1627"/>
      <c r="Z37" s="1627"/>
      <c r="AA37" s="1627"/>
      <c r="AB37" s="1627"/>
      <c r="AC37" s="1627"/>
      <c r="AD37" s="1627"/>
      <c r="AE37" s="1627"/>
      <c r="AF37" s="1627"/>
      <c r="AG37" s="1627"/>
      <c r="AH37" s="1627"/>
      <c r="AI37" s="1627"/>
      <c r="AJ37" s="1627"/>
      <c r="AK37" s="1627"/>
      <c r="AL37" s="1627"/>
      <c r="AM37" s="1627"/>
      <c r="AN37" s="1628"/>
      <c r="AO37" s="59"/>
      <c r="AP37" s="276"/>
      <c r="AQ37" s="5"/>
      <c r="AR37" s="5"/>
      <c r="AS37" s="5"/>
      <c r="AT37" s="5"/>
      <c r="AU37" s="5"/>
      <c r="AV37" s="5"/>
      <c r="AW37" s="5"/>
      <c r="AX37" s="5"/>
      <c r="AY37" s="5"/>
      <c r="AZ37" s="5"/>
      <c r="BA37" s="5"/>
      <c r="BB37" s="5"/>
      <c r="BC37" s="5"/>
      <c r="BD37" s="5"/>
      <c r="BE37" s="5"/>
    </row>
    <row r="38" spans="1:57" ht="12.75" customHeight="1">
      <c r="A38" s="59"/>
      <c r="B38" s="65" t="s">
        <v>1543</v>
      </c>
      <c r="C38" s="59"/>
      <c r="D38" s="59"/>
      <c r="E38" s="59"/>
      <c r="F38" s="59"/>
      <c r="G38" s="59"/>
      <c r="H38" s="59"/>
      <c r="I38" s="59"/>
      <c r="J38" s="59"/>
      <c r="K38" s="65" t="s">
        <v>1544</v>
      </c>
      <c r="L38" s="59"/>
      <c r="M38" s="59"/>
      <c r="N38" s="59"/>
      <c r="O38" s="59"/>
      <c r="P38" s="59"/>
      <c r="Q38" s="59"/>
      <c r="R38" s="59"/>
      <c r="S38" s="59"/>
      <c r="T38" s="59"/>
      <c r="U38" s="950" t="s">
        <v>1390</v>
      </c>
      <c r="V38" s="59"/>
      <c r="W38" s="59"/>
      <c r="X38" s="59"/>
      <c r="Y38" s="59"/>
      <c r="Z38" s="59"/>
      <c r="AA38" s="59"/>
      <c r="AB38" s="59"/>
      <c r="AC38" s="59"/>
      <c r="AD38" s="59"/>
      <c r="AE38" s="59"/>
      <c r="AF38" s="59"/>
      <c r="AG38" s="59"/>
      <c r="AH38" s="59"/>
      <c r="AI38" s="59"/>
      <c r="AJ38" s="59"/>
      <c r="AK38" s="59"/>
      <c r="AL38" s="59"/>
      <c r="AM38" s="59"/>
      <c r="AN38" s="59"/>
      <c r="AO38" s="59"/>
      <c r="AP38" s="276"/>
      <c r="AQ38" s="5"/>
      <c r="AR38" s="5"/>
      <c r="AS38" s="5"/>
      <c r="AT38" s="5"/>
      <c r="AU38" s="5"/>
      <c r="AV38" s="5"/>
      <c r="AW38" s="5"/>
      <c r="AX38" s="5"/>
      <c r="AY38" s="5"/>
      <c r="AZ38" s="5"/>
      <c r="BA38" s="5"/>
      <c r="BB38" s="5"/>
      <c r="BC38" s="5"/>
      <c r="BD38" s="5"/>
      <c r="BE38" s="5"/>
    </row>
    <row r="39" spans="1:57" ht="15" customHeight="1">
      <c r="A39" s="59"/>
      <c r="B39" s="1629"/>
      <c r="C39" s="1630"/>
      <c r="D39" s="1630"/>
      <c r="E39" s="1630"/>
      <c r="F39" s="1630"/>
      <c r="G39" s="1630"/>
      <c r="H39" s="1630"/>
      <c r="I39" s="1630"/>
      <c r="J39" s="1631"/>
      <c r="K39" s="1638"/>
      <c r="L39" s="1630"/>
      <c r="M39" s="1630"/>
      <c r="N39" s="1630"/>
      <c r="O39" s="1630"/>
      <c r="P39" s="1630"/>
      <c r="Q39" s="1630"/>
      <c r="R39" s="1630"/>
      <c r="S39" s="1630"/>
      <c r="T39" s="1631"/>
      <c r="U39" s="1632"/>
      <c r="V39" s="1627"/>
      <c r="W39" s="1627"/>
      <c r="X39" s="1627"/>
      <c r="Y39" s="1627"/>
      <c r="Z39" s="1627"/>
      <c r="AA39" s="1627"/>
      <c r="AB39" s="1627"/>
      <c r="AC39" s="1627"/>
      <c r="AD39" s="1627"/>
      <c r="AE39" s="1627"/>
      <c r="AF39" s="1627"/>
      <c r="AG39" s="1627"/>
      <c r="AH39" s="1627"/>
      <c r="AI39" s="1627"/>
      <c r="AJ39" s="1627"/>
      <c r="AK39" s="1627"/>
      <c r="AL39" s="1627"/>
      <c r="AM39" s="1627"/>
      <c r="AN39" s="1628"/>
      <c r="AO39" s="59"/>
      <c r="AP39" s="276"/>
      <c r="AQ39" s="5"/>
      <c r="AR39" s="5"/>
      <c r="AS39" s="5"/>
      <c r="AT39" s="5"/>
      <c r="AU39" s="5"/>
      <c r="AV39" s="5"/>
      <c r="AW39" s="5"/>
      <c r="AX39" s="5"/>
      <c r="AY39" s="5"/>
      <c r="AZ39" s="5"/>
      <c r="BA39" s="5"/>
      <c r="BB39" s="5"/>
      <c r="BC39" s="5"/>
      <c r="BD39" s="5"/>
      <c r="BE39" s="5"/>
    </row>
    <row r="40" spans="1:57" ht="9.75" customHeight="1">
      <c r="A40" s="59"/>
      <c r="B40" s="612"/>
      <c r="C40" s="612"/>
      <c r="D40" s="612"/>
      <c r="E40" s="612"/>
      <c r="F40" s="612"/>
      <c r="G40" s="612"/>
      <c r="H40" s="612"/>
      <c r="I40" s="612"/>
      <c r="J40" s="612"/>
      <c r="K40" s="612"/>
      <c r="L40" s="612"/>
      <c r="M40" s="612"/>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2"/>
      <c r="AN40" s="612"/>
      <c r="AO40" s="59"/>
      <c r="AP40" s="276"/>
      <c r="AQ40" s="5"/>
      <c r="AR40" s="5"/>
      <c r="AS40" s="5"/>
      <c r="AT40" s="5"/>
      <c r="AU40" s="5"/>
      <c r="AV40" s="5"/>
      <c r="AW40" s="5"/>
      <c r="AX40" s="5"/>
      <c r="AY40" s="5"/>
      <c r="AZ40" s="5"/>
      <c r="BA40" s="5"/>
      <c r="BB40" s="5"/>
      <c r="BC40" s="5"/>
      <c r="BD40" s="5"/>
      <c r="BE40" s="5"/>
    </row>
    <row r="41" spans="1:57" ht="15" customHeight="1">
      <c r="A41" s="59"/>
      <c r="B41" s="912" t="s">
        <v>240</v>
      </c>
      <c r="C41" s="612"/>
      <c r="D41" s="612"/>
      <c r="E41" s="612"/>
      <c r="F41" s="612"/>
      <c r="G41" s="612"/>
      <c r="H41" s="612"/>
      <c r="I41" s="612"/>
      <c r="J41" s="612"/>
      <c r="K41" s="612"/>
      <c r="L41" s="612"/>
      <c r="M41" s="612"/>
      <c r="N41" s="612"/>
      <c r="O41" s="612"/>
      <c r="P41" s="612"/>
      <c r="Q41" s="612"/>
      <c r="R41" s="612"/>
      <c r="S41" s="612"/>
      <c r="T41" s="612"/>
      <c r="U41" s="612"/>
      <c r="V41" s="612"/>
      <c r="W41" s="612"/>
      <c r="X41" s="612"/>
      <c r="Y41" s="612"/>
      <c r="Z41" s="612"/>
      <c r="AA41" s="612"/>
      <c r="AB41" s="612"/>
      <c r="AC41" s="612"/>
      <c r="AD41" s="612"/>
      <c r="AE41" s="612"/>
      <c r="AF41" s="612"/>
      <c r="AG41" s="612"/>
      <c r="AH41" s="612"/>
      <c r="AI41" s="612"/>
      <c r="AJ41" s="612"/>
      <c r="AK41" s="612"/>
      <c r="AL41" s="612"/>
      <c r="AM41" s="612"/>
      <c r="AN41" s="612"/>
      <c r="AO41" s="59"/>
      <c r="AP41" s="276"/>
      <c r="AQ41" s="5"/>
      <c r="AR41" s="5"/>
      <c r="AS41" s="5"/>
      <c r="AT41" s="5"/>
      <c r="AU41" s="5"/>
      <c r="AV41" s="5"/>
      <c r="AW41" s="5"/>
      <c r="AX41" s="5"/>
      <c r="AY41" s="5"/>
      <c r="AZ41" s="5"/>
      <c r="BA41" s="5"/>
      <c r="BB41" s="5"/>
      <c r="BC41" s="5"/>
      <c r="BD41" s="5"/>
      <c r="BE41" s="5"/>
    </row>
    <row r="42" spans="1:57" ht="15" customHeight="1">
      <c r="A42" s="59"/>
      <c r="B42" s="64" t="s">
        <v>204</v>
      </c>
      <c r="C42" s="59"/>
      <c r="D42" s="66"/>
      <c r="E42" s="59"/>
      <c r="F42" s="59"/>
      <c r="G42" s="59"/>
      <c r="H42" s="59"/>
      <c r="I42" s="59"/>
      <c r="J42" s="59"/>
      <c r="K42" s="59"/>
      <c r="L42" s="59"/>
      <c r="M42" s="59"/>
      <c r="N42" s="59"/>
      <c r="O42" s="59"/>
      <c r="P42" s="59"/>
      <c r="Q42" s="59"/>
      <c r="R42" s="59"/>
      <c r="S42" s="59"/>
      <c r="T42" s="59"/>
      <c r="U42" s="64" t="s">
        <v>237</v>
      </c>
      <c r="V42" s="59"/>
      <c r="W42" s="59"/>
      <c r="X42" s="59"/>
      <c r="Y42" s="59"/>
      <c r="Z42" s="59"/>
      <c r="AA42" s="59"/>
      <c r="AB42" s="59"/>
      <c r="AC42" s="59"/>
      <c r="AD42" s="59"/>
      <c r="AE42" s="59"/>
      <c r="AF42" s="59"/>
      <c r="AG42" s="59"/>
      <c r="AH42" s="59"/>
      <c r="AI42" s="59"/>
      <c r="AJ42" s="59"/>
      <c r="AK42" s="59"/>
      <c r="AL42" s="59"/>
      <c r="AM42" s="59"/>
      <c r="AN42" s="59"/>
      <c r="AO42" s="59"/>
      <c r="AP42" s="276"/>
      <c r="AQ42" s="5"/>
      <c r="AR42" s="5"/>
      <c r="AS42" s="5"/>
      <c r="AT42" s="5"/>
      <c r="AU42" s="5"/>
      <c r="AV42" s="5"/>
      <c r="AW42" s="5"/>
      <c r="AX42" s="5"/>
      <c r="AY42" s="5"/>
      <c r="AZ42" s="5"/>
      <c r="BA42" s="5"/>
      <c r="BB42" s="5"/>
      <c r="BC42" s="5"/>
      <c r="BD42" s="5"/>
      <c r="BE42" s="5"/>
    </row>
    <row r="43" spans="1:57" ht="15" customHeight="1">
      <c r="A43" s="59"/>
      <c r="B43" s="1626"/>
      <c r="C43" s="1627"/>
      <c r="D43" s="1627"/>
      <c r="E43" s="1627"/>
      <c r="F43" s="1627"/>
      <c r="G43" s="1627"/>
      <c r="H43" s="1627"/>
      <c r="I43" s="1627"/>
      <c r="J43" s="1627"/>
      <c r="K43" s="1627"/>
      <c r="L43" s="1627"/>
      <c r="M43" s="1627"/>
      <c r="N43" s="1627"/>
      <c r="O43" s="1627"/>
      <c r="P43" s="1627"/>
      <c r="Q43" s="1627"/>
      <c r="R43" s="1627"/>
      <c r="S43" s="1627"/>
      <c r="T43" s="1628"/>
      <c r="U43" s="1626"/>
      <c r="V43" s="1627"/>
      <c r="W43" s="1627"/>
      <c r="X43" s="1627"/>
      <c r="Y43" s="1627"/>
      <c r="Z43" s="1627"/>
      <c r="AA43" s="1627"/>
      <c r="AB43" s="1627"/>
      <c r="AC43" s="1627"/>
      <c r="AD43" s="1627"/>
      <c r="AE43" s="1627"/>
      <c r="AF43" s="1627"/>
      <c r="AG43" s="1627"/>
      <c r="AH43" s="1627"/>
      <c r="AI43" s="1627"/>
      <c r="AJ43" s="1627"/>
      <c r="AK43" s="1627"/>
      <c r="AL43" s="1627"/>
      <c r="AM43" s="1627"/>
      <c r="AN43" s="1628"/>
      <c r="AO43" s="59"/>
      <c r="AP43" s="276"/>
      <c r="AQ43" s="5"/>
      <c r="AR43" s="5"/>
      <c r="AS43" s="5"/>
      <c r="AT43" s="5"/>
      <c r="AU43" s="5"/>
      <c r="AV43" s="5"/>
      <c r="AW43" s="5"/>
      <c r="AX43" s="5"/>
      <c r="AY43" s="5"/>
      <c r="AZ43" s="5"/>
      <c r="BA43" s="5"/>
      <c r="BB43" s="5"/>
      <c r="BC43" s="5"/>
      <c r="BD43" s="5"/>
      <c r="BE43" s="5"/>
    </row>
    <row r="44" spans="1:57" ht="15" customHeight="1">
      <c r="A44" s="59"/>
      <c r="B44" s="65" t="s">
        <v>61</v>
      </c>
      <c r="C44" s="59"/>
      <c r="D44" s="66"/>
      <c r="E44" s="59"/>
      <c r="F44" s="59"/>
      <c r="G44" s="59"/>
      <c r="H44" s="59"/>
      <c r="I44" s="59"/>
      <c r="J44" s="59"/>
      <c r="K44" s="59"/>
      <c r="L44" s="59"/>
      <c r="M44" s="59"/>
      <c r="N44" s="59"/>
      <c r="O44" s="59"/>
      <c r="P44" s="59"/>
      <c r="Q44" s="59"/>
      <c r="R44" s="59"/>
      <c r="S44" s="59"/>
      <c r="T44" s="59"/>
      <c r="U44" s="65" t="s">
        <v>55</v>
      </c>
      <c r="V44" s="59"/>
      <c r="W44" s="59"/>
      <c r="X44" s="59"/>
      <c r="Y44" s="59"/>
      <c r="Z44" s="59"/>
      <c r="AA44" s="59"/>
      <c r="AB44" s="59"/>
      <c r="AC44" s="59"/>
      <c r="AD44" s="59"/>
      <c r="AE44" s="59"/>
      <c r="AF44" s="65" t="s">
        <v>56</v>
      </c>
      <c r="AG44" s="59"/>
      <c r="AH44" s="59"/>
      <c r="AI44" s="65" t="s">
        <v>57</v>
      </c>
      <c r="AJ44" s="59"/>
      <c r="AK44" s="59"/>
      <c r="AL44" s="59"/>
      <c r="AM44" s="59"/>
      <c r="AN44" s="59"/>
      <c r="AO44" s="59"/>
      <c r="AP44" s="276"/>
      <c r="AQ44" s="5"/>
      <c r="AR44" s="5"/>
      <c r="AS44" s="5"/>
      <c r="AT44" s="5"/>
      <c r="AU44" s="5"/>
      <c r="AV44" s="5"/>
      <c r="AW44" s="5"/>
      <c r="AX44" s="5"/>
      <c r="AY44" s="5"/>
      <c r="AZ44" s="5"/>
      <c r="BA44" s="5"/>
      <c r="BB44" s="5"/>
      <c r="BC44" s="5"/>
      <c r="BD44" s="5"/>
      <c r="BE44" s="5"/>
    </row>
    <row r="45" spans="1:57" ht="15" customHeight="1">
      <c r="A45" s="59"/>
      <c r="B45" s="1626"/>
      <c r="C45" s="1627"/>
      <c r="D45" s="1627"/>
      <c r="E45" s="1627"/>
      <c r="F45" s="1627"/>
      <c r="G45" s="1627"/>
      <c r="H45" s="1627"/>
      <c r="I45" s="1627"/>
      <c r="J45" s="1627"/>
      <c r="K45" s="1627"/>
      <c r="L45" s="1627"/>
      <c r="M45" s="1627"/>
      <c r="N45" s="1627"/>
      <c r="O45" s="1627"/>
      <c r="P45" s="1627"/>
      <c r="Q45" s="1627"/>
      <c r="R45" s="1627"/>
      <c r="S45" s="1627"/>
      <c r="T45" s="1628"/>
      <c r="U45" s="1626"/>
      <c r="V45" s="1627"/>
      <c r="W45" s="1627"/>
      <c r="X45" s="1627"/>
      <c r="Y45" s="1627"/>
      <c r="Z45" s="1627"/>
      <c r="AA45" s="1627"/>
      <c r="AB45" s="1627"/>
      <c r="AC45" s="1627"/>
      <c r="AD45" s="1627"/>
      <c r="AE45" s="1628"/>
      <c r="AF45" s="1639"/>
      <c r="AG45" s="1640"/>
      <c r="AH45" s="1641"/>
      <c r="AI45" s="1642"/>
      <c r="AJ45" s="1643"/>
      <c r="AK45" s="1643"/>
      <c r="AL45" s="1643"/>
      <c r="AM45" s="1643"/>
      <c r="AN45" s="1644"/>
      <c r="AO45" s="59"/>
      <c r="AP45" s="276"/>
      <c r="AQ45" s="5"/>
      <c r="AR45" s="5"/>
      <c r="AS45" s="5"/>
      <c r="AT45" s="5"/>
      <c r="AU45" s="5"/>
      <c r="AV45" s="5"/>
      <c r="AW45" s="5"/>
      <c r="AX45" s="5"/>
      <c r="AY45" s="5"/>
      <c r="AZ45" s="5"/>
      <c r="BA45" s="5"/>
      <c r="BB45" s="5"/>
      <c r="BC45" s="5"/>
      <c r="BD45" s="5"/>
      <c r="BE45" s="5"/>
    </row>
    <row r="46" spans="1:57" ht="15" customHeight="1">
      <c r="A46" s="59"/>
      <c r="B46" s="65" t="s">
        <v>1543</v>
      </c>
      <c r="C46" s="59"/>
      <c r="D46" s="59"/>
      <c r="E46" s="59"/>
      <c r="F46" s="59"/>
      <c r="G46" s="59"/>
      <c r="H46" s="59"/>
      <c r="I46" s="59"/>
      <c r="J46" s="59"/>
      <c r="K46" s="65" t="s">
        <v>1544</v>
      </c>
      <c r="L46" s="59"/>
      <c r="M46" s="59"/>
      <c r="N46" s="59"/>
      <c r="O46" s="59"/>
      <c r="P46" s="59"/>
      <c r="Q46" s="59"/>
      <c r="R46" s="59"/>
      <c r="S46" s="59"/>
      <c r="T46" s="59"/>
      <c r="U46" s="950" t="s">
        <v>1390</v>
      </c>
      <c r="V46" s="59"/>
      <c r="W46" s="59"/>
      <c r="X46" s="59"/>
      <c r="Y46" s="59"/>
      <c r="Z46" s="59"/>
      <c r="AA46" s="59"/>
      <c r="AB46" s="59"/>
      <c r="AC46" s="59"/>
      <c r="AD46" s="59"/>
      <c r="AE46" s="59"/>
      <c r="AF46" s="59"/>
      <c r="AG46" s="59"/>
      <c r="AH46" s="59"/>
      <c r="AI46" s="59"/>
      <c r="AJ46" s="59"/>
      <c r="AK46" s="59"/>
      <c r="AL46" s="59"/>
      <c r="AM46" s="59"/>
      <c r="AN46" s="59"/>
      <c r="AO46" s="59"/>
      <c r="AP46" s="276"/>
      <c r="AQ46" s="5"/>
      <c r="AR46" s="5"/>
      <c r="AS46" s="5"/>
      <c r="AT46" s="5"/>
      <c r="AU46" s="5"/>
      <c r="AV46" s="5"/>
      <c r="AW46" s="5"/>
      <c r="AX46" s="5"/>
      <c r="AY46" s="5"/>
      <c r="AZ46" s="5"/>
      <c r="BA46" s="5"/>
      <c r="BB46" s="5"/>
      <c r="BC46" s="5"/>
      <c r="BD46" s="5"/>
      <c r="BE46" s="5"/>
    </row>
    <row r="47" spans="1:57" ht="15" customHeight="1">
      <c r="A47" s="59"/>
      <c r="B47" s="1638"/>
      <c r="C47" s="1630"/>
      <c r="D47" s="1630"/>
      <c r="E47" s="1630"/>
      <c r="F47" s="1630"/>
      <c r="G47" s="1630"/>
      <c r="H47" s="1630"/>
      <c r="I47" s="1630"/>
      <c r="J47" s="1631"/>
      <c r="K47" s="1638"/>
      <c r="L47" s="1630"/>
      <c r="M47" s="1630"/>
      <c r="N47" s="1630"/>
      <c r="O47" s="1630"/>
      <c r="P47" s="1630"/>
      <c r="Q47" s="1630"/>
      <c r="R47" s="1630"/>
      <c r="S47" s="1630"/>
      <c r="T47" s="1631"/>
      <c r="U47" s="1632"/>
      <c r="V47" s="1627"/>
      <c r="W47" s="1627"/>
      <c r="X47" s="1627"/>
      <c r="Y47" s="1627"/>
      <c r="Z47" s="1627"/>
      <c r="AA47" s="1627"/>
      <c r="AB47" s="1627"/>
      <c r="AC47" s="1627"/>
      <c r="AD47" s="1627"/>
      <c r="AE47" s="1627"/>
      <c r="AF47" s="1627"/>
      <c r="AG47" s="1627"/>
      <c r="AH47" s="1627"/>
      <c r="AI47" s="1627"/>
      <c r="AJ47" s="1627"/>
      <c r="AK47" s="1627"/>
      <c r="AL47" s="1627"/>
      <c r="AM47" s="1627"/>
      <c r="AN47" s="1628"/>
      <c r="AO47" s="59"/>
      <c r="AP47" s="276"/>
      <c r="AQ47" s="5"/>
      <c r="AR47" s="5"/>
      <c r="AS47" s="5"/>
      <c r="AT47" s="5"/>
      <c r="AU47" s="5"/>
      <c r="AV47" s="5"/>
      <c r="AW47" s="5"/>
      <c r="AX47" s="5"/>
      <c r="AY47" s="5"/>
      <c r="AZ47" s="5"/>
      <c r="BA47" s="5"/>
      <c r="BB47" s="5"/>
      <c r="BC47" s="5"/>
      <c r="BD47" s="5"/>
      <c r="BE47" s="5"/>
    </row>
    <row r="48" spans="1:57" ht="15" customHeight="1">
      <c r="A48" s="59"/>
      <c r="B48" s="612"/>
      <c r="C48" s="612"/>
      <c r="D48" s="612"/>
      <c r="E48" s="612"/>
      <c r="F48" s="612"/>
      <c r="G48" s="612"/>
      <c r="H48" s="612"/>
      <c r="I48" s="612"/>
      <c r="J48" s="612"/>
      <c r="K48" s="612"/>
      <c r="L48" s="612"/>
      <c r="M48" s="612"/>
      <c r="N48" s="612"/>
      <c r="O48" s="612"/>
      <c r="P48" s="612"/>
      <c r="Q48" s="612"/>
      <c r="R48" s="612"/>
      <c r="S48" s="612"/>
      <c r="T48" s="612"/>
      <c r="U48" s="612"/>
      <c r="V48" s="612"/>
      <c r="W48" s="612"/>
      <c r="X48" s="612"/>
      <c r="Y48" s="612"/>
      <c r="Z48" s="612"/>
      <c r="AA48" s="612"/>
      <c r="AB48" s="612"/>
      <c r="AC48" s="612"/>
      <c r="AD48" s="612"/>
      <c r="AE48" s="612"/>
      <c r="AF48" s="612"/>
      <c r="AG48" s="612"/>
      <c r="AH48" s="612"/>
      <c r="AI48" s="612"/>
      <c r="AJ48" s="612"/>
      <c r="AK48" s="612"/>
      <c r="AL48" s="612"/>
      <c r="AM48" s="612"/>
      <c r="AN48" s="612"/>
      <c r="AO48" s="59"/>
      <c r="AP48" s="276"/>
      <c r="AQ48" s="5"/>
      <c r="AR48" s="5"/>
      <c r="AS48" s="5"/>
      <c r="AT48" s="5"/>
      <c r="AU48" s="5"/>
      <c r="AV48" s="5"/>
      <c r="AW48" s="5"/>
      <c r="AX48" s="5"/>
      <c r="AY48" s="5"/>
      <c r="AZ48" s="5"/>
      <c r="BA48" s="5"/>
      <c r="BB48" s="5"/>
      <c r="BC48" s="5"/>
      <c r="BD48" s="5"/>
      <c r="BE48" s="5"/>
    </row>
    <row r="49" spans="1:66" ht="15" customHeight="1">
      <c r="A49" s="59"/>
      <c r="B49" s="913" t="s">
        <v>1211</v>
      </c>
      <c r="C49" s="612"/>
      <c r="D49" s="612"/>
      <c r="E49" s="612"/>
      <c r="F49" s="612"/>
      <c r="G49" s="612"/>
      <c r="H49" s="612"/>
      <c r="I49" s="612"/>
      <c r="J49" s="612"/>
      <c r="K49" s="612"/>
      <c r="L49" s="612"/>
      <c r="M49" s="612"/>
      <c r="N49" s="612"/>
      <c r="O49" s="612"/>
      <c r="P49" s="612"/>
      <c r="Q49" s="612"/>
      <c r="R49" s="612"/>
      <c r="S49" s="612"/>
      <c r="T49" s="612"/>
      <c r="U49" s="612"/>
      <c r="V49" s="612"/>
      <c r="W49" s="612"/>
      <c r="X49" s="612"/>
      <c r="Y49" s="612"/>
      <c r="Z49" s="612"/>
      <c r="AA49" s="612"/>
      <c r="AB49" s="612"/>
      <c r="AC49" s="612"/>
      <c r="AD49" s="612"/>
      <c r="AE49" s="612"/>
      <c r="AF49" s="612"/>
      <c r="AG49" s="612"/>
      <c r="AH49" s="612"/>
      <c r="AI49" s="612"/>
      <c r="AJ49" s="612"/>
      <c r="AK49" s="612"/>
      <c r="AL49" s="612"/>
      <c r="AM49" s="612"/>
      <c r="AN49" s="612"/>
      <c r="AO49" s="59"/>
      <c r="AP49" s="276"/>
      <c r="AQ49" s="5"/>
      <c r="AR49" s="5"/>
      <c r="AS49" s="5"/>
      <c r="AT49" s="5"/>
      <c r="AU49" s="5"/>
      <c r="AV49" s="5"/>
      <c r="AW49" s="5"/>
      <c r="AX49" s="5"/>
      <c r="AY49" s="5"/>
      <c r="AZ49" s="5"/>
      <c r="BA49" s="5"/>
      <c r="BB49" s="5"/>
      <c r="BC49" s="5"/>
      <c r="BD49" s="5"/>
      <c r="BE49" s="5"/>
    </row>
    <row r="50" spans="1:66" ht="15" customHeight="1">
      <c r="A50" s="59"/>
      <c r="B50" s="89" t="s">
        <v>60</v>
      </c>
      <c r="C50" s="59"/>
      <c r="D50" s="66"/>
      <c r="E50" s="59"/>
      <c r="F50" s="59"/>
      <c r="G50" s="59"/>
      <c r="H50" s="59"/>
      <c r="I50" s="59"/>
      <c r="J50" s="59"/>
      <c r="K50" s="59"/>
      <c r="L50" s="59"/>
      <c r="M50" s="59"/>
      <c r="N50" s="59"/>
      <c r="O50" s="59"/>
      <c r="P50" s="59"/>
      <c r="Q50" s="59"/>
      <c r="R50" s="59"/>
      <c r="S50" s="59"/>
      <c r="T50" s="59"/>
      <c r="U50" s="89" t="s">
        <v>58</v>
      </c>
      <c r="V50" s="59"/>
      <c r="W50" s="59"/>
      <c r="X50" s="59"/>
      <c r="Y50" s="59"/>
      <c r="Z50" s="59"/>
      <c r="AA50" s="59"/>
      <c r="AB50" s="59"/>
      <c r="AC50" s="59"/>
      <c r="AD50" s="59"/>
      <c r="AE50" s="59"/>
      <c r="AF50" s="59"/>
      <c r="AG50" s="59"/>
      <c r="AH50" s="59"/>
      <c r="AI50" s="59"/>
      <c r="AJ50" s="59"/>
      <c r="AK50" s="59"/>
      <c r="AL50" s="59"/>
      <c r="AM50" s="59"/>
      <c r="AN50" s="59"/>
      <c r="AO50" s="59"/>
      <c r="AP50" s="276"/>
      <c r="AQ50" s="5"/>
      <c r="AR50" s="5"/>
      <c r="AS50" s="5"/>
      <c r="AT50" s="5"/>
      <c r="AU50" s="5"/>
      <c r="AV50" s="5"/>
      <c r="AW50" s="5"/>
      <c r="AX50" s="5"/>
      <c r="AY50" s="5"/>
      <c r="AZ50" s="5"/>
      <c r="BA50" s="5"/>
      <c r="BB50" s="5"/>
      <c r="BC50" s="5"/>
      <c r="BD50" s="5"/>
      <c r="BE50" s="5"/>
    </row>
    <row r="51" spans="1:66" ht="15" customHeight="1">
      <c r="A51" s="59"/>
      <c r="B51" s="1626"/>
      <c r="C51" s="1627"/>
      <c r="D51" s="1627"/>
      <c r="E51" s="1627"/>
      <c r="F51" s="1627"/>
      <c r="G51" s="1627"/>
      <c r="H51" s="1627"/>
      <c r="I51" s="1627"/>
      <c r="J51" s="1627"/>
      <c r="K51" s="1627"/>
      <c r="L51" s="1627"/>
      <c r="M51" s="1627"/>
      <c r="N51" s="1627"/>
      <c r="O51" s="1627"/>
      <c r="P51" s="1627"/>
      <c r="Q51" s="1627"/>
      <c r="R51" s="1627"/>
      <c r="S51" s="1627"/>
      <c r="T51" s="1628"/>
      <c r="U51" s="1626"/>
      <c r="V51" s="1627"/>
      <c r="W51" s="1627"/>
      <c r="X51" s="1627"/>
      <c r="Y51" s="1627"/>
      <c r="Z51" s="1627"/>
      <c r="AA51" s="1627"/>
      <c r="AB51" s="1627"/>
      <c r="AC51" s="1627"/>
      <c r="AD51" s="1627"/>
      <c r="AE51" s="1627"/>
      <c r="AF51" s="1627"/>
      <c r="AG51" s="1627"/>
      <c r="AH51" s="1627"/>
      <c r="AI51" s="1627"/>
      <c r="AJ51" s="1627"/>
      <c r="AK51" s="1627"/>
      <c r="AL51" s="1627"/>
      <c r="AM51" s="1627"/>
      <c r="AN51" s="1628"/>
      <c r="AO51" s="59"/>
      <c r="AP51" s="276"/>
      <c r="AQ51" s="5"/>
      <c r="AR51" s="5"/>
      <c r="AS51" s="5"/>
      <c r="AT51" s="5"/>
      <c r="AU51" s="5"/>
      <c r="AV51" s="5"/>
      <c r="AW51" s="5"/>
      <c r="AX51" s="5"/>
      <c r="AY51" s="5"/>
      <c r="AZ51" s="5"/>
      <c r="BA51" s="5"/>
      <c r="BB51" s="5"/>
      <c r="BC51" s="5"/>
      <c r="BD51" s="5"/>
      <c r="BE51" s="5"/>
    </row>
    <row r="52" spans="1:66" ht="15" customHeight="1">
      <c r="A52" s="59"/>
      <c r="B52" s="65" t="s">
        <v>1543</v>
      </c>
      <c r="C52" s="59"/>
      <c r="D52" s="59"/>
      <c r="E52" s="59"/>
      <c r="F52" s="59"/>
      <c r="G52" s="59"/>
      <c r="H52" s="59"/>
      <c r="I52" s="59"/>
      <c r="J52" s="59"/>
      <c r="K52" s="65" t="s">
        <v>1544</v>
      </c>
      <c r="L52" s="59"/>
      <c r="M52" s="59"/>
      <c r="N52" s="59"/>
      <c r="O52" s="59"/>
      <c r="P52" s="59"/>
      <c r="Q52" s="59"/>
      <c r="R52" s="59"/>
      <c r="S52" s="59"/>
      <c r="T52" s="59"/>
      <c r="U52" s="89" t="s">
        <v>305</v>
      </c>
      <c r="V52" s="59"/>
      <c r="W52" s="59"/>
      <c r="X52" s="59"/>
      <c r="Y52" s="59"/>
      <c r="Z52" s="59"/>
      <c r="AA52" s="59"/>
      <c r="AB52" s="59"/>
      <c r="AC52" s="59"/>
      <c r="AD52" s="59"/>
      <c r="AE52" s="59"/>
      <c r="AF52" s="59"/>
      <c r="AG52" s="59"/>
      <c r="AH52" s="59"/>
      <c r="AI52" s="59"/>
      <c r="AJ52" s="59"/>
      <c r="AK52" s="59"/>
      <c r="AL52" s="59"/>
      <c r="AM52" s="59"/>
      <c r="AN52" s="59"/>
      <c r="AO52" s="59"/>
      <c r="AP52" s="276"/>
      <c r="AQ52" s="5"/>
      <c r="AR52" s="5"/>
      <c r="AS52" s="5"/>
      <c r="AT52" s="5"/>
      <c r="AU52" s="5"/>
      <c r="AV52" s="5"/>
      <c r="AW52" s="5"/>
      <c r="AX52" s="5"/>
      <c r="AY52" s="5"/>
      <c r="AZ52" s="5"/>
      <c r="BA52" s="5"/>
      <c r="BB52" s="5"/>
      <c r="BC52" s="5"/>
      <c r="BD52" s="5"/>
      <c r="BE52" s="5"/>
    </row>
    <row r="53" spans="1:66" ht="15" customHeight="1">
      <c r="A53" s="59"/>
      <c r="B53" s="1637"/>
      <c r="C53" s="1630"/>
      <c r="D53" s="1630"/>
      <c r="E53" s="1630"/>
      <c r="F53" s="1630"/>
      <c r="G53" s="1630"/>
      <c r="H53" s="1630"/>
      <c r="I53" s="1630"/>
      <c r="J53" s="1631"/>
      <c r="K53" s="1638"/>
      <c r="L53" s="1630"/>
      <c r="M53" s="1630"/>
      <c r="N53" s="1630"/>
      <c r="O53" s="1630"/>
      <c r="P53" s="1630"/>
      <c r="Q53" s="1630"/>
      <c r="R53" s="1630"/>
      <c r="S53" s="1630"/>
      <c r="T53" s="1631"/>
      <c r="U53" s="1632"/>
      <c r="V53" s="1627"/>
      <c r="W53" s="1627"/>
      <c r="X53" s="1627"/>
      <c r="Y53" s="1627"/>
      <c r="Z53" s="1627"/>
      <c r="AA53" s="1627"/>
      <c r="AB53" s="1627"/>
      <c r="AC53" s="1627"/>
      <c r="AD53" s="1627"/>
      <c r="AE53" s="1627"/>
      <c r="AF53" s="1627"/>
      <c r="AG53" s="1627"/>
      <c r="AH53" s="1627"/>
      <c r="AI53" s="1627"/>
      <c r="AJ53" s="1627"/>
      <c r="AK53" s="1627"/>
      <c r="AL53" s="1627"/>
      <c r="AM53" s="1627"/>
      <c r="AN53" s="1628"/>
      <c r="AO53" s="59"/>
      <c r="AP53" s="276"/>
      <c r="AQ53" s="5"/>
      <c r="AR53" s="5"/>
      <c r="AS53" s="5"/>
      <c r="AT53" s="5"/>
      <c r="AU53" s="5"/>
      <c r="AV53" s="5"/>
      <c r="AW53" s="5"/>
      <c r="AX53" s="5"/>
      <c r="AY53" s="5"/>
      <c r="AZ53" s="5"/>
      <c r="BA53" s="5"/>
      <c r="BB53" s="5"/>
      <c r="BC53" s="5"/>
      <c r="BD53" s="5"/>
      <c r="BE53" s="5"/>
    </row>
    <row r="54" spans="1:66" ht="24" customHeight="1">
      <c r="A54" s="59"/>
      <c r="B54" s="914" t="s">
        <v>1275</v>
      </c>
      <c r="C54" s="612"/>
      <c r="D54" s="612"/>
      <c r="E54" s="612"/>
      <c r="F54" s="612"/>
      <c r="G54" s="612"/>
      <c r="H54" s="612"/>
      <c r="I54" s="612"/>
      <c r="J54" s="612"/>
      <c r="K54" s="612"/>
      <c r="L54" s="612"/>
      <c r="M54" s="612"/>
      <c r="N54" s="612"/>
      <c r="O54" s="612"/>
      <c r="P54" s="612"/>
      <c r="Q54" s="612"/>
      <c r="R54" s="612"/>
      <c r="S54" s="612"/>
      <c r="T54" s="612"/>
      <c r="U54" s="612"/>
      <c r="V54" s="612"/>
      <c r="W54" s="612"/>
      <c r="X54" s="612"/>
      <c r="Y54" s="612"/>
      <c r="Z54" s="612"/>
      <c r="AA54" s="612"/>
      <c r="AB54" s="612"/>
      <c r="AC54" s="612"/>
      <c r="AD54" s="612"/>
      <c r="AE54" s="612"/>
      <c r="AF54" s="612"/>
      <c r="AG54" s="612"/>
      <c r="AH54" s="612"/>
      <c r="AI54" s="612"/>
      <c r="AJ54" s="612"/>
      <c r="AK54" s="612"/>
      <c r="AL54" s="612"/>
      <c r="AM54" s="612"/>
      <c r="AN54" s="612"/>
      <c r="AO54" s="59"/>
      <c r="AP54" s="276"/>
      <c r="AQ54" s="5"/>
      <c r="AR54" s="5"/>
      <c r="AS54" s="5"/>
      <c r="AT54" s="5"/>
      <c r="AU54" s="5"/>
      <c r="AV54" s="5"/>
      <c r="AW54" s="5"/>
      <c r="AX54" s="5"/>
      <c r="AY54" s="5"/>
      <c r="AZ54" s="5"/>
      <c r="BA54" s="5"/>
      <c r="BB54" s="5"/>
      <c r="BC54" s="5"/>
      <c r="BD54" s="5"/>
      <c r="BE54" s="5"/>
    </row>
    <row r="55" spans="1:66" ht="60" customHeight="1">
      <c r="A55" s="59"/>
      <c r="B55" s="1675" t="s">
        <v>1500</v>
      </c>
      <c r="C55" s="1675"/>
      <c r="D55" s="1675"/>
      <c r="E55" s="1675"/>
      <c r="F55" s="1675"/>
      <c r="G55" s="1675"/>
      <c r="H55" s="1675"/>
      <c r="I55" s="1675"/>
      <c r="J55" s="1675"/>
      <c r="K55" s="1675"/>
      <c r="L55" s="1675"/>
      <c r="M55" s="1675"/>
      <c r="N55" s="1675"/>
      <c r="O55" s="1675"/>
      <c r="P55" s="1675"/>
      <c r="Q55" s="1675"/>
      <c r="R55" s="1675"/>
      <c r="S55" s="1675"/>
      <c r="T55" s="1675"/>
      <c r="U55" s="1675"/>
      <c r="V55" s="1675"/>
      <c r="W55" s="1675"/>
      <c r="X55" s="1675"/>
      <c r="Y55" s="1675"/>
      <c r="Z55" s="1675"/>
      <c r="AA55" s="1675"/>
      <c r="AB55" s="1675"/>
      <c r="AC55" s="1675"/>
      <c r="AD55" s="1675"/>
      <c r="AE55" s="1675"/>
      <c r="AF55" s="1675"/>
      <c r="AG55" s="1675"/>
      <c r="AH55" s="1675"/>
      <c r="AI55" s="1675"/>
      <c r="AJ55" s="1675"/>
      <c r="AK55" s="1675"/>
      <c r="AL55" s="1675"/>
      <c r="AM55" s="1675"/>
      <c r="AN55" s="1675"/>
      <c r="AO55" s="1675"/>
      <c r="AP55" s="276"/>
      <c r="AQ55" s="5"/>
      <c r="AR55" s="5"/>
      <c r="AS55" s="5"/>
      <c r="AT55" s="5"/>
      <c r="AU55" s="5"/>
      <c r="AV55" s="5"/>
      <c r="AW55" s="5"/>
      <c r="AX55" s="5"/>
      <c r="AY55" s="5"/>
      <c r="AZ55" s="5"/>
      <c r="BA55" s="5"/>
      <c r="BB55" s="5"/>
      <c r="BC55" s="5"/>
      <c r="BD55" s="5"/>
      <c r="BE55" s="5"/>
    </row>
    <row r="56" spans="1:66" ht="36" customHeight="1">
      <c r="A56" s="59"/>
      <c r="B56" s="68" t="s">
        <v>66</v>
      </c>
      <c r="C56" s="67"/>
      <c r="D56" s="67"/>
      <c r="E56" s="67"/>
      <c r="F56" s="67"/>
      <c r="G56" s="67"/>
      <c r="H56" s="67"/>
      <c r="I56" s="67"/>
      <c r="J56" s="67"/>
      <c r="K56" s="1684" t="s">
        <v>1272</v>
      </c>
      <c r="L56" s="1684"/>
      <c r="M56" s="1684"/>
      <c r="N56" s="1684"/>
      <c r="O56" s="1684" t="s">
        <v>1273</v>
      </c>
      <c r="P56" s="1684"/>
      <c r="Q56" s="1684"/>
      <c r="R56" s="1684"/>
      <c r="S56" s="1684" t="s">
        <v>1274</v>
      </c>
      <c r="T56" s="1684"/>
      <c r="U56" s="1684"/>
      <c r="V56" s="1684"/>
      <c r="W56" s="1663" t="s">
        <v>1523</v>
      </c>
      <c r="X56" s="1663"/>
      <c r="Y56" s="1663"/>
      <c r="Z56" s="1663"/>
      <c r="AA56" s="1069"/>
      <c r="AB56" s="1709" t="s">
        <v>1506</v>
      </c>
      <c r="AC56" s="1709"/>
      <c r="AD56" s="1709"/>
      <c r="AE56" s="924"/>
      <c r="AF56" s="1682" t="s">
        <v>1652</v>
      </c>
      <c r="AG56" s="1682"/>
      <c r="AH56" s="1682"/>
      <c r="AI56" s="1682"/>
      <c r="AJ56" s="1682"/>
      <c r="AK56" s="1682"/>
      <c r="AL56" s="1682"/>
      <c r="AM56" s="1682"/>
      <c r="AN56" s="1682"/>
      <c r="AO56" s="1682"/>
      <c r="AP56" s="276"/>
      <c r="AQ56" s="5"/>
      <c r="AR56" s="5"/>
      <c r="AS56" s="5"/>
      <c r="AT56" s="5"/>
      <c r="AU56" s="5"/>
      <c r="AV56" s="5"/>
      <c r="AW56" s="5"/>
      <c r="AX56" s="5"/>
      <c r="AY56" s="5"/>
      <c r="AZ56" s="5"/>
      <c r="BA56" s="5"/>
      <c r="BB56" s="5"/>
      <c r="BC56" s="5"/>
      <c r="BD56" s="5"/>
      <c r="BE56" s="5"/>
    </row>
    <row r="57" spans="1:66" ht="14.65" customHeight="1">
      <c r="A57" s="59"/>
      <c r="B57" s="67"/>
      <c r="C57" s="67"/>
      <c r="D57" s="67"/>
      <c r="E57" s="67"/>
      <c r="F57" s="855" t="s">
        <v>67</v>
      </c>
      <c r="G57" s="849"/>
      <c r="H57" s="849"/>
      <c r="I57" s="849"/>
      <c r="J57" s="850"/>
      <c r="K57" s="1672"/>
      <c r="L57" s="1673"/>
      <c r="M57" s="1673"/>
      <c r="N57" s="1674"/>
      <c r="O57" s="1672"/>
      <c r="P57" s="1673"/>
      <c r="Q57" s="1673"/>
      <c r="R57" s="1674"/>
      <c r="S57" s="1662"/>
      <c r="T57" s="1662"/>
      <c r="U57" s="1662"/>
      <c r="V57" s="1662"/>
      <c r="W57" s="1662"/>
      <c r="X57" s="1662"/>
      <c r="Y57" s="1662"/>
      <c r="Z57" s="1662"/>
      <c r="AA57" s="1070"/>
      <c r="AB57" s="1676"/>
      <c r="AC57" s="1677"/>
      <c r="AD57" s="1678"/>
      <c r="AE57" s="924"/>
      <c r="AF57" s="1682"/>
      <c r="AG57" s="1682"/>
      <c r="AH57" s="1682"/>
      <c r="AI57" s="1682"/>
      <c r="AJ57" s="1682"/>
      <c r="AK57" s="1682"/>
      <c r="AL57" s="1682"/>
      <c r="AM57" s="1682"/>
      <c r="AN57" s="1682"/>
      <c r="AO57" s="1682"/>
      <c r="AP57" s="276"/>
      <c r="AQ57" s="5"/>
      <c r="AR57" s="5"/>
      <c r="AS57" s="5"/>
      <c r="AT57" s="5"/>
      <c r="AU57" s="5"/>
      <c r="AV57" s="5"/>
      <c r="AW57" s="5"/>
      <c r="AX57" s="5"/>
      <c r="AY57" s="5"/>
      <c r="AZ57" s="5"/>
      <c r="BA57" s="5"/>
      <c r="BB57" s="5"/>
      <c r="BC57" s="5"/>
      <c r="BD57" s="5"/>
      <c r="BE57" s="5"/>
    </row>
    <row r="58" spans="1:66" ht="15" customHeight="1">
      <c r="A58" s="59"/>
      <c r="B58" s="68"/>
      <c r="C58" s="67"/>
      <c r="D58" s="67"/>
      <c r="E58" s="67"/>
      <c r="F58" s="855" t="s">
        <v>68</v>
      </c>
      <c r="G58" s="853"/>
      <c r="H58" s="849"/>
      <c r="I58" s="849"/>
      <c r="J58" s="850"/>
      <c r="K58" s="1672"/>
      <c r="L58" s="1673"/>
      <c r="M58" s="1673"/>
      <c r="N58" s="1674"/>
      <c r="O58" s="1672"/>
      <c r="P58" s="1673"/>
      <c r="Q58" s="1673"/>
      <c r="R58" s="1674"/>
      <c r="S58" s="1662"/>
      <c r="T58" s="1662"/>
      <c r="U58" s="1662"/>
      <c r="V58" s="1662"/>
      <c r="W58" s="1662"/>
      <c r="X58" s="1662"/>
      <c r="Y58" s="1662"/>
      <c r="Z58" s="1662"/>
      <c r="AA58" s="1070"/>
      <c r="AB58" s="1679"/>
      <c r="AC58" s="1680"/>
      <c r="AD58" s="1681"/>
      <c r="AE58" s="924"/>
      <c r="AF58" s="1682"/>
      <c r="AG58" s="1682"/>
      <c r="AH58" s="1682"/>
      <c r="AI58" s="1682"/>
      <c r="AJ58" s="1682"/>
      <c r="AK58" s="1682"/>
      <c r="AL58" s="1682"/>
      <c r="AM58" s="1682"/>
      <c r="AN58" s="1682"/>
      <c r="AO58" s="1682"/>
      <c r="AP58" s="276"/>
      <c r="AQ58" s="5"/>
      <c r="AR58" s="5"/>
      <c r="AS58" s="5"/>
      <c r="AV58" s="5"/>
      <c r="AW58" s="5"/>
      <c r="AX58" s="5"/>
      <c r="AY58" s="5"/>
      <c r="AZ58" s="5"/>
      <c r="BA58" s="5"/>
      <c r="BB58" s="5"/>
      <c r="BC58" s="5"/>
      <c r="BD58" s="5"/>
      <c r="BE58" s="5"/>
    </row>
    <row r="59" spans="1:66" ht="16.149999999999999" customHeight="1">
      <c r="A59" s="59"/>
      <c r="B59" s="69"/>
      <c r="C59" s="67"/>
      <c r="D59" s="67"/>
      <c r="E59" s="67"/>
      <c r="F59" s="856" t="s">
        <v>3</v>
      </c>
      <c r="G59" s="897"/>
      <c r="H59" s="898"/>
      <c r="I59" s="849"/>
      <c r="J59" s="850"/>
      <c r="K59" s="1672"/>
      <c r="L59" s="1673"/>
      <c r="M59" s="1673"/>
      <c r="N59" s="1674"/>
      <c r="O59" s="1672"/>
      <c r="P59" s="1673"/>
      <c r="Q59" s="1673"/>
      <c r="R59" s="1674"/>
      <c r="S59" s="1662"/>
      <c r="T59" s="1662"/>
      <c r="U59" s="1662"/>
      <c r="V59" s="1662"/>
      <c r="W59" s="1662"/>
      <c r="X59" s="1662"/>
      <c r="Y59" s="1662"/>
      <c r="Z59" s="1662"/>
      <c r="AA59" s="854"/>
      <c r="AB59" s="854"/>
      <c r="AC59" s="854"/>
      <c r="AD59" s="924"/>
      <c r="AE59" s="924"/>
      <c r="AF59" s="1697"/>
      <c r="AG59" s="1698"/>
      <c r="AH59" s="1698"/>
      <c r="AI59" s="1698"/>
      <c r="AJ59" s="1698"/>
      <c r="AK59" s="1698"/>
      <c r="AL59" s="1698"/>
      <c r="AM59" s="1698"/>
      <c r="AN59" s="1698"/>
      <c r="AO59" s="1699"/>
      <c r="AP59" s="276"/>
      <c r="AQ59" s="5"/>
      <c r="AR59" s="5"/>
      <c r="AS59" s="5"/>
      <c r="AV59" s="5"/>
      <c r="AW59" s="5"/>
      <c r="AX59" s="5"/>
      <c r="AY59" s="5"/>
      <c r="AZ59" s="5"/>
      <c r="BA59" s="5"/>
      <c r="BB59" s="5"/>
      <c r="BC59" s="5"/>
      <c r="BD59" s="5"/>
      <c r="BE59" s="5"/>
    </row>
    <row r="60" spans="1:66" ht="15.75" customHeight="1">
      <c r="A60" s="59"/>
      <c r="B60" s="69"/>
      <c r="C60" s="67"/>
      <c r="D60" s="67"/>
      <c r="E60" s="67"/>
      <c r="F60" s="855" t="s">
        <v>4</v>
      </c>
      <c r="G60" s="897"/>
      <c r="H60" s="898"/>
      <c r="I60" s="849"/>
      <c r="J60" s="850"/>
      <c r="K60" s="1672"/>
      <c r="L60" s="1673"/>
      <c r="M60" s="1673"/>
      <c r="N60" s="1674"/>
      <c r="O60" s="1672"/>
      <c r="P60" s="1673"/>
      <c r="Q60" s="1673"/>
      <c r="R60" s="1674"/>
      <c r="S60" s="1662"/>
      <c r="T60" s="1662"/>
      <c r="U60" s="1662"/>
      <c r="V60" s="1662"/>
      <c r="W60" s="1662"/>
      <c r="X60" s="1662"/>
      <c r="Y60" s="1662"/>
      <c r="Z60" s="1662"/>
      <c r="AA60" s="67"/>
      <c r="AB60" s="67"/>
      <c r="AC60" s="67"/>
      <c r="AD60" s="924"/>
      <c r="AE60" s="924"/>
      <c r="AF60" s="1700"/>
      <c r="AG60" s="1701"/>
      <c r="AH60" s="1701"/>
      <c r="AI60" s="1701"/>
      <c r="AJ60" s="1701"/>
      <c r="AK60" s="1701"/>
      <c r="AL60" s="1701"/>
      <c r="AM60" s="1701"/>
      <c r="AN60" s="1701"/>
      <c r="AO60" s="1702"/>
      <c r="AP60" s="276"/>
      <c r="AQ60" s="5"/>
      <c r="AR60" s="5"/>
      <c r="AS60" s="5"/>
      <c r="AV60" s="5"/>
      <c r="AW60" s="5"/>
      <c r="AX60" s="5"/>
      <c r="AY60" s="5"/>
      <c r="AZ60" s="5"/>
      <c r="BA60" s="5"/>
      <c r="BB60" s="5"/>
      <c r="BC60" s="5"/>
      <c r="BD60" s="5"/>
      <c r="BE60" s="5"/>
    </row>
    <row r="61" spans="1:66" ht="15" customHeight="1">
      <c r="A61" s="59"/>
      <c r="B61" s="69"/>
      <c r="C61" s="67"/>
      <c r="D61" s="67"/>
      <c r="E61" s="67"/>
      <c r="F61" s="856" t="s">
        <v>5</v>
      </c>
      <c r="G61" s="897"/>
      <c r="H61" s="898"/>
      <c r="I61" s="849"/>
      <c r="J61" s="850"/>
      <c r="K61" s="1672"/>
      <c r="L61" s="1673"/>
      <c r="M61" s="1673"/>
      <c r="N61" s="1674"/>
      <c r="O61" s="1672"/>
      <c r="P61" s="1673"/>
      <c r="Q61" s="1673"/>
      <c r="R61" s="1674"/>
      <c r="S61" s="1662"/>
      <c r="T61" s="1662"/>
      <c r="U61" s="1662"/>
      <c r="V61" s="1662"/>
      <c r="W61" s="1662"/>
      <c r="X61" s="1662"/>
      <c r="Y61" s="1662"/>
      <c r="Z61" s="1662"/>
      <c r="AA61" s="854"/>
      <c r="AB61" s="854"/>
      <c r="AC61" s="854"/>
      <c r="AD61" s="924"/>
      <c r="AE61" s="924"/>
      <c r="AF61" s="1700"/>
      <c r="AG61" s="1701"/>
      <c r="AH61" s="1701"/>
      <c r="AI61" s="1701"/>
      <c r="AJ61" s="1701"/>
      <c r="AK61" s="1701"/>
      <c r="AL61" s="1701"/>
      <c r="AM61" s="1701"/>
      <c r="AN61" s="1701"/>
      <c r="AO61" s="1702"/>
      <c r="AP61" s="276"/>
      <c r="AQ61" s="5"/>
      <c r="AR61" s="5"/>
      <c r="AS61" s="5"/>
      <c r="AT61" s="5"/>
      <c r="AU61" s="5"/>
      <c r="AV61" s="5"/>
      <c r="AW61" s="5"/>
      <c r="AX61" s="5"/>
      <c r="AY61" s="5"/>
      <c r="AZ61" s="5"/>
      <c r="BA61" s="5"/>
      <c r="BB61" s="5"/>
      <c r="BC61" s="1683"/>
      <c r="BD61" s="1683"/>
      <c r="BE61" s="1683"/>
      <c r="BF61" s="1683"/>
      <c r="BG61" s="1683"/>
      <c r="BH61" s="1683"/>
      <c r="BI61" s="1683"/>
      <c r="BJ61" s="1683"/>
      <c r="BK61" s="1683"/>
      <c r="BL61" s="1683"/>
      <c r="BM61" s="1683"/>
      <c r="BN61" s="1683"/>
    </row>
    <row r="62" spans="1:66" ht="15" customHeight="1">
      <c r="A62" s="59"/>
      <c r="B62" s="69"/>
      <c r="C62" s="67"/>
      <c r="D62" s="67"/>
      <c r="E62" s="67"/>
      <c r="F62" s="856" t="s">
        <v>6</v>
      </c>
      <c r="G62" s="897"/>
      <c r="H62" s="898"/>
      <c r="I62" s="849"/>
      <c r="J62" s="850"/>
      <c r="K62" s="1672"/>
      <c r="L62" s="1673"/>
      <c r="M62" s="1673"/>
      <c r="N62" s="1674"/>
      <c r="O62" s="1672"/>
      <c r="P62" s="1673"/>
      <c r="Q62" s="1673"/>
      <c r="R62" s="1674"/>
      <c r="S62" s="1662"/>
      <c r="T62" s="1662"/>
      <c r="U62" s="1662"/>
      <c r="V62" s="1662"/>
      <c r="W62" s="1662"/>
      <c r="X62" s="1662"/>
      <c r="Y62" s="1662"/>
      <c r="Z62" s="1662"/>
      <c r="AA62" s="752"/>
      <c r="AB62" s="59"/>
      <c r="AC62" s="59"/>
      <c r="AD62" s="924"/>
      <c r="AE62" s="924"/>
      <c r="AF62" s="1700"/>
      <c r="AG62" s="1701"/>
      <c r="AH62" s="1701"/>
      <c r="AI62" s="1701"/>
      <c r="AJ62" s="1701"/>
      <c r="AK62" s="1701"/>
      <c r="AL62" s="1701"/>
      <c r="AM62" s="1701"/>
      <c r="AN62" s="1701"/>
      <c r="AO62" s="1702"/>
      <c r="AP62" s="276"/>
      <c r="AQ62" s="5"/>
      <c r="AR62" s="5"/>
      <c r="AS62" s="5"/>
      <c r="AT62" s="5"/>
      <c r="AU62" s="5"/>
      <c r="AV62" s="5"/>
      <c r="AW62" s="5"/>
      <c r="AX62" s="5"/>
      <c r="AY62" s="5"/>
      <c r="AZ62" s="5"/>
      <c r="BA62" s="5"/>
      <c r="BB62" s="5"/>
      <c r="BC62" s="1683"/>
      <c r="BD62" s="1683"/>
      <c r="BE62" s="1683"/>
      <c r="BF62" s="1683"/>
      <c r="BG62" s="1683"/>
      <c r="BH62" s="1683"/>
      <c r="BI62" s="1683"/>
      <c r="BJ62" s="1683"/>
      <c r="BK62" s="1683"/>
      <c r="BL62" s="1683"/>
      <c r="BM62" s="1683"/>
      <c r="BN62" s="1683"/>
    </row>
    <row r="63" spans="1:66" ht="15" customHeight="1">
      <c r="A63" s="59"/>
      <c r="B63" s="70"/>
      <c r="C63" s="67"/>
      <c r="D63" s="67"/>
      <c r="E63" s="67"/>
      <c r="F63" s="857" t="s">
        <v>2</v>
      </c>
      <c r="G63" s="851"/>
      <c r="H63" s="851"/>
      <c r="I63" s="851"/>
      <c r="J63" s="852"/>
      <c r="K63" s="1672"/>
      <c r="L63" s="1673"/>
      <c r="M63" s="1673"/>
      <c r="N63" s="1674"/>
      <c r="O63" s="1672"/>
      <c r="P63" s="1673"/>
      <c r="Q63" s="1673"/>
      <c r="R63" s="1674"/>
      <c r="S63" s="1662"/>
      <c r="T63" s="1662"/>
      <c r="U63" s="1662"/>
      <c r="V63" s="1662"/>
      <c r="W63" s="1662"/>
      <c r="X63" s="1662"/>
      <c r="Y63" s="1662"/>
      <c r="Z63" s="1662"/>
      <c r="AA63" s="854"/>
      <c r="AB63" s="854"/>
      <c r="AC63" s="854"/>
      <c r="AD63" s="924"/>
      <c r="AE63" s="924"/>
      <c r="AF63" s="1703"/>
      <c r="AG63" s="1704"/>
      <c r="AH63" s="1704"/>
      <c r="AI63" s="1704"/>
      <c r="AJ63" s="1704"/>
      <c r="AK63" s="1704"/>
      <c r="AL63" s="1704"/>
      <c r="AM63" s="1704"/>
      <c r="AN63" s="1704"/>
      <c r="AO63" s="1705"/>
      <c r="AP63" s="276"/>
      <c r="AQ63" s="5"/>
      <c r="AR63" s="5"/>
      <c r="AS63" s="5"/>
      <c r="AT63" s="5"/>
      <c r="AU63" s="5"/>
      <c r="AV63" s="5"/>
      <c r="AW63" s="5"/>
      <c r="AX63" s="5"/>
      <c r="AY63" s="5"/>
      <c r="AZ63" s="5"/>
      <c r="BA63" s="5"/>
      <c r="BB63" s="5"/>
      <c r="BC63" s="1683"/>
      <c r="BD63" s="1683"/>
      <c r="BE63" s="1683"/>
      <c r="BF63" s="1683"/>
      <c r="BG63" s="1683"/>
      <c r="BH63" s="1683"/>
      <c r="BI63" s="1683"/>
      <c r="BJ63" s="1683"/>
      <c r="BK63" s="1683"/>
      <c r="BL63" s="1683"/>
      <c r="BM63" s="1683"/>
      <c r="BN63" s="1683"/>
    </row>
    <row r="64" spans="1:66" ht="20.65" customHeight="1">
      <c r="A64" s="1051"/>
      <c r="B64" s="59"/>
      <c r="C64" s="59"/>
      <c r="D64" s="59"/>
      <c r="E64" s="59"/>
      <c r="F64" s="858" t="s">
        <v>1208</v>
      </c>
      <c r="G64" s="114"/>
      <c r="H64" s="114"/>
      <c r="I64" s="114"/>
      <c r="J64" s="114"/>
      <c r="K64" s="1689" cm="1">
        <f t="array" ref="K64">IF(SUM(K57:N63)*52.14&gt;8760,8760,SUM(K57:N63*52.14))</f>
        <v>0</v>
      </c>
      <c r="L64" s="1689"/>
      <c r="M64" s="1689"/>
      <c r="N64" s="1689"/>
      <c r="O64" s="1689" cm="1">
        <f t="array" ref="O64">IF(SUM(O57:R63)*52.14&gt;8760,8760,SUM(O57:R63*52.14))</f>
        <v>0</v>
      </c>
      <c r="P64" s="1689"/>
      <c r="Q64" s="1689"/>
      <c r="R64" s="1689"/>
      <c r="S64" s="1689" cm="1">
        <f t="array" ref="S64">IF(SUM(S57:V63)*52.14&gt;8760,8760,SUM(S57:V63*52.14))</f>
        <v>0</v>
      </c>
      <c r="T64" s="1689"/>
      <c r="U64" s="1689"/>
      <c r="V64" s="1689"/>
      <c r="W64" s="1689" cm="1">
        <f t="array" ref="W64">IF(SUM(W57:Z63)*52.14&gt;8760,8760,SUM(W57:Z63*52.14))</f>
        <v>0</v>
      </c>
      <c r="X64" s="1689"/>
      <c r="Y64" s="1689"/>
      <c r="Z64" s="1689"/>
      <c r="AA64" s="1049"/>
      <c r="AB64" s="59"/>
      <c r="AC64" s="59"/>
      <c r="AD64" s="924"/>
      <c r="AE64" s="924"/>
      <c r="AF64" s="924"/>
      <c r="AG64" s="924"/>
      <c r="AH64" s="924"/>
      <c r="AI64" s="924"/>
      <c r="AJ64" s="924"/>
      <c r="AK64" s="924"/>
      <c r="AL64" s="924"/>
      <c r="AM64" s="924"/>
      <c r="AN64" s="924"/>
      <c r="AO64" s="924"/>
      <c r="AP64" s="280"/>
      <c r="AQ64" s="908"/>
      <c r="AR64" s="908"/>
      <c r="AS64" s="908"/>
      <c r="AT64" s="908"/>
      <c r="AU64" s="908"/>
      <c r="AV64" s="908"/>
      <c r="AW64" s="5"/>
      <c r="AX64" s="908"/>
      <c r="AY64" s="908"/>
      <c r="AZ64" s="908"/>
      <c r="BA64" s="908"/>
      <c r="BB64" s="908"/>
      <c r="BC64" s="1683"/>
      <c r="BD64" s="1683"/>
      <c r="BE64" s="1683"/>
      <c r="BF64" s="1683"/>
      <c r="BG64" s="1683"/>
      <c r="BH64" s="1683"/>
      <c r="BI64" s="1683"/>
      <c r="BJ64" s="1683"/>
      <c r="BK64" s="1683"/>
      <c r="BL64" s="1683"/>
      <c r="BM64" s="1683"/>
      <c r="BN64" s="1683"/>
    </row>
    <row r="65" spans="1:58" ht="16.5" customHeight="1">
      <c r="A65" s="59"/>
      <c r="B65" s="1686" t="s">
        <v>181</v>
      </c>
      <c r="C65" s="1687"/>
      <c r="D65" s="1687"/>
      <c r="E65" s="1687"/>
      <c r="F65" s="1687"/>
      <c r="G65" s="1687"/>
      <c r="H65" s="1687"/>
      <c r="I65" s="1687"/>
      <c r="J65" s="1687"/>
      <c r="K65" s="1687"/>
      <c r="L65" s="1687"/>
      <c r="M65" s="1688"/>
      <c r="N65" s="59"/>
      <c r="O65" s="59"/>
      <c r="P65" s="59"/>
      <c r="Q65" s="59"/>
      <c r="R65" s="59"/>
      <c r="S65" s="59"/>
      <c r="T65" s="174"/>
      <c r="U65" s="924"/>
      <c r="V65" s="924"/>
      <c r="W65" s="1071" t="s">
        <v>0</v>
      </c>
      <c r="X65" s="1071"/>
      <c r="Y65" s="1071"/>
      <c r="Z65" s="1071"/>
      <c r="AA65" s="924"/>
      <c r="AB65" s="924"/>
      <c r="AC65" s="924"/>
      <c r="AD65" s="924"/>
      <c r="AE65" s="924"/>
      <c r="AF65" s="1693" t="s">
        <v>1519</v>
      </c>
      <c r="AG65" s="1693"/>
      <c r="AH65" s="1693"/>
      <c r="AI65" s="1693"/>
      <c r="AJ65" s="924"/>
      <c r="AK65" s="924"/>
      <c r="AL65" s="924"/>
      <c r="AM65" s="924"/>
      <c r="AN65" s="924"/>
      <c r="AO65" s="924"/>
      <c r="AP65" s="280"/>
      <c r="AQ65" s="908"/>
      <c r="AR65" s="908"/>
      <c r="AS65" s="908"/>
      <c r="AT65" s="908"/>
      <c r="AU65" s="908"/>
      <c r="AV65" s="908"/>
      <c r="AW65" s="908"/>
      <c r="AX65" s="908"/>
      <c r="AY65" s="908"/>
      <c r="AZ65" s="908"/>
      <c r="BA65" s="908"/>
      <c r="BB65" s="908"/>
      <c r="BC65" s="908"/>
      <c r="BD65" s="5"/>
      <c r="BE65" s="5"/>
    </row>
    <row r="66" spans="1:58" ht="15" customHeight="1">
      <c r="A66" s="59"/>
      <c r="B66" s="664" t="s">
        <v>276</v>
      </c>
      <c r="C66" s="665"/>
      <c r="D66" s="665"/>
      <c r="E66" s="666"/>
      <c r="F66" s="1667"/>
      <c r="G66" s="1668"/>
      <c r="H66" s="1668"/>
      <c r="I66" s="1668"/>
      <c r="J66" s="1668"/>
      <c r="K66" s="1668"/>
      <c r="L66" s="1668"/>
      <c r="M66" s="1669"/>
      <c r="N66" s="59"/>
      <c r="O66" s="59"/>
      <c r="P66" s="59"/>
      <c r="Q66" s="59"/>
      <c r="R66" s="59"/>
      <c r="S66" s="59"/>
      <c r="T66" s="402"/>
      <c r="U66" s="924"/>
      <c r="V66" s="924"/>
      <c r="W66" s="1071"/>
      <c r="X66" s="1071"/>
      <c r="Y66" s="1071"/>
      <c r="Z66" s="1071"/>
      <c r="AA66" s="924"/>
      <c r="AB66" s="924"/>
      <c r="AC66" s="924"/>
      <c r="AD66" s="1072"/>
      <c r="AE66" s="1072"/>
      <c r="AF66" s="1694" t="s">
        <v>1520</v>
      </c>
      <c r="AG66" s="1695"/>
      <c r="AH66" s="1695"/>
      <c r="AI66" s="1695"/>
      <c r="AJ66" s="1695"/>
      <c r="AK66" s="1695"/>
      <c r="AL66" s="1695"/>
      <c r="AM66" s="1695"/>
      <c r="AN66" s="1695"/>
      <c r="AO66" s="1696"/>
      <c r="AP66" s="280"/>
      <c r="AQ66" s="908"/>
      <c r="AR66" s="908"/>
      <c r="AS66" s="908"/>
      <c r="AT66" s="908"/>
      <c r="AU66" s="908"/>
      <c r="AV66" s="908"/>
      <c r="AW66" s="908"/>
      <c r="AX66" s="908"/>
      <c r="AY66" s="908"/>
      <c r="AZ66" s="908"/>
      <c r="BA66" s="908"/>
      <c r="BB66" s="908"/>
      <c r="BC66" s="908"/>
      <c r="BD66" s="5" t="s">
        <v>0</v>
      </c>
      <c r="BE66" s="5"/>
    </row>
    <row r="67" spans="1:58" ht="15" customHeight="1">
      <c r="A67" s="59"/>
      <c r="B67" s="664" t="s">
        <v>182</v>
      </c>
      <c r="C67" s="665"/>
      <c r="D67" s="665"/>
      <c r="E67" s="666"/>
      <c r="F67" s="1685"/>
      <c r="G67" s="1668"/>
      <c r="H67" s="1668"/>
      <c r="I67" s="1668"/>
      <c r="J67" s="1668"/>
      <c r="K67" s="1668"/>
      <c r="L67" s="1668"/>
      <c r="M67" s="1669"/>
      <c r="N67" s="59"/>
      <c r="O67" s="59"/>
      <c r="P67" s="59"/>
      <c r="Q67" s="59"/>
      <c r="R67" s="59"/>
      <c r="S67" s="59"/>
      <c r="T67" s="59"/>
      <c r="U67" s="924"/>
      <c r="V67" s="924"/>
      <c r="W67" s="924"/>
      <c r="X67" s="924"/>
      <c r="Y67" s="940"/>
      <c r="Z67" s="940"/>
      <c r="AA67" s="940"/>
      <c r="AB67" s="940"/>
      <c r="AC67" s="940"/>
      <c r="AD67" s="1072"/>
      <c r="AE67" s="1072"/>
      <c r="AF67" s="1706" t="s">
        <v>1521</v>
      </c>
      <c r="AG67" s="1707"/>
      <c r="AH67" s="1707"/>
      <c r="AI67" s="1707"/>
      <c r="AJ67" s="1707"/>
      <c r="AK67" s="1707"/>
      <c r="AL67" s="1707"/>
      <c r="AM67" s="1707"/>
      <c r="AN67" s="1707"/>
      <c r="AO67" s="1708"/>
      <c r="AP67" s="276"/>
      <c r="AQ67" s="5"/>
      <c r="AR67" s="5"/>
      <c r="AS67" s="5"/>
      <c r="AT67" s="5"/>
      <c r="AU67" s="5"/>
      <c r="AV67" s="5"/>
      <c r="AW67" s="908"/>
      <c r="AX67" s="5"/>
      <c r="AY67" s="5"/>
      <c r="AZ67" s="5"/>
      <c r="BA67" s="5"/>
      <c r="BB67" s="5"/>
      <c r="BC67" s="908"/>
      <c r="BD67" s="5"/>
      <c r="BE67" s="5"/>
    </row>
    <row r="68" spans="1:58" ht="15" customHeight="1">
      <c r="A68" s="59"/>
      <c r="B68" s="664" t="s">
        <v>241</v>
      </c>
      <c r="C68" s="665"/>
      <c r="D68" s="665"/>
      <c r="E68" s="666"/>
      <c r="F68" s="1667"/>
      <c r="G68" s="1668"/>
      <c r="H68" s="1668"/>
      <c r="I68" s="1668"/>
      <c r="J68" s="1668"/>
      <c r="K68" s="1668"/>
      <c r="L68" s="1668"/>
      <c r="M68" s="1669"/>
      <c r="N68" s="59"/>
      <c r="O68" s="59"/>
      <c r="P68" s="59"/>
      <c r="Q68" s="59"/>
      <c r="R68" s="59"/>
      <c r="S68" s="59"/>
      <c r="T68" s="59"/>
      <c r="U68" s="924"/>
      <c r="V68" s="924"/>
      <c r="W68" s="924"/>
      <c r="X68" s="924"/>
      <c r="Y68" s="940"/>
      <c r="Z68" s="940"/>
      <c r="AA68" s="940"/>
      <c r="AB68" s="940"/>
      <c r="AC68" s="940"/>
      <c r="AD68" s="1072"/>
      <c r="AE68" s="1072"/>
      <c r="AF68" s="1706" t="s">
        <v>1410</v>
      </c>
      <c r="AG68" s="1707"/>
      <c r="AH68" s="1707"/>
      <c r="AI68" s="1707"/>
      <c r="AJ68" s="1707"/>
      <c r="AK68" s="1707"/>
      <c r="AL68" s="1707"/>
      <c r="AM68" s="1707"/>
      <c r="AN68" s="1707"/>
      <c r="AO68" s="1708"/>
      <c r="AP68" s="276"/>
      <c r="AQ68" s="5"/>
      <c r="AR68" s="5"/>
      <c r="AS68" s="5"/>
      <c r="AT68" s="5"/>
      <c r="AU68" s="5"/>
      <c r="AV68" s="5"/>
      <c r="AW68" s="5"/>
      <c r="AX68" s="5"/>
      <c r="AY68" s="5"/>
      <c r="AZ68" s="5"/>
      <c r="BA68" s="5"/>
      <c r="BB68" s="5"/>
      <c r="BC68" s="5"/>
      <c r="BD68" s="5"/>
      <c r="BE68" s="5"/>
    </row>
    <row r="69" spans="1:58" ht="15" customHeight="1">
      <c r="A69" s="59"/>
      <c r="B69" s="664" t="s">
        <v>277</v>
      </c>
      <c r="C69" s="665"/>
      <c r="D69" s="665"/>
      <c r="E69" s="666"/>
      <c r="F69" s="1667"/>
      <c r="G69" s="1668"/>
      <c r="H69" s="1668"/>
      <c r="I69" s="1668"/>
      <c r="J69" s="1668"/>
      <c r="K69" s="1668"/>
      <c r="L69" s="1668"/>
      <c r="M69" s="1669"/>
      <c r="N69" s="59"/>
      <c r="O69" s="59"/>
      <c r="P69" s="59"/>
      <c r="Q69" s="59"/>
      <c r="R69" s="59"/>
      <c r="S69" s="59"/>
      <c r="T69" s="59"/>
      <c r="U69" s="924"/>
      <c r="V69" s="924"/>
      <c r="W69" s="924"/>
      <c r="X69" s="924"/>
      <c r="Y69" s="940"/>
      <c r="Z69" s="940"/>
      <c r="AA69" s="940"/>
      <c r="AB69" s="940"/>
      <c r="AC69" s="940"/>
      <c r="AD69" s="1072"/>
      <c r="AE69" s="1072"/>
      <c r="AF69" s="1706" t="s">
        <v>1411</v>
      </c>
      <c r="AG69" s="1707"/>
      <c r="AH69" s="1707"/>
      <c r="AI69" s="1707"/>
      <c r="AJ69" s="1707"/>
      <c r="AK69" s="1707"/>
      <c r="AL69" s="1707"/>
      <c r="AM69" s="1707"/>
      <c r="AN69" s="1707"/>
      <c r="AO69" s="1708"/>
      <c r="AP69" s="276"/>
      <c r="AQ69" s="5"/>
      <c r="AR69" s="5"/>
      <c r="AS69" s="5"/>
      <c r="AT69" s="5"/>
      <c r="AU69" s="5"/>
      <c r="AV69" s="5"/>
      <c r="AW69" s="5"/>
      <c r="AX69" s="5"/>
      <c r="AY69" s="5"/>
      <c r="AZ69" s="5"/>
      <c r="BA69" s="5"/>
      <c r="BB69" s="5"/>
      <c r="BC69" s="5"/>
      <c r="BD69" s="5"/>
      <c r="BE69" s="5"/>
    </row>
    <row r="70" spans="1:58" ht="15" customHeight="1">
      <c r="A70" s="59"/>
      <c r="B70" s="664" t="s">
        <v>274</v>
      </c>
      <c r="C70" s="665"/>
      <c r="D70" s="665"/>
      <c r="E70" s="666"/>
      <c r="F70" s="1667"/>
      <c r="G70" s="1668"/>
      <c r="H70" s="1668"/>
      <c r="I70" s="1668"/>
      <c r="J70" s="1668"/>
      <c r="K70" s="1668"/>
      <c r="L70" s="1668"/>
      <c r="M70" s="1669"/>
      <c r="N70" s="59"/>
      <c r="O70" s="59"/>
      <c r="P70" s="59"/>
      <c r="Q70" s="59"/>
      <c r="R70" s="59"/>
      <c r="S70" s="59"/>
      <c r="T70" s="59"/>
      <c r="U70" s="924"/>
      <c r="V70" s="924"/>
      <c r="W70" s="924"/>
      <c r="X70" s="924"/>
      <c r="Y70" s="940"/>
      <c r="Z70" s="940"/>
      <c r="AA70" s="940"/>
      <c r="AB70" s="940"/>
      <c r="AC70" s="940"/>
      <c r="AD70" s="1072"/>
      <c r="AE70" s="1072"/>
      <c r="AF70" s="1690" t="s">
        <v>1447</v>
      </c>
      <c r="AG70" s="1691"/>
      <c r="AH70" s="1691"/>
      <c r="AI70" s="1691"/>
      <c r="AJ70" s="1691"/>
      <c r="AK70" s="1691"/>
      <c r="AL70" s="1691"/>
      <c r="AM70" s="1691"/>
      <c r="AN70" s="1691"/>
      <c r="AO70" s="1692"/>
      <c r="AP70" s="276"/>
      <c r="AQ70" s="5"/>
      <c r="AR70" s="5"/>
      <c r="AS70" s="5"/>
      <c r="AT70" s="5"/>
      <c r="AU70" s="5"/>
      <c r="AV70" s="5"/>
      <c r="AW70" s="5"/>
      <c r="AX70" s="5"/>
      <c r="AY70" s="5"/>
      <c r="AZ70" s="5"/>
      <c r="BA70" s="5"/>
      <c r="BB70" s="5"/>
      <c r="BC70" s="5"/>
      <c r="BD70" s="5"/>
      <c r="BE70" s="5"/>
    </row>
    <row r="71" spans="1:58" ht="16.899999999999999" customHeight="1">
      <c r="A71" s="59"/>
      <c r="B71" s="664" t="s">
        <v>275</v>
      </c>
      <c r="C71" s="665"/>
      <c r="D71" s="665"/>
      <c r="E71" s="666"/>
      <c r="F71" s="1667"/>
      <c r="G71" s="1668"/>
      <c r="H71" s="1668"/>
      <c r="I71" s="1668"/>
      <c r="J71" s="1668"/>
      <c r="K71" s="1668"/>
      <c r="L71" s="1668"/>
      <c r="M71" s="1669"/>
      <c r="N71" s="59"/>
      <c r="O71" s="59"/>
      <c r="P71" s="59"/>
      <c r="Q71" s="59"/>
      <c r="R71" s="59"/>
      <c r="S71" s="59"/>
      <c r="T71" s="1670">
        <f>'Sign &amp; Case Lighting'!A60</f>
        <v>45174</v>
      </c>
      <c r="U71" s="1671"/>
      <c r="V71" s="1671"/>
      <c r="W71" s="1671"/>
      <c r="X71" s="1671"/>
      <c r="Y71" s="1671"/>
      <c r="Z71" s="1671"/>
      <c r="AA71" s="1671"/>
      <c r="AB71" s="1671"/>
      <c r="AC71" s="1671"/>
      <c r="AD71" s="1671"/>
      <c r="AE71" s="1671"/>
      <c r="AF71" s="1671"/>
      <c r="AG71" s="1671"/>
      <c r="AH71" s="1671"/>
      <c r="AI71" s="1671"/>
      <c r="AJ71" s="1671"/>
      <c r="AK71" s="1671"/>
      <c r="AL71" s="1671"/>
      <c r="AM71" s="1671"/>
      <c r="AN71" s="1671"/>
      <c r="AO71" s="1671"/>
      <c r="AP71" s="276"/>
      <c r="AQ71" s="5"/>
      <c r="AR71" s="5"/>
      <c r="AS71" s="5"/>
      <c r="AT71" s="5"/>
      <c r="AU71" s="5"/>
      <c r="AV71" s="5"/>
      <c r="AW71" s="5"/>
      <c r="AX71" s="5"/>
      <c r="AY71" s="5"/>
      <c r="AZ71" s="5"/>
      <c r="BA71" s="5"/>
      <c r="BB71" s="5"/>
      <c r="BC71" s="5"/>
      <c r="BD71" s="5"/>
      <c r="BE71" s="5"/>
    </row>
    <row r="72" spans="1:58" ht="15" customHeight="1">
      <c r="A72" s="5"/>
      <c r="N72" s="5"/>
      <c r="O72" s="5"/>
      <c r="P72" s="5"/>
      <c r="Q72" s="5"/>
      <c r="R72" s="5"/>
      <c r="S72" s="5"/>
      <c r="AP72" s="276"/>
      <c r="AQ72" s="5"/>
      <c r="AR72" s="5"/>
      <c r="AS72" s="5"/>
      <c r="AT72" s="5"/>
      <c r="AU72" s="5"/>
      <c r="AV72" s="5"/>
      <c r="AW72" s="5"/>
      <c r="AX72" s="5"/>
      <c r="AY72" s="5"/>
      <c r="AZ72" s="5"/>
      <c r="BA72" s="5"/>
      <c r="BB72" s="5"/>
      <c r="BC72" s="5"/>
      <c r="BD72" s="5"/>
      <c r="BE72" s="5"/>
    </row>
    <row r="73" spans="1:58" ht="16.5" customHeight="1">
      <c r="A73" s="909"/>
      <c r="B73" s="909"/>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635"/>
      <c r="AQ73" s="909"/>
      <c r="AR73" s="909"/>
      <c r="AS73" s="909"/>
      <c r="AT73" s="909"/>
      <c r="AU73" s="909"/>
      <c r="AV73" s="909"/>
      <c r="AW73" s="5"/>
      <c r="AX73" s="909"/>
      <c r="AY73" s="909"/>
      <c r="AZ73" s="909"/>
      <c r="BA73" s="909"/>
      <c r="BB73" s="909"/>
      <c r="BC73" s="5"/>
      <c r="BD73" s="909"/>
      <c r="BE73" s="909"/>
      <c r="BF73" s="910"/>
    </row>
    <row r="74" spans="1:58" ht="17.25" hidden="1" customHeight="1">
      <c r="A74" s="909">
        <f>SUM(G59+G60+G61+G62+O59+O60+O61)</f>
        <v>0</v>
      </c>
      <c r="C74" s="909">
        <f>IF(AF23="ID",1,IF(AF23="OR",2,0))</f>
        <v>0</v>
      </c>
      <c r="D74" s="909"/>
      <c r="E74" s="909"/>
      <c r="F74" s="909"/>
      <c r="G74" s="909"/>
      <c r="H74" s="909"/>
      <c r="I74" s="909"/>
      <c r="J74" s="909"/>
      <c r="K74" s="909"/>
      <c r="L74" s="909"/>
      <c r="M74" s="909"/>
      <c r="N74" s="909"/>
      <c r="O74" s="909"/>
      <c r="P74" s="909"/>
      <c r="Q74" s="909"/>
      <c r="R74" s="909"/>
      <c r="S74" s="909"/>
      <c r="T74" s="909"/>
      <c r="U74" s="909"/>
      <c r="V74" s="909"/>
      <c r="W74" s="909"/>
      <c r="X74" s="909"/>
      <c r="Y74" s="909"/>
      <c r="Z74" s="909"/>
      <c r="AA74" s="909"/>
      <c r="AB74" s="909"/>
      <c r="AC74" s="909"/>
      <c r="AD74" s="909"/>
      <c r="AE74" s="909"/>
      <c r="AF74" s="909"/>
      <c r="AG74" s="909"/>
      <c r="AH74" s="909"/>
      <c r="AI74" s="909"/>
      <c r="AJ74" s="909"/>
      <c r="AK74" s="909"/>
      <c r="AL74" s="909"/>
      <c r="AM74" s="909"/>
      <c r="AN74" s="909"/>
      <c r="AO74" s="909"/>
      <c r="AP74" s="635"/>
      <c r="AQ74" s="909"/>
      <c r="AR74" s="909"/>
      <c r="AS74" s="909"/>
      <c r="AT74" s="909"/>
      <c r="AU74" s="909"/>
      <c r="AV74" s="909"/>
      <c r="AW74" s="909"/>
      <c r="AX74" s="909"/>
      <c r="AY74" s="909"/>
      <c r="AZ74" s="909"/>
      <c r="BA74" s="909"/>
      <c r="BB74" s="909"/>
      <c r="BC74" s="909"/>
      <c r="BD74" s="909"/>
      <c r="BE74" s="909"/>
      <c r="BF74" s="910"/>
    </row>
    <row r="75" spans="1:58" ht="18" hidden="1" customHeight="1">
      <c r="A75" s="909">
        <f>SUM(A74*52.14)</f>
        <v>0</v>
      </c>
      <c r="C75" s="909"/>
      <c r="D75" s="909"/>
      <c r="E75" s="909"/>
      <c r="F75" s="909"/>
      <c r="G75" s="909"/>
      <c r="H75" s="909"/>
      <c r="I75" s="909"/>
      <c r="J75" s="909"/>
      <c r="K75" s="909"/>
      <c r="L75" s="909"/>
      <c r="M75" s="909"/>
      <c r="N75" s="909"/>
      <c r="O75" s="909"/>
      <c r="P75" s="909"/>
      <c r="Q75" s="909"/>
      <c r="R75" s="909"/>
      <c r="S75" s="909"/>
      <c r="T75" s="909"/>
      <c r="U75" s="909"/>
      <c r="V75" s="909"/>
      <c r="W75" s="909"/>
      <c r="X75" s="909"/>
      <c r="Y75" s="909"/>
      <c r="Z75" s="909"/>
      <c r="AA75" s="909"/>
      <c r="AB75" s="909"/>
      <c r="AC75" s="909"/>
      <c r="AD75" s="909"/>
      <c r="AE75" s="909"/>
      <c r="AF75" s="909"/>
      <c r="AG75" s="909"/>
      <c r="AH75" s="909"/>
      <c r="AI75" s="909"/>
      <c r="AJ75" s="909"/>
      <c r="AK75" s="909"/>
      <c r="AL75" s="909"/>
      <c r="AM75" s="909"/>
      <c r="AN75" s="909"/>
      <c r="AO75" s="909"/>
      <c r="AP75" s="635"/>
      <c r="AQ75" s="909"/>
      <c r="AR75" s="909"/>
      <c r="AS75" s="909"/>
      <c r="AT75" s="909"/>
      <c r="AU75" s="909"/>
      <c r="AV75" s="909"/>
      <c r="AW75" s="909"/>
      <c r="AX75" s="909"/>
      <c r="AY75" s="909"/>
      <c r="AZ75" s="909"/>
      <c r="BA75" s="909"/>
      <c r="BB75" s="909"/>
      <c r="BC75" s="909"/>
      <c r="BD75" s="909"/>
      <c r="BE75" s="909"/>
      <c r="BF75" s="910"/>
    </row>
    <row r="76" spans="1:58" ht="17.25" hidden="1" customHeight="1">
      <c r="A76" s="911">
        <v>5.8257999999999997E-2</v>
      </c>
      <c r="B76" s="909"/>
      <c r="C76" s="909"/>
      <c r="D76" s="909"/>
      <c r="E76" s="909"/>
      <c r="F76" s="909"/>
      <c r="G76" s="909"/>
      <c r="H76" s="909"/>
      <c r="I76" s="909"/>
      <c r="J76" s="909"/>
      <c r="K76" s="909"/>
      <c r="L76" s="909"/>
      <c r="M76" s="909"/>
      <c r="N76" s="909"/>
      <c r="O76" s="909"/>
      <c r="P76" s="909"/>
      <c r="Q76" s="909"/>
      <c r="R76" s="909"/>
      <c r="S76" s="909"/>
      <c r="T76" s="909"/>
      <c r="U76" s="909"/>
      <c r="V76" s="909"/>
      <c r="W76" s="909"/>
      <c r="X76" s="909"/>
      <c r="Y76" s="909"/>
      <c r="Z76" s="909"/>
      <c r="AA76" s="909"/>
      <c r="AB76" s="909"/>
      <c r="AC76" s="909"/>
      <c r="AD76" s="909"/>
      <c r="AE76" s="909"/>
      <c r="AF76" s="909"/>
      <c r="AG76" s="909"/>
      <c r="AH76" s="909"/>
      <c r="AI76" s="909"/>
      <c r="AJ76" s="909"/>
      <c r="AK76" s="909"/>
      <c r="AL76" s="909"/>
      <c r="AM76" s="909"/>
      <c r="AN76" s="909"/>
      <c r="AO76" s="909"/>
      <c r="AP76" s="635"/>
      <c r="AQ76" s="909"/>
      <c r="AR76" s="909"/>
      <c r="AS76" s="909"/>
      <c r="AT76" s="909"/>
      <c r="AU76" s="909"/>
      <c r="AV76" s="909"/>
      <c r="AW76" s="909"/>
      <c r="AX76" s="909"/>
      <c r="AY76" s="909"/>
      <c r="AZ76" s="909"/>
      <c r="BA76" s="909"/>
      <c r="BB76" s="909"/>
      <c r="BC76" s="909"/>
      <c r="BD76" s="909"/>
      <c r="BE76" s="909"/>
      <c r="BF76" s="910"/>
    </row>
    <row r="77" spans="1:58" ht="12" hidden="1" customHeight="1">
      <c r="A77" s="909">
        <f>IF(ISNUMBER(SEARCH("please",G11)),1,0)</f>
        <v>1</v>
      </c>
      <c r="B77" s="909"/>
      <c r="C77" s="909"/>
      <c r="D77" s="909"/>
      <c r="E77" s="909"/>
      <c r="F77" s="909"/>
      <c r="G77" s="909"/>
      <c r="H77" s="909"/>
      <c r="I77" s="909"/>
      <c r="J77" s="909"/>
      <c r="K77" s="909"/>
      <c r="L77" s="909"/>
      <c r="M77" s="909"/>
      <c r="N77" s="909"/>
      <c r="O77" s="909"/>
      <c r="P77" s="909"/>
      <c r="Q77" s="909"/>
      <c r="R77" s="909"/>
      <c r="S77" s="909"/>
      <c r="T77" s="909"/>
      <c r="U77" s="909"/>
      <c r="V77" s="909"/>
      <c r="W77" s="909"/>
      <c r="X77" s="909"/>
      <c r="Y77" s="909"/>
      <c r="Z77" s="909"/>
      <c r="AA77" s="909"/>
      <c r="AB77" s="909"/>
      <c r="AC77" s="909"/>
      <c r="AD77" s="909"/>
      <c r="AE77" s="909"/>
      <c r="AF77" s="909"/>
      <c r="AG77" s="909"/>
      <c r="AH77" s="909"/>
      <c r="AI77" s="909"/>
      <c r="AJ77" s="909"/>
      <c r="AK77" s="909"/>
      <c r="AL77" s="909"/>
      <c r="AM77" s="909"/>
      <c r="AN77" s="909"/>
      <c r="AO77" s="909"/>
      <c r="AP77" s="635"/>
      <c r="AQ77" s="909"/>
      <c r="AR77" s="909"/>
      <c r="AS77" s="909"/>
      <c r="AT77" s="909"/>
      <c r="AU77" s="909"/>
      <c r="AV77" s="909"/>
      <c r="AW77" s="909"/>
      <c r="AX77" s="909"/>
      <c r="AY77" s="909"/>
      <c r="AZ77" s="909"/>
      <c r="BA77" s="909"/>
      <c r="BB77" s="909"/>
      <c r="BC77" s="909"/>
      <c r="BD77" s="909"/>
      <c r="BE77" s="909"/>
      <c r="BF77" s="910"/>
    </row>
    <row r="78" spans="1:58" ht="12" hidden="1" customHeight="1">
      <c r="A78" s="909">
        <f>IF(ISBLANK(Y11),1,0)</f>
        <v>1</v>
      </c>
      <c r="B78" s="909"/>
      <c r="C78" s="909"/>
      <c r="D78" s="909"/>
      <c r="E78" s="909"/>
      <c r="F78" s="909"/>
      <c r="G78" s="909"/>
      <c r="H78" s="909"/>
      <c r="I78" s="909"/>
      <c r="J78" s="909"/>
      <c r="K78" s="909"/>
      <c r="L78" s="909"/>
      <c r="M78" s="909"/>
      <c r="N78" s="909"/>
      <c r="O78" s="909"/>
      <c r="P78" s="909"/>
      <c r="Q78" s="909"/>
      <c r="R78" s="909"/>
      <c r="S78" s="909"/>
      <c r="T78" s="909"/>
      <c r="U78" s="909"/>
      <c r="V78" s="909"/>
      <c r="W78" s="909"/>
      <c r="X78" s="909"/>
      <c r="Y78" s="909"/>
      <c r="Z78" s="909"/>
      <c r="AA78" s="909"/>
      <c r="AB78" s="909"/>
      <c r="AC78" s="909"/>
      <c r="AD78" s="909"/>
      <c r="AE78" s="909"/>
      <c r="AF78" s="909"/>
      <c r="AG78" s="909"/>
      <c r="AH78" s="909"/>
      <c r="AI78" s="909"/>
      <c r="AJ78" s="909"/>
      <c r="AK78" s="909"/>
      <c r="AL78" s="909"/>
      <c r="AM78" s="909"/>
      <c r="AN78" s="909"/>
      <c r="AO78" s="909"/>
      <c r="AP78" s="635"/>
      <c r="AQ78" s="909"/>
      <c r="AR78" s="909"/>
      <c r="AS78" s="909"/>
      <c r="AT78" s="909"/>
      <c r="AU78" s="909"/>
      <c r="AV78" s="909"/>
      <c r="AW78" s="909"/>
      <c r="AX78" s="909"/>
      <c r="AY78" s="909"/>
      <c r="AZ78" s="909"/>
      <c r="BA78" s="909"/>
      <c r="BB78" s="909"/>
      <c r="BC78" s="909"/>
      <c r="BD78" s="909"/>
      <c r="BE78" s="909"/>
      <c r="BF78" s="910"/>
    </row>
    <row r="79" spans="1:58" ht="12" hidden="1" customHeight="1">
      <c r="A79" s="909">
        <f>IF(ISBLANK(AJ11),1,0)</f>
        <v>1</v>
      </c>
      <c r="B79" s="909"/>
      <c r="C79" s="909"/>
      <c r="D79" s="909"/>
      <c r="E79" s="909"/>
      <c r="F79" s="909"/>
      <c r="G79" s="909"/>
      <c r="H79" s="909"/>
      <c r="I79" s="909"/>
      <c r="J79" s="909"/>
      <c r="K79" s="909"/>
      <c r="L79" s="909"/>
      <c r="M79" s="909"/>
      <c r="N79" s="909"/>
      <c r="O79" s="909"/>
      <c r="P79" s="909"/>
      <c r="Q79" s="909"/>
      <c r="R79" s="909"/>
      <c r="S79" s="909"/>
      <c r="T79" s="909"/>
      <c r="U79" s="909"/>
      <c r="V79" s="909"/>
      <c r="W79" s="909"/>
      <c r="X79" s="909"/>
      <c r="Y79" s="909"/>
      <c r="Z79" s="909"/>
      <c r="AA79" s="909"/>
      <c r="AB79" s="909"/>
      <c r="AC79" s="909"/>
      <c r="AD79" s="909"/>
      <c r="AE79" s="909"/>
      <c r="AF79" s="909"/>
      <c r="AG79" s="909"/>
      <c r="AH79" s="909"/>
      <c r="AI79" s="909"/>
      <c r="AJ79" s="909"/>
      <c r="AK79" s="909"/>
      <c r="AL79" s="909"/>
      <c r="AM79" s="909"/>
      <c r="AN79" s="909"/>
      <c r="AO79" s="909"/>
      <c r="AP79" s="635"/>
      <c r="AQ79" s="909"/>
      <c r="AR79" s="909"/>
      <c r="AS79" s="909"/>
      <c r="AT79" s="909"/>
      <c r="AU79" s="909"/>
      <c r="AV79" s="909"/>
      <c r="AW79" s="909"/>
      <c r="AX79" s="909"/>
      <c r="AY79" s="909"/>
      <c r="AZ79" s="909"/>
      <c r="BA79" s="909"/>
      <c r="BB79" s="909"/>
      <c r="BC79" s="909"/>
      <c r="BD79" s="909"/>
      <c r="BE79" s="909"/>
      <c r="BF79" s="910"/>
    </row>
    <row r="80" spans="1:58" ht="12" hidden="1" customHeight="1">
      <c r="A80" s="909">
        <f>IF(ISBLANK(B19),1,0)</f>
        <v>1</v>
      </c>
      <c r="B80" s="909"/>
      <c r="C80" s="909"/>
      <c r="D80" s="909"/>
      <c r="E80" s="909"/>
      <c r="F80" s="909"/>
      <c r="G80" s="909"/>
      <c r="H80" s="909"/>
      <c r="I80" s="909"/>
      <c r="J80" s="909"/>
      <c r="K80" s="909"/>
      <c r="L80" s="909"/>
      <c r="M80" s="909"/>
      <c r="N80" s="909"/>
      <c r="O80" s="909"/>
      <c r="P80" s="909"/>
      <c r="Q80" s="909"/>
      <c r="R80" s="909"/>
      <c r="S80" s="909"/>
      <c r="T80" s="909"/>
      <c r="U80" s="909"/>
      <c r="V80" s="909"/>
      <c r="W80" s="909"/>
      <c r="X80" s="909"/>
      <c r="Y80" s="909"/>
      <c r="Z80" s="909"/>
      <c r="AA80" s="909"/>
      <c r="AB80" s="909"/>
      <c r="AC80" s="909"/>
      <c r="AD80" s="909"/>
      <c r="AE80" s="909"/>
      <c r="AF80" s="909"/>
      <c r="AG80" s="909"/>
      <c r="AH80" s="909"/>
      <c r="AI80" s="909"/>
      <c r="AJ80" s="909"/>
      <c r="AK80" s="909"/>
      <c r="AL80" s="909"/>
      <c r="AM80" s="909"/>
      <c r="AN80" s="909"/>
      <c r="AO80" s="909"/>
      <c r="AP80" s="635"/>
      <c r="AQ80" s="909"/>
      <c r="AR80" s="909"/>
      <c r="AS80" s="909"/>
      <c r="AT80" s="909"/>
      <c r="AU80" s="909"/>
      <c r="AV80" s="909"/>
      <c r="AW80" s="909"/>
      <c r="AX80" s="909"/>
      <c r="AY80" s="909"/>
      <c r="AZ80" s="909"/>
      <c r="BA80" s="909"/>
      <c r="BB80" s="909"/>
      <c r="BC80" s="909"/>
      <c r="BD80" s="909"/>
      <c r="BE80" s="909"/>
      <c r="BF80" s="910"/>
    </row>
    <row r="81" spans="1:58" ht="12" hidden="1" customHeight="1">
      <c r="A81" s="909">
        <f>IF(ISBLANK(U19),1,0)</f>
        <v>1</v>
      </c>
      <c r="B81" s="909"/>
      <c r="C81" s="909"/>
      <c r="D81" s="909"/>
      <c r="E81" s="909"/>
      <c r="F81" s="909"/>
      <c r="G81" s="909"/>
      <c r="H81" s="909"/>
      <c r="I81" s="909"/>
      <c r="J81" s="909"/>
      <c r="K81" s="909"/>
      <c r="L81" s="909"/>
      <c r="M81" s="909"/>
      <c r="N81" s="909"/>
      <c r="O81" s="909"/>
      <c r="P81" s="909"/>
      <c r="Q81" s="909"/>
      <c r="R81" s="909"/>
      <c r="S81" s="909"/>
      <c r="T81" s="909"/>
      <c r="U81" s="909"/>
      <c r="V81" s="909"/>
      <c r="W81" s="909"/>
      <c r="X81" s="909"/>
      <c r="Y81" s="909"/>
      <c r="Z81" s="909"/>
      <c r="AA81" s="909"/>
      <c r="AB81" s="909"/>
      <c r="AC81" s="909"/>
      <c r="AD81" s="909"/>
      <c r="AE81" s="909"/>
      <c r="AF81" s="909"/>
      <c r="AG81" s="909"/>
      <c r="AH81" s="909"/>
      <c r="AI81" s="909"/>
      <c r="AJ81" s="909"/>
      <c r="AK81" s="909"/>
      <c r="AL81" s="909"/>
      <c r="AM81" s="909"/>
      <c r="AN81" s="909"/>
      <c r="AO81" s="909"/>
      <c r="AP81" s="635"/>
      <c r="AQ81" s="909"/>
      <c r="AR81" s="909"/>
      <c r="AS81" s="909"/>
      <c r="AT81" s="909"/>
      <c r="AU81" s="909"/>
      <c r="AV81" s="909"/>
      <c r="AW81" s="909"/>
      <c r="AX81" s="909"/>
      <c r="AY81" s="909"/>
      <c r="AZ81" s="909"/>
      <c r="BA81" s="909"/>
      <c r="BB81" s="909"/>
      <c r="BC81" s="909"/>
      <c r="BD81" s="909"/>
      <c r="BE81" s="909"/>
      <c r="BF81" s="910"/>
    </row>
    <row r="82" spans="1:58" ht="12" hidden="1" customHeight="1">
      <c r="A82" s="909">
        <f>IF(ISBLANK(B23),1,0)</f>
        <v>1</v>
      </c>
      <c r="B82" s="909"/>
      <c r="C82" s="909"/>
      <c r="D82" s="909"/>
      <c r="E82" s="909"/>
      <c r="F82" s="909"/>
      <c r="G82" s="909"/>
      <c r="H82" s="909"/>
      <c r="I82" s="909"/>
      <c r="J82" s="909"/>
      <c r="K82" s="909"/>
      <c r="L82" s="909"/>
      <c r="M82" s="909"/>
      <c r="N82" s="909"/>
      <c r="O82" s="909"/>
      <c r="P82" s="909"/>
      <c r="Q82" s="909"/>
      <c r="R82" s="909"/>
      <c r="S82" s="909"/>
      <c r="T82" s="909"/>
      <c r="U82" s="909"/>
      <c r="V82" s="909"/>
      <c r="W82" s="909"/>
      <c r="X82" s="909"/>
      <c r="Y82" s="909"/>
      <c r="Z82" s="909"/>
      <c r="AA82" s="909"/>
      <c r="AB82" s="909"/>
      <c r="AC82" s="909"/>
      <c r="AD82" s="909"/>
      <c r="AE82" s="909"/>
      <c r="AF82" s="909"/>
      <c r="AG82" s="909"/>
      <c r="AH82" s="909"/>
      <c r="AI82" s="909"/>
      <c r="AJ82" s="909"/>
      <c r="AK82" s="909"/>
      <c r="AL82" s="909"/>
      <c r="AM82" s="909"/>
      <c r="AN82" s="909"/>
      <c r="AO82" s="909"/>
      <c r="AP82" s="635"/>
      <c r="AQ82" s="909"/>
      <c r="AR82" s="909"/>
      <c r="AS82" s="909"/>
      <c r="AT82" s="909"/>
      <c r="AU82" s="909"/>
      <c r="AV82" s="909"/>
      <c r="AW82" s="909"/>
      <c r="AX82" s="909"/>
      <c r="AY82" s="909"/>
      <c r="AZ82" s="909"/>
      <c r="BA82" s="909"/>
      <c r="BB82" s="909"/>
      <c r="BC82" s="909"/>
      <c r="BD82" s="909"/>
      <c r="BE82" s="909"/>
      <c r="BF82" s="910"/>
    </row>
    <row r="83" spans="1:58" ht="12" hidden="1" customHeight="1">
      <c r="A83" s="909">
        <f>IF(ISNUMBER(SEARCH("please",U21)),1,0)</f>
        <v>1</v>
      </c>
      <c r="B83" s="909"/>
      <c r="C83" s="909"/>
      <c r="D83" s="909"/>
      <c r="E83" s="909"/>
      <c r="F83" s="909"/>
      <c r="G83" s="909"/>
      <c r="H83" s="909"/>
      <c r="I83" s="909"/>
      <c r="J83" s="909"/>
      <c r="K83" s="909"/>
      <c r="L83" s="909"/>
      <c r="M83" s="909"/>
      <c r="N83" s="909"/>
      <c r="O83" s="909"/>
      <c r="P83" s="909"/>
      <c r="Q83" s="909"/>
      <c r="R83" s="909"/>
      <c r="S83" s="909"/>
      <c r="T83" s="909"/>
      <c r="U83" s="909"/>
      <c r="V83" s="909"/>
      <c r="W83" s="909"/>
      <c r="X83" s="909"/>
      <c r="Y83" s="909"/>
      <c r="Z83" s="909"/>
      <c r="AA83" s="909"/>
      <c r="AB83" s="909"/>
      <c r="AC83" s="909"/>
      <c r="AD83" s="909"/>
      <c r="AE83" s="909"/>
      <c r="AF83" s="909"/>
      <c r="AG83" s="909"/>
      <c r="AH83" s="909"/>
      <c r="AI83" s="909"/>
      <c r="AJ83" s="909"/>
      <c r="AK83" s="909"/>
      <c r="AL83" s="909"/>
      <c r="AM83" s="909"/>
      <c r="AN83" s="909"/>
      <c r="AO83" s="909"/>
      <c r="AP83" s="635"/>
      <c r="AQ83" s="909"/>
      <c r="AR83" s="909"/>
      <c r="AS83" s="909"/>
      <c r="AT83" s="909"/>
      <c r="AU83" s="909"/>
      <c r="AV83" s="909"/>
      <c r="AW83" s="909"/>
      <c r="AX83" s="909"/>
      <c r="AY83" s="909"/>
      <c r="AZ83" s="909"/>
      <c r="BA83" s="909"/>
      <c r="BB83" s="909"/>
      <c r="BC83" s="909"/>
      <c r="BD83" s="909"/>
      <c r="BE83" s="909"/>
      <c r="BF83" s="910"/>
    </row>
    <row r="84" spans="1:58" ht="12" hidden="1" customHeight="1">
      <c r="A84" s="909">
        <f>IF(ISBLANK(U23),1,0)</f>
        <v>1</v>
      </c>
      <c r="B84" s="909"/>
      <c r="C84" s="909"/>
      <c r="D84" s="909"/>
      <c r="E84" s="909"/>
      <c r="F84" s="909"/>
      <c r="G84" s="909"/>
      <c r="H84" s="909"/>
      <c r="I84" s="909"/>
      <c r="J84" s="909"/>
      <c r="K84" s="909"/>
      <c r="L84" s="909"/>
      <c r="M84" s="909"/>
      <c r="N84" s="909"/>
      <c r="O84" s="909"/>
      <c r="P84" s="909"/>
      <c r="Q84" s="909"/>
      <c r="R84" s="909"/>
      <c r="S84" s="909"/>
      <c r="T84" s="909"/>
      <c r="U84" s="909"/>
      <c r="V84" s="909"/>
      <c r="W84" s="909"/>
      <c r="X84" s="909"/>
      <c r="Y84" s="909"/>
      <c r="Z84" s="909"/>
      <c r="AA84" s="909"/>
      <c r="AB84" s="909"/>
      <c r="AC84" s="909"/>
      <c r="AD84" s="909"/>
      <c r="AE84" s="909"/>
      <c r="AF84" s="909"/>
      <c r="AG84" s="909"/>
      <c r="AH84" s="909"/>
      <c r="AI84" s="909"/>
      <c r="AJ84" s="909"/>
      <c r="AK84" s="909"/>
      <c r="AL84" s="909"/>
      <c r="AM84" s="909"/>
      <c r="AN84" s="909"/>
      <c r="AO84" s="909"/>
      <c r="AP84" s="635"/>
      <c r="AQ84" s="909"/>
      <c r="AR84" s="909"/>
      <c r="AS84" s="909"/>
      <c r="AT84" s="909"/>
      <c r="AU84" s="909"/>
      <c r="AV84" s="909"/>
      <c r="AW84" s="909"/>
      <c r="AX84" s="909"/>
      <c r="AY84" s="909"/>
      <c r="AZ84" s="909"/>
      <c r="BA84" s="909"/>
      <c r="BB84" s="909"/>
      <c r="BC84" s="909"/>
      <c r="BD84" s="909"/>
      <c r="BE84" s="909"/>
      <c r="BF84" s="910"/>
    </row>
    <row r="85" spans="1:58" ht="12" hidden="1" customHeight="1">
      <c r="A85" s="909">
        <f>IF(ISBLANK(AF23),1,0)</f>
        <v>1</v>
      </c>
      <c r="B85" s="909"/>
      <c r="C85" s="909"/>
      <c r="D85" s="909"/>
      <c r="E85" s="909"/>
      <c r="F85" s="909"/>
      <c r="G85" s="909"/>
      <c r="H85" s="909"/>
      <c r="I85" s="909"/>
      <c r="J85" s="909"/>
      <c r="K85" s="909"/>
      <c r="L85" s="909"/>
      <c r="M85" s="909"/>
      <c r="N85" s="909"/>
      <c r="O85" s="909"/>
      <c r="P85" s="909"/>
      <c r="Q85" s="909"/>
      <c r="R85" s="909"/>
      <c r="S85" s="909"/>
      <c r="T85" s="909"/>
      <c r="U85" s="909"/>
      <c r="V85" s="909"/>
      <c r="W85" s="909"/>
      <c r="X85" s="909"/>
      <c r="Y85" s="909"/>
      <c r="Z85" s="909"/>
      <c r="AA85" s="909"/>
      <c r="AB85" s="909"/>
      <c r="AC85" s="909"/>
      <c r="AD85" s="909"/>
      <c r="AE85" s="909"/>
      <c r="AF85" s="909"/>
      <c r="AG85" s="909"/>
      <c r="AH85" s="909"/>
      <c r="AI85" s="909"/>
      <c r="AJ85" s="909"/>
      <c r="AK85" s="909"/>
      <c r="AL85" s="909"/>
      <c r="AM85" s="909"/>
      <c r="AN85" s="909"/>
      <c r="AO85" s="909"/>
      <c r="AP85" s="635"/>
      <c r="AQ85" s="909"/>
      <c r="AR85" s="909"/>
      <c r="AS85" s="909"/>
      <c r="AT85" s="909"/>
      <c r="AU85" s="909"/>
      <c r="AV85" s="909"/>
      <c r="AW85" s="909"/>
      <c r="AX85" s="909"/>
      <c r="AY85" s="909"/>
      <c r="AZ85" s="909"/>
      <c r="BA85" s="909"/>
      <c r="BB85" s="909"/>
      <c r="BC85" s="909"/>
      <c r="BD85" s="909"/>
      <c r="BE85" s="909"/>
      <c r="BF85" s="910"/>
    </row>
    <row r="86" spans="1:58" ht="12" hidden="1" customHeight="1">
      <c r="A86" s="909">
        <f>IF(ISBLANK(AI23),1,0)</f>
        <v>1</v>
      </c>
      <c r="B86" s="909"/>
      <c r="C86" s="909"/>
      <c r="D86" s="909"/>
      <c r="E86" s="909"/>
      <c r="F86" s="909"/>
      <c r="G86" s="909"/>
      <c r="H86" s="909"/>
      <c r="I86" s="909"/>
      <c r="J86" s="909"/>
      <c r="K86" s="909"/>
      <c r="L86" s="909"/>
      <c r="M86" s="909"/>
      <c r="N86" s="909"/>
      <c r="O86" s="909"/>
      <c r="P86" s="909"/>
      <c r="Q86" s="909"/>
      <c r="R86" s="909"/>
      <c r="S86" s="909"/>
      <c r="T86" s="909"/>
      <c r="U86" s="909"/>
      <c r="V86" s="909"/>
      <c r="W86" s="909"/>
      <c r="X86" s="909"/>
      <c r="Y86" s="909"/>
      <c r="Z86" s="909"/>
      <c r="AA86" s="909"/>
      <c r="AB86" s="909"/>
      <c r="AC86" s="909"/>
      <c r="AD86" s="909"/>
      <c r="AE86" s="909"/>
      <c r="AF86" s="909"/>
      <c r="AG86" s="909"/>
      <c r="AH86" s="909"/>
      <c r="AI86" s="909"/>
      <c r="AJ86" s="909"/>
      <c r="AK86" s="909"/>
      <c r="AL86" s="909"/>
      <c r="AM86" s="909"/>
      <c r="AN86" s="909"/>
      <c r="AO86" s="909"/>
      <c r="AP86" s="635"/>
      <c r="AQ86" s="909"/>
      <c r="AR86" s="909"/>
      <c r="AS86" s="909"/>
      <c r="AT86" s="909"/>
      <c r="AU86" s="909"/>
      <c r="AV86" s="909"/>
      <c r="AW86" s="909"/>
      <c r="AX86" s="909"/>
      <c r="AY86" s="909"/>
      <c r="AZ86" s="909"/>
      <c r="BA86" s="909"/>
      <c r="BB86" s="909"/>
      <c r="BC86" s="909"/>
      <c r="BD86" s="909"/>
      <c r="BE86" s="909"/>
      <c r="BF86" s="910"/>
    </row>
    <row r="87" spans="1:58" ht="12" hidden="1" customHeight="1">
      <c r="A87" s="909">
        <f>IF(ISBLANK(B27),1,0)</f>
        <v>1</v>
      </c>
      <c r="B87" s="909"/>
      <c r="C87" s="909"/>
      <c r="D87" s="909"/>
      <c r="E87" s="909"/>
      <c r="F87" s="909"/>
      <c r="G87" s="909"/>
      <c r="H87" s="909"/>
      <c r="I87" s="909"/>
      <c r="J87" s="909"/>
      <c r="K87" s="909"/>
      <c r="L87" s="909"/>
      <c r="M87" s="909"/>
      <c r="N87" s="909"/>
      <c r="O87" s="909"/>
      <c r="P87" s="909"/>
      <c r="Q87" s="909"/>
      <c r="R87" s="909"/>
      <c r="S87" s="909"/>
      <c r="T87" s="909"/>
      <c r="U87" s="909"/>
      <c r="V87" s="909"/>
      <c r="W87" s="909"/>
      <c r="X87" s="909"/>
      <c r="Y87" s="909"/>
      <c r="Z87" s="909"/>
      <c r="AA87" s="909"/>
      <c r="AB87" s="909"/>
      <c r="AC87" s="909"/>
      <c r="AD87" s="909"/>
      <c r="AE87" s="909"/>
      <c r="AF87" s="909"/>
      <c r="AG87" s="909"/>
      <c r="AH87" s="909"/>
      <c r="AI87" s="909"/>
      <c r="AJ87" s="909"/>
      <c r="AK87" s="909"/>
      <c r="AL87" s="909"/>
      <c r="AM87" s="909"/>
      <c r="AN87" s="909"/>
      <c r="AO87" s="909"/>
      <c r="AP87" s="635"/>
      <c r="AQ87" s="909"/>
      <c r="AR87" s="909"/>
      <c r="AS87" s="909"/>
      <c r="AT87" s="909"/>
      <c r="AU87" s="909"/>
      <c r="AV87" s="909"/>
      <c r="AW87" s="909"/>
      <c r="AX87" s="909"/>
      <c r="AY87" s="909"/>
      <c r="AZ87" s="909"/>
      <c r="BA87" s="909"/>
      <c r="BB87" s="909"/>
      <c r="BC87" s="909"/>
      <c r="BD87" s="909"/>
      <c r="BE87" s="909"/>
      <c r="BF87" s="910"/>
    </row>
    <row r="88" spans="1:58" ht="12" hidden="1" customHeight="1">
      <c r="A88" s="909">
        <f>IF(ISBLANK(U27),1,0)</f>
        <v>1</v>
      </c>
      <c r="B88" s="909"/>
      <c r="C88" s="909"/>
      <c r="D88" s="909"/>
      <c r="E88" s="909"/>
      <c r="F88" s="909"/>
      <c r="G88" s="909"/>
      <c r="H88" s="909"/>
      <c r="I88" s="909"/>
      <c r="J88" s="909"/>
      <c r="K88" s="909"/>
      <c r="L88" s="909"/>
      <c r="M88" s="909"/>
      <c r="N88" s="909"/>
      <c r="O88" s="909"/>
      <c r="P88" s="909"/>
      <c r="Q88" s="909"/>
      <c r="R88" s="909"/>
      <c r="S88" s="909"/>
      <c r="T88" s="909"/>
      <c r="U88" s="909"/>
      <c r="V88" s="909"/>
      <c r="W88" s="909"/>
      <c r="X88" s="909"/>
      <c r="Y88" s="909"/>
      <c r="Z88" s="909"/>
      <c r="AA88" s="909"/>
      <c r="AB88" s="909"/>
      <c r="AC88" s="909"/>
      <c r="AD88" s="909"/>
      <c r="AE88" s="909"/>
      <c r="AF88" s="909"/>
      <c r="AG88" s="909"/>
      <c r="AH88" s="909"/>
      <c r="AI88" s="909"/>
      <c r="AJ88" s="909"/>
      <c r="AK88" s="909"/>
      <c r="AL88" s="909"/>
      <c r="AM88" s="909"/>
      <c r="AN88" s="909"/>
      <c r="AO88" s="909"/>
      <c r="AP88" s="635"/>
      <c r="AQ88" s="909"/>
      <c r="AR88" s="909"/>
      <c r="AS88" s="909"/>
      <c r="AT88" s="909"/>
      <c r="AU88" s="909"/>
      <c r="AV88" s="909"/>
      <c r="AW88" s="909"/>
      <c r="AX88" s="909"/>
      <c r="AY88" s="909"/>
      <c r="AZ88" s="909"/>
      <c r="BA88" s="909"/>
      <c r="BB88" s="909"/>
      <c r="BC88" s="909"/>
      <c r="BD88" s="909"/>
      <c r="BE88" s="909"/>
      <c r="BF88" s="910"/>
    </row>
    <row r="89" spans="1:58" ht="12" hidden="1" customHeight="1">
      <c r="A89" s="909">
        <f>IF(ISBLANK(B29),1,0)</f>
        <v>1</v>
      </c>
      <c r="B89" s="910"/>
      <c r="C89" s="910"/>
      <c r="D89" s="910"/>
      <c r="E89" s="910"/>
      <c r="F89" s="910"/>
      <c r="G89" s="910"/>
      <c r="H89" s="910"/>
      <c r="I89" s="910"/>
      <c r="J89" s="910"/>
      <c r="K89" s="910"/>
      <c r="L89" s="910"/>
      <c r="M89" s="910"/>
      <c r="N89" s="910"/>
      <c r="O89" s="910"/>
      <c r="P89" s="910"/>
      <c r="Q89" s="910"/>
      <c r="R89" s="910"/>
      <c r="S89" s="910"/>
      <c r="T89" s="910"/>
      <c r="U89" s="910"/>
      <c r="V89" s="910"/>
      <c r="W89" s="910"/>
      <c r="X89" s="910"/>
      <c r="Y89" s="910"/>
      <c r="Z89" s="910"/>
      <c r="AA89" s="910"/>
      <c r="AB89" s="910"/>
      <c r="AC89" s="910"/>
      <c r="AD89" s="910"/>
      <c r="AE89" s="910"/>
      <c r="AF89" s="910"/>
      <c r="AG89" s="910"/>
      <c r="AH89" s="910"/>
      <c r="AI89" s="910"/>
      <c r="AJ89" s="910"/>
      <c r="AK89" s="910"/>
      <c r="AL89" s="910"/>
      <c r="AM89" s="910"/>
      <c r="AN89" s="910"/>
      <c r="AO89" s="910"/>
      <c r="AP89" s="636"/>
      <c r="AQ89" s="910"/>
      <c r="AR89" s="910"/>
      <c r="AS89" s="910"/>
      <c r="AT89" s="910"/>
      <c r="AU89" s="910"/>
      <c r="AV89" s="910"/>
      <c r="AW89" s="909"/>
      <c r="AX89" s="910"/>
      <c r="AY89" s="910"/>
      <c r="AZ89" s="910"/>
      <c r="BA89" s="910"/>
      <c r="BB89" s="910"/>
      <c r="BC89" s="909"/>
      <c r="BD89" s="910"/>
      <c r="BE89" s="910"/>
      <c r="BF89" s="910"/>
    </row>
    <row r="90" spans="1:58" ht="12" hidden="1" customHeight="1">
      <c r="A90" s="909">
        <f>IF(ISBLANK(U29),1,0)</f>
        <v>1</v>
      </c>
      <c r="B90" s="910"/>
      <c r="C90" s="910"/>
      <c r="D90" s="910"/>
      <c r="E90" s="910"/>
      <c r="F90" s="910"/>
      <c r="G90" s="910"/>
      <c r="H90" s="910"/>
      <c r="I90" s="910"/>
      <c r="J90" s="910"/>
      <c r="K90" s="910"/>
      <c r="L90" s="910"/>
      <c r="M90" s="910"/>
      <c r="N90" s="910"/>
      <c r="O90" s="910"/>
      <c r="P90" s="910"/>
      <c r="Q90" s="910"/>
      <c r="R90" s="910"/>
      <c r="S90" s="910"/>
      <c r="T90" s="910"/>
      <c r="U90" s="910"/>
      <c r="V90" s="910"/>
      <c r="W90" s="910"/>
      <c r="X90" s="910"/>
      <c r="Y90" s="910"/>
      <c r="Z90" s="910"/>
      <c r="AA90" s="910"/>
      <c r="AB90" s="910"/>
      <c r="AC90" s="910"/>
      <c r="AD90" s="910"/>
      <c r="AE90" s="910"/>
      <c r="AF90" s="910"/>
      <c r="AG90" s="910"/>
      <c r="AH90" s="910"/>
      <c r="AI90" s="910"/>
      <c r="AJ90" s="910"/>
      <c r="AK90" s="910"/>
      <c r="AL90" s="910"/>
      <c r="AM90" s="910"/>
      <c r="AN90" s="910"/>
      <c r="AO90" s="910"/>
      <c r="AP90" s="636"/>
      <c r="AQ90" s="910"/>
      <c r="AR90" s="910"/>
      <c r="AS90" s="910"/>
      <c r="AT90" s="910"/>
      <c r="AU90" s="910"/>
      <c r="AV90" s="910"/>
      <c r="AW90" s="910"/>
      <c r="AX90" s="910"/>
      <c r="AY90" s="910"/>
      <c r="AZ90" s="910"/>
      <c r="BA90" s="910"/>
      <c r="BB90" s="910"/>
      <c r="BC90" s="910"/>
      <c r="BD90" s="910"/>
      <c r="BE90" s="910"/>
      <c r="BF90" s="910"/>
    </row>
    <row r="91" spans="1:58" ht="12" hidden="1" customHeight="1">
      <c r="A91" s="909">
        <f>IF(ISBLANK(B33),1,0)</f>
        <v>1</v>
      </c>
      <c r="B91" s="910"/>
      <c r="C91" s="910"/>
      <c r="D91" s="910"/>
      <c r="E91" s="910"/>
      <c r="F91" s="910"/>
      <c r="G91" s="910"/>
      <c r="H91" s="910"/>
      <c r="I91" s="910"/>
      <c r="J91" s="910"/>
      <c r="K91" s="910"/>
      <c r="L91" s="910"/>
      <c r="M91" s="910"/>
      <c r="N91" s="910"/>
      <c r="O91" s="910"/>
      <c r="P91" s="910"/>
      <c r="Q91" s="910"/>
      <c r="R91" s="910"/>
      <c r="S91" s="910"/>
      <c r="T91" s="910"/>
      <c r="U91" s="910"/>
      <c r="V91" s="910"/>
      <c r="W91" s="910"/>
      <c r="X91" s="910"/>
      <c r="Y91" s="910"/>
      <c r="Z91" s="910"/>
      <c r="AA91" s="910"/>
      <c r="AB91" s="910"/>
      <c r="AC91" s="910"/>
      <c r="AD91" s="910"/>
      <c r="AE91" s="910"/>
      <c r="AF91" s="910"/>
      <c r="AG91" s="910"/>
      <c r="AH91" s="910"/>
      <c r="AI91" s="910"/>
      <c r="AJ91" s="910"/>
      <c r="AK91" s="910"/>
      <c r="AL91" s="910"/>
      <c r="AM91" s="910"/>
      <c r="AN91" s="910"/>
      <c r="AO91" s="910"/>
      <c r="AP91" s="636"/>
      <c r="AQ91" s="910"/>
      <c r="AR91" s="910"/>
      <c r="AS91" s="910"/>
      <c r="AT91" s="910"/>
      <c r="AU91" s="910"/>
      <c r="AV91" s="910"/>
      <c r="AW91" s="910"/>
      <c r="AX91" s="910"/>
      <c r="AY91" s="910"/>
      <c r="AZ91" s="910"/>
      <c r="BA91" s="910"/>
      <c r="BB91" s="910"/>
      <c r="BC91" s="910"/>
      <c r="BD91" s="910"/>
      <c r="BE91" s="910"/>
      <c r="BF91" s="910"/>
    </row>
    <row r="92" spans="1:58" ht="12" hidden="1" customHeight="1">
      <c r="A92" s="909">
        <f>IF(ISBLANK(U33),1,0)</f>
        <v>1</v>
      </c>
      <c r="B92" s="910"/>
      <c r="C92" s="910"/>
      <c r="D92" s="910"/>
      <c r="E92" s="910"/>
      <c r="F92" s="910"/>
      <c r="G92" s="910"/>
      <c r="H92" s="910"/>
      <c r="I92" s="910"/>
      <c r="J92" s="910"/>
      <c r="K92" s="910"/>
      <c r="L92" s="910"/>
      <c r="M92" s="910"/>
      <c r="N92" s="910"/>
      <c r="O92" s="910"/>
      <c r="P92" s="910"/>
      <c r="Q92" s="910"/>
      <c r="R92" s="910"/>
      <c r="S92" s="910"/>
      <c r="T92" s="910"/>
      <c r="U92" s="910"/>
      <c r="V92" s="910"/>
      <c r="W92" s="910"/>
      <c r="X92" s="910"/>
      <c r="Y92" s="910"/>
      <c r="Z92" s="910"/>
      <c r="AA92" s="910"/>
      <c r="AB92" s="910"/>
      <c r="AC92" s="910"/>
      <c r="AD92" s="910"/>
      <c r="AE92" s="910"/>
      <c r="AF92" s="910"/>
      <c r="AG92" s="910"/>
      <c r="AH92" s="910"/>
      <c r="AI92" s="910"/>
      <c r="AJ92" s="910"/>
      <c r="AK92" s="910"/>
      <c r="AL92" s="910"/>
      <c r="AM92" s="910"/>
      <c r="AN92" s="910"/>
      <c r="AO92" s="910"/>
      <c r="AP92" s="636"/>
      <c r="AQ92" s="910"/>
      <c r="AR92" s="910"/>
      <c r="AS92" s="910"/>
      <c r="AT92" s="910"/>
      <c r="AU92" s="910"/>
      <c r="AV92" s="910"/>
      <c r="AW92" s="910"/>
      <c r="AX92" s="910"/>
      <c r="AY92" s="910"/>
      <c r="AZ92" s="910"/>
      <c r="BA92" s="910"/>
      <c r="BB92" s="910"/>
      <c r="BC92" s="910"/>
      <c r="BD92" s="910"/>
      <c r="BE92" s="910"/>
      <c r="BF92" s="910"/>
    </row>
    <row r="93" spans="1:58" ht="12" hidden="1" customHeight="1">
      <c r="A93" s="909">
        <f>IF(ISBLANK(B43),1,0)</f>
        <v>1</v>
      </c>
      <c r="B93" s="910"/>
      <c r="C93" s="910"/>
      <c r="D93" s="910"/>
      <c r="E93" s="910"/>
      <c r="F93" s="910"/>
      <c r="G93" s="910"/>
      <c r="H93" s="910"/>
      <c r="I93" s="910"/>
      <c r="J93" s="910"/>
      <c r="K93" s="910"/>
      <c r="L93" s="910"/>
      <c r="M93" s="910"/>
      <c r="N93" s="910"/>
      <c r="O93" s="910"/>
      <c r="P93" s="910"/>
      <c r="Q93" s="910"/>
      <c r="R93" s="910"/>
      <c r="S93" s="910"/>
      <c r="T93" s="910"/>
      <c r="U93" s="910"/>
      <c r="V93" s="910"/>
      <c r="W93" s="910"/>
      <c r="X93" s="910"/>
      <c r="Y93" s="910"/>
      <c r="Z93" s="910"/>
      <c r="AA93" s="910"/>
      <c r="AB93" s="910"/>
      <c r="AC93" s="910"/>
      <c r="AD93" s="910"/>
      <c r="AE93" s="910"/>
      <c r="AF93" s="910"/>
      <c r="AG93" s="910"/>
      <c r="AH93" s="910"/>
      <c r="AI93" s="910"/>
      <c r="AJ93" s="910"/>
      <c r="AK93" s="910"/>
      <c r="AL93" s="910"/>
      <c r="AM93" s="910"/>
      <c r="AN93" s="910"/>
      <c r="AO93" s="910"/>
      <c r="AP93" s="636"/>
      <c r="AQ93" s="910"/>
      <c r="AR93" s="910"/>
      <c r="AS93" s="910"/>
      <c r="AT93" s="910"/>
      <c r="AU93" s="910"/>
      <c r="AV93" s="910"/>
      <c r="AW93" s="910"/>
      <c r="AX93" s="910"/>
      <c r="AY93" s="910"/>
      <c r="AZ93" s="910"/>
      <c r="BA93" s="910"/>
      <c r="BB93" s="910"/>
      <c r="BC93" s="910"/>
      <c r="BD93" s="910"/>
      <c r="BE93" s="910"/>
      <c r="BF93" s="910"/>
    </row>
    <row r="94" spans="1:58" ht="12" hidden="1" customHeight="1">
      <c r="A94" s="909">
        <f>IF(ISBLANK(U43),1,0)</f>
        <v>1</v>
      </c>
      <c r="B94" s="910"/>
      <c r="C94" s="910"/>
      <c r="D94" s="910"/>
      <c r="E94" s="910"/>
      <c r="F94" s="910"/>
      <c r="G94" s="910"/>
      <c r="H94" s="910"/>
      <c r="I94" s="910"/>
      <c r="J94" s="910"/>
      <c r="K94" s="910"/>
      <c r="L94" s="910"/>
      <c r="M94" s="910"/>
      <c r="N94" s="910"/>
      <c r="O94" s="910"/>
      <c r="P94" s="910"/>
      <c r="Q94" s="910"/>
      <c r="R94" s="910"/>
      <c r="S94" s="910"/>
      <c r="T94" s="910"/>
      <c r="U94" s="910"/>
      <c r="V94" s="910"/>
      <c r="W94" s="910"/>
      <c r="X94" s="910"/>
      <c r="Y94" s="910"/>
      <c r="Z94" s="910"/>
      <c r="AA94" s="910"/>
      <c r="AB94" s="910"/>
      <c r="AC94" s="910"/>
      <c r="AD94" s="910"/>
      <c r="AE94" s="910"/>
      <c r="AF94" s="910"/>
      <c r="AG94" s="910"/>
      <c r="AH94" s="910"/>
      <c r="AI94" s="910"/>
      <c r="AJ94" s="910"/>
      <c r="AK94" s="910"/>
      <c r="AL94" s="910"/>
      <c r="AM94" s="910"/>
      <c r="AN94" s="910"/>
      <c r="AO94" s="910"/>
      <c r="AP94" s="636"/>
      <c r="AQ94" s="910"/>
      <c r="AR94" s="910"/>
      <c r="AS94" s="910"/>
      <c r="AT94" s="910"/>
      <c r="AU94" s="910"/>
      <c r="AV94" s="910"/>
      <c r="AW94" s="910"/>
      <c r="AX94" s="910"/>
      <c r="AY94" s="910"/>
      <c r="AZ94" s="910"/>
      <c r="BA94" s="910"/>
      <c r="BB94" s="910"/>
      <c r="BC94" s="910"/>
      <c r="BD94" s="910"/>
      <c r="BE94" s="910"/>
      <c r="BF94" s="910"/>
    </row>
    <row r="95" spans="1:58" ht="12" hidden="1" customHeight="1">
      <c r="A95" s="909">
        <f>IF(ISBLANK(B14),1,0)</f>
        <v>1</v>
      </c>
      <c r="B95" s="910"/>
      <c r="C95" s="910"/>
      <c r="D95" s="910"/>
      <c r="E95" s="910"/>
      <c r="F95" s="910"/>
      <c r="G95" s="910"/>
      <c r="H95" s="910"/>
      <c r="I95" s="910"/>
      <c r="J95" s="910"/>
      <c r="K95" s="910"/>
      <c r="L95" s="910"/>
      <c r="M95" s="910"/>
      <c r="N95" s="910"/>
      <c r="O95" s="910"/>
      <c r="P95" s="910"/>
      <c r="Q95" s="910"/>
      <c r="R95" s="910"/>
      <c r="S95" s="910"/>
      <c r="T95" s="910"/>
      <c r="U95" s="910"/>
      <c r="V95" s="910"/>
      <c r="W95" s="910"/>
      <c r="X95" s="910"/>
      <c r="Y95" s="910"/>
      <c r="Z95" s="910"/>
      <c r="AA95" s="910"/>
      <c r="AB95" s="910"/>
      <c r="AC95" s="910"/>
      <c r="AD95" s="910"/>
      <c r="AE95" s="910"/>
      <c r="AF95" s="910"/>
      <c r="AG95" s="910"/>
      <c r="AH95" s="910"/>
      <c r="AI95" s="910"/>
      <c r="AJ95" s="910"/>
      <c r="AK95" s="910"/>
      <c r="AL95" s="910"/>
      <c r="AM95" s="910"/>
      <c r="AN95" s="910"/>
      <c r="AO95" s="910"/>
      <c r="AP95" s="636"/>
      <c r="AQ95" s="910"/>
      <c r="AR95" s="910"/>
      <c r="AS95" s="910"/>
      <c r="AT95" s="910"/>
      <c r="AU95" s="910"/>
      <c r="AV95" s="910"/>
      <c r="AW95" s="910"/>
      <c r="AX95" s="910"/>
      <c r="AY95" s="910"/>
      <c r="AZ95" s="910"/>
      <c r="BA95" s="910"/>
      <c r="BB95" s="910"/>
      <c r="BC95" s="910"/>
      <c r="BD95" s="910"/>
      <c r="BE95" s="910"/>
      <c r="BF95" s="910"/>
    </row>
    <row r="96" spans="1:58" ht="12" hidden="1" customHeight="1">
      <c r="A96" s="909">
        <f>IF(ISBLANK(U14),1,0)</f>
        <v>1</v>
      </c>
      <c r="B96" s="910"/>
      <c r="C96" s="910"/>
      <c r="D96" s="910"/>
      <c r="E96" s="910"/>
      <c r="F96" s="910"/>
      <c r="G96" s="910"/>
      <c r="H96" s="910"/>
      <c r="I96" s="910"/>
      <c r="J96" s="910"/>
      <c r="K96" s="910"/>
      <c r="L96" s="910"/>
      <c r="M96" s="910"/>
      <c r="N96" s="910"/>
      <c r="O96" s="910"/>
      <c r="P96" s="910"/>
      <c r="Q96" s="910"/>
      <c r="R96" s="910"/>
      <c r="S96" s="910"/>
      <c r="T96" s="910"/>
      <c r="U96" s="910"/>
      <c r="V96" s="910"/>
      <c r="W96" s="910"/>
      <c r="X96" s="910"/>
      <c r="Y96" s="910"/>
      <c r="Z96" s="910"/>
      <c r="AA96" s="910"/>
      <c r="AB96" s="910"/>
      <c r="AC96" s="910"/>
      <c r="AD96" s="910"/>
      <c r="AE96" s="910"/>
      <c r="AF96" s="910"/>
      <c r="AG96" s="910"/>
      <c r="AH96" s="910"/>
      <c r="AI96" s="910"/>
      <c r="AJ96" s="910"/>
      <c r="AK96" s="910"/>
      <c r="AL96" s="910"/>
      <c r="AM96" s="910"/>
      <c r="AN96" s="910"/>
      <c r="AO96" s="910"/>
      <c r="AP96" s="636"/>
      <c r="AQ96" s="910"/>
      <c r="AR96" s="910"/>
      <c r="AS96" s="910"/>
      <c r="AT96" s="910"/>
      <c r="AU96" s="910"/>
      <c r="AV96" s="910"/>
      <c r="AW96" s="910"/>
      <c r="AX96" s="910"/>
      <c r="AY96" s="910"/>
      <c r="AZ96" s="910"/>
      <c r="BA96" s="910"/>
      <c r="BB96" s="910"/>
      <c r="BC96" s="910"/>
      <c r="BD96" s="910"/>
      <c r="BE96" s="910"/>
      <c r="BF96" s="910"/>
    </row>
    <row r="97" spans="1:58" ht="12" hidden="1" customHeight="1">
      <c r="A97" s="909">
        <f>IF(ISBLANK(B16),1,0)</f>
        <v>1</v>
      </c>
      <c r="B97" s="910"/>
      <c r="C97" s="910"/>
      <c r="D97" s="910"/>
      <c r="E97" s="910"/>
      <c r="F97" s="910"/>
      <c r="G97" s="910"/>
      <c r="H97" s="910"/>
      <c r="I97" s="910"/>
      <c r="J97" s="910"/>
      <c r="K97" s="910"/>
      <c r="L97" s="910"/>
      <c r="M97" s="910"/>
      <c r="N97" s="910"/>
      <c r="O97" s="910"/>
      <c r="P97" s="910"/>
      <c r="Q97" s="910"/>
      <c r="R97" s="910"/>
      <c r="S97" s="910"/>
      <c r="T97" s="910"/>
      <c r="U97" s="910"/>
      <c r="V97" s="910"/>
      <c r="W97" s="910"/>
      <c r="X97" s="910"/>
      <c r="Y97" s="910"/>
      <c r="Z97" s="910"/>
      <c r="AA97" s="910"/>
      <c r="AB97" s="910"/>
      <c r="AC97" s="910"/>
      <c r="AD97" s="910"/>
      <c r="AE97" s="910"/>
      <c r="AF97" s="910"/>
      <c r="AG97" s="910"/>
      <c r="AH97" s="910"/>
      <c r="AI97" s="910"/>
      <c r="AJ97" s="910"/>
      <c r="AK97" s="910"/>
      <c r="AL97" s="910"/>
      <c r="AM97" s="910"/>
      <c r="AN97" s="910"/>
      <c r="AO97" s="910"/>
      <c r="AP97" s="636"/>
      <c r="AQ97" s="910"/>
      <c r="AR97" s="910"/>
      <c r="AS97" s="910"/>
      <c r="AT97" s="910"/>
      <c r="AU97" s="910"/>
      <c r="AV97" s="910"/>
      <c r="AW97" s="910"/>
      <c r="AX97" s="910"/>
      <c r="AY97" s="910"/>
      <c r="AZ97" s="910"/>
      <c r="BA97" s="910"/>
      <c r="BB97" s="910"/>
      <c r="BC97" s="910"/>
      <c r="BD97" s="910"/>
      <c r="BE97" s="910"/>
      <c r="BF97" s="910"/>
    </row>
    <row r="98" spans="1:58" ht="12" hidden="1" customHeight="1">
      <c r="A98" s="909">
        <f>IF(ISBLANK(U16),1,0)</f>
        <v>1</v>
      </c>
      <c r="B98" s="910"/>
      <c r="C98" s="910"/>
      <c r="D98" s="910"/>
      <c r="E98" s="910"/>
      <c r="F98" s="910"/>
      <c r="G98" s="910"/>
      <c r="H98" s="910"/>
      <c r="I98" s="910"/>
      <c r="J98" s="910"/>
      <c r="K98" s="910"/>
      <c r="L98" s="910"/>
      <c r="M98" s="910"/>
      <c r="N98" s="910"/>
      <c r="O98" s="910"/>
      <c r="P98" s="910"/>
      <c r="Q98" s="910"/>
      <c r="R98" s="910"/>
      <c r="S98" s="910"/>
      <c r="T98" s="910"/>
      <c r="U98" s="910"/>
      <c r="V98" s="910"/>
      <c r="W98" s="910"/>
      <c r="X98" s="910"/>
      <c r="Y98" s="910"/>
      <c r="Z98" s="910"/>
      <c r="AA98" s="910"/>
      <c r="AB98" s="910"/>
      <c r="AC98" s="910"/>
      <c r="AD98" s="910"/>
      <c r="AE98" s="910"/>
      <c r="AF98" s="910"/>
      <c r="AG98" s="910"/>
      <c r="AH98" s="910"/>
      <c r="AI98" s="910"/>
      <c r="AJ98" s="910"/>
      <c r="AK98" s="910"/>
      <c r="AL98" s="910"/>
      <c r="AM98" s="910"/>
      <c r="AN98" s="910"/>
      <c r="AO98" s="910"/>
      <c r="AP98" s="636"/>
      <c r="AQ98" s="910"/>
      <c r="AR98" s="910"/>
      <c r="AS98" s="910"/>
      <c r="AT98" s="910"/>
      <c r="AU98" s="910"/>
      <c r="AV98" s="910"/>
      <c r="AW98" s="910"/>
      <c r="AX98" s="910"/>
      <c r="AY98" s="910"/>
      <c r="AZ98" s="910"/>
      <c r="BA98" s="910"/>
      <c r="BB98" s="910"/>
      <c r="BC98" s="910"/>
      <c r="BD98" s="910"/>
      <c r="BE98" s="910"/>
      <c r="BF98" s="910"/>
    </row>
    <row r="99" spans="1:58" ht="12" hidden="1" customHeight="1">
      <c r="A99" s="910">
        <f>IF(ISBLANK(U39),1,0)</f>
        <v>1</v>
      </c>
      <c r="B99" s="910"/>
      <c r="C99" s="910"/>
      <c r="D99" s="910"/>
      <c r="E99" s="910"/>
      <c r="F99" s="910"/>
      <c r="G99" s="910"/>
      <c r="H99" s="910"/>
      <c r="I99" s="910"/>
      <c r="J99" s="910"/>
      <c r="K99" s="910"/>
      <c r="L99" s="910"/>
      <c r="M99" s="910"/>
      <c r="N99" s="910"/>
      <c r="O99" s="910"/>
      <c r="P99" s="910"/>
      <c r="Q99" s="910"/>
      <c r="R99" s="910"/>
      <c r="S99" s="910"/>
      <c r="T99" s="910"/>
      <c r="U99" s="910"/>
      <c r="V99" s="910"/>
      <c r="W99" s="910"/>
      <c r="X99" s="910"/>
      <c r="Y99" s="910"/>
      <c r="Z99" s="910"/>
      <c r="AA99" s="910"/>
      <c r="AB99" s="910"/>
      <c r="AC99" s="910"/>
      <c r="AD99" s="910"/>
      <c r="AE99" s="910"/>
      <c r="AF99" s="910"/>
      <c r="AG99" s="910"/>
      <c r="AH99" s="910"/>
      <c r="AI99" s="910"/>
      <c r="AJ99" s="910"/>
      <c r="AK99" s="910"/>
      <c r="AL99" s="910"/>
      <c r="AM99" s="910"/>
      <c r="AN99" s="910"/>
      <c r="AO99" s="910"/>
      <c r="AP99" s="636"/>
      <c r="AQ99" s="910"/>
      <c r="AR99" s="910"/>
      <c r="AS99" s="910"/>
      <c r="AT99" s="910"/>
      <c r="AU99" s="910"/>
      <c r="AV99" s="910"/>
      <c r="AW99" s="910"/>
      <c r="AX99" s="910"/>
      <c r="AY99" s="910"/>
      <c r="AZ99" s="910"/>
      <c r="BA99" s="910"/>
      <c r="BB99" s="910"/>
      <c r="BC99" s="910"/>
      <c r="BD99" s="910"/>
      <c r="BE99" s="910"/>
      <c r="BF99" s="910"/>
    </row>
    <row r="100" spans="1:58" ht="12" hidden="1" customHeight="1">
      <c r="A100" s="910">
        <f>IF(ISBLANK(U47),1,0)</f>
        <v>1</v>
      </c>
      <c r="B100" s="910"/>
      <c r="C100" s="910"/>
      <c r="D100" s="910"/>
      <c r="E100" s="910"/>
      <c r="F100" s="910"/>
      <c r="G100" s="910"/>
      <c r="H100" s="910"/>
      <c r="I100" s="910"/>
      <c r="J100" s="910"/>
      <c r="K100" s="910"/>
      <c r="L100" s="910"/>
      <c r="M100" s="910"/>
      <c r="N100" s="910"/>
      <c r="O100" s="910"/>
      <c r="P100" s="910"/>
      <c r="Q100" s="910"/>
      <c r="R100" s="910"/>
      <c r="S100" s="910"/>
      <c r="T100" s="910"/>
      <c r="U100" s="910"/>
      <c r="V100" s="910"/>
      <c r="W100" s="910"/>
      <c r="X100" s="910"/>
      <c r="Y100" s="910"/>
      <c r="Z100" s="910"/>
      <c r="AA100" s="910"/>
      <c r="AB100" s="910"/>
      <c r="AC100" s="910"/>
      <c r="AD100" s="910"/>
      <c r="AE100" s="910"/>
      <c r="AF100" s="910"/>
      <c r="AG100" s="910"/>
      <c r="AH100" s="910"/>
      <c r="AI100" s="910"/>
      <c r="AJ100" s="910"/>
      <c r="AK100" s="910"/>
      <c r="AL100" s="910"/>
      <c r="AM100" s="910"/>
      <c r="AN100" s="910"/>
      <c r="AO100" s="910"/>
      <c r="AP100" s="636"/>
      <c r="AQ100" s="910"/>
      <c r="AR100" s="910"/>
      <c r="AS100" s="910"/>
      <c r="AT100" s="910"/>
      <c r="AU100" s="910"/>
      <c r="AV100" s="910"/>
      <c r="AW100" s="910"/>
      <c r="AX100" s="910"/>
      <c r="AY100" s="910"/>
      <c r="AZ100" s="910"/>
      <c r="BA100" s="910"/>
      <c r="BB100" s="910"/>
      <c r="BC100" s="910"/>
      <c r="BD100" s="910"/>
      <c r="BE100" s="910"/>
      <c r="BF100" s="910"/>
    </row>
    <row r="101" spans="1:58" ht="12" customHeight="1">
      <c r="A101" s="910"/>
      <c r="B101" s="910"/>
      <c r="C101" s="910"/>
      <c r="D101" s="910"/>
      <c r="E101" s="910"/>
      <c r="F101" s="910"/>
      <c r="G101" s="910"/>
      <c r="H101" s="910"/>
      <c r="I101" s="910"/>
      <c r="J101" s="910"/>
      <c r="K101" s="910"/>
      <c r="L101" s="910"/>
      <c r="M101" s="910"/>
      <c r="N101" s="910"/>
      <c r="O101" s="910"/>
      <c r="P101" s="910"/>
      <c r="Q101" s="910"/>
      <c r="R101" s="910"/>
      <c r="S101" s="910"/>
      <c r="T101" s="910"/>
      <c r="U101" s="910"/>
      <c r="V101" s="910"/>
      <c r="W101" s="910"/>
      <c r="X101" s="910"/>
      <c r="Y101" s="910"/>
      <c r="Z101" s="910"/>
      <c r="AA101" s="910"/>
      <c r="AB101" s="910"/>
      <c r="AC101" s="910"/>
      <c r="AD101" s="910"/>
      <c r="AE101" s="910"/>
      <c r="AF101" s="910"/>
      <c r="AG101" s="910"/>
      <c r="AH101" s="910"/>
      <c r="AI101" s="910"/>
      <c r="AJ101" s="910"/>
      <c r="AK101" s="910"/>
      <c r="AL101" s="910"/>
      <c r="AM101" s="910"/>
      <c r="AN101" s="910"/>
      <c r="AO101" s="910"/>
      <c r="AP101" s="636"/>
      <c r="AQ101" s="910"/>
      <c r="AR101" s="910"/>
      <c r="AS101" s="910"/>
      <c r="AT101" s="910"/>
      <c r="AU101" s="910"/>
      <c r="AV101" s="910"/>
      <c r="AW101" s="910"/>
      <c r="AX101" s="910"/>
      <c r="AY101" s="910"/>
      <c r="AZ101" s="910"/>
      <c r="BA101" s="910"/>
      <c r="BB101" s="910"/>
      <c r="BC101" s="910"/>
      <c r="BD101" s="910"/>
      <c r="BE101" s="910"/>
      <c r="BF101" s="910"/>
    </row>
    <row r="102" spans="1:58" ht="12" customHeight="1">
      <c r="A102" s="910"/>
      <c r="B102" s="910"/>
      <c r="C102" s="910"/>
      <c r="D102" s="910"/>
      <c r="E102" s="910"/>
      <c r="F102" s="910"/>
      <c r="G102" s="910"/>
      <c r="H102" s="910"/>
      <c r="I102" s="910"/>
      <c r="J102" s="910"/>
      <c r="K102" s="910"/>
      <c r="L102" s="910"/>
      <c r="M102" s="910"/>
      <c r="N102" s="910"/>
      <c r="O102" s="910"/>
      <c r="P102" s="910"/>
      <c r="Q102" s="910"/>
      <c r="R102" s="910"/>
      <c r="S102" s="910"/>
      <c r="T102" s="910"/>
      <c r="U102" s="910"/>
      <c r="V102" s="910"/>
      <c r="W102" s="910"/>
      <c r="X102" s="910"/>
      <c r="Y102" s="910"/>
      <c r="Z102" s="910"/>
      <c r="AA102" s="910"/>
      <c r="AB102" s="910"/>
      <c r="AC102" s="910"/>
      <c r="AD102" s="910"/>
      <c r="AE102" s="910"/>
      <c r="AF102" s="910"/>
      <c r="AG102" s="910"/>
      <c r="AH102" s="910"/>
      <c r="AI102" s="910"/>
      <c r="AJ102" s="910"/>
      <c r="AK102" s="910"/>
      <c r="AL102" s="910"/>
      <c r="AM102" s="910"/>
      <c r="AN102" s="910"/>
      <c r="AO102" s="910"/>
      <c r="AP102" s="636"/>
      <c r="AQ102" s="910"/>
      <c r="AR102" s="910"/>
      <c r="AS102" s="910"/>
      <c r="AT102" s="910"/>
      <c r="AU102" s="910"/>
      <c r="AV102" s="910"/>
      <c r="AW102" s="910"/>
      <c r="AX102" s="910"/>
      <c r="AY102" s="910"/>
      <c r="AZ102" s="910"/>
      <c r="BA102" s="910"/>
      <c r="BB102" s="910"/>
      <c r="BC102" s="910"/>
      <c r="BD102" s="910"/>
      <c r="BE102" s="910"/>
      <c r="BF102" s="910"/>
    </row>
    <row r="103" spans="1:58" ht="12" customHeight="1">
      <c r="A103" s="910"/>
      <c r="B103" s="910"/>
      <c r="C103" s="910"/>
      <c r="D103" s="910"/>
      <c r="E103" s="910"/>
      <c r="F103" s="910"/>
      <c r="G103" s="910"/>
      <c r="H103" s="910"/>
      <c r="I103" s="910"/>
      <c r="J103" s="910"/>
      <c r="K103" s="910"/>
      <c r="L103" s="910"/>
      <c r="M103" s="910"/>
      <c r="N103" s="910"/>
      <c r="O103" s="910"/>
      <c r="P103" s="910"/>
      <c r="Q103" s="910"/>
      <c r="R103" s="910"/>
      <c r="S103" s="910"/>
      <c r="T103" s="910"/>
      <c r="U103" s="910"/>
      <c r="V103" s="910"/>
      <c r="W103" s="910"/>
      <c r="X103" s="910"/>
      <c r="Y103" s="910"/>
      <c r="Z103" s="910"/>
      <c r="AA103" s="910"/>
      <c r="AB103" s="910"/>
      <c r="AC103" s="910"/>
      <c r="AD103" s="1073"/>
      <c r="AE103" s="163"/>
      <c r="AF103" s="163"/>
      <c r="AG103" s="1074"/>
      <c r="AH103" s="1075"/>
      <c r="AI103" s="1075"/>
      <c r="AJ103" s="1075"/>
      <c r="AK103" s="1075"/>
      <c r="AL103" s="163"/>
      <c r="AM103" s="163"/>
      <c r="AN103" s="163"/>
      <c r="AO103" s="5"/>
      <c r="AP103" s="636"/>
      <c r="AQ103" s="910"/>
      <c r="AR103" s="910"/>
      <c r="AS103" s="910"/>
      <c r="AT103" s="910"/>
      <c r="AU103" s="910"/>
      <c r="AV103" s="910"/>
      <c r="AW103" s="910"/>
      <c r="AX103" s="910"/>
      <c r="AY103" s="910"/>
      <c r="AZ103" s="910"/>
      <c r="BA103" s="910"/>
      <c r="BB103" s="910"/>
      <c r="BC103" s="910"/>
      <c r="BD103" s="910"/>
      <c r="BE103" s="910"/>
      <c r="BF103" s="910"/>
    </row>
    <row r="104" spans="1:58" ht="12" customHeight="1">
      <c r="A104" s="910"/>
      <c r="B104" s="910"/>
      <c r="C104" s="910"/>
      <c r="D104" s="910"/>
      <c r="E104" s="910"/>
      <c r="F104" s="910"/>
      <c r="G104" s="910"/>
      <c r="H104" s="910"/>
      <c r="I104" s="910"/>
      <c r="J104" s="910"/>
      <c r="K104" s="910"/>
      <c r="L104" s="910"/>
      <c r="M104" s="910"/>
      <c r="N104" s="910"/>
      <c r="O104" s="910"/>
      <c r="P104" s="910"/>
      <c r="Q104" s="910"/>
      <c r="R104" s="910"/>
      <c r="S104" s="910"/>
      <c r="T104" s="910"/>
      <c r="U104" s="910"/>
      <c r="V104" s="910"/>
      <c r="W104" s="910"/>
      <c r="X104" s="910"/>
      <c r="Y104" s="910"/>
      <c r="Z104" s="910"/>
      <c r="AA104" s="910"/>
      <c r="AB104" s="910"/>
      <c r="AC104" s="910"/>
      <c r="AD104" s="1076"/>
      <c r="AE104" s="1077"/>
      <c r="AF104" s="1077"/>
      <c r="AG104" s="1077"/>
      <c r="AH104" s="1077"/>
      <c r="AI104" s="1077"/>
      <c r="AJ104" s="1077"/>
      <c r="AK104" s="1077"/>
      <c r="AL104" s="1077"/>
      <c r="AM104" s="1077"/>
      <c r="AN104" s="1077"/>
      <c r="AO104" s="5"/>
      <c r="AP104" s="636"/>
      <c r="AQ104" s="910"/>
      <c r="AR104" s="910"/>
      <c r="AS104" s="910"/>
      <c r="AT104" s="910"/>
      <c r="AU104" s="910"/>
      <c r="AV104" s="910"/>
      <c r="AW104" s="910"/>
      <c r="AX104" s="910"/>
      <c r="AY104" s="910"/>
      <c r="AZ104" s="910"/>
      <c r="BA104" s="910"/>
      <c r="BB104" s="910"/>
      <c r="BC104" s="910"/>
      <c r="BD104" s="910"/>
      <c r="BE104" s="910"/>
      <c r="BF104" s="910"/>
    </row>
    <row r="105" spans="1:58" ht="12" customHeight="1">
      <c r="A105" s="910"/>
      <c r="B105" s="910"/>
      <c r="C105" s="910"/>
      <c r="D105" s="910"/>
      <c r="E105" s="910"/>
      <c r="F105" s="910"/>
      <c r="G105" s="910"/>
      <c r="H105" s="910"/>
      <c r="I105" s="910"/>
      <c r="J105" s="910"/>
      <c r="K105" s="910"/>
      <c r="L105" s="910"/>
      <c r="M105" s="910"/>
      <c r="N105" s="910"/>
      <c r="O105" s="910"/>
      <c r="P105" s="910"/>
      <c r="Q105" s="910"/>
      <c r="R105" s="910"/>
      <c r="S105" s="910"/>
      <c r="T105" s="910"/>
      <c r="U105" s="910"/>
      <c r="V105" s="910"/>
      <c r="W105" s="910"/>
      <c r="X105" s="910"/>
      <c r="Y105" s="910"/>
      <c r="Z105" s="910"/>
      <c r="AA105" s="910"/>
      <c r="AB105" s="910"/>
      <c r="AC105" s="910"/>
      <c r="AD105" s="1073"/>
      <c r="AE105" s="163"/>
      <c r="AF105" s="163"/>
      <c r="AG105" s="163"/>
      <c r="AH105" s="163"/>
      <c r="AI105" s="163"/>
      <c r="AJ105" s="163"/>
      <c r="AK105" s="163"/>
      <c r="AL105" s="163"/>
      <c r="AM105" s="163"/>
      <c r="AN105" s="163"/>
      <c r="AO105" s="5"/>
      <c r="AP105" s="636"/>
      <c r="AQ105" s="910"/>
      <c r="AR105" s="910"/>
      <c r="AS105" s="910"/>
      <c r="AT105" s="910"/>
      <c r="AU105" s="910"/>
      <c r="AV105" s="910"/>
      <c r="AW105" s="910"/>
      <c r="AX105" s="910"/>
      <c r="AY105" s="910"/>
      <c r="AZ105" s="910"/>
      <c r="BA105" s="910"/>
      <c r="BB105" s="910"/>
      <c r="BC105" s="910"/>
      <c r="BD105" s="910"/>
      <c r="BE105" s="910"/>
      <c r="BF105" s="910"/>
    </row>
    <row r="106" spans="1:58" ht="12" customHeight="1">
      <c r="A106" s="910"/>
      <c r="B106" s="910"/>
      <c r="C106" s="910"/>
      <c r="D106" s="910"/>
      <c r="E106" s="910"/>
      <c r="F106" s="910"/>
      <c r="G106" s="910"/>
      <c r="H106" s="910"/>
      <c r="I106" s="910"/>
      <c r="J106" s="910"/>
      <c r="K106" s="910"/>
      <c r="L106" s="910"/>
      <c r="M106" s="910"/>
      <c r="N106" s="910"/>
      <c r="O106" s="910"/>
      <c r="P106" s="910"/>
      <c r="Q106" s="910"/>
      <c r="R106" s="910"/>
      <c r="S106" s="910"/>
      <c r="T106" s="910"/>
      <c r="U106" s="910"/>
      <c r="V106" s="910"/>
      <c r="W106" s="910"/>
      <c r="X106" s="910"/>
      <c r="Y106" s="910"/>
      <c r="Z106" s="910"/>
      <c r="AA106" s="910"/>
      <c r="AB106" s="910"/>
      <c r="AC106" s="910"/>
      <c r="AD106" s="1076"/>
      <c r="AE106" s="1077"/>
      <c r="AF106" s="1077"/>
      <c r="AG106" s="1077"/>
      <c r="AH106" s="1077"/>
      <c r="AI106" s="1077"/>
      <c r="AJ106" s="1077"/>
      <c r="AK106" s="1077"/>
      <c r="AL106" s="1077"/>
      <c r="AM106" s="1077"/>
      <c r="AN106" s="1077"/>
      <c r="AO106" s="5"/>
      <c r="AP106" s="636"/>
      <c r="AQ106" s="910"/>
      <c r="AR106" s="910"/>
      <c r="AS106" s="910"/>
      <c r="AT106" s="910"/>
      <c r="AU106" s="910"/>
      <c r="AV106" s="910"/>
      <c r="AW106" s="910"/>
      <c r="AX106" s="910"/>
      <c r="AY106" s="910"/>
      <c r="AZ106" s="910"/>
      <c r="BA106" s="910"/>
      <c r="BB106" s="910"/>
      <c r="BC106" s="910"/>
      <c r="BD106" s="910"/>
      <c r="BE106" s="910"/>
      <c r="BF106" s="910"/>
    </row>
    <row r="107" spans="1:58" ht="12" customHeight="1">
      <c r="A107" s="910"/>
      <c r="B107" s="910"/>
      <c r="C107" s="910"/>
      <c r="D107" s="910"/>
      <c r="E107" s="910"/>
      <c r="F107" s="910"/>
      <c r="G107" s="910"/>
      <c r="H107" s="910"/>
      <c r="I107" s="910"/>
      <c r="J107" s="910"/>
      <c r="K107" s="910"/>
      <c r="L107" s="910"/>
      <c r="M107" s="910"/>
      <c r="N107" s="910"/>
      <c r="O107" s="910"/>
      <c r="P107" s="910"/>
      <c r="Q107" s="910"/>
      <c r="R107" s="910"/>
      <c r="S107" s="910"/>
      <c r="T107" s="910"/>
      <c r="U107" s="910"/>
      <c r="V107" s="910"/>
      <c r="W107" s="910"/>
      <c r="X107" s="910"/>
      <c r="Y107" s="910"/>
      <c r="Z107" s="910"/>
      <c r="AA107" s="910"/>
      <c r="AB107" s="910"/>
      <c r="AC107" s="910"/>
      <c r="AD107" s="1078"/>
      <c r="AE107" s="163"/>
      <c r="AF107" s="163"/>
      <c r="AG107" s="163"/>
      <c r="AH107" s="163"/>
      <c r="AI107" s="163"/>
      <c r="AJ107" s="163"/>
      <c r="AK107" s="163"/>
      <c r="AL107" s="163"/>
      <c r="AM107" s="163"/>
      <c r="AN107" s="163"/>
      <c r="AO107" s="5"/>
      <c r="AP107" s="636"/>
      <c r="AQ107" s="910"/>
      <c r="AR107" s="910"/>
      <c r="AS107" s="910"/>
      <c r="AT107" s="910"/>
      <c r="AU107" s="910"/>
      <c r="AV107" s="910"/>
      <c r="AW107" s="910"/>
      <c r="AX107" s="910"/>
      <c r="AY107" s="910"/>
      <c r="AZ107" s="910"/>
      <c r="BA107" s="910"/>
      <c r="BB107" s="910"/>
      <c r="BC107" s="910"/>
      <c r="BD107" s="910"/>
      <c r="BE107" s="910"/>
      <c r="BF107" s="910"/>
    </row>
    <row r="108" spans="1:58" ht="12" customHeight="1">
      <c r="A108" s="910"/>
      <c r="B108" s="910"/>
      <c r="C108" s="910"/>
      <c r="D108" s="910"/>
      <c r="E108" s="910"/>
      <c r="F108" s="910"/>
      <c r="G108" s="910"/>
      <c r="H108" s="910"/>
      <c r="I108" s="910"/>
      <c r="J108" s="910"/>
      <c r="K108" s="910"/>
      <c r="L108" s="910"/>
      <c r="M108" s="910"/>
      <c r="N108" s="910"/>
      <c r="O108" s="910"/>
      <c r="P108" s="910"/>
      <c r="Q108" s="910"/>
      <c r="R108" s="910"/>
      <c r="S108" s="910"/>
      <c r="T108" s="910"/>
      <c r="U108" s="910"/>
      <c r="V108" s="910"/>
      <c r="W108" s="910"/>
      <c r="X108" s="910"/>
      <c r="Y108" s="910"/>
      <c r="Z108" s="910"/>
      <c r="AA108" s="910"/>
      <c r="AB108" s="910"/>
      <c r="AC108" s="910"/>
      <c r="AD108" s="910"/>
      <c r="AE108" s="910"/>
      <c r="AF108" s="910"/>
      <c r="AG108" s="910"/>
      <c r="AH108" s="910"/>
      <c r="AI108" s="910"/>
      <c r="AJ108" s="910"/>
      <c r="AK108" s="910"/>
      <c r="AL108" s="910"/>
      <c r="AM108" s="910"/>
      <c r="AN108" s="910"/>
      <c r="AO108" s="910"/>
      <c r="AP108" s="636"/>
      <c r="AQ108" s="910"/>
      <c r="AR108" s="910"/>
      <c r="AS108" s="910"/>
      <c r="AT108" s="910"/>
      <c r="AU108" s="910"/>
      <c r="AV108" s="910"/>
      <c r="AW108" s="910"/>
      <c r="AX108" s="910"/>
      <c r="AY108" s="910"/>
      <c r="AZ108" s="910"/>
      <c r="BA108" s="910"/>
      <c r="BB108" s="910"/>
      <c r="BC108" s="910"/>
      <c r="BD108" s="910"/>
      <c r="BE108" s="910"/>
      <c r="BF108" s="910"/>
    </row>
    <row r="109" spans="1:58" ht="12" customHeight="1">
      <c r="A109" s="910"/>
      <c r="B109" s="910"/>
      <c r="C109" s="910"/>
      <c r="D109" s="910"/>
      <c r="E109" s="910"/>
      <c r="F109" s="910"/>
      <c r="G109" s="910"/>
      <c r="H109" s="910"/>
      <c r="I109" s="910"/>
      <c r="J109" s="910"/>
      <c r="K109" s="910"/>
      <c r="L109" s="910"/>
      <c r="M109" s="910"/>
      <c r="N109" s="910"/>
      <c r="O109" s="910"/>
      <c r="P109" s="910"/>
      <c r="Q109" s="910"/>
      <c r="R109" s="910"/>
      <c r="S109" s="910"/>
      <c r="T109" s="910"/>
      <c r="U109" s="910"/>
      <c r="V109" s="910"/>
      <c r="W109" s="910"/>
      <c r="X109" s="910"/>
      <c r="Y109" s="910"/>
      <c r="Z109" s="910"/>
      <c r="AA109" s="910"/>
      <c r="AB109" s="910"/>
      <c r="AC109" s="910"/>
      <c r="AD109" s="910"/>
      <c r="AE109" s="910"/>
      <c r="AF109" s="910"/>
      <c r="AG109" s="910"/>
      <c r="AH109" s="910"/>
      <c r="AI109" s="910"/>
      <c r="AJ109" s="910"/>
      <c r="AK109" s="910"/>
      <c r="AL109" s="910"/>
      <c r="AM109" s="910"/>
      <c r="AN109" s="910"/>
      <c r="AO109" s="910"/>
      <c r="AP109" s="636"/>
      <c r="AQ109" s="910"/>
      <c r="AR109" s="910"/>
      <c r="AS109" s="910"/>
      <c r="AT109" s="910"/>
      <c r="AU109" s="910"/>
      <c r="AV109" s="910"/>
      <c r="AW109" s="910"/>
      <c r="AX109" s="910"/>
      <c r="AY109" s="910"/>
      <c r="AZ109" s="910"/>
      <c r="BA109" s="910"/>
      <c r="BB109" s="910"/>
      <c r="BC109" s="910"/>
      <c r="BD109" s="910"/>
      <c r="BE109" s="910"/>
      <c r="BF109" s="910"/>
    </row>
    <row r="110" spans="1:58" ht="12" customHeight="1">
      <c r="A110" s="910"/>
      <c r="B110" s="910"/>
      <c r="C110" s="910"/>
      <c r="D110" s="910"/>
      <c r="E110" s="910"/>
      <c r="F110" s="910"/>
      <c r="G110" s="910"/>
      <c r="H110" s="910"/>
      <c r="I110" s="910"/>
      <c r="J110" s="910"/>
      <c r="K110" s="910"/>
      <c r="L110" s="910"/>
      <c r="M110" s="910"/>
      <c r="N110" s="910"/>
      <c r="O110" s="910"/>
      <c r="P110" s="910"/>
      <c r="Q110" s="910"/>
      <c r="R110" s="910"/>
      <c r="S110" s="910"/>
      <c r="T110" s="910"/>
      <c r="U110" s="910"/>
      <c r="V110" s="910"/>
      <c r="W110" s="910"/>
      <c r="X110" s="910"/>
      <c r="Y110" s="910"/>
      <c r="Z110" s="910"/>
      <c r="AA110" s="910"/>
      <c r="AB110" s="910"/>
      <c r="AC110" s="910"/>
      <c r="AD110" s="910"/>
      <c r="AE110" s="910"/>
      <c r="AF110" s="910"/>
      <c r="AG110" s="910"/>
      <c r="AH110" s="910"/>
      <c r="AI110" s="910"/>
      <c r="AJ110" s="910"/>
      <c r="AK110" s="910"/>
      <c r="AL110" s="910"/>
      <c r="AM110" s="910"/>
      <c r="AN110" s="910"/>
      <c r="AO110" s="910"/>
      <c r="AP110" s="636"/>
      <c r="AQ110" s="910"/>
      <c r="AR110" s="910"/>
      <c r="AS110" s="910"/>
      <c r="AT110" s="910"/>
      <c r="AU110" s="910"/>
      <c r="AV110" s="910"/>
      <c r="AW110" s="910"/>
      <c r="AX110" s="910"/>
      <c r="AY110" s="910"/>
      <c r="AZ110" s="910"/>
      <c r="BA110" s="910"/>
      <c r="BB110" s="910"/>
      <c r="BC110" s="910"/>
      <c r="BD110" s="910"/>
      <c r="BE110" s="910"/>
      <c r="BF110" s="910"/>
    </row>
    <row r="111" spans="1:58" ht="12" customHeight="1">
      <c r="A111" s="910"/>
      <c r="B111" s="910"/>
      <c r="C111" s="910"/>
      <c r="D111" s="910"/>
      <c r="E111" s="910"/>
      <c r="F111" s="910"/>
      <c r="G111" s="910"/>
      <c r="H111" s="910"/>
      <c r="I111" s="910"/>
      <c r="J111" s="910"/>
      <c r="K111" s="910"/>
      <c r="L111" s="910"/>
      <c r="M111" s="910"/>
      <c r="N111" s="910"/>
      <c r="O111" s="910"/>
      <c r="P111" s="910"/>
      <c r="Q111" s="910"/>
      <c r="R111" s="910"/>
      <c r="S111" s="910"/>
      <c r="T111" s="910"/>
      <c r="U111" s="910"/>
      <c r="V111" s="910"/>
      <c r="W111" s="910"/>
      <c r="X111" s="910"/>
      <c r="Y111" s="910"/>
      <c r="Z111" s="910"/>
      <c r="AA111" s="910"/>
      <c r="AB111" s="910"/>
      <c r="AC111" s="910"/>
      <c r="AD111" s="910"/>
      <c r="AE111" s="910"/>
      <c r="AF111" s="910"/>
      <c r="AG111" s="910"/>
      <c r="AH111" s="910"/>
      <c r="AI111" s="910"/>
      <c r="AJ111" s="910"/>
      <c r="AK111" s="910"/>
      <c r="AL111" s="910"/>
      <c r="AM111" s="910"/>
      <c r="AN111" s="910"/>
      <c r="AO111" s="910"/>
      <c r="AP111" s="636"/>
      <c r="AQ111" s="910"/>
      <c r="AR111" s="910"/>
      <c r="AS111" s="910"/>
      <c r="AT111" s="910"/>
      <c r="AU111" s="910"/>
      <c r="AV111" s="910"/>
      <c r="AW111" s="910"/>
      <c r="AX111" s="910"/>
      <c r="AY111" s="910"/>
      <c r="AZ111" s="910"/>
      <c r="BA111" s="910"/>
      <c r="BB111" s="910"/>
      <c r="BC111" s="910"/>
      <c r="BD111" s="910"/>
      <c r="BE111" s="910"/>
      <c r="BF111" s="910"/>
    </row>
    <row r="112" spans="1:58" ht="12" customHeight="1">
      <c r="A112" s="910"/>
      <c r="B112" s="910"/>
      <c r="C112" s="910"/>
      <c r="D112" s="910"/>
      <c r="E112" s="910"/>
      <c r="F112" s="910"/>
      <c r="G112" s="910"/>
      <c r="H112" s="910"/>
      <c r="I112" s="910"/>
      <c r="J112" s="910"/>
      <c r="K112" s="910"/>
      <c r="L112" s="910"/>
      <c r="M112" s="910"/>
      <c r="N112" s="910"/>
      <c r="O112" s="910"/>
      <c r="P112" s="910"/>
      <c r="Q112" s="910"/>
      <c r="R112" s="910"/>
      <c r="S112" s="910"/>
      <c r="T112" s="910"/>
      <c r="U112" s="910"/>
      <c r="V112" s="910"/>
      <c r="W112" s="910"/>
      <c r="X112" s="910"/>
      <c r="Y112" s="910"/>
      <c r="Z112" s="910"/>
      <c r="AA112" s="910"/>
      <c r="AB112" s="910"/>
      <c r="AC112" s="910"/>
      <c r="AD112" s="910"/>
      <c r="AE112" s="910"/>
      <c r="AF112" s="910"/>
      <c r="AG112" s="910"/>
      <c r="AH112" s="910"/>
      <c r="AI112" s="910"/>
      <c r="AJ112" s="910"/>
      <c r="AK112" s="910"/>
      <c r="AL112" s="910"/>
      <c r="AM112" s="910"/>
      <c r="AN112" s="910"/>
      <c r="AO112" s="910"/>
      <c r="AP112" s="636"/>
      <c r="AQ112" s="910"/>
      <c r="AR112" s="910"/>
      <c r="AS112" s="910"/>
      <c r="AT112" s="910"/>
      <c r="AU112" s="910"/>
      <c r="AV112" s="910"/>
      <c r="AW112" s="910"/>
      <c r="AX112" s="910"/>
      <c r="AY112" s="910"/>
      <c r="AZ112" s="910"/>
      <c r="BA112" s="910"/>
      <c r="BB112" s="910"/>
      <c r="BC112" s="910"/>
      <c r="BD112" s="910"/>
      <c r="BE112" s="910"/>
      <c r="BF112" s="910"/>
    </row>
    <row r="113" spans="1:58" ht="12" customHeight="1">
      <c r="A113" s="910"/>
      <c r="B113" s="910"/>
      <c r="C113" s="910"/>
      <c r="D113" s="910"/>
      <c r="E113" s="910"/>
      <c r="F113" s="910"/>
      <c r="G113" s="910"/>
      <c r="H113" s="910"/>
      <c r="I113" s="910"/>
      <c r="J113" s="910"/>
      <c r="K113" s="910"/>
      <c r="L113" s="910"/>
      <c r="M113" s="910"/>
      <c r="N113" s="910"/>
      <c r="O113" s="910"/>
      <c r="P113" s="910"/>
      <c r="Q113" s="910"/>
      <c r="R113" s="910"/>
      <c r="S113" s="910"/>
      <c r="T113" s="910"/>
      <c r="U113" s="910"/>
      <c r="V113" s="910"/>
      <c r="W113" s="910"/>
      <c r="X113" s="910"/>
      <c r="Y113" s="910"/>
      <c r="Z113" s="910"/>
      <c r="AA113" s="910"/>
      <c r="AB113" s="910"/>
      <c r="AC113" s="910"/>
      <c r="AD113" s="910"/>
      <c r="AE113" s="910"/>
      <c r="AF113" s="910"/>
      <c r="AG113" s="910"/>
      <c r="AH113" s="910"/>
      <c r="AI113" s="910"/>
      <c r="AJ113" s="910"/>
      <c r="AK113" s="910"/>
      <c r="AL113" s="910"/>
      <c r="AM113" s="910"/>
      <c r="AN113" s="910"/>
      <c r="AO113" s="910"/>
      <c r="AP113" s="636"/>
      <c r="AQ113" s="910"/>
      <c r="AR113" s="910"/>
      <c r="AS113" s="910"/>
      <c r="AT113" s="910"/>
      <c r="AU113" s="910"/>
      <c r="AV113" s="910"/>
      <c r="AW113" s="910"/>
      <c r="AX113" s="910"/>
      <c r="AY113" s="910"/>
      <c r="AZ113" s="910"/>
      <c r="BA113" s="910"/>
      <c r="BB113" s="910"/>
      <c r="BC113" s="910"/>
      <c r="BD113" s="910"/>
      <c r="BE113" s="910"/>
      <c r="BF113" s="910"/>
    </row>
    <row r="114" spans="1:58" ht="12" hidden="1" customHeight="1">
      <c r="A114" s="910"/>
      <c r="B114" s="910"/>
      <c r="C114" s="910"/>
      <c r="D114" s="910"/>
      <c r="E114" s="910"/>
      <c r="F114" s="910"/>
      <c r="G114" s="910"/>
      <c r="H114" s="910"/>
      <c r="I114" s="910"/>
      <c r="J114" s="910"/>
      <c r="K114" s="910"/>
      <c r="L114" s="910"/>
      <c r="M114" s="910"/>
      <c r="N114" s="910"/>
      <c r="O114" s="910"/>
      <c r="P114" s="910"/>
      <c r="Q114" s="910"/>
      <c r="R114" s="910"/>
      <c r="S114" s="910"/>
      <c r="T114" s="910"/>
      <c r="U114" s="910"/>
      <c r="V114" s="910"/>
      <c r="W114" s="910"/>
      <c r="X114" s="910"/>
      <c r="Y114" s="910"/>
      <c r="Z114" s="910"/>
      <c r="AA114" s="910"/>
      <c r="AB114" s="910"/>
      <c r="AC114" s="910"/>
      <c r="AD114" s="910"/>
      <c r="AE114" s="910"/>
      <c r="AF114" s="910"/>
      <c r="AG114" s="910"/>
      <c r="AH114" s="910"/>
      <c r="AI114" s="910"/>
      <c r="AJ114" s="910"/>
      <c r="AK114" s="910"/>
      <c r="AL114" s="910"/>
      <c r="AM114" s="910"/>
      <c r="AN114" s="910"/>
      <c r="AO114" s="910"/>
      <c r="AP114" s="636"/>
      <c r="AQ114" s="910"/>
      <c r="AR114" s="910"/>
      <c r="AS114" s="910"/>
      <c r="AT114" s="910"/>
      <c r="AU114" s="910"/>
      <c r="AV114" s="910"/>
      <c r="AW114" s="910"/>
      <c r="AX114" s="910"/>
      <c r="AY114" s="910"/>
      <c r="AZ114" s="910"/>
      <c r="BA114" s="910"/>
      <c r="BB114" s="910"/>
      <c r="BC114" s="910"/>
      <c r="BD114" s="910"/>
      <c r="BE114" s="910"/>
      <c r="BF114" s="910"/>
    </row>
    <row r="115" spans="1:58" ht="8.25" hidden="1" customHeight="1">
      <c r="A115" s="910">
        <f>SUM(A77:A98)</f>
        <v>22</v>
      </c>
      <c r="AP115" s="36"/>
      <c r="AW115" s="910"/>
      <c r="BC115" s="910"/>
    </row>
  </sheetData>
  <sheetProtection algorithmName="SHA-512" hashValue="NUggV8OzjFt8AJbIeXFfy/BNdhUHBN+L8e5lRku+Mic2ZmPH+PpvDgketFZFps3AvXT4nHjhPcA7jzc7H8l3mQ==" saltValue="1fobTlAzZlFDdgM7LwY3QQ==" spinCount="100000" sheet="1" selectLockedCells="1"/>
  <mergeCells count="110">
    <mergeCell ref="O58:R58"/>
    <mergeCell ref="AI35:AN35"/>
    <mergeCell ref="AF70:AO70"/>
    <mergeCell ref="K62:N62"/>
    <mergeCell ref="K63:N63"/>
    <mergeCell ref="K64:N64"/>
    <mergeCell ref="S59:V59"/>
    <mergeCell ref="S60:V60"/>
    <mergeCell ref="F66:M66"/>
    <mergeCell ref="O61:R61"/>
    <mergeCell ref="O64:R64"/>
    <mergeCell ref="S64:V64"/>
    <mergeCell ref="O63:R63"/>
    <mergeCell ref="S57:V57"/>
    <mergeCell ref="AF45:AH45"/>
    <mergeCell ref="AF35:AH35"/>
    <mergeCell ref="AF65:AI65"/>
    <mergeCell ref="AF66:AO66"/>
    <mergeCell ref="AF59:AO63"/>
    <mergeCell ref="AF67:AO67"/>
    <mergeCell ref="AF68:AO68"/>
    <mergeCell ref="AF69:AO69"/>
    <mergeCell ref="S56:V56"/>
    <mergeCell ref="AB56:AD56"/>
    <mergeCell ref="AB57:AD58"/>
    <mergeCell ref="AF56:AO58"/>
    <mergeCell ref="B53:J53"/>
    <mergeCell ref="K53:T53"/>
    <mergeCell ref="B37:T37"/>
    <mergeCell ref="U51:AN51"/>
    <mergeCell ref="BC61:BN64"/>
    <mergeCell ref="O56:R56"/>
    <mergeCell ref="F70:M70"/>
    <mergeCell ref="F68:M68"/>
    <mergeCell ref="F67:M67"/>
    <mergeCell ref="F69:M69"/>
    <mergeCell ref="K57:N57"/>
    <mergeCell ref="O57:R57"/>
    <mergeCell ref="B65:M65"/>
    <mergeCell ref="W59:Z59"/>
    <mergeCell ref="W60:Z60"/>
    <mergeCell ref="W61:Z61"/>
    <mergeCell ref="W64:Z64"/>
    <mergeCell ref="S62:V62"/>
    <mergeCell ref="S63:V63"/>
    <mergeCell ref="S61:V61"/>
    <mergeCell ref="K56:N56"/>
    <mergeCell ref="W62:Z62"/>
    <mergeCell ref="W63:Z63"/>
    <mergeCell ref="W56:Z56"/>
    <mergeCell ref="U10:X11"/>
    <mergeCell ref="U19:AD19"/>
    <mergeCell ref="F71:M71"/>
    <mergeCell ref="T71:AO71"/>
    <mergeCell ref="K59:N59"/>
    <mergeCell ref="K60:N60"/>
    <mergeCell ref="K61:N61"/>
    <mergeCell ref="O59:R59"/>
    <mergeCell ref="O60:R60"/>
    <mergeCell ref="B55:AO55"/>
    <mergeCell ref="W57:Z57"/>
    <mergeCell ref="S58:V58"/>
    <mergeCell ref="W58:Z58"/>
    <mergeCell ref="O62:R62"/>
    <mergeCell ref="K58:N58"/>
    <mergeCell ref="AI45:AN45"/>
    <mergeCell ref="U47:AN47"/>
    <mergeCell ref="U39:AN39"/>
    <mergeCell ref="B47:J47"/>
    <mergeCell ref="K39:T39"/>
    <mergeCell ref="B43:T43"/>
    <mergeCell ref="U43:AN43"/>
    <mergeCell ref="U53:AN53"/>
    <mergeCell ref="B27:T27"/>
    <mergeCell ref="B25:T25"/>
    <mergeCell ref="U25:AE25"/>
    <mergeCell ref="AF25:AH25"/>
    <mergeCell ref="AI25:AN25"/>
    <mergeCell ref="U27:AN27"/>
    <mergeCell ref="F1:I1"/>
    <mergeCell ref="AE10:AI11"/>
    <mergeCell ref="AJ11:AN11"/>
    <mergeCell ref="U23:AE23"/>
    <mergeCell ref="Y11:AC11"/>
    <mergeCell ref="B14:T14"/>
    <mergeCell ref="U14:AN14"/>
    <mergeCell ref="B16:J16"/>
    <mergeCell ref="K16:T16"/>
    <mergeCell ref="U16:AN16"/>
    <mergeCell ref="B21:T21"/>
    <mergeCell ref="G11:R11"/>
    <mergeCell ref="B19:T19"/>
    <mergeCell ref="AI23:AN23"/>
    <mergeCell ref="AF23:AH23"/>
    <mergeCell ref="U21:AN21"/>
    <mergeCell ref="G3:AD4"/>
    <mergeCell ref="B23:T23"/>
    <mergeCell ref="B35:T35"/>
    <mergeCell ref="B51:T51"/>
    <mergeCell ref="B45:T45"/>
    <mergeCell ref="U45:AE45"/>
    <mergeCell ref="U35:AE35"/>
    <mergeCell ref="B39:J39"/>
    <mergeCell ref="U29:AN29"/>
    <mergeCell ref="U33:AN33"/>
    <mergeCell ref="B33:T33"/>
    <mergeCell ref="B29:J29"/>
    <mergeCell ref="K29:T29"/>
    <mergeCell ref="K47:T47"/>
    <mergeCell ref="U37:AN37"/>
  </mergeCells>
  <conditionalFormatting sqref="E5">
    <cfRule type="cellIs" dxfId="152" priority="2" stopIfTrue="1" operator="equal">
      <formula>0</formula>
    </cfRule>
  </conditionalFormatting>
  <conditionalFormatting sqref="K57:Z63">
    <cfRule type="cellIs" dxfId="151" priority="1" operator="greaterThan">
      <formula>24</formula>
    </cfRule>
  </conditionalFormatting>
  <dataValidations xWindow="142" yWindow="552" count="16">
    <dataValidation type="date" operator="greaterThanOrEqual" allowBlank="1" showErrorMessage="1" errorTitle="Error:" error="Completion Date is prior to Start Date" sqref="AJ11:AN11" xr:uid="{00000000-0002-0000-0100-000000000000}">
      <formula1>Y11</formula1>
    </dataValidation>
    <dataValidation allowBlank="1" showErrorMessage="1" sqref="AA62:AC62 C17:AN17 AD107:AE107 AA64:AC64" xr:uid="{00000000-0002-0000-0100-000001000000}"/>
    <dataValidation type="list" allowBlank="1" showInputMessage="1" showErrorMessage="1" sqref="G11:R11" xr:uid="{00000000-0002-0000-0100-000002000000}">
      <formula1>appstatuslist</formula1>
    </dataValidation>
    <dataValidation type="list" allowBlank="1" showInputMessage="1" showErrorMessage="1" sqref="U21:AN21" xr:uid="{00000000-0002-0000-0100-000003000000}">
      <formula1>buildingtypelist3</formula1>
    </dataValidation>
    <dataValidation type="textLength" operator="greaterThanOrEqual" allowBlank="1" showInputMessage="1" showErrorMessage="1" sqref="U29:AN29 U53:AN53 U39:AN39 U47:AN47 U16:AN16" xr:uid="{00000000-0002-0000-0100-000005000000}">
      <formula1>5</formula1>
    </dataValidation>
    <dataValidation type="list" allowBlank="1" showInputMessage="1" showErrorMessage="1" errorTitle="Select Idaho or Oregon only" promptTitle=" " sqref="AF23:AH23" xr:uid="{00000000-0002-0000-0100-000006000000}">
      <formula1>statelist</formula1>
    </dataValidation>
    <dataValidation type="date" operator="greaterThanOrEqual" allowBlank="1" showInputMessage="1" showErrorMessage="1" errorTitle="Error:" error="Start Date must be 9/5/2023 or later" sqref="Y11:AC11" xr:uid="{00000000-0002-0000-0100-000007000000}">
      <formula1>45174</formula1>
    </dataValidation>
    <dataValidation operator="greaterThan" allowBlank="1" showInputMessage="1" showErrorMessage="1" promptTitle="Note:" prompt="Please enter correct license number" sqref="U33:AN33" xr:uid="{00000000-0002-0000-0100-000008000000}"/>
    <dataValidation operator="lessThan" allowBlank="1" showInputMessage="1" showErrorMessage="1" promptTitle="Note:" prompt="Enter 10 digit phone number, please enter extension number if applicable." sqref="B29:J29 B39:J39 B16:J16" xr:uid="{00000000-0002-0000-0100-000009000000}"/>
    <dataValidation allowBlank="1" showErrorMessage="1" promptTitle="Note:" prompt="Account Number should begin with a 2" sqref="U19:AD19" xr:uid="{00000000-0002-0000-0100-00000A000000}"/>
    <dataValidation type="custom" allowBlank="1" sqref="B19:T19" xr:uid="{00000000-0002-0000-0100-00000B000000}">
      <formula1>AND(CODE(LEFT(B19,1)))</formula1>
    </dataValidation>
    <dataValidation type="whole" allowBlank="1" showInputMessage="1" showErrorMessage="1" sqref="AI23:AN23 AI25:AN25 AI35:AN35 AI45:AN45" xr:uid="{00000000-0002-0000-0100-00000C000000}">
      <formula1>1</formula1>
      <formula2>99999</formula2>
    </dataValidation>
    <dataValidation operator="lessThan" allowBlank="1" showInputMessage="1" showErrorMessage="1" promptTitle="Note:" prompt="Enter 10 digit number with no spaces or dashes." sqref="K29:T29 K39:T39" xr:uid="{00000000-0002-0000-0100-00000D000000}"/>
    <dataValidation operator="equal" allowBlank="1" showInputMessage="1" showErrorMessage="1" promptTitle="Note:" prompt="Enter 10 digit number with no spaces or dashes." sqref="K16:T16" xr:uid="{00000000-0002-0000-0100-00000E000000}"/>
    <dataValidation type="whole" allowBlank="1" showInputMessage="1" showErrorMessage="1" sqref="AB57:AD58" xr:uid="{AE9B9F3E-6444-4E94-AF1D-E7831D3F6D99}">
      <formula1>1</formula1>
      <formula2>8760</formula2>
    </dataValidation>
    <dataValidation type="decimal" allowBlank="1" showInputMessage="1" showErrorMessage="1" sqref="K57:Z63" xr:uid="{00000000-0002-0000-0100-00000F000000}">
      <formula1>0.5</formula1>
      <formula2>24</formula2>
    </dataValidation>
  </dataValidations>
  <printOptions horizontalCentered="1"/>
  <pageMargins left="0.25" right="0.25" top="0.75" bottom="0.75" header="0.3" footer="0.3"/>
  <pageSetup scale="63" orientation="portrait" horizontalDpi="4294967293" verticalDpi="4294967293" r:id="rId1"/>
  <colBreaks count="1" manualBreakCount="1">
    <brk id="4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Option Button 2">
              <controlPr locked="0" defaultSize="0" autoFill="0" autoLine="0" autoPict="0">
                <anchor>
                  <from>
                    <xdr:col>29</xdr:col>
                    <xdr:colOff>238125</xdr:colOff>
                    <xdr:row>18</xdr:row>
                    <xdr:rowOff>9525</xdr:rowOff>
                  </from>
                  <to>
                    <xdr:col>34</xdr:col>
                    <xdr:colOff>200025</xdr:colOff>
                    <xdr:row>18</xdr:row>
                    <xdr:rowOff>209550</xdr:rowOff>
                  </to>
                </anchor>
              </controlPr>
            </control>
          </mc:Choice>
        </mc:AlternateContent>
        <mc:AlternateContent xmlns:mc="http://schemas.openxmlformats.org/markup-compatibility/2006">
          <mc:Choice Requires="x14">
            <control shapeId="3075" r:id="rId5" name="Option Button 3">
              <controlPr locked="0" defaultSize="0" autoFill="0" autoLine="0" autoPict="0">
                <anchor>
                  <from>
                    <xdr:col>34</xdr:col>
                    <xdr:colOff>180975</xdr:colOff>
                    <xdr:row>17</xdr:row>
                    <xdr:rowOff>247650</xdr:rowOff>
                  </from>
                  <to>
                    <xdr:col>39</xdr:col>
                    <xdr:colOff>142875</xdr:colOff>
                    <xdr:row>19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10815-8085-4EBA-973F-ED20B599D386}">
  <sheetPr codeName="Sheet17">
    <tabColor rgb="FF009999"/>
  </sheetPr>
  <dimension ref="A1:B67"/>
  <sheetViews>
    <sheetView workbookViewId="0"/>
  </sheetViews>
  <sheetFormatPr defaultRowHeight="15"/>
  <cols>
    <col min="1" max="1" width="10.7109375" style="1599" bestFit="1" customWidth="1"/>
    <col min="2" max="2" width="80.5703125" style="1" customWidth="1"/>
  </cols>
  <sheetData>
    <row r="1" spans="1:2">
      <c r="A1" s="1598" t="s">
        <v>179</v>
      </c>
      <c r="B1" s="1384" t="s">
        <v>1681</v>
      </c>
    </row>
    <row r="2" spans="1:2">
      <c r="A2" s="1599">
        <v>44552</v>
      </c>
      <c r="B2" s="1" t="s">
        <v>1682</v>
      </c>
    </row>
    <row r="3" spans="1:2" ht="30">
      <c r="A3" s="1599">
        <v>44552</v>
      </c>
      <c r="B3" s="1" t="s">
        <v>1684</v>
      </c>
    </row>
    <row r="4" spans="1:2" ht="30">
      <c r="A4" s="1599">
        <v>44552</v>
      </c>
      <c r="B4" s="1" t="s">
        <v>1685</v>
      </c>
    </row>
    <row r="5" spans="1:2" ht="30">
      <c r="A5" s="1599">
        <v>44552</v>
      </c>
      <c r="B5" s="1" t="s">
        <v>1686</v>
      </c>
    </row>
    <row r="6" spans="1:2">
      <c r="A6" s="1599">
        <v>44552</v>
      </c>
      <c r="B6" s="1" t="s">
        <v>1687</v>
      </c>
    </row>
    <row r="7" spans="1:2">
      <c r="A7" s="1599">
        <v>44553</v>
      </c>
      <c r="B7" s="1" t="s">
        <v>1688</v>
      </c>
    </row>
    <row r="8" spans="1:2">
      <c r="A8" s="1599">
        <v>44553</v>
      </c>
      <c r="B8" s="1" t="s">
        <v>1689</v>
      </c>
    </row>
    <row r="9" spans="1:2">
      <c r="A9" s="1599">
        <v>44553</v>
      </c>
      <c r="B9" s="1" t="s">
        <v>1691</v>
      </c>
    </row>
    <row r="10" spans="1:2">
      <c r="A10" s="1599">
        <v>44553</v>
      </c>
      <c r="B10" s="1" t="s">
        <v>1690</v>
      </c>
    </row>
    <row r="11" spans="1:2">
      <c r="A11" s="1599">
        <v>44553</v>
      </c>
      <c r="B11" s="1" t="s">
        <v>1692</v>
      </c>
    </row>
    <row r="12" spans="1:2">
      <c r="A12" s="1599">
        <v>44553</v>
      </c>
      <c r="B12" s="1" t="s">
        <v>1693</v>
      </c>
    </row>
    <row r="13" spans="1:2" ht="30">
      <c r="A13" s="1599">
        <v>44553</v>
      </c>
      <c r="B13" s="1" t="s">
        <v>1694</v>
      </c>
    </row>
    <row r="14" spans="1:2">
      <c r="A14" s="1599">
        <v>44557</v>
      </c>
      <c r="B14" s="1" t="s">
        <v>1698</v>
      </c>
    </row>
    <row r="15" spans="1:2">
      <c r="A15" s="1599">
        <v>44557</v>
      </c>
      <c r="B15" s="1" t="s">
        <v>1699</v>
      </c>
    </row>
    <row r="16" spans="1:2" ht="30">
      <c r="A16" s="1599">
        <v>44557</v>
      </c>
      <c r="B16" s="1" t="s">
        <v>1700</v>
      </c>
    </row>
    <row r="17" spans="1:2" ht="30">
      <c r="A17" s="1599">
        <v>44560</v>
      </c>
      <c r="B17" s="1386" t="s">
        <v>1696</v>
      </c>
    </row>
    <row r="18" spans="1:2">
      <c r="A18" s="1599">
        <v>44560</v>
      </c>
      <c r="B18" s="1386" t="s">
        <v>1701</v>
      </c>
    </row>
    <row r="19" spans="1:2">
      <c r="A19" s="1599">
        <v>44560</v>
      </c>
      <c r="B19" s="1386" t="s">
        <v>1702</v>
      </c>
    </row>
    <row r="20" spans="1:2" ht="30">
      <c r="A20" s="1599">
        <v>44560</v>
      </c>
      <c r="B20" s="1386" t="s">
        <v>1697</v>
      </c>
    </row>
    <row r="21" spans="1:2" ht="30">
      <c r="A21" s="1599">
        <v>44560</v>
      </c>
      <c r="B21" s="1" t="s">
        <v>1703</v>
      </c>
    </row>
    <row r="22" spans="1:2">
      <c r="A22" s="1599">
        <v>44560</v>
      </c>
      <c r="B22" s="1" t="s">
        <v>1695</v>
      </c>
    </row>
    <row r="23" spans="1:2">
      <c r="A23" s="1599">
        <v>44560</v>
      </c>
      <c r="B23" s="1" t="s">
        <v>1704</v>
      </c>
    </row>
    <row r="24" spans="1:2">
      <c r="A24" s="1599">
        <v>44560</v>
      </c>
      <c r="B24" s="1" t="s">
        <v>1707</v>
      </c>
    </row>
    <row r="25" spans="1:2">
      <c r="A25" s="1599">
        <v>44560</v>
      </c>
      <c r="B25" s="1" t="s">
        <v>1708</v>
      </c>
    </row>
    <row r="26" spans="1:2">
      <c r="A26" s="1599">
        <v>44560</v>
      </c>
      <c r="B26" s="1" t="s">
        <v>1709</v>
      </c>
    </row>
    <row r="27" spans="1:2">
      <c r="A27" s="1599">
        <v>44560</v>
      </c>
      <c r="B27" s="1" t="s">
        <v>1710</v>
      </c>
    </row>
    <row r="28" spans="1:2">
      <c r="A28" s="1599">
        <v>44560</v>
      </c>
      <c r="B28" s="1" t="s">
        <v>1706</v>
      </c>
    </row>
    <row r="29" spans="1:2">
      <c r="A29" s="1599">
        <v>44560</v>
      </c>
      <c r="B29" s="1" t="s">
        <v>1711</v>
      </c>
    </row>
    <row r="30" spans="1:2">
      <c r="A30" s="1599">
        <v>44560</v>
      </c>
      <c r="B30" s="1" t="s">
        <v>1712</v>
      </c>
    </row>
    <row r="31" spans="1:2">
      <c r="A31" s="1599">
        <v>44560</v>
      </c>
      <c r="B31" s="1" t="s">
        <v>1713</v>
      </c>
    </row>
    <row r="32" spans="1:2">
      <c r="A32" s="1599">
        <v>44560</v>
      </c>
      <c r="B32" s="1" t="s">
        <v>1714</v>
      </c>
    </row>
    <row r="33" spans="1:2">
      <c r="A33" s="1599">
        <v>44560</v>
      </c>
      <c r="B33" s="1" t="s">
        <v>1715</v>
      </c>
    </row>
    <row r="34" spans="1:2">
      <c r="A34" s="1599">
        <v>44560</v>
      </c>
      <c r="B34" s="1" t="s">
        <v>1716</v>
      </c>
    </row>
    <row r="35" spans="1:2">
      <c r="A35" s="1599">
        <v>44560</v>
      </c>
      <c r="B35" s="1" t="s">
        <v>1717</v>
      </c>
    </row>
    <row r="36" spans="1:2">
      <c r="A36" s="1599">
        <v>44560</v>
      </c>
      <c r="B36" s="1" t="s">
        <v>1718</v>
      </c>
    </row>
    <row r="37" spans="1:2" ht="30">
      <c r="A37" s="1599">
        <v>44560</v>
      </c>
      <c r="B37" s="1" t="s">
        <v>1719</v>
      </c>
    </row>
    <row r="38" spans="1:2">
      <c r="A38" s="1599">
        <v>44560</v>
      </c>
      <c r="B38" s="1" t="s">
        <v>1720</v>
      </c>
    </row>
    <row r="39" spans="1:2">
      <c r="A39" s="1599">
        <v>44560</v>
      </c>
      <c r="B39" s="1" t="s">
        <v>1721</v>
      </c>
    </row>
    <row r="40" spans="1:2">
      <c r="A40" s="1599">
        <v>44560</v>
      </c>
      <c r="B40" s="1" t="s">
        <v>1722</v>
      </c>
    </row>
    <row r="41" spans="1:2" ht="30">
      <c r="A41" s="1599">
        <v>44560</v>
      </c>
      <c r="B41" s="1" t="s">
        <v>1723</v>
      </c>
    </row>
    <row r="42" spans="1:2">
      <c r="A42" s="1599">
        <v>44560</v>
      </c>
      <c r="B42" s="1" t="s">
        <v>1725</v>
      </c>
    </row>
    <row r="43" spans="1:2">
      <c r="A43" s="1599">
        <v>44560</v>
      </c>
      <c r="B43" s="1" t="s">
        <v>1724</v>
      </c>
    </row>
    <row r="44" spans="1:2">
      <c r="A44" s="1599">
        <v>44567</v>
      </c>
      <c r="B44" s="1" t="s">
        <v>1726</v>
      </c>
    </row>
    <row r="45" spans="1:2">
      <c r="A45" s="1599">
        <v>44599</v>
      </c>
      <c r="B45" s="1" t="s">
        <v>1733</v>
      </c>
    </row>
    <row r="46" spans="1:2">
      <c r="A46" s="1599">
        <v>44599</v>
      </c>
      <c r="B46" s="1" t="s">
        <v>1736</v>
      </c>
    </row>
    <row r="47" spans="1:2" ht="30">
      <c r="A47" s="1599">
        <v>44599</v>
      </c>
      <c r="B47" s="1" t="s">
        <v>1734</v>
      </c>
    </row>
    <row r="48" spans="1:2">
      <c r="A48" s="1599">
        <v>44599</v>
      </c>
      <c r="B48" s="1" t="s">
        <v>1735</v>
      </c>
    </row>
    <row r="49" spans="1:2">
      <c r="A49" s="1599">
        <v>44599</v>
      </c>
      <c r="B49" s="1" t="s">
        <v>1737</v>
      </c>
    </row>
    <row r="50" spans="1:2">
      <c r="A50" s="1599">
        <v>44599</v>
      </c>
      <c r="B50" s="1" t="s">
        <v>1738</v>
      </c>
    </row>
    <row r="51" spans="1:2" ht="45">
      <c r="A51" s="1599">
        <v>44609</v>
      </c>
      <c r="B51" s="1" t="s">
        <v>1740</v>
      </c>
    </row>
    <row r="52" spans="1:2" ht="45">
      <c r="A52" s="1599">
        <v>44609</v>
      </c>
      <c r="B52" s="1" t="s">
        <v>1741</v>
      </c>
    </row>
    <row r="53" spans="1:2" ht="30">
      <c r="A53" s="1599">
        <v>45152</v>
      </c>
      <c r="B53" s="1" t="s">
        <v>1976</v>
      </c>
    </row>
    <row r="54" spans="1:2">
      <c r="A54" s="1599">
        <v>45152</v>
      </c>
      <c r="B54" s="1" t="s">
        <v>1977</v>
      </c>
    </row>
    <row r="55" spans="1:2" ht="30">
      <c r="A55" s="1599">
        <v>45152</v>
      </c>
      <c r="B55" s="1" t="s">
        <v>1980</v>
      </c>
    </row>
    <row r="56" spans="1:2">
      <c r="A56" s="1599">
        <v>45152</v>
      </c>
      <c r="B56" s="1" t="s">
        <v>1981</v>
      </c>
    </row>
    <row r="57" spans="1:2">
      <c r="A57" s="1599">
        <v>45153</v>
      </c>
      <c r="B57" s="1" t="s">
        <v>1983</v>
      </c>
    </row>
    <row r="58" spans="1:2" ht="30">
      <c r="A58" s="1599">
        <v>45153</v>
      </c>
      <c r="B58" s="1" t="s">
        <v>1984</v>
      </c>
    </row>
    <row r="59" spans="1:2">
      <c r="A59" s="1599">
        <v>45153</v>
      </c>
      <c r="B59" s="1" t="s">
        <v>1985</v>
      </c>
    </row>
    <row r="60" spans="1:2">
      <c r="A60" s="1599">
        <v>45153</v>
      </c>
      <c r="B60" s="1" t="s">
        <v>1986</v>
      </c>
    </row>
    <row r="61" spans="1:2">
      <c r="A61" s="1599">
        <v>45153</v>
      </c>
      <c r="B61" s="1" t="s">
        <v>1987</v>
      </c>
    </row>
    <row r="62" spans="1:2">
      <c r="A62" s="1599">
        <v>45153</v>
      </c>
      <c r="B62" s="1" t="s">
        <v>1988</v>
      </c>
    </row>
    <row r="63" spans="1:2">
      <c r="A63" s="1599">
        <v>45153</v>
      </c>
      <c r="B63" s="1" t="s">
        <v>1989</v>
      </c>
    </row>
    <row r="64" spans="1:2" ht="45">
      <c r="A64" s="1599">
        <v>45154</v>
      </c>
      <c r="B64" s="1" t="s">
        <v>1990</v>
      </c>
    </row>
    <row r="65" spans="1:2">
      <c r="A65" s="1599">
        <v>45154</v>
      </c>
      <c r="B65" s="1" t="s">
        <v>1986</v>
      </c>
    </row>
    <row r="66" spans="1:2">
      <c r="A66" s="1599">
        <v>45154</v>
      </c>
      <c r="B66" s="1" t="s">
        <v>1985</v>
      </c>
    </row>
    <row r="67" spans="1:2">
      <c r="A67" s="1599">
        <v>45160</v>
      </c>
      <c r="B67" s="1" t="s">
        <v>1991</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tint="0.59999389629810485"/>
  </sheetPr>
  <dimension ref="A1:T109"/>
  <sheetViews>
    <sheetView showGridLines="0" workbookViewId="0">
      <selection activeCell="K7" sqref="K7"/>
    </sheetView>
  </sheetViews>
  <sheetFormatPr defaultRowHeight="15"/>
  <cols>
    <col min="1" max="1" width="7.5703125" customWidth="1"/>
    <col min="2" max="2" width="21.5703125" customWidth="1"/>
    <col min="3" max="3" width="49.7109375" customWidth="1"/>
    <col min="4" max="4" width="49.28515625" customWidth="1"/>
    <col min="5" max="5" width="15.28515625" customWidth="1"/>
    <col min="6" max="7" width="11" style="244" customWidth="1"/>
    <col min="8" max="8" width="9" style="244" hidden="1" customWidth="1"/>
    <col min="9" max="10" width="8.5703125" style="244" hidden="1" customWidth="1"/>
    <col min="11" max="11" width="12.7109375" customWidth="1"/>
    <col min="18" max="18" width="10.42578125" customWidth="1"/>
    <col min="19" max="19" width="9.28515625" customWidth="1"/>
  </cols>
  <sheetData>
    <row r="1" spans="1:20" ht="15.75">
      <c r="D1" s="791" t="s">
        <v>1397</v>
      </c>
    </row>
    <row r="2" spans="1:20" ht="17.25" customHeight="1">
      <c r="C2" s="926" t="s">
        <v>1401</v>
      </c>
      <c r="D2" s="1714" t="s">
        <v>1674</v>
      </c>
      <c r="E2" s="1715"/>
      <c r="F2" s="1715"/>
    </row>
    <row r="3" spans="1:20" ht="20.25" customHeight="1">
      <c r="C3" s="927" t="s">
        <v>1403</v>
      </c>
      <c r="D3" s="939" t="s">
        <v>1392</v>
      </c>
      <c r="E3" s="44"/>
      <c r="F3" s="44"/>
      <c r="O3" s="55" t="s">
        <v>1545</v>
      </c>
    </row>
    <row r="4" spans="1:20" ht="18.75">
      <c r="C4" s="926" t="s">
        <v>1402</v>
      </c>
      <c r="D4" s="939" t="s">
        <v>1393</v>
      </c>
      <c r="E4" s="44"/>
      <c r="F4" s="44"/>
      <c r="O4" s="55" t="s">
        <v>1548</v>
      </c>
    </row>
    <row r="5" spans="1:20" ht="21.75" customHeight="1">
      <c r="A5" s="906"/>
      <c r="C5" s="935" t="s">
        <v>1404</v>
      </c>
      <c r="D5" s="949" t="s">
        <v>1675</v>
      </c>
    </row>
    <row r="6" spans="1:20" ht="18.399999999999999" customHeight="1">
      <c r="A6" s="906"/>
      <c r="C6" s="935" t="s">
        <v>1494</v>
      </c>
      <c r="D6" s="949" t="s">
        <v>1676</v>
      </c>
    </row>
    <row r="7" spans="1:20" ht="39" customHeight="1">
      <c r="A7" s="1723" t="s">
        <v>1680</v>
      </c>
      <c r="B7" s="1723"/>
      <c r="C7" s="1723"/>
      <c r="D7" s="1723"/>
      <c r="E7" s="1723"/>
      <c r="F7" s="1723"/>
      <c r="G7" s="1723"/>
    </row>
    <row r="8" spans="1:20" ht="54.75" customHeight="1">
      <c r="A8" s="791" t="s">
        <v>308</v>
      </c>
      <c r="B8" s="848" t="s">
        <v>1268</v>
      </c>
      <c r="C8" s="792" t="s">
        <v>1148</v>
      </c>
      <c r="D8" s="699" t="s">
        <v>1455</v>
      </c>
      <c r="E8" s="848" t="s">
        <v>11</v>
      </c>
      <c r="F8" s="848" t="s">
        <v>1311</v>
      </c>
      <c r="G8" s="848" t="s">
        <v>1312</v>
      </c>
      <c r="H8" s="792" t="s">
        <v>0</v>
      </c>
      <c r="K8" s="848" t="s">
        <v>0</v>
      </c>
      <c r="L8" s="790" t="s">
        <v>1205</v>
      </c>
    </row>
    <row r="9" spans="1:20" ht="23.25" customHeight="1">
      <c r="A9" s="791" t="s">
        <v>1479</v>
      </c>
      <c r="B9" s="1122" t="s">
        <v>1552</v>
      </c>
      <c r="C9" s="1122" t="s">
        <v>1551</v>
      </c>
      <c r="D9" s="1122" t="s">
        <v>1550</v>
      </c>
      <c r="E9" s="1122">
        <v>45</v>
      </c>
      <c r="F9" s="1015"/>
      <c r="G9" s="1015"/>
      <c r="H9" s="1710" t="s">
        <v>1524</v>
      </c>
      <c r="I9" s="1711"/>
      <c r="J9" s="1383"/>
      <c r="K9" s="1087"/>
      <c r="L9" s="793" t="s">
        <v>203</v>
      </c>
      <c r="S9" s="1016" t="s">
        <v>1206</v>
      </c>
    </row>
    <row r="10" spans="1:20" ht="31.15" customHeight="1">
      <c r="A10" s="292" t="s">
        <v>1774</v>
      </c>
      <c r="B10" s="1338" t="s">
        <v>54</v>
      </c>
      <c r="C10" s="1339"/>
      <c r="D10" s="1340"/>
      <c r="E10" s="1338"/>
      <c r="F10" s="882" cm="1">
        <f t="array" ref="F10">SUM(IF('Proposed Lighting'!$Z$9:$Z$308=Lists!A60,'Proposed Lighting'!$AA$9:$AA$308,0))</f>
        <v>0</v>
      </c>
      <c r="G10" s="1546">
        <f t="array" ref="G10">SUM(IF('Proposed Lighting'!$EK$9:$EK$308=A10,'Proposed Lighting'!$EF$9:$EF$308,0))</f>
        <v>0</v>
      </c>
      <c r="H10" s="244">
        <f t="shared" ref="H10:H41" si="0">IF(C10="",0,1)</f>
        <v>0</v>
      </c>
      <c r="I10" s="244">
        <f t="shared" ref="I10:I41" si="1">IF(D10="",0,1)</f>
        <v>0</v>
      </c>
      <c r="K10" s="917">
        <f t="shared" ref="K10:K41" si="2">IF(AND(E10&gt;0.01,H10=0),500,IF(AND(E10&gt;0.01,I10=0),500,IF(ISNUMBER(SEARCH("please",B10))*AND(E10&gt;0.01,H10=1,I10=1),500,0)))</f>
        <v>0</v>
      </c>
      <c r="L10" s="1718" t="str">
        <f>IF(ISERROR('Inspection Sheet'!L429),0,IF('Inspection Sheet'!M429&gt;0,'Inspection Sheet'!L429,0))</f>
        <v/>
      </c>
      <c r="M10" s="1718"/>
      <c r="N10" s="1718"/>
      <c r="O10" s="1718"/>
      <c r="P10" s="1718"/>
      <c r="Q10" s="1718"/>
      <c r="R10" s="1718"/>
      <c r="S10" s="1719" t="str">
        <f>IF(ISERROR('Inspection Sheet'!M429),0,IF('Inspection Sheet'!M429&gt;0,'Inspection Sheet'!M429,0))</f>
        <v/>
      </c>
      <c r="T10" s="1719"/>
    </row>
    <row r="11" spans="1:20" ht="31.15" customHeight="1">
      <c r="A11" s="292" t="s">
        <v>1784</v>
      </c>
      <c r="B11" s="1338" t="s">
        <v>54</v>
      </c>
      <c r="C11" s="1339"/>
      <c r="D11" s="1340"/>
      <c r="E11" s="1338"/>
      <c r="F11" s="882" cm="1">
        <f t="array" ref="F11">SUM(IF('Proposed Lighting'!$Z$9:$Z$308=Lists!A61,'Proposed Lighting'!$AA$9:$AA$308,0))</f>
        <v>0</v>
      </c>
      <c r="G11" s="1546">
        <f t="array" ref="G11">SUM(IF('Proposed Lighting'!$EK$9:$EK$308=A11,'Proposed Lighting'!$EF$9:$EF$308,0))</f>
        <v>0</v>
      </c>
      <c r="H11" s="244">
        <f t="shared" si="0"/>
        <v>0</v>
      </c>
      <c r="I11" s="244">
        <f t="shared" si="1"/>
        <v>0</v>
      </c>
      <c r="K11" s="917">
        <f t="shared" si="2"/>
        <v>0</v>
      </c>
      <c r="L11" s="1718" t="str">
        <f>IF(ISERROR('Inspection Sheet'!L430),0,IF('Inspection Sheet'!M430&gt;0,'Inspection Sheet'!L430,0))</f>
        <v/>
      </c>
      <c r="M11" s="1718"/>
      <c r="N11" s="1718"/>
      <c r="O11" s="1718"/>
      <c r="P11" s="1718"/>
      <c r="Q11" s="1718"/>
      <c r="R11" s="1718"/>
      <c r="S11" s="1719" t="str">
        <f>IF(ISERROR('Inspection Sheet'!M430),0,IF('Inspection Sheet'!M430&gt;0,'Inspection Sheet'!M430,0))</f>
        <v/>
      </c>
      <c r="T11" s="1719"/>
    </row>
    <row r="12" spans="1:20" ht="31.15" customHeight="1">
      <c r="A12" s="292" t="s">
        <v>1785</v>
      </c>
      <c r="B12" s="1338" t="s">
        <v>54</v>
      </c>
      <c r="C12" s="1339"/>
      <c r="D12" s="1340"/>
      <c r="E12" s="1338"/>
      <c r="F12" s="882" cm="1">
        <f t="array" ref="F12">SUM(IF('Proposed Lighting'!$Z$9:$Z$308=Lists!A62,'Proposed Lighting'!$AA$9:$AA$308,0))</f>
        <v>0</v>
      </c>
      <c r="G12" s="1546">
        <f t="array" ref="G12">SUM(IF('Proposed Lighting'!$EK$9:$EK$308=A12,'Proposed Lighting'!$EF$9:$EF$308,0))</f>
        <v>0</v>
      </c>
      <c r="H12" s="244">
        <f t="shared" si="0"/>
        <v>0</v>
      </c>
      <c r="I12" s="244">
        <f t="shared" si="1"/>
        <v>0</v>
      </c>
      <c r="K12" s="917">
        <f t="shared" si="2"/>
        <v>0</v>
      </c>
      <c r="L12" s="1718" t="str">
        <f>IF(ISERROR('Inspection Sheet'!L431),0,IF('Inspection Sheet'!M431&gt;0,'Inspection Sheet'!L431,0))</f>
        <v/>
      </c>
      <c r="M12" s="1718"/>
      <c r="N12" s="1718"/>
      <c r="O12" s="1718"/>
      <c r="P12" s="1718"/>
      <c r="Q12" s="1718"/>
      <c r="R12" s="1718"/>
      <c r="S12" s="1719" t="str">
        <f>IF(ISERROR('Inspection Sheet'!M431),0,IF('Inspection Sheet'!M431&gt;0,'Inspection Sheet'!M431,0))</f>
        <v/>
      </c>
      <c r="T12" s="1719"/>
    </row>
    <row r="13" spans="1:20" ht="31.15" customHeight="1">
      <c r="A13" s="292" t="s">
        <v>1786</v>
      </c>
      <c r="B13" s="1338" t="s">
        <v>54</v>
      </c>
      <c r="C13" s="1339"/>
      <c r="D13" s="1340"/>
      <c r="E13" s="1338"/>
      <c r="F13" s="882" cm="1">
        <f t="array" ref="F13">SUM(IF('Proposed Lighting'!$Z$9:$Z$308=Lists!A63,'Proposed Lighting'!$AA$9:$AA$308,0))</f>
        <v>0</v>
      </c>
      <c r="G13" s="1546">
        <f t="array" ref="G13">SUM(IF('Proposed Lighting'!$EK$9:$EK$308=A13,'Proposed Lighting'!$EF$9:$EF$308,0))</f>
        <v>0</v>
      </c>
      <c r="H13" s="244">
        <f t="shared" si="0"/>
        <v>0</v>
      </c>
      <c r="I13" s="244">
        <f t="shared" si="1"/>
        <v>0</v>
      </c>
      <c r="K13" s="917">
        <f t="shared" si="2"/>
        <v>0</v>
      </c>
      <c r="L13" s="1718" t="str">
        <f>IF(ISERROR('Inspection Sheet'!L432),0,IF('Inspection Sheet'!M432&gt;0,'Inspection Sheet'!L432,0))</f>
        <v/>
      </c>
      <c r="M13" s="1718"/>
      <c r="N13" s="1718"/>
      <c r="O13" s="1718"/>
      <c r="P13" s="1718"/>
      <c r="Q13" s="1718"/>
      <c r="R13" s="1718"/>
      <c r="S13" s="1719" t="str">
        <f>IF(ISERROR('Inspection Sheet'!M432),0,IF('Inspection Sheet'!M432&gt;0,'Inspection Sheet'!M432,0))</f>
        <v/>
      </c>
      <c r="T13" s="1719"/>
    </row>
    <row r="14" spans="1:20" ht="31.15" customHeight="1">
      <c r="A14" s="292" t="s">
        <v>1787</v>
      </c>
      <c r="B14" s="1338" t="s">
        <v>54</v>
      </c>
      <c r="C14" s="1339"/>
      <c r="D14" s="1340"/>
      <c r="E14" s="1338"/>
      <c r="F14" s="882" cm="1">
        <f t="array" ref="F14">SUM(IF('Proposed Lighting'!$Z$9:$Z$308=Lists!A64,'Proposed Lighting'!$AA$9:$AA$308,0))</f>
        <v>0</v>
      </c>
      <c r="G14" s="1546">
        <f t="array" ref="G14">SUM(IF('Proposed Lighting'!$EK$9:$EK$308=A14,'Proposed Lighting'!$EF$9:$EF$308,0))</f>
        <v>0</v>
      </c>
      <c r="H14" s="244">
        <f t="shared" si="0"/>
        <v>0</v>
      </c>
      <c r="I14" s="244">
        <f t="shared" si="1"/>
        <v>0</v>
      </c>
      <c r="K14" s="917">
        <f t="shared" si="2"/>
        <v>0</v>
      </c>
      <c r="L14" s="1718" t="str">
        <f>IF(ISERROR('Inspection Sheet'!L433),0,IF('Inspection Sheet'!M433&gt;0,'Inspection Sheet'!L433,0))</f>
        <v/>
      </c>
      <c r="M14" s="1718"/>
      <c r="N14" s="1718"/>
      <c r="O14" s="1718"/>
      <c r="P14" s="1718"/>
      <c r="Q14" s="1718"/>
      <c r="R14" s="1718"/>
      <c r="S14" s="1719" t="str">
        <f>IF(ISERROR('Inspection Sheet'!M433),0,IF('Inspection Sheet'!M433&gt;0,'Inspection Sheet'!M433,0))</f>
        <v/>
      </c>
      <c r="T14" s="1719"/>
    </row>
    <row r="15" spans="1:20" ht="31.15" customHeight="1">
      <c r="A15" s="292" t="s">
        <v>1788</v>
      </c>
      <c r="B15" s="1338" t="s">
        <v>54</v>
      </c>
      <c r="C15" s="1339"/>
      <c r="D15" s="1340"/>
      <c r="E15" s="1338"/>
      <c r="F15" s="882" cm="1">
        <f t="array" ref="F15">SUM(IF('Proposed Lighting'!$Z$9:$Z$308=Lists!A65,'Proposed Lighting'!$AA$9:$AA$308,0))</f>
        <v>0</v>
      </c>
      <c r="G15" s="1546">
        <f t="array" ref="G15">SUM(IF('Proposed Lighting'!$EK$9:$EK$308=A15,'Proposed Lighting'!$EF$9:$EF$308,0))</f>
        <v>0</v>
      </c>
      <c r="H15" s="244">
        <f t="shared" si="0"/>
        <v>0</v>
      </c>
      <c r="I15" s="244">
        <f t="shared" si="1"/>
        <v>0</v>
      </c>
      <c r="K15" s="917">
        <f t="shared" si="2"/>
        <v>0</v>
      </c>
      <c r="L15" s="1718" t="str">
        <f>IF(ISERROR('Inspection Sheet'!L434),0,IF('Inspection Sheet'!M434&gt;0,'Inspection Sheet'!L434,0))</f>
        <v/>
      </c>
      <c r="M15" s="1718"/>
      <c r="N15" s="1718"/>
      <c r="O15" s="1718"/>
      <c r="P15" s="1718"/>
      <c r="Q15" s="1718"/>
      <c r="R15" s="1718"/>
      <c r="S15" s="1719" t="str">
        <f>IF(ISERROR('Inspection Sheet'!M434),0,IF('Inspection Sheet'!M434&gt;0,'Inspection Sheet'!M434,0))</f>
        <v/>
      </c>
      <c r="T15" s="1719"/>
    </row>
    <row r="16" spans="1:20" ht="31.15" customHeight="1">
      <c r="A16" s="292" t="s">
        <v>1789</v>
      </c>
      <c r="B16" s="1338" t="s">
        <v>54</v>
      </c>
      <c r="C16" s="1339"/>
      <c r="D16" s="1340"/>
      <c r="E16" s="1338"/>
      <c r="F16" s="882" cm="1">
        <f t="array" ref="F16">SUM(IF('Proposed Lighting'!$Z$9:$Z$308=Lists!A66,'Proposed Lighting'!$AA$9:$AA$308,0))</f>
        <v>0</v>
      </c>
      <c r="G16" s="1546">
        <f t="array" ref="G16">SUM(IF('Proposed Lighting'!$EK$9:$EK$308=A16,'Proposed Lighting'!$EF$9:$EF$308,0))</f>
        <v>0</v>
      </c>
      <c r="H16" s="244">
        <f t="shared" si="0"/>
        <v>0</v>
      </c>
      <c r="I16" s="244">
        <f t="shared" si="1"/>
        <v>0</v>
      </c>
      <c r="K16" s="917">
        <f t="shared" si="2"/>
        <v>0</v>
      </c>
      <c r="L16" s="1718" t="str">
        <f>IF(ISERROR('Inspection Sheet'!L435),0,IF('Inspection Sheet'!M435&gt;0,'Inspection Sheet'!L435,0))</f>
        <v/>
      </c>
      <c r="M16" s="1718"/>
      <c r="N16" s="1718"/>
      <c r="O16" s="1718"/>
      <c r="P16" s="1718"/>
      <c r="Q16" s="1718"/>
      <c r="R16" s="1718"/>
      <c r="S16" s="1719" t="str">
        <f>IF(ISERROR('Inspection Sheet'!M435),0,IF('Inspection Sheet'!M435&gt;0,'Inspection Sheet'!M435,0))</f>
        <v/>
      </c>
      <c r="T16" s="1719"/>
    </row>
    <row r="17" spans="1:20" ht="31.15" customHeight="1">
      <c r="A17" s="292" t="s">
        <v>1790</v>
      </c>
      <c r="B17" s="1338" t="s">
        <v>54</v>
      </c>
      <c r="C17" s="1339"/>
      <c r="D17" s="1340"/>
      <c r="E17" s="1338"/>
      <c r="F17" s="882" cm="1">
        <f t="array" ref="F17">SUM(IF('Proposed Lighting'!$Z$9:$Z$308=Lists!A67,'Proposed Lighting'!$AA$9:$AA$308,0))</f>
        <v>0</v>
      </c>
      <c r="G17" s="1546">
        <f t="array" ref="G17">SUM(IF('Proposed Lighting'!$EK$9:$EK$308=A17,'Proposed Lighting'!$EF$9:$EF$308,0))</f>
        <v>0</v>
      </c>
      <c r="H17" s="244">
        <f t="shared" si="0"/>
        <v>0</v>
      </c>
      <c r="I17" s="244">
        <f t="shared" si="1"/>
        <v>0</v>
      </c>
      <c r="K17" s="917">
        <f t="shared" si="2"/>
        <v>0</v>
      </c>
      <c r="L17" s="1718" t="str">
        <f>IF(ISERROR('Inspection Sheet'!L436),0,IF('Inspection Sheet'!M436&gt;0,'Inspection Sheet'!L436,0))</f>
        <v/>
      </c>
      <c r="M17" s="1718"/>
      <c r="N17" s="1718"/>
      <c r="O17" s="1718"/>
      <c r="P17" s="1718"/>
      <c r="Q17" s="1718"/>
      <c r="R17" s="1718"/>
      <c r="S17" s="1719" t="str">
        <f>IF(ISERROR('Inspection Sheet'!M436),0,IF('Inspection Sheet'!M436&gt;0,'Inspection Sheet'!M436,0))</f>
        <v/>
      </c>
      <c r="T17" s="1719"/>
    </row>
    <row r="18" spans="1:20" ht="31.15" customHeight="1">
      <c r="A18" s="292" t="s">
        <v>1791</v>
      </c>
      <c r="B18" s="1338" t="s">
        <v>54</v>
      </c>
      <c r="C18" s="1339"/>
      <c r="D18" s="1340"/>
      <c r="E18" s="1338"/>
      <c r="F18" s="882" cm="1">
        <f t="array" ref="F18">SUM(IF('Proposed Lighting'!$Z$9:$Z$308=Lists!A68,'Proposed Lighting'!$AA$9:$AA$308,0))</f>
        <v>0</v>
      </c>
      <c r="G18" s="1546">
        <f t="array" ref="G18">SUM(IF('Proposed Lighting'!$EK$9:$EK$308=A18,'Proposed Lighting'!$EF$9:$EF$308,0))</f>
        <v>0</v>
      </c>
      <c r="H18" s="244">
        <f t="shared" si="0"/>
        <v>0</v>
      </c>
      <c r="I18" s="244">
        <f t="shared" si="1"/>
        <v>0</v>
      </c>
      <c r="K18" s="917">
        <f t="shared" si="2"/>
        <v>0</v>
      </c>
      <c r="L18" s="1718" t="str">
        <f>IF(ISERROR('Inspection Sheet'!L437),0,IF('Inspection Sheet'!M437&gt;0,'Inspection Sheet'!L437,0))</f>
        <v/>
      </c>
      <c r="M18" s="1718"/>
      <c r="N18" s="1718"/>
      <c r="O18" s="1718"/>
      <c r="P18" s="1718"/>
      <c r="Q18" s="1718"/>
      <c r="R18" s="1718"/>
      <c r="S18" s="1719" t="str">
        <f>IF(ISERROR('Inspection Sheet'!M437),0,IF('Inspection Sheet'!M437&gt;0,'Inspection Sheet'!M437,0))</f>
        <v/>
      </c>
      <c r="T18" s="1719"/>
    </row>
    <row r="19" spans="1:20" ht="31.15" customHeight="1">
      <c r="A19" s="292" t="s">
        <v>1792</v>
      </c>
      <c r="B19" s="1338" t="s">
        <v>54</v>
      </c>
      <c r="C19" s="1339"/>
      <c r="D19" s="1340"/>
      <c r="E19" s="1338"/>
      <c r="F19" s="882" cm="1">
        <f t="array" ref="F19">SUM(IF('Proposed Lighting'!$Z$9:$Z$308=Lists!A69,'Proposed Lighting'!$AA$9:$AA$308,0))</f>
        <v>0</v>
      </c>
      <c r="G19" s="1546">
        <f t="array" ref="G19">SUM(IF('Proposed Lighting'!$EK$9:$EK$308=A19,'Proposed Lighting'!$EF$9:$EF$308,0))</f>
        <v>0</v>
      </c>
      <c r="H19" s="244">
        <f t="shared" si="0"/>
        <v>0</v>
      </c>
      <c r="I19" s="244">
        <f t="shared" si="1"/>
        <v>0</v>
      </c>
      <c r="K19" s="917">
        <f t="shared" si="2"/>
        <v>0</v>
      </c>
      <c r="L19" s="1718" t="str">
        <f>IF(ISERROR('Inspection Sheet'!L438),0,IF('Inspection Sheet'!M438&gt;0,'Inspection Sheet'!L438,0))</f>
        <v/>
      </c>
      <c r="M19" s="1718"/>
      <c r="N19" s="1718"/>
      <c r="O19" s="1718"/>
      <c r="P19" s="1718"/>
      <c r="Q19" s="1718"/>
      <c r="R19" s="1718"/>
      <c r="S19" s="1719" t="str">
        <f>IF(ISERROR('Inspection Sheet'!M438),0,IF('Inspection Sheet'!M438&gt;0,'Inspection Sheet'!M438,0))</f>
        <v/>
      </c>
      <c r="T19" s="1719"/>
    </row>
    <row r="20" spans="1:20" ht="31.15" customHeight="1">
      <c r="A20" s="292" t="s">
        <v>1793</v>
      </c>
      <c r="B20" s="1338" t="s">
        <v>54</v>
      </c>
      <c r="C20" s="1339"/>
      <c r="D20" s="1340"/>
      <c r="E20" s="1338"/>
      <c r="F20" s="882" cm="1">
        <f t="array" ref="F20">SUM(IF('Proposed Lighting'!$Z$9:$Z$308=Lists!A70,'Proposed Lighting'!$AA$9:$AA$308,0))</f>
        <v>0</v>
      </c>
      <c r="G20" s="1546">
        <f t="array" ref="G20">SUM(IF('Proposed Lighting'!$EK$9:$EK$308=A20,'Proposed Lighting'!$EF$9:$EF$308,0))</f>
        <v>0</v>
      </c>
      <c r="H20" s="244">
        <f t="shared" si="0"/>
        <v>0</v>
      </c>
      <c r="I20" s="244">
        <f t="shared" si="1"/>
        <v>0</v>
      </c>
      <c r="K20" s="917">
        <f t="shared" si="2"/>
        <v>0</v>
      </c>
      <c r="L20" s="1718" t="str">
        <f>IF(ISERROR('Inspection Sheet'!L439),0,IF('Inspection Sheet'!M439&gt;0,'Inspection Sheet'!L439,0))</f>
        <v/>
      </c>
      <c r="M20" s="1718"/>
      <c r="N20" s="1718"/>
      <c r="O20" s="1718"/>
      <c r="P20" s="1718"/>
      <c r="Q20" s="1718"/>
      <c r="R20" s="1718"/>
      <c r="S20" s="1719" t="str">
        <f>IF(ISERROR('Inspection Sheet'!M439),0,IF('Inspection Sheet'!M439&gt;0,'Inspection Sheet'!M439,0))</f>
        <v/>
      </c>
      <c r="T20" s="1719"/>
    </row>
    <row r="21" spans="1:20" ht="31.15" customHeight="1">
      <c r="A21" s="292" t="s">
        <v>1794</v>
      </c>
      <c r="B21" s="816" t="s">
        <v>54</v>
      </c>
      <c r="C21" s="802"/>
      <c r="D21" s="1105"/>
      <c r="E21" s="816"/>
      <c r="F21" s="882" cm="1">
        <f t="array" ref="F21">SUM(IF('Proposed Lighting'!$Z$9:$Z$308=Lists!A71,'Proposed Lighting'!$AA$9:$AA$308,0))</f>
        <v>0</v>
      </c>
      <c r="G21" s="1546">
        <f t="array" ref="G21">SUM(IF('Proposed Lighting'!$EK$9:$EK$308=A21,'Proposed Lighting'!$EF$9:$EF$308,0))</f>
        <v>0</v>
      </c>
      <c r="H21" s="244">
        <f t="shared" si="0"/>
        <v>0</v>
      </c>
      <c r="I21" s="244">
        <f t="shared" si="1"/>
        <v>0</v>
      </c>
      <c r="K21" s="917">
        <f t="shared" si="2"/>
        <v>0</v>
      </c>
      <c r="L21" s="1718" t="str">
        <f>IF(ISERROR('Inspection Sheet'!L440),0,IF('Inspection Sheet'!M440&gt;0,'Inspection Sheet'!L440,0))</f>
        <v/>
      </c>
      <c r="M21" s="1718"/>
      <c r="N21" s="1718"/>
      <c r="O21" s="1718"/>
      <c r="P21" s="1718"/>
      <c r="Q21" s="1718"/>
      <c r="R21" s="1718"/>
      <c r="S21" s="1719" t="str">
        <f>IF(ISERROR('Inspection Sheet'!M440),0,IF('Inspection Sheet'!M440&gt;0,'Inspection Sheet'!M440,0))</f>
        <v/>
      </c>
      <c r="T21" s="1719"/>
    </row>
    <row r="22" spans="1:20" ht="31.15" customHeight="1">
      <c r="A22" s="292" t="s">
        <v>1795</v>
      </c>
      <c r="B22" s="816" t="s">
        <v>54</v>
      </c>
      <c r="C22" s="802"/>
      <c r="D22" s="1105"/>
      <c r="E22" s="816"/>
      <c r="F22" s="882" cm="1">
        <f t="array" ref="F22">SUM(IF('Proposed Lighting'!$Z$9:$Z$308=Lists!A72,'Proposed Lighting'!$AA$9:$AA$308,0))</f>
        <v>0</v>
      </c>
      <c r="G22" s="1546">
        <f t="array" ref="G22">SUM(IF('Proposed Lighting'!$EK$9:$EK$308=A22,'Proposed Lighting'!$EF$9:$EF$308,0))</f>
        <v>0</v>
      </c>
      <c r="H22" s="244">
        <f t="shared" si="0"/>
        <v>0</v>
      </c>
      <c r="I22" s="244">
        <f t="shared" si="1"/>
        <v>0</v>
      </c>
      <c r="K22" s="917">
        <f t="shared" si="2"/>
        <v>0</v>
      </c>
      <c r="L22" s="1718" t="str">
        <f>IF(ISERROR('Inspection Sheet'!L441),0,IF('Inspection Sheet'!M441&gt;0,'Inspection Sheet'!L441,0))</f>
        <v/>
      </c>
      <c r="M22" s="1718"/>
      <c r="N22" s="1718"/>
      <c r="O22" s="1718"/>
      <c r="P22" s="1718"/>
      <c r="Q22" s="1718"/>
      <c r="R22" s="1718"/>
      <c r="S22" s="1719" t="str">
        <f>IF(ISERROR('Inspection Sheet'!M441),0,IF('Inspection Sheet'!M441&gt;0,'Inspection Sheet'!M441,0))</f>
        <v/>
      </c>
      <c r="T22" s="1719"/>
    </row>
    <row r="23" spans="1:20" ht="31.15" customHeight="1">
      <c r="A23" s="292" t="s">
        <v>1796</v>
      </c>
      <c r="B23" s="816" t="s">
        <v>54</v>
      </c>
      <c r="C23" s="802"/>
      <c r="D23" s="1105"/>
      <c r="E23" s="816"/>
      <c r="F23" s="882" cm="1">
        <f t="array" ref="F23">SUM(IF('Proposed Lighting'!$Z$9:$Z$308=Lists!A73,'Proposed Lighting'!$AA$9:$AA$308,0))</f>
        <v>0</v>
      </c>
      <c r="G23" s="1546">
        <f t="array" ref="G23">SUM(IF('Proposed Lighting'!$EK$9:$EK$308=A23,'Proposed Lighting'!$EF$9:$EF$308,0))</f>
        <v>0</v>
      </c>
      <c r="H23" s="244">
        <f t="shared" si="0"/>
        <v>0</v>
      </c>
      <c r="I23" s="244">
        <f t="shared" si="1"/>
        <v>0</v>
      </c>
      <c r="K23" s="917">
        <f t="shared" si="2"/>
        <v>0</v>
      </c>
      <c r="L23" s="1718" t="str">
        <f>IF(ISERROR('Inspection Sheet'!L442),0,IF('Inspection Sheet'!M442&gt;0,'Inspection Sheet'!L442,0))</f>
        <v/>
      </c>
      <c r="M23" s="1718"/>
      <c r="N23" s="1718"/>
      <c r="O23" s="1718"/>
      <c r="P23" s="1718"/>
      <c r="Q23" s="1718"/>
      <c r="R23" s="1718"/>
      <c r="S23" s="1719" t="str">
        <f>IF(ISERROR('Inspection Sheet'!M442),0,IF('Inspection Sheet'!M442&gt;0,'Inspection Sheet'!M442,0))</f>
        <v/>
      </c>
      <c r="T23" s="1719"/>
    </row>
    <row r="24" spans="1:20" ht="31.15" customHeight="1">
      <c r="A24" s="292" t="s">
        <v>1797</v>
      </c>
      <c r="B24" s="816" t="s">
        <v>54</v>
      </c>
      <c r="C24" s="802"/>
      <c r="D24" s="1105"/>
      <c r="E24" s="816"/>
      <c r="F24" s="882" cm="1">
        <f t="array" ref="F24">SUM(IF('Proposed Lighting'!$Z$9:$Z$308=Lists!A74,'Proposed Lighting'!$AA$9:$AA$308,0))</f>
        <v>0</v>
      </c>
      <c r="G24" s="1546">
        <f t="array" ref="G24">SUM(IF('Proposed Lighting'!$EK$9:$EK$308=A24,'Proposed Lighting'!$EF$9:$EF$308,0))</f>
        <v>0</v>
      </c>
      <c r="H24" s="244">
        <f t="shared" si="0"/>
        <v>0</v>
      </c>
      <c r="I24" s="244">
        <f t="shared" si="1"/>
        <v>0</v>
      </c>
      <c r="K24" s="917">
        <f t="shared" si="2"/>
        <v>0</v>
      </c>
      <c r="L24" s="1718" t="str">
        <f>IF(ISERROR('Inspection Sheet'!L443),0,IF('Inspection Sheet'!M443&gt;0,'Inspection Sheet'!L443,0))</f>
        <v/>
      </c>
      <c r="M24" s="1718"/>
      <c r="N24" s="1718"/>
      <c r="O24" s="1718"/>
      <c r="P24" s="1718"/>
      <c r="Q24" s="1718"/>
      <c r="R24" s="1718"/>
      <c r="S24" s="1719" t="str">
        <f>IF(ISERROR('Inspection Sheet'!M443),0,IF('Inspection Sheet'!M443&gt;0,'Inspection Sheet'!M443,0))</f>
        <v/>
      </c>
      <c r="T24" s="1719"/>
    </row>
    <row r="25" spans="1:20" ht="31.15" customHeight="1">
      <c r="A25" s="292" t="s">
        <v>1798</v>
      </c>
      <c r="B25" s="816" t="s">
        <v>54</v>
      </c>
      <c r="C25" s="802"/>
      <c r="D25" s="1105"/>
      <c r="E25" s="816"/>
      <c r="F25" s="882" cm="1">
        <f t="array" ref="F25">SUM(IF('Proposed Lighting'!$Z$9:$Z$308=Lists!A75,'Proposed Lighting'!$AA$9:$AA$308,0))</f>
        <v>0</v>
      </c>
      <c r="G25" s="1546">
        <f t="array" ref="G25">SUM(IF('Proposed Lighting'!$EK$9:$EK$308=A25,'Proposed Lighting'!$EF$9:$EF$308,0))</f>
        <v>0</v>
      </c>
      <c r="H25" s="244">
        <f t="shared" si="0"/>
        <v>0</v>
      </c>
      <c r="I25" s="244">
        <f t="shared" si="1"/>
        <v>0</v>
      </c>
      <c r="K25" s="917">
        <f t="shared" si="2"/>
        <v>0</v>
      </c>
      <c r="L25" s="1718" t="str">
        <f>IF(ISERROR('Inspection Sheet'!L444),0,IF('Inspection Sheet'!M444&gt;0,'Inspection Sheet'!L444,0))</f>
        <v/>
      </c>
      <c r="M25" s="1718"/>
      <c r="N25" s="1718"/>
      <c r="O25" s="1718"/>
      <c r="P25" s="1718"/>
      <c r="Q25" s="1718"/>
      <c r="R25" s="1718"/>
      <c r="S25" s="1719" t="str">
        <f>IF(ISERROR('Inspection Sheet'!M444),0,IF('Inspection Sheet'!M444&gt;0,'Inspection Sheet'!M444,0))</f>
        <v/>
      </c>
      <c r="T25" s="1719"/>
    </row>
    <row r="26" spans="1:20" ht="31.15" customHeight="1">
      <c r="A26" s="292" t="s">
        <v>1799</v>
      </c>
      <c r="B26" s="816" t="s">
        <v>54</v>
      </c>
      <c r="C26" s="802"/>
      <c r="D26" s="1105"/>
      <c r="E26" s="816"/>
      <c r="F26" s="882" cm="1">
        <f t="array" ref="F26">SUM(IF('Proposed Lighting'!$Z$9:$Z$308=Lists!A76,'Proposed Lighting'!$AA$9:$AA$308,0))</f>
        <v>0</v>
      </c>
      <c r="G26" s="1546">
        <f t="array" ref="G26">SUM(IF('Proposed Lighting'!$EK$9:$EK$308=A26,'Proposed Lighting'!$EF$9:$EF$308,0))</f>
        <v>0</v>
      </c>
      <c r="H26" s="244">
        <f t="shared" si="0"/>
        <v>0</v>
      </c>
      <c r="I26" s="244">
        <f t="shared" si="1"/>
        <v>0</v>
      </c>
      <c r="K26" s="917">
        <f t="shared" si="2"/>
        <v>0</v>
      </c>
      <c r="L26" s="1718" t="str">
        <f>IF(ISERROR('Inspection Sheet'!L445),0,IF('Inspection Sheet'!M445&gt;0,'Inspection Sheet'!L445,0))</f>
        <v/>
      </c>
      <c r="M26" s="1718"/>
      <c r="N26" s="1718"/>
      <c r="O26" s="1718"/>
      <c r="P26" s="1718"/>
      <c r="Q26" s="1718"/>
      <c r="R26" s="1718"/>
      <c r="S26" s="1719" t="str">
        <f>IF(ISERROR('Inspection Sheet'!M445),0,IF('Inspection Sheet'!M445&gt;0,'Inspection Sheet'!M445,0))</f>
        <v/>
      </c>
      <c r="T26" s="1719"/>
    </row>
    <row r="27" spans="1:20" ht="31.15" customHeight="1">
      <c r="A27" s="292" t="s">
        <v>1800</v>
      </c>
      <c r="B27" s="816" t="s">
        <v>54</v>
      </c>
      <c r="C27" s="802"/>
      <c r="D27" s="1105"/>
      <c r="E27" s="816"/>
      <c r="F27" s="882" cm="1">
        <f t="array" ref="F27">SUM(IF('Proposed Lighting'!$Z$9:$Z$308=Lists!A77,'Proposed Lighting'!$AA$9:$AA$308,0))</f>
        <v>0</v>
      </c>
      <c r="G27" s="1546">
        <f t="array" ref="G27">SUM(IF('Proposed Lighting'!$EK$9:$EK$308=A27,'Proposed Lighting'!$EF$9:$EF$308,0))</f>
        <v>0</v>
      </c>
      <c r="H27" s="244">
        <f t="shared" si="0"/>
        <v>0</v>
      </c>
      <c r="I27" s="244">
        <f t="shared" si="1"/>
        <v>0</v>
      </c>
      <c r="K27" s="917">
        <f t="shared" si="2"/>
        <v>0</v>
      </c>
      <c r="L27" s="1718" t="str">
        <f>IF(ISERROR('Inspection Sheet'!L446),0,IF('Inspection Sheet'!M446&gt;0,'Inspection Sheet'!L446,0))</f>
        <v/>
      </c>
      <c r="M27" s="1718"/>
      <c r="N27" s="1718"/>
      <c r="O27" s="1718"/>
      <c r="P27" s="1718"/>
      <c r="Q27" s="1718"/>
      <c r="R27" s="1718"/>
      <c r="S27" s="1719" t="str">
        <f>IF(ISERROR('Inspection Sheet'!M446),0,IF('Inspection Sheet'!M446&gt;0,'Inspection Sheet'!M446,0))</f>
        <v/>
      </c>
      <c r="T27" s="1719"/>
    </row>
    <row r="28" spans="1:20" ht="31.15" customHeight="1">
      <c r="A28" s="292" t="s">
        <v>1801</v>
      </c>
      <c r="B28" s="816" t="s">
        <v>54</v>
      </c>
      <c r="C28" s="802"/>
      <c r="D28" s="1105"/>
      <c r="E28" s="816"/>
      <c r="F28" s="882" cm="1">
        <f t="array" ref="F28">SUM(IF('Proposed Lighting'!$Z$9:$Z$308=Lists!A78,'Proposed Lighting'!$AA$9:$AA$308,0))</f>
        <v>0</v>
      </c>
      <c r="G28" s="1546">
        <f t="array" ref="G28">SUM(IF('Proposed Lighting'!$EK$9:$EK$308=A28,'Proposed Lighting'!$EF$9:$EF$308,0))</f>
        <v>0</v>
      </c>
      <c r="H28" s="244">
        <f t="shared" si="0"/>
        <v>0</v>
      </c>
      <c r="I28" s="244">
        <f t="shared" si="1"/>
        <v>0</v>
      </c>
      <c r="K28" s="917">
        <f t="shared" si="2"/>
        <v>0</v>
      </c>
      <c r="L28" s="1718" t="str">
        <f>IF(ISERROR('Inspection Sheet'!L447),0,IF('Inspection Sheet'!M447&gt;0,'Inspection Sheet'!L447,0))</f>
        <v/>
      </c>
      <c r="M28" s="1718"/>
      <c r="N28" s="1718"/>
      <c r="O28" s="1718"/>
      <c r="P28" s="1718"/>
      <c r="Q28" s="1718"/>
      <c r="R28" s="1718"/>
      <c r="S28" s="1719" t="str">
        <f>IF(ISERROR('Inspection Sheet'!M447),0,IF('Inspection Sheet'!M447&gt;0,'Inspection Sheet'!M447,0))</f>
        <v/>
      </c>
      <c r="T28" s="1719"/>
    </row>
    <row r="29" spans="1:20" ht="31.15" customHeight="1">
      <c r="A29" s="292" t="s">
        <v>1802</v>
      </c>
      <c r="B29" s="816" t="s">
        <v>54</v>
      </c>
      <c r="C29" s="802"/>
      <c r="D29" s="1105"/>
      <c r="E29" s="816"/>
      <c r="F29" s="882" cm="1">
        <f t="array" ref="F29">SUM(IF('Proposed Lighting'!$Z$9:$Z$308=Lists!A79,'Proposed Lighting'!$AA$9:$AA$308,0))</f>
        <v>0</v>
      </c>
      <c r="G29" s="1546">
        <f t="array" ref="G29">SUM(IF('Proposed Lighting'!$EK$9:$EK$308=A29,'Proposed Lighting'!$EF$9:$EF$308,0))</f>
        <v>0</v>
      </c>
      <c r="H29" s="244">
        <f t="shared" si="0"/>
        <v>0</v>
      </c>
      <c r="I29" s="244">
        <f t="shared" si="1"/>
        <v>0</v>
      </c>
      <c r="K29" s="917">
        <f t="shared" si="2"/>
        <v>0</v>
      </c>
      <c r="L29" s="1718" t="str">
        <f>IF(ISERROR('Inspection Sheet'!L448),0,IF('Inspection Sheet'!M448&gt;0,'Inspection Sheet'!L448,0))</f>
        <v/>
      </c>
      <c r="M29" s="1718"/>
      <c r="N29" s="1718"/>
      <c r="O29" s="1718"/>
      <c r="P29" s="1718"/>
      <c r="Q29" s="1718"/>
      <c r="R29" s="1718"/>
      <c r="S29" s="1719" t="str">
        <f>IF(ISERROR('Inspection Sheet'!M448),0,IF('Inspection Sheet'!M448&gt;0,'Inspection Sheet'!M448,0))</f>
        <v/>
      </c>
      <c r="T29" s="1719"/>
    </row>
    <row r="30" spans="1:20" ht="31.15" customHeight="1">
      <c r="A30" s="292" t="s">
        <v>1803</v>
      </c>
      <c r="B30" s="816" t="s">
        <v>54</v>
      </c>
      <c r="C30" s="802"/>
      <c r="D30" s="1105"/>
      <c r="E30" s="816"/>
      <c r="F30" s="882" cm="1">
        <f t="array" ref="F30">SUM(IF('Proposed Lighting'!$Z$9:$Z$308=Lists!A80,'Proposed Lighting'!$AA$9:$AA$308,0))</f>
        <v>0</v>
      </c>
      <c r="G30" s="1546">
        <f t="array" ref="G30">SUM(IF('Proposed Lighting'!$EK$9:$EK$308=A30,'Proposed Lighting'!$EF$9:$EF$308,0))</f>
        <v>0</v>
      </c>
      <c r="H30" s="244">
        <f t="shared" si="0"/>
        <v>0</v>
      </c>
      <c r="I30" s="244">
        <f t="shared" si="1"/>
        <v>0</v>
      </c>
      <c r="K30" s="917">
        <f t="shared" si="2"/>
        <v>0</v>
      </c>
      <c r="L30" s="1718" t="str">
        <f>IF(ISERROR('Inspection Sheet'!L449),0,IF('Inspection Sheet'!M449&gt;0,'Inspection Sheet'!L449,0))</f>
        <v/>
      </c>
      <c r="M30" s="1718"/>
      <c r="N30" s="1718"/>
      <c r="O30" s="1718"/>
      <c r="P30" s="1718"/>
      <c r="Q30" s="1718"/>
      <c r="R30" s="1718"/>
      <c r="S30" s="1719" t="str">
        <f>IF(ISERROR('Inspection Sheet'!M449),0,IF('Inspection Sheet'!M449&gt;0,'Inspection Sheet'!M449,0))</f>
        <v/>
      </c>
      <c r="T30" s="1719"/>
    </row>
    <row r="31" spans="1:20" ht="31.15" customHeight="1">
      <c r="A31" s="292" t="s">
        <v>1804</v>
      </c>
      <c r="B31" s="816" t="s">
        <v>54</v>
      </c>
      <c r="C31" s="802"/>
      <c r="D31" s="1105"/>
      <c r="E31" s="816"/>
      <c r="F31" s="882" cm="1">
        <f t="array" ref="F31">SUM(IF('Proposed Lighting'!$Z$9:$Z$308=Lists!A81,'Proposed Lighting'!$AA$9:$AA$308,0))</f>
        <v>0</v>
      </c>
      <c r="G31" s="1546">
        <f t="array" ref="G31">SUM(IF('Proposed Lighting'!$EK$9:$EK$308=A31,'Proposed Lighting'!$EF$9:$EF$308,0))</f>
        <v>0</v>
      </c>
      <c r="H31" s="244">
        <f t="shared" si="0"/>
        <v>0</v>
      </c>
      <c r="I31" s="244">
        <f t="shared" si="1"/>
        <v>0</v>
      </c>
      <c r="K31" s="917">
        <f t="shared" si="2"/>
        <v>0</v>
      </c>
      <c r="L31" s="1718" t="str">
        <f>IF(ISERROR('Inspection Sheet'!L450),0,IF('Inspection Sheet'!M450&gt;0,'Inspection Sheet'!L450,0))</f>
        <v/>
      </c>
      <c r="M31" s="1718"/>
      <c r="N31" s="1718"/>
      <c r="O31" s="1718"/>
      <c r="P31" s="1718"/>
      <c r="Q31" s="1718"/>
      <c r="R31" s="1718"/>
      <c r="S31" s="1719" t="str">
        <f>IF(ISERROR('Inspection Sheet'!M450),0,IF('Inspection Sheet'!M450&gt;0,'Inspection Sheet'!M450,0))</f>
        <v/>
      </c>
      <c r="T31" s="1719"/>
    </row>
    <row r="32" spans="1:20" ht="31.15" customHeight="1">
      <c r="A32" s="292" t="s">
        <v>1805</v>
      </c>
      <c r="B32" s="816" t="s">
        <v>54</v>
      </c>
      <c r="C32" s="802"/>
      <c r="D32" s="1105"/>
      <c r="E32" s="816"/>
      <c r="F32" s="882" cm="1">
        <f t="array" ref="F32">SUM(IF('Proposed Lighting'!$Z$9:$Z$308=Lists!A82,'Proposed Lighting'!$AA$9:$AA$308,0))</f>
        <v>0</v>
      </c>
      <c r="G32" s="1546">
        <f t="array" ref="G32">SUM(IF('Proposed Lighting'!$EK$9:$EK$308=A32,'Proposed Lighting'!$EF$9:$EF$308,0))</f>
        <v>0</v>
      </c>
      <c r="H32" s="244">
        <f t="shared" si="0"/>
        <v>0</v>
      </c>
      <c r="I32" s="244">
        <f t="shared" si="1"/>
        <v>0</v>
      </c>
      <c r="K32" s="917">
        <f t="shared" si="2"/>
        <v>0</v>
      </c>
      <c r="L32" s="1718" t="str">
        <f>IF(ISERROR('Inspection Sheet'!L451),0,IF('Inspection Sheet'!M451&gt;0,'Inspection Sheet'!L451,0))</f>
        <v/>
      </c>
      <c r="M32" s="1718"/>
      <c r="N32" s="1718"/>
      <c r="O32" s="1718"/>
      <c r="P32" s="1718"/>
      <c r="Q32" s="1718"/>
      <c r="R32" s="1718"/>
      <c r="S32" s="1719" t="str">
        <f>IF(ISERROR('Inspection Sheet'!M451),0,IF('Inspection Sheet'!M451&gt;0,'Inspection Sheet'!M451,0))</f>
        <v/>
      </c>
      <c r="T32" s="1719"/>
    </row>
    <row r="33" spans="1:20" ht="31.15" customHeight="1">
      <c r="A33" s="292" t="s">
        <v>1806</v>
      </c>
      <c r="B33" s="816" t="s">
        <v>54</v>
      </c>
      <c r="C33" s="802"/>
      <c r="D33" s="1105"/>
      <c r="E33" s="816"/>
      <c r="F33" s="882" cm="1">
        <f t="array" ref="F33">SUM(IF('Proposed Lighting'!$Z$9:$Z$308=Lists!A83,'Proposed Lighting'!$AA$9:$AA$308,0))</f>
        <v>0</v>
      </c>
      <c r="G33" s="1546">
        <f t="array" ref="G33">SUM(IF('Proposed Lighting'!$EK$9:$EK$308=A33,'Proposed Lighting'!$EF$9:$EF$308,0))</f>
        <v>0</v>
      </c>
      <c r="H33" s="244">
        <f t="shared" si="0"/>
        <v>0</v>
      </c>
      <c r="I33" s="244">
        <f t="shared" si="1"/>
        <v>0</v>
      </c>
      <c r="K33" s="917">
        <f t="shared" si="2"/>
        <v>0</v>
      </c>
      <c r="L33" s="1718" t="str">
        <f>IF(ISERROR('Inspection Sheet'!L452),0,IF('Inspection Sheet'!M452&gt;0,'Inspection Sheet'!L452,0))</f>
        <v/>
      </c>
      <c r="M33" s="1718"/>
      <c r="N33" s="1718"/>
      <c r="O33" s="1718"/>
      <c r="P33" s="1718"/>
      <c r="Q33" s="1718"/>
      <c r="R33" s="1718"/>
      <c r="S33" s="1719" t="str">
        <f>IF(ISERROR('Inspection Sheet'!M452),0,IF('Inspection Sheet'!M452&gt;0,'Inspection Sheet'!M452,0))</f>
        <v/>
      </c>
      <c r="T33" s="1719"/>
    </row>
    <row r="34" spans="1:20" ht="31.15" customHeight="1">
      <c r="A34" s="292" t="s">
        <v>1807</v>
      </c>
      <c r="B34" s="816" t="s">
        <v>54</v>
      </c>
      <c r="C34" s="802"/>
      <c r="D34" s="1105"/>
      <c r="E34" s="816"/>
      <c r="F34" s="882" cm="1">
        <f t="array" ref="F34">SUM(IF('Proposed Lighting'!$Z$9:$Z$308=Lists!A84,'Proposed Lighting'!$AA$9:$AA$308,0))</f>
        <v>0</v>
      </c>
      <c r="G34" s="1546">
        <f t="array" ref="G34">SUM(IF('Proposed Lighting'!$EK$9:$EK$308=A34,'Proposed Lighting'!$EF$9:$EF$308,0))</f>
        <v>0</v>
      </c>
      <c r="H34" s="244">
        <f t="shared" si="0"/>
        <v>0</v>
      </c>
      <c r="I34" s="244">
        <f t="shared" si="1"/>
        <v>0</v>
      </c>
      <c r="K34" s="917">
        <f t="shared" si="2"/>
        <v>0</v>
      </c>
      <c r="L34" s="1718" t="str">
        <f>IF(ISERROR('Inspection Sheet'!L453),0,IF('Inspection Sheet'!M453&gt;0,'Inspection Sheet'!L453,0))</f>
        <v/>
      </c>
      <c r="M34" s="1718"/>
      <c r="N34" s="1718"/>
      <c r="O34" s="1718"/>
      <c r="P34" s="1718"/>
      <c r="Q34" s="1718"/>
      <c r="R34" s="1718"/>
      <c r="S34" s="1719" t="str">
        <f>IF(ISERROR('Inspection Sheet'!M453),0,IF('Inspection Sheet'!M453&gt;0,'Inspection Sheet'!M453,0))</f>
        <v/>
      </c>
      <c r="T34" s="1719"/>
    </row>
    <row r="35" spans="1:20" ht="30.75" customHeight="1">
      <c r="A35" s="292" t="s">
        <v>1808</v>
      </c>
      <c r="B35" s="816" t="s">
        <v>54</v>
      </c>
      <c r="C35" s="802"/>
      <c r="D35" s="1105"/>
      <c r="E35" s="816"/>
      <c r="F35" s="882" cm="1">
        <f t="array" ref="F35">SUM(IF('Proposed Lighting'!$Z$9:$Z$308=Lists!A85,'Proposed Lighting'!$AA$9:$AA$308,0))</f>
        <v>0</v>
      </c>
      <c r="G35" s="1546">
        <f t="array" ref="G35">SUM(IF('Proposed Lighting'!$EK$9:$EK$308=A35,'Proposed Lighting'!$EF$9:$EF$308,0))</f>
        <v>0</v>
      </c>
      <c r="H35" s="244">
        <f t="shared" si="0"/>
        <v>0</v>
      </c>
      <c r="I35" s="244">
        <f t="shared" si="1"/>
        <v>0</v>
      </c>
      <c r="K35" s="917">
        <f t="shared" si="2"/>
        <v>0</v>
      </c>
      <c r="L35" s="1718" t="str">
        <f>IF(ISERROR('Inspection Sheet'!L454),0,IF('Inspection Sheet'!M454&gt;0,'Inspection Sheet'!L454,0))</f>
        <v/>
      </c>
      <c r="M35" s="1718"/>
      <c r="N35" s="1718"/>
      <c r="O35" s="1718"/>
      <c r="P35" s="1718"/>
      <c r="Q35" s="1718"/>
      <c r="R35" s="1718"/>
      <c r="S35" s="1719" t="str">
        <f>IF(ISERROR('Inspection Sheet'!M454),0,IF('Inspection Sheet'!M454&gt;0,'Inspection Sheet'!M454,0))</f>
        <v/>
      </c>
      <c r="T35" s="1719"/>
    </row>
    <row r="36" spans="1:20" ht="31.15" hidden="1" customHeight="1">
      <c r="A36" s="292" t="s">
        <v>1838</v>
      </c>
      <c r="B36" s="816" t="s">
        <v>54</v>
      </c>
      <c r="C36" s="802"/>
      <c r="D36" s="1105"/>
      <c r="E36" s="816"/>
      <c r="F36" s="882" cm="1">
        <f t="array" ref="F36">SUM(IF('Proposed Lighting'!$Z$9:$Z$308=Lists!A86,'Proposed Lighting'!$AA$9:$AA$308,0))</f>
        <v>0</v>
      </c>
      <c r="G36" s="1546">
        <f t="array" ref="G36">SUM(IF('Proposed Lighting'!$EK$9:$EK$308=A36,'Proposed Lighting'!$EF$9:$EF$308,0))</f>
        <v>0</v>
      </c>
      <c r="H36" s="244">
        <f t="shared" si="0"/>
        <v>0</v>
      </c>
      <c r="I36" s="244">
        <f t="shared" si="1"/>
        <v>0</v>
      </c>
      <c r="K36" s="917">
        <f t="shared" si="2"/>
        <v>0</v>
      </c>
      <c r="L36" s="1718" t="str">
        <f>IF(ISERROR('Inspection Sheet'!L455),0,IF('Inspection Sheet'!M455&gt;0,'Inspection Sheet'!L455,0))</f>
        <v/>
      </c>
      <c r="M36" s="1718"/>
      <c r="N36" s="1718"/>
      <c r="O36" s="1718"/>
      <c r="P36" s="1718"/>
      <c r="Q36" s="1718"/>
      <c r="R36" s="1718"/>
      <c r="S36" s="1719" t="str">
        <f>IF(ISERROR('Inspection Sheet'!M455),0,IF('Inspection Sheet'!M455&gt;0,'Inspection Sheet'!M455,0))</f>
        <v/>
      </c>
      <c r="T36" s="1719"/>
    </row>
    <row r="37" spans="1:20" ht="31.15" hidden="1" customHeight="1">
      <c r="A37" s="292" t="s">
        <v>1839</v>
      </c>
      <c r="B37" s="816" t="s">
        <v>54</v>
      </c>
      <c r="C37" s="802"/>
      <c r="D37" s="1105"/>
      <c r="E37" s="816"/>
      <c r="F37" s="882" cm="1">
        <f t="array" ref="F37">SUM(IF('Proposed Lighting'!$Z$9:$Z$308=Lists!A87,'Proposed Lighting'!$AA$9:$AA$308,0))</f>
        <v>0</v>
      </c>
      <c r="G37" s="1546">
        <f t="array" ref="G37">SUM(IF('Proposed Lighting'!$EK$9:$EK$308=A37,'Proposed Lighting'!$EF$9:$EF$308,0))</f>
        <v>0</v>
      </c>
      <c r="H37" s="244">
        <f t="shared" si="0"/>
        <v>0</v>
      </c>
      <c r="I37" s="244">
        <f t="shared" si="1"/>
        <v>0</v>
      </c>
      <c r="K37" s="917">
        <f t="shared" si="2"/>
        <v>0</v>
      </c>
      <c r="L37" s="1720" t="str">
        <f>IF(ISERROR('Inspection Sheet'!L456),0,IF('Inspection Sheet'!M456&gt;0,'Inspection Sheet'!L456,0))</f>
        <v/>
      </c>
      <c r="M37" s="1720"/>
      <c r="N37" s="1720"/>
      <c r="O37" s="1720"/>
      <c r="P37" s="1720"/>
      <c r="Q37" s="1720"/>
      <c r="R37" s="1720"/>
      <c r="S37" s="1721" t="str">
        <f>IF(ISERROR('Inspection Sheet'!M456),0,IF('Inspection Sheet'!M456&gt;0,'Inspection Sheet'!M456,0))</f>
        <v/>
      </c>
      <c r="T37" s="1721"/>
    </row>
    <row r="38" spans="1:20" ht="31.15" hidden="1" customHeight="1">
      <c r="A38" s="292" t="s">
        <v>1840</v>
      </c>
      <c r="B38" s="816" t="s">
        <v>54</v>
      </c>
      <c r="C38" s="802"/>
      <c r="D38" s="1105"/>
      <c r="E38" s="816"/>
      <c r="F38" s="882" cm="1">
        <f t="array" ref="F38">SUM(IF('Proposed Lighting'!$Z$9:$Z$308=Lists!A88,'Proposed Lighting'!$AA$9:$AA$308,0))</f>
        <v>0</v>
      </c>
      <c r="G38" s="1546">
        <f t="array" ref="G38">SUM(IF('Proposed Lighting'!$EK$9:$EK$308=A38,'Proposed Lighting'!$EF$9:$EF$308,0))</f>
        <v>0</v>
      </c>
      <c r="H38" s="244">
        <f t="shared" si="0"/>
        <v>0</v>
      </c>
      <c r="I38" s="244">
        <f t="shared" si="1"/>
        <v>0</v>
      </c>
      <c r="K38" s="917">
        <f t="shared" si="2"/>
        <v>0</v>
      </c>
      <c r="L38" s="1716"/>
      <c r="M38" s="1716"/>
      <c r="N38" s="1716"/>
      <c r="O38" s="1716"/>
      <c r="P38" s="1716"/>
      <c r="Q38" s="1716"/>
      <c r="R38" s="1716"/>
      <c r="S38" s="1717"/>
      <c r="T38" s="1717"/>
    </row>
    <row r="39" spans="1:20" ht="31.15" hidden="1" customHeight="1">
      <c r="A39" s="292" t="s">
        <v>1841</v>
      </c>
      <c r="B39" s="816" t="s">
        <v>54</v>
      </c>
      <c r="C39" s="802"/>
      <c r="D39" s="1105"/>
      <c r="E39" s="816"/>
      <c r="F39" s="882" cm="1">
        <f t="array" ref="F39">SUM(IF('Proposed Lighting'!$Z$9:$Z$308=Lists!A89,'Proposed Lighting'!$AA$9:$AA$308,0))</f>
        <v>0</v>
      </c>
      <c r="G39" s="1546">
        <f t="array" ref="G39">SUM(IF('Proposed Lighting'!$EK$9:$EK$308=A39,'Proposed Lighting'!$EF$9:$EF$308,0))</f>
        <v>0</v>
      </c>
      <c r="H39" s="244">
        <f t="shared" si="0"/>
        <v>0</v>
      </c>
      <c r="I39" s="244">
        <f t="shared" si="1"/>
        <v>0</v>
      </c>
      <c r="K39" s="917">
        <f t="shared" si="2"/>
        <v>0</v>
      </c>
      <c r="L39" s="1614"/>
      <c r="M39" s="1614"/>
      <c r="N39" s="1614"/>
      <c r="O39" s="1614"/>
      <c r="P39" s="1614"/>
      <c r="Q39" s="1614"/>
      <c r="R39" s="795" t="s">
        <v>1208</v>
      </c>
      <c r="S39" s="1722">
        <f>SUM(S10:T37)</f>
        <v>0</v>
      </c>
      <c r="T39" s="1722"/>
    </row>
    <row r="40" spans="1:20" ht="31.15" hidden="1" customHeight="1">
      <c r="A40" s="292" t="s">
        <v>1842</v>
      </c>
      <c r="B40" s="816" t="s">
        <v>54</v>
      </c>
      <c r="C40" s="802"/>
      <c r="D40" s="1105"/>
      <c r="E40" s="816"/>
      <c r="F40" s="882" cm="1">
        <f t="array" ref="F40">SUM(IF('Proposed Lighting'!$Z$9:$Z$308=Lists!A90,'Proposed Lighting'!$AA$9:$AA$308,0))</f>
        <v>0</v>
      </c>
      <c r="G40" s="1546">
        <f t="array" ref="G40">SUM(IF('Proposed Lighting'!$EK$9:$EK$308=A40,'Proposed Lighting'!$EF$9:$EF$308,0))</f>
        <v>0</v>
      </c>
      <c r="H40" s="244">
        <f t="shared" si="0"/>
        <v>0</v>
      </c>
      <c r="I40" s="244">
        <f t="shared" si="1"/>
        <v>0</v>
      </c>
      <c r="K40" s="917">
        <f t="shared" si="2"/>
        <v>0</v>
      </c>
      <c r="L40" s="1716"/>
      <c r="M40" s="1716"/>
      <c r="N40" s="1716"/>
      <c r="O40" s="1716"/>
      <c r="P40" s="1716"/>
      <c r="Q40" s="1716"/>
      <c r="R40" s="1716"/>
      <c r="S40" s="1717"/>
      <c r="T40" s="1717"/>
    </row>
    <row r="41" spans="1:20" ht="31.15" hidden="1" customHeight="1">
      <c r="A41" s="292" t="s">
        <v>1843</v>
      </c>
      <c r="B41" s="816" t="s">
        <v>54</v>
      </c>
      <c r="C41" s="802"/>
      <c r="D41" s="1105"/>
      <c r="E41" s="816"/>
      <c r="F41" s="882" cm="1">
        <f t="array" ref="F41">SUM(IF('Proposed Lighting'!$Z$9:$Z$308=Lists!A91,'Proposed Lighting'!$AA$9:$AA$308,0))</f>
        <v>0</v>
      </c>
      <c r="G41" s="1546">
        <f t="array" ref="G41">SUM(IF('Proposed Lighting'!$EK$9:$EK$308=A41,'Proposed Lighting'!$EF$9:$EF$308,0))</f>
        <v>0</v>
      </c>
      <c r="H41" s="244">
        <f t="shared" si="0"/>
        <v>0</v>
      </c>
      <c r="I41" s="244">
        <f t="shared" si="1"/>
        <v>0</v>
      </c>
      <c r="K41" s="917">
        <f t="shared" si="2"/>
        <v>0</v>
      </c>
      <c r="L41" s="1716"/>
      <c r="M41" s="1716"/>
      <c r="N41" s="1716"/>
      <c r="O41" s="1716"/>
      <c r="P41" s="1716"/>
      <c r="Q41" s="1716"/>
      <c r="R41" s="1716"/>
      <c r="S41" s="1717"/>
      <c r="T41" s="1717"/>
    </row>
    <row r="42" spans="1:20" ht="31.15" hidden="1" customHeight="1">
      <c r="A42" s="292" t="s">
        <v>1844</v>
      </c>
      <c r="B42" s="816" t="s">
        <v>54</v>
      </c>
      <c r="C42" s="802"/>
      <c r="D42" s="1105"/>
      <c r="E42" s="816"/>
      <c r="F42" s="882" cm="1">
        <f t="array" ref="F42">SUM(IF('Proposed Lighting'!$Z$9:$Z$308=Lists!A92,'Proposed Lighting'!$AA$9:$AA$308,0))</f>
        <v>0</v>
      </c>
      <c r="G42" s="1546">
        <f t="array" ref="G42">SUM(IF('Proposed Lighting'!$EK$9:$EK$308=A42,'Proposed Lighting'!$EF$9:$EF$308,0))</f>
        <v>0</v>
      </c>
      <c r="H42" s="244">
        <f t="shared" ref="H42:H61" si="3">IF(C42="",0,1)</f>
        <v>0</v>
      </c>
      <c r="I42" s="244">
        <f t="shared" ref="I42:I61" si="4">IF(D42="",0,1)</f>
        <v>0</v>
      </c>
      <c r="K42" s="917">
        <f t="shared" ref="K42:K61" si="5">IF(AND(E42&gt;0.01,H42=0),500,IF(AND(E42&gt;0.01,I42=0),500,IF(ISNUMBER(SEARCH("please",B42))*AND(E42&gt;0.01,H42=1,I42=1),500,0)))</f>
        <v>0</v>
      </c>
      <c r="L42" s="1716"/>
      <c r="M42" s="1716"/>
      <c r="N42" s="1716"/>
      <c r="O42" s="1716"/>
      <c r="P42" s="1716"/>
      <c r="Q42" s="1716"/>
      <c r="R42" s="1716"/>
      <c r="S42" s="1717"/>
      <c r="T42" s="1717"/>
    </row>
    <row r="43" spans="1:20" ht="31.15" hidden="1" customHeight="1">
      <c r="A43" s="292" t="s">
        <v>1845</v>
      </c>
      <c r="B43" s="816" t="s">
        <v>54</v>
      </c>
      <c r="C43" s="802"/>
      <c r="D43" s="1105"/>
      <c r="E43" s="816"/>
      <c r="F43" s="882" cm="1">
        <f t="array" ref="F43">SUM(IF('Proposed Lighting'!$Z$9:$Z$308=Lists!A93,'Proposed Lighting'!$AA$9:$AA$308,0))</f>
        <v>0</v>
      </c>
      <c r="G43" s="1546">
        <f t="array" ref="G43">SUM(IF('Proposed Lighting'!$EK$9:$EK$308=A43,'Proposed Lighting'!$EF$9:$EF$308,0))</f>
        <v>0</v>
      </c>
      <c r="H43" s="244">
        <f t="shared" si="3"/>
        <v>0</v>
      </c>
      <c r="I43" s="244">
        <f t="shared" si="4"/>
        <v>0</v>
      </c>
      <c r="K43" s="917">
        <f t="shared" si="5"/>
        <v>0</v>
      </c>
      <c r="L43" s="1716"/>
      <c r="M43" s="1716"/>
      <c r="N43" s="1716"/>
      <c r="O43" s="1716"/>
      <c r="P43" s="1716"/>
      <c r="Q43" s="1716"/>
      <c r="R43" s="1716"/>
      <c r="S43" s="1717"/>
      <c r="T43" s="1717"/>
    </row>
    <row r="44" spans="1:20" ht="31.15" hidden="1" customHeight="1">
      <c r="A44" s="292" t="s">
        <v>1846</v>
      </c>
      <c r="B44" s="816" t="s">
        <v>54</v>
      </c>
      <c r="C44" s="802"/>
      <c r="D44" s="1105"/>
      <c r="E44" s="816"/>
      <c r="F44" s="882" cm="1">
        <f t="array" ref="F44">SUM(IF('Proposed Lighting'!$Z$9:$Z$308=Lists!A94,'Proposed Lighting'!$AA$9:$AA$308,0))</f>
        <v>0</v>
      </c>
      <c r="G44" s="1546">
        <f t="array" ref="G44">SUM(IF('Proposed Lighting'!$EK$9:$EK$308=A44,'Proposed Lighting'!$EF$9:$EF$308,0))</f>
        <v>0</v>
      </c>
      <c r="H44" s="244">
        <f t="shared" si="3"/>
        <v>0</v>
      </c>
      <c r="I44" s="244">
        <f t="shared" si="4"/>
        <v>0</v>
      </c>
      <c r="K44" s="917">
        <f t="shared" si="5"/>
        <v>0</v>
      </c>
      <c r="L44" s="1716"/>
      <c r="M44" s="1716"/>
      <c r="N44" s="1716"/>
      <c r="O44" s="1716"/>
      <c r="P44" s="1716"/>
      <c r="Q44" s="1716"/>
      <c r="R44" s="1716"/>
      <c r="S44" s="1717"/>
      <c r="T44" s="1717"/>
    </row>
    <row r="45" spans="1:20" ht="31.15" hidden="1" customHeight="1">
      <c r="A45" s="292" t="s">
        <v>1847</v>
      </c>
      <c r="B45" s="816" t="s">
        <v>54</v>
      </c>
      <c r="C45" s="802"/>
      <c r="D45" s="1105"/>
      <c r="E45" s="816"/>
      <c r="F45" s="882" cm="1">
        <f t="array" ref="F45">SUM(IF('Proposed Lighting'!$Z$9:$Z$308=Lists!A95,'Proposed Lighting'!$AA$9:$AA$308,0))</f>
        <v>0</v>
      </c>
      <c r="G45" s="1546">
        <f t="array" ref="G45">SUM(IF('Proposed Lighting'!$EK$9:$EK$308=A45,'Proposed Lighting'!$EF$9:$EF$308,0))</f>
        <v>0</v>
      </c>
      <c r="H45" s="244">
        <f t="shared" si="3"/>
        <v>0</v>
      </c>
      <c r="I45" s="244">
        <f t="shared" si="4"/>
        <v>0</v>
      </c>
      <c r="K45" s="917">
        <f t="shared" si="5"/>
        <v>0</v>
      </c>
      <c r="L45" s="1716"/>
      <c r="M45" s="1716"/>
      <c r="N45" s="1716"/>
      <c r="O45" s="1716"/>
      <c r="P45" s="1716"/>
      <c r="Q45" s="1716"/>
      <c r="R45" s="1716"/>
      <c r="S45" s="1717"/>
      <c r="T45" s="1717"/>
    </row>
    <row r="46" spans="1:20" ht="31.15" hidden="1" customHeight="1">
      <c r="A46" s="292" t="s">
        <v>1848</v>
      </c>
      <c r="B46" s="816" t="s">
        <v>54</v>
      </c>
      <c r="C46" s="802"/>
      <c r="D46" s="1105"/>
      <c r="E46" s="816"/>
      <c r="F46" s="882" cm="1">
        <f t="array" ref="F46">SUM(IF('Proposed Lighting'!$Z$9:$Z$308=Lists!A96,'Proposed Lighting'!$AA$9:$AA$308,0))</f>
        <v>0</v>
      </c>
      <c r="G46" s="1546">
        <f t="array" ref="G46">SUM(IF('Proposed Lighting'!$EK$9:$EK$308=A46,'Proposed Lighting'!$EF$9:$EF$308,0))</f>
        <v>0</v>
      </c>
      <c r="H46" s="244">
        <f t="shared" si="3"/>
        <v>0</v>
      </c>
      <c r="I46" s="244">
        <f t="shared" si="4"/>
        <v>0</v>
      </c>
      <c r="K46" s="917">
        <f t="shared" si="5"/>
        <v>0</v>
      </c>
      <c r="L46" s="1716"/>
      <c r="M46" s="1716"/>
      <c r="N46" s="1716"/>
      <c r="O46" s="1716"/>
      <c r="P46" s="1716"/>
      <c r="Q46" s="1716"/>
      <c r="R46" s="1716"/>
      <c r="S46" s="1717"/>
      <c r="T46" s="1717"/>
    </row>
    <row r="47" spans="1:20" ht="31.15" hidden="1" customHeight="1">
      <c r="A47" s="292" t="s">
        <v>1849</v>
      </c>
      <c r="B47" s="816" t="s">
        <v>54</v>
      </c>
      <c r="C47" s="802"/>
      <c r="D47" s="1106"/>
      <c r="E47" s="816"/>
      <c r="F47" s="882" cm="1">
        <f t="array" ref="F47">SUM(IF('Proposed Lighting'!$Z$9:$Z$308=Lists!A97,'Proposed Lighting'!$AA$9:$AA$308,0))</f>
        <v>0</v>
      </c>
      <c r="G47" s="1546">
        <f t="array" ref="G47">SUM(IF('Proposed Lighting'!$EK$9:$EK$308=A47,'Proposed Lighting'!$EF$9:$EF$308,0))</f>
        <v>0</v>
      </c>
      <c r="H47" s="244">
        <f t="shared" si="3"/>
        <v>0</v>
      </c>
      <c r="I47" s="244">
        <f t="shared" si="4"/>
        <v>0</v>
      </c>
      <c r="K47" s="917">
        <f t="shared" si="5"/>
        <v>0</v>
      </c>
      <c r="L47" s="1716"/>
      <c r="M47" s="1716"/>
      <c r="N47" s="1716"/>
      <c r="O47" s="1716"/>
      <c r="P47" s="1716"/>
      <c r="Q47" s="1716"/>
      <c r="R47" s="1716"/>
      <c r="S47" s="1717"/>
      <c r="T47" s="1717"/>
    </row>
    <row r="48" spans="1:20" ht="31.15" hidden="1" customHeight="1">
      <c r="A48" s="292" t="s">
        <v>1850</v>
      </c>
      <c r="B48" s="816" t="s">
        <v>54</v>
      </c>
      <c r="C48" s="802"/>
      <c r="D48" s="1106"/>
      <c r="E48" s="816"/>
      <c r="F48" s="882" cm="1">
        <f t="array" ref="F48">SUM(IF('Proposed Lighting'!$Z$9:$Z$308=Lists!A98,'Proposed Lighting'!$AA$9:$AA$308,0))</f>
        <v>0</v>
      </c>
      <c r="G48" s="1546">
        <f t="array" ref="G48">SUM(IF('Proposed Lighting'!$EK$9:$EK$308=A48,'Proposed Lighting'!$EF$9:$EF$308,0))</f>
        <v>0</v>
      </c>
      <c r="H48" s="244">
        <f t="shared" si="3"/>
        <v>0</v>
      </c>
      <c r="I48" s="244">
        <f t="shared" si="4"/>
        <v>0</v>
      </c>
      <c r="K48" s="917">
        <f t="shared" si="5"/>
        <v>0</v>
      </c>
      <c r="L48" s="1716"/>
      <c r="M48" s="1716"/>
      <c r="N48" s="1716"/>
      <c r="O48" s="1716"/>
      <c r="P48" s="1716"/>
      <c r="Q48" s="1716"/>
      <c r="R48" s="1716"/>
      <c r="S48" s="1717"/>
      <c r="T48" s="1717"/>
    </row>
    <row r="49" spans="1:20" ht="31.15" hidden="1" customHeight="1">
      <c r="A49" s="292" t="s">
        <v>1851</v>
      </c>
      <c r="B49" s="816" t="s">
        <v>54</v>
      </c>
      <c r="C49" s="802"/>
      <c r="D49" s="1106"/>
      <c r="E49" s="816"/>
      <c r="F49" s="882" cm="1">
        <f t="array" ref="F49">SUM(IF('Proposed Lighting'!$Z$9:$Z$308=Lists!A99,'Proposed Lighting'!$AA$9:$AA$308,0))</f>
        <v>0</v>
      </c>
      <c r="G49" s="1546">
        <f t="array" ref="G49">SUM(IF('Proposed Lighting'!$EK$9:$EK$308=A49,'Proposed Lighting'!$EF$9:$EF$308,0))</f>
        <v>0</v>
      </c>
      <c r="H49" s="244">
        <f t="shared" si="3"/>
        <v>0</v>
      </c>
      <c r="I49" s="244">
        <f t="shared" si="4"/>
        <v>0</v>
      </c>
      <c r="K49" s="917">
        <f t="shared" si="5"/>
        <v>0</v>
      </c>
      <c r="L49" s="1716"/>
      <c r="M49" s="1716"/>
      <c r="N49" s="1716"/>
      <c r="O49" s="1716"/>
      <c r="P49" s="1716"/>
      <c r="Q49" s="1716"/>
      <c r="R49" s="1716"/>
      <c r="S49" s="1717"/>
      <c r="T49" s="1717"/>
    </row>
    <row r="50" spans="1:20" ht="31.15" hidden="1" customHeight="1">
      <c r="A50" s="292" t="s">
        <v>1852</v>
      </c>
      <c r="B50" s="816" t="s">
        <v>54</v>
      </c>
      <c r="C50" s="802"/>
      <c r="D50" s="1106"/>
      <c r="E50" s="816"/>
      <c r="F50" s="882" cm="1">
        <f t="array" ref="F50">SUM(IF('Proposed Lighting'!$Z$9:$Z$308=Lists!A100,'Proposed Lighting'!$AA$9:$AA$308,0))</f>
        <v>0</v>
      </c>
      <c r="G50" s="1546">
        <f t="array" ref="G50">SUM(IF('Proposed Lighting'!$EK$9:$EK$308=A50,'Proposed Lighting'!$EF$9:$EF$308,0))</f>
        <v>0</v>
      </c>
      <c r="H50" s="244">
        <f t="shared" si="3"/>
        <v>0</v>
      </c>
      <c r="I50" s="244">
        <f t="shared" si="4"/>
        <v>0</v>
      </c>
      <c r="K50" s="917">
        <f t="shared" si="5"/>
        <v>0</v>
      </c>
      <c r="L50" s="1716"/>
      <c r="M50" s="1716"/>
      <c r="N50" s="1716"/>
      <c r="O50" s="1716"/>
      <c r="P50" s="1716"/>
      <c r="Q50" s="1716"/>
      <c r="R50" s="1716"/>
      <c r="S50" s="1717"/>
      <c r="T50" s="1717"/>
    </row>
    <row r="51" spans="1:20" ht="31.15" hidden="1" customHeight="1">
      <c r="A51" s="292" t="s">
        <v>1853</v>
      </c>
      <c r="B51" s="816" t="s">
        <v>54</v>
      </c>
      <c r="C51" s="802"/>
      <c r="D51" s="1106"/>
      <c r="E51" s="816"/>
      <c r="F51" s="882" cm="1">
        <f t="array" ref="F51">SUM(IF('Proposed Lighting'!$Z$9:$Z$308=Lists!A101,'Proposed Lighting'!$AA$9:$AA$308,0))</f>
        <v>0</v>
      </c>
      <c r="G51" s="1546">
        <f t="array" ref="G51">SUM(IF('Proposed Lighting'!$EK$9:$EK$308=A51,'Proposed Lighting'!$EF$9:$EF$308,0))</f>
        <v>0</v>
      </c>
      <c r="H51" s="244">
        <f t="shared" si="3"/>
        <v>0</v>
      </c>
      <c r="I51" s="244">
        <f t="shared" si="4"/>
        <v>0</v>
      </c>
      <c r="K51" s="917">
        <f t="shared" si="5"/>
        <v>0</v>
      </c>
      <c r="L51" s="1716"/>
      <c r="M51" s="1716"/>
      <c r="N51" s="1716"/>
      <c r="O51" s="1716"/>
      <c r="P51" s="1716"/>
      <c r="Q51" s="1716"/>
      <c r="R51" s="1716"/>
      <c r="S51" s="1717"/>
      <c r="T51" s="1717"/>
    </row>
    <row r="52" spans="1:20" ht="31.15" hidden="1" customHeight="1">
      <c r="A52" s="292" t="s">
        <v>1854</v>
      </c>
      <c r="B52" s="816" t="s">
        <v>54</v>
      </c>
      <c r="C52" s="802"/>
      <c r="D52" s="1106"/>
      <c r="E52" s="816"/>
      <c r="F52" s="882" cm="1">
        <f t="array" ref="F52">SUM(IF('Proposed Lighting'!$Z$9:$Z$308=Lists!A102,'Proposed Lighting'!$AA$9:$AA$308,0))</f>
        <v>0</v>
      </c>
      <c r="G52" s="1546">
        <f t="array" ref="G52">SUM(IF('Proposed Lighting'!$EK$9:$EK$308=A52,'Proposed Lighting'!$EF$9:$EF$308,0))</f>
        <v>0</v>
      </c>
      <c r="H52" s="244">
        <f t="shared" si="3"/>
        <v>0</v>
      </c>
      <c r="I52" s="244">
        <f t="shared" si="4"/>
        <v>0</v>
      </c>
      <c r="K52" s="917">
        <f t="shared" si="5"/>
        <v>0</v>
      </c>
      <c r="L52" s="1716"/>
      <c r="M52" s="1716"/>
      <c r="N52" s="1716"/>
      <c r="O52" s="1716"/>
      <c r="P52" s="1716"/>
      <c r="Q52" s="1716"/>
      <c r="R52" s="1716"/>
      <c r="S52" s="1717"/>
      <c r="T52" s="1717"/>
    </row>
    <row r="53" spans="1:20" ht="31.15" hidden="1" customHeight="1">
      <c r="A53" s="292" t="s">
        <v>1855</v>
      </c>
      <c r="B53" s="816" t="s">
        <v>54</v>
      </c>
      <c r="C53" s="802"/>
      <c r="D53" s="1106"/>
      <c r="E53" s="816"/>
      <c r="F53" s="882" cm="1">
        <f t="array" ref="F53">SUM(IF('Proposed Lighting'!$Z$9:$Z$308=Lists!A103,'Proposed Lighting'!$AA$9:$AA$308,0))</f>
        <v>0</v>
      </c>
      <c r="G53" s="1546">
        <f t="array" ref="G53">SUM(IF('Proposed Lighting'!$EK$9:$EK$308=A53,'Proposed Lighting'!$EF$9:$EF$308,0))</f>
        <v>0</v>
      </c>
      <c r="H53" s="244">
        <f t="shared" si="3"/>
        <v>0</v>
      </c>
      <c r="I53" s="244">
        <f t="shared" si="4"/>
        <v>0</v>
      </c>
      <c r="K53" s="917">
        <f t="shared" si="5"/>
        <v>0</v>
      </c>
      <c r="L53" s="1716"/>
      <c r="M53" s="1716"/>
      <c r="N53" s="1716"/>
      <c r="O53" s="1716"/>
      <c r="P53" s="1716"/>
      <c r="Q53" s="1716"/>
      <c r="R53" s="1716"/>
      <c r="S53" s="1717"/>
      <c r="T53" s="1717"/>
    </row>
    <row r="54" spans="1:20" ht="31.15" hidden="1" customHeight="1">
      <c r="A54" s="292" t="s">
        <v>1856</v>
      </c>
      <c r="B54" s="816" t="s">
        <v>54</v>
      </c>
      <c r="C54" s="802"/>
      <c r="D54" s="1106"/>
      <c r="E54" s="816"/>
      <c r="F54" s="882" cm="1">
        <f t="array" ref="F54">SUM(IF('Proposed Lighting'!$Z$9:$Z$308=Lists!A104,'Proposed Lighting'!$AA$9:$AA$308,0))</f>
        <v>0</v>
      </c>
      <c r="G54" s="1546">
        <f t="array" ref="G54">SUM(IF('Proposed Lighting'!$EK$9:$EK$308=A54,'Proposed Lighting'!$EF$9:$EF$308,0))</f>
        <v>0</v>
      </c>
      <c r="H54" s="244">
        <f t="shared" si="3"/>
        <v>0</v>
      </c>
      <c r="I54" s="244">
        <f t="shared" si="4"/>
        <v>0</v>
      </c>
      <c r="K54" s="917">
        <f t="shared" si="5"/>
        <v>0</v>
      </c>
      <c r="L54" s="1716"/>
      <c r="M54" s="1716"/>
      <c r="N54" s="1716"/>
      <c r="O54" s="1716"/>
      <c r="P54" s="1716"/>
      <c r="Q54" s="1716"/>
      <c r="R54" s="1716"/>
      <c r="S54" s="1717"/>
      <c r="T54" s="1717"/>
    </row>
    <row r="55" spans="1:20" ht="31.15" hidden="1" customHeight="1">
      <c r="A55" s="292" t="s">
        <v>1857</v>
      </c>
      <c r="B55" s="816" t="s">
        <v>54</v>
      </c>
      <c r="C55" s="802"/>
      <c r="D55" s="1106"/>
      <c r="E55" s="816"/>
      <c r="F55" s="882" cm="1">
        <f t="array" ref="F55">SUM(IF('Proposed Lighting'!$Z$9:$Z$308=Lists!A105,'Proposed Lighting'!$AA$9:$AA$308,0))</f>
        <v>0</v>
      </c>
      <c r="G55" s="1546">
        <f t="array" ref="G55">SUM(IF('Proposed Lighting'!$EK$9:$EK$308=A55,'Proposed Lighting'!$EF$9:$EF$308,0))</f>
        <v>0</v>
      </c>
      <c r="H55" s="244">
        <f t="shared" si="3"/>
        <v>0</v>
      </c>
      <c r="I55" s="244">
        <f t="shared" si="4"/>
        <v>0</v>
      </c>
      <c r="K55" s="917">
        <f t="shared" si="5"/>
        <v>0</v>
      </c>
      <c r="L55" s="1716"/>
      <c r="M55" s="1716"/>
      <c r="N55" s="1716"/>
      <c r="O55" s="1716"/>
      <c r="P55" s="1716"/>
      <c r="Q55" s="1716"/>
      <c r="R55" s="1716"/>
      <c r="S55" s="1717"/>
      <c r="T55" s="1717"/>
    </row>
    <row r="56" spans="1:20" ht="31.15" hidden="1" customHeight="1">
      <c r="A56" s="292" t="s">
        <v>1858</v>
      </c>
      <c r="B56" s="816" t="s">
        <v>54</v>
      </c>
      <c r="C56" s="802"/>
      <c r="D56" s="1106"/>
      <c r="E56" s="816"/>
      <c r="F56" s="882" cm="1">
        <f t="array" ref="F56">SUM(IF('Proposed Lighting'!$Z$9:$Z$308=Lists!A106,'Proposed Lighting'!$AA$9:$AA$308,0))</f>
        <v>0</v>
      </c>
      <c r="G56" s="1546">
        <f t="array" ref="G56">SUM(IF('Proposed Lighting'!$EK$9:$EK$308=A56,'Proposed Lighting'!$EF$9:$EF$308,0))</f>
        <v>0</v>
      </c>
      <c r="H56" s="244">
        <f t="shared" si="3"/>
        <v>0</v>
      </c>
      <c r="I56" s="244">
        <f t="shared" si="4"/>
        <v>0</v>
      </c>
      <c r="K56" s="917">
        <f t="shared" si="5"/>
        <v>0</v>
      </c>
      <c r="L56" s="1716"/>
      <c r="M56" s="1716"/>
      <c r="N56" s="1716"/>
      <c r="O56" s="1716"/>
      <c r="P56" s="1716"/>
      <c r="Q56" s="1716"/>
      <c r="R56" s="1716"/>
      <c r="S56" s="1717"/>
      <c r="T56" s="1717"/>
    </row>
    <row r="57" spans="1:20" ht="31.15" hidden="1" customHeight="1">
      <c r="A57" s="292" t="s">
        <v>1859</v>
      </c>
      <c r="B57" s="816" t="s">
        <v>54</v>
      </c>
      <c r="C57" s="802"/>
      <c r="D57" s="1106"/>
      <c r="E57" s="816"/>
      <c r="F57" s="882" cm="1">
        <f t="array" ref="F57">SUM(IF('Proposed Lighting'!$Z$9:$Z$308=Lists!A107,'Proposed Lighting'!$AA$9:$AA$308,0))</f>
        <v>0</v>
      </c>
      <c r="G57" s="1546">
        <f t="array" ref="G57">SUM(IF('Proposed Lighting'!$EK$9:$EK$308=A57,'Proposed Lighting'!$EF$9:$EF$308,0))</f>
        <v>0</v>
      </c>
      <c r="H57" s="244">
        <f t="shared" si="3"/>
        <v>0</v>
      </c>
      <c r="I57" s="244">
        <f t="shared" si="4"/>
        <v>0</v>
      </c>
      <c r="K57" s="917">
        <f t="shared" si="5"/>
        <v>0</v>
      </c>
      <c r="L57" s="1716"/>
      <c r="M57" s="1716"/>
      <c r="N57" s="1716"/>
      <c r="O57" s="1716"/>
      <c r="P57" s="1716"/>
      <c r="Q57" s="1716"/>
      <c r="R57" s="1716"/>
      <c r="S57" s="1717"/>
      <c r="T57" s="1717"/>
    </row>
    <row r="58" spans="1:20" ht="31.15" hidden="1" customHeight="1">
      <c r="A58" s="292" t="s">
        <v>1860</v>
      </c>
      <c r="B58" s="816" t="s">
        <v>54</v>
      </c>
      <c r="C58" s="802"/>
      <c r="D58" s="1106"/>
      <c r="E58" s="816"/>
      <c r="F58" s="882" cm="1">
        <f t="array" ref="F58">SUM(IF('Proposed Lighting'!$Z$9:$Z$308=Lists!A108,'Proposed Lighting'!$AA$9:$AA$308,0))</f>
        <v>0</v>
      </c>
      <c r="G58" s="1546">
        <f t="array" ref="G58">SUM(IF('Proposed Lighting'!$EK$9:$EK$308=A58,'Proposed Lighting'!$EF$9:$EF$308,0))</f>
        <v>0</v>
      </c>
      <c r="H58" s="244">
        <f t="shared" si="3"/>
        <v>0</v>
      </c>
      <c r="I58" s="244">
        <f t="shared" si="4"/>
        <v>0</v>
      </c>
      <c r="K58" s="917">
        <f t="shared" si="5"/>
        <v>0</v>
      </c>
      <c r="L58" s="1716"/>
      <c r="M58" s="1716"/>
      <c r="N58" s="1716"/>
      <c r="O58" s="1716"/>
      <c r="P58" s="1716"/>
      <c r="Q58" s="1716"/>
      <c r="R58" s="1716"/>
      <c r="S58" s="1717"/>
      <c r="T58" s="1717"/>
    </row>
    <row r="59" spans="1:20" ht="31.15" hidden="1" customHeight="1">
      <c r="A59" s="292" t="s">
        <v>1861</v>
      </c>
      <c r="B59" s="816" t="s">
        <v>54</v>
      </c>
      <c r="C59" s="802"/>
      <c r="D59" s="1106"/>
      <c r="E59" s="816"/>
      <c r="F59" s="882" cm="1">
        <f t="array" ref="F59">SUM(IF('Proposed Lighting'!$Z$9:$Z$308=Lists!A109,'Proposed Lighting'!$AA$9:$AA$308,0))</f>
        <v>0</v>
      </c>
      <c r="G59" s="1546">
        <f t="array" ref="G59">SUM(IF('Proposed Lighting'!$EK$9:$EK$308=A59,'Proposed Lighting'!$EF$9:$EF$308,0))</f>
        <v>0</v>
      </c>
      <c r="H59" s="244">
        <f t="shared" si="3"/>
        <v>0</v>
      </c>
      <c r="I59" s="244">
        <f t="shared" si="4"/>
        <v>0</v>
      </c>
      <c r="K59" s="917">
        <f t="shared" si="5"/>
        <v>0</v>
      </c>
      <c r="L59" s="1716"/>
      <c r="M59" s="1716"/>
      <c r="N59" s="1716"/>
      <c r="O59" s="1716"/>
      <c r="P59" s="1716"/>
      <c r="Q59" s="1716"/>
      <c r="R59" s="1716"/>
      <c r="S59" s="1717"/>
      <c r="T59" s="1717"/>
    </row>
    <row r="60" spans="1:20" ht="31.15" hidden="1" customHeight="1">
      <c r="A60" s="292" t="s">
        <v>1862</v>
      </c>
      <c r="B60" s="816" t="s">
        <v>54</v>
      </c>
      <c r="C60" s="802"/>
      <c r="D60" s="1106"/>
      <c r="E60" s="816"/>
      <c r="F60" s="882" cm="1">
        <f t="array" ref="F60">SUM(IF('Proposed Lighting'!$Z$9:$Z$308=Lists!A110,'Proposed Lighting'!$AA$9:$AA$308,0))</f>
        <v>0</v>
      </c>
      <c r="G60" s="1546">
        <f t="array" ref="G60">SUM(IF('Proposed Lighting'!$EK$9:$EK$308=A60,'Proposed Lighting'!$EF$9:$EF$308,0))</f>
        <v>0</v>
      </c>
      <c r="H60" s="244">
        <f t="shared" si="3"/>
        <v>0</v>
      </c>
      <c r="I60" s="244">
        <f t="shared" si="4"/>
        <v>0</v>
      </c>
      <c r="K60" s="917">
        <f t="shared" si="5"/>
        <v>0</v>
      </c>
      <c r="L60" s="1716"/>
      <c r="M60" s="1716"/>
      <c r="N60" s="1716"/>
      <c r="O60" s="1716"/>
      <c r="P60" s="1716"/>
      <c r="Q60" s="1716"/>
      <c r="R60" s="1716"/>
      <c r="S60" s="1717"/>
      <c r="T60" s="1717"/>
    </row>
    <row r="61" spans="1:20" ht="31.15" hidden="1" customHeight="1">
      <c r="A61" s="292" t="s">
        <v>1863</v>
      </c>
      <c r="B61" s="816" t="s">
        <v>54</v>
      </c>
      <c r="C61" s="802"/>
      <c r="D61" s="1106"/>
      <c r="E61" s="816"/>
      <c r="F61" s="882" cm="1">
        <f t="array" ref="F61">SUM(IF('Proposed Lighting'!$Z$9:$Z$308=Lists!A111,'Proposed Lighting'!$AA$9:$AA$308,0))</f>
        <v>0</v>
      </c>
      <c r="G61" s="1546">
        <f t="array" ref="G61">SUM(IF('Proposed Lighting'!$EK$9:$EK$308=A61,'Proposed Lighting'!$EF$9:$EF$308,0))</f>
        <v>0</v>
      </c>
      <c r="H61" s="244">
        <f t="shared" si="3"/>
        <v>0</v>
      </c>
      <c r="I61" s="244">
        <f t="shared" si="4"/>
        <v>0</v>
      </c>
      <c r="K61" s="917">
        <f t="shared" si="5"/>
        <v>0</v>
      </c>
    </row>
    <row r="62" spans="1:20" ht="12" customHeight="1">
      <c r="A62" s="292"/>
      <c r="B62" s="292"/>
      <c r="K62" s="55"/>
    </row>
    <row r="63" spans="1:20" ht="16.149999999999999" customHeight="1">
      <c r="A63" s="292"/>
      <c r="C63" s="1724">
        <f>SUM(B10:B61)</f>
        <v>0</v>
      </c>
      <c r="D63" s="1724"/>
      <c r="E63" s="1724"/>
      <c r="H63" s="794">
        <f>SUM(H10:H61)</f>
        <v>0</v>
      </c>
      <c r="I63" s="794">
        <f>SUM(I10:I61)</f>
        <v>0</v>
      </c>
      <c r="J63" s="794"/>
      <c r="K63" s="1088">
        <f>SUM(K10:K61)</f>
        <v>0</v>
      </c>
      <c r="T63" s="794"/>
    </row>
    <row r="64" spans="1:20" ht="18.75" customHeight="1">
      <c r="A64" s="1712" t="s">
        <v>7</v>
      </c>
      <c r="B64" s="1712"/>
      <c r="C64" s="817">
        <f>'Data Entry'!B19</f>
        <v>0</v>
      </c>
      <c r="E64" s="795" t="s">
        <v>1208</v>
      </c>
      <c r="F64" s="794">
        <f>SUM(F10:F61)</f>
        <v>0</v>
      </c>
      <c r="G64" s="794">
        <f>SUM(G10:G61)</f>
        <v>0</v>
      </c>
    </row>
    <row r="65" spans="1:3" ht="19.5" customHeight="1">
      <c r="A65" s="1713" t="s">
        <v>1239</v>
      </c>
      <c r="B65" s="1713"/>
      <c r="C65" s="823">
        <f>'Data Entry'!F68</f>
        <v>0</v>
      </c>
    </row>
    <row r="66" spans="1:3">
      <c r="A66" s="1551" t="s">
        <v>1898</v>
      </c>
      <c r="B66" s="292"/>
    </row>
    <row r="67" spans="1:3">
      <c r="A67" s="292"/>
      <c r="B67" s="292"/>
    </row>
    <row r="68" spans="1:3">
      <c r="A68" s="292"/>
      <c r="B68" s="292"/>
    </row>
    <row r="69" spans="1:3">
      <c r="A69" s="292"/>
      <c r="B69" s="292"/>
    </row>
    <row r="70" spans="1:3">
      <c r="A70" s="292"/>
      <c r="B70" s="292"/>
    </row>
    <row r="71" spans="1:3">
      <c r="A71" s="292"/>
      <c r="B71" s="292"/>
    </row>
    <row r="72" spans="1:3">
      <c r="A72" s="292"/>
      <c r="B72" s="292"/>
    </row>
    <row r="73" spans="1:3">
      <c r="A73" s="292"/>
      <c r="B73" s="292"/>
    </row>
    <row r="74" spans="1:3">
      <c r="A74" s="292"/>
      <c r="B74" s="292"/>
    </row>
    <row r="75" spans="1:3">
      <c r="A75" s="292"/>
      <c r="B75" s="292"/>
    </row>
    <row r="76" spans="1:3">
      <c r="A76" s="292"/>
      <c r="B76" s="292"/>
    </row>
    <row r="77" spans="1:3">
      <c r="A77" s="292"/>
      <c r="B77" s="292"/>
    </row>
    <row r="78" spans="1:3">
      <c r="A78" s="292"/>
      <c r="B78" s="292"/>
    </row>
    <row r="79" spans="1:3">
      <c r="A79" s="292"/>
      <c r="B79" s="292"/>
    </row>
    <row r="80" spans="1:3">
      <c r="A80" s="292"/>
      <c r="B80" s="292"/>
    </row>
    <row r="81" spans="1:2">
      <c r="A81" s="292"/>
      <c r="B81" s="292"/>
    </row>
    <row r="82" spans="1:2">
      <c r="A82" s="292"/>
      <c r="B82" s="292"/>
    </row>
    <row r="83" spans="1:2">
      <c r="A83" s="292"/>
      <c r="B83" s="292"/>
    </row>
    <row r="84" spans="1:2">
      <c r="A84" s="292"/>
      <c r="B84" s="292"/>
    </row>
    <row r="85" spans="1:2">
      <c r="A85" s="292"/>
      <c r="B85" s="292"/>
    </row>
    <row r="86" spans="1:2">
      <c r="A86" s="292"/>
      <c r="B86" s="292"/>
    </row>
    <row r="87" spans="1:2">
      <c r="A87" s="292"/>
      <c r="B87" s="292"/>
    </row>
    <row r="88" spans="1:2">
      <c r="A88" s="292"/>
      <c r="B88" s="292"/>
    </row>
    <row r="89" spans="1:2">
      <c r="A89" s="292"/>
      <c r="B89" s="292"/>
    </row>
    <row r="90" spans="1:2">
      <c r="A90" s="292"/>
      <c r="B90" s="292"/>
    </row>
    <row r="91" spans="1:2">
      <c r="A91" s="292"/>
      <c r="B91" s="292"/>
    </row>
    <row r="92" spans="1:2">
      <c r="A92" s="292"/>
      <c r="B92" s="292"/>
    </row>
    <row r="93" spans="1:2">
      <c r="A93" s="292"/>
      <c r="B93" s="292"/>
    </row>
    <row r="94" spans="1:2">
      <c r="A94" s="292"/>
      <c r="B94" s="292"/>
    </row>
    <row r="95" spans="1:2">
      <c r="A95" s="292"/>
      <c r="B95" s="292"/>
    </row>
    <row r="96" spans="1:2">
      <c r="A96" s="292"/>
      <c r="B96" s="292"/>
    </row>
    <row r="97" spans="1:2">
      <c r="A97" s="292"/>
      <c r="B97" s="292"/>
    </row>
    <row r="98" spans="1:2">
      <c r="A98" s="292"/>
      <c r="B98" s="292"/>
    </row>
    <row r="99" spans="1:2">
      <c r="A99" s="292"/>
      <c r="B99" s="292"/>
    </row>
    <row r="100" spans="1:2">
      <c r="A100" s="292"/>
      <c r="B100" s="292"/>
    </row>
    <row r="101" spans="1:2">
      <c r="A101" s="292"/>
      <c r="B101" s="292"/>
    </row>
    <row r="102" spans="1:2">
      <c r="A102" s="292"/>
      <c r="B102" s="292"/>
    </row>
    <row r="103" spans="1:2">
      <c r="A103" s="292"/>
      <c r="B103" s="292"/>
    </row>
    <row r="104" spans="1:2">
      <c r="A104" s="292"/>
      <c r="B104" s="292"/>
    </row>
    <row r="105" spans="1:2">
      <c r="A105" s="292"/>
      <c r="B105" s="292"/>
    </row>
    <row r="106" spans="1:2">
      <c r="A106" s="292"/>
      <c r="B106" s="292"/>
    </row>
    <row r="107" spans="1:2">
      <c r="A107" s="292"/>
      <c r="B107" s="292"/>
    </row>
    <row r="108" spans="1:2">
      <c r="A108" s="292"/>
      <c r="B108" s="292"/>
    </row>
    <row r="109" spans="1:2">
      <c r="A109" s="292"/>
      <c r="B109" s="292"/>
    </row>
  </sheetData>
  <sheetProtection algorithmName="SHA-512" hashValue="VTUlfSX4a5BKacp/MxwXJB00BhOcH15Nl4VFqwttMyuKrJb8Hc3NjxYBgkSb6DNoMGMCTKf/xT25Sw+bVH8vLg==" saltValue="lH9PxNvHdlZ8B1uMkGCdJw==" spinCount="100000" sheet="1" formatRows="0"/>
  <mergeCells count="107">
    <mergeCell ref="A7:G7"/>
    <mergeCell ref="L25:R25"/>
    <mergeCell ref="S25:T25"/>
    <mergeCell ref="C63:E63"/>
    <mergeCell ref="L10:R10"/>
    <mergeCell ref="S10:T10"/>
    <mergeCell ref="L11:R11"/>
    <mergeCell ref="S11:T11"/>
    <mergeCell ref="L12:R12"/>
    <mergeCell ref="S12:T12"/>
    <mergeCell ref="L13:R13"/>
    <mergeCell ref="S13:T13"/>
    <mergeCell ref="L14:R14"/>
    <mergeCell ref="S14:T14"/>
    <mergeCell ref="L15:R15"/>
    <mergeCell ref="S15:T15"/>
    <mergeCell ref="L16:R16"/>
    <mergeCell ref="S16:T16"/>
    <mergeCell ref="L17:R17"/>
    <mergeCell ref="S17:T17"/>
    <mergeCell ref="L18:R18"/>
    <mergeCell ref="S18:T18"/>
    <mergeCell ref="L19:R19"/>
    <mergeCell ref="S19:T19"/>
    <mergeCell ref="L20:R20"/>
    <mergeCell ref="S20:T20"/>
    <mergeCell ref="L21:R21"/>
    <mergeCell ref="S21:T21"/>
    <mergeCell ref="L22:R22"/>
    <mergeCell ref="S22:T22"/>
    <mergeCell ref="L23:R23"/>
    <mergeCell ref="S23:T23"/>
    <mergeCell ref="L24:R24"/>
    <mergeCell ref="S24:T24"/>
    <mergeCell ref="L26:R26"/>
    <mergeCell ref="S26:T26"/>
    <mergeCell ref="L27:R27"/>
    <mergeCell ref="S27:T27"/>
    <mergeCell ref="L28:R28"/>
    <mergeCell ref="S28:T28"/>
    <mergeCell ref="L29:R29"/>
    <mergeCell ref="S29:T29"/>
    <mergeCell ref="L30:R30"/>
    <mergeCell ref="S30:T30"/>
    <mergeCell ref="L31:R31"/>
    <mergeCell ref="S31:T31"/>
    <mergeCell ref="L32:R32"/>
    <mergeCell ref="S32:T32"/>
    <mergeCell ref="L33:R33"/>
    <mergeCell ref="S33:T33"/>
    <mergeCell ref="L34:R34"/>
    <mergeCell ref="S34:T34"/>
    <mergeCell ref="L35:R35"/>
    <mergeCell ref="S35:T35"/>
    <mergeCell ref="L41:R41"/>
    <mergeCell ref="S41:T41"/>
    <mergeCell ref="L42:R42"/>
    <mergeCell ref="S42:T42"/>
    <mergeCell ref="L43:R43"/>
    <mergeCell ref="S43:T43"/>
    <mergeCell ref="L44:R44"/>
    <mergeCell ref="S44:T44"/>
    <mergeCell ref="L36:R36"/>
    <mergeCell ref="S36:T36"/>
    <mergeCell ref="L37:R37"/>
    <mergeCell ref="S37:T37"/>
    <mergeCell ref="L38:R38"/>
    <mergeCell ref="S38:T38"/>
    <mergeCell ref="S39:T39"/>
    <mergeCell ref="L40:R40"/>
    <mergeCell ref="S40:T40"/>
    <mergeCell ref="L59:R59"/>
    <mergeCell ref="S59:T59"/>
    <mergeCell ref="L45:R45"/>
    <mergeCell ref="S45:T45"/>
    <mergeCell ref="L46:R46"/>
    <mergeCell ref="S46:T46"/>
    <mergeCell ref="L47:R47"/>
    <mergeCell ref="S47:T47"/>
    <mergeCell ref="L48:R48"/>
    <mergeCell ref="S48:T48"/>
    <mergeCell ref="L49:R49"/>
    <mergeCell ref="S49:T49"/>
    <mergeCell ref="H9:I9"/>
    <mergeCell ref="A64:B64"/>
    <mergeCell ref="A65:B65"/>
    <mergeCell ref="D2:F2"/>
    <mergeCell ref="L60:R60"/>
    <mergeCell ref="S60:T60"/>
    <mergeCell ref="L54:R54"/>
    <mergeCell ref="S54:T54"/>
    <mergeCell ref="L55:R55"/>
    <mergeCell ref="S55:T55"/>
    <mergeCell ref="L56:R56"/>
    <mergeCell ref="S56:T56"/>
    <mergeCell ref="L57:R57"/>
    <mergeCell ref="S57:T57"/>
    <mergeCell ref="L58:R58"/>
    <mergeCell ref="S58:T58"/>
    <mergeCell ref="L50:R50"/>
    <mergeCell ref="S50:T50"/>
    <mergeCell ref="L51:R51"/>
    <mergeCell ref="S51:T51"/>
    <mergeCell ref="L52:R52"/>
    <mergeCell ref="S52:T52"/>
    <mergeCell ref="L53:R53"/>
    <mergeCell ref="S53:T53"/>
  </mergeCells>
  <conditionalFormatting sqref="B10:B61">
    <cfRule type="expression" dxfId="150" priority="6">
      <formula>IF(E10&gt;0.01,B10="Please select")</formula>
    </cfRule>
  </conditionalFormatting>
  <conditionalFormatting sqref="C10:C61">
    <cfRule type="expression" dxfId="149" priority="3">
      <formula>IF(E10&gt;0.01,ISBLANK(C10))</formula>
    </cfRule>
  </conditionalFormatting>
  <conditionalFormatting sqref="D10:D61">
    <cfRule type="expression" dxfId="148" priority="2">
      <formula>IF(E10&gt;0.01,ISBLANK(D10))</formula>
    </cfRule>
  </conditionalFormatting>
  <conditionalFormatting sqref="E10:E61">
    <cfRule type="expression" dxfId="147" priority="1">
      <formula>B10=$O$3</formula>
    </cfRule>
    <cfRule type="expression" dxfId="146" priority="9">
      <formula>B10=$O$4</formula>
    </cfRule>
  </conditionalFormatting>
  <conditionalFormatting sqref="F10:F61 K10:K61 H11:K61">
    <cfRule type="cellIs" dxfId="145" priority="51" operator="equal">
      <formula>0</formula>
    </cfRule>
  </conditionalFormatting>
  <conditionalFormatting sqref="H10:J10">
    <cfRule type="cellIs" dxfId="144" priority="48" operator="equal">
      <formula>0</formula>
    </cfRule>
  </conditionalFormatting>
  <dataValidations count="2">
    <dataValidation type="list" allowBlank="1" showInputMessage="1" showErrorMessage="1" sqref="B10:B61" xr:uid="{00000000-0002-0000-0200-000000000000}">
      <formula1>LEDLIST</formula1>
    </dataValidation>
    <dataValidation type="custom" allowBlank="1" showInputMessage="1" showErrorMessage="1" errorTitle="Note:" error="Please enter input watts with no more than 2 decimals (example: 10.85 watts)" sqref="E10:E61" xr:uid="{5F13CC1B-6B16-4A40-A6E5-73C1C0F29798}">
      <formula1>E10=ROUND(E10,2)</formula1>
    </dataValidation>
  </dataValidations>
  <hyperlinks>
    <hyperlink ref="D2:F2" r:id="rId1" display=" https://www.designlights.org/search/" xr:uid="{00000000-0004-0000-0200-000000000000}"/>
    <hyperlink ref="D3" r:id="rId2" xr:uid="{00000000-0004-0000-0200-000001000000}"/>
    <hyperlink ref="D4" r:id="rId3" xr:uid="{00000000-0004-0000-0200-000002000000}"/>
    <hyperlink ref="D2" r:id="rId4" xr:uid="{00000000-0004-0000-0200-000003000000}"/>
    <hyperlink ref="D5" r:id="rId5" xr:uid="{00000000-0004-0000-0200-000004000000}"/>
    <hyperlink ref="D6" r:id="rId6" xr:uid="{D682AE88-8CC0-4753-AD52-CF88BEFE6B5A}"/>
  </hyperlinks>
  <pageMargins left="0.25" right="0.25" top="0.75" bottom="0.75" header="0.3" footer="0.3"/>
  <pageSetup scale="59" fitToWidth="2" fitToHeight="2" orientation="portrait" horizontalDpi="4294967293" verticalDpi="4294967293" r:id="rId7"/>
  <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59999389629810485"/>
  </sheetPr>
  <dimension ref="A1:FB1431"/>
  <sheetViews>
    <sheetView showGridLines="0" workbookViewId="0">
      <selection activeCell="F9" sqref="F9:I9"/>
    </sheetView>
  </sheetViews>
  <sheetFormatPr defaultRowHeight="15.75"/>
  <cols>
    <col min="1" max="1" width="4.28515625" customWidth="1"/>
    <col min="2" max="2" width="5.5703125" customWidth="1"/>
    <col min="3" max="3" width="4.7109375" customWidth="1"/>
    <col min="4" max="4" width="3.7109375" customWidth="1"/>
    <col min="5" max="5" width="3.85546875" customWidth="1"/>
    <col min="6" max="7" width="7.28515625" customWidth="1"/>
    <col min="8" max="8" width="5.42578125" customWidth="1"/>
    <col min="9" max="9" width="6.7109375" customWidth="1"/>
    <col min="10" max="10" width="23" customWidth="1"/>
    <col min="11" max="11" width="3.5703125" customWidth="1"/>
    <col min="12" max="12" width="4.5703125" customWidth="1"/>
    <col min="13" max="13" width="10" customWidth="1"/>
    <col min="14" max="14" width="7.28515625" customWidth="1"/>
    <col min="15" max="15" width="8.28515625" customWidth="1"/>
    <col min="16" max="16" width="9.42578125" customWidth="1"/>
    <col min="17" max="17" width="8.5703125" hidden="1" customWidth="1"/>
    <col min="18" max="18" width="9.7109375" hidden="1" customWidth="1"/>
    <col min="19" max="19" width="11" customWidth="1"/>
    <col min="20" max="20" width="14.28515625" customWidth="1"/>
    <col min="21" max="21" width="11.5703125" customWidth="1"/>
    <col min="22" max="22" width="10.5703125" customWidth="1"/>
    <col min="23" max="23" width="30.28515625" customWidth="1"/>
    <col min="24" max="25" width="11.42578125" customWidth="1"/>
    <col min="26" max="26" width="9" style="35" customWidth="1"/>
    <col min="27" max="27" width="7.42578125" customWidth="1"/>
    <col min="28" max="28" width="8.28515625" hidden="1" customWidth="1"/>
    <col min="29" max="29" width="11" customWidth="1"/>
    <col min="30" max="30" width="12.5703125" hidden="1" customWidth="1"/>
    <col min="31" max="32" width="11" hidden="1" customWidth="1"/>
    <col min="33" max="33" width="11" customWidth="1"/>
    <col min="34" max="34" width="5.28515625" customWidth="1"/>
    <col min="35" max="35" width="5" customWidth="1"/>
    <col min="36" max="36" width="11.42578125" customWidth="1"/>
    <col min="37" max="37" width="11.7109375" customWidth="1"/>
    <col min="38" max="38" width="6.85546875" customWidth="1"/>
    <col min="39" max="39" width="9.5703125" customWidth="1"/>
    <col min="40" max="40" width="3.5703125" customWidth="1"/>
    <col min="41" max="42" width="8.5703125" style="1161" hidden="1" customWidth="1"/>
    <col min="43" max="44" width="10.28515625" style="1161" hidden="1" customWidth="1"/>
    <col min="45" max="45" width="10.28515625" hidden="1" customWidth="1"/>
    <col min="46" max="46" width="10.28515625" style="742" hidden="1" customWidth="1"/>
    <col min="47" max="47" width="10.28515625" hidden="1" customWidth="1"/>
    <col min="48" max="48" width="10.7109375" style="288" hidden="1" customWidth="1"/>
    <col min="49" max="50" width="11" hidden="1" customWidth="1"/>
    <col min="51" max="51" width="11" style="425" hidden="1" customWidth="1"/>
    <col min="52" max="53" width="12.7109375" hidden="1" customWidth="1"/>
    <col min="54" max="54" width="13.42578125" style="35" hidden="1" customWidth="1"/>
    <col min="55" max="55" width="10.5703125" hidden="1" customWidth="1"/>
    <col min="56" max="58" width="10" hidden="1" customWidth="1"/>
    <col min="59" max="60" width="9.5703125" hidden="1" customWidth="1"/>
    <col min="61" max="61" width="10.28515625" hidden="1" customWidth="1"/>
    <col min="62" max="62" width="9.28515625" hidden="1" customWidth="1"/>
    <col min="63" max="63" width="9" hidden="1" customWidth="1"/>
    <col min="64" max="64" width="10" hidden="1" customWidth="1"/>
    <col min="65" max="65" width="10.7109375" hidden="1" customWidth="1"/>
    <col min="66" max="66" width="10.28515625" hidden="1" customWidth="1"/>
    <col min="67" max="70" width="10.7109375" hidden="1" customWidth="1"/>
    <col min="71" max="71" width="10.42578125" hidden="1" customWidth="1"/>
    <col min="72" max="73" width="10.28515625" hidden="1" customWidth="1"/>
    <col min="74" max="74" width="12.28515625" hidden="1" customWidth="1"/>
    <col min="75" max="75" width="11.28515625" hidden="1" customWidth="1"/>
    <col min="76" max="76" width="12.28515625" hidden="1" customWidth="1"/>
    <col min="77" max="77" width="11.7109375" hidden="1" customWidth="1"/>
    <col min="78" max="78" width="11" hidden="1" customWidth="1"/>
    <col min="79" max="79" width="14" hidden="1" customWidth="1"/>
    <col min="80" max="88" width="10.28515625" hidden="1" customWidth="1"/>
    <col min="89" max="89" width="12.42578125" style="715" hidden="1" customWidth="1"/>
    <col min="90" max="90" width="11.42578125" style="288" hidden="1" customWidth="1"/>
    <col min="91" max="91" width="10.28515625" style="288" hidden="1" customWidth="1"/>
    <col min="92" max="92" width="16.28515625" hidden="1" customWidth="1"/>
    <col min="93" max="94" width="10.28515625" hidden="1" customWidth="1"/>
    <col min="95" max="95" width="12.85546875" hidden="1" customWidth="1"/>
    <col min="96" max="96" width="11.28515625" hidden="1" customWidth="1"/>
    <col min="97" max="98" width="10.7109375" hidden="1" customWidth="1"/>
    <col min="99" max="99" width="12.7109375" hidden="1" customWidth="1"/>
    <col min="100" max="100" width="12.7109375" customWidth="1"/>
    <col min="101" max="101" width="15.7109375" hidden="1" customWidth="1"/>
    <col min="102" max="102" width="11.7109375" customWidth="1"/>
    <col min="103" max="103" width="12.42578125" hidden="1" customWidth="1"/>
    <col min="104" max="104" width="11" hidden="1" customWidth="1"/>
    <col min="105" max="105" width="9.28515625" customWidth="1"/>
    <col min="106" max="106" width="8" customWidth="1"/>
    <col min="107" max="107" width="9.28515625" hidden="1" customWidth="1"/>
    <col min="108" max="108" width="25.140625" customWidth="1"/>
    <col min="109" max="109" width="17" hidden="1" customWidth="1"/>
    <col min="110" max="113" width="12.7109375" hidden="1" customWidth="1"/>
    <col min="114" max="114" width="17.7109375" hidden="1" customWidth="1"/>
    <col min="115" max="115" width="41.28515625" hidden="1" customWidth="1"/>
    <col min="116" max="116" width="21.7109375" hidden="1" customWidth="1"/>
    <col min="117" max="117" width="38.7109375" hidden="1" customWidth="1"/>
    <col min="118" max="118" width="8.7109375" hidden="1" customWidth="1"/>
    <col min="119" max="119" width="62.140625" hidden="1" customWidth="1"/>
    <col min="120" max="120" width="11.42578125" hidden="1" customWidth="1"/>
    <col min="121" max="121" width="49.42578125" hidden="1" customWidth="1"/>
    <col min="122" max="122" width="17.28515625" hidden="1" customWidth="1"/>
    <col min="123" max="123" width="12.28515625" hidden="1" customWidth="1"/>
    <col min="124" max="124" width="13" hidden="1" customWidth="1"/>
    <col min="125" max="126" width="10.28515625" style="416" hidden="1" customWidth="1"/>
    <col min="127" max="127" width="11.5703125" style="416" hidden="1" customWidth="1"/>
    <col min="128" max="128" width="52.42578125" hidden="1" customWidth="1"/>
    <col min="129" max="129" width="17.7109375" hidden="1" customWidth="1"/>
    <col min="130" max="130" width="19.7109375" hidden="1" customWidth="1"/>
    <col min="131" max="131" width="16.28515625" style="266" hidden="1" customWidth="1"/>
    <col min="132" max="132" width="45.7109375" hidden="1" customWidth="1"/>
    <col min="133" max="133" width="66.5703125" hidden="1" customWidth="1"/>
    <col min="134" max="134" width="19.7109375" hidden="1" customWidth="1"/>
    <col min="135" max="135" width="11.5703125" customWidth="1"/>
    <col min="136" max="136" width="11.7109375" customWidth="1"/>
    <col min="137" max="137" width="9.28515625" hidden="1" customWidth="1"/>
    <col min="138" max="138" width="50.7109375" hidden="1" customWidth="1"/>
    <col min="139" max="139" width="5.5703125" hidden="1" customWidth="1"/>
    <col min="140" max="140" width="11.5703125" hidden="1" customWidth="1"/>
    <col min="141" max="141" width="10" customWidth="1"/>
    <col min="142" max="142" width="9.28515625" hidden="1" customWidth="1"/>
    <col min="143" max="145" width="16.7109375" customWidth="1"/>
    <col min="146" max="146" width="18.7109375" customWidth="1"/>
    <col min="147" max="147" width="12.28515625" hidden="1" customWidth="1"/>
    <col min="148" max="148" width="9" hidden="1" customWidth="1"/>
    <col min="149" max="149" width="10.5703125" style="35" hidden="1" customWidth="1"/>
    <col min="150" max="150" width="20" style="35" hidden="1" customWidth="1"/>
    <col min="151" max="151" width="26.42578125" style="1024" customWidth="1"/>
    <col min="152" max="152" width="25" customWidth="1"/>
    <col min="153" max="153" width="16.42578125" style="294" customWidth="1"/>
    <col min="154" max="154" width="14" style="293" customWidth="1"/>
    <col min="155" max="158" width="14.7109375" customWidth="1"/>
  </cols>
  <sheetData>
    <row r="1" spans="1:158" ht="23.25">
      <c r="A1" s="73" t="s">
        <v>336</v>
      </c>
      <c r="B1" s="5"/>
      <c r="C1" s="5"/>
      <c r="D1" s="5"/>
      <c r="E1" s="5"/>
      <c r="F1" s="5"/>
      <c r="G1" s="5"/>
      <c r="H1" s="5"/>
      <c r="I1" s="204" t="s">
        <v>0</v>
      </c>
      <c r="J1" s="204"/>
      <c r="L1" s="404" t="s">
        <v>497</v>
      </c>
      <c r="M1" s="405"/>
      <c r="N1" s="1645">
        <f>'Data Entry'!F1</f>
        <v>45174</v>
      </c>
      <c r="O1" s="1646"/>
      <c r="Q1" s="5" t="s">
        <v>0</v>
      </c>
      <c r="R1" s="5"/>
      <c r="S1" s="1119"/>
      <c r="T1" s="144"/>
      <c r="U1" s="5"/>
      <c r="W1" s="5"/>
      <c r="X1" s="5"/>
      <c r="Y1" s="5"/>
      <c r="Z1" s="163"/>
      <c r="AA1" s="235">
        <f>IF(DE309=1,"Please enter Fixture Location",IF(DE309&gt;1, "Please enter Fixture Locations",0))</f>
        <v>0</v>
      </c>
      <c r="AB1" s="5"/>
      <c r="AC1" s="5"/>
      <c r="AD1" s="5"/>
      <c r="AE1" s="5"/>
      <c r="AF1" s="5"/>
      <c r="AG1" s="5"/>
      <c r="AH1" s="5"/>
      <c r="AI1" s="5"/>
      <c r="AJ1" s="5"/>
      <c r="AK1" s="5"/>
      <c r="AL1" s="5"/>
      <c r="AM1" s="5"/>
      <c r="AN1" s="5"/>
      <c r="AO1" s="1151"/>
      <c r="AP1" s="1151"/>
      <c r="AQ1" s="1151"/>
      <c r="AR1" s="1151"/>
      <c r="AS1" s="5"/>
      <c r="AT1" s="734"/>
      <c r="AU1" s="5"/>
      <c r="AV1" s="284"/>
      <c r="AW1" s="5"/>
      <c r="AX1" s="5"/>
      <c r="AY1" s="419"/>
      <c r="AZ1" s="5"/>
      <c r="BA1" s="5"/>
      <c r="BB1" s="163"/>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709"/>
      <c r="CL1" s="284"/>
      <c r="CM1" s="284"/>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81"/>
      <c r="DS1" s="81"/>
      <c r="DT1" s="81"/>
      <c r="DU1" s="332"/>
      <c r="DV1" s="332"/>
      <c r="DW1" s="332"/>
      <c r="DX1" s="81"/>
      <c r="DY1" s="81"/>
      <c r="DZ1" s="81"/>
      <c r="EA1" s="353"/>
      <c r="EB1" s="81"/>
      <c r="EC1" s="81"/>
      <c r="ED1" s="81"/>
      <c r="EE1" s="81"/>
      <c r="EF1" s="81"/>
      <c r="EG1" s="81"/>
      <c r="EH1" s="81"/>
      <c r="EI1" s="81"/>
      <c r="EJ1" s="81"/>
      <c r="EK1" s="81"/>
      <c r="EL1" s="81"/>
      <c r="EM1" s="81"/>
      <c r="EN1" s="81"/>
      <c r="EO1" s="81"/>
      <c r="EP1" s="81"/>
      <c r="EQ1" s="81"/>
      <c r="ER1" s="81"/>
      <c r="ES1" s="357"/>
      <c r="ET1" s="357"/>
      <c r="EU1" s="1019"/>
      <c r="EV1" s="81"/>
      <c r="EW1" s="354"/>
      <c r="EX1" s="355"/>
      <c r="EY1" s="81"/>
      <c r="EZ1" s="81"/>
      <c r="FA1" s="81"/>
      <c r="FB1" s="81"/>
    </row>
    <row r="2" spans="1:158" ht="12" customHeight="1">
      <c r="A2" s="5"/>
      <c r="B2" s="5"/>
      <c r="C2" s="5"/>
      <c r="D2" s="5"/>
      <c r="E2" s="5"/>
      <c r="F2" s="5"/>
      <c r="G2" s="5"/>
      <c r="H2" s="5"/>
      <c r="K2" s="5"/>
      <c r="L2" s="5"/>
      <c r="M2" s="162"/>
      <c r="N2" s="5"/>
      <c r="O2" s="5"/>
      <c r="P2" s="5"/>
      <c r="Q2" s="5"/>
      <c r="R2" s="5"/>
      <c r="S2" s="5"/>
      <c r="T2" s="5"/>
      <c r="U2" s="5"/>
      <c r="W2" s="5"/>
      <c r="X2" s="5"/>
      <c r="Y2" s="5"/>
      <c r="Z2" s="163"/>
      <c r="AA2" s="5"/>
      <c r="AB2" s="5"/>
      <c r="AC2" s="5"/>
      <c r="AD2" s="5"/>
      <c r="AE2" s="5"/>
      <c r="AF2" s="5"/>
      <c r="AG2" s="5" t="s">
        <v>0</v>
      </c>
      <c r="AH2" s="5"/>
      <c r="AJ2" s="5"/>
      <c r="AK2" s="5"/>
      <c r="AL2" s="5"/>
      <c r="AM2" s="5"/>
      <c r="AN2" s="5"/>
      <c r="AO2" s="1151"/>
      <c r="AP2" s="1151"/>
      <c r="AQ2" s="1151"/>
      <c r="AR2" s="1151"/>
      <c r="AS2" s="5"/>
      <c r="AT2" s="734"/>
      <c r="AU2" s="5"/>
      <c r="AV2" s="284"/>
      <c r="AW2" s="5"/>
      <c r="AX2" s="5"/>
      <c r="AY2" s="419"/>
      <c r="AZ2" s="5"/>
      <c r="BA2" s="5"/>
      <c r="BB2" s="1772"/>
      <c r="BC2" s="1772"/>
      <c r="BD2" s="1772"/>
      <c r="BE2" s="1772"/>
      <c r="BF2" s="1772"/>
      <c r="BG2" s="1772"/>
      <c r="BH2" s="1772"/>
      <c r="BI2" s="1772"/>
      <c r="BJ2" s="1772"/>
      <c r="BK2" s="1772"/>
      <c r="BL2" s="1772"/>
      <c r="BM2" s="5"/>
      <c r="BN2" s="5"/>
      <c r="BO2" s="5"/>
      <c r="BP2" s="5"/>
      <c r="BQ2" s="5"/>
      <c r="BR2" s="5"/>
      <c r="BS2" s="5"/>
      <c r="BT2" s="5"/>
      <c r="BU2" s="5"/>
      <c r="BV2" s="5"/>
      <c r="BW2" s="5"/>
      <c r="BX2" s="5"/>
      <c r="BY2" s="5" t="s">
        <v>0</v>
      </c>
      <c r="BZ2" s="5"/>
      <c r="CA2" s="5"/>
      <c r="CB2" s="5"/>
      <c r="CC2" s="5"/>
      <c r="CD2" s="5"/>
      <c r="CE2" s="5"/>
      <c r="CF2" s="5"/>
      <c r="CG2" s="5"/>
      <c r="CH2" s="5"/>
      <c r="CI2" s="5"/>
      <c r="CJ2" s="5"/>
      <c r="CK2" s="709"/>
      <c r="CL2" s="284"/>
      <c r="CM2" s="284"/>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81"/>
      <c r="DS2" s="81"/>
      <c r="DT2" s="81"/>
      <c r="DU2" s="332"/>
      <c r="DV2" s="332"/>
      <c r="DW2" s="332"/>
      <c r="DX2" s="81"/>
      <c r="DY2" s="81"/>
      <c r="DZ2" s="81"/>
      <c r="EA2" s="353"/>
      <c r="EB2" s="81"/>
      <c r="EC2" s="81"/>
      <c r="ED2" s="81"/>
      <c r="EE2" s="81"/>
      <c r="EF2" s="81"/>
      <c r="EG2" s="81"/>
      <c r="EH2" s="81"/>
      <c r="EI2" s="81"/>
      <c r="EJ2" s="81"/>
      <c r="EK2" s="81"/>
      <c r="EL2" s="81"/>
      <c r="EM2" s="81"/>
      <c r="EN2" s="81"/>
      <c r="EO2" s="81"/>
      <c r="EP2" s="81"/>
      <c r="EQ2" s="81"/>
      <c r="ER2" s="81"/>
      <c r="ES2" s="357"/>
      <c r="ET2" s="357"/>
      <c r="EU2" s="1019"/>
      <c r="EV2" s="81"/>
      <c r="EW2" s="354"/>
      <c r="EX2" s="355"/>
      <c r="EY2" s="81"/>
      <c r="EZ2" s="81"/>
      <c r="FA2" s="81"/>
      <c r="FB2" s="81"/>
    </row>
    <row r="3" spans="1:158" ht="23.25" customHeight="1">
      <c r="A3" s="5"/>
      <c r="B3" s="5"/>
      <c r="C3" s="74" t="s">
        <v>241</v>
      </c>
      <c r="D3" s="1735">
        <f>'Data Entry'!F68</f>
        <v>0</v>
      </c>
      <c r="E3" s="1736"/>
      <c r="F3" s="1737"/>
      <c r="G3" s="273"/>
      <c r="H3" s="273"/>
      <c r="I3" s="273"/>
      <c r="J3" s="273"/>
      <c r="K3" s="273"/>
      <c r="O3" s="6"/>
      <c r="P3" s="6"/>
      <c r="Q3" s="6"/>
      <c r="R3" s="6"/>
      <c r="S3" s="6"/>
      <c r="T3" s="6"/>
      <c r="U3" s="955"/>
      <c r="W3" s="235"/>
      <c r="X3" s="235"/>
      <c r="Y3" s="235"/>
      <c r="Z3" s="235"/>
      <c r="AA3" s="235"/>
      <c r="AB3" s="235"/>
      <c r="AC3" s="235"/>
      <c r="AD3" s="235"/>
      <c r="AE3" s="235"/>
      <c r="AF3" s="235"/>
      <c r="AG3" s="235"/>
      <c r="AH3" s="235"/>
      <c r="AI3" s="235"/>
      <c r="AJ3" s="235"/>
      <c r="AK3" s="235"/>
      <c r="AL3" s="235"/>
      <c r="AN3" s="5"/>
      <c r="AO3" s="1151"/>
      <c r="AP3" s="1151"/>
      <c r="AQ3" s="1151"/>
      <c r="AR3" s="1151"/>
      <c r="AS3" s="5"/>
      <c r="AT3" s="734"/>
      <c r="AU3" s="5"/>
      <c r="AV3" s="284"/>
      <c r="AW3" s="5"/>
      <c r="AX3" s="5"/>
      <c r="AY3" s="419"/>
      <c r="AZ3" s="5"/>
      <c r="BA3" s="5"/>
      <c r="BB3" s="163"/>
      <c r="BC3" s="5"/>
      <c r="BD3" s="5"/>
      <c r="BE3" s="5"/>
      <c r="BF3" s="5"/>
      <c r="BG3" s="5"/>
      <c r="BH3" s="5"/>
      <c r="BI3" s="5"/>
      <c r="BJ3" s="5"/>
      <c r="BK3" s="5" t="s">
        <v>0</v>
      </c>
      <c r="BL3" s="1780"/>
      <c r="BM3" s="1780"/>
      <c r="BN3" s="1780"/>
      <c r="BO3" s="1780"/>
      <c r="BP3" s="1780"/>
      <c r="BQ3" s="1780"/>
      <c r="BR3" s="1780"/>
      <c r="BS3" s="1780"/>
      <c r="BT3" s="1780"/>
      <c r="BU3" s="1780"/>
      <c r="BV3" s="1780"/>
      <c r="BW3" s="453"/>
      <c r="BX3" s="5"/>
      <c r="BY3" s="5"/>
      <c r="BZ3" s="5"/>
      <c r="CA3" s="5"/>
      <c r="CB3" s="5"/>
      <c r="CC3" s="5"/>
      <c r="CD3" s="1779"/>
      <c r="CE3" s="5"/>
      <c r="CF3" s="5"/>
      <c r="CG3" s="5"/>
      <c r="CH3" s="5"/>
      <c r="CI3" s="5"/>
      <c r="CJ3" s="5"/>
      <c r="CK3" s="709" t="s">
        <v>0</v>
      </c>
      <c r="CL3" s="284"/>
      <c r="CM3" s="284"/>
      <c r="CN3" s="5"/>
      <c r="CO3" s="5"/>
      <c r="CP3" s="5"/>
      <c r="CQ3" s="5" t="s">
        <v>0</v>
      </c>
      <c r="CR3" s="5"/>
      <c r="CS3" s="5"/>
      <c r="CT3" s="5"/>
      <c r="CU3" s="5"/>
      <c r="CV3" s="5"/>
      <c r="CW3" s="5"/>
      <c r="CX3" s="5"/>
      <c r="CY3" s="5"/>
      <c r="CZ3" s="5"/>
      <c r="DB3" s="5"/>
      <c r="DC3" s="5"/>
      <c r="DD3" s="5"/>
      <c r="DE3" s="5"/>
      <c r="DF3" s="5"/>
      <c r="DG3" s="5"/>
      <c r="DH3" s="5"/>
      <c r="DI3" s="5"/>
      <c r="DJ3" s="5"/>
      <c r="DK3" s="5"/>
      <c r="DL3" s="5"/>
      <c r="DM3" s="5"/>
      <c r="DN3" s="5"/>
      <c r="DO3" s="5"/>
      <c r="DP3" s="5"/>
      <c r="DQ3" s="5" t="s">
        <v>0</v>
      </c>
      <c r="DR3" s="81"/>
      <c r="DS3" s="81" t="s">
        <v>0</v>
      </c>
      <c r="DT3" s="81"/>
      <c r="DU3" s="332"/>
      <c r="DV3" s="332"/>
      <c r="DW3" s="332"/>
      <c r="DX3" s="81"/>
      <c r="DY3" s="81"/>
      <c r="DZ3" s="81"/>
      <c r="EA3" s="353"/>
      <c r="EB3" s="81"/>
      <c r="EC3" s="81"/>
      <c r="ED3" s="81"/>
      <c r="EE3" s="81"/>
      <c r="EF3" s="81"/>
      <c r="EG3" s="81"/>
      <c r="EH3" s="81"/>
      <c r="EI3" s="81"/>
      <c r="EJ3" s="81"/>
      <c r="EK3" s="81"/>
      <c r="EL3" s="81"/>
      <c r="EM3" s="81"/>
      <c r="EN3" s="81"/>
      <c r="EO3" s="81"/>
      <c r="EP3" s="81"/>
      <c r="EQ3" s="81"/>
      <c r="ER3" s="81"/>
      <c r="ES3" s="357"/>
      <c r="ET3" s="357"/>
      <c r="EU3" s="1019"/>
      <c r="EV3" s="81"/>
      <c r="EW3" s="354"/>
      <c r="EX3" s="355"/>
      <c r="EY3" s="81"/>
      <c r="EZ3" s="81"/>
      <c r="FA3" s="81"/>
      <c r="FB3" s="81"/>
    </row>
    <row r="4" spans="1:158" ht="23.25" customHeight="1">
      <c r="A4" s="5"/>
      <c r="B4" s="5"/>
      <c r="C4" s="74" t="s">
        <v>428</v>
      </c>
      <c r="D4" s="1729">
        <f>'Data Entry'!B19</f>
        <v>0</v>
      </c>
      <c r="E4" s="1730"/>
      <c r="F4" s="1730"/>
      <c r="G4" s="1730"/>
      <c r="H4" s="1730"/>
      <c r="I4" s="1730"/>
      <c r="J4" s="1730"/>
      <c r="K4" s="1730"/>
      <c r="L4" s="1731"/>
      <c r="O4" s="1053" t="s">
        <v>0</v>
      </c>
      <c r="P4" s="471"/>
      <c r="Q4" s="471"/>
      <c r="R4" s="471"/>
      <c r="S4" s="471"/>
      <c r="T4" s="1068" t="s">
        <v>0</v>
      </c>
      <c r="U4" s="1773" t="s">
        <v>1399</v>
      </c>
      <c r="V4" s="1773"/>
      <c r="W4" s="1773"/>
      <c r="X4" s="1774"/>
      <c r="Y4" s="1775"/>
      <c r="AA4" s="235" t="s">
        <v>0</v>
      </c>
      <c r="AL4" s="5"/>
      <c r="AM4" s="5"/>
      <c r="AN4" s="5"/>
      <c r="AO4" s="1151" t="s">
        <v>0</v>
      </c>
      <c r="AP4" s="1151"/>
      <c r="AQ4" s="1151" t="s">
        <v>0</v>
      </c>
      <c r="AR4" s="1151"/>
      <c r="AS4" s="5"/>
      <c r="AT4" s="734"/>
      <c r="AU4" s="5"/>
      <c r="AV4" s="284"/>
      <c r="AW4" s="5"/>
      <c r="AX4" s="5"/>
      <c r="AY4" s="419" t="s">
        <v>0</v>
      </c>
      <c r="AZ4" s="5"/>
      <c r="BA4" s="5"/>
      <c r="BB4" s="163"/>
      <c r="BC4" s="5"/>
      <c r="BD4" s="5" t="s">
        <v>0</v>
      </c>
      <c r="BE4" s="5"/>
      <c r="BF4" s="5"/>
      <c r="BG4" s="5"/>
      <c r="BH4" s="5"/>
      <c r="BI4" s="5" t="s">
        <v>0</v>
      </c>
      <c r="BJ4" s="5"/>
      <c r="BK4" s="5"/>
      <c r="BL4" s="5"/>
      <c r="BM4" s="5"/>
      <c r="BN4" s="5"/>
      <c r="BO4" s="5"/>
      <c r="BP4" s="5"/>
      <c r="BQ4" s="5"/>
      <c r="BR4" s="5"/>
      <c r="BS4" s="5"/>
      <c r="BT4" s="5"/>
      <c r="BU4" s="5"/>
      <c r="BV4" s="5"/>
      <c r="BW4" s="5"/>
      <c r="BX4" s="5"/>
      <c r="BY4" s="5"/>
      <c r="BZ4" s="5"/>
      <c r="CA4" s="5"/>
      <c r="CB4" s="5"/>
      <c r="CC4" s="5"/>
      <c r="CD4" s="1779"/>
      <c r="CE4" s="5"/>
      <c r="CF4" s="5"/>
      <c r="CG4" s="5" t="s">
        <v>0</v>
      </c>
      <c r="CH4" s="5" t="s">
        <v>0</v>
      </c>
      <c r="CI4" s="5"/>
      <c r="CJ4" s="5"/>
      <c r="CK4" s="709" t="s">
        <v>0</v>
      </c>
      <c r="CL4" s="284"/>
      <c r="CM4" s="284" t="s">
        <v>0</v>
      </c>
      <c r="CN4" s="5"/>
      <c r="CO4" s="5"/>
      <c r="CP4" s="5"/>
      <c r="CQ4" s="5"/>
      <c r="CR4" s="5"/>
      <c r="CS4" s="5"/>
      <c r="CT4" s="5"/>
      <c r="CU4" s="163"/>
      <c r="CV4" s="5"/>
      <c r="CW4" s="5"/>
      <c r="CX4" s="5"/>
      <c r="CY4" s="5"/>
      <c r="CZ4" s="5"/>
      <c r="DA4" s="5"/>
      <c r="DB4" s="5" t="s">
        <v>0</v>
      </c>
      <c r="DC4" s="5"/>
      <c r="DD4" s="1151" t="s">
        <v>0</v>
      </c>
      <c r="DE4" s="5" t="s">
        <v>0</v>
      </c>
      <c r="DF4" s="5"/>
      <c r="DG4" s="5" t="s">
        <v>0</v>
      </c>
      <c r="DH4" s="5"/>
      <c r="DI4" s="5"/>
      <c r="DJ4" s="5"/>
      <c r="DK4" s="5"/>
      <c r="DL4" s="5"/>
      <c r="DM4" s="5"/>
      <c r="DN4" s="5"/>
      <c r="DO4" s="5"/>
      <c r="DP4" s="5"/>
      <c r="DQ4" s="5"/>
      <c r="DR4" s="81"/>
      <c r="DS4" s="81"/>
      <c r="DT4" s="81"/>
      <c r="DU4" s="332"/>
      <c r="DV4" s="332"/>
      <c r="DW4" s="332"/>
      <c r="DX4" s="81"/>
      <c r="DY4" s="81"/>
      <c r="DZ4" s="81"/>
      <c r="EA4" s="353"/>
      <c r="EB4" s="81"/>
      <c r="EC4" s="81"/>
      <c r="ED4" s="81"/>
      <c r="EE4" s="81"/>
      <c r="EF4" s="81"/>
      <c r="EG4" s="81"/>
      <c r="EH4" s="81"/>
      <c r="EI4" s="81"/>
      <c r="EJ4" s="81"/>
      <c r="EK4" s="81"/>
      <c r="EL4" s="81"/>
      <c r="EM4" s="81"/>
      <c r="EN4" s="81" t="s">
        <v>0</v>
      </c>
      <c r="EO4" s="81"/>
      <c r="EP4" s="81"/>
      <c r="EQ4" s="81"/>
      <c r="ER4" s="81" t="s">
        <v>0</v>
      </c>
      <c r="ES4" s="357"/>
      <c r="ET4" s="357"/>
      <c r="EU4" s="1019"/>
      <c r="EV4" s="81"/>
      <c r="EW4" s="354"/>
      <c r="EX4" s="355"/>
      <c r="EY4" s="81"/>
      <c r="EZ4" s="81"/>
      <c r="FA4" s="81"/>
      <c r="FB4" s="81"/>
    </row>
    <row r="5" spans="1:158" ht="26.25" customHeight="1">
      <c r="A5" s="75"/>
      <c r="B5" s="29"/>
      <c r="C5" s="74" t="s">
        <v>283</v>
      </c>
      <c r="D5" s="1729">
        <f>'Data Entry'!B33</f>
        <v>0</v>
      </c>
      <c r="E5" s="1730"/>
      <c r="F5" s="1730"/>
      <c r="G5" s="1730"/>
      <c r="H5" s="1730"/>
      <c r="I5" s="1730"/>
      <c r="J5" s="1730"/>
      <c r="K5" s="1730"/>
      <c r="L5" s="1731"/>
      <c r="M5" s="6"/>
      <c r="O5" s="1053" t="s">
        <v>0</v>
      </c>
      <c r="P5" s="471"/>
      <c r="Q5" s="471"/>
      <c r="R5" s="471"/>
      <c r="S5" s="471"/>
      <c r="T5" s="1068"/>
      <c r="U5" s="1773"/>
      <c r="V5" s="1773"/>
      <c r="W5" s="1773"/>
      <c r="X5" s="1776"/>
      <c r="Y5" s="1777"/>
      <c r="Z5" s="1118">
        <f>IF(AL321&gt;1999,"Estimated incentive is $2,000 or greater, submit for pre-approval",0)</f>
        <v>0</v>
      </c>
      <c r="AB5" s="235"/>
      <c r="AC5" s="235"/>
      <c r="AD5" s="235"/>
      <c r="AE5" s="235"/>
      <c r="AF5" s="235"/>
      <c r="AG5" s="235"/>
      <c r="AH5" s="235"/>
      <c r="AI5" s="235"/>
      <c r="AJ5" s="235"/>
      <c r="AK5" s="235"/>
      <c r="AL5" s="235"/>
      <c r="AM5" s="235"/>
      <c r="AN5" s="235"/>
      <c r="AO5" s="1152"/>
      <c r="AP5" s="1152"/>
      <c r="AQ5" s="1151"/>
      <c r="AR5" s="1151"/>
      <c r="AS5" s="5"/>
      <c r="AT5" s="734"/>
      <c r="AU5" s="5"/>
      <c r="AV5" s="284"/>
      <c r="AW5" s="5"/>
      <c r="AX5" s="5"/>
      <c r="AY5" s="419"/>
      <c r="AZ5" s="5"/>
      <c r="BA5" s="5"/>
      <c r="BB5" s="163"/>
      <c r="BC5" s="281"/>
      <c r="BD5" s="5"/>
      <c r="BE5" s="5"/>
      <c r="BF5" s="5"/>
      <c r="BG5" s="5"/>
      <c r="BH5" s="1460"/>
      <c r="BI5" s="5"/>
      <c r="BJ5" s="5"/>
      <c r="BK5" s="5"/>
      <c r="BL5" s="282"/>
      <c r="BM5" s="282"/>
      <c r="BN5" s="282"/>
      <c r="BO5" s="282"/>
      <c r="BP5" s="282"/>
      <c r="BQ5" s="282"/>
      <c r="BR5" s="5"/>
      <c r="BS5" s="5"/>
      <c r="BT5" s="5"/>
      <c r="BU5" s="5"/>
      <c r="BV5" s="5"/>
      <c r="BW5" s="5"/>
      <c r="BX5" s="5"/>
      <c r="BY5" s="5"/>
      <c r="BZ5" s="5"/>
      <c r="CA5" s="5"/>
      <c r="CB5" s="5"/>
      <c r="CC5" s="5"/>
      <c r="CD5" s="5"/>
      <c r="CE5" s="5"/>
      <c r="CF5" s="5"/>
      <c r="CG5" s="5"/>
      <c r="CH5" s="5"/>
      <c r="CI5" s="5" t="s">
        <v>0</v>
      </c>
      <c r="CJ5" s="5"/>
      <c r="CK5" s="709"/>
      <c r="CL5" s="1772"/>
      <c r="CM5" s="1772"/>
      <c r="CN5" s="1772"/>
      <c r="CO5" s="5"/>
      <c r="CP5" s="5"/>
      <c r="CQ5" s="5"/>
      <c r="CR5" s="5"/>
      <c r="CS5" s="5"/>
      <c r="CT5" s="5"/>
      <c r="CU5" s="5"/>
      <c r="CV5" s="5"/>
      <c r="CW5" s="5"/>
      <c r="CX5" s="5"/>
      <c r="CY5" s="5"/>
      <c r="CZ5" s="5" t="s">
        <v>0</v>
      </c>
      <c r="DA5" s="5"/>
      <c r="DB5" s="5"/>
      <c r="DC5" s="5"/>
      <c r="DD5" s="5" t="s">
        <v>0</v>
      </c>
      <c r="DE5" s="5"/>
      <c r="DF5" s="5"/>
      <c r="DG5" s="5"/>
      <c r="DH5" s="5"/>
      <c r="DI5" s="5"/>
      <c r="DJ5" s="5"/>
      <c r="DK5" s="329" t="s">
        <v>0</v>
      </c>
      <c r="DL5" s="5"/>
      <c r="DM5" s="5"/>
      <c r="DN5" s="5"/>
      <c r="DO5" s="5"/>
      <c r="DP5" s="5"/>
      <c r="DQ5" s="5"/>
      <c r="DR5" s="81"/>
      <c r="DS5" s="81"/>
      <c r="DT5" s="81"/>
      <c r="DU5" s="332"/>
      <c r="DV5" s="332"/>
      <c r="DW5" s="332"/>
      <c r="DX5" s="81"/>
      <c r="DY5" s="81"/>
      <c r="DZ5" s="81"/>
      <c r="EA5" s="353"/>
      <c r="EB5" s="81"/>
      <c r="EC5" s="81"/>
      <c r="ED5" s="81"/>
      <c r="EE5" s="81"/>
      <c r="EF5" s="81"/>
      <c r="EG5" s="81"/>
      <c r="EH5" s="81"/>
      <c r="EI5" s="81"/>
      <c r="EJ5" s="81"/>
      <c r="EK5" s="81" t="s">
        <v>0</v>
      </c>
      <c r="EL5" s="81"/>
      <c r="EM5" s="81"/>
      <c r="EN5" s="81" t="s">
        <v>0</v>
      </c>
      <c r="EO5" s="81"/>
      <c r="EP5" s="81"/>
      <c r="EQ5" s="81"/>
      <c r="ER5" s="81" t="s">
        <v>0</v>
      </c>
      <c r="ES5" s="357"/>
      <c r="ET5" s="357"/>
      <c r="EU5" s="1019"/>
      <c r="EV5" s="81"/>
      <c r="EW5" s="354"/>
      <c r="EX5" s="355"/>
      <c r="EY5" s="81"/>
      <c r="EZ5" s="81"/>
      <c r="FA5" s="81"/>
      <c r="FB5" s="81"/>
    </row>
    <row r="6" spans="1:158" ht="25.5" customHeight="1">
      <c r="A6" s="5"/>
      <c r="B6" s="55"/>
      <c r="C6" s="230" t="s">
        <v>419</v>
      </c>
      <c r="D6" s="5"/>
      <c r="E6" s="5"/>
      <c r="G6" s="5"/>
      <c r="H6" s="900"/>
      <c r="K6" s="5"/>
      <c r="L6" s="5"/>
      <c r="M6" s="145"/>
      <c r="N6" s="145"/>
      <c r="O6" s="5"/>
      <c r="P6" s="5"/>
      <c r="Q6" s="5"/>
      <c r="R6" s="5"/>
      <c r="S6" s="55"/>
      <c r="T6" s="5"/>
      <c r="U6" s="5"/>
      <c r="V6" s="235">
        <f>IF(U5=1,"Submit Complete Lighting Upgrade for pre-approval",0)</f>
        <v>0</v>
      </c>
      <c r="W6" s="5"/>
      <c r="X6" s="5"/>
      <c r="Y6" s="5"/>
      <c r="Z6" s="901">
        <f>IF(CO309&gt;0.01,"  Unit installed cost(s) should be included in total project cost,submit for pre-approval",0)</f>
        <v>0</v>
      </c>
      <c r="AB6" s="305"/>
      <c r="AC6" s="305"/>
      <c r="AD6" s="305"/>
      <c r="AE6" s="305"/>
      <c r="AF6" s="305"/>
      <c r="AH6" s="860"/>
      <c r="AI6" s="860"/>
      <c r="AJ6" s="860"/>
      <c r="AK6" s="5"/>
      <c r="AL6" s="5"/>
      <c r="AM6" s="5"/>
      <c r="AN6" s="5"/>
      <c r="AO6" s="1151"/>
      <c r="AP6" s="1151"/>
      <c r="AQ6" s="1151"/>
      <c r="AR6" s="1151"/>
      <c r="AS6" s="5"/>
      <c r="AT6" s="734"/>
      <c r="AU6" s="5"/>
      <c r="AV6" s="284">
        <f>SUM(AV9:AV308)</f>
        <v>0</v>
      </c>
      <c r="AW6" s="5"/>
      <c r="AX6" s="5"/>
      <c r="AY6" s="5"/>
      <c r="AZ6" s="5"/>
      <c r="BA6" s="5"/>
      <c r="BB6" s="163"/>
      <c r="BC6" s="281"/>
      <c r="BD6" s="5"/>
      <c r="BE6" s="5"/>
      <c r="BF6" s="5"/>
      <c r="BG6" s="5"/>
      <c r="BH6" s="5"/>
      <c r="BI6" s="5"/>
      <c r="BJ6" s="5"/>
      <c r="BK6" s="5"/>
      <c r="BL6" s="5"/>
      <c r="BM6" s="5"/>
      <c r="BN6" s="5"/>
      <c r="BO6" s="5"/>
      <c r="BP6" s="5"/>
      <c r="BQ6" s="5"/>
      <c r="BR6" s="5"/>
      <c r="BS6" s="5"/>
      <c r="BT6" s="5"/>
      <c r="BU6" s="5"/>
      <c r="BV6" s="5"/>
      <c r="BW6" s="5" t="s">
        <v>0</v>
      </c>
      <c r="BX6" s="5"/>
      <c r="BY6" s="5"/>
      <c r="BZ6" s="605"/>
      <c r="CA6" s="5"/>
      <c r="CB6" s="5"/>
      <c r="CC6" s="5"/>
      <c r="CD6" s="5"/>
      <c r="CE6" s="5"/>
      <c r="CF6" s="5"/>
      <c r="CG6" s="5"/>
      <c r="CH6" s="5"/>
      <c r="CI6" s="5"/>
      <c r="CJ6" s="5"/>
      <c r="CK6" s="709"/>
      <c r="CL6" s="284"/>
      <c r="CM6" s="284"/>
      <c r="CN6" s="5"/>
      <c r="CO6" s="5"/>
      <c r="CP6" s="5"/>
      <c r="CQ6" s="5"/>
      <c r="CR6" s="5"/>
      <c r="CS6" s="5"/>
      <c r="CT6" s="55">
        <f>SUMIF(CT9:CT308,"&lt;&gt;#value!")</f>
        <v>0</v>
      </c>
      <c r="CU6" s="5" t="s">
        <v>0</v>
      </c>
      <c r="CV6" s="5"/>
      <c r="CW6" s="5"/>
      <c r="CX6" s="5"/>
      <c r="CY6" s="5"/>
      <c r="CZ6" s="5"/>
      <c r="DA6" s="5"/>
      <c r="DB6" s="5"/>
      <c r="DC6" s="5"/>
      <c r="DD6" s="908"/>
      <c r="DE6" s="5"/>
      <c r="DF6" s="5"/>
      <c r="DG6" s="5" t="s">
        <v>0</v>
      </c>
      <c r="DH6" s="5"/>
      <c r="DI6" s="5"/>
      <c r="DJ6" s="5"/>
      <c r="DK6" s="5"/>
      <c r="DL6" s="5"/>
      <c r="DM6" s="5" t="s">
        <v>0</v>
      </c>
      <c r="DN6" s="5"/>
      <c r="DO6" s="5"/>
      <c r="DP6" s="5"/>
      <c r="DQ6" s="5" t="s">
        <v>0</v>
      </c>
      <c r="DR6" s="81"/>
      <c r="DS6" s="81"/>
      <c r="DT6" s="81"/>
      <c r="DU6" s="332"/>
      <c r="DV6" s="332"/>
      <c r="DW6" s="332"/>
      <c r="DX6" s="81"/>
      <c r="DY6" s="81"/>
      <c r="DZ6" s="81"/>
      <c r="EA6" s="353"/>
      <c r="EB6" s="81"/>
      <c r="EC6" s="81"/>
      <c r="ED6" s="81"/>
      <c r="EE6" s="504"/>
      <c r="EF6" s="504"/>
      <c r="EG6" s="81"/>
      <c r="EH6" s="81"/>
      <c r="EI6" s="81"/>
      <c r="EJ6" s="81"/>
      <c r="EK6" s="81"/>
      <c r="EL6" s="81" t="s">
        <v>0</v>
      </c>
      <c r="EM6" s="1487">
        <f>IF(CT6&gt;0.01,"See LEDs &amp; Controls Tab for Definitions &amp; Criteria",0)</f>
        <v>0</v>
      </c>
      <c r="EN6" s="1487"/>
      <c r="EO6" s="1487"/>
      <c r="EP6" s="1487"/>
      <c r="EQ6" s="1487"/>
      <c r="ER6" s="81"/>
      <c r="ES6" s="357"/>
      <c r="ET6" s="357"/>
      <c r="EU6" s="1019"/>
      <c r="EV6" s="81"/>
      <c r="EW6" s="354"/>
      <c r="EX6" s="355"/>
      <c r="EY6" s="1763"/>
      <c r="EZ6" s="1763"/>
      <c r="FA6" s="1763"/>
      <c r="FB6" s="1763"/>
    </row>
    <row r="7" spans="1:158" ht="19.5" customHeight="1">
      <c r="A7" s="1783" t="s">
        <v>8</v>
      </c>
      <c r="B7" s="1769"/>
      <c r="C7" s="1769"/>
      <c r="D7" s="1769"/>
      <c r="E7" s="1769"/>
      <c r="F7" s="1769"/>
      <c r="G7" s="1769"/>
      <c r="H7" s="1769"/>
      <c r="I7" s="1769"/>
      <c r="J7" s="1769"/>
      <c r="K7" s="1769"/>
      <c r="L7" s="1769"/>
      <c r="M7" s="1769"/>
      <c r="N7" s="1769"/>
      <c r="O7" s="1769"/>
      <c r="P7" s="1769"/>
      <c r="Q7" s="76"/>
      <c r="R7" s="76"/>
      <c r="S7" s="915"/>
      <c r="T7" s="1769" t="s">
        <v>13</v>
      </c>
      <c r="U7" s="1769"/>
      <c r="V7" s="1769"/>
      <c r="W7" s="1769"/>
      <c r="X7" s="1769"/>
      <c r="Y7" s="1769"/>
      <c r="Z7" s="1769"/>
      <c r="AA7" s="1769"/>
      <c r="AB7" s="1769"/>
      <c r="AC7" s="1769"/>
      <c r="AD7" s="916"/>
      <c r="AE7" s="916"/>
      <c r="AF7" s="916"/>
      <c r="AG7" s="915"/>
      <c r="AH7" s="1769" t="s">
        <v>15</v>
      </c>
      <c r="AI7" s="1769"/>
      <c r="AJ7" s="1769"/>
      <c r="AK7" s="1769"/>
      <c r="AL7" s="1769"/>
      <c r="AM7" s="1769"/>
      <c r="AN7" s="1770"/>
      <c r="AO7" s="1153"/>
      <c r="AP7" s="1153"/>
      <c r="AQ7" s="1153"/>
      <c r="AR7" s="1153"/>
      <c r="AS7" s="267"/>
      <c r="AT7" s="758"/>
      <c r="AU7" s="267"/>
      <c r="AV7" s="1170"/>
      <c r="AW7" s="267"/>
      <c r="AX7" s="267"/>
      <c r="AY7" s="759"/>
      <c r="AZ7" s="267"/>
      <c r="BA7" s="267"/>
      <c r="BB7" s="267"/>
      <c r="BC7" s="267"/>
      <c r="BD7" s="760"/>
      <c r="BE7" s="760"/>
      <c r="BF7" s="760"/>
      <c r="BG7" s="760"/>
      <c r="BH7" s="760"/>
      <c r="BI7" s="760"/>
      <c r="BJ7" s="760"/>
      <c r="BK7" s="760"/>
      <c r="BL7" s="760"/>
      <c r="BM7" s="760"/>
      <c r="BN7" s="760"/>
      <c r="BO7" s="760"/>
      <c r="BP7" s="1411"/>
      <c r="BQ7" s="1428" t="s">
        <v>0</v>
      </c>
      <c r="BR7" s="1415"/>
      <c r="BS7" s="1416"/>
      <c r="BT7" s="1416"/>
      <c r="BU7" s="1416"/>
      <c r="BV7" s="1416"/>
      <c r="BW7" s="1416"/>
      <c r="BX7" s="1416"/>
      <c r="BY7" s="1416"/>
      <c r="BZ7" s="1416"/>
      <c r="CA7" s="1416"/>
      <c r="CB7" s="1605">
        <f>SUM(CB9:CB308)</f>
        <v>300</v>
      </c>
      <c r="CC7" s="1416"/>
      <c r="CD7" s="1416"/>
      <c r="CE7" s="1416"/>
      <c r="CF7" s="1416"/>
      <c r="CG7" s="1416"/>
      <c r="CH7" s="1416"/>
      <c r="CI7" s="1416"/>
      <c r="CJ7" s="1416" t="s">
        <v>0</v>
      </c>
      <c r="CK7" s="1417"/>
      <c r="CL7" s="1418"/>
      <c r="CM7" s="1418"/>
      <c r="CN7" s="1416"/>
      <c r="CO7" s="1416"/>
      <c r="CP7" s="1416"/>
      <c r="CQ7" s="1416"/>
      <c r="CR7" s="1416"/>
      <c r="CS7" s="1416"/>
      <c r="CT7" s="1416">
        <f>COUNTIF(CT9:CT308,"&gt;1")</f>
        <v>0</v>
      </c>
      <c r="CU7" s="1419" t="s">
        <v>1559</v>
      </c>
      <c r="CV7" s="1554" t="s">
        <v>1900</v>
      </c>
      <c r="CW7" s="1429"/>
      <c r="CX7" s="1429"/>
      <c r="CY7" s="1429"/>
      <c r="CZ7" s="1429"/>
      <c r="DA7" s="1429"/>
      <c r="DB7" s="1430"/>
      <c r="DC7" s="5"/>
      <c r="DD7" s="273" t="s">
        <v>0</v>
      </c>
      <c r="DE7" s="5"/>
      <c r="DF7" s="5"/>
      <c r="DG7" s="467"/>
      <c r="DH7" s="333"/>
      <c r="DI7" s="333"/>
      <c r="DJ7" s="333"/>
      <c r="DK7" s="334" t="s">
        <v>72</v>
      </c>
      <c r="DL7" s="319"/>
      <c r="DM7" s="334" t="s">
        <v>166</v>
      </c>
      <c r="DN7" s="406"/>
      <c r="DO7" s="411" t="s">
        <v>168</v>
      </c>
      <c r="DP7" s="410"/>
      <c r="DQ7" s="407" t="s">
        <v>167</v>
      </c>
      <c r="DR7" s="933" t="s">
        <v>165</v>
      </c>
      <c r="DT7" s="1167"/>
      <c r="DU7" s="1168"/>
      <c r="DV7" s="1168"/>
      <c r="DW7" s="1168"/>
      <c r="DX7" s="1488" t="s">
        <v>1890</v>
      </c>
      <c r="DY7" s="1482"/>
      <c r="DZ7" s="374" t="s">
        <v>1310</v>
      </c>
      <c r="EA7" s="391"/>
      <c r="EB7" s="335"/>
      <c r="EC7" s="335"/>
      <c r="ED7" s="335"/>
      <c r="EE7" s="374"/>
      <c r="EF7" s="357"/>
      <c r="EG7" s="81"/>
      <c r="EH7" s="359" t="s">
        <v>504</v>
      </c>
      <c r="EI7" s="358"/>
      <c r="EJ7" s="81"/>
      <c r="EK7" s="81"/>
      <c r="EL7" s="81"/>
      <c r="EM7" s="1771">
        <f>IF(CT6&gt;0.01,"Sensor Based",0)</f>
        <v>0</v>
      </c>
      <c r="EN7" s="1771"/>
      <c r="EO7" s="1771">
        <f>IF(CT6&gt;0.01,"Tuning",0)</f>
        <v>0</v>
      </c>
      <c r="EP7" s="1771"/>
      <c r="EQ7" s="1486"/>
      <c r="ER7" s="129"/>
      <c r="ES7" s="357"/>
      <c r="ET7" s="357"/>
      <c r="EU7" s="1019"/>
      <c r="EV7" s="81"/>
      <c r="EW7" s="354"/>
      <c r="EX7" s="360"/>
      <c r="EY7" s="347"/>
      <c r="EZ7" s="347"/>
      <c r="FA7" s="347"/>
      <c r="FB7" s="348"/>
    </row>
    <row r="8" spans="1:158" ht="58.9" customHeight="1">
      <c r="A8" s="77" t="s">
        <v>0</v>
      </c>
      <c r="B8" s="1787" t="s">
        <v>9</v>
      </c>
      <c r="C8" s="1789"/>
      <c r="D8" s="1789"/>
      <c r="E8" s="1788"/>
      <c r="F8" s="1787" t="s">
        <v>10</v>
      </c>
      <c r="G8" s="1789"/>
      <c r="H8" s="1789"/>
      <c r="I8" s="1788"/>
      <c r="J8" s="1081" t="s">
        <v>71</v>
      </c>
      <c r="K8" s="1778" t="s">
        <v>1412</v>
      </c>
      <c r="L8" s="1778"/>
      <c r="M8" s="717" t="s">
        <v>1507</v>
      </c>
      <c r="N8" s="1082" t="s">
        <v>12</v>
      </c>
      <c r="O8" s="82" t="s">
        <v>49</v>
      </c>
      <c r="P8" s="1210" t="s">
        <v>314</v>
      </c>
      <c r="Q8" s="39" t="s">
        <v>1571</v>
      </c>
      <c r="R8" s="39" t="s">
        <v>500</v>
      </c>
      <c r="S8" s="1084" t="s">
        <v>39</v>
      </c>
      <c r="T8" s="1778" t="s">
        <v>203</v>
      </c>
      <c r="U8" s="1778"/>
      <c r="V8" s="1778"/>
      <c r="W8" s="717" t="s">
        <v>467</v>
      </c>
      <c r="X8" s="1787" t="s">
        <v>71</v>
      </c>
      <c r="Y8" s="1788"/>
      <c r="Z8" s="1067" t="s">
        <v>1429</v>
      </c>
      <c r="AA8" s="1082" t="s">
        <v>12</v>
      </c>
      <c r="AB8" s="462" t="s">
        <v>1590</v>
      </c>
      <c r="AC8" s="1083" t="s">
        <v>1309</v>
      </c>
      <c r="AD8" s="39" t="s">
        <v>1584</v>
      </c>
      <c r="AE8" s="39" t="s">
        <v>132</v>
      </c>
      <c r="AF8" s="130" t="s">
        <v>1583</v>
      </c>
      <c r="AG8" s="1084" t="s">
        <v>40</v>
      </c>
      <c r="AH8" s="1787" t="s">
        <v>332</v>
      </c>
      <c r="AI8" s="1788"/>
      <c r="AJ8" s="1148" t="s">
        <v>1576</v>
      </c>
      <c r="AK8" s="1148" t="s">
        <v>1575</v>
      </c>
      <c r="AL8" s="1766" t="s">
        <v>1372</v>
      </c>
      <c r="AM8" s="1767"/>
      <c r="AN8" s="1768"/>
      <c r="AO8" s="1153" t="s">
        <v>37</v>
      </c>
      <c r="AP8" s="1153" t="s">
        <v>38</v>
      </c>
      <c r="AQ8" s="1154" t="s">
        <v>298</v>
      </c>
      <c r="AR8" s="1154" t="s">
        <v>299</v>
      </c>
      <c r="AS8" s="78" t="s">
        <v>318</v>
      </c>
      <c r="AT8" s="735" t="s">
        <v>319</v>
      </c>
      <c r="AU8" s="78" t="s">
        <v>1095</v>
      </c>
      <c r="AV8" s="1171" t="s">
        <v>1574</v>
      </c>
      <c r="AW8" s="1147" t="s">
        <v>46</v>
      </c>
      <c r="AX8" s="1147" t="s">
        <v>47</v>
      </c>
      <c r="AY8" s="1147" t="s">
        <v>48</v>
      </c>
      <c r="AZ8" s="1147" t="s">
        <v>1609</v>
      </c>
      <c r="BA8" s="1164" t="s">
        <v>1585</v>
      </c>
      <c r="BB8" s="1149" t="s">
        <v>1610</v>
      </c>
      <c r="BC8" s="79" t="s">
        <v>1155</v>
      </c>
      <c r="BD8" s="464" t="s">
        <v>482</v>
      </c>
      <c r="BE8" s="79" t="s">
        <v>470</v>
      </c>
      <c r="BF8" s="455" t="s">
        <v>470</v>
      </c>
      <c r="BG8" s="1447" t="s">
        <v>1811</v>
      </c>
      <c r="BH8" s="1447" t="s">
        <v>1811</v>
      </c>
      <c r="BI8" s="464" t="s">
        <v>1777</v>
      </c>
      <c r="BJ8" s="464" t="s">
        <v>1776</v>
      </c>
      <c r="BK8" s="455" t="s">
        <v>501</v>
      </c>
      <c r="BL8" s="455" t="s">
        <v>501</v>
      </c>
      <c r="BM8" s="455" t="s">
        <v>502</v>
      </c>
      <c r="BN8" s="455" t="s">
        <v>502</v>
      </c>
      <c r="BO8" s="1149" t="s">
        <v>1606</v>
      </c>
      <c r="BP8" s="1149" t="s">
        <v>1642</v>
      </c>
      <c r="BQ8" s="1432" t="s">
        <v>1744</v>
      </c>
      <c r="BR8" s="1420" t="s">
        <v>1640</v>
      </c>
      <c r="BS8" s="1420" t="s">
        <v>1289</v>
      </c>
      <c r="BT8" s="1420" t="s">
        <v>1296</v>
      </c>
      <c r="BU8" s="1421" t="s">
        <v>1297</v>
      </c>
      <c r="BV8" s="1421" t="s">
        <v>1374</v>
      </c>
      <c r="BW8" s="1421" t="s">
        <v>1778</v>
      </c>
      <c r="BX8" s="1421" t="s">
        <v>1298</v>
      </c>
      <c r="BY8" s="1421" t="s">
        <v>1588</v>
      </c>
      <c r="BZ8" s="1421" t="s">
        <v>1589</v>
      </c>
      <c r="CA8" s="1421" t="s">
        <v>1779</v>
      </c>
      <c r="CB8" s="1422" t="s">
        <v>1577</v>
      </c>
      <c r="CC8" s="1422" t="s">
        <v>1578</v>
      </c>
      <c r="CD8" s="1422" t="s">
        <v>1579</v>
      </c>
      <c r="CE8" s="1422" t="s">
        <v>1580</v>
      </c>
      <c r="CF8" s="1420" t="s">
        <v>726</v>
      </c>
      <c r="CG8" s="1420" t="s">
        <v>1165</v>
      </c>
      <c r="CH8" s="1420" t="s">
        <v>1538</v>
      </c>
      <c r="CI8" s="1423" t="s">
        <v>1294</v>
      </c>
      <c r="CJ8" s="1422" t="s">
        <v>1581</v>
      </c>
      <c r="CK8" s="1424" t="s">
        <v>1295</v>
      </c>
      <c r="CL8" s="1425" t="s">
        <v>1518</v>
      </c>
      <c r="CM8" s="1425" t="s">
        <v>286</v>
      </c>
      <c r="CN8" s="1421" t="s">
        <v>290</v>
      </c>
      <c r="CO8" s="1421" t="s">
        <v>297</v>
      </c>
      <c r="CP8" s="1420" t="s">
        <v>233</v>
      </c>
      <c r="CQ8" s="1420" t="s">
        <v>301</v>
      </c>
      <c r="CR8" s="1426" t="s">
        <v>302</v>
      </c>
      <c r="CS8" s="1427" t="s">
        <v>303</v>
      </c>
      <c r="CT8" s="1420" t="s">
        <v>1491</v>
      </c>
      <c r="CU8" s="1420" t="s">
        <v>1276</v>
      </c>
      <c r="CV8" s="1542" t="s">
        <v>1893</v>
      </c>
      <c r="CW8" s="1412" t="s">
        <v>1097</v>
      </c>
      <c r="CX8" s="1413" t="s">
        <v>1605</v>
      </c>
      <c r="CY8" s="1414" t="s">
        <v>198</v>
      </c>
      <c r="CZ8" s="1414" t="s">
        <v>300</v>
      </c>
      <c r="DA8" s="1781" t="s">
        <v>19</v>
      </c>
      <c r="DB8" s="1782"/>
      <c r="DC8" s="420"/>
      <c r="DD8" s="5" t="s">
        <v>0</v>
      </c>
      <c r="DE8" s="185" t="s">
        <v>1088</v>
      </c>
      <c r="DF8" s="515" t="s">
        <v>1643</v>
      </c>
      <c r="DG8" s="336" t="s">
        <v>730</v>
      </c>
      <c r="DH8" s="336" t="s">
        <v>1370</v>
      </c>
      <c r="DI8" s="515" t="s">
        <v>1256</v>
      </c>
      <c r="DJ8" s="336" t="s">
        <v>335</v>
      </c>
      <c r="DK8" s="320" t="s">
        <v>73</v>
      </c>
      <c r="DL8" s="323" t="s">
        <v>450</v>
      </c>
      <c r="DM8" s="320" t="s">
        <v>73</v>
      </c>
      <c r="DN8" s="321" t="s">
        <v>165</v>
      </c>
      <c r="DO8" s="1433" t="s">
        <v>1567</v>
      </c>
      <c r="DP8" s="344" t="s">
        <v>34</v>
      </c>
      <c r="DQ8" s="1433" t="s">
        <v>1567</v>
      </c>
      <c r="DR8" s="1331"/>
      <c r="DS8" s="1194" t="s">
        <v>1614</v>
      </c>
      <c r="DT8" s="931" t="s">
        <v>1635</v>
      </c>
      <c r="DU8" s="931" t="s">
        <v>1636</v>
      </c>
      <c r="DV8" s="931" t="s">
        <v>1637</v>
      </c>
      <c r="DW8" s="1479" t="s">
        <v>1644</v>
      </c>
      <c r="DX8" s="1483" t="s">
        <v>0</v>
      </c>
      <c r="DY8" s="1485" t="s">
        <v>1891</v>
      </c>
      <c r="DZ8" s="1481" t="str">
        <f>Lists!A60</f>
        <v xml:space="preserve">A:  </v>
      </c>
      <c r="EA8" s="881">
        <f>'Product Type'!E10</f>
        <v>0</v>
      </c>
      <c r="EB8" s="1764" t="s">
        <v>1573</v>
      </c>
      <c r="EC8" s="1765"/>
      <c r="ED8" s="1765"/>
      <c r="EE8" s="1176">
        <f>IF(AV6&gt;0.01,"Qty of Fixtures Controlled",IF($CB$7&gt;300,"Qty of Fixtures Controlled",0))</f>
        <v>0</v>
      </c>
      <c r="EF8" s="1176">
        <f>IF(AV6&gt;0.01,"Qty of Sensors",IF($CB$7&gt;300,"Qty of Fixtures Controlled",0))</f>
        <v>0</v>
      </c>
      <c r="EG8" s="366" t="s">
        <v>1419</v>
      </c>
      <c r="EH8" s="1196" t="s">
        <v>73</v>
      </c>
      <c r="EI8" s="410"/>
      <c r="EJ8" s="1174" t="s">
        <v>1420</v>
      </c>
      <c r="EK8" s="1176">
        <f>IF(AV6&gt;0.01,"Sensor Type",IF($CB$7&gt;300,"Qty of Fixtures Controlled",0))</f>
        <v>0</v>
      </c>
      <c r="EL8" s="1175" t="s">
        <v>1164</v>
      </c>
      <c r="EM8" s="1043">
        <f>IF(CT6&gt;0.01,"Occupancy Sensing",0)</f>
        <v>0</v>
      </c>
      <c r="EN8" s="1043">
        <f>IF(CT6&gt;0.01,"Daylight Harvesting with Continuous Dimming",0)</f>
        <v>0</v>
      </c>
      <c r="EO8" s="1043">
        <f>IF(CT6&gt;0.01,"High-End Trim",0)</f>
        <v>0</v>
      </c>
      <c r="EP8" s="1043">
        <f>IF(CT6&gt;0.01,"Advanced Scheduling",0)</f>
        <v>0</v>
      </c>
      <c r="EQ8" s="1555" t="s">
        <v>1901</v>
      </c>
      <c r="ER8" s="1040" t="s">
        <v>1492</v>
      </c>
      <c r="ES8" s="1039" t="s">
        <v>1889</v>
      </c>
      <c r="ET8" s="1039" t="s">
        <v>1886</v>
      </c>
      <c r="EU8" s="1020"/>
      <c r="EV8" s="363"/>
      <c r="EW8" s="363"/>
      <c r="EX8" s="364"/>
      <c r="EY8" s="364"/>
      <c r="EZ8" s="364"/>
      <c r="FA8" s="365"/>
      <c r="FB8" s="365"/>
    </row>
    <row r="9" spans="1:158" s="1" customFormat="1" ht="34.5" customHeight="1">
      <c r="A9" s="82">
        <v>1</v>
      </c>
      <c r="B9" s="1784"/>
      <c r="C9" s="1726"/>
      <c r="D9" s="1726"/>
      <c r="E9" s="1727"/>
      <c r="F9" s="1732"/>
      <c r="G9" s="1733"/>
      <c r="H9" s="1733"/>
      <c r="I9" s="1734"/>
      <c r="J9" s="1341"/>
      <c r="K9" s="1728"/>
      <c r="L9" s="1728"/>
      <c r="M9" s="1342"/>
      <c r="N9" s="1583"/>
      <c r="O9" s="208" t="str">
        <f>IF(F9="","",VLOOKUP(F9,$DK$5:$DL$202,2,FALSE))</f>
        <v/>
      </c>
      <c r="P9" s="1344">
        <v>0</v>
      </c>
      <c r="Q9" s="39" t="str">
        <f t="shared" ref="Q9:Q72" si="0">IF(F9="","",VLOOKUP(F9,$DM$9:$DN$177,2,FALSE))</f>
        <v/>
      </c>
      <c r="R9" s="39">
        <f>IF(F9="Other (Provide Description)",1,IF(ISNUMBER(SEARCH("interior",T9)),2,(IF(ISNUMBER(SEARCH("exterior",T9)),3,IF(ISNUMBER(SEARCH("Case",F9)),20,IF(ISNUMBER(SEARCH("Relamp",F9)),250,IF(ISNUMBER(SEARCH("T12",F9)),11,IF(ISNUMBER(SEARCH("T8",F9)),12,IF(ISNUMBER(SEARCH("T5",F9)),12,IF(ISNUMBER(SEARCH("exit",F9)),10,0))))))))))</f>
        <v>0</v>
      </c>
      <c r="S9" s="234">
        <f>IF(ISERROR(AO9*AH9),0,AQ9)</f>
        <v>0</v>
      </c>
      <c r="T9" s="1755"/>
      <c r="U9" s="1755"/>
      <c r="V9" s="1755"/>
      <c r="W9" s="1345"/>
      <c r="X9" s="1786"/>
      <c r="Y9" s="1742"/>
      <c r="Z9" s="1346"/>
      <c r="AA9" s="1347"/>
      <c r="AB9" s="1141"/>
      <c r="AC9" s="1103" t="str">
        <f>IF(T9="","",VLOOKUP(Z9,Lists!$A$60:$B$111,2,FALSE))</f>
        <v/>
      </c>
      <c r="AD9" s="130" t="str">
        <f>IF(T9="","",VLOOKUP(T9,$DQ$8:$DR$52,2,FALSE))</f>
        <v/>
      </c>
      <c r="AE9" s="130" t="e">
        <f>SUM(AA9*AD9)</f>
        <v>#VALUE!</v>
      </c>
      <c r="AF9" s="130">
        <f>IF(ISNUMBER(SEARCH("wall",W9)),4,IF(ISNUMBER(SEARCH("ceiling",W9)),5,IF(ISNUMBER(SEARCH("Fixture",W9)),1.5,IF(ISNUMBER(SEARCH("Daylight",W9)),1.6,IF(ISNUMBER(SEARCH("equip",W9)),2,IF(AND(W9="Non-Standard Control",AU9=2),2.5,IF(AND(W9="Non-standard Control",AU9=3),3,1)))))))</f>
        <v>1</v>
      </c>
      <c r="AG9" s="234">
        <f t="shared" ref="AG9:AG72" si="1">IF(ISNUMBER(SEARCH("controls",F9)),0,AR9)</f>
        <v>0</v>
      </c>
      <c r="AH9" s="1753" t="str">
        <f>IF(T9="","",(IF(ISNUMBER(SEARCH("exit",T9)),8760,IF(AND(M9="Dusk to Dawn",'Proposed Lighting'!AU9=3),4059,IF(AND(AU9=3,M9="1"),0,IF(AND(AU9=3,M9="1-C"),0,IF(AND(AU9=3,M9="2"),0,IF(AND(AU9=3,M9="2-C"),0,IF(AND(AU9=3,M9="3"),0,IF(AND(AU9=3,M9="3-C"),0,IF(AND(AU9=2,M9="Dusk to Dawn"),0,IF(AND(AU9=2,M9="Dusk to Dawn-C"),0,IF(AND(AU9=2,M9="Dusk to Dawn"),0,IF(AND(AU9=2,M9="E"),0,IF(AND(AU9=2,M9="E-C"),0,EG9)))))))))))))))</f>
        <v/>
      </c>
      <c r="AI9" s="1754"/>
      <c r="AJ9" s="1348"/>
      <c r="AK9" s="1136"/>
      <c r="AL9" s="1748">
        <f>IFERROR(ROUND(IF(N9=0,0,IF(AU9=1,0,SUM(AA9*AJ9+BA9))),2),"")</f>
        <v>0</v>
      </c>
      <c r="AM9" s="1749"/>
      <c r="AN9" s="1750"/>
      <c r="AO9" s="476">
        <f t="shared" ref="AO9:AO72" si="2">IF(ISNUMBER(SEARCH("controls",F9)),0,IF(ISBLANK(F9),0,IF(P9&gt;0.01,P9*N9/1000,O9*N9/1000)))</f>
        <v>0</v>
      </c>
      <c r="AP9" s="476">
        <f>IF(ISBLANK(T9),0,AT9*AA9/1000)</f>
        <v>0</v>
      </c>
      <c r="AQ9" s="475">
        <f t="shared" ref="AQ9:AQ72" si="3">IF(ISNUMBER(SEARCH("controls",F9)),0,IF(AU9=1,0,IF(EJ9&gt;0.01,EG9*0.9*N9*AS9/1000,AO9*AH9)))</f>
        <v>0</v>
      </c>
      <c r="AR9" s="475">
        <f>IF(ISNUMBER(SEARCH("controls",F9)),0,IF(ISNA(AP9),0,IF(AU9=1,0,IF(AQ9=0,0,IF(AND(AU9=2,EJ9&gt;0.01),AP9*EJ9,AP9*AH9)))))</f>
        <v>0</v>
      </c>
      <c r="AS9" s="743" t="str">
        <f>IF(P9&gt;0.02,P9,O9)</f>
        <v/>
      </c>
      <c r="AT9" s="736" t="str">
        <f>IF(ISNUMBER(SEARCH("Permanent",T9)),0,IF(ISBLANK(AC9),0,AC9))</f>
        <v/>
      </c>
      <c r="AU9" s="56">
        <f>IF(ISNUMBER(SEARCH("interior",K9)),2,(IF(ISNUMBER(SEARCH("exterior",K9)),3,1)))</f>
        <v>1</v>
      </c>
      <c r="AV9" s="476">
        <f>IF(W9=0,0,IF(AU9=2,VLOOKUP(W9,$DO$56:$DP$66,2,FALSE),IF(AU9=3,VLOOKUP(W9,$DO$68:$DP$78,2,FALSE))))</f>
        <v>0</v>
      </c>
      <c r="AW9" s="56">
        <f>IF(CT9&gt;0.4,AT9*AA9,IF(EF9=0,0,IF(W9=0,0,IF(AND(AV9&gt;0.01,DS9&lt;2),0,IF(AH9=0,0,SUM(EE9*AT9)/EF9)))))</f>
        <v>0</v>
      </c>
      <c r="AX9" s="475">
        <f>IF(EE9=0,0,IF(AW9=0,0,IF(EF9=0,0,IF(EE9&gt;AA9,0,IF(EJ9&gt;0.01,(EE9*AT9)*EJ9/1000,(EE9*AT9)*CU9/1000)))))</f>
        <v>0</v>
      </c>
      <c r="AY9" s="1169">
        <f>IF(AX9=0,0,IF(W9="","",EE9*AT9*(CU9*(1-AV9)/1000)))</f>
        <v>0</v>
      </c>
      <c r="AZ9" s="1150">
        <f>IF(EE9=0,0,IF(EF9=0,0,IF(BC9=22,0,IF(BC9=23,0,IF(BC9=24,0,IF(BC9=44,0,IF(BC9=46,0,IF(BC9=48,0,IF(AF9&lt;2,0,IF(AND(EE9&gt;0,EF9&gt;0,CB9=3),0,IF(AND(AF9=2,AU9=3),75,VLOOKUP(W9,$DO$80:$DP$85,2,FALSE))))))))))))</f>
        <v>0</v>
      </c>
      <c r="BA9" s="56">
        <f>IF(AND(AK9&gt;0.01,AF9&gt;1,EF9&gt;0.5),EF9*AK9,IF(AND(BQ9&gt;0,AK9&gt;0),AK9*EF9,0))</f>
        <v>0</v>
      </c>
      <c r="BB9" s="420">
        <f t="shared" ref="BB9:BB72" si="4">IF(AV9=0,0,IF(AND(AV9&gt;0.01,DS9&lt;2),0,IF(AF9&lt;2,0,AC9*EE9/EF9)))</f>
        <v>0</v>
      </c>
      <c r="BC9" s="58" t="str">
        <f t="shared" ref="BC9:BC72" si="5">IF(T9="","",VLOOKUP(T9,$DQ$193:$DR$237,2,FALSE))</f>
        <v/>
      </c>
      <c r="BD9" s="660">
        <f>IF(AND(R9=10,AT9&lt;5,AU9=2,BC9=1),40,0)</f>
        <v>0</v>
      </c>
      <c r="BE9" s="57" t="e">
        <f t="array" ref="BE9">INDEX($EB$11:$ED$1022,MATCH(F9&amp;T9,$EB$11:$EB$1007&amp;$EC$11:$EC$1007,0),3)</f>
        <v>#N/A</v>
      </c>
      <c r="BF9" s="463">
        <f>IF(ISNA(BE9),0,BE9)</f>
        <v>0</v>
      </c>
      <c r="BG9" s="1445" t="e">
        <f t="array" ref="BG9">INDEX($DO$112:$DQ$123,MATCH(T9&amp;W9,$DO$114:$DO$125&amp;$DP$112:$DP$123,0),3)</f>
        <v>#N/A</v>
      </c>
      <c r="BH9" s="1446">
        <f>IF(ISNA(BG9),0,BG9)</f>
        <v>0</v>
      </c>
      <c r="BI9" s="465">
        <f>IF(AND(BC9=15,BR9=500),(N9*AS9-AA9*AT9)*0.26,0)</f>
        <v>0</v>
      </c>
      <c r="BJ9" s="465">
        <f>IF(BC9=10,(N9*AS9-AA9*AT9)*0.12,0)</f>
        <v>0</v>
      </c>
      <c r="BK9" s="466">
        <f>IF(ISNUMBER(SEARCH("removal",T9)),AND(AS9&gt;49,AS9&lt;300,AU9=2)*20,0)</f>
        <v>0</v>
      </c>
      <c r="BL9" s="466">
        <f>IF(ISNUMBER(SEARCH("removal",T9)),AND(AS9&gt;299,AU9=2)*30,0)</f>
        <v>0</v>
      </c>
      <c r="BM9" s="466">
        <f>IF(ISNUMBER(SEARCH("removal",T9)),AND(AS9&gt;49,AS9&lt;300,AU9=3)*20,0)</f>
        <v>0</v>
      </c>
      <c r="BN9" s="466">
        <f>IF(ISNUMBER(SEARCH("removal",T9)),AND(AS9&gt;299,AU9=3)*30,0)</f>
        <v>0</v>
      </c>
      <c r="BO9" s="463">
        <f>IF('Data Entry'!$C$74=0,0,IF(ISNA(CJ9),0,IF(AX9=0,0,IF(AND('Data Entry'!$C$74=2,AF9&gt;2,CE9&lt;1),0,IF(AND('Data Entry'!$C$74=2,AF9&gt;1,AU9=2,CJ9&gt;1),0,IF(AND(AF9=5,CT9=0.5,AU9=2,ER9&lt;100),0,IF(AND(AF9=5,CT9=0.5,AU9=3,ER9&lt;100),0,IF(AND('Data Entry'!$C$74=2,AF9=2,AU9=2,AK9&gt;0.01,CB9=2,CE9&lt;1),0,IF(AND('Data Entry'!$C$74=2,AF9=3,AU9=3,AK9&gt;0.01,CB9=3,CE9&lt;1),0,IF(AND('Data Entry'!$C$74=2,AF9=3,AU9=3,AK9&gt;0.01,CB9=3,CE9&gt;0.99),BQ9*0.08,IF(AND('Data Entry'!$C$74=2,AF9=2,AU9=2,AK9&gt;0.01,CB9=2,CE9&gt;0.99),BQ9*0.1,IF(AND(AU9=2,AK9&gt;0.01,CB9=2,CD9&gt;1),BQ9*0.1,IF(AND(AU9=3,AK9&gt;0.01,CB9=3,CD9&gt;1),BQ9*0.08,CJ9*EF9)))))))))))))</f>
        <v>0</v>
      </c>
      <c r="BP9" s="475">
        <f>IF(AND(BO9&gt;0.1,CB9=1,EF9&gt;0.5),EF9,0)</f>
        <v>0</v>
      </c>
      <c r="BQ9" s="1431">
        <f>IF(AU9=1,0,IF(CH9=100,0,IF(AND(AF9=3,AU9=2),0,IF(AND(BH9=0,CT9&gt;0.4),0,IF(AND('Data Entry'!$C$74=2,AF9=1.5),0,IF(AND('Data Entry'!$C$74=2,AF9=1.6),0,IF(AND('Data Entry'!$C$74=2,AF9=4),0,IF(AND('Data Entry'!$C$74=2,AF9=5),0,IF(AND('Data Entry'!$C$74=2,AF9=2.5,CE9&lt;1),0,IF(AND('Data Entry'!$C$74=2,AF9=3,CE9&lt;1),0,IF(AND('Data Entry'!$C$74=1,AF9=2.5,CD9&lt;1),0,IF(AND('Data Entry'!$C$74=1,AF9=3,CD9&lt;1),0,IF(DX9&gt;0.01,DX9,IF(ISERROR(AX9-AY9),"",ROUND(AX9-AY9,2)))))))))))))))</f>
        <v>0</v>
      </c>
      <c r="BR9" s="146">
        <f>IF(ISNUMBER(SEARCH("vapor",F9)),500,IF(ISNUMBER(SEARCH("halide",F9)),500,IF(ISNUMBER(SEARCH("pressure",F9)),500,IF(ISNUMBER(SEARCH("HID",F9)),500,IF(ISNUMBER(SEARCH("LED",F9)),3,IF(ISNUMBER(SEARCH("Only",F9)),37,IF(ISNUMBER(SEARCH("T8",T9)),50,IF(ISNUMBER(SEARCH("other",F9)),1,IF(ISNUMBER(SEARCH("Non-Standard",F9)),1,IF(AND(BA9&gt;0.1,BB9=0),5,IF(ISNA(BB9),0,0)))))))))))</f>
        <v>0</v>
      </c>
      <c r="BS9" s="475">
        <f>IF(N9=0,0,IF(ISNA(AP9),0,IF(AND(AU9=1,AO9&gt;0.01,AP9&gt;0.01),0,N9)))</f>
        <v>0</v>
      </c>
      <c r="BT9" s="146" t="b">
        <f>IF(R9=20,VLOOKUP(F9,$DM$178:$DN$179,2,FALSE))</f>
        <v>0</v>
      </c>
      <c r="BU9" s="463">
        <f>IF(ISNA(AT9),0,IF(AND('Data Entry'!$C$74=2,BC9=27),0,IF(AND('Data Entry'!$C$74=2,BC9=28),0,IF(AND(BC9=27,BT9=27,CM9&gt;0.1),CM9*0.15,IF(AND(BC9=28,BT9=28,CM9&gt;0.1),CM9*0.12,0)))))</f>
        <v>0</v>
      </c>
      <c r="BV9" s="463">
        <f>IF($X$4=0,0,IF(AND(CM9&lt;0.01,BQ9&lt;0.01),0,IF(ISNA(AT9),0,IF(BR9=3,0,IF(AND(BY9+BZ9+CA9&gt;0.01,EQ9+ER9+ES9+ET9&lt;100),0,IF(AA9&lt;1,0,IF(CB9=1,SUM(BI9+BJ9+BO9+BU9+BW9+BX9+BY9+BZ9+CA9+CK9),SUM(BI9+BJ9+BU9+BW9+BX9+BY9+BZ9+CA9+CK9))))))))</f>
        <v>0</v>
      </c>
      <c r="BW9" s="463">
        <f>IF(AND(BC9=20,AU9=2,CM9&gt;0.01),CM9*0.1,IF(AND(BC9=20,AU9=3,CM9&gt;0.01),CM9*0.1,IF(AND(BC9=30,AU9=2,CM9&gt;0.01,CT9=0),CM9*0.14,IF(AND(BC9=30,AU9=3,CM9&gt;0.01,CT9=0),CM9*0.14,0))))</f>
        <v>0</v>
      </c>
      <c r="BX9" s="463">
        <f>IF(CT9&gt;0.4,0,IF(AND(BC9=21,AU9=2,CM9&gt;0.01),CM9*0.22,IF(AND(BC9=21,AU9=3,CM9&gt;0.01),CM9*0.22,0)))</f>
        <v>0</v>
      </c>
      <c r="BY9" s="463">
        <f>IF(AND(BH9=44,AU9=3,CM9&gt;0.01),SUM(BQ9+CM9)*0.17,IF(AND(BH9=44,AU9=2,CM9&gt;0.01),SUM(BQ9+CM9)*0.17,IF(AND(BH9=22,AU9=2,CM9&gt;0.01),SUM(BQ9+CM9)*0.25,IF(AND(BH9=22,AU9=3,CM9&gt;0.01),SUM(BQ9+CM9)*0.25,0))))</f>
        <v>0</v>
      </c>
      <c r="BZ9" s="463">
        <f>IF(AND(BH9=46,AU9=3,CM9&gt;0.01),SUM(BQ9+CM9)*0.19,IF(AND(BH9=46,AU9=2,CM9&gt;0.01),SUM(BQ9+CM9)*0.19,IF(AND(BH9=23,AU9=2,CM9&gt;0.01),SUM(BQ9+CM9)*0.27,IF(AND(BH9=23,AU9=3,CM9&gt;0.01),SUM(BQ9+CM9)*0.27,0))))</f>
        <v>0</v>
      </c>
      <c r="CA9" s="57">
        <f>IF(AND(BH9=48,AU9=3,CM9&gt;0.01),SUM(BQ9+CM9)*0.23,IF(AND(BH9=48,AU9=2,CM9&gt;0.01),SUM(BQ9+CM9)*0.23,IF(AND(BH9=49,CM9&gt;0.01),SUM(BQ9+CM9)*0.21,IF(AND(BH9=24,AU9=2,CM9&gt;0.01),SUM(BQ9+CM9)*0.31,IF(AND(BH9=39,CM9&gt;0.01),SUM(BQ9+CM9)*0.29,IF(AND(BH9=29,CM9&gt;0.01),SUM(BQ9+CM9)*0.29,IF(AND(BH9=24,AU9=3,CM9&gt;0.01),SUM(BQ9+CM9)*0.31,0)))))))</f>
        <v>0</v>
      </c>
      <c r="CB9" s="56">
        <f>IF(AND(W9="Non-standard Control",AU9=2),2,IF(AND(W9="Non-standard Control",AU9=3),3,1))</f>
        <v>1</v>
      </c>
      <c r="CC9" s="756">
        <f>IF(EE9=0,0,IF(EF9=0,0,IF(EE9&gt;AA9,0,IF(AND(AZ9&gt;AW9,AW9&gt;0),0,IF(CU9=0,0,Summary!AC312)))))</f>
        <v>0</v>
      </c>
      <c r="CD9" s="756">
        <f>IF(EE9=0,0,IF(EF9=0,0,IF(EE9&gt;AA9,0,IF(AND(AZ9&gt;AW9,AW9&gt;0),0,IF(CU9=0,0,Summary!AD312)))))</f>
        <v>0</v>
      </c>
      <c r="CE9" s="756">
        <f>IF(EF9=0,0,IF(EE9&gt;AA9,0,IF(CC9=0,0,IF(AND(AZ9&gt;AW9,AW9&gt;0),0,IF(CU9=0,0,Summary!AE312)))))</f>
        <v>0</v>
      </c>
      <c r="CF9" s="475">
        <f>IF(BF9=0.5,1,IF(AND(R9=2,AU9=3),1,IF(AND(R9=3,AU9=2),1,IF(AND(R9=250,BC9&lt;250),1,IF(F9="**Fluorescent**",1,IF(F9="**HID**",1,IF(F9="**OTHER**",1,IF(F9="**SIGN LIGHTING**",1,IF(F9="**REFRIGERATION CASE LIGHTING**",1,IF(AND(AU9=2,M9="E-C"),1,IF(AND(AU9=3,M9="Sch 1"),1,IF(AND(AU9=3,M9="Sch 1-C"),1,IF(AND(AU9=3,M9="Sch 2"),1,IF(AND(AU9=3,M9="Sch 2-C"),1,IF(AND(AU9=3,M9="Sch 3"),1,IF(AND(AU9=3,M9="Sch 3-C"),1,IF(AND(AU9=2,M9="E"),1,IF(AND(AU9=2,M9="Dusk to Dawn"),1,IF(AND(AU9=2,M9="Dusk to Dawn-C"),1,IF(AND(DY9=1,BC9&lt;37),1,IF(AND(DY9=1,BC9&gt;37),1,0)))))))))))))))))))))</f>
        <v>0</v>
      </c>
      <c r="CG9" s="476">
        <f t="shared" ref="CG9:CG72" si="6">IF(CV9&lt;0,0,IF(DA9=0,0,AR9))</f>
        <v>0</v>
      </c>
      <c r="CH9" s="487">
        <f>IF(M9="Sch 1-C",100,IF(M9="Sch 2-C",100,IF(M9="Sch 3-C",100,IF(M9="E-C", 100,IF(M9="Dusk to Dawn-C", 100,IF(M9="Seasonal-C",100,0))))))</f>
        <v>0</v>
      </c>
      <c r="CI9" s="756">
        <f>IF(ISNUMBER(SEARCH("removal",T9)),5,IF(ISNUMBER(SEARCH("pin-base LED",T9)),5,IF(ISNUMBER(SEARCH("T5",T9)),5,IF(ISNUMBER(SEARCH("LED Tube",T9)),6,IF(ISNUMBER(SEARCH("Exit sign",T9)),5,IF(ISNUMBER(SEARCH("Level 1",T9)),7,IF(ISNUMBER(SEARCH("25 watt",T9)),1,IF(ISNUMBER(SEARCH("28 watt",T9)),1,0))))))))</f>
        <v>0</v>
      </c>
      <c r="CJ9" s="487">
        <f>IF(CT9&gt;0.4,0,IF(AND(AU9=2,CH9=0,CT9=0.5,ER9=100),35,IF(AND(AU9=3,BB9&gt;75,CH9=0,CT9=0.5,ER9=100),25,IF(CB9&gt;1,0,IF(EF9&gt;EE9,0,IF(AND(AF9&gt;1,CH9=100),0,IF(AND(AF9=1,AY9=0),0,IF(AND(EF9&lt;=EE9,AW9&gt;=AZ9,'Data Entry'!$C$74=1,AU9=2),VLOOKUP(W9,$DO$96:$DP$102,2,FALSE),IF(AND(EF9&lt;=EE9,AW9&gt;=AZ9,AU9=3,'Data Entry'!$C$74=1),VLOOKUP(W9,$DO$127:$DP$134,2,FALSE))))))))))</f>
        <v>0</v>
      </c>
      <c r="CK9" s="716">
        <f>IF(AND(BC9=25,AU9=2,N9&gt;0.1,AA9&gt;0.1),CM9*0.2,IF(AND(BC9=25,AU9=3,N9&gt;0.1,AA9&gt;0.1),CM9*0.2,0))</f>
        <v>0</v>
      </c>
      <c r="CL9" s="57">
        <f>IF(AU9=1,0,IF(CF9=1,0,IF(ISNA(AT9),0,IF(AND(R9=20,CU9=0),0,IF(AND(AQ9&gt;0.01,AR9=0,AA9=0),0,IF($X$4=0,0,IF(BR9=3,0,IF(AND(AQ9&gt;0.01,AR9=0,BK9=0,BL9=0,BM9=0,BN9=0),0,SUM(BD9+BF9+BK9+BL9+BM9+BN9+CW9)))))))))</f>
        <v>0</v>
      </c>
      <c r="CM9" s="475">
        <f>IF(AA9&lt;1,0,ROUND(AQ9-AR9,2))</f>
        <v>0</v>
      </c>
      <c r="CN9" s="660">
        <f>IF(CM9&lt;0.1,0,IF(ISNA(AT9),0,IF(CL9+BC9=1,0,IF(BV9&gt;0.01,0,IF(CL9&gt;0.01,0,IF(CF9=1,0,IF(BC9=0.5,0,IF(AND(CI9=1,AU9=3),0,IF(AND(CI9=5,CL9=0),0,IF(AND(R9=12,BR9=50),0,IF(CK9&gt;0.01,0,IF(AND(AJ9&gt;0.01,AU9=2,BC9=15),CM9*0.1,IF(AND(AJ9&gt;0.01,AU9=3,BC9=15),CM9*0.08,IF(AND(R9=12,BC9=3,AF9&lt;=0),0,IF(AND(BC9=15,BI9=0),0,IF(AND(BC9=15,BJ9=0),0,IF(AND(R9=20,CU9=0),0,IF($X$4=0,0,IF(AND(BC9=250,CL9=0),0,IF(AA9&lt;1,0,IF(AND(ISNUMBER(SEARCH("Area",T9)),AU9=3),0,IF(AND(AQ9&gt;0.01,AR9=0,BK9=0,BL9=0,BM9=0,BN9=0),0,IF(AND(AU9=3,CI9=7,CT9&gt;0.5),0,IF(AND(BC9=44,AU9=3,BY9=0),0,IF(AND(BC9=27,'Data Entry'!$C$74=2),0,IF(AND(BC9=28,'Data Entry'!$C$74=2),0,IF(AND(BY9+BZ9+CA9&gt;0.01,BV9=0,EQ9+ER9+ES9+ET9&lt;100),0,IF(AU9=3,CM9*0.08,IF(AU9=2,CM9*0.1,0)))))))))))))))))))))))))))))</f>
        <v>0</v>
      </c>
      <c r="CO9" s="660">
        <f>IF(CL9&gt;0.1,0,IF(CN9&gt;0.01,SUM(AA9*AJ9)*0.7,0))</f>
        <v>0</v>
      </c>
      <c r="CP9" s="475" t="str">
        <f>IF(T9="","",VLOOKUP(T9,$EH$9:$EI$27,2,FALSE))</f>
        <v/>
      </c>
      <c r="CQ9" s="161" t="str">
        <f>IF(AH9=0,0,IF(AU9=5,0,Summary!AC12))</f>
        <v/>
      </c>
      <c r="CR9" s="161" t="str">
        <f>IF(BF9=0.5,0,IF(AU9=5,0,Summary!AD12))</f>
        <v/>
      </c>
      <c r="CS9" s="161" t="str">
        <f>IF(AU9=5,0,Summary!AE12)</f>
        <v/>
      </c>
      <c r="CT9" s="161">
        <f>IF(ISNUMBER(SEARCH("existing",W9)),0,IF(ISNUMBER(SEARCH("Multiple",W9)),0.5,IF(ISNUMBER(SEARCH("Single",W9)),0.6,IF(ISNUMBER(SEARCH("Networked",W9)),2,(IF(ISNUMBER(SEARCH("LLLC",W9)),3,0))))))</f>
        <v>0</v>
      </c>
      <c r="CU9" s="475" t="str">
        <f t="shared" ref="CU9:CU73" si="7">IF(ISERROR(AQ9),0,IF(ISERROR(AR9),0,IF(AH9&gt;0.01,AH9,0)))</f>
        <v/>
      </c>
      <c r="CV9" s="307">
        <f>IF('Data Entry'!$C$74=0,0,IF(AA9&lt;1,0,IF(ISERROR(CU9),0,IF(CF9=1,0,IF(AND(R9=12,BR9=50),0,IF(CL9+BO9+BV9+DC9=0,0,IF(BC9=37,0,IF(AND(BC9=40,AJ9=0),0,IF(AND(BC9=37,BO9&gt;0.01,BQ9&gt;0.01),ROUND(BQ9,0),IF(CM9&lt;0,0,ROUND(CM9,0)))))))))))</f>
        <v>0</v>
      </c>
      <c r="CW9" s="700">
        <f>IF(CM9=0,0,IF(CI9=5,0,IF(AND(AQ9&gt;0.01,AR9=0,AA9=0),0,IF(BR9=3,0,IF(CI9=6,AD9*1.5,0)))))</f>
        <v>0</v>
      </c>
      <c r="CX9" s="477">
        <f>IF('Data Entry'!$C$74=0,0,IF(CV9&lt;0.01,0,IF(BF9=0.5,0,IF(CF9=1,0,IF(ISNUMBER(SEARCH("false",CL9)),0,IF(AZ9=500,0,CL9))))))</f>
        <v>0</v>
      </c>
      <c r="CY9" s="147" t="e">
        <f>IF(CM9&lt;0,0,IF(CM9+CU9=0,0,IF(AT9+BK9+BL9+BM9+BN9=0,0,IF(AND(BV9&gt;0.01,CB9&gt;1),BV9+DF9,IF(BV9&gt;0.01,BV9,IF(AND(CI9=6,CW9&gt;0.01,N9*Q9&gt;=AE9),AE9*1.5,IF(AND(CI9=6,CW9&gt;0.01,Q9=0,CM9&gt;0.01),AE9*1.5,IF(AND(CI9=6,CW9&gt;0.01,CM9&gt;0.01,N9*Q9&lt;AE9),N9*Q9*1.5,IF((AND(CX9&gt;0.01,BC9=38)),CX9*N9,IF((AND(CX9&gt;0.01,N9*Q9&gt;AE9)),CX9*AA9,IF((AND(CX9&gt;0.5,AA9&lt;=N9)),CX9*AA9,IF((AND(CX9&gt;0.5,AA9&gt;N9)),CX9*N9,0))))))))))))</f>
        <v>#VALUE!</v>
      </c>
      <c r="CZ9" s="147" t="b">
        <f>IF(CN9+CL9=0,FALSE,IF(AH9=0,0,IF(AND('Data Entry'!$C$74=1,CR9&gt;=1),TRUE,IF(AND('Data Entry'!$C$74=2,CS9&gt;=1),TRUE,FALSE))))</f>
        <v>0</v>
      </c>
      <c r="DA9" s="1751">
        <f>IF('Data Entry'!$C$74=0,0,IFERROR(ROUND(IF(T9="","",IF($X$4=0,0,IF(CF9=1,0,IF(BQ9+CV9=0,0,IF(CF9=1,0,IF(CY9&gt;0.01,CY9,IF(CL9&gt;0.01,CL9,IF(CY9&gt;0.01,CY9,IF(BC9=37,BO9,IF(CZ9=FALSE,0,IF(CZ9=TRUE,DC9+DF9,0))))))))))),2),""))</f>
        <v>0</v>
      </c>
      <c r="DB9" s="1752"/>
      <c r="DC9" s="474">
        <f>IF(CN9&lt;0.01,0,IF(AND(BR9=3,CN9&gt;0.01,CT9&gt;0.6,ER9+ES9+ET9&lt;100),0,IF(AND('Data Entry'!$C$74=1,CN9&gt;0.01,CR9&gt;0.99),MIN(CN9:CO9),IF(AND('Data Entry'!$C$74=2,CN9&gt;0.01,CS9&gt;0.99),MIN(CN9:CO9),0))))</f>
        <v>0</v>
      </c>
      <c r="DD9" s="478">
        <f>IF(CF9=1,"Selection does not match",IF(T9=0,0,IF(AND('Data Entry'!$C$74=0,CP9&gt;1),"Select Oregon or Idaho on Data Entry Tab",IF(AND(AU9=1,AA9&gt;0.9),"Missing Interior or Exterior Selection",IF($X$4=0,"Enter Total Project Cost",IF(AQ9&lt;AR9,"Insufficient kWh savings – no incentive",IF(AND(SUM(CL9+CK9+BV9)&gt;0.01,'Data Entry'!$C$74=2,CJ9&gt;1,BO9=0),"Submit Control as Non-Standard",IF(AND('Data Entry'!$C$74=2,BR9=37,CJ9&gt;1,BO9=0),"Submit Control as Non-Standard",IF(SUM(CL9+CK9+BV9)&gt;0.01,"Standard Incentive",IF(AND('Data Entry'!$C$74=2,CP9=7,CN9=0),"Submit as Non-Standard",IF(DC9&gt;0.9,"Non-Standard Incentive",IF(AND(BY9+BZ9+CA9&gt;0.01,BV9=0,EQ9=0,ER9=0,ES9=0,ET9=0),"Scroll Right &amp; Select Control Strategies",IF(AND(CN9&gt;0.01,CO9=0),"Enter Unit Installed Cost",IF(ISNUMBER(SEARCH("Lighting Controls Only",F9)),"Lighting Controls Only",IF(CL9+DC9=0,"Does not meet incentive criteria",0)))))))))))))))</f>
        <v>0</v>
      </c>
      <c r="DE9" s="337">
        <f>IF(AND(B9="",O9="enter input watts"),1,IF(AND(B9="",O9="blackout"),1,IF(AND(ISBLANK(B9),CM9&gt;0.01),1,IF(AND(ISBLANK(B9),CM9&lt;0),1,0))))</f>
        <v>0</v>
      </c>
      <c r="DF9" s="609">
        <f>IF(AND(DC9&gt;0.01,CB9=1,BO9&gt;0.01),BO9,IF(AND(CB9&gt;1,BO9&lt;DW9),BO9,IF(AND(CB9&gt;1,BO9&gt;DW9),DW9,0)))</f>
        <v>0</v>
      </c>
      <c r="DG9" s="336" t="str">
        <f>IF(T9="","",(IF(ISNUMBER(SEARCH("exit",T9)),0,(IF(ISNUMBER(SEARCH("LED",T9)),1,IF(ISNUMBER(SEARCH("LED",X9)),1,0))))))</f>
        <v/>
      </c>
      <c r="DH9" s="338">
        <f>IF(AND(AV9&gt;0.01,BB9&gt;1,BQ9=0),0,IF(AND(AQ9=0,AR9=0),1,0))</f>
        <v>1</v>
      </c>
      <c r="DI9" s="336" t="e">
        <f t="shared" ref="DI9:DI72" si="8">Q9*N9</f>
        <v>#VALUE!</v>
      </c>
      <c r="DJ9" s="338">
        <f t="shared" ref="DJ9:DJ72" si="9">IF(DC9&gt;0.01,AL9,0)</f>
        <v>0</v>
      </c>
      <c r="DK9" s="325" t="s">
        <v>74</v>
      </c>
      <c r="DL9" s="324" t="s">
        <v>34</v>
      </c>
      <c r="DM9" s="325" t="s">
        <v>74</v>
      </c>
      <c r="DN9" s="324"/>
      <c r="DO9" s="1433" t="s">
        <v>1761</v>
      </c>
      <c r="DP9" s="344" t="s">
        <v>34</v>
      </c>
      <c r="DQ9" s="1433" t="s">
        <v>1761</v>
      </c>
      <c r="DR9" s="1331"/>
      <c r="DS9" s="1195">
        <f>SUM(EE9:EF9)</f>
        <v>0</v>
      </c>
      <c r="DT9" s="344" t="b">
        <f>ISBLANK(B9)</f>
        <v>1</v>
      </c>
      <c r="DU9" s="1314" t="str">
        <f t="array" ref="DU9">IF(OR(COUNTIF(F9,"*"&amp;$DK$9:$DK$178&amp;"*")), "Yes", "")</f>
        <v/>
      </c>
      <c r="DV9" s="1314">
        <f>IF(AND(DT9=TRUE,DU9="Yes"),5,0)</f>
        <v>0</v>
      </c>
      <c r="DW9" s="1480">
        <f>IF(AND(CB9&gt;1,BA9&gt;0.01),BA9*0.7,0)</f>
        <v>0</v>
      </c>
      <c r="DX9" s="1498">
        <f>IF(BC9=37,0,IF(CT9&gt;0.4,AA9*AT9*(CU9*(1-AV9)/1000),0))</f>
        <v>0</v>
      </c>
      <c r="DY9" s="1484">
        <f>IF(ISNUMBER(SEARCH("existing equip",W9)),1,0)</f>
        <v>0</v>
      </c>
      <c r="DZ9" s="1481" t="str">
        <f>Lists!A61</f>
        <v xml:space="preserve">B:  </v>
      </c>
      <c r="EA9" s="881">
        <f>'Product Type'!E11</f>
        <v>0</v>
      </c>
      <c r="EB9" s="418" t="s">
        <v>503</v>
      </c>
      <c r="EC9" s="417"/>
      <c r="ED9" s="417"/>
      <c r="EE9" s="1215"/>
      <c r="EF9" s="1215"/>
      <c r="EG9" s="1184" t="str">
        <f>IF(M9="","",VLOOKUP(M9,$DM$194:$DN$207,2,FALSE))</f>
        <v/>
      </c>
      <c r="EH9" s="1198" t="s">
        <v>1567</v>
      </c>
      <c r="EI9" s="1199">
        <v>12</v>
      </c>
      <c r="EJ9" s="1185">
        <f t="shared" ref="EJ9:EJ72" si="10">IF(ISNUMBER(SEARCH("-C",M9)),VLOOKUP(M9,$DM$181:$DN$192,2,FALSE),0)</f>
        <v>0</v>
      </c>
      <c r="EK9" s="1379"/>
      <c r="EL9" s="1180">
        <f>IF(CV9&lt;0,0,IF(DA9=0,0,IF(DD9="Does not meet incentive criteria",0,AQ9)))</f>
        <v>0</v>
      </c>
      <c r="EM9" s="206"/>
      <c r="EN9" s="1038"/>
      <c r="EO9" s="1038"/>
      <c r="EP9" s="1038"/>
      <c r="EQ9" s="1038">
        <f>IF(AND(AU9=2,CT9=0.6,EM9="Yes"),100,IF(AND(AU9=2,CT9=0.6,EN9="Yes"),100,IF(AND(AU9=3,CT9=0.6,EM9="Yes"),100,0)))</f>
        <v>0</v>
      </c>
      <c r="ER9" s="1041">
        <f>IF(AND(AF9=5,AU9=2,EM9="Yes",EN9="Yes"),100,IF(AND(AF9=5,AU9=2,EM9="Yes",EO9="Yes"),100,IF(AND(AF9=5,AU9=2,EM9="Yes",EP9="Yes"),100,IF(AND(AF9=5,AU9=2,EM9="Yes",EQ9="Yes"),100,IF(AND(AF9=5,AU9=2,EN9="Yes",EP9="Yes"),100,IF(AND(BR9=3,AU9=2,CT9=1,EM9="Yes",EN9="Yes"),100,IF(AND(BR9=3,AU9=2,CT9=1,EM9="Yes",EO9="Yes"),100,IF(AND(BR9=3,AU9=2,CT9=1,EM9="Yes",EP9="Yes"),100,IF(AND(BR9=3,AU9=2,CT9=1,EM9="Yes",EQ9="Yes"),100,IF(AND(BR9=3,AU9=2,CT9=1,EN9="Yes",EP9="Yes"),100,IF(AND(AU9=2,BZ9&gt;0.01,EM9="Yes",EN9="Yes"),100,IF(AND(AU9=2,BZ9&gt;0.01,EM9="Yes",EO9="Yes"),100,IF(AND(AU9=2,BZ9&gt;0.01,EM9="Yes",EP9="Yes"),100,IF(AND(AU9=2,BZ9&gt;0.01,EM9="Yes",EQ9="Yes"),100,IF(AND(AU9=2,BZ9&gt;0.01,EN9="Yes",EP9="Yes"),100,IF(AND(AU9=2,BZ9&gt;0.01,EN9="Yes",EQ9="Yes"),100,IF(AND(AU9=3,BZ9&gt;0.01,EM9="Yes",EP9="Yes"),100,IF(AND(AF9=5,AU9=3,EM9="Yes",EP9="Yes"),100,IF(AND(AF9=5,AU9=2,CT9=0.5,EM9="Yes",EN9="Yes"),100,0)))))))))))))))))))</f>
        <v>0</v>
      </c>
      <c r="ES9" s="1042">
        <f>IF(AND(AU9=2,CA9&gt;0.01,CT9=3,EM9="Yes",EN9="Yes"),100,IF(AND(AU9=2,CA9&gt;0.01,CT9=3,EM9="Yes",EO9="Yes"),100,IF(AND(AU9=2,CA9&gt;0.01,CT9=3,EM9="Yes",EP9="Yes"),100,IF(AND(AU9=2,CA9&gt;0.01,CT9=3,EN9="Yes",EP9="Yes"),100,IF(AND(AU9=3,CA9&gt;0.01,CT9=3,EM9="Yes",EO9="Yes"),100,IF(AND(AU9=3,CA9&gt;0.01,CT9=3,EM9="Yes",EP9="Yes"),100,0))))))</f>
        <v>0</v>
      </c>
      <c r="ET9" s="1042">
        <f>IF(AND(AU9=2,CA9&gt;0.01,CT9=2,EM9="Yes",EN9="Yes",EP9="Yes"),100,IF(AND(AU9=2,CA9&gt;0.01,CT9=2,EM9="Yes",EO9="Yes",EP9="Yes"),100,IF(AND(AU9=2,CA9&gt;0.01,CT9=2,EM9="Yes",EP9="Yes"),100,IF(AND(AU9=2,CA9&gt;0.01,CT9=2,EN9="Yes",EP9="Yes"),100,IF(AND(AU9=2,CA9&gt;0.01,CT9=2,EM9="Yes",EN9="Yes",EP9="Yes"),100,IF(AND(AU9=2,CA9&gt;0.01,CT9=2,EM9="Yes",EO9="Yes"),100,IF(AND(AU9=3,CA9&gt;0.01,CT9=2,EM9="Yes",EP9="Yes"),100,0)))))))</f>
        <v>0</v>
      </c>
      <c r="EU9" s="1021">
        <f>IF(AND(BY9+BZ9+CA9&gt;0.01,EQ9+ER9+ES9+ET9&lt;100),"Does not meet program criteria",IF(AND(BB9&lt;AZ9,BO9=0),"Does not meet minimum connected load",0))</f>
        <v>0</v>
      </c>
      <c r="EV9" s="368"/>
      <c r="EW9" s="368"/>
      <c r="EX9" s="369"/>
      <c r="EY9" s="370"/>
      <c r="EZ9" s="370"/>
      <c r="FA9" s="371"/>
      <c r="FB9" s="372"/>
    </row>
    <row r="10" spans="1:158" s="1" customFormat="1" ht="34.5" customHeight="1">
      <c r="A10" s="82">
        <v>2</v>
      </c>
      <c r="B10" s="1784"/>
      <c r="C10" s="1726"/>
      <c r="D10" s="1726"/>
      <c r="E10" s="1727"/>
      <c r="F10" s="1732"/>
      <c r="G10" s="1733"/>
      <c r="H10" s="1733"/>
      <c r="I10" s="1734"/>
      <c r="J10" s="1341"/>
      <c r="K10" s="1728"/>
      <c r="L10" s="1728"/>
      <c r="M10" s="1342"/>
      <c r="N10" s="1583"/>
      <c r="O10" s="208" t="str">
        <f t="shared" ref="O10:O72" si="11">IF(F10="","",VLOOKUP(F10,$DK$5:$DL$202,2,FALSE))</f>
        <v/>
      </c>
      <c r="P10" s="1344">
        <v>0</v>
      </c>
      <c r="Q10" s="39" t="str">
        <f t="shared" si="0"/>
        <v/>
      </c>
      <c r="R10" s="39">
        <f t="shared" ref="R10:R73" si="12">IF(F10="Other (Provide Description)",1,IF(ISNUMBER(SEARCH("interior",T10)),2,(IF(ISNUMBER(SEARCH("exterior",T10)),3,IF(ISNUMBER(SEARCH("Case",F10)),20,IF(ISNUMBER(SEARCH("Relamp",F10)),250,IF(ISNUMBER(SEARCH("T12",F10)),11,IF(ISNUMBER(SEARCH("T8",F10)),12,IF(ISNUMBER(SEARCH("T5",F10)),12,IF(ISNUMBER(SEARCH("exit",F10)),10,0))))))))))</f>
        <v>0</v>
      </c>
      <c r="S10" s="234">
        <f t="shared" ref="S10:S73" si="13">IF(ISERROR(AO10*AH10),0,AQ10)</f>
        <v>0</v>
      </c>
      <c r="T10" s="1755"/>
      <c r="U10" s="1755"/>
      <c r="V10" s="1755"/>
      <c r="W10" s="1345"/>
      <c r="X10" s="1757"/>
      <c r="Y10" s="1742"/>
      <c r="Z10" s="1346"/>
      <c r="AA10" s="1347"/>
      <c r="AB10" s="1141"/>
      <c r="AC10" s="1103" t="str">
        <f>IF(T10="","",VLOOKUP(Z10,Lists!$A$60:$B$111,2,FALSE))</f>
        <v/>
      </c>
      <c r="AD10" s="130" t="str">
        <f t="shared" ref="AD10:AD73" si="14">IF(T10="","",VLOOKUP(T10,$DQ$8:$DR$52,2,FALSE))</f>
        <v/>
      </c>
      <c r="AE10" s="130" t="e">
        <f t="shared" ref="AE10:AE73" si="15">SUM(AA10*AD10)</f>
        <v>#VALUE!</v>
      </c>
      <c r="AF10" s="130">
        <f t="shared" ref="AF10:AF73" si="16">IF(ISNUMBER(SEARCH("wall",W10)),4,IF(ISNUMBER(SEARCH("ceiling",W10)),5,IF(ISNUMBER(SEARCH("Fixture",W10)),1.5,IF(ISNUMBER(SEARCH("Daylight",W10)),1.6,IF(ISNUMBER(SEARCH("equip",W10)),2,IF(AND(W10="Non-Standard Control",AU10=2),2.5,IF(AND(W10="Non-standard Control",AU10=3),3,1)))))))</f>
        <v>1</v>
      </c>
      <c r="AG10" s="234">
        <f t="shared" si="1"/>
        <v>0</v>
      </c>
      <c r="AH10" s="1753" t="str">
        <f>IF(T10="","",(IF(ISNUMBER(SEARCH("exit",T10)),8760,IF(AND(M10="Dusk to Dawn",'Proposed Lighting'!AU10=3),4059,IF(AND(AU10=3,M10="1"),0,IF(AND(AU10=3,M10="1-C"),0,IF(AND(AU10=3,M10="2"),0,IF(AND(AU10=3,M10="2-C"),0,IF(AND(AU10=3,M10="3"),0,IF(AND(AU10=3,M10="3-C"),0,IF(AND(AU10=2,M10="Dusk to Dawn"),0,IF(AND(AU10=2,M10="Dusk to Dawn-C"),0,IF(AND(AU10=2,M10="Dusk to Dawn"),0,IF(AND(AU10=2,M10="E"),0,IF(AND(AU10=2,M10="E-C"),0,EG10)))))))))))))))</f>
        <v/>
      </c>
      <c r="AI10" s="1754"/>
      <c r="AJ10" s="1348"/>
      <c r="AK10" s="1136"/>
      <c r="AL10" s="1748">
        <f>IFERROR(ROUND(IF(N10=0,0,IF(AU10=1,0,SUM(AA10*AJ10+BA10))),2),"")</f>
        <v>0</v>
      </c>
      <c r="AM10" s="1749"/>
      <c r="AN10" s="1750"/>
      <c r="AO10" s="476">
        <f t="shared" si="2"/>
        <v>0</v>
      </c>
      <c r="AP10" s="476">
        <f t="shared" ref="AP10:AP73" si="17">IF(ISBLANK(T10),0,AT10*AA10/1000)</f>
        <v>0</v>
      </c>
      <c r="AQ10" s="475">
        <f t="shared" si="3"/>
        <v>0</v>
      </c>
      <c r="AR10" s="475">
        <f t="shared" ref="AR10:AR73" si="18">IF(ISNUMBER(SEARCH("controls",F10)),0,IF(ISNA(AP10),0,IF(AU10=1,0,IF(AQ10=0,0,IF(AND(AU10=2,EJ10&gt;0.01),AP10*EJ10,AP10*AH10)))))</f>
        <v>0</v>
      </c>
      <c r="AS10" s="743" t="str">
        <f t="shared" ref="AS10:AS32" si="19">IF(P10&gt;0.02,P10,O10)</f>
        <v/>
      </c>
      <c r="AT10" s="736" t="str">
        <f t="shared" ref="AT10:AT73" si="20">IF(ISNUMBER(SEARCH("Permanent",T10)),0,IF(ISBLANK(AC10),0,AC10))</f>
        <v/>
      </c>
      <c r="AU10" s="56">
        <f t="shared" ref="AU10:AU73" si="21">IF(ISNUMBER(SEARCH("interior",K10)),2,(IF(ISNUMBER(SEARCH("exterior",K10)),3,1)))</f>
        <v>1</v>
      </c>
      <c r="AV10" s="476">
        <f t="shared" ref="AV10:AV73" si="22">IF(W10=0,0,IF(AU10=2,VLOOKUP(W10,$DO$56:$DP$66,2,FALSE),IF(AU10=3,VLOOKUP(W10,$DO$68:$DP$78,2,FALSE))))</f>
        <v>0</v>
      </c>
      <c r="AW10" s="56">
        <f t="shared" ref="AW10:AW73" si="23">IF(CT10&gt;0.4,AT10*AA10,IF(EF10=0,0,IF(W10=0,0,IF(AND(AV10&gt;0.01,DS10&lt;2),0,IF(AH10=0,0,SUM(EE10*AT10)/EF10)))))</f>
        <v>0</v>
      </c>
      <c r="AX10" s="475">
        <f>IF(EE10=0,0,IF(AW10=0,0,IF(EF10=0,0,IF(EE10&gt;AA10,0,IF(EJ10&gt;0.01,(EE10*AT10)*EJ10/1000,(EE10*AT10)*CU10/1000)))))</f>
        <v>0</v>
      </c>
      <c r="AY10" s="1169">
        <f>IF(AX10=0,0,IF(W10="","",EE10*AT10*(CU10*(1-AV10)/1000)))</f>
        <v>0</v>
      </c>
      <c r="AZ10" s="1150">
        <f>IF(EE10=0,0,IF(EF10=0,0,IF(BC10=22,0,IF(BC10=23,0,IF(BC10=24,0,IF(BC10=44,0,IF(BC10=46,0,IF(BC10=48,0,IF(AF10&lt;2,0,IF(AND(EE10&gt;0,EF10&gt;0,CB10=3),0,IF(AND(AF10=2,AU10=3),75,VLOOKUP(W10,$DO$80:$DP$85,2,FALSE))))))))))))</f>
        <v>0</v>
      </c>
      <c r="BA10" s="56">
        <f>IF(AND(AK10&gt;0.01,AF10&gt;1,EF10&gt;0.5),EF10*AK10,IF(AND(BQ10&gt;0,AK10&gt;0),AK10*EF10,0))</f>
        <v>0</v>
      </c>
      <c r="BB10" s="420">
        <f t="shared" si="4"/>
        <v>0</v>
      </c>
      <c r="BC10" s="58" t="str">
        <f t="shared" si="5"/>
        <v/>
      </c>
      <c r="BD10" s="660">
        <f>IF(AND(R10=10,AT10&lt;5,AU10=2,BC10=1),40,0)</f>
        <v>0</v>
      </c>
      <c r="BE10" s="57" t="e">
        <f t="array" ref="BE10">INDEX($EB$11:$ED$1022,MATCH(F10&amp;T10,$EB$11:$EB$1007&amp;$EC$11:$EC$1007,0),3)</f>
        <v>#N/A</v>
      </c>
      <c r="BF10" s="463">
        <f t="shared" ref="BF10:BF73" si="24">IF(ISNA(BE10),0,BE10)</f>
        <v>0</v>
      </c>
      <c r="BG10" s="1445" t="e">
        <f t="array" ref="BG10">INDEX($DO$112:$DQ$123,MATCH(T10&amp;W10,$DO$114:$DO$125&amp;$DP$112:$DP$123,0),3)</f>
        <v>#N/A</v>
      </c>
      <c r="BH10" s="1446">
        <f t="shared" ref="BH10:BH73" si="25">IF(ISNA(BG10),0,BG10)</f>
        <v>0</v>
      </c>
      <c r="BI10" s="465">
        <f t="shared" ref="BI10:BI73" si="26">IF(AND(BC10=15,BR10=500),(N10*AS10-AA10*AT10)*0.26,0)</f>
        <v>0</v>
      </c>
      <c r="BJ10" s="465">
        <f t="shared" ref="BJ10:BJ73" si="27">IF(BC10=10,(N10*AS10-AA10*AT10)*0.12,0)</f>
        <v>0</v>
      </c>
      <c r="BK10" s="466">
        <f t="shared" ref="BK10:BK73" si="28">IF(ISNUMBER(SEARCH("removal",T10)),AND(AS10&gt;49,AS10&lt;300,AU10=2)*20,0)</f>
        <v>0</v>
      </c>
      <c r="BL10" s="466">
        <f t="shared" ref="BL10:BL73" si="29">IF(ISNUMBER(SEARCH("removal",T10)),AND(AS10&gt;299,AU10=2)*30,0)</f>
        <v>0</v>
      </c>
      <c r="BM10" s="466">
        <f t="shared" ref="BM10:BM73" si="30">IF(ISNUMBER(SEARCH("removal",T10)),AND(AS10&gt;49,AS10&lt;300,AU10=3)*20,0)</f>
        <v>0</v>
      </c>
      <c r="BN10" s="466">
        <f t="shared" ref="BN10:BN73" si="31">IF(ISNUMBER(SEARCH("removal",T10)),AND(AS10&gt;299,AU10=3)*30,0)</f>
        <v>0</v>
      </c>
      <c r="BO10" s="463">
        <f>IF('Data Entry'!$C$74=0,0,IF(ISNA(CJ10),0,IF(AX10=0,0,IF(AND('Data Entry'!$C$74=2,AF10&gt;2,CE10&lt;1),0,IF(AND('Data Entry'!$C$74=2,AF10&gt;1,AU10=2,CJ10&gt;1),0,IF(AND(AF10=5,CT10=0.5,AU10=2,ER10&lt;100),0,IF(AND(AF10=5,CT10=0.5,AU10=3,ER10&lt;100),0,IF(AND('Data Entry'!$C$74=2,AF10=2,AU10=2,AK10&gt;0.01,CB10=2,CE10&lt;1),0,IF(AND('Data Entry'!$C$74=2,AF10=3,AU10=3,AK10&gt;0.01,CB10=3,CE10&lt;1),0,IF(AND('Data Entry'!$C$74=2,AF10=3,AU10=3,AK10&gt;0.01,CB10=3,CE10&gt;0.99),BQ10*0.08,IF(AND('Data Entry'!$C$74=2,AF10=2,AU10=2,AK10&gt;0.01,CB10=2,CE10&gt;0.99),BQ10*0.1,IF(AND(AU10=2,AK10&gt;0.01,CB10=2,CD10&gt;1),BQ10*0.1,IF(AND(AU10=3,AK10&gt;0.01,CB10=3,CD10&gt;1),BQ10*0.08,CJ10*EF10)))))))))))))</f>
        <v>0</v>
      </c>
      <c r="BP10" s="475">
        <f t="shared" ref="BP10:BP73" si="32">IF(AND(BO10&gt;0.1,CB10=1,EF10&gt;0.5),EF10,0)</f>
        <v>0</v>
      </c>
      <c r="BQ10" s="1431">
        <f>IF(AU10=1,0,IF(CH10=100,0,IF(AND(AF10=3,AU10=2),0,IF(AND(BH10=0,CT10&gt;0.4),0,IF(AND('Data Entry'!$C$74=2,AF10=1.5),0,IF(AND('Data Entry'!$C$74=2,AF10=1.6),0,IF(AND('Data Entry'!$C$74=2,AF10=4),0,IF(AND('Data Entry'!$C$74=2,AF10=5),0,IF(AND('Data Entry'!$C$74=2,AF10=2.5,CE10&lt;1),0,IF(AND('Data Entry'!$C$74=2,AF10=3,CE10&lt;1),0,IF(AND('Data Entry'!$C$74=1,AF10=2.5,CD10&lt;1),0,IF(AND('Data Entry'!$C$74=1,AF10=3,CD10&lt;1),0,IF(DX10&gt;0.01,DX10,IF(ISERROR(AX10-AY10),"",ROUND(AX10-AY10,2)))))))))))))))</f>
        <v>0</v>
      </c>
      <c r="BR10" s="146">
        <f t="shared" ref="BR10:BR73" si="33">IF(ISNUMBER(SEARCH("vapor",F10)),500,IF(ISNUMBER(SEARCH("halide",F10)),500,IF(ISNUMBER(SEARCH("pressure",F10)),500,IF(ISNUMBER(SEARCH("HID",F10)),500,IF(ISNUMBER(SEARCH("LED",F10)),3,IF(ISNUMBER(SEARCH("Only",F10)),37,IF(ISNUMBER(SEARCH("T8",T10)),50,IF(ISNUMBER(SEARCH("other",F10)),1,IF(AND(BA10&gt;0.1,BB10=0),5,IF(ISNA(BB10),0,0))))))))))</f>
        <v>0</v>
      </c>
      <c r="BS10" s="475">
        <f t="shared" ref="BS10:BS73" si="34">IF(N10=0,0,IF(ISNA(AP10),0,IF(AND(AU10=1,AO10&gt;0.01,AP10&gt;0.01),0,N10)))</f>
        <v>0</v>
      </c>
      <c r="BT10" s="146" t="b">
        <f t="shared" ref="BT10:BT73" si="35">IF(R10=20,VLOOKUP(F10,$DM$178:$DN$179,2,FALSE))</f>
        <v>0</v>
      </c>
      <c r="BU10" s="463">
        <f>IF(ISNA(AT10),0,IF(AND('Data Entry'!$C$74=2,BC10=27),0,IF(AND('Data Entry'!$C$74=2,BC10=28),0,IF(AND(BC10=27,BT10=27,CM10&gt;0.1),CM10*0.15,IF(AND(BC10=28,BT10=28,CM10&gt;0.1),CM10*0.12,0)))))</f>
        <v>0</v>
      </c>
      <c r="BV10" s="463">
        <f t="shared" ref="BV10:BV23" si="36">IF($X$4=0,0,IF(AND(CM10&lt;0.01,BQ10&lt;0.01),0,IF(ISNA(AT10),0,IF(BR10=3,0,IF(AND(BY10+BZ10+CA10&gt;0.01,EQ10+ER10+ES10+ET10&lt;100),0,IF(AA10&lt;1,0,IF(CB10=1,SUM(BI10+BJ10+BO10+BU10+BW10+BX10+BY10+BZ10+CA10+CK10),SUM(BI10+BJ10+BU10+BW10+BX10+BY10+BZ10+CA10+CK10))))))))</f>
        <v>0</v>
      </c>
      <c r="BW10" s="463">
        <f t="shared" ref="BW10:BW73" si="37">IF(AND(BC10=20,AU10=2,CM10&gt;0.01),CM10*0.1,IF(AND(BC10=20,AU10=3,CM10&gt;0.01),CM10*0.1,IF(AND(BC10=30,AU10=2,CM10&gt;0.01,CT10=0),CM10*0.14,IF(AND(BC10=30,AU10=3,CM10&gt;0.01,CT10=0),CM10*0.14,0))))</f>
        <v>0</v>
      </c>
      <c r="BX10" s="463">
        <f t="shared" ref="BX10:BX73" si="38">IF(CT10&gt;0.4,0,IF(AND(BC10=21,AU10=2,CM10&gt;0.01),CM10*0.22,IF(AND(BC10=21,AU10=3,CM10&gt;0.01),CM10*0.22,0)))</f>
        <v>0</v>
      </c>
      <c r="BY10" s="463">
        <f t="shared" ref="BY10:BY73" si="39">IF(AND(BH10=44,AU10=3,CM10&gt;0.01),SUM(BQ10+CM10)*0.17,IF(AND(BH10=44,AU10=2,CM10&gt;0.01),SUM(BQ10+CM10)*0.17,IF(AND(BH10=22,AU10=2,CM10&gt;0.01),SUM(BQ10+CM10)*0.25,IF(AND(BH10=22,AU10=3,CM10&gt;0.01),SUM(BQ10+CM10)*0.25,0))))</f>
        <v>0</v>
      </c>
      <c r="BZ10" s="463">
        <f t="shared" ref="BZ10:BZ73" si="40">IF(AND(BH10=46,AU10=3,CM10&gt;0.01),SUM(BQ10+CM10)*0.19,IF(AND(BH10=46,AU10=2,CM10&gt;0.01),SUM(BQ10+CM10)*0.19,IF(AND(BH10=23,AU10=2,CM10&gt;0.01),SUM(BQ10+CM10)*0.27,IF(AND(BH10=23,AU10=3,CM10&gt;0.01),SUM(BQ10+CM10)*0.27,0))))</f>
        <v>0</v>
      </c>
      <c r="CA10" s="57">
        <f>IF(AND(BH10=48,AU10=3,CM10&gt;0.01),SUM(BQ10+CM10)*0.23,IF(AND(BH10=48,AU10=2,CM10&gt;0.01),SUM(BQ10+CM10)*0.23,IF(AND(BH10=49,CM10&gt;0.01),SUM(BQ10+CM10)*0.21,IF(AND(BH10=24,AU10=2,CM10&gt;0.01),SUM(BQ10+CM10)*0.31,IF(AND(BH10=39,CM10&gt;0.01),SUM(BQ10+CM10)*0.29,IF(AND(BH10=29,CM10&gt;0.01),SUM(BQ10+CM10)*0.29,IF(AND(BH10=24,AU10=3,CM10&gt;0.01),SUM(BQ10+CM10)*0.31,0)))))))</f>
        <v>0</v>
      </c>
      <c r="CB10" s="56">
        <f t="shared" ref="CB10:CB73" si="41">IF(AND(W10="Non-standard Control",AU10=2),2,IF(AND(W10="Non-standard Control",AU10=3),3,1))</f>
        <v>1</v>
      </c>
      <c r="CC10" s="756">
        <f>IF(EE10=0,0,IF(EF10=0,0,IF(EE10&gt;AA10,0,IF(AND(AZ10&gt;AW10,AW10&gt;0),0,IF(CU10=0,0,Summary!AC313)))))</f>
        <v>0</v>
      </c>
      <c r="CD10" s="756">
        <f>IF(EE10=0,0,IF(EF10=0,0,IF(EE10&gt;AA10,0,IF(AND(AZ10&gt;AW10,AW10&gt;0),0,IF(CU10=0,0,Summary!AD313)))))</f>
        <v>0</v>
      </c>
      <c r="CE10" s="756">
        <f>IF(EF10=0,0,IF(EE10&gt;AA10,0,IF(CC10=0,0,IF(AND(AZ10&gt;AW10,AW10&gt;0),0,IF(CU10=0,0,Summary!AE313)))))</f>
        <v>0</v>
      </c>
      <c r="CF10" s="475">
        <f t="shared" ref="CF10:CF73" si="42">IF(BF10=0.5,1,IF(AND(R10=2,AU10=3),1,IF(AND(R10=3,AU10=2),1,IF(AND(R10=250,BC10&lt;250),1,IF(F10="**Fluorescent**",1,IF(F10="**HID**",1,IF(F10="**OTHER**",1,IF(F10="**SIGN LIGHTING**",1,IF(F10="**REFRIGERATION CASE LIGHTING**",1,IF(AND(AU10=2,M10="E-C"),1,IF(AND(AU10=3,M10="Sch 1"),1,IF(AND(AU10=3,M10="Sch 1-C"),1,IF(AND(AU10=3,M10="Sch 2"),1,IF(AND(AU10=3,M10="Sch 2-C"),1,IF(AND(AU10=3,M10="Sch 3"),1,IF(AND(AU10=3,M10="Sch 3-C"),1,IF(AND(AU10=2,M10="E"),1,IF(AND(AU10=2,M10="Dusk to Dawn"),1,IF(AND(AU10=2,M10="Dusk to Dawn-C"),1,IF(AND(DY10=1,BC10&lt;37),1,IF(AND(DY10=1,BC10&gt;37),1,0)))))))))))))))))))))</f>
        <v>0</v>
      </c>
      <c r="CG10" s="476">
        <f t="shared" si="6"/>
        <v>0</v>
      </c>
      <c r="CH10" s="487">
        <f t="shared" ref="CH10:CH73" si="43">IF(M10="Sch 1-C",100,IF(M10="Sch 2-C",100,IF(M10="Sch 3-C",100,IF(M10="E-C", 100,IF(M10="Dusk to Dawn-C", 100,IF(M10="Seasonal-C",100,0))))))</f>
        <v>0</v>
      </c>
      <c r="CI10" s="756">
        <f t="shared" ref="CI10:CI73" si="44">IF(ISNUMBER(SEARCH("removal",T10)),5,IF(ISNUMBER(SEARCH("pin-base LED",T10)),5,IF(ISNUMBER(SEARCH("T5",T10)),5,IF(ISNUMBER(SEARCH("LED Tube",T10)),6,IF(ISNUMBER(SEARCH("Exit sign",T10)),5,IF(ISNUMBER(SEARCH("Level 1",T10)),7,IF(ISNUMBER(SEARCH("25 watt",T10)),1,IF(ISNUMBER(SEARCH("28 watt",T10)),1,0))))))))</f>
        <v>0</v>
      </c>
      <c r="CJ10" s="487">
        <f>IF(CT10&gt;0.4,0,IF(AND(AU10=2,CH10=0,CT10=0.5,ER10=100),35,IF(AND(AU10=3,BB10&gt;75,CH10=0,CT10=0.5,ER10=100),25,IF(CB10&gt;1,0,IF(EF10&gt;EE10,0,IF(AND(AF10&gt;1,CH10=100),0,IF(AND(AF10=1,AY10=0),0,IF(AND(EF10&lt;=EE10,AW10&gt;=AZ10,'Data Entry'!$C$74=1,AU10=2),VLOOKUP(W10,$DO$96:$DP$102,2,FALSE),IF(AND(EF10&lt;=EE10,AW10&gt;=AZ10,AU10=3,'Data Entry'!$C$74=1),VLOOKUP(W10,$DO$127:$DP$134,2,FALSE))))))))))</f>
        <v>0</v>
      </c>
      <c r="CK10" s="716">
        <f t="shared" ref="CK10:CK73" si="45">IF(AND(BC10=25,AU10=2,N10&gt;0.1,AA10&gt;0.1),CM10*0.2,IF(AND(BC10=25,AU10=3,N10&gt;0.1,AA10&gt;0.1),CM10*0.2,0))</f>
        <v>0</v>
      </c>
      <c r="CL10" s="57">
        <f t="shared" ref="CL10:CL73" si="46">IF(AU10=1,0,IF(CF10=1,0,IF(ISNA(AT10),0,IF(AND(R10=20,CU10=0),0,IF(AND(AQ10&gt;0.01,AR10=0,AA10=0),0,IF($X$4=0,0,IF(BR10=3,0,IF(AND(AQ10&gt;0.01,AR10=0,BK10=0,BL10=0,BM10=0,BN10=0),0,SUM(BD10+BF10+BK10+BL10+BM10+BN10+CW10)))))))))</f>
        <v>0</v>
      </c>
      <c r="CM10" s="475">
        <f>IF(AA10&lt;1,0,ROUND(AQ10-AR10,2))</f>
        <v>0</v>
      </c>
      <c r="CN10" s="660">
        <f>IF(CM10&lt;0.1,0,IF(ISNA(AT10),0,IF(CL10+BC10=1,0,IF(BV10&gt;0.01,0,IF(CL10&gt;0.01,0,IF(CF10=1,0,IF(BC10=0.5,0,IF(AND(CI10=1,AU10=3),0,IF(AND(CI10=5,CL10=0),0,IF(AND(R10=12,BR10=50),0,IF(CK10&gt;0.01,0,IF(AND(AJ10&gt;0.01,AU10=2,BC10=15),CM10*0.1,IF(AND(AJ10&gt;0.01,AU10=3,BC10=15),CM10*0.08,IF(AND(R10=12,BC10=3,AF10&lt;=0),0,IF(AND(BC10=15,BI10=0),0,IF(AND(BC10=15,BJ10=0),0,IF(AND(R10=20,CU10=0),0,IF($X$4=0,0,IF(AND(BC10=250,CL10=0),0,IF(AA10&lt;1,0,IF(AND(ISNUMBER(SEARCH("Area",T10)),AU10=3),0,IF(AND(AQ10&gt;0.01,AR10=0,BK10=0,BL10=0,BM10=0,BN10=0),0,IF(AND(AU10=3,CI10=7,CT10&gt;0.5),0,IF(AND(BC10=44,AU10=3,BY10=0),0,IF(AND(BC10=27,'Data Entry'!$C$74=2),0,IF(AND(BC10=28,'Data Entry'!$C$74=2),0,IF(AND(BY10+BZ10+CA10&gt;0.01,BV10=0,EQ10+ER10+ES10+ET10&lt;100),0,IF(AU10=3,CM10*0.08,IF(AU10=2,CM10*0.1,0)))))))))))))))))))))))))))))</f>
        <v>0</v>
      </c>
      <c r="CO10" s="660">
        <f t="shared" ref="CO10:CO73" si="47">IF(CL10&gt;0.1,0,IF(CN10&gt;0.01,SUM(AA10*AJ10)*0.7,0))</f>
        <v>0</v>
      </c>
      <c r="CP10" s="475" t="str">
        <f t="shared" ref="CP10:CP73" si="48">IF(T10="","",VLOOKUP(T10,$EH$9:$EI$27,2,FALSE))</f>
        <v/>
      </c>
      <c r="CQ10" s="161" t="str">
        <f>IF(AH10=0,0,IF(AU10=5,0,Summary!AC13))</f>
        <v/>
      </c>
      <c r="CR10" s="161" t="str">
        <f>IF(BF10=0.5,0,IF(AU10=5,0,Summary!AD13))</f>
        <v/>
      </c>
      <c r="CS10" s="161" t="str">
        <f>IF(AU10=5,0,Summary!AE13)</f>
        <v/>
      </c>
      <c r="CT10" s="161">
        <f t="shared" ref="CT10:CT73" si="49">IF(ISNUMBER(SEARCH("existing",W10)),0,IF(ISNUMBER(SEARCH("Multiple",W10)),0.5,IF(ISNUMBER(SEARCH("Single",W10)),0.6,IF(ISNUMBER(SEARCH("Networked",W10)),2,(IF(ISNUMBER(SEARCH("LLLC",W10)),3,0))))))</f>
        <v>0</v>
      </c>
      <c r="CU10" s="475" t="str">
        <f t="shared" si="7"/>
        <v/>
      </c>
      <c r="CV10" s="307">
        <f>IF('Data Entry'!$C$74=0,0,IF(AA10&lt;1,0,IF(ISERROR(CU10),0,IF(CF10=1,0,IF(AND(R10=12,BR10=50),0,IF(CL10+BO10+BV10+DC10=0,0,IF(BC10=37,0,IF(AND(BC10=40,AJ10=0),0,IF(AND(BC10=37,BO10&gt;0.01,BQ10&gt;0.01),ROUND(BQ10,0),IF(CM10&lt;0,0,ROUND(CM10,0)))))))))))</f>
        <v>0</v>
      </c>
      <c r="CW10" s="700">
        <f t="shared" ref="CW10:CW73" si="50">IF(CM10=0,0,IF(CI10=5,0,IF(AND(AQ10&gt;0.01,AR10=0,AA10=0),0,IF(BR10=3,0,IF(CI10=6,AD10*1.5,0)))))</f>
        <v>0</v>
      </c>
      <c r="CX10" s="477">
        <f>IF('Data Entry'!$C$74=0,0,IF(CV10&lt;0.01,0,IF(BF10=0.5,0,IF(CF10=1,0,IF(ISNUMBER(SEARCH("false",CL10)),0,IF(AZ10=500,0,CL10))))))</f>
        <v>0</v>
      </c>
      <c r="CY10" s="147" t="e">
        <f t="shared" ref="CY10:CY73" si="51">IF(CM10&lt;0,0,IF(CM10+CU10=0,0,IF(AT10+BK10+BL10+BM10+BN10=0,0,IF(AND(BV10&gt;0.01,CB10&gt;1),BV10+DF10,IF(BV10&gt;0.01,BV10,IF(AND(CI10=6,CW10&gt;0.01,N10*Q10&gt;=AE10),AE10*1.5,IF(AND(CI10=6,CW10&gt;0.01,Q10=0,CM10&gt;0.01),AE10*1.5,IF(AND(CI10=6,CW10&gt;0.01,CM10&gt;0.01,N10*Q10&lt;AE10),N10*Q10*1.5,IF((AND(CX10&gt;0.01,BC10=38)),CX10*N10,IF((AND(CX10&gt;0.01,N10*Q10&gt;AE10)),CX10*AA10,IF((AND(CX10&gt;0.5,AA10&lt;=N10)),CX10*AA10,IF((AND(CX10&gt;0.5,AA10&gt;N10)),CX10*N10,0))))))))))))</f>
        <v>#VALUE!</v>
      </c>
      <c r="CZ10" s="147" t="b">
        <f>IF(CN10+CL10=0,FALSE,IF(AH10=0,0,IF(AND('Data Entry'!$C$74=1,CR10&gt;=1),TRUE,IF(AND('Data Entry'!$C$74=2,CS10&gt;=1),TRUE,FALSE))))</f>
        <v>0</v>
      </c>
      <c r="DA10" s="1751">
        <f>IF('Data Entry'!$C$74=0,0,IFERROR(ROUND(IF(T10="","",IF($X$4=0,0,IF(CF10=1,0,IF(BQ10+CV10=0,0,IF(CF10=1,0,IF(CY10&gt;0.01,CY10,IF(CL10&gt;0.01,CL10,IF(CY10&gt;0.01,CY10,IF(BC10=37,BO10,IF(CZ10=FALSE,0,IF(CZ10=TRUE,DC10+DF10,0))))))))))),2),""))</f>
        <v>0</v>
      </c>
      <c r="DB10" s="1752"/>
      <c r="DC10" s="474">
        <f>IF(CN10&lt;0.01,0,IF(AND(BR10=3,CN10&gt;0.01,CT10&gt;0.6,ER10+ES10+ET10&lt;100),0,IF(AND('Data Entry'!$C$74=1,CN10&gt;0.01,CR10&gt;0.99),MIN(CN10:CO10),IF(AND('Data Entry'!$C$74=2,CN10&gt;0.01,CS10&gt;0.99),MIN(CN10:CO10),0))))</f>
        <v>0</v>
      </c>
      <c r="DD10" s="478">
        <f>IF(CF10=1,"Selection does not match",IF(T10=0,0,IF(AND('Data Entry'!$C$74=0,CP10&gt;1),"Select Oregon or Idaho on Data Entry Tab",IF(AND(AU10=1,AA10&gt;0.9),"Missing Interior or Exterior Selection",IF($X$4=0,"Enter Total Project Cost",IF(AQ10&lt;AR10,"Insufficient kWh savings – no incentive",IF(AND(SUM(CL10+CK10+BV10)&gt;0.01,'Data Entry'!$C$74=2,CJ10&gt;1,BO10=0),"Submit Control as Non-Standard",IF(AND('Data Entry'!$C$74=2,BR10=37,CJ10&gt;1,BO10=0),"Submit Control as Non-Standard",IF(SUM(CL10+CK10+BV10)&gt;0.01,"Standard Incentive",IF(AND('Data Entry'!$C$74=2,CP10=7,CN10=0),"Submit as Non-Standard",IF(DC10&gt;0.9,"Non-Standard Incentive",IF(AND(BY10+BZ10+CA10&gt;0.01,BV10=0,EQ10=0,ER10=0,ES10=0,ET10=0),"Scroll Right &amp; Select Control Strategies",IF(AND(CN10&gt;0.01,CO10=0),"Enter Unit Installed Cost",IF(ISNUMBER(SEARCH("Lighting Controls Only",F10)),"Lighting Controls Only",IF(CL10+DC10=0,"Does not meet incentive criteria",0)))))))))))))))</f>
        <v>0</v>
      </c>
      <c r="DE10" s="337">
        <f t="shared" ref="DE10:DE73" si="52">IF(AND(B10="",O10="enter input watts"),1,IF(AND(B10="",O10="blackout"),1,IF(AND(ISBLANK(B10),CM10&gt;0.01),1,IF(AND(ISBLANK(B10),CM10&lt;0),1,0))))</f>
        <v>0</v>
      </c>
      <c r="DF10" s="609">
        <f t="shared" ref="DF10:DF73" si="53">IF(AND(DC10&gt;0.01,CB10=1,BO10&gt;0.01),BO10,IF(AND(CB10&gt;1,BO10&lt;DW10),BO10,IF(AND(CB10&gt;1,BO10&gt;DW10),DW10,0)))</f>
        <v>0</v>
      </c>
      <c r="DG10" s="336" t="str">
        <f t="shared" ref="DG10:DG73" si="54">IF(T10="","",(IF(ISNUMBER(SEARCH("exit",T10)),0,(IF(ISNUMBER(SEARCH("LED",T10)),1,IF(ISNUMBER(SEARCH("LED",X10)),1,0))))))</f>
        <v/>
      </c>
      <c r="DH10" s="338">
        <f t="shared" ref="DH10:DH73" si="55">IF(AND(AV10&gt;0.01,BB10&gt;1,BQ10=0),0,IF(AND(AQ10=0,AR10=0),1,0))</f>
        <v>1</v>
      </c>
      <c r="DI10" s="336" t="e">
        <f t="shared" si="8"/>
        <v>#VALUE!</v>
      </c>
      <c r="DJ10" s="338">
        <f t="shared" si="9"/>
        <v>0</v>
      </c>
      <c r="DK10" s="325" t="s">
        <v>75</v>
      </c>
      <c r="DL10" s="324" t="s">
        <v>34</v>
      </c>
      <c r="DM10" s="325" t="s">
        <v>75</v>
      </c>
      <c r="DN10" s="324"/>
      <c r="DO10" s="1433" t="s">
        <v>1745</v>
      </c>
      <c r="DP10" s="344" t="s">
        <v>34</v>
      </c>
      <c r="DQ10" s="1433" t="s">
        <v>1745</v>
      </c>
      <c r="DR10" s="1331"/>
      <c r="DS10" s="1195">
        <f t="shared" ref="DS10:DS73" si="56">SUM(EE10:EF10)</f>
        <v>0</v>
      </c>
      <c r="DT10" s="344" t="b">
        <f t="shared" ref="DT10:DT73" si="57">ISBLANK(B10)</f>
        <v>1</v>
      </c>
      <c r="DU10" s="1314" t="str">
        <f t="array" ref="DU10">IF(OR(COUNTIF(F10,"*"&amp;$DK$9:$DK$178&amp;"*")), "Yes", "")</f>
        <v/>
      </c>
      <c r="DV10" s="1314">
        <f t="shared" ref="DV10:DV73" si="58">IF(AND(DT10=TRUE,DU10="Yes"),5,0)</f>
        <v>0</v>
      </c>
      <c r="DW10" s="1480">
        <f t="shared" ref="DW10:DW73" si="59">IF(AND(CB10&gt;1,BA10&gt;0.01),BA10*0.7,0)</f>
        <v>0</v>
      </c>
      <c r="DX10" s="1498">
        <f>IF(BC10=37,0,IF(CT10&gt;0.4,AA10*AT10*(CU10*(1-AV10)/1000),0))</f>
        <v>0</v>
      </c>
      <c r="DY10" s="1484">
        <f t="shared" ref="DY10:DY73" si="60">IF(ISNUMBER(SEARCH("existing equip",W10)),1,0)</f>
        <v>0</v>
      </c>
      <c r="DZ10" s="1481" t="str">
        <f>Lists!A62</f>
        <v xml:space="preserve">C:  </v>
      </c>
      <c r="EA10" s="881">
        <f>'Product Type'!E12</f>
        <v>0</v>
      </c>
      <c r="EB10" s="1502" t="s">
        <v>1872</v>
      </c>
      <c r="EC10" s="1503" t="s">
        <v>1873</v>
      </c>
      <c r="ED10" s="1504" t="s">
        <v>1874</v>
      </c>
      <c r="EE10" s="1215"/>
      <c r="EF10" s="1215"/>
      <c r="EG10" s="1184" t="str">
        <f t="shared" ref="EG10:EG73" si="61">IF(M10="","",VLOOKUP(M10,$DM$194:$DN$207,2,FALSE))</f>
        <v/>
      </c>
      <c r="EH10" s="1197" t="s">
        <v>1761</v>
      </c>
      <c r="EI10" s="1199">
        <v>12</v>
      </c>
      <c r="EJ10" s="1185">
        <f t="shared" si="10"/>
        <v>0</v>
      </c>
      <c r="EK10" s="1211"/>
      <c r="EL10" s="1180">
        <f>IF(CV10&lt;0,0,IF(DA10=0,0,IF(DD10="Does not meet incentive criteria",0,AQ10)))</f>
        <v>0</v>
      </c>
      <c r="EM10" s="206"/>
      <c r="EN10" s="1038"/>
      <c r="EO10" s="1038"/>
      <c r="EP10" s="1038"/>
      <c r="EQ10" s="1038">
        <f t="shared" ref="EQ10:EQ73" si="62">IF(AND(AU10=2,CT10=0.6,EM10="Yes"),100,IF(AND(AU10=2,CT10=0.6,EN10="Yes"),100,IF(AND(AU10=3,CT10=0.6,EM10="Yes"),100,0)))</f>
        <v>0</v>
      </c>
      <c r="ER10" s="1041">
        <f>IF(AND(AF10=5,AU10=2,EM10="Yes",EN10="Yes"),100,IF(AND(AF10=5,AU10=2,EM10="Yes",EO10="Yes"),100,IF(AND(AF10=5,AU10=2,EM10="Yes",EP10="Yes"),100,IF(AND(AF10=5,AU10=2,EM10="Yes",EQ10="Yes"),100,IF(AND(AF10=5,AU10=2,EN10="Yes",EP10="Yes"),100,IF(AND(BR10=3,AU10=2,CT10=1,EM10="Yes",EN10="Yes"),100,IF(AND(BR10=3,AU10=2,CT10=1,EM10="Yes",EO10="Yes"),100,IF(AND(BR10=3,AU10=2,CT10=1,EM10="Yes",EP10="Yes"),100,IF(AND(BR10=3,AU10=2,CT10=1,EM10="Yes",EQ10="Yes"),100,IF(AND(BR10=3,AU10=2,CT10=1,EN10="Yes",EP10="Yes"),100,IF(AND(AU10=2,BZ10&gt;0.01,EM10="Yes",EN10="Yes"),100,IF(AND(AU10=2,BZ10&gt;0.01,EM10="Yes",EO10="Yes"),100,IF(AND(AU10=2,BZ10&gt;0.01,EM10="Yes",EP10="Yes"),100,IF(AND(AU10=2,BZ10&gt;0.01,EM10="Yes",EQ10="Yes"),100,IF(AND(AU10=2,BZ10&gt;0.01,EN10="Yes",EP10="Yes"),100,IF(AND(AU10=2,BZ10&gt;0.01,EN10="Yes",EQ10="Yes"),100,IF(AND(AU10=3,BZ10&gt;0.01,EM10="Yes",EP10="Yes"),100,IF(AND(AF10=5,AU10=3,EM10="Yes",EP10="Yes"),100,IF(AND(AF10=5,AU10=2,CT10=0.5,EM10="Yes",EN10="Yes"),100,0)))))))))))))))))))</f>
        <v>0</v>
      </c>
      <c r="ES10" s="1042">
        <f t="shared" ref="ES10:ES73" si="63">IF(AND(AU10=2,CA10&gt;0.01,CT10=3,EM10="Yes",EN10="Yes"),100,IF(AND(AU10=2,CA10&gt;0.01,CT10=3,EM10="Yes",EO10="Yes"),100,IF(AND(AU10=2,CA10&gt;0.01,CT10=3,EM10="Yes",EP10="Yes"),100,IF(AND(AU10=2,CA10&gt;0.01,CT10=3,EN10="Yes",EP10="Yes"),100,IF(AND(AU10=3,CA10&gt;0.01,CT10=3,EM10="Yes",EO10="Yes"),100,IF(AND(AU10=3,CA10&gt;0.01,CT10=3,EM10="Yes",EP10="Yes"),100,0))))))</f>
        <v>0</v>
      </c>
      <c r="ET10" s="1042">
        <f>IF(AND(AU10=2,CA10&gt;0.01,CT10=2,EM10="Yes",EN10="Yes",EP10="Yes"),100,IF(AND(AU10=2,CA10&gt;0.01,CT10=2,EM10="Yes",EO10="Yes",EP10="Yes"),100,IF(AND(AU10=2,CA10&gt;0.01,CT10=2,EM10="Yes",EP10="Yes"),100,IF(AND(AU10=2,CA10&gt;0.01,CT10=2,EN10="Yes",EP10="Yes"),100,IF(AND(AU10=2,CA10&gt;0.01,CT10=2,EM10="Yes",EN10="Yes",EP10="Yes"),100,IF(AND(AU10=2,CA10&gt;0.01,CT10=2,EM10="Yes",EO10="Yes"),100,IF(AND(AU10=3,CA10&gt;0.01,CT10=2,EM10="Yes",EP10="Yes"),100,0)))))))</f>
        <v>0</v>
      </c>
      <c r="EU10" s="1021">
        <f>IF(AND(BY10+BZ10+CA10&gt;0.01,EQ10+ER10+ES10+ET10&lt;100),"Does not meet program criteria",IF(AND(BB10&lt;AZ10,BO10=0),"Does not meet minimum connected load",0))</f>
        <v>0</v>
      </c>
      <c r="EV10" s="368"/>
      <c r="EW10" s="368"/>
      <c r="EX10" s="369"/>
      <c r="EY10" s="370"/>
      <c r="EZ10" s="370"/>
      <c r="FA10" s="371"/>
      <c r="FB10" s="372"/>
    </row>
    <row r="11" spans="1:158" s="1" customFormat="1" ht="34.5" customHeight="1">
      <c r="A11" s="82">
        <v>3</v>
      </c>
      <c r="B11" s="1785"/>
      <c r="C11" s="1726"/>
      <c r="D11" s="1726"/>
      <c r="E11" s="1727"/>
      <c r="F11" s="1732"/>
      <c r="G11" s="1733"/>
      <c r="H11" s="1733"/>
      <c r="I11" s="1734"/>
      <c r="J11" s="1341"/>
      <c r="K11" s="1728"/>
      <c r="L11" s="1728"/>
      <c r="M11" s="1342"/>
      <c r="N11" s="1583"/>
      <c r="O11" s="208" t="str">
        <f t="shared" si="11"/>
        <v/>
      </c>
      <c r="P11" s="1344">
        <v>0</v>
      </c>
      <c r="Q11" s="39" t="str">
        <f t="shared" si="0"/>
        <v/>
      </c>
      <c r="R11" s="39">
        <f t="shared" si="12"/>
        <v>0</v>
      </c>
      <c r="S11" s="234">
        <f t="shared" si="13"/>
        <v>0</v>
      </c>
      <c r="T11" s="1755"/>
      <c r="U11" s="1755"/>
      <c r="V11" s="1755"/>
      <c r="W11" s="1345"/>
      <c r="X11" s="1741"/>
      <c r="Y11" s="1742"/>
      <c r="Z11" s="1346"/>
      <c r="AA11" s="1347"/>
      <c r="AB11" s="1141"/>
      <c r="AC11" s="1103" t="str">
        <f>IF(T11="","",VLOOKUP(Z11,Lists!$A$60:$B$111,2,FALSE))</f>
        <v/>
      </c>
      <c r="AD11" s="130" t="str">
        <f t="shared" si="14"/>
        <v/>
      </c>
      <c r="AE11" s="130" t="e">
        <f t="shared" si="15"/>
        <v>#VALUE!</v>
      </c>
      <c r="AF11" s="130">
        <f t="shared" si="16"/>
        <v>1</v>
      </c>
      <c r="AG11" s="234">
        <f t="shared" si="1"/>
        <v>0</v>
      </c>
      <c r="AH11" s="1753" t="str">
        <f>IF(T11="","",(IF(ISNUMBER(SEARCH("exit",T11)),8760,IF(AND(M11="Dusk to Dawn",'Proposed Lighting'!AU11=3),4059,IF(AND(AU11=3,M11="1"),0,IF(AND(AU11=3,M11="1-C"),0,IF(AND(AU11=3,M11="2"),0,IF(AND(AU11=3,M11="2-C"),0,IF(AND(AU11=3,M11="3"),0,IF(AND(AU11=3,M11="3-C"),0,IF(AND(AU11=2,M11="Dusk to Dawn"),0,IF(AND(AU11=2,M11="Dusk to Dawn-C"),0,IF(AND(AU11=2,M11="Dusk to Dawn"),0,IF(AND(AU11=2,M11="E"),0,IF(AND(AU11=2,M11="E-C"),0,EG11)))))))))))))))</f>
        <v/>
      </c>
      <c r="AI11" s="1754"/>
      <c r="AJ11" s="1348"/>
      <c r="AK11" s="1136"/>
      <c r="AL11" s="1748">
        <f t="shared" ref="AL11:AL73" si="64">IFERROR(ROUND(IF(ISNUMBER(SEARCH("Additional",T11)),AA11*AJ11+BA11,IF(N11=0,0,IF(AU11=1,0,SUM(AA11*AJ11+BA11)))),2),"")</f>
        <v>0</v>
      </c>
      <c r="AM11" s="1749"/>
      <c r="AN11" s="1750"/>
      <c r="AO11" s="476">
        <f t="shared" si="2"/>
        <v>0</v>
      </c>
      <c r="AP11" s="476">
        <f t="shared" si="17"/>
        <v>0</v>
      </c>
      <c r="AQ11" s="475">
        <f t="shared" si="3"/>
        <v>0</v>
      </c>
      <c r="AR11" s="475">
        <f t="shared" si="18"/>
        <v>0</v>
      </c>
      <c r="AS11" s="743" t="str">
        <f t="shared" si="19"/>
        <v/>
      </c>
      <c r="AT11" s="736" t="str">
        <f t="shared" si="20"/>
        <v/>
      </c>
      <c r="AU11" s="56">
        <f t="shared" si="21"/>
        <v>1</v>
      </c>
      <c r="AV11" s="476">
        <f t="shared" si="22"/>
        <v>0</v>
      </c>
      <c r="AW11" s="56">
        <f t="shared" si="23"/>
        <v>0</v>
      </c>
      <c r="AX11" s="475">
        <f t="shared" ref="AX11:AX72" si="65">IF(EE11=0,0,IF(AW11=0,0,IF(EF11=0,0,IF(EE11&gt;AA11,0,IF(EJ11&gt;0.01,(EE11*AT11)*EJ11/1000,(EE11*AT11)*CU11/1000)))))</f>
        <v>0</v>
      </c>
      <c r="AY11" s="1169">
        <f t="shared" ref="AY11:AY73" si="66">IF(AX11=0,0,IF(W11="","",EE11*AT11*(CU11*(1-AV11)/1000)))</f>
        <v>0</v>
      </c>
      <c r="AZ11" s="1150">
        <f t="shared" ref="AZ11:AZ74" si="67">IF(EE11=0,0,IF(EF11=0,0,IF(BC11=22,0,IF(BC11=23,0,IF(BC11=24,0,IF(BC11=44,0,IF(BC11=46,0,IF(BC11=48,0,IF(AF11&lt;2,0,IF(AND(EE11&gt;0,EF11&gt;0,CB11=3),0,IF(AND(AF11=2,AU11=3),75,VLOOKUP(W11,$DO$80:$DP$85,2,FALSE))))))))))))</f>
        <v>0</v>
      </c>
      <c r="BA11" s="56">
        <f t="shared" ref="BA11:BA72" si="68">IF(AND(AK11&gt;0.01,AF11&gt;1,EF11&gt;0.5),EF11*AK11,IF(AND(BQ11&gt;0,AK11&gt;0),AK11*EF11,0))</f>
        <v>0</v>
      </c>
      <c r="BB11" s="420">
        <f t="shared" si="4"/>
        <v>0</v>
      </c>
      <c r="BC11" s="58" t="str">
        <f t="shared" si="5"/>
        <v/>
      </c>
      <c r="BD11" s="660">
        <f t="shared" ref="BD11:BD74" si="69">IF(AND(R11=10,AT11&lt;5,AU11=2,BC11=1),40,0)</f>
        <v>0</v>
      </c>
      <c r="BE11" s="57" t="e">
        <f t="array" ref="BE11">INDEX($EB$11:$ED$1022,MATCH(F11&amp;T11,$EB$11:$EB$1007&amp;$EC$11:$EC$1007,0),3)</f>
        <v>#N/A</v>
      </c>
      <c r="BF11" s="463">
        <f t="shared" si="24"/>
        <v>0</v>
      </c>
      <c r="BG11" s="1445" t="e">
        <f t="array" ref="BG11">INDEX($DO$112:$DQ$123,MATCH(T11&amp;W11,$DO$114:$DO$125&amp;$DP$112:$DP$123,0),3)</f>
        <v>#N/A</v>
      </c>
      <c r="BH11" s="1446">
        <f t="shared" si="25"/>
        <v>0</v>
      </c>
      <c r="BI11" s="465">
        <f t="shared" si="26"/>
        <v>0</v>
      </c>
      <c r="BJ11" s="465">
        <f t="shared" si="27"/>
        <v>0</v>
      </c>
      <c r="BK11" s="466">
        <f t="shared" si="28"/>
        <v>0</v>
      </c>
      <c r="BL11" s="466">
        <f t="shared" si="29"/>
        <v>0</v>
      </c>
      <c r="BM11" s="466">
        <f t="shared" si="30"/>
        <v>0</v>
      </c>
      <c r="BN11" s="466">
        <f t="shared" si="31"/>
        <v>0</v>
      </c>
      <c r="BO11" s="463">
        <f>IF('Data Entry'!$C$74=0,0,IF(ISNA(CJ11),0,IF(AX11=0,0,IF(AND('Data Entry'!$C$74=2,AF11&gt;2,CE11&lt;1),0,IF(AND('Data Entry'!$C$74=2,AF11&gt;1,AU11=2,CJ11&gt;1),0,IF(AND(AF11=5,CT11=0.5,AU11=2,ER11&lt;100),0,IF(AND(AF11=5,CT11=0.5,AU11=3,ER11&lt;100),0,IF(AND('Data Entry'!$C$74=2,AF11=2,AU11=2,AK11&gt;0.01,CB11=2,CE11&lt;1),0,IF(AND('Data Entry'!$C$74=2,AF11=3,AU11=3,AK11&gt;0.01,CB11=3,CE11&lt;1),0,IF(AND('Data Entry'!$C$74=2,AF11=3,AU11=3,AK11&gt;0.01,CB11=3,CE11&gt;0.99),BQ11*0.08,IF(AND('Data Entry'!$C$74=2,AF11=2,AU11=2,AK11&gt;0.01,CB11=2,CE11&gt;0.99),BQ11*0.1,IF(AND(AU11=2,AK11&gt;0.01,CB11=2,CD11&gt;1),BQ11*0.1,IF(AND(AU11=3,AK11&gt;0.01,CB11=3,CD11&gt;1),BQ11*0.08,CJ11*EF11)))))))))))))</f>
        <v>0</v>
      </c>
      <c r="BP11" s="475">
        <f t="shared" si="32"/>
        <v>0</v>
      </c>
      <c r="BQ11" s="1431">
        <f>IF(AU11=1,0,IF(CH11=100,0,IF(AND(AF11=3,AU11=2),0,IF(AND(BH11=0,CT11&gt;0.4),0,IF(AND('Data Entry'!$C$74=2,AF11=1.5),0,IF(AND('Data Entry'!$C$74=2,AF11=1.6),0,IF(AND('Data Entry'!$C$74=2,AF11=4),0,IF(AND('Data Entry'!$C$74=2,AF11=5),0,IF(AND('Data Entry'!$C$74=2,AF11=2.5,CE11&lt;1),0,IF(AND('Data Entry'!$C$74=2,AF11=3,CE11&lt;1),0,IF(AND('Data Entry'!$C$74=1,AF11=2.5,CD11&lt;1),0,IF(AND('Data Entry'!$C$74=1,AF11=3,CD11&lt;1),0,IF(DX11&gt;0.01,DX11,IF(ISERROR(AX11-AY11),"",ROUND(AX11-AY11,2)))))))))))))))</f>
        <v>0</v>
      </c>
      <c r="BR11" s="146">
        <f t="shared" si="33"/>
        <v>0</v>
      </c>
      <c r="BS11" s="475">
        <f t="shared" si="34"/>
        <v>0</v>
      </c>
      <c r="BT11" s="146" t="b">
        <f t="shared" si="35"/>
        <v>0</v>
      </c>
      <c r="BU11" s="463">
        <f>IF(ISNA(AT11),0,IF(AND('Data Entry'!$C$74=2,BC11=27),0,IF(AND('Data Entry'!$C$74=2,BC11=28),0,IF(AND(BC11=27,BT11=27,CM11&gt;0.1),CM11*0.15,IF(AND(BC11=28,BT11=28,CM11&gt;0.1),CM11*0.12,0)))))</f>
        <v>0</v>
      </c>
      <c r="BV11" s="463">
        <f t="shared" si="36"/>
        <v>0</v>
      </c>
      <c r="BW11" s="463">
        <f t="shared" si="37"/>
        <v>0</v>
      </c>
      <c r="BX11" s="463">
        <f t="shared" si="38"/>
        <v>0</v>
      </c>
      <c r="BY11" s="463">
        <f t="shared" si="39"/>
        <v>0</v>
      </c>
      <c r="BZ11" s="463">
        <f t="shared" si="40"/>
        <v>0</v>
      </c>
      <c r="CA11" s="57">
        <f t="shared" ref="CA11:CA74" si="70">IF(AND(BH11=48,AU11=3,CM11&gt;0.01),SUM(BQ11+CM11)*0.23,IF(AND(BH11=48,AU11=2,CM11&gt;0.01),SUM(BQ11+CM11)*0.23,IF(AND(BH11=49,CM11&gt;0.01),SUM(BQ11+CM11)*0.21,IF(AND(BH11=24,AU11=2,CM11&gt;0.01),SUM(BQ11+CM11)*0.31,IF(AND(BH11=39,CM11&gt;0.01),SUM(BQ11+CM11)*0.29,IF(AND(BH11=29,CM11&gt;0.01),SUM(BQ11+CM11)*0.29,IF(AND(BH11=24,AU11=3,CM11&gt;0.01),SUM(BQ11+CM11)*0.31,0)))))))</f>
        <v>0</v>
      </c>
      <c r="CB11" s="56">
        <f t="shared" si="41"/>
        <v>1</v>
      </c>
      <c r="CC11" s="756">
        <f>IF(EE11=0,0,IF(EF11=0,0,IF(EE11&gt;AA11,0,IF(AND(AZ11&gt;AW11,AW11&gt;0),0,IF(CU11=0,0,Summary!AC314)))))</f>
        <v>0</v>
      </c>
      <c r="CD11" s="756">
        <f>IF(EE11=0,0,IF(EF11=0,0,IF(EE11&gt;AA11,0,IF(AND(AZ11&gt;AW11,AW11&gt;0),0,IF(CU11=0,0,Summary!AD314)))))</f>
        <v>0</v>
      </c>
      <c r="CE11" s="756">
        <f>IF(EF11=0,0,IF(EE11&gt;AA11,0,IF(CC11=0,0,IF(AND(AZ11&gt;AW11,AW11&gt;0),0,IF(CU11=0,0,Summary!AE314)))))</f>
        <v>0</v>
      </c>
      <c r="CF11" s="475">
        <f t="shared" si="42"/>
        <v>0</v>
      </c>
      <c r="CG11" s="476">
        <f t="shared" si="6"/>
        <v>0</v>
      </c>
      <c r="CH11" s="487">
        <f t="shared" si="43"/>
        <v>0</v>
      </c>
      <c r="CI11" s="756">
        <f t="shared" si="44"/>
        <v>0</v>
      </c>
      <c r="CJ11" s="487">
        <f>IF(CT11&gt;0.4,0,IF(AND(AU11=2,CH11=0,CT11=0.5,ER11=100),35,IF(AND(AU11=3,BB11&gt;75,CH11=0,CT11=0.5,ER11=100),25,IF(CB11&gt;1,0,IF(EF11&gt;EE11,0,IF(AND(AF11&gt;1,CH11=100),0,IF(AND(AF11=1,AY11=0),0,IF(AND(EF11&lt;=EE11,AW11&gt;=AZ11,'Data Entry'!$C$74=1,AU11=2),VLOOKUP(W11,$DO$96:$DP$102,2,FALSE),IF(AND(EF11&lt;=EE11,AW11&gt;=AZ11,AU11=3,'Data Entry'!$C$74=1),VLOOKUP(W11,$DO$127:$DP$134,2,FALSE))))))))))</f>
        <v>0</v>
      </c>
      <c r="CK11" s="716">
        <f t="shared" si="45"/>
        <v>0</v>
      </c>
      <c r="CL11" s="57">
        <f t="shared" si="46"/>
        <v>0</v>
      </c>
      <c r="CM11" s="475">
        <f>IF(AA11&lt;1,0,ROUND(AQ11-AR11,2))</f>
        <v>0</v>
      </c>
      <c r="CN11" s="660">
        <f>IF(CM11&lt;0.1,0,IF(ISNA(AT11),0,IF(CL11+BC11=1,0,IF(BV11&gt;0.01,0,IF(CL11&gt;0.01,0,IF(CF11=1,0,IF(BC11=0.5,0,IF(AND(CI11=1,AU11=3),0,IF(AND(CI11=5,CL11=0),0,IF(AND(R11=12,BR11=50),0,IF(CK11&gt;0.01,0,IF(AND(AJ11&gt;0.01,AU11=2,BC11=15),CM11*0.1,IF(AND(AJ11&gt;0.01,AU11=3,BC11=15),CM11*0.08,IF(AND(R11=12,BC11=3,AF11&lt;=0),0,IF(AND(BC11=15,BI11=0),0,IF(AND(BC11=15,BJ11=0),0,IF(AND(R11=20,CU11=0),0,IF($X$4=0,0,IF(AND(BC11=250,CL11=0),0,IF(AA11&lt;1,0,IF(AND(ISNUMBER(SEARCH("Area",T11)),AU11=3),0,IF(AND(AQ11&gt;0.01,AR11=0,BK11=0,BL11=0,BM11=0,BN11=0),0,IF(AND(AU11=3,CI11=7,CT11&gt;0.5),0,IF(AND(BC11=44,AU11=3,BY11=0),0,IF(AND(BC11=27,'Data Entry'!$C$74=2),0,IF(AND(BC11=28,'Data Entry'!$C$74=2),0,IF(AND(BY11+BZ11+CA11&gt;0.01,BV11=0,EQ11+ER11+ES11+ET11&lt;100),0,IF(AU11=3,CM11*0.08,IF(AU11=2,CM11*0.1,0)))))))))))))))))))))))))))))</f>
        <v>0</v>
      </c>
      <c r="CO11" s="660">
        <f t="shared" si="47"/>
        <v>0</v>
      </c>
      <c r="CP11" s="475" t="str">
        <f t="shared" si="48"/>
        <v/>
      </c>
      <c r="CQ11" s="161" t="str">
        <f>IF(AH11=0,0,IF(AU11=5,0,Summary!AC14))</f>
        <v/>
      </c>
      <c r="CR11" s="161" t="str">
        <f>IF(BF11=0.5,0,IF(AU11=5,0,Summary!AD14))</f>
        <v/>
      </c>
      <c r="CS11" s="161" t="str">
        <f>IF(AU11=5,0,Summary!AE14)</f>
        <v/>
      </c>
      <c r="CT11" s="161">
        <f t="shared" si="49"/>
        <v>0</v>
      </c>
      <c r="CU11" s="475" t="str">
        <f t="shared" si="7"/>
        <v/>
      </c>
      <c r="CV11" s="307">
        <f>IF('Data Entry'!$C$74=0,0,IF(AA11&lt;1,0,IF(ISERROR(CU11),0,IF(CF11=1,0,IF(AND(R11=12,BR11=50),0,IF(CL11+BO11+BV11+DC11=0,0,IF(BC11=37,0,IF(AND(BC11=40,AJ11=0),0,IF(AND(BC11=37,BO11&gt;0.01,BQ11&gt;0.01),ROUND(BQ11,0),IF(CM11&lt;0,0,ROUND(CM11,0)))))))))))</f>
        <v>0</v>
      </c>
      <c r="CW11" s="700">
        <f t="shared" si="50"/>
        <v>0</v>
      </c>
      <c r="CX11" s="477">
        <f>IF('Data Entry'!$C$74=0,0,IF(CV11&lt;0.01,0,IF(BF11=0.5,0,IF(CF11=1,0,IF(ISNUMBER(SEARCH("false",CL11)),0,IF(AZ11=500,0,CL11))))))</f>
        <v>0</v>
      </c>
      <c r="CY11" s="147" t="e">
        <f t="shared" si="51"/>
        <v>#VALUE!</v>
      </c>
      <c r="CZ11" s="147" t="b">
        <f>IF(CN11+CL11=0,FALSE,IF(AH11=0,0,IF(AND('Data Entry'!$C$74=1,CR11&gt;=1),TRUE,IF(AND('Data Entry'!$C$74=2,CS11&gt;=1),TRUE,FALSE))))</f>
        <v>0</v>
      </c>
      <c r="DA11" s="1751">
        <f>IF('Data Entry'!$C$74=0,0,IFERROR(ROUND(IF(T11="","",IF($X$4=0,0,IF(CF11=1,0,IF(BQ11+CV11=0,0,IF(CF11=1,0,IF(CY11&gt;0.01,CY11,IF(CL11&gt;0.01,CL11,IF(CY11&gt;0.01,CY11,IF(BC11=37,BO11,IF(CZ11=FALSE,0,IF(CZ11=TRUE,DC11+DF11,0))))))))))),2),""))</f>
        <v>0</v>
      </c>
      <c r="DB11" s="1752"/>
      <c r="DC11" s="474">
        <f>IF(CN11&lt;0.01,0,IF(AND(BR11=3,CN11&gt;0.01,CT11&gt;0.6,ER11+ES11+ET11&lt;100),0,IF(AND('Data Entry'!$C$74=1,CN11&gt;0.01,CR11&gt;0.99),MIN(CN11:CO11),IF(AND('Data Entry'!$C$74=2,CN11&gt;0.01,CS11&gt;0.99),MIN(CN11:CO11),0))))</f>
        <v>0</v>
      </c>
      <c r="DD11" s="478">
        <f>IF(CF11=1,"Selection does not match",IF(T11=0,0,IF(AND('Data Entry'!$C$74=0,CP11&gt;1),"Select Oregon or Idaho on Data Entry Tab",IF(AND(AU11=1,AA11&gt;0.9),"Missing Interior or Exterior Selection",IF($X$4=0,"Enter Total Project Cost",IF(AQ11&lt;AR11,"Insufficient kWh savings – no incentive",IF(AND(SUM(CL11+CK11+BV11)&gt;0.01,'Data Entry'!$C$74=2,CJ11&gt;1,BO11=0),"Submit Control as Non-Standard",IF(AND('Data Entry'!$C$74=2,BR11=37,CJ11&gt;1,BO11=0),"Submit Control as Non-Standard",IF(SUM(CL11+CK11+BV11)&gt;0.01,"Standard Incentive",IF(AND('Data Entry'!$C$74=2,CP11=7,CN11=0),"Submit as Non-Standard",IF(DC11&gt;0.9,"Non-Standard Incentive",IF(AND(BY11+BZ11+CA11&gt;0.01,BV11=0,EQ11=0,ER11=0,ES11=0,ET11=0),"Scroll Right &amp; Select Control Strategies",IF(AND(CN11&gt;0.01,CO11=0),"Enter Unit Installed Cost",IF(ISNUMBER(SEARCH("Lighting Controls Only",F11)),"Lighting Controls Only",IF(CL11+DC11=0,"Does not meet incentive criteria",0)))))))))))))))</f>
        <v>0</v>
      </c>
      <c r="DE11" s="337">
        <f t="shared" si="52"/>
        <v>0</v>
      </c>
      <c r="DF11" s="609">
        <f t="shared" si="53"/>
        <v>0</v>
      </c>
      <c r="DG11" s="336" t="str">
        <f t="shared" si="54"/>
        <v/>
      </c>
      <c r="DH11" s="338">
        <f t="shared" si="55"/>
        <v>1</v>
      </c>
      <c r="DI11" s="336" t="e">
        <f t="shared" si="8"/>
        <v>#VALUE!</v>
      </c>
      <c r="DJ11" s="338">
        <f t="shared" si="9"/>
        <v>0</v>
      </c>
      <c r="DK11" s="320" t="s">
        <v>73</v>
      </c>
      <c r="DL11" s="323" t="s">
        <v>450</v>
      </c>
      <c r="DM11" s="320" t="s">
        <v>73</v>
      </c>
      <c r="DN11" s="413"/>
      <c r="DO11" s="1433" t="s">
        <v>1746</v>
      </c>
      <c r="DP11" s="344"/>
      <c r="DQ11" s="1433" t="s">
        <v>1752</v>
      </c>
      <c r="DR11" s="1331"/>
      <c r="DS11" s="1195">
        <f t="shared" si="56"/>
        <v>0</v>
      </c>
      <c r="DT11" s="344" t="b">
        <f t="shared" si="57"/>
        <v>1</v>
      </c>
      <c r="DU11" s="1314" t="str">
        <f t="array" ref="DU11">IF(OR(COUNTIF(F11,"*"&amp;$DK$9:$DK$178&amp;"*")), "Yes", "")</f>
        <v/>
      </c>
      <c r="DV11" s="1314">
        <f t="shared" si="58"/>
        <v>0</v>
      </c>
      <c r="DW11" s="1480">
        <f t="shared" si="59"/>
        <v>0</v>
      </c>
      <c r="DX11" s="1498">
        <f t="shared" ref="DX11:DX74" si="71">IF(BC11=37,0,IF(CT11&gt;0.4,AA11*AT11*(CU11*(1-AV11)/1000),0))</f>
        <v>0</v>
      </c>
      <c r="DY11" s="1484">
        <f t="shared" si="60"/>
        <v>0</v>
      </c>
      <c r="DZ11" s="1481" t="str">
        <f>Lists!A63</f>
        <v xml:space="preserve">D:  </v>
      </c>
      <c r="EA11" s="881">
        <f>'Product Type'!E13</f>
        <v>0</v>
      </c>
      <c r="EB11" s="1499" t="s">
        <v>1287</v>
      </c>
      <c r="EC11" s="727" t="s">
        <v>1569</v>
      </c>
      <c r="ED11" s="728">
        <v>0.5</v>
      </c>
      <c r="EE11" s="1215"/>
      <c r="EF11" s="1215"/>
      <c r="EG11" s="1184" t="str">
        <f t="shared" si="61"/>
        <v/>
      </c>
      <c r="EH11" s="1198" t="s">
        <v>1745</v>
      </c>
      <c r="EI11" s="1199">
        <v>12</v>
      </c>
      <c r="EJ11" s="1185">
        <f t="shared" si="10"/>
        <v>0</v>
      </c>
      <c r="EK11" s="1211"/>
      <c r="EL11" s="1180">
        <f t="shared" ref="EL11:EL72" si="72">IF(CV11&lt;0,0,IF(DA11=0,0,IF(DD11="Does not meet incentive criteria",0,AQ11)))</f>
        <v>0</v>
      </c>
      <c r="EM11" s="206"/>
      <c r="EN11" s="1038"/>
      <c r="EO11" s="1038"/>
      <c r="EP11" s="1038"/>
      <c r="EQ11" s="1038">
        <f t="shared" si="62"/>
        <v>0</v>
      </c>
      <c r="ER11" s="1041">
        <f>IF(AND(AF11=5,AU11=2,EM11="Yes",EN11="Yes"),100,IF(AND(AF11=5,AU11=2,EM11="Yes",EO11="Yes"),100,IF(AND(AF11=5,AU11=2,EM11="Yes",EP11="Yes"),100,IF(AND(AF11=5,AU11=2,EM11="Yes",EQ11="Yes"),100,IF(AND(AF11=5,AU11=2,EN11="Yes",EP11="Yes"),100,IF(AND(BR11=3,AU11=2,CT11=1,EM11="Yes",EN11="Yes"),100,IF(AND(BR11=3,AU11=2,CT11=1,EM11="Yes",EO11="Yes"),100,IF(AND(BR11=3,AU11=2,CT11=1,EM11="Yes",EP11="Yes"),100,IF(AND(BR11=3,AU11=2,CT11=1,EM11="Yes",EQ11="Yes"),100,IF(AND(BR11=3,AU11=2,CT11=1,EN11="Yes",EP11="Yes"),100,IF(AND(AU11=2,BZ11&gt;0.01,EM11="Yes",EN11="Yes"),100,IF(AND(AU11=2,BZ11&gt;0.01,EM11="Yes",EO11="Yes"),100,IF(AND(AU11=2,BZ11&gt;0.01,EM11="Yes",EP11="Yes"),100,IF(AND(AU11=2,BZ11&gt;0.01,EM11="Yes",EQ11="Yes"),100,IF(AND(AU11=2,BZ11&gt;0.01,EN11="Yes",EP11="Yes"),100,IF(AND(AU11=2,BZ11&gt;0.01,EN11="Yes",EQ11="Yes"),100,IF(AND(AU11=3,BZ11&gt;0.01,EM11="Yes",EP11="Yes"),100,IF(AND(AF11=5,AU11=3,EM11="Yes",EP11="Yes"),100,IF(AND(AF11=5,AU11=2,CT11=0.5,EM11="Yes",EN11="Yes"),100,0)))))))))))))))))))</f>
        <v>0</v>
      </c>
      <c r="ES11" s="1042">
        <f>IF(AND(AU11=2,CA11&gt;0.01,CT11=3,EM11="Yes",EN11="Yes"),100,IF(AND(AU11=2,CA11&gt;0.01,CT11=3,EM11="Yes",EO11="Yes"),100,IF(AND(AU11=2,CA11&gt;0.01,CT11=3,EM11="Yes",EP11="Yes"),100,IF(AND(AU11=2,CA11&gt;0.01,CT11=3,EN11="Yes",EP11="Yes"),100,IF(AND(AU11=3,CA11&gt;0.01,CT11=3,EM11="Yes",EO11="Yes"),100,IF(AND(AU11=3,CA11&gt;0.01,CT11=3,EM11="Yes",EP11="Yes"),100,0))))))</f>
        <v>0</v>
      </c>
      <c r="ET11" s="1042">
        <f t="shared" ref="ET11:ET74" si="73">IF(AND(AU11=2,CA11&gt;0.01,CT11=2,EM11="Yes",EN11="Yes",EP11="Yes"),100,IF(AND(AU11=2,CA11&gt;0.01,CT11=2,EM11="Yes",EO11="Yes",EP11="Yes"),100,IF(AND(AU11=2,CA11&gt;0.01,CT11=2,EM11="Yes",EP11="Yes"),100,IF(AND(AU11=2,CA11&gt;0.01,CT11=2,EN11="Yes",EP11="Yes"),100,IF(AND(AU11=2,CA11&gt;0.01,CT11=2,EM11="Yes",EN11="Yes",EP11="Yes"),100,IF(AND(AU11=2,CA11&gt;0.01,CT11=2,EM11="Yes",EO11="Yes"),100,IF(AND(AU11=3,CA11&gt;0.01,CT11=2,EM11="Yes",EP11="Yes"),100,0)))))))</f>
        <v>0</v>
      </c>
      <c r="EU11" s="1021">
        <f t="shared" ref="EU11:EU74" si="74">IF(AND(BY11+BZ11+CA11&gt;0.01,EQ11+ER11+ES11+ET11&lt;100),"Does not meet program criteria",IF(AND(BB11&lt;AZ11,BO11=0),"Does not meet minimum connected load",0))</f>
        <v>0</v>
      </c>
      <c r="EV11" s="368"/>
      <c r="EW11" s="368"/>
      <c r="EX11" s="369"/>
      <c r="EY11" s="370"/>
      <c r="EZ11" s="370"/>
      <c r="FA11" s="371"/>
      <c r="FB11" s="372"/>
    </row>
    <row r="12" spans="1:158" s="1" customFormat="1" ht="34.5" customHeight="1">
      <c r="A12" s="82">
        <v>4</v>
      </c>
      <c r="B12" s="1785"/>
      <c r="C12" s="1726"/>
      <c r="D12" s="1726"/>
      <c r="E12" s="1727"/>
      <c r="F12" s="1732"/>
      <c r="G12" s="1733"/>
      <c r="H12" s="1733"/>
      <c r="I12" s="1734"/>
      <c r="J12" s="1341"/>
      <c r="K12" s="1728"/>
      <c r="L12" s="1728"/>
      <c r="M12" s="1342"/>
      <c r="N12" s="1583"/>
      <c r="O12" s="208" t="str">
        <f t="shared" si="11"/>
        <v/>
      </c>
      <c r="P12" s="1344">
        <v>0</v>
      </c>
      <c r="Q12" s="39" t="str">
        <f t="shared" si="0"/>
        <v/>
      </c>
      <c r="R12" s="39">
        <f t="shared" si="12"/>
        <v>0</v>
      </c>
      <c r="S12" s="234">
        <f t="shared" si="13"/>
        <v>0</v>
      </c>
      <c r="T12" s="1755"/>
      <c r="U12" s="1755"/>
      <c r="V12" s="1755"/>
      <c r="W12" s="1345"/>
      <c r="X12" s="1741"/>
      <c r="Y12" s="1742"/>
      <c r="Z12" s="1346"/>
      <c r="AA12" s="1347"/>
      <c r="AB12" s="1141"/>
      <c r="AC12" s="1103" t="str">
        <f>IF(T12="","",VLOOKUP(Z12,Lists!$A$60:$B$111,2,FALSE))</f>
        <v/>
      </c>
      <c r="AD12" s="130" t="str">
        <f t="shared" si="14"/>
        <v/>
      </c>
      <c r="AE12" s="130" t="e">
        <f t="shared" si="15"/>
        <v>#VALUE!</v>
      </c>
      <c r="AF12" s="130">
        <f t="shared" si="16"/>
        <v>1</v>
      </c>
      <c r="AG12" s="234">
        <f t="shared" si="1"/>
        <v>0</v>
      </c>
      <c r="AH12" s="1753" t="str">
        <f>IF(T12="","",(IF(ISNUMBER(SEARCH("exit",T12)),8760,IF(AND(M12="Dusk to Dawn",'Proposed Lighting'!AU12=3),4059,IF(AND(AU12=3,M12="1"),0,IF(AND(AU12=3,M12="1-C"),0,IF(AND(AU12=3,M12="2"),0,IF(AND(AU12=3,M12="2-C"),0,IF(AND(AU12=3,M12="3"),0,IF(AND(AU12=3,M12="3-C"),0,IF(AND(AU12=2,M12="Dusk to Dawn"),0,IF(AND(AU12=2,M12="Dusk to Dawn-C"),0,IF(AND(AU12=2,M12="Dusk to Dawn"),0,IF(AND(AU12=2,M12="E"),0,IF(AND(AU12=2,M12="E-C"),0,EG12)))))))))))))))</f>
        <v/>
      </c>
      <c r="AI12" s="1754"/>
      <c r="AJ12" s="1348"/>
      <c r="AK12" s="1136"/>
      <c r="AL12" s="1748">
        <f t="shared" si="64"/>
        <v>0</v>
      </c>
      <c r="AM12" s="1749"/>
      <c r="AN12" s="1750"/>
      <c r="AO12" s="476">
        <f t="shared" si="2"/>
        <v>0</v>
      </c>
      <c r="AP12" s="476">
        <f t="shared" si="17"/>
        <v>0</v>
      </c>
      <c r="AQ12" s="475">
        <f t="shared" si="3"/>
        <v>0</v>
      </c>
      <c r="AR12" s="475">
        <f t="shared" si="18"/>
        <v>0</v>
      </c>
      <c r="AS12" s="743" t="str">
        <f t="shared" si="19"/>
        <v/>
      </c>
      <c r="AT12" s="736" t="str">
        <f t="shared" si="20"/>
        <v/>
      </c>
      <c r="AU12" s="56">
        <f t="shared" si="21"/>
        <v>1</v>
      </c>
      <c r="AV12" s="476">
        <f t="shared" si="22"/>
        <v>0</v>
      </c>
      <c r="AW12" s="56">
        <f t="shared" si="23"/>
        <v>0</v>
      </c>
      <c r="AX12" s="475">
        <f t="shared" si="65"/>
        <v>0</v>
      </c>
      <c r="AY12" s="1169">
        <f t="shared" si="66"/>
        <v>0</v>
      </c>
      <c r="AZ12" s="1150">
        <f t="shared" si="67"/>
        <v>0</v>
      </c>
      <c r="BA12" s="56">
        <f t="shared" si="68"/>
        <v>0</v>
      </c>
      <c r="BB12" s="420">
        <f t="shared" si="4"/>
        <v>0</v>
      </c>
      <c r="BC12" s="58" t="str">
        <f t="shared" si="5"/>
        <v/>
      </c>
      <c r="BD12" s="660">
        <f t="shared" si="69"/>
        <v>0</v>
      </c>
      <c r="BE12" s="57" t="e">
        <f t="array" ref="BE12">INDEX($EB$11:$ED$1022,MATCH(F12&amp;T12,$EB$11:$EB$1007&amp;$EC$11:$EC$1007,0),3)</f>
        <v>#N/A</v>
      </c>
      <c r="BF12" s="463">
        <f t="shared" si="24"/>
        <v>0</v>
      </c>
      <c r="BG12" s="1445" t="e">
        <f t="array" ref="BG12">INDEX($DO$112:$DQ$123,MATCH(T12&amp;W12,$DO$114:$DO$125&amp;$DP$112:$DP$123,0),3)</f>
        <v>#N/A</v>
      </c>
      <c r="BH12" s="1446">
        <f t="shared" si="25"/>
        <v>0</v>
      </c>
      <c r="BI12" s="465">
        <f t="shared" si="26"/>
        <v>0</v>
      </c>
      <c r="BJ12" s="465">
        <f t="shared" si="27"/>
        <v>0</v>
      </c>
      <c r="BK12" s="466">
        <f t="shared" si="28"/>
        <v>0</v>
      </c>
      <c r="BL12" s="466">
        <f t="shared" si="29"/>
        <v>0</v>
      </c>
      <c r="BM12" s="466">
        <f t="shared" si="30"/>
        <v>0</v>
      </c>
      <c r="BN12" s="466">
        <f t="shared" si="31"/>
        <v>0</v>
      </c>
      <c r="BO12" s="463">
        <f>IF('Data Entry'!$C$74=0,0,IF(ISNA(CJ12),0,IF(AX12=0,0,IF(AND('Data Entry'!$C$74=2,AF12&gt;2,CE12&lt;1),0,IF(AND('Data Entry'!$C$74=2,AF12&gt;1,AU12=2,CJ12&gt;1),0,IF(AND(AF12=5,CT12=0.5,AU12=2,ER12&lt;100),0,IF(AND(AF12=5,CT12=0.5,AU12=3,ER12&lt;100),0,IF(AND('Data Entry'!$C$74=2,AF12=2,AU12=2,AK12&gt;0.01,CB12=2,CE12&lt;1),0,IF(AND('Data Entry'!$C$74=2,AF12=3,AU12=3,AK12&gt;0.01,CB12=3,CE12&lt;1),0,IF(AND('Data Entry'!$C$74=2,AF12=3,AU12=3,AK12&gt;0.01,CB12=3,CE12&gt;0.99),BQ12*0.08,IF(AND('Data Entry'!$C$74=2,AF12=2,AU12=2,AK12&gt;0.01,CB12=2,CE12&gt;0.99),BQ12*0.1,IF(AND(AU12=2,AK12&gt;0.01,CB12=2,CD12&gt;1),BQ12*0.1,IF(AND(AU12=3,AK12&gt;0.01,CB12=3,CD12&gt;1),BQ12*0.08,CJ12*EF12)))))))))))))</f>
        <v>0</v>
      </c>
      <c r="BP12" s="475">
        <f t="shared" si="32"/>
        <v>0</v>
      </c>
      <c r="BQ12" s="1431">
        <f>IF(AU12=1,0,IF(CH12=100,0,IF(AND(AF12=3,AU12=2),0,IF(AND(BH12=0,CT12&gt;0.4),0,IF(AND('Data Entry'!$C$74=2,AF12=1.5),0,IF(AND('Data Entry'!$C$74=2,AF12=1.6),0,IF(AND('Data Entry'!$C$74=2,AF12=4),0,IF(AND('Data Entry'!$C$74=2,AF12=5),0,IF(AND('Data Entry'!$C$74=2,AF12=2.5,CE12&lt;1),0,IF(AND('Data Entry'!$C$74=2,AF12=3,CE12&lt;1),0,IF(AND('Data Entry'!$C$74=1,AF12=2.5,CD12&lt;1),0,IF(AND('Data Entry'!$C$74=1,AF12=3,CD12&lt;1),0,IF(DX12&gt;0.01,DX12,IF(ISERROR(AX12-AY12),"",ROUND(AX12-AY12,2)))))))))))))))</f>
        <v>0</v>
      </c>
      <c r="BR12" s="146">
        <f t="shared" si="33"/>
        <v>0</v>
      </c>
      <c r="BS12" s="475">
        <f t="shared" si="34"/>
        <v>0</v>
      </c>
      <c r="BT12" s="146" t="b">
        <f t="shared" si="35"/>
        <v>0</v>
      </c>
      <c r="BU12" s="463">
        <f>IF(ISNA(AT12),0,IF(AND('Data Entry'!$C$74=2,BC12=27),0,IF(AND('Data Entry'!$C$74=2,BC12=28),0,IF(AND(BC12=27,BT12=27,CM12&gt;0.1),CM12*0.15,IF(AND(BC12=28,BT12=28,CM12&gt;0.1),CM12*0.12,0)))))</f>
        <v>0</v>
      </c>
      <c r="BV12" s="463">
        <f t="shared" si="36"/>
        <v>0</v>
      </c>
      <c r="BW12" s="463">
        <f t="shared" si="37"/>
        <v>0</v>
      </c>
      <c r="BX12" s="463">
        <f t="shared" si="38"/>
        <v>0</v>
      </c>
      <c r="BY12" s="463">
        <f t="shared" si="39"/>
        <v>0</v>
      </c>
      <c r="BZ12" s="463">
        <f t="shared" si="40"/>
        <v>0</v>
      </c>
      <c r="CA12" s="57">
        <f t="shared" si="70"/>
        <v>0</v>
      </c>
      <c r="CB12" s="56">
        <f t="shared" si="41"/>
        <v>1</v>
      </c>
      <c r="CC12" s="756">
        <f>IF(EE12=0,0,IF(EF12=0,0,IF(EE12&gt;AA12,0,IF(AND(AZ12&gt;AW12,AW12&gt;0),0,IF(CU12=0,0,Summary!AC315)))))</f>
        <v>0</v>
      </c>
      <c r="CD12" s="756">
        <f>IF(EE12=0,0,IF(EF12=0,0,IF(EE12&gt;AA12,0,IF(AND(AZ12&gt;AW12,AW12&gt;0),0,IF(CU12=0,0,Summary!AD315)))))</f>
        <v>0</v>
      </c>
      <c r="CE12" s="756">
        <f>IF(EF12=0,0,IF(EE12&gt;AA12,0,IF(CC12=0,0,IF(AND(AZ12&gt;AW12,AW12&gt;0),0,IF(CU12=0,0,Summary!AE315)))))</f>
        <v>0</v>
      </c>
      <c r="CF12" s="475">
        <f t="shared" si="42"/>
        <v>0</v>
      </c>
      <c r="CG12" s="476">
        <f t="shared" si="6"/>
        <v>0</v>
      </c>
      <c r="CH12" s="487">
        <f t="shared" si="43"/>
        <v>0</v>
      </c>
      <c r="CI12" s="756">
        <f t="shared" si="44"/>
        <v>0</v>
      </c>
      <c r="CJ12" s="487">
        <f>IF(CT12&gt;0.4,0,IF(AND(AU12=2,CH12=0,CT12=0.5,ER12=100),35,IF(AND(AU12=3,BB12&gt;75,CH12=0,CT12=0.5,ER12=100),25,IF(CB12&gt;1,0,IF(EF12&gt;EE12,0,IF(AND(AF12&gt;1,CH12=100),0,IF(AND(AF12=1,AY12=0),0,IF(AND(EF12&lt;=EE12,AW12&gt;=AZ12,'Data Entry'!$C$74=1,AU12=2),VLOOKUP(W12,$DO$96:$DP$102,2,FALSE),IF(AND(EF12&lt;=EE12,AW12&gt;=AZ12,AU12=3,'Data Entry'!$C$74=1),VLOOKUP(W12,$DO$127:$DP$134,2,FALSE))))))))))</f>
        <v>0</v>
      </c>
      <c r="CK12" s="716">
        <f t="shared" si="45"/>
        <v>0</v>
      </c>
      <c r="CL12" s="57">
        <f t="shared" si="46"/>
        <v>0</v>
      </c>
      <c r="CM12" s="475">
        <f>IF(AA12&lt;1,0,ROUND(AQ12-AR12,2))</f>
        <v>0</v>
      </c>
      <c r="CN12" s="660">
        <f>IF(CM12&lt;0.1,0,IF(ISNA(AT12),0,IF(CL12+BC12=1,0,IF(BV12&gt;0.01,0,IF(CL12&gt;0.01,0,IF(CF12=1,0,IF(BC12=0.5,0,IF(AND(CI12=1,AU12=3),0,IF(AND(CI12=5,CL12=0),0,IF(AND(R12=12,BR12=50),0,IF(CK12&gt;0.01,0,IF(AND(AJ12&gt;0.01,AU12=2,BC12=15),CM12*0.1,IF(AND(AJ12&gt;0.01,AU12=3,BC12=15),CM12*0.08,IF(AND(R12=12,BC12=3,AF12&lt;=0),0,IF(AND(BC12=15,BI12=0),0,IF(AND(BC12=15,BJ12=0),0,IF(AND(R12=20,CU12=0),0,IF($X$4=0,0,IF(AND(BC12=250,CL12=0),0,IF(AA12&lt;1,0,IF(AND(ISNUMBER(SEARCH("Area",T12)),AU12=3),0,IF(AND(AQ12&gt;0.01,AR12=0,BK12=0,BL12=0,BM12=0,BN12=0),0,IF(AND(AU12=3,CI12=7,CT12&gt;0.5),0,IF(AND(BC12=44,AU12=3,BY12=0),0,IF(AND(BC12=27,'Data Entry'!$C$74=2),0,IF(AND(BC12=28,'Data Entry'!$C$74=2),0,IF(AND(BY12+BZ12+CA12&gt;0.01,BV12=0,EQ12+ER12+ES12+ET12&lt;100),0,IF(AU12=3,CM12*0.08,IF(AU12=2,CM12*0.1,0)))))))))))))))))))))))))))))</f>
        <v>0</v>
      </c>
      <c r="CO12" s="660">
        <f t="shared" si="47"/>
        <v>0</v>
      </c>
      <c r="CP12" s="475" t="str">
        <f t="shared" si="48"/>
        <v/>
      </c>
      <c r="CQ12" s="161" t="str">
        <f>IF(AH12=0,0,IF(AU12=5,0,Summary!AC15))</f>
        <v/>
      </c>
      <c r="CR12" s="161" t="str">
        <f>IF(BF12=0.5,0,IF(AU12=5,0,Summary!AD15))</f>
        <v/>
      </c>
      <c r="CS12" s="161" t="str">
        <f>IF(AU12=5,0,Summary!AE15)</f>
        <v/>
      </c>
      <c r="CT12" s="161">
        <f t="shared" si="49"/>
        <v>0</v>
      </c>
      <c r="CU12" s="475" t="str">
        <f t="shared" si="7"/>
        <v/>
      </c>
      <c r="CV12" s="307">
        <f>IF('Data Entry'!$C$74=0,0,IF(AA12&lt;1,0,IF(ISERROR(CU12),0,IF(CF12=1,0,IF(AND(R12=12,BR12=50),0,IF(CL12+BO12+BV12+DC12=0,0,IF(BC12=37,0,IF(AND(BC12=40,AJ12=0),0,IF(AND(BC12=37,BO12&gt;0.01,BQ12&gt;0.01),ROUND(BQ12,0),IF(CM12&lt;0,0,ROUND(CM12,0)))))))))))</f>
        <v>0</v>
      </c>
      <c r="CW12" s="700">
        <f t="shared" si="50"/>
        <v>0</v>
      </c>
      <c r="CX12" s="477">
        <f>IF('Data Entry'!$C$74=0,0,IF(CV12&lt;0.01,0,IF(BF12=0.5,0,IF(CF12=1,0,IF(ISNUMBER(SEARCH("false",CL12)),0,IF(AZ12=500,0,CL12))))))</f>
        <v>0</v>
      </c>
      <c r="CY12" s="147" t="e">
        <f t="shared" si="51"/>
        <v>#VALUE!</v>
      </c>
      <c r="CZ12" s="147" t="b">
        <f>IF(CN12+CL12=0,FALSE,IF(AH12=0,0,IF(AND('Data Entry'!$C$74=1,CR12&gt;=1),TRUE,IF(AND('Data Entry'!$C$74=2,CS12&gt;=1),TRUE,FALSE))))</f>
        <v>0</v>
      </c>
      <c r="DA12" s="1751">
        <f>IF('Data Entry'!$C$74=0,0,IFERROR(ROUND(IF(T12="","",IF($X$4=0,0,IF(CF12=1,0,IF(BQ12+CV12=0,0,IF(CF12=1,0,IF(CY12&gt;0.01,CY12,IF(CL12&gt;0.01,CL12,IF(CY12&gt;0.01,CY12,IF(BC12=37,BO12,IF(CZ12=FALSE,0,IF(CZ12=TRUE,DC12+DF12,0))))))))))),2),""))</f>
        <v>0</v>
      </c>
      <c r="DB12" s="1752"/>
      <c r="DC12" s="474">
        <f>IF(CN12&lt;0.01,0,IF(AND(BR12=3,CN12&gt;0.01,CT12&gt;0.6,ER12+ES12+ET12&lt;100),0,IF(AND('Data Entry'!$C$74=1,CN12&gt;0.01,CR12&gt;0.99),MIN(CN12:CO12),IF(AND('Data Entry'!$C$74=2,CN12&gt;0.01,CS12&gt;0.99),MIN(CN12:CO12),0))))</f>
        <v>0</v>
      </c>
      <c r="DD12" s="478">
        <f>IF(CF12=1,"Selection does not match",IF(T12=0,0,IF(AND('Data Entry'!$C$74=0,CP12&gt;1),"Select Oregon or Idaho on Data Entry Tab",IF(AND(AU12=1,AA12&gt;0.9),"Missing Interior or Exterior Selection",IF($X$4=0,"Enter Total Project Cost",IF(AQ12&lt;AR12,"Insufficient kWh savings – no incentive",IF(AND(SUM(CL12+CK12+BV12)&gt;0.01,'Data Entry'!$C$74=2,CJ12&gt;1,BO12=0),"Submit Control as Non-Standard",IF(AND('Data Entry'!$C$74=2,BR12=37,CJ12&gt;1,BO12=0),"Submit Control as Non-Standard",IF(SUM(CL12+CK12+BV12)&gt;0.01,"Standard Incentive",IF(AND('Data Entry'!$C$74=2,CP12=7,CN12=0),"Submit as Non-Standard",IF(DC12&gt;0.9,"Non-Standard Incentive",IF(AND(BY12+BZ12+CA12&gt;0.01,BV12=0,EQ12=0,ER12=0,ES12=0,ET12=0),"Scroll Right &amp; Select Control Strategies",IF(AND(CN12&gt;0.01,CO12=0),"Enter Unit Installed Cost",IF(ISNUMBER(SEARCH("Lighting Controls Only",F12)),"Lighting Controls Only",IF(CL12+DC12=0,"Does not meet incentive criteria",0)))))))))))))))</f>
        <v>0</v>
      </c>
      <c r="DE12" s="337">
        <f t="shared" si="52"/>
        <v>0</v>
      </c>
      <c r="DF12" s="609">
        <f t="shared" si="53"/>
        <v>0</v>
      </c>
      <c r="DG12" s="336" t="str">
        <f t="shared" si="54"/>
        <v/>
      </c>
      <c r="DH12" s="338">
        <f t="shared" si="55"/>
        <v>1</v>
      </c>
      <c r="DI12" s="336" t="e">
        <f t="shared" si="8"/>
        <v>#VALUE!</v>
      </c>
      <c r="DJ12" s="338">
        <f t="shared" si="9"/>
        <v>0</v>
      </c>
      <c r="DK12" s="339" t="s">
        <v>1560</v>
      </c>
      <c r="DL12" s="323" t="s">
        <v>450</v>
      </c>
      <c r="DM12" s="414" t="s">
        <v>191</v>
      </c>
      <c r="DN12" s="324"/>
      <c r="DO12" s="1433" t="s">
        <v>1747</v>
      </c>
      <c r="DP12" s="344"/>
      <c r="DQ12" s="1433" t="s">
        <v>1753</v>
      </c>
      <c r="DR12" s="1331"/>
      <c r="DS12" s="1195">
        <f t="shared" si="56"/>
        <v>0</v>
      </c>
      <c r="DT12" s="344" t="b">
        <f t="shared" si="57"/>
        <v>1</v>
      </c>
      <c r="DU12" s="1314" t="str">
        <f t="array" ref="DU12">IF(OR(COUNTIF(F12,"*"&amp;$DK$9:$DK$178&amp;"*")), "Yes", "")</f>
        <v/>
      </c>
      <c r="DV12" s="1314">
        <f t="shared" si="58"/>
        <v>0</v>
      </c>
      <c r="DW12" s="1480">
        <f t="shared" si="59"/>
        <v>0</v>
      </c>
      <c r="DX12" s="1498">
        <f t="shared" si="71"/>
        <v>0</v>
      </c>
      <c r="DY12" s="1484">
        <f t="shared" si="60"/>
        <v>0</v>
      </c>
      <c r="DZ12" s="1481" t="str">
        <f>Lists!A64</f>
        <v xml:space="preserve">E:  </v>
      </c>
      <c r="EA12" s="881">
        <f>'Product Type'!E14</f>
        <v>0</v>
      </c>
      <c r="EB12" s="1499" t="s">
        <v>1288</v>
      </c>
      <c r="EC12" s="727" t="s">
        <v>1568</v>
      </c>
      <c r="ED12" s="728">
        <v>0.5</v>
      </c>
      <c r="EE12" s="1215"/>
      <c r="EF12" s="1215"/>
      <c r="EG12" s="1184" t="str">
        <f t="shared" si="61"/>
        <v/>
      </c>
      <c r="EH12" s="1198" t="s">
        <v>1746</v>
      </c>
      <c r="EI12" s="1200">
        <v>12</v>
      </c>
      <c r="EJ12" s="1185">
        <f t="shared" si="10"/>
        <v>0</v>
      </c>
      <c r="EK12" s="1211"/>
      <c r="EL12" s="1180">
        <f t="shared" si="72"/>
        <v>0</v>
      </c>
      <c r="EM12" s="206"/>
      <c r="EN12" s="1038"/>
      <c r="EO12" s="1038"/>
      <c r="EP12" s="1038"/>
      <c r="EQ12" s="1038">
        <f t="shared" si="62"/>
        <v>0</v>
      </c>
      <c r="ER12" s="1041">
        <f t="shared" ref="ER12:ER73" si="75">IF(AND(AF12=5,AU12=2,EM12="Yes",EN12="Yes"),100,IF(AND(AF12=5,AU12=2,EM12="Yes",EO12="Yes"),100,IF(AND(AF12=5,AU12=2,EM12="Yes",EP12="Yes"),100,IF(AND(AF12=5,AU12=2,EM12="Yes",EQ12="Yes"),100,IF(AND(AF12=5,AU12=2,EN12="Yes",EP12="Yes"),100,IF(AND(BR12=3,AU12=2,CT12=1,EM12="Yes",EN12="Yes"),100,IF(AND(BR12=3,AU12=2,CT12=1,EM12="Yes",EO12="Yes"),100,IF(AND(BR12=3,AU12=2,CT12=1,EM12="Yes",EP12="Yes"),100,IF(AND(BR12=3,AU12=2,CT12=1,EM12="Yes",EQ12="Yes"),100,IF(AND(BR12=3,AU12=2,CT12=1,EN12="Yes",EP12="Yes"),100,IF(AND(AU12=2,BZ12&gt;0.01,EM12="Yes",EN12="Yes"),100,IF(AND(AU12=2,BZ12&gt;0.01,EM12="Yes",EO12="Yes"),100,IF(AND(AU12=2,BZ12&gt;0.01,EM12="Yes",EP12="Yes"),100,IF(AND(AU12=2,BZ12&gt;0.01,EM12="Yes",EQ12="Yes"),100,IF(AND(AU12=2,BZ12&gt;0.01,EN12="Yes",EP12="Yes"),100,IF(AND(AU12=2,BZ12&gt;0.01,EN12="Yes",EQ12="Yes"),100,IF(AND(AU12=3,BZ12&gt;0.01,EM12="Yes",EP12="Yes"),100,IF(AND(AF12=5,AU12=3,EM12="Yes",EP12="Yes"),100,IF(AND(AF12=5,AU12=2,CT12=0.5,EM12="Yes",EN12="Yes"),100,0)))))))))))))))))))</f>
        <v>0</v>
      </c>
      <c r="ES12" s="1042">
        <f t="shared" si="63"/>
        <v>0</v>
      </c>
      <c r="ET12" s="1042">
        <f t="shared" si="73"/>
        <v>0</v>
      </c>
      <c r="EU12" s="1021">
        <f t="shared" si="74"/>
        <v>0</v>
      </c>
      <c r="EV12" s="368"/>
      <c r="EW12" s="368"/>
      <c r="EX12" s="369"/>
      <c r="EY12" s="370"/>
      <c r="EZ12" s="370"/>
      <c r="FA12" s="371"/>
      <c r="FB12" s="372"/>
    </row>
    <row r="13" spans="1:158" s="1" customFormat="1" ht="34.5" customHeight="1">
      <c r="A13" s="82">
        <v>5</v>
      </c>
      <c r="B13" s="1785"/>
      <c r="C13" s="1726"/>
      <c r="D13" s="1726"/>
      <c r="E13" s="1727"/>
      <c r="F13" s="1732"/>
      <c r="G13" s="1733"/>
      <c r="H13" s="1733"/>
      <c r="I13" s="1734"/>
      <c r="J13" s="1341"/>
      <c r="K13" s="1728"/>
      <c r="L13" s="1728"/>
      <c r="M13" s="1342"/>
      <c r="N13" s="1583"/>
      <c r="O13" s="208" t="str">
        <f>IF(F13="","",VLOOKUP(F13,$DK$5:$DL$202,2,FALSE))</f>
        <v/>
      </c>
      <c r="P13" s="1344">
        <v>0</v>
      </c>
      <c r="Q13" s="39" t="str">
        <f t="shared" ref="Q13" si="76">IF(F13="","",VLOOKUP(F13,$DM$9:$DN$177,2,FALSE))</f>
        <v/>
      </c>
      <c r="R13" s="39">
        <f>IF(F13="Other (Provide Description)",1,IF(ISNUMBER(SEARCH("interior",T13)),2,(IF(ISNUMBER(SEARCH("exterior",T13)),3,IF(ISNUMBER(SEARCH("Case",F13)),20,IF(ISNUMBER(SEARCH("Relamp",F13)),250,IF(ISNUMBER(SEARCH("T12",F13)),11,IF(ISNUMBER(SEARCH("T8",F13)),12,IF(ISNUMBER(SEARCH("T5",F13)),12,IF(ISNUMBER(SEARCH("exit",F13)),10,0))))))))))</f>
        <v>0</v>
      </c>
      <c r="S13" s="234">
        <f>IF(ISERROR(AO13*AH13),0,AQ13)</f>
        <v>0</v>
      </c>
      <c r="T13" s="1755"/>
      <c r="U13" s="1755"/>
      <c r="V13" s="1755"/>
      <c r="W13" s="1345"/>
      <c r="X13" s="1786"/>
      <c r="Y13" s="1742"/>
      <c r="Z13" s="1346"/>
      <c r="AA13" s="1347"/>
      <c r="AB13" s="1141"/>
      <c r="AC13" s="1103" t="str">
        <f>IF(T13="","",VLOOKUP(Z13,Lists!$A$60:$B$111,2,FALSE))</f>
        <v/>
      </c>
      <c r="AD13" s="130" t="str">
        <f t="shared" si="14"/>
        <v/>
      </c>
      <c r="AE13" s="130" t="e">
        <f t="shared" si="15"/>
        <v>#VALUE!</v>
      </c>
      <c r="AF13" s="130">
        <f t="shared" si="16"/>
        <v>1</v>
      </c>
      <c r="AG13" s="234">
        <f t="shared" si="1"/>
        <v>0</v>
      </c>
      <c r="AH13" s="1753" t="str">
        <f>IF(T13="","",(IF(ISNUMBER(SEARCH("exit",T13)),8760,IF(AND(M13="Dusk to Dawn",'Proposed Lighting'!AU13=3),4059,IF(AND(AU13=3,M13="1"),0,IF(AND(AU13=3,M13="1-C"),0,IF(AND(AU13=3,M13="2"),0,IF(AND(AU13=3,M13="2-C"),0,IF(AND(AU13=3,M13="3"),0,IF(AND(AU13=3,M13="3-C"),0,IF(AND(AU13=2,M13="Dusk to Dawn"),0,IF(AND(AU13=2,M13="Dusk to Dawn-C"),0,IF(AND(AU13=2,M13="Dusk to Dawn"),0,IF(AND(AU13=2,M13="E"),0,IF(AND(AU13=2,M13="E-C"),0,EG13)))))))))))))))</f>
        <v/>
      </c>
      <c r="AI13" s="1754"/>
      <c r="AJ13" s="1348"/>
      <c r="AK13" s="1136"/>
      <c r="AL13" s="1748">
        <f t="shared" si="64"/>
        <v>0</v>
      </c>
      <c r="AM13" s="1749"/>
      <c r="AN13" s="1750"/>
      <c r="AO13" s="476">
        <f>IF(ISNUMBER(SEARCH("controls",F13)),0,IF(ISBLANK(F13),0,IF(P13&gt;0.01,P13*N13/1000,O13*N13/1000)))</f>
        <v>0</v>
      </c>
      <c r="AP13" s="476">
        <f t="shared" si="17"/>
        <v>0</v>
      </c>
      <c r="AQ13" s="475">
        <f t="shared" si="3"/>
        <v>0</v>
      </c>
      <c r="AR13" s="475">
        <f t="shared" si="18"/>
        <v>0</v>
      </c>
      <c r="AS13" s="743" t="str">
        <f t="shared" si="19"/>
        <v/>
      </c>
      <c r="AT13" s="736" t="str">
        <f t="shared" si="20"/>
        <v/>
      </c>
      <c r="AU13" s="56">
        <f t="shared" si="21"/>
        <v>1</v>
      </c>
      <c r="AV13" s="476">
        <f t="shared" si="22"/>
        <v>0</v>
      </c>
      <c r="AW13" s="56">
        <f t="shared" si="23"/>
        <v>0</v>
      </c>
      <c r="AX13" s="475">
        <f t="shared" si="65"/>
        <v>0</v>
      </c>
      <c r="AY13" s="1169">
        <f t="shared" si="66"/>
        <v>0</v>
      </c>
      <c r="AZ13" s="1150">
        <f t="shared" si="67"/>
        <v>0</v>
      </c>
      <c r="BA13" s="56">
        <f t="shared" si="68"/>
        <v>0</v>
      </c>
      <c r="BB13" s="420">
        <f t="shared" si="4"/>
        <v>0</v>
      </c>
      <c r="BC13" s="58" t="str">
        <f t="shared" si="5"/>
        <v/>
      </c>
      <c r="BD13" s="660">
        <f t="shared" si="69"/>
        <v>0</v>
      </c>
      <c r="BE13" s="57" t="e">
        <f t="array" ref="BE13">INDEX($EB$11:$ED$1022,MATCH(F13&amp;T13,$EB$11:$EB$1007&amp;$EC$11:$EC$1007,0),3)</f>
        <v>#N/A</v>
      </c>
      <c r="BF13" s="463">
        <f t="shared" si="24"/>
        <v>0</v>
      </c>
      <c r="BG13" s="1445" t="e">
        <f t="array" ref="BG13">INDEX($DO$112:$DQ$123,MATCH(T13&amp;W13,$DO$114:$DO$125&amp;$DP$112:$DP$123,0),3)</f>
        <v>#N/A</v>
      </c>
      <c r="BH13" s="1446">
        <f t="shared" si="25"/>
        <v>0</v>
      </c>
      <c r="BI13" s="465">
        <f t="shared" si="26"/>
        <v>0</v>
      </c>
      <c r="BJ13" s="465">
        <f t="shared" si="27"/>
        <v>0</v>
      </c>
      <c r="BK13" s="466">
        <f t="shared" si="28"/>
        <v>0</v>
      </c>
      <c r="BL13" s="466">
        <f t="shared" si="29"/>
        <v>0</v>
      </c>
      <c r="BM13" s="466">
        <f t="shared" si="30"/>
        <v>0</v>
      </c>
      <c r="BN13" s="466">
        <f t="shared" si="31"/>
        <v>0</v>
      </c>
      <c r="BO13" s="463">
        <f>IF('Data Entry'!$C$74=0,0,IF(ISNA(CJ13),0,IF(AX13=0,0,IF(AND('Data Entry'!$C$74=2,AF13&gt;2,CE13&lt;1),0,IF(AND('Data Entry'!$C$74=2,AF13&gt;1,AU13=2,CJ13&gt;1),0,IF(AND(AF13=5,CT13=0.5,AU13=2,ER13&lt;100),0,IF(AND(AF13=5,CT13=0.5,AU13=3,ER13&lt;100),0,IF(AND('Data Entry'!$C$74=2,AF13=2,AU13=2,AK13&gt;0.01,CB13=2,CE13&lt;1),0,IF(AND('Data Entry'!$C$74=2,AF13=3,AU13=3,AK13&gt;0.01,CB13=3,CE13&lt;1),0,IF(AND('Data Entry'!$C$74=2,AF13=3,AU13=3,AK13&gt;0.01,CB13=3,CE13&gt;0.99),BQ13*0.08,IF(AND('Data Entry'!$C$74=2,AF13=2,AU13=2,AK13&gt;0.01,CB13=2,CE13&gt;0.99),BQ13*0.1,IF(AND(AU13=2,AK13&gt;0.01,CB13=2,CD13&gt;1),BQ13*0.1,IF(AND(AU13=3,AK13&gt;0.01,CB13=3,CD13&gt;1),BQ13*0.08,CJ13*EF13)))))))))))))</f>
        <v>0</v>
      </c>
      <c r="BP13" s="475">
        <f t="shared" si="32"/>
        <v>0</v>
      </c>
      <c r="BQ13" s="1431">
        <f>IF(AU13=1,0,IF(CH13=100,0,IF(AND(AF13=3,AU13=2),0,IF(AND(BH13=0,CT13&gt;0.4),0,IF(AND('Data Entry'!$C$74=2,AF13=1.5),0,IF(AND('Data Entry'!$C$74=2,AF13=1.6),0,IF(AND('Data Entry'!$C$74=2,AF13=4),0,IF(AND('Data Entry'!$C$74=2,AF13=5),0,IF(AND('Data Entry'!$C$74=2,AF13=2.5,CE13&lt;1),0,IF(AND('Data Entry'!$C$74=2,AF13=3,CE13&lt;1),0,IF(AND('Data Entry'!$C$74=1,AF13=2.5,CD13&lt;1),0,IF(AND('Data Entry'!$C$74=1,AF13=3,CD13&lt;1),0,IF(DX13&gt;0.01,DX13,IF(ISERROR(AX13-AY13),"",ROUND(AX13-AY13,2)))))))))))))))</f>
        <v>0</v>
      </c>
      <c r="BR13" s="146">
        <f t="shared" si="33"/>
        <v>0</v>
      </c>
      <c r="BS13" s="475">
        <f t="shared" si="34"/>
        <v>0</v>
      </c>
      <c r="BT13" s="146" t="b">
        <f t="shared" si="35"/>
        <v>0</v>
      </c>
      <c r="BU13" s="463">
        <f>IF(ISNA(AT13),0,IF(AND('Data Entry'!$C$74=2,BC13=27),0,IF(AND('Data Entry'!$C$74=2,BC13=28),0,IF(AND(BC13=27,BT13=27,CM13&gt;0.1),CM13*0.15,IF(AND(BC13=28,BT13=28,CM13&gt;0.1),CM13*0.12,0)))))</f>
        <v>0</v>
      </c>
      <c r="BV13" s="463">
        <f t="shared" si="36"/>
        <v>0</v>
      </c>
      <c r="BW13" s="463">
        <f t="shared" si="37"/>
        <v>0</v>
      </c>
      <c r="BX13" s="463">
        <f t="shared" si="38"/>
        <v>0</v>
      </c>
      <c r="BY13" s="463">
        <f t="shared" si="39"/>
        <v>0</v>
      </c>
      <c r="BZ13" s="463">
        <f t="shared" si="40"/>
        <v>0</v>
      </c>
      <c r="CA13" s="57">
        <f t="shared" si="70"/>
        <v>0</v>
      </c>
      <c r="CB13" s="56">
        <f t="shared" si="41"/>
        <v>1</v>
      </c>
      <c r="CC13" s="756">
        <f>IF(EE13=0,0,IF(EF13=0,0,IF(EE13&gt;AA13,0,IF(AND(AZ13&gt;AW13,AW13&gt;0),0,IF(CU13=0,0,Summary!AC316)))))</f>
        <v>0</v>
      </c>
      <c r="CD13" s="756">
        <f>IF(EE13=0,0,IF(EF13=0,0,IF(EE13&gt;AA13,0,IF(AND(AZ13&gt;AW13,AW13&gt;0),0,IF(CU13=0,0,Summary!AD316)))))</f>
        <v>0</v>
      </c>
      <c r="CE13" s="756">
        <f>IF(EF13=0,0,IF(EE13&gt;AA13,0,IF(CC13=0,0,IF(AND(AZ13&gt;AW13,AW13&gt;0),0,IF(CU13=0,0,Summary!AE316)))))</f>
        <v>0</v>
      </c>
      <c r="CF13" s="475">
        <f t="shared" si="42"/>
        <v>0</v>
      </c>
      <c r="CG13" s="476">
        <f t="shared" si="6"/>
        <v>0</v>
      </c>
      <c r="CH13" s="487">
        <f t="shared" si="43"/>
        <v>0</v>
      </c>
      <c r="CI13" s="756">
        <f t="shared" si="44"/>
        <v>0</v>
      </c>
      <c r="CJ13" s="487">
        <f>IF(CT13&gt;0.4,0,IF(AND(AU13=2,CH13=0,CT13=0.5,ER13=100),35,IF(AND(AU13=3,BB13&gt;75,CH13=0,CT13=0.5,ER13=100),25,IF(CB13&gt;1,0,IF(EF13&gt;EE13,0,IF(AND(AF13&gt;1,CH13=100),0,IF(AND(AF13=1,AY13=0),0,IF(AND(EF13&lt;=EE13,AW13&gt;=AZ13,'Data Entry'!$C$74=1,AU13=2),VLOOKUP(W13,$DO$96:$DP$102,2,FALSE),IF(AND(EF13&lt;=EE13,AW13&gt;=AZ13,AU13=3,'Data Entry'!$C$74=1),VLOOKUP(W13,$DO$127:$DP$134,2,FALSE))))))))))</f>
        <v>0</v>
      </c>
      <c r="CK13" s="716">
        <f t="shared" si="45"/>
        <v>0</v>
      </c>
      <c r="CL13" s="57">
        <f t="shared" si="46"/>
        <v>0</v>
      </c>
      <c r="CM13" s="475">
        <f>IF(AA13&lt;1,0,ROUND(AQ13-AR13,2))</f>
        <v>0</v>
      </c>
      <c r="CN13" s="660">
        <f>IF(CM13&lt;0.1,0,IF(ISNA(AT13),0,IF(CL13+BC13=1,0,IF(BV13&gt;0.01,0,IF(CL13&gt;0.01,0,IF(CF13=1,0,IF(BC13=0.5,0,IF(AND(CI13=1,AU13=3),0,IF(AND(CI13=5,CL13=0),0,IF(AND(R13=12,BR13=50),0,IF(CK13&gt;0.01,0,IF(AND(AJ13&gt;0.01,AU13=2,BC13=15),CM13*0.1,IF(AND(AJ13&gt;0.01,AU13=3,BC13=15),CM13*0.08,IF(AND(R13=12,BC13=3,AF13&lt;=0),0,IF(AND(BC13=15,BI13=0),0,IF(AND(BC13=15,BJ13=0),0,IF(AND(R13=20,CU13=0),0,IF($X$4=0,0,IF(AND(BC13=250,CL13=0),0,IF(AA13&lt;1,0,IF(AND(ISNUMBER(SEARCH("Area",T13)),AU13=3),0,IF(AND(AQ13&gt;0.01,AR13=0,BK13=0,BL13=0,BM13=0,BN13=0),0,IF(AND(AU13=3,CI13=7,CT13&gt;0.5),0,IF(AND(BC13=44,AU13=3,BY13=0),0,IF(AND(BC13=27,'Data Entry'!$C$74=2),0,IF(AND(BC13=28,'Data Entry'!$C$74=2),0,IF(AND(BY13+BZ13+CA13&gt;0.01,BV13=0,EQ13+ER13+ES13+ET13&lt;100),0,IF(AU13=3,CM13*0.08,IF(AU13=2,CM13*0.1,0)))))))))))))))))))))))))))))</f>
        <v>0</v>
      </c>
      <c r="CO13" s="660">
        <f t="shared" si="47"/>
        <v>0</v>
      </c>
      <c r="CP13" s="475" t="str">
        <f t="shared" si="48"/>
        <v/>
      </c>
      <c r="CQ13" s="161" t="str">
        <f>IF(AH13=0,0,IF(AU13=5,0,Summary!AC16))</f>
        <v/>
      </c>
      <c r="CR13" s="161" t="str">
        <f>IF(BF13=0.5,0,IF(AU13=5,0,Summary!AD16))</f>
        <v/>
      </c>
      <c r="CS13" s="161" t="str">
        <f>IF(AU13=5,0,Summary!AE16)</f>
        <v/>
      </c>
      <c r="CT13" s="161">
        <f t="shared" si="49"/>
        <v>0</v>
      </c>
      <c r="CU13" s="475" t="str">
        <f t="shared" si="7"/>
        <v/>
      </c>
      <c r="CV13" s="307">
        <f>IF('Data Entry'!$C$74=0,0,IF(AA13&lt;1,0,IF(ISERROR(CU13),0,IF(CF13=1,0,IF(AND(R13=12,BR13=50),0,IF(CL13+BO13+BV13+DC13=0,0,IF(BC13=37,0,IF(AND(BC13=40,AJ13=0),0,IF(AND(BC13=37,BO13&gt;0.01,BQ13&gt;0.01),ROUND(BQ13,0),IF(CM13&lt;0,0,ROUND(CM13,0)))))))))))</f>
        <v>0</v>
      </c>
      <c r="CW13" s="700">
        <f t="shared" si="50"/>
        <v>0</v>
      </c>
      <c r="CX13" s="477">
        <f>IF('Data Entry'!$C$74=0,0,IF(CV13&lt;0.01,0,IF(BF13=0.5,0,IF(CF13=1,0,IF(ISNUMBER(SEARCH("false",CL13)),0,IF(AZ13=500,0,CL13))))))</f>
        <v>0</v>
      </c>
      <c r="CY13" s="147" t="e">
        <f t="shared" si="51"/>
        <v>#VALUE!</v>
      </c>
      <c r="CZ13" s="147" t="b">
        <f>IF(CN13+CL13=0,FALSE,IF(AH13=0,0,IF(AND('Data Entry'!$C$74=1,CR13&gt;=1),TRUE,IF(AND('Data Entry'!$C$74=2,CS13&gt;=1),TRUE,FALSE))))</f>
        <v>0</v>
      </c>
      <c r="DA13" s="1751">
        <f>IF('Data Entry'!$C$74=0,0,IFERROR(ROUND(IF(T13="","",IF($X$4=0,0,IF(CF13=1,0,IF(BQ13+CV13=0,0,IF(CF13=1,0,IF(CY13&gt;0.01,CY13,IF(CL13&gt;0.01,CL13,IF(CY13&gt;0.01,CY13,IF(BC13=37,BO13,IF(CZ13=FALSE,0,IF(CZ13=TRUE,DC13+DF13,0))))))))))),2),""))</f>
        <v>0</v>
      </c>
      <c r="DB13" s="1752"/>
      <c r="DC13" s="474">
        <f>IF(CN13&lt;0.01,0,IF(AND(BR13=3,CN13&gt;0.01,CT13&gt;0.6,ER13+ES13+ET13&lt;100),0,IF(AND('Data Entry'!$C$74=1,CN13&gt;0.01,CR13&gt;0.99),MIN(CN13:CO13),IF(AND('Data Entry'!$C$74=2,CN13&gt;0.01,CS13&gt;0.99),MIN(CN13:CO13),0))))</f>
        <v>0</v>
      </c>
      <c r="DD13" s="478">
        <f>IF(CF13=1,"Selection does not match",IF(T13=0,0,IF(AND('Data Entry'!$C$74=0,CP13&gt;1),"Select Oregon or Idaho on Data Entry Tab",IF(AND(AU13=1,AA13&gt;0.9),"Missing Interior or Exterior Selection",IF($X$4=0,"Enter Total Project Cost",IF(AQ13&lt;AR13,"Insufficient kWh savings – no incentive",IF(AND(SUM(CL13+CK13+BV13)&gt;0.01,'Data Entry'!$C$74=2,CJ13&gt;1,BO13=0),"Submit Control as Non-Standard",IF(AND('Data Entry'!$C$74=2,BR13=37,CJ13&gt;1,BO13=0),"Submit Control as Non-Standard",IF(SUM(CL13+CK13+BV13)&gt;0.01,"Standard Incentive",IF(AND('Data Entry'!$C$74=2,CP13=7,CN13=0),"Submit as Non-Standard",IF(DC13&gt;0.9,"Non-Standard Incentive",IF(AND(BY13+BZ13+CA13&gt;0.01,BV13=0,EQ13=0,ER13=0,ES13=0,ET13=0),"Scroll Right &amp; Select Control Strategies",IF(AND(CN13&gt;0.01,CO13=0),"Enter Unit Installed Cost",IF(ISNUMBER(SEARCH("Lighting Controls Only",F13)),"Lighting Controls Only",IF(CL13+DC13=0,"Does not meet incentive criteria",0)))))))))))))))</f>
        <v>0</v>
      </c>
      <c r="DE13" s="337">
        <f t="shared" si="52"/>
        <v>0</v>
      </c>
      <c r="DF13" s="609">
        <f t="shared" si="53"/>
        <v>0</v>
      </c>
      <c r="DG13" s="336" t="str">
        <f t="shared" si="54"/>
        <v/>
      </c>
      <c r="DH13" s="338">
        <f t="shared" si="55"/>
        <v>1</v>
      </c>
      <c r="DI13" s="336" t="e">
        <f t="shared" si="8"/>
        <v>#VALUE!</v>
      </c>
      <c r="DJ13" s="338">
        <f t="shared" si="9"/>
        <v>0</v>
      </c>
      <c r="DK13" s="320" t="s">
        <v>73</v>
      </c>
      <c r="DL13" s="323" t="s">
        <v>450</v>
      </c>
      <c r="DM13" s="320" t="s">
        <v>73</v>
      </c>
      <c r="DN13" s="324"/>
      <c r="DO13" s="1433" t="s">
        <v>1748</v>
      </c>
      <c r="DP13" s="344"/>
      <c r="DQ13" s="1433" t="s">
        <v>1754</v>
      </c>
      <c r="DR13" s="933"/>
      <c r="DS13" s="1195">
        <f t="shared" si="56"/>
        <v>0</v>
      </c>
      <c r="DT13" s="344" t="b">
        <f t="shared" si="57"/>
        <v>1</v>
      </c>
      <c r="DU13" s="1314" t="str">
        <f t="array" ref="DU13">IF(OR(COUNTIF(F13,"*"&amp;$DK$9:$DK$178&amp;"*")), "Yes", "")</f>
        <v/>
      </c>
      <c r="DV13" s="1314">
        <f t="shared" si="58"/>
        <v>0</v>
      </c>
      <c r="DW13" s="1480">
        <f t="shared" si="59"/>
        <v>0</v>
      </c>
      <c r="DX13" s="1498">
        <f t="shared" si="71"/>
        <v>0</v>
      </c>
      <c r="DY13" s="1484">
        <f t="shared" si="60"/>
        <v>0</v>
      </c>
      <c r="DZ13" s="1481" t="str">
        <f>Lists!A65</f>
        <v xml:space="preserve">F:  </v>
      </c>
      <c r="EA13" s="881">
        <f>'Product Type'!E15</f>
        <v>0</v>
      </c>
      <c r="EB13" s="1499" t="s">
        <v>74</v>
      </c>
      <c r="EC13" s="727" t="s">
        <v>1568</v>
      </c>
      <c r="ED13" s="728">
        <v>0.5</v>
      </c>
      <c r="EE13" s="1215"/>
      <c r="EF13" s="1215"/>
      <c r="EG13" s="1184" t="str">
        <f t="shared" si="61"/>
        <v/>
      </c>
      <c r="EH13" s="1197" t="s">
        <v>1747</v>
      </c>
      <c r="EI13" s="1199">
        <v>12</v>
      </c>
      <c r="EJ13" s="1185">
        <f t="shared" si="10"/>
        <v>0</v>
      </c>
      <c r="EK13" s="1211"/>
      <c r="EL13" s="1180">
        <f t="shared" si="72"/>
        <v>0</v>
      </c>
      <c r="EM13" s="206"/>
      <c r="EN13" s="1038"/>
      <c r="EO13" s="1038"/>
      <c r="EP13" s="1038"/>
      <c r="EQ13" s="1038">
        <f t="shared" si="62"/>
        <v>0</v>
      </c>
      <c r="ER13" s="1041">
        <f t="shared" si="75"/>
        <v>0</v>
      </c>
      <c r="ES13" s="1042">
        <f t="shared" si="63"/>
        <v>0</v>
      </c>
      <c r="ET13" s="1042">
        <f t="shared" si="73"/>
        <v>0</v>
      </c>
      <c r="EU13" s="1021">
        <f t="shared" si="74"/>
        <v>0</v>
      </c>
      <c r="EV13" s="368"/>
      <c r="EW13" s="368"/>
      <c r="EX13" s="369"/>
      <c r="EY13" s="370"/>
      <c r="EZ13" s="370"/>
      <c r="FA13" s="371"/>
      <c r="FB13" s="372"/>
    </row>
    <row r="14" spans="1:158" s="1" customFormat="1" ht="34.5" customHeight="1">
      <c r="A14" s="82">
        <v>6</v>
      </c>
      <c r="B14" s="1785"/>
      <c r="C14" s="1726"/>
      <c r="D14" s="1726"/>
      <c r="E14" s="1727"/>
      <c r="F14" s="1732"/>
      <c r="G14" s="1733"/>
      <c r="H14" s="1733"/>
      <c r="I14" s="1734"/>
      <c r="J14" s="1341"/>
      <c r="K14" s="1728"/>
      <c r="L14" s="1728"/>
      <c r="M14" s="1342"/>
      <c r="N14" s="1583"/>
      <c r="O14" s="208" t="str">
        <f t="shared" si="11"/>
        <v/>
      </c>
      <c r="P14" s="1344"/>
      <c r="Q14" s="39" t="str">
        <f t="shared" si="0"/>
        <v/>
      </c>
      <c r="R14" s="39">
        <f t="shared" si="12"/>
        <v>0</v>
      </c>
      <c r="S14" s="234">
        <f t="shared" si="13"/>
        <v>0</v>
      </c>
      <c r="T14" s="1755"/>
      <c r="U14" s="1755"/>
      <c r="V14" s="1755"/>
      <c r="W14" s="1345"/>
      <c r="X14" s="1741"/>
      <c r="Y14" s="1742"/>
      <c r="Z14" s="1346"/>
      <c r="AA14" s="1347"/>
      <c r="AB14" s="1141"/>
      <c r="AC14" s="1103" t="str">
        <f>IF(T14="","",VLOOKUP(Z14,Lists!$A$60:$B$111,2,FALSE))</f>
        <v/>
      </c>
      <c r="AD14" s="130" t="str">
        <f t="shared" si="14"/>
        <v/>
      </c>
      <c r="AE14" s="130" t="e">
        <f t="shared" si="15"/>
        <v>#VALUE!</v>
      </c>
      <c r="AF14" s="130">
        <f t="shared" si="16"/>
        <v>1</v>
      </c>
      <c r="AG14" s="234">
        <f t="shared" si="1"/>
        <v>0</v>
      </c>
      <c r="AH14" s="1753" t="str">
        <f>IF(T14="","",(IF(ISNUMBER(SEARCH("exit",T14)),8760,IF(AND(M14="Dusk to Dawn",'Proposed Lighting'!AU14=3),4059,IF(AND(AU14=3,M14="1"),0,IF(AND(AU14=3,M14="1-C"),0,IF(AND(AU14=3,M14="2"),0,IF(AND(AU14=3,M14="2-C"),0,IF(AND(AU14=3,M14="3"),0,IF(AND(AU14=3,M14="3-C"),0,IF(AND(AU14=2,M14="Dusk to Dawn"),0,IF(AND(AU14=2,M14="Dusk to Dawn-C"),0,IF(AND(AU14=2,M14="Dusk to Dawn"),0,IF(AND(AU14=2,M14="E"),0,IF(AND(AU14=2,M14="E-C"),0,EG14)))))))))))))))</f>
        <v/>
      </c>
      <c r="AI14" s="1754"/>
      <c r="AJ14" s="1348"/>
      <c r="AK14" s="1136"/>
      <c r="AL14" s="1748">
        <f t="shared" si="64"/>
        <v>0</v>
      </c>
      <c r="AM14" s="1749"/>
      <c r="AN14" s="1750"/>
      <c r="AO14" s="476">
        <f t="shared" si="2"/>
        <v>0</v>
      </c>
      <c r="AP14" s="476">
        <f t="shared" si="17"/>
        <v>0</v>
      </c>
      <c r="AQ14" s="475">
        <f t="shared" si="3"/>
        <v>0</v>
      </c>
      <c r="AR14" s="475">
        <f t="shared" si="18"/>
        <v>0</v>
      </c>
      <c r="AS14" s="743" t="str">
        <f t="shared" si="19"/>
        <v/>
      </c>
      <c r="AT14" s="736" t="str">
        <f t="shared" si="20"/>
        <v/>
      </c>
      <c r="AU14" s="56">
        <f t="shared" si="21"/>
        <v>1</v>
      </c>
      <c r="AV14" s="476">
        <f t="shared" si="22"/>
        <v>0</v>
      </c>
      <c r="AW14" s="56">
        <f t="shared" si="23"/>
        <v>0</v>
      </c>
      <c r="AX14" s="475">
        <f t="shared" si="65"/>
        <v>0</v>
      </c>
      <c r="AY14" s="1169">
        <f t="shared" si="66"/>
        <v>0</v>
      </c>
      <c r="AZ14" s="1150">
        <f t="shared" si="67"/>
        <v>0</v>
      </c>
      <c r="BA14" s="56">
        <f t="shared" si="68"/>
        <v>0</v>
      </c>
      <c r="BB14" s="420">
        <f t="shared" si="4"/>
        <v>0</v>
      </c>
      <c r="BC14" s="58" t="str">
        <f t="shared" si="5"/>
        <v/>
      </c>
      <c r="BD14" s="660">
        <f t="shared" si="69"/>
        <v>0</v>
      </c>
      <c r="BE14" s="57" t="e">
        <f t="array" ref="BE14">INDEX($EB$11:$ED$1022,MATCH(F14&amp;T14,$EB$11:$EB$1007&amp;$EC$11:$EC$1007,0),3)</f>
        <v>#N/A</v>
      </c>
      <c r="BF14" s="463">
        <f t="shared" si="24"/>
        <v>0</v>
      </c>
      <c r="BG14" s="1445" t="e">
        <f t="array" ref="BG14">INDEX($DO$112:$DQ$123,MATCH(T14&amp;W14,$DO$114:$DO$125&amp;$DP$112:$DP$123,0),3)</f>
        <v>#N/A</v>
      </c>
      <c r="BH14" s="1446">
        <f t="shared" si="25"/>
        <v>0</v>
      </c>
      <c r="BI14" s="465">
        <f t="shared" si="26"/>
        <v>0</v>
      </c>
      <c r="BJ14" s="465">
        <f t="shared" si="27"/>
        <v>0</v>
      </c>
      <c r="BK14" s="466">
        <f t="shared" si="28"/>
        <v>0</v>
      </c>
      <c r="BL14" s="466">
        <f t="shared" si="29"/>
        <v>0</v>
      </c>
      <c r="BM14" s="466">
        <f t="shared" si="30"/>
        <v>0</v>
      </c>
      <c r="BN14" s="466">
        <f t="shared" si="31"/>
        <v>0</v>
      </c>
      <c r="BO14" s="463">
        <f>IF('Data Entry'!$C$74=0,0,IF(ISNA(CJ14),0,IF(AX14=0,0,IF(AND('Data Entry'!$C$74=2,AF14&gt;2,CE14&lt;1),0,IF(AND('Data Entry'!$C$74=2,AF14&gt;1,AU14=2,CJ14&gt;1),0,IF(AND(AF14=5,CT14=0.5,AU14=2,ER14&lt;100),0,IF(AND(AF14=5,CT14=0.5,AU14=3,ER14&lt;100),0,IF(AND('Data Entry'!$C$74=2,AF14=2,AU14=2,AK14&gt;0.01,CB14=2,CE14&lt;1),0,IF(AND('Data Entry'!$C$74=2,AF14=3,AU14=3,AK14&gt;0.01,CB14=3,CE14&lt;1),0,IF(AND('Data Entry'!$C$74=2,AF14=3,AU14=3,AK14&gt;0.01,CB14=3,CE14&gt;0.99),BQ14*0.08,IF(AND('Data Entry'!$C$74=2,AF14=2,AU14=2,AK14&gt;0.01,CB14=2,CE14&gt;0.99),BQ14*0.1,IF(AND(AU14=2,AK14&gt;0.01,CB14=2,CD14&gt;1),BQ14*0.1,IF(AND(AU14=3,AK14&gt;0.01,CB14=3,CD14&gt;1),BQ14*0.08,CJ14*EF14)))))))))))))</f>
        <v>0</v>
      </c>
      <c r="BP14" s="475">
        <f t="shared" si="32"/>
        <v>0</v>
      </c>
      <c r="BQ14" s="1431">
        <f>IF(AU14=1,0,IF(CH14=100,0,IF(AND(AF14=3,AU14=2),0,IF(AND(BH14=0,CT14&gt;0.4),0,IF(AND('Data Entry'!$C$74=2,AF14=1.5),0,IF(AND('Data Entry'!$C$74=2,AF14=1.6),0,IF(AND('Data Entry'!$C$74=2,AF14=4),0,IF(AND('Data Entry'!$C$74=2,AF14=5),0,IF(AND('Data Entry'!$C$74=2,AF14=2.5,CE14&lt;1),0,IF(AND('Data Entry'!$C$74=2,AF14=3,CE14&lt;1),0,IF(AND('Data Entry'!$C$74=1,AF14=2.5,CD14&lt;1),0,IF(AND('Data Entry'!$C$74=1,AF14=3,CD14&lt;1),0,IF(DX14&gt;0.01,DX14,IF(ISERROR(AX14-AY14),"",ROUND(AX14-AY14,2)))))))))))))))</f>
        <v>0</v>
      </c>
      <c r="BR14" s="146">
        <f t="shared" si="33"/>
        <v>0</v>
      </c>
      <c r="BS14" s="475">
        <f t="shared" si="34"/>
        <v>0</v>
      </c>
      <c r="BT14" s="146" t="b">
        <f t="shared" si="35"/>
        <v>0</v>
      </c>
      <c r="BU14" s="463">
        <f>IF(ISNA(AT14),0,IF(AND('Data Entry'!$C$74=2,BC14=27),0,IF(AND('Data Entry'!$C$74=2,BC14=28),0,IF(AND(BC14=27,BT14=27,CM14&gt;0.1),CM14*0.15,IF(AND(BC14=28,BT14=28,CM14&gt;0.1),CM14*0.12,0)))))</f>
        <v>0</v>
      </c>
      <c r="BV14" s="463">
        <f t="shared" si="36"/>
        <v>0</v>
      </c>
      <c r="BW14" s="463">
        <f t="shared" si="37"/>
        <v>0</v>
      </c>
      <c r="BX14" s="463">
        <f t="shared" si="38"/>
        <v>0</v>
      </c>
      <c r="BY14" s="463">
        <f t="shared" si="39"/>
        <v>0</v>
      </c>
      <c r="BZ14" s="463">
        <f t="shared" si="40"/>
        <v>0</v>
      </c>
      <c r="CA14" s="57">
        <f t="shared" si="70"/>
        <v>0</v>
      </c>
      <c r="CB14" s="56">
        <f t="shared" si="41"/>
        <v>1</v>
      </c>
      <c r="CC14" s="756">
        <f>IF(EE14=0,0,IF(EF14=0,0,IF(EE14&gt;AA14,0,IF(AND(AZ14&gt;AW14,AW14&gt;0),0,IF(CU14=0,0,Summary!AC317)))))</f>
        <v>0</v>
      </c>
      <c r="CD14" s="756">
        <f>IF(EE14=0,0,IF(EF14=0,0,IF(EE14&gt;AA14,0,IF(AND(AZ14&gt;AW14,AW14&gt;0),0,IF(CU14=0,0,Summary!AD317)))))</f>
        <v>0</v>
      </c>
      <c r="CE14" s="756">
        <f>IF(EF14=0,0,IF(EE14&gt;AA14,0,IF(CC14=0,0,IF(AND(AZ14&gt;AW14,AW14&gt;0),0,IF(CU14=0,0,Summary!AE317)))))</f>
        <v>0</v>
      </c>
      <c r="CF14" s="475">
        <f t="shared" si="42"/>
        <v>0</v>
      </c>
      <c r="CG14" s="476">
        <f t="shared" si="6"/>
        <v>0</v>
      </c>
      <c r="CH14" s="487">
        <f t="shared" si="43"/>
        <v>0</v>
      </c>
      <c r="CI14" s="756">
        <f t="shared" si="44"/>
        <v>0</v>
      </c>
      <c r="CJ14" s="487">
        <f>IF(CT14&gt;0.4,0,IF(AND(AU14=2,CH14=0,CT14=0.5,ER14=100),35,IF(AND(AU14=3,BB14&gt;75,CH14=0,CT14=0.5,ER14=100),25,IF(CB14&gt;1,0,IF(EF14&gt;EE14,0,IF(AND(AF14&gt;1,CH14=100),0,IF(AND(AF14=1,AY14=0),0,IF(AND(EF14&lt;=EE14,AW14&gt;=AZ14,'Data Entry'!$C$74=1,AU14=2),VLOOKUP(W14,$DO$96:$DP$102,2,FALSE),IF(AND(EF14&lt;=EE14,AW14&gt;=AZ14,AU14=3,'Data Entry'!$C$74=1),VLOOKUP(W14,$DO$127:$DP$134,2,FALSE))))))))))</f>
        <v>0</v>
      </c>
      <c r="CK14" s="716">
        <f t="shared" si="45"/>
        <v>0</v>
      </c>
      <c r="CL14" s="57">
        <f t="shared" si="46"/>
        <v>0</v>
      </c>
      <c r="CM14" s="475">
        <f t="shared" ref="CM14:CM77" si="77">IF(AA14&lt;1,0,ROUND(AQ14-AR14,2))</f>
        <v>0</v>
      </c>
      <c r="CN14" s="660">
        <f>IF(CM14&lt;0.1,0,IF(ISNA(AT14),0,IF(CL14+BC14=1,0,IF(BV14&gt;0.01,0,IF(CL14&gt;0.01,0,IF(CF14=1,0,IF(BC14=0.5,0,IF(AND(CI14=1,AU14=3),0,IF(AND(CI14=5,CL14=0),0,IF(AND(R14=12,BR14=50),0,IF(CK14&gt;0.01,0,IF(AND(AJ14&gt;0.01,AU14=2,BC14=15),CM14*0.1,IF(AND(AJ14&gt;0.01,AU14=3,BC14=15),CM14*0.08,IF(AND(R14=12,BC14=3,AF14&lt;=0),0,IF(AND(BC14=15,BI14=0),0,IF(AND(BC14=15,BJ14=0),0,IF(AND(R14=20,CU14=0),0,IF($X$4=0,0,IF(AND(BC14=250,CL14=0),0,IF(AA14&lt;1,0,IF(AND(ISNUMBER(SEARCH("Area",T14)),AU14=3),0,IF(AND(AQ14&gt;0.01,AR14=0,BK14=0,BL14=0,BM14=0,BN14=0),0,IF(AND(AU14=3,CI14=7,CT14&gt;0.5),0,IF(AND(BC14=44,AU14=3,BY14=0),0,IF(AND(BC14=27,'Data Entry'!$C$74=2),0,IF(AND(BC14=28,'Data Entry'!$C$74=2),0,IF(AND(BY14+BZ14+CA14&gt;0.01,BV14=0,EQ14+ER14+ES14+ET14&lt;100),0,IF(AU14=3,CM14*0.08,IF(AU14=2,CM14*0.1,0)))))))))))))))))))))))))))))</f>
        <v>0</v>
      </c>
      <c r="CO14" s="660">
        <f t="shared" si="47"/>
        <v>0</v>
      </c>
      <c r="CP14" s="475" t="str">
        <f t="shared" si="48"/>
        <v/>
      </c>
      <c r="CQ14" s="161" t="str">
        <f>IF(AH14=0,0,IF(AU14=5,0,Summary!AC17))</f>
        <v/>
      </c>
      <c r="CR14" s="161" t="str">
        <f>IF(BF14=0.5,0,IF(AU14=5,0,Summary!AD17))</f>
        <v/>
      </c>
      <c r="CS14" s="161" t="str">
        <f>IF(AU14=5,0,Summary!AE17)</f>
        <v/>
      </c>
      <c r="CT14" s="161">
        <f t="shared" si="49"/>
        <v>0</v>
      </c>
      <c r="CU14" s="475" t="str">
        <f t="shared" si="7"/>
        <v/>
      </c>
      <c r="CV14" s="307">
        <f>IF('Data Entry'!$C$74=0,0,IF(AA14&lt;1,0,IF(ISERROR(CU14),0,IF(CF14=1,0,IF(AND(R14=12,BR14=50),0,IF(CL14+BO14+BV14+DC14=0,0,IF(BC14=37,0,IF(AND(BC14=40,AJ14=0),0,IF(AND(BC14=37,BO14&gt;0.01,BQ14&gt;0.01),ROUND(BQ14,0),IF(CM14&lt;0,0,ROUND(CM14,0)))))))))))</f>
        <v>0</v>
      </c>
      <c r="CW14" s="700">
        <f t="shared" si="50"/>
        <v>0</v>
      </c>
      <c r="CX14" s="477">
        <f>IF('Data Entry'!$C$74=0,0,IF(CV14&lt;0.01,0,IF(BF14=0.5,0,IF(CF14=1,0,IF(ISNUMBER(SEARCH("false",CL14)),0,IF(AZ14=500,0,CL14))))))</f>
        <v>0</v>
      </c>
      <c r="CY14" s="147" t="e">
        <f t="shared" si="51"/>
        <v>#VALUE!</v>
      </c>
      <c r="CZ14" s="147" t="b">
        <f>IF(CN14+CL14=0,FALSE,IF(AH14=0,0,IF(AND('Data Entry'!$C$74=1,CR14&gt;=1),TRUE,IF(AND('Data Entry'!$C$74=2,CS14&gt;=1),TRUE,FALSE))))</f>
        <v>0</v>
      </c>
      <c r="DA14" s="1751">
        <f>IF('Data Entry'!$C$74=0,0,IFERROR(ROUND(IF(T14="","",IF($X$4=0,0,IF(CF14=1,0,IF(BQ14+CV14=0,0,IF(CF14=1,0,IF(CY14&gt;0.01,CY14,IF(CL14&gt;0.01,CL14,IF(CY14&gt;0.01,CY14,IF(BC14=37,BO14,IF(CZ14=FALSE,0,IF(CZ14=TRUE,DC14+DF14,0))))))))))),2),""))</f>
        <v>0</v>
      </c>
      <c r="DB14" s="1752"/>
      <c r="DC14" s="474">
        <f>IF(CN14&lt;0.01,0,IF(AND(BR14=3,CN14&gt;0.01,CT14&gt;0.6,ER14+ES14+ET14&lt;100),0,IF(AND('Data Entry'!$C$74=1,CN14&gt;0.01,CR14&gt;0.99),MIN(CN14:CO14),IF(AND('Data Entry'!$C$74=2,CN14&gt;0.01,CS14&gt;0.99),MIN(CN14:CO14),0))))</f>
        <v>0</v>
      </c>
      <c r="DD14" s="478">
        <f>IF(CF14=1,"Selection does not match",IF(T14=0,0,IF(AND('Data Entry'!$C$74=0,CP14&gt;1),"Select Oregon or Idaho on Data Entry Tab",IF(AND(AU14=1,AA14&gt;0.9),"Missing Interior or Exterior Selection",IF($X$4=0,"Enter Total Project Cost",IF(AQ14&lt;AR14,"Insufficient kWh savings – no incentive",IF(AND(SUM(CL14+CK14+BV14)&gt;0.01,'Data Entry'!$C$74=2,CJ14&gt;1,BO14=0),"Submit Control as Non-Standard",IF(AND('Data Entry'!$C$74=2,BR14=37,CJ14&gt;1,BO14=0),"Submit Control as Non-Standard",IF(SUM(CL14+CK14+BV14)&gt;0.01,"Standard Incentive",IF(AND('Data Entry'!$C$74=2,CP14=7,CN14=0),"Submit as Non-Standard",IF(DC14&gt;0.9,"Non-Standard Incentive",IF(AND(BY14+BZ14+CA14&gt;0.01,BV14=0,EQ14=0,ER14=0,ES14=0,ET14=0),"Scroll Right &amp; Select Control Strategies",IF(AND(CN14&gt;0.01,CO14=0),"Enter Unit Installed Cost",IF(ISNUMBER(SEARCH("Lighting Controls Only",F14)),"Lighting Controls Only",IF(CL14+DC14=0,"Does not meet incentive criteria",0)))))))))))))))</f>
        <v>0</v>
      </c>
      <c r="DE14" s="337">
        <f t="shared" si="52"/>
        <v>0</v>
      </c>
      <c r="DF14" s="609">
        <f t="shared" si="53"/>
        <v>0</v>
      </c>
      <c r="DG14" s="336" t="str">
        <f t="shared" si="54"/>
        <v/>
      </c>
      <c r="DH14" s="338">
        <f t="shared" si="55"/>
        <v>1</v>
      </c>
      <c r="DI14" s="336" t="e">
        <f t="shared" si="8"/>
        <v>#VALUE!</v>
      </c>
      <c r="DJ14" s="338">
        <f t="shared" si="9"/>
        <v>0</v>
      </c>
      <c r="DK14" s="325" t="s">
        <v>133</v>
      </c>
      <c r="DL14" s="324">
        <v>18</v>
      </c>
      <c r="DM14" s="325" t="s">
        <v>104</v>
      </c>
      <c r="DN14" s="324">
        <v>2</v>
      </c>
      <c r="DO14" s="1433" t="s">
        <v>1749</v>
      </c>
      <c r="DP14" s="408"/>
      <c r="DQ14" s="1615" t="s">
        <v>1746</v>
      </c>
      <c r="DR14" s="933">
        <v>2</v>
      </c>
      <c r="DS14" s="1195">
        <f t="shared" si="56"/>
        <v>0</v>
      </c>
      <c r="DT14" s="344" t="b">
        <f t="shared" si="57"/>
        <v>1</v>
      </c>
      <c r="DU14" s="1314" t="str">
        <f t="array" ref="DU14">IF(OR(COUNTIF(F14,"*"&amp;$DK$9:$DK$178&amp;"*")), "Yes", "")</f>
        <v/>
      </c>
      <c r="DV14" s="1314">
        <f t="shared" si="58"/>
        <v>0</v>
      </c>
      <c r="DW14" s="1480">
        <f t="shared" si="59"/>
        <v>0</v>
      </c>
      <c r="DX14" s="1498">
        <f t="shared" si="71"/>
        <v>0</v>
      </c>
      <c r="DY14" s="1484">
        <f t="shared" si="60"/>
        <v>0</v>
      </c>
      <c r="DZ14" s="1481" t="str">
        <f>Lists!A66</f>
        <v xml:space="preserve">G:  </v>
      </c>
      <c r="EA14" s="881">
        <f>'Product Type'!E16</f>
        <v>0</v>
      </c>
      <c r="EB14" s="1499" t="s">
        <v>75</v>
      </c>
      <c r="EC14" s="727" t="s">
        <v>1568</v>
      </c>
      <c r="ED14" s="728">
        <v>0.5</v>
      </c>
      <c r="EE14" s="1215"/>
      <c r="EF14" s="1215"/>
      <c r="EG14" s="1184" t="str">
        <f t="shared" si="61"/>
        <v/>
      </c>
      <c r="EH14" s="1198" t="s">
        <v>1748</v>
      </c>
      <c r="EI14" s="1199">
        <v>12</v>
      </c>
      <c r="EJ14" s="1185">
        <f t="shared" si="10"/>
        <v>0</v>
      </c>
      <c r="EK14" s="1211"/>
      <c r="EL14" s="1180">
        <f t="shared" si="72"/>
        <v>0</v>
      </c>
      <c r="EM14" s="206"/>
      <c r="EN14" s="1038"/>
      <c r="EO14" s="1038"/>
      <c r="EP14" s="1038"/>
      <c r="EQ14" s="1038">
        <f t="shared" si="62"/>
        <v>0</v>
      </c>
      <c r="ER14" s="1041">
        <f t="shared" si="75"/>
        <v>0</v>
      </c>
      <c r="ES14" s="1042">
        <f t="shared" si="63"/>
        <v>0</v>
      </c>
      <c r="ET14" s="1042">
        <f t="shared" si="73"/>
        <v>0</v>
      </c>
      <c r="EU14" s="1021">
        <f t="shared" si="74"/>
        <v>0</v>
      </c>
      <c r="EV14" s="368"/>
      <c r="EW14" s="368"/>
      <c r="EX14" s="369"/>
      <c r="EY14" s="370"/>
      <c r="EZ14" s="370"/>
      <c r="FA14" s="371"/>
      <c r="FB14" s="372"/>
    </row>
    <row r="15" spans="1:158" s="1" customFormat="1" ht="34.5" customHeight="1">
      <c r="A15" s="82">
        <v>7</v>
      </c>
      <c r="B15" s="1785"/>
      <c r="C15" s="1726"/>
      <c r="D15" s="1726"/>
      <c r="E15" s="1727"/>
      <c r="F15" s="1732"/>
      <c r="G15" s="1733"/>
      <c r="H15" s="1733"/>
      <c r="I15" s="1734"/>
      <c r="J15" s="1341"/>
      <c r="K15" s="1728"/>
      <c r="L15" s="1728"/>
      <c r="M15" s="1342"/>
      <c r="N15" s="1583"/>
      <c r="O15" s="208" t="str">
        <f t="shared" si="11"/>
        <v/>
      </c>
      <c r="P15" s="1344"/>
      <c r="Q15" s="39" t="str">
        <f t="shared" si="0"/>
        <v/>
      </c>
      <c r="R15" s="39">
        <f t="shared" si="12"/>
        <v>0</v>
      </c>
      <c r="S15" s="234">
        <f t="shared" si="13"/>
        <v>0</v>
      </c>
      <c r="T15" s="1755"/>
      <c r="U15" s="1755"/>
      <c r="V15" s="1755"/>
      <c r="W15" s="1345"/>
      <c r="X15" s="1757"/>
      <c r="Y15" s="1742"/>
      <c r="Z15" s="1346"/>
      <c r="AA15" s="1347"/>
      <c r="AB15" s="1141"/>
      <c r="AC15" s="1103" t="str">
        <f>IF(T15="","",VLOOKUP(Z15,Lists!$A$60:$B$111,2,FALSE))</f>
        <v/>
      </c>
      <c r="AD15" s="130" t="str">
        <f t="shared" si="14"/>
        <v/>
      </c>
      <c r="AE15" s="130" t="e">
        <f t="shared" si="15"/>
        <v>#VALUE!</v>
      </c>
      <c r="AF15" s="130">
        <f t="shared" si="16"/>
        <v>1</v>
      </c>
      <c r="AG15" s="234">
        <f t="shared" si="1"/>
        <v>0</v>
      </c>
      <c r="AH15" s="1753" t="str">
        <f>IF(T15="","",(IF(ISNUMBER(SEARCH("exit",T15)),8760,IF(AND(M15="Dusk to Dawn",'Proposed Lighting'!AU15=3),4059,IF(AND(AU15=3,M15="1"),0,IF(AND(AU15=3,M15="1-C"),0,IF(AND(AU15=3,M15="2"),0,IF(AND(AU15=3,M15="2-C"),0,IF(AND(AU15=3,M15="3"),0,IF(AND(AU15=3,M15="3-C"),0,IF(AND(AU15=2,M15="Dusk to Dawn"),0,IF(AND(AU15=2,M15="Dusk to Dawn-C"),0,IF(AND(AU15=2,M15="Dusk to Dawn"),0,IF(AND(AU15=2,M15="E"),0,IF(AND(AU15=2,M15="E-C"),0,EG15)))))))))))))))</f>
        <v/>
      </c>
      <c r="AI15" s="1754"/>
      <c r="AJ15" s="1348"/>
      <c r="AK15" s="1136"/>
      <c r="AL15" s="1748">
        <f t="shared" si="64"/>
        <v>0</v>
      </c>
      <c r="AM15" s="1749"/>
      <c r="AN15" s="1750"/>
      <c r="AO15" s="476">
        <f t="shared" si="2"/>
        <v>0</v>
      </c>
      <c r="AP15" s="476">
        <f t="shared" si="17"/>
        <v>0</v>
      </c>
      <c r="AQ15" s="475">
        <f t="shared" si="3"/>
        <v>0</v>
      </c>
      <c r="AR15" s="475">
        <f t="shared" si="18"/>
        <v>0</v>
      </c>
      <c r="AS15" s="743" t="str">
        <f t="shared" si="19"/>
        <v/>
      </c>
      <c r="AT15" s="736" t="str">
        <f t="shared" si="20"/>
        <v/>
      </c>
      <c r="AU15" s="56">
        <f t="shared" si="21"/>
        <v>1</v>
      </c>
      <c r="AV15" s="476">
        <f t="shared" si="22"/>
        <v>0</v>
      </c>
      <c r="AW15" s="56">
        <f t="shared" si="23"/>
        <v>0</v>
      </c>
      <c r="AX15" s="475">
        <f t="shared" si="65"/>
        <v>0</v>
      </c>
      <c r="AY15" s="1169">
        <f t="shared" si="66"/>
        <v>0</v>
      </c>
      <c r="AZ15" s="1150">
        <f t="shared" si="67"/>
        <v>0</v>
      </c>
      <c r="BA15" s="56">
        <f t="shared" si="68"/>
        <v>0</v>
      </c>
      <c r="BB15" s="420">
        <f t="shared" si="4"/>
        <v>0</v>
      </c>
      <c r="BC15" s="58" t="str">
        <f t="shared" si="5"/>
        <v/>
      </c>
      <c r="BD15" s="660">
        <f t="shared" si="69"/>
        <v>0</v>
      </c>
      <c r="BE15" s="57" t="e">
        <f t="array" ref="BE15">INDEX($EB$11:$ED$1022,MATCH(F15&amp;T15,$EB$11:$EB$1007&amp;$EC$11:$EC$1007,0),3)</f>
        <v>#N/A</v>
      </c>
      <c r="BF15" s="463">
        <f t="shared" si="24"/>
        <v>0</v>
      </c>
      <c r="BG15" s="1445" t="e">
        <f t="array" ref="BG15">INDEX($DO$112:$DQ$123,MATCH(T15&amp;W15,$DO$114:$DO$125&amp;$DP$112:$DP$123,0),3)</f>
        <v>#N/A</v>
      </c>
      <c r="BH15" s="1446">
        <f t="shared" si="25"/>
        <v>0</v>
      </c>
      <c r="BI15" s="465">
        <f t="shared" si="26"/>
        <v>0</v>
      </c>
      <c r="BJ15" s="465">
        <f t="shared" si="27"/>
        <v>0</v>
      </c>
      <c r="BK15" s="466">
        <f t="shared" si="28"/>
        <v>0</v>
      </c>
      <c r="BL15" s="466">
        <f t="shared" si="29"/>
        <v>0</v>
      </c>
      <c r="BM15" s="466">
        <f t="shared" si="30"/>
        <v>0</v>
      </c>
      <c r="BN15" s="466">
        <f t="shared" si="31"/>
        <v>0</v>
      </c>
      <c r="BO15" s="463">
        <f>IF('Data Entry'!$C$74=0,0,IF(ISNA(CJ15),0,IF(AX15=0,0,IF(AND('Data Entry'!$C$74=2,AF15&gt;2,CE15&lt;1),0,IF(AND('Data Entry'!$C$74=2,AF15&gt;1,AU15=2,CJ15&gt;1),0,IF(AND(AF15=5,CT15=0.5,AU15=2,ER15&lt;100),0,IF(AND(AF15=5,CT15=0.5,AU15=3,ER15&lt;100),0,IF(AND('Data Entry'!$C$74=2,AF15=2,AU15=2,AK15&gt;0.01,CB15=2,CE15&lt;1),0,IF(AND('Data Entry'!$C$74=2,AF15=3,AU15=3,AK15&gt;0.01,CB15=3,CE15&lt;1),0,IF(AND('Data Entry'!$C$74=2,AF15=3,AU15=3,AK15&gt;0.01,CB15=3,CE15&gt;0.99),BQ15*0.08,IF(AND('Data Entry'!$C$74=2,AF15=2,AU15=2,AK15&gt;0.01,CB15=2,CE15&gt;0.99),BQ15*0.1,IF(AND(AU15=2,AK15&gt;0.01,CB15=2,CD15&gt;1),BQ15*0.1,IF(AND(AU15=3,AK15&gt;0.01,CB15=3,CD15&gt;1),BQ15*0.08,CJ15*EF15)))))))))))))</f>
        <v>0</v>
      </c>
      <c r="BP15" s="475">
        <f t="shared" si="32"/>
        <v>0</v>
      </c>
      <c r="BQ15" s="1431">
        <f>IF(AU15=1,0,IF(CH15=100,0,IF(AND(AF15=3,AU15=2),0,IF(AND(BH15=0,CT15&gt;0.4),0,IF(AND('Data Entry'!$C$74=2,AF15=1.5),0,IF(AND('Data Entry'!$C$74=2,AF15=1.6),0,IF(AND('Data Entry'!$C$74=2,AF15=4),0,IF(AND('Data Entry'!$C$74=2,AF15=5),0,IF(AND('Data Entry'!$C$74=2,AF15=2.5,CE15&lt;1),0,IF(AND('Data Entry'!$C$74=2,AF15=3,CE15&lt;1),0,IF(AND('Data Entry'!$C$74=1,AF15=2.5,CD15&lt;1),0,IF(AND('Data Entry'!$C$74=1,AF15=3,CD15&lt;1),0,IF(DX15&gt;0.01,DX15,IF(ISERROR(AX15-AY15),"",ROUND(AX15-AY15,2)))))))))))))))</f>
        <v>0</v>
      </c>
      <c r="BR15" s="146">
        <f t="shared" si="33"/>
        <v>0</v>
      </c>
      <c r="BS15" s="475">
        <f t="shared" si="34"/>
        <v>0</v>
      </c>
      <c r="BT15" s="146" t="b">
        <f t="shared" si="35"/>
        <v>0</v>
      </c>
      <c r="BU15" s="463">
        <f>IF(ISNA(AT15),0,IF(AND('Data Entry'!$C$74=2,BC15=27),0,IF(AND('Data Entry'!$C$74=2,BC15=28),0,IF(AND(BC15=27,BT15=27,CM15&gt;0.1),CM15*0.15,IF(AND(BC15=28,BT15=28,CM15&gt;0.1),CM15*0.12,0)))))</f>
        <v>0</v>
      </c>
      <c r="BV15" s="463">
        <f t="shared" si="36"/>
        <v>0</v>
      </c>
      <c r="BW15" s="463">
        <f t="shared" si="37"/>
        <v>0</v>
      </c>
      <c r="BX15" s="463">
        <f t="shared" si="38"/>
        <v>0</v>
      </c>
      <c r="BY15" s="463">
        <f t="shared" si="39"/>
        <v>0</v>
      </c>
      <c r="BZ15" s="463">
        <f t="shared" si="40"/>
        <v>0</v>
      </c>
      <c r="CA15" s="57">
        <f t="shared" si="70"/>
        <v>0</v>
      </c>
      <c r="CB15" s="56">
        <f t="shared" si="41"/>
        <v>1</v>
      </c>
      <c r="CC15" s="756">
        <f>IF(EE15=0,0,IF(EF15=0,0,IF(EE15&gt;AA15,0,IF(AND(AZ15&gt;AW15,AW15&gt;0),0,IF(CU15=0,0,Summary!AC318)))))</f>
        <v>0</v>
      </c>
      <c r="CD15" s="756">
        <f>IF(EE15=0,0,IF(EF15=0,0,IF(EE15&gt;AA15,0,IF(AND(AZ15&gt;AW15,AW15&gt;0),0,IF(CU15=0,0,Summary!AD318)))))</f>
        <v>0</v>
      </c>
      <c r="CE15" s="756">
        <f>IF(EF15=0,0,IF(EE15&gt;AA15,0,IF(CC15=0,0,IF(AND(AZ15&gt;AW15,AW15&gt;0),0,IF(CU15=0,0,Summary!AE318)))))</f>
        <v>0</v>
      </c>
      <c r="CF15" s="475">
        <f t="shared" si="42"/>
        <v>0</v>
      </c>
      <c r="CG15" s="476">
        <f t="shared" si="6"/>
        <v>0</v>
      </c>
      <c r="CH15" s="487">
        <f t="shared" si="43"/>
        <v>0</v>
      </c>
      <c r="CI15" s="756">
        <f t="shared" si="44"/>
        <v>0</v>
      </c>
      <c r="CJ15" s="487">
        <f>IF(CT15&gt;0.4,0,IF(AND(AU15=2,CH15=0,CT15=0.5,ER15=100),35,IF(AND(AU15=3,BB15&gt;75,CH15=0,CT15=0.5,ER15=100),25,IF(CB15&gt;1,0,IF(EF15&gt;EE15,0,IF(AND(AF15&gt;1,CH15=100),0,IF(AND(AF15=1,AY15=0),0,IF(AND(EF15&lt;=EE15,AW15&gt;=AZ15,'Data Entry'!$C$74=1,AU15=2),VLOOKUP(W15,$DO$96:$DP$102,2,FALSE),IF(AND(EF15&lt;=EE15,AW15&gt;=AZ15,AU15=3,'Data Entry'!$C$74=1),VLOOKUP(W15,$DO$127:$DP$134,2,FALSE))))))))))</f>
        <v>0</v>
      </c>
      <c r="CK15" s="716">
        <f t="shared" si="45"/>
        <v>0</v>
      </c>
      <c r="CL15" s="57">
        <f t="shared" si="46"/>
        <v>0</v>
      </c>
      <c r="CM15" s="475">
        <f t="shared" si="77"/>
        <v>0</v>
      </c>
      <c r="CN15" s="660">
        <f>IF(CM15&lt;0.1,0,IF(ISNA(AT15),0,IF(CL15+BC15=1,0,IF(BV15&gt;0.01,0,IF(CL15&gt;0.01,0,IF(CF15=1,0,IF(BC15=0.5,0,IF(AND(CI15=1,AU15=3),0,IF(AND(CI15=5,CL15=0),0,IF(AND(R15=12,BR15=50),0,IF(CK15&gt;0.01,0,IF(AND(AJ15&gt;0.01,AU15=2,BC15=15),CM15*0.1,IF(AND(AJ15&gt;0.01,AU15=3,BC15=15),CM15*0.08,IF(AND(R15=12,BC15=3,AF15&lt;=0),0,IF(AND(BC15=15,BI15=0),0,IF(AND(BC15=15,BJ15=0),0,IF(AND(R15=20,CU15=0),0,IF($X$4=0,0,IF(AND(BC15=250,CL15=0),0,IF(AA15&lt;1,0,IF(AND(ISNUMBER(SEARCH("Area",T15)),AU15=3),0,IF(AND(AQ15&gt;0.01,AR15=0,BK15=0,BL15=0,BM15=0,BN15=0),0,IF(AND(AU15=3,CI15=7,CT15&gt;0.5),0,IF(AND(BC15=44,AU15=3,BY15=0),0,IF(AND(BC15=27,'Data Entry'!$C$74=2),0,IF(AND(BC15=28,'Data Entry'!$C$74=2),0,IF(AND(BY15+BZ15+CA15&gt;0.01,BV15=0,EQ15+ER15+ES15+ET15&lt;100),0,IF(AU15=3,CM15*0.08,IF(AU15=2,CM15*0.1,0)))))))))))))))))))))))))))))</f>
        <v>0</v>
      </c>
      <c r="CO15" s="660">
        <f t="shared" si="47"/>
        <v>0</v>
      </c>
      <c r="CP15" s="475" t="str">
        <f t="shared" si="48"/>
        <v/>
      </c>
      <c r="CQ15" s="161" t="str">
        <f>IF(AH15=0,0,IF(AU15=5,0,Summary!AC18))</f>
        <v/>
      </c>
      <c r="CR15" s="161" t="str">
        <f>IF(BF15=0.5,0,IF(AU15=5,0,Summary!AD18))</f>
        <v/>
      </c>
      <c r="CS15" s="161" t="str">
        <f>IF(AU15=5,0,Summary!AE18)</f>
        <v/>
      </c>
      <c r="CT15" s="161">
        <f t="shared" si="49"/>
        <v>0</v>
      </c>
      <c r="CU15" s="475" t="str">
        <f t="shared" si="7"/>
        <v/>
      </c>
      <c r="CV15" s="307">
        <f>IF('Data Entry'!$C$74=0,0,IF(AA15&lt;1,0,IF(ISERROR(CU15),0,IF(CF15=1,0,IF(AND(R15=12,BR15=50),0,IF(CL15+BO15+BV15+DC15=0,0,IF(BC15=37,0,IF(AND(BC15=40,AJ15=0),0,IF(AND(BC15=37,BO15&gt;0.01,BQ15&gt;0.01),ROUND(BQ15,0),IF(CM15&lt;0,0,ROUND(CM15,0)))))))))))</f>
        <v>0</v>
      </c>
      <c r="CW15" s="700">
        <f t="shared" si="50"/>
        <v>0</v>
      </c>
      <c r="CX15" s="477">
        <f>IF('Data Entry'!$C$74=0,0,IF(CV15&lt;0.01,0,IF(BF15=0.5,0,IF(CF15=1,0,IF(ISNUMBER(SEARCH("false",CL15)),0,IF(AZ15=500,0,CL15))))))</f>
        <v>0</v>
      </c>
      <c r="CY15" s="147" t="e">
        <f t="shared" si="51"/>
        <v>#VALUE!</v>
      </c>
      <c r="CZ15" s="147" t="b">
        <f>IF(CN15+CL15=0,FALSE,IF(AH15=0,0,IF(AND('Data Entry'!$C$74=1,CR15&gt;=1),TRUE,IF(AND('Data Entry'!$C$74=2,CS15&gt;=1),TRUE,FALSE))))</f>
        <v>0</v>
      </c>
      <c r="DA15" s="1751">
        <f>IF('Data Entry'!$C$74=0,0,IFERROR(ROUND(IF(T15="","",IF($X$4=0,0,IF(CF15=1,0,IF(BQ15+CV15=0,0,IF(CF15=1,0,IF(CY15&gt;0.01,CY15,IF(CL15&gt;0.01,CL15,IF(CY15&gt;0.01,CY15,IF(BC15=37,BO15,IF(CZ15=FALSE,0,IF(CZ15=TRUE,DC15+DF15,0))))))))))),2),""))</f>
        <v>0</v>
      </c>
      <c r="DB15" s="1752"/>
      <c r="DC15" s="474">
        <f>IF(CN15&lt;0.01,0,IF(AND(BR15=3,CN15&gt;0.01,CT15&gt;0.6,ER15+ES15+ET15&lt;100),0,IF(AND('Data Entry'!$C$74=1,CN15&gt;0.01,CR15&gt;0.99),MIN(CN15:CO15),IF(AND('Data Entry'!$C$74=2,CN15&gt;0.01,CS15&gt;0.99),MIN(CN15:CO15),0))))</f>
        <v>0</v>
      </c>
      <c r="DD15" s="478">
        <f>IF(CF15=1,"Selection does not match",IF(T15=0,0,IF(AND('Data Entry'!$C$74=0,CP15&gt;1),"Select Oregon or Idaho on Data Entry Tab",IF(AND(AU15=1,AA15&gt;0.9),"Missing Interior or Exterior Selection",IF($X$4=0,"Enter Total Project Cost",IF(AQ15&lt;AR15,"Insufficient kWh savings – no incentive",IF(AND(SUM(CL15+CK15+BV15)&gt;0.01,'Data Entry'!$C$74=2,CJ15&gt;1,BO15=0),"Submit Control as Non-Standard",IF(AND('Data Entry'!$C$74=2,BR15=37,CJ15&gt;1,BO15=0),"Submit Control as Non-Standard",IF(SUM(CL15+CK15+BV15)&gt;0.01,"Standard Incentive",IF(AND('Data Entry'!$C$74=2,CP15=7,CN15=0),"Submit as Non-Standard",IF(DC15&gt;0.9,"Non-Standard Incentive",IF(AND(BY15+BZ15+CA15&gt;0.01,BV15=0,EQ15=0,ER15=0,ES15=0,ET15=0),"Scroll Right &amp; Select Control Strategies",IF(AND(CN15&gt;0.01,CO15=0),"Enter Unit Installed Cost",IF(ISNUMBER(SEARCH("Lighting Controls Only",F15)),"Lighting Controls Only",IF(CL15+DC15=0,"Does not meet incentive criteria",0)))))))))))))))</f>
        <v>0</v>
      </c>
      <c r="DE15" s="337">
        <f t="shared" si="52"/>
        <v>0</v>
      </c>
      <c r="DF15" s="609">
        <f t="shared" si="53"/>
        <v>0</v>
      </c>
      <c r="DG15" s="336" t="str">
        <f t="shared" si="54"/>
        <v/>
      </c>
      <c r="DH15" s="338">
        <f t="shared" si="55"/>
        <v>1</v>
      </c>
      <c r="DI15" s="336" t="e">
        <f t="shared" si="8"/>
        <v>#VALUE!</v>
      </c>
      <c r="DJ15" s="338">
        <f t="shared" si="9"/>
        <v>0</v>
      </c>
      <c r="DK15" s="325" t="s">
        <v>134</v>
      </c>
      <c r="DL15" s="324">
        <v>33</v>
      </c>
      <c r="DM15" s="325" t="s">
        <v>105</v>
      </c>
      <c r="DN15" s="324">
        <v>4</v>
      </c>
      <c r="DO15" s="1433" t="s">
        <v>1750</v>
      </c>
      <c r="DP15" s="408"/>
      <c r="DQ15" s="1196" t="s">
        <v>1747</v>
      </c>
      <c r="DR15" s="933">
        <v>3</v>
      </c>
      <c r="DS15" s="1195">
        <f t="shared" si="56"/>
        <v>0</v>
      </c>
      <c r="DT15" s="344" t="b">
        <f t="shared" si="57"/>
        <v>1</v>
      </c>
      <c r="DU15" s="1314" t="str">
        <f t="array" ref="DU15">IF(OR(COUNTIF(F15,"*"&amp;$DK$9:$DK$178&amp;"*")), "Yes", "")</f>
        <v/>
      </c>
      <c r="DV15" s="1314">
        <f t="shared" si="58"/>
        <v>0</v>
      </c>
      <c r="DW15" s="1480">
        <f t="shared" si="59"/>
        <v>0</v>
      </c>
      <c r="DX15" s="1498">
        <f t="shared" si="71"/>
        <v>0</v>
      </c>
      <c r="DY15" s="1484">
        <f t="shared" si="60"/>
        <v>0</v>
      </c>
      <c r="DZ15" s="1481" t="str">
        <f>Lists!A67</f>
        <v xml:space="preserve">H:  </v>
      </c>
      <c r="EA15" s="881">
        <f>'Product Type'!E17</f>
        <v>0</v>
      </c>
      <c r="EB15" s="1499" t="s">
        <v>73</v>
      </c>
      <c r="EC15" s="727" t="s">
        <v>1568</v>
      </c>
      <c r="ED15" s="728">
        <v>0.5</v>
      </c>
      <c r="EE15" s="1215"/>
      <c r="EF15" s="1215"/>
      <c r="EG15" s="1184" t="str">
        <f t="shared" si="61"/>
        <v/>
      </c>
      <c r="EH15" s="1197" t="s">
        <v>1749</v>
      </c>
      <c r="EI15" s="1199">
        <v>12</v>
      </c>
      <c r="EJ15" s="1185">
        <f t="shared" si="10"/>
        <v>0</v>
      </c>
      <c r="EK15" s="1211"/>
      <c r="EL15" s="1180">
        <f t="shared" si="72"/>
        <v>0</v>
      </c>
      <c r="EM15" s="206"/>
      <c r="EN15" s="1038"/>
      <c r="EO15" s="1038"/>
      <c r="EP15" s="1038"/>
      <c r="EQ15" s="1038">
        <f t="shared" si="62"/>
        <v>0</v>
      </c>
      <c r="ER15" s="1041">
        <f t="shared" si="75"/>
        <v>0</v>
      </c>
      <c r="ES15" s="1042">
        <f t="shared" si="63"/>
        <v>0</v>
      </c>
      <c r="ET15" s="1042">
        <f t="shared" si="73"/>
        <v>0</v>
      </c>
      <c r="EU15" s="1021">
        <f t="shared" si="74"/>
        <v>0</v>
      </c>
      <c r="EV15" s="368"/>
      <c r="EW15" s="368"/>
      <c r="EX15" s="369"/>
      <c r="EY15" s="370"/>
      <c r="EZ15" s="370"/>
      <c r="FA15" s="371"/>
      <c r="FB15" s="372"/>
    </row>
    <row r="16" spans="1:158" s="1" customFormat="1" ht="34.5" customHeight="1">
      <c r="A16" s="82">
        <v>8</v>
      </c>
      <c r="B16" s="1785"/>
      <c r="C16" s="1726"/>
      <c r="D16" s="1726"/>
      <c r="E16" s="1727"/>
      <c r="F16" s="1732"/>
      <c r="G16" s="1733"/>
      <c r="H16" s="1733"/>
      <c r="I16" s="1734"/>
      <c r="J16" s="1341"/>
      <c r="K16" s="1728"/>
      <c r="L16" s="1728"/>
      <c r="M16" s="1342"/>
      <c r="N16" s="1583"/>
      <c r="O16" s="208" t="str">
        <f t="shared" si="11"/>
        <v/>
      </c>
      <c r="P16" s="1344"/>
      <c r="Q16" s="39" t="str">
        <f t="shared" si="0"/>
        <v/>
      </c>
      <c r="R16" s="39">
        <f t="shared" si="12"/>
        <v>0</v>
      </c>
      <c r="S16" s="234">
        <f t="shared" si="13"/>
        <v>0</v>
      </c>
      <c r="T16" s="1755"/>
      <c r="U16" s="1755"/>
      <c r="V16" s="1755"/>
      <c r="W16" s="1345"/>
      <c r="X16" s="1757"/>
      <c r="Y16" s="1742"/>
      <c r="Z16" s="1346"/>
      <c r="AA16" s="1347"/>
      <c r="AB16" s="1141"/>
      <c r="AC16" s="1103" t="str">
        <f>IF(T16="","",VLOOKUP(Z16,Lists!$A$60:$B$111,2,FALSE))</f>
        <v/>
      </c>
      <c r="AD16" s="130" t="str">
        <f t="shared" si="14"/>
        <v/>
      </c>
      <c r="AE16" s="130" t="e">
        <f t="shared" si="15"/>
        <v>#VALUE!</v>
      </c>
      <c r="AF16" s="130">
        <f t="shared" si="16"/>
        <v>1</v>
      </c>
      <c r="AG16" s="234">
        <f t="shared" si="1"/>
        <v>0</v>
      </c>
      <c r="AH16" s="1753" t="str">
        <f>IF(T16="","",(IF(ISNUMBER(SEARCH("exit",T16)),8760,IF(AND(M16="Dusk to Dawn",'Proposed Lighting'!AU16=3),4059,IF(AND(AU16=3,M16="1"),0,IF(AND(AU16=3,M16="1-C"),0,IF(AND(AU16=3,M16="2"),0,IF(AND(AU16=3,M16="2-C"),0,IF(AND(AU16=3,M16="3"),0,IF(AND(AU16=3,M16="3-C"),0,IF(AND(AU16=2,M16="Dusk to Dawn"),0,IF(AND(AU16=2,M16="Dusk to Dawn-C"),0,IF(AND(AU16=2,M16="Dusk to Dawn"),0,IF(AND(AU16=2,M16="E"),0,IF(AND(AU16=2,M16="E-C"),0,EG16)))))))))))))))</f>
        <v/>
      </c>
      <c r="AI16" s="1754"/>
      <c r="AJ16" s="1348"/>
      <c r="AK16" s="1136"/>
      <c r="AL16" s="1748">
        <f t="shared" si="64"/>
        <v>0</v>
      </c>
      <c r="AM16" s="1749"/>
      <c r="AN16" s="1750"/>
      <c r="AO16" s="476">
        <f t="shared" si="2"/>
        <v>0</v>
      </c>
      <c r="AP16" s="476">
        <f t="shared" si="17"/>
        <v>0</v>
      </c>
      <c r="AQ16" s="475">
        <f t="shared" si="3"/>
        <v>0</v>
      </c>
      <c r="AR16" s="475">
        <f t="shared" si="18"/>
        <v>0</v>
      </c>
      <c r="AS16" s="743" t="str">
        <f t="shared" si="19"/>
        <v/>
      </c>
      <c r="AT16" s="736" t="str">
        <f t="shared" si="20"/>
        <v/>
      </c>
      <c r="AU16" s="56">
        <f t="shared" si="21"/>
        <v>1</v>
      </c>
      <c r="AV16" s="476">
        <f t="shared" si="22"/>
        <v>0</v>
      </c>
      <c r="AW16" s="56">
        <f t="shared" si="23"/>
        <v>0</v>
      </c>
      <c r="AX16" s="475">
        <f t="shared" si="65"/>
        <v>0</v>
      </c>
      <c r="AY16" s="1169">
        <f t="shared" si="66"/>
        <v>0</v>
      </c>
      <c r="AZ16" s="1150">
        <f t="shared" si="67"/>
        <v>0</v>
      </c>
      <c r="BA16" s="56">
        <f t="shared" si="68"/>
        <v>0</v>
      </c>
      <c r="BB16" s="420">
        <f t="shared" si="4"/>
        <v>0</v>
      </c>
      <c r="BC16" s="58" t="str">
        <f t="shared" si="5"/>
        <v/>
      </c>
      <c r="BD16" s="660">
        <f t="shared" si="69"/>
        <v>0</v>
      </c>
      <c r="BE16" s="57" t="e">
        <f t="array" ref="BE16">INDEX($EB$11:$ED$1022,MATCH(F16&amp;T16,$EB$11:$EB$1007&amp;$EC$11:$EC$1007,0),3)</f>
        <v>#N/A</v>
      </c>
      <c r="BF16" s="463">
        <f t="shared" si="24"/>
        <v>0</v>
      </c>
      <c r="BG16" s="1445" t="e">
        <f t="array" ref="BG16">INDEX($DO$112:$DQ$123,MATCH(T16&amp;W16,$DO$114:$DO$125&amp;$DP$112:$DP$123,0),3)</f>
        <v>#N/A</v>
      </c>
      <c r="BH16" s="1446">
        <f t="shared" si="25"/>
        <v>0</v>
      </c>
      <c r="BI16" s="465">
        <f t="shared" si="26"/>
        <v>0</v>
      </c>
      <c r="BJ16" s="465">
        <f t="shared" si="27"/>
        <v>0</v>
      </c>
      <c r="BK16" s="466">
        <f t="shared" si="28"/>
        <v>0</v>
      </c>
      <c r="BL16" s="466">
        <f t="shared" si="29"/>
        <v>0</v>
      </c>
      <c r="BM16" s="466">
        <f t="shared" si="30"/>
        <v>0</v>
      </c>
      <c r="BN16" s="466">
        <f t="shared" si="31"/>
        <v>0</v>
      </c>
      <c r="BO16" s="463">
        <f>IF('Data Entry'!$C$74=0,0,IF(ISNA(CJ16),0,IF(AX16=0,0,IF(AND('Data Entry'!$C$74=2,AF16&gt;2,CE16&lt;1),0,IF(AND('Data Entry'!$C$74=2,AF16&gt;1,AU16=2,CJ16&gt;1),0,IF(AND(AF16=5,CT16=0.5,AU16=2,ER16&lt;100),0,IF(AND(AF16=5,CT16=0.5,AU16=3,ER16&lt;100),0,IF(AND('Data Entry'!$C$74=2,AF16=2,AU16=2,AK16&gt;0.01,CB16=2,CE16&lt;1),0,IF(AND('Data Entry'!$C$74=2,AF16=3,AU16=3,AK16&gt;0.01,CB16=3,CE16&lt;1),0,IF(AND('Data Entry'!$C$74=2,AF16=3,AU16=3,AK16&gt;0.01,CB16=3,CE16&gt;0.99),BQ16*0.08,IF(AND('Data Entry'!$C$74=2,AF16=2,AU16=2,AK16&gt;0.01,CB16=2,CE16&gt;0.99),BQ16*0.1,IF(AND(AU16=2,AK16&gt;0.01,CB16=2,CD16&gt;1),BQ16*0.1,IF(AND(AU16=3,AK16&gt;0.01,CB16=3,CD16&gt;1),BQ16*0.08,CJ16*EF16)))))))))))))</f>
        <v>0</v>
      </c>
      <c r="BP16" s="475">
        <f t="shared" si="32"/>
        <v>0</v>
      </c>
      <c r="BQ16" s="1431">
        <f>IF(AU16=1,0,IF(CH16=100,0,IF(AND(AF16=3,AU16=2),0,IF(AND(BH16=0,CT16&gt;0.4),0,IF(AND('Data Entry'!$C$74=2,AF16=1.5),0,IF(AND('Data Entry'!$C$74=2,AF16=1.6),0,IF(AND('Data Entry'!$C$74=2,AF16=4),0,IF(AND('Data Entry'!$C$74=2,AF16=5),0,IF(AND('Data Entry'!$C$74=2,AF16=2.5,CE16&lt;1),0,IF(AND('Data Entry'!$C$74=2,AF16=3,CE16&lt;1),0,IF(AND('Data Entry'!$C$74=1,AF16=2.5,CD16&lt;1),0,IF(AND('Data Entry'!$C$74=1,AF16=3,CD16&lt;1),0,IF(DX16&gt;0.01,DX16,IF(ISERROR(AX16-AY16),"",ROUND(AX16-AY16,2)))))))))))))))</f>
        <v>0</v>
      </c>
      <c r="BR16" s="146">
        <f t="shared" si="33"/>
        <v>0</v>
      </c>
      <c r="BS16" s="475">
        <f t="shared" si="34"/>
        <v>0</v>
      </c>
      <c r="BT16" s="146" t="b">
        <f t="shared" si="35"/>
        <v>0</v>
      </c>
      <c r="BU16" s="463">
        <f>IF(ISNA(AT16),0,IF(AND('Data Entry'!$C$74=2,BC16=27),0,IF(AND('Data Entry'!$C$74=2,BC16=28),0,IF(AND(BC16=27,BT16=27,CM16&gt;0.1),CM16*0.15,IF(AND(BC16=28,BT16=28,CM16&gt;0.1),CM16*0.12,0)))))</f>
        <v>0</v>
      </c>
      <c r="BV16" s="463">
        <f t="shared" si="36"/>
        <v>0</v>
      </c>
      <c r="BW16" s="463">
        <f t="shared" si="37"/>
        <v>0</v>
      </c>
      <c r="BX16" s="463">
        <f t="shared" si="38"/>
        <v>0</v>
      </c>
      <c r="BY16" s="463">
        <f t="shared" si="39"/>
        <v>0</v>
      </c>
      <c r="BZ16" s="463">
        <f t="shared" si="40"/>
        <v>0</v>
      </c>
      <c r="CA16" s="57">
        <f t="shared" si="70"/>
        <v>0</v>
      </c>
      <c r="CB16" s="56">
        <f t="shared" si="41"/>
        <v>1</v>
      </c>
      <c r="CC16" s="756">
        <f>IF(EE16=0,0,IF(EF16=0,0,IF(EE16&gt;AA16,0,IF(AND(AZ16&gt;AW16,AW16&gt;0),0,IF(CU16=0,0,Summary!AC319)))))</f>
        <v>0</v>
      </c>
      <c r="CD16" s="756">
        <f>IF(EE16=0,0,IF(EF16=0,0,IF(EE16&gt;AA16,0,IF(AND(AZ16&gt;AW16,AW16&gt;0),0,IF(CU16=0,0,Summary!AD319)))))</f>
        <v>0</v>
      </c>
      <c r="CE16" s="756">
        <f>IF(EF16=0,0,IF(EE16&gt;AA16,0,IF(CC16=0,0,IF(AND(AZ16&gt;AW16,AW16&gt;0),0,IF(CU16=0,0,Summary!AE319)))))</f>
        <v>0</v>
      </c>
      <c r="CF16" s="475">
        <f t="shared" si="42"/>
        <v>0</v>
      </c>
      <c r="CG16" s="476">
        <f t="shared" si="6"/>
        <v>0</v>
      </c>
      <c r="CH16" s="487">
        <f t="shared" si="43"/>
        <v>0</v>
      </c>
      <c r="CI16" s="756">
        <f t="shared" si="44"/>
        <v>0</v>
      </c>
      <c r="CJ16" s="487">
        <f>IF(CT16&gt;0.4,0,IF(AND(AU16=2,CH16=0,CT16=0.5,ER16=100),35,IF(AND(AU16=3,BB16&gt;75,CH16=0,CT16=0.5,ER16=100),25,IF(CB16&gt;1,0,IF(EF16&gt;EE16,0,IF(AND(AF16&gt;1,CH16=100),0,IF(AND(AF16=1,AY16=0),0,IF(AND(EF16&lt;=EE16,AW16&gt;=AZ16,'Data Entry'!$C$74=1,AU16=2),VLOOKUP(W16,$DO$96:$DP$102,2,FALSE),IF(AND(EF16&lt;=EE16,AW16&gt;=AZ16,AU16=3,'Data Entry'!$C$74=1),VLOOKUP(W16,$DO$127:$DP$134,2,FALSE))))))))))</f>
        <v>0</v>
      </c>
      <c r="CK16" s="716">
        <f t="shared" si="45"/>
        <v>0</v>
      </c>
      <c r="CL16" s="57">
        <f t="shared" si="46"/>
        <v>0</v>
      </c>
      <c r="CM16" s="475">
        <f t="shared" si="77"/>
        <v>0</v>
      </c>
      <c r="CN16" s="660">
        <f>IF(CM16&lt;0.1,0,IF(ISNA(AT16),0,IF(CL16+BC16=1,0,IF(BV16&gt;0.01,0,IF(CL16&gt;0.01,0,IF(CF16=1,0,IF(BC16=0.5,0,IF(AND(CI16=1,AU16=3),0,IF(AND(CI16=5,CL16=0),0,IF(AND(R16=12,BR16=50),0,IF(CK16&gt;0.01,0,IF(AND(AJ16&gt;0.01,AU16=2,BC16=15),CM16*0.1,IF(AND(AJ16&gt;0.01,AU16=3,BC16=15),CM16*0.08,IF(AND(R16=12,BC16=3,AF16&lt;=0),0,IF(AND(BC16=15,BI16=0),0,IF(AND(BC16=15,BJ16=0),0,IF(AND(R16=20,CU16=0),0,IF($X$4=0,0,IF(AND(BC16=250,CL16=0),0,IF(AA16&lt;1,0,IF(AND(ISNUMBER(SEARCH("Area",T16)),AU16=3),0,IF(AND(AQ16&gt;0.01,AR16=0,BK16=0,BL16=0,BM16=0,BN16=0),0,IF(AND(AU16=3,CI16=7,CT16&gt;0.5),0,IF(AND(BC16=44,AU16=3,BY16=0),0,IF(AND(BC16=27,'Data Entry'!$C$74=2),0,IF(AND(BC16=28,'Data Entry'!$C$74=2),0,IF(AND(BY16+BZ16+CA16&gt;0.01,BV16=0,EQ16+ER16+ES16+ET16&lt;100),0,IF(AU16=3,CM16*0.08,IF(AU16=2,CM16*0.1,0)))))))))))))))))))))))))))))</f>
        <v>0</v>
      </c>
      <c r="CO16" s="660">
        <f t="shared" si="47"/>
        <v>0</v>
      </c>
      <c r="CP16" s="475" t="str">
        <f t="shared" si="48"/>
        <v/>
      </c>
      <c r="CQ16" s="161" t="str">
        <f>IF(AH16=0,0,IF(AU16=5,0,Summary!AC19))</f>
        <v/>
      </c>
      <c r="CR16" s="161" t="str">
        <f>IF(BF16=0.5,0,IF(AU16=5,0,Summary!AD19))</f>
        <v/>
      </c>
      <c r="CS16" s="161" t="str">
        <f>IF(AU16=5,0,Summary!AE19)</f>
        <v/>
      </c>
      <c r="CT16" s="161">
        <f t="shared" si="49"/>
        <v>0</v>
      </c>
      <c r="CU16" s="475" t="str">
        <f t="shared" si="7"/>
        <v/>
      </c>
      <c r="CV16" s="307">
        <f>IF('Data Entry'!$C$74=0,0,IF(AA16&lt;1,0,IF(ISERROR(CU16),0,IF(CF16=1,0,IF(AND(R16=12,BR16=50),0,IF(CL16+BO16+BV16+DC16=0,0,IF(BC16=37,0,IF(AND(BC16=40,AJ16=0),0,IF(AND(BC16=37,BO16&gt;0.01,BQ16&gt;0.01),ROUND(BQ16,0),IF(CM16&lt;0,0,ROUND(CM16,0)))))))))))</f>
        <v>0</v>
      </c>
      <c r="CW16" s="700">
        <f t="shared" si="50"/>
        <v>0</v>
      </c>
      <c r="CX16" s="477">
        <f>IF('Data Entry'!$C$74=0,0,IF(CV16&lt;0.01,0,IF(BF16=0.5,0,IF(CF16=1,0,IF(ISNUMBER(SEARCH("false",CL16)),0,IF(AZ16=500,0,CL16))))))</f>
        <v>0</v>
      </c>
      <c r="CY16" s="147" t="e">
        <f t="shared" si="51"/>
        <v>#VALUE!</v>
      </c>
      <c r="CZ16" s="147" t="b">
        <f>IF(CN16+CL16=0,FALSE,IF(AH16=0,0,IF(AND('Data Entry'!$C$74=1,CR16&gt;=1),TRUE,IF(AND('Data Entry'!$C$74=2,CS16&gt;=1),TRUE,FALSE))))</f>
        <v>0</v>
      </c>
      <c r="DA16" s="1751">
        <f>IF('Data Entry'!$C$74=0,0,IFERROR(ROUND(IF(T16="","",IF($X$4=0,0,IF(CF16=1,0,IF(BQ16+CV16=0,0,IF(CF16=1,0,IF(CY16&gt;0.01,CY16,IF(CL16&gt;0.01,CL16,IF(CY16&gt;0.01,CY16,IF(BC16=37,BO16,IF(CZ16=FALSE,0,IF(CZ16=TRUE,DC16+DF16,0))))))))))),2),""))</f>
        <v>0</v>
      </c>
      <c r="DB16" s="1752"/>
      <c r="DC16" s="474">
        <f>IF(CN16&lt;0.01,0,IF(AND(BR16=3,CN16&gt;0.01,CT16&gt;0.6,ER16+ES16+ET16&lt;100),0,IF(AND('Data Entry'!$C$74=1,CN16&gt;0.01,CR16&gt;0.99),MIN(CN16:CO16),IF(AND('Data Entry'!$C$74=2,CN16&gt;0.01,CS16&gt;0.99),MIN(CN16:CO16),0))))</f>
        <v>0</v>
      </c>
      <c r="DD16" s="478">
        <f>IF(CF16=1,"Selection does not match",IF(T16=0,0,IF(AND('Data Entry'!$C$74=0,CP16&gt;1),"Select Oregon or Idaho on Data Entry Tab",IF(AND(AU16=1,AA16&gt;0.9),"Missing Interior or Exterior Selection",IF($X$4=0,"Enter Total Project Cost",IF(AQ16&lt;AR16,"Insufficient kWh savings – no incentive",IF(AND(SUM(CL16+CK16+BV16)&gt;0.01,'Data Entry'!$C$74=2,CJ16&gt;1,BO16=0),"Submit Control as Non-Standard",IF(AND('Data Entry'!$C$74=2,BR16=37,CJ16&gt;1,BO16=0),"Submit Control as Non-Standard",IF(SUM(CL16+CK16+BV16)&gt;0.01,"Standard Incentive",IF(AND('Data Entry'!$C$74=2,CP16=7,CN16=0),"Submit as Non-Standard",IF(DC16&gt;0.9,"Non-Standard Incentive",IF(AND(BY16+BZ16+CA16&gt;0.01,BV16=0,EQ16=0,ER16=0,ES16=0,ET16=0),"Scroll Right &amp; Select Control Strategies",IF(AND(CN16&gt;0.01,CO16=0),"Enter Unit Installed Cost",IF(ISNUMBER(SEARCH("Lighting Controls Only",F16)),"Lighting Controls Only",IF(CL16+DC16=0,"Does not meet incentive criteria",0)))))))))))))))</f>
        <v>0</v>
      </c>
      <c r="DE16" s="337">
        <f t="shared" si="52"/>
        <v>0</v>
      </c>
      <c r="DF16" s="609">
        <f t="shared" si="53"/>
        <v>0</v>
      </c>
      <c r="DG16" s="336" t="str">
        <f t="shared" si="54"/>
        <v/>
      </c>
      <c r="DH16" s="338">
        <f t="shared" si="55"/>
        <v>1</v>
      </c>
      <c r="DI16" s="336" t="e">
        <f t="shared" si="8"/>
        <v>#VALUE!</v>
      </c>
      <c r="DJ16" s="338">
        <f t="shared" si="9"/>
        <v>0</v>
      </c>
      <c r="DK16" s="325" t="s">
        <v>187</v>
      </c>
      <c r="DL16" s="324">
        <v>51</v>
      </c>
      <c r="DM16" s="325" t="s">
        <v>183</v>
      </c>
      <c r="DN16" s="324">
        <v>6</v>
      </c>
      <c r="DO16" s="1433" t="s">
        <v>1751</v>
      </c>
      <c r="DP16" s="408"/>
      <c r="DQ16" s="1615" t="s">
        <v>1748</v>
      </c>
      <c r="DR16" s="933">
        <v>4</v>
      </c>
      <c r="DS16" s="1195">
        <f t="shared" si="56"/>
        <v>0</v>
      </c>
      <c r="DT16" s="344" t="b">
        <f t="shared" si="57"/>
        <v>1</v>
      </c>
      <c r="DU16" s="1314" t="str">
        <f t="array" ref="DU16">IF(OR(COUNTIF(F16,"*"&amp;$DK$9:$DK$178&amp;"*")), "Yes", "")</f>
        <v/>
      </c>
      <c r="DV16" s="1314">
        <f t="shared" si="58"/>
        <v>0</v>
      </c>
      <c r="DW16" s="1480">
        <f t="shared" si="59"/>
        <v>0</v>
      </c>
      <c r="DX16" s="1498">
        <f t="shared" si="71"/>
        <v>0</v>
      </c>
      <c r="DY16" s="1484">
        <f t="shared" si="60"/>
        <v>0</v>
      </c>
      <c r="DZ16" s="1481" t="str">
        <f>Lists!A68</f>
        <v xml:space="preserve">I:  </v>
      </c>
      <c r="EA16" s="881">
        <f>'Product Type'!E18</f>
        <v>0</v>
      </c>
      <c r="EB16" s="1499" t="s">
        <v>1560</v>
      </c>
      <c r="EC16" s="727" t="s">
        <v>1568</v>
      </c>
      <c r="ED16" s="728">
        <v>0.5</v>
      </c>
      <c r="EE16" s="1215"/>
      <c r="EF16" s="1215"/>
      <c r="EG16" s="1184" t="str">
        <f t="shared" si="61"/>
        <v/>
      </c>
      <c r="EH16" s="1198" t="s">
        <v>1750</v>
      </c>
      <c r="EI16" s="1200">
        <v>12</v>
      </c>
      <c r="EJ16" s="1185">
        <f t="shared" si="10"/>
        <v>0</v>
      </c>
      <c r="EK16" s="1211"/>
      <c r="EL16" s="1180">
        <f t="shared" si="72"/>
        <v>0</v>
      </c>
      <c r="EM16" s="206"/>
      <c r="EN16" s="1038"/>
      <c r="EO16" s="1038"/>
      <c r="EP16" s="1038"/>
      <c r="EQ16" s="1038">
        <f t="shared" si="62"/>
        <v>0</v>
      </c>
      <c r="ER16" s="1041">
        <f t="shared" si="75"/>
        <v>0</v>
      </c>
      <c r="ES16" s="1042">
        <f t="shared" si="63"/>
        <v>0</v>
      </c>
      <c r="ET16" s="1042">
        <f t="shared" si="73"/>
        <v>0</v>
      </c>
      <c r="EU16" s="1021">
        <f t="shared" si="74"/>
        <v>0</v>
      </c>
      <c r="EV16" s="368"/>
      <c r="EW16" s="368"/>
      <c r="EX16" s="369"/>
      <c r="EY16" s="370"/>
      <c r="EZ16" s="370"/>
      <c r="FA16" s="371"/>
      <c r="FB16" s="372"/>
    </row>
    <row r="17" spans="1:158" s="1" customFormat="1" ht="34.5" customHeight="1">
      <c r="A17" s="82">
        <v>9</v>
      </c>
      <c r="B17" s="1785"/>
      <c r="C17" s="1726"/>
      <c r="D17" s="1726"/>
      <c r="E17" s="1727"/>
      <c r="F17" s="1732"/>
      <c r="G17" s="1733"/>
      <c r="H17" s="1733"/>
      <c r="I17" s="1734"/>
      <c r="J17" s="1341"/>
      <c r="K17" s="1728"/>
      <c r="L17" s="1728"/>
      <c r="M17" s="1342"/>
      <c r="N17" s="1583"/>
      <c r="O17" s="208" t="str">
        <f t="shared" si="11"/>
        <v/>
      </c>
      <c r="P17" s="1344"/>
      <c r="Q17" s="39" t="str">
        <f t="shared" si="0"/>
        <v/>
      </c>
      <c r="R17" s="39">
        <f t="shared" si="12"/>
        <v>0</v>
      </c>
      <c r="S17" s="234">
        <f t="shared" si="13"/>
        <v>0</v>
      </c>
      <c r="T17" s="1755"/>
      <c r="U17" s="1755"/>
      <c r="V17" s="1755"/>
      <c r="W17" s="1345"/>
      <c r="X17" s="1757"/>
      <c r="Y17" s="1742"/>
      <c r="Z17" s="1346"/>
      <c r="AA17" s="1347"/>
      <c r="AB17" s="1141"/>
      <c r="AC17" s="1103" t="str">
        <f>IF(T17="","",VLOOKUP(Z17,Lists!$A$60:$B$111,2,FALSE))</f>
        <v/>
      </c>
      <c r="AD17" s="130" t="str">
        <f t="shared" si="14"/>
        <v/>
      </c>
      <c r="AE17" s="130" t="e">
        <f t="shared" si="15"/>
        <v>#VALUE!</v>
      </c>
      <c r="AF17" s="130">
        <f t="shared" si="16"/>
        <v>1</v>
      </c>
      <c r="AG17" s="234">
        <f t="shared" si="1"/>
        <v>0</v>
      </c>
      <c r="AH17" s="1753" t="str">
        <f>IF(T17="","",(IF(ISNUMBER(SEARCH("exit",T17)),8760,IF(AND(M17="Dusk to Dawn",'Proposed Lighting'!AU17=3),4059,IF(AND(AU17=3,M17="1"),0,IF(AND(AU17=3,M17="1-C"),0,IF(AND(AU17=3,M17="2"),0,IF(AND(AU17=3,M17="2-C"),0,IF(AND(AU17=3,M17="3"),0,IF(AND(AU17=3,M17="3-C"),0,IF(AND(AU17=2,M17="Dusk to Dawn"),0,IF(AND(AU17=2,M17="Dusk to Dawn-C"),0,IF(AND(AU17=2,M17="Dusk to Dawn"),0,IF(AND(AU17=2,M17="E"),0,IF(AND(AU17=2,M17="E-C"),0,EG17)))))))))))))))</f>
        <v/>
      </c>
      <c r="AI17" s="1754"/>
      <c r="AJ17" s="1348"/>
      <c r="AK17" s="1136"/>
      <c r="AL17" s="1748">
        <f t="shared" si="64"/>
        <v>0</v>
      </c>
      <c r="AM17" s="1749"/>
      <c r="AN17" s="1750"/>
      <c r="AO17" s="476">
        <f t="shared" si="2"/>
        <v>0</v>
      </c>
      <c r="AP17" s="476">
        <f t="shared" si="17"/>
        <v>0</v>
      </c>
      <c r="AQ17" s="475">
        <f t="shared" si="3"/>
        <v>0</v>
      </c>
      <c r="AR17" s="475">
        <f t="shared" si="18"/>
        <v>0</v>
      </c>
      <c r="AS17" s="743" t="str">
        <f t="shared" si="19"/>
        <v/>
      </c>
      <c r="AT17" s="736" t="str">
        <f t="shared" si="20"/>
        <v/>
      </c>
      <c r="AU17" s="56">
        <f t="shared" si="21"/>
        <v>1</v>
      </c>
      <c r="AV17" s="476">
        <f t="shared" si="22"/>
        <v>0</v>
      </c>
      <c r="AW17" s="56">
        <f t="shared" si="23"/>
        <v>0</v>
      </c>
      <c r="AX17" s="475">
        <f t="shared" si="65"/>
        <v>0</v>
      </c>
      <c r="AY17" s="1169">
        <f t="shared" si="66"/>
        <v>0</v>
      </c>
      <c r="AZ17" s="1150">
        <f t="shared" si="67"/>
        <v>0</v>
      </c>
      <c r="BA17" s="56">
        <f t="shared" si="68"/>
        <v>0</v>
      </c>
      <c r="BB17" s="420">
        <f t="shared" si="4"/>
        <v>0</v>
      </c>
      <c r="BC17" s="58" t="str">
        <f t="shared" si="5"/>
        <v/>
      </c>
      <c r="BD17" s="660">
        <f t="shared" si="69"/>
        <v>0</v>
      </c>
      <c r="BE17" s="57" t="e">
        <f t="array" ref="BE17">INDEX($EB$11:$ED$1022,MATCH(F17&amp;T17,$EB$11:$EB$1007&amp;$EC$11:$EC$1007,0),3)</f>
        <v>#N/A</v>
      </c>
      <c r="BF17" s="463">
        <f t="shared" si="24"/>
        <v>0</v>
      </c>
      <c r="BG17" s="1445" t="e">
        <f t="array" ref="BG17">INDEX($DO$112:$DQ$123,MATCH(T17&amp;W17,$DO$114:$DO$125&amp;$DP$112:$DP$123,0),3)</f>
        <v>#N/A</v>
      </c>
      <c r="BH17" s="1446">
        <f t="shared" si="25"/>
        <v>0</v>
      </c>
      <c r="BI17" s="465">
        <f t="shared" si="26"/>
        <v>0</v>
      </c>
      <c r="BJ17" s="465">
        <f t="shared" si="27"/>
        <v>0</v>
      </c>
      <c r="BK17" s="466">
        <f t="shared" si="28"/>
        <v>0</v>
      </c>
      <c r="BL17" s="466">
        <f t="shared" si="29"/>
        <v>0</v>
      </c>
      <c r="BM17" s="466">
        <f t="shared" si="30"/>
        <v>0</v>
      </c>
      <c r="BN17" s="466">
        <f t="shared" si="31"/>
        <v>0</v>
      </c>
      <c r="BO17" s="463">
        <f>IF('Data Entry'!$C$74=0,0,IF(ISNA(CJ17),0,IF(AX17=0,0,IF(AND('Data Entry'!$C$74=2,AF17&gt;2,CE17&lt;1),0,IF(AND('Data Entry'!$C$74=2,AF17&gt;1,AU17=2,CJ17&gt;1),0,IF(AND(AF17=5,CT17=0.5,AU17=2,ER17&lt;100),0,IF(AND(AF17=5,CT17=0.5,AU17=3,ER17&lt;100),0,IF(AND('Data Entry'!$C$74=2,AF17=2,AU17=2,AK17&gt;0.01,CB17=2,CE17&lt;1),0,IF(AND('Data Entry'!$C$74=2,AF17=3,AU17=3,AK17&gt;0.01,CB17=3,CE17&lt;1),0,IF(AND('Data Entry'!$C$74=2,AF17=3,AU17=3,AK17&gt;0.01,CB17=3,CE17&gt;0.99),BQ17*0.08,IF(AND('Data Entry'!$C$74=2,AF17=2,AU17=2,AK17&gt;0.01,CB17=2,CE17&gt;0.99),BQ17*0.1,IF(AND(AU17=2,AK17&gt;0.01,CB17=2,CD17&gt;1),BQ17*0.1,IF(AND(AU17=3,AK17&gt;0.01,CB17=3,CD17&gt;1),BQ17*0.08,CJ17*EF17)))))))))))))</f>
        <v>0</v>
      </c>
      <c r="BP17" s="475">
        <f t="shared" si="32"/>
        <v>0</v>
      </c>
      <c r="BQ17" s="1431">
        <f>IF(AU17=1,0,IF(CH17=100,0,IF(AND(AF17=3,AU17=2),0,IF(AND(BH17=0,CT17&gt;0.4),0,IF(AND('Data Entry'!$C$74=2,AF17=1.5),0,IF(AND('Data Entry'!$C$74=2,AF17=1.6),0,IF(AND('Data Entry'!$C$74=2,AF17=4),0,IF(AND('Data Entry'!$C$74=2,AF17=5),0,IF(AND('Data Entry'!$C$74=2,AF17=2.5,CE17&lt;1),0,IF(AND('Data Entry'!$C$74=2,AF17=3,CE17&lt;1),0,IF(AND('Data Entry'!$C$74=1,AF17=2.5,CD17&lt;1),0,IF(AND('Data Entry'!$C$74=1,AF17=3,CD17&lt;1),0,IF(DX17&gt;0.01,DX17,IF(ISERROR(AX17-AY17),"",ROUND(AX17-AY17,2)))))))))))))))</f>
        <v>0</v>
      </c>
      <c r="BR17" s="146">
        <f t="shared" si="33"/>
        <v>0</v>
      </c>
      <c r="BS17" s="475">
        <f t="shared" si="34"/>
        <v>0</v>
      </c>
      <c r="BT17" s="146" t="b">
        <f t="shared" si="35"/>
        <v>0</v>
      </c>
      <c r="BU17" s="463">
        <f>IF(ISNA(AT17),0,IF(AND('Data Entry'!$C$74=2,BC17=27),0,IF(AND('Data Entry'!$C$74=2,BC17=28),0,IF(AND(BC17=27,BT17=27,CM17&gt;0.1),CM17*0.15,IF(AND(BC17=28,BT17=28,CM17&gt;0.1),CM17*0.12,0)))))</f>
        <v>0</v>
      </c>
      <c r="BV17" s="463">
        <f>IF($X$4=0,0,IF(AND(CM17&lt;0.01,BQ17&lt;0.01),0,IF(ISNA(AT17),0,IF(BR17=3,0,IF(AND(BY17+BZ17+CA17&gt;0.01,EQ17+ER17+ES17+ET17&lt;100),0,IF(AA17&lt;1,0,IF(CB17=1,SUM(BI17+BJ17+BO17+BU17+BW17+BX17+BY17+BZ17+CA17+CK17),SUM(BI17+BJ17+BU17+BW17+BX17+BY17+BZ17+CA17+CK17))))))))</f>
        <v>0</v>
      </c>
      <c r="BW17" s="463">
        <f t="shared" si="37"/>
        <v>0</v>
      </c>
      <c r="BX17" s="463">
        <f t="shared" si="38"/>
        <v>0</v>
      </c>
      <c r="BY17" s="463">
        <f t="shared" si="39"/>
        <v>0</v>
      </c>
      <c r="BZ17" s="463">
        <f t="shared" si="40"/>
        <v>0</v>
      </c>
      <c r="CA17" s="57">
        <f t="shared" si="70"/>
        <v>0</v>
      </c>
      <c r="CB17" s="56">
        <f t="shared" si="41"/>
        <v>1</v>
      </c>
      <c r="CC17" s="756">
        <f>IF(EE17=0,0,IF(EF17=0,0,IF(EE17&gt;AA17,0,IF(AND(AZ17&gt;AW17,AW17&gt;0),0,IF(CU17=0,0,Summary!AC320)))))</f>
        <v>0</v>
      </c>
      <c r="CD17" s="756">
        <f>IF(EE17=0,0,IF(EF17=0,0,IF(EE17&gt;AA17,0,IF(AND(AZ17&gt;AW17,AW17&gt;0),0,IF(CU17=0,0,Summary!AD320)))))</f>
        <v>0</v>
      </c>
      <c r="CE17" s="756">
        <f>IF(EF17=0,0,IF(EE17&gt;AA17,0,IF(CC17=0,0,IF(AND(AZ17&gt;AW17,AW17&gt;0),0,IF(CU17=0,0,Summary!AE320)))))</f>
        <v>0</v>
      </c>
      <c r="CF17" s="475">
        <f t="shared" si="42"/>
        <v>0</v>
      </c>
      <c r="CG17" s="476">
        <f t="shared" si="6"/>
        <v>0</v>
      </c>
      <c r="CH17" s="487">
        <f t="shared" si="43"/>
        <v>0</v>
      </c>
      <c r="CI17" s="756">
        <f t="shared" si="44"/>
        <v>0</v>
      </c>
      <c r="CJ17" s="487">
        <f>IF(CT17&gt;0.4,0,IF(AND(AU17=2,CH17=0,CT17=0.5,ER17=100),35,IF(AND(AU17=3,BB17&gt;75,CH17=0,CT17=0.5,ER17=100),25,IF(CB17&gt;1,0,IF(EF17&gt;EE17,0,IF(AND(AF17&gt;1,CH17=100),0,IF(AND(AF17=1,AY17=0),0,IF(AND(EF17&lt;=EE17,AW17&gt;=AZ17,'Data Entry'!$C$74=1,AU17=2),VLOOKUP(W17,$DO$96:$DP$102,2,FALSE),IF(AND(EF17&lt;=EE17,AW17&gt;=AZ17,AU17=3,'Data Entry'!$C$74=1),VLOOKUP(W17,$DO$127:$DP$134,2,FALSE))))))))))</f>
        <v>0</v>
      </c>
      <c r="CK17" s="716">
        <f t="shared" si="45"/>
        <v>0</v>
      </c>
      <c r="CL17" s="57">
        <f t="shared" si="46"/>
        <v>0</v>
      </c>
      <c r="CM17" s="475">
        <f t="shared" si="77"/>
        <v>0</v>
      </c>
      <c r="CN17" s="660">
        <f>IF(CM17&lt;0.1,0,IF(ISNA(AT17),0,IF(CL17+BC17=1,0,IF(BV17&gt;0.01,0,IF(CL17&gt;0.01,0,IF(CF17=1,0,IF(BC17=0.5,0,IF(AND(CI17=1,AU17=3),0,IF(AND(CI17=5,CL17=0),0,IF(AND(R17=12,BR17=50),0,IF(CK17&gt;0.01,0,IF(AND(AJ17&gt;0.01,AU17=2,BC17=15),CM17*0.1,IF(AND(AJ17&gt;0.01,AU17=3,BC17=15),CM17*0.08,IF(AND(R17=12,BC17=3,AF17&lt;=0),0,IF(AND(BC17=15,BI17=0),0,IF(AND(BC17=15,BJ17=0),0,IF(AND(R17=20,CU17=0),0,IF($X$4=0,0,IF(AND(BC17=250,CL17=0),0,IF(AA17&lt;1,0,IF(AND(ISNUMBER(SEARCH("Area",T17)),AU17=3),0,IF(AND(AQ17&gt;0.01,AR17=0,BK17=0,BL17=0,BM17=0,BN17=0),0,IF(AND(AU17=3,CI17=7,CT17&gt;0.5),0,IF(AND(BC17=44,AU17=3,BY17=0),0,IF(AND(BC17=27,'Data Entry'!$C$74=2),0,IF(AND(BC17=28,'Data Entry'!$C$74=2),0,IF(AND(BY17+BZ17+CA17&gt;0.01,BV17=0,EQ17+ER17+ES17+ET17&lt;100),0,IF(AU17=3,CM17*0.08,IF(AU17=2,CM17*0.1,0)))))))))))))))))))))))))))))</f>
        <v>0</v>
      </c>
      <c r="CO17" s="660">
        <f t="shared" si="47"/>
        <v>0</v>
      </c>
      <c r="CP17" s="475" t="str">
        <f t="shared" si="48"/>
        <v/>
      </c>
      <c r="CQ17" s="161" t="str">
        <f>IF(AH17=0,0,IF(AU17=5,0,Summary!AC20))</f>
        <v/>
      </c>
      <c r="CR17" s="161" t="str">
        <f>IF(BF17=0.5,0,IF(AU17=5,0,Summary!AD20))</f>
        <v/>
      </c>
      <c r="CS17" s="161" t="str">
        <f>IF(AU17=5,0,Summary!AE20)</f>
        <v/>
      </c>
      <c r="CT17" s="161">
        <f t="shared" si="49"/>
        <v>0</v>
      </c>
      <c r="CU17" s="475" t="str">
        <f t="shared" si="7"/>
        <v/>
      </c>
      <c r="CV17" s="307">
        <f>IF('Data Entry'!$C$74=0,0,IF(AA17&lt;1,0,IF(ISERROR(CU17),0,IF(CF17=1,0,IF(AND(R17=12,BR17=50),0,IF(CL17+BO17+BV17+DC17=0,0,IF(BC17=37,0,IF(AND(BC17=40,AJ17=0),0,IF(AND(BC17=37,BO17&gt;0.01,BQ17&gt;0.01),ROUND(BQ17,0),IF(CM17&lt;0,0,ROUND(CM17,0)))))))))))</f>
        <v>0</v>
      </c>
      <c r="CW17" s="700">
        <f t="shared" si="50"/>
        <v>0</v>
      </c>
      <c r="CX17" s="477">
        <f>IF('Data Entry'!$C$74=0,0,IF(CV17&lt;0.01,0,IF(BF17=0.5,0,IF(CF17=1,0,IF(ISNUMBER(SEARCH("false",CL17)),0,IF(AZ17=500,0,CL17))))))</f>
        <v>0</v>
      </c>
      <c r="CY17" s="147" t="e">
        <f t="shared" si="51"/>
        <v>#VALUE!</v>
      </c>
      <c r="CZ17" s="147" t="b">
        <f>IF(CN17+CL17=0,FALSE,IF(AH17=0,0,IF(AND('Data Entry'!$C$74=1,CR17&gt;=1),TRUE,IF(AND('Data Entry'!$C$74=2,CS17&gt;=1),TRUE,FALSE))))</f>
        <v>0</v>
      </c>
      <c r="DA17" s="1751">
        <f>IF('Data Entry'!$C$74=0,0,IFERROR(ROUND(IF(T17="","",IF($X$4=0,0,IF(CF17=1,0,IF(BQ17+CV17=0,0,IF(CF17=1,0,IF(CY17&gt;0.01,CY17,IF(CL17&gt;0.01,CL17,IF(CY17&gt;0.01,CY17,IF(BC17=37,BO17,IF(CZ17=FALSE,0,IF(CZ17=TRUE,DC17+DF17,0))))))))))),2),""))</f>
        <v>0</v>
      </c>
      <c r="DB17" s="1752"/>
      <c r="DC17" s="474">
        <f>IF(CN17&lt;0.01,0,IF(AND(BR17=3,CN17&gt;0.01,CT17&gt;0.6,ER17+ES17+ET17&lt;100),0,IF(AND('Data Entry'!$C$74=1,CN17&gt;0.01,CR17&gt;0.99),MIN(CN17:CO17),IF(AND('Data Entry'!$C$74=2,CN17&gt;0.01,CS17&gt;0.99),MIN(CN17:CO17),0))))</f>
        <v>0</v>
      </c>
      <c r="DD17" s="478">
        <f>IF(CF17=1,"Selection does not match",IF(T17=0,0,IF(AND('Data Entry'!$C$74=0,CP17&gt;1),"Select Oregon or Idaho on Data Entry Tab",IF(AND(AU17=1,AA17&gt;0.9),"Missing Interior or Exterior Selection",IF($X$4=0,"Enter Total Project Cost",IF(AQ17&lt;AR17,"Insufficient kWh savings – no incentive",IF(AND(SUM(CL17+CK17+BV17)&gt;0.01,'Data Entry'!$C$74=2,CJ17&gt;1,BO17=0),"Submit Control as Non-Standard",IF(AND('Data Entry'!$C$74=2,BR17=37,CJ17&gt;1,BO17=0),"Submit Control as Non-Standard",IF(SUM(CL17+CK17+BV17)&gt;0.01,"Standard Incentive",IF(AND('Data Entry'!$C$74=2,CP17=7,CN17=0),"Submit as Non-Standard",IF(DC17&gt;0.9,"Non-Standard Incentive",IF(AND(BY17+BZ17+CA17&gt;0.01,BV17=0,EQ17=0,ER17=0,ES17=0,ET17=0),"Scroll Right &amp; Select Control Strategies",IF(AND(CN17&gt;0.01,CO17=0),"Enter Unit Installed Cost",IF(ISNUMBER(SEARCH("Lighting Controls Only",F17)),"Lighting Controls Only",IF(CL17+DC17=0,"Does not meet incentive criteria",0)))))))))))))))</f>
        <v>0</v>
      </c>
      <c r="DE17" s="337">
        <f t="shared" si="52"/>
        <v>0</v>
      </c>
      <c r="DF17" s="609">
        <f t="shared" si="53"/>
        <v>0</v>
      </c>
      <c r="DG17" s="336" t="str">
        <f t="shared" si="54"/>
        <v/>
      </c>
      <c r="DH17" s="338">
        <f t="shared" si="55"/>
        <v>1</v>
      </c>
      <c r="DI17" s="336" t="e">
        <f t="shared" si="8"/>
        <v>#VALUE!</v>
      </c>
      <c r="DJ17" s="338">
        <f t="shared" si="9"/>
        <v>0</v>
      </c>
      <c r="DK17" s="325" t="s">
        <v>188</v>
      </c>
      <c r="DL17" s="324">
        <v>66</v>
      </c>
      <c r="DM17" s="325" t="s">
        <v>184</v>
      </c>
      <c r="DN17" s="324">
        <v>8</v>
      </c>
      <c r="DO17" s="1433" t="s">
        <v>1752</v>
      </c>
      <c r="DP17" s="344" t="s">
        <v>34</v>
      </c>
      <c r="DQ17" s="1196" t="s">
        <v>1749</v>
      </c>
      <c r="DR17" s="933">
        <v>5</v>
      </c>
      <c r="DS17" s="1195">
        <f t="shared" si="56"/>
        <v>0</v>
      </c>
      <c r="DT17" s="344" t="b">
        <f t="shared" si="57"/>
        <v>1</v>
      </c>
      <c r="DU17" s="1314" t="str">
        <f t="array" ref="DU17">IF(OR(COUNTIF(F17,"*"&amp;$DK$9:$DK$178&amp;"*")), "Yes", "")</f>
        <v/>
      </c>
      <c r="DV17" s="1314">
        <f t="shared" si="58"/>
        <v>0</v>
      </c>
      <c r="DW17" s="1480">
        <f t="shared" si="59"/>
        <v>0</v>
      </c>
      <c r="DX17" s="1498">
        <f t="shared" si="71"/>
        <v>0</v>
      </c>
      <c r="DY17" s="1484">
        <f t="shared" si="60"/>
        <v>0</v>
      </c>
      <c r="DZ17" s="1481" t="str">
        <f>Lists!A69</f>
        <v xml:space="preserve">J:  </v>
      </c>
      <c r="EA17" s="881">
        <f>'Product Type'!E19</f>
        <v>0</v>
      </c>
      <c r="EB17" s="1499" t="s">
        <v>73</v>
      </c>
      <c r="EC17" s="727" t="s">
        <v>1568</v>
      </c>
      <c r="ED17" s="728">
        <v>0.5</v>
      </c>
      <c r="EE17" s="1215"/>
      <c r="EF17" s="1215"/>
      <c r="EG17" s="1184" t="str">
        <f t="shared" si="61"/>
        <v/>
      </c>
      <c r="EH17" s="1198" t="s">
        <v>1751</v>
      </c>
      <c r="EI17" s="1199">
        <v>12</v>
      </c>
      <c r="EJ17" s="1185">
        <f t="shared" si="10"/>
        <v>0</v>
      </c>
      <c r="EK17" s="1211"/>
      <c r="EL17" s="1180">
        <f t="shared" si="72"/>
        <v>0</v>
      </c>
      <c r="EM17" s="206"/>
      <c r="EN17" s="1038"/>
      <c r="EO17" s="1038"/>
      <c r="EP17" s="1038"/>
      <c r="EQ17" s="1038">
        <f t="shared" si="62"/>
        <v>0</v>
      </c>
      <c r="ER17" s="1041">
        <f t="shared" si="75"/>
        <v>0</v>
      </c>
      <c r="ES17" s="1042">
        <f t="shared" si="63"/>
        <v>0</v>
      </c>
      <c r="ET17" s="1042">
        <f t="shared" si="73"/>
        <v>0</v>
      </c>
      <c r="EU17" s="1021">
        <f t="shared" si="74"/>
        <v>0</v>
      </c>
      <c r="EV17" s="368"/>
      <c r="EW17" s="368"/>
      <c r="EX17" s="369"/>
      <c r="EY17" s="370"/>
      <c r="EZ17" s="370"/>
      <c r="FA17" s="371"/>
      <c r="FB17" s="372"/>
    </row>
    <row r="18" spans="1:158" s="1" customFormat="1" ht="34.5" customHeight="1">
      <c r="A18" s="82">
        <v>10</v>
      </c>
      <c r="B18" s="1785"/>
      <c r="C18" s="1726"/>
      <c r="D18" s="1726"/>
      <c r="E18" s="1727"/>
      <c r="F18" s="1732"/>
      <c r="G18" s="1733"/>
      <c r="H18" s="1733"/>
      <c r="I18" s="1734"/>
      <c r="J18" s="1341"/>
      <c r="K18" s="1728"/>
      <c r="L18" s="1728"/>
      <c r="M18" s="1342"/>
      <c r="N18" s="1583"/>
      <c r="O18" s="208" t="str">
        <f t="shared" si="11"/>
        <v/>
      </c>
      <c r="P18" s="1344"/>
      <c r="Q18" s="39" t="str">
        <f t="shared" si="0"/>
        <v/>
      </c>
      <c r="R18" s="39">
        <f t="shared" si="12"/>
        <v>0</v>
      </c>
      <c r="S18" s="234">
        <f t="shared" si="13"/>
        <v>0</v>
      </c>
      <c r="T18" s="1755"/>
      <c r="U18" s="1755"/>
      <c r="V18" s="1755"/>
      <c r="W18" s="1345"/>
      <c r="X18" s="1790"/>
      <c r="Y18" s="1742"/>
      <c r="Z18" s="1346"/>
      <c r="AA18" s="1347"/>
      <c r="AB18" s="1141"/>
      <c r="AC18" s="1103" t="str">
        <f>IF(T18="","",VLOOKUP(Z18,Lists!$A$60:$B$111,2,FALSE))</f>
        <v/>
      </c>
      <c r="AD18" s="130" t="str">
        <f t="shared" si="14"/>
        <v/>
      </c>
      <c r="AE18" s="130" t="e">
        <f t="shared" si="15"/>
        <v>#VALUE!</v>
      </c>
      <c r="AF18" s="130">
        <f t="shared" si="16"/>
        <v>1</v>
      </c>
      <c r="AG18" s="234">
        <f t="shared" si="1"/>
        <v>0</v>
      </c>
      <c r="AH18" s="1753" t="str">
        <f>IF(T18="","",(IF(ISNUMBER(SEARCH("exit",T18)),8760,IF(AND(M18="Dusk to Dawn",'Proposed Lighting'!AU18=3),4059,IF(AND(AU18=3,M18="1"),0,IF(AND(AU18=3,M18="1-C"),0,IF(AND(AU18=3,M18="2"),0,IF(AND(AU18=3,M18="2-C"),0,IF(AND(AU18=3,M18="3"),0,IF(AND(AU18=3,M18="3-C"),0,IF(AND(AU18=2,M18="Dusk to Dawn"),0,IF(AND(AU18=2,M18="Dusk to Dawn-C"),0,IF(AND(AU18=2,M18="Dusk to Dawn"),0,IF(AND(AU18=2,M18="E"),0,IF(AND(AU18=2,M18="E-C"),0,EG18)))))))))))))))</f>
        <v/>
      </c>
      <c r="AI18" s="1754"/>
      <c r="AJ18" s="1348"/>
      <c r="AK18" s="1136"/>
      <c r="AL18" s="1748">
        <f t="shared" si="64"/>
        <v>0</v>
      </c>
      <c r="AM18" s="1749"/>
      <c r="AN18" s="1750"/>
      <c r="AO18" s="476">
        <f t="shared" si="2"/>
        <v>0</v>
      </c>
      <c r="AP18" s="476">
        <f t="shared" si="17"/>
        <v>0</v>
      </c>
      <c r="AQ18" s="475">
        <f t="shared" si="3"/>
        <v>0</v>
      </c>
      <c r="AR18" s="475">
        <f t="shared" si="18"/>
        <v>0</v>
      </c>
      <c r="AS18" s="743" t="str">
        <f t="shared" si="19"/>
        <v/>
      </c>
      <c r="AT18" s="736" t="str">
        <f t="shared" si="20"/>
        <v/>
      </c>
      <c r="AU18" s="56">
        <f t="shared" si="21"/>
        <v>1</v>
      </c>
      <c r="AV18" s="476">
        <f t="shared" si="22"/>
        <v>0</v>
      </c>
      <c r="AW18" s="56">
        <f t="shared" si="23"/>
        <v>0</v>
      </c>
      <c r="AX18" s="475">
        <f t="shared" si="65"/>
        <v>0</v>
      </c>
      <c r="AY18" s="1169">
        <f t="shared" si="66"/>
        <v>0</v>
      </c>
      <c r="AZ18" s="1150">
        <f t="shared" si="67"/>
        <v>0</v>
      </c>
      <c r="BA18" s="56">
        <f t="shared" si="68"/>
        <v>0</v>
      </c>
      <c r="BB18" s="420">
        <f t="shared" si="4"/>
        <v>0</v>
      </c>
      <c r="BC18" s="58" t="str">
        <f t="shared" si="5"/>
        <v/>
      </c>
      <c r="BD18" s="660">
        <f t="shared" si="69"/>
        <v>0</v>
      </c>
      <c r="BE18" s="57" t="e">
        <f t="array" ref="BE18">INDEX($EB$11:$ED$1022,MATCH(F18&amp;T18,$EB$11:$EB$1007&amp;$EC$11:$EC$1007,0),3)</f>
        <v>#N/A</v>
      </c>
      <c r="BF18" s="463">
        <f t="shared" si="24"/>
        <v>0</v>
      </c>
      <c r="BG18" s="1445" t="e">
        <f t="array" ref="BG18">INDEX($DO$112:$DQ$123,MATCH(T18&amp;W18,$DO$114:$DO$125&amp;$DP$112:$DP$123,0),3)</f>
        <v>#N/A</v>
      </c>
      <c r="BH18" s="1446">
        <f t="shared" si="25"/>
        <v>0</v>
      </c>
      <c r="BI18" s="465">
        <f t="shared" si="26"/>
        <v>0</v>
      </c>
      <c r="BJ18" s="465">
        <f t="shared" si="27"/>
        <v>0</v>
      </c>
      <c r="BK18" s="466">
        <f t="shared" si="28"/>
        <v>0</v>
      </c>
      <c r="BL18" s="466">
        <f t="shared" si="29"/>
        <v>0</v>
      </c>
      <c r="BM18" s="466">
        <f t="shared" si="30"/>
        <v>0</v>
      </c>
      <c r="BN18" s="466">
        <f t="shared" si="31"/>
        <v>0</v>
      </c>
      <c r="BO18" s="463">
        <f>IF('Data Entry'!$C$74=0,0,IF(ISNA(CJ18),0,IF(AX18=0,0,IF(AND('Data Entry'!$C$74=2,AF18&gt;2,CE18&lt;1),0,IF(AND('Data Entry'!$C$74=2,AF18&gt;1,AU18=2,CJ18&gt;1),0,IF(AND(AF18=5,CT18=0.5,AU18=2,ER18&lt;100),0,IF(AND(AF18=5,CT18=0.5,AU18=3,ER18&lt;100),0,IF(AND('Data Entry'!$C$74=2,AF18=2,AU18=2,AK18&gt;0.01,CB18=2,CE18&lt;1),0,IF(AND('Data Entry'!$C$74=2,AF18=3,AU18=3,AK18&gt;0.01,CB18=3,CE18&lt;1),0,IF(AND('Data Entry'!$C$74=2,AF18=3,AU18=3,AK18&gt;0.01,CB18=3,CE18&gt;0.99),BQ18*0.08,IF(AND('Data Entry'!$C$74=2,AF18=2,AU18=2,AK18&gt;0.01,CB18=2,CE18&gt;0.99),BQ18*0.1,IF(AND(AU18=2,AK18&gt;0.01,CB18=2,CD18&gt;1),BQ18*0.1,IF(AND(AU18=3,AK18&gt;0.01,CB18=3,CD18&gt;1),BQ18*0.08,CJ18*EF18)))))))))))))</f>
        <v>0</v>
      </c>
      <c r="BP18" s="475">
        <f t="shared" si="32"/>
        <v>0</v>
      </c>
      <c r="BQ18" s="1431">
        <f>IF(AU18=1,0,IF(CH18=100,0,IF(AND(AF18=3,AU18=2),0,IF(AND(BH18=0,CT18&gt;0.4),0,IF(AND('Data Entry'!$C$74=2,AF18=1.5),0,IF(AND('Data Entry'!$C$74=2,AF18=1.6),0,IF(AND('Data Entry'!$C$74=2,AF18=4),0,IF(AND('Data Entry'!$C$74=2,AF18=5),0,IF(AND('Data Entry'!$C$74=2,AF18=2.5,CE18&lt;1),0,IF(AND('Data Entry'!$C$74=2,AF18=3,CE18&lt;1),0,IF(AND('Data Entry'!$C$74=1,AF18=2.5,CD18&lt;1),0,IF(AND('Data Entry'!$C$74=1,AF18=3,CD18&lt;1),0,IF(DX18&gt;0.01,DX18,IF(ISERROR(AX18-AY18),"",ROUND(AX18-AY18,2)))))))))))))))</f>
        <v>0</v>
      </c>
      <c r="BR18" s="146">
        <f t="shared" si="33"/>
        <v>0</v>
      </c>
      <c r="BS18" s="475">
        <f t="shared" si="34"/>
        <v>0</v>
      </c>
      <c r="BT18" s="146" t="b">
        <f t="shared" si="35"/>
        <v>0</v>
      </c>
      <c r="BU18" s="463">
        <f>IF(ISNA(AT18),0,IF(AND('Data Entry'!$C$74=2,BC18=27),0,IF(AND('Data Entry'!$C$74=2,BC18=28),0,IF(AND(BC18=27,BT18=27,CM18&gt;0.1),CM18*0.15,IF(AND(BC18=28,BT18=28,CM18&gt;0.1),CM18*0.12,0)))))</f>
        <v>0</v>
      </c>
      <c r="BV18" s="463">
        <f t="shared" si="36"/>
        <v>0</v>
      </c>
      <c r="BW18" s="463">
        <f t="shared" si="37"/>
        <v>0</v>
      </c>
      <c r="BX18" s="463">
        <f t="shared" si="38"/>
        <v>0</v>
      </c>
      <c r="BY18" s="463">
        <f t="shared" si="39"/>
        <v>0</v>
      </c>
      <c r="BZ18" s="463">
        <f t="shared" si="40"/>
        <v>0</v>
      </c>
      <c r="CA18" s="57">
        <f t="shared" si="70"/>
        <v>0</v>
      </c>
      <c r="CB18" s="56">
        <f t="shared" si="41"/>
        <v>1</v>
      </c>
      <c r="CC18" s="756">
        <f>IF(EE18=0,0,IF(EF18=0,0,IF(EE18&gt;AA18,0,IF(AND(AZ18&gt;AW18,AW18&gt;0),0,IF(CU18=0,0,Summary!AC321)))))</f>
        <v>0</v>
      </c>
      <c r="CD18" s="756">
        <f>IF(EE18=0,0,IF(EF18=0,0,IF(EE18&gt;AA18,0,IF(AND(AZ18&gt;AW18,AW18&gt;0),0,IF(CU18=0,0,Summary!AD321)))))</f>
        <v>0</v>
      </c>
      <c r="CE18" s="756">
        <f>IF(EF18=0,0,IF(EE18&gt;AA18,0,IF(CC18=0,0,IF(AND(AZ18&gt;AW18,AW18&gt;0),0,IF(CU18=0,0,Summary!AE321)))))</f>
        <v>0</v>
      </c>
      <c r="CF18" s="475">
        <f t="shared" si="42"/>
        <v>0</v>
      </c>
      <c r="CG18" s="476">
        <f t="shared" si="6"/>
        <v>0</v>
      </c>
      <c r="CH18" s="487">
        <f t="shared" si="43"/>
        <v>0</v>
      </c>
      <c r="CI18" s="756">
        <f t="shared" si="44"/>
        <v>0</v>
      </c>
      <c r="CJ18" s="487">
        <f>IF(CT18&gt;0.4,0,IF(AND(AU18=2,CH18=0,CT18=0.5,ER18=100),35,IF(AND(AU18=3,BB18&gt;75,CH18=0,CT18=0.5,ER18=100),25,IF(CB18&gt;1,0,IF(EF18&gt;EE18,0,IF(AND(AF18&gt;1,CH18=100),0,IF(AND(AF18=1,AY18=0),0,IF(AND(EF18&lt;=EE18,AW18&gt;=AZ18,'Data Entry'!$C$74=1,AU18=2),VLOOKUP(W18,$DO$96:$DP$102,2,FALSE),IF(AND(EF18&lt;=EE18,AW18&gt;=AZ18,AU18=3,'Data Entry'!$C$74=1),VLOOKUP(W18,$DO$127:$DP$134,2,FALSE))))))))))</f>
        <v>0</v>
      </c>
      <c r="CK18" s="716">
        <f t="shared" si="45"/>
        <v>0</v>
      </c>
      <c r="CL18" s="57">
        <f t="shared" si="46"/>
        <v>0</v>
      </c>
      <c r="CM18" s="475">
        <f t="shared" si="77"/>
        <v>0</v>
      </c>
      <c r="CN18" s="660">
        <f>IF(CM18&lt;0.1,0,IF(ISNA(AT18),0,IF(CL18+BC18=1,0,IF(BV18&gt;0.01,0,IF(CL18&gt;0.01,0,IF(CF18=1,0,IF(BC18=0.5,0,IF(AND(CI18=1,AU18=3),0,IF(AND(CI18=5,CL18=0),0,IF(AND(R18=12,BR18=50),0,IF(CK18&gt;0.01,0,IF(AND(AJ18&gt;0.01,AU18=2,BC18=15),CM18*0.1,IF(AND(AJ18&gt;0.01,AU18=3,BC18=15),CM18*0.08,IF(AND(R18=12,BC18=3,AF18&lt;=0),0,IF(AND(BC18=15,BI18=0),0,IF(AND(BC18=15,BJ18=0),0,IF(AND(R18=20,CU18=0),0,IF($X$4=0,0,IF(AND(BC18=250,CL18=0),0,IF(AA18&lt;1,0,IF(AND(ISNUMBER(SEARCH("Area",T18)),AU18=3),0,IF(AND(AQ18&gt;0.01,AR18=0,BK18=0,BL18=0,BM18=0,BN18=0),0,IF(AND(AU18=3,CI18=7,CT18&gt;0.5),0,IF(AND(BC18=44,AU18=3,BY18=0),0,IF(AND(BC18=27,'Data Entry'!$C$74=2),0,IF(AND(BC18=28,'Data Entry'!$C$74=2),0,IF(AND(BY18+BZ18+CA18&gt;0.01,BV18=0,EQ18+ER18+ES18+ET18&lt;100),0,IF(AU18=3,CM18*0.08,IF(AU18=2,CM18*0.1,0)))))))))))))))))))))))))))))</f>
        <v>0</v>
      </c>
      <c r="CO18" s="660">
        <f t="shared" si="47"/>
        <v>0</v>
      </c>
      <c r="CP18" s="475" t="str">
        <f t="shared" si="48"/>
        <v/>
      </c>
      <c r="CQ18" s="161" t="str">
        <f>IF(AH18=0,0,IF(AU18=5,0,Summary!AC21))</f>
        <v/>
      </c>
      <c r="CR18" s="161" t="str">
        <f>IF(BF18=0.5,0,IF(AU18=5,0,Summary!AD21))</f>
        <v/>
      </c>
      <c r="CS18" s="161" t="str">
        <f>IF(AU18=5,0,Summary!AE21)</f>
        <v/>
      </c>
      <c r="CT18" s="161">
        <f t="shared" si="49"/>
        <v>0</v>
      </c>
      <c r="CU18" s="475" t="str">
        <f t="shared" si="7"/>
        <v/>
      </c>
      <c r="CV18" s="307">
        <f>IF('Data Entry'!$C$74=0,0,IF(AA18&lt;1,0,IF(ISERROR(CU18),0,IF(CF18=1,0,IF(AND(R18=12,BR18=50),0,IF(CL18+BO18+BV18+DC18=0,0,IF(BC18=37,0,IF(AND(BC18=40,AJ18=0),0,IF(AND(BC18=37,BO18&gt;0.01,BQ18&gt;0.01),ROUND(BQ18,0),IF(CM18&lt;0,0,ROUND(CM18,0)))))))))))</f>
        <v>0</v>
      </c>
      <c r="CW18" s="700">
        <f t="shared" si="50"/>
        <v>0</v>
      </c>
      <c r="CX18" s="477">
        <f>IF('Data Entry'!$C$74=0,0,IF(CV18&lt;0.01,0,IF(BF18=0.5,0,IF(CF18=1,0,IF(ISNUMBER(SEARCH("false",CL18)),0,IF(AZ18=500,0,CL18))))))</f>
        <v>0</v>
      </c>
      <c r="CY18" s="147" t="e">
        <f t="shared" si="51"/>
        <v>#VALUE!</v>
      </c>
      <c r="CZ18" s="147" t="b">
        <f>IF(CN18+CL18=0,FALSE,IF(AH18=0,0,IF(AND('Data Entry'!$C$74=1,CR18&gt;=1),TRUE,IF(AND('Data Entry'!$C$74=2,CS18&gt;=1),TRUE,FALSE))))</f>
        <v>0</v>
      </c>
      <c r="DA18" s="1751">
        <f>IF('Data Entry'!$C$74=0,0,IFERROR(ROUND(IF(T18="","",IF($X$4=0,0,IF(CF18=1,0,IF(BQ18+CV18=0,0,IF(CF18=1,0,IF(CY18&gt;0.01,CY18,IF(CL18&gt;0.01,CL18,IF(CY18&gt;0.01,CY18,IF(BC18=37,BO18,IF(CZ18=FALSE,0,IF(CZ18=TRUE,DC18+DF18,0))))))))))),2),""))</f>
        <v>0</v>
      </c>
      <c r="DB18" s="1752"/>
      <c r="DC18" s="474">
        <f>IF(CN18&lt;0.01,0,IF(AND(BR18=3,CN18&gt;0.01,CT18&gt;0.6,ER18+ES18+ET18&lt;100),0,IF(AND('Data Entry'!$C$74=1,CN18&gt;0.01,CR18&gt;0.99),MIN(CN18:CO18),IF(AND('Data Entry'!$C$74=2,CN18&gt;0.01,CS18&gt;0.99),MIN(CN18:CO18),0))))</f>
        <v>0</v>
      </c>
      <c r="DD18" s="478">
        <f>IF(CF18=1,"Selection does not match",IF(T18=0,0,IF(AND('Data Entry'!$C$74=0,CP18&gt;1),"Select Oregon or Idaho on Data Entry Tab",IF(AND(AU18=1,AA18&gt;0.9),"Missing Interior or Exterior Selection",IF($X$4=0,"Enter Total Project Cost",IF(AQ18&lt;AR18,"Insufficient kWh savings – no incentive",IF(AND(SUM(CL18+CK18+BV18)&gt;0.01,'Data Entry'!$C$74=2,CJ18&gt;1,BO18=0),"Submit Control as Non-Standard",IF(AND('Data Entry'!$C$74=2,BR18=37,CJ18&gt;1,BO18=0),"Submit Control as Non-Standard",IF(SUM(CL18+CK18+BV18)&gt;0.01,"Standard Incentive",IF(AND('Data Entry'!$C$74=2,CP18=7,CN18=0),"Submit as Non-Standard",IF(DC18&gt;0.9,"Non-Standard Incentive",IF(AND(BY18+BZ18+CA18&gt;0.01,BV18=0,EQ18=0,ER18=0,ES18=0,ET18=0),"Scroll Right &amp; Select Control Strategies",IF(AND(CN18&gt;0.01,CO18=0),"Enter Unit Installed Cost",IF(ISNUMBER(SEARCH("Lighting Controls Only",F18)),"Lighting Controls Only",IF(CL18+DC18=0,"Does not meet incentive criteria",0)))))))))))))))</f>
        <v>0</v>
      </c>
      <c r="DE18" s="337">
        <f t="shared" si="52"/>
        <v>0</v>
      </c>
      <c r="DF18" s="609">
        <f t="shared" si="53"/>
        <v>0</v>
      </c>
      <c r="DG18" s="336" t="str">
        <f t="shared" si="54"/>
        <v/>
      </c>
      <c r="DH18" s="338">
        <f t="shared" si="55"/>
        <v>1</v>
      </c>
      <c r="DI18" s="336" t="e">
        <f t="shared" si="8"/>
        <v>#VALUE!</v>
      </c>
      <c r="DJ18" s="338">
        <f t="shared" si="9"/>
        <v>0</v>
      </c>
      <c r="DK18" s="325" t="s">
        <v>141</v>
      </c>
      <c r="DL18" s="324">
        <v>30</v>
      </c>
      <c r="DM18" s="325" t="s">
        <v>106</v>
      </c>
      <c r="DN18" s="324">
        <v>6</v>
      </c>
      <c r="DO18" s="1433" t="s">
        <v>1753</v>
      </c>
      <c r="DP18" s="344" t="s">
        <v>34</v>
      </c>
      <c r="DQ18" s="1615" t="s">
        <v>1750</v>
      </c>
      <c r="DR18" s="933">
        <v>6</v>
      </c>
      <c r="DS18" s="1195">
        <f t="shared" si="56"/>
        <v>0</v>
      </c>
      <c r="DT18" s="344" t="b">
        <f t="shared" si="57"/>
        <v>1</v>
      </c>
      <c r="DU18" s="1314" t="str">
        <f t="array" ref="DU18">IF(OR(COUNTIF(F18,"*"&amp;$DK$9:$DK$178&amp;"*")), "Yes", "")</f>
        <v/>
      </c>
      <c r="DV18" s="1314">
        <f t="shared" si="58"/>
        <v>0</v>
      </c>
      <c r="DW18" s="1480">
        <f t="shared" si="59"/>
        <v>0</v>
      </c>
      <c r="DX18" s="1498">
        <f t="shared" si="71"/>
        <v>0</v>
      </c>
      <c r="DY18" s="1484">
        <f t="shared" si="60"/>
        <v>0</v>
      </c>
      <c r="DZ18" s="1481" t="str">
        <f>Lists!A70</f>
        <v xml:space="preserve">K:  </v>
      </c>
      <c r="EA18" s="881">
        <f>'Product Type'!E20</f>
        <v>0</v>
      </c>
      <c r="EB18" s="1499" t="s">
        <v>133</v>
      </c>
      <c r="EC18" s="727" t="s">
        <v>1568</v>
      </c>
      <c r="ED18" s="728">
        <v>0.5</v>
      </c>
      <c r="EE18" s="1215"/>
      <c r="EF18" s="1215"/>
      <c r="EG18" s="1184" t="str">
        <f t="shared" si="61"/>
        <v/>
      </c>
      <c r="EH18" s="1198" t="s">
        <v>1752</v>
      </c>
      <c r="EI18" s="1199">
        <v>12</v>
      </c>
      <c r="EJ18" s="1185">
        <f t="shared" si="10"/>
        <v>0</v>
      </c>
      <c r="EK18" s="1211"/>
      <c r="EL18" s="1180">
        <f t="shared" si="72"/>
        <v>0</v>
      </c>
      <c r="EM18" s="206"/>
      <c r="EN18" s="1038"/>
      <c r="EO18" s="1038"/>
      <c r="EP18" s="1038"/>
      <c r="EQ18" s="1038">
        <f t="shared" si="62"/>
        <v>0</v>
      </c>
      <c r="ER18" s="1041">
        <f t="shared" si="75"/>
        <v>0</v>
      </c>
      <c r="ES18" s="1042">
        <f t="shared" si="63"/>
        <v>0</v>
      </c>
      <c r="ET18" s="1042">
        <f t="shared" si="73"/>
        <v>0</v>
      </c>
      <c r="EU18" s="1021">
        <f t="shared" si="74"/>
        <v>0</v>
      </c>
      <c r="EV18" s="368"/>
      <c r="EW18" s="368"/>
      <c r="EX18" s="369"/>
      <c r="EY18" s="370"/>
      <c r="EZ18" s="370"/>
      <c r="FA18" s="371"/>
      <c r="FB18" s="372"/>
    </row>
    <row r="19" spans="1:158" s="1" customFormat="1" ht="34.5" customHeight="1">
      <c r="A19" s="82">
        <v>11</v>
      </c>
      <c r="B19" s="1785"/>
      <c r="C19" s="1726"/>
      <c r="D19" s="1726"/>
      <c r="E19" s="1727"/>
      <c r="F19" s="1732"/>
      <c r="G19" s="1733"/>
      <c r="H19" s="1733"/>
      <c r="I19" s="1734"/>
      <c r="J19" s="1341"/>
      <c r="K19" s="1728"/>
      <c r="L19" s="1728"/>
      <c r="M19" s="1342"/>
      <c r="N19" s="1583"/>
      <c r="O19" s="208" t="str">
        <f t="shared" si="11"/>
        <v/>
      </c>
      <c r="P19" s="1344"/>
      <c r="Q19" s="39" t="str">
        <f t="shared" si="0"/>
        <v/>
      </c>
      <c r="R19" s="39">
        <f t="shared" si="12"/>
        <v>0</v>
      </c>
      <c r="S19" s="234">
        <f t="shared" si="13"/>
        <v>0</v>
      </c>
      <c r="T19" s="1755"/>
      <c r="U19" s="1755"/>
      <c r="V19" s="1755"/>
      <c r="W19" s="1345"/>
      <c r="X19" s="1757"/>
      <c r="Y19" s="1742"/>
      <c r="Z19" s="1346"/>
      <c r="AA19" s="1347"/>
      <c r="AB19" s="1141"/>
      <c r="AC19" s="1103" t="str">
        <f>IF(T19="","",VLOOKUP(Z19,Lists!$A$60:$B$111,2,FALSE))</f>
        <v/>
      </c>
      <c r="AD19" s="130" t="str">
        <f t="shared" si="14"/>
        <v/>
      </c>
      <c r="AE19" s="130" t="e">
        <f t="shared" si="15"/>
        <v>#VALUE!</v>
      </c>
      <c r="AF19" s="130">
        <f t="shared" si="16"/>
        <v>1</v>
      </c>
      <c r="AG19" s="234">
        <f t="shared" si="1"/>
        <v>0</v>
      </c>
      <c r="AH19" s="1753" t="str">
        <f>IF(T19="","",(IF(ISNUMBER(SEARCH("exit",T19)),8760,IF(AND(M19="Dusk to Dawn",'Proposed Lighting'!AU19=3),4059,IF(AND(AU19=3,M19="1"),0,IF(AND(AU19=3,M19="1-C"),0,IF(AND(AU19=3,M19="2"),0,IF(AND(AU19=3,M19="2-C"),0,IF(AND(AU19=3,M19="3"),0,IF(AND(AU19=3,M19="3-C"),0,IF(AND(AU19=2,M19="Dusk to Dawn"),0,IF(AND(AU19=2,M19="Dusk to Dawn-C"),0,IF(AND(AU19=2,M19="Dusk to Dawn"),0,IF(AND(AU19=2,M19="E"),0,IF(AND(AU19=2,M19="E-C"),0,EG19)))))))))))))))</f>
        <v/>
      </c>
      <c r="AI19" s="1754"/>
      <c r="AJ19" s="1348"/>
      <c r="AK19" s="1136"/>
      <c r="AL19" s="1748">
        <f t="shared" si="64"/>
        <v>0</v>
      </c>
      <c r="AM19" s="1749"/>
      <c r="AN19" s="1750"/>
      <c r="AO19" s="476">
        <f t="shared" si="2"/>
        <v>0</v>
      </c>
      <c r="AP19" s="476">
        <f t="shared" si="17"/>
        <v>0</v>
      </c>
      <c r="AQ19" s="475">
        <f t="shared" si="3"/>
        <v>0</v>
      </c>
      <c r="AR19" s="475">
        <f t="shared" si="18"/>
        <v>0</v>
      </c>
      <c r="AS19" s="743" t="str">
        <f t="shared" si="19"/>
        <v/>
      </c>
      <c r="AT19" s="736" t="str">
        <f t="shared" si="20"/>
        <v/>
      </c>
      <c r="AU19" s="56">
        <f t="shared" si="21"/>
        <v>1</v>
      </c>
      <c r="AV19" s="476">
        <f t="shared" si="22"/>
        <v>0</v>
      </c>
      <c r="AW19" s="56">
        <f t="shared" si="23"/>
        <v>0</v>
      </c>
      <c r="AX19" s="475">
        <f t="shared" si="65"/>
        <v>0</v>
      </c>
      <c r="AY19" s="1169">
        <f t="shared" si="66"/>
        <v>0</v>
      </c>
      <c r="AZ19" s="1150">
        <f t="shared" si="67"/>
        <v>0</v>
      </c>
      <c r="BA19" s="56">
        <f t="shared" si="68"/>
        <v>0</v>
      </c>
      <c r="BB19" s="420">
        <f t="shared" si="4"/>
        <v>0</v>
      </c>
      <c r="BC19" s="58" t="str">
        <f t="shared" si="5"/>
        <v/>
      </c>
      <c r="BD19" s="660">
        <f t="shared" si="69"/>
        <v>0</v>
      </c>
      <c r="BE19" s="57" t="e">
        <f t="array" ref="BE19">INDEX($EB$11:$ED$1022,MATCH(F19&amp;T19,$EB$11:$EB$1007&amp;$EC$11:$EC$1007,0),3)</f>
        <v>#N/A</v>
      </c>
      <c r="BF19" s="463">
        <f t="shared" si="24"/>
        <v>0</v>
      </c>
      <c r="BG19" s="1445" t="e">
        <f t="array" ref="BG19">INDEX($DO$112:$DQ$123,MATCH(T19&amp;W19,$DO$114:$DO$125&amp;$DP$112:$DP$123,0),3)</f>
        <v>#N/A</v>
      </c>
      <c r="BH19" s="1446">
        <f t="shared" si="25"/>
        <v>0</v>
      </c>
      <c r="BI19" s="465">
        <f t="shared" si="26"/>
        <v>0</v>
      </c>
      <c r="BJ19" s="465">
        <f t="shared" si="27"/>
        <v>0</v>
      </c>
      <c r="BK19" s="466">
        <f t="shared" si="28"/>
        <v>0</v>
      </c>
      <c r="BL19" s="466">
        <f t="shared" si="29"/>
        <v>0</v>
      </c>
      <c r="BM19" s="466">
        <f t="shared" si="30"/>
        <v>0</v>
      </c>
      <c r="BN19" s="466">
        <f t="shared" si="31"/>
        <v>0</v>
      </c>
      <c r="BO19" s="463">
        <f>IF('Data Entry'!$C$74=0,0,IF(ISNA(CJ19),0,IF(AX19=0,0,IF(AND('Data Entry'!$C$74=2,AF19&gt;2,CE19&lt;1),0,IF(AND('Data Entry'!$C$74=2,AF19&gt;1,AU19=2,CJ19&gt;1),0,IF(AND(AF19=5,CT19=0.5,AU19=2,ER19&lt;100),0,IF(AND(AF19=5,CT19=0.5,AU19=3,ER19&lt;100),0,IF(AND('Data Entry'!$C$74=2,AF19=2,AU19=2,AK19&gt;0.01,CB19=2,CE19&lt;1),0,IF(AND('Data Entry'!$C$74=2,AF19=3,AU19=3,AK19&gt;0.01,CB19=3,CE19&lt;1),0,IF(AND('Data Entry'!$C$74=2,AF19=3,AU19=3,AK19&gt;0.01,CB19=3,CE19&gt;0.99),BQ19*0.08,IF(AND('Data Entry'!$C$74=2,AF19=2,AU19=2,AK19&gt;0.01,CB19=2,CE19&gt;0.99),BQ19*0.1,IF(AND(AU19=2,AK19&gt;0.01,CB19=2,CD19&gt;1),BQ19*0.1,IF(AND(AU19=3,AK19&gt;0.01,CB19=3,CD19&gt;1),BQ19*0.08,CJ19*EF19)))))))))))))</f>
        <v>0</v>
      </c>
      <c r="BP19" s="475">
        <f t="shared" si="32"/>
        <v>0</v>
      </c>
      <c r="BQ19" s="1431">
        <f>IF(AU19=1,0,IF(CH19=100,0,IF(AND(AF19=3,AU19=2),0,IF(AND(BH19=0,CT19&gt;0.4),0,IF(AND('Data Entry'!$C$74=2,AF19=1.5),0,IF(AND('Data Entry'!$C$74=2,AF19=1.6),0,IF(AND('Data Entry'!$C$74=2,AF19=4),0,IF(AND('Data Entry'!$C$74=2,AF19=5),0,IF(AND('Data Entry'!$C$74=2,AF19=2.5,CE19&lt;1),0,IF(AND('Data Entry'!$C$74=2,AF19=3,CE19&lt;1),0,IF(AND('Data Entry'!$C$74=1,AF19=2.5,CD19&lt;1),0,IF(AND('Data Entry'!$C$74=1,AF19=3,CD19&lt;1),0,IF(DX19&gt;0.01,DX19,IF(ISERROR(AX19-AY19),"",ROUND(AX19-AY19,2)))))))))))))))</f>
        <v>0</v>
      </c>
      <c r="BR19" s="146">
        <f t="shared" si="33"/>
        <v>0</v>
      </c>
      <c r="BS19" s="475">
        <f t="shared" si="34"/>
        <v>0</v>
      </c>
      <c r="BT19" s="146" t="b">
        <f t="shared" si="35"/>
        <v>0</v>
      </c>
      <c r="BU19" s="463">
        <f>IF(ISNA(AT19),0,IF(AND('Data Entry'!$C$74=2,BC19=27),0,IF(AND('Data Entry'!$C$74=2,BC19=28),0,IF(AND(BC19=27,BT19=27,CM19&gt;0.1),CM19*0.15,IF(AND(BC19=28,BT19=28,CM19&gt;0.1),CM19*0.12,0)))))</f>
        <v>0</v>
      </c>
      <c r="BV19" s="463">
        <f t="shared" si="36"/>
        <v>0</v>
      </c>
      <c r="BW19" s="463">
        <f t="shared" si="37"/>
        <v>0</v>
      </c>
      <c r="BX19" s="463">
        <f t="shared" si="38"/>
        <v>0</v>
      </c>
      <c r="BY19" s="463">
        <f t="shared" si="39"/>
        <v>0</v>
      </c>
      <c r="BZ19" s="463">
        <f t="shared" si="40"/>
        <v>0</v>
      </c>
      <c r="CA19" s="57">
        <f t="shared" si="70"/>
        <v>0</v>
      </c>
      <c r="CB19" s="56">
        <f t="shared" si="41"/>
        <v>1</v>
      </c>
      <c r="CC19" s="756">
        <f>IF(EE19=0,0,IF(EF19=0,0,IF(EE19&gt;AA19,0,IF(AND(AZ19&gt;AW19,AW19&gt;0),0,IF(CU19=0,0,Summary!AC322)))))</f>
        <v>0</v>
      </c>
      <c r="CD19" s="756">
        <f>IF(EE19=0,0,IF(EF19=0,0,IF(EE19&gt;AA19,0,IF(AND(AZ19&gt;AW19,AW19&gt;0),0,IF(CU19=0,0,Summary!AD322)))))</f>
        <v>0</v>
      </c>
      <c r="CE19" s="756">
        <f>IF(EF19=0,0,IF(EE19&gt;AA19,0,IF(CC19=0,0,IF(AND(AZ19&gt;AW19,AW19&gt;0),0,IF(CU19=0,0,Summary!AE322)))))</f>
        <v>0</v>
      </c>
      <c r="CF19" s="475">
        <f t="shared" si="42"/>
        <v>0</v>
      </c>
      <c r="CG19" s="476">
        <f t="shared" si="6"/>
        <v>0</v>
      </c>
      <c r="CH19" s="487">
        <f t="shared" si="43"/>
        <v>0</v>
      </c>
      <c r="CI19" s="756">
        <f t="shared" si="44"/>
        <v>0</v>
      </c>
      <c r="CJ19" s="487">
        <f>IF(CT19&gt;0.4,0,IF(AND(AU19=2,CH19=0,CT19=0.5,ER19=100),35,IF(AND(AU19=3,BB19&gt;75,CH19=0,CT19=0.5,ER19=100),25,IF(CB19&gt;1,0,IF(EF19&gt;EE19,0,IF(AND(AF19&gt;1,CH19=100),0,IF(AND(AF19=1,AY19=0),0,IF(AND(EF19&lt;=EE19,AW19&gt;=AZ19,'Data Entry'!$C$74=1,AU19=2),VLOOKUP(W19,$DO$96:$DP$102,2,FALSE),IF(AND(EF19&lt;=EE19,AW19&gt;=AZ19,AU19=3,'Data Entry'!$C$74=1),VLOOKUP(W19,$DO$127:$DP$134,2,FALSE))))))))))</f>
        <v>0</v>
      </c>
      <c r="CK19" s="716">
        <f t="shared" si="45"/>
        <v>0</v>
      </c>
      <c r="CL19" s="57">
        <f t="shared" si="46"/>
        <v>0</v>
      </c>
      <c r="CM19" s="475">
        <f t="shared" si="77"/>
        <v>0</v>
      </c>
      <c r="CN19" s="660">
        <f>IF(CM19&lt;0.1,0,IF(ISNA(AT19),0,IF(CL19+BC19=1,0,IF(BV19&gt;0.01,0,IF(CL19&gt;0.01,0,IF(CF19=1,0,IF(BC19=0.5,0,IF(AND(CI19=1,AU19=3),0,IF(AND(CI19=5,CL19=0),0,IF(AND(R19=12,BR19=50),0,IF(CK19&gt;0.01,0,IF(AND(AJ19&gt;0.01,AU19=2,BC19=15),CM19*0.1,IF(AND(AJ19&gt;0.01,AU19=3,BC19=15),CM19*0.08,IF(AND(R19=12,BC19=3,AF19&lt;=0),0,IF(AND(BC19=15,BI19=0),0,IF(AND(BC19=15,BJ19=0),0,IF(AND(R19=20,CU19=0),0,IF($X$4=0,0,IF(AND(BC19=250,CL19=0),0,IF(AA19&lt;1,0,IF(AND(ISNUMBER(SEARCH("Area",T19)),AU19=3),0,IF(AND(AQ19&gt;0.01,AR19=0,BK19=0,BL19=0,BM19=0,BN19=0),0,IF(AND(AU19=3,CI19=7,CT19&gt;0.5),0,IF(AND(BC19=44,AU19=3,BY19=0),0,IF(AND(BC19=27,'Data Entry'!$C$74=2),0,IF(AND(BC19=28,'Data Entry'!$C$74=2),0,IF(AND(BY19+BZ19+CA19&gt;0.01,BV19=0,EQ19+ER19+ES19+ET19&lt;100),0,IF(AU19=3,CM19*0.08,IF(AU19=2,CM19*0.1,0)))))))))))))))))))))))))))))</f>
        <v>0</v>
      </c>
      <c r="CO19" s="660">
        <f t="shared" si="47"/>
        <v>0</v>
      </c>
      <c r="CP19" s="475" t="str">
        <f t="shared" si="48"/>
        <v/>
      </c>
      <c r="CQ19" s="161" t="str">
        <f>IF(AH19=0,0,IF(AU19=5,0,Summary!AC22))</f>
        <v/>
      </c>
      <c r="CR19" s="161" t="str">
        <f>IF(BF19=0.5,0,IF(AU19=5,0,Summary!AD22))</f>
        <v/>
      </c>
      <c r="CS19" s="161" t="str">
        <f>IF(AU19=5,0,Summary!AE22)</f>
        <v/>
      </c>
      <c r="CT19" s="161">
        <f t="shared" si="49"/>
        <v>0</v>
      </c>
      <c r="CU19" s="475" t="str">
        <f t="shared" si="7"/>
        <v/>
      </c>
      <c r="CV19" s="307">
        <f>IF('Data Entry'!$C$74=0,0,IF(AA19&lt;1,0,IF(ISERROR(CU19),0,IF(CF19=1,0,IF(AND(R19=12,BR19=50),0,IF(CL19+BO19+BV19+DC19=0,0,IF(BC19=37,0,IF(AND(BC19=40,AJ19=0),0,IF(AND(BC19=37,BO19&gt;0.01,BQ19&gt;0.01),ROUND(BQ19,0),IF(CM19&lt;0,0,ROUND(CM19,0)))))))))))</f>
        <v>0</v>
      </c>
      <c r="CW19" s="700">
        <f t="shared" si="50"/>
        <v>0</v>
      </c>
      <c r="CX19" s="477">
        <f>IF('Data Entry'!$C$74=0,0,IF(CV19&lt;0.01,0,IF(BF19=0.5,0,IF(CF19=1,0,IF(ISNUMBER(SEARCH("false",CL19)),0,IF(AZ19=500,0,CL19))))))</f>
        <v>0</v>
      </c>
      <c r="CY19" s="147" t="e">
        <f t="shared" si="51"/>
        <v>#VALUE!</v>
      </c>
      <c r="CZ19" s="147" t="b">
        <f>IF(CN19+CL19=0,FALSE,IF(AH19=0,0,IF(AND('Data Entry'!$C$74=1,CR19&gt;=1),TRUE,IF(AND('Data Entry'!$C$74=2,CS19&gt;=1),TRUE,FALSE))))</f>
        <v>0</v>
      </c>
      <c r="DA19" s="1751">
        <f>IF('Data Entry'!$C$74=0,0,IFERROR(ROUND(IF(T19="","",IF($X$4=0,0,IF(CF19=1,0,IF(BQ19+CV19=0,0,IF(CF19=1,0,IF(CY19&gt;0.01,CY19,IF(CL19&gt;0.01,CL19,IF(CY19&gt;0.01,CY19,IF(BC19=37,BO19,IF(CZ19=FALSE,0,IF(CZ19=TRUE,DC19+DF19,0))))))))))),2),""))</f>
        <v>0</v>
      </c>
      <c r="DB19" s="1752"/>
      <c r="DC19" s="474">
        <f>IF(CN19&lt;0.01,0,IF(AND(BR19=3,CN19&gt;0.01,CT19&gt;0.6,ER19+ES19+ET19&lt;100),0,IF(AND('Data Entry'!$C$74=1,CN19&gt;0.01,CR19&gt;0.99),MIN(CN19:CO19),IF(AND('Data Entry'!$C$74=2,CN19&gt;0.01,CS19&gt;0.99),MIN(CN19:CO19),0))))</f>
        <v>0</v>
      </c>
      <c r="DD19" s="478">
        <f>IF(CF19=1,"Selection does not match",IF(T19=0,0,IF(AND('Data Entry'!$C$74=0,CP19&gt;1),"Select Oregon or Idaho on Data Entry Tab",IF(AND(AU19=1,AA19&gt;0.9),"Missing Interior or Exterior Selection",IF($X$4=0,"Enter Total Project Cost",IF(AQ19&lt;AR19,"Insufficient kWh savings – no incentive",IF(AND(SUM(CL19+CK19+BV19)&gt;0.01,'Data Entry'!$C$74=2,CJ19&gt;1,BO19=0),"Submit Control as Non-Standard",IF(AND('Data Entry'!$C$74=2,BR19=37,CJ19&gt;1,BO19=0),"Submit Control as Non-Standard",IF(SUM(CL19+CK19+BV19)&gt;0.01,"Standard Incentive",IF(AND('Data Entry'!$C$74=2,CP19=7,CN19=0),"Submit as Non-Standard",IF(DC19&gt;0.9,"Non-Standard Incentive",IF(AND(BY19+BZ19+CA19&gt;0.01,BV19=0,EQ19=0,ER19=0,ES19=0,ET19=0),"Scroll Right &amp; Select Control Strategies",IF(AND(CN19&gt;0.01,CO19=0),"Enter Unit Installed Cost",IF(ISNUMBER(SEARCH("Lighting Controls Only",F19)),"Lighting Controls Only",IF(CL19+DC19=0,"Does not meet incentive criteria",0)))))))))))))))</f>
        <v>0</v>
      </c>
      <c r="DE19" s="337">
        <f t="shared" si="52"/>
        <v>0</v>
      </c>
      <c r="DF19" s="609">
        <f t="shared" si="53"/>
        <v>0</v>
      </c>
      <c r="DG19" s="336" t="str">
        <f t="shared" si="54"/>
        <v/>
      </c>
      <c r="DH19" s="338">
        <f t="shared" si="55"/>
        <v>1</v>
      </c>
      <c r="DI19" s="336" t="e">
        <f t="shared" si="8"/>
        <v>#VALUE!</v>
      </c>
      <c r="DJ19" s="338">
        <f t="shared" si="9"/>
        <v>0</v>
      </c>
      <c r="DK19" s="325" t="s">
        <v>142</v>
      </c>
      <c r="DL19" s="324">
        <v>62</v>
      </c>
      <c r="DM19" s="325" t="s">
        <v>107</v>
      </c>
      <c r="DN19" s="324">
        <v>12</v>
      </c>
      <c r="DO19" s="1433" t="s">
        <v>1754</v>
      </c>
      <c r="DP19" s="344" t="s">
        <v>34</v>
      </c>
      <c r="DQ19" s="1615" t="s">
        <v>1751</v>
      </c>
      <c r="DR19" s="933">
        <v>8</v>
      </c>
      <c r="DS19" s="1195">
        <f t="shared" si="56"/>
        <v>0</v>
      </c>
      <c r="DT19" s="344" t="b">
        <f t="shared" si="57"/>
        <v>1</v>
      </c>
      <c r="DU19" s="1314" t="str">
        <f t="array" ref="DU19">IF(OR(COUNTIF(F19,"*"&amp;$DK$9:$DK$178&amp;"*")), "Yes", "")</f>
        <v/>
      </c>
      <c r="DV19" s="1314">
        <f t="shared" si="58"/>
        <v>0</v>
      </c>
      <c r="DW19" s="1480">
        <f t="shared" si="59"/>
        <v>0</v>
      </c>
      <c r="DX19" s="1498">
        <f t="shared" si="71"/>
        <v>0</v>
      </c>
      <c r="DY19" s="1484">
        <f t="shared" si="60"/>
        <v>0</v>
      </c>
      <c r="DZ19" s="1481" t="str">
        <f>Lists!A71</f>
        <v xml:space="preserve">L:  </v>
      </c>
      <c r="EA19" s="881">
        <f>'Product Type'!E21</f>
        <v>0</v>
      </c>
      <c r="EB19" s="1499" t="s">
        <v>134</v>
      </c>
      <c r="EC19" s="727" t="s">
        <v>1568</v>
      </c>
      <c r="ED19" s="728">
        <v>0.5</v>
      </c>
      <c r="EE19" s="1215"/>
      <c r="EF19" s="1215"/>
      <c r="EG19" s="1184" t="str">
        <f t="shared" si="61"/>
        <v/>
      </c>
      <c r="EH19" s="1198" t="s">
        <v>1753</v>
      </c>
      <c r="EI19" s="1199">
        <v>5</v>
      </c>
      <c r="EJ19" s="1185">
        <f t="shared" si="10"/>
        <v>0</v>
      </c>
      <c r="EK19" s="1211"/>
      <c r="EL19" s="1180">
        <f t="shared" si="72"/>
        <v>0</v>
      </c>
      <c r="EM19" s="206"/>
      <c r="EN19" s="1038"/>
      <c r="EO19" s="1038"/>
      <c r="EP19" s="1038"/>
      <c r="EQ19" s="1038">
        <f t="shared" si="62"/>
        <v>0</v>
      </c>
      <c r="ER19" s="1041">
        <f t="shared" si="75"/>
        <v>0</v>
      </c>
      <c r="ES19" s="1042">
        <f t="shared" si="63"/>
        <v>0</v>
      </c>
      <c r="ET19" s="1042">
        <f t="shared" si="73"/>
        <v>0</v>
      </c>
      <c r="EU19" s="1021">
        <f t="shared" si="74"/>
        <v>0</v>
      </c>
      <c r="EV19" s="368"/>
      <c r="EW19" s="368"/>
      <c r="EX19" s="369"/>
      <c r="EY19" s="370"/>
      <c r="EZ19" s="370"/>
      <c r="FA19" s="371"/>
      <c r="FB19" s="372"/>
    </row>
    <row r="20" spans="1:158" s="1" customFormat="1" ht="34.5" customHeight="1">
      <c r="A20" s="82">
        <v>12</v>
      </c>
      <c r="B20" s="1785"/>
      <c r="C20" s="1726"/>
      <c r="D20" s="1726"/>
      <c r="E20" s="1727"/>
      <c r="F20" s="1732"/>
      <c r="G20" s="1733"/>
      <c r="H20" s="1733"/>
      <c r="I20" s="1734"/>
      <c r="J20" s="1341"/>
      <c r="K20" s="1728"/>
      <c r="L20" s="1728"/>
      <c r="M20" s="1342"/>
      <c r="N20" s="1583"/>
      <c r="O20" s="208" t="str">
        <f t="shared" si="11"/>
        <v/>
      </c>
      <c r="P20" s="1344"/>
      <c r="Q20" s="39" t="str">
        <f t="shared" si="0"/>
        <v/>
      </c>
      <c r="R20" s="39">
        <f t="shared" si="12"/>
        <v>0</v>
      </c>
      <c r="S20" s="234">
        <f t="shared" si="13"/>
        <v>0</v>
      </c>
      <c r="T20" s="1755"/>
      <c r="U20" s="1755"/>
      <c r="V20" s="1755"/>
      <c r="W20" s="1345"/>
      <c r="X20" s="1757"/>
      <c r="Y20" s="1742"/>
      <c r="Z20" s="1346"/>
      <c r="AA20" s="1347"/>
      <c r="AB20" s="1141"/>
      <c r="AC20" s="1103" t="str">
        <f>IF(T20="","",VLOOKUP(Z20,Lists!$A$60:$B$111,2,FALSE))</f>
        <v/>
      </c>
      <c r="AD20" s="130" t="str">
        <f t="shared" si="14"/>
        <v/>
      </c>
      <c r="AE20" s="130" t="e">
        <f t="shared" si="15"/>
        <v>#VALUE!</v>
      </c>
      <c r="AF20" s="130">
        <f t="shared" si="16"/>
        <v>1</v>
      </c>
      <c r="AG20" s="234">
        <f t="shared" si="1"/>
        <v>0</v>
      </c>
      <c r="AH20" s="1753" t="str">
        <f>IF(T20="","",(IF(ISNUMBER(SEARCH("exit",T20)),8760,IF(AND(M20="Dusk to Dawn",'Proposed Lighting'!AU20=3),4059,IF(AND(AU20=3,M20="1"),0,IF(AND(AU20=3,M20="1-C"),0,IF(AND(AU20=3,M20="2"),0,IF(AND(AU20=3,M20="2-C"),0,IF(AND(AU20=3,M20="3"),0,IF(AND(AU20=3,M20="3-C"),0,IF(AND(AU20=2,M20="Dusk to Dawn"),0,IF(AND(AU20=2,M20="Dusk to Dawn-C"),0,IF(AND(AU20=2,M20="Dusk to Dawn"),0,IF(AND(AU20=2,M20="E"),0,IF(AND(AU20=2,M20="E-C"),0,EG20)))))))))))))))</f>
        <v/>
      </c>
      <c r="AI20" s="1754"/>
      <c r="AJ20" s="1348"/>
      <c r="AK20" s="1136"/>
      <c r="AL20" s="1748">
        <f t="shared" si="64"/>
        <v>0</v>
      </c>
      <c r="AM20" s="1749"/>
      <c r="AN20" s="1750"/>
      <c r="AO20" s="476">
        <f t="shared" si="2"/>
        <v>0</v>
      </c>
      <c r="AP20" s="476">
        <f t="shared" si="17"/>
        <v>0</v>
      </c>
      <c r="AQ20" s="475">
        <f t="shared" si="3"/>
        <v>0</v>
      </c>
      <c r="AR20" s="475">
        <f t="shared" si="18"/>
        <v>0</v>
      </c>
      <c r="AS20" s="743" t="str">
        <f t="shared" si="19"/>
        <v/>
      </c>
      <c r="AT20" s="736" t="str">
        <f t="shared" si="20"/>
        <v/>
      </c>
      <c r="AU20" s="56">
        <f t="shared" si="21"/>
        <v>1</v>
      </c>
      <c r="AV20" s="476">
        <f t="shared" si="22"/>
        <v>0</v>
      </c>
      <c r="AW20" s="56">
        <f t="shared" si="23"/>
        <v>0</v>
      </c>
      <c r="AX20" s="475">
        <f t="shared" si="65"/>
        <v>0</v>
      </c>
      <c r="AY20" s="1169">
        <f t="shared" si="66"/>
        <v>0</v>
      </c>
      <c r="AZ20" s="1150">
        <f t="shared" si="67"/>
        <v>0</v>
      </c>
      <c r="BA20" s="56">
        <f t="shared" si="68"/>
        <v>0</v>
      </c>
      <c r="BB20" s="420">
        <f t="shared" si="4"/>
        <v>0</v>
      </c>
      <c r="BC20" s="58" t="str">
        <f t="shared" si="5"/>
        <v/>
      </c>
      <c r="BD20" s="660">
        <f t="shared" si="69"/>
        <v>0</v>
      </c>
      <c r="BE20" s="57" t="e">
        <f t="array" ref="BE20">INDEX($EB$11:$ED$1022,MATCH(F20&amp;T20,$EB$11:$EB$1007&amp;$EC$11:$EC$1007,0),3)</f>
        <v>#N/A</v>
      </c>
      <c r="BF20" s="463">
        <f t="shared" si="24"/>
        <v>0</v>
      </c>
      <c r="BG20" s="1445" t="e">
        <f t="array" ref="BG20">INDEX($DO$112:$DQ$123,MATCH(T20&amp;W20,$DO$114:$DO$125&amp;$DP$112:$DP$123,0),3)</f>
        <v>#N/A</v>
      </c>
      <c r="BH20" s="1446">
        <f t="shared" si="25"/>
        <v>0</v>
      </c>
      <c r="BI20" s="465">
        <f t="shared" si="26"/>
        <v>0</v>
      </c>
      <c r="BJ20" s="465">
        <f t="shared" si="27"/>
        <v>0</v>
      </c>
      <c r="BK20" s="466">
        <f t="shared" si="28"/>
        <v>0</v>
      </c>
      <c r="BL20" s="466">
        <f t="shared" si="29"/>
        <v>0</v>
      </c>
      <c r="BM20" s="466">
        <f t="shared" si="30"/>
        <v>0</v>
      </c>
      <c r="BN20" s="466">
        <f t="shared" si="31"/>
        <v>0</v>
      </c>
      <c r="BO20" s="463">
        <f>IF('Data Entry'!$C$74=0,0,IF(ISNA(CJ20),0,IF(AX20=0,0,IF(AND('Data Entry'!$C$74=2,AF20&gt;2,CE20&lt;1),0,IF(AND('Data Entry'!$C$74=2,AF20&gt;1,AU20=2,CJ20&gt;1),0,IF(AND(AF20=5,CT20=0.5,AU20=2,ER20&lt;100),0,IF(AND(AF20=5,CT20=0.5,AU20=3,ER20&lt;100),0,IF(AND('Data Entry'!$C$74=2,AF20=2,AU20=2,AK20&gt;0.01,CB20=2,CE20&lt;1),0,IF(AND('Data Entry'!$C$74=2,AF20=3,AU20=3,AK20&gt;0.01,CB20=3,CE20&lt;1),0,IF(AND('Data Entry'!$C$74=2,AF20=3,AU20=3,AK20&gt;0.01,CB20=3,CE20&gt;0.99),BQ20*0.08,IF(AND('Data Entry'!$C$74=2,AF20=2,AU20=2,AK20&gt;0.01,CB20=2,CE20&gt;0.99),BQ20*0.1,IF(AND(AU20=2,AK20&gt;0.01,CB20=2,CD20&gt;1),BQ20*0.1,IF(AND(AU20=3,AK20&gt;0.01,CB20=3,CD20&gt;1),BQ20*0.08,CJ20*EF20)))))))))))))</f>
        <v>0</v>
      </c>
      <c r="BP20" s="475">
        <f t="shared" si="32"/>
        <v>0</v>
      </c>
      <c r="BQ20" s="1431">
        <f>IF(AU20=1,0,IF(CH20=100,0,IF(AND(AF20=3,AU20=2),0,IF(AND(BH20=0,CT20&gt;0.4),0,IF(AND('Data Entry'!$C$74=2,AF20=1.5),0,IF(AND('Data Entry'!$C$74=2,AF20=1.6),0,IF(AND('Data Entry'!$C$74=2,AF20=4),0,IF(AND('Data Entry'!$C$74=2,AF20=5),0,IF(AND('Data Entry'!$C$74=2,AF20=2.5,CE20&lt;1),0,IF(AND('Data Entry'!$C$74=2,AF20=3,CE20&lt;1),0,IF(AND('Data Entry'!$C$74=1,AF20=2.5,CD20&lt;1),0,IF(AND('Data Entry'!$C$74=1,AF20=3,CD20&lt;1),0,IF(DX20&gt;0.01,DX20,IF(ISERROR(AX20-AY20),"",ROUND(AX20-AY20,2)))))))))))))))</f>
        <v>0</v>
      </c>
      <c r="BR20" s="146">
        <f t="shared" si="33"/>
        <v>0</v>
      </c>
      <c r="BS20" s="475">
        <f t="shared" si="34"/>
        <v>0</v>
      </c>
      <c r="BT20" s="146" t="b">
        <f t="shared" si="35"/>
        <v>0</v>
      </c>
      <c r="BU20" s="463">
        <f>IF(ISNA(AT20),0,IF(AND('Data Entry'!$C$74=2,BC20=27),0,IF(AND('Data Entry'!$C$74=2,BC20=28),0,IF(AND(BC20=27,BT20=27,CM20&gt;0.1),CM20*0.15,IF(AND(BC20=28,BT20=28,CM20&gt;0.1),CM20*0.12,0)))))</f>
        <v>0</v>
      </c>
      <c r="BV20" s="463">
        <f t="shared" si="36"/>
        <v>0</v>
      </c>
      <c r="BW20" s="463">
        <f t="shared" si="37"/>
        <v>0</v>
      </c>
      <c r="BX20" s="463">
        <f t="shared" si="38"/>
        <v>0</v>
      </c>
      <c r="BY20" s="463">
        <f t="shared" si="39"/>
        <v>0</v>
      </c>
      <c r="BZ20" s="463">
        <f t="shared" si="40"/>
        <v>0</v>
      </c>
      <c r="CA20" s="57">
        <f t="shared" si="70"/>
        <v>0</v>
      </c>
      <c r="CB20" s="56">
        <f t="shared" si="41"/>
        <v>1</v>
      </c>
      <c r="CC20" s="756">
        <f>IF(EE20=0,0,IF(EF20=0,0,IF(EE20&gt;AA20,0,IF(AND(AZ20&gt;AW20,AW20&gt;0),0,IF(CU20=0,0,Summary!AC323)))))</f>
        <v>0</v>
      </c>
      <c r="CD20" s="756">
        <f>IF(EE20=0,0,IF(EF20=0,0,IF(EE20&gt;AA20,0,IF(AND(AZ20&gt;AW20,AW20&gt;0),0,IF(CU20=0,0,Summary!AD323)))))</f>
        <v>0</v>
      </c>
      <c r="CE20" s="756">
        <f>IF(EF20=0,0,IF(EE20&gt;AA20,0,IF(CC20=0,0,IF(AND(AZ20&gt;AW20,AW20&gt;0),0,IF(CU20=0,0,Summary!AE323)))))</f>
        <v>0</v>
      </c>
      <c r="CF20" s="475">
        <f t="shared" si="42"/>
        <v>0</v>
      </c>
      <c r="CG20" s="476">
        <f t="shared" si="6"/>
        <v>0</v>
      </c>
      <c r="CH20" s="487">
        <f t="shared" si="43"/>
        <v>0</v>
      </c>
      <c r="CI20" s="756">
        <f t="shared" si="44"/>
        <v>0</v>
      </c>
      <c r="CJ20" s="487">
        <f>IF(CT20&gt;0.4,0,IF(AND(AU20=2,CH20=0,CT20=0.5,ER20=100),35,IF(AND(AU20=3,BB20&gt;75,CH20=0,CT20=0.5,ER20=100),25,IF(CB20&gt;1,0,IF(EF20&gt;EE20,0,IF(AND(AF20&gt;1,CH20=100),0,IF(AND(AF20=1,AY20=0),0,IF(AND(EF20&lt;=EE20,AW20&gt;=AZ20,'Data Entry'!$C$74=1,AU20=2),VLOOKUP(W20,$DO$96:$DP$102,2,FALSE),IF(AND(EF20&lt;=EE20,AW20&gt;=AZ20,AU20=3,'Data Entry'!$C$74=1),VLOOKUP(W20,$DO$127:$DP$134,2,FALSE))))))))))</f>
        <v>0</v>
      </c>
      <c r="CK20" s="716">
        <f t="shared" si="45"/>
        <v>0</v>
      </c>
      <c r="CL20" s="57">
        <f t="shared" si="46"/>
        <v>0</v>
      </c>
      <c r="CM20" s="475">
        <f t="shared" si="77"/>
        <v>0</v>
      </c>
      <c r="CN20" s="660">
        <f>IF(CM20&lt;0.1,0,IF(ISNA(AT20),0,IF(CL20+BC20=1,0,IF(BV20&gt;0.01,0,IF(CL20&gt;0.01,0,IF(CF20=1,0,IF(BC20=0.5,0,IF(AND(CI20=1,AU20=3),0,IF(AND(CI20=5,CL20=0),0,IF(AND(R20=12,BR20=50),0,IF(CK20&gt;0.01,0,IF(AND(AJ20&gt;0.01,AU20=2,BC20=15),CM20*0.1,IF(AND(AJ20&gt;0.01,AU20=3,BC20=15),CM20*0.08,IF(AND(R20=12,BC20=3,AF20&lt;=0),0,IF(AND(BC20=15,BI20=0),0,IF(AND(BC20=15,BJ20=0),0,IF(AND(R20=20,CU20=0),0,IF($X$4=0,0,IF(AND(BC20=250,CL20=0),0,IF(AA20&lt;1,0,IF(AND(ISNUMBER(SEARCH("Area",T20)),AU20=3),0,IF(AND(AQ20&gt;0.01,AR20=0,BK20=0,BL20=0,BM20=0,BN20=0),0,IF(AND(AU20=3,CI20=7,CT20&gt;0.5),0,IF(AND(BC20=44,AU20=3,BY20=0),0,IF(AND(BC20=27,'Data Entry'!$C$74=2),0,IF(AND(BC20=28,'Data Entry'!$C$74=2),0,IF(AND(BY20+BZ20+CA20&gt;0.01,BV20=0,EQ20+ER20+ES20+ET20&lt;100),0,IF(AU20=3,CM20*0.08,IF(AU20=2,CM20*0.1,0)))))))))))))))))))))))))))))</f>
        <v>0</v>
      </c>
      <c r="CO20" s="660">
        <f t="shared" si="47"/>
        <v>0</v>
      </c>
      <c r="CP20" s="475" t="str">
        <f t="shared" si="48"/>
        <v/>
      </c>
      <c r="CQ20" s="161" t="str">
        <f>IF(AH20=0,0,IF(AU20=5,0,Summary!AC23))</f>
        <v/>
      </c>
      <c r="CR20" s="161" t="str">
        <f>IF(BF20=0.5,0,IF(AU20=5,0,Summary!AD23))</f>
        <v/>
      </c>
      <c r="CS20" s="161" t="str">
        <f>IF(AU20=5,0,Summary!AE23)</f>
        <v/>
      </c>
      <c r="CT20" s="161">
        <f t="shared" si="49"/>
        <v>0</v>
      </c>
      <c r="CU20" s="475" t="str">
        <f t="shared" si="7"/>
        <v/>
      </c>
      <c r="CV20" s="307">
        <f>IF('Data Entry'!$C$74=0,0,IF(AA20&lt;1,0,IF(ISERROR(CU20),0,IF(CF20=1,0,IF(AND(R20=12,BR20=50),0,IF(CL20+BO20+BV20+DC20=0,0,IF(BC20=37,0,IF(AND(BC20=40,AJ20=0),0,IF(AND(BC20=37,BO20&gt;0.01,BQ20&gt;0.01),ROUND(BQ20,0),IF(CM20&lt;0,0,ROUND(CM20,0)))))))))))</f>
        <v>0</v>
      </c>
      <c r="CW20" s="700">
        <f t="shared" si="50"/>
        <v>0</v>
      </c>
      <c r="CX20" s="477">
        <f>IF('Data Entry'!$C$74=0,0,IF(CV20&lt;0.01,0,IF(BF20=0.5,0,IF(CF20=1,0,IF(ISNUMBER(SEARCH("false",CL20)),0,IF(AZ20=500,0,CL20))))))</f>
        <v>0</v>
      </c>
      <c r="CY20" s="147" t="e">
        <f t="shared" si="51"/>
        <v>#VALUE!</v>
      </c>
      <c r="CZ20" s="147" t="b">
        <f>IF(CN20+CL20=0,FALSE,IF(AH20=0,0,IF(AND('Data Entry'!$C$74=1,CR20&gt;=1),TRUE,IF(AND('Data Entry'!$C$74=2,CS20&gt;=1),TRUE,FALSE))))</f>
        <v>0</v>
      </c>
      <c r="DA20" s="1751">
        <f>IF('Data Entry'!$C$74=0,0,IFERROR(ROUND(IF(T20="","",IF($X$4=0,0,IF(CF20=1,0,IF(BQ20+CV20=0,0,IF(CF20=1,0,IF(CY20&gt;0.01,CY20,IF(CL20&gt;0.01,CL20,IF(CY20&gt;0.01,CY20,IF(BC20=37,BO20,IF(CZ20=FALSE,0,IF(CZ20=TRUE,DC20+DF20,0))))))))))),2),""))</f>
        <v>0</v>
      </c>
      <c r="DB20" s="1752"/>
      <c r="DC20" s="474">
        <f>IF(CN20&lt;0.01,0,IF(AND(BR20=3,CN20&gt;0.01,CT20&gt;0.6,ER20+ES20+ET20&lt;100),0,IF(AND('Data Entry'!$C$74=1,CN20&gt;0.01,CR20&gt;0.99),MIN(CN20:CO20),IF(AND('Data Entry'!$C$74=2,CN20&gt;0.01,CS20&gt;0.99),MIN(CN20:CO20),0))))</f>
        <v>0</v>
      </c>
      <c r="DD20" s="478">
        <f>IF(CF20=1,"Selection does not match",IF(T20=0,0,IF(AND('Data Entry'!$C$74=0,CP20&gt;1),"Select Oregon or Idaho on Data Entry Tab",IF(AND(AU20=1,AA20&gt;0.9),"Missing Interior or Exterior Selection",IF($X$4=0,"Enter Total Project Cost",IF(AQ20&lt;AR20,"Insufficient kWh savings – no incentive",IF(AND(SUM(CL20+CK20+BV20)&gt;0.01,'Data Entry'!$C$74=2,CJ20&gt;1,BO20=0),"Submit Control as Non-Standard",IF(AND('Data Entry'!$C$74=2,BR20=37,CJ20&gt;1,BO20=0),"Submit Control as Non-Standard",IF(SUM(CL20+CK20+BV20)&gt;0.01,"Standard Incentive",IF(AND('Data Entry'!$C$74=2,CP20=7,CN20=0),"Submit as Non-Standard",IF(DC20&gt;0.9,"Non-Standard Incentive",IF(AND(BY20+BZ20+CA20&gt;0.01,BV20=0,EQ20=0,ER20=0,ES20=0,ET20=0),"Scroll Right &amp; Select Control Strategies",IF(AND(CN20&gt;0.01,CO20=0),"Enter Unit Installed Cost",IF(ISNUMBER(SEARCH("Lighting Controls Only",F20)),"Lighting Controls Only",IF(CL20+DC20=0,"Does not meet incentive criteria",0)))))))))))))))</f>
        <v>0</v>
      </c>
      <c r="DE20" s="337">
        <f t="shared" si="52"/>
        <v>0</v>
      </c>
      <c r="DF20" s="609">
        <f t="shared" si="53"/>
        <v>0</v>
      </c>
      <c r="DG20" s="336" t="str">
        <f t="shared" si="54"/>
        <v/>
      </c>
      <c r="DH20" s="338">
        <f t="shared" si="55"/>
        <v>1</v>
      </c>
      <c r="DI20" s="336" t="e">
        <f t="shared" si="8"/>
        <v>#VALUE!</v>
      </c>
      <c r="DJ20" s="338">
        <f t="shared" si="9"/>
        <v>0</v>
      </c>
      <c r="DK20" s="325" t="s">
        <v>135</v>
      </c>
      <c r="DL20" s="324">
        <v>28</v>
      </c>
      <c r="DM20" s="325" t="s">
        <v>185</v>
      </c>
      <c r="DN20" s="324">
        <v>9</v>
      </c>
      <c r="DO20" s="1433" t="s">
        <v>1755</v>
      </c>
      <c r="DP20" s="344" t="s">
        <v>34</v>
      </c>
      <c r="DQ20" s="1615" t="s">
        <v>1752</v>
      </c>
      <c r="DR20" s="1331"/>
      <c r="DS20" s="1195">
        <f t="shared" si="56"/>
        <v>0</v>
      </c>
      <c r="DT20" s="344" t="b">
        <f t="shared" si="57"/>
        <v>1</v>
      </c>
      <c r="DU20" s="1314" t="str">
        <f t="array" ref="DU20">IF(OR(COUNTIF(F20,"*"&amp;$DK$9:$DK$178&amp;"*")), "Yes", "")</f>
        <v/>
      </c>
      <c r="DV20" s="1314">
        <f t="shared" si="58"/>
        <v>0</v>
      </c>
      <c r="DW20" s="1480">
        <f t="shared" si="59"/>
        <v>0</v>
      </c>
      <c r="DX20" s="1498">
        <f t="shared" si="71"/>
        <v>0</v>
      </c>
      <c r="DY20" s="1484">
        <f t="shared" si="60"/>
        <v>0</v>
      </c>
      <c r="DZ20" s="1481" t="str">
        <f>Lists!A72</f>
        <v xml:space="preserve">M:  </v>
      </c>
      <c r="EA20" s="881">
        <f>'Product Type'!E22</f>
        <v>0</v>
      </c>
      <c r="EB20" s="1499" t="s">
        <v>187</v>
      </c>
      <c r="EC20" s="727" t="s">
        <v>1568</v>
      </c>
      <c r="ED20" s="728">
        <v>0.5</v>
      </c>
      <c r="EE20" s="1215"/>
      <c r="EF20" s="1215"/>
      <c r="EG20" s="1184" t="str">
        <f t="shared" si="61"/>
        <v/>
      </c>
      <c r="EH20" s="1198" t="s">
        <v>1754</v>
      </c>
      <c r="EI20" s="1200">
        <v>12</v>
      </c>
      <c r="EJ20" s="1185">
        <f t="shared" si="10"/>
        <v>0</v>
      </c>
      <c r="EK20" s="1211"/>
      <c r="EL20" s="1180">
        <f t="shared" si="72"/>
        <v>0</v>
      </c>
      <c r="EM20" s="206"/>
      <c r="EN20" s="1038"/>
      <c r="EO20" s="1038"/>
      <c r="EP20" s="1038"/>
      <c r="EQ20" s="1038">
        <f t="shared" si="62"/>
        <v>0</v>
      </c>
      <c r="ER20" s="1041">
        <f t="shared" si="75"/>
        <v>0</v>
      </c>
      <c r="ES20" s="1042">
        <f t="shared" si="63"/>
        <v>0</v>
      </c>
      <c r="ET20" s="1042">
        <f t="shared" si="73"/>
        <v>0</v>
      </c>
      <c r="EU20" s="1021">
        <f t="shared" si="74"/>
        <v>0</v>
      </c>
      <c r="EV20" s="368"/>
      <c r="EW20" s="368"/>
      <c r="EX20" s="369"/>
      <c r="EY20" s="370"/>
      <c r="EZ20" s="370"/>
      <c r="FA20" s="371"/>
      <c r="FB20" s="372"/>
    </row>
    <row r="21" spans="1:158" s="1" customFormat="1" ht="34.5" customHeight="1">
      <c r="A21" s="82">
        <v>13</v>
      </c>
      <c r="B21" s="1785"/>
      <c r="C21" s="1726"/>
      <c r="D21" s="1726"/>
      <c r="E21" s="1727"/>
      <c r="F21" s="1732"/>
      <c r="G21" s="1733"/>
      <c r="H21" s="1733"/>
      <c r="I21" s="1734"/>
      <c r="J21" s="1341"/>
      <c r="K21" s="1728"/>
      <c r="L21" s="1728"/>
      <c r="M21" s="1342"/>
      <c r="N21" s="1583"/>
      <c r="O21" s="208" t="str">
        <f t="shared" si="11"/>
        <v/>
      </c>
      <c r="P21" s="1344"/>
      <c r="Q21" s="1611" t="str">
        <f t="shared" si="0"/>
        <v/>
      </c>
      <c r="R21" s="1611">
        <f t="shared" si="12"/>
        <v>0</v>
      </c>
      <c r="S21" s="234">
        <f t="shared" si="13"/>
        <v>0</v>
      </c>
      <c r="T21" s="1755"/>
      <c r="U21" s="1755"/>
      <c r="V21" s="1755"/>
      <c r="W21" s="1345"/>
      <c r="X21" s="1757"/>
      <c r="Y21" s="1742"/>
      <c r="Z21" s="1346"/>
      <c r="AA21" s="1347"/>
      <c r="AB21" s="1141"/>
      <c r="AC21" s="1103" t="str">
        <f>IF(T21="","",VLOOKUP(Z21,Lists!$A$60:$B$111,2,FALSE))</f>
        <v/>
      </c>
      <c r="AD21" s="130" t="str">
        <f t="shared" si="14"/>
        <v/>
      </c>
      <c r="AE21" s="130" t="e">
        <f t="shared" si="15"/>
        <v>#VALUE!</v>
      </c>
      <c r="AF21" s="130">
        <f t="shared" si="16"/>
        <v>1</v>
      </c>
      <c r="AG21" s="234">
        <f t="shared" si="1"/>
        <v>0</v>
      </c>
      <c r="AH21" s="1753" t="str">
        <f>IF(T21="","",(IF(ISNUMBER(SEARCH("exit",T21)),8760,IF(AND(M21="Dusk to Dawn",'Proposed Lighting'!AU21=3),4059,IF(AND(AU21=3,M21="1"),0,IF(AND(AU21=3,M21="1-C"),0,IF(AND(AU21=3,M21="2"),0,IF(AND(AU21=3,M21="2-C"),0,IF(AND(AU21=3,M21="3"),0,IF(AND(AU21=3,M21="3-C"),0,IF(AND(AU21=2,M21="Dusk to Dawn"),0,IF(AND(AU21=2,M21="Dusk to Dawn-C"),0,IF(AND(AU21=2,M21="Dusk to Dawn"),0,IF(AND(AU21=2,M21="E"),0,IF(AND(AU21=2,M21="E-C"),0,EG21)))))))))))))))</f>
        <v/>
      </c>
      <c r="AI21" s="1754"/>
      <c r="AJ21" s="1348"/>
      <c r="AK21" s="1136"/>
      <c r="AL21" s="1748">
        <f t="shared" si="64"/>
        <v>0</v>
      </c>
      <c r="AM21" s="1749"/>
      <c r="AN21" s="1750"/>
      <c r="AO21" s="476">
        <f t="shared" si="2"/>
        <v>0</v>
      </c>
      <c r="AP21" s="476">
        <f t="shared" si="17"/>
        <v>0</v>
      </c>
      <c r="AQ21" s="475">
        <f t="shared" si="3"/>
        <v>0</v>
      </c>
      <c r="AR21" s="475">
        <f t="shared" si="18"/>
        <v>0</v>
      </c>
      <c r="AS21" s="743" t="str">
        <f t="shared" si="19"/>
        <v/>
      </c>
      <c r="AT21" s="736" t="str">
        <f t="shared" si="20"/>
        <v/>
      </c>
      <c r="AU21" s="56">
        <f t="shared" si="21"/>
        <v>1</v>
      </c>
      <c r="AV21" s="476">
        <f t="shared" si="22"/>
        <v>0</v>
      </c>
      <c r="AW21" s="56">
        <f t="shared" si="23"/>
        <v>0</v>
      </c>
      <c r="AX21" s="475">
        <f t="shared" si="65"/>
        <v>0</v>
      </c>
      <c r="AY21" s="1169">
        <f t="shared" si="66"/>
        <v>0</v>
      </c>
      <c r="AZ21" s="1150">
        <f t="shared" si="67"/>
        <v>0</v>
      </c>
      <c r="BA21" s="56">
        <f t="shared" si="68"/>
        <v>0</v>
      </c>
      <c r="BB21" s="420">
        <f t="shared" si="4"/>
        <v>0</v>
      </c>
      <c r="BC21" s="58" t="str">
        <f t="shared" si="5"/>
        <v/>
      </c>
      <c r="BD21" s="660">
        <f t="shared" si="69"/>
        <v>0</v>
      </c>
      <c r="BE21" s="57" t="e">
        <f t="array" ref="BE21">INDEX($EB$11:$ED$1022,MATCH(F21&amp;T21,$EB$11:$EB$1007&amp;$EC$11:$EC$1007,0),3)</f>
        <v>#N/A</v>
      </c>
      <c r="BF21" s="463">
        <f t="shared" si="24"/>
        <v>0</v>
      </c>
      <c r="BG21" s="1612" t="e">
        <f t="array" ref="BG21">INDEX($DO$112:$DQ$123,MATCH(T21&amp;W21,$DO$114:$DO$125&amp;$DP$112:$DP$123,0),3)</f>
        <v>#N/A</v>
      </c>
      <c r="BH21" s="1613">
        <f t="shared" si="25"/>
        <v>0</v>
      </c>
      <c r="BI21" s="465">
        <f t="shared" si="26"/>
        <v>0</v>
      </c>
      <c r="BJ21" s="465">
        <f t="shared" si="27"/>
        <v>0</v>
      </c>
      <c r="BK21" s="466">
        <f t="shared" si="28"/>
        <v>0</v>
      </c>
      <c r="BL21" s="466">
        <f t="shared" si="29"/>
        <v>0</v>
      </c>
      <c r="BM21" s="466">
        <f t="shared" si="30"/>
        <v>0</v>
      </c>
      <c r="BN21" s="466">
        <f t="shared" si="31"/>
        <v>0</v>
      </c>
      <c r="BO21" s="463">
        <f>IF('Data Entry'!$C$74=0,0,IF(ISNA(CJ21),0,IF(AX21=0,0,IF(AND('Data Entry'!$C$74=2,AF21&gt;2,CE21&lt;1),0,IF(AND('Data Entry'!$C$74=2,AF21&gt;1,AU21=2,CJ21&gt;1),0,IF(AND(AF21=5,CT21=0.5,AU21=2,ER21&lt;100),0,IF(AND(AF21=5,CT21=0.5,AU21=3,ER21&lt;100),0,IF(AND('Data Entry'!$C$74=2,AF21=2,AU21=2,AK21&gt;0.01,CB21=2,CE21&lt;1),0,IF(AND('Data Entry'!$C$74=2,AF21=3,AU21=3,AK21&gt;0.01,CB21=3,CE21&lt;1),0,IF(AND('Data Entry'!$C$74=2,AF21=3,AU21=3,AK21&gt;0.01,CB21=3,CE21&gt;0.99),BQ21*0.08,IF(AND('Data Entry'!$C$74=2,AF21=2,AU21=2,AK21&gt;0.01,CB21=2,CE21&gt;0.99),BQ21*0.1,IF(AND(AU21=2,AK21&gt;0.01,CB21=2,CD21&gt;1),BQ21*0.1,IF(AND(AU21=3,AK21&gt;0.01,CB21=3,CD21&gt;1),BQ21*0.08,CJ21*EF21)))))))))))))</f>
        <v>0</v>
      </c>
      <c r="BP21" s="475">
        <f t="shared" si="32"/>
        <v>0</v>
      </c>
      <c r="BQ21" s="1431">
        <f>IF(AU21=1,0,IF(CH21=100,0,IF(AND(AF21=3,AU21=2),0,IF(AND(BH21=0,CT21&gt;0.4),0,IF(AND('Data Entry'!$C$74=2,AF21=1.5),0,IF(AND('Data Entry'!$C$74=2,AF21=1.6),0,IF(AND('Data Entry'!$C$74=2,AF21=4),0,IF(AND('Data Entry'!$C$74=2,AF21=5),0,IF(AND('Data Entry'!$C$74=2,AF21=2.5,CE21&lt;1),0,IF(AND('Data Entry'!$C$74=2,AF21=3,CE21&lt;1),0,IF(AND('Data Entry'!$C$74=1,AF21=2.5,CD21&lt;1),0,IF(AND('Data Entry'!$C$74=1,AF21=3,CD21&lt;1),0,IF(DX21&gt;0.01,DX21,IF(ISERROR(AX21-AY21),"",ROUND(AX21-AY21,2)))))))))))))))</f>
        <v>0</v>
      </c>
      <c r="BR21" s="146">
        <f t="shared" si="33"/>
        <v>0</v>
      </c>
      <c r="BS21" s="475">
        <f t="shared" si="34"/>
        <v>0</v>
      </c>
      <c r="BT21" s="146" t="b">
        <f t="shared" si="35"/>
        <v>0</v>
      </c>
      <c r="BU21" s="463">
        <f>IF(ISNA(AT21),0,IF(AND('Data Entry'!$C$74=2,BC21=27),0,IF(AND('Data Entry'!$C$74=2,BC21=28),0,IF(AND(BC21=27,BT21=27,CM21&gt;0.1),CM21*0.15,IF(AND(BC21=28,BT21=28,CM21&gt;0.1),CM21*0.12,0)))))</f>
        <v>0</v>
      </c>
      <c r="BV21" s="463">
        <f t="shared" si="36"/>
        <v>0</v>
      </c>
      <c r="BW21" s="463">
        <f t="shared" si="37"/>
        <v>0</v>
      </c>
      <c r="BX21" s="463">
        <f t="shared" si="38"/>
        <v>0</v>
      </c>
      <c r="BY21" s="463">
        <f t="shared" si="39"/>
        <v>0</v>
      </c>
      <c r="BZ21" s="463">
        <f t="shared" si="40"/>
        <v>0</v>
      </c>
      <c r="CA21" s="57">
        <f t="shared" si="70"/>
        <v>0</v>
      </c>
      <c r="CB21" s="56">
        <f t="shared" si="41"/>
        <v>1</v>
      </c>
      <c r="CC21" s="756">
        <f>IF(EE21=0,0,IF(EF21=0,0,IF(EE21&gt;AA21,0,IF(AND(AZ21&gt;AW21,AW21&gt;0),0,IF(CU21=0,0,Summary!AC324)))))</f>
        <v>0</v>
      </c>
      <c r="CD21" s="756">
        <f>IF(EE21=0,0,IF(EF21=0,0,IF(EE21&gt;AA21,0,IF(AND(AZ21&gt;AW21,AW21&gt;0),0,IF(CU21=0,0,Summary!AD324)))))</f>
        <v>0</v>
      </c>
      <c r="CE21" s="756">
        <f>IF(EF21=0,0,IF(EE21&gt;AA21,0,IF(CC21=0,0,IF(AND(AZ21&gt;AW21,AW21&gt;0),0,IF(CU21=0,0,Summary!AE324)))))</f>
        <v>0</v>
      </c>
      <c r="CF21" s="475">
        <f t="shared" si="42"/>
        <v>0</v>
      </c>
      <c r="CG21" s="476">
        <f t="shared" si="6"/>
        <v>0</v>
      </c>
      <c r="CH21" s="487">
        <f t="shared" si="43"/>
        <v>0</v>
      </c>
      <c r="CI21" s="756">
        <f t="shared" si="44"/>
        <v>0</v>
      </c>
      <c r="CJ21" s="487">
        <f>IF(CT21&gt;0.4,0,IF(AND(AU21=2,CH21=0,CT21=0.5,ER21=100),35,IF(AND(AU21=3,BB21&gt;75,CH21=0,CT21=0.5,ER21=100),25,IF(CB21&gt;1,0,IF(EF21&gt;EE21,0,IF(AND(AF21&gt;1,CH21=100),0,IF(AND(AF21=1,AY21=0),0,IF(AND(EF21&lt;=EE21,AW21&gt;=AZ21,'Data Entry'!$C$74=1,AU21=2),VLOOKUP(W21,$DO$96:$DP$102,2,FALSE),IF(AND(EF21&lt;=EE21,AW21&gt;=AZ21,AU21=3,'Data Entry'!$C$74=1),VLOOKUP(W21,$DO$127:$DP$134,2,FALSE))))))))))</f>
        <v>0</v>
      </c>
      <c r="CK21" s="716">
        <f t="shared" si="45"/>
        <v>0</v>
      </c>
      <c r="CL21" s="57">
        <f t="shared" si="46"/>
        <v>0</v>
      </c>
      <c r="CM21" s="475">
        <f t="shared" si="77"/>
        <v>0</v>
      </c>
      <c r="CN21" s="660">
        <f>IF(CM21&lt;0.1,0,IF(ISNA(AT21),0,IF(CL21+BC21=1,0,IF(BV21&gt;0.01,0,IF(CL21&gt;0.01,0,IF(CF21=1,0,IF(BC21=0.5,0,IF(AND(CI21=1,AU21=3),0,IF(AND(CI21=5,CL21=0),0,IF(AND(R21=12,BR21=50),0,IF(CK21&gt;0.01,0,IF(AND(AJ21&gt;0.01,AU21=2,BC21=15),CM21*0.1,IF(AND(AJ21&gt;0.01,AU21=3,BC21=15),CM21*0.08,IF(AND(R21=12,BC21=3,AF21&lt;=0),0,IF(AND(BC21=15,BI21=0),0,IF(AND(BC21=15,BJ21=0),0,IF(AND(R21=20,CU21=0),0,IF($X$4=0,0,IF(AND(BC21=250,CL21=0),0,IF(AA21&lt;1,0,IF(AND(ISNUMBER(SEARCH("Area",T21)),AU21=3),0,IF(AND(AQ21&gt;0.01,AR21=0,BK21=0,BL21=0,BM21=0,BN21=0),0,IF(AND(AU21=3,CI21=7,CT21&gt;0.5),0,IF(AND(BC21=44,AU21=3,BY21=0),0,IF(AND(BC21=27,'Data Entry'!$C$74=2),0,IF(AND(BC21=28,'Data Entry'!$C$74=2),0,IF(AND(BY21+BZ21+CA21&gt;0.01,BV21=0,EQ21+ER21+ES21+ET21&lt;100),0,IF(AU21=3,CM21*0.08,IF(AU21=2,CM21*0.1,0)))))))))))))))))))))))))))))</f>
        <v>0</v>
      </c>
      <c r="CO21" s="660">
        <f t="shared" si="47"/>
        <v>0</v>
      </c>
      <c r="CP21" s="475" t="str">
        <f t="shared" si="48"/>
        <v/>
      </c>
      <c r="CQ21" s="161" t="str">
        <f>IF(AH21=0,0,IF(AU21=5,0,Summary!AC24))</f>
        <v/>
      </c>
      <c r="CR21" s="161" t="str">
        <f>IF(BF21=0.5,0,IF(AU21=5,0,Summary!AD24))</f>
        <v/>
      </c>
      <c r="CS21" s="161" t="str">
        <f>IF(AU21=5,0,Summary!AE24)</f>
        <v/>
      </c>
      <c r="CT21" s="161">
        <f t="shared" si="49"/>
        <v>0</v>
      </c>
      <c r="CU21" s="475" t="str">
        <f t="shared" si="7"/>
        <v/>
      </c>
      <c r="CV21" s="307">
        <f>IF('Data Entry'!$C$74=0,0,IF(AA21&lt;1,0,IF(ISERROR(CU21),0,IF(CF21=1,0,IF(AND(R21=12,BR21=50),0,IF(CL21+BO21+BV21+DC21=0,0,IF(BC21=37,0,IF(AND(BC21=40,AJ21=0),0,IF(AND(BC21=37,BO21&gt;0.01,BQ21&gt;0.01),ROUND(BQ21,0),IF(CM21&lt;0,0,ROUND(CM21,0)))))))))))</f>
        <v>0</v>
      </c>
      <c r="CW21" s="700">
        <f t="shared" si="50"/>
        <v>0</v>
      </c>
      <c r="CX21" s="477">
        <f>IF('Data Entry'!$C$74=0,0,IF(CV21&lt;0.01,0,IF(BF21=0.5,0,IF(CF21=1,0,IF(ISNUMBER(SEARCH("false",CL21)),0,IF(AZ21=500,0,CL21))))))</f>
        <v>0</v>
      </c>
      <c r="CY21" s="147" t="e">
        <f t="shared" si="51"/>
        <v>#VALUE!</v>
      </c>
      <c r="CZ21" s="147" t="b">
        <f>IF(CN21+CL21=0,FALSE,IF(AH21=0,0,IF(AND('Data Entry'!$C$74=1,CR21&gt;=1),TRUE,IF(AND('Data Entry'!$C$74=2,CS21&gt;=1),TRUE,FALSE))))</f>
        <v>0</v>
      </c>
      <c r="DA21" s="1751">
        <f>IF('Data Entry'!$C$74=0,0,IFERROR(ROUND(IF(T21="","",IF($X$4=0,0,IF(CF21=1,0,IF(BQ21+CV21=0,0,IF(CF21=1,0,IF(CY21&gt;0.01,CY21,IF(CL21&gt;0.01,CL21,IF(CY21&gt;0.01,CY21,IF(BC21=37,BO21,IF(CZ21=FALSE,0,IF(CZ21=TRUE,DC21+DF21,0))))))))))),2),""))</f>
        <v>0</v>
      </c>
      <c r="DB21" s="1752"/>
      <c r="DC21" s="474">
        <f>IF(CN21&lt;0.01,0,IF(AND(BR21=3,CN21&gt;0.01,CT21&gt;0.6,ER21+ES21+ET21&lt;100),0,IF(AND('Data Entry'!$C$74=1,CN21&gt;0.01,CR21&gt;0.99),MIN(CN21:CO21),IF(AND('Data Entry'!$C$74=2,CN21&gt;0.01,CS21&gt;0.99),MIN(CN21:CO21),0))))</f>
        <v>0</v>
      </c>
      <c r="DD21" s="478">
        <f>IF(CF21=1,"Selection does not match",IF(T21=0,0,IF(AND('Data Entry'!$C$74=0,CP21&gt;1),"Select Oregon or Idaho on Data Entry Tab",IF(AND(AU21=1,AA21&gt;0.9),"Missing Interior or Exterior Selection",IF($X$4=0,"Enter Total Project Cost",IF(AQ21&lt;AR21,"Insufficient kWh savings – no incentive",IF(AND(SUM(CL21+CK21+BV21)&gt;0.01,'Data Entry'!$C$74=2,CJ21&gt;1,BO21=0),"Submit Control as Non-Standard",IF(AND('Data Entry'!$C$74=2,BR21=37,CJ21&gt;1,BO21=0),"Submit Control as Non-Standard",IF(SUM(CL21+CK21+BV21)&gt;0.01,"Standard Incentive",IF(AND('Data Entry'!$C$74=2,CP21=7,CN21=0),"Submit as Non-Standard",IF(DC21&gt;0.9,"Non-Standard Incentive",IF(AND(BY21+BZ21+CA21&gt;0.01,BV21=0,EQ21=0,ER21=0,ES21=0,ET21=0),"Scroll Right &amp; Select Control Strategies",IF(AND(CN21&gt;0.01,CO21=0),"Enter Unit Installed Cost",IF(ISNUMBER(SEARCH("Lighting Controls Only",F21)),"Lighting Controls Only",IF(CL21+DC21=0,"Does not meet incentive criteria",0)))))))))))))))</f>
        <v>0</v>
      </c>
      <c r="DE21" s="337">
        <f t="shared" si="52"/>
        <v>0</v>
      </c>
      <c r="DF21" s="609">
        <f t="shared" si="53"/>
        <v>0</v>
      </c>
      <c r="DG21" s="336" t="str">
        <f t="shared" si="54"/>
        <v/>
      </c>
      <c r="DH21" s="338">
        <f t="shared" si="55"/>
        <v>1</v>
      </c>
      <c r="DI21" s="336" t="e">
        <f t="shared" si="8"/>
        <v>#VALUE!</v>
      </c>
      <c r="DJ21" s="338">
        <f t="shared" si="9"/>
        <v>0</v>
      </c>
      <c r="DK21" s="325" t="s">
        <v>136</v>
      </c>
      <c r="DL21" s="324">
        <v>46</v>
      </c>
      <c r="DM21" s="325" t="s">
        <v>186</v>
      </c>
      <c r="DN21" s="324">
        <v>12</v>
      </c>
      <c r="DO21" s="1433" t="s">
        <v>1756</v>
      </c>
      <c r="DP21" s="344" t="s">
        <v>34</v>
      </c>
      <c r="DQ21" s="1615" t="s">
        <v>1753</v>
      </c>
      <c r="DR21" s="1331"/>
      <c r="DS21" s="1195">
        <f t="shared" si="56"/>
        <v>0</v>
      </c>
      <c r="DT21" s="344" t="b">
        <f t="shared" si="57"/>
        <v>1</v>
      </c>
      <c r="DU21" s="1314" t="str">
        <f t="array" ref="DU21">IF(OR(COUNTIF(F21,"*"&amp;$DK$9:$DK$178&amp;"*")), "Yes", "")</f>
        <v/>
      </c>
      <c r="DV21" s="1314">
        <f t="shared" si="58"/>
        <v>0</v>
      </c>
      <c r="DW21" s="1480">
        <f t="shared" si="59"/>
        <v>0</v>
      </c>
      <c r="DX21" s="1498">
        <f t="shared" si="71"/>
        <v>0</v>
      </c>
      <c r="DY21" s="1484">
        <f t="shared" si="60"/>
        <v>0</v>
      </c>
      <c r="DZ21" s="1481" t="str">
        <f>Lists!A73</f>
        <v xml:space="preserve">N:  </v>
      </c>
      <c r="EA21" s="881">
        <f>'Product Type'!E23</f>
        <v>0</v>
      </c>
      <c r="EB21" s="1499" t="s">
        <v>188</v>
      </c>
      <c r="EC21" s="727" t="s">
        <v>1568</v>
      </c>
      <c r="ED21" s="728">
        <v>0.5</v>
      </c>
      <c r="EE21" s="1215"/>
      <c r="EF21" s="1215"/>
      <c r="EG21" s="1184" t="str">
        <f t="shared" si="61"/>
        <v/>
      </c>
      <c r="EH21" s="1198" t="s">
        <v>1755</v>
      </c>
      <c r="EI21" s="1199">
        <v>12</v>
      </c>
      <c r="EJ21" s="1185">
        <f t="shared" si="10"/>
        <v>0</v>
      </c>
      <c r="EK21" s="1211"/>
      <c r="EL21" s="1180">
        <f t="shared" si="72"/>
        <v>0</v>
      </c>
      <c r="EM21" s="206"/>
      <c r="EN21" s="1038"/>
      <c r="EO21" s="1038"/>
      <c r="EP21" s="1038"/>
      <c r="EQ21" s="1038">
        <f t="shared" si="62"/>
        <v>0</v>
      </c>
      <c r="ER21" s="1041">
        <f t="shared" si="75"/>
        <v>0</v>
      </c>
      <c r="ES21" s="1042">
        <f t="shared" si="63"/>
        <v>0</v>
      </c>
      <c r="ET21" s="1042">
        <f t="shared" si="73"/>
        <v>0</v>
      </c>
      <c r="EU21" s="1021">
        <f t="shared" si="74"/>
        <v>0</v>
      </c>
      <c r="EV21" s="368"/>
      <c r="EW21" s="368"/>
      <c r="EX21" s="369"/>
      <c r="EY21" s="370"/>
      <c r="EZ21" s="370"/>
      <c r="FA21" s="371"/>
      <c r="FB21" s="372"/>
    </row>
    <row r="22" spans="1:158" s="1" customFormat="1" ht="34.5" customHeight="1">
      <c r="A22" s="82">
        <v>14</v>
      </c>
      <c r="B22" s="1785"/>
      <c r="C22" s="1726"/>
      <c r="D22" s="1726"/>
      <c r="E22" s="1727"/>
      <c r="F22" s="1732"/>
      <c r="G22" s="1733"/>
      <c r="H22" s="1733"/>
      <c r="I22" s="1734"/>
      <c r="J22" s="1341"/>
      <c r="K22" s="1728"/>
      <c r="L22" s="1728"/>
      <c r="M22" s="1342"/>
      <c r="N22" s="1583"/>
      <c r="O22" s="208" t="str">
        <f t="shared" si="11"/>
        <v/>
      </c>
      <c r="P22" s="1344"/>
      <c r="Q22" s="1611" t="str">
        <f t="shared" si="0"/>
        <v/>
      </c>
      <c r="R22" s="1611">
        <f t="shared" si="12"/>
        <v>0</v>
      </c>
      <c r="S22" s="234">
        <f t="shared" si="13"/>
        <v>0</v>
      </c>
      <c r="T22" s="1755"/>
      <c r="U22" s="1755"/>
      <c r="V22" s="1755"/>
      <c r="W22" s="1345"/>
      <c r="X22" s="1757"/>
      <c r="Y22" s="1742"/>
      <c r="Z22" s="1346"/>
      <c r="AA22" s="1347"/>
      <c r="AB22" s="1141"/>
      <c r="AC22" s="1103" t="str">
        <f>IF(T22="","",VLOOKUP(Z22,Lists!$A$60:$B$111,2,FALSE))</f>
        <v/>
      </c>
      <c r="AD22" s="130" t="str">
        <f t="shared" si="14"/>
        <v/>
      </c>
      <c r="AE22" s="130" t="e">
        <f t="shared" si="15"/>
        <v>#VALUE!</v>
      </c>
      <c r="AF22" s="130">
        <f t="shared" si="16"/>
        <v>1</v>
      </c>
      <c r="AG22" s="234">
        <f t="shared" si="1"/>
        <v>0</v>
      </c>
      <c r="AH22" s="1753" t="str">
        <f>IF(T22="","",(IF(ISNUMBER(SEARCH("exit",T22)),8760,IF(AND(M22="Dusk to Dawn",'Proposed Lighting'!AU22=3),4059,IF(AND(AU22=3,M22="1"),0,IF(AND(AU22=3,M22="1-C"),0,IF(AND(AU22=3,M22="2"),0,IF(AND(AU22=3,M22="2-C"),0,IF(AND(AU22=3,M22="3"),0,IF(AND(AU22=3,M22="3-C"),0,IF(AND(AU22=2,M22="Dusk to Dawn"),0,IF(AND(AU22=2,M22="Dusk to Dawn-C"),0,IF(AND(AU22=2,M22="Dusk to Dawn"),0,IF(AND(AU22=2,M22="E"),0,IF(AND(AU22=2,M22="E-C"),0,EG22)))))))))))))))</f>
        <v/>
      </c>
      <c r="AI22" s="1754"/>
      <c r="AJ22" s="1348"/>
      <c r="AK22" s="1136"/>
      <c r="AL22" s="1748">
        <f t="shared" si="64"/>
        <v>0</v>
      </c>
      <c r="AM22" s="1749"/>
      <c r="AN22" s="1750"/>
      <c r="AO22" s="476">
        <f t="shared" si="2"/>
        <v>0</v>
      </c>
      <c r="AP22" s="476">
        <f t="shared" si="17"/>
        <v>0</v>
      </c>
      <c r="AQ22" s="475">
        <f t="shared" si="3"/>
        <v>0</v>
      </c>
      <c r="AR22" s="475">
        <f t="shared" si="18"/>
        <v>0</v>
      </c>
      <c r="AS22" s="743" t="str">
        <f t="shared" si="19"/>
        <v/>
      </c>
      <c r="AT22" s="736" t="str">
        <f t="shared" si="20"/>
        <v/>
      </c>
      <c r="AU22" s="56">
        <f t="shared" si="21"/>
        <v>1</v>
      </c>
      <c r="AV22" s="476">
        <f t="shared" si="22"/>
        <v>0</v>
      </c>
      <c r="AW22" s="56">
        <f t="shared" si="23"/>
        <v>0</v>
      </c>
      <c r="AX22" s="475">
        <f t="shared" si="65"/>
        <v>0</v>
      </c>
      <c r="AY22" s="1169">
        <f t="shared" si="66"/>
        <v>0</v>
      </c>
      <c r="AZ22" s="1150">
        <f t="shared" si="67"/>
        <v>0</v>
      </c>
      <c r="BA22" s="56">
        <f t="shared" si="68"/>
        <v>0</v>
      </c>
      <c r="BB22" s="420">
        <f t="shared" si="4"/>
        <v>0</v>
      </c>
      <c r="BC22" s="58" t="str">
        <f t="shared" si="5"/>
        <v/>
      </c>
      <c r="BD22" s="660">
        <f t="shared" si="69"/>
        <v>0</v>
      </c>
      <c r="BE22" s="57" t="e">
        <f t="array" ref="BE22">INDEX($EB$11:$ED$1022,MATCH(F22&amp;T22,$EB$11:$EB$1007&amp;$EC$11:$EC$1007,0),3)</f>
        <v>#N/A</v>
      </c>
      <c r="BF22" s="463">
        <f t="shared" si="24"/>
        <v>0</v>
      </c>
      <c r="BG22" s="1612" t="e">
        <f t="array" ref="BG22">INDEX($DO$112:$DQ$123,MATCH(T22&amp;W22,$DO$114:$DO$125&amp;$DP$112:$DP$123,0),3)</f>
        <v>#N/A</v>
      </c>
      <c r="BH22" s="1613">
        <f t="shared" si="25"/>
        <v>0</v>
      </c>
      <c r="BI22" s="465">
        <f t="shared" si="26"/>
        <v>0</v>
      </c>
      <c r="BJ22" s="465">
        <f t="shared" si="27"/>
        <v>0</v>
      </c>
      <c r="BK22" s="466">
        <f t="shared" si="28"/>
        <v>0</v>
      </c>
      <c r="BL22" s="466">
        <f t="shared" si="29"/>
        <v>0</v>
      </c>
      <c r="BM22" s="466">
        <f t="shared" si="30"/>
        <v>0</v>
      </c>
      <c r="BN22" s="466">
        <f t="shared" si="31"/>
        <v>0</v>
      </c>
      <c r="BO22" s="463">
        <f>IF('Data Entry'!$C$74=0,0,IF(ISNA(CJ22),0,IF(AX22=0,0,IF(AND('Data Entry'!$C$74=2,AF22&gt;2,CE22&lt;1),0,IF(AND('Data Entry'!$C$74=2,AF22&gt;1,AU22=2,CJ22&gt;1),0,IF(AND(AF22=5,CT22=0.5,AU22=2,ER22&lt;100),0,IF(AND(AF22=5,CT22=0.5,AU22=3,ER22&lt;100),0,IF(AND('Data Entry'!$C$74=2,AF22=2,AU22=2,AK22&gt;0.01,CB22=2,CE22&lt;1),0,IF(AND('Data Entry'!$C$74=2,AF22=3,AU22=3,AK22&gt;0.01,CB22=3,CE22&lt;1),0,IF(AND('Data Entry'!$C$74=2,AF22=3,AU22=3,AK22&gt;0.01,CB22=3,CE22&gt;0.99),BQ22*0.08,IF(AND('Data Entry'!$C$74=2,AF22=2,AU22=2,AK22&gt;0.01,CB22=2,CE22&gt;0.99),BQ22*0.1,IF(AND(AU22=2,AK22&gt;0.01,CB22=2,CD22&gt;1),BQ22*0.1,IF(AND(AU22=3,AK22&gt;0.01,CB22=3,CD22&gt;1),BQ22*0.08,CJ22*EF22)))))))))))))</f>
        <v>0</v>
      </c>
      <c r="BP22" s="475">
        <f t="shared" si="32"/>
        <v>0</v>
      </c>
      <c r="BQ22" s="1431">
        <f>IF(AU22=1,0,IF(CH22=100,0,IF(AND(AF22=3,AU22=2),0,IF(AND(BH22=0,CT22&gt;0.4),0,IF(AND('Data Entry'!$C$74=2,AF22=1.5),0,IF(AND('Data Entry'!$C$74=2,AF22=1.6),0,IF(AND('Data Entry'!$C$74=2,AF22=4),0,IF(AND('Data Entry'!$C$74=2,AF22=5),0,IF(AND('Data Entry'!$C$74=2,AF22=2.5,CE22&lt;1),0,IF(AND('Data Entry'!$C$74=2,AF22=3,CE22&lt;1),0,IF(AND('Data Entry'!$C$74=1,AF22=2.5,CD22&lt;1),0,IF(AND('Data Entry'!$C$74=1,AF22=3,CD22&lt;1),0,IF(DX22&gt;0.01,DX22,IF(ISERROR(AX22-AY22),"",ROUND(AX22-AY22,2)))))))))))))))</f>
        <v>0</v>
      </c>
      <c r="BR22" s="146">
        <f t="shared" si="33"/>
        <v>0</v>
      </c>
      <c r="BS22" s="475">
        <f t="shared" si="34"/>
        <v>0</v>
      </c>
      <c r="BT22" s="146" t="b">
        <f t="shared" si="35"/>
        <v>0</v>
      </c>
      <c r="BU22" s="463">
        <f>IF(ISNA(AT22),0,IF(AND('Data Entry'!$C$74=2,BC22=27),0,IF(AND('Data Entry'!$C$74=2,BC22=28),0,IF(AND(BC22=27,BT22=27,CM22&gt;0.1),CM22*0.15,IF(AND(BC22=28,BT22=28,CM22&gt;0.1),CM22*0.12,0)))))</f>
        <v>0</v>
      </c>
      <c r="BV22" s="463">
        <f t="shared" si="36"/>
        <v>0</v>
      </c>
      <c r="BW22" s="463">
        <f t="shared" si="37"/>
        <v>0</v>
      </c>
      <c r="BX22" s="463">
        <f t="shared" si="38"/>
        <v>0</v>
      </c>
      <c r="BY22" s="463">
        <f t="shared" si="39"/>
        <v>0</v>
      </c>
      <c r="BZ22" s="463">
        <f t="shared" si="40"/>
        <v>0</v>
      </c>
      <c r="CA22" s="57">
        <f t="shared" si="70"/>
        <v>0</v>
      </c>
      <c r="CB22" s="56">
        <f t="shared" si="41"/>
        <v>1</v>
      </c>
      <c r="CC22" s="756">
        <f>IF(EE22=0,0,IF(EF22=0,0,IF(EE22&gt;AA22,0,IF(AND(AZ22&gt;AW22,AW22&gt;0),0,IF(CU22=0,0,Summary!AC325)))))</f>
        <v>0</v>
      </c>
      <c r="CD22" s="756">
        <f>IF(EE22=0,0,IF(EF22=0,0,IF(EE22&gt;AA22,0,IF(AND(AZ22&gt;AW22,AW22&gt;0),0,IF(CU22=0,0,Summary!AD325)))))</f>
        <v>0</v>
      </c>
      <c r="CE22" s="756">
        <f>IF(EF22=0,0,IF(EE22&gt;AA22,0,IF(CC22=0,0,IF(AND(AZ22&gt;AW22,AW22&gt;0),0,IF(CU22=0,0,Summary!AE325)))))</f>
        <v>0</v>
      </c>
      <c r="CF22" s="475">
        <f t="shared" si="42"/>
        <v>0</v>
      </c>
      <c r="CG22" s="476">
        <f t="shared" si="6"/>
        <v>0</v>
      </c>
      <c r="CH22" s="487">
        <f t="shared" si="43"/>
        <v>0</v>
      </c>
      <c r="CI22" s="756">
        <f t="shared" si="44"/>
        <v>0</v>
      </c>
      <c r="CJ22" s="487">
        <f>IF(CT22&gt;0.4,0,IF(AND(AU22=2,CH22=0,CT22=0.5,ER22=100),35,IF(AND(AU22=3,BB22&gt;75,CH22=0,CT22=0.5,ER22=100),25,IF(CB22&gt;1,0,IF(EF22&gt;EE22,0,IF(AND(AF22&gt;1,CH22=100),0,IF(AND(AF22=1,AY22=0),0,IF(AND(EF22&lt;=EE22,AW22&gt;=AZ22,'Data Entry'!$C$74=1,AU22=2),VLOOKUP(W22,$DO$96:$DP$102,2,FALSE),IF(AND(EF22&lt;=EE22,AW22&gt;=AZ22,AU22=3,'Data Entry'!$C$74=1),VLOOKUP(W22,$DO$127:$DP$134,2,FALSE))))))))))</f>
        <v>0</v>
      </c>
      <c r="CK22" s="716">
        <f t="shared" si="45"/>
        <v>0</v>
      </c>
      <c r="CL22" s="57">
        <f t="shared" si="46"/>
        <v>0</v>
      </c>
      <c r="CM22" s="475">
        <f t="shared" si="77"/>
        <v>0</v>
      </c>
      <c r="CN22" s="660">
        <f>IF(CM22&lt;0.1,0,IF(ISNA(AT22),0,IF(CL22+BC22=1,0,IF(BV22&gt;0.01,0,IF(CL22&gt;0.01,0,IF(CF22=1,0,IF(BC22=0.5,0,IF(AND(CI22=1,AU22=3),0,IF(AND(CI22=5,CL22=0),0,IF(AND(R22=12,BR22=50),0,IF(CK22&gt;0.01,0,IF(AND(AJ22&gt;0.01,AU22=2,BC22=15),CM22*0.1,IF(AND(AJ22&gt;0.01,AU22=3,BC22=15),CM22*0.08,IF(AND(R22=12,BC22=3,AF22&lt;=0),0,IF(AND(BC22=15,BI22=0),0,IF(AND(BC22=15,BJ22=0),0,IF(AND(R22=20,CU22=0),0,IF($X$4=0,0,IF(AND(BC22=250,CL22=0),0,IF(AA22&lt;1,0,IF(AND(ISNUMBER(SEARCH("Area",T22)),AU22=3),0,IF(AND(AQ22&gt;0.01,AR22=0,BK22=0,BL22=0,BM22=0,BN22=0),0,IF(AND(AU22=3,CI22=7,CT22&gt;0.5),0,IF(AND(BC22=44,AU22=3,BY22=0),0,IF(AND(BC22=27,'Data Entry'!$C$74=2),0,IF(AND(BC22=28,'Data Entry'!$C$74=2),0,IF(AND(BY22+BZ22+CA22&gt;0.01,BV22=0,EQ22+ER22+ES22+ET22&lt;100),0,IF(AU22=3,CM22*0.08,IF(AU22=2,CM22*0.1,0)))))))))))))))))))))))))))))</f>
        <v>0</v>
      </c>
      <c r="CO22" s="660">
        <f t="shared" si="47"/>
        <v>0</v>
      </c>
      <c r="CP22" s="475" t="str">
        <f t="shared" si="48"/>
        <v/>
      </c>
      <c r="CQ22" s="161" t="str">
        <f>IF(AH22=0,0,IF(AU22=5,0,Summary!AC25))</f>
        <v/>
      </c>
      <c r="CR22" s="161" t="str">
        <f>IF(BF22=0.5,0,IF(AU22=5,0,Summary!AD25))</f>
        <v/>
      </c>
      <c r="CS22" s="161" t="str">
        <f>IF(AU22=5,0,Summary!AE25)</f>
        <v/>
      </c>
      <c r="CT22" s="161">
        <f t="shared" si="49"/>
        <v>0</v>
      </c>
      <c r="CU22" s="475" t="str">
        <f t="shared" si="7"/>
        <v/>
      </c>
      <c r="CV22" s="307">
        <f>IF('Data Entry'!$C$74=0,0,IF(AA22&lt;1,0,IF(ISERROR(CU22),0,IF(CF22=1,0,IF(AND(R22=12,BR22=50),0,IF(CL22+BO22+BV22+DC22=0,0,IF(BC22=37,0,IF(AND(BC22=40,AJ22=0),0,IF(AND(BC22=37,BO22&gt;0.01,BQ22&gt;0.01),ROUND(BQ22,0),IF(CM22&lt;0,0,ROUND(CM22,0)))))))))))</f>
        <v>0</v>
      </c>
      <c r="CW22" s="700">
        <f t="shared" si="50"/>
        <v>0</v>
      </c>
      <c r="CX22" s="477">
        <f>IF('Data Entry'!$C$74=0,0,IF(CV22&lt;0.01,0,IF(BF22=0.5,0,IF(CF22=1,0,IF(ISNUMBER(SEARCH("false",CL22)),0,IF(AZ22=500,0,CL22))))))</f>
        <v>0</v>
      </c>
      <c r="CY22" s="147" t="e">
        <f t="shared" si="51"/>
        <v>#VALUE!</v>
      </c>
      <c r="CZ22" s="147" t="b">
        <f>IF(CN22+CL22=0,FALSE,IF(AH22=0,0,IF(AND('Data Entry'!$C$74=1,CR22&gt;=1),TRUE,IF(AND('Data Entry'!$C$74=2,CS22&gt;=1),TRUE,FALSE))))</f>
        <v>0</v>
      </c>
      <c r="DA22" s="1751">
        <f>IF('Data Entry'!$C$74=0,0,IFERROR(ROUND(IF(T22="","",IF($X$4=0,0,IF(CF22=1,0,IF(BQ22+CV22=0,0,IF(CF22=1,0,IF(CY22&gt;0.01,CY22,IF(CL22&gt;0.01,CL22,IF(CY22&gt;0.01,CY22,IF(BC22=37,BO22,IF(CZ22=FALSE,0,IF(CZ22=TRUE,DC22+DF22,0))))))))))),2),""))</f>
        <v>0</v>
      </c>
      <c r="DB22" s="1752"/>
      <c r="DC22" s="474">
        <f>IF(CN22&lt;0.01,0,IF(AND(BR22=3,CN22&gt;0.01,CT22&gt;0.6,ER22+ES22+ET22&lt;100),0,IF(AND('Data Entry'!$C$74=1,CN22&gt;0.01,CR22&gt;0.99),MIN(CN22:CO22),IF(AND('Data Entry'!$C$74=2,CN22&gt;0.01,CS22&gt;0.99),MIN(CN22:CO22),0))))</f>
        <v>0</v>
      </c>
      <c r="DD22" s="478">
        <f>IF(CF22=1,"Selection does not match",IF(T22=0,0,IF(AND('Data Entry'!$C$74=0,CP22&gt;1),"Select Oregon or Idaho on Data Entry Tab",IF(AND(AU22=1,AA22&gt;0.9),"Missing Interior or Exterior Selection",IF($X$4=0,"Enter Total Project Cost",IF(AQ22&lt;AR22,"Insufficient kWh savings – no incentive",IF(AND(SUM(CL22+CK22+BV22)&gt;0.01,'Data Entry'!$C$74=2,CJ22&gt;1,BO22=0),"Submit Control as Non-Standard",IF(AND('Data Entry'!$C$74=2,BR22=37,CJ22&gt;1,BO22=0),"Submit Control as Non-Standard",IF(SUM(CL22+CK22+BV22)&gt;0.01,"Standard Incentive",IF(AND('Data Entry'!$C$74=2,CP22=7,CN22=0),"Submit as Non-Standard",IF(DC22&gt;0.9,"Non-Standard Incentive",IF(AND(BY22+BZ22+CA22&gt;0.01,BV22=0,EQ22=0,ER22=0,ES22=0,ET22=0),"Scroll Right &amp; Select Control Strategies",IF(AND(CN22&gt;0.01,CO22=0),"Enter Unit Installed Cost",IF(ISNUMBER(SEARCH("Lighting Controls Only",F22)),"Lighting Controls Only",IF(CL22+DC22=0,"Does not meet incentive criteria",0)))))))))))))))</f>
        <v>0</v>
      </c>
      <c r="DE22" s="337">
        <f t="shared" si="52"/>
        <v>0</v>
      </c>
      <c r="DF22" s="609">
        <f t="shared" si="53"/>
        <v>0</v>
      </c>
      <c r="DG22" s="336" t="str">
        <f t="shared" si="54"/>
        <v/>
      </c>
      <c r="DH22" s="338">
        <f t="shared" si="55"/>
        <v>1</v>
      </c>
      <c r="DI22" s="336" t="e">
        <f t="shared" si="8"/>
        <v>#VALUE!</v>
      </c>
      <c r="DJ22" s="338">
        <f t="shared" si="9"/>
        <v>0</v>
      </c>
      <c r="DK22" s="325" t="s">
        <v>189</v>
      </c>
      <c r="DL22" s="341">
        <v>74</v>
      </c>
      <c r="DM22" s="325" t="s">
        <v>108</v>
      </c>
      <c r="DN22" s="341">
        <v>4</v>
      </c>
      <c r="DO22" s="1433" t="s">
        <v>1757</v>
      </c>
      <c r="DP22" s="344" t="s">
        <v>34</v>
      </c>
      <c r="DQ22" s="1615" t="s">
        <v>1754</v>
      </c>
      <c r="DR22" s="1331"/>
      <c r="DS22" s="1195">
        <f t="shared" si="56"/>
        <v>0</v>
      </c>
      <c r="DT22" s="344" t="b">
        <f t="shared" si="57"/>
        <v>1</v>
      </c>
      <c r="DU22" s="1314" t="str">
        <f t="array" ref="DU22">IF(OR(COUNTIF(F22,"*"&amp;$DK$9:$DK$178&amp;"*")), "Yes", "")</f>
        <v/>
      </c>
      <c r="DV22" s="1314">
        <f t="shared" si="58"/>
        <v>0</v>
      </c>
      <c r="DW22" s="1480">
        <f t="shared" si="59"/>
        <v>0</v>
      </c>
      <c r="DX22" s="1498">
        <f t="shared" si="71"/>
        <v>0</v>
      </c>
      <c r="DY22" s="1484">
        <f t="shared" si="60"/>
        <v>0</v>
      </c>
      <c r="DZ22" s="1481" t="str">
        <f>Lists!A74</f>
        <v xml:space="preserve">O:  </v>
      </c>
      <c r="EA22" s="881">
        <f>'Product Type'!E24</f>
        <v>0</v>
      </c>
      <c r="EB22" s="1499" t="s">
        <v>141</v>
      </c>
      <c r="EC22" s="727" t="s">
        <v>1568</v>
      </c>
      <c r="ED22" s="728">
        <v>0.5</v>
      </c>
      <c r="EE22" s="1215"/>
      <c r="EF22" s="1215"/>
      <c r="EG22" s="1184" t="str">
        <f t="shared" si="61"/>
        <v/>
      </c>
      <c r="EH22" s="1198" t="s">
        <v>1756</v>
      </c>
      <c r="EI22" s="1199">
        <v>12</v>
      </c>
      <c r="EJ22" s="1185">
        <f t="shared" si="10"/>
        <v>0</v>
      </c>
      <c r="EK22" s="1211"/>
      <c r="EL22" s="1180">
        <f t="shared" si="72"/>
        <v>0</v>
      </c>
      <c r="EM22" s="206"/>
      <c r="EN22" s="1038"/>
      <c r="EO22" s="1038"/>
      <c r="EP22" s="1038"/>
      <c r="EQ22" s="1038">
        <f t="shared" si="62"/>
        <v>0</v>
      </c>
      <c r="ER22" s="1041">
        <f t="shared" si="75"/>
        <v>0</v>
      </c>
      <c r="ES22" s="1042">
        <f t="shared" si="63"/>
        <v>0</v>
      </c>
      <c r="ET22" s="1042">
        <f t="shared" si="73"/>
        <v>0</v>
      </c>
      <c r="EU22" s="1021">
        <f t="shared" si="74"/>
        <v>0</v>
      </c>
      <c r="EV22" s="368"/>
      <c r="EW22" s="368"/>
      <c r="EX22" s="369"/>
      <c r="EY22" s="370"/>
      <c r="EZ22" s="370"/>
      <c r="FA22" s="371"/>
      <c r="FB22" s="372"/>
    </row>
    <row r="23" spans="1:158" s="1" customFormat="1" ht="34.5" customHeight="1">
      <c r="A23" s="82">
        <v>15</v>
      </c>
      <c r="B23" s="1785"/>
      <c r="C23" s="1726"/>
      <c r="D23" s="1726"/>
      <c r="E23" s="1727"/>
      <c r="F23" s="1732"/>
      <c r="G23" s="1733"/>
      <c r="H23" s="1733"/>
      <c r="I23" s="1734"/>
      <c r="J23" s="1341"/>
      <c r="K23" s="1728"/>
      <c r="L23" s="1728"/>
      <c r="M23" s="1342"/>
      <c r="N23" s="1583"/>
      <c r="O23" s="208" t="str">
        <f t="shared" si="11"/>
        <v/>
      </c>
      <c r="P23" s="1528"/>
      <c r="Q23" s="1611" t="str">
        <f t="shared" si="0"/>
        <v/>
      </c>
      <c r="R23" s="1611">
        <f t="shared" si="12"/>
        <v>0</v>
      </c>
      <c r="S23" s="234">
        <f t="shared" si="13"/>
        <v>0</v>
      </c>
      <c r="T23" s="1755"/>
      <c r="U23" s="1755"/>
      <c r="V23" s="1755"/>
      <c r="W23" s="1345"/>
      <c r="X23" s="1757"/>
      <c r="Y23" s="1742"/>
      <c r="Z23" s="1346"/>
      <c r="AA23" s="1347"/>
      <c r="AB23" s="1141"/>
      <c r="AC23" s="1103" t="str">
        <f>IF(T23="","",VLOOKUP(Z23,Lists!$A$60:$B$111,2,FALSE))</f>
        <v/>
      </c>
      <c r="AD23" s="130" t="str">
        <f t="shared" si="14"/>
        <v/>
      </c>
      <c r="AE23" s="130" t="e">
        <f t="shared" si="15"/>
        <v>#VALUE!</v>
      </c>
      <c r="AF23" s="130">
        <f t="shared" si="16"/>
        <v>1</v>
      </c>
      <c r="AG23" s="234">
        <f t="shared" si="1"/>
        <v>0</v>
      </c>
      <c r="AH23" s="1753" t="str">
        <f>IF(T23="","",(IF(ISNUMBER(SEARCH("exit",T23)),8760,IF(AND(M23="Dusk to Dawn",'Proposed Lighting'!AU23=3),4059,IF(AND(AU23=3,M23="1"),0,IF(AND(AU23=3,M23="1-C"),0,IF(AND(AU23=3,M23="2"),0,IF(AND(AU23=3,M23="2-C"),0,IF(AND(AU23=3,M23="3"),0,IF(AND(AU23=3,M23="3-C"),0,IF(AND(AU23=2,M23="Dusk to Dawn"),0,IF(AND(AU23=2,M23="Dusk to Dawn-C"),0,IF(AND(AU23=2,M23="Dusk to Dawn"),0,IF(AND(AU23=2,M23="E"),0,IF(AND(AU23=2,M23="E-C"),0,EG23)))))))))))))))</f>
        <v/>
      </c>
      <c r="AI23" s="1754"/>
      <c r="AJ23" s="1136"/>
      <c r="AK23" s="1136"/>
      <c r="AL23" s="1748">
        <f t="shared" si="64"/>
        <v>0</v>
      </c>
      <c r="AM23" s="1749"/>
      <c r="AN23" s="1750"/>
      <c r="AO23" s="476">
        <f t="shared" si="2"/>
        <v>0</v>
      </c>
      <c r="AP23" s="476">
        <f t="shared" si="17"/>
        <v>0</v>
      </c>
      <c r="AQ23" s="475">
        <f t="shared" si="3"/>
        <v>0</v>
      </c>
      <c r="AR23" s="475">
        <f t="shared" si="18"/>
        <v>0</v>
      </c>
      <c r="AS23" s="743" t="str">
        <f t="shared" si="19"/>
        <v/>
      </c>
      <c r="AT23" s="736" t="str">
        <f t="shared" si="20"/>
        <v/>
      </c>
      <c r="AU23" s="56">
        <f t="shared" si="21"/>
        <v>1</v>
      </c>
      <c r="AV23" s="476">
        <f t="shared" si="22"/>
        <v>0</v>
      </c>
      <c r="AW23" s="56">
        <f t="shared" si="23"/>
        <v>0</v>
      </c>
      <c r="AX23" s="475">
        <f t="shared" si="65"/>
        <v>0</v>
      </c>
      <c r="AY23" s="1169">
        <f t="shared" si="66"/>
        <v>0</v>
      </c>
      <c r="AZ23" s="1150">
        <f t="shared" si="67"/>
        <v>0</v>
      </c>
      <c r="BA23" s="56">
        <f t="shared" si="68"/>
        <v>0</v>
      </c>
      <c r="BB23" s="420">
        <f t="shared" si="4"/>
        <v>0</v>
      </c>
      <c r="BC23" s="58" t="str">
        <f t="shared" si="5"/>
        <v/>
      </c>
      <c r="BD23" s="660">
        <f t="shared" si="69"/>
        <v>0</v>
      </c>
      <c r="BE23" s="57" t="e">
        <f t="array" ref="BE23">INDEX($EB$11:$ED$1022,MATCH(F23&amp;T23,$EB$11:$EB$1007&amp;$EC$11:$EC$1007,0),3)</f>
        <v>#N/A</v>
      </c>
      <c r="BF23" s="463">
        <f t="shared" si="24"/>
        <v>0</v>
      </c>
      <c r="BG23" s="1612" t="e">
        <f t="array" ref="BG23">INDEX($DO$112:$DQ$123,MATCH(T23&amp;W23,$DO$114:$DO$125&amp;$DP$112:$DP$123,0),3)</f>
        <v>#N/A</v>
      </c>
      <c r="BH23" s="1613">
        <f t="shared" si="25"/>
        <v>0</v>
      </c>
      <c r="BI23" s="465">
        <f t="shared" si="26"/>
        <v>0</v>
      </c>
      <c r="BJ23" s="465">
        <f t="shared" si="27"/>
        <v>0</v>
      </c>
      <c r="BK23" s="466">
        <f t="shared" si="28"/>
        <v>0</v>
      </c>
      <c r="BL23" s="466">
        <f t="shared" si="29"/>
        <v>0</v>
      </c>
      <c r="BM23" s="466">
        <f t="shared" si="30"/>
        <v>0</v>
      </c>
      <c r="BN23" s="466">
        <f t="shared" si="31"/>
        <v>0</v>
      </c>
      <c r="BO23" s="463">
        <f>IF('Data Entry'!$C$74=0,0,IF(ISNA(CJ23),0,IF(AX23=0,0,IF(AND('Data Entry'!$C$74=2,AF23&gt;2,CE23&lt;1),0,IF(AND('Data Entry'!$C$74=2,AF23&gt;1,AU23=2,CJ23&gt;1),0,IF(AND(AF23=5,CT23=0.5,AU23=2,ER23&lt;100),0,IF(AND(AF23=5,CT23=0.5,AU23=3,ER23&lt;100),0,IF(AND('Data Entry'!$C$74=2,AF23=2,AU23=2,AK23&gt;0.01,CB23=2,CE23&lt;1),0,IF(AND('Data Entry'!$C$74=2,AF23=3,AU23=3,AK23&gt;0.01,CB23=3,CE23&lt;1),0,IF(AND('Data Entry'!$C$74=2,AF23=3,AU23=3,AK23&gt;0.01,CB23=3,CE23&gt;0.99),BQ23*0.08,IF(AND('Data Entry'!$C$74=2,AF23=2,AU23=2,AK23&gt;0.01,CB23=2,CE23&gt;0.99),BQ23*0.1,IF(AND(AU23=2,AK23&gt;0.01,CB23=2,CD23&gt;1),BQ23*0.1,IF(AND(AU23=3,AK23&gt;0.01,CB23=3,CD23&gt;1),BQ23*0.08,CJ23*EF23)))))))))))))</f>
        <v>0</v>
      </c>
      <c r="BP23" s="475">
        <f t="shared" si="32"/>
        <v>0</v>
      </c>
      <c r="BQ23" s="1431">
        <f>IF(AU23=1,0,IF(CH23=100,0,IF(AND(AF23=3,AU23=2),0,IF(AND(BH23=0,CT23&gt;0.4),0,IF(AND('Data Entry'!$C$74=2,AF23=1.5),0,IF(AND('Data Entry'!$C$74=2,AF23=1.6),0,IF(AND('Data Entry'!$C$74=2,AF23=4),0,IF(AND('Data Entry'!$C$74=2,AF23=5),0,IF(AND('Data Entry'!$C$74=2,AF23=2.5,CE23&lt;1),0,IF(AND('Data Entry'!$C$74=2,AF23=3,CE23&lt;1),0,IF(AND('Data Entry'!$C$74=1,AF23=2.5,CD23&lt;1),0,IF(AND('Data Entry'!$C$74=1,AF23=3,CD23&lt;1),0,IF(DX23&gt;0.01,DX23,IF(ISERROR(AX23-AY23),"",ROUND(AX23-AY23,2)))))))))))))))</f>
        <v>0</v>
      </c>
      <c r="BR23" s="146">
        <f t="shared" si="33"/>
        <v>0</v>
      </c>
      <c r="BS23" s="475">
        <f t="shared" si="34"/>
        <v>0</v>
      </c>
      <c r="BT23" s="146" t="b">
        <f t="shared" si="35"/>
        <v>0</v>
      </c>
      <c r="BU23" s="463">
        <f>IF(ISNA(AT23),0,IF(AND('Data Entry'!$C$74=2,BC23=27),0,IF(AND('Data Entry'!$C$74=2,BC23=28),0,IF(AND(BC23=27,BT23=27,CM23&gt;0.1),CM23*0.15,IF(AND(BC23=28,BT23=28,CM23&gt;0.1),CM23*0.12,0)))))</f>
        <v>0</v>
      </c>
      <c r="BV23" s="463">
        <f t="shared" si="36"/>
        <v>0</v>
      </c>
      <c r="BW23" s="463">
        <f t="shared" si="37"/>
        <v>0</v>
      </c>
      <c r="BX23" s="463">
        <f t="shared" si="38"/>
        <v>0</v>
      </c>
      <c r="BY23" s="463">
        <f t="shared" si="39"/>
        <v>0</v>
      </c>
      <c r="BZ23" s="463">
        <f t="shared" si="40"/>
        <v>0</v>
      </c>
      <c r="CA23" s="57">
        <f t="shared" si="70"/>
        <v>0</v>
      </c>
      <c r="CB23" s="56">
        <f t="shared" si="41"/>
        <v>1</v>
      </c>
      <c r="CC23" s="756">
        <f>IF(EE23=0,0,IF(EF23=0,0,IF(EE23&gt;AA23,0,IF(AND(AZ23&gt;AW23,AW23&gt;0),0,IF(CU23=0,0,Summary!AC326)))))</f>
        <v>0</v>
      </c>
      <c r="CD23" s="756">
        <f>IF(EE23=0,0,IF(EF23=0,0,IF(EE23&gt;AA23,0,IF(AND(AZ23&gt;AW23,AW23&gt;0),0,IF(CU23=0,0,Summary!AD326)))))</f>
        <v>0</v>
      </c>
      <c r="CE23" s="756">
        <f>IF(EF23=0,0,IF(EE23&gt;AA23,0,IF(CC23=0,0,IF(AND(AZ23&gt;AW23,AW23&gt;0),0,IF(CU23=0,0,Summary!AE326)))))</f>
        <v>0</v>
      </c>
      <c r="CF23" s="475">
        <f t="shared" si="42"/>
        <v>0</v>
      </c>
      <c r="CG23" s="476">
        <f t="shared" si="6"/>
        <v>0</v>
      </c>
      <c r="CH23" s="487">
        <f t="shared" si="43"/>
        <v>0</v>
      </c>
      <c r="CI23" s="756">
        <f t="shared" si="44"/>
        <v>0</v>
      </c>
      <c r="CJ23" s="487">
        <f>IF(CT23&gt;0.4,0,IF(AND(AU23=2,CH23=0,CT23=0.5,ER23=100),35,IF(AND(AU23=3,BB23&gt;75,CH23=0,CT23=0.5,ER23=100),25,IF(CB23&gt;1,0,IF(EF23&gt;EE23,0,IF(AND(AF23&gt;1,CH23=100),0,IF(AND(AF23=1,AY23=0),0,IF(AND(EF23&lt;=EE23,AW23&gt;=AZ23,'Data Entry'!$C$74=1,AU23=2),VLOOKUP(W23,$DO$96:$DP$102,2,FALSE),IF(AND(EF23&lt;=EE23,AW23&gt;=AZ23,AU23=3,'Data Entry'!$C$74=1),VLOOKUP(W23,$DO$127:$DP$134,2,FALSE))))))))))</f>
        <v>0</v>
      </c>
      <c r="CK23" s="716">
        <f t="shared" si="45"/>
        <v>0</v>
      </c>
      <c r="CL23" s="57">
        <f t="shared" si="46"/>
        <v>0</v>
      </c>
      <c r="CM23" s="475">
        <f t="shared" si="77"/>
        <v>0</v>
      </c>
      <c r="CN23" s="660">
        <f>IF(CM23&lt;0.1,0,IF(ISNA(AT23),0,IF(CL23+BC23=1,0,IF(BV23&gt;0.01,0,IF(CL23&gt;0.01,0,IF(CF23=1,0,IF(BC23=0.5,0,IF(AND(CI23=1,AU23=3),0,IF(AND(CI23=5,CL23=0),0,IF(AND(R23=12,BR23=50),0,IF(CK23&gt;0.01,0,IF(AND(AJ23&gt;0.01,AU23=2,BC23=15),CM23*0.1,IF(AND(AJ23&gt;0.01,AU23=3,BC23=15),CM23*0.08,IF(AND(R23=12,BC23=3,AF23&lt;=0),0,IF(AND(BC23=15,BI23=0),0,IF(AND(BC23=15,BJ23=0),0,IF(AND(R23=20,CU23=0),0,IF($X$4=0,0,IF(AND(BC23=250,CL23=0),0,IF(AA23&lt;1,0,IF(AND(ISNUMBER(SEARCH("Area",T23)),AU23=3),0,IF(AND(AQ23&gt;0.01,AR23=0,BK23=0,BL23=0,BM23=0,BN23=0),0,IF(AND(AU23=3,CI23=7,CT23&gt;0.5),0,IF(AND(BC23=44,AU23=3,BY23=0),0,IF(AND(BC23=27,'Data Entry'!$C$74=2),0,IF(AND(BC23=28,'Data Entry'!$C$74=2),0,IF(AND(BY23+BZ23+CA23&gt;0.01,BV23=0,EQ23+ER23+ES23+ET23&lt;100),0,IF(AU23=3,CM23*0.08,IF(AU23=2,CM23*0.1,0)))))))))))))))))))))))))))))</f>
        <v>0</v>
      </c>
      <c r="CO23" s="660">
        <f t="shared" si="47"/>
        <v>0</v>
      </c>
      <c r="CP23" s="475" t="str">
        <f t="shared" si="48"/>
        <v/>
      </c>
      <c r="CQ23" s="161" t="str">
        <f>IF(AH23=0,0,IF(AU23=5,0,Summary!AC26))</f>
        <v/>
      </c>
      <c r="CR23" s="161" t="str">
        <f>IF(BF23=0.5,0,IF(AU23=5,0,Summary!AD26))</f>
        <v/>
      </c>
      <c r="CS23" s="161" t="str">
        <f>IF(AU23=5,0,Summary!AE26)</f>
        <v/>
      </c>
      <c r="CT23" s="161">
        <f t="shared" si="49"/>
        <v>0</v>
      </c>
      <c r="CU23" s="475" t="str">
        <f t="shared" si="7"/>
        <v/>
      </c>
      <c r="CV23" s="307">
        <f>IF('Data Entry'!$C$74=0,0,IF(AA23&lt;1,0,IF(ISERROR(CU23),0,IF(CF23=1,0,IF(AND(R23=12,BR23=50),0,IF(CL23+BO23+BV23+DC23=0,0,IF(BC23=37,0,IF(AND(BC23=40,AJ23=0),0,IF(AND(BC23=37,BO23&gt;0.01,BQ23&gt;0.01),ROUND(BQ23,0),IF(CM23&lt;0,0,ROUND(CM23,0)))))))))))</f>
        <v>0</v>
      </c>
      <c r="CW23" s="700">
        <f t="shared" si="50"/>
        <v>0</v>
      </c>
      <c r="CX23" s="477">
        <f>IF('Data Entry'!$C$74=0,0,IF(CV23&lt;0.01,0,IF(BF23=0.5,0,IF(CF23=1,0,IF(ISNUMBER(SEARCH("false",CL23)),0,IF(AZ23=500,0,CL23))))))</f>
        <v>0</v>
      </c>
      <c r="CY23" s="147" t="e">
        <f t="shared" si="51"/>
        <v>#VALUE!</v>
      </c>
      <c r="CZ23" s="147" t="b">
        <f>IF(CN23+CL23=0,FALSE,IF(AH23=0,0,IF(AND('Data Entry'!$C$74=1,CR23&gt;=1),TRUE,IF(AND('Data Entry'!$C$74=2,CS23&gt;=1),TRUE,FALSE))))</f>
        <v>0</v>
      </c>
      <c r="DA23" s="1751">
        <f>IF('Data Entry'!$C$74=0,0,IFERROR(ROUND(IF(T23="","",IF($X$4=0,0,IF(CF23=1,0,IF(BQ23+CV23=0,0,IF(CF23=1,0,IF(CY23&gt;0.01,CY23,IF(CL23&gt;0.01,CL23,IF(CY23&gt;0.01,CY23,IF(BC23=37,BO23,IF(CZ23=FALSE,0,IF(CZ23=TRUE,DC23+DF23,0))))))))))),2),""))</f>
        <v>0</v>
      </c>
      <c r="DB23" s="1752"/>
      <c r="DC23" s="474">
        <f>IF(CN23&lt;0.01,0,IF(AND(BR23=3,CN23&gt;0.01,CT23&gt;0.6,ER23+ES23+ET23&lt;100),0,IF(AND('Data Entry'!$C$74=1,CN23&gt;0.01,CR23&gt;0.99),MIN(CN23:CO23),IF(AND('Data Entry'!$C$74=2,CN23&gt;0.01,CS23&gt;0.99),MIN(CN23:CO23),0))))</f>
        <v>0</v>
      </c>
      <c r="DD23" s="478">
        <f>IF(CF23=1,"Selection does not match",IF(T23=0,0,IF(AND('Data Entry'!$C$74=0,CP23&gt;1),"Select Oregon or Idaho on Data Entry Tab",IF(AND(AU23=1,AA23&gt;0.9),"Missing Interior or Exterior Selection",IF($X$4=0,"Enter Total Project Cost",IF(AQ23&lt;AR23,"Insufficient kWh savings – no incentive",IF(AND(SUM(CL23+CK23+BV23)&gt;0.01,'Data Entry'!$C$74=2,CJ23&gt;1,BO23=0),"Submit Control as Non-Standard",IF(AND('Data Entry'!$C$74=2,BR23=37,CJ23&gt;1,BO23=0),"Submit Control as Non-Standard",IF(SUM(CL23+CK23+BV23)&gt;0.01,"Standard Incentive",IF(AND('Data Entry'!$C$74=2,CP23=7,CN23=0),"Submit as Non-Standard",IF(DC23&gt;0.9,"Non-Standard Incentive",IF(AND(BY23+BZ23+CA23&gt;0.01,BV23=0,EQ23=0,ER23=0,ES23=0,ET23=0),"Scroll Right &amp; Select Control Strategies",IF(AND(CN23&gt;0.01,CO23=0),"Enter Unit Installed Cost",IF(ISNUMBER(SEARCH("Lighting Controls Only",F23)),"Lighting Controls Only",IF(CL23+DC23=0,"Does not meet incentive criteria",0)))))))))))))))</f>
        <v>0</v>
      </c>
      <c r="DE23" s="337">
        <f t="shared" si="52"/>
        <v>0</v>
      </c>
      <c r="DF23" s="609">
        <f t="shared" si="53"/>
        <v>0</v>
      </c>
      <c r="DG23" s="336" t="str">
        <f t="shared" si="54"/>
        <v/>
      </c>
      <c r="DH23" s="338">
        <f t="shared" si="55"/>
        <v>1</v>
      </c>
      <c r="DI23" s="336" t="e">
        <f t="shared" si="8"/>
        <v>#VALUE!</v>
      </c>
      <c r="DJ23" s="338">
        <f t="shared" si="9"/>
        <v>0</v>
      </c>
      <c r="DK23" s="325" t="s">
        <v>190</v>
      </c>
      <c r="DL23" s="341">
        <v>92</v>
      </c>
      <c r="DM23" s="325" t="s">
        <v>109</v>
      </c>
      <c r="DN23" s="341">
        <v>8</v>
      </c>
      <c r="DO23" s="1433" t="s">
        <v>1758</v>
      </c>
      <c r="DP23" s="344" t="s">
        <v>34</v>
      </c>
      <c r="DQ23" s="1615" t="s">
        <v>1755</v>
      </c>
      <c r="DR23" s="1331"/>
      <c r="DS23" s="1195">
        <f t="shared" si="56"/>
        <v>0</v>
      </c>
      <c r="DT23" s="344" t="b">
        <f t="shared" si="57"/>
        <v>1</v>
      </c>
      <c r="DU23" s="1314" t="str">
        <f t="array" ref="DU23">IF(OR(COUNTIF(F23,"*"&amp;$DK$9:$DK$178&amp;"*")), "Yes", "")</f>
        <v/>
      </c>
      <c r="DV23" s="1314">
        <f t="shared" si="58"/>
        <v>0</v>
      </c>
      <c r="DW23" s="1480">
        <f t="shared" si="59"/>
        <v>0</v>
      </c>
      <c r="DX23" s="1498">
        <f t="shared" si="71"/>
        <v>0</v>
      </c>
      <c r="DY23" s="1484">
        <f t="shared" si="60"/>
        <v>0</v>
      </c>
      <c r="DZ23" s="1481" t="str">
        <f>Lists!A75</f>
        <v xml:space="preserve">P:  </v>
      </c>
      <c r="EA23" s="881">
        <f>'Product Type'!E25</f>
        <v>0</v>
      </c>
      <c r="EB23" s="1499" t="s">
        <v>142</v>
      </c>
      <c r="EC23" s="727" t="s">
        <v>1568</v>
      </c>
      <c r="ED23" s="728">
        <v>0.5</v>
      </c>
      <c r="EE23" s="1215"/>
      <c r="EF23" s="1215"/>
      <c r="EG23" s="1184" t="str">
        <f t="shared" si="61"/>
        <v/>
      </c>
      <c r="EH23" s="1197" t="s">
        <v>1757</v>
      </c>
      <c r="EI23" s="1199">
        <v>7</v>
      </c>
      <c r="EJ23" s="1185">
        <f t="shared" si="10"/>
        <v>0</v>
      </c>
      <c r="EK23" s="1211"/>
      <c r="EL23" s="1180">
        <f t="shared" si="72"/>
        <v>0</v>
      </c>
      <c r="EM23" s="206"/>
      <c r="EN23" s="1038"/>
      <c r="EO23" s="1038"/>
      <c r="EP23" s="1038"/>
      <c r="EQ23" s="1038">
        <f t="shared" si="62"/>
        <v>0</v>
      </c>
      <c r="ER23" s="1041">
        <f t="shared" si="75"/>
        <v>0</v>
      </c>
      <c r="ES23" s="1042">
        <f t="shared" si="63"/>
        <v>0</v>
      </c>
      <c r="ET23" s="1042">
        <f t="shared" si="73"/>
        <v>0</v>
      </c>
      <c r="EU23" s="1021">
        <f t="shared" si="74"/>
        <v>0</v>
      </c>
      <c r="EV23" s="368"/>
      <c r="EW23" s="368"/>
      <c r="EX23" s="369"/>
      <c r="EY23" s="370"/>
      <c r="EZ23" s="370"/>
      <c r="FA23" s="371"/>
      <c r="FB23" s="372"/>
    </row>
    <row r="24" spans="1:158" s="1" customFormat="1" ht="34.5" customHeight="1">
      <c r="A24" s="82">
        <v>16</v>
      </c>
      <c r="B24" s="1785"/>
      <c r="C24" s="1726"/>
      <c r="D24" s="1726"/>
      <c r="E24" s="1727"/>
      <c r="F24" s="1732"/>
      <c r="G24" s="1733"/>
      <c r="H24" s="1733"/>
      <c r="I24" s="1734"/>
      <c r="J24" s="1341"/>
      <c r="K24" s="1728"/>
      <c r="L24" s="1728"/>
      <c r="M24" s="1342"/>
      <c r="N24" s="1583"/>
      <c r="O24" s="208" t="str">
        <f t="shared" si="11"/>
        <v/>
      </c>
      <c r="P24" s="1528"/>
      <c r="Q24" s="1611" t="str">
        <f t="shared" si="0"/>
        <v/>
      </c>
      <c r="R24" s="1611">
        <f t="shared" si="12"/>
        <v>0</v>
      </c>
      <c r="S24" s="234">
        <f t="shared" si="13"/>
        <v>0</v>
      </c>
      <c r="T24" s="1755"/>
      <c r="U24" s="1755"/>
      <c r="V24" s="1755"/>
      <c r="W24" s="1345"/>
      <c r="X24" s="1757"/>
      <c r="Y24" s="1742"/>
      <c r="Z24" s="1346"/>
      <c r="AA24" s="1347"/>
      <c r="AB24" s="1141"/>
      <c r="AC24" s="1103" t="str">
        <f>IF(T24="","",VLOOKUP(Z24,Lists!$A$60:$B$111,2,FALSE))</f>
        <v/>
      </c>
      <c r="AD24" s="130" t="str">
        <f t="shared" si="14"/>
        <v/>
      </c>
      <c r="AE24" s="130" t="e">
        <f t="shared" si="15"/>
        <v>#VALUE!</v>
      </c>
      <c r="AF24" s="130">
        <f t="shared" si="16"/>
        <v>1</v>
      </c>
      <c r="AG24" s="234">
        <f t="shared" si="1"/>
        <v>0</v>
      </c>
      <c r="AH24" s="1753" t="str">
        <f>IF(T24="","",(IF(ISNUMBER(SEARCH("exit",T24)),8760,IF(AND(M24="Dusk to Dawn",'Proposed Lighting'!AU24=3),4059,IF(AND(AU24=3,M24="1"),0,IF(AND(AU24=3,M24="1-C"),0,IF(AND(AU24=3,M24="2"),0,IF(AND(AU24=3,M24="2-C"),0,IF(AND(AU24=3,M24="3"),0,IF(AND(AU24=3,M24="3-C"),0,IF(AND(AU24=2,M24="Dusk to Dawn"),0,IF(AND(AU24=2,M24="Dusk to Dawn-C"),0,IF(AND(AU24=2,M24="Dusk to Dawn"),0,IF(AND(AU24=2,M24="E"),0,IF(AND(AU24=2,M24="E-C"),0,EG24)))))))))))))))</f>
        <v/>
      </c>
      <c r="AI24" s="1754"/>
      <c r="AJ24" s="1136"/>
      <c r="AK24" s="1136"/>
      <c r="AL24" s="1748">
        <f t="shared" si="64"/>
        <v>0</v>
      </c>
      <c r="AM24" s="1749"/>
      <c r="AN24" s="1750"/>
      <c r="AO24" s="476">
        <f t="shared" si="2"/>
        <v>0</v>
      </c>
      <c r="AP24" s="476">
        <f t="shared" si="17"/>
        <v>0</v>
      </c>
      <c r="AQ24" s="475">
        <f t="shared" si="3"/>
        <v>0</v>
      </c>
      <c r="AR24" s="475">
        <f t="shared" si="18"/>
        <v>0</v>
      </c>
      <c r="AS24" s="743" t="str">
        <f t="shared" si="19"/>
        <v/>
      </c>
      <c r="AT24" s="736" t="str">
        <f t="shared" si="20"/>
        <v/>
      </c>
      <c r="AU24" s="56">
        <f t="shared" si="21"/>
        <v>1</v>
      </c>
      <c r="AV24" s="476">
        <f t="shared" si="22"/>
        <v>0</v>
      </c>
      <c r="AW24" s="56">
        <f t="shared" si="23"/>
        <v>0</v>
      </c>
      <c r="AX24" s="475">
        <f t="shared" si="65"/>
        <v>0</v>
      </c>
      <c r="AY24" s="1169">
        <f t="shared" si="66"/>
        <v>0</v>
      </c>
      <c r="AZ24" s="1150">
        <f t="shared" si="67"/>
        <v>0</v>
      </c>
      <c r="BA24" s="56">
        <f t="shared" si="68"/>
        <v>0</v>
      </c>
      <c r="BB24" s="420">
        <f t="shared" si="4"/>
        <v>0</v>
      </c>
      <c r="BC24" s="58" t="str">
        <f t="shared" si="5"/>
        <v/>
      </c>
      <c r="BD24" s="660">
        <f t="shared" si="69"/>
        <v>0</v>
      </c>
      <c r="BE24" s="57" t="e">
        <f t="array" ref="BE24">INDEX($EB$11:$ED$1022,MATCH(F24&amp;T24,$EB$11:$EB$1007&amp;$EC$11:$EC$1007,0),3)</f>
        <v>#N/A</v>
      </c>
      <c r="BF24" s="463">
        <f t="shared" si="24"/>
        <v>0</v>
      </c>
      <c r="BG24" s="1612" t="e">
        <f t="array" ref="BG24">INDEX($DO$112:$DQ$123,MATCH(T24&amp;W24,$DO$114:$DO$125&amp;$DP$112:$DP$123,0),3)</f>
        <v>#N/A</v>
      </c>
      <c r="BH24" s="1613">
        <f t="shared" si="25"/>
        <v>0</v>
      </c>
      <c r="BI24" s="465">
        <f t="shared" si="26"/>
        <v>0</v>
      </c>
      <c r="BJ24" s="465">
        <f t="shared" si="27"/>
        <v>0</v>
      </c>
      <c r="BK24" s="466">
        <f t="shared" si="28"/>
        <v>0</v>
      </c>
      <c r="BL24" s="466">
        <f t="shared" si="29"/>
        <v>0</v>
      </c>
      <c r="BM24" s="466">
        <f t="shared" si="30"/>
        <v>0</v>
      </c>
      <c r="BN24" s="466">
        <f t="shared" si="31"/>
        <v>0</v>
      </c>
      <c r="BO24" s="463">
        <f>IF('Data Entry'!$C$74=0,0,IF(ISNA(CJ24),0,IF(AX24=0,0,IF(AND('Data Entry'!$C$74=2,AF24&gt;2,CE24&lt;1),0,IF(AND('Data Entry'!$C$74=2,AF24&gt;1,AU24=2,CJ24&gt;1),0,IF(AND(AF24=5,CT24=0.5,AU24=2,ER24&lt;100),0,IF(AND(AF24=5,CT24=0.5,AU24=3,ER24&lt;100),0,IF(AND('Data Entry'!$C$74=2,AF24=2,AU24=2,AK24&gt;0.01,CB24=2,CE24&lt;1),0,IF(AND('Data Entry'!$C$74=2,AF24=3,AU24=3,AK24&gt;0.01,CB24=3,CE24&lt;1),0,IF(AND('Data Entry'!$C$74=2,AF24=3,AU24=3,AK24&gt;0.01,CB24=3,CE24&gt;0.99),BQ24*0.08,IF(AND('Data Entry'!$C$74=2,AF24=2,AU24=2,AK24&gt;0.01,CB24=2,CE24&gt;0.99),BQ24*0.1,IF(AND(AU24=2,AK24&gt;0.01,CB24=2,CD24&gt;1),BQ24*0.1,IF(AND(AU24=3,AK24&gt;0.01,CB24=3,CD24&gt;1),BQ24*0.08,CJ24*EF24)))))))))))))</f>
        <v>0</v>
      </c>
      <c r="BP24" s="475">
        <f t="shared" si="32"/>
        <v>0</v>
      </c>
      <c r="BQ24" s="1431">
        <f>IF(AU24=1,0,IF(CH24=100,0,IF(AND(AF24=3,AU24=2),0,IF(AND(BH24=0,CT24&gt;0.4),0,IF(AND('Data Entry'!$C$74=2,AF24=1.5),0,IF(AND('Data Entry'!$C$74=2,AF24=1.6),0,IF(AND('Data Entry'!$C$74=2,AF24=4),0,IF(AND('Data Entry'!$C$74=2,AF24=5),0,IF(AND('Data Entry'!$C$74=2,AF24=2.5,CE24&lt;1),0,IF(AND('Data Entry'!$C$74=2,AF24=3,CE24&lt;1),0,IF(AND('Data Entry'!$C$74=1,AF24=2.5,CD24&lt;1),0,IF(AND('Data Entry'!$C$74=1,AF24=3,CD24&lt;1),0,IF(DX24&gt;0.01,DX24,IF(ISERROR(AX24-AY24),"",ROUND(AX24-AY24,2)))))))))))))))</f>
        <v>0</v>
      </c>
      <c r="BR24" s="146">
        <f t="shared" si="33"/>
        <v>0</v>
      </c>
      <c r="BS24" s="475">
        <f t="shared" si="34"/>
        <v>0</v>
      </c>
      <c r="BT24" s="146" t="b">
        <f t="shared" si="35"/>
        <v>0</v>
      </c>
      <c r="BU24" s="463">
        <f>IF(ISNA(AT24),0,IF(AND('Data Entry'!$C$74=2,BC24=27),0,IF(AND('Data Entry'!$C$74=2,BC24=28),0,IF(AND(BC24=27,BT24=27,CM24&gt;0.1),CM24*0.15,IF(AND(BC24=28,BT24=28,CM24&gt;0.1),CM24*0.12,0)))))</f>
        <v>0</v>
      </c>
      <c r="BV24" s="463">
        <f>IF($X$4=0,0,IF(AND(CM24&lt;0.01,BQ24&lt;0.01),0,IF(ISNA(AT24),0,IF(BR24=3,0,IF(AND(BY24+BZ24+CA24&gt;0.01,EQ24+ER24+ES24+ET24&lt;100),0,IF(AA24&lt;1,0,IF(CB24=1,SUM(BI24+BJ24+BO24+BU24+BW24+BX24+BY24+BZ24+CA24+CK24),SUM(BI24+BJ24+BU24+BW24+BX24+BY24+BZ24+CA24+CK24))))))))</f>
        <v>0</v>
      </c>
      <c r="BW24" s="463">
        <f t="shared" si="37"/>
        <v>0</v>
      </c>
      <c r="BX24" s="463">
        <f t="shared" si="38"/>
        <v>0</v>
      </c>
      <c r="BY24" s="463">
        <f t="shared" si="39"/>
        <v>0</v>
      </c>
      <c r="BZ24" s="463">
        <f t="shared" si="40"/>
        <v>0</v>
      </c>
      <c r="CA24" s="57">
        <f t="shared" si="70"/>
        <v>0</v>
      </c>
      <c r="CB24" s="56">
        <f t="shared" si="41"/>
        <v>1</v>
      </c>
      <c r="CC24" s="756">
        <f>IF(EE24=0,0,IF(EF24=0,0,IF(EE24&gt;AA24,0,IF(AND(AZ24&gt;AW24,AW24&gt;0),0,IF(CU24=0,0,Summary!AC327)))))</f>
        <v>0</v>
      </c>
      <c r="CD24" s="756">
        <f>IF(EE24=0,0,IF(EF24=0,0,IF(EE24&gt;AA24,0,IF(AND(AZ24&gt;AW24,AW24&gt;0),0,IF(CU24=0,0,Summary!AD327)))))</f>
        <v>0</v>
      </c>
      <c r="CE24" s="756">
        <f>IF(EF24=0,0,IF(EE24&gt;AA24,0,IF(CC24=0,0,IF(AND(AZ24&gt;AW24,AW24&gt;0),0,IF(CU24=0,0,Summary!AE327)))))</f>
        <v>0</v>
      </c>
      <c r="CF24" s="475">
        <f t="shared" si="42"/>
        <v>0</v>
      </c>
      <c r="CG24" s="476">
        <f t="shared" si="6"/>
        <v>0</v>
      </c>
      <c r="CH24" s="487">
        <f t="shared" si="43"/>
        <v>0</v>
      </c>
      <c r="CI24" s="756">
        <f t="shared" si="44"/>
        <v>0</v>
      </c>
      <c r="CJ24" s="487">
        <f>IF(CT24&gt;0.4,0,IF(AND(AU24=2,CH24=0,CT24=0.5,ER24=100),35,IF(AND(AU24=3,BB24&gt;75,CH24=0,CT24=0.5,ER24=100),25,IF(CB24&gt;1,0,IF(EF24&gt;EE24,0,IF(AND(AF24&gt;1,CH24=100),0,IF(AND(AF24=1,AY24=0),0,IF(AND(EF24&lt;=EE24,AW24&gt;=AZ24,'Data Entry'!$C$74=1,AU24=2),VLOOKUP(W24,$DO$96:$DP$102,2,FALSE),IF(AND(EF24&lt;=EE24,AW24&gt;=AZ24,AU24=3,'Data Entry'!$C$74=1),VLOOKUP(W24,$DO$127:$DP$134,2,FALSE))))))))))</f>
        <v>0</v>
      </c>
      <c r="CK24" s="716">
        <f t="shared" si="45"/>
        <v>0</v>
      </c>
      <c r="CL24" s="57">
        <f t="shared" si="46"/>
        <v>0</v>
      </c>
      <c r="CM24" s="475">
        <f t="shared" si="77"/>
        <v>0</v>
      </c>
      <c r="CN24" s="660">
        <f>IF(CM24&lt;0.1,0,IF(ISNA(AT24),0,IF(CL24+BC24=1,0,IF(BV24&gt;0.01,0,IF(CL24&gt;0.01,0,IF(CF24=1,0,IF(BC24=0.5,0,IF(AND(CI24=1,AU24=3),0,IF(AND(CI24=5,CL24=0),0,IF(AND(R24=12,BR24=50),0,IF(CK24&gt;0.01,0,IF(AND(AJ24&gt;0.01,AU24=2,BC24=15),CM24*0.1,IF(AND(AJ24&gt;0.01,AU24=3,BC24=15),CM24*0.08,IF(AND(R24=12,BC24=3,AF24&lt;=0),0,IF(AND(BC24=15,BI24=0),0,IF(AND(BC24=15,BJ24=0),0,IF(AND(R24=20,CU24=0),0,IF($X$4=0,0,IF(AND(BC24=250,CL24=0),0,IF(AA24&lt;1,0,IF(AND(ISNUMBER(SEARCH("Area",T24)),AU24=3),0,IF(AND(AQ24&gt;0.01,AR24=0,BK24=0,BL24=0,BM24=0,BN24=0),0,IF(AND(AU24=3,CI24=7,CT24&gt;0.5),0,IF(AND(BC24=44,AU24=3,BY24=0),0,IF(AND(BC24=27,'Data Entry'!$C$74=2),0,IF(AND(BC24=28,'Data Entry'!$C$74=2),0,IF(AND(BY24+BZ24+CA24&gt;0.01,BV24=0,EQ24+ER24+ES24+ET24&lt;100),0,IF(AU24=3,CM24*0.08,IF(AU24=2,CM24*0.1,0)))))))))))))))))))))))))))))</f>
        <v>0</v>
      </c>
      <c r="CO24" s="660">
        <f t="shared" si="47"/>
        <v>0</v>
      </c>
      <c r="CP24" s="475" t="str">
        <f t="shared" si="48"/>
        <v/>
      </c>
      <c r="CQ24" s="161" t="str">
        <f>IF(AH24=0,0,IF(AU24=5,0,Summary!AC27))</f>
        <v/>
      </c>
      <c r="CR24" s="161" t="str">
        <f>IF(BF24=0.5,0,IF(AU24=5,0,Summary!AD27))</f>
        <v/>
      </c>
      <c r="CS24" s="161" t="str">
        <f>IF(AU24=5,0,Summary!AE27)</f>
        <v/>
      </c>
      <c r="CT24" s="161">
        <f t="shared" si="49"/>
        <v>0</v>
      </c>
      <c r="CU24" s="475" t="str">
        <f t="shared" si="7"/>
        <v/>
      </c>
      <c r="CV24" s="307">
        <f>IF('Data Entry'!$C$74=0,0,IF(AA24&lt;1,0,IF(ISERROR(CU24),0,IF(CF24=1,0,IF(AND(R24=12,BR24=50),0,IF(CL24+BO24+BV24+DC24=0,0,IF(BC24=37,0,IF(AND(BC24=40,AJ24=0),0,IF(AND(BC24=37,BO24&gt;0.01,BQ24&gt;0.01),ROUND(BQ24,0),IF(CM24&lt;0,0,ROUND(CM24,0)))))))))))</f>
        <v>0</v>
      </c>
      <c r="CW24" s="700">
        <f t="shared" si="50"/>
        <v>0</v>
      </c>
      <c r="CX24" s="477">
        <f>IF('Data Entry'!$C$74=0,0,IF(CV24&lt;0.01,0,IF(BF24=0.5,0,IF(CF24=1,0,IF(ISNUMBER(SEARCH("false",CL24)),0,IF(AZ24=500,0,CL24))))))</f>
        <v>0</v>
      </c>
      <c r="CY24" s="147" t="e">
        <f t="shared" si="51"/>
        <v>#VALUE!</v>
      </c>
      <c r="CZ24" s="147" t="b">
        <f>IF(CN24+CL24=0,FALSE,IF(AH24=0,0,IF(AND('Data Entry'!$C$74=1,CR24&gt;=1),TRUE,IF(AND('Data Entry'!$C$74=2,CS24&gt;=1),TRUE,FALSE))))</f>
        <v>0</v>
      </c>
      <c r="DA24" s="1751">
        <f>IF('Data Entry'!$C$74=0,0,IFERROR(ROUND(IF(T24="","",IF($X$4=0,0,IF(CF24=1,0,IF(BQ24+CV24=0,0,IF(CF24=1,0,IF(CY24&gt;0.01,CY24,IF(CL24&gt;0.01,CL24,IF(CY24&gt;0.01,CY24,IF(BC24=37,BO24,IF(CZ24=FALSE,0,IF(CZ24=TRUE,DC24+DF24,0))))))))))),2),""))</f>
        <v>0</v>
      </c>
      <c r="DB24" s="1752"/>
      <c r="DC24" s="474">
        <f>IF(CN24&lt;0.01,0,IF(AND(BR24=3,CN24&gt;0.01,CT24&gt;0.6,ER24+ES24+ET24&lt;100),0,IF(AND('Data Entry'!$C$74=1,CN24&gt;0.01,CR24&gt;0.99),MIN(CN24:CO24),IF(AND('Data Entry'!$C$74=2,CN24&gt;0.01,CS24&gt;0.99),MIN(CN24:CO24),0))))</f>
        <v>0</v>
      </c>
      <c r="DD24" s="478">
        <f>IF(CF24=1,"Selection does not match",IF(T24=0,0,IF(AND('Data Entry'!$C$74=0,CP24&gt;1),"Select Oregon or Idaho on Data Entry Tab",IF(AND(AU24=1,AA24&gt;0.9),"Missing Interior or Exterior Selection",IF($X$4=0,"Enter Total Project Cost",IF(AQ24&lt;AR24,"Insufficient kWh savings – no incentive",IF(AND(SUM(CL24+CK24+BV24)&gt;0.01,'Data Entry'!$C$74=2,CJ24&gt;1,BO24=0),"Submit Control as Non-Standard",IF(AND('Data Entry'!$C$74=2,BR24=37,CJ24&gt;1,BO24=0),"Submit Control as Non-Standard",IF(SUM(CL24+CK24+BV24)&gt;0.01,"Standard Incentive",IF(AND('Data Entry'!$C$74=2,CP24=7,CN24=0),"Submit as Non-Standard",IF(DC24&gt;0.9,"Non-Standard Incentive",IF(AND(BY24+BZ24+CA24&gt;0.01,BV24=0,EQ24=0,ER24=0,ES24=0,ET24=0),"Scroll Right &amp; Select Control Strategies",IF(AND(CN24&gt;0.01,CO24=0),"Enter Unit Installed Cost",IF(ISNUMBER(SEARCH("Lighting Controls Only",F24)),"Lighting Controls Only",IF(CL24+DC24=0,"Does not meet incentive criteria",0)))))))))))))))</f>
        <v>0</v>
      </c>
      <c r="DE24" s="337">
        <f t="shared" si="52"/>
        <v>0</v>
      </c>
      <c r="DF24" s="609">
        <f t="shared" si="53"/>
        <v>0</v>
      </c>
      <c r="DG24" s="336" t="str">
        <f t="shared" si="54"/>
        <v/>
      </c>
      <c r="DH24" s="338">
        <f t="shared" si="55"/>
        <v>1</v>
      </c>
      <c r="DI24" s="336" t="e">
        <f t="shared" si="8"/>
        <v>#VALUE!</v>
      </c>
      <c r="DJ24" s="338">
        <f t="shared" si="9"/>
        <v>0</v>
      </c>
      <c r="DK24" s="325" t="s">
        <v>137</v>
      </c>
      <c r="DL24" s="341">
        <v>30</v>
      </c>
      <c r="DM24" s="325" t="s">
        <v>110</v>
      </c>
      <c r="DN24" s="341">
        <v>12</v>
      </c>
      <c r="DO24" s="1433" t="s">
        <v>1759</v>
      </c>
      <c r="DP24" s="344" t="s">
        <v>34</v>
      </c>
      <c r="DQ24" s="1615" t="s">
        <v>1756</v>
      </c>
      <c r="DR24" s="1616"/>
      <c r="DS24" s="1195">
        <f t="shared" si="56"/>
        <v>0</v>
      </c>
      <c r="DT24" s="344" t="b">
        <f t="shared" si="57"/>
        <v>1</v>
      </c>
      <c r="DU24" s="1314" t="str">
        <f t="array" ref="DU24">IF(OR(COUNTIF(F24,"*"&amp;$DK$9:$DK$178&amp;"*")), "Yes", "")</f>
        <v/>
      </c>
      <c r="DV24" s="1314">
        <f t="shared" si="58"/>
        <v>0</v>
      </c>
      <c r="DW24" s="1480">
        <f t="shared" si="59"/>
        <v>0</v>
      </c>
      <c r="DX24" s="1498">
        <f t="shared" si="71"/>
        <v>0</v>
      </c>
      <c r="DY24" s="1484">
        <f t="shared" si="60"/>
        <v>0</v>
      </c>
      <c r="DZ24" s="1481" t="str">
        <f>Lists!A76</f>
        <v xml:space="preserve">Q:  </v>
      </c>
      <c r="EA24" s="881">
        <f>'Product Type'!E26</f>
        <v>0</v>
      </c>
      <c r="EB24" s="1499" t="s">
        <v>135</v>
      </c>
      <c r="EC24" s="727" t="s">
        <v>1568</v>
      </c>
      <c r="ED24" s="728">
        <v>0.5</v>
      </c>
      <c r="EE24" s="1215"/>
      <c r="EF24" s="1215"/>
      <c r="EG24" s="1184" t="str">
        <f t="shared" si="61"/>
        <v/>
      </c>
      <c r="EH24" s="1198" t="s">
        <v>1758</v>
      </c>
      <c r="EI24" s="1199">
        <v>7</v>
      </c>
      <c r="EJ24" s="1185">
        <f t="shared" si="10"/>
        <v>0</v>
      </c>
      <c r="EK24" s="1211"/>
      <c r="EL24" s="1180">
        <f t="shared" si="72"/>
        <v>0</v>
      </c>
      <c r="EM24" s="206"/>
      <c r="EN24" s="1038"/>
      <c r="EO24" s="1038"/>
      <c r="EP24" s="1038"/>
      <c r="EQ24" s="1038">
        <f t="shared" si="62"/>
        <v>0</v>
      </c>
      <c r="ER24" s="1041">
        <f t="shared" si="75"/>
        <v>0</v>
      </c>
      <c r="ES24" s="1042">
        <f t="shared" si="63"/>
        <v>0</v>
      </c>
      <c r="ET24" s="1042">
        <f t="shared" si="73"/>
        <v>0</v>
      </c>
      <c r="EU24" s="1021">
        <f t="shared" si="74"/>
        <v>0</v>
      </c>
      <c r="EV24" s="368"/>
      <c r="EW24" s="368"/>
      <c r="EX24" s="369"/>
      <c r="EY24" s="370"/>
      <c r="EZ24" s="370"/>
      <c r="FA24" s="371"/>
      <c r="FB24" s="372"/>
    </row>
    <row r="25" spans="1:158" s="1" customFormat="1" ht="34.5" customHeight="1">
      <c r="A25" s="82">
        <v>17</v>
      </c>
      <c r="B25" s="1785"/>
      <c r="C25" s="1726"/>
      <c r="D25" s="1726"/>
      <c r="E25" s="1727"/>
      <c r="F25" s="1732"/>
      <c r="G25" s="1733"/>
      <c r="H25" s="1733"/>
      <c r="I25" s="1734"/>
      <c r="J25" s="1341"/>
      <c r="K25" s="1728"/>
      <c r="L25" s="1728"/>
      <c r="M25" s="1342"/>
      <c r="N25" s="1583"/>
      <c r="O25" s="208" t="str">
        <f t="shared" si="11"/>
        <v/>
      </c>
      <c r="P25" s="1528"/>
      <c r="Q25" s="1611" t="str">
        <f t="shared" si="0"/>
        <v/>
      </c>
      <c r="R25" s="1611">
        <f t="shared" si="12"/>
        <v>0</v>
      </c>
      <c r="S25" s="234">
        <f t="shared" si="13"/>
        <v>0</v>
      </c>
      <c r="T25" s="1755"/>
      <c r="U25" s="1755"/>
      <c r="V25" s="1755"/>
      <c r="W25" s="1345"/>
      <c r="X25" s="1757"/>
      <c r="Y25" s="1742"/>
      <c r="Z25" s="1346"/>
      <c r="AA25" s="1347"/>
      <c r="AB25" s="1141"/>
      <c r="AC25" s="1103" t="str">
        <f>IF(T25="","",VLOOKUP(Z25,Lists!$A$60:$B$111,2,FALSE))</f>
        <v/>
      </c>
      <c r="AD25" s="130" t="str">
        <f t="shared" si="14"/>
        <v/>
      </c>
      <c r="AE25" s="130" t="e">
        <f t="shared" si="15"/>
        <v>#VALUE!</v>
      </c>
      <c r="AF25" s="130">
        <f t="shared" si="16"/>
        <v>1</v>
      </c>
      <c r="AG25" s="234">
        <f t="shared" si="1"/>
        <v>0</v>
      </c>
      <c r="AH25" s="1753" t="str">
        <f>IF(T25="","",(IF(ISNUMBER(SEARCH("exit",T25)),8760,IF(AND(M25="Dusk to Dawn",'Proposed Lighting'!AU25=3),4059,IF(AND(AU25=3,M25="1"),0,IF(AND(AU25=3,M25="1-C"),0,IF(AND(AU25=3,M25="2"),0,IF(AND(AU25=3,M25="2-C"),0,IF(AND(AU25=3,M25="3"),0,IF(AND(AU25=3,M25="3-C"),0,IF(AND(AU25=2,M25="Dusk to Dawn"),0,IF(AND(AU25=2,M25="Dusk to Dawn-C"),0,IF(AND(AU25=2,M25="Dusk to Dawn"),0,IF(AND(AU25=2,M25="E"),0,IF(AND(AU25=2,M25="E-C"),0,EG25)))))))))))))))</f>
        <v/>
      </c>
      <c r="AI25" s="1754"/>
      <c r="AJ25" s="1136"/>
      <c r="AK25" s="1136"/>
      <c r="AL25" s="1748">
        <f t="shared" si="64"/>
        <v>0</v>
      </c>
      <c r="AM25" s="1749"/>
      <c r="AN25" s="1750"/>
      <c r="AO25" s="476">
        <f t="shared" si="2"/>
        <v>0</v>
      </c>
      <c r="AP25" s="476">
        <f t="shared" si="17"/>
        <v>0</v>
      </c>
      <c r="AQ25" s="475">
        <f t="shared" si="3"/>
        <v>0</v>
      </c>
      <c r="AR25" s="475">
        <f t="shared" si="18"/>
        <v>0</v>
      </c>
      <c r="AS25" s="743" t="str">
        <f t="shared" si="19"/>
        <v/>
      </c>
      <c r="AT25" s="736" t="str">
        <f t="shared" si="20"/>
        <v/>
      </c>
      <c r="AU25" s="56">
        <f t="shared" si="21"/>
        <v>1</v>
      </c>
      <c r="AV25" s="476">
        <f t="shared" si="22"/>
        <v>0</v>
      </c>
      <c r="AW25" s="56">
        <f>IF(CT25&gt;0.4,AT25*AA25,IF(EF25=0,0,IF(W25=0,0,IF(AND(AV25&gt;0.01,DS25&lt;2),0,IF(AH25=0,0,SUM(EE25*AT25)/EF25)))))</f>
        <v>0</v>
      </c>
      <c r="AX25" s="475">
        <f t="shared" si="65"/>
        <v>0</v>
      </c>
      <c r="AY25" s="1169">
        <f t="shared" si="66"/>
        <v>0</v>
      </c>
      <c r="AZ25" s="1150">
        <f t="shared" si="67"/>
        <v>0</v>
      </c>
      <c r="BA25" s="56">
        <f t="shared" si="68"/>
        <v>0</v>
      </c>
      <c r="BB25" s="420">
        <f t="shared" si="4"/>
        <v>0</v>
      </c>
      <c r="BC25" s="58" t="str">
        <f t="shared" si="5"/>
        <v/>
      </c>
      <c r="BD25" s="660">
        <f t="shared" si="69"/>
        <v>0</v>
      </c>
      <c r="BE25" s="57" t="e">
        <f t="array" ref="BE25">INDEX($EB$11:$ED$1022,MATCH(F25&amp;T25,$EB$11:$EB$1007&amp;$EC$11:$EC$1007,0),3)</f>
        <v>#N/A</v>
      </c>
      <c r="BF25" s="463">
        <f t="shared" si="24"/>
        <v>0</v>
      </c>
      <c r="BG25" s="1612" t="e">
        <f t="array" ref="BG25">INDEX($DO$112:$DQ$123,MATCH(T25&amp;W25,$DO$114:$DO$125&amp;$DP$112:$DP$123,0),3)</f>
        <v>#N/A</v>
      </c>
      <c r="BH25" s="1613">
        <f t="shared" si="25"/>
        <v>0</v>
      </c>
      <c r="BI25" s="465">
        <f t="shared" si="26"/>
        <v>0</v>
      </c>
      <c r="BJ25" s="465">
        <f t="shared" si="27"/>
        <v>0</v>
      </c>
      <c r="BK25" s="466">
        <f t="shared" si="28"/>
        <v>0</v>
      </c>
      <c r="BL25" s="466">
        <f t="shared" si="29"/>
        <v>0</v>
      </c>
      <c r="BM25" s="466">
        <f t="shared" si="30"/>
        <v>0</v>
      </c>
      <c r="BN25" s="466">
        <f t="shared" si="31"/>
        <v>0</v>
      </c>
      <c r="BO25" s="463">
        <f>IF('Data Entry'!$C$74=0,0,IF(ISNA(CJ25),0,IF(AX25=0,0,IF(AND('Data Entry'!$C$74=2,AF25&gt;2,CE25&lt;1),0,IF(AND('Data Entry'!$C$74=2,AF25&gt;1,AU25=2,CJ25&gt;1),0,IF(AND(AF25=5,CT25=0.5,AU25=2,ER25&lt;100),0,IF(AND(AF25=5,CT25=0.5,AU25=3,ER25&lt;100),0,IF(AND('Data Entry'!$C$74=2,AF25=2,AU25=2,AK25&gt;0.01,CB25=2,CE25&lt;1),0,IF(AND('Data Entry'!$C$74=2,AF25=3,AU25=3,AK25&gt;0.01,CB25=3,CE25&lt;1),0,IF(AND('Data Entry'!$C$74=2,AF25=3,AU25=3,AK25&gt;0.01,CB25=3,CE25&gt;0.99),BQ25*0.08,IF(AND('Data Entry'!$C$74=2,AF25=2,AU25=2,AK25&gt;0.01,CB25=2,CE25&gt;0.99),BQ25*0.1,IF(AND(AU25=2,AK25&gt;0.01,CB25=2,CD25&gt;1),BQ25*0.1,IF(AND(AU25=3,AK25&gt;0.01,CB25=3,CD25&gt;1),BQ25*0.08,CJ25*EF25)))))))))))))</f>
        <v>0</v>
      </c>
      <c r="BP25" s="475">
        <f t="shared" si="32"/>
        <v>0</v>
      </c>
      <c r="BQ25" s="1431">
        <f>IF(AU25=1,0,IF(CH25=100,0,IF(AND(AF25=3,AU25=2),0,IF(AND(BH25=0,CT25&gt;0.4),0,IF(AND('Data Entry'!$C$74=2,AF25=1.5),0,IF(AND('Data Entry'!$C$74=2,AF25=1.6),0,IF(AND('Data Entry'!$C$74=2,AF25=4),0,IF(AND('Data Entry'!$C$74=2,AF25=5),0,IF(AND('Data Entry'!$C$74=2,AF25=2.5,CE25&lt;1),0,IF(AND('Data Entry'!$C$74=2,AF25=3,CE25&lt;1),0,IF(AND('Data Entry'!$C$74=1,AF25=2.5,CD25&lt;1),0,IF(AND('Data Entry'!$C$74=1,AF25=3,CD25&lt;1),0,IF(DX25&gt;0.01,DX25,IF(ISERROR(AX25-AY25),"",ROUND(AX25-AY25,2)))))))))))))))</f>
        <v>0</v>
      </c>
      <c r="BR25" s="146">
        <f t="shared" si="33"/>
        <v>0</v>
      </c>
      <c r="BS25" s="475">
        <f t="shared" si="34"/>
        <v>0</v>
      </c>
      <c r="BT25" s="146" t="b">
        <f t="shared" si="35"/>
        <v>0</v>
      </c>
      <c r="BU25" s="463">
        <f>IF(ISNA(AT25),0,IF(AND('Data Entry'!$C$74=2,BC25=27),0,IF(AND('Data Entry'!$C$74=2,BC25=28),0,IF(AND(BC25=27,BT25=27,CM25&gt;0.1),CM25*0.15,IF(AND(BC25=28,BT25=28,CM25&gt;0.1),CM25*0.12,0)))))</f>
        <v>0</v>
      </c>
      <c r="BV25" s="463">
        <f t="shared" ref="BV25:BV88" si="78">IF($X$4=0,0,IF(AND(CM25&lt;0.01,BQ25&lt;0.01),0,IF(ISNA(AT25),0,IF(BR25=3,0,IF(AND(BY25+BZ25+CA25&gt;0.01,EQ25+ER25+ES25+ET25&lt;100),0,IF(AA25&lt;1,0,IF(CB25=1,SUM(BI25+BJ25+BO25+BU25+BW25+BX25+BY25+BZ25+CA25+CK25),SUM(BI25+BJ25+BU25+BW25+BX25+BY25+BZ25+CA25+CK25))))))))</f>
        <v>0</v>
      </c>
      <c r="BW25" s="463">
        <f t="shared" si="37"/>
        <v>0</v>
      </c>
      <c r="BX25" s="463">
        <f t="shared" si="38"/>
        <v>0</v>
      </c>
      <c r="BY25" s="463">
        <f t="shared" si="39"/>
        <v>0</v>
      </c>
      <c r="BZ25" s="463">
        <f t="shared" si="40"/>
        <v>0</v>
      </c>
      <c r="CA25" s="57">
        <f t="shared" si="70"/>
        <v>0</v>
      </c>
      <c r="CB25" s="56">
        <f t="shared" si="41"/>
        <v>1</v>
      </c>
      <c r="CC25" s="756">
        <f>IF(EE25=0,0,IF(EF25=0,0,IF(EE25&gt;AA25,0,IF(AND(AZ25&gt;AW25,AW25&gt;0),0,IF(CU25=0,0,Summary!AC328)))))</f>
        <v>0</v>
      </c>
      <c r="CD25" s="756">
        <f>IF(EE25=0,0,IF(EF25=0,0,IF(EE25&gt;AA25,0,IF(AND(AZ25&gt;AW25,AW25&gt;0),0,IF(CU25=0,0,Summary!AD328)))))</f>
        <v>0</v>
      </c>
      <c r="CE25" s="756">
        <f>IF(EF25=0,0,IF(EE25&gt;AA25,0,IF(CC25=0,0,IF(AND(AZ25&gt;AW25,AW25&gt;0),0,IF(CU25=0,0,Summary!AE328)))))</f>
        <v>0</v>
      </c>
      <c r="CF25" s="475">
        <f t="shared" si="42"/>
        <v>0</v>
      </c>
      <c r="CG25" s="476">
        <f t="shared" si="6"/>
        <v>0</v>
      </c>
      <c r="CH25" s="487">
        <f t="shared" si="43"/>
        <v>0</v>
      </c>
      <c r="CI25" s="756">
        <f t="shared" si="44"/>
        <v>0</v>
      </c>
      <c r="CJ25" s="487">
        <f>IF(CT25&gt;0.4,0,IF(AND(AU25=2,CH25=0,CT25=0.5,ER25=100),35,IF(AND(AU25=3,BB25&gt;75,CH25=0,CT25=0.5,ER25=100),25,IF(CB25&gt;1,0,IF(EF25&gt;EE25,0,IF(AND(AF25&gt;1,CH25=100),0,IF(AND(AF25=1,AY25=0),0,IF(AND(EF25&lt;=EE25,AW25&gt;=AZ25,'Data Entry'!$C$74=1,AU25=2),VLOOKUP(W25,$DO$96:$DP$102,2,FALSE),IF(AND(EF25&lt;=EE25,AW25&gt;=AZ25,AU25=3,'Data Entry'!$C$74=1),VLOOKUP(W25,$DO$127:$DP$134,2,FALSE))))))))))</f>
        <v>0</v>
      </c>
      <c r="CK25" s="716">
        <f t="shared" si="45"/>
        <v>0</v>
      </c>
      <c r="CL25" s="57">
        <f t="shared" si="46"/>
        <v>0</v>
      </c>
      <c r="CM25" s="475">
        <f t="shared" si="77"/>
        <v>0</v>
      </c>
      <c r="CN25" s="660">
        <f>IF(CM25&lt;0.1,0,IF(ISNA(AT25),0,IF(CL25+BC25=1,0,IF(BV25&gt;0.01,0,IF(CL25&gt;0.01,0,IF(CF25=1,0,IF(BC25=0.5,0,IF(AND(CI25=1,AU25=3),0,IF(AND(CI25=5,CL25=0),0,IF(AND(R25=12,BR25=50),0,IF(CK25&gt;0.01,0,IF(AND(AJ25&gt;0.01,AU25=2,BC25=15),CM25*0.1,IF(AND(AJ25&gt;0.01,AU25=3,BC25=15),CM25*0.08,IF(AND(R25=12,BC25=3,AF25&lt;=0),0,IF(AND(BC25=15,BI25=0),0,IF(AND(BC25=15,BJ25=0),0,IF(AND(R25=20,CU25=0),0,IF($X$4=0,0,IF(AND(BC25=250,CL25=0),0,IF(AA25&lt;1,0,IF(AND(ISNUMBER(SEARCH("Area",T25)),AU25=3),0,IF(AND(AQ25&gt;0.01,AR25=0,BK25=0,BL25=0,BM25=0,BN25=0),0,IF(AND(AU25=3,CI25=7,CT25&gt;0.5),0,IF(AND(BC25=44,AU25=3,BY25=0),0,IF(AND(BC25=27,'Data Entry'!$C$74=2),0,IF(AND(BC25=28,'Data Entry'!$C$74=2),0,IF(AND(BY25+BZ25+CA25&gt;0.01,BV25=0,EQ25+ER25+ES25+ET25&lt;100),0,IF(AU25=3,CM25*0.08,IF(AU25=2,CM25*0.1,0)))))))))))))))))))))))))))))</f>
        <v>0</v>
      </c>
      <c r="CO25" s="660">
        <f>IF(CL25&gt;0.1,0,IF(CN25&gt;0.01,SUM(AA25*AJ25)*0.7,0))</f>
        <v>0</v>
      </c>
      <c r="CP25" s="475" t="str">
        <f t="shared" si="48"/>
        <v/>
      </c>
      <c r="CQ25" s="161" t="str">
        <f>IF(AH25=0,0,IF(AU25=5,0,Summary!AC28))</f>
        <v/>
      </c>
      <c r="CR25" s="161" t="str">
        <f>IF(BF25=0.5,0,IF(AU25=5,0,Summary!AD28))</f>
        <v/>
      </c>
      <c r="CS25" s="161" t="str">
        <f>IF(AU25=5,0,Summary!AE28)</f>
        <v/>
      </c>
      <c r="CT25" s="161">
        <f t="shared" si="49"/>
        <v>0</v>
      </c>
      <c r="CU25" s="475" t="str">
        <f t="shared" si="7"/>
        <v/>
      </c>
      <c r="CV25" s="307">
        <f>IF('Data Entry'!$C$74=0,0,IF(AA25&lt;1,0,IF(ISERROR(CU25),0,IF(CF25=1,0,IF(AND(R25=12,BR25=50),0,IF(CL25+BO25+BV25+DC25=0,0,IF(BC25=37,0,IF(AND(BC25=40,AJ25=0),0,IF(AND(BC25=37,BO25&gt;0.01,BQ25&gt;0.01),ROUND(BQ25,0),IF(CM25&lt;0,0,ROUND(CM25,0)))))))))))</f>
        <v>0</v>
      </c>
      <c r="CW25" s="700">
        <f t="shared" si="50"/>
        <v>0</v>
      </c>
      <c r="CX25" s="477">
        <f>IF('Data Entry'!$C$74=0,0,IF(CV25&lt;0.01,0,IF(BF25=0.5,0,IF(CF25=1,0,IF(ISNUMBER(SEARCH("false",CL25)),0,IF(AZ25=500,0,CL25))))))</f>
        <v>0</v>
      </c>
      <c r="CY25" s="147" t="e">
        <f t="shared" si="51"/>
        <v>#VALUE!</v>
      </c>
      <c r="CZ25" s="147" t="b">
        <f>IF(CN25+CL25=0,FALSE,IF(AH25=0,0,IF(AND('Data Entry'!$C$74=1,CR25&gt;=1),TRUE,IF(AND('Data Entry'!$C$74=2,CS25&gt;=1),TRUE,FALSE))))</f>
        <v>0</v>
      </c>
      <c r="DA25" s="1751">
        <f>IF('Data Entry'!$C$74=0,0,IFERROR(ROUND(IF(T25="","",IF($X$4=0,0,IF(CF25=1,0,IF(BQ25+CV25=0,0,IF(CF25=1,0,IF(CY25&gt;0.01,CY25,IF(CL25&gt;0.01,CL25,IF(CY25&gt;0.01,CY25,IF(BC25=37,BO25,IF(CZ25=FALSE,0,IF(CZ25=TRUE,DC25+DF25,0))))))))))),2),""))</f>
        <v>0</v>
      </c>
      <c r="DB25" s="1752"/>
      <c r="DC25" s="474">
        <f>IF(CN25&lt;0.01,0,IF(AND(BR25=3,CN25&gt;0.01,CT25&gt;0.6,ER25+ES25+ET25&lt;100),0,IF(AND('Data Entry'!$C$74=1,CN25&gt;0.01,CR25&gt;0.99),MIN(CN25:CO25),IF(AND('Data Entry'!$C$74=2,CN25&gt;0.01,CS25&gt;0.99),MIN(CN25:CO25),0))))</f>
        <v>0</v>
      </c>
      <c r="DD25" s="478">
        <f>IF(CF25=1,"Selection does not match",IF(T25=0,0,IF(AND('Data Entry'!$C$74=0,CP25&gt;1),"Select Oregon or Idaho on Data Entry Tab",IF(AND(AU25=1,AA25&gt;0.9),"Missing Interior or Exterior Selection",IF($X$4=0,"Enter Total Project Cost",IF(AQ25&lt;AR25,"Insufficient kWh savings – no incentive",IF(AND(SUM(CL25+CK25+BV25)&gt;0.01,'Data Entry'!$C$74=2,CJ25&gt;1,BO25=0),"Submit Control as Non-Standard",IF(AND('Data Entry'!$C$74=2,BR25=37,CJ25&gt;1,BO25=0),"Submit Control as Non-Standard",IF(SUM(CL25+CK25+BV25)&gt;0.01,"Standard Incentive",IF(AND('Data Entry'!$C$74=2,CP25=7,CN25=0),"Submit as Non-Standard",IF(DC25&gt;0.9,"Non-Standard Incentive",IF(AND(BY25+BZ25+CA25&gt;0.01,BV25=0,EQ25=0,ER25=0,ES25=0,ET25=0),"Scroll Right &amp; Select Control Strategies",IF(AND(CN25&gt;0.01,CO25=0),"Enter Unit Installed Cost",IF(ISNUMBER(SEARCH("Lighting Controls Only",F25)),"Lighting Controls Only",IF(CL25+DC25=0,"Does not meet incentive criteria",0)))))))))))))))</f>
        <v>0</v>
      </c>
      <c r="DE25" s="337">
        <f t="shared" si="52"/>
        <v>0</v>
      </c>
      <c r="DF25" s="609">
        <f t="shared" si="53"/>
        <v>0</v>
      </c>
      <c r="DG25" s="336" t="str">
        <f t="shared" si="54"/>
        <v/>
      </c>
      <c r="DH25" s="338">
        <f t="shared" si="55"/>
        <v>1</v>
      </c>
      <c r="DI25" s="336" t="e">
        <f t="shared" si="8"/>
        <v>#VALUE!</v>
      </c>
      <c r="DJ25" s="338">
        <f t="shared" si="9"/>
        <v>0</v>
      </c>
      <c r="DK25" s="325" t="s">
        <v>138</v>
      </c>
      <c r="DL25" s="324">
        <v>62</v>
      </c>
      <c r="DM25" s="325" t="s">
        <v>111</v>
      </c>
      <c r="DN25" s="324">
        <v>16</v>
      </c>
      <c r="DO25" s="1433" t="s">
        <v>455</v>
      </c>
      <c r="DP25" s="344" t="s">
        <v>450</v>
      </c>
      <c r="DQ25" s="1196" t="s">
        <v>1757</v>
      </c>
      <c r="DR25" s="1617"/>
      <c r="DS25" s="1195">
        <f t="shared" si="56"/>
        <v>0</v>
      </c>
      <c r="DT25" s="344" t="b">
        <f t="shared" si="57"/>
        <v>1</v>
      </c>
      <c r="DU25" s="1314" t="str">
        <f t="array" ref="DU25">IF(OR(COUNTIF(F25,"*"&amp;$DK$9:$DK$178&amp;"*")), "Yes", "")</f>
        <v/>
      </c>
      <c r="DV25" s="1314">
        <f t="shared" si="58"/>
        <v>0</v>
      </c>
      <c r="DW25" s="1480">
        <f t="shared" si="59"/>
        <v>0</v>
      </c>
      <c r="DX25" s="1498">
        <f t="shared" si="71"/>
        <v>0</v>
      </c>
      <c r="DY25" s="1484">
        <f t="shared" si="60"/>
        <v>0</v>
      </c>
      <c r="DZ25" s="1481" t="str">
        <f>Lists!A77</f>
        <v xml:space="preserve">R:  </v>
      </c>
      <c r="EA25" s="881">
        <f>'Product Type'!E27</f>
        <v>0</v>
      </c>
      <c r="EB25" s="1499" t="s">
        <v>136</v>
      </c>
      <c r="EC25" s="727" t="s">
        <v>1568</v>
      </c>
      <c r="ED25" s="728">
        <v>0.5</v>
      </c>
      <c r="EE25" s="1215"/>
      <c r="EF25" s="1215"/>
      <c r="EG25" s="1184" t="str">
        <f t="shared" si="61"/>
        <v/>
      </c>
      <c r="EH25" s="1198" t="s">
        <v>1759</v>
      </c>
      <c r="EI25" s="1199">
        <v>8</v>
      </c>
      <c r="EJ25" s="1185">
        <f t="shared" si="10"/>
        <v>0</v>
      </c>
      <c r="EK25" s="1211"/>
      <c r="EL25" s="1180">
        <f t="shared" si="72"/>
        <v>0</v>
      </c>
      <c r="EM25" s="206"/>
      <c r="EN25" s="1038"/>
      <c r="EO25" s="1038"/>
      <c r="EP25" s="1038"/>
      <c r="EQ25" s="1038">
        <f t="shared" si="62"/>
        <v>0</v>
      </c>
      <c r="ER25" s="1041">
        <f t="shared" si="75"/>
        <v>0</v>
      </c>
      <c r="ES25" s="1042">
        <f t="shared" si="63"/>
        <v>0</v>
      </c>
      <c r="ET25" s="1042">
        <f t="shared" si="73"/>
        <v>0</v>
      </c>
      <c r="EU25" s="1021">
        <f t="shared" si="74"/>
        <v>0</v>
      </c>
      <c r="EV25" s="368"/>
      <c r="EW25" s="368"/>
      <c r="EX25" s="369"/>
      <c r="EY25" s="370"/>
      <c r="EZ25" s="370"/>
      <c r="FA25" s="371"/>
      <c r="FB25" s="372"/>
    </row>
    <row r="26" spans="1:158" s="1" customFormat="1" ht="34.5" customHeight="1">
      <c r="A26" s="82">
        <v>18</v>
      </c>
      <c r="B26" s="1725"/>
      <c r="C26" s="1726"/>
      <c r="D26" s="1726"/>
      <c r="E26" s="1727"/>
      <c r="F26" s="1732"/>
      <c r="G26" s="1733"/>
      <c r="H26" s="1733"/>
      <c r="I26" s="1734"/>
      <c r="J26" s="1341"/>
      <c r="K26" s="1728"/>
      <c r="L26" s="1728"/>
      <c r="M26" s="1342"/>
      <c r="N26" s="1583"/>
      <c r="O26" s="208" t="str">
        <f t="shared" si="11"/>
        <v/>
      </c>
      <c r="P26" s="1528"/>
      <c r="Q26" s="39" t="str">
        <f t="shared" si="0"/>
        <v/>
      </c>
      <c r="R26" s="39">
        <f t="shared" si="12"/>
        <v>0</v>
      </c>
      <c r="S26" s="234">
        <f t="shared" si="13"/>
        <v>0</v>
      </c>
      <c r="T26" s="1755"/>
      <c r="U26" s="1755"/>
      <c r="V26" s="1755"/>
      <c r="W26" s="1345"/>
      <c r="X26" s="1757"/>
      <c r="Y26" s="1742"/>
      <c r="Z26" s="1346"/>
      <c r="AA26" s="1347"/>
      <c r="AB26" s="1141"/>
      <c r="AC26" s="1103" t="str">
        <f>IF(T26="","",VLOOKUP(Z26,Lists!$A$60:$B$111,2,FALSE))</f>
        <v/>
      </c>
      <c r="AD26" s="130" t="str">
        <f t="shared" si="14"/>
        <v/>
      </c>
      <c r="AE26" s="130" t="e">
        <f t="shared" si="15"/>
        <v>#VALUE!</v>
      </c>
      <c r="AF26" s="130">
        <f t="shared" si="16"/>
        <v>1</v>
      </c>
      <c r="AG26" s="234">
        <f t="shared" si="1"/>
        <v>0</v>
      </c>
      <c r="AH26" s="1753" t="str">
        <f>IF(T26="","",(IF(ISNUMBER(SEARCH("exit",T26)),8760,IF(AND(M26="Dusk to Dawn",'Proposed Lighting'!AU26=3),4059,IF(AND(AU26=3,M26="1"),0,IF(AND(AU26=3,M26="1-C"),0,IF(AND(AU26=3,M26="2"),0,IF(AND(AU26=3,M26="2-C"),0,IF(AND(AU26=3,M26="3"),0,IF(AND(AU26=3,M26="3-C"),0,IF(AND(AU26=2,M26="Dusk to Dawn"),0,IF(AND(AU26=2,M26="Dusk to Dawn-C"),0,IF(AND(AU26=2,M26="Dusk to Dawn"),0,IF(AND(AU26=2,M26="E"),0,IF(AND(AU26=2,M26="E-C"),0,EG26)))))))))))))))</f>
        <v/>
      </c>
      <c r="AI26" s="1754"/>
      <c r="AJ26" s="1136"/>
      <c r="AK26" s="1136"/>
      <c r="AL26" s="1748">
        <f t="shared" si="64"/>
        <v>0</v>
      </c>
      <c r="AM26" s="1749"/>
      <c r="AN26" s="1750"/>
      <c r="AO26" s="476">
        <f t="shared" si="2"/>
        <v>0</v>
      </c>
      <c r="AP26" s="476">
        <f t="shared" si="17"/>
        <v>0</v>
      </c>
      <c r="AQ26" s="475">
        <f t="shared" si="3"/>
        <v>0</v>
      </c>
      <c r="AR26" s="475">
        <f t="shared" si="18"/>
        <v>0</v>
      </c>
      <c r="AS26" s="743" t="str">
        <f t="shared" si="19"/>
        <v/>
      </c>
      <c r="AT26" s="736" t="str">
        <f t="shared" si="20"/>
        <v/>
      </c>
      <c r="AU26" s="56">
        <f t="shared" si="21"/>
        <v>1</v>
      </c>
      <c r="AV26" s="476">
        <f t="shared" si="22"/>
        <v>0</v>
      </c>
      <c r="AW26" s="56">
        <f t="shared" si="23"/>
        <v>0</v>
      </c>
      <c r="AX26" s="475">
        <f t="shared" si="65"/>
        <v>0</v>
      </c>
      <c r="AY26" s="1169">
        <f t="shared" si="66"/>
        <v>0</v>
      </c>
      <c r="AZ26" s="1150">
        <f t="shared" si="67"/>
        <v>0</v>
      </c>
      <c r="BA26" s="56">
        <f t="shared" si="68"/>
        <v>0</v>
      </c>
      <c r="BB26" s="420">
        <f t="shared" si="4"/>
        <v>0</v>
      </c>
      <c r="BC26" s="58" t="str">
        <f t="shared" si="5"/>
        <v/>
      </c>
      <c r="BD26" s="660">
        <f t="shared" si="69"/>
        <v>0</v>
      </c>
      <c r="BE26" s="57" t="e">
        <f t="array" ref="BE26">INDEX($EB$11:$ED$1022,MATCH(F26&amp;T26,$EB$11:$EB$1007&amp;$EC$11:$EC$1007,0),3)</f>
        <v>#N/A</v>
      </c>
      <c r="BF26" s="463">
        <f t="shared" si="24"/>
        <v>0</v>
      </c>
      <c r="BG26" s="1445" t="e">
        <f t="array" ref="BG26">INDEX($DO$112:$DQ$123,MATCH(T26&amp;W26,$DO$114:$DO$125&amp;$DP$112:$DP$123,0),3)</f>
        <v>#N/A</v>
      </c>
      <c r="BH26" s="1446">
        <f t="shared" si="25"/>
        <v>0</v>
      </c>
      <c r="BI26" s="465">
        <f t="shared" si="26"/>
        <v>0</v>
      </c>
      <c r="BJ26" s="465">
        <f t="shared" si="27"/>
        <v>0</v>
      </c>
      <c r="BK26" s="466">
        <f t="shared" si="28"/>
        <v>0</v>
      </c>
      <c r="BL26" s="466">
        <f t="shared" si="29"/>
        <v>0</v>
      </c>
      <c r="BM26" s="466">
        <f t="shared" si="30"/>
        <v>0</v>
      </c>
      <c r="BN26" s="466">
        <f t="shared" si="31"/>
        <v>0</v>
      </c>
      <c r="BO26" s="463">
        <f>IF('Data Entry'!$C$74=0,0,IF(ISNA(CJ26),0,IF(AX26=0,0,IF(AND('Data Entry'!$C$74=2,AF26&gt;2,CE26&lt;1),0,IF(AND('Data Entry'!$C$74=2,AF26&gt;1,AU26=2,CJ26&gt;1),0,IF(AND(AF26=5,CT26=0.5,AU26=2,ER26&lt;100),0,IF(AND(AF26=5,CT26=0.5,AU26=3,ER26&lt;100),0,IF(AND('Data Entry'!$C$74=2,AF26=2,AU26=2,AK26&gt;0.01,CB26=2,CE26&lt;1),0,IF(AND('Data Entry'!$C$74=2,AF26=3,AU26=3,AK26&gt;0.01,CB26=3,CE26&lt;1),0,IF(AND('Data Entry'!$C$74=2,AF26=3,AU26=3,AK26&gt;0.01,CB26=3,CE26&gt;0.99),BQ26*0.08,IF(AND('Data Entry'!$C$74=2,AF26=2,AU26=2,AK26&gt;0.01,CB26=2,CE26&gt;0.99),BQ26*0.1,IF(AND(AU26=2,AK26&gt;0.01,CB26=2,CD26&gt;1),BQ26*0.1,IF(AND(AU26=3,AK26&gt;0.01,CB26=3,CD26&gt;1),BQ26*0.08,CJ26*EF26)))))))))))))</f>
        <v>0</v>
      </c>
      <c r="BP26" s="475">
        <f t="shared" si="32"/>
        <v>0</v>
      </c>
      <c r="BQ26" s="1431">
        <f>IF(AU26=1,0,IF(CH26=100,0,IF(AND(AF26=3,AU26=2),0,IF(AND(BH26=0,CT26&gt;0.4),0,IF(AND('Data Entry'!$C$74=2,AF26=1.5),0,IF(AND('Data Entry'!$C$74=2,AF26=1.6),0,IF(AND('Data Entry'!$C$74=2,AF26=4),0,IF(AND('Data Entry'!$C$74=2,AF26=5),0,IF(AND('Data Entry'!$C$74=2,AF26=2.5,CE26&lt;1),0,IF(AND('Data Entry'!$C$74=2,AF26=3,CE26&lt;1),0,IF(AND('Data Entry'!$C$74=1,AF26=2.5,CD26&lt;1),0,IF(AND('Data Entry'!$C$74=1,AF26=3,CD26&lt;1),0,IF(DX26&gt;0.01,DX26,IF(ISERROR(AX26-AY26),"",ROUND(AX26-AY26,2)))))))))))))))</f>
        <v>0</v>
      </c>
      <c r="BR26" s="146">
        <f t="shared" si="33"/>
        <v>0</v>
      </c>
      <c r="BS26" s="475">
        <f t="shared" si="34"/>
        <v>0</v>
      </c>
      <c r="BT26" s="146" t="b">
        <f t="shared" si="35"/>
        <v>0</v>
      </c>
      <c r="BU26" s="463">
        <f>IF(ISNA(AT26),0,IF(AND('Data Entry'!$C$74=2,BC26=27),0,IF(AND('Data Entry'!$C$74=2,BC26=28),0,IF(AND(BC26=27,BT26=27,CM26&gt;0.1),CM26*0.15,IF(AND(BC26=28,BT26=28,CM26&gt;0.1),CM26*0.12,0)))))</f>
        <v>0</v>
      </c>
      <c r="BV26" s="463">
        <f t="shared" si="78"/>
        <v>0</v>
      </c>
      <c r="BW26" s="463">
        <f t="shared" si="37"/>
        <v>0</v>
      </c>
      <c r="BX26" s="463">
        <f t="shared" si="38"/>
        <v>0</v>
      </c>
      <c r="BY26" s="463">
        <f t="shared" si="39"/>
        <v>0</v>
      </c>
      <c r="BZ26" s="463">
        <f t="shared" si="40"/>
        <v>0</v>
      </c>
      <c r="CA26" s="57">
        <f t="shared" si="70"/>
        <v>0</v>
      </c>
      <c r="CB26" s="56">
        <f t="shared" si="41"/>
        <v>1</v>
      </c>
      <c r="CC26" s="756">
        <f>IF(EE26=0,0,IF(EF26=0,0,IF(EE26&gt;AA26,0,IF(AND(AZ26&gt;AW26,AW26&gt;0),0,IF(CU26=0,0,Summary!AC329)))))</f>
        <v>0</v>
      </c>
      <c r="CD26" s="756">
        <f>IF(EE26=0,0,IF(EF26=0,0,IF(EE26&gt;AA26,0,IF(AND(AZ26&gt;AW26,AW26&gt;0),0,IF(CU26=0,0,Summary!AD329)))))</f>
        <v>0</v>
      </c>
      <c r="CE26" s="756">
        <f>IF(EF26=0,0,IF(EE26&gt;AA26,0,IF(CC26=0,0,IF(AND(AZ26&gt;AW26,AW26&gt;0),0,IF(CU26=0,0,Summary!AE329)))))</f>
        <v>0</v>
      </c>
      <c r="CF26" s="475">
        <f t="shared" si="42"/>
        <v>0</v>
      </c>
      <c r="CG26" s="476">
        <f t="shared" si="6"/>
        <v>0</v>
      </c>
      <c r="CH26" s="487">
        <f t="shared" si="43"/>
        <v>0</v>
      </c>
      <c r="CI26" s="756">
        <f t="shared" si="44"/>
        <v>0</v>
      </c>
      <c r="CJ26" s="487">
        <f>IF(CT26&gt;0.4,0,IF(AND(AU26=2,CH26=0,CT26=0.5,ER26=100),35,IF(AND(AU26=3,BB26&gt;75,CH26=0,CT26=0.5,ER26=100),25,IF(CB26&gt;1,0,IF(EF26&gt;EE26,0,IF(AND(AF26&gt;1,CH26=100),0,IF(AND(AF26=1,AY26=0),0,IF(AND(EF26&lt;=EE26,AW26&gt;=AZ26,'Data Entry'!$C$74=1,AU26=2),VLOOKUP(W26,$DO$96:$DP$102,2,FALSE),IF(AND(EF26&lt;=EE26,AW26&gt;=AZ26,AU26=3,'Data Entry'!$C$74=1),VLOOKUP(W26,$DO$127:$DP$134,2,FALSE))))))))))</f>
        <v>0</v>
      </c>
      <c r="CK26" s="716">
        <f t="shared" si="45"/>
        <v>0</v>
      </c>
      <c r="CL26" s="57">
        <f t="shared" si="46"/>
        <v>0</v>
      </c>
      <c r="CM26" s="475">
        <f t="shared" si="77"/>
        <v>0</v>
      </c>
      <c r="CN26" s="660">
        <f>IF(CM26&lt;0.1,0,IF(ISNA(AT26),0,IF(CL26+BC26=1,0,IF(BV26&gt;0.01,0,IF(CL26&gt;0.01,0,IF(CF26=1,0,IF(BC26=0.5,0,IF(AND(CI26=1,AU26=3),0,IF(AND(CI26=5,CL26=0),0,IF(AND(R26=12,BR26=50),0,IF(CK26&gt;0.01,0,IF(AND(AJ26&gt;0.01,AU26=2,BC26=15),CM26*0.1,IF(AND(AJ26&gt;0.01,AU26=3,BC26=15),CM26*0.08,IF(AND(R26=12,BC26=3,AF26&lt;=0),0,IF(AND(BC26=15,BI26=0),0,IF(AND(BC26=15,BJ26=0),0,IF(AND(R26=20,CU26=0),0,IF($X$4=0,0,IF(AND(BC26=250,CL26=0),0,IF(AA26&lt;1,0,IF(AND(ISNUMBER(SEARCH("Area",T26)),AU26=3),0,IF(AND(AQ26&gt;0.01,AR26=0,BK26=0,BL26=0,BM26=0,BN26=0),0,IF(AND(AU26=3,CI26=7,CT26&gt;0.5),0,IF(AND(BC26=44,AU26=3,BY26=0),0,IF(AND(BC26=27,'Data Entry'!$C$74=2),0,IF(AND(BC26=28,'Data Entry'!$C$74=2),0,IF(AND(BY26+BZ26+CA26&gt;0.01,BV26=0,EQ26+ER26+ES26+ET26&lt;100),0,IF(AU26=3,CM26*0.08,IF(AU26=2,CM26*0.1,0)))))))))))))))))))))))))))))</f>
        <v>0</v>
      </c>
      <c r="CO26" s="660">
        <f t="shared" si="47"/>
        <v>0</v>
      </c>
      <c r="CP26" s="475" t="str">
        <f t="shared" si="48"/>
        <v/>
      </c>
      <c r="CQ26" s="161" t="str">
        <f>IF(AH26=0,0,IF(AU26=5,0,Summary!AC29))</f>
        <v/>
      </c>
      <c r="CR26" s="161" t="str">
        <f>IF(BF26=0.5,0,IF(AU26=5,0,Summary!AD29))</f>
        <v/>
      </c>
      <c r="CS26" s="161" t="str">
        <f>IF(AU26=5,0,Summary!AE29)</f>
        <v/>
      </c>
      <c r="CT26" s="161">
        <f t="shared" si="49"/>
        <v>0</v>
      </c>
      <c r="CU26" s="475" t="str">
        <f t="shared" si="7"/>
        <v/>
      </c>
      <c r="CV26" s="307">
        <f>IF('Data Entry'!$C$74=0,0,IF(AA26&lt;1,0,IF(ISERROR(CU26),0,IF(CF26=1,0,IF(AND(R26=12,BR26=50),0,IF(CL26+BO26+BV26+DC26=0,0,IF(BC26=37,0,IF(AND(BC26=40,AJ26=0),0,IF(AND(BC26=37,BO26&gt;0.01,BQ26&gt;0.01),ROUND(BQ26,0),IF(CM26&lt;0,0,ROUND(CM26,0)))))))))))</f>
        <v>0</v>
      </c>
      <c r="CW26" s="700">
        <f t="shared" si="50"/>
        <v>0</v>
      </c>
      <c r="CX26" s="477">
        <f>IF('Data Entry'!$C$74=0,0,IF(CV26&lt;0.01,0,IF(BF26=0.5,0,IF(CF26=1,0,IF(ISNUMBER(SEARCH("false",CL26)),0,IF(AZ26=500,0,CL26))))))</f>
        <v>0</v>
      </c>
      <c r="CY26" s="147" t="e">
        <f t="shared" si="51"/>
        <v>#VALUE!</v>
      </c>
      <c r="CZ26" s="147" t="b">
        <f>IF(CN26+CL26=0,FALSE,IF(AH26=0,0,IF(AND('Data Entry'!$C$74=1,CR26&gt;=1),TRUE,IF(AND('Data Entry'!$C$74=2,CS26&gt;=1),TRUE,FALSE))))</f>
        <v>0</v>
      </c>
      <c r="DA26" s="1751">
        <f>IF('Data Entry'!$C$74=0,0,IFERROR(ROUND(IF(T26="","",IF($X$4=0,0,IF(CF26=1,0,IF(BQ26+CV26=0,0,IF(CF26=1,0,IF(CY26&gt;0.01,CY26,IF(CL26&gt;0.01,CL26,IF(CY26&gt;0.01,CY26,IF(BC26=37,BO26,IF(CZ26=FALSE,0,IF(CZ26=TRUE,DC26+DF26,0))))))))))),2),""))</f>
        <v>0</v>
      </c>
      <c r="DB26" s="1752"/>
      <c r="DC26" s="474">
        <f>IF(CN26&lt;0.01,0,IF(AND(BR26=3,CN26&gt;0.01,CT26&gt;0.6,ER26+ES26+ET26&lt;100),0,IF(AND('Data Entry'!$C$74=1,CN26&gt;0.01,CR26&gt;0.99),MIN(CN26:CO26),IF(AND('Data Entry'!$C$74=2,CN26&gt;0.01,CS26&gt;0.99),MIN(CN26:CO26),0))))</f>
        <v>0</v>
      </c>
      <c r="DD26" s="478">
        <f>IF(CF26=1,"Selection does not match",IF(T26=0,0,IF(AND('Data Entry'!$C$74=0,CP26&gt;1),"Select Oregon or Idaho on Data Entry Tab",IF(AND(AU26=1,AA26&gt;0.9),"Missing Interior or Exterior Selection",IF($X$4=0,"Enter Total Project Cost",IF(AQ26&lt;AR26,"Insufficient kWh savings – no incentive",IF(AND(SUM(CL26+CK26+BV26)&gt;0.01,'Data Entry'!$C$74=2,CJ26&gt;1,BO26=0),"Submit Control as Non-Standard",IF(AND('Data Entry'!$C$74=2,BR26=37,CJ26&gt;1,BO26=0),"Submit Control as Non-Standard",IF(SUM(CL26+CK26+BV26)&gt;0.01,"Standard Incentive",IF(AND('Data Entry'!$C$74=2,CP26=7,CN26=0),"Submit as Non-Standard",IF(DC26&gt;0.9,"Non-Standard Incentive",IF(AND(BY26+BZ26+CA26&gt;0.01,BV26=0,EQ26=0,ER26=0,ES26=0,ET26=0),"Scroll Right &amp; Select Control Strategies",IF(AND(CN26&gt;0.01,CO26=0),"Enter Unit Installed Cost",IF(ISNUMBER(SEARCH("Lighting Controls Only",F26)),"Lighting Controls Only",IF(CL26+DC26=0,"Does not meet incentive criteria",0)))))))))))))))</f>
        <v>0</v>
      </c>
      <c r="DE26" s="337">
        <f t="shared" si="52"/>
        <v>0</v>
      </c>
      <c r="DF26" s="609">
        <f t="shared" si="53"/>
        <v>0</v>
      </c>
      <c r="DG26" s="336" t="str">
        <f t="shared" si="54"/>
        <v/>
      </c>
      <c r="DH26" s="338">
        <f t="shared" si="55"/>
        <v>1</v>
      </c>
      <c r="DI26" s="336" t="e">
        <f t="shared" si="8"/>
        <v>#VALUE!</v>
      </c>
      <c r="DJ26" s="338">
        <f t="shared" si="9"/>
        <v>0</v>
      </c>
      <c r="DK26" s="325" t="s">
        <v>139</v>
      </c>
      <c r="DL26" s="324">
        <v>85</v>
      </c>
      <c r="DM26" s="325" t="s">
        <v>112</v>
      </c>
      <c r="DN26" s="324">
        <v>4</v>
      </c>
      <c r="DO26" s="1433" t="s">
        <v>1760</v>
      </c>
      <c r="DP26" s="1362" t="s">
        <v>34</v>
      </c>
      <c r="DQ26" s="1615" t="s">
        <v>1758</v>
      </c>
      <c r="DR26" s="1435"/>
      <c r="DS26" s="1195">
        <f t="shared" si="56"/>
        <v>0</v>
      </c>
      <c r="DT26" s="344" t="b">
        <f t="shared" si="57"/>
        <v>1</v>
      </c>
      <c r="DU26" s="1314" t="str">
        <f t="array" ref="DU26">IF(OR(COUNTIF(F26,"*"&amp;$DK$9:$DK$178&amp;"*")), "Yes", "")</f>
        <v/>
      </c>
      <c r="DV26" s="1314">
        <f t="shared" si="58"/>
        <v>0</v>
      </c>
      <c r="DW26" s="1480">
        <f t="shared" si="59"/>
        <v>0</v>
      </c>
      <c r="DX26" s="1498">
        <f t="shared" si="71"/>
        <v>0</v>
      </c>
      <c r="DY26" s="1484">
        <f t="shared" si="60"/>
        <v>0</v>
      </c>
      <c r="DZ26" s="1481" t="str">
        <f>Lists!A78</f>
        <v xml:space="preserve">S:  </v>
      </c>
      <c r="EA26" s="881">
        <f>'Product Type'!E28</f>
        <v>0</v>
      </c>
      <c r="EB26" s="1499" t="s">
        <v>189</v>
      </c>
      <c r="EC26" s="727" t="s">
        <v>1568</v>
      </c>
      <c r="ED26" s="728">
        <v>0.5</v>
      </c>
      <c r="EE26" s="1215"/>
      <c r="EF26" s="1215"/>
      <c r="EG26" s="1184" t="str">
        <f t="shared" si="61"/>
        <v/>
      </c>
      <c r="EH26" s="1198" t="s">
        <v>455</v>
      </c>
      <c r="EI26" s="1199">
        <v>2</v>
      </c>
      <c r="EJ26" s="1185">
        <f t="shared" si="10"/>
        <v>0</v>
      </c>
      <c r="EK26" s="1211"/>
      <c r="EL26" s="1180">
        <f t="shared" si="72"/>
        <v>0</v>
      </c>
      <c r="EM26" s="206"/>
      <c r="EN26" s="1038"/>
      <c r="EO26" s="1038"/>
      <c r="EP26" s="1038"/>
      <c r="EQ26" s="1038">
        <f t="shared" si="62"/>
        <v>0</v>
      </c>
      <c r="ER26" s="1041">
        <f t="shared" si="75"/>
        <v>0</v>
      </c>
      <c r="ES26" s="1042">
        <f t="shared" si="63"/>
        <v>0</v>
      </c>
      <c r="ET26" s="1042">
        <f t="shared" si="73"/>
        <v>0</v>
      </c>
      <c r="EU26" s="1021">
        <f t="shared" si="74"/>
        <v>0</v>
      </c>
      <c r="EV26" s="368"/>
      <c r="EW26" s="368"/>
      <c r="EX26" s="369"/>
      <c r="EY26" s="370"/>
      <c r="EZ26" s="370"/>
      <c r="FA26" s="371"/>
      <c r="FB26" s="372"/>
    </row>
    <row r="27" spans="1:158" s="1" customFormat="1" ht="34.5" customHeight="1">
      <c r="A27" s="82">
        <v>19</v>
      </c>
      <c r="B27" s="1725"/>
      <c r="C27" s="1726"/>
      <c r="D27" s="1726"/>
      <c r="E27" s="1727"/>
      <c r="F27" s="1732"/>
      <c r="G27" s="1733"/>
      <c r="H27" s="1733"/>
      <c r="I27" s="1734"/>
      <c r="J27" s="1341"/>
      <c r="K27" s="1728"/>
      <c r="L27" s="1728"/>
      <c r="M27" s="1342"/>
      <c r="N27" s="1583"/>
      <c r="O27" s="208" t="str">
        <f t="shared" si="11"/>
        <v/>
      </c>
      <c r="P27" s="1344"/>
      <c r="Q27" s="39" t="str">
        <f t="shared" si="0"/>
        <v/>
      </c>
      <c r="R27" s="39">
        <f t="shared" si="12"/>
        <v>0</v>
      </c>
      <c r="S27" s="234">
        <f t="shared" si="13"/>
        <v>0</v>
      </c>
      <c r="T27" s="1755"/>
      <c r="U27" s="1755"/>
      <c r="V27" s="1755"/>
      <c r="W27" s="1345"/>
      <c r="X27" s="1757"/>
      <c r="Y27" s="1742"/>
      <c r="Z27" s="1346"/>
      <c r="AA27" s="1347"/>
      <c r="AB27" s="1141"/>
      <c r="AC27" s="1103" t="str">
        <f>IF(T27="","",VLOOKUP(Z27,Lists!$A$60:$B$111,2,FALSE))</f>
        <v/>
      </c>
      <c r="AD27" s="130" t="str">
        <f t="shared" si="14"/>
        <v/>
      </c>
      <c r="AE27" s="130" t="e">
        <f t="shared" si="15"/>
        <v>#VALUE!</v>
      </c>
      <c r="AF27" s="130">
        <f t="shared" si="16"/>
        <v>1</v>
      </c>
      <c r="AG27" s="234">
        <f t="shared" si="1"/>
        <v>0</v>
      </c>
      <c r="AH27" s="1753" t="str">
        <f>IF(T27="","",(IF(ISNUMBER(SEARCH("exit",T27)),8760,IF(AND(M27="Dusk to Dawn",'Proposed Lighting'!AU27=3),4059,IF(AND(AU27=3,M27="1"),0,IF(AND(AU27=3,M27="1-C"),0,IF(AND(AU27=3,M27="2"),0,IF(AND(AU27=3,M27="2-C"),0,IF(AND(AU27=3,M27="3"),0,IF(AND(AU27=3,M27="3-C"),0,IF(AND(AU27=2,M27="Dusk to Dawn"),0,IF(AND(AU27=2,M27="Dusk to Dawn-C"),0,IF(AND(AU27=2,M27="Dusk to Dawn"),0,IF(AND(AU27=2,M27="E"),0,IF(AND(AU27=2,M27="E-C"),0,EG27)))))))))))))))</f>
        <v/>
      </c>
      <c r="AI27" s="1754"/>
      <c r="AJ27" s="1136"/>
      <c r="AK27" s="1136"/>
      <c r="AL27" s="1748">
        <f t="shared" si="64"/>
        <v>0</v>
      </c>
      <c r="AM27" s="1749"/>
      <c r="AN27" s="1750"/>
      <c r="AO27" s="476">
        <f t="shared" si="2"/>
        <v>0</v>
      </c>
      <c r="AP27" s="476">
        <f t="shared" si="17"/>
        <v>0</v>
      </c>
      <c r="AQ27" s="475">
        <f t="shared" si="3"/>
        <v>0</v>
      </c>
      <c r="AR27" s="475">
        <f t="shared" si="18"/>
        <v>0</v>
      </c>
      <c r="AS27" s="743" t="str">
        <f t="shared" si="19"/>
        <v/>
      </c>
      <c r="AT27" s="736" t="str">
        <f t="shared" si="20"/>
        <v/>
      </c>
      <c r="AU27" s="56">
        <f t="shared" si="21"/>
        <v>1</v>
      </c>
      <c r="AV27" s="476">
        <f t="shared" si="22"/>
        <v>0</v>
      </c>
      <c r="AW27" s="56">
        <f t="shared" si="23"/>
        <v>0</v>
      </c>
      <c r="AX27" s="475">
        <f t="shared" si="65"/>
        <v>0</v>
      </c>
      <c r="AY27" s="1169">
        <f t="shared" si="66"/>
        <v>0</v>
      </c>
      <c r="AZ27" s="1150">
        <f t="shared" si="67"/>
        <v>0</v>
      </c>
      <c r="BA27" s="56">
        <f t="shared" si="68"/>
        <v>0</v>
      </c>
      <c r="BB27" s="420">
        <f t="shared" si="4"/>
        <v>0</v>
      </c>
      <c r="BC27" s="58" t="str">
        <f t="shared" si="5"/>
        <v/>
      </c>
      <c r="BD27" s="660">
        <f t="shared" si="69"/>
        <v>0</v>
      </c>
      <c r="BE27" s="57" t="e">
        <f t="array" ref="BE27">INDEX($EB$11:$ED$1022,MATCH(F27&amp;T27,$EB$11:$EB$1007&amp;$EC$11:$EC$1007,0),3)</f>
        <v>#N/A</v>
      </c>
      <c r="BF27" s="463">
        <f t="shared" si="24"/>
        <v>0</v>
      </c>
      <c r="BG27" s="1445" t="e">
        <f t="array" ref="BG27">INDEX($DO$112:$DQ$123,MATCH(T27&amp;W27,$DO$114:$DO$125&amp;$DP$112:$DP$123,0),3)</f>
        <v>#N/A</v>
      </c>
      <c r="BH27" s="1446">
        <f t="shared" si="25"/>
        <v>0</v>
      </c>
      <c r="BI27" s="465">
        <f t="shared" si="26"/>
        <v>0</v>
      </c>
      <c r="BJ27" s="465">
        <f t="shared" si="27"/>
        <v>0</v>
      </c>
      <c r="BK27" s="466">
        <f t="shared" si="28"/>
        <v>0</v>
      </c>
      <c r="BL27" s="466">
        <f t="shared" si="29"/>
        <v>0</v>
      </c>
      <c r="BM27" s="466">
        <f t="shared" si="30"/>
        <v>0</v>
      </c>
      <c r="BN27" s="466">
        <f t="shared" si="31"/>
        <v>0</v>
      </c>
      <c r="BO27" s="463">
        <f>IF('Data Entry'!$C$74=0,0,IF(ISNA(CJ27),0,IF(AX27=0,0,IF(AND('Data Entry'!$C$74=2,AF27&gt;2,CE27&lt;1),0,IF(AND('Data Entry'!$C$74=2,AF27&gt;1,AU27=2,CJ27&gt;1),0,IF(AND(AF27=5,CT27=0.5,AU27=2,ER27&lt;100),0,IF(AND(AF27=5,CT27=0.5,AU27=3,ER27&lt;100),0,IF(AND('Data Entry'!$C$74=2,AF27=2,AU27=2,AK27&gt;0.01,CB27=2,CE27&lt;1),0,IF(AND('Data Entry'!$C$74=2,AF27=3,AU27=3,AK27&gt;0.01,CB27=3,CE27&lt;1),0,IF(AND('Data Entry'!$C$74=2,AF27=3,AU27=3,AK27&gt;0.01,CB27=3,CE27&gt;0.99),BQ27*0.08,IF(AND('Data Entry'!$C$74=2,AF27=2,AU27=2,AK27&gt;0.01,CB27=2,CE27&gt;0.99),BQ27*0.1,IF(AND(AU27=2,AK27&gt;0.01,CB27=2,CD27&gt;1),BQ27*0.1,IF(AND(AU27=3,AK27&gt;0.01,CB27=3,CD27&gt;1),BQ27*0.08,CJ27*EF27)))))))))))))</f>
        <v>0</v>
      </c>
      <c r="BP27" s="475">
        <f t="shared" si="32"/>
        <v>0</v>
      </c>
      <c r="BQ27" s="1431">
        <f>IF(AU27=1,0,IF(CH27=100,0,IF(AND(AF27=3,AU27=2),0,IF(AND(BH27=0,CT27&gt;0.4),0,IF(AND('Data Entry'!$C$74=2,AF27=1.5),0,IF(AND('Data Entry'!$C$74=2,AF27=1.6),0,IF(AND('Data Entry'!$C$74=2,AF27=4),0,IF(AND('Data Entry'!$C$74=2,AF27=5),0,IF(AND('Data Entry'!$C$74=2,AF27=2.5,CE27&lt;1),0,IF(AND('Data Entry'!$C$74=2,AF27=3,CE27&lt;1),0,IF(AND('Data Entry'!$C$74=1,AF27=2.5,CD27&lt;1),0,IF(AND('Data Entry'!$C$74=1,AF27=3,CD27&lt;1),0,IF(DX27&gt;0.01,DX27,IF(ISERROR(AX27-AY27),"",ROUND(AX27-AY27,2)))))))))))))))</f>
        <v>0</v>
      </c>
      <c r="BR27" s="146">
        <f t="shared" si="33"/>
        <v>0</v>
      </c>
      <c r="BS27" s="475">
        <f t="shared" si="34"/>
        <v>0</v>
      </c>
      <c r="BT27" s="146" t="b">
        <f t="shared" si="35"/>
        <v>0</v>
      </c>
      <c r="BU27" s="463">
        <f>IF(ISNA(AT27),0,IF(AND('Data Entry'!$C$74=2,BC27=27),0,IF(AND('Data Entry'!$C$74=2,BC27=28),0,IF(AND(BC27=27,BT27=27,CM27&gt;0.1),CM27*0.15,IF(AND(BC27=28,BT27=28,CM27&gt;0.1),CM27*0.12,0)))))</f>
        <v>0</v>
      </c>
      <c r="BV27" s="463">
        <f t="shared" si="78"/>
        <v>0</v>
      </c>
      <c r="BW27" s="463">
        <f t="shared" si="37"/>
        <v>0</v>
      </c>
      <c r="BX27" s="463">
        <f t="shared" si="38"/>
        <v>0</v>
      </c>
      <c r="BY27" s="463">
        <f t="shared" si="39"/>
        <v>0</v>
      </c>
      <c r="BZ27" s="463">
        <f t="shared" si="40"/>
        <v>0</v>
      </c>
      <c r="CA27" s="57">
        <f t="shared" si="70"/>
        <v>0</v>
      </c>
      <c r="CB27" s="56">
        <f t="shared" si="41"/>
        <v>1</v>
      </c>
      <c r="CC27" s="756">
        <f>IF(EE27=0,0,IF(EF27=0,0,IF(EE27&gt;AA27,0,IF(AND(AZ27&gt;AW27,AW27&gt;0),0,IF(CU27=0,0,Summary!AC330)))))</f>
        <v>0</v>
      </c>
      <c r="CD27" s="756">
        <f>IF(EE27=0,0,IF(EF27=0,0,IF(EE27&gt;AA27,0,IF(AND(AZ27&gt;AW27,AW27&gt;0),0,IF(CU27=0,0,Summary!AD330)))))</f>
        <v>0</v>
      </c>
      <c r="CE27" s="756">
        <f>IF(EF27=0,0,IF(EE27&gt;AA27,0,IF(CC27=0,0,IF(AND(AZ27&gt;AW27,AW27&gt;0),0,IF(CU27=0,0,Summary!AE330)))))</f>
        <v>0</v>
      </c>
      <c r="CF27" s="475">
        <f t="shared" si="42"/>
        <v>0</v>
      </c>
      <c r="CG27" s="476">
        <f t="shared" si="6"/>
        <v>0</v>
      </c>
      <c r="CH27" s="487">
        <f t="shared" si="43"/>
        <v>0</v>
      </c>
      <c r="CI27" s="756">
        <f t="shared" si="44"/>
        <v>0</v>
      </c>
      <c r="CJ27" s="487">
        <f>IF(CT27&gt;0.4,0,IF(AND(AU27=2,CH27=0,CT27=0.5,ER27=100),35,IF(AND(AU27=3,BB27&gt;75,CH27=0,CT27=0.5,ER27=100),25,IF(CB27&gt;1,0,IF(EF27&gt;EE27,0,IF(AND(AF27&gt;1,CH27=100),0,IF(AND(AF27=1,AY27=0),0,IF(AND(EF27&lt;=EE27,AW27&gt;=AZ27,'Data Entry'!$C$74=1,AU27=2),VLOOKUP(W27,$DO$96:$DP$102,2,FALSE),IF(AND(EF27&lt;=EE27,AW27&gt;=AZ27,AU27=3,'Data Entry'!$C$74=1),VLOOKUP(W27,$DO$127:$DP$134,2,FALSE))))))))))</f>
        <v>0</v>
      </c>
      <c r="CK27" s="716">
        <f t="shared" si="45"/>
        <v>0</v>
      </c>
      <c r="CL27" s="57">
        <f t="shared" si="46"/>
        <v>0</v>
      </c>
      <c r="CM27" s="475">
        <f t="shared" si="77"/>
        <v>0</v>
      </c>
      <c r="CN27" s="660">
        <f>IF(CM27&lt;0.1,0,IF(ISNA(AT27),0,IF(CL27+BC27=1,0,IF(BV27&gt;0.01,0,IF(CL27&gt;0.01,0,IF(CF27=1,0,IF(BC27=0.5,0,IF(AND(CI27=1,AU27=3),0,IF(AND(CI27=5,CL27=0),0,IF(AND(R27=12,BR27=50),0,IF(CK27&gt;0.01,0,IF(AND(AJ27&gt;0.01,AU27=2,BC27=15),CM27*0.1,IF(AND(AJ27&gt;0.01,AU27=3,BC27=15),CM27*0.08,IF(AND(R27=12,BC27=3,AF27&lt;=0),0,IF(AND(BC27=15,BI27=0),0,IF(AND(BC27=15,BJ27=0),0,IF(AND(R27=20,CU27=0),0,IF($X$4=0,0,IF(AND(BC27=250,CL27=0),0,IF(AA27&lt;1,0,IF(AND(ISNUMBER(SEARCH("Area",T27)),AU27=3),0,IF(AND(AQ27&gt;0.01,AR27=0,BK27=0,BL27=0,BM27=0,BN27=0),0,IF(AND(AU27=3,CI27=7,CT27&gt;0.5),0,IF(AND(BC27=44,AU27=3,BY27=0),0,IF(AND(BC27=27,'Data Entry'!$C$74=2),0,IF(AND(BC27=28,'Data Entry'!$C$74=2),0,IF(AND(BY27+BZ27+CA27&gt;0.01,BV27=0,EQ27+ER27+ES27+ET27&lt;100),0,IF(AU27=3,CM27*0.08,IF(AU27=2,CM27*0.1,0)))))))))))))))))))))))))))))</f>
        <v>0</v>
      </c>
      <c r="CO27" s="660">
        <f t="shared" si="47"/>
        <v>0</v>
      </c>
      <c r="CP27" s="475" t="str">
        <f t="shared" si="48"/>
        <v/>
      </c>
      <c r="CQ27" s="161" t="str">
        <f>IF(AH27=0,0,IF(AU27=5,0,Summary!AC30))</f>
        <v/>
      </c>
      <c r="CR27" s="161" t="str">
        <f>IF(BF27=0.5,0,IF(AU27=5,0,Summary!AD30))</f>
        <v/>
      </c>
      <c r="CS27" s="161" t="str">
        <f>IF(AU27=5,0,Summary!AE30)</f>
        <v/>
      </c>
      <c r="CT27" s="161">
        <f t="shared" si="49"/>
        <v>0</v>
      </c>
      <c r="CU27" s="475" t="str">
        <f t="shared" si="7"/>
        <v/>
      </c>
      <c r="CV27" s="307">
        <f>IF('Data Entry'!$C$74=0,0,IF(AA27&lt;1,0,IF(ISERROR(CU27),0,IF(CF27=1,0,IF(AND(R27=12,BR27=50),0,IF(CL27+BO27+BV27+DC27=0,0,IF(BC27=37,0,IF(AND(BC27=40,AJ27=0),0,IF(AND(BC27=37,BO27&gt;0.01,BQ27&gt;0.01),ROUND(BQ27,0),IF(CM27&lt;0,0,ROUND(CM27,0)))))))))))</f>
        <v>0</v>
      </c>
      <c r="CW27" s="700">
        <f t="shared" si="50"/>
        <v>0</v>
      </c>
      <c r="CX27" s="477">
        <f>IF('Data Entry'!$C$74=0,0,IF(CV27&lt;0.01,0,IF(BF27=0.5,0,IF(CF27=1,0,IF(ISNUMBER(SEARCH("false",CL27)),0,IF(AZ27=500,0,CL27))))))</f>
        <v>0</v>
      </c>
      <c r="CY27" s="147" t="e">
        <f t="shared" si="51"/>
        <v>#VALUE!</v>
      </c>
      <c r="CZ27" s="147" t="b">
        <f>IF(CN27+CL27=0,FALSE,IF(AH27=0,0,IF(AND('Data Entry'!$C$74=1,CR27&gt;=1),TRUE,IF(AND('Data Entry'!$C$74=2,CS27&gt;=1),TRUE,FALSE))))</f>
        <v>0</v>
      </c>
      <c r="DA27" s="1751">
        <f>IF('Data Entry'!$C$74=0,0,IFERROR(ROUND(IF(T27="","",IF($X$4=0,0,IF(CF27=1,0,IF(BQ27+CV27=0,0,IF(CF27=1,0,IF(CY27&gt;0.01,CY27,IF(CL27&gt;0.01,CL27,IF(CY27&gt;0.01,CY27,IF(BC27=37,BO27,IF(CZ27=FALSE,0,IF(CZ27=TRUE,DC27+DF27,0))))))))))),2),""))</f>
        <v>0</v>
      </c>
      <c r="DB27" s="1752"/>
      <c r="DC27" s="474">
        <f>IF(CN27&lt;0.01,0,IF(AND(BR27=3,CN27&gt;0.01,CT27&gt;0.6,ER27+ES27+ET27&lt;100),0,IF(AND('Data Entry'!$C$74=1,CN27&gt;0.01,CR27&gt;0.99),MIN(CN27:CO27),IF(AND('Data Entry'!$C$74=2,CN27&gt;0.01,CS27&gt;0.99),MIN(CN27:CO27),0))))</f>
        <v>0</v>
      </c>
      <c r="DD27" s="478">
        <f>IF(CF27=1,"Selection does not match",IF(T27=0,0,IF(AND('Data Entry'!$C$74=0,CP27&gt;1),"Select Oregon or Idaho on Data Entry Tab",IF(AND(AU27=1,AA27&gt;0.9),"Missing Interior or Exterior Selection",IF($X$4=0,"Enter Total Project Cost",IF(AQ27&lt;AR27,"Insufficient kWh savings – no incentive",IF(AND(SUM(CL27+CK27+BV27)&gt;0.01,'Data Entry'!$C$74=2,CJ27&gt;1,BO27=0),"Submit Control as Non-Standard",IF(AND('Data Entry'!$C$74=2,BR27=37,CJ27&gt;1,BO27=0),"Submit Control as Non-Standard",IF(SUM(CL27+CK27+BV27)&gt;0.01,"Standard Incentive",IF(AND('Data Entry'!$C$74=2,CP27=7,CN27=0),"Submit as Non-Standard",IF(DC27&gt;0.9,"Non-Standard Incentive",IF(AND(BY27+BZ27+CA27&gt;0.01,BV27=0,EQ27=0,ER27=0,ES27=0,ET27=0),"Scroll Right &amp; Select Control Strategies",IF(AND(CN27&gt;0.01,CO27=0),"Enter Unit Installed Cost",IF(ISNUMBER(SEARCH("Lighting Controls Only",F27)),"Lighting Controls Only",IF(CL27+DC27=0,"Does not meet incentive criteria",0)))))))))))))))</f>
        <v>0</v>
      </c>
      <c r="DE27" s="337">
        <f t="shared" si="52"/>
        <v>0</v>
      </c>
      <c r="DF27" s="609">
        <f t="shared" si="53"/>
        <v>0</v>
      </c>
      <c r="DG27" s="336" t="str">
        <f t="shared" si="54"/>
        <v/>
      </c>
      <c r="DH27" s="338">
        <f t="shared" si="55"/>
        <v>1</v>
      </c>
      <c r="DI27" s="336" t="e">
        <f t="shared" si="8"/>
        <v>#VALUE!</v>
      </c>
      <c r="DJ27" s="338">
        <f t="shared" si="9"/>
        <v>0</v>
      </c>
      <c r="DK27" s="325" t="s">
        <v>140</v>
      </c>
      <c r="DL27" s="324">
        <v>112</v>
      </c>
      <c r="DM27" s="325" t="s">
        <v>113</v>
      </c>
      <c r="DN27" s="1438">
        <v>8</v>
      </c>
      <c r="DO27" s="1443" t="s">
        <v>1887</v>
      </c>
      <c r="DP27" s="332"/>
      <c r="DQ27" s="1615" t="s">
        <v>1759</v>
      </c>
      <c r="DR27" s="1332"/>
      <c r="DS27" s="1434">
        <f t="shared" si="56"/>
        <v>0</v>
      </c>
      <c r="DT27" s="344" t="b">
        <f t="shared" si="57"/>
        <v>1</v>
      </c>
      <c r="DU27" s="1314" t="str">
        <f t="array" ref="DU27">IF(OR(COUNTIF(F27,"*"&amp;$DK$9:$DK$178&amp;"*")), "Yes", "")</f>
        <v/>
      </c>
      <c r="DV27" s="1314">
        <f t="shared" si="58"/>
        <v>0</v>
      </c>
      <c r="DW27" s="1480">
        <f t="shared" si="59"/>
        <v>0</v>
      </c>
      <c r="DX27" s="1498">
        <f t="shared" si="71"/>
        <v>0</v>
      </c>
      <c r="DY27" s="1484">
        <f t="shared" si="60"/>
        <v>0</v>
      </c>
      <c r="DZ27" s="1481" t="str">
        <f>Lists!A79</f>
        <v xml:space="preserve">T:  </v>
      </c>
      <c r="EA27" s="881">
        <f>'Product Type'!E29</f>
        <v>0</v>
      </c>
      <c r="EB27" s="1499" t="s">
        <v>190</v>
      </c>
      <c r="EC27" s="727" t="s">
        <v>1568</v>
      </c>
      <c r="ED27" s="728">
        <v>0.5</v>
      </c>
      <c r="EE27" s="1215"/>
      <c r="EF27" s="1215"/>
      <c r="EG27" s="1184" t="str">
        <f t="shared" si="61"/>
        <v/>
      </c>
      <c r="EH27" s="1198" t="s">
        <v>1760</v>
      </c>
      <c r="EI27" s="1199">
        <v>12</v>
      </c>
      <c r="EJ27" s="1185">
        <f t="shared" si="10"/>
        <v>0</v>
      </c>
      <c r="EK27" s="1211"/>
      <c r="EL27" s="1180">
        <f t="shared" si="72"/>
        <v>0</v>
      </c>
      <c r="EM27" s="206"/>
      <c r="EN27" s="1038"/>
      <c r="EO27" s="1038"/>
      <c r="EP27" s="1038"/>
      <c r="EQ27" s="1038">
        <f t="shared" si="62"/>
        <v>0</v>
      </c>
      <c r="ER27" s="1041">
        <f t="shared" si="75"/>
        <v>0</v>
      </c>
      <c r="ES27" s="1042">
        <f t="shared" si="63"/>
        <v>0</v>
      </c>
      <c r="ET27" s="1042">
        <f t="shared" si="73"/>
        <v>0</v>
      </c>
      <c r="EU27" s="1021">
        <f t="shared" si="74"/>
        <v>0</v>
      </c>
      <c r="EV27" s="368"/>
      <c r="EW27" s="368"/>
      <c r="EX27" s="369"/>
      <c r="EY27" s="370"/>
      <c r="EZ27" s="370"/>
      <c r="FA27" s="371"/>
      <c r="FB27" s="372"/>
    </row>
    <row r="28" spans="1:158" s="1" customFormat="1" ht="34.5" customHeight="1">
      <c r="A28" s="82">
        <v>20</v>
      </c>
      <c r="B28" s="1725"/>
      <c r="C28" s="1726"/>
      <c r="D28" s="1726"/>
      <c r="E28" s="1727"/>
      <c r="F28" s="1732"/>
      <c r="G28" s="1733"/>
      <c r="H28" s="1733"/>
      <c r="I28" s="1734"/>
      <c r="J28" s="1341"/>
      <c r="K28" s="1728"/>
      <c r="L28" s="1728"/>
      <c r="M28" s="1342"/>
      <c r="N28" s="1583"/>
      <c r="O28" s="208" t="str">
        <f t="shared" si="11"/>
        <v/>
      </c>
      <c r="P28" s="1344"/>
      <c r="Q28" s="39" t="str">
        <f t="shared" si="0"/>
        <v/>
      </c>
      <c r="R28" s="39">
        <f t="shared" si="12"/>
        <v>0</v>
      </c>
      <c r="S28" s="234">
        <f t="shared" si="13"/>
        <v>0</v>
      </c>
      <c r="T28" s="1755"/>
      <c r="U28" s="1755"/>
      <c r="V28" s="1755"/>
      <c r="W28" s="1345"/>
      <c r="X28" s="1757"/>
      <c r="Y28" s="1742"/>
      <c r="Z28" s="1346"/>
      <c r="AA28" s="1347"/>
      <c r="AB28" s="1141"/>
      <c r="AC28" s="1103" t="str">
        <f>IF(T28="","",VLOOKUP(Z28,Lists!$A$60:$B$111,2,FALSE))</f>
        <v/>
      </c>
      <c r="AD28" s="130" t="str">
        <f t="shared" si="14"/>
        <v/>
      </c>
      <c r="AE28" s="130" t="e">
        <f t="shared" si="15"/>
        <v>#VALUE!</v>
      </c>
      <c r="AF28" s="130">
        <f t="shared" si="16"/>
        <v>1</v>
      </c>
      <c r="AG28" s="234">
        <f t="shared" si="1"/>
        <v>0</v>
      </c>
      <c r="AH28" s="1753" t="str">
        <f>IF(T28="","",(IF(ISNUMBER(SEARCH("exit",T28)),8760,IF(AND(M28="Dusk to Dawn",'Proposed Lighting'!AU28=3),4059,IF(AND(AU28=3,M28="1"),0,IF(AND(AU28=3,M28="1-C"),0,IF(AND(AU28=3,M28="2"),0,IF(AND(AU28=3,M28="2-C"),0,IF(AND(AU28=3,M28="3"),0,IF(AND(AU28=3,M28="3-C"),0,IF(AND(AU28=2,M28="Dusk to Dawn"),0,IF(AND(AU28=2,M28="Dusk to Dawn-C"),0,IF(AND(AU28=2,M28="Dusk to Dawn"),0,IF(AND(AU28=2,M28="E"),0,IF(AND(AU28=2,M28="E-C"),0,EG28)))))))))))))))</f>
        <v/>
      </c>
      <c r="AI28" s="1754"/>
      <c r="AJ28" s="1136"/>
      <c r="AK28" s="1136"/>
      <c r="AL28" s="1748">
        <f t="shared" si="64"/>
        <v>0</v>
      </c>
      <c r="AM28" s="1749"/>
      <c r="AN28" s="1750"/>
      <c r="AO28" s="476">
        <f t="shared" si="2"/>
        <v>0</v>
      </c>
      <c r="AP28" s="476">
        <f t="shared" si="17"/>
        <v>0</v>
      </c>
      <c r="AQ28" s="475">
        <f t="shared" si="3"/>
        <v>0</v>
      </c>
      <c r="AR28" s="475">
        <f t="shared" si="18"/>
        <v>0</v>
      </c>
      <c r="AS28" s="743" t="str">
        <f t="shared" si="19"/>
        <v/>
      </c>
      <c r="AT28" s="736" t="str">
        <f t="shared" si="20"/>
        <v/>
      </c>
      <c r="AU28" s="56">
        <f t="shared" si="21"/>
        <v>1</v>
      </c>
      <c r="AV28" s="476">
        <f t="shared" si="22"/>
        <v>0</v>
      </c>
      <c r="AW28" s="56">
        <f t="shared" si="23"/>
        <v>0</v>
      </c>
      <c r="AX28" s="475">
        <f t="shared" si="65"/>
        <v>0</v>
      </c>
      <c r="AY28" s="1169">
        <f t="shared" si="66"/>
        <v>0</v>
      </c>
      <c r="AZ28" s="1150">
        <f t="shared" si="67"/>
        <v>0</v>
      </c>
      <c r="BA28" s="56">
        <f t="shared" si="68"/>
        <v>0</v>
      </c>
      <c r="BB28" s="420">
        <f t="shared" si="4"/>
        <v>0</v>
      </c>
      <c r="BC28" s="58" t="str">
        <f t="shared" si="5"/>
        <v/>
      </c>
      <c r="BD28" s="660">
        <f t="shared" si="69"/>
        <v>0</v>
      </c>
      <c r="BE28" s="57" t="e">
        <f t="array" ref="BE28">INDEX($EB$11:$ED$1022,MATCH(F28&amp;T28,$EB$11:$EB$1007&amp;$EC$11:$EC$1007,0),3)</f>
        <v>#N/A</v>
      </c>
      <c r="BF28" s="463">
        <f t="shared" si="24"/>
        <v>0</v>
      </c>
      <c r="BG28" s="1445" t="e">
        <f t="array" ref="BG28">INDEX($DO$112:$DQ$123,MATCH(T28&amp;W28,$DO$114:$DO$125&amp;$DP$112:$DP$123,0),3)</f>
        <v>#N/A</v>
      </c>
      <c r="BH28" s="1446">
        <f t="shared" si="25"/>
        <v>0</v>
      </c>
      <c r="BI28" s="465">
        <f t="shared" si="26"/>
        <v>0</v>
      </c>
      <c r="BJ28" s="465">
        <f t="shared" si="27"/>
        <v>0</v>
      </c>
      <c r="BK28" s="466">
        <f t="shared" si="28"/>
        <v>0</v>
      </c>
      <c r="BL28" s="466">
        <f t="shared" si="29"/>
        <v>0</v>
      </c>
      <c r="BM28" s="466">
        <f t="shared" si="30"/>
        <v>0</v>
      </c>
      <c r="BN28" s="466">
        <f t="shared" si="31"/>
        <v>0</v>
      </c>
      <c r="BO28" s="463">
        <f>IF('Data Entry'!$C$74=0,0,IF(ISNA(CJ28),0,IF(AX28=0,0,IF(AND('Data Entry'!$C$74=2,AF28&gt;2,CE28&lt;1),0,IF(AND('Data Entry'!$C$74=2,AF28&gt;1,AU28=2,CJ28&gt;1),0,IF(AND(AF28=5,CT28=0.5,AU28=2,ER28&lt;100),0,IF(AND(AF28=5,CT28=0.5,AU28=3,ER28&lt;100),0,IF(AND('Data Entry'!$C$74=2,AF28=2,AU28=2,AK28&gt;0.01,CB28=2,CE28&lt;1),0,IF(AND('Data Entry'!$C$74=2,AF28=3,AU28=3,AK28&gt;0.01,CB28=3,CE28&lt;1),0,IF(AND('Data Entry'!$C$74=2,AF28=3,AU28=3,AK28&gt;0.01,CB28=3,CE28&gt;0.99),BQ28*0.08,IF(AND('Data Entry'!$C$74=2,AF28=2,AU28=2,AK28&gt;0.01,CB28=2,CE28&gt;0.99),BQ28*0.1,IF(AND(AU28=2,AK28&gt;0.01,CB28=2,CD28&gt;1),BQ28*0.1,IF(AND(AU28=3,AK28&gt;0.01,CB28=3,CD28&gt;1),BQ28*0.08,CJ28*EF28)))))))))))))</f>
        <v>0</v>
      </c>
      <c r="BP28" s="475">
        <f t="shared" si="32"/>
        <v>0</v>
      </c>
      <c r="BQ28" s="1431">
        <f>IF(AU28=1,0,IF(CH28=100,0,IF(AND(AF28=3,AU28=2),0,IF(AND(BH28=0,CT28&gt;0.4),0,IF(AND('Data Entry'!$C$74=2,AF28=1.5),0,IF(AND('Data Entry'!$C$74=2,AF28=1.6),0,IF(AND('Data Entry'!$C$74=2,AF28=4),0,IF(AND('Data Entry'!$C$74=2,AF28=5),0,IF(AND('Data Entry'!$C$74=2,AF28=2.5,CE28&lt;1),0,IF(AND('Data Entry'!$C$74=2,AF28=3,CE28&lt;1),0,IF(AND('Data Entry'!$C$74=1,AF28=2.5,CD28&lt;1),0,IF(AND('Data Entry'!$C$74=1,AF28=3,CD28&lt;1),0,IF(DX28&gt;0.01,DX28,IF(ISERROR(AX28-AY28),"",ROUND(AX28-AY28,2)))))))))))))))</f>
        <v>0</v>
      </c>
      <c r="BR28" s="146">
        <f t="shared" si="33"/>
        <v>0</v>
      </c>
      <c r="BS28" s="475">
        <f t="shared" si="34"/>
        <v>0</v>
      </c>
      <c r="BT28" s="146" t="b">
        <f t="shared" si="35"/>
        <v>0</v>
      </c>
      <c r="BU28" s="463">
        <f>IF(ISNA(AT28),0,IF(AND('Data Entry'!$C$74=2,BC28=27),0,IF(AND('Data Entry'!$C$74=2,BC28=28),0,IF(AND(BC28=27,BT28=27,CM28&gt;0.1),CM28*0.15,IF(AND(BC28=28,BT28=28,CM28&gt;0.1),CM28*0.12,0)))))</f>
        <v>0</v>
      </c>
      <c r="BV28" s="463">
        <f t="shared" si="78"/>
        <v>0</v>
      </c>
      <c r="BW28" s="463">
        <f t="shared" si="37"/>
        <v>0</v>
      </c>
      <c r="BX28" s="463">
        <f t="shared" si="38"/>
        <v>0</v>
      </c>
      <c r="BY28" s="463">
        <f t="shared" si="39"/>
        <v>0</v>
      </c>
      <c r="BZ28" s="463">
        <f t="shared" si="40"/>
        <v>0</v>
      </c>
      <c r="CA28" s="57">
        <f t="shared" si="70"/>
        <v>0</v>
      </c>
      <c r="CB28" s="56">
        <f t="shared" si="41"/>
        <v>1</v>
      </c>
      <c r="CC28" s="756">
        <f>IF(EE28=0,0,IF(EF28=0,0,IF(EE28&gt;AA28,0,IF(AND(AZ28&gt;AW28,AW28&gt;0),0,IF(CU28=0,0,Summary!AC331)))))</f>
        <v>0</v>
      </c>
      <c r="CD28" s="756">
        <f>IF(EE28=0,0,IF(EF28=0,0,IF(EE28&gt;AA28,0,IF(AND(AZ28&gt;AW28,AW28&gt;0),0,IF(CU28=0,0,Summary!AD331)))))</f>
        <v>0</v>
      </c>
      <c r="CE28" s="756">
        <f>IF(EF28=0,0,IF(EE28&gt;AA28,0,IF(CC28=0,0,IF(AND(AZ28&gt;AW28,AW28&gt;0),0,IF(CU28=0,0,Summary!AE331)))))</f>
        <v>0</v>
      </c>
      <c r="CF28" s="475">
        <f t="shared" si="42"/>
        <v>0</v>
      </c>
      <c r="CG28" s="476">
        <f t="shared" si="6"/>
        <v>0</v>
      </c>
      <c r="CH28" s="487">
        <f t="shared" si="43"/>
        <v>0</v>
      </c>
      <c r="CI28" s="756">
        <f t="shared" si="44"/>
        <v>0</v>
      </c>
      <c r="CJ28" s="487">
        <f>IF(CT28&gt;0.4,0,IF(AND(AU28=2,CH28=0,CT28=0.5,ER28=100),35,IF(AND(AU28=3,BB28&gt;75,CH28=0,CT28=0.5,ER28=100),25,IF(CB28&gt;1,0,IF(EF28&gt;EE28,0,IF(AND(AF28&gt;1,CH28=100),0,IF(AND(AF28=1,AY28=0),0,IF(AND(EF28&lt;=EE28,AW28&gt;=AZ28,'Data Entry'!$C$74=1,AU28=2),VLOOKUP(W28,$DO$96:$DP$102,2,FALSE),IF(AND(EF28&lt;=EE28,AW28&gt;=AZ28,AU28=3,'Data Entry'!$C$74=1),VLOOKUP(W28,$DO$127:$DP$134,2,FALSE))))))))))</f>
        <v>0</v>
      </c>
      <c r="CK28" s="716">
        <f t="shared" si="45"/>
        <v>0</v>
      </c>
      <c r="CL28" s="57">
        <f t="shared" si="46"/>
        <v>0</v>
      </c>
      <c r="CM28" s="475">
        <f t="shared" si="77"/>
        <v>0</v>
      </c>
      <c r="CN28" s="660">
        <f>IF(CM28&lt;0.1,0,IF(ISNA(AT28),0,IF(CL28+BC28=1,0,IF(BV28&gt;0.01,0,IF(CL28&gt;0.01,0,IF(CF28=1,0,IF(BC28=0.5,0,IF(AND(CI28=1,AU28=3),0,IF(AND(CI28=5,CL28=0),0,IF(AND(R28=12,BR28=50),0,IF(CK28&gt;0.01,0,IF(AND(AJ28&gt;0.01,AU28=2,BC28=15),CM28*0.1,IF(AND(AJ28&gt;0.01,AU28=3,BC28=15),CM28*0.08,IF(AND(R28=12,BC28=3,AF28&lt;=0),0,IF(AND(BC28=15,BI28=0),0,IF(AND(BC28=15,BJ28=0),0,IF(AND(R28=20,CU28=0),0,IF($X$4=0,0,IF(AND(BC28=250,CL28=0),0,IF(AA28&lt;1,0,IF(AND(ISNUMBER(SEARCH("Area",T28)),AU28=3),0,IF(AND(AQ28&gt;0.01,AR28=0,BK28=0,BL28=0,BM28=0,BN28=0),0,IF(AND(AU28=3,CI28=7,CT28&gt;0.5),0,IF(AND(BC28=44,AU28=3,BY28=0),0,IF(AND(BC28=27,'Data Entry'!$C$74=2),0,IF(AND(BC28=28,'Data Entry'!$C$74=2),0,IF(AND(BY28+BZ28+CA28&gt;0.01,BV28=0,EQ28+ER28+ES28+ET28&lt;100),0,IF(AU28=3,CM28*0.08,IF(AU28=2,CM28*0.1,0)))))))))))))))))))))))))))))</f>
        <v>0</v>
      </c>
      <c r="CO28" s="660">
        <f t="shared" si="47"/>
        <v>0</v>
      </c>
      <c r="CP28" s="475" t="str">
        <f t="shared" si="48"/>
        <v/>
      </c>
      <c r="CQ28" s="161" t="str">
        <f>IF(AH28=0,0,IF(AU28=5,0,Summary!AC31))</f>
        <v/>
      </c>
      <c r="CR28" s="161" t="str">
        <f>IF(BF28=0.5,0,IF(AU28=5,0,Summary!AD31))</f>
        <v/>
      </c>
      <c r="CS28" s="161" t="str">
        <f>IF(AU28=5,0,Summary!AE31)</f>
        <v/>
      </c>
      <c r="CT28" s="161">
        <f t="shared" si="49"/>
        <v>0</v>
      </c>
      <c r="CU28" s="475" t="str">
        <f t="shared" si="7"/>
        <v/>
      </c>
      <c r="CV28" s="307">
        <f>IF('Data Entry'!$C$74=0,0,IF(AA28&lt;1,0,IF(ISERROR(CU28),0,IF(CF28=1,0,IF(AND(R28=12,BR28=50),0,IF(CL28+BO28+BV28+DC28=0,0,IF(BC28=37,0,IF(AND(BC28=40,AJ28=0),0,IF(AND(BC28=37,BO28&gt;0.01,BQ28&gt;0.01),ROUND(BQ28,0),IF(CM28&lt;0,0,ROUND(CM28,0)))))))))))</f>
        <v>0</v>
      </c>
      <c r="CW28" s="700">
        <f t="shared" si="50"/>
        <v>0</v>
      </c>
      <c r="CX28" s="477">
        <f>IF('Data Entry'!$C$74=0,0,IF(CV28&lt;0.01,0,IF(BF28=0.5,0,IF(CF28=1,0,IF(ISNUMBER(SEARCH("false",CL28)),0,IF(AZ28=500,0,CL28))))))</f>
        <v>0</v>
      </c>
      <c r="CY28" s="147" t="e">
        <f t="shared" si="51"/>
        <v>#VALUE!</v>
      </c>
      <c r="CZ28" s="147" t="b">
        <f>IF(CN28+CL28=0,FALSE,IF(AH28=0,0,IF(AND('Data Entry'!$C$74=1,CR28&gt;=1),TRUE,IF(AND('Data Entry'!$C$74=2,CS28&gt;=1),TRUE,FALSE))))</f>
        <v>0</v>
      </c>
      <c r="DA28" s="1751">
        <f>IF('Data Entry'!$C$74=0,0,IFERROR(ROUND(IF(T28="","",IF($X$4=0,0,IF(CF28=1,0,IF(BQ28+CV28=0,0,IF(CF28=1,0,IF(CY28&gt;0.01,CY28,IF(CL28&gt;0.01,CL28,IF(CY28&gt;0.01,CY28,IF(BC28=37,BO28,IF(CZ28=FALSE,0,IF(CZ28=TRUE,DC28+DF28,0))))))))))),2),""))</f>
        <v>0</v>
      </c>
      <c r="DB28" s="1752"/>
      <c r="DC28" s="474">
        <f>IF(CN28&lt;0.01,0,IF(AND(BR28=3,CN28&gt;0.01,CT28&gt;0.6,ER28+ES28+ET28&lt;100),0,IF(AND('Data Entry'!$C$74=1,CN28&gt;0.01,CR28&gt;0.99),MIN(CN28:CO28),IF(AND('Data Entry'!$C$74=2,CN28&gt;0.01,CS28&gt;0.99),MIN(CN28:CO28),0))))</f>
        <v>0</v>
      </c>
      <c r="DD28" s="478">
        <f>IF(CF28=1,"Selection does not match",IF(T28=0,0,IF(AND('Data Entry'!$C$74=0,CP28&gt;1),"Select Oregon or Idaho on Data Entry Tab",IF(AND(AU28=1,AA28&gt;0.9),"Missing Interior or Exterior Selection",IF($X$4=0,"Enter Total Project Cost",IF(AQ28&lt;AR28,"Insufficient kWh savings – no incentive",IF(AND(SUM(CL28+CK28+BV28)&gt;0.01,'Data Entry'!$C$74=2,CJ28&gt;1,BO28=0),"Submit Control as Non-Standard",IF(AND('Data Entry'!$C$74=2,BR28=37,CJ28&gt;1,BO28=0),"Submit Control as Non-Standard",IF(SUM(CL28+CK28+BV28)&gt;0.01,"Standard Incentive",IF(AND('Data Entry'!$C$74=2,CP28=7,CN28=0),"Submit as Non-Standard",IF(DC28&gt;0.9,"Non-Standard Incentive",IF(AND(BY28+BZ28+CA28&gt;0.01,BV28=0,EQ28=0,ER28=0,ES28=0,ET28=0),"Scroll Right &amp; Select Control Strategies",IF(AND(CN28&gt;0.01,CO28=0),"Enter Unit Installed Cost",IF(ISNUMBER(SEARCH("Lighting Controls Only",F28)),"Lighting Controls Only",IF(CL28+DC28=0,"Does not meet incentive criteria",0)))))))))))))))</f>
        <v>0</v>
      </c>
      <c r="DE28" s="337">
        <f t="shared" si="52"/>
        <v>0</v>
      </c>
      <c r="DF28" s="609">
        <f t="shared" si="53"/>
        <v>0</v>
      </c>
      <c r="DG28" s="336" t="str">
        <f t="shared" si="54"/>
        <v/>
      </c>
      <c r="DH28" s="338">
        <f t="shared" si="55"/>
        <v>1</v>
      </c>
      <c r="DI28" s="336" t="e">
        <f t="shared" si="8"/>
        <v>#VALUE!</v>
      </c>
      <c r="DJ28" s="338">
        <f t="shared" si="9"/>
        <v>0</v>
      </c>
      <c r="DK28" s="325" t="s">
        <v>1089</v>
      </c>
      <c r="DL28" s="324">
        <v>148</v>
      </c>
      <c r="DM28" s="325" t="s">
        <v>1290</v>
      </c>
      <c r="DN28" s="1439">
        <v>4</v>
      </c>
      <c r="DO28" s="1436" t="s">
        <v>1864</v>
      </c>
      <c r="DP28" s="332"/>
      <c r="DQ28" s="1615" t="s">
        <v>455</v>
      </c>
      <c r="DR28" s="1332"/>
      <c r="DS28" s="1434">
        <f t="shared" si="56"/>
        <v>0</v>
      </c>
      <c r="DT28" s="344" t="b">
        <f t="shared" si="57"/>
        <v>1</v>
      </c>
      <c r="DU28" s="1314" t="str">
        <f t="array" ref="DU28">IF(OR(COUNTIF(F28,"*"&amp;$DK$9:$DK$178&amp;"*")), "Yes", "")</f>
        <v/>
      </c>
      <c r="DV28" s="1314">
        <f t="shared" si="58"/>
        <v>0</v>
      </c>
      <c r="DW28" s="1480">
        <f t="shared" si="59"/>
        <v>0</v>
      </c>
      <c r="DX28" s="1498">
        <f t="shared" si="71"/>
        <v>0</v>
      </c>
      <c r="DY28" s="1484">
        <f t="shared" si="60"/>
        <v>0</v>
      </c>
      <c r="DZ28" s="1481" t="str">
        <f>Lists!A80</f>
        <v xml:space="preserve">U:  </v>
      </c>
      <c r="EA28" s="881">
        <f>'Product Type'!E30</f>
        <v>0</v>
      </c>
      <c r="EB28" s="1499" t="s">
        <v>137</v>
      </c>
      <c r="EC28" s="727" t="s">
        <v>1568</v>
      </c>
      <c r="ED28" s="728">
        <v>0.5</v>
      </c>
      <c r="EE28" s="1215"/>
      <c r="EF28" s="1215"/>
      <c r="EG28" s="1184" t="str">
        <f t="shared" si="61"/>
        <v/>
      </c>
      <c r="EH28" s="5"/>
      <c r="EI28" s="55"/>
      <c r="EJ28" s="1185">
        <f t="shared" si="10"/>
        <v>0</v>
      </c>
      <c r="EK28" s="1211"/>
      <c r="EL28" s="1180">
        <f t="shared" si="72"/>
        <v>0</v>
      </c>
      <c r="EM28" s="206"/>
      <c r="EN28" s="1038"/>
      <c r="EO28" s="1038"/>
      <c r="EP28" s="1038"/>
      <c r="EQ28" s="1038">
        <f t="shared" si="62"/>
        <v>0</v>
      </c>
      <c r="ER28" s="1041">
        <f t="shared" si="75"/>
        <v>0</v>
      </c>
      <c r="ES28" s="1042">
        <f t="shared" si="63"/>
        <v>0</v>
      </c>
      <c r="ET28" s="1042">
        <f t="shared" si="73"/>
        <v>0</v>
      </c>
      <c r="EU28" s="1021">
        <f t="shared" si="74"/>
        <v>0</v>
      </c>
      <c r="EV28" s="368"/>
      <c r="EW28" s="368"/>
      <c r="EX28" s="369"/>
      <c r="EY28" s="370"/>
      <c r="EZ28" s="370"/>
      <c r="FA28" s="371"/>
      <c r="FB28" s="372"/>
    </row>
    <row r="29" spans="1:158" ht="34.5" customHeight="1">
      <c r="A29" s="82">
        <v>21</v>
      </c>
      <c r="B29" s="1725"/>
      <c r="C29" s="1726"/>
      <c r="D29" s="1726"/>
      <c r="E29" s="1727"/>
      <c r="F29" s="1732"/>
      <c r="G29" s="1733"/>
      <c r="H29" s="1733"/>
      <c r="I29" s="1734"/>
      <c r="J29" s="1341"/>
      <c r="K29" s="1728"/>
      <c r="L29" s="1728"/>
      <c r="M29" s="1342"/>
      <c r="N29" s="1583"/>
      <c r="O29" s="208" t="str">
        <f t="shared" si="11"/>
        <v/>
      </c>
      <c r="P29" s="1344"/>
      <c r="Q29" s="39" t="str">
        <f t="shared" si="0"/>
        <v/>
      </c>
      <c r="R29" s="39">
        <f t="shared" si="12"/>
        <v>0</v>
      </c>
      <c r="S29" s="234">
        <f t="shared" si="13"/>
        <v>0</v>
      </c>
      <c r="T29" s="1755"/>
      <c r="U29" s="1755"/>
      <c r="V29" s="1755"/>
      <c r="W29" s="1345"/>
      <c r="X29" s="1757"/>
      <c r="Y29" s="1742"/>
      <c r="Z29" s="1346"/>
      <c r="AA29" s="1343"/>
      <c r="AB29" s="1141"/>
      <c r="AC29" s="1103" t="str">
        <f>IF(T29="","",VLOOKUP(Z29,Lists!$A$60:$B$111,2,FALSE))</f>
        <v/>
      </c>
      <c r="AD29" s="130" t="str">
        <f t="shared" si="14"/>
        <v/>
      </c>
      <c r="AE29" s="130" t="e">
        <f t="shared" si="15"/>
        <v>#VALUE!</v>
      </c>
      <c r="AF29" s="130">
        <f t="shared" si="16"/>
        <v>1</v>
      </c>
      <c r="AG29" s="234">
        <f t="shared" si="1"/>
        <v>0</v>
      </c>
      <c r="AH29" s="1753" t="str">
        <f>IF(T29="","",(IF(ISNUMBER(SEARCH("exit",T29)),8760,IF(AND(M29="Dusk to Dawn",'Proposed Lighting'!AU29=3),4059,IF(AND(AU29=3,M29="1"),0,IF(AND(AU29=3,M29="1-C"),0,IF(AND(AU29=3,M29="2"),0,IF(AND(AU29=3,M29="2-C"),0,IF(AND(AU29=3,M29="3"),0,IF(AND(AU29=3,M29="3-C"),0,IF(AND(AU29=2,M29="Dusk to Dawn"),0,IF(AND(AU29=2,M29="Dusk to Dawn-C"),0,IF(AND(AU29=2,M29="Dusk to Dawn"),0,IF(AND(AU29=2,M29="E"),0,IF(AND(AU29=2,M29="E-C"),0,EG29)))))))))))))))</f>
        <v/>
      </c>
      <c r="AI29" s="1754"/>
      <c r="AJ29" s="1136"/>
      <c r="AK29" s="1136"/>
      <c r="AL29" s="1748">
        <f t="shared" si="64"/>
        <v>0</v>
      </c>
      <c r="AM29" s="1749"/>
      <c r="AN29" s="1750"/>
      <c r="AO29" s="476">
        <f t="shared" si="2"/>
        <v>0</v>
      </c>
      <c r="AP29" s="476">
        <f t="shared" si="17"/>
        <v>0</v>
      </c>
      <c r="AQ29" s="475">
        <f t="shared" si="3"/>
        <v>0</v>
      </c>
      <c r="AR29" s="475">
        <f t="shared" si="18"/>
        <v>0</v>
      </c>
      <c r="AS29" s="743" t="str">
        <f t="shared" si="19"/>
        <v/>
      </c>
      <c r="AT29" s="736" t="str">
        <f t="shared" si="20"/>
        <v/>
      </c>
      <c r="AU29" s="56">
        <f t="shared" si="21"/>
        <v>1</v>
      </c>
      <c r="AV29" s="476">
        <f t="shared" si="22"/>
        <v>0</v>
      </c>
      <c r="AW29" s="56">
        <f t="shared" si="23"/>
        <v>0</v>
      </c>
      <c r="AX29" s="475">
        <f t="shared" si="65"/>
        <v>0</v>
      </c>
      <c r="AY29" s="1169">
        <f t="shared" si="66"/>
        <v>0</v>
      </c>
      <c r="AZ29" s="1150">
        <f t="shared" si="67"/>
        <v>0</v>
      </c>
      <c r="BA29" s="56">
        <f t="shared" si="68"/>
        <v>0</v>
      </c>
      <c r="BB29" s="420">
        <f t="shared" si="4"/>
        <v>0</v>
      </c>
      <c r="BC29" s="58" t="str">
        <f t="shared" si="5"/>
        <v/>
      </c>
      <c r="BD29" s="660">
        <f t="shared" si="69"/>
        <v>0</v>
      </c>
      <c r="BE29" s="57" t="e">
        <f t="array" ref="BE29">INDEX($EB$11:$ED$1022,MATCH(F29&amp;T29,$EB$11:$EB$1007&amp;$EC$11:$EC$1007,0),3)</f>
        <v>#N/A</v>
      </c>
      <c r="BF29" s="463">
        <f t="shared" si="24"/>
        <v>0</v>
      </c>
      <c r="BG29" s="1445" t="e">
        <f t="array" ref="BG29">INDEX($DO$112:$DQ$123,MATCH(T29&amp;W29,$DO$114:$DO$125&amp;$DP$112:$DP$123,0),3)</f>
        <v>#N/A</v>
      </c>
      <c r="BH29" s="1446">
        <f t="shared" si="25"/>
        <v>0</v>
      </c>
      <c r="BI29" s="465">
        <f t="shared" si="26"/>
        <v>0</v>
      </c>
      <c r="BJ29" s="465">
        <f t="shared" si="27"/>
        <v>0</v>
      </c>
      <c r="BK29" s="466">
        <f t="shared" si="28"/>
        <v>0</v>
      </c>
      <c r="BL29" s="466">
        <f t="shared" si="29"/>
        <v>0</v>
      </c>
      <c r="BM29" s="466">
        <f t="shared" si="30"/>
        <v>0</v>
      </c>
      <c r="BN29" s="466">
        <f t="shared" si="31"/>
        <v>0</v>
      </c>
      <c r="BO29" s="463">
        <f>IF('Data Entry'!$C$74=0,0,IF(ISNA(CJ29),0,IF(AX29=0,0,IF(AND('Data Entry'!$C$74=2,AF29&gt;2,CE29&lt;1),0,IF(AND('Data Entry'!$C$74=2,AF29&gt;1,AU29=2,CJ29&gt;1),0,IF(AND(AF29=5,CT29=0.5,AU29=2,ER29&lt;100),0,IF(AND(AF29=5,CT29=0.5,AU29=3,ER29&lt;100),0,IF(AND('Data Entry'!$C$74=2,AF29=2,AU29=2,AK29&gt;0.01,CB29=2,CE29&lt;1),0,IF(AND('Data Entry'!$C$74=2,AF29=3,AU29=3,AK29&gt;0.01,CB29=3,CE29&lt;1),0,IF(AND('Data Entry'!$C$74=2,AF29=3,AU29=3,AK29&gt;0.01,CB29=3,CE29&gt;0.99),BQ29*0.08,IF(AND('Data Entry'!$C$74=2,AF29=2,AU29=2,AK29&gt;0.01,CB29=2,CE29&gt;0.99),BQ29*0.1,IF(AND(AU29=2,AK29&gt;0.01,CB29=2,CD29&gt;1),BQ29*0.1,IF(AND(AU29=3,AK29&gt;0.01,CB29=3,CD29&gt;1),BQ29*0.08,CJ29*EF29)))))))))))))</f>
        <v>0</v>
      </c>
      <c r="BP29" s="475">
        <f t="shared" si="32"/>
        <v>0</v>
      </c>
      <c r="BQ29" s="1431">
        <f>IF(AU29=1,0,IF(CH29=100,0,IF(AND(AF29=3,AU29=2),0,IF(AND(BH29=0,CT29&gt;0.4),0,IF(AND('Data Entry'!$C$74=2,AF29=1.5),0,IF(AND('Data Entry'!$C$74=2,AF29=1.6),0,IF(AND('Data Entry'!$C$74=2,AF29=4),0,IF(AND('Data Entry'!$C$74=2,AF29=5),0,IF(AND('Data Entry'!$C$74=2,AF29=2.5,CE29&lt;1),0,IF(AND('Data Entry'!$C$74=2,AF29=3,CE29&lt;1),0,IF(AND('Data Entry'!$C$74=1,AF29=2.5,CD29&lt;1),0,IF(AND('Data Entry'!$C$74=1,AF29=3,CD29&lt;1),0,IF(DX29&gt;0.01,DX29,IF(ISERROR(AX29-AY29),"",ROUND(AX29-AY29,2)))))))))))))))</f>
        <v>0</v>
      </c>
      <c r="BR29" s="146">
        <f t="shared" si="33"/>
        <v>0</v>
      </c>
      <c r="BS29" s="475">
        <f t="shared" si="34"/>
        <v>0</v>
      </c>
      <c r="BT29" s="146" t="b">
        <f t="shared" si="35"/>
        <v>0</v>
      </c>
      <c r="BU29" s="463">
        <f>IF(ISNA(AT29),0,IF(AND('Data Entry'!$C$74=2,BC29=27),0,IF(AND('Data Entry'!$C$74=2,BC29=28),0,IF(AND(BC29=27,BT29=27,CM29&gt;0.1),CM29*0.15,IF(AND(BC29=28,BT29=28,CM29&gt;0.1),CM29*0.12,0)))))</f>
        <v>0</v>
      </c>
      <c r="BV29" s="463">
        <f t="shared" si="78"/>
        <v>0</v>
      </c>
      <c r="BW29" s="463">
        <f t="shared" si="37"/>
        <v>0</v>
      </c>
      <c r="BX29" s="463">
        <f t="shared" si="38"/>
        <v>0</v>
      </c>
      <c r="BY29" s="463">
        <f t="shared" si="39"/>
        <v>0</v>
      </c>
      <c r="BZ29" s="463">
        <f t="shared" si="40"/>
        <v>0</v>
      </c>
      <c r="CA29" s="57">
        <f t="shared" si="70"/>
        <v>0</v>
      </c>
      <c r="CB29" s="56">
        <f t="shared" si="41"/>
        <v>1</v>
      </c>
      <c r="CC29" s="756">
        <f>IF(EE29=0,0,IF(EF29=0,0,IF(EE29&gt;AA29,0,IF(AND(AZ29&gt;AW29,AW29&gt;0),0,IF(CU29=0,0,Summary!AC332)))))</f>
        <v>0</v>
      </c>
      <c r="CD29" s="756">
        <f>IF(EE29=0,0,IF(EF29=0,0,IF(EE29&gt;AA29,0,IF(AND(AZ29&gt;AW29,AW29&gt;0),0,IF(CU29=0,0,Summary!AD332)))))</f>
        <v>0</v>
      </c>
      <c r="CE29" s="756">
        <f>IF(EF29=0,0,IF(EE29&gt;AA29,0,IF(CC29=0,0,IF(AND(AZ29&gt;AW29,AW29&gt;0),0,IF(CU29=0,0,Summary!AE332)))))</f>
        <v>0</v>
      </c>
      <c r="CF29" s="475">
        <f t="shared" si="42"/>
        <v>0</v>
      </c>
      <c r="CG29" s="476">
        <f t="shared" si="6"/>
        <v>0</v>
      </c>
      <c r="CH29" s="487">
        <f t="shared" si="43"/>
        <v>0</v>
      </c>
      <c r="CI29" s="756">
        <f t="shared" si="44"/>
        <v>0</v>
      </c>
      <c r="CJ29" s="487">
        <f>IF(CT29&gt;0.4,0,IF(AND(AU29=2,CH29=0,CT29=0.5,ER29=100),35,IF(AND(AU29=3,BB29&gt;75,CH29=0,CT29=0.5,ER29=100),25,IF(CB29&gt;1,0,IF(EF29&gt;EE29,0,IF(AND(AF29&gt;1,CH29=100),0,IF(AND(AF29=1,AY29=0),0,IF(AND(EF29&lt;=EE29,AW29&gt;=AZ29,'Data Entry'!$C$74=1,AU29=2),VLOOKUP(W29,$DO$96:$DP$102,2,FALSE),IF(AND(EF29&lt;=EE29,AW29&gt;=AZ29,AU29=3,'Data Entry'!$C$74=1),VLOOKUP(W29,$DO$127:$DP$134,2,FALSE))))))))))</f>
        <v>0</v>
      </c>
      <c r="CK29" s="716">
        <f t="shared" si="45"/>
        <v>0</v>
      </c>
      <c r="CL29" s="57">
        <f t="shared" si="46"/>
        <v>0</v>
      </c>
      <c r="CM29" s="475">
        <f t="shared" si="77"/>
        <v>0</v>
      </c>
      <c r="CN29" s="660">
        <f>IF(CM29&lt;0.1,0,IF(ISNA(AT29),0,IF(CL29+BC29=1,0,IF(BV29&gt;0.01,0,IF(CL29&gt;0.01,0,IF(CF29=1,0,IF(BC29=0.5,0,IF(AND(CI29=1,AU29=3),0,IF(AND(CI29=5,CL29=0),0,IF(AND(R29=12,BR29=50),0,IF(CK29&gt;0.01,0,IF(AND(AJ29&gt;0.01,AU29=2,BC29=15),CM29*0.1,IF(AND(AJ29&gt;0.01,AU29=3,BC29=15),CM29*0.08,IF(AND(R29=12,BC29=3,AF29&lt;=0),0,IF(AND(BC29=15,BI29=0),0,IF(AND(BC29=15,BJ29=0),0,IF(AND(R29=20,CU29=0),0,IF($X$4=0,0,IF(AND(BC29=250,CL29=0),0,IF(AA29&lt;1,0,IF(AND(ISNUMBER(SEARCH("Area",T29)),AU29=3),0,IF(AND(AQ29&gt;0.01,AR29=0,BK29=0,BL29=0,BM29=0,BN29=0),0,IF(AND(AU29=3,CI29=7,CT29&gt;0.5),0,IF(AND(BC29=44,AU29=3,BY29=0),0,IF(AND(BC29=27,'Data Entry'!$C$74=2),0,IF(AND(BC29=28,'Data Entry'!$C$74=2),0,IF(AND(BY29+BZ29+CA29&gt;0.01,BV29=0,EQ29+ER29+ES29+ET29&lt;100),0,IF(AU29=3,CM29*0.08,IF(AU29=2,CM29*0.1,0)))))))))))))))))))))))))))))</f>
        <v>0</v>
      </c>
      <c r="CO29" s="660">
        <f t="shared" si="47"/>
        <v>0</v>
      </c>
      <c r="CP29" s="475" t="str">
        <f t="shared" si="48"/>
        <v/>
      </c>
      <c r="CQ29" s="161" t="str">
        <f>IF(AH29=0,0,IF(AU29=5,0,Summary!AC32))</f>
        <v/>
      </c>
      <c r="CR29" s="161" t="str">
        <f>IF(BF29=0.5,0,IF(AU29=5,0,Summary!AD32))</f>
        <v/>
      </c>
      <c r="CS29" s="161" t="str">
        <f>IF(AU29=5,0,Summary!AE32)</f>
        <v/>
      </c>
      <c r="CT29" s="161">
        <f t="shared" si="49"/>
        <v>0</v>
      </c>
      <c r="CU29" s="475" t="str">
        <f t="shared" si="7"/>
        <v/>
      </c>
      <c r="CV29" s="307">
        <f>IF('Data Entry'!$C$74=0,0,IF(AA29&lt;1,0,IF(ISERROR(CU29),0,IF(CF29=1,0,IF(AND(R29=12,BR29=50),0,IF(CL29+BO29+BV29+DC29=0,0,IF(BC29=37,0,IF(AND(BC29=40,AJ29=0),0,IF(AND(BC29=37,BO29&gt;0.01,BQ29&gt;0.01),ROUND(BQ29,0),IF(CM29&lt;0,0,ROUND(CM29,0)))))))))))</f>
        <v>0</v>
      </c>
      <c r="CW29" s="700">
        <f t="shared" si="50"/>
        <v>0</v>
      </c>
      <c r="CX29" s="477">
        <f>IF('Data Entry'!$C$74=0,0,IF(CV29&lt;0.01,0,IF(BF29=0.5,0,IF(CF29=1,0,IF(ISNUMBER(SEARCH("false",CL29)),0,IF(AZ29=500,0,CL29))))))</f>
        <v>0</v>
      </c>
      <c r="CY29" s="147" t="e">
        <f t="shared" si="51"/>
        <v>#VALUE!</v>
      </c>
      <c r="CZ29" s="147" t="b">
        <f>IF(CN29+CL29=0,FALSE,IF(AH29=0,0,IF(AND('Data Entry'!$C$74=1,CR29&gt;=1),TRUE,IF(AND('Data Entry'!$C$74=2,CS29&gt;=1),TRUE,FALSE))))</f>
        <v>0</v>
      </c>
      <c r="DA29" s="1751">
        <f>IF('Data Entry'!$C$74=0,0,IFERROR(ROUND(IF(T29="","",IF($X$4=0,0,IF(CF29=1,0,IF(BQ29+CV29=0,0,IF(CF29=1,0,IF(CY29&gt;0.01,CY29,IF(CL29&gt;0.01,CL29,IF(CY29&gt;0.01,CY29,IF(BC29=37,BO29,IF(CZ29=FALSE,0,IF(CZ29=TRUE,DC29+DF29,0))))))))))),2),""))</f>
        <v>0</v>
      </c>
      <c r="DB29" s="1752"/>
      <c r="DC29" s="474">
        <f>IF(CN29&lt;0.01,0,IF(AND(BR29=3,CN29&gt;0.01,CT29&gt;0.6,ER29+ES29+ET29&lt;100),0,IF(AND('Data Entry'!$C$74=1,CN29&gt;0.01,CR29&gt;0.99),MIN(CN29:CO29),IF(AND('Data Entry'!$C$74=2,CN29&gt;0.01,CS29&gt;0.99),MIN(CN29:CO29),0))))</f>
        <v>0</v>
      </c>
      <c r="DD29" s="478">
        <f>IF(CF29=1,"Selection does not match",IF(T29=0,0,IF(AND('Data Entry'!$C$74=0,CP29&gt;1),"Select Oregon or Idaho on Data Entry Tab",IF(AND(AU29=1,AA29&gt;0.9),"Missing Interior or Exterior Selection",IF($X$4=0,"Enter Total Project Cost",IF(AQ29&lt;AR29,"Insufficient kWh savings – no incentive",IF(AND(SUM(CL29+CK29+BV29)&gt;0.01,'Data Entry'!$C$74=2,CJ29&gt;1,BO29=0),"Submit Control as Non-Standard",IF(AND('Data Entry'!$C$74=2,BR29=37,CJ29&gt;1,BO29=0),"Submit Control as Non-Standard",IF(SUM(CL29+CK29+BV29)&gt;0.01,"Standard Incentive",IF(AND('Data Entry'!$C$74=2,CP29=7,CN29=0),"Submit as Non-Standard",IF(DC29&gt;0.9,"Non-Standard Incentive",IF(AND(BY29+BZ29+CA29&gt;0.01,BV29=0,EQ29=0,ER29=0,ES29=0,ET29=0),"Scroll Right &amp; Select Control Strategies",IF(AND(CN29&gt;0.01,CO29=0),"Enter Unit Installed Cost",IF(ISNUMBER(SEARCH("Lighting Controls Only",F29)),"Lighting Controls Only",IF(CL29+DC29=0,"Does not meet incentive criteria",0)))))))))))))))</f>
        <v>0</v>
      </c>
      <c r="DE29" s="337">
        <f t="shared" si="52"/>
        <v>0</v>
      </c>
      <c r="DF29" s="609">
        <f t="shared" si="53"/>
        <v>0</v>
      </c>
      <c r="DG29" s="336" t="str">
        <f t="shared" si="54"/>
        <v/>
      </c>
      <c r="DH29" s="338">
        <f t="shared" si="55"/>
        <v>1</v>
      </c>
      <c r="DI29" s="336" t="e">
        <f t="shared" si="8"/>
        <v>#VALUE!</v>
      </c>
      <c r="DJ29" s="338">
        <f t="shared" si="9"/>
        <v>0</v>
      </c>
      <c r="DK29" s="325" t="s">
        <v>315</v>
      </c>
      <c r="DL29" s="324">
        <v>169</v>
      </c>
      <c r="DM29" s="325" t="s">
        <v>1291</v>
      </c>
      <c r="DN29" s="1439">
        <v>8</v>
      </c>
      <c r="DO29" s="1444" t="s">
        <v>1572</v>
      </c>
      <c r="DP29" s="332"/>
      <c r="DQ29" s="1615" t="s">
        <v>1760</v>
      </c>
      <c r="DR29" s="1332"/>
      <c r="DS29" s="1434">
        <f t="shared" si="56"/>
        <v>0</v>
      </c>
      <c r="DT29" s="344" t="b">
        <f t="shared" si="57"/>
        <v>1</v>
      </c>
      <c r="DU29" s="1314" t="str">
        <f t="array" ref="DU29">IF(OR(COUNTIF(F29,"*"&amp;$DK$9:$DK$178&amp;"*")), "Yes", "")</f>
        <v/>
      </c>
      <c r="DV29" s="1314">
        <f t="shared" si="58"/>
        <v>0</v>
      </c>
      <c r="DW29" s="1480">
        <f t="shared" si="59"/>
        <v>0</v>
      </c>
      <c r="DX29" s="1498">
        <f t="shared" si="71"/>
        <v>0</v>
      </c>
      <c r="DY29" s="1484">
        <f t="shared" si="60"/>
        <v>0</v>
      </c>
      <c r="DZ29" s="1481" t="str">
        <f>Lists!A81</f>
        <v xml:space="preserve">V:  </v>
      </c>
      <c r="EA29" s="881">
        <f>'Product Type'!E31</f>
        <v>0</v>
      </c>
      <c r="EB29" s="1499" t="s">
        <v>138</v>
      </c>
      <c r="EC29" s="727" t="s">
        <v>1568</v>
      </c>
      <c r="ED29" s="728">
        <v>0.5</v>
      </c>
      <c r="EE29" s="1215"/>
      <c r="EF29" s="1215"/>
      <c r="EG29" s="1184" t="str">
        <f t="shared" si="61"/>
        <v/>
      </c>
      <c r="EH29" s="5"/>
      <c r="EI29" s="55"/>
      <c r="EJ29" s="1185">
        <f t="shared" si="10"/>
        <v>0</v>
      </c>
      <c r="EK29" s="1211"/>
      <c r="EL29" s="1180">
        <f t="shared" si="72"/>
        <v>0</v>
      </c>
      <c r="EM29" s="206"/>
      <c r="EN29" s="1038"/>
      <c r="EO29" s="1038"/>
      <c r="EP29" s="1038"/>
      <c r="EQ29" s="1038">
        <f t="shared" si="62"/>
        <v>0</v>
      </c>
      <c r="ER29" s="1041">
        <f t="shared" si="75"/>
        <v>0</v>
      </c>
      <c r="ES29" s="1042">
        <f t="shared" si="63"/>
        <v>0</v>
      </c>
      <c r="ET29" s="1042">
        <f t="shared" si="73"/>
        <v>0</v>
      </c>
      <c r="EU29" s="1021">
        <f t="shared" si="74"/>
        <v>0</v>
      </c>
      <c r="EV29" s="368"/>
      <c r="EW29" s="368"/>
      <c r="EX29" s="369"/>
      <c r="EY29" s="370"/>
      <c r="EZ29" s="370"/>
      <c r="FA29" s="371"/>
      <c r="FB29" s="372"/>
    </row>
    <row r="30" spans="1:158" ht="34.5" customHeight="1">
      <c r="A30" s="82">
        <v>22</v>
      </c>
      <c r="B30" s="1725"/>
      <c r="C30" s="1726"/>
      <c r="D30" s="1726"/>
      <c r="E30" s="1727"/>
      <c r="F30" s="1732"/>
      <c r="G30" s="1733"/>
      <c r="H30" s="1733"/>
      <c r="I30" s="1734"/>
      <c r="J30" s="1341"/>
      <c r="K30" s="1728"/>
      <c r="L30" s="1728"/>
      <c r="M30" s="1342"/>
      <c r="N30" s="1583"/>
      <c r="O30" s="208" t="str">
        <f t="shared" si="11"/>
        <v/>
      </c>
      <c r="P30" s="1344"/>
      <c r="Q30" s="39" t="str">
        <f t="shared" si="0"/>
        <v/>
      </c>
      <c r="R30" s="39">
        <f t="shared" si="12"/>
        <v>0</v>
      </c>
      <c r="S30" s="234">
        <f t="shared" si="13"/>
        <v>0</v>
      </c>
      <c r="T30" s="1755"/>
      <c r="U30" s="1755"/>
      <c r="V30" s="1755"/>
      <c r="W30" s="1345"/>
      <c r="X30" s="1757"/>
      <c r="Y30" s="1742"/>
      <c r="Z30" s="1346"/>
      <c r="AA30" s="1343"/>
      <c r="AB30" s="1141"/>
      <c r="AC30" s="1103" t="str">
        <f>IF(T30="","",VLOOKUP(Z30,Lists!$A$60:$B$111,2,FALSE))</f>
        <v/>
      </c>
      <c r="AD30" s="130" t="str">
        <f t="shared" si="14"/>
        <v/>
      </c>
      <c r="AE30" s="130" t="e">
        <f t="shared" si="15"/>
        <v>#VALUE!</v>
      </c>
      <c r="AF30" s="130">
        <f t="shared" si="16"/>
        <v>1</v>
      </c>
      <c r="AG30" s="234">
        <f t="shared" si="1"/>
        <v>0</v>
      </c>
      <c r="AH30" s="1753" t="str">
        <f>IF(T30="","",(IF(ISNUMBER(SEARCH("exit",T30)),8760,IF(AND(M30="Dusk to Dawn",'Proposed Lighting'!AU30=3),4059,IF(AND(AU30=3,M30="1"),0,IF(AND(AU30=3,M30="1-C"),0,IF(AND(AU30=3,M30="2"),0,IF(AND(AU30=3,M30="2-C"),0,IF(AND(AU30=3,M30="3"),0,IF(AND(AU30=3,M30="3-C"),0,IF(AND(AU30=2,M30="Dusk to Dawn"),0,IF(AND(AU30=2,M30="Dusk to Dawn-C"),0,IF(AND(AU30=2,M30="Dusk to Dawn"),0,IF(AND(AU30=2,M30="E"),0,IF(AND(AU30=2,M30="E-C"),0,EG30)))))))))))))))</f>
        <v/>
      </c>
      <c r="AI30" s="1754"/>
      <c r="AJ30" s="1136"/>
      <c r="AK30" s="1136"/>
      <c r="AL30" s="1748">
        <f t="shared" si="64"/>
        <v>0</v>
      </c>
      <c r="AM30" s="1749"/>
      <c r="AN30" s="1750"/>
      <c r="AO30" s="476">
        <f t="shared" si="2"/>
        <v>0</v>
      </c>
      <c r="AP30" s="476">
        <f t="shared" si="17"/>
        <v>0</v>
      </c>
      <c r="AQ30" s="475">
        <f t="shared" si="3"/>
        <v>0</v>
      </c>
      <c r="AR30" s="475">
        <f t="shared" si="18"/>
        <v>0</v>
      </c>
      <c r="AS30" s="743" t="str">
        <f t="shared" si="19"/>
        <v/>
      </c>
      <c r="AT30" s="736" t="str">
        <f t="shared" si="20"/>
        <v/>
      </c>
      <c r="AU30" s="56">
        <f t="shared" si="21"/>
        <v>1</v>
      </c>
      <c r="AV30" s="476">
        <f t="shared" si="22"/>
        <v>0</v>
      </c>
      <c r="AW30" s="56">
        <f t="shared" si="23"/>
        <v>0</v>
      </c>
      <c r="AX30" s="475">
        <f t="shared" si="65"/>
        <v>0</v>
      </c>
      <c r="AY30" s="1169">
        <f t="shared" si="66"/>
        <v>0</v>
      </c>
      <c r="AZ30" s="1150">
        <f t="shared" si="67"/>
        <v>0</v>
      </c>
      <c r="BA30" s="56">
        <f t="shared" si="68"/>
        <v>0</v>
      </c>
      <c r="BB30" s="420">
        <f t="shared" si="4"/>
        <v>0</v>
      </c>
      <c r="BC30" s="58" t="str">
        <f t="shared" si="5"/>
        <v/>
      </c>
      <c r="BD30" s="660">
        <f t="shared" si="69"/>
        <v>0</v>
      </c>
      <c r="BE30" s="57" t="e">
        <f t="array" ref="BE30">INDEX($EB$11:$ED$1022,MATCH(F30&amp;T30,$EB$11:$EB$1007&amp;$EC$11:$EC$1007,0),3)</f>
        <v>#N/A</v>
      </c>
      <c r="BF30" s="463">
        <f t="shared" si="24"/>
        <v>0</v>
      </c>
      <c r="BG30" s="1445" t="e">
        <f t="array" ref="BG30">INDEX($DO$112:$DQ$123,MATCH(T30&amp;W30,$DO$114:$DO$125&amp;$DP$112:$DP$123,0),3)</f>
        <v>#N/A</v>
      </c>
      <c r="BH30" s="1446">
        <f t="shared" si="25"/>
        <v>0</v>
      </c>
      <c r="BI30" s="465">
        <f t="shared" si="26"/>
        <v>0</v>
      </c>
      <c r="BJ30" s="465">
        <f t="shared" si="27"/>
        <v>0</v>
      </c>
      <c r="BK30" s="466">
        <f t="shared" si="28"/>
        <v>0</v>
      </c>
      <c r="BL30" s="466">
        <f t="shared" si="29"/>
        <v>0</v>
      </c>
      <c r="BM30" s="466">
        <f t="shared" si="30"/>
        <v>0</v>
      </c>
      <c r="BN30" s="466">
        <f t="shared" si="31"/>
        <v>0</v>
      </c>
      <c r="BO30" s="463">
        <f>IF('Data Entry'!$C$74=0,0,IF(ISNA(CJ30),0,IF(AX30=0,0,IF(AND('Data Entry'!$C$74=2,AF30&gt;2,CE30&lt;1),0,IF(AND('Data Entry'!$C$74=2,AF30&gt;1,AU30=2,CJ30&gt;1),0,IF(AND(AF30=5,CT30=0.5,AU30=2,ER30&lt;100),0,IF(AND(AF30=5,CT30=0.5,AU30=3,ER30&lt;100),0,IF(AND('Data Entry'!$C$74=2,AF30=2,AU30=2,AK30&gt;0.01,CB30=2,CE30&lt;1),0,IF(AND('Data Entry'!$C$74=2,AF30=3,AU30=3,AK30&gt;0.01,CB30=3,CE30&lt;1),0,IF(AND('Data Entry'!$C$74=2,AF30=3,AU30=3,AK30&gt;0.01,CB30=3,CE30&gt;0.99),BQ30*0.08,IF(AND('Data Entry'!$C$74=2,AF30=2,AU30=2,AK30&gt;0.01,CB30=2,CE30&gt;0.99),BQ30*0.1,IF(AND(AU30=2,AK30&gt;0.01,CB30=2,CD30&gt;1),BQ30*0.1,IF(AND(AU30=3,AK30&gt;0.01,CB30=3,CD30&gt;1),BQ30*0.08,CJ30*EF30)))))))))))))</f>
        <v>0</v>
      </c>
      <c r="BP30" s="475">
        <f t="shared" si="32"/>
        <v>0</v>
      </c>
      <c r="BQ30" s="1431">
        <f>IF(AU30=1,0,IF(CH30=100,0,IF(AND(AF30=3,AU30=2),0,IF(AND(BH30=0,CT30&gt;0.4),0,IF(AND('Data Entry'!$C$74=2,AF30=1.5),0,IF(AND('Data Entry'!$C$74=2,AF30=1.6),0,IF(AND('Data Entry'!$C$74=2,AF30=4),0,IF(AND('Data Entry'!$C$74=2,AF30=5),0,IF(AND('Data Entry'!$C$74=2,AF30=2.5,CE30&lt;1),0,IF(AND('Data Entry'!$C$74=2,AF30=3,CE30&lt;1),0,IF(AND('Data Entry'!$C$74=1,AF30=2.5,CD30&lt;1),0,IF(AND('Data Entry'!$C$74=1,AF30=3,CD30&lt;1),0,IF(DX30&gt;0.01,DX30,IF(ISERROR(AX30-AY30),"",ROUND(AX30-AY30,2)))))))))))))))</f>
        <v>0</v>
      </c>
      <c r="BR30" s="146">
        <f t="shared" si="33"/>
        <v>0</v>
      </c>
      <c r="BS30" s="475">
        <f t="shared" si="34"/>
        <v>0</v>
      </c>
      <c r="BT30" s="146" t="b">
        <f t="shared" si="35"/>
        <v>0</v>
      </c>
      <c r="BU30" s="463">
        <f>IF(ISNA(AT30),0,IF(AND('Data Entry'!$C$74=2,BC30=27),0,IF(AND('Data Entry'!$C$74=2,BC30=28),0,IF(AND(BC30=27,BT30=27,CM30&gt;0.1),CM30*0.15,IF(AND(BC30=28,BT30=28,CM30&gt;0.1),CM30*0.12,0)))))</f>
        <v>0</v>
      </c>
      <c r="BV30" s="463">
        <f t="shared" si="78"/>
        <v>0</v>
      </c>
      <c r="BW30" s="463">
        <f t="shared" si="37"/>
        <v>0</v>
      </c>
      <c r="BX30" s="463">
        <f t="shared" si="38"/>
        <v>0</v>
      </c>
      <c r="BY30" s="463">
        <f t="shared" si="39"/>
        <v>0</v>
      </c>
      <c r="BZ30" s="463">
        <f t="shared" si="40"/>
        <v>0</v>
      </c>
      <c r="CA30" s="57">
        <f t="shared" si="70"/>
        <v>0</v>
      </c>
      <c r="CB30" s="56">
        <f t="shared" si="41"/>
        <v>1</v>
      </c>
      <c r="CC30" s="756">
        <f>IF(EE30=0,0,IF(EF30=0,0,IF(EE30&gt;AA30,0,IF(AND(AZ30&gt;AW30,AW30&gt;0),0,IF(CU30=0,0,Summary!AC333)))))</f>
        <v>0</v>
      </c>
      <c r="CD30" s="756">
        <f>IF(EE30=0,0,IF(EF30=0,0,IF(EE30&gt;AA30,0,IF(AND(AZ30&gt;AW30,AW30&gt;0),0,IF(CU30=0,0,Summary!AD333)))))</f>
        <v>0</v>
      </c>
      <c r="CE30" s="756">
        <f>IF(EF30=0,0,IF(EE30&gt;AA30,0,IF(CC30=0,0,IF(AND(AZ30&gt;AW30,AW30&gt;0),0,IF(CU30=0,0,Summary!AE333)))))</f>
        <v>0</v>
      </c>
      <c r="CF30" s="475">
        <f t="shared" si="42"/>
        <v>0</v>
      </c>
      <c r="CG30" s="476">
        <f t="shared" si="6"/>
        <v>0</v>
      </c>
      <c r="CH30" s="487">
        <f t="shared" si="43"/>
        <v>0</v>
      </c>
      <c r="CI30" s="756">
        <f t="shared" si="44"/>
        <v>0</v>
      </c>
      <c r="CJ30" s="487">
        <f>IF(CT30&gt;0.4,0,IF(AND(AU30=2,CH30=0,CT30=0.5,ER30=100),35,IF(AND(AU30=3,BB30&gt;75,CH30=0,CT30=0.5,ER30=100),25,IF(CB30&gt;1,0,IF(EF30&gt;EE30,0,IF(AND(AF30&gt;1,CH30=100),0,IF(AND(AF30=1,AY30=0),0,IF(AND(EF30&lt;=EE30,AW30&gt;=AZ30,'Data Entry'!$C$74=1,AU30=2),VLOOKUP(W30,$DO$96:$DP$102,2,FALSE),IF(AND(EF30&lt;=EE30,AW30&gt;=AZ30,AU30=3,'Data Entry'!$C$74=1),VLOOKUP(W30,$DO$127:$DP$134,2,FALSE))))))))))</f>
        <v>0</v>
      </c>
      <c r="CK30" s="716">
        <f t="shared" si="45"/>
        <v>0</v>
      </c>
      <c r="CL30" s="57">
        <f t="shared" si="46"/>
        <v>0</v>
      </c>
      <c r="CM30" s="475">
        <f t="shared" si="77"/>
        <v>0</v>
      </c>
      <c r="CN30" s="660">
        <f>IF(CM30&lt;0.1,0,IF(ISNA(AT30),0,IF(CL30+BC30=1,0,IF(BV30&gt;0.01,0,IF(CL30&gt;0.01,0,IF(CF30=1,0,IF(BC30=0.5,0,IF(AND(CI30=1,AU30=3),0,IF(AND(CI30=5,CL30=0),0,IF(AND(R30=12,BR30=50),0,IF(CK30&gt;0.01,0,IF(AND(AJ30&gt;0.01,AU30=2,BC30=15),CM30*0.1,IF(AND(AJ30&gt;0.01,AU30=3,BC30=15),CM30*0.08,IF(AND(R30=12,BC30=3,AF30&lt;=0),0,IF(AND(BC30=15,BI30=0),0,IF(AND(BC30=15,BJ30=0),0,IF(AND(R30=20,CU30=0),0,IF($X$4=0,0,IF(AND(BC30=250,CL30=0),0,IF(AA30&lt;1,0,IF(AND(ISNUMBER(SEARCH("Area",T30)),AU30=3),0,IF(AND(AQ30&gt;0.01,AR30=0,BK30=0,BL30=0,BM30=0,BN30=0),0,IF(AND(AU30=3,CI30=7,CT30&gt;0.5),0,IF(AND(BC30=44,AU30=3,BY30=0),0,IF(AND(BC30=27,'Data Entry'!$C$74=2),0,IF(AND(BC30=28,'Data Entry'!$C$74=2),0,IF(AND(BY30+BZ30+CA30&gt;0.01,BV30=0,EQ30+ER30+ES30+ET30&lt;100),0,IF(AU30=3,CM30*0.08,IF(AU30=2,CM30*0.1,0)))))))))))))))))))))))))))))</f>
        <v>0</v>
      </c>
      <c r="CO30" s="660">
        <f t="shared" si="47"/>
        <v>0</v>
      </c>
      <c r="CP30" s="475" t="str">
        <f t="shared" si="48"/>
        <v/>
      </c>
      <c r="CQ30" s="161" t="str">
        <f>IF(AH30=0,0,IF(AU30=5,0,Summary!AC33))</f>
        <v/>
      </c>
      <c r="CR30" s="161" t="str">
        <f>IF(BF30=0.5,0,IF(AU30=5,0,Summary!AD33))</f>
        <v/>
      </c>
      <c r="CS30" s="161" t="str">
        <f>IF(AU30=5,0,Summary!AE33)</f>
        <v/>
      </c>
      <c r="CT30" s="161">
        <f t="shared" si="49"/>
        <v>0</v>
      </c>
      <c r="CU30" s="475" t="str">
        <f t="shared" si="7"/>
        <v/>
      </c>
      <c r="CV30" s="307">
        <f>IF('Data Entry'!$C$74=0,0,IF(AA30&lt;1,0,IF(ISERROR(CU30),0,IF(CF30=1,0,IF(AND(R30=12,BR30=50),0,IF(CL30+BO30+BV30+DC30=0,0,IF(BC30=37,0,IF(AND(BC30=40,AJ30=0),0,IF(AND(BC30=37,BO30&gt;0.01,BQ30&gt;0.01),ROUND(BQ30,0),IF(CM30&lt;0,0,ROUND(CM30,0)))))))))))</f>
        <v>0</v>
      </c>
      <c r="CW30" s="700">
        <f t="shared" si="50"/>
        <v>0</v>
      </c>
      <c r="CX30" s="477">
        <f>IF('Data Entry'!$C$74=0,0,IF(CV30&lt;0.01,0,IF(BF30=0.5,0,IF(CF30=1,0,IF(ISNUMBER(SEARCH("false",CL30)),0,IF(AZ30=500,0,CL30))))))</f>
        <v>0</v>
      </c>
      <c r="CY30" s="147" t="e">
        <f t="shared" si="51"/>
        <v>#VALUE!</v>
      </c>
      <c r="CZ30" s="147" t="b">
        <f>IF(CN30+CL30=0,FALSE,IF(AH30=0,0,IF(AND('Data Entry'!$C$74=1,CR30&gt;=1),TRUE,IF(AND('Data Entry'!$C$74=2,CS30&gt;=1),TRUE,FALSE))))</f>
        <v>0</v>
      </c>
      <c r="DA30" s="1751">
        <f>IF('Data Entry'!$C$74=0,0,IFERROR(ROUND(IF(T30="","",IF($X$4=0,0,IF(CF30=1,0,IF(BQ30+CV30=0,0,IF(CF30=1,0,IF(CY30&gt;0.01,CY30,IF(CL30&gt;0.01,CL30,IF(CY30&gt;0.01,CY30,IF(BC30=37,BO30,IF(CZ30=FALSE,0,IF(CZ30=TRUE,DC30+DF30,0))))))))))),2),""))</f>
        <v>0</v>
      </c>
      <c r="DB30" s="1752"/>
      <c r="DC30" s="474">
        <f>IF(CN30&lt;0.01,0,IF(AND(BR30=3,CN30&gt;0.01,CT30&gt;0.6,ER30+ES30+ET30&lt;100),0,IF(AND('Data Entry'!$C$74=1,CN30&gt;0.01,CR30&gt;0.99),MIN(CN30:CO30),IF(AND('Data Entry'!$C$74=2,CN30&gt;0.01,CS30&gt;0.99),MIN(CN30:CO30),0))))</f>
        <v>0</v>
      </c>
      <c r="DD30" s="478">
        <f>IF(CF30=1,"Selection does not match",IF(T30=0,0,IF(AND('Data Entry'!$C$74=0,CP30&gt;1),"Select Oregon or Idaho on Data Entry Tab",IF(AND(AU30=1,AA30&gt;0.9),"Missing Interior or Exterior Selection",IF($X$4=0,"Enter Total Project Cost",IF(AQ30&lt;AR30,"Insufficient kWh savings – no incentive",IF(AND(SUM(CL30+CK30+BV30)&gt;0.01,'Data Entry'!$C$74=2,CJ30&gt;1,BO30=0),"Submit Control as Non-Standard",IF(AND('Data Entry'!$C$74=2,BR30=37,CJ30&gt;1,BO30=0),"Submit Control as Non-Standard",IF(SUM(CL30+CK30+BV30)&gt;0.01,"Standard Incentive",IF(AND('Data Entry'!$C$74=2,CP30=7,CN30=0),"Submit as Non-Standard",IF(DC30&gt;0.9,"Non-Standard Incentive",IF(AND(BY30+BZ30+CA30&gt;0.01,BV30=0,EQ30=0,ER30=0,ES30=0,ET30=0),"Scroll Right &amp; Select Control Strategies",IF(AND(CN30&gt;0.01,CO30=0),"Enter Unit Installed Cost",IF(ISNUMBER(SEARCH("Lighting Controls Only",F30)),"Lighting Controls Only",IF(CL30+DC30=0,"Does not meet incentive criteria",0)))))))))))))))</f>
        <v>0</v>
      </c>
      <c r="DE30" s="337">
        <f t="shared" si="52"/>
        <v>0</v>
      </c>
      <c r="DF30" s="609">
        <f t="shared" si="53"/>
        <v>0</v>
      </c>
      <c r="DG30" s="336" t="str">
        <f t="shared" si="54"/>
        <v/>
      </c>
      <c r="DH30" s="338">
        <f t="shared" si="55"/>
        <v>1</v>
      </c>
      <c r="DI30" s="336" t="e">
        <f t="shared" si="8"/>
        <v>#VALUE!</v>
      </c>
      <c r="DJ30" s="338">
        <f t="shared" si="9"/>
        <v>0</v>
      </c>
      <c r="DK30" s="325" t="s">
        <v>1090</v>
      </c>
      <c r="DL30" s="324">
        <v>222</v>
      </c>
      <c r="DM30" s="325" t="s">
        <v>1292</v>
      </c>
      <c r="DN30" s="1439">
        <v>12</v>
      </c>
      <c r="DO30" s="1444" t="s">
        <v>1535</v>
      </c>
      <c r="DP30" s="332"/>
      <c r="DQ30" s="331"/>
      <c r="DR30" s="1332"/>
      <c r="DS30" s="1434">
        <f t="shared" si="56"/>
        <v>0</v>
      </c>
      <c r="DT30" s="344" t="b">
        <f t="shared" si="57"/>
        <v>1</v>
      </c>
      <c r="DU30" s="1314" t="str">
        <f t="array" ref="DU30">IF(OR(COUNTIF(F30,"*"&amp;$DK$9:$DK$178&amp;"*")), "Yes", "")</f>
        <v/>
      </c>
      <c r="DV30" s="1314">
        <f t="shared" si="58"/>
        <v>0</v>
      </c>
      <c r="DW30" s="1480">
        <f t="shared" si="59"/>
        <v>0</v>
      </c>
      <c r="DX30" s="1498">
        <f t="shared" si="71"/>
        <v>0</v>
      </c>
      <c r="DY30" s="1484">
        <f t="shared" si="60"/>
        <v>0</v>
      </c>
      <c r="DZ30" s="1481" t="str">
        <f>Lists!A82</f>
        <v xml:space="preserve">W:  </v>
      </c>
      <c r="EA30" s="881">
        <f>'Product Type'!E32</f>
        <v>0</v>
      </c>
      <c r="EB30" s="1499" t="s">
        <v>139</v>
      </c>
      <c r="EC30" s="727" t="s">
        <v>1568</v>
      </c>
      <c r="ED30" s="728">
        <v>0.5</v>
      </c>
      <c r="EE30" s="1215"/>
      <c r="EF30" s="1215"/>
      <c r="EG30" s="1184" t="str">
        <f t="shared" si="61"/>
        <v/>
      </c>
      <c r="EH30" s="5"/>
      <c r="EI30" s="55"/>
      <c r="EJ30" s="1185">
        <f t="shared" si="10"/>
        <v>0</v>
      </c>
      <c r="EK30" s="1211"/>
      <c r="EL30" s="1180">
        <f t="shared" si="72"/>
        <v>0</v>
      </c>
      <c r="EM30" s="207"/>
      <c r="EN30" s="1038"/>
      <c r="EO30" s="1038"/>
      <c r="EP30" s="1038"/>
      <c r="EQ30" s="1038">
        <f t="shared" si="62"/>
        <v>0</v>
      </c>
      <c r="ER30" s="1041">
        <f t="shared" si="75"/>
        <v>0</v>
      </c>
      <c r="ES30" s="1042">
        <f t="shared" si="63"/>
        <v>0</v>
      </c>
      <c r="ET30" s="1042">
        <f t="shared" si="73"/>
        <v>0</v>
      </c>
      <c r="EU30" s="1021">
        <f t="shared" si="74"/>
        <v>0</v>
      </c>
      <c r="EV30" s="368"/>
      <c r="EW30" s="368"/>
      <c r="EX30" s="369"/>
      <c r="EY30" s="370"/>
      <c r="EZ30" s="370"/>
      <c r="FA30" s="371"/>
      <c r="FB30" s="372"/>
    </row>
    <row r="31" spans="1:158" ht="34.5" customHeight="1">
      <c r="A31" s="82">
        <v>23</v>
      </c>
      <c r="B31" s="1725"/>
      <c r="C31" s="1726"/>
      <c r="D31" s="1726"/>
      <c r="E31" s="1727"/>
      <c r="F31" s="1732"/>
      <c r="G31" s="1733"/>
      <c r="H31" s="1733"/>
      <c r="I31" s="1734"/>
      <c r="J31" s="1341"/>
      <c r="K31" s="1728"/>
      <c r="L31" s="1728"/>
      <c r="M31" s="1342"/>
      <c r="N31" s="1583"/>
      <c r="O31" s="208" t="str">
        <f t="shared" si="11"/>
        <v/>
      </c>
      <c r="P31" s="1344"/>
      <c r="Q31" s="39" t="str">
        <f t="shared" si="0"/>
        <v/>
      </c>
      <c r="R31" s="39">
        <f t="shared" si="12"/>
        <v>0</v>
      </c>
      <c r="S31" s="234">
        <f t="shared" si="13"/>
        <v>0</v>
      </c>
      <c r="T31" s="1755"/>
      <c r="U31" s="1755"/>
      <c r="V31" s="1755"/>
      <c r="W31" s="1345"/>
      <c r="X31" s="1757"/>
      <c r="Y31" s="1742"/>
      <c r="Z31" s="1346"/>
      <c r="AA31" s="1343"/>
      <c r="AB31" s="1141"/>
      <c r="AC31" s="1103" t="str">
        <f>IF(T31="","",VLOOKUP(Z31,Lists!$A$60:$B$111,2,FALSE))</f>
        <v/>
      </c>
      <c r="AD31" s="130" t="str">
        <f t="shared" si="14"/>
        <v/>
      </c>
      <c r="AE31" s="130" t="e">
        <f t="shared" si="15"/>
        <v>#VALUE!</v>
      </c>
      <c r="AF31" s="130">
        <f t="shared" si="16"/>
        <v>1</v>
      </c>
      <c r="AG31" s="234">
        <f t="shared" si="1"/>
        <v>0</v>
      </c>
      <c r="AH31" s="1753" t="str">
        <f>IF(T31="","",(IF(ISNUMBER(SEARCH("exit",T31)),8760,IF(AND(M31="Dusk to Dawn",'Proposed Lighting'!AU31=3),4059,IF(AND(AU31=3,M31="1"),0,IF(AND(AU31=3,M31="1-C"),0,IF(AND(AU31=3,M31="2"),0,IF(AND(AU31=3,M31="2-C"),0,IF(AND(AU31=3,M31="3"),0,IF(AND(AU31=3,M31="3-C"),0,IF(AND(AU31=2,M31="Dusk to Dawn"),0,IF(AND(AU31=2,M31="Dusk to Dawn-C"),0,IF(AND(AU31=2,M31="Dusk to Dawn"),0,IF(AND(AU31=2,M31="E"),0,IF(AND(AU31=2,M31="E-C"),0,EG31)))))))))))))))</f>
        <v/>
      </c>
      <c r="AI31" s="1754"/>
      <c r="AJ31" s="1136"/>
      <c r="AK31" s="1136"/>
      <c r="AL31" s="1748">
        <f t="shared" si="64"/>
        <v>0</v>
      </c>
      <c r="AM31" s="1749"/>
      <c r="AN31" s="1750"/>
      <c r="AO31" s="476">
        <f t="shared" si="2"/>
        <v>0</v>
      </c>
      <c r="AP31" s="476">
        <f t="shared" si="17"/>
        <v>0</v>
      </c>
      <c r="AQ31" s="475">
        <f t="shared" si="3"/>
        <v>0</v>
      </c>
      <c r="AR31" s="475">
        <f t="shared" si="18"/>
        <v>0</v>
      </c>
      <c r="AS31" s="743" t="str">
        <f t="shared" si="19"/>
        <v/>
      </c>
      <c r="AT31" s="736" t="str">
        <f t="shared" si="20"/>
        <v/>
      </c>
      <c r="AU31" s="56">
        <f t="shared" si="21"/>
        <v>1</v>
      </c>
      <c r="AV31" s="476">
        <f t="shared" si="22"/>
        <v>0</v>
      </c>
      <c r="AW31" s="56">
        <f t="shared" si="23"/>
        <v>0</v>
      </c>
      <c r="AX31" s="475">
        <f t="shared" si="65"/>
        <v>0</v>
      </c>
      <c r="AY31" s="1169">
        <f t="shared" si="66"/>
        <v>0</v>
      </c>
      <c r="AZ31" s="1150">
        <f t="shared" si="67"/>
        <v>0</v>
      </c>
      <c r="BA31" s="56">
        <f t="shared" si="68"/>
        <v>0</v>
      </c>
      <c r="BB31" s="420">
        <f t="shared" si="4"/>
        <v>0</v>
      </c>
      <c r="BC31" s="58" t="str">
        <f t="shared" si="5"/>
        <v/>
      </c>
      <c r="BD31" s="660">
        <f t="shared" si="69"/>
        <v>0</v>
      </c>
      <c r="BE31" s="57" t="e">
        <f t="array" ref="BE31">INDEX($EB$11:$ED$1022,MATCH(F31&amp;T31,$EB$11:$EB$1007&amp;$EC$11:$EC$1007,0),3)</f>
        <v>#N/A</v>
      </c>
      <c r="BF31" s="463">
        <f t="shared" si="24"/>
        <v>0</v>
      </c>
      <c r="BG31" s="1445" t="e">
        <f t="array" ref="BG31">INDEX($DO$112:$DQ$123,MATCH(T31&amp;W31,$DO$114:$DO$125&amp;$DP$112:$DP$123,0),3)</f>
        <v>#N/A</v>
      </c>
      <c r="BH31" s="1446">
        <f t="shared" si="25"/>
        <v>0</v>
      </c>
      <c r="BI31" s="465">
        <f t="shared" si="26"/>
        <v>0</v>
      </c>
      <c r="BJ31" s="465">
        <f t="shared" si="27"/>
        <v>0</v>
      </c>
      <c r="BK31" s="466">
        <f t="shared" si="28"/>
        <v>0</v>
      </c>
      <c r="BL31" s="466">
        <f t="shared" si="29"/>
        <v>0</v>
      </c>
      <c r="BM31" s="466">
        <f t="shared" si="30"/>
        <v>0</v>
      </c>
      <c r="BN31" s="466">
        <f t="shared" si="31"/>
        <v>0</v>
      </c>
      <c r="BO31" s="463">
        <f>IF('Data Entry'!$C$74=0,0,IF(ISNA(CJ31),0,IF(AX31=0,0,IF(AND('Data Entry'!$C$74=2,AF31&gt;2,CE31&lt;1),0,IF(AND('Data Entry'!$C$74=2,AF31&gt;1,AU31=2,CJ31&gt;1),0,IF(AND(AF31=5,CT31=0.5,AU31=2,ER31&lt;100),0,IF(AND(AF31=5,CT31=0.5,AU31=3,ER31&lt;100),0,IF(AND('Data Entry'!$C$74=2,AF31=2,AU31=2,AK31&gt;0.01,CB31=2,CE31&lt;1),0,IF(AND('Data Entry'!$C$74=2,AF31=3,AU31=3,AK31&gt;0.01,CB31=3,CE31&lt;1),0,IF(AND('Data Entry'!$C$74=2,AF31=3,AU31=3,AK31&gt;0.01,CB31=3,CE31&gt;0.99),BQ31*0.08,IF(AND('Data Entry'!$C$74=2,AF31=2,AU31=2,AK31&gt;0.01,CB31=2,CE31&gt;0.99),BQ31*0.1,IF(AND(AU31=2,AK31&gt;0.01,CB31=2,CD31&gt;1),BQ31*0.1,IF(AND(AU31=3,AK31&gt;0.01,CB31=3,CD31&gt;1),BQ31*0.08,CJ31*EF31)))))))))))))</f>
        <v>0</v>
      </c>
      <c r="BP31" s="475">
        <f t="shared" si="32"/>
        <v>0</v>
      </c>
      <c r="BQ31" s="1431">
        <f>IF(AU31=1,0,IF(CH31=100,0,IF(AND(AF31=3,AU31=2),0,IF(AND(BH31=0,CT31&gt;0.4),0,IF(AND('Data Entry'!$C$74=2,AF31=1.5),0,IF(AND('Data Entry'!$C$74=2,AF31=1.6),0,IF(AND('Data Entry'!$C$74=2,AF31=4),0,IF(AND('Data Entry'!$C$74=2,AF31=5),0,IF(AND('Data Entry'!$C$74=2,AF31=2.5,CE31&lt;1),0,IF(AND('Data Entry'!$C$74=2,AF31=3,CE31&lt;1),0,IF(AND('Data Entry'!$C$74=1,AF31=2.5,CD31&lt;1),0,IF(AND('Data Entry'!$C$74=1,AF31=3,CD31&lt;1),0,IF(DX31&gt;0.01,DX31,IF(ISERROR(AX31-AY31),"",ROUND(AX31-AY31,2)))))))))))))))</f>
        <v>0</v>
      </c>
      <c r="BR31" s="146">
        <f t="shared" si="33"/>
        <v>0</v>
      </c>
      <c r="BS31" s="475">
        <f t="shared" si="34"/>
        <v>0</v>
      </c>
      <c r="BT31" s="146" t="b">
        <f t="shared" si="35"/>
        <v>0</v>
      </c>
      <c r="BU31" s="463">
        <f>IF(ISNA(AT31),0,IF(AND('Data Entry'!$C$74=2,BC31=27),0,IF(AND('Data Entry'!$C$74=2,BC31=28),0,IF(AND(BC31=27,BT31=27,CM31&gt;0.1),CM31*0.15,IF(AND(BC31=28,BT31=28,CM31&gt;0.1),CM31*0.12,0)))))</f>
        <v>0</v>
      </c>
      <c r="BV31" s="463">
        <f t="shared" si="78"/>
        <v>0</v>
      </c>
      <c r="BW31" s="463">
        <f t="shared" si="37"/>
        <v>0</v>
      </c>
      <c r="BX31" s="463">
        <f t="shared" si="38"/>
        <v>0</v>
      </c>
      <c r="BY31" s="463">
        <f t="shared" si="39"/>
        <v>0</v>
      </c>
      <c r="BZ31" s="463">
        <f t="shared" si="40"/>
        <v>0</v>
      </c>
      <c r="CA31" s="57">
        <f t="shared" si="70"/>
        <v>0</v>
      </c>
      <c r="CB31" s="56">
        <f t="shared" si="41"/>
        <v>1</v>
      </c>
      <c r="CC31" s="756">
        <f>IF(EE31=0,0,IF(EF31=0,0,IF(EE31&gt;AA31,0,IF(AND(AZ31&gt;AW31,AW31&gt;0),0,IF(CU31=0,0,Summary!AC334)))))</f>
        <v>0</v>
      </c>
      <c r="CD31" s="756">
        <f>IF(EE31=0,0,IF(EF31=0,0,IF(EE31&gt;AA31,0,IF(AND(AZ31&gt;AW31,AW31&gt;0),0,IF(CU31=0,0,Summary!AD334)))))</f>
        <v>0</v>
      </c>
      <c r="CE31" s="756">
        <f>IF(EF31=0,0,IF(EE31&gt;AA31,0,IF(CC31=0,0,IF(AND(AZ31&gt;AW31,AW31&gt;0),0,IF(CU31=0,0,Summary!AE334)))))</f>
        <v>0</v>
      </c>
      <c r="CF31" s="475">
        <f t="shared" si="42"/>
        <v>0</v>
      </c>
      <c r="CG31" s="476">
        <f t="shared" si="6"/>
        <v>0</v>
      </c>
      <c r="CH31" s="487">
        <f t="shared" si="43"/>
        <v>0</v>
      </c>
      <c r="CI31" s="756">
        <f t="shared" si="44"/>
        <v>0</v>
      </c>
      <c r="CJ31" s="487">
        <f>IF(CT31&gt;0.4,0,IF(AND(AU31=2,CH31=0,CT31=0.5,ER31=100),35,IF(AND(AU31=3,BB31&gt;75,CH31=0,CT31=0.5,ER31=100),25,IF(CB31&gt;1,0,IF(EF31&gt;EE31,0,IF(AND(AF31&gt;1,CH31=100),0,IF(AND(AF31=1,AY31=0),0,IF(AND(EF31&lt;=EE31,AW31&gt;=AZ31,'Data Entry'!$C$74=1,AU31=2),VLOOKUP(W31,$DO$96:$DP$102,2,FALSE),IF(AND(EF31&lt;=EE31,AW31&gt;=AZ31,AU31=3,'Data Entry'!$C$74=1),VLOOKUP(W31,$DO$127:$DP$134,2,FALSE))))))))))</f>
        <v>0</v>
      </c>
      <c r="CK31" s="716">
        <f t="shared" si="45"/>
        <v>0</v>
      </c>
      <c r="CL31" s="57">
        <f t="shared" si="46"/>
        <v>0</v>
      </c>
      <c r="CM31" s="475">
        <f t="shared" si="77"/>
        <v>0</v>
      </c>
      <c r="CN31" s="660">
        <f>IF(CM31&lt;0.1,0,IF(ISNA(AT31),0,IF(CL31+BC31=1,0,IF(BV31&gt;0.01,0,IF(CL31&gt;0.01,0,IF(CF31=1,0,IF(BC31=0.5,0,IF(AND(CI31=1,AU31=3),0,IF(AND(CI31=5,CL31=0),0,IF(AND(R31=12,BR31=50),0,IF(CK31&gt;0.01,0,IF(AND(AJ31&gt;0.01,AU31=2,BC31=15),CM31*0.1,IF(AND(AJ31&gt;0.01,AU31=3,BC31=15),CM31*0.08,IF(AND(R31=12,BC31=3,AF31&lt;=0),0,IF(AND(BC31=15,BI31=0),0,IF(AND(BC31=15,BJ31=0),0,IF(AND(R31=20,CU31=0),0,IF($X$4=0,0,IF(AND(BC31=250,CL31=0),0,IF(AA31&lt;1,0,IF(AND(ISNUMBER(SEARCH("Area",T31)),AU31=3),0,IF(AND(AQ31&gt;0.01,AR31=0,BK31=0,BL31=0,BM31=0,BN31=0),0,IF(AND(AU31=3,CI31=7,CT31&gt;0.5),0,IF(AND(BC31=44,AU31=3,BY31=0),0,IF(AND(BC31=27,'Data Entry'!$C$74=2),0,IF(AND(BC31=28,'Data Entry'!$C$74=2),0,IF(AND(BY31+BZ31+CA31&gt;0.01,BV31=0,EQ31+ER31+ES31+ET31&lt;100),0,IF(AU31=3,CM31*0.08,IF(AU31=2,CM31*0.1,0)))))))))))))))))))))))))))))</f>
        <v>0</v>
      </c>
      <c r="CO31" s="660">
        <f t="shared" si="47"/>
        <v>0</v>
      </c>
      <c r="CP31" s="475" t="str">
        <f t="shared" si="48"/>
        <v/>
      </c>
      <c r="CQ31" s="161" t="str">
        <f>IF(AH31=0,0,IF(AU31=5,0,Summary!AC34))</f>
        <v/>
      </c>
      <c r="CR31" s="161" t="str">
        <f>IF(BF31=0.5,0,IF(AU31=5,0,Summary!AD34))</f>
        <v/>
      </c>
      <c r="CS31" s="161" t="str">
        <f>IF(AU31=5,0,Summary!AE34)</f>
        <v/>
      </c>
      <c r="CT31" s="161">
        <f t="shared" si="49"/>
        <v>0</v>
      </c>
      <c r="CU31" s="475" t="str">
        <f t="shared" si="7"/>
        <v/>
      </c>
      <c r="CV31" s="307">
        <f>IF('Data Entry'!$C$74=0,0,IF(AA31&lt;1,0,IF(ISERROR(CU31),0,IF(CF31=1,0,IF(AND(R31=12,BR31=50),0,IF(CL31+BO31+BV31+DC31=0,0,IF(BC31=37,0,IF(AND(BC31=40,AJ31=0),0,IF(AND(BC31=37,BO31&gt;0.01,BQ31&gt;0.01),ROUND(BQ31,0),IF(CM31&lt;0,0,ROUND(CM31,0)))))))))))</f>
        <v>0</v>
      </c>
      <c r="CW31" s="700">
        <f t="shared" si="50"/>
        <v>0</v>
      </c>
      <c r="CX31" s="477">
        <f>IF('Data Entry'!$C$74=0,0,IF(CV31&lt;0.01,0,IF(BF31=0.5,0,IF(CF31=1,0,IF(ISNUMBER(SEARCH("false",CL31)),0,IF(AZ31=500,0,CL31))))))</f>
        <v>0</v>
      </c>
      <c r="CY31" s="147" t="e">
        <f t="shared" si="51"/>
        <v>#VALUE!</v>
      </c>
      <c r="CZ31" s="147" t="b">
        <f>IF(CN31+CL31=0,FALSE,IF(AH31=0,0,IF(AND('Data Entry'!$C$74=1,CR31&gt;=1),TRUE,IF(AND('Data Entry'!$C$74=2,CS31&gt;=1),TRUE,FALSE))))</f>
        <v>0</v>
      </c>
      <c r="DA31" s="1751">
        <f>IF('Data Entry'!$C$74=0,0,IFERROR(ROUND(IF(T31="","",IF($X$4=0,0,IF(CF31=1,0,IF(BQ31+CV31=0,0,IF(CF31=1,0,IF(CY31&gt;0.01,CY31,IF(CL31&gt;0.01,CL31,IF(CY31&gt;0.01,CY31,IF(BC31=37,BO31,IF(CZ31=FALSE,0,IF(CZ31=TRUE,DC31+DF31,0))))))))))),2),""))</f>
        <v>0</v>
      </c>
      <c r="DB31" s="1752"/>
      <c r="DC31" s="474">
        <f>IF(CN31&lt;0.01,0,IF(AND(BR31=3,CN31&gt;0.01,CT31&gt;0.6,ER31+ES31+ET31&lt;100),0,IF(AND('Data Entry'!$C$74=1,CN31&gt;0.01,CR31&gt;0.99),MIN(CN31:CO31),IF(AND('Data Entry'!$C$74=2,CN31&gt;0.01,CS31&gt;0.99),MIN(CN31:CO31),0))))</f>
        <v>0</v>
      </c>
      <c r="DD31" s="478">
        <f>IF(CF31=1,"Selection does not match",IF(T31=0,0,IF(AND('Data Entry'!$C$74=0,CP31&gt;1),"Select Oregon or Idaho on Data Entry Tab",IF(AND(AU31=1,AA31&gt;0.9),"Missing Interior or Exterior Selection",IF($X$4=0,"Enter Total Project Cost",IF(AQ31&lt;AR31,"Insufficient kWh savings – no incentive",IF(AND(SUM(CL31+CK31+BV31)&gt;0.01,'Data Entry'!$C$74=2,CJ31&gt;1,BO31=0),"Submit Control as Non-Standard",IF(AND('Data Entry'!$C$74=2,BR31=37,CJ31&gt;1,BO31=0),"Submit Control as Non-Standard",IF(SUM(CL31+CK31+BV31)&gt;0.01,"Standard Incentive",IF(AND('Data Entry'!$C$74=2,CP31=7,CN31=0),"Submit as Non-Standard",IF(DC31&gt;0.9,"Non-Standard Incentive",IF(AND(BY31+BZ31+CA31&gt;0.01,BV31=0,EQ31=0,ER31=0,ES31=0,ET31=0),"Scroll Right &amp; Select Control Strategies",IF(AND(CN31&gt;0.01,CO31=0),"Enter Unit Installed Cost",IF(ISNUMBER(SEARCH("Lighting Controls Only",F31)),"Lighting Controls Only",IF(CL31+DC31=0,"Does not meet incentive criteria",0)))))))))))))))</f>
        <v>0</v>
      </c>
      <c r="DE31" s="337">
        <f t="shared" si="52"/>
        <v>0</v>
      </c>
      <c r="DF31" s="609">
        <f t="shared" si="53"/>
        <v>0</v>
      </c>
      <c r="DG31" s="336" t="str">
        <f t="shared" si="54"/>
        <v/>
      </c>
      <c r="DH31" s="338">
        <f t="shared" si="55"/>
        <v>1</v>
      </c>
      <c r="DI31" s="336" t="e">
        <f t="shared" si="8"/>
        <v>#VALUE!</v>
      </c>
      <c r="DJ31" s="338">
        <f t="shared" si="9"/>
        <v>0</v>
      </c>
      <c r="DK31" s="325" t="s">
        <v>316</v>
      </c>
      <c r="DL31" s="324">
        <v>225</v>
      </c>
      <c r="DM31" s="325" t="s">
        <v>1293</v>
      </c>
      <c r="DN31" s="1438">
        <v>16</v>
      </c>
      <c r="DO31" s="1444" t="s">
        <v>1780</v>
      </c>
      <c r="DP31" s="329"/>
      <c r="DQ31" s="361"/>
      <c r="DR31" s="1332"/>
      <c r="DS31" s="1434">
        <f t="shared" si="56"/>
        <v>0</v>
      </c>
      <c r="DT31" s="344" t="b">
        <f t="shared" si="57"/>
        <v>1</v>
      </c>
      <c r="DU31" s="1314" t="str">
        <f t="array" ref="DU31">IF(OR(COUNTIF(F31,"*"&amp;$DK$9:$DK$178&amp;"*")), "Yes", "")</f>
        <v/>
      </c>
      <c r="DV31" s="1314">
        <f t="shared" si="58"/>
        <v>0</v>
      </c>
      <c r="DW31" s="1480">
        <f t="shared" si="59"/>
        <v>0</v>
      </c>
      <c r="DX31" s="1498">
        <f t="shared" si="71"/>
        <v>0</v>
      </c>
      <c r="DY31" s="1484">
        <f t="shared" si="60"/>
        <v>0</v>
      </c>
      <c r="DZ31" s="1481" t="str">
        <f>Lists!A83</f>
        <v xml:space="preserve">X:  </v>
      </c>
      <c r="EA31" s="881">
        <f>'Product Type'!E33</f>
        <v>0</v>
      </c>
      <c r="EB31" s="1500" t="s">
        <v>140</v>
      </c>
      <c r="EC31" s="727" t="s">
        <v>1568</v>
      </c>
      <c r="ED31" s="728">
        <v>0.5</v>
      </c>
      <c r="EE31" s="1215"/>
      <c r="EF31" s="1215"/>
      <c r="EG31" s="1184" t="str">
        <f t="shared" si="61"/>
        <v/>
      </c>
      <c r="EH31" s="5"/>
      <c r="EI31" s="55"/>
      <c r="EJ31" s="1185">
        <f t="shared" si="10"/>
        <v>0</v>
      </c>
      <c r="EK31" s="1211"/>
      <c r="EL31" s="1180">
        <f t="shared" si="72"/>
        <v>0</v>
      </c>
      <c r="EM31" s="207"/>
      <c r="EN31" s="1038"/>
      <c r="EO31" s="1038"/>
      <c r="EP31" s="1038"/>
      <c r="EQ31" s="1038">
        <f t="shared" si="62"/>
        <v>0</v>
      </c>
      <c r="ER31" s="1041">
        <f t="shared" si="75"/>
        <v>0</v>
      </c>
      <c r="ES31" s="1042">
        <f t="shared" si="63"/>
        <v>0</v>
      </c>
      <c r="ET31" s="1042">
        <f t="shared" si="73"/>
        <v>0</v>
      </c>
      <c r="EU31" s="1021">
        <f t="shared" si="74"/>
        <v>0</v>
      </c>
      <c r="EV31" s="368"/>
      <c r="EW31" s="368"/>
      <c r="EX31" s="369"/>
      <c r="EY31" s="370"/>
      <c r="EZ31" s="370"/>
      <c r="FA31" s="371"/>
      <c r="FB31" s="372"/>
    </row>
    <row r="32" spans="1:158" ht="34.5" customHeight="1">
      <c r="A32" s="82">
        <v>24</v>
      </c>
      <c r="B32" s="1725"/>
      <c r="C32" s="1726"/>
      <c r="D32" s="1726"/>
      <c r="E32" s="1727"/>
      <c r="F32" s="1732"/>
      <c r="G32" s="1733"/>
      <c r="H32" s="1733"/>
      <c r="I32" s="1734"/>
      <c r="J32" s="1341"/>
      <c r="K32" s="1728"/>
      <c r="L32" s="1728"/>
      <c r="M32" s="1342"/>
      <c r="N32" s="1583"/>
      <c r="O32" s="208" t="str">
        <f t="shared" si="11"/>
        <v/>
      </c>
      <c r="P32" s="1344"/>
      <c r="Q32" s="39" t="str">
        <f t="shared" si="0"/>
        <v/>
      </c>
      <c r="R32" s="39">
        <f t="shared" si="12"/>
        <v>0</v>
      </c>
      <c r="S32" s="234">
        <f t="shared" si="13"/>
        <v>0</v>
      </c>
      <c r="T32" s="1755"/>
      <c r="U32" s="1755"/>
      <c r="V32" s="1755"/>
      <c r="W32" s="1345"/>
      <c r="X32" s="1757"/>
      <c r="Y32" s="1742"/>
      <c r="Z32" s="1346"/>
      <c r="AA32" s="1343"/>
      <c r="AB32" s="1141"/>
      <c r="AC32" s="1103" t="str">
        <f>IF(T32="","",VLOOKUP(Z32,Lists!$A$60:$B$111,2,FALSE))</f>
        <v/>
      </c>
      <c r="AD32" s="130" t="str">
        <f t="shared" si="14"/>
        <v/>
      </c>
      <c r="AE32" s="130" t="e">
        <f t="shared" si="15"/>
        <v>#VALUE!</v>
      </c>
      <c r="AF32" s="130">
        <f t="shared" si="16"/>
        <v>1</v>
      </c>
      <c r="AG32" s="234">
        <f t="shared" si="1"/>
        <v>0</v>
      </c>
      <c r="AH32" s="1753" t="str">
        <f>IF(T32="","",(IF(ISNUMBER(SEARCH("exit",T32)),8760,IF(AND(M32="Dusk to Dawn",'Proposed Lighting'!AU32=3),4059,IF(AND(AU32=3,M32="1"),0,IF(AND(AU32=3,M32="1-C"),0,IF(AND(AU32=3,M32="2"),0,IF(AND(AU32=3,M32="2-C"),0,IF(AND(AU32=3,M32="3"),0,IF(AND(AU32=3,M32="3-C"),0,IF(AND(AU32=2,M32="Dusk to Dawn"),0,IF(AND(AU32=2,M32="Dusk to Dawn-C"),0,IF(AND(AU32=2,M32="Dusk to Dawn"),0,IF(AND(AU32=2,M32="E"),0,IF(AND(AU32=2,M32="E-C"),0,EG32)))))))))))))))</f>
        <v/>
      </c>
      <c r="AI32" s="1754"/>
      <c r="AJ32" s="1136"/>
      <c r="AK32" s="1136"/>
      <c r="AL32" s="1748">
        <f t="shared" si="64"/>
        <v>0</v>
      </c>
      <c r="AM32" s="1749"/>
      <c r="AN32" s="1750"/>
      <c r="AO32" s="476">
        <f t="shared" si="2"/>
        <v>0</v>
      </c>
      <c r="AP32" s="476">
        <f t="shared" si="17"/>
        <v>0</v>
      </c>
      <c r="AQ32" s="475">
        <f t="shared" si="3"/>
        <v>0</v>
      </c>
      <c r="AR32" s="475">
        <f t="shared" si="18"/>
        <v>0</v>
      </c>
      <c r="AS32" s="743" t="str">
        <f t="shared" si="19"/>
        <v/>
      </c>
      <c r="AT32" s="736" t="str">
        <f t="shared" si="20"/>
        <v/>
      </c>
      <c r="AU32" s="56">
        <f t="shared" si="21"/>
        <v>1</v>
      </c>
      <c r="AV32" s="476">
        <f t="shared" si="22"/>
        <v>0</v>
      </c>
      <c r="AW32" s="56">
        <f t="shared" si="23"/>
        <v>0</v>
      </c>
      <c r="AX32" s="475">
        <f t="shared" si="65"/>
        <v>0</v>
      </c>
      <c r="AY32" s="1169">
        <f t="shared" si="66"/>
        <v>0</v>
      </c>
      <c r="AZ32" s="1150">
        <f t="shared" si="67"/>
        <v>0</v>
      </c>
      <c r="BA32" s="56">
        <f t="shared" si="68"/>
        <v>0</v>
      </c>
      <c r="BB32" s="420">
        <f t="shared" si="4"/>
        <v>0</v>
      </c>
      <c r="BC32" s="58" t="str">
        <f t="shared" si="5"/>
        <v/>
      </c>
      <c r="BD32" s="660">
        <f t="shared" si="69"/>
        <v>0</v>
      </c>
      <c r="BE32" s="57" t="e">
        <f t="array" ref="BE32">INDEX($EB$11:$ED$1022,MATCH(F32&amp;T32,$EB$11:$EB$1007&amp;$EC$11:$EC$1007,0),3)</f>
        <v>#N/A</v>
      </c>
      <c r="BF32" s="463">
        <f t="shared" si="24"/>
        <v>0</v>
      </c>
      <c r="BG32" s="1445" t="e">
        <f t="array" ref="BG32">INDEX($DO$112:$DQ$123,MATCH(T32&amp;W32,$DO$114:$DO$125&amp;$DP$112:$DP$123,0),3)</f>
        <v>#N/A</v>
      </c>
      <c r="BH32" s="1446">
        <f t="shared" si="25"/>
        <v>0</v>
      </c>
      <c r="BI32" s="465">
        <f t="shared" si="26"/>
        <v>0</v>
      </c>
      <c r="BJ32" s="465">
        <f t="shared" si="27"/>
        <v>0</v>
      </c>
      <c r="BK32" s="466">
        <f t="shared" si="28"/>
        <v>0</v>
      </c>
      <c r="BL32" s="466">
        <f t="shared" si="29"/>
        <v>0</v>
      </c>
      <c r="BM32" s="466">
        <f t="shared" si="30"/>
        <v>0</v>
      </c>
      <c r="BN32" s="466">
        <f t="shared" si="31"/>
        <v>0</v>
      </c>
      <c r="BO32" s="463">
        <f>IF('Data Entry'!$C$74=0,0,IF(ISNA(CJ32),0,IF(AX32=0,0,IF(AND('Data Entry'!$C$74=2,AF32&gt;2,CE32&lt;1),0,IF(AND('Data Entry'!$C$74=2,AF32&gt;1,AU32=2,CJ32&gt;1),0,IF(AND(AF32=5,CT32=0.5,AU32=2,ER32&lt;100),0,IF(AND(AF32=5,CT32=0.5,AU32=3,ER32&lt;100),0,IF(AND('Data Entry'!$C$74=2,AF32=2,AU32=2,AK32&gt;0.01,CB32=2,CE32&lt;1),0,IF(AND('Data Entry'!$C$74=2,AF32=3,AU32=3,AK32&gt;0.01,CB32=3,CE32&lt;1),0,IF(AND('Data Entry'!$C$74=2,AF32=3,AU32=3,AK32&gt;0.01,CB32=3,CE32&gt;0.99),BQ32*0.08,IF(AND('Data Entry'!$C$74=2,AF32=2,AU32=2,AK32&gt;0.01,CB32=2,CE32&gt;0.99),BQ32*0.1,IF(AND(AU32=2,AK32&gt;0.01,CB32=2,CD32&gt;1),BQ32*0.1,IF(AND(AU32=3,AK32&gt;0.01,CB32=3,CD32&gt;1),BQ32*0.08,CJ32*EF32)))))))))))))</f>
        <v>0</v>
      </c>
      <c r="BP32" s="475">
        <f t="shared" si="32"/>
        <v>0</v>
      </c>
      <c r="BQ32" s="1431">
        <f>IF(AU32=1,0,IF(CH32=100,0,IF(AND(AF32=3,AU32=2),0,IF(AND(BH32=0,CT32&gt;0.4),0,IF(AND('Data Entry'!$C$74=2,AF32=1.5),0,IF(AND('Data Entry'!$C$74=2,AF32=1.6),0,IF(AND('Data Entry'!$C$74=2,AF32=4),0,IF(AND('Data Entry'!$C$74=2,AF32=5),0,IF(AND('Data Entry'!$C$74=2,AF32=2.5,CE32&lt;1),0,IF(AND('Data Entry'!$C$74=2,AF32=3,CE32&lt;1),0,IF(AND('Data Entry'!$C$74=1,AF32=2.5,CD32&lt;1),0,IF(AND('Data Entry'!$C$74=1,AF32=3,CD32&lt;1),0,IF(DX32&gt;0.01,DX32,IF(ISERROR(AX32-AY32),"",ROUND(AX32-AY32,2)))))))))))))))</f>
        <v>0</v>
      </c>
      <c r="BR32" s="146">
        <f t="shared" si="33"/>
        <v>0</v>
      </c>
      <c r="BS32" s="475">
        <f t="shared" si="34"/>
        <v>0</v>
      </c>
      <c r="BT32" s="146" t="b">
        <f t="shared" si="35"/>
        <v>0</v>
      </c>
      <c r="BU32" s="463">
        <f>IF(ISNA(AT32),0,IF(AND('Data Entry'!$C$74=2,BC32=27),0,IF(AND('Data Entry'!$C$74=2,BC32=28),0,IF(AND(BC32=27,BT32=27,CM32&gt;0.1),CM32*0.15,IF(AND(BC32=28,BT32=28,CM32&gt;0.1),CM32*0.12,0)))))</f>
        <v>0</v>
      </c>
      <c r="BV32" s="463">
        <f t="shared" si="78"/>
        <v>0</v>
      </c>
      <c r="BW32" s="463">
        <f t="shared" si="37"/>
        <v>0</v>
      </c>
      <c r="BX32" s="463">
        <f t="shared" si="38"/>
        <v>0</v>
      </c>
      <c r="BY32" s="463">
        <f t="shared" si="39"/>
        <v>0</v>
      </c>
      <c r="BZ32" s="463">
        <f t="shared" si="40"/>
        <v>0</v>
      </c>
      <c r="CA32" s="57">
        <f t="shared" si="70"/>
        <v>0</v>
      </c>
      <c r="CB32" s="56">
        <f t="shared" si="41"/>
        <v>1</v>
      </c>
      <c r="CC32" s="756">
        <f>IF(EE32=0,0,IF(EF32=0,0,IF(EE32&gt;AA32,0,IF(AND(AZ32&gt;AW32,AW32&gt;0),0,IF(CU32=0,0,Summary!AC335)))))</f>
        <v>0</v>
      </c>
      <c r="CD32" s="756">
        <f>IF(EE32=0,0,IF(EF32=0,0,IF(EE32&gt;AA32,0,IF(AND(AZ32&gt;AW32,AW32&gt;0),0,IF(CU32=0,0,Summary!AD335)))))</f>
        <v>0</v>
      </c>
      <c r="CE32" s="756">
        <f>IF(EF32=0,0,IF(EE32&gt;AA32,0,IF(CC32=0,0,IF(AND(AZ32&gt;AW32,AW32&gt;0),0,IF(CU32=0,0,Summary!AE335)))))</f>
        <v>0</v>
      </c>
      <c r="CF32" s="475">
        <f t="shared" si="42"/>
        <v>0</v>
      </c>
      <c r="CG32" s="476">
        <f t="shared" si="6"/>
        <v>0</v>
      </c>
      <c r="CH32" s="487">
        <f t="shared" si="43"/>
        <v>0</v>
      </c>
      <c r="CI32" s="756">
        <f t="shared" si="44"/>
        <v>0</v>
      </c>
      <c r="CJ32" s="487">
        <f>IF(CT32&gt;0.4,0,IF(AND(AU32=2,CH32=0,CT32=0.5,ER32=100),35,IF(AND(AU32=3,BB32&gt;75,CH32=0,CT32=0.5,ER32=100),25,IF(CB32&gt;1,0,IF(EF32&gt;EE32,0,IF(AND(AF32&gt;1,CH32=100),0,IF(AND(AF32=1,AY32=0),0,IF(AND(EF32&lt;=EE32,AW32&gt;=AZ32,'Data Entry'!$C$74=1,AU32=2),VLOOKUP(W32,$DO$96:$DP$102,2,FALSE),IF(AND(EF32&lt;=EE32,AW32&gt;=AZ32,AU32=3,'Data Entry'!$C$74=1),VLOOKUP(W32,$DO$127:$DP$134,2,FALSE))))))))))</f>
        <v>0</v>
      </c>
      <c r="CK32" s="716">
        <f t="shared" si="45"/>
        <v>0</v>
      </c>
      <c r="CL32" s="57">
        <f t="shared" si="46"/>
        <v>0</v>
      </c>
      <c r="CM32" s="475">
        <f t="shared" si="77"/>
        <v>0</v>
      </c>
      <c r="CN32" s="660">
        <f>IF(CM32&lt;0.1,0,IF(ISNA(AT32),0,IF(CL32+BC32=1,0,IF(BV32&gt;0.01,0,IF(CL32&gt;0.01,0,IF(CF32=1,0,IF(BC32=0.5,0,IF(AND(CI32=1,AU32=3),0,IF(AND(CI32=5,CL32=0),0,IF(AND(R32=12,BR32=50),0,IF(CK32&gt;0.01,0,IF(AND(AJ32&gt;0.01,AU32=2,BC32=15),CM32*0.1,IF(AND(AJ32&gt;0.01,AU32=3,BC32=15),CM32*0.08,IF(AND(R32=12,BC32=3,AF32&lt;=0),0,IF(AND(BC32=15,BI32=0),0,IF(AND(BC32=15,BJ32=0),0,IF(AND(R32=20,CU32=0),0,IF($X$4=0,0,IF(AND(BC32=250,CL32=0),0,IF(AA32&lt;1,0,IF(AND(ISNUMBER(SEARCH("Area",T32)),AU32=3),0,IF(AND(AQ32&gt;0.01,AR32=0,BK32=0,BL32=0,BM32=0,BN32=0),0,IF(AND(AU32=3,CI32=7,CT32&gt;0.5),0,IF(AND(BC32=44,AU32=3,BY32=0),0,IF(AND(BC32=27,'Data Entry'!$C$74=2),0,IF(AND(BC32=28,'Data Entry'!$C$74=2),0,IF(AND(BY32+BZ32+CA32&gt;0.01,BV32=0,EQ32+ER32+ES32+ET32&lt;100),0,IF(AU32=3,CM32*0.08,IF(AU32=2,CM32*0.1,0)))))))))))))))))))))))))))))</f>
        <v>0</v>
      </c>
      <c r="CO32" s="660">
        <f t="shared" si="47"/>
        <v>0</v>
      </c>
      <c r="CP32" s="475" t="str">
        <f t="shared" si="48"/>
        <v/>
      </c>
      <c r="CQ32" s="161" t="str">
        <f>IF(AH32=0,0,IF(AU32=5,0,Summary!AC35))</f>
        <v/>
      </c>
      <c r="CR32" s="161" t="str">
        <f>IF(BF32=0.5,0,IF(AU32=5,0,Summary!AD35))</f>
        <v/>
      </c>
      <c r="CS32" s="161" t="str">
        <f>IF(AU32=5,0,Summary!AE35)</f>
        <v/>
      </c>
      <c r="CT32" s="161">
        <f t="shared" si="49"/>
        <v>0</v>
      </c>
      <c r="CU32" s="475" t="str">
        <f t="shared" si="7"/>
        <v/>
      </c>
      <c r="CV32" s="307">
        <f>IF('Data Entry'!$C$74=0,0,IF(AA32&lt;1,0,IF(ISERROR(CU32),0,IF(CF32=1,0,IF(AND(R32=12,BR32=50),0,IF(CL32+BO32+BV32+DC32=0,0,IF(BC32=37,0,IF(AND(BC32=40,AJ32=0),0,IF(AND(BC32=37,BO32&gt;0.01,BQ32&gt;0.01),ROUND(BQ32,0),IF(CM32&lt;0,0,ROUND(CM32,0)))))))))))</f>
        <v>0</v>
      </c>
      <c r="CW32" s="700">
        <f t="shared" si="50"/>
        <v>0</v>
      </c>
      <c r="CX32" s="477">
        <f>IF('Data Entry'!$C$74=0,0,IF(CV32&lt;0.01,0,IF(BF32=0.5,0,IF(CF32=1,0,IF(ISNUMBER(SEARCH("false",CL32)),0,IF(AZ32=500,0,CL32))))))</f>
        <v>0</v>
      </c>
      <c r="CY32" s="147" t="e">
        <f t="shared" si="51"/>
        <v>#VALUE!</v>
      </c>
      <c r="CZ32" s="147" t="b">
        <f>IF(CN32+CL32=0,FALSE,IF(AH32=0,0,IF(AND('Data Entry'!$C$74=1,CR32&gt;=1),TRUE,IF(AND('Data Entry'!$C$74=2,CS32&gt;=1),TRUE,FALSE))))</f>
        <v>0</v>
      </c>
      <c r="DA32" s="1751">
        <f>IF('Data Entry'!$C$74=0,0,IFERROR(ROUND(IF(T32="","",IF($X$4=0,0,IF(CF32=1,0,IF(BQ32+CV32=0,0,IF(CF32=1,0,IF(CY32&gt;0.01,CY32,IF(CL32&gt;0.01,CL32,IF(CY32&gt;0.01,CY32,IF(BC32=37,BO32,IF(CZ32=FALSE,0,IF(CZ32=TRUE,DC32+DF32,0))))))))))),2),""))</f>
        <v>0</v>
      </c>
      <c r="DB32" s="1752"/>
      <c r="DC32" s="474">
        <f>IF(CN32&lt;0.01,0,IF(AND(BR32=3,CN32&gt;0.01,CT32&gt;0.6,ER32+ES32+ET32&lt;100),0,IF(AND('Data Entry'!$C$74=1,CN32&gt;0.01,CR32&gt;0.99),MIN(CN32:CO32),IF(AND('Data Entry'!$C$74=2,CN32&gt;0.01,CS32&gt;0.99),MIN(CN32:CO32),0))))</f>
        <v>0</v>
      </c>
      <c r="DD32" s="478">
        <f>IF(CF32=1,"Selection does not match",IF(T32=0,0,IF(AND('Data Entry'!$C$74=0,CP32&gt;1),"Select Oregon or Idaho on Data Entry Tab",IF(AND(AU32=1,AA32&gt;0.9),"Missing Interior or Exterior Selection",IF($X$4=0,"Enter Total Project Cost",IF(AQ32&lt;AR32,"Insufficient kWh savings – no incentive",IF(AND(SUM(CL32+CK32+BV32)&gt;0.01,'Data Entry'!$C$74=2,CJ32&gt;1,BO32=0),"Submit Control as Non-Standard",IF(AND('Data Entry'!$C$74=2,BR32=37,CJ32&gt;1,BO32=0),"Submit Control as Non-Standard",IF(SUM(CL32+CK32+BV32)&gt;0.01,"Standard Incentive",IF(AND('Data Entry'!$C$74=2,CP32=7,CN32=0),"Submit as Non-Standard",IF(DC32&gt;0.9,"Non-Standard Incentive",IF(AND(BY32+BZ32+CA32&gt;0.01,BV32=0,EQ32=0,ER32=0,ES32=0,ET32=0),"Scroll Right &amp; Select Control Strategies",IF(AND(CN32&gt;0.01,CO32=0),"Enter Unit Installed Cost",IF(ISNUMBER(SEARCH("Lighting Controls Only",F32)),"Lighting Controls Only",IF(CL32+DC32=0,"Does not meet incentive criteria",0)))))))))))))))</f>
        <v>0</v>
      </c>
      <c r="DE32" s="337">
        <f t="shared" si="52"/>
        <v>0</v>
      </c>
      <c r="DF32" s="609">
        <f t="shared" si="53"/>
        <v>0</v>
      </c>
      <c r="DG32" s="336" t="str">
        <f t="shared" si="54"/>
        <v/>
      </c>
      <c r="DH32" s="338">
        <f t="shared" si="55"/>
        <v>1</v>
      </c>
      <c r="DI32" s="336" t="e">
        <f t="shared" si="8"/>
        <v>#VALUE!</v>
      </c>
      <c r="DJ32" s="338">
        <f t="shared" si="9"/>
        <v>0</v>
      </c>
      <c r="DK32" s="320" t="s">
        <v>1091</v>
      </c>
      <c r="DL32" s="323">
        <v>296</v>
      </c>
      <c r="DM32" s="320" t="s">
        <v>73</v>
      </c>
      <c r="DN32" s="1438"/>
      <c r="DO32" s="1444" t="s">
        <v>1488</v>
      </c>
      <c r="DP32" s="329"/>
      <c r="DQ32" s="331"/>
      <c r="DR32" s="1332"/>
      <c r="DS32" s="1434">
        <f t="shared" si="56"/>
        <v>0</v>
      </c>
      <c r="DT32" s="344" t="b">
        <f t="shared" si="57"/>
        <v>1</v>
      </c>
      <c r="DU32" s="1314" t="str">
        <f t="array" ref="DU32">IF(OR(COUNTIF(F32,"*"&amp;$DK$9:$DK$178&amp;"*")), "Yes", "")</f>
        <v/>
      </c>
      <c r="DV32" s="1314">
        <f t="shared" si="58"/>
        <v>0</v>
      </c>
      <c r="DW32" s="1480">
        <f t="shared" si="59"/>
        <v>0</v>
      </c>
      <c r="DX32" s="1498">
        <f t="shared" si="71"/>
        <v>0</v>
      </c>
      <c r="DY32" s="1484">
        <f t="shared" si="60"/>
        <v>0</v>
      </c>
      <c r="DZ32" s="1481" t="str">
        <f>Lists!A84</f>
        <v xml:space="preserve">Y:  </v>
      </c>
      <c r="EA32" s="881">
        <f>'Product Type'!E34</f>
        <v>0</v>
      </c>
      <c r="EB32" s="1499" t="s">
        <v>1089</v>
      </c>
      <c r="EC32" s="727" t="s">
        <v>1568</v>
      </c>
      <c r="ED32" s="728">
        <v>0.5</v>
      </c>
      <c r="EE32" s="1215"/>
      <c r="EF32" s="1215"/>
      <c r="EG32" s="1184" t="str">
        <f t="shared" si="61"/>
        <v/>
      </c>
      <c r="EH32" s="5"/>
      <c r="EI32" s="55"/>
      <c r="EJ32" s="1185">
        <f t="shared" si="10"/>
        <v>0</v>
      </c>
      <c r="EK32" s="1211"/>
      <c r="EL32" s="1180">
        <f t="shared" si="72"/>
        <v>0</v>
      </c>
      <c r="EM32" s="207"/>
      <c r="EN32" s="1038"/>
      <c r="EO32" s="1038"/>
      <c r="EP32" s="1038"/>
      <c r="EQ32" s="1038">
        <f t="shared" si="62"/>
        <v>0</v>
      </c>
      <c r="ER32" s="1041">
        <f t="shared" si="75"/>
        <v>0</v>
      </c>
      <c r="ES32" s="1042">
        <f t="shared" si="63"/>
        <v>0</v>
      </c>
      <c r="ET32" s="1042">
        <f t="shared" si="73"/>
        <v>0</v>
      </c>
      <c r="EU32" s="1021">
        <f t="shared" si="74"/>
        <v>0</v>
      </c>
      <c r="EV32" s="368"/>
      <c r="EW32" s="368"/>
      <c r="EX32" s="369"/>
      <c r="EY32" s="370"/>
      <c r="EZ32" s="370"/>
      <c r="FA32" s="371"/>
      <c r="FB32" s="372"/>
    </row>
    <row r="33" spans="1:158" ht="34.5" customHeight="1">
      <c r="A33" s="82">
        <v>25</v>
      </c>
      <c r="B33" s="1725"/>
      <c r="C33" s="1726"/>
      <c r="D33" s="1726"/>
      <c r="E33" s="1727"/>
      <c r="F33" s="1732"/>
      <c r="G33" s="1733"/>
      <c r="H33" s="1733"/>
      <c r="I33" s="1734"/>
      <c r="J33" s="1341"/>
      <c r="K33" s="1728"/>
      <c r="L33" s="1728"/>
      <c r="M33" s="1342"/>
      <c r="N33" s="1583"/>
      <c r="O33" s="208" t="str">
        <f t="shared" si="11"/>
        <v/>
      </c>
      <c r="P33" s="1344"/>
      <c r="Q33" s="39" t="str">
        <f t="shared" si="0"/>
        <v/>
      </c>
      <c r="R33" s="39">
        <f t="shared" si="12"/>
        <v>0</v>
      </c>
      <c r="S33" s="234">
        <f t="shared" si="13"/>
        <v>0</v>
      </c>
      <c r="T33" s="1755"/>
      <c r="U33" s="1755"/>
      <c r="V33" s="1755"/>
      <c r="W33" s="1345"/>
      <c r="X33" s="1741"/>
      <c r="Y33" s="1742"/>
      <c r="Z33" s="1346"/>
      <c r="AA33" s="1343"/>
      <c r="AB33" s="1141"/>
      <c r="AC33" s="1103" t="str">
        <f>IF(T33="","",VLOOKUP(Z33,Lists!$A$60:$B$111,2,FALSE))</f>
        <v/>
      </c>
      <c r="AD33" s="130" t="str">
        <f t="shared" si="14"/>
        <v/>
      </c>
      <c r="AE33" s="130" t="e">
        <f t="shared" si="15"/>
        <v>#VALUE!</v>
      </c>
      <c r="AF33" s="130">
        <f t="shared" si="16"/>
        <v>1</v>
      </c>
      <c r="AG33" s="234">
        <f t="shared" si="1"/>
        <v>0</v>
      </c>
      <c r="AH33" s="1753" t="str">
        <f>IF(T33="","",(IF(ISNUMBER(SEARCH("exit",T33)),8760,IF(AND(M33="Dusk to Dawn",'Proposed Lighting'!AU33=3),4059,IF(AND(AU33=3,M33="1"),0,IF(AND(AU33=3,M33="1-C"),0,IF(AND(AU33=3,M33="2"),0,IF(AND(AU33=3,M33="2-C"),0,IF(AND(AU33=3,M33="3"),0,IF(AND(AU33=3,M33="3-C"),0,IF(AND(AU33=2,M33="Dusk to Dawn"),0,IF(AND(AU33=2,M33="Dusk to Dawn-C"),0,IF(AND(AU33=2,M33="Dusk to Dawn"),0,IF(AND(AU33=2,M33="E"),0,IF(AND(AU33=2,M33="E-C"),0,EG33)))))))))))))))</f>
        <v/>
      </c>
      <c r="AI33" s="1754"/>
      <c r="AJ33" s="1136"/>
      <c r="AK33" s="1136"/>
      <c r="AL33" s="1748">
        <f t="shared" si="64"/>
        <v>0</v>
      </c>
      <c r="AM33" s="1749"/>
      <c r="AN33" s="1750"/>
      <c r="AO33" s="476">
        <f t="shared" si="2"/>
        <v>0</v>
      </c>
      <c r="AP33" s="476">
        <f t="shared" si="17"/>
        <v>0</v>
      </c>
      <c r="AQ33" s="475">
        <f t="shared" si="3"/>
        <v>0</v>
      </c>
      <c r="AR33" s="475">
        <f t="shared" si="18"/>
        <v>0</v>
      </c>
      <c r="AS33" s="743" t="str">
        <f t="shared" ref="AS33:AS96" si="79">IF(P33&gt;0.02,P33,O33)</f>
        <v/>
      </c>
      <c r="AT33" s="736" t="str">
        <f t="shared" si="20"/>
        <v/>
      </c>
      <c r="AU33" s="56">
        <f t="shared" si="21"/>
        <v>1</v>
      </c>
      <c r="AV33" s="476">
        <f t="shared" si="22"/>
        <v>0</v>
      </c>
      <c r="AW33" s="56">
        <f t="shared" si="23"/>
        <v>0</v>
      </c>
      <c r="AX33" s="475">
        <f t="shared" si="65"/>
        <v>0</v>
      </c>
      <c r="AY33" s="1169">
        <f t="shared" si="66"/>
        <v>0</v>
      </c>
      <c r="AZ33" s="1150">
        <f t="shared" si="67"/>
        <v>0</v>
      </c>
      <c r="BA33" s="56">
        <f t="shared" si="68"/>
        <v>0</v>
      </c>
      <c r="BB33" s="420">
        <f t="shared" si="4"/>
        <v>0</v>
      </c>
      <c r="BC33" s="58" t="str">
        <f t="shared" si="5"/>
        <v/>
      </c>
      <c r="BD33" s="660">
        <f t="shared" si="69"/>
        <v>0</v>
      </c>
      <c r="BE33" s="57" t="e">
        <f t="array" ref="BE33">INDEX($EB$11:$ED$1022,MATCH(F33&amp;T33,$EB$11:$EB$1007&amp;$EC$11:$EC$1007,0),3)</f>
        <v>#N/A</v>
      </c>
      <c r="BF33" s="463">
        <f t="shared" si="24"/>
        <v>0</v>
      </c>
      <c r="BG33" s="1445" t="e">
        <f t="array" ref="BG33">INDEX($DO$112:$DQ$123,MATCH(T33&amp;W33,$DO$114:$DO$125&amp;$DP$112:$DP$123,0),3)</f>
        <v>#N/A</v>
      </c>
      <c r="BH33" s="1446">
        <f t="shared" si="25"/>
        <v>0</v>
      </c>
      <c r="BI33" s="465">
        <f t="shared" si="26"/>
        <v>0</v>
      </c>
      <c r="BJ33" s="465">
        <f t="shared" si="27"/>
        <v>0</v>
      </c>
      <c r="BK33" s="466">
        <f t="shared" si="28"/>
        <v>0</v>
      </c>
      <c r="BL33" s="466">
        <f t="shared" si="29"/>
        <v>0</v>
      </c>
      <c r="BM33" s="466">
        <f t="shared" si="30"/>
        <v>0</v>
      </c>
      <c r="BN33" s="466">
        <f t="shared" si="31"/>
        <v>0</v>
      </c>
      <c r="BO33" s="463">
        <f>IF('Data Entry'!$C$74=0,0,IF(ISNA(CJ33),0,IF(AX33=0,0,IF(AND('Data Entry'!$C$74=2,AF33&gt;2,CE33&lt;1),0,IF(AND('Data Entry'!$C$74=2,AF33&gt;1,AU33=2,CJ33&gt;1),0,IF(AND(AF33=5,CT33=0.5,AU33=2,ER33&lt;100),0,IF(AND(AF33=5,CT33=0.5,AU33=3,ER33&lt;100),0,IF(AND('Data Entry'!$C$74=2,AF33=2,AU33=2,AK33&gt;0.01,CB33=2,CE33&lt;1),0,IF(AND('Data Entry'!$C$74=2,AF33=3,AU33=3,AK33&gt;0.01,CB33=3,CE33&lt;1),0,IF(AND('Data Entry'!$C$74=2,AF33=3,AU33=3,AK33&gt;0.01,CB33=3,CE33&gt;0.99),BQ33*0.08,IF(AND('Data Entry'!$C$74=2,AF33=2,AU33=2,AK33&gt;0.01,CB33=2,CE33&gt;0.99),BQ33*0.1,IF(AND(AU33=2,AK33&gt;0.01,CB33=2,CD33&gt;1),BQ33*0.1,IF(AND(AU33=3,AK33&gt;0.01,CB33=3,CD33&gt;1),BQ33*0.08,CJ33*EF33)))))))))))))</f>
        <v>0</v>
      </c>
      <c r="BP33" s="475">
        <f t="shared" si="32"/>
        <v>0</v>
      </c>
      <c r="BQ33" s="1431">
        <f>IF(AU33=1,0,IF(CH33=100,0,IF(AND(AF33=3,AU33=2),0,IF(AND(BH33=0,CT33&gt;0.4),0,IF(AND('Data Entry'!$C$74=2,AF33=1.5),0,IF(AND('Data Entry'!$C$74=2,AF33=1.6),0,IF(AND('Data Entry'!$C$74=2,AF33=4),0,IF(AND('Data Entry'!$C$74=2,AF33=5),0,IF(AND('Data Entry'!$C$74=2,AF33=2.5,CE33&lt;1),0,IF(AND('Data Entry'!$C$74=2,AF33=3,CE33&lt;1),0,IF(AND('Data Entry'!$C$74=1,AF33=2.5,CD33&lt;1),0,IF(AND('Data Entry'!$C$74=1,AF33=3,CD33&lt;1),0,IF(DX33&gt;0.01,DX33,IF(ISERROR(AX33-AY33),"",ROUND(AX33-AY33,2)))))))))))))))</f>
        <v>0</v>
      </c>
      <c r="BR33" s="146">
        <f t="shared" si="33"/>
        <v>0</v>
      </c>
      <c r="BS33" s="475">
        <f t="shared" si="34"/>
        <v>0</v>
      </c>
      <c r="BT33" s="146" t="b">
        <f t="shared" si="35"/>
        <v>0</v>
      </c>
      <c r="BU33" s="463">
        <f>IF(ISNA(AT33),0,IF(AND('Data Entry'!$C$74=2,BC33=27),0,IF(AND('Data Entry'!$C$74=2,BC33=28),0,IF(AND(BC33=27,BT33=27,CM33&gt;0.1),CM33*0.15,IF(AND(BC33=28,BT33=28,CM33&gt;0.1),CM33*0.12,0)))))</f>
        <v>0</v>
      </c>
      <c r="BV33" s="463">
        <f t="shared" si="78"/>
        <v>0</v>
      </c>
      <c r="BW33" s="463">
        <f t="shared" si="37"/>
        <v>0</v>
      </c>
      <c r="BX33" s="463">
        <f t="shared" si="38"/>
        <v>0</v>
      </c>
      <c r="BY33" s="463">
        <f t="shared" si="39"/>
        <v>0</v>
      </c>
      <c r="BZ33" s="463">
        <f t="shared" si="40"/>
        <v>0</v>
      </c>
      <c r="CA33" s="57">
        <f t="shared" si="70"/>
        <v>0</v>
      </c>
      <c r="CB33" s="56">
        <f t="shared" si="41"/>
        <v>1</v>
      </c>
      <c r="CC33" s="756">
        <f>IF(EE33=0,0,IF(EF33=0,0,IF(EE33&gt;AA33,0,IF(AND(AZ33&gt;AW33,AW33&gt;0),0,IF(CU33=0,0,Summary!AC336)))))</f>
        <v>0</v>
      </c>
      <c r="CD33" s="756">
        <f>IF(EE33=0,0,IF(EF33=0,0,IF(EE33&gt;AA33,0,IF(AND(AZ33&gt;AW33,AW33&gt;0),0,IF(CU33=0,0,Summary!AD336)))))</f>
        <v>0</v>
      </c>
      <c r="CE33" s="756">
        <f>IF(EF33=0,0,IF(EE33&gt;AA33,0,IF(CC33=0,0,IF(AND(AZ33&gt;AW33,AW33&gt;0),0,IF(CU33=0,0,Summary!AE336)))))</f>
        <v>0</v>
      </c>
      <c r="CF33" s="475">
        <f t="shared" si="42"/>
        <v>0</v>
      </c>
      <c r="CG33" s="476">
        <f t="shared" si="6"/>
        <v>0</v>
      </c>
      <c r="CH33" s="487">
        <f t="shared" si="43"/>
        <v>0</v>
      </c>
      <c r="CI33" s="756">
        <f t="shared" si="44"/>
        <v>0</v>
      </c>
      <c r="CJ33" s="487">
        <f>IF(CT33&gt;0.4,0,IF(AND(AU33=2,CH33=0,CT33=0.5,ER33=100),35,IF(AND(AU33=3,BB33&gt;75,CH33=0,CT33=0.5,ER33=100),25,IF(CB33&gt;1,0,IF(EF33&gt;EE33,0,IF(AND(AF33&gt;1,CH33=100),0,IF(AND(AF33=1,AY33=0),0,IF(AND(EF33&lt;=EE33,AW33&gt;=AZ33,'Data Entry'!$C$74=1,AU33=2),VLOOKUP(W33,$DO$96:$DP$102,2,FALSE),IF(AND(EF33&lt;=EE33,AW33&gt;=AZ33,AU33=3,'Data Entry'!$C$74=1),VLOOKUP(W33,$DO$127:$DP$134,2,FALSE))))))))))</f>
        <v>0</v>
      </c>
      <c r="CK33" s="716">
        <f t="shared" si="45"/>
        <v>0</v>
      </c>
      <c r="CL33" s="57">
        <f t="shared" si="46"/>
        <v>0</v>
      </c>
      <c r="CM33" s="475">
        <f t="shared" si="77"/>
        <v>0</v>
      </c>
      <c r="CN33" s="660">
        <f>IF(CM33&lt;0.1,0,IF(ISNA(AT33),0,IF(CL33+BC33=1,0,IF(BV33&gt;0.01,0,IF(CL33&gt;0.01,0,IF(CF33=1,0,IF(BC33=0.5,0,IF(AND(CI33=1,AU33=3),0,IF(AND(CI33=5,CL33=0),0,IF(AND(R33=12,BR33=50),0,IF(CK33&gt;0.01,0,IF(AND(AJ33&gt;0.01,AU33=2,BC33=15),CM33*0.1,IF(AND(AJ33&gt;0.01,AU33=3,BC33=15),CM33*0.08,IF(AND(R33=12,BC33=3,AF33&lt;=0),0,IF(AND(BC33=15,BI33=0),0,IF(AND(BC33=15,BJ33=0),0,IF(AND(R33=20,CU33=0),0,IF($X$4=0,0,IF(AND(BC33=250,CL33=0),0,IF(AA33&lt;1,0,IF(AND(ISNUMBER(SEARCH("Area",T33)),AU33=3),0,IF(AND(AQ33&gt;0.01,AR33=0,BK33=0,BL33=0,BM33=0,BN33=0),0,IF(AND(AU33=3,CI33=7,CT33&gt;0.5),0,IF(AND(BC33=44,AU33=3,BY33=0),0,IF(AND(BC33=27,'Data Entry'!$C$74=2),0,IF(AND(BC33=28,'Data Entry'!$C$74=2),0,IF(AND(BY33+BZ33+CA33&gt;0.01,BV33=0,EQ33+ER33+ES33+ET33&lt;100),0,IF(AU33=3,CM33*0.08,IF(AU33=2,CM33*0.1,0)))))))))))))))))))))))))))))</f>
        <v>0</v>
      </c>
      <c r="CO33" s="660">
        <f t="shared" si="47"/>
        <v>0</v>
      </c>
      <c r="CP33" s="475" t="str">
        <f t="shared" si="48"/>
        <v/>
      </c>
      <c r="CQ33" s="161" t="str">
        <f>IF(AH33=0,0,IF(AU33=5,0,Summary!AC36))</f>
        <v/>
      </c>
      <c r="CR33" s="161" t="str">
        <f>IF(BF33=0.5,0,IF(AU33=5,0,Summary!AD36))</f>
        <v/>
      </c>
      <c r="CS33" s="161" t="str">
        <f>IF(AU33=5,0,Summary!AE36)</f>
        <v/>
      </c>
      <c r="CT33" s="161">
        <f t="shared" si="49"/>
        <v>0</v>
      </c>
      <c r="CU33" s="475" t="str">
        <f t="shared" si="7"/>
        <v/>
      </c>
      <c r="CV33" s="307">
        <f>IF('Data Entry'!$C$74=0,0,IF(AA33&lt;1,0,IF(ISERROR(CU33),0,IF(CF33=1,0,IF(AND(R33=12,BR33=50),0,IF(CL33+BO33+BV33+DC33=0,0,IF(BC33=37,0,IF(AND(BC33=40,AJ33=0),0,IF(AND(BC33=37,BO33&gt;0.01,BQ33&gt;0.01),ROUND(BQ33,0),IF(CM33&lt;0,0,ROUND(CM33,0)))))))))))</f>
        <v>0</v>
      </c>
      <c r="CW33" s="700">
        <f t="shared" si="50"/>
        <v>0</v>
      </c>
      <c r="CX33" s="477">
        <f>IF('Data Entry'!$C$74=0,0,IF(CV33&lt;0.01,0,IF(BF33=0.5,0,IF(CF33=1,0,IF(ISNUMBER(SEARCH("false",CL33)),0,IF(AZ33=500,0,CL33))))))</f>
        <v>0</v>
      </c>
      <c r="CY33" s="147" t="e">
        <f t="shared" si="51"/>
        <v>#VALUE!</v>
      </c>
      <c r="CZ33" s="147" t="b">
        <f>IF(CN33+CL33=0,FALSE,IF(AH33=0,0,IF(AND('Data Entry'!$C$74=1,CR33&gt;=1),TRUE,IF(AND('Data Entry'!$C$74=2,CS33&gt;=1),TRUE,FALSE))))</f>
        <v>0</v>
      </c>
      <c r="DA33" s="1751">
        <f>IF('Data Entry'!$C$74=0,0,IFERROR(ROUND(IF(T33="","",IF($X$4=0,0,IF(CF33=1,0,IF(BQ33+CV33=0,0,IF(CF33=1,0,IF(CY33&gt;0.01,CY33,IF(CL33&gt;0.01,CL33,IF(CY33&gt;0.01,CY33,IF(BC33=37,BO33,IF(CZ33=FALSE,0,IF(CZ33=TRUE,DC33+DF33,0))))))))))),2),""))</f>
        <v>0</v>
      </c>
      <c r="DB33" s="1752"/>
      <c r="DC33" s="474">
        <f>IF(CN33&lt;0.01,0,IF(AND(BR33=3,CN33&gt;0.01,CT33&gt;0.6,ER33+ES33+ET33&lt;100),0,IF(AND('Data Entry'!$C$74=1,CN33&gt;0.01,CR33&gt;0.99),MIN(CN33:CO33),IF(AND('Data Entry'!$C$74=2,CN33&gt;0.01,CS33&gt;0.99),MIN(CN33:CO33),0))))</f>
        <v>0</v>
      </c>
      <c r="DD33" s="478">
        <f>IF(CF33=1,"Selection does not match",IF(T33=0,0,IF(AND('Data Entry'!$C$74=0,CP33&gt;1),"Select Oregon or Idaho on Data Entry Tab",IF(AND(AU33=1,AA33&gt;0.9),"Missing Interior or Exterior Selection",IF($X$4=0,"Enter Total Project Cost",IF(AQ33&lt;AR33,"Insufficient kWh savings – no incentive",IF(AND(SUM(CL33+CK33+BV33)&gt;0.01,'Data Entry'!$C$74=2,CJ33&gt;1,BO33=0),"Submit Control as Non-Standard",IF(AND('Data Entry'!$C$74=2,BR33=37,CJ33&gt;1,BO33=0),"Submit Control as Non-Standard",IF(SUM(CL33+CK33+BV33)&gt;0.01,"Standard Incentive",IF(AND('Data Entry'!$C$74=2,CP33=7,CN33=0),"Submit as Non-Standard",IF(DC33&gt;0.9,"Non-Standard Incentive",IF(AND(BY33+BZ33+CA33&gt;0.01,BV33=0,EQ33=0,ER33=0,ES33=0,ET33=0),"Scroll Right &amp; Select Control Strategies",IF(AND(CN33&gt;0.01,CO33=0),"Enter Unit Installed Cost",IF(ISNUMBER(SEARCH("Lighting Controls Only",F33)),"Lighting Controls Only",IF(CL33+DC33=0,"Does not meet incentive criteria",0)))))))))))))))</f>
        <v>0</v>
      </c>
      <c r="DE33" s="337">
        <f t="shared" si="52"/>
        <v>0</v>
      </c>
      <c r="DF33" s="609">
        <f t="shared" si="53"/>
        <v>0</v>
      </c>
      <c r="DG33" s="336" t="str">
        <f t="shared" si="54"/>
        <v/>
      </c>
      <c r="DH33" s="338">
        <f t="shared" si="55"/>
        <v>1</v>
      </c>
      <c r="DI33" s="336" t="e">
        <f t="shared" si="8"/>
        <v>#VALUE!</v>
      </c>
      <c r="DJ33" s="338">
        <f t="shared" si="9"/>
        <v>0</v>
      </c>
      <c r="DK33" s="325" t="s">
        <v>73</v>
      </c>
      <c r="DL33" s="341" t="s">
        <v>450</v>
      </c>
      <c r="DM33" s="325" t="s">
        <v>126</v>
      </c>
      <c r="DN33" s="1439">
        <v>6</v>
      </c>
      <c r="DO33" s="1444" t="s">
        <v>1762</v>
      </c>
      <c r="DP33" s="329"/>
      <c r="DQ33" s="361"/>
      <c r="DR33" s="1332"/>
      <c r="DS33" s="1434">
        <f t="shared" si="56"/>
        <v>0</v>
      </c>
      <c r="DT33" s="344" t="b">
        <f t="shared" si="57"/>
        <v>1</v>
      </c>
      <c r="DU33" s="1314" t="str">
        <f t="array" ref="DU33">IF(OR(COUNTIF(F33,"*"&amp;$DK$9:$DK$178&amp;"*")), "Yes", "")</f>
        <v/>
      </c>
      <c r="DV33" s="1314">
        <f t="shared" si="58"/>
        <v>0</v>
      </c>
      <c r="DW33" s="1480">
        <f t="shared" si="59"/>
        <v>0</v>
      </c>
      <c r="DX33" s="1498">
        <f t="shared" si="71"/>
        <v>0</v>
      </c>
      <c r="DY33" s="1484">
        <f t="shared" si="60"/>
        <v>0</v>
      </c>
      <c r="DZ33" s="1481" t="str">
        <f>Lists!A85</f>
        <v xml:space="preserve">Z:  </v>
      </c>
      <c r="EA33" s="881">
        <f>'Product Type'!E35</f>
        <v>0</v>
      </c>
      <c r="EB33" s="1499" t="s">
        <v>315</v>
      </c>
      <c r="EC33" s="727" t="s">
        <v>1568</v>
      </c>
      <c r="ED33" s="728">
        <v>0.5</v>
      </c>
      <c r="EE33" s="1215"/>
      <c r="EF33" s="1215"/>
      <c r="EG33" s="1184" t="str">
        <f t="shared" si="61"/>
        <v/>
      </c>
      <c r="EH33" s="5"/>
      <c r="EI33" s="55"/>
      <c r="EJ33" s="1185">
        <f t="shared" si="10"/>
        <v>0</v>
      </c>
      <c r="EK33" s="1211"/>
      <c r="EL33" s="1180">
        <f t="shared" si="72"/>
        <v>0</v>
      </c>
      <c r="EM33" s="207"/>
      <c r="EN33" s="1038"/>
      <c r="EO33" s="1038"/>
      <c r="EP33" s="1038"/>
      <c r="EQ33" s="1038">
        <f t="shared" si="62"/>
        <v>0</v>
      </c>
      <c r="ER33" s="1041">
        <f t="shared" si="75"/>
        <v>0</v>
      </c>
      <c r="ES33" s="1042">
        <f t="shared" si="63"/>
        <v>0</v>
      </c>
      <c r="ET33" s="1042">
        <f t="shared" si="73"/>
        <v>0</v>
      </c>
      <c r="EU33" s="1021">
        <f t="shared" si="74"/>
        <v>0</v>
      </c>
      <c r="EV33" s="368"/>
      <c r="EW33" s="368"/>
      <c r="EX33" s="369"/>
      <c r="EY33" s="370"/>
      <c r="EZ33" s="370"/>
      <c r="FA33" s="371"/>
      <c r="FB33" s="372"/>
    </row>
    <row r="34" spans="1:158" ht="34.5" customHeight="1">
      <c r="A34" s="82">
        <v>26</v>
      </c>
      <c r="B34" s="1725"/>
      <c r="C34" s="1726"/>
      <c r="D34" s="1726"/>
      <c r="E34" s="1727"/>
      <c r="F34" s="1732"/>
      <c r="G34" s="1733"/>
      <c r="H34" s="1733"/>
      <c r="I34" s="1734"/>
      <c r="J34" s="1341"/>
      <c r="K34" s="1728"/>
      <c r="L34" s="1728"/>
      <c r="M34" s="1342"/>
      <c r="N34" s="1583"/>
      <c r="O34" s="208" t="str">
        <f t="shared" si="11"/>
        <v/>
      </c>
      <c r="P34" s="1344"/>
      <c r="Q34" s="39" t="str">
        <f t="shared" si="0"/>
        <v/>
      </c>
      <c r="R34" s="39">
        <f t="shared" si="12"/>
        <v>0</v>
      </c>
      <c r="S34" s="234">
        <f t="shared" si="13"/>
        <v>0</v>
      </c>
      <c r="T34" s="1755"/>
      <c r="U34" s="1755"/>
      <c r="V34" s="1755"/>
      <c r="W34" s="1345"/>
      <c r="X34" s="1741"/>
      <c r="Y34" s="1742"/>
      <c r="Z34" s="1346"/>
      <c r="AA34" s="1343"/>
      <c r="AB34" s="1141"/>
      <c r="AC34" s="1103" t="str">
        <f>IF(T34="","",VLOOKUP(Z34,Lists!$A$60:$B$111,2,FALSE))</f>
        <v/>
      </c>
      <c r="AD34" s="130" t="str">
        <f t="shared" si="14"/>
        <v/>
      </c>
      <c r="AE34" s="130" t="e">
        <f t="shared" si="15"/>
        <v>#VALUE!</v>
      </c>
      <c r="AF34" s="130">
        <f t="shared" si="16"/>
        <v>1</v>
      </c>
      <c r="AG34" s="234">
        <f t="shared" si="1"/>
        <v>0</v>
      </c>
      <c r="AH34" s="1753" t="str">
        <f>IF(T34="","",(IF(ISNUMBER(SEARCH("exit",T34)),8760,IF(AND(M34="Dusk to Dawn",'Proposed Lighting'!AU34=3),4059,IF(AND(AU34=3,M34="1"),0,IF(AND(AU34=3,M34="1-C"),0,IF(AND(AU34=3,M34="2"),0,IF(AND(AU34=3,M34="2-C"),0,IF(AND(AU34=3,M34="3"),0,IF(AND(AU34=3,M34="3-C"),0,IF(AND(AU34=2,M34="Dusk to Dawn"),0,IF(AND(AU34=2,M34="Dusk to Dawn-C"),0,IF(AND(AU34=2,M34="Dusk to Dawn"),0,IF(AND(AU34=2,M34="E"),0,IF(AND(AU34=2,M34="E-C"),0,EG34)))))))))))))))</f>
        <v/>
      </c>
      <c r="AI34" s="1754"/>
      <c r="AJ34" s="1136"/>
      <c r="AK34" s="1136"/>
      <c r="AL34" s="1748">
        <f t="shared" si="64"/>
        <v>0</v>
      </c>
      <c r="AM34" s="1749"/>
      <c r="AN34" s="1750"/>
      <c r="AO34" s="476">
        <f t="shared" si="2"/>
        <v>0</v>
      </c>
      <c r="AP34" s="476">
        <f t="shared" si="17"/>
        <v>0</v>
      </c>
      <c r="AQ34" s="475">
        <f t="shared" si="3"/>
        <v>0</v>
      </c>
      <c r="AR34" s="475">
        <f t="shared" si="18"/>
        <v>0</v>
      </c>
      <c r="AS34" s="743" t="str">
        <f t="shared" si="79"/>
        <v/>
      </c>
      <c r="AT34" s="736" t="str">
        <f t="shared" si="20"/>
        <v/>
      </c>
      <c r="AU34" s="56">
        <f t="shared" si="21"/>
        <v>1</v>
      </c>
      <c r="AV34" s="476">
        <f t="shared" si="22"/>
        <v>0</v>
      </c>
      <c r="AW34" s="56">
        <f t="shared" si="23"/>
        <v>0</v>
      </c>
      <c r="AX34" s="475">
        <f t="shared" si="65"/>
        <v>0</v>
      </c>
      <c r="AY34" s="1169">
        <f t="shared" si="66"/>
        <v>0</v>
      </c>
      <c r="AZ34" s="1150">
        <f t="shared" si="67"/>
        <v>0</v>
      </c>
      <c r="BA34" s="56">
        <f t="shared" si="68"/>
        <v>0</v>
      </c>
      <c r="BB34" s="420">
        <f t="shared" si="4"/>
        <v>0</v>
      </c>
      <c r="BC34" s="58" t="str">
        <f t="shared" si="5"/>
        <v/>
      </c>
      <c r="BD34" s="660">
        <f t="shared" si="69"/>
        <v>0</v>
      </c>
      <c r="BE34" s="57" t="e">
        <f t="array" ref="BE34">INDEX($EB$11:$ED$1022,MATCH(F34&amp;T34,$EB$11:$EB$1007&amp;$EC$11:$EC$1007,0),3)</f>
        <v>#N/A</v>
      </c>
      <c r="BF34" s="463">
        <f t="shared" si="24"/>
        <v>0</v>
      </c>
      <c r="BG34" s="1445" t="e">
        <f t="array" ref="BG34">INDEX($DO$112:$DQ$123,MATCH(T34&amp;W34,$DO$114:$DO$125&amp;$DP$112:$DP$123,0),3)</f>
        <v>#N/A</v>
      </c>
      <c r="BH34" s="1446">
        <f t="shared" si="25"/>
        <v>0</v>
      </c>
      <c r="BI34" s="465">
        <f t="shared" si="26"/>
        <v>0</v>
      </c>
      <c r="BJ34" s="465">
        <f t="shared" si="27"/>
        <v>0</v>
      </c>
      <c r="BK34" s="466">
        <f t="shared" si="28"/>
        <v>0</v>
      </c>
      <c r="BL34" s="466">
        <f t="shared" si="29"/>
        <v>0</v>
      </c>
      <c r="BM34" s="466">
        <f t="shared" si="30"/>
        <v>0</v>
      </c>
      <c r="BN34" s="466">
        <f t="shared" si="31"/>
        <v>0</v>
      </c>
      <c r="BO34" s="463">
        <f>IF('Data Entry'!$C$74=0,0,IF(ISNA(CJ34),0,IF(AX34=0,0,IF(AND('Data Entry'!$C$74=2,AF34&gt;2,CE34&lt;1),0,IF(AND('Data Entry'!$C$74=2,AF34&gt;1,AU34=2,CJ34&gt;1),0,IF(AND(AF34=5,CT34=0.5,AU34=2,ER34&lt;100),0,IF(AND(AF34=5,CT34=0.5,AU34=3,ER34&lt;100),0,IF(AND('Data Entry'!$C$74=2,AF34=2,AU34=2,AK34&gt;0.01,CB34=2,CE34&lt;1),0,IF(AND('Data Entry'!$C$74=2,AF34=3,AU34=3,AK34&gt;0.01,CB34=3,CE34&lt;1),0,IF(AND('Data Entry'!$C$74=2,AF34=3,AU34=3,AK34&gt;0.01,CB34=3,CE34&gt;0.99),BQ34*0.08,IF(AND('Data Entry'!$C$74=2,AF34=2,AU34=2,AK34&gt;0.01,CB34=2,CE34&gt;0.99),BQ34*0.1,IF(AND(AU34=2,AK34&gt;0.01,CB34=2,CD34&gt;1),BQ34*0.1,IF(AND(AU34=3,AK34&gt;0.01,CB34=3,CD34&gt;1),BQ34*0.08,CJ34*EF34)))))))))))))</f>
        <v>0</v>
      </c>
      <c r="BP34" s="475">
        <f t="shared" si="32"/>
        <v>0</v>
      </c>
      <c r="BQ34" s="1431">
        <f>IF(AU34=1,0,IF(CH34=100,0,IF(AND(AF34=3,AU34=2),0,IF(AND(BH34=0,CT34&gt;0.4),0,IF(AND('Data Entry'!$C$74=2,AF34=1.5),0,IF(AND('Data Entry'!$C$74=2,AF34=1.6),0,IF(AND('Data Entry'!$C$74=2,AF34=4),0,IF(AND('Data Entry'!$C$74=2,AF34=5),0,IF(AND('Data Entry'!$C$74=2,AF34=2.5,CE34&lt;1),0,IF(AND('Data Entry'!$C$74=2,AF34=3,CE34&lt;1),0,IF(AND('Data Entry'!$C$74=1,AF34=2.5,CD34&lt;1),0,IF(AND('Data Entry'!$C$74=1,AF34=3,CD34&lt;1),0,IF(DX34&gt;0.01,DX34,IF(ISERROR(AX34-AY34),"",ROUND(AX34-AY34,2)))))))))))))))</f>
        <v>0</v>
      </c>
      <c r="BR34" s="146">
        <f t="shared" si="33"/>
        <v>0</v>
      </c>
      <c r="BS34" s="475">
        <f t="shared" si="34"/>
        <v>0</v>
      </c>
      <c r="BT34" s="146" t="b">
        <f t="shared" si="35"/>
        <v>0</v>
      </c>
      <c r="BU34" s="463">
        <f>IF(ISNA(AT34),0,IF(AND('Data Entry'!$C$74=2,BC34=27),0,IF(AND('Data Entry'!$C$74=2,BC34=28),0,IF(AND(BC34=27,BT34=27,CM34&gt;0.1),CM34*0.15,IF(AND(BC34=28,BT34=28,CM34&gt;0.1),CM34*0.12,0)))))</f>
        <v>0</v>
      </c>
      <c r="BV34" s="463">
        <f t="shared" si="78"/>
        <v>0</v>
      </c>
      <c r="BW34" s="463">
        <f t="shared" si="37"/>
        <v>0</v>
      </c>
      <c r="BX34" s="463">
        <f t="shared" si="38"/>
        <v>0</v>
      </c>
      <c r="BY34" s="463">
        <f t="shared" si="39"/>
        <v>0</v>
      </c>
      <c r="BZ34" s="463">
        <f t="shared" si="40"/>
        <v>0</v>
      </c>
      <c r="CA34" s="57">
        <f t="shared" si="70"/>
        <v>0</v>
      </c>
      <c r="CB34" s="56">
        <f t="shared" si="41"/>
        <v>1</v>
      </c>
      <c r="CC34" s="756">
        <f>IF(EE34=0,0,IF(EF34=0,0,IF(EE34&gt;AA34,0,IF(AND(AZ34&gt;AW34,AW34&gt;0),0,IF(CU34=0,0,Summary!AC337)))))</f>
        <v>0</v>
      </c>
      <c r="CD34" s="756">
        <f>IF(EE34=0,0,IF(EF34=0,0,IF(EE34&gt;AA34,0,IF(AND(AZ34&gt;AW34,AW34&gt;0),0,IF(CU34=0,0,Summary!AD337)))))</f>
        <v>0</v>
      </c>
      <c r="CE34" s="756">
        <f>IF(EF34=0,0,IF(EE34&gt;AA34,0,IF(CC34=0,0,IF(AND(AZ34&gt;AW34,AW34&gt;0),0,IF(CU34=0,0,Summary!AE337)))))</f>
        <v>0</v>
      </c>
      <c r="CF34" s="475">
        <f t="shared" si="42"/>
        <v>0</v>
      </c>
      <c r="CG34" s="476">
        <f t="shared" si="6"/>
        <v>0</v>
      </c>
      <c r="CH34" s="487">
        <f t="shared" si="43"/>
        <v>0</v>
      </c>
      <c r="CI34" s="756">
        <f t="shared" si="44"/>
        <v>0</v>
      </c>
      <c r="CJ34" s="487">
        <f>IF(CT34&gt;0.4,0,IF(AND(AU34=2,CH34=0,CT34=0.5,ER34=100),35,IF(AND(AU34=3,BB34&gt;75,CH34=0,CT34=0.5,ER34=100),25,IF(CB34&gt;1,0,IF(EF34&gt;EE34,0,IF(AND(AF34&gt;1,CH34=100),0,IF(AND(AF34=1,AY34=0),0,IF(AND(EF34&lt;=EE34,AW34&gt;=AZ34,'Data Entry'!$C$74=1,AU34=2),VLOOKUP(W34,$DO$96:$DP$102,2,FALSE),IF(AND(EF34&lt;=EE34,AW34&gt;=AZ34,AU34=3,'Data Entry'!$C$74=1),VLOOKUP(W34,$DO$127:$DP$134,2,FALSE))))))))))</f>
        <v>0</v>
      </c>
      <c r="CK34" s="716">
        <f t="shared" si="45"/>
        <v>0</v>
      </c>
      <c r="CL34" s="57">
        <f t="shared" si="46"/>
        <v>0</v>
      </c>
      <c r="CM34" s="475">
        <f t="shared" si="77"/>
        <v>0</v>
      </c>
      <c r="CN34" s="660">
        <f>IF(CM34&lt;0.1,0,IF(ISNA(AT34),0,IF(CL34+BC34=1,0,IF(BV34&gt;0.01,0,IF(CL34&gt;0.01,0,IF(CF34=1,0,IF(BC34=0.5,0,IF(AND(CI34=1,AU34=3),0,IF(AND(CI34=5,CL34=0),0,IF(AND(R34=12,BR34=50),0,IF(CK34&gt;0.01,0,IF(AND(AJ34&gt;0.01,AU34=2,BC34=15),CM34*0.1,IF(AND(AJ34&gt;0.01,AU34=3,BC34=15),CM34*0.08,IF(AND(R34=12,BC34=3,AF34&lt;=0),0,IF(AND(BC34=15,BI34=0),0,IF(AND(BC34=15,BJ34=0),0,IF(AND(R34=20,CU34=0),0,IF($X$4=0,0,IF(AND(BC34=250,CL34=0),0,IF(AA34&lt;1,0,IF(AND(ISNUMBER(SEARCH("Area",T34)),AU34=3),0,IF(AND(AQ34&gt;0.01,AR34=0,BK34=0,BL34=0,BM34=0,BN34=0),0,IF(AND(AU34=3,CI34=7,CT34&gt;0.5),0,IF(AND(BC34=44,AU34=3,BY34=0),0,IF(AND(BC34=27,'Data Entry'!$C$74=2),0,IF(AND(BC34=28,'Data Entry'!$C$74=2),0,IF(AND(BY34+BZ34+CA34&gt;0.01,BV34=0,EQ34+ER34+ES34+ET34&lt;100),0,IF(AU34=3,CM34*0.08,IF(AU34=2,CM34*0.1,0)))))))))))))))))))))))))))))</f>
        <v>0</v>
      </c>
      <c r="CO34" s="660">
        <f t="shared" si="47"/>
        <v>0</v>
      </c>
      <c r="CP34" s="475" t="str">
        <f t="shared" si="48"/>
        <v/>
      </c>
      <c r="CQ34" s="161" t="str">
        <f>IF(AH34=0,0,IF(AU34=5,0,Summary!AC37))</f>
        <v/>
      </c>
      <c r="CR34" s="161" t="str">
        <f>IF(BF34=0.5,0,IF(AU34=5,0,Summary!AD37))</f>
        <v/>
      </c>
      <c r="CS34" s="161" t="str">
        <f>IF(AU34=5,0,Summary!AE37)</f>
        <v/>
      </c>
      <c r="CT34" s="161">
        <f t="shared" si="49"/>
        <v>0</v>
      </c>
      <c r="CU34" s="475" t="str">
        <f t="shared" si="7"/>
        <v/>
      </c>
      <c r="CV34" s="307">
        <f>IF('Data Entry'!$C$74=0,0,IF(AA34&lt;1,0,IF(ISERROR(CU34),0,IF(CF34=1,0,IF(AND(R34=12,BR34=50),0,IF(CL34+BO34+BV34+DC34=0,0,IF(BC34=37,0,IF(AND(BC34=40,AJ34=0),0,IF(AND(BC34=37,BO34&gt;0.01,BQ34&gt;0.01),ROUND(BQ34,0),IF(CM34&lt;0,0,ROUND(CM34,0)))))))))))</f>
        <v>0</v>
      </c>
      <c r="CW34" s="700">
        <f t="shared" si="50"/>
        <v>0</v>
      </c>
      <c r="CX34" s="477">
        <f>IF('Data Entry'!$C$74=0,0,IF(CV34&lt;0.01,0,IF(BF34=0.5,0,IF(CF34=1,0,IF(ISNUMBER(SEARCH("false",CL34)),0,IF(AZ34=500,0,CL34))))))</f>
        <v>0</v>
      </c>
      <c r="CY34" s="147" t="e">
        <f t="shared" si="51"/>
        <v>#VALUE!</v>
      </c>
      <c r="CZ34" s="147" t="b">
        <f>IF(CN34+CL34=0,FALSE,IF(AH34=0,0,IF(AND('Data Entry'!$C$74=1,CR34&gt;=1),TRUE,IF(AND('Data Entry'!$C$74=2,CS34&gt;=1),TRUE,FALSE))))</f>
        <v>0</v>
      </c>
      <c r="DA34" s="1751">
        <f>IF('Data Entry'!$C$74=0,0,IFERROR(ROUND(IF(T34="","",IF($X$4=0,0,IF(CF34=1,0,IF(BQ34+CV34=0,0,IF(CF34=1,0,IF(CY34&gt;0.01,CY34,IF(CL34&gt;0.01,CL34,IF(CY34&gt;0.01,CY34,IF(BC34=37,BO34,IF(CZ34=FALSE,0,IF(CZ34=TRUE,DC34+DF34,0))))))))))),2),""))</f>
        <v>0</v>
      </c>
      <c r="DB34" s="1752"/>
      <c r="DC34" s="474">
        <f>IF(CN34&lt;0.01,0,IF(AND(BR34=3,CN34&gt;0.01,CT34&gt;0.6,ER34+ES34+ET34&lt;100),0,IF(AND('Data Entry'!$C$74=1,CN34&gt;0.01,CR34&gt;0.99),MIN(CN34:CO34),IF(AND('Data Entry'!$C$74=2,CN34&gt;0.01,CS34&gt;0.99),MIN(CN34:CO34),0))))</f>
        <v>0</v>
      </c>
      <c r="DD34" s="478">
        <f>IF(CF34=1,"Selection does not match",IF(T34=0,0,IF(AND('Data Entry'!$C$74=0,CP34&gt;1),"Select Oregon or Idaho on Data Entry Tab",IF(AND(AU34=1,AA34&gt;0.9),"Missing Interior or Exterior Selection",IF($X$4=0,"Enter Total Project Cost",IF(AQ34&lt;AR34,"Insufficient kWh savings – no incentive",IF(AND(SUM(CL34+CK34+BV34)&gt;0.01,'Data Entry'!$C$74=2,CJ34&gt;1,BO34=0),"Submit Control as Non-Standard",IF(AND('Data Entry'!$C$74=2,BR34=37,CJ34&gt;1,BO34=0),"Submit Control as Non-Standard",IF(SUM(CL34+CK34+BV34)&gt;0.01,"Standard Incentive",IF(AND('Data Entry'!$C$74=2,CP34=7,CN34=0),"Submit as Non-Standard",IF(DC34&gt;0.9,"Non-Standard Incentive",IF(AND(BY34+BZ34+CA34&gt;0.01,BV34=0,EQ34=0,ER34=0,ES34=0,ET34=0),"Scroll Right &amp; Select Control Strategies",IF(AND(CN34&gt;0.01,CO34=0),"Enter Unit Installed Cost",IF(ISNUMBER(SEARCH("Lighting Controls Only",F34)),"Lighting Controls Only",IF(CL34+DC34=0,"Does not meet incentive criteria",0)))))))))))))))</f>
        <v>0</v>
      </c>
      <c r="DE34" s="337">
        <f t="shared" si="52"/>
        <v>0</v>
      </c>
      <c r="DF34" s="609">
        <f t="shared" si="53"/>
        <v>0</v>
      </c>
      <c r="DG34" s="336" t="str">
        <f t="shared" si="54"/>
        <v/>
      </c>
      <c r="DH34" s="338">
        <f t="shared" si="55"/>
        <v>1</v>
      </c>
      <c r="DI34" s="336" t="e">
        <f t="shared" si="8"/>
        <v>#VALUE!</v>
      </c>
      <c r="DJ34" s="338">
        <f t="shared" si="9"/>
        <v>0</v>
      </c>
      <c r="DK34" s="325" t="s">
        <v>472</v>
      </c>
      <c r="DL34" s="341">
        <v>25</v>
      </c>
      <c r="DM34" s="325" t="s">
        <v>127</v>
      </c>
      <c r="DN34" s="1439">
        <v>12</v>
      </c>
      <c r="DO34" s="1444" t="s">
        <v>1763</v>
      </c>
      <c r="DP34" s="332"/>
      <c r="DQ34" s="72"/>
      <c r="DR34" s="1332"/>
      <c r="DS34" s="1434">
        <f t="shared" si="56"/>
        <v>0</v>
      </c>
      <c r="DT34" s="344" t="b">
        <f t="shared" si="57"/>
        <v>1</v>
      </c>
      <c r="DU34" s="1314" t="str">
        <f t="array" ref="DU34">IF(OR(COUNTIF(F34,"*"&amp;$DK$9:$DK$178&amp;"*")), "Yes", "")</f>
        <v/>
      </c>
      <c r="DV34" s="1314">
        <f t="shared" si="58"/>
        <v>0</v>
      </c>
      <c r="DW34" s="1480">
        <f t="shared" si="59"/>
        <v>0</v>
      </c>
      <c r="DX34" s="1498">
        <f t="shared" si="71"/>
        <v>0</v>
      </c>
      <c r="DY34" s="1484">
        <f t="shared" si="60"/>
        <v>0</v>
      </c>
      <c r="DZ34" s="1481" t="s">
        <v>1122</v>
      </c>
      <c r="EA34" s="881">
        <f>'Product Type'!E36</f>
        <v>0</v>
      </c>
      <c r="EB34" s="1499" t="s">
        <v>1090</v>
      </c>
      <c r="EC34" s="727" t="s">
        <v>1568</v>
      </c>
      <c r="ED34" s="728">
        <v>0.5</v>
      </c>
      <c r="EE34" s="1215"/>
      <c r="EF34" s="1215"/>
      <c r="EG34" s="1184" t="str">
        <f t="shared" si="61"/>
        <v/>
      </c>
      <c r="EH34" s="5"/>
      <c r="EI34" s="55"/>
      <c r="EJ34" s="1185">
        <f t="shared" si="10"/>
        <v>0</v>
      </c>
      <c r="EK34" s="1211"/>
      <c r="EL34" s="1180">
        <f t="shared" si="72"/>
        <v>0</v>
      </c>
      <c r="EM34" s="207"/>
      <c r="EN34" s="1038"/>
      <c r="EO34" s="1038"/>
      <c r="EP34" s="1038"/>
      <c r="EQ34" s="1038">
        <f t="shared" si="62"/>
        <v>0</v>
      </c>
      <c r="ER34" s="1041">
        <f t="shared" si="75"/>
        <v>0</v>
      </c>
      <c r="ES34" s="1042">
        <f t="shared" si="63"/>
        <v>0</v>
      </c>
      <c r="ET34" s="1042">
        <f t="shared" si="73"/>
        <v>0</v>
      </c>
      <c r="EU34" s="1021">
        <f t="shared" si="74"/>
        <v>0</v>
      </c>
      <c r="EV34" s="368"/>
      <c r="EW34" s="368"/>
      <c r="EX34" s="369"/>
      <c r="EY34" s="370"/>
      <c r="EZ34" s="370"/>
      <c r="FA34" s="371"/>
      <c r="FB34" s="372"/>
    </row>
    <row r="35" spans="1:158" ht="34.5" customHeight="1">
      <c r="A35" s="82">
        <v>27</v>
      </c>
      <c r="B35" s="1725"/>
      <c r="C35" s="1726"/>
      <c r="D35" s="1726"/>
      <c r="E35" s="1727"/>
      <c r="F35" s="1732"/>
      <c r="G35" s="1733"/>
      <c r="H35" s="1733"/>
      <c r="I35" s="1734"/>
      <c r="J35" s="1341"/>
      <c r="K35" s="1728"/>
      <c r="L35" s="1728"/>
      <c r="M35" s="1342"/>
      <c r="N35" s="1583"/>
      <c r="O35" s="208" t="str">
        <f t="shared" si="11"/>
        <v/>
      </c>
      <c r="P35" s="1344"/>
      <c r="Q35" s="39" t="str">
        <f t="shared" si="0"/>
        <v/>
      </c>
      <c r="R35" s="39">
        <f t="shared" si="12"/>
        <v>0</v>
      </c>
      <c r="S35" s="234">
        <f t="shared" si="13"/>
        <v>0</v>
      </c>
      <c r="T35" s="1755"/>
      <c r="U35" s="1755"/>
      <c r="V35" s="1755"/>
      <c r="W35" s="1345"/>
      <c r="X35" s="1757"/>
      <c r="Y35" s="1742"/>
      <c r="Z35" s="1346"/>
      <c r="AA35" s="1343"/>
      <c r="AB35" s="1141"/>
      <c r="AC35" s="1103" t="str">
        <f>IF(T35="","",VLOOKUP(Z35,Lists!$A$60:$B$111,2,FALSE))</f>
        <v/>
      </c>
      <c r="AD35" s="130" t="str">
        <f t="shared" si="14"/>
        <v/>
      </c>
      <c r="AE35" s="130" t="e">
        <f t="shared" si="15"/>
        <v>#VALUE!</v>
      </c>
      <c r="AF35" s="130">
        <f t="shared" si="16"/>
        <v>1</v>
      </c>
      <c r="AG35" s="234">
        <f t="shared" si="1"/>
        <v>0</v>
      </c>
      <c r="AH35" s="1753" t="str">
        <f>IF(T35="","",(IF(ISNUMBER(SEARCH("exit",T35)),8760,IF(AND(M35="Dusk to Dawn",'Proposed Lighting'!AU35=3),4059,IF(AND(AU35=3,M35="1"),0,IF(AND(AU35=3,M35="1-C"),0,IF(AND(AU35=3,M35="2"),0,IF(AND(AU35=3,M35="2-C"),0,IF(AND(AU35=3,M35="3"),0,IF(AND(AU35=3,M35="3-C"),0,IF(AND(AU35=2,M35="Dusk to Dawn"),0,IF(AND(AU35=2,M35="Dusk to Dawn-C"),0,IF(AND(AU35=2,M35="Dusk to Dawn"),0,IF(AND(AU35=2,M35="E"),0,IF(AND(AU35=2,M35="E-C"),0,EG35)))))))))))))))</f>
        <v/>
      </c>
      <c r="AI35" s="1754"/>
      <c r="AJ35" s="1136"/>
      <c r="AK35" s="1136"/>
      <c r="AL35" s="1748">
        <f t="shared" si="64"/>
        <v>0</v>
      </c>
      <c r="AM35" s="1749"/>
      <c r="AN35" s="1750"/>
      <c r="AO35" s="476">
        <f t="shared" si="2"/>
        <v>0</v>
      </c>
      <c r="AP35" s="476">
        <f t="shared" si="17"/>
        <v>0</v>
      </c>
      <c r="AQ35" s="475">
        <f t="shared" si="3"/>
        <v>0</v>
      </c>
      <c r="AR35" s="475">
        <f t="shared" si="18"/>
        <v>0</v>
      </c>
      <c r="AS35" s="743" t="str">
        <f t="shared" si="79"/>
        <v/>
      </c>
      <c r="AT35" s="736" t="str">
        <f t="shared" si="20"/>
        <v/>
      </c>
      <c r="AU35" s="56">
        <f t="shared" si="21"/>
        <v>1</v>
      </c>
      <c r="AV35" s="476">
        <f t="shared" si="22"/>
        <v>0</v>
      </c>
      <c r="AW35" s="56">
        <f t="shared" si="23"/>
        <v>0</v>
      </c>
      <c r="AX35" s="475">
        <f t="shared" si="65"/>
        <v>0</v>
      </c>
      <c r="AY35" s="1169">
        <f t="shared" si="66"/>
        <v>0</v>
      </c>
      <c r="AZ35" s="1150">
        <f t="shared" si="67"/>
        <v>0</v>
      </c>
      <c r="BA35" s="56">
        <f t="shared" si="68"/>
        <v>0</v>
      </c>
      <c r="BB35" s="420">
        <f>IF(AV35=0,0,IF(AND(AV35&gt;0.01,DS35&lt;2),0,IF(AF35&lt;2,0,AC35*EE35/EF35)))</f>
        <v>0</v>
      </c>
      <c r="BC35" s="58" t="str">
        <f t="shared" si="5"/>
        <v/>
      </c>
      <c r="BD35" s="660">
        <f t="shared" si="69"/>
        <v>0</v>
      </c>
      <c r="BE35" s="57" t="e">
        <f t="array" ref="BE35">INDEX($EB$11:$ED$1022,MATCH(F35&amp;T35,$EB$11:$EB$1007&amp;$EC$11:$EC$1007,0),3)</f>
        <v>#N/A</v>
      </c>
      <c r="BF35" s="463">
        <f t="shared" si="24"/>
        <v>0</v>
      </c>
      <c r="BG35" s="1445" t="e">
        <f t="array" ref="BG35">INDEX($DO$112:$DQ$123,MATCH(T35&amp;W35,$DO$114:$DO$125&amp;$DP$112:$DP$123,0),3)</f>
        <v>#N/A</v>
      </c>
      <c r="BH35" s="1446">
        <f t="shared" si="25"/>
        <v>0</v>
      </c>
      <c r="BI35" s="465">
        <f t="shared" si="26"/>
        <v>0</v>
      </c>
      <c r="BJ35" s="465">
        <f t="shared" si="27"/>
        <v>0</v>
      </c>
      <c r="BK35" s="466">
        <f t="shared" si="28"/>
        <v>0</v>
      </c>
      <c r="BL35" s="466">
        <f t="shared" si="29"/>
        <v>0</v>
      </c>
      <c r="BM35" s="466">
        <f t="shared" si="30"/>
        <v>0</v>
      </c>
      <c r="BN35" s="466">
        <f t="shared" si="31"/>
        <v>0</v>
      </c>
      <c r="BO35" s="463">
        <f>IF('Data Entry'!$C$74=0,0,IF(ISNA(CJ35),0,IF(AX35=0,0,IF(AND('Data Entry'!$C$74=2,AF35&gt;2,CE35&lt;1),0,IF(AND('Data Entry'!$C$74=2,AF35&gt;1,AU35=2,CJ35&gt;1),0,IF(AND(AF35=5,CT35=0.5,AU35=2,ER35&lt;100),0,IF(AND(AF35=5,CT35=0.5,AU35=3,ER35&lt;100),0,IF(AND('Data Entry'!$C$74=2,AF35=2,AU35=2,AK35&gt;0.01,CB35=2,CE35&lt;1),0,IF(AND('Data Entry'!$C$74=2,AF35=3,AU35=3,AK35&gt;0.01,CB35=3,CE35&lt;1),0,IF(AND('Data Entry'!$C$74=2,AF35=3,AU35=3,AK35&gt;0.01,CB35=3,CE35&gt;0.99),BQ35*0.08,IF(AND('Data Entry'!$C$74=2,AF35=2,AU35=2,AK35&gt;0.01,CB35=2,CE35&gt;0.99),BQ35*0.1,IF(AND(AU35=2,AK35&gt;0.01,CB35=2,CD35&gt;1),BQ35*0.1,IF(AND(AU35=3,AK35&gt;0.01,CB35=3,CD35&gt;1),BQ35*0.08,CJ35*EF35)))))))))))))</f>
        <v>0</v>
      </c>
      <c r="BP35" s="475">
        <f t="shared" si="32"/>
        <v>0</v>
      </c>
      <c r="BQ35" s="1431">
        <f>IF(AU35=1,0,IF(CH35=100,0,IF(AND(AF35=3,AU35=2),0,IF(AND(BH35=0,CT35&gt;0.4),0,IF(AND('Data Entry'!$C$74=2,AF35=1.5),0,IF(AND('Data Entry'!$C$74=2,AF35=1.6),0,IF(AND('Data Entry'!$C$74=2,AF35=4),0,IF(AND('Data Entry'!$C$74=2,AF35=5),0,IF(AND('Data Entry'!$C$74=2,AF35=2.5,CE35&lt;1),0,IF(AND('Data Entry'!$C$74=2,AF35=3,CE35&lt;1),0,IF(AND('Data Entry'!$C$74=1,AF35=2.5,CD35&lt;1),0,IF(AND('Data Entry'!$C$74=1,AF35=3,CD35&lt;1),0,IF(DX35&gt;0.01,DX35,IF(ISERROR(AX35-AY35),"",ROUND(AX35-AY35,2)))))))))))))))</f>
        <v>0</v>
      </c>
      <c r="BR35" s="146">
        <f t="shared" si="33"/>
        <v>0</v>
      </c>
      <c r="BS35" s="475">
        <f t="shared" si="34"/>
        <v>0</v>
      </c>
      <c r="BT35" s="146" t="b">
        <f t="shared" si="35"/>
        <v>0</v>
      </c>
      <c r="BU35" s="463">
        <f>IF(ISNA(AT35),0,IF(AND('Data Entry'!$C$74=2,BC35=27),0,IF(AND('Data Entry'!$C$74=2,BC35=28),0,IF(AND(BC35=27,BT35=27,CM35&gt;0.1),CM35*0.15,IF(AND(BC35=28,BT35=28,CM35&gt;0.1),CM35*0.12,0)))))</f>
        <v>0</v>
      </c>
      <c r="BV35" s="463">
        <f t="shared" si="78"/>
        <v>0</v>
      </c>
      <c r="BW35" s="463">
        <f t="shared" si="37"/>
        <v>0</v>
      </c>
      <c r="BX35" s="463">
        <f t="shared" si="38"/>
        <v>0</v>
      </c>
      <c r="BY35" s="463">
        <f t="shared" si="39"/>
        <v>0</v>
      </c>
      <c r="BZ35" s="463">
        <f t="shared" si="40"/>
        <v>0</v>
      </c>
      <c r="CA35" s="57">
        <f t="shared" si="70"/>
        <v>0</v>
      </c>
      <c r="CB35" s="56">
        <f t="shared" si="41"/>
        <v>1</v>
      </c>
      <c r="CC35" s="756">
        <f>IF(EE35=0,0,IF(EF35=0,0,IF(EE35&gt;AA35,0,IF(AND(AZ35&gt;AW35,AW35&gt;0),0,IF(CU35=0,0,Summary!AC338)))))</f>
        <v>0</v>
      </c>
      <c r="CD35" s="756">
        <f>IF(EE35=0,0,IF(EF35=0,0,IF(EE35&gt;AA35,0,IF(AND(AZ35&gt;AW35,AW35&gt;0),0,IF(CU35=0,0,Summary!AD338)))))</f>
        <v>0</v>
      </c>
      <c r="CE35" s="756">
        <f>IF(EF35=0,0,IF(EE35&gt;AA35,0,IF(CC35=0,0,IF(AND(AZ35&gt;AW35,AW35&gt;0),0,IF(CU35=0,0,Summary!AE338)))))</f>
        <v>0</v>
      </c>
      <c r="CF35" s="475">
        <f t="shared" si="42"/>
        <v>0</v>
      </c>
      <c r="CG35" s="476">
        <f t="shared" si="6"/>
        <v>0</v>
      </c>
      <c r="CH35" s="487">
        <f t="shared" si="43"/>
        <v>0</v>
      </c>
      <c r="CI35" s="756">
        <f t="shared" si="44"/>
        <v>0</v>
      </c>
      <c r="CJ35" s="487">
        <f>IF(CT35&gt;0.4,0,IF(AND(AU35=2,CH35=0,CT35=0.5,ER35=100),35,IF(AND(AU35=3,BB35&gt;75,CH35=0,CT35=0.5,ER35=100),25,IF(CB35&gt;1,0,IF(EF35&gt;EE35,0,IF(AND(AF35&gt;1,CH35=100),0,IF(AND(AF35=1,AY35=0),0,IF(AND(EF35&lt;=EE35,AW35&gt;=AZ35,'Data Entry'!$C$74=1,AU35=2),VLOOKUP(W35,$DO$96:$DP$102,2,FALSE),IF(AND(EF35&lt;=EE35,AW35&gt;=AZ35,AU35=3,'Data Entry'!$C$74=1),VLOOKUP(W35,$DO$127:$DP$134,2,FALSE))))))))))</f>
        <v>0</v>
      </c>
      <c r="CK35" s="716">
        <f t="shared" si="45"/>
        <v>0</v>
      </c>
      <c r="CL35" s="57">
        <f t="shared" si="46"/>
        <v>0</v>
      </c>
      <c r="CM35" s="475">
        <f t="shared" si="77"/>
        <v>0</v>
      </c>
      <c r="CN35" s="660">
        <f>IF(CM35&lt;0.1,0,IF(ISNA(AT35),0,IF(CL35+BC35=1,0,IF(BV35&gt;0.01,0,IF(CL35&gt;0.01,0,IF(CF35=1,0,IF(BC35=0.5,0,IF(AND(CI35=1,AU35=3),0,IF(AND(CI35=5,CL35=0),0,IF(AND(R35=12,BR35=50),0,IF(CK35&gt;0.01,0,IF(AND(AJ35&gt;0.01,AU35=2,BC35=15),CM35*0.1,IF(AND(AJ35&gt;0.01,AU35=3,BC35=15),CM35*0.08,IF(AND(R35=12,BC35=3,AF35&lt;=0),0,IF(AND(BC35=15,BI35=0),0,IF(AND(BC35=15,BJ35=0),0,IF(AND(R35=20,CU35=0),0,IF($X$4=0,0,IF(AND(BC35=250,CL35=0),0,IF(AA35&lt;1,0,IF(AND(ISNUMBER(SEARCH("Area",T35)),AU35=3),0,IF(AND(AQ35&gt;0.01,AR35=0,BK35=0,BL35=0,BM35=0,BN35=0),0,IF(AND(AU35=3,CI35=7,CT35&gt;0.5),0,IF(AND(BC35=44,AU35=3,BY35=0),0,IF(AND(BC35=27,'Data Entry'!$C$74=2),0,IF(AND(BC35=28,'Data Entry'!$C$74=2),0,IF(AND(BY35+BZ35+CA35&gt;0.01,BV35=0,EQ35+ER35+ES35+ET35&lt;100),0,IF(AU35=3,CM35*0.08,IF(AU35=2,CM35*0.1,0)))))))))))))))))))))))))))))</f>
        <v>0</v>
      </c>
      <c r="CO35" s="660">
        <f t="shared" si="47"/>
        <v>0</v>
      </c>
      <c r="CP35" s="475" t="str">
        <f t="shared" si="48"/>
        <v/>
      </c>
      <c r="CQ35" s="161" t="str">
        <f>IF(AH35=0,0,IF(AU35=5,0,Summary!AC38))</f>
        <v/>
      </c>
      <c r="CR35" s="161" t="str">
        <f>IF(BF35=0.5,0,IF(AU35=5,0,Summary!AD38))</f>
        <v/>
      </c>
      <c r="CS35" s="161" t="str">
        <f>IF(AU35=5,0,Summary!AE38)</f>
        <v/>
      </c>
      <c r="CT35" s="161">
        <f t="shared" si="49"/>
        <v>0</v>
      </c>
      <c r="CU35" s="475" t="str">
        <f t="shared" si="7"/>
        <v/>
      </c>
      <c r="CV35" s="307">
        <f>IF('Data Entry'!$C$74=0,0,IF(AA35&lt;1,0,IF(ISERROR(CU35),0,IF(CF35=1,0,IF(AND(R35=12,BR35=50),0,IF(CL35+BO35+BV35+DC35=0,0,IF(BC35=37,0,IF(AND(BC35=40,AJ35=0),0,IF(AND(BC35=37,BO35&gt;0.01,BQ35&gt;0.01),ROUND(BQ35,0),IF(CM35&lt;0,0,ROUND(CM35,0)))))))))))</f>
        <v>0</v>
      </c>
      <c r="CW35" s="700">
        <f t="shared" si="50"/>
        <v>0</v>
      </c>
      <c r="CX35" s="477">
        <f>IF('Data Entry'!$C$74=0,0,IF(CV35&lt;0.01,0,IF(BF35=0.5,0,IF(CF35=1,0,IF(ISNUMBER(SEARCH("false",CL35)),0,IF(AZ35=500,0,CL35))))))</f>
        <v>0</v>
      </c>
      <c r="CY35" s="147" t="e">
        <f t="shared" si="51"/>
        <v>#VALUE!</v>
      </c>
      <c r="CZ35" s="147" t="b">
        <f>IF(CN35+CL35=0,FALSE,IF(AH35=0,0,IF(AND('Data Entry'!$C$74=1,CR35&gt;=1),TRUE,IF(AND('Data Entry'!$C$74=2,CS35&gt;=1),TRUE,FALSE))))</f>
        <v>0</v>
      </c>
      <c r="DA35" s="1751">
        <f>IF('Data Entry'!$C$74=0,0,IFERROR(ROUND(IF(T35="","",IF($X$4=0,0,IF(CF35=1,0,IF(BQ35+CV35=0,0,IF(CF35=1,0,IF(CY35&gt;0.01,CY35,IF(CL35&gt;0.01,CL35,IF(CY35&gt;0.01,CY35,IF(BC35=37,BO35,IF(CZ35=FALSE,0,IF(CZ35=TRUE,DC35+DF35,0))))))))))),2),""))</f>
        <v>0</v>
      </c>
      <c r="DB35" s="1752"/>
      <c r="DC35" s="474">
        <f>IF(CN35&lt;0.01,0,IF(AND(BR35=3,CN35&gt;0.01,CT35&gt;0.6,ER35+ES35+ET35&lt;100),0,IF(AND('Data Entry'!$C$74=1,CN35&gt;0.01,CR35&gt;0.99),MIN(CN35:CO35),IF(AND('Data Entry'!$C$74=2,CN35&gt;0.01,CS35&gt;0.99),MIN(CN35:CO35),0))))</f>
        <v>0</v>
      </c>
      <c r="DD35" s="478">
        <f>IF(CF35=1,"Selection does not match",IF(T35=0,0,IF(AND('Data Entry'!$C$74=0,CP35&gt;1),"Select Oregon or Idaho on Data Entry Tab",IF(AND(AU35=1,AA35&gt;0.9),"Missing Interior or Exterior Selection",IF($X$4=0,"Enter Total Project Cost",IF(AQ35&lt;AR35,"Insufficient kWh savings – no incentive",IF(AND(SUM(CL35+CK35+BV35)&gt;0.01,'Data Entry'!$C$74=2,CJ35&gt;1,BO35=0),"Submit Control as Non-Standard",IF(AND('Data Entry'!$C$74=2,BR35=37,CJ35&gt;1,BO35=0),"Submit Control as Non-Standard",IF(SUM(CL35+CK35+BV35)&gt;0.01,"Standard Incentive",IF(AND('Data Entry'!$C$74=2,CP35=7,CN35=0),"Submit as Non-Standard",IF(DC35&gt;0.9,"Non-Standard Incentive",IF(AND(BY35+BZ35+CA35&gt;0.01,BV35=0,EQ35=0,ER35=0,ES35=0,ET35=0),"Scroll Right &amp; Select Control Strategies",IF(AND(CN35&gt;0.01,CO35=0),"Enter Unit Installed Cost",IF(ISNUMBER(SEARCH("Lighting Controls Only",F35)),"Lighting Controls Only",IF(CL35+DC35=0,"Does not meet incentive criteria",0)))))))))))))))</f>
        <v>0</v>
      </c>
      <c r="DE35" s="337">
        <f t="shared" si="52"/>
        <v>0</v>
      </c>
      <c r="DF35" s="609">
        <f t="shared" si="53"/>
        <v>0</v>
      </c>
      <c r="DG35" s="336" t="str">
        <f t="shared" si="54"/>
        <v/>
      </c>
      <c r="DH35" s="338">
        <f t="shared" si="55"/>
        <v>1</v>
      </c>
      <c r="DI35" s="336" t="e">
        <f t="shared" si="8"/>
        <v>#VALUE!</v>
      </c>
      <c r="DJ35" s="338">
        <f t="shared" si="9"/>
        <v>0</v>
      </c>
      <c r="DK35" s="325" t="s">
        <v>473</v>
      </c>
      <c r="DL35" s="341">
        <v>49</v>
      </c>
      <c r="DM35" s="325" t="s">
        <v>128</v>
      </c>
      <c r="DN35" s="1439">
        <v>6</v>
      </c>
      <c r="DO35" s="1444" t="s">
        <v>1764</v>
      </c>
      <c r="DP35" s="332"/>
      <c r="DQ35" s="331"/>
      <c r="DR35" s="1332"/>
      <c r="DS35" s="1434">
        <f t="shared" si="56"/>
        <v>0</v>
      </c>
      <c r="DT35" s="344" t="b">
        <f t="shared" si="57"/>
        <v>1</v>
      </c>
      <c r="DU35" s="1314" t="str">
        <f t="array" ref="DU35">IF(OR(COUNTIF(F35,"*"&amp;$DK$9:$DK$178&amp;"*")), "Yes", "")</f>
        <v/>
      </c>
      <c r="DV35" s="1314">
        <f t="shared" si="58"/>
        <v>0</v>
      </c>
      <c r="DW35" s="1480">
        <f t="shared" si="59"/>
        <v>0</v>
      </c>
      <c r="DX35" s="1498">
        <f t="shared" si="71"/>
        <v>0</v>
      </c>
      <c r="DY35" s="1484">
        <f t="shared" si="60"/>
        <v>0</v>
      </c>
      <c r="DZ35" s="1481" t="s">
        <v>1123</v>
      </c>
      <c r="EA35" s="881">
        <f>'Product Type'!E37</f>
        <v>0</v>
      </c>
      <c r="EB35" s="1499" t="s">
        <v>316</v>
      </c>
      <c r="EC35" s="727" t="s">
        <v>1568</v>
      </c>
      <c r="ED35" s="728">
        <v>0.5</v>
      </c>
      <c r="EE35" s="1215"/>
      <c r="EF35" s="1215"/>
      <c r="EG35" s="1184" t="str">
        <f t="shared" si="61"/>
        <v/>
      </c>
      <c r="EH35" s="5"/>
      <c r="EI35" s="55"/>
      <c r="EJ35" s="1185">
        <f t="shared" si="10"/>
        <v>0</v>
      </c>
      <c r="EK35" s="1211"/>
      <c r="EL35" s="1180">
        <f>IF(CV35&lt;0,0,IF(DA35=0,0,IF(DD35="Does not meet incentive criteria",0,AQ35)))</f>
        <v>0</v>
      </c>
      <c r="EM35" s="207"/>
      <c r="EN35" s="1038"/>
      <c r="EO35" s="1038"/>
      <c r="EP35" s="1038"/>
      <c r="EQ35" s="1038">
        <f t="shared" si="62"/>
        <v>0</v>
      </c>
      <c r="ER35" s="1041">
        <f t="shared" si="75"/>
        <v>0</v>
      </c>
      <c r="ES35" s="1042">
        <f t="shared" si="63"/>
        <v>0</v>
      </c>
      <c r="ET35" s="1042">
        <f t="shared" si="73"/>
        <v>0</v>
      </c>
      <c r="EU35" s="1021">
        <f t="shared" si="74"/>
        <v>0</v>
      </c>
      <c r="EV35" s="368"/>
      <c r="EW35" s="368"/>
      <c r="EX35" s="369"/>
      <c r="EY35" s="370"/>
      <c r="EZ35" s="370"/>
      <c r="FA35" s="371"/>
      <c r="FB35" s="372"/>
    </row>
    <row r="36" spans="1:158" ht="34.5" customHeight="1">
      <c r="A36" s="82">
        <v>28</v>
      </c>
      <c r="B36" s="1725"/>
      <c r="C36" s="1726"/>
      <c r="D36" s="1726"/>
      <c r="E36" s="1727"/>
      <c r="F36" s="1732"/>
      <c r="G36" s="1733"/>
      <c r="H36" s="1733"/>
      <c r="I36" s="1734"/>
      <c r="J36" s="1341"/>
      <c r="K36" s="1728"/>
      <c r="L36" s="1728"/>
      <c r="M36" s="1342"/>
      <c r="N36" s="1583"/>
      <c r="O36" s="208" t="str">
        <f t="shared" si="11"/>
        <v/>
      </c>
      <c r="P36" s="1344"/>
      <c r="Q36" s="39" t="str">
        <f t="shared" si="0"/>
        <v/>
      </c>
      <c r="R36" s="39">
        <f t="shared" si="12"/>
        <v>0</v>
      </c>
      <c r="S36" s="234">
        <f t="shared" si="13"/>
        <v>0</v>
      </c>
      <c r="T36" s="1755"/>
      <c r="U36" s="1755"/>
      <c r="V36" s="1755"/>
      <c r="W36" s="1345"/>
      <c r="X36" s="1741"/>
      <c r="Y36" s="1742"/>
      <c r="Z36" s="1346"/>
      <c r="AA36" s="1343"/>
      <c r="AB36" s="1141"/>
      <c r="AC36" s="1103" t="str">
        <f>IF(T36="","",VLOOKUP(Z36,Lists!$A$60:$B$111,2,FALSE))</f>
        <v/>
      </c>
      <c r="AD36" s="130" t="str">
        <f t="shared" si="14"/>
        <v/>
      </c>
      <c r="AE36" s="130" t="e">
        <f t="shared" si="15"/>
        <v>#VALUE!</v>
      </c>
      <c r="AF36" s="130">
        <f t="shared" si="16"/>
        <v>1</v>
      </c>
      <c r="AG36" s="234">
        <f t="shared" si="1"/>
        <v>0</v>
      </c>
      <c r="AH36" s="1753" t="str">
        <f>IF(T36="","",(IF(ISNUMBER(SEARCH("exit",T36)),8760,IF(AND(M36="Dusk to Dawn",'Proposed Lighting'!AU36=3),4059,IF(AND(AU36=3,M36="1"),0,IF(AND(AU36=3,M36="1-C"),0,IF(AND(AU36=3,M36="2"),0,IF(AND(AU36=3,M36="2-C"),0,IF(AND(AU36=3,M36="3"),0,IF(AND(AU36=3,M36="3-C"),0,IF(AND(AU36=2,M36="Dusk to Dawn"),0,IF(AND(AU36=2,M36="Dusk to Dawn-C"),0,IF(AND(AU36=2,M36="Dusk to Dawn"),0,IF(AND(AU36=2,M36="E"),0,IF(AND(AU36=2,M36="E-C"),0,EG36)))))))))))))))</f>
        <v/>
      </c>
      <c r="AI36" s="1754"/>
      <c r="AJ36" s="1136"/>
      <c r="AK36" s="1136"/>
      <c r="AL36" s="1748">
        <f t="shared" si="64"/>
        <v>0</v>
      </c>
      <c r="AM36" s="1749"/>
      <c r="AN36" s="1750"/>
      <c r="AO36" s="476">
        <f t="shared" si="2"/>
        <v>0</v>
      </c>
      <c r="AP36" s="476">
        <f t="shared" si="17"/>
        <v>0</v>
      </c>
      <c r="AQ36" s="475">
        <f t="shared" si="3"/>
        <v>0</v>
      </c>
      <c r="AR36" s="475">
        <f t="shared" si="18"/>
        <v>0</v>
      </c>
      <c r="AS36" s="743" t="str">
        <f t="shared" si="79"/>
        <v/>
      </c>
      <c r="AT36" s="736" t="str">
        <f t="shared" si="20"/>
        <v/>
      </c>
      <c r="AU36" s="56">
        <f t="shared" si="21"/>
        <v>1</v>
      </c>
      <c r="AV36" s="476">
        <f t="shared" si="22"/>
        <v>0</v>
      </c>
      <c r="AW36" s="56">
        <f t="shared" si="23"/>
        <v>0</v>
      </c>
      <c r="AX36" s="475">
        <f t="shared" si="65"/>
        <v>0</v>
      </c>
      <c r="AY36" s="1169">
        <f t="shared" si="66"/>
        <v>0</v>
      </c>
      <c r="AZ36" s="1150">
        <f t="shared" si="67"/>
        <v>0</v>
      </c>
      <c r="BA36" s="56">
        <f t="shared" si="68"/>
        <v>0</v>
      </c>
      <c r="BB36" s="420">
        <f t="shared" si="4"/>
        <v>0</v>
      </c>
      <c r="BC36" s="58" t="str">
        <f t="shared" si="5"/>
        <v/>
      </c>
      <c r="BD36" s="660">
        <f t="shared" si="69"/>
        <v>0</v>
      </c>
      <c r="BE36" s="57" t="e">
        <f t="array" ref="BE36">INDEX($EB$11:$ED$1022,MATCH(F36&amp;T36,$EB$11:$EB$1007&amp;$EC$11:$EC$1007,0),3)</f>
        <v>#N/A</v>
      </c>
      <c r="BF36" s="463">
        <f t="shared" si="24"/>
        <v>0</v>
      </c>
      <c r="BG36" s="1445" t="e">
        <f t="array" ref="BG36">INDEX($DO$112:$DQ$123,MATCH(T36&amp;W36,$DO$114:$DO$125&amp;$DP$112:$DP$123,0),3)</f>
        <v>#N/A</v>
      </c>
      <c r="BH36" s="1446">
        <f t="shared" si="25"/>
        <v>0</v>
      </c>
      <c r="BI36" s="465">
        <f t="shared" si="26"/>
        <v>0</v>
      </c>
      <c r="BJ36" s="465">
        <f t="shared" si="27"/>
        <v>0</v>
      </c>
      <c r="BK36" s="466">
        <f t="shared" si="28"/>
        <v>0</v>
      </c>
      <c r="BL36" s="466">
        <f t="shared" si="29"/>
        <v>0</v>
      </c>
      <c r="BM36" s="466">
        <f t="shared" si="30"/>
        <v>0</v>
      </c>
      <c r="BN36" s="466">
        <f t="shared" si="31"/>
        <v>0</v>
      </c>
      <c r="BO36" s="463">
        <f>IF('Data Entry'!$C$74=0,0,IF(ISNA(CJ36),0,IF(AX36=0,0,IF(AND('Data Entry'!$C$74=2,AF36&gt;2,CE36&lt;1),0,IF(AND('Data Entry'!$C$74=2,AF36&gt;1,AU36=2,CJ36&gt;1),0,IF(AND(AF36=5,CT36=0.5,AU36=2,ER36&lt;100),0,IF(AND(AF36=5,CT36=0.5,AU36=3,ER36&lt;100),0,IF(AND('Data Entry'!$C$74=2,AF36=2,AU36=2,AK36&gt;0.01,CB36=2,CE36&lt;1),0,IF(AND('Data Entry'!$C$74=2,AF36=3,AU36=3,AK36&gt;0.01,CB36=3,CE36&lt;1),0,IF(AND('Data Entry'!$C$74=2,AF36=3,AU36=3,AK36&gt;0.01,CB36=3,CE36&gt;0.99),BQ36*0.08,IF(AND('Data Entry'!$C$74=2,AF36=2,AU36=2,AK36&gt;0.01,CB36=2,CE36&gt;0.99),BQ36*0.1,IF(AND(AU36=2,AK36&gt;0.01,CB36=2,CD36&gt;1),BQ36*0.1,IF(AND(AU36=3,AK36&gt;0.01,CB36=3,CD36&gt;1),BQ36*0.08,CJ36*EF36)))))))))))))</f>
        <v>0</v>
      </c>
      <c r="BP36" s="475">
        <f t="shared" si="32"/>
        <v>0</v>
      </c>
      <c r="BQ36" s="1431">
        <f>IF(AU36=1,0,IF(CH36=100,0,IF(AND(AF36=3,AU36=2),0,IF(AND(BH36=0,CT36&gt;0.4),0,IF(AND('Data Entry'!$C$74=2,AF36=1.5),0,IF(AND('Data Entry'!$C$74=2,AF36=1.6),0,IF(AND('Data Entry'!$C$74=2,AF36=4),0,IF(AND('Data Entry'!$C$74=2,AF36=5),0,IF(AND('Data Entry'!$C$74=2,AF36=2.5,CE36&lt;1),0,IF(AND('Data Entry'!$C$74=2,AF36=3,CE36&lt;1),0,IF(AND('Data Entry'!$C$74=1,AF36=2.5,CD36&lt;1),0,IF(AND('Data Entry'!$C$74=1,AF36=3,CD36&lt;1),0,IF(DX36&gt;0.01,DX36,IF(ISERROR(AX36-AY36),"",ROUND(AX36-AY36,2)))))))))))))))</f>
        <v>0</v>
      </c>
      <c r="BR36" s="146">
        <f t="shared" si="33"/>
        <v>0</v>
      </c>
      <c r="BS36" s="475">
        <f t="shared" si="34"/>
        <v>0</v>
      </c>
      <c r="BT36" s="146" t="b">
        <f t="shared" si="35"/>
        <v>0</v>
      </c>
      <c r="BU36" s="463">
        <f>IF(ISNA(AT36),0,IF(AND('Data Entry'!$C$74=2,BC36=27),0,IF(AND('Data Entry'!$C$74=2,BC36=28),0,IF(AND(BC36=27,BT36=27,CM36&gt;0.1),CM36*0.15,IF(AND(BC36=28,BT36=28,CM36&gt;0.1),CM36*0.12,0)))))</f>
        <v>0</v>
      </c>
      <c r="BV36" s="463">
        <f t="shared" si="78"/>
        <v>0</v>
      </c>
      <c r="BW36" s="463">
        <f t="shared" si="37"/>
        <v>0</v>
      </c>
      <c r="BX36" s="463">
        <f t="shared" si="38"/>
        <v>0</v>
      </c>
      <c r="BY36" s="463">
        <f t="shared" si="39"/>
        <v>0</v>
      </c>
      <c r="BZ36" s="463">
        <f t="shared" si="40"/>
        <v>0</v>
      </c>
      <c r="CA36" s="57">
        <f t="shared" si="70"/>
        <v>0</v>
      </c>
      <c r="CB36" s="56">
        <f t="shared" si="41"/>
        <v>1</v>
      </c>
      <c r="CC36" s="756">
        <f>IF(EE36=0,0,IF(EF36=0,0,IF(EE36&gt;AA36,0,IF(AND(AZ36&gt;AW36,AW36&gt;0),0,IF(CU36=0,0,Summary!AC339)))))</f>
        <v>0</v>
      </c>
      <c r="CD36" s="756">
        <f>IF(EE36=0,0,IF(EF36=0,0,IF(EE36&gt;AA36,0,IF(AND(AZ36&gt;AW36,AW36&gt;0),0,IF(CU36=0,0,Summary!AD339)))))</f>
        <v>0</v>
      </c>
      <c r="CE36" s="756">
        <f>IF(EF36=0,0,IF(EE36&gt;AA36,0,IF(CC36=0,0,IF(AND(AZ36&gt;AW36,AW36&gt;0),0,IF(CU36=0,0,Summary!AE339)))))</f>
        <v>0</v>
      </c>
      <c r="CF36" s="475">
        <f t="shared" si="42"/>
        <v>0</v>
      </c>
      <c r="CG36" s="476">
        <f t="shared" si="6"/>
        <v>0</v>
      </c>
      <c r="CH36" s="487">
        <f t="shared" si="43"/>
        <v>0</v>
      </c>
      <c r="CI36" s="756">
        <f t="shared" si="44"/>
        <v>0</v>
      </c>
      <c r="CJ36" s="487">
        <f>IF(CT36&gt;0.4,0,IF(AND(AU36=2,CH36=0,CT36=0.5,ER36=100),35,IF(AND(AU36=3,BB36&gt;75,CH36=0,CT36=0.5,ER36=100),25,IF(CB36&gt;1,0,IF(EF36&gt;EE36,0,IF(AND(AF36&gt;1,CH36=100),0,IF(AND(AF36=1,AY36=0),0,IF(AND(EF36&lt;=EE36,AW36&gt;=AZ36,'Data Entry'!$C$74=1,AU36=2),VLOOKUP(W36,$DO$96:$DP$102,2,FALSE),IF(AND(EF36&lt;=EE36,AW36&gt;=AZ36,AU36=3,'Data Entry'!$C$74=1),VLOOKUP(W36,$DO$127:$DP$134,2,FALSE))))))))))</f>
        <v>0</v>
      </c>
      <c r="CK36" s="716">
        <f t="shared" si="45"/>
        <v>0</v>
      </c>
      <c r="CL36" s="57">
        <f t="shared" si="46"/>
        <v>0</v>
      </c>
      <c r="CM36" s="475">
        <f t="shared" si="77"/>
        <v>0</v>
      </c>
      <c r="CN36" s="660">
        <f>IF(CM36&lt;0.1,0,IF(ISNA(AT36),0,IF(CL36+BC36=1,0,IF(BV36&gt;0.01,0,IF(CL36&gt;0.01,0,IF(CF36=1,0,IF(BC36=0.5,0,IF(AND(CI36=1,AU36=3),0,IF(AND(CI36=5,CL36=0),0,IF(AND(R36=12,BR36=50),0,IF(CK36&gt;0.01,0,IF(AND(AJ36&gt;0.01,AU36=2,BC36=15),CM36*0.1,IF(AND(AJ36&gt;0.01,AU36=3,BC36=15),CM36*0.08,IF(AND(R36=12,BC36=3,AF36&lt;=0),0,IF(AND(BC36=15,BI36=0),0,IF(AND(BC36=15,BJ36=0),0,IF(AND(R36=20,CU36=0),0,IF($X$4=0,0,IF(AND(BC36=250,CL36=0),0,IF(AA36&lt;1,0,IF(AND(ISNUMBER(SEARCH("Area",T36)),AU36=3),0,IF(AND(AQ36&gt;0.01,AR36=0,BK36=0,BL36=0,BM36=0,BN36=0),0,IF(AND(AU36=3,CI36=7,CT36&gt;0.5),0,IF(AND(BC36=44,AU36=3,BY36=0),0,IF(AND(BC36=27,'Data Entry'!$C$74=2),0,IF(AND(BC36=28,'Data Entry'!$C$74=2),0,IF(AND(BY36+BZ36+CA36&gt;0.01,BV36=0,EQ36+ER36+ES36+ET36&lt;100),0,IF(AU36=3,CM36*0.08,IF(AU36=2,CM36*0.1,0)))))))))))))))))))))))))))))</f>
        <v>0</v>
      </c>
      <c r="CO36" s="660">
        <f t="shared" si="47"/>
        <v>0</v>
      </c>
      <c r="CP36" s="475" t="str">
        <f t="shared" si="48"/>
        <v/>
      </c>
      <c r="CQ36" s="161" t="str">
        <f>IF(AH36=0,0,IF(AU36=5,0,Summary!AC39))</f>
        <v/>
      </c>
      <c r="CR36" s="161" t="str">
        <f>IF(BF36=0.5,0,IF(AU36=5,0,Summary!AD39))</f>
        <v/>
      </c>
      <c r="CS36" s="161" t="str">
        <f>IF(AU36=5,0,Summary!AE39)</f>
        <v/>
      </c>
      <c r="CT36" s="161">
        <f t="shared" si="49"/>
        <v>0</v>
      </c>
      <c r="CU36" s="475" t="str">
        <f t="shared" si="7"/>
        <v/>
      </c>
      <c r="CV36" s="307">
        <f>IF('Data Entry'!$C$74=0,0,IF(AA36&lt;1,0,IF(ISERROR(CU36),0,IF(CF36=1,0,IF(AND(R36=12,BR36=50),0,IF(CL36+BO36+BV36+DC36=0,0,IF(BC36=37,0,IF(AND(BC36=40,AJ36=0),0,IF(AND(BC36=37,BO36&gt;0.01,BQ36&gt;0.01),ROUND(BQ36,0),IF(CM36&lt;0,0,ROUND(CM36,0)))))))))))</f>
        <v>0</v>
      </c>
      <c r="CW36" s="700">
        <f t="shared" si="50"/>
        <v>0</v>
      </c>
      <c r="CX36" s="477">
        <f>IF('Data Entry'!$C$74=0,0,IF(CV36&lt;0.01,0,IF(BF36=0.5,0,IF(CF36=1,0,IF(ISNUMBER(SEARCH("false",CL36)),0,IF(AZ36=500,0,CL36))))))</f>
        <v>0</v>
      </c>
      <c r="CY36" s="147" t="e">
        <f t="shared" si="51"/>
        <v>#VALUE!</v>
      </c>
      <c r="CZ36" s="147" t="b">
        <f>IF(CN36+CL36=0,FALSE,IF(AH36=0,0,IF(AND('Data Entry'!$C$74=1,CR36&gt;=1),TRUE,IF(AND('Data Entry'!$C$74=2,CS36&gt;=1),TRUE,FALSE))))</f>
        <v>0</v>
      </c>
      <c r="DA36" s="1751">
        <f>IF('Data Entry'!$C$74=0,0,IFERROR(ROUND(IF(T36="","",IF($X$4=0,0,IF(CF36=1,0,IF(BQ36+CV36=0,0,IF(CF36=1,0,IF(CY36&gt;0.01,CY36,IF(CL36&gt;0.01,CL36,IF(CY36&gt;0.01,CY36,IF(BC36=37,BO36,IF(CZ36=FALSE,0,IF(CZ36=TRUE,DC36+DF36,0))))))))))),2),""))</f>
        <v>0</v>
      </c>
      <c r="DB36" s="1752"/>
      <c r="DC36" s="474">
        <f>IF(CN36&lt;0.01,0,IF(AND(BR36=3,CN36&gt;0.01,CT36&gt;0.6,ER36+ES36+ET36&lt;100),0,IF(AND('Data Entry'!$C$74=1,CN36&gt;0.01,CR36&gt;0.99),MIN(CN36:CO36),IF(AND('Data Entry'!$C$74=2,CN36&gt;0.01,CS36&gt;0.99),MIN(CN36:CO36),0))))</f>
        <v>0</v>
      </c>
      <c r="DD36" s="478">
        <f>IF(CF36=1,"Selection does not match",IF(T36=0,0,IF(AND('Data Entry'!$C$74=0,CP36&gt;1),"Select Oregon or Idaho on Data Entry Tab",IF(AND(AU36=1,AA36&gt;0.9),"Missing Interior or Exterior Selection",IF($X$4=0,"Enter Total Project Cost",IF(AQ36&lt;AR36,"Insufficient kWh savings – no incentive",IF(AND(SUM(CL36+CK36+BV36)&gt;0.01,'Data Entry'!$C$74=2,CJ36&gt;1,BO36=0),"Submit Control as Non-Standard",IF(AND('Data Entry'!$C$74=2,BR36=37,CJ36&gt;1,BO36=0),"Submit Control as Non-Standard",IF(SUM(CL36+CK36+BV36)&gt;0.01,"Standard Incentive",IF(AND('Data Entry'!$C$74=2,CP36=7,CN36=0),"Submit as Non-Standard",IF(DC36&gt;0.9,"Non-Standard Incentive",IF(AND(BY36+BZ36+CA36&gt;0.01,BV36=0,EQ36=0,ER36=0,ES36=0,ET36=0),"Scroll Right &amp; Select Control Strategies",IF(AND(CN36&gt;0.01,CO36=0),"Enter Unit Installed Cost",IF(ISNUMBER(SEARCH("Lighting Controls Only",F36)),"Lighting Controls Only",IF(CL36+DC36=0,"Does not meet incentive criteria",0)))))))))))))))</f>
        <v>0</v>
      </c>
      <c r="DE36" s="337">
        <f t="shared" si="52"/>
        <v>0</v>
      </c>
      <c r="DF36" s="609">
        <f t="shared" si="53"/>
        <v>0</v>
      </c>
      <c r="DG36" s="336" t="str">
        <f t="shared" si="54"/>
        <v/>
      </c>
      <c r="DH36" s="338">
        <f t="shared" si="55"/>
        <v>1</v>
      </c>
      <c r="DI36" s="336" t="e">
        <f t="shared" si="8"/>
        <v>#VALUE!</v>
      </c>
      <c r="DJ36" s="338">
        <f t="shared" si="9"/>
        <v>0</v>
      </c>
      <c r="DK36" s="325" t="s">
        <v>474</v>
      </c>
      <c r="DL36" s="341">
        <v>73</v>
      </c>
      <c r="DM36" s="325" t="s">
        <v>129</v>
      </c>
      <c r="DN36" s="1439">
        <v>12</v>
      </c>
      <c r="DO36" s="1444" t="s">
        <v>1765</v>
      </c>
      <c r="DP36" s="329"/>
      <c r="DQ36" s="361"/>
      <c r="DR36" s="1332"/>
      <c r="DS36" s="1434">
        <f t="shared" si="56"/>
        <v>0</v>
      </c>
      <c r="DT36" s="344" t="b">
        <f t="shared" si="57"/>
        <v>1</v>
      </c>
      <c r="DU36" s="1314" t="str">
        <f t="array" ref="DU36">IF(OR(COUNTIF(F36,"*"&amp;$DK$9:$DK$178&amp;"*")), "Yes", "")</f>
        <v/>
      </c>
      <c r="DV36" s="1314">
        <f t="shared" si="58"/>
        <v>0</v>
      </c>
      <c r="DW36" s="1480">
        <f t="shared" si="59"/>
        <v>0</v>
      </c>
      <c r="DX36" s="1498">
        <f t="shared" si="71"/>
        <v>0</v>
      </c>
      <c r="DY36" s="1484">
        <f t="shared" si="60"/>
        <v>0</v>
      </c>
      <c r="DZ36" s="1481" t="s">
        <v>1124</v>
      </c>
      <c r="EA36" s="881">
        <f>'Product Type'!E38</f>
        <v>0</v>
      </c>
      <c r="EB36" s="1499" t="s">
        <v>1091</v>
      </c>
      <c r="EC36" s="727" t="s">
        <v>1568</v>
      </c>
      <c r="ED36" s="728">
        <v>0.5</v>
      </c>
      <c r="EE36" s="1215"/>
      <c r="EF36" s="1215"/>
      <c r="EG36" s="1184" t="str">
        <f t="shared" si="61"/>
        <v/>
      </c>
      <c r="EH36" s="5"/>
      <c r="EI36" s="55"/>
      <c r="EJ36" s="1185">
        <f t="shared" si="10"/>
        <v>0</v>
      </c>
      <c r="EK36" s="1211"/>
      <c r="EL36" s="1180">
        <f t="shared" si="72"/>
        <v>0</v>
      </c>
      <c r="EM36" s="207"/>
      <c r="EN36" s="1038"/>
      <c r="EO36" s="1038"/>
      <c r="EP36" s="1038"/>
      <c r="EQ36" s="1038">
        <f t="shared" si="62"/>
        <v>0</v>
      </c>
      <c r="ER36" s="1041">
        <f t="shared" si="75"/>
        <v>0</v>
      </c>
      <c r="ES36" s="1042">
        <f t="shared" si="63"/>
        <v>0</v>
      </c>
      <c r="ET36" s="1042">
        <f t="shared" si="73"/>
        <v>0</v>
      </c>
      <c r="EU36" s="1021">
        <f t="shared" si="74"/>
        <v>0</v>
      </c>
      <c r="EV36" s="368"/>
      <c r="EW36" s="368"/>
      <c r="EX36" s="369"/>
      <c r="EY36" s="370"/>
      <c r="EZ36" s="370"/>
      <c r="FA36" s="371"/>
      <c r="FB36" s="372"/>
    </row>
    <row r="37" spans="1:158" ht="34.5" customHeight="1">
      <c r="A37" s="82">
        <v>29</v>
      </c>
      <c r="B37" s="1725"/>
      <c r="C37" s="1726"/>
      <c r="D37" s="1726"/>
      <c r="E37" s="1727"/>
      <c r="F37" s="1732"/>
      <c r="G37" s="1733"/>
      <c r="H37" s="1733"/>
      <c r="I37" s="1734"/>
      <c r="J37" s="1341"/>
      <c r="K37" s="1728"/>
      <c r="L37" s="1728"/>
      <c r="M37" s="1342"/>
      <c r="N37" s="1583"/>
      <c r="O37" s="208" t="str">
        <f t="shared" si="11"/>
        <v/>
      </c>
      <c r="P37" s="1344"/>
      <c r="Q37" s="39" t="str">
        <f t="shared" si="0"/>
        <v/>
      </c>
      <c r="R37" s="39">
        <f t="shared" si="12"/>
        <v>0</v>
      </c>
      <c r="S37" s="234">
        <f t="shared" si="13"/>
        <v>0</v>
      </c>
      <c r="T37" s="1755"/>
      <c r="U37" s="1755"/>
      <c r="V37" s="1755"/>
      <c r="W37" s="1345"/>
      <c r="X37" s="1741"/>
      <c r="Y37" s="1742"/>
      <c r="Z37" s="1346"/>
      <c r="AA37" s="1343"/>
      <c r="AB37" s="1141"/>
      <c r="AC37" s="1103" t="str">
        <f>IF(T37="","",VLOOKUP(Z37,Lists!$A$60:$B$111,2,FALSE))</f>
        <v/>
      </c>
      <c r="AD37" s="130" t="str">
        <f t="shared" si="14"/>
        <v/>
      </c>
      <c r="AE37" s="130" t="e">
        <f t="shared" si="15"/>
        <v>#VALUE!</v>
      </c>
      <c r="AF37" s="130">
        <f t="shared" si="16"/>
        <v>1</v>
      </c>
      <c r="AG37" s="234">
        <f t="shared" si="1"/>
        <v>0</v>
      </c>
      <c r="AH37" s="1753" t="str">
        <f>IF(T37="","",(IF(ISNUMBER(SEARCH("exit",T37)),8760,IF(AND(M37="Dusk to Dawn",'Proposed Lighting'!AU37=3),4059,IF(AND(AU37=3,M37="1"),0,IF(AND(AU37=3,M37="1-C"),0,IF(AND(AU37=3,M37="2"),0,IF(AND(AU37=3,M37="2-C"),0,IF(AND(AU37=3,M37="3"),0,IF(AND(AU37=3,M37="3-C"),0,IF(AND(AU37=2,M37="Dusk to Dawn"),0,IF(AND(AU37=2,M37="Dusk to Dawn-C"),0,IF(AND(AU37=2,M37="Dusk to Dawn"),0,IF(AND(AU37=2,M37="E"),0,IF(AND(AU37=2,M37="E-C"),0,EG37)))))))))))))))</f>
        <v/>
      </c>
      <c r="AI37" s="1754"/>
      <c r="AJ37" s="1136"/>
      <c r="AK37" s="1136"/>
      <c r="AL37" s="1748">
        <f t="shared" si="64"/>
        <v>0</v>
      </c>
      <c r="AM37" s="1749"/>
      <c r="AN37" s="1750"/>
      <c r="AO37" s="476">
        <f t="shared" si="2"/>
        <v>0</v>
      </c>
      <c r="AP37" s="476">
        <f t="shared" si="17"/>
        <v>0</v>
      </c>
      <c r="AQ37" s="475">
        <f t="shared" si="3"/>
        <v>0</v>
      </c>
      <c r="AR37" s="475">
        <f t="shared" si="18"/>
        <v>0</v>
      </c>
      <c r="AS37" s="743" t="str">
        <f t="shared" si="79"/>
        <v/>
      </c>
      <c r="AT37" s="736" t="str">
        <f t="shared" si="20"/>
        <v/>
      </c>
      <c r="AU37" s="56">
        <f t="shared" si="21"/>
        <v>1</v>
      </c>
      <c r="AV37" s="476">
        <f t="shared" si="22"/>
        <v>0</v>
      </c>
      <c r="AW37" s="56">
        <f t="shared" si="23"/>
        <v>0</v>
      </c>
      <c r="AX37" s="475">
        <f t="shared" si="65"/>
        <v>0</v>
      </c>
      <c r="AY37" s="1169">
        <f t="shared" si="66"/>
        <v>0</v>
      </c>
      <c r="AZ37" s="1150">
        <f t="shared" si="67"/>
        <v>0</v>
      </c>
      <c r="BA37" s="56">
        <f t="shared" si="68"/>
        <v>0</v>
      </c>
      <c r="BB37" s="420">
        <f t="shared" si="4"/>
        <v>0</v>
      </c>
      <c r="BC37" s="58" t="str">
        <f t="shared" si="5"/>
        <v/>
      </c>
      <c r="BD37" s="660">
        <f t="shared" si="69"/>
        <v>0</v>
      </c>
      <c r="BE37" s="57" t="e">
        <f t="array" ref="BE37">INDEX($EB$11:$ED$1022,MATCH(F37&amp;T37,$EB$11:$EB$1007&amp;$EC$11:$EC$1007,0),3)</f>
        <v>#N/A</v>
      </c>
      <c r="BF37" s="463">
        <f t="shared" si="24"/>
        <v>0</v>
      </c>
      <c r="BG37" s="1445" t="e">
        <f t="array" ref="BG37">INDEX($DO$112:$DQ$123,MATCH(T37&amp;W37,$DO$114:$DO$125&amp;$DP$112:$DP$123,0),3)</f>
        <v>#N/A</v>
      </c>
      <c r="BH37" s="1446">
        <f t="shared" si="25"/>
        <v>0</v>
      </c>
      <c r="BI37" s="465">
        <f t="shared" si="26"/>
        <v>0</v>
      </c>
      <c r="BJ37" s="465">
        <f t="shared" si="27"/>
        <v>0</v>
      </c>
      <c r="BK37" s="466">
        <f t="shared" si="28"/>
        <v>0</v>
      </c>
      <c r="BL37" s="466">
        <f t="shared" si="29"/>
        <v>0</v>
      </c>
      <c r="BM37" s="466">
        <f t="shared" si="30"/>
        <v>0</v>
      </c>
      <c r="BN37" s="466">
        <f t="shared" si="31"/>
        <v>0</v>
      </c>
      <c r="BO37" s="463">
        <f>IF('Data Entry'!$C$74=0,0,IF(ISNA(CJ37),0,IF(AX37=0,0,IF(AND('Data Entry'!$C$74=2,AF37&gt;2,CE37&lt;1),0,IF(AND('Data Entry'!$C$74=2,AF37&gt;1,AU37=2,CJ37&gt;1),0,IF(AND(AF37=5,CT37=0.5,AU37=2,ER37&lt;100),0,IF(AND(AF37=5,CT37=0.5,AU37=3,ER37&lt;100),0,IF(AND('Data Entry'!$C$74=2,AF37=2,AU37=2,AK37&gt;0.01,CB37=2,CE37&lt;1),0,IF(AND('Data Entry'!$C$74=2,AF37=3,AU37=3,AK37&gt;0.01,CB37=3,CE37&lt;1),0,IF(AND('Data Entry'!$C$74=2,AF37=3,AU37=3,AK37&gt;0.01,CB37=3,CE37&gt;0.99),BQ37*0.08,IF(AND('Data Entry'!$C$74=2,AF37=2,AU37=2,AK37&gt;0.01,CB37=2,CE37&gt;0.99),BQ37*0.1,IF(AND(AU37=2,AK37&gt;0.01,CB37=2,CD37&gt;1),BQ37*0.1,IF(AND(AU37=3,AK37&gt;0.01,CB37=3,CD37&gt;1),BQ37*0.08,CJ37*EF37)))))))))))))</f>
        <v>0</v>
      </c>
      <c r="BP37" s="475">
        <f t="shared" si="32"/>
        <v>0</v>
      </c>
      <c r="BQ37" s="1431">
        <f>IF(AU37=1,0,IF(CH37=100,0,IF(AND(AF37=3,AU37=2),0,IF(AND(BH37=0,CT37&gt;0.4),0,IF(AND('Data Entry'!$C$74=2,AF37=1.5),0,IF(AND('Data Entry'!$C$74=2,AF37=1.6),0,IF(AND('Data Entry'!$C$74=2,AF37=4),0,IF(AND('Data Entry'!$C$74=2,AF37=5),0,IF(AND('Data Entry'!$C$74=2,AF37=2.5,CE37&lt;1),0,IF(AND('Data Entry'!$C$74=2,AF37=3,CE37&lt;1),0,IF(AND('Data Entry'!$C$74=1,AF37=2.5,CD37&lt;1),0,IF(AND('Data Entry'!$C$74=1,AF37=3,CD37&lt;1),0,IF(DX37&gt;0.01,DX37,IF(ISERROR(AX37-AY37),"",ROUND(AX37-AY37,2)))))))))))))))</f>
        <v>0</v>
      </c>
      <c r="BR37" s="146">
        <f t="shared" si="33"/>
        <v>0</v>
      </c>
      <c r="BS37" s="475">
        <f t="shared" si="34"/>
        <v>0</v>
      </c>
      <c r="BT37" s="146" t="b">
        <f t="shared" si="35"/>
        <v>0</v>
      </c>
      <c r="BU37" s="463">
        <f>IF(ISNA(AT37),0,IF(AND('Data Entry'!$C$74=2,BC37=27),0,IF(AND('Data Entry'!$C$74=2,BC37=28),0,IF(AND(BC37=27,BT37=27,CM37&gt;0.1),CM37*0.15,IF(AND(BC37=28,BT37=28,CM37&gt;0.1),CM37*0.12,0)))))</f>
        <v>0</v>
      </c>
      <c r="BV37" s="463">
        <f t="shared" si="78"/>
        <v>0</v>
      </c>
      <c r="BW37" s="463">
        <f t="shared" si="37"/>
        <v>0</v>
      </c>
      <c r="BX37" s="463">
        <f t="shared" si="38"/>
        <v>0</v>
      </c>
      <c r="BY37" s="463">
        <f t="shared" si="39"/>
        <v>0</v>
      </c>
      <c r="BZ37" s="463">
        <f t="shared" si="40"/>
        <v>0</v>
      </c>
      <c r="CA37" s="57">
        <f t="shared" si="70"/>
        <v>0</v>
      </c>
      <c r="CB37" s="56">
        <f t="shared" si="41"/>
        <v>1</v>
      </c>
      <c r="CC37" s="756">
        <f>IF(EE37=0,0,IF(EF37=0,0,IF(EE37&gt;AA37,0,IF(AND(AZ37&gt;AW37,AW37&gt;0),0,IF(CU37=0,0,Summary!AC340)))))</f>
        <v>0</v>
      </c>
      <c r="CD37" s="756">
        <f>IF(EE37=0,0,IF(EF37=0,0,IF(EE37&gt;AA37,0,IF(AND(AZ37&gt;AW37,AW37&gt;0),0,IF(CU37=0,0,Summary!AD340)))))</f>
        <v>0</v>
      </c>
      <c r="CE37" s="756">
        <f>IF(EF37=0,0,IF(EE37&gt;AA37,0,IF(CC37=0,0,IF(AND(AZ37&gt;AW37,AW37&gt;0),0,IF(CU37=0,0,Summary!AE340)))))</f>
        <v>0</v>
      </c>
      <c r="CF37" s="475">
        <f t="shared" si="42"/>
        <v>0</v>
      </c>
      <c r="CG37" s="476">
        <f t="shared" si="6"/>
        <v>0</v>
      </c>
      <c r="CH37" s="487">
        <f t="shared" si="43"/>
        <v>0</v>
      </c>
      <c r="CI37" s="756">
        <f t="shared" si="44"/>
        <v>0</v>
      </c>
      <c r="CJ37" s="487">
        <f>IF(CT37&gt;0.4,0,IF(AND(AU37=2,CH37=0,CT37=0.5,ER37=100),35,IF(AND(AU37=3,BB37&gt;75,CH37=0,CT37=0.5,ER37=100),25,IF(CB37&gt;1,0,IF(EF37&gt;EE37,0,IF(AND(AF37&gt;1,CH37=100),0,IF(AND(AF37=1,AY37=0),0,IF(AND(EF37&lt;=EE37,AW37&gt;=AZ37,'Data Entry'!$C$74=1,AU37=2),VLOOKUP(W37,$DO$96:$DP$102,2,FALSE),IF(AND(EF37&lt;=EE37,AW37&gt;=AZ37,AU37=3,'Data Entry'!$C$74=1),VLOOKUP(W37,$DO$127:$DP$134,2,FALSE))))))))))</f>
        <v>0</v>
      </c>
      <c r="CK37" s="716">
        <f t="shared" si="45"/>
        <v>0</v>
      </c>
      <c r="CL37" s="57">
        <f t="shared" si="46"/>
        <v>0</v>
      </c>
      <c r="CM37" s="475">
        <f t="shared" si="77"/>
        <v>0</v>
      </c>
      <c r="CN37" s="660">
        <f>IF(CM37&lt;0.1,0,IF(ISNA(AT37),0,IF(CL37+BC37=1,0,IF(BV37&gt;0.01,0,IF(CL37&gt;0.01,0,IF(CF37=1,0,IF(BC37=0.5,0,IF(AND(CI37=1,AU37=3),0,IF(AND(CI37=5,CL37=0),0,IF(AND(R37=12,BR37=50),0,IF(CK37&gt;0.01,0,IF(AND(AJ37&gt;0.01,AU37=2,BC37=15),CM37*0.1,IF(AND(AJ37&gt;0.01,AU37=3,BC37=15),CM37*0.08,IF(AND(R37=12,BC37=3,AF37&lt;=0),0,IF(AND(BC37=15,BI37=0),0,IF(AND(BC37=15,BJ37=0),0,IF(AND(R37=20,CU37=0),0,IF($X$4=0,0,IF(AND(BC37=250,CL37=0),0,IF(AA37&lt;1,0,IF(AND(ISNUMBER(SEARCH("Area",T37)),AU37=3),0,IF(AND(AQ37&gt;0.01,AR37=0,BK37=0,BL37=0,BM37=0,BN37=0),0,IF(AND(AU37=3,CI37=7,CT37&gt;0.5),0,IF(AND(BC37=44,AU37=3,BY37=0),0,IF(AND(BC37=27,'Data Entry'!$C$74=2),0,IF(AND(BC37=28,'Data Entry'!$C$74=2),0,IF(AND(BY37+BZ37+CA37&gt;0.01,BV37=0,EQ37+ER37+ES37+ET37&lt;100),0,IF(AU37=3,CM37*0.08,IF(AU37=2,CM37*0.1,0)))))))))))))))))))))))))))))</f>
        <v>0</v>
      </c>
      <c r="CO37" s="660">
        <f t="shared" si="47"/>
        <v>0</v>
      </c>
      <c r="CP37" s="475" t="str">
        <f t="shared" si="48"/>
        <v/>
      </c>
      <c r="CQ37" s="161" t="str">
        <f>IF(AH37=0,0,IF(AU37=5,0,Summary!AC40))</f>
        <v/>
      </c>
      <c r="CR37" s="161" t="str">
        <f>IF(BF37=0.5,0,IF(AU37=5,0,Summary!AD40))</f>
        <v/>
      </c>
      <c r="CS37" s="161" t="str">
        <f>IF(AU37=5,0,Summary!AE40)</f>
        <v/>
      </c>
      <c r="CT37" s="161">
        <f t="shared" si="49"/>
        <v>0</v>
      </c>
      <c r="CU37" s="475" t="str">
        <f t="shared" si="7"/>
        <v/>
      </c>
      <c r="CV37" s="307">
        <f>IF('Data Entry'!$C$74=0,0,IF(AA37&lt;1,0,IF(ISERROR(CU37),0,IF(CF37=1,0,IF(AND(R37=12,BR37=50),0,IF(CL37+BO37+BV37+DC37=0,0,IF(BC37=37,0,IF(AND(BC37=40,AJ37=0),0,IF(AND(BC37=37,BO37&gt;0.01,BQ37&gt;0.01),ROUND(BQ37,0),IF(CM37&lt;0,0,ROUND(CM37,0)))))))))))</f>
        <v>0</v>
      </c>
      <c r="CW37" s="700">
        <f t="shared" si="50"/>
        <v>0</v>
      </c>
      <c r="CX37" s="477">
        <f>IF('Data Entry'!$C$74=0,0,IF(CV37&lt;0.01,0,IF(BF37=0.5,0,IF(CF37=1,0,IF(ISNUMBER(SEARCH("false",CL37)),0,IF(AZ37=500,0,CL37))))))</f>
        <v>0</v>
      </c>
      <c r="CY37" s="147" t="e">
        <f t="shared" si="51"/>
        <v>#VALUE!</v>
      </c>
      <c r="CZ37" s="147" t="b">
        <f>IF(CN37+CL37=0,FALSE,IF(AH37=0,0,IF(AND('Data Entry'!$C$74=1,CR37&gt;=1),TRUE,IF(AND('Data Entry'!$C$74=2,CS37&gt;=1),TRUE,FALSE))))</f>
        <v>0</v>
      </c>
      <c r="DA37" s="1751">
        <f>IF('Data Entry'!$C$74=0,0,IFERROR(ROUND(IF(T37="","",IF($X$4=0,0,IF(CF37=1,0,IF(BQ37+CV37=0,0,IF(CF37=1,0,IF(CY37&gt;0.01,CY37,IF(CL37&gt;0.01,CL37,IF(CY37&gt;0.01,CY37,IF(BC37=37,BO37,IF(CZ37=FALSE,0,IF(CZ37=TRUE,DC37+DF37,0))))))))))),2),""))</f>
        <v>0</v>
      </c>
      <c r="DB37" s="1752"/>
      <c r="DC37" s="474">
        <f>IF(CN37&lt;0.01,0,IF(AND(BR37=3,CN37&gt;0.01,CT37&gt;0.6,ER37+ES37+ET37&lt;100),0,IF(AND('Data Entry'!$C$74=1,CN37&gt;0.01,CR37&gt;0.99),MIN(CN37:CO37),IF(AND('Data Entry'!$C$74=2,CN37&gt;0.01,CS37&gt;0.99),MIN(CN37:CO37),0))))</f>
        <v>0</v>
      </c>
      <c r="DD37" s="478">
        <f>IF(CF37=1,"Selection does not match",IF(T37=0,0,IF(AND('Data Entry'!$C$74=0,CP37&gt;1),"Select Oregon or Idaho on Data Entry Tab",IF(AND(AU37=1,AA37&gt;0.9),"Missing Interior or Exterior Selection",IF($X$4=0,"Enter Total Project Cost",IF(AQ37&lt;AR37,"Insufficient kWh savings – no incentive",IF(AND(SUM(CL37+CK37+BV37)&gt;0.01,'Data Entry'!$C$74=2,CJ37&gt;1,BO37=0),"Submit Control as Non-Standard",IF(AND('Data Entry'!$C$74=2,BR37=37,CJ37&gt;1,BO37=0),"Submit Control as Non-Standard",IF(SUM(CL37+CK37+BV37)&gt;0.01,"Standard Incentive",IF(AND('Data Entry'!$C$74=2,CP37=7,CN37=0),"Submit as Non-Standard",IF(DC37&gt;0.9,"Non-Standard Incentive",IF(AND(BY37+BZ37+CA37&gt;0.01,BV37=0,EQ37=0,ER37=0,ES37=0,ET37=0),"Scroll Right &amp; Select Control Strategies",IF(AND(CN37&gt;0.01,CO37=0),"Enter Unit Installed Cost",IF(ISNUMBER(SEARCH("Lighting Controls Only",F37)),"Lighting Controls Only",IF(CL37+DC37=0,"Does not meet incentive criteria",0)))))))))))))))</f>
        <v>0</v>
      </c>
      <c r="DE37" s="337">
        <f t="shared" si="52"/>
        <v>0</v>
      </c>
      <c r="DF37" s="609">
        <f t="shared" si="53"/>
        <v>0</v>
      </c>
      <c r="DG37" s="336" t="str">
        <f t="shared" si="54"/>
        <v/>
      </c>
      <c r="DH37" s="338">
        <f t="shared" si="55"/>
        <v>1</v>
      </c>
      <c r="DI37" s="336" t="e">
        <f t="shared" si="8"/>
        <v>#VALUE!</v>
      </c>
      <c r="DJ37" s="338">
        <f t="shared" si="9"/>
        <v>0</v>
      </c>
      <c r="DK37" s="325" t="s">
        <v>475</v>
      </c>
      <c r="DL37" s="341">
        <v>94</v>
      </c>
      <c r="DM37" s="325" t="s">
        <v>130</v>
      </c>
      <c r="DN37" s="1439">
        <v>6</v>
      </c>
      <c r="DO37" s="1444" t="s">
        <v>1781</v>
      </c>
      <c r="DP37" s="329"/>
      <c r="DQ37" s="356"/>
      <c r="DR37" s="1332"/>
      <c r="DS37" s="1434">
        <f t="shared" si="56"/>
        <v>0</v>
      </c>
      <c r="DT37" s="344" t="b">
        <f t="shared" si="57"/>
        <v>1</v>
      </c>
      <c r="DU37" s="1314" t="str">
        <f t="array" ref="DU37">IF(OR(COUNTIF(F37,"*"&amp;$DK$9:$DK$178&amp;"*")), "Yes", "")</f>
        <v/>
      </c>
      <c r="DV37" s="1314">
        <f t="shared" si="58"/>
        <v>0</v>
      </c>
      <c r="DW37" s="1480">
        <f t="shared" si="59"/>
        <v>0</v>
      </c>
      <c r="DX37" s="1498">
        <f t="shared" si="71"/>
        <v>0</v>
      </c>
      <c r="DY37" s="1484">
        <f t="shared" si="60"/>
        <v>0</v>
      </c>
      <c r="DZ37" s="1481" t="s">
        <v>1125</v>
      </c>
      <c r="EA37" s="881">
        <f>'Product Type'!E39</f>
        <v>0</v>
      </c>
      <c r="EB37" s="1499" t="s">
        <v>73</v>
      </c>
      <c r="EC37" s="727" t="s">
        <v>1568</v>
      </c>
      <c r="ED37" s="728">
        <v>0.5</v>
      </c>
      <c r="EE37" s="1215"/>
      <c r="EF37" s="1215"/>
      <c r="EG37" s="1184" t="str">
        <f t="shared" si="61"/>
        <v/>
      </c>
      <c r="EH37" s="5"/>
      <c r="EI37" s="55"/>
      <c r="EJ37" s="1185">
        <f t="shared" si="10"/>
        <v>0</v>
      </c>
      <c r="EK37" s="1211"/>
      <c r="EL37" s="1180">
        <f t="shared" si="72"/>
        <v>0</v>
      </c>
      <c r="EM37" s="207"/>
      <c r="EN37" s="1038"/>
      <c r="EO37" s="1038"/>
      <c r="EP37" s="1038"/>
      <c r="EQ37" s="1038">
        <f t="shared" si="62"/>
        <v>0</v>
      </c>
      <c r="ER37" s="1041">
        <f t="shared" si="75"/>
        <v>0</v>
      </c>
      <c r="ES37" s="1042">
        <f t="shared" si="63"/>
        <v>0</v>
      </c>
      <c r="ET37" s="1042">
        <f t="shared" si="73"/>
        <v>0</v>
      </c>
      <c r="EU37" s="1021">
        <f t="shared" si="74"/>
        <v>0</v>
      </c>
      <c r="EV37" s="368"/>
      <c r="EW37" s="368"/>
      <c r="EX37" s="369"/>
      <c r="EY37" s="370"/>
      <c r="EZ37" s="370"/>
      <c r="FA37" s="371"/>
      <c r="FB37" s="372"/>
    </row>
    <row r="38" spans="1:158" ht="34.5" customHeight="1">
      <c r="A38" s="82">
        <v>30</v>
      </c>
      <c r="B38" s="1725"/>
      <c r="C38" s="1726"/>
      <c r="D38" s="1726"/>
      <c r="E38" s="1727"/>
      <c r="F38" s="1732"/>
      <c r="G38" s="1733"/>
      <c r="H38" s="1733"/>
      <c r="I38" s="1734"/>
      <c r="J38" s="1341"/>
      <c r="K38" s="1728"/>
      <c r="L38" s="1728"/>
      <c r="M38" s="1342"/>
      <c r="N38" s="1583"/>
      <c r="O38" s="208" t="str">
        <f t="shared" si="11"/>
        <v/>
      </c>
      <c r="P38" s="1344"/>
      <c r="Q38" s="39" t="str">
        <f t="shared" si="0"/>
        <v/>
      </c>
      <c r="R38" s="39">
        <f t="shared" si="12"/>
        <v>0</v>
      </c>
      <c r="S38" s="234">
        <f t="shared" si="13"/>
        <v>0</v>
      </c>
      <c r="T38" s="1755"/>
      <c r="U38" s="1755"/>
      <c r="V38" s="1755"/>
      <c r="W38" s="1345"/>
      <c r="X38" s="1741"/>
      <c r="Y38" s="1742"/>
      <c r="Z38" s="1346"/>
      <c r="AA38" s="1343"/>
      <c r="AB38" s="1141"/>
      <c r="AC38" s="1103" t="str">
        <f>IF(T38="","",VLOOKUP(Z38,Lists!$A$60:$B$111,2,FALSE))</f>
        <v/>
      </c>
      <c r="AD38" s="130" t="str">
        <f t="shared" si="14"/>
        <v/>
      </c>
      <c r="AE38" s="130" t="e">
        <f t="shared" si="15"/>
        <v>#VALUE!</v>
      </c>
      <c r="AF38" s="130">
        <f t="shared" si="16"/>
        <v>1</v>
      </c>
      <c r="AG38" s="234">
        <f t="shared" si="1"/>
        <v>0</v>
      </c>
      <c r="AH38" s="1753" t="str">
        <f>IF(T38="","",(IF(ISNUMBER(SEARCH("exit",T38)),8760,IF(AND(M38="Dusk to Dawn",'Proposed Lighting'!AU38=3),4059,IF(AND(AU38=3,M38="1"),0,IF(AND(AU38=3,M38="1-C"),0,IF(AND(AU38=3,M38="2"),0,IF(AND(AU38=3,M38="2-C"),0,IF(AND(AU38=3,M38="3"),0,IF(AND(AU38=3,M38="3-C"),0,IF(AND(AU38=2,M38="Dusk to Dawn"),0,IF(AND(AU38=2,M38="Dusk to Dawn-C"),0,IF(AND(AU38=2,M38="Dusk to Dawn"),0,IF(AND(AU38=2,M38="E"),0,IF(AND(AU38=2,M38="E-C"),0,EG38)))))))))))))))</f>
        <v/>
      </c>
      <c r="AI38" s="1754"/>
      <c r="AJ38" s="1136"/>
      <c r="AK38" s="1136"/>
      <c r="AL38" s="1748">
        <f t="shared" si="64"/>
        <v>0</v>
      </c>
      <c r="AM38" s="1749"/>
      <c r="AN38" s="1750"/>
      <c r="AO38" s="476">
        <f t="shared" si="2"/>
        <v>0</v>
      </c>
      <c r="AP38" s="476">
        <f t="shared" si="17"/>
        <v>0</v>
      </c>
      <c r="AQ38" s="475">
        <f t="shared" si="3"/>
        <v>0</v>
      </c>
      <c r="AR38" s="475">
        <f t="shared" si="18"/>
        <v>0</v>
      </c>
      <c r="AS38" s="743" t="str">
        <f t="shared" si="79"/>
        <v/>
      </c>
      <c r="AT38" s="736" t="str">
        <f t="shared" si="20"/>
        <v/>
      </c>
      <c r="AU38" s="56">
        <f t="shared" si="21"/>
        <v>1</v>
      </c>
      <c r="AV38" s="476">
        <f t="shared" si="22"/>
        <v>0</v>
      </c>
      <c r="AW38" s="56">
        <f t="shared" si="23"/>
        <v>0</v>
      </c>
      <c r="AX38" s="475">
        <f t="shared" si="65"/>
        <v>0</v>
      </c>
      <c r="AY38" s="1169">
        <f t="shared" si="66"/>
        <v>0</v>
      </c>
      <c r="AZ38" s="1150">
        <f t="shared" si="67"/>
        <v>0</v>
      </c>
      <c r="BA38" s="56">
        <f t="shared" si="68"/>
        <v>0</v>
      </c>
      <c r="BB38" s="420">
        <f t="shared" si="4"/>
        <v>0</v>
      </c>
      <c r="BC38" s="58" t="str">
        <f t="shared" si="5"/>
        <v/>
      </c>
      <c r="BD38" s="660">
        <f t="shared" si="69"/>
        <v>0</v>
      </c>
      <c r="BE38" s="57" t="e">
        <f t="array" ref="BE38">INDEX($EB$11:$ED$1022,MATCH(F38&amp;T38,$EB$11:$EB$1007&amp;$EC$11:$EC$1007,0),3)</f>
        <v>#N/A</v>
      </c>
      <c r="BF38" s="463">
        <f t="shared" si="24"/>
        <v>0</v>
      </c>
      <c r="BG38" s="1445" t="e">
        <f t="array" ref="BG38">INDEX($DO$112:$DQ$123,MATCH(T38&amp;W38,$DO$114:$DO$125&amp;$DP$112:$DP$123,0),3)</f>
        <v>#N/A</v>
      </c>
      <c r="BH38" s="1446">
        <f t="shared" si="25"/>
        <v>0</v>
      </c>
      <c r="BI38" s="465">
        <f t="shared" si="26"/>
        <v>0</v>
      </c>
      <c r="BJ38" s="465">
        <f t="shared" si="27"/>
        <v>0</v>
      </c>
      <c r="BK38" s="466">
        <f t="shared" si="28"/>
        <v>0</v>
      </c>
      <c r="BL38" s="466">
        <f t="shared" si="29"/>
        <v>0</v>
      </c>
      <c r="BM38" s="466">
        <f t="shared" si="30"/>
        <v>0</v>
      </c>
      <c r="BN38" s="466">
        <f t="shared" si="31"/>
        <v>0</v>
      </c>
      <c r="BO38" s="463">
        <f>IF('Data Entry'!$C$74=0,0,IF(ISNA(CJ38),0,IF(AX38=0,0,IF(AND('Data Entry'!$C$74=2,AF38&gt;2,CE38&lt;1),0,IF(AND('Data Entry'!$C$74=2,AF38&gt;1,AU38=2,CJ38&gt;1),0,IF(AND(AF38=5,CT38=0.5,AU38=2,ER38&lt;100),0,IF(AND(AF38=5,CT38=0.5,AU38=3,ER38&lt;100),0,IF(AND('Data Entry'!$C$74=2,AF38=2,AU38=2,AK38&gt;0.01,CB38=2,CE38&lt;1),0,IF(AND('Data Entry'!$C$74=2,AF38=3,AU38=3,AK38&gt;0.01,CB38=3,CE38&lt;1),0,IF(AND('Data Entry'!$C$74=2,AF38=3,AU38=3,AK38&gt;0.01,CB38=3,CE38&gt;0.99),BQ38*0.08,IF(AND('Data Entry'!$C$74=2,AF38=2,AU38=2,AK38&gt;0.01,CB38=2,CE38&gt;0.99),BQ38*0.1,IF(AND(AU38=2,AK38&gt;0.01,CB38=2,CD38&gt;1),BQ38*0.1,IF(AND(AU38=3,AK38&gt;0.01,CB38=3,CD38&gt;1),BQ38*0.08,CJ38*EF38)))))))))))))</f>
        <v>0</v>
      </c>
      <c r="BP38" s="475">
        <f t="shared" si="32"/>
        <v>0</v>
      </c>
      <c r="BQ38" s="1431">
        <f>IF(AU38=1,0,IF(CH38=100,0,IF(AND(AF38=3,AU38=2),0,IF(AND(BH38=0,CT38&gt;0.4),0,IF(AND('Data Entry'!$C$74=2,AF38=1.5),0,IF(AND('Data Entry'!$C$74=2,AF38=1.6),0,IF(AND('Data Entry'!$C$74=2,AF38=4),0,IF(AND('Data Entry'!$C$74=2,AF38=5),0,IF(AND('Data Entry'!$C$74=2,AF38=2.5,CE38&lt;1),0,IF(AND('Data Entry'!$C$74=2,AF38=3,CE38&lt;1),0,IF(AND('Data Entry'!$C$74=1,AF38=2.5,CD38&lt;1),0,IF(AND('Data Entry'!$C$74=1,AF38=3,CD38&lt;1),0,IF(DX38&gt;0.01,DX38,IF(ISERROR(AX38-AY38),"",ROUND(AX38-AY38,2)))))))))))))))</f>
        <v>0</v>
      </c>
      <c r="BR38" s="146">
        <f t="shared" si="33"/>
        <v>0</v>
      </c>
      <c r="BS38" s="475">
        <f t="shared" si="34"/>
        <v>0</v>
      </c>
      <c r="BT38" s="146" t="b">
        <f t="shared" si="35"/>
        <v>0</v>
      </c>
      <c r="BU38" s="463">
        <f>IF(ISNA(AT38),0,IF(AND('Data Entry'!$C$74=2,BC38=27),0,IF(AND('Data Entry'!$C$74=2,BC38=28),0,IF(AND(BC38=27,BT38=27,CM38&gt;0.1),CM38*0.15,IF(AND(BC38=28,BT38=28,CM38&gt;0.1),CM38*0.12,0)))))</f>
        <v>0</v>
      </c>
      <c r="BV38" s="463">
        <f t="shared" si="78"/>
        <v>0</v>
      </c>
      <c r="BW38" s="463">
        <f t="shared" si="37"/>
        <v>0</v>
      </c>
      <c r="BX38" s="463">
        <f t="shared" si="38"/>
        <v>0</v>
      </c>
      <c r="BY38" s="463">
        <f t="shared" si="39"/>
        <v>0</v>
      </c>
      <c r="BZ38" s="463">
        <f t="shared" si="40"/>
        <v>0</v>
      </c>
      <c r="CA38" s="57">
        <f t="shared" si="70"/>
        <v>0</v>
      </c>
      <c r="CB38" s="56">
        <f t="shared" si="41"/>
        <v>1</v>
      </c>
      <c r="CC38" s="756">
        <f>IF(EE38=0,0,IF(EF38=0,0,IF(EE38&gt;AA38,0,IF(AND(AZ38&gt;AW38,AW38&gt;0),0,IF(CU38=0,0,Summary!AC341)))))</f>
        <v>0</v>
      </c>
      <c r="CD38" s="756">
        <f>IF(EE38=0,0,IF(EF38=0,0,IF(EE38&gt;AA38,0,IF(AND(AZ38&gt;AW38,AW38&gt;0),0,IF(CU38=0,0,Summary!AD341)))))</f>
        <v>0</v>
      </c>
      <c r="CE38" s="756">
        <f>IF(EF38=0,0,IF(EE38&gt;AA38,0,IF(CC38=0,0,IF(AND(AZ38&gt;AW38,AW38&gt;0),0,IF(CU38=0,0,Summary!AE341)))))</f>
        <v>0</v>
      </c>
      <c r="CF38" s="475">
        <f t="shared" si="42"/>
        <v>0</v>
      </c>
      <c r="CG38" s="476">
        <f t="shared" si="6"/>
        <v>0</v>
      </c>
      <c r="CH38" s="487">
        <f t="shared" si="43"/>
        <v>0</v>
      </c>
      <c r="CI38" s="756">
        <f t="shared" si="44"/>
        <v>0</v>
      </c>
      <c r="CJ38" s="487">
        <f>IF(CT38&gt;0.4,0,IF(AND(AU38=2,CH38=0,CT38=0.5,ER38=100),35,IF(AND(AU38=3,BB38&gt;75,CH38=0,CT38=0.5,ER38=100),25,IF(CB38&gt;1,0,IF(EF38&gt;EE38,0,IF(AND(AF38&gt;1,CH38=100),0,IF(AND(AF38=1,AY38=0),0,IF(AND(EF38&lt;=EE38,AW38&gt;=AZ38,'Data Entry'!$C$74=1,AU38=2),VLOOKUP(W38,$DO$96:$DP$102,2,FALSE),IF(AND(EF38&lt;=EE38,AW38&gt;=AZ38,AU38=3,'Data Entry'!$C$74=1),VLOOKUP(W38,$DO$127:$DP$134,2,FALSE))))))))))</f>
        <v>0</v>
      </c>
      <c r="CK38" s="716">
        <f t="shared" si="45"/>
        <v>0</v>
      </c>
      <c r="CL38" s="57">
        <f t="shared" si="46"/>
        <v>0</v>
      </c>
      <c r="CM38" s="475">
        <f t="shared" si="77"/>
        <v>0</v>
      </c>
      <c r="CN38" s="660">
        <f>IF(CM38&lt;0.1,0,IF(ISNA(AT38),0,IF(CL38+BC38=1,0,IF(BV38&gt;0.01,0,IF(CL38&gt;0.01,0,IF(CF38=1,0,IF(BC38=0.5,0,IF(AND(CI38=1,AU38=3),0,IF(AND(CI38=5,CL38=0),0,IF(AND(R38=12,BR38=50),0,IF(CK38&gt;0.01,0,IF(AND(AJ38&gt;0.01,AU38=2,BC38=15),CM38*0.1,IF(AND(AJ38&gt;0.01,AU38=3,BC38=15),CM38*0.08,IF(AND(R38=12,BC38=3,AF38&lt;=0),0,IF(AND(BC38=15,BI38=0),0,IF(AND(BC38=15,BJ38=0),0,IF(AND(R38=20,CU38=0),0,IF($X$4=0,0,IF(AND(BC38=250,CL38=0),0,IF(AA38&lt;1,0,IF(AND(ISNUMBER(SEARCH("Area",T38)),AU38=3),0,IF(AND(AQ38&gt;0.01,AR38=0,BK38=0,BL38=0,BM38=0,BN38=0),0,IF(AND(AU38=3,CI38=7,CT38&gt;0.5),0,IF(AND(BC38=44,AU38=3,BY38=0),0,IF(AND(BC38=27,'Data Entry'!$C$74=2),0,IF(AND(BC38=28,'Data Entry'!$C$74=2),0,IF(AND(BY38+BZ38+CA38&gt;0.01,BV38=0,EQ38+ER38+ES38+ET38&lt;100),0,IF(AU38=3,CM38*0.08,IF(AU38=2,CM38*0.1,0)))))))))))))))))))))))))))))</f>
        <v>0</v>
      </c>
      <c r="CO38" s="660">
        <f t="shared" si="47"/>
        <v>0</v>
      </c>
      <c r="CP38" s="475" t="str">
        <f t="shared" si="48"/>
        <v/>
      </c>
      <c r="CQ38" s="161" t="str">
        <f>IF(AH38=0,0,IF(AU38=5,0,Summary!AC41))</f>
        <v/>
      </c>
      <c r="CR38" s="161" t="str">
        <f>IF(BF38=0.5,0,IF(AU38=5,0,Summary!AD41))</f>
        <v/>
      </c>
      <c r="CS38" s="161" t="str">
        <f>IF(AU38=5,0,Summary!AE41)</f>
        <v/>
      </c>
      <c r="CT38" s="161">
        <f t="shared" si="49"/>
        <v>0</v>
      </c>
      <c r="CU38" s="475" t="str">
        <f t="shared" si="7"/>
        <v/>
      </c>
      <c r="CV38" s="307">
        <f>IF('Data Entry'!$C$74=0,0,IF(AA38&lt;1,0,IF(ISERROR(CU38),0,IF(CF38=1,0,IF(AND(R38=12,BR38=50),0,IF(CL38+BO38+BV38+DC38=0,0,IF(BC38=37,0,IF(AND(BC38=40,AJ38=0),0,IF(AND(BC38=37,BO38&gt;0.01,BQ38&gt;0.01),ROUND(BQ38,0),IF(CM38&lt;0,0,ROUND(CM38,0)))))))))))</f>
        <v>0</v>
      </c>
      <c r="CW38" s="700">
        <f t="shared" si="50"/>
        <v>0</v>
      </c>
      <c r="CX38" s="477">
        <f>IF('Data Entry'!$C$74=0,0,IF(CV38&lt;0.01,0,IF(BF38=0.5,0,IF(CF38=1,0,IF(ISNUMBER(SEARCH("false",CL38)),0,IF(AZ38=500,0,CL38))))))</f>
        <v>0</v>
      </c>
      <c r="CY38" s="147" t="e">
        <f t="shared" si="51"/>
        <v>#VALUE!</v>
      </c>
      <c r="CZ38" s="147" t="b">
        <f>IF(CN38+CL38=0,FALSE,IF(AH38=0,0,IF(AND('Data Entry'!$C$74=1,CR38&gt;=1),TRUE,IF(AND('Data Entry'!$C$74=2,CS38&gt;=1),TRUE,FALSE))))</f>
        <v>0</v>
      </c>
      <c r="DA38" s="1751">
        <f>IF('Data Entry'!$C$74=0,0,IFERROR(ROUND(IF(T38="","",IF($X$4=0,0,IF(CF38=1,0,IF(BQ38+CV38=0,0,IF(CF38=1,0,IF(CY38&gt;0.01,CY38,IF(CL38&gt;0.01,CL38,IF(CY38&gt;0.01,CY38,IF(BC38=37,BO38,IF(CZ38=FALSE,0,IF(CZ38=TRUE,DC38+DF38,0))))))))))),2),""))</f>
        <v>0</v>
      </c>
      <c r="DB38" s="1752"/>
      <c r="DC38" s="474">
        <f>IF(CN38&lt;0.01,0,IF(AND(BR38=3,CN38&gt;0.01,CT38&gt;0.6,ER38+ES38+ET38&lt;100),0,IF(AND('Data Entry'!$C$74=1,CN38&gt;0.01,CR38&gt;0.99),MIN(CN38:CO38),IF(AND('Data Entry'!$C$74=2,CN38&gt;0.01,CS38&gt;0.99),MIN(CN38:CO38),0))))</f>
        <v>0</v>
      </c>
      <c r="DD38" s="478">
        <f>IF(CF38=1,"Selection does not match",IF(T38=0,0,IF(AND('Data Entry'!$C$74=0,CP38&gt;1),"Select Oregon or Idaho on Data Entry Tab",IF(AND(AU38=1,AA38&gt;0.9),"Missing Interior or Exterior Selection",IF($X$4=0,"Enter Total Project Cost",IF(AQ38&lt;AR38,"Insufficient kWh savings – no incentive",IF(AND(SUM(CL38+CK38+BV38)&gt;0.01,'Data Entry'!$C$74=2,CJ38&gt;1,BO38=0),"Submit Control as Non-Standard",IF(AND('Data Entry'!$C$74=2,BR38=37,CJ38&gt;1,BO38=0),"Submit Control as Non-Standard",IF(SUM(CL38+CK38+BV38)&gt;0.01,"Standard Incentive",IF(AND('Data Entry'!$C$74=2,CP38=7,CN38=0),"Submit as Non-Standard",IF(DC38&gt;0.9,"Non-Standard Incentive",IF(AND(BY38+BZ38+CA38&gt;0.01,BV38=0,EQ38=0,ER38=0,ES38=0,ET38=0),"Scroll Right &amp; Select Control Strategies",IF(AND(CN38&gt;0.01,CO38=0),"Enter Unit Installed Cost",IF(ISNUMBER(SEARCH("Lighting Controls Only",F38)),"Lighting Controls Only",IF(CL38+DC38=0,"Does not meet incentive criteria",0)))))))))))))))</f>
        <v>0</v>
      </c>
      <c r="DE38" s="337">
        <f t="shared" si="52"/>
        <v>0</v>
      </c>
      <c r="DF38" s="609">
        <f t="shared" si="53"/>
        <v>0</v>
      </c>
      <c r="DG38" s="336" t="str">
        <f t="shared" si="54"/>
        <v/>
      </c>
      <c r="DH38" s="338">
        <f t="shared" si="55"/>
        <v>1</v>
      </c>
      <c r="DI38" s="336" t="e">
        <f t="shared" si="8"/>
        <v>#VALUE!</v>
      </c>
      <c r="DJ38" s="338">
        <f t="shared" si="9"/>
        <v>0</v>
      </c>
      <c r="DK38" s="325" t="s">
        <v>1561</v>
      </c>
      <c r="DL38" s="341">
        <v>148</v>
      </c>
      <c r="DM38" s="325" t="s">
        <v>131</v>
      </c>
      <c r="DN38" s="1439">
        <v>12</v>
      </c>
      <c r="DO38" s="1444" t="s">
        <v>1782</v>
      </c>
      <c r="DP38" s="329"/>
      <c r="DQ38" s="361"/>
      <c r="DR38" s="1332"/>
      <c r="DS38" s="1434">
        <f t="shared" si="56"/>
        <v>0</v>
      </c>
      <c r="DT38" s="344" t="b">
        <f t="shared" si="57"/>
        <v>1</v>
      </c>
      <c r="DU38" s="1314" t="str">
        <f t="array" ref="DU38">IF(OR(COUNTIF(F38,"*"&amp;$DK$9:$DK$178&amp;"*")), "Yes", "")</f>
        <v/>
      </c>
      <c r="DV38" s="1314">
        <f t="shared" si="58"/>
        <v>0</v>
      </c>
      <c r="DW38" s="1480">
        <f t="shared" si="59"/>
        <v>0</v>
      </c>
      <c r="DX38" s="1498">
        <f t="shared" si="71"/>
        <v>0</v>
      </c>
      <c r="DY38" s="1484">
        <f t="shared" si="60"/>
        <v>0</v>
      </c>
      <c r="DZ38" s="1481" t="s">
        <v>1126</v>
      </c>
      <c r="EA38" s="881">
        <f>'Product Type'!E40</f>
        <v>0</v>
      </c>
      <c r="EB38" s="1499" t="s">
        <v>472</v>
      </c>
      <c r="EC38" s="727" t="s">
        <v>1568</v>
      </c>
      <c r="ED38" s="728">
        <v>0.5</v>
      </c>
      <c r="EE38" s="1215"/>
      <c r="EF38" s="1215"/>
      <c r="EG38" s="1184" t="str">
        <f t="shared" si="61"/>
        <v/>
      </c>
      <c r="EH38" s="5"/>
      <c r="EI38" s="55"/>
      <c r="EJ38" s="1185">
        <f t="shared" si="10"/>
        <v>0</v>
      </c>
      <c r="EK38" s="1211"/>
      <c r="EL38" s="1180">
        <f t="shared" si="72"/>
        <v>0</v>
      </c>
      <c r="EM38" s="207"/>
      <c r="EN38" s="1038"/>
      <c r="EO38" s="1038"/>
      <c r="EP38" s="1038"/>
      <c r="EQ38" s="1038">
        <f t="shared" si="62"/>
        <v>0</v>
      </c>
      <c r="ER38" s="1041">
        <f t="shared" si="75"/>
        <v>0</v>
      </c>
      <c r="ES38" s="1042">
        <f t="shared" si="63"/>
        <v>0</v>
      </c>
      <c r="ET38" s="1042">
        <f t="shared" si="73"/>
        <v>0</v>
      </c>
      <c r="EU38" s="1021">
        <f t="shared" si="74"/>
        <v>0</v>
      </c>
      <c r="EV38" s="368"/>
      <c r="EW38" s="368"/>
      <c r="EX38" s="369"/>
      <c r="EY38" s="370"/>
      <c r="EZ38" s="370"/>
      <c r="FA38" s="371"/>
      <c r="FB38" s="372"/>
    </row>
    <row r="39" spans="1:158" ht="34.5" customHeight="1">
      <c r="A39" s="82">
        <v>31</v>
      </c>
      <c r="B39" s="1725"/>
      <c r="C39" s="1726"/>
      <c r="D39" s="1726"/>
      <c r="E39" s="1727"/>
      <c r="F39" s="1732"/>
      <c r="G39" s="1733"/>
      <c r="H39" s="1733"/>
      <c r="I39" s="1734"/>
      <c r="J39" s="1341"/>
      <c r="K39" s="1728"/>
      <c r="L39" s="1728"/>
      <c r="M39" s="1342"/>
      <c r="N39" s="1583"/>
      <c r="O39" s="208" t="str">
        <f t="shared" si="11"/>
        <v/>
      </c>
      <c r="P39" s="1344"/>
      <c r="Q39" s="39" t="str">
        <f t="shared" si="0"/>
        <v/>
      </c>
      <c r="R39" s="39">
        <f t="shared" si="12"/>
        <v>0</v>
      </c>
      <c r="S39" s="234">
        <f t="shared" si="13"/>
        <v>0</v>
      </c>
      <c r="T39" s="1755"/>
      <c r="U39" s="1755"/>
      <c r="V39" s="1755"/>
      <c r="W39" s="1345"/>
      <c r="X39" s="1756"/>
      <c r="Y39" s="1742"/>
      <c r="Z39" s="1346"/>
      <c r="AA39" s="1343"/>
      <c r="AB39" s="1141"/>
      <c r="AC39" s="1103" t="str">
        <f>IF(T39="","",VLOOKUP(Z39,Lists!$A$60:$B$111,2,FALSE))</f>
        <v/>
      </c>
      <c r="AD39" s="130" t="str">
        <f t="shared" si="14"/>
        <v/>
      </c>
      <c r="AE39" s="130" t="e">
        <f t="shared" si="15"/>
        <v>#VALUE!</v>
      </c>
      <c r="AF39" s="130">
        <f t="shared" si="16"/>
        <v>1</v>
      </c>
      <c r="AG39" s="234">
        <f t="shared" si="1"/>
        <v>0</v>
      </c>
      <c r="AH39" s="1753" t="str">
        <f>IF(T39="","",(IF(ISNUMBER(SEARCH("exit",T39)),8760,IF(AND(M39="Dusk to Dawn",'Proposed Lighting'!AU39=3),4059,IF(AND(AU39=3,M39="1"),0,IF(AND(AU39=3,M39="1-C"),0,IF(AND(AU39=3,M39="2"),0,IF(AND(AU39=3,M39="2-C"),0,IF(AND(AU39=3,M39="3"),0,IF(AND(AU39=3,M39="3-C"),0,IF(AND(AU39=2,M39="Dusk to Dawn"),0,IF(AND(AU39=2,M39="Dusk to Dawn-C"),0,IF(AND(AU39=2,M39="Dusk to Dawn"),0,IF(AND(AU39=2,M39="E"),0,IF(AND(AU39=2,M39="E-C"),0,EG39)))))))))))))))</f>
        <v/>
      </c>
      <c r="AI39" s="1754"/>
      <c r="AJ39" s="1136"/>
      <c r="AK39" s="1136"/>
      <c r="AL39" s="1748">
        <f t="shared" si="64"/>
        <v>0</v>
      </c>
      <c r="AM39" s="1749"/>
      <c r="AN39" s="1750"/>
      <c r="AO39" s="476">
        <f t="shared" si="2"/>
        <v>0</v>
      </c>
      <c r="AP39" s="476">
        <f t="shared" si="17"/>
        <v>0</v>
      </c>
      <c r="AQ39" s="475">
        <f t="shared" si="3"/>
        <v>0</v>
      </c>
      <c r="AR39" s="475">
        <f t="shared" si="18"/>
        <v>0</v>
      </c>
      <c r="AS39" s="743" t="str">
        <f t="shared" si="79"/>
        <v/>
      </c>
      <c r="AT39" s="736" t="str">
        <f t="shared" si="20"/>
        <v/>
      </c>
      <c r="AU39" s="56">
        <f t="shared" si="21"/>
        <v>1</v>
      </c>
      <c r="AV39" s="476">
        <f t="shared" si="22"/>
        <v>0</v>
      </c>
      <c r="AW39" s="56">
        <f t="shared" si="23"/>
        <v>0</v>
      </c>
      <c r="AX39" s="475">
        <f t="shared" si="65"/>
        <v>0</v>
      </c>
      <c r="AY39" s="1169">
        <f t="shared" si="66"/>
        <v>0</v>
      </c>
      <c r="AZ39" s="1150">
        <f t="shared" si="67"/>
        <v>0</v>
      </c>
      <c r="BA39" s="56">
        <f t="shared" si="68"/>
        <v>0</v>
      </c>
      <c r="BB39" s="420">
        <f t="shared" si="4"/>
        <v>0</v>
      </c>
      <c r="BC39" s="58" t="str">
        <f t="shared" si="5"/>
        <v/>
      </c>
      <c r="BD39" s="660">
        <f t="shared" si="69"/>
        <v>0</v>
      </c>
      <c r="BE39" s="57" t="e">
        <f t="array" ref="BE39">INDEX($EB$11:$ED$1022,MATCH(F39&amp;T39,$EB$11:$EB$1007&amp;$EC$11:$EC$1007,0),3)</f>
        <v>#N/A</v>
      </c>
      <c r="BF39" s="463">
        <f t="shared" si="24"/>
        <v>0</v>
      </c>
      <c r="BG39" s="1445" t="e">
        <f t="array" ref="BG39">INDEX($DO$112:$DQ$123,MATCH(T39&amp;W39,$DO$114:$DO$125&amp;$DP$112:$DP$123,0),3)</f>
        <v>#N/A</v>
      </c>
      <c r="BH39" s="1446">
        <f t="shared" si="25"/>
        <v>0</v>
      </c>
      <c r="BI39" s="465">
        <f t="shared" si="26"/>
        <v>0</v>
      </c>
      <c r="BJ39" s="465">
        <f t="shared" si="27"/>
        <v>0</v>
      </c>
      <c r="BK39" s="466">
        <f t="shared" si="28"/>
        <v>0</v>
      </c>
      <c r="BL39" s="466">
        <f t="shared" si="29"/>
        <v>0</v>
      </c>
      <c r="BM39" s="466">
        <f t="shared" si="30"/>
        <v>0</v>
      </c>
      <c r="BN39" s="466">
        <f t="shared" si="31"/>
        <v>0</v>
      </c>
      <c r="BO39" s="463">
        <f>IF('Data Entry'!$C$74=0,0,IF(ISNA(CJ39),0,IF(AX39=0,0,IF(AND('Data Entry'!$C$74=2,AF39&gt;2,CE39&lt;1),0,IF(AND('Data Entry'!$C$74=2,AF39&gt;1,AU39=2,CJ39&gt;1),0,IF(AND(AF39=5,CT39=0.5,AU39=2,ER39&lt;100),0,IF(AND(AF39=5,CT39=0.5,AU39=3,ER39&lt;100),0,IF(AND('Data Entry'!$C$74=2,AF39=2,AU39=2,AK39&gt;0.01,CB39=2,CE39&lt;1),0,IF(AND('Data Entry'!$C$74=2,AF39=3,AU39=3,AK39&gt;0.01,CB39=3,CE39&lt;1),0,IF(AND('Data Entry'!$C$74=2,AF39=3,AU39=3,AK39&gt;0.01,CB39=3,CE39&gt;0.99),BQ39*0.08,IF(AND('Data Entry'!$C$74=2,AF39=2,AU39=2,AK39&gt;0.01,CB39=2,CE39&gt;0.99),BQ39*0.1,IF(AND(AU39=2,AK39&gt;0.01,CB39=2,CD39&gt;1),BQ39*0.1,IF(AND(AU39=3,AK39&gt;0.01,CB39=3,CD39&gt;1),BQ39*0.08,CJ39*EF39)))))))))))))</f>
        <v>0</v>
      </c>
      <c r="BP39" s="475">
        <f t="shared" si="32"/>
        <v>0</v>
      </c>
      <c r="BQ39" s="1431">
        <f>IF(AU39=1,0,IF(CH39=100,0,IF(AND(AF39=3,AU39=2),0,IF(AND(BH39=0,CT39&gt;0.4),0,IF(AND('Data Entry'!$C$74=2,AF39=1.5),0,IF(AND('Data Entry'!$C$74=2,AF39=1.6),0,IF(AND('Data Entry'!$C$74=2,AF39=4),0,IF(AND('Data Entry'!$C$74=2,AF39=5),0,IF(AND('Data Entry'!$C$74=2,AF39=2.5,CE39&lt;1),0,IF(AND('Data Entry'!$C$74=2,AF39=3,CE39&lt;1),0,IF(AND('Data Entry'!$C$74=1,AF39=2.5,CD39&lt;1),0,IF(AND('Data Entry'!$C$74=1,AF39=3,CD39&lt;1),0,IF(DX39&gt;0.01,DX39,IF(ISERROR(AX39-AY39),"",ROUND(AX39-AY39,2)))))))))))))))</f>
        <v>0</v>
      </c>
      <c r="BR39" s="146">
        <f t="shared" si="33"/>
        <v>0</v>
      </c>
      <c r="BS39" s="475">
        <f t="shared" si="34"/>
        <v>0</v>
      </c>
      <c r="BT39" s="146" t="b">
        <f t="shared" si="35"/>
        <v>0</v>
      </c>
      <c r="BU39" s="463">
        <f>IF(ISNA(AT39),0,IF(AND('Data Entry'!$C$74=2,BC39=27),0,IF(AND('Data Entry'!$C$74=2,BC39=28),0,IF(AND(BC39=27,BT39=27,CM39&gt;0.1),CM39*0.15,IF(AND(BC39=28,BT39=28,CM39&gt;0.1),CM39*0.12,0)))))</f>
        <v>0</v>
      </c>
      <c r="BV39" s="463">
        <f t="shared" si="78"/>
        <v>0</v>
      </c>
      <c r="BW39" s="463">
        <f t="shared" si="37"/>
        <v>0</v>
      </c>
      <c r="BX39" s="463">
        <f t="shared" si="38"/>
        <v>0</v>
      </c>
      <c r="BY39" s="463">
        <f t="shared" si="39"/>
        <v>0</v>
      </c>
      <c r="BZ39" s="463">
        <f t="shared" si="40"/>
        <v>0</v>
      </c>
      <c r="CA39" s="57">
        <f t="shared" si="70"/>
        <v>0</v>
      </c>
      <c r="CB39" s="56">
        <f t="shared" si="41"/>
        <v>1</v>
      </c>
      <c r="CC39" s="756">
        <f>IF(EE39=0,0,IF(EF39=0,0,IF(EE39&gt;AA39,0,IF(AND(AZ39&gt;AW39,AW39&gt;0),0,IF(CU39=0,0,Summary!AC342)))))</f>
        <v>0</v>
      </c>
      <c r="CD39" s="756">
        <f>IF(EE39=0,0,IF(EF39=0,0,IF(EE39&gt;AA39,0,IF(AND(AZ39&gt;AW39,AW39&gt;0),0,IF(CU39=0,0,Summary!AD342)))))</f>
        <v>0</v>
      </c>
      <c r="CE39" s="756">
        <f>IF(EF39=0,0,IF(EE39&gt;AA39,0,IF(CC39=0,0,IF(AND(AZ39&gt;AW39,AW39&gt;0),0,IF(CU39=0,0,Summary!AE342)))))</f>
        <v>0</v>
      </c>
      <c r="CF39" s="475">
        <f t="shared" si="42"/>
        <v>0</v>
      </c>
      <c r="CG39" s="476">
        <f t="shared" si="6"/>
        <v>0</v>
      </c>
      <c r="CH39" s="487">
        <f t="shared" si="43"/>
        <v>0</v>
      </c>
      <c r="CI39" s="756">
        <f t="shared" si="44"/>
        <v>0</v>
      </c>
      <c r="CJ39" s="487">
        <f>IF(CT39&gt;0.4,0,IF(AND(AU39=2,CH39=0,CT39=0.5,ER39=100),35,IF(AND(AU39=3,BB39&gt;75,CH39=0,CT39=0.5,ER39=100),25,IF(CB39&gt;1,0,IF(EF39&gt;EE39,0,IF(AND(AF39&gt;1,CH39=100),0,IF(AND(AF39=1,AY39=0),0,IF(AND(EF39&lt;=EE39,AW39&gt;=AZ39,'Data Entry'!$C$74=1,AU39=2),VLOOKUP(W39,$DO$96:$DP$102,2,FALSE),IF(AND(EF39&lt;=EE39,AW39&gt;=AZ39,AU39=3,'Data Entry'!$C$74=1),VLOOKUP(W39,$DO$127:$DP$134,2,FALSE))))))))))</f>
        <v>0</v>
      </c>
      <c r="CK39" s="716">
        <f t="shared" si="45"/>
        <v>0</v>
      </c>
      <c r="CL39" s="57">
        <f t="shared" si="46"/>
        <v>0</v>
      </c>
      <c r="CM39" s="475">
        <f t="shared" si="77"/>
        <v>0</v>
      </c>
      <c r="CN39" s="660">
        <f>IF(CM39&lt;0.1,0,IF(ISNA(AT39),0,IF(CL39+BC39=1,0,IF(BV39&gt;0.01,0,IF(CL39&gt;0.01,0,IF(CF39=1,0,IF(BC39=0.5,0,IF(AND(CI39=1,AU39=3),0,IF(AND(CI39=5,CL39=0),0,IF(AND(R39=12,BR39=50),0,IF(CK39&gt;0.01,0,IF(AND(AJ39&gt;0.01,AU39=2,BC39=15),CM39*0.1,IF(AND(AJ39&gt;0.01,AU39=3,BC39=15),CM39*0.08,IF(AND(R39=12,BC39=3,AF39&lt;=0),0,IF(AND(BC39=15,BI39=0),0,IF(AND(BC39=15,BJ39=0),0,IF(AND(R39=20,CU39=0),0,IF($X$4=0,0,IF(AND(BC39=250,CL39=0),0,IF(AA39&lt;1,0,IF(AND(ISNUMBER(SEARCH("Area",T39)),AU39=3),0,IF(AND(AQ39&gt;0.01,AR39=0,BK39=0,BL39=0,BM39=0,BN39=0),0,IF(AND(AU39=3,CI39=7,CT39&gt;0.5),0,IF(AND(BC39=44,AU39=3,BY39=0),0,IF(AND(BC39=27,'Data Entry'!$C$74=2),0,IF(AND(BC39=28,'Data Entry'!$C$74=2),0,IF(AND(BY39+BZ39+CA39&gt;0.01,BV39=0,EQ39+ER39+ES39+ET39&lt;100),0,IF(AU39=3,CM39*0.08,IF(AU39=2,CM39*0.1,0)))))))))))))))))))))))))))))</f>
        <v>0</v>
      </c>
      <c r="CO39" s="660">
        <f t="shared" si="47"/>
        <v>0</v>
      </c>
      <c r="CP39" s="475" t="str">
        <f t="shared" si="48"/>
        <v/>
      </c>
      <c r="CQ39" s="161" t="str">
        <f>IF(AH39=0,0,IF(AU39=5,0,Summary!AC42))</f>
        <v/>
      </c>
      <c r="CR39" s="161" t="str">
        <f>IF(BF39=0.5,0,IF(AU39=5,0,Summary!AD42))</f>
        <v/>
      </c>
      <c r="CS39" s="161" t="str">
        <f>IF(AU39=5,0,Summary!AE42)</f>
        <v/>
      </c>
      <c r="CT39" s="161">
        <f t="shared" si="49"/>
        <v>0</v>
      </c>
      <c r="CU39" s="475" t="str">
        <f t="shared" si="7"/>
        <v/>
      </c>
      <c r="CV39" s="307">
        <f>IF('Data Entry'!$C$74=0,0,IF(AA39&lt;1,0,IF(ISERROR(CU39),0,IF(CF39=1,0,IF(AND(R39=12,BR39=50),0,IF(CL39+BO39+BV39+DC39=0,0,IF(BC39=37,0,IF(AND(BC39=40,AJ39=0),0,IF(AND(BC39=37,BO39&gt;0.01,BQ39&gt;0.01),ROUND(BQ39,0),IF(CM39&lt;0,0,ROUND(CM39,0)))))))))))</f>
        <v>0</v>
      </c>
      <c r="CW39" s="700">
        <f t="shared" si="50"/>
        <v>0</v>
      </c>
      <c r="CX39" s="477">
        <f>IF('Data Entry'!$C$74=0,0,IF(CV39&lt;0.01,0,IF(BF39=0.5,0,IF(CF39=1,0,IF(ISNUMBER(SEARCH("false",CL39)),0,IF(AZ39=500,0,CL39))))))</f>
        <v>0</v>
      </c>
      <c r="CY39" s="147" t="e">
        <f t="shared" si="51"/>
        <v>#VALUE!</v>
      </c>
      <c r="CZ39" s="147" t="b">
        <f>IF(CN39+CL39=0,FALSE,IF(AH39=0,0,IF(AND('Data Entry'!$C$74=1,CR39&gt;=1),TRUE,IF(AND('Data Entry'!$C$74=2,CS39&gt;=1),TRUE,FALSE))))</f>
        <v>0</v>
      </c>
      <c r="DA39" s="1751">
        <f>IF('Data Entry'!$C$74=0,0,IFERROR(ROUND(IF(T39="","",IF($X$4=0,0,IF(CF39=1,0,IF(BQ39+CV39=0,0,IF(CF39=1,0,IF(CY39&gt;0.01,CY39,IF(CL39&gt;0.01,CL39,IF(CY39&gt;0.01,CY39,IF(BC39=37,BO39,IF(CZ39=FALSE,0,IF(CZ39=TRUE,DC39+DF39,0))))))))))),2),""))</f>
        <v>0</v>
      </c>
      <c r="DB39" s="1752"/>
      <c r="DC39" s="474">
        <f>IF(CN39&lt;0.01,0,IF(AND(BR39=3,CN39&gt;0.01,CT39&gt;0.6,ER39+ES39+ET39&lt;100),0,IF(AND('Data Entry'!$C$74=1,CN39&gt;0.01,CR39&gt;0.99),MIN(CN39:CO39),IF(AND('Data Entry'!$C$74=2,CN39&gt;0.01,CS39&gt;0.99),MIN(CN39:CO39),0))))</f>
        <v>0</v>
      </c>
      <c r="DD39" s="478">
        <f>IF(CF39=1,"Selection does not match",IF(T39=0,0,IF(AND('Data Entry'!$C$74=0,CP39&gt;1),"Select Oregon or Idaho on Data Entry Tab",IF(AND(AU39=1,AA39&gt;0.9),"Missing Interior or Exterior Selection",IF($X$4=0,"Enter Total Project Cost",IF(AQ39&lt;AR39,"Insufficient kWh savings – no incentive",IF(AND(SUM(CL39+CK39+BV39)&gt;0.01,'Data Entry'!$C$74=2,CJ39&gt;1,BO39=0),"Submit Control as Non-Standard",IF(AND('Data Entry'!$C$74=2,BR39=37,CJ39&gt;1,BO39=0),"Submit Control as Non-Standard",IF(SUM(CL39+CK39+BV39)&gt;0.01,"Standard Incentive",IF(AND('Data Entry'!$C$74=2,CP39=7,CN39=0),"Submit as Non-Standard",IF(DC39&gt;0.9,"Non-Standard Incentive",IF(AND(BY39+BZ39+CA39&gt;0.01,BV39=0,EQ39=0,ER39=0,ES39=0,ET39=0),"Scroll Right &amp; Select Control Strategies",IF(AND(CN39&gt;0.01,CO39=0),"Enter Unit Installed Cost",IF(ISNUMBER(SEARCH("Lighting Controls Only",F39)),"Lighting Controls Only",IF(CL39+DC39=0,"Does not meet incentive criteria",0)))))))))))))))</f>
        <v>0</v>
      </c>
      <c r="DE39" s="337">
        <f t="shared" si="52"/>
        <v>0</v>
      </c>
      <c r="DF39" s="609">
        <f t="shared" si="53"/>
        <v>0</v>
      </c>
      <c r="DG39" s="336" t="str">
        <f t="shared" si="54"/>
        <v/>
      </c>
      <c r="DH39" s="338">
        <f t="shared" si="55"/>
        <v>1</v>
      </c>
      <c r="DI39" s="336" t="e">
        <f t="shared" si="8"/>
        <v>#VALUE!</v>
      </c>
      <c r="DJ39" s="338">
        <f t="shared" si="9"/>
        <v>0</v>
      </c>
      <c r="DK39" s="320" t="s">
        <v>476</v>
      </c>
      <c r="DL39" s="323">
        <v>149</v>
      </c>
      <c r="DM39" s="320" t="s">
        <v>73</v>
      </c>
      <c r="DN39" s="1438"/>
      <c r="DO39" s="1443" t="s">
        <v>1888</v>
      </c>
      <c r="DP39" s="332"/>
      <c r="DQ39" s="331"/>
      <c r="DR39" s="1332"/>
      <c r="DS39" s="1434">
        <f t="shared" si="56"/>
        <v>0</v>
      </c>
      <c r="DT39" s="344" t="b">
        <f t="shared" si="57"/>
        <v>1</v>
      </c>
      <c r="DU39" s="1314" t="str">
        <f t="array" ref="DU39">IF(OR(COUNTIF(F39,"*"&amp;$DK$9:$DK$178&amp;"*")), "Yes", "")</f>
        <v/>
      </c>
      <c r="DV39" s="1314">
        <f t="shared" si="58"/>
        <v>0</v>
      </c>
      <c r="DW39" s="1480">
        <f t="shared" si="59"/>
        <v>0</v>
      </c>
      <c r="DX39" s="1498">
        <f t="shared" si="71"/>
        <v>0</v>
      </c>
      <c r="DY39" s="1484">
        <f t="shared" si="60"/>
        <v>0</v>
      </c>
      <c r="DZ39" s="1481" t="s">
        <v>1127</v>
      </c>
      <c r="EA39" s="881">
        <f>'Product Type'!E41</f>
        <v>0</v>
      </c>
      <c r="EB39" s="1499" t="s">
        <v>473</v>
      </c>
      <c r="EC39" s="727" t="s">
        <v>1568</v>
      </c>
      <c r="ED39" s="728">
        <v>0.5</v>
      </c>
      <c r="EE39" s="1215"/>
      <c r="EF39" s="1215"/>
      <c r="EG39" s="1184" t="str">
        <f t="shared" si="61"/>
        <v/>
      </c>
      <c r="EH39" s="5"/>
      <c r="EI39" s="55"/>
      <c r="EJ39" s="1185">
        <f t="shared" si="10"/>
        <v>0</v>
      </c>
      <c r="EK39" s="1211"/>
      <c r="EL39" s="1180">
        <f t="shared" si="72"/>
        <v>0</v>
      </c>
      <c r="EM39" s="207"/>
      <c r="EN39" s="1038"/>
      <c r="EO39" s="1038"/>
      <c r="EP39" s="1038"/>
      <c r="EQ39" s="1038">
        <f t="shared" si="62"/>
        <v>0</v>
      </c>
      <c r="ER39" s="1041">
        <f t="shared" si="75"/>
        <v>0</v>
      </c>
      <c r="ES39" s="1042">
        <f t="shared" si="63"/>
        <v>0</v>
      </c>
      <c r="ET39" s="1042">
        <f t="shared" si="73"/>
        <v>0</v>
      </c>
      <c r="EU39" s="1021">
        <f t="shared" si="74"/>
        <v>0</v>
      </c>
      <c r="EV39" s="368"/>
      <c r="EW39" s="368"/>
      <c r="EX39" s="369"/>
      <c r="EY39" s="370"/>
      <c r="EZ39" s="370"/>
      <c r="FA39" s="371"/>
      <c r="FB39" s="372"/>
    </row>
    <row r="40" spans="1:158" ht="34.5" customHeight="1">
      <c r="A40" s="82">
        <v>32</v>
      </c>
      <c r="B40" s="1725"/>
      <c r="C40" s="1726"/>
      <c r="D40" s="1726"/>
      <c r="E40" s="1727"/>
      <c r="F40" s="1732"/>
      <c r="G40" s="1733"/>
      <c r="H40" s="1733"/>
      <c r="I40" s="1734"/>
      <c r="J40" s="1341"/>
      <c r="K40" s="1728"/>
      <c r="L40" s="1728"/>
      <c r="M40" s="1342"/>
      <c r="N40" s="1583"/>
      <c r="O40" s="208" t="str">
        <f t="shared" si="11"/>
        <v/>
      </c>
      <c r="P40" s="785"/>
      <c r="Q40" s="39" t="str">
        <f t="shared" si="0"/>
        <v/>
      </c>
      <c r="R40" s="39">
        <f t="shared" si="12"/>
        <v>0</v>
      </c>
      <c r="S40" s="234">
        <f t="shared" si="13"/>
        <v>0</v>
      </c>
      <c r="T40" s="1755"/>
      <c r="U40" s="1755"/>
      <c r="V40" s="1755"/>
      <c r="W40" s="1345"/>
      <c r="X40" s="1756"/>
      <c r="Y40" s="1742"/>
      <c r="Z40" s="1346"/>
      <c r="AA40" s="1343"/>
      <c r="AB40" s="1141"/>
      <c r="AC40" s="1103" t="str">
        <f>IF(T40="","",VLOOKUP(Z40,Lists!$A$60:$B$111,2,FALSE))</f>
        <v/>
      </c>
      <c r="AD40" s="130" t="str">
        <f t="shared" si="14"/>
        <v/>
      </c>
      <c r="AE40" s="130" t="e">
        <f t="shared" si="15"/>
        <v>#VALUE!</v>
      </c>
      <c r="AF40" s="130">
        <f t="shared" si="16"/>
        <v>1</v>
      </c>
      <c r="AG40" s="234">
        <f t="shared" si="1"/>
        <v>0</v>
      </c>
      <c r="AH40" s="1753" t="str">
        <f>IF(T40="","",(IF(ISNUMBER(SEARCH("exit",T40)),8760,IF(AND(M40="Dusk to Dawn",'Proposed Lighting'!AU40=3),4059,IF(AND(AU40=3,M40="1"),0,IF(AND(AU40=3,M40="1-C"),0,IF(AND(AU40=3,M40="2"),0,IF(AND(AU40=3,M40="2-C"),0,IF(AND(AU40=3,M40="3"),0,IF(AND(AU40=3,M40="3-C"),0,IF(AND(AU40=2,M40="Dusk to Dawn"),0,IF(AND(AU40=2,M40="Dusk to Dawn-C"),0,IF(AND(AU40=2,M40="Dusk to Dawn"),0,IF(AND(AU40=2,M40="E"),0,IF(AND(AU40=2,M40="E-C"),0,EG40)))))))))))))))</f>
        <v/>
      </c>
      <c r="AI40" s="1754"/>
      <c r="AJ40" s="1136"/>
      <c r="AK40" s="1136"/>
      <c r="AL40" s="1748">
        <f t="shared" si="64"/>
        <v>0</v>
      </c>
      <c r="AM40" s="1749"/>
      <c r="AN40" s="1750"/>
      <c r="AO40" s="476">
        <f t="shared" si="2"/>
        <v>0</v>
      </c>
      <c r="AP40" s="476">
        <f t="shared" si="17"/>
        <v>0</v>
      </c>
      <c r="AQ40" s="475">
        <f t="shared" si="3"/>
        <v>0</v>
      </c>
      <c r="AR40" s="475">
        <f t="shared" si="18"/>
        <v>0</v>
      </c>
      <c r="AS40" s="743" t="str">
        <f t="shared" si="79"/>
        <v/>
      </c>
      <c r="AT40" s="736" t="str">
        <f t="shared" si="20"/>
        <v/>
      </c>
      <c r="AU40" s="56">
        <f t="shared" si="21"/>
        <v>1</v>
      </c>
      <c r="AV40" s="476">
        <f t="shared" si="22"/>
        <v>0</v>
      </c>
      <c r="AW40" s="56">
        <f t="shared" si="23"/>
        <v>0</v>
      </c>
      <c r="AX40" s="475">
        <f t="shared" si="65"/>
        <v>0</v>
      </c>
      <c r="AY40" s="1169">
        <f t="shared" si="66"/>
        <v>0</v>
      </c>
      <c r="AZ40" s="1150">
        <f t="shared" si="67"/>
        <v>0</v>
      </c>
      <c r="BA40" s="56">
        <f t="shared" si="68"/>
        <v>0</v>
      </c>
      <c r="BB40" s="420">
        <f t="shared" si="4"/>
        <v>0</v>
      </c>
      <c r="BC40" s="58" t="str">
        <f t="shared" si="5"/>
        <v/>
      </c>
      <c r="BD40" s="660">
        <f t="shared" si="69"/>
        <v>0</v>
      </c>
      <c r="BE40" s="57" t="e">
        <f t="array" ref="BE40">INDEX($EB$11:$ED$1022,MATCH(F40&amp;T40,$EB$11:$EB$1007&amp;$EC$11:$EC$1007,0),3)</f>
        <v>#N/A</v>
      </c>
      <c r="BF40" s="463">
        <f t="shared" si="24"/>
        <v>0</v>
      </c>
      <c r="BG40" s="1445" t="e">
        <f t="array" ref="BG40">INDEX($DO$112:$DQ$123,MATCH(T40&amp;W40,$DO$114:$DO$125&amp;$DP$112:$DP$123,0),3)</f>
        <v>#N/A</v>
      </c>
      <c r="BH40" s="1446">
        <f t="shared" si="25"/>
        <v>0</v>
      </c>
      <c r="BI40" s="465">
        <f t="shared" si="26"/>
        <v>0</v>
      </c>
      <c r="BJ40" s="465">
        <f t="shared" si="27"/>
        <v>0</v>
      </c>
      <c r="BK40" s="466">
        <f t="shared" si="28"/>
        <v>0</v>
      </c>
      <c r="BL40" s="466">
        <f t="shared" si="29"/>
        <v>0</v>
      </c>
      <c r="BM40" s="466">
        <f t="shared" si="30"/>
        <v>0</v>
      </c>
      <c r="BN40" s="466">
        <f t="shared" si="31"/>
        <v>0</v>
      </c>
      <c r="BO40" s="463">
        <f>IF('Data Entry'!$C$74=0,0,IF(ISNA(CJ40),0,IF(AX40=0,0,IF(AND('Data Entry'!$C$74=2,AF40&gt;2,CE40&lt;1),0,IF(AND('Data Entry'!$C$74=2,AF40&gt;1,AU40=2,CJ40&gt;1),0,IF(AND(AF40=5,CT40=0.5,AU40=2,ER40&lt;100),0,IF(AND(AF40=5,CT40=0.5,AU40=3,ER40&lt;100),0,IF(AND('Data Entry'!$C$74=2,AF40=2,AU40=2,AK40&gt;0.01,CB40=2,CE40&lt;1),0,IF(AND('Data Entry'!$C$74=2,AF40=3,AU40=3,AK40&gt;0.01,CB40=3,CE40&lt;1),0,IF(AND('Data Entry'!$C$74=2,AF40=3,AU40=3,AK40&gt;0.01,CB40=3,CE40&gt;0.99),BQ40*0.08,IF(AND('Data Entry'!$C$74=2,AF40=2,AU40=2,AK40&gt;0.01,CB40=2,CE40&gt;0.99),BQ40*0.1,IF(AND(AU40=2,AK40&gt;0.01,CB40=2,CD40&gt;1),BQ40*0.1,IF(AND(AU40=3,AK40&gt;0.01,CB40=3,CD40&gt;1),BQ40*0.08,CJ40*EF40)))))))))))))</f>
        <v>0</v>
      </c>
      <c r="BP40" s="475">
        <f t="shared" si="32"/>
        <v>0</v>
      </c>
      <c r="BQ40" s="1431">
        <f>IF(AU40=1,0,IF(CH40=100,0,IF(AND(AF40=3,AU40=2),0,IF(AND(BH40=0,CT40&gt;0.4),0,IF(AND('Data Entry'!$C$74=2,AF40=1.5),0,IF(AND('Data Entry'!$C$74=2,AF40=1.6),0,IF(AND('Data Entry'!$C$74=2,AF40=4),0,IF(AND('Data Entry'!$C$74=2,AF40=5),0,IF(AND('Data Entry'!$C$74=2,AF40=2.5,CE40&lt;1),0,IF(AND('Data Entry'!$C$74=2,AF40=3,CE40&lt;1),0,IF(AND('Data Entry'!$C$74=1,AF40=2.5,CD40&lt;1),0,IF(AND('Data Entry'!$C$74=1,AF40=3,CD40&lt;1),0,IF(DX40&gt;0.01,DX40,IF(ISERROR(AX40-AY40),"",ROUND(AX40-AY40,2)))))))))))))))</f>
        <v>0</v>
      </c>
      <c r="BR40" s="146">
        <f t="shared" si="33"/>
        <v>0</v>
      </c>
      <c r="BS40" s="475">
        <f t="shared" si="34"/>
        <v>0</v>
      </c>
      <c r="BT40" s="146" t="b">
        <f t="shared" si="35"/>
        <v>0</v>
      </c>
      <c r="BU40" s="463">
        <f>IF(ISNA(AT40),0,IF(AND('Data Entry'!$C$74=2,BC40=27),0,IF(AND('Data Entry'!$C$74=2,BC40=28),0,IF(AND(BC40=27,BT40=27,CM40&gt;0.1),CM40*0.15,IF(AND(BC40=28,BT40=28,CM40&gt;0.1),CM40*0.12,0)))))</f>
        <v>0</v>
      </c>
      <c r="BV40" s="463">
        <f t="shared" si="78"/>
        <v>0</v>
      </c>
      <c r="BW40" s="463">
        <f t="shared" si="37"/>
        <v>0</v>
      </c>
      <c r="BX40" s="463">
        <f t="shared" si="38"/>
        <v>0</v>
      </c>
      <c r="BY40" s="463">
        <f t="shared" si="39"/>
        <v>0</v>
      </c>
      <c r="BZ40" s="463">
        <f t="shared" si="40"/>
        <v>0</v>
      </c>
      <c r="CA40" s="57">
        <f t="shared" si="70"/>
        <v>0</v>
      </c>
      <c r="CB40" s="56">
        <f t="shared" si="41"/>
        <v>1</v>
      </c>
      <c r="CC40" s="756">
        <f>IF(EE40=0,0,IF(EF40=0,0,IF(EE40&gt;AA40,0,IF(AND(AZ40&gt;AW40,AW40&gt;0),0,IF(CU40=0,0,Summary!AC343)))))</f>
        <v>0</v>
      </c>
      <c r="CD40" s="756">
        <f>IF(EE40=0,0,IF(EF40=0,0,IF(EE40&gt;AA40,0,IF(AND(AZ40&gt;AW40,AW40&gt;0),0,IF(CU40=0,0,Summary!AD343)))))</f>
        <v>0</v>
      </c>
      <c r="CE40" s="756">
        <f>IF(EF40=0,0,IF(EE40&gt;AA40,0,IF(CC40=0,0,IF(AND(AZ40&gt;AW40,AW40&gt;0),0,IF(CU40=0,0,Summary!AE343)))))</f>
        <v>0</v>
      </c>
      <c r="CF40" s="475">
        <f t="shared" si="42"/>
        <v>0</v>
      </c>
      <c r="CG40" s="476">
        <f t="shared" si="6"/>
        <v>0</v>
      </c>
      <c r="CH40" s="487">
        <f t="shared" si="43"/>
        <v>0</v>
      </c>
      <c r="CI40" s="756">
        <f t="shared" si="44"/>
        <v>0</v>
      </c>
      <c r="CJ40" s="487">
        <f>IF(CT40&gt;0.4,0,IF(AND(AU40=2,CH40=0,CT40=0.5,ER40=100),35,IF(AND(AU40=3,BB40&gt;75,CH40=0,CT40=0.5,ER40=100),25,IF(CB40&gt;1,0,IF(EF40&gt;EE40,0,IF(AND(AF40&gt;1,CH40=100),0,IF(AND(AF40=1,AY40=0),0,IF(AND(EF40&lt;=EE40,AW40&gt;=AZ40,'Data Entry'!$C$74=1,AU40=2),VLOOKUP(W40,$DO$96:$DP$102,2,FALSE),IF(AND(EF40&lt;=EE40,AW40&gt;=AZ40,AU40=3,'Data Entry'!$C$74=1),VLOOKUP(W40,$DO$127:$DP$134,2,FALSE))))))))))</f>
        <v>0</v>
      </c>
      <c r="CK40" s="716">
        <f t="shared" si="45"/>
        <v>0</v>
      </c>
      <c r="CL40" s="57">
        <f t="shared" si="46"/>
        <v>0</v>
      </c>
      <c r="CM40" s="475">
        <f t="shared" si="77"/>
        <v>0</v>
      </c>
      <c r="CN40" s="660">
        <f>IF(CM40&lt;0.1,0,IF(ISNA(AT40),0,IF(CL40+BC40=1,0,IF(BV40&gt;0.01,0,IF(CL40&gt;0.01,0,IF(CF40=1,0,IF(BC40=0.5,0,IF(AND(CI40=1,AU40=3),0,IF(AND(CI40=5,CL40=0),0,IF(AND(R40=12,BR40=50),0,IF(CK40&gt;0.01,0,IF(AND(AJ40&gt;0.01,AU40=2,BC40=15),CM40*0.1,IF(AND(AJ40&gt;0.01,AU40=3,BC40=15),CM40*0.08,IF(AND(R40=12,BC40=3,AF40&lt;=0),0,IF(AND(BC40=15,BI40=0),0,IF(AND(BC40=15,BJ40=0),0,IF(AND(R40=20,CU40=0),0,IF($X$4=0,0,IF(AND(BC40=250,CL40=0),0,IF(AA40&lt;1,0,IF(AND(ISNUMBER(SEARCH("Area",T40)),AU40=3),0,IF(AND(AQ40&gt;0.01,AR40=0,BK40=0,BL40=0,BM40=0,BN40=0),0,IF(AND(AU40=3,CI40=7,CT40&gt;0.5),0,IF(AND(BC40=44,AU40=3,BY40=0),0,IF(AND(BC40=27,'Data Entry'!$C$74=2),0,IF(AND(BC40=28,'Data Entry'!$C$74=2),0,IF(AND(BY40+BZ40+CA40&gt;0.01,BV40=0,EQ40+ER40+ES40+ET40&lt;100),0,IF(AU40=3,CM40*0.08,IF(AU40=2,CM40*0.1,0)))))))))))))))))))))))))))))</f>
        <v>0</v>
      </c>
      <c r="CO40" s="660">
        <f t="shared" si="47"/>
        <v>0</v>
      </c>
      <c r="CP40" s="475" t="str">
        <f t="shared" si="48"/>
        <v/>
      </c>
      <c r="CQ40" s="161" t="str">
        <f>IF(AH40=0,0,IF(AU40=5,0,Summary!AC43))</f>
        <v/>
      </c>
      <c r="CR40" s="161" t="str">
        <f>IF(BF40=0.5,0,IF(AU40=5,0,Summary!AD43))</f>
        <v/>
      </c>
      <c r="CS40" s="161" t="str">
        <f>IF(AU40=5,0,Summary!AE43)</f>
        <v/>
      </c>
      <c r="CT40" s="161">
        <f t="shared" si="49"/>
        <v>0</v>
      </c>
      <c r="CU40" s="475" t="str">
        <f t="shared" si="7"/>
        <v/>
      </c>
      <c r="CV40" s="307">
        <f>IF('Data Entry'!$C$74=0,0,IF(AA40&lt;1,0,IF(ISERROR(CU40),0,IF(CF40=1,0,IF(AND(R40=12,BR40=50),0,IF(CL40+BO40+BV40+DC40=0,0,IF(BC40=37,0,IF(AND(BC40=40,AJ40=0),0,IF(AND(BC40=37,BO40&gt;0.01,BQ40&gt;0.01),ROUND(BQ40,0),IF(CM40&lt;0,0,ROUND(CM40,0)))))))))))</f>
        <v>0</v>
      </c>
      <c r="CW40" s="700">
        <f t="shared" si="50"/>
        <v>0</v>
      </c>
      <c r="CX40" s="477">
        <f>IF('Data Entry'!$C$74=0,0,IF(CV40&lt;0.01,0,IF(BF40=0.5,0,IF(CF40=1,0,IF(ISNUMBER(SEARCH("false",CL40)),0,IF(AZ40=500,0,CL40))))))</f>
        <v>0</v>
      </c>
      <c r="CY40" s="147" t="e">
        <f t="shared" si="51"/>
        <v>#VALUE!</v>
      </c>
      <c r="CZ40" s="147" t="b">
        <f>IF(CN40+CL40=0,FALSE,IF(AH40=0,0,IF(AND('Data Entry'!$C$74=1,CR40&gt;=1),TRUE,IF(AND('Data Entry'!$C$74=2,CS40&gt;=1),TRUE,FALSE))))</f>
        <v>0</v>
      </c>
      <c r="DA40" s="1751">
        <f>IF('Data Entry'!$C$74=0,0,IFERROR(ROUND(IF(T40="","",IF($X$4=0,0,IF(CF40=1,0,IF(BQ40+CV40=0,0,IF(CF40=1,0,IF(CY40&gt;0.01,CY40,IF(CL40&gt;0.01,CL40,IF(CY40&gt;0.01,CY40,IF(BC40=37,BO40,IF(CZ40=FALSE,0,IF(CZ40=TRUE,DC40+DF40,0))))))))))),2),""))</f>
        <v>0</v>
      </c>
      <c r="DB40" s="1752"/>
      <c r="DC40" s="474">
        <f>IF(CN40&lt;0.01,0,IF(AND(BR40=3,CN40&gt;0.01,CT40&gt;0.6,ER40+ES40+ET40&lt;100),0,IF(AND('Data Entry'!$C$74=1,CN40&gt;0.01,CR40&gt;0.99),MIN(CN40:CO40),IF(AND('Data Entry'!$C$74=2,CN40&gt;0.01,CS40&gt;0.99),MIN(CN40:CO40),0))))</f>
        <v>0</v>
      </c>
      <c r="DD40" s="478">
        <f>IF(CF40=1,"Selection does not match",IF(T40=0,0,IF(AND('Data Entry'!$C$74=0,CP40&gt;1),"Select Oregon or Idaho on Data Entry Tab",IF(AND(AU40=1,AA40&gt;0.9),"Missing Interior or Exterior Selection",IF($X$4=0,"Enter Total Project Cost",IF(AQ40&lt;AR40,"Insufficient kWh savings – no incentive",IF(AND(SUM(CL40+CK40+BV40)&gt;0.01,'Data Entry'!$C$74=2,CJ40&gt;1,BO40=0),"Submit Control as Non-Standard",IF(AND('Data Entry'!$C$74=2,BR40=37,CJ40&gt;1,BO40=0),"Submit Control as Non-Standard",IF(SUM(CL40+CK40+BV40)&gt;0.01,"Standard Incentive",IF(AND('Data Entry'!$C$74=2,CP40=7,CN40=0),"Submit as Non-Standard",IF(DC40&gt;0.9,"Non-Standard Incentive",IF(AND(BY40+BZ40+CA40&gt;0.01,BV40=0,EQ40=0,ER40=0,ES40=0,ET40=0),"Scroll Right &amp; Select Control Strategies",IF(AND(CN40&gt;0.01,CO40=0),"Enter Unit Installed Cost",IF(ISNUMBER(SEARCH("Lighting Controls Only",F40)),"Lighting Controls Only",IF(CL40+DC40=0,"Does not meet incentive criteria",0)))))))))))))))</f>
        <v>0</v>
      </c>
      <c r="DE40" s="337">
        <f t="shared" si="52"/>
        <v>0</v>
      </c>
      <c r="DF40" s="609">
        <f t="shared" si="53"/>
        <v>0</v>
      </c>
      <c r="DG40" s="336" t="str">
        <f t="shared" si="54"/>
        <v/>
      </c>
      <c r="DH40" s="338">
        <f t="shared" si="55"/>
        <v>1</v>
      </c>
      <c r="DI40" s="336" t="e">
        <f t="shared" si="8"/>
        <v>#VALUE!</v>
      </c>
      <c r="DJ40" s="338">
        <f t="shared" si="9"/>
        <v>0</v>
      </c>
      <c r="DK40" s="339" t="s">
        <v>1562</v>
      </c>
      <c r="DL40" s="323">
        <v>222</v>
      </c>
      <c r="DM40" s="414" t="s">
        <v>35</v>
      </c>
      <c r="DN40" s="1438"/>
      <c r="DO40" s="1436" t="s">
        <v>1864</v>
      </c>
      <c r="DP40" s="332"/>
      <c r="DQ40" s="331"/>
      <c r="DR40" s="1332"/>
      <c r="DS40" s="1434">
        <f t="shared" si="56"/>
        <v>0</v>
      </c>
      <c r="DT40" s="344" t="b">
        <f t="shared" si="57"/>
        <v>1</v>
      </c>
      <c r="DU40" s="1314" t="str">
        <f t="array" ref="DU40">IF(OR(COUNTIF(F40,"*"&amp;$DK$9:$DK$178&amp;"*")), "Yes", "")</f>
        <v/>
      </c>
      <c r="DV40" s="1314">
        <f t="shared" si="58"/>
        <v>0</v>
      </c>
      <c r="DW40" s="1480">
        <f t="shared" si="59"/>
        <v>0</v>
      </c>
      <c r="DX40" s="1498">
        <f t="shared" si="71"/>
        <v>0</v>
      </c>
      <c r="DY40" s="1484">
        <f t="shared" si="60"/>
        <v>0</v>
      </c>
      <c r="DZ40" s="1481" t="s">
        <v>1128</v>
      </c>
      <c r="EA40" s="881">
        <f>'Product Type'!E42</f>
        <v>0</v>
      </c>
      <c r="EB40" s="1499" t="s">
        <v>474</v>
      </c>
      <c r="EC40" s="727" t="s">
        <v>1568</v>
      </c>
      <c r="ED40" s="728">
        <v>0.5</v>
      </c>
      <c r="EE40" s="1215"/>
      <c r="EF40" s="1215"/>
      <c r="EG40" s="1184" t="str">
        <f t="shared" si="61"/>
        <v/>
      </c>
      <c r="EH40" s="5"/>
      <c r="EI40" s="55"/>
      <c r="EJ40" s="1185">
        <f t="shared" si="10"/>
        <v>0</v>
      </c>
      <c r="EK40" s="1211"/>
      <c r="EL40" s="1180">
        <f t="shared" si="72"/>
        <v>0</v>
      </c>
      <c r="EM40" s="207"/>
      <c r="EN40" s="1038"/>
      <c r="EO40" s="1038"/>
      <c r="EP40" s="1038"/>
      <c r="EQ40" s="1038">
        <f t="shared" si="62"/>
        <v>0</v>
      </c>
      <c r="ER40" s="1041">
        <f t="shared" si="75"/>
        <v>0</v>
      </c>
      <c r="ES40" s="1042">
        <f t="shared" si="63"/>
        <v>0</v>
      </c>
      <c r="ET40" s="1042">
        <f t="shared" si="73"/>
        <v>0</v>
      </c>
      <c r="EU40" s="1021">
        <f t="shared" si="74"/>
        <v>0</v>
      </c>
      <c r="EV40" s="368"/>
      <c r="EW40" s="368"/>
      <c r="EX40" s="369"/>
      <c r="EY40" s="370"/>
      <c r="EZ40" s="370"/>
      <c r="FA40" s="371"/>
      <c r="FB40" s="372"/>
    </row>
    <row r="41" spans="1:158" ht="34.5" customHeight="1">
      <c r="A41" s="82">
        <v>33</v>
      </c>
      <c r="B41" s="1725"/>
      <c r="C41" s="1726"/>
      <c r="D41" s="1726"/>
      <c r="E41" s="1727"/>
      <c r="F41" s="1732"/>
      <c r="G41" s="1733"/>
      <c r="H41" s="1733"/>
      <c r="I41" s="1734"/>
      <c r="J41" s="1341"/>
      <c r="K41" s="1728"/>
      <c r="L41" s="1728"/>
      <c r="M41" s="1342"/>
      <c r="N41" s="1583"/>
      <c r="O41" s="208" t="str">
        <f t="shared" si="11"/>
        <v/>
      </c>
      <c r="P41" s="785"/>
      <c r="Q41" s="39" t="str">
        <f t="shared" si="0"/>
        <v/>
      </c>
      <c r="R41" s="39">
        <f t="shared" si="12"/>
        <v>0</v>
      </c>
      <c r="S41" s="234">
        <f t="shared" si="13"/>
        <v>0</v>
      </c>
      <c r="T41" s="1755"/>
      <c r="U41" s="1755"/>
      <c r="V41" s="1755"/>
      <c r="W41" s="1345"/>
      <c r="X41" s="1756"/>
      <c r="Y41" s="1742"/>
      <c r="Z41" s="1346"/>
      <c r="AA41" s="1343"/>
      <c r="AB41" s="1141"/>
      <c r="AC41" s="1103" t="str">
        <f>IF(T41="","",VLOOKUP(Z41,Lists!$A$60:$B$111,2,FALSE))</f>
        <v/>
      </c>
      <c r="AD41" s="130" t="str">
        <f t="shared" si="14"/>
        <v/>
      </c>
      <c r="AE41" s="130" t="e">
        <f t="shared" si="15"/>
        <v>#VALUE!</v>
      </c>
      <c r="AF41" s="130">
        <f t="shared" si="16"/>
        <v>1</v>
      </c>
      <c r="AG41" s="234">
        <f t="shared" si="1"/>
        <v>0</v>
      </c>
      <c r="AH41" s="1753" t="str">
        <f>IF(T41="","",(IF(ISNUMBER(SEARCH("exit",T41)),8760,IF(AND(M41="Dusk to Dawn",'Proposed Lighting'!AU41=3),4059,IF(AND(AU41=3,M41="1"),0,IF(AND(AU41=3,M41="1-C"),0,IF(AND(AU41=3,M41="2"),0,IF(AND(AU41=3,M41="2-C"),0,IF(AND(AU41=3,M41="3"),0,IF(AND(AU41=3,M41="3-C"),0,IF(AND(AU41=2,M41="Dusk to Dawn"),0,IF(AND(AU41=2,M41="Dusk to Dawn-C"),0,IF(AND(AU41=2,M41="Dusk to Dawn"),0,IF(AND(AU41=2,M41="E"),0,IF(AND(AU41=2,M41="E-C"),0,EG41)))))))))))))))</f>
        <v/>
      </c>
      <c r="AI41" s="1754"/>
      <c r="AJ41" s="1136"/>
      <c r="AK41" s="1136"/>
      <c r="AL41" s="1748">
        <f t="shared" si="64"/>
        <v>0</v>
      </c>
      <c r="AM41" s="1749"/>
      <c r="AN41" s="1750"/>
      <c r="AO41" s="476">
        <f t="shared" si="2"/>
        <v>0</v>
      </c>
      <c r="AP41" s="476">
        <f t="shared" si="17"/>
        <v>0</v>
      </c>
      <c r="AQ41" s="475">
        <f t="shared" si="3"/>
        <v>0</v>
      </c>
      <c r="AR41" s="475">
        <f t="shared" si="18"/>
        <v>0</v>
      </c>
      <c r="AS41" s="743" t="str">
        <f t="shared" si="79"/>
        <v/>
      </c>
      <c r="AT41" s="736" t="str">
        <f t="shared" si="20"/>
        <v/>
      </c>
      <c r="AU41" s="56">
        <f t="shared" si="21"/>
        <v>1</v>
      </c>
      <c r="AV41" s="476">
        <f t="shared" si="22"/>
        <v>0</v>
      </c>
      <c r="AW41" s="56">
        <f t="shared" si="23"/>
        <v>0</v>
      </c>
      <c r="AX41" s="475">
        <f t="shared" si="65"/>
        <v>0</v>
      </c>
      <c r="AY41" s="1169">
        <f t="shared" si="66"/>
        <v>0</v>
      </c>
      <c r="AZ41" s="1150">
        <f t="shared" si="67"/>
        <v>0</v>
      </c>
      <c r="BA41" s="56">
        <f t="shared" si="68"/>
        <v>0</v>
      </c>
      <c r="BB41" s="420">
        <f t="shared" si="4"/>
        <v>0</v>
      </c>
      <c r="BC41" s="58" t="str">
        <f t="shared" si="5"/>
        <v/>
      </c>
      <c r="BD41" s="660">
        <f t="shared" si="69"/>
        <v>0</v>
      </c>
      <c r="BE41" s="57" t="e">
        <f t="array" ref="BE41">INDEX($EB$11:$ED$1022,MATCH(F41&amp;T41,$EB$11:$EB$1007&amp;$EC$11:$EC$1007,0),3)</f>
        <v>#N/A</v>
      </c>
      <c r="BF41" s="463">
        <f t="shared" si="24"/>
        <v>0</v>
      </c>
      <c r="BG41" s="1445" t="e">
        <f t="array" ref="BG41">INDEX($DO$112:$DQ$123,MATCH(T41&amp;W41,$DO$114:$DO$125&amp;$DP$112:$DP$123,0),3)</f>
        <v>#N/A</v>
      </c>
      <c r="BH41" s="1446">
        <f t="shared" si="25"/>
        <v>0</v>
      </c>
      <c r="BI41" s="465">
        <f t="shared" si="26"/>
        <v>0</v>
      </c>
      <c r="BJ41" s="465">
        <f t="shared" si="27"/>
        <v>0</v>
      </c>
      <c r="BK41" s="466">
        <f t="shared" si="28"/>
        <v>0</v>
      </c>
      <c r="BL41" s="466">
        <f t="shared" si="29"/>
        <v>0</v>
      </c>
      <c r="BM41" s="466">
        <f t="shared" si="30"/>
        <v>0</v>
      </c>
      <c r="BN41" s="466">
        <f t="shared" si="31"/>
        <v>0</v>
      </c>
      <c r="BO41" s="463">
        <f>IF('Data Entry'!$C$74=0,0,IF(ISNA(CJ41),0,IF(AX41=0,0,IF(AND('Data Entry'!$C$74=2,AF41&gt;2,CE41&lt;1),0,IF(AND('Data Entry'!$C$74=2,AF41&gt;1,AU41=2,CJ41&gt;1),0,IF(AND(AF41=5,CT41=0.5,AU41=2,ER41&lt;100),0,IF(AND(AF41=5,CT41=0.5,AU41=3,ER41&lt;100),0,IF(AND('Data Entry'!$C$74=2,AF41=2,AU41=2,AK41&gt;0.01,CB41=2,CE41&lt;1),0,IF(AND('Data Entry'!$C$74=2,AF41=3,AU41=3,AK41&gt;0.01,CB41=3,CE41&lt;1),0,IF(AND('Data Entry'!$C$74=2,AF41=3,AU41=3,AK41&gt;0.01,CB41=3,CE41&gt;0.99),BQ41*0.08,IF(AND('Data Entry'!$C$74=2,AF41=2,AU41=2,AK41&gt;0.01,CB41=2,CE41&gt;0.99),BQ41*0.1,IF(AND(AU41=2,AK41&gt;0.01,CB41=2,CD41&gt;1),BQ41*0.1,IF(AND(AU41=3,AK41&gt;0.01,CB41=3,CD41&gt;1),BQ41*0.08,CJ41*EF41)))))))))))))</f>
        <v>0</v>
      </c>
      <c r="BP41" s="475">
        <f t="shared" si="32"/>
        <v>0</v>
      </c>
      <c r="BQ41" s="1431">
        <f>IF(AU41=1,0,IF(CH41=100,0,IF(AND(AF41=3,AU41=2),0,IF(AND(BH41=0,CT41&gt;0.4),0,IF(AND('Data Entry'!$C$74=2,AF41=1.5),0,IF(AND('Data Entry'!$C$74=2,AF41=1.6),0,IF(AND('Data Entry'!$C$74=2,AF41=4),0,IF(AND('Data Entry'!$C$74=2,AF41=5),0,IF(AND('Data Entry'!$C$74=2,AF41=2.5,CE41&lt;1),0,IF(AND('Data Entry'!$C$74=2,AF41=3,CE41&lt;1),0,IF(AND('Data Entry'!$C$74=1,AF41=2.5,CD41&lt;1),0,IF(AND('Data Entry'!$C$74=1,AF41=3,CD41&lt;1),0,IF(DX41&gt;0.01,DX41,IF(ISERROR(AX41-AY41),"",ROUND(AX41-AY41,2)))))))))))))))</f>
        <v>0</v>
      </c>
      <c r="BR41" s="146">
        <f t="shared" si="33"/>
        <v>0</v>
      </c>
      <c r="BS41" s="475">
        <f t="shared" si="34"/>
        <v>0</v>
      </c>
      <c r="BT41" s="146" t="b">
        <f t="shared" si="35"/>
        <v>0</v>
      </c>
      <c r="BU41" s="463">
        <f>IF(ISNA(AT41),0,IF(AND('Data Entry'!$C$74=2,BC41=27),0,IF(AND('Data Entry'!$C$74=2,BC41=28),0,IF(AND(BC41=27,BT41=27,CM41&gt;0.1),CM41*0.15,IF(AND(BC41=28,BT41=28,CM41&gt;0.1),CM41*0.12,0)))))</f>
        <v>0</v>
      </c>
      <c r="BV41" s="463">
        <f t="shared" si="78"/>
        <v>0</v>
      </c>
      <c r="BW41" s="463">
        <f t="shared" si="37"/>
        <v>0</v>
      </c>
      <c r="BX41" s="463">
        <f t="shared" si="38"/>
        <v>0</v>
      </c>
      <c r="BY41" s="463">
        <f t="shared" si="39"/>
        <v>0</v>
      </c>
      <c r="BZ41" s="463">
        <f t="shared" si="40"/>
        <v>0</v>
      </c>
      <c r="CA41" s="57">
        <f t="shared" si="70"/>
        <v>0</v>
      </c>
      <c r="CB41" s="56">
        <f t="shared" si="41"/>
        <v>1</v>
      </c>
      <c r="CC41" s="756">
        <f>IF(EE41=0,0,IF(EF41=0,0,IF(EE41&gt;AA41,0,IF(AND(AZ41&gt;AW41,AW41&gt;0),0,IF(CU41=0,0,Summary!AC344)))))</f>
        <v>0</v>
      </c>
      <c r="CD41" s="756">
        <f>IF(EE41=0,0,IF(EF41=0,0,IF(EE41&gt;AA41,0,IF(AND(AZ41&gt;AW41,AW41&gt;0),0,IF(CU41=0,0,Summary!AD344)))))</f>
        <v>0</v>
      </c>
      <c r="CE41" s="756">
        <f>IF(EF41=0,0,IF(EE41&gt;AA41,0,IF(CC41=0,0,IF(AND(AZ41&gt;AW41,AW41&gt;0),0,IF(CU41=0,0,Summary!AE344)))))</f>
        <v>0</v>
      </c>
      <c r="CF41" s="475">
        <f t="shared" si="42"/>
        <v>0</v>
      </c>
      <c r="CG41" s="476">
        <f t="shared" si="6"/>
        <v>0</v>
      </c>
      <c r="CH41" s="487">
        <f t="shared" si="43"/>
        <v>0</v>
      </c>
      <c r="CI41" s="756">
        <f t="shared" si="44"/>
        <v>0</v>
      </c>
      <c r="CJ41" s="487">
        <f>IF(CT41&gt;0.4,0,IF(AND(AU41=2,CH41=0,CT41=0.5,ER41=100),35,IF(AND(AU41=3,BB41&gt;75,CH41=0,CT41=0.5,ER41=100),25,IF(CB41&gt;1,0,IF(EF41&gt;EE41,0,IF(AND(AF41&gt;1,CH41=100),0,IF(AND(AF41=1,AY41=0),0,IF(AND(EF41&lt;=EE41,AW41&gt;=AZ41,'Data Entry'!$C$74=1,AU41=2),VLOOKUP(W41,$DO$96:$DP$102,2,FALSE),IF(AND(EF41&lt;=EE41,AW41&gt;=AZ41,AU41=3,'Data Entry'!$C$74=1),VLOOKUP(W41,$DO$127:$DP$134,2,FALSE))))))))))</f>
        <v>0</v>
      </c>
      <c r="CK41" s="716">
        <f t="shared" si="45"/>
        <v>0</v>
      </c>
      <c r="CL41" s="57">
        <f t="shared" si="46"/>
        <v>0</v>
      </c>
      <c r="CM41" s="475">
        <f t="shared" si="77"/>
        <v>0</v>
      </c>
      <c r="CN41" s="660">
        <f>IF(CM41&lt;0.1,0,IF(ISNA(AT41),0,IF(CL41+BC41=1,0,IF(BV41&gt;0.01,0,IF(CL41&gt;0.01,0,IF(CF41=1,0,IF(BC41=0.5,0,IF(AND(CI41=1,AU41=3),0,IF(AND(CI41=5,CL41=0),0,IF(AND(R41=12,BR41=50),0,IF(CK41&gt;0.01,0,IF(AND(AJ41&gt;0.01,AU41=2,BC41=15),CM41*0.1,IF(AND(AJ41&gt;0.01,AU41=3,BC41=15),CM41*0.08,IF(AND(R41=12,BC41=3,AF41&lt;=0),0,IF(AND(BC41=15,BI41=0),0,IF(AND(BC41=15,BJ41=0),0,IF(AND(R41=20,CU41=0),0,IF($X$4=0,0,IF(AND(BC41=250,CL41=0),0,IF(AA41&lt;1,0,IF(AND(ISNUMBER(SEARCH("Area",T41)),AU41=3),0,IF(AND(AQ41&gt;0.01,AR41=0,BK41=0,BL41=0,BM41=0,BN41=0),0,IF(AND(AU41=3,CI41=7,CT41&gt;0.5),0,IF(AND(BC41=44,AU41=3,BY41=0),0,IF(AND(BC41=27,'Data Entry'!$C$74=2),0,IF(AND(BC41=28,'Data Entry'!$C$74=2),0,IF(AND(BY41+BZ41+CA41&gt;0.01,BV41=0,EQ41+ER41+ES41+ET41&lt;100),0,IF(AU41=3,CM41*0.08,IF(AU41=2,CM41*0.1,0)))))))))))))))))))))))))))))</f>
        <v>0</v>
      </c>
      <c r="CO41" s="660">
        <f t="shared" si="47"/>
        <v>0</v>
      </c>
      <c r="CP41" s="475" t="str">
        <f t="shared" si="48"/>
        <v/>
      </c>
      <c r="CQ41" s="161" t="str">
        <f>IF(AH41=0,0,IF(AU41=5,0,Summary!AC44))</f>
        <v/>
      </c>
      <c r="CR41" s="161" t="str">
        <f>IF(BF41=0.5,0,IF(AU41=5,0,Summary!AD44))</f>
        <v/>
      </c>
      <c r="CS41" s="161" t="str">
        <f>IF(AU41=5,0,Summary!AE44)</f>
        <v/>
      </c>
      <c r="CT41" s="161">
        <f t="shared" si="49"/>
        <v>0</v>
      </c>
      <c r="CU41" s="475" t="str">
        <f t="shared" si="7"/>
        <v/>
      </c>
      <c r="CV41" s="307">
        <f>IF('Data Entry'!$C$74=0,0,IF(AA41&lt;1,0,IF(ISERROR(CU41),0,IF(CF41=1,0,IF(AND(R41=12,BR41=50),0,IF(CL41+BO41+BV41+DC41=0,0,IF(BC41=37,0,IF(AND(BC41=40,AJ41=0),0,IF(AND(BC41=37,BO41&gt;0.01,BQ41&gt;0.01),ROUND(BQ41,0),IF(CM41&lt;0,0,ROUND(CM41,0)))))))))))</f>
        <v>0</v>
      </c>
      <c r="CW41" s="700">
        <f t="shared" si="50"/>
        <v>0</v>
      </c>
      <c r="CX41" s="477">
        <f>IF('Data Entry'!$C$74=0,0,IF(CV41&lt;0.01,0,IF(BF41=0.5,0,IF(CF41=1,0,IF(ISNUMBER(SEARCH("false",CL41)),0,IF(AZ41=500,0,CL41))))))</f>
        <v>0</v>
      </c>
      <c r="CY41" s="147" t="e">
        <f t="shared" si="51"/>
        <v>#VALUE!</v>
      </c>
      <c r="CZ41" s="147" t="b">
        <f>IF(CN41+CL41=0,FALSE,IF(AH41=0,0,IF(AND('Data Entry'!$C$74=1,CR41&gt;=1),TRUE,IF(AND('Data Entry'!$C$74=2,CS41&gt;=1),TRUE,FALSE))))</f>
        <v>0</v>
      </c>
      <c r="DA41" s="1751">
        <f>IF('Data Entry'!$C$74=0,0,IFERROR(ROUND(IF(T41="","",IF($X$4=0,0,IF(CF41=1,0,IF(BQ41+CV41=0,0,IF(CF41=1,0,IF(CY41&gt;0.01,CY41,IF(CL41&gt;0.01,CL41,IF(CY41&gt;0.01,CY41,IF(BC41=37,BO41,IF(CZ41=FALSE,0,IF(CZ41=TRUE,DC41+DF41,0))))))))))),2),""))</f>
        <v>0</v>
      </c>
      <c r="DB41" s="1752"/>
      <c r="DC41" s="474">
        <f>IF(CN41&lt;0.01,0,IF(AND(BR41=3,CN41&gt;0.01,CT41&gt;0.6,ER41+ES41+ET41&lt;100),0,IF(AND('Data Entry'!$C$74=1,CN41&gt;0.01,CR41&gt;0.99),MIN(CN41:CO41),IF(AND('Data Entry'!$C$74=2,CN41&gt;0.01,CS41&gt;0.99),MIN(CN41:CO41),0))))</f>
        <v>0</v>
      </c>
      <c r="DD41" s="478">
        <f>IF(CF41=1,"Selection does not match",IF(T41=0,0,IF(AND('Data Entry'!$C$74=0,CP41&gt;1),"Select Oregon or Idaho on Data Entry Tab",IF(AND(AU41=1,AA41&gt;0.9),"Missing Interior or Exterior Selection",IF($X$4=0,"Enter Total Project Cost",IF(AQ41&lt;AR41,"Insufficient kWh savings – no incentive",IF(AND(SUM(CL41+CK41+BV41)&gt;0.01,'Data Entry'!$C$74=2,CJ41&gt;1,BO41=0),"Submit Control as Non-Standard",IF(AND('Data Entry'!$C$74=2,BR41=37,CJ41&gt;1,BO41=0),"Submit Control as Non-Standard",IF(SUM(CL41+CK41+BV41)&gt;0.01,"Standard Incentive",IF(AND('Data Entry'!$C$74=2,CP41=7,CN41=0),"Submit as Non-Standard",IF(DC41&gt;0.9,"Non-Standard Incentive",IF(AND(BY41+BZ41+CA41&gt;0.01,BV41=0,EQ41=0,ER41=0,ES41=0,ET41=0),"Scroll Right &amp; Select Control Strategies",IF(AND(CN41&gt;0.01,CO41=0),"Enter Unit Installed Cost",IF(ISNUMBER(SEARCH("Lighting Controls Only",F41)),"Lighting Controls Only",IF(CL41+DC41=0,"Does not meet incentive criteria",0)))))))))))))))</f>
        <v>0</v>
      </c>
      <c r="DE41" s="337">
        <f t="shared" si="52"/>
        <v>0</v>
      </c>
      <c r="DF41" s="609">
        <f t="shared" si="53"/>
        <v>0</v>
      </c>
      <c r="DG41" s="336" t="str">
        <f t="shared" si="54"/>
        <v/>
      </c>
      <c r="DH41" s="338">
        <f t="shared" si="55"/>
        <v>1</v>
      </c>
      <c r="DI41" s="336" t="e">
        <f t="shared" si="8"/>
        <v>#VALUE!</v>
      </c>
      <c r="DJ41" s="338">
        <f t="shared" si="9"/>
        <v>0</v>
      </c>
      <c r="DK41" s="320" t="s">
        <v>477</v>
      </c>
      <c r="DL41" s="323">
        <v>188</v>
      </c>
      <c r="DM41" s="320" t="s">
        <v>73</v>
      </c>
      <c r="DN41" s="1438"/>
      <c r="DO41" s="1444" t="s">
        <v>1572</v>
      </c>
      <c r="DP41" s="332"/>
      <c r="DQ41" s="331"/>
      <c r="DR41" s="1332"/>
      <c r="DS41" s="1434">
        <f t="shared" si="56"/>
        <v>0</v>
      </c>
      <c r="DT41" s="344" t="b">
        <f t="shared" si="57"/>
        <v>1</v>
      </c>
      <c r="DU41" s="1314" t="str">
        <f t="array" ref="DU41">IF(OR(COUNTIF(F41,"*"&amp;$DK$9:$DK$178&amp;"*")), "Yes", "")</f>
        <v/>
      </c>
      <c r="DV41" s="1314">
        <f t="shared" si="58"/>
        <v>0</v>
      </c>
      <c r="DW41" s="1480">
        <f t="shared" si="59"/>
        <v>0</v>
      </c>
      <c r="DX41" s="1498">
        <f t="shared" si="71"/>
        <v>0</v>
      </c>
      <c r="DY41" s="1484">
        <f t="shared" si="60"/>
        <v>0</v>
      </c>
      <c r="DZ41" s="1481" t="s">
        <v>1129</v>
      </c>
      <c r="EA41" s="881">
        <f>'Product Type'!E43</f>
        <v>0</v>
      </c>
      <c r="EB41" s="1499" t="s">
        <v>475</v>
      </c>
      <c r="EC41" s="727" t="s">
        <v>1568</v>
      </c>
      <c r="ED41" s="728">
        <v>0.5</v>
      </c>
      <c r="EE41" s="1215"/>
      <c r="EF41" s="1215"/>
      <c r="EG41" s="1184" t="str">
        <f t="shared" si="61"/>
        <v/>
      </c>
      <c r="EH41" s="5"/>
      <c r="EI41" s="55"/>
      <c r="EJ41" s="1185">
        <f t="shared" si="10"/>
        <v>0</v>
      </c>
      <c r="EK41" s="1211"/>
      <c r="EL41" s="1180">
        <f t="shared" si="72"/>
        <v>0</v>
      </c>
      <c r="EM41" s="207"/>
      <c r="EN41" s="1038"/>
      <c r="EO41" s="1038"/>
      <c r="EP41" s="1038"/>
      <c r="EQ41" s="1038">
        <f t="shared" si="62"/>
        <v>0</v>
      </c>
      <c r="ER41" s="1041">
        <f t="shared" si="75"/>
        <v>0</v>
      </c>
      <c r="ES41" s="1042">
        <f t="shared" si="63"/>
        <v>0</v>
      </c>
      <c r="ET41" s="1042">
        <f t="shared" si="73"/>
        <v>0</v>
      </c>
      <c r="EU41" s="1021">
        <f t="shared" si="74"/>
        <v>0</v>
      </c>
      <c r="EV41" s="368"/>
      <c r="EW41" s="368"/>
      <c r="EX41" s="369"/>
      <c r="EY41" s="370"/>
      <c r="EZ41" s="370"/>
      <c r="FA41" s="371"/>
      <c r="FB41" s="372"/>
    </row>
    <row r="42" spans="1:158" ht="34.5" customHeight="1">
      <c r="A42" s="82">
        <v>34</v>
      </c>
      <c r="B42" s="1725"/>
      <c r="C42" s="1726"/>
      <c r="D42" s="1726"/>
      <c r="E42" s="1727"/>
      <c r="F42" s="1732"/>
      <c r="G42" s="1733"/>
      <c r="H42" s="1733"/>
      <c r="I42" s="1734"/>
      <c r="J42" s="1341"/>
      <c r="K42" s="1728"/>
      <c r="L42" s="1728"/>
      <c r="M42" s="1342"/>
      <c r="N42" s="1583"/>
      <c r="O42" s="208" t="str">
        <f t="shared" si="11"/>
        <v/>
      </c>
      <c r="P42" s="785"/>
      <c r="Q42" s="39" t="str">
        <f t="shared" si="0"/>
        <v/>
      </c>
      <c r="R42" s="39">
        <f t="shared" si="12"/>
        <v>0</v>
      </c>
      <c r="S42" s="234">
        <f t="shared" si="13"/>
        <v>0</v>
      </c>
      <c r="T42" s="1755"/>
      <c r="U42" s="1755"/>
      <c r="V42" s="1755"/>
      <c r="W42" s="1345"/>
      <c r="X42" s="1756"/>
      <c r="Y42" s="1742"/>
      <c r="Z42" s="1346"/>
      <c r="AA42" s="1343"/>
      <c r="AB42" s="1141"/>
      <c r="AC42" s="1103" t="str">
        <f>IF(T42="","",VLOOKUP(Z42,Lists!$A$60:$B$111,2,FALSE))</f>
        <v/>
      </c>
      <c r="AD42" s="130" t="str">
        <f t="shared" si="14"/>
        <v/>
      </c>
      <c r="AE42" s="130" t="e">
        <f t="shared" si="15"/>
        <v>#VALUE!</v>
      </c>
      <c r="AF42" s="130">
        <f t="shared" si="16"/>
        <v>1</v>
      </c>
      <c r="AG42" s="234">
        <f t="shared" si="1"/>
        <v>0</v>
      </c>
      <c r="AH42" s="1753" t="str">
        <f>IF(T42="","",(IF(ISNUMBER(SEARCH("exit",T42)),8760,IF(AND(M42="Dusk to Dawn",'Proposed Lighting'!AU42=3),4059,IF(AND(AU42=3,M42="1"),0,IF(AND(AU42=3,M42="1-C"),0,IF(AND(AU42=3,M42="2"),0,IF(AND(AU42=3,M42="2-C"),0,IF(AND(AU42=3,M42="3"),0,IF(AND(AU42=3,M42="3-C"),0,IF(AND(AU42=2,M42="Dusk to Dawn"),0,IF(AND(AU42=2,M42="Dusk to Dawn-C"),0,IF(AND(AU42=2,M42="Dusk to Dawn"),0,IF(AND(AU42=2,M42="E"),0,IF(AND(AU42=2,M42="E-C"),0,EG42)))))))))))))))</f>
        <v/>
      </c>
      <c r="AI42" s="1754"/>
      <c r="AJ42" s="1136"/>
      <c r="AK42" s="1136"/>
      <c r="AL42" s="1748">
        <f t="shared" si="64"/>
        <v>0</v>
      </c>
      <c r="AM42" s="1749"/>
      <c r="AN42" s="1750"/>
      <c r="AO42" s="476">
        <f t="shared" si="2"/>
        <v>0</v>
      </c>
      <c r="AP42" s="476">
        <f t="shared" si="17"/>
        <v>0</v>
      </c>
      <c r="AQ42" s="475">
        <f t="shared" si="3"/>
        <v>0</v>
      </c>
      <c r="AR42" s="475">
        <f t="shared" si="18"/>
        <v>0</v>
      </c>
      <c r="AS42" s="743" t="str">
        <f t="shared" si="79"/>
        <v/>
      </c>
      <c r="AT42" s="736" t="str">
        <f t="shared" si="20"/>
        <v/>
      </c>
      <c r="AU42" s="56">
        <f t="shared" si="21"/>
        <v>1</v>
      </c>
      <c r="AV42" s="476">
        <f t="shared" si="22"/>
        <v>0</v>
      </c>
      <c r="AW42" s="56">
        <f t="shared" si="23"/>
        <v>0</v>
      </c>
      <c r="AX42" s="475">
        <f t="shared" si="65"/>
        <v>0</v>
      </c>
      <c r="AY42" s="1169">
        <f t="shared" si="66"/>
        <v>0</v>
      </c>
      <c r="AZ42" s="1150">
        <f t="shared" si="67"/>
        <v>0</v>
      </c>
      <c r="BA42" s="56">
        <f t="shared" si="68"/>
        <v>0</v>
      </c>
      <c r="BB42" s="420">
        <f t="shared" si="4"/>
        <v>0</v>
      </c>
      <c r="BC42" s="58" t="str">
        <f t="shared" si="5"/>
        <v/>
      </c>
      <c r="BD42" s="660">
        <f t="shared" si="69"/>
        <v>0</v>
      </c>
      <c r="BE42" s="57" t="e">
        <f t="array" ref="BE42">INDEX($EB$11:$ED$1022,MATCH(F42&amp;T42,$EB$11:$EB$1007&amp;$EC$11:$EC$1007,0),3)</f>
        <v>#N/A</v>
      </c>
      <c r="BF42" s="463">
        <f t="shared" si="24"/>
        <v>0</v>
      </c>
      <c r="BG42" s="1445" t="e">
        <f t="array" ref="BG42">INDEX($DO$112:$DQ$123,MATCH(T42&amp;W42,$DO$114:$DO$125&amp;$DP$112:$DP$123,0),3)</f>
        <v>#N/A</v>
      </c>
      <c r="BH42" s="1446">
        <f t="shared" si="25"/>
        <v>0</v>
      </c>
      <c r="BI42" s="465">
        <f t="shared" si="26"/>
        <v>0</v>
      </c>
      <c r="BJ42" s="465">
        <f t="shared" si="27"/>
        <v>0</v>
      </c>
      <c r="BK42" s="466">
        <f t="shared" si="28"/>
        <v>0</v>
      </c>
      <c r="BL42" s="466">
        <f t="shared" si="29"/>
        <v>0</v>
      </c>
      <c r="BM42" s="466">
        <f t="shared" si="30"/>
        <v>0</v>
      </c>
      <c r="BN42" s="466">
        <f t="shared" si="31"/>
        <v>0</v>
      </c>
      <c r="BO42" s="463">
        <f>IF('Data Entry'!$C$74=0,0,IF(ISNA(CJ42),0,IF(AX42=0,0,IF(AND('Data Entry'!$C$74=2,AF42&gt;2,CE42&lt;1),0,IF(AND('Data Entry'!$C$74=2,AF42&gt;1,AU42=2,CJ42&gt;1),0,IF(AND(AF42=5,CT42=0.5,AU42=2,ER42&lt;100),0,IF(AND(AF42=5,CT42=0.5,AU42=3,ER42&lt;100),0,IF(AND('Data Entry'!$C$74=2,AF42=2,AU42=2,AK42&gt;0.01,CB42=2,CE42&lt;1),0,IF(AND('Data Entry'!$C$74=2,AF42=3,AU42=3,AK42&gt;0.01,CB42=3,CE42&lt;1),0,IF(AND('Data Entry'!$C$74=2,AF42=3,AU42=3,AK42&gt;0.01,CB42=3,CE42&gt;0.99),BQ42*0.08,IF(AND('Data Entry'!$C$74=2,AF42=2,AU42=2,AK42&gt;0.01,CB42=2,CE42&gt;0.99),BQ42*0.1,IF(AND(AU42=2,AK42&gt;0.01,CB42=2,CD42&gt;1),BQ42*0.1,IF(AND(AU42=3,AK42&gt;0.01,CB42=3,CD42&gt;1),BQ42*0.08,CJ42*EF42)))))))))))))</f>
        <v>0</v>
      </c>
      <c r="BP42" s="475">
        <f t="shared" si="32"/>
        <v>0</v>
      </c>
      <c r="BQ42" s="1431">
        <f>IF(AU42=1,0,IF(CH42=100,0,IF(AND(AF42=3,AU42=2),0,IF(AND(BH42=0,CT42&gt;0.4),0,IF(AND('Data Entry'!$C$74=2,AF42=1.5),0,IF(AND('Data Entry'!$C$74=2,AF42=1.6),0,IF(AND('Data Entry'!$C$74=2,AF42=4),0,IF(AND('Data Entry'!$C$74=2,AF42=5),0,IF(AND('Data Entry'!$C$74=2,AF42=2.5,CE42&lt;1),0,IF(AND('Data Entry'!$C$74=2,AF42=3,CE42&lt;1),0,IF(AND('Data Entry'!$C$74=1,AF42=2.5,CD42&lt;1),0,IF(AND('Data Entry'!$C$74=1,AF42=3,CD42&lt;1),0,IF(DX42&gt;0.01,DX42,IF(ISERROR(AX42-AY42),"",ROUND(AX42-AY42,2)))))))))))))))</f>
        <v>0</v>
      </c>
      <c r="BR42" s="146">
        <f t="shared" si="33"/>
        <v>0</v>
      </c>
      <c r="BS42" s="475">
        <f t="shared" si="34"/>
        <v>0</v>
      </c>
      <c r="BT42" s="146" t="b">
        <f t="shared" si="35"/>
        <v>0</v>
      </c>
      <c r="BU42" s="463">
        <f>IF(ISNA(AT42),0,IF(AND('Data Entry'!$C$74=2,BC42=27),0,IF(AND('Data Entry'!$C$74=2,BC42=28),0,IF(AND(BC42=27,BT42=27,CM42&gt;0.1),CM42*0.15,IF(AND(BC42=28,BT42=28,CM42&gt;0.1),CM42*0.12,0)))))</f>
        <v>0</v>
      </c>
      <c r="BV42" s="463">
        <f t="shared" si="78"/>
        <v>0</v>
      </c>
      <c r="BW42" s="463">
        <f t="shared" si="37"/>
        <v>0</v>
      </c>
      <c r="BX42" s="463">
        <f t="shared" si="38"/>
        <v>0</v>
      </c>
      <c r="BY42" s="463">
        <f t="shared" si="39"/>
        <v>0</v>
      </c>
      <c r="BZ42" s="463">
        <f t="shared" si="40"/>
        <v>0</v>
      </c>
      <c r="CA42" s="57">
        <f t="shared" si="70"/>
        <v>0</v>
      </c>
      <c r="CB42" s="56">
        <f t="shared" si="41"/>
        <v>1</v>
      </c>
      <c r="CC42" s="756">
        <f>IF(EE42=0,0,IF(EF42=0,0,IF(EE42&gt;AA42,0,IF(AND(AZ42&gt;AW42,AW42&gt;0),0,IF(CU42=0,0,Summary!AC345)))))</f>
        <v>0</v>
      </c>
      <c r="CD42" s="756">
        <f>IF(EE42=0,0,IF(EF42=0,0,IF(EE42&gt;AA42,0,IF(AND(AZ42&gt;AW42,AW42&gt;0),0,IF(CU42=0,0,Summary!AD345)))))</f>
        <v>0</v>
      </c>
      <c r="CE42" s="756">
        <f>IF(EF42=0,0,IF(EE42&gt;AA42,0,IF(CC42=0,0,IF(AND(AZ42&gt;AW42,AW42&gt;0),0,IF(CU42=0,0,Summary!AE345)))))</f>
        <v>0</v>
      </c>
      <c r="CF42" s="475">
        <f t="shared" si="42"/>
        <v>0</v>
      </c>
      <c r="CG42" s="476">
        <f t="shared" si="6"/>
        <v>0</v>
      </c>
      <c r="CH42" s="487">
        <f t="shared" si="43"/>
        <v>0</v>
      </c>
      <c r="CI42" s="756">
        <f t="shared" si="44"/>
        <v>0</v>
      </c>
      <c r="CJ42" s="487">
        <f>IF(CT42&gt;0.4,0,IF(AND(AU42=2,CH42=0,CT42=0.5,ER42=100),35,IF(AND(AU42=3,BB42&gt;75,CH42=0,CT42=0.5,ER42=100),25,IF(CB42&gt;1,0,IF(EF42&gt;EE42,0,IF(AND(AF42&gt;1,CH42=100),0,IF(AND(AF42=1,AY42=0),0,IF(AND(EF42&lt;=EE42,AW42&gt;=AZ42,'Data Entry'!$C$74=1,AU42=2),VLOOKUP(W42,$DO$96:$DP$102,2,FALSE),IF(AND(EF42&lt;=EE42,AW42&gt;=AZ42,AU42=3,'Data Entry'!$C$74=1),VLOOKUP(W42,$DO$127:$DP$134,2,FALSE))))))))))</f>
        <v>0</v>
      </c>
      <c r="CK42" s="716">
        <f t="shared" si="45"/>
        <v>0</v>
      </c>
      <c r="CL42" s="57">
        <f t="shared" si="46"/>
        <v>0</v>
      </c>
      <c r="CM42" s="475">
        <f t="shared" si="77"/>
        <v>0</v>
      </c>
      <c r="CN42" s="660">
        <f>IF(CM42&lt;0.1,0,IF(ISNA(AT42),0,IF(CL42+BC42=1,0,IF(BV42&gt;0.01,0,IF(CL42&gt;0.01,0,IF(CF42=1,0,IF(BC42=0.5,0,IF(AND(CI42=1,AU42=3),0,IF(AND(CI42=5,CL42=0),0,IF(AND(R42=12,BR42=50),0,IF(CK42&gt;0.01,0,IF(AND(AJ42&gt;0.01,AU42=2,BC42=15),CM42*0.1,IF(AND(AJ42&gt;0.01,AU42=3,BC42=15),CM42*0.08,IF(AND(R42=12,BC42=3,AF42&lt;=0),0,IF(AND(BC42=15,BI42=0),0,IF(AND(BC42=15,BJ42=0),0,IF(AND(R42=20,CU42=0),0,IF($X$4=0,0,IF(AND(BC42=250,CL42=0),0,IF(AA42&lt;1,0,IF(AND(ISNUMBER(SEARCH("Area",T42)),AU42=3),0,IF(AND(AQ42&gt;0.01,AR42=0,BK42=0,BL42=0,BM42=0,BN42=0),0,IF(AND(AU42=3,CI42=7,CT42&gt;0.5),0,IF(AND(BC42=44,AU42=3,BY42=0),0,IF(AND(BC42=27,'Data Entry'!$C$74=2),0,IF(AND(BC42=28,'Data Entry'!$C$74=2),0,IF(AND(BY42+BZ42+CA42&gt;0.01,BV42=0,EQ42+ER42+ES42+ET42&lt;100),0,IF(AU42=3,CM42*0.08,IF(AU42=2,CM42*0.1,0)))))))))))))))))))))))))))))</f>
        <v>0</v>
      </c>
      <c r="CO42" s="660">
        <f t="shared" si="47"/>
        <v>0</v>
      </c>
      <c r="CP42" s="475" t="str">
        <f t="shared" si="48"/>
        <v/>
      </c>
      <c r="CQ42" s="161" t="str">
        <f>IF(AH42=0,0,IF(AU42=5,0,Summary!AC45))</f>
        <v/>
      </c>
      <c r="CR42" s="161" t="str">
        <f>IF(BF42=0.5,0,IF(AU42=5,0,Summary!AD45))</f>
        <v/>
      </c>
      <c r="CS42" s="161" t="str">
        <f>IF(AU42=5,0,Summary!AE45)</f>
        <v/>
      </c>
      <c r="CT42" s="161">
        <f t="shared" si="49"/>
        <v>0</v>
      </c>
      <c r="CU42" s="475" t="str">
        <f t="shared" si="7"/>
        <v/>
      </c>
      <c r="CV42" s="307">
        <f>IF('Data Entry'!$C$74=0,0,IF(AA42&lt;1,0,IF(ISERROR(CU42),0,IF(CF42=1,0,IF(AND(R42=12,BR42=50),0,IF(CL42+BO42+BV42+DC42=0,0,IF(BC42=37,0,IF(AND(BC42=40,AJ42=0),0,IF(AND(BC42=37,BO42&gt;0.01,BQ42&gt;0.01),ROUND(BQ42,0),IF(CM42&lt;0,0,ROUND(CM42,0)))))))))))</f>
        <v>0</v>
      </c>
      <c r="CW42" s="700">
        <f t="shared" si="50"/>
        <v>0</v>
      </c>
      <c r="CX42" s="477">
        <f>IF('Data Entry'!$C$74=0,0,IF(CV42&lt;0.01,0,IF(BF42=0.5,0,IF(CF42=1,0,IF(ISNUMBER(SEARCH("false",CL42)),0,IF(AZ42=500,0,CL42))))))</f>
        <v>0</v>
      </c>
      <c r="CY42" s="147" t="e">
        <f t="shared" si="51"/>
        <v>#VALUE!</v>
      </c>
      <c r="CZ42" s="147" t="b">
        <f>IF(CN42+CL42=0,FALSE,IF(AH42=0,0,IF(AND('Data Entry'!$C$74=1,CR42&gt;=1),TRUE,IF(AND('Data Entry'!$C$74=2,CS42&gt;=1),TRUE,FALSE))))</f>
        <v>0</v>
      </c>
      <c r="DA42" s="1751">
        <f>IF('Data Entry'!$C$74=0,0,IFERROR(ROUND(IF(T42="","",IF($X$4=0,0,IF(CF42=1,0,IF(BQ42+CV42=0,0,IF(CF42=1,0,IF(CY42&gt;0.01,CY42,IF(CL42&gt;0.01,CL42,IF(CY42&gt;0.01,CY42,IF(BC42=37,BO42,IF(CZ42=FALSE,0,IF(CZ42=TRUE,DC42+DF42,0))))))))))),2),""))</f>
        <v>0</v>
      </c>
      <c r="DB42" s="1752"/>
      <c r="DC42" s="474">
        <f>IF(CN42&lt;0.01,0,IF(AND(BR42=3,CN42&gt;0.01,CT42&gt;0.6,ER42+ES42+ET42&lt;100),0,IF(AND('Data Entry'!$C$74=1,CN42&gt;0.01,CR42&gt;0.99),MIN(CN42:CO42),IF(AND('Data Entry'!$C$74=2,CN42&gt;0.01,CS42&gt;0.99),MIN(CN42:CO42),0))))</f>
        <v>0</v>
      </c>
      <c r="DD42" s="478">
        <f>IF(CF42=1,"Selection does not match",IF(T42=0,0,IF(AND('Data Entry'!$C$74=0,CP42&gt;1),"Select Oregon or Idaho on Data Entry Tab",IF(AND(AU42=1,AA42&gt;0.9),"Missing Interior or Exterior Selection",IF($X$4=0,"Enter Total Project Cost",IF(AQ42&lt;AR42,"Insufficient kWh savings – no incentive",IF(AND(SUM(CL42+CK42+BV42)&gt;0.01,'Data Entry'!$C$74=2,CJ42&gt;1,BO42=0),"Submit Control as Non-Standard",IF(AND('Data Entry'!$C$74=2,BR42=37,CJ42&gt;1,BO42=0),"Submit Control as Non-Standard",IF(SUM(CL42+CK42+BV42)&gt;0.01,"Standard Incentive",IF(AND('Data Entry'!$C$74=2,CP42=7,CN42=0),"Submit as Non-Standard",IF(DC42&gt;0.9,"Non-Standard Incentive",IF(AND(BY42+BZ42+CA42&gt;0.01,BV42=0,EQ42=0,ER42=0,ES42=0,ET42=0),"Scroll Right &amp; Select Control Strategies",IF(AND(CN42&gt;0.01,CO42=0),"Enter Unit Installed Cost",IF(ISNUMBER(SEARCH("Lighting Controls Only",F42)),"Lighting Controls Only",IF(CL42+DC42=0,"Does not meet incentive criteria",0)))))))))))))))</f>
        <v>0</v>
      </c>
      <c r="DE42" s="337">
        <f t="shared" si="52"/>
        <v>0</v>
      </c>
      <c r="DF42" s="609">
        <f t="shared" si="53"/>
        <v>0</v>
      </c>
      <c r="DG42" s="336" t="str">
        <f t="shared" si="54"/>
        <v/>
      </c>
      <c r="DH42" s="338">
        <f t="shared" si="55"/>
        <v>1</v>
      </c>
      <c r="DI42" s="336" t="e">
        <f t="shared" si="8"/>
        <v>#VALUE!</v>
      </c>
      <c r="DJ42" s="338">
        <f t="shared" si="9"/>
        <v>0</v>
      </c>
      <c r="DK42" s="325" t="s">
        <v>1616</v>
      </c>
      <c r="DL42" s="341">
        <v>296</v>
      </c>
      <c r="DM42" s="325" t="s">
        <v>114</v>
      </c>
      <c r="DN42" s="1439">
        <v>8</v>
      </c>
      <c r="DO42" s="1444" t="s">
        <v>1535</v>
      </c>
      <c r="DP42" s="329"/>
      <c r="DQ42" s="361"/>
      <c r="DR42" s="1332"/>
      <c r="DS42" s="1434">
        <f t="shared" si="56"/>
        <v>0</v>
      </c>
      <c r="DT42" s="344" t="b">
        <f t="shared" si="57"/>
        <v>1</v>
      </c>
      <c r="DU42" s="1314" t="str">
        <f t="array" ref="DU42">IF(OR(COUNTIF(F42,"*"&amp;$DK$9:$DK$178&amp;"*")), "Yes", "")</f>
        <v/>
      </c>
      <c r="DV42" s="1314">
        <f t="shared" si="58"/>
        <v>0</v>
      </c>
      <c r="DW42" s="1480">
        <f t="shared" si="59"/>
        <v>0</v>
      </c>
      <c r="DX42" s="1498">
        <f t="shared" si="71"/>
        <v>0</v>
      </c>
      <c r="DY42" s="1484">
        <f t="shared" si="60"/>
        <v>0</v>
      </c>
      <c r="DZ42" s="1481" t="s">
        <v>1130</v>
      </c>
      <c r="EA42" s="881">
        <f>'Product Type'!E44</f>
        <v>0</v>
      </c>
      <c r="EB42" s="1499" t="s">
        <v>1561</v>
      </c>
      <c r="EC42" s="727" t="s">
        <v>1568</v>
      </c>
      <c r="ED42" s="728">
        <v>0.5</v>
      </c>
      <c r="EE42" s="1215"/>
      <c r="EF42" s="1215"/>
      <c r="EG42" s="1184" t="str">
        <f t="shared" si="61"/>
        <v/>
      </c>
      <c r="EH42" s="5"/>
      <c r="EI42" s="55"/>
      <c r="EJ42" s="1185">
        <f t="shared" si="10"/>
        <v>0</v>
      </c>
      <c r="EK42" s="1211"/>
      <c r="EL42" s="1180">
        <f t="shared" si="72"/>
        <v>0</v>
      </c>
      <c r="EM42" s="207"/>
      <c r="EN42" s="1038"/>
      <c r="EO42" s="1038"/>
      <c r="EP42" s="1038"/>
      <c r="EQ42" s="1038">
        <f t="shared" si="62"/>
        <v>0</v>
      </c>
      <c r="ER42" s="1041">
        <f t="shared" si="75"/>
        <v>0</v>
      </c>
      <c r="ES42" s="1042">
        <f t="shared" si="63"/>
        <v>0</v>
      </c>
      <c r="ET42" s="1042">
        <f t="shared" si="73"/>
        <v>0</v>
      </c>
      <c r="EU42" s="1021">
        <f t="shared" si="74"/>
        <v>0</v>
      </c>
      <c r="EV42" s="368"/>
      <c r="EW42" s="368"/>
      <c r="EX42" s="369"/>
      <c r="EY42" s="370"/>
      <c r="EZ42" s="370"/>
      <c r="FA42" s="371"/>
      <c r="FB42" s="372"/>
    </row>
    <row r="43" spans="1:158" ht="34.5" customHeight="1">
      <c r="A43" s="82">
        <v>35</v>
      </c>
      <c r="B43" s="1725"/>
      <c r="C43" s="1726"/>
      <c r="D43" s="1726"/>
      <c r="E43" s="1727"/>
      <c r="F43" s="1732"/>
      <c r="G43" s="1733"/>
      <c r="H43" s="1733"/>
      <c r="I43" s="1734"/>
      <c r="J43" s="1341"/>
      <c r="K43" s="1728"/>
      <c r="L43" s="1728"/>
      <c r="M43" s="1342"/>
      <c r="N43" s="1583"/>
      <c r="O43" s="208" t="str">
        <f t="shared" si="11"/>
        <v/>
      </c>
      <c r="P43" s="785"/>
      <c r="Q43" s="39" t="str">
        <f t="shared" si="0"/>
        <v/>
      </c>
      <c r="R43" s="39">
        <f t="shared" si="12"/>
        <v>0</v>
      </c>
      <c r="S43" s="234">
        <f t="shared" si="13"/>
        <v>0</v>
      </c>
      <c r="T43" s="1755"/>
      <c r="U43" s="1755"/>
      <c r="V43" s="1755"/>
      <c r="W43" s="1345"/>
      <c r="X43" s="1756"/>
      <c r="Y43" s="1742"/>
      <c r="Z43" s="1346"/>
      <c r="AA43" s="1343"/>
      <c r="AB43" s="1141"/>
      <c r="AC43" s="1103" t="str">
        <f>IF(T43="","",VLOOKUP(Z43,Lists!$A$60:$B$111,2,FALSE))</f>
        <v/>
      </c>
      <c r="AD43" s="130" t="str">
        <f t="shared" si="14"/>
        <v/>
      </c>
      <c r="AE43" s="130" t="e">
        <f t="shared" si="15"/>
        <v>#VALUE!</v>
      </c>
      <c r="AF43" s="130">
        <f t="shared" si="16"/>
        <v>1</v>
      </c>
      <c r="AG43" s="234">
        <f t="shared" si="1"/>
        <v>0</v>
      </c>
      <c r="AH43" s="1753" t="str">
        <f>IF(T43="","",(IF(ISNUMBER(SEARCH("exit",T43)),8760,IF(AND(M43="Dusk to Dawn",'Proposed Lighting'!AU43=3),4059,IF(AND(AU43=3,M43="1"),0,IF(AND(AU43=3,M43="1-C"),0,IF(AND(AU43=3,M43="2"),0,IF(AND(AU43=3,M43="2-C"),0,IF(AND(AU43=3,M43="3"),0,IF(AND(AU43=3,M43="3-C"),0,IF(AND(AU43=2,M43="Dusk to Dawn"),0,IF(AND(AU43=2,M43="Dusk to Dawn-C"),0,IF(AND(AU43=2,M43="Dusk to Dawn"),0,IF(AND(AU43=2,M43="E"),0,IF(AND(AU43=2,M43="E-C"),0,EG43)))))))))))))))</f>
        <v/>
      </c>
      <c r="AI43" s="1754"/>
      <c r="AJ43" s="1136"/>
      <c r="AK43" s="1136"/>
      <c r="AL43" s="1748">
        <f t="shared" si="64"/>
        <v>0</v>
      </c>
      <c r="AM43" s="1749"/>
      <c r="AN43" s="1750"/>
      <c r="AO43" s="476">
        <f t="shared" si="2"/>
        <v>0</v>
      </c>
      <c r="AP43" s="476">
        <f t="shared" si="17"/>
        <v>0</v>
      </c>
      <c r="AQ43" s="475">
        <f t="shared" si="3"/>
        <v>0</v>
      </c>
      <c r="AR43" s="475">
        <f t="shared" si="18"/>
        <v>0</v>
      </c>
      <c r="AS43" s="743" t="str">
        <f t="shared" si="79"/>
        <v/>
      </c>
      <c r="AT43" s="736" t="str">
        <f t="shared" si="20"/>
        <v/>
      </c>
      <c r="AU43" s="56">
        <f t="shared" si="21"/>
        <v>1</v>
      </c>
      <c r="AV43" s="476">
        <f t="shared" si="22"/>
        <v>0</v>
      </c>
      <c r="AW43" s="56">
        <f t="shared" si="23"/>
        <v>0</v>
      </c>
      <c r="AX43" s="475">
        <f t="shared" si="65"/>
        <v>0</v>
      </c>
      <c r="AY43" s="1169">
        <f t="shared" si="66"/>
        <v>0</v>
      </c>
      <c r="AZ43" s="1150">
        <f t="shared" si="67"/>
        <v>0</v>
      </c>
      <c r="BA43" s="56">
        <f t="shared" si="68"/>
        <v>0</v>
      </c>
      <c r="BB43" s="420">
        <f t="shared" si="4"/>
        <v>0</v>
      </c>
      <c r="BC43" s="58" t="str">
        <f t="shared" si="5"/>
        <v/>
      </c>
      <c r="BD43" s="660">
        <f t="shared" si="69"/>
        <v>0</v>
      </c>
      <c r="BE43" s="57" t="e">
        <f t="array" ref="BE43">INDEX($EB$11:$ED$1022,MATCH(F43&amp;T43,$EB$11:$EB$1007&amp;$EC$11:$EC$1007,0),3)</f>
        <v>#N/A</v>
      </c>
      <c r="BF43" s="463">
        <f t="shared" si="24"/>
        <v>0</v>
      </c>
      <c r="BG43" s="1445" t="e">
        <f t="array" ref="BG43">INDEX($DO$112:$DQ$123,MATCH(T43&amp;W43,$DO$114:$DO$125&amp;$DP$112:$DP$123,0),3)</f>
        <v>#N/A</v>
      </c>
      <c r="BH43" s="1446">
        <f t="shared" si="25"/>
        <v>0</v>
      </c>
      <c r="BI43" s="465">
        <f t="shared" si="26"/>
        <v>0</v>
      </c>
      <c r="BJ43" s="465">
        <f t="shared" si="27"/>
        <v>0</v>
      </c>
      <c r="BK43" s="466">
        <f t="shared" si="28"/>
        <v>0</v>
      </c>
      <c r="BL43" s="466">
        <f t="shared" si="29"/>
        <v>0</v>
      </c>
      <c r="BM43" s="466">
        <f t="shared" si="30"/>
        <v>0</v>
      </c>
      <c r="BN43" s="466">
        <f t="shared" si="31"/>
        <v>0</v>
      </c>
      <c r="BO43" s="463">
        <f>IF('Data Entry'!$C$74=0,0,IF(ISNA(CJ43),0,IF(AX43=0,0,IF(AND('Data Entry'!$C$74=2,AF43&gt;2,CE43&lt;1),0,IF(AND('Data Entry'!$C$74=2,AF43&gt;1,AU43=2,CJ43&gt;1),0,IF(AND(AF43=5,CT43=0.5,AU43=2,ER43&lt;100),0,IF(AND(AF43=5,CT43=0.5,AU43=3,ER43&lt;100),0,IF(AND('Data Entry'!$C$74=2,AF43=2,AU43=2,AK43&gt;0.01,CB43=2,CE43&lt;1),0,IF(AND('Data Entry'!$C$74=2,AF43=3,AU43=3,AK43&gt;0.01,CB43=3,CE43&lt;1),0,IF(AND('Data Entry'!$C$74=2,AF43=3,AU43=3,AK43&gt;0.01,CB43=3,CE43&gt;0.99),BQ43*0.08,IF(AND('Data Entry'!$C$74=2,AF43=2,AU43=2,AK43&gt;0.01,CB43=2,CE43&gt;0.99),BQ43*0.1,IF(AND(AU43=2,AK43&gt;0.01,CB43=2,CD43&gt;1),BQ43*0.1,IF(AND(AU43=3,AK43&gt;0.01,CB43=3,CD43&gt;1),BQ43*0.08,CJ43*EF43)))))))))))))</f>
        <v>0</v>
      </c>
      <c r="BP43" s="475">
        <f t="shared" si="32"/>
        <v>0</v>
      </c>
      <c r="BQ43" s="1431">
        <f>IF(AU43=1,0,IF(CH43=100,0,IF(AND(AF43=3,AU43=2),0,IF(AND(BH43=0,CT43&gt;0.4),0,IF(AND('Data Entry'!$C$74=2,AF43=1.5),0,IF(AND('Data Entry'!$C$74=2,AF43=1.6),0,IF(AND('Data Entry'!$C$74=2,AF43=4),0,IF(AND('Data Entry'!$C$74=2,AF43=5),0,IF(AND('Data Entry'!$C$74=2,AF43=2.5,CE43&lt;1),0,IF(AND('Data Entry'!$C$74=2,AF43=3,CE43&lt;1),0,IF(AND('Data Entry'!$C$74=1,AF43=2.5,CD43&lt;1),0,IF(AND('Data Entry'!$C$74=1,AF43=3,CD43&lt;1),0,IF(DX43&gt;0.01,DX43,IF(ISERROR(AX43-AY43),"",ROUND(AX43-AY43,2)))))))))))))))</f>
        <v>0</v>
      </c>
      <c r="BR43" s="146">
        <f t="shared" si="33"/>
        <v>0</v>
      </c>
      <c r="BS43" s="475">
        <f t="shared" si="34"/>
        <v>0</v>
      </c>
      <c r="BT43" s="146" t="b">
        <f t="shared" si="35"/>
        <v>0</v>
      </c>
      <c r="BU43" s="463">
        <f>IF(ISNA(AT43),0,IF(AND('Data Entry'!$C$74=2,BC43=27),0,IF(AND('Data Entry'!$C$74=2,BC43=28),0,IF(AND(BC43=27,BT43=27,CM43&gt;0.1),CM43*0.15,IF(AND(BC43=28,BT43=28,CM43&gt;0.1),CM43*0.12,0)))))</f>
        <v>0</v>
      </c>
      <c r="BV43" s="463">
        <f t="shared" si="78"/>
        <v>0</v>
      </c>
      <c r="BW43" s="463">
        <f t="shared" si="37"/>
        <v>0</v>
      </c>
      <c r="BX43" s="463">
        <f t="shared" si="38"/>
        <v>0</v>
      </c>
      <c r="BY43" s="463">
        <f t="shared" si="39"/>
        <v>0</v>
      </c>
      <c r="BZ43" s="463">
        <f t="shared" si="40"/>
        <v>0</v>
      </c>
      <c r="CA43" s="57">
        <f t="shared" si="70"/>
        <v>0</v>
      </c>
      <c r="CB43" s="56">
        <f t="shared" si="41"/>
        <v>1</v>
      </c>
      <c r="CC43" s="756">
        <f>IF(EE43=0,0,IF(EF43=0,0,IF(EE43&gt;AA43,0,IF(AND(AZ43&gt;AW43,AW43&gt;0),0,IF(CU43=0,0,Summary!AC346)))))</f>
        <v>0</v>
      </c>
      <c r="CD43" s="756">
        <f>IF(EE43=0,0,IF(EF43=0,0,IF(EE43&gt;AA43,0,IF(AND(AZ43&gt;AW43,AW43&gt;0),0,IF(CU43=0,0,Summary!AD346)))))</f>
        <v>0</v>
      </c>
      <c r="CE43" s="756">
        <f>IF(EF43=0,0,IF(EE43&gt;AA43,0,IF(CC43=0,0,IF(AND(AZ43&gt;AW43,AW43&gt;0),0,IF(CU43=0,0,Summary!AE346)))))</f>
        <v>0</v>
      </c>
      <c r="CF43" s="475">
        <f t="shared" si="42"/>
        <v>0</v>
      </c>
      <c r="CG43" s="476">
        <f t="shared" si="6"/>
        <v>0</v>
      </c>
      <c r="CH43" s="487">
        <f t="shared" si="43"/>
        <v>0</v>
      </c>
      <c r="CI43" s="756">
        <f t="shared" si="44"/>
        <v>0</v>
      </c>
      <c r="CJ43" s="487">
        <f>IF(CT43&gt;0.4,0,IF(AND(AU43=2,CH43=0,CT43=0.5,ER43=100),35,IF(AND(AU43=3,BB43&gt;75,CH43=0,CT43=0.5,ER43=100),25,IF(CB43&gt;1,0,IF(EF43&gt;EE43,0,IF(AND(AF43&gt;1,CH43=100),0,IF(AND(AF43=1,AY43=0),0,IF(AND(EF43&lt;=EE43,AW43&gt;=AZ43,'Data Entry'!$C$74=1,AU43=2),VLOOKUP(W43,$DO$96:$DP$102,2,FALSE),IF(AND(EF43&lt;=EE43,AW43&gt;=AZ43,AU43=3,'Data Entry'!$C$74=1),VLOOKUP(W43,$DO$127:$DP$134,2,FALSE))))))))))</f>
        <v>0</v>
      </c>
      <c r="CK43" s="716">
        <f t="shared" si="45"/>
        <v>0</v>
      </c>
      <c r="CL43" s="57">
        <f t="shared" si="46"/>
        <v>0</v>
      </c>
      <c r="CM43" s="475">
        <f t="shared" si="77"/>
        <v>0</v>
      </c>
      <c r="CN43" s="660">
        <f>IF(CM43&lt;0.1,0,IF(ISNA(AT43),0,IF(CL43+BC43=1,0,IF(BV43&gt;0.01,0,IF(CL43&gt;0.01,0,IF(CF43=1,0,IF(BC43=0.5,0,IF(AND(CI43=1,AU43=3),0,IF(AND(CI43=5,CL43=0),0,IF(AND(R43=12,BR43=50),0,IF(CK43&gt;0.01,0,IF(AND(AJ43&gt;0.01,AU43=2,BC43=15),CM43*0.1,IF(AND(AJ43&gt;0.01,AU43=3,BC43=15),CM43*0.08,IF(AND(R43=12,BC43=3,AF43&lt;=0),0,IF(AND(BC43=15,BI43=0),0,IF(AND(BC43=15,BJ43=0),0,IF(AND(R43=20,CU43=0),0,IF($X$4=0,0,IF(AND(BC43=250,CL43=0),0,IF(AA43&lt;1,0,IF(AND(ISNUMBER(SEARCH("Area",T43)),AU43=3),0,IF(AND(AQ43&gt;0.01,AR43=0,BK43=0,BL43=0,BM43=0,BN43=0),0,IF(AND(AU43=3,CI43=7,CT43&gt;0.5),0,IF(AND(BC43=44,AU43=3,BY43=0),0,IF(AND(BC43=27,'Data Entry'!$C$74=2),0,IF(AND(BC43=28,'Data Entry'!$C$74=2),0,IF(AND(BY43+BZ43+CA43&gt;0.01,BV43=0,EQ43+ER43+ES43+ET43&lt;100),0,IF(AU43=3,CM43*0.08,IF(AU43=2,CM43*0.1,0)))))))))))))))))))))))))))))</f>
        <v>0</v>
      </c>
      <c r="CO43" s="660">
        <f t="shared" si="47"/>
        <v>0</v>
      </c>
      <c r="CP43" s="475" t="str">
        <f t="shared" si="48"/>
        <v/>
      </c>
      <c r="CQ43" s="161" t="str">
        <f>IF(AH43=0,0,IF(AU43=5,0,Summary!AC46))</f>
        <v/>
      </c>
      <c r="CR43" s="161" t="str">
        <f>IF(BF43=0.5,0,IF(AU43=5,0,Summary!AD46))</f>
        <v/>
      </c>
      <c r="CS43" s="161" t="str">
        <f>IF(AU43=5,0,Summary!AE46)</f>
        <v/>
      </c>
      <c r="CT43" s="161">
        <f t="shared" si="49"/>
        <v>0</v>
      </c>
      <c r="CU43" s="475" t="str">
        <f t="shared" si="7"/>
        <v/>
      </c>
      <c r="CV43" s="307">
        <f>IF('Data Entry'!$C$74=0,0,IF(AA43&lt;1,0,IF(ISERROR(CU43),0,IF(CF43=1,0,IF(AND(R43=12,BR43=50),0,IF(CL43+BO43+BV43+DC43=0,0,IF(BC43=37,0,IF(AND(BC43=40,AJ43=0),0,IF(AND(BC43=37,BO43&gt;0.01,BQ43&gt;0.01),ROUND(BQ43,0),IF(CM43&lt;0,0,ROUND(CM43,0)))))))))))</f>
        <v>0</v>
      </c>
      <c r="CW43" s="700">
        <f t="shared" si="50"/>
        <v>0</v>
      </c>
      <c r="CX43" s="477">
        <f>IF('Data Entry'!$C$74=0,0,IF(CV43&lt;0.01,0,IF(BF43=0.5,0,IF(CF43=1,0,IF(ISNUMBER(SEARCH("false",CL43)),0,IF(AZ43=500,0,CL43))))))</f>
        <v>0</v>
      </c>
      <c r="CY43" s="147" t="e">
        <f t="shared" si="51"/>
        <v>#VALUE!</v>
      </c>
      <c r="CZ43" s="147" t="b">
        <f>IF(CN43+CL43=0,FALSE,IF(AH43=0,0,IF(AND('Data Entry'!$C$74=1,CR43&gt;=1),TRUE,IF(AND('Data Entry'!$C$74=2,CS43&gt;=1),TRUE,FALSE))))</f>
        <v>0</v>
      </c>
      <c r="DA43" s="1751">
        <f>IF('Data Entry'!$C$74=0,0,IFERROR(ROUND(IF(T43="","",IF($X$4=0,0,IF(CF43=1,0,IF(BQ43+CV43=0,0,IF(CF43=1,0,IF(CY43&gt;0.01,CY43,IF(CL43&gt;0.01,CL43,IF(CY43&gt;0.01,CY43,IF(BC43=37,BO43,IF(CZ43=FALSE,0,IF(CZ43=TRUE,DC43+DF43,0))))))))))),2),""))</f>
        <v>0</v>
      </c>
      <c r="DB43" s="1752"/>
      <c r="DC43" s="474">
        <f>IF(CN43&lt;0.01,0,IF(AND(BR43=3,CN43&gt;0.01,CT43&gt;0.6,ER43+ES43+ET43&lt;100),0,IF(AND('Data Entry'!$C$74=1,CN43&gt;0.01,CR43&gt;0.99),MIN(CN43:CO43),IF(AND('Data Entry'!$C$74=2,CN43&gt;0.01,CS43&gt;0.99),MIN(CN43:CO43),0))))</f>
        <v>0</v>
      </c>
      <c r="DD43" s="478">
        <f>IF(CF43=1,"Selection does not match",IF(T43=0,0,IF(AND('Data Entry'!$C$74=0,CP43&gt;1),"Select Oregon or Idaho on Data Entry Tab",IF(AND(AU43=1,AA43&gt;0.9),"Missing Interior or Exterior Selection",IF($X$4=0,"Enter Total Project Cost",IF(AQ43&lt;AR43,"Insufficient kWh savings – no incentive",IF(AND(SUM(CL43+CK43+BV43)&gt;0.01,'Data Entry'!$C$74=2,CJ43&gt;1,BO43=0),"Submit Control as Non-Standard",IF(AND('Data Entry'!$C$74=2,BR43=37,CJ43&gt;1,BO43=0),"Submit Control as Non-Standard",IF(SUM(CL43+CK43+BV43)&gt;0.01,"Standard Incentive",IF(AND('Data Entry'!$C$74=2,CP43=7,CN43=0),"Submit as Non-Standard",IF(DC43&gt;0.9,"Non-Standard Incentive",IF(AND(BY43+BZ43+CA43&gt;0.01,BV43=0,EQ43=0,ER43=0,ES43=0,ET43=0),"Scroll Right &amp; Select Control Strategies",IF(AND(CN43&gt;0.01,CO43=0),"Enter Unit Installed Cost",IF(ISNUMBER(SEARCH("Lighting Controls Only",F43)),"Lighting Controls Only",IF(CL43+DC43=0,"Does not meet incentive criteria",0)))))))))))))))</f>
        <v>0</v>
      </c>
      <c r="DE43" s="337">
        <f t="shared" si="52"/>
        <v>0</v>
      </c>
      <c r="DF43" s="609">
        <f t="shared" si="53"/>
        <v>0</v>
      </c>
      <c r="DG43" s="336" t="str">
        <f t="shared" si="54"/>
        <v/>
      </c>
      <c r="DH43" s="338">
        <f t="shared" si="55"/>
        <v>1</v>
      </c>
      <c r="DI43" s="336" t="e">
        <f t="shared" si="8"/>
        <v>#VALUE!</v>
      </c>
      <c r="DJ43" s="338">
        <f t="shared" si="9"/>
        <v>0</v>
      </c>
      <c r="DK43" s="325" t="s">
        <v>73</v>
      </c>
      <c r="DL43" s="341" t="s">
        <v>450</v>
      </c>
      <c r="DM43" s="325" t="s">
        <v>115</v>
      </c>
      <c r="DN43" s="1439">
        <v>16</v>
      </c>
      <c r="DO43" s="1444" t="s">
        <v>1780</v>
      </c>
      <c r="DP43" s="329"/>
      <c r="DQ43" s="330"/>
      <c r="DR43" s="1332"/>
      <c r="DS43" s="1434">
        <f t="shared" si="56"/>
        <v>0</v>
      </c>
      <c r="DT43" s="344" t="b">
        <f t="shared" si="57"/>
        <v>1</v>
      </c>
      <c r="DU43" s="1314" t="str">
        <f t="array" ref="DU43">IF(OR(COUNTIF(F43,"*"&amp;$DK$9:$DK$178&amp;"*")), "Yes", "")</f>
        <v/>
      </c>
      <c r="DV43" s="1314">
        <f t="shared" si="58"/>
        <v>0</v>
      </c>
      <c r="DW43" s="1480">
        <f t="shared" si="59"/>
        <v>0</v>
      </c>
      <c r="DX43" s="1498">
        <f t="shared" si="71"/>
        <v>0</v>
      </c>
      <c r="DY43" s="1484">
        <f t="shared" si="60"/>
        <v>0</v>
      </c>
      <c r="DZ43" s="1481" t="s">
        <v>1131</v>
      </c>
      <c r="EA43" s="881">
        <f>'Product Type'!E45</f>
        <v>0</v>
      </c>
      <c r="EB43" s="1499" t="s">
        <v>476</v>
      </c>
      <c r="EC43" s="727" t="s">
        <v>1568</v>
      </c>
      <c r="ED43" s="728">
        <v>0.5</v>
      </c>
      <c r="EE43" s="1215"/>
      <c r="EF43" s="1215"/>
      <c r="EG43" s="1184" t="str">
        <f t="shared" si="61"/>
        <v/>
      </c>
      <c r="EH43" s="5"/>
      <c r="EI43" s="55"/>
      <c r="EJ43" s="1185">
        <f t="shared" si="10"/>
        <v>0</v>
      </c>
      <c r="EK43" s="1211"/>
      <c r="EL43" s="1180">
        <f t="shared" si="72"/>
        <v>0</v>
      </c>
      <c r="EM43" s="207"/>
      <c r="EN43" s="1038"/>
      <c r="EO43" s="1038"/>
      <c r="EP43" s="1038"/>
      <c r="EQ43" s="1038">
        <f t="shared" si="62"/>
        <v>0</v>
      </c>
      <c r="ER43" s="1041">
        <f t="shared" si="75"/>
        <v>0</v>
      </c>
      <c r="ES43" s="1042">
        <f t="shared" si="63"/>
        <v>0</v>
      </c>
      <c r="ET43" s="1042">
        <f t="shared" si="73"/>
        <v>0</v>
      </c>
      <c r="EU43" s="1021">
        <f t="shared" si="74"/>
        <v>0</v>
      </c>
      <c r="EV43" s="368"/>
      <c r="EW43" s="368"/>
      <c r="EX43" s="369"/>
      <c r="EY43" s="370"/>
      <c r="EZ43" s="370"/>
      <c r="FA43" s="371"/>
      <c r="FB43" s="372"/>
    </row>
    <row r="44" spans="1:158" ht="34.5" customHeight="1">
      <c r="A44" s="82">
        <v>36</v>
      </c>
      <c r="B44" s="1725"/>
      <c r="C44" s="1726"/>
      <c r="D44" s="1726"/>
      <c r="E44" s="1727"/>
      <c r="F44" s="1732"/>
      <c r="G44" s="1733"/>
      <c r="H44" s="1733"/>
      <c r="I44" s="1734"/>
      <c r="J44" s="1341"/>
      <c r="K44" s="1728"/>
      <c r="L44" s="1728"/>
      <c r="M44" s="1342"/>
      <c r="N44" s="1583"/>
      <c r="O44" s="208" t="str">
        <f t="shared" si="11"/>
        <v/>
      </c>
      <c r="P44" s="785"/>
      <c r="Q44" s="39" t="str">
        <f t="shared" si="0"/>
        <v/>
      </c>
      <c r="R44" s="39">
        <f t="shared" si="12"/>
        <v>0</v>
      </c>
      <c r="S44" s="234">
        <f t="shared" si="13"/>
        <v>0</v>
      </c>
      <c r="T44" s="1755"/>
      <c r="U44" s="1755"/>
      <c r="V44" s="1755"/>
      <c r="W44" s="1345"/>
      <c r="X44" s="1756"/>
      <c r="Y44" s="1742"/>
      <c r="Z44" s="1346"/>
      <c r="AA44" s="1343"/>
      <c r="AB44" s="1141"/>
      <c r="AC44" s="1103" t="str">
        <f>IF(T44="","",VLOOKUP(Z44,Lists!$A$60:$B$111,2,FALSE))</f>
        <v/>
      </c>
      <c r="AD44" s="130" t="str">
        <f t="shared" si="14"/>
        <v/>
      </c>
      <c r="AE44" s="130" t="e">
        <f t="shared" si="15"/>
        <v>#VALUE!</v>
      </c>
      <c r="AF44" s="130">
        <f t="shared" si="16"/>
        <v>1</v>
      </c>
      <c r="AG44" s="234">
        <f t="shared" si="1"/>
        <v>0</v>
      </c>
      <c r="AH44" s="1753" t="str">
        <f>IF(T44="","",(IF(ISNUMBER(SEARCH("exit",T44)),8760,IF(AND(M44="Dusk to Dawn",'Proposed Lighting'!AU44=3),4059,IF(AND(AU44=3,M44="1"),0,IF(AND(AU44=3,M44="1-C"),0,IF(AND(AU44=3,M44="2"),0,IF(AND(AU44=3,M44="2-C"),0,IF(AND(AU44=3,M44="3"),0,IF(AND(AU44=3,M44="3-C"),0,IF(AND(AU44=2,M44="Dusk to Dawn"),0,IF(AND(AU44=2,M44="Dusk to Dawn-C"),0,IF(AND(AU44=2,M44="Dusk to Dawn"),0,IF(AND(AU44=2,M44="E"),0,IF(AND(AU44=2,M44="E-C"),0,EG44)))))))))))))))</f>
        <v/>
      </c>
      <c r="AI44" s="1754"/>
      <c r="AJ44" s="1136"/>
      <c r="AK44" s="1136"/>
      <c r="AL44" s="1748">
        <f t="shared" si="64"/>
        <v>0</v>
      </c>
      <c r="AM44" s="1749"/>
      <c r="AN44" s="1750"/>
      <c r="AO44" s="476">
        <f t="shared" si="2"/>
        <v>0</v>
      </c>
      <c r="AP44" s="476">
        <f t="shared" si="17"/>
        <v>0</v>
      </c>
      <c r="AQ44" s="475">
        <f t="shared" si="3"/>
        <v>0</v>
      </c>
      <c r="AR44" s="475">
        <f t="shared" si="18"/>
        <v>0</v>
      </c>
      <c r="AS44" s="743" t="str">
        <f t="shared" si="79"/>
        <v/>
      </c>
      <c r="AT44" s="736" t="str">
        <f t="shared" si="20"/>
        <v/>
      </c>
      <c r="AU44" s="56">
        <f t="shared" si="21"/>
        <v>1</v>
      </c>
      <c r="AV44" s="476">
        <f t="shared" si="22"/>
        <v>0</v>
      </c>
      <c r="AW44" s="56">
        <f t="shared" si="23"/>
        <v>0</v>
      </c>
      <c r="AX44" s="475">
        <f t="shared" si="65"/>
        <v>0</v>
      </c>
      <c r="AY44" s="1169">
        <f t="shared" si="66"/>
        <v>0</v>
      </c>
      <c r="AZ44" s="1150">
        <f t="shared" si="67"/>
        <v>0</v>
      </c>
      <c r="BA44" s="56">
        <f t="shared" si="68"/>
        <v>0</v>
      </c>
      <c r="BB44" s="420">
        <f t="shared" si="4"/>
        <v>0</v>
      </c>
      <c r="BC44" s="58" t="str">
        <f t="shared" si="5"/>
        <v/>
      </c>
      <c r="BD44" s="660">
        <f t="shared" si="69"/>
        <v>0</v>
      </c>
      <c r="BE44" s="57" t="e">
        <f t="array" ref="BE44">INDEX($EB$11:$ED$1022,MATCH(F44&amp;T44,$EB$11:$EB$1007&amp;$EC$11:$EC$1007,0),3)</f>
        <v>#N/A</v>
      </c>
      <c r="BF44" s="463">
        <f t="shared" si="24"/>
        <v>0</v>
      </c>
      <c r="BG44" s="1445" t="e">
        <f t="array" ref="BG44">INDEX($DO$112:$DQ$123,MATCH(T44&amp;W44,$DO$114:$DO$125&amp;$DP$112:$DP$123,0),3)</f>
        <v>#N/A</v>
      </c>
      <c r="BH44" s="1446">
        <f t="shared" si="25"/>
        <v>0</v>
      </c>
      <c r="BI44" s="465">
        <f t="shared" si="26"/>
        <v>0</v>
      </c>
      <c r="BJ44" s="465">
        <f t="shared" si="27"/>
        <v>0</v>
      </c>
      <c r="BK44" s="466">
        <f t="shared" si="28"/>
        <v>0</v>
      </c>
      <c r="BL44" s="466">
        <f t="shared" si="29"/>
        <v>0</v>
      </c>
      <c r="BM44" s="466">
        <f t="shared" si="30"/>
        <v>0</v>
      </c>
      <c r="BN44" s="466">
        <f t="shared" si="31"/>
        <v>0</v>
      </c>
      <c r="BO44" s="463">
        <f>IF('Data Entry'!$C$74=0,0,IF(ISNA(CJ44),0,IF(AX44=0,0,IF(AND('Data Entry'!$C$74=2,AF44&gt;2,CE44&lt;1),0,IF(AND('Data Entry'!$C$74=2,AF44&gt;1,AU44=2,CJ44&gt;1),0,IF(AND(AF44=5,CT44=0.5,AU44=2,ER44&lt;100),0,IF(AND(AF44=5,CT44=0.5,AU44=3,ER44&lt;100),0,IF(AND('Data Entry'!$C$74=2,AF44=2,AU44=2,AK44&gt;0.01,CB44=2,CE44&lt;1),0,IF(AND('Data Entry'!$C$74=2,AF44=3,AU44=3,AK44&gt;0.01,CB44=3,CE44&lt;1),0,IF(AND('Data Entry'!$C$74=2,AF44=3,AU44=3,AK44&gt;0.01,CB44=3,CE44&gt;0.99),BQ44*0.08,IF(AND('Data Entry'!$C$74=2,AF44=2,AU44=2,AK44&gt;0.01,CB44=2,CE44&gt;0.99),BQ44*0.1,IF(AND(AU44=2,AK44&gt;0.01,CB44=2,CD44&gt;1),BQ44*0.1,IF(AND(AU44=3,AK44&gt;0.01,CB44=3,CD44&gt;1),BQ44*0.08,CJ44*EF44)))))))))))))</f>
        <v>0</v>
      </c>
      <c r="BP44" s="475">
        <f t="shared" si="32"/>
        <v>0</v>
      </c>
      <c r="BQ44" s="1431">
        <f>IF(AU44=1,0,IF(CH44=100,0,IF(AND(AF44=3,AU44=2),0,IF(AND(BH44=0,CT44&gt;0.4),0,IF(AND('Data Entry'!$C$74=2,AF44=1.5),0,IF(AND('Data Entry'!$C$74=2,AF44=1.6),0,IF(AND('Data Entry'!$C$74=2,AF44=4),0,IF(AND('Data Entry'!$C$74=2,AF44=5),0,IF(AND('Data Entry'!$C$74=2,AF44=2.5,CE44&lt;1),0,IF(AND('Data Entry'!$C$74=2,AF44=3,CE44&lt;1),0,IF(AND('Data Entry'!$C$74=1,AF44=2.5,CD44&lt;1),0,IF(AND('Data Entry'!$C$74=1,AF44=3,CD44&lt;1),0,IF(DX44&gt;0.01,DX44,IF(ISERROR(AX44-AY44),"",ROUND(AX44-AY44,2)))))))))))))))</f>
        <v>0</v>
      </c>
      <c r="BR44" s="146">
        <f t="shared" si="33"/>
        <v>0</v>
      </c>
      <c r="BS44" s="475">
        <f t="shared" si="34"/>
        <v>0</v>
      </c>
      <c r="BT44" s="146" t="b">
        <f t="shared" si="35"/>
        <v>0</v>
      </c>
      <c r="BU44" s="463">
        <f>IF(ISNA(AT44),0,IF(AND('Data Entry'!$C$74=2,BC44=27),0,IF(AND('Data Entry'!$C$74=2,BC44=28),0,IF(AND(BC44=27,BT44=27,CM44&gt;0.1),CM44*0.15,IF(AND(BC44=28,BT44=28,CM44&gt;0.1),CM44*0.12,0)))))</f>
        <v>0</v>
      </c>
      <c r="BV44" s="463">
        <f t="shared" si="78"/>
        <v>0</v>
      </c>
      <c r="BW44" s="463">
        <f t="shared" si="37"/>
        <v>0</v>
      </c>
      <c r="BX44" s="463">
        <f t="shared" si="38"/>
        <v>0</v>
      </c>
      <c r="BY44" s="463">
        <f t="shared" si="39"/>
        <v>0</v>
      </c>
      <c r="BZ44" s="463">
        <f t="shared" si="40"/>
        <v>0</v>
      </c>
      <c r="CA44" s="57">
        <f t="shared" si="70"/>
        <v>0</v>
      </c>
      <c r="CB44" s="56">
        <f t="shared" si="41"/>
        <v>1</v>
      </c>
      <c r="CC44" s="756">
        <f>IF(EE44=0,0,IF(EF44=0,0,IF(EE44&gt;AA44,0,IF(AND(AZ44&gt;AW44,AW44&gt;0),0,IF(CU44=0,0,Summary!AC347)))))</f>
        <v>0</v>
      </c>
      <c r="CD44" s="756">
        <f>IF(EE44=0,0,IF(EF44=0,0,IF(EE44&gt;AA44,0,IF(AND(AZ44&gt;AW44,AW44&gt;0),0,IF(CU44=0,0,Summary!AD347)))))</f>
        <v>0</v>
      </c>
      <c r="CE44" s="756">
        <f>IF(EF44=0,0,IF(EE44&gt;AA44,0,IF(CC44=0,0,IF(AND(AZ44&gt;AW44,AW44&gt;0),0,IF(CU44=0,0,Summary!AE347)))))</f>
        <v>0</v>
      </c>
      <c r="CF44" s="475">
        <f t="shared" si="42"/>
        <v>0</v>
      </c>
      <c r="CG44" s="476">
        <f t="shared" si="6"/>
        <v>0</v>
      </c>
      <c r="CH44" s="487">
        <f t="shared" si="43"/>
        <v>0</v>
      </c>
      <c r="CI44" s="756">
        <f t="shared" si="44"/>
        <v>0</v>
      </c>
      <c r="CJ44" s="487">
        <f>IF(CT44&gt;0.4,0,IF(AND(AU44=2,CH44=0,CT44=0.5,ER44=100),35,IF(AND(AU44=3,BB44&gt;75,CH44=0,CT44=0.5,ER44=100),25,IF(CB44&gt;1,0,IF(EF44&gt;EE44,0,IF(AND(AF44&gt;1,CH44=100),0,IF(AND(AF44=1,AY44=0),0,IF(AND(EF44&lt;=EE44,AW44&gt;=AZ44,'Data Entry'!$C$74=1,AU44=2),VLOOKUP(W44,$DO$96:$DP$102,2,FALSE),IF(AND(EF44&lt;=EE44,AW44&gt;=AZ44,AU44=3,'Data Entry'!$C$74=1),VLOOKUP(W44,$DO$127:$DP$134,2,FALSE))))))))))</f>
        <v>0</v>
      </c>
      <c r="CK44" s="716">
        <f t="shared" si="45"/>
        <v>0</v>
      </c>
      <c r="CL44" s="57">
        <f t="shared" si="46"/>
        <v>0</v>
      </c>
      <c r="CM44" s="475">
        <f t="shared" si="77"/>
        <v>0</v>
      </c>
      <c r="CN44" s="660">
        <f>IF(CM44&lt;0.1,0,IF(ISNA(AT44),0,IF(CL44+BC44=1,0,IF(BV44&gt;0.01,0,IF(CL44&gt;0.01,0,IF(CF44=1,0,IF(BC44=0.5,0,IF(AND(CI44=1,AU44=3),0,IF(AND(CI44=5,CL44=0),0,IF(AND(R44=12,BR44=50),0,IF(CK44&gt;0.01,0,IF(AND(AJ44&gt;0.01,AU44=2,BC44=15),CM44*0.1,IF(AND(AJ44&gt;0.01,AU44=3,BC44=15),CM44*0.08,IF(AND(R44=12,BC44=3,AF44&lt;=0),0,IF(AND(BC44=15,BI44=0),0,IF(AND(BC44=15,BJ44=0),0,IF(AND(R44=20,CU44=0),0,IF($X$4=0,0,IF(AND(BC44=250,CL44=0),0,IF(AA44&lt;1,0,IF(AND(ISNUMBER(SEARCH("Area",T44)),AU44=3),0,IF(AND(AQ44&gt;0.01,AR44=0,BK44=0,BL44=0,BM44=0,BN44=0),0,IF(AND(AU44=3,CI44=7,CT44&gt;0.5),0,IF(AND(BC44=44,AU44=3,BY44=0),0,IF(AND(BC44=27,'Data Entry'!$C$74=2),0,IF(AND(BC44=28,'Data Entry'!$C$74=2),0,IF(AND(BY44+BZ44+CA44&gt;0.01,BV44=0,EQ44+ER44+ES44+ET44&lt;100),0,IF(AU44=3,CM44*0.08,IF(AU44=2,CM44*0.1,0)))))))))))))))))))))))))))))</f>
        <v>0</v>
      </c>
      <c r="CO44" s="660">
        <f t="shared" si="47"/>
        <v>0</v>
      </c>
      <c r="CP44" s="475" t="str">
        <f t="shared" si="48"/>
        <v/>
      </c>
      <c r="CQ44" s="161" t="str">
        <f>IF(AH44=0,0,IF(AU44=5,0,Summary!AC47))</f>
        <v/>
      </c>
      <c r="CR44" s="161" t="str">
        <f>IF(BF44=0.5,0,IF(AU44=5,0,Summary!AD47))</f>
        <v/>
      </c>
      <c r="CS44" s="161" t="str">
        <f>IF(AU44=5,0,Summary!AE47)</f>
        <v/>
      </c>
      <c r="CT44" s="161">
        <f t="shared" si="49"/>
        <v>0</v>
      </c>
      <c r="CU44" s="475" t="str">
        <f t="shared" si="7"/>
        <v/>
      </c>
      <c r="CV44" s="307">
        <f>IF('Data Entry'!$C$74=0,0,IF(AA44&lt;1,0,IF(ISERROR(CU44),0,IF(CF44=1,0,IF(AND(R44=12,BR44=50),0,IF(CL44+BO44+BV44+DC44=0,0,IF(BC44=37,0,IF(AND(BC44=40,AJ44=0),0,IF(AND(BC44=37,BO44&gt;0.01,BQ44&gt;0.01),ROUND(BQ44,0),IF(CM44&lt;0,0,ROUND(CM44,0)))))))))))</f>
        <v>0</v>
      </c>
      <c r="CW44" s="700">
        <f t="shared" si="50"/>
        <v>0</v>
      </c>
      <c r="CX44" s="477">
        <f>IF('Data Entry'!$C$74=0,0,IF(CV44&lt;0.01,0,IF(BF44=0.5,0,IF(CF44=1,0,IF(ISNUMBER(SEARCH("false",CL44)),0,IF(AZ44=500,0,CL44))))))</f>
        <v>0</v>
      </c>
      <c r="CY44" s="147" t="e">
        <f t="shared" si="51"/>
        <v>#VALUE!</v>
      </c>
      <c r="CZ44" s="147" t="b">
        <f>IF(CN44+CL44=0,FALSE,IF(AH44=0,0,IF(AND('Data Entry'!$C$74=1,CR44&gt;=1),TRUE,IF(AND('Data Entry'!$C$74=2,CS44&gt;=1),TRUE,FALSE))))</f>
        <v>0</v>
      </c>
      <c r="DA44" s="1751">
        <f>IF('Data Entry'!$C$74=0,0,IFERROR(ROUND(IF(T44="","",IF($X$4=0,0,IF(CF44=1,0,IF(BQ44+CV44=0,0,IF(CF44=1,0,IF(CY44&gt;0.01,CY44,IF(CL44&gt;0.01,CL44,IF(CY44&gt;0.01,CY44,IF(BC44=37,BO44,IF(CZ44=FALSE,0,IF(CZ44=TRUE,DC44+DF44,0))))))))))),2),""))</f>
        <v>0</v>
      </c>
      <c r="DB44" s="1752"/>
      <c r="DC44" s="474">
        <f>IF(CN44&lt;0.01,0,IF(AND(BR44=3,CN44&gt;0.01,CT44&gt;0.6,ER44+ES44+ET44&lt;100),0,IF(AND('Data Entry'!$C$74=1,CN44&gt;0.01,CR44&gt;0.99),MIN(CN44:CO44),IF(AND('Data Entry'!$C$74=2,CN44&gt;0.01,CS44&gt;0.99),MIN(CN44:CO44),0))))</f>
        <v>0</v>
      </c>
      <c r="DD44" s="478">
        <f>IF(CF44=1,"Selection does not match",IF(T44=0,0,IF(AND('Data Entry'!$C$74=0,CP44&gt;1),"Select Oregon or Idaho on Data Entry Tab",IF(AND(AU44=1,AA44&gt;0.9),"Missing Interior or Exterior Selection",IF($X$4=0,"Enter Total Project Cost",IF(AQ44&lt;AR44,"Insufficient kWh savings – no incentive",IF(AND(SUM(CL44+CK44+BV44)&gt;0.01,'Data Entry'!$C$74=2,CJ44&gt;1,BO44=0),"Submit Control as Non-Standard",IF(AND('Data Entry'!$C$74=2,BR44=37,CJ44&gt;1,BO44=0),"Submit Control as Non-Standard",IF(SUM(CL44+CK44+BV44)&gt;0.01,"Standard Incentive",IF(AND('Data Entry'!$C$74=2,CP44=7,CN44=0),"Submit as Non-Standard",IF(DC44&gt;0.9,"Non-Standard Incentive",IF(AND(BY44+BZ44+CA44&gt;0.01,BV44=0,EQ44=0,ER44=0,ES44=0,ET44=0),"Scroll Right &amp; Select Control Strategies",IF(AND(CN44&gt;0.01,CO44=0),"Enter Unit Installed Cost",IF(ISNUMBER(SEARCH("Lighting Controls Only",F44)),"Lighting Controls Only",IF(CL44+DC44=0,"Does not meet incentive criteria",0)))))))))))))))</f>
        <v>0</v>
      </c>
      <c r="DE44" s="337">
        <f t="shared" si="52"/>
        <v>0</v>
      </c>
      <c r="DF44" s="609">
        <f t="shared" si="53"/>
        <v>0</v>
      </c>
      <c r="DG44" s="336" t="str">
        <f t="shared" si="54"/>
        <v/>
      </c>
      <c r="DH44" s="338">
        <f t="shared" si="55"/>
        <v>1</v>
      </c>
      <c r="DI44" s="336" t="e">
        <f t="shared" si="8"/>
        <v>#VALUE!</v>
      </c>
      <c r="DJ44" s="338">
        <f t="shared" si="9"/>
        <v>0</v>
      </c>
      <c r="DK44" s="325" t="s">
        <v>143</v>
      </c>
      <c r="DL44" s="341">
        <v>59</v>
      </c>
      <c r="DM44" s="325" t="s">
        <v>116</v>
      </c>
      <c r="DN44" s="1439">
        <v>24</v>
      </c>
      <c r="DO44" s="1444" t="s">
        <v>1488</v>
      </c>
      <c r="DP44" s="329"/>
      <c r="DQ44" s="361"/>
      <c r="DR44" s="1332"/>
      <c r="DS44" s="1434">
        <f t="shared" si="56"/>
        <v>0</v>
      </c>
      <c r="DT44" s="344" t="b">
        <f t="shared" si="57"/>
        <v>1</v>
      </c>
      <c r="DU44" s="1314" t="str">
        <f t="array" ref="DU44">IF(OR(COUNTIF(F44,"*"&amp;$DK$9:$DK$178&amp;"*")), "Yes", "")</f>
        <v/>
      </c>
      <c r="DV44" s="1314">
        <f t="shared" si="58"/>
        <v>0</v>
      </c>
      <c r="DW44" s="1480">
        <f t="shared" si="59"/>
        <v>0</v>
      </c>
      <c r="DX44" s="1498">
        <f t="shared" si="71"/>
        <v>0</v>
      </c>
      <c r="DY44" s="1484">
        <f t="shared" si="60"/>
        <v>0</v>
      </c>
      <c r="DZ44" s="1481" t="s">
        <v>1132</v>
      </c>
      <c r="EA44" s="881">
        <f>'Product Type'!E46</f>
        <v>0</v>
      </c>
      <c r="EB44" s="1499" t="s">
        <v>1562</v>
      </c>
      <c r="EC44" s="727" t="s">
        <v>1568</v>
      </c>
      <c r="ED44" s="728">
        <v>0.5</v>
      </c>
      <c r="EE44" s="1215"/>
      <c r="EF44" s="1215"/>
      <c r="EG44" s="1184" t="str">
        <f t="shared" si="61"/>
        <v/>
      </c>
      <c r="EH44" s="5"/>
      <c r="EI44" s="55"/>
      <c r="EJ44" s="1185">
        <f t="shared" si="10"/>
        <v>0</v>
      </c>
      <c r="EK44" s="1211"/>
      <c r="EL44" s="1180">
        <f t="shared" si="72"/>
        <v>0</v>
      </c>
      <c r="EM44" s="207"/>
      <c r="EN44" s="1038"/>
      <c r="EO44" s="1038"/>
      <c r="EP44" s="1038"/>
      <c r="EQ44" s="1038">
        <f t="shared" si="62"/>
        <v>0</v>
      </c>
      <c r="ER44" s="1041">
        <f t="shared" si="75"/>
        <v>0</v>
      </c>
      <c r="ES44" s="1042">
        <f t="shared" si="63"/>
        <v>0</v>
      </c>
      <c r="ET44" s="1042">
        <f t="shared" si="73"/>
        <v>0</v>
      </c>
      <c r="EU44" s="1021">
        <f t="shared" si="74"/>
        <v>0</v>
      </c>
      <c r="EV44" s="368"/>
      <c r="EW44" s="368"/>
      <c r="EX44" s="369"/>
      <c r="EY44" s="370"/>
      <c r="EZ44" s="370"/>
      <c r="FA44" s="371"/>
      <c r="FB44" s="372"/>
    </row>
    <row r="45" spans="1:158" ht="34.5" customHeight="1">
      <c r="A45" s="82">
        <v>37</v>
      </c>
      <c r="B45" s="1725"/>
      <c r="C45" s="1726"/>
      <c r="D45" s="1726"/>
      <c r="E45" s="1727"/>
      <c r="F45" s="1732"/>
      <c r="G45" s="1733"/>
      <c r="H45" s="1733"/>
      <c r="I45" s="1734"/>
      <c r="J45" s="1341"/>
      <c r="K45" s="1728"/>
      <c r="L45" s="1728"/>
      <c r="M45" s="1342"/>
      <c r="N45" s="1583"/>
      <c r="O45" s="208" t="str">
        <f t="shared" si="11"/>
        <v/>
      </c>
      <c r="P45" s="785"/>
      <c r="Q45" s="39" t="str">
        <f t="shared" si="0"/>
        <v/>
      </c>
      <c r="R45" s="39">
        <f t="shared" si="12"/>
        <v>0</v>
      </c>
      <c r="S45" s="234">
        <f t="shared" si="13"/>
        <v>0</v>
      </c>
      <c r="T45" s="1755"/>
      <c r="U45" s="1755"/>
      <c r="V45" s="1755"/>
      <c r="W45" s="1345"/>
      <c r="X45" s="1756"/>
      <c r="Y45" s="1742"/>
      <c r="Z45" s="1346"/>
      <c r="AA45" s="1343"/>
      <c r="AB45" s="1141"/>
      <c r="AC45" s="1103" t="str">
        <f>IF(T45="","",VLOOKUP(Z45,Lists!$A$60:$B$111,2,FALSE))</f>
        <v/>
      </c>
      <c r="AD45" s="130" t="str">
        <f t="shared" si="14"/>
        <v/>
      </c>
      <c r="AE45" s="130" t="e">
        <f t="shared" si="15"/>
        <v>#VALUE!</v>
      </c>
      <c r="AF45" s="130">
        <f t="shared" si="16"/>
        <v>1</v>
      </c>
      <c r="AG45" s="234">
        <f t="shared" si="1"/>
        <v>0</v>
      </c>
      <c r="AH45" s="1753" t="str">
        <f>IF(T45="","",(IF(ISNUMBER(SEARCH("exit",T45)),8760,IF(AND(M45="Dusk to Dawn",'Proposed Lighting'!AU45=3),4059,IF(AND(AU45=3,M45="1"),0,IF(AND(AU45=3,M45="1-C"),0,IF(AND(AU45=3,M45="2"),0,IF(AND(AU45=3,M45="2-C"),0,IF(AND(AU45=3,M45="3"),0,IF(AND(AU45=3,M45="3-C"),0,IF(AND(AU45=2,M45="Dusk to Dawn"),0,IF(AND(AU45=2,M45="Dusk to Dawn-C"),0,IF(AND(AU45=2,M45="Dusk to Dawn"),0,IF(AND(AU45=2,M45="E"),0,IF(AND(AU45=2,M45="E-C"),0,EG45)))))))))))))))</f>
        <v/>
      </c>
      <c r="AI45" s="1754"/>
      <c r="AJ45" s="1136"/>
      <c r="AK45" s="1136"/>
      <c r="AL45" s="1748">
        <f t="shared" si="64"/>
        <v>0</v>
      </c>
      <c r="AM45" s="1749"/>
      <c r="AN45" s="1750"/>
      <c r="AO45" s="476">
        <f t="shared" si="2"/>
        <v>0</v>
      </c>
      <c r="AP45" s="476">
        <f t="shared" si="17"/>
        <v>0</v>
      </c>
      <c r="AQ45" s="475">
        <f t="shared" si="3"/>
        <v>0</v>
      </c>
      <c r="AR45" s="475">
        <f t="shared" si="18"/>
        <v>0</v>
      </c>
      <c r="AS45" s="743" t="str">
        <f t="shared" si="79"/>
        <v/>
      </c>
      <c r="AT45" s="736" t="str">
        <f t="shared" si="20"/>
        <v/>
      </c>
      <c r="AU45" s="56">
        <f t="shared" si="21"/>
        <v>1</v>
      </c>
      <c r="AV45" s="476">
        <f t="shared" si="22"/>
        <v>0</v>
      </c>
      <c r="AW45" s="56">
        <f t="shared" si="23"/>
        <v>0</v>
      </c>
      <c r="AX45" s="475">
        <f t="shared" si="65"/>
        <v>0</v>
      </c>
      <c r="AY45" s="1169">
        <f t="shared" si="66"/>
        <v>0</v>
      </c>
      <c r="AZ45" s="1150">
        <f t="shared" si="67"/>
        <v>0</v>
      </c>
      <c r="BA45" s="56">
        <f t="shared" si="68"/>
        <v>0</v>
      </c>
      <c r="BB45" s="420">
        <f t="shared" si="4"/>
        <v>0</v>
      </c>
      <c r="BC45" s="58" t="str">
        <f t="shared" si="5"/>
        <v/>
      </c>
      <c r="BD45" s="660">
        <f t="shared" si="69"/>
        <v>0</v>
      </c>
      <c r="BE45" s="57" t="e">
        <f t="array" ref="BE45">INDEX($EB$11:$ED$1022,MATCH(F45&amp;T45,$EB$11:$EB$1007&amp;$EC$11:$EC$1007,0),3)</f>
        <v>#N/A</v>
      </c>
      <c r="BF45" s="463">
        <f t="shared" si="24"/>
        <v>0</v>
      </c>
      <c r="BG45" s="1445" t="e">
        <f t="array" ref="BG45">INDEX($DO$112:$DQ$123,MATCH(T45&amp;W45,$DO$114:$DO$125&amp;$DP$112:$DP$123,0),3)</f>
        <v>#N/A</v>
      </c>
      <c r="BH45" s="1446">
        <f t="shared" si="25"/>
        <v>0</v>
      </c>
      <c r="BI45" s="465">
        <f t="shared" si="26"/>
        <v>0</v>
      </c>
      <c r="BJ45" s="465">
        <f t="shared" si="27"/>
        <v>0</v>
      </c>
      <c r="BK45" s="466">
        <f t="shared" si="28"/>
        <v>0</v>
      </c>
      <c r="BL45" s="466">
        <f t="shared" si="29"/>
        <v>0</v>
      </c>
      <c r="BM45" s="466">
        <f t="shared" si="30"/>
        <v>0</v>
      </c>
      <c r="BN45" s="466">
        <f t="shared" si="31"/>
        <v>0</v>
      </c>
      <c r="BO45" s="463">
        <f>IF('Data Entry'!$C$74=0,0,IF(ISNA(CJ45),0,IF(AX45=0,0,IF(AND('Data Entry'!$C$74=2,AF45&gt;2,CE45&lt;1),0,IF(AND('Data Entry'!$C$74=2,AF45&gt;1,AU45=2,CJ45&gt;1),0,IF(AND(AF45=5,CT45=0.5,AU45=2,ER45&lt;100),0,IF(AND(AF45=5,CT45=0.5,AU45=3,ER45&lt;100),0,IF(AND('Data Entry'!$C$74=2,AF45=2,AU45=2,AK45&gt;0.01,CB45=2,CE45&lt;1),0,IF(AND('Data Entry'!$C$74=2,AF45=3,AU45=3,AK45&gt;0.01,CB45=3,CE45&lt;1),0,IF(AND('Data Entry'!$C$74=2,AF45=3,AU45=3,AK45&gt;0.01,CB45=3,CE45&gt;0.99),BQ45*0.08,IF(AND('Data Entry'!$C$74=2,AF45=2,AU45=2,AK45&gt;0.01,CB45=2,CE45&gt;0.99),BQ45*0.1,IF(AND(AU45=2,AK45&gt;0.01,CB45=2,CD45&gt;1),BQ45*0.1,IF(AND(AU45=3,AK45&gt;0.01,CB45=3,CD45&gt;1),BQ45*0.08,CJ45*EF45)))))))))))))</f>
        <v>0</v>
      </c>
      <c r="BP45" s="475">
        <f t="shared" si="32"/>
        <v>0</v>
      </c>
      <c r="BQ45" s="1431">
        <f>IF(AU45=1,0,IF(CH45=100,0,IF(AND(AF45=3,AU45=2),0,IF(AND(BH45=0,CT45&gt;0.4),0,IF(AND('Data Entry'!$C$74=2,AF45=1.5),0,IF(AND('Data Entry'!$C$74=2,AF45=1.6),0,IF(AND('Data Entry'!$C$74=2,AF45=4),0,IF(AND('Data Entry'!$C$74=2,AF45=5),0,IF(AND('Data Entry'!$C$74=2,AF45=2.5,CE45&lt;1),0,IF(AND('Data Entry'!$C$74=2,AF45=3,CE45&lt;1),0,IF(AND('Data Entry'!$C$74=1,AF45=2.5,CD45&lt;1),0,IF(AND('Data Entry'!$C$74=1,AF45=3,CD45&lt;1),0,IF(DX45&gt;0.01,DX45,IF(ISERROR(AX45-AY45),"",ROUND(AX45-AY45,2)))))))))))))))</f>
        <v>0</v>
      </c>
      <c r="BR45" s="146">
        <f t="shared" si="33"/>
        <v>0</v>
      </c>
      <c r="BS45" s="475">
        <f t="shared" si="34"/>
        <v>0</v>
      </c>
      <c r="BT45" s="146" t="b">
        <f t="shared" si="35"/>
        <v>0</v>
      </c>
      <c r="BU45" s="463">
        <f>IF(ISNA(AT45),0,IF(AND('Data Entry'!$C$74=2,BC45=27),0,IF(AND('Data Entry'!$C$74=2,BC45=28),0,IF(AND(BC45=27,BT45=27,CM45&gt;0.1),CM45*0.15,IF(AND(BC45=28,BT45=28,CM45&gt;0.1),CM45*0.12,0)))))</f>
        <v>0</v>
      </c>
      <c r="BV45" s="463">
        <f t="shared" si="78"/>
        <v>0</v>
      </c>
      <c r="BW45" s="463">
        <f t="shared" si="37"/>
        <v>0</v>
      </c>
      <c r="BX45" s="463">
        <f t="shared" si="38"/>
        <v>0</v>
      </c>
      <c r="BY45" s="463">
        <f t="shared" si="39"/>
        <v>0</v>
      </c>
      <c r="BZ45" s="463">
        <f t="shared" si="40"/>
        <v>0</v>
      </c>
      <c r="CA45" s="57">
        <f t="shared" si="70"/>
        <v>0</v>
      </c>
      <c r="CB45" s="56">
        <f t="shared" si="41"/>
        <v>1</v>
      </c>
      <c r="CC45" s="756">
        <f>IF(EE45=0,0,IF(EF45=0,0,IF(EE45&gt;AA45,0,IF(AND(AZ45&gt;AW45,AW45&gt;0),0,IF(CU45=0,0,Summary!AC348)))))</f>
        <v>0</v>
      </c>
      <c r="CD45" s="756">
        <f>IF(EE45=0,0,IF(EF45=0,0,IF(EE45&gt;AA45,0,IF(AND(AZ45&gt;AW45,AW45&gt;0),0,IF(CU45=0,0,Summary!AD348)))))</f>
        <v>0</v>
      </c>
      <c r="CE45" s="756">
        <f>IF(EF45=0,0,IF(EE45&gt;AA45,0,IF(CC45=0,0,IF(AND(AZ45&gt;AW45,AW45&gt;0),0,IF(CU45=0,0,Summary!AE348)))))</f>
        <v>0</v>
      </c>
      <c r="CF45" s="475">
        <f t="shared" si="42"/>
        <v>0</v>
      </c>
      <c r="CG45" s="476">
        <f t="shared" si="6"/>
        <v>0</v>
      </c>
      <c r="CH45" s="487">
        <f t="shared" si="43"/>
        <v>0</v>
      </c>
      <c r="CI45" s="756">
        <f t="shared" si="44"/>
        <v>0</v>
      </c>
      <c r="CJ45" s="487">
        <f>IF(CT45&gt;0.4,0,IF(AND(AU45=2,CH45=0,CT45=0.5,ER45=100),35,IF(AND(AU45=3,BB45&gt;75,CH45=0,CT45=0.5,ER45=100),25,IF(CB45&gt;1,0,IF(EF45&gt;EE45,0,IF(AND(AF45&gt;1,CH45=100),0,IF(AND(AF45=1,AY45=0),0,IF(AND(EF45&lt;=EE45,AW45&gt;=AZ45,'Data Entry'!$C$74=1,AU45=2),VLOOKUP(W45,$DO$96:$DP$102,2,FALSE),IF(AND(EF45&lt;=EE45,AW45&gt;=AZ45,AU45=3,'Data Entry'!$C$74=1),VLOOKUP(W45,$DO$127:$DP$134,2,FALSE))))))))))</f>
        <v>0</v>
      </c>
      <c r="CK45" s="716">
        <f t="shared" si="45"/>
        <v>0</v>
      </c>
      <c r="CL45" s="57">
        <f t="shared" si="46"/>
        <v>0</v>
      </c>
      <c r="CM45" s="475">
        <f t="shared" si="77"/>
        <v>0</v>
      </c>
      <c r="CN45" s="660">
        <f>IF(CM45&lt;0.1,0,IF(ISNA(AT45),0,IF(CL45+BC45=1,0,IF(BV45&gt;0.01,0,IF(CL45&gt;0.01,0,IF(CF45=1,0,IF(BC45=0.5,0,IF(AND(CI45=1,AU45=3),0,IF(AND(CI45=5,CL45=0),0,IF(AND(R45=12,BR45=50),0,IF(CK45&gt;0.01,0,IF(AND(AJ45&gt;0.01,AU45=2,BC45=15),CM45*0.1,IF(AND(AJ45&gt;0.01,AU45=3,BC45=15),CM45*0.08,IF(AND(R45=12,BC45=3,AF45&lt;=0),0,IF(AND(BC45=15,BI45=0),0,IF(AND(BC45=15,BJ45=0),0,IF(AND(R45=20,CU45=0),0,IF($X$4=0,0,IF(AND(BC45=250,CL45=0),0,IF(AA45&lt;1,0,IF(AND(ISNUMBER(SEARCH("Area",T45)),AU45=3),0,IF(AND(AQ45&gt;0.01,AR45=0,BK45=0,BL45=0,BM45=0,BN45=0),0,IF(AND(AU45=3,CI45=7,CT45&gt;0.5),0,IF(AND(BC45=44,AU45=3,BY45=0),0,IF(AND(BC45=27,'Data Entry'!$C$74=2),0,IF(AND(BC45=28,'Data Entry'!$C$74=2),0,IF(AND(BY45+BZ45+CA45&gt;0.01,BV45=0,EQ45+ER45+ES45+ET45&lt;100),0,IF(AU45=3,CM45*0.08,IF(AU45=2,CM45*0.1,0)))))))))))))))))))))))))))))</f>
        <v>0</v>
      </c>
      <c r="CO45" s="660">
        <f t="shared" si="47"/>
        <v>0</v>
      </c>
      <c r="CP45" s="475" t="str">
        <f t="shared" si="48"/>
        <v/>
      </c>
      <c r="CQ45" s="161" t="str">
        <f>IF(AH45=0,0,IF(AU45=5,0,Summary!AC48))</f>
        <v/>
      </c>
      <c r="CR45" s="161" t="str">
        <f>IF(BF45=0.5,0,IF(AU45=5,0,Summary!AD48))</f>
        <v/>
      </c>
      <c r="CS45" s="161" t="str">
        <f>IF(AU45=5,0,Summary!AE48)</f>
        <v/>
      </c>
      <c r="CT45" s="161">
        <f t="shared" si="49"/>
        <v>0</v>
      </c>
      <c r="CU45" s="475" t="str">
        <f t="shared" si="7"/>
        <v/>
      </c>
      <c r="CV45" s="307">
        <f>IF('Data Entry'!$C$74=0,0,IF(AA45&lt;1,0,IF(ISERROR(CU45),0,IF(CF45=1,0,IF(AND(R45=12,BR45=50),0,IF(CL45+BO45+BV45+DC45=0,0,IF(BC45=37,0,IF(AND(BC45=40,AJ45=0),0,IF(AND(BC45=37,BO45&gt;0.01,BQ45&gt;0.01),ROUND(BQ45,0),IF(CM45&lt;0,0,ROUND(CM45,0)))))))))))</f>
        <v>0</v>
      </c>
      <c r="CW45" s="700">
        <f t="shared" si="50"/>
        <v>0</v>
      </c>
      <c r="CX45" s="477">
        <f>IF('Data Entry'!$C$74=0,0,IF(CV45&lt;0.01,0,IF(BF45=0.5,0,IF(CF45=1,0,IF(ISNUMBER(SEARCH("false",CL45)),0,IF(AZ45=500,0,CL45))))))</f>
        <v>0</v>
      </c>
      <c r="CY45" s="147" t="e">
        <f t="shared" si="51"/>
        <v>#VALUE!</v>
      </c>
      <c r="CZ45" s="147" t="b">
        <f>IF(CN45+CL45=0,FALSE,IF(AH45=0,0,IF(AND('Data Entry'!$C$74=1,CR45&gt;=1),TRUE,IF(AND('Data Entry'!$C$74=2,CS45&gt;=1),TRUE,FALSE))))</f>
        <v>0</v>
      </c>
      <c r="DA45" s="1751">
        <f>IF('Data Entry'!$C$74=0,0,IFERROR(ROUND(IF(T45="","",IF($X$4=0,0,IF(CF45=1,0,IF(BQ45+CV45=0,0,IF(CF45=1,0,IF(CY45&gt;0.01,CY45,IF(CL45&gt;0.01,CL45,IF(CY45&gt;0.01,CY45,IF(BC45=37,BO45,IF(CZ45=FALSE,0,IF(CZ45=TRUE,DC45+DF45,0))))))))))),2),""))</f>
        <v>0</v>
      </c>
      <c r="DB45" s="1752"/>
      <c r="DC45" s="474">
        <f>IF(CN45&lt;0.01,0,IF(AND(BR45=3,CN45&gt;0.01,CT45&gt;0.6,ER45+ES45+ET45&lt;100),0,IF(AND('Data Entry'!$C$74=1,CN45&gt;0.01,CR45&gt;0.99),MIN(CN45:CO45),IF(AND('Data Entry'!$C$74=2,CN45&gt;0.01,CS45&gt;0.99),MIN(CN45:CO45),0))))</f>
        <v>0</v>
      </c>
      <c r="DD45" s="478">
        <f>IF(CF45=1,"Selection does not match",IF(T45=0,0,IF(AND('Data Entry'!$C$74=0,CP45&gt;1),"Select Oregon or Idaho on Data Entry Tab",IF(AND(AU45=1,AA45&gt;0.9),"Missing Interior or Exterior Selection",IF($X$4=0,"Enter Total Project Cost",IF(AQ45&lt;AR45,"Insufficient kWh savings – no incentive",IF(AND(SUM(CL45+CK45+BV45)&gt;0.01,'Data Entry'!$C$74=2,CJ45&gt;1,BO45=0),"Submit Control as Non-Standard",IF(AND('Data Entry'!$C$74=2,BR45=37,CJ45&gt;1,BO45=0),"Submit Control as Non-Standard",IF(SUM(CL45+CK45+BV45)&gt;0.01,"Standard Incentive",IF(AND('Data Entry'!$C$74=2,CP45=7,CN45=0),"Submit as Non-Standard",IF(DC45&gt;0.9,"Non-Standard Incentive",IF(AND(BY45+BZ45+CA45&gt;0.01,BV45=0,EQ45=0,ER45=0,ES45=0,ET45=0),"Scroll Right &amp; Select Control Strategies",IF(AND(CN45&gt;0.01,CO45=0),"Enter Unit Installed Cost",IF(ISNUMBER(SEARCH("Lighting Controls Only",F45)),"Lighting Controls Only",IF(CL45+DC45=0,"Does not meet incentive criteria",0)))))))))))))))</f>
        <v>0</v>
      </c>
      <c r="DE45" s="337">
        <f t="shared" si="52"/>
        <v>0</v>
      </c>
      <c r="DF45" s="609">
        <f t="shared" si="53"/>
        <v>0</v>
      </c>
      <c r="DG45" s="336" t="str">
        <f t="shared" si="54"/>
        <v/>
      </c>
      <c r="DH45" s="338">
        <f t="shared" si="55"/>
        <v>1</v>
      </c>
      <c r="DI45" s="336" t="e">
        <f t="shared" si="8"/>
        <v>#VALUE!</v>
      </c>
      <c r="DJ45" s="338">
        <f t="shared" si="9"/>
        <v>0</v>
      </c>
      <c r="DK45" s="325" t="s">
        <v>144</v>
      </c>
      <c r="DL45" s="341">
        <v>117</v>
      </c>
      <c r="DM45" s="325" t="s">
        <v>117</v>
      </c>
      <c r="DN45" s="1439">
        <v>32</v>
      </c>
      <c r="DO45" s="1444" t="s">
        <v>1781</v>
      </c>
      <c r="DP45" s="332"/>
      <c r="DQ45" s="331"/>
      <c r="DR45" s="1332"/>
      <c r="DS45" s="1434">
        <f t="shared" si="56"/>
        <v>0</v>
      </c>
      <c r="DT45" s="344" t="b">
        <f t="shared" si="57"/>
        <v>1</v>
      </c>
      <c r="DU45" s="1314" t="str">
        <f t="array" ref="DU45">IF(OR(COUNTIF(F45,"*"&amp;$DK$9:$DK$178&amp;"*")), "Yes", "")</f>
        <v/>
      </c>
      <c r="DV45" s="1314">
        <f t="shared" si="58"/>
        <v>0</v>
      </c>
      <c r="DW45" s="1480">
        <f t="shared" si="59"/>
        <v>0</v>
      </c>
      <c r="DX45" s="1498">
        <f t="shared" si="71"/>
        <v>0</v>
      </c>
      <c r="DY45" s="1484">
        <f t="shared" si="60"/>
        <v>0</v>
      </c>
      <c r="DZ45" s="1481" t="s">
        <v>1133</v>
      </c>
      <c r="EA45" s="881">
        <f>'Product Type'!E47</f>
        <v>0</v>
      </c>
      <c r="EB45" s="1499" t="s">
        <v>477</v>
      </c>
      <c r="EC45" s="727" t="s">
        <v>1568</v>
      </c>
      <c r="ED45" s="728">
        <v>0.5</v>
      </c>
      <c r="EE45" s="1215"/>
      <c r="EF45" s="1215"/>
      <c r="EG45" s="1184" t="str">
        <f t="shared" si="61"/>
        <v/>
      </c>
      <c r="EH45" s="5"/>
      <c r="EI45" s="55"/>
      <c r="EJ45" s="1185">
        <f t="shared" si="10"/>
        <v>0</v>
      </c>
      <c r="EK45" s="1211"/>
      <c r="EL45" s="1180">
        <f t="shared" si="72"/>
        <v>0</v>
      </c>
      <c r="EM45" s="207"/>
      <c r="EN45" s="1038"/>
      <c r="EO45" s="1038"/>
      <c r="EP45" s="1038"/>
      <c r="EQ45" s="1038">
        <f t="shared" si="62"/>
        <v>0</v>
      </c>
      <c r="ER45" s="1041">
        <f t="shared" si="75"/>
        <v>0</v>
      </c>
      <c r="ES45" s="1042">
        <f t="shared" si="63"/>
        <v>0</v>
      </c>
      <c r="ET45" s="1042">
        <f t="shared" si="73"/>
        <v>0</v>
      </c>
      <c r="EU45" s="1021">
        <f t="shared" si="74"/>
        <v>0</v>
      </c>
      <c r="EV45" s="368"/>
      <c r="EW45" s="368"/>
      <c r="EX45" s="369"/>
      <c r="EY45" s="370"/>
      <c r="EZ45" s="370"/>
      <c r="FA45" s="371"/>
      <c r="FB45" s="372"/>
    </row>
    <row r="46" spans="1:158" ht="34.5" customHeight="1">
      <c r="A46" s="82">
        <v>38</v>
      </c>
      <c r="B46" s="1725"/>
      <c r="C46" s="1726"/>
      <c r="D46" s="1726"/>
      <c r="E46" s="1727"/>
      <c r="F46" s="1732"/>
      <c r="G46" s="1733"/>
      <c r="H46" s="1733"/>
      <c r="I46" s="1734"/>
      <c r="J46" s="1341"/>
      <c r="K46" s="1728"/>
      <c r="L46" s="1728"/>
      <c r="M46" s="1342"/>
      <c r="N46" s="1583"/>
      <c r="O46" s="208" t="str">
        <f t="shared" si="11"/>
        <v/>
      </c>
      <c r="P46" s="785"/>
      <c r="Q46" s="39" t="str">
        <f t="shared" si="0"/>
        <v/>
      </c>
      <c r="R46" s="39">
        <f t="shared" si="12"/>
        <v>0</v>
      </c>
      <c r="S46" s="234">
        <f t="shared" si="13"/>
        <v>0</v>
      </c>
      <c r="T46" s="1755"/>
      <c r="U46" s="1755"/>
      <c r="V46" s="1755"/>
      <c r="W46" s="1345"/>
      <c r="X46" s="1756"/>
      <c r="Y46" s="1742"/>
      <c r="Z46" s="1346"/>
      <c r="AA46" s="1343"/>
      <c r="AB46" s="1141"/>
      <c r="AC46" s="1103" t="str">
        <f>IF(T46="","",VLOOKUP(Z46,Lists!$A$60:$B$111,2,FALSE))</f>
        <v/>
      </c>
      <c r="AD46" s="130" t="str">
        <f t="shared" si="14"/>
        <v/>
      </c>
      <c r="AE46" s="130" t="e">
        <f t="shared" si="15"/>
        <v>#VALUE!</v>
      </c>
      <c r="AF46" s="130">
        <f t="shared" si="16"/>
        <v>1</v>
      </c>
      <c r="AG46" s="234">
        <f t="shared" si="1"/>
        <v>0</v>
      </c>
      <c r="AH46" s="1753" t="str">
        <f>IF(T46="","",(IF(ISNUMBER(SEARCH("exit",T46)),8760,IF(AND(M46="Dusk to Dawn",'Proposed Lighting'!AU46=3),4059,IF(AND(AU46=3,M46="1"),0,IF(AND(AU46=3,M46="1-C"),0,IF(AND(AU46=3,M46="2"),0,IF(AND(AU46=3,M46="2-C"),0,IF(AND(AU46=3,M46="3"),0,IF(AND(AU46=3,M46="3-C"),0,IF(AND(AU46=2,M46="Dusk to Dawn"),0,IF(AND(AU46=2,M46="Dusk to Dawn-C"),0,IF(AND(AU46=2,M46="Dusk to Dawn"),0,IF(AND(AU46=2,M46="E"),0,IF(AND(AU46=2,M46="E-C"),0,EG46)))))))))))))))</f>
        <v/>
      </c>
      <c r="AI46" s="1754"/>
      <c r="AJ46" s="1136"/>
      <c r="AK46" s="1136"/>
      <c r="AL46" s="1748">
        <f t="shared" si="64"/>
        <v>0</v>
      </c>
      <c r="AM46" s="1749"/>
      <c r="AN46" s="1750"/>
      <c r="AO46" s="476">
        <f t="shared" si="2"/>
        <v>0</v>
      </c>
      <c r="AP46" s="476">
        <f t="shared" si="17"/>
        <v>0</v>
      </c>
      <c r="AQ46" s="475">
        <f t="shared" si="3"/>
        <v>0</v>
      </c>
      <c r="AR46" s="475">
        <f t="shared" si="18"/>
        <v>0</v>
      </c>
      <c r="AS46" s="743" t="str">
        <f t="shared" si="79"/>
        <v/>
      </c>
      <c r="AT46" s="736" t="str">
        <f t="shared" si="20"/>
        <v/>
      </c>
      <c r="AU46" s="56">
        <f t="shared" si="21"/>
        <v>1</v>
      </c>
      <c r="AV46" s="476">
        <f t="shared" si="22"/>
        <v>0</v>
      </c>
      <c r="AW46" s="56">
        <f t="shared" si="23"/>
        <v>0</v>
      </c>
      <c r="AX46" s="475">
        <f t="shared" si="65"/>
        <v>0</v>
      </c>
      <c r="AY46" s="1169">
        <f t="shared" si="66"/>
        <v>0</v>
      </c>
      <c r="AZ46" s="1150">
        <f t="shared" si="67"/>
        <v>0</v>
      </c>
      <c r="BA46" s="56">
        <f t="shared" si="68"/>
        <v>0</v>
      </c>
      <c r="BB46" s="420">
        <f t="shared" si="4"/>
        <v>0</v>
      </c>
      <c r="BC46" s="58" t="str">
        <f t="shared" si="5"/>
        <v/>
      </c>
      <c r="BD46" s="660">
        <f t="shared" si="69"/>
        <v>0</v>
      </c>
      <c r="BE46" s="57" t="e">
        <f t="array" ref="BE46">INDEX($EB$11:$ED$1022,MATCH(F46&amp;T46,$EB$11:$EB$1007&amp;$EC$11:$EC$1007,0),3)</f>
        <v>#N/A</v>
      </c>
      <c r="BF46" s="463">
        <f t="shared" si="24"/>
        <v>0</v>
      </c>
      <c r="BG46" s="1445" t="e">
        <f t="array" ref="BG46">INDEX($DO$112:$DQ$123,MATCH(T46&amp;W46,$DO$114:$DO$125&amp;$DP$112:$DP$123,0),3)</f>
        <v>#N/A</v>
      </c>
      <c r="BH46" s="1446">
        <f t="shared" si="25"/>
        <v>0</v>
      </c>
      <c r="BI46" s="465">
        <f t="shared" si="26"/>
        <v>0</v>
      </c>
      <c r="BJ46" s="465">
        <f t="shared" si="27"/>
        <v>0</v>
      </c>
      <c r="BK46" s="466">
        <f t="shared" si="28"/>
        <v>0</v>
      </c>
      <c r="BL46" s="466">
        <f t="shared" si="29"/>
        <v>0</v>
      </c>
      <c r="BM46" s="466">
        <f t="shared" si="30"/>
        <v>0</v>
      </c>
      <c r="BN46" s="466">
        <f t="shared" si="31"/>
        <v>0</v>
      </c>
      <c r="BO46" s="463">
        <f>IF('Data Entry'!$C$74=0,0,IF(ISNA(CJ46),0,IF(AX46=0,0,IF(AND('Data Entry'!$C$74=2,AF46&gt;2,CE46&lt;1),0,IF(AND('Data Entry'!$C$74=2,AF46&gt;1,AU46=2,CJ46&gt;1),0,IF(AND(AF46=5,CT46=0.5,AU46=2,ER46&lt;100),0,IF(AND(AF46=5,CT46=0.5,AU46=3,ER46&lt;100),0,IF(AND('Data Entry'!$C$74=2,AF46=2,AU46=2,AK46&gt;0.01,CB46=2,CE46&lt;1),0,IF(AND('Data Entry'!$C$74=2,AF46=3,AU46=3,AK46&gt;0.01,CB46=3,CE46&lt;1),0,IF(AND('Data Entry'!$C$74=2,AF46=3,AU46=3,AK46&gt;0.01,CB46=3,CE46&gt;0.99),BQ46*0.08,IF(AND('Data Entry'!$C$74=2,AF46=2,AU46=2,AK46&gt;0.01,CB46=2,CE46&gt;0.99),BQ46*0.1,IF(AND(AU46=2,AK46&gt;0.01,CB46=2,CD46&gt;1),BQ46*0.1,IF(AND(AU46=3,AK46&gt;0.01,CB46=3,CD46&gt;1),BQ46*0.08,CJ46*EF46)))))))))))))</f>
        <v>0</v>
      </c>
      <c r="BP46" s="475">
        <f t="shared" si="32"/>
        <v>0</v>
      </c>
      <c r="BQ46" s="1431">
        <f>IF(AU46=1,0,IF(CH46=100,0,IF(AND(AF46=3,AU46=2),0,IF(AND(BH46=0,CT46&gt;0.4),0,IF(AND('Data Entry'!$C$74=2,AF46=1.5),0,IF(AND('Data Entry'!$C$74=2,AF46=1.6),0,IF(AND('Data Entry'!$C$74=2,AF46=4),0,IF(AND('Data Entry'!$C$74=2,AF46=5),0,IF(AND('Data Entry'!$C$74=2,AF46=2.5,CE46&lt;1),0,IF(AND('Data Entry'!$C$74=2,AF46=3,CE46&lt;1),0,IF(AND('Data Entry'!$C$74=1,AF46=2.5,CD46&lt;1),0,IF(AND('Data Entry'!$C$74=1,AF46=3,CD46&lt;1),0,IF(DX46&gt;0.01,DX46,IF(ISERROR(AX46-AY46),"",ROUND(AX46-AY46,2)))))))))))))))</f>
        <v>0</v>
      </c>
      <c r="BR46" s="146">
        <f t="shared" si="33"/>
        <v>0</v>
      </c>
      <c r="BS46" s="475">
        <f t="shared" si="34"/>
        <v>0</v>
      </c>
      <c r="BT46" s="146" t="b">
        <f t="shared" si="35"/>
        <v>0</v>
      </c>
      <c r="BU46" s="463">
        <f>IF(ISNA(AT46),0,IF(AND('Data Entry'!$C$74=2,BC46=27),0,IF(AND('Data Entry'!$C$74=2,BC46=28),0,IF(AND(BC46=27,BT46=27,CM46&gt;0.1),CM46*0.15,IF(AND(BC46=28,BT46=28,CM46&gt;0.1),CM46*0.12,0)))))</f>
        <v>0</v>
      </c>
      <c r="BV46" s="463">
        <f t="shared" si="78"/>
        <v>0</v>
      </c>
      <c r="BW46" s="463">
        <f t="shared" si="37"/>
        <v>0</v>
      </c>
      <c r="BX46" s="463">
        <f t="shared" si="38"/>
        <v>0</v>
      </c>
      <c r="BY46" s="463">
        <f t="shared" si="39"/>
        <v>0</v>
      </c>
      <c r="BZ46" s="463">
        <f t="shared" si="40"/>
        <v>0</v>
      </c>
      <c r="CA46" s="57">
        <f t="shared" si="70"/>
        <v>0</v>
      </c>
      <c r="CB46" s="56">
        <f t="shared" si="41"/>
        <v>1</v>
      </c>
      <c r="CC46" s="756">
        <f>IF(EE46=0,0,IF(EF46=0,0,IF(EE46&gt;AA46,0,IF(AND(AZ46&gt;AW46,AW46&gt;0),0,IF(CU46=0,0,Summary!AC349)))))</f>
        <v>0</v>
      </c>
      <c r="CD46" s="756">
        <f>IF(EE46=0,0,IF(EF46=0,0,IF(EE46&gt;AA46,0,IF(AND(AZ46&gt;AW46,AW46&gt;0),0,IF(CU46=0,0,Summary!AD349)))))</f>
        <v>0</v>
      </c>
      <c r="CE46" s="756">
        <f>IF(EF46=0,0,IF(EE46&gt;AA46,0,IF(CC46=0,0,IF(AND(AZ46&gt;AW46,AW46&gt;0),0,IF(CU46=0,0,Summary!AE349)))))</f>
        <v>0</v>
      </c>
      <c r="CF46" s="475">
        <f t="shared" si="42"/>
        <v>0</v>
      </c>
      <c r="CG46" s="476">
        <f t="shared" si="6"/>
        <v>0</v>
      </c>
      <c r="CH46" s="487">
        <f t="shared" si="43"/>
        <v>0</v>
      </c>
      <c r="CI46" s="756">
        <f t="shared" si="44"/>
        <v>0</v>
      </c>
      <c r="CJ46" s="487">
        <f>IF(CT46&gt;0.4,0,IF(AND(AU46=2,CH46=0,CT46=0.5,ER46=100),35,IF(AND(AU46=3,BB46&gt;75,CH46=0,CT46=0.5,ER46=100),25,IF(CB46&gt;1,0,IF(EF46&gt;EE46,0,IF(AND(AF46&gt;1,CH46=100),0,IF(AND(AF46=1,AY46=0),0,IF(AND(EF46&lt;=EE46,AW46&gt;=AZ46,'Data Entry'!$C$74=1,AU46=2),VLOOKUP(W46,$DO$96:$DP$102,2,FALSE),IF(AND(EF46&lt;=EE46,AW46&gt;=AZ46,AU46=3,'Data Entry'!$C$74=1),VLOOKUP(W46,$DO$127:$DP$134,2,FALSE))))))))))</f>
        <v>0</v>
      </c>
      <c r="CK46" s="716">
        <f t="shared" si="45"/>
        <v>0</v>
      </c>
      <c r="CL46" s="57">
        <f t="shared" si="46"/>
        <v>0</v>
      </c>
      <c r="CM46" s="475">
        <f t="shared" si="77"/>
        <v>0</v>
      </c>
      <c r="CN46" s="660">
        <f>IF(CM46&lt;0.1,0,IF(ISNA(AT46),0,IF(CL46+BC46=1,0,IF(BV46&gt;0.01,0,IF(CL46&gt;0.01,0,IF(CF46=1,0,IF(BC46=0.5,0,IF(AND(CI46=1,AU46=3),0,IF(AND(CI46=5,CL46=0),0,IF(AND(R46=12,BR46=50),0,IF(CK46&gt;0.01,0,IF(AND(AJ46&gt;0.01,AU46=2,BC46=15),CM46*0.1,IF(AND(AJ46&gt;0.01,AU46=3,BC46=15),CM46*0.08,IF(AND(R46=12,BC46=3,AF46&lt;=0),0,IF(AND(BC46=15,BI46=0),0,IF(AND(BC46=15,BJ46=0),0,IF(AND(R46=20,CU46=0),0,IF($X$4=0,0,IF(AND(BC46=250,CL46=0),0,IF(AA46&lt;1,0,IF(AND(ISNUMBER(SEARCH("Area",T46)),AU46=3),0,IF(AND(AQ46&gt;0.01,AR46=0,BK46=0,BL46=0,BM46=0,BN46=0),0,IF(AND(AU46=3,CI46=7,CT46&gt;0.5),0,IF(AND(BC46=44,AU46=3,BY46=0),0,IF(AND(BC46=27,'Data Entry'!$C$74=2),0,IF(AND(BC46=28,'Data Entry'!$C$74=2),0,IF(AND(BY46+BZ46+CA46&gt;0.01,BV46=0,EQ46+ER46+ES46+ET46&lt;100),0,IF(AU46=3,CM46*0.08,IF(AU46=2,CM46*0.1,0)))))))))))))))))))))))))))))</f>
        <v>0</v>
      </c>
      <c r="CO46" s="660">
        <f t="shared" si="47"/>
        <v>0</v>
      </c>
      <c r="CP46" s="475" t="str">
        <f t="shared" si="48"/>
        <v/>
      </c>
      <c r="CQ46" s="161" t="str">
        <f>IF(AH46=0,0,IF(AU46=5,0,Summary!AC49))</f>
        <v/>
      </c>
      <c r="CR46" s="161" t="str">
        <f>IF(BF46=0.5,0,IF(AU46=5,0,Summary!AD49))</f>
        <v/>
      </c>
      <c r="CS46" s="161" t="str">
        <f>IF(AU46=5,0,Summary!AE49)</f>
        <v/>
      </c>
      <c r="CT46" s="161">
        <f t="shared" si="49"/>
        <v>0</v>
      </c>
      <c r="CU46" s="475" t="str">
        <f t="shared" si="7"/>
        <v/>
      </c>
      <c r="CV46" s="307">
        <f>IF('Data Entry'!$C$74=0,0,IF(AA46&lt;1,0,IF(ISERROR(CU46),0,IF(CF46=1,0,IF(AND(R46=12,BR46=50),0,IF(CL46+BO46+BV46+DC46=0,0,IF(BC46=37,0,IF(AND(BC46=40,AJ46=0),0,IF(AND(BC46=37,BO46&gt;0.01,BQ46&gt;0.01),ROUND(BQ46,0),IF(CM46&lt;0,0,ROUND(CM46,0)))))))))))</f>
        <v>0</v>
      </c>
      <c r="CW46" s="700">
        <f t="shared" si="50"/>
        <v>0</v>
      </c>
      <c r="CX46" s="477">
        <f>IF('Data Entry'!$C$74=0,0,IF(CV46&lt;0.01,0,IF(BF46=0.5,0,IF(CF46=1,0,IF(ISNUMBER(SEARCH("false",CL46)),0,IF(AZ46=500,0,CL46))))))</f>
        <v>0</v>
      </c>
      <c r="CY46" s="147" t="e">
        <f t="shared" si="51"/>
        <v>#VALUE!</v>
      </c>
      <c r="CZ46" s="147" t="b">
        <f>IF(CN46+CL46=0,FALSE,IF(AH46=0,0,IF(AND('Data Entry'!$C$74=1,CR46&gt;=1),TRUE,IF(AND('Data Entry'!$C$74=2,CS46&gt;=1),TRUE,FALSE))))</f>
        <v>0</v>
      </c>
      <c r="DA46" s="1751">
        <f>IF('Data Entry'!$C$74=0,0,IFERROR(ROUND(IF(T46="","",IF($X$4=0,0,IF(CF46=1,0,IF(BQ46+CV46=0,0,IF(CF46=1,0,IF(CY46&gt;0.01,CY46,IF(CL46&gt;0.01,CL46,IF(CY46&gt;0.01,CY46,IF(BC46=37,BO46,IF(CZ46=FALSE,0,IF(CZ46=TRUE,DC46+DF46,0))))))))))),2),""))</f>
        <v>0</v>
      </c>
      <c r="DB46" s="1752"/>
      <c r="DC46" s="474">
        <f>IF(CN46&lt;0.01,0,IF(AND(BR46=3,CN46&gt;0.01,CT46&gt;0.6,ER46+ES46+ET46&lt;100),0,IF(AND('Data Entry'!$C$74=1,CN46&gt;0.01,CR46&gt;0.99),MIN(CN46:CO46),IF(AND('Data Entry'!$C$74=2,CN46&gt;0.01,CS46&gt;0.99),MIN(CN46:CO46),0))))</f>
        <v>0</v>
      </c>
      <c r="DD46" s="478">
        <f>IF(CF46=1,"Selection does not match",IF(T46=0,0,IF(AND('Data Entry'!$C$74=0,CP46&gt;1),"Select Oregon or Idaho on Data Entry Tab",IF(AND(AU46=1,AA46&gt;0.9),"Missing Interior or Exterior Selection",IF($X$4=0,"Enter Total Project Cost",IF(AQ46&lt;AR46,"Insufficient kWh savings – no incentive",IF(AND(SUM(CL46+CK46+BV46)&gt;0.01,'Data Entry'!$C$74=2,CJ46&gt;1,BO46=0),"Submit Control as Non-Standard",IF(AND('Data Entry'!$C$74=2,BR46=37,CJ46&gt;1,BO46=0),"Submit Control as Non-Standard",IF(SUM(CL46+CK46+BV46)&gt;0.01,"Standard Incentive",IF(AND('Data Entry'!$C$74=2,CP46=7,CN46=0),"Submit as Non-Standard",IF(DC46&gt;0.9,"Non-Standard Incentive",IF(AND(BY46+BZ46+CA46&gt;0.01,BV46=0,EQ46=0,ER46=0,ES46=0,ET46=0),"Scroll Right &amp; Select Control Strategies",IF(AND(CN46&gt;0.01,CO46=0),"Enter Unit Installed Cost",IF(ISNUMBER(SEARCH("Lighting Controls Only",F46)),"Lighting Controls Only",IF(CL46+DC46=0,"Does not meet incentive criteria",0)))))))))))))))</f>
        <v>0</v>
      </c>
      <c r="DE46" s="337">
        <f t="shared" si="52"/>
        <v>0</v>
      </c>
      <c r="DF46" s="609">
        <f t="shared" si="53"/>
        <v>0</v>
      </c>
      <c r="DG46" s="336" t="str">
        <f t="shared" si="54"/>
        <v/>
      </c>
      <c r="DH46" s="338">
        <f t="shared" si="55"/>
        <v>1</v>
      </c>
      <c r="DI46" s="336" t="e">
        <f t="shared" si="8"/>
        <v>#VALUE!</v>
      </c>
      <c r="DJ46" s="338">
        <f t="shared" si="9"/>
        <v>0</v>
      </c>
      <c r="DK46" s="325" t="s">
        <v>145</v>
      </c>
      <c r="DL46" s="341">
        <v>176</v>
      </c>
      <c r="DM46" s="325" t="s">
        <v>118</v>
      </c>
      <c r="DN46" s="1439">
        <v>8</v>
      </c>
      <c r="DO46" s="1444" t="s">
        <v>1782</v>
      </c>
      <c r="DP46" s="332"/>
      <c r="DQ46" s="331"/>
      <c r="DR46" s="1332"/>
      <c r="DS46" s="1434">
        <f t="shared" si="56"/>
        <v>0</v>
      </c>
      <c r="DT46" s="344" t="b">
        <f t="shared" si="57"/>
        <v>1</v>
      </c>
      <c r="DU46" s="1314" t="str">
        <f t="array" ref="DU46">IF(OR(COUNTIF(F46,"*"&amp;$DK$9:$DK$178&amp;"*")), "Yes", "")</f>
        <v/>
      </c>
      <c r="DV46" s="1314">
        <f t="shared" si="58"/>
        <v>0</v>
      </c>
      <c r="DW46" s="1480">
        <f t="shared" si="59"/>
        <v>0</v>
      </c>
      <c r="DX46" s="1498">
        <f t="shared" si="71"/>
        <v>0</v>
      </c>
      <c r="DY46" s="1484">
        <f t="shared" si="60"/>
        <v>0</v>
      </c>
      <c r="DZ46" s="1481" t="s">
        <v>1134</v>
      </c>
      <c r="EA46" s="881">
        <f>'Product Type'!E48</f>
        <v>0</v>
      </c>
      <c r="EB46" s="1499" t="s">
        <v>1562</v>
      </c>
      <c r="EC46" s="727" t="s">
        <v>1568</v>
      </c>
      <c r="ED46" s="728">
        <v>0.5</v>
      </c>
      <c r="EE46" s="1215"/>
      <c r="EF46" s="1215"/>
      <c r="EG46" s="1184" t="str">
        <f t="shared" si="61"/>
        <v/>
      </c>
      <c r="EH46" s="5"/>
      <c r="EI46" s="55"/>
      <c r="EJ46" s="1185">
        <f t="shared" si="10"/>
        <v>0</v>
      </c>
      <c r="EK46" s="1211"/>
      <c r="EL46" s="1180">
        <f t="shared" si="72"/>
        <v>0</v>
      </c>
      <c r="EM46" s="207"/>
      <c r="EN46" s="1038"/>
      <c r="EO46" s="1038"/>
      <c r="EP46" s="1038"/>
      <c r="EQ46" s="1038">
        <f t="shared" si="62"/>
        <v>0</v>
      </c>
      <c r="ER46" s="1041">
        <f t="shared" si="75"/>
        <v>0</v>
      </c>
      <c r="ES46" s="1042">
        <f t="shared" si="63"/>
        <v>0</v>
      </c>
      <c r="ET46" s="1042">
        <f t="shared" si="73"/>
        <v>0</v>
      </c>
      <c r="EU46" s="1021">
        <f t="shared" si="74"/>
        <v>0</v>
      </c>
      <c r="EV46" s="368"/>
      <c r="EW46" s="368"/>
      <c r="EX46" s="369"/>
      <c r="EY46" s="370"/>
      <c r="EZ46" s="370"/>
      <c r="FA46" s="371"/>
      <c r="FB46" s="372"/>
    </row>
    <row r="47" spans="1:158" ht="34.5" customHeight="1">
      <c r="A47" s="82">
        <v>39</v>
      </c>
      <c r="B47" s="1725"/>
      <c r="C47" s="1726"/>
      <c r="D47" s="1726"/>
      <c r="E47" s="1727"/>
      <c r="F47" s="1732"/>
      <c r="G47" s="1733"/>
      <c r="H47" s="1733"/>
      <c r="I47" s="1734"/>
      <c r="J47" s="1341"/>
      <c r="K47" s="1728"/>
      <c r="L47" s="1728"/>
      <c r="M47" s="1342"/>
      <c r="N47" s="1583"/>
      <c r="O47" s="208" t="str">
        <f t="shared" si="11"/>
        <v/>
      </c>
      <c r="P47" s="785"/>
      <c r="Q47" s="39" t="str">
        <f t="shared" si="0"/>
        <v/>
      </c>
      <c r="R47" s="39">
        <f t="shared" si="12"/>
        <v>0</v>
      </c>
      <c r="S47" s="234">
        <f t="shared" si="13"/>
        <v>0</v>
      </c>
      <c r="T47" s="1755"/>
      <c r="U47" s="1755"/>
      <c r="V47" s="1755"/>
      <c r="W47" s="1345"/>
      <c r="X47" s="1756"/>
      <c r="Y47" s="1742"/>
      <c r="Z47" s="1346"/>
      <c r="AA47" s="1343"/>
      <c r="AB47" s="1141"/>
      <c r="AC47" s="1103" t="str">
        <f>IF(T47="","",VLOOKUP(Z47,Lists!$A$60:$B$111,2,FALSE))</f>
        <v/>
      </c>
      <c r="AD47" s="130" t="str">
        <f t="shared" si="14"/>
        <v/>
      </c>
      <c r="AE47" s="130" t="e">
        <f t="shared" si="15"/>
        <v>#VALUE!</v>
      </c>
      <c r="AF47" s="130">
        <f t="shared" si="16"/>
        <v>1</v>
      </c>
      <c r="AG47" s="234">
        <f t="shared" si="1"/>
        <v>0</v>
      </c>
      <c r="AH47" s="1753" t="str">
        <f>IF(T47="","",(IF(ISNUMBER(SEARCH("exit",T47)),8760,IF(AND(M47="Dusk to Dawn",'Proposed Lighting'!AU47=3),4059,IF(AND(AU47=3,M47="1"),0,IF(AND(AU47=3,M47="1-C"),0,IF(AND(AU47=3,M47="2"),0,IF(AND(AU47=3,M47="2-C"),0,IF(AND(AU47=3,M47="3"),0,IF(AND(AU47=3,M47="3-C"),0,IF(AND(AU47=2,M47="Dusk to Dawn"),0,IF(AND(AU47=2,M47="Dusk to Dawn-C"),0,IF(AND(AU47=2,M47="Dusk to Dawn"),0,IF(AND(AU47=2,M47="E"),0,IF(AND(AU47=2,M47="E-C"),0,EG47)))))))))))))))</f>
        <v/>
      </c>
      <c r="AI47" s="1754"/>
      <c r="AJ47" s="1136"/>
      <c r="AK47" s="1136"/>
      <c r="AL47" s="1748">
        <f t="shared" si="64"/>
        <v>0</v>
      </c>
      <c r="AM47" s="1749"/>
      <c r="AN47" s="1750"/>
      <c r="AO47" s="476">
        <f t="shared" si="2"/>
        <v>0</v>
      </c>
      <c r="AP47" s="476">
        <f t="shared" si="17"/>
        <v>0</v>
      </c>
      <c r="AQ47" s="475">
        <f t="shared" si="3"/>
        <v>0</v>
      </c>
      <c r="AR47" s="475">
        <f t="shared" si="18"/>
        <v>0</v>
      </c>
      <c r="AS47" s="743" t="str">
        <f t="shared" si="79"/>
        <v/>
      </c>
      <c r="AT47" s="736" t="str">
        <f t="shared" si="20"/>
        <v/>
      </c>
      <c r="AU47" s="56">
        <f t="shared" si="21"/>
        <v>1</v>
      </c>
      <c r="AV47" s="476">
        <f t="shared" si="22"/>
        <v>0</v>
      </c>
      <c r="AW47" s="56">
        <f t="shared" si="23"/>
        <v>0</v>
      </c>
      <c r="AX47" s="475">
        <f t="shared" si="65"/>
        <v>0</v>
      </c>
      <c r="AY47" s="1169">
        <f t="shared" si="66"/>
        <v>0</v>
      </c>
      <c r="AZ47" s="1150">
        <f t="shared" si="67"/>
        <v>0</v>
      </c>
      <c r="BA47" s="56">
        <f t="shared" si="68"/>
        <v>0</v>
      </c>
      <c r="BB47" s="420">
        <f t="shared" si="4"/>
        <v>0</v>
      </c>
      <c r="BC47" s="58" t="str">
        <f t="shared" si="5"/>
        <v/>
      </c>
      <c r="BD47" s="660">
        <f t="shared" si="69"/>
        <v>0</v>
      </c>
      <c r="BE47" s="57" t="e">
        <f t="array" ref="BE47">INDEX($EB$11:$ED$1022,MATCH(F47&amp;T47,$EB$11:$EB$1007&amp;$EC$11:$EC$1007,0),3)</f>
        <v>#N/A</v>
      </c>
      <c r="BF47" s="463">
        <f t="shared" si="24"/>
        <v>0</v>
      </c>
      <c r="BG47" s="1445" t="e">
        <f t="array" ref="BG47">INDEX($DO$112:$DQ$123,MATCH(T47&amp;W47,$DO$114:$DO$125&amp;$DP$112:$DP$123,0),3)</f>
        <v>#N/A</v>
      </c>
      <c r="BH47" s="1446">
        <f t="shared" si="25"/>
        <v>0</v>
      </c>
      <c r="BI47" s="465">
        <f t="shared" si="26"/>
        <v>0</v>
      </c>
      <c r="BJ47" s="465">
        <f t="shared" si="27"/>
        <v>0</v>
      </c>
      <c r="BK47" s="466">
        <f t="shared" si="28"/>
        <v>0</v>
      </c>
      <c r="BL47" s="466">
        <f t="shared" si="29"/>
        <v>0</v>
      </c>
      <c r="BM47" s="466">
        <f t="shared" si="30"/>
        <v>0</v>
      </c>
      <c r="BN47" s="466">
        <f t="shared" si="31"/>
        <v>0</v>
      </c>
      <c r="BO47" s="463">
        <f>IF('Data Entry'!$C$74=0,0,IF(ISNA(CJ47),0,IF(AX47=0,0,IF(AND('Data Entry'!$C$74=2,AF47&gt;2,CE47&lt;1),0,IF(AND('Data Entry'!$C$74=2,AF47&gt;1,AU47=2,CJ47&gt;1),0,IF(AND(AF47=5,CT47=0.5,AU47=2,ER47&lt;100),0,IF(AND(AF47=5,CT47=0.5,AU47=3,ER47&lt;100),0,IF(AND('Data Entry'!$C$74=2,AF47=2,AU47=2,AK47&gt;0.01,CB47=2,CE47&lt;1),0,IF(AND('Data Entry'!$C$74=2,AF47=3,AU47=3,AK47&gt;0.01,CB47=3,CE47&lt;1),0,IF(AND('Data Entry'!$C$74=2,AF47=3,AU47=3,AK47&gt;0.01,CB47=3,CE47&gt;0.99),BQ47*0.08,IF(AND('Data Entry'!$C$74=2,AF47=2,AU47=2,AK47&gt;0.01,CB47=2,CE47&gt;0.99),BQ47*0.1,IF(AND(AU47=2,AK47&gt;0.01,CB47=2,CD47&gt;1),BQ47*0.1,IF(AND(AU47=3,AK47&gt;0.01,CB47=3,CD47&gt;1),BQ47*0.08,CJ47*EF47)))))))))))))</f>
        <v>0</v>
      </c>
      <c r="BP47" s="475">
        <f t="shared" si="32"/>
        <v>0</v>
      </c>
      <c r="BQ47" s="1431">
        <f>IF(AU47=1,0,IF(CH47=100,0,IF(AND(AF47=3,AU47=2),0,IF(AND(BH47=0,CT47&gt;0.4),0,IF(AND('Data Entry'!$C$74=2,AF47=1.5),0,IF(AND('Data Entry'!$C$74=2,AF47=1.6),0,IF(AND('Data Entry'!$C$74=2,AF47=4),0,IF(AND('Data Entry'!$C$74=2,AF47=5),0,IF(AND('Data Entry'!$C$74=2,AF47=2.5,CE47&lt;1),0,IF(AND('Data Entry'!$C$74=2,AF47=3,CE47&lt;1),0,IF(AND('Data Entry'!$C$74=1,AF47=2.5,CD47&lt;1),0,IF(AND('Data Entry'!$C$74=1,AF47=3,CD47&lt;1),0,IF(DX47&gt;0.01,DX47,IF(ISERROR(AX47-AY47),"",ROUND(AX47-AY47,2)))))))))))))))</f>
        <v>0</v>
      </c>
      <c r="BR47" s="146">
        <f t="shared" si="33"/>
        <v>0</v>
      </c>
      <c r="BS47" s="475">
        <f t="shared" si="34"/>
        <v>0</v>
      </c>
      <c r="BT47" s="146" t="b">
        <f t="shared" si="35"/>
        <v>0</v>
      </c>
      <c r="BU47" s="463">
        <f>IF(ISNA(AT47),0,IF(AND('Data Entry'!$C$74=2,BC47=27),0,IF(AND('Data Entry'!$C$74=2,BC47=28),0,IF(AND(BC47=27,BT47=27,CM47&gt;0.1),CM47*0.15,IF(AND(BC47=28,BT47=28,CM47&gt;0.1),CM47*0.12,0)))))</f>
        <v>0</v>
      </c>
      <c r="BV47" s="463">
        <f t="shared" si="78"/>
        <v>0</v>
      </c>
      <c r="BW47" s="463">
        <f t="shared" si="37"/>
        <v>0</v>
      </c>
      <c r="BX47" s="463">
        <f t="shared" si="38"/>
        <v>0</v>
      </c>
      <c r="BY47" s="463">
        <f t="shared" si="39"/>
        <v>0</v>
      </c>
      <c r="BZ47" s="463">
        <f t="shared" si="40"/>
        <v>0</v>
      </c>
      <c r="CA47" s="57">
        <f t="shared" si="70"/>
        <v>0</v>
      </c>
      <c r="CB47" s="56">
        <f t="shared" si="41"/>
        <v>1</v>
      </c>
      <c r="CC47" s="756">
        <f>IF(EE47=0,0,IF(EF47=0,0,IF(EE47&gt;AA47,0,IF(AND(AZ47&gt;AW47,AW47&gt;0),0,IF(CU47=0,0,Summary!AC350)))))</f>
        <v>0</v>
      </c>
      <c r="CD47" s="756">
        <f>IF(EE47=0,0,IF(EF47=0,0,IF(EE47&gt;AA47,0,IF(AND(AZ47&gt;AW47,AW47&gt;0),0,IF(CU47=0,0,Summary!AD350)))))</f>
        <v>0</v>
      </c>
      <c r="CE47" s="756">
        <f>IF(EF47=0,0,IF(EE47&gt;AA47,0,IF(CC47=0,0,IF(AND(AZ47&gt;AW47,AW47&gt;0),0,IF(CU47=0,0,Summary!AE350)))))</f>
        <v>0</v>
      </c>
      <c r="CF47" s="475">
        <f t="shared" si="42"/>
        <v>0</v>
      </c>
      <c r="CG47" s="476">
        <f t="shared" si="6"/>
        <v>0</v>
      </c>
      <c r="CH47" s="487">
        <f t="shared" si="43"/>
        <v>0</v>
      </c>
      <c r="CI47" s="756">
        <f t="shared" si="44"/>
        <v>0</v>
      </c>
      <c r="CJ47" s="487">
        <f>IF(CT47&gt;0.4,0,IF(AND(AU47=2,CH47=0,CT47=0.5,ER47=100),35,IF(AND(AU47=3,BB47&gt;75,CH47=0,CT47=0.5,ER47=100),25,IF(CB47&gt;1,0,IF(EF47&gt;EE47,0,IF(AND(AF47&gt;1,CH47=100),0,IF(AND(AF47=1,AY47=0),0,IF(AND(EF47&lt;=EE47,AW47&gt;=AZ47,'Data Entry'!$C$74=1,AU47=2),VLOOKUP(W47,$DO$96:$DP$102,2,FALSE),IF(AND(EF47&lt;=EE47,AW47&gt;=AZ47,AU47=3,'Data Entry'!$C$74=1),VLOOKUP(W47,$DO$127:$DP$134,2,FALSE))))))))))</f>
        <v>0</v>
      </c>
      <c r="CK47" s="716">
        <f t="shared" si="45"/>
        <v>0</v>
      </c>
      <c r="CL47" s="57">
        <f t="shared" si="46"/>
        <v>0</v>
      </c>
      <c r="CM47" s="475">
        <f t="shared" si="77"/>
        <v>0</v>
      </c>
      <c r="CN47" s="660">
        <f>IF(CM47&lt;0.1,0,IF(ISNA(AT47),0,IF(CL47+BC47=1,0,IF(BV47&gt;0.01,0,IF(CL47&gt;0.01,0,IF(CF47=1,0,IF(BC47=0.5,0,IF(AND(CI47=1,AU47=3),0,IF(AND(CI47=5,CL47=0),0,IF(AND(R47=12,BR47=50),0,IF(CK47&gt;0.01,0,IF(AND(AJ47&gt;0.01,AU47=2,BC47=15),CM47*0.1,IF(AND(AJ47&gt;0.01,AU47=3,BC47=15),CM47*0.08,IF(AND(R47=12,BC47=3,AF47&lt;=0),0,IF(AND(BC47=15,BI47=0),0,IF(AND(BC47=15,BJ47=0),0,IF(AND(R47=20,CU47=0),0,IF($X$4=0,0,IF(AND(BC47=250,CL47=0),0,IF(AA47&lt;1,0,IF(AND(ISNUMBER(SEARCH("Area",T47)),AU47=3),0,IF(AND(AQ47&gt;0.01,AR47=0,BK47=0,BL47=0,BM47=0,BN47=0),0,IF(AND(AU47=3,CI47=7,CT47&gt;0.5),0,IF(AND(BC47=44,AU47=3,BY47=0),0,IF(AND(BC47=27,'Data Entry'!$C$74=2),0,IF(AND(BC47=28,'Data Entry'!$C$74=2),0,IF(AND(BY47+BZ47+CA47&gt;0.01,BV47=0,EQ47+ER47+ES47+ET47&lt;100),0,IF(AU47=3,CM47*0.08,IF(AU47=2,CM47*0.1,0)))))))))))))))))))))))))))))</f>
        <v>0</v>
      </c>
      <c r="CO47" s="660">
        <f t="shared" si="47"/>
        <v>0</v>
      </c>
      <c r="CP47" s="475" t="str">
        <f t="shared" si="48"/>
        <v/>
      </c>
      <c r="CQ47" s="161" t="str">
        <f>IF(AH47=0,0,IF(AU47=5,0,Summary!AC50))</f>
        <v/>
      </c>
      <c r="CR47" s="161" t="str">
        <f>IF(BF47=0.5,0,IF(AU47=5,0,Summary!AD50))</f>
        <v/>
      </c>
      <c r="CS47" s="161" t="str">
        <f>IF(AU47=5,0,Summary!AE50)</f>
        <v/>
      </c>
      <c r="CT47" s="161">
        <f t="shared" si="49"/>
        <v>0</v>
      </c>
      <c r="CU47" s="475" t="str">
        <f t="shared" si="7"/>
        <v/>
      </c>
      <c r="CV47" s="307">
        <f>IF('Data Entry'!$C$74=0,0,IF(AA47&lt;1,0,IF(ISERROR(CU47),0,IF(CF47=1,0,IF(AND(R47=12,BR47=50),0,IF(CL47+BO47+BV47+DC47=0,0,IF(BC47=37,0,IF(AND(BC47=40,AJ47=0),0,IF(AND(BC47=37,BO47&gt;0.01,BQ47&gt;0.01),ROUND(BQ47,0),IF(CM47&lt;0,0,ROUND(CM47,0)))))))))))</f>
        <v>0</v>
      </c>
      <c r="CW47" s="700">
        <f t="shared" si="50"/>
        <v>0</v>
      </c>
      <c r="CX47" s="477">
        <f>IF('Data Entry'!$C$74=0,0,IF(CV47&lt;0.01,0,IF(BF47=0.5,0,IF(CF47=1,0,IF(ISNUMBER(SEARCH("false",CL47)),0,IF(AZ47=500,0,CL47))))))</f>
        <v>0</v>
      </c>
      <c r="CY47" s="147" t="e">
        <f t="shared" si="51"/>
        <v>#VALUE!</v>
      </c>
      <c r="CZ47" s="147" t="b">
        <f>IF(CN47+CL47=0,FALSE,IF(AH47=0,0,IF(AND('Data Entry'!$C$74=1,CR47&gt;=1),TRUE,IF(AND('Data Entry'!$C$74=2,CS47&gt;=1),TRUE,FALSE))))</f>
        <v>0</v>
      </c>
      <c r="DA47" s="1751">
        <f>IF('Data Entry'!$C$74=0,0,IFERROR(ROUND(IF(T47="","",IF($X$4=0,0,IF(CF47=1,0,IF(BQ47+CV47=0,0,IF(CF47=1,0,IF(CY47&gt;0.01,CY47,IF(CL47&gt;0.01,CL47,IF(CY47&gt;0.01,CY47,IF(BC47=37,BO47,IF(CZ47=FALSE,0,IF(CZ47=TRUE,DC47+DF47,0))))))))))),2),""))</f>
        <v>0</v>
      </c>
      <c r="DB47" s="1752"/>
      <c r="DC47" s="474">
        <f>IF(CN47&lt;0.01,0,IF(AND(BR47=3,CN47&gt;0.01,CT47&gt;0.6,ER47+ES47+ET47&lt;100),0,IF(AND('Data Entry'!$C$74=1,CN47&gt;0.01,CR47&gt;0.99),MIN(CN47:CO47),IF(AND('Data Entry'!$C$74=2,CN47&gt;0.01,CS47&gt;0.99),MIN(CN47:CO47),0))))</f>
        <v>0</v>
      </c>
      <c r="DD47" s="478">
        <f>IF(CF47=1,"Selection does not match",IF(T47=0,0,IF(AND('Data Entry'!$C$74=0,CP47&gt;1),"Select Oregon or Idaho on Data Entry Tab",IF(AND(AU47=1,AA47&gt;0.9),"Missing Interior or Exterior Selection",IF($X$4=0,"Enter Total Project Cost",IF(AQ47&lt;AR47,"Insufficient kWh savings – no incentive",IF(AND(SUM(CL47+CK47+BV47)&gt;0.01,'Data Entry'!$C$74=2,CJ47&gt;1,BO47=0),"Submit Control as Non-Standard",IF(AND('Data Entry'!$C$74=2,BR47=37,CJ47&gt;1,BO47=0),"Submit Control as Non-Standard",IF(SUM(CL47+CK47+BV47)&gt;0.01,"Standard Incentive",IF(AND('Data Entry'!$C$74=2,CP47=7,CN47=0),"Submit as Non-Standard",IF(DC47&gt;0.9,"Non-Standard Incentive",IF(AND(BY47+BZ47+CA47&gt;0.01,BV47=0,EQ47=0,ER47=0,ES47=0,ET47=0),"Scroll Right &amp; Select Control Strategies",IF(AND(CN47&gt;0.01,CO47=0),"Enter Unit Installed Cost",IF(ISNUMBER(SEARCH("Lighting Controls Only",F47)),"Lighting Controls Only",IF(CL47+DC47=0,"Does not meet incentive criteria",0)))))))))))))))</f>
        <v>0</v>
      </c>
      <c r="DE47" s="337">
        <f t="shared" si="52"/>
        <v>0</v>
      </c>
      <c r="DF47" s="609">
        <f t="shared" si="53"/>
        <v>0</v>
      </c>
      <c r="DG47" s="336" t="str">
        <f t="shared" si="54"/>
        <v/>
      </c>
      <c r="DH47" s="338">
        <f t="shared" si="55"/>
        <v>1</v>
      </c>
      <c r="DI47" s="336" t="e">
        <f t="shared" si="8"/>
        <v>#VALUE!</v>
      </c>
      <c r="DJ47" s="338">
        <f t="shared" si="9"/>
        <v>0</v>
      </c>
      <c r="DK47" s="325" t="s">
        <v>146</v>
      </c>
      <c r="DL47" s="341">
        <v>234</v>
      </c>
      <c r="DM47" s="325" t="s">
        <v>119</v>
      </c>
      <c r="DN47" s="1439">
        <v>16</v>
      </c>
      <c r="DO47" s="331"/>
      <c r="DP47" s="332"/>
      <c r="DQ47" s="331"/>
      <c r="DR47" s="1332"/>
      <c r="DS47" s="1434">
        <f t="shared" si="56"/>
        <v>0</v>
      </c>
      <c r="DT47" s="344" t="b">
        <f t="shared" si="57"/>
        <v>1</v>
      </c>
      <c r="DU47" s="1314" t="str">
        <f t="array" ref="DU47">IF(OR(COUNTIF(F47,"*"&amp;$DK$9:$DK$178&amp;"*")), "Yes", "")</f>
        <v/>
      </c>
      <c r="DV47" s="1314">
        <f t="shared" si="58"/>
        <v>0</v>
      </c>
      <c r="DW47" s="1480">
        <f t="shared" si="59"/>
        <v>0</v>
      </c>
      <c r="DX47" s="1498">
        <f t="shared" si="71"/>
        <v>0</v>
      </c>
      <c r="DY47" s="1484">
        <f t="shared" si="60"/>
        <v>0</v>
      </c>
      <c r="DZ47" s="1481" t="s">
        <v>1135</v>
      </c>
      <c r="EA47" s="881">
        <f>'Product Type'!E49</f>
        <v>0</v>
      </c>
      <c r="EB47" s="1499" t="s">
        <v>73</v>
      </c>
      <c r="EC47" s="727" t="s">
        <v>1568</v>
      </c>
      <c r="ED47" s="728">
        <v>0.5</v>
      </c>
      <c r="EE47" s="1215"/>
      <c r="EF47" s="1215"/>
      <c r="EG47" s="1184" t="str">
        <f t="shared" si="61"/>
        <v/>
      </c>
      <c r="EH47" s="5"/>
      <c r="EI47" s="55"/>
      <c r="EJ47" s="1185">
        <f t="shared" si="10"/>
        <v>0</v>
      </c>
      <c r="EK47" s="1211"/>
      <c r="EL47" s="1180">
        <f t="shared" si="72"/>
        <v>0</v>
      </c>
      <c r="EM47" s="207"/>
      <c r="EN47" s="1038"/>
      <c r="EO47" s="1038"/>
      <c r="EP47" s="1038"/>
      <c r="EQ47" s="1038">
        <f t="shared" si="62"/>
        <v>0</v>
      </c>
      <c r="ER47" s="1041">
        <f t="shared" si="75"/>
        <v>0</v>
      </c>
      <c r="ES47" s="1042">
        <f t="shared" si="63"/>
        <v>0</v>
      </c>
      <c r="ET47" s="1042">
        <f t="shared" si="73"/>
        <v>0</v>
      </c>
      <c r="EU47" s="1021">
        <f t="shared" si="74"/>
        <v>0</v>
      </c>
      <c r="EV47" s="368"/>
      <c r="EW47" s="368"/>
      <c r="EX47" s="369"/>
      <c r="EY47" s="370"/>
      <c r="EZ47" s="370"/>
      <c r="FA47" s="371"/>
      <c r="FB47" s="372"/>
    </row>
    <row r="48" spans="1:158" ht="34.5" customHeight="1">
      <c r="A48" s="82">
        <v>40</v>
      </c>
      <c r="B48" s="1725"/>
      <c r="C48" s="1726"/>
      <c r="D48" s="1726"/>
      <c r="E48" s="1727"/>
      <c r="F48" s="1732"/>
      <c r="G48" s="1733"/>
      <c r="H48" s="1733"/>
      <c r="I48" s="1734"/>
      <c r="J48" s="1341"/>
      <c r="K48" s="1728"/>
      <c r="L48" s="1728"/>
      <c r="M48" s="1342"/>
      <c r="N48" s="1583"/>
      <c r="O48" s="208" t="str">
        <f t="shared" si="11"/>
        <v/>
      </c>
      <c r="P48" s="785"/>
      <c r="Q48" s="39" t="str">
        <f t="shared" si="0"/>
        <v/>
      </c>
      <c r="R48" s="39">
        <f t="shared" si="12"/>
        <v>0</v>
      </c>
      <c r="S48" s="234">
        <f t="shared" si="13"/>
        <v>0</v>
      </c>
      <c r="T48" s="1755"/>
      <c r="U48" s="1755"/>
      <c r="V48" s="1755"/>
      <c r="W48" s="1345"/>
      <c r="X48" s="1741"/>
      <c r="Y48" s="1742"/>
      <c r="Z48" s="1346"/>
      <c r="AA48" s="1343"/>
      <c r="AB48" s="1141"/>
      <c r="AC48" s="1103" t="str">
        <f>IF(T48="","",VLOOKUP(Z48,Lists!$A$60:$B$111,2,FALSE))</f>
        <v/>
      </c>
      <c r="AD48" s="130" t="str">
        <f t="shared" si="14"/>
        <v/>
      </c>
      <c r="AE48" s="130" t="e">
        <f t="shared" si="15"/>
        <v>#VALUE!</v>
      </c>
      <c r="AF48" s="130">
        <f t="shared" si="16"/>
        <v>1</v>
      </c>
      <c r="AG48" s="234">
        <f t="shared" si="1"/>
        <v>0</v>
      </c>
      <c r="AH48" s="1753" t="str">
        <f>IF(T48="","",(IF(ISNUMBER(SEARCH("exit",T48)),8760,IF(AND(M48="Dusk to Dawn",'Proposed Lighting'!AU48=3),4059,IF(AND(AU48=3,M48="1"),0,IF(AND(AU48=3,M48="1-C"),0,IF(AND(AU48=3,M48="2"),0,IF(AND(AU48=3,M48="2-C"),0,IF(AND(AU48=3,M48="3"),0,IF(AND(AU48=3,M48="3-C"),0,IF(AND(AU48=2,M48="Dusk to Dawn"),0,IF(AND(AU48=2,M48="Dusk to Dawn-C"),0,IF(AND(AU48=2,M48="Dusk to Dawn"),0,IF(AND(AU48=2,M48="E"),0,IF(AND(AU48=2,M48="E-C"),0,EG48)))))))))))))))</f>
        <v/>
      </c>
      <c r="AI48" s="1754"/>
      <c r="AJ48" s="1136"/>
      <c r="AK48" s="1136"/>
      <c r="AL48" s="1748">
        <f t="shared" si="64"/>
        <v>0</v>
      </c>
      <c r="AM48" s="1749"/>
      <c r="AN48" s="1750"/>
      <c r="AO48" s="476">
        <f t="shared" si="2"/>
        <v>0</v>
      </c>
      <c r="AP48" s="476">
        <f t="shared" si="17"/>
        <v>0</v>
      </c>
      <c r="AQ48" s="475">
        <f t="shared" si="3"/>
        <v>0</v>
      </c>
      <c r="AR48" s="475">
        <f t="shared" si="18"/>
        <v>0</v>
      </c>
      <c r="AS48" s="743" t="str">
        <f t="shared" si="79"/>
        <v/>
      </c>
      <c r="AT48" s="736" t="str">
        <f t="shared" si="20"/>
        <v/>
      </c>
      <c r="AU48" s="56">
        <f t="shared" si="21"/>
        <v>1</v>
      </c>
      <c r="AV48" s="476">
        <f t="shared" si="22"/>
        <v>0</v>
      </c>
      <c r="AW48" s="56">
        <f t="shared" si="23"/>
        <v>0</v>
      </c>
      <c r="AX48" s="475">
        <f t="shared" si="65"/>
        <v>0</v>
      </c>
      <c r="AY48" s="1169">
        <f t="shared" si="66"/>
        <v>0</v>
      </c>
      <c r="AZ48" s="1150">
        <f t="shared" si="67"/>
        <v>0</v>
      </c>
      <c r="BA48" s="56">
        <f t="shared" si="68"/>
        <v>0</v>
      </c>
      <c r="BB48" s="420">
        <f t="shared" si="4"/>
        <v>0</v>
      </c>
      <c r="BC48" s="58" t="str">
        <f t="shared" si="5"/>
        <v/>
      </c>
      <c r="BD48" s="660">
        <f t="shared" si="69"/>
        <v>0</v>
      </c>
      <c r="BE48" s="57" t="e">
        <f t="array" ref="BE48">INDEX($EB$11:$ED$1022,MATCH(F48&amp;T48,$EB$11:$EB$1007&amp;$EC$11:$EC$1007,0),3)</f>
        <v>#N/A</v>
      </c>
      <c r="BF48" s="463">
        <f t="shared" si="24"/>
        <v>0</v>
      </c>
      <c r="BG48" s="1445" t="e">
        <f t="array" ref="BG48">INDEX($DO$112:$DQ$123,MATCH(T48&amp;W48,$DO$114:$DO$125&amp;$DP$112:$DP$123,0),3)</f>
        <v>#N/A</v>
      </c>
      <c r="BH48" s="1446">
        <f t="shared" si="25"/>
        <v>0</v>
      </c>
      <c r="BI48" s="465">
        <f t="shared" si="26"/>
        <v>0</v>
      </c>
      <c r="BJ48" s="465">
        <f t="shared" si="27"/>
        <v>0</v>
      </c>
      <c r="BK48" s="466">
        <f t="shared" si="28"/>
        <v>0</v>
      </c>
      <c r="BL48" s="466">
        <f t="shared" si="29"/>
        <v>0</v>
      </c>
      <c r="BM48" s="466">
        <f t="shared" si="30"/>
        <v>0</v>
      </c>
      <c r="BN48" s="466">
        <f t="shared" si="31"/>
        <v>0</v>
      </c>
      <c r="BO48" s="463">
        <f>IF('Data Entry'!$C$74=0,0,IF(ISNA(CJ48),0,IF(AX48=0,0,IF(AND('Data Entry'!$C$74=2,AF48&gt;2,CE48&lt;1),0,IF(AND('Data Entry'!$C$74=2,AF48&gt;1,AU48=2,CJ48&gt;1),0,IF(AND(AF48=5,CT48=0.5,AU48=2,ER48&lt;100),0,IF(AND(AF48=5,CT48=0.5,AU48=3,ER48&lt;100),0,IF(AND('Data Entry'!$C$74=2,AF48=2,AU48=2,AK48&gt;0.01,CB48=2,CE48&lt;1),0,IF(AND('Data Entry'!$C$74=2,AF48=3,AU48=3,AK48&gt;0.01,CB48=3,CE48&lt;1),0,IF(AND('Data Entry'!$C$74=2,AF48=3,AU48=3,AK48&gt;0.01,CB48=3,CE48&gt;0.99),BQ48*0.08,IF(AND('Data Entry'!$C$74=2,AF48=2,AU48=2,AK48&gt;0.01,CB48=2,CE48&gt;0.99),BQ48*0.1,IF(AND(AU48=2,AK48&gt;0.01,CB48=2,CD48&gt;1),BQ48*0.1,IF(AND(AU48=3,AK48&gt;0.01,CB48=3,CD48&gt;1),BQ48*0.08,CJ48*EF48)))))))))))))</f>
        <v>0</v>
      </c>
      <c r="BP48" s="475">
        <f t="shared" si="32"/>
        <v>0</v>
      </c>
      <c r="BQ48" s="1431">
        <f>IF(AU48=1,0,IF(CH48=100,0,IF(AND(AF48=3,AU48=2),0,IF(AND(BH48=0,CT48&gt;0.4),0,IF(AND('Data Entry'!$C$74=2,AF48=1.5),0,IF(AND('Data Entry'!$C$74=2,AF48=1.6),0,IF(AND('Data Entry'!$C$74=2,AF48=4),0,IF(AND('Data Entry'!$C$74=2,AF48=5),0,IF(AND('Data Entry'!$C$74=2,AF48=2.5,CE48&lt;1),0,IF(AND('Data Entry'!$C$74=2,AF48=3,CE48&lt;1),0,IF(AND('Data Entry'!$C$74=1,AF48=2.5,CD48&lt;1),0,IF(AND('Data Entry'!$C$74=1,AF48=3,CD48&lt;1),0,IF(DX48&gt;0.01,DX48,IF(ISERROR(AX48-AY48),"",ROUND(AX48-AY48,2)))))))))))))))</f>
        <v>0</v>
      </c>
      <c r="BR48" s="146">
        <f t="shared" si="33"/>
        <v>0</v>
      </c>
      <c r="BS48" s="475">
        <f t="shared" si="34"/>
        <v>0</v>
      </c>
      <c r="BT48" s="146" t="b">
        <f t="shared" si="35"/>
        <v>0</v>
      </c>
      <c r="BU48" s="463">
        <f>IF(ISNA(AT48),0,IF(AND('Data Entry'!$C$74=2,BC48=27),0,IF(AND('Data Entry'!$C$74=2,BC48=28),0,IF(AND(BC48=27,BT48=27,CM48&gt;0.1),CM48*0.15,IF(AND(BC48=28,BT48=28,CM48&gt;0.1),CM48*0.12,0)))))</f>
        <v>0</v>
      </c>
      <c r="BV48" s="463">
        <f t="shared" si="78"/>
        <v>0</v>
      </c>
      <c r="BW48" s="463">
        <f t="shared" si="37"/>
        <v>0</v>
      </c>
      <c r="BX48" s="463">
        <f t="shared" si="38"/>
        <v>0</v>
      </c>
      <c r="BY48" s="463">
        <f t="shared" si="39"/>
        <v>0</v>
      </c>
      <c r="BZ48" s="463">
        <f t="shared" si="40"/>
        <v>0</v>
      </c>
      <c r="CA48" s="57">
        <f t="shared" si="70"/>
        <v>0</v>
      </c>
      <c r="CB48" s="56">
        <f t="shared" si="41"/>
        <v>1</v>
      </c>
      <c r="CC48" s="756">
        <f>IF(EE48=0,0,IF(EF48=0,0,IF(EE48&gt;AA48,0,IF(AND(AZ48&gt;AW48,AW48&gt;0),0,IF(CU48=0,0,Summary!AC351)))))</f>
        <v>0</v>
      </c>
      <c r="CD48" s="756">
        <f>IF(EE48=0,0,IF(EF48=0,0,IF(EE48&gt;AA48,0,IF(AND(AZ48&gt;AW48,AW48&gt;0),0,IF(CU48=0,0,Summary!AD351)))))</f>
        <v>0</v>
      </c>
      <c r="CE48" s="756">
        <f>IF(EF48=0,0,IF(EE48&gt;AA48,0,IF(CC48=0,0,IF(AND(AZ48&gt;AW48,AW48&gt;0),0,IF(CU48=0,0,Summary!AE351)))))</f>
        <v>0</v>
      </c>
      <c r="CF48" s="475">
        <f t="shared" si="42"/>
        <v>0</v>
      </c>
      <c r="CG48" s="476">
        <f t="shared" si="6"/>
        <v>0</v>
      </c>
      <c r="CH48" s="487">
        <f t="shared" si="43"/>
        <v>0</v>
      </c>
      <c r="CI48" s="756">
        <f t="shared" si="44"/>
        <v>0</v>
      </c>
      <c r="CJ48" s="487">
        <f>IF(CT48&gt;0.4,0,IF(AND(AU48=2,CH48=0,CT48=0.5,ER48=100),35,IF(AND(AU48=3,BB48&gt;75,CH48=0,CT48=0.5,ER48=100),25,IF(CB48&gt;1,0,IF(EF48&gt;EE48,0,IF(AND(AF48&gt;1,CH48=100),0,IF(AND(AF48=1,AY48=0),0,IF(AND(EF48&lt;=EE48,AW48&gt;=AZ48,'Data Entry'!$C$74=1,AU48=2),VLOOKUP(W48,$DO$96:$DP$102,2,FALSE),IF(AND(EF48&lt;=EE48,AW48&gt;=AZ48,AU48=3,'Data Entry'!$C$74=1),VLOOKUP(W48,$DO$127:$DP$134,2,FALSE))))))))))</f>
        <v>0</v>
      </c>
      <c r="CK48" s="716">
        <f t="shared" si="45"/>
        <v>0</v>
      </c>
      <c r="CL48" s="57">
        <f t="shared" si="46"/>
        <v>0</v>
      </c>
      <c r="CM48" s="475">
        <f t="shared" si="77"/>
        <v>0</v>
      </c>
      <c r="CN48" s="660">
        <f>IF(CM48&lt;0.1,0,IF(ISNA(AT48),0,IF(CL48+BC48=1,0,IF(BV48&gt;0.01,0,IF(CL48&gt;0.01,0,IF(CF48=1,0,IF(BC48=0.5,0,IF(AND(CI48=1,AU48=3),0,IF(AND(CI48=5,CL48=0),0,IF(AND(R48=12,BR48=50),0,IF(CK48&gt;0.01,0,IF(AND(AJ48&gt;0.01,AU48=2,BC48=15),CM48*0.1,IF(AND(AJ48&gt;0.01,AU48=3,BC48=15),CM48*0.08,IF(AND(R48=12,BC48=3,AF48&lt;=0),0,IF(AND(BC48=15,BI48=0),0,IF(AND(BC48=15,BJ48=0),0,IF(AND(R48=20,CU48=0),0,IF($X$4=0,0,IF(AND(BC48=250,CL48=0),0,IF(AA48&lt;1,0,IF(AND(ISNUMBER(SEARCH("Area",T48)),AU48=3),0,IF(AND(AQ48&gt;0.01,AR48=0,BK48=0,BL48=0,BM48=0,BN48=0),0,IF(AND(AU48=3,CI48=7,CT48&gt;0.5),0,IF(AND(BC48=44,AU48=3,BY48=0),0,IF(AND(BC48=27,'Data Entry'!$C$74=2),0,IF(AND(BC48=28,'Data Entry'!$C$74=2),0,IF(AND(BY48+BZ48+CA48&gt;0.01,BV48=0,EQ48+ER48+ES48+ET48&lt;100),0,IF(AU48=3,CM48*0.08,IF(AU48=2,CM48*0.1,0)))))))))))))))))))))))))))))</f>
        <v>0</v>
      </c>
      <c r="CO48" s="660">
        <f t="shared" si="47"/>
        <v>0</v>
      </c>
      <c r="CP48" s="475" t="str">
        <f t="shared" si="48"/>
        <v/>
      </c>
      <c r="CQ48" s="161" t="str">
        <f>IF(AH48=0,0,IF(AU48=5,0,Summary!AC51))</f>
        <v/>
      </c>
      <c r="CR48" s="161" t="str">
        <f>IF(BF48=0.5,0,IF(AU48=5,0,Summary!AD51))</f>
        <v/>
      </c>
      <c r="CS48" s="161" t="str">
        <f>IF(AU48=5,0,Summary!AE51)</f>
        <v/>
      </c>
      <c r="CT48" s="161">
        <f t="shared" si="49"/>
        <v>0</v>
      </c>
      <c r="CU48" s="475" t="str">
        <f t="shared" si="7"/>
        <v/>
      </c>
      <c r="CV48" s="307">
        <f>IF('Data Entry'!$C$74=0,0,IF(AA48&lt;1,0,IF(ISERROR(CU48),0,IF(CF48=1,0,IF(AND(R48=12,BR48=50),0,IF(CL48+BO48+BV48+DC48=0,0,IF(BC48=37,0,IF(AND(BC48=40,AJ48=0),0,IF(AND(BC48=37,BO48&gt;0.01,BQ48&gt;0.01),ROUND(BQ48,0),IF(CM48&lt;0,0,ROUND(CM48,0)))))))))))</f>
        <v>0</v>
      </c>
      <c r="CW48" s="700">
        <f t="shared" si="50"/>
        <v>0</v>
      </c>
      <c r="CX48" s="477">
        <f>IF('Data Entry'!$C$74=0,0,IF(CV48&lt;0.01,0,IF(BF48=0.5,0,IF(CF48=1,0,IF(ISNUMBER(SEARCH("false",CL48)),0,IF(AZ48=500,0,CL48))))))</f>
        <v>0</v>
      </c>
      <c r="CY48" s="147" t="e">
        <f t="shared" si="51"/>
        <v>#VALUE!</v>
      </c>
      <c r="CZ48" s="147" t="b">
        <f>IF(CN48+CL48=0,FALSE,IF(AH48=0,0,IF(AND('Data Entry'!$C$74=1,CR48&gt;=1),TRUE,IF(AND('Data Entry'!$C$74=2,CS48&gt;=1),TRUE,FALSE))))</f>
        <v>0</v>
      </c>
      <c r="DA48" s="1751">
        <f>IF('Data Entry'!$C$74=0,0,IFERROR(ROUND(IF(T48="","",IF($X$4=0,0,IF(CF48=1,0,IF(BQ48+CV48=0,0,IF(CF48=1,0,IF(CY48&gt;0.01,CY48,IF(CL48&gt;0.01,CL48,IF(CY48&gt;0.01,CY48,IF(BC48=37,BO48,IF(CZ48=FALSE,0,IF(CZ48=TRUE,DC48+DF48,0))))))))))),2),""))</f>
        <v>0</v>
      </c>
      <c r="DB48" s="1752"/>
      <c r="DC48" s="474">
        <f>IF(CN48&lt;0.01,0,IF(AND(BR48=3,CN48&gt;0.01,CT48&gt;0.6,ER48+ES48+ET48&lt;100),0,IF(AND('Data Entry'!$C$74=1,CN48&gt;0.01,CR48&gt;0.99),MIN(CN48:CO48),IF(AND('Data Entry'!$C$74=2,CN48&gt;0.01,CS48&gt;0.99),MIN(CN48:CO48),0))))</f>
        <v>0</v>
      </c>
      <c r="DD48" s="478">
        <f>IF(CF48=1,"Selection does not match",IF(T48=0,0,IF(AND('Data Entry'!$C$74=0,CP48&gt;1),"Select Oregon or Idaho on Data Entry Tab",IF(AND(AU48=1,AA48&gt;0.9),"Missing Interior or Exterior Selection",IF($X$4=0,"Enter Total Project Cost",IF(AQ48&lt;AR48,"Insufficient kWh savings – no incentive",IF(AND(SUM(CL48+CK48+BV48)&gt;0.01,'Data Entry'!$C$74=2,CJ48&gt;1,BO48=0),"Submit Control as Non-Standard",IF(AND('Data Entry'!$C$74=2,BR48=37,CJ48&gt;1,BO48=0),"Submit Control as Non-Standard",IF(SUM(CL48+CK48+BV48)&gt;0.01,"Standard Incentive",IF(AND('Data Entry'!$C$74=2,CP48=7,CN48=0),"Submit as Non-Standard",IF(DC48&gt;0.9,"Non-Standard Incentive",IF(AND(BY48+BZ48+CA48&gt;0.01,BV48=0,EQ48=0,ER48=0,ES48=0,ET48=0),"Scroll Right &amp; Select Control Strategies",IF(AND(CN48&gt;0.01,CO48=0),"Enter Unit Installed Cost",IF(ISNUMBER(SEARCH("Lighting Controls Only",F48)),"Lighting Controls Only",IF(CL48+DC48=0,"Does not meet incentive criteria",0)))))))))))))))</f>
        <v>0</v>
      </c>
      <c r="DE48" s="337">
        <f t="shared" si="52"/>
        <v>0</v>
      </c>
      <c r="DF48" s="609">
        <f t="shared" si="53"/>
        <v>0</v>
      </c>
      <c r="DG48" s="336" t="str">
        <f t="shared" si="54"/>
        <v/>
      </c>
      <c r="DH48" s="338">
        <f t="shared" si="55"/>
        <v>1</v>
      </c>
      <c r="DI48" s="336" t="e">
        <f t="shared" si="8"/>
        <v>#VALUE!</v>
      </c>
      <c r="DJ48" s="338">
        <f t="shared" si="9"/>
        <v>0</v>
      </c>
      <c r="DK48" s="325" t="s">
        <v>1563</v>
      </c>
      <c r="DL48" s="341">
        <v>292</v>
      </c>
      <c r="DM48" s="325" t="s">
        <v>120</v>
      </c>
      <c r="DN48" s="1439">
        <v>24</v>
      </c>
      <c r="DO48" s="331"/>
      <c r="DP48" s="332"/>
      <c r="DQ48" s="331"/>
      <c r="DR48" s="1332"/>
      <c r="DS48" s="1434">
        <f t="shared" si="56"/>
        <v>0</v>
      </c>
      <c r="DT48" s="344" t="b">
        <f t="shared" si="57"/>
        <v>1</v>
      </c>
      <c r="DU48" s="1314" t="str">
        <f t="array" ref="DU48">IF(OR(COUNTIF(F48,"*"&amp;$DK$9:$DK$178&amp;"*")), "Yes", "")</f>
        <v/>
      </c>
      <c r="DV48" s="1314">
        <f t="shared" si="58"/>
        <v>0</v>
      </c>
      <c r="DW48" s="1480">
        <f t="shared" si="59"/>
        <v>0</v>
      </c>
      <c r="DX48" s="1498">
        <f t="shared" si="71"/>
        <v>0</v>
      </c>
      <c r="DY48" s="1484">
        <f t="shared" si="60"/>
        <v>0</v>
      </c>
      <c r="DZ48" s="1481" t="s">
        <v>1136</v>
      </c>
      <c r="EA48" s="881">
        <f>'Product Type'!E50</f>
        <v>0</v>
      </c>
      <c r="EB48" s="1499" t="s">
        <v>143</v>
      </c>
      <c r="EC48" s="727" t="s">
        <v>1568</v>
      </c>
      <c r="ED48" s="728">
        <v>0.5</v>
      </c>
      <c r="EE48" s="1215"/>
      <c r="EF48" s="1215"/>
      <c r="EG48" s="1184" t="str">
        <f t="shared" si="61"/>
        <v/>
      </c>
      <c r="EH48" s="5"/>
      <c r="EI48" s="55"/>
      <c r="EJ48" s="1185">
        <f t="shared" si="10"/>
        <v>0</v>
      </c>
      <c r="EK48" s="1211"/>
      <c r="EL48" s="1180">
        <f t="shared" si="72"/>
        <v>0</v>
      </c>
      <c r="EM48" s="207"/>
      <c r="EN48" s="1038"/>
      <c r="EO48" s="1038"/>
      <c r="EP48" s="1038"/>
      <c r="EQ48" s="1038">
        <f t="shared" si="62"/>
        <v>0</v>
      </c>
      <c r="ER48" s="1041">
        <f t="shared" si="75"/>
        <v>0</v>
      </c>
      <c r="ES48" s="1042">
        <f t="shared" si="63"/>
        <v>0</v>
      </c>
      <c r="ET48" s="1042">
        <f t="shared" si="73"/>
        <v>0</v>
      </c>
      <c r="EU48" s="1021">
        <f t="shared" si="74"/>
        <v>0</v>
      </c>
      <c r="EV48" s="368"/>
      <c r="EW48" s="368"/>
      <c r="EX48" s="369"/>
      <c r="EY48" s="370"/>
      <c r="EZ48" s="370"/>
      <c r="FA48" s="371"/>
      <c r="FB48" s="372"/>
    </row>
    <row r="49" spans="1:158" ht="34.5" customHeight="1">
      <c r="A49" s="82">
        <v>41</v>
      </c>
      <c r="B49" s="1725"/>
      <c r="C49" s="1726"/>
      <c r="D49" s="1726"/>
      <c r="E49" s="1727"/>
      <c r="F49" s="1732"/>
      <c r="G49" s="1733"/>
      <c r="H49" s="1733"/>
      <c r="I49" s="1734"/>
      <c r="J49" s="1341"/>
      <c r="K49" s="1728"/>
      <c r="L49" s="1728"/>
      <c r="M49" s="1342"/>
      <c r="N49" s="1583"/>
      <c r="O49" s="208" t="str">
        <f t="shared" si="11"/>
        <v/>
      </c>
      <c r="P49" s="785"/>
      <c r="Q49" s="39" t="str">
        <f t="shared" si="0"/>
        <v/>
      </c>
      <c r="R49" s="39">
        <f t="shared" si="12"/>
        <v>0</v>
      </c>
      <c r="S49" s="234">
        <f t="shared" si="13"/>
        <v>0</v>
      </c>
      <c r="T49" s="1755"/>
      <c r="U49" s="1755"/>
      <c r="V49" s="1755"/>
      <c r="W49" s="1345"/>
      <c r="X49" s="1741"/>
      <c r="Y49" s="1742"/>
      <c r="Z49" s="1346"/>
      <c r="AA49" s="1343"/>
      <c r="AB49" s="1141"/>
      <c r="AC49" s="1103" t="str">
        <f>IF(T49="","",VLOOKUP(Z49,Lists!$A$60:$B$111,2,FALSE))</f>
        <v/>
      </c>
      <c r="AD49" s="130" t="str">
        <f t="shared" si="14"/>
        <v/>
      </c>
      <c r="AE49" s="130" t="e">
        <f t="shared" si="15"/>
        <v>#VALUE!</v>
      </c>
      <c r="AF49" s="130">
        <f t="shared" si="16"/>
        <v>1</v>
      </c>
      <c r="AG49" s="234">
        <f t="shared" si="1"/>
        <v>0</v>
      </c>
      <c r="AH49" s="1753" t="str">
        <f>IF(T49="","",(IF(ISNUMBER(SEARCH("exit",T49)),8760,IF(AND(M49="Dusk to Dawn",'Proposed Lighting'!AU49=3),4059,IF(AND(AU49=3,M49="1"),0,IF(AND(AU49=3,M49="1-C"),0,IF(AND(AU49=3,M49="2"),0,IF(AND(AU49=3,M49="2-C"),0,IF(AND(AU49=3,M49="3"),0,IF(AND(AU49=3,M49="3-C"),0,IF(AND(AU49=2,M49="Dusk to Dawn"),0,IF(AND(AU49=2,M49="Dusk to Dawn-C"),0,IF(AND(AU49=2,M49="Dusk to Dawn"),0,IF(AND(AU49=2,M49="E"),0,IF(AND(AU49=2,M49="E-C"),0,EG49)))))))))))))))</f>
        <v/>
      </c>
      <c r="AI49" s="1754"/>
      <c r="AJ49" s="1136"/>
      <c r="AK49" s="1136"/>
      <c r="AL49" s="1748">
        <f t="shared" si="64"/>
        <v>0</v>
      </c>
      <c r="AM49" s="1749"/>
      <c r="AN49" s="1750"/>
      <c r="AO49" s="476">
        <f t="shared" si="2"/>
        <v>0</v>
      </c>
      <c r="AP49" s="476">
        <f t="shared" si="17"/>
        <v>0</v>
      </c>
      <c r="AQ49" s="475">
        <f t="shared" si="3"/>
        <v>0</v>
      </c>
      <c r="AR49" s="475">
        <f t="shared" si="18"/>
        <v>0</v>
      </c>
      <c r="AS49" s="743" t="str">
        <f t="shared" si="79"/>
        <v/>
      </c>
      <c r="AT49" s="736" t="str">
        <f t="shared" si="20"/>
        <v/>
      </c>
      <c r="AU49" s="56">
        <f t="shared" si="21"/>
        <v>1</v>
      </c>
      <c r="AV49" s="476">
        <f t="shared" si="22"/>
        <v>0</v>
      </c>
      <c r="AW49" s="56">
        <f t="shared" si="23"/>
        <v>0</v>
      </c>
      <c r="AX49" s="475">
        <f t="shared" si="65"/>
        <v>0</v>
      </c>
      <c r="AY49" s="1169">
        <f t="shared" si="66"/>
        <v>0</v>
      </c>
      <c r="AZ49" s="1150">
        <f t="shared" si="67"/>
        <v>0</v>
      </c>
      <c r="BA49" s="56">
        <f t="shared" si="68"/>
        <v>0</v>
      </c>
      <c r="BB49" s="420">
        <f t="shared" si="4"/>
        <v>0</v>
      </c>
      <c r="BC49" s="58" t="str">
        <f t="shared" si="5"/>
        <v/>
      </c>
      <c r="BD49" s="660">
        <f t="shared" si="69"/>
        <v>0</v>
      </c>
      <c r="BE49" s="57" t="e">
        <f t="array" ref="BE49">INDEX($EB$11:$ED$1022,MATCH(F49&amp;T49,$EB$11:$EB$1007&amp;$EC$11:$EC$1007,0),3)</f>
        <v>#N/A</v>
      </c>
      <c r="BF49" s="463">
        <f t="shared" si="24"/>
        <v>0</v>
      </c>
      <c r="BG49" s="1445" t="e">
        <f t="array" ref="BG49">INDEX($DO$112:$DQ$123,MATCH(T49&amp;W49,$DO$114:$DO$125&amp;$DP$112:$DP$123,0),3)</f>
        <v>#N/A</v>
      </c>
      <c r="BH49" s="1446">
        <f t="shared" si="25"/>
        <v>0</v>
      </c>
      <c r="BI49" s="465">
        <f t="shared" si="26"/>
        <v>0</v>
      </c>
      <c r="BJ49" s="465">
        <f t="shared" si="27"/>
        <v>0</v>
      </c>
      <c r="BK49" s="466">
        <f t="shared" si="28"/>
        <v>0</v>
      </c>
      <c r="BL49" s="466">
        <f t="shared" si="29"/>
        <v>0</v>
      </c>
      <c r="BM49" s="466">
        <f t="shared" si="30"/>
        <v>0</v>
      </c>
      <c r="BN49" s="466">
        <f t="shared" si="31"/>
        <v>0</v>
      </c>
      <c r="BO49" s="463">
        <f>IF('Data Entry'!$C$74=0,0,IF(ISNA(CJ49),0,IF(AX49=0,0,IF(AND('Data Entry'!$C$74=2,AF49&gt;2,CE49&lt;1),0,IF(AND('Data Entry'!$C$74=2,AF49&gt;1,AU49=2,CJ49&gt;1),0,IF(AND(AF49=5,CT49=0.5,AU49=2,ER49&lt;100),0,IF(AND(AF49=5,CT49=0.5,AU49=3,ER49&lt;100),0,IF(AND('Data Entry'!$C$74=2,AF49=2,AU49=2,AK49&gt;0.01,CB49=2,CE49&lt;1),0,IF(AND('Data Entry'!$C$74=2,AF49=3,AU49=3,AK49&gt;0.01,CB49=3,CE49&lt;1),0,IF(AND('Data Entry'!$C$74=2,AF49=3,AU49=3,AK49&gt;0.01,CB49=3,CE49&gt;0.99),BQ49*0.08,IF(AND('Data Entry'!$C$74=2,AF49=2,AU49=2,AK49&gt;0.01,CB49=2,CE49&gt;0.99),BQ49*0.1,IF(AND(AU49=2,AK49&gt;0.01,CB49=2,CD49&gt;1),BQ49*0.1,IF(AND(AU49=3,AK49&gt;0.01,CB49=3,CD49&gt;1),BQ49*0.08,CJ49*EF49)))))))))))))</f>
        <v>0</v>
      </c>
      <c r="BP49" s="475">
        <f t="shared" si="32"/>
        <v>0</v>
      </c>
      <c r="BQ49" s="1431">
        <f>IF(AU49=1,0,IF(CH49=100,0,IF(AND(AF49=3,AU49=2),0,IF(AND(BH49=0,CT49&gt;0.4),0,IF(AND('Data Entry'!$C$74=2,AF49=1.5),0,IF(AND('Data Entry'!$C$74=2,AF49=1.6),0,IF(AND('Data Entry'!$C$74=2,AF49=4),0,IF(AND('Data Entry'!$C$74=2,AF49=5),0,IF(AND('Data Entry'!$C$74=2,AF49=2.5,CE49&lt;1),0,IF(AND('Data Entry'!$C$74=2,AF49=3,CE49&lt;1),0,IF(AND('Data Entry'!$C$74=1,AF49=2.5,CD49&lt;1),0,IF(AND('Data Entry'!$C$74=1,AF49=3,CD49&lt;1),0,IF(DX49&gt;0.01,DX49,IF(ISERROR(AX49-AY49),"",ROUND(AX49-AY49,2)))))))))))))))</f>
        <v>0</v>
      </c>
      <c r="BR49" s="146">
        <f t="shared" si="33"/>
        <v>0</v>
      </c>
      <c r="BS49" s="475">
        <f t="shared" si="34"/>
        <v>0</v>
      </c>
      <c r="BT49" s="146" t="b">
        <f t="shared" si="35"/>
        <v>0</v>
      </c>
      <c r="BU49" s="463">
        <f>IF(ISNA(AT49),0,IF(AND('Data Entry'!$C$74=2,BC49=27),0,IF(AND('Data Entry'!$C$74=2,BC49=28),0,IF(AND(BC49=27,BT49=27,CM49&gt;0.1),CM49*0.15,IF(AND(BC49=28,BT49=28,CM49&gt;0.1),CM49*0.12,0)))))</f>
        <v>0</v>
      </c>
      <c r="BV49" s="463">
        <f t="shared" si="78"/>
        <v>0</v>
      </c>
      <c r="BW49" s="463">
        <f t="shared" si="37"/>
        <v>0</v>
      </c>
      <c r="BX49" s="463">
        <f t="shared" si="38"/>
        <v>0</v>
      </c>
      <c r="BY49" s="463">
        <f t="shared" si="39"/>
        <v>0</v>
      </c>
      <c r="BZ49" s="463">
        <f t="shared" si="40"/>
        <v>0</v>
      </c>
      <c r="CA49" s="57">
        <f t="shared" si="70"/>
        <v>0</v>
      </c>
      <c r="CB49" s="56">
        <f t="shared" si="41"/>
        <v>1</v>
      </c>
      <c r="CC49" s="756">
        <f>IF(EE49=0,0,IF(EF49=0,0,IF(EE49&gt;AA49,0,IF(AND(AZ49&gt;AW49,AW49&gt;0),0,IF(CU49=0,0,Summary!AC352)))))</f>
        <v>0</v>
      </c>
      <c r="CD49" s="756">
        <f>IF(EE49=0,0,IF(EF49=0,0,IF(EE49&gt;AA49,0,IF(AND(AZ49&gt;AW49,AW49&gt;0),0,IF(CU49=0,0,Summary!AD352)))))</f>
        <v>0</v>
      </c>
      <c r="CE49" s="756">
        <f>IF(EF49=0,0,IF(EE49&gt;AA49,0,IF(CC49=0,0,IF(AND(AZ49&gt;AW49,AW49&gt;0),0,IF(CU49=0,0,Summary!AE352)))))</f>
        <v>0</v>
      </c>
      <c r="CF49" s="475">
        <f t="shared" si="42"/>
        <v>0</v>
      </c>
      <c r="CG49" s="476">
        <f t="shared" si="6"/>
        <v>0</v>
      </c>
      <c r="CH49" s="487">
        <f t="shared" si="43"/>
        <v>0</v>
      </c>
      <c r="CI49" s="756">
        <f t="shared" si="44"/>
        <v>0</v>
      </c>
      <c r="CJ49" s="487">
        <f>IF(CT49&gt;0.4,0,IF(AND(AU49=2,CH49=0,CT49=0.5,ER49=100),35,IF(AND(AU49=3,BB49&gt;75,CH49=0,CT49=0.5,ER49=100),25,IF(CB49&gt;1,0,IF(EF49&gt;EE49,0,IF(AND(AF49&gt;1,CH49=100),0,IF(AND(AF49=1,AY49=0),0,IF(AND(EF49&lt;=EE49,AW49&gt;=AZ49,'Data Entry'!$C$74=1,AU49=2),VLOOKUP(W49,$DO$96:$DP$102,2,FALSE),IF(AND(EF49&lt;=EE49,AW49&gt;=AZ49,AU49=3,'Data Entry'!$C$74=1),VLOOKUP(W49,$DO$127:$DP$134,2,FALSE))))))))))</f>
        <v>0</v>
      </c>
      <c r="CK49" s="716">
        <f t="shared" si="45"/>
        <v>0</v>
      </c>
      <c r="CL49" s="57">
        <f t="shared" si="46"/>
        <v>0</v>
      </c>
      <c r="CM49" s="475">
        <f t="shared" si="77"/>
        <v>0</v>
      </c>
      <c r="CN49" s="660">
        <f>IF(CM49&lt;0.1,0,IF(ISNA(AT49),0,IF(CL49+BC49=1,0,IF(BV49&gt;0.01,0,IF(CL49&gt;0.01,0,IF(CF49=1,0,IF(BC49=0.5,0,IF(AND(CI49=1,AU49=3),0,IF(AND(CI49=5,CL49=0),0,IF(AND(R49=12,BR49=50),0,IF(CK49&gt;0.01,0,IF(AND(AJ49&gt;0.01,AU49=2,BC49=15),CM49*0.1,IF(AND(AJ49&gt;0.01,AU49=3,BC49=15),CM49*0.08,IF(AND(R49=12,BC49=3,AF49&lt;=0),0,IF(AND(BC49=15,BI49=0),0,IF(AND(BC49=15,BJ49=0),0,IF(AND(R49=20,CU49=0),0,IF($X$4=0,0,IF(AND(BC49=250,CL49=0),0,IF(AA49&lt;1,0,IF(AND(ISNUMBER(SEARCH("Area",T49)),AU49=3),0,IF(AND(AQ49&gt;0.01,AR49=0,BK49=0,BL49=0,BM49=0,BN49=0),0,IF(AND(AU49=3,CI49=7,CT49&gt;0.5),0,IF(AND(BC49=44,AU49=3,BY49=0),0,IF(AND(BC49=27,'Data Entry'!$C$74=2),0,IF(AND(BC49=28,'Data Entry'!$C$74=2),0,IF(AND(BY49+BZ49+CA49&gt;0.01,BV49=0,EQ49+ER49+ES49+ET49&lt;100),0,IF(AU49=3,CM49*0.08,IF(AU49=2,CM49*0.1,0)))))))))))))))))))))))))))))</f>
        <v>0</v>
      </c>
      <c r="CO49" s="660">
        <f t="shared" si="47"/>
        <v>0</v>
      </c>
      <c r="CP49" s="475" t="str">
        <f t="shared" si="48"/>
        <v/>
      </c>
      <c r="CQ49" s="161" t="str">
        <f>IF(AH49=0,0,IF(AU49=5,0,Summary!AC52))</f>
        <v/>
      </c>
      <c r="CR49" s="161" t="str">
        <f>IF(BF49=0.5,0,IF(AU49=5,0,Summary!AD52))</f>
        <v/>
      </c>
      <c r="CS49" s="161" t="str">
        <f>IF(AU49=5,0,Summary!AE52)</f>
        <v/>
      </c>
      <c r="CT49" s="161">
        <f t="shared" si="49"/>
        <v>0</v>
      </c>
      <c r="CU49" s="475" t="str">
        <f t="shared" si="7"/>
        <v/>
      </c>
      <c r="CV49" s="307">
        <f>IF('Data Entry'!$C$74=0,0,IF(AA49&lt;1,0,IF(ISERROR(CU49),0,IF(CF49=1,0,IF(AND(R49=12,BR49=50),0,IF(CL49+BO49+BV49+DC49=0,0,IF(BC49=37,0,IF(AND(BC49=40,AJ49=0),0,IF(AND(BC49=37,BO49&gt;0.01,BQ49&gt;0.01),ROUND(BQ49,0),IF(CM49&lt;0,0,ROUND(CM49,0)))))))))))</f>
        <v>0</v>
      </c>
      <c r="CW49" s="700">
        <f t="shared" si="50"/>
        <v>0</v>
      </c>
      <c r="CX49" s="477">
        <f>IF('Data Entry'!$C$74=0,0,IF(CV49&lt;0.01,0,IF(BF49=0.5,0,IF(CF49=1,0,IF(ISNUMBER(SEARCH("false",CL49)),0,IF(AZ49=500,0,CL49))))))</f>
        <v>0</v>
      </c>
      <c r="CY49" s="147" t="e">
        <f t="shared" si="51"/>
        <v>#VALUE!</v>
      </c>
      <c r="CZ49" s="147" t="b">
        <f>IF(CN49+CL49=0,FALSE,IF(AH49=0,0,IF(AND('Data Entry'!$C$74=1,CR49&gt;=1),TRUE,IF(AND('Data Entry'!$C$74=2,CS49&gt;=1),TRUE,FALSE))))</f>
        <v>0</v>
      </c>
      <c r="DA49" s="1751">
        <f>IF('Data Entry'!$C$74=0,0,IFERROR(ROUND(IF(T49="","",IF($X$4=0,0,IF(CF49=1,0,IF(BQ49+CV49=0,0,IF(CF49=1,0,IF(CY49&gt;0.01,CY49,IF(CL49&gt;0.01,CL49,IF(CY49&gt;0.01,CY49,IF(BC49=37,BO49,IF(CZ49=FALSE,0,IF(CZ49=TRUE,DC49+DF49,0))))))))))),2),""))</f>
        <v>0</v>
      </c>
      <c r="DB49" s="1752"/>
      <c r="DC49" s="474">
        <f>IF(CN49&lt;0.01,0,IF(AND(BR49=3,CN49&gt;0.01,CT49&gt;0.6,ER49+ES49+ET49&lt;100),0,IF(AND('Data Entry'!$C$74=1,CN49&gt;0.01,CR49&gt;0.99),MIN(CN49:CO49),IF(AND('Data Entry'!$C$74=2,CN49&gt;0.01,CS49&gt;0.99),MIN(CN49:CO49),0))))</f>
        <v>0</v>
      </c>
      <c r="DD49" s="478">
        <f>IF(CF49=1,"Selection does not match",IF(T49=0,0,IF(AND('Data Entry'!$C$74=0,CP49&gt;1),"Select Oregon or Idaho on Data Entry Tab",IF(AND(AU49=1,AA49&gt;0.9),"Missing Interior or Exterior Selection",IF($X$4=0,"Enter Total Project Cost",IF(AQ49&lt;AR49,"Insufficient kWh savings – no incentive",IF(AND(SUM(CL49+CK49+BV49)&gt;0.01,'Data Entry'!$C$74=2,CJ49&gt;1,BO49=0),"Submit Control as Non-Standard",IF(AND('Data Entry'!$C$74=2,BR49=37,CJ49&gt;1,BO49=0),"Submit Control as Non-Standard",IF(SUM(CL49+CK49+BV49)&gt;0.01,"Standard Incentive",IF(AND('Data Entry'!$C$74=2,CP49=7,CN49=0),"Submit as Non-Standard",IF(DC49&gt;0.9,"Non-Standard Incentive",IF(AND(BY49+BZ49+CA49&gt;0.01,BV49=0,EQ49=0,ER49=0,ES49=0,ET49=0),"Scroll Right &amp; Select Control Strategies",IF(AND(CN49&gt;0.01,CO49=0),"Enter Unit Installed Cost",IF(ISNUMBER(SEARCH("Lighting Controls Only",F49)),"Lighting Controls Only",IF(CL49+DC49=0,"Does not meet incentive criteria",0)))))))))))))))</f>
        <v>0</v>
      </c>
      <c r="DE49" s="337">
        <f t="shared" si="52"/>
        <v>0</v>
      </c>
      <c r="DF49" s="609">
        <f t="shared" si="53"/>
        <v>0</v>
      </c>
      <c r="DG49" s="336" t="str">
        <f t="shared" si="54"/>
        <v/>
      </c>
      <c r="DH49" s="338">
        <f t="shared" si="55"/>
        <v>1</v>
      </c>
      <c r="DI49" s="336" t="e">
        <f t="shared" si="8"/>
        <v>#VALUE!</v>
      </c>
      <c r="DJ49" s="338">
        <f t="shared" si="9"/>
        <v>0</v>
      </c>
      <c r="DK49" s="325" t="s">
        <v>147</v>
      </c>
      <c r="DL49" s="341">
        <v>352</v>
      </c>
      <c r="DM49" s="325" t="s">
        <v>121</v>
      </c>
      <c r="DN49" s="1439">
        <v>32</v>
      </c>
      <c r="DO49" s="331"/>
      <c r="DP49" s="332"/>
      <c r="DQ49" s="331"/>
      <c r="DR49" s="1332"/>
      <c r="DS49" s="1434">
        <f t="shared" si="56"/>
        <v>0</v>
      </c>
      <c r="DT49" s="344" t="b">
        <f t="shared" si="57"/>
        <v>1</v>
      </c>
      <c r="DU49" s="1314" t="str">
        <f t="array" ref="DU49">IF(OR(COUNTIF(F49,"*"&amp;$DK$9:$DK$178&amp;"*")), "Yes", "")</f>
        <v/>
      </c>
      <c r="DV49" s="1314">
        <f t="shared" si="58"/>
        <v>0</v>
      </c>
      <c r="DW49" s="1480">
        <f t="shared" si="59"/>
        <v>0</v>
      </c>
      <c r="DX49" s="1498">
        <f t="shared" si="71"/>
        <v>0</v>
      </c>
      <c r="DY49" s="1484">
        <f t="shared" si="60"/>
        <v>0</v>
      </c>
      <c r="DZ49" s="1481" t="s">
        <v>1137</v>
      </c>
      <c r="EA49" s="881">
        <f>'Product Type'!E51</f>
        <v>0</v>
      </c>
      <c r="EB49" s="1499" t="s">
        <v>144</v>
      </c>
      <c r="EC49" s="727" t="s">
        <v>1568</v>
      </c>
      <c r="ED49" s="728">
        <v>0.5</v>
      </c>
      <c r="EE49" s="1215"/>
      <c r="EF49" s="1215"/>
      <c r="EG49" s="1184" t="str">
        <f t="shared" si="61"/>
        <v/>
      </c>
      <c r="EH49" s="5"/>
      <c r="EI49" s="55"/>
      <c r="EJ49" s="1185">
        <f t="shared" si="10"/>
        <v>0</v>
      </c>
      <c r="EK49" s="1211"/>
      <c r="EL49" s="1180">
        <f t="shared" si="72"/>
        <v>0</v>
      </c>
      <c r="EM49" s="207"/>
      <c r="EN49" s="1038"/>
      <c r="EO49" s="1038"/>
      <c r="EP49" s="1038"/>
      <c r="EQ49" s="1038">
        <f t="shared" si="62"/>
        <v>0</v>
      </c>
      <c r="ER49" s="1041">
        <f t="shared" si="75"/>
        <v>0</v>
      </c>
      <c r="ES49" s="1042">
        <f t="shared" si="63"/>
        <v>0</v>
      </c>
      <c r="ET49" s="1042">
        <f t="shared" si="73"/>
        <v>0</v>
      </c>
      <c r="EU49" s="1021">
        <f t="shared" si="74"/>
        <v>0</v>
      </c>
      <c r="EV49" s="368"/>
      <c r="EW49" s="368"/>
      <c r="EX49" s="369"/>
      <c r="EY49" s="370"/>
      <c r="EZ49" s="370"/>
      <c r="FA49" s="371"/>
      <c r="FB49" s="372"/>
    </row>
    <row r="50" spans="1:158" ht="34.5" customHeight="1">
      <c r="A50" s="82">
        <v>42</v>
      </c>
      <c r="B50" s="1725"/>
      <c r="C50" s="1726"/>
      <c r="D50" s="1726"/>
      <c r="E50" s="1727"/>
      <c r="F50" s="1732"/>
      <c r="G50" s="1733"/>
      <c r="H50" s="1733"/>
      <c r="I50" s="1734"/>
      <c r="J50" s="1341"/>
      <c r="K50" s="1728"/>
      <c r="L50" s="1728"/>
      <c r="M50" s="1342"/>
      <c r="N50" s="1583"/>
      <c r="O50" s="208" t="str">
        <f t="shared" si="11"/>
        <v/>
      </c>
      <c r="P50" s="785"/>
      <c r="Q50" s="39" t="str">
        <f t="shared" si="0"/>
        <v/>
      </c>
      <c r="R50" s="39">
        <f t="shared" si="12"/>
        <v>0</v>
      </c>
      <c r="S50" s="234">
        <f t="shared" si="13"/>
        <v>0</v>
      </c>
      <c r="T50" s="1755"/>
      <c r="U50" s="1755"/>
      <c r="V50" s="1755"/>
      <c r="W50" s="1345"/>
      <c r="X50" s="1741"/>
      <c r="Y50" s="1742"/>
      <c r="Z50" s="1346"/>
      <c r="AA50" s="1343"/>
      <c r="AB50" s="1141"/>
      <c r="AC50" s="1103" t="str">
        <f>IF(T50="","",VLOOKUP(Z50,Lists!$A$60:$B$111,2,FALSE))</f>
        <v/>
      </c>
      <c r="AD50" s="130" t="str">
        <f t="shared" si="14"/>
        <v/>
      </c>
      <c r="AE50" s="130" t="e">
        <f t="shared" si="15"/>
        <v>#VALUE!</v>
      </c>
      <c r="AF50" s="130">
        <f t="shared" si="16"/>
        <v>1</v>
      </c>
      <c r="AG50" s="234">
        <f t="shared" si="1"/>
        <v>0</v>
      </c>
      <c r="AH50" s="1753" t="str">
        <f>IF(T50="","",(IF(ISNUMBER(SEARCH("exit",T50)),8760,IF(AND(M50="Dusk to Dawn",'Proposed Lighting'!AU50=3),4059,IF(AND(AU50=3,M50="1"),0,IF(AND(AU50=3,M50="1-C"),0,IF(AND(AU50=3,M50="2"),0,IF(AND(AU50=3,M50="2-C"),0,IF(AND(AU50=3,M50="3"),0,IF(AND(AU50=3,M50="3-C"),0,IF(AND(AU50=2,M50="Dusk to Dawn"),0,IF(AND(AU50=2,M50="Dusk to Dawn-C"),0,IF(AND(AU50=2,M50="Dusk to Dawn"),0,IF(AND(AU50=2,M50="E"),0,IF(AND(AU50=2,M50="E-C"),0,EG50)))))))))))))))</f>
        <v/>
      </c>
      <c r="AI50" s="1754"/>
      <c r="AJ50" s="1136"/>
      <c r="AK50" s="1136"/>
      <c r="AL50" s="1748">
        <f t="shared" si="64"/>
        <v>0</v>
      </c>
      <c r="AM50" s="1749"/>
      <c r="AN50" s="1750"/>
      <c r="AO50" s="476">
        <f t="shared" si="2"/>
        <v>0</v>
      </c>
      <c r="AP50" s="476">
        <f t="shared" si="17"/>
        <v>0</v>
      </c>
      <c r="AQ50" s="475">
        <f t="shared" si="3"/>
        <v>0</v>
      </c>
      <c r="AR50" s="475">
        <f t="shared" si="18"/>
        <v>0</v>
      </c>
      <c r="AS50" s="743" t="str">
        <f t="shared" si="79"/>
        <v/>
      </c>
      <c r="AT50" s="736" t="str">
        <f t="shared" si="20"/>
        <v/>
      </c>
      <c r="AU50" s="56">
        <f t="shared" si="21"/>
        <v>1</v>
      </c>
      <c r="AV50" s="476">
        <f t="shared" si="22"/>
        <v>0</v>
      </c>
      <c r="AW50" s="56">
        <f t="shared" si="23"/>
        <v>0</v>
      </c>
      <c r="AX50" s="475">
        <f t="shared" si="65"/>
        <v>0</v>
      </c>
      <c r="AY50" s="1169">
        <f t="shared" si="66"/>
        <v>0</v>
      </c>
      <c r="AZ50" s="1150">
        <f t="shared" si="67"/>
        <v>0</v>
      </c>
      <c r="BA50" s="56">
        <f t="shared" si="68"/>
        <v>0</v>
      </c>
      <c r="BB50" s="420">
        <f t="shared" si="4"/>
        <v>0</v>
      </c>
      <c r="BC50" s="58" t="str">
        <f t="shared" si="5"/>
        <v/>
      </c>
      <c r="BD50" s="660">
        <f t="shared" si="69"/>
        <v>0</v>
      </c>
      <c r="BE50" s="57" t="e">
        <f t="array" ref="BE50">INDEX($EB$11:$ED$1022,MATCH(F50&amp;T50,$EB$11:$EB$1007&amp;$EC$11:$EC$1007,0),3)</f>
        <v>#N/A</v>
      </c>
      <c r="BF50" s="463">
        <f t="shared" si="24"/>
        <v>0</v>
      </c>
      <c r="BG50" s="1445" t="e">
        <f t="array" ref="BG50">INDEX($DO$112:$DQ$123,MATCH(T50&amp;W50,$DO$114:$DO$125&amp;$DP$112:$DP$123,0),3)</f>
        <v>#N/A</v>
      </c>
      <c r="BH50" s="1446">
        <f t="shared" si="25"/>
        <v>0</v>
      </c>
      <c r="BI50" s="465">
        <f t="shared" si="26"/>
        <v>0</v>
      </c>
      <c r="BJ50" s="465">
        <f t="shared" si="27"/>
        <v>0</v>
      </c>
      <c r="BK50" s="466">
        <f t="shared" si="28"/>
        <v>0</v>
      </c>
      <c r="BL50" s="466">
        <f t="shared" si="29"/>
        <v>0</v>
      </c>
      <c r="BM50" s="466">
        <f t="shared" si="30"/>
        <v>0</v>
      </c>
      <c r="BN50" s="466">
        <f t="shared" si="31"/>
        <v>0</v>
      </c>
      <c r="BO50" s="463">
        <f>IF('Data Entry'!$C$74=0,0,IF(ISNA(CJ50),0,IF(AX50=0,0,IF(AND('Data Entry'!$C$74=2,AF50&gt;2,CE50&lt;1),0,IF(AND('Data Entry'!$C$74=2,AF50&gt;1,AU50=2,CJ50&gt;1),0,IF(AND(AF50=5,CT50=0.5,AU50=2,ER50&lt;100),0,IF(AND(AF50=5,CT50=0.5,AU50=3,ER50&lt;100),0,IF(AND('Data Entry'!$C$74=2,AF50=2,AU50=2,AK50&gt;0.01,CB50=2,CE50&lt;1),0,IF(AND('Data Entry'!$C$74=2,AF50=3,AU50=3,AK50&gt;0.01,CB50=3,CE50&lt;1),0,IF(AND('Data Entry'!$C$74=2,AF50=3,AU50=3,AK50&gt;0.01,CB50=3,CE50&gt;0.99),BQ50*0.08,IF(AND('Data Entry'!$C$74=2,AF50=2,AU50=2,AK50&gt;0.01,CB50=2,CE50&gt;0.99),BQ50*0.1,IF(AND(AU50=2,AK50&gt;0.01,CB50=2,CD50&gt;1),BQ50*0.1,IF(AND(AU50=3,AK50&gt;0.01,CB50=3,CD50&gt;1),BQ50*0.08,CJ50*EF50)))))))))))))</f>
        <v>0</v>
      </c>
      <c r="BP50" s="475">
        <f t="shared" si="32"/>
        <v>0</v>
      </c>
      <c r="BQ50" s="1431">
        <f>IF(AU50=1,0,IF(CH50=100,0,IF(AND(AF50=3,AU50=2),0,IF(AND(BH50=0,CT50&gt;0.4),0,IF(AND('Data Entry'!$C$74=2,AF50=1.5),0,IF(AND('Data Entry'!$C$74=2,AF50=1.6),0,IF(AND('Data Entry'!$C$74=2,AF50=4),0,IF(AND('Data Entry'!$C$74=2,AF50=5),0,IF(AND('Data Entry'!$C$74=2,AF50=2.5,CE50&lt;1),0,IF(AND('Data Entry'!$C$74=2,AF50=3,CE50&lt;1),0,IF(AND('Data Entry'!$C$74=1,AF50=2.5,CD50&lt;1),0,IF(AND('Data Entry'!$C$74=1,AF50=3,CD50&lt;1),0,IF(DX50&gt;0.01,DX50,IF(ISERROR(AX50-AY50),"",ROUND(AX50-AY50,2)))))))))))))))</f>
        <v>0</v>
      </c>
      <c r="BR50" s="146">
        <f t="shared" si="33"/>
        <v>0</v>
      </c>
      <c r="BS50" s="475">
        <f t="shared" si="34"/>
        <v>0</v>
      </c>
      <c r="BT50" s="146" t="b">
        <f t="shared" si="35"/>
        <v>0</v>
      </c>
      <c r="BU50" s="463">
        <f>IF(ISNA(AT50),0,IF(AND('Data Entry'!$C$74=2,BC50=27),0,IF(AND('Data Entry'!$C$74=2,BC50=28),0,IF(AND(BC50=27,BT50=27,CM50&gt;0.1),CM50*0.15,IF(AND(BC50=28,BT50=28,CM50&gt;0.1),CM50*0.12,0)))))</f>
        <v>0</v>
      </c>
      <c r="BV50" s="463">
        <f t="shared" si="78"/>
        <v>0</v>
      </c>
      <c r="BW50" s="463">
        <f t="shared" si="37"/>
        <v>0</v>
      </c>
      <c r="BX50" s="463">
        <f t="shared" si="38"/>
        <v>0</v>
      </c>
      <c r="BY50" s="463">
        <f t="shared" si="39"/>
        <v>0</v>
      </c>
      <c r="BZ50" s="463">
        <f t="shared" si="40"/>
        <v>0</v>
      </c>
      <c r="CA50" s="57">
        <f t="shared" si="70"/>
        <v>0</v>
      </c>
      <c r="CB50" s="56">
        <f t="shared" si="41"/>
        <v>1</v>
      </c>
      <c r="CC50" s="756">
        <f>IF(EE50=0,0,IF(EF50=0,0,IF(EE50&gt;AA50,0,IF(AND(AZ50&gt;AW50,AW50&gt;0),0,IF(CU50=0,0,Summary!AC353)))))</f>
        <v>0</v>
      </c>
      <c r="CD50" s="756">
        <f>IF(EE50=0,0,IF(EF50=0,0,IF(EE50&gt;AA50,0,IF(AND(AZ50&gt;AW50,AW50&gt;0),0,IF(CU50=0,0,Summary!AD353)))))</f>
        <v>0</v>
      </c>
      <c r="CE50" s="756">
        <f>IF(EF50=0,0,IF(EE50&gt;AA50,0,IF(CC50=0,0,IF(AND(AZ50&gt;AW50,AW50&gt;0),0,IF(CU50=0,0,Summary!AE353)))))</f>
        <v>0</v>
      </c>
      <c r="CF50" s="475">
        <f t="shared" si="42"/>
        <v>0</v>
      </c>
      <c r="CG50" s="476">
        <f t="shared" si="6"/>
        <v>0</v>
      </c>
      <c r="CH50" s="487">
        <f t="shared" si="43"/>
        <v>0</v>
      </c>
      <c r="CI50" s="756">
        <f t="shared" si="44"/>
        <v>0</v>
      </c>
      <c r="CJ50" s="487">
        <f>IF(CT50&gt;0.4,0,IF(AND(AU50=2,CH50=0,CT50=0.5,ER50=100),35,IF(AND(AU50=3,BB50&gt;75,CH50=0,CT50=0.5,ER50=100),25,IF(CB50&gt;1,0,IF(EF50&gt;EE50,0,IF(AND(AF50&gt;1,CH50=100),0,IF(AND(AF50=1,AY50=0),0,IF(AND(EF50&lt;=EE50,AW50&gt;=AZ50,'Data Entry'!$C$74=1,AU50=2),VLOOKUP(W50,$DO$96:$DP$102,2,FALSE),IF(AND(EF50&lt;=EE50,AW50&gt;=AZ50,AU50=3,'Data Entry'!$C$74=1),VLOOKUP(W50,$DO$127:$DP$134,2,FALSE))))))))))</f>
        <v>0</v>
      </c>
      <c r="CK50" s="716">
        <f t="shared" si="45"/>
        <v>0</v>
      </c>
      <c r="CL50" s="57">
        <f t="shared" si="46"/>
        <v>0</v>
      </c>
      <c r="CM50" s="475">
        <f t="shared" si="77"/>
        <v>0</v>
      </c>
      <c r="CN50" s="660">
        <f>IF(CM50&lt;0.1,0,IF(ISNA(AT50),0,IF(CL50+BC50=1,0,IF(BV50&gt;0.01,0,IF(CL50&gt;0.01,0,IF(CF50=1,0,IF(BC50=0.5,0,IF(AND(CI50=1,AU50=3),0,IF(AND(CI50=5,CL50=0),0,IF(AND(R50=12,BR50=50),0,IF(CK50&gt;0.01,0,IF(AND(AJ50&gt;0.01,AU50=2,BC50=15),CM50*0.1,IF(AND(AJ50&gt;0.01,AU50=3,BC50=15),CM50*0.08,IF(AND(R50=12,BC50=3,AF50&lt;=0),0,IF(AND(BC50=15,BI50=0),0,IF(AND(BC50=15,BJ50=0),0,IF(AND(R50=20,CU50=0),0,IF($X$4=0,0,IF(AND(BC50=250,CL50=0),0,IF(AA50&lt;1,0,IF(AND(ISNUMBER(SEARCH("Area",T50)),AU50=3),0,IF(AND(AQ50&gt;0.01,AR50=0,BK50=0,BL50=0,BM50=0,BN50=0),0,IF(AND(AU50=3,CI50=7,CT50&gt;0.5),0,IF(AND(BC50=44,AU50=3,BY50=0),0,IF(AND(BC50=27,'Data Entry'!$C$74=2),0,IF(AND(BC50=28,'Data Entry'!$C$74=2),0,IF(AND(BY50+BZ50+CA50&gt;0.01,BV50=0,EQ50+ER50+ES50+ET50&lt;100),0,IF(AU50=3,CM50*0.08,IF(AU50=2,CM50*0.1,0)))))))))))))))))))))))))))))</f>
        <v>0</v>
      </c>
      <c r="CO50" s="660">
        <f t="shared" si="47"/>
        <v>0</v>
      </c>
      <c r="CP50" s="475" t="str">
        <f t="shared" si="48"/>
        <v/>
      </c>
      <c r="CQ50" s="161" t="str">
        <f>IF(AH50=0,0,IF(AU50=5,0,Summary!AC53))</f>
        <v/>
      </c>
      <c r="CR50" s="161" t="str">
        <f>IF(BF50=0.5,0,IF(AU50=5,0,Summary!AD53))</f>
        <v/>
      </c>
      <c r="CS50" s="161" t="str">
        <f>IF(AU50=5,0,Summary!AE53)</f>
        <v/>
      </c>
      <c r="CT50" s="161">
        <f t="shared" si="49"/>
        <v>0</v>
      </c>
      <c r="CU50" s="475" t="str">
        <f t="shared" si="7"/>
        <v/>
      </c>
      <c r="CV50" s="307">
        <f>IF('Data Entry'!$C$74=0,0,IF(AA50&lt;1,0,IF(ISERROR(CU50),0,IF(CF50=1,0,IF(AND(R50=12,BR50=50),0,IF(CL50+BO50+BV50+DC50=0,0,IF(BC50=37,0,IF(AND(BC50=40,AJ50=0),0,IF(AND(BC50=37,BO50&gt;0.01,BQ50&gt;0.01),ROUND(BQ50,0),IF(CM50&lt;0,0,ROUND(CM50,0)))))))))))</f>
        <v>0</v>
      </c>
      <c r="CW50" s="700">
        <f t="shared" si="50"/>
        <v>0</v>
      </c>
      <c r="CX50" s="477">
        <f>IF('Data Entry'!$C$74=0,0,IF(CV50&lt;0.01,0,IF(BF50=0.5,0,IF(CF50=1,0,IF(ISNUMBER(SEARCH("false",CL50)),0,IF(AZ50=500,0,CL50))))))</f>
        <v>0</v>
      </c>
      <c r="CY50" s="147" t="e">
        <f t="shared" si="51"/>
        <v>#VALUE!</v>
      </c>
      <c r="CZ50" s="147" t="b">
        <f>IF(CN50+CL50=0,FALSE,IF(AH50=0,0,IF(AND('Data Entry'!$C$74=1,CR50&gt;=1),TRUE,IF(AND('Data Entry'!$C$74=2,CS50&gt;=1),TRUE,FALSE))))</f>
        <v>0</v>
      </c>
      <c r="DA50" s="1751">
        <f>IF('Data Entry'!$C$74=0,0,IFERROR(ROUND(IF(T50="","",IF($X$4=0,0,IF(CF50=1,0,IF(BQ50+CV50=0,0,IF(CF50=1,0,IF(CY50&gt;0.01,CY50,IF(CL50&gt;0.01,CL50,IF(CY50&gt;0.01,CY50,IF(BC50=37,BO50,IF(CZ50=FALSE,0,IF(CZ50=TRUE,DC50+DF50,0))))))))))),2),""))</f>
        <v>0</v>
      </c>
      <c r="DB50" s="1752"/>
      <c r="DC50" s="474">
        <f>IF(CN50&lt;0.01,0,IF(AND(BR50=3,CN50&gt;0.01,CT50&gt;0.6,ER50+ES50+ET50&lt;100),0,IF(AND('Data Entry'!$C$74=1,CN50&gt;0.01,CR50&gt;0.99),MIN(CN50:CO50),IF(AND('Data Entry'!$C$74=2,CN50&gt;0.01,CS50&gt;0.99),MIN(CN50:CO50),0))))</f>
        <v>0</v>
      </c>
      <c r="DD50" s="478">
        <f>IF(CF50=1,"Selection does not match",IF(T50=0,0,IF(AND('Data Entry'!$C$74=0,CP50&gt;1),"Select Oregon or Idaho on Data Entry Tab",IF(AND(AU50=1,AA50&gt;0.9),"Missing Interior or Exterior Selection",IF($X$4=0,"Enter Total Project Cost",IF(AQ50&lt;AR50,"Insufficient kWh savings – no incentive",IF(AND(SUM(CL50+CK50+BV50)&gt;0.01,'Data Entry'!$C$74=2,CJ50&gt;1,BO50=0),"Submit Control as Non-Standard",IF(AND('Data Entry'!$C$74=2,BR50=37,CJ50&gt;1,BO50=0),"Submit Control as Non-Standard",IF(SUM(CL50+CK50+BV50)&gt;0.01,"Standard Incentive",IF(AND('Data Entry'!$C$74=2,CP50=7,CN50=0),"Submit as Non-Standard",IF(DC50&gt;0.9,"Non-Standard Incentive",IF(AND(BY50+BZ50+CA50&gt;0.01,BV50=0,EQ50=0,ER50=0,ES50=0,ET50=0),"Scroll Right &amp; Select Control Strategies",IF(AND(CN50&gt;0.01,CO50=0),"Enter Unit Installed Cost",IF(ISNUMBER(SEARCH("Lighting Controls Only",F50)),"Lighting Controls Only",IF(CL50+DC50=0,"Does not meet incentive criteria",0)))))))))))))))</f>
        <v>0</v>
      </c>
      <c r="DE50" s="337">
        <f t="shared" si="52"/>
        <v>0</v>
      </c>
      <c r="DF50" s="609">
        <f t="shared" si="53"/>
        <v>0</v>
      </c>
      <c r="DG50" s="336" t="str">
        <f t="shared" si="54"/>
        <v/>
      </c>
      <c r="DH50" s="338">
        <f t="shared" si="55"/>
        <v>1</v>
      </c>
      <c r="DI50" s="336" t="e">
        <f t="shared" si="8"/>
        <v>#VALUE!</v>
      </c>
      <c r="DJ50" s="338">
        <f t="shared" si="9"/>
        <v>0</v>
      </c>
      <c r="DK50" s="325" t="s">
        <v>148</v>
      </c>
      <c r="DL50" s="341">
        <v>468</v>
      </c>
      <c r="DM50" s="325" t="s">
        <v>122</v>
      </c>
      <c r="DN50" s="1439">
        <v>8</v>
      </c>
      <c r="DO50" s="331"/>
      <c r="DP50" s="332"/>
      <c r="DQ50" s="331"/>
      <c r="DR50" s="458"/>
      <c r="DS50" s="1434">
        <f t="shared" si="56"/>
        <v>0</v>
      </c>
      <c r="DT50" s="344" t="b">
        <f t="shared" si="57"/>
        <v>1</v>
      </c>
      <c r="DU50" s="1314" t="str">
        <f t="array" ref="DU50">IF(OR(COUNTIF(F50,"*"&amp;$DK$9:$DK$178&amp;"*")), "Yes", "")</f>
        <v/>
      </c>
      <c r="DV50" s="1314">
        <f t="shared" si="58"/>
        <v>0</v>
      </c>
      <c r="DW50" s="1480">
        <f t="shared" si="59"/>
        <v>0</v>
      </c>
      <c r="DX50" s="1498">
        <f t="shared" si="71"/>
        <v>0</v>
      </c>
      <c r="DY50" s="1484">
        <f t="shared" si="60"/>
        <v>0</v>
      </c>
      <c r="DZ50" s="1481" t="s">
        <v>1138</v>
      </c>
      <c r="EA50" s="881">
        <f>'Product Type'!E52</f>
        <v>0</v>
      </c>
      <c r="EB50" s="1499" t="s">
        <v>145</v>
      </c>
      <c r="EC50" s="727" t="s">
        <v>1568</v>
      </c>
      <c r="ED50" s="728">
        <v>0.5</v>
      </c>
      <c r="EE50" s="1215"/>
      <c r="EF50" s="1215"/>
      <c r="EG50" s="1184" t="str">
        <f t="shared" si="61"/>
        <v/>
      </c>
      <c r="EH50" s="5"/>
      <c r="EI50" s="55"/>
      <c r="EJ50" s="1185">
        <f t="shared" si="10"/>
        <v>0</v>
      </c>
      <c r="EK50" s="1211"/>
      <c r="EL50" s="1180">
        <f t="shared" si="72"/>
        <v>0</v>
      </c>
      <c r="EM50" s="207"/>
      <c r="EN50" s="1038"/>
      <c r="EO50" s="1038"/>
      <c r="EP50" s="1038"/>
      <c r="EQ50" s="1038">
        <f t="shared" si="62"/>
        <v>0</v>
      </c>
      <c r="ER50" s="1041">
        <f t="shared" si="75"/>
        <v>0</v>
      </c>
      <c r="ES50" s="1042">
        <f t="shared" si="63"/>
        <v>0</v>
      </c>
      <c r="ET50" s="1042">
        <f t="shared" si="73"/>
        <v>0</v>
      </c>
      <c r="EU50" s="1021">
        <f t="shared" si="74"/>
        <v>0</v>
      </c>
      <c r="EV50" s="368"/>
      <c r="EW50" s="368"/>
      <c r="EX50" s="369"/>
      <c r="EY50" s="370"/>
      <c r="EZ50" s="370"/>
      <c r="FA50" s="371"/>
      <c r="FB50" s="372"/>
    </row>
    <row r="51" spans="1:158" ht="34.5" customHeight="1">
      <c r="A51" s="82">
        <v>43</v>
      </c>
      <c r="B51" s="1725"/>
      <c r="C51" s="1726"/>
      <c r="D51" s="1726"/>
      <c r="E51" s="1727"/>
      <c r="F51" s="1732"/>
      <c r="G51" s="1733"/>
      <c r="H51" s="1733"/>
      <c r="I51" s="1734"/>
      <c r="J51" s="1341"/>
      <c r="K51" s="1728"/>
      <c r="L51" s="1728"/>
      <c r="M51" s="1342"/>
      <c r="N51" s="1583"/>
      <c r="O51" s="208" t="str">
        <f t="shared" si="11"/>
        <v/>
      </c>
      <c r="P51" s="785"/>
      <c r="Q51" s="39" t="str">
        <f t="shared" si="0"/>
        <v/>
      </c>
      <c r="R51" s="39">
        <f t="shared" si="12"/>
        <v>0</v>
      </c>
      <c r="S51" s="234">
        <f t="shared" si="13"/>
        <v>0</v>
      </c>
      <c r="T51" s="1755"/>
      <c r="U51" s="1755"/>
      <c r="V51" s="1755"/>
      <c r="W51" s="1345"/>
      <c r="X51" s="1741"/>
      <c r="Y51" s="1742"/>
      <c r="Z51" s="1346"/>
      <c r="AA51" s="1343"/>
      <c r="AB51" s="1141"/>
      <c r="AC51" s="1103" t="str">
        <f>IF(T51="","",VLOOKUP(Z51,Lists!$A$60:$B$111,2,FALSE))</f>
        <v/>
      </c>
      <c r="AD51" s="130" t="str">
        <f t="shared" si="14"/>
        <v/>
      </c>
      <c r="AE51" s="130" t="e">
        <f t="shared" si="15"/>
        <v>#VALUE!</v>
      </c>
      <c r="AF51" s="130">
        <f t="shared" si="16"/>
        <v>1</v>
      </c>
      <c r="AG51" s="234">
        <f t="shared" si="1"/>
        <v>0</v>
      </c>
      <c r="AH51" s="1753" t="str">
        <f>IF(T51="","",(IF(ISNUMBER(SEARCH("exit",T51)),8760,IF(AND(M51="Dusk to Dawn",'Proposed Lighting'!AU51=3),4059,IF(AND(AU51=3,M51="1"),0,IF(AND(AU51=3,M51="1-C"),0,IF(AND(AU51=3,M51="2"),0,IF(AND(AU51=3,M51="2-C"),0,IF(AND(AU51=3,M51="3"),0,IF(AND(AU51=3,M51="3-C"),0,IF(AND(AU51=2,M51="Dusk to Dawn"),0,IF(AND(AU51=2,M51="Dusk to Dawn-C"),0,IF(AND(AU51=2,M51="Dusk to Dawn"),0,IF(AND(AU51=2,M51="E"),0,IF(AND(AU51=2,M51="E-C"),0,EG51)))))))))))))))</f>
        <v/>
      </c>
      <c r="AI51" s="1754"/>
      <c r="AJ51" s="1136"/>
      <c r="AK51" s="1136"/>
      <c r="AL51" s="1748">
        <f t="shared" si="64"/>
        <v>0</v>
      </c>
      <c r="AM51" s="1749"/>
      <c r="AN51" s="1750"/>
      <c r="AO51" s="476">
        <f t="shared" si="2"/>
        <v>0</v>
      </c>
      <c r="AP51" s="476">
        <f t="shared" si="17"/>
        <v>0</v>
      </c>
      <c r="AQ51" s="475">
        <f t="shared" si="3"/>
        <v>0</v>
      </c>
      <c r="AR51" s="475">
        <f t="shared" si="18"/>
        <v>0</v>
      </c>
      <c r="AS51" s="743" t="str">
        <f t="shared" si="79"/>
        <v/>
      </c>
      <c r="AT51" s="736" t="str">
        <f t="shared" si="20"/>
        <v/>
      </c>
      <c r="AU51" s="56">
        <f t="shared" si="21"/>
        <v>1</v>
      </c>
      <c r="AV51" s="476">
        <f t="shared" si="22"/>
        <v>0</v>
      </c>
      <c r="AW51" s="56">
        <f t="shared" si="23"/>
        <v>0</v>
      </c>
      <c r="AX51" s="475">
        <f t="shared" si="65"/>
        <v>0</v>
      </c>
      <c r="AY51" s="1169">
        <f t="shared" si="66"/>
        <v>0</v>
      </c>
      <c r="AZ51" s="1150">
        <f t="shared" si="67"/>
        <v>0</v>
      </c>
      <c r="BA51" s="56">
        <f t="shared" si="68"/>
        <v>0</v>
      </c>
      <c r="BB51" s="420">
        <f t="shared" si="4"/>
        <v>0</v>
      </c>
      <c r="BC51" s="58" t="str">
        <f t="shared" si="5"/>
        <v/>
      </c>
      <c r="BD51" s="660">
        <f t="shared" si="69"/>
        <v>0</v>
      </c>
      <c r="BE51" s="57" t="e">
        <f t="array" ref="BE51">INDEX($EB$11:$ED$1022,MATCH(F51&amp;T51,$EB$11:$EB$1007&amp;$EC$11:$EC$1007,0),3)</f>
        <v>#N/A</v>
      </c>
      <c r="BF51" s="463">
        <f t="shared" si="24"/>
        <v>0</v>
      </c>
      <c r="BG51" s="1445" t="e">
        <f t="array" ref="BG51">INDEX($DO$112:$DQ$123,MATCH(T51&amp;W51,$DO$114:$DO$125&amp;$DP$112:$DP$123,0),3)</f>
        <v>#N/A</v>
      </c>
      <c r="BH51" s="1446">
        <f t="shared" si="25"/>
        <v>0</v>
      </c>
      <c r="BI51" s="465">
        <f t="shared" si="26"/>
        <v>0</v>
      </c>
      <c r="BJ51" s="465">
        <f t="shared" si="27"/>
        <v>0</v>
      </c>
      <c r="BK51" s="466">
        <f t="shared" si="28"/>
        <v>0</v>
      </c>
      <c r="BL51" s="466">
        <f t="shared" si="29"/>
        <v>0</v>
      </c>
      <c r="BM51" s="466">
        <f t="shared" si="30"/>
        <v>0</v>
      </c>
      <c r="BN51" s="466">
        <f t="shared" si="31"/>
        <v>0</v>
      </c>
      <c r="BO51" s="463">
        <f>IF('Data Entry'!$C$74=0,0,IF(ISNA(CJ51),0,IF(AX51=0,0,IF(AND('Data Entry'!$C$74=2,AF51&gt;2,CE51&lt;1),0,IF(AND('Data Entry'!$C$74=2,AF51&gt;1,AU51=2,CJ51&gt;1),0,IF(AND(AF51=5,CT51=0.5,AU51=2,ER51&lt;100),0,IF(AND(AF51=5,CT51=0.5,AU51=3,ER51&lt;100),0,IF(AND('Data Entry'!$C$74=2,AF51=2,AU51=2,AK51&gt;0.01,CB51=2,CE51&lt;1),0,IF(AND('Data Entry'!$C$74=2,AF51=3,AU51=3,AK51&gt;0.01,CB51=3,CE51&lt;1),0,IF(AND('Data Entry'!$C$74=2,AF51=3,AU51=3,AK51&gt;0.01,CB51=3,CE51&gt;0.99),BQ51*0.08,IF(AND('Data Entry'!$C$74=2,AF51=2,AU51=2,AK51&gt;0.01,CB51=2,CE51&gt;0.99),BQ51*0.1,IF(AND(AU51=2,AK51&gt;0.01,CB51=2,CD51&gt;1),BQ51*0.1,IF(AND(AU51=3,AK51&gt;0.01,CB51=3,CD51&gt;1),BQ51*0.08,CJ51*EF51)))))))))))))</f>
        <v>0</v>
      </c>
      <c r="BP51" s="475">
        <f t="shared" si="32"/>
        <v>0</v>
      </c>
      <c r="BQ51" s="1431">
        <f>IF(AU51=1,0,IF(CH51=100,0,IF(AND(AF51=3,AU51=2),0,IF(AND(BH51=0,CT51&gt;0.4),0,IF(AND('Data Entry'!$C$74=2,AF51=1.5),0,IF(AND('Data Entry'!$C$74=2,AF51=1.6),0,IF(AND('Data Entry'!$C$74=2,AF51=4),0,IF(AND('Data Entry'!$C$74=2,AF51=5),0,IF(AND('Data Entry'!$C$74=2,AF51=2.5,CE51&lt;1),0,IF(AND('Data Entry'!$C$74=2,AF51=3,CE51&lt;1),0,IF(AND('Data Entry'!$C$74=1,AF51=2.5,CD51&lt;1),0,IF(AND('Data Entry'!$C$74=1,AF51=3,CD51&lt;1),0,IF(DX51&gt;0.01,DX51,IF(ISERROR(AX51-AY51),"",ROUND(AX51-AY51,2)))))))))))))))</f>
        <v>0</v>
      </c>
      <c r="BR51" s="146">
        <f t="shared" si="33"/>
        <v>0</v>
      </c>
      <c r="BS51" s="475">
        <f t="shared" si="34"/>
        <v>0</v>
      </c>
      <c r="BT51" s="146" t="b">
        <f t="shared" si="35"/>
        <v>0</v>
      </c>
      <c r="BU51" s="463">
        <f>IF(ISNA(AT51),0,IF(AND('Data Entry'!$C$74=2,BC51=27),0,IF(AND('Data Entry'!$C$74=2,BC51=28),0,IF(AND(BC51=27,BT51=27,CM51&gt;0.1),CM51*0.15,IF(AND(BC51=28,BT51=28,CM51&gt;0.1),CM51*0.12,0)))))</f>
        <v>0</v>
      </c>
      <c r="BV51" s="463">
        <f t="shared" si="78"/>
        <v>0</v>
      </c>
      <c r="BW51" s="463">
        <f t="shared" si="37"/>
        <v>0</v>
      </c>
      <c r="BX51" s="463">
        <f t="shared" si="38"/>
        <v>0</v>
      </c>
      <c r="BY51" s="463">
        <f t="shared" si="39"/>
        <v>0</v>
      </c>
      <c r="BZ51" s="463">
        <f t="shared" si="40"/>
        <v>0</v>
      </c>
      <c r="CA51" s="57">
        <f t="shared" si="70"/>
        <v>0</v>
      </c>
      <c r="CB51" s="56">
        <f t="shared" si="41"/>
        <v>1</v>
      </c>
      <c r="CC51" s="756">
        <f>IF(EE51=0,0,IF(EF51=0,0,IF(EE51&gt;AA51,0,IF(AND(AZ51&gt;AW51,AW51&gt;0),0,IF(CU51=0,0,Summary!AC354)))))</f>
        <v>0</v>
      </c>
      <c r="CD51" s="756">
        <f>IF(EE51=0,0,IF(EF51=0,0,IF(EE51&gt;AA51,0,IF(AND(AZ51&gt;AW51,AW51&gt;0),0,IF(CU51=0,0,Summary!AD354)))))</f>
        <v>0</v>
      </c>
      <c r="CE51" s="756">
        <f>IF(EF51=0,0,IF(EE51&gt;AA51,0,IF(CC51=0,0,IF(AND(AZ51&gt;AW51,AW51&gt;0),0,IF(CU51=0,0,Summary!AE354)))))</f>
        <v>0</v>
      </c>
      <c r="CF51" s="475">
        <f t="shared" si="42"/>
        <v>0</v>
      </c>
      <c r="CG51" s="476">
        <f t="shared" si="6"/>
        <v>0</v>
      </c>
      <c r="CH51" s="487">
        <f t="shared" si="43"/>
        <v>0</v>
      </c>
      <c r="CI51" s="756">
        <f t="shared" si="44"/>
        <v>0</v>
      </c>
      <c r="CJ51" s="487">
        <f>IF(CT51&gt;0.4,0,IF(AND(AU51=2,CH51=0,CT51=0.5,ER51=100),35,IF(AND(AU51=3,BB51&gt;75,CH51=0,CT51=0.5,ER51=100),25,IF(CB51&gt;1,0,IF(EF51&gt;EE51,0,IF(AND(AF51&gt;1,CH51=100),0,IF(AND(AF51=1,AY51=0),0,IF(AND(EF51&lt;=EE51,AW51&gt;=AZ51,'Data Entry'!$C$74=1,AU51=2),VLOOKUP(W51,$DO$96:$DP$102,2,FALSE),IF(AND(EF51&lt;=EE51,AW51&gt;=AZ51,AU51=3,'Data Entry'!$C$74=1),VLOOKUP(W51,$DO$127:$DP$134,2,FALSE))))))))))</f>
        <v>0</v>
      </c>
      <c r="CK51" s="716">
        <f t="shared" si="45"/>
        <v>0</v>
      </c>
      <c r="CL51" s="57">
        <f t="shared" si="46"/>
        <v>0</v>
      </c>
      <c r="CM51" s="475">
        <f t="shared" si="77"/>
        <v>0</v>
      </c>
      <c r="CN51" s="660">
        <f>IF(CM51&lt;0.1,0,IF(ISNA(AT51),0,IF(CL51+BC51=1,0,IF(BV51&gt;0.01,0,IF(CL51&gt;0.01,0,IF(CF51=1,0,IF(BC51=0.5,0,IF(AND(CI51=1,AU51=3),0,IF(AND(CI51=5,CL51=0),0,IF(AND(R51=12,BR51=50),0,IF(CK51&gt;0.01,0,IF(AND(AJ51&gt;0.01,AU51=2,BC51=15),CM51*0.1,IF(AND(AJ51&gt;0.01,AU51=3,BC51=15),CM51*0.08,IF(AND(R51=12,BC51=3,AF51&lt;=0),0,IF(AND(BC51=15,BI51=0),0,IF(AND(BC51=15,BJ51=0),0,IF(AND(R51=20,CU51=0),0,IF($X$4=0,0,IF(AND(BC51=250,CL51=0),0,IF(AA51&lt;1,0,IF(AND(ISNUMBER(SEARCH("Area",T51)),AU51=3),0,IF(AND(AQ51&gt;0.01,AR51=0,BK51=0,BL51=0,BM51=0,BN51=0),0,IF(AND(AU51=3,CI51=7,CT51&gt;0.5),0,IF(AND(BC51=44,AU51=3,BY51=0),0,IF(AND(BC51=27,'Data Entry'!$C$74=2),0,IF(AND(BC51=28,'Data Entry'!$C$74=2),0,IF(AND(BY51+BZ51+CA51&gt;0.01,BV51=0,EQ51+ER51+ES51+ET51&lt;100),0,IF(AU51=3,CM51*0.08,IF(AU51=2,CM51*0.1,0)))))))))))))))))))))))))))))</f>
        <v>0</v>
      </c>
      <c r="CO51" s="660">
        <f t="shared" si="47"/>
        <v>0</v>
      </c>
      <c r="CP51" s="475" t="str">
        <f t="shared" si="48"/>
        <v/>
      </c>
      <c r="CQ51" s="161" t="str">
        <f>IF(AH51=0,0,IF(AU51=5,0,Summary!AC54))</f>
        <v/>
      </c>
      <c r="CR51" s="161" t="str">
        <f>IF(BF51=0.5,0,IF(AU51=5,0,Summary!AD54))</f>
        <v/>
      </c>
      <c r="CS51" s="161" t="str">
        <f>IF(AU51=5,0,Summary!AE54)</f>
        <v/>
      </c>
      <c r="CT51" s="161">
        <f t="shared" si="49"/>
        <v>0</v>
      </c>
      <c r="CU51" s="475" t="str">
        <f t="shared" si="7"/>
        <v/>
      </c>
      <c r="CV51" s="307">
        <f>IF('Data Entry'!$C$74=0,0,IF(AA51&lt;1,0,IF(ISERROR(CU51),0,IF(CF51=1,0,IF(AND(R51=12,BR51=50),0,IF(CL51+BO51+BV51+DC51=0,0,IF(BC51=37,0,IF(AND(BC51=40,AJ51=0),0,IF(AND(BC51=37,BO51&gt;0.01,BQ51&gt;0.01),ROUND(BQ51,0),IF(CM51&lt;0,0,ROUND(CM51,0)))))))))))</f>
        <v>0</v>
      </c>
      <c r="CW51" s="700">
        <f t="shared" si="50"/>
        <v>0</v>
      </c>
      <c r="CX51" s="477">
        <f>IF('Data Entry'!$C$74=0,0,IF(CV51&lt;0.01,0,IF(BF51=0.5,0,IF(CF51=1,0,IF(ISNUMBER(SEARCH("false",CL51)),0,IF(AZ51=500,0,CL51))))))</f>
        <v>0</v>
      </c>
      <c r="CY51" s="147" t="e">
        <f t="shared" si="51"/>
        <v>#VALUE!</v>
      </c>
      <c r="CZ51" s="147" t="b">
        <f>IF(CN51+CL51=0,FALSE,IF(AH51=0,0,IF(AND('Data Entry'!$C$74=1,CR51&gt;=1),TRUE,IF(AND('Data Entry'!$C$74=2,CS51&gt;=1),TRUE,FALSE))))</f>
        <v>0</v>
      </c>
      <c r="DA51" s="1751">
        <f>IF('Data Entry'!$C$74=0,0,IFERROR(ROUND(IF(T51="","",IF($X$4=0,0,IF(CF51=1,0,IF(BQ51+CV51=0,0,IF(CF51=1,0,IF(CY51&gt;0.01,CY51,IF(CL51&gt;0.01,CL51,IF(CY51&gt;0.01,CY51,IF(BC51=37,BO51,IF(CZ51=FALSE,0,IF(CZ51=TRUE,DC51+DF51,0))))))))))),2),""))</f>
        <v>0</v>
      </c>
      <c r="DB51" s="1752"/>
      <c r="DC51" s="474">
        <f>IF(CN51&lt;0.01,0,IF(AND(BR51=3,CN51&gt;0.01,CT51&gt;0.6,ER51+ES51+ET51&lt;100),0,IF(AND('Data Entry'!$C$74=1,CN51&gt;0.01,CR51&gt;0.99),MIN(CN51:CO51),IF(AND('Data Entry'!$C$74=2,CN51&gt;0.01,CS51&gt;0.99),MIN(CN51:CO51),0))))</f>
        <v>0</v>
      </c>
      <c r="DD51" s="478">
        <f>IF(CF51=1,"Selection does not match",IF(T51=0,0,IF(AND('Data Entry'!$C$74=0,CP51&gt;1),"Select Oregon or Idaho on Data Entry Tab",IF(AND(AU51=1,AA51&gt;0.9),"Missing Interior or Exterior Selection",IF($X$4=0,"Enter Total Project Cost",IF(AQ51&lt;AR51,"Insufficient kWh savings – no incentive",IF(AND(SUM(CL51+CK51+BV51)&gt;0.01,'Data Entry'!$C$74=2,CJ51&gt;1,BO51=0),"Submit Control as Non-Standard",IF(AND('Data Entry'!$C$74=2,BR51=37,CJ51&gt;1,BO51=0),"Submit Control as Non-Standard",IF(SUM(CL51+CK51+BV51)&gt;0.01,"Standard Incentive",IF(AND('Data Entry'!$C$74=2,CP51=7,CN51=0),"Submit as Non-Standard",IF(DC51&gt;0.9,"Non-Standard Incentive",IF(AND(BY51+BZ51+CA51&gt;0.01,BV51=0,EQ51=0,ER51=0,ES51=0,ET51=0),"Scroll Right &amp; Select Control Strategies",IF(AND(CN51&gt;0.01,CO51=0),"Enter Unit Installed Cost",IF(ISNUMBER(SEARCH("Lighting Controls Only",F51)),"Lighting Controls Only",IF(CL51+DC51=0,"Does not meet incentive criteria",0)))))))))))))))</f>
        <v>0</v>
      </c>
      <c r="DE51" s="337">
        <f t="shared" si="52"/>
        <v>0</v>
      </c>
      <c r="DF51" s="609">
        <f t="shared" si="53"/>
        <v>0</v>
      </c>
      <c r="DG51" s="336" t="str">
        <f t="shared" si="54"/>
        <v/>
      </c>
      <c r="DH51" s="338">
        <f t="shared" si="55"/>
        <v>1</v>
      </c>
      <c r="DI51" s="336" t="e">
        <f t="shared" si="8"/>
        <v>#VALUE!</v>
      </c>
      <c r="DJ51" s="338">
        <f t="shared" si="9"/>
        <v>0</v>
      </c>
      <c r="DK51" s="325" t="s">
        <v>149</v>
      </c>
      <c r="DL51" s="341">
        <v>585</v>
      </c>
      <c r="DM51" s="325" t="s">
        <v>123</v>
      </c>
      <c r="DN51" s="1439">
        <v>16</v>
      </c>
      <c r="DO51" s="331"/>
      <c r="DP51" s="332"/>
      <c r="DQ51" s="331"/>
      <c r="DR51" s="458"/>
      <c r="DS51" s="1434">
        <f t="shared" si="56"/>
        <v>0</v>
      </c>
      <c r="DT51" s="344" t="b">
        <f t="shared" si="57"/>
        <v>1</v>
      </c>
      <c r="DU51" s="1314" t="str">
        <f t="array" ref="DU51">IF(OR(COUNTIF(F51,"*"&amp;$DK$9:$DK$178&amp;"*")), "Yes", "")</f>
        <v/>
      </c>
      <c r="DV51" s="1314">
        <f t="shared" si="58"/>
        <v>0</v>
      </c>
      <c r="DW51" s="1480">
        <f t="shared" si="59"/>
        <v>0</v>
      </c>
      <c r="DX51" s="1498">
        <f t="shared" si="71"/>
        <v>0</v>
      </c>
      <c r="DY51" s="1484">
        <f t="shared" si="60"/>
        <v>0</v>
      </c>
      <c r="DZ51" s="1481" t="s">
        <v>1139</v>
      </c>
      <c r="EA51" s="881">
        <f>'Product Type'!E53</f>
        <v>0</v>
      </c>
      <c r="EB51" s="1499" t="s">
        <v>146</v>
      </c>
      <c r="EC51" s="727" t="s">
        <v>1568</v>
      </c>
      <c r="ED51" s="728">
        <v>0.5</v>
      </c>
      <c r="EE51" s="1215"/>
      <c r="EF51" s="1215"/>
      <c r="EG51" s="1184" t="str">
        <f t="shared" si="61"/>
        <v/>
      </c>
      <c r="EH51" s="5"/>
      <c r="EI51" s="55"/>
      <c r="EJ51" s="1185">
        <f t="shared" si="10"/>
        <v>0</v>
      </c>
      <c r="EK51" s="1211"/>
      <c r="EL51" s="1180">
        <f t="shared" si="72"/>
        <v>0</v>
      </c>
      <c r="EM51" s="207"/>
      <c r="EN51" s="1038"/>
      <c r="EO51" s="1038"/>
      <c r="EP51" s="1038"/>
      <c r="EQ51" s="1038">
        <f t="shared" si="62"/>
        <v>0</v>
      </c>
      <c r="ER51" s="1041">
        <f t="shared" si="75"/>
        <v>0</v>
      </c>
      <c r="ES51" s="1042">
        <f t="shared" si="63"/>
        <v>0</v>
      </c>
      <c r="ET51" s="1042">
        <f t="shared" si="73"/>
        <v>0</v>
      </c>
      <c r="EU51" s="1021">
        <f t="shared" si="74"/>
        <v>0</v>
      </c>
      <c r="EV51" s="368"/>
      <c r="EW51" s="368"/>
      <c r="EX51" s="369"/>
      <c r="EY51" s="370"/>
      <c r="EZ51" s="370"/>
      <c r="FA51" s="371"/>
      <c r="FB51" s="372"/>
    </row>
    <row r="52" spans="1:158" ht="34.5" customHeight="1">
      <c r="A52" s="82">
        <v>44</v>
      </c>
      <c r="B52" s="1725"/>
      <c r="C52" s="1726"/>
      <c r="D52" s="1726"/>
      <c r="E52" s="1727"/>
      <c r="F52" s="1732"/>
      <c r="G52" s="1733"/>
      <c r="H52" s="1733"/>
      <c r="I52" s="1734"/>
      <c r="J52" s="1341"/>
      <c r="K52" s="1728"/>
      <c r="L52" s="1728"/>
      <c r="M52" s="1342"/>
      <c r="N52" s="1583"/>
      <c r="O52" s="208" t="str">
        <f t="shared" si="11"/>
        <v/>
      </c>
      <c r="P52" s="785"/>
      <c r="Q52" s="39" t="str">
        <f t="shared" si="0"/>
        <v/>
      </c>
      <c r="R52" s="39">
        <f t="shared" si="12"/>
        <v>0</v>
      </c>
      <c r="S52" s="234">
        <f t="shared" si="13"/>
        <v>0</v>
      </c>
      <c r="T52" s="1755"/>
      <c r="U52" s="1755"/>
      <c r="V52" s="1755"/>
      <c r="W52" s="1345"/>
      <c r="X52" s="1741"/>
      <c r="Y52" s="1742"/>
      <c r="Z52" s="1346"/>
      <c r="AA52" s="1343"/>
      <c r="AB52" s="1141"/>
      <c r="AC52" s="1103" t="str">
        <f>IF(T52="","",VLOOKUP(Z52,Lists!$A$60:$B$111,2,FALSE))</f>
        <v/>
      </c>
      <c r="AD52" s="130" t="str">
        <f t="shared" si="14"/>
        <v/>
      </c>
      <c r="AE52" s="130" t="e">
        <f t="shared" si="15"/>
        <v>#VALUE!</v>
      </c>
      <c r="AF52" s="130">
        <f t="shared" si="16"/>
        <v>1</v>
      </c>
      <c r="AG52" s="234">
        <f t="shared" si="1"/>
        <v>0</v>
      </c>
      <c r="AH52" s="1753" t="str">
        <f>IF(T52="","",(IF(ISNUMBER(SEARCH("exit",T52)),8760,IF(AND(M52="Dusk to Dawn",'Proposed Lighting'!AU52=3),4059,IF(AND(AU52=3,M52="1"),0,IF(AND(AU52=3,M52="1-C"),0,IF(AND(AU52=3,M52="2"),0,IF(AND(AU52=3,M52="2-C"),0,IF(AND(AU52=3,M52="3"),0,IF(AND(AU52=3,M52="3-C"),0,IF(AND(AU52=2,M52="Dusk to Dawn"),0,IF(AND(AU52=2,M52="Dusk to Dawn-C"),0,IF(AND(AU52=2,M52="Dusk to Dawn"),0,IF(AND(AU52=2,M52="E"),0,IF(AND(AU52=2,M52="E-C"),0,EG52)))))))))))))))</f>
        <v/>
      </c>
      <c r="AI52" s="1754"/>
      <c r="AJ52" s="1136"/>
      <c r="AK52" s="1136"/>
      <c r="AL52" s="1748">
        <f t="shared" si="64"/>
        <v>0</v>
      </c>
      <c r="AM52" s="1749"/>
      <c r="AN52" s="1750"/>
      <c r="AO52" s="476">
        <f t="shared" si="2"/>
        <v>0</v>
      </c>
      <c r="AP52" s="476">
        <f t="shared" si="17"/>
        <v>0</v>
      </c>
      <c r="AQ52" s="475">
        <f t="shared" si="3"/>
        <v>0</v>
      </c>
      <c r="AR52" s="475">
        <f t="shared" si="18"/>
        <v>0</v>
      </c>
      <c r="AS52" s="743" t="str">
        <f t="shared" si="79"/>
        <v/>
      </c>
      <c r="AT52" s="736" t="str">
        <f t="shared" si="20"/>
        <v/>
      </c>
      <c r="AU52" s="56">
        <f t="shared" si="21"/>
        <v>1</v>
      </c>
      <c r="AV52" s="476">
        <f t="shared" si="22"/>
        <v>0</v>
      </c>
      <c r="AW52" s="56">
        <f t="shared" si="23"/>
        <v>0</v>
      </c>
      <c r="AX52" s="475">
        <f t="shared" si="65"/>
        <v>0</v>
      </c>
      <c r="AY52" s="1169">
        <f t="shared" si="66"/>
        <v>0</v>
      </c>
      <c r="AZ52" s="1150">
        <f t="shared" si="67"/>
        <v>0</v>
      </c>
      <c r="BA52" s="56">
        <f t="shared" si="68"/>
        <v>0</v>
      </c>
      <c r="BB52" s="420">
        <f t="shared" si="4"/>
        <v>0</v>
      </c>
      <c r="BC52" s="58" t="str">
        <f t="shared" si="5"/>
        <v/>
      </c>
      <c r="BD52" s="660">
        <f t="shared" si="69"/>
        <v>0</v>
      </c>
      <c r="BE52" s="57" t="e">
        <f t="array" ref="BE52">INDEX($EB$11:$ED$1022,MATCH(F52&amp;T52,$EB$11:$EB$1007&amp;$EC$11:$EC$1007,0),3)</f>
        <v>#N/A</v>
      </c>
      <c r="BF52" s="463">
        <f t="shared" si="24"/>
        <v>0</v>
      </c>
      <c r="BG52" s="1445" t="e">
        <f t="array" ref="BG52">INDEX($DO$112:$DQ$123,MATCH(T52&amp;W52,$DO$114:$DO$125&amp;$DP$112:$DP$123,0),3)</f>
        <v>#N/A</v>
      </c>
      <c r="BH52" s="1446">
        <f t="shared" si="25"/>
        <v>0</v>
      </c>
      <c r="BI52" s="465">
        <f t="shared" si="26"/>
        <v>0</v>
      </c>
      <c r="BJ52" s="465">
        <f t="shared" si="27"/>
        <v>0</v>
      </c>
      <c r="BK52" s="466">
        <f t="shared" si="28"/>
        <v>0</v>
      </c>
      <c r="BL52" s="466">
        <f t="shared" si="29"/>
        <v>0</v>
      </c>
      <c r="BM52" s="466">
        <f t="shared" si="30"/>
        <v>0</v>
      </c>
      <c r="BN52" s="466">
        <f t="shared" si="31"/>
        <v>0</v>
      </c>
      <c r="BO52" s="463">
        <f>IF('Data Entry'!$C$74=0,0,IF(ISNA(CJ52),0,IF(AX52=0,0,IF(AND('Data Entry'!$C$74=2,AF52&gt;2,CE52&lt;1),0,IF(AND('Data Entry'!$C$74=2,AF52&gt;1,AU52=2,CJ52&gt;1),0,IF(AND(AF52=5,CT52=0.5,AU52=2,ER52&lt;100),0,IF(AND(AF52=5,CT52=0.5,AU52=3,ER52&lt;100),0,IF(AND('Data Entry'!$C$74=2,AF52=2,AU52=2,AK52&gt;0.01,CB52=2,CE52&lt;1),0,IF(AND('Data Entry'!$C$74=2,AF52=3,AU52=3,AK52&gt;0.01,CB52=3,CE52&lt;1),0,IF(AND('Data Entry'!$C$74=2,AF52=3,AU52=3,AK52&gt;0.01,CB52=3,CE52&gt;0.99),BQ52*0.08,IF(AND('Data Entry'!$C$74=2,AF52=2,AU52=2,AK52&gt;0.01,CB52=2,CE52&gt;0.99),BQ52*0.1,IF(AND(AU52=2,AK52&gt;0.01,CB52=2,CD52&gt;1),BQ52*0.1,IF(AND(AU52=3,AK52&gt;0.01,CB52=3,CD52&gt;1),BQ52*0.08,CJ52*EF52)))))))))))))</f>
        <v>0</v>
      </c>
      <c r="BP52" s="475">
        <f t="shared" si="32"/>
        <v>0</v>
      </c>
      <c r="BQ52" s="1431">
        <f>IF(AU52=1,0,IF(CH52=100,0,IF(AND(AF52=3,AU52=2),0,IF(AND(BH52=0,CT52&gt;0.4),0,IF(AND('Data Entry'!$C$74=2,AF52=1.5),0,IF(AND('Data Entry'!$C$74=2,AF52=1.6),0,IF(AND('Data Entry'!$C$74=2,AF52=4),0,IF(AND('Data Entry'!$C$74=2,AF52=5),0,IF(AND('Data Entry'!$C$74=2,AF52=2.5,CE52&lt;1),0,IF(AND('Data Entry'!$C$74=2,AF52=3,CE52&lt;1),0,IF(AND('Data Entry'!$C$74=1,AF52=2.5,CD52&lt;1),0,IF(AND('Data Entry'!$C$74=1,AF52=3,CD52&lt;1),0,IF(DX52&gt;0.01,DX52,IF(ISERROR(AX52-AY52),"",ROUND(AX52-AY52,2)))))))))))))))</f>
        <v>0</v>
      </c>
      <c r="BR52" s="146">
        <f t="shared" si="33"/>
        <v>0</v>
      </c>
      <c r="BS52" s="475">
        <f t="shared" si="34"/>
        <v>0</v>
      </c>
      <c r="BT52" s="146" t="b">
        <f t="shared" si="35"/>
        <v>0</v>
      </c>
      <c r="BU52" s="463">
        <f>IF(ISNA(AT52),0,IF(AND('Data Entry'!$C$74=2,BC52=27),0,IF(AND('Data Entry'!$C$74=2,BC52=28),0,IF(AND(BC52=27,BT52=27,CM52&gt;0.1),CM52*0.15,IF(AND(BC52=28,BT52=28,CM52&gt;0.1),CM52*0.12,0)))))</f>
        <v>0</v>
      </c>
      <c r="BV52" s="463">
        <f t="shared" si="78"/>
        <v>0</v>
      </c>
      <c r="BW52" s="463">
        <f t="shared" si="37"/>
        <v>0</v>
      </c>
      <c r="BX52" s="463">
        <f t="shared" si="38"/>
        <v>0</v>
      </c>
      <c r="BY52" s="463">
        <f t="shared" si="39"/>
        <v>0</v>
      </c>
      <c r="BZ52" s="463">
        <f t="shared" si="40"/>
        <v>0</v>
      </c>
      <c r="CA52" s="57">
        <f t="shared" si="70"/>
        <v>0</v>
      </c>
      <c r="CB52" s="56">
        <f t="shared" si="41"/>
        <v>1</v>
      </c>
      <c r="CC52" s="756">
        <f>IF(EE52=0,0,IF(EF52=0,0,IF(EE52&gt;AA52,0,IF(AND(AZ52&gt;AW52,AW52&gt;0),0,IF(CU52=0,0,Summary!AC355)))))</f>
        <v>0</v>
      </c>
      <c r="CD52" s="756">
        <f>IF(EE52=0,0,IF(EF52=0,0,IF(EE52&gt;AA52,0,IF(AND(AZ52&gt;AW52,AW52&gt;0),0,IF(CU52=0,0,Summary!AD355)))))</f>
        <v>0</v>
      </c>
      <c r="CE52" s="756">
        <f>IF(EF52=0,0,IF(EE52&gt;AA52,0,IF(CC52=0,0,IF(AND(AZ52&gt;AW52,AW52&gt;0),0,IF(CU52=0,0,Summary!AE355)))))</f>
        <v>0</v>
      </c>
      <c r="CF52" s="475">
        <f t="shared" si="42"/>
        <v>0</v>
      </c>
      <c r="CG52" s="476">
        <f t="shared" si="6"/>
        <v>0</v>
      </c>
      <c r="CH52" s="487">
        <f t="shared" si="43"/>
        <v>0</v>
      </c>
      <c r="CI52" s="756">
        <f t="shared" si="44"/>
        <v>0</v>
      </c>
      <c r="CJ52" s="487">
        <f>IF(CT52&gt;0.4,0,IF(AND(AU52=2,CH52=0,CT52=0.5,ER52=100),35,IF(AND(AU52=3,BB52&gt;75,CH52=0,CT52=0.5,ER52=100),25,IF(CB52&gt;1,0,IF(EF52&gt;EE52,0,IF(AND(AF52&gt;1,CH52=100),0,IF(AND(AF52=1,AY52=0),0,IF(AND(EF52&lt;=EE52,AW52&gt;=AZ52,'Data Entry'!$C$74=1,AU52=2),VLOOKUP(W52,$DO$96:$DP$102,2,FALSE),IF(AND(EF52&lt;=EE52,AW52&gt;=AZ52,AU52=3,'Data Entry'!$C$74=1),VLOOKUP(W52,$DO$127:$DP$134,2,FALSE))))))))))</f>
        <v>0</v>
      </c>
      <c r="CK52" s="716">
        <f t="shared" si="45"/>
        <v>0</v>
      </c>
      <c r="CL52" s="57">
        <f t="shared" si="46"/>
        <v>0</v>
      </c>
      <c r="CM52" s="475">
        <f t="shared" si="77"/>
        <v>0</v>
      </c>
      <c r="CN52" s="660">
        <f>IF(CM52&lt;0.1,0,IF(ISNA(AT52),0,IF(CL52+BC52=1,0,IF(BV52&gt;0.01,0,IF(CL52&gt;0.01,0,IF(CF52=1,0,IF(BC52=0.5,0,IF(AND(CI52=1,AU52=3),0,IF(AND(CI52=5,CL52=0),0,IF(AND(R52=12,BR52=50),0,IF(CK52&gt;0.01,0,IF(AND(AJ52&gt;0.01,AU52=2,BC52=15),CM52*0.1,IF(AND(AJ52&gt;0.01,AU52=3,BC52=15),CM52*0.08,IF(AND(R52=12,BC52=3,AF52&lt;=0),0,IF(AND(BC52=15,BI52=0),0,IF(AND(BC52=15,BJ52=0),0,IF(AND(R52=20,CU52=0),0,IF($X$4=0,0,IF(AND(BC52=250,CL52=0),0,IF(AA52&lt;1,0,IF(AND(ISNUMBER(SEARCH("Area",T52)),AU52=3),0,IF(AND(AQ52&gt;0.01,AR52=0,BK52=0,BL52=0,BM52=0,BN52=0),0,IF(AND(AU52=3,CI52=7,CT52&gt;0.5),0,IF(AND(BC52=44,AU52=3,BY52=0),0,IF(AND(BC52=27,'Data Entry'!$C$74=2),0,IF(AND(BC52=28,'Data Entry'!$C$74=2),0,IF(AND(BY52+BZ52+CA52&gt;0.01,BV52=0,EQ52+ER52+ES52+ET52&lt;100),0,IF(AU52=3,CM52*0.08,IF(AU52=2,CM52*0.1,0)))))))))))))))))))))))))))))</f>
        <v>0</v>
      </c>
      <c r="CO52" s="660">
        <f t="shared" si="47"/>
        <v>0</v>
      </c>
      <c r="CP52" s="475" t="str">
        <f t="shared" si="48"/>
        <v/>
      </c>
      <c r="CQ52" s="161" t="str">
        <f>IF(AH52=0,0,IF(AU52=5,0,Summary!AC55))</f>
        <v/>
      </c>
      <c r="CR52" s="161" t="str">
        <f>IF(BF52=0.5,0,IF(AU52=5,0,Summary!AD55))</f>
        <v/>
      </c>
      <c r="CS52" s="161" t="str">
        <f>IF(AU52=5,0,Summary!AE55)</f>
        <v/>
      </c>
      <c r="CT52" s="161">
        <f t="shared" si="49"/>
        <v>0</v>
      </c>
      <c r="CU52" s="475" t="str">
        <f t="shared" si="7"/>
        <v/>
      </c>
      <c r="CV52" s="307">
        <f>IF('Data Entry'!$C$74=0,0,IF(AA52&lt;1,0,IF(ISERROR(CU52),0,IF(CF52=1,0,IF(AND(R52=12,BR52=50),0,IF(CL52+BO52+BV52+DC52=0,0,IF(BC52=37,0,IF(AND(BC52=40,AJ52=0),0,IF(AND(BC52=37,BO52&gt;0.01,BQ52&gt;0.01),ROUND(BQ52,0),IF(CM52&lt;0,0,ROUND(CM52,0)))))))))))</f>
        <v>0</v>
      </c>
      <c r="CW52" s="700">
        <f t="shared" si="50"/>
        <v>0</v>
      </c>
      <c r="CX52" s="477">
        <f>IF('Data Entry'!$C$74=0,0,IF(CV52&lt;0.01,0,IF(BF52=0.5,0,IF(CF52=1,0,IF(ISNUMBER(SEARCH("false",CL52)),0,IF(AZ52=500,0,CL52))))))</f>
        <v>0</v>
      </c>
      <c r="CY52" s="147" t="e">
        <f t="shared" si="51"/>
        <v>#VALUE!</v>
      </c>
      <c r="CZ52" s="147" t="b">
        <f>IF(CN52+CL52=0,FALSE,IF(AH52=0,0,IF(AND('Data Entry'!$C$74=1,CR52&gt;=1),TRUE,IF(AND('Data Entry'!$C$74=2,CS52&gt;=1),TRUE,FALSE))))</f>
        <v>0</v>
      </c>
      <c r="DA52" s="1751">
        <f>IF('Data Entry'!$C$74=0,0,IFERROR(ROUND(IF(T52="","",IF($X$4=0,0,IF(CF52=1,0,IF(BQ52+CV52=0,0,IF(CF52=1,0,IF(CY52&gt;0.01,CY52,IF(CL52&gt;0.01,CL52,IF(CY52&gt;0.01,CY52,IF(BC52=37,BO52,IF(CZ52=FALSE,0,IF(CZ52=TRUE,DC52+DF52,0))))))))))),2),""))</f>
        <v>0</v>
      </c>
      <c r="DB52" s="1752"/>
      <c r="DC52" s="474">
        <f>IF(CN52&lt;0.01,0,IF(AND(BR52=3,CN52&gt;0.01,CT52&gt;0.6,ER52+ES52+ET52&lt;100),0,IF(AND('Data Entry'!$C$74=1,CN52&gt;0.01,CR52&gt;0.99),MIN(CN52:CO52),IF(AND('Data Entry'!$C$74=2,CN52&gt;0.01,CS52&gt;0.99),MIN(CN52:CO52),0))))</f>
        <v>0</v>
      </c>
      <c r="DD52" s="478">
        <f>IF(CF52=1,"Selection does not match",IF(T52=0,0,IF(AND('Data Entry'!$C$74=0,CP52&gt;1),"Select Oregon or Idaho on Data Entry Tab",IF(AND(AU52=1,AA52&gt;0.9),"Missing Interior or Exterior Selection",IF($X$4=0,"Enter Total Project Cost",IF(AQ52&lt;AR52,"Insufficient kWh savings – no incentive",IF(AND(SUM(CL52+CK52+BV52)&gt;0.01,'Data Entry'!$C$74=2,CJ52&gt;1,BO52=0),"Submit Control as Non-Standard",IF(AND('Data Entry'!$C$74=2,BR52=37,CJ52&gt;1,BO52=0),"Submit Control as Non-Standard",IF(SUM(CL52+CK52+BV52)&gt;0.01,"Standard Incentive",IF(AND('Data Entry'!$C$74=2,CP52=7,CN52=0),"Submit as Non-Standard",IF(DC52&gt;0.9,"Non-Standard Incentive",IF(AND(BY52+BZ52+CA52&gt;0.01,BV52=0,EQ52=0,ER52=0,ES52=0,ET52=0),"Scroll Right &amp; Select Control Strategies",IF(AND(CN52&gt;0.01,CO52=0),"Enter Unit Installed Cost",IF(ISNUMBER(SEARCH("Lighting Controls Only",F52)),"Lighting Controls Only",IF(CL52+DC52=0,"Does not meet incentive criteria",0)))))))))))))))</f>
        <v>0</v>
      </c>
      <c r="DE52" s="337">
        <f t="shared" si="52"/>
        <v>0</v>
      </c>
      <c r="DF52" s="609">
        <f t="shared" si="53"/>
        <v>0</v>
      </c>
      <c r="DG52" s="336" t="str">
        <f t="shared" si="54"/>
        <v/>
      </c>
      <c r="DH52" s="338">
        <f t="shared" si="55"/>
        <v>1</v>
      </c>
      <c r="DI52" s="336" t="e">
        <f t="shared" si="8"/>
        <v>#VALUE!</v>
      </c>
      <c r="DJ52" s="338">
        <f t="shared" si="9"/>
        <v>0</v>
      </c>
      <c r="DK52" s="325" t="s">
        <v>73</v>
      </c>
      <c r="DL52" s="341" t="s">
        <v>450</v>
      </c>
      <c r="DM52" s="325" t="s">
        <v>124</v>
      </c>
      <c r="DN52" s="1439">
        <v>24</v>
      </c>
      <c r="DO52" s="331"/>
      <c r="DP52" s="332"/>
      <c r="DQ52" s="331"/>
      <c r="DR52" s="458"/>
      <c r="DS52" s="1434">
        <f t="shared" si="56"/>
        <v>0</v>
      </c>
      <c r="DT52" s="344" t="b">
        <f t="shared" si="57"/>
        <v>1</v>
      </c>
      <c r="DU52" s="1314" t="str">
        <f t="array" ref="DU52">IF(OR(COUNTIF(F52,"*"&amp;$DK$9:$DK$178&amp;"*")), "Yes", "")</f>
        <v/>
      </c>
      <c r="DV52" s="1314">
        <f t="shared" si="58"/>
        <v>0</v>
      </c>
      <c r="DW52" s="1480">
        <f t="shared" si="59"/>
        <v>0</v>
      </c>
      <c r="DX52" s="1498">
        <f t="shared" si="71"/>
        <v>0</v>
      </c>
      <c r="DY52" s="1484">
        <f t="shared" si="60"/>
        <v>0</v>
      </c>
      <c r="DZ52" s="1481" t="s">
        <v>1140</v>
      </c>
      <c r="EA52" s="881">
        <f>'Product Type'!E54</f>
        <v>0</v>
      </c>
      <c r="EB52" s="1499" t="s">
        <v>1563</v>
      </c>
      <c r="EC52" s="727" t="s">
        <v>1568</v>
      </c>
      <c r="ED52" s="728">
        <v>0.5</v>
      </c>
      <c r="EE52" s="1215"/>
      <c r="EF52" s="1215"/>
      <c r="EG52" s="1184" t="str">
        <f t="shared" si="61"/>
        <v/>
      </c>
      <c r="EH52" s="5"/>
      <c r="EI52" s="55"/>
      <c r="EJ52" s="1185">
        <f t="shared" si="10"/>
        <v>0</v>
      </c>
      <c r="EK52" s="1211"/>
      <c r="EL52" s="1180">
        <f t="shared" si="72"/>
        <v>0</v>
      </c>
      <c r="EM52" s="207"/>
      <c r="EN52" s="1038"/>
      <c r="EO52" s="1038"/>
      <c r="EP52" s="1038"/>
      <c r="EQ52" s="1038">
        <f t="shared" si="62"/>
        <v>0</v>
      </c>
      <c r="ER52" s="1041">
        <f t="shared" si="75"/>
        <v>0</v>
      </c>
      <c r="ES52" s="1042">
        <f t="shared" si="63"/>
        <v>0</v>
      </c>
      <c r="ET52" s="1042">
        <f t="shared" si="73"/>
        <v>0</v>
      </c>
      <c r="EU52" s="1021">
        <f t="shared" si="74"/>
        <v>0</v>
      </c>
      <c r="EV52" s="368"/>
      <c r="EW52" s="368"/>
      <c r="EX52" s="369"/>
      <c r="EY52" s="370"/>
      <c r="EZ52" s="370"/>
      <c r="FA52" s="371"/>
      <c r="FB52" s="372"/>
    </row>
    <row r="53" spans="1:158" ht="34.5" customHeight="1">
      <c r="A53" s="82">
        <v>45</v>
      </c>
      <c r="B53" s="1725"/>
      <c r="C53" s="1726"/>
      <c r="D53" s="1726"/>
      <c r="E53" s="1727"/>
      <c r="F53" s="1732"/>
      <c r="G53" s="1733"/>
      <c r="H53" s="1733"/>
      <c r="I53" s="1734"/>
      <c r="J53" s="1341"/>
      <c r="K53" s="1728"/>
      <c r="L53" s="1728"/>
      <c r="M53" s="1342"/>
      <c r="N53" s="1583"/>
      <c r="O53" s="208" t="str">
        <f t="shared" si="11"/>
        <v/>
      </c>
      <c r="P53" s="785"/>
      <c r="Q53" s="39" t="str">
        <f t="shared" si="0"/>
        <v/>
      </c>
      <c r="R53" s="39">
        <f t="shared" si="12"/>
        <v>0</v>
      </c>
      <c r="S53" s="234">
        <f t="shared" si="13"/>
        <v>0</v>
      </c>
      <c r="T53" s="1755"/>
      <c r="U53" s="1755"/>
      <c r="V53" s="1755"/>
      <c r="W53" s="1345"/>
      <c r="X53" s="1741"/>
      <c r="Y53" s="1742"/>
      <c r="Z53" s="1346"/>
      <c r="AA53" s="1343"/>
      <c r="AB53" s="1141"/>
      <c r="AC53" s="1103" t="str">
        <f>IF(T53="","",VLOOKUP(Z53,Lists!$A$60:$B$111,2,FALSE))</f>
        <v/>
      </c>
      <c r="AD53" s="130" t="str">
        <f t="shared" si="14"/>
        <v/>
      </c>
      <c r="AE53" s="130" t="e">
        <f t="shared" si="15"/>
        <v>#VALUE!</v>
      </c>
      <c r="AF53" s="130">
        <f t="shared" si="16"/>
        <v>1</v>
      </c>
      <c r="AG53" s="234">
        <f t="shared" si="1"/>
        <v>0</v>
      </c>
      <c r="AH53" s="1753" t="str">
        <f>IF(T53="","",(IF(ISNUMBER(SEARCH("exit",T53)),8760,IF(AND(M53="Dusk to Dawn",'Proposed Lighting'!AU53=3),4059,IF(AND(AU53=3,M53="1"),0,IF(AND(AU53=3,M53="1-C"),0,IF(AND(AU53=3,M53="2"),0,IF(AND(AU53=3,M53="2-C"),0,IF(AND(AU53=3,M53="3"),0,IF(AND(AU53=3,M53="3-C"),0,IF(AND(AU53=2,M53="Dusk to Dawn"),0,IF(AND(AU53=2,M53="Dusk to Dawn-C"),0,IF(AND(AU53=2,M53="Dusk to Dawn"),0,IF(AND(AU53=2,M53="E"),0,IF(AND(AU53=2,M53="E-C"),0,EG53)))))))))))))))</f>
        <v/>
      </c>
      <c r="AI53" s="1754"/>
      <c r="AJ53" s="1136"/>
      <c r="AK53" s="1136"/>
      <c r="AL53" s="1748">
        <f t="shared" si="64"/>
        <v>0</v>
      </c>
      <c r="AM53" s="1749"/>
      <c r="AN53" s="1750"/>
      <c r="AO53" s="476">
        <f t="shared" si="2"/>
        <v>0</v>
      </c>
      <c r="AP53" s="476">
        <f t="shared" si="17"/>
        <v>0</v>
      </c>
      <c r="AQ53" s="475">
        <f t="shared" si="3"/>
        <v>0</v>
      </c>
      <c r="AR53" s="475">
        <f t="shared" si="18"/>
        <v>0</v>
      </c>
      <c r="AS53" s="743" t="str">
        <f t="shared" si="79"/>
        <v/>
      </c>
      <c r="AT53" s="736" t="str">
        <f t="shared" si="20"/>
        <v/>
      </c>
      <c r="AU53" s="56">
        <f t="shared" si="21"/>
        <v>1</v>
      </c>
      <c r="AV53" s="476">
        <f t="shared" si="22"/>
        <v>0</v>
      </c>
      <c r="AW53" s="56">
        <f t="shared" si="23"/>
        <v>0</v>
      </c>
      <c r="AX53" s="475">
        <f t="shared" si="65"/>
        <v>0</v>
      </c>
      <c r="AY53" s="1169">
        <f t="shared" si="66"/>
        <v>0</v>
      </c>
      <c r="AZ53" s="1150">
        <f t="shared" si="67"/>
        <v>0</v>
      </c>
      <c r="BA53" s="56">
        <f t="shared" si="68"/>
        <v>0</v>
      </c>
      <c r="BB53" s="420">
        <f t="shared" si="4"/>
        <v>0</v>
      </c>
      <c r="BC53" s="58" t="str">
        <f t="shared" si="5"/>
        <v/>
      </c>
      <c r="BD53" s="660">
        <f t="shared" si="69"/>
        <v>0</v>
      </c>
      <c r="BE53" s="57" t="e">
        <f t="array" ref="BE53">INDEX($EB$11:$ED$1022,MATCH(F53&amp;T53,$EB$11:$EB$1007&amp;$EC$11:$EC$1007,0),3)</f>
        <v>#N/A</v>
      </c>
      <c r="BF53" s="463">
        <f t="shared" si="24"/>
        <v>0</v>
      </c>
      <c r="BG53" s="1445" t="e">
        <f t="array" ref="BG53">INDEX($DO$112:$DQ$123,MATCH(T53&amp;W53,$DO$114:$DO$125&amp;$DP$112:$DP$123,0),3)</f>
        <v>#N/A</v>
      </c>
      <c r="BH53" s="1446">
        <f t="shared" si="25"/>
        <v>0</v>
      </c>
      <c r="BI53" s="465">
        <f t="shared" si="26"/>
        <v>0</v>
      </c>
      <c r="BJ53" s="465">
        <f t="shared" si="27"/>
        <v>0</v>
      </c>
      <c r="BK53" s="466">
        <f t="shared" si="28"/>
        <v>0</v>
      </c>
      <c r="BL53" s="466">
        <f t="shared" si="29"/>
        <v>0</v>
      </c>
      <c r="BM53" s="466">
        <f t="shared" si="30"/>
        <v>0</v>
      </c>
      <c r="BN53" s="466">
        <f t="shared" si="31"/>
        <v>0</v>
      </c>
      <c r="BO53" s="463">
        <f>IF('Data Entry'!$C$74=0,0,IF(ISNA(CJ53),0,IF(AX53=0,0,IF(AND('Data Entry'!$C$74=2,AF53&gt;2,CE53&lt;1),0,IF(AND('Data Entry'!$C$74=2,AF53&gt;1,AU53=2,CJ53&gt;1),0,IF(AND(AF53=5,CT53=0.5,AU53=2,ER53&lt;100),0,IF(AND(AF53=5,CT53=0.5,AU53=3,ER53&lt;100),0,IF(AND('Data Entry'!$C$74=2,AF53=2,AU53=2,AK53&gt;0.01,CB53=2,CE53&lt;1),0,IF(AND('Data Entry'!$C$74=2,AF53=3,AU53=3,AK53&gt;0.01,CB53=3,CE53&lt;1),0,IF(AND('Data Entry'!$C$74=2,AF53=3,AU53=3,AK53&gt;0.01,CB53=3,CE53&gt;0.99),BQ53*0.08,IF(AND('Data Entry'!$C$74=2,AF53=2,AU53=2,AK53&gt;0.01,CB53=2,CE53&gt;0.99),BQ53*0.1,IF(AND(AU53=2,AK53&gt;0.01,CB53=2,CD53&gt;1),BQ53*0.1,IF(AND(AU53=3,AK53&gt;0.01,CB53=3,CD53&gt;1),BQ53*0.08,CJ53*EF53)))))))))))))</f>
        <v>0</v>
      </c>
      <c r="BP53" s="475">
        <f t="shared" si="32"/>
        <v>0</v>
      </c>
      <c r="BQ53" s="1431">
        <f>IF(AU53=1,0,IF(CH53=100,0,IF(AND(AF53=3,AU53=2),0,IF(AND(BH53=0,CT53&gt;0.4),0,IF(AND('Data Entry'!$C$74=2,AF53=1.5),0,IF(AND('Data Entry'!$C$74=2,AF53=1.6),0,IF(AND('Data Entry'!$C$74=2,AF53=4),0,IF(AND('Data Entry'!$C$74=2,AF53=5),0,IF(AND('Data Entry'!$C$74=2,AF53=2.5,CE53&lt;1),0,IF(AND('Data Entry'!$C$74=2,AF53=3,CE53&lt;1),0,IF(AND('Data Entry'!$C$74=1,AF53=2.5,CD53&lt;1),0,IF(AND('Data Entry'!$C$74=1,AF53=3,CD53&lt;1),0,IF(DX53&gt;0.01,DX53,IF(ISERROR(AX53-AY53),"",ROUND(AX53-AY53,2)))))))))))))))</f>
        <v>0</v>
      </c>
      <c r="BR53" s="146">
        <f t="shared" si="33"/>
        <v>0</v>
      </c>
      <c r="BS53" s="475">
        <f t="shared" si="34"/>
        <v>0</v>
      </c>
      <c r="BT53" s="146" t="b">
        <f t="shared" si="35"/>
        <v>0</v>
      </c>
      <c r="BU53" s="463">
        <f>IF(ISNA(AT53),0,IF(AND('Data Entry'!$C$74=2,BC53=27),0,IF(AND('Data Entry'!$C$74=2,BC53=28),0,IF(AND(BC53=27,BT53=27,CM53&gt;0.1),CM53*0.15,IF(AND(BC53=28,BT53=28,CM53&gt;0.1),CM53*0.12,0)))))</f>
        <v>0</v>
      </c>
      <c r="BV53" s="463">
        <f t="shared" si="78"/>
        <v>0</v>
      </c>
      <c r="BW53" s="463">
        <f t="shared" si="37"/>
        <v>0</v>
      </c>
      <c r="BX53" s="463">
        <f t="shared" si="38"/>
        <v>0</v>
      </c>
      <c r="BY53" s="463">
        <f t="shared" si="39"/>
        <v>0</v>
      </c>
      <c r="BZ53" s="463">
        <f t="shared" si="40"/>
        <v>0</v>
      </c>
      <c r="CA53" s="57">
        <f t="shared" si="70"/>
        <v>0</v>
      </c>
      <c r="CB53" s="56">
        <f t="shared" si="41"/>
        <v>1</v>
      </c>
      <c r="CC53" s="756">
        <f>IF(EE53=0,0,IF(EF53=0,0,IF(EE53&gt;AA53,0,IF(AND(AZ53&gt;AW53,AW53&gt;0),0,IF(CU53=0,0,Summary!AC356)))))</f>
        <v>0</v>
      </c>
      <c r="CD53" s="756">
        <f>IF(EE53=0,0,IF(EF53=0,0,IF(EE53&gt;AA53,0,IF(AND(AZ53&gt;AW53,AW53&gt;0),0,IF(CU53=0,0,Summary!AD356)))))</f>
        <v>0</v>
      </c>
      <c r="CE53" s="756">
        <f>IF(EF53=0,0,IF(EE53&gt;AA53,0,IF(CC53=0,0,IF(AND(AZ53&gt;AW53,AW53&gt;0),0,IF(CU53=0,0,Summary!AE356)))))</f>
        <v>0</v>
      </c>
      <c r="CF53" s="475">
        <f t="shared" si="42"/>
        <v>0</v>
      </c>
      <c r="CG53" s="476">
        <f t="shared" si="6"/>
        <v>0</v>
      </c>
      <c r="CH53" s="487">
        <f t="shared" si="43"/>
        <v>0</v>
      </c>
      <c r="CI53" s="756">
        <f t="shared" si="44"/>
        <v>0</v>
      </c>
      <c r="CJ53" s="487">
        <f>IF(CT53&gt;0.4,0,IF(AND(AU53=2,CH53=0,CT53=0.5,ER53=100),35,IF(AND(AU53=3,BB53&gt;75,CH53=0,CT53=0.5,ER53=100),25,IF(CB53&gt;1,0,IF(EF53&gt;EE53,0,IF(AND(AF53&gt;1,CH53=100),0,IF(AND(AF53=1,AY53=0),0,IF(AND(EF53&lt;=EE53,AW53&gt;=AZ53,'Data Entry'!$C$74=1,AU53=2),VLOOKUP(W53,$DO$96:$DP$102,2,FALSE),IF(AND(EF53&lt;=EE53,AW53&gt;=AZ53,AU53=3,'Data Entry'!$C$74=1),VLOOKUP(W53,$DO$127:$DP$134,2,FALSE))))))))))</f>
        <v>0</v>
      </c>
      <c r="CK53" s="716">
        <f t="shared" si="45"/>
        <v>0</v>
      </c>
      <c r="CL53" s="57">
        <f t="shared" si="46"/>
        <v>0</v>
      </c>
      <c r="CM53" s="475">
        <f t="shared" si="77"/>
        <v>0</v>
      </c>
      <c r="CN53" s="660">
        <f>IF(CM53&lt;0.1,0,IF(ISNA(AT53),0,IF(CL53+BC53=1,0,IF(BV53&gt;0.01,0,IF(CL53&gt;0.01,0,IF(CF53=1,0,IF(BC53=0.5,0,IF(AND(CI53=1,AU53=3),0,IF(AND(CI53=5,CL53=0),0,IF(AND(R53=12,BR53=50),0,IF(CK53&gt;0.01,0,IF(AND(AJ53&gt;0.01,AU53=2,BC53=15),CM53*0.1,IF(AND(AJ53&gt;0.01,AU53=3,BC53=15),CM53*0.08,IF(AND(R53=12,BC53=3,AF53&lt;=0),0,IF(AND(BC53=15,BI53=0),0,IF(AND(BC53=15,BJ53=0),0,IF(AND(R53=20,CU53=0),0,IF($X$4=0,0,IF(AND(BC53=250,CL53=0),0,IF(AA53&lt;1,0,IF(AND(ISNUMBER(SEARCH("Area",T53)),AU53=3),0,IF(AND(AQ53&gt;0.01,AR53=0,BK53=0,BL53=0,BM53=0,BN53=0),0,IF(AND(AU53=3,CI53=7,CT53&gt;0.5),0,IF(AND(BC53=44,AU53=3,BY53=0),0,IF(AND(BC53=27,'Data Entry'!$C$74=2),0,IF(AND(BC53=28,'Data Entry'!$C$74=2),0,IF(AND(BY53+BZ53+CA53&gt;0.01,BV53=0,EQ53+ER53+ES53+ET53&lt;100),0,IF(AU53=3,CM53*0.08,IF(AU53=2,CM53*0.1,0)))))))))))))))))))))))))))))</f>
        <v>0</v>
      </c>
      <c r="CO53" s="660">
        <f t="shared" si="47"/>
        <v>0</v>
      </c>
      <c r="CP53" s="475" t="str">
        <f t="shared" si="48"/>
        <v/>
      </c>
      <c r="CQ53" s="161" t="str">
        <f>IF(AH53=0,0,IF(AU53=5,0,Summary!AC56))</f>
        <v/>
      </c>
      <c r="CR53" s="161" t="str">
        <f>IF(BF53=0.5,0,IF(AU53=5,0,Summary!AD56))</f>
        <v/>
      </c>
      <c r="CS53" s="161" t="str">
        <f>IF(AU53=5,0,Summary!AE56)</f>
        <v/>
      </c>
      <c r="CT53" s="161">
        <f t="shared" si="49"/>
        <v>0</v>
      </c>
      <c r="CU53" s="475" t="str">
        <f t="shared" si="7"/>
        <v/>
      </c>
      <c r="CV53" s="307">
        <f>IF('Data Entry'!$C$74=0,0,IF(AA53&lt;1,0,IF(ISERROR(CU53),0,IF(CF53=1,0,IF(AND(R53=12,BR53=50),0,IF(CL53+BO53+BV53+DC53=0,0,IF(BC53=37,0,IF(AND(BC53=40,AJ53=0),0,IF(AND(BC53=37,BO53&gt;0.01,BQ53&gt;0.01),ROUND(BQ53,0),IF(CM53&lt;0,0,ROUND(CM53,0)))))))))))</f>
        <v>0</v>
      </c>
      <c r="CW53" s="700">
        <f t="shared" si="50"/>
        <v>0</v>
      </c>
      <c r="CX53" s="477">
        <f>IF('Data Entry'!$C$74=0,0,IF(CV53&lt;0.01,0,IF(BF53=0.5,0,IF(CF53=1,0,IF(ISNUMBER(SEARCH("false",CL53)),0,IF(AZ53=500,0,CL53))))))</f>
        <v>0</v>
      </c>
      <c r="CY53" s="147" t="e">
        <f t="shared" si="51"/>
        <v>#VALUE!</v>
      </c>
      <c r="CZ53" s="147" t="b">
        <f>IF(CN53+CL53=0,FALSE,IF(AH53=0,0,IF(AND('Data Entry'!$C$74=1,CR53&gt;=1),TRUE,IF(AND('Data Entry'!$C$74=2,CS53&gt;=1),TRUE,FALSE))))</f>
        <v>0</v>
      </c>
      <c r="DA53" s="1751">
        <f>IF('Data Entry'!$C$74=0,0,IFERROR(ROUND(IF(T53="","",IF($X$4=0,0,IF(CF53=1,0,IF(BQ53+CV53=0,0,IF(CF53=1,0,IF(CY53&gt;0.01,CY53,IF(CL53&gt;0.01,CL53,IF(CY53&gt;0.01,CY53,IF(BC53=37,BO53,IF(CZ53=FALSE,0,IF(CZ53=TRUE,DC53+DF53,0))))))))))),2),""))</f>
        <v>0</v>
      </c>
      <c r="DB53" s="1752"/>
      <c r="DC53" s="474">
        <f>IF(CN53&lt;0.01,0,IF(AND(BR53=3,CN53&gt;0.01,CT53&gt;0.6,ER53+ES53+ET53&lt;100),0,IF(AND('Data Entry'!$C$74=1,CN53&gt;0.01,CR53&gt;0.99),MIN(CN53:CO53),IF(AND('Data Entry'!$C$74=2,CN53&gt;0.01,CS53&gt;0.99),MIN(CN53:CO53),0))))</f>
        <v>0</v>
      </c>
      <c r="DD53" s="478">
        <f>IF(CF53=1,"Selection does not match",IF(T53=0,0,IF(AND('Data Entry'!$C$74=0,CP53&gt;1),"Select Oregon or Idaho on Data Entry Tab",IF(AND(AU53=1,AA53&gt;0.9),"Missing Interior or Exterior Selection",IF($X$4=0,"Enter Total Project Cost",IF(AQ53&lt;AR53,"Insufficient kWh savings – no incentive",IF(AND(SUM(CL53+CK53+BV53)&gt;0.01,'Data Entry'!$C$74=2,CJ53&gt;1,BO53=0),"Submit Control as Non-Standard",IF(AND('Data Entry'!$C$74=2,BR53=37,CJ53&gt;1,BO53=0),"Submit Control as Non-Standard",IF(SUM(CL53+CK53+BV53)&gt;0.01,"Standard Incentive",IF(AND('Data Entry'!$C$74=2,CP53=7,CN53=0),"Submit as Non-Standard",IF(DC53&gt;0.9,"Non-Standard Incentive",IF(AND(BY53+BZ53+CA53&gt;0.01,BV53=0,EQ53=0,ER53=0,ES53=0,ET53=0),"Scroll Right &amp; Select Control Strategies",IF(AND(CN53&gt;0.01,CO53=0),"Enter Unit Installed Cost",IF(ISNUMBER(SEARCH("Lighting Controls Only",F53)),"Lighting Controls Only",IF(CL53+DC53=0,"Does not meet incentive criteria",0)))))))))))))))</f>
        <v>0</v>
      </c>
      <c r="DE53" s="337">
        <f t="shared" si="52"/>
        <v>0</v>
      </c>
      <c r="DF53" s="609">
        <f t="shared" si="53"/>
        <v>0</v>
      </c>
      <c r="DG53" s="336" t="str">
        <f t="shared" si="54"/>
        <v/>
      </c>
      <c r="DH53" s="338">
        <f t="shared" si="55"/>
        <v>1</v>
      </c>
      <c r="DI53" s="336" t="e">
        <f t="shared" si="8"/>
        <v>#VALUE!</v>
      </c>
      <c r="DJ53" s="338">
        <f t="shared" si="9"/>
        <v>0</v>
      </c>
      <c r="DK53" s="325" t="s">
        <v>150</v>
      </c>
      <c r="DL53" s="341">
        <v>58</v>
      </c>
      <c r="DM53" s="325" t="s">
        <v>125</v>
      </c>
      <c r="DN53" s="1439">
        <v>32</v>
      </c>
      <c r="DO53" s="331"/>
      <c r="DP53" s="332"/>
      <c r="DQ53" s="331"/>
      <c r="DR53" s="458"/>
      <c r="DS53" s="1434">
        <f t="shared" si="56"/>
        <v>0</v>
      </c>
      <c r="DT53" s="344" t="b">
        <f t="shared" si="57"/>
        <v>1</v>
      </c>
      <c r="DU53" s="1314" t="str">
        <f t="array" ref="DU53">IF(OR(COUNTIF(F53,"*"&amp;$DK$9:$DK$178&amp;"*")), "Yes", "")</f>
        <v/>
      </c>
      <c r="DV53" s="1314">
        <f t="shared" si="58"/>
        <v>0</v>
      </c>
      <c r="DW53" s="1480">
        <f t="shared" si="59"/>
        <v>0</v>
      </c>
      <c r="DX53" s="1498">
        <f t="shared" si="71"/>
        <v>0</v>
      </c>
      <c r="DY53" s="1484">
        <f t="shared" si="60"/>
        <v>0</v>
      </c>
      <c r="DZ53" s="1481" t="s">
        <v>1141</v>
      </c>
      <c r="EA53" s="881">
        <f>'Product Type'!E55</f>
        <v>0</v>
      </c>
      <c r="EB53" s="1499" t="s">
        <v>147</v>
      </c>
      <c r="EC53" s="727" t="s">
        <v>1568</v>
      </c>
      <c r="ED53" s="728">
        <v>0.5</v>
      </c>
      <c r="EE53" s="1215"/>
      <c r="EF53" s="1215"/>
      <c r="EG53" s="1184" t="str">
        <f t="shared" si="61"/>
        <v/>
      </c>
      <c r="EH53" s="5"/>
      <c r="EI53" s="55"/>
      <c r="EJ53" s="1185">
        <f t="shared" si="10"/>
        <v>0</v>
      </c>
      <c r="EK53" s="1211"/>
      <c r="EL53" s="1180">
        <f t="shared" si="72"/>
        <v>0</v>
      </c>
      <c r="EM53" s="207"/>
      <c r="EN53" s="1038"/>
      <c r="EO53" s="1038"/>
      <c r="EP53" s="1038"/>
      <c r="EQ53" s="1038">
        <f t="shared" si="62"/>
        <v>0</v>
      </c>
      <c r="ER53" s="1041">
        <f t="shared" si="75"/>
        <v>0</v>
      </c>
      <c r="ES53" s="1042">
        <f t="shared" si="63"/>
        <v>0</v>
      </c>
      <c r="ET53" s="1042">
        <f t="shared" si="73"/>
        <v>0</v>
      </c>
      <c r="EU53" s="1021">
        <f t="shared" si="74"/>
        <v>0</v>
      </c>
      <c r="EV53" s="368"/>
      <c r="EW53" s="368"/>
      <c r="EX53" s="369"/>
      <c r="EY53" s="370"/>
      <c r="EZ53" s="370"/>
      <c r="FA53" s="371"/>
      <c r="FB53" s="372"/>
    </row>
    <row r="54" spans="1:158" ht="34.5" customHeight="1">
      <c r="A54" s="82">
        <v>46</v>
      </c>
      <c r="B54" s="1725"/>
      <c r="C54" s="1726"/>
      <c r="D54" s="1726"/>
      <c r="E54" s="1727"/>
      <c r="F54" s="1732"/>
      <c r="G54" s="1733"/>
      <c r="H54" s="1733"/>
      <c r="I54" s="1734"/>
      <c r="J54" s="1341"/>
      <c r="K54" s="1728"/>
      <c r="L54" s="1728"/>
      <c r="M54" s="1342"/>
      <c r="N54" s="1583"/>
      <c r="O54" s="208" t="str">
        <f t="shared" si="11"/>
        <v/>
      </c>
      <c r="P54" s="785"/>
      <c r="Q54" s="39" t="str">
        <f t="shared" si="0"/>
        <v/>
      </c>
      <c r="R54" s="39">
        <f t="shared" si="12"/>
        <v>0</v>
      </c>
      <c r="S54" s="234">
        <f t="shared" si="13"/>
        <v>0</v>
      </c>
      <c r="T54" s="1755"/>
      <c r="U54" s="1755"/>
      <c r="V54" s="1755"/>
      <c r="W54" s="1345"/>
      <c r="X54" s="1741"/>
      <c r="Y54" s="1742"/>
      <c r="Z54" s="1346"/>
      <c r="AA54" s="1343"/>
      <c r="AB54" s="1141"/>
      <c r="AC54" s="1103" t="str">
        <f>IF(T54="","",VLOOKUP(Z54,Lists!$A$60:$B$111,2,FALSE))</f>
        <v/>
      </c>
      <c r="AD54" s="130" t="str">
        <f t="shared" si="14"/>
        <v/>
      </c>
      <c r="AE54" s="130" t="e">
        <f t="shared" si="15"/>
        <v>#VALUE!</v>
      </c>
      <c r="AF54" s="130">
        <f t="shared" si="16"/>
        <v>1</v>
      </c>
      <c r="AG54" s="234">
        <f t="shared" si="1"/>
        <v>0</v>
      </c>
      <c r="AH54" s="1753" t="str">
        <f>IF(T54="","",(IF(ISNUMBER(SEARCH("exit",T54)),8760,IF(AND(M54="Dusk to Dawn",'Proposed Lighting'!AU54=3),4059,IF(AND(AU54=3,M54="1"),0,IF(AND(AU54=3,M54="1-C"),0,IF(AND(AU54=3,M54="2"),0,IF(AND(AU54=3,M54="2-C"),0,IF(AND(AU54=3,M54="3"),0,IF(AND(AU54=3,M54="3-C"),0,IF(AND(AU54=2,M54="Dusk to Dawn"),0,IF(AND(AU54=2,M54="Dusk to Dawn-C"),0,IF(AND(AU54=2,M54="Dusk to Dawn"),0,IF(AND(AU54=2,M54="E"),0,IF(AND(AU54=2,M54="E-C"),0,EG54)))))))))))))))</f>
        <v/>
      </c>
      <c r="AI54" s="1754"/>
      <c r="AJ54" s="1136"/>
      <c r="AK54" s="1136"/>
      <c r="AL54" s="1748">
        <f t="shared" si="64"/>
        <v>0</v>
      </c>
      <c r="AM54" s="1749"/>
      <c r="AN54" s="1750"/>
      <c r="AO54" s="476">
        <f t="shared" si="2"/>
        <v>0</v>
      </c>
      <c r="AP54" s="476">
        <f t="shared" si="17"/>
        <v>0</v>
      </c>
      <c r="AQ54" s="475">
        <f t="shared" si="3"/>
        <v>0</v>
      </c>
      <c r="AR54" s="475">
        <f t="shared" si="18"/>
        <v>0</v>
      </c>
      <c r="AS54" s="743" t="str">
        <f t="shared" si="79"/>
        <v/>
      </c>
      <c r="AT54" s="736" t="str">
        <f t="shared" si="20"/>
        <v/>
      </c>
      <c r="AU54" s="56">
        <f t="shared" si="21"/>
        <v>1</v>
      </c>
      <c r="AV54" s="476">
        <f t="shared" si="22"/>
        <v>0</v>
      </c>
      <c r="AW54" s="56">
        <f t="shared" si="23"/>
        <v>0</v>
      </c>
      <c r="AX54" s="475">
        <f t="shared" si="65"/>
        <v>0</v>
      </c>
      <c r="AY54" s="1169">
        <f t="shared" si="66"/>
        <v>0</v>
      </c>
      <c r="AZ54" s="1150">
        <f t="shared" si="67"/>
        <v>0</v>
      </c>
      <c r="BA54" s="56">
        <f t="shared" si="68"/>
        <v>0</v>
      </c>
      <c r="BB54" s="420">
        <f t="shared" si="4"/>
        <v>0</v>
      </c>
      <c r="BC54" s="58" t="str">
        <f t="shared" si="5"/>
        <v/>
      </c>
      <c r="BD54" s="660">
        <f t="shared" si="69"/>
        <v>0</v>
      </c>
      <c r="BE54" s="57" t="e">
        <f t="array" ref="BE54">INDEX($EB$11:$ED$1022,MATCH(F54&amp;T54,$EB$11:$EB$1007&amp;$EC$11:$EC$1007,0),3)</f>
        <v>#N/A</v>
      </c>
      <c r="BF54" s="463">
        <f t="shared" si="24"/>
        <v>0</v>
      </c>
      <c r="BG54" s="1445" t="e">
        <f t="array" ref="BG54">INDEX($DO$112:$DQ$123,MATCH(T54&amp;W54,$DO$114:$DO$125&amp;$DP$112:$DP$123,0),3)</f>
        <v>#N/A</v>
      </c>
      <c r="BH54" s="1446">
        <f t="shared" si="25"/>
        <v>0</v>
      </c>
      <c r="BI54" s="465">
        <f t="shared" si="26"/>
        <v>0</v>
      </c>
      <c r="BJ54" s="465">
        <f t="shared" si="27"/>
        <v>0</v>
      </c>
      <c r="BK54" s="466">
        <f t="shared" si="28"/>
        <v>0</v>
      </c>
      <c r="BL54" s="466">
        <f t="shared" si="29"/>
        <v>0</v>
      </c>
      <c r="BM54" s="466">
        <f t="shared" si="30"/>
        <v>0</v>
      </c>
      <c r="BN54" s="466">
        <f t="shared" si="31"/>
        <v>0</v>
      </c>
      <c r="BO54" s="463">
        <f>IF('Data Entry'!$C$74=0,0,IF(ISNA(CJ54),0,IF(AX54=0,0,IF(AND('Data Entry'!$C$74=2,AF54&gt;2,CE54&lt;1),0,IF(AND('Data Entry'!$C$74=2,AF54&gt;1,AU54=2,CJ54&gt;1),0,IF(AND(AF54=5,CT54=0.5,AU54=2,ER54&lt;100),0,IF(AND(AF54=5,CT54=0.5,AU54=3,ER54&lt;100),0,IF(AND('Data Entry'!$C$74=2,AF54=2,AU54=2,AK54&gt;0.01,CB54=2,CE54&lt;1),0,IF(AND('Data Entry'!$C$74=2,AF54=3,AU54=3,AK54&gt;0.01,CB54=3,CE54&lt;1),0,IF(AND('Data Entry'!$C$74=2,AF54=3,AU54=3,AK54&gt;0.01,CB54=3,CE54&gt;0.99),BQ54*0.08,IF(AND('Data Entry'!$C$74=2,AF54=2,AU54=2,AK54&gt;0.01,CB54=2,CE54&gt;0.99),BQ54*0.1,IF(AND(AU54=2,AK54&gt;0.01,CB54=2,CD54&gt;1),BQ54*0.1,IF(AND(AU54=3,AK54&gt;0.01,CB54=3,CD54&gt;1),BQ54*0.08,CJ54*EF54)))))))))))))</f>
        <v>0</v>
      </c>
      <c r="BP54" s="475">
        <f t="shared" si="32"/>
        <v>0</v>
      </c>
      <c r="BQ54" s="1431">
        <f>IF(AU54=1,0,IF(CH54=100,0,IF(AND(AF54=3,AU54=2),0,IF(AND(BH54=0,CT54&gt;0.4),0,IF(AND('Data Entry'!$C$74=2,AF54=1.5),0,IF(AND('Data Entry'!$C$74=2,AF54=1.6),0,IF(AND('Data Entry'!$C$74=2,AF54=4),0,IF(AND('Data Entry'!$C$74=2,AF54=5),0,IF(AND('Data Entry'!$C$74=2,AF54=2.5,CE54&lt;1),0,IF(AND('Data Entry'!$C$74=2,AF54=3,CE54&lt;1),0,IF(AND('Data Entry'!$C$74=1,AF54=2.5,CD54&lt;1),0,IF(AND('Data Entry'!$C$74=1,AF54=3,CD54&lt;1),0,IF(DX54&gt;0.01,DX54,IF(ISERROR(AX54-AY54),"",ROUND(AX54-AY54,2)))))))))))))))</f>
        <v>0</v>
      </c>
      <c r="BR54" s="146">
        <f t="shared" si="33"/>
        <v>0</v>
      </c>
      <c r="BS54" s="475">
        <f t="shared" si="34"/>
        <v>0</v>
      </c>
      <c r="BT54" s="146" t="b">
        <f t="shared" si="35"/>
        <v>0</v>
      </c>
      <c r="BU54" s="463">
        <f>IF(ISNA(AT54),0,IF(AND('Data Entry'!$C$74=2,BC54=27),0,IF(AND('Data Entry'!$C$74=2,BC54=28),0,IF(AND(BC54=27,BT54=27,CM54&gt;0.1),CM54*0.15,IF(AND(BC54=28,BT54=28,CM54&gt;0.1),CM54*0.12,0)))))</f>
        <v>0</v>
      </c>
      <c r="BV54" s="463">
        <f t="shared" si="78"/>
        <v>0</v>
      </c>
      <c r="BW54" s="463">
        <f t="shared" si="37"/>
        <v>0</v>
      </c>
      <c r="BX54" s="463">
        <f t="shared" si="38"/>
        <v>0</v>
      </c>
      <c r="BY54" s="463">
        <f t="shared" si="39"/>
        <v>0</v>
      </c>
      <c r="BZ54" s="463">
        <f t="shared" si="40"/>
        <v>0</v>
      </c>
      <c r="CA54" s="57">
        <f t="shared" si="70"/>
        <v>0</v>
      </c>
      <c r="CB54" s="56">
        <f t="shared" si="41"/>
        <v>1</v>
      </c>
      <c r="CC54" s="756">
        <f>IF(EE54=0,0,IF(EF54=0,0,IF(EE54&gt;AA54,0,IF(AND(AZ54&gt;AW54,AW54&gt;0),0,IF(CU54=0,0,Summary!AC357)))))</f>
        <v>0</v>
      </c>
      <c r="CD54" s="756">
        <f>IF(EE54=0,0,IF(EF54=0,0,IF(EE54&gt;AA54,0,IF(AND(AZ54&gt;AW54,AW54&gt;0),0,IF(CU54=0,0,Summary!AD357)))))</f>
        <v>0</v>
      </c>
      <c r="CE54" s="756">
        <f>IF(EF54=0,0,IF(EE54&gt;AA54,0,IF(CC54=0,0,IF(AND(AZ54&gt;AW54,AW54&gt;0),0,IF(CU54=0,0,Summary!AE357)))))</f>
        <v>0</v>
      </c>
      <c r="CF54" s="475">
        <f t="shared" si="42"/>
        <v>0</v>
      </c>
      <c r="CG54" s="476">
        <f t="shared" si="6"/>
        <v>0</v>
      </c>
      <c r="CH54" s="487">
        <f t="shared" si="43"/>
        <v>0</v>
      </c>
      <c r="CI54" s="756">
        <f t="shared" si="44"/>
        <v>0</v>
      </c>
      <c r="CJ54" s="487">
        <f>IF(CT54&gt;0.4,0,IF(AND(AU54=2,CH54=0,CT54=0.5,ER54=100),35,IF(AND(AU54=3,BB54&gt;75,CH54=0,CT54=0.5,ER54=100),25,IF(CB54&gt;1,0,IF(EF54&gt;EE54,0,IF(AND(AF54&gt;1,CH54=100),0,IF(AND(AF54=1,AY54=0),0,IF(AND(EF54&lt;=EE54,AW54&gt;=AZ54,'Data Entry'!$C$74=1,AU54=2),VLOOKUP(W54,$DO$96:$DP$102,2,FALSE),IF(AND(EF54&lt;=EE54,AW54&gt;=AZ54,AU54=3,'Data Entry'!$C$74=1),VLOOKUP(W54,$DO$127:$DP$134,2,FALSE))))))))))</f>
        <v>0</v>
      </c>
      <c r="CK54" s="716">
        <f t="shared" si="45"/>
        <v>0</v>
      </c>
      <c r="CL54" s="57">
        <f t="shared" si="46"/>
        <v>0</v>
      </c>
      <c r="CM54" s="475">
        <f t="shared" si="77"/>
        <v>0</v>
      </c>
      <c r="CN54" s="660">
        <f>IF(CM54&lt;0.1,0,IF(ISNA(AT54),0,IF(CL54+BC54=1,0,IF(BV54&gt;0.01,0,IF(CL54&gt;0.01,0,IF(CF54=1,0,IF(BC54=0.5,0,IF(AND(CI54=1,AU54=3),0,IF(AND(CI54=5,CL54=0),0,IF(AND(R54=12,BR54=50),0,IF(CK54&gt;0.01,0,IF(AND(AJ54&gt;0.01,AU54=2,BC54=15),CM54*0.1,IF(AND(AJ54&gt;0.01,AU54=3,BC54=15),CM54*0.08,IF(AND(R54=12,BC54=3,AF54&lt;=0),0,IF(AND(BC54=15,BI54=0),0,IF(AND(BC54=15,BJ54=0),0,IF(AND(R54=20,CU54=0),0,IF($X$4=0,0,IF(AND(BC54=250,CL54=0),0,IF(AA54&lt;1,0,IF(AND(ISNUMBER(SEARCH("Area",T54)),AU54=3),0,IF(AND(AQ54&gt;0.01,AR54=0,BK54=0,BL54=0,BM54=0,BN54=0),0,IF(AND(AU54=3,CI54=7,CT54&gt;0.5),0,IF(AND(BC54=44,AU54=3,BY54=0),0,IF(AND(BC54=27,'Data Entry'!$C$74=2),0,IF(AND(BC54=28,'Data Entry'!$C$74=2),0,IF(AND(BY54+BZ54+CA54&gt;0.01,BV54=0,EQ54+ER54+ES54+ET54&lt;100),0,IF(AU54=3,CM54*0.08,IF(AU54=2,CM54*0.1,0)))))))))))))))))))))))))))))</f>
        <v>0</v>
      </c>
      <c r="CO54" s="660">
        <f t="shared" si="47"/>
        <v>0</v>
      </c>
      <c r="CP54" s="475" t="str">
        <f t="shared" si="48"/>
        <v/>
      </c>
      <c r="CQ54" s="161" t="str">
        <f>IF(AH54=0,0,IF(AU54=5,0,Summary!AC57))</f>
        <v/>
      </c>
      <c r="CR54" s="161" t="str">
        <f>IF(BF54=0.5,0,IF(AU54=5,0,Summary!AD57))</f>
        <v/>
      </c>
      <c r="CS54" s="161" t="str">
        <f>IF(AU54=5,0,Summary!AE57)</f>
        <v/>
      </c>
      <c r="CT54" s="161">
        <f t="shared" si="49"/>
        <v>0</v>
      </c>
      <c r="CU54" s="475" t="str">
        <f t="shared" si="7"/>
        <v/>
      </c>
      <c r="CV54" s="307">
        <f>IF('Data Entry'!$C$74=0,0,IF(AA54&lt;1,0,IF(ISERROR(CU54),0,IF(CF54=1,0,IF(AND(R54=12,BR54=50),0,IF(CL54+BO54+BV54+DC54=0,0,IF(BC54=37,0,IF(AND(BC54=40,AJ54=0),0,IF(AND(BC54=37,BO54&gt;0.01,BQ54&gt;0.01),ROUND(BQ54,0),IF(CM54&lt;0,0,ROUND(CM54,0)))))))))))</f>
        <v>0</v>
      </c>
      <c r="CW54" s="700">
        <f t="shared" si="50"/>
        <v>0</v>
      </c>
      <c r="CX54" s="477">
        <f>IF('Data Entry'!$C$74=0,0,IF(CV54&lt;0.01,0,IF(BF54=0.5,0,IF(CF54=1,0,IF(ISNUMBER(SEARCH("false",CL54)),0,IF(AZ54=500,0,CL54))))))</f>
        <v>0</v>
      </c>
      <c r="CY54" s="147" t="e">
        <f t="shared" si="51"/>
        <v>#VALUE!</v>
      </c>
      <c r="CZ54" s="147" t="b">
        <f>IF(CN54+CL54=0,FALSE,IF(AH54=0,0,IF(AND('Data Entry'!$C$74=1,CR54&gt;=1),TRUE,IF(AND('Data Entry'!$C$74=2,CS54&gt;=1),TRUE,FALSE))))</f>
        <v>0</v>
      </c>
      <c r="DA54" s="1751">
        <f>IF('Data Entry'!$C$74=0,0,IFERROR(ROUND(IF(T54="","",IF($X$4=0,0,IF(CF54=1,0,IF(BQ54+CV54=0,0,IF(CF54=1,0,IF(CY54&gt;0.01,CY54,IF(CL54&gt;0.01,CL54,IF(CY54&gt;0.01,CY54,IF(BC54=37,BO54,IF(CZ54=FALSE,0,IF(CZ54=TRUE,DC54+DF54,0))))))))))),2),""))</f>
        <v>0</v>
      </c>
      <c r="DB54" s="1752"/>
      <c r="DC54" s="474">
        <f>IF(CN54&lt;0.01,0,IF(AND(BR54=3,CN54&gt;0.01,CT54&gt;0.6,ER54+ES54+ET54&lt;100),0,IF(AND('Data Entry'!$C$74=1,CN54&gt;0.01,CR54&gt;0.99),MIN(CN54:CO54),IF(AND('Data Entry'!$C$74=2,CN54&gt;0.01,CS54&gt;0.99),MIN(CN54:CO54),0))))</f>
        <v>0</v>
      </c>
      <c r="DD54" s="478">
        <f>IF(CF54=1,"Selection does not match",IF(T54=0,0,IF(AND('Data Entry'!$C$74=0,CP54&gt;1),"Select Oregon or Idaho on Data Entry Tab",IF(AND(AU54=1,AA54&gt;0.9),"Missing Interior or Exterior Selection",IF($X$4=0,"Enter Total Project Cost",IF(AQ54&lt;AR54,"Insufficient kWh savings – no incentive",IF(AND(SUM(CL54+CK54+BV54)&gt;0.01,'Data Entry'!$C$74=2,CJ54&gt;1,BO54=0),"Submit Control as Non-Standard",IF(AND('Data Entry'!$C$74=2,BR54=37,CJ54&gt;1,BO54=0),"Submit Control as Non-Standard",IF(SUM(CL54+CK54+BV54)&gt;0.01,"Standard Incentive",IF(AND('Data Entry'!$C$74=2,CP54=7,CN54=0),"Submit as Non-Standard",IF(DC54&gt;0.9,"Non-Standard Incentive",IF(AND(BY54+BZ54+CA54&gt;0.01,BV54=0,EQ54=0,ER54=0,ES54=0,ET54=0),"Scroll Right &amp; Select Control Strategies",IF(AND(CN54&gt;0.01,CO54=0),"Enter Unit Installed Cost",IF(ISNUMBER(SEARCH("Lighting Controls Only",F54)),"Lighting Controls Only",IF(CL54+DC54=0,"Does not meet incentive criteria",0)))))))))))))))</f>
        <v>0</v>
      </c>
      <c r="DE54" s="337">
        <f t="shared" si="52"/>
        <v>0</v>
      </c>
      <c r="DF54" s="609">
        <f t="shared" si="53"/>
        <v>0</v>
      </c>
      <c r="DG54" s="336" t="str">
        <f t="shared" si="54"/>
        <v/>
      </c>
      <c r="DH54" s="338">
        <f t="shared" si="55"/>
        <v>1</v>
      </c>
      <c r="DI54" s="336" t="e">
        <f t="shared" si="8"/>
        <v>#VALUE!</v>
      </c>
      <c r="DJ54" s="338">
        <f t="shared" si="9"/>
        <v>0</v>
      </c>
      <c r="DK54" s="320" t="s">
        <v>151</v>
      </c>
      <c r="DL54" s="323">
        <v>111</v>
      </c>
      <c r="DM54" s="320" t="s">
        <v>73</v>
      </c>
      <c r="DN54" s="1438"/>
      <c r="DO54" s="331"/>
      <c r="DP54" s="332"/>
      <c r="DQ54" s="331"/>
      <c r="DR54" s="458"/>
      <c r="DS54" s="1434">
        <f t="shared" si="56"/>
        <v>0</v>
      </c>
      <c r="DT54" s="344" t="b">
        <f t="shared" si="57"/>
        <v>1</v>
      </c>
      <c r="DU54" s="1314" t="str">
        <f t="array" ref="DU54">IF(OR(COUNTIF(F54,"*"&amp;$DK$9:$DK$178&amp;"*")), "Yes", "")</f>
        <v/>
      </c>
      <c r="DV54" s="1314">
        <f t="shared" si="58"/>
        <v>0</v>
      </c>
      <c r="DW54" s="1480">
        <f t="shared" si="59"/>
        <v>0</v>
      </c>
      <c r="DX54" s="1498">
        <f t="shared" si="71"/>
        <v>0</v>
      </c>
      <c r="DY54" s="1484">
        <f t="shared" si="60"/>
        <v>0</v>
      </c>
      <c r="DZ54" s="1481" t="s">
        <v>1142</v>
      </c>
      <c r="EA54" s="881">
        <f>'Product Type'!E56</f>
        <v>0</v>
      </c>
      <c r="EB54" s="1499" t="s">
        <v>148</v>
      </c>
      <c r="EC54" s="727" t="s">
        <v>1568</v>
      </c>
      <c r="ED54" s="728">
        <v>0.5</v>
      </c>
      <c r="EE54" s="1215"/>
      <c r="EF54" s="1215"/>
      <c r="EG54" s="1184" t="str">
        <f t="shared" si="61"/>
        <v/>
      </c>
      <c r="EH54" s="5"/>
      <c r="EI54" s="55"/>
      <c r="EJ54" s="1185">
        <f t="shared" si="10"/>
        <v>0</v>
      </c>
      <c r="EK54" s="1211"/>
      <c r="EL54" s="1180">
        <f t="shared" si="72"/>
        <v>0</v>
      </c>
      <c r="EM54" s="207"/>
      <c r="EN54" s="1038"/>
      <c r="EO54" s="1038"/>
      <c r="EP54" s="1038"/>
      <c r="EQ54" s="1038">
        <f t="shared" si="62"/>
        <v>0</v>
      </c>
      <c r="ER54" s="1041">
        <f t="shared" si="75"/>
        <v>0</v>
      </c>
      <c r="ES54" s="1042">
        <f t="shared" si="63"/>
        <v>0</v>
      </c>
      <c r="ET54" s="1042">
        <f t="shared" si="73"/>
        <v>0</v>
      </c>
      <c r="EU54" s="1021">
        <f t="shared" si="74"/>
        <v>0</v>
      </c>
      <c r="EV54" s="368"/>
      <c r="EW54" s="368"/>
      <c r="EX54" s="369"/>
      <c r="EY54" s="370"/>
      <c r="EZ54" s="370"/>
      <c r="FA54" s="371"/>
      <c r="FB54" s="372"/>
    </row>
    <row r="55" spans="1:158" ht="34.5" customHeight="1">
      <c r="A55" s="82">
        <v>47</v>
      </c>
      <c r="B55" s="1725"/>
      <c r="C55" s="1726"/>
      <c r="D55" s="1726"/>
      <c r="E55" s="1727"/>
      <c r="F55" s="1732"/>
      <c r="G55" s="1733"/>
      <c r="H55" s="1733"/>
      <c r="I55" s="1734"/>
      <c r="J55" s="1341"/>
      <c r="K55" s="1728"/>
      <c r="L55" s="1728"/>
      <c r="M55" s="1342"/>
      <c r="N55" s="1583"/>
      <c r="O55" s="208" t="str">
        <f t="shared" si="11"/>
        <v/>
      </c>
      <c r="P55" s="785"/>
      <c r="Q55" s="39" t="str">
        <f t="shared" si="0"/>
        <v/>
      </c>
      <c r="R55" s="39">
        <f t="shared" si="12"/>
        <v>0</v>
      </c>
      <c r="S55" s="234">
        <f t="shared" si="13"/>
        <v>0</v>
      </c>
      <c r="T55" s="1755"/>
      <c r="U55" s="1755"/>
      <c r="V55" s="1755"/>
      <c r="W55" s="1345"/>
      <c r="X55" s="1741"/>
      <c r="Y55" s="1742"/>
      <c r="Z55" s="1346"/>
      <c r="AA55" s="1343"/>
      <c r="AB55" s="1141"/>
      <c r="AC55" s="1103" t="str">
        <f>IF(T55="","",VLOOKUP(Z55,Lists!$A$60:$B$111,2,FALSE))</f>
        <v/>
      </c>
      <c r="AD55" s="130" t="str">
        <f t="shared" si="14"/>
        <v/>
      </c>
      <c r="AE55" s="130" t="e">
        <f t="shared" si="15"/>
        <v>#VALUE!</v>
      </c>
      <c r="AF55" s="130">
        <f t="shared" si="16"/>
        <v>1</v>
      </c>
      <c r="AG55" s="234">
        <f t="shared" si="1"/>
        <v>0</v>
      </c>
      <c r="AH55" s="1753" t="str">
        <f>IF(T55="","",(IF(ISNUMBER(SEARCH("exit",T55)),8760,IF(AND(M55="Dusk to Dawn",'Proposed Lighting'!AU55=3),4059,IF(AND(AU55=3,M55="1"),0,IF(AND(AU55=3,M55="1-C"),0,IF(AND(AU55=3,M55="2"),0,IF(AND(AU55=3,M55="2-C"),0,IF(AND(AU55=3,M55="3"),0,IF(AND(AU55=3,M55="3-C"),0,IF(AND(AU55=2,M55="Dusk to Dawn"),0,IF(AND(AU55=2,M55="Dusk to Dawn-C"),0,IF(AND(AU55=2,M55="Dusk to Dawn"),0,IF(AND(AU55=2,M55="E"),0,IF(AND(AU55=2,M55="E-C"),0,EG55)))))))))))))))</f>
        <v/>
      </c>
      <c r="AI55" s="1754"/>
      <c r="AJ55" s="1136"/>
      <c r="AK55" s="1136"/>
      <c r="AL55" s="1748">
        <f t="shared" si="64"/>
        <v>0</v>
      </c>
      <c r="AM55" s="1749"/>
      <c r="AN55" s="1750"/>
      <c r="AO55" s="476">
        <f t="shared" si="2"/>
        <v>0</v>
      </c>
      <c r="AP55" s="476">
        <f t="shared" si="17"/>
        <v>0</v>
      </c>
      <c r="AQ55" s="475">
        <f t="shared" si="3"/>
        <v>0</v>
      </c>
      <c r="AR55" s="475">
        <f t="shared" si="18"/>
        <v>0</v>
      </c>
      <c r="AS55" s="743" t="str">
        <f t="shared" si="79"/>
        <v/>
      </c>
      <c r="AT55" s="736" t="str">
        <f t="shared" si="20"/>
        <v/>
      </c>
      <c r="AU55" s="56">
        <f t="shared" si="21"/>
        <v>1</v>
      </c>
      <c r="AV55" s="476">
        <f t="shared" si="22"/>
        <v>0</v>
      </c>
      <c r="AW55" s="56">
        <f t="shared" si="23"/>
        <v>0</v>
      </c>
      <c r="AX55" s="475">
        <f t="shared" si="65"/>
        <v>0</v>
      </c>
      <c r="AY55" s="1169">
        <f t="shared" si="66"/>
        <v>0</v>
      </c>
      <c r="AZ55" s="1150">
        <f t="shared" si="67"/>
        <v>0</v>
      </c>
      <c r="BA55" s="56">
        <f t="shared" si="68"/>
        <v>0</v>
      </c>
      <c r="BB55" s="420">
        <f t="shared" si="4"/>
        <v>0</v>
      </c>
      <c r="BC55" s="58" t="str">
        <f t="shared" si="5"/>
        <v/>
      </c>
      <c r="BD55" s="660">
        <f t="shared" si="69"/>
        <v>0</v>
      </c>
      <c r="BE55" s="57" t="e">
        <f t="array" ref="BE55">INDEX($EB$11:$ED$1022,MATCH(F55&amp;T55,$EB$11:$EB$1007&amp;$EC$11:$EC$1007,0),3)</f>
        <v>#N/A</v>
      </c>
      <c r="BF55" s="463">
        <f t="shared" si="24"/>
        <v>0</v>
      </c>
      <c r="BG55" s="1445" t="e">
        <f t="array" ref="BG55">INDEX($DO$112:$DQ$123,MATCH(T55&amp;W55,$DO$114:$DO$125&amp;$DP$112:$DP$123,0),3)</f>
        <v>#N/A</v>
      </c>
      <c r="BH55" s="1446">
        <f t="shared" si="25"/>
        <v>0</v>
      </c>
      <c r="BI55" s="465">
        <f t="shared" si="26"/>
        <v>0</v>
      </c>
      <c r="BJ55" s="465">
        <f t="shared" si="27"/>
        <v>0</v>
      </c>
      <c r="BK55" s="466">
        <f t="shared" si="28"/>
        <v>0</v>
      </c>
      <c r="BL55" s="466">
        <f t="shared" si="29"/>
        <v>0</v>
      </c>
      <c r="BM55" s="466">
        <f t="shared" si="30"/>
        <v>0</v>
      </c>
      <c r="BN55" s="466">
        <f t="shared" si="31"/>
        <v>0</v>
      </c>
      <c r="BO55" s="463">
        <f>IF('Data Entry'!$C$74=0,0,IF(ISNA(CJ55),0,IF(AX55=0,0,IF(AND('Data Entry'!$C$74=2,AF55&gt;2,CE55&lt;1),0,IF(AND('Data Entry'!$C$74=2,AF55&gt;1,AU55=2,CJ55&gt;1),0,IF(AND(AF55=5,CT55=0.5,AU55=2,ER55&lt;100),0,IF(AND(AF55=5,CT55=0.5,AU55=3,ER55&lt;100),0,IF(AND('Data Entry'!$C$74=2,AF55=2,AU55=2,AK55&gt;0.01,CB55=2,CE55&lt;1),0,IF(AND('Data Entry'!$C$74=2,AF55=3,AU55=3,AK55&gt;0.01,CB55=3,CE55&lt;1),0,IF(AND('Data Entry'!$C$74=2,AF55=3,AU55=3,AK55&gt;0.01,CB55=3,CE55&gt;0.99),BQ55*0.08,IF(AND('Data Entry'!$C$74=2,AF55=2,AU55=2,AK55&gt;0.01,CB55=2,CE55&gt;0.99),BQ55*0.1,IF(AND(AU55=2,AK55&gt;0.01,CB55=2,CD55&gt;1),BQ55*0.1,IF(AND(AU55=3,AK55&gt;0.01,CB55=3,CD55&gt;1),BQ55*0.08,CJ55*EF55)))))))))))))</f>
        <v>0</v>
      </c>
      <c r="BP55" s="475">
        <f t="shared" si="32"/>
        <v>0</v>
      </c>
      <c r="BQ55" s="1431">
        <f>IF(AU55=1,0,IF(CH55=100,0,IF(AND(AF55=3,AU55=2),0,IF(AND(BH55=0,CT55&gt;0.4),0,IF(AND('Data Entry'!$C$74=2,AF55=1.5),0,IF(AND('Data Entry'!$C$74=2,AF55=1.6),0,IF(AND('Data Entry'!$C$74=2,AF55=4),0,IF(AND('Data Entry'!$C$74=2,AF55=5),0,IF(AND('Data Entry'!$C$74=2,AF55=2.5,CE55&lt;1),0,IF(AND('Data Entry'!$C$74=2,AF55=3,CE55&lt;1),0,IF(AND('Data Entry'!$C$74=1,AF55=2.5,CD55&lt;1),0,IF(AND('Data Entry'!$C$74=1,AF55=3,CD55&lt;1),0,IF(DX55&gt;0.01,DX55,IF(ISERROR(AX55-AY55),"",ROUND(AX55-AY55,2)))))))))))))))</f>
        <v>0</v>
      </c>
      <c r="BR55" s="146">
        <f t="shared" si="33"/>
        <v>0</v>
      </c>
      <c r="BS55" s="475">
        <f t="shared" si="34"/>
        <v>0</v>
      </c>
      <c r="BT55" s="146" t="b">
        <f t="shared" si="35"/>
        <v>0</v>
      </c>
      <c r="BU55" s="463">
        <f>IF(ISNA(AT55),0,IF(AND('Data Entry'!$C$74=2,BC55=27),0,IF(AND('Data Entry'!$C$74=2,BC55=28),0,IF(AND(BC55=27,BT55=27,CM55&gt;0.1),CM55*0.15,IF(AND(BC55=28,BT55=28,CM55&gt;0.1),CM55*0.12,0)))))</f>
        <v>0</v>
      </c>
      <c r="BV55" s="463">
        <f t="shared" si="78"/>
        <v>0</v>
      </c>
      <c r="BW55" s="463">
        <f t="shared" si="37"/>
        <v>0</v>
      </c>
      <c r="BX55" s="463">
        <f t="shared" si="38"/>
        <v>0</v>
      </c>
      <c r="BY55" s="463">
        <f t="shared" si="39"/>
        <v>0</v>
      </c>
      <c r="BZ55" s="463">
        <f t="shared" si="40"/>
        <v>0</v>
      </c>
      <c r="CA55" s="57">
        <f t="shared" si="70"/>
        <v>0</v>
      </c>
      <c r="CB55" s="56">
        <f t="shared" si="41"/>
        <v>1</v>
      </c>
      <c r="CC55" s="756">
        <f>IF(EE55=0,0,IF(EF55=0,0,IF(EE55&gt;AA55,0,IF(AND(AZ55&gt;AW55,AW55&gt;0),0,IF(CU55=0,0,Summary!AC358)))))</f>
        <v>0</v>
      </c>
      <c r="CD55" s="756">
        <f>IF(EE55=0,0,IF(EF55=0,0,IF(EE55&gt;AA55,0,IF(AND(AZ55&gt;AW55,AW55&gt;0),0,IF(CU55=0,0,Summary!AD358)))))</f>
        <v>0</v>
      </c>
      <c r="CE55" s="756">
        <f>IF(EF55=0,0,IF(EE55&gt;AA55,0,IF(CC55=0,0,IF(AND(AZ55&gt;AW55,AW55&gt;0),0,IF(CU55=0,0,Summary!AE358)))))</f>
        <v>0</v>
      </c>
      <c r="CF55" s="475">
        <f t="shared" si="42"/>
        <v>0</v>
      </c>
      <c r="CG55" s="476">
        <f t="shared" si="6"/>
        <v>0</v>
      </c>
      <c r="CH55" s="487">
        <f t="shared" si="43"/>
        <v>0</v>
      </c>
      <c r="CI55" s="756">
        <f t="shared" si="44"/>
        <v>0</v>
      </c>
      <c r="CJ55" s="487">
        <f>IF(CT55&gt;0.4,0,IF(AND(AU55=2,CH55=0,CT55=0.5,ER55=100),35,IF(AND(AU55=3,BB55&gt;75,CH55=0,CT55=0.5,ER55=100),25,IF(CB55&gt;1,0,IF(EF55&gt;EE55,0,IF(AND(AF55&gt;1,CH55=100),0,IF(AND(AF55=1,AY55=0),0,IF(AND(EF55&lt;=EE55,AW55&gt;=AZ55,'Data Entry'!$C$74=1,AU55=2),VLOOKUP(W55,$DO$96:$DP$102,2,FALSE),IF(AND(EF55&lt;=EE55,AW55&gt;=AZ55,AU55=3,'Data Entry'!$C$74=1),VLOOKUP(W55,$DO$127:$DP$134,2,FALSE))))))))))</f>
        <v>0</v>
      </c>
      <c r="CK55" s="716">
        <f t="shared" si="45"/>
        <v>0</v>
      </c>
      <c r="CL55" s="57">
        <f t="shared" si="46"/>
        <v>0</v>
      </c>
      <c r="CM55" s="475">
        <f t="shared" si="77"/>
        <v>0</v>
      </c>
      <c r="CN55" s="660">
        <f>IF(CM55&lt;0.1,0,IF(ISNA(AT55),0,IF(CL55+BC55=1,0,IF(BV55&gt;0.01,0,IF(CL55&gt;0.01,0,IF(CF55=1,0,IF(BC55=0.5,0,IF(AND(CI55=1,AU55=3),0,IF(AND(CI55=5,CL55=0),0,IF(AND(R55=12,BR55=50),0,IF(CK55&gt;0.01,0,IF(AND(AJ55&gt;0.01,AU55=2,BC55=15),CM55*0.1,IF(AND(AJ55&gt;0.01,AU55=3,BC55=15),CM55*0.08,IF(AND(R55=12,BC55=3,AF55&lt;=0),0,IF(AND(BC55=15,BI55=0),0,IF(AND(BC55=15,BJ55=0),0,IF(AND(R55=20,CU55=0),0,IF($X$4=0,0,IF(AND(BC55=250,CL55=0),0,IF(AA55&lt;1,0,IF(AND(ISNUMBER(SEARCH("Area",T55)),AU55=3),0,IF(AND(AQ55&gt;0.01,AR55=0,BK55=0,BL55=0,BM55=0,BN55=0),0,IF(AND(AU55=3,CI55=7,CT55&gt;0.5),0,IF(AND(BC55=44,AU55=3,BY55=0),0,IF(AND(BC55=27,'Data Entry'!$C$74=2),0,IF(AND(BC55=28,'Data Entry'!$C$74=2),0,IF(AND(BY55+BZ55+CA55&gt;0.01,BV55=0,EQ55+ER55+ES55+ET55&lt;100),0,IF(AU55=3,CM55*0.08,IF(AU55=2,CM55*0.1,0)))))))))))))))))))))))))))))</f>
        <v>0</v>
      </c>
      <c r="CO55" s="660">
        <f t="shared" si="47"/>
        <v>0</v>
      </c>
      <c r="CP55" s="475" t="str">
        <f t="shared" si="48"/>
        <v/>
      </c>
      <c r="CQ55" s="161" t="str">
        <f>IF(AH55=0,0,IF(AU55=5,0,Summary!AC58))</f>
        <v/>
      </c>
      <c r="CR55" s="161" t="str">
        <f>IF(BF55=0.5,0,IF(AU55=5,0,Summary!AD58))</f>
        <v/>
      </c>
      <c r="CS55" s="161" t="str">
        <f>IF(AU55=5,0,Summary!AE58)</f>
        <v/>
      </c>
      <c r="CT55" s="161">
        <f t="shared" si="49"/>
        <v>0</v>
      </c>
      <c r="CU55" s="475" t="str">
        <f t="shared" si="7"/>
        <v/>
      </c>
      <c r="CV55" s="307">
        <f>IF('Data Entry'!$C$74=0,0,IF(AA55&lt;1,0,IF(ISERROR(CU55),0,IF(CF55=1,0,IF(AND(R55=12,BR55=50),0,IF(CL55+BO55+BV55+DC55=0,0,IF(BC55=37,0,IF(AND(BC55=40,AJ55=0),0,IF(AND(BC55=37,BO55&gt;0.01,BQ55&gt;0.01),ROUND(BQ55,0),IF(CM55&lt;0,0,ROUND(CM55,0)))))))))))</f>
        <v>0</v>
      </c>
      <c r="CW55" s="700">
        <f t="shared" si="50"/>
        <v>0</v>
      </c>
      <c r="CX55" s="477">
        <f>IF('Data Entry'!$C$74=0,0,IF(CV55&lt;0.01,0,IF(BF55=0.5,0,IF(CF55=1,0,IF(ISNUMBER(SEARCH("false",CL55)),0,IF(AZ55=500,0,CL55))))))</f>
        <v>0</v>
      </c>
      <c r="CY55" s="147" t="e">
        <f t="shared" si="51"/>
        <v>#VALUE!</v>
      </c>
      <c r="CZ55" s="147" t="b">
        <f>IF(CN55+CL55=0,FALSE,IF(AH55=0,0,IF(AND('Data Entry'!$C$74=1,CR55&gt;=1),TRUE,IF(AND('Data Entry'!$C$74=2,CS55&gt;=1),TRUE,FALSE))))</f>
        <v>0</v>
      </c>
      <c r="DA55" s="1751">
        <f>IF('Data Entry'!$C$74=0,0,IFERROR(ROUND(IF(T55="","",IF($X$4=0,0,IF(CF55=1,0,IF(BQ55+CV55=0,0,IF(CF55=1,0,IF(CY55&gt;0.01,CY55,IF(CL55&gt;0.01,CL55,IF(CY55&gt;0.01,CY55,IF(BC55=37,BO55,IF(CZ55=FALSE,0,IF(CZ55=TRUE,DC55+DF55,0))))))))))),2),""))</f>
        <v>0</v>
      </c>
      <c r="DB55" s="1752"/>
      <c r="DC55" s="474">
        <f>IF(CN55&lt;0.01,0,IF(AND(BR55=3,CN55&gt;0.01,CT55&gt;0.6,ER55+ES55+ET55&lt;100),0,IF(AND('Data Entry'!$C$74=1,CN55&gt;0.01,CR55&gt;0.99),MIN(CN55:CO55),IF(AND('Data Entry'!$C$74=2,CN55&gt;0.01,CS55&gt;0.99),MIN(CN55:CO55),0))))</f>
        <v>0</v>
      </c>
      <c r="DD55" s="478">
        <f>IF(CF55=1,"Selection does not match",IF(T55=0,0,IF(AND('Data Entry'!$C$74=0,CP55&gt;1),"Select Oregon or Idaho on Data Entry Tab",IF(AND(AU55=1,AA55&gt;0.9),"Missing Interior or Exterior Selection",IF($X$4=0,"Enter Total Project Cost",IF(AQ55&lt;AR55,"Insufficient kWh savings – no incentive",IF(AND(SUM(CL55+CK55+BV55)&gt;0.01,'Data Entry'!$C$74=2,CJ55&gt;1,BO55=0),"Submit Control as Non-Standard",IF(AND('Data Entry'!$C$74=2,BR55=37,CJ55&gt;1,BO55=0),"Submit Control as Non-Standard",IF(SUM(CL55+CK55+BV55)&gt;0.01,"Standard Incentive",IF(AND('Data Entry'!$C$74=2,CP55=7,CN55=0),"Submit as Non-Standard",IF(DC55&gt;0.9,"Non-Standard Incentive",IF(AND(BY55+BZ55+CA55&gt;0.01,BV55=0,EQ55=0,ER55=0,ES55=0,ET55=0),"Scroll Right &amp; Select Control Strategies",IF(AND(CN55&gt;0.01,CO55=0),"Enter Unit Installed Cost",IF(ISNUMBER(SEARCH("Lighting Controls Only",F55)),"Lighting Controls Only",IF(CL55+DC55=0,"Does not meet incentive criteria",0)))))))))))))))</f>
        <v>0</v>
      </c>
      <c r="DE55" s="337">
        <f t="shared" si="52"/>
        <v>0</v>
      </c>
      <c r="DF55" s="609">
        <f t="shared" si="53"/>
        <v>0</v>
      </c>
      <c r="DG55" s="336" t="str">
        <f t="shared" si="54"/>
        <v/>
      </c>
      <c r="DH55" s="338">
        <f t="shared" si="55"/>
        <v>1</v>
      </c>
      <c r="DI55" s="336" t="e">
        <f t="shared" si="8"/>
        <v>#VALUE!</v>
      </c>
      <c r="DJ55" s="338">
        <f t="shared" si="9"/>
        <v>0</v>
      </c>
      <c r="DK55" s="339" t="s">
        <v>152</v>
      </c>
      <c r="DL55" s="323">
        <v>168</v>
      </c>
      <c r="DM55" s="414" t="s">
        <v>459</v>
      </c>
      <c r="DN55" s="1439"/>
      <c r="DO55" s="1510" t="s">
        <v>1809</v>
      </c>
      <c r="DP55" s="1511" t="s">
        <v>1810</v>
      </c>
      <c r="DQ55" s="331"/>
      <c r="DR55" s="458"/>
      <c r="DS55" s="1434">
        <f t="shared" si="56"/>
        <v>0</v>
      </c>
      <c r="DT55" s="344" t="b">
        <f t="shared" si="57"/>
        <v>1</v>
      </c>
      <c r="DU55" s="1314" t="str">
        <f t="array" ref="DU55">IF(OR(COUNTIF(F55,"*"&amp;$DK$9:$DK$178&amp;"*")), "Yes", "")</f>
        <v/>
      </c>
      <c r="DV55" s="1314">
        <f t="shared" si="58"/>
        <v>0</v>
      </c>
      <c r="DW55" s="1480">
        <f t="shared" si="59"/>
        <v>0</v>
      </c>
      <c r="DX55" s="1498">
        <f t="shared" si="71"/>
        <v>0</v>
      </c>
      <c r="DY55" s="1484">
        <f t="shared" si="60"/>
        <v>0</v>
      </c>
      <c r="DZ55" s="1481" t="s">
        <v>1143</v>
      </c>
      <c r="EA55" s="881">
        <f>'Product Type'!E57</f>
        <v>0</v>
      </c>
      <c r="EB55" s="1499" t="s">
        <v>149</v>
      </c>
      <c r="EC55" s="727" t="s">
        <v>1568</v>
      </c>
      <c r="ED55" s="728">
        <v>0.5</v>
      </c>
      <c r="EE55" s="1215"/>
      <c r="EF55" s="1215"/>
      <c r="EG55" s="1184" t="str">
        <f t="shared" si="61"/>
        <v/>
      </c>
      <c r="EH55" s="5"/>
      <c r="EI55" s="55"/>
      <c r="EJ55" s="1185">
        <f t="shared" si="10"/>
        <v>0</v>
      </c>
      <c r="EK55" s="1211"/>
      <c r="EL55" s="1180">
        <f t="shared" si="72"/>
        <v>0</v>
      </c>
      <c r="EM55" s="207"/>
      <c r="EN55" s="1038"/>
      <c r="EO55" s="1038"/>
      <c r="EP55" s="1038"/>
      <c r="EQ55" s="1038">
        <f t="shared" si="62"/>
        <v>0</v>
      </c>
      <c r="ER55" s="1041">
        <f t="shared" si="75"/>
        <v>0</v>
      </c>
      <c r="ES55" s="1042">
        <f t="shared" si="63"/>
        <v>0</v>
      </c>
      <c r="ET55" s="1042">
        <f t="shared" si="73"/>
        <v>0</v>
      </c>
      <c r="EU55" s="1021">
        <f t="shared" si="74"/>
        <v>0</v>
      </c>
      <c r="EV55" s="368"/>
      <c r="EW55" s="368"/>
      <c r="EX55" s="369"/>
      <c r="EY55" s="370"/>
      <c r="EZ55" s="370"/>
      <c r="FA55" s="371"/>
      <c r="FB55" s="372"/>
    </row>
    <row r="56" spans="1:158" ht="34.5" customHeight="1">
      <c r="A56" s="82">
        <v>48</v>
      </c>
      <c r="B56" s="1725"/>
      <c r="C56" s="1726"/>
      <c r="D56" s="1726"/>
      <c r="E56" s="1727"/>
      <c r="F56" s="1732"/>
      <c r="G56" s="1733"/>
      <c r="H56" s="1733"/>
      <c r="I56" s="1734"/>
      <c r="J56" s="1341"/>
      <c r="K56" s="1728"/>
      <c r="L56" s="1728"/>
      <c r="M56" s="1342"/>
      <c r="N56" s="1583"/>
      <c r="O56" s="208" t="str">
        <f t="shared" si="11"/>
        <v/>
      </c>
      <c r="P56" s="785"/>
      <c r="Q56" s="39" t="str">
        <f t="shared" si="0"/>
        <v/>
      </c>
      <c r="R56" s="39">
        <f t="shared" si="12"/>
        <v>0</v>
      </c>
      <c r="S56" s="234">
        <f t="shared" si="13"/>
        <v>0</v>
      </c>
      <c r="T56" s="1755"/>
      <c r="U56" s="1755"/>
      <c r="V56" s="1755"/>
      <c r="W56" s="1345"/>
      <c r="X56" s="1741"/>
      <c r="Y56" s="1742"/>
      <c r="Z56" s="1346"/>
      <c r="AA56" s="1343"/>
      <c r="AB56" s="1141"/>
      <c r="AC56" s="1103" t="str">
        <f>IF(T56="","",VLOOKUP(Z56,Lists!$A$60:$B$111,2,FALSE))</f>
        <v/>
      </c>
      <c r="AD56" s="130" t="str">
        <f t="shared" si="14"/>
        <v/>
      </c>
      <c r="AE56" s="130" t="e">
        <f t="shared" si="15"/>
        <v>#VALUE!</v>
      </c>
      <c r="AF56" s="130">
        <f t="shared" si="16"/>
        <v>1</v>
      </c>
      <c r="AG56" s="234">
        <f t="shared" si="1"/>
        <v>0</v>
      </c>
      <c r="AH56" s="1753" t="str">
        <f>IF(T56="","",(IF(ISNUMBER(SEARCH("exit",T56)),8760,IF(AND(M56="Dusk to Dawn",'Proposed Lighting'!AU56=3),4059,IF(AND(AU56=3,M56="1"),0,IF(AND(AU56=3,M56="1-C"),0,IF(AND(AU56=3,M56="2"),0,IF(AND(AU56=3,M56="2-C"),0,IF(AND(AU56=3,M56="3"),0,IF(AND(AU56=3,M56="3-C"),0,IF(AND(AU56=2,M56="Dusk to Dawn"),0,IF(AND(AU56=2,M56="Dusk to Dawn-C"),0,IF(AND(AU56=2,M56="Dusk to Dawn"),0,IF(AND(AU56=2,M56="E"),0,IF(AND(AU56=2,M56="E-C"),0,EG56)))))))))))))))</f>
        <v/>
      </c>
      <c r="AI56" s="1754"/>
      <c r="AJ56" s="1136"/>
      <c r="AK56" s="1136"/>
      <c r="AL56" s="1748">
        <f t="shared" si="64"/>
        <v>0</v>
      </c>
      <c r="AM56" s="1749"/>
      <c r="AN56" s="1750"/>
      <c r="AO56" s="476">
        <f t="shared" si="2"/>
        <v>0</v>
      </c>
      <c r="AP56" s="476">
        <f t="shared" si="17"/>
        <v>0</v>
      </c>
      <c r="AQ56" s="475">
        <f t="shared" si="3"/>
        <v>0</v>
      </c>
      <c r="AR56" s="475">
        <f t="shared" si="18"/>
        <v>0</v>
      </c>
      <c r="AS56" s="743" t="str">
        <f t="shared" si="79"/>
        <v/>
      </c>
      <c r="AT56" s="736" t="str">
        <f t="shared" si="20"/>
        <v/>
      </c>
      <c r="AU56" s="56">
        <f t="shared" si="21"/>
        <v>1</v>
      </c>
      <c r="AV56" s="476">
        <f t="shared" si="22"/>
        <v>0</v>
      </c>
      <c r="AW56" s="56">
        <f t="shared" si="23"/>
        <v>0</v>
      </c>
      <c r="AX56" s="475">
        <f t="shared" si="65"/>
        <v>0</v>
      </c>
      <c r="AY56" s="1169">
        <f t="shared" si="66"/>
        <v>0</v>
      </c>
      <c r="AZ56" s="1150">
        <f t="shared" si="67"/>
        <v>0</v>
      </c>
      <c r="BA56" s="56">
        <f t="shared" si="68"/>
        <v>0</v>
      </c>
      <c r="BB56" s="420">
        <f t="shared" si="4"/>
        <v>0</v>
      </c>
      <c r="BC56" s="58" t="str">
        <f t="shared" si="5"/>
        <v/>
      </c>
      <c r="BD56" s="660">
        <f t="shared" si="69"/>
        <v>0</v>
      </c>
      <c r="BE56" s="57" t="e">
        <f t="array" ref="BE56">INDEX($EB$11:$ED$1022,MATCH(F56&amp;T56,$EB$11:$EB$1007&amp;$EC$11:$EC$1007,0),3)</f>
        <v>#N/A</v>
      </c>
      <c r="BF56" s="463">
        <f t="shared" si="24"/>
        <v>0</v>
      </c>
      <c r="BG56" s="1445" t="e">
        <f t="array" ref="BG56">INDEX($DO$112:$DQ$123,MATCH(T56&amp;W56,$DO$114:$DO$125&amp;$DP$112:$DP$123,0),3)</f>
        <v>#N/A</v>
      </c>
      <c r="BH56" s="1446">
        <f t="shared" si="25"/>
        <v>0</v>
      </c>
      <c r="BI56" s="465">
        <f t="shared" si="26"/>
        <v>0</v>
      </c>
      <c r="BJ56" s="465">
        <f t="shared" si="27"/>
        <v>0</v>
      </c>
      <c r="BK56" s="466">
        <f t="shared" si="28"/>
        <v>0</v>
      </c>
      <c r="BL56" s="466">
        <f t="shared" si="29"/>
        <v>0</v>
      </c>
      <c r="BM56" s="466">
        <f t="shared" si="30"/>
        <v>0</v>
      </c>
      <c r="BN56" s="466">
        <f t="shared" si="31"/>
        <v>0</v>
      </c>
      <c r="BO56" s="463">
        <f>IF('Data Entry'!$C$74=0,0,IF(ISNA(CJ56),0,IF(AX56=0,0,IF(AND('Data Entry'!$C$74=2,AF56&gt;2,CE56&lt;1),0,IF(AND('Data Entry'!$C$74=2,AF56&gt;1,AU56=2,CJ56&gt;1),0,IF(AND(AF56=5,CT56=0.5,AU56=2,ER56&lt;100),0,IF(AND(AF56=5,CT56=0.5,AU56=3,ER56&lt;100),0,IF(AND('Data Entry'!$C$74=2,AF56=2,AU56=2,AK56&gt;0.01,CB56=2,CE56&lt;1),0,IF(AND('Data Entry'!$C$74=2,AF56=3,AU56=3,AK56&gt;0.01,CB56=3,CE56&lt;1),0,IF(AND('Data Entry'!$C$74=2,AF56=3,AU56=3,AK56&gt;0.01,CB56=3,CE56&gt;0.99),BQ56*0.08,IF(AND('Data Entry'!$C$74=2,AF56=2,AU56=2,AK56&gt;0.01,CB56=2,CE56&gt;0.99),BQ56*0.1,IF(AND(AU56=2,AK56&gt;0.01,CB56=2,CD56&gt;1),BQ56*0.1,IF(AND(AU56=3,AK56&gt;0.01,CB56=3,CD56&gt;1),BQ56*0.08,CJ56*EF56)))))))))))))</f>
        <v>0</v>
      </c>
      <c r="BP56" s="475">
        <f t="shared" si="32"/>
        <v>0</v>
      </c>
      <c r="BQ56" s="1431">
        <f>IF(AU56=1,0,IF(CH56=100,0,IF(AND(AF56=3,AU56=2),0,IF(AND(BH56=0,CT56&gt;0.4),0,IF(AND('Data Entry'!$C$74=2,AF56=1.5),0,IF(AND('Data Entry'!$C$74=2,AF56=1.6),0,IF(AND('Data Entry'!$C$74=2,AF56=4),0,IF(AND('Data Entry'!$C$74=2,AF56=5),0,IF(AND('Data Entry'!$C$74=2,AF56=2.5,CE56&lt;1),0,IF(AND('Data Entry'!$C$74=2,AF56=3,CE56&lt;1),0,IF(AND('Data Entry'!$C$74=1,AF56=2.5,CD56&lt;1),0,IF(AND('Data Entry'!$C$74=1,AF56=3,CD56&lt;1),0,IF(DX56&gt;0.01,DX56,IF(ISERROR(AX56-AY56),"",ROUND(AX56-AY56,2)))))))))))))))</f>
        <v>0</v>
      </c>
      <c r="BR56" s="146">
        <f t="shared" si="33"/>
        <v>0</v>
      </c>
      <c r="BS56" s="475">
        <f t="shared" si="34"/>
        <v>0</v>
      </c>
      <c r="BT56" s="146" t="b">
        <f t="shared" si="35"/>
        <v>0</v>
      </c>
      <c r="BU56" s="463">
        <f>IF(ISNA(AT56),0,IF(AND('Data Entry'!$C$74=2,BC56=27),0,IF(AND('Data Entry'!$C$74=2,BC56=28),0,IF(AND(BC56=27,BT56=27,CM56&gt;0.1),CM56*0.15,IF(AND(BC56=28,BT56=28,CM56&gt;0.1),CM56*0.12,0)))))</f>
        <v>0</v>
      </c>
      <c r="BV56" s="463">
        <f t="shared" si="78"/>
        <v>0</v>
      </c>
      <c r="BW56" s="463">
        <f t="shared" si="37"/>
        <v>0</v>
      </c>
      <c r="BX56" s="463">
        <f t="shared" si="38"/>
        <v>0</v>
      </c>
      <c r="BY56" s="463">
        <f t="shared" si="39"/>
        <v>0</v>
      </c>
      <c r="BZ56" s="463">
        <f t="shared" si="40"/>
        <v>0</v>
      </c>
      <c r="CA56" s="57">
        <f t="shared" si="70"/>
        <v>0</v>
      </c>
      <c r="CB56" s="56">
        <f t="shared" si="41"/>
        <v>1</v>
      </c>
      <c r="CC56" s="756">
        <f>IF(EE56=0,0,IF(EF56=0,0,IF(EE56&gt;AA56,0,IF(AND(AZ56&gt;AW56,AW56&gt;0),0,IF(CU56=0,0,Summary!AC359)))))</f>
        <v>0</v>
      </c>
      <c r="CD56" s="756">
        <f>IF(EE56=0,0,IF(EF56=0,0,IF(EE56&gt;AA56,0,IF(AND(AZ56&gt;AW56,AW56&gt;0),0,IF(CU56=0,0,Summary!AD359)))))</f>
        <v>0</v>
      </c>
      <c r="CE56" s="756">
        <f>IF(EF56=0,0,IF(EE56&gt;AA56,0,IF(CC56=0,0,IF(AND(AZ56&gt;AW56,AW56&gt;0),0,IF(CU56=0,0,Summary!AE359)))))</f>
        <v>0</v>
      </c>
      <c r="CF56" s="475">
        <f t="shared" si="42"/>
        <v>0</v>
      </c>
      <c r="CG56" s="476">
        <f t="shared" si="6"/>
        <v>0</v>
      </c>
      <c r="CH56" s="487">
        <f t="shared" si="43"/>
        <v>0</v>
      </c>
      <c r="CI56" s="756">
        <f t="shared" si="44"/>
        <v>0</v>
      </c>
      <c r="CJ56" s="487">
        <f>IF(CT56&gt;0.4,0,IF(AND(AU56=2,CH56=0,CT56=0.5,ER56=100),35,IF(AND(AU56=3,BB56&gt;75,CH56=0,CT56=0.5,ER56=100),25,IF(CB56&gt;1,0,IF(EF56&gt;EE56,0,IF(AND(AF56&gt;1,CH56=100),0,IF(AND(AF56=1,AY56=0),0,IF(AND(EF56&lt;=EE56,AW56&gt;=AZ56,'Data Entry'!$C$74=1,AU56=2),VLOOKUP(W56,$DO$96:$DP$102,2,FALSE),IF(AND(EF56&lt;=EE56,AW56&gt;=AZ56,AU56=3,'Data Entry'!$C$74=1),VLOOKUP(W56,$DO$127:$DP$134,2,FALSE))))))))))</f>
        <v>0</v>
      </c>
      <c r="CK56" s="716">
        <f t="shared" si="45"/>
        <v>0</v>
      </c>
      <c r="CL56" s="57">
        <f t="shared" si="46"/>
        <v>0</v>
      </c>
      <c r="CM56" s="475">
        <f t="shared" si="77"/>
        <v>0</v>
      </c>
      <c r="CN56" s="660">
        <f>IF(CM56&lt;0.1,0,IF(ISNA(AT56),0,IF(CL56+BC56=1,0,IF(BV56&gt;0.01,0,IF(CL56&gt;0.01,0,IF(CF56=1,0,IF(BC56=0.5,0,IF(AND(CI56=1,AU56=3),0,IF(AND(CI56=5,CL56=0),0,IF(AND(R56=12,BR56=50),0,IF(CK56&gt;0.01,0,IF(AND(AJ56&gt;0.01,AU56=2,BC56=15),CM56*0.1,IF(AND(AJ56&gt;0.01,AU56=3,BC56=15),CM56*0.08,IF(AND(R56=12,BC56=3,AF56&lt;=0),0,IF(AND(BC56=15,BI56=0),0,IF(AND(BC56=15,BJ56=0),0,IF(AND(R56=20,CU56=0),0,IF($X$4=0,0,IF(AND(BC56=250,CL56=0),0,IF(AA56&lt;1,0,IF(AND(ISNUMBER(SEARCH("Area",T56)),AU56=3),0,IF(AND(AQ56&gt;0.01,AR56=0,BK56=0,BL56=0,BM56=0,BN56=0),0,IF(AND(AU56=3,CI56=7,CT56&gt;0.5),0,IF(AND(BC56=44,AU56=3,BY56=0),0,IF(AND(BC56=27,'Data Entry'!$C$74=2),0,IF(AND(BC56=28,'Data Entry'!$C$74=2),0,IF(AND(BY56+BZ56+CA56&gt;0.01,BV56=0,EQ56+ER56+ES56+ET56&lt;100),0,IF(AU56=3,CM56*0.08,IF(AU56=2,CM56*0.1,0)))))))))))))))))))))))))))))</f>
        <v>0</v>
      </c>
      <c r="CO56" s="660">
        <f t="shared" si="47"/>
        <v>0</v>
      </c>
      <c r="CP56" s="475" t="str">
        <f t="shared" si="48"/>
        <v/>
      </c>
      <c r="CQ56" s="161" t="str">
        <f>IF(AH56=0,0,IF(AU56=5,0,Summary!AC59))</f>
        <v/>
      </c>
      <c r="CR56" s="161" t="str">
        <f>IF(BF56=0.5,0,IF(AU56=5,0,Summary!AD59))</f>
        <v/>
      </c>
      <c r="CS56" s="161" t="str">
        <f>IF(AU56=5,0,Summary!AE59)</f>
        <v/>
      </c>
      <c r="CT56" s="161">
        <f t="shared" si="49"/>
        <v>0</v>
      </c>
      <c r="CU56" s="475" t="str">
        <f t="shared" si="7"/>
        <v/>
      </c>
      <c r="CV56" s="307">
        <f>IF('Data Entry'!$C$74=0,0,IF(AA56&lt;1,0,IF(ISERROR(CU56),0,IF(CF56=1,0,IF(AND(R56=12,BR56=50),0,IF(CL56+BO56+BV56+DC56=0,0,IF(BC56=37,0,IF(AND(BC56=40,AJ56=0),0,IF(AND(BC56=37,BO56&gt;0.01,BQ56&gt;0.01),ROUND(BQ56,0),IF(CM56&lt;0,0,ROUND(CM56,0)))))))))))</f>
        <v>0</v>
      </c>
      <c r="CW56" s="700">
        <f t="shared" si="50"/>
        <v>0</v>
      </c>
      <c r="CX56" s="477">
        <f>IF('Data Entry'!$C$74=0,0,IF(CV56&lt;0.01,0,IF(BF56=0.5,0,IF(CF56=1,0,IF(ISNUMBER(SEARCH("false",CL56)),0,IF(AZ56=500,0,CL56))))))</f>
        <v>0</v>
      </c>
      <c r="CY56" s="147" t="e">
        <f t="shared" si="51"/>
        <v>#VALUE!</v>
      </c>
      <c r="CZ56" s="147" t="b">
        <f>IF(CN56+CL56=0,FALSE,IF(AH56=0,0,IF(AND('Data Entry'!$C$74=1,CR56&gt;=1),TRUE,IF(AND('Data Entry'!$C$74=2,CS56&gt;=1),TRUE,FALSE))))</f>
        <v>0</v>
      </c>
      <c r="DA56" s="1751">
        <f>IF('Data Entry'!$C$74=0,0,IFERROR(ROUND(IF(T56="","",IF($X$4=0,0,IF(CF56=1,0,IF(BQ56+CV56=0,0,IF(CF56=1,0,IF(CY56&gt;0.01,CY56,IF(CL56&gt;0.01,CL56,IF(CY56&gt;0.01,CY56,IF(BC56=37,BO56,IF(CZ56=FALSE,0,IF(CZ56=TRUE,DC56+DF56,0))))))))))),2),""))</f>
        <v>0</v>
      </c>
      <c r="DB56" s="1752"/>
      <c r="DC56" s="474">
        <f>IF(CN56&lt;0.01,0,IF(AND(BR56=3,CN56&gt;0.01,CT56&gt;0.6,ER56+ES56+ET56&lt;100),0,IF(AND('Data Entry'!$C$74=1,CN56&gt;0.01,CR56&gt;0.99),MIN(CN56:CO56),IF(AND('Data Entry'!$C$74=2,CN56&gt;0.01,CS56&gt;0.99),MIN(CN56:CO56),0))))</f>
        <v>0</v>
      </c>
      <c r="DD56" s="478">
        <f>IF(CF56=1,"Selection does not match",IF(T56=0,0,IF(AND('Data Entry'!$C$74=0,CP56&gt;1),"Select Oregon or Idaho on Data Entry Tab",IF(AND(AU56=1,AA56&gt;0.9),"Missing Interior or Exterior Selection",IF($X$4=0,"Enter Total Project Cost",IF(AQ56&lt;AR56,"Insufficient kWh savings – no incentive",IF(AND(SUM(CL56+CK56+BV56)&gt;0.01,'Data Entry'!$C$74=2,CJ56&gt;1,BO56=0),"Submit Control as Non-Standard",IF(AND('Data Entry'!$C$74=2,BR56=37,CJ56&gt;1,BO56=0),"Submit Control as Non-Standard",IF(SUM(CL56+CK56+BV56)&gt;0.01,"Standard Incentive",IF(AND('Data Entry'!$C$74=2,CP56=7,CN56=0),"Submit as Non-Standard",IF(DC56&gt;0.9,"Non-Standard Incentive",IF(AND(BY56+BZ56+CA56&gt;0.01,BV56=0,EQ56=0,ER56=0,ES56=0,ET56=0),"Scroll Right &amp; Select Control Strategies",IF(AND(CN56&gt;0.01,CO56=0),"Enter Unit Installed Cost",IF(ISNUMBER(SEARCH("Lighting Controls Only",F56)),"Lighting Controls Only",IF(CL56+DC56=0,"Does not meet incentive criteria",0)))))))))))))))</f>
        <v>0</v>
      </c>
      <c r="DE56" s="337">
        <f t="shared" si="52"/>
        <v>0</v>
      </c>
      <c r="DF56" s="609">
        <f t="shared" si="53"/>
        <v>0</v>
      </c>
      <c r="DG56" s="336" t="str">
        <f t="shared" si="54"/>
        <v/>
      </c>
      <c r="DH56" s="338">
        <f t="shared" si="55"/>
        <v>1</v>
      </c>
      <c r="DI56" s="336" t="e">
        <f t="shared" si="8"/>
        <v>#VALUE!</v>
      </c>
      <c r="DJ56" s="338">
        <f t="shared" si="9"/>
        <v>0</v>
      </c>
      <c r="DK56" s="320" t="s">
        <v>153</v>
      </c>
      <c r="DL56" s="323">
        <v>221</v>
      </c>
      <c r="DM56" s="320" t="s">
        <v>73</v>
      </c>
      <c r="DN56" s="1439"/>
      <c r="DO56" s="1512" t="s">
        <v>1864</v>
      </c>
      <c r="DP56" s="1516">
        <v>0</v>
      </c>
      <c r="DQ56" s="331"/>
      <c r="DR56" s="458"/>
      <c r="DS56" s="1434">
        <f t="shared" si="56"/>
        <v>0</v>
      </c>
      <c r="DT56" s="344" t="b">
        <f t="shared" si="57"/>
        <v>1</v>
      </c>
      <c r="DU56" s="1314" t="str">
        <f t="array" ref="DU56">IF(OR(COUNTIF(F56,"*"&amp;$DK$9:$DK$178&amp;"*")), "Yes", "")</f>
        <v/>
      </c>
      <c r="DV56" s="1314">
        <f t="shared" si="58"/>
        <v>0</v>
      </c>
      <c r="DW56" s="1480">
        <f t="shared" si="59"/>
        <v>0</v>
      </c>
      <c r="DX56" s="1498">
        <f t="shared" si="71"/>
        <v>0</v>
      </c>
      <c r="DY56" s="1484">
        <f t="shared" si="60"/>
        <v>0</v>
      </c>
      <c r="DZ56" s="1481" t="s">
        <v>1144</v>
      </c>
      <c r="EA56" s="881">
        <f>'Product Type'!E58</f>
        <v>0</v>
      </c>
      <c r="EB56" s="1499" t="s">
        <v>73</v>
      </c>
      <c r="EC56" s="727" t="s">
        <v>1568</v>
      </c>
      <c r="ED56" s="728">
        <v>0.5</v>
      </c>
      <c r="EE56" s="1215"/>
      <c r="EF56" s="1215"/>
      <c r="EG56" s="1184" t="str">
        <f t="shared" si="61"/>
        <v/>
      </c>
      <c r="EH56" s="5"/>
      <c r="EI56" s="55"/>
      <c r="EJ56" s="1185">
        <f t="shared" si="10"/>
        <v>0</v>
      </c>
      <c r="EK56" s="1211"/>
      <c r="EL56" s="1180">
        <f t="shared" si="72"/>
        <v>0</v>
      </c>
      <c r="EM56" s="207"/>
      <c r="EN56" s="1038"/>
      <c r="EO56" s="1038"/>
      <c r="EP56" s="1038"/>
      <c r="EQ56" s="1038">
        <f t="shared" si="62"/>
        <v>0</v>
      </c>
      <c r="ER56" s="1041">
        <f t="shared" si="75"/>
        <v>0</v>
      </c>
      <c r="ES56" s="1042">
        <f t="shared" si="63"/>
        <v>0</v>
      </c>
      <c r="ET56" s="1042">
        <f t="shared" si="73"/>
        <v>0</v>
      </c>
      <c r="EU56" s="1021">
        <f t="shared" si="74"/>
        <v>0</v>
      </c>
      <c r="EV56" s="368"/>
      <c r="EW56" s="368"/>
      <c r="EX56" s="369"/>
      <c r="EY56" s="370"/>
      <c r="EZ56" s="370"/>
      <c r="FA56" s="371"/>
      <c r="FB56" s="372"/>
    </row>
    <row r="57" spans="1:158" ht="34.5" customHeight="1">
      <c r="A57" s="82">
        <v>49</v>
      </c>
      <c r="B57" s="1725"/>
      <c r="C57" s="1726"/>
      <c r="D57" s="1726"/>
      <c r="E57" s="1727"/>
      <c r="F57" s="1732"/>
      <c r="G57" s="1733"/>
      <c r="H57" s="1733"/>
      <c r="I57" s="1734"/>
      <c r="J57" s="1341"/>
      <c r="K57" s="1728"/>
      <c r="L57" s="1728"/>
      <c r="M57" s="1342"/>
      <c r="N57" s="1583"/>
      <c r="O57" s="208" t="str">
        <f t="shared" si="11"/>
        <v/>
      </c>
      <c r="P57" s="785"/>
      <c r="Q57" s="39" t="str">
        <f t="shared" si="0"/>
        <v/>
      </c>
      <c r="R57" s="39">
        <f t="shared" si="12"/>
        <v>0</v>
      </c>
      <c r="S57" s="234">
        <f t="shared" si="13"/>
        <v>0</v>
      </c>
      <c r="T57" s="1755"/>
      <c r="U57" s="1755"/>
      <c r="V57" s="1755"/>
      <c r="W57" s="1345"/>
      <c r="X57" s="1741"/>
      <c r="Y57" s="1742"/>
      <c r="Z57" s="1346"/>
      <c r="AA57" s="1343"/>
      <c r="AB57" s="1141"/>
      <c r="AC57" s="1103" t="str">
        <f>IF(T57="","",VLOOKUP(Z57,Lists!$A$60:$B$111,2,FALSE))</f>
        <v/>
      </c>
      <c r="AD57" s="130" t="str">
        <f t="shared" si="14"/>
        <v/>
      </c>
      <c r="AE57" s="130" t="e">
        <f t="shared" si="15"/>
        <v>#VALUE!</v>
      </c>
      <c r="AF57" s="130">
        <f t="shared" si="16"/>
        <v>1</v>
      </c>
      <c r="AG57" s="234">
        <f t="shared" si="1"/>
        <v>0</v>
      </c>
      <c r="AH57" s="1753" t="str">
        <f>IF(T57="","",(IF(ISNUMBER(SEARCH("exit",T57)),8760,IF(AND(M57="Dusk to Dawn",'Proposed Lighting'!AU57=3),4059,IF(AND(AU57=3,M57="1"),0,IF(AND(AU57=3,M57="1-C"),0,IF(AND(AU57=3,M57="2"),0,IF(AND(AU57=3,M57="2-C"),0,IF(AND(AU57=3,M57="3"),0,IF(AND(AU57=3,M57="3-C"),0,IF(AND(AU57=2,M57="Dusk to Dawn"),0,IF(AND(AU57=2,M57="Dusk to Dawn-C"),0,IF(AND(AU57=2,M57="Dusk to Dawn"),0,IF(AND(AU57=2,M57="E"),0,IF(AND(AU57=2,M57="E-C"),0,EG57)))))))))))))))</f>
        <v/>
      </c>
      <c r="AI57" s="1754"/>
      <c r="AJ57" s="1136"/>
      <c r="AK57" s="1136"/>
      <c r="AL57" s="1748">
        <f t="shared" si="64"/>
        <v>0</v>
      </c>
      <c r="AM57" s="1749"/>
      <c r="AN57" s="1750"/>
      <c r="AO57" s="476">
        <f t="shared" si="2"/>
        <v>0</v>
      </c>
      <c r="AP57" s="476">
        <f t="shared" si="17"/>
        <v>0</v>
      </c>
      <c r="AQ57" s="475">
        <f t="shared" si="3"/>
        <v>0</v>
      </c>
      <c r="AR57" s="475">
        <f t="shared" si="18"/>
        <v>0</v>
      </c>
      <c r="AS57" s="743" t="str">
        <f t="shared" si="79"/>
        <v/>
      </c>
      <c r="AT57" s="736" t="str">
        <f t="shared" si="20"/>
        <v/>
      </c>
      <c r="AU57" s="56">
        <f t="shared" si="21"/>
        <v>1</v>
      </c>
      <c r="AV57" s="476">
        <f t="shared" si="22"/>
        <v>0</v>
      </c>
      <c r="AW57" s="56">
        <f t="shared" si="23"/>
        <v>0</v>
      </c>
      <c r="AX57" s="475">
        <f t="shared" si="65"/>
        <v>0</v>
      </c>
      <c r="AY57" s="1169">
        <f t="shared" si="66"/>
        <v>0</v>
      </c>
      <c r="AZ57" s="1150">
        <f t="shared" si="67"/>
        <v>0</v>
      </c>
      <c r="BA57" s="56">
        <f t="shared" si="68"/>
        <v>0</v>
      </c>
      <c r="BB57" s="420">
        <f t="shared" si="4"/>
        <v>0</v>
      </c>
      <c r="BC57" s="58" t="str">
        <f t="shared" si="5"/>
        <v/>
      </c>
      <c r="BD57" s="660">
        <f t="shared" si="69"/>
        <v>0</v>
      </c>
      <c r="BE57" s="57" t="e">
        <f t="array" ref="BE57">INDEX($EB$11:$ED$1022,MATCH(F57&amp;T57,$EB$11:$EB$1007&amp;$EC$11:$EC$1007,0),3)</f>
        <v>#N/A</v>
      </c>
      <c r="BF57" s="463">
        <f t="shared" si="24"/>
        <v>0</v>
      </c>
      <c r="BG57" s="1445" t="e">
        <f t="array" ref="BG57">INDEX($DO$112:$DQ$123,MATCH(T57&amp;W57,$DO$114:$DO$125&amp;$DP$112:$DP$123,0),3)</f>
        <v>#N/A</v>
      </c>
      <c r="BH57" s="1446">
        <f t="shared" si="25"/>
        <v>0</v>
      </c>
      <c r="BI57" s="465">
        <f t="shared" si="26"/>
        <v>0</v>
      </c>
      <c r="BJ57" s="465">
        <f t="shared" si="27"/>
        <v>0</v>
      </c>
      <c r="BK57" s="466">
        <f t="shared" si="28"/>
        <v>0</v>
      </c>
      <c r="BL57" s="466">
        <f t="shared" si="29"/>
        <v>0</v>
      </c>
      <c r="BM57" s="466">
        <f t="shared" si="30"/>
        <v>0</v>
      </c>
      <c r="BN57" s="466">
        <f t="shared" si="31"/>
        <v>0</v>
      </c>
      <c r="BO57" s="463">
        <f>IF('Data Entry'!$C$74=0,0,IF(ISNA(CJ57),0,IF(AX57=0,0,IF(AND('Data Entry'!$C$74=2,AF57&gt;2,CE57&lt;1),0,IF(AND('Data Entry'!$C$74=2,AF57&gt;1,AU57=2,CJ57&gt;1),0,IF(AND(AF57=5,CT57=0.5,AU57=2,ER57&lt;100),0,IF(AND(AF57=5,CT57=0.5,AU57=3,ER57&lt;100),0,IF(AND('Data Entry'!$C$74=2,AF57=2,AU57=2,AK57&gt;0.01,CB57=2,CE57&lt;1),0,IF(AND('Data Entry'!$C$74=2,AF57=3,AU57=3,AK57&gt;0.01,CB57=3,CE57&lt;1),0,IF(AND('Data Entry'!$C$74=2,AF57=3,AU57=3,AK57&gt;0.01,CB57=3,CE57&gt;0.99),BQ57*0.08,IF(AND('Data Entry'!$C$74=2,AF57=2,AU57=2,AK57&gt;0.01,CB57=2,CE57&gt;0.99),BQ57*0.1,IF(AND(AU57=2,AK57&gt;0.01,CB57=2,CD57&gt;1),BQ57*0.1,IF(AND(AU57=3,AK57&gt;0.01,CB57=3,CD57&gt;1),BQ57*0.08,CJ57*EF57)))))))))))))</f>
        <v>0</v>
      </c>
      <c r="BP57" s="475">
        <f t="shared" si="32"/>
        <v>0</v>
      </c>
      <c r="BQ57" s="1431">
        <f>IF(AU57=1,0,IF(CH57=100,0,IF(AND(AF57=3,AU57=2),0,IF(AND(BH57=0,CT57&gt;0.4),0,IF(AND('Data Entry'!$C$74=2,AF57=1.5),0,IF(AND('Data Entry'!$C$74=2,AF57=1.6),0,IF(AND('Data Entry'!$C$74=2,AF57=4),0,IF(AND('Data Entry'!$C$74=2,AF57=5),0,IF(AND('Data Entry'!$C$74=2,AF57=2.5,CE57&lt;1),0,IF(AND('Data Entry'!$C$74=2,AF57=3,CE57&lt;1),0,IF(AND('Data Entry'!$C$74=1,AF57=2.5,CD57&lt;1),0,IF(AND('Data Entry'!$C$74=1,AF57=3,CD57&lt;1),0,IF(DX57&gt;0.01,DX57,IF(ISERROR(AX57-AY57),"",ROUND(AX57-AY57,2)))))))))))))))</f>
        <v>0</v>
      </c>
      <c r="BR57" s="146">
        <f t="shared" si="33"/>
        <v>0</v>
      </c>
      <c r="BS57" s="475">
        <f t="shared" si="34"/>
        <v>0</v>
      </c>
      <c r="BT57" s="146" t="b">
        <f t="shared" si="35"/>
        <v>0</v>
      </c>
      <c r="BU57" s="463">
        <f>IF(ISNA(AT57),0,IF(AND('Data Entry'!$C$74=2,BC57=27),0,IF(AND('Data Entry'!$C$74=2,BC57=28),0,IF(AND(BC57=27,BT57=27,CM57&gt;0.1),CM57*0.15,IF(AND(BC57=28,BT57=28,CM57&gt;0.1),CM57*0.12,0)))))</f>
        <v>0</v>
      </c>
      <c r="BV57" s="463">
        <f t="shared" si="78"/>
        <v>0</v>
      </c>
      <c r="BW57" s="463">
        <f t="shared" si="37"/>
        <v>0</v>
      </c>
      <c r="BX57" s="463">
        <f t="shared" si="38"/>
        <v>0</v>
      </c>
      <c r="BY57" s="463">
        <f t="shared" si="39"/>
        <v>0</v>
      </c>
      <c r="BZ57" s="463">
        <f t="shared" si="40"/>
        <v>0</v>
      </c>
      <c r="CA57" s="57">
        <f t="shared" si="70"/>
        <v>0</v>
      </c>
      <c r="CB57" s="56">
        <f t="shared" si="41"/>
        <v>1</v>
      </c>
      <c r="CC57" s="756">
        <f>IF(EE57=0,0,IF(EF57=0,0,IF(EE57&gt;AA57,0,IF(AND(AZ57&gt;AW57,AW57&gt;0),0,IF(CU57=0,0,Summary!AC360)))))</f>
        <v>0</v>
      </c>
      <c r="CD57" s="756">
        <f>IF(EE57=0,0,IF(EF57=0,0,IF(EE57&gt;AA57,0,IF(AND(AZ57&gt;AW57,AW57&gt;0),0,IF(CU57=0,0,Summary!AD360)))))</f>
        <v>0</v>
      </c>
      <c r="CE57" s="756">
        <f>IF(EF57=0,0,IF(EE57&gt;AA57,0,IF(CC57=0,0,IF(AND(AZ57&gt;AW57,AW57&gt;0),0,IF(CU57=0,0,Summary!AE360)))))</f>
        <v>0</v>
      </c>
      <c r="CF57" s="475">
        <f t="shared" si="42"/>
        <v>0</v>
      </c>
      <c r="CG57" s="476">
        <f t="shared" si="6"/>
        <v>0</v>
      </c>
      <c r="CH57" s="487">
        <f t="shared" si="43"/>
        <v>0</v>
      </c>
      <c r="CI57" s="756">
        <f t="shared" si="44"/>
        <v>0</v>
      </c>
      <c r="CJ57" s="487">
        <f>IF(CT57&gt;0.4,0,IF(AND(AU57=2,CH57=0,CT57=0.5,ER57=100),35,IF(AND(AU57=3,BB57&gt;75,CH57=0,CT57=0.5,ER57=100),25,IF(CB57&gt;1,0,IF(EF57&gt;EE57,0,IF(AND(AF57&gt;1,CH57=100),0,IF(AND(AF57=1,AY57=0),0,IF(AND(EF57&lt;=EE57,AW57&gt;=AZ57,'Data Entry'!$C$74=1,AU57=2),VLOOKUP(W57,$DO$96:$DP$102,2,FALSE),IF(AND(EF57&lt;=EE57,AW57&gt;=AZ57,AU57=3,'Data Entry'!$C$74=1),VLOOKUP(W57,$DO$127:$DP$134,2,FALSE))))))))))</f>
        <v>0</v>
      </c>
      <c r="CK57" s="716">
        <f t="shared" si="45"/>
        <v>0</v>
      </c>
      <c r="CL57" s="57">
        <f t="shared" si="46"/>
        <v>0</v>
      </c>
      <c r="CM57" s="475">
        <f t="shared" si="77"/>
        <v>0</v>
      </c>
      <c r="CN57" s="660">
        <f>IF(CM57&lt;0.1,0,IF(ISNA(AT57),0,IF(CL57+BC57=1,0,IF(BV57&gt;0.01,0,IF(CL57&gt;0.01,0,IF(CF57=1,0,IF(BC57=0.5,0,IF(AND(CI57=1,AU57=3),0,IF(AND(CI57=5,CL57=0),0,IF(AND(R57=12,BR57=50),0,IF(CK57&gt;0.01,0,IF(AND(AJ57&gt;0.01,AU57=2,BC57=15),CM57*0.1,IF(AND(AJ57&gt;0.01,AU57=3,BC57=15),CM57*0.08,IF(AND(R57=12,BC57=3,AF57&lt;=0),0,IF(AND(BC57=15,BI57=0),0,IF(AND(BC57=15,BJ57=0),0,IF(AND(R57=20,CU57=0),0,IF($X$4=0,0,IF(AND(BC57=250,CL57=0),0,IF(AA57&lt;1,0,IF(AND(ISNUMBER(SEARCH("Area",T57)),AU57=3),0,IF(AND(AQ57&gt;0.01,AR57=0,BK57=0,BL57=0,BM57=0,BN57=0),0,IF(AND(AU57=3,CI57=7,CT57&gt;0.5),0,IF(AND(BC57=44,AU57=3,BY57=0),0,IF(AND(BC57=27,'Data Entry'!$C$74=2),0,IF(AND(BC57=28,'Data Entry'!$C$74=2),0,IF(AND(BY57+BZ57+CA57&gt;0.01,BV57=0,EQ57+ER57+ES57+ET57&lt;100),0,IF(AU57=3,CM57*0.08,IF(AU57=2,CM57*0.1,0)))))))))))))))))))))))))))))</f>
        <v>0</v>
      </c>
      <c r="CO57" s="660">
        <f t="shared" si="47"/>
        <v>0</v>
      </c>
      <c r="CP57" s="475" t="str">
        <f t="shared" si="48"/>
        <v/>
      </c>
      <c r="CQ57" s="161" t="str">
        <f>IF(AH57=0,0,IF(AU57=5,0,Summary!AC60))</f>
        <v/>
      </c>
      <c r="CR57" s="161" t="str">
        <f>IF(BF57=0.5,0,IF(AU57=5,0,Summary!AD60))</f>
        <v/>
      </c>
      <c r="CS57" s="161" t="str">
        <f>IF(AU57=5,0,Summary!AE60)</f>
        <v/>
      </c>
      <c r="CT57" s="161">
        <f t="shared" si="49"/>
        <v>0</v>
      </c>
      <c r="CU57" s="475" t="str">
        <f t="shared" si="7"/>
        <v/>
      </c>
      <c r="CV57" s="307">
        <f>IF('Data Entry'!$C$74=0,0,IF(AA57&lt;1,0,IF(ISERROR(CU57),0,IF(CF57=1,0,IF(AND(R57=12,BR57=50),0,IF(CL57+BO57+BV57+DC57=0,0,IF(BC57=37,0,IF(AND(BC57=40,AJ57=0),0,IF(AND(BC57=37,BO57&gt;0.01,BQ57&gt;0.01),ROUND(BQ57,0),IF(CM57&lt;0,0,ROUND(CM57,0)))))))))))</f>
        <v>0</v>
      </c>
      <c r="CW57" s="700">
        <f t="shared" si="50"/>
        <v>0</v>
      </c>
      <c r="CX57" s="477">
        <f>IF('Data Entry'!$C$74=0,0,IF(CV57&lt;0.01,0,IF(BF57=0.5,0,IF(CF57=1,0,IF(ISNUMBER(SEARCH("false",CL57)),0,IF(AZ57=500,0,CL57))))))</f>
        <v>0</v>
      </c>
      <c r="CY57" s="147" t="e">
        <f t="shared" si="51"/>
        <v>#VALUE!</v>
      </c>
      <c r="CZ57" s="147" t="b">
        <f>IF(CN57+CL57=0,FALSE,IF(AH57=0,0,IF(AND('Data Entry'!$C$74=1,CR57&gt;=1),TRUE,IF(AND('Data Entry'!$C$74=2,CS57&gt;=1),TRUE,FALSE))))</f>
        <v>0</v>
      </c>
      <c r="DA57" s="1751">
        <f>IF('Data Entry'!$C$74=0,0,IFERROR(ROUND(IF(T57="","",IF($X$4=0,0,IF(CF57=1,0,IF(BQ57+CV57=0,0,IF(CF57=1,0,IF(CY57&gt;0.01,CY57,IF(CL57&gt;0.01,CL57,IF(CY57&gt;0.01,CY57,IF(BC57=37,BO57,IF(CZ57=FALSE,0,IF(CZ57=TRUE,DC57+DF57,0))))))))))),2),""))</f>
        <v>0</v>
      </c>
      <c r="DB57" s="1752"/>
      <c r="DC57" s="474">
        <f>IF(CN57&lt;0.01,0,IF(AND(BR57=3,CN57&gt;0.01,CT57&gt;0.6,ER57+ES57+ET57&lt;100),0,IF(AND('Data Entry'!$C$74=1,CN57&gt;0.01,CR57&gt;0.99),MIN(CN57:CO57),IF(AND('Data Entry'!$C$74=2,CN57&gt;0.01,CS57&gt;0.99),MIN(CN57:CO57),0))))</f>
        <v>0</v>
      </c>
      <c r="DD57" s="478">
        <f>IF(CF57=1,"Selection does not match",IF(T57=0,0,IF(AND('Data Entry'!$C$74=0,CP57&gt;1),"Select Oregon or Idaho on Data Entry Tab",IF(AND(AU57=1,AA57&gt;0.9),"Missing Interior or Exterior Selection",IF($X$4=0,"Enter Total Project Cost",IF(AQ57&lt;AR57,"Insufficient kWh savings – no incentive",IF(AND(SUM(CL57+CK57+BV57)&gt;0.01,'Data Entry'!$C$74=2,CJ57&gt;1,BO57=0),"Submit Control as Non-Standard",IF(AND('Data Entry'!$C$74=2,BR57=37,CJ57&gt;1,BO57=0),"Submit Control as Non-Standard",IF(SUM(CL57+CK57+BV57)&gt;0.01,"Standard Incentive",IF(AND('Data Entry'!$C$74=2,CP57=7,CN57=0),"Submit as Non-Standard",IF(DC57&gt;0.9,"Non-Standard Incentive",IF(AND(BY57+BZ57+CA57&gt;0.01,BV57=0,EQ57=0,ER57=0,ES57=0,ET57=0),"Scroll Right &amp; Select Control Strategies",IF(AND(CN57&gt;0.01,CO57=0),"Enter Unit Installed Cost",IF(ISNUMBER(SEARCH("Lighting Controls Only",F57)),"Lighting Controls Only",IF(CL57+DC57=0,"Does not meet incentive criteria",0)))))))))))))))</f>
        <v>0</v>
      </c>
      <c r="DE57" s="337">
        <f t="shared" si="52"/>
        <v>0</v>
      </c>
      <c r="DF57" s="609">
        <f t="shared" si="53"/>
        <v>0</v>
      </c>
      <c r="DG57" s="336" t="str">
        <f t="shared" si="54"/>
        <v/>
      </c>
      <c r="DH57" s="338">
        <f t="shared" si="55"/>
        <v>1</v>
      </c>
      <c r="DI57" s="336" t="e">
        <f t="shared" si="8"/>
        <v>#VALUE!</v>
      </c>
      <c r="DJ57" s="338">
        <f t="shared" si="9"/>
        <v>0</v>
      </c>
      <c r="DK57" s="325" t="s">
        <v>154</v>
      </c>
      <c r="DL57" s="323">
        <v>336</v>
      </c>
      <c r="DM57" s="325" t="s">
        <v>460</v>
      </c>
      <c r="DN57" s="1439">
        <v>4</v>
      </c>
      <c r="DO57" s="1513" t="s">
        <v>1572</v>
      </c>
      <c r="DP57" s="1538">
        <v>0.75</v>
      </c>
      <c r="DQ57" s="331"/>
      <c r="DR57" s="458"/>
      <c r="DS57" s="1434">
        <f t="shared" si="56"/>
        <v>0</v>
      </c>
      <c r="DT57" s="344" t="b">
        <f t="shared" si="57"/>
        <v>1</v>
      </c>
      <c r="DU57" s="1314" t="str">
        <f t="array" ref="DU57">IF(OR(COUNTIF(F57,"*"&amp;$DK$9:$DK$178&amp;"*")), "Yes", "")</f>
        <v/>
      </c>
      <c r="DV57" s="1314">
        <f t="shared" si="58"/>
        <v>0</v>
      </c>
      <c r="DW57" s="1480">
        <f t="shared" si="59"/>
        <v>0</v>
      </c>
      <c r="DX57" s="1498">
        <f t="shared" si="71"/>
        <v>0</v>
      </c>
      <c r="DY57" s="1484">
        <f t="shared" si="60"/>
        <v>0</v>
      </c>
      <c r="DZ57" s="1481" t="s">
        <v>1145</v>
      </c>
      <c r="EA57" s="881">
        <f>'Product Type'!E59</f>
        <v>0</v>
      </c>
      <c r="EB57" s="1499" t="s">
        <v>150</v>
      </c>
      <c r="EC57" s="727" t="s">
        <v>1568</v>
      </c>
      <c r="ED57" s="728">
        <v>0.5</v>
      </c>
      <c r="EE57" s="1215"/>
      <c r="EF57" s="1215"/>
      <c r="EG57" s="1184" t="str">
        <f t="shared" si="61"/>
        <v/>
      </c>
      <c r="EH57" s="5"/>
      <c r="EI57" s="55"/>
      <c r="EJ57" s="1185">
        <f t="shared" si="10"/>
        <v>0</v>
      </c>
      <c r="EK57" s="1211"/>
      <c r="EL57" s="1180">
        <f t="shared" si="72"/>
        <v>0</v>
      </c>
      <c r="EM57" s="207"/>
      <c r="EN57" s="1038"/>
      <c r="EO57" s="1038"/>
      <c r="EP57" s="1038"/>
      <c r="EQ57" s="1038">
        <f t="shared" si="62"/>
        <v>0</v>
      </c>
      <c r="ER57" s="1041">
        <f t="shared" si="75"/>
        <v>0</v>
      </c>
      <c r="ES57" s="1042">
        <f t="shared" si="63"/>
        <v>0</v>
      </c>
      <c r="ET57" s="1042">
        <f t="shared" si="73"/>
        <v>0</v>
      </c>
      <c r="EU57" s="1021">
        <f t="shared" si="74"/>
        <v>0</v>
      </c>
      <c r="EV57" s="368"/>
      <c r="EW57" s="368"/>
      <c r="EX57" s="369"/>
      <c r="EY57" s="370"/>
      <c r="EZ57" s="370"/>
      <c r="FA57" s="371"/>
      <c r="FB57" s="372"/>
    </row>
    <row r="58" spans="1:158" ht="34.5" customHeight="1">
      <c r="A58" s="82">
        <v>50</v>
      </c>
      <c r="B58" s="1725"/>
      <c r="C58" s="1726"/>
      <c r="D58" s="1726"/>
      <c r="E58" s="1727"/>
      <c r="F58" s="1732"/>
      <c r="G58" s="1733"/>
      <c r="H58" s="1733"/>
      <c r="I58" s="1734"/>
      <c r="J58" s="1341"/>
      <c r="K58" s="1728"/>
      <c r="L58" s="1728"/>
      <c r="M58" s="1342"/>
      <c r="N58" s="1583"/>
      <c r="O58" s="208" t="str">
        <f t="shared" si="11"/>
        <v/>
      </c>
      <c r="P58" s="785"/>
      <c r="Q58" s="39" t="str">
        <f t="shared" si="0"/>
        <v/>
      </c>
      <c r="R58" s="39">
        <f t="shared" si="12"/>
        <v>0</v>
      </c>
      <c r="S58" s="234">
        <f t="shared" si="13"/>
        <v>0</v>
      </c>
      <c r="T58" s="1755"/>
      <c r="U58" s="1755"/>
      <c r="V58" s="1755"/>
      <c r="W58" s="1345"/>
      <c r="X58" s="1741"/>
      <c r="Y58" s="1742"/>
      <c r="Z58" s="1346"/>
      <c r="AA58" s="1343"/>
      <c r="AB58" s="1141"/>
      <c r="AC58" s="1103" t="str">
        <f>IF(T58="","",VLOOKUP(Z58,Lists!$A$60:$B$111,2,FALSE))</f>
        <v/>
      </c>
      <c r="AD58" s="130" t="str">
        <f t="shared" si="14"/>
        <v/>
      </c>
      <c r="AE58" s="130" t="e">
        <f t="shared" si="15"/>
        <v>#VALUE!</v>
      </c>
      <c r="AF58" s="130">
        <f t="shared" si="16"/>
        <v>1</v>
      </c>
      <c r="AG58" s="234">
        <f t="shared" si="1"/>
        <v>0</v>
      </c>
      <c r="AH58" s="1753" t="str">
        <f>IF(T58="","",(IF(ISNUMBER(SEARCH("exit",T58)),8760,IF(AND(M58="Dusk to Dawn",'Proposed Lighting'!AU58=3),4059,IF(AND(AU58=3,M58="1"),0,IF(AND(AU58=3,M58="1-C"),0,IF(AND(AU58=3,M58="2"),0,IF(AND(AU58=3,M58="2-C"),0,IF(AND(AU58=3,M58="3"),0,IF(AND(AU58=3,M58="3-C"),0,IF(AND(AU58=2,M58="Dusk to Dawn"),0,IF(AND(AU58=2,M58="Dusk to Dawn-C"),0,IF(AND(AU58=2,M58="Dusk to Dawn"),0,IF(AND(AU58=2,M58="E"),0,IF(AND(AU58=2,M58="E-C"),0,EG58)))))))))))))))</f>
        <v/>
      </c>
      <c r="AI58" s="1754"/>
      <c r="AJ58" s="1136"/>
      <c r="AK58" s="1136"/>
      <c r="AL58" s="1748">
        <f t="shared" si="64"/>
        <v>0</v>
      </c>
      <c r="AM58" s="1749"/>
      <c r="AN58" s="1750"/>
      <c r="AO58" s="476">
        <f t="shared" si="2"/>
        <v>0</v>
      </c>
      <c r="AP58" s="476">
        <f t="shared" si="17"/>
        <v>0</v>
      </c>
      <c r="AQ58" s="475">
        <f t="shared" si="3"/>
        <v>0</v>
      </c>
      <c r="AR58" s="475">
        <f t="shared" si="18"/>
        <v>0</v>
      </c>
      <c r="AS58" s="743" t="str">
        <f t="shared" si="79"/>
        <v/>
      </c>
      <c r="AT58" s="736" t="str">
        <f t="shared" si="20"/>
        <v/>
      </c>
      <c r="AU58" s="56">
        <f t="shared" si="21"/>
        <v>1</v>
      </c>
      <c r="AV58" s="476">
        <f t="shared" si="22"/>
        <v>0</v>
      </c>
      <c r="AW58" s="56">
        <f t="shared" si="23"/>
        <v>0</v>
      </c>
      <c r="AX58" s="475">
        <f t="shared" si="65"/>
        <v>0</v>
      </c>
      <c r="AY58" s="1169">
        <f t="shared" si="66"/>
        <v>0</v>
      </c>
      <c r="AZ58" s="1150">
        <f t="shared" si="67"/>
        <v>0</v>
      </c>
      <c r="BA58" s="56">
        <f t="shared" si="68"/>
        <v>0</v>
      </c>
      <c r="BB58" s="420">
        <f t="shared" si="4"/>
        <v>0</v>
      </c>
      <c r="BC58" s="58" t="str">
        <f t="shared" si="5"/>
        <v/>
      </c>
      <c r="BD58" s="660">
        <f t="shared" si="69"/>
        <v>0</v>
      </c>
      <c r="BE58" s="57" t="e">
        <f t="array" ref="BE58">INDEX($EB$11:$ED$1022,MATCH(F58&amp;T58,$EB$11:$EB$1007&amp;$EC$11:$EC$1007,0),3)</f>
        <v>#N/A</v>
      </c>
      <c r="BF58" s="463">
        <f t="shared" si="24"/>
        <v>0</v>
      </c>
      <c r="BG58" s="1445" t="e">
        <f t="array" ref="BG58">INDEX($DO$112:$DQ$123,MATCH(T58&amp;W58,$DO$114:$DO$125&amp;$DP$112:$DP$123,0),3)</f>
        <v>#N/A</v>
      </c>
      <c r="BH58" s="1446">
        <f t="shared" si="25"/>
        <v>0</v>
      </c>
      <c r="BI58" s="465">
        <f t="shared" si="26"/>
        <v>0</v>
      </c>
      <c r="BJ58" s="465">
        <f t="shared" si="27"/>
        <v>0</v>
      </c>
      <c r="BK58" s="466">
        <f t="shared" si="28"/>
        <v>0</v>
      </c>
      <c r="BL58" s="466">
        <f t="shared" si="29"/>
        <v>0</v>
      </c>
      <c r="BM58" s="466">
        <f t="shared" si="30"/>
        <v>0</v>
      </c>
      <c r="BN58" s="466">
        <f t="shared" si="31"/>
        <v>0</v>
      </c>
      <c r="BO58" s="463">
        <f>IF('Data Entry'!$C$74=0,0,IF(ISNA(CJ58),0,IF(AX58=0,0,IF(AND('Data Entry'!$C$74=2,AF58&gt;2,CE58&lt;1),0,IF(AND('Data Entry'!$C$74=2,AF58&gt;1,AU58=2,CJ58&gt;1),0,IF(AND(AF58=5,CT58=0.5,AU58=2,ER58&lt;100),0,IF(AND(AF58=5,CT58=0.5,AU58=3,ER58&lt;100),0,IF(AND('Data Entry'!$C$74=2,AF58=2,AU58=2,AK58&gt;0.01,CB58=2,CE58&lt;1),0,IF(AND('Data Entry'!$C$74=2,AF58=3,AU58=3,AK58&gt;0.01,CB58=3,CE58&lt;1),0,IF(AND('Data Entry'!$C$74=2,AF58=3,AU58=3,AK58&gt;0.01,CB58=3,CE58&gt;0.99),BQ58*0.08,IF(AND('Data Entry'!$C$74=2,AF58=2,AU58=2,AK58&gt;0.01,CB58=2,CE58&gt;0.99),BQ58*0.1,IF(AND(AU58=2,AK58&gt;0.01,CB58=2,CD58&gt;1),BQ58*0.1,IF(AND(AU58=3,AK58&gt;0.01,CB58=3,CD58&gt;1),BQ58*0.08,CJ58*EF58)))))))))))))</f>
        <v>0</v>
      </c>
      <c r="BP58" s="475">
        <f t="shared" si="32"/>
        <v>0</v>
      </c>
      <c r="BQ58" s="1431">
        <f>IF(AU58=1,0,IF(CH58=100,0,IF(AND(AF58=3,AU58=2),0,IF(AND(BH58=0,CT58&gt;0.4),0,IF(AND('Data Entry'!$C$74=2,AF58=1.5),0,IF(AND('Data Entry'!$C$74=2,AF58=1.6),0,IF(AND('Data Entry'!$C$74=2,AF58=4),0,IF(AND('Data Entry'!$C$74=2,AF58=5),0,IF(AND('Data Entry'!$C$74=2,AF58=2.5,CE58&lt;1),0,IF(AND('Data Entry'!$C$74=2,AF58=3,CE58&lt;1),0,IF(AND('Data Entry'!$C$74=1,AF58=2.5,CD58&lt;1),0,IF(AND('Data Entry'!$C$74=1,AF58=3,CD58&lt;1),0,IF(DX58&gt;0.01,DX58,IF(ISERROR(AX58-AY58),"",ROUND(AX58-AY58,2)))))))))))))))</f>
        <v>0</v>
      </c>
      <c r="BR58" s="146">
        <f t="shared" si="33"/>
        <v>0</v>
      </c>
      <c r="BS58" s="475">
        <f t="shared" si="34"/>
        <v>0</v>
      </c>
      <c r="BT58" s="146" t="b">
        <f t="shared" si="35"/>
        <v>0</v>
      </c>
      <c r="BU58" s="463">
        <f>IF(ISNA(AT58),0,IF(AND('Data Entry'!$C$74=2,BC58=27),0,IF(AND('Data Entry'!$C$74=2,BC58=28),0,IF(AND(BC58=27,BT58=27,CM58&gt;0.1),CM58*0.15,IF(AND(BC58=28,BT58=28,CM58&gt;0.1),CM58*0.12,0)))))</f>
        <v>0</v>
      </c>
      <c r="BV58" s="463">
        <f t="shared" si="78"/>
        <v>0</v>
      </c>
      <c r="BW58" s="463">
        <f t="shared" si="37"/>
        <v>0</v>
      </c>
      <c r="BX58" s="463">
        <f t="shared" si="38"/>
        <v>0</v>
      </c>
      <c r="BY58" s="463">
        <f t="shared" si="39"/>
        <v>0</v>
      </c>
      <c r="BZ58" s="463">
        <f t="shared" si="40"/>
        <v>0</v>
      </c>
      <c r="CA58" s="57">
        <f t="shared" si="70"/>
        <v>0</v>
      </c>
      <c r="CB58" s="56">
        <f t="shared" si="41"/>
        <v>1</v>
      </c>
      <c r="CC58" s="756">
        <f>IF(EE58=0,0,IF(EF58=0,0,IF(EE58&gt;AA58,0,IF(AND(AZ58&gt;AW58,AW58&gt;0),0,IF(CU58=0,0,Summary!AC361)))))</f>
        <v>0</v>
      </c>
      <c r="CD58" s="756">
        <f>IF(EE58=0,0,IF(EF58=0,0,IF(EE58&gt;AA58,0,IF(AND(AZ58&gt;AW58,AW58&gt;0),0,IF(CU58=0,0,Summary!AD361)))))</f>
        <v>0</v>
      </c>
      <c r="CE58" s="756">
        <f>IF(EF58=0,0,IF(EE58&gt;AA58,0,IF(CC58=0,0,IF(AND(AZ58&gt;AW58,AW58&gt;0),0,IF(CU58=0,0,Summary!AE361)))))</f>
        <v>0</v>
      </c>
      <c r="CF58" s="475">
        <f t="shared" si="42"/>
        <v>0</v>
      </c>
      <c r="CG58" s="476">
        <f t="shared" si="6"/>
        <v>0</v>
      </c>
      <c r="CH58" s="487">
        <f t="shared" si="43"/>
        <v>0</v>
      </c>
      <c r="CI58" s="756">
        <f t="shared" si="44"/>
        <v>0</v>
      </c>
      <c r="CJ58" s="487">
        <f>IF(CT58&gt;0.4,0,IF(AND(AU58=2,CH58=0,CT58=0.5,ER58=100),35,IF(AND(AU58=3,BB58&gt;75,CH58=0,CT58=0.5,ER58=100),25,IF(CB58&gt;1,0,IF(EF58&gt;EE58,0,IF(AND(AF58&gt;1,CH58=100),0,IF(AND(AF58=1,AY58=0),0,IF(AND(EF58&lt;=EE58,AW58&gt;=AZ58,'Data Entry'!$C$74=1,AU58=2),VLOOKUP(W58,$DO$96:$DP$102,2,FALSE),IF(AND(EF58&lt;=EE58,AW58&gt;=AZ58,AU58=3,'Data Entry'!$C$74=1),VLOOKUP(W58,$DO$127:$DP$134,2,FALSE))))))))))</f>
        <v>0</v>
      </c>
      <c r="CK58" s="716">
        <f t="shared" si="45"/>
        <v>0</v>
      </c>
      <c r="CL58" s="57">
        <f t="shared" si="46"/>
        <v>0</v>
      </c>
      <c r="CM58" s="475">
        <f t="shared" si="77"/>
        <v>0</v>
      </c>
      <c r="CN58" s="660">
        <f>IF(CM58&lt;0.1,0,IF(ISNA(AT58),0,IF(CL58+BC58=1,0,IF(BV58&gt;0.01,0,IF(CL58&gt;0.01,0,IF(CF58=1,0,IF(BC58=0.5,0,IF(AND(CI58=1,AU58=3),0,IF(AND(CI58=5,CL58=0),0,IF(AND(R58=12,BR58=50),0,IF(CK58&gt;0.01,0,IF(AND(AJ58&gt;0.01,AU58=2,BC58=15),CM58*0.1,IF(AND(AJ58&gt;0.01,AU58=3,BC58=15),CM58*0.08,IF(AND(R58=12,BC58=3,AF58&lt;=0),0,IF(AND(BC58=15,BI58=0),0,IF(AND(BC58=15,BJ58=0),0,IF(AND(R58=20,CU58=0),0,IF($X$4=0,0,IF(AND(BC58=250,CL58=0),0,IF(AA58&lt;1,0,IF(AND(ISNUMBER(SEARCH("Area",T58)),AU58=3),0,IF(AND(AQ58&gt;0.01,AR58=0,BK58=0,BL58=0,BM58=0,BN58=0),0,IF(AND(AU58=3,CI58=7,CT58&gt;0.5),0,IF(AND(BC58=44,AU58=3,BY58=0),0,IF(AND(BC58=27,'Data Entry'!$C$74=2),0,IF(AND(BC58=28,'Data Entry'!$C$74=2),0,IF(AND(BY58+BZ58+CA58&gt;0.01,BV58=0,EQ58+ER58+ES58+ET58&lt;100),0,IF(AU58=3,CM58*0.08,IF(AU58=2,CM58*0.1,0)))))))))))))))))))))))))))))</f>
        <v>0</v>
      </c>
      <c r="CO58" s="660">
        <f t="shared" si="47"/>
        <v>0</v>
      </c>
      <c r="CP58" s="475" t="str">
        <f t="shared" si="48"/>
        <v/>
      </c>
      <c r="CQ58" s="161" t="str">
        <f>IF(AH58=0,0,IF(AU58=5,0,Summary!AC61))</f>
        <v/>
      </c>
      <c r="CR58" s="161" t="str">
        <f>IF(BF58=0.5,0,IF(AU58=5,0,Summary!AD61))</f>
        <v/>
      </c>
      <c r="CS58" s="161" t="str">
        <f>IF(AU58=5,0,Summary!AE61)</f>
        <v/>
      </c>
      <c r="CT58" s="161">
        <f t="shared" si="49"/>
        <v>0</v>
      </c>
      <c r="CU58" s="475" t="str">
        <f t="shared" si="7"/>
        <v/>
      </c>
      <c r="CV58" s="307">
        <f>IF('Data Entry'!$C$74=0,0,IF(AA58&lt;1,0,IF(ISERROR(CU58),0,IF(CF58=1,0,IF(AND(R58=12,BR58=50),0,IF(CL58+BO58+BV58+DC58=0,0,IF(BC58=37,0,IF(AND(BC58=40,AJ58=0),0,IF(AND(BC58=37,BO58&gt;0.01,BQ58&gt;0.01),ROUND(BQ58,0),IF(CM58&lt;0,0,ROUND(CM58,0)))))))))))</f>
        <v>0</v>
      </c>
      <c r="CW58" s="700">
        <f t="shared" si="50"/>
        <v>0</v>
      </c>
      <c r="CX58" s="477">
        <f>IF('Data Entry'!$C$74=0,0,IF(CV58&lt;0.01,0,IF(BF58=0.5,0,IF(CF58=1,0,IF(ISNUMBER(SEARCH("false",CL58)),0,IF(AZ58=500,0,CL58))))))</f>
        <v>0</v>
      </c>
      <c r="CY58" s="147" t="e">
        <f t="shared" si="51"/>
        <v>#VALUE!</v>
      </c>
      <c r="CZ58" s="147" t="b">
        <f>IF(CN58+CL58=0,FALSE,IF(AH58=0,0,IF(AND('Data Entry'!$C$74=1,CR58&gt;=1),TRUE,IF(AND('Data Entry'!$C$74=2,CS58&gt;=1),TRUE,FALSE))))</f>
        <v>0</v>
      </c>
      <c r="DA58" s="1751">
        <f>IF('Data Entry'!$C$74=0,0,IFERROR(ROUND(IF(T58="","",IF($X$4=0,0,IF(CF58=1,0,IF(BQ58+CV58=0,0,IF(CF58=1,0,IF(CY58&gt;0.01,CY58,IF(CL58&gt;0.01,CL58,IF(CY58&gt;0.01,CY58,IF(BC58=37,BO58,IF(CZ58=FALSE,0,IF(CZ58=TRUE,DC58+DF58,0))))))))))),2),""))</f>
        <v>0</v>
      </c>
      <c r="DB58" s="1752"/>
      <c r="DC58" s="474">
        <f>IF(CN58&lt;0.01,0,IF(AND(BR58=3,CN58&gt;0.01,CT58&gt;0.6,ER58+ES58+ET58&lt;100),0,IF(AND('Data Entry'!$C$74=1,CN58&gt;0.01,CR58&gt;0.99),MIN(CN58:CO58),IF(AND('Data Entry'!$C$74=2,CN58&gt;0.01,CS58&gt;0.99),MIN(CN58:CO58),0))))</f>
        <v>0</v>
      </c>
      <c r="DD58" s="478">
        <f>IF(CF58=1,"Selection does not match",IF(T58=0,0,IF(AND('Data Entry'!$C$74=0,CP58&gt;1),"Select Oregon or Idaho on Data Entry Tab",IF(AND(AU58=1,AA58&gt;0.9),"Missing Interior or Exterior Selection",IF($X$4=0,"Enter Total Project Cost",IF(AQ58&lt;AR58,"Insufficient kWh savings – no incentive",IF(AND(SUM(CL58+CK58+BV58)&gt;0.01,'Data Entry'!$C$74=2,CJ58&gt;1,BO58=0),"Submit Control as Non-Standard",IF(AND('Data Entry'!$C$74=2,BR58=37,CJ58&gt;1,BO58=0),"Submit Control as Non-Standard",IF(SUM(CL58+CK58+BV58)&gt;0.01,"Standard Incentive",IF(AND('Data Entry'!$C$74=2,CP58=7,CN58=0),"Submit as Non-Standard",IF(DC58&gt;0.9,"Non-Standard Incentive",IF(AND(BY58+BZ58+CA58&gt;0.01,BV58=0,EQ58=0,ER58=0,ES58=0,ET58=0),"Scroll Right &amp; Select Control Strategies",IF(AND(CN58&gt;0.01,CO58=0),"Enter Unit Installed Cost",IF(ISNUMBER(SEARCH("Lighting Controls Only",F58)),"Lighting Controls Only",IF(CL58+DC58=0,"Does not meet incentive criteria",0)))))))))))))))</f>
        <v>0</v>
      </c>
      <c r="DE58" s="337">
        <f t="shared" si="52"/>
        <v>0</v>
      </c>
      <c r="DF58" s="609">
        <f t="shared" si="53"/>
        <v>0</v>
      </c>
      <c r="DG58" s="336" t="str">
        <f t="shared" si="54"/>
        <v/>
      </c>
      <c r="DH58" s="338">
        <f t="shared" si="55"/>
        <v>1</v>
      </c>
      <c r="DI58" s="336" t="e">
        <f t="shared" si="8"/>
        <v>#VALUE!</v>
      </c>
      <c r="DJ58" s="338">
        <f t="shared" si="9"/>
        <v>0</v>
      </c>
      <c r="DK58" s="426" t="s">
        <v>155</v>
      </c>
      <c r="DL58" s="323">
        <v>442</v>
      </c>
      <c r="DM58" s="426" t="s">
        <v>505</v>
      </c>
      <c r="DN58" s="1439">
        <v>8</v>
      </c>
      <c r="DO58" s="1513" t="s">
        <v>1535</v>
      </c>
      <c r="DP58" s="1539">
        <v>0.7</v>
      </c>
      <c r="DQ58" s="331"/>
      <c r="DR58" s="458"/>
      <c r="DS58" s="1434">
        <f t="shared" si="56"/>
        <v>0</v>
      </c>
      <c r="DT58" s="344" t="b">
        <f t="shared" si="57"/>
        <v>1</v>
      </c>
      <c r="DU58" s="1314" t="str">
        <f t="array" ref="DU58">IF(OR(COUNTIF(F58,"*"&amp;$DK$9:$DK$178&amp;"*")), "Yes", "")</f>
        <v/>
      </c>
      <c r="DV58" s="1314">
        <f t="shared" si="58"/>
        <v>0</v>
      </c>
      <c r="DW58" s="1480">
        <f t="shared" si="59"/>
        <v>0</v>
      </c>
      <c r="DX58" s="1498">
        <f t="shared" si="71"/>
        <v>0</v>
      </c>
      <c r="DY58" s="1484">
        <f t="shared" si="60"/>
        <v>0</v>
      </c>
      <c r="DZ58" s="1481" t="s">
        <v>1146</v>
      </c>
      <c r="EA58" s="881">
        <f>'Product Type'!E60</f>
        <v>0</v>
      </c>
      <c r="EB58" s="1499" t="s">
        <v>151</v>
      </c>
      <c r="EC58" s="727" t="s">
        <v>1568</v>
      </c>
      <c r="ED58" s="728">
        <v>0.5</v>
      </c>
      <c r="EE58" s="1215"/>
      <c r="EF58" s="1215"/>
      <c r="EG58" s="1184" t="str">
        <f t="shared" si="61"/>
        <v/>
      </c>
      <c r="EH58" s="5"/>
      <c r="EI58" s="55"/>
      <c r="EJ58" s="1185">
        <f t="shared" si="10"/>
        <v>0</v>
      </c>
      <c r="EK58" s="1211"/>
      <c r="EL58" s="1180">
        <f t="shared" si="72"/>
        <v>0</v>
      </c>
      <c r="EM58" s="207"/>
      <c r="EN58" s="1038"/>
      <c r="EO58" s="1038"/>
      <c r="EP58" s="1038"/>
      <c r="EQ58" s="1038">
        <f t="shared" si="62"/>
        <v>0</v>
      </c>
      <c r="ER58" s="1041">
        <f t="shared" si="75"/>
        <v>0</v>
      </c>
      <c r="ES58" s="1042">
        <f t="shared" si="63"/>
        <v>0</v>
      </c>
      <c r="ET58" s="1042">
        <f t="shared" si="73"/>
        <v>0</v>
      </c>
      <c r="EU58" s="1021">
        <f t="shared" si="74"/>
        <v>0</v>
      </c>
      <c r="EV58" s="368"/>
      <c r="EW58" s="368"/>
      <c r="EX58" s="369"/>
      <c r="EY58" s="370"/>
      <c r="EZ58" s="370"/>
      <c r="FA58" s="371"/>
      <c r="FB58" s="372"/>
    </row>
    <row r="59" spans="1:158" ht="34.5" customHeight="1">
      <c r="A59" s="82">
        <v>51</v>
      </c>
      <c r="B59" s="1725"/>
      <c r="C59" s="1726"/>
      <c r="D59" s="1726"/>
      <c r="E59" s="1727"/>
      <c r="F59" s="1732"/>
      <c r="G59" s="1733"/>
      <c r="H59" s="1733"/>
      <c r="I59" s="1734"/>
      <c r="J59" s="1341"/>
      <c r="K59" s="1728"/>
      <c r="L59" s="1728"/>
      <c r="M59" s="1342"/>
      <c r="N59" s="1583"/>
      <c r="O59" s="208" t="str">
        <f t="shared" si="11"/>
        <v/>
      </c>
      <c r="P59" s="785"/>
      <c r="Q59" s="39" t="str">
        <f t="shared" si="0"/>
        <v/>
      </c>
      <c r="R59" s="39">
        <f t="shared" si="12"/>
        <v>0</v>
      </c>
      <c r="S59" s="234">
        <f t="shared" si="13"/>
        <v>0</v>
      </c>
      <c r="T59" s="1755"/>
      <c r="U59" s="1755"/>
      <c r="V59" s="1755"/>
      <c r="W59" s="1345"/>
      <c r="X59" s="1741"/>
      <c r="Y59" s="1742"/>
      <c r="Z59" s="1346"/>
      <c r="AA59" s="1343"/>
      <c r="AB59" s="1141"/>
      <c r="AC59" s="1103" t="str">
        <f>IF(T59="","",VLOOKUP(Z59,Lists!$A$60:$B$111,2,FALSE))</f>
        <v/>
      </c>
      <c r="AD59" s="130" t="str">
        <f t="shared" si="14"/>
        <v/>
      </c>
      <c r="AE59" s="130" t="e">
        <f t="shared" si="15"/>
        <v>#VALUE!</v>
      </c>
      <c r="AF59" s="130">
        <f t="shared" si="16"/>
        <v>1</v>
      </c>
      <c r="AG59" s="234">
        <f t="shared" si="1"/>
        <v>0</v>
      </c>
      <c r="AH59" s="1753" t="str">
        <f>IF(T59="","",(IF(ISNUMBER(SEARCH("exit",T59)),8760,IF(AND(M59="Dusk to Dawn",'Proposed Lighting'!AU59=3),4059,IF(AND(AU59=3,M59="1"),0,IF(AND(AU59=3,M59="1-C"),0,IF(AND(AU59=3,M59="2"),0,IF(AND(AU59=3,M59="2-C"),0,IF(AND(AU59=3,M59="3"),0,IF(AND(AU59=3,M59="3-C"),0,IF(AND(AU59=2,M59="Dusk to Dawn"),0,IF(AND(AU59=2,M59="Dusk to Dawn-C"),0,IF(AND(AU59=2,M59="Dusk to Dawn"),0,IF(AND(AU59=2,M59="E"),0,IF(AND(AU59=2,M59="E-C"),0,EG59)))))))))))))))</f>
        <v/>
      </c>
      <c r="AI59" s="1754"/>
      <c r="AJ59" s="1136"/>
      <c r="AK59" s="1136"/>
      <c r="AL59" s="1748">
        <f t="shared" si="64"/>
        <v>0</v>
      </c>
      <c r="AM59" s="1749"/>
      <c r="AN59" s="1750"/>
      <c r="AO59" s="476">
        <f t="shared" si="2"/>
        <v>0</v>
      </c>
      <c r="AP59" s="476">
        <f t="shared" si="17"/>
        <v>0</v>
      </c>
      <c r="AQ59" s="475">
        <f t="shared" si="3"/>
        <v>0</v>
      </c>
      <c r="AR59" s="475">
        <f t="shared" si="18"/>
        <v>0</v>
      </c>
      <c r="AS59" s="743" t="str">
        <f t="shared" si="79"/>
        <v/>
      </c>
      <c r="AT59" s="736" t="str">
        <f t="shared" si="20"/>
        <v/>
      </c>
      <c r="AU59" s="56">
        <f t="shared" si="21"/>
        <v>1</v>
      </c>
      <c r="AV59" s="476">
        <f t="shared" si="22"/>
        <v>0</v>
      </c>
      <c r="AW59" s="56">
        <f t="shared" si="23"/>
        <v>0</v>
      </c>
      <c r="AX59" s="475">
        <f t="shared" si="65"/>
        <v>0</v>
      </c>
      <c r="AY59" s="1169">
        <f t="shared" si="66"/>
        <v>0</v>
      </c>
      <c r="AZ59" s="1150">
        <f t="shared" si="67"/>
        <v>0</v>
      </c>
      <c r="BA59" s="56">
        <f t="shared" si="68"/>
        <v>0</v>
      </c>
      <c r="BB59" s="420">
        <f t="shared" si="4"/>
        <v>0</v>
      </c>
      <c r="BC59" s="58" t="str">
        <f t="shared" si="5"/>
        <v/>
      </c>
      <c r="BD59" s="660">
        <f t="shared" si="69"/>
        <v>0</v>
      </c>
      <c r="BE59" s="57" t="e">
        <f t="array" ref="BE59">INDEX($EB$11:$ED$1022,MATCH(F59&amp;T59,$EB$11:$EB$1007&amp;$EC$11:$EC$1007,0),3)</f>
        <v>#N/A</v>
      </c>
      <c r="BF59" s="463">
        <f t="shared" si="24"/>
        <v>0</v>
      </c>
      <c r="BG59" s="1445" t="e">
        <f t="array" ref="BG59">INDEX($DO$112:$DQ$123,MATCH(T59&amp;W59,$DO$114:$DO$125&amp;$DP$112:$DP$123,0),3)</f>
        <v>#N/A</v>
      </c>
      <c r="BH59" s="1446">
        <f t="shared" si="25"/>
        <v>0</v>
      </c>
      <c r="BI59" s="465">
        <f t="shared" si="26"/>
        <v>0</v>
      </c>
      <c r="BJ59" s="465">
        <f t="shared" si="27"/>
        <v>0</v>
      </c>
      <c r="BK59" s="466">
        <f t="shared" si="28"/>
        <v>0</v>
      </c>
      <c r="BL59" s="466">
        <f t="shared" si="29"/>
        <v>0</v>
      </c>
      <c r="BM59" s="466">
        <f t="shared" si="30"/>
        <v>0</v>
      </c>
      <c r="BN59" s="466">
        <f t="shared" si="31"/>
        <v>0</v>
      </c>
      <c r="BO59" s="463">
        <f>IF('Data Entry'!$C$74=0,0,IF(ISNA(CJ59),0,IF(AX59=0,0,IF(AND('Data Entry'!$C$74=2,AF59&gt;2,CE59&lt;1),0,IF(AND('Data Entry'!$C$74=2,AF59&gt;1,AU59=2,CJ59&gt;1),0,IF(AND(AF59=5,CT59=0.5,AU59=2,ER59&lt;100),0,IF(AND(AF59=5,CT59=0.5,AU59=3,ER59&lt;100),0,IF(AND('Data Entry'!$C$74=2,AF59=2,AU59=2,AK59&gt;0.01,CB59=2,CE59&lt;1),0,IF(AND('Data Entry'!$C$74=2,AF59=3,AU59=3,AK59&gt;0.01,CB59=3,CE59&lt;1),0,IF(AND('Data Entry'!$C$74=2,AF59=3,AU59=3,AK59&gt;0.01,CB59=3,CE59&gt;0.99),BQ59*0.08,IF(AND('Data Entry'!$C$74=2,AF59=2,AU59=2,AK59&gt;0.01,CB59=2,CE59&gt;0.99),BQ59*0.1,IF(AND(AU59=2,AK59&gt;0.01,CB59=2,CD59&gt;1),BQ59*0.1,IF(AND(AU59=3,AK59&gt;0.01,CB59=3,CD59&gt;1),BQ59*0.08,CJ59*EF59)))))))))))))</f>
        <v>0</v>
      </c>
      <c r="BP59" s="475">
        <f t="shared" si="32"/>
        <v>0</v>
      </c>
      <c r="BQ59" s="1431">
        <f>IF(AU59=1,0,IF(CH59=100,0,IF(AND(AF59=3,AU59=2),0,IF(AND(BH59=0,CT59&gt;0.4),0,IF(AND('Data Entry'!$C$74=2,AF59=1.5),0,IF(AND('Data Entry'!$C$74=2,AF59=1.6),0,IF(AND('Data Entry'!$C$74=2,AF59=4),0,IF(AND('Data Entry'!$C$74=2,AF59=5),0,IF(AND('Data Entry'!$C$74=2,AF59=2.5,CE59&lt;1),0,IF(AND('Data Entry'!$C$74=2,AF59=3,CE59&lt;1),0,IF(AND('Data Entry'!$C$74=1,AF59=2.5,CD59&lt;1),0,IF(AND('Data Entry'!$C$74=1,AF59=3,CD59&lt;1),0,IF(DX59&gt;0.01,DX59,IF(ISERROR(AX59-AY59),"",ROUND(AX59-AY59,2)))))))))))))))</f>
        <v>0</v>
      </c>
      <c r="BR59" s="146">
        <f t="shared" si="33"/>
        <v>0</v>
      </c>
      <c r="BS59" s="475">
        <f t="shared" si="34"/>
        <v>0</v>
      </c>
      <c r="BT59" s="146" t="b">
        <f t="shared" si="35"/>
        <v>0</v>
      </c>
      <c r="BU59" s="463">
        <f>IF(ISNA(AT59),0,IF(AND('Data Entry'!$C$74=2,BC59=27),0,IF(AND('Data Entry'!$C$74=2,BC59=28),0,IF(AND(BC59=27,BT59=27,CM59&gt;0.1),CM59*0.15,IF(AND(BC59=28,BT59=28,CM59&gt;0.1),CM59*0.12,0)))))</f>
        <v>0</v>
      </c>
      <c r="BV59" s="463">
        <f t="shared" si="78"/>
        <v>0</v>
      </c>
      <c r="BW59" s="463">
        <f t="shared" si="37"/>
        <v>0</v>
      </c>
      <c r="BX59" s="463">
        <f t="shared" si="38"/>
        <v>0</v>
      </c>
      <c r="BY59" s="463">
        <f t="shared" si="39"/>
        <v>0</v>
      </c>
      <c r="BZ59" s="463">
        <f t="shared" si="40"/>
        <v>0</v>
      </c>
      <c r="CA59" s="57">
        <f t="shared" si="70"/>
        <v>0</v>
      </c>
      <c r="CB59" s="56">
        <f t="shared" si="41"/>
        <v>1</v>
      </c>
      <c r="CC59" s="756">
        <f>IF(EE59=0,0,IF(EF59=0,0,IF(EE59&gt;AA59,0,IF(AND(AZ59&gt;AW59,AW59&gt;0),0,IF(CU59=0,0,Summary!AC362)))))</f>
        <v>0</v>
      </c>
      <c r="CD59" s="756">
        <f>IF(EE59=0,0,IF(EF59=0,0,IF(EE59&gt;AA59,0,IF(AND(AZ59&gt;AW59,AW59&gt;0),0,IF(CU59=0,0,Summary!AD362)))))</f>
        <v>0</v>
      </c>
      <c r="CE59" s="756">
        <f>IF(EF59=0,0,IF(EE59&gt;AA59,0,IF(CC59=0,0,IF(AND(AZ59&gt;AW59,AW59&gt;0),0,IF(CU59=0,0,Summary!AE362)))))</f>
        <v>0</v>
      </c>
      <c r="CF59" s="475">
        <f t="shared" si="42"/>
        <v>0</v>
      </c>
      <c r="CG59" s="476">
        <f t="shared" si="6"/>
        <v>0</v>
      </c>
      <c r="CH59" s="487">
        <f t="shared" si="43"/>
        <v>0</v>
      </c>
      <c r="CI59" s="756">
        <f t="shared" si="44"/>
        <v>0</v>
      </c>
      <c r="CJ59" s="487">
        <f>IF(CT59&gt;0.4,0,IF(AND(AU59=2,CH59=0,CT59=0.5,ER59=100),35,IF(AND(AU59=3,BB59&gt;75,CH59=0,CT59=0.5,ER59=100),25,IF(CB59&gt;1,0,IF(EF59&gt;EE59,0,IF(AND(AF59&gt;1,CH59=100),0,IF(AND(AF59=1,AY59=0),0,IF(AND(EF59&lt;=EE59,AW59&gt;=AZ59,'Data Entry'!$C$74=1,AU59=2),VLOOKUP(W59,$DO$96:$DP$102,2,FALSE),IF(AND(EF59&lt;=EE59,AW59&gt;=AZ59,AU59=3,'Data Entry'!$C$74=1),VLOOKUP(W59,$DO$127:$DP$134,2,FALSE))))))))))</f>
        <v>0</v>
      </c>
      <c r="CK59" s="716">
        <f t="shared" si="45"/>
        <v>0</v>
      </c>
      <c r="CL59" s="57">
        <f t="shared" si="46"/>
        <v>0</v>
      </c>
      <c r="CM59" s="475">
        <f t="shared" si="77"/>
        <v>0</v>
      </c>
      <c r="CN59" s="660">
        <f>IF(CM59&lt;0.1,0,IF(ISNA(AT59),0,IF(CL59+BC59=1,0,IF(BV59&gt;0.01,0,IF(CL59&gt;0.01,0,IF(CF59=1,0,IF(BC59=0.5,0,IF(AND(CI59=1,AU59=3),0,IF(AND(CI59=5,CL59=0),0,IF(AND(R59=12,BR59=50),0,IF(CK59&gt;0.01,0,IF(AND(AJ59&gt;0.01,AU59=2,BC59=15),CM59*0.1,IF(AND(AJ59&gt;0.01,AU59=3,BC59=15),CM59*0.08,IF(AND(R59=12,BC59=3,AF59&lt;=0),0,IF(AND(BC59=15,BI59=0),0,IF(AND(BC59=15,BJ59=0),0,IF(AND(R59=20,CU59=0),0,IF($X$4=0,0,IF(AND(BC59=250,CL59=0),0,IF(AA59&lt;1,0,IF(AND(ISNUMBER(SEARCH("Area",T59)),AU59=3),0,IF(AND(AQ59&gt;0.01,AR59=0,BK59=0,BL59=0,BM59=0,BN59=0),0,IF(AND(AU59=3,CI59=7,CT59&gt;0.5),0,IF(AND(BC59=44,AU59=3,BY59=0),0,IF(AND(BC59=27,'Data Entry'!$C$74=2),0,IF(AND(BC59=28,'Data Entry'!$C$74=2),0,IF(AND(BY59+BZ59+CA59&gt;0.01,BV59=0,EQ59+ER59+ES59+ET59&lt;100),0,IF(AU59=3,CM59*0.08,IF(AU59=2,CM59*0.1,0)))))))))))))))))))))))))))))</f>
        <v>0</v>
      </c>
      <c r="CO59" s="660">
        <f t="shared" si="47"/>
        <v>0</v>
      </c>
      <c r="CP59" s="475" t="str">
        <f t="shared" si="48"/>
        <v/>
      </c>
      <c r="CQ59" s="161" t="str">
        <f>IF(AH59=0,0,IF(AU59=5,0,Summary!AC62))</f>
        <v/>
      </c>
      <c r="CR59" s="161" t="str">
        <f>IF(BF59=0.5,0,IF(AU59=5,0,Summary!AD62))</f>
        <v/>
      </c>
      <c r="CS59" s="161" t="str">
        <f>IF(AU59=5,0,Summary!AE62)</f>
        <v/>
      </c>
      <c r="CT59" s="161">
        <f t="shared" si="49"/>
        <v>0</v>
      </c>
      <c r="CU59" s="475" t="str">
        <f t="shared" si="7"/>
        <v/>
      </c>
      <c r="CV59" s="307">
        <f>IF('Data Entry'!$C$74=0,0,IF(AA59&lt;1,0,IF(ISERROR(CU59),0,IF(CF59=1,0,IF(AND(R59=12,BR59=50),0,IF(CL59+BO59+BV59+DC59=0,0,IF(BC59=37,0,IF(AND(BC59=40,AJ59=0),0,IF(AND(BC59=37,BO59&gt;0.01,BQ59&gt;0.01),ROUND(BQ59,0),IF(CM59&lt;0,0,ROUND(CM59,0)))))))))))</f>
        <v>0</v>
      </c>
      <c r="CW59" s="700">
        <f t="shared" si="50"/>
        <v>0</v>
      </c>
      <c r="CX59" s="477">
        <f>IF('Data Entry'!$C$74=0,0,IF(CV59&lt;0.01,0,IF(BF59=0.5,0,IF(CF59=1,0,IF(ISNUMBER(SEARCH("false",CL59)),0,IF(AZ59=500,0,CL59))))))</f>
        <v>0</v>
      </c>
      <c r="CY59" s="147" t="e">
        <f t="shared" si="51"/>
        <v>#VALUE!</v>
      </c>
      <c r="CZ59" s="147" t="b">
        <f>IF(CN59+CL59=0,FALSE,IF(AH59=0,0,IF(AND('Data Entry'!$C$74=1,CR59&gt;=1),TRUE,IF(AND('Data Entry'!$C$74=2,CS59&gt;=1),TRUE,FALSE))))</f>
        <v>0</v>
      </c>
      <c r="DA59" s="1751">
        <f>IF('Data Entry'!$C$74=0,0,IFERROR(ROUND(IF(T59="","",IF($X$4=0,0,IF(CF59=1,0,IF(BQ59+CV59=0,0,IF(CF59=1,0,IF(CY59&gt;0.01,CY59,IF(CL59&gt;0.01,CL59,IF(CY59&gt;0.01,CY59,IF(BC59=37,BO59,IF(CZ59=FALSE,0,IF(CZ59=TRUE,DC59+DF59,0))))))))))),2),""))</f>
        <v>0</v>
      </c>
      <c r="DB59" s="1752"/>
      <c r="DC59" s="474">
        <f>IF(CN59&lt;0.01,0,IF(AND(BR59=3,CN59&gt;0.01,CT59&gt;0.6,ER59+ES59+ET59&lt;100),0,IF(AND('Data Entry'!$C$74=1,CN59&gt;0.01,CR59&gt;0.99),MIN(CN59:CO59),IF(AND('Data Entry'!$C$74=2,CN59&gt;0.01,CS59&gt;0.99),MIN(CN59:CO59),0))))</f>
        <v>0</v>
      </c>
      <c r="DD59" s="478">
        <f>IF(CF59=1,"Selection does not match",IF(T59=0,0,IF(AND('Data Entry'!$C$74=0,CP59&gt;1),"Select Oregon or Idaho on Data Entry Tab",IF(AND(AU59=1,AA59&gt;0.9),"Missing Interior or Exterior Selection",IF($X$4=0,"Enter Total Project Cost",IF(AQ59&lt;AR59,"Insufficient kWh savings – no incentive",IF(AND(SUM(CL59+CK59+BV59)&gt;0.01,'Data Entry'!$C$74=2,CJ59&gt;1,BO59=0),"Submit Control as Non-Standard",IF(AND('Data Entry'!$C$74=2,BR59=37,CJ59&gt;1,BO59=0),"Submit Control as Non-Standard",IF(SUM(CL59+CK59+BV59)&gt;0.01,"Standard Incentive",IF(AND('Data Entry'!$C$74=2,CP59=7,CN59=0),"Submit as Non-Standard",IF(DC59&gt;0.9,"Non-Standard Incentive",IF(AND(BY59+BZ59+CA59&gt;0.01,BV59=0,EQ59=0,ER59=0,ES59=0,ET59=0),"Scroll Right &amp; Select Control Strategies",IF(AND(CN59&gt;0.01,CO59=0),"Enter Unit Installed Cost",IF(ISNUMBER(SEARCH("Lighting Controls Only",F59)),"Lighting Controls Only",IF(CL59+DC59=0,"Does not meet incentive criteria",0)))))))))))))))</f>
        <v>0</v>
      </c>
      <c r="DE59" s="337">
        <f t="shared" si="52"/>
        <v>0</v>
      </c>
      <c r="DF59" s="609">
        <f t="shared" si="53"/>
        <v>0</v>
      </c>
      <c r="DG59" s="336" t="str">
        <f t="shared" si="54"/>
        <v/>
      </c>
      <c r="DH59" s="338">
        <f t="shared" si="55"/>
        <v>1</v>
      </c>
      <c r="DI59" s="336" t="e">
        <f t="shared" si="8"/>
        <v>#VALUE!</v>
      </c>
      <c r="DJ59" s="338">
        <f t="shared" si="9"/>
        <v>0</v>
      </c>
      <c r="DK59" s="325" t="s">
        <v>156</v>
      </c>
      <c r="DL59" s="323">
        <v>553</v>
      </c>
      <c r="DM59" s="325" t="s">
        <v>468</v>
      </c>
      <c r="DN59" s="1439">
        <v>12</v>
      </c>
      <c r="DO59" s="1513" t="s">
        <v>1780</v>
      </c>
      <c r="DP59" s="1539">
        <v>0.6</v>
      </c>
      <c r="DQ59" s="331"/>
      <c r="DR59" s="458"/>
      <c r="DS59" s="1434">
        <f t="shared" si="56"/>
        <v>0</v>
      </c>
      <c r="DT59" s="344" t="b">
        <f t="shared" si="57"/>
        <v>1</v>
      </c>
      <c r="DU59" s="1314" t="str">
        <f t="array" ref="DU59">IF(OR(COUNTIF(F59,"*"&amp;$DK$9:$DK$178&amp;"*")), "Yes", "")</f>
        <v/>
      </c>
      <c r="DV59" s="1314">
        <f t="shared" si="58"/>
        <v>0</v>
      </c>
      <c r="DW59" s="1480">
        <f t="shared" si="59"/>
        <v>0</v>
      </c>
      <c r="DX59" s="1498">
        <f t="shared" si="71"/>
        <v>0</v>
      </c>
      <c r="DY59" s="1484">
        <f t="shared" si="60"/>
        <v>0</v>
      </c>
      <c r="DZ59" s="1481" t="s">
        <v>1147</v>
      </c>
      <c r="EA59" s="881">
        <f>'Product Type'!E61</f>
        <v>0</v>
      </c>
      <c r="EB59" s="1499" t="s">
        <v>152</v>
      </c>
      <c r="EC59" s="727" t="s">
        <v>1568</v>
      </c>
      <c r="ED59" s="728">
        <v>0.5</v>
      </c>
      <c r="EE59" s="1215"/>
      <c r="EF59" s="1215"/>
      <c r="EG59" s="1184" t="str">
        <f t="shared" si="61"/>
        <v/>
      </c>
      <c r="EH59" s="55"/>
      <c r="EI59" s="55"/>
      <c r="EJ59" s="1185">
        <f t="shared" si="10"/>
        <v>0</v>
      </c>
      <c r="EK59" s="1211"/>
      <c r="EL59" s="1180">
        <f t="shared" si="72"/>
        <v>0</v>
      </c>
      <c r="EM59" s="207"/>
      <c r="EN59" s="1038"/>
      <c r="EO59" s="1038"/>
      <c r="EP59" s="1038"/>
      <c r="EQ59" s="1038">
        <f t="shared" si="62"/>
        <v>0</v>
      </c>
      <c r="ER59" s="1041">
        <f t="shared" si="75"/>
        <v>0</v>
      </c>
      <c r="ES59" s="1042">
        <f t="shared" si="63"/>
        <v>0</v>
      </c>
      <c r="ET59" s="1042">
        <f t="shared" si="73"/>
        <v>0</v>
      </c>
      <c r="EU59" s="1021">
        <f t="shared" si="74"/>
        <v>0</v>
      </c>
      <c r="EV59" s="368"/>
      <c r="EW59" s="368"/>
      <c r="EX59" s="369"/>
      <c r="EY59" s="370"/>
      <c r="EZ59" s="370"/>
      <c r="FA59" s="371"/>
      <c r="FB59" s="372"/>
    </row>
    <row r="60" spans="1:158" ht="34.5" customHeight="1">
      <c r="A60" s="82">
        <v>52</v>
      </c>
      <c r="B60" s="1725"/>
      <c r="C60" s="1726"/>
      <c r="D60" s="1726"/>
      <c r="E60" s="1727"/>
      <c r="F60" s="1732"/>
      <c r="G60" s="1733"/>
      <c r="H60" s="1733"/>
      <c r="I60" s="1734"/>
      <c r="J60" s="1341"/>
      <c r="K60" s="1728"/>
      <c r="L60" s="1728"/>
      <c r="M60" s="1342"/>
      <c r="N60" s="1583"/>
      <c r="O60" s="208" t="str">
        <f t="shared" si="11"/>
        <v/>
      </c>
      <c r="P60" s="785"/>
      <c r="Q60" s="39" t="str">
        <f t="shared" si="0"/>
        <v/>
      </c>
      <c r="R60" s="39">
        <f t="shared" si="12"/>
        <v>0</v>
      </c>
      <c r="S60" s="234">
        <f t="shared" si="13"/>
        <v>0</v>
      </c>
      <c r="T60" s="1755"/>
      <c r="U60" s="1755"/>
      <c r="V60" s="1755"/>
      <c r="W60" s="1345"/>
      <c r="X60" s="1741"/>
      <c r="Y60" s="1742"/>
      <c r="Z60" s="1346"/>
      <c r="AA60" s="1343"/>
      <c r="AB60" s="1141"/>
      <c r="AC60" s="1103" t="str">
        <f>IF(T60="","",VLOOKUP(Z60,Lists!$A$60:$B$111,2,FALSE))</f>
        <v/>
      </c>
      <c r="AD60" s="130" t="str">
        <f t="shared" si="14"/>
        <v/>
      </c>
      <c r="AE60" s="130" t="e">
        <f t="shared" si="15"/>
        <v>#VALUE!</v>
      </c>
      <c r="AF60" s="130">
        <f t="shared" si="16"/>
        <v>1</v>
      </c>
      <c r="AG60" s="234">
        <f t="shared" si="1"/>
        <v>0</v>
      </c>
      <c r="AH60" s="1753" t="str">
        <f>IF(T60="","",(IF(ISNUMBER(SEARCH("exit",T60)),8760,IF(AND(M60="Dusk to Dawn",'Proposed Lighting'!AU60=3),4059,IF(AND(AU60=3,M60="1"),0,IF(AND(AU60=3,M60="1-C"),0,IF(AND(AU60=3,M60="2"),0,IF(AND(AU60=3,M60="2-C"),0,IF(AND(AU60=3,M60="3"),0,IF(AND(AU60=3,M60="3-C"),0,IF(AND(AU60=2,M60="Dusk to Dawn"),0,IF(AND(AU60=2,M60="Dusk to Dawn-C"),0,IF(AND(AU60=2,M60="Dusk to Dawn"),0,IF(AND(AU60=2,M60="E"),0,IF(AND(AU60=2,M60="E-C"),0,EG60)))))))))))))))</f>
        <v/>
      </c>
      <c r="AI60" s="1754"/>
      <c r="AJ60" s="1136"/>
      <c r="AK60" s="1136"/>
      <c r="AL60" s="1748">
        <f t="shared" si="64"/>
        <v>0</v>
      </c>
      <c r="AM60" s="1749"/>
      <c r="AN60" s="1750"/>
      <c r="AO60" s="476">
        <f t="shared" si="2"/>
        <v>0</v>
      </c>
      <c r="AP60" s="476">
        <f t="shared" si="17"/>
        <v>0</v>
      </c>
      <c r="AQ60" s="475">
        <f t="shared" si="3"/>
        <v>0</v>
      </c>
      <c r="AR60" s="475">
        <f t="shared" si="18"/>
        <v>0</v>
      </c>
      <c r="AS60" s="743" t="str">
        <f t="shared" si="79"/>
        <v/>
      </c>
      <c r="AT60" s="736" t="str">
        <f t="shared" si="20"/>
        <v/>
      </c>
      <c r="AU60" s="56">
        <f t="shared" si="21"/>
        <v>1</v>
      </c>
      <c r="AV60" s="476">
        <f t="shared" si="22"/>
        <v>0</v>
      </c>
      <c r="AW60" s="56">
        <f t="shared" si="23"/>
        <v>0</v>
      </c>
      <c r="AX60" s="475">
        <f t="shared" si="65"/>
        <v>0</v>
      </c>
      <c r="AY60" s="1169">
        <f t="shared" si="66"/>
        <v>0</v>
      </c>
      <c r="AZ60" s="1150">
        <f t="shared" si="67"/>
        <v>0</v>
      </c>
      <c r="BA60" s="56">
        <f t="shared" si="68"/>
        <v>0</v>
      </c>
      <c r="BB60" s="420">
        <f t="shared" si="4"/>
        <v>0</v>
      </c>
      <c r="BC60" s="58" t="str">
        <f t="shared" si="5"/>
        <v/>
      </c>
      <c r="BD60" s="660">
        <f t="shared" si="69"/>
        <v>0</v>
      </c>
      <c r="BE60" s="57" t="e">
        <f t="array" ref="BE60">INDEX($EB$11:$ED$1022,MATCH(F60&amp;T60,$EB$11:$EB$1007&amp;$EC$11:$EC$1007,0),3)</f>
        <v>#N/A</v>
      </c>
      <c r="BF60" s="463">
        <f t="shared" si="24"/>
        <v>0</v>
      </c>
      <c r="BG60" s="1445" t="e">
        <f t="array" ref="BG60">INDEX($DO$112:$DQ$123,MATCH(T60&amp;W60,$DO$114:$DO$125&amp;$DP$112:$DP$123,0),3)</f>
        <v>#N/A</v>
      </c>
      <c r="BH60" s="1446">
        <f t="shared" si="25"/>
        <v>0</v>
      </c>
      <c r="BI60" s="465">
        <f t="shared" si="26"/>
        <v>0</v>
      </c>
      <c r="BJ60" s="465">
        <f t="shared" si="27"/>
        <v>0</v>
      </c>
      <c r="BK60" s="466">
        <f t="shared" si="28"/>
        <v>0</v>
      </c>
      <c r="BL60" s="466">
        <f t="shared" si="29"/>
        <v>0</v>
      </c>
      <c r="BM60" s="466">
        <f t="shared" si="30"/>
        <v>0</v>
      </c>
      <c r="BN60" s="466">
        <f t="shared" si="31"/>
        <v>0</v>
      </c>
      <c r="BO60" s="463">
        <f>IF('Data Entry'!$C$74=0,0,IF(ISNA(CJ60),0,IF(AX60=0,0,IF(AND('Data Entry'!$C$74=2,AF60&gt;2,CE60&lt;1),0,IF(AND('Data Entry'!$C$74=2,AF60&gt;1,AU60=2,CJ60&gt;1),0,IF(AND(AF60=5,CT60=0.5,AU60=2,ER60&lt;100),0,IF(AND(AF60=5,CT60=0.5,AU60=3,ER60&lt;100),0,IF(AND('Data Entry'!$C$74=2,AF60=2,AU60=2,AK60&gt;0.01,CB60=2,CE60&lt;1),0,IF(AND('Data Entry'!$C$74=2,AF60=3,AU60=3,AK60&gt;0.01,CB60=3,CE60&lt;1),0,IF(AND('Data Entry'!$C$74=2,AF60=3,AU60=3,AK60&gt;0.01,CB60=3,CE60&gt;0.99),BQ60*0.08,IF(AND('Data Entry'!$C$74=2,AF60=2,AU60=2,AK60&gt;0.01,CB60=2,CE60&gt;0.99),BQ60*0.1,IF(AND(AU60=2,AK60&gt;0.01,CB60=2,CD60&gt;1),BQ60*0.1,IF(AND(AU60=3,AK60&gt;0.01,CB60=3,CD60&gt;1),BQ60*0.08,CJ60*EF60)))))))))))))</f>
        <v>0</v>
      </c>
      <c r="BP60" s="475">
        <f t="shared" si="32"/>
        <v>0</v>
      </c>
      <c r="BQ60" s="1431">
        <f>IF(AU60=1,0,IF(CH60=100,0,IF(AND(AF60=3,AU60=2),0,IF(AND(BH60=0,CT60&gt;0.4),0,IF(AND('Data Entry'!$C$74=2,AF60=1.5),0,IF(AND('Data Entry'!$C$74=2,AF60=1.6),0,IF(AND('Data Entry'!$C$74=2,AF60=4),0,IF(AND('Data Entry'!$C$74=2,AF60=5),0,IF(AND('Data Entry'!$C$74=2,AF60=2.5,CE60&lt;1),0,IF(AND('Data Entry'!$C$74=2,AF60=3,CE60&lt;1),0,IF(AND('Data Entry'!$C$74=1,AF60=2.5,CD60&lt;1),0,IF(AND('Data Entry'!$C$74=1,AF60=3,CD60&lt;1),0,IF(DX60&gt;0.01,DX60,IF(ISERROR(AX60-AY60),"",ROUND(AX60-AY60,2)))))))))))))))</f>
        <v>0</v>
      </c>
      <c r="BR60" s="146">
        <f t="shared" si="33"/>
        <v>0</v>
      </c>
      <c r="BS60" s="475">
        <f t="shared" si="34"/>
        <v>0</v>
      </c>
      <c r="BT60" s="146" t="b">
        <f t="shared" si="35"/>
        <v>0</v>
      </c>
      <c r="BU60" s="463">
        <f>IF(ISNA(AT60),0,IF(AND('Data Entry'!$C$74=2,BC60=27),0,IF(AND('Data Entry'!$C$74=2,BC60=28),0,IF(AND(BC60=27,BT60=27,CM60&gt;0.1),CM60*0.15,IF(AND(BC60=28,BT60=28,CM60&gt;0.1),CM60*0.12,0)))))</f>
        <v>0</v>
      </c>
      <c r="BV60" s="463">
        <f t="shared" si="78"/>
        <v>0</v>
      </c>
      <c r="BW60" s="463">
        <f t="shared" si="37"/>
        <v>0</v>
      </c>
      <c r="BX60" s="463">
        <f t="shared" si="38"/>
        <v>0</v>
      </c>
      <c r="BY60" s="463">
        <f t="shared" si="39"/>
        <v>0</v>
      </c>
      <c r="BZ60" s="463">
        <f t="shared" si="40"/>
        <v>0</v>
      </c>
      <c r="CA60" s="57">
        <f t="shared" si="70"/>
        <v>0</v>
      </c>
      <c r="CB60" s="56">
        <f t="shared" si="41"/>
        <v>1</v>
      </c>
      <c r="CC60" s="756">
        <f>IF(EE60=0,0,IF(EF60=0,0,IF(EE60&gt;AA60,0,IF(AND(AZ60&gt;AW60,AW60&gt;0),0,IF(CU60=0,0,Summary!AC363)))))</f>
        <v>0</v>
      </c>
      <c r="CD60" s="756">
        <f>IF(EE60=0,0,IF(EF60=0,0,IF(EE60&gt;AA60,0,IF(AND(AZ60&gt;AW60,AW60&gt;0),0,IF(CU60=0,0,Summary!AD363)))))</f>
        <v>0</v>
      </c>
      <c r="CE60" s="756">
        <f>IF(EF60=0,0,IF(EE60&gt;AA60,0,IF(CC60=0,0,IF(AND(AZ60&gt;AW60,AW60&gt;0),0,IF(CU60=0,0,Summary!AE363)))))</f>
        <v>0</v>
      </c>
      <c r="CF60" s="475">
        <f t="shared" si="42"/>
        <v>0</v>
      </c>
      <c r="CG60" s="476">
        <f t="shared" si="6"/>
        <v>0</v>
      </c>
      <c r="CH60" s="487">
        <f t="shared" si="43"/>
        <v>0</v>
      </c>
      <c r="CI60" s="756">
        <f t="shared" si="44"/>
        <v>0</v>
      </c>
      <c r="CJ60" s="487">
        <f>IF(CT60&gt;0.4,0,IF(AND(AU60=2,CH60=0,CT60=0.5,ER60=100),35,IF(AND(AU60=3,BB60&gt;75,CH60=0,CT60=0.5,ER60=100),25,IF(CB60&gt;1,0,IF(EF60&gt;EE60,0,IF(AND(AF60&gt;1,CH60=100),0,IF(AND(AF60=1,AY60=0),0,IF(AND(EF60&lt;=EE60,AW60&gt;=AZ60,'Data Entry'!$C$74=1,AU60=2),VLOOKUP(W60,$DO$96:$DP$102,2,FALSE),IF(AND(EF60&lt;=EE60,AW60&gt;=AZ60,AU60=3,'Data Entry'!$C$74=1),VLOOKUP(W60,$DO$127:$DP$134,2,FALSE))))))))))</f>
        <v>0</v>
      </c>
      <c r="CK60" s="716">
        <f t="shared" si="45"/>
        <v>0</v>
      </c>
      <c r="CL60" s="57">
        <f t="shared" si="46"/>
        <v>0</v>
      </c>
      <c r="CM60" s="475">
        <f t="shared" si="77"/>
        <v>0</v>
      </c>
      <c r="CN60" s="660">
        <f>IF(CM60&lt;0.1,0,IF(ISNA(AT60),0,IF(CL60+BC60=1,0,IF(BV60&gt;0.01,0,IF(CL60&gt;0.01,0,IF(CF60=1,0,IF(BC60=0.5,0,IF(AND(CI60=1,AU60=3),0,IF(AND(CI60=5,CL60=0),0,IF(AND(R60=12,BR60=50),0,IF(CK60&gt;0.01,0,IF(AND(AJ60&gt;0.01,AU60=2,BC60=15),CM60*0.1,IF(AND(AJ60&gt;0.01,AU60=3,BC60=15),CM60*0.08,IF(AND(R60=12,BC60=3,AF60&lt;=0),0,IF(AND(BC60=15,BI60=0),0,IF(AND(BC60=15,BJ60=0),0,IF(AND(R60=20,CU60=0),0,IF($X$4=0,0,IF(AND(BC60=250,CL60=0),0,IF(AA60&lt;1,0,IF(AND(ISNUMBER(SEARCH("Area",T60)),AU60=3),0,IF(AND(AQ60&gt;0.01,AR60=0,BK60=0,BL60=0,BM60=0,BN60=0),0,IF(AND(AU60=3,CI60=7,CT60&gt;0.5),0,IF(AND(BC60=44,AU60=3,BY60=0),0,IF(AND(BC60=27,'Data Entry'!$C$74=2),0,IF(AND(BC60=28,'Data Entry'!$C$74=2),0,IF(AND(BY60+BZ60+CA60&gt;0.01,BV60=0,EQ60+ER60+ES60+ET60&lt;100),0,IF(AU60=3,CM60*0.08,IF(AU60=2,CM60*0.1,0)))))))))))))))))))))))))))))</f>
        <v>0</v>
      </c>
      <c r="CO60" s="660">
        <f t="shared" si="47"/>
        <v>0</v>
      </c>
      <c r="CP60" s="475" t="str">
        <f t="shared" si="48"/>
        <v/>
      </c>
      <c r="CQ60" s="161" t="str">
        <f>IF(AH60=0,0,IF(AU60=5,0,Summary!AC63))</f>
        <v/>
      </c>
      <c r="CR60" s="161" t="str">
        <f>IF(BF60=0.5,0,IF(AU60=5,0,Summary!AD63))</f>
        <v/>
      </c>
      <c r="CS60" s="161" t="str">
        <f>IF(AU60=5,0,Summary!AE63)</f>
        <v/>
      </c>
      <c r="CT60" s="161">
        <f t="shared" si="49"/>
        <v>0</v>
      </c>
      <c r="CU60" s="475" t="str">
        <f t="shared" si="7"/>
        <v/>
      </c>
      <c r="CV60" s="307">
        <f>IF('Data Entry'!$C$74=0,0,IF(AA60&lt;1,0,IF(ISERROR(CU60),0,IF(CF60=1,0,IF(AND(R60=12,BR60=50),0,IF(CL60+BO60+BV60+DC60=0,0,IF(BC60=37,0,IF(AND(BC60=40,AJ60=0),0,IF(AND(BC60=37,BO60&gt;0.01,BQ60&gt;0.01),ROUND(BQ60,0),IF(CM60&lt;0,0,ROUND(CM60,0)))))))))))</f>
        <v>0</v>
      </c>
      <c r="CW60" s="700">
        <f t="shared" si="50"/>
        <v>0</v>
      </c>
      <c r="CX60" s="477">
        <f>IF('Data Entry'!$C$74=0,0,IF(CV60&lt;0.01,0,IF(BF60=0.5,0,IF(CF60=1,0,IF(ISNUMBER(SEARCH("false",CL60)),0,IF(AZ60=500,0,CL60))))))</f>
        <v>0</v>
      </c>
      <c r="CY60" s="147" t="e">
        <f t="shared" si="51"/>
        <v>#VALUE!</v>
      </c>
      <c r="CZ60" s="147" t="b">
        <f>IF(CN60+CL60=0,FALSE,IF(AH60=0,0,IF(AND('Data Entry'!$C$74=1,CR60&gt;=1),TRUE,IF(AND('Data Entry'!$C$74=2,CS60&gt;=1),TRUE,FALSE))))</f>
        <v>0</v>
      </c>
      <c r="DA60" s="1751">
        <f>IF('Data Entry'!$C$74=0,0,IFERROR(ROUND(IF(T60="","",IF($X$4=0,0,IF(CF60=1,0,IF(BQ60+CV60=0,0,IF(CF60=1,0,IF(CY60&gt;0.01,CY60,IF(CL60&gt;0.01,CL60,IF(CY60&gt;0.01,CY60,IF(BC60=37,BO60,IF(CZ60=FALSE,0,IF(CZ60=TRUE,DC60+DF60,0))))))))))),2),""))</f>
        <v>0</v>
      </c>
      <c r="DB60" s="1752"/>
      <c r="DC60" s="474">
        <f>IF(CN60&lt;0.01,0,IF(AND(BR60=3,CN60&gt;0.01,CT60&gt;0.6,ER60+ES60+ET60&lt;100),0,IF(AND('Data Entry'!$C$74=1,CN60&gt;0.01,CR60&gt;0.99),MIN(CN60:CO60),IF(AND('Data Entry'!$C$74=2,CN60&gt;0.01,CS60&gt;0.99),MIN(CN60:CO60),0))))</f>
        <v>0</v>
      </c>
      <c r="DD60" s="478">
        <f>IF(CF60=1,"Selection does not match",IF(T60=0,0,IF(AND('Data Entry'!$C$74=0,CP60&gt;1),"Select Oregon or Idaho on Data Entry Tab",IF(AND(AU60=1,AA60&gt;0.9),"Missing Interior or Exterior Selection",IF($X$4=0,"Enter Total Project Cost",IF(AQ60&lt;AR60,"Insufficient kWh savings – no incentive",IF(AND(SUM(CL60+CK60+BV60)&gt;0.01,'Data Entry'!$C$74=2,CJ60&gt;1,BO60=0),"Submit Control as Non-Standard",IF(AND('Data Entry'!$C$74=2,BR60=37,CJ60&gt;1,BO60=0),"Submit Control as Non-Standard",IF(SUM(CL60+CK60+BV60)&gt;0.01,"Standard Incentive",IF(AND('Data Entry'!$C$74=2,CP60=7,CN60=0),"Submit as Non-Standard",IF(DC60&gt;0.9,"Non-Standard Incentive",IF(AND(BY60+BZ60+CA60&gt;0.01,BV60=0,EQ60=0,ER60=0,ES60=0,ET60=0),"Scroll Right &amp; Select Control Strategies",IF(AND(CN60&gt;0.01,CO60=0),"Enter Unit Installed Cost",IF(ISNUMBER(SEARCH("Lighting Controls Only",F60)),"Lighting Controls Only",IF(CL60+DC60=0,"Does not meet incentive criteria",0)))))))))))))))</f>
        <v>0</v>
      </c>
      <c r="DE60" s="337">
        <f t="shared" si="52"/>
        <v>0</v>
      </c>
      <c r="DF60" s="609">
        <f t="shared" si="53"/>
        <v>0</v>
      </c>
      <c r="DG60" s="336" t="str">
        <f t="shared" si="54"/>
        <v/>
      </c>
      <c r="DH60" s="338">
        <f t="shared" si="55"/>
        <v>1</v>
      </c>
      <c r="DI60" s="336" t="e">
        <f t="shared" si="8"/>
        <v>#VALUE!</v>
      </c>
      <c r="DJ60" s="338">
        <f t="shared" si="9"/>
        <v>0</v>
      </c>
      <c r="DK60" s="325" t="s">
        <v>73</v>
      </c>
      <c r="DL60" s="323" t="s">
        <v>450</v>
      </c>
      <c r="DM60" s="325" t="s">
        <v>469</v>
      </c>
      <c r="DN60" s="1439">
        <v>16</v>
      </c>
      <c r="DO60" s="1513" t="s">
        <v>1488</v>
      </c>
      <c r="DP60" s="1517">
        <v>0.5</v>
      </c>
      <c r="DQ60" s="1508"/>
      <c r="DR60" s="458"/>
      <c r="DS60" s="1434">
        <f t="shared" si="56"/>
        <v>0</v>
      </c>
      <c r="DT60" s="344" t="b">
        <f t="shared" si="57"/>
        <v>1</v>
      </c>
      <c r="DU60" s="1314" t="str">
        <f t="array" ref="DU60">IF(OR(COUNTIF(F60,"*"&amp;$DK$9:$DK$178&amp;"*")), "Yes", "")</f>
        <v/>
      </c>
      <c r="DV60" s="1314">
        <f t="shared" si="58"/>
        <v>0</v>
      </c>
      <c r="DW60" s="1480">
        <f t="shared" si="59"/>
        <v>0</v>
      </c>
      <c r="DX60" s="1498">
        <f t="shared" si="71"/>
        <v>0</v>
      </c>
      <c r="DY60" s="1484">
        <f t="shared" si="60"/>
        <v>0</v>
      </c>
      <c r="DZ60" s="331"/>
      <c r="EA60" s="392"/>
      <c r="EB60" s="1499" t="s">
        <v>153</v>
      </c>
      <c r="EC60" s="727" t="s">
        <v>1568</v>
      </c>
      <c r="ED60" s="728">
        <v>0.5</v>
      </c>
      <c r="EE60" s="1215"/>
      <c r="EF60" s="1215"/>
      <c r="EG60" s="1184" t="str">
        <f t="shared" si="61"/>
        <v/>
      </c>
      <c r="EH60" s="55"/>
      <c r="EI60" s="55"/>
      <c r="EJ60" s="1185">
        <f t="shared" si="10"/>
        <v>0</v>
      </c>
      <c r="EK60" s="1211"/>
      <c r="EL60" s="1180">
        <f t="shared" si="72"/>
        <v>0</v>
      </c>
      <c r="EM60" s="207"/>
      <c r="EN60" s="1038"/>
      <c r="EO60" s="1038"/>
      <c r="EP60" s="1038"/>
      <c r="EQ60" s="1038">
        <f t="shared" si="62"/>
        <v>0</v>
      </c>
      <c r="ER60" s="1041">
        <f t="shared" si="75"/>
        <v>0</v>
      </c>
      <c r="ES60" s="1042">
        <f t="shared" si="63"/>
        <v>0</v>
      </c>
      <c r="ET60" s="1042">
        <f t="shared" si="73"/>
        <v>0</v>
      </c>
      <c r="EU60" s="1021">
        <f t="shared" si="74"/>
        <v>0</v>
      </c>
      <c r="EV60" s="368"/>
      <c r="EW60" s="368"/>
      <c r="EX60" s="369"/>
      <c r="EY60" s="370"/>
      <c r="EZ60" s="370"/>
      <c r="FA60" s="371"/>
      <c r="FB60" s="372"/>
    </row>
    <row r="61" spans="1:158" ht="34.5" customHeight="1">
      <c r="A61" s="82">
        <v>53</v>
      </c>
      <c r="B61" s="1725"/>
      <c r="C61" s="1726"/>
      <c r="D61" s="1726"/>
      <c r="E61" s="1727"/>
      <c r="F61" s="1732"/>
      <c r="G61" s="1733"/>
      <c r="H61" s="1733"/>
      <c r="I61" s="1734"/>
      <c r="J61" s="1341"/>
      <c r="K61" s="1728"/>
      <c r="L61" s="1728"/>
      <c r="M61" s="1342"/>
      <c r="N61" s="1583"/>
      <c r="O61" s="208" t="str">
        <f t="shared" si="11"/>
        <v/>
      </c>
      <c r="P61" s="785"/>
      <c r="Q61" s="39" t="str">
        <f t="shared" si="0"/>
        <v/>
      </c>
      <c r="R61" s="39">
        <f t="shared" si="12"/>
        <v>0</v>
      </c>
      <c r="S61" s="234">
        <f t="shared" si="13"/>
        <v>0</v>
      </c>
      <c r="T61" s="1755"/>
      <c r="U61" s="1755"/>
      <c r="V61" s="1755"/>
      <c r="W61" s="1345"/>
      <c r="X61" s="1741"/>
      <c r="Y61" s="1742"/>
      <c r="Z61" s="1346"/>
      <c r="AA61" s="1343"/>
      <c r="AB61" s="1141"/>
      <c r="AC61" s="1103" t="str">
        <f>IF(T61="","",VLOOKUP(Z61,Lists!$A$60:$B$111,2,FALSE))</f>
        <v/>
      </c>
      <c r="AD61" s="130" t="str">
        <f t="shared" si="14"/>
        <v/>
      </c>
      <c r="AE61" s="130" t="e">
        <f t="shared" si="15"/>
        <v>#VALUE!</v>
      </c>
      <c r="AF61" s="130">
        <f t="shared" si="16"/>
        <v>1</v>
      </c>
      <c r="AG61" s="234">
        <f t="shared" si="1"/>
        <v>0</v>
      </c>
      <c r="AH61" s="1753" t="str">
        <f>IF(T61="","",(IF(ISNUMBER(SEARCH("exit",T61)),8760,IF(AND(M61="Dusk to Dawn",'Proposed Lighting'!AU61=3),4059,IF(AND(AU61=3,M61="1"),0,IF(AND(AU61=3,M61="1-C"),0,IF(AND(AU61=3,M61="2"),0,IF(AND(AU61=3,M61="2-C"),0,IF(AND(AU61=3,M61="3"),0,IF(AND(AU61=3,M61="3-C"),0,IF(AND(AU61=2,M61="Dusk to Dawn"),0,IF(AND(AU61=2,M61="Dusk to Dawn-C"),0,IF(AND(AU61=2,M61="Dusk to Dawn"),0,IF(AND(AU61=2,M61="E"),0,IF(AND(AU61=2,M61="E-C"),0,EG61)))))))))))))))</f>
        <v/>
      </c>
      <c r="AI61" s="1754"/>
      <c r="AJ61" s="1136"/>
      <c r="AK61" s="1136"/>
      <c r="AL61" s="1748">
        <f t="shared" si="64"/>
        <v>0</v>
      </c>
      <c r="AM61" s="1749"/>
      <c r="AN61" s="1750"/>
      <c r="AO61" s="476">
        <f t="shared" si="2"/>
        <v>0</v>
      </c>
      <c r="AP61" s="476">
        <f t="shared" si="17"/>
        <v>0</v>
      </c>
      <c r="AQ61" s="475">
        <f t="shared" si="3"/>
        <v>0</v>
      </c>
      <c r="AR61" s="475">
        <f t="shared" si="18"/>
        <v>0</v>
      </c>
      <c r="AS61" s="743" t="str">
        <f t="shared" si="79"/>
        <v/>
      </c>
      <c r="AT61" s="736" t="str">
        <f t="shared" si="20"/>
        <v/>
      </c>
      <c r="AU61" s="56">
        <f t="shared" si="21"/>
        <v>1</v>
      </c>
      <c r="AV61" s="476">
        <f t="shared" si="22"/>
        <v>0</v>
      </c>
      <c r="AW61" s="56">
        <f t="shared" si="23"/>
        <v>0</v>
      </c>
      <c r="AX61" s="475">
        <f t="shared" si="65"/>
        <v>0</v>
      </c>
      <c r="AY61" s="1169">
        <f t="shared" si="66"/>
        <v>0</v>
      </c>
      <c r="AZ61" s="1150">
        <f t="shared" si="67"/>
        <v>0</v>
      </c>
      <c r="BA61" s="56">
        <f t="shared" si="68"/>
        <v>0</v>
      </c>
      <c r="BB61" s="420">
        <f t="shared" si="4"/>
        <v>0</v>
      </c>
      <c r="BC61" s="58" t="str">
        <f t="shared" si="5"/>
        <v/>
      </c>
      <c r="BD61" s="660">
        <f t="shared" si="69"/>
        <v>0</v>
      </c>
      <c r="BE61" s="57" t="e">
        <f t="array" ref="BE61">INDEX($EB$11:$ED$1022,MATCH(F61&amp;T61,$EB$11:$EB$1007&amp;$EC$11:$EC$1007,0),3)</f>
        <v>#N/A</v>
      </c>
      <c r="BF61" s="463">
        <f t="shared" si="24"/>
        <v>0</v>
      </c>
      <c r="BG61" s="1445" t="e">
        <f t="array" ref="BG61">INDEX($DO$112:$DQ$123,MATCH(T61&amp;W61,$DO$114:$DO$125&amp;$DP$112:$DP$123,0),3)</f>
        <v>#N/A</v>
      </c>
      <c r="BH61" s="1446">
        <f t="shared" si="25"/>
        <v>0</v>
      </c>
      <c r="BI61" s="465">
        <f t="shared" si="26"/>
        <v>0</v>
      </c>
      <c r="BJ61" s="465">
        <f t="shared" si="27"/>
        <v>0</v>
      </c>
      <c r="BK61" s="466">
        <f t="shared" si="28"/>
        <v>0</v>
      </c>
      <c r="BL61" s="466">
        <f t="shared" si="29"/>
        <v>0</v>
      </c>
      <c r="BM61" s="466">
        <f t="shared" si="30"/>
        <v>0</v>
      </c>
      <c r="BN61" s="466">
        <f t="shared" si="31"/>
        <v>0</v>
      </c>
      <c r="BO61" s="463">
        <f>IF('Data Entry'!$C$74=0,0,IF(ISNA(CJ61),0,IF(AX61=0,0,IF(AND('Data Entry'!$C$74=2,AF61&gt;2,CE61&lt;1),0,IF(AND('Data Entry'!$C$74=2,AF61&gt;1,AU61=2,CJ61&gt;1),0,IF(AND(AF61=5,CT61=0.5,AU61=2,ER61&lt;100),0,IF(AND(AF61=5,CT61=0.5,AU61=3,ER61&lt;100),0,IF(AND('Data Entry'!$C$74=2,AF61=2,AU61=2,AK61&gt;0.01,CB61=2,CE61&lt;1),0,IF(AND('Data Entry'!$C$74=2,AF61=3,AU61=3,AK61&gt;0.01,CB61=3,CE61&lt;1),0,IF(AND('Data Entry'!$C$74=2,AF61=3,AU61=3,AK61&gt;0.01,CB61=3,CE61&gt;0.99),BQ61*0.08,IF(AND('Data Entry'!$C$74=2,AF61=2,AU61=2,AK61&gt;0.01,CB61=2,CE61&gt;0.99),BQ61*0.1,IF(AND(AU61=2,AK61&gt;0.01,CB61=2,CD61&gt;1),BQ61*0.1,IF(AND(AU61=3,AK61&gt;0.01,CB61=3,CD61&gt;1),BQ61*0.08,CJ61*EF61)))))))))))))</f>
        <v>0</v>
      </c>
      <c r="BP61" s="475">
        <f t="shared" si="32"/>
        <v>0</v>
      </c>
      <c r="BQ61" s="1431">
        <f>IF(AU61=1,0,IF(CH61=100,0,IF(AND(AF61=3,AU61=2),0,IF(AND(BH61=0,CT61&gt;0.4),0,IF(AND('Data Entry'!$C$74=2,AF61=1.5),0,IF(AND('Data Entry'!$C$74=2,AF61=1.6),0,IF(AND('Data Entry'!$C$74=2,AF61=4),0,IF(AND('Data Entry'!$C$74=2,AF61=5),0,IF(AND('Data Entry'!$C$74=2,AF61=2.5,CE61&lt;1),0,IF(AND('Data Entry'!$C$74=2,AF61=3,CE61&lt;1),0,IF(AND('Data Entry'!$C$74=1,AF61=2.5,CD61&lt;1),0,IF(AND('Data Entry'!$C$74=1,AF61=3,CD61&lt;1),0,IF(DX61&gt;0.01,DX61,IF(ISERROR(AX61-AY61),"",ROUND(AX61-AY61,2)))))))))))))))</f>
        <v>0</v>
      </c>
      <c r="BR61" s="146">
        <f t="shared" si="33"/>
        <v>0</v>
      </c>
      <c r="BS61" s="475">
        <f t="shared" si="34"/>
        <v>0</v>
      </c>
      <c r="BT61" s="146" t="b">
        <f t="shared" si="35"/>
        <v>0</v>
      </c>
      <c r="BU61" s="463">
        <f>IF(ISNA(AT61),0,IF(AND('Data Entry'!$C$74=2,BC61=27),0,IF(AND('Data Entry'!$C$74=2,BC61=28),0,IF(AND(BC61=27,BT61=27,CM61&gt;0.1),CM61*0.15,IF(AND(BC61=28,BT61=28,CM61&gt;0.1),CM61*0.12,0)))))</f>
        <v>0</v>
      </c>
      <c r="BV61" s="463">
        <f t="shared" si="78"/>
        <v>0</v>
      </c>
      <c r="BW61" s="463">
        <f t="shared" si="37"/>
        <v>0</v>
      </c>
      <c r="BX61" s="463">
        <f t="shared" si="38"/>
        <v>0</v>
      </c>
      <c r="BY61" s="463">
        <f t="shared" si="39"/>
        <v>0</v>
      </c>
      <c r="BZ61" s="463">
        <f t="shared" si="40"/>
        <v>0</v>
      </c>
      <c r="CA61" s="57">
        <f t="shared" si="70"/>
        <v>0</v>
      </c>
      <c r="CB61" s="56">
        <f t="shared" si="41"/>
        <v>1</v>
      </c>
      <c r="CC61" s="756">
        <f>IF(EE61=0,0,IF(EF61=0,0,IF(EE61&gt;AA61,0,IF(AND(AZ61&gt;AW61,AW61&gt;0),0,IF(CU61=0,0,Summary!AC364)))))</f>
        <v>0</v>
      </c>
      <c r="CD61" s="756">
        <f>IF(EE61=0,0,IF(EF61=0,0,IF(EE61&gt;AA61,0,IF(AND(AZ61&gt;AW61,AW61&gt;0),0,IF(CU61=0,0,Summary!AD364)))))</f>
        <v>0</v>
      </c>
      <c r="CE61" s="756">
        <f>IF(EF61=0,0,IF(EE61&gt;AA61,0,IF(CC61=0,0,IF(AND(AZ61&gt;AW61,AW61&gt;0),0,IF(CU61=0,0,Summary!AE364)))))</f>
        <v>0</v>
      </c>
      <c r="CF61" s="475">
        <f t="shared" si="42"/>
        <v>0</v>
      </c>
      <c r="CG61" s="476">
        <f t="shared" si="6"/>
        <v>0</v>
      </c>
      <c r="CH61" s="487">
        <f t="shared" si="43"/>
        <v>0</v>
      </c>
      <c r="CI61" s="756">
        <f t="shared" si="44"/>
        <v>0</v>
      </c>
      <c r="CJ61" s="487">
        <f>IF(CT61&gt;0.4,0,IF(AND(AU61=2,CH61=0,CT61=0.5,ER61=100),35,IF(AND(AU61=3,BB61&gt;75,CH61=0,CT61=0.5,ER61=100),25,IF(CB61&gt;1,0,IF(EF61&gt;EE61,0,IF(AND(AF61&gt;1,CH61=100),0,IF(AND(AF61=1,AY61=0),0,IF(AND(EF61&lt;=EE61,AW61&gt;=AZ61,'Data Entry'!$C$74=1,AU61=2),VLOOKUP(W61,$DO$96:$DP$102,2,FALSE),IF(AND(EF61&lt;=EE61,AW61&gt;=AZ61,AU61=3,'Data Entry'!$C$74=1),VLOOKUP(W61,$DO$127:$DP$134,2,FALSE))))))))))</f>
        <v>0</v>
      </c>
      <c r="CK61" s="716">
        <f t="shared" si="45"/>
        <v>0</v>
      </c>
      <c r="CL61" s="57">
        <f t="shared" si="46"/>
        <v>0</v>
      </c>
      <c r="CM61" s="475">
        <f t="shared" si="77"/>
        <v>0</v>
      </c>
      <c r="CN61" s="660">
        <f>IF(CM61&lt;0.1,0,IF(ISNA(AT61),0,IF(CL61+BC61=1,0,IF(BV61&gt;0.01,0,IF(CL61&gt;0.01,0,IF(CF61=1,0,IF(BC61=0.5,0,IF(AND(CI61=1,AU61=3),0,IF(AND(CI61=5,CL61=0),0,IF(AND(R61=12,BR61=50),0,IF(CK61&gt;0.01,0,IF(AND(AJ61&gt;0.01,AU61=2,BC61=15),CM61*0.1,IF(AND(AJ61&gt;0.01,AU61=3,BC61=15),CM61*0.08,IF(AND(R61=12,BC61=3,AF61&lt;=0),0,IF(AND(BC61=15,BI61=0),0,IF(AND(BC61=15,BJ61=0),0,IF(AND(R61=20,CU61=0),0,IF($X$4=0,0,IF(AND(BC61=250,CL61=0),0,IF(AA61&lt;1,0,IF(AND(ISNUMBER(SEARCH("Area",T61)),AU61=3),0,IF(AND(AQ61&gt;0.01,AR61=0,BK61=0,BL61=0,BM61=0,BN61=0),0,IF(AND(AU61=3,CI61=7,CT61&gt;0.5),0,IF(AND(BC61=44,AU61=3,BY61=0),0,IF(AND(BC61=27,'Data Entry'!$C$74=2),0,IF(AND(BC61=28,'Data Entry'!$C$74=2),0,IF(AND(BY61+BZ61+CA61&gt;0.01,BV61=0,EQ61+ER61+ES61+ET61&lt;100),0,IF(AU61=3,CM61*0.08,IF(AU61=2,CM61*0.1,0)))))))))))))))))))))))))))))</f>
        <v>0</v>
      </c>
      <c r="CO61" s="660">
        <f t="shared" si="47"/>
        <v>0</v>
      </c>
      <c r="CP61" s="475" t="str">
        <f t="shared" si="48"/>
        <v/>
      </c>
      <c r="CQ61" s="161" t="str">
        <f>IF(AH61=0,0,IF(AU61=5,0,Summary!AC64))</f>
        <v/>
      </c>
      <c r="CR61" s="161" t="str">
        <f>IF(BF61=0.5,0,IF(AU61=5,0,Summary!AD64))</f>
        <v/>
      </c>
      <c r="CS61" s="161" t="str">
        <f>IF(AU61=5,0,Summary!AE64)</f>
        <v/>
      </c>
      <c r="CT61" s="161">
        <f t="shared" si="49"/>
        <v>0</v>
      </c>
      <c r="CU61" s="475" t="str">
        <f t="shared" si="7"/>
        <v/>
      </c>
      <c r="CV61" s="307">
        <f>IF('Data Entry'!$C$74=0,0,IF(AA61&lt;1,0,IF(ISERROR(CU61),0,IF(CF61=1,0,IF(AND(R61=12,BR61=50),0,IF(CL61+BO61+BV61+DC61=0,0,IF(BC61=37,0,IF(AND(BC61=40,AJ61=0),0,IF(AND(BC61=37,BO61&gt;0.01,BQ61&gt;0.01),ROUND(BQ61,0),IF(CM61&lt;0,0,ROUND(CM61,0)))))))))))</f>
        <v>0</v>
      </c>
      <c r="CW61" s="700">
        <f t="shared" si="50"/>
        <v>0</v>
      </c>
      <c r="CX61" s="477">
        <f>IF('Data Entry'!$C$74=0,0,IF(CV61&lt;0.01,0,IF(BF61=0.5,0,IF(CF61=1,0,IF(ISNUMBER(SEARCH("false",CL61)),0,IF(AZ61=500,0,CL61))))))</f>
        <v>0</v>
      </c>
      <c r="CY61" s="147" t="e">
        <f t="shared" si="51"/>
        <v>#VALUE!</v>
      </c>
      <c r="CZ61" s="147" t="b">
        <f>IF(CN61+CL61=0,FALSE,IF(AH61=0,0,IF(AND('Data Entry'!$C$74=1,CR61&gt;=1),TRUE,IF(AND('Data Entry'!$C$74=2,CS61&gt;=1),TRUE,FALSE))))</f>
        <v>0</v>
      </c>
      <c r="DA61" s="1751">
        <f>IF('Data Entry'!$C$74=0,0,IFERROR(ROUND(IF(T61="","",IF($X$4=0,0,IF(CF61=1,0,IF(BQ61+CV61=0,0,IF(CF61=1,0,IF(CY61&gt;0.01,CY61,IF(CL61&gt;0.01,CL61,IF(CY61&gt;0.01,CY61,IF(BC61=37,BO61,IF(CZ61=FALSE,0,IF(CZ61=TRUE,DC61+DF61,0))))))))))),2),""))</f>
        <v>0</v>
      </c>
      <c r="DB61" s="1752"/>
      <c r="DC61" s="474">
        <f>IF(CN61&lt;0.01,0,IF(AND(BR61=3,CN61&gt;0.01,CT61&gt;0.6,ER61+ES61+ET61&lt;100),0,IF(AND('Data Entry'!$C$74=1,CN61&gt;0.01,CR61&gt;0.99),MIN(CN61:CO61),IF(AND('Data Entry'!$C$74=2,CN61&gt;0.01,CS61&gt;0.99),MIN(CN61:CO61),0))))</f>
        <v>0</v>
      </c>
      <c r="DD61" s="478">
        <f>IF(CF61=1,"Selection does not match",IF(T61=0,0,IF(AND('Data Entry'!$C$74=0,CP61&gt;1),"Select Oregon or Idaho on Data Entry Tab",IF(AND(AU61=1,AA61&gt;0.9),"Missing Interior or Exterior Selection",IF($X$4=0,"Enter Total Project Cost",IF(AQ61&lt;AR61,"Insufficient kWh savings – no incentive",IF(AND(SUM(CL61+CK61+BV61)&gt;0.01,'Data Entry'!$C$74=2,CJ61&gt;1,BO61=0),"Submit Control as Non-Standard",IF(AND('Data Entry'!$C$74=2,BR61=37,CJ61&gt;1,BO61=0),"Submit Control as Non-Standard",IF(SUM(CL61+CK61+BV61)&gt;0.01,"Standard Incentive",IF(AND('Data Entry'!$C$74=2,CP61=7,CN61=0),"Submit as Non-Standard",IF(DC61&gt;0.9,"Non-Standard Incentive",IF(AND(BY61+BZ61+CA61&gt;0.01,BV61=0,EQ61=0,ER61=0,ES61=0,ET61=0),"Scroll Right &amp; Select Control Strategies",IF(AND(CN61&gt;0.01,CO61=0),"Enter Unit Installed Cost",IF(ISNUMBER(SEARCH("Lighting Controls Only",F61)),"Lighting Controls Only",IF(CL61+DC61=0,"Does not meet incentive criteria",0)))))))))))))))</f>
        <v>0</v>
      </c>
      <c r="DE61" s="337">
        <f t="shared" si="52"/>
        <v>0</v>
      </c>
      <c r="DF61" s="609">
        <f t="shared" si="53"/>
        <v>0</v>
      </c>
      <c r="DG61" s="336" t="str">
        <f t="shared" si="54"/>
        <v/>
      </c>
      <c r="DH61" s="338">
        <f t="shared" si="55"/>
        <v>1</v>
      </c>
      <c r="DI61" s="336" t="e">
        <f t="shared" si="8"/>
        <v>#VALUE!</v>
      </c>
      <c r="DJ61" s="338">
        <f t="shared" si="9"/>
        <v>0</v>
      </c>
      <c r="DK61" s="327" t="s">
        <v>157</v>
      </c>
      <c r="DL61" s="323">
        <v>65</v>
      </c>
      <c r="DM61" s="327" t="s">
        <v>775</v>
      </c>
      <c r="DN61" s="1439">
        <v>6</v>
      </c>
      <c r="DO61" s="1513" t="s">
        <v>1762</v>
      </c>
      <c r="DP61" s="1517">
        <v>0.25</v>
      </c>
      <c r="DQ61" s="1508"/>
      <c r="DR61" s="458"/>
      <c r="DS61" s="1434">
        <f t="shared" si="56"/>
        <v>0</v>
      </c>
      <c r="DT61" s="344" t="b">
        <f t="shared" si="57"/>
        <v>1</v>
      </c>
      <c r="DU61" s="1314" t="str">
        <f t="array" ref="DU61">IF(OR(COUNTIF(F61,"*"&amp;$DK$9:$DK$178&amp;"*")), "Yes", "")</f>
        <v/>
      </c>
      <c r="DV61" s="1314">
        <f t="shared" si="58"/>
        <v>0</v>
      </c>
      <c r="DW61" s="1480">
        <f t="shared" si="59"/>
        <v>0</v>
      </c>
      <c r="DX61" s="1498">
        <f t="shared" si="71"/>
        <v>0</v>
      </c>
      <c r="DY61" s="1484">
        <f t="shared" si="60"/>
        <v>0</v>
      </c>
      <c r="DZ61" s="331"/>
      <c r="EA61" s="392"/>
      <c r="EB61" s="1499" t="s">
        <v>154</v>
      </c>
      <c r="EC61" s="727" t="s">
        <v>1568</v>
      </c>
      <c r="ED61" s="728">
        <v>0.5</v>
      </c>
      <c r="EE61" s="1215"/>
      <c r="EF61" s="1215"/>
      <c r="EG61" s="1184" t="str">
        <f t="shared" si="61"/>
        <v/>
      </c>
      <c r="EH61" s="55"/>
      <c r="EI61" s="55"/>
      <c r="EJ61" s="1185">
        <f t="shared" si="10"/>
        <v>0</v>
      </c>
      <c r="EK61" s="1211"/>
      <c r="EL61" s="1180">
        <f t="shared" si="72"/>
        <v>0</v>
      </c>
      <c r="EM61" s="207"/>
      <c r="EN61" s="1038"/>
      <c r="EO61" s="1038"/>
      <c r="EP61" s="1038"/>
      <c r="EQ61" s="1038">
        <f t="shared" si="62"/>
        <v>0</v>
      </c>
      <c r="ER61" s="1041">
        <f t="shared" si="75"/>
        <v>0</v>
      </c>
      <c r="ES61" s="1042">
        <f t="shared" si="63"/>
        <v>0</v>
      </c>
      <c r="ET61" s="1042">
        <f t="shared" si="73"/>
        <v>0</v>
      </c>
      <c r="EU61" s="1021">
        <f t="shared" si="74"/>
        <v>0</v>
      </c>
      <c r="EV61" s="368"/>
      <c r="EW61" s="368"/>
      <c r="EX61" s="369"/>
      <c r="EY61" s="370"/>
      <c r="EZ61" s="370"/>
      <c r="FA61" s="371"/>
      <c r="FB61" s="372"/>
    </row>
    <row r="62" spans="1:158" ht="34.5" customHeight="1">
      <c r="A62" s="82">
        <v>54</v>
      </c>
      <c r="B62" s="1725"/>
      <c r="C62" s="1726"/>
      <c r="D62" s="1726"/>
      <c r="E62" s="1727"/>
      <c r="F62" s="1732"/>
      <c r="G62" s="1733"/>
      <c r="H62" s="1733"/>
      <c r="I62" s="1734"/>
      <c r="J62" s="1341"/>
      <c r="K62" s="1728"/>
      <c r="L62" s="1728"/>
      <c r="M62" s="1342"/>
      <c r="N62" s="1583"/>
      <c r="O62" s="208" t="str">
        <f t="shared" si="11"/>
        <v/>
      </c>
      <c r="P62" s="785"/>
      <c r="Q62" s="39" t="str">
        <f t="shared" si="0"/>
        <v/>
      </c>
      <c r="R62" s="39">
        <f t="shared" si="12"/>
        <v>0</v>
      </c>
      <c r="S62" s="234">
        <f t="shared" si="13"/>
        <v>0</v>
      </c>
      <c r="T62" s="1755"/>
      <c r="U62" s="1755"/>
      <c r="V62" s="1755"/>
      <c r="W62" s="1345"/>
      <c r="X62" s="1741"/>
      <c r="Y62" s="1742"/>
      <c r="Z62" s="1346"/>
      <c r="AA62" s="1343"/>
      <c r="AB62" s="1141"/>
      <c r="AC62" s="1103" t="str">
        <f>IF(T62="","",VLOOKUP(Z62,Lists!$A$60:$B$111,2,FALSE))</f>
        <v/>
      </c>
      <c r="AD62" s="130" t="str">
        <f t="shared" si="14"/>
        <v/>
      </c>
      <c r="AE62" s="130" t="e">
        <f t="shared" si="15"/>
        <v>#VALUE!</v>
      </c>
      <c r="AF62" s="130">
        <f t="shared" si="16"/>
        <v>1</v>
      </c>
      <c r="AG62" s="234">
        <f t="shared" si="1"/>
        <v>0</v>
      </c>
      <c r="AH62" s="1753" t="str">
        <f>IF(T62="","",(IF(ISNUMBER(SEARCH("exit",T62)),8760,IF(AND(M62="Dusk to Dawn",'Proposed Lighting'!AU62=3),4059,IF(AND(AU62=3,M62="1"),0,IF(AND(AU62=3,M62="1-C"),0,IF(AND(AU62=3,M62="2"),0,IF(AND(AU62=3,M62="2-C"),0,IF(AND(AU62=3,M62="3"),0,IF(AND(AU62=3,M62="3-C"),0,IF(AND(AU62=2,M62="Dusk to Dawn"),0,IF(AND(AU62=2,M62="Dusk to Dawn-C"),0,IF(AND(AU62=2,M62="Dusk to Dawn"),0,IF(AND(AU62=2,M62="E"),0,IF(AND(AU62=2,M62="E-C"),0,EG62)))))))))))))))</f>
        <v/>
      </c>
      <c r="AI62" s="1754"/>
      <c r="AJ62" s="1136"/>
      <c r="AK62" s="1136"/>
      <c r="AL62" s="1748">
        <f t="shared" si="64"/>
        <v>0</v>
      </c>
      <c r="AM62" s="1749"/>
      <c r="AN62" s="1750"/>
      <c r="AO62" s="476">
        <f t="shared" si="2"/>
        <v>0</v>
      </c>
      <c r="AP62" s="476">
        <f t="shared" si="17"/>
        <v>0</v>
      </c>
      <c r="AQ62" s="475">
        <f t="shared" si="3"/>
        <v>0</v>
      </c>
      <c r="AR62" s="475">
        <f t="shared" si="18"/>
        <v>0</v>
      </c>
      <c r="AS62" s="743" t="str">
        <f t="shared" si="79"/>
        <v/>
      </c>
      <c r="AT62" s="736" t="str">
        <f t="shared" si="20"/>
        <v/>
      </c>
      <c r="AU62" s="56">
        <f t="shared" si="21"/>
        <v>1</v>
      </c>
      <c r="AV62" s="476">
        <f t="shared" si="22"/>
        <v>0</v>
      </c>
      <c r="AW62" s="56">
        <f t="shared" si="23"/>
        <v>0</v>
      </c>
      <c r="AX62" s="475">
        <f t="shared" si="65"/>
        <v>0</v>
      </c>
      <c r="AY62" s="1169">
        <f t="shared" si="66"/>
        <v>0</v>
      </c>
      <c r="AZ62" s="1150">
        <f t="shared" si="67"/>
        <v>0</v>
      </c>
      <c r="BA62" s="56">
        <f t="shared" si="68"/>
        <v>0</v>
      </c>
      <c r="BB62" s="420">
        <f t="shared" si="4"/>
        <v>0</v>
      </c>
      <c r="BC62" s="58" t="str">
        <f t="shared" si="5"/>
        <v/>
      </c>
      <c r="BD62" s="660">
        <f t="shared" si="69"/>
        <v>0</v>
      </c>
      <c r="BE62" s="57" t="e">
        <f t="array" ref="BE62">INDEX($EB$11:$ED$1022,MATCH(F62&amp;T62,$EB$11:$EB$1007&amp;$EC$11:$EC$1007,0),3)</f>
        <v>#N/A</v>
      </c>
      <c r="BF62" s="463">
        <f t="shared" si="24"/>
        <v>0</v>
      </c>
      <c r="BG62" s="1445" t="e">
        <f t="array" ref="BG62">INDEX($DO$112:$DQ$123,MATCH(T62&amp;W62,$DO$114:$DO$125&amp;$DP$112:$DP$123,0),3)</f>
        <v>#N/A</v>
      </c>
      <c r="BH62" s="1446">
        <f t="shared" si="25"/>
        <v>0</v>
      </c>
      <c r="BI62" s="465">
        <f t="shared" si="26"/>
        <v>0</v>
      </c>
      <c r="BJ62" s="465">
        <f t="shared" si="27"/>
        <v>0</v>
      </c>
      <c r="BK62" s="466">
        <f t="shared" si="28"/>
        <v>0</v>
      </c>
      <c r="BL62" s="466">
        <f t="shared" si="29"/>
        <v>0</v>
      </c>
      <c r="BM62" s="466">
        <f t="shared" si="30"/>
        <v>0</v>
      </c>
      <c r="BN62" s="466">
        <f t="shared" si="31"/>
        <v>0</v>
      </c>
      <c r="BO62" s="463">
        <f>IF('Data Entry'!$C$74=0,0,IF(ISNA(CJ62),0,IF(AX62=0,0,IF(AND('Data Entry'!$C$74=2,AF62&gt;2,CE62&lt;1),0,IF(AND('Data Entry'!$C$74=2,AF62&gt;1,AU62=2,CJ62&gt;1),0,IF(AND(AF62=5,CT62=0.5,AU62=2,ER62&lt;100),0,IF(AND(AF62=5,CT62=0.5,AU62=3,ER62&lt;100),0,IF(AND('Data Entry'!$C$74=2,AF62=2,AU62=2,AK62&gt;0.01,CB62=2,CE62&lt;1),0,IF(AND('Data Entry'!$C$74=2,AF62=3,AU62=3,AK62&gt;0.01,CB62=3,CE62&lt;1),0,IF(AND('Data Entry'!$C$74=2,AF62=3,AU62=3,AK62&gt;0.01,CB62=3,CE62&gt;0.99),BQ62*0.08,IF(AND('Data Entry'!$C$74=2,AF62=2,AU62=2,AK62&gt;0.01,CB62=2,CE62&gt;0.99),BQ62*0.1,IF(AND(AU62=2,AK62&gt;0.01,CB62=2,CD62&gt;1),BQ62*0.1,IF(AND(AU62=3,AK62&gt;0.01,CB62=3,CD62&gt;1),BQ62*0.08,CJ62*EF62)))))))))))))</f>
        <v>0</v>
      </c>
      <c r="BP62" s="475">
        <f t="shared" si="32"/>
        <v>0</v>
      </c>
      <c r="BQ62" s="1431">
        <f>IF(AU62=1,0,IF(CH62=100,0,IF(AND(AF62=3,AU62=2),0,IF(AND(BH62=0,CT62&gt;0.4),0,IF(AND('Data Entry'!$C$74=2,AF62=1.5),0,IF(AND('Data Entry'!$C$74=2,AF62=1.6),0,IF(AND('Data Entry'!$C$74=2,AF62=4),0,IF(AND('Data Entry'!$C$74=2,AF62=5),0,IF(AND('Data Entry'!$C$74=2,AF62=2.5,CE62&lt;1),0,IF(AND('Data Entry'!$C$74=2,AF62=3,CE62&lt;1),0,IF(AND('Data Entry'!$C$74=1,AF62=2.5,CD62&lt;1),0,IF(AND('Data Entry'!$C$74=1,AF62=3,CD62&lt;1),0,IF(DX62&gt;0.01,DX62,IF(ISERROR(AX62-AY62),"",ROUND(AX62-AY62,2)))))))))))))))</f>
        <v>0</v>
      </c>
      <c r="BR62" s="146">
        <f t="shared" si="33"/>
        <v>0</v>
      </c>
      <c r="BS62" s="475">
        <f t="shared" si="34"/>
        <v>0</v>
      </c>
      <c r="BT62" s="146" t="b">
        <f t="shared" si="35"/>
        <v>0</v>
      </c>
      <c r="BU62" s="463">
        <f>IF(ISNA(AT62),0,IF(AND('Data Entry'!$C$74=2,BC62=27),0,IF(AND('Data Entry'!$C$74=2,BC62=28),0,IF(AND(BC62=27,BT62=27,CM62&gt;0.1),CM62*0.15,IF(AND(BC62=28,BT62=28,CM62&gt;0.1),CM62*0.12,0)))))</f>
        <v>0</v>
      </c>
      <c r="BV62" s="463">
        <f t="shared" si="78"/>
        <v>0</v>
      </c>
      <c r="BW62" s="463">
        <f t="shared" si="37"/>
        <v>0</v>
      </c>
      <c r="BX62" s="463">
        <f t="shared" si="38"/>
        <v>0</v>
      </c>
      <c r="BY62" s="463">
        <f t="shared" si="39"/>
        <v>0</v>
      </c>
      <c r="BZ62" s="463">
        <f t="shared" si="40"/>
        <v>0</v>
      </c>
      <c r="CA62" s="57">
        <f t="shared" si="70"/>
        <v>0</v>
      </c>
      <c r="CB62" s="56">
        <f t="shared" si="41"/>
        <v>1</v>
      </c>
      <c r="CC62" s="756">
        <f>IF(EE62=0,0,IF(EF62=0,0,IF(EE62&gt;AA62,0,IF(AND(AZ62&gt;AW62,AW62&gt;0),0,IF(CU62=0,0,Summary!AC365)))))</f>
        <v>0</v>
      </c>
      <c r="CD62" s="756">
        <f>IF(EE62=0,0,IF(EF62=0,0,IF(EE62&gt;AA62,0,IF(AND(AZ62&gt;AW62,AW62&gt;0),0,IF(CU62=0,0,Summary!AD365)))))</f>
        <v>0</v>
      </c>
      <c r="CE62" s="756">
        <f>IF(EF62=0,0,IF(EE62&gt;AA62,0,IF(CC62=0,0,IF(AND(AZ62&gt;AW62,AW62&gt;0),0,IF(CU62=0,0,Summary!AE365)))))</f>
        <v>0</v>
      </c>
      <c r="CF62" s="475">
        <f t="shared" si="42"/>
        <v>0</v>
      </c>
      <c r="CG62" s="476">
        <f t="shared" si="6"/>
        <v>0</v>
      </c>
      <c r="CH62" s="487">
        <f t="shared" si="43"/>
        <v>0</v>
      </c>
      <c r="CI62" s="756">
        <f t="shared" si="44"/>
        <v>0</v>
      </c>
      <c r="CJ62" s="487">
        <f>IF(CT62&gt;0.4,0,IF(AND(AU62=2,CH62=0,CT62=0.5,ER62=100),35,IF(AND(AU62=3,BB62&gt;75,CH62=0,CT62=0.5,ER62=100),25,IF(CB62&gt;1,0,IF(EF62&gt;EE62,0,IF(AND(AF62&gt;1,CH62=100),0,IF(AND(AF62=1,AY62=0),0,IF(AND(EF62&lt;=EE62,AW62&gt;=AZ62,'Data Entry'!$C$74=1,AU62=2),VLOOKUP(W62,$DO$96:$DP$102,2,FALSE),IF(AND(EF62&lt;=EE62,AW62&gt;=AZ62,AU62=3,'Data Entry'!$C$74=1),VLOOKUP(W62,$DO$127:$DP$134,2,FALSE))))))))))</f>
        <v>0</v>
      </c>
      <c r="CK62" s="716">
        <f t="shared" si="45"/>
        <v>0</v>
      </c>
      <c r="CL62" s="57">
        <f t="shared" si="46"/>
        <v>0</v>
      </c>
      <c r="CM62" s="475">
        <f t="shared" si="77"/>
        <v>0</v>
      </c>
      <c r="CN62" s="660">
        <f>IF(CM62&lt;0.1,0,IF(ISNA(AT62),0,IF(CL62+BC62=1,0,IF(BV62&gt;0.01,0,IF(CL62&gt;0.01,0,IF(CF62=1,0,IF(BC62=0.5,0,IF(AND(CI62=1,AU62=3),0,IF(AND(CI62=5,CL62=0),0,IF(AND(R62=12,BR62=50),0,IF(CK62&gt;0.01,0,IF(AND(AJ62&gt;0.01,AU62=2,BC62=15),CM62*0.1,IF(AND(AJ62&gt;0.01,AU62=3,BC62=15),CM62*0.08,IF(AND(R62=12,BC62=3,AF62&lt;=0),0,IF(AND(BC62=15,BI62=0),0,IF(AND(BC62=15,BJ62=0),0,IF(AND(R62=20,CU62=0),0,IF($X$4=0,0,IF(AND(BC62=250,CL62=0),0,IF(AA62&lt;1,0,IF(AND(ISNUMBER(SEARCH("Area",T62)),AU62=3),0,IF(AND(AQ62&gt;0.01,AR62=0,BK62=0,BL62=0,BM62=0,BN62=0),0,IF(AND(AU62=3,CI62=7,CT62&gt;0.5),0,IF(AND(BC62=44,AU62=3,BY62=0),0,IF(AND(BC62=27,'Data Entry'!$C$74=2),0,IF(AND(BC62=28,'Data Entry'!$C$74=2),0,IF(AND(BY62+BZ62+CA62&gt;0.01,BV62=0,EQ62+ER62+ES62+ET62&lt;100),0,IF(AU62=3,CM62*0.08,IF(AU62=2,CM62*0.1,0)))))))))))))))))))))))))))))</f>
        <v>0</v>
      </c>
      <c r="CO62" s="660">
        <f t="shared" si="47"/>
        <v>0</v>
      </c>
      <c r="CP62" s="475" t="str">
        <f t="shared" si="48"/>
        <v/>
      </c>
      <c r="CQ62" s="161" t="str">
        <f>IF(AH62=0,0,IF(AU62=5,0,Summary!AC65))</f>
        <v/>
      </c>
      <c r="CR62" s="161" t="str">
        <f>IF(BF62=0.5,0,IF(AU62=5,0,Summary!AD65))</f>
        <v/>
      </c>
      <c r="CS62" s="161" t="str">
        <f>IF(AU62=5,0,Summary!AE65)</f>
        <v/>
      </c>
      <c r="CT62" s="161">
        <f t="shared" si="49"/>
        <v>0</v>
      </c>
      <c r="CU62" s="475" t="str">
        <f t="shared" si="7"/>
        <v/>
      </c>
      <c r="CV62" s="307">
        <f>IF('Data Entry'!$C$74=0,0,IF(AA62&lt;1,0,IF(ISERROR(CU62),0,IF(CF62=1,0,IF(AND(R62=12,BR62=50),0,IF(CL62+BO62+BV62+DC62=0,0,IF(BC62=37,0,IF(AND(BC62=40,AJ62=0),0,IF(AND(BC62=37,BO62&gt;0.01,BQ62&gt;0.01),ROUND(BQ62,0),IF(CM62&lt;0,0,ROUND(CM62,0)))))))))))</f>
        <v>0</v>
      </c>
      <c r="CW62" s="700">
        <f t="shared" si="50"/>
        <v>0</v>
      </c>
      <c r="CX62" s="477">
        <f>IF('Data Entry'!$C$74=0,0,IF(CV62&lt;0.01,0,IF(BF62=0.5,0,IF(CF62=1,0,IF(ISNUMBER(SEARCH("false",CL62)),0,IF(AZ62=500,0,CL62))))))</f>
        <v>0</v>
      </c>
      <c r="CY62" s="147" t="e">
        <f t="shared" si="51"/>
        <v>#VALUE!</v>
      </c>
      <c r="CZ62" s="147" t="b">
        <f>IF(CN62+CL62=0,FALSE,IF(AH62=0,0,IF(AND('Data Entry'!$C$74=1,CR62&gt;=1),TRUE,IF(AND('Data Entry'!$C$74=2,CS62&gt;=1),TRUE,FALSE))))</f>
        <v>0</v>
      </c>
      <c r="DA62" s="1751">
        <f>IF('Data Entry'!$C$74=0,0,IFERROR(ROUND(IF(T62="","",IF($X$4=0,0,IF(CF62=1,0,IF(BQ62+CV62=0,0,IF(CF62=1,0,IF(CY62&gt;0.01,CY62,IF(CL62&gt;0.01,CL62,IF(CY62&gt;0.01,CY62,IF(BC62=37,BO62,IF(CZ62=FALSE,0,IF(CZ62=TRUE,DC62+DF62,0))))))))))),2),""))</f>
        <v>0</v>
      </c>
      <c r="DB62" s="1752"/>
      <c r="DC62" s="474">
        <f>IF(CN62&lt;0.01,0,IF(AND(BR62=3,CN62&gt;0.01,CT62&gt;0.6,ER62+ES62+ET62&lt;100),0,IF(AND('Data Entry'!$C$74=1,CN62&gt;0.01,CR62&gt;0.99),MIN(CN62:CO62),IF(AND('Data Entry'!$C$74=2,CN62&gt;0.01,CS62&gt;0.99),MIN(CN62:CO62),0))))</f>
        <v>0</v>
      </c>
      <c r="DD62" s="478">
        <f>IF(CF62=1,"Selection does not match",IF(T62=0,0,IF(AND('Data Entry'!$C$74=0,CP62&gt;1),"Select Oregon or Idaho on Data Entry Tab",IF(AND(AU62=1,AA62&gt;0.9),"Missing Interior or Exterior Selection",IF($X$4=0,"Enter Total Project Cost",IF(AQ62&lt;AR62,"Insufficient kWh savings – no incentive",IF(AND(SUM(CL62+CK62+BV62)&gt;0.01,'Data Entry'!$C$74=2,CJ62&gt;1,BO62=0),"Submit Control as Non-Standard",IF(AND('Data Entry'!$C$74=2,BR62=37,CJ62&gt;1,BO62=0),"Submit Control as Non-Standard",IF(SUM(CL62+CK62+BV62)&gt;0.01,"Standard Incentive",IF(AND('Data Entry'!$C$74=2,CP62=7,CN62=0),"Submit as Non-Standard",IF(DC62&gt;0.9,"Non-Standard Incentive",IF(AND(BY62+BZ62+CA62&gt;0.01,BV62=0,EQ62=0,ER62=0,ES62=0,ET62=0),"Scroll Right &amp; Select Control Strategies",IF(AND(CN62&gt;0.01,CO62=0),"Enter Unit Installed Cost",IF(ISNUMBER(SEARCH("Lighting Controls Only",F62)),"Lighting Controls Only",IF(CL62+DC62=0,"Does not meet incentive criteria",0)))))))))))))))</f>
        <v>0</v>
      </c>
      <c r="DE62" s="337">
        <f t="shared" si="52"/>
        <v>0</v>
      </c>
      <c r="DF62" s="609">
        <f t="shared" si="53"/>
        <v>0</v>
      </c>
      <c r="DG62" s="336" t="str">
        <f t="shared" si="54"/>
        <v/>
      </c>
      <c r="DH62" s="338">
        <f t="shared" si="55"/>
        <v>1</v>
      </c>
      <c r="DI62" s="336" t="e">
        <f t="shared" si="8"/>
        <v>#VALUE!</v>
      </c>
      <c r="DJ62" s="338">
        <f t="shared" si="9"/>
        <v>0</v>
      </c>
      <c r="DK62" s="327" t="s">
        <v>158</v>
      </c>
      <c r="DL62" s="323">
        <v>110</v>
      </c>
      <c r="DM62" s="327" t="s">
        <v>774</v>
      </c>
      <c r="DN62" s="1439">
        <v>12</v>
      </c>
      <c r="DO62" s="1513" t="s">
        <v>1763</v>
      </c>
      <c r="DP62" s="1517">
        <v>0.25</v>
      </c>
      <c r="DQ62" s="1509"/>
      <c r="DR62" s="458"/>
      <c r="DS62" s="1434">
        <f t="shared" si="56"/>
        <v>0</v>
      </c>
      <c r="DT62" s="344" t="b">
        <f t="shared" si="57"/>
        <v>1</v>
      </c>
      <c r="DU62" s="1314" t="str">
        <f t="array" ref="DU62">IF(OR(COUNTIF(F62,"*"&amp;$DK$9:$DK$178&amp;"*")), "Yes", "")</f>
        <v/>
      </c>
      <c r="DV62" s="1314">
        <f t="shared" si="58"/>
        <v>0</v>
      </c>
      <c r="DW62" s="1480">
        <f t="shared" si="59"/>
        <v>0</v>
      </c>
      <c r="DX62" s="1498">
        <f t="shared" si="71"/>
        <v>0</v>
      </c>
      <c r="DY62" s="1484">
        <f t="shared" si="60"/>
        <v>0</v>
      </c>
      <c r="DZ62" s="331"/>
      <c r="EA62" s="392"/>
      <c r="EB62" s="1499" t="s">
        <v>155</v>
      </c>
      <c r="EC62" s="727" t="s">
        <v>1568</v>
      </c>
      <c r="ED62" s="728">
        <v>0.5</v>
      </c>
      <c r="EE62" s="1215"/>
      <c r="EF62" s="1215"/>
      <c r="EG62" s="1184" t="str">
        <f t="shared" si="61"/>
        <v/>
      </c>
      <c r="EH62" s="55"/>
      <c r="EI62" s="55"/>
      <c r="EJ62" s="1185">
        <f t="shared" si="10"/>
        <v>0</v>
      </c>
      <c r="EK62" s="1211"/>
      <c r="EL62" s="1180">
        <f t="shared" si="72"/>
        <v>0</v>
      </c>
      <c r="EM62" s="207"/>
      <c r="EN62" s="1038"/>
      <c r="EO62" s="1038"/>
      <c r="EP62" s="1038"/>
      <c r="EQ62" s="1038">
        <f t="shared" si="62"/>
        <v>0</v>
      </c>
      <c r="ER62" s="1041">
        <f t="shared" si="75"/>
        <v>0</v>
      </c>
      <c r="ES62" s="1042">
        <f t="shared" si="63"/>
        <v>0</v>
      </c>
      <c r="ET62" s="1042">
        <f t="shared" si="73"/>
        <v>0</v>
      </c>
      <c r="EU62" s="1021">
        <f t="shared" si="74"/>
        <v>0</v>
      </c>
      <c r="EV62" s="368"/>
      <c r="EW62" s="368"/>
      <c r="EX62" s="369"/>
      <c r="EY62" s="370"/>
      <c r="EZ62" s="370"/>
      <c r="FA62" s="371"/>
      <c r="FB62" s="372"/>
    </row>
    <row r="63" spans="1:158" ht="34.5" customHeight="1">
      <c r="A63" s="82">
        <v>55</v>
      </c>
      <c r="B63" s="1725"/>
      <c r="C63" s="1726"/>
      <c r="D63" s="1726"/>
      <c r="E63" s="1727"/>
      <c r="F63" s="1732"/>
      <c r="G63" s="1733"/>
      <c r="H63" s="1733"/>
      <c r="I63" s="1734"/>
      <c r="J63" s="1341"/>
      <c r="K63" s="1728"/>
      <c r="L63" s="1728"/>
      <c r="M63" s="1342"/>
      <c r="N63" s="1583"/>
      <c r="O63" s="208" t="str">
        <f t="shared" si="11"/>
        <v/>
      </c>
      <c r="P63" s="785"/>
      <c r="Q63" s="39" t="str">
        <f t="shared" si="0"/>
        <v/>
      </c>
      <c r="R63" s="39">
        <f t="shared" si="12"/>
        <v>0</v>
      </c>
      <c r="S63" s="234">
        <f t="shared" si="13"/>
        <v>0</v>
      </c>
      <c r="T63" s="1755"/>
      <c r="U63" s="1755"/>
      <c r="V63" s="1755"/>
      <c r="W63" s="1345"/>
      <c r="X63" s="1741"/>
      <c r="Y63" s="1742"/>
      <c r="Z63" s="1346"/>
      <c r="AA63" s="1343"/>
      <c r="AB63" s="1141"/>
      <c r="AC63" s="1103" t="str">
        <f>IF(T63="","",VLOOKUP(Z63,Lists!$A$60:$B$111,2,FALSE))</f>
        <v/>
      </c>
      <c r="AD63" s="130" t="str">
        <f t="shared" si="14"/>
        <v/>
      </c>
      <c r="AE63" s="130" t="e">
        <f t="shared" si="15"/>
        <v>#VALUE!</v>
      </c>
      <c r="AF63" s="130">
        <f t="shared" si="16"/>
        <v>1</v>
      </c>
      <c r="AG63" s="234">
        <f t="shared" si="1"/>
        <v>0</v>
      </c>
      <c r="AH63" s="1753" t="str">
        <f>IF(T63="","",(IF(ISNUMBER(SEARCH("exit",T63)),8760,IF(AND(M63="Dusk to Dawn",'Proposed Lighting'!AU63=3),4059,IF(AND(AU63=3,M63="1"),0,IF(AND(AU63=3,M63="1-C"),0,IF(AND(AU63=3,M63="2"),0,IF(AND(AU63=3,M63="2-C"),0,IF(AND(AU63=3,M63="3"),0,IF(AND(AU63=3,M63="3-C"),0,IF(AND(AU63=2,M63="Dusk to Dawn"),0,IF(AND(AU63=2,M63="Dusk to Dawn-C"),0,IF(AND(AU63=2,M63="Dusk to Dawn"),0,IF(AND(AU63=2,M63="E"),0,IF(AND(AU63=2,M63="E-C"),0,EG63)))))))))))))))</f>
        <v/>
      </c>
      <c r="AI63" s="1754"/>
      <c r="AJ63" s="1136"/>
      <c r="AK63" s="1136"/>
      <c r="AL63" s="1748">
        <f t="shared" si="64"/>
        <v>0</v>
      </c>
      <c r="AM63" s="1749"/>
      <c r="AN63" s="1750"/>
      <c r="AO63" s="476">
        <f t="shared" si="2"/>
        <v>0</v>
      </c>
      <c r="AP63" s="476">
        <f t="shared" si="17"/>
        <v>0</v>
      </c>
      <c r="AQ63" s="475">
        <f t="shared" si="3"/>
        <v>0</v>
      </c>
      <c r="AR63" s="475">
        <f t="shared" si="18"/>
        <v>0</v>
      </c>
      <c r="AS63" s="743" t="str">
        <f t="shared" si="79"/>
        <v/>
      </c>
      <c r="AT63" s="736" t="str">
        <f t="shared" si="20"/>
        <v/>
      </c>
      <c r="AU63" s="56">
        <f t="shared" si="21"/>
        <v>1</v>
      </c>
      <c r="AV63" s="476">
        <f t="shared" si="22"/>
        <v>0</v>
      </c>
      <c r="AW63" s="56">
        <f t="shared" si="23"/>
        <v>0</v>
      </c>
      <c r="AX63" s="475">
        <f t="shared" si="65"/>
        <v>0</v>
      </c>
      <c r="AY63" s="1169">
        <f t="shared" si="66"/>
        <v>0</v>
      </c>
      <c r="AZ63" s="1150">
        <f t="shared" si="67"/>
        <v>0</v>
      </c>
      <c r="BA63" s="56">
        <f t="shared" si="68"/>
        <v>0</v>
      </c>
      <c r="BB63" s="420">
        <f t="shared" si="4"/>
        <v>0</v>
      </c>
      <c r="BC63" s="58" t="str">
        <f t="shared" si="5"/>
        <v/>
      </c>
      <c r="BD63" s="660">
        <f t="shared" si="69"/>
        <v>0</v>
      </c>
      <c r="BE63" s="57" t="e">
        <f t="array" ref="BE63">INDEX($EB$11:$ED$1022,MATCH(F63&amp;T63,$EB$11:$EB$1007&amp;$EC$11:$EC$1007,0),3)</f>
        <v>#N/A</v>
      </c>
      <c r="BF63" s="463">
        <f t="shared" si="24"/>
        <v>0</v>
      </c>
      <c r="BG63" s="1445" t="e">
        <f t="array" ref="BG63">INDEX($DO$112:$DQ$123,MATCH(T63&amp;W63,$DO$114:$DO$125&amp;$DP$112:$DP$123,0),3)</f>
        <v>#N/A</v>
      </c>
      <c r="BH63" s="1446">
        <f t="shared" si="25"/>
        <v>0</v>
      </c>
      <c r="BI63" s="465">
        <f t="shared" si="26"/>
        <v>0</v>
      </c>
      <c r="BJ63" s="465">
        <f t="shared" si="27"/>
        <v>0</v>
      </c>
      <c r="BK63" s="466">
        <f t="shared" si="28"/>
        <v>0</v>
      </c>
      <c r="BL63" s="466">
        <f t="shared" si="29"/>
        <v>0</v>
      </c>
      <c r="BM63" s="466">
        <f t="shared" si="30"/>
        <v>0</v>
      </c>
      <c r="BN63" s="466">
        <f t="shared" si="31"/>
        <v>0</v>
      </c>
      <c r="BO63" s="463">
        <f>IF('Data Entry'!$C$74=0,0,IF(ISNA(CJ63),0,IF(AX63=0,0,IF(AND('Data Entry'!$C$74=2,AF63&gt;2,CE63&lt;1),0,IF(AND('Data Entry'!$C$74=2,AF63&gt;1,AU63=2,CJ63&gt;1),0,IF(AND(AF63=5,CT63=0.5,AU63=2,ER63&lt;100),0,IF(AND(AF63=5,CT63=0.5,AU63=3,ER63&lt;100),0,IF(AND('Data Entry'!$C$74=2,AF63=2,AU63=2,AK63&gt;0.01,CB63=2,CE63&lt;1),0,IF(AND('Data Entry'!$C$74=2,AF63=3,AU63=3,AK63&gt;0.01,CB63=3,CE63&lt;1),0,IF(AND('Data Entry'!$C$74=2,AF63=3,AU63=3,AK63&gt;0.01,CB63=3,CE63&gt;0.99),BQ63*0.08,IF(AND('Data Entry'!$C$74=2,AF63=2,AU63=2,AK63&gt;0.01,CB63=2,CE63&gt;0.99),BQ63*0.1,IF(AND(AU63=2,AK63&gt;0.01,CB63=2,CD63&gt;1),BQ63*0.1,IF(AND(AU63=3,AK63&gt;0.01,CB63=3,CD63&gt;1),BQ63*0.08,CJ63*EF63)))))))))))))</f>
        <v>0</v>
      </c>
      <c r="BP63" s="475">
        <f t="shared" si="32"/>
        <v>0</v>
      </c>
      <c r="BQ63" s="1431">
        <f>IF(AU63=1,0,IF(CH63=100,0,IF(AND(AF63=3,AU63=2),0,IF(AND(BH63=0,CT63&gt;0.4),0,IF(AND('Data Entry'!$C$74=2,AF63=1.5),0,IF(AND('Data Entry'!$C$74=2,AF63=1.6),0,IF(AND('Data Entry'!$C$74=2,AF63=4),0,IF(AND('Data Entry'!$C$74=2,AF63=5),0,IF(AND('Data Entry'!$C$74=2,AF63=2.5,CE63&lt;1),0,IF(AND('Data Entry'!$C$74=2,AF63=3,CE63&lt;1),0,IF(AND('Data Entry'!$C$74=1,AF63=2.5,CD63&lt;1),0,IF(AND('Data Entry'!$C$74=1,AF63=3,CD63&lt;1),0,IF(DX63&gt;0.01,DX63,IF(ISERROR(AX63-AY63),"",ROUND(AX63-AY63,2)))))))))))))))</f>
        <v>0</v>
      </c>
      <c r="BR63" s="146">
        <f t="shared" si="33"/>
        <v>0</v>
      </c>
      <c r="BS63" s="475">
        <f t="shared" si="34"/>
        <v>0</v>
      </c>
      <c r="BT63" s="146" t="b">
        <f t="shared" si="35"/>
        <v>0</v>
      </c>
      <c r="BU63" s="463">
        <f>IF(ISNA(AT63),0,IF(AND('Data Entry'!$C$74=2,BC63=27),0,IF(AND('Data Entry'!$C$74=2,BC63=28),0,IF(AND(BC63=27,BT63=27,CM63&gt;0.1),CM63*0.15,IF(AND(BC63=28,BT63=28,CM63&gt;0.1),CM63*0.12,0)))))</f>
        <v>0</v>
      </c>
      <c r="BV63" s="463">
        <f t="shared" si="78"/>
        <v>0</v>
      </c>
      <c r="BW63" s="463">
        <f t="shared" si="37"/>
        <v>0</v>
      </c>
      <c r="BX63" s="463">
        <f t="shared" si="38"/>
        <v>0</v>
      </c>
      <c r="BY63" s="463">
        <f t="shared" si="39"/>
        <v>0</v>
      </c>
      <c r="BZ63" s="463">
        <f t="shared" si="40"/>
        <v>0</v>
      </c>
      <c r="CA63" s="57">
        <f t="shared" si="70"/>
        <v>0</v>
      </c>
      <c r="CB63" s="56">
        <f t="shared" si="41"/>
        <v>1</v>
      </c>
      <c r="CC63" s="756">
        <f>IF(EE63=0,0,IF(EF63=0,0,IF(EE63&gt;AA63,0,IF(AND(AZ63&gt;AW63,AW63&gt;0),0,IF(CU63=0,0,Summary!AC366)))))</f>
        <v>0</v>
      </c>
      <c r="CD63" s="756">
        <f>IF(EE63=0,0,IF(EF63=0,0,IF(EE63&gt;AA63,0,IF(AND(AZ63&gt;AW63,AW63&gt;0),0,IF(CU63=0,0,Summary!AD366)))))</f>
        <v>0</v>
      </c>
      <c r="CE63" s="756">
        <f>IF(EF63=0,0,IF(EE63&gt;AA63,0,IF(CC63=0,0,IF(AND(AZ63&gt;AW63,AW63&gt;0),0,IF(CU63=0,0,Summary!AE366)))))</f>
        <v>0</v>
      </c>
      <c r="CF63" s="475">
        <f t="shared" si="42"/>
        <v>0</v>
      </c>
      <c r="CG63" s="476">
        <f t="shared" si="6"/>
        <v>0</v>
      </c>
      <c r="CH63" s="487">
        <f t="shared" si="43"/>
        <v>0</v>
      </c>
      <c r="CI63" s="756">
        <f t="shared" si="44"/>
        <v>0</v>
      </c>
      <c r="CJ63" s="487">
        <f>IF(CT63&gt;0.4,0,IF(AND(AU63=2,CH63=0,CT63=0.5,ER63=100),35,IF(AND(AU63=3,BB63&gt;75,CH63=0,CT63=0.5,ER63=100),25,IF(CB63&gt;1,0,IF(EF63&gt;EE63,0,IF(AND(AF63&gt;1,CH63=100),0,IF(AND(AF63=1,AY63=0),0,IF(AND(EF63&lt;=EE63,AW63&gt;=AZ63,'Data Entry'!$C$74=1,AU63=2),VLOOKUP(W63,$DO$96:$DP$102,2,FALSE),IF(AND(EF63&lt;=EE63,AW63&gt;=AZ63,AU63=3,'Data Entry'!$C$74=1),VLOOKUP(W63,$DO$127:$DP$134,2,FALSE))))))))))</f>
        <v>0</v>
      </c>
      <c r="CK63" s="716">
        <f t="shared" si="45"/>
        <v>0</v>
      </c>
      <c r="CL63" s="57">
        <f t="shared" si="46"/>
        <v>0</v>
      </c>
      <c r="CM63" s="475">
        <f t="shared" si="77"/>
        <v>0</v>
      </c>
      <c r="CN63" s="660">
        <f>IF(CM63&lt;0.1,0,IF(ISNA(AT63),0,IF(CL63+BC63=1,0,IF(BV63&gt;0.01,0,IF(CL63&gt;0.01,0,IF(CF63=1,0,IF(BC63=0.5,0,IF(AND(CI63=1,AU63=3),0,IF(AND(CI63=5,CL63=0),0,IF(AND(R63=12,BR63=50),0,IF(CK63&gt;0.01,0,IF(AND(AJ63&gt;0.01,AU63=2,BC63=15),CM63*0.1,IF(AND(AJ63&gt;0.01,AU63=3,BC63=15),CM63*0.08,IF(AND(R63=12,BC63=3,AF63&lt;=0),0,IF(AND(BC63=15,BI63=0),0,IF(AND(BC63=15,BJ63=0),0,IF(AND(R63=20,CU63=0),0,IF($X$4=0,0,IF(AND(BC63=250,CL63=0),0,IF(AA63&lt;1,0,IF(AND(ISNUMBER(SEARCH("Area",T63)),AU63=3),0,IF(AND(AQ63&gt;0.01,AR63=0,BK63=0,BL63=0,BM63=0,BN63=0),0,IF(AND(AU63=3,CI63=7,CT63&gt;0.5),0,IF(AND(BC63=44,AU63=3,BY63=0),0,IF(AND(BC63=27,'Data Entry'!$C$74=2),0,IF(AND(BC63=28,'Data Entry'!$C$74=2),0,IF(AND(BY63+BZ63+CA63&gt;0.01,BV63=0,EQ63+ER63+ES63+ET63&lt;100),0,IF(AU63=3,CM63*0.08,IF(AU63=2,CM63*0.1,0)))))))))))))))))))))))))))))</f>
        <v>0</v>
      </c>
      <c r="CO63" s="660">
        <f t="shared" si="47"/>
        <v>0</v>
      </c>
      <c r="CP63" s="475" t="str">
        <f t="shared" si="48"/>
        <v/>
      </c>
      <c r="CQ63" s="161" t="str">
        <f>IF(AH63=0,0,IF(AU63=5,0,Summary!AC66))</f>
        <v/>
      </c>
      <c r="CR63" s="161" t="str">
        <f>IF(BF63=0.5,0,IF(AU63=5,0,Summary!AD66))</f>
        <v/>
      </c>
      <c r="CS63" s="161" t="str">
        <f>IF(AU63=5,0,Summary!AE66)</f>
        <v/>
      </c>
      <c r="CT63" s="161">
        <f t="shared" si="49"/>
        <v>0</v>
      </c>
      <c r="CU63" s="475" t="str">
        <f t="shared" si="7"/>
        <v/>
      </c>
      <c r="CV63" s="307">
        <f>IF('Data Entry'!$C$74=0,0,IF(AA63&lt;1,0,IF(ISERROR(CU63),0,IF(CF63=1,0,IF(AND(R63=12,BR63=50),0,IF(CL63+BO63+BV63+DC63=0,0,IF(BC63=37,0,IF(AND(BC63=40,AJ63=0),0,IF(AND(BC63=37,BO63&gt;0.01,BQ63&gt;0.01),ROUND(BQ63,0),IF(CM63&lt;0,0,ROUND(CM63,0)))))))))))</f>
        <v>0</v>
      </c>
      <c r="CW63" s="700">
        <f t="shared" si="50"/>
        <v>0</v>
      </c>
      <c r="CX63" s="477">
        <f>IF('Data Entry'!$C$74=0,0,IF(CV63&lt;0.01,0,IF(BF63=0.5,0,IF(CF63=1,0,IF(ISNUMBER(SEARCH("false",CL63)),0,IF(AZ63=500,0,CL63))))))</f>
        <v>0</v>
      </c>
      <c r="CY63" s="147" t="e">
        <f t="shared" si="51"/>
        <v>#VALUE!</v>
      </c>
      <c r="CZ63" s="147" t="b">
        <f>IF(CN63+CL63=0,FALSE,IF(AH63=0,0,IF(AND('Data Entry'!$C$74=1,CR63&gt;=1),TRUE,IF(AND('Data Entry'!$C$74=2,CS63&gt;=1),TRUE,FALSE))))</f>
        <v>0</v>
      </c>
      <c r="DA63" s="1751">
        <f>IF('Data Entry'!$C$74=0,0,IFERROR(ROUND(IF(T63="","",IF($X$4=0,0,IF(CF63=1,0,IF(BQ63+CV63=0,0,IF(CF63=1,0,IF(CY63&gt;0.01,CY63,IF(CL63&gt;0.01,CL63,IF(CY63&gt;0.01,CY63,IF(BC63=37,BO63,IF(CZ63=FALSE,0,IF(CZ63=TRUE,DC63+DF63,0))))))))))),2),""))</f>
        <v>0</v>
      </c>
      <c r="DB63" s="1752"/>
      <c r="DC63" s="474">
        <f>IF(CN63&lt;0.01,0,IF(AND(BR63=3,CN63&gt;0.01,CT63&gt;0.6,ER63+ES63+ET63&lt;100),0,IF(AND('Data Entry'!$C$74=1,CN63&gt;0.01,CR63&gt;0.99),MIN(CN63:CO63),IF(AND('Data Entry'!$C$74=2,CN63&gt;0.01,CS63&gt;0.99),MIN(CN63:CO63),0))))</f>
        <v>0</v>
      </c>
      <c r="DD63" s="478">
        <f>IF(CF63=1,"Selection does not match",IF(T63=0,0,IF(AND('Data Entry'!$C$74=0,CP63&gt;1),"Select Oregon or Idaho on Data Entry Tab",IF(AND(AU63=1,AA63&gt;0.9),"Missing Interior or Exterior Selection",IF($X$4=0,"Enter Total Project Cost",IF(AQ63&lt;AR63,"Insufficient kWh savings – no incentive",IF(AND(SUM(CL63+CK63+BV63)&gt;0.01,'Data Entry'!$C$74=2,CJ63&gt;1,BO63=0),"Submit Control as Non-Standard",IF(AND('Data Entry'!$C$74=2,BR63=37,CJ63&gt;1,BO63=0),"Submit Control as Non-Standard",IF(SUM(CL63+CK63+BV63)&gt;0.01,"Standard Incentive",IF(AND('Data Entry'!$C$74=2,CP63=7,CN63=0),"Submit as Non-Standard",IF(DC63&gt;0.9,"Non-Standard Incentive",IF(AND(BY63+BZ63+CA63&gt;0.01,BV63=0,EQ63=0,ER63=0,ES63=0,ET63=0),"Scroll Right &amp; Select Control Strategies",IF(AND(CN63&gt;0.01,CO63=0),"Enter Unit Installed Cost",IF(ISNUMBER(SEARCH("Lighting Controls Only",F63)),"Lighting Controls Only",IF(CL63+DC63=0,"Does not meet incentive criteria",0)))))))))))))))</f>
        <v>0</v>
      </c>
      <c r="DE63" s="337">
        <f t="shared" si="52"/>
        <v>0</v>
      </c>
      <c r="DF63" s="609">
        <f t="shared" si="53"/>
        <v>0</v>
      </c>
      <c r="DG63" s="336" t="str">
        <f t="shared" si="54"/>
        <v/>
      </c>
      <c r="DH63" s="338">
        <f t="shared" si="55"/>
        <v>1</v>
      </c>
      <c r="DI63" s="336" t="e">
        <f t="shared" si="8"/>
        <v>#VALUE!</v>
      </c>
      <c r="DJ63" s="338">
        <f t="shared" si="9"/>
        <v>0</v>
      </c>
      <c r="DK63" s="38" t="s">
        <v>159</v>
      </c>
      <c r="DL63" s="323">
        <v>175</v>
      </c>
      <c r="DM63" s="38" t="s">
        <v>506</v>
      </c>
      <c r="DN63" s="1439">
        <v>6</v>
      </c>
      <c r="DO63" s="1513" t="s">
        <v>1764</v>
      </c>
      <c r="DP63" s="1517">
        <v>0.25</v>
      </c>
      <c r="DQ63" s="1509"/>
      <c r="DR63" s="458"/>
      <c r="DS63" s="1434">
        <f t="shared" si="56"/>
        <v>0</v>
      </c>
      <c r="DT63" s="344" t="b">
        <f t="shared" si="57"/>
        <v>1</v>
      </c>
      <c r="DU63" s="1314" t="str">
        <f t="array" ref="DU63">IF(OR(COUNTIF(F63,"*"&amp;$DK$9:$DK$178&amp;"*")), "Yes", "")</f>
        <v/>
      </c>
      <c r="DV63" s="1314">
        <f t="shared" si="58"/>
        <v>0</v>
      </c>
      <c r="DW63" s="1480">
        <f t="shared" si="59"/>
        <v>0</v>
      </c>
      <c r="DX63" s="1498">
        <f t="shared" si="71"/>
        <v>0</v>
      </c>
      <c r="DY63" s="1484">
        <f t="shared" si="60"/>
        <v>0</v>
      </c>
      <c r="DZ63" s="331"/>
      <c r="EA63" s="392"/>
      <c r="EB63" s="1499" t="s">
        <v>156</v>
      </c>
      <c r="EC63" s="727" t="s">
        <v>1568</v>
      </c>
      <c r="ED63" s="728">
        <v>0.5</v>
      </c>
      <c r="EE63" s="1215"/>
      <c r="EF63" s="1215"/>
      <c r="EG63" s="1184" t="str">
        <f t="shared" si="61"/>
        <v/>
      </c>
      <c r="EH63" s="55"/>
      <c r="EI63" s="55"/>
      <c r="EJ63" s="1185">
        <f t="shared" si="10"/>
        <v>0</v>
      </c>
      <c r="EK63" s="1211"/>
      <c r="EL63" s="1180">
        <f t="shared" si="72"/>
        <v>0</v>
      </c>
      <c r="EM63" s="207"/>
      <c r="EN63" s="1038"/>
      <c r="EO63" s="1038"/>
      <c r="EP63" s="1038"/>
      <c r="EQ63" s="1038">
        <f t="shared" si="62"/>
        <v>0</v>
      </c>
      <c r="ER63" s="1041">
        <f t="shared" si="75"/>
        <v>0</v>
      </c>
      <c r="ES63" s="1042">
        <f t="shared" si="63"/>
        <v>0</v>
      </c>
      <c r="ET63" s="1042">
        <f t="shared" si="73"/>
        <v>0</v>
      </c>
      <c r="EU63" s="1021">
        <f t="shared" si="74"/>
        <v>0</v>
      </c>
      <c r="EV63" s="368"/>
      <c r="EW63" s="368"/>
      <c r="EX63" s="369"/>
      <c r="EY63" s="370"/>
      <c r="EZ63" s="370"/>
      <c r="FA63" s="371"/>
      <c r="FB63" s="372"/>
    </row>
    <row r="64" spans="1:158" ht="34.5" customHeight="1">
      <c r="A64" s="82">
        <v>56</v>
      </c>
      <c r="B64" s="1725"/>
      <c r="C64" s="1726"/>
      <c r="D64" s="1726"/>
      <c r="E64" s="1727"/>
      <c r="F64" s="1732"/>
      <c r="G64" s="1733"/>
      <c r="H64" s="1733"/>
      <c r="I64" s="1734"/>
      <c r="J64" s="1341"/>
      <c r="K64" s="1728"/>
      <c r="L64" s="1728"/>
      <c r="M64" s="1342"/>
      <c r="N64" s="1583"/>
      <c r="O64" s="208" t="str">
        <f t="shared" si="11"/>
        <v/>
      </c>
      <c r="P64" s="785"/>
      <c r="Q64" s="39" t="str">
        <f t="shared" si="0"/>
        <v/>
      </c>
      <c r="R64" s="39">
        <f t="shared" si="12"/>
        <v>0</v>
      </c>
      <c r="S64" s="234">
        <f t="shared" si="13"/>
        <v>0</v>
      </c>
      <c r="T64" s="1755"/>
      <c r="U64" s="1755"/>
      <c r="V64" s="1755"/>
      <c r="W64" s="1345"/>
      <c r="X64" s="1741"/>
      <c r="Y64" s="1742"/>
      <c r="Z64" s="1346"/>
      <c r="AA64" s="1343"/>
      <c r="AB64" s="1141"/>
      <c r="AC64" s="1103" t="str">
        <f>IF(T64="","",VLOOKUP(Z64,Lists!$A$60:$B$111,2,FALSE))</f>
        <v/>
      </c>
      <c r="AD64" s="130" t="str">
        <f t="shared" si="14"/>
        <v/>
      </c>
      <c r="AE64" s="130" t="e">
        <f t="shared" si="15"/>
        <v>#VALUE!</v>
      </c>
      <c r="AF64" s="130">
        <f t="shared" si="16"/>
        <v>1</v>
      </c>
      <c r="AG64" s="234">
        <f t="shared" si="1"/>
        <v>0</v>
      </c>
      <c r="AH64" s="1753" t="str">
        <f>IF(T64="","",(IF(ISNUMBER(SEARCH("exit",T64)),8760,IF(AND(M64="Dusk to Dawn",'Proposed Lighting'!AU64=3),4059,IF(AND(AU64=3,M64="1"),0,IF(AND(AU64=3,M64="1-C"),0,IF(AND(AU64=3,M64="2"),0,IF(AND(AU64=3,M64="2-C"),0,IF(AND(AU64=3,M64="3"),0,IF(AND(AU64=3,M64="3-C"),0,IF(AND(AU64=2,M64="Dusk to Dawn"),0,IF(AND(AU64=2,M64="Dusk to Dawn-C"),0,IF(AND(AU64=2,M64="Dusk to Dawn"),0,IF(AND(AU64=2,M64="E"),0,IF(AND(AU64=2,M64="E-C"),0,EG64)))))))))))))))</f>
        <v/>
      </c>
      <c r="AI64" s="1754"/>
      <c r="AJ64" s="1136"/>
      <c r="AK64" s="1136"/>
      <c r="AL64" s="1748">
        <f t="shared" si="64"/>
        <v>0</v>
      </c>
      <c r="AM64" s="1749"/>
      <c r="AN64" s="1750"/>
      <c r="AO64" s="476">
        <f t="shared" si="2"/>
        <v>0</v>
      </c>
      <c r="AP64" s="476">
        <f t="shared" si="17"/>
        <v>0</v>
      </c>
      <c r="AQ64" s="475">
        <f t="shared" si="3"/>
        <v>0</v>
      </c>
      <c r="AR64" s="475">
        <f t="shared" si="18"/>
        <v>0</v>
      </c>
      <c r="AS64" s="743" t="str">
        <f t="shared" si="79"/>
        <v/>
      </c>
      <c r="AT64" s="736" t="str">
        <f t="shared" si="20"/>
        <v/>
      </c>
      <c r="AU64" s="56">
        <f t="shared" si="21"/>
        <v>1</v>
      </c>
      <c r="AV64" s="476">
        <f t="shared" si="22"/>
        <v>0</v>
      </c>
      <c r="AW64" s="56">
        <f t="shared" si="23"/>
        <v>0</v>
      </c>
      <c r="AX64" s="475">
        <f t="shared" si="65"/>
        <v>0</v>
      </c>
      <c r="AY64" s="1169">
        <f t="shared" si="66"/>
        <v>0</v>
      </c>
      <c r="AZ64" s="1150">
        <f t="shared" si="67"/>
        <v>0</v>
      </c>
      <c r="BA64" s="56">
        <f t="shared" si="68"/>
        <v>0</v>
      </c>
      <c r="BB64" s="420">
        <f t="shared" si="4"/>
        <v>0</v>
      </c>
      <c r="BC64" s="58" t="str">
        <f t="shared" si="5"/>
        <v/>
      </c>
      <c r="BD64" s="660">
        <f t="shared" si="69"/>
        <v>0</v>
      </c>
      <c r="BE64" s="57" t="e">
        <f t="array" ref="BE64">INDEX($EB$11:$ED$1022,MATCH(F64&amp;T64,$EB$11:$EB$1007&amp;$EC$11:$EC$1007,0),3)</f>
        <v>#N/A</v>
      </c>
      <c r="BF64" s="463">
        <f t="shared" si="24"/>
        <v>0</v>
      </c>
      <c r="BG64" s="1445" t="e">
        <f t="array" ref="BG64">INDEX($DO$112:$DQ$123,MATCH(T64&amp;W64,$DO$114:$DO$125&amp;$DP$112:$DP$123,0),3)</f>
        <v>#N/A</v>
      </c>
      <c r="BH64" s="1446">
        <f t="shared" si="25"/>
        <v>0</v>
      </c>
      <c r="BI64" s="465">
        <f t="shared" si="26"/>
        <v>0</v>
      </c>
      <c r="BJ64" s="465">
        <f t="shared" si="27"/>
        <v>0</v>
      </c>
      <c r="BK64" s="466">
        <f t="shared" si="28"/>
        <v>0</v>
      </c>
      <c r="BL64" s="466">
        <f t="shared" si="29"/>
        <v>0</v>
      </c>
      <c r="BM64" s="466">
        <f t="shared" si="30"/>
        <v>0</v>
      </c>
      <c r="BN64" s="466">
        <f t="shared" si="31"/>
        <v>0</v>
      </c>
      <c r="BO64" s="463">
        <f>IF('Data Entry'!$C$74=0,0,IF(ISNA(CJ64),0,IF(AX64=0,0,IF(AND('Data Entry'!$C$74=2,AF64&gt;2,CE64&lt;1),0,IF(AND('Data Entry'!$C$74=2,AF64&gt;1,AU64=2,CJ64&gt;1),0,IF(AND(AF64=5,CT64=0.5,AU64=2,ER64&lt;100),0,IF(AND(AF64=5,CT64=0.5,AU64=3,ER64&lt;100),0,IF(AND('Data Entry'!$C$74=2,AF64=2,AU64=2,AK64&gt;0.01,CB64=2,CE64&lt;1),0,IF(AND('Data Entry'!$C$74=2,AF64=3,AU64=3,AK64&gt;0.01,CB64=3,CE64&lt;1),0,IF(AND('Data Entry'!$C$74=2,AF64=3,AU64=3,AK64&gt;0.01,CB64=3,CE64&gt;0.99),BQ64*0.08,IF(AND('Data Entry'!$C$74=2,AF64=2,AU64=2,AK64&gt;0.01,CB64=2,CE64&gt;0.99),BQ64*0.1,IF(AND(AU64=2,AK64&gt;0.01,CB64=2,CD64&gt;1),BQ64*0.1,IF(AND(AU64=3,AK64&gt;0.01,CB64=3,CD64&gt;1),BQ64*0.08,CJ64*EF64)))))))))))))</f>
        <v>0</v>
      </c>
      <c r="BP64" s="475">
        <f t="shared" si="32"/>
        <v>0</v>
      </c>
      <c r="BQ64" s="1431">
        <f>IF(AU64=1,0,IF(CH64=100,0,IF(AND(AF64=3,AU64=2),0,IF(AND(BH64=0,CT64&gt;0.4),0,IF(AND('Data Entry'!$C$74=2,AF64=1.5),0,IF(AND('Data Entry'!$C$74=2,AF64=1.6),0,IF(AND('Data Entry'!$C$74=2,AF64=4),0,IF(AND('Data Entry'!$C$74=2,AF64=5),0,IF(AND('Data Entry'!$C$74=2,AF64=2.5,CE64&lt;1),0,IF(AND('Data Entry'!$C$74=2,AF64=3,CE64&lt;1),0,IF(AND('Data Entry'!$C$74=1,AF64=2.5,CD64&lt;1),0,IF(AND('Data Entry'!$C$74=1,AF64=3,CD64&lt;1),0,IF(DX64&gt;0.01,DX64,IF(ISERROR(AX64-AY64),"",ROUND(AX64-AY64,2)))))))))))))))</f>
        <v>0</v>
      </c>
      <c r="BR64" s="146">
        <f t="shared" si="33"/>
        <v>0</v>
      </c>
      <c r="BS64" s="475">
        <f t="shared" si="34"/>
        <v>0</v>
      </c>
      <c r="BT64" s="146" t="b">
        <f t="shared" si="35"/>
        <v>0</v>
      </c>
      <c r="BU64" s="463">
        <f>IF(ISNA(AT64),0,IF(AND('Data Entry'!$C$74=2,BC64=27),0,IF(AND('Data Entry'!$C$74=2,BC64=28),0,IF(AND(BC64=27,BT64=27,CM64&gt;0.1),CM64*0.15,IF(AND(BC64=28,BT64=28,CM64&gt;0.1),CM64*0.12,0)))))</f>
        <v>0</v>
      </c>
      <c r="BV64" s="463">
        <f t="shared" si="78"/>
        <v>0</v>
      </c>
      <c r="BW64" s="463">
        <f t="shared" si="37"/>
        <v>0</v>
      </c>
      <c r="BX64" s="463">
        <f t="shared" si="38"/>
        <v>0</v>
      </c>
      <c r="BY64" s="463">
        <f t="shared" si="39"/>
        <v>0</v>
      </c>
      <c r="BZ64" s="463">
        <f t="shared" si="40"/>
        <v>0</v>
      </c>
      <c r="CA64" s="57">
        <f t="shared" si="70"/>
        <v>0</v>
      </c>
      <c r="CB64" s="56">
        <f t="shared" si="41"/>
        <v>1</v>
      </c>
      <c r="CC64" s="756">
        <f>IF(EE64=0,0,IF(EF64=0,0,IF(EE64&gt;AA64,0,IF(AND(AZ64&gt;AW64,AW64&gt;0),0,IF(CU64=0,0,Summary!AC367)))))</f>
        <v>0</v>
      </c>
      <c r="CD64" s="756">
        <f>IF(EE64=0,0,IF(EF64=0,0,IF(EE64&gt;AA64,0,IF(AND(AZ64&gt;AW64,AW64&gt;0),0,IF(CU64=0,0,Summary!AD367)))))</f>
        <v>0</v>
      </c>
      <c r="CE64" s="756">
        <f>IF(EF64=0,0,IF(EE64&gt;AA64,0,IF(CC64=0,0,IF(AND(AZ64&gt;AW64,AW64&gt;0),0,IF(CU64=0,0,Summary!AE367)))))</f>
        <v>0</v>
      </c>
      <c r="CF64" s="475">
        <f t="shared" si="42"/>
        <v>0</v>
      </c>
      <c r="CG64" s="476">
        <f t="shared" si="6"/>
        <v>0</v>
      </c>
      <c r="CH64" s="487">
        <f t="shared" si="43"/>
        <v>0</v>
      </c>
      <c r="CI64" s="756">
        <f t="shared" si="44"/>
        <v>0</v>
      </c>
      <c r="CJ64" s="487">
        <f>IF(CT64&gt;0.4,0,IF(AND(AU64=2,CH64=0,CT64=0.5,ER64=100),35,IF(AND(AU64=3,BB64&gt;75,CH64=0,CT64=0.5,ER64=100),25,IF(CB64&gt;1,0,IF(EF64&gt;EE64,0,IF(AND(AF64&gt;1,CH64=100),0,IF(AND(AF64=1,AY64=0),0,IF(AND(EF64&lt;=EE64,AW64&gt;=AZ64,'Data Entry'!$C$74=1,AU64=2),VLOOKUP(W64,$DO$96:$DP$102,2,FALSE),IF(AND(EF64&lt;=EE64,AW64&gt;=AZ64,AU64=3,'Data Entry'!$C$74=1),VLOOKUP(W64,$DO$127:$DP$134,2,FALSE))))))))))</f>
        <v>0</v>
      </c>
      <c r="CK64" s="716">
        <f t="shared" si="45"/>
        <v>0</v>
      </c>
      <c r="CL64" s="57">
        <f t="shared" si="46"/>
        <v>0</v>
      </c>
      <c r="CM64" s="475">
        <f t="shared" si="77"/>
        <v>0</v>
      </c>
      <c r="CN64" s="660">
        <f>IF(CM64&lt;0.1,0,IF(ISNA(AT64),0,IF(CL64+BC64=1,0,IF(BV64&gt;0.01,0,IF(CL64&gt;0.01,0,IF(CF64=1,0,IF(BC64=0.5,0,IF(AND(CI64=1,AU64=3),0,IF(AND(CI64=5,CL64=0),0,IF(AND(R64=12,BR64=50),0,IF(CK64&gt;0.01,0,IF(AND(AJ64&gt;0.01,AU64=2,BC64=15),CM64*0.1,IF(AND(AJ64&gt;0.01,AU64=3,BC64=15),CM64*0.08,IF(AND(R64=12,BC64=3,AF64&lt;=0),0,IF(AND(BC64=15,BI64=0),0,IF(AND(BC64=15,BJ64=0),0,IF(AND(R64=20,CU64=0),0,IF($X$4=0,0,IF(AND(BC64=250,CL64=0),0,IF(AA64&lt;1,0,IF(AND(ISNUMBER(SEARCH("Area",T64)),AU64=3),0,IF(AND(AQ64&gt;0.01,AR64=0,BK64=0,BL64=0,BM64=0,BN64=0),0,IF(AND(AU64=3,CI64=7,CT64&gt;0.5),0,IF(AND(BC64=44,AU64=3,BY64=0),0,IF(AND(BC64=27,'Data Entry'!$C$74=2),0,IF(AND(BC64=28,'Data Entry'!$C$74=2),0,IF(AND(BY64+BZ64+CA64&gt;0.01,BV64=0,EQ64+ER64+ES64+ET64&lt;100),0,IF(AU64=3,CM64*0.08,IF(AU64=2,CM64*0.1,0)))))))))))))))))))))))))))))</f>
        <v>0</v>
      </c>
      <c r="CO64" s="660">
        <f t="shared" si="47"/>
        <v>0</v>
      </c>
      <c r="CP64" s="475" t="str">
        <f t="shared" si="48"/>
        <v/>
      </c>
      <c r="CQ64" s="161" t="str">
        <f>IF(AH64=0,0,IF(AU64=5,0,Summary!AC67))</f>
        <v/>
      </c>
      <c r="CR64" s="161" t="str">
        <f>IF(BF64=0.5,0,IF(AU64=5,0,Summary!AD67))</f>
        <v/>
      </c>
      <c r="CS64" s="161" t="str">
        <f>IF(AU64=5,0,Summary!AE67)</f>
        <v/>
      </c>
      <c r="CT64" s="161">
        <f t="shared" si="49"/>
        <v>0</v>
      </c>
      <c r="CU64" s="475" t="str">
        <f t="shared" si="7"/>
        <v/>
      </c>
      <c r="CV64" s="307">
        <f>IF('Data Entry'!$C$74=0,0,IF(AA64&lt;1,0,IF(ISERROR(CU64),0,IF(CF64=1,0,IF(AND(R64=12,BR64=50),0,IF(CL64+BO64+BV64+DC64=0,0,IF(BC64=37,0,IF(AND(BC64=40,AJ64=0),0,IF(AND(BC64=37,BO64&gt;0.01,BQ64&gt;0.01),ROUND(BQ64,0),IF(CM64&lt;0,0,ROUND(CM64,0)))))))))))</f>
        <v>0</v>
      </c>
      <c r="CW64" s="700">
        <f t="shared" si="50"/>
        <v>0</v>
      </c>
      <c r="CX64" s="477">
        <f>IF('Data Entry'!$C$74=0,0,IF(CV64&lt;0.01,0,IF(BF64=0.5,0,IF(CF64=1,0,IF(ISNUMBER(SEARCH("false",CL64)),0,IF(AZ64=500,0,CL64))))))</f>
        <v>0</v>
      </c>
      <c r="CY64" s="147" t="e">
        <f t="shared" si="51"/>
        <v>#VALUE!</v>
      </c>
      <c r="CZ64" s="147" t="b">
        <f>IF(CN64+CL64=0,FALSE,IF(AH64=0,0,IF(AND('Data Entry'!$C$74=1,CR64&gt;=1),TRUE,IF(AND('Data Entry'!$C$74=2,CS64&gt;=1),TRUE,FALSE))))</f>
        <v>0</v>
      </c>
      <c r="DA64" s="1751">
        <f>IF('Data Entry'!$C$74=0,0,IFERROR(ROUND(IF(T64="","",IF($X$4=0,0,IF(CF64=1,0,IF(BQ64+CV64=0,0,IF(CF64=1,0,IF(CY64&gt;0.01,CY64,IF(CL64&gt;0.01,CL64,IF(CY64&gt;0.01,CY64,IF(BC64=37,BO64,IF(CZ64=FALSE,0,IF(CZ64=TRUE,DC64+DF64,0))))))))))),2),""))</f>
        <v>0</v>
      </c>
      <c r="DB64" s="1752"/>
      <c r="DC64" s="474">
        <f>IF(CN64&lt;0.01,0,IF(AND(BR64=3,CN64&gt;0.01,CT64&gt;0.6,ER64+ES64+ET64&lt;100),0,IF(AND('Data Entry'!$C$74=1,CN64&gt;0.01,CR64&gt;0.99),MIN(CN64:CO64),IF(AND('Data Entry'!$C$74=2,CN64&gt;0.01,CS64&gt;0.99),MIN(CN64:CO64),0))))</f>
        <v>0</v>
      </c>
      <c r="DD64" s="478">
        <f>IF(CF64=1,"Selection does not match",IF(T64=0,0,IF(AND('Data Entry'!$C$74=0,CP64&gt;1),"Select Oregon or Idaho on Data Entry Tab",IF(AND(AU64=1,AA64&gt;0.9),"Missing Interior or Exterior Selection",IF($X$4=0,"Enter Total Project Cost",IF(AQ64&lt;AR64,"Insufficient kWh savings – no incentive",IF(AND(SUM(CL64+CK64+BV64)&gt;0.01,'Data Entry'!$C$74=2,CJ64&gt;1,BO64=0),"Submit Control as Non-Standard",IF(AND('Data Entry'!$C$74=2,BR64=37,CJ64&gt;1,BO64=0),"Submit Control as Non-Standard",IF(SUM(CL64+CK64+BV64)&gt;0.01,"Standard Incentive",IF(AND('Data Entry'!$C$74=2,CP64=7,CN64=0),"Submit as Non-Standard",IF(DC64&gt;0.9,"Non-Standard Incentive",IF(AND(BY64+BZ64+CA64&gt;0.01,BV64=0,EQ64=0,ER64=0,ES64=0,ET64=0),"Scroll Right &amp; Select Control Strategies",IF(AND(CN64&gt;0.01,CO64=0),"Enter Unit Installed Cost",IF(ISNUMBER(SEARCH("Lighting Controls Only",F64)),"Lighting Controls Only",IF(CL64+DC64=0,"Does not meet incentive criteria",0)))))))))))))))</f>
        <v>0</v>
      </c>
      <c r="DE64" s="337">
        <f t="shared" si="52"/>
        <v>0</v>
      </c>
      <c r="DF64" s="609">
        <f t="shared" si="53"/>
        <v>0</v>
      </c>
      <c r="DG64" s="336" t="str">
        <f t="shared" si="54"/>
        <v/>
      </c>
      <c r="DH64" s="338">
        <f t="shared" si="55"/>
        <v>1</v>
      </c>
      <c r="DI64" s="336" t="e">
        <f t="shared" si="8"/>
        <v>#VALUE!</v>
      </c>
      <c r="DJ64" s="338">
        <f t="shared" si="9"/>
        <v>0</v>
      </c>
      <c r="DK64" s="38" t="s">
        <v>160</v>
      </c>
      <c r="DL64" s="323">
        <v>221</v>
      </c>
      <c r="DM64" s="38" t="s">
        <v>508</v>
      </c>
      <c r="DN64" s="1439">
        <v>12</v>
      </c>
      <c r="DO64" s="1513" t="s">
        <v>1765</v>
      </c>
      <c r="DP64" s="1517">
        <v>0.25</v>
      </c>
      <c r="DQ64" s="1509"/>
      <c r="DR64" s="458"/>
      <c r="DS64" s="1195">
        <f t="shared" si="56"/>
        <v>0</v>
      </c>
      <c r="DT64" s="344" t="b">
        <f t="shared" si="57"/>
        <v>1</v>
      </c>
      <c r="DU64" s="1314" t="str">
        <f t="array" ref="DU64">IF(OR(COUNTIF(F64,"*"&amp;$DK$9:$DK$178&amp;"*")), "Yes", "")</f>
        <v/>
      </c>
      <c r="DV64" s="1314">
        <f t="shared" si="58"/>
        <v>0</v>
      </c>
      <c r="DW64" s="1480">
        <f t="shared" si="59"/>
        <v>0</v>
      </c>
      <c r="DX64" s="1498">
        <f t="shared" si="71"/>
        <v>0</v>
      </c>
      <c r="DY64" s="1484">
        <f t="shared" si="60"/>
        <v>0</v>
      </c>
      <c r="DZ64" s="331"/>
      <c r="EA64" s="392"/>
      <c r="EB64" s="1499" t="s">
        <v>73</v>
      </c>
      <c r="EC64" s="727" t="s">
        <v>1568</v>
      </c>
      <c r="ED64" s="728">
        <v>0.5</v>
      </c>
      <c r="EE64" s="1215"/>
      <c r="EF64" s="1215"/>
      <c r="EG64" s="1184" t="str">
        <f t="shared" si="61"/>
        <v/>
      </c>
      <c r="EH64" s="55"/>
      <c r="EI64" s="55"/>
      <c r="EJ64" s="1185">
        <f t="shared" si="10"/>
        <v>0</v>
      </c>
      <c r="EK64" s="1211"/>
      <c r="EL64" s="1180">
        <f t="shared" si="72"/>
        <v>0</v>
      </c>
      <c r="EM64" s="207"/>
      <c r="EN64" s="1038"/>
      <c r="EO64" s="1038"/>
      <c r="EP64" s="1038"/>
      <c r="EQ64" s="1038">
        <f t="shared" si="62"/>
        <v>0</v>
      </c>
      <c r="ER64" s="1041">
        <f t="shared" si="75"/>
        <v>0</v>
      </c>
      <c r="ES64" s="1042">
        <f t="shared" si="63"/>
        <v>0</v>
      </c>
      <c r="ET64" s="1042">
        <f t="shared" si="73"/>
        <v>0</v>
      </c>
      <c r="EU64" s="1021">
        <f t="shared" si="74"/>
        <v>0</v>
      </c>
      <c r="EV64" s="368"/>
      <c r="EW64" s="368"/>
      <c r="EX64" s="369"/>
      <c r="EY64" s="370"/>
      <c r="EZ64" s="370"/>
      <c r="FA64" s="371"/>
      <c r="FB64" s="372"/>
    </row>
    <row r="65" spans="1:158" ht="34.5" customHeight="1">
      <c r="A65" s="82">
        <v>57</v>
      </c>
      <c r="B65" s="1725"/>
      <c r="C65" s="1726"/>
      <c r="D65" s="1726"/>
      <c r="E65" s="1727"/>
      <c r="F65" s="1732"/>
      <c r="G65" s="1733"/>
      <c r="H65" s="1733"/>
      <c r="I65" s="1734"/>
      <c r="J65" s="1341"/>
      <c r="K65" s="1728"/>
      <c r="L65" s="1728"/>
      <c r="M65" s="1342"/>
      <c r="N65" s="1583"/>
      <c r="O65" s="208" t="str">
        <f t="shared" si="11"/>
        <v/>
      </c>
      <c r="P65" s="785"/>
      <c r="Q65" s="39" t="str">
        <f t="shared" si="0"/>
        <v/>
      </c>
      <c r="R65" s="39">
        <f t="shared" si="12"/>
        <v>0</v>
      </c>
      <c r="S65" s="234">
        <f t="shared" si="13"/>
        <v>0</v>
      </c>
      <c r="T65" s="1755"/>
      <c r="U65" s="1755"/>
      <c r="V65" s="1755"/>
      <c r="W65" s="1345"/>
      <c r="X65" s="1741"/>
      <c r="Y65" s="1742"/>
      <c r="Z65" s="1346"/>
      <c r="AA65" s="1343"/>
      <c r="AB65" s="1141"/>
      <c r="AC65" s="1103" t="str">
        <f>IF(T65="","",VLOOKUP(Z65,Lists!$A$60:$B$111,2,FALSE))</f>
        <v/>
      </c>
      <c r="AD65" s="130" t="str">
        <f t="shared" si="14"/>
        <v/>
      </c>
      <c r="AE65" s="130" t="e">
        <f t="shared" si="15"/>
        <v>#VALUE!</v>
      </c>
      <c r="AF65" s="130">
        <f t="shared" si="16"/>
        <v>1</v>
      </c>
      <c r="AG65" s="234">
        <f t="shared" si="1"/>
        <v>0</v>
      </c>
      <c r="AH65" s="1753" t="str">
        <f>IF(T65="","",(IF(ISNUMBER(SEARCH("exit",T65)),8760,IF(AND(M65="Dusk to Dawn",'Proposed Lighting'!AU65=3),4059,IF(AND(AU65=3,M65="1"),0,IF(AND(AU65=3,M65="1-C"),0,IF(AND(AU65=3,M65="2"),0,IF(AND(AU65=3,M65="2-C"),0,IF(AND(AU65=3,M65="3"),0,IF(AND(AU65=3,M65="3-C"),0,IF(AND(AU65=2,M65="Dusk to Dawn"),0,IF(AND(AU65=2,M65="Dusk to Dawn-C"),0,IF(AND(AU65=2,M65="Dusk to Dawn"),0,IF(AND(AU65=2,M65="E"),0,IF(AND(AU65=2,M65="E-C"),0,EG65)))))))))))))))</f>
        <v/>
      </c>
      <c r="AI65" s="1754"/>
      <c r="AJ65" s="1136"/>
      <c r="AK65" s="1136"/>
      <c r="AL65" s="1748">
        <f t="shared" si="64"/>
        <v>0</v>
      </c>
      <c r="AM65" s="1749"/>
      <c r="AN65" s="1750"/>
      <c r="AO65" s="476">
        <f t="shared" si="2"/>
        <v>0</v>
      </c>
      <c r="AP65" s="476">
        <f t="shared" si="17"/>
        <v>0</v>
      </c>
      <c r="AQ65" s="475">
        <f t="shared" si="3"/>
        <v>0</v>
      </c>
      <c r="AR65" s="475">
        <f t="shared" si="18"/>
        <v>0</v>
      </c>
      <c r="AS65" s="743" t="str">
        <f t="shared" si="79"/>
        <v/>
      </c>
      <c r="AT65" s="736" t="str">
        <f t="shared" si="20"/>
        <v/>
      </c>
      <c r="AU65" s="56">
        <f t="shared" si="21"/>
        <v>1</v>
      </c>
      <c r="AV65" s="476">
        <f t="shared" si="22"/>
        <v>0</v>
      </c>
      <c r="AW65" s="56">
        <f t="shared" si="23"/>
        <v>0</v>
      </c>
      <c r="AX65" s="475">
        <f t="shared" si="65"/>
        <v>0</v>
      </c>
      <c r="AY65" s="1169">
        <f t="shared" si="66"/>
        <v>0</v>
      </c>
      <c r="AZ65" s="1150">
        <f t="shared" si="67"/>
        <v>0</v>
      </c>
      <c r="BA65" s="56">
        <f t="shared" si="68"/>
        <v>0</v>
      </c>
      <c r="BB65" s="420">
        <f t="shared" si="4"/>
        <v>0</v>
      </c>
      <c r="BC65" s="58" t="str">
        <f t="shared" si="5"/>
        <v/>
      </c>
      <c r="BD65" s="660">
        <f t="shared" si="69"/>
        <v>0</v>
      </c>
      <c r="BE65" s="57" t="e">
        <f t="array" ref="BE65">INDEX($EB$11:$ED$1022,MATCH(F65&amp;T65,$EB$11:$EB$1007&amp;$EC$11:$EC$1007,0),3)</f>
        <v>#N/A</v>
      </c>
      <c r="BF65" s="463">
        <f t="shared" si="24"/>
        <v>0</v>
      </c>
      <c r="BG65" s="1445" t="e">
        <f t="array" ref="BG65">INDEX($DO$112:$DQ$123,MATCH(T65&amp;W65,$DO$114:$DO$125&amp;$DP$112:$DP$123,0),3)</f>
        <v>#N/A</v>
      </c>
      <c r="BH65" s="1446">
        <f t="shared" si="25"/>
        <v>0</v>
      </c>
      <c r="BI65" s="465">
        <f t="shared" si="26"/>
        <v>0</v>
      </c>
      <c r="BJ65" s="465">
        <f t="shared" si="27"/>
        <v>0</v>
      </c>
      <c r="BK65" s="466">
        <f t="shared" si="28"/>
        <v>0</v>
      </c>
      <c r="BL65" s="466">
        <f t="shared" si="29"/>
        <v>0</v>
      </c>
      <c r="BM65" s="466">
        <f t="shared" si="30"/>
        <v>0</v>
      </c>
      <c r="BN65" s="466">
        <f t="shared" si="31"/>
        <v>0</v>
      </c>
      <c r="BO65" s="463">
        <f>IF('Data Entry'!$C$74=0,0,IF(ISNA(CJ65),0,IF(AX65=0,0,IF(AND('Data Entry'!$C$74=2,AF65&gt;2,CE65&lt;1),0,IF(AND('Data Entry'!$C$74=2,AF65&gt;1,AU65=2,CJ65&gt;1),0,IF(AND(AF65=5,CT65=0.5,AU65=2,ER65&lt;100),0,IF(AND(AF65=5,CT65=0.5,AU65=3,ER65&lt;100),0,IF(AND('Data Entry'!$C$74=2,AF65=2,AU65=2,AK65&gt;0.01,CB65=2,CE65&lt;1),0,IF(AND('Data Entry'!$C$74=2,AF65=3,AU65=3,AK65&gt;0.01,CB65=3,CE65&lt;1),0,IF(AND('Data Entry'!$C$74=2,AF65=3,AU65=3,AK65&gt;0.01,CB65=3,CE65&gt;0.99),BQ65*0.08,IF(AND('Data Entry'!$C$74=2,AF65=2,AU65=2,AK65&gt;0.01,CB65=2,CE65&gt;0.99),BQ65*0.1,IF(AND(AU65=2,AK65&gt;0.01,CB65=2,CD65&gt;1),BQ65*0.1,IF(AND(AU65=3,AK65&gt;0.01,CB65=3,CD65&gt;1),BQ65*0.08,CJ65*EF65)))))))))))))</f>
        <v>0</v>
      </c>
      <c r="BP65" s="475">
        <f t="shared" si="32"/>
        <v>0</v>
      </c>
      <c r="BQ65" s="1431">
        <f>IF(AU65=1,0,IF(CH65=100,0,IF(AND(AF65=3,AU65=2),0,IF(AND(BH65=0,CT65&gt;0.4),0,IF(AND('Data Entry'!$C$74=2,AF65=1.5),0,IF(AND('Data Entry'!$C$74=2,AF65=1.6),0,IF(AND('Data Entry'!$C$74=2,AF65=4),0,IF(AND('Data Entry'!$C$74=2,AF65=5),0,IF(AND('Data Entry'!$C$74=2,AF65=2.5,CE65&lt;1),0,IF(AND('Data Entry'!$C$74=2,AF65=3,CE65&lt;1),0,IF(AND('Data Entry'!$C$74=1,AF65=2.5,CD65&lt;1),0,IF(AND('Data Entry'!$C$74=1,AF65=3,CD65&lt;1),0,IF(DX65&gt;0.01,DX65,IF(ISERROR(AX65-AY65),"",ROUND(AX65-AY65,2)))))))))))))))</f>
        <v>0</v>
      </c>
      <c r="BR65" s="146">
        <f t="shared" si="33"/>
        <v>0</v>
      </c>
      <c r="BS65" s="475">
        <f t="shared" si="34"/>
        <v>0</v>
      </c>
      <c r="BT65" s="146" t="b">
        <f t="shared" si="35"/>
        <v>0</v>
      </c>
      <c r="BU65" s="463">
        <f>IF(ISNA(AT65),0,IF(AND('Data Entry'!$C$74=2,BC65=27),0,IF(AND('Data Entry'!$C$74=2,BC65=28),0,IF(AND(BC65=27,BT65=27,CM65&gt;0.1),CM65*0.15,IF(AND(BC65=28,BT65=28,CM65&gt;0.1),CM65*0.12,0)))))</f>
        <v>0</v>
      </c>
      <c r="BV65" s="463">
        <f t="shared" si="78"/>
        <v>0</v>
      </c>
      <c r="BW65" s="463">
        <f t="shared" si="37"/>
        <v>0</v>
      </c>
      <c r="BX65" s="463">
        <f t="shared" si="38"/>
        <v>0</v>
      </c>
      <c r="BY65" s="463">
        <f t="shared" si="39"/>
        <v>0</v>
      </c>
      <c r="BZ65" s="463">
        <f t="shared" si="40"/>
        <v>0</v>
      </c>
      <c r="CA65" s="57">
        <f t="shared" si="70"/>
        <v>0</v>
      </c>
      <c r="CB65" s="56">
        <f t="shared" si="41"/>
        <v>1</v>
      </c>
      <c r="CC65" s="756">
        <f>IF(EE65=0,0,IF(EF65=0,0,IF(EE65&gt;AA65,0,IF(AND(AZ65&gt;AW65,AW65&gt;0),0,IF(CU65=0,0,Summary!AC368)))))</f>
        <v>0</v>
      </c>
      <c r="CD65" s="756">
        <f>IF(EE65=0,0,IF(EF65=0,0,IF(EE65&gt;AA65,0,IF(AND(AZ65&gt;AW65,AW65&gt;0),0,IF(CU65=0,0,Summary!AD368)))))</f>
        <v>0</v>
      </c>
      <c r="CE65" s="756">
        <f>IF(EF65=0,0,IF(EE65&gt;AA65,0,IF(CC65=0,0,IF(AND(AZ65&gt;AW65,AW65&gt;0),0,IF(CU65=0,0,Summary!AE368)))))</f>
        <v>0</v>
      </c>
      <c r="CF65" s="475">
        <f t="shared" si="42"/>
        <v>0</v>
      </c>
      <c r="CG65" s="476">
        <f t="shared" si="6"/>
        <v>0</v>
      </c>
      <c r="CH65" s="487">
        <f t="shared" si="43"/>
        <v>0</v>
      </c>
      <c r="CI65" s="756">
        <f t="shared" si="44"/>
        <v>0</v>
      </c>
      <c r="CJ65" s="487">
        <f>IF(CT65&gt;0.4,0,IF(AND(AU65=2,CH65=0,CT65=0.5,ER65=100),35,IF(AND(AU65=3,BB65&gt;75,CH65=0,CT65=0.5,ER65=100),25,IF(CB65&gt;1,0,IF(EF65&gt;EE65,0,IF(AND(AF65&gt;1,CH65=100),0,IF(AND(AF65=1,AY65=0),0,IF(AND(EF65&lt;=EE65,AW65&gt;=AZ65,'Data Entry'!$C$74=1,AU65=2),VLOOKUP(W65,$DO$96:$DP$102,2,FALSE),IF(AND(EF65&lt;=EE65,AW65&gt;=AZ65,AU65=3,'Data Entry'!$C$74=1),VLOOKUP(W65,$DO$127:$DP$134,2,FALSE))))))))))</f>
        <v>0</v>
      </c>
      <c r="CK65" s="716">
        <f t="shared" si="45"/>
        <v>0</v>
      </c>
      <c r="CL65" s="57">
        <f t="shared" si="46"/>
        <v>0</v>
      </c>
      <c r="CM65" s="475">
        <f t="shared" si="77"/>
        <v>0</v>
      </c>
      <c r="CN65" s="660">
        <f>IF(CM65&lt;0.1,0,IF(ISNA(AT65),0,IF(CL65+BC65=1,0,IF(BV65&gt;0.01,0,IF(CL65&gt;0.01,0,IF(CF65=1,0,IF(BC65=0.5,0,IF(AND(CI65=1,AU65=3),0,IF(AND(CI65=5,CL65=0),0,IF(AND(R65=12,BR65=50),0,IF(CK65&gt;0.01,0,IF(AND(AJ65&gt;0.01,AU65=2,BC65=15),CM65*0.1,IF(AND(AJ65&gt;0.01,AU65=3,BC65=15),CM65*0.08,IF(AND(R65=12,BC65=3,AF65&lt;=0),0,IF(AND(BC65=15,BI65=0),0,IF(AND(BC65=15,BJ65=0),0,IF(AND(R65=20,CU65=0),0,IF($X$4=0,0,IF(AND(BC65=250,CL65=0),0,IF(AA65&lt;1,0,IF(AND(ISNUMBER(SEARCH("Area",T65)),AU65=3),0,IF(AND(AQ65&gt;0.01,AR65=0,BK65=0,BL65=0,BM65=0,BN65=0),0,IF(AND(AU65=3,CI65=7,CT65&gt;0.5),0,IF(AND(BC65=44,AU65=3,BY65=0),0,IF(AND(BC65=27,'Data Entry'!$C$74=2),0,IF(AND(BC65=28,'Data Entry'!$C$74=2),0,IF(AND(BY65+BZ65+CA65&gt;0.01,BV65=0,EQ65+ER65+ES65+ET65&lt;100),0,IF(AU65=3,CM65*0.08,IF(AU65=2,CM65*0.1,0)))))))))))))))))))))))))))))</f>
        <v>0</v>
      </c>
      <c r="CO65" s="660">
        <f t="shared" si="47"/>
        <v>0</v>
      </c>
      <c r="CP65" s="475" t="str">
        <f t="shared" si="48"/>
        <v/>
      </c>
      <c r="CQ65" s="161" t="str">
        <f>IF(AH65=0,0,IF(AU65=5,0,Summary!AC68))</f>
        <v/>
      </c>
      <c r="CR65" s="161" t="str">
        <f>IF(BF65=0.5,0,IF(AU65=5,0,Summary!AD68))</f>
        <v/>
      </c>
      <c r="CS65" s="161" t="str">
        <f>IF(AU65=5,0,Summary!AE68)</f>
        <v/>
      </c>
      <c r="CT65" s="161">
        <f t="shared" si="49"/>
        <v>0</v>
      </c>
      <c r="CU65" s="475" t="str">
        <f t="shared" si="7"/>
        <v/>
      </c>
      <c r="CV65" s="307">
        <f>IF('Data Entry'!$C$74=0,0,IF(AA65&lt;1,0,IF(ISERROR(CU65),0,IF(CF65=1,0,IF(AND(R65=12,BR65=50),0,IF(CL65+BO65+BV65+DC65=0,0,IF(BC65=37,0,IF(AND(BC65=40,AJ65=0),0,IF(AND(BC65=37,BO65&gt;0.01,BQ65&gt;0.01),ROUND(BQ65,0),IF(CM65&lt;0,0,ROUND(CM65,0)))))))))))</f>
        <v>0</v>
      </c>
      <c r="CW65" s="700">
        <f t="shared" si="50"/>
        <v>0</v>
      </c>
      <c r="CX65" s="477">
        <f>IF('Data Entry'!$C$74=0,0,IF(CV65&lt;0.01,0,IF(BF65=0.5,0,IF(CF65=1,0,IF(ISNUMBER(SEARCH("false",CL65)),0,IF(AZ65=500,0,CL65))))))</f>
        <v>0</v>
      </c>
      <c r="CY65" s="147" t="e">
        <f t="shared" si="51"/>
        <v>#VALUE!</v>
      </c>
      <c r="CZ65" s="147" t="b">
        <f>IF(CN65+CL65=0,FALSE,IF(AH65=0,0,IF(AND('Data Entry'!$C$74=1,CR65&gt;=1),TRUE,IF(AND('Data Entry'!$C$74=2,CS65&gt;=1),TRUE,FALSE))))</f>
        <v>0</v>
      </c>
      <c r="DA65" s="1751">
        <f>IF('Data Entry'!$C$74=0,0,IFERROR(ROUND(IF(T65="","",IF($X$4=0,0,IF(CF65=1,0,IF(BQ65+CV65=0,0,IF(CF65=1,0,IF(CY65&gt;0.01,CY65,IF(CL65&gt;0.01,CL65,IF(CY65&gt;0.01,CY65,IF(BC65=37,BO65,IF(CZ65=FALSE,0,IF(CZ65=TRUE,DC65+DF65,0))))))))))),2),""))</f>
        <v>0</v>
      </c>
      <c r="DB65" s="1752"/>
      <c r="DC65" s="474">
        <f>IF(CN65&lt;0.01,0,IF(AND(BR65=3,CN65&gt;0.01,CT65&gt;0.6,ER65+ES65+ET65&lt;100),0,IF(AND('Data Entry'!$C$74=1,CN65&gt;0.01,CR65&gt;0.99),MIN(CN65:CO65),IF(AND('Data Entry'!$C$74=2,CN65&gt;0.01,CS65&gt;0.99),MIN(CN65:CO65),0))))</f>
        <v>0</v>
      </c>
      <c r="DD65" s="478">
        <f>IF(CF65=1,"Selection does not match",IF(T65=0,0,IF(AND('Data Entry'!$C$74=0,CP65&gt;1),"Select Oregon or Idaho on Data Entry Tab",IF(AND(AU65=1,AA65&gt;0.9),"Missing Interior or Exterior Selection",IF($X$4=0,"Enter Total Project Cost",IF(AQ65&lt;AR65,"Insufficient kWh savings – no incentive",IF(AND(SUM(CL65+CK65+BV65)&gt;0.01,'Data Entry'!$C$74=2,CJ65&gt;1,BO65=0),"Submit Control as Non-Standard",IF(AND('Data Entry'!$C$74=2,BR65=37,CJ65&gt;1,BO65=0),"Submit Control as Non-Standard",IF(SUM(CL65+CK65+BV65)&gt;0.01,"Standard Incentive",IF(AND('Data Entry'!$C$74=2,CP65=7,CN65=0),"Submit as Non-Standard",IF(DC65&gt;0.9,"Non-Standard Incentive",IF(AND(BY65+BZ65+CA65&gt;0.01,BV65=0,EQ65=0,ER65=0,ES65=0,ET65=0),"Scroll Right &amp; Select Control Strategies",IF(AND(CN65&gt;0.01,CO65=0),"Enter Unit Installed Cost",IF(ISNUMBER(SEARCH("Lighting Controls Only",F65)),"Lighting Controls Only",IF(CL65+DC65=0,"Does not meet incentive criteria",0)))))))))))))))</f>
        <v>0</v>
      </c>
      <c r="DE65" s="337">
        <f t="shared" si="52"/>
        <v>0</v>
      </c>
      <c r="DF65" s="609">
        <f t="shared" si="53"/>
        <v>0</v>
      </c>
      <c r="DG65" s="336" t="str">
        <f t="shared" si="54"/>
        <v/>
      </c>
      <c r="DH65" s="338">
        <f t="shared" si="55"/>
        <v>1</v>
      </c>
      <c r="DI65" s="336" t="e">
        <f t="shared" si="8"/>
        <v>#VALUE!</v>
      </c>
      <c r="DJ65" s="338">
        <f t="shared" si="9"/>
        <v>0</v>
      </c>
      <c r="DK65" s="38" t="s">
        <v>161</v>
      </c>
      <c r="DL65" s="323">
        <v>80</v>
      </c>
      <c r="DM65" s="38" t="s">
        <v>507</v>
      </c>
      <c r="DN65" s="1439">
        <v>6</v>
      </c>
      <c r="DO65" s="1513" t="s">
        <v>1781</v>
      </c>
      <c r="DP65" s="1517">
        <v>0.3</v>
      </c>
      <c r="DQ65" s="1509"/>
      <c r="DR65" s="458"/>
      <c r="DS65" s="1195">
        <f t="shared" si="56"/>
        <v>0</v>
      </c>
      <c r="DT65" s="344" t="b">
        <f t="shared" si="57"/>
        <v>1</v>
      </c>
      <c r="DU65" s="1314" t="str">
        <f t="array" ref="DU65">IF(OR(COUNTIF(F65,"*"&amp;$DK$9:$DK$178&amp;"*")), "Yes", "")</f>
        <v/>
      </c>
      <c r="DV65" s="1314">
        <f t="shared" si="58"/>
        <v>0</v>
      </c>
      <c r="DW65" s="1480">
        <f t="shared" si="59"/>
        <v>0</v>
      </c>
      <c r="DX65" s="1498">
        <f t="shared" si="71"/>
        <v>0</v>
      </c>
      <c r="DY65" s="1484">
        <f t="shared" si="60"/>
        <v>0</v>
      </c>
      <c r="DZ65" s="361"/>
      <c r="EA65" s="392"/>
      <c r="EB65" s="1499" t="s">
        <v>157</v>
      </c>
      <c r="EC65" s="727" t="s">
        <v>1568</v>
      </c>
      <c r="ED65" s="728">
        <v>0.5</v>
      </c>
      <c r="EE65" s="1215"/>
      <c r="EF65" s="1215"/>
      <c r="EG65" s="1184" t="str">
        <f t="shared" si="61"/>
        <v/>
      </c>
      <c r="EH65" s="55"/>
      <c r="EI65" s="55"/>
      <c r="EJ65" s="1185">
        <f t="shared" si="10"/>
        <v>0</v>
      </c>
      <c r="EK65" s="1211"/>
      <c r="EL65" s="1180">
        <f t="shared" si="72"/>
        <v>0</v>
      </c>
      <c r="EM65" s="207"/>
      <c r="EN65" s="1038"/>
      <c r="EO65" s="1038"/>
      <c r="EP65" s="1038"/>
      <c r="EQ65" s="1038">
        <f t="shared" si="62"/>
        <v>0</v>
      </c>
      <c r="ER65" s="1041">
        <f t="shared" si="75"/>
        <v>0</v>
      </c>
      <c r="ES65" s="1042">
        <f t="shared" si="63"/>
        <v>0</v>
      </c>
      <c r="ET65" s="1042">
        <f t="shared" si="73"/>
        <v>0</v>
      </c>
      <c r="EU65" s="1021">
        <f t="shared" si="74"/>
        <v>0</v>
      </c>
      <c r="EV65" s="368"/>
      <c r="EW65" s="368"/>
      <c r="EX65" s="369"/>
      <c r="EY65" s="370"/>
      <c r="EZ65" s="370"/>
      <c r="FA65" s="371"/>
      <c r="FB65" s="372"/>
    </row>
    <row r="66" spans="1:158" ht="34.5" customHeight="1">
      <c r="A66" s="82">
        <v>58</v>
      </c>
      <c r="B66" s="1725"/>
      <c r="C66" s="1726"/>
      <c r="D66" s="1726"/>
      <c r="E66" s="1727"/>
      <c r="F66" s="1732"/>
      <c r="G66" s="1733"/>
      <c r="H66" s="1733"/>
      <c r="I66" s="1734"/>
      <c r="J66" s="1341"/>
      <c r="K66" s="1728"/>
      <c r="L66" s="1728"/>
      <c r="M66" s="1342"/>
      <c r="N66" s="1583"/>
      <c r="O66" s="208" t="str">
        <f t="shared" si="11"/>
        <v/>
      </c>
      <c r="P66" s="785"/>
      <c r="Q66" s="39" t="str">
        <f t="shared" si="0"/>
        <v/>
      </c>
      <c r="R66" s="39">
        <f t="shared" si="12"/>
        <v>0</v>
      </c>
      <c r="S66" s="234">
        <f t="shared" si="13"/>
        <v>0</v>
      </c>
      <c r="T66" s="1755"/>
      <c r="U66" s="1755"/>
      <c r="V66" s="1755"/>
      <c r="W66" s="1345"/>
      <c r="X66" s="1741"/>
      <c r="Y66" s="1742"/>
      <c r="Z66" s="1346"/>
      <c r="AA66" s="1343"/>
      <c r="AB66" s="1141"/>
      <c r="AC66" s="1103" t="str">
        <f>IF(T66="","",VLOOKUP(Z66,Lists!$A$60:$B$111,2,FALSE))</f>
        <v/>
      </c>
      <c r="AD66" s="130" t="str">
        <f t="shared" si="14"/>
        <v/>
      </c>
      <c r="AE66" s="130" t="e">
        <f t="shared" si="15"/>
        <v>#VALUE!</v>
      </c>
      <c r="AF66" s="130">
        <f t="shared" si="16"/>
        <v>1</v>
      </c>
      <c r="AG66" s="234">
        <f t="shared" si="1"/>
        <v>0</v>
      </c>
      <c r="AH66" s="1753" t="str">
        <f>IF(T66="","",(IF(ISNUMBER(SEARCH("exit",T66)),8760,IF(AND(M66="Dusk to Dawn",'Proposed Lighting'!AU66=3),4059,IF(AND(AU66=3,M66="1"),0,IF(AND(AU66=3,M66="1-C"),0,IF(AND(AU66=3,M66="2"),0,IF(AND(AU66=3,M66="2-C"),0,IF(AND(AU66=3,M66="3"),0,IF(AND(AU66=3,M66="3-C"),0,IF(AND(AU66=2,M66="Dusk to Dawn"),0,IF(AND(AU66=2,M66="Dusk to Dawn-C"),0,IF(AND(AU66=2,M66="Dusk to Dawn"),0,IF(AND(AU66=2,M66="E"),0,IF(AND(AU66=2,M66="E-C"),0,EG66)))))))))))))))</f>
        <v/>
      </c>
      <c r="AI66" s="1754"/>
      <c r="AJ66" s="1136"/>
      <c r="AK66" s="1136"/>
      <c r="AL66" s="1748">
        <f t="shared" si="64"/>
        <v>0</v>
      </c>
      <c r="AM66" s="1749"/>
      <c r="AN66" s="1750"/>
      <c r="AO66" s="476">
        <f t="shared" si="2"/>
        <v>0</v>
      </c>
      <c r="AP66" s="476">
        <f t="shared" si="17"/>
        <v>0</v>
      </c>
      <c r="AQ66" s="475">
        <f t="shared" si="3"/>
        <v>0</v>
      </c>
      <c r="AR66" s="475">
        <f t="shared" si="18"/>
        <v>0</v>
      </c>
      <c r="AS66" s="743" t="str">
        <f t="shared" si="79"/>
        <v/>
      </c>
      <c r="AT66" s="736" t="str">
        <f t="shared" si="20"/>
        <v/>
      </c>
      <c r="AU66" s="56">
        <f t="shared" si="21"/>
        <v>1</v>
      </c>
      <c r="AV66" s="476">
        <f t="shared" si="22"/>
        <v>0</v>
      </c>
      <c r="AW66" s="56">
        <f t="shared" si="23"/>
        <v>0</v>
      </c>
      <c r="AX66" s="475">
        <f t="shared" si="65"/>
        <v>0</v>
      </c>
      <c r="AY66" s="1169">
        <f t="shared" si="66"/>
        <v>0</v>
      </c>
      <c r="AZ66" s="1150">
        <f t="shared" si="67"/>
        <v>0</v>
      </c>
      <c r="BA66" s="56">
        <f t="shared" si="68"/>
        <v>0</v>
      </c>
      <c r="BB66" s="420">
        <f t="shared" si="4"/>
        <v>0</v>
      </c>
      <c r="BC66" s="58" t="str">
        <f t="shared" si="5"/>
        <v/>
      </c>
      <c r="BD66" s="660">
        <f t="shared" si="69"/>
        <v>0</v>
      </c>
      <c r="BE66" s="57" t="e">
        <f t="array" ref="BE66">INDEX($EB$11:$ED$1022,MATCH(F66&amp;T66,$EB$11:$EB$1007&amp;$EC$11:$EC$1007,0),3)</f>
        <v>#N/A</v>
      </c>
      <c r="BF66" s="463">
        <f t="shared" si="24"/>
        <v>0</v>
      </c>
      <c r="BG66" s="1445" t="e">
        <f t="array" ref="BG66">INDEX($DO$112:$DQ$123,MATCH(T66&amp;W66,$DO$114:$DO$125&amp;$DP$112:$DP$123,0),3)</f>
        <v>#N/A</v>
      </c>
      <c r="BH66" s="1446">
        <f t="shared" si="25"/>
        <v>0</v>
      </c>
      <c r="BI66" s="465">
        <f t="shared" si="26"/>
        <v>0</v>
      </c>
      <c r="BJ66" s="465">
        <f t="shared" si="27"/>
        <v>0</v>
      </c>
      <c r="BK66" s="466">
        <f t="shared" si="28"/>
        <v>0</v>
      </c>
      <c r="BL66" s="466">
        <f t="shared" si="29"/>
        <v>0</v>
      </c>
      <c r="BM66" s="466">
        <f t="shared" si="30"/>
        <v>0</v>
      </c>
      <c r="BN66" s="466">
        <f t="shared" si="31"/>
        <v>0</v>
      </c>
      <c r="BO66" s="463">
        <f>IF('Data Entry'!$C$74=0,0,IF(ISNA(CJ66),0,IF(AX66=0,0,IF(AND('Data Entry'!$C$74=2,AF66&gt;2,CE66&lt;1),0,IF(AND('Data Entry'!$C$74=2,AF66&gt;1,AU66=2,CJ66&gt;1),0,IF(AND(AF66=5,CT66=0.5,AU66=2,ER66&lt;100),0,IF(AND(AF66=5,CT66=0.5,AU66=3,ER66&lt;100),0,IF(AND('Data Entry'!$C$74=2,AF66=2,AU66=2,AK66&gt;0.01,CB66=2,CE66&lt;1),0,IF(AND('Data Entry'!$C$74=2,AF66=3,AU66=3,AK66&gt;0.01,CB66=3,CE66&lt;1),0,IF(AND('Data Entry'!$C$74=2,AF66=3,AU66=3,AK66&gt;0.01,CB66=3,CE66&gt;0.99),BQ66*0.08,IF(AND('Data Entry'!$C$74=2,AF66=2,AU66=2,AK66&gt;0.01,CB66=2,CE66&gt;0.99),BQ66*0.1,IF(AND(AU66=2,AK66&gt;0.01,CB66=2,CD66&gt;1),BQ66*0.1,IF(AND(AU66=3,AK66&gt;0.01,CB66=3,CD66&gt;1),BQ66*0.08,CJ66*EF66)))))))))))))</f>
        <v>0</v>
      </c>
      <c r="BP66" s="475">
        <f t="shared" si="32"/>
        <v>0</v>
      </c>
      <c r="BQ66" s="1431">
        <f>IF(AU66=1,0,IF(CH66=100,0,IF(AND(AF66=3,AU66=2),0,IF(AND(BH66=0,CT66&gt;0.4),0,IF(AND('Data Entry'!$C$74=2,AF66=1.5),0,IF(AND('Data Entry'!$C$74=2,AF66=1.6),0,IF(AND('Data Entry'!$C$74=2,AF66=4),0,IF(AND('Data Entry'!$C$74=2,AF66=5),0,IF(AND('Data Entry'!$C$74=2,AF66=2.5,CE66&lt;1),0,IF(AND('Data Entry'!$C$74=2,AF66=3,CE66&lt;1),0,IF(AND('Data Entry'!$C$74=1,AF66=2.5,CD66&lt;1),0,IF(AND('Data Entry'!$C$74=1,AF66=3,CD66&lt;1),0,IF(DX66&gt;0.01,DX66,IF(ISERROR(AX66-AY66),"",ROUND(AX66-AY66,2)))))))))))))))</f>
        <v>0</v>
      </c>
      <c r="BR66" s="146">
        <f t="shared" si="33"/>
        <v>0</v>
      </c>
      <c r="BS66" s="475">
        <f t="shared" si="34"/>
        <v>0</v>
      </c>
      <c r="BT66" s="146" t="b">
        <f t="shared" si="35"/>
        <v>0</v>
      </c>
      <c r="BU66" s="463">
        <f>IF(ISNA(AT66),0,IF(AND('Data Entry'!$C$74=2,BC66=27),0,IF(AND('Data Entry'!$C$74=2,BC66=28),0,IF(AND(BC66=27,BT66=27,CM66&gt;0.1),CM66*0.15,IF(AND(BC66=28,BT66=28,CM66&gt;0.1),CM66*0.12,0)))))</f>
        <v>0</v>
      </c>
      <c r="BV66" s="463">
        <f t="shared" si="78"/>
        <v>0</v>
      </c>
      <c r="BW66" s="463">
        <f t="shared" si="37"/>
        <v>0</v>
      </c>
      <c r="BX66" s="463">
        <f t="shared" si="38"/>
        <v>0</v>
      </c>
      <c r="BY66" s="463">
        <f t="shared" si="39"/>
        <v>0</v>
      </c>
      <c r="BZ66" s="463">
        <f t="shared" si="40"/>
        <v>0</v>
      </c>
      <c r="CA66" s="57">
        <f t="shared" si="70"/>
        <v>0</v>
      </c>
      <c r="CB66" s="56">
        <f t="shared" si="41"/>
        <v>1</v>
      </c>
      <c r="CC66" s="756">
        <f>IF(EE66=0,0,IF(EF66=0,0,IF(EE66&gt;AA66,0,IF(AND(AZ66&gt;AW66,AW66&gt;0),0,IF(CU66=0,0,Summary!AC369)))))</f>
        <v>0</v>
      </c>
      <c r="CD66" s="756">
        <f>IF(EE66=0,0,IF(EF66=0,0,IF(EE66&gt;AA66,0,IF(AND(AZ66&gt;AW66,AW66&gt;0),0,IF(CU66=0,0,Summary!AD369)))))</f>
        <v>0</v>
      </c>
      <c r="CE66" s="756">
        <f>IF(EF66=0,0,IF(EE66&gt;AA66,0,IF(CC66=0,0,IF(AND(AZ66&gt;AW66,AW66&gt;0),0,IF(CU66=0,0,Summary!AE369)))))</f>
        <v>0</v>
      </c>
      <c r="CF66" s="475">
        <f t="shared" si="42"/>
        <v>0</v>
      </c>
      <c r="CG66" s="476">
        <f t="shared" si="6"/>
        <v>0</v>
      </c>
      <c r="CH66" s="487">
        <f t="shared" si="43"/>
        <v>0</v>
      </c>
      <c r="CI66" s="756">
        <f t="shared" si="44"/>
        <v>0</v>
      </c>
      <c r="CJ66" s="487">
        <f>IF(CT66&gt;0.4,0,IF(AND(AU66=2,CH66=0,CT66=0.5,ER66=100),35,IF(AND(AU66=3,BB66&gt;75,CH66=0,CT66=0.5,ER66=100),25,IF(CB66&gt;1,0,IF(EF66&gt;EE66,0,IF(AND(AF66&gt;1,CH66=100),0,IF(AND(AF66=1,AY66=0),0,IF(AND(EF66&lt;=EE66,AW66&gt;=AZ66,'Data Entry'!$C$74=1,AU66=2),VLOOKUP(W66,$DO$96:$DP$102,2,FALSE),IF(AND(EF66&lt;=EE66,AW66&gt;=AZ66,AU66=3,'Data Entry'!$C$74=1),VLOOKUP(W66,$DO$127:$DP$134,2,FALSE))))))))))</f>
        <v>0</v>
      </c>
      <c r="CK66" s="716">
        <f t="shared" si="45"/>
        <v>0</v>
      </c>
      <c r="CL66" s="57">
        <f t="shared" si="46"/>
        <v>0</v>
      </c>
      <c r="CM66" s="475">
        <f t="shared" si="77"/>
        <v>0</v>
      </c>
      <c r="CN66" s="660">
        <f>IF(CM66&lt;0.1,0,IF(ISNA(AT66),0,IF(CL66+BC66=1,0,IF(BV66&gt;0.01,0,IF(CL66&gt;0.01,0,IF(CF66=1,0,IF(BC66=0.5,0,IF(AND(CI66=1,AU66=3),0,IF(AND(CI66=5,CL66=0),0,IF(AND(R66=12,BR66=50),0,IF(CK66&gt;0.01,0,IF(AND(AJ66&gt;0.01,AU66=2,BC66=15),CM66*0.1,IF(AND(AJ66&gt;0.01,AU66=3,BC66=15),CM66*0.08,IF(AND(R66=12,BC66=3,AF66&lt;=0),0,IF(AND(BC66=15,BI66=0),0,IF(AND(BC66=15,BJ66=0),0,IF(AND(R66=20,CU66=0),0,IF($X$4=0,0,IF(AND(BC66=250,CL66=0),0,IF(AA66&lt;1,0,IF(AND(ISNUMBER(SEARCH("Area",T66)),AU66=3),0,IF(AND(AQ66&gt;0.01,AR66=0,BK66=0,BL66=0,BM66=0,BN66=0),0,IF(AND(AU66=3,CI66=7,CT66&gt;0.5),0,IF(AND(BC66=44,AU66=3,BY66=0),0,IF(AND(BC66=27,'Data Entry'!$C$74=2),0,IF(AND(BC66=28,'Data Entry'!$C$74=2),0,IF(AND(BY66+BZ66+CA66&gt;0.01,BV66=0,EQ66+ER66+ES66+ET66&lt;100),0,IF(AU66=3,CM66*0.08,IF(AU66=2,CM66*0.1,0)))))))))))))))))))))))))))))</f>
        <v>0</v>
      </c>
      <c r="CO66" s="660">
        <f t="shared" si="47"/>
        <v>0</v>
      </c>
      <c r="CP66" s="475" t="str">
        <f t="shared" si="48"/>
        <v/>
      </c>
      <c r="CQ66" s="161" t="str">
        <f>IF(AH66=0,0,IF(AU66=5,0,Summary!AC69))</f>
        <v/>
      </c>
      <c r="CR66" s="161" t="str">
        <f>IF(BF66=0.5,0,IF(AU66=5,0,Summary!AD69))</f>
        <v/>
      </c>
      <c r="CS66" s="161" t="str">
        <f>IF(AU66=5,0,Summary!AE69)</f>
        <v/>
      </c>
      <c r="CT66" s="161">
        <f t="shared" si="49"/>
        <v>0</v>
      </c>
      <c r="CU66" s="475" t="str">
        <f t="shared" si="7"/>
        <v/>
      </c>
      <c r="CV66" s="307">
        <f>IF('Data Entry'!$C$74=0,0,IF(AA66&lt;1,0,IF(ISERROR(CU66),0,IF(CF66=1,0,IF(AND(R66=12,BR66=50),0,IF(CL66+BO66+BV66+DC66=0,0,IF(BC66=37,0,IF(AND(BC66=40,AJ66=0),0,IF(AND(BC66=37,BO66&gt;0.01,BQ66&gt;0.01),ROUND(BQ66,0),IF(CM66&lt;0,0,ROUND(CM66,0)))))))))))</f>
        <v>0</v>
      </c>
      <c r="CW66" s="700">
        <f t="shared" si="50"/>
        <v>0</v>
      </c>
      <c r="CX66" s="477">
        <f>IF('Data Entry'!$C$74=0,0,IF(CV66&lt;0.01,0,IF(BF66=0.5,0,IF(CF66=1,0,IF(ISNUMBER(SEARCH("false",CL66)),0,IF(AZ66=500,0,CL66))))))</f>
        <v>0</v>
      </c>
      <c r="CY66" s="147" t="e">
        <f t="shared" si="51"/>
        <v>#VALUE!</v>
      </c>
      <c r="CZ66" s="147" t="b">
        <f>IF(CN66+CL66=0,FALSE,IF(AH66=0,0,IF(AND('Data Entry'!$C$74=1,CR66&gt;=1),TRUE,IF(AND('Data Entry'!$C$74=2,CS66&gt;=1),TRUE,FALSE))))</f>
        <v>0</v>
      </c>
      <c r="DA66" s="1751">
        <f>IF('Data Entry'!$C$74=0,0,IFERROR(ROUND(IF(T66="","",IF($X$4=0,0,IF(CF66=1,0,IF(BQ66+CV66=0,0,IF(CF66=1,0,IF(CY66&gt;0.01,CY66,IF(CL66&gt;0.01,CL66,IF(CY66&gt;0.01,CY66,IF(BC66=37,BO66,IF(CZ66=FALSE,0,IF(CZ66=TRUE,DC66+DF66,0))))))))))),2),""))</f>
        <v>0</v>
      </c>
      <c r="DB66" s="1752"/>
      <c r="DC66" s="474">
        <f>IF(CN66&lt;0.01,0,IF(AND(BR66=3,CN66&gt;0.01,CT66&gt;0.6,ER66+ES66+ET66&lt;100),0,IF(AND('Data Entry'!$C$74=1,CN66&gt;0.01,CR66&gt;0.99),MIN(CN66:CO66),IF(AND('Data Entry'!$C$74=2,CN66&gt;0.01,CS66&gt;0.99),MIN(CN66:CO66),0))))</f>
        <v>0</v>
      </c>
      <c r="DD66" s="478">
        <f>IF(CF66=1,"Selection does not match",IF(T66=0,0,IF(AND('Data Entry'!$C$74=0,CP66&gt;1),"Select Oregon or Idaho on Data Entry Tab",IF(AND(AU66=1,AA66&gt;0.9),"Missing Interior or Exterior Selection",IF($X$4=0,"Enter Total Project Cost",IF(AQ66&lt;AR66,"Insufficient kWh savings – no incentive",IF(AND(SUM(CL66+CK66+BV66)&gt;0.01,'Data Entry'!$C$74=2,CJ66&gt;1,BO66=0),"Submit Control as Non-Standard",IF(AND('Data Entry'!$C$74=2,BR66=37,CJ66&gt;1,BO66=0),"Submit Control as Non-Standard",IF(SUM(CL66+CK66+BV66)&gt;0.01,"Standard Incentive",IF(AND('Data Entry'!$C$74=2,CP66=7,CN66=0),"Submit as Non-Standard",IF(DC66&gt;0.9,"Non-Standard Incentive",IF(AND(BY66+BZ66+CA66&gt;0.01,BV66=0,EQ66=0,ER66=0,ES66=0,ET66=0),"Scroll Right &amp; Select Control Strategies",IF(AND(CN66&gt;0.01,CO66=0),"Enter Unit Installed Cost",IF(ISNUMBER(SEARCH("Lighting Controls Only",F66)),"Lighting Controls Only",IF(CL66+DC66=0,"Does not meet incentive criteria",0)))))))))))))))</f>
        <v>0</v>
      </c>
      <c r="DE66" s="337">
        <f t="shared" si="52"/>
        <v>0</v>
      </c>
      <c r="DF66" s="609">
        <f t="shared" si="53"/>
        <v>0</v>
      </c>
      <c r="DG66" s="336" t="str">
        <f t="shared" si="54"/>
        <v/>
      </c>
      <c r="DH66" s="338">
        <f t="shared" si="55"/>
        <v>1</v>
      </c>
      <c r="DI66" s="336" t="e">
        <f t="shared" si="8"/>
        <v>#VALUE!</v>
      </c>
      <c r="DJ66" s="338">
        <f t="shared" si="9"/>
        <v>0</v>
      </c>
      <c r="DK66" s="38" t="s">
        <v>162</v>
      </c>
      <c r="DL66" s="323">
        <v>160</v>
      </c>
      <c r="DM66" s="38" t="s">
        <v>509</v>
      </c>
      <c r="DN66" s="1439">
        <v>12</v>
      </c>
      <c r="DO66" s="1513" t="s">
        <v>1782</v>
      </c>
      <c r="DP66" s="1516">
        <v>0.25</v>
      </c>
      <c r="DQ66" s="1509"/>
      <c r="DR66" s="458"/>
      <c r="DS66" s="1195">
        <f t="shared" si="56"/>
        <v>0</v>
      </c>
      <c r="DT66" s="344" t="b">
        <f t="shared" si="57"/>
        <v>1</v>
      </c>
      <c r="DU66" s="1314" t="str">
        <f t="array" ref="DU66">IF(OR(COUNTIF(F66,"*"&amp;$DK$9:$DK$178&amp;"*")), "Yes", "")</f>
        <v/>
      </c>
      <c r="DV66" s="1314">
        <f t="shared" si="58"/>
        <v>0</v>
      </c>
      <c r="DW66" s="1480">
        <f t="shared" si="59"/>
        <v>0</v>
      </c>
      <c r="DX66" s="1498">
        <f t="shared" si="71"/>
        <v>0</v>
      </c>
      <c r="DY66" s="1484">
        <f t="shared" si="60"/>
        <v>0</v>
      </c>
      <c r="DZ66" s="356"/>
      <c r="EA66" s="392"/>
      <c r="EB66" s="1499" t="s">
        <v>158</v>
      </c>
      <c r="EC66" s="727" t="s">
        <v>1568</v>
      </c>
      <c r="ED66" s="728">
        <v>0.5</v>
      </c>
      <c r="EE66" s="1215"/>
      <c r="EF66" s="1215"/>
      <c r="EG66" s="1184" t="str">
        <f t="shared" si="61"/>
        <v/>
      </c>
      <c r="EH66" s="55"/>
      <c r="EI66" s="55"/>
      <c r="EJ66" s="1185">
        <f t="shared" si="10"/>
        <v>0</v>
      </c>
      <c r="EK66" s="1211"/>
      <c r="EL66" s="1180">
        <f t="shared" si="72"/>
        <v>0</v>
      </c>
      <c r="EM66" s="207"/>
      <c r="EN66" s="1038"/>
      <c r="EO66" s="1038"/>
      <c r="EP66" s="1038"/>
      <c r="EQ66" s="1038">
        <f t="shared" si="62"/>
        <v>0</v>
      </c>
      <c r="ER66" s="1041">
        <f t="shared" si="75"/>
        <v>0</v>
      </c>
      <c r="ES66" s="1042">
        <f t="shared" si="63"/>
        <v>0</v>
      </c>
      <c r="ET66" s="1042">
        <f t="shared" si="73"/>
        <v>0</v>
      </c>
      <c r="EU66" s="1021">
        <f t="shared" si="74"/>
        <v>0</v>
      </c>
      <c r="EV66" s="368"/>
      <c r="EW66" s="368"/>
      <c r="EX66" s="369"/>
      <c r="EY66" s="370"/>
      <c r="EZ66" s="370"/>
      <c r="FA66" s="371"/>
      <c r="FB66" s="372"/>
    </row>
    <row r="67" spans="1:158" ht="34.5" customHeight="1">
      <c r="A67" s="82">
        <v>59</v>
      </c>
      <c r="B67" s="1725"/>
      <c r="C67" s="1726"/>
      <c r="D67" s="1726"/>
      <c r="E67" s="1727"/>
      <c r="F67" s="1732"/>
      <c r="G67" s="1733"/>
      <c r="H67" s="1733"/>
      <c r="I67" s="1734"/>
      <c r="J67" s="1341"/>
      <c r="K67" s="1728"/>
      <c r="L67" s="1728"/>
      <c r="M67" s="1342"/>
      <c r="N67" s="1583"/>
      <c r="O67" s="208" t="str">
        <f t="shared" si="11"/>
        <v/>
      </c>
      <c r="P67" s="785"/>
      <c r="Q67" s="39" t="str">
        <f t="shared" si="0"/>
        <v/>
      </c>
      <c r="R67" s="39">
        <f t="shared" si="12"/>
        <v>0</v>
      </c>
      <c r="S67" s="234">
        <f t="shared" si="13"/>
        <v>0</v>
      </c>
      <c r="T67" s="1755"/>
      <c r="U67" s="1755"/>
      <c r="V67" s="1755"/>
      <c r="W67" s="1345"/>
      <c r="X67" s="1741"/>
      <c r="Y67" s="1742"/>
      <c r="Z67" s="1346"/>
      <c r="AA67" s="1343"/>
      <c r="AB67" s="1141"/>
      <c r="AC67" s="1103" t="str">
        <f>IF(T67="","",VLOOKUP(Z67,Lists!$A$60:$B$111,2,FALSE))</f>
        <v/>
      </c>
      <c r="AD67" s="130" t="str">
        <f t="shared" si="14"/>
        <v/>
      </c>
      <c r="AE67" s="130" t="e">
        <f t="shared" si="15"/>
        <v>#VALUE!</v>
      </c>
      <c r="AF67" s="130">
        <f t="shared" si="16"/>
        <v>1</v>
      </c>
      <c r="AG67" s="234">
        <f t="shared" si="1"/>
        <v>0</v>
      </c>
      <c r="AH67" s="1753" t="str">
        <f>IF(T67="","",(IF(ISNUMBER(SEARCH("exit",T67)),8760,IF(AND(M67="Dusk to Dawn",'Proposed Lighting'!AU67=3),4059,IF(AND(AU67=3,M67="1"),0,IF(AND(AU67=3,M67="1-C"),0,IF(AND(AU67=3,M67="2"),0,IF(AND(AU67=3,M67="2-C"),0,IF(AND(AU67=3,M67="3"),0,IF(AND(AU67=3,M67="3-C"),0,IF(AND(AU67=2,M67="Dusk to Dawn"),0,IF(AND(AU67=2,M67="Dusk to Dawn-C"),0,IF(AND(AU67=2,M67="Dusk to Dawn"),0,IF(AND(AU67=2,M67="E"),0,IF(AND(AU67=2,M67="E-C"),0,EG67)))))))))))))))</f>
        <v/>
      </c>
      <c r="AI67" s="1754"/>
      <c r="AJ67" s="1136"/>
      <c r="AK67" s="1136"/>
      <c r="AL67" s="1748">
        <f t="shared" si="64"/>
        <v>0</v>
      </c>
      <c r="AM67" s="1749"/>
      <c r="AN67" s="1750"/>
      <c r="AO67" s="476">
        <f t="shared" si="2"/>
        <v>0</v>
      </c>
      <c r="AP67" s="476">
        <f t="shared" si="17"/>
        <v>0</v>
      </c>
      <c r="AQ67" s="475">
        <f t="shared" si="3"/>
        <v>0</v>
      </c>
      <c r="AR67" s="475">
        <f t="shared" si="18"/>
        <v>0</v>
      </c>
      <c r="AS67" s="743" t="str">
        <f t="shared" si="79"/>
        <v/>
      </c>
      <c r="AT67" s="736" t="str">
        <f t="shared" si="20"/>
        <v/>
      </c>
      <c r="AU67" s="56">
        <f t="shared" si="21"/>
        <v>1</v>
      </c>
      <c r="AV67" s="476">
        <f t="shared" si="22"/>
        <v>0</v>
      </c>
      <c r="AW67" s="56">
        <f t="shared" si="23"/>
        <v>0</v>
      </c>
      <c r="AX67" s="475">
        <f t="shared" si="65"/>
        <v>0</v>
      </c>
      <c r="AY67" s="1169">
        <f t="shared" si="66"/>
        <v>0</v>
      </c>
      <c r="AZ67" s="1150">
        <f t="shared" si="67"/>
        <v>0</v>
      </c>
      <c r="BA67" s="56">
        <f t="shared" si="68"/>
        <v>0</v>
      </c>
      <c r="BB67" s="420">
        <f t="shared" si="4"/>
        <v>0</v>
      </c>
      <c r="BC67" s="58" t="str">
        <f t="shared" si="5"/>
        <v/>
      </c>
      <c r="BD67" s="660">
        <f t="shared" si="69"/>
        <v>0</v>
      </c>
      <c r="BE67" s="57" t="e">
        <f t="array" ref="BE67">INDEX($EB$11:$ED$1022,MATCH(F67&amp;T67,$EB$11:$EB$1007&amp;$EC$11:$EC$1007,0),3)</f>
        <v>#N/A</v>
      </c>
      <c r="BF67" s="463">
        <f t="shared" si="24"/>
        <v>0</v>
      </c>
      <c r="BG67" s="1445" t="e">
        <f t="array" ref="BG67">INDEX($DO$112:$DQ$123,MATCH(T67&amp;W67,$DO$114:$DO$125&amp;$DP$112:$DP$123,0),3)</f>
        <v>#N/A</v>
      </c>
      <c r="BH67" s="1446">
        <f t="shared" si="25"/>
        <v>0</v>
      </c>
      <c r="BI67" s="465">
        <f t="shared" si="26"/>
        <v>0</v>
      </c>
      <c r="BJ67" s="465">
        <f t="shared" si="27"/>
        <v>0</v>
      </c>
      <c r="BK67" s="466">
        <f t="shared" si="28"/>
        <v>0</v>
      </c>
      <c r="BL67" s="466">
        <f t="shared" si="29"/>
        <v>0</v>
      </c>
      <c r="BM67" s="466">
        <f t="shared" si="30"/>
        <v>0</v>
      </c>
      <c r="BN67" s="466">
        <f t="shared" si="31"/>
        <v>0</v>
      </c>
      <c r="BO67" s="463">
        <f>IF('Data Entry'!$C$74=0,0,IF(ISNA(CJ67),0,IF(AX67=0,0,IF(AND('Data Entry'!$C$74=2,AF67&gt;2,CE67&lt;1),0,IF(AND('Data Entry'!$C$74=2,AF67&gt;1,AU67=2,CJ67&gt;1),0,IF(AND(AF67=5,CT67=0.5,AU67=2,ER67&lt;100),0,IF(AND(AF67=5,CT67=0.5,AU67=3,ER67&lt;100),0,IF(AND('Data Entry'!$C$74=2,AF67=2,AU67=2,AK67&gt;0.01,CB67=2,CE67&lt;1),0,IF(AND('Data Entry'!$C$74=2,AF67=3,AU67=3,AK67&gt;0.01,CB67=3,CE67&lt;1),0,IF(AND('Data Entry'!$C$74=2,AF67=3,AU67=3,AK67&gt;0.01,CB67=3,CE67&gt;0.99),BQ67*0.08,IF(AND('Data Entry'!$C$74=2,AF67=2,AU67=2,AK67&gt;0.01,CB67=2,CE67&gt;0.99),BQ67*0.1,IF(AND(AU67=2,AK67&gt;0.01,CB67=2,CD67&gt;1),BQ67*0.1,IF(AND(AU67=3,AK67&gt;0.01,CB67=3,CD67&gt;1),BQ67*0.08,CJ67*EF67)))))))))))))</f>
        <v>0</v>
      </c>
      <c r="BP67" s="475">
        <f t="shared" si="32"/>
        <v>0</v>
      </c>
      <c r="BQ67" s="1431">
        <f>IF(AU67=1,0,IF(CH67=100,0,IF(AND(AF67=3,AU67=2),0,IF(AND(BH67=0,CT67&gt;0.4),0,IF(AND('Data Entry'!$C$74=2,AF67=1.5),0,IF(AND('Data Entry'!$C$74=2,AF67=1.6),0,IF(AND('Data Entry'!$C$74=2,AF67=4),0,IF(AND('Data Entry'!$C$74=2,AF67=5),0,IF(AND('Data Entry'!$C$74=2,AF67=2.5,CE67&lt;1),0,IF(AND('Data Entry'!$C$74=2,AF67=3,CE67&lt;1),0,IF(AND('Data Entry'!$C$74=1,AF67=2.5,CD67&lt;1),0,IF(AND('Data Entry'!$C$74=1,AF67=3,CD67&lt;1),0,IF(DX67&gt;0.01,DX67,IF(ISERROR(AX67-AY67),"",ROUND(AX67-AY67,2)))))))))))))))</f>
        <v>0</v>
      </c>
      <c r="BR67" s="146">
        <f t="shared" si="33"/>
        <v>0</v>
      </c>
      <c r="BS67" s="475">
        <f t="shared" si="34"/>
        <v>0</v>
      </c>
      <c r="BT67" s="146" t="b">
        <f t="shared" si="35"/>
        <v>0</v>
      </c>
      <c r="BU67" s="463">
        <f>IF(ISNA(AT67),0,IF(AND('Data Entry'!$C$74=2,BC67=27),0,IF(AND('Data Entry'!$C$74=2,BC67=28),0,IF(AND(BC67=27,BT67=27,CM67&gt;0.1),CM67*0.15,IF(AND(BC67=28,BT67=28,CM67&gt;0.1),CM67*0.12,0)))))</f>
        <v>0</v>
      </c>
      <c r="BV67" s="463">
        <f t="shared" si="78"/>
        <v>0</v>
      </c>
      <c r="BW67" s="463">
        <f t="shared" si="37"/>
        <v>0</v>
      </c>
      <c r="BX67" s="463">
        <f t="shared" si="38"/>
        <v>0</v>
      </c>
      <c r="BY67" s="463">
        <f t="shared" si="39"/>
        <v>0</v>
      </c>
      <c r="BZ67" s="463">
        <f t="shared" si="40"/>
        <v>0</v>
      </c>
      <c r="CA67" s="57">
        <f t="shared" si="70"/>
        <v>0</v>
      </c>
      <c r="CB67" s="56">
        <f t="shared" si="41"/>
        <v>1</v>
      </c>
      <c r="CC67" s="756">
        <f>IF(EE67=0,0,IF(EF67=0,0,IF(EE67&gt;AA67,0,IF(AND(AZ67&gt;AW67,AW67&gt;0),0,IF(CU67=0,0,Summary!AC370)))))</f>
        <v>0</v>
      </c>
      <c r="CD67" s="756">
        <f>IF(EE67=0,0,IF(EF67=0,0,IF(EE67&gt;AA67,0,IF(AND(AZ67&gt;AW67,AW67&gt;0),0,IF(CU67=0,0,Summary!AD370)))))</f>
        <v>0</v>
      </c>
      <c r="CE67" s="756">
        <f>IF(EF67=0,0,IF(EE67&gt;AA67,0,IF(CC67=0,0,IF(AND(AZ67&gt;AW67,AW67&gt;0),0,IF(CU67=0,0,Summary!AE370)))))</f>
        <v>0</v>
      </c>
      <c r="CF67" s="475">
        <f t="shared" si="42"/>
        <v>0</v>
      </c>
      <c r="CG67" s="476">
        <f t="shared" si="6"/>
        <v>0</v>
      </c>
      <c r="CH67" s="487">
        <f t="shared" si="43"/>
        <v>0</v>
      </c>
      <c r="CI67" s="756">
        <f t="shared" si="44"/>
        <v>0</v>
      </c>
      <c r="CJ67" s="487">
        <f>IF(CT67&gt;0.4,0,IF(AND(AU67=2,CH67=0,CT67=0.5,ER67=100),35,IF(AND(AU67=3,BB67&gt;75,CH67=0,CT67=0.5,ER67=100),25,IF(CB67&gt;1,0,IF(EF67&gt;EE67,0,IF(AND(AF67&gt;1,CH67=100),0,IF(AND(AF67=1,AY67=0),0,IF(AND(EF67&lt;=EE67,AW67&gt;=AZ67,'Data Entry'!$C$74=1,AU67=2),VLOOKUP(W67,$DO$96:$DP$102,2,FALSE),IF(AND(EF67&lt;=EE67,AW67&gt;=AZ67,AU67=3,'Data Entry'!$C$74=1),VLOOKUP(W67,$DO$127:$DP$134,2,FALSE))))))))))</f>
        <v>0</v>
      </c>
      <c r="CK67" s="716">
        <f t="shared" si="45"/>
        <v>0</v>
      </c>
      <c r="CL67" s="57">
        <f t="shared" si="46"/>
        <v>0</v>
      </c>
      <c r="CM67" s="475">
        <f t="shared" si="77"/>
        <v>0</v>
      </c>
      <c r="CN67" s="660">
        <f>IF(CM67&lt;0.1,0,IF(ISNA(AT67),0,IF(CL67+BC67=1,0,IF(BV67&gt;0.01,0,IF(CL67&gt;0.01,0,IF(CF67=1,0,IF(BC67=0.5,0,IF(AND(CI67=1,AU67=3),0,IF(AND(CI67=5,CL67=0),0,IF(AND(R67=12,BR67=50),0,IF(CK67&gt;0.01,0,IF(AND(AJ67&gt;0.01,AU67=2,BC67=15),CM67*0.1,IF(AND(AJ67&gt;0.01,AU67=3,BC67=15),CM67*0.08,IF(AND(R67=12,BC67=3,AF67&lt;=0),0,IF(AND(BC67=15,BI67=0),0,IF(AND(BC67=15,BJ67=0),0,IF(AND(R67=20,CU67=0),0,IF($X$4=0,0,IF(AND(BC67=250,CL67=0),0,IF(AA67&lt;1,0,IF(AND(ISNUMBER(SEARCH("Area",T67)),AU67=3),0,IF(AND(AQ67&gt;0.01,AR67=0,BK67=0,BL67=0,BM67=0,BN67=0),0,IF(AND(AU67=3,CI67=7,CT67&gt;0.5),0,IF(AND(BC67=44,AU67=3,BY67=0),0,IF(AND(BC67=27,'Data Entry'!$C$74=2),0,IF(AND(BC67=28,'Data Entry'!$C$74=2),0,IF(AND(BY67+BZ67+CA67&gt;0.01,BV67=0,EQ67+ER67+ES67+ET67&lt;100),0,IF(AU67=3,CM67*0.08,IF(AU67=2,CM67*0.1,0)))))))))))))))))))))))))))))</f>
        <v>0</v>
      </c>
      <c r="CO67" s="660">
        <f t="shared" si="47"/>
        <v>0</v>
      </c>
      <c r="CP67" s="475" t="str">
        <f t="shared" si="48"/>
        <v/>
      </c>
      <c r="CQ67" s="161" t="str">
        <f>IF(AH67=0,0,IF(AU67=5,0,Summary!AC70))</f>
        <v/>
      </c>
      <c r="CR67" s="161" t="str">
        <f>IF(BF67=0.5,0,IF(AU67=5,0,Summary!AD70))</f>
        <v/>
      </c>
      <c r="CS67" s="161" t="str">
        <f>IF(AU67=5,0,Summary!AE70)</f>
        <v/>
      </c>
      <c r="CT67" s="161">
        <f t="shared" si="49"/>
        <v>0</v>
      </c>
      <c r="CU67" s="475" t="str">
        <f t="shared" si="7"/>
        <v/>
      </c>
      <c r="CV67" s="307">
        <f>IF('Data Entry'!$C$74=0,0,IF(AA67&lt;1,0,IF(ISERROR(CU67),0,IF(CF67=1,0,IF(AND(R67=12,BR67=50),0,IF(CL67+BO67+BV67+DC67=0,0,IF(BC67=37,0,IF(AND(BC67=40,AJ67=0),0,IF(AND(BC67=37,BO67&gt;0.01,BQ67&gt;0.01),ROUND(BQ67,0),IF(CM67&lt;0,0,ROUND(CM67,0)))))))))))</f>
        <v>0</v>
      </c>
      <c r="CW67" s="700">
        <f t="shared" si="50"/>
        <v>0</v>
      </c>
      <c r="CX67" s="477">
        <f>IF('Data Entry'!$C$74=0,0,IF(CV67&lt;0.01,0,IF(BF67=0.5,0,IF(CF67=1,0,IF(ISNUMBER(SEARCH("false",CL67)),0,IF(AZ67=500,0,CL67))))))</f>
        <v>0</v>
      </c>
      <c r="CY67" s="147" t="e">
        <f t="shared" si="51"/>
        <v>#VALUE!</v>
      </c>
      <c r="CZ67" s="147" t="b">
        <f>IF(CN67+CL67=0,FALSE,IF(AH67=0,0,IF(AND('Data Entry'!$C$74=1,CR67&gt;=1),TRUE,IF(AND('Data Entry'!$C$74=2,CS67&gt;=1),TRUE,FALSE))))</f>
        <v>0</v>
      </c>
      <c r="DA67" s="1751">
        <f>IF('Data Entry'!$C$74=0,0,IFERROR(ROUND(IF(T67="","",IF($X$4=0,0,IF(CF67=1,0,IF(BQ67+CV67=0,0,IF(CF67=1,0,IF(CY67&gt;0.01,CY67,IF(CL67&gt;0.01,CL67,IF(CY67&gt;0.01,CY67,IF(BC67=37,BO67,IF(CZ67=FALSE,0,IF(CZ67=TRUE,DC67+DF67,0))))))))))),2),""))</f>
        <v>0</v>
      </c>
      <c r="DB67" s="1752"/>
      <c r="DC67" s="474">
        <f>IF(CN67&lt;0.01,0,IF(AND(BR67=3,CN67&gt;0.01,CT67&gt;0.6,ER67+ES67+ET67&lt;100),0,IF(AND('Data Entry'!$C$74=1,CN67&gt;0.01,CR67&gt;0.99),MIN(CN67:CO67),IF(AND('Data Entry'!$C$74=2,CN67&gt;0.01,CS67&gt;0.99),MIN(CN67:CO67),0))))</f>
        <v>0</v>
      </c>
      <c r="DD67" s="478">
        <f>IF(CF67=1,"Selection does not match",IF(T67=0,0,IF(AND('Data Entry'!$C$74=0,CP67&gt;1),"Select Oregon or Idaho on Data Entry Tab",IF(AND(AU67=1,AA67&gt;0.9),"Missing Interior or Exterior Selection",IF($X$4=0,"Enter Total Project Cost",IF(AQ67&lt;AR67,"Insufficient kWh savings – no incentive",IF(AND(SUM(CL67+CK67+BV67)&gt;0.01,'Data Entry'!$C$74=2,CJ67&gt;1,BO67=0),"Submit Control as Non-Standard",IF(AND('Data Entry'!$C$74=2,BR67=37,CJ67&gt;1,BO67=0),"Submit Control as Non-Standard",IF(SUM(CL67+CK67+BV67)&gt;0.01,"Standard Incentive",IF(AND('Data Entry'!$C$74=2,CP67=7,CN67=0),"Submit as Non-Standard",IF(DC67&gt;0.9,"Non-Standard Incentive",IF(AND(BY67+BZ67+CA67&gt;0.01,BV67=0,EQ67=0,ER67=0,ES67=0,ET67=0),"Scroll Right &amp; Select Control Strategies",IF(AND(CN67&gt;0.01,CO67=0),"Enter Unit Installed Cost",IF(ISNUMBER(SEARCH("Lighting Controls Only",F67)),"Lighting Controls Only",IF(CL67+DC67=0,"Does not meet incentive criteria",0)))))))))))))))</f>
        <v>0</v>
      </c>
      <c r="DE67" s="337">
        <f t="shared" si="52"/>
        <v>0</v>
      </c>
      <c r="DF67" s="609">
        <f t="shared" si="53"/>
        <v>0</v>
      </c>
      <c r="DG67" s="336" t="str">
        <f t="shared" si="54"/>
        <v/>
      </c>
      <c r="DH67" s="338">
        <f t="shared" si="55"/>
        <v>1</v>
      </c>
      <c r="DI67" s="336" t="e">
        <f t="shared" si="8"/>
        <v>#VALUE!</v>
      </c>
      <c r="DJ67" s="338">
        <f t="shared" si="9"/>
        <v>0</v>
      </c>
      <c r="DK67" s="325" t="s">
        <v>163</v>
      </c>
      <c r="DL67" s="323">
        <v>240</v>
      </c>
      <c r="DM67" s="325" t="s">
        <v>510</v>
      </c>
      <c r="DN67" s="1439">
        <v>8</v>
      </c>
      <c r="DO67" s="1510" t="s">
        <v>1783</v>
      </c>
      <c r="DP67" s="1514"/>
      <c r="DQ67" s="1509"/>
      <c r="DR67" s="458"/>
      <c r="DS67" s="1195">
        <f t="shared" si="56"/>
        <v>0</v>
      </c>
      <c r="DT67" s="344" t="b">
        <f t="shared" si="57"/>
        <v>1</v>
      </c>
      <c r="DU67" s="1314" t="str">
        <f t="array" ref="DU67">IF(OR(COUNTIF(F67,"*"&amp;$DK$9:$DK$178&amp;"*")), "Yes", "")</f>
        <v/>
      </c>
      <c r="DV67" s="1314">
        <f t="shared" si="58"/>
        <v>0</v>
      </c>
      <c r="DW67" s="1480">
        <f t="shared" si="59"/>
        <v>0</v>
      </c>
      <c r="DX67" s="1498">
        <f t="shared" si="71"/>
        <v>0</v>
      </c>
      <c r="DY67" s="1484">
        <f t="shared" si="60"/>
        <v>0</v>
      </c>
      <c r="DZ67" s="356"/>
      <c r="EA67" s="353"/>
      <c r="EB67" s="1499" t="s">
        <v>159</v>
      </c>
      <c r="EC67" s="727" t="s">
        <v>1568</v>
      </c>
      <c r="ED67" s="728">
        <v>0.5</v>
      </c>
      <c r="EE67" s="1215"/>
      <c r="EF67" s="1215"/>
      <c r="EG67" s="1184" t="str">
        <f t="shared" si="61"/>
        <v/>
      </c>
      <c r="EH67" s="55"/>
      <c r="EI67" s="55"/>
      <c r="EJ67" s="1185">
        <f t="shared" si="10"/>
        <v>0</v>
      </c>
      <c r="EK67" s="1211"/>
      <c r="EL67" s="1180">
        <f t="shared" si="72"/>
        <v>0</v>
      </c>
      <c r="EM67" s="207"/>
      <c r="EN67" s="1038"/>
      <c r="EO67" s="1038"/>
      <c r="EP67" s="1038"/>
      <c r="EQ67" s="1038">
        <f t="shared" si="62"/>
        <v>0</v>
      </c>
      <c r="ER67" s="1041">
        <f t="shared" si="75"/>
        <v>0</v>
      </c>
      <c r="ES67" s="1042">
        <f t="shared" si="63"/>
        <v>0</v>
      </c>
      <c r="ET67" s="1042">
        <f t="shared" si="73"/>
        <v>0</v>
      </c>
      <c r="EU67" s="1021">
        <f t="shared" si="74"/>
        <v>0</v>
      </c>
      <c r="EV67" s="368"/>
      <c r="EW67" s="368"/>
      <c r="EX67" s="369"/>
      <c r="EY67" s="370"/>
      <c r="EZ67" s="370"/>
      <c r="FA67" s="371"/>
      <c r="FB67" s="372"/>
    </row>
    <row r="68" spans="1:158" ht="34.5" customHeight="1">
      <c r="A68" s="82">
        <v>60</v>
      </c>
      <c r="B68" s="1725"/>
      <c r="C68" s="1726"/>
      <c r="D68" s="1726"/>
      <c r="E68" s="1727"/>
      <c r="F68" s="1732"/>
      <c r="G68" s="1733"/>
      <c r="H68" s="1733"/>
      <c r="I68" s="1734"/>
      <c r="J68" s="1341"/>
      <c r="K68" s="1728"/>
      <c r="L68" s="1728"/>
      <c r="M68" s="1342"/>
      <c r="N68" s="1583"/>
      <c r="O68" s="208" t="str">
        <f t="shared" si="11"/>
        <v/>
      </c>
      <c r="P68" s="785"/>
      <c r="Q68" s="39" t="str">
        <f t="shared" si="0"/>
        <v/>
      </c>
      <c r="R68" s="39">
        <f t="shared" si="12"/>
        <v>0</v>
      </c>
      <c r="S68" s="234">
        <f t="shared" si="13"/>
        <v>0</v>
      </c>
      <c r="T68" s="1755"/>
      <c r="U68" s="1755"/>
      <c r="V68" s="1755"/>
      <c r="W68" s="1345"/>
      <c r="X68" s="1741"/>
      <c r="Y68" s="1742"/>
      <c r="Z68" s="1346"/>
      <c r="AA68" s="1343"/>
      <c r="AB68" s="1141"/>
      <c r="AC68" s="1103" t="str">
        <f>IF(T68="","",VLOOKUP(Z68,Lists!$A$60:$B$111,2,FALSE))</f>
        <v/>
      </c>
      <c r="AD68" s="130" t="str">
        <f t="shared" si="14"/>
        <v/>
      </c>
      <c r="AE68" s="130" t="e">
        <f t="shared" si="15"/>
        <v>#VALUE!</v>
      </c>
      <c r="AF68" s="130">
        <f t="shared" si="16"/>
        <v>1</v>
      </c>
      <c r="AG68" s="234">
        <f t="shared" si="1"/>
        <v>0</v>
      </c>
      <c r="AH68" s="1753" t="str">
        <f>IF(T68="","",(IF(ISNUMBER(SEARCH("exit",T68)),8760,IF(AND(M68="Dusk to Dawn",'Proposed Lighting'!AU68=3),4059,IF(AND(AU68=3,M68="1"),0,IF(AND(AU68=3,M68="1-C"),0,IF(AND(AU68=3,M68="2"),0,IF(AND(AU68=3,M68="2-C"),0,IF(AND(AU68=3,M68="3"),0,IF(AND(AU68=3,M68="3-C"),0,IF(AND(AU68=2,M68="Dusk to Dawn"),0,IF(AND(AU68=2,M68="Dusk to Dawn-C"),0,IF(AND(AU68=2,M68="Dusk to Dawn"),0,IF(AND(AU68=2,M68="E"),0,IF(AND(AU68=2,M68="E-C"),0,EG68)))))))))))))))</f>
        <v/>
      </c>
      <c r="AI68" s="1754"/>
      <c r="AJ68" s="1136"/>
      <c r="AK68" s="1136"/>
      <c r="AL68" s="1748">
        <f t="shared" si="64"/>
        <v>0</v>
      </c>
      <c r="AM68" s="1749"/>
      <c r="AN68" s="1750"/>
      <c r="AO68" s="476">
        <f t="shared" si="2"/>
        <v>0</v>
      </c>
      <c r="AP68" s="476">
        <f t="shared" si="17"/>
        <v>0</v>
      </c>
      <c r="AQ68" s="475">
        <f t="shared" si="3"/>
        <v>0</v>
      </c>
      <c r="AR68" s="475">
        <f t="shared" si="18"/>
        <v>0</v>
      </c>
      <c r="AS68" s="743" t="str">
        <f t="shared" si="79"/>
        <v/>
      </c>
      <c r="AT68" s="736" t="str">
        <f t="shared" si="20"/>
        <v/>
      </c>
      <c r="AU68" s="56">
        <f t="shared" si="21"/>
        <v>1</v>
      </c>
      <c r="AV68" s="476">
        <f t="shared" si="22"/>
        <v>0</v>
      </c>
      <c r="AW68" s="56">
        <f t="shared" si="23"/>
        <v>0</v>
      </c>
      <c r="AX68" s="475">
        <f t="shared" si="65"/>
        <v>0</v>
      </c>
      <c r="AY68" s="1169">
        <f t="shared" si="66"/>
        <v>0</v>
      </c>
      <c r="AZ68" s="1150">
        <f t="shared" si="67"/>
        <v>0</v>
      </c>
      <c r="BA68" s="56">
        <f t="shared" si="68"/>
        <v>0</v>
      </c>
      <c r="BB68" s="420">
        <f t="shared" si="4"/>
        <v>0</v>
      </c>
      <c r="BC68" s="58" t="str">
        <f t="shared" si="5"/>
        <v/>
      </c>
      <c r="BD68" s="660">
        <f t="shared" si="69"/>
        <v>0</v>
      </c>
      <c r="BE68" s="57" t="e">
        <f t="array" ref="BE68">INDEX($EB$11:$ED$1022,MATCH(F68&amp;T68,$EB$11:$EB$1007&amp;$EC$11:$EC$1007,0),3)</f>
        <v>#N/A</v>
      </c>
      <c r="BF68" s="463">
        <f t="shared" si="24"/>
        <v>0</v>
      </c>
      <c r="BG68" s="1445" t="e">
        <f t="array" ref="BG68">INDEX($DO$112:$DQ$123,MATCH(T68&amp;W68,$DO$114:$DO$125&amp;$DP$112:$DP$123,0),3)</f>
        <v>#N/A</v>
      </c>
      <c r="BH68" s="1446">
        <f t="shared" si="25"/>
        <v>0</v>
      </c>
      <c r="BI68" s="465">
        <f t="shared" si="26"/>
        <v>0</v>
      </c>
      <c r="BJ68" s="465">
        <f t="shared" si="27"/>
        <v>0</v>
      </c>
      <c r="BK68" s="466">
        <f t="shared" si="28"/>
        <v>0</v>
      </c>
      <c r="BL68" s="466">
        <f t="shared" si="29"/>
        <v>0</v>
      </c>
      <c r="BM68" s="466">
        <f t="shared" si="30"/>
        <v>0</v>
      </c>
      <c r="BN68" s="466">
        <f t="shared" si="31"/>
        <v>0</v>
      </c>
      <c r="BO68" s="463">
        <f>IF('Data Entry'!$C$74=0,0,IF(ISNA(CJ68),0,IF(AX68=0,0,IF(AND('Data Entry'!$C$74=2,AF68&gt;2,CE68&lt;1),0,IF(AND('Data Entry'!$C$74=2,AF68&gt;1,AU68=2,CJ68&gt;1),0,IF(AND(AF68=5,CT68=0.5,AU68=2,ER68&lt;100),0,IF(AND(AF68=5,CT68=0.5,AU68=3,ER68&lt;100),0,IF(AND('Data Entry'!$C$74=2,AF68=2,AU68=2,AK68&gt;0.01,CB68=2,CE68&lt;1),0,IF(AND('Data Entry'!$C$74=2,AF68=3,AU68=3,AK68&gt;0.01,CB68=3,CE68&lt;1),0,IF(AND('Data Entry'!$C$74=2,AF68=3,AU68=3,AK68&gt;0.01,CB68=3,CE68&gt;0.99),BQ68*0.08,IF(AND('Data Entry'!$C$74=2,AF68=2,AU68=2,AK68&gt;0.01,CB68=2,CE68&gt;0.99),BQ68*0.1,IF(AND(AU68=2,AK68&gt;0.01,CB68=2,CD68&gt;1),BQ68*0.1,IF(AND(AU68=3,AK68&gt;0.01,CB68=3,CD68&gt;1),BQ68*0.08,CJ68*EF68)))))))))))))</f>
        <v>0</v>
      </c>
      <c r="BP68" s="475">
        <f t="shared" si="32"/>
        <v>0</v>
      </c>
      <c r="BQ68" s="1431">
        <f>IF(AU68=1,0,IF(CH68=100,0,IF(AND(AF68=3,AU68=2),0,IF(AND(BH68=0,CT68&gt;0.4),0,IF(AND('Data Entry'!$C$74=2,AF68=1.5),0,IF(AND('Data Entry'!$C$74=2,AF68=1.6),0,IF(AND('Data Entry'!$C$74=2,AF68=4),0,IF(AND('Data Entry'!$C$74=2,AF68=5),0,IF(AND('Data Entry'!$C$74=2,AF68=2.5,CE68&lt;1),0,IF(AND('Data Entry'!$C$74=2,AF68=3,CE68&lt;1),0,IF(AND('Data Entry'!$C$74=1,AF68=2.5,CD68&lt;1),0,IF(AND('Data Entry'!$C$74=1,AF68=3,CD68&lt;1),0,IF(DX68&gt;0.01,DX68,IF(ISERROR(AX68-AY68),"",ROUND(AX68-AY68,2)))))))))))))))</f>
        <v>0</v>
      </c>
      <c r="BR68" s="146">
        <f t="shared" si="33"/>
        <v>0</v>
      </c>
      <c r="BS68" s="475">
        <f t="shared" si="34"/>
        <v>0</v>
      </c>
      <c r="BT68" s="146" t="b">
        <f t="shared" si="35"/>
        <v>0</v>
      </c>
      <c r="BU68" s="463">
        <f>IF(ISNA(AT68),0,IF(AND('Data Entry'!$C$74=2,BC68=27),0,IF(AND('Data Entry'!$C$74=2,BC68=28),0,IF(AND(BC68=27,BT68=27,CM68&gt;0.1),CM68*0.15,IF(AND(BC68=28,BT68=28,CM68&gt;0.1),CM68*0.12,0)))))</f>
        <v>0</v>
      </c>
      <c r="BV68" s="463">
        <f t="shared" si="78"/>
        <v>0</v>
      </c>
      <c r="BW68" s="463">
        <f t="shared" si="37"/>
        <v>0</v>
      </c>
      <c r="BX68" s="463">
        <f t="shared" si="38"/>
        <v>0</v>
      </c>
      <c r="BY68" s="463">
        <f t="shared" si="39"/>
        <v>0</v>
      </c>
      <c r="BZ68" s="463">
        <f t="shared" si="40"/>
        <v>0</v>
      </c>
      <c r="CA68" s="57">
        <f t="shared" si="70"/>
        <v>0</v>
      </c>
      <c r="CB68" s="56">
        <f t="shared" si="41"/>
        <v>1</v>
      </c>
      <c r="CC68" s="756">
        <f>IF(EE68=0,0,IF(EF68=0,0,IF(EE68&gt;AA68,0,IF(AND(AZ68&gt;AW68,AW68&gt;0),0,IF(CU68=0,0,Summary!AC371)))))</f>
        <v>0</v>
      </c>
      <c r="CD68" s="756">
        <f>IF(EE68=0,0,IF(EF68=0,0,IF(EE68&gt;AA68,0,IF(AND(AZ68&gt;AW68,AW68&gt;0),0,IF(CU68=0,0,Summary!AD371)))))</f>
        <v>0</v>
      </c>
      <c r="CE68" s="756">
        <f>IF(EF68=0,0,IF(EE68&gt;AA68,0,IF(CC68=0,0,IF(AND(AZ68&gt;AW68,AW68&gt;0),0,IF(CU68=0,0,Summary!AE371)))))</f>
        <v>0</v>
      </c>
      <c r="CF68" s="475">
        <f t="shared" si="42"/>
        <v>0</v>
      </c>
      <c r="CG68" s="476">
        <f t="shared" si="6"/>
        <v>0</v>
      </c>
      <c r="CH68" s="487">
        <f t="shared" si="43"/>
        <v>0</v>
      </c>
      <c r="CI68" s="756">
        <f t="shared" si="44"/>
        <v>0</v>
      </c>
      <c r="CJ68" s="487">
        <f>IF(CT68&gt;0.4,0,IF(AND(AU68=2,CH68=0,CT68=0.5,ER68=100),35,IF(AND(AU68=3,BB68&gt;75,CH68=0,CT68=0.5,ER68=100),25,IF(CB68&gt;1,0,IF(EF68&gt;EE68,0,IF(AND(AF68&gt;1,CH68=100),0,IF(AND(AF68=1,AY68=0),0,IF(AND(EF68&lt;=EE68,AW68&gt;=AZ68,'Data Entry'!$C$74=1,AU68=2),VLOOKUP(W68,$DO$96:$DP$102,2,FALSE),IF(AND(EF68&lt;=EE68,AW68&gt;=AZ68,AU68=3,'Data Entry'!$C$74=1),VLOOKUP(W68,$DO$127:$DP$134,2,FALSE))))))))))</f>
        <v>0</v>
      </c>
      <c r="CK68" s="716">
        <f t="shared" si="45"/>
        <v>0</v>
      </c>
      <c r="CL68" s="57">
        <f t="shared" si="46"/>
        <v>0</v>
      </c>
      <c r="CM68" s="475">
        <f t="shared" si="77"/>
        <v>0</v>
      </c>
      <c r="CN68" s="660">
        <f>IF(CM68&lt;0.1,0,IF(ISNA(AT68),0,IF(CL68+BC68=1,0,IF(BV68&gt;0.01,0,IF(CL68&gt;0.01,0,IF(CF68=1,0,IF(BC68=0.5,0,IF(AND(CI68=1,AU68=3),0,IF(AND(CI68=5,CL68=0),0,IF(AND(R68=12,BR68=50),0,IF(CK68&gt;0.01,0,IF(AND(AJ68&gt;0.01,AU68=2,BC68=15),CM68*0.1,IF(AND(AJ68&gt;0.01,AU68=3,BC68=15),CM68*0.08,IF(AND(R68=12,BC68=3,AF68&lt;=0),0,IF(AND(BC68=15,BI68=0),0,IF(AND(BC68=15,BJ68=0),0,IF(AND(R68=20,CU68=0),0,IF($X$4=0,0,IF(AND(BC68=250,CL68=0),0,IF(AA68&lt;1,0,IF(AND(ISNUMBER(SEARCH("Area",T68)),AU68=3),0,IF(AND(AQ68&gt;0.01,AR68=0,BK68=0,BL68=0,BM68=0,BN68=0),0,IF(AND(AU68=3,CI68=7,CT68&gt;0.5),0,IF(AND(BC68=44,AU68=3,BY68=0),0,IF(AND(BC68=27,'Data Entry'!$C$74=2),0,IF(AND(BC68=28,'Data Entry'!$C$74=2),0,IF(AND(BY68+BZ68+CA68&gt;0.01,BV68=0,EQ68+ER68+ES68+ET68&lt;100),0,IF(AU68=3,CM68*0.08,IF(AU68=2,CM68*0.1,0)))))))))))))))))))))))))))))</f>
        <v>0</v>
      </c>
      <c r="CO68" s="660">
        <f t="shared" si="47"/>
        <v>0</v>
      </c>
      <c r="CP68" s="475" t="str">
        <f t="shared" si="48"/>
        <v/>
      </c>
      <c r="CQ68" s="161" t="str">
        <f>IF(AH68=0,0,IF(AU68=5,0,Summary!AC71))</f>
        <v/>
      </c>
      <c r="CR68" s="161" t="str">
        <f>IF(BF68=0.5,0,IF(AU68=5,0,Summary!AD71))</f>
        <v/>
      </c>
      <c r="CS68" s="161" t="str">
        <f>IF(AU68=5,0,Summary!AE71)</f>
        <v/>
      </c>
      <c r="CT68" s="161">
        <f t="shared" si="49"/>
        <v>0</v>
      </c>
      <c r="CU68" s="475" t="str">
        <f t="shared" si="7"/>
        <v/>
      </c>
      <c r="CV68" s="307">
        <f>IF('Data Entry'!$C$74=0,0,IF(AA68&lt;1,0,IF(ISERROR(CU68),0,IF(CF68=1,0,IF(AND(R68=12,BR68=50),0,IF(CL68+BO68+BV68+DC68=0,0,IF(BC68=37,0,IF(AND(BC68=40,AJ68=0),0,IF(AND(BC68=37,BO68&gt;0.01,BQ68&gt;0.01),ROUND(BQ68,0),IF(CM68&lt;0,0,ROUND(CM68,0)))))))))))</f>
        <v>0</v>
      </c>
      <c r="CW68" s="700">
        <f t="shared" si="50"/>
        <v>0</v>
      </c>
      <c r="CX68" s="477">
        <f>IF('Data Entry'!$C$74=0,0,IF(CV68&lt;0.01,0,IF(BF68=0.5,0,IF(CF68=1,0,IF(ISNUMBER(SEARCH("false",CL68)),0,IF(AZ68=500,0,CL68))))))</f>
        <v>0</v>
      </c>
      <c r="CY68" s="147" t="e">
        <f t="shared" si="51"/>
        <v>#VALUE!</v>
      </c>
      <c r="CZ68" s="147" t="b">
        <f>IF(CN68+CL68=0,FALSE,IF(AH68=0,0,IF(AND('Data Entry'!$C$74=1,CR68&gt;=1),TRUE,IF(AND('Data Entry'!$C$74=2,CS68&gt;=1),TRUE,FALSE))))</f>
        <v>0</v>
      </c>
      <c r="DA68" s="1751">
        <f>IF('Data Entry'!$C$74=0,0,IFERROR(ROUND(IF(T68="","",IF($X$4=0,0,IF(CF68=1,0,IF(BQ68+CV68=0,0,IF(CF68=1,0,IF(CY68&gt;0.01,CY68,IF(CL68&gt;0.01,CL68,IF(CY68&gt;0.01,CY68,IF(BC68=37,BO68,IF(CZ68=FALSE,0,IF(CZ68=TRUE,DC68+DF68,0))))))))))),2),""))</f>
        <v>0</v>
      </c>
      <c r="DB68" s="1752"/>
      <c r="DC68" s="474">
        <f>IF(CN68&lt;0.01,0,IF(AND(BR68=3,CN68&gt;0.01,CT68&gt;0.6,ER68+ES68+ET68&lt;100),0,IF(AND('Data Entry'!$C$74=1,CN68&gt;0.01,CR68&gt;0.99),MIN(CN68:CO68),IF(AND('Data Entry'!$C$74=2,CN68&gt;0.01,CS68&gt;0.99),MIN(CN68:CO68),0))))</f>
        <v>0</v>
      </c>
      <c r="DD68" s="478">
        <f>IF(CF68=1,"Selection does not match",IF(T68=0,0,IF(AND('Data Entry'!$C$74=0,CP68&gt;1),"Select Oregon or Idaho on Data Entry Tab",IF(AND(AU68=1,AA68&gt;0.9),"Missing Interior or Exterior Selection",IF($X$4=0,"Enter Total Project Cost",IF(AQ68&lt;AR68,"Insufficient kWh savings – no incentive",IF(AND(SUM(CL68+CK68+BV68)&gt;0.01,'Data Entry'!$C$74=2,CJ68&gt;1,BO68=0),"Submit Control as Non-Standard",IF(AND('Data Entry'!$C$74=2,BR68=37,CJ68&gt;1,BO68=0),"Submit Control as Non-Standard",IF(SUM(CL68+CK68+BV68)&gt;0.01,"Standard Incentive",IF(AND('Data Entry'!$C$74=2,CP68=7,CN68=0),"Submit as Non-Standard",IF(DC68&gt;0.9,"Non-Standard Incentive",IF(AND(BY68+BZ68+CA68&gt;0.01,BV68=0,EQ68=0,ER68=0,ES68=0,ET68=0),"Scroll Right &amp; Select Control Strategies",IF(AND(CN68&gt;0.01,CO68=0),"Enter Unit Installed Cost",IF(ISNUMBER(SEARCH("Lighting Controls Only",F68)),"Lighting Controls Only",IF(CL68+DC68=0,"Does not meet incentive criteria",0)))))))))))))))</f>
        <v>0</v>
      </c>
      <c r="DE68" s="337">
        <f t="shared" si="52"/>
        <v>0</v>
      </c>
      <c r="DF68" s="609">
        <f t="shared" si="53"/>
        <v>0</v>
      </c>
      <c r="DG68" s="336" t="str">
        <f t="shared" si="54"/>
        <v/>
      </c>
      <c r="DH68" s="338">
        <f t="shared" si="55"/>
        <v>1</v>
      </c>
      <c r="DI68" s="336" t="e">
        <f t="shared" si="8"/>
        <v>#VALUE!</v>
      </c>
      <c r="DJ68" s="338">
        <f t="shared" si="9"/>
        <v>0</v>
      </c>
      <c r="DK68" s="325" t="s">
        <v>164</v>
      </c>
      <c r="DL68" s="323">
        <v>320</v>
      </c>
      <c r="DM68" s="325" t="s">
        <v>511</v>
      </c>
      <c r="DN68" s="1439">
        <v>16</v>
      </c>
      <c r="DO68" s="1515" t="s">
        <v>1864</v>
      </c>
      <c r="DP68" s="1518">
        <v>0</v>
      </c>
      <c r="DQ68" s="1509"/>
      <c r="DR68" s="458"/>
      <c r="DS68" s="1195">
        <f t="shared" si="56"/>
        <v>0</v>
      </c>
      <c r="DT68" s="344" t="b">
        <f t="shared" si="57"/>
        <v>1</v>
      </c>
      <c r="DU68" s="1314" t="str">
        <f t="array" ref="DU68">IF(OR(COUNTIF(F68,"*"&amp;$DK$9:$DK$178&amp;"*")), "Yes", "")</f>
        <v/>
      </c>
      <c r="DV68" s="1314">
        <f t="shared" si="58"/>
        <v>0</v>
      </c>
      <c r="DW68" s="1480">
        <f t="shared" si="59"/>
        <v>0</v>
      </c>
      <c r="DX68" s="1498">
        <f t="shared" si="71"/>
        <v>0</v>
      </c>
      <c r="DY68" s="1484">
        <f t="shared" si="60"/>
        <v>0</v>
      </c>
      <c r="DZ68" s="361"/>
      <c r="EA68" s="392"/>
      <c r="EB68" s="1499" t="s">
        <v>160</v>
      </c>
      <c r="EC68" s="727" t="s">
        <v>1568</v>
      </c>
      <c r="ED68" s="728">
        <v>0.5</v>
      </c>
      <c r="EE68" s="1215"/>
      <c r="EF68" s="1215"/>
      <c r="EG68" s="1184" t="str">
        <f t="shared" si="61"/>
        <v/>
      </c>
      <c r="EH68" s="55"/>
      <c r="EI68" s="55"/>
      <c r="EJ68" s="1185">
        <f t="shared" si="10"/>
        <v>0</v>
      </c>
      <c r="EK68" s="1211"/>
      <c r="EL68" s="1180">
        <f t="shared" si="72"/>
        <v>0</v>
      </c>
      <c r="EM68" s="207"/>
      <c r="EN68" s="1038"/>
      <c r="EO68" s="1038"/>
      <c r="EP68" s="1038"/>
      <c r="EQ68" s="1038">
        <f t="shared" si="62"/>
        <v>0</v>
      </c>
      <c r="ER68" s="1041">
        <f t="shared" si="75"/>
        <v>0</v>
      </c>
      <c r="ES68" s="1042">
        <f t="shared" si="63"/>
        <v>0</v>
      </c>
      <c r="ET68" s="1042">
        <f t="shared" si="73"/>
        <v>0</v>
      </c>
      <c r="EU68" s="1021">
        <f t="shared" si="74"/>
        <v>0</v>
      </c>
      <c r="EV68" s="368"/>
      <c r="EW68" s="368"/>
      <c r="EX68" s="369"/>
      <c r="EY68" s="370"/>
      <c r="EZ68" s="370"/>
      <c r="FA68" s="371"/>
      <c r="FB68" s="372"/>
    </row>
    <row r="69" spans="1:158" ht="34.5" customHeight="1">
      <c r="A69" s="82">
        <v>61</v>
      </c>
      <c r="B69" s="1725"/>
      <c r="C69" s="1726"/>
      <c r="D69" s="1726"/>
      <c r="E69" s="1727"/>
      <c r="F69" s="1732"/>
      <c r="G69" s="1733"/>
      <c r="H69" s="1733"/>
      <c r="I69" s="1734"/>
      <c r="J69" s="1341"/>
      <c r="K69" s="1728"/>
      <c r="L69" s="1728"/>
      <c r="M69" s="1342"/>
      <c r="N69" s="1583"/>
      <c r="O69" s="208" t="str">
        <f t="shared" si="11"/>
        <v/>
      </c>
      <c r="P69" s="785"/>
      <c r="Q69" s="39" t="str">
        <f t="shared" si="0"/>
        <v/>
      </c>
      <c r="R69" s="39">
        <f t="shared" si="12"/>
        <v>0</v>
      </c>
      <c r="S69" s="234">
        <f t="shared" si="13"/>
        <v>0</v>
      </c>
      <c r="T69" s="1755"/>
      <c r="U69" s="1755"/>
      <c r="V69" s="1755"/>
      <c r="W69" s="1345"/>
      <c r="X69" s="1741"/>
      <c r="Y69" s="1742"/>
      <c r="Z69" s="1346"/>
      <c r="AA69" s="1343"/>
      <c r="AB69" s="1141"/>
      <c r="AC69" s="1103" t="str">
        <f>IF(T69="","",VLOOKUP(Z69,Lists!$A$60:$B$111,2,FALSE))</f>
        <v/>
      </c>
      <c r="AD69" s="130" t="str">
        <f t="shared" si="14"/>
        <v/>
      </c>
      <c r="AE69" s="130" t="e">
        <f t="shared" si="15"/>
        <v>#VALUE!</v>
      </c>
      <c r="AF69" s="130">
        <f t="shared" si="16"/>
        <v>1</v>
      </c>
      <c r="AG69" s="234">
        <f t="shared" si="1"/>
        <v>0</v>
      </c>
      <c r="AH69" s="1753" t="str">
        <f>IF(T69="","",(IF(ISNUMBER(SEARCH("exit",T69)),8760,IF(AND(M69="Dusk to Dawn",'Proposed Lighting'!AU69=3),4059,IF(AND(AU69=3,M69="1"),0,IF(AND(AU69=3,M69="1-C"),0,IF(AND(AU69=3,M69="2"),0,IF(AND(AU69=3,M69="2-C"),0,IF(AND(AU69=3,M69="3"),0,IF(AND(AU69=3,M69="3-C"),0,IF(AND(AU69=2,M69="Dusk to Dawn"),0,IF(AND(AU69=2,M69="Dusk to Dawn-C"),0,IF(AND(AU69=2,M69="Dusk to Dawn"),0,IF(AND(AU69=2,M69="E"),0,IF(AND(AU69=2,M69="E-C"),0,EG69)))))))))))))))</f>
        <v/>
      </c>
      <c r="AI69" s="1754"/>
      <c r="AJ69" s="1136"/>
      <c r="AK69" s="1136"/>
      <c r="AL69" s="1748">
        <f t="shared" si="64"/>
        <v>0</v>
      </c>
      <c r="AM69" s="1749"/>
      <c r="AN69" s="1750"/>
      <c r="AO69" s="476">
        <f t="shared" si="2"/>
        <v>0</v>
      </c>
      <c r="AP69" s="476">
        <f t="shared" si="17"/>
        <v>0</v>
      </c>
      <c r="AQ69" s="475">
        <f t="shared" si="3"/>
        <v>0</v>
      </c>
      <c r="AR69" s="475">
        <f t="shared" si="18"/>
        <v>0</v>
      </c>
      <c r="AS69" s="743" t="str">
        <f t="shared" si="79"/>
        <v/>
      </c>
      <c r="AT69" s="736" t="str">
        <f t="shared" si="20"/>
        <v/>
      </c>
      <c r="AU69" s="56">
        <f t="shared" si="21"/>
        <v>1</v>
      </c>
      <c r="AV69" s="476">
        <f t="shared" si="22"/>
        <v>0</v>
      </c>
      <c r="AW69" s="56">
        <f t="shared" si="23"/>
        <v>0</v>
      </c>
      <c r="AX69" s="475">
        <f t="shared" si="65"/>
        <v>0</v>
      </c>
      <c r="AY69" s="1169">
        <f t="shared" si="66"/>
        <v>0</v>
      </c>
      <c r="AZ69" s="1150">
        <f t="shared" si="67"/>
        <v>0</v>
      </c>
      <c r="BA69" s="56">
        <f t="shared" si="68"/>
        <v>0</v>
      </c>
      <c r="BB69" s="420">
        <f t="shared" si="4"/>
        <v>0</v>
      </c>
      <c r="BC69" s="58" t="str">
        <f t="shared" si="5"/>
        <v/>
      </c>
      <c r="BD69" s="660">
        <f t="shared" si="69"/>
        <v>0</v>
      </c>
      <c r="BE69" s="57" t="e">
        <f t="array" ref="BE69">INDEX($EB$11:$ED$1022,MATCH(F69&amp;T69,$EB$11:$EB$1007&amp;$EC$11:$EC$1007,0),3)</f>
        <v>#N/A</v>
      </c>
      <c r="BF69" s="463">
        <f t="shared" si="24"/>
        <v>0</v>
      </c>
      <c r="BG69" s="1445" t="e">
        <f t="array" ref="BG69">INDEX($DO$112:$DQ$123,MATCH(T69&amp;W69,$DO$114:$DO$125&amp;$DP$112:$DP$123,0),3)</f>
        <v>#N/A</v>
      </c>
      <c r="BH69" s="1446">
        <f t="shared" si="25"/>
        <v>0</v>
      </c>
      <c r="BI69" s="465">
        <f t="shared" si="26"/>
        <v>0</v>
      </c>
      <c r="BJ69" s="465">
        <f t="shared" si="27"/>
        <v>0</v>
      </c>
      <c r="BK69" s="466">
        <f t="shared" si="28"/>
        <v>0</v>
      </c>
      <c r="BL69" s="466">
        <f t="shared" si="29"/>
        <v>0</v>
      </c>
      <c r="BM69" s="466">
        <f t="shared" si="30"/>
        <v>0</v>
      </c>
      <c r="BN69" s="466">
        <f t="shared" si="31"/>
        <v>0</v>
      </c>
      <c r="BO69" s="463">
        <f>IF('Data Entry'!$C$74=0,0,IF(ISNA(CJ69),0,IF(AX69=0,0,IF(AND('Data Entry'!$C$74=2,AF69&gt;2,CE69&lt;1),0,IF(AND('Data Entry'!$C$74=2,AF69&gt;1,AU69=2,CJ69&gt;1),0,IF(AND(AF69=5,CT69=0.5,AU69=2,ER69&lt;100),0,IF(AND(AF69=5,CT69=0.5,AU69=3,ER69&lt;100),0,IF(AND('Data Entry'!$C$74=2,AF69=2,AU69=2,AK69&gt;0.01,CB69=2,CE69&lt;1),0,IF(AND('Data Entry'!$C$74=2,AF69=3,AU69=3,AK69&gt;0.01,CB69=3,CE69&lt;1),0,IF(AND('Data Entry'!$C$74=2,AF69=3,AU69=3,AK69&gt;0.01,CB69=3,CE69&gt;0.99),BQ69*0.08,IF(AND('Data Entry'!$C$74=2,AF69=2,AU69=2,AK69&gt;0.01,CB69=2,CE69&gt;0.99),BQ69*0.1,IF(AND(AU69=2,AK69&gt;0.01,CB69=2,CD69&gt;1),BQ69*0.1,IF(AND(AU69=3,AK69&gt;0.01,CB69=3,CD69&gt;1),BQ69*0.08,CJ69*EF69)))))))))))))</f>
        <v>0</v>
      </c>
      <c r="BP69" s="475">
        <f t="shared" si="32"/>
        <v>0</v>
      </c>
      <c r="BQ69" s="1431">
        <f>IF(AU69=1,0,IF(CH69=100,0,IF(AND(AF69=3,AU69=2),0,IF(AND(BH69=0,CT69&gt;0.4),0,IF(AND('Data Entry'!$C$74=2,AF69=1.5),0,IF(AND('Data Entry'!$C$74=2,AF69=1.6),0,IF(AND('Data Entry'!$C$74=2,AF69=4),0,IF(AND('Data Entry'!$C$74=2,AF69=5),0,IF(AND('Data Entry'!$C$74=2,AF69=2.5,CE69&lt;1),0,IF(AND('Data Entry'!$C$74=2,AF69=3,CE69&lt;1),0,IF(AND('Data Entry'!$C$74=1,AF69=2.5,CD69&lt;1),0,IF(AND('Data Entry'!$C$74=1,AF69=3,CD69&lt;1),0,IF(DX69&gt;0.01,DX69,IF(ISERROR(AX69-AY69),"",ROUND(AX69-AY69,2)))))))))))))))</f>
        <v>0</v>
      </c>
      <c r="BR69" s="146">
        <f t="shared" si="33"/>
        <v>0</v>
      </c>
      <c r="BS69" s="475">
        <f t="shared" si="34"/>
        <v>0</v>
      </c>
      <c r="BT69" s="146" t="b">
        <f t="shared" si="35"/>
        <v>0</v>
      </c>
      <c r="BU69" s="463">
        <f>IF(ISNA(AT69),0,IF(AND('Data Entry'!$C$74=2,BC69=27),0,IF(AND('Data Entry'!$C$74=2,BC69=28),0,IF(AND(BC69=27,BT69=27,CM69&gt;0.1),CM69*0.15,IF(AND(BC69=28,BT69=28,CM69&gt;0.1),CM69*0.12,0)))))</f>
        <v>0</v>
      </c>
      <c r="BV69" s="463">
        <f t="shared" si="78"/>
        <v>0</v>
      </c>
      <c r="BW69" s="463">
        <f t="shared" si="37"/>
        <v>0</v>
      </c>
      <c r="BX69" s="463">
        <f t="shared" si="38"/>
        <v>0</v>
      </c>
      <c r="BY69" s="463">
        <f t="shared" si="39"/>
        <v>0</v>
      </c>
      <c r="BZ69" s="463">
        <f t="shared" si="40"/>
        <v>0</v>
      </c>
      <c r="CA69" s="57">
        <f t="shared" si="70"/>
        <v>0</v>
      </c>
      <c r="CB69" s="56">
        <f t="shared" si="41"/>
        <v>1</v>
      </c>
      <c r="CC69" s="756">
        <f>IF(EE69=0,0,IF(EF69=0,0,IF(EE69&gt;AA69,0,IF(AND(AZ69&gt;AW69,AW69&gt;0),0,IF(CU69=0,0,Summary!AC372)))))</f>
        <v>0</v>
      </c>
      <c r="CD69" s="756">
        <f>IF(EE69=0,0,IF(EF69=0,0,IF(EE69&gt;AA69,0,IF(AND(AZ69&gt;AW69,AW69&gt;0),0,IF(CU69=0,0,Summary!AD372)))))</f>
        <v>0</v>
      </c>
      <c r="CE69" s="756">
        <f>IF(EF69=0,0,IF(EE69&gt;AA69,0,IF(CC69=0,0,IF(AND(AZ69&gt;AW69,AW69&gt;0),0,IF(CU69=0,0,Summary!AE372)))))</f>
        <v>0</v>
      </c>
      <c r="CF69" s="475">
        <f t="shared" si="42"/>
        <v>0</v>
      </c>
      <c r="CG69" s="476">
        <f t="shared" si="6"/>
        <v>0</v>
      </c>
      <c r="CH69" s="487">
        <f t="shared" si="43"/>
        <v>0</v>
      </c>
      <c r="CI69" s="756">
        <f t="shared" si="44"/>
        <v>0</v>
      </c>
      <c r="CJ69" s="487">
        <f>IF(CT69&gt;0.4,0,IF(AND(AU69=2,CH69=0,CT69=0.5,ER69=100),35,IF(AND(AU69=3,BB69&gt;75,CH69=0,CT69=0.5,ER69=100),25,IF(CB69&gt;1,0,IF(EF69&gt;EE69,0,IF(AND(AF69&gt;1,CH69=100),0,IF(AND(AF69=1,AY69=0),0,IF(AND(EF69&lt;=EE69,AW69&gt;=AZ69,'Data Entry'!$C$74=1,AU69=2),VLOOKUP(W69,$DO$96:$DP$102,2,FALSE),IF(AND(EF69&lt;=EE69,AW69&gt;=AZ69,AU69=3,'Data Entry'!$C$74=1),VLOOKUP(W69,$DO$127:$DP$134,2,FALSE))))))))))</f>
        <v>0</v>
      </c>
      <c r="CK69" s="716">
        <f t="shared" si="45"/>
        <v>0</v>
      </c>
      <c r="CL69" s="57">
        <f t="shared" si="46"/>
        <v>0</v>
      </c>
      <c r="CM69" s="475">
        <f t="shared" si="77"/>
        <v>0</v>
      </c>
      <c r="CN69" s="660">
        <f>IF(CM69&lt;0.1,0,IF(ISNA(AT69),0,IF(CL69+BC69=1,0,IF(BV69&gt;0.01,0,IF(CL69&gt;0.01,0,IF(CF69=1,0,IF(BC69=0.5,0,IF(AND(CI69=1,AU69=3),0,IF(AND(CI69=5,CL69=0),0,IF(AND(R69=12,BR69=50),0,IF(CK69&gt;0.01,0,IF(AND(AJ69&gt;0.01,AU69=2,BC69=15),CM69*0.1,IF(AND(AJ69&gt;0.01,AU69=3,BC69=15),CM69*0.08,IF(AND(R69=12,BC69=3,AF69&lt;=0),0,IF(AND(BC69=15,BI69=0),0,IF(AND(BC69=15,BJ69=0),0,IF(AND(R69=20,CU69=0),0,IF($X$4=0,0,IF(AND(BC69=250,CL69=0),0,IF(AA69&lt;1,0,IF(AND(ISNUMBER(SEARCH("Area",T69)),AU69=3),0,IF(AND(AQ69&gt;0.01,AR69=0,BK69=0,BL69=0,BM69=0,BN69=0),0,IF(AND(AU69=3,CI69=7,CT69&gt;0.5),0,IF(AND(BC69=44,AU69=3,BY69=0),0,IF(AND(BC69=27,'Data Entry'!$C$74=2),0,IF(AND(BC69=28,'Data Entry'!$C$74=2),0,IF(AND(BY69+BZ69+CA69&gt;0.01,BV69=0,EQ69+ER69+ES69+ET69&lt;100),0,IF(AU69=3,CM69*0.08,IF(AU69=2,CM69*0.1,0)))))))))))))))))))))))))))))</f>
        <v>0</v>
      </c>
      <c r="CO69" s="660">
        <f t="shared" si="47"/>
        <v>0</v>
      </c>
      <c r="CP69" s="475" t="str">
        <f t="shared" si="48"/>
        <v/>
      </c>
      <c r="CQ69" s="161" t="str">
        <f>IF(AH69=0,0,IF(AU69=5,0,Summary!AC72))</f>
        <v/>
      </c>
      <c r="CR69" s="161" t="str">
        <f>IF(BF69=0.5,0,IF(AU69=5,0,Summary!AD72))</f>
        <v/>
      </c>
      <c r="CS69" s="161" t="str">
        <f>IF(AU69=5,0,Summary!AE72)</f>
        <v/>
      </c>
      <c r="CT69" s="161">
        <f t="shared" si="49"/>
        <v>0</v>
      </c>
      <c r="CU69" s="475" t="str">
        <f t="shared" si="7"/>
        <v/>
      </c>
      <c r="CV69" s="307">
        <f>IF('Data Entry'!$C$74=0,0,IF(AA69&lt;1,0,IF(ISERROR(CU69),0,IF(CF69=1,0,IF(AND(R69=12,BR69=50),0,IF(CL69+BO69+BV69+DC69=0,0,IF(BC69=37,0,IF(AND(BC69=40,AJ69=0),0,IF(AND(BC69=37,BO69&gt;0.01,BQ69&gt;0.01),ROUND(BQ69,0),IF(CM69&lt;0,0,ROUND(CM69,0)))))))))))</f>
        <v>0</v>
      </c>
      <c r="CW69" s="700">
        <f t="shared" si="50"/>
        <v>0</v>
      </c>
      <c r="CX69" s="477">
        <f>IF('Data Entry'!$C$74=0,0,IF(CV69&lt;0.01,0,IF(BF69=0.5,0,IF(CF69=1,0,IF(ISNUMBER(SEARCH("false",CL69)),0,IF(AZ69=500,0,CL69))))))</f>
        <v>0</v>
      </c>
      <c r="CY69" s="147" t="e">
        <f t="shared" si="51"/>
        <v>#VALUE!</v>
      </c>
      <c r="CZ69" s="147" t="b">
        <f>IF(CN69+CL69=0,FALSE,IF(AH69=0,0,IF(AND('Data Entry'!$C$74=1,CR69&gt;=1),TRUE,IF(AND('Data Entry'!$C$74=2,CS69&gt;=1),TRUE,FALSE))))</f>
        <v>0</v>
      </c>
      <c r="DA69" s="1751">
        <f>IF('Data Entry'!$C$74=0,0,IFERROR(ROUND(IF(T69="","",IF($X$4=0,0,IF(CF69=1,0,IF(BQ69+CV69=0,0,IF(CF69=1,0,IF(CY69&gt;0.01,CY69,IF(CL69&gt;0.01,CL69,IF(CY69&gt;0.01,CY69,IF(BC69=37,BO69,IF(CZ69=FALSE,0,IF(CZ69=TRUE,DC69+DF69,0))))))))))),2),""))</f>
        <v>0</v>
      </c>
      <c r="DB69" s="1752"/>
      <c r="DC69" s="474">
        <f>IF(CN69&lt;0.01,0,IF(AND(BR69=3,CN69&gt;0.01,CT69&gt;0.6,ER69+ES69+ET69&lt;100),0,IF(AND('Data Entry'!$C$74=1,CN69&gt;0.01,CR69&gt;0.99),MIN(CN69:CO69),IF(AND('Data Entry'!$C$74=2,CN69&gt;0.01,CS69&gt;0.99),MIN(CN69:CO69),0))))</f>
        <v>0</v>
      </c>
      <c r="DD69" s="478">
        <f>IF(CF69=1,"Selection does not match",IF(T69=0,0,IF(AND('Data Entry'!$C$74=0,CP69&gt;1),"Select Oregon or Idaho on Data Entry Tab",IF(AND(AU69=1,AA69&gt;0.9),"Missing Interior or Exterior Selection",IF($X$4=0,"Enter Total Project Cost",IF(AQ69&lt;AR69,"Insufficient kWh savings – no incentive",IF(AND(SUM(CL69+CK69+BV69)&gt;0.01,'Data Entry'!$C$74=2,CJ69&gt;1,BO69=0),"Submit Control as Non-Standard",IF(AND('Data Entry'!$C$74=2,BR69=37,CJ69&gt;1,BO69=0),"Submit Control as Non-Standard",IF(SUM(CL69+CK69+BV69)&gt;0.01,"Standard Incentive",IF(AND('Data Entry'!$C$74=2,CP69=7,CN69=0),"Submit as Non-Standard",IF(DC69&gt;0.9,"Non-Standard Incentive",IF(AND(BY69+BZ69+CA69&gt;0.01,BV69=0,EQ69=0,ER69=0,ES69=0,ET69=0),"Scroll Right &amp; Select Control Strategies",IF(AND(CN69&gt;0.01,CO69=0),"Enter Unit Installed Cost",IF(ISNUMBER(SEARCH("Lighting Controls Only",F69)),"Lighting Controls Only",IF(CL69+DC69=0,"Does not meet incentive criteria",0)))))))))))))))</f>
        <v>0</v>
      </c>
      <c r="DE69" s="337">
        <f t="shared" si="52"/>
        <v>0</v>
      </c>
      <c r="DF69" s="609">
        <f t="shared" si="53"/>
        <v>0</v>
      </c>
      <c r="DG69" s="336" t="str">
        <f t="shared" si="54"/>
        <v/>
      </c>
      <c r="DH69" s="338">
        <f t="shared" si="55"/>
        <v>1</v>
      </c>
      <c r="DI69" s="336" t="e">
        <f t="shared" si="8"/>
        <v>#VALUE!</v>
      </c>
      <c r="DJ69" s="338">
        <f t="shared" si="9"/>
        <v>0</v>
      </c>
      <c r="DK69" s="325" t="s">
        <v>73</v>
      </c>
      <c r="DL69" s="323" t="s">
        <v>450</v>
      </c>
      <c r="DM69" s="325" t="s">
        <v>512</v>
      </c>
      <c r="DN69" s="1439">
        <v>24</v>
      </c>
      <c r="DO69" s="1513" t="s">
        <v>1572</v>
      </c>
      <c r="DP69" s="1540">
        <v>0.75</v>
      </c>
      <c r="DQ69" s="1509"/>
      <c r="DR69" s="458"/>
      <c r="DS69" s="1195">
        <f t="shared" si="56"/>
        <v>0</v>
      </c>
      <c r="DT69" s="344" t="b">
        <f t="shared" si="57"/>
        <v>1</v>
      </c>
      <c r="DU69" s="1314" t="str">
        <f t="array" ref="DU69">IF(OR(COUNTIF(F69,"*"&amp;$DK$9:$DK$178&amp;"*")), "Yes", "")</f>
        <v/>
      </c>
      <c r="DV69" s="1314">
        <f t="shared" si="58"/>
        <v>0</v>
      </c>
      <c r="DW69" s="1480">
        <f t="shared" si="59"/>
        <v>0</v>
      </c>
      <c r="DX69" s="1498">
        <f t="shared" si="71"/>
        <v>0</v>
      </c>
      <c r="DY69" s="1484">
        <f t="shared" si="60"/>
        <v>0</v>
      </c>
      <c r="DZ69" s="331"/>
      <c r="EA69" s="392"/>
      <c r="EB69" s="1499" t="s">
        <v>161</v>
      </c>
      <c r="EC69" s="727" t="s">
        <v>1568</v>
      </c>
      <c r="ED69" s="728">
        <v>0.5</v>
      </c>
      <c r="EE69" s="1215"/>
      <c r="EF69" s="1215"/>
      <c r="EG69" s="1184" t="str">
        <f t="shared" si="61"/>
        <v/>
      </c>
      <c r="EH69" s="55"/>
      <c r="EI69" s="55"/>
      <c r="EJ69" s="1185">
        <f t="shared" si="10"/>
        <v>0</v>
      </c>
      <c r="EK69" s="1211"/>
      <c r="EL69" s="1180">
        <f t="shared" si="72"/>
        <v>0</v>
      </c>
      <c r="EM69" s="207"/>
      <c r="EN69" s="1038"/>
      <c r="EO69" s="1038"/>
      <c r="EP69" s="1038"/>
      <c r="EQ69" s="1038">
        <f t="shared" si="62"/>
        <v>0</v>
      </c>
      <c r="ER69" s="1041">
        <f t="shared" si="75"/>
        <v>0</v>
      </c>
      <c r="ES69" s="1042">
        <f t="shared" si="63"/>
        <v>0</v>
      </c>
      <c r="ET69" s="1042">
        <f t="shared" si="73"/>
        <v>0</v>
      </c>
      <c r="EU69" s="1021">
        <f t="shared" si="74"/>
        <v>0</v>
      </c>
      <c r="EV69" s="368"/>
      <c r="EW69" s="368"/>
      <c r="EX69" s="369"/>
      <c r="EY69" s="370"/>
      <c r="EZ69" s="370"/>
      <c r="FA69" s="371"/>
      <c r="FB69" s="372"/>
    </row>
    <row r="70" spans="1:158" ht="34.5" customHeight="1">
      <c r="A70" s="82">
        <v>62</v>
      </c>
      <c r="B70" s="1725"/>
      <c r="C70" s="1726"/>
      <c r="D70" s="1726"/>
      <c r="E70" s="1727"/>
      <c r="F70" s="1732"/>
      <c r="G70" s="1733"/>
      <c r="H70" s="1733"/>
      <c r="I70" s="1734"/>
      <c r="J70" s="1341"/>
      <c r="K70" s="1728"/>
      <c r="L70" s="1728"/>
      <c r="M70" s="1342"/>
      <c r="N70" s="1583"/>
      <c r="O70" s="208" t="str">
        <f t="shared" si="11"/>
        <v/>
      </c>
      <c r="P70" s="785"/>
      <c r="Q70" s="39" t="str">
        <f t="shared" si="0"/>
        <v/>
      </c>
      <c r="R70" s="39">
        <f t="shared" si="12"/>
        <v>0</v>
      </c>
      <c r="S70" s="234">
        <f t="shared" si="13"/>
        <v>0</v>
      </c>
      <c r="T70" s="1755"/>
      <c r="U70" s="1755"/>
      <c r="V70" s="1755"/>
      <c r="W70" s="1345"/>
      <c r="X70" s="1741"/>
      <c r="Y70" s="1742"/>
      <c r="Z70" s="1346"/>
      <c r="AA70" s="1343"/>
      <c r="AB70" s="1141"/>
      <c r="AC70" s="1103" t="str">
        <f>IF(T70="","",VLOOKUP(Z70,Lists!$A$60:$B$111,2,FALSE))</f>
        <v/>
      </c>
      <c r="AD70" s="130" t="str">
        <f t="shared" si="14"/>
        <v/>
      </c>
      <c r="AE70" s="130" t="e">
        <f t="shared" si="15"/>
        <v>#VALUE!</v>
      </c>
      <c r="AF70" s="130">
        <f t="shared" si="16"/>
        <v>1</v>
      </c>
      <c r="AG70" s="234">
        <f t="shared" si="1"/>
        <v>0</v>
      </c>
      <c r="AH70" s="1753" t="str">
        <f>IF(T70="","",(IF(ISNUMBER(SEARCH("exit",T70)),8760,IF(AND(M70="Dusk to Dawn",'Proposed Lighting'!AU70=3),4059,IF(AND(AU70=3,M70="1"),0,IF(AND(AU70=3,M70="1-C"),0,IF(AND(AU70=3,M70="2"),0,IF(AND(AU70=3,M70="2-C"),0,IF(AND(AU70=3,M70="3"),0,IF(AND(AU70=3,M70="3-C"),0,IF(AND(AU70=2,M70="Dusk to Dawn"),0,IF(AND(AU70=2,M70="Dusk to Dawn-C"),0,IF(AND(AU70=2,M70="Dusk to Dawn"),0,IF(AND(AU70=2,M70="E"),0,IF(AND(AU70=2,M70="E-C"),0,EG70)))))))))))))))</f>
        <v/>
      </c>
      <c r="AI70" s="1754"/>
      <c r="AJ70" s="1136"/>
      <c r="AK70" s="1136"/>
      <c r="AL70" s="1748">
        <f t="shared" si="64"/>
        <v>0</v>
      </c>
      <c r="AM70" s="1749"/>
      <c r="AN70" s="1750"/>
      <c r="AO70" s="476">
        <f t="shared" si="2"/>
        <v>0</v>
      </c>
      <c r="AP70" s="476">
        <f t="shared" si="17"/>
        <v>0</v>
      </c>
      <c r="AQ70" s="475">
        <f t="shared" si="3"/>
        <v>0</v>
      </c>
      <c r="AR70" s="475">
        <f t="shared" si="18"/>
        <v>0</v>
      </c>
      <c r="AS70" s="743" t="str">
        <f t="shared" si="79"/>
        <v/>
      </c>
      <c r="AT70" s="736" t="str">
        <f t="shared" si="20"/>
        <v/>
      </c>
      <c r="AU70" s="56">
        <f t="shared" si="21"/>
        <v>1</v>
      </c>
      <c r="AV70" s="476">
        <f t="shared" si="22"/>
        <v>0</v>
      </c>
      <c r="AW70" s="56">
        <f t="shared" si="23"/>
        <v>0</v>
      </c>
      <c r="AX70" s="475">
        <f t="shared" si="65"/>
        <v>0</v>
      </c>
      <c r="AY70" s="1169">
        <f t="shared" si="66"/>
        <v>0</v>
      </c>
      <c r="AZ70" s="1150">
        <f t="shared" si="67"/>
        <v>0</v>
      </c>
      <c r="BA70" s="56">
        <f t="shared" si="68"/>
        <v>0</v>
      </c>
      <c r="BB70" s="420">
        <f t="shared" si="4"/>
        <v>0</v>
      </c>
      <c r="BC70" s="58" t="str">
        <f t="shared" si="5"/>
        <v/>
      </c>
      <c r="BD70" s="660">
        <f t="shared" si="69"/>
        <v>0</v>
      </c>
      <c r="BE70" s="57" t="e">
        <f t="array" ref="BE70">INDEX($EB$11:$ED$1022,MATCH(F70&amp;T70,$EB$11:$EB$1007&amp;$EC$11:$EC$1007,0),3)</f>
        <v>#N/A</v>
      </c>
      <c r="BF70" s="463">
        <f t="shared" si="24"/>
        <v>0</v>
      </c>
      <c r="BG70" s="1445" t="e">
        <f t="array" ref="BG70">INDEX($DO$112:$DQ$123,MATCH(T70&amp;W70,$DO$114:$DO$125&amp;$DP$112:$DP$123,0),3)</f>
        <v>#N/A</v>
      </c>
      <c r="BH70" s="1446">
        <f t="shared" si="25"/>
        <v>0</v>
      </c>
      <c r="BI70" s="465">
        <f t="shared" si="26"/>
        <v>0</v>
      </c>
      <c r="BJ70" s="465">
        <f t="shared" si="27"/>
        <v>0</v>
      </c>
      <c r="BK70" s="466">
        <f t="shared" si="28"/>
        <v>0</v>
      </c>
      <c r="BL70" s="466">
        <f t="shared" si="29"/>
        <v>0</v>
      </c>
      <c r="BM70" s="466">
        <f t="shared" si="30"/>
        <v>0</v>
      </c>
      <c r="BN70" s="466">
        <f t="shared" si="31"/>
        <v>0</v>
      </c>
      <c r="BO70" s="463">
        <f>IF('Data Entry'!$C$74=0,0,IF(ISNA(CJ70),0,IF(AX70=0,0,IF(AND('Data Entry'!$C$74=2,AF70&gt;2,CE70&lt;1),0,IF(AND('Data Entry'!$C$74=2,AF70&gt;1,AU70=2,CJ70&gt;1),0,IF(AND(AF70=5,CT70=0.5,AU70=2,ER70&lt;100),0,IF(AND(AF70=5,CT70=0.5,AU70=3,ER70&lt;100),0,IF(AND('Data Entry'!$C$74=2,AF70=2,AU70=2,AK70&gt;0.01,CB70=2,CE70&lt;1),0,IF(AND('Data Entry'!$C$74=2,AF70=3,AU70=3,AK70&gt;0.01,CB70=3,CE70&lt;1),0,IF(AND('Data Entry'!$C$74=2,AF70=3,AU70=3,AK70&gt;0.01,CB70=3,CE70&gt;0.99),BQ70*0.08,IF(AND('Data Entry'!$C$74=2,AF70=2,AU70=2,AK70&gt;0.01,CB70=2,CE70&gt;0.99),BQ70*0.1,IF(AND(AU70=2,AK70&gt;0.01,CB70=2,CD70&gt;1),BQ70*0.1,IF(AND(AU70=3,AK70&gt;0.01,CB70=3,CD70&gt;1),BQ70*0.08,CJ70*EF70)))))))))))))</f>
        <v>0</v>
      </c>
      <c r="BP70" s="475">
        <f t="shared" si="32"/>
        <v>0</v>
      </c>
      <c r="BQ70" s="1431">
        <f>IF(AU70=1,0,IF(CH70=100,0,IF(AND(AF70=3,AU70=2),0,IF(AND(BH70=0,CT70&gt;0.4),0,IF(AND('Data Entry'!$C$74=2,AF70=1.5),0,IF(AND('Data Entry'!$C$74=2,AF70=1.6),0,IF(AND('Data Entry'!$C$74=2,AF70=4),0,IF(AND('Data Entry'!$C$74=2,AF70=5),0,IF(AND('Data Entry'!$C$74=2,AF70=2.5,CE70&lt;1),0,IF(AND('Data Entry'!$C$74=2,AF70=3,CE70&lt;1),0,IF(AND('Data Entry'!$C$74=1,AF70=2.5,CD70&lt;1),0,IF(AND('Data Entry'!$C$74=1,AF70=3,CD70&lt;1),0,IF(DX70&gt;0.01,DX70,IF(ISERROR(AX70-AY70),"",ROUND(AX70-AY70,2)))))))))))))))</f>
        <v>0</v>
      </c>
      <c r="BR70" s="146">
        <f t="shared" si="33"/>
        <v>0</v>
      </c>
      <c r="BS70" s="475">
        <f t="shared" si="34"/>
        <v>0</v>
      </c>
      <c r="BT70" s="146" t="b">
        <f t="shared" si="35"/>
        <v>0</v>
      </c>
      <c r="BU70" s="463">
        <f>IF(ISNA(AT70),0,IF(AND('Data Entry'!$C$74=2,BC70=27),0,IF(AND('Data Entry'!$C$74=2,BC70=28),0,IF(AND(BC70=27,BT70=27,CM70&gt;0.1),CM70*0.15,IF(AND(BC70=28,BT70=28,CM70&gt;0.1),CM70*0.12,0)))))</f>
        <v>0</v>
      </c>
      <c r="BV70" s="463">
        <f t="shared" si="78"/>
        <v>0</v>
      </c>
      <c r="BW70" s="463">
        <f t="shared" si="37"/>
        <v>0</v>
      </c>
      <c r="BX70" s="463">
        <f t="shared" si="38"/>
        <v>0</v>
      </c>
      <c r="BY70" s="463">
        <f t="shared" si="39"/>
        <v>0</v>
      </c>
      <c r="BZ70" s="463">
        <f t="shared" si="40"/>
        <v>0</v>
      </c>
      <c r="CA70" s="57">
        <f t="shared" si="70"/>
        <v>0</v>
      </c>
      <c r="CB70" s="56">
        <f t="shared" si="41"/>
        <v>1</v>
      </c>
      <c r="CC70" s="756">
        <f>IF(EE70=0,0,IF(EF70=0,0,IF(EE70&gt;AA70,0,IF(AND(AZ70&gt;AW70,AW70&gt;0),0,IF(CU70=0,0,Summary!AC373)))))</f>
        <v>0</v>
      </c>
      <c r="CD70" s="756">
        <f>IF(EE70=0,0,IF(EF70=0,0,IF(EE70&gt;AA70,0,IF(AND(AZ70&gt;AW70,AW70&gt;0),0,IF(CU70=0,0,Summary!AD373)))))</f>
        <v>0</v>
      </c>
      <c r="CE70" s="756">
        <f>IF(EF70=0,0,IF(EE70&gt;AA70,0,IF(CC70=0,0,IF(AND(AZ70&gt;AW70,AW70&gt;0),0,IF(CU70=0,0,Summary!AE373)))))</f>
        <v>0</v>
      </c>
      <c r="CF70" s="475">
        <f t="shared" si="42"/>
        <v>0</v>
      </c>
      <c r="CG70" s="476">
        <f t="shared" si="6"/>
        <v>0</v>
      </c>
      <c r="CH70" s="487">
        <f t="shared" si="43"/>
        <v>0</v>
      </c>
      <c r="CI70" s="756">
        <f t="shared" si="44"/>
        <v>0</v>
      </c>
      <c r="CJ70" s="487">
        <f>IF(CT70&gt;0.4,0,IF(AND(AU70=2,CH70=0,CT70=0.5,ER70=100),35,IF(AND(AU70=3,BB70&gt;75,CH70=0,CT70=0.5,ER70=100),25,IF(CB70&gt;1,0,IF(EF70&gt;EE70,0,IF(AND(AF70&gt;1,CH70=100),0,IF(AND(AF70=1,AY70=0),0,IF(AND(EF70&lt;=EE70,AW70&gt;=AZ70,'Data Entry'!$C$74=1,AU70=2),VLOOKUP(W70,$DO$96:$DP$102,2,FALSE),IF(AND(EF70&lt;=EE70,AW70&gt;=AZ70,AU70=3,'Data Entry'!$C$74=1),VLOOKUP(W70,$DO$127:$DP$134,2,FALSE))))))))))</f>
        <v>0</v>
      </c>
      <c r="CK70" s="716">
        <f t="shared" si="45"/>
        <v>0</v>
      </c>
      <c r="CL70" s="57">
        <f t="shared" si="46"/>
        <v>0</v>
      </c>
      <c r="CM70" s="475">
        <f t="shared" si="77"/>
        <v>0</v>
      </c>
      <c r="CN70" s="660">
        <f>IF(CM70&lt;0.1,0,IF(ISNA(AT70),0,IF(CL70+BC70=1,0,IF(BV70&gt;0.01,0,IF(CL70&gt;0.01,0,IF(CF70=1,0,IF(BC70=0.5,0,IF(AND(CI70=1,AU70=3),0,IF(AND(CI70=5,CL70=0),0,IF(AND(R70=12,BR70=50),0,IF(CK70&gt;0.01,0,IF(AND(AJ70&gt;0.01,AU70=2,BC70=15),CM70*0.1,IF(AND(AJ70&gt;0.01,AU70=3,BC70=15),CM70*0.08,IF(AND(R70=12,BC70=3,AF70&lt;=0),0,IF(AND(BC70=15,BI70=0),0,IF(AND(BC70=15,BJ70=0),0,IF(AND(R70=20,CU70=0),0,IF($X$4=0,0,IF(AND(BC70=250,CL70=0),0,IF(AA70&lt;1,0,IF(AND(ISNUMBER(SEARCH("Area",T70)),AU70=3),0,IF(AND(AQ70&gt;0.01,AR70=0,BK70=0,BL70=0,BM70=0,BN70=0),0,IF(AND(AU70=3,CI70=7,CT70&gt;0.5),0,IF(AND(BC70=44,AU70=3,BY70=0),0,IF(AND(BC70=27,'Data Entry'!$C$74=2),0,IF(AND(BC70=28,'Data Entry'!$C$74=2),0,IF(AND(BY70+BZ70+CA70&gt;0.01,BV70=0,EQ70+ER70+ES70+ET70&lt;100),0,IF(AU70=3,CM70*0.08,IF(AU70=2,CM70*0.1,0)))))))))))))))))))))))))))))</f>
        <v>0</v>
      </c>
      <c r="CO70" s="660">
        <f t="shared" si="47"/>
        <v>0</v>
      </c>
      <c r="CP70" s="475" t="str">
        <f t="shared" si="48"/>
        <v/>
      </c>
      <c r="CQ70" s="161" t="str">
        <f>IF(AH70=0,0,IF(AU70=5,0,Summary!AC73))</f>
        <v/>
      </c>
      <c r="CR70" s="161" t="str">
        <f>IF(BF70=0.5,0,IF(AU70=5,0,Summary!AD73))</f>
        <v/>
      </c>
      <c r="CS70" s="161" t="str">
        <f>IF(AU70=5,0,Summary!AE73)</f>
        <v/>
      </c>
      <c r="CT70" s="161">
        <f t="shared" si="49"/>
        <v>0</v>
      </c>
      <c r="CU70" s="475" t="str">
        <f t="shared" si="7"/>
        <v/>
      </c>
      <c r="CV70" s="307">
        <f>IF('Data Entry'!$C$74=0,0,IF(AA70&lt;1,0,IF(ISERROR(CU70),0,IF(CF70=1,0,IF(AND(R70=12,BR70=50),0,IF(CL70+BO70+BV70+DC70=0,0,IF(BC70=37,0,IF(AND(BC70=40,AJ70=0),0,IF(AND(BC70=37,BO70&gt;0.01,BQ70&gt;0.01),ROUND(BQ70,0),IF(CM70&lt;0,0,ROUND(CM70,0)))))))))))</f>
        <v>0</v>
      </c>
      <c r="CW70" s="700">
        <f t="shared" si="50"/>
        <v>0</v>
      </c>
      <c r="CX70" s="477">
        <f>IF('Data Entry'!$C$74=0,0,IF(CV70&lt;0.01,0,IF(BF70=0.5,0,IF(CF70=1,0,IF(ISNUMBER(SEARCH("false",CL70)),0,IF(AZ70=500,0,CL70))))))</f>
        <v>0</v>
      </c>
      <c r="CY70" s="147" t="e">
        <f t="shared" si="51"/>
        <v>#VALUE!</v>
      </c>
      <c r="CZ70" s="147" t="b">
        <f>IF(CN70+CL70=0,FALSE,IF(AH70=0,0,IF(AND('Data Entry'!$C$74=1,CR70&gt;=1),TRUE,IF(AND('Data Entry'!$C$74=2,CS70&gt;=1),TRUE,FALSE))))</f>
        <v>0</v>
      </c>
      <c r="DA70" s="1751">
        <f>IF('Data Entry'!$C$74=0,0,IFERROR(ROUND(IF(T70="","",IF($X$4=0,0,IF(CF70=1,0,IF(BQ70+CV70=0,0,IF(CF70=1,0,IF(CY70&gt;0.01,CY70,IF(CL70&gt;0.01,CL70,IF(CY70&gt;0.01,CY70,IF(BC70=37,BO70,IF(CZ70=FALSE,0,IF(CZ70=TRUE,DC70+DF70,0))))))))))),2),""))</f>
        <v>0</v>
      </c>
      <c r="DB70" s="1752"/>
      <c r="DC70" s="474">
        <f>IF(CN70&lt;0.01,0,IF(AND(BR70=3,CN70&gt;0.01,CT70&gt;0.6,ER70+ES70+ET70&lt;100),0,IF(AND('Data Entry'!$C$74=1,CN70&gt;0.01,CR70&gt;0.99),MIN(CN70:CO70),IF(AND('Data Entry'!$C$74=2,CN70&gt;0.01,CS70&gt;0.99),MIN(CN70:CO70),0))))</f>
        <v>0</v>
      </c>
      <c r="DD70" s="478">
        <f>IF(CF70=1,"Selection does not match",IF(T70=0,0,IF(AND('Data Entry'!$C$74=0,CP70&gt;1),"Select Oregon or Idaho on Data Entry Tab",IF(AND(AU70=1,AA70&gt;0.9),"Missing Interior or Exterior Selection",IF($X$4=0,"Enter Total Project Cost",IF(AQ70&lt;AR70,"Insufficient kWh savings – no incentive",IF(AND(SUM(CL70+CK70+BV70)&gt;0.01,'Data Entry'!$C$74=2,CJ70&gt;1,BO70=0),"Submit Control as Non-Standard",IF(AND('Data Entry'!$C$74=2,BR70=37,CJ70&gt;1,BO70=0),"Submit Control as Non-Standard",IF(SUM(CL70+CK70+BV70)&gt;0.01,"Standard Incentive",IF(AND('Data Entry'!$C$74=2,CP70=7,CN70=0),"Submit as Non-Standard",IF(DC70&gt;0.9,"Non-Standard Incentive",IF(AND(BY70+BZ70+CA70&gt;0.01,BV70=0,EQ70=0,ER70=0,ES70=0,ET70=0),"Scroll Right &amp; Select Control Strategies",IF(AND(CN70&gt;0.01,CO70=0),"Enter Unit Installed Cost",IF(ISNUMBER(SEARCH("Lighting Controls Only",F70)),"Lighting Controls Only",IF(CL70+DC70=0,"Does not meet incentive criteria",0)))))))))))))))</f>
        <v>0</v>
      </c>
      <c r="DE70" s="337">
        <f t="shared" si="52"/>
        <v>0</v>
      </c>
      <c r="DF70" s="609">
        <f t="shared" si="53"/>
        <v>0</v>
      </c>
      <c r="DG70" s="336" t="str">
        <f t="shared" si="54"/>
        <v/>
      </c>
      <c r="DH70" s="338">
        <f t="shared" si="55"/>
        <v>1</v>
      </c>
      <c r="DI70" s="336" t="e">
        <f t="shared" si="8"/>
        <v>#VALUE!</v>
      </c>
      <c r="DJ70" s="338">
        <f t="shared" si="9"/>
        <v>0</v>
      </c>
      <c r="DK70" s="325" t="s">
        <v>104</v>
      </c>
      <c r="DL70" s="323">
        <v>25</v>
      </c>
      <c r="DM70" s="325" t="s">
        <v>513</v>
      </c>
      <c r="DN70" s="1439">
        <v>32</v>
      </c>
      <c r="DO70" s="1513" t="s">
        <v>1535</v>
      </c>
      <c r="DP70" s="1541">
        <v>0.7</v>
      </c>
      <c r="DQ70" s="331"/>
      <c r="DR70" s="458"/>
      <c r="DS70" s="1195">
        <f t="shared" si="56"/>
        <v>0</v>
      </c>
      <c r="DT70" s="344" t="b">
        <f t="shared" si="57"/>
        <v>1</v>
      </c>
      <c r="DU70" s="1314" t="str">
        <f t="array" ref="DU70">IF(OR(COUNTIF(F70,"*"&amp;$DK$9:$DK$178&amp;"*")), "Yes", "")</f>
        <v/>
      </c>
      <c r="DV70" s="1314">
        <f t="shared" si="58"/>
        <v>0</v>
      </c>
      <c r="DW70" s="1480">
        <f t="shared" si="59"/>
        <v>0</v>
      </c>
      <c r="DX70" s="1498">
        <f t="shared" si="71"/>
        <v>0</v>
      </c>
      <c r="DY70" s="1484">
        <f t="shared" si="60"/>
        <v>0</v>
      </c>
      <c r="DZ70" s="331"/>
      <c r="EA70" s="392"/>
      <c r="EB70" s="1499" t="s">
        <v>162</v>
      </c>
      <c r="EC70" s="727" t="s">
        <v>1568</v>
      </c>
      <c r="ED70" s="728">
        <v>0.5</v>
      </c>
      <c r="EE70" s="1215"/>
      <c r="EF70" s="1215"/>
      <c r="EG70" s="1184" t="str">
        <f t="shared" si="61"/>
        <v/>
      </c>
      <c r="EH70" s="55"/>
      <c r="EI70" s="55"/>
      <c r="EJ70" s="1185">
        <f t="shared" si="10"/>
        <v>0</v>
      </c>
      <c r="EK70" s="1211"/>
      <c r="EL70" s="1180">
        <f t="shared" si="72"/>
        <v>0</v>
      </c>
      <c r="EM70" s="207"/>
      <c r="EN70" s="1038"/>
      <c r="EO70" s="1038"/>
      <c r="EP70" s="1038"/>
      <c r="EQ70" s="1038">
        <f t="shared" si="62"/>
        <v>0</v>
      </c>
      <c r="ER70" s="1041">
        <f t="shared" si="75"/>
        <v>0</v>
      </c>
      <c r="ES70" s="1042">
        <f t="shared" si="63"/>
        <v>0</v>
      </c>
      <c r="ET70" s="1042">
        <f t="shared" si="73"/>
        <v>0</v>
      </c>
      <c r="EU70" s="1021">
        <f t="shared" si="74"/>
        <v>0</v>
      </c>
      <c r="EV70" s="368"/>
      <c r="EW70" s="368"/>
      <c r="EX70" s="369"/>
      <c r="EY70" s="370"/>
      <c r="EZ70" s="370"/>
      <c r="FA70" s="371"/>
      <c r="FB70" s="372"/>
    </row>
    <row r="71" spans="1:158" ht="34.5" customHeight="1">
      <c r="A71" s="82">
        <v>63</v>
      </c>
      <c r="B71" s="1725"/>
      <c r="C71" s="1726"/>
      <c r="D71" s="1726"/>
      <c r="E71" s="1727"/>
      <c r="F71" s="1732"/>
      <c r="G71" s="1733"/>
      <c r="H71" s="1733"/>
      <c r="I71" s="1734"/>
      <c r="J71" s="1341"/>
      <c r="K71" s="1728"/>
      <c r="L71" s="1728"/>
      <c r="M71" s="1342"/>
      <c r="N71" s="1583"/>
      <c r="O71" s="208" t="str">
        <f t="shared" si="11"/>
        <v/>
      </c>
      <c r="P71" s="785"/>
      <c r="Q71" s="39" t="str">
        <f t="shared" si="0"/>
        <v/>
      </c>
      <c r="R71" s="39">
        <f t="shared" si="12"/>
        <v>0</v>
      </c>
      <c r="S71" s="234">
        <f t="shared" si="13"/>
        <v>0</v>
      </c>
      <c r="T71" s="1755"/>
      <c r="U71" s="1755"/>
      <c r="V71" s="1755"/>
      <c r="W71" s="1345"/>
      <c r="X71" s="1741"/>
      <c r="Y71" s="1742"/>
      <c r="Z71" s="1346"/>
      <c r="AA71" s="1343"/>
      <c r="AB71" s="1141"/>
      <c r="AC71" s="1103" t="str">
        <f>IF(T71="","",VLOOKUP(Z71,Lists!$A$60:$B$111,2,FALSE))</f>
        <v/>
      </c>
      <c r="AD71" s="130" t="str">
        <f t="shared" si="14"/>
        <v/>
      </c>
      <c r="AE71" s="130" t="e">
        <f t="shared" si="15"/>
        <v>#VALUE!</v>
      </c>
      <c r="AF71" s="130">
        <f t="shared" si="16"/>
        <v>1</v>
      </c>
      <c r="AG71" s="234">
        <f t="shared" si="1"/>
        <v>0</v>
      </c>
      <c r="AH71" s="1753" t="str">
        <f>IF(T71="","",(IF(ISNUMBER(SEARCH("exit",T71)),8760,IF(AND(M71="Dusk to Dawn",'Proposed Lighting'!AU71=3),4059,IF(AND(AU71=3,M71="1"),0,IF(AND(AU71=3,M71="1-C"),0,IF(AND(AU71=3,M71="2"),0,IF(AND(AU71=3,M71="2-C"),0,IF(AND(AU71=3,M71="3"),0,IF(AND(AU71=3,M71="3-C"),0,IF(AND(AU71=2,M71="Dusk to Dawn"),0,IF(AND(AU71=2,M71="Dusk to Dawn-C"),0,IF(AND(AU71=2,M71="Dusk to Dawn"),0,IF(AND(AU71=2,M71="E"),0,IF(AND(AU71=2,M71="E-C"),0,EG71)))))))))))))))</f>
        <v/>
      </c>
      <c r="AI71" s="1754"/>
      <c r="AJ71" s="1136"/>
      <c r="AK71" s="1136"/>
      <c r="AL71" s="1748">
        <f t="shared" si="64"/>
        <v>0</v>
      </c>
      <c r="AM71" s="1749"/>
      <c r="AN71" s="1750"/>
      <c r="AO71" s="476">
        <f t="shared" si="2"/>
        <v>0</v>
      </c>
      <c r="AP71" s="476">
        <f t="shared" si="17"/>
        <v>0</v>
      </c>
      <c r="AQ71" s="475">
        <f t="shared" si="3"/>
        <v>0</v>
      </c>
      <c r="AR71" s="475">
        <f t="shared" si="18"/>
        <v>0</v>
      </c>
      <c r="AS71" s="743" t="str">
        <f t="shared" si="79"/>
        <v/>
      </c>
      <c r="AT71" s="736" t="str">
        <f t="shared" si="20"/>
        <v/>
      </c>
      <c r="AU71" s="56">
        <f t="shared" si="21"/>
        <v>1</v>
      </c>
      <c r="AV71" s="476">
        <f t="shared" si="22"/>
        <v>0</v>
      </c>
      <c r="AW71" s="56">
        <f t="shared" si="23"/>
        <v>0</v>
      </c>
      <c r="AX71" s="475">
        <f t="shared" si="65"/>
        <v>0</v>
      </c>
      <c r="AY71" s="1169">
        <f t="shared" si="66"/>
        <v>0</v>
      </c>
      <c r="AZ71" s="1150">
        <f t="shared" si="67"/>
        <v>0</v>
      </c>
      <c r="BA71" s="56">
        <f t="shared" si="68"/>
        <v>0</v>
      </c>
      <c r="BB71" s="420">
        <f t="shared" si="4"/>
        <v>0</v>
      </c>
      <c r="BC71" s="58" t="str">
        <f t="shared" si="5"/>
        <v/>
      </c>
      <c r="BD71" s="660">
        <f t="shared" si="69"/>
        <v>0</v>
      </c>
      <c r="BE71" s="57" t="e">
        <f t="array" ref="BE71">INDEX($EB$11:$ED$1022,MATCH(F71&amp;T71,$EB$11:$EB$1007&amp;$EC$11:$EC$1007,0),3)</f>
        <v>#N/A</v>
      </c>
      <c r="BF71" s="463">
        <f t="shared" si="24"/>
        <v>0</v>
      </c>
      <c r="BG71" s="1445" t="e">
        <f t="array" ref="BG71">INDEX($DO$112:$DQ$123,MATCH(T71&amp;W71,$DO$114:$DO$125&amp;$DP$112:$DP$123,0),3)</f>
        <v>#N/A</v>
      </c>
      <c r="BH71" s="1446">
        <f t="shared" si="25"/>
        <v>0</v>
      </c>
      <c r="BI71" s="465">
        <f t="shared" si="26"/>
        <v>0</v>
      </c>
      <c r="BJ71" s="465">
        <f t="shared" si="27"/>
        <v>0</v>
      </c>
      <c r="BK71" s="466">
        <f t="shared" si="28"/>
        <v>0</v>
      </c>
      <c r="BL71" s="466">
        <f t="shared" si="29"/>
        <v>0</v>
      </c>
      <c r="BM71" s="466">
        <f t="shared" si="30"/>
        <v>0</v>
      </c>
      <c r="BN71" s="466">
        <f t="shared" si="31"/>
        <v>0</v>
      </c>
      <c r="BO71" s="463">
        <f>IF('Data Entry'!$C$74=0,0,IF(ISNA(CJ71),0,IF(AX71=0,0,IF(AND('Data Entry'!$C$74=2,AF71&gt;2,CE71&lt;1),0,IF(AND('Data Entry'!$C$74=2,AF71&gt;1,AU71=2,CJ71&gt;1),0,IF(AND(AF71=5,CT71=0.5,AU71=2,ER71&lt;100),0,IF(AND(AF71=5,CT71=0.5,AU71=3,ER71&lt;100),0,IF(AND('Data Entry'!$C$74=2,AF71=2,AU71=2,AK71&gt;0.01,CB71=2,CE71&lt;1),0,IF(AND('Data Entry'!$C$74=2,AF71=3,AU71=3,AK71&gt;0.01,CB71=3,CE71&lt;1),0,IF(AND('Data Entry'!$C$74=2,AF71=3,AU71=3,AK71&gt;0.01,CB71=3,CE71&gt;0.99),BQ71*0.08,IF(AND('Data Entry'!$C$74=2,AF71=2,AU71=2,AK71&gt;0.01,CB71=2,CE71&gt;0.99),BQ71*0.1,IF(AND(AU71=2,AK71&gt;0.01,CB71=2,CD71&gt;1),BQ71*0.1,IF(AND(AU71=3,AK71&gt;0.01,CB71=3,CD71&gt;1),BQ71*0.08,CJ71*EF71)))))))))))))</f>
        <v>0</v>
      </c>
      <c r="BP71" s="475">
        <f t="shared" si="32"/>
        <v>0</v>
      </c>
      <c r="BQ71" s="1431">
        <f>IF(AU71=1,0,IF(CH71=100,0,IF(AND(AF71=3,AU71=2),0,IF(AND(BH71=0,CT71&gt;0.4),0,IF(AND('Data Entry'!$C$74=2,AF71=1.5),0,IF(AND('Data Entry'!$C$74=2,AF71=1.6),0,IF(AND('Data Entry'!$C$74=2,AF71=4),0,IF(AND('Data Entry'!$C$74=2,AF71=5),0,IF(AND('Data Entry'!$C$74=2,AF71=2.5,CE71&lt;1),0,IF(AND('Data Entry'!$C$74=2,AF71=3,CE71&lt;1),0,IF(AND('Data Entry'!$C$74=1,AF71=2.5,CD71&lt;1),0,IF(AND('Data Entry'!$C$74=1,AF71=3,CD71&lt;1),0,IF(DX71&gt;0.01,DX71,IF(ISERROR(AX71-AY71),"",ROUND(AX71-AY71,2)))))))))))))))</f>
        <v>0</v>
      </c>
      <c r="BR71" s="146">
        <f t="shared" si="33"/>
        <v>0</v>
      </c>
      <c r="BS71" s="475">
        <f t="shared" si="34"/>
        <v>0</v>
      </c>
      <c r="BT71" s="146" t="b">
        <f t="shared" si="35"/>
        <v>0</v>
      </c>
      <c r="BU71" s="463">
        <f>IF(ISNA(AT71),0,IF(AND('Data Entry'!$C$74=2,BC71=27),0,IF(AND('Data Entry'!$C$74=2,BC71=28),0,IF(AND(BC71=27,BT71=27,CM71&gt;0.1),CM71*0.15,IF(AND(BC71=28,BT71=28,CM71&gt;0.1),CM71*0.12,0)))))</f>
        <v>0</v>
      </c>
      <c r="BV71" s="463">
        <f t="shared" si="78"/>
        <v>0</v>
      </c>
      <c r="BW71" s="463">
        <f t="shared" si="37"/>
        <v>0</v>
      </c>
      <c r="BX71" s="463">
        <f t="shared" si="38"/>
        <v>0</v>
      </c>
      <c r="BY71" s="463">
        <f t="shared" si="39"/>
        <v>0</v>
      </c>
      <c r="BZ71" s="463">
        <f t="shared" si="40"/>
        <v>0</v>
      </c>
      <c r="CA71" s="57">
        <f t="shared" si="70"/>
        <v>0</v>
      </c>
      <c r="CB71" s="56">
        <f t="shared" si="41"/>
        <v>1</v>
      </c>
      <c r="CC71" s="756">
        <f>IF(EE71=0,0,IF(EF71=0,0,IF(EE71&gt;AA71,0,IF(AND(AZ71&gt;AW71,AW71&gt;0),0,IF(CU71=0,0,Summary!AC374)))))</f>
        <v>0</v>
      </c>
      <c r="CD71" s="756">
        <f>IF(EE71=0,0,IF(EF71=0,0,IF(EE71&gt;AA71,0,IF(AND(AZ71&gt;AW71,AW71&gt;0),0,IF(CU71=0,0,Summary!AD374)))))</f>
        <v>0</v>
      </c>
      <c r="CE71" s="756">
        <f>IF(EF71=0,0,IF(EE71&gt;AA71,0,IF(CC71=0,0,IF(AND(AZ71&gt;AW71,AW71&gt;0),0,IF(CU71=0,0,Summary!AE374)))))</f>
        <v>0</v>
      </c>
      <c r="CF71" s="475">
        <f t="shared" si="42"/>
        <v>0</v>
      </c>
      <c r="CG71" s="476">
        <f t="shared" si="6"/>
        <v>0</v>
      </c>
      <c r="CH71" s="487">
        <f t="shared" si="43"/>
        <v>0</v>
      </c>
      <c r="CI71" s="756">
        <f t="shared" si="44"/>
        <v>0</v>
      </c>
      <c r="CJ71" s="487">
        <f>IF(CT71&gt;0.4,0,IF(AND(AU71=2,CH71=0,CT71=0.5,ER71=100),35,IF(AND(AU71=3,BB71&gt;75,CH71=0,CT71=0.5,ER71=100),25,IF(CB71&gt;1,0,IF(EF71&gt;EE71,0,IF(AND(AF71&gt;1,CH71=100),0,IF(AND(AF71=1,AY71=0),0,IF(AND(EF71&lt;=EE71,AW71&gt;=AZ71,'Data Entry'!$C$74=1,AU71=2),VLOOKUP(W71,$DO$96:$DP$102,2,FALSE),IF(AND(EF71&lt;=EE71,AW71&gt;=AZ71,AU71=3,'Data Entry'!$C$74=1),VLOOKUP(W71,$DO$127:$DP$134,2,FALSE))))))))))</f>
        <v>0</v>
      </c>
      <c r="CK71" s="716">
        <f t="shared" si="45"/>
        <v>0</v>
      </c>
      <c r="CL71" s="57">
        <f t="shared" si="46"/>
        <v>0</v>
      </c>
      <c r="CM71" s="475">
        <f t="shared" si="77"/>
        <v>0</v>
      </c>
      <c r="CN71" s="660">
        <f>IF(CM71&lt;0.1,0,IF(ISNA(AT71),0,IF(CL71+BC71=1,0,IF(BV71&gt;0.01,0,IF(CL71&gt;0.01,0,IF(CF71=1,0,IF(BC71=0.5,0,IF(AND(CI71=1,AU71=3),0,IF(AND(CI71=5,CL71=0),0,IF(AND(R71=12,BR71=50),0,IF(CK71&gt;0.01,0,IF(AND(AJ71&gt;0.01,AU71=2,BC71=15),CM71*0.1,IF(AND(AJ71&gt;0.01,AU71=3,BC71=15),CM71*0.08,IF(AND(R71=12,BC71=3,AF71&lt;=0),0,IF(AND(BC71=15,BI71=0),0,IF(AND(BC71=15,BJ71=0),0,IF(AND(R71=20,CU71=0),0,IF($X$4=0,0,IF(AND(BC71=250,CL71=0),0,IF(AA71&lt;1,0,IF(AND(ISNUMBER(SEARCH("Area",T71)),AU71=3),0,IF(AND(AQ71&gt;0.01,AR71=0,BK71=0,BL71=0,BM71=0,BN71=0),0,IF(AND(AU71=3,CI71=7,CT71&gt;0.5),0,IF(AND(BC71=44,AU71=3,BY71=0),0,IF(AND(BC71=27,'Data Entry'!$C$74=2),0,IF(AND(BC71=28,'Data Entry'!$C$74=2),0,IF(AND(BY71+BZ71+CA71&gt;0.01,BV71=0,EQ71+ER71+ES71+ET71&lt;100),0,IF(AU71=3,CM71*0.08,IF(AU71=2,CM71*0.1,0)))))))))))))))))))))))))))))</f>
        <v>0</v>
      </c>
      <c r="CO71" s="660">
        <f t="shared" si="47"/>
        <v>0</v>
      </c>
      <c r="CP71" s="475" t="str">
        <f t="shared" si="48"/>
        <v/>
      </c>
      <c r="CQ71" s="161" t="str">
        <f>IF(AH71=0,0,IF(AU71=5,0,Summary!AC74))</f>
        <v/>
      </c>
      <c r="CR71" s="161" t="str">
        <f>IF(BF71=0.5,0,IF(AU71=5,0,Summary!AD74))</f>
        <v/>
      </c>
      <c r="CS71" s="161" t="str">
        <f>IF(AU71=5,0,Summary!AE74)</f>
        <v/>
      </c>
      <c r="CT71" s="161">
        <f t="shared" si="49"/>
        <v>0</v>
      </c>
      <c r="CU71" s="475" t="str">
        <f t="shared" si="7"/>
        <v/>
      </c>
      <c r="CV71" s="307">
        <f>IF('Data Entry'!$C$74=0,0,IF(AA71&lt;1,0,IF(ISERROR(CU71),0,IF(CF71=1,0,IF(AND(R71=12,BR71=50),0,IF(CL71+BO71+BV71+DC71=0,0,IF(BC71=37,0,IF(AND(BC71=40,AJ71=0),0,IF(AND(BC71=37,BO71&gt;0.01,BQ71&gt;0.01),ROUND(BQ71,0),IF(CM71&lt;0,0,ROUND(CM71,0)))))))))))</f>
        <v>0</v>
      </c>
      <c r="CW71" s="700">
        <f t="shared" si="50"/>
        <v>0</v>
      </c>
      <c r="CX71" s="477">
        <f>IF('Data Entry'!$C$74=0,0,IF(CV71&lt;0.01,0,IF(BF71=0.5,0,IF(CF71=1,0,IF(ISNUMBER(SEARCH("false",CL71)),0,IF(AZ71=500,0,CL71))))))</f>
        <v>0</v>
      </c>
      <c r="CY71" s="147" t="e">
        <f t="shared" si="51"/>
        <v>#VALUE!</v>
      </c>
      <c r="CZ71" s="147" t="b">
        <f>IF(CN71+CL71=0,FALSE,IF(AH71=0,0,IF(AND('Data Entry'!$C$74=1,CR71&gt;=1),TRUE,IF(AND('Data Entry'!$C$74=2,CS71&gt;=1),TRUE,FALSE))))</f>
        <v>0</v>
      </c>
      <c r="DA71" s="1751">
        <f>IF('Data Entry'!$C$74=0,0,IFERROR(ROUND(IF(T71="","",IF($X$4=0,0,IF(CF71=1,0,IF(BQ71+CV71=0,0,IF(CF71=1,0,IF(CY71&gt;0.01,CY71,IF(CL71&gt;0.01,CL71,IF(CY71&gt;0.01,CY71,IF(BC71=37,BO71,IF(CZ71=FALSE,0,IF(CZ71=TRUE,DC71+DF71,0))))))))))),2),""))</f>
        <v>0</v>
      </c>
      <c r="DB71" s="1752"/>
      <c r="DC71" s="474">
        <f>IF(CN71&lt;0.01,0,IF(AND(BR71=3,CN71&gt;0.01,CT71&gt;0.6,ER71+ES71+ET71&lt;100),0,IF(AND('Data Entry'!$C$74=1,CN71&gt;0.01,CR71&gt;0.99),MIN(CN71:CO71),IF(AND('Data Entry'!$C$74=2,CN71&gt;0.01,CS71&gt;0.99),MIN(CN71:CO71),0))))</f>
        <v>0</v>
      </c>
      <c r="DD71" s="478">
        <f>IF(CF71=1,"Selection does not match",IF(T71=0,0,IF(AND('Data Entry'!$C$74=0,CP71&gt;1),"Select Oregon or Idaho on Data Entry Tab",IF(AND(AU71=1,AA71&gt;0.9),"Missing Interior or Exterior Selection",IF($X$4=0,"Enter Total Project Cost",IF(AQ71&lt;AR71,"Insufficient kWh savings – no incentive",IF(AND(SUM(CL71+CK71+BV71)&gt;0.01,'Data Entry'!$C$74=2,CJ71&gt;1,BO71=0),"Submit Control as Non-Standard",IF(AND('Data Entry'!$C$74=2,BR71=37,CJ71&gt;1,BO71=0),"Submit Control as Non-Standard",IF(SUM(CL71+CK71+BV71)&gt;0.01,"Standard Incentive",IF(AND('Data Entry'!$C$74=2,CP71=7,CN71=0),"Submit as Non-Standard",IF(DC71&gt;0.9,"Non-Standard Incentive",IF(AND(BY71+BZ71+CA71&gt;0.01,BV71=0,EQ71=0,ER71=0,ES71=0,ET71=0),"Scroll Right &amp; Select Control Strategies",IF(AND(CN71&gt;0.01,CO71=0),"Enter Unit Installed Cost",IF(ISNUMBER(SEARCH("Lighting Controls Only",F71)),"Lighting Controls Only",IF(CL71+DC71=0,"Does not meet incentive criteria",0)))))))))))))))</f>
        <v>0</v>
      </c>
      <c r="DE71" s="337">
        <f t="shared" si="52"/>
        <v>0</v>
      </c>
      <c r="DF71" s="609">
        <f t="shared" si="53"/>
        <v>0</v>
      </c>
      <c r="DG71" s="336" t="str">
        <f t="shared" si="54"/>
        <v/>
      </c>
      <c r="DH71" s="338">
        <f t="shared" si="55"/>
        <v>1</v>
      </c>
      <c r="DI71" s="336" t="e">
        <f t="shared" si="8"/>
        <v>#VALUE!</v>
      </c>
      <c r="DJ71" s="338">
        <f t="shared" si="9"/>
        <v>0</v>
      </c>
      <c r="DK71" s="327" t="s">
        <v>105</v>
      </c>
      <c r="DL71" s="323">
        <v>50</v>
      </c>
      <c r="DM71" s="327" t="s">
        <v>461</v>
      </c>
      <c r="DN71" s="1439">
        <v>8</v>
      </c>
      <c r="DO71" s="1513" t="s">
        <v>1780</v>
      </c>
      <c r="DP71" s="1541">
        <v>0.7</v>
      </c>
      <c r="DQ71" s="331"/>
      <c r="DR71" s="458"/>
      <c r="DS71" s="1195">
        <f t="shared" si="56"/>
        <v>0</v>
      </c>
      <c r="DT71" s="344" t="b">
        <f t="shared" si="57"/>
        <v>1</v>
      </c>
      <c r="DU71" s="1314" t="str">
        <f t="array" ref="DU71">IF(OR(COUNTIF(F71,"*"&amp;$DK$9:$DK$178&amp;"*")), "Yes", "")</f>
        <v/>
      </c>
      <c r="DV71" s="1314">
        <f t="shared" si="58"/>
        <v>0</v>
      </c>
      <c r="DW71" s="1480">
        <f t="shared" si="59"/>
        <v>0</v>
      </c>
      <c r="DX71" s="1498">
        <f t="shared" si="71"/>
        <v>0</v>
      </c>
      <c r="DY71" s="1484">
        <f t="shared" si="60"/>
        <v>0</v>
      </c>
      <c r="DZ71" s="331"/>
      <c r="EA71" s="392"/>
      <c r="EB71" s="1499" t="s">
        <v>163</v>
      </c>
      <c r="EC71" s="727" t="s">
        <v>1568</v>
      </c>
      <c r="ED71" s="728">
        <v>0.5</v>
      </c>
      <c r="EE71" s="1215"/>
      <c r="EF71" s="1215"/>
      <c r="EG71" s="1184" t="str">
        <f t="shared" si="61"/>
        <v/>
      </c>
      <c r="EH71" s="55"/>
      <c r="EI71" s="55"/>
      <c r="EJ71" s="1185">
        <f t="shared" si="10"/>
        <v>0</v>
      </c>
      <c r="EK71" s="1211"/>
      <c r="EL71" s="1180">
        <f t="shared" si="72"/>
        <v>0</v>
      </c>
      <c r="EM71" s="207"/>
      <c r="EN71" s="1038"/>
      <c r="EO71" s="1038"/>
      <c r="EP71" s="1038"/>
      <c r="EQ71" s="1038">
        <f t="shared" si="62"/>
        <v>0</v>
      </c>
      <c r="ER71" s="1041">
        <f t="shared" si="75"/>
        <v>0</v>
      </c>
      <c r="ES71" s="1042">
        <f t="shared" si="63"/>
        <v>0</v>
      </c>
      <c r="ET71" s="1042">
        <f t="shared" si="73"/>
        <v>0</v>
      </c>
      <c r="EU71" s="1021">
        <f t="shared" si="74"/>
        <v>0</v>
      </c>
      <c r="EV71" s="368"/>
      <c r="EW71" s="368"/>
      <c r="EX71" s="369"/>
      <c r="EY71" s="370"/>
      <c r="EZ71" s="370"/>
      <c r="FA71" s="371"/>
      <c r="FB71" s="372"/>
    </row>
    <row r="72" spans="1:158" ht="34.5" customHeight="1">
      <c r="A72" s="82">
        <v>64</v>
      </c>
      <c r="B72" s="1725"/>
      <c r="C72" s="1726"/>
      <c r="D72" s="1726"/>
      <c r="E72" s="1727"/>
      <c r="F72" s="1732"/>
      <c r="G72" s="1733"/>
      <c r="H72" s="1733"/>
      <c r="I72" s="1734"/>
      <c r="J72" s="1341"/>
      <c r="K72" s="1728"/>
      <c r="L72" s="1728"/>
      <c r="M72" s="1342"/>
      <c r="N72" s="1583"/>
      <c r="O72" s="208" t="str">
        <f t="shared" si="11"/>
        <v/>
      </c>
      <c r="P72" s="785"/>
      <c r="Q72" s="39" t="str">
        <f t="shared" si="0"/>
        <v/>
      </c>
      <c r="R72" s="39">
        <f t="shared" si="12"/>
        <v>0</v>
      </c>
      <c r="S72" s="234">
        <f t="shared" si="13"/>
        <v>0</v>
      </c>
      <c r="T72" s="1755"/>
      <c r="U72" s="1755"/>
      <c r="V72" s="1755"/>
      <c r="W72" s="1345"/>
      <c r="X72" s="1741"/>
      <c r="Y72" s="1742"/>
      <c r="Z72" s="1346"/>
      <c r="AA72" s="1343"/>
      <c r="AB72" s="1141"/>
      <c r="AC72" s="1103" t="str">
        <f>IF(T72="","",VLOOKUP(Z72,Lists!$A$60:$B$111,2,FALSE))</f>
        <v/>
      </c>
      <c r="AD72" s="130" t="str">
        <f t="shared" si="14"/>
        <v/>
      </c>
      <c r="AE72" s="130" t="e">
        <f t="shared" si="15"/>
        <v>#VALUE!</v>
      </c>
      <c r="AF72" s="130">
        <f t="shared" si="16"/>
        <v>1</v>
      </c>
      <c r="AG72" s="234">
        <f t="shared" si="1"/>
        <v>0</v>
      </c>
      <c r="AH72" s="1753" t="str">
        <f>IF(T72="","",(IF(ISNUMBER(SEARCH("exit",T72)),8760,IF(AND(M72="Dusk to Dawn",'Proposed Lighting'!AU72=3),4059,IF(AND(AU72=3,M72="1"),0,IF(AND(AU72=3,M72="1-C"),0,IF(AND(AU72=3,M72="2"),0,IF(AND(AU72=3,M72="2-C"),0,IF(AND(AU72=3,M72="3"),0,IF(AND(AU72=3,M72="3-C"),0,IF(AND(AU72=2,M72="Dusk to Dawn"),0,IF(AND(AU72=2,M72="Dusk to Dawn-C"),0,IF(AND(AU72=2,M72="Dusk to Dawn"),0,IF(AND(AU72=2,M72="E"),0,IF(AND(AU72=2,M72="E-C"),0,EG72)))))))))))))))</f>
        <v/>
      </c>
      <c r="AI72" s="1754"/>
      <c r="AJ72" s="1136"/>
      <c r="AK72" s="1136"/>
      <c r="AL72" s="1748">
        <f t="shared" si="64"/>
        <v>0</v>
      </c>
      <c r="AM72" s="1749"/>
      <c r="AN72" s="1750"/>
      <c r="AO72" s="476">
        <f t="shared" si="2"/>
        <v>0</v>
      </c>
      <c r="AP72" s="476">
        <f t="shared" si="17"/>
        <v>0</v>
      </c>
      <c r="AQ72" s="475">
        <f t="shared" si="3"/>
        <v>0</v>
      </c>
      <c r="AR72" s="475">
        <f t="shared" si="18"/>
        <v>0</v>
      </c>
      <c r="AS72" s="743" t="str">
        <f t="shared" si="79"/>
        <v/>
      </c>
      <c r="AT72" s="736" t="str">
        <f t="shared" si="20"/>
        <v/>
      </c>
      <c r="AU72" s="56">
        <f t="shared" si="21"/>
        <v>1</v>
      </c>
      <c r="AV72" s="476">
        <f t="shared" si="22"/>
        <v>0</v>
      </c>
      <c r="AW72" s="56">
        <f t="shared" si="23"/>
        <v>0</v>
      </c>
      <c r="AX72" s="475">
        <f t="shared" si="65"/>
        <v>0</v>
      </c>
      <c r="AY72" s="1169">
        <f t="shared" si="66"/>
        <v>0</v>
      </c>
      <c r="AZ72" s="1150">
        <f t="shared" si="67"/>
        <v>0</v>
      </c>
      <c r="BA72" s="56">
        <f t="shared" si="68"/>
        <v>0</v>
      </c>
      <c r="BB72" s="420">
        <f t="shared" si="4"/>
        <v>0</v>
      </c>
      <c r="BC72" s="58" t="str">
        <f t="shared" si="5"/>
        <v/>
      </c>
      <c r="BD72" s="660">
        <f t="shared" si="69"/>
        <v>0</v>
      </c>
      <c r="BE72" s="57" t="e">
        <f t="array" ref="BE72">INDEX($EB$11:$ED$1022,MATCH(F72&amp;T72,$EB$11:$EB$1007&amp;$EC$11:$EC$1007,0),3)</f>
        <v>#N/A</v>
      </c>
      <c r="BF72" s="463">
        <f t="shared" si="24"/>
        <v>0</v>
      </c>
      <c r="BG72" s="1445" t="e">
        <f t="array" ref="BG72">INDEX($DO$112:$DQ$123,MATCH(T72&amp;W72,$DO$114:$DO$125&amp;$DP$112:$DP$123,0),3)</f>
        <v>#N/A</v>
      </c>
      <c r="BH72" s="1446">
        <f t="shared" si="25"/>
        <v>0</v>
      </c>
      <c r="BI72" s="465">
        <f t="shared" si="26"/>
        <v>0</v>
      </c>
      <c r="BJ72" s="465">
        <f t="shared" si="27"/>
        <v>0</v>
      </c>
      <c r="BK72" s="466">
        <f t="shared" si="28"/>
        <v>0</v>
      </c>
      <c r="BL72" s="466">
        <f t="shared" si="29"/>
        <v>0</v>
      </c>
      <c r="BM72" s="466">
        <f t="shared" si="30"/>
        <v>0</v>
      </c>
      <c r="BN72" s="466">
        <f t="shared" si="31"/>
        <v>0</v>
      </c>
      <c r="BO72" s="463">
        <f>IF('Data Entry'!$C$74=0,0,IF(ISNA(CJ72),0,IF(AX72=0,0,IF(AND('Data Entry'!$C$74=2,AF72&gt;2,CE72&lt;1),0,IF(AND('Data Entry'!$C$74=2,AF72&gt;1,AU72=2,CJ72&gt;1),0,IF(AND(AF72=5,CT72=0.5,AU72=2,ER72&lt;100),0,IF(AND(AF72=5,CT72=0.5,AU72=3,ER72&lt;100),0,IF(AND('Data Entry'!$C$74=2,AF72=2,AU72=2,AK72&gt;0.01,CB72=2,CE72&lt;1),0,IF(AND('Data Entry'!$C$74=2,AF72=3,AU72=3,AK72&gt;0.01,CB72=3,CE72&lt;1),0,IF(AND('Data Entry'!$C$74=2,AF72=3,AU72=3,AK72&gt;0.01,CB72=3,CE72&gt;0.99),BQ72*0.08,IF(AND('Data Entry'!$C$74=2,AF72=2,AU72=2,AK72&gt;0.01,CB72=2,CE72&gt;0.99),BQ72*0.1,IF(AND(AU72=2,AK72&gt;0.01,CB72=2,CD72&gt;1),BQ72*0.1,IF(AND(AU72=3,AK72&gt;0.01,CB72=3,CD72&gt;1),BQ72*0.08,CJ72*EF72)))))))))))))</f>
        <v>0</v>
      </c>
      <c r="BP72" s="475">
        <f t="shared" si="32"/>
        <v>0</v>
      </c>
      <c r="BQ72" s="1431">
        <f>IF(AU72=1,0,IF(CH72=100,0,IF(AND(AF72=3,AU72=2),0,IF(AND(BH72=0,CT72&gt;0.4),0,IF(AND('Data Entry'!$C$74=2,AF72=1.5),0,IF(AND('Data Entry'!$C$74=2,AF72=1.6),0,IF(AND('Data Entry'!$C$74=2,AF72=4),0,IF(AND('Data Entry'!$C$74=2,AF72=5),0,IF(AND('Data Entry'!$C$74=2,AF72=2.5,CE72&lt;1),0,IF(AND('Data Entry'!$C$74=2,AF72=3,CE72&lt;1),0,IF(AND('Data Entry'!$C$74=1,AF72=2.5,CD72&lt;1),0,IF(AND('Data Entry'!$C$74=1,AF72=3,CD72&lt;1),0,IF(DX72&gt;0.01,DX72,IF(ISERROR(AX72-AY72),"",ROUND(AX72-AY72,2)))))))))))))))</f>
        <v>0</v>
      </c>
      <c r="BR72" s="146">
        <f t="shared" si="33"/>
        <v>0</v>
      </c>
      <c r="BS72" s="475">
        <f t="shared" si="34"/>
        <v>0</v>
      </c>
      <c r="BT72" s="146" t="b">
        <f t="shared" si="35"/>
        <v>0</v>
      </c>
      <c r="BU72" s="463">
        <f>IF(ISNA(AT72),0,IF(AND('Data Entry'!$C$74=2,BC72=27),0,IF(AND('Data Entry'!$C$74=2,BC72=28),0,IF(AND(BC72=27,BT72=27,CM72&gt;0.1),CM72*0.15,IF(AND(BC72=28,BT72=28,CM72&gt;0.1),CM72*0.12,0)))))</f>
        <v>0</v>
      </c>
      <c r="BV72" s="463">
        <f t="shared" si="78"/>
        <v>0</v>
      </c>
      <c r="BW72" s="463">
        <f t="shared" si="37"/>
        <v>0</v>
      </c>
      <c r="BX72" s="463">
        <f t="shared" si="38"/>
        <v>0</v>
      </c>
      <c r="BY72" s="463">
        <f t="shared" si="39"/>
        <v>0</v>
      </c>
      <c r="BZ72" s="463">
        <f t="shared" si="40"/>
        <v>0</v>
      </c>
      <c r="CA72" s="57">
        <f t="shared" si="70"/>
        <v>0</v>
      </c>
      <c r="CB72" s="56">
        <f t="shared" si="41"/>
        <v>1</v>
      </c>
      <c r="CC72" s="756">
        <f>IF(EE72=0,0,IF(EF72=0,0,IF(EE72&gt;AA72,0,IF(AND(AZ72&gt;AW72,AW72&gt;0),0,IF(CU72=0,0,Summary!AC375)))))</f>
        <v>0</v>
      </c>
      <c r="CD72" s="756">
        <f>IF(EE72=0,0,IF(EF72=0,0,IF(EE72&gt;AA72,0,IF(AND(AZ72&gt;AW72,AW72&gt;0),0,IF(CU72=0,0,Summary!AD375)))))</f>
        <v>0</v>
      </c>
      <c r="CE72" s="756">
        <f>IF(EF72=0,0,IF(EE72&gt;AA72,0,IF(CC72=0,0,IF(AND(AZ72&gt;AW72,AW72&gt;0),0,IF(CU72=0,0,Summary!AE375)))))</f>
        <v>0</v>
      </c>
      <c r="CF72" s="475">
        <f t="shared" si="42"/>
        <v>0</v>
      </c>
      <c r="CG72" s="476">
        <f t="shared" si="6"/>
        <v>0</v>
      </c>
      <c r="CH72" s="487">
        <f t="shared" si="43"/>
        <v>0</v>
      </c>
      <c r="CI72" s="756">
        <f t="shared" si="44"/>
        <v>0</v>
      </c>
      <c r="CJ72" s="487">
        <f>IF(CT72&gt;0.4,0,IF(AND(AU72=2,CH72=0,CT72=0.5,ER72=100),35,IF(AND(AU72=3,BB72&gt;75,CH72=0,CT72=0.5,ER72=100),25,IF(CB72&gt;1,0,IF(EF72&gt;EE72,0,IF(AND(AF72&gt;1,CH72=100),0,IF(AND(AF72=1,AY72=0),0,IF(AND(EF72&lt;=EE72,AW72&gt;=AZ72,'Data Entry'!$C$74=1,AU72=2),VLOOKUP(W72,$DO$96:$DP$102,2,FALSE),IF(AND(EF72&lt;=EE72,AW72&gt;=AZ72,AU72=3,'Data Entry'!$C$74=1),VLOOKUP(W72,$DO$127:$DP$134,2,FALSE))))))))))</f>
        <v>0</v>
      </c>
      <c r="CK72" s="716">
        <f t="shared" si="45"/>
        <v>0</v>
      </c>
      <c r="CL72" s="57">
        <f t="shared" si="46"/>
        <v>0</v>
      </c>
      <c r="CM72" s="475">
        <f t="shared" si="77"/>
        <v>0</v>
      </c>
      <c r="CN72" s="660">
        <f>IF(CM72&lt;0.1,0,IF(ISNA(AT72),0,IF(CL72+BC72=1,0,IF(BV72&gt;0.01,0,IF(CL72&gt;0.01,0,IF(CF72=1,0,IF(BC72=0.5,0,IF(AND(CI72=1,AU72=3),0,IF(AND(CI72=5,CL72=0),0,IF(AND(R72=12,BR72=50),0,IF(CK72&gt;0.01,0,IF(AND(AJ72&gt;0.01,AU72=2,BC72=15),CM72*0.1,IF(AND(AJ72&gt;0.01,AU72=3,BC72=15),CM72*0.08,IF(AND(R72=12,BC72=3,AF72&lt;=0),0,IF(AND(BC72=15,BI72=0),0,IF(AND(BC72=15,BJ72=0),0,IF(AND(R72=20,CU72=0),0,IF($X$4=0,0,IF(AND(BC72=250,CL72=0),0,IF(AA72&lt;1,0,IF(AND(ISNUMBER(SEARCH("Area",T72)),AU72=3),0,IF(AND(AQ72&gt;0.01,AR72=0,BK72=0,BL72=0,BM72=0,BN72=0),0,IF(AND(AU72=3,CI72=7,CT72&gt;0.5),0,IF(AND(BC72=44,AU72=3,BY72=0),0,IF(AND(BC72=27,'Data Entry'!$C$74=2),0,IF(AND(BC72=28,'Data Entry'!$C$74=2),0,IF(AND(BY72+BZ72+CA72&gt;0.01,BV72=0,EQ72+ER72+ES72+ET72&lt;100),0,IF(AU72=3,CM72*0.08,IF(AU72=2,CM72*0.1,0)))))))))))))))))))))))))))))</f>
        <v>0</v>
      </c>
      <c r="CO72" s="660">
        <f t="shared" si="47"/>
        <v>0</v>
      </c>
      <c r="CP72" s="475" t="str">
        <f t="shared" si="48"/>
        <v/>
      </c>
      <c r="CQ72" s="161" t="str">
        <f>IF(AH72=0,0,IF(AU72=5,0,Summary!AC75))</f>
        <v/>
      </c>
      <c r="CR72" s="161" t="str">
        <f>IF(BF72=0.5,0,IF(AU72=5,0,Summary!AD75))</f>
        <v/>
      </c>
      <c r="CS72" s="161" t="str">
        <f>IF(AU72=5,0,Summary!AE75)</f>
        <v/>
      </c>
      <c r="CT72" s="161">
        <f t="shared" si="49"/>
        <v>0</v>
      </c>
      <c r="CU72" s="475" t="str">
        <f t="shared" si="7"/>
        <v/>
      </c>
      <c r="CV72" s="307">
        <f>IF('Data Entry'!$C$74=0,0,IF(AA72&lt;1,0,IF(ISERROR(CU72),0,IF(CF72=1,0,IF(AND(R72=12,BR72=50),0,IF(CL72+BO72+BV72+DC72=0,0,IF(BC72=37,0,IF(AND(BC72=40,AJ72=0),0,IF(AND(BC72=37,BO72&gt;0.01,BQ72&gt;0.01),ROUND(BQ72,0),IF(CM72&lt;0,0,ROUND(CM72,0)))))))))))</f>
        <v>0</v>
      </c>
      <c r="CW72" s="700">
        <f t="shared" si="50"/>
        <v>0</v>
      </c>
      <c r="CX72" s="477">
        <f>IF('Data Entry'!$C$74=0,0,IF(CV72&lt;0.01,0,IF(BF72=0.5,0,IF(CF72=1,0,IF(ISNUMBER(SEARCH("false",CL72)),0,IF(AZ72=500,0,CL72))))))</f>
        <v>0</v>
      </c>
      <c r="CY72" s="147" t="e">
        <f t="shared" si="51"/>
        <v>#VALUE!</v>
      </c>
      <c r="CZ72" s="147" t="b">
        <f>IF(CN72+CL72=0,FALSE,IF(AH72=0,0,IF(AND('Data Entry'!$C$74=1,CR72&gt;=1),TRUE,IF(AND('Data Entry'!$C$74=2,CS72&gt;=1),TRUE,FALSE))))</f>
        <v>0</v>
      </c>
      <c r="DA72" s="1751">
        <f>IF('Data Entry'!$C$74=0,0,IFERROR(ROUND(IF(T72="","",IF($X$4=0,0,IF(CF72=1,0,IF(BQ72+CV72=0,0,IF(CF72=1,0,IF(CY72&gt;0.01,CY72,IF(CL72&gt;0.01,CL72,IF(CY72&gt;0.01,CY72,IF(BC72=37,BO72,IF(CZ72=FALSE,0,IF(CZ72=TRUE,DC72+DF72,0))))))))))),2),""))</f>
        <v>0</v>
      </c>
      <c r="DB72" s="1752"/>
      <c r="DC72" s="474">
        <f>IF(CN72&lt;0.01,0,IF(AND(BR72=3,CN72&gt;0.01,CT72&gt;0.6,ER72+ES72+ET72&lt;100),0,IF(AND('Data Entry'!$C$74=1,CN72&gt;0.01,CR72&gt;0.99),MIN(CN72:CO72),IF(AND('Data Entry'!$C$74=2,CN72&gt;0.01,CS72&gt;0.99),MIN(CN72:CO72),0))))</f>
        <v>0</v>
      </c>
      <c r="DD72" s="478">
        <f>IF(CF72=1,"Selection does not match",IF(T72=0,0,IF(AND('Data Entry'!$C$74=0,CP72&gt;1),"Select Oregon or Idaho on Data Entry Tab",IF(AND(AU72=1,AA72&gt;0.9),"Missing Interior or Exterior Selection",IF($X$4=0,"Enter Total Project Cost",IF(AQ72&lt;AR72,"Insufficient kWh savings – no incentive",IF(AND(SUM(CL72+CK72+BV72)&gt;0.01,'Data Entry'!$C$74=2,CJ72&gt;1,BO72=0),"Submit Control as Non-Standard",IF(AND('Data Entry'!$C$74=2,BR72=37,CJ72&gt;1,BO72=0),"Submit Control as Non-Standard",IF(SUM(CL72+CK72+BV72)&gt;0.01,"Standard Incentive",IF(AND('Data Entry'!$C$74=2,CP72=7,CN72=0),"Submit as Non-Standard",IF(DC72&gt;0.9,"Non-Standard Incentive",IF(AND(BY72+BZ72+CA72&gt;0.01,BV72=0,EQ72=0,ER72=0,ES72=0,ET72=0),"Scroll Right &amp; Select Control Strategies",IF(AND(CN72&gt;0.01,CO72=0),"Enter Unit Installed Cost",IF(ISNUMBER(SEARCH("Lighting Controls Only",F72)),"Lighting Controls Only",IF(CL72+DC72=0,"Does not meet incentive criteria",0)))))))))))))))</f>
        <v>0</v>
      </c>
      <c r="DE72" s="337">
        <f t="shared" si="52"/>
        <v>0</v>
      </c>
      <c r="DF72" s="609">
        <f t="shared" si="53"/>
        <v>0</v>
      </c>
      <c r="DG72" s="336" t="str">
        <f t="shared" si="54"/>
        <v/>
      </c>
      <c r="DH72" s="338">
        <f t="shared" si="55"/>
        <v>1</v>
      </c>
      <c r="DI72" s="336" t="e">
        <f t="shared" si="8"/>
        <v>#VALUE!</v>
      </c>
      <c r="DJ72" s="338">
        <f t="shared" si="9"/>
        <v>0</v>
      </c>
      <c r="DK72" s="630" t="s">
        <v>183</v>
      </c>
      <c r="DL72" s="323">
        <v>75</v>
      </c>
      <c r="DM72" s="630" t="s">
        <v>514</v>
      </c>
      <c r="DN72" s="1439">
        <v>16</v>
      </c>
      <c r="DO72" s="1513" t="s">
        <v>1488</v>
      </c>
      <c r="DP72" s="1541">
        <v>0.7</v>
      </c>
      <c r="DQ72" s="331"/>
      <c r="DR72" s="458"/>
      <c r="DS72" s="1195">
        <f t="shared" si="56"/>
        <v>0</v>
      </c>
      <c r="DT72" s="344" t="b">
        <f t="shared" si="57"/>
        <v>1</v>
      </c>
      <c r="DU72" s="1314" t="str">
        <f t="array" ref="DU72">IF(OR(COUNTIF(F72,"*"&amp;$DK$9:$DK$178&amp;"*")), "Yes", "")</f>
        <v/>
      </c>
      <c r="DV72" s="1314">
        <f t="shared" si="58"/>
        <v>0</v>
      </c>
      <c r="DW72" s="1480">
        <f t="shared" si="59"/>
        <v>0</v>
      </c>
      <c r="DX72" s="1498">
        <f t="shared" si="71"/>
        <v>0</v>
      </c>
      <c r="DY72" s="1484">
        <f t="shared" si="60"/>
        <v>0</v>
      </c>
      <c r="DZ72" s="331"/>
      <c r="EA72" s="392"/>
      <c r="EB72" s="1499" t="s">
        <v>164</v>
      </c>
      <c r="EC72" s="727" t="s">
        <v>1568</v>
      </c>
      <c r="ED72" s="728">
        <v>0.5</v>
      </c>
      <c r="EE72" s="1215"/>
      <c r="EF72" s="1215"/>
      <c r="EG72" s="1184" t="str">
        <f t="shared" si="61"/>
        <v/>
      </c>
      <c r="EH72" s="55"/>
      <c r="EI72" s="55"/>
      <c r="EJ72" s="1185">
        <f t="shared" si="10"/>
        <v>0</v>
      </c>
      <c r="EK72" s="1211"/>
      <c r="EL72" s="1180">
        <f t="shared" si="72"/>
        <v>0</v>
      </c>
      <c r="EM72" s="207"/>
      <c r="EN72" s="1038"/>
      <c r="EO72" s="1038"/>
      <c r="EP72" s="1038"/>
      <c r="EQ72" s="1038">
        <f t="shared" si="62"/>
        <v>0</v>
      </c>
      <c r="ER72" s="1041">
        <f t="shared" si="75"/>
        <v>0</v>
      </c>
      <c r="ES72" s="1042">
        <f t="shared" si="63"/>
        <v>0</v>
      </c>
      <c r="ET72" s="1042">
        <f t="shared" si="73"/>
        <v>0</v>
      </c>
      <c r="EU72" s="1021">
        <f t="shared" si="74"/>
        <v>0</v>
      </c>
      <c r="EV72" s="368"/>
      <c r="EW72" s="368"/>
      <c r="EX72" s="369"/>
      <c r="EY72" s="370"/>
      <c r="EZ72" s="370"/>
      <c r="FA72" s="371"/>
      <c r="FB72" s="372"/>
    </row>
    <row r="73" spans="1:158" ht="34.5" customHeight="1">
      <c r="A73" s="82">
        <v>65</v>
      </c>
      <c r="B73" s="1725"/>
      <c r="C73" s="1726"/>
      <c r="D73" s="1726"/>
      <c r="E73" s="1727"/>
      <c r="F73" s="1732"/>
      <c r="G73" s="1733"/>
      <c r="H73" s="1733"/>
      <c r="I73" s="1734"/>
      <c r="J73" s="1341"/>
      <c r="K73" s="1728"/>
      <c r="L73" s="1728"/>
      <c r="M73" s="1342"/>
      <c r="N73" s="1583"/>
      <c r="O73" s="208" t="str">
        <f t="shared" ref="O73:O136" si="80">IF(F73="","",VLOOKUP(F73,$DK$5:$DL$202,2,FALSE))</f>
        <v/>
      </c>
      <c r="P73" s="785"/>
      <c r="Q73" s="39" t="str">
        <f t="shared" ref="Q73:Q136" si="81">IF(F73="","",VLOOKUP(F73,$DM$9:$DN$177,2,FALSE))</f>
        <v/>
      </c>
      <c r="R73" s="39">
        <f t="shared" si="12"/>
        <v>0</v>
      </c>
      <c r="S73" s="234">
        <f t="shared" si="13"/>
        <v>0</v>
      </c>
      <c r="T73" s="1755"/>
      <c r="U73" s="1755"/>
      <c r="V73" s="1755"/>
      <c r="W73" s="1345"/>
      <c r="X73" s="1741"/>
      <c r="Y73" s="1742"/>
      <c r="Z73" s="1346"/>
      <c r="AA73" s="1343"/>
      <c r="AB73" s="1141"/>
      <c r="AC73" s="1103" t="str">
        <f>IF(T73="","",VLOOKUP(Z73,Lists!$A$60:$B$111,2,FALSE))</f>
        <v/>
      </c>
      <c r="AD73" s="130" t="str">
        <f t="shared" si="14"/>
        <v/>
      </c>
      <c r="AE73" s="130" t="e">
        <f t="shared" si="15"/>
        <v>#VALUE!</v>
      </c>
      <c r="AF73" s="130">
        <f t="shared" si="16"/>
        <v>1</v>
      </c>
      <c r="AG73" s="234">
        <f t="shared" ref="AG73:AG136" si="82">IF(ISNUMBER(SEARCH("controls",F73)),0,AR73)</f>
        <v>0</v>
      </c>
      <c r="AH73" s="1753" t="str">
        <f>IF(T73="","",(IF(ISNUMBER(SEARCH("exit",T73)),8760,IF(AND(M73="Dusk to Dawn",'Proposed Lighting'!AU73=3),4059,IF(AND(AU73=3,M73="1"),0,IF(AND(AU73=3,M73="1-C"),0,IF(AND(AU73=3,M73="2"),0,IF(AND(AU73=3,M73="2-C"),0,IF(AND(AU73=3,M73="3"),0,IF(AND(AU73=3,M73="3-C"),0,IF(AND(AU73=2,M73="Dusk to Dawn"),0,IF(AND(AU73=2,M73="Dusk to Dawn-C"),0,IF(AND(AU73=2,M73="Dusk to Dawn"),0,IF(AND(AU73=2,M73="E"),0,IF(AND(AU73=2,M73="E-C"),0,EG73)))))))))))))))</f>
        <v/>
      </c>
      <c r="AI73" s="1754"/>
      <c r="AJ73" s="1136"/>
      <c r="AK73" s="1136"/>
      <c r="AL73" s="1748">
        <f t="shared" si="64"/>
        <v>0</v>
      </c>
      <c r="AM73" s="1749"/>
      <c r="AN73" s="1750"/>
      <c r="AO73" s="476">
        <f t="shared" ref="AO73:AO136" si="83">IF(ISNUMBER(SEARCH("controls",F73)),0,IF(ISBLANK(F73),0,IF(P73&gt;0.01,P73*N73/1000,O73*N73/1000)))</f>
        <v>0</v>
      </c>
      <c r="AP73" s="476">
        <f t="shared" si="17"/>
        <v>0</v>
      </c>
      <c r="AQ73" s="475">
        <f t="shared" ref="AQ73:AQ136" si="84">IF(ISNUMBER(SEARCH("controls",F73)),0,IF(AU73=1,0,IF(EJ73&gt;0.01,EG73*0.9*N73*AS73/1000,AO73*AH73)))</f>
        <v>0</v>
      </c>
      <c r="AR73" s="475">
        <f t="shared" si="18"/>
        <v>0</v>
      </c>
      <c r="AS73" s="743" t="str">
        <f t="shared" si="79"/>
        <v/>
      </c>
      <c r="AT73" s="736" t="str">
        <f t="shared" si="20"/>
        <v/>
      </c>
      <c r="AU73" s="56">
        <f t="shared" si="21"/>
        <v>1</v>
      </c>
      <c r="AV73" s="476">
        <f t="shared" si="22"/>
        <v>0</v>
      </c>
      <c r="AW73" s="56">
        <f t="shared" si="23"/>
        <v>0</v>
      </c>
      <c r="AX73" s="475">
        <f t="shared" ref="AX73:AX136" si="85">IF(EE73=0,0,IF(AW73=0,0,IF(EF73=0,0,IF(EE73&gt;AA73,0,IF(EJ73&gt;0.01,(EE73*AT73)*EJ73/1000,(EE73*AT73)*CU73/1000)))))</f>
        <v>0</v>
      </c>
      <c r="AY73" s="1169">
        <f t="shared" si="66"/>
        <v>0</v>
      </c>
      <c r="AZ73" s="1150">
        <f t="shared" si="67"/>
        <v>0</v>
      </c>
      <c r="BA73" s="56">
        <f t="shared" ref="BA73:BA136" si="86">IF(AND(AK73&gt;0.01,AF73&gt;1,EF73&gt;0.5),EF73*AK73,IF(AND(BQ73&gt;0,AK73&gt;0),AK73*EF73,0))</f>
        <v>0</v>
      </c>
      <c r="BB73" s="420">
        <f t="shared" ref="BB73:BB136" si="87">IF(AV73=0,0,IF(AND(AV73&gt;0.01,DS73&lt;2),0,IF(AF73&lt;2,0,AC73*EE73/EF73)))</f>
        <v>0</v>
      </c>
      <c r="BC73" s="58" t="str">
        <f t="shared" ref="BC73:BC136" si="88">IF(T73="","",VLOOKUP(T73,$DQ$193:$DR$237,2,FALSE))</f>
        <v/>
      </c>
      <c r="BD73" s="660">
        <f t="shared" si="69"/>
        <v>0</v>
      </c>
      <c r="BE73" s="57" t="e">
        <f t="array" ref="BE73">INDEX($EB$11:$ED$1022,MATCH(F73&amp;T73,$EB$11:$EB$1007&amp;$EC$11:$EC$1007,0),3)</f>
        <v>#N/A</v>
      </c>
      <c r="BF73" s="463">
        <f t="shared" si="24"/>
        <v>0</v>
      </c>
      <c r="BG73" s="1445" t="e">
        <f t="array" ref="BG73">INDEX($DO$112:$DQ$123,MATCH(T73&amp;W73,$DO$114:$DO$125&amp;$DP$112:$DP$123,0),3)</f>
        <v>#N/A</v>
      </c>
      <c r="BH73" s="1446">
        <f t="shared" si="25"/>
        <v>0</v>
      </c>
      <c r="BI73" s="465">
        <f t="shared" si="26"/>
        <v>0</v>
      </c>
      <c r="BJ73" s="465">
        <f t="shared" si="27"/>
        <v>0</v>
      </c>
      <c r="BK73" s="466">
        <f t="shared" si="28"/>
        <v>0</v>
      </c>
      <c r="BL73" s="466">
        <f t="shared" si="29"/>
        <v>0</v>
      </c>
      <c r="BM73" s="466">
        <f t="shared" si="30"/>
        <v>0</v>
      </c>
      <c r="BN73" s="466">
        <f t="shared" si="31"/>
        <v>0</v>
      </c>
      <c r="BO73" s="463">
        <f>IF('Data Entry'!$C$74=0,0,IF(ISNA(CJ73),0,IF(AX73=0,0,IF(AND('Data Entry'!$C$74=2,AF73&gt;2,CE73&lt;1),0,IF(AND('Data Entry'!$C$74=2,AF73&gt;1,AU73=2,CJ73&gt;1),0,IF(AND(AF73=5,CT73=0.5,AU73=2,ER73&lt;100),0,IF(AND(AF73=5,CT73=0.5,AU73=3,ER73&lt;100),0,IF(AND('Data Entry'!$C$74=2,AF73=2,AU73=2,AK73&gt;0.01,CB73=2,CE73&lt;1),0,IF(AND('Data Entry'!$C$74=2,AF73=3,AU73=3,AK73&gt;0.01,CB73=3,CE73&lt;1),0,IF(AND('Data Entry'!$C$74=2,AF73=3,AU73=3,AK73&gt;0.01,CB73=3,CE73&gt;0.99),BQ73*0.08,IF(AND('Data Entry'!$C$74=2,AF73=2,AU73=2,AK73&gt;0.01,CB73=2,CE73&gt;0.99),BQ73*0.1,IF(AND(AU73=2,AK73&gt;0.01,CB73=2,CD73&gt;1),BQ73*0.1,IF(AND(AU73=3,AK73&gt;0.01,CB73=3,CD73&gt;1),BQ73*0.08,CJ73*EF73)))))))))))))</f>
        <v>0</v>
      </c>
      <c r="BP73" s="475">
        <f t="shared" si="32"/>
        <v>0</v>
      </c>
      <c r="BQ73" s="1431">
        <f>IF(AU73=1,0,IF(CH73=100,0,IF(AND(AF73=3,AU73=2),0,IF(AND(BH73=0,CT73&gt;0.4),0,IF(AND('Data Entry'!$C$74=2,AF73=1.5),0,IF(AND('Data Entry'!$C$74=2,AF73=1.6),0,IF(AND('Data Entry'!$C$74=2,AF73=4),0,IF(AND('Data Entry'!$C$74=2,AF73=5),0,IF(AND('Data Entry'!$C$74=2,AF73=2.5,CE73&lt;1),0,IF(AND('Data Entry'!$C$74=2,AF73=3,CE73&lt;1),0,IF(AND('Data Entry'!$C$74=1,AF73=2.5,CD73&lt;1),0,IF(AND('Data Entry'!$C$74=1,AF73=3,CD73&lt;1),0,IF(DX73&gt;0.01,DX73,IF(ISERROR(AX73-AY73),"",ROUND(AX73-AY73,2)))))))))))))))</f>
        <v>0</v>
      </c>
      <c r="BR73" s="146">
        <f t="shared" si="33"/>
        <v>0</v>
      </c>
      <c r="BS73" s="475">
        <f t="shared" si="34"/>
        <v>0</v>
      </c>
      <c r="BT73" s="146" t="b">
        <f t="shared" si="35"/>
        <v>0</v>
      </c>
      <c r="BU73" s="463">
        <f>IF(ISNA(AT73),0,IF(AND('Data Entry'!$C$74=2,BC73=27),0,IF(AND('Data Entry'!$C$74=2,BC73=28),0,IF(AND(BC73=27,BT73=27,CM73&gt;0.1),CM73*0.15,IF(AND(BC73=28,BT73=28,CM73&gt;0.1),CM73*0.12,0)))))</f>
        <v>0</v>
      </c>
      <c r="BV73" s="463">
        <f t="shared" si="78"/>
        <v>0</v>
      </c>
      <c r="BW73" s="463">
        <f t="shared" si="37"/>
        <v>0</v>
      </c>
      <c r="BX73" s="463">
        <f t="shared" si="38"/>
        <v>0</v>
      </c>
      <c r="BY73" s="463">
        <f t="shared" si="39"/>
        <v>0</v>
      </c>
      <c r="BZ73" s="463">
        <f t="shared" si="40"/>
        <v>0</v>
      </c>
      <c r="CA73" s="57">
        <f t="shared" si="70"/>
        <v>0</v>
      </c>
      <c r="CB73" s="56">
        <f t="shared" si="41"/>
        <v>1</v>
      </c>
      <c r="CC73" s="756">
        <f>IF(EE73=0,0,IF(EF73=0,0,IF(EE73&gt;AA73,0,IF(AND(AZ73&gt;AW73,AW73&gt;0),0,IF(CU73=0,0,Summary!AC376)))))</f>
        <v>0</v>
      </c>
      <c r="CD73" s="756">
        <f>IF(EE73=0,0,IF(EF73=0,0,IF(EE73&gt;AA73,0,IF(AND(AZ73&gt;AW73,AW73&gt;0),0,IF(CU73=0,0,Summary!AD376)))))</f>
        <v>0</v>
      </c>
      <c r="CE73" s="756">
        <f>IF(EF73=0,0,IF(EE73&gt;AA73,0,IF(CC73=0,0,IF(AND(AZ73&gt;AW73,AW73&gt;0),0,IF(CU73=0,0,Summary!AE376)))))</f>
        <v>0</v>
      </c>
      <c r="CF73" s="475">
        <f t="shared" si="42"/>
        <v>0</v>
      </c>
      <c r="CG73" s="476">
        <f t="shared" ref="CG73:CG136" si="89">IF(CV73&lt;0,0,IF(DA73=0,0,AR73))</f>
        <v>0</v>
      </c>
      <c r="CH73" s="487">
        <f t="shared" si="43"/>
        <v>0</v>
      </c>
      <c r="CI73" s="756">
        <f t="shared" si="44"/>
        <v>0</v>
      </c>
      <c r="CJ73" s="487">
        <f>IF(CT73&gt;0.4,0,IF(AND(AU73=2,CH73=0,CT73=0.5,ER73=100),35,IF(AND(AU73=3,BB73&gt;75,CH73=0,CT73=0.5,ER73=100),25,IF(CB73&gt;1,0,IF(EF73&gt;EE73,0,IF(AND(AF73&gt;1,CH73=100),0,IF(AND(AF73=1,AY73=0),0,IF(AND(EF73&lt;=EE73,AW73&gt;=AZ73,'Data Entry'!$C$74=1,AU73=2),VLOOKUP(W73,$DO$96:$DP$102,2,FALSE),IF(AND(EF73&lt;=EE73,AW73&gt;=AZ73,AU73=3,'Data Entry'!$C$74=1),VLOOKUP(W73,$DO$127:$DP$134,2,FALSE))))))))))</f>
        <v>0</v>
      </c>
      <c r="CK73" s="716">
        <f t="shared" si="45"/>
        <v>0</v>
      </c>
      <c r="CL73" s="57">
        <f t="shared" si="46"/>
        <v>0</v>
      </c>
      <c r="CM73" s="475">
        <f t="shared" si="77"/>
        <v>0</v>
      </c>
      <c r="CN73" s="660">
        <f>IF(CM73&lt;0.1,0,IF(ISNA(AT73),0,IF(CL73+BC73=1,0,IF(BV73&gt;0.01,0,IF(CL73&gt;0.01,0,IF(CF73=1,0,IF(BC73=0.5,0,IF(AND(CI73=1,AU73=3),0,IF(AND(CI73=5,CL73=0),0,IF(AND(R73=12,BR73=50),0,IF(CK73&gt;0.01,0,IF(AND(AJ73&gt;0.01,AU73=2,BC73=15),CM73*0.1,IF(AND(AJ73&gt;0.01,AU73=3,BC73=15),CM73*0.08,IF(AND(R73=12,BC73=3,AF73&lt;=0),0,IF(AND(BC73=15,BI73=0),0,IF(AND(BC73=15,BJ73=0),0,IF(AND(R73=20,CU73=0),0,IF($X$4=0,0,IF(AND(BC73=250,CL73=0),0,IF(AA73&lt;1,0,IF(AND(ISNUMBER(SEARCH("Area",T73)),AU73=3),0,IF(AND(AQ73&gt;0.01,AR73=0,BK73=0,BL73=0,BM73=0,BN73=0),0,IF(AND(AU73=3,CI73=7,CT73&gt;0.5),0,IF(AND(BC73=44,AU73=3,BY73=0),0,IF(AND(BC73=27,'Data Entry'!$C$74=2),0,IF(AND(BC73=28,'Data Entry'!$C$74=2),0,IF(AND(BY73+BZ73+CA73&gt;0.01,BV73=0,EQ73+ER73+ES73+ET73&lt;100),0,IF(AU73=3,CM73*0.08,IF(AU73=2,CM73*0.1,0)))))))))))))))))))))))))))))</f>
        <v>0</v>
      </c>
      <c r="CO73" s="660">
        <f t="shared" si="47"/>
        <v>0</v>
      </c>
      <c r="CP73" s="475" t="str">
        <f t="shared" si="48"/>
        <v/>
      </c>
      <c r="CQ73" s="161" t="str">
        <f>IF(AH73=0,0,IF(AU73=5,0,Summary!AC76))</f>
        <v/>
      </c>
      <c r="CR73" s="161" t="str">
        <f>IF(BF73=0.5,0,IF(AU73=5,0,Summary!AD76))</f>
        <v/>
      </c>
      <c r="CS73" s="161" t="str">
        <f>IF(AU73=5,0,Summary!AE76)</f>
        <v/>
      </c>
      <c r="CT73" s="161">
        <f t="shared" si="49"/>
        <v>0</v>
      </c>
      <c r="CU73" s="475" t="str">
        <f t="shared" si="7"/>
        <v/>
      </c>
      <c r="CV73" s="307">
        <f>IF('Data Entry'!$C$74=0,0,IF(AA73&lt;1,0,IF(ISERROR(CU73),0,IF(CF73=1,0,IF(AND(R73=12,BR73=50),0,IF(CL73+BO73+BV73+DC73=0,0,IF(BC73=37,0,IF(AND(BC73=40,AJ73=0),0,IF(AND(BC73=37,BO73&gt;0.01,BQ73&gt;0.01),ROUND(BQ73,0),IF(CM73&lt;0,0,ROUND(CM73,0)))))))))))</f>
        <v>0</v>
      </c>
      <c r="CW73" s="700">
        <f t="shared" si="50"/>
        <v>0</v>
      </c>
      <c r="CX73" s="477">
        <f>IF('Data Entry'!$C$74=0,0,IF(CV73&lt;0.01,0,IF(BF73=0.5,0,IF(CF73=1,0,IF(ISNUMBER(SEARCH("false",CL73)),0,IF(AZ73=500,0,CL73))))))</f>
        <v>0</v>
      </c>
      <c r="CY73" s="147" t="e">
        <f t="shared" si="51"/>
        <v>#VALUE!</v>
      </c>
      <c r="CZ73" s="147" t="b">
        <f>IF(CN73+CL73=0,FALSE,IF(AH73=0,0,IF(AND('Data Entry'!$C$74=1,CR73&gt;=1),TRUE,IF(AND('Data Entry'!$C$74=2,CS73&gt;=1),TRUE,FALSE))))</f>
        <v>0</v>
      </c>
      <c r="DA73" s="1751">
        <f>IF('Data Entry'!$C$74=0,0,IFERROR(ROUND(IF(T73="","",IF($X$4=0,0,IF(CF73=1,0,IF(BQ73+CV73=0,0,IF(CF73=1,0,IF(CY73&gt;0.01,CY73,IF(CL73&gt;0.01,CL73,IF(CY73&gt;0.01,CY73,IF(BC73=37,BO73,IF(CZ73=FALSE,0,IF(CZ73=TRUE,DC73+DF73,0))))))))))),2),""))</f>
        <v>0</v>
      </c>
      <c r="DB73" s="1752"/>
      <c r="DC73" s="474">
        <f>IF(CN73&lt;0.01,0,IF(AND(BR73=3,CN73&gt;0.01,CT73&gt;0.6,ER73+ES73+ET73&lt;100),0,IF(AND('Data Entry'!$C$74=1,CN73&gt;0.01,CR73&gt;0.99),MIN(CN73:CO73),IF(AND('Data Entry'!$C$74=2,CN73&gt;0.01,CS73&gt;0.99),MIN(CN73:CO73),0))))</f>
        <v>0</v>
      </c>
      <c r="DD73" s="478">
        <f>IF(CF73=1,"Selection does not match",IF(T73=0,0,IF(AND('Data Entry'!$C$74=0,CP73&gt;1),"Select Oregon or Idaho on Data Entry Tab",IF(AND(AU73=1,AA73&gt;0.9),"Missing Interior or Exterior Selection",IF($X$4=0,"Enter Total Project Cost",IF(AQ73&lt;AR73,"Insufficient kWh savings – no incentive",IF(AND(SUM(CL73+CK73+BV73)&gt;0.01,'Data Entry'!$C$74=2,CJ73&gt;1,BO73=0),"Submit Control as Non-Standard",IF(AND('Data Entry'!$C$74=2,BR73=37,CJ73&gt;1,BO73=0),"Submit Control as Non-Standard",IF(SUM(CL73+CK73+BV73)&gt;0.01,"Standard Incentive",IF(AND('Data Entry'!$C$74=2,CP73=7,CN73=0),"Submit as Non-Standard",IF(DC73&gt;0.9,"Non-Standard Incentive",IF(AND(BY73+BZ73+CA73&gt;0.01,BV73=0,EQ73=0,ER73=0,ES73=0,ET73=0),"Scroll Right &amp; Select Control Strategies",IF(AND(CN73&gt;0.01,CO73=0),"Enter Unit Installed Cost",IF(ISNUMBER(SEARCH("Lighting Controls Only",F73)),"Lighting Controls Only",IF(CL73+DC73=0,"Does not meet incentive criteria",0)))))))))))))))</f>
        <v>0</v>
      </c>
      <c r="DE73" s="337">
        <f t="shared" si="52"/>
        <v>0</v>
      </c>
      <c r="DF73" s="609">
        <f t="shared" si="53"/>
        <v>0</v>
      </c>
      <c r="DG73" s="336" t="str">
        <f t="shared" si="54"/>
        <v/>
      </c>
      <c r="DH73" s="338">
        <f t="shared" si="55"/>
        <v>1</v>
      </c>
      <c r="DI73" s="336" t="e">
        <f t="shared" ref="DI73:DI136" si="90">Q73*N73</f>
        <v>#VALUE!</v>
      </c>
      <c r="DJ73" s="338">
        <f t="shared" ref="DJ73:DJ136" si="91">IF(DC73&gt;0.01,AL73,0)</f>
        <v>0</v>
      </c>
      <c r="DK73" s="327" t="s">
        <v>184</v>
      </c>
      <c r="DL73" s="323">
        <v>100</v>
      </c>
      <c r="DM73" s="327" t="s">
        <v>463</v>
      </c>
      <c r="DN73" s="1439">
        <v>24</v>
      </c>
      <c r="DO73" s="1513" t="s">
        <v>1762</v>
      </c>
      <c r="DP73" s="1519">
        <v>0</v>
      </c>
      <c r="DQ73" s="331"/>
      <c r="DR73" s="458"/>
      <c r="DS73" s="1195">
        <f t="shared" si="56"/>
        <v>0</v>
      </c>
      <c r="DT73" s="344" t="b">
        <f t="shared" si="57"/>
        <v>1</v>
      </c>
      <c r="DU73" s="1314" t="str">
        <f t="array" ref="DU73">IF(OR(COUNTIF(F73,"*"&amp;$DK$9:$DK$178&amp;"*")), "Yes", "")</f>
        <v/>
      </c>
      <c r="DV73" s="1314">
        <f t="shared" si="58"/>
        <v>0</v>
      </c>
      <c r="DW73" s="1480">
        <f t="shared" si="59"/>
        <v>0</v>
      </c>
      <c r="DX73" s="1498">
        <f t="shared" si="71"/>
        <v>0</v>
      </c>
      <c r="DY73" s="1484">
        <f t="shared" si="60"/>
        <v>0</v>
      </c>
      <c r="DZ73" s="331"/>
      <c r="EA73" s="392"/>
      <c r="EB73" s="1499" t="s">
        <v>73</v>
      </c>
      <c r="EC73" s="727" t="s">
        <v>1568</v>
      </c>
      <c r="ED73" s="728">
        <v>0.5</v>
      </c>
      <c r="EE73" s="1215"/>
      <c r="EF73" s="1215"/>
      <c r="EG73" s="1184" t="str">
        <f t="shared" si="61"/>
        <v/>
      </c>
      <c r="EH73" s="55"/>
      <c r="EI73" s="55"/>
      <c r="EJ73" s="1185">
        <f t="shared" ref="EJ73:EJ136" si="92">IF(ISNUMBER(SEARCH("-C",M73)),VLOOKUP(M73,$DM$181:$DN$192,2,FALSE),0)</f>
        <v>0</v>
      </c>
      <c r="EK73" s="1211"/>
      <c r="EL73" s="1180">
        <f t="shared" ref="EL73:EL136" si="93">IF(CV73&lt;0,0,IF(DA73=0,0,IF(DD73="Does not meet incentive criteria",0,AQ73)))</f>
        <v>0</v>
      </c>
      <c r="EM73" s="207"/>
      <c r="EN73" s="1038"/>
      <c r="EO73" s="1038"/>
      <c r="EP73" s="1038"/>
      <c r="EQ73" s="1038">
        <f t="shared" si="62"/>
        <v>0</v>
      </c>
      <c r="ER73" s="1041">
        <f t="shared" si="75"/>
        <v>0</v>
      </c>
      <c r="ES73" s="1042">
        <f t="shared" si="63"/>
        <v>0</v>
      </c>
      <c r="ET73" s="1042">
        <f t="shared" si="73"/>
        <v>0</v>
      </c>
      <c r="EU73" s="1021">
        <f t="shared" si="74"/>
        <v>0</v>
      </c>
      <c r="EV73" s="368"/>
      <c r="EW73" s="368"/>
      <c r="EX73" s="369"/>
      <c r="EY73" s="370"/>
      <c r="EZ73" s="370"/>
      <c r="FA73" s="371"/>
      <c r="FB73" s="372"/>
    </row>
    <row r="74" spans="1:158" ht="34.5" customHeight="1">
      <c r="A74" s="82">
        <v>66</v>
      </c>
      <c r="B74" s="1725"/>
      <c r="C74" s="1726"/>
      <c r="D74" s="1726"/>
      <c r="E74" s="1727"/>
      <c r="F74" s="1732"/>
      <c r="G74" s="1733"/>
      <c r="H74" s="1733"/>
      <c r="I74" s="1734"/>
      <c r="J74" s="1341"/>
      <c r="K74" s="1728"/>
      <c r="L74" s="1728"/>
      <c r="M74" s="1342"/>
      <c r="N74" s="1583"/>
      <c r="O74" s="208" t="str">
        <f t="shared" si="80"/>
        <v/>
      </c>
      <c r="P74" s="785"/>
      <c r="Q74" s="39" t="str">
        <f t="shared" si="81"/>
        <v/>
      </c>
      <c r="R74" s="39">
        <f t="shared" ref="R74:R137" si="94">IF(F74="Other (Provide Description)",1,IF(ISNUMBER(SEARCH("interior",T74)),2,(IF(ISNUMBER(SEARCH("exterior",T74)),3,IF(ISNUMBER(SEARCH("Case",F74)),20,IF(ISNUMBER(SEARCH("Relamp",F74)),250,IF(ISNUMBER(SEARCH("T12",F74)),11,IF(ISNUMBER(SEARCH("T8",F74)),12,IF(ISNUMBER(SEARCH("T5",F74)),12,IF(ISNUMBER(SEARCH("exit",F74)),10,0))))))))))</f>
        <v>0</v>
      </c>
      <c r="S74" s="234">
        <f t="shared" ref="S74:S137" si="95">IF(ISERROR(AO74*AH74),0,AQ74)</f>
        <v>0</v>
      </c>
      <c r="T74" s="1755"/>
      <c r="U74" s="1755"/>
      <c r="V74" s="1755"/>
      <c r="W74" s="1345"/>
      <c r="X74" s="1741"/>
      <c r="Y74" s="1742"/>
      <c r="Z74" s="1346"/>
      <c r="AA74" s="1343"/>
      <c r="AB74" s="1141"/>
      <c r="AC74" s="1103" t="str">
        <f>IF(T74="","",VLOOKUP(Z74,Lists!$A$60:$B$111,2,FALSE))</f>
        <v/>
      </c>
      <c r="AD74" s="130" t="str">
        <f t="shared" ref="AD74:AD137" si="96">IF(T74="","",VLOOKUP(T74,$DQ$8:$DR$52,2,FALSE))</f>
        <v/>
      </c>
      <c r="AE74" s="130" t="e">
        <f t="shared" ref="AE74:AE137" si="97">SUM(AA74*AD74)</f>
        <v>#VALUE!</v>
      </c>
      <c r="AF74" s="130">
        <f t="shared" ref="AF74:AF137" si="98">IF(ISNUMBER(SEARCH("wall",W74)),4,IF(ISNUMBER(SEARCH("ceiling",W74)),5,IF(ISNUMBER(SEARCH("Fixture",W74)),1.5,IF(ISNUMBER(SEARCH("Daylight",W74)),1.6,IF(ISNUMBER(SEARCH("equip",W74)),2,IF(AND(W74="Non-Standard Control",AU74=2),2.5,IF(AND(W74="Non-standard Control",AU74=3),3,1)))))))</f>
        <v>1</v>
      </c>
      <c r="AG74" s="234">
        <f t="shared" si="82"/>
        <v>0</v>
      </c>
      <c r="AH74" s="1753" t="str">
        <f>IF(T74="","",(IF(ISNUMBER(SEARCH("exit",T74)),8760,IF(AND(M74="Dusk to Dawn",'Proposed Lighting'!AU74=3),4059,IF(AND(AU74=3,M74="1"),0,IF(AND(AU74=3,M74="1-C"),0,IF(AND(AU74=3,M74="2"),0,IF(AND(AU74=3,M74="2-C"),0,IF(AND(AU74=3,M74="3"),0,IF(AND(AU74=3,M74="3-C"),0,IF(AND(AU74=2,M74="Dusk to Dawn"),0,IF(AND(AU74=2,M74="Dusk to Dawn-C"),0,IF(AND(AU74=2,M74="Dusk to Dawn"),0,IF(AND(AU74=2,M74="E"),0,IF(AND(AU74=2,M74="E-C"),0,EG74)))))))))))))))</f>
        <v/>
      </c>
      <c r="AI74" s="1754"/>
      <c r="AJ74" s="1136"/>
      <c r="AK74" s="1136"/>
      <c r="AL74" s="1748">
        <f t="shared" ref="AL74:AL137" si="99">IFERROR(ROUND(IF(ISNUMBER(SEARCH("Additional",T74)),AA74*AJ74+BA74,IF(N74=0,0,IF(AU74=1,0,SUM(AA74*AJ74+BA74)))),2),"")</f>
        <v>0</v>
      </c>
      <c r="AM74" s="1749"/>
      <c r="AN74" s="1750"/>
      <c r="AO74" s="476">
        <f t="shared" si="83"/>
        <v>0</v>
      </c>
      <c r="AP74" s="476">
        <f t="shared" ref="AP74:AP137" si="100">IF(ISBLANK(T74),0,AT74*AA74/1000)</f>
        <v>0</v>
      </c>
      <c r="AQ74" s="475">
        <f t="shared" si="84"/>
        <v>0</v>
      </c>
      <c r="AR74" s="475">
        <f t="shared" ref="AR74:AR137" si="101">IF(ISNUMBER(SEARCH("controls",F74)),0,IF(ISNA(AP74),0,IF(AU74=1,0,IF(AQ74=0,0,IF(AND(AU74=2,EJ74&gt;0.01),AP74*EJ74,AP74*AH74)))))</f>
        <v>0</v>
      </c>
      <c r="AS74" s="743" t="str">
        <f t="shared" si="79"/>
        <v/>
      </c>
      <c r="AT74" s="736" t="str">
        <f t="shared" ref="AT74:AT137" si="102">IF(ISNUMBER(SEARCH("Permanent",T74)),0,IF(ISBLANK(AC74),0,AC74))</f>
        <v/>
      </c>
      <c r="AU74" s="56">
        <f t="shared" ref="AU74:AU137" si="103">IF(ISNUMBER(SEARCH("interior",K74)),2,(IF(ISNUMBER(SEARCH("exterior",K74)),3,1)))</f>
        <v>1</v>
      </c>
      <c r="AV74" s="476">
        <f t="shared" ref="AV74:AV137" si="104">IF(W74=0,0,IF(AU74=2,VLOOKUP(W74,$DO$56:$DP$66,2,FALSE),IF(AU74=3,VLOOKUP(W74,$DO$68:$DP$78,2,FALSE))))</f>
        <v>0</v>
      </c>
      <c r="AW74" s="56">
        <f t="shared" ref="AW74:AW137" si="105">IF(CT74&gt;0.4,AT74*AA74,IF(EF74=0,0,IF(W74=0,0,IF(AND(AV74&gt;0.01,DS74&lt;2),0,IF(AH74=0,0,SUM(EE74*AT74)/EF74)))))</f>
        <v>0</v>
      </c>
      <c r="AX74" s="475">
        <f t="shared" si="85"/>
        <v>0</v>
      </c>
      <c r="AY74" s="1169">
        <f t="shared" ref="AY74:AY137" si="106">IF(AX74=0,0,IF(W74="","",EE74*AT74*(CU74*(1-AV74)/1000)))</f>
        <v>0</v>
      </c>
      <c r="AZ74" s="1150">
        <f t="shared" si="67"/>
        <v>0</v>
      </c>
      <c r="BA74" s="56">
        <f t="shared" si="86"/>
        <v>0</v>
      </c>
      <c r="BB74" s="420">
        <f t="shared" si="87"/>
        <v>0</v>
      </c>
      <c r="BC74" s="58" t="str">
        <f t="shared" si="88"/>
        <v/>
      </c>
      <c r="BD74" s="660">
        <f t="shared" si="69"/>
        <v>0</v>
      </c>
      <c r="BE74" s="57" t="e">
        <f t="array" ref="BE74">INDEX($EB$11:$ED$1022,MATCH(F74&amp;T74,$EB$11:$EB$1007&amp;$EC$11:$EC$1007,0),3)</f>
        <v>#N/A</v>
      </c>
      <c r="BF74" s="463">
        <f t="shared" ref="BF74:BF106" si="107">IF(ISNA(BE74),0,BE74)</f>
        <v>0</v>
      </c>
      <c r="BG74" s="1445" t="e">
        <f t="array" ref="BG74">INDEX($DO$112:$DQ$123,MATCH(T74&amp;W74,$DO$114:$DO$125&amp;$DP$112:$DP$123,0),3)</f>
        <v>#N/A</v>
      </c>
      <c r="BH74" s="1446">
        <f t="shared" ref="BH74:BH137" si="108">IF(ISNA(BG74),0,BG74)</f>
        <v>0</v>
      </c>
      <c r="BI74" s="465">
        <f t="shared" ref="BI74:BI137" si="109">IF(AND(BC74=15,BR74=500),(N74*AS74-AA74*AT74)*0.26,0)</f>
        <v>0</v>
      </c>
      <c r="BJ74" s="465">
        <f t="shared" ref="BJ74:BJ137" si="110">IF(BC74=10,(N74*AS74-AA74*AT74)*0.12,0)</f>
        <v>0</v>
      </c>
      <c r="BK74" s="466">
        <f t="shared" ref="BK74:BK106" si="111">IF(ISNUMBER(SEARCH("removal",T74)),AND(AS74&gt;49,AS74&lt;300,AU74=2)*20,0)</f>
        <v>0</v>
      </c>
      <c r="BL74" s="466">
        <f t="shared" ref="BL74:BL106" si="112">IF(ISNUMBER(SEARCH("removal",T74)),AND(AS74&gt;299,AU74=2)*30,0)</f>
        <v>0</v>
      </c>
      <c r="BM74" s="466">
        <f t="shared" ref="BM74:BM137" si="113">IF(ISNUMBER(SEARCH("removal",T74)),AND(AS74&gt;49,AS74&lt;300,AU74=3)*20,0)</f>
        <v>0</v>
      </c>
      <c r="BN74" s="466">
        <f t="shared" ref="BN74:BN137" si="114">IF(ISNUMBER(SEARCH("removal",T74)),AND(AS74&gt;299,AU74=3)*30,0)</f>
        <v>0</v>
      </c>
      <c r="BO74" s="463">
        <f>IF('Data Entry'!$C$74=0,0,IF(ISNA(CJ74),0,IF(AX74=0,0,IF(AND('Data Entry'!$C$74=2,AF74&gt;2,CE74&lt;1),0,IF(AND('Data Entry'!$C$74=2,AF74&gt;1,AU74=2,CJ74&gt;1),0,IF(AND(AF74=5,CT74=0.5,AU74=2,ER74&lt;100),0,IF(AND(AF74=5,CT74=0.5,AU74=3,ER74&lt;100),0,IF(AND('Data Entry'!$C$74=2,AF74=2,AU74=2,AK74&gt;0.01,CB74=2,CE74&lt;1),0,IF(AND('Data Entry'!$C$74=2,AF74=3,AU74=3,AK74&gt;0.01,CB74=3,CE74&lt;1),0,IF(AND('Data Entry'!$C$74=2,AF74=3,AU74=3,AK74&gt;0.01,CB74=3,CE74&gt;0.99),BQ74*0.08,IF(AND('Data Entry'!$C$74=2,AF74=2,AU74=2,AK74&gt;0.01,CB74=2,CE74&gt;0.99),BQ74*0.1,IF(AND(AU74=2,AK74&gt;0.01,CB74=2,CD74&gt;1),BQ74*0.1,IF(AND(AU74=3,AK74&gt;0.01,CB74=3,CD74&gt;1),BQ74*0.08,CJ74*EF74)))))))))))))</f>
        <v>0</v>
      </c>
      <c r="BP74" s="475">
        <f t="shared" ref="BP74:BP137" si="115">IF(AND(BO74&gt;0.1,CB74=1,EF74&gt;0.5),EF74,0)</f>
        <v>0</v>
      </c>
      <c r="BQ74" s="1431">
        <f>IF(AU74=1,0,IF(CH74=100,0,IF(AND(AF74=3,AU74=2),0,IF(AND(BH74=0,CT74&gt;0.4),0,IF(AND('Data Entry'!$C$74=2,AF74=1.5),0,IF(AND('Data Entry'!$C$74=2,AF74=1.6),0,IF(AND('Data Entry'!$C$74=2,AF74=4),0,IF(AND('Data Entry'!$C$74=2,AF74=5),0,IF(AND('Data Entry'!$C$74=2,AF74=2.5,CE74&lt;1),0,IF(AND('Data Entry'!$C$74=2,AF74=3,CE74&lt;1),0,IF(AND('Data Entry'!$C$74=1,AF74=2.5,CD74&lt;1),0,IF(AND('Data Entry'!$C$74=1,AF74=3,CD74&lt;1),0,IF(DX74&gt;0.01,DX74,IF(ISERROR(AX74-AY74),"",ROUND(AX74-AY74,2)))))))))))))))</f>
        <v>0</v>
      </c>
      <c r="BR74" s="146">
        <f t="shared" ref="BR74:BR137" si="116">IF(ISNUMBER(SEARCH("vapor",F74)),500,IF(ISNUMBER(SEARCH("halide",F74)),500,IF(ISNUMBER(SEARCH("pressure",F74)),500,IF(ISNUMBER(SEARCH("HID",F74)),500,IF(ISNUMBER(SEARCH("LED",F74)),3,IF(ISNUMBER(SEARCH("Only",F74)),37,IF(ISNUMBER(SEARCH("T8",T74)),50,IF(ISNUMBER(SEARCH("other",F74)),1,IF(AND(BA74&gt;0.1,BB74=0),5,IF(ISNA(BB74),0,0))))))))))</f>
        <v>0</v>
      </c>
      <c r="BS74" s="475">
        <f t="shared" ref="BS74:BS137" si="117">IF(N74=0,0,IF(ISNA(AP74),0,IF(AND(AU74=1,AO74&gt;0.01,AP74&gt;0.01),0,N74)))</f>
        <v>0</v>
      </c>
      <c r="BT74" s="146" t="b">
        <f t="shared" ref="BT74:BT137" si="118">IF(R74=20,VLOOKUP(F74,$DM$178:$DN$179,2,FALSE))</f>
        <v>0</v>
      </c>
      <c r="BU74" s="463">
        <f>IF(ISNA(AT74),0,IF(AND('Data Entry'!$C$74=2,BC74=27),0,IF(AND('Data Entry'!$C$74=2,BC74=28),0,IF(AND(BC74=27,BT74=27,CM74&gt;0.1),CM74*0.15,IF(AND(BC74=28,BT74=28,CM74&gt;0.1),CM74*0.12,0)))))</f>
        <v>0</v>
      </c>
      <c r="BV74" s="463">
        <f t="shared" si="78"/>
        <v>0</v>
      </c>
      <c r="BW74" s="463">
        <f t="shared" ref="BW74:BW137" si="119">IF(AND(BC74=20,AU74=2,CM74&gt;0.01),CM74*0.1,IF(AND(BC74=20,AU74=3,CM74&gt;0.01),CM74*0.1,IF(AND(BC74=30,AU74=2,CM74&gt;0.01,CT74=0),CM74*0.14,IF(AND(BC74=30,AU74=3,CM74&gt;0.01,CT74=0),CM74*0.14,0))))</f>
        <v>0</v>
      </c>
      <c r="BX74" s="463">
        <f t="shared" ref="BX74:BX137" si="120">IF(CT74&gt;0.4,0,IF(AND(BC74=21,AU74=2,CM74&gt;0.01),CM74*0.22,IF(AND(BC74=21,AU74=3,CM74&gt;0.01),CM74*0.22,0)))</f>
        <v>0</v>
      </c>
      <c r="BY74" s="463">
        <f t="shared" ref="BY74:BY137" si="121">IF(AND(BH74=44,AU74=3,CM74&gt;0.01),SUM(BQ74+CM74)*0.17,IF(AND(BH74=44,AU74=2,CM74&gt;0.01),SUM(BQ74+CM74)*0.17,IF(AND(BH74=22,AU74=2,CM74&gt;0.01),SUM(BQ74+CM74)*0.25,IF(AND(BH74=22,AU74=3,CM74&gt;0.01),SUM(BQ74+CM74)*0.25,0))))</f>
        <v>0</v>
      </c>
      <c r="BZ74" s="463">
        <f t="shared" ref="BZ74:BZ137" si="122">IF(AND(BH74=46,AU74=3,CM74&gt;0.01),SUM(BQ74+CM74)*0.19,IF(AND(BH74=46,AU74=2,CM74&gt;0.01),SUM(BQ74+CM74)*0.19,IF(AND(BH74=23,AU74=2,CM74&gt;0.01),SUM(BQ74+CM74)*0.27,IF(AND(BH74=23,AU74=3,CM74&gt;0.01),SUM(BQ74+CM74)*0.27,0))))</f>
        <v>0</v>
      </c>
      <c r="CA74" s="57">
        <f t="shared" si="70"/>
        <v>0</v>
      </c>
      <c r="CB74" s="56">
        <f t="shared" ref="CB74:CB137" si="123">IF(AND(W74="Non-standard Control",AU74=2),2,IF(AND(W74="Non-standard Control",AU74=3),3,1))</f>
        <v>1</v>
      </c>
      <c r="CC74" s="756">
        <f>IF(EE74=0,0,IF(EF74=0,0,IF(EE74&gt;AA74,0,IF(AND(AZ74&gt;AW74,AW74&gt;0),0,IF(CU74=0,0,Summary!AC377)))))</f>
        <v>0</v>
      </c>
      <c r="CD74" s="756">
        <f>IF(EE74=0,0,IF(EF74=0,0,IF(EE74&gt;AA74,0,IF(AND(AZ74&gt;AW74,AW74&gt;0),0,IF(CU74=0,0,Summary!AD377)))))</f>
        <v>0</v>
      </c>
      <c r="CE74" s="756">
        <f>IF(EF74=0,0,IF(EE74&gt;AA74,0,IF(CC74=0,0,IF(AND(AZ74&gt;AW74,AW74&gt;0),0,IF(CU74=0,0,Summary!AE377)))))</f>
        <v>0</v>
      </c>
      <c r="CF74" s="475">
        <f t="shared" ref="CF74:CF137" si="124">IF(BF74=0.5,1,IF(AND(R74=2,AU74=3),1,IF(AND(R74=3,AU74=2),1,IF(AND(R74=250,BC74&lt;250),1,IF(F74="**Fluorescent**",1,IF(F74="**HID**",1,IF(F74="**OTHER**",1,IF(F74="**SIGN LIGHTING**",1,IF(F74="**REFRIGERATION CASE LIGHTING**",1,IF(AND(AU74=2,M74="E-C"),1,IF(AND(AU74=3,M74="Sch 1"),1,IF(AND(AU74=3,M74="Sch 1-C"),1,IF(AND(AU74=3,M74="Sch 2"),1,IF(AND(AU74=3,M74="Sch 2-C"),1,IF(AND(AU74=3,M74="Sch 3"),1,IF(AND(AU74=3,M74="Sch 3-C"),1,IF(AND(AU74=2,M74="E"),1,IF(AND(AU74=2,M74="Dusk to Dawn"),1,IF(AND(AU74=2,M74="Dusk to Dawn-C"),1,IF(AND(DY74=1,BC74&lt;37),1,IF(AND(DY74=1,BC74&gt;37),1,0)))))))))))))))))))))</f>
        <v>0</v>
      </c>
      <c r="CG74" s="476">
        <f t="shared" si="89"/>
        <v>0</v>
      </c>
      <c r="CH74" s="487">
        <f t="shared" ref="CH74:CH137" si="125">IF(M74="Sch 1-C",100,IF(M74="Sch 2-C",100,IF(M74="Sch 3-C",100,IF(M74="E-C", 100,IF(M74="Dusk to Dawn-C", 100,IF(M74="Seasonal-C",100,0))))))</f>
        <v>0</v>
      </c>
      <c r="CI74" s="756">
        <f t="shared" ref="CI74:CI137" si="126">IF(ISNUMBER(SEARCH("removal",T74)),5,IF(ISNUMBER(SEARCH("pin-base LED",T74)),5,IF(ISNUMBER(SEARCH("T5",T74)),5,IF(ISNUMBER(SEARCH("LED Tube",T74)),6,IF(ISNUMBER(SEARCH("Exit sign",T74)),5,IF(ISNUMBER(SEARCH("Level 1",T74)),7,IF(ISNUMBER(SEARCH("25 watt",T74)),1,IF(ISNUMBER(SEARCH("28 watt",T74)),1,0))))))))</f>
        <v>0</v>
      </c>
      <c r="CJ74" s="487">
        <f>IF(CT74&gt;0.4,0,IF(AND(AU74=2,CH74=0,CT74=0.5,ER74=100),35,IF(AND(AU74=3,BB74&gt;75,CH74=0,CT74=0.5,ER74=100),25,IF(CB74&gt;1,0,IF(EF74&gt;EE74,0,IF(AND(AF74&gt;1,CH74=100),0,IF(AND(AF74=1,AY74=0),0,IF(AND(EF74&lt;=EE74,AW74&gt;=AZ74,'Data Entry'!$C$74=1,AU74=2),VLOOKUP(W74,$DO$96:$DP$102,2,FALSE),IF(AND(EF74&lt;=EE74,AW74&gt;=AZ74,AU74=3,'Data Entry'!$C$74=1),VLOOKUP(W74,$DO$127:$DP$134,2,FALSE))))))))))</f>
        <v>0</v>
      </c>
      <c r="CK74" s="716">
        <f t="shared" ref="CK74:CK137" si="127">IF(AND(BC74=25,AU74=2,N74&gt;0.1,AA74&gt;0.1),CM74*0.2,IF(AND(BC74=25,AU74=3,N74&gt;0.1,AA74&gt;0.1),CM74*0.2,0))</f>
        <v>0</v>
      </c>
      <c r="CL74" s="57">
        <f t="shared" ref="CL74:CL137" si="128">IF(AU74=1,0,IF(CF74=1,0,IF(ISNA(AT74),0,IF(AND(R74=20,CU74=0),0,IF(AND(AQ74&gt;0.01,AR74=0,AA74=0),0,IF($X$4=0,0,IF(BR74=3,0,IF(AND(AQ74&gt;0.01,AR74=0,BK74=0,BL74=0,BM74=0,BN74=0),0,SUM(BD74+BF74+BK74+BL74+BM74+BN74+CW74)))))))))</f>
        <v>0</v>
      </c>
      <c r="CM74" s="475">
        <f t="shared" si="77"/>
        <v>0</v>
      </c>
      <c r="CN74" s="660">
        <f>IF(CM74&lt;0.1,0,IF(ISNA(AT74),0,IF(CL74+BC74=1,0,IF(BV74&gt;0.01,0,IF(CL74&gt;0.01,0,IF(CF74=1,0,IF(BC74=0.5,0,IF(AND(CI74=1,AU74=3),0,IF(AND(CI74=5,CL74=0),0,IF(AND(R74=12,BR74=50),0,IF(CK74&gt;0.01,0,IF(AND(AJ74&gt;0.01,AU74=2,BC74=15),CM74*0.1,IF(AND(AJ74&gt;0.01,AU74=3,BC74=15),CM74*0.08,IF(AND(R74=12,BC74=3,AF74&lt;=0),0,IF(AND(BC74=15,BI74=0),0,IF(AND(BC74=15,BJ74=0),0,IF(AND(R74=20,CU74=0),0,IF($X$4=0,0,IF(AND(BC74=250,CL74=0),0,IF(AA74&lt;1,0,IF(AND(ISNUMBER(SEARCH("Area",T74)),AU74=3),0,IF(AND(AQ74&gt;0.01,AR74=0,BK74=0,BL74=0,BM74=0,BN74=0),0,IF(AND(AU74=3,CI74=7,CT74&gt;0.5),0,IF(AND(BC74=44,AU74=3,BY74=0),0,IF(AND(BC74=27,'Data Entry'!$C$74=2),0,IF(AND(BC74=28,'Data Entry'!$C$74=2),0,IF(AND(BY74+BZ74+CA74&gt;0.01,BV74=0,EQ74+ER74+ES74+ET74&lt;100),0,IF(AU74=3,CM74*0.08,IF(AU74=2,CM74*0.1,0)))))))))))))))))))))))))))))</f>
        <v>0</v>
      </c>
      <c r="CO74" s="660">
        <f t="shared" ref="CO74:CO137" si="129">IF(CL74&gt;0.1,0,IF(CN74&gt;0.01,SUM(AA74*AJ74)*0.7,0))</f>
        <v>0</v>
      </c>
      <c r="CP74" s="475" t="str">
        <f t="shared" ref="CP74:CP137" si="130">IF(T74="","",VLOOKUP(T74,$EH$9:$EI$27,2,FALSE))</f>
        <v/>
      </c>
      <c r="CQ74" s="161" t="str">
        <f>IF(AH74=0,0,IF(AU74=5,0,Summary!AC77))</f>
        <v/>
      </c>
      <c r="CR74" s="161" t="str">
        <f>IF(BF74=0.5,0,IF(AU74=5,0,Summary!AD77))</f>
        <v/>
      </c>
      <c r="CS74" s="161" t="str">
        <f>IF(AU74=5,0,Summary!AE77)</f>
        <v/>
      </c>
      <c r="CT74" s="161">
        <f t="shared" ref="CT74:CT137" si="131">IF(ISNUMBER(SEARCH("existing",W74)),0,IF(ISNUMBER(SEARCH("Multiple",W74)),0.5,IF(ISNUMBER(SEARCH("Single",W74)),0.6,IF(ISNUMBER(SEARCH("Networked",W74)),2,(IF(ISNUMBER(SEARCH("LLLC",W74)),3,0))))))</f>
        <v>0</v>
      </c>
      <c r="CU74" s="475" t="str">
        <f t="shared" ref="CU74:CU137" si="132">IF(ISERROR(AQ74),0,IF(ISERROR(AR74),0,IF(AH74&gt;0.01,AH74,0)))</f>
        <v/>
      </c>
      <c r="CV74" s="307">
        <f>IF('Data Entry'!$C$74=0,0,IF(AA74&lt;1,0,IF(ISERROR(CU74),0,IF(CF74=1,0,IF(AND(R74=12,BR74=50),0,IF(CL74+BO74+BV74+DC74=0,0,IF(BC74=37,0,IF(AND(BC74=40,AJ74=0),0,IF(AND(BC74=37,BO74&gt;0.01,BQ74&gt;0.01),ROUND(BQ74,0),IF(CM74&lt;0,0,ROUND(CM74,0)))))))))))</f>
        <v>0</v>
      </c>
      <c r="CW74" s="700">
        <f t="shared" ref="CW74:CW137" si="133">IF(CM74=0,0,IF(CI74=5,0,IF(AND(AQ74&gt;0.01,AR74=0,AA74=0),0,IF(BR74=3,0,IF(CI74=6,AD74*1.5,0)))))</f>
        <v>0</v>
      </c>
      <c r="CX74" s="477">
        <f>IF('Data Entry'!$C$74=0,0,IF(CV74&lt;0.01,0,IF(BF74=0.5,0,IF(CF74=1,0,IF(ISNUMBER(SEARCH("false",CL74)),0,IF(AZ74=500,0,CL74))))))</f>
        <v>0</v>
      </c>
      <c r="CY74" s="147" t="e">
        <f t="shared" ref="CY74:CY137" si="134">IF(CM74&lt;0,0,IF(CM74+CU74=0,0,IF(AT74+BK74+BL74+BM74+BN74=0,0,IF(AND(BV74&gt;0.01,CB74&gt;1),BV74+DF74,IF(BV74&gt;0.01,BV74,IF(AND(CI74=6,CW74&gt;0.01,N74*Q74&gt;=AE74),AE74*1.5,IF(AND(CI74=6,CW74&gt;0.01,Q74=0,CM74&gt;0.01),AE74*1.5,IF(AND(CI74=6,CW74&gt;0.01,CM74&gt;0.01,N74*Q74&lt;AE74),N74*Q74*1.5,IF((AND(CX74&gt;0.01,BC74=38)),CX74*N74,IF((AND(CX74&gt;0.01,N74*Q74&gt;AE74)),CX74*AA74,IF((AND(CX74&gt;0.5,AA74&lt;=N74)),CX74*AA74,IF((AND(CX74&gt;0.5,AA74&gt;N74)),CX74*N74,0))))))))))))</f>
        <v>#VALUE!</v>
      </c>
      <c r="CZ74" s="147" t="b">
        <f>IF(CN74+CL74=0,FALSE,IF(AH74=0,0,IF(AND('Data Entry'!$C$74=1,CR74&gt;=1),TRUE,IF(AND('Data Entry'!$C$74=2,CS74&gt;=1),TRUE,FALSE))))</f>
        <v>0</v>
      </c>
      <c r="DA74" s="1751">
        <f>IF('Data Entry'!$C$74=0,0,IFERROR(ROUND(IF(T74="","",IF($X$4=0,0,IF(CF74=1,0,IF(BQ74+CV74=0,0,IF(CF74=1,0,IF(CY74&gt;0.01,CY74,IF(CL74&gt;0.01,CL74,IF(CY74&gt;0.01,CY74,IF(BC74=37,BO74,IF(CZ74=FALSE,0,IF(CZ74=TRUE,DC74+DF74,0))))))))))),2),""))</f>
        <v>0</v>
      </c>
      <c r="DB74" s="1752"/>
      <c r="DC74" s="474">
        <f>IF(CN74&lt;0.01,0,IF(AND(BR74=3,CN74&gt;0.01,CT74&gt;0.6,ER74+ES74+ET74&lt;100),0,IF(AND('Data Entry'!$C$74=1,CN74&gt;0.01,CR74&gt;0.99),MIN(CN74:CO74),IF(AND('Data Entry'!$C$74=2,CN74&gt;0.01,CS74&gt;0.99),MIN(CN74:CO74),0))))</f>
        <v>0</v>
      </c>
      <c r="DD74" s="478">
        <f>IF(CF74=1,"Selection does not match",IF(T74=0,0,IF(AND('Data Entry'!$C$74=0,CP74&gt;1),"Select Oregon or Idaho on Data Entry Tab",IF(AND(AU74=1,AA74&gt;0.9),"Missing Interior or Exterior Selection",IF($X$4=0,"Enter Total Project Cost",IF(AQ74&lt;AR74,"Insufficient kWh savings – no incentive",IF(AND(SUM(CL74+CK74+BV74)&gt;0.01,'Data Entry'!$C$74=2,CJ74&gt;1,BO74=0),"Submit Control as Non-Standard",IF(AND('Data Entry'!$C$74=2,BR74=37,CJ74&gt;1,BO74=0),"Submit Control as Non-Standard",IF(SUM(CL74+CK74+BV74)&gt;0.01,"Standard Incentive",IF(AND('Data Entry'!$C$74=2,CP74=7,CN74=0),"Submit as Non-Standard",IF(DC74&gt;0.9,"Non-Standard Incentive",IF(AND(BY74+BZ74+CA74&gt;0.01,BV74=0,EQ74=0,ER74=0,ES74=0,ET74=0),"Scroll Right &amp; Select Control Strategies",IF(AND(CN74&gt;0.01,CO74=0),"Enter Unit Installed Cost",IF(ISNUMBER(SEARCH("Lighting Controls Only",F74)),"Lighting Controls Only",IF(CL74+DC74=0,"Does not meet incentive criteria",0)))))))))))))))</f>
        <v>0</v>
      </c>
      <c r="DE74" s="337">
        <f t="shared" ref="DE74:DE137" si="135">IF(AND(B74="",O74="enter input watts"),1,IF(AND(B74="",O74="blackout"),1,IF(AND(ISBLANK(B74),CM74&gt;0.01),1,IF(AND(ISBLANK(B74),CM74&lt;0),1,0))))</f>
        <v>0</v>
      </c>
      <c r="DF74" s="609">
        <f t="shared" ref="DF74:DF137" si="136">IF(AND(DC74&gt;0.01,CB74=1,BO74&gt;0.01),BO74,IF(AND(CB74&gt;1,BO74&lt;DW74),BO74,IF(AND(CB74&gt;1,BO74&gt;DW74),DW74,0)))</f>
        <v>0</v>
      </c>
      <c r="DG74" s="336" t="str">
        <f t="shared" ref="DG74:DG137" si="137">IF(T74="","",(IF(ISNUMBER(SEARCH("exit",T74)),0,(IF(ISNUMBER(SEARCH("LED",T74)),1,IF(ISNUMBER(SEARCH("LED",X74)),1,0))))))</f>
        <v/>
      </c>
      <c r="DH74" s="338">
        <f t="shared" ref="DH74:DH137" si="138">IF(AND(AV74&gt;0.01,BB74&gt;1,BQ74=0),0,IF(AND(AQ74=0,AR74=0),1,0))</f>
        <v>1</v>
      </c>
      <c r="DI74" s="336" t="e">
        <f t="shared" si="90"/>
        <v>#VALUE!</v>
      </c>
      <c r="DJ74" s="338">
        <f t="shared" si="91"/>
        <v>0</v>
      </c>
      <c r="DK74" s="327" t="s">
        <v>106</v>
      </c>
      <c r="DL74" s="323">
        <v>46</v>
      </c>
      <c r="DM74" s="327" t="s">
        <v>464</v>
      </c>
      <c r="DN74" s="1439">
        <v>32</v>
      </c>
      <c r="DO74" s="1513" t="s">
        <v>1763</v>
      </c>
      <c r="DP74" s="1519">
        <v>0.25</v>
      </c>
      <c r="DQ74" s="331"/>
      <c r="DR74" s="458"/>
      <c r="DS74" s="1195">
        <f t="shared" ref="DS74:DS137" si="139">SUM(EE74:EF74)</f>
        <v>0</v>
      </c>
      <c r="DT74" s="344" t="b">
        <f t="shared" ref="DT74:DT137" si="140">ISBLANK(B74)</f>
        <v>1</v>
      </c>
      <c r="DU74" s="1314" t="str">
        <f t="array" ref="DU74">IF(OR(COUNTIF(F74,"*"&amp;$DK$9:$DK$178&amp;"*")), "Yes", "")</f>
        <v/>
      </c>
      <c r="DV74" s="1314">
        <f t="shared" ref="DV74:DV137" si="141">IF(AND(DT74=TRUE,DU74="Yes"),5,0)</f>
        <v>0</v>
      </c>
      <c r="DW74" s="1480">
        <f t="shared" ref="DW74:DW137" si="142">IF(AND(CB74&gt;1,BA74&gt;0.01),BA74*0.7,0)</f>
        <v>0</v>
      </c>
      <c r="DX74" s="1498">
        <f t="shared" si="71"/>
        <v>0</v>
      </c>
      <c r="DY74" s="1484">
        <f t="shared" ref="DY74:DY137" si="143">IF(ISNUMBER(SEARCH("existing equip",W74)),1,0)</f>
        <v>0</v>
      </c>
      <c r="DZ74" s="331"/>
      <c r="EA74" s="392"/>
      <c r="EB74" s="1499" t="s">
        <v>104</v>
      </c>
      <c r="EC74" s="727" t="s">
        <v>1568</v>
      </c>
      <c r="ED74" s="728">
        <v>0.5</v>
      </c>
      <c r="EE74" s="1215"/>
      <c r="EF74" s="1215"/>
      <c r="EG74" s="1184" t="str">
        <f t="shared" ref="EG74:EG137" si="144">IF(M74="","",VLOOKUP(M74,$DM$194:$DN$207,2,FALSE))</f>
        <v/>
      </c>
      <c r="EH74" s="55"/>
      <c r="EI74" s="55"/>
      <c r="EJ74" s="1185">
        <f t="shared" si="92"/>
        <v>0</v>
      </c>
      <c r="EK74" s="1211"/>
      <c r="EL74" s="1180">
        <f t="shared" si="93"/>
        <v>0</v>
      </c>
      <c r="EM74" s="207"/>
      <c r="EN74" s="1038"/>
      <c r="EO74" s="1038"/>
      <c r="EP74" s="1038"/>
      <c r="EQ74" s="1038">
        <f t="shared" ref="EQ74:EQ137" si="145">IF(AND(AU74=2,CT74=0.6,EM74="Yes"),100,IF(AND(AU74=2,CT74=0.6,EN74="Yes"),100,IF(AND(AU74=3,CT74=0.6,EM74="Yes"),100,0)))</f>
        <v>0</v>
      </c>
      <c r="ER74" s="1041">
        <f t="shared" ref="ER74:ER137" si="146">IF(AND(AF74=5,AU74=2,EM74="Yes",EN74="Yes"),100,IF(AND(AF74=5,AU74=2,EM74="Yes",EO74="Yes"),100,IF(AND(AF74=5,AU74=2,EM74="Yes",EP74="Yes"),100,IF(AND(AF74=5,AU74=2,EM74="Yes",EQ74="Yes"),100,IF(AND(AF74=5,AU74=2,EN74="Yes",EP74="Yes"),100,IF(AND(BR74=3,AU74=2,CT74=1,EM74="Yes",EN74="Yes"),100,IF(AND(BR74=3,AU74=2,CT74=1,EM74="Yes",EO74="Yes"),100,IF(AND(BR74=3,AU74=2,CT74=1,EM74="Yes",EP74="Yes"),100,IF(AND(BR74=3,AU74=2,CT74=1,EM74="Yes",EQ74="Yes"),100,IF(AND(BR74=3,AU74=2,CT74=1,EN74="Yes",EP74="Yes"),100,IF(AND(AU74=2,BZ74&gt;0.01,EM74="Yes",EN74="Yes"),100,IF(AND(AU74=2,BZ74&gt;0.01,EM74="Yes",EO74="Yes"),100,IF(AND(AU74=2,BZ74&gt;0.01,EM74="Yes",EP74="Yes"),100,IF(AND(AU74=2,BZ74&gt;0.01,EM74="Yes",EQ74="Yes"),100,IF(AND(AU74=2,BZ74&gt;0.01,EN74="Yes",EP74="Yes"),100,IF(AND(AU74=2,BZ74&gt;0.01,EN74="Yes",EQ74="Yes"),100,IF(AND(AU74=3,BZ74&gt;0.01,EM74="Yes",EP74="Yes"),100,IF(AND(AF74=5,AU74=3,EM74="Yes",EP74="Yes"),100,IF(AND(AF74=5,AU74=2,CT74=0.5,EM74="Yes",EN74="Yes"),100,0)))))))))))))))))))</f>
        <v>0</v>
      </c>
      <c r="ES74" s="1042">
        <f t="shared" ref="ES74:ES137" si="147">IF(AND(AU74=2,CA74&gt;0.01,CT74=3,EM74="Yes",EN74="Yes"),100,IF(AND(AU74=2,CA74&gt;0.01,CT74=3,EM74="Yes",EO74="Yes"),100,IF(AND(AU74=2,CA74&gt;0.01,CT74=3,EM74="Yes",EP74="Yes"),100,IF(AND(AU74=2,CA74&gt;0.01,CT74=3,EN74="Yes",EP74="Yes"),100,IF(AND(AU74=3,CA74&gt;0.01,CT74=3,EM74="Yes",EO74="Yes"),100,IF(AND(AU74=3,CA74&gt;0.01,CT74=3,EM74="Yes",EP74="Yes"),100,0))))))</f>
        <v>0</v>
      </c>
      <c r="ET74" s="1042">
        <f t="shared" si="73"/>
        <v>0</v>
      </c>
      <c r="EU74" s="1021">
        <f t="shared" si="74"/>
        <v>0</v>
      </c>
      <c r="EV74" s="368"/>
      <c r="EW74" s="368"/>
      <c r="EX74" s="369"/>
      <c r="EY74" s="370"/>
      <c r="EZ74" s="370"/>
      <c r="FA74" s="371"/>
      <c r="FB74" s="372"/>
    </row>
    <row r="75" spans="1:158" ht="34.5" customHeight="1">
      <c r="A75" s="82">
        <v>67</v>
      </c>
      <c r="B75" s="1725"/>
      <c r="C75" s="1726"/>
      <c r="D75" s="1726"/>
      <c r="E75" s="1727"/>
      <c r="F75" s="1732"/>
      <c r="G75" s="1733"/>
      <c r="H75" s="1733"/>
      <c r="I75" s="1734"/>
      <c r="J75" s="1341"/>
      <c r="K75" s="1728"/>
      <c r="L75" s="1728"/>
      <c r="M75" s="1342"/>
      <c r="N75" s="1583"/>
      <c r="O75" s="208" t="str">
        <f t="shared" si="80"/>
        <v/>
      </c>
      <c r="P75" s="785"/>
      <c r="Q75" s="39" t="str">
        <f t="shared" si="81"/>
        <v/>
      </c>
      <c r="R75" s="39">
        <f t="shared" si="94"/>
        <v>0</v>
      </c>
      <c r="S75" s="234">
        <f t="shared" si="95"/>
        <v>0</v>
      </c>
      <c r="T75" s="1755"/>
      <c r="U75" s="1755"/>
      <c r="V75" s="1755"/>
      <c r="W75" s="1345"/>
      <c r="X75" s="1741"/>
      <c r="Y75" s="1742"/>
      <c r="Z75" s="1346"/>
      <c r="AA75" s="1343"/>
      <c r="AB75" s="1141"/>
      <c r="AC75" s="1103" t="str">
        <f>IF(T75="","",VLOOKUP(Z75,Lists!$A$60:$B$111,2,FALSE))</f>
        <v/>
      </c>
      <c r="AD75" s="130" t="str">
        <f t="shared" si="96"/>
        <v/>
      </c>
      <c r="AE75" s="130" t="e">
        <f t="shared" si="97"/>
        <v>#VALUE!</v>
      </c>
      <c r="AF75" s="130">
        <f t="shared" si="98"/>
        <v>1</v>
      </c>
      <c r="AG75" s="234">
        <f t="shared" si="82"/>
        <v>0</v>
      </c>
      <c r="AH75" s="1753" t="str">
        <f>IF(T75="","",(IF(ISNUMBER(SEARCH("exit",T75)),8760,IF(AND(M75="Dusk to Dawn",'Proposed Lighting'!AU75=3),4059,IF(AND(AU75=3,M75="1"),0,IF(AND(AU75=3,M75="1-C"),0,IF(AND(AU75=3,M75="2"),0,IF(AND(AU75=3,M75="2-C"),0,IF(AND(AU75=3,M75="3"),0,IF(AND(AU75=3,M75="3-C"),0,IF(AND(AU75=2,M75="Dusk to Dawn"),0,IF(AND(AU75=2,M75="Dusk to Dawn-C"),0,IF(AND(AU75=2,M75="Dusk to Dawn"),0,IF(AND(AU75=2,M75="E"),0,IF(AND(AU75=2,M75="E-C"),0,EG75)))))))))))))))</f>
        <v/>
      </c>
      <c r="AI75" s="1754"/>
      <c r="AJ75" s="1136"/>
      <c r="AK75" s="1136"/>
      <c r="AL75" s="1748">
        <f t="shared" si="99"/>
        <v>0</v>
      </c>
      <c r="AM75" s="1749"/>
      <c r="AN75" s="1750"/>
      <c r="AO75" s="476">
        <f t="shared" si="83"/>
        <v>0</v>
      </c>
      <c r="AP75" s="476">
        <f t="shared" si="100"/>
        <v>0</v>
      </c>
      <c r="AQ75" s="475">
        <f t="shared" si="84"/>
        <v>0</v>
      </c>
      <c r="AR75" s="475">
        <f t="shared" si="101"/>
        <v>0</v>
      </c>
      <c r="AS75" s="743" t="str">
        <f t="shared" si="79"/>
        <v/>
      </c>
      <c r="AT75" s="736" t="str">
        <f t="shared" si="102"/>
        <v/>
      </c>
      <c r="AU75" s="56">
        <f t="shared" si="103"/>
        <v>1</v>
      </c>
      <c r="AV75" s="476">
        <f t="shared" si="104"/>
        <v>0</v>
      </c>
      <c r="AW75" s="56">
        <f t="shared" si="105"/>
        <v>0</v>
      </c>
      <c r="AX75" s="475">
        <f t="shared" si="85"/>
        <v>0</v>
      </c>
      <c r="AY75" s="1169">
        <f t="shared" si="106"/>
        <v>0</v>
      </c>
      <c r="AZ75" s="1150">
        <f t="shared" ref="AZ75:AZ138" si="148">IF(EE75=0,0,IF(EF75=0,0,IF(BC75=22,0,IF(BC75=23,0,IF(BC75=24,0,IF(BC75=44,0,IF(BC75=46,0,IF(BC75=48,0,IF(AF75&lt;2,0,IF(AND(EE75&gt;0,EF75&gt;0,CB75=3),0,IF(AND(AF75=2,AU75=3),75,VLOOKUP(W75,$DO$80:$DP$85,2,FALSE))))))))))))</f>
        <v>0</v>
      </c>
      <c r="BA75" s="56">
        <f t="shared" si="86"/>
        <v>0</v>
      </c>
      <c r="BB75" s="420">
        <f t="shared" si="87"/>
        <v>0</v>
      </c>
      <c r="BC75" s="58" t="str">
        <f t="shared" si="88"/>
        <v/>
      </c>
      <c r="BD75" s="660">
        <f t="shared" ref="BD75:BD138" si="149">IF(AND(R75=10,AT75&lt;5,AU75=2,BC75=1),40,0)</f>
        <v>0</v>
      </c>
      <c r="BE75" s="57" t="e">
        <f t="array" ref="BE75">INDEX($EB$11:$ED$1022,MATCH(F75&amp;T75,$EB$11:$EB$1007&amp;$EC$11:$EC$1007,0),3)</f>
        <v>#N/A</v>
      </c>
      <c r="BF75" s="463">
        <f t="shared" si="107"/>
        <v>0</v>
      </c>
      <c r="BG75" s="1445" t="e">
        <f t="array" ref="BG75">INDEX($DO$112:$DQ$123,MATCH(T75&amp;W75,$DO$114:$DO$125&amp;$DP$112:$DP$123,0),3)</f>
        <v>#N/A</v>
      </c>
      <c r="BH75" s="1446">
        <f t="shared" si="108"/>
        <v>0</v>
      </c>
      <c r="BI75" s="465">
        <f t="shared" si="109"/>
        <v>0</v>
      </c>
      <c r="BJ75" s="465">
        <f t="shared" si="110"/>
        <v>0</v>
      </c>
      <c r="BK75" s="466">
        <f t="shared" si="111"/>
        <v>0</v>
      </c>
      <c r="BL75" s="466">
        <f t="shared" si="112"/>
        <v>0</v>
      </c>
      <c r="BM75" s="466">
        <f t="shared" si="113"/>
        <v>0</v>
      </c>
      <c r="BN75" s="466">
        <f t="shared" si="114"/>
        <v>0</v>
      </c>
      <c r="BO75" s="463">
        <f>IF('Data Entry'!$C$74=0,0,IF(ISNA(CJ75),0,IF(AX75=0,0,IF(AND('Data Entry'!$C$74=2,AF75&gt;2,CE75&lt;1),0,IF(AND('Data Entry'!$C$74=2,AF75&gt;1,AU75=2,CJ75&gt;1),0,IF(AND(AF75=5,CT75=0.5,AU75=2,ER75&lt;100),0,IF(AND(AF75=5,CT75=0.5,AU75=3,ER75&lt;100),0,IF(AND('Data Entry'!$C$74=2,AF75=2,AU75=2,AK75&gt;0.01,CB75=2,CE75&lt;1),0,IF(AND('Data Entry'!$C$74=2,AF75=3,AU75=3,AK75&gt;0.01,CB75=3,CE75&lt;1),0,IF(AND('Data Entry'!$C$74=2,AF75=3,AU75=3,AK75&gt;0.01,CB75=3,CE75&gt;0.99),BQ75*0.08,IF(AND('Data Entry'!$C$74=2,AF75=2,AU75=2,AK75&gt;0.01,CB75=2,CE75&gt;0.99),BQ75*0.1,IF(AND(AU75=2,AK75&gt;0.01,CB75=2,CD75&gt;1),BQ75*0.1,IF(AND(AU75=3,AK75&gt;0.01,CB75=3,CD75&gt;1),BQ75*0.08,CJ75*EF75)))))))))))))</f>
        <v>0</v>
      </c>
      <c r="BP75" s="475">
        <f t="shared" si="115"/>
        <v>0</v>
      </c>
      <c r="BQ75" s="1431">
        <f>IF(AU75=1,0,IF(CH75=100,0,IF(AND(AF75=3,AU75=2),0,IF(AND(BH75=0,CT75&gt;0.4),0,IF(AND('Data Entry'!$C$74=2,AF75=1.5),0,IF(AND('Data Entry'!$C$74=2,AF75=1.6),0,IF(AND('Data Entry'!$C$74=2,AF75=4),0,IF(AND('Data Entry'!$C$74=2,AF75=5),0,IF(AND('Data Entry'!$C$74=2,AF75=2.5,CE75&lt;1),0,IF(AND('Data Entry'!$C$74=2,AF75=3,CE75&lt;1),0,IF(AND('Data Entry'!$C$74=1,AF75=2.5,CD75&lt;1),0,IF(AND('Data Entry'!$C$74=1,AF75=3,CD75&lt;1),0,IF(DX75&gt;0.01,DX75,IF(ISERROR(AX75-AY75),"",ROUND(AX75-AY75,2)))))))))))))))</f>
        <v>0</v>
      </c>
      <c r="BR75" s="146">
        <f t="shared" si="116"/>
        <v>0</v>
      </c>
      <c r="BS75" s="475">
        <f t="shared" si="117"/>
        <v>0</v>
      </c>
      <c r="BT75" s="146" t="b">
        <f t="shared" si="118"/>
        <v>0</v>
      </c>
      <c r="BU75" s="463">
        <f>IF(ISNA(AT75),0,IF(AND('Data Entry'!$C$74=2,BC75=27),0,IF(AND('Data Entry'!$C$74=2,BC75=28),0,IF(AND(BC75=27,BT75=27,CM75&gt;0.1),CM75*0.15,IF(AND(BC75=28,BT75=28,CM75&gt;0.1),CM75*0.12,0)))))</f>
        <v>0</v>
      </c>
      <c r="BV75" s="463">
        <f t="shared" si="78"/>
        <v>0</v>
      </c>
      <c r="BW75" s="463">
        <f t="shared" si="119"/>
        <v>0</v>
      </c>
      <c r="BX75" s="463">
        <f t="shared" si="120"/>
        <v>0</v>
      </c>
      <c r="BY75" s="463">
        <f t="shared" si="121"/>
        <v>0</v>
      </c>
      <c r="BZ75" s="463">
        <f t="shared" si="122"/>
        <v>0</v>
      </c>
      <c r="CA75" s="57">
        <f t="shared" ref="CA75:CA138" si="150">IF(AND(BH75=48,AU75=3,CM75&gt;0.01),SUM(BQ75+CM75)*0.23,IF(AND(BH75=48,AU75=2,CM75&gt;0.01),SUM(BQ75+CM75)*0.23,IF(AND(BH75=49,CM75&gt;0.01),SUM(BQ75+CM75)*0.21,IF(AND(BH75=24,AU75=2,CM75&gt;0.01),SUM(BQ75+CM75)*0.31,IF(AND(BH75=39,CM75&gt;0.01),SUM(BQ75+CM75)*0.29,IF(AND(BH75=29,CM75&gt;0.01),SUM(BQ75+CM75)*0.29,IF(AND(BH75=24,AU75=3,CM75&gt;0.01),SUM(BQ75+CM75)*0.31,0)))))))</f>
        <v>0</v>
      </c>
      <c r="CB75" s="56">
        <f t="shared" si="123"/>
        <v>1</v>
      </c>
      <c r="CC75" s="756">
        <f>IF(EE75=0,0,IF(EF75=0,0,IF(EE75&gt;AA75,0,IF(AND(AZ75&gt;AW75,AW75&gt;0),0,IF(CU75=0,0,Summary!AC378)))))</f>
        <v>0</v>
      </c>
      <c r="CD75" s="756">
        <f>IF(EE75=0,0,IF(EF75=0,0,IF(EE75&gt;AA75,0,IF(AND(AZ75&gt;AW75,AW75&gt;0),0,IF(CU75=0,0,Summary!AD378)))))</f>
        <v>0</v>
      </c>
      <c r="CE75" s="756">
        <f>IF(EF75=0,0,IF(EE75&gt;AA75,0,IF(CC75=0,0,IF(AND(AZ75&gt;AW75,AW75&gt;0),0,IF(CU75=0,0,Summary!AE378)))))</f>
        <v>0</v>
      </c>
      <c r="CF75" s="475">
        <f t="shared" si="124"/>
        <v>0</v>
      </c>
      <c r="CG75" s="476">
        <f t="shared" si="89"/>
        <v>0</v>
      </c>
      <c r="CH75" s="487">
        <f t="shared" si="125"/>
        <v>0</v>
      </c>
      <c r="CI75" s="756">
        <f t="shared" si="126"/>
        <v>0</v>
      </c>
      <c r="CJ75" s="487">
        <f>IF(CT75&gt;0.4,0,IF(AND(AU75=2,CH75=0,CT75=0.5,ER75=100),35,IF(AND(AU75=3,BB75&gt;75,CH75=0,CT75=0.5,ER75=100),25,IF(CB75&gt;1,0,IF(EF75&gt;EE75,0,IF(AND(AF75&gt;1,CH75=100),0,IF(AND(AF75=1,AY75=0),0,IF(AND(EF75&lt;=EE75,AW75&gt;=AZ75,'Data Entry'!$C$74=1,AU75=2),VLOOKUP(W75,$DO$96:$DP$102,2,FALSE),IF(AND(EF75&lt;=EE75,AW75&gt;=AZ75,AU75=3,'Data Entry'!$C$74=1),VLOOKUP(W75,$DO$127:$DP$134,2,FALSE))))))))))</f>
        <v>0</v>
      </c>
      <c r="CK75" s="716">
        <f t="shared" si="127"/>
        <v>0</v>
      </c>
      <c r="CL75" s="57">
        <f t="shared" si="128"/>
        <v>0</v>
      </c>
      <c r="CM75" s="475">
        <f t="shared" si="77"/>
        <v>0</v>
      </c>
      <c r="CN75" s="660">
        <f>IF(CM75&lt;0.1,0,IF(ISNA(AT75),0,IF(CL75+BC75=1,0,IF(BV75&gt;0.01,0,IF(CL75&gt;0.01,0,IF(CF75=1,0,IF(BC75=0.5,0,IF(AND(CI75=1,AU75=3),0,IF(AND(CI75=5,CL75=0),0,IF(AND(R75=12,BR75=50),0,IF(CK75&gt;0.01,0,IF(AND(AJ75&gt;0.01,AU75=2,BC75=15),CM75*0.1,IF(AND(AJ75&gt;0.01,AU75=3,BC75=15),CM75*0.08,IF(AND(R75=12,BC75=3,AF75&lt;=0),0,IF(AND(BC75=15,BI75=0),0,IF(AND(BC75=15,BJ75=0),0,IF(AND(R75=20,CU75=0),0,IF($X$4=0,0,IF(AND(BC75=250,CL75=0),0,IF(AA75&lt;1,0,IF(AND(ISNUMBER(SEARCH("Area",T75)),AU75=3),0,IF(AND(AQ75&gt;0.01,AR75=0,BK75=0,BL75=0,BM75=0,BN75=0),0,IF(AND(AU75=3,CI75=7,CT75&gt;0.5),0,IF(AND(BC75=44,AU75=3,BY75=0),0,IF(AND(BC75=27,'Data Entry'!$C$74=2),0,IF(AND(BC75=28,'Data Entry'!$C$74=2),0,IF(AND(BY75+BZ75+CA75&gt;0.01,BV75=0,EQ75+ER75+ES75+ET75&lt;100),0,IF(AU75=3,CM75*0.08,IF(AU75=2,CM75*0.1,0)))))))))))))))))))))))))))))</f>
        <v>0</v>
      </c>
      <c r="CO75" s="660">
        <f t="shared" si="129"/>
        <v>0</v>
      </c>
      <c r="CP75" s="475" t="str">
        <f t="shared" si="130"/>
        <v/>
      </c>
      <c r="CQ75" s="161" t="str">
        <f>IF(AH75=0,0,IF(AU75=5,0,Summary!AC78))</f>
        <v/>
      </c>
      <c r="CR75" s="161" t="str">
        <f>IF(BF75=0.5,0,IF(AU75=5,0,Summary!AD78))</f>
        <v/>
      </c>
      <c r="CS75" s="161" t="str">
        <f>IF(AU75=5,0,Summary!AE78)</f>
        <v/>
      </c>
      <c r="CT75" s="161">
        <f t="shared" si="131"/>
        <v>0</v>
      </c>
      <c r="CU75" s="475" t="str">
        <f t="shared" si="132"/>
        <v/>
      </c>
      <c r="CV75" s="307">
        <f>IF('Data Entry'!$C$74=0,0,IF(AA75&lt;1,0,IF(ISERROR(CU75),0,IF(CF75=1,0,IF(AND(R75=12,BR75=50),0,IF(CL75+BO75+BV75+DC75=0,0,IF(BC75=37,0,IF(AND(BC75=40,AJ75=0),0,IF(AND(BC75=37,BO75&gt;0.01,BQ75&gt;0.01),ROUND(BQ75,0),IF(CM75&lt;0,0,ROUND(CM75,0)))))))))))</f>
        <v>0</v>
      </c>
      <c r="CW75" s="700">
        <f t="shared" si="133"/>
        <v>0</v>
      </c>
      <c r="CX75" s="477">
        <f>IF('Data Entry'!$C$74=0,0,IF(CV75&lt;0.01,0,IF(BF75=0.5,0,IF(CF75=1,0,IF(ISNUMBER(SEARCH("false",CL75)),0,IF(AZ75=500,0,CL75))))))</f>
        <v>0</v>
      </c>
      <c r="CY75" s="147" t="e">
        <f t="shared" si="134"/>
        <v>#VALUE!</v>
      </c>
      <c r="CZ75" s="147" t="b">
        <f>IF(CN75+CL75=0,FALSE,IF(AH75=0,0,IF(AND('Data Entry'!$C$74=1,CR75&gt;=1),TRUE,IF(AND('Data Entry'!$C$74=2,CS75&gt;=1),TRUE,FALSE))))</f>
        <v>0</v>
      </c>
      <c r="DA75" s="1751">
        <f>IF('Data Entry'!$C$74=0,0,IFERROR(ROUND(IF(T75="","",IF($X$4=0,0,IF(CF75=1,0,IF(BQ75+CV75=0,0,IF(CF75=1,0,IF(CY75&gt;0.01,CY75,IF(CL75&gt;0.01,CL75,IF(CY75&gt;0.01,CY75,IF(BC75=37,BO75,IF(CZ75=FALSE,0,IF(CZ75=TRUE,DC75+DF75,0))))))))))),2),""))</f>
        <v>0</v>
      </c>
      <c r="DB75" s="1752"/>
      <c r="DC75" s="474">
        <f>IF(CN75&lt;0.01,0,IF(AND(BR75=3,CN75&gt;0.01,CT75&gt;0.6,ER75+ES75+ET75&lt;100),0,IF(AND('Data Entry'!$C$74=1,CN75&gt;0.01,CR75&gt;0.99),MIN(CN75:CO75),IF(AND('Data Entry'!$C$74=2,CN75&gt;0.01,CS75&gt;0.99),MIN(CN75:CO75),0))))</f>
        <v>0</v>
      </c>
      <c r="DD75" s="478">
        <f>IF(CF75=1,"Selection does not match",IF(T75=0,0,IF(AND('Data Entry'!$C$74=0,CP75&gt;1),"Select Oregon or Idaho on Data Entry Tab",IF(AND(AU75=1,AA75&gt;0.9),"Missing Interior or Exterior Selection",IF($X$4=0,"Enter Total Project Cost",IF(AQ75&lt;AR75,"Insufficient kWh savings – no incentive",IF(AND(SUM(CL75+CK75+BV75)&gt;0.01,'Data Entry'!$C$74=2,CJ75&gt;1,BO75=0),"Submit Control as Non-Standard",IF(AND('Data Entry'!$C$74=2,BR75=37,CJ75&gt;1,BO75=0),"Submit Control as Non-Standard",IF(SUM(CL75+CK75+BV75)&gt;0.01,"Standard Incentive",IF(AND('Data Entry'!$C$74=2,CP75=7,CN75=0),"Submit as Non-Standard",IF(DC75&gt;0.9,"Non-Standard Incentive",IF(AND(BY75+BZ75+CA75&gt;0.01,BV75=0,EQ75=0,ER75=0,ES75=0,ET75=0),"Scroll Right &amp; Select Control Strategies",IF(AND(CN75&gt;0.01,CO75=0),"Enter Unit Installed Cost",IF(ISNUMBER(SEARCH("Lighting Controls Only",F75)),"Lighting Controls Only",IF(CL75+DC75=0,"Does not meet incentive criteria",0)))))))))))))))</f>
        <v>0</v>
      </c>
      <c r="DE75" s="337">
        <f t="shared" si="135"/>
        <v>0</v>
      </c>
      <c r="DF75" s="609">
        <f t="shared" si="136"/>
        <v>0</v>
      </c>
      <c r="DG75" s="336" t="str">
        <f t="shared" si="137"/>
        <v/>
      </c>
      <c r="DH75" s="338">
        <f t="shared" si="138"/>
        <v>1</v>
      </c>
      <c r="DI75" s="336" t="e">
        <f t="shared" si="90"/>
        <v>#VALUE!</v>
      </c>
      <c r="DJ75" s="338">
        <f t="shared" si="91"/>
        <v>0</v>
      </c>
      <c r="DK75" s="325" t="s">
        <v>107</v>
      </c>
      <c r="DL75" s="323">
        <v>73</v>
      </c>
      <c r="DM75" s="325" t="s">
        <v>516</v>
      </c>
      <c r="DN75" s="1439">
        <v>8</v>
      </c>
      <c r="DO75" s="1513" t="s">
        <v>1764</v>
      </c>
      <c r="DP75" s="1520">
        <v>0.25</v>
      </c>
      <c r="DQ75" s="331"/>
      <c r="DR75" s="458"/>
      <c r="DS75" s="1195">
        <f t="shared" si="139"/>
        <v>0</v>
      </c>
      <c r="DT75" s="344" t="b">
        <f t="shared" si="140"/>
        <v>1</v>
      </c>
      <c r="DU75" s="1314" t="str">
        <f t="array" ref="DU75">IF(OR(COUNTIF(F75,"*"&amp;$DK$9:$DK$178&amp;"*")), "Yes", "")</f>
        <v/>
      </c>
      <c r="DV75" s="1314">
        <f t="shared" si="141"/>
        <v>0</v>
      </c>
      <c r="DW75" s="1480">
        <f t="shared" si="142"/>
        <v>0</v>
      </c>
      <c r="DX75" s="1498">
        <f t="shared" ref="DX75:DX138" si="151">IF(BC75=37,0,IF(CT75&gt;0.4,AA75*AT75*(CU75*(1-AV75)/1000),0))</f>
        <v>0</v>
      </c>
      <c r="DY75" s="1484">
        <f t="shared" si="143"/>
        <v>0</v>
      </c>
      <c r="DZ75" s="331"/>
      <c r="EA75" s="392"/>
      <c r="EB75" s="1499" t="s">
        <v>105</v>
      </c>
      <c r="EC75" s="727" t="s">
        <v>1568</v>
      </c>
      <c r="ED75" s="728">
        <v>0.5</v>
      </c>
      <c r="EE75" s="1215"/>
      <c r="EF75" s="1215"/>
      <c r="EG75" s="1184" t="str">
        <f t="shared" si="144"/>
        <v/>
      </c>
      <c r="EH75" s="55"/>
      <c r="EI75" s="55"/>
      <c r="EJ75" s="1185">
        <f t="shared" si="92"/>
        <v>0</v>
      </c>
      <c r="EK75" s="1211"/>
      <c r="EL75" s="1180">
        <f t="shared" si="93"/>
        <v>0</v>
      </c>
      <c r="EM75" s="207"/>
      <c r="EN75" s="1038"/>
      <c r="EO75" s="1038"/>
      <c r="EP75" s="1038"/>
      <c r="EQ75" s="1038">
        <f t="shared" si="145"/>
        <v>0</v>
      </c>
      <c r="ER75" s="1041">
        <f t="shared" si="146"/>
        <v>0</v>
      </c>
      <c r="ES75" s="1042">
        <f t="shared" si="147"/>
        <v>0</v>
      </c>
      <c r="ET75" s="1042">
        <f t="shared" ref="ET75:ET138" si="152">IF(AND(AU75=2,CA75&gt;0.01,CT75=2,EM75="Yes",EN75="Yes",EP75="Yes"),100,IF(AND(AU75=2,CA75&gt;0.01,CT75=2,EM75="Yes",EO75="Yes",EP75="Yes"),100,IF(AND(AU75=2,CA75&gt;0.01,CT75=2,EM75="Yes",EP75="Yes"),100,IF(AND(AU75=2,CA75&gt;0.01,CT75=2,EN75="Yes",EP75="Yes"),100,IF(AND(AU75=2,CA75&gt;0.01,CT75=2,EM75="Yes",EN75="Yes",EP75="Yes"),100,IF(AND(AU75=2,CA75&gt;0.01,CT75=2,EM75="Yes",EO75="Yes"),100,IF(AND(AU75=3,CA75&gt;0.01,CT75=2,EM75="Yes",EP75="Yes"),100,0)))))))</f>
        <v>0</v>
      </c>
      <c r="EU75" s="1021">
        <f t="shared" ref="EU75:EU138" si="153">IF(AND(BY75+BZ75+CA75&gt;0.01,EQ75+ER75+ES75+ET75&lt;100),"Does not meet program criteria",IF(AND(BB75&lt;AZ75,BO75=0),"Does not meet minimum connected load",0))</f>
        <v>0</v>
      </c>
      <c r="EV75" s="368"/>
      <c r="EW75" s="368"/>
      <c r="EX75" s="369"/>
      <c r="EY75" s="370"/>
      <c r="EZ75" s="370"/>
      <c r="FA75" s="371"/>
      <c r="FB75" s="372"/>
    </row>
    <row r="76" spans="1:158" ht="34.5" customHeight="1">
      <c r="A76" s="82">
        <v>68</v>
      </c>
      <c r="B76" s="1725"/>
      <c r="C76" s="1726"/>
      <c r="D76" s="1726"/>
      <c r="E76" s="1727"/>
      <c r="F76" s="1732"/>
      <c r="G76" s="1733"/>
      <c r="H76" s="1733"/>
      <c r="I76" s="1734"/>
      <c r="J76" s="1341"/>
      <c r="K76" s="1728"/>
      <c r="L76" s="1728"/>
      <c r="M76" s="1342"/>
      <c r="N76" s="1583"/>
      <c r="O76" s="208" t="str">
        <f t="shared" si="80"/>
        <v/>
      </c>
      <c r="P76" s="785"/>
      <c r="Q76" s="39" t="str">
        <f t="shared" si="81"/>
        <v/>
      </c>
      <c r="R76" s="39">
        <f t="shared" si="94"/>
        <v>0</v>
      </c>
      <c r="S76" s="234">
        <f t="shared" si="95"/>
        <v>0</v>
      </c>
      <c r="T76" s="1755"/>
      <c r="U76" s="1755"/>
      <c r="V76" s="1755"/>
      <c r="W76" s="1345"/>
      <c r="X76" s="1741"/>
      <c r="Y76" s="1742"/>
      <c r="Z76" s="1346"/>
      <c r="AA76" s="1343"/>
      <c r="AB76" s="1141"/>
      <c r="AC76" s="1103" t="str">
        <f>IF(T76="","",VLOOKUP(Z76,Lists!$A$60:$B$111,2,FALSE))</f>
        <v/>
      </c>
      <c r="AD76" s="130" t="str">
        <f t="shared" si="96"/>
        <v/>
      </c>
      <c r="AE76" s="130" t="e">
        <f t="shared" si="97"/>
        <v>#VALUE!</v>
      </c>
      <c r="AF76" s="130">
        <f t="shared" si="98"/>
        <v>1</v>
      </c>
      <c r="AG76" s="234">
        <f t="shared" si="82"/>
        <v>0</v>
      </c>
      <c r="AH76" s="1753" t="str">
        <f>IF(T76="","",(IF(ISNUMBER(SEARCH("exit",T76)),8760,IF(AND(M76="Dusk to Dawn",'Proposed Lighting'!AU76=3),4059,IF(AND(AU76=3,M76="1"),0,IF(AND(AU76=3,M76="1-C"),0,IF(AND(AU76=3,M76="2"),0,IF(AND(AU76=3,M76="2-C"),0,IF(AND(AU76=3,M76="3"),0,IF(AND(AU76=3,M76="3-C"),0,IF(AND(AU76=2,M76="Dusk to Dawn"),0,IF(AND(AU76=2,M76="Dusk to Dawn-C"),0,IF(AND(AU76=2,M76="Dusk to Dawn"),0,IF(AND(AU76=2,M76="E"),0,IF(AND(AU76=2,M76="E-C"),0,EG76)))))))))))))))</f>
        <v/>
      </c>
      <c r="AI76" s="1754"/>
      <c r="AJ76" s="1136"/>
      <c r="AK76" s="1136"/>
      <c r="AL76" s="1748">
        <f t="shared" si="99"/>
        <v>0</v>
      </c>
      <c r="AM76" s="1749"/>
      <c r="AN76" s="1750"/>
      <c r="AO76" s="476">
        <f t="shared" si="83"/>
        <v>0</v>
      </c>
      <c r="AP76" s="476">
        <f t="shared" si="100"/>
        <v>0</v>
      </c>
      <c r="AQ76" s="475">
        <f t="shared" si="84"/>
        <v>0</v>
      </c>
      <c r="AR76" s="475">
        <f t="shared" si="101"/>
        <v>0</v>
      </c>
      <c r="AS76" s="743" t="str">
        <f t="shared" si="79"/>
        <v/>
      </c>
      <c r="AT76" s="736" t="str">
        <f t="shared" si="102"/>
        <v/>
      </c>
      <c r="AU76" s="56">
        <f t="shared" si="103"/>
        <v>1</v>
      </c>
      <c r="AV76" s="476">
        <f t="shared" si="104"/>
        <v>0</v>
      </c>
      <c r="AW76" s="56">
        <f t="shared" si="105"/>
        <v>0</v>
      </c>
      <c r="AX76" s="475">
        <f t="shared" si="85"/>
        <v>0</v>
      </c>
      <c r="AY76" s="1169">
        <f t="shared" si="106"/>
        <v>0</v>
      </c>
      <c r="AZ76" s="1150">
        <f t="shared" si="148"/>
        <v>0</v>
      </c>
      <c r="BA76" s="56">
        <f t="shared" si="86"/>
        <v>0</v>
      </c>
      <c r="BB76" s="420">
        <f t="shared" si="87"/>
        <v>0</v>
      </c>
      <c r="BC76" s="58" t="str">
        <f t="shared" si="88"/>
        <v/>
      </c>
      <c r="BD76" s="660">
        <f t="shared" si="149"/>
        <v>0</v>
      </c>
      <c r="BE76" s="57" t="e">
        <f t="array" ref="BE76">INDEX($EB$11:$ED$1022,MATCH(F76&amp;T76,$EB$11:$EB$1007&amp;$EC$11:$EC$1007,0),3)</f>
        <v>#N/A</v>
      </c>
      <c r="BF76" s="463">
        <f t="shared" si="107"/>
        <v>0</v>
      </c>
      <c r="BG76" s="1445" t="e">
        <f t="array" ref="BG76">INDEX($DO$112:$DQ$123,MATCH(T76&amp;W76,$DO$114:$DO$125&amp;$DP$112:$DP$123,0),3)</f>
        <v>#N/A</v>
      </c>
      <c r="BH76" s="1446">
        <f t="shared" si="108"/>
        <v>0</v>
      </c>
      <c r="BI76" s="465">
        <f t="shared" si="109"/>
        <v>0</v>
      </c>
      <c r="BJ76" s="465">
        <f t="shared" si="110"/>
        <v>0</v>
      </c>
      <c r="BK76" s="466">
        <f t="shared" si="111"/>
        <v>0</v>
      </c>
      <c r="BL76" s="466">
        <f t="shared" si="112"/>
        <v>0</v>
      </c>
      <c r="BM76" s="466">
        <f t="shared" si="113"/>
        <v>0</v>
      </c>
      <c r="BN76" s="466">
        <f t="shared" si="114"/>
        <v>0</v>
      </c>
      <c r="BO76" s="463">
        <f>IF('Data Entry'!$C$74=0,0,IF(ISNA(CJ76),0,IF(AX76=0,0,IF(AND('Data Entry'!$C$74=2,AF76&gt;2,CE76&lt;1),0,IF(AND('Data Entry'!$C$74=2,AF76&gt;1,AU76=2,CJ76&gt;1),0,IF(AND(AF76=5,CT76=0.5,AU76=2,ER76&lt;100),0,IF(AND(AF76=5,CT76=0.5,AU76=3,ER76&lt;100),0,IF(AND('Data Entry'!$C$74=2,AF76=2,AU76=2,AK76&gt;0.01,CB76=2,CE76&lt;1),0,IF(AND('Data Entry'!$C$74=2,AF76=3,AU76=3,AK76&gt;0.01,CB76=3,CE76&lt;1),0,IF(AND('Data Entry'!$C$74=2,AF76=3,AU76=3,AK76&gt;0.01,CB76=3,CE76&gt;0.99),BQ76*0.08,IF(AND('Data Entry'!$C$74=2,AF76=2,AU76=2,AK76&gt;0.01,CB76=2,CE76&gt;0.99),BQ76*0.1,IF(AND(AU76=2,AK76&gt;0.01,CB76=2,CD76&gt;1),BQ76*0.1,IF(AND(AU76=3,AK76&gt;0.01,CB76=3,CD76&gt;1),BQ76*0.08,CJ76*EF76)))))))))))))</f>
        <v>0</v>
      </c>
      <c r="BP76" s="475">
        <f t="shared" si="115"/>
        <v>0</v>
      </c>
      <c r="BQ76" s="1431">
        <f>IF(AU76=1,0,IF(CH76=100,0,IF(AND(AF76=3,AU76=2),0,IF(AND(BH76=0,CT76&gt;0.4),0,IF(AND('Data Entry'!$C$74=2,AF76=1.5),0,IF(AND('Data Entry'!$C$74=2,AF76=1.6),0,IF(AND('Data Entry'!$C$74=2,AF76=4),0,IF(AND('Data Entry'!$C$74=2,AF76=5),0,IF(AND('Data Entry'!$C$74=2,AF76=2.5,CE76&lt;1),0,IF(AND('Data Entry'!$C$74=2,AF76=3,CE76&lt;1),0,IF(AND('Data Entry'!$C$74=1,AF76=2.5,CD76&lt;1),0,IF(AND('Data Entry'!$C$74=1,AF76=3,CD76&lt;1),0,IF(DX76&gt;0.01,DX76,IF(ISERROR(AX76-AY76),"",ROUND(AX76-AY76,2)))))))))))))))</f>
        <v>0</v>
      </c>
      <c r="BR76" s="146">
        <f t="shared" si="116"/>
        <v>0</v>
      </c>
      <c r="BS76" s="475">
        <f t="shared" si="117"/>
        <v>0</v>
      </c>
      <c r="BT76" s="146" t="b">
        <f t="shared" si="118"/>
        <v>0</v>
      </c>
      <c r="BU76" s="463">
        <f>IF(ISNA(AT76),0,IF(AND('Data Entry'!$C$74=2,BC76=27),0,IF(AND('Data Entry'!$C$74=2,BC76=28),0,IF(AND(BC76=27,BT76=27,CM76&gt;0.1),CM76*0.15,IF(AND(BC76=28,BT76=28,CM76&gt;0.1),CM76*0.12,0)))))</f>
        <v>0</v>
      </c>
      <c r="BV76" s="463">
        <f t="shared" si="78"/>
        <v>0</v>
      </c>
      <c r="BW76" s="463">
        <f t="shared" si="119"/>
        <v>0</v>
      </c>
      <c r="BX76" s="463">
        <f t="shared" si="120"/>
        <v>0</v>
      </c>
      <c r="BY76" s="463">
        <f t="shared" si="121"/>
        <v>0</v>
      </c>
      <c r="BZ76" s="463">
        <f t="shared" si="122"/>
        <v>0</v>
      </c>
      <c r="CA76" s="57">
        <f t="shared" si="150"/>
        <v>0</v>
      </c>
      <c r="CB76" s="56">
        <f t="shared" si="123"/>
        <v>1</v>
      </c>
      <c r="CC76" s="756">
        <f>IF(EE76=0,0,IF(EF76=0,0,IF(EE76&gt;AA76,0,IF(AND(AZ76&gt;AW76,AW76&gt;0),0,IF(CU76=0,0,Summary!AC379)))))</f>
        <v>0</v>
      </c>
      <c r="CD76" s="756">
        <f>IF(EE76=0,0,IF(EF76=0,0,IF(EE76&gt;AA76,0,IF(AND(AZ76&gt;AW76,AW76&gt;0),0,IF(CU76=0,0,Summary!AD379)))))</f>
        <v>0</v>
      </c>
      <c r="CE76" s="756">
        <f>IF(EF76=0,0,IF(EE76&gt;AA76,0,IF(CC76=0,0,IF(AND(AZ76&gt;AW76,AW76&gt;0),0,IF(CU76=0,0,Summary!AE379)))))</f>
        <v>0</v>
      </c>
      <c r="CF76" s="475">
        <f t="shared" si="124"/>
        <v>0</v>
      </c>
      <c r="CG76" s="476">
        <f t="shared" si="89"/>
        <v>0</v>
      </c>
      <c r="CH76" s="487">
        <f t="shared" si="125"/>
        <v>0</v>
      </c>
      <c r="CI76" s="756">
        <f t="shared" si="126"/>
        <v>0</v>
      </c>
      <c r="CJ76" s="487">
        <f>IF(CT76&gt;0.4,0,IF(AND(AU76=2,CH76=0,CT76=0.5,ER76=100),35,IF(AND(AU76=3,BB76&gt;75,CH76=0,CT76=0.5,ER76=100),25,IF(CB76&gt;1,0,IF(EF76&gt;EE76,0,IF(AND(AF76&gt;1,CH76=100),0,IF(AND(AF76=1,AY76=0),0,IF(AND(EF76&lt;=EE76,AW76&gt;=AZ76,'Data Entry'!$C$74=1,AU76=2),VLOOKUP(W76,$DO$96:$DP$102,2,FALSE),IF(AND(EF76&lt;=EE76,AW76&gt;=AZ76,AU76=3,'Data Entry'!$C$74=1),VLOOKUP(W76,$DO$127:$DP$134,2,FALSE))))))))))</f>
        <v>0</v>
      </c>
      <c r="CK76" s="716">
        <f t="shared" si="127"/>
        <v>0</v>
      </c>
      <c r="CL76" s="57">
        <f t="shared" si="128"/>
        <v>0</v>
      </c>
      <c r="CM76" s="475">
        <f t="shared" si="77"/>
        <v>0</v>
      </c>
      <c r="CN76" s="660">
        <f>IF(CM76&lt;0.1,0,IF(ISNA(AT76),0,IF(CL76+BC76=1,0,IF(BV76&gt;0.01,0,IF(CL76&gt;0.01,0,IF(CF76=1,0,IF(BC76=0.5,0,IF(AND(CI76=1,AU76=3),0,IF(AND(CI76=5,CL76=0),0,IF(AND(R76=12,BR76=50),0,IF(CK76&gt;0.01,0,IF(AND(AJ76&gt;0.01,AU76=2,BC76=15),CM76*0.1,IF(AND(AJ76&gt;0.01,AU76=3,BC76=15),CM76*0.08,IF(AND(R76=12,BC76=3,AF76&lt;=0),0,IF(AND(BC76=15,BI76=0),0,IF(AND(BC76=15,BJ76=0),0,IF(AND(R76=20,CU76=0),0,IF($X$4=0,0,IF(AND(BC76=250,CL76=0),0,IF(AA76&lt;1,0,IF(AND(ISNUMBER(SEARCH("Area",T76)),AU76=3),0,IF(AND(AQ76&gt;0.01,AR76=0,BK76=0,BL76=0,BM76=0,BN76=0),0,IF(AND(AU76=3,CI76=7,CT76&gt;0.5),0,IF(AND(BC76=44,AU76=3,BY76=0),0,IF(AND(BC76=27,'Data Entry'!$C$74=2),0,IF(AND(BC76=28,'Data Entry'!$C$74=2),0,IF(AND(BY76+BZ76+CA76&gt;0.01,BV76=0,EQ76+ER76+ES76+ET76&lt;100),0,IF(AU76=3,CM76*0.08,IF(AU76=2,CM76*0.1,0)))))))))))))))))))))))))))))</f>
        <v>0</v>
      </c>
      <c r="CO76" s="660">
        <f t="shared" si="129"/>
        <v>0</v>
      </c>
      <c r="CP76" s="475" t="str">
        <f t="shared" si="130"/>
        <v/>
      </c>
      <c r="CQ76" s="161" t="str">
        <f>IF(AH76=0,0,IF(AU76=5,0,Summary!AC79))</f>
        <v/>
      </c>
      <c r="CR76" s="161" t="str">
        <f>IF(BF76=0.5,0,IF(AU76=5,0,Summary!AD79))</f>
        <v/>
      </c>
      <c r="CS76" s="161" t="str">
        <f>IF(AU76=5,0,Summary!AE79)</f>
        <v/>
      </c>
      <c r="CT76" s="161">
        <f t="shared" si="131"/>
        <v>0</v>
      </c>
      <c r="CU76" s="475" t="str">
        <f t="shared" si="132"/>
        <v/>
      </c>
      <c r="CV76" s="307">
        <f>IF('Data Entry'!$C$74=0,0,IF(AA76&lt;1,0,IF(ISERROR(CU76),0,IF(CF76=1,0,IF(AND(R76=12,BR76=50),0,IF(CL76+BO76+BV76+DC76=0,0,IF(BC76=37,0,IF(AND(BC76=40,AJ76=0),0,IF(AND(BC76=37,BO76&gt;0.01,BQ76&gt;0.01),ROUND(BQ76,0),IF(CM76&lt;0,0,ROUND(CM76,0)))))))))))</f>
        <v>0</v>
      </c>
      <c r="CW76" s="700">
        <f t="shared" si="133"/>
        <v>0</v>
      </c>
      <c r="CX76" s="477">
        <f>IF('Data Entry'!$C$74=0,0,IF(CV76&lt;0.01,0,IF(BF76=0.5,0,IF(CF76=1,0,IF(ISNUMBER(SEARCH("false",CL76)),0,IF(AZ76=500,0,CL76))))))</f>
        <v>0</v>
      </c>
      <c r="CY76" s="147" t="e">
        <f t="shared" si="134"/>
        <v>#VALUE!</v>
      </c>
      <c r="CZ76" s="147" t="b">
        <f>IF(CN76+CL76=0,FALSE,IF(AH76=0,0,IF(AND('Data Entry'!$C$74=1,CR76&gt;=1),TRUE,IF(AND('Data Entry'!$C$74=2,CS76&gt;=1),TRUE,FALSE))))</f>
        <v>0</v>
      </c>
      <c r="DA76" s="1751">
        <f>IF('Data Entry'!$C$74=0,0,IFERROR(ROUND(IF(T76="","",IF($X$4=0,0,IF(CF76=1,0,IF(BQ76+CV76=0,0,IF(CF76=1,0,IF(CY76&gt;0.01,CY76,IF(CL76&gt;0.01,CL76,IF(CY76&gt;0.01,CY76,IF(BC76=37,BO76,IF(CZ76=FALSE,0,IF(CZ76=TRUE,DC76+DF76,0))))))))))),2),""))</f>
        <v>0</v>
      </c>
      <c r="DB76" s="1752"/>
      <c r="DC76" s="474">
        <f>IF(CN76&lt;0.01,0,IF(AND(BR76=3,CN76&gt;0.01,CT76&gt;0.6,ER76+ES76+ET76&lt;100),0,IF(AND('Data Entry'!$C$74=1,CN76&gt;0.01,CR76&gt;0.99),MIN(CN76:CO76),IF(AND('Data Entry'!$C$74=2,CN76&gt;0.01,CS76&gt;0.99),MIN(CN76:CO76),0))))</f>
        <v>0</v>
      </c>
      <c r="DD76" s="478">
        <f>IF(CF76=1,"Selection does not match",IF(T76=0,0,IF(AND('Data Entry'!$C$74=0,CP76&gt;1),"Select Oregon or Idaho on Data Entry Tab",IF(AND(AU76=1,AA76&gt;0.9),"Missing Interior or Exterior Selection",IF($X$4=0,"Enter Total Project Cost",IF(AQ76&lt;AR76,"Insufficient kWh savings – no incentive",IF(AND(SUM(CL76+CK76+BV76)&gt;0.01,'Data Entry'!$C$74=2,CJ76&gt;1,BO76=0),"Submit Control as Non-Standard",IF(AND('Data Entry'!$C$74=2,BR76=37,CJ76&gt;1,BO76=0),"Submit Control as Non-Standard",IF(SUM(CL76+CK76+BV76)&gt;0.01,"Standard Incentive",IF(AND('Data Entry'!$C$74=2,CP76=7,CN76=0),"Submit as Non-Standard",IF(DC76&gt;0.9,"Non-Standard Incentive",IF(AND(BY76+BZ76+CA76&gt;0.01,BV76=0,EQ76=0,ER76=0,ES76=0,ET76=0),"Scroll Right &amp; Select Control Strategies",IF(AND(CN76&gt;0.01,CO76=0),"Enter Unit Installed Cost",IF(ISNUMBER(SEARCH("Lighting Controls Only",F76)),"Lighting Controls Only",IF(CL76+DC76=0,"Does not meet incentive criteria",0)))))))))))))))</f>
        <v>0</v>
      </c>
      <c r="DE76" s="337">
        <f t="shared" si="135"/>
        <v>0</v>
      </c>
      <c r="DF76" s="609">
        <f t="shared" si="136"/>
        <v>0</v>
      </c>
      <c r="DG76" s="336" t="str">
        <f t="shared" si="137"/>
        <v/>
      </c>
      <c r="DH76" s="338">
        <f t="shared" si="138"/>
        <v>1</v>
      </c>
      <c r="DI76" s="336" t="e">
        <f t="shared" si="90"/>
        <v>#VALUE!</v>
      </c>
      <c r="DJ76" s="338">
        <f t="shared" si="91"/>
        <v>0</v>
      </c>
      <c r="DK76" s="426" t="s">
        <v>185</v>
      </c>
      <c r="DL76" s="323">
        <v>119</v>
      </c>
      <c r="DM76" s="426" t="s">
        <v>515</v>
      </c>
      <c r="DN76" s="1439">
        <v>16</v>
      </c>
      <c r="DO76" s="1513" t="s">
        <v>1765</v>
      </c>
      <c r="DP76" s="1521">
        <v>0</v>
      </c>
      <c r="DQ76" s="331"/>
      <c r="DR76" s="458"/>
      <c r="DS76" s="1195">
        <f t="shared" si="139"/>
        <v>0</v>
      </c>
      <c r="DT76" s="344" t="b">
        <f t="shared" si="140"/>
        <v>1</v>
      </c>
      <c r="DU76" s="1314" t="str">
        <f t="array" ref="DU76">IF(OR(COUNTIF(F76,"*"&amp;$DK$9:$DK$178&amp;"*")), "Yes", "")</f>
        <v/>
      </c>
      <c r="DV76" s="1314">
        <f t="shared" si="141"/>
        <v>0</v>
      </c>
      <c r="DW76" s="1480">
        <f t="shared" si="142"/>
        <v>0</v>
      </c>
      <c r="DX76" s="1498">
        <f t="shared" si="151"/>
        <v>0</v>
      </c>
      <c r="DY76" s="1484">
        <f t="shared" si="143"/>
        <v>0</v>
      </c>
      <c r="DZ76" s="331"/>
      <c r="EA76" s="392"/>
      <c r="EB76" s="1499" t="s">
        <v>183</v>
      </c>
      <c r="EC76" s="727" t="s">
        <v>1568</v>
      </c>
      <c r="ED76" s="728">
        <v>0.5</v>
      </c>
      <c r="EE76" s="1215"/>
      <c r="EF76" s="1215"/>
      <c r="EG76" s="1184" t="str">
        <f t="shared" si="144"/>
        <v/>
      </c>
      <c r="EH76" s="55"/>
      <c r="EI76" s="55"/>
      <c r="EJ76" s="1185">
        <f t="shared" si="92"/>
        <v>0</v>
      </c>
      <c r="EK76" s="1211"/>
      <c r="EL76" s="1180">
        <f t="shared" si="93"/>
        <v>0</v>
      </c>
      <c r="EM76" s="207"/>
      <c r="EN76" s="1038"/>
      <c r="EO76" s="1038"/>
      <c r="EP76" s="1038"/>
      <c r="EQ76" s="1038">
        <f t="shared" si="145"/>
        <v>0</v>
      </c>
      <c r="ER76" s="1041">
        <f t="shared" si="146"/>
        <v>0</v>
      </c>
      <c r="ES76" s="1042">
        <f t="shared" si="147"/>
        <v>0</v>
      </c>
      <c r="ET76" s="1042">
        <f t="shared" si="152"/>
        <v>0</v>
      </c>
      <c r="EU76" s="1021">
        <f t="shared" si="153"/>
        <v>0</v>
      </c>
      <c r="EV76" s="368"/>
      <c r="EW76" s="368"/>
      <c r="EX76" s="369"/>
      <c r="EY76" s="370"/>
      <c r="EZ76" s="370"/>
      <c r="FA76" s="371"/>
      <c r="FB76" s="372"/>
    </row>
    <row r="77" spans="1:158" ht="34.5" customHeight="1">
      <c r="A77" s="82">
        <v>69</v>
      </c>
      <c r="B77" s="1725"/>
      <c r="C77" s="1726"/>
      <c r="D77" s="1726"/>
      <c r="E77" s="1727"/>
      <c r="F77" s="1732"/>
      <c r="G77" s="1733"/>
      <c r="H77" s="1733"/>
      <c r="I77" s="1734"/>
      <c r="J77" s="1341"/>
      <c r="K77" s="1728"/>
      <c r="L77" s="1728"/>
      <c r="M77" s="1342"/>
      <c r="N77" s="1583"/>
      <c r="O77" s="208" t="str">
        <f t="shared" si="80"/>
        <v/>
      </c>
      <c r="P77" s="785"/>
      <c r="Q77" s="39" t="str">
        <f t="shared" si="81"/>
        <v/>
      </c>
      <c r="R77" s="39">
        <f t="shared" si="94"/>
        <v>0</v>
      </c>
      <c r="S77" s="234">
        <f t="shared" si="95"/>
        <v>0</v>
      </c>
      <c r="T77" s="1755"/>
      <c r="U77" s="1755"/>
      <c r="V77" s="1755"/>
      <c r="W77" s="1345"/>
      <c r="X77" s="1741"/>
      <c r="Y77" s="1742"/>
      <c r="Z77" s="1346"/>
      <c r="AA77" s="1343"/>
      <c r="AB77" s="1141"/>
      <c r="AC77" s="1103" t="str">
        <f>IF(T77="","",VLOOKUP(Z77,Lists!$A$60:$B$111,2,FALSE))</f>
        <v/>
      </c>
      <c r="AD77" s="130" t="str">
        <f t="shared" si="96"/>
        <v/>
      </c>
      <c r="AE77" s="130" t="e">
        <f t="shared" si="97"/>
        <v>#VALUE!</v>
      </c>
      <c r="AF77" s="130">
        <f t="shared" si="98"/>
        <v>1</v>
      </c>
      <c r="AG77" s="234">
        <f t="shared" si="82"/>
        <v>0</v>
      </c>
      <c r="AH77" s="1753" t="str">
        <f>IF(T77="","",(IF(ISNUMBER(SEARCH("exit",T77)),8760,IF(AND(M77="Dusk to Dawn",'Proposed Lighting'!AU77=3),4059,IF(AND(AU77=3,M77="1"),0,IF(AND(AU77=3,M77="1-C"),0,IF(AND(AU77=3,M77="2"),0,IF(AND(AU77=3,M77="2-C"),0,IF(AND(AU77=3,M77="3"),0,IF(AND(AU77=3,M77="3-C"),0,IF(AND(AU77=2,M77="Dusk to Dawn"),0,IF(AND(AU77=2,M77="Dusk to Dawn-C"),0,IF(AND(AU77=2,M77="Dusk to Dawn"),0,IF(AND(AU77=2,M77="E"),0,IF(AND(AU77=2,M77="E-C"),0,EG77)))))))))))))))</f>
        <v/>
      </c>
      <c r="AI77" s="1754"/>
      <c r="AJ77" s="1136"/>
      <c r="AK77" s="1136"/>
      <c r="AL77" s="1748">
        <f t="shared" si="99"/>
        <v>0</v>
      </c>
      <c r="AM77" s="1749"/>
      <c r="AN77" s="1750"/>
      <c r="AO77" s="476">
        <f t="shared" si="83"/>
        <v>0</v>
      </c>
      <c r="AP77" s="476">
        <f t="shared" si="100"/>
        <v>0</v>
      </c>
      <c r="AQ77" s="475">
        <f t="shared" si="84"/>
        <v>0</v>
      </c>
      <c r="AR77" s="475">
        <f t="shared" si="101"/>
        <v>0</v>
      </c>
      <c r="AS77" s="743" t="str">
        <f t="shared" si="79"/>
        <v/>
      </c>
      <c r="AT77" s="736" t="str">
        <f t="shared" si="102"/>
        <v/>
      </c>
      <c r="AU77" s="56">
        <f t="shared" si="103"/>
        <v>1</v>
      </c>
      <c r="AV77" s="476">
        <f t="shared" si="104"/>
        <v>0</v>
      </c>
      <c r="AW77" s="56">
        <f t="shared" si="105"/>
        <v>0</v>
      </c>
      <c r="AX77" s="475">
        <f t="shared" si="85"/>
        <v>0</v>
      </c>
      <c r="AY77" s="1169">
        <f t="shared" si="106"/>
        <v>0</v>
      </c>
      <c r="AZ77" s="1150">
        <f t="shared" si="148"/>
        <v>0</v>
      </c>
      <c r="BA77" s="56">
        <f t="shared" si="86"/>
        <v>0</v>
      </c>
      <c r="BB77" s="420">
        <f t="shared" si="87"/>
        <v>0</v>
      </c>
      <c r="BC77" s="58" t="str">
        <f t="shared" si="88"/>
        <v/>
      </c>
      <c r="BD77" s="660">
        <f t="shared" si="149"/>
        <v>0</v>
      </c>
      <c r="BE77" s="57" t="e">
        <f t="array" ref="BE77">INDEX($EB$11:$ED$1022,MATCH(F77&amp;T77,$EB$11:$EB$1007&amp;$EC$11:$EC$1007,0),3)</f>
        <v>#N/A</v>
      </c>
      <c r="BF77" s="463">
        <f t="shared" si="107"/>
        <v>0</v>
      </c>
      <c r="BG77" s="1445" t="e">
        <f t="array" ref="BG77">INDEX($DO$112:$DQ$123,MATCH(T77&amp;W77,$DO$114:$DO$125&amp;$DP$112:$DP$123,0),3)</f>
        <v>#N/A</v>
      </c>
      <c r="BH77" s="1446">
        <f t="shared" si="108"/>
        <v>0</v>
      </c>
      <c r="BI77" s="465">
        <f t="shared" si="109"/>
        <v>0</v>
      </c>
      <c r="BJ77" s="465">
        <f t="shared" si="110"/>
        <v>0</v>
      </c>
      <c r="BK77" s="466">
        <f t="shared" si="111"/>
        <v>0</v>
      </c>
      <c r="BL77" s="466">
        <f t="shared" si="112"/>
        <v>0</v>
      </c>
      <c r="BM77" s="466">
        <f t="shared" si="113"/>
        <v>0</v>
      </c>
      <c r="BN77" s="466">
        <f t="shared" si="114"/>
        <v>0</v>
      </c>
      <c r="BO77" s="463">
        <f>IF('Data Entry'!$C$74=0,0,IF(ISNA(CJ77),0,IF(AX77=0,0,IF(AND('Data Entry'!$C$74=2,AF77&gt;2,CE77&lt;1),0,IF(AND('Data Entry'!$C$74=2,AF77&gt;1,AU77=2,CJ77&gt;1),0,IF(AND(AF77=5,CT77=0.5,AU77=2,ER77&lt;100),0,IF(AND(AF77=5,CT77=0.5,AU77=3,ER77&lt;100),0,IF(AND('Data Entry'!$C$74=2,AF77=2,AU77=2,AK77&gt;0.01,CB77=2,CE77&lt;1),0,IF(AND('Data Entry'!$C$74=2,AF77=3,AU77=3,AK77&gt;0.01,CB77=3,CE77&lt;1),0,IF(AND('Data Entry'!$C$74=2,AF77=3,AU77=3,AK77&gt;0.01,CB77=3,CE77&gt;0.99),BQ77*0.08,IF(AND('Data Entry'!$C$74=2,AF77=2,AU77=2,AK77&gt;0.01,CB77=2,CE77&gt;0.99),BQ77*0.1,IF(AND(AU77=2,AK77&gt;0.01,CB77=2,CD77&gt;1),BQ77*0.1,IF(AND(AU77=3,AK77&gt;0.01,CB77=3,CD77&gt;1),BQ77*0.08,CJ77*EF77)))))))))))))</f>
        <v>0</v>
      </c>
      <c r="BP77" s="475">
        <f t="shared" si="115"/>
        <v>0</v>
      </c>
      <c r="BQ77" s="1431">
        <f>IF(AU77=1,0,IF(CH77=100,0,IF(AND(AF77=3,AU77=2),0,IF(AND(BH77=0,CT77&gt;0.4),0,IF(AND('Data Entry'!$C$74=2,AF77=1.5),0,IF(AND('Data Entry'!$C$74=2,AF77=1.6),0,IF(AND('Data Entry'!$C$74=2,AF77=4),0,IF(AND('Data Entry'!$C$74=2,AF77=5),0,IF(AND('Data Entry'!$C$74=2,AF77=2.5,CE77&lt;1),0,IF(AND('Data Entry'!$C$74=2,AF77=3,CE77&lt;1),0,IF(AND('Data Entry'!$C$74=1,AF77=2.5,CD77&lt;1),0,IF(AND('Data Entry'!$C$74=1,AF77=3,CD77&lt;1),0,IF(DX77&gt;0.01,DX77,IF(ISERROR(AX77-AY77),"",ROUND(AX77-AY77,2)))))))))))))))</f>
        <v>0</v>
      </c>
      <c r="BR77" s="146">
        <f t="shared" si="116"/>
        <v>0</v>
      </c>
      <c r="BS77" s="475">
        <f t="shared" si="117"/>
        <v>0</v>
      </c>
      <c r="BT77" s="146" t="b">
        <f t="shared" si="118"/>
        <v>0</v>
      </c>
      <c r="BU77" s="463">
        <f>IF(ISNA(AT77),0,IF(AND('Data Entry'!$C$74=2,BC77=27),0,IF(AND('Data Entry'!$C$74=2,BC77=28),0,IF(AND(BC77=27,BT77=27,CM77&gt;0.1),CM77*0.15,IF(AND(BC77=28,BT77=28,CM77&gt;0.1),CM77*0.12,0)))))</f>
        <v>0</v>
      </c>
      <c r="BV77" s="463">
        <f t="shared" si="78"/>
        <v>0</v>
      </c>
      <c r="BW77" s="463">
        <f t="shared" si="119"/>
        <v>0</v>
      </c>
      <c r="BX77" s="463">
        <f t="shared" si="120"/>
        <v>0</v>
      </c>
      <c r="BY77" s="463">
        <f t="shared" si="121"/>
        <v>0</v>
      </c>
      <c r="BZ77" s="463">
        <f t="shared" si="122"/>
        <v>0</v>
      </c>
      <c r="CA77" s="57">
        <f t="shared" si="150"/>
        <v>0</v>
      </c>
      <c r="CB77" s="56">
        <f t="shared" si="123"/>
        <v>1</v>
      </c>
      <c r="CC77" s="756">
        <f>IF(EE77=0,0,IF(EF77=0,0,IF(EE77&gt;AA77,0,IF(AND(AZ77&gt;AW77,AW77&gt;0),0,IF(CU77=0,0,Summary!AC380)))))</f>
        <v>0</v>
      </c>
      <c r="CD77" s="756">
        <f>IF(EE77=0,0,IF(EF77=0,0,IF(EE77&gt;AA77,0,IF(AND(AZ77&gt;AW77,AW77&gt;0),0,IF(CU77=0,0,Summary!AD380)))))</f>
        <v>0</v>
      </c>
      <c r="CE77" s="756">
        <f>IF(EF77=0,0,IF(EE77&gt;AA77,0,IF(CC77=0,0,IF(AND(AZ77&gt;AW77,AW77&gt;0),0,IF(CU77=0,0,Summary!AE380)))))</f>
        <v>0</v>
      </c>
      <c r="CF77" s="475">
        <f t="shared" si="124"/>
        <v>0</v>
      </c>
      <c r="CG77" s="476">
        <f t="shared" si="89"/>
        <v>0</v>
      </c>
      <c r="CH77" s="487">
        <f t="shared" si="125"/>
        <v>0</v>
      </c>
      <c r="CI77" s="756">
        <f t="shared" si="126"/>
        <v>0</v>
      </c>
      <c r="CJ77" s="487">
        <f>IF(CT77&gt;0.4,0,IF(AND(AU77=2,CH77=0,CT77=0.5,ER77=100),35,IF(AND(AU77=3,BB77&gt;75,CH77=0,CT77=0.5,ER77=100),25,IF(CB77&gt;1,0,IF(EF77&gt;EE77,0,IF(AND(AF77&gt;1,CH77=100),0,IF(AND(AF77=1,AY77=0),0,IF(AND(EF77&lt;=EE77,AW77&gt;=AZ77,'Data Entry'!$C$74=1,AU77=2),VLOOKUP(W77,$DO$96:$DP$102,2,FALSE),IF(AND(EF77&lt;=EE77,AW77&gt;=AZ77,AU77=3,'Data Entry'!$C$74=1),VLOOKUP(W77,$DO$127:$DP$134,2,FALSE))))))))))</f>
        <v>0</v>
      </c>
      <c r="CK77" s="716">
        <f t="shared" si="127"/>
        <v>0</v>
      </c>
      <c r="CL77" s="57">
        <f t="shared" si="128"/>
        <v>0</v>
      </c>
      <c r="CM77" s="475">
        <f t="shared" si="77"/>
        <v>0</v>
      </c>
      <c r="CN77" s="660">
        <f>IF(CM77&lt;0.1,0,IF(ISNA(AT77),0,IF(CL77+BC77=1,0,IF(BV77&gt;0.01,0,IF(CL77&gt;0.01,0,IF(CF77=1,0,IF(BC77=0.5,0,IF(AND(CI77=1,AU77=3),0,IF(AND(CI77=5,CL77=0),0,IF(AND(R77=12,BR77=50),0,IF(CK77&gt;0.01,0,IF(AND(AJ77&gt;0.01,AU77=2,BC77=15),CM77*0.1,IF(AND(AJ77&gt;0.01,AU77=3,BC77=15),CM77*0.08,IF(AND(R77=12,BC77=3,AF77&lt;=0),0,IF(AND(BC77=15,BI77=0),0,IF(AND(BC77=15,BJ77=0),0,IF(AND(R77=20,CU77=0),0,IF($X$4=0,0,IF(AND(BC77=250,CL77=0),0,IF(AA77&lt;1,0,IF(AND(ISNUMBER(SEARCH("Area",T77)),AU77=3),0,IF(AND(AQ77&gt;0.01,AR77=0,BK77=0,BL77=0,BM77=0,BN77=0),0,IF(AND(AU77=3,CI77=7,CT77&gt;0.5),0,IF(AND(BC77=44,AU77=3,BY77=0),0,IF(AND(BC77=27,'Data Entry'!$C$74=2),0,IF(AND(BC77=28,'Data Entry'!$C$74=2),0,IF(AND(BY77+BZ77+CA77&gt;0.01,BV77=0,EQ77+ER77+ES77+ET77&lt;100),0,IF(AU77=3,CM77*0.08,IF(AU77=2,CM77*0.1,0)))))))))))))))))))))))))))))</f>
        <v>0</v>
      </c>
      <c r="CO77" s="660">
        <f t="shared" si="129"/>
        <v>0</v>
      </c>
      <c r="CP77" s="475" t="str">
        <f t="shared" si="130"/>
        <v/>
      </c>
      <c r="CQ77" s="161" t="str">
        <f>IF(AH77=0,0,IF(AU77=5,0,Summary!AC80))</f>
        <v/>
      </c>
      <c r="CR77" s="161" t="str">
        <f>IF(BF77=0.5,0,IF(AU77=5,0,Summary!AD80))</f>
        <v/>
      </c>
      <c r="CS77" s="161" t="str">
        <f>IF(AU77=5,0,Summary!AE80)</f>
        <v/>
      </c>
      <c r="CT77" s="161">
        <f t="shared" si="131"/>
        <v>0</v>
      </c>
      <c r="CU77" s="475" t="str">
        <f t="shared" si="132"/>
        <v/>
      </c>
      <c r="CV77" s="307">
        <f>IF('Data Entry'!$C$74=0,0,IF(AA77&lt;1,0,IF(ISERROR(CU77),0,IF(CF77=1,0,IF(AND(R77=12,BR77=50),0,IF(CL77+BO77+BV77+DC77=0,0,IF(BC77=37,0,IF(AND(BC77=40,AJ77=0),0,IF(AND(BC77=37,BO77&gt;0.01,BQ77&gt;0.01),ROUND(BQ77,0),IF(CM77&lt;0,0,ROUND(CM77,0)))))))))))</f>
        <v>0</v>
      </c>
      <c r="CW77" s="700">
        <f t="shared" si="133"/>
        <v>0</v>
      </c>
      <c r="CX77" s="477">
        <f>IF('Data Entry'!$C$74=0,0,IF(CV77&lt;0.01,0,IF(BF77=0.5,0,IF(CF77=1,0,IF(ISNUMBER(SEARCH("false",CL77)),0,IF(AZ77=500,0,CL77))))))</f>
        <v>0</v>
      </c>
      <c r="CY77" s="147" t="e">
        <f t="shared" si="134"/>
        <v>#VALUE!</v>
      </c>
      <c r="CZ77" s="147" t="b">
        <f>IF(CN77+CL77=0,FALSE,IF(AH77=0,0,IF(AND('Data Entry'!$C$74=1,CR77&gt;=1),TRUE,IF(AND('Data Entry'!$C$74=2,CS77&gt;=1),TRUE,FALSE))))</f>
        <v>0</v>
      </c>
      <c r="DA77" s="1751">
        <f>IF('Data Entry'!$C$74=0,0,IFERROR(ROUND(IF(T77="","",IF($X$4=0,0,IF(CF77=1,0,IF(BQ77+CV77=0,0,IF(CF77=1,0,IF(CY77&gt;0.01,CY77,IF(CL77&gt;0.01,CL77,IF(CY77&gt;0.01,CY77,IF(BC77=37,BO77,IF(CZ77=FALSE,0,IF(CZ77=TRUE,DC77+DF77,0))))))))))),2),""))</f>
        <v>0</v>
      </c>
      <c r="DB77" s="1752"/>
      <c r="DC77" s="474">
        <f>IF(CN77&lt;0.01,0,IF(AND(BR77=3,CN77&gt;0.01,CT77&gt;0.6,ER77+ES77+ET77&lt;100),0,IF(AND('Data Entry'!$C$74=1,CN77&gt;0.01,CR77&gt;0.99),MIN(CN77:CO77),IF(AND('Data Entry'!$C$74=2,CN77&gt;0.01,CS77&gt;0.99),MIN(CN77:CO77),0))))</f>
        <v>0</v>
      </c>
      <c r="DD77" s="478">
        <f>IF(CF77=1,"Selection does not match",IF(T77=0,0,IF(AND('Data Entry'!$C$74=0,CP77&gt;1),"Select Oregon or Idaho on Data Entry Tab",IF(AND(AU77=1,AA77&gt;0.9),"Missing Interior or Exterior Selection",IF($X$4=0,"Enter Total Project Cost",IF(AQ77&lt;AR77,"Insufficient kWh savings – no incentive",IF(AND(SUM(CL77+CK77+BV77)&gt;0.01,'Data Entry'!$C$74=2,CJ77&gt;1,BO77=0),"Submit Control as Non-Standard",IF(AND('Data Entry'!$C$74=2,BR77=37,CJ77&gt;1,BO77=0),"Submit Control as Non-Standard",IF(SUM(CL77+CK77+BV77)&gt;0.01,"Standard Incentive",IF(AND('Data Entry'!$C$74=2,CP77=7,CN77=0),"Submit as Non-Standard",IF(DC77&gt;0.9,"Non-Standard Incentive",IF(AND(BY77+BZ77+CA77&gt;0.01,BV77=0,EQ77=0,ER77=0,ES77=0,ET77=0),"Scroll Right &amp; Select Control Strategies",IF(AND(CN77&gt;0.01,CO77=0),"Enter Unit Installed Cost",IF(ISNUMBER(SEARCH("Lighting Controls Only",F77)),"Lighting Controls Only",IF(CL77+DC77=0,"Does not meet incentive criteria",0)))))))))))))))</f>
        <v>0</v>
      </c>
      <c r="DE77" s="337">
        <f t="shared" si="135"/>
        <v>0</v>
      </c>
      <c r="DF77" s="609">
        <f t="shared" si="136"/>
        <v>0</v>
      </c>
      <c r="DG77" s="336" t="str">
        <f t="shared" si="137"/>
        <v/>
      </c>
      <c r="DH77" s="338">
        <f t="shared" si="138"/>
        <v>1</v>
      </c>
      <c r="DI77" s="336" t="e">
        <f t="shared" si="90"/>
        <v>#VALUE!</v>
      </c>
      <c r="DJ77" s="338">
        <f t="shared" si="91"/>
        <v>0</v>
      </c>
      <c r="DK77" s="426" t="s">
        <v>186</v>
      </c>
      <c r="DL77" s="323">
        <v>146</v>
      </c>
      <c r="DM77" s="426" t="s">
        <v>517</v>
      </c>
      <c r="DN77" s="1439">
        <v>24</v>
      </c>
      <c r="DO77" s="1513" t="s">
        <v>1781</v>
      </c>
      <c r="DP77" s="1520">
        <v>0.7</v>
      </c>
      <c r="DQ77" s="331"/>
      <c r="DR77" s="458"/>
      <c r="DS77" s="1195">
        <f t="shared" si="139"/>
        <v>0</v>
      </c>
      <c r="DT77" s="344" t="b">
        <f t="shared" si="140"/>
        <v>1</v>
      </c>
      <c r="DU77" s="1314" t="str">
        <f t="array" ref="DU77">IF(OR(COUNTIF(F77,"*"&amp;$DK$9:$DK$178&amp;"*")), "Yes", "")</f>
        <v/>
      </c>
      <c r="DV77" s="1314">
        <f t="shared" si="141"/>
        <v>0</v>
      </c>
      <c r="DW77" s="1480">
        <f t="shared" si="142"/>
        <v>0</v>
      </c>
      <c r="DX77" s="1498">
        <f t="shared" si="151"/>
        <v>0</v>
      </c>
      <c r="DY77" s="1484">
        <f t="shared" si="143"/>
        <v>0</v>
      </c>
      <c r="DZ77" s="331"/>
      <c r="EA77" s="392"/>
      <c r="EB77" s="1499" t="s">
        <v>184</v>
      </c>
      <c r="EC77" s="727" t="s">
        <v>1568</v>
      </c>
      <c r="ED77" s="728">
        <v>0.5</v>
      </c>
      <c r="EE77" s="1215"/>
      <c r="EF77" s="1215"/>
      <c r="EG77" s="1184" t="str">
        <f t="shared" si="144"/>
        <v/>
      </c>
      <c r="EH77" s="55"/>
      <c r="EI77" s="55"/>
      <c r="EJ77" s="1185">
        <f t="shared" si="92"/>
        <v>0</v>
      </c>
      <c r="EK77" s="1211"/>
      <c r="EL77" s="1180">
        <f t="shared" si="93"/>
        <v>0</v>
      </c>
      <c r="EM77" s="207"/>
      <c r="EN77" s="1038"/>
      <c r="EO77" s="1038"/>
      <c r="EP77" s="1038"/>
      <c r="EQ77" s="1038">
        <f t="shared" si="145"/>
        <v>0</v>
      </c>
      <c r="ER77" s="1041">
        <f t="shared" si="146"/>
        <v>0</v>
      </c>
      <c r="ES77" s="1042">
        <f t="shared" si="147"/>
        <v>0</v>
      </c>
      <c r="ET77" s="1042">
        <f t="shared" si="152"/>
        <v>0</v>
      </c>
      <c r="EU77" s="1021">
        <f t="shared" si="153"/>
        <v>0</v>
      </c>
      <c r="EV77" s="368"/>
      <c r="EW77" s="368"/>
      <c r="EX77" s="369"/>
      <c r="EY77" s="370"/>
      <c r="EZ77" s="370"/>
      <c r="FA77" s="371"/>
      <c r="FB77" s="372"/>
    </row>
    <row r="78" spans="1:158" ht="34.5" customHeight="1">
      <c r="A78" s="82">
        <v>70</v>
      </c>
      <c r="B78" s="1725"/>
      <c r="C78" s="1726"/>
      <c r="D78" s="1726"/>
      <c r="E78" s="1727"/>
      <c r="F78" s="1732"/>
      <c r="G78" s="1733"/>
      <c r="H78" s="1733"/>
      <c r="I78" s="1734"/>
      <c r="J78" s="1341"/>
      <c r="K78" s="1728"/>
      <c r="L78" s="1728"/>
      <c r="M78" s="1342"/>
      <c r="N78" s="1583"/>
      <c r="O78" s="208" t="str">
        <f t="shared" si="80"/>
        <v/>
      </c>
      <c r="P78" s="785"/>
      <c r="Q78" s="39" t="str">
        <f t="shared" si="81"/>
        <v/>
      </c>
      <c r="R78" s="39">
        <f t="shared" si="94"/>
        <v>0</v>
      </c>
      <c r="S78" s="234">
        <f t="shared" si="95"/>
        <v>0</v>
      </c>
      <c r="T78" s="1755"/>
      <c r="U78" s="1755"/>
      <c r="V78" s="1755"/>
      <c r="W78" s="1345"/>
      <c r="X78" s="1741"/>
      <c r="Y78" s="1742"/>
      <c r="Z78" s="1346"/>
      <c r="AA78" s="1343"/>
      <c r="AB78" s="1141"/>
      <c r="AC78" s="1103" t="str">
        <f>IF(T78="","",VLOOKUP(Z78,Lists!$A$60:$B$111,2,FALSE))</f>
        <v/>
      </c>
      <c r="AD78" s="130" t="str">
        <f t="shared" si="96"/>
        <v/>
      </c>
      <c r="AE78" s="130" t="e">
        <f t="shared" si="97"/>
        <v>#VALUE!</v>
      </c>
      <c r="AF78" s="130">
        <f t="shared" si="98"/>
        <v>1</v>
      </c>
      <c r="AG78" s="234">
        <f t="shared" si="82"/>
        <v>0</v>
      </c>
      <c r="AH78" s="1753" t="str">
        <f>IF(T78="","",(IF(ISNUMBER(SEARCH("exit",T78)),8760,IF(AND(M78="Dusk to Dawn",'Proposed Lighting'!AU78=3),4059,IF(AND(AU78=3,M78="1"),0,IF(AND(AU78=3,M78="1-C"),0,IF(AND(AU78=3,M78="2"),0,IF(AND(AU78=3,M78="2-C"),0,IF(AND(AU78=3,M78="3"),0,IF(AND(AU78=3,M78="3-C"),0,IF(AND(AU78=2,M78="Dusk to Dawn"),0,IF(AND(AU78=2,M78="Dusk to Dawn-C"),0,IF(AND(AU78=2,M78="Dusk to Dawn"),0,IF(AND(AU78=2,M78="E"),0,IF(AND(AU78=2,M78="E-C"),0,EG78)))))))))))))))</f>
        <v/>
      </c>
      <c r="AI78" s="1754"/>
      <c r="AJ78" s="1136"/>
      <c r="AK78" s="1136"/>
      <c r="AL78" s="1748">
        <f t="shared" si="99"/>
        <v>0</v>
      </c>
      <c r="AM78" s="1749"/>
      <c r="AN78" s="1750"/>
      <c r="AO78" s="476">
        <f t="shared" si="83"/>
        <v>0</v>
      </c>
      <c r="AP78" s="476">
        <f t="shared" si="100"/>
        <v>0</v>
      </c>
      <c r="AQ78" s="475">
        <f t="shared" si="84"/>
        <v>0</v>
      </c>
      <c r="AR78" s="475">
        <f t="shared" si="101"/>
        <v>0</v>
      </c>
      <c r="AS78" s="743" t="str">
        <f t="shared" si="79"/>
        <v/>
      </c>
      <c r="AT78" s="736" t="str">
        <f t="shared" si="102"/>
        <v/>
      </c>
      <c r="AU78" s="56">
        <f t="shared" si="103"/>
        <v>1</v>
      </c>
      <c r="AV78" s="476">
        <f t="shared" si="104"/>
        <v>0</v>
      </c>
      <c r="AW78" s="56">
        <f t="shared" si="105"/>
        <v>0</v>
      </c>
      <c r="AX78" s="475">
        <f t="shared" si="85"/>
        <v>0</v>
      </c>
      <c r="AY78" s="1169">
        <f t="shared" si="106"/>
        <v>0</v>
      </c>
      <c r="AZ78" s="1150">
        <f t="shared" si="148"/>
        <v>0</v>
      </c>
      <c r="BA78" s="56">
        <f t="shared" si="86"/>
        <v>0</v>
      </c>
      <c r="BB78" s="420">
        <f t="shared" si="87"/>
        <v>0</v>
      </c>
      <c r="BC78" s="58" t="str">
        <f t="shared" si="88"/>
        <v/>
      </c>
      <c r="BD78" s="660">
        <f t="shared" si="149"/>
        <v>0</v>
      </c>
      <c r="BE78" s="57" t="e">
        <f t="array" ref="BE78">INDEX($EB$11:$ED$1022,MATCH(F78&amp;T78,$EB$11:$EB$1007&amp;$EC$11:$EC$1007,0),3)</f>
        <v>#N/A</v>
      </c>
      <c r="BF78" s="463">
        <f t="shared" si="107"/>
        <v>0</v>
      </c>
      <c r="BG78" s="1445" t="e">
        <f t="array" ref="BG78">INDEX($DO$112:$DQ$123,MATCH(T78&amp;W78,$DO$114:$DO$125&amp;$DP$112:$DP$123,0),3)</f>
        <v>#N/A</v>
      </c>
      <c r="BH78" s="1446">
        <f t="shared" si="108"/>
        <v>0</v>
      </c>
      <c r="BI78" s="465">
        <f t="shared" si="109"/>
        <v>0</v>
      </c>
      <c r="BJ78" s="465">
        <f t="shared" si="110"/>
        <v>0</v>
      </c>
      <c r="BK78" s="466">
        <f t="shared" si="111"/>
        <v>0</v>
      </c>
      <c r="BL78" s="466">
        <f t="shared" si="112"/>
        <v>0</v>
      </c>
      <c r="BM78" s="466">
        <f t="shared" si="113"/>
        <v>0</v>
      </c>
      <c r="BN78" s="466">
        <f t="shared" si="114"/>
        <v>0</v>
      </c>
      <c r="BO78" s="463">
        <f>IF('Data Entry'!$C$74=0,0,IF(ISNA(CJ78),0,IF(AX78=0,0,IF(AND('Data Entry'!$C$74=2,AF78&gt;2,CE78&lt;1),0,IF(AND('Data Entry'!$C$74=2,AF78&gt;1,AU78=2,CJ78&gt;1),0,IF(AND(AF78=5,CT78=0.5,AU78=2,ER78&lt;100),0,IF(AND(AF78=5,CT78=0.5,AU78=3,ER78&lt;100),0,IF(AND('Data Entry'!$C$74=2,AF78=2,AU78=2,AK78&gt;0.01,CB78=2,CE78&lt;1),0,IF(AND('Data Entry'!$C$74=2,AF78=3,AU78=3,AK78&gt;0.01,CB78=3,CE78&lt;1),0,IF(AND('Data Entry'!$C$74=2,AF78=3,AU78=3,AK78&gt;0.01,CB78=3,CE78&gt;0.99),BQ78*0.08,IF(AND('Data Entry'!$C$74=2,AF78=2,AU78=2,AK78&gt;0.01,CB78=2,CE78&gt;0.99),BQ78*0.1,IF(AND(AU78=2,AK78&gt;0.01,CB78=2,CD78&gt;1),BQ78*0.1,IF(AND(AU78=3,AK78&gt;0.01,CB78=3,CD78&gt;1),BQ78*0.08,CJ78*EF78)))))))))))))</f>
        <v>0</v>
      </c>
      <c r="BP78" s="475">
        <f t="shared" si="115"/>
        <v>0</v>
      </c>
      <c r="BQ78" s="1431">
        <f>IF(AU78=1,0,IF(CH78=100,0,IF(AND(AF78=3,AU78=2),0,IF(AND(BH78=0,CT78&gt;0.4),0,IF(AND('Data Entry'!$C$74=2,AF78=1.5),0,IF(AND('Data Entry'!$C$74=2,AF78=1.6),0,IF(AND('Data Entry'!$C$74=2,AF78=4),0,IF(AND('Data Entry'!$C$74=2,AF78=5),0,IF(AND('Data Entry'!$C$74=2,AF78=2.5,CE78&lt;1),0,IF(AND('Data Entry'!$C$74=2,AF78=3,CE78&lt;1),0,IF(AND('Data Entry'!$C$74=1,AF78=2.5,CD78&lt;1),0,IF(AND('Data Entry'!$C$74=1,AF78=3,CD78&lt;1),0,IF(DX78&gt;0.01,DX78,IF(ISERROR(AX78-AY78),"",ROUND(AX78-AY78,2)))))))))))))))</f>
        <v>0</v>
      </c>
      <c r="BR78" s="146">
        <f t="shared" si="116"/>
        <v>0</v>
      </c>
      <c r="BS78" s="475">
        <f t="shared" si="117"/>
        <v>0</v>
      </c>
      <c r="BT78" s="146" t="b">
        <f t="shared" si="118"/>
        <v>0</v>
      </c>
      <c r="BU78" s="463">
        <f>IF(ISNA(AT78),0,IF(AND('Data Entry'!$C$74=2,BC78=27),0,IF(AND('Data Entry'!$C$74=2,BC78=28),0,IF(AND(BC78=27,BT78=27,CM78&gt;0.1),CM78*0.15,IF(AND(BC78=28,BT78=28,CM78&gt;0.1),CM78*0.12,0)))))</f>
        <v>0</v>
      </c>
      <c r="BV78" s="463">
        <f t="shared" si="78"/>
        <v>0</v>
      </c>
      <c r="BW78" s="463">
        <f t="shared" si="119"/>
        <v>0</v>
      </c>
      <c r="BX78" s="463">
        <f t="shared" si="120"/>
        <v>0</v>
      </c>
      <c r="BY78" s="463">
        <f t="shared" si="121"/>
        <v>0</v>
      </c>
      <c r="BZ78" s="463">
        <f t="shared" si="122"/>
        <v>0</v>
      </c>
      <c r="CA78" s="57">
        <f t="shared" si="150"/>
        <v>0</v>
      </c>
      <c r="CB78" s="56">
        <f t="shared" si="123"/>
        <v>1</v>
      </c>
      <c r="CC78" s="756">
        <f>IF(EE78=0,0,IF(EF78=0,0,IF(EE78&gt;AA78,0,IF(AND(AZ78&gt;AW78,AW78&gt;0),0,IF(CU78=0,0,Summary!AC381)))))</f>
        <v>0</v>
      </c>
      <c r="CD78" s="756">
        <f>IF(EE78=0,0,IF(EF78=0,0,IF(EE78&gt;AA78,0,IF(AND(AZ78&gt;AW78,AW78&gt;0),0,IF(CU78=0,0,Summary!AD381)))))</f>
        <v>0</v>
      </c>
      <c r="CE78" s="756">
        <f>IF(EF78=0,0,IF(EE78&gt;AA78,0,IF(CC78=0,0,IF(AND(AZ78&gt;AW78,AW78&gt;0),0,IF(CU78=0,0,Summary!AE381)))))</f>
        <v>0</v>
      </c>
      <c r="CF78" s="475">
        <f t="shared" si="124"/>
        <v>0</v>
      </c>
      <c r="CG78" s="476">
        <f t="shared" si="89"/>
        <v>0</v>
      </c>
      <c r="CH78" s="487">
        <f t="shared" si="125"/>
        <v>0</v>
      </c>
      <c r="CI78" s="756">
        <f t="shared" si="126"/>
        <v>0</v>
      </c>
      <c r="CJ78" s="487">
        <f>IF(CT78&gt;0.4,0,IF(AND(AU78=2,CH78=0,CT78=0.5,ER78=100),35,IF(AND(AU78=3,BB78&gt;75,CH78=0,CT78=0.5,ER78=100),25,IF(CB78&gt;1,0,IF(EF78&gt;EE78,0,IF(AND(AF78&gt;1,CH78=100),0,IF(AND(AF78=1,AY78=0),0,IF(AND(EF78&lt;=EE78,AW78&gt;=AZ78,'Data Entry'!$C$74=1,AU78=2),VLOOKUP(W78,$DO$96:$DP$102,2,FALSE),IF(AND(EF78&lt;=EE78,AW78&gt;=AZ78,AU78=3,'Data Entry'!$C$74=1),VLOOKUP(W78,$DO$127:$DP$134,2,FALSE))))))))))</f>
        <v>0</v>
      </c>
      <c r="CK78" s="716">
        <f t="shared" si="127"/>
        <v>0</v>
      </c>
      <c r="CL78" s="57">
        <f t="shared" si="128"/>
        <v>0</v>
      </c>
      <c r="CM78" s="475">
        <f t="shared" ref="CM78:CM141" si="154">IF(AA78&lt;1,0,ROUND(AQ78-AR78,2))</f>
        <v>0</v>
      </c>
      <c r="CN78" s="660">
        <f>IF(CM78&lt;0.1,0,IF(ISNA(AT78),0,IF(CL78+BC78=1,0,IF(BV78&gt;0.01,0,IF(CL78&gt;0.01,0,IF(CF78=1,0,IF(BC78=0.5,0,IF(AND(CI78=1,AU78=3),0,IF(AND(CI78=5,CL78=0),0,IF(AND(R78=12,BR78=50),0,IF(CK78&gt;0.01,0,IF(AND(AJ78&gt;0.01,AU78=2,BC78=15),CM78*0.1,IF(AND(AJ78&gt;0.01,AU78=3,BC78=15),CM78*0.08,IF(AND(R78=12,BC78=3,AF78&lt;=0),0,IF(AND(BC78=15,BI78=0),0,IF(AND(BC78=15,BJ78=0),0,IF(AND(R78=20,CU78=0),0,IF($X$4=0,0,IF(AND(BC78=250,CL78=0),0,IF(AA78&lt;1,0,IF(AND(ISNUMBER(SEARCH("Area",T78)),AU78=3),0,IF(AND(AQ78&gt;0.01,AR78=0,BK78=0,BL78=0,BM78=0,BN78=0),0,IF(AND(AU78=3,CI78=7,CT78&gt;0.5),0,IF(AND(BC78=44,AU78=3,BY78=0),0,IF(AND(BC78=27,'Data Entry'!$C$74=2),0,IF(AND(BC78=28,'Data Entry'!$C$74=2),0,IF(AND(BY78+BZ78+CA78&gt;0.01,BV78=0,EQ78+ER78+ES78+ET78&lt;100),0,IF(AU78=3,CM78*0.08,IF(AU78=2,CM78*0.1,0)))))))))))))))))))))))))))))</f>
        <v>0</v>
      </c>
      <c r="CO78" s="660">
        <f t="shared" si="129"/>
        <v>0</v>
      </c>
      <c r="CP78" s="475" t="str">
        <f t="shared" si="130"/>
        <v/>
      </c>
      <c r="CQ78" s="161" t="str">
        <f>IF(AH78=0,0,IF(AU78=5,0,Summary!AC81))</f>
        <v/>
      </c>
      <c r="CR78" s="161" t="str">
        <f>IF(BF78=0.5,0,IF(AU78=5,0,Summary!AD81))</f>
        <v/>
      </c>
      <c r="CS78" s="161" t="str">
        <f>IF(AU78=5,0,Summary!AE81)</f>
        <v/>
      </c>
      <c r="CT78" s="161">
        <f t="shared" si="131"/>
        <v>0</v>
      </c>
      <c r="CU78" s="475" t="str">
        <f t="shared" si="132"/>
        <v/>
      </c>
      <c r="CV78" s="307">
        <f>IF('Data Entry'!$C$74=0,0,IF(AA78&lt;1,0,IF(ISERROR(CU78),0,IF(CF78=1,0,IF(AND(R78=12,BR78=50),0,IF(CL78+BO78+BV78+DC78=0,0,IF(BC78=37,0,IF(AND(BC78=40,AJ78=0),0,IF(AND(BC78=37,BO78&gt;0.01,BQ78&gt;0.01),ROUND(BQ78,0),IF(CM78&lt;0,0,ROUND(CM78,0)))))))))))</f>
        <v>0</v>
      </c>
      <c r="CW78" s="700">
        <f t="shared" si="133"/>
        <v>0</v>
      </c>
      <c r="CX78" s="477">
        <f>IF('Data Entry'!$C$74=0,0,IF(CV78&lt;0.01,0,IF(BF78=0.5,0,IF(CF78=1,0,IF(ISNUMBER(SEARCH("false",CL78)),0,IF(AZ78=500,0,CL78))))))</f>
        <v>0</v>
      </c>
      <c r="CY78" s="147" t="e">
        <f t="shared" si="134"/>
        <v>#VALUE!</v>
      </c>
      <c r="CZ78" s="147" t="b">
        <f>IF(CN78+CL78=0,FALSE,IF(AH78=0,0,IF(AND('Data Entry'!$C$74=1,CR78&gt;=1),TRUE,IF(AND('Data Entry'!$C$74=2,CS78&gt;=1),TRUE,FALSE))))</f>
        <v>0</v>
      </c>
      <c r="DA78" s="1751">
        <f>IF('Data Entry'!$C$74=0,0,IFERROR(ROUND(IF(T78="","",IF($X$4=0,0,IF(CF78=1,0,IF(BQ78+CV78=0,0,IF(CF78=1,0,IF(CY78&gt;0.01,CY78,IF(CL78&gt;0.01,CL78,IF(CY78&gt;0.01,CY78,IF(BC78=37,BO78,IF(CZ78=FALSE,0,IF(CZ78=TRUE,DC78+DF78,0))))))))))),2),""))</f>
        <v>0</v>
      </c>
      <c r="DB78" s="1752"/>
      <c r="DC78" s="474">
        <f>IF(CN78&lt;0.01,0,IF(AND(BR78=3,CN78&gt;0.01,CT78&gt;0.6,ER78+ES78+ET78&lt;100),0,IF(AND('Data Entry'!$C$74=1,CN78&gt;0.01,CR78&gt;0.99),MIN(CN78:CO78),IF(AND('Data Entry'!$C$74=2,CN78&gt;0.01,CS78&gt;0.99),MIN(CN78:CO78),0))))</f>
        <v>0</v>
      </c>
      <c r="DD78" s="478">
        <f>IF(CF78=1,"Selection does not match",IF(T78=0,0,IF(AND('Data Entry'!$C$74=0,CP78&gt;1),"Select Oregon or Idaho on Data Entry Tab",IF(AND(AU78=1,AA78&gt;0.9),"Missing Interior or Exterior Selection",IF($X$4=0,"Enter Total Project Cost",IF(AQ78&lt;AR78,"Insufficient kWh savings – no incentive",IF(AND(SUM(CL78+CK78+BV78)&gt;0.01,'Data Entry'!$C$74=2,CJ78&gt;1,BO78=0),"Submit Control as Non-Standard",IF(AND('Data Entry'!$C$74=2,BR78=37,CJ78&gt;1,BO78=0),"Submit Control as Non-Standard",IF(SUM(CL78+CK78+BV78)&gt;0.01,"Standard Incentive",IF(AND('Data Entry'!$C$74=2,CP78=7,CN78=0),"Submit as Non-Standard",IF(DC78&gt;0.9,"Non-Standard Incentive",IF(AND(BY78+BZ78+CA78&gt;0.01,BV78=0,EQ78=0,ER78=0,ES78=0,ET78=0),"Scroll Right &amp; Select Control Strategies",IF(AND(CN78&gt;0.01,CO78=0),"Enter Unit Installed Cost",IF(ISNUMBER(SEARCH("Lighting Controls Only",F78)),"Lighting Controls Only",IF(CL78+DC78=0,"Does not meet incentive criteria",0)))))))))))))))</f>
        <v>0</v>
      </c>
      <c r="DE78" s="337">
        <f t="shared" si="135"/>
        <v>0</v>
      </c>
      <c r="DF78" s="609">
        <f t="shared" si="136"/>
        <v>0</v>
      </c>
      <c r="DG78" s="336" t="str">
        <f t="shared" si="137"/>
        <v/>
      </c>
      <c r="DH78" s="338">
        <f t="shared" si="138"/>
        <v>1</v>
      </c>
      <c r="DI78" s="336" t="e">
        <f t="shared" si="90"/>
        <v>#VALUE!</v>
      </c>
      <c r="DJ78" s="338">
        <f t="shared" si="91"/>
        <v>0</v>
      </c>
      <c r="DK78" s="426" t="s">
        <v>108</v>
      </c>
      <c r="DL78" s="323">
        <v>51</v>
      </c>
      <c r="DM78" s="426" t="s">
        <v>518</v>
      </c>
      <c r="DN78" s="1439">
        <v>32</v>
      </c>
      <c r="DO78" s="1513" t="s">
        <v>1782</v>
      </c>
      <c r="DP78" s="1521">
        <v>0.25</v>
      </c>
      <c r="DQ78" s="331"/>
      <c r="DR78" s="458"/>
      <c r="DS78" s="1195">
        <f t="shared" si="139"/>
        <v>0</v>
      </c>
      <c r="DT78" s="344" t="b">
        <f t="shared" si="140"/>
        <v>1</v>
      </c>
      <c r="DU78" s="1314" t="str">
        <f t="array" ref="DU78">IF(OR(COUNTIF(F78,"*"&amp;$DK$9:$DK$178&amp;"*")), "Yes", "")</f>
        <v/>
      </c>
      <c r="DV78" s="1314">
        <f t="shared" si="141"/>
        <v>0</v>
      </c>
      <c r="DW78" s="1480">
        <f t="shared" si="142"/>
        <v>0</v>
      </c>
      <c r="DX78" s="1498">
        <f t="shared" si="151"/>
        <v>0</v>
      </c>
      <c r="DY78" s="1484">
        <f t="shared" si="143"/>
        <v>0</v>
      </c>
      <c r="DZ78" s="331"/>
      <c r="EA78" s="392"/>
      <c r="EB78" s="1499" t="s">
        <v>106</v>
      </c>
      <c r="EC78" s="727" t="s">
        <v>1568</v>
      </c>
      <c r="ED78" s="728">
        <v>0.5</v>
      </c>
      <c r="EE78" s="1215"/>
      <c r="EF78" s="1215"/>
      <c r="EG78" s="1184" t="str">
        <f t="shared" si="144"/>
        <v/>
      </c>
      <c r="EH78" s="55"/>
      <c r="EI78" s="55"/>
      <c r="EJ78" s="1185">
        <f t="shared" si="92"/>
        <v>0</v>
      </c>
      <c r="EK78" s="1211"/>
      <c r="EL78" s="1180">
        <f t="shared" si="93"/>
        <v>0</v>
      </c>
      <c r="EM78" s="207"/>
      <c r="EN78" s="1038"/>
      <c r="EO78" s="1038"/>
      <c r="EP78" s="1038"/>
      <c r="EQ78" s="1038">
        <f t="shared" si="145"/>
        <v>0</v>
      </c>
      <c r="ER78" s="1041">
        <f t="shared" si="146"/>
        <v>0</v>
      </c>
      <c r="ES78" s="1042">
        <f t="shared" si="147"/>
        <v>0</v>
      </c>
      <c r="ET78" s="1042">
        <f t="shared" si="152"/>
        <v>0</v>
      </c>
      <c r="EU78" s="1021">
        <f t="shared" si="153"/>
        <v>0</v>
      </c>
      <c r="EV78" s="368"/>
      <c r="EW78" s="368"/>
      <c r="EX78" s="369"/>
      <c r="EY78" s="370"/>
      <c r="EZ78" s="370"/>
      <c r="FA78" s="371"/>
      <c r="FB78" s="372"/>
    </row>
    <row r="79" spans="1:158" ht="34.5" customHeight="1">
      <c r="A79" s="82">
        <v>71</v>
      </c>
      <c r="B79" s="1725"/>
      <c r="C79" s="1726"/>
      <c r="D79" s="1726"/>
      <c r="E79" s="1727"/>
      <c r="F79" s="1732"/>
      <c r="G79" s="1733"/>
      <c r="H79" s="1733"/>
      <c r="I79" s="1734"/>
      <c r="J79" s="1341"/>
      <c r="K79" s="1728"/>
      <c r="L79" s="1728"/>
      <c r="M79" s="1342"/>
      <c r="N79" s="1583"/>
      <c r="O79" s="208" t="str">
        <f t="shared" si="80"/>
        <v/>
      </c>
      <c r="P79" s="785"/>
      <c r="Q79" s="39" t="str">
        <f t="shared" si="81"/>
        <v/>
      </c>
      <c r="R79" s="39">
        <f t="shared" si="94"/>
        <v>0</v>
      </c>
      <c r="S79" s="234">
        <f t="shared" si="95"/>
        <v>0</v>
      </c>
      <c r="T79" s="1755"/>
      <c r="U79" s="1755"/>
      <c r="V79" s="1755"/>
      <c r="W79" s="1345"/>
      <c r="X79" s="1741"/>
      <c r="Y79" s="1742"/>
      <c r="Z79" s="1346"/>
      <c r="AA79" s="1343"/>
      <c r="AB79" s="1141"/>
      <c r="AC79" s="1103" t="str">
        <f>IF(T79="","",VLOOKUP(Z79,Lists!$A$60:$B$111,2,FALSE))</f>
        <v/>
      </c>
      <c r="AD79" s="130" t="str">
        <f t="shared" si="96"/>
        <v/>
      </c>
      <c r="AE79" s="130" t="e">
        <f t="shared" si="97"/>
        <v>#VALUE!</v>
      </c>
      <c r="AF79" s="130">
        <f t="shared" si="98"/>
        <v>1</v>
      </c>
      <c r="AG79" s="234">
        <f t="shared" si="82"/>
        <v>0</v>
      </c>
      <c r="AH79" s="1753" t="str">
        <f>IF(T79="","",(IF(ISNUMBER(SEARCH("exit",T79)),8760,IF(AND(M79="Dusk to Dawn",'Proposed Lighting'!AU79=3),4059,IF(AND(AU79=3,M79="1"),0,IF(AND(AU79=3,M79="1-C"),0,IF(AND(AU79=3,M79="2"),0,IF(AND(AU79=3,M79="2-C"),0,IF(AND(AU79=3,M79="3"),0,IF(AND(AU79=3,M79="3-C"),0,IF(AND(AU79=2,M79="Dusk to Dawn"),0,IF(AND(AU79=2,M79="Dusk to Dawn-C"),0,IF(AND(AU79=2,M79="Dusk to Dawn"),0,IF(AND(AU79=2,M79="E"),0,IF(AND(AU79=2,M79="E-C"),0,EG79)))))))))))))))</f>
        <v/>
      </c>
      <c r="AI79" s="1754"/>
      <c r="AJ79" s="1136"/>
      <c r="AK79" s="1136"/>
      <c r="AL79" s="1748">
        <f t="shared" si="99"/>
        <v>0</v>
      </c>
      <c r="AM79" s="1749"/>
      <c r="AN79" s="1750"/>
      <c r="AO79" s="476">
        <f t="shared" si="83"/>
        <v>0</v>
      </c>
      <c r="AP79" s="476">
        <f t="shared" si="100"/>
        <v>0</v>
      </c>
      <c r="AQ79" s="475">
        <f t="shared" si="84"/>
        <v>0</v>
      </c>
      <c r="AR79" s="475">
        <f t="shared" si="101"/>
        <v>0</v>
      </c>
      <c r="AS79" s="743" t="str">
        <f t="shared" si="79"/>
        <v/>
      </c>
      <c r="AT79" s="736" t="str">
        <f t="shared" si="102"/>
        <v/>
      </c>
      <c r="AU79" s="56">
        <f t="shared" si="103"/>
        <v>1</v>
      </c>
      <c r="AV79" s="476">
        <f t="shared" si="104"/>
        <v>0</v>
      </c>
      <c r="AW79" s="56">
        <f t="shared" si="105"/>
        <v>0</v>
      </c>
      <c r="AX79" s="475">
        <f t="shared" si="85"/>
        <v>0</v>
      </c>
      <c r="AY79" s="1169">
        <f t="shared" si="106"/>
        <v>0</v>
      </c>
      <c r="AZ79" s="1150">
        <f t="shared" si="148"/>
        <v>0</v>
      </c>
      <c r="BA79" s="56">
        <f t="shared" si="86"/>
        <v>0</v>
      </c>
      <c r="BB79" s="420">
        <f t="shared" si="87"/>
        <v>0</v>
      </c>
      <c r="BC79" s="58" t="str">
        <f t="shared" si="88"/>
        <v/>
      </c>
      <c r="BD79" s="660">
        <f t="shared" si="149"/>
        <v>0</v>
      </c>
      <c r="BE79" s="57" t="e">
        <f t="array" ref="BE79">INDEX($EB$11:$ED$1022,MATCH(F79&amp;T79,$EB$11:$EB$1007&amp;$EC$11:$EC$1007,0),3)</f>
        <v>#N/A</v>
      </c>
      <c r="BF79" s="463">
        <f t="shared" si="107"/>
        <v>0</v>
      </c>
      <c r="BG79" s="1445" t="e">
        <f t="array" ref="BG79">INDEX($DO$112:$DQ$123,MATCH(T79&amp;W79,$DO$114:$DO$125&amp;$DP$112:$DP$123,0),3)</f>
        <v>#N/A</v>
      </c>
      <c r="BH79" s="1446">
        <f t="shared" si="108"/>
        <v>0</v>
      </c>
      <c r="BI79" s="465">
        <f t="shared" si="109"/>
        <v>0</v>
      </c>
      <c r="BJ79" s="465">
        <f t="shared" si="110"/>
        <v>0</v>
      </c>
      <c r="BK79" s="466">
        <f t="shared" si="111"/>
        <v>0</v>
      </c>
      <c r="BL79" s="466">
        <f t="shared" si="112"/>
        <v>0</v>
      </c>
      <c r="BM79" s="466">
        <f t="shared" si="113"/>
        <v>0</v>
      </c>
      <c r="BN79" s="466">
        <f t="shared" si="114"/>
        <v>0</v>
      </c>
      <c r="BO79" s="463">
        <f>IF('Data Entry'!$C$74=0,0,IF(ISNA(CJ79),0,IF(AX79=0,0,IF(AND('Data Entry'!$C$74=2,AF79&gt;2,CE79&lt;1),0,IF(AND('Data Entry'!$C$74=2,AF79&gt;1,AU79=2,CJ79&gt;1),0,IF(AND(AF79=5,CT79=0.5,AU79=2,ER79&lt;100),0,IF(AND(AF79=5,CT79=0.5,AU79=3,ER79&lt;100),0,IF(AND('Data Entry'!$C$74=2,AF79=2,AU79=2,AK79&gt;0.01,CB79=2,CE79&lt;1),0,IF(AND('Data Entry'!$C$74=2,AF79=3,AU79=3,AK79&gt;0.01,CB79=3,CE79&lt;1),0,IF(AND('Data Entry'!$C$74=2,AF79=3,AU79=3,AK79&gt;0.01,CB79=3,CE79&gt;0.99),BQ79*0.08,IF(AND('Data Entry'!$C$74=2,AF79=2,AU79=2,AK79&gt;0.01,CB79=2,CE79&gt;0.99),BQ79*0.1,IF(AND(AU79=2,AK79&gt;0.01,CB79=2,CD79&gt;1),BQ79*0.1,IF(AND(AU79=3,AK79&gt;0.01,CB79=3,CD79&gt;1),BQ79*0.08,CJ79*EF79)))))))))))))</f>
        <v>0</v>
      </c>
      <c r="BP79" s="475">
        <f t="shared" si="115"/>
        <v>0</v>
      </c>
      <c r="BQ79" s="1431">
        <f>IF(AU79=1,0,IF(CH79=100,0,IF(AND(AF79=3,AU79=2),0,IF(AND(BH79=0,CT79&gt;0.4),0,IF(AND('Data Entry'!$C$74=2,AF79=1.5),0,IF(AND('Data Entry'!$C$74=2,AF79=1.6),0,IF(AND('Data Entry'!$C$74=2,AF79=4),0,IF(AND('Data Entry'!$C$74=2,AF79=5),0,IF(AND('Data Entry'!$C$74=2,AF79=2.5,CE79&lt;1),0,IF(AND('Data Entry'!$C$74=2,AF79=3,CE79&lt;1),0,IF(AND('Data Entry'!$C$74=1,AF79=2.5,CD79&lt;1),0,IF(AND('Data Entry'!$C$74=1,AF79=3,CD79&lt;1),0,IF(DX79&gt;0.01,DX79,IF(ISERROR(AX79-AY79),"",ROUND(AX79-AY79,2)))))))))))))))</f>
        <v>0</v>
      </c>
      <c r="BR79" s="146">
        <f t="shared" si="116"/>
        <v>0</v>
      </c>
      <c r="BS79" s="475">
        <f t="shared" si="117"/>
        <v>0</v>
      </c>
      <c r="BT79" s="146" t="b">
        <f t="shared" si="118"/>
        <v>0</v>
      </c>
      <c r="BU79" s="463">
        <f>IF(ISNA(AT79),0,IF(AND('Data Entry'!$C$74=2,BC79=27),0,IF(AND('Data Entry'!$C$74=2,BC79=28),0,IF(AND(BC79=27,BT79=27,CM79&gt;0.1),CM79*0.15,IF(AND(BC79=28,BT79=28,CM79&gt;0.1),CM79*0.12,0)))))</f>
        <v>0</v>
      </c>
      <c r="BV79" s="463">
        <f t="shared" si="78"/>
        <v>0</v>
      </c>
      <c r="BW79" s="463">
        <f t="shared" si="119"/>
        <v>0</v>
      </c>
      <c r="BX79" s="463">
        <f t="shared" si="120"/>
        <v>0</v>
      </c>
      <c r="BY79" s="463">
        <f t="shared" si="121"/>
        <v>0</v>
      </c>
      <c r="BZ79" s="463">
        <f t="shared" si="122"/>
        <v>0</v>
      </c>
      <c r="CA79" s="57">
        <f t="shared" si="150"/>
        <v>0</v>
      </c>
      <c r="CB79" s="56">
        <f t="shared" si="123"/>
        <v>1</v>
      </c>
      <c r="CC79" s="756">
        <f>IF(EE79=0,0,IF(EF79=0,0,IF(EE79&gt;AA79,0,IF(AND(AZ79&gt;AW79,AW79&gt;0),0,IF(CU79=0,0,Summary!AC382)))))</f>
        <v>0</v>
      </c>
      <c r="CD79" s="756">
        <f>IF(EE79=0,0,IF(EF79=0,0,IF(EE79&gt;AA79,0,IF(AND(AZ79&gt;AW79,AW79&gt;0),0,IF(CU79=0,0,Summary!AD382)))))</f>
        <v>0</v>
      </c>
      <c r="CE79" s="756">
        <f>IF(EF79=0,0,IF(EE79&gt;AA79,0,IF(CC79=0,0,IF(AND(AZ79&gt;AW79,AW79&gt;0),0,IF(CU79=0,0,Summary!AE382)))))</f>
        <v>0</v>
      </c>
      <c r="CF79" s="475">
        <f t="shared" si="124"/>
        <v>0</v>
      </c>
      <c r="CG79" s="476">
        <f t="shared" si="89"/>
        <v>0</v>
      </c>
      <c r="CH79" s="487">
        <f t="shared" si="125"/>
        <v>0</v>
      </c>
      <c r="CI79" s="756">
        <f t="shared" si="126"/>
        <v>0</v>
      </c>
      <c r="CJ79" s="487">
        <f>IF(CT79&gt;0.4,0,IF(AND(AU79=2,CH79=0,CT79=0.5,ER79=100),35,IF(AND(AU79=3,BB79&gt;75,CH79=0,CT79=0.5,ER79=100),25,IF(CB79&gt;1,0,IF(EF79&gt;EE79,0,IF(AND(AF79&gt;1,CH79=100),0,IF(AND(AF79=1,AY79=0),0,IF(AND(EF79&lt;=EE79,AW79&gt;=AZ79,'Data Entry'!$C$74=1,AU79=2),VLOOKUP(W79,$DO$96:$DP$102,2,FALSE),IF(AND(EF79&lt;=EE79,AW79&gt;=AZ79,AU79=3,'Data Entry'!$C$74=1),VLOOKUP(W79,$DO$127:$DP$134,2,FALSE))))))))))</f>
        <v>0</v>
      </c>
      <c r="CK79" s="716">
        <f t="shared" si="127"/>
        <v>0</v>
      </c>
      <c r="CL79" s="57">
        <f t="shared" si="128"/>
        <v>0</v>
      </c>
      <c r="CM79" s="475">
        <f t="shared" si="154"/>
        <v>0</v>
      </c>
      <c r="CN79" s="660">
        <f>IF(CM79&lt;0.1,0,IF(ISNA(AT79),0,IF(CL79+BC79=1,0,IF(BV79&gt;0.01,0,IF(CL79&gt;0.01,0,IF(CF79=1,0,IF(BC79=0.5,0,IF(AND(CI79=1,AU79=3),0,IF(AND(CI79=5,CL79=0),0,IF(AND(R79=12,BR79=50),0,IF(CK79&gt;0.01,0,IF(AND(AJ79&gt;0.01,AU79=2,BC79=15),CM79*0.1,IF(AND(AJ79&gt;0.01,AU79=3,BC79=15),CM79*0.08,IF(AND(R79=12,BC79=3,AF79&lt;=0),0,IF(AND(BC79=15,BI79=0),0,IF(AND(BC79=15,BJ79=0),0,IF(AND(R79=20,CU79=0),0,IF($X$4=0,0,IF(AND(BC79=250,CL79=0),0,IF(AA79&lt;1,0,IF(AND(ISNUMBER(SEARCH("Area",T79)),AU79=3),0,IF(AND(AQ79&gt;0.01,AR79=0,BK79=0,BL79=0,BM79=0,BN79=0),0,IF(AND(AU79=3,CI79=7,CT79&gt;0.5),0,IF(AND(BC79=44,AU79=3,BY79=0),0,IF(AND(BC79=27,'Data Entry'!$C$74=2),0,IF(AND(BC79=28,'Data Entry'!$C$74=2),0,IF(AND(BY79+BZ79+CA79&gt;0.01,BV79=0,EQ79+ER79+ES79+ET79&lt;100),0,IF(AU79=3,CM79*0.08,IF(AU79=2,CM79*0.1,0)))))))))))))))))))))))))))))</f>
        <v>0</v>
      </c>
      <c r="CO79" s="660">
        <f t="shared" si="129"/>
        <v>0</v>
      </c>
      <c r="CP79" s="475" t="str">
        <f t="shared" si="130"/>
        <v/>
      </c>
      <c r="CQ79" s="161" t="str">
        <f>IF(AH79=0,0,IF(AU79=5,0,Summary!AC82))</f>
        <v/>
      </c>
      <c r="CR79" s="161" t="str">
        <f>IF(BF79=0.5,0,IF(AU79=5,0,Summary!AD82))</f>
        <v/>
      </c>
      <c r="CS79" s="161" t="str">
        <f>IF(AU79=5,0,Summary!AE82)</f>
        <v/>
      </c>
      <c r="CT79" s="161">
        <f t="shared" si="131"/>
        <v>0</v>
      </c>
      <c r="CU79" s="475" t="str">
        <f t="shared" si="132"/>
        <v/>
      </c>
      <c r="CV79" s="307">
        <f>IF('Data Entry'!$C$74=0,0,IF(AA79&lt;1,0,IF(ISERROR(CU79),0,IF(CF79=1,0,IF(AND(R79=12,BR79=50),0,IF(CL79+BO79+BV79+DC79=0,0,IF(BC79=37,0,IF(AND(BC79=40,AJ79=0),0,IF(AND(BC79=37,BO79&gt;0.01,BQ79&gt;0.01),ROUND(BQ79,0),IF(CM79&lt;0,0,ROUND(CM79,0)))))))))))</f>
        <v>0</v>
      </c>
      <c r="CW79" s="700">
        <f t="shared" si="133"/>
        <v>0</v>
      </c>
      <c r="CX79" s="477">
        <f>IF('Data Entry'!$C$74=0,0,IF(CV79&lt;0.01,0,IF(BF79=0.5,0,IF(CF79=1,0,IF(ISNUMBER(SEARCH("false",CL79)),0,IF(AZ79=500,0,CL79))))))</f>
        <v>0</v>
      </c>
      <c r="CY79" s="147" t="e">
        <f t="shared" si="134"/>
        <v>#VALUE!</v>
      </c>
      <c r="CZ79" s="147" t="b">
        <f>IF(CN79+CL79=0,FALSE,IF(AH79=0,0,IF(AND('Data Entry'!$C$74=1,CR79&gt;=1),TRUE,IF(AND('Data Entry'!$C$74=2,CS79&gt;=1),TRUE,FALSE))))</f>
        <v>0</v>
      </c>
      <c r="DA79" s="1751">
        <f>IF('Data Entry'!$C$74=0,0,IFERROR(ROUND(IF(T79="","",IF($X$4=0,0,IF(CF79=1,0,IF(BQ79+CV79=0,0,IF(CF79=1,0,IF(CY79&gt;0.01,CY79,IF(CL79&gt;0.01,CL79,IF(CY79&gt;0.01,CY79,IF(BC79=37,BO79,IF(CZ79=FALSE,0,IF(CZ79=TRUE,DC79+DF79,0))))))))))),2),""))</f>
        <v>0</v>
      </c>
      <c r="DB79" s="1752"/>
      <c r="DC79" s="474">
        <f>IF(CN79&lt;0.01,0,IF(AND(BR79=3,CN79&gt;0.01,CT79&gt;0.6,ER79+ES79+ET79&lt;100),0,IF(AND('Data Entry'!$C$74=1,CN79&gt;0.01,CR79&gt;0.99),MIN(CN79:CO79),IF(AND('Data Entry'!$C$74=2,CN79&gt;0.01,CS79&gt;0.99),MIN(CN79:CO79),0))))</f>
        <v>0</v>
      </c>
      <c r="DD79" s="478">
        <f>IF(CF79=1,"Selection does not match",IF(T79=0,0,IF(AND('Data Entry'!$C$74=0,CP79&gt;1),"Select Oregon or Idaho on Data Entry Tab",IF(AND(AU79=1,AA79&gt;0.9),"Missing Interior or Exterior Selection",IF($X$4=0,"Enter Total Project Cost",IF(AQ79&lt;AR79,"Insufficient kWh savings – no incentive",IF(AND(SUM(CL79+CK79+BV79)&gt;0.01,'Data Entry'!$C$74=2,CJ79&gt;1,BO79=0),"Submit Control as Non-Standard",IF(AND('Data Entry'!$C$74=2,BR79=37,CJ79&gt;1,BO79=0),"Submit Control as Non-Standard",IF(SUM(CL79+CK79+BV79)&gt;0.01,"Standard Incentive",IF(AND('Data Entry'!$C$74=2,CP79=7,CN79=0),"Submit as Non-Standard",IF(DC79&gt;0.9,"Non-Standard Incentive",IF(AND(BY79+BZ79+CA79&gt;0.01,BV79=0,EQ79=0,ER79=0,ES79=0,ET79=0),"Scroll Right &amp; Select Control Strategies",IF(AND(CN79&gt;0.01,CO79=0),"Enter Unit Installed Cost",IF(ISNUMBER(SEARCH("Lighting Controls Only",F79)),"Lighting Controls Only",IF(CL79+DC79=0,"Does not meet incentive criteria",0)))))))))))))))</f>
        <v>0</v>
      </c>
      <c r="DE79" s="337">
        <f t="shared" si="135"/>
        <v>0</v>
      </c>
      <c r="DF79" s="609">
        <f t="shared" si="136"/>
        <v>0</v>
      </c>
      <c r="DG79" s="336" t="str">
        <f t="shared" si="137"/>
        <v/>
      </c>
      <c r="DH79" s="338">
        <f t="shared" si="138"/>
        <v>1</v>
      </c>
      <c r="DI79" s="336" t="e">
        <f t="shared" si="90"/>
        <v>#VALUE!</v>
      </c>
      <c r="DJ79" s="338">
        <f t="shared" si="91"/>
        <v>0</v>
      </c>
      <c r="DK79" s="362" t="s">
        <v>109</v>
      </c>
      <c r="DL79" s="323">
        <v>82</v>
      </c>
      <c r="DM79" s="320" t="s">
        <v>73</v>
      </c>
      <c r="DN79" s="1439"/>
      <c r="DO79" s="1444" t="s">
        <v>1782</v>
      </c>
      <c r="DP79" s="1449">
        <v>25</v>
      </c>
      <c r="DQ79" s="331"/>
      <c r="DR79" s="458"/>
      <c r="DS79" s="1195">
        <f t="shared" si="139"/>
        <v>0</v>
      </c>
      <c r="DT79" s="344" t="b">
        <f t="shared" si="140"/>
        <v>1</v>
      </c>
      <c r="DU79" s="1314" t="str">
        <f t="array" ref="DU79">IF(OR(COUNTIF(F79,"*"&amp;$DK$9:$DK$178&amp;"*")), "Yes", "")</f>
        <v/>
      </c>
      <c r="DV79" s="1314">
        <f t="shared" si="141"/>
        <v>0</v>
      </c>
      <c r="DW79" s="1480">
        <f t="shared" si="142"/>
        <v>0</v>
      </c>
      <c r="DX79" s="1498">
        <f t="shared" si="151"/>
        <v>0</v>
      </c>
      <c r="DY79" s="1484">
        <f t="shared" si="143"/>
        <v>0</v>
      </c>
      <c r="DZ79" s="331"/>
      <c r="EA79" s="392"/>
      <c r="EB79" s="1499" t="s">
        <v>107</v>
      </c>
      <c r="EC79" s="727" t="s">
        <v>1568</v>
      </c>
      <c r="ED79" s="728">
        <v>0.5</v>
      </c>
      <c r="EE79" s="1215"/>
      <c r="EF79" s="1215"/>
      <c r="EG79" s="1184" t="str">
        <f t="shared" si="144"/>
        <v/>
      </c>
      <c r="EH79" s="55"/>
      <c r="EI79" s="55"/>
      <c r="EJ79" s="1185">
        <f t="shared" si="92"/>
        <v>0</v>
      </c>
      <c r="EK79" s="1211"/>
      <c r="EL79" s="1180">
        <f t="shared" si="93"/>
        <v>0</v>
      </c>
      <c r="EM79" s="207"/>
      <c r="EN79" s="1038"/>
      <c r="EO79" s="1038"/>
      <c r="EP79" s="1038"/>
      <c r="EQ79" s="1038">
        <f t="shared" si="145"/>
        <v>0</v>
      </c>
      <c r="ER79" s="1041">
        <f t="shared" si="146"/>
        <v>0</v>
      </c>
      <c r="ES79" s="1042">
        <f t="shared" si="147"/>
        <v>0</v>
      </c>
      <c r="ET79" s="1042">
        <f t="shared" si="152"/>
        <v>0</v>
      </c>
      <c r="EU79" s="1021">
        <f t="shared" si="153"/>
        <v>0</v>
      </c>
      <c r="EV79" s="368"/>
      <c r="EW79" s="368"/>
      <c r="EX79" s="369"/>
      <c r="EY79" s="370"/>
      <c r="EZ79" s="370"/>
      <c r="FA79" s="371"/>
      <c r="FB79" s="372"/>
    </row>
    <row r="80" spans="1:158" ht="34.5" customHeight="1">
      <c r="A80" s="82">
        <v>72</v>
      </c>
      <c r="B80" s="1725"/>
      <c r="C80" s="1726"/>
      <c r="D80" s="1726"/>
      <c r="E80" s="1727"/>
      <c r="F80" s="1732"/>
      <c r="G80" s="1733"/>
      <c r="H80" s="1733"/>
      <c r="I80" s="1734"/>
      <c r="J80" s="1341"/>
      <c r="K80" s="1728"/>
      <c r="L80" s="1728"/>
      <c r="M80" s="1342"/>
      <c r="N80" s="1583"/>
      <c r="O80" s="208" t="str">
        <f t="shared" si="80"/>
        <v/>
      </c>
      <c r="P80" s="785"/>
      <c r="Q80" s="39" t="str">
        <f t="shared" si="81"/>
        <v/>
      </c>
      <c r="R80" s="39">
        <f t="shared" si="94"/>
        <v>0</v>
      </c>
      <c r="S80" s="234">
        <f t="shared" si="95"/>
        <v>0</v>
      </c>
      <c r="T80" s="1755"/>
      <c r="U80" s="1755"/>
      <c r="V80" s="1755"/>
      <c r="W80" s="1345"/>
      <c r="X80" s="1741"/>
      <c r="Y80" s="1742"/>
      <c r="Z80" s="1346"/>
      <c r="AA80" s="1343"/>
      <c r="AB80" s="1141"/>
      <c r="AC80" s="1103" t="str">
        <f>IF(T80="","",VLOOKUP(Z80,Lists!$A$60:$B$111,2,FALSE))</f>
        <v/>
      </c>
      <c r="AD80" s="130" t="str">
        <f t="shared" si="96"/>
        <v/>
      </c>
      <c r="AE80" s="130" t="e">
        <f t="shared" si="97"/>
        <v>#VALUE!</v>
      </c>
      <c r="AF80" s="130">
        <f t="shared" si="98"/>
        <v>1</v>
      </c>
      <c r="AG80" s="234">
        <f t="shared" si="82"/>
        <v>0</v>
      </c>
      <c r="AH80" s="1753" t="str">
        <f>IF(T80="","",(IF(ISNUMBER(SEARCH("exit",T80)),8760,IF(AND(M80="Dusk to Dawn",'Proposed Lighting'!AU80=3),4059,IF(AND(AU80=3,M80="1"),0,IF(AND(AU80=3,M80="1-C"),0,IF(AND(AU80=3,M80="2"),0,IF(AND(AU80=3,M80="2-C"),0,IF(AND(AU80=3,M80="3"),0,IF(AND(AU80=3,M80="3-C"),0,IF(AND(AU80=2,M80="Dusk to Dawn"),0,IF(AND(AU80=2,M80="Dusk to Dawn-C"),0,IF(AND(AU80=2,M80="Dusk to Dawn"),0,IF(AND(AU80=2,M80="E"),0,IF(AND(AU80=2,M80="E-C"),0,EG80)))))))))))))))</f>
        <v/>
      </c>
      <c r="AI80" s="1754"/>
      <c r="AJ80" s="1136"/>
      <c r="AK80" s="1136"/>
      <c r="AL80" s="1748">
        <f t="shared" si="99"/>
        <v>0</v>
      </c>
      <c r="AM80" s="1749"/>
      <c r="AN80" s="1750"/>
      <c r="AO80" s="476">
        <f t="shared" si="83"/>
        <v>0</v>
      </c>
      <c r="AP80" s="476">
        <f t="shared" si="100"/>
        <v>0</v>
      </c>
      <c r="AQ80" s="475">
        <f t="shared" si="84"/>
        <v>0</v>
      </c>
      <c r="AR80" s="475">
        <f t="shared" si="101"/>
        <v>0</v>
      </c>
      <c r="AS80" s="743" t="str">
        <f t="shared" si="79"/>
        <v/>
      </c>
      <c r="AT80" s="736" t="str">
        <f t="shared" si="102"/>
        <v/>
      </c>
      <c r="AU80" s="56">
        <f t="shared" si="103"/>
        <v>1</v>
      </c>
      <c r="AV80" s="476">
        <f t="shared" si="104"/>
        <v>0</v>
      </c>
      <c r="AW80" s="56">
        <f t="shared" si="105"/>
        <v>0</v>
      </c>
      <c r="AX80" s="475">
        <f t="shared" si="85"/>
        <v>0</v>
      </c>
      <c r="AY80" s="1169">
        <f t="shared" si="106"/>
        <v>0</v>
      </c>
      <c r="AZ80" s="1150">
        <f t="shared" si="148"/>
        <v>0</v>
      </c>
      <c r="BA80" s="56">
        <f t="shared" si="86"/>
        <v>0</v>
      </c>
      <c r="BB80" s="420">
        <f t="shared" si="87"/>
        <v>0</v>
      </c>
      <c r="BC80" s="58" t="str">
        <f t="shared" si="88"/>
        <v/>
      </c>
      <c r="BD80" s="660">
        <f t="shared" si="149"/>
        <v>0</v>
      </c>
      <c r="BE80" s="57" t="e">
        <f t="array" ref="BE80">INDEX($EB$11:$ED$1022,MATCH(F80&amp;T80,$EB$11:$EB$1007&amp;$EC$11:$EC$1007,0),3)</f>
        <v>#N/A</v>
      </c>
      <c r="BF80" s="463">
        <f t="shared" si="107"/>
        <v>0</v>
      </c>
      <c r="BG80" s="1445" t="e">
        <f t="array" ref="BG80">INDEX($DO$112:$DQ$123,MATCH(T80&amp;W80,$DO$114:$DO$125&amp;$DP$112:$DP$123,0),3)</f>
        <v>#N/A</v>
      </c>
      <c r="BH80" s="1446">
        <f t="shared" si="108"/>
        <v>0</v>
      </c>
      <c r="BI80" s="465">
        <f t="shared" si="109"/>
        <v>0</v>
      </c>
      <c r="BJ80" s="465">
        <f t="shared" si="110"/>
        <v>0</v>
      </c>
      <c r="BK80" s="466">
        <f t="shared" si="111"/>
        <v>0</v>
      </c>
      <c r="BL80" s="466">
        <f t="shared" si="112"/>
        <v>0</v>
      </c>
      <c r="BM80" s="466">
        <f t="shared" si="113"/>
        <v>0</v>
      </c>
      <c r="BN80" s="466">
        <f t="shared" si="114"/>
        <v>0</v>
      </c>
      <c r="BO80" s="463">
        <f>IF('Data Entry'!$C$74=0,0,IF(ISNA(CJ80),0,IF(AX80=0,0,IF(AND('Data Entry'!$C$74=2,AF80&gt;2,CE80&lt;1),0,IF(AND('Data Entry'!$C$74=2,AF80&gt;1,AU80=2,CJ80&gt;1),0,IF(AND(AF80=5,CT80=0.5,AU80=2,ER80&lt;100),0,IF(AND(AF80=5,CT80=0.5,AU80=3,ER80&lt;100),0,IF(AND('Data Entry'!$C$74=2,AF80=2,AU80=2,AK80&gt;0.01,CB80=2,CE80&lt;1),0,IF(AND('Data Entry'!$C$74=2,AF80=3,AU80=3,AK80&gt;0.01,CB80=3,CE80&lt;1),0,IF(AND('Data Entry'!$C$74=2,AF80=3,AU80=3,AK80&gt;0.01,CB80=3,CE80&gt;0.99),BQ80*0.08,IF(AND('Data Entry'!$C$74=2,AF80=2,AU80=2,AK80&gt;0.01,CB80=2,CE80&gt;0.99),BQ80*0.1,IF(AND(AU80=2,AK80&gt;0.01,CB80=2,CD80&gt;1),BQ80*0.1,IF(AND(AU80=3,AK80&gt;0.01,CB80=3,CD80&gt;1),BQ80*0.08,CJ80*EF80)))))))))))))</f>
        <v>0</v>
      </c>
      <c r="BP80" s="475">
        <f t="shared" si="115"/>
        <v>0</v>
      </c>
      <c r="BQ80" s="1431">
        <f>IF(AU80=1,0,IF(CH80=100,0,IF(AND(AF80=3,AU80=2),0,IF(AND(BH80=0,CT80&gt;0.4),0,IF(AND('Data Entry'!$C$74=2,AF80=1.5),0,IF(AND('Data Entry'!$C$74=2,AF80=1.6),0,IF(AND('Data Entry'!$C$74=2,AF80=4),0,IF(AND('Data Entry'!$C$74=2,AF80=5),0,IF(AND('Data Entry'!$C$74=2,AF80=2.5,CE80&lt;1),0,IF(AND('Data Entry'!$C$74=2,AF80=3,CE80&lt;1),0,IF(AND('Data Entry'!$C$74=1,AF80=2.5,CD80&lt;1),0,IF(AND('Data Entry'!$C$74=1,AF80=3,CD80&lt;1),0,IF(DX80&gt;0.01,DX80,IF(ISERROR(AX80-AY80),"",ROUND(AX80-AY80,2)))))))))))))))</f>
        <v>0</v>
      </c>
      <c r="BR80" s="146">
        <f t="shared" si="116"/>
        <v>0</v>
      </c>
      <c r="BS80" s="475">
        <f t="shared" si="117"/>
        <v>0</v>
      </c>
      <c r="BT80" s="146" t="b">
        <f t="shared" si="118"/>
        <v>0</v>
      </c>
      <c r="BU80" s="463">
        <f>IF(ISNA(AT80),0,IF(AND('Data Entry'!$C$74=2,BC80=27),0,IF(AND('Data Entry'!$C$74=2,BC80=28),0,IF(AND(BC80=27,BT80=27,CM80&gt;0.1),CM80*0.15,IF(AND(BC80=28,BT80=28,CM80&gt;0.1),CM80*0.12,0)))))</f>
        <v>0</v>
      </c>
      <c r="BV80" s="463">
        <f t="shared" si="78"/>
        <v>0</v>
      </c>
      <c r="BW80" s="463">
        <f t="shared" si="119"/>
        <v>0</v>
      </c>
      <c r="BX80" s="463">
        <f t="shared" si="120"/>
        <v>0</v>
      </c>
      <c r="BY80" s="463">
        <f t="shared" si="121"/>
        <v>0</v>
      </c>
      <c r="BZ80" s="463">
        <f t="shared" si="122"/>
        <v>0</v>
      </c>
      <c r="CA80" s="57">
        <f t="shared" si="150"/>
        <v>0</v>
      </c>
      <c r="CB80" s="56">
        <f t="shared" si="123"/>
        <v>1</v>
      </c>
      <c r="CC80" s="756">
        <f>IF(EE80=0,0,IF(EF80=0,0,IF(EE80&gt;AA80,0,IF(AND(AZ80&gt;AW80,AW80&gt;0),0,IF(CU80=0,0,Summary!AC383)))))</f>
        <v>0</v>
      </c>
      <c r="CD80" s="756">
        <f>IF(EE80=0,0,IF(EF80=0,0,IF(EE80&gt;AA80,0,IF(AND(AZ80&gt;AW80,AW80&gt;0),0,IF(CU80=0,0,Summary!AD383)))))</f>
        <v>0</v>
      </c>
      <c r="CE80" s="756">
        <f>IF(EF80=0,0,IF(EE80&gt;AA80,0,IF(CC80=0,0,IF(AND(AZ80&gt;AW80,AW80&gt;0),0,IF(CU80=0,0,Summary!AE383)))))</f>
        <v>0</v>
      </c>
      <c r="CF80" s="475">
        <f t="shared" si="124"/>
        <v>0</v>
      </c>
      <c r="CG80" s="476">
        <f t="shared" si="89"/>
        <v>0</v>
      </c>
      <c r="CH80" s="487">
        <f t="shared" si="125"/>
        <v>0</v>
      </c>
      <c r="CI80" s="756">
        <f t="shared" si="126"/>
        <v>0</v>
      </c>
      <c r="CJ80" s="487">
        <f>IF(CT80&gt;0.4,0,IF(AND(AU80=2,CH80=0,CT80=0.5,ER80=100),35,IF(AND(AU80=3,BB80&gt;75,CH80=0,CT80=0.5,ER80=100),25,IF(CB80&gt;1,0,IF(EF80&gt;EE80,0,IF(AND(AF80&gt;1,CH80=100),0,IF(AND(AF80=1,AY80=0),0,IF(AND(EF80&lt;=EE80,AW80&gt;=AZ80,'Data Entry'!$C$74=1,AU80=2),VLOOKUP(W80,$DO$96:$DP$102,2,FALSE),IF(AND(EF80&lt;=EE80,AW80&gt;=AZ80,AU80=3,'Data Entry'!$C$74=1),VLOOKUP(W80,$DO$127:$DP$134,2,FALSE))))))))))</f>
        <v>0</v>
      </c>
      <c r="CK80" s="716">
        <f t="shared" si="127"/>
        <v>0</v>
      </c>
      <c r="CL80" s="57">
        <f t="shared" si="128"/>
        <v>0</v>
      </c>
      <c r="CM80" s="475">
        <f t="shared" si="154"/>
        <v>0</v>
      </c>
      <c r="CN80" s="660">
        <f>IF(CM80&lt;0.1,0,IF(ISNA(AT80),0,IF(CL80+BC80=1,0,IF(BV80&gt;0.01,0,IF(CL80&gt;0.01,0,IF(CF80=1,0,IF(BC80=0.5,0,IF(AND(CI80=1,AU80=3),0,IF(AND(CI80=5,CL80=0),0,IF(AND(R80=12,BR80=50),0,IF(CK80&gt;0.01,0,IF(AND(AJ80&gt;0.01,AU80=2,BC80=15),CM80*0.1,IF(AND(AJ80&gt;0.01,AU80=3,BC80=15),CM80*0.08,IF(AND(R80=12,BC80=3,AF80&lt;=0),0,IF(AND(BC80=15,BI80=0),0,IF(AND(BC80=15,BJ80=0),0,IF(AND(R80=20,CU80=0),0,IF($X$4=0,0,IF(AND(BC80=250,CL80=0),0,IF(AA80&lt;1,0,IF(AND(ISNUMBER(SEARCH("Area",T80)),AU80=3),0,IF(AND(AQ80&gt;0.01,AR80=0,BK80=0,BL80=0,BM80=0,BN80=0),0,IF(AND(AU80=3,CI80=7,CT80&gt;0.5),0,IF(AND(BC80=44,AU80=3,BY80=0),0,IF(AND(BC80=27,'Data Entry'!$C$74=2),0,IF(AND(BC80=28,'Data Entry'!$C$74=2),0,IF(AND(BY80+BZ80+CA80&gt;0.01,BV80=0,EQ80+ER80+ES80+ET80&lt;100),0,IF(AU80=3,CM80*0.08,IF(AU80=2,CM80*0.1,0)))))))))))))))))))))))))))))</f>
        <v>0</v>
      </c>
      <c r="CO80" s="660">
        <f t="shared" si="129"/>
        <v>0</v>
      </c>
      <c r="CP80" s="475" t="str">
        <f t="shared" si="130"/>
        <v/>
      </c>
      <c r="CQ80" s="161" t="str">
        <f>IF(AH80=0,0,IF(AU80=5,0,Summary!AC83))</f>
        <v/>
      </c>
      <c r="CR80" s="161" t="str">
        <f>IF(BF80=0.5,0,IF(AU80=5,0,Summary!AD83))</f>
        <v/>
      </c>
      <c r="CS80" s="161" t="str">
        <f>IF(AU80=5,0,Summary!AE83)</f>
        <v/>
      </c>
      <c r="CT80" s="161">
        <f t="shared" si="131"/>
        <v>0</v>
      </c>
      <c r="CU80" s="475" t="str">
        <f t="shared" si="132"/>
        <v/>
      </c>
      <c r="CV80" s="307">
        <f>IF('Data Entry'!$C$74=0,0,IF(AA80&lt;1,0,IF(ISERROR(CU80),0,IF(CF80=1,0,IF(AND(R80=12,BR80=50),0,IF(CL80+BO80+BV80+DC80=0,0,IF(BC80=37,0,IF(AND(BC80=40,AJ80=0),0,IF(AND(BC80=37,BO80&gt;0.01,BQ80&gt;0.01),ROUND(BQ80,0),IF(CM80&lt;0,0,ROUND(CM80,0)))))))))))</f>
        <v>0</v>
      </c>
      <c r="CW80" s="700">
        <f t="shared" si="133"/>
        <v>0</v>
      </c>
      <c r="CX80" s="477">
        <f>IF('Data Entry'!$C$74=0,0,IF(CV80&lt;0.01,0,IF(BF80=0.5,0,IF(CF80=1,0,IF(ISNUMBER(SEARCH("false",CL80)),0,IF(AZ80=500,0,CL80))))))</f>
        <v>0</v>
      </c>
      <c r="CY80" s="147" t="e">
        <f t="shared" si="134"/>
        <v>#VALUE!</v>
      </c>
      <c r="CZ80" s="147" t="b">
        <f>IF(CN80+CL80=0,FALSE,IF(AH80=0,0,IF(AND('Data Entry'!$C$74=1,CR80&gt;=1),TRUE,IF(AND('Data Entry'!$C$74=2,CS80&gt;=1),TRUE,FALSE))))</f>
        <v>0</v>
      </c>
      <c r="DA80" s="1751">
        <f>IF('Data Entry'!$C$74=0,0,IFERROR(ROUND(IF(T80="","",IF($X$4=0,0,IF(CF80=1,0,IF(BQ80+CV80=0,0,IF(CF80=1,0,IF(CY80&gt;0.01,CY80,IF(CL80&gt;0.01,CL80,IF(CY80&gt;0.01,CY80,IF(BC80=37,BO80,IF(CZ80=FALSE,0,IF(CZ80=TRUE,DC80+DF80,0))))))))))),2),""))</f>
        <v>0</v>
      </c>
      <c r="DB80" s="1752"/>
      <c r="DC80" s="474">
        <f>IF(CN80&lt;0.01,0,IF(AND(BR80=3,CN80&gt;0.01,CT80&gt;0.6,ER80+ES80+ET80&lt;100),0,IF(AND('Data Entry'!$C$74=1,CN80&gt;0.01,CR80&gt;0.99),MIN(CN80:CO80),IF(AND('Data Entry'!$C$74=2,CN80&gt;0.01,CS80&gt;0.99),MIN(CN80:CO80),0))))</f>
        <v>0</v>
      </c>
      <c r="DD80" s="478">
        <f>IF(CF80=1,"Selection does not match",IF(T80=0,0,IF(AND('Data Entry'!$C$74=0,CP80&gt;1),"Select Oregon or Idaho on Data Entry Tab",IF(AND(AU80=1,AA80&gt;0.9),"Missing Interior or Exterior Selection",IF($X$4=0,"Enter Total Project Cost",IF(AQ80&lt;AR80,"Insufficient kWh savings – no incentive",IF(AND(SUM(CL80+CK80+BV80)&gt;0.01,'Data Entry'!$C$74=2,CJ80&gt;1,BO80=0),"Submit Control as Non-Standard",IF(AND('Data Entry'!$C$74=2,BR80=37,CJ80&gt;1,BO80=0),"Submit Control as Non-Standard",IF(SUM(CL80+CK80+BV80)&gt;0.01,"Standard Incentive",IF(AND('Data Entry'!$C$74=2,CP80=7,CN80=0),"Submit as Non-Standard",IF(DC80&gt;0.9,"Non-Standard Incentive",IF(AND(BY80+BZ80+CA80&gt;0.01,BV80=0,EQ80=0,ER80=0,ES80=0,ET80=0),"Scroll Right &amp; Select Control Strategies",IF(AND(CN80&gt;0.01,CO80=0),"Enter Unit Installed Cost",IF(ISNUMBER(SEARCH("Lighting Controls Only",F80)),"Lighting Controls Only",IF(CL80+DC80=0,"Does not meet incentive criteria",0)))))))))))))))</f>
        <v>0</v>
      </c>
      <c r="DE80" s="337">
        <f t="shared" si="135"/>
        <v>0</v>
      </c>
      <c r="DF80" s="609">
        <f t="shared" si="136"/>
        <v>0</v>
      </c>
      <c r="DG80" s="336" t="str">
        <f t="shared" si="137"/>
        <v/>
      </c>
      <c r="DH80" s="338">
        <f t="shared" si="138"/>
        <v>1</v>
      </c>
      <c r="DI80" s="336" t="e">
        <f t="shared" si="90"/>
        <v>#VALUE!</v>
      </c>
      <c r="DJ80" s="338">
        <f t="shared" si="91"/>
        <v>0</v>
      </c>
      <c r="DK80" s="322" t="s">
        <v>110</v>
      </c>
      <c r="DL80" s="323">
        <v>133</v>
      </c>
      <c r="DM80" s="415" t="s">
        <v>76</v>
      </c>
      <c r="DN80" s="1438"/>
      <c r="DO80" s="1444" t="s">
        <v>1762</v>
      </c>
      <c r="DP80" s="1449">
        <v>25</v>
      </c>
      <c r="DQ80" s="331" t="s">
        <v>0</v>
      </c>
      <c r="DR80" s="458"/>
      <c r="DS80" s="1195">
        <f t="shared" si="139"/>
        <v>0</v>
      </c>
      <c r="DT80" s="344" t="b">
        <f t="shared" si="140"/>
        <v>1</v>
      </c>
      <c r="DU80" s="1314" t="str">
        <f t="array" ref="DU80">IF(OR(COUNTIF(F80,"*"&amp;$DK$9:$DK$178&amp;"*")), "Yes", "")</f>
        <v/>
      </c>
      <c r="DV80" s="1314">
        <f t="shared" si="141"/>
        <v>0</v>
      </c>
      <c r="DW80" s="1480">
        <f t="shared" si="142"/>
        <v>0</v>
      </c>
      <c r="DX80" s="1498">
        <f t="shared" si="151"/>
        <v>0</v>
      </c>
      <c r="DY80" s="1484">
        <f t="shared" si="143"/>
        <v>0</v>
      </c>
      <c r="DZ80" s="375"/>
      <c r="EA80" s="392"/>
      <c r="EB80" s="1499" t="s">
        <v>185</v>
      </c>
      <c r="EC80" s="727" t="s">
        <v>1568</v>
      </c>
      <c r="ED80" s="728">
        <v>0.5</v>
      </c>
      <c r="EE80" s="1215"/>
      <c r="EF80" s="1215"/>
      <c r="EG80" s="1184" t="str">
        <f t="shared" si="144"/>
        <v/>
      </c>
      <c r="EH80" s="55"/>
      <c r="EI80" s="55"/>
      <c r="EJ80" s="1185">
        <f t="shared" si="92"/>
        <v>0</v>
      </c>
      <c r="EK80" s="1211"/>
      <c r="EL80" s="1180">
        <f t="shared" si="93"/>
        <v>0</v>
      </c>
      <c r="EM80" s="207"/>
      <c r="EN80" s="1038"/>
      <c r="EO80" s="1038"/>
      <c r="EP80" s="1038"/>
      <c r="EQ80" s="1038">
        <f t="shared" si="145"/>
        <v>0</v>
      </c>
      <c r="ER80" s="1041">
        <f t="shared" si="146"/>
        <v>0</v>
      </c>
      <c r="ES80" s="1042">
        <f t="shared" si="147"/>
        <v>0</v>
      </c>
      <c r="ET80" s="1042">
        <f t="shared" si="152"/>
        <v>0</v>
      </c>
      <c r="EU80" s="1021">
        <f t="shared" si="153"/>
        <v>0</v>
      </c>
      <c r="EV80" s="368"/>
      <c r="EW80" s="368"/>
      <c r="EX80" s="369"/>
      <c r="EY80" s="370"/>
      <c r="EZ80" s="370"/>
      <c r="FA80" s="371"/>
      <c r="FB80" s="372"/>
    </row>
    <row r="81" spans="1:158" ht="34.5" customHeight="1">
      <c r="A81" s="82">
        <v>73</v>
      </c>
      <c r="B81" s="1725"/>
      <c r="C81" s="1726"/>
      <c r="D81" s="1726"/>
      <c r="E81" s="1727"/>
      <c r="F81" s="1732"/>
      <c r="G81" s="1733"/>
      <c r="H81" s="1733"/>
      <c r="I81" s="1734"/>
      <c r="J81" s="1341"/>
      <c r="K81" s="1728"/>
      <c r="L81" s="1728"/>
      <c r="M81" s="1342"/>
      <c r="N81" s="1583"/>
      <c r="O81" s="208" t="str">
        <f t="shared" si="80"/>
        <v/>
      </c>
      <c r="P81" s="785"/>
      <c r="Q81" s="39" t="str">
        <f t="shared" si="81"/>
        <v/>
      </c>
      <c r="R81" s="39">
        <f t="shared" si="94"/>
        <v>0</v>
      </c>
      <c r="S81" s="234">
        <f t="shared" si="95"/>
        <v>0</v>
      </c>
      <c r="T81" s="1755"/>
      <c r="U81" s="1755"/>
      <c r="V81" s="1755"/>
      <c r="W81" s="1345"/>
      <c r="X81" s="1741"/>
      <c r="Y81" s="1742"/>
      <c r="Z81" s="1346"/>
      <c r="AA81" s="1343"/>
      <c r="AB81" s="1141"/>
      <c r="AC81" s="1103" t="str">
        <f>IF(T81="","",VLOOKUP(Z81,Lists!$A$60:$B$111,2,FALSE))</f>
        <v/>
      </c>
      <c r="AD81" s="130" t="str">
        <f t="shared" si="96"/>
        <v/>
      </c>
      <c r="AE81" s="130" t="e">
        <f t="shared" si="97"/>
        <v>#VALUE!</v>
      </c>
      <c r="AF81" s="130">
        <f t="shared" si="98"/>
        <v>1</v>
      </c>
      <c r="AG81" s="234">
        <f t="shared" si="82"/>
        <v>0</v>
      </c>
      <c r="AH81" s="1753" t="str">
        <f>IF(T81="","",(IF(ISNUMBER(SEARCH("exit",T81)),8760,IF(AND(M81="Dusk to Dawn",'Proposed Lighting'!AU81=3),4059,IF(AND(AU81=3,M81="1"),0,IF(AND(AU81=3,M81="1-C"),0,IF(AND(AU81=3,M81="2"),0,IF(AND(AU81=3,M81="2-C"),0,IF(AND(AU81=3,M81="3"),0,IF(AND(AU81=3,M81="3-C"),0,IF(AND(AU81=2,M81="Dusk to Dawn"),0,IF(AND(AU81=2,M81="Dusk to Dawn-C"),0,IF(AND(AU81=2,M81="Dusk to Dawn"),0,IF(AND(AU81=2,M81="E"),0,IF(AND(AU81=2,M81="E-C"),0,EG81)))))))))))))))</f>
        <v/>
      </c>
      <c r="AI81" s="1754"/>
      <c r="AJ81" s="1136"/>
      <c r="AK81" s="1136"/>
      <c r="AL81" s="1748">
        <f t="shared" si="99"/>
        <v>0</v>
      </c>
      <c r="AM81" s="1749"/>
      <c r="AN81" s="1750"/>
      <c r="AO81" s="476">
        <f t="shared" si="83"/>
        <v>0</v>
      </c>
      <c r="AP81" s="476">
        <f t="shared" si="100"/>
        <v>0</v>
      </c>
      <c r="AQ81" s="475">
        <f t="shared" si="84"/>
        <v>0</v>
      </c>
      <c r="AR81" s="475">
        <f t="shared" si="101"/>
        <v>0</v>
      </c>
      <c r="AS81" s="743" t="str">
        <f t="shared" si="79"/>
        <v/>
      </c>
      <c r="AT81" s="736" t="str">
        <f t="shared" si="102"/>
        <v/>
      </c>
      <c r="AU81" s="56">
        <f t="shared" si="103"/>
        <v>1</v>
      </c>
      <c r="AV81" s="476">
        <f t="shared" si="104"/>
        <v>0</v>
      </c>
      <c r="AW81" s="56">
        <f t="shared" si="105"/>
        <v>0</v>
      </c>
      <c r="AX81" s="475">
        <f t="shared" si="85"/>
        <v>0</v>
      </c>
      <c r="AY81" s="1169">
        <f t="shared" si="106"/>
        <v>0</v>
      </c>
      <c r="AZ81" s="1150">
        <f t="shared" si="148"/>
        <v>0</v>
      </c>
      <c r="BA81" s="56">
        <f t="shared" si="86"/>
        <v>0</v>
      </c>
      <c r="BB81" s="420">
        <f t="shared" si="87"/>
        <v>0</v>
      </c>
      <c r="BC81" s="58" t="str">
        <f t="shared" si="88"/>
        <v/>
      </c>
      <c r="BD81" s="660">
        <f t="shared" si="149"/>
        <v>0</v>
      </c>
      <c r="BE81" s="57" t="e">
        <f t="array" ref="BE81">INDEX($EB$11:$ED$1022,MATCH(F81&amp;T81,$EB$11:$EB$1007&amp;$EC$11:$EC$1007,0),3)</f>
        <v>#N/A</v>
      </c>
      <c r="BF81" s="463">
        <f t="shared" si="107"/>
        <v>0</v>
      </c>
      <c r="BG81" s="1445" t="e">
        <f t="array" ref="BG81">INDEX($DO$112:$DQ$123,MATCH(T81&amp;W81,$DO$114:$DO$125&amp;$DP$112:$DP$123,0),3)</f>
        <v>#N/A</v>
      </c>
      <c r="BH81" s="1446">
        <f t="shared" si="108"/>
        <v>0</v>
      </c>
      <c r="BI81" s="465">
        <f t="shared" si="109"/>
        <v>0</v>
      </c>
      <c r="BJ81" s="465">
        <f t="shared" si="110"/>
        <v>0</v>
      </c>
      <c r="BK81" s="466">
        <f t="shared" si="111"/>
        <v>0</v>
      </c>
      <c r="BL81" s="466">
        <f t="shared" si="112"/>
        <v>0</v>
      </c>
      <c r="BM81" s="466">
        <f t="shared" si="113"/>
        <v>0</v>
      </c>
      <c r="BN81" s="466">
        <f t="shared" si="114"/>
        <v>0</v>
      </c>
      <c r="BO81" s="463">
        <f>IF('Data Entry'!$C$74=0,0,IF(ISNA(CJ81),0,IF(AX81=0,0,IF(AND('Data Entry'!$C$74=2,AF81&gt;2,CE81&lt;1),0,IF(AND('Data Entry'!$C$74=2,AF81&gt;1,AU81=2,CJ81&gt;1),0,IF(AND(AF81=5,CT81=0.5,AU81=2,ER81&lt;100),0,IF(AND(AF81=5,CT81=0.5,AU81=3,ER81&lt;100),0,IF(AND('Data Entry'!$C$74=2,AF81=2,AU81=2,AK81&gt;0.01,CB81=2,CE81&lt;1),0,IF(AND('Data Entry'!$C$74=2,AF81=3,AU81=3,AK81&gt;0.01,CB81=3,CE81&lt;1),0,IF(AND('Data Entry'!$C$74=2,AF81=3,AU81=3,AK81&gt;0.01,CB81=3,CE81&gt;0.99),BQ81*0.08,IF(AND('Data Entry'!$C$74=2,AF81=2,AU81=2,AK81&gt;0.01,CB81=2,CE81&gt;0.99),BQ81*0.1,IF(AND(AU81=2,AK81&gt;0.01,CB81=2,CD81&gt;1),BQ81*0.1,IF(AND(AU81=3,AK81&gt;0.01,CB81=3,CD81&gt;1),BQ81*0.08,CJ81*EF81)))))))))))))</f>
        <v>0</v>
      </c>
      <c r="BP81" s="475">
        <f t="shared" si="115"/>
        <v>0</v>
      </c>
      <c r="BQ81" s="1431">
        <f>IF(AU81=1,0,IF(CH81=100,0,IF(AND(AF81=3,AU81=2),0,IF(AND(BH81=0,CT81&gt;0.4),0,IF(AND('Data Entry'!$C$74=2,AF81=1.5),0,IF(AND('Data Entry'!$C$74=2,AF81=1.6),0,IF(AND('Data Entry'!$C$74=2,AF81=4),0,IF(AND('Data Entry'!$C$74=2,AF81=5),0,IF(AND('Data Entry'!$C$74=2,AF81=2.5,CE81&lt;1),0,IF(AND('Data Entry'!$C$74=2,AF81=3,CE81&lt;1),0,IF(AND('Data Entry'!$C$74=1,AF81=2.5,CD81&lt;1),0,IF(AND('Data Entry'!$C$74=1,AF81=3,CD81&lt;1),0,IF(DX81&gt;0.01,DX81,IF(ISERROR(AX81-AY81),"",ROUND(AX81-AY81,2)))))))))))))))</f>
        <v>0</v>
      </c>
      <c r="BR81" s="146">
        <f t="shared" si="116"/>
        <v>0</v>
      </c>
      <c r="BS81" s="475">
        <f t="shared" si="117"/>
        <v>0</v>
      </c>
      <c r="BT81" s="146" t="b">
        <f t="shared" si="118"/>
        <v>0</v>
      </c>
      <c r="BU81" s="463">
        <f>IF(ISNA(AT81),0,IF(AND('Data Entry'!$C$74=2,BC81=27),0,IF(AND('Data Entry'!$C$74=2,BC81=28),0,IF(AND(BC81=27,BT81=27,CM81&gt;0.1),CM81*0.15,IF(AND(BC81=28,BT81=28,CM81&gt;0.1),CM81*0.12,0)))))</f>
        <v>0</v>
      </c>
      <c r="BV81" s="463">
        <f t="shared" si="78"/>
        <v>0</v>
      </c>
      <c r="BW81" s="463">
        <f t="shared" si="119"/>
        <v>0</v>
      </c>
      <c r="BX81" s="463">
        <f t="shared" si="120"/>
        <v>0</v>
      </c>
      <c r="BY81" s="463">
        <f t="shared" si="121"/>
        <v>0</v>
      </c>
      <c r="BZ81" s="463">
        <f t="shared" si="122"/>
        <v>0</v>
      </c>
      <c r="CA81" s="57">
        <f t="shared" si="150"/>
        <v>0</v>
      </c>
      <c r="CB81" s="56">
        <f t="shared" si="123"/>
        <v>1</v>
      </c>
      <c r="CC81" s="756">
        <f>IF(EE81=0,0,IF(EF81=0,0,IF(EE81&gt;AA81,0,IF(AND(AZ81&gt;AW81,AW81&gt;0),0,IF(CU81=0,0,Summary!AC384)))))</f>
        <v>0</v>
      </c>
      <c r="CD81" s="756">
        <f>IF(EE81=0,0,IF(EF81=0,0,IF(EE81&gt;AA81,0,IF(AND(AZ81&gt;AW81,AW81&gt;0),0,IF(CU81=0,0,Summary!AD384)))))</f>
        <v>0</v>
      </c>
      <c r="CE81" s="756">
        <f>IF(EF81=0,0,IF(EE81&gt;AA81,0,IF(CC81=0,0,IF(AND(AZ81&gt;AW81,AW81&gt;0),0,IF(CU81=0,0,Summary!AE384)))))</f>
        <v>0</v>
      </c>
      <c r="CF81" s="475">
        <f t="shared" si="124"/>
        <v>0</v>
      </c>
      <c r="CG81" s="476">
        <f t="shared" si="89"/>
        <v>0</v>
      </c>
      <c r="CH81" s="487">
        <f t="shared" si="125"/>
        <v>0</v>
      </c>
      <c r="CI81" s="756">
        <f t="shared" si="126"/>
        <v>0</v>
      </c>
      <c r="CJ81" s="487">
        <f>IF(CT81&gt;0.4,0,IF(AND(AU81=2,CH81=0,CT81=0.5,ER81=100),35,IF(AND(AU81=3,BB81&gt;75,CH81=0,CT81=0.5,ER81=100),25,IF(CB81&gt;1,0,IF(EF81&gt;EE81,0,IF(AND(AF81&gt;1,CH81=100),0,IF(AND(AF81=1,AY81=0),0,IF(AND(EF81&lt;=EE81,AW81&gt;=AZ81,'Data Entry'!$C$74=1,AU81=2),VLOOKUP(W81,$DO$96:$DP$102,2,FALSE),IF(AND(EF81&lt;=EE81,AW81&gt;=AZ81,AU81=3,'Data Entry'!$C$74=1),VLOOKUP(W81,$DO$127:$DP$134,2,FALSE))))))))))</f>
        <v>0</v>
      </c>
      <c r="CK81" s="716">
        <f t="shared" si="127"/>
        <v>0</v>
      </c>
      <c r="CL81" s="57">
        <f t="shared" si="128"/>
        <v>0</v>
      </c>
      <c r="CM81" s="475">
        <f t="shared" si="154"/>
        <v>0</v>
      </c>
      <c r="CN81" s="660">
        <f>IF(CM81&lt;0.1,0,IF(ISNA(AT81),0,IF(CL81+BC81=1,0,IF(BV81&gt;0.01,0,IF(CL81&gt;0.01,0,IF(CF81=1,0,IF(BC81=0.5,0,IF(AND(CI81=1,AU81=3),0,IF(AND(CI81=5,CL81=0),0,IF(AND(R81=12,BR81=50),0,IF(CK81&gt;0.01,0,IF(AND(AJ81&gt;0.01,AU81=2,BC81=15),CM81*0.1,IF(AND(AJ81&gt;0.01,AU81=3,BC81=15),CM81*0.08,IF(AND(R81=12,BC81=3,AF81&lt;=0),0,IF(AND(BC81=15,BI81=0),0,IF(AND(BC81=15,BJ81=0),0,IF(AND(R81=20,CU81=0),0,IF($X$4=0,0,IF(AND(BC81=250,CL81=0),0,IF(AA81&lt;1,0,IF(AND(ISNUMBER(SEARCH("Area",T81)),AU81=3),0,IF(AND(AQ81&gt;0.01,AR81=0,BK81=0,BL81=0,BM81=0,BN81=0),0,IF(AND(AU81=3,CI81=7,CT81&gt;0.5),0,IF(AND(BC81=44,AU81=3,BY81=0),0,IF(AND(BC81=27,'Data Entry'!$C$74=2),0,IF(AND(BC81=28,'Data Entry'!$C$74=2),0,IF(AND(BY81+BZ81+CA81&gt;0.01,BV81=0,EQ81+ER81+ES81+ET81&lt;100),0,IF(AU81=3,CM81*0.08,IF(AU81=2,CM81*0.1,0)))))))))))))))))))))))))))))</f>
        <v>0</v>
      </c>
      <c r="CO81" s="660">
        <f t="shared" si="129"/>
        <v>0</v>
      </c>
      <c r="CP81" s="475" t="str">
        <f t="shared" si="130"/>
        <v/>
      </c>
      <c r="CQ81" s="161" t="str">
        <f>IF(AH81=0,0,IF(AU81=5,0,Summary!AC84))</f>
        <v/>
      </c>
      <c r="CR81" s="161" t="str">
        <f>IF(BF81=0.5,0,IF(AU81=5,0,Summary!AD84))</f>
        <v/>
      </c>
      <c r="CS81" s="161" t="str">
        <f>IF(AU81=5,0,Summary!AE84)</f>
        <v/>
      </c>
      <c r="CT81" s="161">
        <f t="shared" si="131"/>
        <v>0</v>
      </c>
      <c r="CU81" s="475" t="str">
        <f t="shared" si="132"/>
        <v/>
      </c>
      <c r="CV81" s="307">
        <f>IF('Data Entry'!$C$74=0,0,IF(AA81&lt;1,0,IF(ISERROR(CU81),0,IF(CF81=1,0,IF(AND(R81=12,BR81=50),0,IF(CL81+BO81+BV81+DC81=0,0,IF(BC81=37,0,IF(AND(BC81=40,AJ81=0),0,IF(AND(BC81=37,BO81&gt;0.01,BQ81&gt;0.01),ROUND(BQ81,0),IF(CM81&lt;0,0,ROUND(CM81,0)))))))))))</f>
        <v>0</v>
      </c>
      <c r="CW81" s="700">
        <f t="shared" si="133"/>
        <v>0</v>
      </c>
      <c r="CX81" s="477">
        <f>IF('Data Entry'!$C$74=0,0,IF(CV81&lt;0.01,0,IF(BF81=0.5,0,IF(CF81=1,0,IF(ISNUMBER(SEARCH("false",CL81)),0,IF(AZ81=500,0,CL81))))))</f>
        <v>0</v>
      </c>
      <c r="CY81" s="147" t="e">
        <f t="shared" si="134"/>
        <v>#VALUE!</v>
      </c>
      <c r="CZ81" s="147" t="b">
        <f>IF(CN81+CL81=0,FALSE,IF(AH81=0,0,IF(AND('Data Entry'!$C$74=1,CR81&gt;=1),TRUE,IF(AND('Data Entry'!$C$74=2,CS81&gt;=1),TRUE,FALSE))))</f>
        <v>0</v>
      </c>
      <c r="DA81" s="1751">
        <f>IF('Data Entry'!$C$74=0,0,IFERROR(ROUND(IF(T81="","",IF($X$4=0,0,IF(CF81=1,0,IF(BQ81+CV81=0,0,IF(CF81=1,0,IF(CY81&gt;0.01,CY81,IF(CL81&gt;0.01,CL81,IF(CY81&gt;0.01,CY81,IF(BC81=37,BO81,IF(CZ81=FALSE,0,IF(CZ81=TRUE,DC81+DF81,0))))))))))),2),""))</f>
        <v>0</v>
      </c>
      <c r="DB81" s="1752"/>
      <c r="DC81" s="474">
        <f>IF(CN81&lt;0.01,0,IF(AND(BR81=3,CN81&gt;0.01,CT81&gt;0.6,ER81+ES81+ET81&lt;100),0,IF(AND('Data Entry'!$C$74=1,CN81&gt;0.01,CR81&gt;0.99),MIN(CN81:CO81),IF(AND('Data Entry'!$C$74=2,CN81&gt;0.01,CS81&gt;0.99),MIN(CN81:CO81),0))))</f>
        <v>0</v>
      </c>
      <c r="DD81" s="478">
        <f>IF(CF81=1,"Selection does not match",IF(T81=0,0,IF(AND('Data Entry'!$C$74=0,CP81&gt;1),"Select Oregon or Idaho on Data Entry Tab",IF(AND(AU81=1,AA81&gt;0.9),"Missing Interior or Exterior Selection",IF($X$4=0,"Enter Total Project Cost",IF(AQ81&lt;AR81,"Insufficient kWh savings – no incentive",IF(AND(SUM(CL81+CK81+BV81)&gt;0.01,'Data Entry'!$C$74=2,CJ81&gt;1,BO81=0),"Submit Control as Non-Standard",IF(AND('Data Entry'!$C$74=2,BR81=37,CJ81&gt;1,BO81=0),"Submit Control as Non-Standard",IF(SUM(CL81+CK81+BV81)&gt;0.01,"Standard Incentive",IF(AND('Data Entry'!$C$74=2,CP81=7,CN81=0),"Submit as Non-Standard",IF(DC81&gt;0.9,"Non-Standard Incentive",IF(AND(BY81+BZ81+CA81&gt;0.01,BV81=0,EQ81=0,ER81=0,ES81=0,ET81=0),"Scroll Right &amp; Select Control Strategies",IF(AND(CN81&gt;0.01,CO81=0),"Enter Unit Installed Cost",IF(ISNUMBER(SEARCH("Lighting Controls Only",F81)),"Lighting Controls Only",IF(CL81+DC81=0,"Does not meet incentive criteria",0)))))))))))))))</f>
        <v>0</v>
      </c>
      <c r="DE81" s="337">
        <f t="shared" si="135"/>
        <v>0</v>
      </c>
      <c r="DF81" s="609">
        <f t="shared" si="136"/>
        <v>0</v>
      </c>
      <c r="DG81" s="336" t="str">
        <f t="shared" si="137"/>
        <v/>
      </c>
      <c r="DH81" s="338">
        <f t="shared" si="138"/>
        <v>1</v>
      </c>
      <c r="DI81" s="336" t="e">
        <f t="shared" si="90"/>
        <v>#VALUE!</v>
      </c>
      <c r="DJ81" s="338">
        <f t="shared" si="91"/>
        <v>0</v>
      </c>
      <c r="DK81" s="362" t="s">
        <v>111</v>
      </c>
      <c r="DL81" s="323">
        <v>164</v>
      </c>
      <c r="DM81" s="320" t="s">
        <v>73</v>
      </c>
      <c r="DN81" s="1438"/>
      <c r="DO81" s="1444" t="s">
        <v>1763</v>
      </c>
      <c r="DP81" s="1449">
        <v>25</v>
      </c>
      <c r="DQ81" s="331"/>
      <c r="DR81" s="332"/>
      <c r="DS81" s="1195">
        <f t="shared" si="139"/>
        <v>0</v>
      </c>
      <c r="DT81" s="344" t="b">
        <f t="shared" si="140"/>
        <v>1</v>
      </c>
      <c r="DU81" s="1314" t="str">
        <f t="array" ref="DU81">IF(OR(COUNTIF(F81,"*"&amp;$DK$9:$DK$178&amp;"*")), "Yes", "")</f>
        <v/>
      </c>
      <c r="DV81" s="1314">
        <f t="shared" si="141"/>
        <v>0</v>
      </c>
      <c r="DW81" s="1480">
        <f t="shared" si="142"/>
        <v>0</v>
      </c>
      <c r="DX81" s="1498">
        <f t="shared" si="151"/>
        <v>0</v>
      </c>
      <c r="DY81" s="1484">
        <f t="shared" si="143"/>
        <v>0</v>
      </c>
      <c r="DZ81" s="375"/>
      <c r="EA81" s="392"/>
      <c r="EB81" s="1499" t="s">
        <v>186</v>
      </c>
      <c r="EC81" s="727" t="s">
        <v>1568</v>
      </c>
      <c r="ED81" s="728">
        <v>0.5</v>
      </c>
      <c r="EE81" s="1215"/>
      <c r="EF81" s="1215"/>
      <c r="EG81" s="1184" t="str">
        <f t="shared" si="144"/>
        <v/>
      </c>
      <c r="EH81" s="55"/>
      <c r="EI81" s="55"/>
      <c r="EJ81" s="1185">
        <f t="shared" si="92"/>
        <v>0</v>
      </c>
      <c r="EK81" s="1211"/>
      <c r="EL81" s="1180">
        <f t="shared" si="93"/>
        <v>0</v>
      </c>
      <c r="EM81" s="207"/>
      <c r="EN81" s="1038"/>
      <c r="EO81" s="1038"/>
      <c r="EP81" s="1038"/>
      <c r="EQ81" s="1038">
        <f t="shared" si="145"/>
        <v>0</v>
      </c>
      <c r="ER81" s="1041">
        <f t="shared" si="146"/>
        <v>0</v>
      </c>
      <c r="ES81" s="1042">
        <f t="shared" si="147"/>
        <v>0</v>
      </c>
      <c r="ET81" s="1042">
        <f t="shared" si="152"/>
        <v>0</v>
      </c>
      <c r="EU81" s="1021">
        <f t="shared" si="153"/>
        <v>0</v>
      </c>
      <c r="EV81" s="368"/>
      <c r="EW81" s="368"/>
      <c r="EX81" s="369"/>
      <c r="EY81" s="370"/>
      <c r="EZ81" s="370"/>
      <c r="FA81" s="371"/>
      <c r="FB81" s="372"/>
    </row>
    <row r="82" spans="1:158" ht="34.5" customHeight="1">
      <c r="A82" s="82">
        <v>74</v>
      </c>
      <c r="B82" s="1725"/>
      <c r="C82" s="1726"/>
      <c r="D82" s="1726"/>
      <c r="E82" s="1727"/>
      <c r="F82" s="1732"/>
      <c r="G82" s="1733"/>
      <c r="H82" s="1733"/>
      <c r="I82" s="1734"/>
      <c r="J82" s="1341"/>
      <c r="K82" s="1728"/>
      <c r="L82" s="1728"/>
      <c r="M82" s="1342"/>
      <c r="N82" s="1583"/>
      <c r="O82" s="208" t="str">
        <f t="shared" si="80"/>
        <v/>
      </c>
      <c r="P82" s="785"/>
      <c r="Q82" s="39" t="str">
        <f t="shared" si="81"/>
        <v/>
      </c>
      <c r="R82" s="39">
        <f t="shared" si="94"/>
        <v>0</v>
      </c>
      <c r="S82" s="234">
        <f t="shared" si="95"/>
        <v>0</v>
      </c>
      <c r="T82" s="1755"/>
      <c r="U82" s="1755"/>
      <c r="V82" s="1755"/>
      <c r="W82" s="1345"/>
      <c r="X82" s="1741"/>
      <c r="Y82" s="1742"/>
      <c r="Z82" s="1346"/>
      <c r="AA82" s="1343"/>
      <c r="AB82" s="1141"/>
      <c r="AC82" s="1103" t="str">
        <f>IF(T82="","",VLOOKUP(Z82,Lists!$A$60:$B$111,2,FALSE))</f>
        <v/>
      </c>
      <c r="AD82" s="130" t="str">
        <f t="shared" si="96"/>
        <v/>
      </c>
      <c r="AE82" s="130" t="e">
        <f t="shared" si="97"/>
        <v>#VALUE!</v>
      </c>
      <c r="AF82" s="130">
        <f t="shared" si="98"/>
        <v>1</v>
      </c>
      <c r="AG82" s="234">
        <f t="shared" si="82"/>
        <v>0</v>
      </c>
      <c r="AH82" s="1753" t="str">
        <f>IF(T82="","",(IF(ISNUMBER(SEARCH("exit",T82)),8760,IF(AND(M82="Dusk to Dawn",'Proposed Lighting'!AU82=3),4059,IF(AND(AU82=3,M82="1"),0,IF(AND(AU82=3,M82="1-C"),0,IF(AND(AU82=3,M82="2"),0,IF(AND(AU82=3,M82="2-C"),0,IF(AND(AU82=3,M82="3"),0,IF(AND(AU82=3,M82="3-C"),0,IF(AND(AU82=2,M82="Dusk to Dawn"),0,IF(AND(AU82=2,M82="Dusk to Dawn-C"),0,IF(AND(AU82=2,M82="Dusk to Dawn"),0,IF(AND(AU82=2,M82="E"),0,IF(AND(AU82=2,M82="E-C"),0,EG82)))))))))))))))</f>
        <v/>
      </c>
      <c r="AI82" s="1754"/>
      <c r="AJ82" s="1136"/>
      <c r="AK82" s="1136"/>
      <c r="AL82" s="1748">
        <f t="shared" si="99"/>
        <v>0</v>
      </c>
      <c r="AM82" s="1749"/>
      <c r="AN82" s="1750"/>
      <c r="AO82" s="476">
        <f t="shared" si="83"/>
        <v>0</v>
      </c>
      <c r="AP82" s="476">
        <f t="shared" si="100"/>
        <v>0</v>
      </c>
      <c r="AQ82" s="475">
        <f t="shared" si="84"/>
        <v>0</v>
      </c>
      <c r="AR82" s="475">
        <f t="shared" si="101"/>
        <v>0</v>
      </c>
      <c r="AS82" s="743" t="str">
        <f t="shared" si="79"/>
        <v/>
      </c>
      <c r="AT82" s="736" t="str">
        <f t="shared" si="102"/>
        <v/>
      </c>
      <c r="AU82" s="56">
        <f t="shared" si="103"/>
        <v>1</v>
      </c>
      <c r="AV82" s="476">
        <f t="shared" si="104"/>
        <v>0</v>
      </c>
      <c r="AW82" s="56">
        <f t="shared" si="105"/>
        <v>0</v>
      </c>
      <c r="AX82" s="475">
        <f t="shared" si="85"/>
        <v>0</v>
      </c>
      <c r="AY82" s="1169">
        <f t="shared" si="106"/>
        <v>0</v>
      </c>
      <c r="AZ82" s="1150">
        <f t="shared" si="148"/>
        <v>0</v>
      </c>
      <c r="BA82" s="56">
        <f t="shared" si="86"/>
        <v>0</v>
      </c>
      <c r="BB82" s="420">
        <f t="shared" si="87"/>
        <v>0</v>
      </c>
      <c r="BC82" s="58" t="str">
        <f t="shared" si="88"/>
        <v/>
      </c>
      <c r="BD82" s="660">
        <f t="shared" si="149"/>
        <v>0</v>
      </c>
      <c r="BE82" s="57" t="e">
        <f t="array" ref="BE82">INDEX($EB$11:$ED$1022,MATCH(F82&amp;T82,$EB$11:$EB$1007&amp;$EC$11:$EC$1007,0),3)</f>
        <v>#N/A</v>
      </c>
      <c r="BF82" s="463">
        <f t="shared" si="107"/>
        <v>0</v>
      </c>
      <c r="BG82" s="1445" t="e">
        <f t="array" ref="BG82">INDEX($DO$112:$DQ$123,MATCH(T82&amp;W82,$DO$114:$DO$125&amp;$DP$112:$DP$123,0),3)</f>
        <v>#N/A</v>
      </c>
      <c r="BH82" s="1446">
        <f t="shared" si="108"/>
        <v>0</v>
      </c>
      <c r="BI82" s="465">
        <f t="shared" si="109"/>
        <v>0</v>
      </c>
      <c r="BJ82" s="465">
        <f t="shared" si="110"/>
        <v>0</v>
      </c>
      <c r="BK82" s="466">
        <f t="shared" si="111"/>
        <v>0</v>
      </c>
      <c r="BL82" s="466">
        <f t="shared" si="112"/>
        <v>0</v>
      </c>
      <c r="BM82" s="466">
        <f t="shared" si="113"/>
        <v>0</v>
      </c>
      <c r="BN82" s="466">
        <f t="shared" si="114"/>
        <v>0</v>
      </c>
      <c r="BO82" s="463">
        <f>IF('Data Entry'!$C$74=0,0,IF(ISNA(CJ82),0,IF(AX82=0,0,IF(AND('Data Entry'!$C$74=2,AF82&gt;2,CE82&lt;1),0,IF(AND('Data Entry'!$C$74=2,AF82&gt;1,AU82=2,CJ82&gt;1),0,IF(AND(AF82=5,CT82=0.5,AU82=2,ER82&lt;100),0,IF(AND(AF82=5,CT82=0.5,AU82=3,ER82&lt;100),0,IF(AND('Data Entry'!$C$74=2,AF82=2,AU82=2,AK82&gt;0.01,CB82=2,CE82&lt;1),0,IF(AND('Data Entry'!$C$74=2,AF82=3,AU82=3,AK82&gt;0.01,CB82=3,CE82&lt;1),0,IF(AND('Data Entry'!$C$74=2,AF82=3,AU82=3,AK82&gt;0.01,CB82=3,CE82&gt;0.99),BQ82*0.08,IF(AND('Data Entry'!$C$74=2,AF82=2,AU82=2,AK82&gt;0.01,CB82=2,CE82&gt;0.99),BQ82*0.1,IF(AND(AU82=2,AK82&gt;0.01,CB82=2,CD82&gt;1),BQ82*0.1,IF(AND(AU82=3,AK82&gt;0.01,CB82=3,CD82&gt;1),BQ82*0.08,CJ82*EF82)))))))))))))</f>
        <v>0</v>
      </c>
      <c r="BP82" s="475">
        <f t="shared" si="115"/>
        <v>0</v>
      </c>
      <c r="BQ82" s="1431">
        <f>IF(AU82=1,0,IF(CH82=100,0,IF(AND(AF82=3,AU82=2),0,IF(AND(BH82=0,CT82&gt;0.4),0,IF(AND('Data Entry'!$C$74=2,AF82=1.5),0,IF(AND('Data Entry'!$C$74=2,AF82=1.6),0,IF(AND('Data Entry'!$C$74=2,AF82=4),0,IF(AND('Data Entry'!$C$74=2,AF82=5),0,IF(AND('Data Entry'!$C$74=2,AF82=2.5,CE82&lt;1),0,IF(AND('Data Entry'!$C$74=2,AF82=3,CE82&lt;1),0,IF(AND('Data Entry'!$C$74=1,AF82=2.5,CD82&lt;1),0,IF(AND('Data Entry'!$C$74=1,AF82=3,CD82&lt;1),0,IF(DX82&gt;0.01,DX82,IF(ISERROR(AX82-AY82),"",ROUND(AX82-AY82,2)))))))))))))))</f>
        <v>0</v>
      </c>
      <c r="BR82" s="146">
        <f t="shared" si="116"/>
        <v>0</v>
      </c>
      <c r="BS82" s="475">
        <f t="shared" si="117"/>
        <v>0</v>
      </c>
      <c r="BT82" s="146" t="b">
        <f t="shared" si="118"/>
        <v>0</v>
      </c>
      <c r="BU82" s="463">
        <f>IF(ISNA(AT82),0,IF(AND('Data Entry'!$C$74=2,BC82=27),0,IF(AND('Data Entry'!$C$74=2,BC82=28),0,IF(AND(BC82=27,BT82=27,CM82&gt;0.1),CM82*0.15,IF(AND(BC82=28,BT82=28,CM82&gt;0.1),CM82*0.12,0)))))</f>
        <v>0</v>
      </c>
      <c r="BV82" s="463">
        <f t="shared" si="78"/>
        <v>0</v>
      </c>
      <c r="BW82" s="463">
        <f t="shared" si="119"/>
        <v>0</v>
      </c>
      <c r="BX82" s="463">
        <f t="shared" si="120"/>
        <v>0</v>
      </c>
      <c r="BY82" s="463">
        <f t="shared" si="121"/>
        <v>0</v>
      </c>
      <c r="BZ82" s="463">
        <f t="shared" si="122"/>
        <v>0</v>
      </c>
      <c r="CA82" s="57">
        <f t="shared" si="150"/>
        <v>0</v>
      </c>
      <c r="CB82" s="56">
        <f t="shared" si="123"/>
        <v>1</v>
      </c>
      <c r="CC82" s="756">
        <f>IF(EE82=0,0,IF(EF82=0,0,IF(EE82&gt;AA82,0,IF(AND(AZ82&gt;AW82,AW82&gt;0),0,IF(CU82=0,0,Summary!AC385)))))</f>
        <v>0</v>
      </c>
      <c r="CD82" s="756">
        <f>IF(EE82=0,0,IF(EF82=0,0,IF(EE82&gt;AA82,0,IF(AND(AZ82&gt;AW82,AW82&gt;0),0,IF(CU82=0,0,Summary!AD385)))))</f>
        <v>0</v>
      </c>
      <c r="CE82" s="756">
        <f>IF(EF82=0,0,IF(EE82&gt;AA82,0,IF(CC82=0,0,IF(AND(AZ82&gt;AW82,AW82&gt;0),0,IF(CU82=0,0,Summary!AE385)))))</f>
        <v>0</v>
      </c>
      <c r="CF82" s="475">
        <f t="shared" si="124"/>
        <v>0</v>
      </c>
      <c r="CG82" s="476">
        <f t="shared" si="89"/>
        <v>0</v>
      </c>
      <c r="CH82" s="487">
        <f t="shared" si="125"/>
        <v>0</v>
      </c>
      <c r="CI82" s="756">
        <f t="shared" si="126"/>
        <v>0</v>
      </c>
      <c r="CJ82" s="487">
        <f>IF(CT82&gt;0.4,0,IF(AND(AU82=2,CH82=0,CT82=0.5,ER82=100),35,IF(AND(AU82=3,BB82&gt;75,CH82=0,CT82=0.5,ER82=100),25,IF(CB82&gt;1,0,IF(EF82&gt;EE82,0,IF(AND(AF82&gt;1,CH82=100),0,IF(AND(AF82=1,AY82=0),0,IF(AND(EF82&lt;=EE82,AW82&gt;=AZ82,'Data Entry'!$C$74=1,AU82=2),VLOOKUP(W82,$DO$96:$DP$102,2,FALSE),IF(AND(EF82&lt;=EE82,AW82&gt;=AZ82,AU82=3,'Data Entry'!$C$74=1),VLOOKUP(W82,$DO$127:$DP$134,2,FALSE))))))))))</f>
        <v>0</v>
      </c>
      <c r="CK82" s="716">
        <f t="shared" si="127"/>
        <v>0</v>
      </c>
      <c r="CL82" s="57">
        <f t="shared" si="128"/>
        <v>0</v>
      </c>
      <c r="CM82" s="475">
        <f t="shared" si="154"/>
        <v>0</v>
      </c>
      <c r="CN82" s="660">
        <f>IF(CM82&lt;0.1,0,IF(ISNA(AT82),0,IF(CL82+BC82=1,0,IF(BV82&gt;0.01,0,IF(CL82&gt;0.01,0,IF(CF82=1,0,IF(BC82=0.5,0,IF(AND(CI82=1,AU82=3),0,IF(AND(CI82=5,CL82=0),0,IF(AND(R82=12,BR82=50),0,IF(CK82&gt;0.01,0,IF(AND(AJ82&gt;0.01,AU82=2,BC82=15),CM82*0.1,IF(AND(AJ82&gt;0.01,AU82=3,BC82=15),CM82*0.08,IF(AND(R82=12,BC82=3,AF82&lt;=0),0,IF(AND(BC82=15,BI82=0),0,IF(AND(BC82=15,BJ82=0),0,IF(AND(R82=20,CU82=0),0,IF($X$4=0,0,IF(AND(BC82=250,CL82=0),0,IF(AA82&lt;1,0,IF(AND(ISNUMBER(SEARCH("Area",T82)),AU82=3),0,IF(AND(AQ82&gt;0.01,AR82=0,BK82=0,BL82=0,BM82=0,BN82=0),0,IF(AND(AU82=3,CI82=7,CT82&gt;0.5),0,IF(AND(BC82=44,AU82=3,BY82=0),0,IF(AND(BC82=27,'Data Entry'!$C$74=2),0,IF(AND(BC82=28,'Data Entry'!$C$74=2),0,IF(AND(BY82+BZ82+CA82&gt;0.01,BV82=0,EQ82+ER82+ES82+ET82&lt;100),0,IF(AU82=3,CM82*0.08,IF(AU82=2,CM82*0.1,0)))))))))))))))))))))))))))))</f>
        <v>0</v>
      </c>
      <c r="CO82" s="660">
        <f t="shared" si="129"/>
        <v>0</v>
      </c>
      <c r="CP82" s="475" t="str">
        <f t="shared" si="130"/>
        <v/>
      </c>
      <c r="CQ82" s="161" t="str">
        <f>IF(AH82=0,0,IF(AU82=5,0,Summary!AC85))</f>
        <v/>
      </c>
      <c r="CR82" s="161" t="str">
        <f>IF(BF82=0.5,0,IF(AU82=5,0,Summary!AD85))</f>
        <v/>
      </c>
      <c r="CS82" s="161" t="str">
        <f>IF(AU82=5,0,Summary!AE85)</f>
        <v/>
      </c>
      <c r="CT82" s="161">
        <f t="shared" si="131"/>
        <v>0</v>
      </c>
      <c r="CU82" s="475" t="str">
        <f t="shared" si="132"/>
        <v/>
      </c>
      <c r="CV82" s="307">
        <f>IF('Data Entry'!$C$74=0,0,IF(AA82&lt;1,0,IF(ISERROR(CU82),0,IF(CF82=1,0,IF(AND(R82=12,BR82=50),0,IF(CL82+BO82+BV82+DC82=0,0,IF(BC82=37,0,IF(AND(BC82=40,AJ82=0),0,IF(AND(BC82=37,BO82&gt;0.01,BQ82&gt;0.01),ROUND(BQ82,0),IF(CM82&lt;0,0,ROUND(CM82,0)))))))))))</f>
        <v>0</v>
      </c>
      <c r="CW82" s="700">
        <f t="shared" si="133"/>
        <v>0</v>
      </c>
      <c r="CX82" s="477">
        <f>IF('Data Entry'!$C$74=0,0,IF(CV82&lt;0.01,0,IF(BF82=0.5,0,IF(CF82=1,0,IF(ISNUMBER(SEARCH("false",CL82)),0,IF(AZ82=500,0,CL82))))))</f>
        <v>0</v>
      </c>
      <c r="CY82" s="147" t="e">
        <f t="shared" si="134"/>
        <v>#VALUE!</v>
      </c>
      <c r="CZ82" s="147" t="b">
        <f>IF(CN82+CL82=0,FALSE,IF(AH82=0,0,IF(AND('Data Entry'!$C$74=1,CR82&gt;=1),TRUE,IF(AND('Data Entry'!$C$74=2,CS82&gt;=1),TRUE,FALSE))))</f>
        <v>0</v>
      </c>
      <c r="DA82" s="1751">
        <f>IF('Data Entry'!$C$74=0,0,IFERROR(ROUND(IF(T82="","",IF($X$4=0,0,IF(CF82=1,0,IF(BQ82+CV82=0,0,IF(CF82=1,0,IF(CY82&gt;0.01,CY82,IF(CL82&gt;0.01,CL82,IF(CY82&gt;0.01,CY82,IF(BC82=37,BO82,IF(CZ82=FALSE,0,IF(CZ82=TRUE,DC82+DF82,0))))))))))),2),""))</f>
        <v>0</v>
      </c>
      <c r="DB82" s="1752"/>
      <c r="DC82" s="474">
        <f>IF(CN82&lt;0.01,0,IF(AND(BR82=3,CN82&gt;0.01,CT82&gt;0.6,ER82+ES82+ET82&lt;100),0,IF(AND('Data Entry'!$C$74=1,CN82&gt;0.01,CR82&gt;0.99),MIN(CN82:CO82),IF(AND('Data Entry'!$C$74=2,CN82&gt;0.01,CS82&gt;0.99),MIN(CN82:CO82),0))))</f>
        <v>0</v>
      </c>
      <c r="DD82" s="478">
        <f>IF(CF82=1,"Selection does not match",IF(T82=0,0,IF(AND('Data Entry'!$C$74=0,CP82&gt;1),"Select Oregon or Idaho on Data Entry Tab",IF(AND(AU82=1,AA82&gt;0.9),"Missing Interior or Exterior Selection",IF($X$4=0,"Enter Total Project Cost",IF(AQ82&lt;AR82,"Insufficient kWh savings – no incentive",IF(AND(SUM(CL82+CK82+BV82)&gt;0.01,'Data Entry'!$C$74=2,CJ82&gt;1,BO82=0),"Submit Control as Non-Standard",IF(AND('Data Entry'!$C$74=2,BR82=37,CJ82&gt;1,BO82=0),"Submit Control as Non-Standard",IF(SUM(CL82+CK82+BV82)&gt;0.01,"Standard Incentive",IF(AND('Data Entry'!$C$74=2,CP82=7,CN82=0),"Submit as Non-Standard",IF(DC82&gt;0.9,"Non-Standard Incentive",IF(AND(BY82+BZ82+CA82&gt;0.01,BV82=0,EQ82=0,ER82=0,ES82=0,ET82=0),"Scroll Right &amp; Select Control Strategies",IF(AND(CN82&gt;0.01,CO82=0),"Enter Unit Installed Cost",IF(ISNUMBER(SEARCH("Lighting Controls Only",F82)),"Lighting Controls Only",IF(CL82+DC82=0,"Does not meet incentive criteria",0)))))))))))))))</f>
        <v>0</v>
      </c>
      <c r="DE82" s="337">
        <f t="shared" si="135"/>
        <v>0</v>
      </c>
      <c r="DF82" s="609">
        <f t="shared" si="136"/>
        <v>0</v>
      </c>
      <c r="DG82" s="336" t="str">
        <f t="shared" si="137"/>
        <v/>
      </c>
      <c r="DH82" s="338">
        <f t="shared" si="138"/>
        <v>1</v>
      </c>
      <c r="DI82" s="336" t="e">
        <f t="shared" si="90"/>
        <v>#VALUE!</v>
      </c>
      <c r="DJ82" s="338">
        <f t="shared" si="91"/>
        <v>0</v>
      </c>
      <c r="DK82" s="325" t="s">
        <v>112</v>
      </c>
      <c r="DL82" s="341">
        <v>48</v>
      </c>
      <c r="DM82" s="325" t="s">
        <v>77</v>
      </c>
      <c r="DN82" s="1439"/>
      <c r="DO82" s="1444" t="s">
        <v>1764</v>
      </c>
      <c r="DP82" s="1449">
        <v>25</v>
      </c>
      <c r="DQ82" s="1461"/>
      <c r="DR82" s="332"/>
      <c r="DS82" s="1195">
        <f t="shared" si="139"/>
        <v>0</v>
      </c>
      <c r="DT82" s="344" t="b">
        <f t="shared" si="140"/>
        <v>1</v>
      </c>
      <c r="DU82" s="1314" t="str">
        <f t="array" ref="DU82">IF(OR(COUNTIF(F82,"*"&amp;$DK$9:$DK$178&amp;"*")), "Yes", "")</f>
        <v/>
      </c>
      <c r="DV82" s="1314">
        <f t="shared" si="141"/>
        <v>0</v>
      </c>
      <c r="DW82" s="1480">
        <f t="shared" si="142"/>
        <v>0</v>
      </c>
      <c r="DX82" s="1498">
        <f t="shared" si="151"/>
        <v>0</v>
      </c>
      <c r="DY82" s="1484">
        <f t="shared" si="143"/>
        <v>0</v>
      </c>
      <c r="DZ82" s="375"/>
      <c r="EA82" s="392"/>
      <c r="EB82" s="1499" t="s">
        <v>108</v>
      </c>
      <c r="EC82" s="727" t="s">
        <v>1568</v>
      </c>
      <c r="ED82" s="728">
        <v>0.5</v>
      </c>
      <c r="EE82" s="1215"/>
      <c r="EF82" s="1215"/>
      <c r="EG82" s="1184" t="str">
        <f t="shared" si="144"/>
        <v/>
      </c>
      <c r="EH82" s="55"/>
      <c r="EI82" s="55"/>
      <c r="EJ82" s="1185">
        <f t="shared" si="92"/>
        <v>0</v>
      </c>
      <c r="EK82" s="1211"/>
      <c r="EL82" s="1180">
        <f t="shared" si="93"/>
        <v>0</v>
      </c>
      <c r="EM82" s="207"/>
      <c r="EN82" s="1038"/>
      <c r="EO82" s="1038"/>
      <c r="EP82" s="1038"/>
      <c r="EQ82" s="1038">
        <f t="shared" si="145"/>
        <v>0</v>
      </c>
      <c r="ER82" s="1041">
        <f t="shared" si="146"/>
        <v>0</v>
      </c>
      <c r="ES82" s="1042">
        <f t="shared" si="147"/>
        <v>0</v>
      </c>
      <c r="ET82" s="1042">
        <f t="shared" si="152"/>
        <v>0</v>
      </c>
      <c r="EU82" s="1021">
        <f t="shared" si="153"/>
        <v>0</v>
      </c>
      <c r="EV82" s="368"/>
      <c r="EW82" s="368"/>
      <c r="EX82" s="369"/>
      <c r="EY82" s="370"/>
      <c r="EZ82" s="370"/>
      <c r="FA82" s="371"/>
      <c r="FB82" s="372"/>
    </row>
    <row r="83" spans="1:158" ht="34.5" customHeight="1">
      <c r="A83" s="82">
        <v>75</v>
      </c>
      <c r="B83" s="1725"/>
      <c r="C83" s="1726"/>
      <c r="D83" s="1726"/>
      <c r="E83" s="1727"/>
      <c r="F83" s="1732"/>
      <c r="G83" s="1733"/>
      <c r="H83" s="1733"/>
      <c r="I83" s="1734"/>
      <c r="J83" s="1341"/>
      <c r="K83" s="1728"/>
      <c r="L83" s="1728"/>
      <c r="M83" s="1342"/>
      <c r="N83" s="1583"/>
      <c r="O83" s="208" t="str">
        <f t="shared" si="80"/>
        <v/>
      </c>
      <c r="P83" s="785"/>
      <c r="Q83" s="39" t="str">
        <f t="shared" si="81"/>
        <v/>
      </c>
      <c r="R83" s="39">
        <f t="shared" si="94"/>
        <v>0</v>
      </c>
      <c r="S83" s="234">
        <f t="shared" si="95"/>
        <v>0</v>
      </c>
      <c r="T83" s="1755"/>
      <c r="U83" s="1755"/>
      <c r="V83" s="1755"/>
      <c r="W83" s="1345"/>
      <c r="X83" s="1741"/>
      <c r="Y83" s="1742"/>
      <c r="Z83" s="1346"/>
      <c r="AA83" s="1343"/>
      <c r="AB83" s="1141"/>
      <c r="AC83" s="1103" t="str">
        <f>IF(T83="","",VLOOKUP(Z83,Lists!$A$60:$B$111,2,FALSE))</f>
        <v/>
      </c>
      <c r="AD83" s="130" t="str">
        <f t="shared" si="96"/>
        <v/>
      </c>
      <c r="AE83" s="130" t="e">
        <f t="shared" si="97"/>
        <v>#VALUE!</v>
      </c>
      <c r="AF83" s="130">
        <f t="shared" si="98"/>
        <v>1</v>
      </c>
      <c r="AG83" s="234">
        <f t="shared" si="82"/>
        <v>0</v>
      </c>
      <c r="AH83" s="1753" t="str">
        <f>IF(T83="","",(IF(ISNUMBER(SEARCH("exit",T83)),8760,IF(AND(M83="Dusk to Dawn",'Proposed Lighting'!AU83=3),4059,IF(AND(AU83=3,M83="1"),0,IF(AND(AU83=3,M83="1-C"),0,IF(AND(AU83=3,M83="2"),0,IF(AND(AU83=3,M83="2-C"),0,IF(AND(AU83=3,M83="3"),0,IF(AND(AU83=3,M83="3-C"),0,IF(AND(AU83=2,M83="Dusk to Dawn"),0,IF(AND(AU83=2,M83="Dusk to Dawn-C"),0,IF(AND(AU83=2,M83="Dusk to Dawn"),0,IF(AND(AU83=2,M83="E"),0,IF(AND(AU83=2,M83="E-C"),0,EG83)))))))))))))))</f>
        <v/>
      </c>
      <c r="AI83" s="1754"/>
      <c r="AJ83" s="1136"/>
      <c r="AK83" s="1136"/>
      <c r="AL83" s="1748">
        <f t="shared" si="99"/>
        <v>0</v>
      </c>
      <c r="AM83" s="1749"/>
      <c r="AN83" s="1750"/>
      <c r="AO83" s="476">
        <f t="shared" si="83"/>
        <v>0</v>
      </c>
      <c r="AP83" s="476">
        <f t="shared" si="100"/>
        <v>0</v>
      </c>
      <c r="AQ83" s="475">
        <f t="shared" si="84"/>
        <v>0</v>
      </c>
      <c r="AR83" s="475">
        <f t="shared" si="101"/>
        <v>0</v>
      </c>
      <c r="AS83" s="743" t="str">
        <f t="shared" si="79"/>
        <v/>
      </c>
      <c r="AT83" s="736" t="str">
        <f t="shared" si="102"/>
        <v/>
      </c>
      <c r="AU83" s="56">
        <f t="shared" si="103"/>
        <v>1</v>
      </c>
      <c r="AV83" s="476">
        <f t="shared" si="104"/>
        <v>0</v>
      </c>
      <c r="AW83" s="56">
        <f t="shared" si="105"/>
        <v>0</v>
      </c>
      <c r="AX83" s="475">
        <f t="shared" si="85"/>
        <v>0</v>
      </c>
      <c r="AY83" s="1169">
        <f t="shared" si="106"/>
        <v>0</v>
      </c>
      <c r="AZ83" s="1150">
        <f t="shared" si="148"/>
        <v>0</v>
      </c>
      <c r="BA83" s="56">
        <f t="shared" si="86"/>
        <v>0</v>
      </c>
      <c r="BB83" s="420">
        <f t="shared" si="87"/>
        <v>0</v>
      </c>
      <c r="BC83" s="58" t="str">
        <f t="shared" si="88"/>
        <v/>
      </c>
      <c r="BD83" s="660">
        <f t="shared" si="149"/>
        <v>0</v>
      </c>
      <c r="BE83" s="57" t="e">
        <f t="array" ref="BE83">INDEX($EB$11:$ED$1022,MATCH(F83&amp;T83,$EB$11:$EB$1007&amp;$EC$11:$EC$1007,0),3)</f>
        <v>#N/A</v>
      </c>
      <c r="BF83" s="463">
        <f t="shared" si="107"/>
        <v>0</v>
      </c>
      <c r="BG83" s="1445" t="e">
        <f t="array" ref="BG83">INDEX($DO$112:$DQ$123,MATCH(T83&amp;W83,$DO$114:$DO$125&amp;$DP$112:$DP$123,0),3)</f>
        <v>#N/A</v>
      </c>
      <c r="BH83" s="1446">
        <f t="shared" si="108"/>
        <v>0</v>
      </c>
      <c r="BI83" s="465">
        <f t="shared" si="109"/>
        <v>0</v>
      </c>
      <c r="BJ83" s="465">
        <f t="shared" si="110"/>
        <v>0</v>
      </c>
      <c r="BK83" s="466">
        <f t="shared" si="111"/>
        <v>0</v>
      </c>
      <c r="BL83" s="466">
        <f t="shared" si="112"/>
        <v>0</v>
      </c>
      <c r="BM83" s="466">
        <f t="shared" si="113"/>
        <v>0</v>
      </c>
      <c r="BN83" s="466">
        <f t="shared" si="114"/>
        <v>0</v>
      </c>
      <c r="BO83" s="463">
        <f>IF('Data Entry'!$C$74=0,0,IF(ISNA(CJ83),0,IF(AX83=0,0,IF(AND('Data Entry'!$C$74=2,AF83&gt;2,CE83&lt;1),0,IF(AND('Data Entry'!$C$74=2,AF83&gt;1,AU83=2,CJ83&gt;1),0,IF(AND(AF83=5,CT83=0.5,AU83=2,ER83&lt;100),0,IF(AND(AF83=5,CT83=0.5,AU83=3,ER83&lt;100),0,IF(AND('Data Entry'!$C$74=2,AF83=2,AU83=2,AK83&gt;0.01,CB83=2,CE83&lt;1),0,IF(AND('Data Entry'!$C$74=2,AF83=3,AU83=3,AK83&gt;0.01,CB83=3,CE83&lt;1),0,IF(AND('Data Entry'!$C$74=2,AF83=3,AU83=3,AK83&gt;0.01,CB83=3,CE83&gt;0.99),BQ83*0.08,IF(AND('Data Entry'!$C$74=2,AF83=2,AU83=2,AK83&gt;0.01,CB83=2,CE83&gt;0.99),BQ83*0.1,IF(AND(AU83=2,AK83&gt;0.01,CB83=2,CD83&gt;1),BQ83*0.1,IF(AND(AU83=3,AK83&gt;0.01,CB83=3,CD83&gt;1),BQ83*0.08,CJ83*EF83)))))))))))))</f>
        <v>0</v>
      </c>
      <c r="BP83" s="475">
        <f t="shared" si="115"/>
        <v>0</v>
      </c>
      <c r="BQ83" s="1431">
        <f>IF(AU83=1,0,IF(CH83=100,0,IF(AND(AF83=3,AU83=2),0,IF(AND(BH83=0,CT83&gt;0.4),0,IF(AND('Data Entry'!$C$74=2,AF83=1.5),0,IF(AND('Data Entry'!$C$74=2,AF83=1.6),0,IF(AND('Data Entry'!$C$74=2,AF83=4),0,IF(AND('Data Entry'!$C$74=2,AF83=5),0,IF(AND('Data Entry'!$C$74=2,AF83=2.5,CE83&lt;1),0,IF(AND('Data Entry'!$C$74=2,AF83=3,CE83&lt;1),0,IF(AND('Data Entry'!$C$74=1,AF83=2.5,CD83&lt;1),0,IF(AND('Data Entry'!$C$74=1,AF83=3,CD83&lt;1),0,IF(DX83&gt;0.01,DX83,IF(ISERROR(AX83-AY83),"",ROUND(AX83-AY83,2)))))))))))))))</f>
        <v>0</v>
      </c>
      <c r="BR83" s="146">
        <f t="shared" si="116"/>
        <v>0</v>
      </c>
      <c r="BS83" s="475">
        <f t="shared" si="117"/>
        <v>0</v>
      </c>
      <c r="BT83" s="146" t="b">
        <f t="shared" si="118"/>
        <v>0</v>
      </c>
      <c r="BU83" s="463">
        <f>IF(ISNA(AT83),0,IF(AND('Data Entry'!$C$74=2,BC83=27),0,IF(AND('Data Entry'!$C$74=2,BC83=28),0,IF(AND(BC83=27,BT83=27,CM83&gt;0.1),CM83*0.15,IF(AND(BC83=28,BT83=28,CM83&gt;0.1),CM83*0.12,0)))))</f>
        <v>0</v>
      </c>
      <c r="BV83" s="463">
        <f t="shared" si="78"/>
        <v>0</v>
      </c>
      <c r="BW83" s="463">
        <f t="shared" si="119"/>
        <v>0</v>
      </c>
      <c r="BX83" s="463">
        <f t="shared" si="120"/>
        <v>0</v>
      </c>
      <c r="BY83" s="463">
        <f t="shared" si="121"/>
        <v>0</v>
      </c>
      <c r="BZ83" s="463">
        <f t="shared" si="122"/>
        <v>0</v>
      </c>
      <c r="CA83" s="57">
        <f t="shared" si="150"/>
        <v>0</v>
      </c>
      <c r="CB83" s="56">
        <f t="shared" si="123"/>
        <v>1</v>
      </c>
      <c r="CC83" s="756">
        <f>IF(EE83=0,0,IF(EF83=0,0,IF(EE83&gt;AA83,0,IF(AND(AZ83&gt;AW83,AW83&gt;0),0,IF(CU83=0,0,Summary!AC386)))))</f>
        <v>0</v>
      </c>
      <c r="CD83" s="756">
        <f>IF(EE83=0,0,IF(EF83=0,0,IF(EE83&gt;AA83,0,IF(AND(AZ83&gt;AW83,AW83&gt;0),0,IF(CU83=0,0,Summary!AD386)))))</f>
        <v>0</v>
      </c>
      <c r="CE83" s="756">
        <f>IF(EF83=0,0,IF(EE83&gt;AA83,0,IF(CC83=0,0,IF(AND(AZ83&gt;AW83,AW83&gt;0),0,IF(CU83=0,0,Summary!AE386)))))</f>
        <v>0</v>
      </c>
      <c r="CF83" s="475">
        <f t="shared" si="124"/>
        <v>0</v>
      </c>
      <c r="CG83" s="476">
        <f t="shared" si="89"/>
        <v>0</v>
      </c>
      <c r="CH83" s="487">
        <f t="shared" si="125"/>
        <v>0</v>
      </c>
      <c r="CI83" s="756">
        <f t="shared" si="126"/>
        <v>0</v>
      </c>
      <c r="CJ83" s="487">
        <f>IF(CT83&gt;0.4,0,IF(AND(AU83=2,CH83=0,CT83=0.5,ER83=100),35,IF(AND(AU83=3,BB83&gt;75,CH83=0,CT83=0.5,ER83=100),25,IF(CB83&gt;1,0,IF(EF83&gt;EE83,0,IF(AND(AF83&gt;1,CH83=100),0,IF(AND(AF83=1,AY83=0),0,IF(AND(EF83&lt;=EE83,AW83&gt;=AZ83,'Data Entry'!$C$74=1,AU83=2),VLOOKUP(W83,$DO$96:$DP$102,2,FALSE),IF(AND(EF83&lt;=EE83,AW83&gt;=AZ83,AU83=3,'Data Entry'!$C$74=1),VLOOKUP(W83,$DO$127:$DP$134,2,FALSE))))))))))</f>
        <v>0</v>
      </c>
      <c r="CK83" s="716">
        <f t="shared" si="127"/>
        <v>0</v>
      </c>
      <c r="CL83" s="57">
        <f t="shared" si="128"/>
        <v>0</v>
      </c>
      <c r="CM83" s="475">
        <f t="shared" si="154"/>
        <v>0</v>
      </c>
      <c r="CN83" s="660">
        <f>IF(CM83&lt;0.1,0,IF(ISNA(AT83),0,IF(CL83+BC83=1,0,IF(BV83&gt;0.01,0,IF(CL83&gt;0.01,0,IF(CF83=1,0,IF(BC83=0.5,0,IF(AND(CI83=1,AU83=3),0,IF(AND(CI83=5,CL83=0),0,IF(AND(R83=12,BR83=50),0,IF(CK83&gt;0.01,0,IF(AND(AJ83&gt;0.01,AU83=2,BC83=15),CM83*0.1,IF(AND(AJ83&gt;0.01,AU83=3,BC83=15),CM83*0.08,IF(AND(R83=12,BC83=3,AF83&lt;=0),0,IF(AND(BC83=15,BI83=0),0,IF(AND(BC83=15,BJ83=0),0,IF(AND(R83=20,CU83=0),0,IF($X$4=0,0,IF(AND(BC83=250,CL83=0),0,IF(AA83&lt;1,0,IF(AND(ISNUMBER(SEARCH("Area",T83)),AU83=3),0,IF(AND(AQ83&gt;0.01,AR83=0,BK83=0,BL83=0,BM83=0,BN83=0),0,IF(AND(AU83=3,CI83=7,CT83&gt;0.5),0,IF(AND(BC83=44,AU83=3,BY83=0),0,IF(AND(BC83=27,'Data Entry'!$C$74=2),0,IF(AND(BC83=28,'Data Entry'!$C$74=2),0,IF(AND(BY83+BZ83+CA83&gt;0.01,BV83=0,EQ83+ER83+ES83+ET83&lt;100),0,IF(AU83=3,CM83*0.08,IF(AU83=2,CM83*0.1,0)))))))))))))))))))))))))))))</f>
        <v>0</v>
      </c>
      <c r="CO83" s="660">
        <f t="shared" si="129"/>
        <v>0</v>
      </c>
      <c r="CP83" s="475" t="str">
        <f t="shared" si="130"/>
        <v/>
      </c>
      <c r="CQ83" s="161" t="str">
        <f>IF(AH83=0,0,IF(AU83=5,0,Summary!AC86))</f>
        <v/>
      </c>
      <c r="CR83" s="161" t="str">
        <f>IF(BF83=0.5,0,IF(AU83=5,0,Summary!AD86))</f>
        <v/>
      </c>
      <c r="CS83" s="161" t="str">
        <f>IF(AU83=5,0,Summary!AE86)</f>
        <v/>
      </c>
      <c r="CT83" s="161">
        <f t="shared" si="131"/>
        <v>0</v>
      </c>
      <c r="CU83" s="475" t="str">
        <f t="shared" si="132"/>
        <v/>
      </c>
      <c r="CV83" s="307">
        <f>IF('Data Entry'!$C$74=0,0,IF(AA83&lt;1,0,IF(ISERROR(CU83),0,IF(CF83=1,0,IF(AND(R83=12,BR83=50),0,IF(CL83+BO83+BV83+DC83=0,0,IF(BC83=37,0,IF(AND(BC83=40,AJ83=0),0,IF(AND(BC83=37,BO83&gt;0.01,BQ83&gt;0.01),ROUND(BQ83,0),IF(CM83&lt;0,0,ROUND(CM83,0)))))))))))</f>
        <v>0</v>
      </c>
      <c r="CW83" s="700">
        <f t="shared" si="133"/>
        <v>0</v>
      </c>
      <c r="CX83" s="477">
        <f>IF('Data Entry'!$C$74=0,0,IF(CV83&lt;0.01,0,IF(BF83=0.5,0,IF(CF83=1,0,IF(ISNUMBER(SEARCH("false",CL83)),0,IF(AZ83=500,0,CL83))))))</f>
        <v>0</v>
      </c>
      <c r="CY83" s="147" t="e">
        <f t="shared" si="134"/>
        <v>#VALUE!</v>
      </c>
      <c r="CZ83" s="147" t="b">
        <f>IF(CN83+CL83=0,FALSE,IF(AH83=0,0,IF(AND('Data Entry'!$C$74=1,CR83&gt;=1),TRUE,IF(AND('Data Entry'!$C$74=2,CS83&gt;=1),TRUE,FALSE))))</f>
        <v>0</v>
      </c>
      <c r="DA83" s="1751">
        <f>IF('Data Entry'!$C$74=0,0,IFERROR(ROUND(IF(T83="","",IF($X$4=0,0,IF(CF83=1,0,IF(BQ83+CV83=0,0,IF(CF83=1,0,IF(CY83&gt;0.01,CY83,IF(CL83&gt;0.01,CL83,IF(CY83&gt;0.01,CY83,IF(BC83=37,BO83,IF(CZ83=FALSE,0,IF(CZ83=TRUE,DC83+DF83,0))))))))))),2),""))</f>
        <v>0</v>
      </c>
      <c r="DB83" s="1752"/>
      <c r="DC83" s="474">
        <f>IF(CN83&lt;0.01,0,IF(AND(BR83=3,CN83&gt;0.01,CT83&gt;0.6,ER83+ES83+ET83&lt;100),0,IF(AND('Data Entry'!$C$74=1,CN83&gt;0.01,CR83&gt;0.99),MIN(CN83:CO83),IF(AND('Data Entry'!$C$74=2,CN83&gt;0.01,CS83&gt;0.99),MIN(CN83:CO83),0))))</f>
        <v>0</v>
      </c>
      <c r="DD83" s="478">
        <f>IF(CF83=1,"Selection does not match",IF(T83=0,0,IF(AND('Data Entry'!$C$74=0,CP83&gt;1),"Select Oregon or Idaho on Data Entry Tab",IF(AND(AU83=1,AA83&gt;0.9),"Missing Interior or Exterior Selection",IF($X$4=0,"Enter Total Project Cost",IF(AQ83&lt;AR83,"Insufficient kWh savings – no incentive",IF(AND(SUM(CL83+CK83+BV83)&gt;0.01,'Data Entry'!$C$74=2,CJ83&gt;1,BO83=0),"Submit Control as Non-Standard",IF(AND('Data Entry'!$C$74=2,BR83=37,CJ83&gt;1,BO83=0),"Submit Control as Non-Standard",IF(SUM(CL83+CK83+BV83)&gt;0.01,"Standard Incentive",IF(AND('Data Entry'!$C$74=2,CP83=7,CN83=0),"Submit as Non-Standard",IF(DC83&gt;0.9,"Non-Standard Incentive",IF(AND(BY83+BZ83+CA83&gt;0.01,BV83=0,EQ83=0,ER83=0,ES83=0,ET83=0),"Scroll Right &amp; Select Control Strategies",IF(AND(CN83&gt;0.01,CO83=0),"Enter Unit Installed Cost",IF(ISNUMBER(SEARCH("Lighting Controls Only",F83)),"Lighting Controls Only",IF(CL83+DC83=0,"Does not meet incentive criteria",0)))))))))))))))</f>
        <v>0</v>
      </c>
      <c r="DE83" s="337">
        <f t="shared" si="135"/>
        <v>0</v>
      </c>
      <c r="DF83" s="609">
        <f t="shared" si="136"/>
        <v>0</v>
      </c>
      <c r="DG83" s="336" t="str">
        <f t="shared" si="137"/>
        <v/>
      </c>
      <c r="DH83" s="338">
        <f t="shared" si="138"/>
        <v>1</v>
      </c>
      <c r="DI83" s="336" t="e">
        <f t="shared" si="90"/>
        <v>#VALUE!</v>
      </c>
      <c r="DJ83" s="338">
        <f t="shared" si="91"/>
        <v>0</v>
      </c>
      <c r="DK83" s="325" t="s">
        <v>113</v>
      </c>
      <c r="DL83" s="341">
        <v>82</v>
      </c>
      <c r="DM83" s="325" t="s">
        <v>78</v>
      </c>
      <c r="DN83" s="1439"/>
      <c r="DO83" s="1444" t="s">
        <v>1765</v>
      </c>
      <c r="DP83" s="1449"/>
      <c r="DQ83" s="1461"/>
      <c r="DR83" s="332"/>
      <c r="DS83" s="1195">
        <f t="shared" si="139"/>
        <v>0</v>
      </c>
      <c r="DT83" s="344" t="b">
        <f t="shared" si="140"/>
        <v>1</v>
      </c>
      <c r="DU83" s="1314" t="str">
        <f t="array" ref="DU83">IF(OR(COUNTIF(F83,"*"&amp;$DK$9:$DK$178&amp;"*")), "Yes", "")</f>
        <v/>
      </c>
      <c r="DV83" s="1314">
        <f t="shared" si="141"/>
        <v>0</v>
      </c>
      <c r="DW83" s="1480">
        <f t="shared" si="142"/>
        <v>0</v>
      </c>
      <c r="DX83" s="1498">
        <f t="shared" si="151"/>
        <v>0</v>
      </c>
      <c r="DY83" s="1484">
        <f t="shared" si="143"/>
        <v>0</v>
      </c>
      <c r="DZ83" s="331"/>
      <c r="EA83" s="392"/>
      <c r="EB83" s="1499" t="s">
        <v>109</v>
      </c>
      <c r="EC83" s="727" t="s">
        <v>1568</v>
      </c>
      <c r="ED83" s="728">
        <v>0.5</v>
      </c>
      <c r="EE83" s="1215"/>
      <c r="EF83" s="1215"/>
      <c r="EG83" s="1184" t="str">
        <f t="shared" si="144"/>
        <v/>
      </c>
      <c r="EH83" s="55"/>
      <c r="EI83" s="55"/>
      <c r="EJ83" s="1185">
        <f t="shared" si="92"/>
        <v>0</v>
      </c>
      <c r="EK83" s="1211"/>
      <c r="EL83" s="1180">
        <f t="shared" si="93"/>
        <v>0</v>
      </c>
      <c r="EM83" s="207"/>
      <c r="EN83" s="1038"/>
      <c r="EO83" s="1038"/>
      <c r="EP83" s="1038"/>
      <c r="EQ83" s="1038">
        <f t="shared" si="145"/>
        <v>0</v>
      </c>
      <c r="ER83" s="1041">
        <f t="shared" si="146"/>
        <v>0</v>
      </c>
      <c r="ES83" s="1042">
        <f t="shared" si="147"/>
        <v>0</v>
      </c>
      <c r="ET83" s="1042">
        <f t="shared" si="152"/>
        <v>0</v>
      </c>
      <c r="EU83" s="1021">
        <f t="shared" si="153"/>
        <v>0</v>
      </c>
      <c r="EV83" s="368"/>
      <c r="EW83" s="368"/>
      <c r="EX83" s="369"/>
      <c r="EY83" s="370"/>
      <c r="EZ83" s="370"/>
      <c r="FA83" s="371"/>
      <c r="FB83" s="372"/>
    </row>
    <row r="84" spans="1:158" ht="34.5" customHeight="1">
      <c r="A84" s="82">
        <v>76</v>
      </c>
      <c r="B84" s="1725"/>
      <c r="C84" s="1726"/>
      <c r="D84" s="1726"/>
      <c r="E84" s="1727"/>
      <c r="F84" s="1732"/>
      <c r="G84" s="1733"/>
      <c r="H84" s="1733"/>
      <c r="I84" s="1734"/>
      <c r="J84" s="1341"/>
      <c r="K84" s="1728"/>
      <c r="L84" s="1728"/>
      <c r="M84" s="1342"/>
      <c r="N84" s="1583"/>
      <c r="O84" s="208" t="str">
        <f t="shared" si="80"/>
        <v/>
      </c>
      <c r="P84" s="785"/>
      <c r="Q84" s="39" t="str">
        <f t="shared" si="81"/>
        <v/>
      </c>
      <c r="R84" s="39">
        <f t="shared" si="94"/>
        <v>0</v>
      </c>
      <c r="S84" s="234">
        <f t="shared" si="95"/>
        <v>0</v>
      </c>
      <c r="T84" s="1755"/>
      <c r="U84" s="1755"/>
      <c r="V84" s="1755"/>
      <c r="W84" s="1345"/>
      <c r="X84" s="1741"/>
      <c r="Y84" s="1742"/>
      <c r="Z84" s="1346"/>
      <c r="AA84" s="1343"/>
      <c r="AB84" s="1141"/>
      <c r="AC84" s="1103" t="str">
        <f>IF(T84="","",VLOOKUP(Z84,Lists!$A$60:$B$111,2,FALSE))</f>
        <v/>
      </c>
      <c r="AD84" s="130" t="str">
        <f t="shared" si="96"/>
        <v/>
      </c>
      <c r="AE84" s="130" t="e">
        <f t="shared" si="97"/>
        <v>#VALUE!</v>
      </c>
      <c r="AF84" s="130">
        <f t="shared" si="98"/>
        <v>1</v>
      </c>
      <c r="AG84" s="234">
        <f t="shared" si="82"/>
        <v>0</v>
      </c>
      <c r="AH84" s="1753" t="str">
        <f>IF(T84="","",(IF(ISNUMBER(SEARCH("exit",T84)),8760,IF(AND(M84="Dusk to Dawn",'Proposed Lighting'!AU84=3),4059,IF(AND(AU84=3,M84="1"),0,IF(AND(AU84=3,M84="1-C"),0,IF(AND(AU84=3,M84="2"),0,IF(AND(AU84=3,M84="2-C"),0,IF(AND(AU84=3,M84="3"),0,IF(AND(AU84=3,M84="3-C"),0,IF(AND(AU84=2,M84="Dusk to Dawn"),0,IF(AND(AU84=2,M84="Dusk to Dawn-C"),0,IF(AND(AU84=2,M84="Dusk to Dawn"),0,IF(AND(AU84=2,M84="E"),0,IF(AND(AU84=2,M84="E-C"),0,EG84)))))))))))))))</f>
        <v/>
      </c>
      <c r="AI84" s="1754"/>
      <c r="AJ84" s="1136"/>
      <c r="AK84" s="1136"/>
      <c r="AL84" s="1748">
        <f t="shared" si="99"/>
        <v>0</v>
      </c>
      <c r="AM84" s="1749"/>
      <c r="AN84" s="1750"/>
      <c r="AO84" s="476">
        <f t="shared" si="83"/>
        <v>0</v>
      </c>
      <c r="AP84" s="476">
        <f t="shared" si="100"/>
        <v>0</v>
      </c>
      <c r="AQ84" s="475">
        <f t="shared" si="84"/>
        <v>0</v>
      </c>
      <c r="AR84" s="475">
        <f t="shared" si="101"/>
        <v>0</v>
      </c>
      <c r="AS84" s="743" t="str">
        <f t="shared" si="79"/>
        <v/>
      </c>
      <c r="AT84" s="736" t="str">
        <f t="shared" si="102"/>
        <v/>
      </c>
      <c r="AU84" s="56">
        <f t="shared" si="103"/>
        <v>1</v>
      </c>
      <c r="AV84" s="476">
        <f t="shared" si="104"/>
        <v>0</v>
      </c>
      <c r="AW84" s="56">
        <f t="shared" si="105"/>
        <v>0</v>
      </c>
      <c r="AX84" s="475">
        <f t="shared" si="85"/>
        <v>0</v>
      </c>
      <c r="AY84" s="1169">
        <f t="shared" si="106"/>
        <v>0</v>
      </c>
      <c r="AZ84" s="1150">
        <f t="shared" si="148"/>
        <v>0</v>
      </c>
      <c r="BA84" s="56">
        <f t="shared" si="86"/>
        <v>0</v>
      </c>
      <c r="BB84" s="420">
        <f t="shared" si="87"/>
        <v>0</v>
      </c>
      <c r="BC84" s="58" t="str">
        <f t="shared" si="88"/>
        <v/>
      </c>
      <c r="BD84" s="660">
        <f t="shared" si="149"/>
        <v>0</v>
      </c>
      <c r="BE84" s="57" t="e">
        <f t="array" ref="BE84">INDEX($EB$11:$ED$1022,MATCH(F84&amp;T84,$EB$11:$EB$1007&amp;$EC$11:$EC$1007,0),3)</f>
        <v>#N/A</v>
      </c>
      <c r="BF84" s="463">
        <f t="shared" si="107"/>
        <v>0</v>
      </c>
      <c r="BG84" s="1445" t="e">
        <f t="array" ref="BG84">INDEX($DO$112:$DQ$123,MATCH(T84&amp;W84,$DO$114:$DO$125&amp;$DP$112:$DP$123,0),3)</f>
        <v>#N/A</v>
      </c>
      <c r="BH84" s="1446">
        <f t="shared" si="108"/>
        <v>0</v>
      </c>
      <c r="BI84" s="465">
        <f t="shared" si="109"/>
        <v>0</v>
      </c>
      <c r="BJ84" s="465">
        <f t="shared" si="110"/>
        <v>0</v>
      </c>
      <c r="BK84" s="466">
        <f t="shared" si="111"/>
        <v>0</v>
      </c>
      <c r="BL84" s="466">
        <f t="shared" si="112"/>
        <v>0</v>
      </c>
      <c r="BM84" s="466">
        <f t="shared" si="113"/>
        <v>0</v>
      </c>
      <c r="BN84" s="466">
        <f t="shared" si="114"/>
        <v>0</v>
      </c>
      <c r="BO84" s="463">
        <f>IF('Data Entry'!$C$74=0,0,IF(ISNA(CJ84),0,IF(AX84=0,0,IF(AND('Data Entry'!$C$74=2,AF84&gt;2,CE84&lt;1),0,IF(AND('Data Entry'!$C$74=2,AF84&gt;1,AU84=2,CJ84&gt;1),0,IF(AND(AF84=5,CT84=0.5,AU84=2,ER84&lt;100),0,IF(AND(AF84=5,CT84=0.5,AU84=3,ER84&lt;100),0,IF(AND('Data Entry'!$C$74=2,AF84=2,AU84=2,AK84&gt;0.01,CB84=2,CE84&lt;1),0,IF(AND('Data Entry'!$C$74=2,AF84=3,AU84=3,AK84&gt;0.01,CB84=3,CE84&lt;1),0,IF(AND('Data Entry'!$C$74=2,AF84=3,AU84=3,AK84&gt;0.01,CB84=3,CE84&gt;0.99),BQ84*0.08,IF(AND('Data Entry'!$C$74=2,AF84=2,AU84=2,AK84&gt;0.01,CB84=2,CE84&gt;0.99),BQ84*0.1,IF(AND(AU84=2,AK84&gt;0.01,CB84=2,CD84&gt;1),BQ84*0.1,IF(AND(AU84=3,AK84&gt;0.01,CB84=3,CD84&gt;1),BQ84*0.08,CJ84*EF84)))))))))))))</f>
        <v>0</v>
      </c>
      <c r="BP84" s="475">
        <f t="shared" si="115"/>
        <v>0</v>
      </c>
      <c r="BQ84" s="1431">
        <f>IF(AU84=1,0,IF(CH84=100,0,IF(AND(AF84=3,AU84=2),0,IF(AND(BH84=0,CT84&gt;0.4),0,IF(AND('Data Entry'!$C$74=2,AF84=1.5),0,IF(AND('Data Entry'!$C$74=2,AF84=1.6),0,IF(AND('Data Entry'!$C$74=2,AF84=4),0,IF(AND('Data Entry'!$C$74=2,AF84=5),0,IF(AND('Data Entry'!$C$74=2,AF84=2.5,CE84&lt;1),0,IF(AND('Data Entry'!$C$74=2,AF84=3,CE84&lt;1),0,IF(AND('Data Entry'!$C$74=1,AF84=2.5,CD84&lt;1),0,IF(AND('Data Entry'!$C$74=1,AF84=3,CD84&lt;1),0,IF(DX84&gt;0.01,DX84,IF(ISERROR(AX84-AY84),"",ROUND(AX84-AY84,2)))))))))))))))</f>
        <v>0</v>
      </c>
      <c r="BR84" s="146">
        <f t="shared" si="116"/>
        <v>0</v>
      </c>
      <c r="BS84" s="475">
        <f t="shared" si="117"/>
        <v>0</v>
      </c>
      <c r="BT84" s="146" t="b">
        <f t="shared" si="118"/>
        <v>0</v>
      </c>
      <c r="BU84" s="463">
        <f>IF(ISNA(AT84),0,IF(AND('Data Entry'!$C$74=2,BC84=27),0,IF(AND('Data Entry'!$C$74=2,BC84=28),0,IF(AND(BC84=27,BT84=27,CM84&gt;0.1),CM84*0.15,IF(AND(BC84=28,BT84=28,CM84&gt;0.1),CM84*0.12,0)))))</f>
        <v>0</v>
      </c>
      <c r="BV84" s="463">
        <f t="shared" si="78"/>
        <v>0</v>
      </c>
      <c r="BW84" s="463">
        <f t="shared" si="119"/>
        <v>0</v>
      </c>
      <c r="BX84" s="463">
        <f t="shared" si="120"/>
        <v>0</v>
      </c>
      <c r="BY84" s="463">
        <f t="shared" si="121"/>
        <v>0</v>
      </c>
      <c r="BZ84" s="463">
        <f t="shared" si="122"/>
        <v>0</v>
      </c>
      <c r="CA84" s="57">
        <f t="shared" si="150"/>
        <v>0</v>
      </c>
      <c r="CB84" s="56">
        <f t="shared" si="123"/>
        <v>1</v>
      </c>
      <c r="CC84" s="756">
        <f>IF(EE84=0,0,IF(EF84=0,0,IF(EE84&gt;AA84,0,IF(AND(AZ84&gt;AW84,AW84&gt;0),0,IF(CU84=0,0,Summary!AC387)))))</f>
        <v>0</v>
      </c>
      <c r="CD84" s="756">
        <f>IF(EE84=0,0,IF(EF84=0,0,IF(EE84&gt;AA84,0,IF(AND(AZ84&gt;AW84,AW84&gt;0),0,IF(CU84=0,0,Summary!AD387)))))</f>
        <v>0</v>
      </c>
      <c r="CE84" s="756">
        <f>IF(EF84=0,0,IF(EE84&gt;AA84,0,IF(CC84=0,0,IF(AND(AZ84&gt;AW84,AW84&gt;0),0,IF(CU84=0,0,Summary!AE387)))))</f>
        <v>0</v>
      </c>
      <c r="CF84" s="475">
        <f t="shared" si="124"/>
        <v>0</v>
      </c>
      <c r="CG84" s="476">
        <f t="shared" si="89"/>
        <v>0</v>
      </c>
      <c r="CH84" s="487">
        <f t="shared" si="125"/>
        <v>0</v>
      </c>
      <c r="CI84" s="756">
        <f t="shared" si="126"/>
        <v>0</v>
      </c>
      <c r="CJ84" s="487">
        <f>IF(CT84&gt;0.4,0,IF(AND(AU84=2,CH84=0,CT84=0.5,ER84=100),35,IF(AND(AU84=3,BB84&gt;75,CH84=0,CT84=0.5,ER84=100),25,IF(CB84&gt;1,0,IF(EF84&gt;EE84,0,IF(AND(AF84&gt;1,CH84=100),0,IF(AND(AF84=1,AY84=0),0,IF(AND(EF84&lt;=EE84,AW84&gt;=AZ84,'Data Entry'!$C$74=1,AU84=2),VLOOKUP(W84,$DO$96:$DP$102,2,FALSE),IF(AND(EF84&lt;=EE84,AW84&gt;=AZ84,AU84=3,'Data Entry'!$C$74=1),VLOOKUP(W84,$DO$127:$DP$134,2,FALSE))))))))))</f>
        <v>0</v>
      </c>
      <c r="CK84" s="716">
        <f t="shared" si="127"/>
        <v>0</v>
      </c>
      <c r="CL84" s="57">
        <f t="shared" si="128"/>
        <v>0</v>
      </c>
      <c r="CM84" s="475">
        <f t="shared" si="154"/>
        <v>0</v>
      </c>
      <c r="CN84" s="660">
        <f>IF(CM84&lt;0.1,0,IF(ISNA(AT84),0,IF(CL84+BC84=1,0,IF(BV84&gt;0.01,0,IF(CL84&gt;0.01,0,IF(CF84=1,0,IF(BC84=0.5,0,IF(AND(CI84=1,AU84=3),0,IF(AND(CI84=5,CL84=0),0,IF(AND(R84=12,BR84=50),0,IF(CK84&gt;0.01,0,IF(AND(AJ84&gt;0.01,AU84=2,BC84=15),CM84*0.1,IF(AND(AJ84&gt;0.01,AU84=3,BC84=15),CM84*0.08,IF(AND(R84=12,BC84=3,AF84&lt;=0),0,IF(AND(BC84=15,BI84=0),0,IF(AND(BC84=15,BJ84=0),0,IF(AND(R84=20,CU84=0),0,IF($X$4=0,0,IF(AND(BC84=250,CL84=0),0,IF(AA84&lt;1,0,IF(AND(ISNUMBER(SEARCH("Area",T84)),AU84=3),0,IF(AND(AQ84&gt;0.01,AR84=0,BK84=0,BL84=0,BM84=0,BN84=0),0,IF(AND(AU84=3,CI84=7,CT84&gt;0.5),0,IF(AND(BC84=44,AU84=3,BY84=0),0,IF(AND(BC84=27,'Data Entry'!$C$74=2),0,IF(AND(BC84=28,'Data Entry'!$C$74=2),0,IF(AND(BY84+BZ84+CA84&gt;0.01,BV84=0,EQ84+ER84+ES84+ET84&lt;100),0,IF(AU84=3,CM84*0.08,IF(AU84=2,CM84*0.1,0)))))))))))))))))))))))))))))</f>
        <v>0</v>
      </c>
      <c r="CO84" s="660">
        <f t="shared" si="129"/>
        <v>0</v>
      </c>
      <c r="CP84" s="475" t="str">
        <f t="shared" si="130"/>
        <v/>
      </c>
      <c r="CQ84" s="161" t="str">
        <f>IF(AH84=0,0,IF(AU84=5,0,Summary!AC87))</f>
        <v/>
      </c>
      <c r="CR84" s="161" t="str">
        <f>IF(BF84=0.5,0,IF(AU84=5,0,Summary!AD87))</f>
        <v/>
      </c>
      <c r="CS84" s="161" t="str">
        <f>IF(AU84=5,0,Summary!AE87)</f>
        <v/>
      </c>
      <c r="CT84" s="161">
        <f t="shared" si="131"/>
        <v>0</v>
      </c>
      <c r="CU84" s="475" t="str">
        <f t="shared" si="132"/>
        <v/>
      </c>
      <c r="CV84" s="307">
        <f>IF('Data Entry'!$C$74=0,0,IF(AA84&lt;1,0,IF(ISERROR(CU84),0,IF(CF84=1,0,IF(AND(R84=12,BR84=50),0,IF(CL84+BO84+BV84+DC84=0,0,IF(BC84=37,0,IF(AND(BC84=40,AJ84=0),0,IF(AND(BC84=37,BO84&gt;0.01,BQ84&gt;0.01),ROUND(BQ84,0),IF(CM84&lt;0,0,ROUND(CM84,0)))))))))))</f>
        <v>0</v>
      </c>
      <c r="CW84" s="700">
        <f t="shared" si="133"/>
        <v>0</v>
      </c>
      <c r="CX84" s="477">
        <f>IF('Data Entry'!$C$74=0,0,IF(CV84&lt;0.01,0,IF(BF84=0.5,0,IF(CF84=1,0,IF(ISNUMBER(SEARCH("false",CL84)),0,IF(AZ84=500,0,CL84))))))</f>
        <v>0</v>
      </c>
      <c r="CY84" s="147" t="e">
        <f t="shared" si="134"/>
        <v>#VALUE!</v>
      </c>
      <c r="CZ84" s="147" t="b">
        <f>IF(CN84+CL84=0,FALSE,IF(AH84=0,0,IF(AND('Data Entry'!$C$74=1,CR84&gt;=1),TRUE,IF(AND('Data Entry'!$C$74=2,CS84&gt;=1),TRUE,FALSE))))</f>
        <v>0</v>
      </c>
      <c r="DA84" s="1751">
        <f>IF('Data Entry'!$C$74=0,0,IFERROR(ROUND(IF(T84="","",IF($X$4=0,0,IF(CF84=1,0,IF(BQ84+CV84=0,0,IF(CF84=1,0,IF(CY84&gt;0.01,CY84,IF(CL84&gt;0.01,CL84,IF(CY84&gt;0.01,CY84,IF(BC84=37,BO84,IF(CZ84=FALSE,0,IF(CZ84=TRUE,DC84+DF84,0))))))))))),2),""))</f>
        <v>0</v>
      </c>
      <c r="DB84" s="1752"/>
      <c r="DC84" s="474">
        <f>IF(CN84&lt;0.01,0,IF(AND(BR84=3,CN84&gt;0.01,CT84&gt;0.6,ER84+ES84+ET84&lt;100),0,IF(AND('Data Entry'!$C$74=1,CN84&gt;0.01,CR84&gt;0.99),MIN(CN84:CO84),IF(AND('Data Entry'!$C$74=2,CN84&gt;0.01,CS84&gt;0.99),MIN(CN84:CO84),0))))</f>
        <v>0</v>
      </c>
      <c r="DD84" s="478">
        <f>IF(CF84=1,"Selection does not match",IF(T84=0,0,IF(AND('Data Entry'!$C$74=0,CP84&gt;1),"Select Oregon or Idaho on Data Entry Tab",IF(AND(AU84=1,AA84&gt;0.9),"Missing Interior or Exterior Selection",IF($X$4=0,"Enter Total Project Cost",IF(AQ84&lt;AR84,"Insufficient kWh savings – no incentive",IF(AND(SUM(CL84+CK84+BV84)&gt;0.01,'Data Entry'!$C$74=2,CJ84&gt;1,BO84=0),"Submit Control as Non-Standard",IF(AND('Data Entry'!$C$74=2,BR84=37,CJ84&gt;1,BO84=0),"Submit Control as Non-Standard",IF(SUM(CL84+CK84+BV84)&gt;0.01,"Standard Incentive",IF(AND('Data Entry'!$C$74=2,CP84=7,CN84=0),"Submit as Non-Standard",IF(DC84&gt;0.9,"Non-Standard Incentive",IF(AND(BY84+BZ84+CA84&gt;0.01,BV84=0,EQ84=0,ER84=0,ES84=0,ET84=0),"Scroll Right &amp; Select Control Strategies",IF(AND(CN84&gt;0.01,CO84=0),"Enter Unit Installed Cost",IF(ISNUMBER(SEARCH("Lighting Controls Only",F84)),"Lighting Controls Only",IF(CL84+DC84=0,"Does not meet incentive criteria",0)))))))))))))))</f>
        <v>0</v>
      </c>
      <c r="DE84" s="337">
        <f t="shared" si="135"/>
        <v>0</v>
      </c>
      <c r="DF84" s="609">
        <f t="shared" si="136"/>
        <v>0</v>
      </c>
      <c r="DG84" s="336" t="str">
        <f t="shared" si="137"/>
        <v/>
      </c>
      <c r="DH84" s="338">
        <f t="shared" si="138"/>
        <v>1</v>
      </c>
      <c r="DI84" s="336" t="e">
        <f t="shared" si="90"/>
        <v>#VALUE!</v>
      </c>
      <c r="DJ84" s="338">
        <f t="shared" si="91"/>
        <v>0</v>
      </c>
      <c r="DK84" s="325" t="s">
        <v>1290</v>
      </c>
      <c r="DL84" s="341">
        <v>85</v>
      </c>
      <c r="DM84" s="325" t="s">
        <v>79</v>
      </c>
      <c r="DN84" s="1439"/>
      <c r="DO84" s="1444" t="s">
        <v>1781</v>
      </c>
      <c r="DP84" s="1333"/>
      <c r="DQ84" s="1461"/>
      <c r="DR84" s="332"/>
      <c r="DS84" s="1195">
        <f t="shared" si="139"/>
        <v>0</v>
      </c>
      <c r="DT84" s="344" t="b">
        <f t="shared" si="140"/>
        <v>1</v>
      </c>
      <c r="DU84" s="1314" t="str">
        <f t="array" ref="DU84">IF(OR(COUNTIF(F84,"*"&amp;$DK$9:$DK$178&amp;"*")), "Yes", "")</f>
        <v/>
      </c>
      <c r="DV84" s="1314">
        <f t="shared" si="141"/>
        <v>0</v>
      </c>
      <c r="DW84" s="1480">
        <f t="shared" si="142"/>
        <v>0</v>
      </c>
      <c r="DX84" s="1498">
        <f t="shared" si="151"/>
        <v>0</v>
      </c>
      <c r="DY84" s="1484">
        <f t="shared" si="143"/>
        <v>0</v>
      </c>
      <c r="DZ84" s="331"/>
      <c r="EA84" s="392"/>
      <c r="EB84" s="1499" t="s">
        <v>110</v>
      </c>
      <c r="EC84" s="727" t="s">
        <v>1568</v>
      </c>
      <c r="ED84" s="728">
        <v>0.5</v>
      </c>
      <c r="EE84" s="1215"/>
      <c r="EF84" s="1215"/>
      <c r="EG84" s="1184" t="str">
        <f t="shared" si="144"/>
        <v/>
      </c>
      <c r="EH84" s="55"/>
      <c r="EI84" s="55"/>
      <c r="EJ84" s="1185">
        <f t="shared" si="92"/>
        <v>0</v>
      </c>
      <c r="EK84" s="1211"/>
      <c r="EL84" s="1180">
        <f t="shared" si="93"/>
        <v>0</v>
      </c>
      <c r="EM84" s="207"/>
      <c r="EN84" s="1038"/>
      <c r="EO84" s="1038"/>
      <c r="EP84" s="1038"/>
      <c r="EQ84" s="1038">
        <f t="shared" si="145"/>
        <v>0</v>
      </c>
      <c r="ER84" s="1041">
        <f t="shared" si="146"/>
        <v>0</v>
      </c>
      <c r="ES84" s="1042">
        <f t="shared" si="147"/>
        <v>0</v>
      </c>
      <c r="ET84" s="1042">
        <f t="shared" si="152"/>
        <v>0</v>
      </c>
      <c r="EU84" s="1021">
        <f t="shared" si="153"/>
        <v>0</v>
      </c>
      <c r="EV84" s="368"/>
      <c r="EW84" s="368"/>
      <c r="EX84" s="369"/>
      <c r="EY84" s="370"/>
      <c r="EZ84" s="370"/>
      <c r="FA84" s="371"/>
      <c r="FB84" s="372"/>
    </row>
    <row r="85" spans="1:158" ht="34.5" customHeight="1">
      <c r="A85" s="82">
        <v>77</v>
      </c>
      <c r="B85" s="1725"/>
      <c r="C85" s="1726"/>
      <c r="D85" s="1726"/>
      <c r="E85" s="1727"/>
      <c r="F85" s="1732"/>
      <c r="G85" s="1733"/>
      <c r="H85" s="1733"/>
      <c r="I85" s="1734"/>
      <c r="J85" s="1341"/>
      <c r="K85" s="1728"/>
      <c r="L85" s="1728"/>
      <c r="M85" s="1342"/>
      <c r="N85" s="1583"/>
      <c r="O85" s="208" t="str">
        <f t="shared" si="80"/>
        <v/>
      </c>
      <c r="P85" s="785"/>
      <c r="Q85" s="39" t="str">
        <f t="shared" si="81"/>
        <v/>
      </c>
      <c r="R85" s="39">
        <f t="shared" si="94"/>
        <v>0</v>
      </c>
      <c r="S85" s="234">
        <f t="shared" si="95"/>
        <v>0</v>
      </c>
      <c r="T85" s="1755"/>
      <c r="U85" s="1755"/>
      <c r="V85" s="1755"/>
      <c r="W85" s="1345"/>
      <c r="X85" s="1741"/>
      <c r="Y85" s="1742"/>
      <c r="Z85" s="1346"/>
      <c r="AA85" s="1343"/>
      <c r="AB85" s="1141"/>
      <c r="AC85" s="1103" t="str">
        <f>IF(T85="","",VLOOKUP(Z85,Lists!$A$60:$B$111,2,FALSE))</f>
        <v/>
      </c>
      <c r="AD85" s="130" t="str">
        <f t="shared" si="96"/>
        <v/>
      </c>
      <c r="AE85" s="130" t="e">
        <f t="shared" si="97"/>
        <v>#VALUE!</v>
      </c>
      <c r="AF85" s="130">
        <f t="shared" si="98"/>
        <v>1</v>
      </c>
      <c r="AG85" s="234">
        <f t="shared" si="82"/>
        <v>0</v>
      </c>
      <c r="AH85" s="1753" t="str">
        <f>IF(T85="","",(IF(ISNUMBER(SEARCH("exit",T85)),8760,IF(AND(M85="Dusk to Dawn",'Proposed Lighting'!AU85=3),4059,IF(AND(AU85=3,M85="1"),0,IF(AND(AU85=3,M85="1-C"),0,IF(AND(AU85=3,M85="2"),0,IF(AND(AU85=3,M85="2-C"),0,IF(AND(AU85=3,M85="3"),0,IF(AND(AU85=3,M85="3-C"),0,IF(AND(AU85=2,M85="Dusk to Dawn"),0,IF(AND(AU85=2,M85="Dusk to Dawn-C"),0,IF(AND(AU85=2,M85="Dusk to Dawn"),0,IF(AND(AU85=2,M85="E"),0,IF(AND(AU85=2,M85="E-C"),0,EG85)))))))))))))))</f>
        <v/>
      </c>
      <c r="AI85" s="1754"/>
      <c r="AJ85" s="1136"/>
      <c r="AK85" s="1136"/>
      <c r="AL85" s="1748">
        <f t="shared" si="99"/>
        <v>0</v>
      </c>
      <c r="AM85" s="1749"/>
      <c r="AN85" s="1750"/>
      <c r="AO85" s="476">
        <f t="shared" si="83"/>
        <v>0</v>
      </c>
      <c r="AP85" s="476">
        <f t="shared" si="100"/>
        <v>0</v>
      </c>
      <c r="AQ85" s="475">
        <f t="shared" si="84"/>
        <v>0</v>
      </c>
      <c r="AR85" s="475">
        <f t="shared" si="101"/>
        <v>0</v>
      </c>
      <c r="AS85" s="743" t="str">
        <f t="shared" si="79"/>
        <v/>
      </c>
      <c r="AT85" s="736" t="str">
        <f t="shared" si="102"/>
        <v/>
      </c>
      <c r="AU85" s="56">
        <f t="shared" si="103"/>
        <v>1</v>
      </c>
      <c r="AV85" s="476">
        <f t="shared" si="104"/>
        <v>0</v>
      </c>
      <c r="AW85" s="56">
        <f t="shared" si="105"/>
        <v>0</v>
      </c>
      <c r="AX85" s="475">
        <f t="shared" si="85"/>
        <v>0</v>
      </c>
      <c r="AY85" s="1169">
        <f t="shared" si="106"/>
        <v>0</v>
      </c>
      <c r="AZ85" s="1150">
        <f t="shared" si="148"/>
        <v>0</v>
      </c>
      <c r="BA85" s="56">
        <f t="shared" si="86"/>
        <v>0</v>
      </c>
      <c r="BB85" s="420">
        <f t="shared" si="87"/>
        <v>0</v>
      </c>
      <c r="BC85" s="58" t="str">
        <f t="shared" si="88"/>
        <v/>
      </c>
      <c r="BD85" s="660">
        <f t="shared" si="149"/>
        <v>0</v>
      </c>
      <c r="BE85" s="57" t="e">
        <f t="array" ref="BE85">INDEX($EB$11:$ED$1022,MATCH(F85&amp;T85,$EB$11:$EB$1007&amp;$EC$11:$EC$1007,0),3)</f>
        <v>#N/A</v>
      </c>
      <c r="BF85" s="463">
        <f t="shared" si="107"/>
        <v>0</v>
      </c>
      <c r="BG85" s="1445" t="e">
        <f t="array" ref="BG85">INDEX($DO$112:$DQ$123,MATCH(T85&amp;W85,$DO$114:$DO$125&amp;$DP$112:$DP$123,0),3)</f>
        <v>#N/A</v>
      </c>
      <c r="BH85" s="1446">
        <f t="shared" si="108"/>
        <v>0</v>
      </c>
      <c r="BI85" s="465">
        <f t="shared" si="109"/>
        <v>0</v>
      </c>
      <c r="BJ85" s="465">
        <f t="shared" si="110"/>
        <v>0</v>
      </c>
      <c r="BK85" s="466">
        <f t="shared" si="111"/>
        <v>0</v>
      </c>
      <c r="BL85" s="466">
        <f t="shared" si="112"/>
        <v>0</v>
      </c>
      <c r="BM85" s="466">
        <f t="shared" si="113"/>
        <v>0</v>
      </c>
      <c r="BN85" s="466">
        <f t="shared" si="114"/>
        <v>0</v>
      </c>
      <c r="BO85" s="463">
        <f>IF('Data Entry'!$C$74=0,0,IF(ISNA(CJ85),0,IF(AX85=0,0,IF(AND('Data Entry'!$C$74=2,AF85&gt;2,CE85&lt;1),0,IF(AND('Data Entry'!$C$74=2,AF85&gt;1,AU85=2,CJ85&gt;1),0,IF(AND(AF85=5,CT85=0.5,AU85=2,ER85&lt;100),0,IF(AND(AF85=5,CT85=0.5,AU85=3,ER85&lt;100),0,IF(AND('Data Entry'!$C$74=2,AF85=2,AU85=2,AK85&gt;0.01,CB85=2,CE85&lt;1),0,IF(AND('Data Entry'!$C$74=2,AF85=3,AU85=3,AK85&gt;0.01,CB85=3,CE85&lt;1),0,IF(AND('Data Entry'!$C$74=2,AF85=3,AU85=3,AK85&gt;0.01,CB85=3,CE85&gt;0.99),BQ85*0.08,IF(AND('Data Entry'!$C$74=2,AF85=2,AU85=2,AK85&gt;0.01,CB85=2,CE85&gt;0.99),BQ85*0.1,IF(AND(AU85=2,AK85&gt;0.01,CB85=2,CD85&gt;1),BQ85*0.1,IF(AND(AU85=3,AK85&gt;0.01,CB85=3,CD85&gt;1),BQ85*0.08,CJ85*EF85)))))))))))))</f>
        <v>0</v>
      </c>
      <c r="BP85" s="475">
        <f t="shared" si="115"/>
        <v>0</v>
      </c>
      <c r="BQ85" s="1431">
        <f>IF(AU85=1,0,IF(CH85=100,0,IF(AND(AF85=3,AU85=2),0,IF(AND(BH85=0,CT85&gt;0.4),0,IF(AND('Data Entry'!$C$74=2,AF85=1.5),0,IF(AND('Data Entry'!$C$74=2,AF85=1.6),0,IF(AND('Data Entry'!$C$74=2,AF85=4),0,IF(AND('Data Entry'!$C$74=2,AF85=5),0,IF(AND('Data Entry'!$C$74=2,AF85=2.5,CE85&lt;1),0,IF(AND('Data Entry'!$C$74=2,AF85=3,CE85&lt;1),0,IF(AND('Data Entry'!$C$74=1,AF85=2.5,CD85&lt;1),0,IF(AND('Data Entry'!$C$74=1,AF85=3,CD85&lt;1),0,IF(DX85&gt;0.01,DX85,IF(ISERROR(AX85-AY85),"",ROUND(AX85-AY85,2)))))))))))))))</f>
        <v>0</v>
      </c>
      <c r="BR85" s="146">
        <f t="shared" si="116"/>
        <v>0</v>
      </c>
      <c r="BS85" s="475">
        <f t="shared" si="117"/>
        <v>0</v>
      </c>
      <c r="BT85" s="146" t="b">
        <f t="shared" si="118"/>
        <v>0</v>
      </c>
      <c r="BU85" s="463">
        <f>IF(ISNA(AT85),0,IF(AND('Data Entry'!$C$74=2,BC85=27),0,IF(AND('Data Entry'!$C$74=2,BC85=28),0,IF(AND(BC85=27,BT85=27,CM85&gt;0.1),CM85*0.15,IF(AND(BC85=28,BT85=28,CM85&gt;0.1),CM85*0.12,0)))))</f>
        <v>0</v>
      </c>
      <c r="BV85" s="463">
        <f t="shared" si="78"/>
        <v>0</v>
      </c>
      <c r="BW85" s="463">
        <f t="shared" si="119"/>
        <v>0</v>
      </c>
      <c r="BX85" s="463">
        <f t="shared" si="120"/>
        <v>0</v>
      </c>
      <c r="BY85" s="463">
        <f t="shared" si="121"/>
        <v>0</v>
      </c>
      <c r="BZ85" s="463">
        <f t="shared" si="122"/>
        <v>0</v>
      </c>
      <c r="CA85" s="57">
        <f t="shared" si="150"/>
        <v>0</v>
      </c>
      <c r="CB85" s="56">
        <f t="shared" si="123"/>
        <v>1</v>
      </c>
      <c r="CC85" s="756">
        <f>IF(EE85=0,0,IF(EF85=0,0,IF(EE85&gt;AA85,0,IF(AND(AZ85&gt;AW85,AW85&gt;0),0,IF(CU85=0,0,Summary!AC388)))))</f>
        <v>0</v>
      </c>
      <c r="CD85" s="756">
        <f>IF(EE85=0,0,IF(EF85=0,0,IF(EE85&gt;AA85,0,IF(AND(AZ85&gt;AW85,AW85&gt;0),0,IF(CU85=0,0,Summary!AD388)))))</f>
        <v>0</v>
      </c>
      <c r="CE85" s="756">
        <f>IF(EF85=0,0,IF(EE85&gt;AA85,0,IF(CC85=0,0,IF(AND(AZ85&gt;AW85,AW85&gt;0),0,IF(CU85=0,0,Summary!AE388)))))</f>
        <v>0</v>
      </c>
      <c r="CF85" s="475">
        <f t="shared" si="124"/>
        <v>0</v>
      </c>
      <c r="CG85" s="476">
        <f t="shared" si="89"/>
        <v>0</v>
      </c>
      <c r="CH85" s="487">
        <f t="shared" si="125"/>
        <v>0</v>
      </c>
      <c r="CI85" s="756">
        <f t="shared" si="126"/>
        <v>0</v>
      </c>
      <c r="CJ85" s="487">
        <f>IF(CT85&gt;0.4,0,IF(AND(AU85=2,CH85=0,CT85=0.5,ER85=100),35,IF(AND(AU85=3,BB85&gt;75,CH85=0,CT85=0.5,ER85=100),25,IF(CB85&gt;1,0,IF(EF85&gt;EE85,0,IF(AND(AF85&gt;1,CH85=100),0,IF(AND(AF85=1,AY85=0),0,IF(AND(EF85&lt;=EE85,AW85&gt;=AZ85,'Data Entry'!$C$74=1,AU85=2),VLOOKUP(W85,$DO$96:$DP$102,2,FALSE),IF(AND(EF85&lt;=EE85,AW85&gt;=AZ85,AU85=3,'Data Entry'!$C$74=1),VLOOKUP(W85,$DO$127:$DP$134,2,FALSE))))))))))</f>
        <v>0</v>
      </c>
      <c r="CK85" s="716">
        <f t="shared" si="127"/>
        <v>0</v>
      </c>
      <c r="CL85" s="57">
        <f t="shared" si="128"/>
        <v>0</v>
      </c>
      <c r="CM85" s="475">
        <f t="shared" si="154"/>
        <v>0</v>
      </c>
      <c r="CN85" s="660">
        <f>IF(CM85&lt;0.1,0,IF(ISNA(AT85),0,IF(CL85+BC85=1,0,IF(BV85&gt;0.01,0,IF(CL85&gt;0.01,0,IF(CF85=1,0,IF(BC85=0.5,0,IF(AND(CI85=1,AU85=3),0,IF(AND(CI85=5,CL85=0),0,IF(AND(R85=12,BR85=50),0,IF(CK85&gt;0.01,0,IF(AND(AJ85&gt;0.01,AU85=2,BC85=15),CM85*0.1,IF(AND(AJ85&gt;0.01,AU85=3,BC85=15),CM85*0.08,IF(AND(R85=12,BC85=3,AF85&lt;=0),0,IF(AND(BC85=15,BI85=0),0,IF(AND(BC85=15,BJ85=0),0,IF(AND(R85=20,CU85=0),0,IF($X$4=0,0,IF(AND(BC85=250,CL85=0),0,IF(AA85&lt;1,0,IF(AND(ISNUMBER(SEARCH("Area",T85)),AU85=3),0,IF(AND(AQ85&gt;0.01,AR85=0,BK85=0,BL85=0,BM85=0,BN85=0),0,IF(AND(AU85=3,CI85=7,CT85&gt;0.5),0,IF(AND(BC85=44,AU85=3,BY85=0),0,IF(AND(BC85=27,'Data Entry'!$C$74=2),0,IF(AND(BC85=28,'Data Entry'!$C$74=2),0,IF(AND(BY85+BZ85+CA85&gt;0.01,BV85=0,EQ85+ER85+ES85+ET85&lt;100),0,IF(AU85=3,CM85*0.08,IF(AU85=2,CM85*0.1,0)))))))))))))))))))))))))))))</f>
        <v>0</v>
      </c>
      <c r="CO85" s="660">
        <f t="shared" si="129"/>
        <v>0</v>
      </c>
      <c r="CP85" s="475" t="str">
        <f t="shared" si="130"/>
        <v/>
      </c>
      <c r="CQ85" s="161" t="str">
        <f>IF(AH85=0,0,IF(AU85=5,0,Summary!AC88))</f>
        <v/>
      </c>
      <c r="CR85" s="161" t="str">
        <f>IF(BF85=0.5,0,IF(AU85=5,0,Summary!AD88))</f>
        <v/>
      </c>
      <c r="CS85" s="161" t="str">
        <f>IF(AU85=5,0,Summary!AE88)</f>
        <v/>
      </c>
      <c r="CT85" s="161">
        <f t="shared" si="131"/>
        <v>0</v>
      </c>
      <c r="CU85" s="475" t="str">
        <f t="shared" si="132"/>
        <v/>
      </c>
      <c r="CV85" s="307">
        <f>IF('Data Entry'!$C$74=0,0,IF(AA85&lt;1,0,IF(ISERROR(CU85),0,IF(CF85=1,0,IF(AND(R85=12,BR85=50),0,IF(CL85+BO85+BV85+DC85=0,0,IF(BC85=37,0,IF(AND(BC85=40,AJ85=0),0,IF(AND(BC85=37,BO85&gt;0.01,BQ85&gt;0.01),ROUND(BQ85,0),IF(CM85&lt;0,0,ROUND(CM85,0)))))))))))</f>
        <v>0</v>
      </c>
      <c r="CW85" s="700">
        <f t="shared" si="133"/>
        <v>0</v>
      </c>
      <c r="CX85" s="477">
        <f>IF('Data Entry'!$C$74=0,0,IF(CV85&lt;0.01,0,IF(BF85=0.5,0,IF(CF85=1,0,IF(ISNUMBER(SEARCH("false",CL85)),0,IF(AZ85=500,0,CL85))))))</f>
        <v>0</v>
      </c>
      <c r="CY85" s="147" t="e">
        <f t="shared" si="134"/>
        <v>#VALUE!</v>
      </c>
      <c r="CZ85" s="147" t="b">
        <f>IF(CN85+CL85=0,FALSE,IF(AH85=0,0,IF(AND('Data Entry'!$C$74=1,CR85&gt;=1),TRUE,IF(AND('Data Entry'!$C$74=2,CS85&gt;=1),TRUE,FALSE))))</f>
        <v>0</v>
      </c>
      <c r="DA85" s="1751">
        <f>IF('Data Entry'!$C$74=0,0,IFERROR(ROUND(IF(T85="","",IF($X$4=0,0,IF(CF85=1,0,IF(BQ85+CV85=0,0,IF(CF85=1,0,IF(CY85&gt;0.01,CY85,IF(CL85&gt;0.01,CL85,IF(CY85&gt;0.01,CY85,IF(BC85=37,BO85,IF(CZ85=FALSE,0,IF(CZ85=TRUE,DC85+DF85,0))))))))))),2),""))</f>
        <v>0</v>
      </c>
      <c r="DB85" s="1752"/>
      <c r="DC85" s="474">
        <f>IF(CN85&lt;0.01,0,IF(AND(BR85=3,CN85&gt;0.01,CT85&gt;0.6,ER85+ES85+ET85&lt;100),0,IF(AND('Data Entry'!$C$74=1,CN85&gt;0.01,CR85&gt;0.99),MIN(CN85:CO85),IF(AND('Data Entry'!$C$74=2,CN85&gt;0.01,CS85&gt;0.99),MIN(CN85:CO85),0))))</f>
        <v>0</v>
      </c>
      <c r="DD85" s="478">
        <f>IF(CF85=1,"Selection does not match",IF(T85=0,0,IF(AND('Data Entry'!$C$74=0,CP85&gt;1),"Select Oregon or Idaho on Data Entry Tab",IF(AND(AU85=1,AA85&gt;0.9),"Missing Interior or Exterior Selection",IF($X$4=0,"Enter Total Project Cost",IF(AQ85&lt;AR85,"Insufficient kWh savings – no incentive",IF(AND(SUM(CL85+CK85+BV85)&gt;0.01,'Data Entry'!$C$74=2,CJ85&gt;1,BO85=0),"Submit Control as Non-Standard",IF(AND('Data Entry'!$C$74=2,BR85=37,CJ85&gt;1,BO85=0),"Submit Control as Non-Standard",IF(SUM(CL85+CK85+BV85)&gt;0.01,"Standard Incentive",IF(AND('Data Entry'!$C$74=2,CP85=7,CN85=0),"Submit as Non-Standard",IF(DC85&gt;0.9,"Non-Standard Incentive",IF(AND(BY85+BZ85+CA85&gt;0.01,BV85=0,EQ85=0,ER85=0,ES85=0,ET85=0),"Scroll Right &amp; Select Control Strategies",IF(AND(CN85&gt;0.01,CO85=0),"Enter Unit Installed Cost",IF(ISNUMBER(SEARCH("Lighting Controls Only",F85)),"Lighting Controls Only",IF(CL85+DC85=0,"Does not meet incentive criteria",0)))))))))))))))</f>
        <v>0</v>
      </c>
      <c r="DE85" s="337">
        <f t="shared" si="135"/>
        <v>0</v>
      </c>
      <c r="DF85" s="609">
        <f t="shared" si="136"/>
        <v>0</v>
      </c>
      <c r="DG85" s="336" t="str">
        <f t="shared" si="137"/>
        <v/>
      </c>
      <c r="DH85" s="338">
        <f t="shared" si="138"/>
        <v>1</v>
      </c>
      <c r="DI85" s="336" t="e">
        <f t="shared" si="90"/>
        <v>#VALUE!</v>
      </c>
      <c r="DJ85" s="338">
        <f t="shared" si="91"/>
        <v>0</v>
      </c>
      <c r="DK85" s="325" t="s">
        <v>1291</v>
      </c>
      <c r="DL85" s="341">
        <v>145</v>
      </c>
      <c r="DM85" s="325" t="s">
        <v>80</v>
      </c>
      <c r="DN85" s="1439"/>
      <c r="DO85" s="1444" t="s">
        <v>1782</v>
      </c>
      <c r="DP85" s="1333"/>
      <c r="DQ85" s="1461"/>
      <c r="DR85" s="332"/>
      <c r="DS85" s="1195">
        <f t="shared" si="139"/>
        <v>0</v>
      </c>
      <c r="DT85" s="344" t="b">
        <f t="shared" si="140"/>
        <v>1</v>
      </c>
      <c r="DU85" s="1314" t="str">
        <f t="array" ref="DU85">IF(OR(COUNTIF(F85,"*"&amp;$DK$9:$DK$178&amp;"*")), "Yes", "")</f>
        <v/>
      </c>
      <c r="DV85" s="1314">
        <f t="shared" si="141"/>
        <v>0</v>
      </c>
      <c r="DW85" s="1480">
        <f t="shared" si="142"/>
        <v>0</v>
      </c>
      <c r="DX85" s="1498">
        <f t="shared" si="151"/>
        <v>0</v>
      </c>
      <c r="DY85" s="1484">
        <f t="shared" si="143"/>
        <v>0</v>
      </c>
      <c r="DZ85" s="331"/>
      <c r="EA85" s="392"/>
      <c r="EB85" s="1499" t="s">
        <v>111</v>
      </c>
      <c r="EC85" s="727" t="s">
        <v>1568</v>
      </c>
      <c r="ED85" s="728">
        <v>0.5</v>
      </c>
      <c r="EE85" s="1215"/>
      <c r="EF85" s="1215"/>
      <c r="EG85" s="1184" t="str">
        <f t="shared" si="144"/>
        <v/>
      </c>
      <c r="EH85" s="55"/>
      <c r="EI85" s="55"/>
      <c r="EJ85" s="1185">
        <f t="shared" si="92"/>
        <v>0</v>
      </c>
      <c r="EK85" s="1211"/>
      <c r="EL85" s="1180">
        <f t="shared" si="93"/>
        <v>0</v>
      </c>
      <c r="EM85" s="207"/>
      <c r="EN85" s="1038"/>
      <c r="EO85" s="1038"/>
      <c r="EP85" s="1038"/>
      <c r="EQ85" s="1038">
        <f t="shared" si="145"/>
        <v>0</v>
      </c>
      <c r="ER85" s="1041">
        <f t="shared" si="146"/>
        <v>0</v>
      </c>
      <c r="ES85" s="1042">
        <f t="shared" si="147"/>
        <v>0</v>
      </c>
      <c r="ET85" s="1042">
        <f t="shared" si="152"/>
        <v>0</v>
      </c>
      <c r="EU85" s="1021">
        <f t="shared" si="153"/>
        <v>0</v>
      </c>
      <c r="EV85" s="368"/>
      <c r="EW85" s="368"/>
      <c r="EX85" s="369"/>
      <c r="EY85" s="370"/>
      <c r="EZ85" s="370"/>
      <c r="FA85" s="371"/>
      <c r="FB85" s="372"/>
    </row>
    <row r="86" spans="1:158" ht="34.5" customHeight="1">
      <c r="A86" s="82">
        <v>78</v>
      </c>
      <c r="B86" s="1725"/>
      <c r="C86" s="1726"/>
      <c r="D86" s="1726"/>
      <c r="E86" s="1727"/>
      <c r="F86" s="1732"/>
      <c r="G86" s="1733"/>
      <c r="H86" s="1733"/>
      <c r="I86" s="1734"/>
      <c r="J86" s="1341"/>
      <c r="K86" s="1728"/>
      <c r="L86" s="1728"/>
      <c r="M86" s="1342"/>
      <c r="N86" s="1583"/>
      <c r="O86" s="208" t="str">
        <f t="shared" si="80"/>
        <v/>
      </c>
      <c r="P86" s="785"/>
      <c r="Q86" s="39" t="str">
        <f t="shared" si="81"/>
        <v/>
      </c>
      <c r="R86" s="39">
        <f t="shared" si="94"/>
        <v>0</v>
      </c>
      <c r="S86" s="234">
        <f t="shared" si="95"/>
        <v>0</v>
      </c>
      <c r="T86" s="1755"/>
      <c r="U86" s="1755"/>
      <c r="V86" s="1755"/>
      <c r="W86" s="1345"/>
      <c r="X86" s="1741"/>
      <c r="Y86" s="1742"/>
      <c r="Z86" s="1346"/>
      <c r="AA86" s="1343"/>
      <c r="AB86" s="1141"/>
      <c r="AC86" s="1103" t="str">
        <f>IF(T86="","",VLOOKUP(Z86,Lists!$A$60:$B$111,2,FALSE))</f>
        <v/>
      </c>
      <c r="AD86" s="130" t="str">
        <f t="shared" si="96"/>
        <v/>
      </c>
      <c r="AE86" s="130" t="e">
        <f t="shared" si="97"/>
        <v>#VALUE!</v>
      </c>
      <c r="AF86" s="130">
        <f t="shared" si="98"/>
        <v>1</v>
      </c>
      <c r="AG86" s="234">
        <f t="shared" si="82"/>
        <v>0</v>
      </c>
      <c r="AH86" s="1753" t="str">
        <f>IF(T86="","",(IF(ISNUMBER(SEARCH("exit",T86)),8760,IF(AND(M86="Dusk to Dawn",'Proposed Lighting'!AU86=3),4059,IF(AND(AU86=3,M86="1"),0,IF(AND(AU86=3,M86="1-C"),0,IF(AND(AU86=3,M86="2"),0,IF(AND(AU86=3,M86="2-C"),0,IF(AND(AU86=3,M86="3"),0,IF(AND(AU86=3,M86="3-C"),0,IF(AND(AU86=2,M86="Dusk to Dawn"),0,IF(AND(AU86=2,M86="Dusk to Dawn-C"),0,IF(AND(AU86=2,M86="Dusk to Dawn"),0,IF(AND(AU86=2,M86="E"),0,IF(AND(AU86=2,M86="E-C"),0,EG86)))))))))))))))</f>
        <v/>
      </c>
      <c r="AI86" s="1754"/>
      <c r="AJ86" s="1136"/>
      <c r="AK86" s="1136"/>
      <c r="AL86" s="1748">
        <f t="shared" si="99"/>
        <v>0</v>
      </c>
      <c r="AM86" s="1749"/>
      <c r="AN86" s="1750"/>
      <c r="AO86" s="476">
        <f t="shared" si="83"/>
        <v>0</v>
      </c>
      <c r="AP86" s="476">
        <f t="shared" si="100"/>
        <v>0</v>
      </c>
      <c r="AQ86" s="475">
        <f t="shared" si="84"/>
        <v>0</v>
      </c>
      <c r="AR86" s="475">
        <f t="shared" si="101"/>
        <v>0</v>
      </c>
      <c r="AS86" s="743" t="str">
        <f t="shared" si="79"/>
        <v/>
      </c>
      <c r="AT86" s="736" t="str">
        <f t="shared" si="102"/>
        <v/>
      </c>
      <c r="AU86" s="56">
        <f t="shared" si="103"/>
        <v>1</v>
      </c>
      <c r="AV86" s="476">
        <f t="shared" si="104"/>
        <v>0</v>
      </c>
      <c r="AW86" s="56">
        <f t="shared" si="105"/>
        <v>0</v>
      </c>
      <c r="AX86" s="475">
        <f t="shared" si="85"/>
        <v>0</v>
      </c>
      <c r="AY86" s="1169">
        <f t="shared" si="106"/>
        <v>0</v>
      </c>
      <c r="AZ86" s="1150">
        <f t="shared" si="148"/>
        <v>0</v>
      </c>
      <c r="BA86" s="56">
        <f t="shared" si="86"/>
        <v>0</v>
      </c>
      <c r="BB86" s="420">
        <f t="shared" si="87"/>
        <v>0</v>
      </c>
      <c r="BC86" s="58" t="str">
        <f t="shared" si="88"/>
        <v/>
      </c>
      <c r="BD86" s="660">
        <f t="shared" si="149"/>
        <v>0</v>
      </c>
      <c r="BE86" s="57" t="e">
        <f t="array" ref="BE86">INDEX($EB$11:$ED$1022,MATCH(F86&amp;T86,$EB$11:$EB$1007&amp;$EC$11:$EC$1007,0),3)</f>
        <v>#N/A</v>
      </c>
      <c r="BF86" s="463">
        <f t="shared" si="107"/>
        <v>0</v>
      </c>
      <c r="BG86" s="1445" t="e">
        <f t="array" ref="BG86">INDEX($DO$112:$DQ$123,MATCH(T86&amp;W86,$DO$114:$DO$125&amp;$DP$112:$DP$123,0),3)</f>
        <v>#N/A</v>
      </c>
      <c r="BH86" s="1446">
        <f t="shared" si="108"/>
        <v>0</v>
      </c>
      <c r="BI86" s="465">
        <f t="shared" si="109"/>
        <v>0</v>
      </c>
      <c r="BJ86" s="465">
        <f t="shared" si="110"/>
        <v>0</v>
      </c>
      <c r="BK86" s="466">
        <f t="shared" si="111"/>
        <v>0</v>
      </c>
      <c r="BL86" s="466">
        <f t="shared" si="112"/>
        <v>0</v>
      </c>
      <c r="BM86" s="466">
        <f t="shared" si="113"/>
        <v>0</v>
      </c>
      <c r="BN86" s="466">
        <f t="shared" si="114"/>
        <v>0</v>
      </c>
      <c r="BO86" s="463">
        <f>IF('Data Entry'!$C$74=0,0,IF(ISNA(CJ86),0,IF(AX86=0,0,IF(AND('Data Entry'!$C$74=2,AF86&gt;2,CE86&lt;1),0,IF(AND('Data Entry'!$C$74=2,AF86&gt;1,AU86=2,CJ86&gt;1),0,IF(AND(AF86=5,CT86=0.5,AU86=2,ER86&lt;100),0,IF(AND(AF86=5,CT86=0.5,AU86=3,ER86&lt;100),0,IF(AND('Data Entry'!$C$74=2,AF86=2,AU86=2,AK86&gt;0.01,CB86=2,CE86&lt;1),0,IF(AND('Data Entry'!$C$74=2,AF86=3,AU86=3,AK86&gt;0.01,CB86=3,CE86&lt;1),0,IF(AND('Data Entry'!$C$74=2,AF86=3,AU86=3,AK86&gt;0.01,CB86=3,CE86&gt;0.99),BQ86*0.08,IF(AND('Data Entry'!$C$74=2,AF86=2,AU86=2,AK86&gt;0.01,CB86=2,CE86&gt;0.99),BQ86*0.1,IF(AND(AU86=2,AK86&gt;0.01,CB86=2,CD86&gt;1),BQ86*0.1,IF(AND(AU86=3,AK86&gt;0.01,CB86=3,CD86&gt;1),BQ86*0.08,CJ86*EF86)))))))))))))</f>
        <v>0</v>
      </c>
      <c r="BP86" s="475">
        <f t="shared" si="115"/>
        <v>0</v>
      </c>
      <c r="BQ86" s="1431">
        <f>IF(AU86=1,0,IF(CH86=100,0,IF(AND(AF86=3,AU86=2),0,IF(AND(BH86=0,CT86&gt;0.4),0,IF(AND('Data Entry'!$C$74=2,AF86=1.5),0,IF(AND('Data Entry'!$C$74=2,AF86=1.6),0,IF(AND('Data Entry'!$C$74=2,AF86=4),0,IF(AND('Data Entry'!$C$74=2,AF86=5),0,IF(AND('Data Entry'!$C$74=2,AF86=2.5,CE86&lt;1),0,IF(AND('Data Entry'!$C$74=2,AF86=3,CE86&lt;1),0,IF(AND('Data Entry'!$C$74=1,AF86=2.5,CD86&lt;1),0,IF(AND('Data Entry'!$C$74=1,AF86=3,CD86&lt;1),0,IF(DX86&gt;0.01,DX86,IF(ISERROR(AX86-AY86),"",ROUND(AX86-AY86,2)))))))))))))))</f>
        <v>0</v>
      </c>
      <c r="BR86" s="146">
        <f t="shared" si="116"/>
        <v>0</v>
      </c>
      <c r="BS86" s="475">
        <f t="shared" si="117"/>
        <v>0</v>
      </c>
      <c r="BT86" s="146" t="b">
        <f t="shared" si="118"/>
        <v>0</v>
      </c>
      <c r="BU86" s="463">
        <f>IF(ISNA(AT86),0,IF(AND('Data Entry'!$C$74=2,BC86=27),0,IF(AND('Data Entry'!$C$74=2,BC86=28),0,IF(AND(BC86=27,BT86=27,CM86&gt;0.1),CM86*0.15,IF(AND(BC86=28,BT86=28,CM86&gt;0.1),CM86*0.12,0)))))</f>
        <v>0</v>
      </c>
      <c r="BV86" s="463">
        <f t="shared" si="78"/>
        <v>0</v>
      </c>
      <c r="BW86" s="463">
        <f t="shared" si="119"/>
        <v>0</v>
      </c>
      <c r="BX86" s="463">
        <f t="shared" si="120"/>
        <v>0</v>
      </c>
      <c r="BY86" s="463">
        <f t="shared" si="121"/>
        <v>0</v>
      </c>
      <c r="BZ86" s="463">
        <f t="shared" si="122"/>
        <v>0</v>
      </c>
      <c r="CA86" s="57">
        <f t="shared" si="150"/>
        <v>0</v>
      </c>
      <c r="CB86" s="56">
        <f t="shared" si="123"/>
        <v>1</v>
      </c>
      <c r="CC86" s="756">
        <f>IF(EE86=0,0,IF(EF86=0,0,IF(EE86&gt;AA86,0,IF(AND(AZ86&gt;AW86,AW86&gt;0),0,IF(CU86=0,0,Summary!AC389)))))</f>
        <v>0</v>
      </c>
      <c r="CD86" s="756">
        <f>IF(EE86=0,0,IF(EF86=0,0,IF(EE86&gt;AA86,0,IF(AND(AZ86&gt;AW86,AW86&gt;0),0,IF(CU86=0,0,Summary!AD389)))))</f>
        <v>0</v>
      </c>
      <c r="CE86" s="756">
        <f>IF(EF86=0,0,IF(EE86&gt;AA86,0,IF(CC86=0,0,IF(AND(AZ86&gt;AW86,AW86&gt;0),0,IF(CU86=0,0,Summary!AE389)))))</f>
        <v>0</v>
      </c>
      <c r="CF86" s="475">
        <f t="shared" si="124"/>
        <v>0</v>
      </c>
      <c r="CG86" s="476">
        <f t="shared" si="89"/>
        <v>0</v>
      </c>
      <c r="CH86" s="487">
        <f t="shared" si="125"/>
        <v>0</v>
      </c>
      <c r="CI86" s="756">
        <f t="shared" si="126"/>
        <v>0</v>
      </c>
      <c r="CJ86" s="487">
        <f>IF(CT86&gt;0.4,0,IF(AND(AU86=2,CH86=0,CT86=0.5,ER86=100),35,IF(AND(AU86=3,BB86&gt;75,CH86=0,CT86=0.5,ER86=100),25,IF(CB86&gt;1,0,IF(EF86&gt;EE86,0,IF(AND(AF86&gt;1,CH86=100),0,IF(AND(AF86=1,AY86=0),0,IF(AND(EF86&lt;=EE86,AW86&gt;=AZ86,'Data Entry'!$C$74=1,AU86=2),VLOOKUP(W86,$DO$96:$DP$102,2,FALSE),IF(AND(EF86&lt;=EE86,AW86&gt;=AZ86,AU86=3,'Data Entry'!$C$74=1),VLOOKUP(W86,$DO$127:$DP$134,2,FALSE))))))))))</f>
        <v>0</v>
      </c>
      <c r="CK86" s="716">
        <f t="shared" si="127"/>
        <v>0</v>
      </c>
      <c r="CL86" s="57">
        <f t="shared" si="128"/>
        <v>0</v>
      </c>
      <c r="CM86" s="475">
        <f t="shared" si="154"/>
        <v>0</v>
      </c>
      <c r="CN86" s="660">
        <f>IF(CM86&lt;0.1,0,IF(ISNA(AT86),0,IF(CL86+BC86=1,0,IF(BV86&gt;0.01,0,IF(CL86&gt;0.01,0,IF(CF86=1,0,IF(BC86=0.5,0,IF(AND(CI86=1,AU86=3),0,IF(AND(CI86=5,CL86=0),0,IF(AND(R86=12,BR86=50),0,IF(CK86&gt;0.01,0,IF(AND(AJ86&gt;0.01,AU86=2,BC86=15),CM86*0.1,IF(AND(AJ86&gt;0.01,AU86=3,BC86=15),CM86*0.08,IF(AND(R86=12,BC86=3,AF86&lt;=0),0,IF(AND(BC86=15,BI86=0),0,IF(AND(BC86=15,BJ86=0),0,IF(AND(R86=20,CU86=0),0,IF($X$4=0,0,IF(AND(BC86=250,CL86=0),0,IF(AA86&lt;1,0,IF(AND(ISNUMBER(SEARCH("Area",T86)),AU86=3),0,IF(AND(AQ86&gt;0.01,AR86=0,BK86=0,BL86=0,BM86=0,BN86=0),0,IF(AND(AU86=3,CI86=7,CT86&gt;0.5),0,IF(AND(BC86=44,AU86=3,BY86=0),0,IF(AND(BC86=27,'Data Entry'!$C$74=2),0,IF(AND(BC86=28,'Data Entry'!$C$74=2),0,IF(AND(BY86+BZ86+CA86&gt;0.01,BV86=0,EQ86+ER86+ES86+ET86&lt;100),0,IF(AU86=3,CM86*0.08,IF(AU86=2,CM86*0.1,0)))))))))))))))))))))))))))))</f>
        <v>0</v>
      </c>
      <c r="CO86" s="660">
        <f t="shared" si="129"/>
        <v>0</v>
      </c>
      <c r="CP86" s="475" t="str">
        <f t="shared" si="130"/>
        <v/>
      </c>
      <c r="CQ86" s="161" t="str">
        <f>IF(AH86=0,0,IF(AU86=5,0,Summary!AC89))</f>
        <v/>
      </c>
      <c r="CR86" s="161" t="str">
        <f>IF(BF86=0.5,0,IF(AU86=5,0,Summary!AD89))</f>
        <v/>
      </c>
      <c r="CS86" s="161" t="str">
        <f>IF(AU86=5,0,Summary!AE89)</f>
        <v/>
      </c>
      <c r="CT86" s="161">
        <f t="shared" si="131"/>
        <v>0</v>
      </c>
      <c r="CU86" s="475" t="str">
        <f t="shared" si="132"/>
        <v/>
      </c>
      <c r="CV86" s="307">
        <f>IF('Data Entry'!$C$74=0,0,IF(AA86&lt;1,0,IF(ISERROR(CU86),0,IF(CF86=1,0,IF(AND(R86=12,BR86=50),0,IF(CL86+BO86+BV86+DC86=0,0,IF(BC86=37,0,IF(AND(BC86=40,AJ86=0),0,IF(AND(BC86=37,BO86&gt;0.01,BQ86&gt;0.01),ROUND(BQ86,0),IF(CM86&lt;0,0,ROUND(CM86,0)))))))))))</f>
        <v>0</v>
      </c>
      <c r="CW86" s="700">
        <f t="shared" si="133"/>
        <v>0</v>
      </c>
      <c r="CX86" s="477">
        <f>IF('Data Entry'!$C$74=0,0,IF(CV86&lt;0.01,0,IF(BF86=0.5,0,IF(CF86=1,0,IF(ISNUMBER(SEARCH("false",CL86)),0,IF(AZ86=500,0,CL86))))))</f>
        <v>0</v>
      </c>
      <c r="CY86" s="147" t="e">
        <f t="shared" si="134"/>
        <v>#VALUE!</v>
      </c>
      <c r="CZ86" s="147" t="b">
        <f>IF(CN86+CL86=0,FALSE,IF(AH86=0,0,IF(AND('Data Entry'!$C$74=1,CR86&gt;=1),TRUE,IF(AND('Data Entry'!$C$74=2,CS86&gt;=1),TRUE,FALSE))))</f>
        <v>0</v>
      </c>
      <c r="DA86" s="1751">
        <f>IF('Data Entry'!$C$74=0,0,IFERROR(ROUND(IF(T86="","",IF($X$4=0,0,IF(CF86=1,0,IF(BQ86+CV86=0,0,IF(CF86=1,0,IF(CY86&gt;0.01,CY86,IF(CL86&gt;0.01,CL86,IF(CY86&gt;0.01,CY86,IF(BC86=37,BO86,IF(CZ86=FALSE,0,IF(CZ86=TRUE,DC86+DF86,0))))))))))),2),""))</f>
        <v>0</v>
      </c>
      <c r="DB86" s="1752"/>
      <c r="DC86" s="474">
        <f>IF(CN86&lt;0.01,0,IF(AND(BR86=3,CN86&gt;0.01,CT86&gt;0.6,ER86+ES86+ET86&lt;100),0,IF(AND('Data Entry'!$C$74=1,CN86&gt;0.01,CR86&gt;0.99),MIN(CN86:CO86),IF(AND('Data Entry'!$C$74=2,CN86&gt;0.01,CS86&gt;0.99),MIN(CN86:CO86),0))))</f>
        <v>0</v>
      </c>
      <c r="DD86" s="478">
        <f>IF(CF86=1,"Selection does not match",IF(T86=0,0,IF(AND('Data Entry'!$C$74=0,CP86&gt;1),"Select Oregon or Idaho on Data Entry Tab",IF(AND(AU86=1,AA86&gt;0.9),"Missing Interior or Exterior Selection",IF($X$4=0,"Enter Total Project Cost",IF(AQ86&lt;AR86,"Insufficient kWh savings – no incentive",IF(AND(SUM(CL86+CK86+BV86)&gt;0.01,'Data Entry'!$C$74=2,CJ86&gt;1,BO86=0),"Submit Control as Non-Standard",IF(AND('Data Entry'!$C$74=2,BR86=37,CJ86&gt;1,BO86=0),"Submit Control as Non-Standard",IF(SUM(CL86+CK86+BV86)&gt;0.01,"Standard Incentive",IF(AND('Data Entry'!$C$74=2,CP86=7,CN86=0),"Submit as Non-Standard",IF(DC86&gt;0.9,"Non-Standard Incentive",IF(AND(BY86+BZ86+CA86&gt;0.01,BV86=0,EQ86=0,ER86=0,ES86=0,ET86=0),"Scroll Right &amp; Select Control Strategies",IF(AND(CN86&gt;0.01,CO86=0),"Enter Unit Installed Cost",IF(ISNUMBER(SEARCH("Lighting Controls Only",F86)),"Lighting Controls Only",IF(CL86+DC86=0,"Does not meet incentive criteria",0)))))))))))))))</f>
        <v>0</v>
      </c>
      <c r="DE86" s="337">
        <f t="shared" si="135"/>
        <v>0</v>
      </c>
      <c r="DF86" s="609">
        <f t="shared" si="136"/>
        <v>0</v>
      </c>
      <c r="DG86" s="336" t="str">
        <f t="shared" si="137"/>
        <v/>
      </c>
      <c r="DH86" s="338">
        <f t="shared" si="138"/>
        <v>1</v>
      </c>
      <c r="DI86" s="336" t="e">
        <f t="shared" si="90"/>
        <v>#VALUE!</v>
      </c>
      <c r="DJ86" s="338">
        <f t="shared" si="91"/>
        <v>0</v>
      </c>
      <c r="DK86" s="325" t="s">
        <v>1292</v>
      </c>
      <c r="DL86" s="341">
        <v>230</v>
      </c>
      <c r="DM86" s="325" t="s">
        <v>81</v>
      </c>
      <c r="DN86" s="1439"/>
      <c r="DO86" s="1437" t="s">
        <v>1282</v>
      </c>
      <c r="DP86" s="1333"/>
      <c r="DQ86" s="1461"/>
      <c r="DR86" s="332"/>
      <c r="DS86" s="1195">
        <f t="shared" si="139"/>
        <v>0</v>
      </c>
      <c r="DT86" s="344" t="b">
        <f t="shared" si="140"/>
        <v>1</v>
      </c>
      <c r="DU86" s="1314" t="str">
        <f t="array" ref="DU86">IF(OR(COUNTIF(F86,"*"&amp;$DK$9:$DK$178&amp;"*")), "Yes", "")</f>
        <v/>
      </c>
      <c r="DV86" s="1314">
        <f t="shared" si="141"/>
        <v>0</v>
      </c>
      <c r="DW86" s="1480">
        <f t="shared" si="142"/>
        <v>0</v>
      </c>
      <c r="DX86" s="1498">
        <f t="shared" si="151"/>
        <v>0</v>
      </c>
      <c r="DY86" s="1484">
        <f t="shared" si="143"/>
        <v>0</v>
      </c>
      <c r="DZ86" s="331"/>
      <c r="EA86" s="392"/>
      <c r="EB86" s="1499" t="s">
        <v>112</v>
      </c>
      <c r="EC86" s="727" t="s">
        <v>1568</v>
      </c>
      <c r="ED86" s="728">
        <v>0.5</v>
      </c>
      <c r="EE86" s="1215"/>
      <c r="EF86" s="1215"/>
      <c r="EG86" s="1184" t="str">
        <f t="shared" si="144"/>
        <v/>
      </c>
      <c r="EH86" s="55"/>
      <c r="EI86" s="55"/>
      <c r="EJ86" s="1185">
        <f t="shared" si="92"/>
        <v>0</v>
      </c>
      <c r="EK86" s="1211"/>
      <c r="EL86" s="1180">
        <f t="shared" si="93"/>
        <v>0</v>
      </c>
      <c r="EM86" s="207"/>
      <c r="EN86" s="1038"/>
      <c r="EO86" s="1038"/>
      <c r="EP86" s="1038"/>
      <c r="EQ86" s="1038">
        <f t="shared" si="145"/>
        <v>0</v>
      </c>
      <c r="ER86" s="1041">
        <f t="shared" si="146"/>
        <v>0</v>
      </c>
      <c r="ES86" s="1042">
        <f t="shared" si="147"/>
        <v>0</v>
      </c>
      <c r="ET86" s="1042">
        <f t="shared" si="152"/>
        <v>0</v>
      </c>
      <c r="EU86" s="1021">
        <f t="shared" si="153"/>
        <v>0</v>
      </c>
      <c r="EV86" s="368"/>
      <c r="EW86" s="368"/>
      <c r="EX86" s="369"/>
      <c r="EY86" s="370"/>
      <c r="EZ86" s="370"/>
      <c r="FA86" s="371"/>
      <c r="FB86" s="372"/>
    </row>
    <row r="87" spans="1:158" ht="34.5" customHeight="1">
      <c r="A87" s="82">
        <v>79</v>
      </c>
      <c r="B87" s="1725"/>
      <c r="C87" s="1726"/>
      <c r="D87" s="1726"/>
      <c r="E87" s="1727"/>
      <c r="F87" s="1732"/>
      <c r="G87" s="1733"/>
      <c r="H87" s="1733"/>
      <c r="I87" s="1734"/>
      <c r="J87" s="1341"/>
      <c r="K87" s="1728"/>
      <c r="L87" s="1728"/>
      <c r="M87" s="1342"/>
      <c r="N87" s="1583"/>
      <c r="O87" s="208" t="str">
        <f t="shared" si="80"/>
        <v/>
      </c>
      <c r="P87" s="785"/>
      <c r="Q87" s="39" t="str">
        <f t="shared" si="81"/>
        <v/>
      </c>
      <c r="R87" s="39">
        <f t="shared" si="94"/>
        <v>0</v>
      </c>
      <c r="S87" s="234">
        <f t="shared" si="95"/>
        <v>0</v>
      </c>
      <c r="T87" s="1755"/>
      <c r="U87" s="1755"/>
      <c r="V87" s="1755"/>
      <c r="W87" s="1345"/>
      <c r="X87" s="1741"/>
      <c r="Y87" s="1742"/>
      <c r="Z87" s="1346"/>
      <c r="AA87" s="1343"/>
      <c r="AB87" s="1141"/>
      <c r="AC87" s="1103" t="str">
        <f>IF(T87="","",VLOOKUP(Z87,Lists!$A$60:$B$111,2,FALSE))</f>
        <v/>
      </c>
      <c r="AD87" s="130" t="str">
        <f t="shared" si="96"/>
        <v/>
      </c>
      <c r="AE87" s="130" t="e">
        <f t="shared" si="97"/>
        <v>#VALUE!</v>
      </c>
      <c r="AF87" s="130">
        <f t="shared" si="98"/>
        <v>1</v>
      </c>
      <c r="AG87" s="234">
        <f t="shared" si="82"/>
        <v>0</v>
      </c>
      <c r="AH87" s="1753" t="str">
        <f>IF(T87="","",(IF(ISNUMBER(SEARCH("exit",T87)),8760,IF(AND(M87="Dusk to Dawn",'Proposed Lighting'!AU87=3),4059,IF(AND(AU87=3,M87="1"),0,IF(AND(AU87=3,M87="1-C"),0,IF(AND(AU87=3,M87="2"),0,IF(AND(AU87=3,M87="2-C"),0,IF(AND(AU87=3,M87="3"),0,IF(AND(AU87=3,M87="3-C"),0,IF(AND(AU87=2,M87="Dusk to Dawn"),0,IF(AND(AU87=2,M87="Dusk to Dawn-C"),0,IF(AND(AU87=2,M87="Dusk to Dawn"),0,IF(AND(AU87=2,M87="E"),0,IF(AND(AU87=2,M87="E-C"),0,EG87)))))))))))))))</f>
        <v/>
      </c>
      <c r="AI87" s="1754"/>
      <c r="AJ87" s="1136"/>
      <c r="AK87" s="1136"/>
      <c r="AL87" s="1748">
        <f t="shared" si="99"/>
        <v>0</v>
      </c>
      <c r="AM87" s="1749"/>
      <c r="AN87" s="1750"/>
      <c r="AO87" s="476">
        <f t="shared" si="83"/>
        <v>0</v>
      </c>
      <c r="AP87" s="476">
        <f t="shared" si="100"/>
        <v>0</v>
      </c>
      <c r="AQ87" s="475">
        <f t="shared" si="84"/>
        <v>0</v>
      </c>
      <c r="AR87" s="475">
        <f t="shared" si="101"/>
        <v>0</v>
      </c>
      <c r="AS87" s="743" t="str">
        <f t="shared" si="79"/>
        <v/>
      </c>
      <c r="AT87" s="736" t="str">
        <f t="shared" si="102"/>
        <v/>
      </c>
      <c r="AU87" s="56">
        <f t="shared" si="103"/>
        <v>1</v>
      </c>
      <c r="AV87" s="476">
        <f t="shared" si="104"/>
        <v>0</v>
      </c>
      <c r="AW87" s="56">
        <f t="shared" si="105"/>
        <v>0</v>
      </c>
      <c r="AX87" s="475">
        <f t="shared" si="85"/>
        <v>0</v>
      </c>
      <c r="AY87" s="1169">
        <f t="shared" si="106"/>
        <v>0</v>
      </c>
      <c r="AZ87" s="1150">
        <f t="shared" si="148"/>
        <v>0</v>
      </c>
      <c r="BA87" s="56">
        <f t="shared" si="86"/>
        <v>0</v>
      </c>
      <c r="BB87" s="420">
        <f t="shared" si="87"/>
        <v>0</v>
      </c>
      <c r="BC87" s="58" t="str">
        <f t="shared" si="88"/>
        <v/>
      </c>
      <c r="BD87" s="660">
        <f t="shared" si="149"/>
        <v>0</v>
      </c>
      <c r="BE87" s="57" t="e">
        <f t="array" ref="BE87">INDEX($EB$11:$ED$1022,MATCH(F87&amp;T87,$EB$11:$EB$1007&amp;$EC$11:$EC$1007,0),3)</f>
        <v>#N/A</v>
      </c>
      <c r="BF87" s="463">
        <f t="shared" si="107"/>
        <v>0</v>
      </c>
      <c r="BG87" s="1445" t="e">
        <f t="array" ref="BG87">INDEX($DO$112:$DQ$123,MATCH(T87&amp;W87,$DO$114:$DO$125&amp;$DP$112:$DP$123,0),3)</f>
        <v>#N/A</v>
      </c>
      <c r="BH87" s="1446">
        <f t="shared" si="108"/>
        <v>0</v>
      </c>
      <c r="BI87" s="465">
        <f t="shared" si="109"/>
        <v>0</v>
      </c>
      <c r="BJ87" s="465">
        <f t="shared" si="110"/>
        <v>0</v>
      </c>
      <c r="BK87" s="466">
        <f t="shared" si="111"/>
        <v>0</v>
      </c>
      <c r="BL87" s="466">
        <f t="shared" si="112"/>
        <v>0</v>
      </c>
      <c r="BM87" s="466">
        <f t="shared" si="113"/>
        <v>0</v>
      </c>
      <c r="BN87" s="466">
        <f t="shared" si="114"/>
        <v>0</v>
      </c>
      <c r="BO87" s="463">
        <f>IF('Data Entry'!$C$74=0,0,IF(ISNA(CJ87),0,IF(AX87=0,0,IF(AND('Data Entry'!$C$74=2,AF87&gt;2,CE87&lt;1),0,IF(AND('Data Entry'!$C$74=2,AF87&gt;1,AU87=2,CJ87&gt;1),0,IF(AND(AF87=5,CT87=0.5,AU87=2,ER87&lt;100),0,IF(AND(AF87=5,CT87=0.5,AU87=3,ER87&lt;100),0,IF(AND('Data Entry'!$C$74=2,AF87=2,AU87=2,AK87&gt;0.01,CB87=2,CE87&lt;1),0,IF(AND('Data Entry'!$C$74=2,AF87=3,AU87=3,AK87&gt;0.01,CB87=3,CE87&lt;1),0,IF(AND('Data Entry'!$C$74=2,AF87=3,AU87=3,AK87&gt;0.01,CB87=3,CE87&gt;0.99),BQ87*0.08,IF(AND('Data Entry'!$C$74=2,AF87=2,AU87=2,AK87&gt;0.01,CB87=2,CE87&gt;0.99),BQ87*0.1,IF(AND(AU87=2,AK87&gt;0.01,CB87=2,CD87&gt;1),BQ87*0.1,IF(AND(AU87=3,AK87&gt;0.01,CB87=3,CD87&gt;1),BQ87*0.08,CJ87*EF87)))))))))))))</f>
        <v>0</v>
      </c>
      <c r="BP87" s="475">
        <f t="shared" si="115"/>
        <v>0</v>
      </c>
      <c r="BQ87" s="1431">
        <f>IF(AU87=1,0,IF(CH87=100,0,IF(AND(AF87=3,AU87=2),0,IF(AND(BH87=0,CT87&gt;0.4),0,IF(AND('Data Entry'!$C$74=2,AF87=1.5),0,IF(AND('Data Entry'!$C$74=2,AF87=1.6),0,IF(AND('Data Entry'!$C$74=2,AF87=4),0,IF(AND('Data Entry'!$C$74=2,AF87=5),0,IF(AND('Data Entry'!$C$74=2,AF87=2.5,CE87&lt;1),0,IF(AND('Data Entry'!$C$74=2,AF87=3,CE87&lt;1),0,IF(AND('Data Entry'!$C$74=1,AF87=2.5,CD87&lt;1),0,IF(AND('Data Entry'!$C$74=1,AF87=3,CD87&lt;1),0,IF(DX87&gt;0.01,DX87,IF(ISERROR(AX87-AY87),"",ROUND(AX87-AY87,2)))))))))))))))</f>
        <v>0</v>
      </c>
      <c r="BR87" s="146">
        <f t="shared" si="116"/>
        <v>0</v>
      </c>
      <c r="BS87" s="475">
        <f t="shared" si="117"/>
        <v>0</v>
      </c>
      <c r="BT87" s="146" t="b">
        <f t="shared" si="118"/>
        <v>0</v>
      </c>
      <c r="BU87" s="463">
        <f>IF(ISNA(AT87),0,IF(AND('Data Entry'!$C$74=2,BC87=27),0,IF(AND('Data Entry'!$C$74=2,BC87=28),0,IF(AND(BC87=27,BT87=27,CM87&gt;0.1),CM87*0.15,IF(AND(BC87=28,BT87=28,CM87&gt;0.1),CM87*0.12,0)))))</f>
        <v>0</v>
      </c>
      <c r="BV87" s="463">
        <f t="shared" si="78"/>
        <v>0</v>
      </c>
      <c r="BW87" s="463">
        <f t="shared" si="119"/>
        <v>0</v>
      </c>
      <c r="BX87" s="463">
        <f t="shared" si="120"/>
        <v>0</v>
      </c>
      <c r="BY87" s="463">
        <f t="shared" si="121"/>
        <v>0</v>
      </c>
      <c r="BZ87" s="463">
        <f t="shared" si="122"/>
        <v>0</v>
      </c>
      <c r="CA87" s="57">
        <f t="shared" si="150"/>
        <v>0</v>
      </c>
      <c r="CB87" s="56">
        <f t="shared" si="123"/>
        <v>1</v>
      </c>
      <c r="CC87" s="756">
        <f>IF(EE87=0,0,IF(EF87=0,0,IF(EE87&gt;AA87,0,IF(AND(AZ87&gt;AW87,AW87&gt;0),0,IF(CU87=0,0,Summary!AC390)))))</f>
        <v>0</v>
      </c>
      <c r="CD87" s="756">
        <f>IF(EE87=0,0,IF(EF87=0,0,IF(EE87&gt;AA87,0,IF(AND(AZ87&gt;AW87,AW87&gt;0),0,IF(CU87=0,0,Summary!AD390)))))</f>
        <v>0</v>
      </c>
      <c r="CE87" s="756">
        <f>IF(EF87=0,0,IF(EE87&gt;AA87,0,IF(CC87=0,0,IF(AND(AZ87&gt;AW87,AW87&gt;0),0,IF(CU87=0,0,Summary!AE390)))))</f>
        <v>0</v>
      </c>
      <c r="CF87" s="475">
        <f t="shared" si="124"/>
        <v>0</v>
      </c>
      <c r="CG87" s="476">
        <f t="shared" si="89"/>
        <v>0</v>
      </c>
      <c r="CH87" s="487">
        <f t="shared" si="125"/>
        <v>0</v>
      </c>
      <c r="CI87" s="756">
        <f t="shared" si="126"/>
        <v>0</v>
      </c>
      <c r="CJ87" s="487">
        <f>IF(CT87&gt;0.4,0,IF(AND(AU87=2,CH87=0,CT87=0.5,ER87=100),35,IF(AND(AU87=3,BB87&gt;75,CH87=0,CT87=0.5,ER87=100),25,IF(CB87&gt;1,0,IF(EF87&gt;EE87,0,IF(AND(AF87&gt;1,CH87=100),0,IF(AND(AF87=1,AY87=0),0,IF(AND(EF87&lt;=EE87,AW87&gt;=AZ87,'Data Entry'!$C$74=1,AU87=2),VLOOKUP(W87,$DO$96:$DP$102,2,FALSE),IF(AND(EF87&lt;=EE87,AW87&gt;=AZ87,AU87=3,'Data Entry'!$C$74=1),VLOOKUP(W87,$DO$127:$DP$134,2,FALSE))))))))))</f>
        <v>0</v>
      </c>
      <c r="CK87" s="716">
        <f t="shared" si="127"/>
        <v>0</v>
      </c>
      <c r="CL87" s="57">
        <f t="shared" si="128"/>
        <v>0</v>
      </c>
      <c r="CM87" s="475">
        <f t="shared" si="154"/>
        <v>0</v>
      </c>
      <c r="CN87" s="660">
        <f>IF(CM87&lt;0.1,0,IF(ISNA(AT87),0,IF(CL87+BC87=1,0,IF(BV87&gt;0.01,0,IF(CL87&gt;0.01,0,IF(CF87=1,0,IF(BC87=0.5,0,IF(AND(CI87=1,AU87=3),0,IF(AND(CI87=5,CL87=0),0,IF(AND(R87=12,BR87=50),0,IF(CK87&gt;0.01,0,IF(AND(AJ87&gt;0.01,AU87=2,BC87=15),CM87*0.1,IF(AND(AJ87&gt;0.01,AU87=3,BC87=15),CM87*0.08,IF(AND(R87=12,BC87=3,AF87&lt;=0),0,IF(AND(BC87=15,BI87=0),0,IF(AND(BC87=15,BJ87=0),0,IF(AND(R87=20,CU87=0),0,IF($X$4=0,0,IF(AND(BC87=250,CL87=0),0,IF(AA87&lt;1,0,IF(AND(ISNUMBER(SEARCH("Area",T87)),AU87=3),0,IF(AND(AQ87&gt;0.01,AR87=0,BK87=0,BL87=0,BM87=0,BN87=0),0,IF(AND(AU87=3,CI87=7,CT87&gt;0.5),0,IF(AND(BC87=44,AU87=3,BY87=0),0,IF(AND(BC87=27,'Data Entry'!$C$74=2),0,IF(AND(BC87=28,'Data Entry'!$C$74=2),0,IF(AND(BY87+BZ87+CA87&gt;0.01,BV87=0,EQ87+ER87+ES87+ET87&lt;100),0,IF(AU87=3,CM87*0.08,IF(AU87=2,CM87*0.1,0)))))))))))))))))))))))))))))</f>
        <v>0</v>
      </c>
      <c r="CO87" s="660">
        <f t="shared" si="129"/>
        <v>0</v>
      </c>
      <c r="CP87" s="475" t="str">
        <f t="shared" si="130"/>
        <v/>
      </c>
      <c r="CQ87" s="161" t="str">
        <f>IF(AH87=0,0,IF(AU87=5,0,Summary!AC90))</f>
        <v/>
      </c>
      <c r="CR87" s="161" t="str">
        <f>IF(BF87=0.5,0,IF(AU87=5,0,Summary!AD90))</f>
        <v/>
      </c>
      <c r="CS87" s="161" t="str">
        <f>IF(AU87=5,0,Summary!AE90)</f>
        <v/>
      </c>
      <c r="CT87" s="161">
        <f t="shared" si="131"/>
        <v>0</v>
      </c>
      <c r="CU87" s="475" t="str">
        <f t="shared" si="132"/>
        <v/>
      </c>
      <c r="CV87" s="307">
        <f>IF('Data Entry'!$C$74=0,0,IF(AA87&lt;1,0,IF(ISERROR(CU87),0,IF(CF87=1,0,IF(AND(R87=12,BR87=50),0,IF(CL87+BO87+BV87+DC87=0,0,IF(BC87=37,0,IF(AND(BC87=40,AJ87=0),0,IF(AND(BC87=37,BO87&gt;0.01,BQ87&gt;0.01),ROUND(BQ87,0),IF(CM87&lt;0,0,ROUND(CM87,0)))))))))))</f>
        <v>0</v>
      </c>
      <c r="CW87" s="700">
        <f t="shared" si="133"/>
        <v>0</v>
      </c>
      <c r="CX87" s="477">
        <f>IF('Data Entry'!$C$74=0,0,IF(CV87&lt;0.01,0,IF(BF87=0.5,0,IF(CF87=1,0,IF(ISNUMBER(SEARCH("false",CL87)),0,IF(AZ87=500,0,CL87))))))</f>
        <v>0</v>
      </c>
      <c r="CY87" s="147" t="e">
        <f t="shared" si="134"/>
        <v>#VALUE!</v>
      </c>
      <c r="CZ87" s="147" t="b">
        <f>IF(CN87+CL87=0,FALSE,IF(AH87=0,0,IF(AND('Data Entry'!$C$74=1,CR87&gt;=1),TRUE,IF(AND('Data Entry'!$C$74=2,CS87&gt;=1),TRUE,FALSE))))</f>
        <v>0</v>
      </c>
      <c r="DA87" s="1751">
        <f>IF('Data Entry'!$C$74=0,0,IFERROR(ROUND(IF(T87="","",IF($X$4=0,0,IF(CF87=1,0,IF(BQ87+CV87=0,0,IF(CF87=1,0,IF(CY87&gt;0.01,CY87,IF(CL87&gt;0.01,CL87,IF(CY87&gt;0.01,CY87,IF(BC87=37,BO87,IF(CZ87=FALSE,0,IF(CZ87=TRUE,DC87+DF87,0))))))))))),2),""))</f>
        <v>0</v>
      </c>
      <c r="DB87" s="1752"/>
      <c r="DC87" s="474">
        <f>IF(CN87&lt;0.01,0,IF(AND(BR87=3,CN87&gt;0.01,CT87&gt;0.6,ER87+ES87+ET87&lt;100),0,IF(AND('Data Entry'!$C$74=1,CN87&gt;0.01,CR87&gt;0.99),MIN(CN87:CO87),IF(AND('Data Entry'!$C$74=2,CN87&gt;0.01,CS87&gt;0.99),MIN(CN87:CO87),0))))</f>
        <v>0</v>
      </c>
      <c r="DD87" s="478">
        <f>IF(CF87=1,"Selection does not match",IF(T87=0,0,IF(AND('Data Entry'!$C$74=0,CP87&gt;1),"Select Oregon or Idaho on Data Entry Tab",IF(AND(AU87=1,AA87&gt;0.9),"Missing Interior or Exterior Selection",IF($X$4=0,"Enter Total Project Cost",IF(AQ87&lt;AR87,"Insufficient kWh savings – no incentive",IF(AND(SUM(CL87+CK87+BV87)&gt;0.01,'Data Entry'!$C$74=2,CJ87&gt;1,BO87=0),"Submit Control as Non-Standard",IF(AND('Data Entry'!$C$74=2,BR87=37,CJ87&gt;1,BO87=0),"Submit Control as Non-Standard",IF(SUM(CL87+CK87+BV87)&gt;0.01,"Standard Incentive",IF(AND('Data Entry'!$C$74=2,CP87=7,CN87=0),"Submit as Non-Standard",IF(DC87&gt;0.9,"Non-Standard Incentive",IF(AND(BY87+BZ87+CA87&gt;0.01,BV87=0,EQ87=0,ER87=0,ES87=0,ET87=0),"Scroll Right &amp; Select Control Strategies",IF(AND(CN87&gt;0.01,CO87=0),"Enter Unit Installed Cost",IF(ISNUMBER(SEARCH("Lighting Controls Only",F87)),"Lighting Controls Only",IF(CL87+DC87=0,"Does not meet incentive criteria",0)))))))))))))))</f>
        <v>0</v>
      </c>
      <c r="DE87" s="337">
        <f t="shared" si="135"/>
        <v>0</v>
      </c>
      <c r="DF87" s="609">
        <f t="shared" si="136"/>
        <v>0</v>
      </c>
      <c r="DG87" s="336" t="str">
        <f t="shared" si="137"/>
        <v/>
      </c>
      <c r="DH87" s="338">
        <f t="shared" si="138"/>
        <v>1</v>
      </c>
      <c r="DI87" s="336" t="e">
        <f t="shared" si="90"/>
        <v>#VALUE!</v>
      </c>
      <c r="DJ87" s="338">
        <f t="shared" si="91"/>
        <v>0</v>
      </c>
      <c r="DK87" s="325" t="s">
        <v>1293</v>
      </c>
      <c r="DL87" s="341">
        <v>290</v>
      </c>
      <c r="DM87" s="325" t="s">
        <v>82</v>
      </c>
      <c r="DN87" s="1439"/>
      <c r="DO87" s="1490" t="s">
        <v>1864</v>
      </c>
      <c r="DP87" s="1449">
        <v>0</v>
      </c>
      <c r="DQ87" s="331"/>
      <c r="DR87" s="332"/>
      <c r="DS87" s="1195">
        <f t="shared" si="139"/>
        <v>0</v>
      </c>
      <c r="DT87" s="344" t="b">
        <f t="shared" si="140"/>
        <v>1</v>
      </c>
      <c r="DU87" s="1314" t="str">
        <f t="array" ref="DU87">IF(OR(COUNTIF(F87,"*"&amp;$DK$9:$DK$178&amp;"*")), "Yes", "")</f>
        <v/>
      </c>
      <c r="DV87" s="1314">
        <f t="shared" si="141"/>
        <v>0</v>
      </c>
      <c r="DW87" s="1480">
        <f t="shared" si="142"/>
        <v>0</v>
      </c>
      <c r="DX87" s="1498">
        <f t="shared" si="151"/>
        <v>0</v>
      </c>
      <c r="DY87" s="1484">
        <f t="shared" si="143"/>
        <v>0</v>
      </c>
      <c r="DZ87" s="331"/>
      <c r="EA87" s="392"/>
      <c r="EB87" s="1499" t="s">
        <v>113</v>
      </c>
      <c r="EC87" s="727" t="s">
        <v>1568</v>
      </c>
      <c r="ED87" s="728">
        <v>0.5</v>
      </c>
      <c r="EE87" s="1215"/>
      <c r="EF87" s="1215"/>
      <c r="EG87" s="1184" t="str">
        <f t="shared" si="144"/>
        <v/>
      </c>
      <c r="EH87" s="55"/>
      <c r="EI87" s="55"/>
      <c r="EJ87" s="1185">
        <f t="shared" si="92"/>
        <v>0</v>
      </c>
      <c r="EK87" s="1211"/>
      <c r="EL87" s="1180">
        <f t="shared" si="93"/>
        <v>0</v>
      </c>
      <c r="EM87" s="207"/>
      <c r="EN87" s="1038"/>
      <c r="EO87" s="1038"/>
      <c r="EP87" s="207"/>
      <c r="EQ87" s="1038">
        <f t="shared" si="145"/>
        <v>0</v>
      </c>
      <c r="ER87" s="1041">
        <f t="shared" si="146"/>
        <v>0</v>
      </c>
      <c r="ES87" s="1042">
        <f t="shared" si="147"/>
        <v>0</v>
      </c>
      <c r="ET87" s="1042">
        <f t="shared" si="152"/>
        <v>0</v>
      </c>
      <c r="EU87" s="1021">
        <f t="shared" si="153"/>
        <v>0</v>
      </c>
      <c r="EV87" s="368"/>
      <c r="EW87" s="368"/>
      <c r="EX87" s="369"/>
      <c r="EY87" s="370"/>
      <c r="EZ87" s="370"/>
      <c r="FA87" s="371"/>
      <c r="FB87" s="372"/>
    </row>
    <row r="88" spans="1:158" ht="34.5" customHeight="1">
      <c r="A88" s="82">
        <v>80</v>
      </c>
      <c r="B88" s="1725"/>
      <c r="C88" s="1726"/>
      <c r="D88" s="1726"/>
      <c r="E88" s="1727"/>
      <c r="F88" s="1732"/>
      <c r="G88" s="1733"/>
      <c r="H88" s="1733"/>
      <c r="I88" s="1734"/>
      <c r="J88" s="1341"/>
      <c r="K88" s="1728"/>
      <c r="L88" s="1728"/>
      <c r="M88" s="1342"/>
      <c r="N88" s="1583"/>
      <c r="O88" s="208" t="str">
        <f t="shared" si="80"/>
        <v/>
      </c>
      <c r="P88" s="785"/>
      <c r="Q88" s="39" t="str">
        <f t="shared" si="81"/>
        <v/>
      </c>
      <c r="R88" s="39">
        <f t="shared" si="94"/>
        <v>0</v>
      </c>
      <c r="S88" s="234">
        <f t="shared" si="95"/>
        <v>0</v>
      </c>
      <c r="T88" s="1755"/>
      <c r="U88" s="1755"/>
      <c r="V88" s="1755"/>
      <c r="W88" s="1345"/>
      <c r="X88" s="1741"/>
      <c r="Y88" s="1742"/>
      <c r="Z88" s="1346"/>
      <c r="AA88" s="1343"/>
      <c r="AB88" s="1141"/>
      <c r="AC88" s="1103" t="str">
        <f>IF(T88="","",VLOOKUP(Z88,Lists!$A$60:$B$111,2,FALSE))</f>
        <v/>
      </c>
      <c r="AD88" s="130" t="str">
        <f t="shared" si="96"/>
        <v/>
      </c>
      <c r="AE88" s="130" t="e">
        <f t="shared" si="97"/>
        <v>#VALUE!</v>
      </c>
      <c r="AF88" s="130">
        <f t="shared" si="98"/>
        <v>1</v>
      </c>
      <c r="AG88" s="234">
        <f t="shared" si="82"/>
        <v>0</v>
      </c>
      <c r="AH88" s="1753" t="str">
        <f>IF(T88="","",(IF(ISNUMBER(SEARCH("exit",T88)),8760,IF(AND(M88="Dusk to Dawn",'Proposed Lighting'!AU88=3),4059,IF(AND(AU88=3,M88="1"),0,IF(AND(AU88=3,M88="1-C"),0,IF(AND(AU88=3,M88="2"),0,IF(AND(AU88=3,M88="2-C"),0,IF(AND(AU88=3,M88="3"),0,IF(AND(AU88=3,M88="3-C"),0,IF(AND(AU88=2,M88="Dusk to Dawn"),0,IF(AND(AU88=2,M88="Dusk to Dawn-C"),0,IF(AND(AU88=2,M88="Dusk to Dawn"),0,IF(AND(AU88=2,M88="E"),0,IF(AND(AU88=2,M88="E-C"),0,EG88)))))))))))))))</f>
        <v/>
      </c>
      <c r="AI88" s="1754"/>
      <c r="AJ88" s="1136"/>
      <c r="AK88" s="1136"/>
      <c r="AL88" s="1748">
        <f t="shared" si="99"/>
        <v>0</v>
      </c>
      <c r="AM88" s="1749"/>
      <c r="AN88" s="1750"/>
      <c r="AO88" s="476">
        <f t="shared" si="83"/>
        <v>0</v>
      </c>
      <c r="AP88" s="476">
        <f t="shared" si="100"/>
        <v>0</v>
      </c>
      <c r="AQ88" s="475">
        <f t="shared" si="84"/>
        <v>0</v>
      </c>
      <c r="AR88" s="475">
        <f t="shared" si="101"/>
        <v>0</v>
      </c>
      <c r="AS88" s="743" t="str">
        <f t="shared" si="79"/>
        <v/>
      </c>
      <c r="AT88" s="736" t="str">
        <f t="shared" si="102"/>
        <v/>
      </c>
      <c r="AU88" s="56">
        <f t="shared" si="103"/>
        <v>1</v>
      </c>
      <c r="AV88" s="476">
        <f t="shared" si="104"/>
        <v>0</v>
      </c>
      <c r="AW88" s="56">
        <f t="shared" si="105"/>
        <v>0</v>
      </c>
      <c r="AX88" s="475">
        <f t="shared" si="85"/>
        <v>0</v>
      </c>
      <c r="AY88" s="1169">
        <f t="shared" si="106"/>
        <v>0</v>
      </c>
      <c r="AZ88" s="1150">
        <f t="shared" si="148"/>
        <v>0</v>
      </c>
      <c r="BA88" s="56">
        <f t="shared" si="86"/>
        <v>0</v>
      </c>
      <c r="BB88" s="420">
        <f t="shared" si="87"/>
        <v>0</v>
      </c>
      <c r="BC88" s="58" t="str">
        <f t="shared" si="88"/>
        <v/>
      </c>
      <c r="BD88" s="660">
        <f t="shared" si="149"/>
        <v>0</v>
      </c>
      <c r="BE88" s="57" t="e">
        <f t="array" ref="BE88">INDEX($EB$11:$ED$1022,MATCH(F88&amp;T88,$EB$11:$EB$1007&amp;$EC$11:$EC$1007,0),3)</f>
        <v>#N/A</v>
      </c>
      <c r="BF88" s="463">
        <f t="shared" si="107"/>
        <v>0</v>
      </c>
      <c r="BG88" s="1445" t="e">
        <f t="array" ref="BG88">INDEX($DO$112:$DQ$123,MATCH(T88&amp;W88,$DO$114:$DO$125&amp;$DP$112:$DP$123,0),3)</f>
        <v>#N/A</v>
      </c>
      <c r="BH88" s="1446">
        <f t="shared" si="108"/>
        <v>0</v>
      </c>
      <c r="BI88" s="465">
        <f t="shared" si="109"/>
        <v>0</v>
      </c>
      <c r="BJ88" s="465">
        <f t="shared" si="110"/>
        <v>0</v>
      </c>
      <c r="BK88" s="466">
        <f t="shared" si="111"/>
        <v>0</v>
      </c>
      <c r="BL88" s="466">
        <f t="shared" si="112"/>
        <v>0</v>
      </c>
      <c r="BM88" s="466">
        <f t="shared" si="113"/>
        <v>0</v>
      </c>
      <c r="BN88" s="466">
        <f t="shared" si="114"/>
        <v>0</v>
      </c>
      <c r="BO88" s="463">
        <f>IF('Data Entry'!$C$74=0,0,IF(ISNA(CJ88),0,IF(AX88=0,0,IF(AND('Data Entry'!$C$74=2,AF88&gt;2,CE88&lt;1),0,IF(AND('Data Entry'!$C$74=2,AF88&gt;1,AU88=2,CJ88&gt;1),0,IF(AND(AF88=5,CT88=0.5,AU88=2,ER88&lt;100),0,IF(AND(AF88=5,CT88=0.5,AU88=3,ER88&lt;100),0,IF(AND('Data Entry'!$C$74=2,AF88=2,AU88=2,AK88&gt;0.01,CB88=2,CE88&lt;1),0,IF(AND('Data Entry'!$C$74=2,AF88=3,AU88=3,AK88&gt;0.01,CB88=3,CE88&lt;1),0,IF(AND('Data Entry'!$C$74=2,AF88=3,AU88=3,AK88&gt;0.01,CB88=3,CE88&gt;0.99),BQ88*0.08,IF(AND('Data Entry'!$C$74=2,AF88=2,AU88=2,AK88&gt;0.01,CB88=2,CE88&gt;0.99),BQ88*0.1,IF(AND(AU88=2,AK88&gt;0.01,CB88=2,CD88&gt;1),BQ88*0.1,IF(AND(AU88=3,AK88&gt;0.01,CB88=3,CD88&gt;1),BQ88*0.08,CJ88*EF88)))))))))))))</f>
        <v>0</v>
      </c>
      <c r="BP88" s="475">
        <f t="shared" si="115"/>
        <v>0</v>
      </c>
      <c r="BQ88" s="1431">
        <f>IF(AU88=1,0,IF(CH88=100,0,IF(AND(AF88=3,AU88=2),0,IF(AND(BH88=0,CT88&gt;0.4),0,IF(AND('Data Entry'!$C$74=2,AF88=1.5),0,IF(AND('Data Entry'!$C$74=2,AF88=1.6),0,IF(AND('Data Entry'!$C$74=2,AF88=4),0,IF(AND('Data Entry'!$C$74=2,AF88=5),0,IF(AND('Data Entry'!$C$74=2,AF88=2.5,CE88&lt;1),0,IF(AND('Data Entry'!$C$74=2,AF88=3,CE88&lt;1),0,IF(AND('Data Entry'!$C$74=1,AF88=2.5,CD88&lt;1),0,IF(AND('Data Entry'!$C$74=1,AF88=3,CD88&lt;1),0,IF(DX88&gt;0.01,DX88,IF(ISERROR(AX88-AY88),"",ROUND(AX88-AY88,2)))))))))))))))</f>
        <v>0</v>
      </c>
      <c r="BR88" s="146">
        <f t="shared" si="116"/>
        <v>0</v>
      </c>
      <c r="BS88" s="475">
        <f t="shared" si="117"/>
        <v>0</v>
      </c>
      <c r="BT88" s="146" t="b">
        <f t="shared" si="118"/>
        <v>0</v>
      </c>
      <c r="BU88" s="463">
        <f>IF(ISNA(AT88),0,IF(AND('Data Entry'!$C$74=2,BC88=27),0,IF(AND('Data Entry'!$C$74=2,BC88=28),0,IF(AND(BC88=27,BT88=27,CM88&gt;0.1),CM88*0.15,IF(AND(BC88=28,BT88=28,CM88&gt;0.1),CM88*0.12,0)))))</f>
        <v>0</v>
      </c>
      <c r="BV88" s="463">
        <f t="shared" si="78"/>
        <v>0</v>
      </c>
      <c r="BW88" s="463">
        <f t="shared" si="119"/>
        <v>0</v>
      </c>
      <c r="BX88" s="463">
        <f t="shared" si="120"/>
        <v>0</v>
      </c>
      <c r="BY88" s="463">
        <f t="shared" si="121"/>
        <v>0</v>
      </c>
      <c r="BZ88" s="463">
        <f t="shared" si="122"/>
        <v>0</v>
      </c>
      <c r="CA88" s="57">
        <f t="shared" si="150"/>
        <v>0</v>
      </c>
      <c r="CB88" s="56">
        <f t="shared" si="123"/>
        <v>1</v>
      </c>
      <c r="CC88" s="756">
        <f>IF(EE88=0,0,IF(EF88=0,0,IF(EE88&gt;AA88,0,IF(AND(AZ88&gt;AW88,AW88&gt;0),0,IF(CU88=0,0,Summary!AC391)))))</f>
        <v>0</v>
      </c>
      <c r="CD88" s="756">
        <f>IF(EE88=0,0,IF(EF88=0,0,IF(EE88&gt;AA88,0,IF(AND(AZ88&gt;AW88,AW88&gt;0),0,IF(CU88=0,0,Summary!AD391)))))</f>
        <v>0</v>
      </c>
      <c r="CE88" s="756">
        <f>IF(EF88=0,0,IF(EE88&gt;AA88,0,IF(CC88=0,0,IF(AND(AZ88&gt;AW88,AW88&gt;0),0,IF(CU88=0,0,Summary!AE391)))))</f>
        <v>0</v>
      </c>
      <c r="CF88" s="475">
        <f t="shared" si="124"/>
        <v>0</v>
      </c>
      <c r="CG88" s="476">
        <f t="shared" si="89"/>
        <v>0</v>
      </c>
      <c r="CH88" s="487">
        <f t="shared" si="125"/>
        <v>0</v>
      </c>
      <c r="CI88" s="756">
        <f t="shared" si="126"/>
        <v>0</v>
      </c>
      <c r="CJ88" s="487">
        <f>IF(CT88&gt;0.4,0,IF(AND(AU88=2,CH88=0,CT88=0.5,ER88=100),35,IF(AND(AU88=3,BB88&gt;75,CH88=0,CT88=0.5,ER88=100),25,IF(CB88&gt;1,0,IF(EF88&gt;EE88,0,IF(AND(AF88&gt;1,CH88=100),0,IF(AND(AF88=1,AY88=0),0,IF(AND(EF88&lt;=EE88,AW88&gt;=AZ88,'Data Entry'!$C$74=1,AU88=2),VLOOKUP(W88,$DO$96:$DP$102,2,FALSE),IF(AND(EF88&lt;=EE88,AW88&gt;=AZ88,AU88=3,'Data Entry'!$C$74=1),VLOOKUP(W88,$DO$127:$DP$134,2,FALSE))))))))))</f>
        <v>0</v>
      </c>
      <c r="CK88" s="716">
        <f t="shared" si="127"/>
        <v>0</v>
      </c>
      <c r="CL88" s="57">
        <f t="shared" si="128"/>
        <v>0</v>
      </c>
      <c r="CM88" s="475">
        <f t="shared" si="154"/>
        <v>0</v>
      </c>
      <c r="CN88" s="660">
        <f>IF(CM88&lt;0.1,0,IF(ISNA(AT88),0,IF(CL88+BC88=1,0,IF(BV88&gt;0.01,0,IF(CL88&gt;0.01,0,IF(CF88=1,0,IF(BC88=0.5,0,IF(AND(CI88=1,AU88=3),0,IF(AND(CI88=5,CL88=0),0,IF(AND(R88=12,BR88=50),0,IF(CK88&gt;0.01,0,IF(AND(AJ88&gt;0.01,AU88=2,BC88=15),CM88*0.1,IF(AND(AJ88&gt;0.01,AU88=3,BC88=15),CM88*0.08,IF(AND(R88=12,BC88=3,AF88&lt;=0),0,IF(AND(BC88=15,BI88=0),0,IF(AND(BC88=15,BJ88=0),0,IF(AND(R88=20,CU88=0),0,IF($X$4=0,0,IF(AND(BC88=250,CL88=0),0,IF(AA88&lt;1,0,IF(AND(ISNUMBER(SEARCH("Area",T88)),AU88=3),0,IF(AND(AQ88&gt;0.01,AR88=0,BK88=0,BL88=0,BM88=0,BN88=0),0,IF(AND(AU88=3,CI88=7,CT88&gt;0.5),0,IF(AND(BC88=44,AU88=3,BY88=0),0,IF(AND(BC88=27,'Data Entry'!$C$74=2),0,IF(AND(BC88=28,'Data Entry'!$C$74=2),0,IF(AND(BY88+BZ88+CA88&gt;0.01,BV88=0,EQ88+ER88+ES88+ET88&lt;100),0,IF(AU88=3,CM88*0.08,IF(AU88=2,CM88*0.1,0)))))))))))))))))))))))))))))</f>
        <v>0</v>
      </c>
      <c r="CO88" s="660">
        <f t="shared" si="129"/>
        <v>0</v>
      </c>
      <c r="CP88" s="475" t="str">
        <f t="shared" si="130"/>
        <v/>
      </c>
      <c r="CQ88" s="161" t="str">
        <f>IF(AH88=0,0,IF(AU88=5,0,Summary!AC91))</f>
        <v/>
      </c>
      <c r="CR88" s="161" t="str">
        <f>IF(BF88=0.5,0,IF(AU88=5,0,Summary!AD91))</f>
        <v/>
      </c>
      <c r="CS88" s="161" t="str">
        <f>IF(AU88=5,0,Summary!AE91)</f>
        <v/>
      </c>
      <c r="CT88" s="161">
        <f t="shared" si="131"/>
        <v>0</v>
      </c>
      <c r="CU88" s="475" t="str">
        <f t="shared" si="132"/>
        <v/>
      </c>
      <c r="CV88" s="307">
        <f>IF('Data Entry'!$C$74=0,0,IF(AA88&lt;1,0,IF(ISERROR(CU88),0,IF(CF88=1,0,IF(AND(R88=12,BR88=50),0,IF(CL88+BO88+BV88+DC88=0,0,IF(BC88=37,0,IF(AND(BC88=40,AJ88=0),0,IF(AND(BC88=37,BO88&gt;0.01,BQ88&gt;0.01),ROUND(BQ88,0),IF(CM88&lt;0,0,ROUND(CM88,0)))))))))))</f>
        <v>0</v>
      </c>
      <c r="CW88" s="700">
        <f t="shared" si="133"/>
        <v>0</v>
      </c>
      <c r="CX88" s="477">
        <f>IF('Data Entry'!$C$74=0,0,IF(CV88&lt;0.01,0,IF(BF88=0.5,0,IF(CF88=1,0,IF(ISNUMBER(SEARCH("false",CL88)),0,IF(AZ88=500,0,CL88))))))</f>
        <v>0</v>
      </c>
      <c r="CY88" s="147" t="e">
        <f t="shared" si="134"/>
        <v>#VALUE!</v>
      </c>
      <c r="CZ88" s="147" t="b">
        <f>IF(CN88+CL88=0,FALSE,IF(AH88=0,0,IF(AND('Data Entry'!$C$74=1,CR88&gt;=1),TRUE,IF(AND('Data Entry'!$C$74=2,CS88&gt;=1),TRUE,FALSE))))</f>
        <v>0</v>
      </c>
      <c r="DA88" s="1751">
        <f>IF('Data Entry'!$C$74=0,0,IFERROR(ROUND(IF(T88="","",IF($X$4=0,0,IF(CF88=1,0,IF(BQ88+CV88=0,0,IF(CF88=1,0,IF(CY88&gt;0.01,CY88,IF(CL88&gt;0.01,CL88,IF(CY88&gt;0.01,CY88,IF(BC88=37,BO88,IF(CZ88=FALSE,0,IF(CZ88=TRUE,DC88+DF88,0))))))))))),2),""))</f>
        <v>0</v>
      </c>
      <c r="DB88" s="1752"/>
      <c r="DC88" s="474">
        <f>IF(CN88&lt;0.01,0,IF(AND(BR88=3,CN88&gt;0.01,CT88&gt;0.6,ER88+ES88+ET88&lt;100),0,IF(AND('Data Entry'!$C$74=1,CN88&gt;0.01,CR88&gt;0.99),MIN(CN88:CO88),IF(AND('Data Entry'!$C$74=2,CN88&gt;0.01,CS88&gt;0.99),MIN(CN88:CO88),0))))</f>
        <v>0</v>
      </c>
      <c r="DD88" s="478">
        <f>IF(CF88=1,"Selection does not match",IF(T88=0,0,IF(AND('Data Entry'!$C$74=0,CP88&gt;1),"Select Oregon or Idaho on Data Entry Tab",IF(AND(AU88=1,AA88&gt;0.9),"Missing Interior or Exterior Selection",IF($X$4=0,"Enter Total Project Cost",IF(AQ88&lt;AR88,"Insufficient kWh savings – no incentive",IF(AND(SUM(CL88+CK88+BV88)&gt;0.01,'Data Entry'!$C$74=2,CJ88&gt;1,BO88=0),"Submit Control as Non-Standard",IF(AND('Data Entry'!$C$74=2,BR88=37,CJ88&gt;1,BO88=0),"Submit Control as Non-Standard",IF(SUM(CL88+CK88+BV88)&gt;0.01,"Standard Incentive",IF(AND('Data Entry'!$C$74=2,CP88=7,CN88=0),"Submit as Non-Standard",IF(DC88&gt;0.9,"Non-Standard Incentive",IF(AND(BY88+BZ88+CA88&gt;0.01,BV88=0,EQ88=0,ER88=0,ES88=0,ET88=0),"Scroll Right &amp; Select Control Strategies",IF(AND(CN88&gt;0.01,CO88=0),"Enter Unit Installed Cost",IF(ISNUMBER(SEARCH("Lighting Controls Only",F88)),"Lighting Controls Only",IF(CL88+DC88=0,"Does not meet incentive criteria",0)))))))))))))))</f>
        <v>0</v>
      </c>
      <c r="DE88" s="337">
        <f t="shared" si="135"/>
        <v>0</v>
      </c>
      <c r="DF88" s="609">
        <f t="shared" si="136"/>
        <v>0</v>
      </c>
      <c r="DG88" s="336" t="str">
        <f t="shared" si="137"/>
        <v/>
      </c>
      <c r="DH88" s="338">
        <f t="shared" si="138"/>
        <v>1</v>
      </c>
      <c r="DI88" s="336" t="e">
        <f t="shared" si="90"/>
        <v>#VALUE!</v>
      </c>
      <c r="DJ88" s="338">
        <f t="shared" si="91"/>
        <v>0</v>
      </c>
      <c r="DK88" s="325" t="s">
        <v>73</v>
      </c>
      <c r="DL88" s="341" t="s">
        <v>450</v>
      </c>
      <c r="DM88" s="325" t="s">
        <v>83</v>
      </c>
      <c r="DN88" s="1439"/>
      <c r="DO88" s="1444" t="s">
        <v>1762</v>
      </c>
      <c r="DP88" s="1333">
        <v>0</v>
      </c>
      <c r="DQ88" s="331"/>
      <c r="DR88" s="332"/>
      <c r="DS88" s="1195">
        <f t="shared" si="139"/>
        <v>0</v>
      </c>
      <c r="DT88" s="344" t="b">
        <f t="shared" si="140"/>
        <v>1</v>
      </c>
      <c r="DU88" s="1314" t="str">
        <f t="array" ref="DU88">IF(OR(COUNTIF(F88,"*"&amp;$DK$9:$DK$178&amp;"*")), "Yes", "")</f>
        <v/>
      </c>
      <c r="DV88" s="1314">
        <f t="shared" si="141"/>
        <v>0</v>
      </c>
      <c r="DW88" s="1480">
        <f t="shared" si="142"/>
        <v>0</v>
      </c>
      <c r="DX88" s="1498">
        <f t="shared" si="151"/>
        <v>0</v>
      </c>
      <c r="DY88" s="1484">
        <f t="shared" si="143"/>
        <v>0</v>
      </c>
      <c r="DZ88" s="331"/>
      <c r="EA88" s="392"/>
      <c r="EB88" s="1499" t="s">
        <v>1290</v>
      </c>
      <c r="EC88" s="727" t="s">
        <v>1568</v>
      </c>
      <c r="ED88" s="728">
        <v>0.5</v>
      </c>
      <c r="EE88" s="1215"/>
      <c r="EF88" s="1215"/>
      <c r="EG88" s="1184" t="str">
        <f t="shared" si="144"/>
        <v/>
      </c>
      <c r="EH88" s="55"/>
      <c r="EI88" s="55"/>
      <c r="EJ88" s="1185">
        <f t="shared" si="92"/>
        <v>0</v>
      </c>
      <c r="EK88" s="1211"/>
      <c r="EL88" s="1180">
        <f t="shared" si="93"/>
        <v>0</v>
      </c>
      <c r="EM88" s="207"/>
      <c r="EN88" s="1038"/>
      <c r="EO88" s="1038"/>
      <c r="EP88" s="207"/>
      <c r="EQ88" s="1038">
        <f t="shared" si="145"/>
        <v>0</v>
      </c>
      <c r="ER88" s="1041">
        <f t="shared" si="146"/>
        <v>0</v>
      </c>
      <c r="ES88" s="1042">
        <f t="shared" si="147"/>
        <v>0</v>
      </c>
      <c r="ET88" s="1042">
        <f t="shared" si="152"/>
        <v>0</v>
      </c>
      <c r="EU88" s="1021">
        <f t="shared" si="153"/>
        <v>0</v>
      </c>
      <c r="EV88" s="368"/>
      <c r="EW88" s="368"/>
      <c r="EX88" s="369"/>
      <c r="EY88" s="370"/>
      <c r="EZ88" s="370"/>
      <c r="FA88" s="371"/>
      <c r="FB88" s="372"/>
    </row>
    <row r="89" spans="1:158" ht="34.5" customHeight="1">
      <c r="A89" s="82">
        <v>81</v>
      </c>
      <c r="B89" s="1725"/>
      <c r="C89" s="1726"/>
      <c r="D89" s="1726"/>
      <c r="E89" s="1727"/>
      <c r="F89" s="1732"/>
      <c r="G89" s="1733"/>
      <c r="H89" s="1733"/>
      <c r="I89" s="1734"/>
      <c r="J89" s="1341"/>
      <c r="K89" s="1728"/>
      <c r="L89" s="1728"/>
      <c r="M89" s="1342"/>
      <c r="N89" s="1583"/>
      <c r="O89" s="208" t="str">
        <f t="shared" si="80"/>
        <v/>
      </c>
      <c r="P89" s="785"/>
      <c r="Q89" s="39" t="str">
        <f t="shared" si="81"/>
        <v/>
      </c>
      <c r="R89" s="39">
        <f t="shared" si="94"/>
        <v>0</v>
      </c>
      <c r="S89" s="234">
        <f t="shared" si="95"/>
        <v>0</v>
      </c>
      <c r="T89" s="1755"/>
      <c r="U89" s="1755"/>
      <c r="V89" s="1755"/>
      <c r="W89" s="1345"/>
      <c r="X89" s="1741"/>
      <c r="Y89" s="1742"/>
      <c r="Z89" s="1346"/>
      <c r="AA89" s="1343"/>
      <c r="AB89" s="1141"/>
      <c r="AC89" s="1103" t="str">
        <f>IF(T89="","",VLOOKUP(Z89,Lists!$A$60:$B$111,2,FALSE))</f>
        <v/>
      </c>
      <c r="AD89" s="130" t="str">
        <f t="shared" si="96"/>
        <v/>
      </c>
      <c r="AE89" s="130" t="e">
        <f t="shared" si="97"/>
        <v>#VALUE!</v>
      </c>
      <c r="AF89" s="130">
        <f t="shared" si="98"/>
        <v>1</v>
      </c>
      <c r="AG89" s="234">
        <f t="shared" si="82"/>
        <v>0</v>
      </c>
      <c r="AH89" s="1753" t="str">
        <f>IF(T89="","",(IF(ISNUMBER(SEARCH("exit",T89)),8760,IF(AND(M89="Dusk to Dawn",'Proposed Lighting'!AU89=3),4059,IF(AND(AU89=3,M89="1"),0,IF(AND(AU89=3,M89="1-C"),0,IF(AND(AU89=3,M89="2"),0,IF(AND(AU89=3,M89="2-C"),0,IF(AND(AU89=3,M89="3"),0,IF(AND(AU89=3,M89="3-C"),0,IF(AND(AU89=2,M89="Dusk to Dawn"),0,IF(AND(AU89=2,M89="Dusk to Dawn-C"),0,IF(AND(AU89=2,M89="Dusk to Dawn"),0,IF(AND(AU89=2,M89="E"),0,IF(AND(AU89=2,M89="E-C"),0,EG89)))))))))))))))</f>
        <v/>
      </c>
      <c r="AI89" s="1754"/>
      <c r="AJ89" s="1136"/>
      <c r="AK89" s="1136"/>
      <c r="AL89" s="1748">
        <f t="shared" si="99"/>
        <v>0</v>
      </c>
      <c r="AM89" s="1749"/>
      <c r="AN89" s="1750"/>
      <c r="AO89" s="476">
        <f t="shared" si="83"/>
        <v>0</v>
      </c>
      <c r="AP89" s="476">
        <f t="shared" si="100"/>
        <v>0</v>
      </c>
      <c r="AQ89" s="475">
        <f t="shared" si="84"/>
        <v>0</v>
      </c>
      <c r="AR89" s="475">
        <f t="shared" si="101"/>
        <v>0</v>
      </c>
      <c r="AS89" s="743" t="str">
        <f t="shared" si="79"/>
        <v/>
      </c>
      <c r="AT89" s="736" t="str">
        <f t="shared" si="102"/>
        <v/>
      </c>
      <c r="AU89" s="56">
        <f t="shared" si="103"/>
        <v>1</v>
      </c>
      <c r="AV89" s="476">
        <f t="shared" si="104"/>
        <v>0</v>
      </c>
      <c r="AW89" s="56">
        <f t="shared" si="105"/>
        <v>0</v>
      </c>
      <c r="AX89" s="475">
        <f t="shared" si="85"/>
        <v>0</v>
      </c>
      <c r="AY89" s="1169">
        <f t="shared" si="106"/>
        <v>0</v>
      </c>
      <c r="AZ89" s="1150">
        <f t="shared" si="148"/>
        <v>0</v>
      </c>
      <c r="BA89" s="56">
        <f t="shared" si="86"/>
        <v>0</v>
      </c>
      <c r="BB89" s="420">
        <f t="shared" si="87"/>
        <v>0</v>
      </c>
      <c r="BC89" s="58" t="str">
        <f t="shared" si="88"/>
        <v/>
      </c>
      <c r="BD89" s="660">
        <f t="shared" si="149"/>
        <v>0</v>
      </c>
      <c r="BE89" s="57" t="e">
        <f t="array" ref="BE89">INDEX($EB$11:$ED$1022,MATCH(F89&amp;T89,$EB$11:$EB$1007&amp;$EC$11:$EC$1007,0),3)</f>
        <v>#N/A</v>
      </c>
      <c r="BF89" s="463">
        <f t="shared" si="107"/>
        <v>0</v>
      </c>
      <c r="BG89" s="1445" t="e">
        <f t="array" ref="BG89">INDEX($DO$112:$DQ$123,MATCH(T89&amp;W89,$DO$114:$DO$125&amp;$DP$112:$DP$123,0),3)</f>
        <v>#N/A</v>
      </c>
      <c r="BH89" s="1446">
        <f t="shared" si="108"/>
        <v>0</v>
      </c>
      <c r="BI89" s="465">
        <f t="shared" si="109"/>
        <v>0</v>
      </c>
      <c r="BJ89" s="465">
        <f t="shared" si="110"/>
        <v>0</v>
      </c>
      <c r="BK89" s="466">
        <f t="shared" si="111"/>
        <v>0</v>
      </c>
      <c r="BL89" s="466">
        <f t="shared" si="112"/>
        <v>0</v>
      </c>
      <c r="BM89" s="466">
        <f t="shared" si="113"/>
        <v>0</v>
      </c>
      <c r="BN89" s="466">
        <f t="shared" si="114"/>
        <v>0</v>
      </c>
      <c r="BO89" s="463">
        <f>IF('Data Entry'!$C$74=0,0,IF(ISNA(CJ89),0,IF(AX89=0,0,IF(AND('Data Entry'!$C$74=2,AF89&gt;2,CE89&lt;1),0,IF(AND('Data Entry'!$C$74=2,AF89&gt;1,AU89=2,CJ89&gt;1),0,IF(AND(AF89=5,CT89=0.5,AU89=2,ER89&lt;100),0,IF(AND(AF89=5,CT89=0.5,AU89=3,ER89&lt;100),0,IF(AND('Data Entry'!$C$74=2,AF89=2,AU89=2,AK89&gt;0.01,CB89=2,CE89&lt;1),0,IF(AND('Data Entry'!$C$74=2,AF89=3,AU89=3,AK89&gt;0.01,CB89=3,CE89&lt;1),0,IF(AND('Data Entry'!$C$74=2,AF89=3,AU89=3,AK89&gt;0.01,CB89=3,CE89&gt;0.99),BQ89*0.08,IF(AND('Data Entry'!$C$74=2,AF89=2,AU89=2,AK89&gt;0.01,CB89=2,CE89&gt;0.99),BQ89*0.1,IF(AND(AU89=2,AK89&gt;0.01,CB89=2,CD89&gt;1),BQ89*0.1,IF(AND(AU89=3,AK89&gt;0.01,CB89=3,CD89&gt;1),BQ89*0.08,CJ89*EF89)))))))))))))</f>
        <v>0</v>
      </c>
      <c r="BP89" s="475">
        <f t="shared" si="115"/>
        <v>0</v>
      </c>
      <c r="BQ89" s="1431">
        <f>IF(AU89=1,0,IF(CH89=100,0,IF(AND(AF89=3,AU89=2),0,IF(AND(BH89=0,CT89&gt;0.4),0,IF(AND('Data Entry'!$C$74=2,AF89=1.5),0,IF(AND('Data Entry'!$C$74=2,AF89=1.6),0,IF(AND('Data Entry'!$C$74=2,AF89=4),0,IF(AND('Data Entry'!$C$74=2,AF89=5),0,IF(AND('Data Entry'!$C$74=2,AF89=2.5,CE89&lt;1),0,IF(AND('Data Entry'!$C$74=2,AF89=3,CE89&lt;1),0,IF(AND('Data Entry'!$C$74=1,AF89=2.5,CD89&lt;1),0,IF(AND('Data Entry'!$C$74=1,AF89=3,CD89&lt;1),0,IF(DX89&gt;0.01,DX89,IF(ISERROR(AX89-AY89),"",ROUND(AX89-AY89,2)))))))))))))))</f>
        <v>0</v>
      </c>
      <c r="BR89" s="146">
        <f t="shared" si="116"/>
        <v>0</v>
      </c>
      <c r="BS89" s="475">
        <f t="shared" si="117"/>
        <v>0</v>
      </c>
      <c r="BT89" s="146" t="b">
        <f t="shared" si="118"/>
        <v>0</v>
      </c>
      <c r="BU89" s="463">
        <f>IF(ISNA(AT89),0,IF(AND('Data Entry'!$C$74=2,BC89=27),0,IF(AND('Data Entry'!$C$74=2,BC89=28),0,IF(AND(BC89=27,BT89=27,CM89&gt;0.1),CM89*0.15,IF(AND(BC89=28,BT89=28,CM89&gt;0.1),CM89*0.12,0)))))</f>
        <v>0</v>
      </c>
      <c r="BV89" s="463">
        <f t="shared" ref="BV89:BV152" si="155">IF($X$4=0,0,IF(AND(CM89&lt;0.01,BQ89&lt;0.01),0,IF(ISNA(AT89),0,IF(BR89=3,0,IF(AND(BY89+BZ89+CA89&gt;0.01,EQ89+ER89+ES89+ET89&lt;100),0,IF(AA89&lt;1,0,IF(CB89=1,SUM(BI89+BJ89+BO89+BU89+BW89+BX89+BY89+BZ89+CA89+CK89),SUM(BI89+BJ89+BU89+BW89+BX89+BY89+BZ89+CA89+CK89))))))))</f>
        <v>0</v>
      </c>
      <c r="BW89" s="463">
        <f t="shared" si="119"/>
        <v>0</v>
      </c>
      <c r="BX89" s="463">
        <f t="shared" si="120"/>
        <v>0</v>
      </c>
      <c r="BY89" s="463">
        <f t="shared" si="121"/>
        <v>0</v>
      </c>
      <c r="BZ89" s="463">
        <f t="shared" si="122"/>
        <v>0</v>
      </c>
      <c r="CA89" s="57">
        <f t="shared" si="150"/>
        <v>0</v>
      </c>
      <c r="CB89" s="56">
        <f t="shared" si="123"/>
        <v>1</v>
      </c>
      <c r="CC89" s="756">
        <f>IF(EE89=0,0,IF(EF89=0,0,IF(EE89&gt;AA89,0,IF(AND(AZ89&gt;AW89,AW89&gt;0),0,IF(CU89=0,0,Summary!AC392)))))</f>
        <v>0</v>
      </c>
      <c r="CD89" s="756">
        <f>IF(EE89=0,0,IF(EF89=0,0,IF(EE89&gt;AA89,0,IF(AND(AZ89&gt;AW89,AW89&gt;0),0,IF(CU89=0,0,Summary!AD392)))))</f>
        <v>0</v>
      </c>
      <c r="CE89" s="756">
        <f>IF(EF89=0,0,IF(EE89&gt;AA89,0,IF(CC89=0,0,IF(AND(AZ89&gt;AW89,AW89&gt;0),0,IF(CU89=0,0,Summary!AE392)))))</f>
        <v>0</v>
      </c>
      <c r="CF89" s="475">
        <f t="shared" si="124"/>
        <v>0</v>
      </c>
      <c r="CG89" s="476">
        <f t="shared" si="89"/>
        <v>0</v>
      </c>
      <c r="CH89" s="487">
        <f t="shared" si="125"/>
        <v>0</v>
      </c>
      <c r="CI89" s="756">
        <f t="shared" si="126"/>
        <v>0</v>
      </c>
      <c r="CJ89" s="487">
        <f>IF(CT89&gt;0.4,0,IF(AND(AU89=2,CH89=0,CT89=0.5,ER89=100),35,IF(AND(AU89=3,BB89&gt;75,CH89=0,CT89=0.5,ER89=100),25,IF(CB89&gt;1,0,IF(EF89&gt;EE89,0,IF(AND(AF89&gt;1,CH89=100),0,IF(AND(AF89=1,AY89=0),0,IF(AND(EF89&lt;=EE89,AW89&gt;=AZ89,'Data Entry'!$C$74=1,AU89=2),VLOOKUP(W89,$DO$96:$DP$102,2,FALSE),IF(AND(EF89&lt;=EE89,AW89&gt;=AZ89,AU89=3,'Data Entry'!$C$74=1),VLOOKUP(W89,$DO$127:$DP$134,2,FALSE))))))))))</f>
        <v>0</v>
      </c>
      <c r="CK89" s="716">
        <f t="shared" si="127"/>
        <v>0</v>
      </c>
      <c r="CL89" s="57">
        <f t="shared" si="128"/>
        <v>0</v>
      </c>
      <c r="CM89" s="475">
        <f t="shared" si="154"/>
        <v>0</v>
      </c>
      <c r="CN89" s="660">
        <f>IF(CM89&lt;0.1,0,IF(ISNA(AT89),0,IF(CL89+BC89=1,0,IF(BV89&gt;0.01,0,IF(CL89&gt;0.01,0,IF(CF89=1,0,IF(BC89=0.5,0,IF(AND(CI89=1,AU89=3),0,IF(AND(CI89=5,CL89=0),0,IF(AND(R89=12,BR89=50),0,IF(CK89&gt;0.01,0,IF(AND(AJ89&gt;0.01,AU89=2,BC89=15),CM89*0.1,IF(AND(AJ89&gt;0.01,AU89=3,BC89=15),CM89*0.08,IF(AND(R89=12,BC89=3,AF89&lt;=0),0,IF(AND(BC89=15,BI89=0),0,IF(AND(BC89=15,BJ89=0),0,IF(AND(R89=20,CU89=0),0,IF($X$4=0,0,IF(AND(BC89=250,CL89=0),0,IF(AA89&lt;1,0,IF(AND(ISNUMBER(SEARCH("Area",T89)),AU89=3),0,IF(AND(AQ89&gt;0.01,AR89=0,BK89=0,BL89=0,BM89=0,BN89=0),0,IF(AND(AU89=3,CI89=7,CT89&gt;0.5),0,IF(AND(BC89=44,AU89=3,BY89=0),0,IF(AND(BC89=27,'Data Entry'!$C$74=2),0,IF(AND(BC89=28,'Data Entry'!$C$74=2),0,IF(AND(BY89+BZ89+CA89&gt;0.01,BV89=0,EQ89+ER89+ES89+ET89&lt;100),0,IF(AU89=3,CM89*0.08,IF(AU89=2,CM89*0.1,0)))))))))))))))))))))))))))))</f>
        <v>0</v>
      </c>
      <c r="CO89" s="660">
        <f t="shared" si="129"/>
        <v>0</v>
      </c>
      <c r="CP89" s="475" t="str">
        <f t="shared" si="130"/>
        <v/>
      </c>
      <c r="CQ89" s="161" t="str">
        <f>IF(AH89=0,0,IF(AU89=5,0,Summary!AC92))</f>
        <v/>
      </c>
      <c r="CR89" s="161" t="str">
        <f>IF(BF89=0.5,0,IF(AU89=5,0,Summary!AD92))</f>
        <v/>
      </c>
      <c r="CS89" s="161" t="str">
        <f>IF(AU89=5,0,Summary!AE92)</f>
        <v/>
      </c>
      <c r="CT89" s="161">
        <f t="shared" si="131"/>
        <v>0</v>
      </c>
      <c r="CU89" s="475" t="str">
        <f t="shared" si="132"/>
        <v/>
      </c>
      <c r="CV89" s="307">
        <f>IF('Data Entry'!$C$74=0,0,IF(AA89&lt;1,0,IF(ISERROR(CU89),0,IF(CF89=1,0,IF(AND(R89=12,BR89=50),0,IF(CL89+BO89+BV89+DC89=0,0,IF(BC89=37,0,IF(AND(BC89=40,AJ89=0),0,IF(AND(BC89=37,BO89&gt;0.01,BQ89&gt;0.01),ROUND(BQ89,0),IF(CM89&lt;0,0,ROUND(CM89,0)))))))))))</f>
        <v>0</v>
      </c>
      <c r="CW89" s="700">
        <f t="shared" si="133"/>
        <v>0</v>
      </c>
      <c r="CX89" s="477">
        <f>IF('Data Entry'!$C$74=0,0,IF(CV89&lt;0.01,0,IF(BF89=0.5,0,IF(CF89=1,0,IF(ISNUMBER(SEARCH("false",CL89)),0,IF(AZ89=500,0,CL89))))))</f>
        <v>0</v>
      </c>
      <c r="CY89" s="147" t="e">
        <f t="shared" si="134"/>
        <v>#VALUE!</v>
      </c>
      <c r="CZ89" s="147" t="b">
        <f>IF(CN89+CL89=0,FALSE,IF(AH89=0,0,IF(AND('Data Entry'!$C$74=1,CR89&gt;=1),TRUE,IF(AND('Data Entry'!$C$74=2,CS89&gt;=1),TRUE,FALSE))))</f>
        <v>0</v>
      </c>
      <c r="DA89" s="1751">
        <f>IF('Data Entry'!$C$74=0,0,IFERROR(ROUND(IF(T89="","",IF($X$4=0,0,IF(CF89=1,0,IF(BQ89+CV89=0,0,IF(CF89=1,0,IF(CY89&gt;0.01,CY89,IF(CL89&gt;0.01,CL89,IF(CY89&gt;0.01,CY89,IF(BC89=37,BO89,IF(CZ89=FALSE,0,IF(CZ89=TRUE,DC89+DF89,0))))))))))),2),""))</f>
        <v>0</v>
      </c>
      <c r="DB89" s="1752"/>
      <c r="DC89" s="474">
        <f>IF(CN89&lt;0.01,0,IF(AND(BR89=3,CN89&gt;0.01,CT89&gt;0.6,ER89+ES89+ET89&lt;100),0,IF(AND('Data Entry'!$C$74=1,CN89&gt;0.01,CR89&gt;0.99),MIN(CN89:CO89),IF(AND('Data Entry'!$C$74=2,CN89&gt;0.01,CS89&gt;0.99),MIN(CN89:CO89),0))))</f>
        <v>0</v>
      </c>
      <c r="DD89" s="478">
        <f>IF(CF89=1,"Selection does not match",IF(T89=0,0,IF(AND('Data Entry'!$C$74=0,CP89&gt;1),"Select Oregon or Idaho on Data Entry Tab",IF(AND(AU89=1,AA89&gt;0.9),"Missing Interior or Exterior Selection",IF($X$4=0,"Enter Total Project Cost",IF(AQ89&lt;AR89,"Insufficient kWh savings – no incentive",IF(AND(SUM(CL89+CK89+BV89)&gt;0.01,'Data Entry'!$C$74=2,CJ89&gt;1,BO89=0),"Submit Control as Non-Standard",IF(AND('Data Entry'!$C$74=2,BR89=37,CJ89&gt;1,BO89=0),"Submit Control as Non-Standard",IF(SUM(CL89+CK89+BV89)&gt;0.01,"Standard Incentive",IF(AND('Data Entry'!$C$74=2,CP89=7,CN89=0),"Submit as Non-Standard",IF(DC89&gt;0.9,"Non-Standard Incentive",IF(AND(BY89+BZ89+CA89&gt;0.01,BV89=0,EQ89=0,ER89=0,ES89=0,ET89=0),"Scroll Right &amp; Select Control Strategies",IF(AND(CN89&gt;0.01,CO89=0),"Enter Unit Installed Cost",IF(ISNUMBER(SEARCH("Lighting Controls Only",F89)),"Lighting Controls Only",IF(CL89+DC89=0,"Does not meet incentive criteria",0)))))))))))))))</f>
        <v>0</v>
      </c>
      <c r="DE89" s="337">
        <f t="shared" si="135"/>
        <v>0</v>
      </c>
      <c r="DF89" s="609">
        <f t="shared" si="136"/>
        <v>0</v>
      </c>
      <c r="DG89" s="336" t="str">
        <f t="shared" si="137"/>
        <v/>
      </c>
      <c r="DH89" s="338">
        <f t="shared" si="138"/>
        <v>1</v>
      </c>
      <c r="DI89" s="336" t="e">
        <f t="shared" si="90"/>
        <v>#VALUE!</v>
      </c>
      <c r="DJ89" s="338">
        <f t="shared" si="91"/>
        <v>0</v>
      </c>
      <c r="DK89" s="325" t="s">
        <v>126</v>
      </c>
      <c r="DL89" s="341">
        <v>74</v>
      </c>
      <c r="DM89" s="325" t="s">
        <v>84</v>
      </c>
      <c r="DN89" s="1439"/>
      <c r="DO89" s="1444" t="s">
        <v>1763</v>
      </c>
      <c r="DP89" s="1333">
        <v>0</v>
      </c>
      <c r="DQ89" s="331"/>
      <c r="DR89" s="332"/>
      <c r="DS89" s="1195">
        <f t="shared" si="139"/>
        <v>0</v>
      </c>
      <c r="DT89" s="344" t="b">
        <f t="shared" si="140"/>
        <v>1</v>
      </c>
      <c r="DU89" s="1314" t="str">
        <f t="array" ref="DU89">IF(OR(COUNTIF(F89,"*"&amp;$DK$9:$DK$178&amp;"*")), "Yes", "")</f>
        <v/>
      </c>
      <c r="DV89" s="1314">
        <f t="shared" si="141"/>
        <v>0</v>
      </c>
      <c r="DW89" s="1480">
        <f t="shared" si="142"/>
        <v>0</v>
      </c>
      <c r="DX89" s="1498">
        <f t="shared" si="151"/>
        <v>0</v>
      </c>
      <c r="DY89" s="1484">
        <f t="shared" si="143"/>
        <v>0</v>
      </c>
      <c r="DZ89" s="331"/>
      <c r="EA89" s="392"/>
      <c r="EB89" s="1499" t="s">
        <v>1291</v>
      </c>
      <c r="EC89" s="727" t="s">
        <v>1568</v>
      </c>
      <c r="ED89" s="728">
        <v>0.5</v>
      </c>
      <c r="EE89" s="1215"/>
      <c r="EF89" s="1215"/>
      <c r="EG89" s="1184" t="str">
        <f t="shared" si="144"/>
        <v/>
      </c>
      <c r="EH89" s="55"/>
      <c r="EI89" s="55"/>
      <c r="EJ89" s="1185">
        <f t="shared" si="92"/>
        <v>0</v>
      </c>
      <c r="EK89" s="1211"/>
      <c r="EL89" s="1180">
        <f t="shared" si="93"/>
        <v>0</v>
      </c>
      <c r="EM89" s="207"/>
      <c r="EN89" s="1038"/>
      <c r="EO89" s="1038"/>
      <c r="EP89" s="207"/>
      <c r="EQ89" s="1038">
        <f t="shared" si="145"/>
        <v>0</v>
      </c>
      <c r="ER89" s="1041">
        <f t="shared" si="146"/>
        <v>0</v>
      </c>
      <c r="ES89" s="1042">
        <f t="shared" si="147"/>
        <v>0</v>
      </c>
      <c r="ET89" s="1042">
        <f t="shared" si="152"/>
        <v>0</v>
      </c>
      <c r="EU89" s="1021">
        <f t="shared" si="153"/>
        <v>0</v>
      </c>
      <c r="EV89" s="368"/>
      <c r="EW89" s="368"/>
      <c r="EX89" s="369"/>
      <c r="EY89" s="370"/>
      <c r="EZ89" s="370"/>
      <c r="FA89" s="371"/>
      <c r="FB89" s="372"/>
    </row>
    <row r="90" spans="1:158" ht="34.5" customHeight="1">
      <c r="A90" s="82">
        <v>82</v>
      </c>
      <c r="B90" s="1725"/>
      <c r="C90" s="1726"/>
      <c r="D90" s="1726"/>
      <c r="E90" s="1727"/>
      <c r="F90" s="1732"/>
      <c r="G90" s="1733"/>
      <c r="H90" s="1733"/>
      <c r="I90" s="1734"/>
      <c r="J90" s="1341"/>
      <c r="K90" s="1728"/>
      <c r="L90" s="1728"/>
      <c r="M90" s="1342"/>
      <c r="N90" s="1583"/>
      <c r="O90" s="208" t="str">
        <f t="shared" si="80"/>
        <v/>
      </c>
      <c r="P90" s="785"/>
      <c r="Q90" s="39" t="str">
        <f t="shared" si="81"/>
        <v/>
      </c>
      <c r="R90" s="39">
        <f t="shared" si="94"/>
        <v>0</v>
      </c>
      <c r="S90" s="234">
        <f t="shared" si="95"/>
        <v>0</v>
      </c>
      <c r="T90" s="1755"/>
      <c r="U90" s="1755"/>
      <c r="V90" s="1755"/>
      <c r="W90" s="1345"/>
      <c r="X90" s="1741"/>
      <c r="Y90" s="1742"/>
      <c r="Z90" s="1346"/>
      <c r="AA90" s="1343"/>
      <c r="AB90" s="1141"/>
      <c r="AC90" s="1103" t="str">
        <f>IF(T90="","",VLOOKUP(Z90,Lists!$A$60:$B$111,2,FALSE))</f>
        <v/>
      </c>
      <c r="AD90" s="130" t="str">
        <f t="shared" si="96"/>
        <v/>
      </c>
      <c r="AE90" s="130" t="e">
        <f t="shared" si="97"/>
        <v>#VALUE!</v>
      </c>
      <c r="AF90" s="130">
        <f t="shared" si="98"/>
        <v>1</v>
      </c>
      <c r="AG90" s="234">
        <f t="shared" si="82"/>
        <v>0</v>
      </c>
      <c r="AH90" s="1753" t="str">
        <f>IF(T90="","",(IF(ISNUMBER(SEARCH("exit",T90)),8760,IF(AND(M90="Dusk to Dawn",'Proposed Lighting'!AU90=3),4059,IF(AND(AU90=3,M90="1"),0,IF(AND(AU90=3,M90="1-C"),0,IF(AND(AU90=3,M90="2"),0,IF(AND(AU90=3,M90="2-C"),0,IF(AND(AU90=3,M90="3"),0,IF(AND(AU90=3,M90="3-C"),0,IF(AND(AU90=2,M90="Dusk to Dawn"),0,IF(AND(AU90=2,M90="Dusk to Dawn-C"),0,IF(AND(AU90=2,M90="Dusk to Dawn"),0,IF(AND(AU90=2,M90="E"),0,IF(AND(AU90=2,M90="E-C"),0,EG90)))))))))))))))</f>
        <v/>
      </c>
      <c r="AI90" s="1754"/>
      <c r="AJ90" s="1136"/>
      <c r="AK90" s="1136"/>
      <c r="AL90" s="1748">
        <f t="shared" si="99"/>
        <v>0</v>
      </c>
      <c r="AM90" s="1749"/>
      <c r="AN90" s="1750"/>
      <c r="AO90" s="476">
        <f t="shared" si="83"/>
        <v>0</v>
      </c>
      <c r="AP90" s="476">
        <f t="shared" si="100"/>
        <v>0</v>
      </c>
      <c r="AQ90" s="475">
        <f t="shared" si="84"/>
        <v>0</v>
      </c>
      <c r="AR90" s="475">
        <f t="shared" si="101"/>
        <v>0</v>
      </c>
      <c r="AS90" s="743" t="str">
        <f t="shared" si="79"/>
        <v/>
      </c>
      <c r="AT90" s="736" t="str">
        <f t="shared" si="102"/>
        <v/>
      </c>
      <c r="AU90" s="56">
        <f t="shared" si="103"/>
        <v>1</v>
      </c>
      <c r="AV90" s="476">
        <f t="shared" si="104"/>
        <v>0</v>
      </c>
      <c r="AW90" s="56">
        <f t="shared" si="105"/>
        <v>0</v>
      </c>
      <c r="AX90" s="475">
        <f t="shared" si="85"/>
        <v>0</v>
      </c>
      <c r="AY90" s="1169">
        <f t="shared" si="106"/>
        <v>0</v>
      </c>
      <c r="AZ90" s="1150">
        <f t="shared" si="148"/>
        <v>0</v>
      </c>
      <c r="BA90" s="56">
        <f t="shared" si="86"/>
        <v>0</v>
      </c>
      <c r="BB90" s="420">
        <f t="shared" si="87"/>
        <v>0</v>
      </c>
      <c r="BC90" s="58" t="str">
        <f t="shared" si="88"/>
        <v/>
      </c>
      <c r="BD90" s="660">
        <f t="shared" si="149"/>
        <v>0</v>
      </c>
      <c r="BE90" s="57" t="e">
        <f t="array" ref="BE90">INDEX($EB$11:$ED$1022,MATCH(F90&amp;T90,$EB$11:$EB$1007&amp;$EC$11:$EC$1007,0),3)</f>
        <v>#N/A</v>
      </c>
      <c r="BF90" s="463">
        <f t="shared" si="107"/>
        <v>0</v>
      </c>
      <c r="BG90" s="1445" t="e">
        <f t="array" ref="BG90">INDEX($DO$112:$DQ$123,MATCH(T90&amp;W90,$DO$114:$DO$125&amp;$DP$112:$DP$123,0),3)</f>
        <v>#N/A</v>
      </c>
      <c r="BH90" s="1446">
        <f t="shared" si="108"/>
        <v>0</v>
      </c>
      <c r="BI90" s="465">
        <f t="shared" si="109"/>
        <v>0</v>
      </c>
      <c r="BJ90" s="465">
        <f t="shared" si="110"/>
        <v>0</v>
      </c>
      <c r="BK90" s="466">
        <f t="shared" si="111"/>
        <v>0</v>
      </c>
      <c r="BL90" s="466">
        <f t="shared" si="112"/>
        <v>0</v>
      </c>
      <c r="BM90" s="466">
        <f t="shared" si="113"/>
        <v>0</v>
      </c>
      <c r="BN90" s="466">
        <f t="shared" si="114"/>
        <v>0</v>
      </c>
      <c r="BO90" s="463">
        <f>IF('Data Entry'!$C$74=0,0,IF(ISNA(CJ90),0,IF(AX90=0,0,IF(AND('Data Entry'!$C$74=2,AF90&gt;2,CE90&lt;1),0,IF(AND('Data Entry'!$C$74=2,AF90&gt;1,AU90=2,CJ90&gt;1),0,IF(AND(AF90=5,CT90=0.5,AU90=2,ER90&lt;100),0,IF(AND(AF90=5,CT90=0.5,AU90=3,ER90&lt;100),0,IF(AND('Data Entry'!$C$74=2,AF90=2,AU90=2,AK90&gt;0.01,CB90=2,CE90&lt;1),0,IF(AND('Data Entry'!$C$74=2,AF90=3,AU90=3,AK90&gt;0.01,CB90=3,CE90&lt;1),0,IF(AND('Data Entry'!$C$74=2,AF90=3,AU90=3,AK90&gt;0.01,CB90=3,CE90&gt;0.99),BQ90*0.08,IF(AND('Data Entry'!$C$74=2,AF90=2,AU90=2,AK90&gt;0.01,CB90=2,CE90&gt;0.99),BQ90*0.1,IF(AND(AU90=2,AK90&gt;0.01,CB90=2,CD90&gt;1),BQ90*0.1,IF(AND(AU90=3,AK90&gt;0.01,CB90=3,CD90&gt;1),BQ90*0.08,CJ90*EF90)))))))))))))</f>
        <v>0</v>
      </c>
      <c r="BP90" s="475">
        <f t="shared" si="115"/>
        <v>0</v>
      </c>
      <c r="BQ90" s="1431">
        <f>IF(AU90=1,0,IF(CH90=100,0,IF(AND(AF90=3,AU90=2),0,IF(AND(BH90=0,CT90&gt;0.4),0,IF(AND('Data Entry'!$C$74=2,AF90=1.5),0,IF(AND('Data Entry'!$C$74=2,AF90=1.6),0,IF(AND('Data Entry'!$C$74=2,AF90=4),0,IF(AND('Data Entry'!$C$74=2,AF90=5),0,IF(AND('Data Entry'!$C$74=2,AF90=2.5,CE90&lt;1),0,IF(AND('Data Entry'!$C$74=2,AF90=3,CE90&lt;1),0,IF(AND('Data Entry'!$C$74=1,AF90=2.5,CD90&lt;1),0,IF(AND('Data Entry'!$C$74=1,AF90=3,CD90&lt;1),0,IF(DX90&gt;0.01,DX90,IF(ISERROR(AX90-AY90),"",ROUND(AX90-AY90,2)))))))))))))))</f>
        <v>0</v>
      </c>
      <c r="BR90" s="146">
        <f t="shared" si="116"/>
        <v>0</v>
      </c>
      <c r="BS90" s="475">
        <f t="shared" si="117"/>
        <v>0</v>
      </c>
      <c r="BT90" s="146" t="b">
        <f t="shared" si="118"/>
        <v>0</v>
      </c>
      <c r="BU90" s="463">
        <f>IF(ISNA(AT90),0,IF(AND('Data Entry'!$C$74=2,BC90=27),0,IF(AND('Data Entry'!$C$74=2,BC90=28),0,IF(AND(BC90=27,BT90=27,CM90&gt;0.1),CM90*0.15,IF(AND(BC90=28,BT90=28,CM90&gt;0.1),CM90*0.12,0)))))</f>
        <v>0</v>
      </c>
      <c r="BV90" s="463">
        <f t="shared" si="155"/>
        <v>0</v>
      </c>
      <c r="BW90" s="463">
        <f t="shared" si="119"/>
        <v>0</v>
      </c>
      <c r="BX90" s="463">
        <f t="shared" si="120"/>
        <v>0</v>
      </c>
      <c r="BY90" s="463">
        <f t="shared" si="121"/>
        <v>0</v>
      </c>
      <c r="BZ90" s="463">
        <f t="shared" si="122"/>
        <v>0</v>
      </c>
      <c r="CA90" s="57">
        <f t="shared" si="150"/>
        <v>0</v>
      </c>
      <c r="CB90" s="56">
        <f t="shared" si="123"/>
        <v>1</v>
      </c>
      <c r="CC90" s="756">
        <f>IF(EE90=0,0,IF(EF90=0,0,IF(EE90&gt;AA90,0,IF(AND(AZ90&gt;AW90,AW90&gt;0),0,IF(CU90=0,0,Summary!AC393)))))</f>
        <v>0</v>
      </c>
      <c r="CD90" s="756">
        <f>IF(EE90=0,0,IF(EF90=0,0,IF(EE90&gt;AA90,0,IF(AND(AZ90&gt;AW90,AW90&gt;0),0,IF(CU90=0,0,Summary!AD393)))))</f>
        <v>0</v>
      </c>
      <c r="CE90" s="756">
        <f>IF(EF90=0,0,IF(EE90&gt;AA90,0,IF(CC90=0,0,IF(AND(AZ90&gt;AW90,AW90&gt;0),0,IF(CU90=0,0,Summary!AE393)))))</f>
        <v>0</v>
      </c>
      <c r="CF90" s="475">
        <f t="shared" si="124"/>
        <v>0</v>
      </c>
      <c r="CG90" s="476">
        <f t="shared" si="89"/>
        <v>0</v>
      </c>
      <c r="CH90" s="487">
        <f t="shared" si="125"/>
        <v>0</v>
      </c>
      <c r="CI90" s="756">
        <f t="shared" si="126"/>
        <v>0</v>
      </c>
      <c r="CJ90" s="487">
        <f>IF(CT90&gt;0.4,0,IF(AND(AU90=2,CH90=0,CT90=0.5,ER90=100),35,IF(AND(AU90=3,BB90&gt;75,CH90=0,CT90=0.5,ER90=100),25,IF(CB90&gt;1,0,IF(EF90&gt;EE90,0,IF(AND(AF90&gt;1,CH90=100),0,IF(AND(AF90=1,AY90=0),0,IF(AND(EF90&lt;=EE90,AW90&gt;=AZ90,'Data Entry'!$C$74=1,AU90=2),VLOOKUP(W90,$DO$96:$DP$102,2,FALSE),IF(AND(EF90&lt;=EE90,AW90&gt;=AZ90,AU90=3,'Data Entry'!$C$74=1),VLOOKUP(W90,$DO$127:$DP$134,2,FALSE))))))))))</f>
        <v>0</v>
      </c>
      <c r="CK90" s="716">
        <f t="shared" si="127"/>
        <v>0</v>
      </c>
      <c r="CL90" s="57">
        <f t="shared" si="128"/>
        <v>0</v>
      </c>
      <c r="CM90" s="475">
        <f t="shared" si="154"/>
        <v>0</v>
      </c>
      <c r="CN90" s="660">
        <f>IF(CM90&lt;0.1,0,IF(ISNA(AT90),0,IF(CL90+BC90=1,0,IF(BV90&gt;0.01,0,IF(CL90&gt;0.01,0,IF(CF90=1,0,IF(BC90=0.5,0,IF(AND(CI90=1,AU90=3),0,IF(AND(CI90=5,CL90=0),0,IF(AND(R90=12,BR90=50),0,IF(CK90&gt;0.01,0,IF(AND(AJ90&gt;0.01,AU90=2,BC90=15),CM90*0.1,IF(AND(AJ90&gt;0.01,AU90=3,BC90=15),CM90*0.08,IF(AND(R90=12,BC90=3,AF90&lt;=0),0,IF(AND(BC90=15,BI90=0),0,IF(AND(BC90=15,BJ90=0),0,IF(AND(R90=20,CU90=0),0,IF($X$4=0,0,IF(AND(BC90=250,CL90=0),0,IF(AA90&lt;1,0,IF(AND(ISNUMBER(SEARCH("Area",T90)),AU90=3),0,IF(AND(AQ90&gt;0.01,AR90=0,BK90=0,BL90=0,BM90=0,BN90=0),0,IF(AND(AU90=3,CI90=7,CT90&gt;0.5),0,IF(AND(BC90=44,AU90=3,BY90=0),0,IF(AND(BC90=27,'Data Entry'!$C$74=2),0,IF(AND(BC90=28,'Data Entry'!$C$74=2),0,IF(AND(BY90+BZ90+CA90&gt;0.01,BV90=0,EQ90+ER90+ES90+ET90&lt;100),0,IF(AU90=3,CM90*0.08,IF(AU90=2,CM90*0.1,0)))))))))))))))))))))))))))))</f>
        <v>0</v>
      </c>
      <c r="CO90" s="660">
        <f t="shared" si="129"/>
        <v>0</v>
      </c>
      <c r="CP90" s="475" t="str">
        <f t="shared" si="130"/>
        <v/>
      </c>
      <c r="CQ90" s="161" t="str">
        <f>IF(AH90=0,0,IF(AU90=5,0,Summary!AC93))</f>
        <v/>
      </c>
      <c r="CR90" s="161" t="str">
        <f>IF(BF90=0.5,0,IF(AU90=5,0,Summary!AD93))</f>
        <v/>
      </c>
      <c r="CS90" s="161" t="str">
        <f>IF(AU90=5,0,Summary!AE93)</f>
        <v/>
      </c>
      <c r="CT90" s="161">
        <f t="shared" si="131"/>
        <v>0</v>
      </c>
      <c r="CU90" s="475" t="str">
        <f t="shared" si="132"/>
        <v/>
      </c>
      <c r="CV90" s="307">
        <f>IF('Data Entry'!$C$74=0,0,IF(AA90&lt;1,0,IF(ISERROR(CU90),0,IF(CF90=1,0,IF(AND(R90=12,BR90=50),0,IF(CL90+BO90+BV90+DC90=0,0,IF(BC90=37,0,IF(AND(BC90=40,AJ90=0),0,IF(AND(BC90=37,BO90&gt;0.01,BQ90&gt;0.01),ROUND(BQ90,0),IF(CM90&lt;0,0,ROUND(CM90,0)))))))))))</f>
        <v>0</v>
      </c>
      <c r="CW90" s="700">
        <f t="shared" si="133"/>
        <v>0</v>
      </c>
      <c r="CX90" s="477">
        <f>IF('Data Entry'!$C$74=0,0,IF(CV90&lt;0.01,0,IF(BF90=0.5,0,IF(CF90=1,0,IF(ISNUMBER(SEARCH("false",CL90)),0,IF(AZ90=500,0,CL90))))))</f>
        <v>0</v>
      </c>
      <c r="CY90" s="147" t="e">
        <f t="shared" si="134"/>
        <v>#VALUE!</v>
      </c>
      <c r="CZ90" s="147" t="b">
        <f>IF(CN90+CL90=0,FALSE,IF(AH90=0,0,IF(AND('Data Entry'!$C$74=1,CR90&gt;=1),TRUE,IF(AND('Data Entry'!$C$74=2,CS90&gt;=1),TRUE,FALSE))))</f>
        <v>0</v>
      </c>
      <c r="DA90" s="1751">
        <f>IF('Data Entry'!$C$74=0,0,IFERROR(ROUND(IF(T90="","",IF($X$4=0,0,IF(CF90=1,0,IF(BQ90+CV90=0,0,IF(CF90=1,0,IF(CY90&gt;0.01,CY90,IF(CL90&gt;0.01,CL90,IF(CY90&gt;0.01,CY90,IF(BC90=37,BO90,IF(CZ90=FALSE,0,IF(CZ90=TRUE,DC90+DF90,0))))))))))),2),""))</f>
        <v>0</v>
      </c>
      <c r="DB90" s="1752"/>
      <c r="DC90" s="474">
        <f>IF(CN90&lt;0.01,0,IF(AND(BR90=3,CN90&gt;0.01,CT90&gt;0.6,ER90+ES90+ET90&lt;100),0,IF(AND('Data Entry'!$C$74=1,CN90&gt;0.01,CR90&gt;0.99),MIN(CN90:CO90),IF(AND('Data Entry'!$C$74=2,CN90&gt;0.01,CS90&gt;0.99),MIN(CN90:CO90),0))))</f>
        <v>0</v>
      </c>
      <c r="DD90" s="478">
        <f>IF(CF90=1,"Selection does not match",IF(T90=0,0,IF(AND('Data Entry'!$C$74=0,CP90&gt;1),"Select Oregon or Idaho on Data Entry Tab",IF(AND(AU90=1,AA90&gt;0.9),"Missing Interior or Exterior Selection",IF($X$4=0,"Enter Total Project Cost",IF(AQ90&lt;AR90,"Insufficient kWh savings – no incentive",IF(AND(SUM(CL90+CK90+BV90)&gt;0.01,'Data Entry'!$C$74=2,CJ90&gt;1,BO90=0),"Submit Control as Non-Standard",IF(AND('Data Entry'!$C$74=2,BR90=37,CJ90&gt;1,BO90=0),"Submit Control as Non-Standard",IF(SUM(CL90+CK90+BV90)&gt;0.01,"Standard Incentive",IF(AND('Data Entry'!$C$74=2,CP90=7,CN90=0),"Submit as Non-Standard",IF(DC90&gt;0.9,"Non-Standard Incentive",IF(AND(BY90+BZ90+CA90&gt;0.01,BV90=0,EQ90=0,ER90=0,ES90=0,ET90=0),"Scroll Right &amp; Select Control Strategies",IF(AND(CN90&gt;0.01,CO90=0),"Enter Unit Installed Cost",IF(ISNUMBER(SEARCH("Lighting Controls Only",F90)),"Lighting Controls Only",IF(CL90+DC90=0,"Does not meet incentive criteria",0)))))))))))))))</f>
        <v>0</v>
      </c>
      <c r="DE90" s="337">
        <f t="shared" si="135"/>
        <v>0</v>
      </c>
      <c r="DF90" s="609">
        <f t="shared" si="136"/>
        <v>0</v>
      </c>
      <c r="DG90" s="336" t="str">
        <f t="shared" si="137"/>
        <v/>
      </c>
      <c r="DH90" s="338">
        <f t="shared" si="138"/>
        <v>1</v>
      </c>
      <c r="DI90" s="336" t="e">
        <f t="shared" si="90"/>
        <v>#VALUE!</v>
      </c>
      <c r="DJ90" s="338">
        <f t="shared" si="91"/>
        <v>0</v>
      </c>
      <c r="DK90" s="325" t="s">
        <v>127</v>
      </c>
      <c r="DL90" s="341">
        <v>119</v>
      </c>
      <c r="DM90" s="325" t="s">
        <v>85</v>
      </c>
      <c r="DN90" s="1439"/>
      <c r="DO90" s="1444" t="s">
        <v>1764</v>
      </c>
      <c r="DP90" s="1333">
        <v>75</v>
      </c>
      <c r="DQ90" s="331"/>
      <c r="DR90" s="332"/>
      <c r="DS90" s="1195">
        <f t="shared" si="139"/>
        <v>0</v>
      </c>
      <c r="DT90" s="344" t="b">
        <f t="shared" si="140"/>
        <v>1</v>
      </c>
      <c r="DU90" s="1314" t="str">
        <f t="array" ref="DU90">IF(OR(COUNTIF(F90,"*"&amp;$DK$9:$DK$178&amp;"*")), "Yes", "")</f>
        <v/>
      </c>
      <c r="DV90" s="1314">
        <f t="shared" si="141"/>
        <v>0</v>
      </c>
      <c r="DW90" s="1480">
        <f t="shared" si="142"/>
        <v>0</v>
      </c>
      <c r="DX90" s="1498">
        <f t="shared" si="151"/>
        <v>0</v>
      </c>
      <c r="DY90" s="1484">
        <f t="shared" si="143"/>
        <v>0</v>
      </c>
      <c r="DZ90" s="331"/>
      <c r="EA90" s="392"/>
      <c r="EB90" s="1499" t="s">
        <v>1292</v>
      </c>
      <c r="EC90" s="727" t="s">
        <v>1568</v>
      </c>
      <c r="ED90" s="728">
        <v>0.5</v>
      </c>
      <c r="EE90" s="1215"/>
      <c r="EF90" s="1215"/>
      <c r="EG90" s="1184" t="str">
        <f t="shared" si="144"/>
        <v/>
      </c>
      <c r="EH90" s="55"/>
      <c r="EI90" s="55"/>
      <c r="EJ90" s="1185">
        <f t="shared" si="92"/>
        <v>0</v>
      </c>
      <c r="EK90" s="1211"/>
      <c r="EL90" s="1180">
        <f t="shared" si="93"/>
        <v>0</v>
      </c>
      <c r="EM90" s="207"/>
      <c r="EN90" s="1038"/>
      <c r="EO90" s="1038"/>
      <c r="EP90" s="207"/>
      <c r="EQ90" s="1038">
        <f t="shared" si="145"/>
        <v>0</v>
      </c>
      <c r="ER90" s="1041">
        <f t="shared" si="146"/>
        <v>0</v>
      </c>
      <c r="ES90" s="1042">
        <f t="shared" si="147"/>
        <v>0</v>
      </c>
      <c r="ET90" s="1042">
        <f t="shared" si="152"/>
        <v>0</v>
      </c>
      <c r="EU90" s="1021">
        <f t="shared" si="153"/>
        <v>0</v>
      </c>
      <c r="EV90" s="368"/>
      <c r="EW90" s="368"/>
      <c r="EX90" s="369"/>
      <c r="EY90" s="370"/>
      <c r="EZ90" s="370"/>
      <c r="FA90" s="371"/>
      <c r="FB90" s="372"/>
    </row>
    <row r="91" spans="1:158" ht="34.5" customHeight="1">
      <c r="A91" s="82">
        <v>83</v>
      </c>
      <c r="B91" s="1725"/>
      <c r="C91" s="1726"/>
      <c r="D91" s="1726"/>
      <c r="E91" s="1727"/>
      <c r="F91" s="1732"/>
      <c r="G91" s="1733"/>
      <c r="H91" s="1733"/>
      <c r="I91" s="1734"/>
      <c r="J91" s="1341"/>
      <c r="K91" s="1728"/>
      <c r="L91" s="1728"/>
      <c r="M91" s="1342"/>
      <c r="N91" s="1583"/>
      <c r="O91" s="208" t="str">
        <f t="shared" si="80"/>
        <v/>
      </c>
      <c r="P91" s="785"/>
      <c r="Q91" s="39" t="str">
        <f t="shared" si="81"/>
        <v/>
      </c>
      <c r="R91" s="39">
        <f t="shared" si="94"/>
        <v>0</v>
      </c>
      <c r="S91" s="234">
        <f t="shared" si="95"/>
        <v>0</v>
      </c>
      <c r="T91" s="1755"/>
      <c r="U91" s="1755"/>
      <c r="V91" s="1755"/>
      <c r="W91" s="1345"/>
      <c r="X91" s="1741"/>
      <c r="Y91" s="1742"/>
      <c r="Z91" s="1346"/>
      <c r="AA91" s="1343"/>
      <c r="AB91" s="1141"/>
      <c r="AC91" s="1103" t="str">
        <f>IF(T91="","",VLOOKUP(Z91,Lists!$A$60:$B$111,2,FALSE))</f>
        <v/>
      </c>
      <c r="AD91" s="130" t="str">
        <f t="shared" si="96"/>
        <v/>
      </c>
      <c r="AE91" s="130" t="e">
        <f t="shared" si="97"/>
        <v>#VALUE!</v>
      </c>
      <c r="AF91" s="130">
        <f t="shared" si="98"/>
        <v>1</v>
      </c>
      <c r="AG91" s="234">
        <f t="shared" si="82"/>
        <v>0</v>
      </c>
      <c r="AH91" s="1753" t="str">
        <f>IF(T91="","",(IF(ISNUMBER(SEARCH("exit",T91)),8760,IF(AND(M91="Dusk to Dawn",'Proposed Lighting'!AU91=3),4059,IF(AND(AU91=3,M91="1"),0,IF(AND(AU91=3,M91="1-C"),0,IF(AND(AU91=3,M91="2"),0,IF(AND(AU91=3,M91="2-C"),0,IF(AND(AU91=3,M91="3"),0,IF(AND(AU91=3,M91="3-C"),0,IF(AND(AU91=2,M91="Dusk to Dawn"),0,IF(AND(AU91=2,M91="Dusk to Dawn-C"),0,IF(AND(AU91=2,M91="Dusk to Dawn"),0,IF(AND(AU91=2,M91="E"),0,IF(AND(AU91=2,M91="E-C"),0,EG91)))))))))))))))</f>
        <v/>
      </c>
      <c r="AI91" s="1754"/>
      <c r="AJ91" s="1136"/>
      <c r="AK91" s="1136"/>
      <c r="AL91" s="1748">
        <f t="shared" si="99"/>
        <v>0</v>
      </c>
      <c r="AM91" s="1749"/>
      <c r="AN91" s="1750"/>
      <c r="AO91" s="476">
        <f t="shared" si="83"/>
        <v>0</v>
      </c>
      <c r="AP91" s="476">
        <f t="shared" si="100"/>
        <v>0</v>
      </c>
      <c r="AQ91" s="475">
        <f t="shared" si="84"/>
        <v>0</v>
      </c>
      <c r="AR91" s="475">
        <f t="shared" si="101"/>
        <v>0</v>
      </c>
      <c r="AS91" s="743" t="str">
        <f t="shared" si="79"/>
        <v/>
      </c>
      <c r="AT91" s="736" t="str">
        <f t="shared" si="102"/>
        <v/>
      </c>
      <c r="AU91" s="56">
        <f t="shared" si="103"/>
        <v>1</v>
      </c>
      <c r="AV91" s="476">
        <f t="shared" si="104"/>
        <v>0</v>
      </c>
      <c r="AW91" s="56">
        <f t="shared" si="105"/>
        <v>0</v>
      </c>
      <c r="AX91" s="475">
        <f t="shared" si="85"/>
        <v>0</v>
      </c>
      <c r="AY91" s="1169">
        <f t="shared" si="106"/>
        <v>0</v>
      </c>
      <c r="AZ91" s="1150">
        <f t="shared" si="148"/>
        <v>0</v>
      </c>
      <c r="BA91" s="56">
        <f t="shared" si="86"/>
        <v>0</v>
      </c>
      <c r="BB91" s="420">
        <f t="shared" si="87"/>
        <v>0</v>
      </c>
      <c r="BC91" s="58" t="str">
        <f t="shared" si="88"/>
        <v/>
      </c>
      <c r="BD91" s="660">
        <f t="shared" si="149"/>
        <v>0</v>
      </c>
      <c r="BE91" s="57" t="e">
        <f t="array" ref="BE91">INDEX($EB$11:$ED$1022,MATCH(F91&amp;T91,$EB$11:$EB$1007&amp;$EC$11:$EC$1007,0),3)</f>
        <v>#N/A</v>
      </c>
      <c r="BF91" s="463">
        <f t="shared" si="107"/>
        <v>0</v>
      </c>
      <c r="BG91" s="1445" t="e">
        <f t="array" ref="BG91">INDEX($DO$112:$DQ$123,MATCH(T91&amp;W91,$DO$114:$DO$125&amp;$DP$112:$DP$123,0),3)</f>
        <v>#N/A</v>
      </c>
      <c r="BH91" s="1446">
        <f t="shared" si="108"/>
        <v>0</v>
      </c>
      <c r="BI91" s="465">
        <f t="shared" si="109"/>
        <v>0</v>
      </c>
      <c r="BJ91" s="465">
        <f t="shared" si="110"/>
        <v>0</v>
      </c>
      <c r="BK91" s="466">
        <f t="shared" si="111"/>
        <v>0</v>
      </c>
      <c r="BL91" s="466">
        <f t="shared" si="112"/>
        <v>0</v>
      </c>
      <c r="BM91" s="466">
        <f t="shared" si="113"/>
        <v>0</v>
      </c>
      <c r="BN91" s="466">
        <f t="shared" si="114"/>
        <v>0</v>
      </c>
      <c r="BO91" s="463">
        <f>IF('Data Entry'!$C$74=0,0,IF(ISNA(CJ91),0,IF(AX91=0,0,IF(AND('Data Entry'!$C$74=2,AF91&gt;2,CE91&lt;1),0,IF(AND('Data Entry'!$C$74=2,AF91&gt;1,AU91=2,CJ91&gt;1),0,IF(AND(AF91=5,CT91=0.5,AU91=2,ER91&lt;100),0,IF(AND(AF91=5,CT91=0.5,AU91=3,ER91&lt;100),0,IF(AND('Data Entry'!$C$74=2,AF91=2,AU91=2,AK91&gt;0.01,CB91=2,CE91&lt;1),0,IF(AND('Data Entry'!$C$74=2,AF91=3,AU91=3,AK91&gt;0.01,CB91=3,CE91&lt;1),0,IF(AND('Data Entry'!$C$74=2,AF91=3,AU91=3,AK91&gt;0.01,CB91=3,CE91&gt;0.99),BQ91*0.08,IF(AND('Data Entry'!$C$74=2,AF91=2,AU91=2,AK91&gt;0.01,CB91=2,CE91&gt;0.99),BQ91*0.1,IF(AND(AU91=2,AK91&gt;0.01,CB91=2,CD91&gt;1),BQ91*0.1,IF(AND(AU91=3,AK91&gt;0.01,CB91=3,CD91&gt;1),BQ91*0.08,CJ91*EF91)))))))))))))</f>
        <v>0</v>
      </c>
      <c r="BP91" s="475">
        <f t="shared" si="115"/>
        <v>0</v>
      </c>
      <c r="BQ91" s="1431">
        <f>IF(AU91=1,0,IF(CH91=100,0,IF(AND(AF91=3,AU91=2),0,IF(AND(BH91=0,CT91&gt;0.4),0,IF(AND('Data Entry'!$C$74=2,AF91=1.5),0,IF(AND('Data Entry'!$C$74=2,AF91=1.6),0,IF(AND('Data Entry'!$C$74=2,AF91=4),0,IF(AND('Data Entry'!$C$74=2,AF91=5),0,IF(AND('Data Entry'!$C$74=2,AF91=2.5,CE91&lt;1),0,IF(AND('Data Entry'!$C$74=2,AF91=3,CE91&lt;1),0,IF(AND('Data Entry'!$C$74=1,AF91=2.5,CD91&lt;1),0,IF(AND('Data Entry'!$C$74=1,AF91=3,CD91&lt;1),0,IF(DX91&gt;0.01,DX91,IF(ISERROR(AX91-AY91),"",ROUND(AX91-AY91,2)))))))))))))))</f>
        <v>0</v>
      </c>
      <c r="BR91" s="146">
        <f t="shared" si="116"/>
        <v>0</v>
      </c>
      <c r="BS91" s="475">
        <f t="shared" si="117"/>
        <v>0</v>
      </c>
      <c r="BT91" s="146" t="b">
        <f t="shared" si="118"/>
        <v>0</v>
      </c>
      <c r="BU91" s="463">
        <f>IF(ISNA(AT91),0,IF(AND('Data Entry'!$C$74=2,BC91=27),0,IF(AND('Data Entry'!$C$74=2,BC91=28),0,IF(AND(BC91=27,BT91=27,CM91&gt;0.1),CM91*0.15,IF(AND(BC91=28,BT91=28,CM91&gt;0.1),CM91*0.12,0)))))</f>
        <v>0</v>
      </c>
      <c r="BV91" s="463">
        <f t="shared" si="155"/>
        <v>0</v>
      </c>
      <c r="BW91" s="463">
        <f t="shared" si="119"/>
        <v>0</v>
      </c>
      <c r="BX91" s="463">
        <f t="shared" si="120"/>
        <v>0</v>
      </c>
      <c r="BY91" s="463">
        <f t="shared" si="121"/>
        <v>0</v>
      </c>
      <c r="BZ91" s="463">
        <f t="shared" si="122"/>
        <v>0</v>
      </c>
      <c r="CA91" s="57">
        <f t="shared" si="150"/>
        <v>0</v>
      </c>
      <c r="CB91" s="56">
        <f t="shared" si="123"/>
        <v>1</v>
      </c>
      <c r="CC91" s="756">
        <f>IF(EE91=0,0,IF(EF91=0,0,IF(EE91&gt;AA91,0,IF(AND(AZ91&gt;AW91,AW91&gt;0),0,IF(CU91=0,0,Summary!AC394)))))</f>
        <v>0</v>
      </c>
      <c r="CD91" s="756">
        <f>IF(EE91=0,0,IF(EF91=0,0,IF(EE91&gt;AA91,0,IF(AND(AZ91&gt;AW91,AW91&gt;0),0,IF(CU91=0,0,Summary!AD394)))))</f>
        <v>0</v>
      </c>
      <c r="CE91" s="756">
        <f>IF(EF91=0,0,IF(EE91&gt;AA91,0,IF(CC91=0,0,IF(AND(AZ91&gt;AW91,AW91&gt;0),0,IF(CU91=0,0,Summary!AE394)))))</f>
        <v>0</v>
      </c>
      <c r="CF91" s="475">
        <f t="shared" si="124"/>
        <v>0</v>
      </c>
      <c r="CG91" s="476">
        <f t="shared" si="89"/>
        <v>0</v>
      </c>
      <c r="CH91" s="487">
        <f t="shared" si="125"/>
        <v>0</v>
      </c>
      <c r="CI91" s="756">
        <f t="shared" si="126"/>
        <v>0</v>
      </c>
      <c r="CJ91" s="487">
        <f>IF(CT91&gt;0.4,0,IF(AND(AU91=2,CH91=0,CT91=0.5,ER91=100),35,IF(AND(AU91=3,BB91&gt;75,CH91=0,CT91=0.5,ER91=100),25,IF(CB91&gt;1,0,IF(EF91&gt;EE91,0,IF(AND(AF91&gt;1,CH91=100),0,IF(AND(AF91=1,AY91=0),0,IF(AND(EF91&lt;=EE91,AW91&gt;=AZ91,'Data Entry'!$C$74=1,AU91=2),VLOOKUP(W91,$DO$96:$DP$102,2,FALSE),IF(AND(EF91&lt;=EE91,AW91&gt;=AZ91,AU91=3,'Data Entry'!$C$74=1),VLOOKUP(W91,$DO$127:$DP$134,2,FALSE))))))))))</f>
        <v>0</v>
      </c>
      <c r="CK91" s="716">
        <f t="shared" si="127"/>
        <v>0</v>
      </c>
      <c r="CL91" s="57">
        <f t="shared" si="128"/>
        <v>0</v>
      </c>
      <c r="CM91" s="475">
        <f t="shared" si="154"/>
        <v>0</v>
      </c>
      <c r="CN91" s="660">
        <f>IF(CM91&lt;0.1,0,IF(ISNA(AT91),0,IF(CL91+BC91=1,0,IF(BV91&gt;0.01,0,IF(CL91&gt;0.01,0,IF(CF91=1,0,IF(BC91=0.5,0,IF(AND(CI91=1,AU91=3),0,IF(AND(CI91=5,CL91=0),0,IF(AND(R91=12,BR91=50),0,IF(CK91&gt;0.01,0,IF(AND(AJ91&gt;0.01,AU91=2,BC91=15),CM91*0.1,IF(AND(AJ91&gt;0.01,AU91=3,BC91=15),CM91*0.08,IF(AND(R91=12,BC91=3,AF91&lt;=0),0,IF(AND(BC91=15,BI91=0),0,IF(AND(BC91=15,BJ91=0),0,IF(AND(R91=20,CU91=0),0,IF($X$4=0,0,IF(AND(BC91=250,CL91=0),0,IF(AA91&lt;1,0,IF(AND(ISNUMBER(SEARCH("Area",T91)),AU91=3),0,IF(AND(AQ91&gt;0.01,AR91=0,BK91=0,BL91=0,BM91=0,BN91=0),0,IF(AND(AU91=3,CI91=7,CT91&gt;0.5),0,IF(AND(BC91=44,AU91=3,BY91=0),0,IF(AND(BC91=27,'Data Entry'!$C$74=2),0,IF(AND(BC91=28,'Data Entry'!$C$74=2),0,IF(AND(BY91+BZ91+CA91&gt;0.01,BV91=0,EQ91+ER91+ES91+ET91&lt;100),0,IF(AU91=3,CM91*0.08,IF(AU91=2,CM91*0.1,0)))))))))))))))))))))))))))))</f>
        <v>0</v>
      </c>
      <c r="CO91" s="660">
        <f t="shared" si="129"/>
        <v>0</v>
      </c>
      <c r="CP91" s="475" t="str">
        <f t="shared" si="130"/>
        <v/>
      </c>
      <c r="CQ91" s="161" t="str">
        <f>IF(AH91=0,0,IF(AU91=5,0,Summary!AC94))</f>
        <v/>
      </c>
      <c r="CR91" s="161" t="str">
        <f>IF(BF91=0.5,0,IF(AU91=5,0,Summary!AD94))</f>
        <v/>
      </c>
      <c r="CS91" s="161" t="str">
        <f>IF(AU91=5,0,Summary!AE94)</f>
        <v/>
      </c>
      <c r="CT91" s="161">
        <f t="shared" si="131"/>
        <v>0</v>
      </c>
      <c r="CU91" s="475" t="str">
        <f t="shared" si="132"/>
        <v/>
      </c>
      <c r="CV91" s="307">
        <f>IF('Data Entry'!$C$74=0,0,IF(AA91&lt;1,0,IF(ISERROR(CU91),0,IF(CF91=1,0,IF(AND(R91=12,BR91=50),0,IF(CL91+BO91+BV91+DC91=0,0,IF(BC91=37,0,IF(AND(BC91=40,AJ91=0),0,IF(AND(BC91=37,BO91&gt;0.01,BQ91&gt;0.01),ROUND(BQ91,0),IF(CM91&lt;0,0,ROUND(CM91,0)))))))))))</f>
        <v>0</v>
      </c>
      <c r="CW91" s="700">
        <f t="shared" si="133"/>
        <v>0</v>
      </c>
      <c r="CX91" s="477">
        <f>IF('Data Entry'!$C$74=0,0,IF(CV91&lt;0.01,0,IF(BF91=0.5,0,IF(CF91=1,0,IF(ISNUMBER(SEARCH("false",CL91)),0,IF(AZ91=500,0,CL91))))))</f>
        <v>0</v>
      </c>
      <c r="CY91" s="147" t="e">
        <f t="shared" si="134"/>
        <v>#VALUE!</v>
      </c>
      <c r="CZ91" s="147" t="b">
        <f>IF(CN91+CL91=0,FALSE,IF(AH91=0,0,IF(AND('Data Entry'!$C$74=1,CR91&gt;=1),TRUE,IF(AND('Data Entry'!$C$74=2,CS91&gt;=1),TRUE,FALSE))))</f>
        <v>0</v>
      </c>
      <c r="DA91" s="1751">
        <f>IF('Data Entry'!$C$74=0,0,IFERROR(ROUND(IF(T91="","",IF($X$4=0,0,IF(CF91=1,0,IF(BQ91+CV91=0,0,IF(CF91=1,0,IF(CY91&gt;0.01,CY91,IF(CL91&gt;0.01,CL91,IF(CY91&gt;0.01,CY91,IF(BC91=37,BO91,IF(CZ91=FALSE,0,IF(CZ91=TRUE,DC91+DF91,0))))))))))),2),""))</f>
        <v>0</v>
      </c>
      <c r="DB91" s="1752"/>
      <c r="DC91" s="474">
        <f>IF(CN91&lt;0.01,0,IF(AND(BR91=3,CN91&gt;0.01,CT91&gt;0.6,ER91+ES91+ET91&lt;100),0,IF(AND('Data Entry'!$C$74=1,CN91&gt;0.01,CR91&gt;0.99),MIN(CN91:CO91),IF(AND('Data Entry'!$C$74=2,CN91&gt;0.01,CS91&gt;0.99),MIN(CN91:CO91),0))))</f>
        <v>0</v>
      </c>
      <c r="DD91" s="478">
        <f>IF(CF91=1,"Selection does not match",IF(T91=0,0,IF(AND('Data Entry'!$C$74=0,CP91&gt;1),"Select Oregon or Idaho on Data Entry Tab",IF(AND(AU91=1,AA91&gt;0.9),"Missing Interior or Exterior Selection",IF($X$4=0,"Enter Total Project Cost",IF(AQ91&lt;AR91,"Insufficient kWh savings – no incentive",IF(AND(SUM(CL91+CK91+BV91)&gt;0.01,'Data Entry'!$C$74=2,CJ91&gt;1,BO91=0),"Submit Control as Non-Standard",IF(AND('Data Entry'!$C$74=2,BR91=37,CJ91&gt;1,BO91=0),"Submit Control as Non-Standard",IF(SUM(CL91+CK91+BV91)&gt;0.01,"Standard Incentive",IF(AND('Data Entry'!$C$74=2,CP91=7,CN91=0),"Submit as Non-Standard",IF(DC91&gt;0.9,"Non-Standard Incentive",IF(AND(BY91+BZ91+CA91&gt;0.01,BV91=0,EQ91=0,ER91=0,ES91=0,ET91=0),"Scroll Right &amp; Select Control Strategies",IF(AND(CN91&gt;0.01,CO91=0),"Enter Unit Installed Cost",IF(ISNUMBER(SEARCH("Lighting Controls Only",F91)),"Lighting Controls Only",IF(CL91+DC91=0,"Does not meet incentive criteria",0)))))))))))))))</f>
        <v>0</v>
      </c>
      <c r="DE91" s="337">
        <f t="shared" si="135"/>
        <v>0</v>
      </c>
      <c r="DF91" s="609">
        <f t="shared" si="136"/>
        <v>0</v>
      </c>
      <c r="DG91" s="336" t="str">
        <f t="shared" si="137"/>
        <v/>
      </c>
      <c r="DH91" s="338">
        <f t="shared" si="138"/>
        <v>1</v>
      </c>
      <c r="DI91" s="336" t="e">
        <f t="shared" si="90"/>
        <v>#VALUE!</v>
      </c>
      <c r="DJ91" s="338">
        <f t="shared" si="91"/>
        <v>0</v>
      </c>
      <c r="DK91" s="325" t="s">
        <v>128</v>
      </c>
      <c r="DL91" s="341">
        <v>106</v>
      </c>
      <c r="DM91" s="325" t="s">
        <v>86</v>
      </c>
      <c r="DN91" s="1439"/>
      <c r="DO91" s="1448" t="s">
        <v>1765</v>
      </c>
      <c r="DP91" s="1333">
        <v>0</v>
      </c>
      <c r="DQ91" s="331"/>
      <c r="DR91" s="332"/>
      <c r="DS91" s="1195">
        <f t="shared" si="139"/>
        <v>0</v>
      </c>
      <c r="DT91" s="344" t="b">
        <f t="shared" si="140"/>
        <v>1</v>
      </c>
      <c r="DU91" s="1314" t="str">
        <f t="array" ref="DU91">IF(OR(COUNTIF(F91,"*"&amp;$DK$9:$DK$178&amp;"*")), "Yes", "")</f>
        <v/>
      </c>
      <c r="DV91" s="1314">
        <f t="shared" si="141"/>
        <v>0</v>
      </c>
      <c r="DW91" s="1480">
        <f t="shared" si="142"/>
        <v>0</v>
      </c>
      <c r="DX91" s="1498">
        <f t="shared" si="151"/>
        <v>0</v>
      </c>
      <c r="DY91" s="1484">
        <f t="shared" si="143"/>
        <v>0</v>
      </c>
      <c r="DZ91" s="331"/>
      <c r="EA91" s="392"/>
      <c r="EB91" s="1499" t="s">
        <v>1293</v>
      </c>
      <c r="EC91" s="727" t="s">
        <v>1568</v>
      </c>
      <c r="ED91" s="728">
        <v>0.5</v>
      </c>
      <c r="EE91" s="1215"/>
      <c r="EF91" s="1215"/>
      <c r="EG91" s="1184" t="str">
        <f t="shared" si="144"/>
        <v/>
      </c>
      <c r="EH91" s="55"/>
      <c r="EI91" s="55"/>
      <c r="EJ91" s="1185">
        <f t="shared" si="92"/>
        <v>0</v>
      </c>
      <c r="EK91" s="1211"/>
      <c r="EL91" s="1180">
        <f t="shared" si="93"/>
        <v>0</v>
      </c>
      <c r="EM91" s="207"/>
      <c r="EN91" s="1038"/>
      <c r="EO91" s="1038"/>
      <c r="EP91" s="1038"/>
      <c r="EQ91" s="1038">
        <f t="shared" si="145"/>
        <v>0</v>
      </c>
      <c r="ER91" s="1041">
        <f t="shared" si="146"/>
        <v>0</v>
      </c>
      <c r="ES91" s="1042">
        <f t="shared" si="147"/>
        <v>0</v>
      </c>
      <c r="ET91" s="1042">
        <f t="shared" si="152"/>
        <v>0</v>
      </c>
      <c r="EU91" s="1021">
        <f t="shared" si="153"/>
        <v>0</v>
      </c>
      <c r="EV91" s="368"/>
      <c r="EW91" s="368"/>
      <c r="EX91" s="369"/>
      <c r="EY91" s="370"/>
      <c r="EZ91" s="370"/>
      <c r="FA91" s="371"/>
      <c r="FB91" s="372"/>
    </row>
    <row r="92" spans="1:158" ht="34.5" customHeight="1">
      <c r="A92" s="82">
        <v>84</v>
      </c>
      <c r="B92" s="1725"/>
      <c r="C92" s="1726"/>
      <c r="D92" s="1726"/>
      <c r="E92" s="1727"/>
      <c r="F92" s="1732"/>
      <c r="G92" s="1733"/>
      <c r="H92" s="1733"/>
      <c r="I92" s="1734"/>
      <c r="J92" s="1341"/>
      <c r="K92" s="1728"/>
      <c r="L92" s="1728"/>
      <c r="M92" s="1342"/>
      <c r="N92" s="1583"/>
      <c r="O92" s="208" t="str">
        <f t="shared" si="80"/>
        <v/>
      </c>
      <c r="P92" s="785"/>
      <c r="Q92" s="39" t="str">
        <f t="shared" si="81"/>
        <v/>
      </c>
      <c r="R92" s="39">
        <f t="shared" si="94"/>
        <v>0</v>
      </c>
      <c r="S92" s="234">
        <f t="shared" si="95"/>
        <v>0</v>
      </c>
      <c r="T92" s="1755"/>
      <c r="U92" s="1755"/>
      <c r="V92" s="1755"/>
      <c r="W92" s="1345"/>
      <c r="X92" s="1741"/>
      <c r="Y92" s="1742"/>
      <c r="Z92" s="1346"/>
      <c r="AA92" s="1343"/>
      <c r="AB92" s="1141"/>
      <c r="AC92" s="1103" t="str">
        <f>IF(T92="","",VLOOKUP(Z92,Lists!$A$60:$B$111,2,FALSE))</f>
        <v/>
      </c>
      <c r="AD92" s="130" t="str">
        <f t="shared" si="96"/>
        <v/>
      </c>
      <c r="AE92" s="130" t="e">
        <f t="shared" si="97"/>
        <v>#VALUE!</v>
      </c>
      <c r="AF92" s="130">
        <f t="shared" si="98"/>
        <v>1</v>
      </c>
      <c r="AG92" s="234">
        <f t="shared" si="82"/>
        <v>0</v>
      </c>
      <c r="AH92" s="1753" t="str">
        <f>IF(T92="","",(IF(ISNUMBER(SEARCH("exit",T92)),8760,IF(AND(M92="Dusk to Dawn",'Proposed Lighting'!AU92=3),4059,IF(AND(AU92=3,M92="1"),0,IF(AND(AU92=3,M92="1-C"),0,IF(AND(AU92=3,M92="2"),0,IF(AND(AU92=3,M92="2-C"),0,IF(AND(AU92=3,M92="3"),0,IF(AND(AU92=3,M92="3-C"),0,IF(AND(AU92=2,M92="Dusk to Dawn"),0,IF(AND(AU92=2,M92="Dusk to Dawn-C"),0,IF(AND(AU92=2,M92="Dusk to Dawn"),0,IF(AND(AU92=2,M92="E"),0,IF(AND(AU92=2,M92="E-C"),0,EG92)))))))))))))))</f>
        <v/>
      </c>
      <c r="AI92" s="1754"/>
      <c r="AJ92" s="1136"/>
      <c r="AK92" s="1136"/>
      <c r="AL92" s="1748">
        <f t="shared" si="99"/>
        <v>0</v>
      </c>
      <c r="AM92" s="1749"/>
      <c r="AN92" s="1750"/>
      <c r="AO92" s="476">
        <f t="shared" si="83"/>
        <v>0</v>
      </c>
      <c r="AP92" s="476">
        <f t="shared" si="100"/>
        <v>0</v>
      </c>
      <c r="AQ92" s="475">
        <f t="shared" si="84"/>
        <v>0</v>
      </c>
      <c r="AR92" s="475">
        <f t="shared" si="101"/>
        <v>0</v>
      </c>
      <c r="AS92" s="743" t="str">
        <f t="shared" si="79"/>
        <v/>
      </c>
      <c r="AT92" s="736" t="str">
        <f t="shared" si="102"/>
        <v/>
      </c>
      <c r="AU92" s="56">
        <f t="shared" si="103"/>
        <v>1</v>
      </c>
      <c r="AV92" s="476">
        <f t="shared" si="104"/>
        <v>0</v>
      </c>
      <c r="AW92" s="56">
        <f t="shared" si="105"/>
        <v>0</v>
      </c>
      <c r="AX92" s="475">
        <f t="shared" si="85"/>
        <v>0</v>
      </c>
      <c r="AY92" s="1169">
        <f t="shared" si="106"/>
        <v>0</v>
      </c>
      <c r="AZ92" s="1150">
        <f t="shared" si="148"/>
        <v>0</v>
      </c>
      <c r="BA92" s="56">
        <f t="shared" si="86"/>
        <v>0</v>
      </c>
      <c r="BB92" s="420">
        <f t="shared" si="87"/>
        <v>0</v>
      </c>
      <c r="BC92" s="58" t="str">
        <f t="shared" si="88"/>
        <v/>
      </c>
      <c r="BD92" s="660">
        <f t="shared" si="149"/>
        <v>0</v>
      </c>
      <c r="BE92" s="57" t="e">
        <f t="array" ref="BE92">INDEX($EB$11:$ED$1022,MATCH(F92&amp;T92,$EB$11:$EB$1007&amp;$EC$11:$EC$1007,0),3)</f>
        <v>#N/A</v>
      </c>
      <c r="BF92" s="463">
        <f t="shared" si="107"/>
        <v>0</v>
      </c>
      <c r="BG92" s="1445" t="e">
        <f t="array" ref="BG92">INDEX($DO$112:$DQ$123,MATCH(T92&amp;W92,$DO$114:$DO$125&amp;$DP$112:$DP$123,0),3)</f>
        <v>#N/A</v>
      </c>
      <c r="BH92" s="1446">
        <f t="shared" si="108"/>
        <v>0</v>
      </c>
      <c r="BI92" s="465">
        <f t="shared" si="109"/>
        <v>0</v>
      </c>
      <c r="BJ92" s="465">
        <f t="shared" si="110"/>
        <v>0</v>
      </c>
      <c r="BK92" s="466">
        <f t="shared" si="111"/>
        <v>0</v>
      </c>
      <c r="BL92" s="466">
        <f t="shared" si="112"/>
        <v>0</v>
      </c>
      <c r="BM92" s="466">
        <f t="shared" si="113"/>
        <v>0</v>
      </c>
      <c r="BN92" s="466">
        <f t="shared" si="114"/>
        <v>0</v>
      </c>
      <c r="BO92" s="463">
        <f>IF('Data Entry'!$C$74=0,0,IF(ISNA(CJ92),0,IF(AX92=0,0,IF(AND('Data Entry'!$C$74=2,AF92&gt;2,CE92&lt;1),0,IF(AND('Data Entry'!$C$74=2,AF92&gt;1,AU92=2,CJ92&gt;1),0,IF(AND(AF92=5,CT92=0.5,AU92=2,ER92&lt;100),0,IF(AND(AF92=5,CT92=0.5,AU92=3,ER92&lt;100),0,IF(AND('Data Entry'!$C$74=2,AF92=2,AU92=2,AK92&gt;0.01,CB92=2,CE92&lt;1),0,IF(AND('Data Entry'!$C$74=2,AF92=3,AU92=3,AK92&gt;0.01,CB92=3,CE92&lt;1),0,IF(AND('Data Entry'!$C$74=2,AF92=3,AU92=3,AK92&gt;0.01,CB92=3,CE92&gt;0.99),BQ92*0.08,IF(AND('Data Entry'!$C$74=2,AF92=2,AU92=2,AK92&gt;0.01,CB92=2,CE92&gt;0.99),BQ92*0.1,IF(AND(AU92=2,AK92&gt;0.01,CB92=2,CD92&gt;1),BQ92*0.1,IF(AND(AU92=3,AK92&gt;0.01,CB92=3,CD92&gt;1),BQ92*0.08,CJ92*EF92)))))))))))))</f>
        <v>0</v>
      </c>
      <c r="BP92" s="475">
        <f t="shared" si="115"/>
        <v>0</v>
      </c>
      <c r="BQ92" s="1431">
        <f>IF(AU92=1,0,IF(CH92=100,0,IF(AND(AF92=3,AU92=2),0,IF(AND(BH92=0,CT92&gt;0.4),0,IF(AND('Data Entry'!$C$74=2,AF92=1.5),0,IF(AND('Data Entry'!$C$74=2,AF92=1.6),0,IF(AND('Data Entry'!$C$74=2,AF92=4),0,IF(AND('Data Entry'!$C$74=2,AF92=5),0,IF(AND('Data Entry'!$C$74=2,AF92=2.5,CE92&lt;1),0,IF(AND('Data Entry'!$C$74=2,AF92=3,CE92&lt;1),0,IF(AND('Data Entry'!$C$74=1,AF92=2.5,CD92&lt;1),0,IF(AND('Data Entry'!$C$74=1,AF92=3,CD92&lt;1),0,IF(DX92&gt;0.01,DX92,IF(ISERROR(AX92-AY92),"",ROUND(AX92-AY92,2)))))))))))))))</f>
        <v>0</v>
      </c>
      <c r="BR92" s="146">
        <f t="shared" si="116"/>
        <v>0</v>
      </c>
      <c r="BS92" s="475">
        <f t="shared" si="117"/>
        <v>0</v>
      </c>
      <c r="BT92" s="146" t="b">
        <f t="shared" si="118"/>
        <v>0</v>
      </c>
      <c r="BU92" s="463">
        <f>IF(ISNA(AT92),0,IF(AND('Data Entry'!$C$74=2,BC92=27),0,IF(AND('Data Entry'!$C$74=2,BC92=28),0,IF(AND(BC92=27,BT92=27,CM92&gt;0.1),CM92*0.15,IF(AND(BC92=28,BT92=28,CM92&gt;0.1),CM92*0.12,0)))))</f>
        <v>0</v>
      </c>
      <c r="BV92" s="463">
        <f t="shared" si="155"/>
        <v>0</v>
      </c>
      <c r="BW92" s="463">
        <f t="shared" si="119"/>
        <v>0</v>
      </c>
      <c r="BX92" s="463">
        <f t="shared" si="120"/>
        <v>0</v>
      </c>
      <c r="BY92" s="463">
        <f t="shared" si="121"/>
        <v>0</v>
      </c>
      <c r="BZ92" s="463">
        <f t="shared" si="122"/>
        <v>0</v>
      </c>
      <c r="CA92" s="57">
        <f t="shared" si="150"/>
        <v>0</v>
      </c>
      <c r="CB92" s="56">
        <f t="shared" si="123"/>
        <v>1</v>
      </c>
      <c r="CC92" s="756">
        <f>IF(EE92=0,0,IF(EF92=0,0,IF(EE92&gt;AA92,0,IF(AND(AZ92&gt;AW92,AW92&gt;0),0,IF(CU92=0,0,Summary!AC395)))))</f>
        <v>0</v>
      </c>
      <c r="CD92" s="756">
        <f>IF(EE92=0,0,IF(EF92=0,0,IF(EE92&gt;AA92,0,IF(AND(AZ92&gt;AW92,AW92&gt;0),0,IF(CU92=0,0,Summary!AD395)))))</f>
        <v>0</v>
      </c>
      <c r="CE92" s="756">
        <f>IF(EF92=0,0,IF(EE92&gt;AA92,0,IF(CC92=0,0,IF(AND(AZ92&gt;AW92,AW92&gt;0),0,IF(CU92=0,0,Summary!AE395)))))</f>
        <v>0</v>
      </c>
      <c r="CF92" s="475">
        <f t="shared" si="124"/>
        <v>0</v>
      </c>
      <c r="CG92" s="476">
        <f t="shared" si="89"/>
        <v>0</v>
      </c>
      <c r="CH92" s="487">
        <f t="shared" si="125"/>
        <v>0</v>
      </c>
      <c r="CI92" s="756">
        <f t="shared" si="126"/>
        <v>0</v>
      </c>
      <c r="CJ92" s="487">
        <f>IF(CT92&gt;0.4,0,IF(AND(AU92=2,CH92=0,CT92=0.5,ER92=100),35,IF(AND(AU92=3,BB92&gt;75,CH92=0,CT92=0.5,ER92=100),25,IF(CB92&gt;1,0,IF(EF92&gt;EE92,0,IF(AND(AF92&gt;1,CH92=100),0,IF(AND(AF92=1,AY92=0),0,IF(AND(EF92&lt;=EE92,AW92&gt;=AZ92,'Data Entry'!$C$74=1,AU92=2),VLOOKUP(W92,$DO$96:$DP$102,2,FALSE),IF(AND(EF92&lt;=EE92,AW92&gt;=AZ92,AU92=3,'Data Entry'!$C$74=1),VLOOKUP(W92,$DO$127:$DP$134,2,FALSE))))))))))</f>
        <v>0</v>
      </c>
      <c r="CK92" s="716">
        <f t="shared" si="127"/>
        <v>0</v>
      </c>
      <c r="CL92" s="57">
        <f t="shared" si="128"/>
        <v>0</v>
      </c>
      <c r="CM92" s="475">
        <f t="shared" si="154"/>
        <v>0</v>
      </c>
      <c r="CN92" s="660">
        <f>IF(CM92&lt;0.1,0,IF(ISNA(AT92),0,IF(CL92+BC92=1,0,IF(BV92&gt;0.01,0,IF(CL92&gt;0.01,0,IF(CF92=1,0,IF(BC92=0.5,0,IF(AND(CI92=1,AU92=3),0,IF(AND(CI92=5,CL92=0),0,IF(AND(R92=12,BR92=50),0,IF(CK92&gt;0.01,0,IF(AND(AJ92&gt;0.01,AU92=2,BC92=15),CM92*0.1,IF(AND(AJ92&gt;0.01,AU92=3,BC92=15),CM92*0.08,IF(AND(R92=12,BC92=3,AF92&lt;=0),0,IF(AND(BC92=15,BI92=0),0,IF(AND(BC92=15,BJ92=0),0,IF(AND(R92=20,CU92=0),0,IF($X$4=0,0,IF(AND(BC92=250,CL92=0),0,IF(AA92&lt;1,0,IF(AND(ISNUMBER(SEARCH("Area",T92)),AU92=3),0,IF(AND(AQ92&gt;0.01,AR92=0,BK92=0,BL92=0,BM92=0,BN92=0),0,IF(AND(AU92=3,CI92=7,CT92&gt;0.5),0,IF(AND(BC92=44,AU92=3,BY92=0),0,IF(AND(BC92=27,'Data Entry'!$C$74=2),0,IF(AND(BC92=28,'Data Entry'!$C$74=2),0,IF(AND(BY92+BZ92+CA92&gt;0.01,BV92=0,EQ92+ER92+ES92+ET92&lt;100),0,IF(AU92=3,CM92*0.08,IF(AU92=2,CM92*0.1,0)))))))))))))))))))))))))))))</f>
        <v>0</v>
      </c>
      <c r="CO92" s="660">
        <f t="shared" si="129"/>
        <v>0</v>
      </c>
      <c r="CP92" s="475" t="str">
        <f t="shared" si="130"/>
        <v/>
      </c>
      <c r="CQ92" s="161" t="str">
        <f>IF(AH92=0,0,IF(AU92=5,0,Summary!AC95))</f>
        <v/>
      </c>
      <c r="CR92" s="161" t="str">
        <f>IF(BF92=0.5,0,IF(AU92=5,0,Summary!AD95))</f>
        <v/>
      </c>
      <c r="CS92" s="161" t="str">
        <f>IF(AU92=5,0,Summary!AE95)</f>
        <v/>
      </c>
      <c r="CT92" s="161">
        <f t="shared" si="131"/>
        <v>0</v>
      </c>
      <c r="CU92" s="475" t="str">
        <f t="shared" si="132"/>
        <v/>
      </c>
      <c r="CV92" s="307">
        <f>IF('Data Entry'!$C$74=0,0,IF(AA92&lt;1,0,IF(ISERROR(CU92),0,IF(CF92=1,0,IF(AND(R92=12,BR92=50),0,IF(CL92+BO92+BV92+DC92=0,0,IF(BC92=37,0,IF(AND(BC92=40,AJ92=0),0,IF(AND(BC92=37,BO92&gt;0.01,BQ92&gt;0.01),ROUND(BQ92,0),IF(CM92&lt;0,0,ROUND(CM92,0)))))))))))</f>
        <v>0</v>
      </c>
      <c r="CW92" s="700">
        <f t="shared" si="133"/>
        <v>0</v>
      </c>
      <c r="CX92" s="477">
        <f>IF('Data Entry'!$C$74=0,0,IF(CV92&lt;0.01,0,IF(BF92=0.5,0,IF(CF92=1,0,IF(ISNUMBER(SEARCH("false",CL92)),0,IF(AZ92=500,0,CL92))))))</f>
        <v>0</v>
      </c>
      <c r="CY92" s="147" t="e">
        <f t="shared" si="134"/>
        <v>#VALUE!</v>
      </c>
      <c r="CZ92" s="147" t="b">
        <f>IF(CN92+CL92=0,FALSE,IF(AH92=0,0,IF(AND('Data Entry'!$C$74=1,CR92&gt;=1),TRUE,IF(AND('Data Entry'!$C$74=2,CS92&gt;=1),TRUE,FALSE))))</f>
        <v>0</v>
      </c>
      <c r="DA92" s="1751">
        <f>IF('Data Entry'!$C$74=0,0,IFERROR(ROUND(IF(T92="","",IF($X$4=0,0,IF(CF92=1,0,IF(BQ92+CV92=0,0,IF(CF92=1,0,IF(CY92&gt;0.01,CY92,IF(CL92&gt;0.01,CL92,IF(CY92&gt;0.01,CY92,IF(BC92=37,BO92,IF(CZ92=FALSE,0,IF(CZ92=TRUE,DC92+DF92,0))))))))))),2),""))</f>
        <v>0</v>
      </c>
      <c r="DB92" s="1752"/>
      <c r="DC92" s="474">
        <f>IF(CN92&lt;0.01,0,IF(AND(BR92=3,CN92&gt;0.01,CT92&gt;0.6,ER92+ES92+ET92&lt;100),0,IF(AND('Data Entry'!$C$74=1,CN92&gt;0.01,CR92&gt;0.99),MIN(CN92:CO92),IF(AND('Data Entry'!$C$74=2,CN92&gt;0.01,CS92&gt;0.99),MIN(CN92:CO92),0))))</f>
        <v>0</v>
      </c>
      <c r="DD92" s="478">
        <f>IF(CF92=1,"Selection does not match",IF(T92=0,0,IF(AND('Data Entry'!$C$74=0,CP92&gt;1),"Select Oregon or Idaho on Data Entry Tab",IF(AND(AU92=1,AA92&gt;0.9),"Missing Interior or Exterior Selection",IF($X$4=0,"Enter Total Project Cost",IF(AQ92&lt;AR92,"Insufficient kWh savings – no incentive",IF(AND(SUM(CL92+CK92+BV92)&gt;0.01,'Data Entry'!$C$74=2,CJ92&gt;1,BO92=0),"Submit Control as Non-Standard",IF(AND('Data Entry'!$C$74=2,BR92=37,CJ92&gt;1,BO92=0),"Submit Control as Non-Standard",IF(SUM(CL92+CK92+BV92)&gt;0.01,"Standard Incentive",IF(AND('Data Entry'!$C$74=2,CP92=7,CN92=0),"Submit as Non-Standard",IF(DC92&gt;0.9,"Non-Standard Incentive",IF(AND(BY92+BZ92+CA92&gt;0.01,BV92=0,EQ92=0,ER92=0,ES92=0,ET92=0),"Scroll Right &amp; Select Control Strategies",IF(AND(CN92&gt;0.01,CO92=0),"Enter Unit Installed Cost",IF(ISNUMBER(SEARCH("Lighting Controls Only",F92)),"Lighting Controls Only",IF(CL92+DC92=0,"Does not meet incentive criteria",0)))))))))))))))</f>
        <v>0</v>
      </c>
      <c r="DE92" s="337">
        <f t="shared" si="135"/>
        <v>0</v>
      </c>
      <c r="DF92" s="609">
        <f t="shared" si="136"/>
        <v>0</v>
      </c>
      <c r="DG92" s="336" t="str">
        <f t="shared" si="137"/>
        <v/>
      </c>
      <c r="DH92" s="338">
        <f t="shared" si="138"/>
        <v>1</v>
      </c>
      <c r="DI92" s="336" t="e">
        <f t="shared" si="90"/>
        <v>#VALUE!</v>
      </c>
      <c r="DJ92" s="338">
        <f t="shared" si="91"/>
        <v>0</v>
      </c>
      <c r="DK92" s="325" t="s">
        <v>129</v>
      </c>
      <c r="DL92" s="865">
        <v>189</v>
      </c>
      <c r="DM92" s="325" t="s">
        <v>87</v>
      </c>
      <c r="DN92" s="1439"/>
      <c r="DO92" s="1444" t="s">
        <v>1781</v>
      </c>
      <c r="DP92" s="1333">
        <v>75</v>
      </c>
      <c r="DQ92" s="331"/>
      <c r="DR92" s="332"/>
      <c r="DS92" s="1195">
        <f t="shared" si="139"/>
        <v>0</v>
      </c>
      <c r="DT92" s="344" t="b">
        <f t="shared" si="140"/>
        <v>1</v>
      </c>
      <c r="DU92" s="1314" t="str">
        <f t="array" ref="DU92">IF(OR(COUNTIF(F92,"*"&amp;$DK$9:$DK$178&amp;"*")), "Yes", "")</f>
        <v/>
      </c>
      <c r="DV92" s="1314">
        <f t="shared" si="141"/>
        <v>0</v>
      </c>
      <c r="DW92" s="1480">
        <f t="shared" si="142"/>
        <v>0</v>
      </c>
      <c r="DX92" s="1498">
        <f t="shared" si="151"/>
        <v>0</v>
      </c>
      <c r="DY92" s="1484">
        <f t="shared" si="143"/>
        <v>0</v>
      </c>
      <c r="DZ92" s="331"/>
      <c r="EA92" s="392"/>
      <c r="EB92" s="1499" t="s">
        <v>73</v>
      </c>
      <c r="EC92" s="727" t="s">
        <v>1568</v>
      </c>
      <c r="ED92" s="728">
        <v>0.5</v>
      </c>
      <c r="EE92" s="1215"/>
      <c r="EF92" s="1215"/>
      <c r="EG92" s="1184" t="str">
        <f t="shared" si="144"/>
        <v/>
      </c>
      <c r="EH92" s="55"/>
      <c r="EI92" s="55"/>
      <c r="EJ92" s="1185">
        <f t="shared" si="92"/>
        <v>0</v>
      </c>
      <c r="EK92" s="1211"/>
      <c r="EL92" s="1180">
        <f t="shared" si="93"/>
        <v>0</v>
      </c>
      <c r="EM92" s="207"/>
      <c r="EN92" s="1038"/>
      <c r="EO92" s="1038"/>
      <c r="EP92" s="1038"/>
      <c r="EQ92" s="1038">
        <f t="shared" si="145"/>
        <v>0</v>
      </c>
      <c r="ER92" s="1041">
        <f t="shared" si="146"/>
        <v>0</v>
      </c>
      <c r="ES92" s="1042">
        <f t="shared" si="147"/>
        <v>0</v>
      </c>
      <c r="ET92" s="1042">
        <f t="shared" si="152"/>
        <v>0</v>
      </c>
      <c r="EU92" s="1021">
        <f t="shared" si="153"/>
        <v>0</v>
      </c>
      <c r="EV92" s="368"/>
      <c r="EW92" s="368"/>
      <c r="EX92" s="369"/>
      <c r="EY92" s="370"/>
      <c r="EZ92" s="370"/>
      <c r="FA92" s="371"/>
      <c r="FB92" s="372"/>
    </row>
    <row r="93" spans="1:158" ht="34.5" customHeight="1">
      <c r="A93" s="82">
        <v>85</v>
      </c>
      <c r="B93" s="1725"/>
      <c r="C93" s="1726"/>
      <c r="D93" s="1726"/>
      <c r="E93" s="1727"/>
      <c r="F93" s="1732"/>
      <c r="G93" s="1733"/>
      <c r="H93" s="1733"/>
      <c r="I93" s="1734"/>
      <c r="J93" s="1341"/>
      <c r="K93" s="1728"/>
      <c r="L93" s="1728"/>
      <c r="M93" s="1342"/>
      <c r="N93" s="1583"/>
      <c r="O93" s="208" t="str">
        <f t="shared" si="80"/>
        <v/>
      </c>
      <c r="P93" s="785"/>
      <c r="Q93" s="39" t="str">
        <f t="shared" si="81"/>
        <v/>
      </c>
      <c r="R93" s="39">
        <f t="shared" si="94"/>
        <v>0</v>
      </c>
      <c r="S93" s="234">
        <f t="shared" si="95"/>
        <v>0</v>
      </c>
      <c r="T93" s="1755"/>
      <c r="U93" s="1755"/>
      <c r="V93" s="1755"/>
      <c r="W93" s="1345"/>
      <c r="X93" s="1741"/>
      <c r="Y93" s="1742"/>
      <c r="Z93" s="1346"/>
      <c r="AA93" s="1343"/>
      <c r="AB93" s="1141"/>
      <c r="AC93" s="1103" t="str">
        <f>IF(T93="","",VLOOKUP(Z93,Lists!$A$60:$B$111,2,FALSE))</f>
        <v/>
      </c>
      <c r="AD93" s="130" t="str">
        <f t="shared" si="96"/>
        <v/>
      </c>
      <c r="AE93" s="130" t="e">
        <f t="shared" si="97"/>
        <v>#VALUE!</v>
      </c>
      <c r="AF93" s="130">
        <f t="shared" si="98"/>
        <v>1</v>
      </c>
      <c r="AG93" s="234">
        <f t="shared" si="82"/>
        <v>0</v>
      </c>
      <c r="AH93" s="1753" t="str">
        <f>IF(T93="","",(IF(ISNUMBER(SEARCH("exit",T93)),8760,IF(AND(M93="Dusk to Dawn",'Proposed Lighting'!AU93=3),4059,IF(AND(AU93=3,M93="1"),0,IF(AND(AU93=3,M93="1-C"),0,IF(AND(AU93=3,M93="2"),0,IF(AND(AU93=3,M93="2-C"),0,IF(AND(AU93=3,M93="3"),0,IF(AND(AU93=3,M93="3-C"),0,IF(AND(AU93=2,M93="Dusk to Dawn"),0,IF(AND(AU93=2,M93="Dusk to Dawn-C"),0,IF(AND(AU93=2,M93="Dusk to Dawn"),0,IF(AND(AU93=2,M93="E"),0,IF(AND(AU93=2,M93="E-C"),0,EG93)))))))))))))))</f>
        <v/>
      </c>
      <c r="AI93" s="1754"/>
      <c r="AJ93" s="1136"/>
      <c r="AK93" s="1136"/>
      <c r="AL93" s="1748">
        <f t="shared" si="99"/>
        <v>0</v>
      </c>
      <c r="AM93" s="1749"/>
      <c r="AN93" s="1750"/>
      <c r="AO93" s="476">
        <f t="shared" si="83"/>
        <v>0</v>
      </c>
      <c r="AP93" s="476">
        <f t="shared" si="100"/>
        <v>0</v>
      </c>
      <c r="AQ93" s="475">
        <f t="shared" si="84"/>
        <v>0</v>
      </c>
      <c r="AR93" s="475">
        <f t="shared" si="101"/>
        <v>0</v>
      </c>
      <c r="AS93" s="743" t="str">
        <f t="shared" si="79"/>
        <v/>
      </c>
      <c r="AT93" s="736" t="str">
        <f t="shared" si="102"/>
        <v/>
      </c>
      <c r="AU93" s="56">
        <f t="shared" si="103"/>
        <v>1</v>
      </c>
      <c r="AV93" s="476">
        <f t="shared" si="104"/>
        <v>0</v>
      </c>
      <c r="AW93" s="56">
        <f t="shared" si="105"/>
        <v>0</v>
      </c>
      <c r="AX93" s="475">
        <f t="shared" si="85"/>
        <v>0</v>
      </c>
      <c r="AY93" s="1169">
        <f t="shared" si="106"/>
        <v>0</v>
      </c>
      <c r="AZ93" s="1150">
        <f t="shared" si="148"/>
        <v>0</v>
      </c>
      <c r="BA93" s="56">
        <f t="shared" si="86"/>
        <v>0</v>
      </c>
      <c r="BB93" s="420">
        <f t="shared" si="87"/>
        <v>0</v>
      </c>
      <c r="BC93" s="58" t="str">
        <f t="shared" si="88"/>
        <v/>
      </c>
      <c r="BD93" s="660">
        <f t="shared" si="149"/>
        <v>0</v>
      </c>
      <c r="BE93" s="57" t="e">
        <f t="array" ref="BE93">INDEX($EB$11:$ED$1022,MATCH(F93&amp;T93,$EB$11:$EB$1007&amp;$EC$11:$EC$1007,0),3)</f>
        <v>#N/A</v>
      </c>
      <c r="BF93" s="463">
        <f t="shared" si="107"/>
        <v>0</v>
      </c>
      <c r="BG93" s="1445" t="e">
        <f t="array" ref="BG93">INDEX($DO$112:$DQ$123,MATCH(T93&amp;W93,$DO$114:$DO$125&amp;$DP$112:$DP$123,0),3)</f>
        <v>#N/A</v>
      </c>
      <c r="BH93" s="1446">
        <f t="shared" si="108"/>
        <v>0</v>
      </c>
      <c r="BI93" s="465">
        <f t="shared" si="109"/>
        <v>0</v>
      </c>
      <c r="BJ93" s="465">
        <f t="shared" si="110"/>
        <v>0</v>
      </c>
      <c r="BK93" s="466">
        <f t="shared" si="111"/>
        <v>0</v>
      </c>
      <c r="BL93" s="466">
        <f t="shared" si="112"/>
        <v>0</v>
      </c>
      <c r="BM93" s="466">
        <f t="shared" si="113"/>
        <v>0</v>
      </c>
      <c r="BN93" s="466">
        <f t="shared" si="114"/>
        <v>0</v>
      </c>
      <c r="BO93" s="463">
        <f>IF('Data Entry'!$C$74=0,0,IF(ISNA(CJ93),0,IF(AX93=0,0,IF(AND('Data Entry'!$C$74=2,AF93&gt;2,CE93&lt;1),0,IF(AND('Data Entry'!$C$74=2,AF93&gt;1,AU93=2,CJ93&gt;1),0,IF(AND(AF93=5,CT93=0.5,AU93=2,ER93&lt;100),0,IF(AND(AF93=5,CT93=0.5,AU93=3,ER93&lt;100),0,IF(AND('Data Entry'!$C$74=2,AF93=2,AU93=2,AK93&gt;0.01,CB93=2,CE93&lt;1),0,IF(AND('Data Entry'!$C$74=2,AF93=3,AU93=3,AK93&gt;0.01,CB93=3,CE93&lt;1),0,IF(AND('Data Entry'!$C$74=2,AF93=3,AU93=3,AK93&gt;0.01,CB93=3,CE93&gt;0.99),BQ93*0.08,IF(AND('Data Entry'!$C$74=2,AF93=2,AU93=2,AK93&gt;0.01,CB93=2,CE93&gt;0.99),BQ93*0.1,IF(AND(AU93=2,AK93&gt;0.01,CB93=2,CD93&gt;1),BQ93*0.1,IF(AND(AU93=3,AK93&gt;0.01,CB93=3,CD93&gt;1),BQ93*0.08,CJ93*EF93)))))))))))))</f>
        <v>0</v>
      </c>
      <c r="BP93" s="475">
        <f t="shared" si="115"/>
        <v>0</v>
      </c>
      <c r="BQ93" s="1431">
        <f>IF(AU93=1,0,IF(CH93=100,0,IF(AND(AF93=3,AU93=2),0,IF(AND(BH93=0,CT93&gt;0.4),0,IF(AND('Data Entry'!$C$74=2,AF93=1.5),0,IF(AND('Data Entry'!$C$74=2,AF93=1.6),0,IF(AND('Data Entry'!$C$74=2,AF93=4),0,IF(AND('Data Entry'!$C$74=2,AF93=5),0,IF(AND('Data Entry'!$C$74=2,AF93=2.5,CE93&lt;1),0,IF(AND('Data Entry'!$C$74=2,AF93=3,CE93&lt;1),0,IF(AND('Data Entry'!$C$74=1,AF93=2.5,CD93&lt;1),0,IF(AND('Data Entry'!$C$74=1,AF93=3,CD93&lt;1),0,IF(DX93&gt;0.01,DX93,IF(ISERROR(AX93-AY93),"",ROUND(AX93-AY93,2)))))))))))))))</f>
        <v>0</v>
      </c>
      <c r="BR93" s="146">
        <f t="shared" si="116"/>
        <v>0</v>
      </c>
      <c r="BS93" s="475">
        <f t="shared" si="117"/>
        <v>0</v>
      </c>
      <c r="BT93" s="146" t="b">
        <f t="shared" si="118"/>
        <v>0</v>
      </c>
      <c r="BU93" s="463">
        <f>IF(ISNA(AT93),0,IF(AND('Data Entry'!$C$74=2,BC93=27),0,IF(AND('Data Entry'!$C$74=2,BC93=28),0,IF(AND(BC93=27,BT93=27,CM93&gt;0.1),CM93*0.15,IF(AND(BC93=28,BT93=28,CM93&gt;0.1),CM93*0.12,0)))))</f>
        <v>0</v>
      </c>
      <c r="BV93" s="463">
        <f t="shared" si="155"/>
        <v>0</v>
      </c>
      <c r="BW93" s="463">
        <f t="shared" si="119"/>
        <v>0</v>
      </c>
      <c r="BX93" s="463">
        <f t="shared" si="120"/>
        <v>0</v>
      </c>
      <c r="BY93" s="463">
        <f t="shared" si="121"/>
        <v>0</v>
      </c>
      <c r="BZ93" s="463">
        <f t="shared" si="122"/>
        <v>0</v>
      </c>
      <c r="CA93" s="57">
        <f t="shared" si="150"/>
        <v>0</v>
      </c>
      <c r="CB93" s="56">
        <f t="shared" si="123"/>
        <v>1</v>
      </c>
      <c r="CC93" s="756">
        <f>IF(EE93=0,0,IF(EF93=0,0,IF(EE93&gt;AA93,0,IF(AND(AZ93&gt;AW93,AW93&gt;0),0,IF(CU93=0,0,Summary!AC396)))))</f>
        <v>0</v>
      </c>
      <c r="CD93" s="756">
        <f>IF(EE93=0,0,IF(EF93=0,0,IF(EE93&gt;AA93,0,IF(AND(AZ93&gt;AW93,AW93&gt;0),0,IF(CU93=0,0,Summary!AD396)))))</f>
        <v>0</v>
      </c>
      <c r="CE93" s="756">
        <f>IF(EF93=0,0,IF(EE93&gt;AA93,0,IF(CC93=0,0,IF(AND(AZ93&gt;AW93,AW93&gt;0),0,IF(CU93=0,0,Summary!AE396)))))</f>
        <v>0</v>
      </c>
      <c r="CF93" s="475">
        <f t="shared" si="124"/>
        <v>0</v>
      </c>
      <c r="CG93" s="476">
        <f t="shared" si="89"/>
        <v>0</v>
      </c>
      <c r="CH93" s="487">
        <f t="shared" si="125"/>
        <v>0</v>
      </c>
      <c r="CI93" s="756">
        <f t="shared" si="126"/>
        <v>0</v>
      </c>
      <c r="CJ93" s="487">
        <f>IF(CT93&gt;0.4,0,IF(AND(AU93=2,CH93=0,CT93=0.5,ER93=100),35,IF(AND(AU93=3,BB93&gt;75,CH93=0,CT93=0.5,ER93=100),25,IF(CB93&gt;1,0,IF(EF93&gt;EE93,0,IF(AND(AF93&gt;1,CH93=100),0,IF(AND(AF93=1,AY93=0),0,IF(AND(EF93&lt;=EE93,AW93&gt;=AZ93,'Data Entry'!$C$74=1,AU93=2),VLOOKUP(W93,$DO$96:$DP$102,2,FALSE),IF(AND(EF93&lt;=EE93,AW93&gt;=AZ93,AU93=3,'Data Entry'!$C$74=1),VLOOKUP(W93,$DO$127:$DP$134,2,FALSE))))))))))</f>
        <v>0</v>
      </c>
      <c r="CK93" s="716">
        <f t="shared" si="127"/>
        <v>0</v>
      </c>
      <c r="CL93" s="57">
        <f t="shared" si="128"/>
        <v>0</v>
      </c>
      <c r="CM93" s="475">
        <f t="shared" si="154"/>
        <v>0</v>
      </c>
      <c r="CN93" s="660">
        <f>IF(CM93&lt;0.1,0,IF(ISNA(AT93),0,IF(CL93+BC93=1,0,IF(BV93&gt;0.01,0,IF(CL93&gt;0.01,0,IF(CF93=1,0,IF(BC93=0.5,0,IF(AND(CI93=1,AU93=3),0,IF(AND(CI93=5,CL93=0),0,IF(AND(R93=12,BR93=50),0,IF(CK93&gt;0.01,0,IF(AND(AJ93&gt;0.01,AU93=2,BC93=15),CM93*0.1,IF(AND(AJ93&gt;0.01,AU93=3,BC93=15),CM93*0.08,IF(AND(R93=12,BC93=3,AF93&lt;=0),0,IF(AND(BC93=15,BI93=0),0,IF(AND(BC93=15,BJ93=0),0,IF(AND(R93=20,CU93=0),0,IF($X$4=0,0,IF(AND(BC93=250,CL93=0),0,IF(AA93&lt;1,0,IF(AND(ISNUMBER(SEARCH("Area",T93)),AU93=3),0,IF(AND(AQ93&gt;0.01,AR93=0,BK93=0,BL93=0,BM93=0,BN93=0),0,IF(AND(AU93=3,CI93=7,CT93&gt;0.5),0,IF(AND(BC93=44,AU93=3,BY93=0),0,IF(AND(BC93=27,'Data Entry'!$C$74=2),0,IF(AND(BC93=28,'Data Entry'!$C$74=2),0,IF(AND(BY93+BZ93+CA93&gt;0.01,BV93=0,EQ93+ER93+ES93+ET93&lt;100),0,IF(AU93=3,CM93*0.08,IF(AU93=2,CM93*0.1,0)))))))))))))))))))))))))))))</f>
        <v>0</v>
      </c>
      <c r="CO93" s="660">
        <f t="shared" si="129"/>
        <v>0</v>
      </c>
      <c r="CP93" s="475" t="str">
        <f t="shared" si="130"/>
        <v/>
      </c>
      <c r="CQ93" s="161" t="str">
        <f>IF(AH93=0,0,IF(AU93=5,0,Summary!AC96))</f>
        <v/>
      </c>
      <c r="CR93" s="161" t="str">
        <f>IF(BF93=0.5,0,IF(AU93=5,0,Summary!AD96))</f>
        <v/>
      </c>
      <c r="CS93" s="161" t="str">
        <f>IF(AU93=5,0,Summary!AE96)</f>
        <v/>
      </c>
      <c r="CT93" s="161">
        <f t="shared" si="131"/>
        <v>0</v>
      </c>
      <c r="CU93" s="475" t="str">
        <f t="shared" si="132"/>
        <v/>
      </c>
      <c r="CV93" s="307">
        <f>IF('Data Entry'!$C$74=0,0,IF(AA93&lt;1,0,IF(ISERROR(CU93),0,IF(CF93=1,0,IF(AND(R93=12,BR93=50),0,IF(CL93+BO93+BV93+DC93=0,0,IF(BC93=37,0,IF(AND(BC93=40,AJ93=0),0,IF(AND(BC93=37,BO93&gt;0.01,BQ93&gt;0.01),ROUND(BQ93,0),IF(CM93&lt;0,0,ROUND(CM93,0)))))))))))</f>
        <v>0</v>
      </c>
      <c r="CW93" s="700">
        <f t="shared" si="133"/>
        <v>0</v>
      </c>
      <c r="CX93" s="477">
        <f>IF('Data Entry'!$C$74=0,0,IF(CV93&lt;0.01,0,IF(BF93=0.5,0,IF(CF93=1,0,IF(ISNUMBER(SEARCH("false",CL93)),0,IF(AZ93=500,0,CL93))))))</f>
        <v>0</v>
      </c>
      <c r="CY93" s="147" t="e">
        <f t="shared" si="134"/>
        <v>#VALUE!</v>
      </c>
      <c r="CZ93" s="147" t="b">
        <f>IF(CN93+CL93=0,FALSE,IF(AH93=0,0,IF(AND('Data Entry'!$C$74=1,CR93&gt;=1),TRUE,IF(AND('Data Entry'!$C$74=2,CS93&gt;=1),TRUE,FALSE))))</f>
        <v>0</v>
      </c>
      <c r="DA93" s="1751">
        <f>IF('Data Entry'!$C$74=0,0,IFERROR(ROUND(IF(T93="","",IF($X$4=0,0,IF(CF93=1,0,IF(BQ93+CV93=0,0,IF(CF93=1,0,IF(CY93&gt;0.01,CY93,IF(CL93&gt;0.01,CL93,IF(CY93&gt;0.01,CY93,IF(BC93=37,BO93,IF(CZ93=FALSE,0,IF(CZ93=TRUE,DC93+DF93,0))))))))))),2),""))</f>
        <v>0</v>
      </c>
      <c r="DB93" s="1752"/>
      <c r="DC93" s="474">
        <f>IF(CN93&lt;0.01,0,IF(AND(BR93=3,CN93&gt;0.01,CT93&gt;0.6,ER93+ES93+ET93&lt;100),0,IF(AND('Data Entry'!$C$74=1,CN93&gt;0.01,CR93&gt;0.99),MIN(CN93:CO93),IF(AND('Data Entry'!$C$74=2,CN93&gt;0.01,CS93&gt;0.99),MIN(CN93:CO93),0))))</f>
        <v>0</v>
      </c>
      <c r="DD93" s="478">
        <f>IF(CF93=1,"Selection does not match",IF(T93=0,0,IF(AND('Data Entry'!$C$74=0,CP93&gt;1),"Select Oregon or Idaho on Data Entry Tab",IF(AND(AU93=1,AA93&gt;0.9),"Missing Interior or Exterior Selection",IF($X$4=0,"Enter Total Project Cost",IF(AQ93&lt;AR93,"Insufficient kWh savings – no incentive",IF(AND(SUM(CL93+CK93+BV93)&gt;0.01,'Data Entry'!$C$74=2,CJ93&gt;1,BO93=0),"Submit Control as Non-Standard",IF(AND('Data Entry'!$C$74=2,BR93=37,CJ93&gt;1,BO93=0),"Submit Control as Non-Standard",IF(SUM(CL93+CK93+BV93)&gt;0.01,"Standard Incentive",IF(AND('Data Entry'!$C$74=2,CP93=7,CN93=0),"Submit as Non-Standard",IF(DC93&gt;0.9,"Non-Standard Incentive",IF(AND(BY93+BZ93+CA93&gt;0.01,BV93=0,EQ93=0,ER93=0,ES93=0,ET93=0),"Scroll Right &amp; Select Control Strategies",IF(AND(CN93&gt;0.01,CO93=0),"Enter Unit Installed Cost",IF(ISNUMBER(SEARCH("Lighting Controls Only",F93)),"Lighting Controls Only",IF(CL93+DC93=0,"Does not meet incentive criteria",0)))))))))))))))</f>
        <v>0</v>
      </c>
      <c r="DE93" s="337">
        <f t="shared" si="135"/>
        <v>0</v>
      </c>
      <c r="DF93" s="609">
        <f t="shared" si="136"/>
        <v>0</v>
      </c>
      <c r="DG93" s="336" t="str">
        <f t="shared" si="137"/>
        <v/>
      </c>
      <c r="DH93" s="338">
        <f t="shared" si="138"/>
        <v>1</v>
      </c>
      <c r="DI93" s="336" t="e">
        <f t="shared" si="90"/>
        <v>#VALUE!</v>
      </c>
      <c r="DJ93" s="338">
        <f t="shared" si="91"/>
        <v>0</v>
      </c>
      <c r="DK93" s="325" t="s">
        <v>130</v>
      </c>
      <c r="DL93" s="865">
        <v>168</v>
      </c>
      <c r="DM93" s="325" t="s">
        <v>88</v>
      </c>
      <c r="DN93" s="1439"/>
      <c r="DO93" s="1444" t="s">
        <v>1782</v>
      </c>
      <c r="DP93" s="1333">
        <v>0</v>
      </c>
      <c r="DQ93" s="331"/>
      <c r="DR93" s="332"/>
      <c r="DS93" s="1195">
        <f t="shared" si="139"/>
        <v>0</v>
      </c>
      <c r="DT93" s="344" t="b">
        <f t="shared" si="140"/>
        <v>1</v>
      </c>
      <c r="DU93" s="1314" t="str">
        <f t="array" ref="DU93">IF(OR(COUNTIF(F93,"*"&amp;$DK$9:$DK$178&amp;"*")), "Yes", "")</f>
        <v/>
      </c>
      <c r="DV93" s="1314">
        <f t="shared" si="141"/>
        <v>0</v>
      </c>
      <c r="DW93" s="1480">
        <f t="shared" si="142"/>
        <v>0</v>
      </c>
      <c r="DX93" s="1498">
        <f t="shared" si="151"/>
        <v>0</v>
      </c>
      <c r="DY93" s="1484">
        <f t="shared" si="143"/>
        <v>0</v>
      </c>
      <c r="DZ93" s="331"/>
      <c r="EA93" s="392"/>
      <c r="EB93" s="1499" t="s">
        <v>126</v>
      </c>
      <c r="EC93" s="727" t="s">
        <v>1568</v>
      </c>
      <c r="ED93" s="728">
        <v>0.5</v>
      </c>
      <c r="EE93" s="1215"/>
      <c r="EF93" s="1215"/>
      <c r="EG93" s="1184" t="str">
        <f t="shared" si="144"/>
        <v/>
      </c>
      <c r="EH93" s="55"/>
      <c r="EI93" s="55"/>
      <c r="EJ93" s="1185">
        <f t="shared" si="92"/>
        <v>0</v>
      </c>
      <c r="EK93" s="1211"/>
      <c r="EL93" s="1180">
        <f t="shared" si="93"/>
        <v>0</v>
      </c>
      <c r="EM93" s="207"/>
      <c r="EN93" s="1038"/>
      <c r="EO93" s="1038"/>
      <c r="EP93" s="1038"/>
      <c r="EQ93" s="1038">
        <f t="shared" si="145"/>
        <v>0</v>
      </c>
      <c r="ER93" s="1041">
        <f t="shared" si="146"/>
        <v>0</v>
      </c>
      <c r="ES93" s="1042">
        <f t="shared" si="147"/>
        <v>0</v>
      </c>
      <c r="ET93" s="1042">
        <f t="shared" si="152"/>
        <v>0</v>
      </c>
      <c r="EU93" s="1021">
        <f t="shared" si="153"/>
        <v>0</v>
      </c>
      <c r="EV93" s="368"/>
      <c r="EW93" s="368"/>
      <c r="EX93" s="369"/>
      <c r="EY93" s="370"/>
      <c r="EZ93" s="370"/>
      <c r="FA93" s="371"/>
      <c r="FB93" s="372"/>
    </row>
    <row r="94" spans="1:158" ht="34.5" customHeight="1">
      <c r="A94" s="82">
        <v>86</v>
      </c>
      <c r="B94" s="1725"/>
      <c r="C94" s="1726"/>
      <c r="D94" s="1726"/>
      <c r="E94" s="1727"/>
      <c r="F94" s="1732"/>
      <c r="G94" s="1733"/>
      <c r="H94" s="1733"/>
      <c r="I94" s="1734"/>
      <c r="J94" s="1341"/>
      <c r="K94" s="1728"/>
      <c r="L94" s="1728"/>
      <c r="M94" s="1342"/>
      <c r="N94" s="1583"/>
      <c r="O94" s="208" t="str">
        <f t="shared" si="80"/>
        <v/>
      </c>
      <c r="P94" s="785"/>
      <c r="Q94" s="39" t="str">
        <f t="shared" si="81"/>
        <v/>
      </c>
      <c r="R94" s="39">
        <f t="shared" si="94"/>
        <v>0</v>
      </c>
      <c r="S94" s="234">
        <f t="shared" si="95"/>
        <v>0</v>
      </c>
      <c r="T94" s="1755"/>
      <c r="U94" s="1755"/>
      <c r="V94" s="1755"/>
      <c r="W94" s="1345"/>
      <c r="X94" s="1741"/>
      <c r="Y94" s="1742"/>
      <c r="Z94" s="1346"/>
      <c r="AA94" s="1343"/>
      <c r="AB94" s="1141"/>
      <c r="AC94" s="1103" t="str">
        <f>IF(T94="","",VLOOKUP(Z94,Lists!$A$60:$B$111,2,FALSE))</f>
        <v/>
      </c>
      <c r="AD94" s="130" t="str">
        <f t="shared" si="96"/>
        <v/>
      </c>
      <c r="AE94" s="130" t="e">
        <f t="shared" si="97"/>
        <v>#VALUE!</v>
      </c>
      <c r="AF94" s="130">
        <f t="shared" si="98"/>
        <v>1</v>
      </c>
      <c r="AG94" s="234">
        <f t="shared" si="82"/>
        <v>0</v>
      </c>
      <c r="AH94" s="1753" t="str">
        <f>IF(T94="","",(IF(ISNUMBER(SEARCH("exit",T94)),8760,IF(AND(M94="Dusk to Dawn",'Proposed Lighting'!AU94=3),4059,IF(AND(AU94=3,M94="1"),0,IF(AND(AU94=3,M94="1-C"),0,IF(AND(AU94=3,M94="2"),0,IF(AND(AU94=3,M94="2-C"),0,IF(AND(AU94=3,M94="3"),0,IF(AND(AU94=3,M94="3-C"),0,IF(AND(AU94=2,M94="Dusk to Dawn"),0,IF(AND(AU94=2,M94="Dusk to Dawn-C"),0,IF(AND(AU94=2,M94="Dusk to Dawn"),0,IF(AND(AU94=2,M94="E"),0,IF(AND(AU94=2,M94="E-C"),0,EG94)))))))))))))))</f>
        <v/>
      </c>
      <c r="AI94" s="1754"/>
      <c r="AJ94" s="1136"/>
      <c r="AK94" s="1136"/>
      <c r="AL94" s="1748">
        <f t="shared" si="99"/>
        <v>0</v>
      </c>
      <c r="AM94" s="1749"/>
      <c r="AN94" s="1750"/>
      <c r="AO94" s="476">
        <f t="shared" si="83"/>
        <v>0</v>
      </c>
      <c r="AP94" s="476">
        <f t="shared" si="100"/>
        <v>0</v>
      </c>
      <c r="AQ94" s="475">
        <f t="shared" si="84"/>
        <v>0</v>
      </c>
      <c r="AR94" s="475">
        <f t="shared" si="101"/>
        <v>0</v>
      </c>
      <c r="AS94" s="743" t="str">
        <f t="shared" si="79"/>
        <v/>
      </c>
      <c r="AT94" s="736" t="str">
        <f t="shared" si="102"/>
        <v/>
      </c>
      <c r="AU94" s="56">
        <f t="shared" si="103"/>
        <v>1</v>
      </c>
      <c r="AV94" s="476">
        <f t="shared" si="104"/>
        <v>0</v>
      </c>
      <c r="AW94" s="56">
        <f t="shared" si="105"/>
        <v>0</v>
      </c>
      <c r="AX94" s="475">
        <f t="shared" si="85"/>
        <v>0</v>
      </c>
      <c r="AY94" s="1169">
        <f t="shared" si="106"/>
        <v>0</v>
      </c>
      <c r="AZ94" s="1150">
        <f t="shared" si="148"/>
        <v>0</v>
      </c>
      <c r="BA94" s="56">
        <f t="shared" si="86"/>
        <v>0</v>
      </c>
      <c r="BB94" s="420">
        <f t="shared" si="87"/>
        <v>0</v>
      </c>
      <c r="BC94" s="58" t="str">
        <f t="shared" si="88"/>
        <v/>
      </c>
      <c r="BD94" s="660">
        <f t="shared" si="149"/>
        <v>0</v>
      </c>
      <c r="BE94" s="57" t="e">
        <f t="array" ref="BE94">INDEX($EB$11:$ED$1022,MATCH(F94&amp;T94,$EB$11:$EB$1007&amp;$EC$11:$EC$1007,0),3)</f>
        <v>#N/A</v>
      </c>
      <c r="BF94" s="463">
        <f t="shared" si="107"/>
        <v>0</v>
      </c>
      <c r="BG94" s="1445" t="e">
        <f t="array" ref="BG94">INDEX($DO$112:$DQ$123,MATCH(T94&amp;W94,$DO$114:$DO$125&amp;$DP$112:$DP$123,0),3)</f>
        <v>#N/A</v>
      </c>
      <c r="BH94" s="1446">
        <f t="shared" si="108"/>
        <v>0</v>
      </c>
      <c r="BI94" s="465">
        <f t="shared" si="109"/>
        <v>0</v>
      </c>
      <c r="BJ94" s="465">
        <f t="shared" si="110"/>
        <v>0</v>
      </c>
      <c r="BK94" s="466">
        <f t="shared" si="111"/>
        <v>0</v>
      </c>
      <c r="BL94" s="466">
        <f t="shared" si="112"/>
        <v>0</v>
      </c>
      <c r="BM94" s="466">
        <f t="shared" si="113"/>
        <v>0</v>
      </c>
      <c r="BN94" s="466">
        <f t="shared" si="114"/>
        <v>0</v>
      </c>
      <c r="BO94" s="463">
        <f>IF('Data Entry'!$C$74=0,0,IF(ISNA(CJ94),0,IF(AX94=0,0,IF(AND('Data Entry'!$C$74=2,AF94&gt;2,CE94&lt;1),0,IF(AND('Data Entry'!$C$74=2,AF94&gt;1,AU94=2,CJ94&gt;1),0,IF(AND(AF94=5,CT94=0.5,AU94=2,ER94&lt;100),0,IF(AND(AF94=5,CT94=0.5,AU94=3,ER94&lt;100),0,IF(AND('Data Entry'!$C$74=2,AF94=2,AU94=2,AK94&gt;0.01,CB94=2,CE94&lt;1),0,IF(AND('Data Entry'!$C$74=2,AF94=3,AU94=3,AK94&gt;0.01,CB94=3,CE94&lt;1),0,IF(AND('Data Entry'!$C$74=2,AF94=3,AU94=3,AK94&gt;0.01,CB94=3,CE94&gt;0.99),BQ94*0.08,IF(AND('Data Entry'!$C$74=2,AF94=2,AU94=2,AK94&gt;0.01,CB94=2,CE94&gt;0.99),BQ94*0.1,IF(AND(AU94=2,AK94&gt;0.01,CB94=2,CD94&gt;1),BQ94*0.1,IF(AND(AU94=3,AK94&gt;0.01,CB94=3,CD94&gt;1),BQ94*0.08,CJ94*EF94)))))))))))))</f>
        <v>0</v>
      </c>
      <c r="BP94" s="475">
        <f t="shared" si="115"/>
        <v>0</v>
      </c>
      <c r="BQ94" s="1431">
        <f>IF(AU94=1,0,IF(CH94=100,0,IF(AND(AF94=3,AU94=2),0,IF(AND(BH94=0,CT94&gt;0.4),0,IF(AND('Data Entry'!$C$74=2,AF94=1.5),0,IF(AND('Data Entry'!$C$74=2,AF94=1.6),0,IF(AND('Data Entry'!$C$74=2,AF94=4),0,IF(AND('Data Entry'!$C$74=2,AF94=5),0,IF(AND('Data Entry'!$C$74=2,AF94=2.5,CE94&lt;1),0,IF(AND('Data Entry'!$C$74=2,AF94=3,CE94&lt;1),0,IF(AND('Data Entry'!$C$74=1,AF94=2.5,CD94&lt;1),0,IF(AND('Data Entry'!$C$74=1,AF94=3,CD94&lt;1),0,IF(DX94&gt;0.01,DX94,IF(ISERROR(AX94-AY94),"",ROUND(AX94-AY94,2)))))))))))))))</f>
        <v>0</v>
      </c>
      <c r="BR94" s="146">
        <f t="shared" si="116"/>
        <v>0</v>
      </c>
      <c r="BS94" s="475">
        <f t="shared" si="117"/>
        <v>0</v>
      </c>
      <c r="BT94" s="146" t="b">
        <f t="shared" si="118"/>
        <v>0</v>
      </c>
      <c r="BU94" s="463">
        <f>IF(ISNA(AT94),0,IF(AND('Data Entry'!$C$74=2,BC94=27),0,IF(AND('Data Entry'!$C$74=2,BC94=28),0,IF(AND(BC94=27,BT94=27,CM94&gt;0.1),CM94*0.15,IF(AND(BC94=28,BT94=28,CM94&gt;0.1),CM94*0.12,0)))))</f>
        <v>0</v>
      </c>
      <c r="BV94" s="463">
        <f t="shared" si="155"/>
        <v>0</v>
      </c>
      <c r="BW94" s="463">
        <f t="shared" si="119"/>
        <v>0</v>
      </c>
      <c r="BX94" s="463">
        <f t="shared" si="120"/>
        <v>0</v>
      </c>
      <c r="BY94" s="463">
        <f t="shared" si="121"/>
        <v>0</v>
      </c>
      <c r="BZ94" s="463">
        <f t="shared" si="122"/>
        <v>0</v>
      </c>
      <c r="CA94" s="57">
        <f t="shared" si="150"/>
        <v>0</v>
      </c>
      <c r="CB94" s="56">
        <f t="shared" si="123"/>
        <v>1</v>
      </c>
      <c r="CC94" s="756">
        <f>IF(EE94=0,0,IF(EF94=0,0,IF(EE94&gt;AA94,0,IF(AND(AZ94&gt;AW94,AW94&gt;0),0,IF(CU94=0,0,Summary!AC397)))))</f>
        <v>0</v>
      </c>
      <c r="CD94" s="756">
        <f>IF(EE94=0,0,IF(EF94=0,0,IF(EE94&gt;AA94,0,IF(AND(AZ94&gt;AW94,AW94&gt;0),0,IF(CU94=0,0,Summary!AD397)))))</f>
        <v>0</v>
      </c>
      <c r="CE94" s="756">
        <f>IF(EF94=0,0,IF(EE94&gt;AA94,0,IF(CC94=0,0,IF(AND(AZ94&gt;AW94,AW94&gt;0),0,IF(CU94=0,0,Summary!AE397)))))</f>
        <v>0</v>
      </c>
      <c r="CF94" s="475">
        <f t="shared" si="124"/>
        <v>0</v>
      </c>
      <c r="CG94" s="476">
        <f t="shared" si="89"/>
        <v>0</v>
      </c>
      <c r="CH94" s="487">
        <f t="shared" si="125"/>
        <v>0</v>
      </c>
      <c r="CI94" s="756">
        <f t="shared" si="126"/>
        <v>0</v>
      </c>
      <c r="CJ94" s="487">
        <f>IF(CT94&gt;0.4,0,IF(AND(AU94=2,CH94=0,CT94=0.5,ER94=100),35,IF(AND(AU94=3,BB94&gt;75,CH94=0,CT94=0.5,ER94=100),25,IF(CB94&gt;1,0,IF(EF94&gt;EE94,0,IF(AND(AF94&gt;1,CH94=100),0,IF(AND(AF94=1,AY94=0),0,IF(AND(EF94&lt;=EE94,AW94&gt;=AZ94,'Data Entry'!$C$74=1,AU94=2),VLOOKUP(W94,$DO$96:$DP$102,2,FALSE),IF(AND(EF94&lt;=EE94,AW94&gt;=AZ94,AU94=3,'Data Entry'!$C$74=1),VLOOKUP(W94,$DO$127:$DP$134,2,FALSE))))))))))</f>
        <v>0</v>
      </c>
      <c r="CK94" s="716">
        <f t="shared" si="127"/>
        <v>0</v>
      </c>
      <c r="CL94" s="57">
        <f t="shared" si="128"/>
        <v>0</v>
      </c>
      <c r="CM94" s="475">
        <f t="shared" si="154"/>
        <v>0</v>
      </c>
      <c r="CN94" s="660">
        <f>IF(CM94&lt;0.1,0,IF(ISNA(AT94),0,IF(CL94+BC94=1,0,IF(BV94&gt;0.01,0,IF(CL94&gt;0.01,0,IF(CF94=1,0,IF(BC94=0.5,0,IF(AND(CI94=1,AU94=3),0,IF(AND(CI94=5,CL94=0),0,IF(AND(R94=12,BR94=50),0,IF(CK94&gt;0.01,0,IF(AND(AJ94&gt;0.01,AU94=2,BC94=15),CM94*0.1,IF(AND(AJ94&gt;0.01,AU94=3,BC94=15),CM94*0.08,IF(AND(R94=12,BC94=3,AF94&lt;=0),0,IF(AND(BC94=15,BI94=0),0,IF(AND(BC94=15,BJ94=0),0,IF(AND(R94=20,CU94=0),0,IF($X$4=0,0,IF(AND(BC94=250,CL94=0),0,IF(AA94&lt;1,0,IF(AND(ISNUMBER(SEARCH("Area",T94)),AU94=3),0,IF(AND(AQ94&gt;0.01,AR94=0,BK94=0,BL94=0,BM94=0,BN94=0),0,IF(AND(AU94=3,CI94=7,CT94&gt;0.5),0,IF(AND(BC94=44,AU94=3,BY94=0),0,IF(AND(BC94=27,'Data Entry'!$C$74=2),0,IF(AND(BC94=28,'Data Entry'!$C$74=2),0,IF(AND(BY94+BZ94+CA94&gt;0.01,BV94=0,EQ94+ER94+ES94+ET94&lt;100),0,IF(AU94=3,CM94*0.08,IF(AU94=2,CM94*0.1,0)))))))))))))))))))))))))))))</f>
        <v>0</v>
      </c>
      <c r="CO94" s="660">
        <f t="shared" si="129"/>
        <v>0</v>
      </c>
      <c r="CP94" s="475" t="str">
        <f t="shared" si="130"/>
        <v/>
      </c>
      <c r="CQ94" s="161" t="str">
        <f>IF(AH94=0,0,IF(AU94=5,0,Summary!AC97))</f>
        <v/>
      </c>
      <c r="CR94" s="161" t="str">
        <f>IF(BF94=0.5,0,IF(AU94=5,0,Summary!AD97))</f>
        <v/>
      </c>
      <c r="CS94" s="161" t="str">
        <f>IF(AU94=5,0,Summary!AE97)</f>
        <v/>
      </c>
      <c r="CT94" s="161">
        <f t="shared" si="131"/>
        <v>0</v>
      </c>
      <c r="CU94" s="475" t="str">
        <f t="shared" si="132"/>
        <v/>
      </c>
      <c r="CV94" s="307">
        <f>IF('Data Entry'!$C$74=0,0,IF(AA94&lt;1,0,IF(ISERROR(CU94),0,IF(CF94=1,0,IF(AND(R94=12,BR94=50),0,IF(CL94+BO94+BV94+DC94=0,0,IF(BC94=37,0,IF(AND(BC94=40,AJ94=0),0,IF(AND(BC94=37,BO94&gt;0.01,BQ94&gt;0.01),ROUND(BQ94,0),IF(CM94&lt;0,0,ROUND(CM94,0)))))))))))</f>
        <v>0</v>
      </c>
      <c r="CW94" s="700">
        <f t="shared" si="133"/>
        <v>0</v>
      </c>
      <c r="CX94" s="477">
        <f>IF('Data Entry'!$C$74=0,0,IF(CV94&lt;0.01,0,IF(BF94=0.5,0,IF(CF94=1,0,IF(ISNUMBER(SEARCH("false",CL94)),0,IF(AZ94=500,0,CL94))))))</f>
        <v>0</v>
      </c>
      <c r="CY94" s="147" t="e">
        <f t="shared" si="134"/>
        <v>#VALUE!</v>
      </c>
      <c r="CZ94" s="147" t="b">
        <f>IF(CN94+CL94=0,FALSE,IF(AH94=0,0,IF(AND('Data Entry'!$C$74=1,CR94&gt;=1),TRUE,IF(AND('Data Entry'!$C$74=2,CS94&gt;=1),TRUE,FALSE))))</f>
        <v>0</v>
      </c>
      <c r="DA94" s="1751">
        <f>IF('Data Entry'!$C$74=0,0,IFERROR(ROUND(IF(T94="","",IF($X$4=0,0,IF(CF94=1,0,IF(BQ94+CV94=0,0,IF(CF94=1,0,IF(CY94&gt;0.01,CY94,IF(CL94&gt;0.01,CL94,IF(CY94&gt;0.01,CY94,IF(BC94=37,BO94,IF(CZ94=FALSE,0,IF(CZ94=TRUE,DC94+DF94,0))))))))))),2),""))</f>
        <v>0</v>
      </c>
      <c r="DB94" s="1752"/>
      <c r="DC94" s="474">
        <f>IF(CN94&lt;0.01,0,IF(AND(BR94=3,CN94&gt;0.01,CT94&gt;0.6,ER94+ES94+ET94&lt;100),0,IF(AND('Data Entry'!$C$74=1,CN94&gt;0.01,CR94&gt;0.99),MIN(CN94:CO94),IF(AND('Data Entry'!$C$74=2,CN94&gt;0.01,CS94&gt;0.99),MIN(CN94:CO94),0))))</f>
        <v>0</v>
      </c>
      <c r="DD94" s="478">
        <f>IF(CF94=1,"Selection does not match",IF(T94=0,0,IF(AND('Data Entry'!$C$74=0,CP94&gt;1),"Select Oregon or Idaho on Data Entry Tab",IF(AND(AU94=1,AA94&gt;0.9),"Missing Interior or Exterior Selection",IF($X$4=0,"Enter Total Project Cost",IF(AQ94&lt;AR94,"Insufficient kWh savings – no incentive",IF(AND(SUM(CL94+CK94+BV94)&gt;0.01,'Data Entry'!$C$74=2,CJ94&gt;1,BO94=0),"Submit Control as Non-Standard",IF(AND('Data Entry'!$C$74=2,BR94=37,CJ94&gt;1,BO94=0),"Submit Control as Non-Standard",IF(SUM(CL94+CK94+BV94)&gt;0.01,"Standard Incentive",IF(AND('Data Entry'!$C$74=2,CP94=7,CN94=0),"Submit as Non-Standard",IF(DC94&gt;0.9,"Non-Standard Incentive",IF(AND(BY94+BZ94+CA94&gt;0.01,BV94=0,EQ94=0,ER94=0,ES94=0,ET94=0),"Scroll Right &amp; Select Control Strategies",IF(AND(CN94&gt;0.01,CO94=0),"Enter Unit Installed Cost",IF(ISNUMBER(SEARCH("Lighting Controls Only",F94)),"Lighting Controls Only",IF(CL94+DC94=0,"Does not meet incentive criteria",0)))))))))))))))</f>
        <v>0</v>
      </c>
      <c r="DE94" s="337">
        <f t="shared" si="135"/>
        <v>0</v>
      </c>
      <c r="DF94" s="609">
        <f t="shared" si="136"/>
        <v>0</v>
      </c>
      <c r="DG94" s="336" t="str">
        <f t="shared" si="137"/>
        <v/>
      </c>
      <c r="DH94" s="338">
        <f t="shared" si="138"/>
        <v>1</v>
      </c>
      <c r="DI94" s="336" t="e">
        <f t="shared" si="90"/>
        <v>#VALUE!</v>
      </c>
      <c r="DJ94" s="338">
        <f t="shared" si="91"/>
        <v>0</v>
      </c>
      <c r="DK94" s="325" t="s">
        <v>131</v>
      </c>
      <c r="DL94" s="865">
        <v>314</v>
      </c>
      <c r="DM94" s="325" t="s">
        <v>89</v>
      </c>
      <c r="DN94" s="1439"/>
      <c r="DO94" s="1436" t="s">
        <v>1892</v>
      </c>
      <c r="DP94" s="1333">
        <v>0</v>
      </c>
      <c r="DQ94" s="331"/>
      <c r="DR94" s="332"/>
      <c r="DS94" s="1195">
        <f t="shared" si="139"/>
        <v>0</v>
      </c>
      <c r="DT94" s="344" t="b">
        <f t="shared" si="140"/>
        <v>1</v>
      </c>
      <c r="DU94" s="1314" t="str">
        <f t="array" ref="DU94">IF(OR(COUNTIF(F94,"*"&amp;$DK$9:$DK$178&amp;"*")), "Yes", "")</f>
        <v/>
      </c>
      <c r="DV94" s="1314">
        <f t="shared" si="141"/>
        <v>0</v>
      </c>
      <c r="DW94" s="1480">
        <f t="shared" si="142"/>
        <v>0</v>
      </c>
      <c r="DX94" s="1498">
        <f t="shared" si="151"/>
        <v>0</v>
      </c>
      <c r="DY94" s="1484">
        <f t="shared" si="143"/>
        <v>0</v>
      </c>
      <c r="DZ94" s="331"/>
      <c r="EA94" s="392"/>
      <c r="EB94" s="1499" t="s">
        <v>127</v>
      </c>
      <c r="EC94" s="727" t="s">
        <v>1568</v>
      </c>
      <c r="ED94" s="728">
        <v>0.5</v>
      </c>
      <c r="EE94" s="1215"/>
      <c r="EF94" s="1215"/>
      <c r="EG94" s="1184" t="str">
        <f t="shared" si="144"/>
        <v/>
      </c>
      <c r="EH94" s="55"/>
      <c r="EI94" s="55"/>
      <c r="EJ94" s="1185">
        <f t="shared" si="92"/>
        <v>0</v>
      </c>
      <c r="EK94" s="1211"/>
      <c r="EL94" s="1180">
        <f t="shared" si="93"/>
        <v>0</v>
      </c>
      <c r="EM94" s="207"/>
      <c r="EN94" s="1038"/>
      <c r="EO94" s="1038"/>
      <c r="EP94" s="1038"/>
      <c r="EQ94" s="1038">
        <f t="shared" si="145"/>
        <v>0</v>
      </c>
      <c r="ER94" s="1041">
        <f t="shared" si="146"/>
        <v>0</v>
      </c>
      <c r="ES94" s="1042">
        <f t="shared" si="147"/>
        <v>0</v>
      </c>
      <c r="ET94" s="1042">
        <f t="shared" si="152"/>
        <v>0</v>
      </c>
      <c r="EU94" s="1021">
        <f t="shared" si="153"/>
        <v>0</v>
      </c>
      <c r="EV94" s="368"/>
      <c r="EW94" s="368"/>
      <c r="EX94" s="369"/>
      <c r="EY94" s="370"/>
      <c r="EZ94" s="370"/>
      <c r="FA94" s="371"/>
      <c r="FB94" s="372"/>
    </row>
    <row r="95" spans="1:158" ht="34.5" customHeight="1">
      <c r="A95" s="82">
        <v>87</v>
      </c>
      <c r="B95" s="1725"/>
      <c r="C95" s="1726"/>
      <c r="D95" s="1726"/>
      <c r="E95" s="1727"/>
      <c r="F95" s="1732"/>
      <c r="G95" s="1733"/>
      <c r="H95" s="1733"/>
      <c r="I95" s="1734"/>
      <c r="J95" s="1341"/>
      <c r="K95" s="1728"/>
      <c r="L95" s="1728"/>
      <c r="M95" s="1342"/>
      <c r="N95" s="1583"/>
      <c r="O95" s="208" t="str">
        <f t="shared" si="80"/>
        <v/>
      </c>
      <c r="P95" s="785"/>
      <c r="Q95" s="39" t="str">
        <f t="shared" si="81"/>
        <v/>
      </c>
      <c r="R95" s="39">
        <f t="shared" si="94"/>
        <v>0</v>
      </c>
      <c r="S95" s="234">
        <f t="shared" si="95"/>
        <v>0</v>
      </c>
      <c r="T95" s="1755"/>
      <c r="U95" s="1755"/>
      <c r="V95" s="1755"/>
      <c r="W95" s="1345"/>
      <c r="X95" s="1741"/>
      <c r="Y95" s="1742"/>
      <c r="Z95" s="1346"/>
      <c r="AA95" s="1343"/>
      <c r="AB95" s="1141"/>
      <c r="AC95" s="1103" t="str">
        <f>IF(T95="","",VLOOKUP(Z95,Lists!$A$60:$B$111,2,FALSE))</f>
        <v/>
      </c>
      <c r="AD95" s="130" t="str">
        <f t="shared" si="96"/>
        <v/>
      </c>
      <c r="AE95" s="130" t="e">
        <f t="shared" si="97"/>
        <v>#VALUE!</v>
      </c>
      <c r="AF95" s="130">
        <f t="shared" si="98"/>
        <v>1</v>
      </c>
      <c r="AG95" s="234">
        <f t="shared" si="82"/>
        <v>0</v>
      </c>
      <c r="AH95" s="1753" t="str">
        <f>IF(T95="","",(IF(ISNUMBER(SEARCH("exit",T95)),8760,IF(AND(M95="Dusk to Dawn",'Proposed Lighting'!AU95=3),4059,IF(AND(AU95=3,M95="1"),0,IF(AND(AU95=3,M95="1-C"),0,IF(AND(AU95=3,M95="2"),0,IF(AND(AU95=3,M95="2-C"),0,IF(AND(AU95=3,M95="3"),0,IF(AND(AU95=3,M95="3-C"),0,IF(AND(AU95=2,M95="Dusk to Dawn"),0,IF(AND(AU95=2,M95="Dusk to Dawn-C"),0,IF(AND(AU95=2,M95="Dusk to Dawn"),0,IF(AND(AU95=2,M95="E"),0,IF(AND(AU95=2,M95="E-C"),0,EG95)))))))))))))))</f>
        <v/>
      </c>
      <c r="AI95" s="1754"/>
      <c r="AJ95" s="1136"/>
      <c r="AK95" s="1136"/>
      <c r="AL95" s="1748">
        <f t="shared" si="99"/>
        <v>0</v>
      </c>
      <c r="AM95" s="1749"/>
      <c r="AN95" s="1750"/>
      <c r="AO95" s="476">
        <f t="shared" si="83"/>
        <v>0</v>
      </c>
      <c r="AP95" s="476">
        <f t="shared" si="100"/>
        <v>0</v>
      </c>
      <c r="AQ95" s="475">
        <f t="shared" si="84"/>
        <v>0</v>
      </c>
      <c r="AR95" s="475">
        <f t="shared" si="101"/>
        <v>0</v>
      </c>
      <c r="AS95" s="743" t="str">
        <f t="shared" si="79"/>
        <v/>
      </c>
      <c r="AT95" s="736" t="str">
        <f t="shared" si="102"/>
        <v/>
      </c>
      <c r="AU95" s="56">
        <f t="shared" si="103"/>
        <v>1</v>
      </c>
      <c r="AV95" s="476">
        <f t="shared" si="104"/>
        <v>0</v>
      </c>
      <c r="AW95" s="56">
        <f t="shared" si="105"/>
        <v>0</v>
      </c>
      <c r="AX95" s="475">
        <f t="shared" si="85"/>
        <v>0</v>
      </c>
      <c r="AY95" s="1169">
        <f t="shared" si="106"/>
        <v>0</v>
      </c>
      <c r="AZ95" s="1150">
        <f t="shared" si="148"/>
        <v>0</v>
      </c>
      <c r="BA95" s="56">
        <f t="shared" si="86"/>
        <v>0</v>
      </c>
      <c r="BB95" s="420">
        <f t="shared" si="87"/>
        <v>0</v>
      </c>
      <c r="BC95" s="58" t="str">
        <f t="shared" si="88"/>
        <v/>
      </c>
      <c r="BD95" s="660">
        <f t="shared" si="149"/>
        <v>0</v>
      </c>
      <c r="BE95" s="57" t="e">
        <f t="array" ref="BE95">INDEX($EB$11:$ED$1022,MATCH(F95&amp;T95,$EB$11:$EB$1007&amp;$EC$11:$EC$1007,0),3)</f>
        <v>#N/A</v>
      </c>
      <c r="BF95" s="463">
        <f t="shared" si="107"/>
        <v>0</v>
      </c>
      <c r="BG95" s="1445" t="e">
        <f t="array" ref="BG95">INDEX($DO$112:$DQ$123,MATCH(T95&amp;W95,$DO$114:$DO$125&amp;$DP$112:$DP$123,0),3)</f>
        <v>#N/A</v>
      </c>
      <c r="BH95" s="1446">
        <f t="shared" si="108"/>
        <v>0</v>
      </c>
      <c r="BI95" s="465">
        <f t="shared" si="109"/>
        <v>0</v>
      </c>
      <c r="BJ95" s="465">
        <f t="shared" si="110"/>
        <v>0</v>
      </c>
      <c r="BK95" s="466">
        <f t="shared" si="111"/>
        <v>0</v>
      </c>
      <c r="BL95" s="466">
        <f t="shared" si="112"/>
        <v>0</v>
      </c>
      <c r="BM95" s="466">
        <f t="shared" si="113"/>
        <v>0</v>
      </c>
      <c r="BN95" s="466">
        <f t="shared" si="114"/>
        <v>0</v>
      </c>
      <c r="BO95" s="463">
        <f>IF('Data Entry'!$C$74=0,0,IF(ISNA(CJ95),0,IF(AX95=0,0,IF(AND('Data Entry'!$C$74=2,AF95&gt;2,CE95&lt;1),0,IF(AND('Data Entry'!$C$74=2,AF95&gt;1,AU95=2,CJ95&gt;1),0,IF(AND(AF95=5,CT95=0.5,AU95=2,ER95&lt;100),0,IF(AND(AF95=5,CT95=0.5,AU95=3,ER95&lt;100),0,IF(AND('Data Entry'!$C$74=2,AF95=2,AU95=2,AK95&gt;0.01,CB95=2,CE95&lt;1),0,IF(AND('Data Entry'!$C$74=2,AF95=3,AU95=3,AK95&gt;0.01,CB95=3,CE95&lt;1),0,IF(AND('Data Entry'!$C$74=2,AF95=3,AU95=3,AK95&gt;0.01,CB95=3,CE95&gt;0.99),BQ95*0.08,IF(AND('Data Entry'!$C$74=2,AF95=2,AU95=2,AK95&gt;0.01,CB95=2,CE95&gt;0.99),BQ95*0.1,IF(AND(AU95=2,AK95&gt;0.01,CB95=2,CD95&gt;1),BQ95*0.1,IF(AND(AU95=3,AK95&gt;0.01,CB95=3,CD95&gt;1),BQ95*0.08,CJ95*EF95)))))))))))))</f>
        <v>0</v>
      </c>
      <c r="BP95" s="475">
        <f t="shared" si="115"/>
        <v>0</v>
      </c>
      <c r="BQ95" s="1431">
        <f>IF(AU95=1,0,IF(CH95=100,0,IF(AND(AF95=3,AU95=2),0,IF(AND(BH95=0,CT95&gt;0.4),0,IF(AND('Data Entry'!$C$74=2,AF95=1.5),0,IF(AND('Data Entry'!$C$74=2,AF95=1.6),0,IF(AND('Data Entry'!$C$74=2,AF95=4),0,IF(AND('Data Entry'!$C$74=2,AF95=5),0,IF(AND('Data Entry'!$C$74=2,AF95=2.5,CE95&lt;1),0,IF(AND('Data Entry'!$C$74=2,AF95=3,CE95&lt;1),0,IF(AND('Data Entry'!$C$74=1,AF95=2.5,CD95&lt;1),0,IF(AND('Data Entry'!$C$74=1,AF95=3,CD95&lt;1),0,IF(DX95&gt;0.01,DX95,IF(ISERROR(AX95-AY95),"",ROUND(AX95-AY95,2)))))))))))))))</f>
        <v>0</v>
      </c>
      <c r="BR95" s="146">
        <f t="shared" si="116"/>
        <v>0</v>
      </c>
      <c r="BS95" s="475">
        <f t="shared" si="117"/>
        <v>0</v>
      </c>
      <c r="BT95" s="146" t="b">
        <f t="shared" si="118"/>
        <v>0</v>
      </c>
      <c r="BU95" s="463">
        <f>IF(ISNA(AT95),0,IF(AND('Data Entry'!$C$74=2,BC95=27),0,IF(AND('Data Entry'!$C$74=2,BC95=28),0,IF(AND(BC95=27,BT95=27,CM95&gt;0.1),CM95*0.15,IF(AND(BC95=28,BT95=28,CM95&gt;0.1),CM95*0.12,0)))))</f>
        <v>0</v>
      </c>
      <c r="BV95" s="463">
        <f t="shared" si="155"/>
        <v>0</v>
      </c>
      <c r="BW95" s="463">
        <f t="shared" si="119"/>
        <v>0</v>
      </c>
      <c r="BX95" s="463">
        <f t="shared" si="120"/>
        <v>0</v>
      </c>
      <c r="BY95" s="463">
        <f t="shared" si="121"/>
        <v>0</v>
      </c>
      <c r="BZ95" s="463">
        <f t="shared" si="122"/>
        <v>0</v>
      </c>
      <c r="CA95" s="57">
        <f t="shared" si="150"/>
        <v>0</v>
      </c>
      <c r="CB95" s="56">
        <f t="shared" si="123"/>
        <v>1</v>
      </c>
      <c r="CC95" s="756">
        <f>IF(EE95=0,0,IF(EF95=0,0,IF(EE95&gt;AA95,0,IF(AND(AZ95&gt;AW95,AW95&gt;0),0,IF(CU95=0,0,Summary!AC398)))))</f>
        <v>0</v>
      </c>
      <c r="CD95" s="756">
        <f>IF(EE95=0,0,IF(EF95=0,0,IF(EE95&gt;AA95,0,IF(AND(AZ95&gt;AW95,AW95&gt;0),0,IF(CU95=0,0,Summary!AD398)))))</f>
        <v>0</v>
      </c>
      <c r="CE95" s="756">
        <f>IF(EF95=0,0,IF(EE95&gt;AA95,0,IF(CC95=0,0,IF(AND(AZ95&gt;AW95,AW95&gt;0),0,IF(CU95=0,0,Summary!AE398)))))</f>
        <v>0</v>
      </c>
      <c r="CF95" s="475">
        <f t="shared" si="124"/>
        <v>0</v>
      </c>
      <c r="CG95" s="476">
        <f t="shared" si="89"/>
        <v>0</v>
      </c>
      <c r="CH95" s="487">
        <f t="shared" si="125"/>
        <v>0</v>
      </c>
      <c r="CI95" s="756">
        <f t="shared" si="126"/>
        <v>0</v>
      </c>
      <c r="CJ95" s="487">
        <f>IF(CT95&gt;0.4,0,IF(AND(AU95=2,CH95=0,CT95=0.5,ER95=100),35,IF(AND(AU95=3,BB95&gt;75,CH95=0,CT95=0.5,ER95=100),25,IF(CB95&gt;1,0,IF(EF95&gt;EE95,0,IF(AND(AF95&gt;1,CH95=100),0,IF(AND(AF95=1,AY95=0),0,IF(AND(EF95&lt;=EE95,AW95&gt;=AZ95,'Data Entry'!$C$74=1,AU95=2),VLOOKUP(W95,$DO$96:$DP$102,2,FALSE),IF(AND(EF95&lt;=EE95,AW95&gt;=AZ95,AU95=3,'Data Entry'!$C$74=1),VLOOKUP(W95,$DO$127:$DP$134,2,FALSE))))))))))</f>
        <v>0</v>
      </c>
      <c r="CK95" s="716">
        <f t="shared" si="127"/>
        <v>0</v>
      </c>
      <c r="CL95" s="57">
        <f t="shared" si="128"/>
        <v>0</v>
      </c>
      <c r="CM95" s="475">
        <f t="shared" si="154"/>
        <v>0</v>
      </c>
      <c r="CN95" s="660">
        <f>IF(CM95&lt;0.1,0,IF(ISNA(AT95),0,IF(CL95+BC95=1,0,IF(BV95&gt;0.01,0,IF(CL95&gt;0.01,0,IF(CF95=1,0,IF(BC95=0.5,0,IF(AND(CI95=1,AU95=3),0,IF(AND(CI95=5,CL95=0),0,IF(AND(R95=12,BR95=50),0,IF(CK95&gt;0.01,0,IF(AND(AJ95&gt;0.01,AU95=2,BC95=15),CM95*0.1,IF(AND(AJ95&gt;0.01,AU95=3,BC95=15),CM95*0.08,IF(AND(R95=12,BC95=3,AF95&lt;=0),0,IF(AND(BC95=15,BI95=0),0,IF(AND(BC95=15,BJ95=0),0,IF(AND(R95=20,CU95=0),0,IF($X$4=0,0,IF(AND(BC95=250,CL95=0),0,IF(AA95&lt;1,0,IF(AND(ISNUMBER(SEARCH("Area",T95)),AU95=3),0,IF(AND(AQ95&gt;0.01,AR95=0,BK95=0,BL95=0,BM95=0,BN95=0),0,IF(AND(AU95=3,CI95=7,CT95&gt;0.5),0,IF(AND(BC95=44,AU95=3,BY95=0),0,IF(AND(BC95=27,'Data Entry'!$C$74=2),0,IF(AND(BC95=28,'Data Entry'!$C$74=2),0,IF(AND(BY95+BZ95+CA95&gt;0.01,BV95=0,EQ95+ER95+ES95+ET95&lt;100),0,IF(AU95=3,CM95*0.08,IF(AU95=2,CM95*0.1,0)))))))))))))))))))))))))))))</f>
        <v>0</v>
      </c>
      <c r="CO95" s="660">
        <f t="shared" si="129"/>
        <v>0</v>
      </c>
      <c r="CP95" s="475" t="str">
        <f t="shared" si="130"/>
        <v/>
      </c>
      <c r="CQ95" s="161" t="str">
        <f>IF(AH95=0,0,IF(AU95=5,0,Summary!AC98))</f>
        <v/>
      </c>
      <c r="CR95" s="161" t="str">
        <f>IF(BF95=0.5,0,IF(AU95=5,0,Summary!AD98))</f>
        <v/>
      </c>
      <c r="CS95" s="161" t="str">
        <f>IF(AU95=5,0,Summary!AE98)</f>
        <v/>
      </c>
      <c r="CT95" s="161">
        <f t="shared" si="131"/>
        <v>0</v>
      </c>
      <c r="CU95" s="475" t="str">
        <f t="shared" si="132"/>
        <v/>
      </c>
      <c r="CV95" s="307">
        <f>IF('Data Entry'!$C$74=0,0,IF(AA95&lt;1,0,IF(ISERROR(CU95),0,IF(CF95=1,0,IF(AND(R95=12,BR95=50),0,IF(CL95+BO95+BV95+DC95=0,0,IF(BC95=37,0,IF(AND(BC95=40,AJ95=0),0,IF(AND(BC95=37,BO95&gt;0.01,BQ95&gt;0.01),ROUND(BQ95,0),IF(CM95&lt;0,0,ROUND(CM95,0)))))))))))</f>
        <v>0</v>
      </c>
      <c r="CW95" s="700">
        <f t="shared" si="133"/>
        <v>0</v>
      </c>
      <c r="CX95" s="477">
        <f>IF('Data Entry'!$C$74=0,0,IF(CV95&lt;0.01,0,IF(BF95=0.5,0,IF(CF95=1,0,IF(ISNUMBER(SEARCH("false",CL95)),0,IF(AZ95=500,0,CL95))))))</f>
        <v>0</v>
      </c>
      <c r="CY95" s="147" t="e">
        <f t="shared" si="134"/>
        <v>#VALUE!</v>
      </c>
      <c r="CZ95" s="147" t="b">
        <f>IF(CN95+CL95=0,FALSE,IF(AH95=0,0,IF(AND('Data Entry'!$C$74=1,CR95&gt;=1),TRUE,IF(AND('Data Entry'!$C$74=2,CS95&gt;=1),TRUE,FALSE))))</f>
        <v>0</v>
      </c>
      <c r="DA95" s="1751">
        <f>IF('Data Entry'!$C$74=0,0,IFERROR(ROUND(IF(T95="","",IF($X$4=0,0,IF(CF95=1,0,IF(BQ95+CV95=0,0,IF(CF95=1,0,IF(CY95&gt;0.01,CY95,IF(CL95&gt;0.01,CL95,IF(CY95&gt;0.01,CY95,IF(BC95=37,BO95,IF(CZ95=FALSE,0,IF(CZ95=TRUE,DC95+DF95,0))))))))))),2),""))</f>
        <v>0</v>
      </c>
      <c r="DB95" s="1752"/>
      <c r="DC95" s="474">
        <f>IF(CN95&lt;0.01,0,IF(AND(BR95=3,CN95&gt;0.01,CT95&gt;0.6,ER95+ES95+ET95&lt;100),0,IF(AND('Data Entry'!$C$74=1,CN95&gt;0.01,CR95&gt;0.99),MIN(CN95:CO95),IF(AND('Data Entry'!$C$74=2,CN95&gt;0.01,CS95&gt;0.99),MIN(CN95:CO95),0))))</f>
        <v>0</v>
      </c>
      <c r="DD95" s="478">
        <f>IF(CF95=1,"Selection does not match",IF(T95=0,0,IF(AND('Data Entry'!$C$74=0,CP95&gt;1),"Select Oregon or Idaho on Data Entry Tab",IF(AND(AU95=1,AA95&gt;0.9),"Missing Interior or Exterior Selection",IF($X$4=0,"Enter Total Project Cost",IF(AQ95&lt;AR95,"Insufficient kWh savings – no incentive",IF(AND(SUM(CL95+CK95+BV95)&gt;0.01,'Data Entry'!$C$74=2,CJ95&gt;1,BO95=0),"Submit Control as Non-Standard",IF(AND('Data Entry'!$C$74=2,BR95=37,CJ95&gt;1,BO95=0),"Submit Control as Non-Standard",IF(SUM(CL95+CK95+BV95)&gt;0.01,"Standard Incentive",IF(AND('Data Entry'!$C$74=2,CP95=7,CN95=0),"Submit as Non-Standard",IF(DC95&gt;0.9,"Non-Standard Incentive",IF(AND(BY95+BZ95+CA95&gt;0.01,BV95=0,EQ95=0,ER95=0,ES95=0,ET95=0),"Scroll Right &amp; Select Control Strategies",IF(AND(CN95&gt;0.01,CO95=0),"Enter Unit Installed Cost",IF(ISNUMBER(SEARCH("Lighting Controls Only",F95)),"Lighting Controls Only",IF(CL95+DC95=0,"Does not meet incentive criteria",0)))))))))))))))</f>
        <v>0</v>
      </c>
      <c r="DE95" s="337">
        <f t="shared" si="135"/>
        <v>0</v>
      </c>
      <c r="DF95" s="609">
        <f t="shared" si="136"/>
        <v>0</v>
      </c>
      <c r="DG95" s="336" t="str">
        <f t="shared" si="137"/>
        <v/>
      </c>
      <c r="DH95" s="338">
        <f t="shared" si="138"/>
        <v>1</v>
      </c>
      <c r="DI95" s="336" t="e">
        <f t="shared" si="90"/>
        <v>#VALUE!</v>
      </c>
      <c r="DJ95" s="338">
        <f t="shared" si="91"/>
        <v>0</v>
      </c>
      <c r="DK95" s="325" t="s">
        <v>73</v>
      </c>
      <c r="DL95" s="865" t="s">
        <v>450</v>
      </c>
      <c r="DM95" s="325" t="s">
        <v>90</v>
      </c>
      <c r="DN95" s="1439"/>
      <c r="DO95" s="1436" t="s">
        <v>1864</v>
      </c>
      <c r="DP95" s="1449">
        <v>0</v>
      </c>
      <c r="DQ95" s="331"/>
      <c r="DR95" s="332"/>
      <c r="DS95" s="1195">
        <f t="shared" si="139"/>
        <v>0</v>
      </c>
      <c r="DT95" s="344" t="b">
        <f t="shared" si="140"/>
        <v>1</v>
      </c>
      <c r="DU95" s="1314" t="str">
        <f t="array" ref="DU95">IF(OR(COUNTIF(F95,"*"&amp;$DK$9:$DK$178&amp;"*")), "Yes", "")</f>
        <v/>
      </c>
      <c r="DV95" s="1314">
        <f t="shared" si="141"/>
        <v>0</v>
      </c>
      <c r="DW95" s="1480">
        <f t="shared" si="142"/>
        <v>0</v>
      </c>
      <c r="DX95" s="1498">
        <f t="shared" si="151"/>
        <v>0</v>
      </c>
      <c r="DY95" s="1484">
        <f t="shared" si="143"/>
        <v>0</v>
      </c>
      <c r="DZ95" s="331"/>
      <c r="EA95" s="392"/>
      <c r="EB95" s="1499" t="s">
        <v>128</v>
      </c>
      <c r="EC95" s="727" t="s">
        <v>1568</v>
      </c>
      <c r="ED95" s="728">
        <v>0.5</v>
      </c>
      <c r="EE95" s="1215"/>
      <c r="EF95" s="1215"/>
      <c r="EG95" s="1184" t="str">
        <f t="shared" si="144"/>
        <v/>
      </c>
      <c r="EH95" s="55"/>
      <c r="EI95" s="55"/>
      <c r="EJ95" s="1185">
        <f t="shared" si="92"/>
        <v>0</v>
      </c>
      <c r="EK95" s="1211"/>
      <c r="EL95" s="1180">
        <f t="shared" si="93"/>
        <v>0</v>
      </c>
      <c r="EM95" s="207"/>
      <c r="EN95" s="1038"/>
      <c r="EO95" s="1038"/>
      <c r="EP95" s="1038"/>
      <c r="EQ95" s="1038">
        <f t="shared" si="145"/>
        <v>0</v>
      </c>
      <c r="ER95" s="1041">
        <f t="shared" si="146"/>
        <v>0</v>
      </c>
      <c r="ES95" s="1042">
        <f t="shared" si="147"/>
        <v>0</v>
      </c>
      <c r="ET95" s="1042">
        <f t="shared" si="152"/>
        <v>0</v>
      </c>
      <c r="EU95" s="1021">
        <f t="shared" si="153"/>
        <v>0</v>
      </c>
      <c r="EV95" s="368"/>
      <c r="EW95" s="368"/>
      <c r="EX95" s="369"/>
      <c r="EY95" s="370"/>
      <c r="EZ95" s="370"/>
      <c r="FA95" s="371"/>
      <c r="FB95" s="372"/>
    </row>
    <row r="96" spans="1:158" ht="34.5" customHeight="1">
      <c r="A96" s="82">
        <v>88</v>
      </c>
      <c r="B96" s="1725"/>
      <c r="C96" s="1726"/>
      <c r="D96" s="1726"/>
      <c r="E96" s="1727"/>
      <c r="F96" s="1732"/>
      <c r="G96" s="1733"/>
      <c r="H96" s="1733"/>
      <c r="I96" s="1734"/>
      <c r="J96" s="1341"/>
      <c r="K96" s="1728"/>
      <c r="L96" s="1728"/>
      <c r="M96" s="1342"/>
      <c r="N96" s="1583"/>
      <c r="O96" s="208" t="str">
        <f t="shared" si="80"/>
        <v/>
      </c>
      <c r="P96" s="785"/>
      <c r="Q96" s="39" t="str">
        <f t="shared" si="81"/>
        <v/>
      </c>
      <c r="R96" s="39">
        <f t="shared" si="94"/>
        <v>0</v>
      </c>
      <c r="S96" s="234">
        <f t="shared" si="95"/>
        <v>0</v>
      </c>
      <c r="T96" s="1755"/>
      <c r="U96" s="1755"/>
      <c r="V96" s="1755"/>
      <c r="W96" s="1345"/>
      <c r="X96" s="1741"/>
      <c r="Y96" s="1742"/>
      <c r="Z96" s="1346"/>
      <c r="AA96" s="1343"/>
      <c r="AB96" s="1141"/>
      <c r="AC96" s="1103" t="str">
        <f>IF(T96="","",VLOOKUP(Z96,Lists!$A$60:$B$111,2,FALSE))</f>
        <v/>
      </c>
      <c r="AD96" s="130" t="str">
        <f t="shared" si="96"/>
        <v/>
      </c>
      <c r="AE96" s="130" t="e">
        <f t="shared" si="97"/>
        <v>#VALUE!</v>
      </c>
      <c r="AF96" s="130">
        <f t="shared" si="98"/>
        <v>1</v>
      </c>
      <c r="AG96" s="234">
        <f t="shared" si="82"/>
        <v>0</v>
      </c>
      <c r="AH96" s="1753" t="str">
        <f>IF(T96="","",(IF(ISNUMBER(SEARCH("exit",T96)),8760,IF(AND(M96="Dusk to Dawn",'Proposed Lighting'!AU96=3),4059,IF(AND(AU96=3,M96="1"),0,IF(AND(AU96=3,M96="1-C"),0,IF(AND(AU96=3,M96="2"),0,IF(AND(AU96=3,M96="2-C"),0,IF(AND(AU96=3,M96="3"),0,IF(AND(AU96=3,M96="3-C"),0,IF(AND(AU96=2,M96="Dusk to Dawn"),0,IF(AND(AU96=2,M96="Dusk to Dawn-C"),0,IF(AND(AU96=2,M96="Dusk to Dawn"),0,IF(AND(AU96=2,M96="E"),0,IF(AND(AU96=2,M96="E-C"),0,EG96)))))))))))))))</f>
        <v/>
      </c>
      <c r="AI96" s="1754"/>
      <c r="AJ96" s="1136"/>
      <c r="AK96" s="1136"/>
      <c r="AL96" s="1748">
        <f t="shared" si="99"/>
        <v>0</v>
      </c>
      <c r="AM96" s="1749"/>
      <c r="AN96" s="1750"/>
      <c r="AO96" s="476">
        <f t="shared" si="83"/>
        <v>0</v>
      </c>
      <c r="AP96" s="476">
        <f t="shared" si="100"/>
        <v>0</v>
      </c>
      <c r="AQ96" s="475">
        <f t="shared" si="84"/>
        <v>0</v>
      </c>
      <c r="AR96" s="475">
        <f t="shared" si="101"/>
        <v>0</v>
      </c>
      <c r="AS96" s="743" t="str">
        <f t="shared" si="79"/>
        <v/>
      </c>
      <c r="AT96" s="736" t="str">
        <f t="shared" si="102"/>
        <v/>
      </c>
      <c r="AU96" s="56">
        <f t="shared" si="103"/>
        <v>1</v>
      </c>
      <c r="AV96" s="476">
        <f t="shared" si="104"/>
        <v>0</v>
      </c>
      <c r="AW96" s="56">
        <f t="shared" si="105"/>
        <v>0</v>
      </c>
      <c r="AX96" s="475">
        <f t="shared" si="85"/>
        <v>0</v>
      </c>
      <c r="AY96" s="1169">
        <f t="shared" si="106"/>
        <v>0</v>
      </c>
      <c r="AZ96" s="1150">
        <f t="shared" si="148"/>
        <v>0</v>
      </c>
      <c r="BA96" s="56">
        <f t="shared" si="86"/>
        <v>0</v>
      </c>
      <c r="BB96" s="420">
        <f t="shared" si="87"/>
        <v>0</v>
      </c>
      <c r="BC96" s="58" t="str">
        <f t="shared" si="88"/>
        <v/>
      </c>
      <c r="BD96" s="660">
        <f t="shared" si="149"/>
        <v>0</v>
      </c>
      <c r="BE96" s="57" t="e">
        <f t="array" ref="BE96">INDEX($EB$11:$ED$1022,MATCH(F96&amp;T96,$EB$11:$EB$1007&amp;$EC$11:$EC$1007,0),3)</f>
        <v>#N/A</v>
      </c>
      <c r="BF96" s="463">
        <f t="shared" si="107"/>
        <v>0</v>
      </c>
      <c r="BG96" s="1445" t="e">
        <f t="array" ref="BG96">INDEX($DO$112:$DQ$123,MATCH(T96&amp;W96,$DO$114:$DO$125&amp;$DP$112:$DP$123,0),3)</f>
        <v>#N/A</v>
      </c>
      <c r="BH96" s="1446">
        <f t="shared" si="108"/>
        <v>0</v>
      </c>
      <c r="BI96" s="465">
        <f t="shared" si="109"/>
        <v>0</v>
      </c>
      <c r="BJ96" s="465">
        <f t="shared" si="110"/>
        <v>0</v>
      </c>
      <c r="BK96" s="466">
        <f t="shared" si="111"/>
        <v>0</v>
      </c>
      <c r="BL96" s="466">
        <f t="shared" si="112"/>
        <v>0</v>
      </c>
      <c r="BM96" s="466">
        <f t="shared" si="113"/>
        <v>0</v>
      </c>
      <c r="BN96" s="466">
        <f t="shared" si="114"/>
        <v>0</v>
      </c>
      <c r="BO96" s="463">
        <f>IF('Data Entry'!$C$74=0,0,IF(ISNA(CJ96),0,IF(AX96=0,0,IF(AND('Data Entry'!$C$74=2,AF96&gt;2,CE96&lt;1),0,IF(AND('Data Entry'!$C$74=2,AF96&gt;1,AU96=2,CJ96&gt;1),0,IF(AND(AF96=5,CT96=0.5,AU96=2,ER96&lt;100),0,IF(AND(AF96=5,CT96=0.5,AU96=3,ER96&lt;100),0,IF(AND('Data Entry'!$C$74=2,AF96=2,AU96=2,AK96&gt;0.01,CB96=2,CE96&lt;1),0,IF(AND('Data Entry'!$C$74=2,AF96=3,AU96=3,AK96&gt;0.01,CB96=3,CE96&lt;1),0,IF(AND('Data Entry'!$C$74=2,AF96=3,AU96=3,AK96&gt;0.01,CB96=3,CE96&gt;0.99),BQ96*0.08,IF(AND('Data Entry'!$C$74=2,AF96=2,AU96=2,AK96&gt;0.01,CB96=2,CE96&gt;0.99),BQ96*0.1,IF(AND(AU96=2,AK96&gt;0.01,CB96=2,CD96&gt;1),BQ96*0.1,IF(AND(AU96=3,AK96&gt;0.01,CB96=3,CD96&gt;1),BQ96*0.08,CJ96*EF96)))))))))))))</f>
        <v>0</v>
      </c>
      <c r="BP96" s="475">
        <f t="shared" si="115"/>
        <v>0</v>
      </c>
      <c r="BQ96" s="1431">
        <f>IF(AU96=1,0,IF(CH96=100,0,IF(AND(AF96=3,AU96=2),0,IF(AND(BH96=0,CT96&gt;0.4),0,IF(AND('Data Entry'!$C$74=2,AF96=1.5),0,IF(AND('Data Entry'!$C$74=2,AF96=1.6),0,IF(AND('Data Entry'!$C$74=2,AF96=4),0,IF(AND('Data Entry'!$C$74=2,AF96=5),0,IF(AND('Data Entry'!$C$74=2,AF96=2.5,CE96&lt;1),0,IF(AND('Data Entry'!$C$74=2,AF96=3,CE96&lt;1),0,IF(AND('Data Entry'!$C$74=1,AF96=2.5,CD96&lt;1),0,IF(AND('Data Entry'!$C$74=1,AF96=3,CD96&lt;1),0,IF(DX96&gt;0.01,DX96,IF(ISERROR(AX96-AY96),"",ROUND(AX96-AY96,2)))))))))))))))</f>
        <v>0</v>
      </c>
      <c r="BR96" s="146">
        <f t="shared" si="116"/>
        <v>0</v>
      </c>
      <c r="BS96" s="475">
        <f t="shared" si="117"/>
        <v>0</v>
      </c>
      <c r="BT96" s="146" t="b">
        <f t="shared" si="118"/>
        <v>0</v>
      </c>
      <c r="BU96" s="463">
        <f>IF(ISNA(AT96),0,IF(AND('Data Entry'!$C$74=2,BC96=27),0,IF(AND('Data Entry'!$C$74=2,BC96=28),0,IF(AND(BC96=27,BT96=27,CM96&gt;0.1),CM96*0.15,IF(AND(BC96=28,BT96=28,CM96&gt;0.1),CM96*0.12,0)))))</f>
        <v>0</v>
      </c>
      <c r="BV96" s="463">
        <f t="shared" si="155"/>
        <v>0</v>
      </c>
      <c r="BW96" s="463">
        <f t="shared" si="119"/>
        <v>0</v>
      </c>
      <c r="BX96" s="463">
        <f t="shared" si="120"/>
        <v>0</v>
      </c>
      <c r="BY96" s="463">
        <f t="shared" si="121"/>
        <v>0</v>
      </c>
      <c r="BZ96" s="463">
        <f t="shared" si="122"/>
        <v>0</v>
      </c>
      <c r="CA96" s="57">
        <f t="shared" si="150"/>
        <v>0</v>
      </c>
      <c r="CB96" s="56">
        <f t="shared" si="123"/>
        <v>1</v>
      </c>
      <c r="CC96" s="756">
        <f>IF(EE96=0,0,IF(EF96=0,0,IF(EE96&gt;AA96,0,IF(AND(AZ96&gt;AW96,AW96&gt;0),0,IF(CU96=0,0,Summary!AC399)))))</f>
        <v>0</v>
      </c>
      <c r="CD96" s="756">
        <f>IF(EE96=0,0,IF(EF96=0,0,IF(EE96&gt;AA96,0,IF(AND(AZ96&gt;AW96,AW96&gt;0),0,IF(CU96=0,0,Summary!AD399)))))</f>
        <v>0</v>
      </c>
      <c r="CE96" s="756">
        <f>IF(EF96=0,0,IF(EE96&gt;AA96,0,IF(CC96=0,0,IF(AND(AZ96&gt;AW96,AW96&gt;0),0,IF(CU96=0,0,Summary!AE399)))))</f>
        <v>0</v>
      </c>
      <c r="CF96" s="475">
        <f t="shared" si="124"/>
        <v>0</v>
      </c>
      <c r="CG96" s="476">
        <f t="shared" si="89"/>
        <v>0</v>
      </c>
      <c r="CH96" s="487">
        <f t="shared" si="125"/>
        <v>0</v>
      </c>
      <c r="CI96" s="756">
        <f t="shared" si="126"/>
        <v>0</v>
      </c>
      <c r="CJ96" s="487">
        <f>IF(CT96&gt;0.4,0,IF(AND(AU96=2,CH96=0,CT96=0.5,ER96=100),35,IF(AND(AU96=3,BB96&gt;75,CH96=0,CT96=0.5,ER96=100),25,IF(CB96&gt;1,0,IF(EF96&gt;EE96,0,IF(AND(AF96&gt;1,CH96=100),0,IF(AND(AF96=1,AY96=0),0,IF(AND(EF96&lt;=EE96,AW96&gt;=AZ96,'Data Entry'!$C$74=1,AU96=2),VLOOKUP(W96,$DO$96:$DP$102,2,FALSE),IF(AND(EF96&lt;=EE96,AW96&gt;=AZ96,AU96=3,'Data Entry'!$C$74=1),VLOOKUP(W96,$DO$127:$DP$134,2,FALSE))))))))))</f>
        <v>0</v>
      </c>
      <c r="CK96" s="716">
        <f t="shared" si="127"/>
        <v>0</v>
      </c>
      <c r="CL96" s="57">
        <f t="shared" si="128"/>
        <v>0</v>
      </c>
      <c r="CM96" s="475">
        <f t="shared" si="154"/>
        <v>0</v>
      </c>
      <c r="CN96" s="660">
        <f>IF(CM96&lt;0.1,0,IF(ISNA(AT96),0,IF(CL96+BC96=1,0,IF(BV96&gt;0.01,0,IF(CL96&gt;0.01,0,IF(CF96=1,0,IF(BC96=0.5,0,IF(AND(CI96=1,AU96=3),0,IF(AND(CI96=5,CL96=0),0,IF(AND(R96=12,BR96=50),0,IF(CK96&gt;0.01,0,IF(AND(AJ96&gt;0.01,AU96=2,BC96=15),CM96*0.1,IF(AND(AJ96&gt;0.01,AU96=3,BC96=15),CM96*0.08,IF(AND(R96=12,BC96=3,AF96&lt;=0),0,IF(AND(BC96=15,BI96=0),0,IF(AND(BC96=15,BJ96=0),0,IF(AND(R96=20,CU96=0),0,IF($X$4=0,0,IF(AND(BC96=250,CL96=0),0,IF(AA96&lt;1,0,IF(AND(ISNUMBER(SEARCH("Area",T96)),AU96=3),0,IF(AND(AQ96&gt;0.01,AR96=0,BK96=0,BL96=0,BM96=0,BN96=0),0,IF(AND(AU96=3,CI96=7,CT96&gt;0.5),0,IF(AND(BC96=44,AU96=3,BY96=0),0,IF(AND(BC96=27,'Data Entry'!$C$74=2),0,IF(AND(BC96=28,'Data Entry'!$C$74=2),0,IF(AND(BY96+BZ96+CA96&gt;0.01,BV96=0,EQ96+ER96+ES96+ET96&lt;100),0,IF(AU96=3,CM96*0.08,IF(AU96=2,CM96*0.1,0)))))))))))))))))))))))))))))</f>
        <v>0</v>
      </c>
      <c r="CO96" s="660">
        <f t="shared" si="129"/>
        <v>0</v>
      </c>
      <c r="CP96" s="475" t="str">
        <f t="shared" si="130"/>
        <v/>
      </c>
      <c r="CQ96" s="161" t="str">
        <f>IF(AH96=0,0,IF(AU96=5,0,Summary!AC99))</f>
        <v/>
      </c>
      <c r="CR96" s="161" t="str">
        <f>IF(BF96=0.5,0,IF(AU96=5,0,Summary!AD99))</f>
        <v/>
      </c>
      <c r="CS96" s="161" t="str">
        <f>IF(AU96=5,0,Summary!AE99)</f>
        <v/>
      </c>
      <c r="CT96" s="161">
        <f t="shared" si="131"/>
        <v>0</v>
      </c>
      <c r="CU96" s="475" t="str">
        <f t="shared" si="132"/>
        <v/>
      </c>
      <c r="CV96" s="307">
        <f>IF('Data Entry'!$C$74=0,0,IF(AA96&lt;1,0,IF(ISERROR(CU96),0,IF(CF96=1,0,IF(AND(R96=12,BR96=50),0,IF(CL96+BO96+BV96+DC96=0,0,IF(BC96=37,0,IF(AND(BC96=40,AJ96=0),0,IF(AND(BC96=37,BO96&gt;0.01,BQ96&gt;0.01),ROUND(BQ96,0),IF(CM96&lt;0,0,ROUND(CM96,0)))))))))))</f>
        <v>0</v>
      </c>
      <c r="CW96" s="700">
        <f t="shared" si="133"/>
        <v>0</v>
      </c>
      <c r="CX96" s="477">
        <f>IF('Data Entry'!$C$74=0,0,IF(CV96&lt;0.01,0,IF(BF96=0.5,0,IF(CF96=1,0,IF(ISNUMBER(SEARCH("false",CL96)),0,IF(AZ96=500,0,CL96))))))</f>
        <v>0</v>
      </c>
      <c r="CY96" s="147" t="e">
        <f t="shared" si="134"/>
        <v>#VALUE!</v>
      </c>
      <c r="CZ96" s="147" t="b">
        <f>IF(CN96+CL96=0,FALSE,IF(AH96=0,0,IF(AND('Data Entry'!$C$74=1,CR96&gt;=1),TRUE,IF(AND('Data Entry'!$C$74=2,CS96&gt;=1),TRUE,FALSE))))</f>
        <v>0</v>
      </c>
      <c r="DA96" s="1751">
        <f>IF('Data Entry'!$C$74=0,0,IFERROR(ROUND(IF(T96="","",IF($X$4=0,0,IF(CF96=1,0,IF(BQ96+CV96=0,0,IF(CF96=1,0,IF(CY96&gt;0.01,CY96,IF(CL96&gt;0.01,CL96,IF(CY96&gt;0.01,CY96,IF(BC96=37,BO96,IF(CZ96=FALSE,0,IF(CZ96=TRUE,DC96+DF96,0))))))))))),2),""))</f>
        <v>0</v>
      </c>
      <c r="DB96" s="1752"/>
      <c r="DC96" s="474">
        <f>IF(CN96&lt;0.01,0,IF(AND(BR96=3,CN96&gt;0.01,CT96&gt;0.6,ER96+ES96+ET96&lt;100),0,IF(AND('Data Entry'!$C$74=1,CN96&gt;0.01,CR96&gt;0.99),MIN(CN96:CO96),IF(AND('Data Entry'!$C$74=2,CN96&gt;0.01,CS96&gt;0.99),MIN(CN96:CO96),0))))</f>
        <v>0</v>
      </c>
      <c r="DD96" s="478">
        <f>IF(CF96=1,"Selection does not match",IF(T96=0,0,IF(AND('Data Entry'!$C$74=0,CP96&gt;1),"Select Oregon or Idaho on Data Entry Tab",IF(AND(AU96=1,AA96&gt;0.9),"Missing Interior or Exterior Selection",IF($X$4=0,"Enter Total Project Cost",IF(AQ96&lt;AR96,"Insufficient kWh savings – no incentive",IF(AND(SUM(CL96+CK96+BV96)&gt;0.01,'Data Entry'!$C$74=2,CJ96&gt;1,BO96=0),"Submit Control as Non-Standard",IF(AND('Data Entry'!$C$74=2,BR96=37,CJ96&gt;1,BO96=0),"Submit Control as Non-Standard",IF(SUM(CL96+CK96+BV96)&gt;0.01,"Standard Incentive",IF(AND('Data Entry'!$C$74=2,CP96=7,CN96=0),"Submit as Non-Standard",IF(DC96&gt;0.9,"Non-Standard Incentive",IF(AND(BY96+BZ96+CA96&gt;0.01,BV96=0,EQ96=0,ER96=0,ES96=0,ET96=0),"Scroll Right &amp; Select Control Strategies",IF(AND(CN96&gt;0.01,CO96=0),"Enter Unit Installed Cost",IF(ISNUMBER(SEARCH("Lighting Controls Only",F96)),"Lighting Controls Only",IF(CL96+DC96=0,"Does not meet incentive criteria",0)))))))))))))))</f>
        <v>0</v>
      </c>
      <c r="DE96" s="337">
        <f t="shared" si="135"/>
        <v>0</v>
      </c>
      <c r="DF96" s="609">
        <f t="shared" si="136"/>
        <v>0</v>
      </c>
      <c r="DG96" s="336" t="str">
        <f t="shared" si="137"/>
        <v/>
      </c>
      <c r="DH96" s="338">
        <f t="shared" si="138"/>
        <v>1</v>
      </c>
      <c r="DI96" s="336" t="e">
        <f t="shared" si="90"/>
        <v>#VALUE!</v>
      </c>
      <c r="DJ96" s="338">
        <f t="shared" si="91"/>
        <v>0</v>
      </c>
      <c r="DK96" s="325" t="s">
        <v>114</v>
      </c>
      <c r="DL96" s="341">
        <v>83</v>
      </c>
      <c r="DM96" s="325" t="s">
        <v>91</v>
      </c>
      <c r="DN96" s="1439"/>
      <c r="DO96" s="1444" t="s">
        <v>1782</v>
      </c>
      <c r="DP96" s="344">
        <v>0</v>
      </c>
      <c r="DQ96" s="331"/>
      <c r="DR96" s="332"/>
      <c r="DS96" s="1195">
        <f t="shared" si="139"/>
        <v>0</v>
      </c>
      <c r="DT96" s="344" t="b">
        <f t="shared" si="140"/>
        <v>1</v>
      </c>
      <c r="DU96" s="1314" t="str">
        <f t="array" ref="DU96">IF(OR(COUNTIF(F96,"*"&amp;$DK$9:$DK$178&amp;"*")), "Yes", "")</f>
        <v/>
      </c>
      <c r="DV96" s="1314">
        <f t="shared" si="141"/>
        <v>0</v>
      </c>
      <c r="DW96" s="1480">
        <f t="shared" si="142"/>
        <v>0</v>
      </c>
      <c r="DX96" s="1498">
        <f t="shared" si="151"/>
        <v>0</v>
      </c>
      <c r="DY96" s="1484">
        <f t="shared" si="143"/>
        <v>0</v>
      </c>
      <c r="DZ96" s="331"/>
      <c r="EA96" s="392"/>
      <c r="EB96" s="1499" t="s">
        <v>129</v>
      </c>
      <c r="EC96" s="727" t="s">
        <v>1568</v>
      </c>
      <c r="ED96" s="728">
        <v>0.5</v>
      </c>
      <c r="EE96" s="1215"/>
      <c r="EF96" s="1215"/>
      <c r="EG96" s="1184" t="str">
        <f t="shared" si="144"/>
        <v/>
      </c>
      <c r="EH96" s="55"/>
      <c r="EI96" s="55"/>
      <c r="EJ96" s="1185">
        <f t="shared" si="92"/>
        <v>0</v>
      </c>
      <c r="EK96" s="1211"/>
      <c r="EL96" s="1180">
        <f t="shared" si="93"/>
        <v>0</v>
      </c>
      <c r="EM96" s="207"/>
      <c r="EN96" s="1038"/>
      <c r="EO96" s="1038"/>
      <c r="EP96" s="1038"/>
      <c r="EQ96" s="1038">
        <f t="shared" si="145"/>
        <v>0</v>
      </c>
      <c r="ER96" s="1041">
        <f t="shared" si="146"/>
        <v>0</v>
      </c>
      <c r="ES96" s="1042">
        <f t="shared" si="147"/>
        <v>0</v>
      </c>
      <c r="ET96" s="1042">
        <f t="shared" si="152"/>
        <v>0</v>
      </c>
      <c r="EU96" s="1021">
        <f t="shared" si="153"/>
        <v>0</v>
      </c>
      <c r="EV96" s="368"/>
      <c r="EW96" s="368"/>
      <c r="EX96" s="369"/>
      <c r="EY96" s="370"/>
      <c r="EZ96" s="370"/>
      <c r="FA96" s="371"/>
      <c r="FB96" s="372"/>
    </row>
    <row r="97" spans="1:158" ht="34.5" customHeight="1">
      <c r="A97" s="82">
        <v>89</v>
      </c>
      <c r="B97" s="1725"/>
      <c r="C97" s="1726"/>
      <c r="D97" s="1726"/>
      <c r="E97" s="1727"/>
      <c r="F97" s="1732"/>
      <c r="G97" s="1733"/>
      <c r="H97" s="1733"/>
      <c r="I97" s="1734"/>
      <c r="J97" s="1341"/>
      <c r="K97" s="1728"/>
      <c r="L97" s="1728"/>
      <c r="M97" s="1342"/>
      <c r="N97" s="1583"/>
      <c r="O97" s="208" t="str">
        <f t="shared" si="80"/>
        <v/>
      </c>
      <c r="P97" s="785"/>
      <c r="Q97" s="39" t="str">
        <f t="shared" si="81"/>
        <v/>
      </c>
      <c r="R97" s="39">
        <f t="shared" si="94"/>
        <v>0</v>
      </c>
      <c r="S97" s="234">
        <f t="shared" si="95"/>
        <v>0</v>
      </c>
      <c r="T97" s="1755"/>
      <c r="U97" s="1755"/>
      <c r="V97" s="1755"/>
      <c r="W97" s="1345"/>
      <c r="X97" s="1741"/>
      <c r="Y97" s="1742"/>
      <c r="Z97" s="1346"/>
      <c r="AA97" s="1343"/>
      <c r="AB97" s="1141"/>
      <c r="AC97" s="1103" t="str">
        <f>IF(T97="","",VLOOKUP(Z97,Lists!$A$60:$B$111,2,FALSE))</f>
        <v/>
      </c>
      <c r="AD97" s="130" t="str">
        <f t="shared" si="96"/>
        <v/>
      </c>
      <c r="AE97" s="130" t="e">
        <f t="shared" si="97"/>
        <v>#VALUE!</v>
      </c>
      <c r="AF97" s="130">
        <f t="shared" si="98"/>
        <v>1</v>
      </c>
      <c r="AG97" s="234">
        <f t="shared" si="82"/>
        <v>0</v>
      </c>
      <c r="AH97" s="1753" t="str">
        <f>IF(T97="","",(IF(ISNUMBER(SEARCH("exit",T97)),8760,IF(AND(M97="Dusk to Dawn",'Proposed Lighting'!AU97=3),4059,IF(AND(AU97=3,M97="1"),0,IF(AND(AU97=3,M97="1-C"),0,IF(AND(AU97=3,M97="2"),0,IF(AND(AU97=3,M97="2-C"),0,IF(AND(AU97=3,M97="3"),0,IF(AND(AU97=3,M97="3-C"),0,IF(AND(AU97=2,M97="Dusk to Dawn"),0,IF(AND(AU97=2,M97="Dusk to Dawn-C"),0,IF(AND(AU97=2,M97="Dusk to Dawn"),0,IF(AND(AU97=2,M97="E"),0,IF(AND(AU97=2,M97="E-C"),0,EG97)))))))))))))))</f>
        <v/>
      </c>
      <c r="AI97" s="1754"/>
      <c r="AJ97" s="1136"/>
      <c r="AK97" s="1136"/>
      <c r="AL97" s="1748">
        <f t="shared" si="99"/>
        <v>0</v>
      </c>
      <c r="AM97" s="1749"/>
      <c r="AN97" s="1750"/>
      <c r="AO97" s="476">
        <f t="shared" si="83"/>
        <v>0</v>
      </c>
      <c r="AP97" s="476">
        <f t="shared" si="100"/>
        <v>0</v>
      </c>
      <c r="AQ97" s="475">
        <f t="shared" si="84"/>
        <v>0</v>
      </c>
      <c r="AR97" s="475">
        <f t="shared" si="101"/>
        <v>0</v>
      </c>
      <c r="AS97" s="743" t="str">
        <f t="shared" ref="AS97:AS160" si="156">IF(P97&gt;0.02,P97,O97)</f>
        <v/>
      </c>
      <c r="AT97" s="736" t="str">
        <f t="shared" si="102"/>
        <v/>
      </c>
      <c r="AU97" s="56">
        <f t="shared" si="103"/>
        <v>1</v>
      </c>
      <c r="AV97" s="476">
        <f t="shared" si="104"/>
        <v>0</v>
      </c>
      <c r="AW97" s="56">
        <f t="shared" si="105"/>
        <v>0</v>
      </c>
      <c r="AX97" s="475">
        <f t="shared" si="85"/>
        <v>0</v>
      </c>
      <c r="AY97" s="1169">
        <f t="shared" si="106"/>
        <v>0</v>
      </c>
      <c r="AZ97" s="1150">
        <f t="shared" si="148"/>
        <v>0</v>
      </c>
      <c r="BA97" s="56">
        <f t="shared" si="86"/>
        <v>0</v>
      </c>
      <c r="BB97" s="420">
        <f t="shared" si="87"/>
        <v>0</v>
      </c>
      <c r="BC97" s="58" t="str">
        <f t="shared" si="88"/>
        <v/>
      </c>
      <c r="BD97" s="660">
        <f t="shared" si="149"/>
        <v>0</v>
      </c>
      <c r="BE97" s="57" t="e">
        <f t="array" ref="BE97">INDEX($EB$11:$ED$1022,MATCH(F97&amp;T97,$EB$11:$EB$1007&amp;$EC$11:$EC$1007,0),3)</f>
        <v>#N/A</v>
      </c>
      <c r="BF97" s="463">
        <f t="shared" si="107"/>
        <v>0</v>
      </c>
      <c r="BG97" s="1445" t="e">
        <f t="array" ref="BG97">INDEX($DO$112:$DQ$123,MATCH(T97&amp;W97,$DO$114:$DO$125&amp;$DP$112:$DP$123,0),3)</f>
        <v>#N/A</v>
      </c>
      <c r="BH97" s="1446">
        <f t="shared" si="108"/>
        <v>0</v>
      </c>
      <c r="BI97" s="465">
        <f t="shared" si="109"/>
        <v>0</v>
      </c>
      <c r="BJ97" s="465">
        <f t="shared" si="110"/>
        <v>0</v>
      </c>
      <c r="BK97" s="466">
        <f t="shared" si="111"/>
        <v>0</v>
      </c>
      <c r="BL97" s="466">
        <f t="shared" si="112"/>
        <v>0</v>
      </c>
      <c r="BM97" s="466">
        <f t="shared" si="113"/>
        <v>0</v>
      </c>
      <c r="BN97" s="466">
        <f t="shared" si="114"/>
        <v>0</v>
      </c>
      <c r="BO97" s="463">
        <f>IF('Data Entry'!$C$74=0,0,IF(ISNA(CJ97),0,IF(AX97=0,0,IF(AND('Data Entry'!$C$74=2,AF97&gt;2,CE97&lt;1),0,IF(AND('Data Entry'!$C$74=2,AF97&gt;1,AU97=2,CJ97&gt;1),0,IF(AND(AF97=5,CT97=0.5,AU97=2,ER97&lt;100),0,IF(AND(AF97=5,CT97=0.5,AU97=3,ER97&lt;100),0,IF(AND('Data Entry'!$C$74=2,AF97=2,AU97=2,AK97&gt;0.01,CB97=2,CE97&lt;1),0,IF(AND('Data Entry'!$C$74=2,AF97=3,AU97=3,AK97&gt;0.01,CB97=3,CE97&lt;1),0,IF(AND('Data Entry'!$C$74=2,AF97=3,AU97=3,AK97&gt;0.01,CB97=3,CE97&gt;0.99),BQ97*0.08,IF(AND('Data Entry'!$C$74=2,AF97=2,AU97=2,AK97&gt;0.01,CB97=2,CE97&gt;0.99),BQ97*0.1,IF(AND(AU97=2,AK97&gt;0.01,CB97=2,CD97&gt;1),BQ97*0.1,IF(AND(AU97=3,AK97&gt;0.01,CB97=3,CD97&gt;1),BQ97*0.08,CJ97*EF97)))))))))))))</f>
        <v>0</v>
      </c>
      <c r="BP97" s="475">
        <f t="shared" si="115"/>
        <v>0</v>
      </c>
      <c r="BQ97" s="1431">
        <f>IF(AU97=1,0,IF(CH97=100,0,IF(AND(AF97=3,AU97=2),0,IF(AND(BH97=0,CT97&gt;0.4),0,IF(AND('Data Entry'!$C$74=2,AF97=1.5),0,IF(AND('Data Entry'!$C$74=2,AF97=1.6),0,IF(AND('Data Entry'!$C$74=2,AF97=4),0,IF(AND('Data Entry'!$C$74=2,AF97=5),0,IF(AND('Data Entry'!$C$74=2,AF97=2.5,CE97&lt;1),0,IF(AND('Data Entry'!$C$74=2,AF97=3,CE97&lt;1),0,IF(AND('Data Entry'!$C$74=1,AF97=2.5,CD97&lt;1),0,IF(AND('Data Entry'!$C$74=1,AF97=3,CD97&lt;1),0,IF(DX97&gt;0.01,DX97,IF(ISERROR(AX97-AY97),"",ROUND(AX97-AY97,2)))))))))))))))</f>
        <v>0</v>
      </c>
      <c r="BR97" s="146">
        <f t="shared" si="116"/>
        <v>0</v>
      </c>
      <c r="BS97" s="475">
        <f t="shared" si="117"/>
        <v>0</v>
      </c>
      <c r="BT97" s="146" t="b">
        <f t="shared" si="118"/>
        <v>0</v>
      </c>
      <c r="BU97" s="463">
        <f>IF(ISNA(AT97),0,IF(AND('Data Entry'!$C$74=2,BC97=27),0,IF(AND('Data Entry'!$C$74=2,BC97=28),0,IF(AND(BC97=27,BT97=27,CM97&gt;0.1),CM97*0.15,IF(AND(BC97=28,BT97=28,CM97&gt;0.1),CM97*0.12,0)))))</f>
        <v>0</v>
      </c>
      <c r="BV97" s="463">
        <f t="shared" si="155"/>
        <v>0</v>
      </c>
      <c r="BW97" s="463">
        <f t="shared" si="119"/>
        <v>0</v>
      </c>
      <c r="BX97" s="463">
        <f t="shared" si="120"/>
        <v>0</v>
      </c>
      <c r="BY97" s="463">
        <f t="shared" si="121"/>
        <v>0</v>
      </c>
      <c r="BZ97" s="463">
        <f t="shared" si="122"/>
        <v>0</v>
      </c>
      <c r="CA97" s="57">
        <f t="shared" si="150"/>
        <v>0</v>
      </c>
      <c r="CB97" s="56">
        <f t="shared" si="123"/>
        <v>1</v>
      </c>
      <c r="CC97" s="756">
        <f>IF(EE97=0,0,IF(EF97=0,0,IF(EE97&gt;AA97,0,IF(AND(AZ97&gt;AW97,AW97&gt;0),0,IF(CU97=0,0,Summary!AC400)))))</f>
        <v>0</v>
      </c>
      <c r="CD97" s="756">
        <f>IF(EE97=0,0,IF(EF97=0,0,IF(EE97&gt;AA97,0,IF(AND(AZ97&gt;AW97,AW97&gt;0),0,IF(CU97=0,0,Summary!AD400)))))</f>
        <v>0</v>
      </c>
      <c r="CE97" s="756">
        <f>IF(EF97=0,0,IF(EE97&gt;AA97,0,IF(CC97=0,0,IF(AND(AZ97&gt;AW97,AW97&gt;0),0,IF(CU97=0,0,Summary!AE400)))))</f>
        <v>0</v>
      </c>
      <c r="CF97" s="475">
        <f t="shared" si="124"/>
        <v>0</v>
      </c>
      <c r="CG97" s="476">
        <f t="shared" si="89"/>
        <v>0</v>
      </c>
      <c r="CH97" s="487">
        <f t="shared" si="125"/>
        <v>0</v>
      </c>
      <c r="CI97" s="756">
        <f t="shared" si="126"/>
        <v>0</v>
      </c>
      <c r="CJ97" s="487">
        <f>IF(CT97&gt;0.4,0,IF(AND(AU97=2,CH97=0,CT97=0.5,ER97=100),35,IF(AND(AU97=3,BB97&gt;75,CH97=0,CT97=0.5,ER97=100),25,IF(CB97&gt;1,0,IF(EF97&gt;EE97,0,IF(AND(AF97&gt;1,CH97=100),0,IF(AND(AF97=1,AY97=0),0,IF(AND(EF97&lt;=EE97,AW97&gt;=AZ97,'Data Entry'!$C$74=1,AU97=2),VLOOKUP(W97,$DO$96:$DP$102,2,FALSE),IF(AND(EF97&lt;=EE97,AW97&gt;=AZ97,AU97=3,'Data Entry'!$C$74=1),VLOOKUP(W97,$DO$127:$DP$134,2,FALSE))))))))))</f>
        <v>0</v>
      </c>
      <c r="CK97" s="716">
        <f t="shared" si="127"/>
        <v>0</v>
      </c>
      <c r="CL97" s="57">
        <f t="shared" si="128"/>
        <v>0</v>
      </c>
      <c r="CM97" s="475">
        <f t="shared" si="154"/>
        <v>0</v>
      </c>
      <c r="CN97" s="660">
        <f>IF(CM97&lt;0.1,0,IF(ISNA(AT97),0,IF(CL97+BC97=1,0,IF(BV97&gt;0.01,0,IF(CL97&gt;0.01,0,IF(CF97=1,0,IF(BC97=0.5,0,IF(AND(CI97=1,AU97=3),0,IF(AND(CI97=5,CL97=0),0,IF(AND(R97=12,BR97=50),0,IF(CK97&gt;0.01,0,IF(AND(AJ97&gt;0.01,AU97=2,BC97=15),CM97*0.1,IF(AND(AJ97&gt;0.01,AU97=3,BC97=15),CM97*0.08,IF(AND(R97=12,BC97=3,AF97&lt;=0),0,IF(AND(BC97=15,BI97=0),0,IF(AND(BC97=15,BJ97=0),0,IF(AND(R97=20,CU97=0),0,IF($X$4=0,0,IF(AND(BC97=250,CL97=0),0,IF(AA97&lt;1,0,IF(AND(ISNUMBER(SEARCH("Area",T97)),AU97=3),0,IF(AND(AQ97&gt;0.01,AR97=0,BK97=0,BL97=0,BM97=0,BN97=0),0,IF(AND(AU97=3,CI97=7,CT97&gt;0.5),0,IF(AND(BC97=44,AU97=3,BY97=0),0,IF(AND(BC97=27,'Data Entry'!$C$74=2),0,IF(AND(BC97=28,'Data Entry'!$C$74=2),0,IF(AND(BY97+BZ97+CA97&gt;0.01,BV97=0,EQ97+ER97+ES97+ET97&lt;100),0,IF(AU97=3,CM97*0.08,IF(AU97=2,CM97*0.1,0)))))))))))))))))))))))))))))</f>
        <v>0</v>
      </c>
      <c r="CO97" s="660">
        <f t="shared" si="129"/>
        <v>0</v>
      </c>
      <c r="CP97" s="475" t="str">
        <f t="shared" si="130"/>
        <v/>
      </c>
      <c r="CQ97" s="161" t="str">
        <f>IF(AH97=0,0,IF(AU97=5,0,Summary!AC100))</f>
        <v/>
      </c>
      <c r="CR97" s="161" t="str">
        <f>IF(BF97=0.5,0,IF(AU97=5,0,Summary!AD100))</f>
        <v/>
      </c>
      <c r="CS97" s="161" t="str">
        <f>IF(AU97=5,0,Summary!AE100)</f>
        <v/>
      </c>
      <c r="CT97" s="161">
        <f t="shared" si="131"/>
        <v>0</v>
      </c>
      <c r="CU97" s="475" t="str">
        <f t="shared" si="132"/>
        <v/>
      </c>
      <c r="CV97" s="307">
        <f>IF('Data Entry'!$C$74=0,0,IF(AA97&lt;1,0,IF(ISERROR(CU97),0,IF(CF97=1,0,IF(AND(R97=12,BR97=50),0,IF(CL97+BO97+BV97+DC97=0,0,IF(BC97=37,0,IF(AND(BC97=40,AJ97=0),0,IF(AND(BC97=37,BO97&gt;0.01,BQ97&gt;0.01),ROUND(BQ97,0),IF(CM97&lt;0,0,ROUND(CM97,0)))))))))))</f>
        <v>0</v>
      </c>
      <c r="CW97" s="700">
        <f t="shared" si="133"/>
        <v>0</v>
      </c>
      <c r="CX97" s="477">
        <f>IF('Data Entry'!$C$74=0,0,IF(CV97&lt;0.01,0,IF(BF97=0.5,0,IF(CF97=1,0,IF(ISNUMBER(SEARCH("false",CL97)),0,IF(AZ97=500,0,CL97))))))</f>
        <v>0</v>
      </c>
      <c r="CY97" s="147" t="e">
        <f t="shared" si="134"/>
        <v>#VALUE!</v>
      </c>
      <c r="CZ97" s="147" t="b">
        <f>IF(CN97+CL97=0,FALSE,IF(AH97=0,0,IF(AND('Data Entry'!$C$74=1,CR97&gt;=1),TRUE,IF(AND('Data Entry'!$C$74=2,CS97&gt;=1),TRUE,FALSE))))</f>
        <v>0</v>
      </c>
      <c r="DA97" s="1751">
        <f>IF('Data Entry'!$C$74=0,0,IFERROR(ROUND(IF(T97="","",IF($X$4=0,0,IF(CF97=1,0,IF(BQ97+CV97=0,0,IF(CF97=1,0,IF(CY97&gt;0.01,CY97,IF(CL97&gt;0.01,CL97,IF(CY97&gt;0.01,CY97,IF(BC97=37,BO97,IF(CZ97=FALSE,0,IF(CZ97=TRUE,DC97+DF97,0))))))))))),2),""))</f>
        <v>0</v>
      </c>
      <c r="DB97" s="1752"/>
      <c r="DC97" s="474">
        <f>IF(CN97&lt;0.01,0,IF(AND(BR97=3,CN97&gt;0.01,CT97&gt;0.6,ER97+ES97+ET97&lt;100),0,IF(AND('Data Entry'!$C$74=1,CN97&gt;0.01,CR97&gt;0.99),MIN(CN97:CO97),IF(AND('Data Entry'!$C$74=2,CN97&gt;0.01,CS97&gt;0.99),MIN(CN97:CO97),0))))</f>
        <v>0</v>
      </c>
      <c r="DD97" s="478">
        <f>IF(CF97=1,"Selection does not match",IF(T97=0,0,IF(AND('Data Entry'!$C$74=0,CP97&gt;1),"Select Oregon or Idaho on Data Entry Tab",IF(AND(AU97=1,AA97&gt;0.9),"Missing Interior or Exterior Selection",IF($X$4=0,"Enter Total Project Cost",IF(AQ97&lt;AR97,"Insufficient kWh savings – no incentive",IF(AND(SUM(CL97+CK97+BV97)&gt;0.01,'Data Entry'!$C$74=2,CJ97&gt;1,BO97=0),"Submit Control as Non-Standard",IF(AND('Data Entry'!$C$74=2,BR97=37,CJ97&gt;1,BO97=0),"Submit Control as Non-Standard",IF(SUM(CL97+CK97+BV97)&gt;0.01,"Standard Incentive",IF(AND('Data Entry'!$C$74=2,CP97=7,CN97=0),"Submit as Non-Standard",IF(DC97&gt;0.9,"Non-Standard Incentive",IF(AND(BY97+BZ97+CA97&gt;0.01,BV97=0,EQ97=0,ER97=0,ES97=0,ET97=0),"Scroll Right &amp; Select Control Strategies",IF(AND(CN97&gt;0.01,CO97=0),"Enter Unit Installed Cost",IF(ISNUMBER(SEARCH("Lighting Controls Only",F97)),"Lighting Controls Only",IF(CL97+DC97=0,"Does not meet incentive criteria",0)))))))))))))))</f>
        <v>0</v>
      </c>
      <c r="DE97" s="337">
        <f t="shared" si="135"/>
        <v>0</v>
      </c>
      <c r="DF97" s="609">
        <f t="shared" si="136"/>
        <v>0</v>
      </c>
      <c r="DG97" s="336" t="str">
        <f t="shared" si="137"/>
        <v/>
      </c>
      <c r="DH97" s="338">
        <f t="shared" si="138"/>
        <v>1</v>
      </c>
      <c r="DI97" s="336" t="e">
        <f t="shared" si="90"/>
        <v>#VALUE!</v>
      </c>
      <c r="DJ97" s="338">
        <f t="shared" si="91"/>
        <v>0</v>
      </c>
      <c r="DK97" s="326" t="s">
        <v>115</v>
      </c>
      <c r="DL97" s="341">
        <v>138</v>
      </c>
      <c r="DM97" s="325" t="s">
        <v>92</v>
      </c>
      <c r="DN97" s="1439"/>
      <c r="DO97" s="1436" t="s">
        <v>1864</v>
      </c>
      <c r="DP97" s="344">
        <v>0</v>
      </c>
      <c r="DQ97" s="331"/>
      <c r="DR97" s="332"/>
      <c r="DS97" s="1195">
        <f t="shared" si="139"/>
        <v>0</v>
      </c>
      <c r="DT97" s="344" t="b">
        <f t="shared" si="140"/>
        <v>1</v>
      </c>
      <c r="DU97" s="1314" t="str">
        <f t="array" ref="DU97">IF(OR(COUNTIF(F97,"*"&amp;$DK$9:$DK$178&amp;"*")), "Yes", "")</f>
        <v/>
      </c>
      <c r="DV97" s="1314">
        <f t="shared" si="141"/>
        <v>0</v>
      </c>
      <c r="DW97" s="1480">
        <f t="shared" si="142"/>
        <v>0</v>
      </c>
      <c r="DX97" s="1498">
        <f t="shared" si="151"/>
        <v>0</v>
      </c>
      <c r="DY97" s="1484">
        <f t="shared" si="143"/>
        <v>0</v>
      </c>
      <c r="DZ97" s="375"/>
      <c r="EA97" s="392"/>
      <c r="EB97" s="1499" t="s">
        <v>130</v>
      </c>
      <c r="EC97" s="727" t="s">
        <v>1568</v>
      </c>
      <c r="ED97" s="728">
        <v>0.5</v>
      </c>
      <c r="EE97" s="1215"/>
      <c r="EF97" s="1215"/>
      <c r="EG97" s="1184" t="str">
        <f t="shared" si="144"/>
        <v/>
      </c>
      <c r="EH97" s="55"/>
      <c r="EI97" s="55"/>
      <c r="EJ97" s="1185">
        <f t="shared" si="92"/>
        <v>0</v>
      </c>
      <c r="EK97" s="1211"/>
      <c r="EL97" s="1180">
        <f t="shared" si="93"/>
        <v>0</v>
      </c>
      <c r="EM97" s="207"/>
      <c r="EN97" s="1038"/>
      <c r="EO97" s="1038"/>
      <c r="EP97" s="1038"/>
      <c r="EQ97" s="1038">
        <f t="shared" si="145"/>
        <v>0</v>
      </c>
      <c r="ER97" s="1041">
        <f t="shared" si="146"/>
        <v>0</v>
      </c>
      <c r="ES97" s="1042">
        <f t="shared" si="147"/>
        <v>0</v>
      </c>
      <c r="ET97" s="1042">
        <f t="shared" si="152"/>
        <v>0</v>
      </c>
      <c r="EU97" s="1021">
        <f t="shared" si="153"/>
        <v>0</v>
      </c>
      <c r="EV97" s="368"/>
      <c r="EW97" s="368"/>
      <c r="EX97" s="369"/>
      <c r="EY97" s="370"/>
      <c r="EZ97" s="370"/>
      <c r="FA97" s="371"/>
      <c r="FB97" s="372"/>
    </row>
    <row r="98" spans="1:158" ht="34.5" customHeight="1">
      <c r="A98" s="82">
        <v>90</v>
      </c>
      <c r="B98" s="1725"/>
      <c r="C98" s="1726"/>
      <c r="D98" s="1726"/>
      <c r="E98" s="1727"/>
      <c r="F98" s="1732"/>
      <c r="G98" s="1733"/>
      <c r="H98" s="1733"/>
      <c r="I98" s="1734"/>
      <c r="J98" s="1341"/>
      <c r="K98" s="1728"/>
      <c r="L98" s="1728"/>
      <c r="M98" s="1342"/>
      <c r="N98" s="1583"/>
      <c r="O98" s="208" t="str">
        <f t="shared" si="80"/>
        <v/>
      </c>
      <c r="P98" s="785"/>
      <c r="Q98" s="39" t="str">
        <f t="shared" si="81"/>
        <v/>
      </c>
      <c r="R98" s="39">
        <f t="shared" si="94"/>
        <v>0</v>
      </c>
      <c r="S98" s="234">
        <f t="shared" si="95"/>
        <v>0</v>
      </c>
      <c r="T98" s="1755"/>
      <c r="U98" s="1755"/>
      <c r="V98" s="1755"/>
      <c r="W98" s="1345"/>
      <c r="X98" s="1741"/>
      <c r="Y98" s="1742"/>
      <c r="Z98" s="1346"/>
      <c r="AA98" s="1343"/>
      <c r="AB98" s="1141"/>
      <c r="AC98" s="1103" t="str">
        <f>IF(T98="","",VLOOKUP(Z98,Lists!$A$60:$B$111,2,FALSE))</f>
        <v/>
      </c>
      <c r="AD98" s="130" t="str">
        <f t="shared" si="96"/>
        <v/>
      </c>
      <c r="AE98" s="130" t="e">
        <f t="shared" si="97"/>
        <v>#VALUE!</v>
      </c>
      <c r="AF98" s="130">
        <f t="shared" si="98"/>
        <v>1</v>
      </c>
      <c r="AG98" s="234">
        <f t="shared" si="82"/>
        <v>0</v>
      </c>
      <c r="AH98" s="1753" t="str">
        <f>IF(T98="","",(IF(ISNUMBER(SEARCH("exit",T98)),8760,IF(AND(M98="Dusk to Dawn",'Proposed Lighting'!AU98=3),4059,IF(AND(AU98=3,M98="1"),0,IF(AND(AU98=3,M98="1-C"),0,IF(AND(AU98=3,M98="2"),0,IF(AND(AU98=3,M98="2-C"),0,IF(AND(AU98=3,M98="3"),0,IF(AND(AU98=3,M98="3-C"),0,IF(AND(AU98=2,M98="Dusk to Dawn"),0,IF(AND(AU98=2,M98="Dusk to Dawn-C"),0,IF(AND(AU98=2,M98="Dusk to Dawn"),0,IF(AND(AU98=2,M98="E"),0,IF(AND(AU98=2,M98="E-C"),0,EG98)))))))))))))))</f>
        <v/>
      </c>
      <c r="AI98" s="1754"/>
      <c r="AJ98" s="1136"/>
      <c r="AK98" s="1136"/>
      <c r="AL98" s="1748">
        <f t="shared" si="99"/>
        <v>0</v>
      </c>
      <c r="AM98" s="1749"/>
      <c r="AN98" s="1750"/>
      <c r="AO98" s="476">
        <f t="shared" si="83"/>
        <v>0</v>
      </c>
      <c r="AP98" s="476">
        <f t="shared" si="100"/>
        <v>0</v>
      </c>
      <c r="AQ98" s="475">
        <f t="shared" si="84"/>
        <v>0</v>
      </c>
      <c r="AR98" s="475">
        <f t="shared" si="101"/>
        <v>0</v>
      </c>
      <c r="AS98" s="743" t="str">
        <f t="shared" si="156"/>
        <v/>
      </c>
      <c r="AT98" s="736" t="str">
        <f t="shared" si="102"/>
        <v/>
      </c>
      <c r="AU98" s="56">
        <f t="shared" si="103"/>
        <v>1</v>
      </c>
      <c r="AV98" s="476">
        <f t="shared" si="104"/>
        <v>0</v>
      </c>
      <c r="AW98" s="56">
        <f t="shared" si="105"/>
        <v>0</v>
      </c>
      <c r="AX98" s="475">
        <f t="shared" si="85"/>
        <v>0</v>
      </c>
      <c r="AY98" s="1169">
        <f t="shared" si="106"/>
        <v>0</v>
      </c>
      <c r="AZ98" s="1150">
        <f t="shared" si="148"/>
        <v>0</v>
      </c>
      <c r="BA98" s="56">
        <f t="shared" si="86"/>
        <v>0</v>
      </c>
      <c r="BB98" s="420">
        <f t="shared" si="87"/>
        <v>0</v>
      </c>
      <c r="BC98" s="58" t="str">
        <f t="shared" si="88"/>
        <v/>
      </c>
      <c r="BD98" s="660">
        <f t="shared" si="149"/>
        <v>0</v>
      </c>
      <c r="BE98" s="57" t="e">
        <f t="array" ref="BE98">INDEX($EB$11:$ED$1022,MATCH(F98&amp;T98,$EB$11:$EB$1007&amp;$EC$11:$EC$1007,0),3)</f>
        <v>#N/A</v>
      </c>
      <c r="BF98" s="463">
        <f t="shared" si="107"/>
        <v>0</v>
      </c>
      <c r="BG98" s="1445" t="e">
        <f t="array" ref="BG98">INDEX($DO$112:$DQ$123,MATCH(T98&amp;W98,$DO$114:$DO$125&amp;$DP$112:$DP$123,0),3)</f>
        <v>#N/A</v>
      </c>
      <c r="BH98" s="1446">
        <f t="shared" si="108"/>
        <v>0</v>
      </c>
      <c r="BI98" s="465">
        <f t="shared" si="109"/>
        <v>0</v>
      </c>
      <c r="BJ98" s="465">
        <f t="shared" si="110"/>
        <v>0</v>
      </c>
      <c r="BK98" s="466">
        <f t="shared" si="111"/>
        <v>0</v>
      </c>
      <c r="BL98" s="466">
        <f t="shared" si="112"/>
        <v>0</v>
      </c>
      <c r="BM98" s="466">
        <f t="shared" si="113"/>
        <v>0</v>
      </c>
      <c r="BN98" s="466">
        <f t="shared" si="114"/>
        <v>0</v>
      </c>
      <c r="BO98" s="463">
        <f>IF('Data Entry'!$C$74=0,0,IF(ISNA(CJ98),0,IF(AX98=0,0,IF(AND('Data Entry'!$C$74=2,AF98&gt;2,CE98&lt;1),0,IF(AND('Data Entry'!$C$74=2,AF98&gt;1,AU98=2,CJ98&gt;1),0,IF(AND(AF98=5,CT98=0.5,AU98=2,ER98&lt;100),0,IF(AND(AF98=5,CT98=0.5,AU98=3,ER98&lt;100),0,IF(AND('Data Entry'!$C$74=2,AF98=2,AU98=2,AK98&gt;0.01,CB98=2,CE98&lt;1),0,IF(AND('Data Entry'!$C$74=2,AF98=3,AU98=3,AK98&gt;0.01,CB98=3,CE98&lt;1),0,IF(AND('Data Entry'!$C$74=2,AF98=3,AU98=3,AK98&gt;0.01,CB98=3,CE98&gt;0.99),BQ98*0.08,IF(AND('Data Entry'!$C$74=2,AF98=2,AU98=2,AK98&gt;0.01,CB98=2,CE98&gt;0.99),BQ98*0.1,IF(AND(AU98=2,AK98&gt;0.01,CB98=2,CD98&gt;1),BQ98*0.1,IF(AND(AU98=3,AK98&gt;0.01,CB98=3,CD98&gt;1),BQ98*0.08,CJ98*EF98)))))))))))))</f>
        <v>0</v>
      </c>
      <c r="BP98" s="475">
        <f t="shared" si="115"/>
        <v>0</v>
      </c>
      <c r="BQ98" s="1431">
        <f>IF(AU98=1,0,IF(CH98=100,0,IF(AND(AF98=3,AU98=2),0,IF(AND(BH98=0,CT98&gt;0.4),0,IF(AND('Data Entry'!$C$74=2,AF98=1.5),0,IF(AND('Data Entry'!$C$74=2,AF98=1.6),0,IF(AND('Data Entry'!$C$74=2,AF98=4),0,IF(AND('Data Entry'!$C$74=2,AF98=5),0,IF(AND('Data Entry'!$C$74=2,AF98=2.5,CE98&lt;1),0,IF(AND('Data Entry'!$C$74=2,AF98=3,CE98&lt;1),0,IF(AND('Data Entry'!$C$74=1,AF98=2.5,CD98&lt;1),0,IF(AND('Data Entry'!$C$74=1,AF98=3,CD98&lt;1),0,IF(DX98&gt;0.01,DX98,IF(ISERROR(AX98-AY98),"",ROUND(AX98-AY98,2)))))))))))))))</f>
        <v>0</v>
      </c>
      <c r="BR98" s="146">
        <f t="shared" si="116"/>
        <v>0</v>
      </c>
      <c r="BS98" s="475">
        <f t="shared" si="117"/>
        <v>0</v>
      </c>
      <c r="BT98" s="146" t="b">
        <f t="shared" si="118"/>
        <v>0</v>
      </c>
      <c r="BU98" s="463">
        <f>IF(ISNA(AT98),0,IF(AND('Data Entry'!$C$74=2,BC98=27),0,IF(AND('Data Entry'!$C$74=2,BC98=28),0,IF(AND(BC98=27,BT98=27,CM98&gt;0.1),CM98*0.15,IF(AND(BC98=28,BT98=28,CM98&gt;0.1),CM98*0.12,0)))))</f>
        <v>0</v>
      </c>
      <c r="BV98" s="463">
        <f t="shared" si="155"/>
        <v>0</v>
      </c>
      <c r="BW98" s="463">
        <f t="shared" si="119"/>
        <v>0</v>
      </c>
      <c r="BX98" s="463">
        <f t="shared" si="120"/>
        <v>0</v>
      </c>
      <c r="BY98" s="463">
        <f t="shared" si="121"/>
        <v>0</v>
      </c>
      <c r="BZ98" s="463">
        <f t="shared" si="122"/>
        <v>0</v>
      </c>
      <c r="CA98" s="57">
        <f t="shared" si="150"/>
        <v>0</v>
      </c>
      <c r="CB98" s="56">
        <f t="shared" si="123"/>
        <v>1</v>
      </c>
      <c r="CC98" s="756">
        <f>IF(EE98=0,0,IF(EF98=0,0,IF(EE98&gt;AA98,0,IF(AND(AZ98&gt;AW98,AW98&gt;0),0,IF(CU98=0,0,Summary!AC401)))))</f>
        <v>0</v>
      </c>
      <c r="CD98" s="756">
        <f>IF(EE98=0,0,IF(EF98=0,0,IF(EE98&gt;AA98,0,IF(AND(AZ98&gt;AW98,AW98&gt;0),0,IF(CU98=0,0,Summary!AD401)))))</f>
        <v>0</v>
      </c>
      <c r="CE98" s="756">
        <f>IF(EF98=0,0,IF(EE98&gt;AA98,0,IF(CC98=0,0,IF(AND(AZ98&gt;AW98,AW98&gt;0),0,IF(CU98=0,0,Summary!AE401)))))</f>
        <v>0</v>
      </c>
      <c r="CF98" s="475">
        <f t="shared" si="124"/>
        <v>0</v>
      </c>
      <c r="CG98" s="476">
        <f t="shared" si="89"/>
        <v>0</v>
      </c>
      <c r="CH98" s="487">
        <f t="shared" si="125"/>
        <v>0</v>
      </c>
      <c r="CI98" s="756">
        <f t="shared" si="126"/>
        <v>0</v>
      </c>
      <c r="CJ98" s="487">
        <f>IF(CT98&gt;0.4,0,IF(AND(AU98=2,CH98=0,CT98=0.5,ER98=100),35,IF(AND(AU98=3,BB98&gt;75,CH98=0,CT98=0.5,ER98=100),25,IF(CB98&gt;1,0,IF(EF98&gt;EE98,0,IF(AND(AF98&gt;1,CH98=100),0,IF(AND(AF98=1,AY98=0),0,IF(AND(EF98&lt;=EE98,AW98&gt;=AZ98,'Data Entry'!$C$74=1,AU98=2),VLOOKUP(W98,$DO$96:$DP$102,2,FALSE),IF(AND(EF98&lt;=EE98,AW98&gt;=AZ98,AU98=3,'Data Entry'!$C$74=1),VLOOKUP(W98,$DO$127:$DP$134,2,FALSE))))))))))</f>
        <v>0</v>
      </c>
      <c r="CK98" s="716">
        <f t="shared" si="127"/>
        <v>0</v>
      </c>
      <c r="CL98" s="57">
        <f t="shared" si="128"/>
        <v>0</v>
      </c>
      <c r="CM98" s="475">
        <f t="shared" si="154"/>
        <v>0</v>
      </c>
      <c r="CN98" s="660">
        <f>IF(CM98&lt;0.1,0,IF(ISNA(AT98),0,IF(CL98+BC98=1,0,IF(BV98&gt;0.01,0,IF(CL98&gt;0.01,0,IF(CF98=1,0,IF(BC98=0.5,0,IF(AND(CI98=1,AU98=3),0,IF(AND(CI98=5,CL98=0),0,IF(AND(R98=12,BR98=50),0,IF(CK98&gt;0.01,0,IF(AND(AJ98&gt;0.01,AU98=2,BC98=15),CM98*0.1,IF(AND(AJ98&gt;0.01,AU98=3,BC98=15),CM98*0.08,IF(AND(R98=12,BC98=3,AF98&lt;=0),0,IF(AND(BC98=15,BI98=0),0,IF(AND(BC98=15,BJ98=0),0,IF(AND(R98=20,CU98=0),0,IF($X$4=0,0,IF(AND(BC98=250,CL98=0),0,IF(AA98&lt;1,0,IF(AND(ISNUMBER(SEARCH("Area",T98)),AU98=3),0,IF(AND(AQ98&gt;0.01,AR98=0,BK98=0,BL98=0,BM98=0,BN98=0),0,IF(AND(AU98=3,CI98=7,CT98&gt;0.5),0,IF(AND(BC98=44,AU98=3,BY98=0),0,IF(AND(BC98=27,'Data Entry'!$C$74=2),0,IF(AND(BC98=28,'Data Entry'!$C$74=2),0,IF(AND(BY98+BZ98+CA98&gt;0.01,BV98=0,EQ98+ER98+ES98+ET98&lt;100),0,IF(AU98=3,CM98*0.08,IF(AU98=2,CM98*0.1,0)))))))))))))))))))))))))))))</f>
        <v>0</v>
      </c>
      <c r="CO98" s="660">
        <f t="shared" si="129"/>
        <v>0</v>
      </c>
      <c r="CP98" s="475" t="str">
        <f t="shared" si="130"/>
        <v/>
      </c>
      <c r="CQ98" s="161" t="str">
        <f>IF(AH98=0,0,IF(AU98=5,0,Summary!AC101))</f>
        <v/>
      </c>
      <c r="CR98" s="161" t="str">
        <f>IF(BF98=0.5,0,IF(AU98=5,0,Summary!AD101))</f>
        <v/>
      </c>
      <c r="CS98" s="161" t="str">
        <f>IF(AU98=5,0,Summary!AE101)</f>
        <v/>
      </c>
      <c r="CT98" s="161">
        <f t="shared" si="131"/>
        <v>0</v>
      </c>
      <c r="CU98" s="475" t="str">
        <f t="shared" si="132"/>
        <v/>
      </c>
      <c r="CV98" s="307">
        <f>IF('Data Entry'!$C$74=0,0,IF(AA98&lt;1,0,IF(ISERROR(CU98),0,IF(CF98=1,0,IF(AND(R98=12,BR98=50),0,IF(CL98+BO98+BV98+DC98=0,0,IF(BC98=37,0,IF(AND(BC98=40,AJ98=0),0,IF(AND(BC98=37,BO98&gt;0.01,BQ98&gt;0.01),ROUND(BQ98,0),IF(CM98&lt;0,0,ROUND(CM98,0)))))))))))</f>
        <v>0</v>
      </c>
      <c r="CW98" s="700">
        <f t="shared" si="133"/>
        <v>0</v>
      </c>
      <c r="CX98" s="477">
        <f>IF('Data Entry'!$C$74=0,0,IF(CV98&lt;0.01,0,IF(BF98=0.5,0,IF(CF98=1,0,IF(ISNUMBER(SEARCH("false",CL98)),0,IF(AZ98=500,0,CL98))))))</f>
        <v>0</v>
      </c>
      <c r="CY98" s="147" t="e">
        <f t="shared" si="134"/>
        <v>#VALUE!</v>
      </c>
      <c r="CZ98" s="147" t="b">
        <f>IF(CN98+CL98=0,FALSE,IF(AH98=0,0,IF(AND('Data Entry'!$C$74=1,CR98&gt;=1),TRUE,IF(AND('Data Entry'!$C$74=2,CS98&gt;=1),TRUE,FALSE))))</f>
        <v>0</v>
      </c>
      <c r="DA98" s="1751">
        <f>IF('Data Entry'!$C$74=0,0,IFERROR(ROUND(IF(T98="","",IF($X$4=0,0,IF(CF98=1,0,IF(BQ98+CV98=0,0,IF(CF98=1,0,IF(CY98&gt;0.01,CY98,IF(CL98&gt;0.01,CL98,IF(CY98&gt;0.01,CY98,IF(BC98=37,BO98,IF(CZ98=FALSE,0,IF(CZ98=TRUE,DC98+DF98,0))))))))))),2),""))</f>
        <v>0</v>
      </c>
      <c r="DB98" s="1752"/>
      <c r="DC98" s="474">
        <f>IF(CN98&lt;0.01,0,IF(AND(BR98=3,CN98&gt;0.01,CT98&gt;0.6,ER98+ES98+ET98&lt;100),0,IF(AND('Data Entry'!$C$74=1,CN98&gt;0.01,CR98&gt;0.99),MIN(CN98:CO98),IF(AND('Data Entry'!$C$74=2,CN98&gt;0.01,CS98&gt;0.99),MIN(CN98:CO98),0))))</f>
        <v>0</v>
      </c>
      <c r="DD98" s="478">
        <f>IF(CF98=1,"Selection does not match",IF(T98=0,0,IF(AND('Data Entry'!$C$74=0,CP98&gt;1),"Select Oregon or Idaho on Data Entry Tab",IF(AND(AU98=1,AA98&gt;0.9),"Missing Interior or Exterior Selection",IF($X$4=0,"Enter Total Project Cost",IF(AQ98&lt;AR98,"Insufficient kWh savings – no incentive",IF(AND(SUM(CL98+CK98+BV98)&gt;0.01,'Data Entry'!$C$74=2,CJ98&gt;1,BO98=0),"Submit Control as Non-Standard",IF(AND('Data Entry'!$C$74=2,BR98=37,CJ98&gt;1,BO98=0),"Submit Control as Non-Standard",IF(SUM(CL98+CK98+BV98)&gt;0.01,"Standard Incentive",IF(AND('Data Entry'!$C$74=2,CP98=7,CN98=0),"Submit as Non-Standard",IF(DC98&gt;0.9,"Non-Standard Incentive",IF(AND(BY98+BZ98+CA98&gt;0.01,BV98=0,EQ98=0,ER98=0,ES98=0,ET98=0),"Scroll Right &amp; Select Control Strategies",IF(AND(CN98&gt;0.01,CO98=0),"Enter Unit Installed Cost",IF(ISNUMBER(SEARCH("Lighting Controls Only",F98)),"Lighting Controls Only",IF(CL98+DC98=0,"Does not meet incentive criteria",0)))))))))))))))</f>
        <v>0</v>
      </c>
      <c r="DE98" s="337">
        <f t="shared" si="135"/>
        <v>0</v>
      </c>
      <c r="DF98" s="609">
        <f t="shared" si="136"/>
        <v>0</v>
      </c>
      <c r="DG98" s="336" t="str">
        <f t="shared" si="137"/>
        <v/>
      </c>
      <c r="DH98" s="338">
        <f t="shared" si="138"/>
        <v>1</v>
      </c>
      <c r="DI98" s="336" t="e">
        <f t="shared" si="90"/>
        <v>#VALUE!</v>
      </c>
      <c r="DJ98" s="338">
        <f t="shared" si="91"/>
        <v>0</v>
      </c>
      <c r="DK98" s="325" t="s">
        <v>116</v>
      </c>
      <c r="DL98" s="341">
        <v>221</v>
      </c>
      <c r="DM98" s="325" t="s">
        <v>93</v>
      </c>
      <c r="DN98" s="1439"/>
      <c r="DO98" s="1444" t="s">
        <v>1762</v>
      </c>
      <c r="DP98" s="344">
        <v>15</v>
      </c>
      <c r="DQ98" s="331"/>
      <c r="DR98" s="332"/>
      <c r="DS98" s="1195">
        <f t="shared" si="139"/>
        <v>0</v>
      </c>
      <c r="DT98" s="344" t="b">
        <f t="shared" si="140"/>
        <v>1</v>
      </c>
      <c r="DU98" s="1314" t="str">
        <f t="array" ref="DU98">IF(OR(COUNTIF(F98,"*"&amp;$DK$9:$DK$178&amp;"*")), "Yes", "")</f>
        <v/>
      </c>
      <c r="DV98" s="1314">
        <f t="shared" si="141"/>
        <v>0</v>
      </c>
      <c r="DW98" s="1480">
        <f t="shared" si="142"/>
        <v>0</v>
      </c>
      <c r="DX98" s="1498">
        <f t="shared" si="151"/>
        <v>0</v>
      </c>
      <c r="DY98" s="1484">
        <f t="shared" si="143"/>
        <v>0</v>
      </c>
      <c r="DZ98" s="375"/>
      <c r="EA98" s="392"/>
      <c r="EB98" s="1499" t="s">
        <v>131</v>
      </c>
      <c r="EC98" s="727" t="s">
        <v>1568</v>
      </c>
      <c r="ED98" s="728">
        <v>0.5</v>
      </c>
      <c r="EE98" s="1215"/>
      <c r="EF98" s="1215"/>
      <c r="EG98" s="1184" t="str">
        <f t="shared" si="144"/>
        <v/>
      </c>
      <c r="EH98" s="55"/>
      <c r="EI98" s="55"/>
      <c r="EJ98" s="1185">
        <f t="shared" si="92"/>
        <v>0</v>
      </c>
      <c r="EK98" s="1211"/>
      <c r="EL98" s="1180">
        <f t="shared" si="93"/>
        <v>0</v>
      </c>
      <c r="EM98" s="207"/>
      <c r="EN98" s="1038"/>
      <c r="EO98" s="1038"/>
      <c r="EP98" s="1038"/>
      <c r="EQ98" s="1038">
        <f t="shared" si="145"/>
        <v>0</v>
      </c>
      <c r="ER98" s="1041">
        <f t="shared" si="146"/>
        <v>0</v>
      </c>
      <c r="ES98" s="1042">
        <f t="shared" si="147"/>
        <v>0</v>
      </c>
      <c r="ET98" s="1042">
        <f t="shared" si="152"/>
        <v>0</v>
      </c>
      <c r="EU98" s="1021">
        <f t="shared" si="153"/>
        <v>0</v>
      </c>
      <c r="EV98" s="368"/>
      <c r="EW98" s="368"/>
      <c r="EX98" s="369"/>
      <c r="EY98" s="370"/>
      <c r="EZ98" s="370"/>
      <c r="FA98" s="371"/>
      <c r="FB98" s="372"/>
    </row>
    <row r="99" spans="1:158" ht="34.5" customHeight="1">
      <c r="A99" s="82">
        <v>91</v>
      </c>
      <c r="B99" s="1725"/>
      <c r="C99" s="1726"/>
      <c r="D99" s="1726"/>
      <c r="E99" s="1727"/>
      <c r="F99" s="1732"/>
      <c r="G99" s="1733"/>
      <c r="H99" s="1733"/>
      <c r="I99" s="1734"/>
      <c r="J99" s="1341"/>
      <c r="K99" s="1728"/>
      <c r="L99" s="1728"/>
      <c r="M99" s="1342"/>
      <c r="N99" s="1583"/>
      <c r="O99" s="208" t="str">
        <f t="shared" si="80"/>
        <v/>
      </c>
      <c r="P99" s="785"/>
      <c r="Q99" s="39" t="str">
        <f t="shared" si="81"/>
        <v/>
      </c>
      <c r="R99" s="39">
        <f t="shared" si="94"/>
        <v>0</v>
      </c>
      <c r="S99" s="234">
        <f t="shared" si="95"/>
        <v>0</v>
      </c>
      <c r="T99" s="1755"/>
      <c r="U99" s="1755"/>
      <c r="V99" s="1755"/>
      <c r="W99" s="1345"/>
      <c r="X99" s="1741"/>
      <c r="Y99" s="1742"/>
      <c r="Z99" s="1346"/>
      <c r="AA99" s="1343"/>
      <c r="AB99" s="1141"/>
      <c r="AC99" s="1103" t="str">
        <f>IF(T99="","",VLOOKUP(Z99,Lists!$A$60:$B$111,2,FALSE))</f>
        <v/>
      </c>
      <c r="AD99" s="130" t="str">
        <f t="shared" si="96"/>
        <v/>
      </c>
      <c r="AE99" s="130" t="e">
        <f t="shared" si="97"/>
        <v>#VALUE!</v>
      </c>
      <c r="AF99" s="130">
        <f t="shared" si="98"/>
        <v>1</v>
      </c>
      <c r="AG99" s="234">
        <f t="shared" si="82"/>
        <v>0</v>
      </c>
      <c r="AH99" s="1753" t="str">
        <f>IF(T99="","",(IF(ISNUMBER(SEARCH("exit",T99)),8760,IF(AND(M99="Dusk to Dawn",'Proposed Lighting'!AU99=3),4059,IF(AND(AU99=3,M99="1"),0,IF(AND(AU99=3,M99="1-C"),0,IF(AND(AU99=3,M99="2"),0,IF(AND(AU99=3,M99="2-C"),0,IF(AND(AU99=3,M99="3"),0,IF(AND(AU99=3,M99="3-C"),0,IF(AND(AU99=2,M99="Dusk to Dawn"),0,IF(AND(AU99=2,M99="Dusk to Dawn-C"),0,IF(AND(AU99=2,M99="Dusk to Dawn"),0,IF(AND(AU99=2,M99="E"),0,IF(AND(AU99=2,M99="E-C"),0,EG99)))))))))))))))</f>
        <v/>
      </c>
      <c r="AI99" s="1754"/>
      <c r="AJ99" s="1136"/>
      <c r="AK99" s="1136"/>
      <c r="AL99" s="1748">
        <f t="shared" si="99"/>
        <v>0</v>
      </c>
      <c r="AM99" s="1749"/>
      <c r="AN99" s="1750"/>
      <c r="AO99" s="476">
        <f t="shared" si="83"/>
        <v>0</v>
      </c>
      <c r="AP99" s="476">
        <f t="shared" si="100"/>
        <v>0</v>
      </c>
      <c r="AQ99" s="475">
        <f t="shared" si="84"/>
        <v>0</v>
      </c>
      <c r="AR99" s="475">
        <f t="shared" si="101"/>
        <v>0</v>
      </c>
      <c r="AS99" s="743" t="str">
        <f t="shared" si="156"/>
        <v/>
      </c>
      <c r="AT99" s="736" t="str">
        <f t="shared" si="102"/>
        <v/>
      </c>
      <c r="AU99" s="56">
        <f t="shared" si="103"/>
        <v>1</v>
      </c>
      <c r="AV99" s="476">
        <f t="shared" si="104"/>
        <v>0</v>
      </c>
      <c r="AW99" s="56">
        <f t="shared" si="105"/>
        <v>0</v>
      </c>
      <c r="AX99" s="475">
        <f t="shared" si="85"/>
        <v>0</v>
      </c>
      <c r="AY99" s="1169">
        <f t="shared" si="106"/>
        <v>0</v>
      </c>
      <c r="AZ99" s="1150">
        <f t="shared" si="148"/>
        <v>0</v>
      </c>
      <c r="BA99" s="56">
        <f t="shared" si="86"/>
        <v>0</v>
      </c>
      <c r="BB99" s="420">
        <f t="shared" si="87"/>
        <v>0</v>
      </c>
      <c r="BC99" s="58" t="str">
        <f t="shared" si="88"/>
        <v/>
      </c>
      <c r="BD99" s="660">
        <f t="shared" si="149"/>
        <v>0</v>
      </c>
      <c r="BE99" s="57" t="e">
        <f t="array" ref="BE99">INDEX($EB$11:$ED$1022,MATCH(F99&amp;T99,$EB$11:$EB$1007&amp;$EC$11:$EC$1007,0),3)</f>
        <v>#N/A</v>
      </c>
      <c r="BF99" s="463">
        <f t="shared" si="107"/>
        <v>0</v>
      </c>
      <c r="BG99" s="1445" t="e">
        <f t="array" ref="BG99">INDEX($DO$112:$DQ$123,MATCH(T99&amp;W99,$DO$114:$DO$125&amp;$DP$112:$DP$123,0),3)</f>
        <v>#N/A</v>
      </c>
      <c r="BH99" s="1446">
        <f t="shared" si="108"/>
        <v>0</v>
      </c>
      <c r="BI99" s="465">
        <f t="shared" si="109"/>
        <v>0</v>
      </c>
      <c r="BJ99" s="465">
        <f t="shared" si="110"/>
        <v>0</v>
      </c>
      <c r="BK99" s="466">
        <f t="shared" si="111"/>
        <v>0</v>
      </c>
      <c r="BL99" s="466">
        <f t="shared" si="112"/>
        <v>0</v>
      </c>
      <c r="BM99" s="466">
        <f t="shared" si="113"/>
        <v>0</v>
      </c>
      <c r="BN99" s="466">
        <f t="shared" si="114"/>
        <v>0</v>
      </c>
      <c r="BO99" s="463">
        <f>IF('Data Entry'!$C$74=0,0,IF(ISNA(CJ99),0,IF(AX99=0,0,IF(AND('Data Entry'!$C$74=2,AF99&gt;2,CE99&lt;1),0,IF(AND('Data Entry'!$C$74=2,AF99&gt;1,AU99=2,CJ99&gt;1),0,IF(AND(AF99=5,CT99=0.5,AU99=2,ER99&lt;100),0,IF(AND(AF99=5,CT99=0.5,AU99=3,ER99&lt;100),0,IF(AND('Data Entry'!$C$74=2,AF99=2,AU99=2,AK99&gt;0.01,CB99=2,CE99&lt;1),0,IF(AND('Data Entry'!$C$74=2,AF99=3,AU99=3,AK99&gt;0.01,CB99=3,CE99&lt;1),0,IF(AND('Data Entry'!$C$74=2,AF99=3,AU99=3,AK99&gt;0.01,CB99=3,CE99&gt;0.99),BQ99*0.08,IF(AND('Data Entry'!$C$74=2,AF99=2,AU99=2,AK99&gt;0.01,CB99=2,CE99&gt;0.99),BQ99*0.1,IF(AND(AU99=2,AK99&gt;0.01,CB99=2,CD99&gt;1),BQ99*0.1,IF(AND(AU99=3,AK99&gt;0.01,CB99=3,CD99&gt;1),BQ99*0.08,CJ99*EF99)))))))))))))</f>
        <v>0</v>
      </c>
      <c r="BP99" s="475">
        <f t="shared" si="115"/>
        <v>0</v>
      </c>
      <c r="BQ99" s="1431">
        <f>IF(AU99=1,0,IF(CH99=100,0,IF(AND(AF99=3,AU99=2),0,IF(AND(BH99=0,CT99&gt;0.4),0,IF(AND('Data Entry'!$C$74=2,AF99=1.5),0,IF(AND('Data Entry'!$C$74=2,AF99=1.6),0,IF(AND('Data Entry'!$C$74=2,AF99=4),0,IF(AND('Data Entry'!$C$74=2,AF99=5),0,IF(AND('Data Entry'!$C$74=2,AF99=2.5,CE99&lt;1),0,IF(AND('Data Entry'!$C$74=2,AF99=3,CE99&lt;1),0,IF(AND('Data Entry'!$C$74=1,AF99=2.5,CD99&lt;1),0,IF(AND('Data Entry'!$C$74=1,AF99=3,CD99&lt;1),0,IF(DX99&gt;0.01,DX99,IF(ISERROR(AX99-AY99),"",ROUND(AX99-AY99,2)))))))))))))))</f>
        <v>0</v>
      </c>
      <c r="BR99" s="146">
        <f t="shared" si="116"/>
        <v>0</v>
      </c>
      <c r="BS99" s="475">
        <f t="shared" si="117"/>
        <v>0</v>
      </c>
      <c r="BT99" s="146" t="b">
        <f t="shared" si="118"/>
        <v>0</v>
      </c>
      <c r="BU99" s="463">
        <f>IF(ISNA(AT99),0,IF(AND('Data Entry'!$C$74=2,BC99=27),0,IF(AND('Data Entry'!$C$74=2,BC99=28),0,IF(AND(BC99=27,BT99=27,CM99&gt;0.1),CM99*0.15,IF(AND(BC99=28,BT99=28,CM99&gt;0.1),CM99*0.12,0)))))</f>
        <v>0</v>
      </c>
      <c r="BV99" s="463">
        <f t="shared" si="155"/>
        <v>0</v>
      </c>
      <c r="BW99" s="463">
        <f t="shared" si="119"/>
        <v>0</v>
      </c>
      <c r="BX99" s="463">
        <f t="shared" si="120"/>
        <v>0</v>
      </c>
      <c r="BY99" s="463">
        <f t="shared" si="121"/>
        <v>0</v>
      </c>
      <c r="BZ99" s="463">
        <f t="shared" si="122"/>
        <v>0</v>
      </c>
      <c r="CA99" s="57">
        <f t="shared" si="150"/>
        <v>0</v>
      </c>
      <c r="CB99" s="56">
        <f t="shared" si="123"/>
        <v>1</v>
      </c>
      <c r="CC99" s="756">
        <f>IF(EE99=0,0,IF(EF99=0,0,IF(EE99&gt;AA99,0,IF(AND(AZ99&gt;AW99,AW99&gt;0),0,IF(CU99=0,0,Summary!AC402)))))</f>
        <v>0</v>
      </c>
      <c r="CD99" s="756">
        <f>IF(EE99=0,0,IF(EF99=0,0,IF(EE99&gt;AA99,0,IF(AND(AZ99&gt;AW99,AW99&gt;0),0,IF(CU99=0,0,Summary!AD402)))))</f>
        <v>0</v>
      </c>
      <c r="CE99" s="756">
        <f>IF(EF99=0,0,IF(EE99&gt;AA99,0,IF(CC99=0,0,IF(AND(AZ99&gt;AW99,AW99&gt;0),0,IF(CU99=0,0,Summary!AE402)))))</f>
        <v>0</v>
      </c>
      <c r="CF99" s="475">
        <f t="shared" si="124"/>
        <v>0</v>
      </c>
      <c r="CG99" s="476">
        <f t="shared" si="89"/>
        <v>0</v>
      </c>
      <c r="CH99" s="487">
        <f t="shared" si="125"/>
        <v>0</v>
      </c>
      <c r="CI99" s="756">
        <f t="shared" si="126"/>
        <v>0</v>
      </c>
      <c r="CJ99" s="487">
        <f>IF(CT99&gt;0.4,0,IF(AND(AU99=2,CH99=0,CT99=0.5,ER99=100),35,IF(AND(AU99=3,BB99&gt;75,CH99=0,CT99=0.5,ER99=100),25,IF(CB99&gt;1,0,IF(EF99&gt;EE99,0,IF(AND(AF99&gt;1,CH99=100),0,IF(AND(AF99=1,AY99=0),0,IF(AND(EF99&lt;=EE99,AW99&gt;=AZ99,'Data Entry'!$C$74=1,AU99=2),VLOOKUP(W99,$DO$96:$DP$102,2,FALSE),IF(AND(EF99&lt;=EE99,AW99&gt;=AZ99,AU99=3,'Data Entry'!$C$74=1),VLOOKUP(W99,$DO$127:$DP$134,2,FALSE))))))))))</f>
        <v>0</v>
      </c>
      <c r="CK99" s="716">
        <f t="shared" si="127"/>
        <v>0</v>
      </c>
      <c r="CL99" s="57">
        <f t="shared" si="128"/>
        <v>0</v>
      </c>
      <c r="CM99" s="475">
        <f t="shared" si="154"/>
        <v>0</v>
      </c>
      <c r="CN99" s="660">
        <f>IF(CM99&lt;0.1,0,IF(ISNA(AT99),0,IF(CL99+BC99=1,0,IF(BV99&gt;0.01,0,IF(CL99&gt;0.01,0,IF(CF99=1,0,IF(BC99=0.5,0,IF(AND(CI99=1,AU99=3),0,IF(AND(CI99=5,CL99=0),0,IF(AND(R99=12,BR99=50),0,IF(CK99&gt;0.01,0,IF(AND(AJ99&gt;0.01,AU99=2,BC99=15),CM99*0.1,IF(AND(AJ99&gt;0.01,AU99=3,BC99=15),CM99*0.08,IF(AND(R99=12,BC99=3,AF99&lt;=0),0,IF(AND(BC99=15,BI99=0),0,IF(AND(BC99=15,BJ99=0),0,IF(AND(R99=20,CU99=0),0,IF($X$4=0,0,IF(AND(BC99=250,CL99=0),0,IF(AA99&lt;1,0,IF(AND(ISNUMBER(SEARCH("Area",T99)),AU99=3),0,IF(AND(AQ99&gt;0.01,AR99=0,BK99=0,BL99=0,BM99=0,BN99=0),0,IF(AND(AU99=3,CI99=7,CT99&gt;0.5),0,IF(AND(BC99=44,AU99=3,BY99=0),0,IF(AND(BC99=27,'Data Entry'!$C$74=2),0,IF(AND(BC99=28,'Data Entry'!$C$74=2),0,IF(AND(BY99+BZ99+CA99&gt;0.01,BV99=0,EQ99+ER99+ES99+ET99&lt;100),0,IF(AU99=3,CM99*0.08,IF(AU99=2,CM99*0.1,0)))))))))))))))))))))))))))))</f>
        <v>0</v>
      </c>
      <c r="CO99" s="660">
        <f t="shared" si="129"/>
        <v>0</v>
      </c>
      <c r="CP99" s="475" t="str">
        <f t="shared" si="130"/>
        <v/>
      </c>
      <c r="CQ99" s="161" t="str">
        <f>IF(AH99=0,0,IF(AU99=5,0,Summary!AC102))</f>
        <v/>
      </c>
      <c r="CR99" s="161" t="str">
        <f>IF(BF99=0.5,0,IF(AU99=5,0,Summary!AD102))</f>
        <v/>
      </c>
      <c r="CS99" s="161" t="str">
        <f>IF(AU99=5,0,Summary!AE102)</f>
        <v/>
      </c>
      <c r="CT99" s="161">
        <f t="shared" si="131"/>
        <v>0</v>
      </c>
      <c r="CU99" s="475" t="str">
        <f t="shared" si="132"/>
        <v/>
      </c>
      <c r="CV99" s="307">
        <f>IF('Data Entry'!$C$74=0,0,IF(AA99&lt;1,0,IF(ISERROR(CU99),0,IF(CF99=1,0,IF(AND(R99=12,BR99=50),0,IF(CL99+BO99+BV99+DC99=0,0,IF(BC99=37,0,IF(AND(BC99=40,AJ99=0),0,IF(AND(BC99=37,BO99&gt;0.01,BQ99&gt;0.01),ROUND(BQ99,0),IF(CM99&lt;0,0,ROUND(CM99,0)))))))))))</f>
        <v>0</v>
      </c>
      <c r="CW99" s="700">
        <f t="shared" si="133"/>
        <v>0</v>
      </c>
      <c r="CX99" s="477">
        <f>IF('Data Entry'!$C$74=0,0,IF(CV99&lt;0.01,0,IF(BF99=0.5,0,IF(CF99=1,0,IF(ISNUMBER(SEARCH("false",CL99)),0,IF(AZ99=500,0,CL99))))))</f>
        <v>0</v>
      </c>
      <c r="CY99" s="147" t="e">
        <f t="shared" si="134"/>
        <v>#VALUE!</v>
      </c>
      <c r="CZ99" s="147" t="b">
        <f>IF(CN99+CL99=0,FALSE,IF(AH99=0,0,IF(AND('Data Entry'!$C$74=1,CR99&gt;=1),TRUE,IF(AND('Data Entry'!$C$74=2,CS99&gt;=1),TRUE,FALSE))))</f>
        <v>0</v>
      </c>
      <c r="DA99" s="1751">
        <f>IF('Data Entry'!$C$74=0,0,IFERROR(ROUND(IF(T99="","",IF($X$4=0,0,IF(CF99=1,0,IF(BQ99+CV99=0,0,IF(CF99=1,0,IF(CY99&gt;0.01,CY99,IF(CL99&gt;0.01,CL99,IF(CY99&gt;0.01,CY99,IF(BC99=37,BO99,IF(CZ99=FALSE,0,IF(CZ99=TRUE,DC99+DF99,0))))))))))),2),""))</f>
        <v>0</v>
      </c>
      <c r="DB99" s="1752"/>
      <c r="DC99" s="474">
        <f>IF(CN99&lt;0.01,0,IF(AND(BR99=3,CN99&gt;0.01,CT99&gt;0.6,ER99+ES99+ET99&lt;100),0,IF(AND('Data Entry'!$C$74=1,CN99&gt;0.01,CR99&gt;0.99),MIN(CN99:CO99),IF(AND('Data Entry'!$C$74=2,CN99&gt;0.01,CS99&gt;0.99),MIN(CN99:CO99),0))))</f>
        <v>0</v>
      </c>
      <c r="DD99" s="478">
        <f>IF(CF99=1,"Selection does not match",IF(T99=0,0,IF(AND('Data Entry'!$C$74=0,CP99&gt;1),"Select Oregon or Idaho on Data Entry Tab",IF(AND(AU99=1,AA99&gt;0.9),"Missing Interior or Exterior Selection",IF($X$4=0,"Enter Total Project Cost",IF(AQ99&lt;AR99,"Insufficient kWh savings – no incentive",IF(AND(SUM(CL99+CK99+BV99)&gt;0.01,'Data Entry'!$C$74=2,CJ99&gt;1,BO99=0),"Submit Control as Non-Standard",IF(AND('Data Entry'!$C$74=2,BR99=37,CJ99&gt;1,BO99=0),"Submit Control as Non-Standard",IF(SUM(CL99+CK99+BV99)&gt;0.01,"Standard Incentive",IF(AND('Data Entry'!$C$74=2,CP99=7,CN99=0),"Submit as Non-Standard",IF(DC99&gt;0.9,"Non-Standard Incentive",IF(AND(BY99+BZ99+CA99&gt;0.01,BV99=0,EQ99=0,ER99=0,ES99=0,ET99=0),"Scroll Right &amp; Select Control Strategies",IF(AND(CN99&gt;0.01,CO99=0),"Enter Unit Installed Cost",IF(ISNUMBER(SEARCH("Lighting Controls Only",F99)),"Lighting Controls Only",IF(CL99+DC99=0,"Does not meet incentive criteria",0)))))))))))))))</f>
        <v>0</v>
      </c>
      <c r="DE99" s="337">
        <f t="shared" si="135"/>
        <v>0</v>
      </c>
      <c r="DF99" s="609">
        <f t="shared" si="136"/>
        <v>0</v>
      </c>
      <c r="DG99" s="336" t="str">
        <f t="shared" si="137"/>
        <v/>
      </c>
      <c r="DH99" s="338">
        <f t="shared" si="138"/>
        <v>1</v>
      </c>
      <c r="DI99" s="336" t="e">
        <f t="shared" si="90"/>
        <v>#VALUE!</v>
      </c>
      <c r="DJ99" s="338">
        <f t="shared" si="91"/>
        <v>0</v>
      </c>
      <c r="DK99" s="326" t="s">
        <v>117</v>
      </c>
      <c r="DL99" s="341">
        <v>276</v>
      </c>
      <c r="DM99" s="325" t="s">
        <v>94</v>
      </c>
      <c r="DN99" s="1439"/>
      <c r="DO99" s="1444" t="s">
        <v>1763</v>
      </c>
      <c r="DP99" s="344">
        <v>30</v>
      </c>
      <c r="DQ99" s="331"/>
      <c r="DR99" s="1332"/>
      <c r="DS99" s="1195">
        <f t="shared" si="139"/>
        <v>0</v>
      </c>
      <c r="DT99" s="344" t="b">
        <f t="shared" si="140"/>
        <v>1</v>
      </c>
      <c r="DU99" s="1314" t="str">
        <f t="array" ref="DU99">IF(OR(COUNTIF(F99,"*"&amp;$DK$9:$DK$178&amp;"*")), "Yes", "")</f>
        <v/>
      </c>
      <c r="DV99" s="1314">
        <f t="shared" si="141"/>
        <v>0</v>
      </c>
      <c r="DW99" s="1480">
        <f t="shared" si="142"/>
        <v>0</v>
      </c>
      <c r="DX99" s="1498">
        <f t="shared" si="151"/>
        <v>0</v>
      </c>
      <c r="DY99" s="1484">
        <f t="shared" si="143"/>
        <v>0</v>
      </c>
      <c r="DZ99" s="375"/>
      <c r="EA99" s="392"/>
      <c r="EB99" s="1499" t="s">
        <v>73</v>
      </c>
      <c r="EC99" s="727" t="s">
        <v>1568</v>
      </c>
      <c r="ED99" s="728">
        <v>0.5</v>
      </c>
      <c r="EE99" s="1215"/>
      <c r="EF99" s="1215"/>
      <c r="EG99" s="1184" t="str">
        <f t="shared" si="144"/>
        <v/>
      </c>
      <c r="EH99" s="55"/>
      <c r="EI99" s="55"/>
      <c r="EJ99" s="1185">
        <f t="shared" si="92"/>
        <v>0</v>
      </c>
      <c r="EK99" s="1211"/>
      <c r="EL99" s="1180">
        <f t="shared" si="93"/>
        <v>0</v>
      </c>
      <c r="EM99" s="207"/>
      <c r="EN99" s="1038"/>
      <c r="EO99" s="1038"/>
      <c r="EP99" s="1038"/>
      <c r="EQ99" s="1038">
        <f t="shared" si="145"/>
        <v>0</v>
      </c>
      <c r="ER99" s="1041">
        <f t="shared" si="146"/>
        <v>0</v>
      </c>
      <c r="ES99" s="1042">
        <f t="shared" si="147"/>
        <v>0</v>
      </c>
      <c r="ET99" s="1042">
        <f t="shared" si="152"/>
        <v>0</v>
      </c>
      <c r="EU99" s="1021">
        <f t="shared" si="153"/>
        <v>0</v>
      </c>
      <c r="EV99" s="368"/>
      <c r="EW99" s="368"/>
      <c r="EX99" s="369"/>
      <c r="EY99" s="370"/>
      <c r="EZ99" s="370"/>
      <c r="FA99" s="371"/>
      <c r="FB99" s="372"/>
    </row>
    <row r="100" spans="1:158" ht="34.5" customHeight="1">
      <c r="A100" s="82">
        <v>92</v>
      </c>
      <c r="B100" s="1725"/>
      <c r="C100" s="1726"/>
      <c r="D100" s="1726"/>
      <c r="E100" s="1727"/>
      <c r="F100" s="1732"/>
      <c r="G100" s="1733"/>
      <c r="H100" s="1733"/>
      <c r="I100" s="1734"/>
      <c r="J100" s="1341"/>
      <c r="K100" s="1728"/>
      <c r="L100" s="1728"/>
      <c r="M100" s="1342"/>
      <c r="N100" s="1583"/>
      <c r="O100" s="208" t="str">
        <f t="shared" si="80"/>
        <v/>
      </c>
      <c r="P100" s="785"/>
      <c r="Q100" s="39" t="str">
        <f t="shared" si="81"/>
        <v/>
      </c>
      <c r="R100" s="39">
        <f t="shared" si="94"/>
        <v>0</v>
      </c>
      <c r="S100" s="234">
        <f t="shared" si="95"/>
        <v>0</v>
      </c>
      <c r="T100" s="1755"/>
      <c r="U100" s="1755"/>
      <c r="V100" s="1755"/>
      <c r="W100" s="1345"/>
      <c r="X100" s="1741"/>
      <c r="Y100" s="1742"/>
      <c r="Z100" s="1346"/>
      <c r="AA100" s="1343"/>
      <c r="AB100" s="1141"/>
      <c r="AC100" s="1103" t="str">
        <f>IF(T100="","",VLOOKUP(Z100,Lists!$A$60:$B$111,2,FALSE))</f>
        <v/>
      </c>
      <c r="AD100" s="130" t="str">
        <f t="shared" si="96"/>
        <v/>
      </c>
      <c r="AE100" s="130" t="e">
        <f t="shared" si="97"/>
        <v>#VALUE!</v>
      </c>
      <c r="AF100" s="130">
        <f t="shared" si="98"/>
        <v>1</v>
      </c>
      <c r="AG100" s="234">
        <f t="shared" si="82"/>
        <v>0</v>
      </c>
      <c r="AH100" s="1753" t="str">
        <f>IF(T100="","",(IF(ISNUMBER(SEARCH("exit",T100)),8760,IF(AND(M100="Dusk to Dawn",'Proposed Lighting'!AU100=3),4059,IF(AND(AU100=3,M100="1"),0,IF(AND(AU100=3,M100="1-C"),0,IF(AND(AU100=3,M100="2"),0,IF(AND(AU100=3,M100="2-C"),0,IF(AND(AU100=3,M100="3"),0,IF(AND(AU100=3,M100="3-C"),0,IF(AND(AU100=2,M100="Dusk to Dawn"),0,IF(AND(AU100=2,M100="Dusk to Dawn-C"),0,IF(AND(AU100=2,M100="Dusk to Dawn"),0,IF(AND(AU100=2,M100="E"),0,IF(AND(AU100=2,M100="E-C"),0,EG100)))))))))))))))</f>
        <v/>
      </c>
      <c r="AI100" s="1754"/>
      <c r="AJ100" s="1136"/>
      <c r="AK100" s="1136"/>
      <c r="AL100" s="1748">
        <f t="shared" si="99"/>
        <v>0</v>
      </c>
      <c r="AM100" s="1749"/>
      <c r="AN100" s="1750"/>
      <c r="AO100" s="476">
        <f t="shared" si="83"/>
        <v>0</v>
      </c>
      <c r="AP100" s="476">
        <f t="shared" si="100"/>
        <v>0</v>
      </c>
      <c r="AQ100" s="475">
        <f t="shared" si="84"/>
        <v>0</v>
      </c>
      <c r="AR100" s="475">
        <f t="shared" si="101"/>
        <v>0</v>
      </c>
      <c r="AS100" s="743" t="str">
        <f t="shared" si="156"/>
        <v/>
      </c>
      <c r="AT100" s="736" t="str">
        <f t="shared" si="102"/>
        <v/>
      </c>
      <c r="AU100" s="56">
        <f t="shared" si="103"/>
        <v>1</v>
      </c>
      <c r="AV100" s="476">
        <f t="shared" si="104"/>
        <v>0</v>
      </c>
      <c r="AW100" s="56">
        <f t="shared" si="105"/>
        <v>0</v>
      </c>
      <c r="AX100" s="475">
        <f t="shared" si="85"/>
        <v>0</v>
      </c>
      <c r="AY100" s="1169">
        <f t="shared" si="106"/>
        <v>0</v>
      </c>
      <c r="AZ100" s="1150">
        <f t="shared" si="148"/>
        <v>0</v>
      </c>
      <c r="BA100" s="56">
        <f t="shared" si="86"/>
        <v>0</v>
      </c>
      <c r="BB100" s="420">
        <f t="shared" si="87"/>
        <v>0</v>
      </c>
      <c r="BC100" s="58" t="str">
        <f t="shared" si="88"/>
        <v/>
      </c>
      <c r="BD100" s="660">
        <f t="shared" si="149"/>
        <v>0</v>
      </c>
      <c r="BE100" s="57" t="e">
        <f t="array" ref="BE100">INDEX($EB$11:$ED$1022,MATCH(F100&amp;T100,$EB$11:$EB$1007&amp;$EC$11:$EC$1007,0),3)</f>
        <v>#N/A</v>
      </c>
      <c r="BF100" s="463">
        <f t="shared" si="107"/>
        <v>0</v>
      </c>
      <c r="BG100" s="1445" t="e">
        <f t="array" ref="BG100">INDEX($DO$112:$DQ$123,MATCH(T100&amp;W100,$DO$114:$DO$125&amp;$DP$112:$DP$123,0),3)</f>
        <v>#N/A</v>
      </c>
      <c r="BH100" s="1446">
        <f t="shared" si="108"/>
        <v>0</v>
      </c>
      <c r="BI100" s="465">
        <f t="shared" si="109"/>
        <v>0</v>
      </c>
      <c r="BJ100" s="465">
        <f t="shared" si="110"/>
        <v>0</v>
      </c>
      <c r="BK100" s="466">
        <f t="shared" si="111"/>
        <v>0</v>
      </c>
      <c r="BL100" s="466">
        <f t="shared" si="112"/>
        <v>0</v>
      </c>
      <c r="BM100" s="466">
        <f t="shared" si="113"/>
        <v>0</v>
      </c>
      <c r="BN100" s="466">
        <f t="shared" si="114"/>
        <v>0</v>
      </c>
      <c r="BO100" s="463">
        <f>IF('Data Entry'!$C$74=0,0,IF(ISNA(CJ100),0,IF(AX100=0,0,IF(AND('Data Entry'!$C$74=2,AF100&gt;2,CE100&lt;1),0,IF(AND('Data Entry'!$C$74=2,AF100&gt;1,AU100=2,CJ100&gt;1),0,IF(AND(AF100=5,CT100=0.5,AU100=2,ER100&lt;100),0,IF(AND(AF100=5,CT100=0.5,AU100=3,ER100&lt;100),0,IF(AND('Data Entry'!$C$74=2,AF100=2,AU100=2,AK100&gt;0.01,CB100=2,CE100&lt;1),0,IF(AND('Data Entry'!$C$74=2,AF100=3,AU100=3,AK100&gt;0.01,CB100=3,CE100&lt;1),0,IF(AND('Data Entry'!$C$74=2,AF100=3,AU100=3,AK100&gt;0.01,CB100=3,CE100&gt;0.99),BQ100*0.08,IF(AND('Data Entry'!$C$74=2,AF100=2,AU100=2,AK100&gt;0.01,CB100=2,CE100&gt;0.99),BQ100*0.1,IF(AND(AU100=2,AK100&gt;0.01,CB100=2,CD100&gt;1),BQ100*0.1,IF(AND(AU100=3,AK100&gt;0.01,CB100=3,CD100&gt;1),BQ100*0.08,CJ100*EF100)))))))))))))</f>
        <v>0</v>
      </c>
      <c r="BP100" s="475">
        <f t="shared" si="115"/>
        <v>0</v>
      </c>
      <c r="BQ100" s="1431">
        <f>IF(AU100=1,0,IF(CH100=100,0,IF(AND(AF100=3,AU100=2),0,IF(AND(BH100=0,CT100&gt;0.4),0,IF(AND('Data Entry'!$C$74=2,AF100=1.5),0,IF(AND('Data Entry'!$C$74=2,AF100=1.6),0,IF(AND('Data Entry'!$C$74=2,AF100=4),0,IF(AND('Data Entry'!$C$74=2,AF100=5),0,IF(AND('Data Entry'!$C$74=2,AF100=2.5,CE100&lt;1),0,IF(AND('Data Entry'!$C$74=2,AF100=3,CE100&lt;1),0,IF(AND('Data Entry'!$C$74=1,AF100=2.5,CD100&lt;1),0,IF(AND('Data Entry'!$C$74=1,AF100=3,CD100&lt;1),0,IF(DX100&gt;0.01,DX100,IF(ISERROR(AX100-AY100),"",ROUND(AX100-AY100,2)))))))))))))))</f>
        <v>0</v>
      </c>
      <c r="BR100" s="146">
        <f t="shared" si="116"/>
        <v>0</v>
      </c>
      <c r="BS100" s="475">
        <f t="shared" si="117"/>
        <v>0</v>
      </c>
      <c r="BT100" s="146" t="b">
        <f t="shared" si="118"/>
        <v>0</v>
      </c>
      <c r="BU100" s="463">
        <f>IF(ISNA(AT100),0,IF(AND('Data Entry'!$C$74=2,BC100=27),0,IF(AND('Data Entry'!$C$74=2,BC100=28),0,IF(AND(BC100=27,BT100=27,CM100&gt;0.1),CM100*0.15,IF(AND(BC100=28,BT100=28,CM100&gt;0.1),CM100*0.12,0)))))</f>
        <v>0</v>
      </c>
      <c r="BV100" s="463">
        <f t="shared" si="155"/>
        <v>0</v>
      </c>
      <c r="BW100" s="463">
        <f t="shared" si="119"/>
        <v>0</v>
      </c>
      <c r="BX100" s="463">
        <f t="shared" si="120"/>
        <v>0</v>
      </c>
      <c r="BY100" s="463">
        <f t="shared" si="121"/>
        <v>0</v>
      </c>
      <c r="BZ100" s="463">
        <f t="shared" si="122"/>
        <v>0</v>
      </c>
      <c r="CA100" s="57">
        <f t="shared" si="150"/>
        <v>0</v>
      </c>
      <c r="CB100" s="56">
        <f t="shared" si="123"/>
        <v>1</v>
      </c>
      <c r="CC100" s="756">
        <f>IF(EE100=0,0,IF(EF100=0,0,IF(EE100&gt;AA100,0,IF(AND(AZ100&gt;AW100,AW100&gt;0),0,IF(CU100=0,0,Summary!AC403)))))</f>
        <v>0</v>
      </c>
      <c r="CD100" s="756">
        <f>IF(EE100=0,0,IF(EF100=0,0,IF(EE100&gt;AA100,0,IF(AND(AZ100&gt;AW100,AW100&gt;0),0,IF(CU100=0,0,Summary!AD403)))))</f>
        <v>0</v>
      </c>
      <c r="CE100" s="756">
        <f>IF(EF100=0,0,IF(EE100&gt;AA100,0,IF(CC100=0,0,IF(AND(AZ100&gt;AW100,AW100&gt;0),0,IF(CU100=0,0,Summary!AE403)))))</f>
        <v>0</v>
      </c>
      <c r="CF100" s="475">
        <f t="shared" si="124"/>
        <v>0</v>
      </c>
      <c r="CG100" s="476">
        <f t="shared" si="89"/>
        <v>0</v>
      </c>
      <c r="CH100" s="487">
        <f t="shared" si="125"/>
        <v>0</v>
      </c>
      <c r="CI100" s="756">
        <f t="shared" si="126"/>
        <v>0</v>
      </c>
      <c r="CJ100" s="487">
        <f>IF(CT100&gt;0.4,0,IF(AND(AU100=2,CH100=0,CT100=0.5,ER100=100),35,IF(AND(AU100=3,BB100&gt;75,CH100=0,CT100=0.5,ER100=100),25,IF(CB100&gt;1,0,IF(EF100&gt;EE100,0,IF(AND(AF100&gt;1,CH100=100),0,IF(AND(AF100=1,AY100=0),0,IF(AND(EF100&lt;=EE100,AW100&gt;=AZ100,'Data Entry'!$C$74=1,AU100=2),VLOOKUP(W100,$DO$96:$DP$102,2,FALSE),IF(AND(EF100&lt;=EE100,AW100&gt;=AZ100,AU100=3,'Data Entry'!$C$74=1),VLOOKUP(W100,$DO$127:$DP$134,2,FALSE))))))))))</f>
        <v>0</v>
      </c>
      <c r="CK100" s="716">
        <f t="shared" si="127"/>
        <v>0</v>
      </c>
      <c r="CL100" s="57">
        <f t="shared" si="128"/>
        <v>0</v>
      </c>
      <c r="CM100" s="475">
        <f t="shared" si="154"/>
        <v>0</v>
      </c>
      <c r="CN100" s="660">
        <f>IF(CM100&lt;0.1,0,IF(ISNA(AT100),0,IF(CL100+BC100=1,0,IF(BV100&gt;0.01,0,IF(CL100&gt;0.01,0,IF(CF100=1,0,IF(BC100=0.5,0,IF(AND(CI100=1,AU100=3),0,IF(AND(CI100=5,CL100=0),0,IF(AND(R100=12,BR100=50),0,IF(CK100&gt;0.01,0,IF(AND(AJ100&gt;0.01,AU100=2,BC100=15),CM100*0.1,IF(AND(AJ100&gt;0.01,AU100=3,BC100=15),CM100*0.08,IF(AND(R100=12,BC100=3,AF100&lt;=0),0,IF(AND(BC100=15,BI100=0),0,IF(AND(BC100=15,BJ100=0),0,IF(AND(R100=20,CU100=0),0,IF($X$4=0,0,IF(AND(BC100=250,CL100=0),0,IF(AA100&lt;1,0,IF(AND(ISNUMBER(SEARCH("Area",T100)),AU100=3),0,IF(AND(AQ100&gt;0.01,AR100=0,BK100=0,BL100=0,BM100=0,BN100=0),0,IF(AND(AU100=3,CI100=7,CT100&gt;0.5),0,IF(AND(BC100=44,AU100=3,BY100=0),0,IF(AND(BC100=27,'Data Entry'!$C$74=2),0,IF(AND(BC100=28,'Data Entry'!$C$74=2),0,IF(AND(BY100+BZ100+CA100&gt;0.01,BV100=0,EQ100+ER100+ES100+ET100&lt;100),0,IF(AU100=3,CM100*0.08,IF(AU100=2,CM100*0.1,0)))))))))))))))))))))))))))))</f>
        <v>0</v>
      </c>
      <c r="CO100" s="660">
        <f t="shared" si="129"/>
        <v>0</v>
      </c>
      <c r="CP100" s="475" t="str">
        <f t="shared" si="130"/>
        <v/>
      </c>
      <c r="CQ100" s="161" t="str">
        <f>IF(AH100=0,0,IF(AU100=5,0,Summary!AC103))</f>
        <v/>
      </c>
      <c r="CR100" s="161" t="str">
        <f>IF(BF100=0.5,0,IF(AU100=5,0,Summary!AD103))</f>
        <v/>
      </c>
      <c r="CS100" s="161" t="str">
        <f>IF(AU100=5,0,Summary!AE103)</f>
        <v/>
      </c>
      <c r="CT100" s="161">
        <f t="shared" si="131"/>
        <v>0</v>
      </c>
      <c r="CU100" s="475" t="str">
        <f t="shared" si="132"/>
        <v/>
      </c>
      <c r="CV100" s="307">
        <f>IF('Data Entry'!$C$74=0,0,IF(AA100&lt;1,0,IF(ISERROR(CU100),0,IF(CF100=1,0,IF(AND(R100=12,BR100=50),0,IF(CL100+BO100+BV100+DC100=0,0,IF(BC100=37,0,IF(AND(BC100=40,AJ100=0),0,IF(AND(BC100=37,BO100&gt;0.01,BQ100&gt;0.01),ROUND(BQ100,0),IF(CM100&lt;0,0,ROUND(CM100,0)))))))))))</f>
        <v>0</v>
      </c>
      <c r="CW100" s="700">
        <f t="shared" si="133"/>
        <v>0</v>
      </c>
      <c r="CX100" s="477">
        <f>IF('Data Entry'!$C$74=0,0,IF(CV100&lt;0.01,0,IF(BF100=0.5,0,IF(CF100=1,0,IF(ISNUMBER(SEARCH("false",CL100)),0,IF(AZ100=500,0,CL100))))))</f>
        <v>0</v>
      </c>
      <c r="CY100" s="147" t="e">
        <f t="shared" si="134"/>
        <v>#VALUE!</v>
      </c>
      <c r="CZ100" s="147" t="b">
        <f>IF(CN100+CL100=0,FALSE,IF(AH100=0,0,IF(AND('Data Entry'!$C$74=1,CR100&gt;=1),TRUE,IF(AND('Data Entry'!$C$74=2,CS100&gt;=1),TRUE,FALSE))))</f>
        <v>0</v>
      </c>
      <c r="DA100" s="1751">
        <f>IF('Data Entry'!$C$74=0,0,IFERROR(ROUND(IF(T100="","",IF($X$4=0,0,IF(CF100=1,0,IF(BQ100+CV100=0,0,IF(CF100=1,0,IF(CY100&gt;0.01,CY100,IF(CL100&gt;0.01,CL100,IF(CY100&gt;0.01,CY100,IF(BC100=37,BO100,IF(CZ100=FALSE,0,IF(CZ100=TRUE,DC100+DF100,0))))))))))),2),""))</f>
        <v>0</v>
      </c>
      <c r="DB100" s="1752"/>
      <c r="DC100" s="474">
        <f>IF(CN100&lt;0.01,0,IF(AND(BR100=3,CN100&gt;0.01,CT100&gt;0.6,ER100+ES100+ET100&lt;100),0,IF(AND('Data Entry'!$C$74=1,CN100&gt;0.01,CR100&gt;0.99),MIN(CN100:CO100),IF(AND('Data Entry'!$C$74=2,CN100&gt;0.01,CS100&gt;0.99),MIN(CN100:CO100),0))))</f>
        <v>0</v>
      </c>
      <c r="DD100" s="478">
        <f>IF(CF100=1,"Selection does not match",IF(T100=0,0,IF(AND('Data Entry'!$C$74=0,CP100&gt;1),"Select Oregon or Idaho on Data Entry Tab",IF(AND(AU100=1,AA100&gt;0.9),"Missing Interior or Exterior Selection",IF($X$4=0,"Enter Total Project Cost",IF(AQ100&lt;AR100,"Insufficient kWh savings – no incentive",IF(AND(SUM(CL100+CK100+BV100)&gt;0.01,'Data Entry'!$C$74=2,CJ100&gt;1,BO100=0),"Submit Control as Non-Standard",IF(AND('Data Entry'!$C$74=2,BR100=37,CJ100&gt;1,BO100=0),"Submit Control as Non-Standard",IF(SUM(CL100+CK100+BV100)&gt;0.01,"Standard Incentive",IF(AND('Data Entry'!$C$74=2,CP100=7,CN100=0),"Submit as Non-Standard",IF(DC100&gt;0.9,"Non-Standard Incentive",IF(AND(BY100+BZ100+CA100&gt;0.01,BV100=0,EQ100=0,ER100=0,ES100=0,ET100=0),"Scroll Right &amp; Select Control Strategies",IF(AND(CN100&gt;0.01,CO100=0),"Enter Unit Installed Cost",IF(ISNUMBER(SEARCH("Lighting Controls Only",F100)),"Lighting Controls Only",IF(CL100+DC100=0,"Does not meet incentive criteria",0)))))))))))))))</f>
        <v>0</v>
      </c>
      <c r="DE100" s="337">
        <f t="shared" si="135"/>
        <v>0</v>
      </c>
      <c r="DF100" s="609">
        <f t="shared" si="136"/>
        <v>0</v>
      </c>
      <c r="DG100" s="336" t="str">
        <f t="shared" si="137"/>
        <v/>
      </c>
      <c r="DH100" s="338">
        <f t="shared" si="138"/>
        <v>1</v>
      </c>
      <c r="DI100" s="336" t="e">
        <f t="shared" si="90"/>
        <v>#VALUE!</v>
      </c>
      <c r="DJ100" s="338">
        <f t="shared" si="91"/>
        <v>0</v>
      </c>
      <c r="DK100" s="325" t="s">
        <v>118</v>
      </c>
      <c r="DL100" s="341">
        <v>125</v>
      </c>
      <c r="DM100" s="325" t="s">
        <v>95</v>
      </c>
      <c r="DN100" s="1439"/>
      <c r="DO100" s="1444" t="s">
        <v>1764</v>
      </c>
      <c r="DP100" s="344">
        <v>25</v>
      </c>
      <c r="DQ100" s="331"/>
      <c r="DR100" s="1332"/>
      <c r="DS100" s="1195">
        <f t="shared" si="139"/>
        <v>0</v>
      </c>
      <c r="DT100" s="344" t="b">
        <f t="shared" si="140"/>
        <v>1</v>
      </c>
      <c r="DU100" s="1314" t="str">
        <f t="array" ref="DU100">IF(OR(COUNTIF(F100,"*"&amp;$DK$9:$DK$178&amp;"*")), "Yes", "")</f>
        <v/>
      </c>
      <c r="DV100" s="1314">
        <f t="shared" si="141"/>
        <v>0</v>
      </c>
      <c r="DW100" s="1480">
        <f t="shared" si="142"/>
        <v>0</v>
      </c>
      <c r="DX100" s="1498">
        <f t="shared" si="151"/>
        <v>0</v>
      </c>
      <c r="DY100" s="1484">
        <f t="shared" si="143"/>
        <v>0</v>
      </c>
      <c r="DZ100" s="331"/>
      <c r="EA100" s="392"/>
      <c r="EB100" s="1499" t="s">
        <v>114</v>
      </c>
      <c r="EC100" s="727" t="s">
        <v>1568</v>
      </c>
      <c r="ED100" s="728">
        <v>0.5</v>
      </c>
      <c r="EE100" s="1215"/>
      <c r="EF100" s="1215"/>
      <c r="EG100" s="1184" t="str">
        <f t="shared" si="144"/>
        <v/>
      </c>
      <c r="EH100" s="55"/>
      <c r="EI100" s="55"/>
      <c r="EJ100" s="1185">
        <f t="shared" si="92"/>
        <v>0</v>
      </c>
      <c r="EK100" s="1211"/>
      <c r="EL100" s="1180">
        <f t="shared" si="93"/>
        <v>0</v>
      </c>
      <c r="EM100" s="207"/>
      <c r="EN100" s="1038"/>
      <c r="EO100" s="1038"/>
      <c r="EP100" s="1038"/>
      <c r="EQ100" s="1038">
        <f t="shared" si="145"/>
        <v>0</v>
      </c>
      <c r="ER100" s="1041">
        <f t="shared" si="146"/>
        <v>0</v>
      </c>
      <c r="ES100" s="1042">
        <f t="shared" si="147"/>
        <v>0</v>
      </c>
      <c r="ET100" s="1042">
        <f t="shared" si="152"/>
        <v>0</v>
      </c>
      <c r="EU100" s="1021">
        <f t="shared" si="153"/>
        <v>0</v>
      </c>
      <c r="EV100" s="368"/>
      <c r="EW100" s="368"/>
      <c r="EX100" s="369"/>
      <c r="EY100" s="370"/>
      <c r="EZ100" s="370"/>
      <c r="FA100" s="371"/>
      <c r="FB100" s="372"/>
    </row>
    <row r="101" spans="1:158" ht="34.5" customHeight="1">
      <c r="A101" s="82">
        <v>93</v>
      </c>
      <c r="B101" s="1725"/>
      <c r="C101" s="1726"/>
      <c r="D101" s="1726"/>
      <c r="E101" s="1727"/>
      <c r="F101" s="1732"/>
      <c r="G101" s="1733"/>
      <c r="H101" s="1733"/>
      <c r="I101" s="1734"/>
      <c r="J101" s="1341"/>
      <c r="K101" s="1728"/>
      <c r="L101" s="1728"/>
      <c r="M101" s="1342"/>
      <c r="N101" s="1583"/>
      <c r="O101" s="208" t="str">
        <f t="shared" si="80"/>
        <v/>
      </c>
      <c r="P101" s="785"/>
      <c r="Q101" s="39" t="str">
        <f t="shared" si="81"/>
        <v/>
      </c>
      <c r="R101" s="39">
        <f t="shared" si="94"/>
        <v>0</v>
      </c>
      <c r="S101" s="234">
        <f t="shared" si="95"/>
        <v>0</v>
      </c>
      <c r="T101" s="1755"/>
      <c r="U101" s="1755"/>
      <c r="V101" s="1755"/>
      <c r="W101" s="1345"/>
      <c r="X101" s="1741"/>
      <c r="Y101" s="1742"/>
      <c r="Z101" s="1346"/>
      <c r="AA101" s="1343"/>
      <c r="AB101" s="1141"/>
      <c r="AC101" s="1103" t="str">
        <f>IF(T101="","",VLOOKUP(Z101,Lists!$A$60:$B$111,2,FALSE))</f>
        <v/>
      </c>
      <c r="AD101" s="130" t="str">
        <f t="shared" si="96"/>
        <v/>
      </c>
      <c r="AE101" s="130" t="e">
        <f t="shared" si="97"/>
        <v>#VALUE!</v>
      </c>
      <c r="AF101" s="130">
        <f t="shared" si="98"/>
        <v>1</v>
      </c>
      <c r="AG101" s="234">
        <f t="shared" si="82"/>
        <v>0</v>
      </c>
      <c r="AH101" s="1753" t="str">
        <f>IF(T101="","",(IF(ISNUMBER(SEARCH("exit",T101)),8760,IF(AND(M101="Dusk to Dawn",'Proposed Lighting'!AU101=3),4059,IF(AND(AU101=3,M101="1"),0,IF(AND(AU101=3,M101="1-C"),0,IF(AND(AU101=3,M101="2"),0,IF(AND(AU101=3,M101="2-C"),0,IF(AND(AU101=3,M101="3"),0,IF(AND(AU101=3,M101="3-C"),0,IF(AND(AU101=2,M101="Dusk to Dawn"),0,IF(AND(AU101=2,M101="Dusk to Dawn-C"),0,IF(AND(AU101=2,M101="Dusk to Dawn"),0,IF(AND(AU101=2,M101="E"),0,IF(AND(AU101=2,M101="E-C"),0,EG101)))))))))))))))</f>
        <v/>
      </c>
      <c r="AI101" s="1754"/>
      <c r="AJ101" s="1136"/>
      <c r="AK101" s="1136"/>
      <c r="AL101" s="1748">
        <f t="shared" si="99"/>
        <v>0</v>
      </c>
      <c r="AM101" s="1749"/>
      <c r="AN101" s="1750"/>
      <c r="AO101" s="476">
        <f t="shared" si="83"/>
        <v>0</v>
      </c>
      <c r="AP101" s="476">
        <f t="shared" si="100"/>
        <v>0</v>
      </c>
      <c r="AQ101" s="475">
        <f t="shared" si="84"/>
        <v>0</v>
      </c>
      <c r="AR101" s="475">
        <f t="shared" si="101"/>
        <v>0</v>
      </c>
      <c r="AS101" s="743" t="str">
        <f t="shared" si="156"/>
        <v/>
      </c>
      <c r="AT101" s="736" t="str">
        <f t="shared" si="102"/>
        <v/>
      </c>
      <c r="AU101" s="56">
        <f t="shared" si="103"/>
        <v>1</v>
      </c>
      <c r="AV101" s="476">
        <f t="shared" si="104"/>
        <v>0</v>
      </c>
      <c r="AW101" s="56">
        <f t="shared" si="105"/>
        <v>0</v>
      </c>
      <c r="AX101" s="475">
        <f t="shared" si="85"/>
        <v>0</v>
      </c>
      <c r="AY101" s="1169">
        <f t="shared" si="106"/>
        <v>0</v>
      </c>
      <c r="AZ101" s="1150">
        <f t="shared" si="148"/>
        <v>0</v>
      </c>
      <c r="BA101" s="56">
        <f t="shared" si="86"/>
        <v>0</v>
      </c>
      <c r="BB101" s="420">
        <f t="shared" si="87"/>
        <v>0</v>
      </c>
      <c r="BC101" s="58" t="str">
        <f t="shared" si="88"/>
        <v/>
      </c>
      <c r="BD101" s="660">
        <f t="shared" si="149"/>
        <v>0</v>
      </c>
      <c r="BE101" s="57" t="e">
        <f t="array" ref="BE101">INDEX($EB$11:$ED$1022,MATCH(F101&amp;T101,$EB$11:$EB$1007&amp;$EC$11:$EC$1007,0),3)</f>
        <v>#N/A</v>
      </c>
      <c r="BF101" s="463">
        <f t="shared" si="107"/>
        <v>0</v>
      </c>
      <c r="BG101" s="1445" t="e">
        <f t="array" ref="BG101">INDEX($DO$112:$DQ$123,MATCH(T101&amp;W101,$DO$114:$DO$125&amp;$DP$112:$DP$123,0),3)</f>
        <v>#N/A</v>
      </c>
      <c r="BH101" s="1446">
        <f t="shared" si="108"/>
        <v>0</v>
      </c>
      <c r="BI101" s="465">
        <f t="shared" si="109"/>
        <v>0</v>
      </c>
      <c r="BJ101" s="465">
        <f t="shared" si="110"/>
        <v>0</v>
      </c>
      <c r="BK101" s="466">
        <f t="shared" si="111"/>
        <v>0</v>
      </c>
      <c r="BL101" s="466">
        <f t="shared" si="112"/>
        <v>0</v>
      </c>
      <c r="BM101" s="466">
        <f t="shared" si="113"/>
        <v>0</v>
      </c>
      <c r="BN101" s="466">
        <f t="shared" si="114"/>
        <v>0</v>
      </c>
      <c r="BO101" s="463">
        <f>IF('Data Entry'!$C$74=0,0,IF(ISNA(CJ101),0,IF(AX101=0,0,IF(AND('Data Entry'!$C$74=2,AF101&gt;2,CE101&lt;1),0,IF(AND('Data Entry'!$C$74=2,AF101&gt;1,AU101=2,CJ101&gt;1),0,IF(AND(AF101=5,CT101=0.5,AU101=2,ER101&lt;100),0,IF(AND(AF101=5,CT101=0.5,AU101=3,ER101&lt;100),0,IF(AND('Data Entry'!$C$74=2,AF101=2,AU101=2,AK101&gt;0.01,CB101=2,CE101&lt;1),0,IF(AND('Data Entry'!$C$74=2,AF101=3,AU101=3,AK101&gt;0.01,CB101=3,CE101&lt;1),0,IF(AND('Data Entry'!$C$74=2,AF101=3,AU101=3,AK101&gt;0.01,CB101=3,CE101&gt;0.99),BQ101*0.08,IF(AND('Data Entry'!$C$74=2,AF101=2,AU101=2,AK101&gt;0.01,CB101=2,CE101&gt;0.99),BQ101*0.1,IF(AND(AU101=2,AK101&gt;0.01,CB101=2,CD101&gt;1),BQ101*0.1,IF(AND(AU101=3,AK101&gt;0.01,CB101=3,CD101&gt;1),BQ101*0.08,CJ101*EF101)))))))))))))</f>
        <v>0</v>
      </c>
      <c r="BP101" s="475">
        <f t="shared" si="115"/>
        <v>0</v>
      </c>
      <c r="BQ101" s="1431">
        <f>IF(AU101=1,0,IF(CH101=100,0,IF(AND(AF101=3,AU101=2),0,IF(AND(BH101=0,CT101&gt;0.4),0,IF(AND('Data Entry'!$C$74=2,AF101=1.5),0,IF(AND('Data Entry'!$C$74=2,AF101=1.6),0,IF(AND('Data Entry'!$C$74=2,AF101=4),0,IF(AND('Data Entry'!$C$74=2,AF101=5),0,IF(AND('Data Entry'!$C$74=2,AF101=2.5,CE101&lt;1),0,IF(AND('Data Entry'!$C$74=2,AF101=3,CE101&lt;1),0,IF(AND('Data Entry'!$C$74=1,AF101=2.5,CD101&lt;1),0,IF(AND('Data Entry'!$C$74=1,AF101=3,CD101&lt;1),0,IF(DX101&gt;0.01,DX101,IF(ISERROR(AX101-AY101),"",ROUND(AX101-AY101,2)))))))))))))))</f>
        <v>0</v>
      </c>
      <c r="BR101" s="146">
        <f t="shared" si="116"/>
        <v>0</v>
      </c>
      <c r="BS101" s="475">
        <f t="shared" si="117"/>
        <v>0</v>
      </c>
      <c r="BT101" s="146" t="b">
        <f t="shared" si="118"/>
        <v>0</v>
      </c>
      <c r="BU101" s="463">
        <f>IF(ISNA(AT101),0,IF(AND('Data Entry'!$C$74=2,BC101=27),0,IF(AND('Data Entry'!$C$74=2,BC101=28),0,IF(AND(BC101=27,BT101=27,CM101&gt;0.1),CM101*0.15,IF(AND(BC101=28,BT101=28,CM101&gt;0.1),CM101*0.12,0)))))</f>
        <v>0</v>
      </c>
      <c r="BV101" s="463">
        <f t="shared" si="155"/>
        <v>0</v>
      </c>
      <c r="BW101" s="463">
        <f t="shared" si="119"/>
        <v>0</v>
      </c>
      <c r="BX101" s="463">
        <f t="shared" si="120"/>
        <v>0</v>
      </c>
      <c r="BY101" s="463">
        <f t="shared" si="121"/>
        <v>0</v>
      </c>
      <c r="BZ101" s="463">
        <f t="shared" si="122"/>
        <v>0</v>
      </c>
      <c r="CA101" s="57">
        <f t="shared" si="150"/>
        <v>0</v>
      </c>
      <c r="CB101" s="56">
        <f t="shared" si="123"/>
        <v>1</v>
      </c>
      <c r="CC101" s="756">
        <f>IF(EE101=0,0,IF(EF101=0,0,IF(EE101&gt;AA101,0,IF(AND(AZ101&gt;AW101,AW101&gt;0),0,IF(CU101=0,0,Summary!AC404)))))</f>
        <v>0</v>
      </c>
      <c r="CD101" s="756">
        <f>IF(EE101=0,0,IF(EF101=0,0,IF(EE101&gt;AA101,0,IF(AND(AZ101&gt;AW101,AW101&gt;0),0,IF(CU101=0,0,Summary!AD404)))))</f>
        <v>0</v>
      </c>
      <c r="CE101" s="756">
        <f>IF(EF101=0,0,IF(EE101&gt;AA101,0,IF(CC101=0,0,IF(AND(AZ101&gt;AW101,AW101&gt;0),0,IF(CU101=0,0,Summary!AE404)))))</f>
        <v>0</v>
      </c>
      <c r="CF101" s="475">
        <f t="shared" si="124"/>
        <v>0</v>
      </c>
      <c r="CG101" s="476">
        <f t="shared" si="89"/>
        <v>0</v>
      </c>
      <c r="CH101" s="487">
        <f t="shared" si="125"/>
        <v>0</v>
      </c>
      <c r="CI101" s="756">
        <f t="shared" si="126"/>
        <v>0</v>
      </c>
      <c r="CJ101" s="487">
        <f>IF(CT101&gt;0.4,0,IF(AND(AU101=2,CH101=0,CT101=0.5,ER101=100),35,IF(AND(AU101=3,BB101&gt;75,CH101=0,CT101=0.5,ER101=100),25,IF(CB101&gt;1,0,IF(EF101&gt;EE101,0,IF(AND(AF101&gt;1,CH101=100),0,IF(AND(AF101=1,AY101=0),0,IF(AND(EF101&lt;=EE101,AW101&gt;=AZ101,'Data Entry'!$C$74=1,AU101=2),VLOOKUP(W101,$DO$96:$DP$102,2,FALSE),IF(AND(EF101&lt;=EE101,AW101&gt;=AZ101,AU101=3,'Data Entry'!$C$74=1),VLOOKUP(W101,$DO$127:$DP$134,2,FALSE))))))))))</f>
        <v>0</v>
      </c>
      <c r="CK101" s="716">
        <f t="shared" si="127"/>
        <v>0</v>
      </c>
      <c r="CL101" s="57">
        <f t="shared" si="128"/>
        <v>0</v>
      </c>
      <c r="CM101" s="475">
        <f t="shared" si="154"/>
        <v>0</v>
      </c>
      <c r="CN101" s="660">
        <f>IF(CM101&lt;0.1,0,IF(ISNA(AT101),0,IF(CL101+BC101=1,0,IF(BV101&gt;0.01,0,IF(CL101&gt;0.01,0,IF(CF101=1,0,IF(BC101=0.5,0,IF(AND(CI101=1,AU101=3),0,IF(AND(CI101=5,CL101=0),0,IF(AND(R101=12,BR101=50),0,IF(CK101&gt;0.01,0,IF(AND(AJ101&gt;0.01,AU101=2,BC101=15),CM101*0.1,IF(AND(AJ101&gt;0.01,AU101=3,BC101=15),CM101*0.08,IF(AND(R101=12,BC101=3,AF101&lt;=0),0,IF(AND(BC101=15,BI101=0),0,IF(AND(BC101=15,BJ101=0),0,IF(AND(R101=20,CU101=0),0,IF($X$4=0,0,IF(AND(BC101=250,CL101=0),0,IF(AA101&lt;1,0,IF(AND(ISNUMBER(SEARCH("Area",T101)),AU101=3),0,IF(AND(AQ101&gt;0.01,AR101=0,BK101=0,BL101=0,BM101=0,BN101=0),0,IF(AND(AU101=3,CI101=7,CT101&gt;0.5),0,IF(AND(BC101=44,AU101=3,BY101=0),0,IF(AND(BC101=27,'Data Entry'!$C$74=2),0,IF(AND(BC101=28,'Data Entry'!$C$74=2),0,IF(AND(BY101+BZ101+CA101&gt;0.01,BV101=0,EQ101+ER101+ES101+ET101&lt;100),0,IF(AU101=3,CM101*0.08,IF(AU101=2,CM101*0.1,0)))))))))))))))))))))))))))))</f>
        <v>0</v>
      </c>
      <c r="CO101" s="660">
        <f t="shared" si="129"/>
        <v>0</v>
      </c>
      <c r="CP101" s="475" t="str">
        <f t="shared" si="130"/>
        <v/>
      </c>
      <c r="CQ101" s="161" t="str">
        <f>IF(AH101=0,0,IF(AU101=5,0,Summary!AC104))</f>
        <v/>
      </c>
      <c r="CR101" s="161" t="str">
        <f>IF(BF101=0.5,0,IF(AU101=5,0,Summary!AD104))</f>
        <v/>
      </c>
      <c r="CS101" s="161" t="str">
        <f>IF(AU101=5,0,Summary!AE104)</f>
        <v/>
      </c>
      <c r="CT101" s="161">
        <f t="shared" si="131"/>
        <v>0</v>
      </c>
      <c r="CU101" s="475" t="str">
        <f t="shared" si="132"/>
        <v/>
      </c>
      <c r="CV101" s="307">
        <f>IF('Data Entry'!$C$74=0,0,IF(AA101&lt;1,0,IF(ISERROR(CU101),0,IF(CF101=1,0,IF(AND(R101=12,BR101=50),0,IF(CL101+BO101+BV101+DC101=0,0,IF(BC101=37,0,IF(AND(BC101=40,AJ101=0),0,IF(AND(BC101=37,BO101&gt;0.01,BQ101&gt;0.01),ROUND(BQ101,0),IF(CM101&lt;0,0,ROUND(CM101,0)))))))))))</f>
        <v>0</v>
      </c>
      <c r="CW101" s="700">
        <f t="shared" si="133"/>
        <v>0</v>
      </c>
      <c r="CX101" s="477">
        <f>IF('Data Entry'!$C$74=0,0,IF(CV101&lt;0.01,0,IF(BF101=0.5,0,IF(CF101=1,0,IF(ISNUMBER(SEARCH("false",CL101)),0,IF(AZ101=500,0,CL101))))))</f>
        <v>0</v>
      </c>
      <c r="CY101" s="147" t="e">
        <f t="shared" si="134"/>
        <v>#VALUE!</v>
      </c>
      <c r="CZ101" s="147" t="b">
        <f>IF(CN101+CL101=0,FALSE,IF(AH101=0,0,IF(AND('Data Entry'!$C$74=1,CR101&gt;=1),TRUE,IF(AND('Data Entry'!$C$74=2,CS101&gt;=1),TRUE,FALSE))))</f>
        <v>0</v>
      </c>
      <c r="DA101" s="1751">
        <f>IF('Data Entry'!$C$74=0,0,IFERROR(ROUND(IF(T101="","",IF($X$4=0,0,IF(CF101=1,0,IF(BQ101+CV101=0,0,IF(CF101=1,0,IF(CY101&gt;0.01,CY101,IF(CL101&gt;0.01,CL101,IF(CY101&gt;0.01,CY101,IF(BC101=37,BO101,IF(CZ101=FALSE,0,IF(CZ101=TRUE,DC101+DF101,0))))))))))),2),""))</f>
        <v>0</v>
      </c>
      <c r="DB101" s="1752"/>
      <c r="DC101" s="474">
        <f>IF(CN101&lt;0.01,0,IF(AND(BR101=3,CN101&gt;0.01,CT101&gt;0.6,ER101+ES101+ET101&lt;100),0,IF(AND('Data Entry'!$C$74=1,CN101&gt;0.01,CR101&gt;0.99),MIN(CN101:CO101),IF(AND('Data Entry'!$C$74=2,CN101&gt;0.01,CS101&gt;0.99),MIN(CN101:CO101),0))))</f>
        <v>0</v>
      </c>
      <c r="DD101" s="478">
        <f>IF(CF101=1,"Selection does not match",IF(T101=0,0,IF(AND('Data Entry'!$C$74=0,CP101&gt;1),"Select Oregon or Idaho on Data Entry Tab",IF(AND(AU101=1,AA101&gt;0.9),"Missing Interior or Exterior Selection",IF($X$4=0,"Enter Total Project Cost",IF(AQ101&lt;AR101,"Insufficient kWh savings – no incentive",IF(AND(SUM(CL101+CK101+BV101)&gt;0.01,'Data Entry'!$C$74=2,CJ101&gt;1,BO101=0),"Submit Control as Non-Standard",IF(AND('Data Entry'!$C$74=2,BR101=37,CJ101&gt;1,BO101=0),"Submit Control as Non-Standard",IF(SUM(CL101+CK101+BV101)&gt;0.01,"Standard Incentive",IF(AND('Data Entry'!$C$74=2,CP101=7,CN101=0),"Submit as Non-Standard",IF(DC101&gt;0.9,"Non-Standard Incentive",IF(AND(BY101+BZ101+CA101&gt;0.01,BV101=0,EQ101=0,ER101=0,ES101=0,ET101=0),"Scroll Right &amp; Select Control Strategies",IF(AND(CN101&gt;0.01,CO101=0),"Enter Unit Installed Cost",IF(ISNUMBER(SEARCH("Lighting Controls Only",F101)),"Lighting Controls Only",IF(CL101+DC101=0,"Does not meet incentive criteria",0)))))))))))))))</f>
        <v>0</v>
      </c>
      <c r="DE101" s="337">
        <f t="shared" si="135"/>
        <v>0</v>
      </c>
      <c r="DF101" s="609">
        <f t="shared" si="136"/>
        <v>0</v>
      </c>
      <c r="DG101" s="336" t="str">
        <f t="shared" si="137"/>
        <v/>
      </c>
      <c r="DH101" s="338">
        <f t="shared" si="138"/>
        <v>1</v>
      </c>
      <c r="DI101" s="336" t="e">
        <f t="shared" si="90"/>
        <v>#VALUE!</v>
      </c>
      <c r="DJ101" s="338">
        <f t="shared" si="91"/>
        <v>0</v>
      </c>
      <c r="DK101" s="373" t="s">
        <v>119</v>
      </c>
      <c r="DL101" s="323">
        <v>227</v>
      </c>
      <c r="DM101" s="325" t="s">
        <v>96</v>
      </c>
      <c r="DN101" s="1439"/>
      <c r="DO101" s="1444" t="s">
        <v>1765</v>
      </c>
      <c r="DP101" s="344">
        <v>25</v>
      </c>
      <c r="DQ101" s="331"/>
      <c r="DR101" s="1332"/>
      <c r="DS101" s="1195">
        <f t="shared" si="139"/>
        <v>0</v>
      </c>
      <c r="DT101" s="344" t="b">
        <f t="shared" si="140"/>
        <v>1</v>
      </c>
      <c r="DU101" s="1314" t="str">
        <f t="array" ref="DU101">IF(OR(COUNTIF(F101,"*"&amp;$DK$9:$DK$178&amp;"*")), "Yes", "")</f>
        <v/>
      </c>
      <c r="DV101" s="1314">
        <f t="shared" si="141"/>
        <v>0</v>
      </c>
      <c r="DW101" s="1480">
        <f t="shared" si="142"/>
        <v>0</v>
      </c>
      <c r="DX101" s="1498">
        <f t="shared" si="151"/>
        <v>0</v>
      </c>
      <c r="DY101" s="1484">
        <f t="shared" si="143"/>
        <v>0</v>
      </c>
      <c r="DZ101" s="331"/>
      <c r="EA101" s="392"/>
      <c r="EB101" s="1499" t="s">
        <v>115</v>
      </c>
      <c r="EC101" s="727" t="s">
        <v>1568</v>
      </c>
      <c r="ED101" s="728">
        <v>0.5</v>
      </c>
      <c r="EE101" s="1215"/>
      <c r="EF101" s="1215"/>
      <c r="EG101" s="1184" t="str">
        <f t="shared" si="144"/>
        <v/>
      </c>
      <c r="EH101" s="55"/>
      <c r="EI101" s="55"/>
      <c r="EJ101" s="1185">
        <f t="shared" si="92"/>
        <v>0</v>
      </c>
      <c r="EK101" s="1211"/>
      <c r="EL101" s="1180">
        <f t="shared" si="93"/>
        <v>0</v>
      </c>
      <c r="EM101" s="207"/>
      <c r="EN101" s="1038"/>
      <c r="EO101" s="1038"/>
      <c r="EP101" s="1038"/>
      <c r="EQ101" s="1038">
        <f t="shared" si="145"/>
        <v>0</v>
      </c>
      <c r="ER101" s="1041">
        <f t="shared" si="146"/>
        <v>0</v>
      </c>
      <c r="ES101" s="1042">
        <f t="shared" si="147"/>
        <v>0</v>
      </c>
      <c r="ET101" s="1042">
        <f t="shared" si="152"/>
        <v>0</v>
      </c>
      <c r="EU101" s="1021">
        <f t="shared" si="153"/>
        <v>0</v>
      </c>
      <c r="EV101" s="368"/>
      <c r="EW101" s="368"/>
      <c r="EX101" s="369"/>
      <c r="EY101" s="370"/>
      <c r="EZ101" s="370"/>
      <c r="FA101" s="371"/>
      <c r="FB101" s="372"/>
    </row>
    <row r="102" spans="1:158" ht="34.5" customHeight="1">
      <c r="A102" s="82">
        <v>94</v>
      </c>
      <c r="B102" s="1725"/>
      <c r="C102" s="1726"/>
      <c r="D102" s="1726"/>
      <c r="E102" s="1727"/>
      <c r="F102" s="1732"/>
      <c r="G102" s="1733"/>
      <c r="H102" s="1733"/>
      <c r="I102" s="1734"/>
      <c r="J102" s="1341"/>
      <c r="K102" s="1728"/>
      <c r="L102" s="1728"/>
      <c r="M102" s="1342"/>
      <c r="N102" s="1583"/>
      <c r="O102" s="208" t="str">
        <f t="shared" si="80"/>
        <v/>
      </c>
      <c r="P102" s="785"/>
      <c r="Q102" s="39" t="str">
        <f t="shared" si="81"/>
        <v/>
      </c>
      <c r="R102" s="39">
        <f t="shared" si="94"/>
        <v>0</v>
      </c>
      <c r="S102" s="234">
        <f t="shared" si="95"/>
        <v>0</v>
      </c>
      <c r="T102" s="1755"/>
      <c r="U102" s="1755"/>
      <c r="V102" s="1755"/>
      <c r="W102" s="1345"/>
      <c r="X102" s="1741"/>
      <c r="Y102" s="1742"/>
      <c r="Z102" s="1346"/>
      <c r="AA102" s="1343"/>
      <c r="AB102" s="1141"/>
      <c r="AC102" s="1103" t="str">
        <f>IF(T102="","",VLOOKUP(Z102,Lists!$A$60:$B$111,2,FALSE))</f>
        <v/>
      </c>
      <c r="AD102" s="130" t="str">
        <f t="shared" si="96"/>
        <v/>
      </c>
      <c r="AE102" s="130" t="e">
        <f t="shared" si="97"/>
        <v>#VALUE!</v>
      </c>
      <c r="AF102" s="130">
        <f t="shared" si="98"/>
        <v>1</v>
      </c>
      <c r="AG102" s="234">
        <f t="shared" si="82"/>
        <v>0</v>
      </c>
      <c r="AH102" s="1753" t="str">
        <f>IF(T102="","",(IF(ISNUMBER(SEARCH("exit",T102)),8760,IF(AND(M102="Dusk to Dawn",'Proposed Lighting'!AU102=3),4059,IF(AND(AU102=3,M102="1"),0,IF(AND(AU102=3,M102="1-C"),0,IF(AND(AU102=3,M102="2"),0,IF(AND(AU102=3,M102="2-C"),0,IF(AND(AU102=3,M102="3"),0,IF(AND(AU102=3,M102="3-C"),0,IF(AND(AU102=2,M102="Dusk to Dawn"),0,IF(AND(AU102=2,M102="Dusk to Dawn-C"),0,IF(AND(AU102=2,M102="Dusk to Dawn"),0,IF(AND(AU102=2,M102="E"),0,IF(AND(AU102=2,M102="E-C"),0,EG102)))))))))))))))</f>
        <v/>
      </c>
      <c r="AI102" s="1754"/>
      <c r="AJ102" s="1136"/>
      <c r="AK102" s="1136"/>
      <c r="AL102" s="1748">
        <f t="shared" si="99"/>
        <v>0</v>
      </c>
      <c r="AM102" s="1749"/>
      <c r="AN102" s="1750"/>
      <c r="AO102" s="476">
        <f t="shared" si="83"/>
        <v>0</v>
      </c>
      <c r="AP102" s="476">
        <f t="shared" si="100"/>
        <v>0</v>
      </c>
      <c r="AQ102" s="475">
        <f t="shared" si="84"/>
        <v>0</v>
      </c>
      <c r="AR102" s="475">
        <f t="shared" si="101"/>
        <v>0</v>
      </c>
      <c r="AS102" s="743" t="str">
        <f t="shared" si="156"/>
        <v/>
      </c>
      <c r="AT102" s="736" t="str">
        <f t="shared" si="102"/>
        <v/>
      </c>
      <c r="AU102" s="56">
        <f t="shared" si="103"/>
        <v>1</v>
      </c>
      <c r="AV102" s="476">
        <f t="shared" si="104"/>
        <v>0</v>
      </c>
      <c r="AW102" s="56">
        <f t="shared" si="105"/>
        <v>0</v>
      </c>
      <c r="AX102" s="475">
        <f t="shared" si="85"/>
        <v>0</v>
      </c>
      <c r="AY102" s="1169">
        <f t="shared" si="106"/>
        <v>0</v>
      </c>
      <c r="AZ102" s="1150">
        <f t="shared" si="148"/>
        <v>0</v>
      </c>
      <c r="BA102" s="56">
        <f t="shared" si="86"/>
        <v>0</v>
      </c>
      <c r="BB102" s="420">
        <f t="shared" si="87"/>
        <v>0</v>
      </c>
      <c r="BC102" s="58" t="str">
        <f t="shared" si="88"/>
        <v/>
      </c>
      <c r="BD102" s="660">
        <f t="shared" si="149"/>
        <v>0</v>
      </c>
      <c r="BE102" s="57" t="e">
        <f t="array" ref="BE102">INDEX($EB$11:$ED$1022,MATCH(F102&amp;T102,$EB$11:$EB$1007&amp;$EC$11:$EC$1007,0),3)</f>
        <v>#N/A</v>
      </c>
      <c r="BF102" s="463">
        <f t="shared" si="107"/>
        <v>0</v>
      </c>
      <c r="BG102" s="1445" t="e">
        <f t="array" ref="BG102">INDEX($DO$112:$DQ$123,MATCH(T102&amp;W102,$DO$114:$DO$125&amp;$DP$112:$DP$123,0),3)</f>
        <v>#N/A</v>
      </c>
      <c r="BH102" s="1446">
        <f t="shared" si="108"/>
        <v>0</v>
      </c>
      <c r="BI102" s="465">
        <f t="shared" si="109"/>
        <v>0</v>
      </c>
      <c r="BJ102" s="465">
        <f t="shared" si="110"/>
        <v>0</v>
      </c>
      <c r="BK102" s="466">
        <f t="shared" si="111"/>
        <v>0</v>
      </c>
      <c r="BL102" s="466">
        <f t="shared" si="112"/>
        <v>0</v>
      </c>
      <c r="BM102" s="466">
        <f t="shared" si="113"/>
        <v>0</v>
      </c>
      <c r="BN102" s="466">
        <f t="shared" si="114"/>
        <v>0</v>
      </c>
      <c r="BO102" s="463">
        <f>IF('Data Entry'!$C$74=0,0,IF(ISNA(CJ102),0,IF(AX102=0,0,IF(AND('Data Entry'!$C$74=2,AF102&gt;2,CE102&lt;1),0,IF(AND('Data Entry'!$C$74=2,AF102&gt;1,AU102=2,CJ102&gt;1),0,IF(AND(AF102=5,CT102=0.5,AU102=2,ER102&lt;100),0,IF(AND(AF102=5,CT102=0.5,AU102=3,ER102&lt;100),0,IF(AND('Data Entry'!$C$74=2,AF102=2,AU102=2,AK102&gt;0.01,CB102=2,CE102&lt;1),0,IF(AND('Data Entry'!$C$74=2,AF102=3,AU102=3,AK102&gt;0.01,CB102=3,CE102&lt;1),0,IF(AND('Data Entry'!$C$74=2,AF102=3,AU102=3,AK102&gt;0.01,CB102=3,CE102&gt;0.99),BQ102*0.08,IF(AND('Data Entry'!$C$74=2,AF102=2,AU102=2,AK102&gt;0.01,CB102=2,CE102&gt;0.99),BQ102*0.1,IF(AND(AU102=2,AK102&gt;0.01,CB102=2,CD102&gt;1),BQ102*0.1,IF(AND(AU102=3,AK102&gt;0.01,CB102=3,CD102&gt;1),BQ102*0.08,CJ102*EF102)))))))))))))</f>
        <v>0</v>
      </c>
      <c r="BP102" s="475">
        <f t="shared" si="115"/>
        <v>0</v>
      </c>
      <c r="BQ102" s="1431">
        <f>IF(AU102=1,0,IF(CH102=100,0,IF(AND(AF102=3,AU102=2),0,IF(AND(BH102=0,CT102&gt;0.4),0,IF(AND('Data Entry'!$C$74=2,AF102=1.5),0,IF(AND('Data Entry'!$C$74=2,AF102=1.6),0,IF(AND('Data Entry'!$C$74=2,AF102=4),0,IF(AND('Data Entry'!$C$74=2,AF102=5),0,IF(AND('Data Entry'!$C$74=2,AF102=2.5,CE102&lt;1),0,IF(AND('Data Entry'!$C$74=2,AF102=3,CE102&lt;1),0,IF(AND('Data Entry'!$C$74=1,AF102=2.5,CD102&lt;1),0,IF(AND('Data Entry'!$C$74=1,AF102=3,CD102&lt;1),0,IF(DX102&gt;0.01,DX102,IF(ISERROR(AX102-AY102),"",ROUND(AX102-AY102,2)))))))))))))))</f>
        <v>0</v>
      </c>
      <c r="BR102" s="146">
        <f t="shared" si="116"/>
        <v>0</v>
      </c>
      <c r="BS102" s="475">
        <f t="shared" si="117"/>
        <v>0</v>
      </c>
      <c r="BT102" s="146" t="b">
        <f t="shared" si="118"/>
        <v>0</v>
      </c>
      <c r="BU102" s="463">
        <f>IF(ISNA(AT102),0,IF(AND('Data Entry'!$C$74=2,BC102=27),0,IF(AND('Data Entry'!$C$74=2,BC102=28),0,IF(AND(BC102=27,BT102=27,CM102&gt;0.1),CM102*0.15,IF(AND(BC102=28,BT102=28,CM102&gt;0.1),CM102*0.12,0)))))</f>
        <v>0</v>
      </c>
      <c r="BV102" s="463">
        <f t="shared" si="155"/>
        <v>0</v>
      </c>
      <c r="BW102" s="463">
        <f t="shared" si="119"/>
        <v>0</v>
      </c>
      <c r="BX102" s="463">
        <f t="shared" si="120"/>
        <v>0</v>
      </c>
      <c r="BY102" s="463">
        <f t="shared" si="121"/>
        <v>0</v>
      </c>
      <c r="BZ102" s="463">
        <f t="shared" si="122"/>
        <v>0</v>
      </c>
      <c r="CA102" s="57">
        <f t="shared" si="150"/>
        <v>0</v>
      </c>
      <c r="CB102" s="56">
        <f t="shared" si="123"/>
        <v>1</v>
      </c>
      <c r="CC102" s="756">
        <f>IF(EE102=0,0,IF(EF102=0,0,IF(EE102&gt;AA102,0,IF(AND(AZ102&gt;AW102,AW102&gt;0),0,IF(CU102=0,0,Summary!AC405)))))</f>
        <v>0</v>
      </c>
      <c r="CD102" s="756">
        <f>IF(EE102=0,0,IF(EF102=0,0,IF(EE102&gt;AA102,0,IF(AND(AZ102&gt;AW102,AW102&gt;0),0,IF(CU102=0,0,Summary!AD405)))))</f>
        <v>0</v>
      </c>
      <c r="CE102" s="756">
        <f>IF(EF102=0,0,IF(EE102&gt;AA102,0,IF(CC102=0,0,IF(AND(AZ102&gt;AW102,AW102&gt;0),0,IF(CU102=0,0,Summary!AE405)))))</f>
        <v>0</v>
      </c>
      <c r="CF102" s="475">
        <f t="shared" si="124"/>
        <v>0</v>
      </c>
      <c r="CG102" s="476">
        <f t="shared" si="89"/>
        <v>0</v>
      </c>
      <c r="CH102" s="487">
        <f t="shared" si="125"/>
        <v>0</v>
      </c>
      <c r="CI102" s="756">
        <f t="shared" si="126"/>
        <v>0</v>
      </c>
      <c r="CJ102" s="487">
        <f>IF(CT102&gt;0.4,0,IF(AND(AU102=2,CH102=0,CT102=0.5,ER102=100),35,IF(AND(AU102=3,BB102&gt;75,CH102=0,CT102=0.5,ER102=100),25,IF(CB102&gt;1,0,IF(EF102&gt;EE102,0,IF(AND(AF102&gt;1,CH102=100),0,IF(AND(AF102=1,AY102=0),0,IF(AND(EF102&lt;=EE102,AW102&gt;=AZ102,'Data Entry'!$C$74=1,AU102=2),VLOOKUP(W102,$DO$96:$DP$102,2,FALSE),IF(AND(EF102&lt;=EE102,AW102&gt;=AZ102,AU102=3,'Data Entry'!$C$74=1),VLOOKUP(W102,$DO$127:$DP$134,2,FALSE))))))))))</f>
        <v>0</v>
      </c>
      <c r="CK102" s="716">
        <f t="shared" si="127"/>
        <v>0</v>
      </c>
      <c r="CL102" s="57">
        <f t="shared" si="128"/>
        <v>0</v>
      </c>
      <c r="CM102" s="475">
        <f t="shared" si="154"/>
        <v>0</v>
      </c>
      <c r="CN102" s="660">
        <f>IF(CM102&lt;0.1,0,IF(ISNA(AT102),0,IF(CL102+BC102=1,0,IF(BV102&gt;0.01,0,IF(CL102&gt;0.01,0,IF(CF102=1,0,IF(BC102=0.5,0,IF(AND(CI102=1,AU102=3),0,IF(AND(CI102=5,CL102=0),0,IF(AND(R102=12,BR102=50),0,IF(CK102&gt;0.01,0,IF(AND(AJ102&gt;0.01,AU102=2,BC102=15),CM102*0.1,IF(AND(AJ102&gt;0.01,AU102=3,BC102=15),CM102*0.08,IF(AND(R102=12,BC102=3,AF102&lt;=0),0,IF(AND(BC102=15,BI102=0),0,IF(AND(BC102=15,BJ102=0),0,IF(AND(R102=20,CU102=0),0,IF($X$4=0,0,IF(AND(BC102=250,CL102=0),0,IF(AA102&lt;1,0,IF(AND(ISNUMBER(SEARCH("Area",T102)),AU102=3),0,IF(AND(AQ102&gt;0.01,AR102=0,BK102=0,BL102=0,BM102=0,BN102=0),0,IF(AND(AU102=3,CI102=7,CT102&gt;0.5),0,IF(AND(BC102=44,AU102=3,BY102=0),0,IF(AND(BC102=27,'Data Entry'!$C$74=2),0,IF(AND(BC102=28,'Data Entry'!$C$74=2),0,IF(AND(BY102+BZ102+CA102&gt;0.01,BV102=0,EQ102+ER102+ES102+ET102&lt;100),0,IF(AU102=3,CM102*0.08,IF(AU102=2,CM102*0.1,0)))))))))))))))))))))))))))))</f>
        <v>0</v>
      </c>
      <c r="CO102" s="660">
        <f t="shared" si="129"/>
        <v>0</v>
      </c>
      <c r="CP102" s="475" t="str">
        <f t="shared" si="130"/>
        <v/>
      </c>
      <c r="CQ102" s="161" t="str">
        <f>IF(AH102=0,0,IF(AU102=5,0,Summary!AC105))</f>
        <v/>
      </c>
      <c r="CR102" s="161" t="str">
        <f>IF(BF102=0.5,0,IF(AU102=5,0,Summary!AD105))</f>
        <v/>
      </c>
      <c r="CS102" s="161" t="str">
        <f>IF(AU102=5,0,Summary!AE105)</f>
        <v/>
      </c>
      <c r="CT102" s="161">
        <f t="shared" si="131"/>
        <v>0</v>
      </c>
      <c r="CU102" s="475" t="str">
        <f t="shared" si="132"/>
        <v/>
      </c>
      <c r="CV102" s="307">
        <f>IF('Data Entry'!$C$74=0,0,IF(AA102&lt;1,0,IF(ISERROR(CU102),0,IF(CF102=1,0,IF(AND(R102=12,BR102=50),0,IF(CL102+BO102+BV102+DC102=0,0,IF(BC102=37,0,IF(AND(BC102=40,AJ102=0),0,IF(AND(BC102=37,BO102&gt;0.01,BQ102&gt;0.01),ROUND(BQ102,0),IF(CM102&lt;0,0,ROUND(CM102,0)))))))))))</f>
        <v>0</v>
      </c>
      <c r="CW102" s="700">
        <f t="shared" si="133"/>
        <v>0</v>
      </c>
      <c r="CX102" s="477">
        <f>IF('Data Entry'!$C$74=0,0,IF(CV102&lt;0.01,0,IF(BF102=0.5,0,IF(CF102=1,0,IF(ISNUMBER(SEARCH("false",CL102)),0,IF(AZ102=500,0,CL102))))))</f>
        <v>0</v>
      </c>
      <c r="CY102" s="147" t="e">
        <f t="shared" si="134"/>
        <v>#VALUE!</v>
      </c>
      <c r="CZ102" s="147" t="b">
        <f>IF(CN102+CL102=0,FALSE,IF(AH102=0,0,IF(AND('Data Entry'!$C$74=1,CR102&gt;=1),TRUE,IF(AND('Data Entry'!$C$74=2,CS102&gt;=1),TRUE,FALSE))))</f>
        <v>0</v>
      </c>
      <c r="DA102" s="1751">
        <f>IF('Data Entry'!$C$74=0,0,IFERROR(ROUND(IF(T102="","",IF($X$4=0,0,IF(CF102=1,0,IF(BQ102+CV102=0,0,IF(CF102=1,0,IF(CY102&gt;0.01,CY102,IF(CL102&gt;0.01,CL102,IF(CY102&gt;0.01,CY102,IF(BC102=37,BO102,IF(CZ102=FALSE,0,IF(CZ102=TRUE,DC102+DF102,0))))))))))),2),""))</f>
        <v>0</v>
      </c>
      <c r="DB102" s="1752"/>
      <c r="DC102" s="474">
        <f>IF(CN102&lt;0.01,0,IF(AND(BR102=3,CN102&gt;0.01,CT102&gt;0.6,ER102+ES102+ET102&lt;100),0,IF(AND('Data Entry'!$C$74=1,CN102&gt;0.01,CR102&gt;0.99),MIN(CN102:CO102),IF(AND('Data Entry'!$C$74=2,CN102&gt;0.01,CS102&gt;0.99),MIN(CN102:CO102),0))))</f>
        <v>0</v>
      </c>
      <c r="DD102" s="478">
        <f>IF(CF102=1,"Selection does not match",IF(T102=0,0,IF(AND('Data Entry'!$C$74=0,CP102&gt;1),"Select Oregon or Idaho on Data Entry Tab",IF(AND(AU102=1,AA102&gt;0.9),"Missing Interior or Exterior Selection",IF($X$4=0,"Enter Total Project Cost",IF(AQ102&lt;AR102,"Insufficient kWh savings – no incentive",IF(AND(SUM(CL102+CK102+BV102)&gt;0.01,'Data Entry'!$C$74=2,CJ102&gt;1,BO102=0),"Submit Control as Non-Standard",IF(AND('Data Entry'!$C$74=2,BR102=37,CJ102&gt;1,BO102=0),"Submit Control as Non-Standard",IF(SUM(CL102+CK102+BV102)&gt;0.01,"Standard Incentive",IF(AND('Data Entry'!$C$74=2,CP102=7,CN102=0),"Submit as Non-Standard",IF(DC102&gt;0.9,"Non-Standard Incentive",IF(AND(BY102+BZ102+CA102&gt;0.01,BV102=0,EQ102=0,ER102=0,ES102=0,ET102=0),"Scroll Right &amp; Select Control Strategies",IF(AND(CN102&gt;0.01,CO102=0),"Enter Unit Installed Cost",IF(ISNUMBER(SEARCH("Lighting Controls Only",F102)),"Lighting Controls Only",IF(CL102+DC102=0,"Does not meet incentive criteria",0)))))))))))))))</f>
        <v>0</v>
      </c>
      <c r="DE102" s="337">
        <f t="shared" si="135"/>
        <v>0</v>
      </c>
      <c r="DF102" s="609">
        <f t="shared" si="136"/>
        <v>0</v>
      </c>
      <c r="DG102" s="336" t="str">
        <f t="shared" si="137"/>
        <v/>
      </c>
      <c r="DH102" s="338">
        <f t="shared" si="138"/>
        <v>1</v>
      </c>
      <c r="DI102" s="336" t="e">
        <f t="shared" si="90"/>
        <v>#VALUE!</v>
      </c>
      <c r="DJ102" s="338">
        <f t="shared" si="91"/>
        <v>0</v>
      </c>
      <c r="DK102" s="326" t="s">
        <v>120</v>
      </c>
      <c r="DL102" s="341">
        <v>357</v>
      </c>
      <c r="DM102" s="325" t="s">
        <v>97</v>
      </c>
      <c r="DN102" s="1439"/>
      <c r="DO102" s="1444" t="s">
        <v>1781</v>
      </c>
      <c r="DP102" s="1334">
        <v>35</v>
      </c>
      <c r="DQ102" s="331"/>
      <c r="DR102" s="1332"/>
      <c r="DS102" s="1195">
        <f t="shared" si="139"/>
        <v>0</v>
      </c>
      <c r="DT102" s="344" t="b">
        <f t="shared" si="140"/>
        <v>1</v>
      </c>
      <c r="DU102" s="1314" t="str">
        <f t="array" ref="DU102">IF(OR(COUNTIF(F102,"*"&amp;$DK$9:$DK$178&amp;"*")), "Yes", "")</f>
        <v/>
      </c>
      <c r="DV102" s="1314">
        <f t="shared" si="141"/>
        <v>0</v>
      </c>
      <c r="DW102" s="1480">
        <f t="shared" si="142"/>
        <v>0</v>
      </c>
      <c r="DX102" s="1498">
        <f t="shared" si="151"/>
        <v>0</v>
      </c>
      <c r="DY102" s="1484">
        <f t="shared" si="143"/>
        <v>0</v>
      </c>
      <c r="DZ102" s="331"/>
      <c r="EA102" s="392"/>
      <c r="EB102" s="1499" t="s">
        <v>116</v>
      </c>
      <c r="EC102" s="727" t="s">
        <v>1568</v>
      </c>
      <c r="ED102" s="728">
        <v>0.5</v>
      </c>
      <c r="EE102" s="1215"/>
      <c r="EF102" s="1215"/>
      <c r="EG102" s="1184" t="str">
        <f t="shared" si="144"/>
        <v/>
      </c>
      <c r="EH102" s="55"/>
      <c r="EI102" s="55"/>
      <c r="EJ102" s="1185">
        <f t="shared" si="92"/>
        <v>0</v>
      </c>
      <c r="EK102" s="1211"/>
      <c r="EL102" s="1180">
        <f t="shared" si="93"/>
        <v>0</v>
      </c>
      <c r="EM102" s="207"/>
      <c r="EN102" s="1038"/>
      <c r="EO102" s="1038"/>
      <c r="EP102" s="1038"/>
      <c r="EQ102" s="1038">
        <f t="shared" si="145"/>
        <v>0</v>
      </c>
      <c r="ER102" s="1041">
        <f t="shared" si="146"/>
        <v>0</v>
      </c>
      <c r="ES102" s="1042">
        <f t="shared" si="147"/>
        <v>0</v>
      </c>
      <c r="ET102" s="1042">
        <f t="shared" si="152"/>
        <v>0</v>
      </c>
      <c r="EU102" s="1021">
        <f t="shared" si="153"/>
        <v>0</v>
      </c>
      <c r="EV102" s="368"/>
      <c r="EW102" s="368"/>
      <c r="EX102" s="369"/>
      <c r="EY102" s="370"/>
      <c r="EZ102" s="370"/>
      <c r="FA102" s="371"/>
      <c r="FB102" s="372"/>
    </row>
    <row r="103" spans="1:158" ht="34.5" customHeight="1">
      <c r="A103" s="82">
        <v>95</v>
      </c>
      <c r="B103" s="1725"/>
      <c r="C103" s="1726"/>
      <c r="D103" s="1726"/>
      <c r="E103" s="1727"/>
      <c r="F103" s="1732"/>
      <c r="G103" s="1733"/>
      <c r="H103" s="1733"/>
      <c r="I103" s="1734"/>
      <c r="J103" s="1341"/>
      <c r="K103" s="1728"/>
      <c r="L103" s="1728"/>
      <c r="M103" s="1342"/>
      <c r="N103" s="1583"/>
      <c r="O103" s="208" t="str">
        <f t="shared" si="80"/>
        <v/>
      </c>
      <c r="P103" s="785"/>
      <c r="Q103" s="39" t="str">
        <f t="shared" si="81"/>
        <v/>
      </c>
      <c r="R103" s="39">
        <f t="shared" si="94"/>
        <v>0</v>
      </c>
      <c r="S103" s="234">
        <f t="shared" si="95"/>
        <v>0</v>
      </c>
      <c r="T103" s="1755"/>
      <c r="U103" s="1755"/>
      <c r="V103" s="1755"/>
      <c r="W103" s="1345"/>
      <c r="X103" s="1741"/>
      <c r="Y103" s="1742"/>
      <c r="Z103" s="1346"/>
      <c r="AA103" s="1343"/>
      <c r="AB103" s="1141"/>
      <c r="AC103" s="1103" t="str">
        <f>IF(T103="","",VLOOKUP(Z103,Lists!$A$60:$B$111,2,FALSE))</f>
        <v/>
      </c>
      <c r="AD103" s="130" t="str">
        <f t="shared" si="96"/>
        <v/>
      </c>
      <c r="AE103" s="130" t="e">
        <f t="shared" si="97"/>
        <v>#VALUE!</v>
      </c>
      <c r="AF103" s="130">
        <f t="shared" si="98"/>
        <v>1</v>
      </c>
      <c r="AG103" s="234">
        <f t="shared" si="82"/>
        <v>0</v>
      </c>
      <c r="AH103" s="1753" t="str">
        <f>IF(T103="","",(IF(ISNUMBER(SEARCH("exit",T103)),8760,IF(AND(M103="Dusk to Dawn",'Proposed Lighting'!AU103=3),4059,IF(AND(AU103=3,M103="1"),0,IF(AND(AU103=3,M103="1-C"),0,IF(AND(AU103=3,M103="2"),0,IF(AND(AU103=3,M103="2-C"),0,IF(AND(AU103=3,M103="3"),0,IF(AND(AU103=3,M103="3-C"),0,IF(AND(AU103=2,M103="Dusk to Dawn"),0,IF(AND(AU103=2,M103="Dusk to Dawn-C"),0,IF(AND(AU103=2,M103="Dusk to Dawn"),0,IF(AND(AU103=2,M103="E"),0,IF(AND(AU103=2,M103="E-C"),0,EG103)))))))))))))))</f>
        <v/>
      </c>
      <c r="AI103" s="1754"/>
      <c r="AJ103" s="1136"/>
      <c r="AK103" s="1136"/>
      <c r="AL103" s="1748">
        <f t="shared" si="99"/>
        <v>0</v>
      </c>
      <c r="AM103" s="1749"/>
      <c r="AN103" s="1750"/>
      <c r="AO103" s="476">
        <f t="shared" si="83"/>
        <v>0</v>
      </c>
      <c r="AP103" s="476">
        <f t="shared" si="100"/>
        <v>0</v>
      </c>
      <c r="AQ103" s="475">
        <f t="shared" si="84"/>
        <v>0</v>
      </c>
      <c r="AR103" s="475">
        <f t="shared" si="101"/>
        <v>0</v>
      </c>
      <c r="AS103" s="743" t="str">
        <f t="shared" si="156"/>
        <v/>
      </c>
      <c r="AT103" s="736" t="str">
        <f t="shared" si="102"/>
        <v/>
      </c>
      <c r="AU103" s="56">
        <f t="shared" si="103"/>
        <v>1</v>
      </c>
      <c r="AV103" s="476">
        <f t="shared" si="104"/>
        <v>0</v>
      </c>
      <c r="AW103" s="56">
        <f t="shared" si="105"/>
        <v>0</v>
      </c>
      <c r="AX103" s="475">
        <f t="shared" si="85"/>
        <v>0</v>
      </c>
      <c r="AY103" s="1169">
        <f t="shared" si="106"/>
        <v>0</v>
      </c>
      <c r="AZ103" s="1150">
        <f t="shared" si="148"/>
        <v>0</v>
      </c>
      <c r="BA103" s="56">
        <f t="shared" si="86"/>
        <v>0</v>
      </c>
      <c r="BB103" s="420">
        <f t="shared" si="87"/>
        <v>0</v>
      </c>
      <c r="BC103" s="58" t="str">
        <f t="shared" si="88"/>
        <v/>
      </c>
      <c r="BD103" s="660">
        <f t="shared" si="149"/>
        <v>0</v>
      </c>
      <c r="BE103" s="57" t="e">
        <f t="array" ref="BE103">INDEX($EB$11:$ED$1022,MATCH(F103&amp;T103,$EB$11:$EB$1007&amp;$EC$11:$EC$1007,0),3)</f>
        <v>#N/A</v>
      </c>
      <c r="BF103" s="463">
        <f t="shared" si="107"/>
        <v>0</v>
      </c>
      <c r="BG103" s="1445" t="e">
        <f t="array" ref="BG103">INDEX($DO$112:$DQ$123,MATCH(T103&amp;W103,$DO$114:$DO$125&amp;$DP$112:$DP$123,0),3)</f>
        <v>#N/A</v>
      </c>
      <c r="BH103" s="1446">
        <f t="shared" si="108"/>
        <v>0</v>
      </c>
      <c r="BI103" s="465">
        <f t="shared" si="109"/>
        <v>0</v>
      </c>
      <c r="BJ103" s="465">
        <f t="shared" si="110"/>
        <v>0</v>
      </c>
      <c r="BK103" s="466">
        <f t="shared" si="111"/>
        <v>0</v>
      </c>
      <c r="BL103" s="466">
        <f t="shared" si="112"/>
        <v>0</v>
      </c>
      <c r="BM103" s="466">
        <f t="shared" si="113"/>
        <v>0</v>
      </c>
      <c r="BN103" s="466">
        <f t="shared" si="114"/>
        <v>0</v>
      </c>
      <c r="BO103" s="463">
        <f>IF('Data Entry'!$C$74=0,0,IF(ISNA(CJ103),0,IF(AX103=0,0,IF(AND('Data Entry'!$C$74=2,AF103&gt;2,CE103&lt;1),0,IF(AND('Data Entry'!$C$74=2,AF103&gt;1,AU103=2,CJ103&gt;1),0,IF(AND(AF103=5,CT103=0.5,AU103=2,ER103&lt;100),0,IF(AND(AF103=5,CT103=0.5,AU103=3,ER103&lt;100),0,IF(AND('Data Entry'!$C$74=2,AF103=2,AU103=2,AK103&gt;0.01,CB103=2,CE103&lt;1),0,IF(AND('Data Entry'!$C$74=2,AF103=3,AU103=3,AK103&gt;0.01,CB103=3,CE103&lt;1),0,IF(AND('Data Entry'!$C$74=2,AF103=3,AU103=3,AK103&gt;0.01,CB103=3,CE103&gt;0.99),BQ103*0.08,IF(AND('Data Entry'!$C$74=2,AF103=2,AU103=2,AK103&gt;0.01,CB103=2,CE103&gt;0.99),BQ103*0.1,IF(AND(AU103=2,AK103&gt;0.01,CB103=2,CD103&gt;1),BQ103*0.1,IF(AND(AU103=3,AK103&gt;0.01,CB103=3,CD103&gt;1),BQ103*0.08,CJ103*EF103)))))))))))))</f>
        <v>0</v>
      </c>
      <c r="BP103" s="475">
        <f t="shared" si="115"/>
        <v>0</v>
      </c>
      <c r="BQ103" s="1431">
        <f>IF(AU103=1,0,IF(CH103=100,0,IF(AND(AF103=3,AU103=2),0,IF(AND(BH103=0,CT103&gt;0.4),0,IF(AND('Data Entry'!$C$74=2,AF103=1.5),0,IF(AND('Data Entry'!$C$74=2,AF103=1.6),0,IF(AND('Data Entry'!$C$74=2,AF103=4),0,IF(AND('Data Entry'!$C$74=2,AF103=5),0,IF(AND('Data Entry'!$C$74=2,AF103=2.5,CE103&lt;1),0,IF(AND('Data Entry'!$C$74=2,AF103=3,CE103&lt;1),0,IF(AND('Data Entry'!$C$74=1,AF103=2.5,CD103&lt;1),0,IF(AND('Data Entry'!$C$74=1,AF103=3,CD103&lt;1),0,IF(DX103&gt;0.01,DX103,IF(ISERROR(AX103-AY103),"",ROUND(AX103-AY103,2)))))))))))))))</f>
        <v>0</v>
      </c>
      <c r="BR103" s="146">
        <f t="shared" si="116"/>
        <v>0</v>
      </c>
      <c r="BS103" s="475">
        <f t="shared" si="117"/>
        <v>0</v>
      </c>
      <c r="BT103" s="146" t="b">
        <f t="shared" si="118"/>
        <v>0</v>
      </c>
      <c r="BU103" s="463">
        <f>IF(ISNA(AT103),0,IF(AND('Data Entry'!$C$74=2,BC103=27),0,IF(AND('Data Entry'!$C$74=2,BC103=28),0,IF(AND(BC103=27,BT103=27,CM103&gt;0.1),CM103*0.15,IF(AND(BC103=28,BT103=28,CM103&gt;0.1),CM103*0.12,0)))))</f>
        <v>0</v>
      </c>
      <c r="BV103" s="463">
        <f t="shared" si="155"/>
        <v>0</v>
      </c>
      <c r="BW103" s="463">
        <f t="shared" si="119"/>
        <v>0</v>
      </c>
      <c r="BX103" s="463">
        <f t="shared" si="120"/>
        <v>0</v>
      </c>
      <c r="BY103" s="463">
        <f t="shared" si="121"/>
        <v>0</v>
      </c>
      <c r="BZ103" s="463">
        <f t="shared" si="122"/>
        <v>0</v>
      </c>
      <c r="CA103" s="57">
        <f t="shared" si="150"/>
        <v>0</v>
      </c>
      <c r="CB103" s="56">
        <f t="shared" si="123"/>
        <v>1</v>
      </c>
      <c r="CC103" s="756">
        <f>IF(EE103=0,0,IF(EF103=0,0,IF(EE103&gt;AA103,0,IF(AND(AZ103&gt;AW103,AW103&gt;0),0,IF(CU103=0,0,Summary!AC406)))))</f>
        <v>0</v>
      </c>
      <c r="CD103" s="756">
        <f>IF(EE103=0,0,IF(EF103=0,0,IF(EE103&gt;AA103,0,IF(AND(AZ103&gt;AW103,AW103&gt;0),0,IF(CU103=0,0,Summary!AD406)))))</f>
        <v>0</v>
      </c>
      <c r="CE103" s="756">
        <f>IF(EF103=0,0,IF(EE103&gt;AA103,0,IF(CC103=0,0,IF(AND(AZ103&gt;AW103,AW103&gt;0),0,IF(CU103=0,0,Summary!AE406)))))</f>
        <v>0</v>
      </c>
      <c r="CF103" s="475">
        <f t="shared" si="124"/>
        <v>0</v>
      </c>
      <c r="CG103" s="476">
        <f t="shared" si="89"/>
        <v>0</v>
      </c>
      <c r="CH103" s="487">
        <f t="shared" si="125"/>
        <v>0</v>
      </c>
      <c r="CI103" s="756">
        <f t="shared" si="126"/>
        <v>0</v>
      </c>
      <c r="CJ103" s="487">
        <f>IF(CT103&gt;0.4,0,IF(AND(AU103=2,CH103=0,CT103=0.5,ER103=100),35,IF(AND(AU103=3,BB103&gt;75,CH103=0,CT103=0.5,ER103=100),25,IF(CB103&gt;1,0,IF(EF103&gt;EE103,0,IF(AND(AF103&gt;1,CH103=100),0,IF(AND(AF103=1,AY103=0),0,IF(AND(EF103&lt;=EE103,AW103&gt;=AZ103,'Data Entry'!$C$74=1,AU103=2),VLOOKUP(W103,$DO$96:$DP$102,2,FALSE),IF(AND(EF103&lt;=EE103,AW103&gt;=AZ103,AU103=3,'Data Entry'!$C$74=1),VLOOKUP(W103,$DO$127:$DP$134,2,FALSE))))))))))</f>
        <v>0</v>
      </c>
      <c r="CK103" s="716">
        <f t="shared" si="127"/>
        <v>0</v>
      </c>
      <c r="CL103" s="57">
        <f t="shared" si="128"/>
        <v>0</v>
      </c>
      <c r="CM103" s="475">
        <f t="shared" si="154"/>
        <v>0</v>
      </c>
      <c r="CN103" s="660">
        <f>IF(CM103&lt;0.1,0,IF(ISNA(AT103),0,IF(CL103+BC103=1,0,IF(BV103&gt;0.01,0,IF(CL103&gt;0.01,0,IF(CF103=1,0,IF(BC103=0.5,0,IF(AND(CI103=1,AU103=3),0,IF(AND(CI103=5,CL103=0),0,IF(AND(R103=12,BR103=50),0,IF(CK103&gt;0.01,0,IF(AND(AJ103&gt;0.01,AU103=2,BC103=15),CM103*0.1,IF(AND(AJ103&gt;0.01,AU103=3,BC103=15),CM103*0.08,IF(AND(R103=12,BC103=3,AF103&lt;=0),0,IF(AND(BC103=15,BI103=0),0,IF(AND(BC103=15,BJ103=0),0,IF(AND(R103=20,CU103=0),0,IF($X$4=0,0,IF(AND(BC103=250,CL103=0),0,IF(AA103&lt;1,0,IF(AND(ISNUMBER(SEARCH("Area",T103)),AU103=3),0,IF(AND(AQ103&gt;0.01,AR103=0,BK103=0,BL103=0,BM103=0,BN103=0),0,IF(AND(AU103=3,CI103=7,CT103&gt;0.5),0,IF(AND(BC103=44,AU103=3,BY103=0),0,IF(AND(BC103=27,'Data Entry'!$C$74=2),0,IF(AND(BC103=28,'Data Entry'!$C$74=2),0,IF(AND(BY103+BZ103+CA103&gt;0.01,BV103=0,EQ103+ER103+ES103+ET103&lt;100),0,IF(AU103=3,CM103*0.08,IF(AU103=2,CM103*0.1,0)))))))))))))))))))))))))))))</f>
        <v>0</v>
      </c>
      <c r="CO103" s="660">
        <f t="shared" si="129"/>
        <v>0</v>
      </c>
      <c r="CP103" s="475" t="str">
        <f t="shared" si="130"/>
        <v/>
      </c>
      <c r="CQ103" s="161" t="str">
        <f>IF(AH103=0,0,IF(AU103=5,0,Summary!AC106))</f>
        <v/>
      </c>
      <c r="CR103" s="161" t="str">
        <f>IF(BF103=0.5,0,IF(AU103=5,0,Summary!AD106))</f>
        <v/>
      </c>
      <c r="CS103" s="161" t="str">
        <f>IF(AU103=5,0,Summary!AE106)</f>
        <v/>
      </c>
      <c r="CT103" s="161">
        <f t="shared" si="131"/>
        <v>0</v>
      </c>
      <c r="CU103" s="475" t="str">
        <f t="shared" si="132"/>
        <v/>
      </c>
      <c r="CV103" s="307">
        <f>IF('Data Entry'!$C$74=0,0,IF(AA103&lt;1,0,IF(ISERROR(CU103),0,IF(CF103=1,0,IF(AND(R103=12,BR103=50),0,IF(CL103+BO103+BV103+DC103=0,0,IF(BC103=37,0,IF(AND(BC103=40,AJ103=0),0,IF(AND(BC103=37,BO103&gt;0.01,BQ103&gt;0.01),ROUND(BQ103,0),IF(CM103&lt;0,0,ROUND(CM103,0)))))))))))</f>
        <v>0</v>
      </c>
      <c r="CW103" s="700">
        <f t="shared" si="133"/>
        <v>0</v>
      </c>
      <c r="CX103" s="477">
        <f>IF('Data Entry'!$C$74=0,0,IF(CV103&lt;0.01,0,IF(BF103=0.5,0,IF(CF103=1,0,IF(ISNUMBER(SEARCH("false",CL103)),0,IF(AZ103=500,0,CL103))))))</f>
        <v>0</v>
      </c>
      <c r="CY103" s="147" t="e">
        <f t="shared" si="134"/>
        <v>#VALUE!</v>
      </c>
      <c r="CZ103" s="147" t="b">
        <f>IF(CN103+CL103=0,FALSE,IF(AH103=0,0,IF(AND('Data Entry'!$C$74=1,CR103&gt;=1),TRUE,IF(AND('Data Entry'!$C$74=2,CS103&gt;=1),TRUE,FALSE))))</f>
        <v>0</v>
      </c>
      <c r="DA103" s="1751">
        <f>IF('Data Entry'!$C$74=0,0,IFERROR(ROUND(IF(T103="","",IF($X$4=0,0,IF(CF103=1,0,IF(BQ103+CV103=0,0,IF(CF103=1,0,IF(CY103&gt;0.01,CY103,IF(CL103&gt;0.01,CL103,IF(CY103&gt;0.01,CY103,IF(BC103=37,BO103,IF(CZ103=FALSE,0,IF(CZ103=TRUE,DC103+DF103,0))))))))))),2),""))</f>
        <v>0</v>
      </c>
      <c r="DB103" s="1752"/>
      <c r="DC103" s="474">
        <f>IF(CN103&lt;0.01,0,IF(AND(BR103=3,CN103&gt;0.01,CT103&gt;0.6,ER103+ES103+ET103&lt;100),0,IF(AND('Data Entry'!$C$74=1,CN103&gt;0.01,CR103&gt;0.99),MIN(CN103:CO103),IF(AND('Data Entry'!$C$74=2,CN103&gt;0.01,CS103&gt;0.99),MIN(CN103:CO103),0))))</f>
        <v>0</v>
      </c>
      <c r="DD103" s="478">
        <f>IF(CF103=1,"Selection does not match",IF(T103=0,0,IF(AND('Data Entry'!$C$74=0,CP103&gt;1),"Select Oregon or Idaho on Data Entry Tab",IF(AND(AU103=1,AA103&gt;0.9),"Missing Interior or Exterior Selection",IF($X$4=0,"Enter Total Project Cost",IF(AQ103&lt;AR103,"Insufficient kWh savings – no incentive",IF(AND(SUM(CL103+CK103+BV103)&gt;0.01,'Data Entry'!$C$74=2,CJ103&gt;1,BO103=0),"Submit Control as Non-Standard",IF(AND('Data Entry'!$C$74=2,BR103=37,CJ103&gt;1,BO103=0),"Submit Control as Non-Standard",IF(SUM(CL103+CK103+BV103)&gt;0.01,"Standard Incentive",IF(AND('Data Entry'!$C$74=2,CP103=7,CN103=0),"Submit as Non-Standard",IF(DC103&gt;0.9,"Non-Standard Incentive",IF(AND(BY103+BZ103+CA103&gt;0.01,BV103=0,EQ103=0,ER103=0,ES103=0,ET103=0),"Scroll Right &amp; Select Control Strategies",IF(AND(CN103&gt;0.01,CO103=0),"Enter Unit Installed Cost",IF(ISNUMBER(SEARCH("Lighting Controls Only",F103)),"Lighting Controls Only",IF(CL103+DC103=0,"Does not meet incentive criteria",0)))))))))))))))</f>
        <v>0</v>
      </c>
      <c r="DE103" s="337">
        <f t="shared" si="135"/>
        <v>0</v>
      </c>
      <c r="DF103" s="609">
        <f t="shared" si="136"/>
        <v>0</v>
      </c>
      <c r="DG103" s="336" t="str">
        <f t="shared" si="137"/>
        <v/>
      </c>
      <c r="DH103" s="338">
        <f t="shared" si="138"/>
        <v>1</v>
      </c>
      <c r="DI103" s="336" t="e">
        <f t="shared" si="90"/>
        <v>#VALUE!</v>
      </c>
      <c r="DJ103" s="338">
        <f t="shared" si="91"/>
        <v>0</v>
      </c>
      <c r="DK103" s="326" t="s">
        <v>121</v>
      </c>
      <c r="DL103" s="341">
        <v>474</v>
      </c>
      <c r="DM103" s="325" t="s">
        <v>98</v>
      </c>
      <c r="DN103" s="1439"/>
      <c r="DO103" s="1444" t="s">
        <v>1781</v>
      </c>
      <c r="DP103" s="1335">
        <v>35</v>
      </c>
      <c r="DQ103" s="361"/>
      <c r="DR103" s="1125"/>
      <c r="DS103" s="1195">
        <f t="shared" si="139"/>
        <v>0</v>
      </c>
      <c r="DT103" s="344" t="b">
        <f t="shared" si="140"/>
        <v>1</v>
      </c>
      <c r="DU103" s="1314" t="str">
        <f t="array" ref="DU103">IF(OR(COUNTIF(F103,"*"&amp;$DK$9:$DK$178&amp;"*")), "Yes", "")</f>
        <v/>
      </c>
      <c r="DV103" s="1314">
        <f t="shared" si="141"/>
        <v>0</v>
      </c>
      <c r="DW103" s="1480">
        <f t="shared" si="142"/>
        <v>0</v>
      </c>
      <c r="DX103" s="1498">
        <f t="shared" si="151"/>
        <v>0</v>
      </c>
      <c r="DY103" s="1484">
        <f t="shared" si="143"/>
        <v>0</v>
      </c>
      <c r="DZ103" s="361"/>
      <c r="EA103" s="392"/>
      <c r="EB103" s="1499" t="s">
        <v>117</v>
      </c>
      <c r="EC103" s="727" t="s">
        <v>1568</v>
      </c>
      <c r="ED103" s="728">
        <v>0.5</v>
      </c>
      <c r="EE103" s="1215"/>
      <c r="EF103" s="1215"/>
      <c r="EG103" s="1184" t="str">
        <f t="shared" si="144"/>
        <v/>
      </c>
      <c r="EH103" s="55"/>
      <c r="EI103" s="55"/>
      <c r="EJ103" s="1185">
        <f t="shared" si="92"/>
        <v>0</v>
      </c>
      <c r="EK103" s="1211"/>
      <c r="EL103" s="1180">
        <f t="shared" si="93"/>
        <v>0</v>
      </c>
      <c r="EM103" s="207"/>
      <c r="EN103" s="1038"/>
      <c r="EO103" s="1038"/>
      <c r="EP103" s="1038"/>
      <c r="EQ103" s="1038">
        <f t="shared" si="145"/>
        <v>0</v>
      </c>
      <c r="ER103" s="1041">
        <f t="shared" si="146"/>
        <v>0</v>
      </c>
      <c r="ES103" s="1042">
        <f t="shared" si="147"/>
        <v>0</v>
      </c>
      <c r="ET103" s="1042">
        <f t="shared" si="152"/>
        <v>0</v>
      </c>
      <c r="EU103" s="1021">
        <f t="shared" si="153"/>
        <v>0</v>
      </c>
      <c r="EV103" s="368"/>
      <c r="EW103" s="368"/>
      <c r="EX103" s="369"/>
      <c r="EY103" s="370"/>
      <c r="EZ103" s="370"/>
      <c r="FA103" s="371"/>
      <c r="FB103" s="372"/>
    </row>
    <row r="104" spans="1:158" ht="34.5" customHeight="1">
      <c r="A104" s="82">
        <v>96</v>
      </c>
      <c r="B104" s="1725"/>
      <c r="C104" s="1726"/>
      <c r="D104" s="1726"/>
      <c r="E104" s="1727"/>
      <c r="F104" s="1732"/>
      <c r="G104" s="1733"/>
      <c r="H104" s="1733"/>
      <c r="I104" s="1734"/>
      <c r="J104" s="1341"/>
      <c r="K104" s="1728"/>
      <c r="L104" s="1728"/>
      <c r="M104" s="1342"/>
      <c r="N104" s="1583"/>
      <c r="O104" s="208" t="str">
        <f t="shared" si="80"/>
        <v/>
      </c>
      <c r="P104" s="785"/>
      <c r="Q104" s="39" t="str">
        <f t="shared" si="81"/>
        <v/>
      </c>
      <c r="R104" s="39">
        <f t="shared" si="94"/>
        <v>0</v>
      </c>
      <c r="S104" s="234">
        <f t="shared" si="95"/>
        <v>0</v>
      </c>
      <c r="T104" s="1755"/>
      <c r="U104" s="1755"/>
      <c r="V104" s="1755"/>
      <c r="W104" s="1345"/>
      <c r="X104" s="1741"/>
      <c r="Y104" s="1742"/>
      <c r="Z104" s="1346"/>
      <c r="AA104" s="1343"/>
      <c r="AB104" s="1141"/>
      <c r="AC104" s="1103" t="str">
        <f>IF(T104="","",VLOOKUP(Z104,Lists!$A$60:$B$111,2,FALSE))</f>
        <v/>
      </c>
      <c r="AD104" s="130" t="str">
        <f t="shared" si="96"/>
        <v/>
      </c>
      <c r="AE104" s="130" t="e">
        <f t="shared" si="97"/>
        <v>#VALUE!</v>
      </c>
      <c r="AF104" s="130">
        <f t="shared" si="98"/>
        <v>1</v>
      </c>
      <c r="AG104" s="234">
        <f t="shared" si="82"/>
        <v>0</v>
      </c>
      <c r="AH104" s="1753" t="str">
        <f>IF(T104="","",(IF(ISNUMBER(SEARCH("exit",T104)),8760,IF(AND(M104="Dusk to Dawn",'Proposed Lighting'!AU104=3),4059,IF(AND(AU104=3,M104="1"),0,IF(AND(AU104=3,M104="1-C"),0,IF(AND(AU104=3,M104="2"),0,IF(AND(AU104=3,M104="2-C"),0,IF(AND(AU104=3,M104="3"),0,IF(AND(AU104=3,M104="3-C"),0,IF(AND(AU104=2,M104="Dusk to Dawn"),0,IF(AND(AU104=2,M104="Dusk to Dawn-C"),0,IF(AND(AU104=2,M104="Dusk to Dawn"),0,IF(AND(AU104=2,M104="E"),0,IF(AND(AU104=2,M104="E-C"),0,EG104)))))))))))))))</f>
        <v/>
      </c>
      <c r="AI104" s="1754"/>
      <c r="AJ104" s="1136"/>
      <c r="AK104" s="1136"/>
      <c r="AL104" s="1748">
        <f t="shared" si="99"/>
        <v>0</v>
      </c>
      <c r="AM104" s="1749"/>
      <c r="AN104" s="1750"/>
      <c r="AO104" s="476">
        <f t="shared" si="83"/>
        <v>0</v>
      </c>
      <c r="AP104" s="476">
        <f t="shared" si="100"/>
        <v>0</v>
      </c>
      <c r="AQ104" s="475">
        <f t="shared" si="84"/>
        <v>0</v>
      </c>
      <c r="AR104" s="475">
        <f t="shared" si="101"/>
        <v>0</v>
      </c>
      <c r="AS104" s="743" t="str">
        <f t="shared" si="156"/>
        <v/>
      </c>
      <c r="AT104" s="736" t="str">
        <f t="shared" si="102"/>
        <v/>
      </c>
      <c r="AU104" s="56">
        <f t="shared" si="103"/>
        <v>1</v>
      </c>
      <c r="AV104" s="476">
        <f t="shared" si="104"/>
        <v>0</v>
      </c>
      <c r="AW104" s="56">
        <f t="shared" si="105"/>
        <v>0</v>
      </c>
      <c r="AX104" s="475">
        <f t="shared" si="85"/>
        <v>0</v>
      </c>
      <c r="AY104" s="1169">
        <f t="shared" si="106"/>
        <v>0</v>
      </c>
      <c r="AZ104" s="1150">
        <f t="shared" si="148"/>
        <v>0</v>
      </c>
      <c r="BA104" s="56">
        <f t="shared" si="86"/>
        <v>0</v>
      </c>
      <c r="BB104" s="420">
        <f t="shared" si="87"/>
        <v>0</v>
      </c>
      <c r="BC104" s="58" t="str">
        <f t="shared" si="88"/>
        <v/>
      </c>
      <c r="BD104" s="660">
        <f t="shared" si="149"/>
        <v>0</v>
      </c>
      <c r="BE104" s="57" t="e">
        <f t="array" ref="BE104">INDEX($EB$11:$ED$1022,MATCH(F104&amp;T104,$EB$11:$EB$1007&amp;$EC$11:$EC$1007,0),3)</f>
        <v>#N/A</v>
      </c>
      <c r="BF104" s="463">
        <f t="shared" si="107"/>
        <v>0</v>
      </c>
      <c r="BG104" s="1445" t="e">
        <f t="array" ref="BG104">INDEX($DO$112:$DQ$123,MATCH(T104&amp;W104,$DO$114:$DO$125&amp;$DP$112:$DP$123,0),3)</f>
        <v>#N/A</v>
      </c>
      <c r="BH104" s="1446">
        <f t="shared" si="108"/>
        <v>0</v>
      </c>
      <c r="BI104" s="465">
        <f t="shared" si="109"/>
        <v>0</v>
      </c>
      <c r="BJ104" s="465">
        <f t="shared" si="110"/>
        <v>0</v>
      </c>
      <c r="BK104" s="466">
        <f t="shared" si="111"/>
        <v>0</v>
      </c>
      <c r="BL104" s="466">
        <f t="shared" si="112"/>
        <v>0</v>
      </c>
      <c r="BM104" s="466">
        <f t="shared" si="113"/>
        <v>0</v>
      </c>
      <c r="BN104" s="466">
        <f t="shared" si="114"/>
        <v>0</v>
      </c>
      <c r="BO104" s="463">
        <f>IF('Data Entry'!$C$74=0,0,IF(ISNA(CJ104),0,IF(AX104=0,0,IF(AND('Data Entry'!$C$74=2,AF104&gt;2,CE104&lt;1),0,IF(AND('Data Entry'!$C$74=2,AF104&gt;1,AU104=2,CJ104&gt;1),0,IF(AND(AF104=5,CT104=0.5,AU104=2,ER104&lt;100),0,IF(AND(AF104=5,CT104=0.5,AU104=3,ER104&lt;100),0,IF(AND('Data Entry'!$C$74=2,AF104=2,AU104=2,AK104&gt;0.01,CB104=2,CE104&lt;1),0,IF(AND('Data Entry'!$C$74=2,AF104=3,AU104=3,AK104&gt;0.01,CB104=3,CE104&lt;1),0,IF(AND('Data Entry'!$C$74=2,AF104=3,AU104=3,AK104&gt;0.01,CB104=3,CE104&gt;0.99),BQ104*0.08,IF(AND('Data Entry'!$C$74=2,AF104=2,AU104=2,AK104&gt;0.01,CB104=2,CE104&gt;0.99),BQ104*0.1,IF(AND(AU104=2,AK104&gt;0.01,CB104=2,CD104&gt;1),BQ104*0.1,IF(AND(AU104=3,AK104&gt;0.01,CB104=3,CD104&gt;1),BQ104*0.08,CJ104*EF104)))))))))))))</f>
        <v>0</v>
      </c>
      <c r="BP104" s="475">
        <f t="shared" si="115"/>
        <v>0</v>
      </c>
      <c r="BQ104" s="1431">
        <f>IF(AU104=1,0,IF(CH104=100,0,IF(AND(AF104=3,AU104=2),0,IF(AND(BH104=0,CT104&gt;0.4),0,IF(AND('Data Entry'!$C$74=2,AF104=1.5),0,IF(AND('Data Entry'!$C$74=2,AF104=1.6),0,IF(AND('Data Entry'!$C$74=2,AF104=4),0,IF(AND('Data Entry'!$C$74=2,AF104=5),0,IF(AND('Data Entry'!$C$74=2,AF104=2.5,CE104&lt;1),0,IF(AND('Data Entry'!$C$74=2,AF104=3,CE104&lt;1),0,IF(AND('Data Entry'!$C$74=1,AF104=2.5,CD104&lt;1),0,IF(AND('Data Entry'!$C$74=1,AF104=3,CD104&lt;1),0,IF(DX104&gt;0.01,DX104,IF(ISERROR(AX104-AY104),"",ROUND(AX104-AY104,2)))))))))))))))</f>
        <v>0</v>
      </c>
      <c r="BR104" s="146">
        <f t="shared" si="116"/>
        <v>0</v>
      </c>
      <c r="BS104" s="475">
        <f t="shared" si="117"/>
        <v>0</v>
      </c>
      <c r="BT104" s="146" t="b">
        <f t="shared" si="118"/>
        <v>0</v>
      </c>
      <c r="BU104" s="463">
        <f>IF(ISNA(AT104),0,IF(AND('Data Entry'!$C$74=2,BC104=27),0,IF(AND('Data Entry'!$C$74=2,BC104=28),0,IF(AND(BC104=27,BT104=27,CM104&gt;0.1),CM104*0.15,IF(AND(BC104=28,BT104=28,CM104&gt;0.1),CM104*0.12,0)))))</f>
        <v>0</v>
      </c>
      <c r="BV104" s="463">
        <f t="shared" si="155"/>
        <v>0</v>
      </c>
      <c r="BW104" s="463">
        <f t="shared" si="119"/>
        <v>0</v>
      </c>
      <c r="BX104" s="463">
        <f t="shared" si="120"/>
        <v>0</v>
      </c>
      <c r="BY104" s="463">
        <f t="shared" si="121"/>
        <v>0</v>
      </c>
      <c r="BZ104" s="463">
        <f t="shared" si="122"/>
        <v>0</v>
      </c>
      <c r="CA104" s="57">
        <f t="shared" si="150"/>
        <v>0</v>
      </c>
      <c r="CB104" s="56">
        <f t="shared" si="123"/>
        <v>1</v>
      </c>
      <c r="CC104" s="756">
        <f>IF(EE104=0,0,IF(EF104=0,0,IF(EE104&gt;AA104,0,IF(AND(AZ104&gt;AW104,AW104&gt;0),0,IF(CU104=0,0,Summary!AC407)))))</f>
        <v>0</v>
      </c>
      <c r="CD104" s="756">
        <f>IF(EE104=0,0,IF(EF104=0,0,IF(EE104&gt;AA104,0,IF(AND(AZ104&gt;AW104,AW104&gt;0),0,IF(CU104=0,0,Summary!AD407)))))</f>
        <v>0</v>
      </c>
      <c r="CE104" s="756">
        <f>IF(EF104=0,0,IF(EE104&gt;AA104,0,IF(CC104=0,0,IF(AND(AZ104&gt;AW104,AW104&gt;0),0,IF(CU104=0,0,Summary!AE407)))))</f>
        <v>0</v>
      </c>
      <c r="CF104" s="475">
        <f t="shared" si="124"/>
        <v>0</v>
      </c>
      <c r="CG104" s="476">
        <f t="shared" si="89"/>
        <v>0</v>
      </c>
      <c r="CH104" s="487">
        <f t="shared" si="125"/>
        <v>0</v>
      </c>
      <c r="CI104" s="756">
        <f t="shared" si="126"/>
        <v>0</v>
      </c>
      <c r="CJ104" s="487">
        <f>IF(CT104&gt;0.4,0,IF(AND(AU104=2,CH104=0,CT104=0.5,ER104=100),35,IF(AND(AU104=3,BB104&gt;75,CH104=0,CT104=0.5,ER104=100),25,IF(CB104&gt;1,0,IF(EF104&gt;EE104,0,IF(AND(AF104&gt;1,CH104=100),0,IF(AND(AF104=1,AY104=0),0,IF(AND(EF104&lt;=EE104,AW104&gt;=AZ104,'Data Entry'!$C$74=1,AU104=2),VLOOKUP(W104,$DO$96:$DP$102,2,FALSE),IF(AND(EF104&lt;=EE104,AW104&gt;=AZ104,AU104=3,'Data Entry'!$C$74=1),VLOOKUP(W104,$DO$127:$DP$134,2,FALSE))))))))))</f>
        <v>0</v>
      </c>
      <c r="CK104" s="716">
        <f t="shared" si="127"/>
        <v>0</v>
      </c>
      <c r="CL104" s="57">
        <f t="shared" si="128"/>
        <v>0</v>
      </c>
      <c r="CM104" s="475">
        <f t="shared" si="154"/>
        <v>0</v>
      </c>
      <c r="CN104" s="660">
        <f>IF(CM104&lt;0.1,0,IF(ISNA(AT104),0,IF(CL104+BC104=1,0,IF(BV104&gt;0.01,0,IF(CL104&gt;0.01,0,IF(CF104=1,0,IF(BC104=0.5,0,IF(AND(CI104=1,AU104=3),0,IF(AND(CI104=5,CL104=0),0,IF(AND(R104=12,BR104=50),0,IF(CK104&gt;0.01,0,IF(AND(AJ104&gt;0.01,AU104=2,BC104=15),CM104*0.1,IF(AND(AJ104&gt;0.01,AU104=3,BC104=15),CM104*0.08,IF(AND(R104=12,BC104=3,AF104&lt;=0),0,IF(AND(BC104=15,BI104=0),0,IF(AND(BC104=15,BJ104=0),0,IF(AND(R104=20,CU104=0),0,IF($X$4=0,0,IF(AND(BC104=250,CL104=0),0,IF(AA104&lt;1,0,IF(AND(ISNUMBER(SEARCH("Area",T104)),AU104=3),0,IF(AND(AQ104&gt;0.01,AR104=0,BK104=0,BL104=0,BM104=0,BN104=0),0,IF(AND(AU104=3,CI104=7,CT104&gt;0.5),0,IF(AND(BC104=44,AU104=3,BY104=0),0,IF(AND(BC104=27,'Data Entry'!$C$74=2),0,IF(AND(BC104=28,'Data Entry'!$C$74=2),0,IF(AND(BY104+BZ104+CA104&gt;0.01,BV104=0,EQ104+ER104+ES104+ET104&lt;100),0,IF(AU104=3,CM104*0.08,IF(AU104=2,CM104*0.1,0)))))))))))))))))))))))))))))</f>
        <v>0</v>
      </c>
      <c r="CO104" s="660">
        <f t="shared" si="129"/>
        <v>0</v>
      </c>
      <c r="CP104" s="475" t="str">
        <f t="shared" si="130"/>
        <v/>
      </c>
      <c r="CQ104" s="161" t="str">
        <f>IF(AH104=0,0,IF(AU104=5,0,Summary!AC107))</f>
        <v/>
      </c>
      <c r="CR104" s="161" t="str">
        <f>IF(BF104=0.5,0,IF(AU104=5,0,Summary!AD107))</f>
        <v/>
      </c>
      <c r="CS104" s="161" t="str">
        <f>IF(AU104=5,0,Summary!AE107)</f>
        <v/>
      </c>
      <c r="CT104" s="161">
        <f t="shared" si="131"/>
        <v>0</v>
      </c>
      <c r="CU104" s="475" t="str">
        <f t="shared" si="132"/>
        <v/>
      </c>
      <c r="CV104" s="307">
        <f>IF('Data Entry'!$C$74=0,0,IF(AA104&lt;1,0,IF(ISERROR(CU104),0,IF(CF104=1,0,IF(AND(R104=12,BR104=50),0,IF(CL104+BO104+BV104+DC104=0,0,IF(BC104=37,0,IF(AND(BC104=40,AJ104=0),0,IF(AND(BC104=37,BO104&gt;0.01,BQ104&gt;0.01),ROUND(BQ104,0),IF(CM104&lt;0,0,ROUND(CM104,0)))))))))))</f>
        <v>0</v>
      </c>
      <c r="CW104" s="700">
        <f t="shared" si="133"/>
        <v>0</v>
      </c>
      <c r="CX104" s="477">
        <f>IF('Data Entry'!$C$74=0,0,IF(CV104&lt;0.01,0,IF(BF104=0.5,0,IF(CF104=1,0,IF(ISNUMBER(SEARCH("false",CL104)),0,IF(AZ104=500,0,CL104))))))</f>
        <v>0</v>
      </c>
      <c r="CY104" s="147" t="e">
        <f t="shared" si="134"/>
        <v>#VALUE!</v>
      </c>
      <c r="CZ104" s="147" t="b">
        <f>IF(CN104+CL104=0,FALSE,IF(AH104=0,0,IF(AND('Data Entry'!$C$74=1,CR104&gt;=1),TRUE,IF(AND('Data Entry'!$C$74=2,CS104&gt;=1),TRUE,FALSE))))</f>
        <v>0</v>
      </c>
      <c r="DA104" s="1751">
        <f>IF('Data Entry'!$C$74=0,0,IFERROR(ROUND(IF(T104="","",IF($X$4=0,0,IF(CF104=1,0,IF(BQ104+CV104=0,0,IF(CF104=1,0,IF(CY104&gt;0.01,CY104,IF(CL104&gt;0.01,CL104,IF(CY104&gt;0.01,CY104,IF(BC104=37,BO104,IF(CZ104=FALSE,0,IF(CZ104=TRUE,DC104+DF104,0))))))))))),2),""))</f>
        <v>0</v>
      </c>
      <c r="DB104" s="1752"/>
      <c r="DC104" s="474">
        <f>IF(CN104&lt;0.01,0,IF(AND(BR104=3,CN104&gt;0.01,CT104&gt;0.6,ER104+ES104+ET104&lt;100),0,IF(AND('Data Entry'!$C$74=1,CN104&gt;0.01,CR104&gt;0.99),MIN(CN104:CO104),IF(AND('Data Entry'!$C$74=2,CN104&gt;0.01,CS104&gt;0.99),MIN(CN104:CO104),0))))</f>
        <v>0</v>
      </c>
      <c r="DD104" s="478">
        <f>IF(CF104=1,"Selection does not match",IF(T104=0,0,IF(AND('Data Entry'!$C$74=0,CP104&gt;1),"Select Oregon or Idaho on Data Entry Tab",IF(AND(AU104=1,AA104&gt;0.9),"Missing Interior or Exterior Selection",IF($X$4=0,"Enter Total Project Cost",IF(AQ104&lt;AR104,"Insufficient kWh savings – no incentive",IF(AND(SUM(CL104+CK104+BV104)&gt;0.01,'Data Entry'!$C$74=2,CJ104&gt;1,BO104=0),"Submit Control as Non-Standard",IF(AND('Data Entry'!$C$74=2,BR104=37,CJ104&gt;1,BO104=0),"Submit Control as Non-Standard",IF(SUM(CL104+CK104+BV104)&gt;0.01,"Standard Incentive",IF(AND('Data Entry'!$C$74=2,CP104=7,CN104=0),"Submit as Non-Standard",IF(DC104&gt;0.9,"Non-Standard Incentive",IF(AND(BY104+BZ104+CA104&gt;0.01,BV104=0,EQ104=0,ER104=0,ES104=0,ET104=0),"Scroll Right &amp; Select Control Strategies",IF(AND(CN104&gt;0.01,CO104=0),"Enter Unit Installed Cost",IF(ISNUMBER(SEARCH("Lighting Controls Only",F104)),"Lighting Controls Only",IF(CL104+DC104=0,"Does not meet incentive criteria",0)))))))))))))))</f>
        <v>0</v>
      </c>
      <c r="DE104" s="337">
        <f t="shared" si="135"/>
        <v>0</v>
      </c>
      <c r="DF104" s="609">
        <f t="shared" si="136"/>
        <v>0</v>
      </c>
      <c r="DG104" s="336" t="str">
        <f t="shared" si="137"/>
        <v/>
      </c>
      <c r="DH104" s="338">
        <f t="shared" si="138"/>
        <v>1</v>
      </c>
      <c r="DI104" s="336" t="e">
        <f t="shared" si="90"/>
        <v>#VALUE!</v>
      </c>
      <c r="DJ104" s="338">
        <f t="shared" si="91"/>
        <v>0</v>
      </c>
      <c r="DK104" s="326" t="s">
        <v>122</v>
      </c>
      <c r="DL104" s="341">
        <v>200</v>
      </c>
      <c r="DM104" s="325" t="s">
        <v>498</v>
      </c>
      <c r="DN104" s="1439"/>
      <c r="DO104" s="1444" t="s">
        <v>1781</v>
      </c>
      <c r="DP104" s="1335">
        <v>35</v>
      </c>
      <c r="DQ104" s="374"/>
      <c r="DR104" s="1125"/>
      <c r="DS104" s="1195">
        <f t="shared" si="139"/>
        <v>0</v>
      </c>
      <c r="DT104" s="344" t="b">
        <f t="shared" si="140"/>
        <v>1</v>
      </c>
      <c r="DU104" s="1314" t="str">
        <f t="array" ref="DU104">IF(OR(COUNTIF(F104,"*"&amp;$DK$9:$DK$178&amp;"*")), "Yes", "")</f>
        <v/>
      </c>
      <c r="DV104" s="1314">
        <f t="shared" si="141"/>
        <v>0</v>
      </c>
      <c r="DW104" s="1480">
        <f t="shared" si="142"/>
        <v>0</v>
      </c>
      <c r="DX104" s="1498">
        <f t="shared" si="151"/>
        <v>0</v>
      </c>
      <c r="DY104" s="1484">
        <f t="shared" si="143"/>
        <v>0</v>
      </c>
      <c r="DZ104" s="356"/>
      <c r="EA104" s="392"/>
      <c r="EB104" s="1499" t="s">
        <v>118</v>
      </c>
      <c r="EC104" s="727" t="s">
        <v>1568</v>
      </c>
      <c r="ED104" s="728">
        <v>0.5</v>
      </c>
      <c r="EE104" s="1215"/>
      <c r="EF104" s="1215"/>
      <c r="EG104" s="1184" t="str">
        <f t="shared" si="144"/>
        <v/>
      </c>
      <c r="EH104" s="55"/>
      <c r="EI104" s="55"/>
      <c r="EJ104" s="1185">
        <f t="shared" si="92"/>
        <v>0</v>
      </c>
      <c r="EK104" s="1211"/>
      <c r="EL104" s="1180">
        <f t="shared" si="93"/>
        <v>0</v>
      </c>
      <c r="EM104" s="207"/>
      <c r="EN104" s="1038"/>
      <c r="EO104" s="1038"/>
      <c r="EP104" s="1038"/>
      <c r="EQ104" s="1038">
        <f t="shared" si="145"/>
        <v>0</v>
      </c>
      <c r="ER104" s="1041">
        <f t="shared" si="146"/>
        <v>0</v>
      </c>
      <c r="ES104" s="1042">
        <f t="shared" si="147"/>
        <v>0</v>
      </c>
      <c r="ET104" s="1042">
        <f t="shared" si="152"/>
        <v>0</v>
      </c>
      <c r="EU104" s="1021">
        <f t="shared" si="153"/>
        <v>0</v>
      </c>
      <c r="EV104" s="368"/>
      <c r="EW104" s="368"/>
      <c r="EX104" s="369"/>
      <c r="EY104" s="370"/>
      <c r="EZ104" s="370"/>
      <c r="FA104" s="371"/>
      <c r="FB104" s="372"/>
    </row>
    <row r="105" spans="1:158" ht="34.5" customHeight="1">
      <c r="A105" s="82">
        <v>97</v>
      </c>
      <c r="B105" s="1725"/>
      <c r="C105" s="1726"/>
      <c r="D105" s="1726"/>
      <c r="E105" s="1727"/>
      <c r="F105" s="1732"/>
      <c r="G105" s="1733"/>
      <c r="H105" s="1733"/>
      <c r="I105" s="1734"/>
      <c r="J105" s="1341"/>
      <c r="K105" s="1728"/>
      <c r="L105" s="1728"/>
      <c r="M105" s="1342"/>
      <c r="N105" s="1583"/>
      <c r="O105" s="208" t="str">
        <f t="shared" si="80"/>
        <v/>
      </c>
      <c r="P105" s="785"/>
      <c r="Q105" s="39" t="str">
        <f t="shared" si="81"/>
        <v/>
      </c>
      <c r="R105" s="39">
        <f t="shared" si="94"/>
        <v>0</v>
      </c>
      <c r="S105" s="234">
        <f t="shared" si="95"/>
        <v>0</v>
      </c>
      <c r="T105" s="1755"/>
      <c r="U105" s="1755"/>
      <c r="V105" s="1755"/>
      <c r="W105" s="1345"/>
      <c r="X105" s="1741"/>
      <c r="Y105" s="1742"/>
      <c r="Z105" s="1346"/>
      <c r="AA105" s="1343"/>
      <c r="AB105" s="1141"/>
      <c r="AC105" s="1103" t="str">
        <f>IF(T105="","",VLOOKUP(Z105,Lists!$A$60:$B$111,2,FALSE))</f>
        <v/>
      </c>
      <c r="AD105" s="130" t="str">
        <f t="shared" si="96"/>
        <v/>
      </c>
      <c r="AE105" s="130" t="e">
        <f t="shared" si="97"/>
        <v>#VALUE!</v>
      </c>
      <c r="AF105" s="130">
        <f t="shared" si="98"/>
        <v>1</v>
      </c>
      <c r="AG105" s="234">
        <f t="shared" si="82"/>
        <v>0</v>
      </c>
      <c r="AH105" s="1753" t="str">
        <f>IF(T105="","",(IF(ISNUMBER(SEARCH("exit",T105)),8760,IF(AND(M105="Dusk to Dawn",'Proposed Lighting'!AU105=3),4059,IF(AND(AU105=3,M105="1"),0,IF(AND(AU105=3,M105="1-C"),0,IF(AND(AU105=3,M105="2"),0,IF(AND(AU105=3,M105="2-C"),0,IF(AND(AU105=3,M105="3"),0,IF(AND(AU105=3,M105="3-C"),0,IF(AND(AU105=2,M105="Dusk to Dawn"),0,IF(AND(AU105=2,M105="Dusk to Dawn-C"),0,IF(AND(AU105=2,M105="Dusk to Dawn"),0,IF(AND(AU105=2,M105="E"),0,IF(AND(AU105=2,M105="E-C"),0,EG105)))))))))))))))</f>
        <v/>
      </c>
      <c r="AI105" s="1754"/>
      <c r="AJ105" s="1136"/>
      <c r="AK105" s="1136"/>
      <c r="AL105" s="1748">
        <f t="shared" si="99"/>
        <v>0</v>
      </c>
      <c r="AM105" s="1749"/>
      <c r="AN105" s="1750"/>
      <c r="AO105" s="476">
        <f t="shared" si="83"/>
        <v>0</v>
      </c>
      <c r="AP105" s="476">
        <f t="shared" si="100"/>
        <v>0</v>
      </c>
      <c r="AQ105" s="475">
        <f t="shared" si="84"/>
        <v>0</v>
      </c>
      <c r="AR105" s="475">
        <f t="shared" si="101"/>
        <v>0</v>
      </c>
      <c r="AS105" s="743" t="str">
        <f t="shared" si="156"/>
        <v/>
      </c>
      <c r="AT105" s="736" t="str">
        <f t="shared" si="102"/>
        <v/>
      </c>
      <c r="AU105" s="56">
        <f t="shared" si="103"/>
        <v>1</v>
      </c>
      <c r="AV105" s="476">
        <f t="shared" si="104"/>
        <v>0</v>
      </c>
      <c r="AW105" s="56">
        <f t="shared" si="105"/>
        <v>0</v>
      </c>
      <c r="AX105" s="475">
        <f t="shared" si="85"/>
        <v>0</v>
      </c>
      <c r="AY105" s="1169">
        <f t="shared" si="106"/>
        <v>0</v>
      </c>
      <c r="AZ105" s="1150">
        <f t="shared" si="148"/>
        <v>0</v>
      </c>
      <c r="BA105" s="56">
        <f t="shared" si="86"/>
        <v>0</v>
      </c>
      <c r="BB105" s="420">
        <f t="shared" si="87"/>
        <v>0</v>
      </c>
      <c r="BC105" s="58" t="str">
        <f t="shared" si="88"/>
        <v/>
      </c>
      <c r="BD105" s="660">
        <f t="shared" si="149"/>
        <v>0</v>
      </c>
      <c r="BE105" s="57" t="e">
        <f t="array" ref="BE105">INDEX($EB$11:$ED$1022,MATCH(F105&amp;T105,$EB$11:$EB$1007&amp;$EC$11:$EC$1007,0),3)</f>
        <v>#N/A</v>
      </c>
      <c r="BF105" s="463">
        <f t="shared" si="107"/>
        <v>0</v>
      </c>
      <c r="BG105" s="1445" t="e">
        <f t="array" ref="BG105">INDEX($DO$112:$DQ$123,MATCH(T105&amp;W105,$DO$114:$DO$125&amp;$DP$112:$DP$123,0),3)</f>
        <v>#N/A</v>
      </c>
      <c r="BH105" s="1446">
        <f t="shared" si="108"/>
        <v>0</v>
      </c>
      <c r="BI105" s="465">
        <f t="shared" si="109"/>
        <v>0</v>
      </c>
      <c r="BJ105" s="465">
        <f t="shared" si="110"/>
        <v>0</v>
      </c>
      <c r="BK105" s="466">
        <f t="shared" si="111"/>
        <v>0</v>
      </c>
      <c r="BL105" s="466">
        <f t="shared" si="112"/>
        <v>0</v>
      </c>
      <c r="BM105" s="466">
        <f t="shared" si="113"/>
        <v>0</v>
      </c>
      <c r="BN105" s="466">
        <f t="shared" si="114"/>
        <v>0</v>
      </c>
      <c r="BO105" s="463">
        <f>IF('Data Entry'!$C$74=0,0,IF(ISNA(CJ105),0,IF(AX105=0,0,IF(AND('Data Entry'!$C$74=2,AF105&gt;2,CE105&lt;1),0,IF(AND('Data Entry'!$C$74=2,AF105&gt;1,AU105=2,CJ105&gt;1),0,IF(AND(AF105=5,CT105=0.5,AU105=2,ER105&lt;100),0,IF(AND(AF105=5,CT105=0.5,AU105=3,ER105&lt;100),0,IF(AND('Data Entry'!$C$74=2,AF105=2,AU105=2,AK105&gt;0.01,CB105=2,CE105&lt;1),0,IF(AND('Data Entry'!$C$74=2,AF105=3,AU105=3,AK105&gt;0.01,CB105=3,CE105&lt;1),0,IF(AND('Data Entry'!$C$74=2,AF105=3,AU105=3,AK105&gt;0.01,CB105=3,CE105&gt;0.99),BQ105*0.08,IF(AND('Data Entry'!$C$74=2,AF105=2,AU105=2,AK105&gt;0.01,CB105=2,CE105&gt;0.99),BQ105*0.1,IF(AND(AU105=2,AK105&gt;0.01,CB105=2,CD105&gt;1),BQ105*0.1,IF(AND(AU105=3,AK105&gt;0.01,CB105=3,CD105&gt;1),BQ105*0.08,CJ105*EF105)))))))))))))</f>
        <v>0</v>
      </c>
      <c r="BP105" s="475">
        <f t="shared" si="115"/>
        <v>0</v>
      </c>
      <c r="BQ105" s="1431">
        <f>IF(AU105=1,0,IF(CH105=100,0,IF(AND(AF105=3,AU105=2),0,IF(AND(BH105=0,CT105&gt;0.4),0,IF(AND('Data Entry'!$C$74=2,AF105=1.5),0,IF(AND('Data Entry'!$C$74=2,AF105=1.6),0,IF(AND('Data Entry'!$C$74=2,AF105=4),0,IF(AND('Data Entry'!$C$74=2,AF105=5),0,IF(AND('Data Entry'!$C$74=2,AF105=2.5,CE105&lt;1),0,IF(AND('Data Entry'!$C$74=2,AF105=3,CE105&lt;1),0,IF(AND('Data Entry'!$C$74=1,AF105=2.5,CD105&lt;1),0,IF(AND('Data Entry'!$C$74=1,AF105=3,CD105&lt;1),0,IF(DX105&gt;0.01,DX105,IF(ISERROR(AX105-AY105),"",ROUND(AX105-AY105,2)))))))))))))))</f>
        <v>0</v>
      </c>
      <c r="BR105" s="146">
        <f t="shared" si="116"/>
        <v>0</v>
      </c>
      <c r="BS105" s="475">
        <f t="shared" si="117"/>
        <v>0</v>
      </c>
      <c r="BT105" s="146" t="b">
        <f t="shared" si="118"/>
        <v>0</v>
      </c>
      <c r="BU105" s="463">
        <f>IF(ISNA(AT105),0,IF(AND('Data Entry'!$C$74=2,BC105=27),0,IF(AND('Data Entry'!$C$74=2,BC105=28),0,IF(AND(BC105=27,BT105=27,CM105&gt;0.1),CM105*0.15,IF(AND(BC105=28,BT105=28,CM105&gt;0.1),CM105*0.12,0)))))</f>
        <v>0</v>
      </c>
      <c r="BV105" s="463">
        <f t="shared" si="155"/>
        <v>0</v>
      </c>
      <c r="BW105" s="463">
        <f t="shared" si="119"/>
        <v>0</v>
      </c>
      <c r="BX105" s="463">
        <f t="shared" si="120"/>
        <v>0</v>
      </c>
      <c r="BY105" s="463">
        <f t="shared" si="121"/>
        <v>0</v>
      </c>
      <c r="BZ105" s="463">
        <f t="shared" si="122"/>
        <v>0</v>
      </c>
      <c r="CA105" s="57">
        <f t="shared" si="150"/>
        <v>0</v>
      </c>
      <c r="CB105" s="56">
        <f t="shared" si="123"/>
        <v>1</v>
      </c>
      <c r="CC105" s="756">
        <f>IF(EE105=0,0,IF(EF105=0,0,IF(EE105&gt;AA105,0,IF(AND(AZ105&gt;AW105,AW105&gt;0),0,IF(CU105=0,0,Summary!AC408)))))</f>
        <v>0</v>
      </c>
      <c r="CD105" s="756">
        <f>IF(EE105=0,0,IF(EF105=0,0,IF(EE105&gt;AA105,0,IF(AND(AZ105&gt;AW105,AW105&gt;0),0,IF(CU105=0,0,Summary!AD408)))))</f>
        <v>0</v>
      </c>
      <c r="CE105" s="756">
        <f>IF(EF105=0,0,IF(EE105&gt;AA105,0,IF(CC105=0,0,IF(AND(AZ105&gt;AW105,AW105&gt;0),0,IF(CU105=0,0,Summary!AE408)))))</f>
        <v>0</v>
      </c>
      <c r="CF105" s="475">
        <f t="shared" si="124"/>
        <v>0</v>
      </c>
      <c r="CG105" s="476">
        <f t="shared" si="89"/>
        <v>0</v>
      </c>
      <c r="CH105" s="487">
        <f t="shared" si="125"/>
        <v>0</v>
      </c>
      <c r="CI105" s="756">
        <f t="shared" si="126"/>
        <v>0</v>
      </c>
      <c r="CJ105" s="487">
        <f>IF(CT105&gt;0.4,0,IF(AND(AU105=2,CH105=0,CT105=0.5,ER105=100),35,IF(AND(AU105=3,BB105&gt;75,CH105=0,CT105=0.5,ER105=100),25,IF(CB105&gt;1,0,IF(EF105&gt;EE105,0,IF(AND(AF105&gt;1,CH105=100),0,IF(AND(AF105=1,AY105=0),0,IF(AND(EF105&lt;=EE105,AW105&gt;=AZ105,'Data Entry'!$C$74=1,AU105=2),VLOOKUP(W105,$DO$96:$DP$102,2,FALSE),IF(AND(EF105&lt;=EE105,AW105&gt;=AZ105,AU105=3,'Data Entry'!$C$74=1),VLOOKUP(W105,$DO$127:$DP$134,2,FALSE))))))))))</f>
        <v>0</v>
      </c>
      <c r="CK105" s="716">
        <f t="shared" si="127"/>
        <v>0</v>
      </c>
      <c r="CL105" s="57">
        <f t="shared" si="128"/>
        <v>0</v>
      </c>
      <c r="CM105" s="475">
        <f t="shared" si="154"/>
        <v>0</v>
      </c>
      <c r="CN105" s="660">
        <f>IF(CM105&lt;0.1,0,IF(ISNA(AT105),0,IF(CL105+BC105=1,0,IF(BV105&gt;0.01,0,IF(CL105&gt;0.01,0,IF(CF105=1,0,IF(BC105=0.5,0,IF(AND(CI105=1,AU105=3),0,IF(AND(CI105=5,CL105=0),0,IF(AND(R105=12,BR105=50),0,IF(CK105&gt;0.01,0,IF(AND(AJ105&gt;0.01,AU105=2,BC105=15),CM105*0.1,IF(AND(AJ105&gt;0.01,AU105=3,BC105=15),CM105*0.08,IF(AND(R105=12,BC105=3,AF105&lt;=0),0,IF(AND(BC105=15,BI105=0),0,IF(AND(BC105=15,BJ105=0),0,IF(AND(R105=20,CU105=0),0,IF($X$4=0,0,IF(AND(BC105=250,CL105=0),0,IF(AA105&lt;1,0,IF(AND(ISNUMBER(SEARCH("Area",T105)),AU105=3),0,IF(AND(AQ105&gt;0.01,AR105=0,BK105=0,BL105=0,BM105=0,BN105=0),0,IF(AND(AU105=3,CI105=7,CT105&gt;0.5),0,IF(AND(BC105=44,AU105=3,BY105=0),0,IF(AND(BC105=27,'Data Entry'!$C$74=2),0,IF(AND(BC105=28,'Data Entry'!$C$74=2),0,IF(AND(BY105+BZ105+CA105&gt;0.01,BV105=0,EQ105+ER105+ES105+ET105&lt;100),0,IF(AU105=3,CM105*0.08,IF(AU105=2,CM105*0.1,0)))))))))))))))))))))))))))))</f>
        <v>0</v>
      </c>
      <c r="CO105" s="660">
        <f t="shared" si="129"/>
        <v>0</v>
      </c>
      <c r="CP105" s="475" t="str">
        <f t="shared" si="130"/>
        <v/>
      </c>
      <c r="CQ105" s="161" t="str">
        <f>IF(AH105=0,0,IF(AU105=5,0,Summary!AC108))</f>
        <v/>
      </c>
      <c r="CR105" s="161" t="str">
        <f>IF(BF105=0.5,0,IF(AU105=5,0,Summary!AD108))</f>
        <v/>
      </c>
      <c r="CS105" s="161" t="str">
        <f>IF(AU105=5,0,Summary!AE108)</f>
        <v/>
      </c>
      <c r="CT105" s="161">
        <f t="shared" si="131"/>
        <v>0</v>
      </c>
      <c r="CU105" s="475" t="str">
        <f t="shared" si="132"/>
        <v/>
      </c>
      <c r="CV105" s="307">
        <f>IF('Data Entry'!$C$74=0,0,IF(AA105&lt;1,0,IF(ISERROR(CU105),0,IF(CF105=1,0,IF(AND(R105=12,BR105=50),0,IF(CL105+BO105+BV105+DC105=0,0,IF(BC105=37,0,IF(AND(BC105=40,AJ105=0),0,IF(AND(BC105=37,BO105&gt;0.01,BQ105&gt;0.01),ROUND(BQ105,0),IF(CM105&lt;0,0,ROUND(CM105,0)))))))))))</f>
        <v>0</v>
      </c>
      <c r="CW105" s="700">
        <f t="shared" si="133"/>
        <v>0</v>
      </c>
      <c r="CX105" s="477">
        <f>IF('Data Entry'!$C$74=0,0,IF(CV105&lt;0.01,0,IF(BF105=0.5,0,IF(CF105=1,0,IF(ISNUMBER(SEARCH("false",CL105)),0,IF(AZ105=500,0,CL105))))))</f>
        <v>0</v>
      </c>
      <c r="CY105" s="147" t="e">
        <f t="shared" si="134"/>
        <v>#VALUE!</v>
      </c>
      <c r="CZ105" s="147" t="b">
        <f>IF(CN105+CL105=0,FALSE,IF(AH105=0,0,IF(AND('Data Entry'!$C$74=1,CR105&gt;=1),TRUE,IF(AND('Data Entry'!$C$74=2,CS105&gt;=1),TRUE,FALSE))))</f>
        <v>0</v>
      </c>
      <c r="DA105" s="1751">
        <f>IF('Data Entry'!$C$74=0,0,IFERROR(ROUND(IF(T105="","",IF($X$4=0,0,IF(CF105=1,0,IF(BQ105+CV105=0,0,IF(CF105=1,0,IF(CY105&gt;0.01,CY105,IF(CL105&gt;0.01,CL105,IF(CY105&gt;0.01,CY105,IF(BC105=37,BO105,IF(CZ105=FALSE,0,IF(CZ105=TRUE,DC105+DF105,0))))))))))),2),""))</f>
        <v>0</v>
      </c>
      <c r="DB105" s="1752"/>
      <c r="DC105" s="474">
        <f>IF(CN105&lt;0.01,0,IF(AND(BR105=3,CN105&gt;0.01,CT105&gt;0.6,ER105+ES105+ET105&lt;100),0,IF(AND('Data Entry'!$C$74=1,CN105&gt;0.01,CR105&gt;0.99),MIN(CN105:CO105),IF(AND('Data Entry'!$C$74=2,CN105&gt;0.01,CS105&gt;0.99),MIN(CN105:CO105),0))))</f>
        <v>0</v>
      </c>
      <c r="DD105" s="478">
        <f>IF(CF105=1,"Selection does not match",IF(T105=0,0,IF(AND('Data Entry'!$C$74=0,CP105&gt;1),"Select Oregon or Idaho on Data Entry Tab",IF(AND(AU105=1,AA105&gt;0.9),"Missing Interior or Exterior Selection",IF($X$4=0,"Enter Total Project Cost",IF(AQ105&lt;AR105,"Insufficient kWh savings – no incentive",IF(AND(SUM(CL105+CK105+BV105)&gt;0.01,'Data Entry'!$C$74=2,CJ105&gt;1,BO105=0),"Submit Control as Non-Standard",IF(AND('Data Entry'!$C$74=2,BR105=37,CJ105&gt;1,BO105=0),"Submit Control as Non-Standard",IF(SUM(CL105+CK105+BV105)&gt;0.01,"Standard Incentive",IF(AND('Data Entry'!$C$74=2,CP105=7,CN105=0),"Submit as Non-Standard",IF(DC105&gt;0.9,"Non-Standard Incentive",IF(AND(BY105+BZ105+CA105&gt;0.01,BV105=0,EQ105=0,ER105=0,ES105=0,ET105=0),"Scroll Right &amp; Select Control Strategies",IF(AND(CN105&gt;0.01,CO105=0),"Enter Unit Installed Cost",IF(ISNUMBER(SEARCH("Lighting Controls Only",F105)),"Lighting Controls Only",IF(CL105+DC105=0,"Does not meet incentive criteria",0)))))))))))))))</f>
        <v>0</v>
      </c>
      <c r="DE105" s="337">
        <f t="shared" si="135"/>
        <v>0</v>
      </c>
      <c r="DF105" s="609">
        <f t="shared" si="136"/>
        <v>0</v>
      </c>
      <c r="DG105" s="336" t="str">
        <f t="shared" si="137"/>
        <v/>
      </c>
      <c r="DH105" s="338">
        <f t="shared" si="138"/>
        <v>1</v>
      </c>
      <c r="DI105" s="336" t="e">
        <f t="shared" si="90"/>
        <v>#VALUE!</v>
      </c>
      <c r="DJ105" s="338">
        <f t="shared" si="91"/>
        <v>0</v>
      </c>
      <c r="DK105" s="326" t="s">
        <v>123</v>
      </c>
      <c r="DL105" s="341">
        <v>396</v>
      </c>
      <c r="DM105" s="325" t="s">
        <v>99</v>
      </c>
      <c r="DN105" s="1439"/>
      <c r="DO105" s="1444" t="s">
        <v>1781</v>
      </c>
      <c r="DP105" s="1335">
        <v>35</v>
      </c>
      <c r="DQ105" s="361"/>
      <c r="DR105" s="1125"/>
      <c r="DS105" s="1195">
        <f t="shared" si="139"/>
        <v>0</v>
      </c>
      <c r="DT105" s="344" t="b">
        <f t="shared" si="140"/>
        <v>1</v>
      </c>
      <c r="DU105" s="1314" t="str">
        <f t="array" ref="DU105">IF(OR(COUNTIF(F105,"*"&amp;$DK$9:$DK$178&amp;"*")), "Yes", "")</f>
        <v/>
      </c>
      <c r="DV105" s="1314">
        <f t="shared" si="141"/>
        <v>0</v>
      </c>
      <c r="DW105" s="1480">
        <f t="shared" si="142"/>
        <v>0</v>
      </c>
      <c r="DX105" s="1498">
        <f t="shared" si="151"/>
        <v>0</v>
      </c>
      <c r="DY105" s="1484">
        <f t="shared" si="143"/>
        <v>0</v>
      </c>
      <c r="DZ105" s="361"/>
      <c r="EA105" s="392"/>
      <c r="EB105" s="1499" t="s">
        <v>119</v>
      </c>
      <c r="EC105" s="727" t="s">
        <v>1568</v>
      </c>
      <c r="ED105" s="728">
        <v>0.5</v>
      </c>
      <c r="EE105" s="1215"/>
      <c r="EF105" s="1215"/>
      <c r="EG105" s="1184" t="str">
        <f t="shared" si="144"/>
        <v/>
      </c>
      <c r="EH105" s="55"/>
      <c r="EI105" s="55"/>
      <c r="EJ105" s="1185">
        <f t="shared" si="92"/>
        <v>0</v>
      </c>
      <c r="EK105" s="1211"/>
      <c r="EL105" s="1180">
        <f t="shared" si="93"/>
        <v>0</v>
      </c>
      <c r="EM105" s="206"/>
      <c r="EN105" s="1038"/>
      <c r="EO105" s="1038"/>
      <c r="EP105" s="1038"/>
      <c r="EQ105" s="1038">
        <f t="shared" si="145"/>
        <v>0</v>
      </c>
      <c r="ER105" s="1041">
        <f t="shared" si="146"/>
        <v>0</v>
      </c>
      <c r="ES105" s="1042">
        <f t="shared" si="147"/>
        <v>0</v>
      </c>
      <c r="ET105" s="1042">
        <f t="shared" si="152"/>
        <v>0</v>
      </c>
      <c r="EU105" s="1021">
        <f t="shared" si="153"/>
        <v>0</v>
      </c>
      <c r="EV105" s="368"/>
      <c r="EW105" s="368"/>
      <c r="EX105" s="369"/>
      <c r="EY105" s="370"/>
      <c r="EZ105" s="370"/>
      <c r="FA105" s="371"/>
      <c r="FB105" s="372"/>
    </row>
    <row r="106" spans="1:158" ht="34.5" customHeight="1">
      <c r="A106" s="82">
        <v>98</v>
      </c>
      <c r="B106" s="1725"/>
      <c r="C106" s="1726"/>
      <c r="D106" s="1726"/>
      <c r="E106" s="1727"/>
      <c r="F106" s="1732"/>
      <c r="G106" s="1733"/>
      <c r="H106" s="1733"/>
      <c r="I106" s="1734"/>
      <c r="J106" s="1341"/>
      <c r="K106" s="1728"/>
      <c r="L106" s="1728"/>
      <c r="M106" s="1342"/>
      <c r="N106" s="1583"/>
      <c r="O106" s="208" t="str">
        <f t="shared" si="80"/>
        <v/>
      </c>
      <c r="P106" s="785"/>
      <c r="Q106" s="39" t="str">
        <f t="shared" si="81"/>
        <v/>
      </c>
      <c r="R106" s="39">
        <f t="shared" si="94"/>
        <v>0</v>
      </c>
      <c r="S106" s="234">
        <f t="shared" si="95"/>
        <v>0</v>
      </c>
      <c r="T106" s="1755"/>
      <c r="U106" s="1755"/>
      <c r="V106" s="1755"/>
      <c r="W106" s="1345"/>
      <c r="X106" s="1741"/>
      <c r="Y106" s="1742"/>
      <c r="Z106" s="1346"/>
      <c r="AA106" s="1343"/>
      <c r="AB106" s="1141"/>
      <c r="AC106" s="1103" t="str">
        <f>IF(T106="","",VLOOKUP(Z106,Lists!$A$60:$B$111,2,FALSE))</f>
        <v/>
      </c>
      <c r="AD106" s="130" t="str">
        <f t="shared" si="96"/>
        <v/>
      </c>
      <c r="AE106" s="130" t="e">
        <f t="shared" si="97"/>
        <v>#VALUE!</v>
      </c>
      <c r="AF106" s="130">
        <f t="shared" si="98"/>
        <v>1</v>
      </c>
      <c r="AG106" s="234">
        <f t="shared" si="82"/>
        <v>0</v>
      </c>
      <c r="AH106" s="1753" t="str">
        <f>IF(T106="","",(IF(ISNUMBER(SEARCH("exit",T106)),8760,IF(AND(M106="Dusk to Dawn",'Proposed Lighting'!AU106=3),4059,IF(AND(AU106=3,M106="1"),0,IF(AND(AU106=3,M106="1-C"),0,IF(AND(AU106=3,M106="2"),0,IF(AND(AU106=3,M106="2-C"),0,IF(AND(AU106=3,M106="3"),0,IF(AND(AU106=3,M106="3-C"),0,IF(AND(AU106=2,M106="Dusk to Dawn"),0,IF(AND(AU106=2,M106="Dusk to Dawn-C"),0,IF(AND(AU106=2,M106="Dusk to Dawn"),0,IF(AND(AU106=2,M106="E"),0,IF(AND(AU106=2,M106="E-C"),0,EG106)))))))))))))))</f>
        <v/>
      </c>
      <c r="AI106" s="1754"/>
      <c r="AJ106" s="1136"/>
      <c r="AK106" s="1136"/>
      <c r="AL106" s="1748">
        <f t="shared" si="99"/>
        <v>0</v>
      </c>
      <c r="AM106" s="1749"/>
      <c r="AN106" s="1750"/>
      <c r="AO106" s="476">
        <f t="shared" si="83"/>
        <v>0</v>
      </c>
      <c r="AP106" s="476">
        <f t="shared" si="100"/>
        <v>0</v>
      </c>
      <c r="AQ106" s="475">
        <f t="shared" si="84"/>
        <v>0</v>
      </c>
      <c r="AR106" s="475">
        <f t="shared" si="101"/>
        <v>0</v>
      </c>
      <c r="AS106" s="743" t="str">
        <f t="shared" si="156"/>
        <v/>
      </c>
      <c r="AT106" s="736" t="str">
        <f t="shared" si="102"/>
        <v/>
      </c>
      <c r="AU106" s="56">
        <f t="shared" si="103"/>
        <v>1</v>
      </c>
      <c r="AV106" s="476">
        <f t="shared" si="104"/>
        <v>0</v>
      </c>
      <c r="AW106" s="56">
        <f t="shared" si="105"/>
        <v>0</v>
      </c>
      <c r="AX106" s="475">
        <f t="shared" si="85"/>
        <v>0</v>
      </c>
      <c r="AY106" s="1169">
        <f t="shared" si="106"/>
        <v>0</v>
      </c>
      <c r="AZ106" s="1150">
        <f t="shared" si="148"/>
        <v>0</v>
      </c>
      <c r="BA106" s="56">
        <f t="shared" si="86"/>
        <v>0</v>
      </c>
      <c r="BB106" s="420">
        <f t="shared" si="87"/>
        <v>0</v>
      </c>
      <c r="BC106" s="58" t="str">
        <f t="shared" si="88"/>
        <v/>
      </c>
      <c r="BD106" s="660">
        <f t="shared" si="149"/>
        <v>0</v>
      </c>
      <c r="BE106" s="57" t="e">
        <f t="array" ref="BE106">INDEX($EB$11:$ED$1022,MATCH(F106&amp;T106,$EB$11:$EB$1007&amp;$EC$11:$EC$1007,0),3)</f>
        <v>#N/A</v>
      </c>
      <c r="BF106" s="463">
        <f t="shared" si="107"/>
        <v>0</v>
      </c>
      <c r="BG106" s="1445" t="e">
        <f t="array" ref="BG106">INDEX($DO$112:$DQ$123,MATCH(T106&amp;W106,$DO$114:$DO$125&amp;$DP$112:$DP$123,0),3)</f>
        <v>#N/A</v>
      </c>
      <c r="BH106" s="1446">
        <f t="shared" si="108"/>
        <v>0</v>
      </c>
      <c r="BI106" s="465">
        <f t="shared" si="109"/>
        <v>0</v>
      </c>
      <c r="BJ106" s="465">
        <f t="shared" si="110"/>
        <v>0</v>
      </c>
      <c r="BK106" s="466">
        <f t="shared" si="111"/>
        <v>0</v>
      </c>
      <c r="BL106" s="466">
        <f t="shared" si="112"/>
        <v>0</v>
      </c>
      <c r="BM106" s="466">
        <f t="shared" si="113"/>
        <v>0</v>
      </c>
      <c r="BN106" s="466">
        <f t="shared" si="114"/>
        <v>0</v>
      </c>
      <c r="BO106" s="463">
        <f>IF('Data Entry'!$C$74=0,0,IF(ISNA(CJ106),0,IF(AX106=0,0,IF(AND('Data Entry'!$C$74=2,AF106&gt;2,CE106&lt;1),0,IF(AND('Data Entry'!$C$74=2,AF106&gt;1,AU106=2,CJ106&gt;1),0,IF(AND(AF106=5,CT106=0.5,AU106=2,ER106&lt;100),0,IF(AND(AF106=5,CT106=0.5,AU106=3,ER106&lt;100),0,IF(AND('Data Entry'!$C$74=2,AF106=2,AU106=2,AK106&gt;0.01,CB106=2,CE106&lt;1),0,IF(AND('Data Entry'!$C$74=2,AF106=3,AU106=3,AK106&gt;0.01,CB106=3,CE106&lt;1),0,IF(AND('Data Entry'!$C$74=2,AF106=3,AU106=3,AK106&gt;0.01,CB106=3,CE106&gt;0.99),BQ106*0.08,IF(AND('Data Entry'!$C$74=2,AF106=2,AU106=2,AK106&gt;0.01,CB106=2,CE106&gt;0.99),BQ106*0.1,IF(AND(AU106=2,AK106&gt;0.01,CB106=2,CD106&gt;1),BQ106*0.1,IF(AND(AU106=3,AK106&gt;0.01,CB106=3,CD106&gt;1),BQ106*0.08,CJ106*EF106)))))))))))))</f>
        <v>0</v>
      </c>
      <c r="BP106" s="475">
        <f t="shared" si="115"/>
        <v>0</v>
      </c>
      <c r="BQ106" s="1431">
        <f>IF(AU106=1,0,IF(CH106=100,0,IF(AND(AF106=3,AU106=2),0,IF(AND(BH106=0,CT106&gt;0.4),0,IF(AND('Data Entry'!$C$74=2,AF106=1.5),0,IF(AND('Data Entry'!$C$74=2,AF106=1.6),0,IF(AND('Data Entry'!$C$74=2,AF106=4),0,IF(AND('Data Entry'!$C$74=2,AF106=5),0,IF(AND('Data Entry'!$C$74=2,AF106=2.5,CE106&lt;1),0,IF(AND('Data Entry'!$C$74=2,AF106=3,CE106&lt;1),0,IF(AND('Data Entry'!$C$74=1,AF106=2.5,CD106&lt;1),0,IF(AND('Data Entry'!$C$74=1,AF106=3,CD106&lt;1),0,IF(DX106&gt;0.01,DX106,IF(ISERROR(AX106-AY106),"",ROUND(AX106-AY106,2)))))))))))))))</f>
        <v>0</v>
      </c>
      <c r="BR106" s="146">
        <f t="shared" si="116"/>
        <v>0</v>
      </c>
      <c r="BS106" s="475">
        <f t="shared" si="117"/>
        <v>0</v>
      </c>
      <c r="BT106" s="146" t="b">
        <f t="shared" si="118"/>
        <v>0</v>
      </c>
      <c r="BU106" s="463">
        <f>IF(ISNA(AT106),0,IF(AND('Data Entry'!$C$74=2,BC106=27),0,IF(AND('Data Entry'!$C$74=2,BC106=28),0,IF(AND(BC106=27,BT106=27,CM106&gt;0.1),CM106*0.15,IF(AND(BC106=28,BT106=28,CM106&gt;0.1),CM106*0.12,0)))))</f>
        <v>0</v>
      </c>
      <c r="BV106" s="463">
        <f t="shared" si="155"/>
        <v>0</v>
      </c>
      <c r="BW106" s="463">
        <f t="shared" si="119"/>
        <v>0</v>
      </c>
      <c r="BX106" s="463">
        <f t="shared" si="120"/>
        <v>0</v>
      </c>
      <c r="BY106" s="463">
        <f t="shared" si="121"/>
        <v>0</v>
      </c>
      <c r="BZ106" s="463">
        <f t="shared" si="122"/>
        <v>0</v>
      </c>
      <c r="CA106" s="57">
        <f t="shared" si="150"/>
        <v>0</v>
      </c>
      <c r="CB106" s="56">
        <f t="shared" si="123"/>
        <v>1</v>
      </c>
      <c r="CC106" s="756">
        <f>IF(EE106=0,0,IF(EF106=0,0,IF(EE106&gt;AA106,0,IF(AND(AZ106&gt;AW106,AW106&gt;0),0,IF(CU106=0,0,Summary!AC409)))))</f>
        <v>0</v>
      </c>
      <c r="CD106" s="756">
        <f>IF(EE106=0,0,IF(EF106=0,0,IF(EE106&gt;AA106,0,IF(AND(AZ106&gt;AW106,AW106&gt;0),0,IF(CU106=0,0,Summary!AD409)))))</f>
        <v>0</v>
      </c>
      <c r="CE106" s="756">
        <f>IF(EF106=0,0,IF(EE106&gt;AA106,0,IF(CC106=0,0,IF(AND(AZ106&gt;AW106,AW106&gt;0),0,IF(CU106=0,0,Summary!AE409)))))</f>
        <v>0</v>
      </c>
      <c r="CF106" s="475">
        <f t="shared" si="124"/>
        <v>0</v>
      </c>
      <c r="CG106" s="476">
        <f t="shared" si="89"/>
        <v>0</v>
      </c>
      <c r="CH106" s="487">
        <f t="shared" si="125"/>
        <v>0</v>
      </c>
      <c r="CI106" s="756">
        <f t="shared" si="126"/>
        <v>0</v>
      </c>
      <c r="CJ106" s="487">
        <f>IF(CT106&gt;0.4,0,IF(AND(AU106=2,CH106=0,CT106=0.5,ER106=100),35,IF(AND(AU106=3,BB106&gt;75,CH106=0,CT106=0.5,ER106=100),25,IF(CB106&gt;1,0,IF(EF106&gt;EE106,0,IF(AND(AF106&gt;1,CH106=100),0,IF(AND(AF106=1,AY106=0),0,IF(AND(EF106&lt;=EE106,AW106&gt;=AZ106,'Data Entry'!$C$74=1,AU106=2),VLOOKUP(W106,$DO$96:$DP$102,2,FALSE),IF(AND(EF106&lt;=EE106,AW106&gt;=AZ106,AU106=3,'Data Entry'!$C$74=1),VLOOKUP(W106,$DO$127:$DP$134,2,FALSE))))))))))</f>
        <v>0</v>
      </c>
      <c r="CK106" s="716">
        <f t="shared" si="127"/>
        <v>0</v>
      </c>
      <c r="CL106" s="57">
        <f t="shared" si="128"/>
        <v>0</v>
      </c>
      <c r="CM106" s="475">
        <f t="shared" si="154"/>
        <v>0</v>
      </c>
      <c r="CN106" s="660">
        <f>IF(CM106&lt;0.1,0,IF(ISNA(AT106),0,IF(CL106+BC106=1,0,IF(BV106&gt;0.01,0,IF(CL106&gt;0.01,0,IF(CF106=1,0,IF(BC106=0.5,0,IF(AND(CI106=1,AU106=3),0,IF(AND(CI106=5,CL106=0),0,IF(AND(R106=12,BR106=50),0,IF(CK106&gt;0.01,0,IF(AND(AJ106&gt;0.01,AU106=2,BC106=15),CM106*0.1,IF(AND(AJ106&gt;0.01,AU106=3,BC106=15),CM106*0.08,IF(AND(R106=12,BC106=3,AF106&lt;=0),0,IF(AND(BC106=15,BI106=0),0,IF(AND(BC106=15,BJ106=0),0,IF(AND(R106=20,CU106=0),0,IF($X$4=0,0,IF(AND(BC106=250,CL106=0),0,IF(AA106&lt;1,0,IF(AND(ISNUMBER(SEARCH("Area",T106)),AU106=3),0,IF(AND(AQ106&gt;0.01,AR106=0,BK106=0,BL106=0,BM106=0,BN106=0),0,IF(AND(AU106=3,CI106=7,CT106&gt;0.5),0,IF(AND(BC106=44,AU106=3,BY106=0),0,IF(AND(BC106=27,'Data Entry'!$C$74=2),0,IF(AND(BC106=28,'Data Entry'!$C$74=2),0,IF(AND(BY106+BZ106+CA106&gt;0.01,BV106=0,EQ106+ER106+ES106+ET106&lt;100),0,IF(AU106=3,CM106*0.08,IF(AU106=2,CM106*0.1,0)))))))))))))))))))))))))))))</f>
        <v>0</v>
      </c>
      <c r="CO106" s="660">
        <f t="shared" si="129"/>
        <v>0</v>
      </c>
      <c r="CP106" s="475" t="str">
        <f t="shared" si="130"/>
        <v/>
      </c>
      <c r="CQ106" s="161" t="str">
        <f>IF(AH106=0,0,IF(AU106=5,0,Summary!AC109))</f>
        <v/>
      </c>
      <c r="CR106" s="161" t="str">
        <f>IF(BF106=0.5,0,IF(AU106=5,0,Summary!AD109))</f>
        <v/>
      </c>
      <c r="CS106" s="161" t="str">
        <f>IF(AU106=5,0,Summary!AE109)</f>
        <v/>
      </c>
      <c r="CT106" s="161">
        <f t="shared" si="131"/>
        <v>0</v>
      </c>
      <c r="CU106" s="475" t="str">
        <f t="shared" si="132"/>
        <v/>
      </c>
      <c r="CV106" s="307">
        <f>IF('Data Entry'!$C$74=0,0,IF(AA106&lt;1,0,IF(ISERROR(CU106),0,IF(CF106=1,0,IF(AND(R106=12,BR106=50),0,IF(CL106+BO106+BV106+DC106=0,0,IF(BC106=37,0,IF(AND(BC106=40,AJ106=0),0,IF(AND(BC106=37,BO106&gt;0.01,BQ106&gt;0.01),ROUND(BQ106,0),IF(CM106&lt;0,0,ROUND(CM106,0)))))))))))</f>
        <v>0</v>
      </c>
      <c r="CW106" s="700">
        <f t="shared" si="133"/>
        <v>0</v>
      </c>
      <c r="CX106" s="477">
        <f>IF('Data Entry'!$C$74=0,0,IF(CV106&lt;0.01,0,IF(BF106=0.5,0,IF(CF106=1,0,IF(ISNUMBER(SEARCH("false",CL106)),0,IF(AZ106=500,0,CL106))))))</f>
        <v>0</v>
      </c>
      <c r="CY106" s="147" t="e">
        <f t="shared" si="134"/>
        <v>#VALUE!</v>
      </c>
      <c r="CZ106" s="147" t="b">
        <f>IF(CN106+CL106=0,FALSE,IF(AH106=0,0,IF(AND('Data Entry'!$C$74=1,CR106&gt;=1),TRUE,IF(AND('Data Entry'!$C$74=2,CS106&gt;=1),TRUE,FALSE))))</f>
        <v>0</v>
      </c>
      <c r="DA106" s="1751">
        <f>IF('Data Entry'!$C$74=0,0,IFERROR(ROUND(IF(T106="","",IF($X$4=0,0,IF(CF106=1,0,IF(BQ106+CV106=0,0,IF(CF106=1,0,IF(CY106&gt;0.01,CY106,IF(CL106&gt;0.01,CL106,IF(CY106&gt;0.01,CY106,IF(BC106=37,BO106,IF(CZ106=FALSE,0,IF(CZ106=TRUE,DC106+DF106,0))))))))))),2),""))</f>
        <v>0</v>
      </c>
      <c r="DB106" s="1752"/>
      <c r="DC106" s="474">
        <f>IF(CN106&lt;0.01,0,IF(AND(BR106=3,CN106&gt;0.01,CT106&gt;0.6,ER106+ES106+ET106&lt;100),0,IF(AND('Data Entry'!$C$74=1,CN106&gt;0.01,CR106&gt;0.99),MIN(CN106:CO106),IF(AND('Data Entry'!$C$74=2,CN106&gt;0.01,CS106&gt;0.99),MIN(CN106:CO106),0))))</f>
        <v>0</v>
      </c>
      <c r="DD106" s="478">
        <f>IF(CF106=1,"Selection does not match",IF(T106=0,0,IF(AND('Data Entry'!$C$74=0,CP106&gt;1),"Select Oregon or Idaho on Data Entry Tab",IF(AND(AU106=1,AA106&gt;0.9),"Missing Interior or Exterior Selection",IF($X$4=0,"Enter Total Project Cost",IF(AQ106&lt;AR106,"Insufficient kWh savings – no incentive",IF(AND(SUM(CL106+CK106+BV106)&gt;0.01,'Data Entry'!$C$74=2,CJ106&gt;1,BO106=0),"Submit Control as Non-Standard",IF(AND('Data Entry'!$C$74=2,BR106=37,CJ106&gt;1,BO106=0),"Submit Control as Non-Standard",IF(SUM(CL106+CK106+BV106)&gt;0.01,"Standard Incentive",IF(AND('Data Entry'!$C$74=2,CP106=7,CN106=0),"Submit as Non-Standard",IF(DC106&gt;0.9,"Non-Standard Incentive",IF(AND(BY106+BZ106+CA106&gt;0.01,BV106=0,EQ106=0,ER106=0,ES106=0,ET106=0),"Scroll Right &amp; Select Control Strategies",IF(AND(CN106&gt;0.01,CO106=0),"Enter Unit Installed Cost",IF(ISNUMBER(SEARCH("Lighting Controls Only",F106)),"Lighting Controls Only",IF(CL106+DC106=0,"Does not meet incentive criteria",0)))))))))))))))</f>
        <v>0</v>
      </c>
      <c r="DE106" s="337">
        <f t="shared" si="135"/>
        <v>0</v>
      </c>
      <c r="DF106" s="609">
        <f t="shared" si="136"/>
        <v>0</v>
      </c>
      <c r="DG106" s="336" t="str">
        <f t="shared" si="137"/>
        <v/>
      </c>
      <c r="DH106" s="338">
        <f t="shared" si="138"/>
        <v>1</v>
      </c>
      <c r="DI106" s="336" t="e">
        <f t="shared" si="90"/>
        <v>#VALUE!</v>
      </c>
      <c r="DJ106" s="338">
        <f t="shared" si="91"/>
        <v>0</v>
      </c>
      <c r="DK106" s="326" t="s">
        <v>124</v>
      </c>
      <c r="DL106" s="341">
        <v>600</v>
      </c>
      <c r="DM106" s="325" t="s">
        <v>100</v>
      </c>
      <c r="DN106" s="1439"/>
      <c r="DO106" s="1444" t="s">
        <v>1781</v>
      </c>
      <c r="DP106" s="1335">
        <v>35</v>
      </c>
      <c r="DQ106" s="331"/>
      <c r="DR106" s="1126"/>
      <c r="DS106" s="1195">
        <f t="shared" si="139"/>
        <v>0</v>
      </c>
      <c r="DT106" s="344" t="b">
        <f t="shared" si="140"/>
        <v>1</v>
      </c>
      <c r="DU106" s="1314" t="str">
        <f t="array" ref="DU106">IF(OR(COUNTIF(F106,"*"&amp;$DK$9:$DK$178&amp;"*")), "Yes", "")</f>
        <v/>
      </c>
      <c r="DV106" s="1314">
        <f t="shared" si="141"/>
        <v>0</v>
      </c>
      <c r="DW106" s="1480">
        <f t="shared" si="142"/>
        <v>0</v>
      </c>
      <c r="DX106" s="1498">
        <f t="shared" si="151"/>
        <v>0</v>
      </c>
      <c r="DY106" s="1484">
        <f t="shared" si="143"/>
        <v>0</v>
      </c>
      <c r="DZ106" s="331"/>
      <c r="EA106" s="392"/>
      <c r="EB106" s="1499" t="s">
        <v>120</v>
      </c>
      <c r="EC106" s="727" t="s">
        <v>1568</v>
      </c>
      <c r="ED106" s="728">
        <v>0.5</v>
      </c>
      <c r="EE106" s="1215"/>
      <c r="EF106" s="1215"/>
      <c r="EG106" s="1184" t="str">
        <f t="shared" si="144"/>
        <v/>
      </c>
      <c r="EH106" s="55"/>
      <c r="EI106" s="55"/>
      <c r="EJ106" s="1185">
        <f t="shared" si="92"/>
        <v>0</v>
      </c>
      <c r="EK106" s="1211"/>
      <c r="EL106" s="1180">
        <f t="shared" si="93"/>
        <v>0</v>
      </c>
      <c r="EM106" s="206"/>
      <c r="EN106" s="1038"/>
      <c r="EO106" s="1038"/>
      <c r="EP106" s="1038"/>
      <c r="EQ106" s="1038">
        <f t="shared" si="145"/>
        <v>0</v>
      </c>
      <c r="ER106" s="1041">
        <f t="shared" si="146"/>
        <v>0</v>
      </c>
      <c r="ES106" s="1042">
        <f t="shared" si="147"/>
        <v>0</v>
      </c>
      <c r="ET106" s="1042">
        <f t="shared" si="152"/>
        <v>0</v>
      </c>
      <c r="EU106" s="1021">
        <f t="shared" si="153"/>
        <v>0</v>
      </c>
      <c r="EV106" s="368"/>
      <c r="EW106" s="368"/>
      <c r="EX106" s="369"/>
      <c r="EY106" s="370"/>
      <c r="EZ106" s="370"/>
      <c r="FA106" s="371"/>
      <c r="FB106" s="372"/>
    </row>
    <row r="107" spans="1:158" ht="34.5" customHeight="1">
      <c r="A107" s="82">
        <v>99</v>
      </c>
      <c r="B107" s="1725"/>
      <c r="C107" s="1726"/>
      <c r="D107" s="1726"/>
      <c r="E107" s="1727"/>
      <c r="F107" s="1732"/>
      <c r="G107" s="1733"/>
      <c r="H107" s="1733"/>
      <c r="I107" s="1734"/>
      <c r="J107" s="1341"/>
      <c r="K107" s="1728"/>
      <c r="L107" s="1728"/>
      <c r="M107" s="1342"/>
      <c r="N107" s="1583"/>
      <c r="O107" s="208" t="str">
        <f t="shared" si="80"/>
        <v/>
      </c>
      <c r="P107" s="785"/>
      <c r="Q107" s="39" t="str">
        <f t="shared" si="81"/>
        <v/>
      </c>
      <c r="R107" s="39">
        <f t="shared" si="94"/>
        <v>0</v>
      </c>
      <c r="S107" s="234">
        <f t="shared" si="95"/>
        <v>0</v>
      </c>
      <c r="T107" s="1755"/>
      <c r="U107" s="1755"/>
      <c r="V107" s="1755"/>
      <c r="W107" s="1345"/>
      <c r="X107" s="1741"/>
      <c r="Y107" s="1742"/>
      <c r="Z107" s="1346"/>
      <c r="AA107" s="1343"/>
      <c r="AB107" s="1141"/>
      <c r="AC107" s="1103" t="str">
        <f>IF(T107="","",VLOOKUP(Z107,Lists!$A$60:$B$111,2,FALSE))</f>
        <v/>
      </c>
      <c r="AD107" s="130" t="str">
        <f t="shared" si="96"/>
        <v/>
      </c>
      <c r="AE107" s="130" t="e">
        <f t="shared" si="97"/>
        <v>#VALUE!</v>
      </c>
      <c r="AF107" s="130">
        <f t="shared" si="98"/>
        <v>1</v>
      </c>
      <c r="AG107" s="234">
        <f t="shared" si="82"/>
        <v>0</v>
      </c>
      <c r="AH107" s="1753" t="str">
        <f>IF(T107="","",(IF(ISNUMBER(SEARCH("exit",T107)),8760,IF(AND(M107="Dusk to Dawn",'Proposed Lighting'!AU107=3),4059,IF(AND(AU107=3,M107="1"),0,IF(AND(AU107=3,M107="1-C"),0,IF(AND(AU107=3,M107="2"),0,IF(AND(AU107=3,M107="2-C"),0,IF(AND(AU107=3,M107="3"),0,IF(AND(AU107=3,M107="3-C"),0,IF(AND(AU107=2,M107="Dusk to Dawn"),0,IF(AND(AU107=2,M107="Dusk to Dawn-C"),0,IF(AND(AU107=2,M107="Dusk to Dawn"),0,IF(AND(AU107=2,M107="E"),0,IF(AND(AU107=2,M107="E-C"),0,EG107)))))))))))))))</f>
        <v/>
      </c>
      <c r="AI107" s="1754"/>
      <c r="AJ107" s="1136"/>
      <c r="AK107" s="1136"/>
      <c r="AL107" s="1748">
        <f t="shared" si="99"/>
        <v>0</v>
      </c>
      <c r="AM107" s="1749"/>
      <c r="AN107" s="1750"/>
      <c r="AO107" s="476">
        <f t="shared" si="83"/>
        <v>0</v>
      </c>
      <c r="AP107" s="476">
        <f t="shared" si="100"/>
        <v>0</v>
      </c>
      <c r="AQ107" s="475">
        <f t="shared" si="84"/>
        <v>0</v>
      </c>
      <c r="AR107" s="475">
        <f t="shared" si="101"/>
        <v>0</v>
      </c>
      <c r="AS107" s="743" t="str">
        <f t="shared" si="156"/>
        <v/>
      </c>
      <c r="AT107" s="736" t="str">
        <f t="shared" si="102"/>
        <v/>
      </c>
      <c r="AU107" s="56">
        <f t="shared" si="103"/>
        <v>1</v>
      </c>
      <c r="AV107" s="476">
        <f t="shared" si="104"/>
        <v>0</v>
      </c>
      <c r="AW107" s="56">
        <f t="shared" si="105"/>
        <v>0</v>
      </c>
      <c r="AX107" s="475">
        <f t="shared" si="85"/>
        <v>0</v>
      </c>
      <c r="AY107" s="1169">
        <f t="shared" si="106"/>
        <v>0</v>
      </c>
      <c r="AZ107" s="1150">
        <f t="shared" si="148"/>
        <v>0</v>
      </c>
      <c r="BA107" s="56">
        <f t="shared" si="86"/>
        <v>0</v>
      </c>
      <c r="BB107" s="420">
        <f t="shared" si="87"/>
        <v>0</v>
      </c>
      <c r="BC107" s="58" t="str">
        <f t="shared" si="88"/>
        <v/>
      </c>
      <c r="BD107" s="660">
        <f t="shared" si="149"/>
        <v>0</v>
      </c>
      <c r="BE107" s="57" t="e">
        <f t="array" ref="BE107">INDEX($EB$11:$ED$1022,MATCH(F107&amp;T107,$EB$11:$EB$1007&amp;$EC$11:$EC$1007,0),3)</f>
        <v>#N/A</v>
      </c>
      <c r="BF107" s="463">
        <f t="shared" ref="BF107:BF170" si="157">IF(ISNA(BE107),0,BE107)</f>
        <v>0</v>
      </c>
      <c r="BG107" s="1445" t="e">
        <f t="array" ref="BG107">INDEX($DO$112:$DQ$123,MATCH(T107&amp;W107,$DO$114:$DO$125&amp;$DP$112:$DP$123,0),3)</f>
        <v>#N/A</v>
      </c>
      <c r="BH107" s="1446">
        <f t="shared" si="108"/>
        <v>0</v>
      </c>
      <c r="BI107" s="465">
        <f t="shared" si="109"/>
        <v>0</v>
      </c>
      <c r="BJ107" s="465">
        <f t="shared" si="110"/>
        <v>0</v>
      </c>
      <c r="BK107" s="466">
        <f t="shared" ref="BK107:BK170" si="158">IF(ISNUMBER(SEARCH("removal",T107)),AND(AS107&gt;49,AS107&lt;300,AU107=2)*20,0)</f>
        <v>0</v>
      </c>
      <c r="BL107" s="466">
        <f t="shared" ref="BL107:BL170" si="159">IF(ISNUMBER(SEARCH("removal",T107)),AND(AS107&gt;299,AU107=2)*30,0)</f>
        <v>0</v>
      </c>
      <c r="BM107" s="466">
        <f t="shared" si="113"/>
        <v>0</v>
      </c>
      <c r="BN107" s="466">
        <f t="shared" si="114"/>
        <v>0</v>
      </c>
      <c r="BO107" s="463">
        <f>IF('Data Entry'!$C$74=0,0,IF(ISNA(CJ107),0,IF(AX107=0,0,IF(AND('Data Entry'!$C$74=2,AF107&gt;2,CE107&lt;1),0,IF(AND('Data Entry'!$C$74=2,AF107&gt;1,AU107=2,CJ107&gt;1),0,IF(AND(AF107=5,CT107=0.5,AU107=2,ER107&lt;100),0,IF(AND(AF107=5,CT107=0.5,AU107=3,ER107&lt;100),0,IF(AND('Data Entry'!$C$74=2,AF107=2,AU107=2,AK107&gt;0.01,CB107=2,CE107&lt;1),0,IF(AND('Data Entry'!$C$74=2,AF107=3,AU107=3,AK107&gt;0.01,CB107=3,CE107&lt;1),0,IF(AND('Data Entry'!$C$74=2,AF107=3,AU107=3,AK107&gt;0.01,CB107=3,CE107&gt;0.99),BQ107*0.08,IF(AND('Data Entry'!$C$74=2,AF107=2,AU107=2,AK107&gt;0.01,CB107=2,CE107&gt;0.99),BQ107*0.1,IF(AND(AU107=2,AK107&gt;0.01,CB107=2,CD107&gt;1),BQ107*0.1,IF(AND(AU107=3,AK107&gt;0.01,CB107=3,CD107&gt;1),BQ107*0.08,CJ107*EF107)))))))))))))</f>
        <v>0</v>
      </c>
      <c r="BP107" s="475">
        <f t="shared" si="115"/>
        <v>0</v>
      </c>
      <c r="BQ107" s="1431">
        <f>IF(AU107=1,0,IF(CH107=100,0,IF(AND(AF107=3,AU107=2),0,IF(AND(BH107=0,CT107&gt;0.4),0,IF(AND('Data Entry'!$C$74=2,AF107=1.5),0,IF(AND('Data Entry'!$C$74=2,AF107=1.6),0,IF(AND('Data Entry'!$C$74=2,AF107=4),0,IF(AND('Data Entry'!$C$74=2,AF107=5),0,IF(AND('Data Entry'!$C$74=2,AF107=2.5,CE107&lt;1),0,IF(AND('Data Entry'!$C$74=2,AF107=3,CE107&lt;1),0,IF(AND('Data Entry'!$C$74=1,AF107=2.5,CD107&lt;1),0,IF(AND('Data Entry'!$C$74=1,AF107=3,CD107&lt;1),0,IF(DX107&gt;0.01,DX107,IF(ISERROR(AX107-AY107),"",ROUND(AX107-AY107,2)))))))))))))))</f>
        <v>0</v>
      </c>
      <c r="BR107" s="146">
        <f t="shared" si="116"/>
        <v>0</v>
      </c>
      <c r="BS107" s="475">
        <f t="shared" si="117"/>
        <v>0</v>
      </c>
      <c r="BT107" s="146" t="b">
        <f t="shared" si="118"/>
        <v>0</v>
      </c>
      <c r="BU107" s="463">
        <f>IF(ISNA(AT107),0,IF(AND('Data Entry'!$C$74=2,BC107=27),0,IF(AND('Data Entry'!$C$74=2,BC107=28),0,IF(AND(BC107=27,BT107=27,CM107&gt;0.1),CM107*0.15,IF(AND(BC107=28,BT107=28,CM107&gt;0.1),CM107*0.12,0)))))</f>
        <v>0</v>
      </c>
      <c r="BV107" s="463">
        <f t="shared" si="155"/>
        <v>0</v>
      </c>
      <c r="BW107" s="463">
        <f t="shared" si="119"/>
        <v>0</v>
      </c>
      <c r="BX107" s="463">
        <f t="shared" si="120"/>
        <v>0</v>
      </c>
      <c r="BY107" s="463">
        <f t="shared" si="121"/>
        <v>0</v>
      </c>
      <c r="BZ107" s="463">
        <f t="shared" si="122"/>
        <v>0</v>
      </c>
      <c r="CA107" s="57">
        <f t="shared" si="150"/>
        <v>0</v>
      </c>
      <c r="CB107" s="56">
        <f t="shared" si="123"/>
        <v>1</v>
      </c>
      <c r="CC107" s="756">
        <f>IF(EE107=0,0,IF(EF107=0,0,IF(EE107&gt;AA107,0,IF(AND(AZ107&gt;AW107,AW107&gt;0),0,IF(CU107=0,0,Summary!AC410)))))</f>
        <v>0</v>
      </c>
      <c r="CD107" s="756">
        <f>IF(EE107=0,0,IF(EF107=0,0,IF(EE107&gt;AA107,0,IF(AND(AZ107&gt;AW107,AW107&gt;0),0,IF(CU107=0,0,Summary!AD410)))))</f>
        <v>0</v>
      </c>
      <c r="CE107" s="756">
        <f>IF(EF107=0,0,IF(EE107&gt;AA107,0,IF(CC107=0,0,IF(AND(AZ107&gt;AW107,AW107&gt;0),0,IF(CU107=0,0,Summary!AE410)))))</f>
        <v>0</v>
      </c>
      <c r="CF107" s="475">
        <f t="shared" si="124"/>
        <v>0</v>
      </c>
      <c r="CG107" s="476">
        <f t="shared" si="89"/>
        <v>0</v>
      </c>
      <c r="CH107" s="487">
        <f t="shared" si="125"/>
        <v>0</v>
      </c>
      <c r="CI107" s="756">
        <f t="shared" si="126"/>
        <v>0</v>
      </c>
      <c r="CJ107" s="487">
        <f>IF(CT107&gt;0.4,0,IF(AND(AU107=2,CH107=0,CT107=0.5,ER107=100),35,IF(AND(AU107=3,BB107&gt;75,CH107=0,CT107=0.5,ER107=100),25,IF(CB107&gt;1,0,IF(EF107&gt;EE107,0,IF(AND(AF107&gt;1,CH107=100),0,IF(AND(AF107=1,AY107=0),0,IF(AND(EF107&lt;=EE107,AW107&gt;=AZ107,'Data Entry'!$C$74=1,AU107=2),VLOOKUP(W107,$DO$96:$DP$102,2,FALSE),IF(AND(EF107&lt;=EE107,AW107&gt;=AZ107,AU107=3,'Data Entry'!$C$74=1),VLOOKUP(W107,$DO$127:$DP$134,2,FALSE))))))))))</f>
        <v>0</v>
      </c>
      <c r="CK107" s="716">
        <f t="shared" si="127"/>
        <v>0</v>
      </c>
      <c r="CL107" s="57">
        <f t="shared" si="128"/>
        <v>0</v>
      </c>
      <c r="CM107" s="475">
        <f t="shared" si="154"/>
        <v>0</v>
      </c>
      <c r="CN107" s="660">
        <f>IF(CM107&lt;0.1,0,IF(ISNA(AT107),0,IF(CL107+BC107=1,0,IF(BV107&gt;0.01,0,IF(CL107&gt;0.01,0,IF(CF107=1,0,IF(BC107=0.5,0,IF(AND(CI107=1,AU107=3),0,IF(AND(CI107=5,CL107=0),0,IF(AND(R107=12,BR107=50),0,IF(CK107&gt;0.01,0,IF(AND(AJ107&gt;0.01,AU107=2,BC107=15),CM107*0.1,IF(AND(AJ107&gt;0.01,AU107=3,BC107=15),CM107*0.08,IF(AND(R107=12,BC107=3,AF107&lt;=0),0,IF(AND(BC107=15,BI107=0),0,IF(AND(BC107=15,BJ107=0),0,IF(AND(R107=20,CU107=0),0,IF($X$4=0,0,IF(AND(BC107=250,CL107=0),0,IF(AA107&lt;1,0,IF(AND(ISNUMBER(SEARCH("Area",T107)),AU107=3),0,IF(AND(AQ107&gt;0.01,AR107=0,BK107=0,BL107=0,BM107=0,BN107=0),0,IF(AND(AU107=3,CI107=7,CT107&gt;0.5),0,IF(AND(BC107=44,AU107=3,BY107=0),0,IF(AND(BC107=27,'Data Entry'!$C$74=2),0,IF(AND(BC107=28,'Data Entry'!$C$74=2),0,IF(AND(BY107+BZ107+CA107&gt;0.01,BV107=0,EQ107+ER107+ES107+ET107&lt;100),0,IF(AU107=3,CM107*0.08,IF(AU107=2,CM107*0.1,0)))))))))))))))))))))))))))))</f>
        <v>0</v>
      </c>
      <c r="CO107" s="660">
        <f t="shared" si="129"/>
        <v>0</v>
      </c>
      <c r="CP107" s="475" t="str">
        <f t="shared" si="130"/>
        <v/>
      </c>
      <c r="CQ107" s="161" t="str">
        <f>IF(AH107=0,0,IF(AU107=5,0,Summary!AC110))</f>
        <v/>
      </c>
      <c r="CR107" s="161" t="str">
        <f>IF(BF107=0.5,0,IF(AU107=5,0,Summary!AD110))</f>
        <v/>
      </c>
      <c r="CS107" s="161" t="str">
        <f>IF(AU107=5,0,Summary!AE110)</f>
        <v/>
      </c>
      <c r="CT107" s="161">
        <f t="shared" si="131"/>
        <v>0</v>
      </c>
      <c r="CU107" s="475" t="str">
        <f t="shared" si="132"/>
        <v/>
      </c>
      <c r="CV107" s="307">
        <f>IF('Data Entry'!$C$74=0,0,IF(AA107&lt;1,0,IF(ISERROR(CU107),0,IF(CF107=1,0,IF(AND(R107=12,BR107=50),0,IF(CL107+BO107+BV107+DC107=0,0,IF(BC107=37,0,IF(AND(BC107=40,AJ107=0),0,IF(AND(BC107=37,BO107&gt;0.01,BQ107&gt;0.01),ROUND(BQ107,0),IF(CM107&lt;0,0,ROUND(CM107,0)))))))))))</f>
        <v>0</v>
      </c>
      <c r="CW107" s="700">
        <f t="shared" si="133"/>
        <v>0</v>
      </c>
      <c r="CX107" s="477">
        <f>IF('Data Entry'!$C$74=0,0,IF(CV107&lt;0.01,0,IF(BF107=0.5,0,IF(CF107=1,0,IF(ISNUMBER(SEARCH("false",CL107)),0,IF(AZ107=500,0,CL107))))))</f>
        <v>0</v>
      </c>
      <c r="CY107" s="147" t="e">
        <f t="shared" si="134"/>
        <v>#VALUE!</v>
      </c>
      <c r="CZ107" s="147" t="b">
        <f>IF(CN107+CL107=0,FALSE,IF(AH107=0,0,IF(AND('Data Entry'!$C$74=1,CR107&gt;=1),TRUE,IF(AND('Data Entry'!$C$74=2,CS107&gt;=1),TRUE,FALSE))))</f>
        <v>0</v>
      </c>
      <c r="DA107" s="1751">
        <f>IF('Data Entry'!$C$74=0,0,IFERROR(ROUND(IF(T107="","",IF($X$4=0,0,IF(CF107=1,0,IF(BQ107+CV107=0,0,IF(CF107=1,0,IF(CY107&gt;0.01,CY107,IF(CL107&gt;0.01,CL107,IF(CY107&gt;0.01,CY107,IF(BC107=37,BO107,IF(CZ107=FALSE,0,IF(CZ107=TRUE,DC107+DF107,0))))))))))),2),""))</f>
        <v>0</v>
      </c>
      <c r="DB107" s="1752"/>
      <c r="DC107" s="474">
        <f>IF(CN107&lt;0.01,0,IF(AND(BR107=3,CN107&gt;0.01,CT107&gt;0.6,ER107+ES107+ET107&lt;100),0,IF(AND('Data Entry'!$C$74=1,CN107&gt;0.01,CR107&gt;0.99),MIN(CN107:CO107),IF(AND('Data Entry'!$C$74=2,CN107&gt;0.01,CS107&gt;0.99),MIN(CN107:CO107),0))))</f>
        <v>0</v>
      </c>
      <c r="DD107" s="478">
        <f>IF(CF107=1,"Selection does not match",IF(T107=0,0,IF(AND('Data Entry'!$C$74=0,CP107&gt;1),"Select Oregon or Idaho on Data Entry Tab",IF(AND(AU107=1,AA107&gt;0.9),"Missing Interior or Exterior Selection",IF($X$4=0,"Enter Total Project Cost",IF(AQ107&lt;AR107,"Insufficient kWh savings – no incentive",IF(AND(SUM(CL107+CK107+BV107)&gt;0.01,'Data Entry'!$C$74=2,CJ107&gt;1,BO107=0),"Submit Control as Non-Standard",IF(AND('Data Entry'!$C$74=2,BR107=37,CJ107&gt;1,BO107=0),"Submit Control as Non-Standard",IF(SUM(CL107+CK107+BV107)&gt;0.01,"Standard Incentive",IF(AND('Data Entry'!$C$74=2,CP107=7,CN107=0),"Submit as Non-Standard",IF(DC107&gt;0.9,"Non-Standard Incentive",IF(AND(BY107+BZ107+CA107&gt;0.01,BV107=0,EQ107=0,ER107=0,ES107=0,ET107=0),"Scroll Right &amp; Select Control Strategies",IF(AND(CN107&gt;0.01,CO107=0),"Enter Unit Installed Cost",IF(ISNUMBER(SEARCH("Lighting Controls Only",F107)),"Lighting Controls Only",IF(CL107+DC107=0,"Does not meet incentive criteria",0)))))))))))))))</f>
        <v>0</v>
      </c>
      <c r="DE107" s="337">
        <f t="shared" si="135"/>
        <v>0</v>
      </c>
      <c r="DF107" s="609">
        <f t="shared" si="136"/>
        <v>0</v>
      </c>
      <c r="DG107" s="336" t="str">
        <f t="shared" si="137"/>
        <v/>
      </c>
      <c r="DH107" s="338">
        <f t="shared" si="138"/>
        <v>1</v>
      </c>
      <c r="DI107" s="336" t="e">
        <f t="shared" si="90"/>
        <v>#VALUE!</v>
      </c>
      <c r="DJ107" s="338">
        <f t="shared" si="91"/>
        <v>0</v>
      </c>
      <c r="DK107" s="326" t="s">
        <v>125</v>
      </c>
      <c r="DL107" s="341">
        <v>800</v>
      </c>
      <c r="DM107" s="325" t="s">
        <v>1378</v>
      </c>
      <c r="DN107" s="1439"/>
      <c r="DO107" s="1437"/>
      <c r="DP107" s="1335"/>
      <c r="DQ107" s="331"/>
      <c r="DR107" s="1126"/>
      <c r="DS107" s="1195">
        <f t="shared" si="139"/>
        <v>0</v>
      </c>
      <c r="DT107" s="344" t="b">
        <f t="shared" si="140"/>
        <v>1</v>
      </c>
      <c r="DU107" s="1314" t="str">
        <f t="array" ref="DU107">IF(OR(COUNTIF(F107,"*"&amp;$DK$9:$DK$178&amp;"*")), "Yes", "")</f>
        <v/>
      </c>
      <c r="DV107" s="1314">
        <f t="shared" si="141"/>
        <v>0</v>
      </c>
      <c r="DW107" s="1480">
        <f t="shared" si="142"/>
        <v>0</v>
      </c>
      <c r="DX107" s="1498">
        <f t="shared" si="151"/>
        <v>0</v>
      </c>
      <c r="DY107" s="1484">
        <f t="shared" si="143"/>
        <v>0</v>
      </c>
      <c r="DZ107" s="331"/>
      <c r="EA107" s="392"/>
      <c r="EB107" s="1499" t="s">
        <v>121</v>
      </c>
      <c r="EC107" s="727" t="s">
        <v>1568</v>
      </c>
      <c r="ED107" s="728">
        <v>0.5</v>
      </c>
      <c r="EE107" s="1215"/>
      <c r="EF107" s="1215"/>
      <c r="EG107" s="1184" t="str">
        <f t="shared" si="144"/>
        <v/>
      </c>
      <c r="EH107" s="55"/>
      <c r="EI107" s="55"/>
      <c r="EJ107" s="1185">
        <f t="shared" si="92"/>
        <v>0</v>
      </c>
      <c r="EK107" s="1211"/>
      <c r="EL107" s="1180">
        <f t="shared" si="93"/>
        <v>0</v>
      </c>
      <c r="EM107" s="206"/>
      <c r="EN107" s="1038"/>
      <c r="EO107" s="1038"/>
      <c r="EP107" s="1038"/>
      <c r="EQ107" s="1038">
        <f t="shared" si="145"/>
        <v>0</v>
      </c>
      <c r="ER107" s="1041">
        <f t="shared" si="146"/>
        <v>0</v>
      </c>
      <c r="ES107" s="1042">
        <f t="shared" si="147"/>
        <v>0</v>
      </c>
      <c r="ET107" s="1042">
        <f t="shared" si="152"/>
        <v>0</v>
      </c>
      <c r="EU107" s="1021">
        <f t="shared" si="153"/>
        <v>0</v>
      </c>
      <c r="EV107" s="368"/>
      <c r="EW107" s="368"/>
      <c r="EX107" s="369"/>
      <c r="EY107" s="370"/>
      <c r="EZ107" s="370"/>
      <c r="FA107" s="371"/>
      <c r="FB107" s="372"/>
    </row>
    <row r="108" spans="1:158" ht="34.5" customHeight="1">
      <c r="A108" s="82">
        <v>100</v>
      </c>
      <c r="B108" s="1725"/>
      <c r="C108" s="1726"/>
      <c r="D108" s="1726"/>
      <c r="E108" s="1727"/>
      <c r="F108" s="1732"/>
      <c r="G108" s="1733"/>
      <c r="H108" s="1733"/>
      <c r="I108" s="1734"/>
      <c r="J108" s="1341"/>
      <c r="K108" s="1728"/>
      <c r="L108" s="1728"/>
      <c r="M108" s="1342"/>
      <c r="N108" s="1583"/>
      <c r="O108" s="208" t="str">
        <f t="shared" si="80"/>
        <v/>
      </c>
      <c r="P108" s="785"/>
      <c r="Q108" s="39" t="str">
        <f t="shared" si="81"/>
        <v/>
      </c>
      <c r="R108" s="39">
        <f t="shared" si="94"/>
        <v>0</v>
      </c>
      <c r="S108" s="234">
        <f t="shared" si="95"/>
        <v>0</v>
      </c>
      <c r="T108" s="1755"/>
      <c r="U108" s="1755"/>
      <c r="V108" s="1755"/>
      <c r="W108" s="1345"/>
      <c r="X108" s="1741"/>
      <c r="Y108" s="1742"/>
      <c r="Z108" s="1346"/>
      <c r="AA108" s="1343"/>
      <c r="AB108" s="1141"/>
      <c r="AC108" s="1103" t="str">
        <f>IF(T108="","",VLOOKUP(Z108,Lists!$A$60:$B$111,2,FALSE))</f>
        <v/>
      </c>
      <c r="AD108" s="130" t="str">
        <f t="shared" si="96"/>
        <v/>
      </c>
      <c r="AE108" s="130" t="e">
        <f t="shared" si="97"/>
        <v>#VALUE!</v>
      </c>
      <c r="AF108" s="130">
        <f t="shared" si="98"/>
        <v>1</v>
      </c>
      <c r="AG108" s="234">
        <f t="shared" si="82"/>
        <v>0</v>
      </c>
      <c r="AH108" s="1753" t="str">
        <f>IF(T108="","",(IF(ISNUMBER(SEARCH("exit",T108)),8760,IF(AND(M108="Dusk to Dawn",'Proposed Lighting'!AU108=3),4059,IF(AND(AU108=3,M108="1"),0,IF(AND(AU108=3,M108="1-C"),0,IF(AND(AU108=3,M108="2"),0,IF(AND(AU108=3,M108="2-C"),0,IF(AND(AU108=3,M108="3"),0,IF(AND(AU108=3,M108="3-C"),0,IF(AND(AU108=2,M108="Dusk to Dawn"),0,IF(AND(AU108=2,M108="Dusk to Dawn-C"),0,IF(AND(AU108=2,M108="Dusk to Dawn"),0,IF(AND(AU108=2,M108="E"),0,IF(AND(AU108=2,M108="E-C"),0,EG108)))))))))))))))</f>
        <v/>
      </c>
      <c r="AI108" s="1754"/>
      <c r="AJ108" s="1136"/>
      <c r="AK108" s="1136"/>
      <c r="AL108" s="1748">
        <f t="shared" si="99"/>
        <v>0</v>
      </c>
      <c r="AM108" s="1749"/>
      <c r="AN108" s="1750"/>
      <c r="AO108" s="476">
        <f t="shared" si="83"/>
        <v>0</v>
      </c>
      <c r="AP108" s="476">
        <f t="shared" si="100"/>
        <v>0</v>
      </c>
      <c r="AQ108" s="475">
        <f t="shared" si="84"/>
        <v>0</v>
      </c>
      <c r="AR108" s="475">
        <f t="shared" si="101"/>
        <v>0</v>
      </c>
      <c r="AS108" s="743" t="str">
        <f t="shared" si="156"/>
        <v/>
      </c>
      <c r="AT108" s="736" t="str">
        <f t="shared" si="102"/>
        <v/>
      </c>
      <c r="AU108" s="56">
        <f t="shared" si="103"/>
        <v>1</v>
      </c>
      <c r="AV108" s="476">
        <f t="shared" si="104"/>
        <v>0</v>
      </c>
      <c r="AW108" s="56">
        <f t="shared" si="105"/>
        <v>0</v>
      </c>
      <c r="AX108" s="475">
        <f t="shared" si="85"/>
        <v>0</v>
      </c>
      <c r="AY108" s="1169">
        <f t="shared" si="106"/>
        <v>0</v>
      </c>
      <c r="AZ108" s="1150">
        <f t="shared" si="148"/>
        <v>0</v>
      </c>
      <c r="BA108" s="56">
        <f t="shared" si="86"/>
        <v>0</v>
      </c>
      <c r="BB108" s="420">
        <f t="shared" si="87"/>
        <v>0</v>
      </c>
      <c r="BC108" s="58" t="str">
        <f t="shared" si="88"/>
        <v/>
      </c>
      <c r="BD108" s="660">
        <f t="shared" si="149"/>
        <v>0</v>
      </c>
      <c r="BE108" s="57" t="e">
        <f t="array" ref="BE108">INDEX($EB$11:$ED$1022,MATCH(F108&amp;T108,$EB$11:$EB$1007&amp;$EC$11:$EC$1007,0),3)</f>
        <v>#N/A</v>
      </c>
      <c r="BF108" s="463">
        <f t="shared" si="157"/>
        <v>0</v>
      </c>
      <c r="BG108" s="1445" t="e">
        <f t="array" ref="BG108">INDEX($DO$112:$DQ$123,MATCH(T108&amp;W108,$DO$114:$DO$125&amp;$DP$112:$DP$123,0),3)</f>
        <v>#N/A</v>
      </c>
      <c r="BH108" s="1446">
        <f t="shared" si="108"/>
        <v>0</v>
      </c>
      <c r="BI108" s="465">
        <f t="shared" si="109"/>
        <v>0</v>
      </c>
      <c r="BJ108" s="465">
        <f t="shared" si="110"/>
        <v>0</v>
      </c>
      <c r="BK108" s="466">
        <f t="shared" si="158"/>
        <v>0</v>
      </c>
      <c r="BL108" s="466">
        <f t="shared" si="159"/>
        <v>0</v>
      </c>
      <c r="BM108" s="466">
        <f t="shared" si="113"/>
        <v>0</v>
      </c>
      <c r="BN108" s="466">
        <f t="shared" si="114"/>
        <v>0</v>
      </c>
      <c r="BO108" s="463">
        <f>IF('Data Entry'!$C$74=0,0,IF(ISNA(CJ108),0,IF(AX108=0,0,IF(AND('Data Entry'!$C$74=2,AF108&gt;2,CE108&lt;1),0,IF(AND('Data Entry'!$C$74=2,AF108&gt;1,AU108=2,CJ108&gt;1),0,IF(AND(AF108=5,CT108=0.5,AU108=2,ER108&lt;100),0,IF(AND(AF108=5,CT108=0.5,AU108=3,ER108&lt;100),0,IF(AND('Data Entry'!$C$74=2,AF108=2,AU108=2,AK108&gt;0.01,CB108=2,CE108&lt;1),0,IF(AND('Data Entry'!$C$74=2,AF108=3,AU108=3,AK108&gt;0.01,CB108=3,CE108&lt;1),0,IF(AND('Data Entry'!$C$74=2,AF108=3,AU108=3,AK108&gt;0.01,CB108=3,CE108&gt;0.99),BQ108*0.08,IF(AND('Data Entry'!$C$74=2,AF108=2,AU108=2,AK108&gt;0.01,CB108=2,CE108&gt;0.99),BQ108*0.1,IF(AND(AU108=2,AK108&gt;0.01,CB108=2,CD108&gt;1),BQ108*0.1,IF(AND(AU108=3,AK108&gt;0.01,CB108=3,CD108&gt;1),BQ108*0.08,CJ108*EF108)))))))))))))</f>
        <v>0</v>
      </c>
      <c r="BP108" s="475">
        <f t="shared" si="115"/>
        <v>0</v>
      </c>
      <c r="BQ108" s="1431">
        <f>IF(AU108=1,0,IF(CH108=100,0,IF(AND(AF108=3,AU108=2),0,IF(AND(BH108=0,CT108&gt;0.4),0,IF(AND('Data Entry'!$C$74=2,AF108=1.5),0,IF(AND('Data Entry'!$C$74=2,AF108=1.6),0,IF(AND('Data Entry'!$C$74=2,AF108=4),0,IF(AND('Data Entry'!$C$74=2,AF108=5),0,IF(AND('Data Entry'!$C$74=2,AF108=2.5,CE108&lt;1),0,IF(AND('Data Entry'!$C$74=2,AF108=3,CE108&lt;1),0,IF(AND('Data Entry'!$C$74=1,AF108=2.5,CD108&lt;1),0,IF(AND('Data Entry'!$C$74=1,AF108=3,CD108&lt;1),0,IF(DX108&gt;0.01,DX108,IF(ISERROR(AX108-AY108),"",ROUND(AX108-AY108,2)))))))))))))))</f>
        <v>0</v>
      </c>
      <c r="BR108" s="146">
        <f t="shared" si="116"/>
        <v>0</v>
      </c>
      <c r="BS108" s="475">
        <f t="shared" si="117"/>
        <v>0</v>
      </c>
      <c r="BT108" s="146" t="b">
        <f t="shared" si="118"/>
        <v>0</v>
      </c>
      <c r="BU108" s="463">
        <f>IF(ISNA(AT108),0,IF(AND('Data Entry'!$C$74=2,BC108=27),0,IF(AND('Data Entry'!$C$74=2,BC108=28),0,IF(AND(BC108=27,BT108=27,CM108&gt;0.1),CM108*0.15,IF(AND(BC108=28,BT108=28,CM108&gt;0.1),CM108*0.12,0)))))</f>
        <v>0</v>
      </c>
      <c r="BV108" s="463">
        <f t="shared" si="155"/>
        <v>0</v>
      </c>
      <c r="BW108" s="463">
        <f t="shared" si="119"/>
        <v>0</v>
      </c>
      <c r="BX108" s="463">
        <f t="shared" si="120"/>
        <v>0</v>
      </c>
      <c r="BY108" s="463">
        <f t="shared" si="121"/>
        <v>0</v>
      </c>
      <c r="BZ108" s="463">
        <f t="shared" si="122"/>
        <v>0</v>
      </c>
      <c r="CA108" s="57">
        <f t="shared" si="150"/>
        <v>0</v>
      </c>
      <c r="CB108" s="56">
        <f t="shared" si="123"/>
        <v>1</v>
      </c>
      <c r="CC108" s="756">
        <f>IF(EE108=0,0,IF(EF108=0,0,IF(EE108&gt;AA108,0,IF(AND(AZ108&gt;AW108,AW108&gt;0),0,IF(CU108=0,0,Summary!AC411)))))</f>
        <v>0</v>
      </c>
      <c r="CD108" s="756">
        <f>IF(EE108=0,0,IF(EF108=0,0,IF(EE108&gt;AA108,0,IF(AND(AZ108&gt;AW108,AW108&gt;0),0,IF(CU108=0,0,Summary!AD411)))))</f>
        <v>0</v>
      </c>
      <c r="CE108" s="756">
        <f>IF(EF108=0,0,IF(EE108&gt;AA108,0,IF(CC108=0,0,IF(AND(AZ108&gt;AW108,AW108&gt;0),0,IF(CU108=0,0,Summary!AE411)))))</f>
        <v>0</v>
      </c>
      <c r="CF108" s="475">
        <f t="shared" si="124"/>
        <v>0</v>
      </c>
      <c r="CG108" s="476">
        <f t="shared" si="89"/>
        <v>0</v>
      </c>
      <c r="CH108" s="487">
        <f t="shared" si="125"/>
        <v>0</v>
      </c>
      <c r="CI108" s="756">
        <f t="shared" si="126"/>
        <v>0</v>
      </c>
      <c r="CJ108" s="487">
        <f>IF(CT108&gt;0.4,0,IF(AND(AU108=2,CH108=0,CT108=0.5,ER108=100),35,IF(AND(AU108=3,BB108&gt;75,CH108=0,CT108=0.5,ER108=100),25,IF(CB108&gt;1,0,IF(EF108&gt;EE108,0,IF(AND(AF108&gt;1,CH108=100),0,IF(AND(AF108=1,AY108=0),0,IF(AND(EF108&lt;=EE108,AW108&gt;=AZ108,'Data Entry'!$C$74=1,AU108=2),VLOOKUP(W108,$DO$96:$DP$102,2,FALSE),IF(AND(EF108&lt;=EE108,AW108&gt;=AZ108,AU108=3,'Data Entry'!$C$74=1),VLOOKUP(W108,$DO$127:$DP$134,2,FALSE))))))))))</f>
        <v>0</v>
      </c>
      <c r="CK108" s="716">
        <f t="shared" si="127"/>
        <v>0</v>
      </c>
      <c r="CL108" s="57">
        <f t="shared" si="128"/>
        <v>0</v>
      </c>
      <c r="CM108" s="475">
        <f t="shared" si="154"/>
        <v>0</v>
      </c>
      <c r="CN108" s="660">
        <f>IF(CM108&lt;0.1,0,IF(ISNA(AT108),0,IF(CL108+BC108=1,0,IF(BV108&gt;0.01,0,IF(CL108&gt;0.01,0,IF(CF108=1,0,IF(BC108=0.5,0,IF(AND(CI108=1,AU108=3),0,IF(AND(CI108=5,CL108=0),0,IF(AND(R108=12,BR108=50),0,IF(CK108&gt;0.01,0,IF(AND(AJ108&gt;0.01,AU108=2,BC108=15),CM108*0.1,IF(AND(AJ108&gt;0.01,AU108=3,BC108=15),CM108*0.08,IF(AND(R108=12,BC108=3,AF108&lt;=0),0,IF(AND(BC108=15,BI108=0),0,IF(AND(BC108=15,BJ108=0),0,IF(AND(R108=20,CU108=0),0,IF($X$4=0,0,IF(AND(BC108=250,CL108=0),0,IF(AA108&lt;1,0,IF(AND(ISNUMBER(SEARCH("Area",T108)),AU108=3),0,IF(AND(AQ108&gt;0.01,AR108=0,BK108=0,BL108=0,BM108=0,BN108=0),0,IF(AND(AU108=3,CI108=7,CT108&gt;0.5),0,IF(AND(BC108=44,AU108=3,BY108=0),0,IF(AND(BC108=27,'Data Entry'!$C$74=2),0,IF(AND(BC108=28,'Data Entry'!$C$74=2),0,IF(AND(BY108+BZ108+CA108&gt;0.01,BV108=0,EQ108+ER108+ES108+ET108&lt;100),0,IF(AU108=3,CM108*0.08,IF(AU108=2,CM108*0.1,0)))))))))))))))))))))))))))))</f>
        <v>0</v>
      </c>
      <c r="CO108" s="660">
        <f t="shared" si="129"/>
        <v>0</v>
      </c>
      <c r="CP108" s="475" t="str">
        <f t="shared" si="130"/>
        <v/>
      </c>
      <c r="CQ108" s="161" t="str">
        <f>IF(AH108=0,0,IF(AU108=5,0,Summary!AC111))</f>
        <v/>
      </c>
      <c r="CR108" s="161" t="str">
        <f>IF(BF108=0.5,0,IF(AU108=5,0,Summary!AD111))</f>
        <v/>
      </c>
      <c r="CS108" s="161" t="str">
        <f>IF(AU108=5,0,Summary!AE111)</f>
        <v/>
      </c>
      <c r="CT108" s="161">
        <f t="shared" si="131"/>
        <v>0</v>
      </c>
      <c r="CU108" s="475" t="str">
        <f t="shared" si="132"/>
        <v/>
      </c>
      <c r="CV108" s="307">
        <f>IF('Data Entry'!$C$74=0,0,IF(AA108&lt;1,0,IF(ISERROR(CU108),0,IF(CF108=1,0,IF(AND(R108=12,BR108=50),0,IF(CL108+BO108+BV108+DC108=0,0,IF(BC108=37,0,IF(AND(BC108=40,AJ108=0),0,IF(AND(BC108=37,BO108&gt;0.01,BQ108&gt;0.01),ROUND(BQ108,0),IF(CM108&lt;0,0,ROUND(CM108,0)))))))))))</f>
        <v>0</v>
      </c>
      <c r="CW108" s="700">
        <f t="shared" si="133"/>
        <v>0</v>
      </c>
      <c r="CX108" s="477">
        <f>IF('Data Entry'!$C$74=0,0,IF(CV108&lt;0.01,0,IF(BF108=0.5,0,IF(CF108=1,0,IF(ISNUMBER(SEARCH("false",CL108)),0,IF(AZ108=500,0,CL108))))))</f>
        <v>0</v>
      </c>
      <c r="CY108" s="147" t="e">
        <f t="shared" si="134"/>
        <v>#VALUE!</v>
      </c>
      <c r="CZ108" s="147" t="b">
        <f>IF(CN108+CL108=0,FALSE,IF(AH108=0,0,IF(AND('Data Entry'!$C$74=1,CR108&gt;=1),TRUE,IF(AND('Data Entry'!$C$74=2,CS108&gt;=1),TRUE,FALSE))))</f>
        <v>0</v>
      </c>
      <c r="DA108" s="1751">
        <f>IF('Data Entry'!$C$74=0,0,IFERROR(ROUND(IF(T108="","",IF($X$4=0,0,IF(CF108=1,0,IF(BQ108+CV108=0,0,IF(CF108=1,0,IF(CY108&gt;0.01,CY108,IF(CL108&gt;0.01,CL108,IF(CY108&gt;0.01,CY108,IF(BC108=37,BO108,IF(CZ108=FALSE,0,IF(CZ108=TRUE,DC108+DF108,0))))))))))),2),""))</f>
        <v>0</v>
      </c>
      <c r="DB108" s="1752"/>
      <c r="DC108" s="474">
        <f>IF(CN108&lt;0.01,0,IF(AND(BR108=3,CN108&gt;0.01,CT108&gt;0.6,ER108+ES108+ET108&lt;100),0,IF(AND('Data Entry'!$C$74=1,CN108&gt;0.01,CR108&gt;0.99),MIN(CN108:CO108),IF(AND('Data Entry'!$C$74=2,CN108&gt;0.01,CS108&gt;0.99),MIN(CN108:CO108),0))))</f>
        <v>0</v>
      </c>
      <c r="DD108" s="478">
        <f>IF(CF108=1,"Selection does not match",IF(T108=0,0,IF(AND('Data Entry'!$C$74=0,CP108&gt;1),"Select Oregon or Idaho on Data Entry Tab",IF(AND(AU108=1,AA108&gt;0.9),"Missing Interior or Exterior Selection",IF($X$4=0,"Enter Total Project Cost",IF(AQ108&lt;AR108,"Insufficient kWh savings – no incentive",IF(AND(SUM(CL108+CK108+BV108)&gt;0.01,'Data Entry'!$C$74=2,CJ108&gt;1,BO108=0),"Submit Control as Non-Standard",IF(AND('Data Entry'!$C$74=2,BR108=37,CJ108&gt;1,BO108=0),"Submit Control as Non-Standard",IF(SUM(CL108+CK108+BV108)&gt;0.01,"Standard Incentive",IF(AND('Data Entry'!$C$74=2,CP108=7,CN108=0),"Submit as Non-Standard",IF(DC108&gt;0.9,"Non-Standard Incentive",IF(AND(BY108+BZ108+CA108&gt;0.01,BV108=0,EQ108=0,ER108=0,ES108=0,ET108=0),"Scroll Right &amp; Select Control Strategies",IF(AND(CN108&gt;0.01,CO108=0),"Enter Unit Installed Cost",IF(ISNUMBER(SEARCH("Lighting Controls Only",F108)),"Lighting Controls Only",IF(CL108+DC108=0,"Does not meet incentive criteria",0)))))))))))))))</f>
        <v>0</v>
      </c>
      <c r="DE108" s="337">
        <f t="shared" si="135"/>
        <v>0</v>
      </c>
      <c r="DF108" s="609">
        <f t="shared" si="136"/>
        <v>0</v>
      </c>
      <c r="DG108" s="336" t="str">
        <f t="shared" si="137"/>
        <v/>
      </c>
      <c r="DH108" s="338">
        <f t="shared" si="138"/>
        <v>1</v>
      </c>
      <c r="DI108" s="336" t="e">
        <f t="shared" si="90"/>
        <v>#VALUE!</v>
      </c>
      <c r="DJ108" s="338">
        <f t="shared" si="91"/>
        <v>0</v>
      </c>
      <c r="DK108" s="373" t="s">
        <v>73</v>
      </c>
      <c r="DL108" s="323" t="s">
        <v>450</v>
      </c>
      <c r="DM108" s="362" t="s">
        <v>1565</v>
      </c>
      <c r="DN108" s="1439"/>
      <c r="DO108" s="331"/>
      <c r="DP108" s="332"/>
      <c r="DQ108" s="331"/>
      <c r="DR108" s="1126"/>
      <c r="DS108" s="1195">
        <f t="shared" si="139"/>
        <v>0</v>
      </c>
      <c r="DT108" s="344" t="b">
        <f t="shared" si="140"/>
        <v>1</v>
      </c>
      <c r="DU108" s="1314" t="str">
        <f t="array" ref="DU108">IF(OR(COUNTIF(F108,"*"&amp;$DK$9:$DK$178&amp;"*")), "Yes", "")</f>
        <v/>
      </c>
      <c r="DV108" s="1314">
        <f t="shared" si="141"/>
        <v>0</v>
      </c>
      <c r="DW108" s="1480">
        <f t="shared" si="142"/>
        <v>0</v>
      </c>
      <c r="DX108" s="1498">
        <f t="shared" si="151"/>
        <v>0</v>
      </c>
      <c r="DY108" s="1484">
        <f t="shared" si="143"/>
        <v>0</v>
      </c>
      <c r="DZ108" s="331"/>
      <c r="EA108" s="392"/>
      <c r="EB108" s="1499" t="s">
        <v>122</v>
      </c>
      <c r="EC108" s="727" t="s">
        <v>1568</v>
      </c>
      <c r="ED108" s="728">
        <v>0.5</v>
      </c>
      <c r="EE108" s="1215"/>
      <c r="EF108" s="1215"/>
      <c r="EG108" s="1184" t="str">
        <f t="shared" si="144"/>
        <v/>
      </c>
      <c r="EH108" s="55"/>
      <c r="EI108" s="55"/>
      <c r="EJ108" s="1185">
        <f t="shared" si="92"/>
        <v>0</v>
      </c>
      <c r="EK108" s="1211"/>
      <c r="EL108" s="1180">
        <f t="shared" si="93"/>
        <v>0</v>
      </c>
      <c r="EM108" s="206"/>
      <c r="EN108" s="1038"/>
      <c r="EO108" s="1038"/>
      <c r="EP108" s="1038"/>
      <c r="EQ108" s="1038">
        <f t="shared" si="145"/>
        <v>0</v>
      </c>
      <c r="ER108" s="1041">
        <f t="shared" si="146"/>
        <v>0</v>
      </c>
      <c r="ES108" s="1042">
        <f t="shared" si="147"/>
        <v>0</v>
      </c>
      <c r="ET108" s="1042">
        <f t="shared" si="152"/>
        <v>0</v>
      </c>
      <c r="EU108" s="1021">
        <f t="shared" si="153"/>
        <v>0</v>
      </c>
      <c r="EV108" s="368"/>
      <c r="EW108" s="368"/>
      <c r="EX108" s="369"/>
      <c r="EY108" s="370"/>
      <c r="EZ108" s="370"/>
      <c r="FA108" s="371"/>
      <c r="FB108" s="372"/>
    </row>
    <row r="109" spans="1:158" ht="34.5" customHeight="1">
      <c r="A109" s="82">
        <v>101</v>
      </c>
      <c r="B109" s="1725"/>
      <c r="C109" s="1726"/>
      <c r="D109" s="1726"/>
      <c r="E109" s="1727"/>
      <c r="F109" s="1732"/>
      <c r="G109" s="1733"/>
      <c r="H109" s="1733"/>
      <c r="I109" s="1734"/>
      <c r="J109" s="1341"/>
      <c r="K109" s="1728"/>
      <c r="L109" s="1728"/>
      <c r="M109" s="1342"/>
      <c r="N109" s="1583"/>
      <c r="O109" s="208" t="str">
        <f t="shared" si="80"/>
        <v/>
      </c>
      <c r="P109" s="785"/>
      <c r="Q109" s="39" t="str">
        <f t="shared" si="81"/>
        <v/>
      </c>
      <c r="R109" s="39">
        <f t="shared" si="94"/>
        <v>0</v>
      </c>
      <c r="S109" s="234">
        <f t="shared" si="95"/>
        <v>0</v>
      </c>
      <c r="T109" s="1755"/>
      <c r="U109" s="1755"/>
      <c r="V109" s="1755"/>
      <c r="W109" s="1345"/>
      <c r="X109" s="1741"/>
      <c r="Y109" s="1742"/>
      <c r="Z109" s="1346"/>
      <c r="AA109" s="1343"/>
      <c r="AB109" s="1141"/>
      <c r="AC109" s="1103" t="str">
        <f>IF(T109="","",VLOOKUP(Z109,Lists!$A$60:$B$111,2,FALSE))</f>
        <v/>
      </c>
      <c r="AD109" s="130" t="str">
        <f t="shared" si="96"/>
        <v/>
      </c>
      <c r="AE109" s="130" t="e">
        <f t="shared" si="97"/>
        <v>#VALUE!</v>
      </c>
      <c r="AF109" s="130">
        <f t="shared" si="98"/>
        <v>1</v>
      </c>
      <c r="AG109" s="234">
        <f t="shared" si="82"/>
        <v>0</v>
      </c>
      <c r="AH109" s="1753" t="str">
        <f>IF(T109="","",(IF(ISNUMBER(SEARCH("exit",T109)),8760,IF(AND(M109="Dusk to Dawn",'Proposed Lighting'!AU109=3),4059,IF(AND(AU109=3,M109="1"),0,IF(AND(AU109=3,M109="1-C"),0,IF(AND(AU109=3,M109="2"),0,IF(AND(AU109=3,M109="2-C"),0,IF(AND(AU109=3,M109="3"),0,IF(AND(AU109=3,M109="3-C"),0,IF(AND(AU109=2,M109="Dusk to Dawn"),0,IF(AND(AU109=2,M109="Dusk to Dawn-C"),0,IF(AND(AU109=2,M109="Dusk to Dawn"),0,IF(AND(AU109=2,M109="E"),0,IF(AND(AU109=2,M109="E-C"),0,EG109)))))))))))))))</f>
        <v/>
      </c>
      <c r="AI109" s="1754"/>
      <c r="AJ109" s="1136"/>
      <c r="AK109" s="1136"/>
      <c r="AL109" s="1748">
        <f t="shared" si="99"/>
        <v>0</v>
      </c>
      <c r="AM109" s="1749"/>
      <c r="AN109" s="1750"/>
      <c r="AO109" s="476">
        <f t="shared" si="83"/>
        <v>0</v>
      </c>
      <c r="AP109" s="476">
        <f t="shared" si="100"/>
        <v>0</v>
      </c>
      <c r="AQ109" s="475">
        <f t="shared" si="84"/>
        <v>0</v>
      </c>
      <c r="AR109" s="475">
        <f t="shared" si="101"/>
        <v>0</v>
      </c>
      <c r="AS109" s="743" t="str">
        <f t="shared" si="156"/>
        <v/>
      </c>
      <c r="AT109" s="736" t="str">
        <f t="shared" si="102"/>
        <v/>
      </c>
      <c r="AU109" s="56">
        <f t="shared" si="103"/>
        <v>1</v>
      </c>
      <c r="AV109" s="476">
        <f t="shared" si="104"/>
        <v>0</v>
      </c>
      <c r="AW109" s="56">
        <f t="shared" si="105"/>
        <v>0</v>
      </c>
      <c r="AX109" s="475">
        <f t="shared" si="85"/>
        <v>0</v>
      </c>
      <c r="AY109" s="1169">
        <f t="shared" si="106"/>
        <v>0</v>
      </c>
      <c r="AZ109" s="1150">
        <f t="shared" si="148"/>
        <v>0</v>
      </c>
      <c r="BA109" s="56">
        <f t="shared" si="86"/>
        <v>0</v>
      </c>
      <c r="BB109" s="420">
        <f t="shared" si="87"/>
        <v>0</v>
      </c>
      <c r="BC109" s="58" t="str">
        <f t="shared" si="88"/>
        <v/>
      </c>
      <c r="BD109" s="660">
        <f t="shared" si="149"/>
        <v>0</v>
      </c>
      <c r="BE109" s="57" t="e">
        <f t="array" ref="BE109">INDEX($EB$11:$ED$1022,MATCH(F109&amp;T109,$EB$11:$EB$1007&amp;$EC$11:$EC$1007,0),3)</f>
        <v>#N/A</v>
      </c>
      <c r="BF109" s="463">
        <f t="shared" si="157"/>
        <v>0</v>
      </c>
      <c r="BG109" s="1445" t="e">
        <f t="array" ref="BG109">INDEX($DO$112:$DQ$123,MATCH(T109&amp;W109,$DO$114:$DO$125&amp;$DP$112:$DP$123,0),3)</f>
        <v>#N/A</v>
      </c>
      <c r="BH109" s="1446">
        <f t="shared" si="108"/>
        <v>0</v>
      </c>
      <c r="BI109" s="465">
        <f t="shared" si="109"/>
        <v>0</v>
      </c>
      <c r="BJ109" s="465">
        <f t="shared" si="110"/>
        <v>0</v>
      </c>
      <c r="BK109" s="466">
        <f t="shared" si="158"/>
        <v>0</v>
      </c>
      <c r="BL109" s="466">
        <f t="shared" si="159"/>
        <v>0</v>
      </c>
      <c r="BM109" s="466">
        <f t="shared" si="113"/>
        <v>0</v>
      </c>
      <c r="BN109" s="466">
        <f t="shared" si="114"/>
        <v>0</v>
      </c>
      <c r="BO109" s="463">
        <f>IF('Data Entry'!$C$74=0,0,IF(ISNA(CJ109),0,IF(AX109=0,0,IF(AND('Data Entry'!$C$74=2,AF109&gt;2,CE109&lt;1),0,IF(AND('Data Entry'!$C$74=2,AF109&gt;1,AU109=2,CJ109&gt;1),0,IF(AND(AF109=5,CT109=0.5,AU109=2,ER109&lt;100),0,IF(AND(AF109=5,CT109=0.5,AU109=3,ER109&lt;100),0,IF(AND('Data Entry'!$C$74=2,AF109=2,AU109=2,AK109&gt;0.01,CB109=2,CE109&lt;1),0,IF(AND('Data Entry'!$C$74=2,AF109=3,AU109=3,AK109&gt;0.01,CB109=3,CE109&lt;1),0,IF(AND('Data Entry'!$C$74=2,AF109=3,AU109=3,AK109&gt;0.01,CB109=3,CE109&gt;0.99),BQ109*0.08,IF(AND('Data Entry'!$C$74=2,AF109=2,AU109=2,AK109&gt;0.01,CB109=2,CE109&gt;0.99),BQ109*0.1,IF(AND(AU109=2,AK109&gt;0.01,CB109=2,CD109&gt;1),BQ109*0.1,IF(AND(AU109=3,AK109&gt;0.01,CB109=3,CD109&gt;1),BQ109*0.08,CJ109*EF109)))))))))))))</f>
        <v>0</v>
      </c>
      <c r="BP109" s="475">
        <f t="shared" si="115"/>
        <v>0</v>
      </c>
      <c r="BQ109" s="1431">
        <f>IF(AU109=1,0,IF(CH109=100,0,IF(AND(AF109=3,AU109=2),0,IF(AND(BH109=0,CT109&gt;0.4),0,IF(AND('Data Entry'!$C$74=2,AF109=1.5),0,IF(AND('Data Entry'!$C$74=2,AF109=1.6),0,IF(AND('Data Entry'!$C$74=2,AF109=4),0,IF(AND('Data Entry'!$C$74=2,AF109=5),0,IF(AND('Data Entry'!$C$74=2,AF109=2.5,CE109&lt;1),0,IF(AND('Data Entry'!$C$74=2,AF109=3,CE109&lt;1),0,IF(AND('Data Entry'!$C$74=1,AF109=2.5,CD109&lt;1),0,IF(AND('Data Entry'!$C$74=1,AF109=3,CD109&lt;1),0,IF(DX109&gt;0.01,DX109,IF(ISERROR(AX109-AY109),"",ROUND(AX109-AY109,2)))))))))))))))</f>
        <v>0</v>
      </c>
      <c r="BR109" s="146">
        <f t="shared" si="116"/>
        <v>0</v>
      </c>
      <c r="BS109" s="475">
        <f t="shared" si="117"/>
        <v>0</v>
      </c>
      <c r="BT109" s="146" t="b">
        <f t="shared" si="118"/>
        <v>0</v>
      </c>
      <c r="BU109" s="463">
        <f>IF(ISNA(AT109),0,IF(AND('Data Entry'!$C$74=2,BC109=27),0,IF(AND('Data Entry'!$C$74=2,BC109=28),0,IF(AND(BC109=27,BT109=27,CM109&gt;0.1),CM109*0.15,IF(AND(BC109=28,BT109=28,CM109&gt;0.1),CM109*0.12,0)))))</f>
        <v>0</v>
      </c>
      <c r="BV109" s="463">
        <f t="shared" si="155"/>
        <v>0</v>
      </c>
      <c r="BW109" s="463">
        <f t="shared" si="119"/>
        <v>0</v>
      </c>
      <c r="BX109" s="463">
        <f t="shared" si="120"/>
        <v>0</v>
      </c>
      <c r="BY109" s="463">
        <f t="shared" si="121"/>
        <v>0</v>
      </c>
      <c r="BZ109" s="463">
        <f t="shared" si="122"/>
        <v>0</v>
      </c>
      <c r="CA109" s="57">
        <f t="shared" si="150"/>
        <v>0</v>
      </c>
      <c r="CB109" s="56">
        <f t="shared" si="123"/>
        <v>1</v>
      </c>
      <c r="CC109" s="756">
        <f>IF(EE109=0,0,IF(EF109=0,0,IF(EE109&gt;AA109,0,IF(AND(AZ109&gt;AW109,AW109&gt;0),0,IF(CU109=0,0,Summary!AC412)))))</f>
        <v>0</v>
      </c>
      <c r="CD109" s="756">
        <f>IF(EE109=0,0,IF(EF109=0,0,IF(EE109&gt;AA109,0,IF(AND(AZ109&gt;AW109,AW109&gt;0),0,IF(CU109=0,0,Summary!AD412)))))</f>
        <v>0</v>
      </c>
      <c r="CE109" s="756">
        <f>IF(EF109=0,0,IF(EE109&gt;AA109,0,IF(CC109=0,0,IF(AND(AZ109&gt;AW109,AW109&gt;0),0,IF(CU109=0,0,Summary!AE412)))))</f>
        <v>0</v>
      </c>
      <c r="CF109" s="475">
        <f t="shared" si="124"/>
        <v>0</v>
      </c>
      <c r="CG109" s="476">
        <f t="shared" si="89"/>
        <v>0</v>
      </c>
      <c r="CH109" s="487">
        <f t="shared" si="125"/>
        <v>0</v>
      </c>
      <c r="CI109" s="756">
        <f t="shared" si="126"/>
        <v>0</v>
      </c>
      <c r="CJ109" s="487">
        <f>IF(CT109&gt;0.4,0,IF(AND(AU109=2,CH109=0,CT109=0.5,ER109=100),35,IF(AND(AU109=3,BB109&gt;75,CH109=0,CT109=0.5,ER109=100),25,IF(CB109&gt;1,0,IF(EF109&gt;EE109,0,IF(AND(AF109&gt;1,CH109=100),0,IF(AND(AF109=1,AY109=0),0,IF(AND(EF109&lt;=EE109,AW109&gt;=AZ109,'Data Entry'!$C$74=1,AU109=2),VLOOKUP(W109,$DO$96:$DP$102,2,FALSE),IF(AND(EF109&lt;=EE109,AW109&gt;=AZ109,AU109=3,'Data Entry'!$C$74=1),VLOOKUP(W109,$DO$127:$DP$134,2,FALSE))))))))))</f>
        <v>0</v>
      </c>
      <c r="CK109" s="716">
        <f t="shared" si="127"/>
        <v>0</v>
      </c>
      <c r="CL109" s="57">
        <f t="shared" si="128"/>
        <v>0</v>
      </c>
      <c r="CM109" s="475">
        <f t="shared" si="154"/>
        <v>0</v>
      </c>
      <c r="CN109" s="660">
        <f>IF(CM109&lt;0.1,0,IF(ISNA(AT109),0,IF(CL109+BC109=1,0,IF(BV109&gt;0.01,0,IF(CL109&gt;0.01,0,IF(CF109=1,0,IF(BC109=0.5,0,IF(AND(CI109=1,AU109=3),0,IF(AND(CI109=5,CL109=0),0,IF(AND(R109=12,BR109=50),0,IF(CK109&gt;0.01,0,IF(AND(AJ109&gt;0.01,AU109=2,BC109=15),CM109*0.1,IF(AND(AJ109&gt;0.01,AU109=3,BC109=15),CM109*0.08,IF(AND(R109=12,BC109=3,AF109&lt;=0),0,IF(AND(BC109=15,BI109=0),0,IF(AND(BC109=15,BJ109=0),0,IF(AND(R109=20,CU109=0),0,IF($X$4=0,0,IF(AND(BC109=250,CL109=0),0,IF(AA109&lt;1,0,IF(AND(ISNUMBER(SEARCH("Area",T109)),AU109=3),0,IF(AND(AQ109&gt;0.01,AR109=0,BK109=0,BL109=0,BM109=0,BN109=0),0,IF(AND(AU109=3,CI109=7,CT109&gt;0.5),0,IF(AND(BC109=44,AU109=3,BY109=0),0,IF(AND(BC109=27,'Data Entry'!$C$74=2),0,IF(AND(BC109=28,'Data Entry'!$C$74=2),0,IF(AND(BY109+BZ109+CA109&gt;0.01,BV109=0,EQ109+ER109+ES109+ET109&lt;100),0,IF(AU109=3,CM109*0.08,IF(AU109=2,CM109*0.1,0)))))))))))))))))))))))))))))</f>
        <v>0</v>
      </c>
      <c r="CO109" s="660">
        <f t="shared" si="129"/>
        <v>0</v>
      </c>
      <c r="CP109" s="475" t="str">
        <f t="shared" si="130"/>
        <v/>
      </c>
      <c r="CQ109" s="161" t="str">
        <f>IF(AH109=0,0,IF(AU109=5,0,Summary!AC112))</f>
        <v/>
      </c>
      <c r="CR109" s="161" t="str">
        <f>IF(BF109=0.5,0,IF(AU109=5,0,Summary!AD112))</f>
        <v/>
      </c>
      <c r="CS109" s="161" t="str">
        <f>IF(AU109=5,0,Summary!AE112)</f>
        <v/>
      </c>
      <c r="CT109" s="161">
        <f t="shared" si="131"/>
        <v>0</v>
      </c>
      <c r="CU109" s="475" t="str">
        <f t="shared" si="132"/>
        <v/>
      </c>
      <c r="CV109" s="307">
        <f>IF('Data Entry'!$C$74=0,0,IF(AA109&lt;1,0,IF(ISERROR(CU109),0,IF(CF109=1,0,IF(AND(R109=12,BR109=50),0,IF(CL109+BO109+BV109+DC109=0,0,IF(BC109=37,0,IF(AND(BC109=40,AJ109=0),0,IF(AND(BC109=37,BO109&gt;0.01,BQ109&gt;0.01),ROUND(BQ109,0),IF(CM109&lt;0,0,ROUND(CM109,0)))))))))))</f>
        <v>0</v>
      </c>
      <c r="CW109" s="700">
        <f t="shared" si="133"/>
        <v>0</v>
      </c>
      <c r="CX109" s="477">
        <f>IF('Data Entry'!$C$74=0,0,IF(CV109&lt;0.01,0,IF(BF109=0.5,0,IF(CF109=1,0,IF(ISNUMBER(SEARCH("false",CL109)),0,IF(AZ109=500,0,CL109))))))</f>
        <v>0</v>
      </c>
      <c r="CY109" s="147" t="e">
        <f t="shared" si="134"/>
        <v>#VALUE!</v>
      </c>
      <c r="CZ109" s="147" t="b">
        <f>IF(CN109+CL109=0,FALSE,IF(AH109=0,0,IF(AND('Data Entry'!$C$74=1,CR109&gt;=1),TRUE,IF(AND('Data Entry'!$C$74=2,CS109&gt;=1),TRUE,FALSE))))</f>
        <v>0</v>
      </c>
      <c r="DA109" s="1751">
        <f>IF('Data Entry'!$C$74=0,0,IFERROR(ROUND(IF(T109="","",IF($X$4=0,0,IF(CF109=1,0,IF(BQ109+CV109=0,0,IF(CF109=1,0,IF(CY109&gt;0.01,CY109,IF(CL109&gt;0.01,CL109,IF(CY109&gt;0.01,CY109,IF(BC109=37,BO109,IF(CZ109=FALSE,0,IF(CZ109=TRUE,DC109+DF109,0))))))))))),2),""))</f>
        <v>0</v>
      </c>
      <c r="DB109" s="1752"/>
      <c r="DC109" s="474">
        <f>IF(CN109&lt;0.01,0,IF(AND(BR109=3,CN109&gt;0.01,CT109&gt;0.6,ER109+ES109+ET109&lt;100),0,IF(AND('Data Entry'!$C$74=1,CN109&gt;0.01,CR109&gt;0.99),MIN(CN109:CO109),IF(AND('Data Entry'!$C$74=2,CN109&gt;0.01,CS109&gt;0.99),MIN(CN109:CO109),0))))</f>
        <v>0</v>
      </c>
      <c r="DD109" s="478">
        <f>IF(CF109=1,"Selection does not match",IF(T109=0,0,IF(AND('Data Entry'!$C$74=0,CP109&gt;1),"Select Oregon or Idaho on Data Entry Tab",IF(AND(AU109=1,AA109&gt;0.9),"Missing Interior or Exterior Selection",IF($X$4=0,"Enter Total Project Cost",IF(AQ109&lt;AR109,"Insufficient kWh savings – no incentive",IF(AND(SUM(CL109+CK109+BV109)&gt;0.01,'Data Entry'!$C$74=2,CJ109&gt;1,BO109=0),"Submit Control as Non-Standard",IF(AND('Data Entry'!$C$74=2,BR109=37,CJ109&gt;1,BO109=0),"Submit Control as Non-Standard",IF(SUM(CL109+CK109+BV109)&gt;0.01,"Standard Incentive",IF(AND('Data Entry'!$C$74=2,CP109=7,CN109=0),"Submit as Non-Standard",IF(DC109&gt;0.9,"Non-Standard Incentive",IF(AND(BY109+BZ109+CA109&gt;0.01,BV109=0,EQ109=0,ER109=0,ES109=0,ET109=0),"Scroll Right &amp; Select Control Strategies",IF(AND(CN109&gt;0.01,CO109=0),"Enter Unit Installed Cost",IF(ISNUMBER(SEARCH("Lighting Controls Only",F109)),"Lighting Controls Only",IF(CL109+DC109=0,"Does not meet incentive criteria",0)))))))))))))))</f>
        <v>0</v>
      </c>
      <c r="DE109" s="337">
        <f t="shared" si="135"/>
        <v>0</v>
      </c>
      <c r="DF109" s="609">
        <f t="shared" si="136"/>
        <v>0</v>
      </c>
      <c r="DG109" s="336" t="str">
        <f t="shared" si="137"/>
        <v/>
      </c>
      <c r="DH109" s="338">
        <f t="shared" si="138"/>
        <v>1</v>
      </c>
      <c r="DI109" s="336" t="e">
        <f t="shared" si="90"/>
        <v>#VALUE!</v>
      </c>
      <c r="DJ109" s="338">
        <f t="shared" si="91"/>
        <v>0</v>
      </c>
      <c r="DK109" s="326" t="s">
        <v>460</v>
      </c>
      <c r="DL109" s="341">
        <v>43</v>
      </c>
      <c r="DM109" s="328" t="s">
        <v>36</v>
      </c>
      <c r="DN109" s="1450"/>
      <c r="DO109" s="331"/>
      <c r="DP109" s="357"/>
      <c r="DQ109" s="357"/>
      <c r="DR109" s="1126"/>
      <c r="DS109" s="1195">
        <f t="shared" si="139"/>
        <v>0</v>
      </c>
      <c r="DT109" s="344" t="b">
        <f t="shared" si="140"/>
        <v>1</v>
      </c>
      <c r="DU109" s="1314" t="str">
        <f t="array" ref="DU109">IF(OR(COUNTIF(F109,"*"&amp;$DK$9:$DK$178&amp;"*")), "Yes", "")</f>
        <v/>
      </c>
      <c r="DV109" s="1314">
        <f t="shared" si="141"/>
        <v>0</v>
      </c>
      <c r="DW109" s="1480">
        <f t="shared" si="142"/>
        <v>0</v>
      </c>
      <c r="DX109" s="1498">
        <f t="shared" si="151"/>
        <v>0</v>
      </c>
      <c r="DY109" s="1484">
        <f t="shared" si="143"/>
        <v>0</v>
      </c>
      <c r="DZ109" s="331"/>
      <c r="EA109" s="392"/>
      <c r="EB109" s="1499" t="s">
        <v>123</v>
      </c>
      <c r="EC109" s="727" t="s">
        <v>1568</v>
      </c>
      <c r="ED109" s="728">
        <v>0.5</v>
      </c>
      <c r="EE109" s="1215"/>
      <c r="EF109" s="1215"/>
      <c r="EG109" s="1184" t="str">
        <f t="shared" si="144"/>
        <v/>
      </c>
      <c r="EH109" s="55"/>
      <c r="EI109" s="55"/>
      <c r="EJ109" s="1185">
        <f t="shared" si="92"/>
        <v>0</v>
      </c>
      <c r="EK109" s="1211"/>
      <c r="EL109" s="1180">
        <f t="shared" si="93"/>
        <v>0</v>
      </c>
      <c r="EM109" s="206"/>
      <c r="EN109" s="1038"/>
      <c r="EO109" s="1038"/>
      <c r="EP109" s="1038"/>
      <c r="EQ109" s="1038">
        <f t="shared" si="145"/>
        <v>0</v>
      </c>
      <c r="ER109" s="1041">
        <f t="shared" si="146"/>
        <v>0</v>
      </c>
      <c r="ES109" s="1042">
        <f t="shared" si="147"/>
        <v>0</v>
      </c>
      <c r="ET109" s="1042">
        <f t="shared" si="152"/>
        <v>0</v>
      </c>
      <c r="EU109" s="1021">
        <f t="shared" si="153"/>
        <v>0</v>
      </c>
      <c r="EV109" s="368"/>
      <c r="EW109" s="368"/>
      <c r="EX109" s="369"/>
      <c r="EY109" s="370"/>
      <c r="EZ109" s="370"/>
      <c r="FA109" s="371"/>
      <c r="FB109" s="372"/>
    </row>
    <row r="110" spans="1:158" ht="34.5" customHeight="1">
      <c r="A110" s="82">
        <v>102</v>
      </c>
      <c r="B110" s="1725"/>
      <c r="C110" s="1726"/>
      <c r="D110" s="1726"/>
      <c r="E110" s="1727"/>
      <c r="F110" s="1732"/>
      <c r="G110" s="1733"/>
      <c r="H110" s="1733"/>
      <c r="I110" s="1734"/>
      <c r="J110" s="1341"/>
      <c r="K110" s="1728"/>
      <c r="L110" s="1728"/>
      <c r="M110" s="1342"/>
      <c r="N110" s="1583"/>
      <c r="O110" s="208" t="str">
        <f t="shared" si="80"/>
        <v/>
      </c>
      <c r="P110" s="785"/>
      <c r="Q110" s="39" t="str">
        <f t="shared" si="81"/>
        <v/>
      </c>
      <c r="R110" s="39">
        <f t="shared" si="94"/>
        <v>0</v>
      </c>
      <c r="S110" s="234">
        <f t="shared" si="95"/>
        <v>0</v>
      </c>
      <c r="T110" s="1755"/>
      <c r="U110" s="1755"/>
      <c r="V110" s="1755"/>
      <c r="W110" s="1345"/>
      <c r="X110" s="1741"/>
      <c r="Y110" s="1742"/>
      <c r="Z110" s="1346"/>
      <c r="AA110" s="1343"/>
      <c r="AB110" s="1141"/>
      <c r="AC110" s="1103" t="str">
        <f>IF(T110="","",VLOOKUP(Z110,Lists!$A$60:$B$111,2,FALSE))</f>
        <v/>
      </c>
      <c r="AD110" s="130" t="str">
        <f t="shared" si="96"/>
        <v/>
      </c>
      <c r="AE110" s="130" t="e">
        <f t="shared" si="97"/>
        <v>#VALUE!</v>
      </c>
      <c r="AF110" s="130">
        <f t="shared" si="98"/>
        <v>1</v>
      </c>
      <c r="AG110" s="234">
        <f t="shared" si="82"/>
        <v>0</v>
      </c>
      <c r="AH110" s="1753" t="str">
        <f>IF(T110="","",(IF(ISNUMBER(SEARCH("exit",T110)),8760,IF(AND(M110="Dusk to Dawn",'Proposed Lighting'!AU110=3),4059,IF(AND(AU110=3,M110="1"),0,IF(AND(AU110=3,M110="1-C"),0,IF(AND(AU110=3,M110="2"),0,IF(AND(AU110=3,M110="2-C"),0,IF(AND(AU110=3,M110="3"),0,IF(AND(AU110=3,M110="3-C"),0,IF(AND(AU110=2,M110="Dusk to Dawn"),0,IF(AND(AU110=2,M110="Dusk to Dawn-C"),0,IF(AND(AU110=2,M110="Dusk to Dawn"),0,IF(AND(AU110=2,M110="E"),0,IF(AND(AU110=2,M110="E-C"),0,EG110)))))))))))))))</f>
        <v/>
      </c>
      <c r="AI110" s="1754"/>
      <c r="AJ110" s="1136"/>
      <c r="AK110" s="1136"/>
      <c r="AL110" s="1748">
        <f t="shared" si="99"/>
        <v>0</v>
      </c>
      <c r="AM110" s="1749"/>
      <c r="AN110" s="1750"/>
      <c r="AO110" s="476">
        <f t="shared" si="83"/>
        <v>0</v>
      </c>
      <c r="AP110" s="476">
        <f t="shared" si="100"/>
        <v>0</v>
      </c>
      <c r="AQ110" s="475">
        <f t="shared" si="84"/>
        <v>0</v>
      </c>
      <c r="AR110" s="475">
        <f t="shared" si="101"/>
        <v>0</v>
      </c>
      <c r="AS110" s="743" t="str">
        <f t="shared" si="156"/>
        <v/>
      </c>
      <c r="AT110" s="736" t="str">
        <f t="shared" si="102"/>
        <v/>
      </c>
      <c r="AU110" s="56">
        <f t="shared" si="103"/>
        <v>1</v>
      </c>
      <c r="AV110" s="476">
        <f t="shared" si="104"/>
        <v>0</v>
      </c>
      <c r="AW110" s="56">
        <f t="shared" si="105"/>
        <v>0</v>
      </c>
      <c r="AX110" s="475">
        <f t="shared" si="85"/>
        <v>0</v>
      </c>
      <c r="AY110" s="1169">
        <f t="shared" si="106"/>
        <v>0</v>
      </c>
      <c r="AZ110" s="1150">
        <f t="shared" si="148"/>
        <v>0</v>
      </c>
      <c r="BA110" s="56">
        <f t="shared" si="86"/>
        <v>0</v>
      </c>
      <c r="BB110" s="420">
        <f t="shared" si="87"/>
        <v>0</v>
      </c>
      <c r="BC110" s="58" t="str">
        <f t="shared" si="88"/>
        <v/>
      </c>
      <c r="BD110" s="660">
        <f t="shared" si="149"/>
        <v>0</v>
      </c>
      <c r="BE110" s="57" t="e">
        <f t="array" ref="BE110">INDEX($EB$11:$ED$1022,MATCH(F110&amp;T110,$EB$11:$EB$1007&amp;$EC$11:$EC$1007,0),3)</f>
        <v>#N/A</v>
      </c>
      <c r="BF110" s="463">
        <f t="shared" si="157"/>
        <v>0</v>
      </c>
      <c r="BG110" s="1445" t="e">
        <f t="array" ref="BG110">INDEX($DO$112:$DQ$123,MATCH(T110&amp;W110,$DO$114:$DO$125&amp;$DP$112:$DP$123,0),3)</f>
        <v>#N/A</v>
      </c>
      <c r="BH110" s="1446">
        <f t="shared" si="108"/>
        <v>0</v>
      </c>
      <c r="BI110" s="465">
        <f t="shared" si="109"/>
        <v>0</v>
      </c>
      <c r="BJ110" s="465">
        <f t="shared" si="110"/>
        <v>0</v>
      </c>
      <c r="BK110" s="466">
        <f t="shared" si="158"/>
        <v>0</v>
      </c>
      <c r="BL110" s="466">
        <f t="shared" si="159"/>
        <v>0</v>
      </c>
      <c r="BM110" s="466">
        <f t="shared" si="113"/>
        <v>0</v>
      </c>
      <c r="BN110" s="466">
        <f t="shared" si="114"/>
        <v>0</v>
      </c>
      <c r="BO110" s="463">
        <f>IF('Data Entry'!$C$74=0,0,IF(ISNA(CJ110),0,IF(AX110=0,0,IF(AND('Data Entry'!$C$74=2,AF110&gt;2,CE110&lt;1),0,IF(AND('Data Entry'!$C$74=2,AF110&gt;1,AU110=2,CJ110&gt;1),0,IF(AND(AF110=5,CT110=0.5,AU110=2,ER110&lt;100),0,IF(AND(AF110=5,CT110=0.5,AU110=3,ER110&lt;100),0,IF(AND('Data Entry'!$C$74=2,AF110=2,AU110=2,AK110&gt;0.01,CB110=2,CE110&lt;1),0,IF(AND('Data Entry'!$C$74=2,AF110=3,AU110=3,AK110&gt;0.01,CB110=3,CE110&lt;1),0,IF(AND('Data Entry'!$C$74=2,AF110=3,AU110=3,AK110&gt;0.01,CB110=3,CE110&gt;0.99),BQ110*0.08,IF(AND('Data Entry'!$C$74=2,AF110=2,AU110=2,AK110&gt;0.01,CB110=2,CE110&gt;0.99),BQ110*0.1,IF(AND(AU110=2,AK110&gt;0.01,CB110=2,CD110&gt;1),BQ110*0.1,IF(AND(AU110=3,AK110&gt;0.01,CB110=3,CD110&gt;1),BQ110*0.08,CJ110*EF110)))))))))))))</f>
        <v>0</v>
      </c>
      <c r="BP110" s="475">
        <f t="shared" si="115"/>
        <v>0</v>
      </c>
      <c r="BQ110" s="1431">
        <f>IF(AU110=1,0,IF(CH110=100,0,IF(AND(AF110=3,AU110=2),0,IF(AND(BH110=0,CT110&gt;0.4),0,IF(AND('Data Entry'!$C$74=2,AF110=1.5),0,IF(AND('Data Entry'!$C$74=2,AF110=1.6),0,IF(AND('Data Entry'!$C$74=2,AF110=4),0,IF(AND('Data Entry'!$C$74=2,AF110=5),0,IF(AND('Data Entry'!$C$74=2,AF110=2.5,CE110&lt;1),0,IF(AND('Data Entry'!$C$74=2,AF110=3,CE110&lt;1),0,IF(AND('Data Entry'!$C$74=1,AF110=2.5,CD110&lt;1),0,IF(AND('Data Entry'!$C$74=1,AF110=3,CD110&lt;1),0,IF(DX110&gt;0.01,DX110,IF(ISERROR(AX110-AY110),"",ROUND(AX110-AY110,2)))))))))))))))</f>
        <v>0</v>
      </c>
      <c r="BR110" s="146">
        <f t="shared" si="116"/>
        <v>0</v>
      </c>
      <c r="BS110" s="475">
        <f t="shared" si="117"/>
        <v>0</v>
      </c>
      <c r="BT110" s="146" t="b">
        <f t="shared" si="118"/>
        <v>0</v>
      </c>
      <c r="BU110" s="463">
        <f>IF(ISNA(AT110),0,IF(AND('Data Entry'!$C$74=2,BC110=27),0,IF(AND('Data Entry'!$C$74=2,BC110=28),0,IF(AND(BC110=27,BT110=27,CM110&gt;0.1),CM110*0.15,IF(AND(BC110=28,BT110=28,CM110&gt;0.1),CM110*0.12,0)))))</f>
        <v>0</v>
      </c>
      <c r="BV110" s="463">
        <f t="shared" si="155"/>
        <v>0</v>
      </c>
      <c r="BW110" s="463">
        <f t="shared" si="119"/>
        <v>0</v>
      </c>
      <c r="BX110" s="463">
        <f t="shared" si="120"/>
        <v>0</v>
      </c>
      <c r="BY110" s="463">
        <f t="shared" si="121"/>
        <v>0</v>
      </c>
      <c r="BZ110" s="463">
        <f t="shared" si="122"/>
        <v>0</v>
      </c>
      <c r="CA110" s="57">
        <f t="shared" si="150"/>
        <v>0</v>
      </c>
      <c r="CB110" s="56">
        <f t="shared" si="123"/>
        <v>1</v>
      </c>
      <c r="CC110" s="756">
        <f>IF(EE110=0,0,IF(EF110=0,0,IF(EE110&gt;AA110,0,IF(AND(AZ110&gt;AW110,AW110&gt;0),0,IF(CU110=0,0,Summary!AC413)))))</f>
        <v>0</v>
      </c>
      <c r="CD110" s="756">
        <f>IF(EE110=0,0,IF(EF110=0,0,IF(EE110&gt;AA110,0,IF(AND(AZ110&gt;AW110,AW110&gt;0),0,IF(CU110=0,0,Summary!AD413)))))</f>
        <v>0</v>
      </c>
      <c r="CE110" s="756">
        <f>IF(EF110=0,0,IF(EE110&gt;AA110,0,IF(CC110=0,0,IF(AND(AZ110&gt;AW110,AW110&gt;0),0,IF(CU110=0,0,Summary!AE413)))))</f>
        <v>0</v>
      </c>
      <c r="CF110" s="475">
        <f t="shared" si="124"/>
        <v>0</v>
      </c>
      <c r="CG110" s="476">
        <f t="shared" si="89"/>
        <v>0</v>
      </c>
      <c r="CH110" s="487">
        <f t="shared" si="125"/>
        <v>0</v>
      </c>
      <c r="CI110" s="756">
        <f t="shared" si="126"/>
        <v>0</v>
      </c>
      <c r="CJ110" s="487">
        <f>IF(CT110&gt;0.4,0,IF(AND(AU110=2,CH110=0,CT110=0.5,ER110=100),35,IF(AND(AU110=3,BB110&gt;75,CH110=0,CT110=0.5,ER110=100),25,IF(CB110&gt;1,0,IF(EF110&gt;EE110,0,IF(AND(AF110&gt;1,CH110=100),0,IF(AND(AF110=1,AY110=0),0,IF(AND(EF110&lt;=EE110,AW110&gt;=AZ110,'Data Entry'!$C$74=1,AU110=2),VLOOKUP(W110,$DO$96:$DP$102,2,FALSE),IF(AND(EF110&lt;=EE110,AW110&gt;=AZ110,AU110=3,'Data Entry'!$C$74=1),VLOOKUP(W110,$DO$127:$DP$134,2,FALSE))))))))))</f>
        <v>0</v>
      </c>
      <c r="CK110" s="716">
        <f t="shared" si="127"/>
        <v>0</v>
      </c>
      <c r="CL110" s="57">
        <f t="shared" si="128"/>
        <v>0</v>
      </c>
      <c r="CM110" s="475">
        <f t="shared" si="154"/>
        <v>0</v>
      </c>
      <c r="CN110" s="660">
        <f>IF(CM110&lt;0.1,0,IF(ISNA(AT110),0,IF(CL110+BC110=1,0,IF(BV110&gt;0.01,0,IF(CL110&gt;0.01,0,IF(CF110=1,0,IF(BC110=0.5,0,IF(AND(CI110=1,AU110=3),0,IF(AND(CI110=5,CL110=0),0,IF(AND(R110=12,BR110=50),0,IF(CK110&gt;0.01,0,IF(AND(AJ110&gt;0.01,AU110=2,BC110=15),CM110*0.1,IF(AND(AJ110&gt;0.01,AU110=3,BC110=15),CM110*0.08,IF(AND(R110=12,BC110=3,AF110&lt;=0),0,IF(AND(BC110=15,BI110=0),0,IF(AND(BC110=15,BJ110=0),0,IF(AND(R110=20,CU110=0),0,IF($X$4=0,0,IF(AND(BC110=250,CL110=0),0,IF(AA110&lt;1,0,IF(AND(ISNUMBER(SEARCH("Area",T110)),AU110=3),0,IF(AND(AQ110&gt;0.01,AR110=0,BK110=0,BL110=0,BM110=0,BN110=0),0,IF(AND(AU110=3,CI110=7,CT110&gt;0.5),0,IF(AND(BC110=44,AU110=3,BY110=0),0,IF(AND(BC110=27,'Data Entry'!$C$74=2),0,IF(AND(BC110=28,'Data Entry'!$C$74=2),0,IF(AND(BY110+BZ110+CA110&gt;0.01,BV110=0,EQ110+ER110+ES110+ET110&lt;100),0,IF(AU110=3,CM110*0.08,IF(AU110=2,CM110*0.1,0)))))))))))))))))))))))))))))</f>
        <v>0</v>
      </c>
      <c r="CO110" s="660">
        <f t="shared" si="129"/>
        <v>0</v>
      </c>
      <c r="CP110" s="475" t="str">
        <f t="shared" si="130"/>
        <v/>
      </c>
      <c r="CQ110" s="161" t="str">
        <f>IF(AH110=0,0,IF(AU110=5,0,Summary!AC113))</f>
        <v/>
      </c>
      <c r="CR110" s="161" t="str">
        <f>IF(BF110=0.5,0,IF(AU110=5,0,Summary!AD113))</f>
        <v/>
      </c>
      <c r="CS110" s="161" t="str">
        <f>IF(AU110=5,0,Summary!AE113)</f>
        <v/>
      </c>
      <c r="CT110" s="161">
        <f t="shared" si="131"/>
        <v>0</v>
      </c>
      <c r="CU110" s="475" t="str">
        <f t="shared" si="132"/>
        <v/>
      </c>
      <c r="CV110" s="307">
        <f>IF('Data Entry'!$C$74=0,0,IF(AA110&lt;1,0,IF(ISERROR(CU110),0,IF(CF110=1,0,IF(AND(R110=12,BR110=50),0,IF(CL110+BO110+BV110+DC110=0,0,IF(BC110=37,0,IF(AND(BC110=40,AJ110=0),0,IF(AND(BC110=37,BO110&gt;0.01,BQ110&gt;0.01),ROUND(BQ110,0),IF(CM110&lt;0,0,ROUND(CM110,0)))))))))))</f>
        <v>0</v>
      </c>
      <c r="CW110" s="700">
        <f t="shared" si="133"/>
        <v>0</v>
      </c>
      <c r="CX110" s="477">
        <f>IF('Data Entry'!$C$74=0,0,IF(CV110&lt;0.01,0,IF(BF110=0.5,0,IF(CF110=1,0,IF(ISNUMBER(SEARCH("false",CL110)),0,IF(AZ110=500,0,CL110))))))</f>
        <v>0</v>
      </c>
      <c r="CY110" s="147" t="e">
        <f t="shared" si="134"/>
        <v>#VALUE!</v>
      </c>
      <c r="CZ110" s="147" t="b">
        <f>IF(CN110+CL110=0,FALSE,IF(AH110=0,0,IF(AND('Data Entry'!$C$74=1,CR110&gt;=1),TRUE,IF(AND('Data Entry'!$C$74=2,CS110&gt;=1),TRUE,FALSE))))</f>
        <v>0</v>
      </c>
      <c r="DA110" s="1751">
        <f>IF('Data Entry'!$C$74=0,0,IFERROR(ROUND(IF(T110="","",IF($X$4=0,0,IF(CF110=1,0,IF(BQ110+CV110=0,0,IF(CF110=1,0,IF(CY110&gt;0.01,CY110,IF(CL110&gt;0.01,CL110,IF(CY110&gt;0.01,CY110,IF(BC110=37,BO110,IF(CZ110=FALSE,0,IF(CZ110=TRUE,DC110+DF110,0))))))))))),2),""))</f>
        <v>0</v>
      </c>
      <c r="DB110" s="1752"/>
      <c r="DC110" s="474">
        <f>IF(CN110&lt;0.01,0,IF(AND(BR110=3,CN110&gt;0.01,CT110&gt;0.6,ER110+ES110+ET110&lt;100),0,IF(AND('Data Entry'!$C$74=1,CN110&gt;0.01,CR110&gt;0.99),MIN(CN110:CO110),IF(AND('Data Entry'!$C$74=2,CN110&gt;0.01,CS110&gt;0.99),MIN(CN110:CO110),0))))</f>
        <v>0</v>
      </c>
      <c r="DD110" s="478">
        <f>IF(CF110=1,"Selection does not match",IF(T110=0,0,IF(AND('Data Entry'!$C$74=0,CP110&gt;1),"Select Oregon or Idaho on Data Entry Tab",IF(AND(AU110=1,AA110&gt;0.9),"Missing Interior or Exterior Selection",IF($X$4=0,"Enter Total Project Cost",IF(AQ110&lt;AR110,"Insufficient kWh savings – no incentive",IF(AND(SUM(CL110+CK110+BV110)&gt;0.01,'Data Entry'!$C$74=2,CJ110&gt;1,BO110=0),"Submit Control as Non-Standard",IF(AND('Data Entry'!$C$74=2,BR110=37,CJ110&gt;1,BO110=0),"Submit Control as Non-Standard",IF(SUM(CL110+CK110+BV110)&gt;0.01,"Standard Incentive",IF(AND('Data Entry'!$C$74=2,CP110=7,CN110=0),"Submit as Non-Standard",IF(DC110&gt;0.9,"Non-Standard Incentive",IF(AND(BY110+BZ110+CA110&gt;0.01,BV110=0,EQ110=0,ER110=0,ES110=0,ET110=0),"Scroll Right &amp; Select Control Strategies",IF(AND(CN110&gt;0.01,CO110=0),"Enter Unit Installed Cost",IF(ISNUMBER(SEARCH("Lighting Controls Only",F110)),"Lighting Controls Only",IF(CL110+DC110=0,"Does not meet incentive criteria",0)))))))))))))))</f>
        <v>0</v>
      </c>
      <c r="DE110" s="337">
        <f t="shared" si="135"/>
        <v>0</v>
      </c>
      <c r="DF110" s="609">
        <f t="shared" si="136"/>
        <v>0</v>
      </c>
      <c r="DG110" s="336" t="str">
        <f t="shared" si="137"/>
        <v/>
      </c>
      <c r="DH110" s="338">
        <f t="shared" si="138"/>
        <v>1</v>
      </c>
      <c r="DI110" s="336" t="e">
        <f t="shared" si="90"/>
        <v>#VALUE!</v>
      </c>
      <c r="DJ110" s="338">
        <f t="shared" si="91"/>
        <v>0</v>
      </c>
      <c r="DK110" s="326" t="s">
        <v>505</v>
      </c>
      <c r="DL110" s="341">
        <v>72</v>
      </c>
      <c r="DM110" s="362" t="s">
        <v>1380</v>
      </c>
      <c r="DN110" s="1450"/>
      <c r="DO110" s="331"/>
      <c r="DP110" s="357"/>
      <c r="DQ110" s="357"/>
      <c r="DR110" s="1126"/>
      <c r="DS110" s="1195">
        <f t="shared" si="139"/>
        <v>0</v>
      </c>
      <c r="DT110" s="344" t="b">
        <f t="shared" si="140"/>
        <v>1</v>
      </c>
      <c r="DU110" s="1314" t="str">
        <f t="array" ref="DU110">IF(OR(COUNTIF(F110,"*"&amp;$DK$9:$DK$178&amp;"*")), "Yes", "")</f>
        <v/>
      </c>
      <c r="DV110" s="1314">
        <f t="shared" si="141"/>
        <v>0</v>
      </c>
      <c r="DW110" s="1480">
        <f t="shared" si="142"/>
        <v>0</v>
      </c>
      <c r="DX110" s="1498">
        <f t="shared" si="151"/>
        <v>0</v>
      </c>
      <c r="DY110" s="1484">
        <f t="shared" si="143"/>
        <v>0</v>
      </c>
      <c r="DZ110" s="331"/>
      <c r="EA110" s="392"/>
      <c r="EB110" s="1499" t="s">
        <v>124</v>
      </c>
      <c r="EC110" s="727" t="s">
        <v>1568</v>
      </c>
      <c r="ED110" s="728">
        <v>0.5</v>
      </c>
      <c r="EE110" s="1215"/>
      <c r="EF110" s="1215"/>
      <c r="EG110" s="1184" t="str">
        <f t="shared" si="144"/>
        <v/>
      </c>
      <c r="EH110" s="55"/>
      <c r="EI110" s="55"/>
      <c r="EJ110" s="1185">
        <f t="shared" si="92"/>
        <v>0</v>
      </c>
      <c r="EK110" s="1211"/>
      <c r="EL110" s="1180">
        <f t="shared" si="93"/>
        <v>0</v>
      </c>
      <c r="EM110" s="206"/>
      <c r="EN110" s="1038"/>
      <c r="EO110" s="1038"/>
      <c r="EP110" s="1038"/>
      <c r="EQ110" s="1038">
        <f t="shared" si="145"/>
        <v>0</v>
      </c>
      <c r="ER110" s="1041">
        <f t="shared" si="146"/>
        <v>0</v>
      </c>
      <c r="ES110" s="1042">
        <f t="shared" si="147"/>
        <v>0</v>
      </c>
      <c r="ET110" s="1042">
        <f t="shared" si="152"/>
        <v>0</v>
      </c>
      <c r="EU110" s="1021">
        <f t="shared" si="153"/>
        <v>0</v>
      </c>
      <c r="EV110" s="368"/>
      <c r="EW110" s="368"/>
      <c r="EX110" s="369"/>
      <c r="EY110" s="370"/>
      <c r="EZ110" s="370"/>
      <c r="FA110" s="371"/>
      <c r="FB110" s="372"/>
    </row>
    <row r="111" spans="1:158" ht="34.5" customHeight="1">
      <c r="A111" s="82">
        <v>103</v>
      </c>
      <c r="B111" s="1725"/>
      <c r="C111" s="1726"/>
      <c r="D111" s="1726"/>
      <c r="E111" s="1727"/>
      <c r="F111" s="1732"/>
      <c r="G111" s="1733"/>
      <c r="H111" s="1733"/>
      <c r="I111" s="1734"/>
      <c r="J111" s="1341"/>
      <c r="K111" s="1728"/>
      <c r="L111" s="1728"/>
      <c r="M111" s="1342"/>
      <c r="N111" s="1583"/>
      <c r="O111" s="208" t="str">
        <f t="shared" si="80"/>
        <v/>
      </c>
      <c r="P111" s="785"/>
      <c r="Q111" s="39" t="str">
        <f t="shared" si="81"/>
        <v/>
      </c>
      <c r="R111" s="39">
        <f t="shared" si="94"/>
        <v>0</v>
      </c>
      <c r="S111" s="234">
        <f t="shared" si="95"/>
        <v>0</v>
      </c>
      <c r="T111" s="1755"/>
      <c r="U111" s="1755"/>
      <c r="V111" s="1755"/>
      <c r="W111" s="1345"/>
      <c r="X111" s="1741"/>
      <c r="Y111" s="1742"/>
      <c r="Z111" s="1346"/>
      <c r="AA111" s="1343"/>
      <c r="AB111" s="1141"/>
      <c r="AC111" s="1103" t="str">
        <f>IF(T111="","",VLOOKUP(Z111,Lists!$A$60:$B$111,2,FALSE))</f>
        <v/>
      </c>
      <c r="AD111" s="130" t="str">
        <f t="shared" si="96"/>
        <v/>
      </c>
      <c r="AE111" s="130" t="e">
        <f t="shared" si="97"/>
        <v>#VALUE!</v>
      </c>
      <c r="AF111" s="130">
        <f t="shared" si="98"/>
        <v>1</v>
      </c>
      <c r="AG111" s="234">
        <f t="shared" si="82"/>
        <v>0</v>
      </c>
      <c r="AH111" s="1753" t="str">
        <f>IF(T111="","",(IF(ISNUMBER(SEARCH("exit",T111)),8760,IF(AND(M111="Dusk to Dawn",'Proposed Lighting'!AU111=3),4059,IF(AND(AU111=3,M111="1"),0,IF(AND(AU111=3,M111="1-C"),0,IF(AND(AU111=3,M111="2"),0,IF(AND(AU111=3,M111="2-C"),0,IF(AND(AU111=3,M111="3"),0,IF(AND(AU111=3,M111="3-C"),0,IF(AND(AU111=2,M111="Dusk to Dawn"),0,IF(AND(AU111=2,M111="Dusk to Dawn-C"),0,IF(AND(AU111=2,M111="Dusk to Dawn"),0,IF(AND(AU111=2,M111="E"),0,IF(AND(AU111=2,M111="E-C"),0,EG111)))))))))))))))</f>
        <v/>
      </c>
      <c r="AI111" s="1754"/>
      <c r="AJ111" s="1136"/>
      <c r="AK111" s="1136"/>
      <c r="AL111" s="1748">
        <f t="shared" si="99"/>
        <v>0</v>
      </c>
      <c r="AM111" s="1749"/>
      <c r="AN111" s="1750"/>
      <c r="AO111" s="476">
        <f t="shared" si="83"/>
        <v>0</v>
      </c>
      <c r="AP111" s="476">
        <f t="shared" si="100"/>
        <v>0</v>
      </c>
      <c r="AQ111" s="475">
        <f t="shared" si="84"/>
        <v>0</v>
      </c>
      <c r="AR111" s="475">
        <f t="shared" si="101"/>
        <v>0</v>
      </c>
      <c r="AS111" s="743" t="str">
        <f t="shared" si="156"/>
        <v/>
      </c>
      <c r="AT111" s="736" t="str">
        <f t="shared" si="102"/>
        <v/>
      </c>
      <c r="AU111" s="56">
        <f t="shared" si="103"/>
        <v>1</v>
      </c>
      <c r="AV111" s="476">
        <f t="shared" si="104"/>
        <v>0</v>
      </c>
      <c r="AW111" s="56">
        <f t="shared" si="105"/>
        <v>0</v>
      </c>
      <c r="AX111" s="475">
        <f t="shared" si="85"/>
        <v>0</v>
      </c>
      <c r="AY111" s="1169">
        <f t="shared" si="106"/>
        <v>0</v>
      </c>
      <c r="AZ111" s="1150">
        <f t="shared" si="148"/>
        <v>0</v>
      </c>
      <c r="BA111" s="56">
        <f t="shared" si="86"/>
        <v>0</v>
      </c>
      <c r="BB111" s="420">
        <f t="shared" si="87"/>
        <v>0</v>
      </c>
      <c r="BC111" s="58" t="str">
        <f t="shared" si="88"/>
        <v/>
      </c>
      <c r="BD111" s="660">
        <f t="shared" si="149"/>
        <v>0</v>
      </c>
      <c r="BE111" s="57" t="e">
        <f t="array" ref="BE111">INDEX($EB$11:$ED$1022,MATCH(F111&amp;T111,$EB$11:$EB$1007&amp;$EC$11:$EC$1007,0),3)</f>
        <v>#N/A</v>
      </c>
      <c r="BF111" s="463">
        <f t="shared" si="157"/>
        <v>0</v>
      </c>
      <c r="BG111" s="1445" t="e">
        <f t="array" ref="BG111">INDEX($DO$112:$DQ$123,MATCH(T111&amp;W111,$DO$114:$DO$125&amp;$DP$112:$DP$123,0),3)</f>
        <v>#N/A</v>
      </c>
      <c r="BH111" s="1446">
        <f t="shared" si="108"/>
        <v>0</v>
      </c>
      <c r="BI111" s="465">
        <f t="shared" si="109"/>
        <v>0</v>
      </c>
      <c r="BJ111" s="465">
        <f t="shared" si="110"/>
        <v>0</v>
      </c>
      <c r="BK111" s="466">
        <f t="shared" si="158"/>
        <v>0</v>
      </c>
      <c r="BL111" s="466">
        <f t="shared" si="159"/>
        <v>0</v>
      </c>
      <c r="BM111" s="466">
        <f t="shared" si="113"/>
        <v>0</v>
      </c>
      <c r="BN111" s="466">
        <f t="shared" si="114"/>
        <v>0</v>
      </c>
      <c r="BO111" s="463">
        <f>IF('Data Entry'!$C$74=0,0,IF(ISNA(CJ111),0,IF(AX111=0,0,IF(AND('Data Entry'!$C$74=2,AF111&gt;2,CE111&lt;1),0,IF(AND('Data Entry'!$C$74=2,AF111&gt;1,AU111=2,CJ111&gt;1),0,IF(AND(AF111=5,CT111=0.5,AU111=2,ER111&lt;100),0,IF(AND(AF111=5,CT111=0.5,AU111=3,ER111&lt;100),0,IF(AND('Data Entry'!$C$74=2,AF111=2,AU111=2,AK111&gt;0.01,CB111=2,CE111&lt;1),0,IF(AND('Data Entry'!$C$74=2,AF111=3,AU111=3,AK111&gt;0.01,CB111=3,CE111&lt;1),0,IF(AND('Data Entry'!$C$74=2,AF111=3,AU111=3,AK111&gt;0.01,CB111=3,CE111&gt;0.99),BQ111*0.08,IF(AND('Data Entry'!$C$74=2,AF111=2,AU111=2,AK111&gt;0.01,CB111=2,CE111&gt;0.99),BQ111*0.1,IF(AND(AU111=2,AK111&gt;0.01,CB111=2,CD111&gt;1),BQ111*0.1,IF(AND(AU111=3,AK111&gt;0.01,CB111=3,CD111&gt;1),BQ111*0.08,CJ111*EF111)))))))))))))</f>
        <v>0</v>
      </c>
      <c r="BP111" s="475">
        <f t="shared" si="115"/>
        <v>0</v>
      </c>
      <c r="BQ111" s="1431">
        <f>IF(AU111=1,0,IF(CH111=100,0,IF(AND(AF111=3,AU111=2),0,IF(AND(BH111=0,CT111&gt;0.4),0,IF(AND('Data Entry'!$C$74=2,AF111=1.5),0,IF(AND('Data Entry'!$C$74=2,AF111=1.6),0,IF(AND('Data Entry'!$C$74=2,AF111=4),0,IF(AND('Data Entry'!$C$74=2,AF111=5),0,IF(AND('Data Entry'!$C$74=2,AF111=2.5,CE111&lt;1),0,IF(AND('Data Entry'!$C$74=2,AF111=3,CE111&lt;1),0,IF(AND('Data Entry'!$C$74=1,AF111=2.5,CD111&lt;1),0,IF(AND('Data Entry'!$C$74=1,AF111=3,CD111&lt;1),0,IF(DX111&gt;0.01,DX111,IF(ISERROR(AX111-AY111),"",ROUND(AX111-AY111,2)))))))))))))))</f>
        <v>0</v>
      </c>
      <c r="BR111" s="146">
        <f t="shared" si="116"/>
        <v>0</v>
      </c>
      <c r="BS111" s="475">
        <f t="shared" si="117"/>
        <v>0</v>
      </c>
      <c r="BT111" s="146" t="b">
        <f t="shared" si="118"/>
        <v>0</v>
      </c>
      <c r="BU111" s="463">
        <f>IF(ISNA(AT111),0,IF(AND('Data Entry'!$C$74=2,BC111=27),0,IF(AND('Data Entry'!$C$74=2,BC111=28),0,IF(AND(BC111=27,BT111=27,CM111&gt;0.1),CM111*0.15,IF(AND(BC111=28,BT111=28,CM111&gt;0.1),CM111*0.12,0)))))</f>
        <v>0</v>
      </c>
      <c r="BV111" s="463">
        <f t="shared" si="155"/>
        <v>0</v>
      </c>
      <c r="BW111" s="463">
        <f t="shared" si="119"/>
        <v>0</v>
      </c>
      <c r="BX111" s="463">
        <f t="shared" si="120"/>
        <v>0</v>
      </c>
      <c r="BY111" s="463">
        <f t="shared" si="121"/>
        <v>0</v>
      </c>
      <c r="BZ111" s="463">
        <f t="shared" si="122"/>
        <v>0</v>
      </c>
      <c r="CA111" s="57">
        <f t="shared" si="150"/>
        <v>0</v>
      </c>
      <c r="CB111" s="56">
        <f t="shared" si="123"/>
        <v>1</v>
      </c>
      <c r="CC111" s="756">
        <f>IF(EE111=0,0,IF(EF111=0,0,IF(EE111&gt;AA111,0,IF(AND(AZ111&gt;AW111,AW111&gt;0),0,IF(CU111=0,0,Summary!AC414)))))</f>
        <v>0</v>
      </c>
      <c r="CD111" s="756">
        <f>IF(EE111=0,0,IF(EF111=0,0,IF(EE111&gt;AA111,0,IF(AND(AZ111&gt;AW111,AW111&gt;0),0,IF(CU111=0,0,Summary!AD414)))))</f>
        <v>0</v>
      </c>
      <c r="CE111" s="756">
        <f>IF(EF111=0,0,IF(EE111&gt;AA111,0,IF(CC111=0,0,IF(AND(AZ111&gt;AW111,AW111&gt;0),0,IF(CU111=0,0,Summary!AE414)))))</f>
        <v>0</v>
      </c>
      <c r="CF111" s="475">
        <f t="shared" si="124"/>
        <v>0</v>
      </c>
      <c r="CG111" s="476">
        <f t="shared" si="89"/>
        <v>0</v>
      </c>
      <c r="CH111" s="487">
        <f t="shared" si="125"/>
        <v>0</v>
      </c>
      <c r="CI111" s="756">
        <f t="shared" si="126"/>
        <v>0</v>
      </c>
      <c r="CJ111" s="487">
        <f>IF(CT111&gt;0.4,0,IF(AND(AU111=2,CH111=0,CT111=0.5,ER111=100),35,IF(AND(AU111=3,BB111&gt;75,CH111=0,CT111=0.5,ER111=100),25,IF(CB111&gt;1,0,IF(EF111&gt;EE111,0,IF(AND(AF111&gt;1,CH111=100),0,IF(AND(AF111=1,AY111=0),0,IF(AND(EF111&lt;=EE111,AW111&gt;=AZ111,'Data Entry'!$C$74=1,AU111=2),VLOOKUP(W111,$DO$96:$DP$102,2,FALSE),IF(AND(EF111&lt;=EE111,AW111&gt;=AZ111,AU111=3,'Data Entry'!$C$74=1),VLOOKUP(W111,$DO$127:$DP$134,2,FALSE))))))))))</f>
        <v>0</v>
      </c>
      <c r="CK111" s="716">
        <f t="shared" si="127"/>
        <v>0</v>
      </c>
      <c r="CL111" s="57">
        <f t="shared" si="128"/>
        <v>0</v>
      </c>
      <c r="CM111" s="475">
        <f t="shared" si="154"/>
        <v>0</v>
      </c>
      <c r="CN111" s="660">
        <f>IF(CM111&lt;0.1,0,IF(ISNA(AT111),0,IF(CL111+BC111=1,0,IF(BV111&gt;0.01,0,IF(CL111&gt;0.01,0,IF(CF111=1,0,IF(BC111=0.5,0,IF(AND(CI111=1,AU111=3),0,IF(AND(CI111=5,CL111=0),0,IF(AND(R111=12,BR111=50),0,IF(CK111&gt;0.01,0,IF(AND(AJ111&gt;0.01,AU111=2,BC111=15),CM111*0.1,IF(AND(AJ111&gt;0.01,AU111=3,BC111=15),CM111*0.08,IF(AND(R111=12,BC111=3,AF111&lt;=0),0,IF(AND(BC111=15,BI111=0),0,IF(AND(BC111=15,BJ111=0),0,IF(AND(R111=20,CU111=0),0,IF($X$4=0,0,IF(AND(BC111=250,CL111=0),0,IF(AA111&lt;1,0,IF(AND(ISNUMBER(SEARCH("Area",T111)),AU111=3),0,IF(AND(AQ111&gt;0.01,AR111=0,BK111=0,BL111=0,BM111=0,BN111=0),0,IF(AND(AU111=3,CI111=7,CT111&gt;0.5),0,IF(AND(BC111=44,AU111=3,BY111=0),0,IF(AND(BC111=27,'Data Entry'!$C$74=2),0,IF(AND(BC111=28,'Data Entry'!$C$74=2),0,IF(AND(BY111+BZ111+CA111&gt;0.01,BV111=0,EQ111+ER111+ES111+ET111&lt;100),0,IF(AU111=3,CM111*0.08,IF(AU111=2,CM111*0.1,0)))))))))))))))))))))))))))))</f>
        <v>0</v>
      </c>
      <c r="CO111" s="660">
        <f t="shared" si="129"/>
        <v>0</v>
      </c>
      <c r="CP111" s="475" t="str">
        <f t="shared" si="130"/>
        <v/>
      </c>
      <c r="CQ111" s="161" t="str">
        <f>IF(AH111=0,0,IF(AU111=5,0,Summary!AC114))</f>
        <v/>
      </c>
      <c r="CR111" s="161" t="str">
        <f>IF(BF111=0.5,0,IF(AU111=5,0,Summary!AD114))</f>
        <v/>
      </c>
      <c r="CS111" s="161" t="str">
        <f>IF(AU111=5,0,Summary!AE114)</f>
        <v/>
      </c>
      <c r="CT111" s="161">
        <f t="shared" si="131"/>
        <v>0</v>
      </c>
      <c r="CU111" s="475" t="str">
        <f t="shared" si="132"/>
        <v/>
      </c>
      <c r="CV111" s="307">
        <f>IF('Data Entry'!$C$74=0,0,IF(AA111&lt;1,0,IF(ISERROR(CU111),0,IF(CF111=1,0,IF(AND(R111=12,BR111=50),0,IF(CL111+BO111+BV111+DC111=0,0,IF(BC111=37,0,IF(AND(BC111=40,AJ111=0),0,IF(AND(BC111=37,BO111&gt;0.01,BQ111&gt;0.01),ROUND(BQ111,0),IF(CM111&lt;0,0,ROUND(CM111,0)))))))))))</f>
        <v>0</v>
      </c>
      <c r="CW111" s="700">
        <f t="shared" si="133"/>
        <v>0</v>
      </c>
      <c r="CX111" s="477">
        <f>IF('Data Entry'!$C$74=0,0,IF(CV111&lt;0.01,0,IF(BF111=0.5,0,IF(CF111=1,0,IF(ISNUMBER(SEARCH("false",CL111)),0,IF(AZ111=500,0,CL111))))))</f>
        <v>0</v>
      </c>
      <c r="CY111" s="147" t="e">
        <f t="shared" si="134"/>
        <v>#VALUE!</v>
      </c>
      <c r="CZ111" s="147" t="b">
        <f>IF(CN111+CL111=0,FALSE,IF(AH111=0,0,IF(AND('Data Entry'!$C$74=1,CR111&gt;=1),TRUE,IF(AND('Data Entry'!$C$74=2,CS111&gt;=1),TRUE,FALSE))))</f>
        <v>0</v>
      </c>
      <c r="DA111" s="1751">
        <f>IF('Data Entry'!$C$74=0,0,IFERROR(ROUND(IF(T111="","",IF($X$4=0,0,IF(CF111=1,0,IF(BQ111+CV111=0,0,IF(CF111=1,0,IF(CY111&gt;0.01,CY111,IF(CL111&gt;0.01,CL111,IF(CY111&gt;0.01,CY111,IF(BC111=37,BO111,IF(CZ111=FALSE,0,IF(CZ111=TRUE,DC111+DF111,0))))))))))),2),""))</f>
        <v>0</v>
      </c>
      <c r="DB111" s="1752"/>
      <c r="DC111" s="474">
        <f>IF(CN111&lt;0.01,0,IF(AND(BR111=3,CN111&gt;0.01,CT111&gt;0.6,ER111+ES111+ET111&lt;100),0,IF(AND('Data Entry'!$C$74=1,CN111&gt;0.01,CR111&gt;0.99),MIN(CN111:CO111),IF(AND('Data Entry'!$C$74=2,CN111&gt;0.01,CS111&gt;0.99),MIN(CN111:CO111),0))))</f>
        <v>0</v>
      </c>
      <c r="DD111" s="478">
        <f>IF(CF111=1,"Selection does not match",IF(T111=0,0,IF(AND('Data Entry'!$C$74=0,CP111&gt;1),"Select Oregon or Idaho on Data Entry Tab",IF(AND(AU111=1,AA111&gt;0.9),"Missing Interior or Exterior Selection",IF($X$4=0,"Enter Total Project Cost",IF(AQ111&lt;AR111,"Insufficient kWh savings – no incentive",IF(AND(SUM(CL111+CK111+BV111)&gt;0.01,'Data Entry'!$C$74=2,CJ111&gt;1,BO111=0),"Submit Control as Non-Standard",IF(AND('Data Entry'!$C$74=2,BR111=37,CJ111&gt;1,BO111=0),"Submit Control as Non-Standard",IF(SUM(CL111+CK111+BV111)&gt;0.01,"Standard Incentive",IF(AND('Data Entry'!$C$74=2,CP111=7,CN111=0),"Submit as Non-Standard",IF(DC111&gt;0.9,"Non-Standard Incentive",IF(AND(BY111+BZ111+CA111&gt;0.01,BV111=0,EQ111=0,ER111=0,ES111=0,ET111=0),"Scroll Right &amp; Select Control Strategies",IF(AND(CN111&gt;0.01,CO111=0),"Enter Unit Installed Cost",IF(ISNUMBER(SEARCH("Lighting Controls Only",F111)),"Lighting Controls Only",IF(CL111+DC111=0,"Does not meet incentive criteria",0)))))))))))))))</f>
        <v>0</v>
      </c>
      <c r="DE111" s="337">
        <f t="shared" si="135"/>
        <v>0</v>
      </c>
      <c r="DF111" s="609">
        <f t="shared" si="136"/>
        <v>0</v>
      </c>
      <c r="DG111" s="336" t="str">
        <f t="shared" si="137"/>
        <v/>
      </c>
      <c r="DH111" s="338">
        <f t="shared" si="138"/>
        <v>1</v>
      </c>
      <c r="DI111" s="336" t="e">
        <f t="shared" si="90"/>
        <v>#VALUE!</v>
      </c>
      <c r="DJ111" s="338">
        <f t="shared" si="91"/>
        <v>0</v>
      </c>
      <c r="DK111" s="326" t="s">
        <v>468</v>
      </c>
      <c r="DL111" s="341">
        <v>115</v>
      </c>
      <c r="DM111" s="325" t="s">
        <v>101</v>
      </c>
      <c r="DN111" s="1439">
        <v>0.1</v>
      </c>
      <c r="DO111" s="1453"/>
      <c r="DP111" s="1452"/>
      <c r="DQ111" s="1452"/>
      <c r="DR111" s="1126"/>
      <c r="DS111" s="1195">
        <f t="shared" si="139"/>
        <v>0</v>
      </c>
      <c r="DT111" s="344" t="b">
        <f t="shared" si="140"/>
        <v>1</v>
      </c>
      <c r="DU111" s="1314" t="str">
        <f t="array" ref="DU111">IF(OR(COUNTIF(F111,"*"&amp;$DK$9:$DK$178&amp;"*")), "Yes", "")</f>
        <v/>
      </c>
      <c r="DV111" s="1314">
        <f t="shared" si="141"/>
        <v>0</v>
      </c>
      <c r="DW111" s="1480">
        <f t="shared" si="142"/>
        <v>0</v>
      </c>
      <c r="DX111" s="1498">
        <f t="shared" si="151"/>
        <v>0</v>
      </c>
      <c r="DY111" s="1484">
        <f t="shared" si="143"/>
        <v>0</v>
      </c>
      <c r="DZ111" s="331"/>
      <c r="EA111" s="392"/>
      <c r="EB111" s="1499" t="s">
        <v>125</v>
      </c>
      <c r="EC111" s="727" t="s">
        <v>1568</v>
      </c>
      <c r="ED111" s="728">
        <v>0.5</v>
      </c>
      <c r="EE111" s="1215"/>
      <c r="EF111" s="1215"/>
      <c r="EG111" s="1184" t="str">
        <f t="shared" si="144"/>
        <v/>
      </c>
      <c r="EH111" s="55"/>
      <c r="EI111" s="55"/>
      <c r="EJ111" s="1185">
        <f t="shared" si="92"/>
        <v>0</v>
      </c>
      <c r="EK111" s="1211"/>
      <c r="EL111" s="1180">
        <f t="shared" si="93"/>
        <v>0</v>
      </c>
      <c r="EM111" s="206"/>
      <c r="EN111" s="1038"/>
      <c r="EO111" s="1038"/>
      <c r="EP111" s="1038"/>
      <c r="EQ111" s="1038">
        <f t="shared" si="145"/>
        <v>0</v>
      </c>
      <c r="ER111" s="1041">
        <f t="shared" si="146"/>
        <v>0</v>
      </c>
      <c r="ES111" s="1042">
        <f t="shared" si="147"/>
        <v>0</v>
      </c>
      <c r="ET111" s="1042">
        <f t="shared" si="152"/>
        <v>0</v>
      </c>
      <c r="EU111" s="1021">
        <f t="shared" si="153"/>
        <v>0</v>
      </c>
      <c r="EV111" s="368"/>
      <c r="EW111" s="368"/>
      <c r="EX111" s="369"/>
      <c r="EY111" s="370"/>
      <c r="EZ111" s="370"/>
      <c r="FA111" s="371"/>
      <c r="FB111" s="372"/>
    </row>
    <row r="112" spans="1:158" ht="34.5" customHeight="1">
      <c r="A112" s="82">
        <v>104</v>
      </c>
      <c r="B112" s="1725"/>
      <c r="C112" s="1726"/>
      <c r="D112" s="1726"/>
      <c r="E112" s="1727"/>
      <c r="F112" s="1732"/>
      <c r="G112" s="1733"/>
      <c r="H112" s="1733"/>
      <c r="I112" s="1734"/>
      <c r="J112" s="1341"/>
      <c r="K112" s="1728"/>
      <c r="L112" s="1728"/>
      <c r="M112" s="1342"/>
      <c r="N112" s="1583"/>
      <c r="O112" s="208" t="str">
        <f t="shared" si="80"/>
        <v/>
      </c>
      <c r="P112" s="785"/>
      <c r="Q112" s="39" t="str">
        <f t="shared" si="81"/>
        <v/>
      </c>
      <c r="R112" s="39">
        <f t="shared" si="94"/>
        <v>0</v>
      </c>
      <c r="S112" s="234">
        <f t="shared" si="95"/>
        <v>0</v>
      </c>
      <c r="T112" s="1755"/>
      <c r="U112" s="1755"/>
      <c r="V112" s="1755"/>
      <c r="W112" s="1345"/>
      <c r="X112" s="1741"/>
      <c r="Y112" s="1742"/>
      <c r="Z112" s="1346"/>
      <c r="AA112" s="1343"/>
      <c r="AB112" s="1141"/>
      <c r="AC112" s="1103" t="str">
        <f>IF(T112="","",VLOOKUP(Z112,Lists!$A$60:$B$111,2,FALSE))</f>
        <v/>
      </c>
      <c r="AD112" s="130" t="str">
        <f t="shared" si="96"/>
        <v/>
      </c>
      <c r="AE112" s="130" t="e">
        <f t="shared" si="97"/>
        <v>#VALUE!</v>
      </c>
      <c r="AF112" s="130">
        <f t="shared" si="98"/>
        <v>1</v>
      </c>
      <c r="AG112" s="234">
        <f t="shared" si="82"/>
        <v>0</v>
      </c>
      <c r="AH112" s="1753" t="str">
        <f>IF(T112="","",(IF(ISNUMBER(SEARCH("exit",T112)),8760,IF(AND(M112="Dusk to Dawn",'Proposed Lighting'!AU112=3),4059,IF(AND(AU112=3,M112="1"),0,IF(AND(AU112=3,M112="1-C"),0,IF(AND(AU112=3,M112="2"),0,IF(AND(AU112=3,M112="2-C"),0,IF(AND(AU112=3,M112="3"),0,IF(AND(AU112=3,M112="3-C"),0,IF(AND(AU112=2,M112="Dusk to Dawn"),0,IF(AND(AU112=2,M112="Dusk to Dawn-C"),0,IF(AND(AU112=2,M112="Dusk to Dawn"),0,IF(AND(AU112=2,M112="E"),0,IF(AND(AU112=2,M112="E-C"),0,EG112)))))))))))))))</f>
        <v/>
      </c>
      <c r="AI112" s="1754"/>
      <c r="AJ112" s="1136"/>
      <c r="AK112" s="1136"/>
      <c r="AL112" s="1748">
        <f t="shared" si="99"/>
        <v>0</v>
      </c>
      <c r="AM112" s="1749"/>
      <c r="AN112" s="1750"/>
      <c r="AO112" s="476">
        <f t="shared" si="83"/>
        <v>0</v>
      </c>
      <c r="AP112" s="476">
        <f t="shared" si="100"/>
        <v>0</v>
      </c>
      <c r="AQ112" s="475">
        <f t="shared" si="84"/>
        <v>0</v>
      </c>
      <c r="AR112" s="475">
        <f t="shared" si="101"/>
        <v>0</v>
      </c>
      <c r="AS112" s="743" t="str">
        <f t="shared" si="156"/>
        <v/>
      </c>
      <c r="AT112" s="736" t="str">
        <f t="shared" si="102"/>
        <v/>
      </c>
      <c r="AU112" s="56">
        <f t="shared" si="103"/>
        <v>1</v>
      </c>
      <c r="AV112" s="476">
        <f t="shared" si="104"/>
        <v>0</v>
      </c>
      <c r="AW112" s="56">
        <f t="shared" si="105"/>
        <v>0</v>
      </c>
      <c r="AX112" s="475">
        <f t="shared" si="85"/>
        <v>0</v>
      </c>
      <c r="AY112" s="1169">
        <f t="shared" si="106"/>
        <v>0</v>
      </c>
      <c r="AZ112" s="1150">
        <f t="shared" si="148"/>
        <v>0</v>
      </c>
      <c r="BA112" s="56">
        <f t="shared" si="86"/>
        <v>0</v>
      </c>
      <c r="BB112" s="420">
        <f t="shared" si="87"/>
        <v>0</v>
      </c>
      <c r="BC112" s="58" t="str">
        <f t="shared" si="88"/>
        <v/>
      </c>
      <c r="BD112" s="660">
        <f t="shared" si="149"/>
        <v>0</v>
      </c>
      <c r="BE112" s="57" t="e">
        <f t="array" ref="BE112">INDEX($EB$11:$ED$1022,MATCH(F112&amp;T112,$EB$11:$EB$1007&amp;$EC$11:$EC$1007,0),3)</f>
        <v>#N/A</v>
      </c>
      <c r="BF112" s="463">
        <f t="shared" si="157"/>
        <v>0</v>
      </c>
      <c r="BG112" s="1445" t="e">
        <f t="array" ref="BG112">INDEX($DO$112:$DQ$123,MATCH(T112&amp;W112,$DO$114:$DO$125&amp;$DP$112:$DP$123,0),3)</f>
        <v>#N/A</v>
      </c>
      <c r="BH112" s="1446">
        <f t="shared" si="108"/>
        <v>0</v>
      </c>
      <c r="BI112" s="465">
        <f t="shared" si="109"/>
        <v>0</v>
      </c>
      <c r="BJ112" s="465">
        <f t="shared" si="110"/>
        <v>0</v>
      </c>
      <c r="BK112" s="466">
        <f t="shared" si="158"/>
        <v>0</v>
      </c>
      <c r="BL112" s="466">
        <f t="shared" si="159"/>
        <v>0</v>
      </c>
      <c r="BM112" s="466">
        <f t="shared" si="113"/>
        <v>0</v>
      </c>
      <c r="BN112" s="466">
        <f t="shared" si="114"/>
        <v>0</v>
      </c>
      <c r="BO112" s="463">
        <f>IF('Data Entry'!$C$74=0,0,IF(ISNA(CJ112),0,IF(AX112=0,0,IF(AND('Data Entry'!$C$74=2,AF112&gt;2,CE112&lt;1),0,IF(AND('Data Entry'!$C$74=2,AF112&gt;1,AU112=2,CJ112&gt;1),0,IF(AND(AF112=5,CT112=0.5,AU112=2,ER112&lt;100),0,IF(AND(AF112=5,CT112=0.5,AU112=3,ER112&lt;100),0,IF(AND('Data Entry'!$C$74=2,AF112=2,AU112=2,AK112&gt;0.01,CB112=2,CE112&lt;1),0,IF(AND('Data Entry'!$C$74=2,AF112=3,AU112=3,AK112&gt;0.01,CB112=3,CE112&lt;1),0,IF(AND('Data Entry'!$C$74=2,AF112=3,AU112=3,AK112&gt;0.01,CB112=3,CE112&gt;0.99),BQ112*0.08,IF(AND('Data Entry'!$C$74=2,AF112=2,AU112=2,AK112&gt;0.01,CB112=2,CE112&gt;0.99),BQ112*0.1,IF(AND(AU112=2,AK112&gt;0.01,CB112=2,CD112&gt;1),BQ112*0.1,IF(AND(AU112=3,AK112&gt;0.01,CB112=3,CD112&gt;1),BQ112*0.08,CJ112*EF112)))))))))))))</f>
        <v>0</v>
      </c>
      <c r="BP112" s="475">
        <f t="shared" si="115"/>
        <v>0</v>
      </c>
      <c r="BQ112" s="1431">
        <f>IF(AU112=1,0,IF(CH112=100,0,IF(AND(AF112=3,AU112=2),0,IF(AND(BH112=0,CT112&gt;0.4),0,IF(AND('Data Entry'!$C$74=2,AF112=1.5),0,IF(AND('Data Entry'!$C$74=2,AF112=1.6),0,IF(AND('Data Entry'!$C$74=2,AF112=4),0,IF(AND('Data Entry'!$C$74=2,AF112=5),0,IF(AND('Data Entry'!$C$74=2,AF112=2.5,CE112&lt;1),0,IF(AND('Data Entry'!$C$74=2,AF112=3,CE112&lt;1),0,IF(AND('Data Entry'!$C$74=1,AF112=2.5,CD112&lt;1),0,IF(AND('Data Entry'!$C$74=1,AF112=3,CD112&lt;1),0,IF(DX112&gt;0.01,DX112,IF(ISERROR(AX112-AY112),"",ROUND(AX112-AY112,2)))))))))))))))</f>
        <v>0</v>
      </c>
      <c r="BR112" s="146">
        <f t="shared" si="116"/>
        <v>0</v>
      </c>
      <c r="BS112" s="475">
        <f t="shared" si="117"/>
        <v>0</v>
      </c>
      <c r="BT112" s="146" t="b">
        <f t="shared" si="118"/>
        <v>0</v>
      </c>
      <c r="BU112" s="463">
        <f>IF(ISNA(AT112),0,IF(AND('Data Entry'!$C$74=2,BC112=27),0,IF(AND('Data Entry'!$C$74=2,BC112=28),0,IF(AND(BC112=27,BT112=27,CM112&gt;0.1),CM112*0.15,IF(AND(BC112=28,BT112=28,CM112&gt;0.1),CM112*0.12,0)))))</f>
        <v>0</v>
      </c>
      <c r="BV112" s="463">
        <f t="shared" si="155"/>
        <v>0</v>
      </c>
      <c r="BW112" s="463">
        <f t="shared" si="119"/>
        <v>0</v>
      </c>
      <c r="BX112" s="463">
        <f t="shared" si="120"/>
        <v>0</v>
      </c>
      <c r="BY112" s="463">
        <f t="shared" si="121"/>
        <v>0</v>
      </c>
      <c r="BZ112" s="463">
        <f t="shared" si="122"/>
        <v>0</v>
      </c>
      <c r="CA112" s="57">
        <f t="shared" si="150"/>
        <v>0</v>
      </c>
      <c r="CB112" s="56">
        <f t="shared" si="123"/>
        <v>1</v>
      </c>
      <c r="CC112" s="756">
        <f>IF(EE112=0,0,IF(EF112=0,0,IF(EE112&gt;AA112,0,IF(AND(AZ112&gt;AW112,AW112&gt;0),0,IF(CU112=0,0,Summary!AC415)))))</f>
        <v>0</v>
      </c>
      <c r="CD112" s="756">
        <f>IF(EE112=0,0,IF(EF112=0,0,IF(EE112&gt;AA112,0,IF(AND(AZ112&gt;AW112,AW112&gt;0),0,IF(CU112=0,0,Summary!AD415)))))</f>
        <v>0</v>
      </c>
      <c r="CE112" s="756">
        <f>IF(EF112=0,0,IF(EE112&gt;AA112,0,IF(CC112=0,0,IF(AND(AZ112&gt;AW112,AW112&gt;0),0,IF(CU112=0,0,Summary!AE415)))))</f>
        <v>0</v>
      </c>
      <c r="CF112" s="475">
        <f t="shared" si="124"/>
        <v>0</v>
      </c>
      <c r="CG112" s="476">
        <f t="shared" si="89"/>
        <v>0</v>
      </c>
      <c r="CH112" s="487">
        <f t="shared" si="125"/>
        <v>0</v>
      </c>
      <c r="CI112" s="756">
        <f t="shared" si="126"/>
        <v>0</v>
      </c>
      <c r="CJ112" s="487">
        <f>IF(CT112&gt;0.4,0,IF(AND(AU112=2,CH112=0,CT112=0.5,ER112=100),35,IF(AND(AU112=3,BB112&gt;75,CH112=0,CT112=0.5,ER112=100),25,IF(CB112&gt;1,0,IF(EF112&gt;EE112,0,IF(AND(AF112&gt;1,CH112=100),0,IF(AND(AF112=1,AY112=0),0,IF(AND(EF112&lt;=EE112,AW112&gt;=AZ112,'Data Entry'!$C$74=1,AU112=2),VLOOKUP(W112,$DO$96:$DP$102,2,FALSE),IF(AND(EF112&lt;=EE112,AW112&gt;=AZ112,AU112=3,'Data Entry'!$C$74=1),VLOOKUP(W112,$DO$127:$DP$134,2,FALSE))))))))))</f>
        <v>0</v>
      </c>
      <c r="CK112" s="716">
        <f t="shared" si="127"/>
        <v>0</v>
      </c>
      <c r="CL112" s="57">
        <f t="shared" si="128"/>
        <v>0</v>
      </c>
      <c r="CM112" s="475">
        <f t="shared" si="154"/>
        <v>0</v>
      </c>
      <c r="CN112" s="660">
        <f>IF(CM112&lt;0.1,0,IF(ISNA(AT112),0,IF(CL112+BC112=1,0,IF(BV112&gt;0.01,0,IF(CL112&gt;0.01,0,IF(CF112=1,0,IF(BC112=0.5,0,IF(AND(CI112=1,AU112=3),0,IF(AND(CI112=5,CL112=0),0,IF(AND(R112=12,BR112=50),0,IF(CK112&gt;0.01,0,IF(AND(AJ112&gt;0.01,AU112=2,BC112=15),CM112*0.1,IF(AND(AJ112&gt;0.01,AU112=3,BC112=15),CM112*0.08,IF(AND(R112=12,BC112=3,AF112&lt;=0),0,IF(AND(BC112=15,BI112=0),0,IF(AND(BC112=15,BJ112=0),0,IF(AND(R112=20,CU112=0),0,IF($X$4=0,0,IF(AND(BC112=250,CL112=0),0,IF(AA112&lt;1,0,IF(AND(ISNUMBER(SEARCH("Area",T112)),AU112=3),0,IF(AND(AQ112&gt;0.01,AR112=0,BK112=0,BL112=0,BM112=0,BN112=0),0,IF(AND(AU112=3,CI112=7,CT112&gt;0.5),0,IF(AND(BC112=44,AU112=3,BY112=0),0,IF(AND(BC112=27,'Data Entry'!$C$74=2),0,IF(AND(BC112=28,'Data Entry'!$C$74=2),0,IF(AND(BY112+BZ112+CA112&gt;0.01,BV112=0,EQ112+ER112+ES112+ET112&lt;100),0,IF(AU112=3,CM112*0.08,IF(AU112=2,CM112*0.1,0)))))))))))))))))))))))))))))</f>
        <v>0</v>
      </c>
      <c r="CO112" s="660">
        <f t="shared" si="129"/>
        <v>0</v>
      </c>
      <c r="CP112" s="475" t="str">
        <f t="shared" si="130"/>
        <v/>
      </c>
      <c r="CQ112" s="161" t="str">
        <f>IF(AH112=0,0,IF(AU112=5,0,Summary!AC115))</f>
        <v/>
      </c>
      <c r="CR112" s="161" t="str">
        <f>IF(BF112=0.5,0,IF(AU112=5,0,Summary!AD115))</f>
        <v/>
      </c>
      <c r="CS112" s="161" t="str">
        <f>IF(AU112=5,0,Summary!AE115)</f>
        <v/>
      </c>
      <c r="CT112" s="161">
        <f t="shared" si="131"/>
        <v>0</v>
      </c>
      <c r="CU112" s="475" t="str">
        <f t="shared" si="132"/>
        <v/>
      </c>
      <c r="CV112" s="307">
        <f>IF('Data Entry'!$C$74=0,0,IF(AA112&lt;1,0,IF(ISERROR(CU112),0,IF(CF112=1,0,IF(AND(R112=12,BR112=50),0,IF(CL112+BO112+BV112+DC112=0,0,IF(BC112=37,0,IF(AND(BC112=40,AJ112=0),0,IF(AND(BC112=37,BO112&gt;0.01,BQ112&gt;0.01),ROUND(BQ112,0),IF(CM112&lt;0,0,ROUND(CM112,0)))))))))))</f>
        <v>0</v>
      </c>
      <c r="CW112" s="700">
        <f t="shared" si="133"/>
        <v>0</v>
      </c>
      <c r="CX112" s="477">
        <f>IF('Data Entry'!$C$74=0,0,IF(CV112&lt;0.01,0,IF(BF112=0.5,0,IF(CF112=1,0,IF(ISNUMBER(SEARCH("false",CL112)),0,IF(AZ112=500,0,CL112))))))</f>
        <v>0</v>
      </c>
      <c r="CY112" s="147" t="e">
        <f t="shared" si="134"/>
        <v>#VALUE!</v>
      </c>
      <c r="CZ112" s="147" t="b">
        <f>IF(CN112+CL112=0,FALSE,IF(AH112=0,0,IF(AND('Data Entry'!$C$74=1,CR112&gt;=1),TRUE,IF(AND('Data Entry'!$C$74=2,CS112&gt;=1),TRUE,FALSE))))</f>
        <v>0</v>
      </c>
      <c r="DA112" s="1751">
        <f>IF('Data Entry'!$C$74=0,0,IFERROR(ROUND(IF(T112="","",IF($X$4=0,0,IF(CF112=1,0,IF(BQ112+CV112=0,0,IF(CF112=1,0,IF(CY112&gt;0.01,CY112,IF(CL112&gt;0.01,CL112,IF(CY112&gt;0.01,CY112,IF(BC112=37,BO112,IF(CZ112=FALSE,0,IF(CZ112=TRUE,DC112+DF112,0))))))))))),2),""))</f>
        <v>0</v>
      </c>
      <c r="DB112" s="1752"/>
      <c r="DC112" s="474">
        <f>IF(CN112&lt;0.01,0,IF(AND(BR112=3,CN112&gt;0.01,CT112&gt;0.6,ER112+ES112+ET112&lt;100),0,IF(AND('Data Entry'!$C$74=1,CN112&gt;0.01,CR112&gt;0.99),MIN(CN112:CO112),IF(AND('Data Entry'!$C$74=2,CN112&gt;0.01,CS112&gt;0.99),MIN(CN112:CO112),0))))</f>
        <v>0</v>
      </c>
      <c r="DD112" s="478">
        <f>IF(CF112=1,"Selection does not match",IF(T112=0,0,IF(AND('Data Entry'!$C$74=0,CP112&gt;1),"Select Oregon or Idaho on Data Entry Tab",IF(AND(AU112=1,AA112&gt;0.9),"Missing Interior or Exterior Selection",IF($X$4=0,"Enter Total Project Cost",IF(AQ112&lt;AR112,"Insufficient kWh savings – no incentive",IF(AND(SUM(CL112+CK112+BV112)&gt;0.01,'Data Entry'!$C$74=2,CJ112&gt;1,BO112=0),"Submit Control as Non-Standard",IF(AND('Data Entry'!$C$74=2,BR112=37,CJ112&gt;1,BO112=0),"Submit Control as Non-Standard",IF(SUM(CL112+CK112+BV112)&gt;0.01,"Standard Incentive",IF(AND('Data Entry'!$C$74=2,CP112=7,CN112=0),"Submit as Non-Standard",IF(DC112&gt;0.9,"Non-Standard Incentive",IF(AND(BY112+BZ112+CA112&gt;0.01,BV112=0,EQ112=0,ER112=0,ES112=0,ET112=0),"Scroll Right &amp; Select Control Strategies",IF(AND(CN112&gt;0.01,CO112=0),"Enter Unit Installed Cost",IF(ISNUMBER(SEARCH("Lighting Controls Only",F112)),"Lighting Controls Only",IF(CL112+DC112=0,"Does not meet incentive criteria",0)))))))))))))))</f>
        <v>0</v>
      </c>
      <c r="DE112" s="337">
        <f t="shared" si="135"/>
        <v>0</v>
      </c>
      <c r="DF112" s="609">
        <f t="shared" si="136"/>
        <v>0</v>
      </c>
      <c r="DG112" s="336" t="str">
        <f t="shared" si="137"/>
        <v/>
      </c>
      <c r="DH112" s="338">
        <f t="shared" si="138"/>
        <v>1</v>
      </c>
      <c r="DI112" s="336" t="e">
        <f t="shared" si="90"/>
        <v>#VALUE!</v>
      </c>
      <c r="DJ112" s="338">
        <f t="shared" si="91"/>
        <v>0</v>
      </c>
      <c r="DK112" s="326" t="s">
        <v>469</v>
      </c>
      <c r="DL112" s="341">
        <v>144</v>
      </c>
      <c r="DM112" s="325" t="s">
        <v>102</v>
      </c>
      <c r="DN112" s="1439">
        <v>0.1</v>
      </c>
      <c r="DO112" s="1453"/>
      <c r="DP112" s="1444" t="s">
        <v>1572</v>
      </c>
      <c r="DQ112" s="610">
        <v>44</v>
      </c>
      <c r="DR112" s="1126"/>
      <c r="DS112" s="1195">
        <f t="shared" si="139"/>
        <v>0</v>
      </c>
      <c r="DT112" s="344" t="b">
        <f t="shared" si="140"/>
        <v>1</v>
      </c>
      <c r="DU112" s="1314" t="str">
        <f t="array" ref="DU112">IF(OR(COUNTIF(F112,"*"&amp;$DK$9:$DK$178&amp;"*")), "Yes", "")</f>
        <v/>
      </c>
      <c r="DV112" s="1314">
        <f t="shared" si="141"/>
        <v>0</v>
      </c>
      <c r="DW112" s="1480">
        <f t="shared" si="142"/>
        <v>0</v>
      </c>
      <c r="DX112" s="1498">
        <f t="shared" si="151"/>
        <v>0</v>
      </c>
      <c r="DY112" s="1484">
        <f t="shared" si="143"/>
        <v>0</v>
      </c>
      <c r="DZ112" s="331"/>
      <c r="EA112" s="392"/>
      <c r="EB112" s="1499" t="s">
        <v>73</v>
      </c>
      <c r="EC112" s="727" t="s">
        <v>1568</v>
      </c>
      <c r="ED112" s="728">
        <v>0.5</v>
      </c>
      <c r="EE112" s="1215"/>
      <c r="EF112" s="1215"/>
      <c r="EG112" s="1184" t="str">
        <f t="shared" si="144"/>
        <v/>
      </c>
      <c r="EH112" s="55"/>
      <c r="EI112" s="55"/>
      <c r="EJ112" s="1185">
        <f t="shared" si="92"/>
        <v>0</v>
      </c>
      <c r="EK112" s="1211"/>
      <c r="EL112" s="1180">
        <f t="shared" si="93"/>
        <v>0</v>
      </c>
      <c r="EM112" s="206"/>
      <c r="EN112" s="1038"/>
      <c r="EO112" s="1038"/>
      <c r="EP112" s="1038"/>
      <c r="EQ112" s="1038">
        <f t="shared" si="145"/>
        <v>0</v>
      </c>
      <c r="ER112" s="1041">
        <f t="shared" si="146"/>
        <v>0</v>
      </c>
      <c r="ES112" s="1042">
        <f t="shared" si="147"/>
        <v>0</v>
      </c>
      <c r="ET112" s="1042">
        <f t="shared" si="152"/>
        <v>0</v>
      </c>
      <c r="EU112" s="1021">
        <f t="shared" si="153"/>
        <v>0</v>
      </c>
      <c r="EV112" s="368"/>
      <c r="EW112" s="368"/>
      <c r="EX112" s="369"/>
      <c r="EY112" s="370"/>
      <c r="EZ112" s="370"/>
      <c r="FA112" s="371"/>
      <c r="FB112" s="372"/>
    </row>
    <row r="113" spans="1:158" ht="34.5" customHeight="1">
      <c r="A113" s="82">
        <v>105</v>
      </c>
      <c r="B113" s="1725"/>
      <c r="C113" s="1726"/>
      <c r="D113" s="1726"/>
      <c r="E113" s="1727"/>
      <c r="F113" s="1732"/>
      <c r="G113" s="1733"/>
      <c r="H113" s="1733"/>
      <c r="I113" s="1734"/>
      <c r="J113" s="1341"/>
      <c r="K113" s="1728"/>
      <c r="L113" s="1728"/>
      <c r="M113" s="1342"/>
      <c r="N113" s="1583"/>
      <c r="O113" s="208" t="str">
        <f t="shared" si="80"/>
        <v/>
      </c>
      <c r="P113" s="785"/>
      <c r="Q113" s="39" t="str">
        <f t="shared" si="81"/>
        <v/>
      </c>
      <c r="R113" s="39">
        <f t="shared" si="94"/>
        <v>0</v>
      </c>
      <c r="S113" s="234">
        <f t="shared" si="95"/>
        <v>0</v>
      </c>
      <c r="T113" s="1755"/>
      <c r="U113" s="1755"/>
      <c r="V113" s="1755"/>
      <c r="W113" s="1345"/>
      <c r="X113" s="1741"/>
      <c r="Y113" s="1742"/>
      <c r="Z113" s="1346"/>
      <c r="AA113" s="1343"/>
      <c r="AB113" s="1141"/>
      <c r="AC113" s="1103" t="str">
        <f>IF(T113="","",VLOOKUP(Z113,Lists!$A$60:$B$111,2,FALSE))</f>
        <v/>
      </c>
      <c r="AD113" s="130" t="str">
        <f t="shared" si="96"/>
        <v/>
      </c>
      <c r="AE113" s="130" t="e">
        <f t="shared" si="97"/>
        <v>#VALUE!</v>
      </c>
      <c r="AF113" s="130">
        <f t="shared" si="98"/>
        <v>1</v>
      </c>
      <c r="AG113" s="234">
        <f t="shared" si="82"/>
        <v>0</v>
      </c>
      <c r="AH113" s="1753" t="str">
        <f>IF(T113="","",(IF(ISNUMBER(SEARCH("exit",T113)),8760,IF(AND(M113="Dusk to Dawn",'Proposed Lighting'!AU113=3),4059,IF(AND(AU113=3,M113="1"),0,IF(AND(AU113=3,M113="1-C"),0,IF(AND(AU113=3,M113="2"),0,IF(AND(AU113=3,M113="2-C"),0,IF(AND(AU113=3,M113="3"),0,IF(AND(AU113=3,M113="3-C"),0,IF(AND(AU113=2,M113="Dusk to Dawn"),0,IF(AND(AU113=2,M113="Dusk to Dawn-C"),0,IF(AND(AU113=2,M113="Dusk to Dawn"),0,IF(AND(AU113=2,M113="E"),0,IF(AND(AU113=2,M113="E-C"),0,EG113)))))))))))))))</f>
        <v/>
      </c>
      <c r="AI113" s="1754"/>
      <c r="AJ113" s="1136"/>
      <c r="AK113" s="1136"/>
      <c r="AL113" s="1748">
        <f t="shared" si="99"/>
        <v>0</v>
      </c>
      <c r="AM113" s="1749"/>
      <c r="AN113" s="1750"/>
      <c r="AO113" s="476">
        <f t="shared" si="83"/>
        <v>0</v>
      </c>
      <c r="AP113" s="476">
        <f t="shared" si="100"/>
        <v>0</v>
      </c>
      <c r="AQ113" s="475">
        <f t="shared" si="84"/>
        <v>0</v>
      </c>
      <c r="AR113" s="475">
        <f t="shared" si="101"/>
        <v>0</v>
      </c>
      <c r="AS113" s="743" t="str">
        <f t="shared" si="156"/>
        <v/>
      </c>
      <c r="AT113" s="736" t="str">
        <f t="shared" si="102"/>
        <v/>
      </c>
      <c r="AU113" s="56">
        <f t="shared" si="103"/>
        <v>1</v>
      </c>
      <c r="AV113" s="476">
        <f t="shared" si="104"/>
        <v>0</v>
      </c>
      <c r="AW113" s="56">
        <f t="shared" si="105"/>
        <v>0</v>
      </c>
      <c r="AX113" s="475">
        <f t="shared" si="85"/>
        <v>0</v>
      </c>
      <c r="AY113" s="1169">
        <f t="shared" si="106"/>
        <v>0</v>
      </c>
      <c r="AZ113" s="1150">
        <f t="shared" si="148"/>
        <v>0</v>
      </c>
      <c r="BA113" s="56">
        <f t="shared" si="86"/>
        <v>0</v>
      </c>
      <c r="BB113" s="420">
        <f t="shared" si="87"/>
        <v>0</v>
      </c>
      <c r="BC113" s="58" t="str">
        <f t="shared" si="88"/>
        <v/>
      </c>
      <c r="BD113" s="660">
        <f t="shared" si="149"/>
        <v>0</v>
      </c>
      <c r="BE113" s="57" t="e">
        <f t="array" ref="BE113">INDEX($EB$11:$ED$1022,MATCH(F113&amp;T113,$EB$11:$EB$1007&amp;$EC$11:$EC$1007,0),3)</f>
        <v>#N/A</v>
      </c>
      <c r="BF113" s="463">
        <f t="shared" si="157"/>
        <v>0</v>
      </c>
      <c r="BG113" s="1445" t="e">
        <f t="array" ref="BG113">INDEX($DO$112:$DQ$123,MATCH(T113&amp;W113,$DO$114:$DO$125&amp;$DP$112:$DP$123,0),3)</f>
        <v>#N/A</v>
      </c>
      <c r="BH113" s="1446">
        <f t="shared" si="108"/>
        <v>0</v>
      </c>
      <c r="BI113" s="465">
        <f t="shared" si="109"/>
        <v>0</v>
      </c>
      <c r="BJ113" s="465">
        <f t="shared" si="110"/>
        <v>0</v>
      </c>
      <c r="BK113" s="466">
        <f t="shared" si="158"/>
        <v>0</v>
      </c>
      <c r="BL113" s="466">
        <f t="shared" si="159"/>
        <v>0</v>
      </c>
      <c r="BM113" s="466">
        <f t="shared" si="113"/>
        <v>0</v>
      </c>
      <c r="BN113" s="466">
        <f t="shared" si="114"/>
        <v>0</v>
      </c>
      <c r="BO113" s="463">
        <f>IF('Data Entry'!$C$74=0,0,IF(ISNA(CJ113),0,IF(AX113=0,0,IF(AND('Data Entry'!$C$74=2,AF113&gt;2,CE113&lt;1),0,IF(AND('Data Entry'!$C$74=2,AF113&gt;1,AU113=2,CJ113&gt;1),0,IF(AND(AF113=5,CT113=0.5,AU113=2,ER113&lt;100),0,IF(AND(AF113=5,CT113=0.5,AU113=3,ER113&lt;100),0,IF(AND('Data Entry'!$C$74=2,AF113=2,AU113=2,AK113&gt;0.01,CB113=2,CE113&lt;1),0,IF(AND('Data Entry'!$C$74=2,AF113=3,AU113=3,AK113&gt;0.01,CB113=3,CE113&lt;1),0,IF(AND('Data Entry'!$C$74=2,AF113=3,AU113=3,AK113&gt;0.01,CB113=3,CE113&gt;0.99),BQ113*0.08,IF(AND('Data Entry'!$C$74=2,AF113=2,AU113=2,AK113&gt;0.01,CB113=2,CE113&gt;0.99),BQ113*0.1,IF(AND(AU113=2,AK113&gt;0.01,CB113=2,CD113&gt;1),BQ113*0.1,IF(AND(AU113=3,AK113&gt;0.01,CB113=3,CD113&gt;1),BQ113*0.08,CJ113*EF113)))))))))))))</f>
        <v>0</v>
      </c>
      <c r="BP113" s="475">
        <f t="shared" si="115"/>
        <v>0</v>
      </c>
      <c r="BQ113" s="1431">
        <f>IF(AU113=1,0,IF(CH113=100,0,IF(AND(AF113=3,AU113=2),0,IF(AND(BH113=0,CT113&gt;0.4),0,IF(AND('Data Entry'!$C$74=2,AF113=1.5),0,IF(AND('Data Entry'!$C$74=2,AF113=1.6),0,IF(AND('Data Entry'!$C$74=2,AF113=4),0,IF(AND('Data Entry'!$C$74=2,AF113=5),0,IF(AND('Data Entry'!$C$74=2,AF113=2.5,CE113&lt;1),0,IF(AND('Data Entry'!$C$74=2,AF113=3,CE113&lt;1),0,IF(AND('Data Entry'!$C$74=1,AF113=2.5,CD113&lt;1),0,IF(AND('Data Entry'!$C$74=1,AF113=3,CD113&lt;1),0,IF(DX113&gt;0.01,DX113,IF(ISERROR(AX113-AY113),"",ROUND(AX113-AY113,2)))))))))))))))</f>
        <v>0</v>
      </c>
      <c r="BR113" s="146">
        <f t="shared" si="116"/>
        <v>0</v>
      </c>
      <c r="BS113" s="475">
        <f t="shared" si="117"/>
        <v>0</v>
      </c>
      <c r="BT113" s="146" t="b">
        <f t="shared" si="118"/>
        <v>0</v>
      </c>
      <c r="BU113" s="463">
        <f>IF(ISNA(AT113),0,IF(AND('Data Entry'!$C$74=2,BC113=27),0,IF(AND('Data Entry'!$C$74=2,BC113=28),0,IF(AND(BC113=27,BT113=27,CM113&gt;0.1),CM113*0.15,IF(AND(BC113=28,BT113=28,CM113&gt;0.1),CM113*0.12,0)))))</f>
        <v>0</v>
      </c>
      <c r="BV113" s="463">
        <f t="shared" si="155"/>
        <v>0</v>
      </c>
      <c r="BW113" s="463">
        <f t="shared" si="119"/>
        <v>0</v>
      </c>
      <c r="BX113" s="463">
        <f t="shared" si="120"/>
        <v>0</v>
      </c>
      <c r="BY113" s="463">
        <f t="shared" si="121"/>
        <v>0</v>
      </c>
      <c r="BZ113" s="463">
        <f t="shared" si="122"/>
        <v>0</v>
      </c>
      <c r="CA113" s="57">
        <f t="shared" si="150"/>
        <v>0</v>
      </c>
      <c r="CB113" s="56">
        <f t="shared" si="123"/>
        <v>1</v>
      </c>
      <c r="CC113" s="756">
        <f>IF(EE113=0,0,IF(EF113=0,0,IF(EE113&gt;AA113,0,IF(AND(AZ113&gt;AW113,AW113&gt;0),0,IF(CU113=0,0,Summary!AC416)))))</f>
        <v>0</v>
      </c>
      <c r="CD113" s="756">
        <f>IF(EE113=0,0,IF(EF113=0,0,IF(EE113&gt;AA113,0,IF(AND(AZ113&gt;AW113,AW113&gt;0),0,IF(CU113=0,0,Summary!AD416)))))</f>
        <v>0</v>
      </c>
      <c r="CE113" s="756">
        <f>IF(EF113=0,0,IF(EE113&gt;AA113,0,IF(CC113=0,0,IF(AND(AZ113&gt;AW113,AW113&gt;0),0,IF(CU113=0,0,Summary!AE416)))))</f>
        <v>0</v>
      </c>
      <c r="CF113" s="475">
        <f t="shared" si="124"/>
        <v>0</v>
      </c>
      <c r="CG113" s="476">
        <f t="shared" si="89"/>
        <v>0</v>
      </c>
      <c r="CH113" s="487">
        <f t="shared" si="125"/>
        <v>0</v>
      </c>
      <c r="CI113" s="756">
        <f t="shared" si="126"/>
        <v>0</v>
      </c>
      <c r="CJ113" s="487">
        <f>IF(CT113&gt;0.4,0,IF(AND(AU113=2,CH113=0,CT113=0.5,ER113=100),35,IF(AND(AU113=3,BB113&gt;75,CH113=0,CT113=0.5,ER113=100),25,IF(CB113&gt;1,0,IF(EF113&gt;EE113,0,IF(AND(AF113&gt;1,CH113=100),0,IF(AND(AF113=1,AY113=0),0,IF(AND(EF113&lt;=EE113,AW113&gt;=AZ113,'Data Entry'!$C$74=1,AU113=2),VLOOKUP(W113,$DO$96:$DP$102,2,FALSE),IF(AND(EF113&lt;=EE113,AW113&gt;=AZ113,AU113=3,'Data Entry'!$C$74=1),VLOOKUP(W113,$DO$127:$DP$134,2,FALSE))))))))))</f>
        <v>0</v>
      </c>
      <c r="CK113" s="716">
        <f t="shared" si="127"/>
        <v>0</v>
      </c>
      <c r="CL113" s="57">
        <f t="shared" si="128"/>
        <v>0</v>
      </c>
      <c r="CM113" s="475">
        <f t="shared" si="154"/>
        <v>0</v>
      </c>
      <c r="CN113" s="660">
        <f>IF(CM113&lt;0.1,0,IF(ISNA(AT113),0,IF(CL113+BC113=1,0,IF(BV113&gt;0.01,0,IF(CL113&gt;0.01,0,IF(CF113=1,0,IF(BC113=0.5,0,IF(AND(CI113=1,AU113=3),0,IF(AND(CI113=5,CL113=0),0,IF(AND(R113=12,BR113=50),0,IF(CK113&gt;0.01,0,IF(AND(AJ113&gt;0.01,AU113=2,BC113=15),CM113*0.1,IF(AND(AJ113&gt;0.01,AU113=3,BC113=15),CM113*0.08,IF(AND(R113=12,BC113=3,AF113&lt;=0),0,IF(AND(BC113=15,BI113=0),0,IF(AND(BC113=15,BJ113=0),0,IF(AND(R113=20,CU113=0),0,IF($X$4=0,0,IF(AND(BC113=250,CL113=0),0,IF(AA113&lt;1,0,IF(AND(ISNUMBER(SEARCH("Area",T113)),AU113=3),0,IF(AND(AQ113&gt;0.01,AR113=0,BK113=0,BL113=0,BM113=0,BN113=0),0,IF(AND(AU113=3,CI113=7,CT113&gt;0.5),0,IF(AND(BC113=44,AU113=3,BY113=0),0,IF(AND(BC113=27,'Data Entry'!$C$74=2),0,IF(AND(BC113=28,'Data Entry'!$C$74=2),0,IF(AND(BY113+BZ113+CA113&gt;0.01,BV113=0,EQ113+ER113+ES113+ET113&lt;100),0,IF(AU113=3,CM113*0.08,IF(AU113=2,CM113*0.1,0)))))))))))))))))))))))))))))</f>
        <v>0</v>
      </c>
      <c r="CO113" s="660">
        <f t="shared" si="129"/>
        <v>0</v>
      </c>
      <c r="CP113" s="475" t="str">
        <f t="shared" si="130"/>
        <v/>
      </c>
      <c r="CQ113" s="161" t="str">
        <f>IF(AH113=0,0,IF(AU113=5,0,Summary!AC116))</f>
        <v/>
      </c>
      <c r="CR113" s="161" t="str">
        <f>IF(BF113=0.5,0,IF(AU113=5,0,Summary!AD116))</f>
        <v/>
      </c>
      <c r="CS113" s="161" t="str">
        <f>IF(AU113=5,0,Summary!AE116)</f>
        <v/>
      </c>
      <c r="CT113" s="161">
        <f t="shared" si="131"/>
        <v>0</v>
      </c>
      <c r="CU113" s="475" t="str">
        <f t="shared" si="132"/>
        <v/>
      </c>
      <c r="CV113" s="307">
        <f>IF('Data Entry'!$C$74=0,0,IF(AA113&lt;1,0,IF(ISERROR(CU113),0,IF(CF113=1,0,IF(AND(R113=12,BR113=50),0,IF(CL113+BO113+BV113+DC113=0,0,IF(BC113=37,0,IF(AND(BC113=40,AJ113=0),0,IF(AND(BC113=37,BO113&gt;0.01,BQ113&gt;0.01),ROUND(BQ113,0),IF(CM113&lt;0,0,ROUND(CM113,0)))))))))))</f>
        <v>0</v>
      </c>
      <c r="CW113" s="700">
        <f t="shared" si="133"/>
        <v>0</v>
      </c>
      <c r="CX113" s="477">
        <f>IF('Data Entry'!$C$74=0,0,IF(CV113&lt;0.01,0,IF(BF113=0.5,0,IF(CF113=1,0,IF(ISNUMBER(SEARCH("false",CL113)),0,IF(AZ113=500,0,CL113))))))</f>
        <v>0</v>
      </c>
      <c r="CY113" s="147" t="e">
        <f t="shared" si="134"/>
        <v>#VALUE!</v>
      </c>
      <c r="CZ113" s="147" t="b">
        <f>IF(CN113+CL113=0,FALSE,IF(AH113=0,0,IF(AND('Data Entry'!$C$74=1,CR113&gt;=1),TRUE,IF(AND('Data Entry'!$C$74=2,CS113&gt;=1),TRUE,FALSE))))</f>
        <v>0</v>
      </c>
      <c r="DA113" s="1751">
        <f>IF('Data Entry'!$C$74=0,0,IFERROR(ROUND(IF(T113="","",IF($X$4=0,0,IF(CF113=1,0,IF(BQ113+CV113=0,0,IF(CF113=1,0,IF(CY113&gt;0.01,CY113,IF(CL113&gt;0.01,CL113,IF(CY113&gt;0.01,CY113,IF(BC113=37,BO113,IF(CZ113=FALSE,0,IF(CZ113=TRUE,DC113+DF113,0))))))))))),2),""))</f>
        <v>0</v>
      </c>
      <c r="DB113" s="1752"/>
      <c r="DC113" s="474">
        <f>IF(CN113&lt;0.01,0,IF(AND(BR113=3,CN113&gt;0.01,CT113&gt;0.6,ER113+ES113+ET113&lt;100),0,IF(AND('Data Entry'!$C$74=1,CN113&gt;0.01,CR113&gt;0.99),MIN(CN113:CO113),IF(AND('Data Entry'!$C$74=2,CN113&gt;0.01,CS113&gt;0.99),MIN(CN113:CO113),0))))</f>
        <v>0</v>
      </c>
      <c r="DD113" s="478">
        <f>IF(CF113=1,"Selection does not match",IF(T113=0,0,IF(AND('Data Entry'!$C$74=0,CP113&gt;1),"Select Oregon or Idaho on Data Entry Tab",IF(AND(AU113=1,AA113&gt;0.9),"Missing Interior or Exterior Selection",IF($X$4=0,"Enter Total Project Cost",IF(AQ113&lt;AR113,"Insufficient kWh savings – no incentive",IF(AND(SUM(CL113+CK113+BV113)&gt;0.01,'Data Entry'!$C$74=2,CJ113&gt;1,BO113=0),"Submit Control as Non-Standard",IF(AND('Data Entry'!$C$74=2,BR113=37,CJ113&gt;1,BO113=0),"Submit Control as Non-Standard",IF(SUM(CL113+CK113+BV113)&gt;0.01,"Standard Incentive",IF(AND('Data Entry'!$C$74=2,CP113=7,CN113=0),"Submit as Non-Standard",IF(DC113&gt;0.9,"Non-Standard Incentive",IF(AND(BY113+BZ113+CA113&gt;0.01,BV113=0,EQ113=0,ER113=0,ES113=0,ET113=0),"Scroll Right &amp; Select Control Strategies",IF(AND(CN113&gt;0.01,CO113=0),"Enter Unit Installed Cost",IF(ISNUMBER(SEARCH("Lighting Controls Only",F113)),"Lighting Controls Only",IF(CL113+DC113=0,"Does not meet incentive criteria",0)))))))))))))))</f>
        <v>0</v>
      </c>
      <c r="DE113" s="337">
        <f t="shared" si="135"/>
        <v>0</v>
      </c>
      <c r="DF113" s="609">
        <f t="shared" si="136"/>
        <v>0</v>
      </c>
      <c r="DG113" s="336" t="str">
        <f t="shared" si="137"/>
        <v/>
      </c>
      <c r="DH113" s="338">
        <f t="shared" si="138"/>
        <v>1</v>
      </c>
      <c r="DI113" s="336" t="e">
        <f t="shared" si="90"/>
        <v>#VALUE!</v>
      </c>
      <c r="DJ113" s="338">
        <f t="shared" si="91"/>
        <v>0</v>
      </c>
      <c r="DK113" s="326" t="s">
        <v>775</v>
      </c>
      <c r="DL113" s="341">
        <v>68</v>
      </c>
      <c r="DM113" s="325" t="s">
        <v>103</v>
      </c>
      <c r="DN113" s="1439">
        <v>0.1</v>
      </c>
      <c r="DO113" s="1451"/>
      <c r="DP113" s="1444" t="s">
        <v>1535</v>
      </c>
      <c r="DQ113" s="610">
        <v>46</v>
      </c>
      <c r="DR113" s="1126"/>
      <c r="DS113" s="1195">
        <f t="shared" si="139"/>
        <v>0</v>
      </c>
      <c r="DT113" s="344" t="b">
        <f t="shared" si="140"/>
        <v>1</v>
      </c>
      <c r="DU113" s="1314" t="str">
        <f t="array" ref="DU113">IF(OR(COUNTIF(F113,"*"&amp;$DK$9:$DK$178&amp;"*")), "Yes", "")</f>
        <v/>
      </c>
      <c r="DV113" s="1314">
        <f t="shared" si="141"/>
        <v>0</v>
      </c>
      <c r="DW113" s="1480">
        <f t="shared" si="142"/>
        <v>0</v>
      </c>
      <c r="DX113" s="1498">
        <f t="shared" si="151"/>
        <v>0</v>
      </c>
      <c r="DY113" s="1484">
        <f t="shared" si="143"/>
        <v>0</v>
      </c>
      <c r="DZ113" s="331"/>
      <c r="EA113" s="392"/>
      <c r="EB113" s="1499" t="s">
        <v>460</v>
      </c>
      <c r="EC113" s="727" t="s">
        <v>1568</v>
      </c>
      <c r="ED113" s="728">
        <v>0.5</v>
      </c>
      <c r="EE113" s="1215"/>
      <c r="EF113" s="1215"/>
      <c r="EG113" s="1184" t="str">
        <f t="shared" si="144"/>
        <v/>
      </c>
      <c r="EH113" s="55"/>
      <c r="EI113" s="55"/>
      <c r="EJ113" s="1185">
        <f t="shared" si="92"/>
        <v>0</v>
      </c>
      <c r="EK113" s="1211"/>
      <c r="EL113" s="1180">
        <f t="shared" si="93"/>
        <v>0</v>
      </c>
      <c r="EM113" s="206"/>
      <c r="EN113" s="1038"/>
      <c r="EO113" s="1038"/>
      <c r="EP113" s="1038"/>
      <c r="EQ113" s="1038">
        <f t="shared" si="145"/>
        <v>0</v>
      </c>
      <c r="ER113" s="1041">
        <f t="shared" si="146"/>
        <v>0</v>
      </c>
      <c r="ES113" s="1042">
        <f t="shared" si="147"/>
        <v>0</v>
      </c>
      <c r="ET113" s="1042">
        <f t="shared" si="152"/>
        <v>0</v>
      </c>
      <c r="EU113" s="1021">
        <f t="shared" si="153"/>
        <v>0</v>
      </c>
      <c r="EV113" s="368"/>
      <c r="EW113" s="368"/>
      <c r="EX113" s="369"/>
      <c r="EY113" s="370"/>
      <c r="EZ113" s="370"/>
      <c r="FA113" s="371"/>
      <c r="FB113" s="372"/>
    </row>
    <row r="114" spans="1:158" ht="34.5" customHeight="1">
      <c r="A114" s="82">
        <v>106</v>
      </c>
      <c r="B114" s="1725"/>
      <c r="C114" s="1726"/>
      <c r="D114" s="1726"/>
      <c r="E114" s="1727"/>
      <c r="F114" s="1732"/>
      <c r="G114" s="1733"/>
      <c r="H114" s="1733"/>
      <c r="I114" s="1734"/>
      <c r="J114" s="1341"/>
      <c r="K114" s="1728"/>
      <c r="L114" s="1728"/>
      <c r="M114" s="1342"/>
      <c r="N114" s="1583"/>
      <c r="O114" s="208" t="str">
        <f t="shared" si="80"/>
        <v/>
      </c>
      <c r="P114" s="785"/>
      <c r="Q114" s="39" t="str">
        <f t="shared" si="81"/>
        <v/>
      </c>
      <c r="R114" s="39">
        <f t="shared" si="94"/>
        <v>0</v>
      </c>
      <c r="S114" s="234">
        <f t="shared" si="95"/>
        <v>0</v>
      </c>
      <c r="T114" s="1755"/>
      <c r="U114" s="1755"/>
      <c r="V114" s="1755"/>
      <c r="W114" s="1345"/>
      <c r="X114" s="1741"/>
      <c r="Y114" s="1742"/>
      <c r="Z114" s="1346"/>
      <c r="AA114" s="1343"/>
      <c r="AB114" s="1141"/>
      <c r="AC114" s="1103" t="str">
        <f>IF(T114="","",VLOOKUP(Z114,Lists!$A$60:$B$111,2,FALSE))</f>
        <v/>
      </c>
      <c r="AD114" s="130" t="str">
        <f t="shared" si="96"/>
        <v/>
      </c>
      <c r="AE114" s="130" t="e">
        <f t="shared" si="97"/>
        <v>#VALUE!</v>
      </c>
      <c r="AF114" s="130">
        <f t="shared" si="98"/>
        <v>1</v>
      </c>
      <c r="AG114" s="234">
        <f t="shared" si="82"/>
        <v>0</v>
      </c>
      <c r="AH114" s="1753" t="str">
        <f>IF(T114="","",(IF(ISNUMBER(SEARCH("exit",T114)),8760,IF(AND(M114="Dusk to Dawn",'Proposed Lighting'!AU114=3),4059,IF(AND(AU114=3,M114="1"),0,IF(AND(AU114=3,M114="1-C"),0,IF(AND(AU114=3,M114="2"),0,IF(AND(AU114=3,M114="2-C"),0,IF(AND(AU114=3,M114="3"),0,IF(AND(AU114=3,M114="3-C"),0,IF(AND(AU114=2,M114="Dusk to Dawn"),0,IF(AND(AU114=2,M114="Dusk to Dawn-C"),0,IF(AND(AU114=2,M114="Dusk to Dawn"),0,IF(AND(AU114=2,M114="E"),0,IF(AND(AU114=2,M114="E-C"),0,EG114)))))))))))))))</f>
        <v/>
      </c>
      <c r="AI114" s="1754"/>
      <c r="AJ114" s="1136"/>
      <c r="AK114" s="1136"/>
      <c r="AL114" s="1748">
        <f t="shared" si="99"/>
        <v>0</v>
      </c>
      <c r="AM114" s="1749"/>
      <c r="AN114" s="1750"/>
      <c r="AO114" s="476">
        <f t="shared" si="83"/>
        <v>0</v>
      </c>
      <c r="AP114" s="476">
        <f t="shared" si="100"/>
        <v>0</v>
      </c>
      <c r="AQ114" s="475">
        <f t="shared" si="84"/>
        <v>0</v>
      </c>
      <c r="AR114" s="475">
        <f t="shared" si="101"/>
        <v>0</v>
      </c>
      <c r="AS114" s="743" t="str">
        <f t="shared" si="156"/>
        <v/>
      </c>
      <c r="AT114" s="736" t="str">
        <f t="shared" si="102"/>
        <v/>
      </c>
      <c r="AU114" s="56">
        <f t="shared" si="103"/>
        <v>1</v>
      </c>
      <c r="AV114" s="476">
        <f t="shared" si="104"/>
        <v>0</v>
      </c>
      <c r="AW114" s="56">
        <f t="shared" si="105"/>
        <v>0</v>
      </c>
      <c r="AX114" s="475">
        <f t="shared" si="85"/>
        <v>0</v>
      </c>
      <c r="AY114" s="1169">
        <f t="shared" si="106"/>
        <v>0</v>
      </c>
      <c r="AZ114" s="1150">
        <f t="shared" si="148"/>
        <v>0</v>
      </c>
      <c r="BA114" s="56">
        <f t="shared" si="86"/>
        <v>0</v>
      </c>
      <c r="BB114" s="420">
        <f t="shared" si="87"/>
        <v>0</v>
      </c>
      <c r="BC114" s="58" t="str">
        <f t="shared" si="88"/>
        <v/>
      </c>
      <c r="BD114" s="660">
        <f t="shared" si="149"/>
        <v>0</v>
      </c>
      <c r="BE114" s="57" t="e">
        <f t="array" ref="BE114">INDEX($EB$11:$ED$1022,MATCH(F114&amp;T114,$EB$11:$EB$1007&amp;$EC$11:$EC$1007,0),3)</f>
        <v>#N/A</v>
      </c>
      <c r="BF114" s="463">
        <f t="shared" si="157"/>
        <v>0</v>
      </c>
      <c r="BG114" s="1445" t="e">
        <f t="array" ref="BG114">INDEX($DO$112:$DQ$123,MATCH(T114&amp;W114,$DO$114:$DO$125&amp;$DP$112:$DP$123,0),3)</f>
        <v>#N/A</v>
      </c>
      <c r="BH114" s="1446">
        <f t="shared" si="108"/>
        <v>0</v>
      </c>
      <c r="BI114" s="465">
        <f t="shared" si="109"/>
        <v>0</v>
      </c>
      <c r="BJ114" s="465">
        <f t="shared" si="110"/>
        <v>0</v>
      </c>
      <c r="BK114" s="466">
        <f t="shared" si="158"/>
        <v>0</v>
      </c>
      <c r="BL114" s="466">
        <f t="shared" si="159"/>
        <v>0</v>
      </c>
      <c r="BM114" s="466">
        <f t="shared" si="113"/>
        <v>0</v>
      </c>
      <c r="BN114" s="466">
        <f t="shared" si="114"/>
        <v>0</v>
      </c>
      <c r="BO114" s="463">
        <f>IF('Data Entry'!$C$74=0,0,IF(ISNA(CJ114),0,IF(AX114=0,0,IF(AND('Data Entry'!$C$74=2,AF114&gt;2,CE114&lt;1),0,IF(AND('Data Entry'!$C$74=2,AF114&gt;1,AU114=2,CJ114&gt;1),0,IF(AND(AF114=5,CT114=0.5,AU114=2,ER114&lt;100),0,IF(AND(AF114=5,CT114=0.5,AU114=3,ER114&lt;100),0,IF(AND('Data Entry'!$C$74=2,AF114=2,AU114=2,AK114&gt;0.01,CB114=2,CE114&lt;1),0,IF(AND('Data Entry'!$C$74=2,AF114=3,AU114=3,AK114&gt;0.01,CB114=3,CE114&lt;1),0,IF(AND('Data Entry'!$C$74=2,AF114=3,AU114=3,AK114&gt;0.01,CB114=3,CE114&gt;0.99),BQ114*0.08,IF(AND('Data Entry'!$C$74=2,AF114=2,AU114=2,AK114&gt;0.01,CB114=2,CE114&gt;0.99),BQ114*0.1,IF(AND(AU114=2,AK114&gt;0.01,CB114=2,CD114&gt;1),BQ114*0.1,IF(AND(AU114=3,AK114&gt;0.01,CB114=3,CD114&gt;1),BQ114*0.08,CJ114*EF114)))))))))))))</f>
        <v>0</v>
      </c>
      <c r="BP114" s="475">
        <f t="shared" si="115"/>
        <v>0</v>
      </c>
      <c r="BQ114" s="1431">
        <f>IF(AU114=1,0,IF(CH114=100,0,IF(AND(AF114=3,AU114=2),0,IF(AND(BH114=0,CT114&gt;0.4),0,IF(AND('Data Entry'!$C$74=2,AF114=1.5),0,IF(AND('Data Entry'!$C$74=2,AF114=1.6),0,IF(AND('Data Entry'!$C$74=2,AF114=4),0,IF(AND('Data Entry'!$C$74=2,AF114=5),0,IF(AND('Data Entry'!$C$74=2,AF114=2.5,CE114&lt;1),0,IF(AND('Data Entry'!$C$74=2,AF114=3,CE114&lt;1),0,IF(AND('Data Entry'!$C$74=1,AF114=2.5,CD114&lt;1),0,IF(AND('Data Entry'!$C$74=1,AF114=3,CD114&lt;1),0,IF(DX114&gt;0.01,DX114,IF(ISERROR(AX114-AY114),"",ROUND(AX114-AY114,2)))))))))))))))</f>
        <v>0</v>
      </c>
      <c r="BR114" s="146">
        <f t="shared" si="116"/>
        <v>0</v>
      </c>
      <c r="BS114" s="475">
        <f t="shared" si="117"/>
        <v>0</v>
      </c>
      <c r="BT114" s="146" t="b">
        <f t="shared" si="118"/>
        <v>0</v>
      </c>
      <c r="BU114" s="463">
        <f>IF(ISNA(AT114),0,IF(AND('Data Entry'!$C$74=2,BC114=27),0,IF(AND('Data Entry'!$C$74=2,BC114=28),0,IF(AND(BC114=27,BT114=27,CM114&gt;0.1),CM114*0.15,IF(AND(BC114=28,BT114=28,CM114&gt;0.1),CM114*0.12,0)))))</f>
        <v>0</v>
      </c>
      <c r="BV114" s="463">
        <f t="shared" si="155"/>
        <v>0</v>
      </c>
      <c r="BW114" s="463">
        <f t="shared" si="119"/>
        <v>0</v>
      </c>
      <c r="BX114" s="463">
        <f t="shared" si="120"/>
        <v>0</v>
      </c>
      <c r="BY114" s="463">
        <f t="shared" si="121"/>
        <v>0</v>
      </c>
      <c r="BZ114" s="463">
        <f t="shared" si="122"/>
        <v>0</v>
      </c>
      <c r="CA114" s="57">
        <f t="shared" si="150"/>
        <v>0</v>
      </c>
      <c r="CB114" s="56">
        <f t="shared" si="123"/>
        <v>1</v>
      </c>
      <c r="CC114" s="756">
        <f>IF(EE114=0,0,IF(EF114=0,0,IF(EE114&gt;AA114,0,IF(AND(AZ114&gt;AW114,AW114&gt;0),0,IF(CU114=0,0,Summary!AC417)))))</f>
        <v>0</v>
      </c>
      <c r="CD114" s="756">
        <f>IF(EE114=0,0,IF(EF114=0,0,IF(EE114&gt;AA114,0,IF(AND(AZ114&gt;AW114,AW114&gt;0),0,IF(CU114=0,0,Summary!AD417)))))</f>
        <v>0</v>
      </c>
      <c r="CE114" s="756">
        <f>IF(EF114=0,0,IF(EE114&gt;AA114,0,IF(CC114=0,0,IF(AND(AZ114&gt;AW114,AW114&gt;0),0,IF(CU114=0,0,Summary!AE417)))))</f>
        <v>0</v>
      </c>
      <c r="CF114" s="475">
        <f t="shared" si="124"/>
        <v>0</v>
      </c>
      <c r="CG114" s="476">
        <f t="shared" si="89"/>
        <v>0</v>
      </c>
      <c r="CH114" s="487">
        <f t="shared" si="125"/>
        <v>0</v>
      </c>
      <c r="CI114" s="756">
        <f t="shared" si="126"/>
        <v>0</v>
      </c>
      <c r="CJ114" s="487">
        <f>IF(CT114&gt;0.4,0,IF(AND(AU114=2,CH114=0,CT114=0.5,ER114=100),35,IF(AND(AU114=3,BB114&gt;75,CH114=0,CT114=0.5,ER114=100),25,IF(CB114&gt;1,0,IF(EF114&gt;EE114,0,IF(AND(AF114&gt;1,CH114=100),0,IF(AND(AF114=1,AY114=0),0,IF(AND(EF114&lt;=EE114,AW114&gt;=AZ114,'Data Entry'!$C$74=1,AU114=2),VLOOKUP(W114,$DO$96:$DP$102,2,FALSE),IF(AND(EF114&lt;=EE114,AW114&gt;=AZ114,AU114=3,'Data Entry'!$C$74=1),VLOOKUP(W114,$DO$127:$DP$134,2,FALSE))))))))))</f>
        <v>0</v>
      </c>
      <c r="CK114" s="716">
        <f t="shared" si="127"/>
        <v>0</v>
      </c>
      <c r="CL114" s="57">
        <f t="shared" si="128"/>
        <v>0</v>
      </c>
      <c r="CM114" s="475">
        <f t="shared" si="154"/>
        <v>0</v>
      </c>
      <c r="CN114" s="660">
        <f>IF(CM114&lt;0.1,0,IF(ISNA(AT114),0,IF(CL114+BC114=1,0,IF(BV114&gt;0.01,0,IF(CL114&gt;0.01,0,IF(CF114=1,0,IF(BC114=0.5,0,IF(AND(CI114=1,AU114=3),0,IF(AND(CI114=5,CL114=0),0,IF(AND(R114=12,BR114=50),0,IF(CK114&gt;0.01,0,IF(AND(AJ114&gt;0.01,AU114=2,BC114=15),CM114*0.1,IF(AND(AJ114&gt;0.01,AU114=3,BC114=15),CM114*0.08,IF(AND(R114=12,BC114=3,AF114&lt;=0),0,IF(AND(BC114=15,BI114=0),0,IF(AND(BC114=15,BJ114=0),0,IF(AND(R114=20,CU114=0),0,IF($X$4=0,0,IF(AND(BC114=250,CL114=0),0,IF(AA114&lt;1,0,IF(AND(ISNUMBER(SEARCH("Area",T114)),AU114=3),0,IF(AND(AQ114&gt;0.01,AR114=0,BK114=0,BL114=0,BM114=0,BN114=0),0,IF(AND(AU114=3,CI114=7,CT114&gt;0.5),0,IF(AND(BC114=44,AU114=3,BY114=0),0,IF(AND(BC114=27,'Data Entry'!$C$74=2),0,IF(AND(BC114=28,'Data Entry'!$C$74=2),0,IF(AND(BY114+BZ114+CA114&gt;0.01,BV114=0,EQ114+ER114+ES114+ET114&lt;100),0,IF(AU114=3,CM114*0.08,IF(AU114=2,CM114*0.1,0)))))))))))))))))))))))))))))</f>
        <v>0</v>
      </c>
      <c r="CO114" s="660">
        <f t="shared" si="129"/>
        <v>0</v>
      </c>
      <c r="CP114" s="475" t="str">
        <f t="shared" si="130"/>
        <v/>
      </c>
      <c r="CQ114" s="161" t="str">
        <f>IF(AH114=0,0,IF(AU114=5,0,Summary!AC117))</f>
        <v/>
      </c>
      <c r="CR114" s="161" t="str">
        <f>IF(BF114=0.5,0,IF(AU114=5,0,Summary!AD117))</f>
        <v/>
      </c>
      <c r="CS114" s="161" t="str">
        <f>IF(AU114=5,0,Summary!AE117)</f>
        <v/>
      </c>
      <c r="CT114" s="161">
        <f t="shared" si="131"/>
        <v>0</v>
      </c>
      <c r="CU114" s="475" t="str">
        <f t="shared" si="132"/>
        <v/>
      </c>
      <c r="CV114" s="307">
        <f>IF('Data Entry'!$C$74=0,0,IF(AA114&lt;1,0,IF(ISERROR(CU114),0,IF(CF114=1,0,IF(AND(R114=12,BR114=50),0,IF(CL114+BO114+BV114+DC114=0,0,IF(BC114=37,0,IF(AND(BC114=40,AJ114=0),0,IF(AND(BC114=37,BO114&gt;0.01,BQ114&gt;0.01),ROUND(BQ114,0),IF(CM114&lt;0,0,ROUND(CM114,0)))))))))))</f>
        <v>0</v>
      </c>
      <c r="CW114" s="700">
        <f t="shared" si="133"/>
        <v>0</v>
      </c>
      <c r="CX114" s="477">
        <f>IF('Data Entry'!$C$74=0,0,IF(CV114&lt;0.01,0,IF(BF114=0.5,0,IF(CF114=1,0,IF(ISNUMBER(SEARCH("false",CL114)),0,IF(AZ114=500,0,CL114))))))</f>
        <v>0</v>
      </c>
      <c r="CY114" s="147" t="e">
        <f t="shared" si="134"/>
        <v>#VALUE!</v>
      </c>
      <c r="CZ114" s="147" t="b">
        <f>IF(CN114+CL114=0,FALSE,IF(AH114=0,0,IF(AND('Data Entry'!$C$74=1,CR114&gt;=1),TRUE,IF(AND('Data Entry'!$C$74=2,CS114&gt;=1),TRUE,FALSE))))</f>
        <v>0</v>
      </c>
      <c r="DA114" s="1751">
        <f>IF('Data Entry'!$C$74=0,0,IFERROR(ROUND(IF(T114="","",IF($X$4=0,0,IF(CF114=1,0,IF(BQ114+CV114=0,0,IF(CF114=1,0,IF(CY114&gt;0.01,CY114,IF(CL114&gt;0.01,CL114,IF(CY114&gt;0.01,CY114,IF(BC114=37,BO114,IF(CZ114=FALSE,0,IF(CZ114=TRUE,DC114+DF114,0))))))))))),2),""))</f>
        <v>0</v>
      </c>
      <c r="DB114" s="1752"/>
      <c r="DC114" s="474">
        <f>IF(CN114&lt;0.01,0,IF(AND(BR114=3,CN114&gt;0.01,CT114&gt;0.6,ER114+ES114+ET114&lt;100),0,IF(AND('Data Entry'!$C$74=1,CN114&gt;0.01,CR114&gt;0.99),MIN(CN114:CO114),IF(AND('Data Entry'!$C$74=2,CN114&gt;0.01,CS114&gt;0.99),MIN(CN114:CO114),0))))</f>
        <v>0</v>
      </c>
      <c r="DD114" s="478">
        <f>IF(CF114=1,"Selection does not match",IF(T114=0,0,IF(AND('Data Entry'!$C$74=0,CP114&gt;1),"Select Oregon or Idaho on Data Entry Tab",IF(AND(AU114=1,AA114&gt;0.9),"Missing Interior or Exterior Selection",IF($X$4=0,"Enter Total Project Cost",IF(AQ114&lt;AR114,"Insufficient kWh savings – no incentive",IF(AND(SUM(CL114+CK114+BV114)&gt;0.01,'Data Entry'!$C$74=2,CJ114&gt;1,BO114=0),"Submit Control as Non-Standard",IF(AND('Data Entry'!$C$74=2,BR114=37,CJ114&gt;1,BO114=0),"Submit Control as Non-Standard",IF(SUM(CL114+CK114+BV114)&gt;0.01,"Standard Incentive",IF(AND('Data Entry'!$C$74=2,CP114=7,CN114=0),"Submit as Non-Standard",IF(DC114&gt;0.9,"Non-Standard Incentive",IF(AND(BY114+BZ114+CA114&gt;0.01,BV114=0,EQ114=0,ER114=0,ES114=0,ET114=0),"Scroll Right &amp; Select Control Strategies",IF(AND(CN114&gt;0.01,CO114=0),"Enter Unit Installed Cost",IF(ISNUMBER(SEARCH("Lighting Controls Only",F114)),"Lighting Controls Only",IF(CL114+DC114=0,"Does not meet incentive criteria",0)))))))))))))))</f>
        <v>0</v>
      </c>
      <c r="DE114" s="337">
        <f t="shared" si="135"/>
        <v>0</v>
      </c>
      <c r="DF114" s="609">
        <f t="shared" si="136"/>
        <v>0</v>
      </c>
      <c r="DG114" s="336" t="str">
        <f t="shared" si="137"/>
        <v/>
      </c>
      <c r="DH114" s="338">
        <f t="shared" si="138"/>
        <v>1</v>
      </c>
      <c r="DI114" s="336" t="e">
        <f t="shared" si="90"/>
        <v>#VALUE!</v>
      </c>
      <c r="DJ114" s="338">
        <f t="shared" si="91"/>
        <v>0</v>
      </c>
      <c r="DK114" s="326" t="s">
        <v>774</v>
      </c>
      <c r="DL114" s="341">
        <v>108</v>
      </c>
      <c r="DM114" s="325" t="s">
        <v>1655</v>
      </c>
      <c r="DN114" s="1439"/>
      <c r="DO114" s="376" t="s">
        <v>1745</v>
      </c>
      <c r="DP114" s="1444" t="s">
        <v>1488</v>
      </c>
      <c r="DQ114" s="610">
        <v>48</v>
      </c>
      <c r="DR114" s="1126"/>
      <c r="DS114" s="1195">
        <f t="shared" si="139"/>
        <v>0</v>
      </c>
      <c r="DT114" s="344" t="b">
        <f t="shared" si="140"/>
        <v>1</v>
      </c>
      <c r="DU114" s="1314" t="str">
        <f t="array" ref="DU114">IF(OR(COUNTIF(F114,"*"&amp;$DK$9:$DK$178&amp;"*")), "Yes", "")</f>
        <v/>
      </c>
      <c r="DV114" s="1314">
        <f t="shared" si="141"/>
        <v>0</v>
      </c>
      <c r="DW114" s="1480">
        <f t="shared" si="142"/>
        <v>0</v>
      </c>
      <c r="DX114" s="1498">
        <f t="shared" si="151"/>
        <v>0</v>
      </c>
      <c r="DY114" s="1484">
        <f t="shared" si="143"/>
        <v>0</v>
      </c>
      <c r="DZ114" s="331"/>
      <c r="EA114" s="392"/>
      <c r="EB114" s="1499" t="s">
        <v>505</v>
      </c>
      <c r="EC114" s="727" t="s">
        <v>1568</v>
      </c>
      <c r="ED114" s="728">
        <v>0.5</v>
      </c>
      <c r="EE114" s="1215"/>
      <c r="EF114" s="1215"/>
      <c r="EG114" s="1184" t="str">
        <f t="shared" si="144"/>
        <v/>
      </c>
      <c r="EH114" s="55"/>
      <c r="EI114" s="55"/>
      <c r="EJ114" s="1185">
        <f t="shared" si="92"/>
        <v>0</v>
      </c>
      <c r="EK114" s="1211"/>
      <c r="EL114" s="1180">
        <f t="shared" si="93"/>
        <v>0</v>
      </c>
      <c r="EM114" s="206"/>
      <c r="EN114" s="1038"/>
      <c r="EO114" s="1038"/>
      <c r="EP114" s="1038"/>
      <c r="EQ114" s="1038">
        <f t="shared" si="145"/>
        <v>0</v>
      </c>
      <c r="ER114" s="1041">
        <f t="shared" si="146"/>
        <v>0</v>
      </c>
      <c r="ES114" s="1042">
        <f t="shared" si="147"/>
        <v>0</v>
      </c>
      <c r="ET114" s="1042">
        <f t="shared" si="152"/>
        <v>0</v>
      </c>
      <c r="EU114" s="1021">
        <f t="shared" si="153"/>
        <v>0</v>
      </c>
      <c r="EV114" s="368"/>
      <c r="EW114" s="368"/>
      <c r="EX114" s="369"/>
      <c r="EY114" s="370"/>
      <c r="EZ114" s="370"/>
      <c r="FA114" s="371"/>
      <c r="FB114" s="372"/>
    </row>
    <row r="115" spans="1:158" ht="34.5" customHeight="1">
      <c r="A115" s="82">
        <v>107</v>
      </c>
      <c r="B115" s="1725"/>
      <c r="C115" s="1726"/>
      <c r="D115" s="1726"/>
      <c r="E115" s="1727"/>
      <c r="F115" s="1732"/>
      <c r="G115" s="1733"/>
      <c r="H115" s="1733"/>
      <c r="I115" s="1734"/>
      <c r="J115" s="1341"/>
      <c r="K115" s="1728"/>
      <c r="L115" s="1728"/>
      <c r="M115" s="1342"/>
      <c r="N115" s="1583"/>
      <c r="O115" s="208" t="str">
        <f t="shared" si="80"/>
        <v/>
      </c>
      <c r="P115" s="785"/>
      <c r="Q115" s="39" t="str">
        <f t="shared" si="81"/>
        <v/>
      </c>
      <c r="R115" s="39">
        <f t="shared" si="94"/>
        <v>0</v>
      </c>
      <c r="S115" s="234">
        <f t="shared" si="95"/>
        <v>0</v>
      </c>
      <c r="T115" s="1755"/>
      <c r="U115" s="1755"/>
      <c r="V115" s="1755"/>
      <c r="W115" s="1345"/>
      <c r="X115" s="1741"/>
      <c r="Y115" s="1742"/>
      <c r="Z115" s="1346"/>
      <c r="AA115" s="1343"/>
      <c r="AB115" s="1141"/>
      <c r="AC115" s="1103" t="str">
        <f>IF(T115="","",VLOOKUP(Z115,Lists!$A$60:$B$111,2,FALSE))</f>
        <v/>
      </c>
      <c r="AD115" s="130" t="str">
        <f t="shared" si="96"/>
        <v/>
      </c>
      <c r="AE115" s="130" t="e">
        <f t="shared" si="97"/>
        <v>#VALUE!</v>
      </c>
      <c r="AF115" s="130">
        <f t="shared" si="98"/>
        <v>1</v>
      </c>
      <c r="AG115" s="234">
        <f t="shared" si="82"/>
        <v>0</v>
      </c>
      <c r="AH115" s="1753" t="str">
        <f>IF(T115="","",(IF(ISNUMBER(SEARCH("exit",T115)),8760,IF(AND(M115="Dusk to Dawn",'Proposed Lighting'!AU115=3),4059,IF(AND(AU115=3,M115="1"),0,IF(AND(AU115=3,M115="1-C"),0,IF(AND(AU115=3,M115="2"),0,IF(AND(AU115=3,M115="2-C"),0,IF(AND(AU115=3,M115="3"),0,IF(AND(AU115=3,M115="3-C"),0,IF(AND(AU115=2,M115="Dusk to Dawn"),0,IF(AND(AU115=2,M115="Dusk to Dawn-C"),0,IF(AND(AU115=2,M115="Dusk to Dawn"),0,IF(AND(AU115=2,M115="E"),0,IF(AND(AU115=2,M115="E-C"),0,EG115)))))))))))))))</f>
        <v/>
      </c>
      <c r="AI115" s="1754"/>
      <c r="AJ115" s="1136"/>
      <c r="AK115" s="1136"/>
      <c r="AL115" s="1748">
        <f t="shared" si="99"/>
        <v>0</v>
      </c>
      <c r="AM115" s="1749"/>
      <c r="AN115" s="1750"/>
      <c r="AO115" s="476">
        <f t="shared" si="83"/>
        <v>0</v>
      </c>
      <c r="AP115" s="476">
        <f t="shared" si="100"/>
        <v>0</v>
      </c>
      <c r="AQ115" s="475">
        <f t="shared" si="84"/>
        <v>0</v>
      </c>
      <c r="AR115" s="475">
        <f t="shared" si="101"/>
        <v>0</v>
      </c>
      <c r="AS115" s="743" t="str">
        <f t="shared" si="156"/>
        <v/>
      </c>
      <c r="AT115" s="736" t="str">
        <f t="shared" si="102"/>
        <v/>
      </c>
      <c r="AU115" s="56">
        <f t="shared" si="103"/>
        <v>1</v>
      </c>
      <c r="AV115" s="476">
        <f t="shared" si="104"/>
        <v>0</v>
      </c>
      <c r="AW115" s="56">
        <f t="shared" si="105"/>
        <v>0</v>
      </c>
      <c r="AX115" s="475">
        <f t="shared" si="85"/>
        <v>0</v>
      </c>
      <c r="AY115" s="1169">
        <f t="shared" si="106"/>
        <v>0</v>
      </c>
      <c r="AZ115" s="1150">
        <f t="shared" si="148"/>
        <v>0</v>
      </c>
      <c r="BA115" s="56">
        <f t="shared" si="86"/>
        <v>0</v>
      </c>
      <c r="BB115" s="420">
        <f t="shared" si="87"/>
        <v>0</v>
      </c>
      <c r="BC115" s="58" t="str">
        <f t="shared" si="88"/>
        <v/>
      </c>
      <c r="BD115" s="660">
        <f t="shared" si="149"/>
        <v>0</v>
      </c>
      <c r="BE115" s="57" t="e">
        <f t="array" ref="BE115">INDEX($EB$11:$ED$1022,MATCH(F115&amp;T115,$EB$11:$EB$1007&amp;$EC$11:$EC$1007,0),3)</f>
        <v>#N/A</v>
      </c>
      <c r="BF115" s="463">
        <f t="shared" si="157"/>
        <v>0</v>
      </c>
      <c r="BG115" s="1445" t="e">
        <f t="array" ref="BG115">INDEX($DO$112:$DQ$123,MATCH(T115&amp;W115,$DO$114:$DO$125&amp;$DP$112:$DP$123,0),3)</f>
        <v>#N/A</v>
      </c>
      <c r="BH115" s="1446">
        <f t="shared" si="108"/>
        <v>0</v>
      </c>
      <c r="BI115" s="465">
        <f t="shared" si="109"/>
        <v>0</v>
      </c>
      <c r="BJ115" s="465">
        <f t="shared" si="110"/>
        <v>0</v>
      </c>
      <c r="BK115" s="466">
        <f t="shared" si="158"/>
        <v>0</v>
      </c>
      <c r="BL115" s="466">
        <f t="shared" si="159"/>
        <v>0</v>
      </c>
      <c r="BM115" s="466">
        <f t="shared" si="113"/>
        <v>0</v>
      </c>
      <c r="BN115" s="466">
        <f t="shared" si="114"/>
        <v>0</v>
      </c>
      <c r="BO115" s="463">
        <f>IF('Data Entry'!$C$74=0,0,IF(ISNA(CJ115),0,IF(AX115=0,0,IF(AND('Data Entry'!$C$74=2,AF115&gt;2,CE115&lt;1),0,IF(AND('Data Entry'!$C$74=2,AF115&gt;1,AU115=2,CJ115&gt;1),0,IF(AND(AF115=5,CT115=0.5,AU115=2,ER115&lt;100),0,IF(AND(AF115=5,CT115=0.5,AU115=3,ER115&lt;100),0,IF(AND('Data Entry'!$C$74=2,AF115=2,AU115=2,AK115&gt;0.01,CB115=2,CE115&lt;1),0,IF(AND('Data Entry'!$C$74=2,AF115=3,AU115=3,AK115&gt;0.01,CB115=3,CE115&lt;1),0,IF(AND('Data Entry'!$C$74=2,AF115=3,AU115=3,AK115&gt;0.01,CB115=3,CE115&gt;0.99),BQ115*0.08,IF(AND('Data Entry'!$C$74=2,AF115=2,AU115=2,AK115&gt;0.01,CB115=2,CE115&gt;0.99),BQ115*0.1,IF(AND(AU115=2,AK115&gt;0.01,CB115=2,CD115&gt;1),BQ115*0.1,IF(AND(AU115=3,AK115&gt;0.01,CB115=3,CD115&gt;1),BQ115*0.08,CJ115*EF115)))))))))))))</f>
        <v>0</v>
      </c>
      <c r="BP115" s="475">
        <f t="shared" si="115"/>
        <v>0</v>
      </c>
      <c r="BQ115" s="1431">
        <f>IF(AU115=1,0,IF(CH115=100,0,IF(AND(AF115=3,AU115=2),0,IF(AND(BH115=0,CT115&gt;0.4),0,IF(AND('Data Entry'!$C$74=2,AF115=1.5),0,IF(AND('Data Entry'!$C$74=2,AF115=1.6),0,IF(AND('Data Entry'!$C$74=2,AF115=4),0,IF(AND('Data Entry'!$C$74=2,AF115=5),0,IF(AND('Data Entry'!$C$74=2,AF115=2.5,CE115&lt;1),0,IF(AND('Data Entry'!$C$74=2,AF115=3,CE115&lt;1),0,IF(AND('Data Entry'!$C$74=1,AF115=2.5,CD115&lt;1),0,IF(AND('Data Entry'!$C$74=1,AF115=3,CD115&lt;1),0,IF(DX115&gt;0.01,DX115,IF(ISERROR(AX115-AY115),"",ROUND(AX115-AY115,2)))))))))))))))</f>
        <v>0</v>
      </c>
      <c r="BR115" s="146">
        <f t="shared" si="116"/>
        <v>0</v>
      </c>
      <c r="BS115" s="475">
        <f t="shared" si="117"/>
        <v>0</v>
      </c>
      <c r="BT115" s="146" t="b">
        <f t="shared" si="118"/>
        <v>0</v>
      </c>
      <c r="BU115" s="463">
        <f>IF(ISNA(AT115),0,IF(AND('Data Entry'!$C$74=2,BC115=27),0,IF(AND('Data Entry'!$C$74=2,BC115=28),0,IF(AND(BC115=27,BT115=27,CM115&gt;0.1),CM115*0.15,IF(AND(BC115=28,BT115=28,CM115&gt;0.1),CM115*0.12,0)))))</f>
        <v>0</v>
      </c>
      <c r="BV115" s="463">
        <f t="shared" si="155"/>
        <v>0</v>
      </c>
      <c r="BW115" s="463">
        <f t="shared" si="119"/>
        <v>0</v>
      </c>
      <c r="BX115" s="463">
        <f t="shared" si="120"/>
        <v>0</v>
      </c>
      <c r="BY115" s="463">
        <f t="shared" si="121"/>
        <v>0</v>
      </c>
      <c r="BZ115" s="463">
        <f t="shared" si="122"/>
        <v>0</v>
      </c>
      <c r="CA115" s="57">
        <f t="shared" si="150"/>
        <v>0</v>
      </c>
      <c r="CB115" s="56">
        <f t="shared" si="123"/>
        <v>1</v>
      </c>
      <c r="CC115" s="756">
        <f>IF(EE115=0,0,IF(EF115=0,0,IF(EE115&gt;AA115,0,IF(AND(AZ115&gt;AW115,AW115&gt;0),0,IF(CU115=0,0,Summary!AC418)))))</f>
        <v>0</v>
      </c>
      <c r="CD115" s="756">
        <f>IF(EE115=0,0,IF(EF115=0,0,IF(EE115&gt;AA115,0,IF(AND(AZ115&gt;AW115,AW115&gt;0),0,IF(CU115=0,0,Summary!AD418)))))</f>
        <v>0</v>
      </c>
      <c r="CE115" s="756">
        <f>IF(EF115=0,0,IF(EE115&gt;AA115,0,IF(CC115=0,0,IF(AND(AZ115&gt;AW115,AW115&gt;0),0,IF(CU115=0,0,Summary!AE418)))))</f>
        <v>0</v>
      </c>
      <c r="CF115" s="475">
        <f t="shared" si="124"/>
        <v>0</v>
      </c>
      <c r="CG115" s="476">
        <f t="shared" si="89"/>
        <v>0</v>
      </c>
      <c r="CH115" s="487">
        <f t="shared" si="125"/>
        <v>0</v>
      </c>
      <c r="CI115" s="756">
        <f t="shared" si="126"/>
        <v>0</v>
      </c>
      <c r="CJ115" s="487">
        <f>IF(CT115&gt;0.4,0,IF(AND(AU115=2,CH115=0,CT115=0.5,ER115=100),35,IF(AND(AU115=3,BB115&gt;75,CH115=0,CT115=0.5,ER115=100),25,IF(CB115&gt;1,0,IF(EF115&gt;EE115,0,IF(AND(AF115&gt;1,CH115=100),0,IF(AND(AF115=1,AY115=0),0,IF(AND(EF115&lt;=EE115,AW115&gt;=AZ115,'Data Entry'!$C$74=1,AU115=2),VLOOKUP(W115,$DO$96:$DP$102,2,FALSE),IF(AND(EF115&lt;=EE115,AW115&gt;=AZ115,AU115=3,'Data Entry'!$C$74=1),VLOOKUP(W115,$DO$127:$DP$134,2,FALSE))))))))))</f>
        <v>0</v>
      </c>
      <c r="CK115" s="716">
        <f t="shared" si="127"/>
        <v>0</v>
      </c>
      <c r="CL115" s="57">
        <f t="shared" si="128"/>
        <v>0</v>
      </c>
      <c r="CM115" s="475">
        <f t="shared" si="154"/>
        <v>0</v>
      </c>
      <c r="CN115" s="660">
        <f>IF(CM115&lt;0.1,0,IF(ISNA(AT115),0,IF(CL115+BC115=1,0,IF(BV115&gt;0.01,0,IF(CL115&gt;0.01,0,IF(CF115=1,0,IF(BC115=0.5,0,IF(AND(CI115=1,AU115=3),0,IF(AND(CI115=5,CL115=0),0,IF(AND(R115=12,BR115=50),0,IF(CK115&gt;0.01,0,IF(AND(AJ115&gt;0.01,AU115=2,BC115=15),CM115*0.1,IF(AND(AJ115&gt;0.01,AU115=3,BC115=15),CM115*0.08,IF(AND(R115=12,BC115=3,AF115&lt;=0),0,IF(AND(BC115=15,BI115=0),0,IF(AND(BC115=15,BJ115=0),0,IF(AND(R115=20,CU115=0),0,IF($X$4=0,0,IF(AND(BC115=250,CL115=0),0,IF(AA115&lt;1,0,IF(AND(ISNUMBER(SEARCH("Area",T115)),AU115=3),0,IF(AND(AQ115&gt;0.01,AR115=0,BK115=0,BL115=0,BM115=0,BN115=0),0,IF(AND(AU115=3,CI115=7,CT115&gt;0.5),0,IF(AND(BC115=44,AU115=3,BY115=0),0,IF(AND(BC115=27,'Data Entry'!$C$74=2),0,IF(AND(BC115=28,'Data Entry'!$C$74=2),0,IF(AND(BY115+BZ115+CA115&gt;0.01,BV115=0,EQ115+ER115+ES115+ET115&lt;100),0,IF(AU115=3,CM115*0.08,IF(AU115=2,CM115*0.1,0)))))))))))))))))))))))))))))</f>
        <v>0</v>
      </c>
      <c r="CO115" s="660">
        <f t="shared" si="129"/>
        <v>0</v>
      </c>
      <c r="CP115" s="475" t="str">
        <f t="shared" si="130"/>
        <v/>
      </c>
      <c r="CQ115" s="161" t="str">
        <f>IF(AH115=0,0,IF(AU115=5,0,Summary!AC118))</f>
        <v/>
      </c>
      <c r="CR115" s="161" t="str">
        <f>IF(BF115=0.5,0,IF(AU115=5,0,Summary!AD118))</f>
        <v/>
      </c>
      <c r="CS115" s="161" t="str">
        <f>IF(AU115=5,0,Summary!AE118)</f>
        <v/>
      </c>
      <c r="CT115" s="161">
        <f t="shared" si="131"/>
        <v>0</v>
      </c>
      <c r="CU115" s="475" t="str">
        <f t="shared" si="132"/>
        <v/>
      </c>
      <c r="CV115" s="307">
        <f>IF('Data Entry'!$C$74=0,0,IF(AA115&lt;1,0,IF(ISERROR(CU115),0,IF(CF115=1,0,IF(AND(R115=12,BR115=50),0,IF(CL115+BO115+BV115+DC115=0,0,IF(BC115=37,0,IF(AND(BC115=40,AJ115=0),0,IF(AND(BC115=37,BO115&gt;0.01,BQ115&gt;0.01),ROUND(BQ115,0),IF(CM115&lt;0,0,ROUND(CM115,0)))))))))))</f>
        <v>0</v>
      </c>
      <c r="CW115" s="700">
        <f t="shared" si="133"/>
        <v>0</v>
      </c>
      <c r="CX115" s="477">
        <f>IF('Data Entry'!$C$74=0,0,IF(CV115&lt;0.01,0,IF(BF115=0.5,0,IF(CF115=1,0,IF(ISNUMBER(SEARCH("false",CL115)),0,IF(AZ115=500,0,CL115))))))</f>
        <v>0</v>
      </c>
      <c r="CY115" s="147" t="e">
        <f t="shared" si="134"/>
        <v>#VALUE!</v>
      </c>
      <c r="CZ115" s="147" t="b">
        <f>IF(CN115+CL115=0,FALSE,IF(AH115=0,0,IF(AND('Data Entry'!$C$74=1,CR115&gt;=1),TRUE,IF(AND('Data Entry'!$C$74=2,CS115&gt;=1),TRUE,FALSE))))</f>
        <v>0</v>
      </c>
      <c r="DA115" s="1751">
        <f>IF('Data Entry'!$C$74=0,0,IFERROR(ROUND(IF(T115="","",IF($X$4=0,0,IF(CF115=1,0,IF(BQ115+CV115=0,0,IF(CF115=1,0,IF(CY115&gt;0.01,CY115,IF(CL115&gt;0.01,CL115,IF(CY115&gt;0.01,CY115,IF(BC115=37,BO115,IF(CZ115=FALSE,0,IF(CZ115=TRUE,DC115+DF115,0))))))))))),2),""))</f>
        <v>0</v>
      </c>
      <c r="DB115" s="1752"/>
      <c r="DC115" s="474">
        <f>IF(CN115&lt;0.01,0,IF(AND(BR115=3,CN115&gt;0.01,CT115&gt;0.6,ER115+ES115+ET115&lt;100),0,IF(AND('Data Entry'!$C$74=1,CN115&gt;0.01,CR115&gt;0.99),MIN(CN115:CO115),IF(AND('Data Entry'!$C$74=2,CN115&gt;0.01,CS115&gt;0.99),MIN(CN115:CO115),0))))</f>
        <v>0</v>
      </c>
      <c r="DD115" s="478">
        <f>IF(CF115=1,"Selection does not match",IF(T115=0,0,IF(AND('Data Entry'!$C$74=0,CP115&gt;1),"Select Oregon or Idaho on Data Entry Tab",IF(AND(AU115=1,AA115&gt;0.9),"Missing Interior or Exterior Selection",IF($X$4=0,"Enter Total Project Cost",IF(AQ115&lt;AR115,"Insufficient kWh savings – no incentive",IF(AND(SUM(CL115+CK115+BV115)&gt;0.01,'Data Entry'!$C$74=2,CJ115&gt;1,BO115=0),"Submit Control as Non-Standard",IF(AND('Data Entry'!$C$74=2,BR115=37,CJ115&gt;1,BO115=0),"Submit Control as Non-Standard",IF(SUM(CL115+CK115+BV115)&gt;0.01,"Standard Incentive",IF(AND('Data Entry'!$C$74=2,CP115=7,CN115=0),"Submit as Non-Standard",IF(DC115&gt;0.9,"Non-Standard Incentive",IF(AND(BY115+BZ115+CA115&gt;0.01,BV115=0,EQ115=0,ER115=0,ES115=0,ET115=0),"Scroll Right &amp; Select Control Strategies",IF(AND(CN115&gt;0.01,CO115=0),"Enter Unit Installed Cost",IF(ISNUMBER(SEARCH("Lighting Controls Only",F115)),"Lighting Controls Only",IF(CL115+DC115=0,"Does not meet incentive criteria",0)))))))))))))))</f>
        <v>0</v>
      </c>
      <c r="DE115" s="337">
        <f t="shared" si="135"/>
        <v>0</v>
      </c>
      <c r="DF115" s="609">
        <f t="shared" si="136"/>
        <v>0</v>
      </c>
      <c r="DG115" s="336" t="str">
        <f t="shared" si="137"/>
        <v/>
      </c>
      <c r="DH115" s="338">
        <f t="shared" si="138"/>
        <v>1</v>
      </c>
      <c r="DI115" s="336" t="e">
        <f t="shared" si="90"/>
        <v>#VALUE!</v>
      </c>
      <c r="DJ115" s="338">
        <f t="shared" si="91"/>
        <v>0</v>
      </c>
      <c r="DK115" s="326" t="s">
        <v>506</v>
      </c>
      <c r="DL115" s="341">
        <v>95</v>
      </c>
      <c r="DM115" s="328" t="s">
        <v>426</v>
      </c>
      <c r="DN115" s="1439"/>
      <c r="DO115" s="376" t="s">
        <v>1745</v>
      </c>
      <c r="DP115" s="1444" t="s">
        <v>1780</v>
      </c>
      <c r="DQ115" s="934">
        <v>49</v>
      </c>
      <c r="DR115" s="357"/>
      <c r="DS115" s="1195">
        <f t="shared" si="139"/>
        <v>0</v>
      </c>
      <c r="DT115" s="344" t="b">
        <f t="shared" si="140"/>
        <v>1</v>
      </c>
      <c r="DU115" s="1314" t="str">
        <f t="array" ref="DU115">IF(OR(COUNTIF(F115,"*"&amp;$DK$9:$DK$178&amp;"*")), "Yes", "")</f>
        <v/>
      </c>
      <c r="DV115" s="1314">
        <f t="shared" si="141"/>
        <v>0</v>
      </c>
      <c r="DW115" s="1480">
        <f t="shared" si="142"/>
        <v>0</v>
      </c>
      <c r="DX115" s="1498">
        <f t="shared" si="151"/>
        <v>0</v>
      </c>
      <c r="DY115" s="1484">
        <f t="shared" si="143"/>
        <v>0</v>
      </c>
      <c r="DZ115" s="331"/>
      <c r="EA115" s="392"/>
      <c r="EB115" s="1499" t="s">
        <v>468</v>
      </c>
      <c r="EC115" s="727" t="s">
        <v>1568</v>
      </c>
      <c r="ED115" s="728">
        <v>0.5</v>
      </c>
      <c r="EE115" s="1215"/>
      <c r="EF115" s="1215"/>
      <c r="EG115" s="1184" t="str">
        <f t="shared" si="144"/>
        <v/>
      </c>
      <c r="EH115" s="55"/>
      <c r="EI115" s="55"/>
      <c r="EJ115" s="1185">
        <f t="shared" si="92"/>
        <v>0</v>
      </c>
      <c r="EK115" s="1211"/>
      <c r="EL115" s="1180">
        <f t="shared" si="93"/>
        <v>0</v>
      </c>
      <c r="EM115" s="206"/>
      <c r="EN115" s="1038"/>
      <c r="EO115" s="1038"/>
      <c r="EP115" s="1038"/>
      <c r="EQ115" s="1038">
        <f t="shared" si="145"/>
        <v>0</v>
      </c>
      <c r="ER115" s="1041">
        <f t="shared" si="146"/>
        <v>0</v>
      </c>
      <c r="ES115" s="1042">
        <f t="shared" si="147"/>
        <v>0</v>
      </c>
      <c r="ET115" s="1042">
        <f t="shared" si="152"/>
        <v>0</v>
      </c>
      <c r="EU115" s="1021">
        <f t="shared" si="153"/>
        <v>0</v>
      </c>
      <c r="EV115" s="368"/>
      <c r="EW115" s="368"/>
      <c r="EX115" s="369"/>
      <c r="EY115" s="370"/>
      <c r="EZ115" s="370"/>
      <c r="FA115" s="371"/>
      <c r="FB115" s="372"/>
    </row>
    <row r="116" spans="1:158" ht="34.5" customHeight="1">
      <c r="A116" s="82">
        <v>108</v>
      </c>
      <c r="B116" s="1725"/>
      <c r="C116" s="1726"/>
      <c r="D116" s="1726"/>
      <c r="E116" s="1727"/>
      <c r="F116" s="1732"/>
      <c r="G116" s="1733"/>
      <c r="H116" s="1733"/>
      <c r="I116" s="1734"/>
      <c r="J116" s="1341"/>
      <c r="K116" s="1728"/>
      <c r="L116" s="1728"/>
      <c r="M116" s="1342"/>
      <c r="N116" s="1583"/>
      <c r="O116" s="208" t="str">
        <f t="shared" si="80"/>
        <v/>
      </c>
      <c r="P116" s="785"/>
      <c r="Q116" s="39" t="str">
        <f t="shared" si="81"/>
        <v/>
      </c>
      <c r="R116" s="39">
        <f t="shared" si="94"/>
        <v>0</v>
      </c>
      <c r="S116" s="234">
        <f t="shared" si="95"/>
        <v>0</v>
      </c>
      <c r="T116" s="1755"/>
      <c r="U116" s="1755"/>
      <c r="V116" s="1755"/>
      <c r="W116" s="1345"/>
      <c r="X116" s="1741"/>
      <c r="Y116" s="1742"/>
      <c r="Z116" s="1346"/>
      <c r="AA116" s="1343"/>
      <c r="AB116" s="1141"/>
      <c r="AC116" s="1103" t="str">
        <f>IF(T116="","",VLOOKUP(Z116,Lists!$A$60:$B$111,2,FALSE))</f>
        <v/>
      </c>
      <c r="AD116" s="130" t="str">
        <f t="shared" si="96"/>
        <v/>
      </c>
      <c r="AE116" s="130" t="e">
        <f t="shared" si="97"/>
        <v>#VALUE!</v>
      </c>
      <c r="AF116" s="130">
        <f t="shared" si="98"/>
        <v>1</v>
      </c>
      <c r="AG116" s="234">
        <f t="shared" si="82"/>
        <v>0</v>
      </c>
      <c r="AH116" s="1753" t="str">
        <f>IF(T116="","",(IF(ISNUMBER(SEARCH("exit",T116)),8760,IF(AND(M116="Dusk to Dawn",'Proposed Lighting'!AU116=3),4059,IF(AND(AU116=3,M116="1"),0,IF(AND(AU116=3,M116="1-C"),0,IF(AND(AU116=3,M116="2"),0,IF(AND(AU116=3,M116="2-C"),0,IF(AND(AU116=3,M116="3"),0,IF(AND(AU116=3,M116="3-C"),0,IF(AND(AU116=2,M116="Dusk to Dawn"),0,IF(AND(AU116=2,M116="Dusk to Dawn-C"),0,IF(AND(AU116=2,M116="Dusk to Dawn"),0,IF(AND(AU116=2,M116="E"),0,IF(AND(AU116=2,M116="E-C"),0,EG116)))))))))))))))</f>
        <v/>
      </c>
      <c r="AI116" s="1754"/>
      <c r="AJ116" s="1136"/>
      <c r="AK116" s="1136"/>
      <c r="AL116" s="1748">
        <f t="shared" si="99"/>
        <v>0</v>
      </c>
      <c r="AM116" s="1749"/>
      <c r="AN116" s="1750"/>
      <c r="AO116" s="476">
        <f t="shared" si="83"/>
        <v>0</v>
      </c>
      <c r="AP116" s="476">
        <f t="shared" si="100"/>
        <v>0</v>
      </c>
      <c r="AQ116" s="475">
        <f t="shared" si="84"/>
        <v>0</v>
      </c>
      <c r="AR116" s="475">
        <f t="shared" si="101"/>
        <v>0</v>
      </c>
      <c r="AS116" s="743" t="str">
        <f t="shared" si="156"/>
        <v/>
      </c>
      <c r="AT116" s="736" t="str">
        <f t="shared" si="102"/>
        <v/>
      </c>
      <c r="AU116" s="56">
        <f t="shared" si="103"/>
        <v>1</v>
      </c>
      <c r="AV116" s="476">
        <f t="shared" si="104"/>
        <v>0</v>
      </c>
      <c r="AW116" s="56">
        <f t="shared" si="105"/>
        <v>0</v>
      </c>
      <c r="AX116" s="475">
        <f t="shared" si="85"/>
        <v>0</v>
      </c>
      <c r="AY116" s="1169">
        <f t="shared" si="106"/>
        <v>0</v>
      </c>
      <c r="AZ116" s="1150">
        <f t="shared" si="148"/>
        <v>0</v>
      </c>
      <c r="BA116" s="56">
        <f t="shared" si="86"/>
        <v>0</v>
      </c>
      <c r="BB116" s="420">
        <f t="shared" si="87"/>
        <v>0</v>
      </c>
      <c r="BC116" s="58" t="str">
        <f t="shared" si="88"/>
        <v/>
      </c>
      <c r="BD116" s="660">
        <f t="shared" si="149"/>
        <v>0</v>
      </c>
      <c r="BE116" s="57" t="e">
        <f t="array" ref="BE116">INDEX($EB$11:$ED$1022,MATCH(F116&amp;T116,$EB$11:$EB$1007&amp;$EC$11:$EC$1007,0),3)</f>
        <v>#N/A</v>
      </c>
      <c r="BF116" s="463">
        <f t="shared" si="157"/>
        <v>0</v>
      </c>
      <c r="BG116" s="1445" t="e">
        <f t="array" ref="BG116">INDEX($DO$112:$DQ$123,MATCH(T116&amp;W116,$DO$114:$DO$125&amp;$DP$112:$DP$123,0),3)</f>
        <v>#N/A</v>
      </c>
      <c r="BH116" s="1446">
        <f t="shared" si="108"/>
        <v>0</v>
      </c>
      <c r="BI116" s="465">
        <f t="shared" si="109"/>
        <v>0</v>
      </c>
      <c r="BJ116" s="465">
        <f t="shared" si="110"/>
        <v>0</v>
      </c>
      <c r="BK116" s="466">
        <f t="shared" si="158"/>
        <v>0</v>
      </c>
      <c r="BL116" s="466">
        <f t="shared" si="159"/>
        <v>0</v>
      </c>
      <c r="BM116" s="466">
        <f t="shared" si="113"/>
        <v>0</v>
      </c>
      <c r="BN116" s="466">
        <f t="shared" si="114"/>
        <v>0</v>
      </c>
      <c r="BO116" s="463">
        <f>IF('Data Entry'!$C$74=0,0,IF(ISNA(CJ116),0,IF(AX116=0,0,IF(AND('Data Entry'!$C$74=2,AF116&gt;2,CE116&lt;1),0,IF(AND('Data Entry'!$C$74=2,AF116&gt;1,AU116=2,CJ116&gt;1),0,IF(AND(AF116=5,CT116=0.5,AU116=2,ER116&lt;100),0,IF(AND(AF116=5,CT116=0.5,AU116=3,ER116&lt;100),0,IF(AND('Data Entry'!$C$74=2,AF116=2,AU116=2,AK116&gt;0.01,CB116=2,CE116&lt;1),0,IF(AND('Data Entry'!$C$74=2,AF116=3,AU116=3,AK116&gt;0.01,CB116=3,CE116&lt;1),0,IF(AND('Data Entry'!$C$74=2,AF116=3,AU116=3,AK116&gt;0.01,CB116=3,CE116&gt;0.99),BQ116*0.08,IF(AND('Data Entry'!$C$74=2,AF116=2,AU116=2,AK116&gt;0.01,CB116=2,CE116&gt;0.99),BQ116*0.1,IF(AND(AU116=2,AK116&gt;0.01,CB116=2,CD116&gt;1),BQ116*0.1,IF(AND(AU116=3,AK116&gt;0.01,CB116=3,CD116&gt;1),BQ116*0.08,CJ116*EF116)))))))))))))</f>
        <v>0</v>
      </c>
      <c r="BP116" s="475">
        <f t="shared" si="115"/>
        <v>0</v>
      </c>
      <c r="BQ116" s="1431">
        <f>IF(AU116=1,0,IF(CH116=100,0,IF(AND(AF116=3,AU116=2),0,IF(AND(BH116=0,CT116&gt;0.4),0,IF(AND('Data Entry'!$C$74=2,AF116=1.5),0,IF(AND('Data Entry'!$C$74=2,AF116=1.6),0,IF(AND('Data Entry'!$C$74=2,AF116=4),0,IF(AND('Data Entry'!$C$74=2,AF116=5),0,IF(AND('Data Entry'!$C$74=2,AF116=2.5,CE116&lt;1),0,IF(AND('Data Entry'!$C$74=2,AF116=3,CE116&lt;1),0,IF(AND('Data Entry'!$C$74=1,AF116=2.5,CD116&lt;1),0,IF(AND('Data Entry'!$C$74=1,AF116=3,CD116&lt;1),0,IF(DX116&gt;0.01,DX116,IF(ISERROR(AX116-AY116),"",ROUND(AX116-AY116,2)))))))))))))))</f>
        <v>0</v>
      </c>
      <c r="BR116" s="146">
        <f t="shared" si="116"/>
        <v>0</v>
      </c>
      <c r="BS116" s="475">
        <f t="shared" si="117"/>
        <v>0</v>
      </c>
      <c r="BT116" s="146" t="b">
        <f t="shared" si="118"/>
        <v>0</v>
      </c>
      <c r="BU116" s="463">
        <f>IF(ISNA(AT116),0,IF(AND('Data Entry'!$C$74=2,BC116=27),0,IF(AND('Data Entry'!$C$74=2,BC116=28),0,IF(AND(BC116=27,BT116=27,CM116&gt;0.1),CM116*0.15,IF(AND(BC116=28,BT116=28,CM116&gt;0.1),CM116*0.12,0)))))</f>
        <v>0</v>
      </c>
      <c r="BV116" s="463">
        <f t="shared" si="155"/>
        <v>0</v>
      </c>
      <c r="BW116" s="463">
        <f t="shared" si="119"/>
        <v>0</v>
      </c>
      <c r="BX116" s="463">
        <f t="shared" si="120"/>
        <v>0</v>
      </c>
      <c r="BY116" s="463">
        <f t="shared" si="121"/>
        <v>0</v>
      </c>
      <c r="BZ116" s="463">
        <f t="shared" si="122"/>
        <v>0</v>
      </c>
      <c r="CA116" s="57">
        <f t="shared" si="150"/>
        <v>0</v>
      </c>
      <c r="CB116" s="56">
        <f t="shared" si="123"/>
        <v>1</v>
      </c>
      <c r="CC116" s="756">
        <f>IF(EE116=0,0,IF(EF116=0,0,IF(EE116&gt;AA116,0,IF(AND(AZ116&gt;AW116,AW116&gt;0),0,IF(CU116=0,0,Summary!AC419)))))</f>
        <v>0</v>
      </c>
      <c r="CD116" s="756">
        <f>IF(EE116=0,0,IF(EF116=0,0,IF(EE116&gt;AA116,0,IF(AND(AZ116&gt;AW116,AW116&gt;0),0,IF(CU116=0,0,Summary!AD419)))))</f>
        <v>0</v>
      </c>
      <c r="CE116" s="756">
        <f>IF(EF116=0,0,IF(EE116&gt;AA116,0,IF(CC116=0,0,IF(AND(AZ116&gt;AW116,AW116&gt;0),0,IF(CU116=0,0,Summary!AE419)))))</f>
        <v>0</v>
      </c>
      <c r="CF116" s="475">
        <f t="shared" si="124"/>
        <v>0</v>
      </c>
      <c r="CG116" s="476">
        <f t="shared" si="89"/>
        <v>0</v>
      </c>
      <c r="CH116" s="487">
        <f t="shared" si="125"/>
        <v>0</v>
      </c>
      <c r="CI116" s="756">
        <f t="shared" si="126"/>
        <v>0</v>
      </c>
      <c r="CJ116" s="487">
        <f>IF(CT116&gt;0.4,0,IF(AND(AU116=2,CH116=0,CT116=0.5,ER116=100),35,IF(AND(AU116=3,BB116&gt;75,CH116=0,CT116=0.5,ER116=100),25,IF(CB116&gt;1,0,IF(EF116&gt;EE116,0,IF(AND(AF116&gt;1,CH116=100),0,IF(AND(AF116=1,AY116=0),0,IF(AND(EF116&lt;=EE116,AW116&gt;=AZ116,'Data Entry'!$C$74=1,AU116=2),VLOOKUP(W116,$DO$96:$DP$102,2,FALSE),IF(AND(EF116&lt;=EE116,AW116&gt;=AZ116,AU116=3,'Data Entry'!$C$74=1),VLOOKUP(W116,$DO$127:$DP$134,2,FALSE))))))))))</f>
        <v>0</v>
      </c>
      <c r="CK116" s="716">
        <f t="shared" si="127"/>
        <v>0</v>
      </c>
      <c r="CL116" s="57">
        <f t="shared" si="128"/>
        <v>0</v>
      </c>
      <c r="CM116" s="475">
        <f t="shared" si="154"/>
        <v>0</v>
      </c>
      <c r="CN116" s="660">
        <f>IF(CM116&lt;0.1,0,IF(ISNA(AT116),0,IF(CL116+BC116=1,0,IF(BV116&gt;0.01,0,IF(CL116&gt;0.01,0,IF(CF116=1,0,IF(BC116=0.5,0,IF(AND(CI116=1,AU116=3),0,IF(AND(CI116=5,CL116=0),0,IF(AND(R116=12,BR116=50),0,IF(CK116&gt;0.01,0,IF(AND(AJ116&gt;0.01,AU116=2,BC116=15),CM116*0.1,IF(AND(AJ116&gt;0.01,AU116=3,BC116=15),CM116*0.08,IF(AND(R116=12,BC116=3,AF116&lt;=0),0,IF(AND(BC116=15,BI116=0),0,IF(AND(BC116=15,BJ116=0),0,IF(AND(R116=20,CU116=0),0,IF($X$4=0,0,IF(AND(BC116=250,CL116=0),0,IF(AA116&lt;1,0,IF(AND(ISNUMBER(SEARCH("Area",T116)),AU116=3),0,IF(AND(AQ116&gt;0.01,AR116=0,BK116=0,BL116=0,BM116=0,BN116=0),0,IF(AND(AU116=3,CI116=7,CT116&gt;0.5),0,IF(AND(BC116=44,AU116=3,BY116=0),0,IF(AND(BC116=27,'Data Entry'!$C$74=2),0,IF(AND(BC116=28,'Data Entry'!$C$74=2),0,IF(AND(BY116+BZ116+CA116&gt;0.01,BV116=0,EQ116+ER116+ES116+ET116&lt;100),0,IF(AU116=3,CM116*0.08,IF(AU116=2,CM116*0.1,0)))))))))))))))))))))))))))))</f>
        <v>0</v>
      </c>
      <c r="CO116" s="660">
        <f t="shared" si="129"/>
        <v>0</v>
      </c>
      <c r="CP116" s="475" t="str">
        <f t="shared" si="130"/>
        <v/>
      </c>
      <c r="CQ116" s="161" t="str">
        <f>IF(AH116=0,0,IF(AU116=5,0,Summary!AC119))</f>
        <v/>
      </c>
      <c r="CR116" s="161" t="str">
        <f>IF(BF116=0.5,0,IF(AU116=5,0,Summary!AD119))</f>
        <v/>
      </c>
      <c r="CS116" s="161" t="str">
        <f>IF(AU116=5,0,Summary!AE119)</f>
        <v/>
      </c>
      <c r="CT116" s="161">
        <f t="shared" si="131"/>
        <v>0</v>
      </c>
      <c r="CU116" s="475" t="str">
        <f t="shared" si="132"/>
        <v/>
      </c>
      <c r="CV116" s="307">
        <f>IF('Data Entry'!$C$74=0,0,IF(AA116&lt;1,0,IF(ISERROR(CU116),0,IF(CF116=1,0,IF(AND(R116=12,BR116=50),0,IF(CL116+BO116+BV116+DC116=0,0,IF(BC116=37,0,IF(AND(BC116=40,AJ116=0),0,IF(AND(BC116=37,BO116&gt;0.01,BQ116&gt;0.01),ROUND(BQ116,0),IF(CM116&lt;0,0,ROUND(CM116,0)))))))))))</f>
        <v>0</v>
      </c>
      <c r="CW116" s="700">
        <f t="shared" si="133"/>
        <v>0</v>
      </c>
      <c r="CX116" s="477">
        <f>IF('Data Entry'!$C$74=0,0,IF(CV116&lt;0.01,0,IF(BF116=0.5,0,IF(CF116=1,0,IF(ISNUMBER(SEARCH("false",CL116)),0,IF(AZ116=500,0,CL116))))))</f>
        <v>0</v>
      </c>
      <c r="CY116" s="147" t="e">
        <f t="shared" si="134"/>
        <v>#VALUE!</v>
      </c>
      <c r="CZ116" s="147" t="b">
        <f>IF(CN116+CL116=0,FALSE,IF(AH116=0,0,IF(AND('Data Entry'!$C$74=1,CR116&gt;=1),TRUE,IF(AND('Data Entry'!$C$74=2,CS116&gt;=1),TRUE,FALSE))))</f>
        <v>0</v>
      </c>
      <c r="DA116" s="1751">
        <f>IF('Data Entry'!$C$74=0,0,IFERROR(ROUND(IF(T116="","",IF($X$4=0,0,IF(CF116=1,0,IF(BQ116+CV116=0,0,IF(CF116=1,0,IF(CY116&gt;0.01,CY116,IF(CL116&gt;0.01,CL116,IF(CY116&gt;0.01,CY116,IF(BC116=37,BO116,IF(CZ116=FALSE,0,IF(CZ116=TRUE,DC116+DF116,0))))))))))),2),""))</f>
        <v>0</v>
      </c>
      <c r="DB116" s="1752"/>
      <c r="DC116" s="474">
        <f>IF(CN116&lt;0.01,0,IF(AND(BR116=3,CN116&gt;0.01,CT116&gt;0.6,ER116+ES116+ET116&lt;100),0,IF(AND('Data Entry'!$C$74=1,CN116&gt;0.01,CR116&gt;0.99),MIN(CN116:CO116),IF(AND('Data Entry'!$C$74=2,CN116&gt;0.01,CS116&gt;0.99),MIN(CN116:CO116),0))))</f>
        <v>0</v>
      </c>
      <c r="DD116" s="478">
        <f>IF(CF116=1,"Selection does not match",IF(T116=0,0,IF(AND('Data Entry'!$C$74=0,CP116&gt;1),"Select Oregon or Idaho on Data Entry Tab",IF(AND(AU116=1,AA116&gt;0.9),"Missing Interior or Exterior Selection",IF($X$4=0,"Enter Total Project Cost",IF(AQ116&lt;AR116,"Insufficient kWh savings – no incentive",IF(AND(SUM(CL116+CK116+BV116)&gt;0.01,'Data Entry'!$C$74=2,CJ116&gt;1,BO116=0),"Submit Control as Non-Standard",IF(AND('Data Entry'!$C$74=2,BR116=37,CJ116&gt;1,BO116=0),"Submit Control as Non-Standard",IF(SUM(CL116+CK116+BV116)&gt;0.01,"Standard Incentive",IF(AND('Data Entry'!$C$74=2,CP116=7,CN116=0),"Submit as Non-Standard",IF(DC116&gt;0.9,"Non-Standard Incentive",IF(AND(BY116+BZ116+CA116&gt;0.01,BV116=0,EQ116=0,ER116=0,ES116=0,ET116=0),"Scroll Right &amp; Select Control Strategies",IF(AND(CN116&gt;0.01,CO116=0),"Enter Unit Installed Cost",IF(ISNUMBER(SEARCH("Lighting Controls Only",F116)),"Lighting Controls Only",IF(CL116+DC116=0,"Does not meet incentive criteria",0)))))))))))))))</f>
        <v>0</v>
      </c>
      <c r="DE116" s="337">
        <f t="shared" si="135"/>
        <v>0</v>
      </c>
      <c r="DF116" s="609">
        <f t="shared" si="136"/>
        <v>0</v>
      </c>
      <c r="DG116" s="336" t="str">
        <f t="shared" si="137"/>
        <v/>
      </c>
      <c r="DH116" s="338">
        <f t="shared" si="138"/>
        <v>1</v>
      </c>
      <c r="DI116" s="336" t="e">
        <f t="shared" si="90"/>
        <v>#VALUE!</v>
      </c>
      <c r="DJ116" s="338">
        <f t="shared" si="91"/>
        <v>0</v>
      </c>
      <c r="DK116" s="373" t="s">
        <v>508</v>
      </c>
      <c r="DL116" s="323">
        <v>167</v>
      </c>
      <c r="DM116" s="362" t="s">
        <v>73</v>
      </c>
      <c r="DN116" s="1439"/>
      <c r="DO116" s="376" t="s">
        <v>1745</v>
      </c>
      <c r="DP116" s="1444" t="s">
        <v>1572</v>
      </c>
      <c r="DQ116" s="704">
        <v>22</v>
      </c>
      <c r="DR116" s="357"/>
      <c r="DS116" s="1195">
        <f t="shared" si="139"/>
        <v>0</v>
      </c>
      <c r="DT116" s="344" t="b">
        <f t="shared" si="140"/>
        <v>1</v>
      </c>
      <c r="DU116" s="1314" t="str">
        <f t="array" ref="DU116">IF(OR(COUNTIF(F116,"*"&amp;$DK$9:$DK$178&amp;"*")), "Yes", "")</f>
        <v/>
      </c>
      <c r="DV116" s="1314">
        <f t="shared" si="141"/>
        <v>0</v>
      </c>
      <c r="DW116" s="1480">
        <f t="shared" si="142"/>
        <v>0</v>
      </c>
      <c r="DX116" s="1498">
        <f t="shared" si="151"/>
        <v>0</v>
      </c>
      <c r="DY116" s="1484">
        <f t="shared" si="143"/>
        <v>0</v>
      </c>
      <c r="DZ116" s="331"/>
      <c r="EA116" s="392"/>
      <c r="EB116" s="1499" t="s">
        <v>469</v>
      </c>
      <c r="EC116" s="727" t="s">
        <v>1568</v>
      </c>
      <c r="ED116" s="728">
        <v>0.5</v>
      </c>
      <c r="EE116" s="1215"/>
      <c r="EF116" s="1215"/>
      <c r="EG116" s="1184" t="str">
        <f t="shared" si="144"/>
        <v/>
      </c>
      <c r="EH116" s="55"/>
      <c r="EI116" s="55"/>
      <c r="EJ116" s="1185">
        <f t="shared" si="92"/>
        <v>0</v>
      </c>
      <c r="EK116" s="1211"/>
      <c r="EL116" s="1180">
        <f t="shared" si="93"/>
        <v>0</v>
      </c>
      <c r="EM116" s="206"/>
      <c r="EN116" s="1038"/>
      <c r="EO116" s="1038"/>
      <c r="EP116" s="1038"/>
      <c r="EQ116" s="1038">
        <f t="shared" si="145"/>
        <v>0</v>
      </c>
      <c r="ER116" s="1041">
        <f t="shared" si="146"/>
        <v>0</v>
      </c>
      <c r="ES116" s="1042">
        <f t="shared" si="147"/>
        <v>0</v>
      </c>
      <c r="ET116" s="1042">
        <f t="shared" si="152"/>
        <v>0</v>
      </c>
      <c r="EU116" s="1021">
        <f t="shared" si="153"/>
        <v>0</v>
      </c>
      <c r="EV116" s="368"/>
      <c r="EW116" s="368"/>
      <c r="EX116" s="369"/>
      <c r="EY116" s="370"/>
      <c r="EZ116" s="370"/>
      <c r="FA116" s="371"/>
      <c r="FB116" s="372"/>
    </row>
    <row r="117" spans="1:158" ht="34.5" customHeight="1">
      <c r="A117" s="82">
        <v>109</v>
      </c>
      <c r="B117" s="1725"/>
      <c r="C117" s="1726"/>
      <c r="D117" s="1726"/>
      <c r="E117" s="1727"/>
      <c r="F117" s="1732"/>
      <c r="G117" s="1733"/>
      <c r="H117" s="1733"/>
      <c r="I117" s="1734"/>
      <c r="J117" s="1341"/>
      <c r="K117" s="1728"/>
      <c r="L117" s="1728"/>
      <c r="M117" s="1342"/>
      <c r="N117" s="1583"/>
      <c r="O117" s="208" t="str">
        <f t="shared" si="80"/>
        <v/>
      </c>
      <c r="P117" s="785"/>
      <c r="Q117" s="39" t="str">
        <f t="shared" si="81"/>
        <v/>
      </c>
      <c r="R117" s="39">
        <f t="shared" si="94"/>
        <v>0</v>
      </c>
      <c r="S117" s="234">
        <f t="shared" si="95"/>
        <v>0</v>
      </c>
      <c r="T117" s="1755"/>
      <c r="U117" s="1755"/>
      <c r="V117" s="1755"/>
      <c r="W117" s="1345"/>
      <c r="X117" s="1741"/>
      <c r="Y117" s="1742"/>
      <c r="Z117" s="1346"/>
      <c r="AA117" s="1343"/>
      <c r="AB117" s="1141"/>
      <c r="AC117" s="1103" t="str">
        <f>IF(T117="","",VLOOKUP(Z117,Lists!$A$60:$B$111,2,FALSE))</f>
        <v/>
      </c>
      <c r="AD117" s="130" t="str">
        <f t="shared" si="96"/>
        <v/>
      </c>
      <c r="AE117" s="130" t="e">
        <f t="shared" si="97"/>
        <v>#VALUE!</v>
      </c>
      <c r="AF117" s="130">
        <f t="shared" si="98"/>
        <v>1</v>
      </c>
      <c r="AG117" s="234">
        <f t="shared" si="82"/>
        <v>0</v>
      </c>
      <c r="AH117" s="1753" t="str">
        <f>IF(T117="","",(IF(ISNUMBER(SEARCH("exit",T117)),8760,IF(AND(M117="Dusk to Dawn",'Proposed Lighting'!AU117=3),4059,IF(AND(AU117=3,M117="1"),0,IF(AND(AU117=3,M117="1-C"),0,IF(AND(AU117=3,M117="2"),0,IF(AND(AU117=3,M117="2-C"),0,IF(AND(AU117=3,M117="3"),0,IF(AND(AU117=3,M117="3-C"),0,IF(AND(AU117=2,M117="Dusk to Dawn"),0,IF(AND(AU117=2,M117="Dusk to Dawn-C"),0,IF(AND(AU117=2,M117="Dusk to Dawn"),0,IF(AND(AU117=2,M117="E"),0,IF(AND(AU117=2,M117="E-C"),0,EG117)))))))))))))))</f>
        <v/>
      </c>
      <c r="AI117" s="1754"/>
      <c r="AJ117" s="1136"/>
      <c r="AK117" s="1136"/>
      <c r="AL117" s="1748">
        <f t="shared" si="99"/>
        <v>0</v>
      </c>
      <c r="AM117" s="1749"/>
      <c r="AN117" s="1750"/>
      <c r="AO117" s="476">
        <f t="shared" si="83"/>
        <v>0</v>
      </c>
      <c r="AP117" s="476">
        <f t="shared" si="100"/>
        <v>0</v>
      </c>
      <c r="AQ117" s="475">
        <f t="shared" si="84"/>
        <v>0</v>
      </c>
      <c r="AR117" s="475">
        <f t="shared" si="101"/>
        <v>0</v>
      </c>
      <c r="AS117" s="743" t="str">
        <f t="shared" si="156"/>
        <v/>
      </c>
      <c r="AT117" s="736" t="str">
        <f t="shared" si="102"/>
        <v/>
      </c>
      <c r="AU117" s="56">
        <f t="shared" si="103"/>
        <v>1</v>
      </c>
      <c r="AV117" s="476">
        <f t="shared" si="104"/>
        <v>0</v>
      </c>
      <c r="AW117" s="56">
        <f t="shared" si="105"/>
        <v>0</v>
      </c>
      <c r="AX117" s="475">
        <f t="shared" si="85"/>
        <v>0</v>
      </c>
      <c r="AY117" s="1169">
        <f t="shared" si="106"/>
        <v>0</v>
      </c>
      <c r="AZ117" s="1150">
        <f t="shared" si="148"/>
        <v>0</v>
      </c>
      <c r="BA117" s="56">
        <f t="shared" si="86"/>
        <v>0</v>
      </c>
      <c r="BB117" s="420">
        <f t="shared" si="87"/>
        <v>0</v>
      </c>
      <c r="BC117" s="58" t="str">
        <f t="shared" si="88"/>
        <v/>
      </c>
      <c r="BD117" s="660">
        <f t="shared" si="149"/>
        <v>0</v>
      </c>
      <c r="BE117" s="57" t="e">
        <f t="array" ref="BE117">INDEX($EB$11:$ED$1022,MATCH(F117&amp;T117,$EB$11:$EB$1007&amp;$EC$11:$EC$1007,0),3)</f>
        <v>#N/A</v>
      </c>
      <c r="BF117" s="463">
        <f t="shared" si="157"/>
        <v>0</v>
      </c>
      <c r="BG117" s="1445" t="e">
        <f t="array" ref="BG117">INDEX($DO$112:$DQ$123,MATCH(T117&amp;W117,$DO$114:$DO$125&amp;$DP$112:$DP$123,0),3)</f>
        <v>#N/A</v>
      </c>
      <c r="BH117" s="1446">
        <f t="shared" si="108"/>
        <v>0</v>
      </c>
      <c r="BI117" s="465">
        <f t="shared" si="109"/>
        <v>0</v>
      </c>
      <c r="BJ117" s="465">
        <f t="shared" si="110"/>
        <v>0</v>
      </c>
      <c r="BK117" s="466">
        <f t="shared" si="158"/>
        <v>0</v>
      </c>
      <c r="BL117" s="466">
        <f t="shared" si="159"/>
        <v>0</v>
      </c>
      <c r="BM117" s="466">
        <f t="shared" si="113"/>
        <v>0</v>
      </c>
      <c r="BN117" s="466">
        <f t="shared" si="114"/>
        <v>0</v>
      </c>
      <c r="BO117" s="463">
        <f>IF('Data Entry'!$C$74=0,0,IF(ISNA(CJ117),0,IF(AX117=0,0,IF(AND('Data Entry'!$C$74=2,AF117&gt;2,CE117&lt;1),0,IF(AND('Data Entry'!$C$74=2,AF117&gt;1,AU117=2,CJ117&gt;1),0,IF(AND(AF117=5,CT117=0.5,AU117=2,ER117&lt;100),0,IF(AND(AF117=5,CT117=0.5,AU117=3,ER117&lt;100),0,IF(AND('Data Entry'!$C$74=2,AF117=2,AU117=2,AK117&gt;0.01,CB117=2,CE117&lt;1),0,IF(AND('Data Entry'!$C$74=2,AF117=3,AU117=3,AK117&gt;0.01,CB117=3,CE117&lt;1),0,IF(AND('Data Entry'!$C$74=2,AF117=3,AU117=3,AK117&gt;0.01,CB117=3,CE117&gt;0.99),BQ117*0.08,IF(AND('Data Entry'!$C$74=2,AF117=2,AU117=2,AK117&gt;0.01,CB117=2,CE117&gt;0.99),BQ117*0.1,IF(AND(AU117=2,AK117&gt;0.01,CB117=2,CD117&gt;1),BQ117*0.1,IF(AND(AU117=3,AK117&gt;0.01,CB117=3,CD117&gt;1),BQ117*0.08,CJ117*EF117)))))))))))))</f>
        <v>0</v>
      </c>
      <c r="BP117" s="475">
        <f t="shared" si="115"/>
        <v>0</v>
      </c>
      <c r="BQ117" s="1431">
        <f>IF(AU117=1,0,IF(CH117=100,0,IF(AND(AF117=3,AU117=2),0,IF(AND(BH117=0,CT117&gt;0.4),0,IF(AND('Data Entry'!$C$74=2,AF117=1.5),0,IF(AND('Data Entry'!$C$74=2,AF117=1.6),0,IF(AND('Data Entry'!$C$74=2,AF117=4),0,IF(AND('Data Entry'!$C$74=2,AF117=5),0,IF(AND('Data Entry'!$C$74=2,AF117=2.5,CE117&lt;1),0,IF(AND('Data Entry'!$C$74=2,AF117=3,CE117&lt;1),0,IF(AND('Data Entry'!$C$74=1,AF117=2.5,CD117&lt;1),0,IF(AND('Data Entry'!$C$74=1,AF117=3,CD117&lt;1),0,IF(DX117&gt;0.01,DX117,IF(ISERROR(AX117-AY117),"",ROUND(AX117-AY117,2)))))))))))))))</f>
        <v>0</v>
      </c>
      <c r="BR117" s="146">
        <f t="shared" si="116"/>
        <v>0</v>
      </c>
      <c r="BS117" s="475">
        <f t="shared" si="117"/>
        <v>0</v>
      </c>
      <c r="BT117" s="146" t="b">
        <f t="shared" si="118"/>
        <v>0</v>
      </c>
      <c r="BU117" s="463">
        <f>IF(ISNA(AT117),0,IF(AND('Data Entry'!$C$74=2,BC117=27),0,IF(AND('Data Entry'!$C$74=2,BC117=28),0,IF(AND(BC117=27,BT117=27,CM117&gt;0.1),CM117*0.15,IF(AND(BC117=28,BT117=28,CM117&gt;0.1),CM117*0.12,0)))))</f>
        <v>0</v>
      </c>
      <c r="BV117" s="463">
        <f t="shared" si="155"/>
        <v>0</v>
      </c>
      <c r="BW117" s="463">
        <f t="shared" si="119"/>
        <v>0</v>
      </c>
      <c r="BX117" s="463">
        <f t="shared" si="120"/>
        <v>0</v>
      </c>
      <c r="BY117" s="463">
        <f t="shared" si="121"/>
        <v>0</v>
      </c>
      <c r="BZ117" s="463">
        <f t="shared" si="122"/>
        <v>0</v>
      </c>
      <c r="CA117" s="57">
        <f t="shared" si="150"/>
        <v>0</v>
      </c>
      <c r="CB117" s="56">
        <f t="shared" si="123"/>
        <v>1</v>
      </c>
      <c r="CC117" s="756">
        <f>IF(EE117=0,0,IF(EF117=0,0,IF(EE117&gt;AA117,0,IF(AND(AZ117&gt;AW117,AW117&gt;0),0,IF(CU117=0,0,Summary!AC420)))))</f>
        <v>0</v>
      </c>
      <c r="CD117" s="756">
        <f>IF(EE117=0,0,IF(EF117=0,0,IF(EE117&gt;AA117,0,IF(AND(AZ117&gt;AW117,AW117&gt;0),0,IF(CU117=0,0,Summary!AD420)))))</f>
        <v>0</v>
      </c>
      <c r="CE117" s="756">
        <f>IF(EF117=0,0,IF(EE117&gt;AA117,0,IF(CC117=0,0,IF(AND(AZ117&gt;AW117,AW117&gt;0),0,IF(CU117=0,0,Summary!AE420)))))</f>
        <v>0</v>
      </c>
      <c r="CF117" s="475">
        <f t="shared" si="124"/>
        <v>0</v>
      </c>
      <c r="CG117" s="476">
        <f t="shared" si="89"/>
        <v>0</v>
      </c>
      <c r="CH117" s="487">
        <f t="shared" si="125"/>
        <v>0</v>
      </c>
      <c r="CI117" s="756">
        <f t="shared" si="126"/>
        <v>0</v>
      </c>
      <c r="CJ117" s="487">
        <f>IF(CT117&gt;0.4,0,IF(AND(AU117=2,CH117=0,CT117=0.5,ER117=100),35,IF(AND(AU117=3,BB117&gt;75,CH117=0,CT117=0.5,ER117=100),25,IF(CB117&gt;1,0,IF(EF117&gt;EE117,0,IF(AND(AF117&gt;1,CH117=100),0,IF(AND(AF117=1,AY117=0),0,IF(AND(EF117&lt;=EE117,AW117&gt;=AZ117,'Data Entry'!$C$74=1,AU117=2),VLOOKUP(W117,$DO$96:$DP$102,2,FALSE),IF(AND(EF117&lt;=EE117,AW117&gt;=AZ117,AU117=3,'Data Entry'!$C$74=1),VLOOKUP(W117,$DO$127:$DP$134,2,FALSE))))))))))</f>
        <v>0</v>
      </c>
      <c r="CK117" s="716">
        <f t="shared" si="127"/>
        <v>0</v>
      </c>
      <c r="CL117" s="57">
        <f t="shared" si="128"/>
        <v>0</v>
      </c>
      <c r="CM117" s="475">
        <f t="shared" si="154"/>
        <v>0</v>
      </c>
      <c r="CN117" s="660">
        <f>IF(CM117&lt;0.1,0,IF(ISNA(AT117),0,IF(CL117+BC117=1,0,IF(BV117&gt;0.01,0,IF(CL117&gt;0.01,0,IF(CF117=1,0,IF(BC117=0.5,0,IF(AND(CI117=1,AU117=3),0,IF(AND(CI117=5,CL117=0),0,IF(AND(R117=12,BR117=50),0,IF(CK117&gt;0.01,0,IF(AND(AJ117&gt;0.01,AU117=2,BC117=15),CM117*0.1,IF(AND(AJ117&gt;0.01,AU117=3,BC117=15),CM117*0.08,IF(AND(R117=12,BC117=3,AF117&lt;=0),0,IF(AND(BC117=15,BI117=0),0,IF(AND(BC117=15,BJ117=0),0,IF(AND(R117=20,CU117=0),0,IF($X$4=0,0,IF(AND(BC117=250,CL117=0),0,IF(AA117&lt;1,0,IF(AND(ISNUMBER(SEARCH("Area",T117)),AU117=3),0,IF(AND(AQ117&gt;0.01,AR117=0,BK117=0,BL117=0,BM117=0,BN117=0),0,IF(AND(AU117=3,CI117=7,CT117&gt;0.5),0,IF(AND(BC117=44,AU117=3,BY117=0),0,IF(AND(BC117=27,'Data Entry'!$C$74=2),0,IF(AND(BC117=28,'Data Entry'!$C$74=2),0,IF(AND(BY117+BZ117+CA117&gt;0.01,BV117=0,EQ117+ER117+ES117+ET117&lt;100),0,IF(AU117=3,CM117*0.08,IF(AU117=2,CM117*0.1,0)))))))))))))))))))))))))))))</f>
        <v>0</v>
      </c>
      <c r="CO117" s="660">
        <f t="shared" si="129"/>
        <v>0</v>
      </c>
      <c r="CP117" s="475" t="str">
        <f t="shared" si="130"/>
        <v/>
      </c>
      <c r="CQ117" s="161" t="str">
        <f>IF(AH117=0,0,IF(AU117=5,0,Summary!AC120))</f>
        <v/>
      </c>
      <c r="CR117" s="161" t="str">
        <f>IF(BF117=0.5,0,IF(AU117=5,0,Summary!AD120))</f>
        <v/>
      </c>
      <c r="CS117" s="161" t="str">
        <f>IF(AU117=5,0,Summary!AE120)</f>
        <v/>
      </c>
      <c r="CT117" s="161">
        <f t="shared" si="131"/>
        <v>0</v>
      </c>
      <c r="CU117" s="475" t="str">
        <f t="shared" si="132"/>
        <v/>
      </c>
      <c r="CV117" s="307">
        <f>IF('Data Entry'!$C$74=0,0,IF(AA117&lt;1,0,IF(ISERROR(CU117),0,IF(CF117=1,0,IF(AND(R117=12,BR117=50),0,IF(CL117+BO117+BV117+DC117=0,0,IF(BC117=37,0,IF(AND(BC117=40,AJ117=0),0,IF(AND(BC117=37,BO117&gt;0.01,BQ117&gt;0.01),ROUND(BQ117,0),IF(CM117&lt;0,0,ROUND(CM117,0)))))))))))</f>
        <v>0</v>
      </c>
      <c r="CW117" s="700">
        <f t="shared" si="133"/>
        <v>0</v>
      </c>
      <c r="CX117" s="477">
        <f>IF('Data Entry'!$C$74=0,0,IF(CV117&lt;0.01,0,IF(BF117=0.5,0,IF(CF117=1,0,IF(ISNUMBER(SEARCH("false",CL117)),0,IF(AZ117=500,0,CL117))))))</f>
        <v>0</v>
      </c>
      <c r="CY117" s="147" t="e">
        <f t="shared" si="134"/>
        <v>#VALUE!</v>
      </c>
      <c r="CZ117" s="147" t="b">
        <f>IF(CN117+CL117=0,FALSE,IF(AH117=0,0,IF(AND('Data Entry'!$C$74=1,CR117&gt;=1),TRUE,IF(AND('Data Entry'!$C$74=2,CS117&gt;=1),TRUE,FALSE))))</f>
        <v>0</v>
      </c>
      <c r="DA117" s="1751">
        <f>IF('Data Entry'!$C$74=0,0,IFERROR(ROUND(IF(T117="","",IF($X$4=0,0,IF(CF117=1,0,IF(BQ117+CV117=0,0,IF(CF117=1,0,IF(CY117&gt;0.01,CY117,IF(CL117&gt;0.01,CL117,IF(CY117&gt;0.01,CY117,IF(BC117=37,BO117,IF(CZ117=FALSE,0,IF(CZ117=TRUE,DC117+DF117,0))))))))))),2),""))</f>
        <v>0</v>
      </c>
      <c r="DB117" s="1752"/>
      <c r="DC117" s="474">
        <f>IF(CN117&lt;0.01,0,IF(AND(BR117=3,CN117&gt;0.01,CT117&gt;0.6,ER117+ES117+ET117&lt;100),0,IF(AND('Data Entry'!$C$74=1,CN117&gt;0.01,CR117&gt;0.99),MIN(CN117:CO117),IF(AND('Data Entry'!$C$74=2,CN117&gt;0.01,CS117&gt;0.99),MIN(CN117:CO117),0))))</f>
        <v>0</v>
      </c>
      <c r="DD117" s="478">
        <f>IF(CF117=1,"Selection does not match",IF(T117=0,0,IF(AND('Data Entry'!$C$74=0,CP117&gt;1),"Select Oregon or Idaho on Data Entry Tab",IF(AND(AU117=1,AA117&gt;0.9),"Missing Interior or Exterior Selection",IF($X$4=0,"Enter Total Project Cost",IF(AQ117&lt;AR117,"Insufficient kWh savings – no incentive",IF(AND(SUM(CL117+CK117+BV117)&gt;0.01,'Data Entry'!$C$74=2,CJ117&gt;1,BO117=0),"Submit Control as Non-Standard",IF(AND('Data Entry'!$C$74=2,BR117=37,CJ117&gt;1,BO117=0),"Submit Control as Non-Standard",IF(SUM(CL117+CK117+BV117)&gt;0.01,"Standard Incentive",IF(AND('Data Entry'!$C$74=2,CP117=7,CN117=0),"Submit as Non-Standard",IF(DC117&gt;0.9,"Non-Standard Incentive",IF(AND(BY117+BZ117+CA117&gt;0.01,BV117=0,EQ117=0,ER117=0,ES117=0,ET117=0),"Scroll Right &amp; Select Control Strategies",IF(AND(CN117&gt;0.01,CO117=0),"Enter Unit Installed Cost",IF(ISNUMBER(SEARCH("Lighting Controls Only",F117)),"Lighting Controls Only",IF(CL117+DC117=0,"Does not meet incentive criteria",0)))))))))))))))</f>
        <v>0</v>
      </c>
      <c r="DE117" s="337">
        <f t="shared" si="135"/>
        <v>0</v>
      </c>
      <c r="DF117" s="609">
        <f t="shared" si="136"/>
        <v>0</v>
      </c>
      <c r="DG117" s="336" t="str">
        <f t="shared" si="137"/>
        <v/>
      </c>
      <c r="DH117" s="338">
        <f t="shared" si="138"/>
        <v>1</v>
      </c>
      <c r="DI117" s="336" t="e">
        <f t="shared" si="90"/>
        <v>#VALUE!</v>
      </c>
      <c r="DJ117" s="338">
        <f t="shared" si="91"/>
        <v>0</v>
      </c>
      <c r="DK117" s="325" t="s">
        <v>507</v>
      </c>
      <c r="DL117" s="341">
        <v>161</v>
      </c>
      <c r="DM117" s="325" t="s">
        <v>1287</v>
      </c>
      <c r="DN117" s="1439"/>
      <c r="DO117" s="376" t="s">
        <v>1745</v>
      </c>
      <c r="DP117" s="1444" t="s">
        <v>1535</v>
      </c>
      <c r="DQ117" s="704">
        <v>23</v>
      </c>
      <c r="DR117" s="357"/>
      <c r="DS117" s="1195">
        <f t="shared" si="139"/>
        <v>0</v>
      </c>
      <c r="DT117" s="344" t="b">
        <f t="shared" si="140"/>
        <v>1</v>
      </c>
      <c r="DU117" s="1314" t="str">
        <f t="array" ref="DU117">IF(OR(COUNTIF(F117,"*"&amp;$DK$9:$DK$178&amp;"*")), "Yes", "")</f>
        <v/>
      </c>
      <c r="DV117" s="1314">
        <f t="shared" si="141"/>
        <v>0</v>
      </c>
      <c r="DW117" s="1480">
        <f t="shared" si="142"/>
        <v>0</v>
      </c>
      <c r="DX117" s="1498">
        <f t="shared" si="151"/>
        <v>0</v>
      </c>
      <c r="DY117" s="1484">
        <f t="shared" si="143"/>
        <v>0</v>
      </c>
      <c r="DZ117" s="331"/>
      <c r="EA117" s="392"/>
      <c r="EB117" s="1499" t="s">
        <v>775</v>
      </c>
      <c r="EC117" s="727" t="s">
        <v>1568</v>
      </c>
      <c r="ED117" s="728">
        <v>0.5</v>
      </c>
      <c r="EE117" s="1215"/>
      <c r="EF117" s="1215"/>
      <c r="EG117" s="1184" t="str">
        <f t="shared" si="144"/>
        <v/>
      </c>
      <c r="EH117" s="55"/>
      <c r="EI117" s="55"/>
      <c r="EJ117" s="1185">
        <f t="shared" si="92"/>
        <v>0</v>
      </c>
      <c r="EK117" s="1211"/>
      <c r="EL117" s="1180">
        <f t="shared" si="93"/>
        <v>0</v>
      </c>
      <c r="EM117" s="206"/>
      <c r="EN117" s="1038"/>
      <c r="EO117" s="1038"/>
      <c r="EP117" s="1038"/>
      <c r="EQ117" s="1038">
        <f t="shared" si="145"/>
        <v>0</v>
      </c>
      <c r="ER117" s="1041">
        <f t="shared" si="146"/>
        <v>0</v>
      </c>
      <c r="ES117" s="1042">
        <f t="shared" si="147"/>
        <v>0</v>
      </c>
      <c r="ET117" s="1042">
        <f t="shared" si="152"/>
        <v>0</v>
      </c>
      <c r="EU117" s="1021">
        <f t="shared" si="153"/>
        <v>0</v>
      </c>
      <c r="EV117" s="368"/>
      <c r="EW117" s="368"/>
      <c r="EX117" s="369"/>
      <c r="EY117" s="370"/>
      <c r="EZ117" s="370"/>
      <c r="FA117" s="371"/>
      <c r="FB117" s="372"/>
    </row>
    <row r="118" spans="1:158" ht="34.5" customHeight="1">
      <c r="A118" s="82">
        <v>110</v>
      </c>
      <c r="B118" s="1725"/>
      <c r="C118" s="1726"/>
      <c r="D118" s="1726"/>
      <c r="E118" s="1727"/>
      <c r="F118" s="1732"/>
      <c r="G118" s="1733"/>
      <c r="H118" s="1733"/>
      <c r="I118" s="1734"/>
      <c r="J118" s="1341"/>
      <c r="K118" s="1728"/>
      <c r="L118" s="1728"/>
      <c r="M118" s="1342"/>
      <c r="N118" s="1583"/>
      <c r="O118" s="208" t="str">
        <f t="shared" si="80"/>
        <v/>
      </c>
      <c r="P118" s="785"/>
      <c r="Q118" s="39" t="str">
        <f t="shared" si="81"/>
        <v/>
      </c>
      <c r="R118" s="39">
        <f t="shared" si="94"/>
        <v>0</v>
      </c>
      <c r="S118" s="234">
        <f t="shared" si="95"/>
        <v>0</v>
      </c>
      <c r="T118" s="1755"/>
      <c r="U118" s="1755"/>
      <c r="V118" s="1755"/>
      <c r="W118" s="1345"/>
      <c r="X118" s="1741"/>
      <c r="Y118" s="1742"/>
      <c r="Z118" s="1346"/>
      <c r="AA118" s="1343"/>
      <c r="AB118" s="1141"/>
      <c r="AC118" s="1103" t="str">
        <f>IF(T118="","",VLOOKUP(Z118,Lists!$A$60:$B$111,2,FALSE))</f>
        <v/>
      </c>
      <c r="AD118" s="130" t="str">
        <f t="shared" si="96"/>
        <v/>
      </c>
      <c r="AE118" s="130" t="e">
        <f t="shared" si="97"/>
        <v>#VALUE!</v>
      </c>
      <c r="AF118" s="130">
        <f t="shared" si="98"/>
        <v>1</v>
      </c>
      <c r="AG118" s="234">
        <f t="shared" si="82"/>
        <v>0</v>
      </c>
      <c r="AH118" s="1753" t="str">
        <f>IF(T118="","",(IF(ISNUMBER(SEARCH("exit",T118)),8760,IF(AND(M118="Dusk to Dawn",'Proposed Lighting'!AU118=3),4059,IF(AND(AU118=3,M118="1"),0,IF(AND(AU118=3,M118="1-C"),0,IF(AND(AU118=3,M118="2"),0,IF(AND(AU118=3,M118="2-C"),0,IF(AND(AU118=3,M118="3"),0,IF(AND(AU118=3,M118="3-C"),0,IF(AND(AU118=2,M118="Dusk to Dawn"),0,IF(AND(AU118=2,M118="Dusk to Dawn-C"),0,IF(AND(AU118=2,M118="Dusk to Dawn"),0,IF(AND(AU118=2,M118="E"),0,IF(AND(AU118=2,M118="E-C"),0,EG118)))))))))))))))</f>
        <v/>
      </c>
      <c r="AI118" s="1754"/>
      <c r="AJ118" s="1136"/>
      <c r="AK118" s="1136"/>
      <c r="AL118" s="1748">
        <f t="shared" si="99"/>
        <v>0</v>
      </c>
      <c r="AM118" s="1749"/>
      <c r="AN118" s="1750"/>
      <c r="AO118" s="476">
        <f t="shared" si="83"/>
        <v>0</v>
      </c>
      <c r="AP118" s="476">
        <f t="shared" si="100"/>
        <v>0</v>
      </c>
      <c r="AQ118" s="475">
        <f t="shared" si="84"/>
        <v>0</v>
      </c>
      <c r="AR118" s="475">
        <f t="shared" si="101"/>
        <v>0</v>
      </c>
      <c r="AS118" s="743" t="str">
        <f t="shared" si="156"/>
        <v/>
      </c>
      <c r="AT118" s="736" t="str">
        <f t="shared" si="102"/>
        <v/>
      </c>
      <c r="AU118" s="56">
        <f t="shared" si="103"/>
        <v>1</v>
      </c>
      <c r="AV118" s="476">
        <f t="shared" si="104"/>
        <v>0</v>
      </c>
      <c r="AW118" s="56">
        <f t="shared" si="105"/>
        <v>0</v>
      </c>
      <c r="AX118" s="475">
        <f t="shared" si="85"/>
        <v>0</v>
      </c>
      <c r="AY118" s="1169">
        <f t="shared" si="106"/>
        <v>0</v>
      </c>
      <c r="AZ118" s="1150">
        <f t="shared" si="148"/>
        <v>0</v>
      </c>
      <c r="BA118" s="56">
        <f t="shared" si="86"/>
        <v>0</v>
      </c>
      <c r="BB118" s="420">
        <f t="shared" si="87"/>
        <v>0</v>
      </c>
      <c r="BC118" s="58" t="str">
        <f t="shared" si="88"/>
        <v/>
      </c>
      <c r="BD118" s="660">
        <f t="shared" si="149"/>
        <v>0</v>
      </c>
      <c r="BE118" s="57" t="e">
        <f t="array" ref="BE118">INDEX($EB$11:$ED$1022,MATCH(F118&amp;T118,$EB$11:$EB$1007&amp;$EC$11:$EC$1007,0),3)</f>
        <v>#N/A</v>
      </c>
      <c r="BF118" s="463">
        <f t="shared" si="157"/>
        <v>0</v>
      </c>
      <c r="BG118" s="1445" t="e">
        <f t="array" ref="BG118">INDEX($DO$112:$DQ$123,MATCH(T118&amp;W118,$DO$114:$DO$125&amp;$DP$112:$DP$123,0),3)</f>
        <v>#N/A</v>
      </c>
      <c r="BH118" s="1446">
        <f t="shared" si="108"/>
        <v>0</v>
      </c>
      <c r="BI118" s="465">
        <f t="shared" si="109"/>
        <v>0</v>
      </c>
      <c r="BJ118" s="465">
        <f t="shared" si="110"/>
        <v>0</v>
      </c>
      <c r="BK118" s="466">
        <f t="shared" si="158"/>
        <v>0</v>
      </c>
      <c r="BL118" s="466">
        <f t="shared" si="159"/>
        <v>0</v>
      </c>
      <c r="BM118" s="466">
        <f t="shared" si="113"/>
        <v>0</v>
      </c>
      <c r="BN118" s="466">
        <f t="shared" si="114"/>
        <v>0</v>
      </c>
      <c r="BO118" s="463">
        <f>IF('Data Entry'!$C$74=0,0,IF(ISNA(CJ118),0,IF(AX118=0,0,IF(AND('Data Entry'!$C$74=2,AF118&gt;2,CE118&lt;1),0,IF(AND('Data Entry'!$C$74=2,AF118&gt;1,AU118=2,CJ118&gt;1),0,IF(AND(AF118=5,CT118=0.5,AU118=2,ER118&lt;100),0,IF(AND(AF118=5,CT118=0.5,AU118=3,ER118&lt;100),0,IF(AND('Data Entry'!$C$74=2,AF118=2,AU118=2,AK118&gt;0.01,CB118=2,CE118&lt;1),0,IF(AND('Data Entry'!$C$74=2,AF118=3,AU118=3,AK118&gt;0.01,CB118=3,CE118&lt;1),0,IF(AND('Data Entry'!$C$74=2,AF118=3,AU118=3,AK118&gt;0.01,CB118=3,CE118&gt;0.99),BQ118*0.08,IF(AND('Data Entry'!$C$74=2,AF118=2,AU118=2,AK118&gt;0.01,CB118=2,CE118&gt;0.99),BQ118*0.1,IF(AND(AU118=2,AK118&gt;0.01,CB118=2,CD118&gt;1),BQ118*0.1,IF(AND(AU118=3,AK118&gt;0.01,CB118=3,CD118&gt;1),BQ118*0.08,CJ118*EF118)))))))))))))</f>
        <v>0</v>
      </c>
      <c r="BP118" s="475">
        <f t="shared" si="115"/>
        <v>0</v>
      </c>
      <c r="BQ118" s="1431">
        <f>IF(AU118=1,0,IF(CH118=100,0,IF(AND(AF118=3,AU118=2),0,IF(AND(BH118=0,CT118&gt;0.4),0,IF(AND('Data Entry'!$C$74=2,AF118=1.5),0,IF(AND('Data Entry'!$C$74=2,AF118=1.6),0,IF(AND('Data Entry'!$C$74=2,AF118=4),0,IF(AND('Data Entry'!$C$74=2,AF118=5),0,IF(AND('Data Entry'!$C$74=2,AF118=2.5,CE118&lt;1),0,IF(AND('Data Entry'!$C$74=2,AF118=3,CE118&lt;1),0,IF(AND('Data Entry'!$C$74=1,AF118=2.5,CD118&lt;1),0,IF(AND('Data Entry'!$C$74=1,AF118=3,CD118&lt;1),0,IF(DX118&gt;0.01,DX118,IF(ISERROR(AX118-AY118),"",ROUND(AX118-AY118,2)))))))))))))))</f>
        <v>0</v>
      </c>
      <c r="BR118" s="146">
        <f t="shared" si="116"/>
        <v>0</v>
      </c>
      <c r="BS118" s="475">
        <f t="shared" si="117"/>
        <v>0</v>
      </c>
      <c r="BT118" s="146" t="b">
        <f t="shared" si="118"/>
        <v>0</v>
      </c>
      <c r="BU118" s="463">
        <f>IF(ISNA(AT118),0,IF(AND('Data Entry'!$C$74=2,BC118=27),0,IF(AND('Data Entry'!$C$74=2,BC118=28),0,IF(AND(BC118=27,BT118=27,CM118&gt;0.1),CM118*0.15,IF(AND(BC118=28,BT118=28,CM118&gt;0.1),CM118*0.12,0)))))</f>
        <v>0</v>
      </c>
      <c r="BV118" s="463">
        <f t="shared" si="155"/>
        <v>0</v>
      </c>
      <c r="BW118" s="463">
        <f t="shared" si="119"/>
        <v>0</v>
      </c>
      <c r="BX118" s="463">
        <f t="shared" si="120"/>
        <v>0</v>
      </c>
      <c r="BY118" s="463">
        <f t="shared" si="121"/>
        <v>0</v>
      </c>
      <c r="BZ118" s="463">
        <f t="shared" si="122"/>
        <v>0</v>
      </c>
      <c r="CA118" s="57">
        <f t="shared" si="150"/>
        <v>0</v>
      </c>
      <c r="CB118" s="56">
        <f t="shared" si="123"/>
        <v>1</v>
      </c>
      <c r="CC118" s="756">
        <f>IF(EE118=0,0,IF(EF118=0,0,IF(EE118&gt;AA118,0,IF(AND(AZ118&gt;AW118,AW118&gt;0),0,IF(CU118=0,0,Summary!AC421)))))</f>
        <v>0</v>
      </c>
      <c r="CD118" s="756">
        <f>IF(EE118=0,0,IF(EF118=0,0,IF(EE118&gt;AA118,0,IF(AND(AZ118&gt;AW118,AW118&gt;0),0,IF(CU118=0,0,Summary!AD421)))))</f>
        <v>0</v>
      </c>
      <c r="CE118" s="756">
        <f>IF(EF118=0,0,IF(EE118&gt;AA118,0,IF(CC118=0,0,IF(AND(AZ118&gt;AW118,AW118&gt;0),0,IF(CU118=0,0,Summary!AE421)))))</f>
        <v>0</v>
      </c>
      <c r="CF118" s="475">
        <f t="shared" si="124"/>
        <v>0</v>
      </c>
      <c r="CG118" s="476">
        <f t="shared" si="89"/>
        <v>0</v>
      </c>
      <c r="CH118" s="487">
        <f t="shared" si="125"/>
        <v>0</v>
      </c>
      <c r="CI118" s="756">
        <f t="shared" si="126"/>
        <v>0</v>
      </c>
      <c r="CJ118" s="487">
        <f>IF(CT118&gt;0.4,0,IF(AND(AU118=2,CH118=0,CT118=0.5,ER118=100),35,IF(AND(AU118=3,BB118&gt;75,CH118=0,CT118=0.5,ER118=100),25,IF(CB118&gt;1,0,IF(EF118&gt;EE118,0,IF(AND(AF118&gt;1,CH118=100),0,IF(AND(AF118=1,AY118=0),0,IF(AND(EF118&lt;=EE118,AW118&gt;=AZ118,'Data Entry'!$C$74=1,AU118=2),VLOOKUP(W118,$DO$96:$DP$102,2,FALSE),IF(AND(EF118&lt;=EE118,AW118&gt;=AZ118,AU118=3,'Data Entry'!$C$74=1),VLOOKUP(W118,$DO$127:$DP$134,2,FALSE))))))))))</f>
        <v>0</v>
      </c>
      <c r="CK118" s="716">
        <f t="shared" si="127"/>
        <v>0</v>
      </c>
      <c r="CL118" s="57">
        <f t="shared" si="128"/>
        <v>0</v>
      </c>
      <c r="CM118" s="475">
        <f t="shared" si="154"/>
        <v>0</v>
      </c>
      <c r="CN118" s="660">
        <f>IF(CM118&lt;0.1,0,IF(ISNA(AT118),0,IF(CL118+BC118=1,0,IF(BV118&gt;0.01,0,IF(CL118&gt;0.01,0,IF(CF118=1,0,IF(BC118=0.5,0,IF(AND(CI118=1,AU118=3),0,IF(AND(CI118=5,CL118=0),0,IF(AND(R118=12,BR118=50),0,IF(CK118&gt;0.01,0,IF(AND(AJ118&gt;0.01,AU118=2,BC118=15),CM118*0.1,IF(AND(AJ118&gt;0.01,AU118=3,BC118=15),CM118*0.08,IF(AND(R118=12,BC118=3,AF118&lt;=0),0,IF(AND(BC118=15,BI118=0),0,IF(AND(BC118=15,BJ118=0),0,IF(AND(R118=20,CU118=0),0,IF($X$4=0,0,IF(AND(BC118=250,CL118=0),0,IF(AA118&lt;1,0,IF(AND(ISNUMBER(SEARCH("Area",T118)),AU118=3),0,IF(AND(AQ118&gt;0.01,AR118=0,BK118=0,BL118=0,BM118=0,BN118=0),0,IF(AND(AU118=3,CI118=7,CT118&gt;0.5),0,IF(AND(BC118=44,AU118=3,BY118=0),0,IF(AND(BC118=27,'Data Entry'!$C$74=2),0,IF(AND(BC118=28,'Data Entry'!$C$74=2),0,IF(AND(BY118+BZ118+CA118&gt;0.01,BV118=0,EQ118+ER118+ES118+ET118&lt;100),0,IF(AU118=3,CM118*0.08,IF(AU118=2,CM118*0.1,0)))))))))))))))))))))))))))))</f>
        <v>0</v>
      </c>
      <c r="CO118" s="660">
        <f t="shared" si="129"/>
        <v>0</v>
      </c>
      <c r="CP118" s="475" t="str">
        <f t="shared" si="130"/>
        <v/>
      </c>
      <c r="CQ118" s="161" t="str">
        <f>IF(AH118=0,0,IF(AU118=5,0,Summary!AC121))</f>
        <v/>
      </c>
      <c r="CR118" s="161" t="str">
        <f>IF(BF118=0.5,0,IF(AU118=5,0,Summary!AD121))</f>
        <v/>
      </c>
      <c r="CS118" s="161" t="str">
        <f>IF(AU118=5,0,Summary!AE121)</f>
        <v/>
      </c>
      <c r="CT118" s="161">
        <f t="shared" si="131"/>
        <v>0</v>
      </c>
      <c r="CU118" s="475" t="str">
        <f t="shared" si="132"/>
        <v/>
      </c>
      <c r="CV118" s="307">
        <f>IF('Data Entry'!$C$74=0,0,IF(AA118&lt;1,0,IF(ISERROR(CU118),0,IF(CF118=1,0,IF(AND(R118=12,BR118=50),0,IF(CL118+BO118+BV118+DC118=0,0,IF(BC118=37,0,IF(AND(BC118=40,AJ118=0),0,IF(AND(BC118=37,BO118&gt;0.01,BQ118&gt;0.01),ROUND(BQ118,0),IF(CM118&lt;0,0,ROUND(CM118,0)))))))))))</f>
        <v>0</v>
      </c>
      <c r="CW118" s="700">
        <f t="shared" si="133"/>
        <v>0</v>
      </c>
      <c r="CX118" s="477">
        <f>IF('Data Entry'!$C$74=0,0,IF(CV118&lt;0.01,0,IF(BF118=0.5,0,IF(CF118=1,0,IF(ISNUMBER(SEARCH("false",CL118)),0,IF(AZ118=500,0,CL118))))))</f>
        <v>0</v>
      </c>
      <c r="CY118" s="147" t="e">
        <f t="shared" si="134"/>
        <v>#VALUE!</v>
      </c>
      <c r="CZ118" s="147" t="b">
        <f>IF(CN118+CL118=0,FALSE,IF(AH118=0,0,IF(AND('Data Entry'!$C$74=1,CR118&gt;=1),TRUE,IF(AND('Data Entry'!$C$74=2,CS118&gt;=1),TRUE,FALSE))))</f>
        <v>0</v>
      </c>
      <c r="DA118" s="1751">
        <f>IF('Data Entry'!$C$74=0,0,IFERROR(ROUND(IF(T118="","",IF($X$4=0,0,IF(CF118=1,0,IF(BQ118+CV118=0,0,IF(CF118=1,0,IF(CY118&gt;0.01,CY118,IF(CL118&gt;0.01,CL118,IF(CY118&gt;0.01,CY118,IF(BC118=37,BO118,IF(CZ118=FALSE,0,IF(CZ118=TRUE,DC118+DF118,0))))))))))),2),""))</f>
        <v>0</v>
      </c>
      <c r="DB118" s="1752"/>
      <c r="DC118" s="474">
        <f>IF(CN118&lt;0.01,0,IF(AND(BR118=3,CN118&gt;0.01,CT118&gt;0.6,ER118+ES118+ET118&lt;100),0,IF(AND('Data Entry'!$C$74=1,CN118&gt;0.01,CR118&gt;0.99),MIN(CN118:CO118),IF(AND('Data Entry'!$C$74=2,CN118&gt;0.01,CS118&gt;0.99),MIN(CN118:CO118),0))))</f>
        <v>0</v>
      </c>
      <c r="DD118" s="478">
        <f>IF(CF118=1,"Selection does not match",IF(T118=0,0,IF(AND('Data Entry'!$C$74=0,CP118&gt;1),"Select Oregon or Idaho on Data Entry Tab",IF(AND(AU118=1,AA118&gt;0.9),"Missing Interior or Exterior Selection",IF($X$4=0,"Enter Total Project Cost",IF(AQ118&lt;AR118,"Insufficient kWh savings – no incentive",IF(AND(SUM(CL118+CK118+BV118)&gt;0.01,'Data Entry'!$C$74=2,CJ118&gt;1,BO118=0),"Submit Control as Non-Standard",IF(AND('Data Entry'!$C$74=2,BR118=37,CJ118&gt;1,BO118=0),"Submit Control as Non-Standard",IF(SUM(CL118+CK118+BV118)&gt;0.01,"Standard Incentive",IF(AND('Data Entry'!$C$74=2,CP118=7,CN118=0),"Submit as Non-Standard",IF(DC118&gt;0.9,"Non-Standard Incentive",IF(AND(BY118+BZ118+CA118&gt;0.01,BV118=0,EQ118=0,ER118=0,ES118=0,ET118=0),"Scroll Right &amp; Select Control Strategies",IF(AND(CN118&gt;0.01,CO118=0),"Enter Unit Installed Cost",IF(ISNUMBER(SEARCH("Lighting Controls Only",F118)),"Lighting Controls Only",IF(CL118+DC118=0,"Does not meet incentive criteria",0)))))))))))))))</f>
        <v>0</v>
      </c>
      <c r="DE118" s="337">
        <f t="shared" si="135"/>
        <v>0</v>
      </c>
      <c r="DF118" s="609">
        <f t="shared" si="136"/>
        <v>0</v>
      </c>
      <c r="DG118" s="336" t="str">
        <f t="shared" si="137"/>
        <v/>
      </c>
      <c r="DH118" s="338">
        <f t="shared" si="138"/>
        <v>1</v>
      </c>
      <c r="DI118" s="336" t="e">
        <f t="shared" si="90"/>
        <v>#VALUE!</v>
      </c>
      <c r="DJ118" s="338">
        <f t="shared" si="91"/>
        <v>0</v>
      </c>
      <c r="DK118" s="325" t="s">
        <v>509</v>
      </c>
      <c r="DL118" s="341">
        <v>308</v>
      </c>
      <c r="DM118" s="325" t="s">
        <v>1288</v>
      </c>
      <c r="DN118" s="1439"/>
      <c r="DO118" s="1433" t="s">
        <v>1761</v>
      </c>
      <c r="DP118" s="1444" t="s">
        <v>1488</v>
      </c>
      <c r="DQ118" s="704">
        <v>24</v>
      </c>
      <c r="DR118" s="357"/>
      <c r="DS118" s="1195">
        <f t="shared" si="139"/>
        <v>0</v>
      </c>
      <c r="DT118" s="344" t="b">
        <f t="shared" si="140"/>
        <v>1</v>
      </c>
      <c r="DU118" s="1314" t="str">
        <f t="array" ref="DU118">IF(OR(COUNTIF(F118,"*"&amp;$DK$9:$DK$178&amp;"*")), "Yes", "")</f>
        <v/>
      </c>
      <c r="DV118" s="1314">
        <f t="shared" si="141"/>
        <v>0</v>
      </c>
      <c r="DW118" s="1480">
        <f t="shared" si="142"/>
        <v>0</v>
      </c>
      <c r="DX118" s="1498">
        <f t="shared" si="151"/>
        <v>0</v>
      </c>
      <c r="DY118" s="1484">
        <f t="shared" si="143"/>
        <v>0</v>
      </c>
      <c r="DZ118" s="331"/>
      <c r="EA118" s="392"/>
      <c r="EB118" s="1499" t="s">
        <v>774</v>
      </c>
      <c r="EC118" s="727" t="s">
        <v>1568</v>
      </c>
      <c r="ED118" s="728">
        <v>0.5</v>
      </c>
      <c r="EE118" s="1215"/>
      <c r="EF118" s="1215"/>
      <c r="EG118" s="1184" t="str">
        <f t="shared" si="144"/>
        <v/>
      </c>
      <c r="EH118" s="55"/>
      <c r="EI118" s="55"/>
      <c r="EJ118" s="1185">
        <f t="shared" si="92"/>
        <v>0</v>
      </c>
      <c r="EK118" s="1211"/>
      <c r="EL118" s="1180">
        <f t="shared" si="93"/>
        <v>0</v>
      </c>
      <c r="EM118" s="206"/>
      <c r="EN118" s="1038"/>
      <c r="EO118" s="1038"/>
      <c r="EP118" s="1038"/>
      <c r="EQ118" s="1038">
        <f t="shared" si="145"/>
        <v>0</v>
      </c>
      <c r="ER118" s="1041">
        <f t="shared" si="146"/>
        <v>0</v>
      </c>
      <c r="ES118" s="1042">
        <f t="shared" si="147"/>
        <v>0</v>
      </c>
      <c r="ET118" s="1042">
        <f t="shared" si="152"/>
        <v>0</v>
      </c>
      <c r="EU118" s="1021">
        <f t="shared" si="153"/>
        <v>0</v>
      </c>
      <c r="EV118" s="368"/>
      <c r="EW118" s="368"/>
      <c r="EX118" s="369"/>
      <c r="EY118" s="370"/>
      <c r="EZ118" s="370"/>
      <c r="FA118" s="371"/>
      <c r="FB118" s="372"/>
    </row>
    <row r="119" spans="1:158" ht="34.5" customHeight="1">
      <c r="A119" s="82">
        <v>111</v>
      </c>
      <c r="B119" s="1725"/>
      <c r="C119" s="1726"/>
      <c r="D119" s="1726"/>
      <c r="E119" s="1727"/>
      <c r="F119" s="1732"/>
      <c r="G119" s="1733"/>
      <c r="H119" s="1733"/>
      <c r="I119" s="1734"/>
      <c r="J119" s="1341"/>
      <c r="K119" s="1728"/>
      <c r="L119" s="1728"/>
      <c r="M119" s="1342"/>
      <c r="N119" s="1583"/>
      <c r="O119" s="208" t="str">
        <f t="shared" si="80"/>
        <v/>
      </c>
      <c r="P119" s="785"/>
      <c r="Q119" s="39" t="str">
        <f t="shared" si="81"/>
        <v/>
      </c>
      <c r="R119" s="39">
        <f t="shared" si="94"/>
        <v>0</v>
      </c>
      <c r="S119" s="234">
        <f t="shared" si="95"/>
        <v>0</v>
      </c>
      <c r="T119" s="1755"/>
      <c r="U119" s="1755"/>
      <c r="V119" s="1755"/>
      <c r="W119" s="1345"/>
      <c r="X119" s="1741"/>
      <c r="Y119" s="1742"/>
      <c r="Z119" s="1346"/>
      <c r="AA119" s="1343"/>
      <c r="AB119" s="1141"/>
      <c r="AC119" s="1103" t="str">
        <f>IF(T119="","",VLOOKUP(Z119,Lists!$A$60:$B$111,2,FALSE))</f>
        <v/>
      </c>
      <c r="AD119" s="130" t="str">
        <f t="shared" si="96"/>
        <v/>
      </c>
      <c r="AE119" s="130" t="e">
        <f t="shared" si="97"/>
        <v>#VALUE!</v>
      </c>
      <c r="AF119" s="130">
        <f t="shared" si="98"/>
        <v>1</v>
      </c>
      <c r="AG119" s="234">
        <f t="shared" si="82"/>
        <v>0</v>
      </c>
      <c r="AH119" s="1753" t="str">
        <f>IF(T119="","",(IF(ISNUMBER(SEARCH("exit",T119)),8760,IF(AND(M119="Dusk to Dawn",'Proposed Lighting'!AU119=3),4059,IF(AND(AU119=3,M119="1"),0,IF(AND(AU119=3,M119="1-C"),0,IF(AND(AU119=3,M119="2"),0,IF(AND(AU119=3,M119="2-C"),0,IF(AND(AU119=3,M119="3"),0,IF(AND(AU119=3,M119="3-C"),0,IF(AND(AU119=2,M119="Dusk to Dawn"),0,IF(AND(AU119=2,M119="Dusk to Dawn-C"),0,IF(AND(AU119=2,M119="Dusk to Dawn"),0,IF(AND(AU119=2,M119="E"),0,IF(AND(AU119=2,M119="E-C"),0,EG119)))))))))))))))</f>
        <v/>
      </c>
      <c r="AI119" s="1754"/>
      <c r="AJ119" s="1136"/>
      <c r="AK119" s="1136"/>
      <c r="AL119" s="1748">
        <f t="shared" si="99"/>
        <v>0</v>
      </c>
      <c r="AM119" s="1749"/>
      <c r="AN119" s="1750"/>
      <c r="AO119" s="476">
        <f t="shared" si="83"/>
        <v>0</v>
      </c>
      <c r="AP119" s="476">
        <f t="shared" si="100"/>
        <v>0</v>
      </c>
      <c r="AQ119" s="475">
        <f t="shared" si="84"/>
        <v>0</v>
      </c>
      <c r="AR119" s="475">
        <f t="shared" si="101"/>
        <v>0</v>
      </c>
      <c r="AS119" s="743" t="str">
        <f t="shared" si="156"/>
        <v/>
      </c>
      <c r="AT119" s="736" t="str">
        <f t="shared" si="102"/>
        <v/>
      </c>
      <c r="AU119" s="56">
        <f t="shared" si="103"/>
        <v>1</v>
      </c>
      <c r="AV119" s="476">
        <f t="shared" si="104"/>
        <v>0</v>
      </c>
      <c r="AW119" s="56">
        <f t="shared" si="105"/>
        <v>0</v>
      </c>
      <c r="AX119" s="475">
        <f t="shared" si="85"/>
        <v>0</v>
      </c>
      <c r="AY119" s="1169">
        <f t="shared" si="106"/>
        <v>0</v>
      </c>
      <c r="AZ119" s="1150">
        <f t="shared" si="148"/>
        <v>0</v>
      </c>
      <c r="BA119" s="56">
        <f t="shared" si="86"/>
        <v>0</v>
      </c>
      <c r="BB119" s="420">
        <f t="shared" si="87"/>
        <v>0</v>
      </c>
      <c r="BC119" s="58" t="str">
        <f t="shared" si="88"/>
        <v/>
      </c>
      <c r="BD119" s="660">
        <f t="shared" si="149"/>
        <v>0</v>
      </c>
      <c r="BE119" s="57" t="e">
        <f t="array" ref="BE119">INDEX($EB$11:$ED$1022,MATCH(F119&amp;T119,$EB$11:$EB$1007&amp;$EC$11:$EC$1007,0),3)</f>
        <v>#N/A</v>
      </c>
      <c r="BF119" s="463">
        <f t="shared" si="157"/>
        <v>0</v>
      </c>
      <c r="BG119" s="1445" t="e">
        <f t="array" ref="BG119">INDEX($DO$112:$DQ$123,MATCH(T119&amp;W119,$DO$114:$DO$125&amp;$DP$112:$DP$123,0),3)</f>
        <v>#N/A</v>
      </c>
      <c r="BH119" s="1446">
        <f t="shared" si="108"/>
        <v>0</v>
      </c>
      <c r="BI119" s="465">
        <f t="shared" si="109"/>
        <v>0</v>
      </c>
      <c r="BJ119" s="465">
        <f t="shared" si="110"/>
        <v>0</v>
      </c>
      <c r="BK119" s="466">
        <f t="shared" si="158"/>
        <v>0</v>
      </c>
      <c r="BL119" s="466">
        <f t="shared" si="159"/>
        <v>0</v>
      </c>
      <c r="BM119" s="466">
        <f t="shared" si="113"/>
        <v>0</v>
      </c>
      <c r="BN119" s="466">
        <f t="shared" si="114"/>
        <v>0</v>
      </c>
      <c r="BO119" s="463">
        <f>IF('Data Entry'!$C$74=0,0,IF(ISNA(CJ119),0,IF(AX119=0,0,IF(AND('Data Entry'!$C$74=2,AF119&gt;2,CE119&lt;1),0,IF(AND('Data Entry'!$C$74=2,AF119&gt;1,AU119=2,CJ119&gt;1),0,IF(AND(AF119=5,CT119=0.5,AU119=2,ER119&lt;100),0,IF(AND(AF119=5,CT119=0.5,AU119=3,ER119&lt;100),0,IF(AND('Data Entry'!$C$74=2,AF119=2,AU119=2,AK119&gt;0.01,CB119=2,CE119&lt;1),0,IF(AND('Data Entry'!$C$74=2,AF119=3,AU119=3,AK119&gt;0.01,CB119=3,CE119&lt;1),0,IF(AND('Data Entry'!$C$74=2,AF119=3,AU119=3,AK119&gt;0.01,CB119=3,CE119&gt;0.99),BQ119*0.08,IF(AND('Data Entry'!$C$74=2,AF119=2,AU119=2,AK119&gt;0.01,CB119=2,CE119&gt;0.99),BQ119*0.1,IF(AND(AU119=2,AK119&gt;0.01,CB119=2,CD119&gt;1),BQ119*0.1,IF(AND(AU119=3,AK119&gt;0.01,CB119=3,CD119&gt;1),BQ119*0.08,CJ119*EF119)))))))))))))</f>
        <v>0</v>
      </c>
      <c r="BP119" s="475">
        <f t="shared" si="115"/>
        <v>0</v>
      </c>
      <c r="BQ119" s="1431">
        <f>IF(AU119=1,0,IF(CH119=100,0,IF(AND(AF119=3,AU119=2),0,IF(AND(BH119=0,CT119&gt;0.4),0,IF(AND('Data Entry'!$C$74=2,AF119=1.5),0,IF(AND('Data Entry'!$C$74=2,AF119=1.6),0,IF(AND('Data Entry'!$C$74=2,AF119=4),0,IF(AND('Data Entry'!$C$74=2,AF119=5),0,IF(AND('Data Entry'!$C$74=2,AF119=2.5,CE119&lt;1),0,IF(AND('Data Entry'!$C$74=2,AF119=3,CE119&lt;1),0,IF(AND('Data Entry'!$C$74=1,AF119=2.5,CD119&lt;1),0,IF(AND('Data Entry'!$C$74=1,AF119=3,CD119&lt;1),0,IF(DX119&gt;0.01,DX119,IF(ISERROR(AX119-AY119),"",ROUND(AX119-AY119,2)))))))))))))))</f>
        <v>0</v>
      </c>
      <c r="BR119" s="146">
        <f t="shared" si="116"/>
        <v>0</v>
      </c>
      <c r="BS119" s="475">
        <f t="shared" si="117"/>
        <v>0</v>
      </c>
      <c r="BT119" s="146" t="b">
        <f t="shared" si="118"/>
        <v>0</v>
      </c>
      <c r="BU119" s="463">
        <f>IF(ISNA(AT119),0,IF(AND('Data Entry'!$C$74=2,BC119=27),0,IF(AND('Data Entry'!$C$74=2,BC119=28),0,IF(AND(BC119=27,BT119=27,CM119&gt;0.1),CM119*0.15,IF(AND(BC119=28,BT119=28,CM119&gt;0.1),CM119*0.12,0)))))</f>
        <v>0</v>
      </c>
      <c r="BV119" s="463">
        <f t="shared" si="155"/>
        <v>0</v>
      </c>
      <c r="BW119" s="463">
        <f t="shared" si="119"/>
        <v>0</v>
      </c>
      <c r="BX119" s="463">
        <f t="shared" si="120"/>
        <v>0</v>
      </c>
      <c r="BY119" s="463">
        <f t="shared" si="121"/>
        <v>0</v>
      </c>
      <c r="BZ119" s="463">
        <f t="shared" si="122"/>
        <v>0</v>
      </c>
      <c r="CA119" s="57">
        <f t="shared" si="150"/>
        <v>0</v>
      </c>
      <c r="CB119" s="56">
        <f t="shared" si="123"/>
        <v>1</v>
      </c>
      <c r="CC119" s="756">
        <f>IF(EE119=0,0,IF(EF119=0,0,IF(EE119&gt;AA119,0,IF(AND(AZ119&gt;AW119,AW119&gt;0),0,IF(CU119=0,0,Summary!AC422)))))</f>
        <v>0</v>
      </c>
      <c r="CD119" s="756">
        <f>IF(EE119=0,0,IF(EF119=0,0,IF(EE119&gt;AA119,0,IF(AND(AZ119&gt;AW119,AW119&gt;0),0,IF(CU119=0,0,Summary!AD422)))))</f>
        <v>0</v>
      </c>
      <c r="CE119" s="756">
        <f>IF(EF119=0,0,IF(EE119&gt;AA119,0,IF(CC119=0,0,IF(AND(AZ119&gt;AW119,AW119&gt;0),0,IF(CU119=0,0,Summary!AE422)))))</f>
        <v>0</v>
      </c>
      <c r="CF119" s="475">
        <f t="shared" si="124"/>
        <v>0</v>
      </c>
      <c r="CG119" s="476">
        <f t="shared" si="89"/>
        <v>0</v>
      </c>
      <c r="CH119" s="487">
        <f t="shared" si="125"/>
        <v>0</v>
      </c>
      <c r="CI119" s="756">
        <f t="shared" si="126"/>
        <v>0</v>
      </c>
      <c r="CJ119" s="487">
        <f>IF(CT119&gt;0.4,0,IF(AND(AU119=2,CH119=0,CT119=0.5,ER119=100),35,IF(AND(AU119=3,BB119&gt;75,CH119=0,CT119=0.5,ER119=100),25,IF(CB119&gt;1,0,IF(EF119&gt;EE119,0,IF(AND(AF119&gt;1,CH119=100),0,IF(AND(AF119=1,AY119=0),0,IF(AND(EF119&lt;=EE119,AW119&gt;=AZ119,'Data Entry'!$C$74=1,AU119=2),VLOOKUP(W119,$DO$96:$DP$102,2,FALSE),IF(AND(EF119&lt;=EE119,AW119&gt;=AZ119,AU119=3,'Data Entry'!$C$74=1),VLOOKUP(W119,$DO$127:$DP$134,2,FALSE))))))))))</f>
        <v>0</v>
      </c>
      <c r="CK119" s="716">
        <f t="shared" si="127"/>
        <v>0</v>
      </c>
      <c r="CL119" s="57">
        <f t="shared" si="128"/>
        <v>0</v>
      </c>
      <c r="CM119" s="475">
        <f t="shared" si="154"/>
        <v>0</v>
      </c>
      <c r="CN119" s="660">
        <f>IF(CM119&lt;0.1,0,IF(ISNA(AT119),0,IF(CL119+BC119=1,0,IF(BV119&gt;0.01,0,IF(CL119&gt;0.01,0,IF(CF119=1,0,IF(BC119=0.5,0,IF(AND(CI119=1,AU119=3),0,IF(AND(CI119=5,CL119=0),0,IF(AND(R119=12,BR119=50),0,IF(CK119&gt;0.01,0,IF(AND(AJ119&gt;0.01,AU119=2,BC119=15),CM119*0.1,IF(AND(AJ119&gt;0.01,AU119=3,BC119=15),CM119*0.08,IF(AND(R119=12,BC119=3,AF119&lt;=0),0,IF(AND(BC119=15,BI119=0),0,IF(AND(BC119=15,BJ119=0),0,IF(AND(R119=20,CU119=0),0,IF($X$4=0,0,IF(AND(BC119=250,CL119=0),0,IF(AA119&lt;1,0,IF(AND(ISNUMBER(SEARCH("Area",T119)),AU119=3),0,IF(AND(AQ119&gt;0.01,AR119=0,BK119=0,BL119=0,BM119=0,BN119=0),0,IF(AND(AU119=3,CI119=7,CT119&gt;0.5),0,IF(AND(BC119=44,AU119=3,BY119=0),0,IF(AND(BC119=27,'Data Entry'!$C$74=2),0,IF(AND(BC119=28,'Data Entry'!$C$74=2),0,IF(AND(BY119+BZ119+CA119&gt;0.01,BV119=0,EQ119+ER119+ES119+ET119&lt;100),0,IF(AU119=3,CM119*0.08,IF(AU119=2,CM119*0.1,0)))))))))))))))))))))))))))))</f>
        <v>0</v>
      </c>
      <c r="CO119" s="660">
        <f t="shared" si="129"/>
        <v>0</v>
      </c>
      <c r="CP119" s="475" t="str">
        <f t="shared" si="130"/>
        <v/>
      </c>
      <c r="CQ119" s="161" t="str">
        <f>IF(AH119=0,0,IF(AU119=5,0,Summary!AC122))</f>
        <v/>
      </c>
      <c r="CR119" s="161" t="str">
        <f>IF(BF119=0.5,0,IF(AU119=5,0,Summary!AD122))</f>
        <v/>
      </c>
      <c r="CS119" s="161" t="str">
        <f>IF(AU119=5,0,Summary!AE122)</f>
        <v/>
      </c>
      <c r="CT119" s="161">
        <f t="shared" si="131"/>
        <v>0</v>
      </c>
      <c r="CU119" s="475" t="str">
        <f t="shared" si="132"/>
        <v/>
      </c>
      <c r="CV119" s="307">
        <f>IF('Data Entry'!$C$74=0,0,IF(AA119&lt;1,0,IF(ISERROR(CU119),0,IF(CF119=1,0,IF(AND(R119=12,BR119=50),0,IF(CL119+BO119+BV119+DC119=0,0,IF(BC119=37,0,IF(AND(BC119=40,AJ119=0),0,IF(AND(BC119=37,BO119&gt;0.01,BQ119&gt;0.01),ROUND(BQ119,0),IF(CM119&lt;0,0,ROUND(CM119,0)))))))))))</f>
        <v>0</v>
      </c>
      <c r="CW119" s="700">
        <f t="shared" si="133"/>
        <v>0</v>
      </c>
      <c r="CX119" s="477">
        <f>IF('Data Entry'!$C$74=0,0,IF(CV119&lt;0.01,0,IF(BF119=0.5,0,IF(CF119=1,0,IF(ISNUMBER(SEARCH("false",CL119)),0,IF(AZ119=500,0,CL119))))))</f>
        <v>0</v>
      </c>
      <c r="CY119" s="147" t="e">
        <f t="shared" si="134"/>
        <v>#VALUE!</v>
      </c>
      <c r="CZ119" s="147" t="b">
        <f>IF(CN119+CL119=0,FALSE,IF(AH119=0,0,IF(AND('Data Entry'!$C$74=1,CR119&gt;=1),TRUE,IF(AND('Data Entry'!$C$74=2,CS119&gt;=1),TRUE,FALSE))))</f>
        <v>0</v>
      </c>
      <c r="DA119" s="1751">
        <f>IF('Data Entry'!$C$74=0,0,IFERROR(ROUND(IF(T119="","",IF($X$4=0,0,IF(CF119=1,0,IF(BQ119+CV119=0,0,IF(CF119=1,0,IF(CY119&gt;0.01,CY119,IF(CL119&gt;0.01,CL119,IF(CY119&gt;0.01,CY119,IF(BC119=37,BO119,IF(CZ119=FALSE,0,IF(CZ119=TRUE,DC119+DF119,0))))))))))),2),""))</f>
        <v>0</v>
      </c>
      <c r="DB119" s="1752"/>
      <c r="DC119" s="474">
        <f>IF(CN119&lt;0.01,0,IF(AND(BR119=3,CN119&gt;0.01,CT119&gt;0.6,ER119+ES119+ET119&lt;100),0,IF(AND('Data Entry'!$C$74=1,CN119&gt;0.01,CR119&gt;0.99),MIN(CN119:CO119),IF(AND('Data Entry'!$C$74=2,CN119&gt;0.01,CS119&gt;0.99),MIN(CN119:CO119),0))))</f>
        <v>0</v>
      </c>
      <c r="DD119" s="478">
        <f>IF(CF119=1,"Selection does not match",IF(T119=0,0,IF(AND('Data Entry'!$C$74=0,CP119&gt;1),"Select Oregon or Idaho on Data Entry Tab",IF(AND(AU119=1,AA119&gt;0.9),"Missing Interior or Exterior Selection",IF($X$4=0,"Enter Total Project Cost",IF(AQ119&lt;AR119,"Insufficient kWh savings – no incentive",IF(AND(SUM(CL119+CK119+BV119)&gt;0.01,'Data Entry'!$C$74=2,CJ119&gt;1,BO119=0),"Submit Control as Non-Standard",IF(AND('Data Entry'!$C$74=2,BR119=37,CJ119&gt;1,BO119=0),"Submit Control as Non-Standard",IF(SUM(CL119+CK119+BV119)&gt;0.01,"Standard Incentive",IF(AND('Data Entry'!$C$74=2,CP119=7,CN119=0),"Submit as Non-Standard",IF(DC119&gt;0.9,"Non-Standard Incentive",IF(AND(BY119+BZ119+CA119&gt;0.01,BV119=0,EQ119=0,ER119=0,ES119=0,ET119=0),"Scroll Right &amp; Select Control Strategies",IF(AND(CN119&gt;0.01,CO119=0),"Enter Unit Installed Cost",IF(ISNUMBER(SEARCH("Lighting Controls Only",F119)),"Lighting Controls Only",IF(CL119+DC119=0,"Does not meet incentive criteria",0)))))))))))))))</f>
        <v>0</v>
      </c>
      <c r="DE119" s="337">
        <f t="shared" si="135"/>
        <v>0</v>
      </c>
      <c r="DF119" s="609">
        <f t="shared" si="136"/>
        <v>0</v>
      </c>
      <c r="DG119" s="336" t="str">
        <f t="shared" si="137"/>
        <v/>
      </c>
      <c r="DH119" s="338">
        <f t="shared" si="138"/>
        <v>1</v>
      </c>
      <c r="DI119" s="336" t="e">
        <f t="shared" si="90"/>
        <v>#VALUE!</v>
      </c>
      <c r="DJ119" s="338">
        <f t="shared" si="91"/>
        <v>0</v>
      </c>
      <c r="DK119" s="325" t="s">
        <v>510</v>
      </c>
      <c r="DL119" s="341">
        <v>75</v>
      </c>
      <c r="DM119" s="326" t="s">
        <v>1212</v>
      </c>
      <c r="DN119" s="1440"/>
      <c r="DO119" s="1433" t="s">
        <v>1761</v>
      </c>
      <c r="DP119" s="1444" t="s">
        <v>1780</v>
      </c>
      <c r="DQ119" s="704">
        <v>39</v>
      </c>
      <c r="DR119" s="357"/>
      <c r="DS119" s="1195">
        <f t="shared" si="139"/>
        <v>0</v>
      </c>
      <c r="DT119" s="344" t="b">
        <f t="shared" si="140"/>
        <v>1</v>
      </c>
      <c r="DU119" s="1314" t="str">
        <f t="array" ref="DU119">IF(OR(COUNTIF(F119,"*"&amp;$DK$9:$DK$178&amp;"*")), "Yes", "")</f>
        <v/>
      </c>
      <c r="DV119" s="1314">
        <f t="shared" si="141"/>
        <v>0</v>
      </c>
      <c r="DW119" s="1480">
        <f t="shared" si="142"/>
        <v>0</v>
      </c>
      <c r="DX119" s="1498">
        <f t="shared" si="151"/>
        <v>0</v>
      </c>
      <c r="DY119" s="1484">
        <f t="shared" si="143"/>
        <v>0</v>
      </c>
      <c r="DZ119" s="331"/>
      <c r="EA119" s="392"/>
      <c r="EB119" s="1499" t="s">
        <v>506</v>
      </c>
      <c r="EC119" s="727" t="s">
        <v>1568</v>
      </c>
      <c r="ED119" s="728">
        <v>0.5</v>
      </c>
      <c r="EE119" s="1215"/>
      <c r="EF119" s="1215"/>
      <c r="EG119" s="1184" t="str">
        <f t="shared" si="144"/>
        <v/>
      </c>
      <c r="EH119" s="55"/>
      <c r="EI119" s="55"/>
      <c r="EJ119" s="1185">
        <f t="shared" si="92"/>
        <v>0</v>
      </c>
      <c r="EK119" s="1211"/>
      <c r="EL119" s="1180">
        <f t="shared" si="93"/>
        <v>0</v>
      </c>
      <c r="EM119" s="206"/>
      <c r="EN119" s="1038"/>
      <c r="EO119" s="1038"/>
      <c r="EP119" s="1038"/>
      <c r="EQ119" s="1038">
        <f t="shared" si="145"/>
        <v>0</v>
      </c>
      <c r="ER119" s="1041">
        <f t="shared" si="146"/>
        <v>0</v>
      </c>
      <c r="ES119" s="1042">
        <f t="shared" si="147"/>
        <v>0</v>
      </c>
      <c r="ET119" s="1042">
        <f t="shared" si="152"/>
        <v>0</v>
      </c>
      <c r="EU119" s="1021">
        <f t="shared" si="153"/>
        <v>0</v>
      </c>
      <c r="EV119" s="368"/>
      <c r="EW119" s="368"/>
      <c r="EX119" s="369"/>
      <c r="EY119" s="370"/>
      <c r="EZ119" s="370"/>
      <c r="FA119" s="371"/>
      <c r="FB119" s="372"/>
    </row>
    <row r="120" spans="1:158" ht="34.5" customHeight="1">
      <c r="A120" s="82">
        <v>112</v>
      </c>
      <c r="B120" s="1725"/>
      <c r="C120" s="1726"/>
      <c r="D120" s="1726"/>
      <c r="E120" s="1727"/>
      <c r="F120" s="1732"/>
      <c r="G120" s="1733"/>
      <c r="H120" s="1733"/>
      <c r="I120" s="1734"/>
      <c r="J120" s="1341"/>
      <c r="K120" s="1728"/>
      <c r="L120" s="1728"/>
      <c r="M120" s="1342"/>
      <c r="N120" s="1583"/>
      <c r="O120" s="208" t="str">
        <f t="shared" si="80"/>
        <v/>
      </c>
      <c r="P120" s="785"/>
      <c r="Q120" s="39" t="str">
        <f t="shared" si="81"/>
        <v/>
      </c>
      <c r="R120" s="39">
        <f t="shared" si="94"/>
        <v>0</v>
      </c>
      <c r="S120" s="234">
        <f t="shared" si="95"/>
        <v>0</v>
      </c>
      <c r="T120" s="1755"/>
      <c r="U120" s="1755"/>
      <c r="V120" s="1755"/>
      <c r="W120" s="1345"/>
      <c r="X120" s="1741"/>
      <c r="Y120" s="1742"/>
      <c r="Z120" s="1346"/>
      <c r="AA120" s="1343"/>
      <c r="AB120" s="1141"/>
      <c r="AC120" s="1103" t="str">
        <f>IF(T120="","",VLOOKUP(Z120,Lists!$A$60:$B$111,2,FALSE))</f>
        <v/>
      </c>
      <c r="AD120" s="130" t="str">
        <f t="shared" si="96"/>
        <v/>
      </c>
      <c r="AE120" s="130" t="e">
        <f t="shared" si="97"/>
        <v>#VALUE!</v>
      </c>
      <c r="AF120" s="130">
        <f t="shared" si="98"/>
        <v>1</v>
      </c>
      <c r="AG120" s="234">
        <f t="shared" si="82"/>
        <v>0</v>
      </c>
      <c r="AH120" s="1753" t="str">
        <f>IF(T120="","",(IF(ISNUMBER(SEARCH("exit",T120)),8760,IF(AND(M120="Dusk to Dawn",'Proposed Lighting'!AU120=3),4059,IF(AND(AU120=3,M120="1"),0,IF(AND(AU120=3,M120="1-C"),0,IF(AND(AU120=3,M120="2"),0,IF(AND(AU120=3,M120="2-C"),0,IF(AND(AU120=3,M120="3"),0,IF(AND(AU120=3,M120="3-C"),0,IF(AND(AU120=2,M120="Dusk to Dawn"),0,IF(AND(AU120=2,M120="Dusk to Dawn-C"),0,IF(AND(AU120=2,M120="Dusk to Dawn"),0,IF(AND(AU120=2,M120="E"),0,IF(AND(AU120=2,M120="E-C"),0,EG120)))))))))))))))</f>
        <v/>
      </c>
      <c r="AI120" s="1754"/>
      <c r="AJ120" s="1136"/>
      <c r="AK120" s="1136"/>
      <c r="AL120" s="1748">
        <f t="shared" si="99"/>
        <v>0</v>
      </c>
      <c r="AM120" s="1749"/>
      <c r="AN120" s="1750"/>
      <c r="AO120" s="476">
        <f t="shared" si="83"/>
        <v>0</v>
      </c>
      <c r="AP120" s="476">
        <f t="shared" si="100"/>
        <v>0</v>
      </c>
      <c r="AQ120" s="475">
        <f t="shared" si="84"/>
        <v>0</v>
      </c>
      <c r="AR120" s="475">
        <f t="shared" si="101"/>
        <v>0</v>
      </c>
      <c r="AS120" s="743" t="str">
        <f t="shared" si="156"/>
        <v/>
      </c>
      <c r="AT120" s="736" t="str">
        <f t="shared" si="102"/>
        <v/>
      </c>
      <c r="AU120" s="56">
        <f t="shared" si="103"/>
        <v>1</v>
      </c>
      <c r="AV120" s="476">
        <f t="shared" si="104"/>
        <v>0</v>
      </c>
      <c r="AW120" s="56">
        <f t="shared" si="105"/>
        <v>0</v>
      </c>
      <c r="AX120" s="475">
        <f t="shared" si="85"/>
        <v>0</v>
      </c>
      <c r="AY120" s="1169">
        <f t="shared" si="106"/>
        <v>0</v>
      </c>
      <c r="AZ120" s="1150">
        <f t="shared" si="148"/>
        <v>0</v>
      </c>
      <c r="BA120" s="56">
        <f t="shared" si="86"/>
        <v>0</v>
      </c>
      <c r="BB120" s="420">
        <f t="shared" si="87"/>
        <v>0</v>
      </c>
      <c r="BC120" s="58" t="str">
        <f t="shared" si="88"/>
        <v/>
      </c>
      <c r="BD120" s="660">
        <f t="shared" si="149"/>
        <v>0</v>
      </c>
      <c r="BE120" s="57" t="e">
        <f t="array" ref="BE120">INDEX($EB$11:$ED$1022,MATCH(F120&amp;T120,$EB$11:$EB$1007&amp;$EC$11:$EC$1007,0),3)</f>
        <v>#N/A</v>
      </c>
      <c r="BF120" s="463">
        <f t="shared" si="157"/>
        <v>0</v>
      </c>
      <c r="BG120" s="1445" t="e">
        <f t="array" ref="BG120">INDEX($DO$112:$DQ$123,MATCH(T120&amp;W120,$DO$114:$DO$125&amp;$DP$112:$DP$123,0),3)</f>
        <v>#N/A</v>
      </c>
      <c r="BH120" s="1446">
        <f t="shared" si="108"/>
        <v>0</v>
      </c>
      <c r="BI120" s="465">
        <f t="shared" si="109"/>
        <v>0</v>
      </c>
      <c r="BJ120" s="465">
        <f t="shared" si="110"/>
        <v>0</v>
      </c>
      <c r="BK120" s="466">
        <f t="shared" si="158"/>
        <v>0</v>
      </c>
      <c r="BL120" s="466">
        <f t="shared" si="159"/>
        <v>0</v>
      </c>
      <c r="BM120" s="466">
        <f t="shared" si="113"/>
        <v>0</v>
      </c>
      <c r="BN120" s="466">
        <f t="shared" si="114"/>
        <v>0</v>
      </c>
      <c r="BO120" s="463">
        <f>IF('Data Entry'!$C$74=0,0,IF(ISNA(CJ120),0,IF(AX120=0,0,IF(AND('Data Entry'!$C$74=2,AF120&gt;2,CE120&lt;1),0,IF(AND('Data Entry'!$C$74=2,AF120&gt;1,AU120=2,CJ120&gt;1),0,IF(AND(AF120=5,CT120=0.5,AU120=2,ER120&lt;100),0,IF(AND(AF120=5,CT120=0.5,AU120=3,ER120&lt;100),0,IF(AND('Data Entry'!$C$74=2,AF120=2,AU120=2,AK120&gt;0.01,CB120=2,CE120&lt;1),0,IF(AND('Data Entry'!$C$74=2,AF120=3,AU120=3,AK120&gt;0.01,CB120=3,CE120&lt;1),0,IF(AND('Data Entry'!$C$74=2,AF120=3,AU120=3,AK120&gt;0.01,CB120=3,CE120&gt;0.99),BQ120*0.08,IF(AND('Data Entry'!$C$74=2,AF120=2,AU120=2,AK120&gt;0.01,CB120=2,CE120&gt;0.99),BQ120*0.1,IF(AND(AU120=2,AK120&gt;0.01,CB120=2,CD120&gt;1),BQ120*0.1,IF(AND(AU120=3,AK120&gt;0.01,CB120=3,CD120&gt;1),BQ120*0.08,CJ120*EF120)))))))))))))</f>
        <v>0</v>
      </c>
      <c r="BP120" s="475">
        <f t="shared" si="115"/>
        <v>0</v>
      </c>
      <c r="BQ120" s="1431">
        <f>IF(AU120=1,0,IF(CH120=100,0,IF(AND(AF120=3,AU120=2),0,IF(AND(BH120=0,CT120&gt;0.4),0,IF(AND('Data Entry'!$C$74=2,AF120=1.5),0,IF(AND('Data Entry'!$C$74=2,AF120=1.6),0,IF(AND('Data Entry'!$C$74=2,AF120=4),0,IF(AND('Data Entry'!$C$74=2,AF120=5),0,IF(AND('Data Entry'!$C$74=2,AF120=2.5,CE120&lt;1),0,IF(AND('Data Entry'!$C$74=2,AF120=3,CE120&lt;1),0,IF(AND('Data Entry'!$C$74=1,AF120=2.5,CD120&lt;1),0,IF(AND('Data Entry'!$C$74=1,AF120=3,CD120&lt;1),0,IF(DX120&gt;0.01,DX120,IF(ISERROR(AX120-AY120),"",ROUND(AX120-AY120,2)))))))))))))))</f>
        <v>0</v>
      </c>
      <c r="BR120" s="146">
        <f t="shared" si="116"/>
        <v>0</v>
      </c>
      <c r="BS120" s="475">
        <f t="shared" si="117"/>
        <v>0</v>
      </c>
      <c r="BT120" s="146" t="b">
        <f t="shared" si="118"/>
        <v>0</v>
      </c>
      <c r="BU120" s="463">
        <f>IF(ISNA(AT120),0,IF(AND('Data Entry'!$C$74=2,BC120=27),0,IF(AND('Data Entry'!$C$74=2,BC120=28),0,IF(AND(BC120=27,BT120=27,CM120&gt;0.1),CM120*0.15,IF(AND(BC120=28,BT120=28,CM120&gt;0.1),CM120*0.12,0)))))</f>
        <v>0</v>
      </c>
      <c r="BV120" s="463">
        <f t="shared" si="155"/>
        <v>0</v>
      </c>
      <c r="BW120" s="463">
        <f t="shared" si="119"/>
        <v>0</v>
      </c>
      <c r="BX120" s="463">
        <f t="shared" si="120"/>
        <v>0</v>
      </c>
      <c r="BY120" s="463">
        <f t="shared" si="121"/>
        <v>0</v>
      </c>
      <c r="BZ120" s="463">
        <f t="shared" si="122"/>
        <v>0</v>
      </c>
      <c r="CA120" s="57">
        <f t="shared" si="150"/>
        <v>0</v>
      </c>
      <c r="CB120" s="56">
        <f t="shared" si="123"/>
        <v>1</v>
      </c>
      <c r="CC120" s="756">
        <f>IF(EE120=0,0,IF(EF120=0,0,IF(EE120&gt;AA120,0,IF(AND(AZ120&gt;AW120,AW120&gt;0),0,IF(CU120=0,0,Summary!AC423)))))</f>
        <v>0</v>
      </c>
      <c r="CD120" s="756">
        <f>IF(EE120=0,0,IF(EF120=0,0,IF(EE120&gt;AA120,0,IF(AND(AZ120&gt;AW120,AW120&gt;0),0,IF(CU120=0,0,Summary!AD423)))))</f>
        <v>0</v>
      </c>
      <c r="CE120" s="756">
        <f>IF(EF120=0,0,IF(EE120&gt;AA120,0,IF(CC120=0,0,IF(AND(AZ120&gt;AW120,AW120&gt;0),0,IF(CU120=0,0,Summary!AE423)))))</f>
        <v>0</v>
      </c>
      <c r="CF120" s="475">
        <f t="shared" si="124"/>
        <v>0</v>
      </c>
      <c r="CG120" s="476">
        <f t="shared" si="89"/>
        <v>0</v>
      </c>
      <c r="CH120" s="487">
        <f t="shared" si="125"/>
        <v>0</v>
      </c>
      <c r="CI120" s="756">
        <f t="shared" si="126"/>
        <v>0</v>
      </c>
      <c r="CJ120" s="487">
        <f>IF(CT120&gt;0.4,0,IF(AND(AU120=2,CH120=0,CT120=0.5,ER120=100),35,IF(AND(AU120=3,BB120&gt;75,CH120=0,CT120=0.5,ER120=100),25,IF(CB120&gt;1,0,IF(EF120&gt;EE120,0,IF(AND(AF120&gt;1,CH120=100),0,IF(AND(AF120=1,AY120=0),0,IF(AND(EF120&lt;=EE120,AW120&gt;=AZ120,'Data Entry'!$C$74=1,AU120=2),VLOOKUP(W120,$DO$96:$DP$102,2,FALSE),IF(AND(EF120&lt;=EE120,AW120&gt;=AZ120,AU120=3,'Data Entry'!$C$74=1),VLOOKUP(W120,$DO$127:$DP$134,2,FALSE))))))))))</f>
        <v>0</v>
      </c>
      <c r="CK120" s="716">
        <f t="shared" si="127"/>
        <v>0</v>
      </c>
      <c r="CL120" s="57">
        <f t="shared" si="128"/>
        <v>0</v>
      </c>
      <c r="CM120" s="475">
        <f t="shared" si="154"/>
        <v>0</v>
      </c>
      <c r="CN120" s="660">
        <f>IF(CM120&lt;0.1,0,IF(ISNA(AT120),0,IF(CL120+BC120=1,0,IF(BV120&gt;0.01,0,IF(CL120&gt;0.01,0,IF(CF120=1,0,IF(BC120=0.5,0,IF(AND(CI120=1,AU120=3),0,IF(AND(CI120=5,CL120=0),0,IF(AND(R120=12,BR120=50),0,IF(CK120&gt;0.01,0,IF(AND(AJ120&gt;0.01,AU120=2,BC120=15),CM120*0.1,IF(AND(AJ120&gt;0.01,AU120=3,BC120=15),CM120*0.08,IF(AND(R120=12,BC120=3,AF120&lt;=0),0,IF(AND(BC120=15,BI120=0),0,IF(AND(BC120=15,BJ120=0),0,IF(AND(R120=20,CU120=0),0,IF($X$4=0,0,IF(AND(BC120=250,CL120=0),0,IF(AA120&lt;1,0,IF(AND(ISNUMBER(SEARCH("Area",T120)),AU120=3),0,IF(AND(AQ120&gt;0.01,AR120=0,BK120=0,BL120=0,BM120=0,BN120=0),0,IF(AND(AU120=3,CI120=7,CT120&gt;0.5),0,IF(AND(BC120=44,AU120=3,BY120=0),0,IF(AND(BC120=27,'Data Entry'!$C$74=2),0,IF(AND(BC120=28,'Data Entry'!$C$74=2),0,IF(AND(BY120+BZ120+CA120&gt;0.01,BV120=0,EQ120+ER120+ES120+ET120&lt;100),0,IF(AU120=3,CM120*0.08,IF(AU120=2,CM120*0.1,0)))))))))))))))))))))))))))))</f>
        <v>0</v>
      </c>
      <c r="CO120" s="660">
        <f t="shared" si="129"/>
        <v>0</v>
      </c>
      <c r="CP120" s="475" t="str">
        <f t="shared" si="130"/>
        <v/>
      </c>
      <c r="CQ120" s="161" t="str">
        <f>IF(AH120=0,0,IF(AU120=5,0,Summary!AC123))</f>
        <v/>
      </c>
      <c r="CR120" s="161" t="str">
        <f>IF(BF120=0.5,0,IF(AU120=5,0,Summary!AD123))</f>
        <v/>
      </c>
      <c r="CS120" s="161" t="str">
        <f>IF(AU120=5,0,Summary!AE123)</f>
        <v/>
      </c>
      <c r="CT120" s="161">
        <f t="shared" si="131"/>
        <v>0</v>
      </c>
      <c r="CU120" s="475" t="str">
        <f t="shared" si="132"/>
        <v/>
      </c>
      <c r="CV120" s="307">
        <f>IF('Data Entry'!$C$74=0,0,IF(AA120&lt;1,0,IF(ISERROR(CU120),0,IF(CF120=1,0,IF(AND(R120=12,BR120=50),0,IF(CL120+BO120+BV120+DC120=0,0,IF(BC120=37,0,IF(AND(BC120=40,AJ120=0),0,IF(AND(BC120=37,BO120&gt;0.01,BQ120&gt;0.01),ROUND(BQ120,0),IF(CM120&lt;0,0,ROUND(CM120,0)))))))))))</f>
        <v>0</v>
      </c>
      <c r="CW120" s="700">
        <f t="shared" si="133"/>
        <v>0</v>
      </c>
      <c r="CX120" s="477">
        <f>IF('Data Entry'!$C$74=0,0,IF(CV120&lt;0.01,0,IF(BF120=0.5,0,IF(CF120=1,0,IF(ISNUMBER(SEARCH("false",CL120)),0,IF(AZ120=500,0,CL120))))))</f>
        <v>0</v>
      </c>
      <c r="CY120" s="147" t="e">
        <f t="shared" si="134"/>
        <v>#VALUE!</v>
      </c>
      <c r="CZ120" s="147" t="b">
        <f>IF(CN120+CL120=0,FALSE,IF(AH120=0,0,IF(AND('Data Entry'!$C$74=1,CR120&gt;=1),TRUE,IF(AND('Data Entry'!$C$74=2,CS120&gt;=1),TRUE,FALSE))))</f>
        <v>0</v>
      </c>
      <c r="DA120" s="1751">
        <f>IF('Data Entry'!$C$74=0,0,IFERROR(ROUND(IF(T120="","",IF($X$4=0,0,IF(CF120=1,0,IF(BQ120+CV120=0,0,IF(CF120=1,0,IF(CY120&gt;0.01,CY120,IF(CL120&gt;0.01,CL120,IF(CY120&gt;0.01,CY120,IF(BC120=37,BO120,IF(CZ120=FALSE,0,IF(CZ120=TRUE,DC120+DF120,0))))))))))),2),""))</f>
        <v>0</v>
      </c>
      <c r="DB120" s="1752"/>
      <c r="DC120" s="474">
        <f>IF(CN120&lt;0.01,0,IF(AND(BR120=3,CN120&gt;0.01,CT120&gt;0.6,ER120+ES120+ET120&lt;100),0,IF(AND('Data Entry'!$C$74=1,CN120&gt;0.01,CR120&gt;0.99),MIN(CN120:CO120),IF(AND('Data Entry'!$C$74=2,CN120&gt;0.01,CS120&gt;0.99),MIN(CN120:CO120),0))))</f>
        <v>0</v>
      </c>
      <c r="DD120" s="478">
        <f>IF(CF120=1,"Selection does not match",IF(T120=0,0,IF(AND('Data Entry'!$C$74=0,CP120&gt;1),"Select Oregon or Idaho on Data Entry Tab",IF(AND(AU120=1,AA120&gt;0.9),"Missing Interior or Exterior Selection",IF($X$4=0,"Enter Total Project Cost",IF(AQ120&lt;AR120,"Insufficient kWh savings – no incentive",IF(AND(SUM(CL120+CK120+BV120)&gt;0.01,'Data Entry'!$C$74=2,CJ120&gt;1,BO120=0),"Submit Control as Non-Standard",IF(AND('Data Entry'!$C$74=2,BR120=37,CJ120&gt;1,BO120=0),"Submit Control as Non-Standard",IF(SUM(CL120+CK120+BV120)&gt;0.01,"Standard Incentive",IF(AND('Data Entry'!$C$74=2,CP120=7,CN120=0),"Submit as Non-Standard",IF(DC120&gt;0.9,"Non-Standard Incentive",IF(AND(BY120+BZ120+CA120&gt;0.01,BV120=0,EQ120=0,ER120=0,ES120=0,ET120=0),"Scroll Right &amp; Select Control Strategies",IF(AND(CN120&gt;0.01,CO120=0),"Enter Unit Installed Cost",IF(ISNUMBER(SEARCH("Lighting Controls Only",F120)),"Lighting Controls Only",IF(CL120+DC120=0,"Does not meet incentive criteria",0)))))))))))))))</f>
        <v>0</v>
      </c>
      <c r="DE120" s="337">
        <f t="shared" si="135"/>
        <v>0</v>
      </c>
      <c r="DF120" s="609">
        <f t="shared" si="136"/>
        <v>0</v>
      </c>
      <c r="DG120" s="336" t="str">
        <f t="shared" si="137"/>
        <v/>
      </c>
      <c r="DH120" s="338">
        <f t="shared" si="138"/>
        <v>1</v>
      </c>
      <c r="DI120" s="336" t="e">
        <f t="shared" si="90"/>
        <v>#VALUE!</v>
      </c>
      <c r="DJ120" s="338">
        <f t="shared" si="91"/>
        <v>0</v>
      </c>
      <c r="DK120" s="325" t="s">
        <v>511</v>
      </c>
      <c r="DL120" s="341">
        <v>123</v>
      </c>
      <c r="DM120" s="389" t="s">
        <v>418</v>
      </c>
      <c r="DN120" s="1440"/>
      <c r="DO120" s="1433" t="s">
        <v>1761</v>
      </c>
      <c r="DP120" s="1444" t="s">
        <v>1572</v>
      </c>
      <c r="DQ120" s="704">
        <v>22</v>
      </c>
      <c r="DR120" s="357"/>
      <c r="DS120" s="1195">
        <f t="shared" si="139"/>
        <v>0</v>
      </c>
      <c r="DT120" s="344" t="b">
        <f t="shared" si="140"/>
        <v>1</v>
      </c>
      <c r="DU120" s="1314" t="str">
        <f t="array" ref="DU120">IF(OR(COUNTIF(F120,"*"&amp;$DK$9:$DK$178&amp;"*")), "Yes", "")</f>
        <v/>
      </c>
      <c r="DV120" s="1314">
        <f t="shared" si="141"/>
        <v>0</v>
      </c>
      <c r="DW120" s="1480">
        <f t="shared" si="142"/>
        <v>0</v>
      </c>
      <c r="DX120" s="1498">
        <f t="shared" si="151"/>
        <v>0</v>
      </c>
      <c r="DY120" s="1484">
        <f t="shared" si="143"/>
        <v>0</v>
      </c>
      <c r="DZ120" s="331"/>
      <c r="EA120" s="392"/>
      <c r="EB120" s="1499" t="s">
        <v>508</v>
      </c>
      <c r="EC120" s="727" t="s">
        <v>1568</v>
      </c>
      <c r="ED120" s="728">
        <v>0.5</v>
      </c>
      <c r="EE120" s="1215"/>
      <c r="EF120" s="1215"/>
      <c r="EG120" s="1184" t="str">
        <f t="shared" si="144"/>
        <v/>
      </c>
      <c r="EH120" s="55"/>
      <c r="EI120" s="55"/>
      <c r="EJ120" s="1185">
        <f t="shared" si="92"/>
        <v>0</v>
      </c>
      <c r="EK120" s="1211"/>
      <c r="EL120" s="1180">
        <f t="shared" si="93"/>
        <v>0</v>
      </c>
      <c r="EM120" s="206"/>
      <c r="EN120" s="1038"/>
      <c r="EO120" s="1038"/>
      <c r="EP120" s="1038"/>
      <c r="EQ120" s="1038">
        <f t="shared" si="145"/>
        <v>0</v>
      </c>
      <c r="ER120" s="1041">
        <f t="shared" si="146"/>
        <v>0</v>
      </c>
      <c r="ES120" s="1042">
        <f t="shared" si="147"/>
        <v>0</v>
      </c>
      <c r="ET120" s="1042">
        <f t="shared" si="152"/>
        <v>0</v>
      </c>
      <c r="EU120" s="1021">
        <f t="shared" si="153"/>
        <v>0</v>
      </c>
      <c r="EV120" s="368"/>
      <c r="EW120" s="368"/>
      <c r="EX120" s="369"/>
      <c r="EY120" s="370"/>
      <c r="EZ120" s="370"/>
      <c r="FA120" s="371"/>
      <c r="FB120" s="372"/>
    </row>
    <row r="121" spans="1:158" ht="34.5" customHeight="1">
      <c r="A121" s="82">
        <v>113</v>
      </c>
      <c r="B121" s="1725"/>
      <c r="C121" s="1726"/>
      <c r="D121" s="1726"/>
      <c r="E121" s="1727"/>
      <c r="F121" s="1732"/>
      <c r="G121" s="1733"/>
      <c r="H121" s="1733"/>
      <c r="I121" s="1734"/>
      <c r="J121" s="1341"/>
      <c r="K121" s="1728"/>
      <c r="L121" s="1728"/>
      <c r="M121" s="1342"/>
      <c r="N121" s="1583"/>
      <c r="O121" s="208" t="str">
        <f t="shared" si="80"/>
        <v/>
      </c>
      <c r="P121" s="785"/>
      <c r="Q121" s="39" t="str">
        <f t="shared" si="81"/>
        <v/>
      </c>
      <c r="R121" s="39">
        <f t="shared" si="94"/>
        <v>0</v>
      </c>
      <c r="S121" s="234">
        <f t="shared" si="95"/>
        <v>0</v>
      </c>
      <c r="T121" s="1755"/>
      <c r="U121" s="1755"/>
      <c r="V121" s="1755"/>
      <c r="W121" s="1345"/>
      <c r="X121" s="1741"/>
      <c r="Y121" s="1742"/>
      <c r="Z121" s="1346"/>
      <c r="AA121" s="1343"/>
      <c r="AB121" s="1141"/>
      <c r="AC121" s="1103" t="str">
        <f>IF(T121="","",VLOOKUP(Z121,Lists!$A$60:$B$111,2,FALSE))</f>
        <v/>
      </c>
      <c r="AD121" s="130" t="str">
        <f t="shared" si="96"/>
        <v/>
      </c>
      <c r="AE121" s="130" t="e">
        <f t="shared" si="97"/>
        <v>#VALUE!</v>
      </c>
      <c r="AF121" s="130">
        <f t="shared" si="98"/>
        <v>1</v>
      </c>
      <c r="AG121" s="234">
        <f t="shared" si="82"/>
        <v>0</v>
      </c>
      <c r="AH121" s="1753" t="str">
        <f>IF(T121="","",(IF(ISNUMBER(SEARCH("exit",T121)),8760,IF(AND(M121="Dusk to Dawn",'Proposed Lighting'!AU121=3),4059,IF(AND(AU121=3,M121="1"),0,IF(AND(AU121=3,M121="1-C"),0,IF(AND(AU121=3,M121="2"),0,IF(AND(AU121=3,M121="2-C"),0,IF(AND(AU121=3,M121="3"),0,IF(AND(AU121=3,M121="3-C"),0,IF(AND(AU121=2,M121="Dusk to Dawn"),0,IF(AND(AU121=2,M121="Dusk to Dawn-C"),0,IF(AND(AU121=2,M121="Dusk to Dawn"),0,IF(AND(AU121=2,M121="E"),0,IF(AND(AU121=2,M121="E-C"),0,EG121)))))))))))))))</f>
        <v/>
      </c>
      <c r="AI121" s="1754"/>
      <c r="AJ121" s="1136"/>
      <c r="AK121" s="1136"/>
      <c r="AL121" s="1748">
        <f t="shared" si="99"/>
        <v>0</v>
      </c>
      <c r="AM121" s="1749"/>
      <c r="AN121" s="1750"/>
      <c r="AO121" s="476">
        <f t="shared" si="83"/>
        <v>0</v>
      </c>
      <c r="AP121" s="476">
        <f t="shared" si="100"/>
        <v>0</v>
      </c>
      <c r="AQ121" s="475">
        <f t="shared" si="84"/>
        <v>0</v>
      </c>
      <c r="AR121" s="475">
        <f t="shared" si="101"/>
        <v>0</v>
      </c>
      <c r="AS121" s="743" t="str">
        <f t="shared" si="156"/>
        <v/>
      </c>
      <c r="AT121" s="736" t="str">
        <f t="shared" si="102"/>
        <v/>
      </c>
      <c r="AU121" s="56">
        <f t="shared" si="103"/>
        <v>1</v>
      </c>
      <c r="AV121" s="476">
        <f t="shared" si="104"/>
        <v>0</v>
      </c>
      <c r="AW121" s="56">
        <f t="shared" si="105"/>
        <v>0</v>
      </c>
      <c r="AX121" s="475">
        <f t="shared" si="85"/>
        <v>0</v>
      </c>
      <c r="AY121" s="1169">
        <f t="shared" si="106"/>
        <v>0</v>
      </c>
      <c r="AZ121" s="1150">
        <f t="shared" si="148"/>
        <v>0</v>
      </c>
      <c r="BA121" s="56">
        <f t="shared" si="86"/>
        <v>0</v>
      </c>
      <c r="BB121" s="420">
        <f t="shared" si="87"/>
        <v>0</v>
      </c>
      <c r="BC121" s="58" t="str">
        <f t="shared" si="88"/>
        <v/>
      </c>
      <c r="BD121" s="660">
        <f t="shared" si="149"/>
        <v>0</v>
      </c>
      <c r="BE121" s="57" t="e">
        <f t="array" ref="BE121">INDEX($EB$11:$ED$1022,MATCH(F121&amp;T121,$EB$11:$EB$1007&amp;$EC$11:$EC$1007,0),3)</f>
        <v>#N/A</v>
      </c>
      <c r="BF121" s="463">
        <f t="shared" si="157"/>
        <v>0</v>
      </c>
      <c r="BG121" s="1445" t="e">
        <f t="array" ref="BG121">INDEX($DO$112:$DQ$123,MATCH(T121&amp;W121,$DO$114:$DO$125&amp;$DP$112:$DP$123,0),3)</f>
        <v>#N/A</v>
      </c>
      <c r="BH121" s="1446">
        <f t="shared" si="108"/>
        <v>0</v>
      </c>
      <c r="BI121" s="465">
        <f t="shared" si="109"/>
        <v>0</v>
      </c>
      <c r="BJ121" s="465">
        <f t="shared" si="110"/>
        <v>0</v>
      </c>
      <c r="BK121" s="466">
        <f t="shared" si="158"/>
        <v>0</v>
      </c>
      <c r="BL121" s="466">
        <f t="shared" si="159"/>
        <v>0</v>
      </c>
      <c r="BM121" s="466">
        <f t="shared" si="113"/>
        <v>0</v>
      </c>
      <c r="BN121" s="466">
        <f t="shared" si="114"/>
        <v>0</v>
      </c>
      <c r="BO121" s="463">
        <f>IF('Data Entry'!$C$74=0,0,IF(ISNA(CJ121),0,IF(AX121=0,0,IF(AND('Data Entry'!$C$74=2,AF121&gt;2,CE121&lt;1),0,IF(AND('Data Entry'!$C$74=2,AF121&gt;1,AU121=2,CJ121&gt;1),0,IF(AND(AF121=5,CT121=0.5,AU121=2,ER121&lt;100),0,IF(AND(AF121=5,CT121=0.5,AU121=3,ER121&lt;100),0,IF(AND('Data Entry'!$C$74=2,AF121=2,AU121=2,AK121&gt;0.01,CB121=2,CE121&lt;1),0,IF(AND('Data Entry'!$C$74=2,AF121=3,AU121=3,AK121&gt;0.01,CB121=3,CE121&lt;1),0,IF(AND('Data Entry'!$C$74=2,AF121=3,AU121=3,AK121&gt;0.01,CB121=3,CE121&gt;0.99),BQ121*0.08,IF(AND('Data Entry'!$C$74=2,AF121=2,AU121=2,AK121&gt;0.01,CB121=2,CE121&gt;0.99),BQ121*0.1,IF(AND(AU121=2,AK121&gt;0.01,CB121=2,CD121&gt;1),BQ121*0.1,IF(AND(AU121=3,AK121&gt;0.01,CB121=3,CD121&gt;1),BQ121*0.08,CJ121*EF121)))))))))))))</f>
        <v>0</v>
      </c>
      <c r="BP121" s="475">
        <f t="shared" si="115"/>
        <v>0</v>
      </c>
      <c r="BQ121" s="1431">
        <f>IF(AU121=1,0,IF(CH121=100,0,IF(AND(AF121=3,AU121=2),0,IF(AND(BH121=0,CT121&gt;0.4),0,IF(AND('Data Entry'!$C$74=2,AF121=1.5),0,IF(AND('Data Entry'!$C$74=2,AF121=1.6),0,IF(AND('Data Entry'!$C$74=2,AF121=4),0,IF(AND('Data Entry'!$C$74=2,AF121=5),0,IF(AND('Data Entry'!$C$74=2,AF121=2.5,CE121&lt;1),0,IF(AND('Data Entry'!$C$74=2,AF121=3,CE121&lt;1),0,IF(AND('Data Entry'!$C$74=1,AF121=2.5,CD121&lt;1),0,IF(AND('Data Entry'!$C$74=1,AF121=3,CD121&lt;1),0,IF(DX121&gt;0.01,DX121,IF(ISERROR(AX121-AY121),"",ROUND(AX121-AY121,2)))))))))))))))</f>
        <v>0</v>
      </c>
      <c r="BR121" s="146">
        <f t="shared" si="116"/>
        <v>0</v>
      </c>
      <c r="BS121" s="475">
        <f t="shared" si="117"/>
        <v>0</v>
      </c>
      <c r="BT121" s="146" t="b">
        <f t="shared" si="118"/>
        <v>0</v>
      </c>
      <c r="BU121" s="463">
        <f>IF(ISNA(AT121),0,IF(AND('Data Entry'!$C$74=2,BC121=27),0,IF(AND('Data Entry'!$C$74=2,BC121=28),0,IF(AND(BC121=27,BT121=27,CM121&gt;0.1),CM121*0.15,IF(AND(BC121=28,BT121=28,CM121&gt;0.1),CM121*0.12,0)))))</f>
        <v>0</v>
      </c>
      <c r="BV121" s="463">
        <f t="shared" si="155"/>
        <v>0</v>
      </c>
      <c r="BW121" s="463">
        <f t="shared" si="119"/>
        <v>0</v>
      </c>
      <c r="BX121" s="463">
        <f t="shared" si="120"/>
        <v>0</v>
      </c>
      <c r="BY121" s="463">
        <f t="shared" si="121"/>
        <v>0</v>
      </c>
      <c r="BZ121" s="463">
        <f t="shared" si="122"/>
        <v>0</v>
      </c>
      <c r="CA121" s="57">
        <f t="shared" si="150"/>
        <v>0</v>
      </c>
      <c r="CB121" s="56">
        <f t="shared" si="123"/>
        <v>1</v>
      </c>
      <c r="CC121" s="756">
        <f>IF(EE121=0,0,IF(EF121=0,0,IF(EE121&gt;AA121,0,IF(AND(AZ121&gt;AW121,AW121&gt;0),0,IF(CU121=0,0,Summary!AC424)))))</f>
        <v>0</v>
      </c>
      <c r="CD121" s="756">
        <f>IF(EE121=0,0,IF(EF121=0,0,IF(EE121&gt;AA121,0,IF(AND(AZ121&gt;AW121,AW121&gt;0),0,IF(CU121=0,0,Summary!AD424)))))</f>
        <v>0</v>
      </c>
      <c r="CE121" s="756">
        <f>IF(EF121=0,0,IF(EE121&gt;AA121,0,IF(CC121=0,0,IF(AND(AZ121&gt;AW121,AW121&gt;0),0,IF(CU121=0,0,Summary!AE424)))))</f>
        <v>0</v>
      </c>
      <c r="CF121" s="475">
        <f t="shared" si="124"/>
        <v>0</v>
      </c>
      <c r="CG121" s="476">
        <f t="shared" si="89"/>
        <v>0</v>
      </c>
      <c r="CH121" s="487">
        <f t="shared" si="125"/>
        <v>0</v>
      </c>
      <c r="CI121" s="756">
        <f t="shared" si="126"/>
        <v>0</v>
      </c>
      <c r="CJ121" s="487">
        <f>IF(CT121&gt;0.4,0,IF(AND(AU121=2,CH121=0,CT121=0.5,ER121=100),35,IF(AND(AU121=3,BB121&gt;75,CH121=0,CT121=0.5,ER121=100),25,IF(CB121&gt;1,0,IF(EF121&gt;EE121,0,IF(AND(AF121&gt;1,CH121=100),0,IF(AND(AF121=1,AY121=0),0,IF(AND(EF121&lt;=EE121,AW121&gt;=AZ121,'Data Entry'!$C$74=1,AU121=2),VLOOKUP(W121,$DO$96:$DP$102,2,FALSE),IF(AND(EF121&lt;=EE121,AW121&gt;=AZ121,AU121=3,'Data Entry'!$C$74=1),VLOOKUP(W121,$DO$127:$DP$134,2,FALSE))))))))))</f>
        <v>0</v>
      </c>
      <c r="CK121" s="716">
        <f t="shared" si="127"/>
        <v>0</v>
      </c>
      <c r="CL121" s="57">
        <f t="shared" si="128"/>
        <v>0</v>
      </c>
      <c r="CM121" s="475">
        <f t="shared" si="154"/>
        <v>0</v>
      </c>
      <c r="CN121" s="660">
        <f>IF(CM121&lt;0.1,0,IF(ISNA(AT121),0,IF(CL121+BC121=1,0,IF(BV121&gt;0.01,0,IF(CL121&gt;0.01,0,IF(CF121=1,0,IF(BC121=0.5,0,IF(AND(CI121=1,AU121=3),0,IF(AND(CI121=5,CL121=0),0,IF(AND(R121=12,BR121=50),0,IF(CK121&gt;0.01,0,IF(AND(AJ121&gt;0.01,AU121=2,BC121=15),CM121*0.1,IF(AND(AJ121&gt;0.01,AU121=3,BC121=15),CM121*0.08,IF(AND(R121=12,BC121=3,AF121&lt;=0),0,IF(AND(BC121=15,BI121=0),0,IF(AND(BC121=15,BJ121=0),0,IF(AND(R121=20,CU121=0),0,IF($X$4=0,0,IF(AND(BC121=250,CL121=0),0,IF(AA121&lt;1,0,IF(AND(ISNUMBER(SEARCH("Area",T121)),AU121=3),0,IF(AND(AQ121&gt;0.01,AR121=0,BK121=0,BL121=0,BM121=0,BN121=0),0,IF(AND(AU121=3,CI121=7,CT121&gt;0.5),0,IF(AND(BC121=44,AU121=3,BY121=0),0,IF(AND(BC121=27,'Data Entry'!$C$74=2),0,IF(AND(BC121=28,'Data Entry'!$C$74=2),0,IF(AND(BY121+BZ121+CA121&gt;0.01,BV121=0,EQ121+ER121+ES121+ET121&lt;100),0,IF(AU121=3,CM121*0.08,IF(AU121=2,CM121*0.1,0)))))))))))))))))))))))))))))</f>
        <v>0</v>
      </c>
      <c r="CO121" s="660">
        <f t="shared" si="129"/>
        <v>0</v>
      </c>
      <c r="CP121" s="475" t="str">
        <f t="shared" si="130"/>
        <v/>
      </c>
      <c r="CQ121" s="161" t="str">
        <f>IF(AH121=0,0,IF(AU121=5,0,Summary!AC124))</f>
        <v/>
      </c>
      <c r="CR121" s="161" t="str">
        <f>IF(BF121=0.5,0,IF(AU121=5,0,Summary!AD124))</f>
        <v/>
      </c>
      <c r="CS121" s="161" t="str">
        <f>IF(AU121=5,0,Summary!AE124)</f>
        <v/>
      </c>
      <c r="CT121" s="161">
        <f t="shared" si="131"/>
        <v>0</v>
      </c>
      <c r="CU121" s="475" t="str">
        <f t="shared" si="132"/>
        <v/>
      </c>
      <c r="CV121" s="307">
        <f>IF('Data Entry'!$C$74=0,0,IF(AA121&lt;1,0,IF(ISERROR(CU121),0,IF(CF121=1,0,IF(AND(R121=12,BR121=50),0,IF(CL121+BO121+BV121+DC121=0,0,IF(BC121=37,0,IF(AND(BC121=40,AJ121=0),0,IF(AND(BC121=37,BO121&gt;0.01,BQ121&gt;0.01),ROUND(BQ121,0),IF(CM121&lt;0,0,ROUND(CM121,0)))))))))))</f>
        <v>0</v>
      </c>
      <c r="CW121" s="700">
        <f t="shared" si="133"/>
        <v>0</v>
      </c>
      <c r="CX121" s="477">
        <f>IF('Data Entry'!$C$74=0,0,IF(CV121&lt;0.01,0,IF(BF121=0.5,0,IF(CF121=1,0,IF(ISNUMBER(SEARCH("false",CL121)),0,IF(AZ121=500,0,CL121))))))</f>
        <v>0</v>
      </c>
      <c r="CY121" s="147" t="e">
        <f t="shared" si="134"/>
        <v>#VALUE!</v>
      </c>
      <c r="CZ121" s="147" t="b">
        <f>IF(CN121+CL121=0,FALSE,IF(AH121=0,0,IF(AND('Data Entry'!$C$74=1,CR121&gt;=1),TRUE,IF(AND('Data Entry'!$C$74=2,CS121&gt;=1),TRUE,FALSE))))</f>
        <v>0</v>
      </c>
      <c r="DA121" s="1751">
        <f>IF('Data Entry'!$C$74=0,0,IFERROR(ROUND(IF(T121="","",IF($X$4=0,0,IF(CF121=1,0,IF(BQ121+CV121=0,0,IF(CF121=1,0,IF(CY121&gt;0.01,CY121,IF(CL121&gt;0.01,CL121,IF(CY121&gt;0.01,CY121,IF(BC121=37,BO121,IF(CZ121=FALSE,0,IF(CZ121=TRUE,DC121+DF121,0))))))))))),2),""))</f>
        <v>0</v>
      </c>
      <c r="DB121" s="1752"/>
      <c r="DC121" s="474">
        <f>IF(CN121&lt;0.01,0,IF(AND(BR121=3,CN121&gt;0.01,CT121&gt;0.6,ER121+ES121+ET121&lt;100),0,IF(AND('Data Entry'!$C$74=1,CN121&gt;0.01,CR121&gt;0.99),MIN(CN121:CO121),IF(AND('Data Entry'!$C$74=2,CN121&gt;0.01,CS121&gt;0.99),MIN(CN121:CO121),0))))</f>
        <v>0</v>
      </c>
      <c r="DD121" s="478">
        <f>IF(CF121=1,"Selection does not match",IF(T121=0,0,IF(AND('Data Entry'!$C$74=0,CP121&gt;1),"Select Oregon or Idaho on Data Entry Tab",IF(AND(AU121=1,AA121&gt;0.9),"Missing Interior or Exterior Selection",IF($X$4=0,"Enter Total Project Cost",IF(AQ121&lt;AR121,"Insufficient kWh savings – no incentive",IF(AND(SUM(CL121+CK121+BV121)&gt;0.01,'Data Entry'!$C$74=2,CJ121&gt;1,BO121=0),"Submit Control as Non-Standard",IF(AND('Data Entry'!$C$74=2,BR121=37,CJ121&gt;1,BO121=0),"Submit Control as Non-Standard",IF(SUM(CL121+CK121+BV121)&gt;0.01,"Standard Incentive",IF(AND('Data Entry'!$C$74=2,CP121=7,CN121=0),"Submit as Non-Standard",IF(DC121&gt;0.9,"Non-Standard Incentive",IF(AND(BY121+BZ121+CA121&gt;0.01,BV121=0,EQ121=0,ER121=0,ES121=0,ET121=0),"Scroll Right &amp; Select Control Strategies",IF(AND(CN121&gt;0.01,CO121=0),"Enter Unit Installed Cost",IF(ISNUMBER(SEARCH("Lighting Controls Only",F121)),"Lighting Controls Only",IF(CL121+DC121=0,"Does not meet incentive criteria",0)))))))))))))))</f>
        <v>0</v>
      </c>
      <c r="DE121" s="337">
        <f t="shared" si="135"/>
        <v>0</v>
      </c>
      <c r="DF121" s="609">
        <f t="shared" si="136"/>
        <v>0</v>
      </c>
      <c r="DG121" s="336" t="str">
        <f t="shared" si="137"/>
        <v/>
      </c>
      <c r="DH121" s="338">
        <f t="shared" si="138"/>
        <v>1</v>
      </c>
      <c r="DI121" s="336" t="e">
        <f t="shared" si="90"/>
        <v>#VALUE!</v>
      </c>
      <c r="DJ121" s="338">
        <f t="shared" si="91"/>
        <v>0</v>
      </c>
      <c r="DK121" s="325" t="s">
        <v>512</v>
      </c>
      <c r="DL121" s="341">
        <v>198</v>
      </c>
      <c r="DM121" s="362" t="s">
        <v>73</v>
      </c>
      <c r="DN121" s="1441"/>
      <c r="DO121" s="1433" t="s">
        <v>1761</v>
      </c>
      <c r="DP121" s="1444" t="s">
        <v>1535</v>
      </c>
      <c r="DQ121" s="704">
        <v>23</v>
      </c>
      <c r="DR121" s="357"/>
      <c r="DS121" s="1195">
        <f t="shared" si="139"/>
        <v>0</v>
      </c>
      <c r="DT121" s="344" t="b">
        <f t="shared" si="140"/>
        <v>1</v>
      </c>
      <c r="DU121" s="1314" t="str">
        <f t="array" ref="DU121">IF(OR(COUNTIF(F121,"*"&amp;$DK$9:$DK$178&amp;"*")), "Yes", "")</f>
        <v/>
      </c>
      <c r="DV121" s="1314">
        <f t="shared" si="141"/>
        <v>0</v>
      </c>
      <c r="DW121" s="1480">
        <f t="shared" si="142"/>
        <v>0</v>
      </c>
      <c r="DX121" s="1498">
        <f t="shared" si="151"/>
        <v>0</v>
      </c>
      <c r="DY121" s="1484">
        <f t="shared" si="143"/>
        <v>0</v>
      </c>
      <c r="DZ121" s="331"/>
      <c r="EA121" s="392"/>
      <c r="EB121" s="1499" t="s">
        <v>507</v>
      </c>
      <c r="EC121" s="727" t="s">
        <v>1568</v>
      </c>
      <c r="ED121" s="728">
        <v>0.5</v>
      </c>
      <c r="EE121" s="1215"/>
      <c r="EF121" s="1215"/>
      <c r="EG121" s="1184" t="str">
        <f t="shared" si="144"/>
        <v/>
      </c>
      <c r="EH121" s="55"/>
      <c r="EI121" s="55"/>
      <c r="EJ121" s="1185">
        <f t="shared" si="92"/>
        <v>0</v>
      </c>
      <c r="EK121" s="1211"/>
      <c r="EL121" s="1180">
        <f t="shared" si="93"/>
        <v>0</v>
      </c>
      <c r="EM121" s="206"/>
      <c r="EN121" s="1038"/>
      <c r="EO121" s="1038"/>
      <c r="EP121" s="1038"/>
      <c r="EQ121" s="1038">
        <f t="shared" si="145"/>
        <v>0</v>
      </c>
      <c r="ER121" s="1041">
        <f t="shared" si="146"/>
        <v>0</v>
      </c>
      <c r="ES121" s="1042">
        <f t="shared" si="147"/>
        <v>0</v>
      </c>
      <c r="ET121" s="1042">
        <f t="shared" si="152"/>
        <v>0</v>
      </c>
      <c r="EU121" s="1021">
        <f t="shared" si="153"/>
        <v>0</v>
      </c>
      <c r="EV121" s="368"/>
      <c r="EW121" s="368"/>
      <c r="EX121" s="369"/>
      <c r="EY121" s="370"/>
      <c r="EZ121" s="370"/>
      <c r="FA121" s="371"/>
      <c r="FB121" s="372"/>
    </row>
    <row r="122" spans="1:158" ht="34.5" customHeight="1">
      <c r="A122" s="82">
        <v>114</v>
      </c>
      <c r="B122" s="1725"/>
      <c r="C122" s="1726"/>
      <c r="D122" s="1726"/>
      <c r="E122" s="1727"/>
      <c r="F122" s="1732"/>
      <c r="G122" s="1733"/>
      <c r="H122" s="1733"/>
      <c r="I122" s="1734"/>
      <c r="J122" s="1341"/>
      <c r="K122" s="1728"/>
      <c r="L122" s="1728"/>
      <c r="M122" s="1342"/>
      <c r="N122" s="1583"/>
      <c r="O122" s="208" t="str">
        <f t="shared" si="80"/>
        <v/>
      </c>
      <c r="P122" s="785"/>
      <c r="Q122" s="39" t="str">
        <f t="shared" si="81"/>
        <v/>
      </c>
      <c r="R122" s="39">
        <f t="shared" si="94"/>
        <v>0</v>
      </c>
      <c r="S122" s="234">
        <f t="shared" si="95"/>
        <v>0</v>
      </c>
      <c r="T122" s="1755"/>
      <c r="U122" s="1755"/>
      <c r="V122" s="1755"/>
      <c r="W122" s="1345"/>
      <c r="X122" s="1741"/>
      <c r="Y122" s="1742"/>
      <c r="Z122" s="1346"/>
      <c r="AA122" s="1343"/>
      <c r="AB122" s="1141"/>
      <c r="AC122" s="1103" t="str">
        <f>IF(T122="","",VLOOKUP(Z122,Lists!$A$60:$B$111,2,FALSE))</f>
        <v/>
      </c>
      <c r="AD122" s="130" t="str">
        <f t="shared" si="96"/>
        <v/>
      </c>
      <c r="AE122" s="130" t="e">
        <f t="shared" si="97"/>
        <v>#VALUE!</v>
      </c>
      <c r="AF122" s="130">
        <f t="shared" si="98"/>
        <v>1</v>
      </c>
      <c r="AG122" s="234">
        <f t="shared" si="82"/>
        <v>0</v>
      </c>
      <c r="AH122" s="1753" t="str">
        <f>IF(T122="","",(IF(ISNUMBER(SEARCH("exit",T122)),8760,IF(AND(M122="Dusk to Dawn",'Proposed Lighting'!AU122=3),4059,IF(AND(AU122=3,M122="1"),0,IF(AND(AU122=3,M122="1-C"),0,IF(AND(AU122=3,M122="2"),0,IF(AND(AU122=3,M122="2-C"),0,IF(AND(AU122=3,M122="3"),0,IF(AND(AU122=3,M122="3-C"),0,IF(AND(AU122=2,M122="Dusk to Dawn"),0,IF(AND(AU122=2,M122="Dusk to Dawn-C"),0,IF(AND(AU122=2,M122="Dusk to Dawn"),0,IF(AND(AU122=2,M122="E"),0,IF(AND(AU122=2,M122="E-C"),0,EG122)))))))))))))))</f>
        <v/>
      </c>
      <c r="AI122" s="1754"/>
      <c r="AJ122" s="1136"/>
      <c r="AK122" s="1136"/>
      <c r="AL122" s="1748">
        <f t="shared" si="99"/>
        <v>0</v>
      </c>
      <c r="AM122" s="1749"/>
      <c r="AN122" s="1750"/>
      <c r="AO122" s="476">
        <f t="shared" si="83"/>
        <v>0</v>
      </c>
      <c r="AP122" s="476">
        <f t="shared" si="100"/>
        <v>0</v>
      </c>
      <c r="AQ122" s="475">
        <f t="shared" si="84"/>
        <v>0</v>
      </c>
      <c r="AR122" s="475">
        <f t="shared" si="101"/>
        <v>0</v>
      </c>
      <c r="AS122" s="743" t="str">
        <f t="shared" si="156"/>
        <v/>
      </c>
      <c r="AT122" s="736" t="str">
        <f t="shared" si="102"/>
        <v/>
      </c>
      <c r="AU122" s="56">
        <f t="shared" si="103"/>
        <v>1</v>
      </c>
      <c r="AV122" s="476">
        <f t="shared" si="104"/>
        <v>0</v>
      </c>
      <c r="AW122" s="56">
        <f t="shared" si="105"/>
        <v>0</v>
      </c>
      <c r="AX122" s="475">
        <f t="shared" si="85"/>
        <v>0</v>
      </c>
      <c r="AY122" s="1169">
        <f t="shared" si="106"/>
        <v>0</v>
      </c>
      <c r="AZ122" s="1150">
        <f t="shared" si="148"/>
        <v>0</v>
      </c>
      <c r="BA122" s="56">
        <f t="shared" si="86"/>
        <v>0</v>
      </c>
      <c r="BB122" s="420">
        <f t="shared" si="87"/>
        <v>0</v>
      </c>
      <c r="BC122" s="58" t="str">
        <f t="shared" si="88"/>
        <v/>
      </c>
      <c r="BD122" s="660">
        <f t="shared" si="149"/>
        <v>0</v>
      </c>
      <c r="BE122" s="57" t="e">
        <f t="array" ref="BE122">INDEX($EB$11:$ED$1022,MATCH(F122&amp;T122,$EB$11:$EB$1007&amp;$EC$11:$EC$1007,0),3)</f>
        <v>#N/A</v>
      </c>
      <c r="BF122" s="463">
        <f t="shared" si="157"/>
        <v>0</v>
      </c>
      <c r="BG122" s="1445" t="e">
        <f t="array" ref="BG122">INDEX($DO$112:$DQ$123,MATCH(T122&amp;W122,$DO$114:$DO$125&amp;$DP$112:$DP$123,0),3)</f>
        <v>#N/A</v>
      </c>
      <c r="BH122" s="1446">
        <f t="shared" si="108"/>
        <v>0</v>
      </c>
      <c r="BI122" s="465">
        <f t="shared" si="109"/>
        <v>0</v>
      </c>
      <c r="BJ122" s="465">
        <f t="shared" si="110"/>
        <v>0</v>
      </c>
      <c r="BK122" s="466">
        <f t="shared" si="158"/>
        <v>0</v>
      </c>
      <c r="BL122" s="466">
        <f t="shared" si="159"/>
        <v>0</v>
      </c>
      <c r="BM122" s="466">
        <f t="shared" si="113"/>
        <v>0</v>
      </c>
      <c r="BN122" s="466">
        <f t="shared" si="114"/>
        <v>0</v>
      </c>
      <c r="BO122" s="463">
        <f>IF('Data Entry'!$C$74=0,0,IF(ISNA(CJ122),0,IF(AX122=0,0,IF(AND('Data Entry'!$C$74=2,AF122&gt;2,CE122&lt;1),0,IF(AND('Data Entry'!$C$74=2,AF122&gt;1,AU122=2,CJ122&gt;1),0,IF(AND(AF122=5,CT122=0.5,AU122=2,ER122&lt;100),0,IF(AND(AF122=5,CT122=0.5,AU122=3,ER122&lt;100),0,IF(AND('Data Entry'!$C$74=2,AF122=2,AU122=2,AK122&gt;0.01,CB122=2,CE122&lt;1),0,IF(AND('Data Entry'!$C$74=2,AF122=3,AU122=3,AK122&gt;0.01,CB122=3,CE122&lt;1),0,IF(AND('Data Entry'!$C$74=2,AF122=3,AU122=3,AK122&gt;0.01,CB122=3,CE122&gt;0.99),BQ122*0.08,IF(AND('Data Entry'!$C$74=2,AF122=2,AU122=2,AK122&gt;0.01,CB122=2,CE122&gt;0.99),BQ122*0.1,IF(AND(AU122=2,AK122&gt;0.01,CB122=2,CD122&gt;1),BQ122*0.1,IF(AND(AU122=3,AK122&gt;0.01,CB122=3,CD122&gt;1),BQ122*0.08,CJ122*EF122)))))))))))))</f>
        <v>0</v>
      </c>
      <c r="BP122" s="475">
        <f t="shared" si="115"/>
        <v>0</v>
      </c>
      <c r="BQ122" s="1431">
        <f>IF(AU122=1,0,IF(CH122=100,0,IF(AND(AF122=3,AU122=2),0,IF(AND(BH122=0,CT122&gt;0.4),0,IF(AND('Data Entry'!$C$74=2,AF122=1.5),0,IF(AND('Data Entry'!$C$74=2,AF122=1.6),0,IF(AND('Data Entry'!$C$74=2,AF122=4),0,IF(AND('Data Entry'!$C$74=2,AF122=5),0,IF(AND('Data Entry'!$C$74=2,AF122=2.5,CE122&lt;1),0,IF(AND('Data Entry'!$C$74=2,AF122=3,CE122&lt;1),0,IF(AND('Data Entry'!$C$74=1,AF122=2.5,CD122&lt;1),0,IF(AND('Data Entry'!$C$74=1,AF122=3,CD122&lt;1),0,IF(DX122&gt;0.01,DX122,IF(ISERROR(AX122-AY122),"",ROUND(AX122-AY122,2)))))))))))))))</f>
        <v>0</v>
      </c>
      <c r="BR122" s="146">
        <f t="shared" si="116"/>
        <v>0</v>
      </c>
      <c r="BS122" s="475">
        <f t="shared" si="117"/>
        <v>0</v>
      </c>
      <c r="BT122" s="146" t="b">
        <f t="shared" si="118"/>
        <v>0</v>
      </c>
      <c r="BU122" s="463">
        <f>IF(ISNA(AT122),0,IF(AND('Data Entry'!$C$74=2,BC122=27),0,IF(AND('Data Entry'!$C$74=2,BC122=28),0,IF(AND(BC122=27,BT122=27,CM122&gt;0.1),CM122*0.15,IF(AND(BC122=28,BT122=28,CM122&gt;0.1),CM122*0.12,0)))))</f>
        <v>0</v>
      </c>
      <c r="BV122" s="463">
        <f t="shared" si="155"/>
        <v>0</v>
      </c>
      <c r="BW122" s="463">
        <f t="shared" si="119"/>
        <v>0</v>
      </c>
      <c r="BX122" s="463">
        <f t="shared" si="120"/>
        <v>0</v>
      </c>
      <c r="BY122" s="463">
        <f t="shared" si="121"/>
        <v>0</v>
      </c>
      <c r="BZ122" s="463">
        <f t="shared" si="122"/>
        <v>0</v>
      </c>
      <c r="CA122" s="57">
        <f t="shared" si="150"/>
        <v>0</v>
      </c>
      <c r="CB122" s="56">
        <f t="shared" si="123"/>
        <v>1</v>
      </c>
      <c r="CC122" s="756">
        <f>IF(EE122=0,0,IF(EF122=0,0,IF(EE122&gt;AA122,0,IF(AND(AZ122&gt;AW122,AW122&gt;0),0,IF(CU122=0,0,Summary!AC425)))))</f>
        <v>0</v>
      </c>
      <c r="CD122" s="756">
        <f>IF(EE122=0,0,IF(EF122=0,0,IF(EE122&gt;AA122,0,IF(AND(AZ122&gt;AW122,AW122&gt;0),0,IF(CU122=0,0,Summary!AD425)))))</f>
        <v>0</v>
      </c>
      <c r="CE122" s="756">
        <f>IF(EF122=0,0,IF(EE122&gt;AA122,0,IF(CC122=0,0,IF(AND(AZ122&gt;AW122,AW122&gt;0),0,IF(CU122=0,0,Summary!AE425)))))</f>
        <v>0</v>
      </c>
      <c r="CF122" s="475">
        <f t="shared" si="124"/>
        <v>0</v>
      </c>
      <c r="CG122" s="476">
        <f t="shared" si="89"/>
        <v>0</v>
      </c>
      <c r="CH122" s="487">
        <f t="shared" si="125"/>
        <v>0</v>
      </c>
      <c r="CI122" s="756">
        <f t="shared" si="126"/>
        <v>0</v>
      </c>
      <c r="CJ122" s="487">
        <f>IF(CT122&gt;0.4,0,IF(AND(AU122=2,CH122=0,CT122=0.5,ER122=100),35,IF(AND(AU122=3,BB122&gt;75,CH122=0,CT122=0.5,ER122=100),25,IF(CB122&gt;1,0,IF(EF122&gt;EE122,0,IF(AND(AF122&gt;1,CH122=100),0,IF(AND(AF122=1,AY122=0),0,IF(AND(EF122&lt;=EE122,AW122&gt;=AZ122,'Data Entry'!$C$74=1,AU122=2),VLOOKUP(W122,$DO$96:$DP$102,2,FALSE),IF(AND(EF122&lt;=EE122,AW122&gt;=AZ122,AU122=3,'Data Entry'!$C$74=1),VLOOKUP(W122,$DO$127:$DP$134,2,FALSE))))))))))</f>
        <v>0</v>
      </c>
      <c r="CK122" s="716">
        <f t="shared" si="127"/>
        <v>0</v>
      </c>
      <c r="CL122" s="57">
        <f t="shared" si="128"/>
        <v>0</v>
      </c>
      <c r="CM122" s="475">
        <f t="shared" si="154"/>
        <v>0</v>
      </c>
      <c r="CN122" s="660">
        <f>IF(CM122&lt;0.1,0,IF(ISNA(AT122),0,IF(CL122+BC122=1,0,IF(BV122&gt;0.01,0,IF(CL122&gt;0.01,0,IF(CF122=1,0,IF(BC122=0.5,0,IF(AND(CI122=1,AU122=3),0,IF(AND(CI122=5,CL122=0),0,IF(AND(R122=12,BR122=50),0,IF(CK122&gt;0.01,0,IF(AND(AJ122&gt;0.01,AU122=2,BC122=15),CM122*0.1,IF(AND(AJ122&gt;0.01,AU122=3,BC122=15),CM122*0.08,IF(AND(R122=12,BC122=3,AF122&lt;=0),0,IF(AND(BC122=15,BI122=0),0,IF(AND(BC122=15,BJ122=0),0,IF(AND(R122=20,CU122=0),0,IF($X$4=0,0,IF(AND(BC122=250,CL122=0),0,IF(AA122&lt;1,0,IF(AND(ISNUMBER(SEARCH("Area",T122)),AU122=3),0,IF(AND(AQ122&gt;0.01,AR122=0,BK122=0,BL122=0,BM122=0,BN122=0),0,IF(AND(AU122=3,CI122=7,CT122&gt;0.5),0,IF(AND(BC122=44,AU122=3,BY122=0),0,IF(AND(BC122=27,'Data Entry'!$C$74=2),0,IF(AND(BC122=28,'Data Entry'!$C$74=2),0,IF(AND(BY122+BZ122+CA122&gt;0.01,BV122=0,EQ122+ER122+ES122+ET122&lt;100),0,IF(AU122=3,CM122*0.08,IF(AU122=2,CM122*0.1,0)))))))))))))))))))))))))))))</f>
        <v>0</v>
      </c>
      <c r="CO122" s="660">
        <f t="shared" si="129"/>
        <v>0</v>
      </c>
      <c r="CP122" s="475" t="str">
        <f t="shared" si="130"/>
        <v/>
      </c>
      <c r="CQ122" s="161" t="str">
        <f>IF(AH122=0,0,IF(AU122=5,0,Summary!AC125))</f>
        <v/>
      </c>
      <c r="CR122" s="161" t="str">
        <f>IF(BF122=0.5,0,IF(AU122=5,0,Summary!AD125))</f>
        <v/>
      </c>
      <c r="CS122" s="161" t="str">
        <f>IF(AU122=5,0,Summary!AE125)</f>
        <v/>
      </c>
      <c r="CT122" s="161">
        <f t="shared" si="131"/>
        <v>0</v>
      </c>
      <c r="CU122" s="475" t="str">
        <f t="shared" si="132"/>
        <v/>
      </c>
      <c r="CV122" s="307">
        <f>IF('Data Entry'!$C$74=0,0,IF(AA122&lt;1,0,IF(ISERROR(CU122),0,IF(CF122=1,0,IF(AND(R122=12,BR122=50),0,IF(CL122+BO122+BV122+DC122=0,0,IF(BC122=37,0,IF(AND(BC122=40,AJ122=0),0,IF(AND(BC122=37,BO122&gt;0.01,BQ122&gt;0.01),ROUND(BQ122,0),IF(CM122&lt;0,0,ROUND(CM122,0)))))))))))</f>
        <v>0</v>
      </c>
      <c r="CW122" s="700">
        <f t="shared" si="133"/>
        <v>0</v>
      </c>
      <c r="CX122" s="477">
        <f>IF('Data Entry'!$C$74=0,0,IF(CV122&lt;0.01,0,IF(BF122=0.5,0,IF(CF122=1,0,IF(ISNUMBER(SEARCH("false",CL122)),0,IF(AZ122=500,0,CL122))))))</f>
        <v>0</v>
      </c>
      <c r="CY122" s="147" t="e">
        <f t="shared" si="134"/>
        <v>#VALUE!</v>
      </c>
      <c r="CZ122" s="147" t="b">
        <f>IF(CN122+CL122=0,FALSE,IF(AH122=0,0,IF(AND('Data Entry'!$C$74=1,CR122&gt;=1),TRUE,IF(AND('Data Entry'!$C$74=2,CS122&gt;=1),TRUE,FALSE))))</f>
        <v>0</v>
      </c>
      <c r="DA122" s="1751">
        <f>IF('Data Entry'!$C$74=0,0,IFERROR(ROUND(IF(T122="","",IF($X$4=0,0,IF(CF122=1,0,IF(BQ122+CV122=0,0,IF(CF122=1,0,IF(CY122&gt;0.01,CY122,IF(CL122&gt;0.01,CL122,IF(CY122&gt;0.01,CY122,IF(BC122=37,BO122,IF(CZ122=FALSE,0,IF(CZ122=TRUE,DC122+DF122,0))))))))))),2),""))</f>
        <v>0</v>
      </c>
      <c r="DB122" s="1752"/>
      <c r="DC122" s="474">
        <f>IF(CN122&lt;0.01,0,IF(AND(BR122=3,CN122&gt;0.01,CT122&gt;0.6,ER122+ES122+ET122&lt;100),0,IF(AND('Data Entry'!$C$74=1,CN122&gt;0.01,CR122&gt;0.99),MIN(CN122:CO122),IF(AND('Data Entry'!$C$74=2,CN122&gt;0.01,CS122&gt;0.99),MIN(CN122:CO122),0))))</f>
        <v>0</v>
      </c>
      <c r="DD122" s="478">
        <f>IF(CF122=1,"Selection does not match",IF(T122=0,0,IF(AND('Data Entry'!$C$74=0,CP122&gt;1),"Select Oregon or Idaho on Data Entry Tab",IF(AND(AU122=1,AA122&gt;0.9),"Missing Interior or Exterior Selection",IF($X$4=0,"Enter Total Project Cost",IF(AQ122&lt;AR122,"Insufficient kWh savings – no incentive",IF(AND(SUM(CL122+CK122+BV122)&gt;0.01,'Data Entry'!$C$74=2,CJ122&gt;1,BO122=0),"Submit Control as Non-Standard",IF(AND('Data Entry'!$C$74=2,BR122=37,CJ122&gt;1,BO122=0),"Submit Control as Non-Standard",IF(SUM(CL122+CK122+BV122)&gt;0.01,"Standard Incentive",IF(AND('Data Entry'!$C$74=2,CP122=7,CN122=0),"Submit as Non-Standard",IF(DC122&gt;0.9,"Non-Standard Incentive",IF(AND(BY122+BZ122+CA122&gt;0.01,BV122=0,EQ122=0,ER122=0,ES122=0,ET122=0),"Scroll Right &amp; Select Control Strategies",IF(AND(CN122&gt;0.01,CO122=0),"Enter Unit Installed Cost",IF(ISNUMBER(SEARCH("Lighting Controls Only",F122)),"Lighting Controls Only",IF(CL122+DC122=0,"Does not meet incentive criteria",0)))))))))))))))</f>
        <v>0</v>
      </c>
      <c r="DE122" s="337">
        <f t="shared" si="135"/>
        <v>0</v>
      </c>
      <c r="DF122" s="609">
        <f t="shared" si="136"/>
        <v>0</v>
      </c>
      <c r="DG122" s="336" t="str">
        <f t="shared" si="137"/>
        <v/>
      </c>
      <c r="DH122" s="338">
        <f t="shared" si="138"/>
        <v>1</v>
      </c>
      <c r="DI122" s="336" t="e">
        <f t="shared" si="90"/>
        <v>#VALUE!</v>
      </c>
      <c r="DJ122" s="338">
        <f t="shared" si="91"/>
        <v>0</v>
      </c>
      <c r="DK122" s="325" t="s">
        <v>513</v>
      </c>
      <c r="DL122" s="341">
        <v>246</v>
      </c>
      <c r="DM122" s="362" t="s">
        <v>478</v>
      </c>
      <c r="DN122" s="1439"/>
      <c r="DO122" s="409" t="s">
        <v>1567</v>
      </c>
      <c r="DP122" s="1444" t="s">
        <v>1488</v>
      </c>
      <c r="DQ122" s="704">
        <v>24</v>
      </c>
      <c r="DR122" s="357"/>
      <c r="DS122" s="1195">
        <f t="shared" si="139"/>
        <v>0</v>
      </c>
      <c r="DT122" s="344" t="b">
        <f t="shared" si="140"/>
        <v>1</v>
      </c>
      <c r="DU122" s="1314" t="str">
        <f t="array" ref="DU122">IF(OR(COUNTIF(F122,"*"&amp;$DK$9:$DK$178&amp;"*")), "Yes", "")</f>
        <v/>
      </c>
      <c r="DV122" s="1314">
        <f t="shared" si="141"/>
        <v>0</v>
      </c>
      <c r="DW122" s="1480">
        <f t="shared" si="142"/>
        <v>0</v>
      </c>
      <c r="DX122" s="1498">
        <f t="shared" si="151"/>
        <v>0</v>
      </c>
      <c r="DY122" s="1484">
        <f t="shared" si="143"/>
        <v>0</v>
      </c>
      <c r="DZ122" s="331"/>
      <c r="EA122" s="392"/>
      <c r="EB122" s="1499" t="s">
        <v>509</v>
      </c>
      <c r="EC122" s="727" t="s">
        <v>1568</v>
      </c>
      <c r="ED122" s="728">
        <v>0.5</v>
      </c>
      <c r="EE122" s="1215"/>
      <c r="EF122" s="1215"/>
      <c r="EG122" s="1184" t="str">
        <f t="shared" si="144"/>
        <v/>
      </c>
      <c r="EH122" s="55"/>
      <c r="EI122" s="55"/>
      <c r="EJ122" s="1185">
        <f t="shared" si="92"/>
        <v>0</v>
      </c>
      <c r="EK122" s="1211"/>
      <c r="EL122" s="1180">
        <f t="shared" si="93"/>
        <v>0</v>
      </c>
      <c r="EM122" s="206"/>
      <c r="EN122" s="1038"/>
      <c r="EO122" s="1038"/>
      <c r="EP122" s="1038"/>
      <c r="EQ122" s="1038">
        <f t="shared" si="145"/>
        <v>0</v>
      </c>
      <c r="ER122" s="1041">
        <f t="shared" si="146"/>
        <v>0</v>
      </c>
      <c r="ES122" s="1042">
        <f t="shared" si="147"/>
        <v>0</v>
      </c>
      <c r="ET122" s="1042">
        <f t="shared" si="152"/>
        <v>0</v>
      </c>
      <c r="EU122" s="1021">
        <f t="shared" si="153"/>
        <v>0</v>
      </c>
      <c r="EV122" s="368"/>
      <c r="EW122" s="368"/>
      <c r="EX122" s="369"/>
      <c r="EY122" s="370"/>
      <c r="EZ122" s="370"/>
      <c r="FA122" s="371"/>
      <c r="FB122" s="372"/>
    </row>
    <row r="123" spans="1:158" ht="34.5" customHeight="1">
      <c r="A123" s="82">
        <v>115</v>
      </c>
      <c r="B123" s="1725"/>
      <c r="C123" s="1726"/>
      <c r="D123" s="1726"/>
      <c r="E123" s="1727"/>
      <c r="F123" s="1732"/>
      <c r="G123" s="1733"/>
      <c r="H123" s="1733"/>
      <c r="I123" s="1734"/>
      <c r="J123" s="1341"/>
      <c r="K123" s="1728"/>
      <c r="L123" s="1728"/>
      <c r="M123" s="1342"/>
      <c r="N123" s="1583"/>
      <c r="O123" s="208" t="str">
        <f t="shared" si="80"/>
        <v/>
      </c>
      <c r="P123" s="785"/>
      <c r="Q123" s="39" t="str">
        <f t="shared" si="81"/>
        <v/>
      </c>
      <c r="R123" s="39">
        <f t="shared" si="94"/>
        <v>0</v>
      </c>
      <c r="S123" s="234">
        <f t="shared" si="95"/>
        <v>0</v>
      </c>
      <c r="T123" s="1755"/>
      <c r="U123" s="1755"/>
      <c r="V123" s="1755"/>
      <c r="W123" s="1345"/>
      <c r="X123" s="1741"/>
      <c r="Y123" s="1742"/>
      <c r="Z123" s="1346"/>
      <c r="AA123" s="1343"/>
      <c r="AB123" s="1141"/>
      <c r="AC123" s="1103" t="str">
        <f>IF(T123="","",VLOOKUP(Z123,Lists!$A$60:$B$111,2,FALSE))</f>
        <v/>
      </c>
      <c r="AD123" s="130" t="str">
        <f t="shared" si="96"/>
        <v/>
      </c>
      <c r="AE123" s="130" t="e">
        <f t="shared" si="97"/>
        <v>#VALUE!</v>
      </c>
      <c r="AF123" s="130">
        <f t="shared" si="98"/>
        <v>1</v>
      </c>
      <c r="AG123" s="234">
        <f t="shared" si="82"/>
        <v>0</v>
      </c>
      <c r="AH123" s="1753" t="str">
        <f>IF(T123="","",(IF(ISNUMBER(SEARCH("exit",T123)),8760,IF(AND(M123="Dusk to Dawn",'Proposed Lighting'!AU123=3),4059,IF(AND(AU123=3,M123="1"),0,IF(AND(AU123=3,M123="1-C"),0,IF(AND(AU123=3,M123="2"),0,IF(AND(AU123=3,M123="2-C"),0,IF(AND(AU123=3,M123="3"),0,IF(AND(AU123=3,M123="3-C"),0,IF(AND(AU123=2,M123="Dusk to Dawn"),0,IF(AND(AU123=2,M123="Dusk to Dawn-C"),0,IF(AND(AU123=2,M123="Dusk to Dawn"),0,IF(AND(AU123=2,M123="E"),0,IF(AND(AU123=2,M123="E-C"),0,EG123)))))))))))))))</f>
        <v/>
      </c>
      <c r="AI123" s="1754"/>
      <c r="AJ123" s="1136"/>
      <c r="AK123" s="1136"/>
      <c r="AL123" s="1748">
        <f t="shared" si="99"/>
        <v>0</v>
      </c>
      <c r="AM123" s="1749"/>
      <c r="AN123" s="1750"/>
      <c r="AO123" s="476">
        <f t="shared" si="83"/>
        <v>0</v>
      </c>
      <c r="AP123" s="476">
        <f t="shared" si="100"/>
        <v>0</v>
      </c>
      <c r="AQ123" s="475">
        <f t="shared" si="84"/>
        <v>0</v>
      </c>
      <c r="AR123" s="475">
        <f t="shared" si="101"/>
        <v>0</v>
      </c>
      <c r="AS123" s="743" t="str">
        <f t="shared" si="156"/>
        <v/>
      </c>
      <c r="AT123" s="736" t="str">
        <f t="shared" si="102"/>
        <v/>
      </c>
      <c r="AU123" s="56">
        <f t="shared" si="103"/>
        <v>1</v>
      </c>
      <c r="AV123" s="476">
        <f t="shared" si="104"/>
        <v>0</v>
      </c>
      <c r="AW123" s="56">
        <f t="shared" si="105"/>
        <v>0</v>
      </c>
      <c r="AX123" s="475">
        <f t="shared" si="85"/>
        <v>0</v>
      </c>
      <c r="AY123" s="1169">
        <f t="shared" si="106"/>
        <v>0</v>
      </c>
      <c r="AZ123" s="1150">
        <f t="shared" si="148"/>
        <v>0</v>
      </c>
      <c r="BA123" s="56">
        <f t="shared" si="86"/>
        <v>0</v>
      </c>
      <c r="BB123" s="420">
        <f t="shared" si="87"/>
        <v>0</v>
      </c>
      <c r="BC123" s="58" t="str">
        <f t="shared" si="88"/>
        <v/>
      </c>
      <c r="BD123" s="660">
        <f t="shared" si="149"/>
        <v>0</v>
      </c>
      <c r="BE123" s="57" t="e">
        <f t="array" ref="BE123">INDEX($EB$11:$ED$1022,MATCH(F123&amp;T123,$EB$11:$EB$1007&amp;$EC$11:$EC$1007,0),3)</f>
        <v>#N/A</v>
      </c>
      <c r="BF123" s="463">
        <f t="shared" si="157"/>
        <v>0</v>
      </c>
      <c r="BG123" s="1445" t="e">
        <f t="array" ref="BG123">INDEX($DO$112:$DQ$123,MATCH(T123&amp;W123,$DO$114:$DO$125&amp;$DP$112:$DP$123,0),3)</f>
        <v>#N/A</v>
      </c>
      <c r="BH123" s="1446">
        <f t="shared" si="108"/>
        <v>0</v>
      </c>
      <c r="BI123" s="465">
        <f t="shared" si="109"/>
        <v>0</v>
      </c>
      <c r="BJ123" s="465">
        <f t="shared" si="110"/>
        <v>0</v>
      </c>
      <c r="BK123" s="466">
        <f t="shared" si="158"/>
        <v>0</v>
      </c>
      <c r="BL123" s="466">
        <f t="shared" si="159"/>
        <v>0</v>
      </c>
      <c r="BM123" s="466">
        <f t="shared" si="113"/>
        <v>0</v>
      </c>
      <c r="BN123" s="466">
        <f t="shared" si="114"/>
        <v>0</v>
      </c>
      <c r="BO123" s="463">
        <f>IF('Data Entry'!$C$74=0,0,IF(ISNA(CJ123),0,IF(AX123=0,0,IF(AND('Data Entry'!$C$74=2,AF123&gt;2,CE123&lt;1),0,IF(AND('Data Entry'!$C$74=2,AF123&gt;1,AU123=2,CJ123&gt;1),0,IF(AND(AF123=5,CT123=0.5,AU123=2,ER123&lt;100),0,IF(AND(AF123=5,CT123=0.5,AU123=3,ER123&lt;100),0,IF(AND('Data Entry'!$C$74=2,AF123=2,AU123=2,AK123&gt;0.01,CB123=2,CE123&lt;1),0,IF(AND('Data Entry'!$C$74=2,AF123=3,AU123=3,AK123&gt;0.01,CB123=3,CE123&lt;1),0,IF(AND('Data Entry'!$C$74=2,AF123=3,AU123=3,AK123&gt;0.01,CB123=3,CE123&gt;0.99),BQ123*0.08,IF(AND('Data Entry'!$C$74=2,AF123=2,AU123=2,AK123&gt;0.01,CB123=2,CE123&gt;0.99),BQ123*0.1,IF(AND(AU123=2,AK123&gt;0.01,CB123=2,CD123&gt;1),BQ123*0.1,IF(AND(AU123=3,AK123&gt;0.01,CB123=3,CD123&gt;1),BQ123*0.08,CJ123*EF123)))))))))))))</f>
        <v>0</v>
      </c>
      <c r="BP123" s="475">
        <f t="shared" si="115"/>
        <v>0</v>
      </c>
      <c r="BQ123" s="1431">
        <f>IF(AU123=1,0,IF(CH123=100,0,IF(AND(AF123=3,AU123=2),0,IF(AND(BH123=0,CT123&gt;0.4),0,IF(AND('Data Entry'!$C$74=2,AF123=1.5),0,IF(AND('Data Entry'!$C$74=2,AF123=1.6),0,IF(AND('Data Entry'!$C$74=2,AF123=4),0,IF(AND('Data Entry'!$C$74=2,AF123=5),0,IF(AND('Data Entry'!$C$74=2,AF123=2.5,CE123&lt;1),0,IF(AND('Data Entry'!$C$74=2,AF123=3,CE123&lt;1),0,IF(AND('Data Entry'!$C$74=1,AF123=2.5,CD123&lt;1),0,IF(AND('Data Entry'!$C$74=1,AF123=3,CD123&lt;1),0,IF(DX123&gt;0.01,DX123,IF(ISERROR(AX123-AY123),"",ROUND(AX123-AY123,2)))))))))))))))</f>
        <v>0</v>
      </c>
      <c r="BR123" s="146">
        <f t="shared" si="116"/>
        <v>0</v>
      </c>
      <c r="BS123" s="475">
        <f t="shared" si="117"/>
        <v>0</v>
      </c>
      <c r="BT123" s="146" t="b">
        <f t="shared" si="118"/>
        <v>0</v>
      </c>
      <c r="BU123" s="463">
        <f>IF(ISNA(AT123),0,IF(AND('Data Entry'!$C$74=2,BC123=27),0,IF(AND('Data Entry'!$C$74=2,BC123=28),0,IF(AND(BC123=27,BT123=27,CM123&gt;0.1),CM123*0.15,IF(AND(BC123=28,BT123=28,CM123&gt;0.1),CM123*0.12,0)))))</f>
        <v>0</v>
      </c>
      <c r="BV123" s="463">
        <f t="shared" si="155"/>
        <v>0</v>
      </c>
      <c r="BW123" s="463">
        <f t="shared" si="119"/>
        <v>0</v>
      </c>
      <c r="BX123" s="463">
        <f t="shared" si="120"/>
        <v>0</v>
      </c>
      <c r="BY123" s="463">
        <f t="shared" si="121"/>
        <v>0</v>
      </c>
      <c r="BZ123" s="463">
        <f t="shared" si="122"/>
        <v>0</v>
      </c>
      <c r="CA123" s="57">
        <f t="shared" si="150"/>
        <v>0</v>
      </c>
      <c r="CB123" s="56">
        <f t="shared" si="123"/>
        <v>1</v>
      </c>
      <c r="CC123" s="756">
        <f>IF(EE123=0,0,IF(EF123=0,0,IF(EE123&gt;AA123,0,IF(AND(AZ123&gt;AW123,AW123&gt;0),0,IF(CU123=0,0,Summary!AC426)))))</f>
        <v>0</v>
      </c>
      <c r="CD123" s="756">
        <f>IF(EE123=0,0,IF(EF123=0,0,IF(EE123&gt;AA123,0,IF(AND(AZ123&gt;AW123,AW123&gt;0),0,IF(CU123=0,0,Summary!AD426)))))</f>
        <v>0</v>
      </c>
      <c r="CE123" s="756">
        <f>IF(EF123=0,0,IF(EE123&gt;AA123,0,IF(CC123=0,0,IF(AND(AZ123&gt;AW123,AW123&gt;0),0,IF(CU123=0,0,Summary!AE426)))))</f>
        <v>0</v>
      </c>
      <c r="CF123" s="475">
        <f t="shared" si="124"/>
        <v>0</v>
      </c>
      <c r="CG123" s="476">
        <f t="shared" si="89"/>
        <v>0</v>
      </c>
      <c r="CH123" s="487">
        <f t="shared" si="125"/>
        <v>0</v>
      </c>
      <c r="CI123" s="756">
        <f t="shared" si="126"/>
        <v>0</v>
      </c>
      <c r="CJ123" s="487">
        <f>IF(CT123&gt;0.4,0,IF(AND(AU123=2,CH123=0,CT123=0.5,ER123=100),35,IF(AND(AU123=3,BB123&gt;75,CH123=0,CT123=0.5,ER123=100),25,IF(CB123&gt;1,0,IF(EF123&gt;EE123,0,IF(AND(AF123&gt;1,CH123=100),0,IF(AND(AF123=1,AY123=0),0,IF(AND(EF123&lt;=EE123,AW123&gt;=AZ123,'Data Entry'!$C$74=1,AU123=2),VLOOKUP(W123,$DO$96:$DP$102,2,FALSE),IF(AND(EF123&lt;=EE123,AW123&gt;=AZ123,AU123=3,'Data Entry'!$C$74=1),VLOOKUP(W123,$DO$127:$DP$134,2,FALSE))))))))))</f>
        <v>0</v>
      </c>
      <c r="CK123" s="716">
        <f t="shared" si="127"/>
        <v>0</v>
      </c>
      <c r="CL123" s="57">
        <f t="shared" si="128"/>
        <v>0</v>
      </c>
      <c r="CM123" s="475">
        <f t="shared" si="154"/>
        <v>0</v>
      </c>
      <c r="CN123" s="660">
        <f>IF(CM123&lt;0.1,0,IF(ISNA(AT123),0,IF(CL123+BC123=1,0,IF(BV123&gt;0.01,0,IF(CL123&gt;0.01,0,IF(CF123=1,0,IF(BC123=0.5,0,IF(AND(CI123=1,AU123=3),0,IF(AND(CI123=5,CL123=0),0,IF(AND(R123=12,BR123=50),0,IF(CK123&gt;0.01,0,IF(AND(AJ123&gt;0.01,AU123=2,BC123=15),CM123*0.1,IF(AND(AJ123&gt;0.01,AU123=3,BC123=15),CM123*0.08,IF(AND(R123=12,BC123=3,AF123&lt;=0),0,IF(AND(BC123=15,BI123=0),0,IF(AND(BC123=15,BJ123=0),0,IF(AND(R123=20,CU123=0),0,IF($X$4=0,0,IF(AND(BC123=250,CL123=0),0,IF(AA123&lt;1,0,IF(AND(ISNUMBER(SEARCH("Area",T123)),AU123=3),0,IF(AND(AQ123&gt;0.01,AR123=0,BK123=0,BL123=0,BM123=0,BN123=0),0,IF(AND(AU123=3,CI123=7,CT123&gt;0.5),0,IF(AND(BC123=44,AU123=3,BY123=0),0,IF(AND(BC123=27,'Data Entry'!$C$74=2),0,IF(AND(BC123=28,'Data Entry'!$C$74=2),0,IF(AND(BY123+BZ123+CA123&gt;0.01,BV123=0,EQ123+ER123+ES123+ET123&lt;100),0,IF(AU123=3,CM123*0.08,IF(AU123=2,CM123*0.1,0)))))))))))))))))))))))))))))</f>
        <v>0</v>
      </c>
      <c r="CO123" s="660">
        <f t="shared" si="129"/>
        <v>0</v>
      </c>
      <c r="CP123" s="475" t="str">
        <f t="shared" si="130"/>
        <v/>
      </c>
      <c r="CQ123" s="161" t="str">
        <f>IF(AH123=0,0,IF(AU123=5,0,Summary!AC126))</f>
        <v/>
      </c>
      <c r="CR123" s="161" t="str">
        <f>IF(BF123=0.5,0,IF(AU123=5,0,Summary!AD126))</f>
        <v/>
      </c>
      <c r="CS123" s="161" t="str">
        <f>IF(AU123=5,0,Summary!AE126)</f>
        <v/>
      </c>
      <c r="CT123" s="161">
        <f t="shared" si="131"/>
        <v>0</v>
      </c>
      <c r="CU123" s="475" t="str">
        <f t="shared" si="132"/>
        <v/>
      </c>
      <c r="CV123" s="307">
        <f>IF('Data Entry'!$C$74=0,0,IF(AA123&lt;1,0,IF(ISERROR(CU123),0,IF(CF123=1,0,IF(AND(R123=12,BR123=50),0,IF(CL123+BO123+BV123+DC123=0,0,IF(BC123=37,0,IF(AND(BC123=40,AJ123=0),0,IF(AND(BC123=37,BO123&gt;0.01,BQ123&gt;0.01),ROUND(BQ123,0),IF(CM123&lt;0,0,ROUND(CM123,0)))))))))))</f>
        <v>0</v>
      </c>
      <c r="CW123" s="700">
        <f t="shared" si="133"/>
        <v>0</v>
      </c>
      <c r="CX123" s="477">
        <f>IF('Data Entry'!$C$74=0,0,IF(CV123&lt;0.01,0,IF(BF123=0.5,0,IF(CF123=1,0,IF(ISNUMBER(SEARCH("false",CL123)),0,IF(AZ123=500,0,CL123))))))</f>
        <v>0</v>
      </c>
      <c r="CY123" s="147" t="e">
        <f t="shared" si="134"/>
        <v>#VALUE!</v>
      </c>
      <c r="CZ123" s="147" t="b">
        <f>IF(CN123+CL123=0,FALSE,IF(AH123=0,0,IF(AND('Data Entry'!$C$74=1,CR123&gt;=1),TRUE,IF(AND('Data Entry'!$C$74=2,CS123&gt;=1),TRUE,FALSE))))</f>
        <v>0</v>
      </c>
      <c r="DA123" s="1751">
        <f>IF('Data Entry'!$C$74=0,0,IFERROR(ROUND(IF(T123="","",IF($X$4=0,0,IF(CF123=1,0,IF(BQ123+CV123=0,0,IF(CF123=1,0,IF(CY123&gt;0.01,CY123,IF(CL123&gt;0.01,CL123,IF(CY123&gt;0.01,CY123,IF(BC123=37,BO123,IF(CZ123=FALSE,0,IF(CZ123=TRUE,DC123+DF123,0))))))))))),2),""))</f>
        <v>0</v>
      </c>
      <c r="DB123" s="1752"/>
      <c r="DC123" s="474">
        <f>IF(CN123&lt;0.01,0,IF(AND(BR123=3,CN123&gt;0.01,CT123&gt;0.6,ER123+ES123+ET123&lt;100),0,IF(AND('Data Entry'!$C$74=1,CN123&gt;0.01,CR123&gt;0.99),MIN(CN123:CO123),IF(AND('Data Entry'!$C$74=2,CN123&gt;0.01,CS123&gt;0.99),MIN(CN123:CO123),0))))</f>
        <v>0</v>
      </c>
      <c r="DD123" s="478">
        <f>IF(CF123=1,"Selection does not match",IF(T123=0,0,IF(AND('Data Entry'!$C$74=0,CP123&gt;1),"Select Oregon or Idaho on Data Entry Tab",IF(AND(AU123=1,AA123&gt;0.9),"Missing Interior or Exterior Selection",IF($X$4=0,"Enter Total Project Cost",IF(AQ123&lt;AR123,"Insufficient kWh savings – no incentive",IF(AND(SUM(CL123+CK123+BV123)&gt;0.01,'Data Entry'!$C$74=2,CJ123&gt;1,BO123=0),"Submit Control as Non-Standard",IF(AND('Data Entry'!$C$74=2,BR123=37,CJ123&gt;1,BO123=0),"Submit Control as Non-Standard",IF(SUM(CL123+CK123+BV123)&gt;0.01,"Standard Incentive",IF(AND('Data Entry'!$C$74=2,CP123=7,CN123=0),"Submit as Non-Standard",IF(DC123&gt;0.9,"Non-Standard Incentive",IF(AND(BY123+BZ123+CA123&gt;0.01,BV123=0,EQ123=0,ER123=0,ES123=0,ET123=0),"Scroll Right &amp; Select Control Strategies",IF(AND(CN123&gt;0.01,CO123=0),"Enter Unit Installed Cost",IF(ISNUMBER(SEARCH("Lighting Controls Only",F123)),"Lighting Controls Only",IF(CL123+DC123=0,"Does not meet incentive criteria",0)))))))))))))))</f>
        <v>0</v>
      </c>
      <c r="DE123" s="337">
        <f t="shared" si="135"/>
        <v>0</v>
      </c>
      <c r="DF123" s="609">
        <f t="shared" si="136"/>
        <v>0</v>
      </c>
      <c r="DG123" s="336" t="str">
        <f t="shared" si="137"/>
        <v/>
      </c>
      <c r="DH123" s="338">
        <f t="shared" si="138"/>
        <v>1</v>
      </c>
      <c r="DI123" s="336" t="e">
        <f t="shared" si="90"/>
        <v>#VALUE!</v>
      </c>
      <c r="DJ123" s="338">
        <f t="shared" si="91"/>
        <v>0</v>
      </c>
      <c r="DK123" s="325" t="s">
        <v>461</v>
      </c>
      <c r="DL123" s="341">
        <v>106</v>
      </c>
      <c r="DM123" s="322" t="s">
        <v>499</v>
      </c>
      <c r="DN123" s="1442"/>
      <c r="DO123" s="409" t="s">
        <v>1567</v>
      </c>
      <c r="DP123" s="1444" t="s">
        <v>1780</v>
      </c>
      <c r="DQ123" s="704">
        <v>29</v>
      </c>
      <c r="DR123" s="357"/>
      <c r="DS123" s="1195">
        <f t="shared" si="139"/>
        <v>0</v>
      </c>
      <c r="DT123" s="344" t="b">
        <f t="shared" si="140"/>
        <v>1</v>
      </c>
      <c r="DU123" s="1314" t="str">
        <f t="array" ref="DU123">IF(OR(COUNTIF(F123,"*"&amp;$DK$9:$DK$178&amp;"*")), "Yes", "")</f>
        <v/>
      </c>
      <c r="DV123" s="1314">
        <f t="shared" si="141"/>
        <v>0</v>
      </c>
      <c r="DW123" s="1480">
        <f t="shared" si="142"/>
        <v>0</v>
      </c>
      <c r="DX123" s="1498">
        <f t="shared" si="151"/>
        <v>0</v>
      </c>
      <c r="DY123" s="1484">
        <f t="shared" si="143"/>
        <v>0</v>
      </c>
      <c r="DZ123" s="331"/>
      <c r="EA123" s="392"/>
      <c r="EB123" s="1499" t="s">
        <v>510</v>
      </c>
      <c r="EC123" s="727" t="s">
        <v>1568</v>
      </c>
      <c r="ED123" s="728">
        <v>0.5</v>
      </c>
      <c r="EE123" s="1215"/>
      <c r="EF123" s="1215"/>
      <c r="EG123" s="1184" t="str">
        <f t="shared" si="144"/>
        <v/>
      </c>
      <c r="EH123" s="55"/>
      <c r="EI123" s="55"/>
      <c r="EJ123" s="1185">
        <f t="shared" si="92"/>
        <v>0</v>
      </c>
      <c r="EK123" s="1211"/>
      <c r="EL123" s="1180">
        <f t="shared" si="93"/>
        <v>0</v>
      </c>
      <c r="EM123" s="206"/>
      <c r="EN123" s="1038"/>
      <c r="EO123" s="1038"/>
      <c r="EP123" s="1038"/>
      <c r="EQ123" s="1038">
        <f t="shared" si="145"/>
        <v>0</v>
      </c>
      <c r="ER123" s="1041">
        <f t="shared" si="146"/>
        <v>0</v>
      </c>
      <c r="ES123" s="1042">
        <f t="shared" si="147"/>
        <v>0</v>
      </c>
      <c r="ET123" s="1042">
        <f t="shared" si="152"/>
        <v>0</v>
      </c>
      <c r="EU123" s="1021">
        <f t="shared" si="153"/>
        <v>0</v>
      </c>
      <c r="EV123" s="368"/>
      <c r="EW123" s="368"/>
      <c r="EX123" s="369"/>
      <c r="EY123" s="370"/>
      <c r="EZ123" s="370"/>
      <c r="FA123" s="371"/>
      <c r="FB123" s="372"/>
    </row>
    <row r="124" spans="1:158" ht="34.5" customHeight="1">
      <c r="A124" s="82">
        <v>116</v>
      </c>
      <c r="B124" s="1725"/>
      <c r="C124" s="1726"/>
      <c r="D124" s="1726"/>
      <c r="E124" s="1727"/>
      <c r="F124" s="1732"/>
      <c r="G124" s="1733"/>
      <c r="H124" s="1733"/>
      <c r="I124" s="1734"/>
      <c r="J124" s="1341"/>
      <c r="K124" s="1728"/>
      <c r="L124" s="1728"/>
      <c r="M124" s="1342"/>
      <c r="N124" s="1583"/>
      <c r="O124" s="208" t="str">
        <f t="shared" si="80"/>
        <v/>
      </c>
      <c r="P124" s="785"/>
      <c r="Q124" s="39" t="str">
        <f t="shared" si="81"/>
        <v/>
      </c>
      <c r="R124" s="39">
        <f t="shared" si="94"/>
        <v>0</v>
      </c>
      <c r="S124" s="234">
        <f t="shared" si="95"/>
        <v>0</v>
      </c>
      <c r="T124" s="1755"/>
      <c r="U124" s="1755"/>
      <c r="V124" s="1755"/>
      <c r="W124" s="1345"/>
      <c r="X124" s="1741"/>
      <c r="Y124" s="1742"/>
      <c r="Z124" s="1346"/>
      <c r="AA124" s="1343"/>
      <c r="AB124" s="1141"/>
      <c r="AC124" s="1103" t="str">
        <f>IF(T124="","",VLOOKUP(Z124,Lists!$A$60:$B$111,2,FALSE))</f>
        <v/>
      </c>
      <c r="AD124" s="130" t="str">
        <f t="shared" si="96"/>
        <v/>
      </c>
      <c r="AE124" s="130" t="e">
        <f t="shared" si="97"/>
        <v>#VALUE!</v>
      </c>
      <c r="AF124" s="130">
        <f t="shared" si="98"/>
        <v>1</v>
      </c>
      <c r="AG124" s="234">
        <f t="shared" si="82"/>
        <v>0</v>
      </c>
      <c r="AH124" s="1753" t="str">
        <f>IF(T124="","",(IF(ISNUMBER(SEARCH("exit",T124)),8760,IF(AND(M124="Dusk to Dawn",'Proposed Lighting'!AU124=3),4059,IF(AND(AU124=3,M124="1"),0,IF(AND(AU124=3,M124="1-C"),0,IF(AND(AU124=3,M124="2"),0,IF(AND(AU124=3,M124="2-C"),0,IF(AND(AU124=3,M124="3"),0,IF(AND(AU124=3,M124="3-C"),0,IF(AND(AU124=2,M124="Dusk to Dawn"),0,IF(AND(AU124=2,M124="Dusk to Dawn-C"),0,IF(AND(AU124=2,M124="Dusk to Dawn"),0,IF(AND(AU124=2,M124="E"),0,IF(AND(AU124=2,M124="E-C"),0,EG124)))))))))))))))</f>
        <v/>
      </c>
      <c r="AI124" s="1754"/>
      <c r="AJ124" s="1136"/>
      <c r="AK124" s="1136"/>
      <c r="AL124" s="1748">
        <f t="shared" si="99"/>
        <v>0</v>
      </c>
      <c r="AM124" s="1749"/>
      <c r="AN124" s="1750"/>
      <c r="AO124" s="476">
        <f t="shared" si="83"/>
        <v>0</v>
      </c>
      <c r="AP124" s="476">
        <f t="shared" si="100"/>
        <v>0</v>
      </c>
      <c r="AQ124" s="475">
        <f t="shared" si="84"/>
        <v>0</v>
      </c>
      <c r="AR124" s="475">
        <f t="shared" si="101"/>
        <v>0</v>
      </c>
      <c r="AS124" s="743" t="str">
        <f t="shared" si="156"/>
        <v/>
      </c>
      <c r="AT124" s="736" t="str">
        <f t="shared" si="102"/>
        <v/>
      </c>
      <c r="AU124" s="56">
        <f t="shared" si="103"/>
        <v>1</v>
      </c>
      <c r="AV124" s="476">
        <f t="shared" si="104"/>
        <v>0</v>
      </c>
      <c r="AW124" s="56">
        <f t="shared" si="105"/>
        <v>0</v>
      </c>
      <c r="AX124" s="475">
        <f t="shared" si="85"/>
        <v>0</v>
      </c>
      <c r="AY124" s="1169">
        <f t="shared" si="106"/>
        <v>0</v>
      </c>
      <c r="AZ124" s="1150">
        <f t="shared" si="148"/>
        <v>0</v>
      </c>
      <c r="BA124" s="56">
        <f t="shared" si="86"/>
        <v>0</v>
      </c>
      <c r="BB124" s="420">
        <f t="shared" si="87"/>
        <v>0</v>
      </c>
      <c r="BC124" s="58" t="str">
        <f t="shared" si="88"/>
        <v/>
      </c>
      <c r="BD124" s="660">
        <f t="shared" si="149"/>
        <v>0</v>
      </c>
      <c r="BE124" s="57" t="e">
        <f t="array" ref="BE124">INDEX($EB$11:$ED$1022,MATCH(F124&amp;T124,$EB$11:$EB$1007&amp;$EC$11:$EC$1007,0),3)</f>
        <v>#N/A</v>
      </c>
      <c r="BF124" s="463">
        <f t="shared" si="157"/>
        <v>0</v>
      </c>
      <c r="BG124" s="1445" t="e">
        <f t="array" ref="BG124">INDEX($DO$112:$DQ$123,MATCH(T124&amp;W124,$DO$114:$DO$125&amp;$DP$112:$DP$123,0),3)</f>
        <v>#N/A</v>
      </c>
      <c r="BH124" s="1446">
        <f t="shared" si="108"/>
        <v>0</v>
      </c>
      <c r="BI124" s="465">
        <f t="shared" si="109"/>
        <v>0</v>
      </c>
      <c r="BJ124" s="465">
        <f t="shared" si="110"/>
        <v>0</v>
      </c>
      <c r="BK124" s="466">
        <f t="shared" si="158"/>
        <v>0</v>
      </c>
      <c r="BL124" s="466">
        <f t="shared" si="159"/>
        <v>0</v>
      </c>
      <c r="BM124" s="466">
        <f t="shared" si="113"/>
        <v>0</v>
      </c>
      <c r="BN124" s="466">
        <f t="shared" si="114"/>
        <v>0</v>
      </c>
      <c r="BO124" s="463">
        <f>IF('Data Entry'!$C$74=0,0,IF(ISNA(CJ124),0,IF(AX124=0,0,IF(AND('Data Entry'!$C$74=2,AF124&gt;2,CE124&lt;1),0,IF(AND('Data Entry'!$C$74=2,AF124&gt;1,AU124=2,CJ124&gt;1),0,IF(AND(AF124=5,CT124=0.5,AU124=2,ER124&lt;100),0,IF(AND(AF124=5,CT124=0.5,AU124=3,ER124&lt;100),0,IF(AND('Data Entry'!$C$74=2,AF124=2,AU124=2,AK124&gt;0.01,CB124=2,CE124&lt;1),0,IF(AND('Data Entry'!$C$74=2,AF124=3,AU124=3,AK124&gt;0.01,CB124=3,CE124&lt;1),0,IF(AND('Data Entry'!$C$74=2,AF124=3,AU124=3,AK124&gt;0.01,CB124=3,CE124&gt;0.99),BQ124*0.08,IF(AND('Data Entry'!$C$74=2,AF124=2,AU124=2,AK124&gt;0.01,CB124=2,CE124&gt;0.99),BQ124*0.1,IF(AND(AU124=2,AK124&gt;0.01,CB124=2,CD124&gt;1),BQ124*0.1,IF(AND(AU124=3,AK124&gt;0.01,CB124=3,CD124&gt;1),BQ124*0.08,CJ124*EF124)))))))))))))</f>
        <v>0</v>
      </c>
      <c r="BP124" s="475">
        <f t="shared" si="115"/>
        <v>0</v>
      </c>
      <c r="BQ124" s="1431">
        <f>IF(AU124=1,0,IF(CH124=100,0,IF(AND(AF124=3,AU124=2),0,IF(AND(BH124=0,CT124&gt;0.4),0,IF(AND('Data Entry'!$C$74=2,AF124=1.5),0,IF(AND('Data Entry'!$C$74=2,AF124=1.6),0,IF(AND('Data Entry'!$C$74=2,AF124=4),0,IF(AND('Data Entry'!$C$74=2,AF124=5),0,IF(AND('Data Entry'!$C$74=2,AF124=2.5,CE124&lt;1),0,IF(AND('Data Entry'!$C$74=2,AF124=3,CE124&lt;1),0,IF(AND('Data Entry'!$C$74=1,AF124=2.5,CD124&lt;1),0,IF(AND('Data Entry'!$C$74=1,AF124=3,CD124&lt;1),0,IF(DX124&gt;0.01,DX124,IF(ISERROR(AX124-AY124),"",ROUND(AX124-AY124,2)))))))))))))))</f>
        <v>0</v>
      </c>
      <c r="BR124" s="146">
        <f t="shared" si="116"/>
        <v>0</v>
      </c>
      <c r="BS124" s="475">
        <f t="shared" si="117"/>
        <v>0</v>
      </c>
      <c r="BT124" s="146" t="b">
        <f t="shared" si="118"/>
        <v>0</v>
      </c>
      <c r="BU124" s="463">
        <f>IF(ISNA(AT124),0,IF(AND('Data Entry'!$C$74=2,BC124=27),0,IF(AND('Data Entry'!$C$74=2,BC124=28),0,IF(AND(BC124=27,BT124=27,CM124&gt;0.1),CM124*0.15,IF(AND(BC124=28,BT124=28,CM124&gt;0.1),CM124*0.12,0)))))</f>
        <v>0</v>
      </c>
      <c r="BV124" s="463">
        <f t="shared" si="155"/>
        <v>0</v>
      </c>
      <c r="BW124" s="463">
        <f t="shared" si="119"/>
        <v>0</v>
      </c>
      <c r="BX124" s="463">
        <f t="shared" si="120"/>
        <v>0</v>
      </c>
      <c r="BY124" s="463">
        <f t="shared" si="121"/>
        <v>0</v>
      </c>
      <c r="BZ124" s="463">
        <f t="shared" si="122"/>
        <v>0</v>
      </c>
      <c r="CA124" s="57">
        <f t="shared" si="150"/>
        <v>0</v>
      </c>
      <c r="CB124" s="56">
        <f t="shared" si="123"/>
        <v>1</v>
      </c>
      <c r="CC124" s="756">
        <f>IF(EE124=0,0,IF(EF124=0,0,IF(EE124&gt;AA124,0,IF(AND(AZ124&gt;AW124,AW124&gt;0),0,IF(CU124=0,0,Summary!AC427)))))</f>
        <v>0</v>
      </c>
      <c r="CD124" s="756">
        <f>IF(EE124=0,0,IF(EF124=0,0,IF(EE124&gt;AA124,0,IF(AND(AZ124&gt;AW124,AW124&gt;0),0,IF(CU124=0,0,Summary!AD427)))))</f>
        <v>0</v>
      </c>
      <c r="CE124" s="756">
        <f>IF(EF124=0,0,IF(EE124&gt;AA124,0,IF(CC124=0,0,IF(AND(AZ124&gt;AW124,AW124&gt;0),0,IF(CU124=0,0,Summary!AE427)))))</f>
        <v>0</v>
      </c>
      <c r="CF124" s="475">
        <f t="shared" si="124"/>
        <v>0</v>
      </c>
      <c r="CG124" s="476">
        <f t="shared" si="89"/>
        <v>0</v>
      </c>
      <c r="CH124" s="487">
        <f t="shared" si="125"/>
        <v>0</v>
      </c>
      <c r="CI124" s="756">
        <f t="shared" si="126"/>
        <v>0</v>
      </c>
      <c r="CJ124" s="487">
        <f>IF(CT124&gt;0.4,0,IF(AND(AU124=2,CH124=0,CT124=0.5,ER124=100),35,IF(AND(AU124=3,BB124&gt;75,CH124=0,CT124=0.5,ER124=100),25,IF(CB124&gt;1,0,IF(EF124&gt;EE124,0,IF(AND(AF124&gt;1,CH124=100),0,IF(AND(AF124=1,AY124=0),0,IF(AND(EF124&lt;=EE124,AW124&gt;=AZ124,'Data Entry'!$C$74=1,AU124=2),VLOOKUP(W124,$DO$96:$DP$102,2,FALSE),IF(AND(EF124&lt;=EE124,AW124&gt;=AZ124,AU124=3,'Data Entry'!$C$74=1),VLOOKUP(W124,$DO$127:$DP$134,2,FALSE))))))))))</f>
        <v>0</v>
      </c>
      <c r="CK124" s="716">
        <f t="shared" si="127"/>
        <v>0</v>
      </c>
      <c r="CL124" s="57">
        <f t="shared" si="128"/>
        <v>0</v>
      </c>
      <c r="CM124" s="475">
        <f t="shared" si="154"/>
        <v>0</v>
      </c>
      <c r="CN124" s="660">
        <f>IF(CM124&lt;0.1,0,IF(ISNA(AT124),0,IF(CL124+BC124=1,0,IF(BV124&gt;0.01,0,IF(CL124&gt;0.01,0,IF(CF124=1,0,IF(BC124=0.5,0,IF(AND(CI124=1,AU124=3),0,IF(AND(CI124=5,CL124=0),0,IF(AND(R124=12,BR124=50),0,IF(CK124&gt;0.01,0,IF(AND(AJ124&gt;0.01,AU124=2,BC124=15),CM124*0.1,IF(AND(AJ124&gt;0.01,AU124=3,BC124=15),CM124*0.08,IF(AND(R124=12,BC124=3,AF124&lt;=0),0,IF(AND(BC124=15,BI124=0),0,IF(AND(BC124=15,BJ124=0),0,IF(AND(R124=20,CU124=0),0,IF($X$4=0,0,IF(AND(BC124=250,CL124=0),0,IF(AA124&lt;1,0,IF(AND(ISNUMBER(SEARCH("Area",T124)),AU124=3),0,IF(AND(AQ124&gt;0.01,AR124=0,BK124=0,BL124=0,BM124=0,BN124=0),0,IF(AND(AU124=3,CI124=7,CT124&gt;0.5),0,IF(AND(BC124=44,AU124=3,BY124=0),0,IF(AND(BC124=27,'Data Entry'!$C$74=2),0,IF(AND(BC124=28,'Data Entry'!$C$74=2),0,IF(AND(BY124+BZ124+CA124&gt;0.01,BV124=0,EQ124+ER124+ES124+ET124&lt;100),0,IF(AU124=3,CM124*0.08,IF(AU124=2,CM124*0.1,0)))))))))))))))))))))))))))))</f>
        <v>0</v>
      </c>
      <c r="CO124" s="660">
        <f t="shared" si="129"/>
        <v>0</v>
      </c>
      <c r="CP124" s="475" t="str">
        <f t="shared" si="130"/>
        <v/>
      </c>
      <c r="CQ124" s="161" t="str">
        <f>IF(AH124=0,0,IF(AU124=5,0,Summary!AC127))</f>
        <v/>
      </c>
      <c r="CR124" s="161" t="str">
        <f>IF(BF124=0.5,0,IF(AU124=5,0,Summary!AD127))</f>
        <v/>
      </c>
      <c r="CS124" s="161" t="str">
        <f>IF(AU124=5,0,Summary!AE127)</f>
        <v/>
      </c>
      <c r="CT124" s="161">
        <f t="shared" si="131"/>
        <v>0</v>
      </c>
      <c r="CU124" s="475" t="str">
        <f t="shared" si="132"/>
        <v/>
      </c>
      <c r="CV124" s="307">
        <f>IF('Data Entry'!$C$74=0,0,IF(AA124&lt;1,0,IF(ISERROR(CU124),0,IF(CF124=1,0,IF(AND(R124=12,BR124=50),0,IF(CL124+BO124+BV124+DC124=0,0,IF(BC124=37,0,IF(AND(BC124=40,AJ124=0),0,IF(AND(BC124=37,BO124&gt;0.01,BQ124&gt;0.01),ROUND(BQ124,0),IF(CM124&lt;0,0,ROUND(CM124,0)))))))))))</f>
        <v>0</v>
      </c>
      <c r="CW124" s="700">
        <f t="shared" si="133"/>
        <v>0</v>
      </c>
      <c r="CX124" s="477">
        <f>IF('Data Entry'!$C$74=0,0,IF(CV124&lt;0.01,0,IF(BF124=0.5,0,IF(CF124=1,0,IF(ISNUMBER(SEARCH("false",CL124)),0,IF(AZ124=500,0,CL124))))))</f>
        <v>0</v>
      </c>
      <c r="CY124" s="147" t="e">
        <f t="shared" si="134"/>
        <v>#VALUE!</v>
      </c>
      <c r="CZ124" s="147" t="b">
        <f>IF(CN124+CL124=0,FALSE,IF(AH124=0,0,IF(AND('Data Entry'!$C$74=1,CR124&gt;=1),TRUE,IF(AND('Data Entry'!$C$74=2,CS124&gt;=1),TRUE,FALSE))))</f>
        <v>0</v>
      </c>
      <c r="DA124" s="1751">
        <f>IF('Data Entry'!$C$74=0,0,IFERROR(ROUND(IF(T124="","",IF($X$4=0,0,IF(CF124=1,0,IF(BQ124+CV124=0,0,IF(CF124=1,0,IF(CY124&gt;0.01,CY124,IF(CL124&gt;0.01,CL124,IF(CY124&gt;0.01,CY124,IF(BC124=37,BO124,IF(CZ124=FALSE,0,IF(CZ124=TRUE,DC124+DF124,0))))))))))),2),""))</f>
        <v>0</v>
      </c>
      <c r="DB124" s="1752"/>
      <c r="DC124" s="474">
        <f>IF(CN124&lt;0.01,0,IF(AND(BR124=3,CN124&gt;0.01,CT124&gt;0.6,ER124+ES124+ET124&lt;100),0,IF(AND('Data Entry'!$C$74=1,CN124&gt;0.01,CR124&gt;0.99),MIN(CN124:CO124),IF(AND('Data Entry'!$C$74=2,CN124&gt;0.01,CS124&gt;0.99),MIN(CN124:CO124),0))))</f>
        <v>0</v>
      </c>
      <c r="DD124" s="478">
        <f>IF(CF124=1,"Selection does not match",IF(T124=0,0,IF(AND('Data Entry'!$C$74=0,CP124&gt;1),"Select Oregon or Idaho on Data Entry Tab",IF(AND(AU124=1,AA124&gt;0.9),"Missing Interior or Exterior Selection",IF($X$4=0,"Enter Total Project Cost",IF(AQ124&lt;AR124,"Insufficient kWh savings – no incentive",IF(AND(SUM(CL124+CK124+BV124)&gt;0.01,'Data Entry'!$C$74=2,CJ124&gt;1,BO124=0),"Submit Control as Non-Standard",IF(AND('Data Entry'!$C$74=2,BR124=37,CJ124&gt;1,BO124=0),"Submit Control as Non-Standard",IF(SUM(CL124+CK124+BV124)&gt;0.01,"Standard Incentive",IF(AND('Data Entry'!$C$74=2,CP124=7,CN124=0),"Submit as Non-Standard",IF(DC124&gt;0.9,"Non-Standard Incentive",IF(AND(BY124+BZ124+CA124&gt;0.01,BV124=0,EQ124=0,ER124=0,ES124=0,ET124=0),"Scroll Right &amp; Select Control Strategies",IF(AND(CN124&gt;0.01,CO124=0),"Enter Unit Installed Cost",IF(ISNUMBER(SEARCH("Lighting Controls Only",F124)),"Lighting Controls Only",IF(CL124+DC124=0,"Does not meet incentive criteria",0)))))))))))))))</f>
        <v>0</v>
      </c>
      <c r="DE124" s="337">
        <f t="shared" si="135"/>
        <v>0</v>
      </c>
      <c r="DF124" s="609">
        <f t="shared" si="136"/>
        <v>0</v>
      </c>
      <c r="DG124" s="336" t="str">
        <f t="shared" si="137"/>
        <v/>
      </c>
      <c r="DH124" s="338">
        <f t="shared" si="138"/>
        <v>1</v>
      </c>
      <c r="DI124" s="336" t="e">
        <f t="shared" si="90"/>
        <v>#VALUE!</v>
      </c>
      <c r="DJ124" s="338">
        <f t="shared" si="91"/>
        <v>0</v>
      </c>
      <c r="DK124" s="373" t="s">
        <v>514</v>
      </c>
      <c r="DL124" s="323">
        <v>207</v>
      </c>
      <c r="DM124" s="362" t="s">
        <v>73</v>
      </c>
      <c r="DN124" s="1442"/>
      <c r="DO124" s="409" t="s">
        <v>1567</v>
      </c>
      <c r="DP124" s="332"/>
      <c r="DQ124" s="331"/>
      <c r="DR124" s="357"/>
      <c r="DS124" s="1195">
        <f t="shared" si="139"/>
        <v>0</v>
      </c>
      <c r="DT124" s="344" t="b">
        <f t="shared" si="140"/>
        <v>1</v>
      </c>
      <c r="DU124" s="1314" t="str">
        <f t="array" ref="DU124">IF(OR(COUNTIF(F124,"*"&amp;$DK$9:$DK$178&amp;"*")), "Yes", "")</f>
        <v/>
      </c>
      <c r="DV124" s="1314">
        <f t="shared" si="141"/>
        <v>0</v>
      </c>
      <c r="DW124" s="1480">
        <f t="shared" si="142"/>
        <v>0</v>
      </c>
      <c r="DX124" s="1498">
        <f t="shared" si="151"/>
        <v>0</v>
      </c>
      <c r="DY124" s="1484">
        <f t="shared" si="143"/>
        <v>0</v>
      </c>
      <c r="DZ124" s="331"/>
      <c r="EA124" s="392"/>
      <c r="EB124" s="1499" t="s">
        <v>511</v>
      </c>
      <c r="EC124" s="727" t="s">
        <v>1568</v>
      </c>
      <c r="ED124" s="728">
        <v>0.5</v>
      </c>
      <c r="EE124" s="1215"/>
      <c r="EF124" s="1215"/>
      <c r="EG124" s="1184" t="str">
        <f t="shared" si="144"/>
        <v/>
      </c>
      <c r="EH124" s="55"/>
      <c r="EI124" s="55"/>
      <c r="EJ124" s="1185">
        <f t="shared" si="92"/>
        <v>0</v>
      </c>
      <c r="EK124" s="1211"/>
      <c r="EL124" s="1180">
        <f t="shared" si="93"/>
        <v>0</v>
      </c>
      <c r="EM124" s="206"/>
      <c r="EN124" s="1038"/>
      <c r="EO124" s="1038"/>
      <c r="EP124" s="1038"/>
      <c r="EQ124" s="1038">
        <f t="shared" si="145"/>
        <v>0</v>
      </c>
      <c r="ER124" s="1041">
        <f t="shared" si="146"/>
        <v>0</v>
      </c>
      <c r="ES124" s="1042">
        <f t="shared" si="147"/>
        <v>0</v>
      </c>
      <c r="ET124" s="1042">
        <f t="shared" si="152"/>
        <v>0</v>
      </c>
      <c r="EU124" s="1021">
        <f t="shared" si="153"/>
        <v>0</v>
      </c>
      <c r="EV124" s="368"/>
      <c r="EW124" s="368"/>
      <c r="EX124" s="369"/>
      <c r="EY124" s="370"/>
      <c r="EZ124" s="370"/>
      <c r="FA124" s="371"/>
      <c r="FB124" s="372"/>
    </row>
    <row r="125" spans="1:158" ht="34.5" customHeight="1">
      <c r="A125" s="82">
        <v>117</v>
      </c>
      <c r="B125" s="1725"/>
      <c r="C125" s="1726"/>
      <c r="D125" s="1726"/>
      <c r="E125" s="1727"/>
      <c r="F125" s="1732"/>
      <c r="G125" s="1733"/>
      <c r="H125" s="1733"/>
      <c r="I125" s="1734"/>
      <c r="J125" s="1341"/>
      <c r="K125" s="1728"/>
      <c r="L125" s="1728"/>
      <c r="M125" s="1342"/>
      <c r="N125" s="1583"/>
      <c r="O125" s="208" t="str">
        <f t="shared" si="80"/>
        <v/>
      </c>
      <c r="P125" s="785"/>
      <c r="Q125" s="39" t="str">
        <f t="shared" si="81"/>
        <v/>
      </c>
      <c r="R125" s="39">
        <f t="shared" si="94"/>
        <v>0</v>
      </c>
      <c r="S125" s="234">
        <f t="shared" si="95"/>
        <v>0</v>
      </c>
      <c r="T125" s="1755"/>
      <c r="U125" s="1755"/>
      <c r="V125" s="1755"/>
      <c r="W125" s="1345"/>
      <c r="X125" s="1741"/>
      <c r="Y125" s="1742"/>
      <c r="Z125" s="1346"/>
      <c r="AA125" s="1343"/>
      <c r="AB125" s="1141"/>
      <c r="AC125" s="1103" t="str">
        <f>IF(T125="","",VLOOKUP(Z125,Lists!$A$60:$B$111,2,FALSE))</f>
        <v/>
      </c>
      <c r="AD125" s="130" t="str">
        <f t="shared" si="96"/>
        <v/>
      </c>
      <c r="AE125" s="130" t="e">
        <f t="shared" si="97"/>
        <v>#VALUE!</v>
      </c>
      <c r="AF125" s="130">
        <f t="shared" si="98"/>
        <v>1</v>
      </c>
      <c r="AG125" s="234">
        <f t="shared" si="82"/>
        <v>0</v>
      </c>
      <c r="AH125" s="1753" t="str">
        <f>IF(T125="","",(IF(ISNUMBER(SEARCH("exit",T125)),8760,IF(AND(M125="Dusk to Dawn",'Proposed Lighting'!AU125=3),4059,IF(AND(AU125=3,M125="1"),0,IF(AND(AU125=3,M125="1-C"),0,IF(AND(AU125=3,M125="2"),0,IF(AND(AU125=3,M125="2-C"),0,IF(AND(AU125=3,M125="3"),0,IF(AND(AU125=3,M125="3-C"),0,IF(AND(AU125=2,M125="Dusk to Dawn"),0,IF(AND(AU125=2,M125="Dusk to Dawn-C"),0,IF(AND(AU125=2,M125="Dusk to Dawn"),0,IF(AND(AU125=2,M125="E"),0,IF(AND(AU125=2,M125="E-C"),0,EG125)))))))))))))))</f>
        <v/>
      </c>
      <c r="AI125" s="1754"/>
      <c r="AJ125" s="1136"/>
      <c r="AK125" s="1136"/>
      <c r="AL125" s="1748">
        <f t="shared" si="99"/>
        <v>0</v>
      </c>
      <c r="AM125" s="1749"/>
      <c r="AN125" s="1750"/>
      <c r="AO125" s="476">
        <f t="shared" si="83"/>
        <v>0</v>
      </c>
      <c r="AP125" s="476">
        <f t="shared" si="100"/>
        <v>0</v>
      </c>
      <c r="AQ125" s="475">
        <f t="shared" si="84"/>
        <v>0</v>
      </c>
      <c r="AR125" s="475">
        <f t="shared" si="101"/>
        <v>0</v>
      </c>
      <c r="AS125" s="743" t="str">
        <f t="shared" si="156"/>
        <v/>
      </c>
      <c r="AT125" s="736" t="str">
        <f t="shared" si="102"/>
        <v/>
      </c>
      <c r="AU125" s="56">
        <f t="shared" si="103"/>
        <v>1</v>
      </c>
      <c r="AV125" s="476">
        <f t="shared" si="104"/>
        <v>0</v>
      </c>
      <c r="AW125" s="56">
        <f t="shared" si="105"/>
        <v>0</v>
      </c>
      <c r="AX125" s="475">
        <f t="shared" si="85"/>
        <v>0</v>
      </c>
      <c r="AY125" s="1169">
        <f t="shared" si="106"/>
        <v>0</v>
      </c>
      <c r="AZ125" s="1150">
        <f t="shared" si="148"/>
        <v>0</v>
      </c>
      <c r="BA125" s="56">
        <f t="shared" si="86"/>
        <v>0</v>
      </c>
      <c r="BB125" s="420">
        <f t="shared" si="87"/>
        <v>0</v>
      </c>
      <c r="BC125" s="58" t="str">
        <f t="shared" si="88"/>
        <v/>
      </c>
      <c r="BD125" s="660">
        <f t="shared" si="149"/>
        <v>0</v>
      </c>
      <c r="BE125" s="57" t="e">
        <f t="array" ref="BE125">INDEX($EB$11:$ED$1022,MATCH(F125&amp;T125,$EB$11:$EB$1007&amp;$EC$11:$EC$1007,0),3)</f>
        <v>#N/A</v>
      </c>
      <c r="BF125" s="463">
        <f t="shared" si="157"/>
        <v>0</v>
      </c>
      <c r="BG125" s="1445" t="e">
        <f t="array" ref="BG125">INDEX($DO$112:$DQ$123,MATCH(T125&amp;W125,$DO$114:$DO$125&amp;$DP$112:$DP$123,0),3)</f>
        <v>#N/A</v>
      </c>
      <c r="BH125" s="1446">
        <f t="shared" si="108"/>
        <v>0</v>
      </c>
      <c r="BI125" s="465">
        <f t="shared" si="109"/>
        <v>0</v>
      </c>
      <c r="BJ125" s="465">
        <f t="shared" si="110"/>
        <v>0</v>
      </c>
      <c r="BK125" s="466">
        <f t="shared" si="158"/>
        <v>0</v>
      </c>
      <c r="BL125" s="466">
        <f t="shared" si="159"/>
        <v>0</v>
      </c>
      <c r="BM125" s="466">
        <f t="shared" si="113"/>
        <v>0</v>
      </c>
      <c r="BN125" s="466">
        <f t="shared" si="114"/>
        <v>0</v>
      </c>
      <c r="BO125" s="463">
        <f>IF('Data Entry'!$C$74=0,0,IF(ISNA(CJ125),0,IF(AX125=0,0,IF(AND('Data Entry'!$C$74=2,AF125&gt;2,CE125&lt;1),0,IF(AND('Data Entry'!$C$74=2,AF125&gt;1,AU125=2,CJ125&gt;1),0,IF(AND(AF125=5,CT125=0.5,AU125=2,ER125&lt;100),0,IF(AND(AF125=5,CT125=0.5,AU125=3,ER125&lt;100),0,IF(AND('Data Entry'!$C$74=2,AF125=2,AU125=2,AK125&gt;0.01,CB125=2,CE125&lt;1),0,IF(AND('Data Entry'!$C$74=2,AF125=3,AU125=3,AK125&gt;0.01,CB125=3,CE125&lt;1),0,IF(AND('Data Entry'!$C$74=2,AF125=3,AU125=3,AK125&gt;0.01,CB125=3,CE125&gt;0.99),BQ125*0.08,IF(AND('Data Entry'!$C$74=2,AF125=2,AU125=2,AK125&gt;0.01,CB125=2,CE125&gt;0.99),BQ125*0.1,IF(AND(AU125=2,AK125&gt;0.01,CB125=2,CD125&gt;1),BQ125*0.1,IF(AND(AU125=3,AK125&gt;0.01,CB125=3,CD125&gt;1),BQ125*0.08,CJ125*EF125)))))))))))))</f>
        <v>0</v>
      </c>
      <c r="BP125" s="475">
        <f t="shared" si="115"/>
        <v>0</v>
      </c>
      <c r="BQ125" s="1431">
        <f>IF(AU125=1,0,IF(CH125=100,0,IF(AND(AF125=3,AU125=2),0,IF(AND(BH125=0,CT125&gt;0.4),0,IF(AND('Data Entry'!$C$74=2,AF125=1.5),0,IF(AND('Data Entry'!$C$74=2,AF125=1.6),0,IF(AND('Data Entry'!$C$74=2,AF125=4),0,IF(AND('Data Entry'!$C$74=2,AF125=5),0,IF(AND('Data Entry'!$C$74=2,AF125=2.5,CE125&lt;1),0,IF(AND('Data Entry'!$C$74=2,AF125=3,CE125&lt;1),0,IF(AND('Data Entry'!$C$74=1,AF125=2.5,CD125&lt;1),0,IF(AND('Data Entry'!$C$74=1,AF125=3,CD125&lt;1),0,IF(DX125&gt;0.01,DX125,IF(ISERROR(AX125-AY125),"",ROUND(AX125-AY125,2)))))))))))))))</f>
        <v>0</v>
      </c>
      <c r="BR125" s="146">
        <f t="shared" si="116"/>
        <v>0</v>
      </c>
      <c r="BS125" s="475">
        <f t="shared" si="117"/>
        <v>0</v>
      </c>
      <c r="BT125" s="146" t="b">
        <f t="shared" si="118"/>
        <v>0</v>
      </c>
      <c r="BU125" s="463">
        <f>IF(ISNA(AT125),0,IF(AND('Data Entry'!$C$74=2,BC125=27),0,IF(AND('Data Entry'!$C$74=2,BC125=28),0,IF(AND(BC125=27,BT125=27,CM125&gt;0.1),CM125*0.15,IF(AND(BC125=28,BT125=28,CM125&gt;0.1),CM125*0.12,0)))))</f>
        <v>0</v>
      </c>
      <c r="BV125" s="463">
        <f t="shared" si="155"/>
        <v>0</v>
      </c>
      <c r="BW125" s="463">
        <f t="shared" si="119"/>
        <v>0</v>
      </c>
      <c r="BX125" s="463">
        <f t="shared" si="120"/>
        <v>0</v>
      </c>
      <c r="BY125" s="463">
        <f t="shared" si="121"/>
        <v>0</v>
      </c>
      <c r="BZ125" s="463">
        <f t="shared" si="122"/>
        <v>0</v>
      </c>
      <c r="CA125" s="57">
        <f t="shared" si="150"/>
        <v>0</v>
      </c>
      <c r="CB125" s="56">
        <f t="shared" si="123"/>
        <v>1</v>
      </c>
      <c r="CC125" s="756">
        <f>IF(EE125=0,0,IF(EF125=0,0,IF(EE125&gt;AA125,0,IF(AND(AZ125&gt;AW125,AW125&gt;0),0,IF(CU125=0,0,Summary!AC428)))))</f>
        <v>0</v>
      </c>
      <c r="CD125" s="756">
        <f>IF(EE125=0,0,IF(EF125=0,0,IF(EE125&gt;AA125,0,IF(AND(AZ125&gt;AW125,AW125&gt;0),0,IF(CU125=0,0,Summary!AD428)))))</f>
        <v>0</v>
      </c>
      <c r="CE125" s="756">
        <f>IF(EF125=0,0,IF(EE125&gt;AA125,0,IF(CC125=0,0,IF(AND(AZ125&gt;AW125,AW125&gt;0),0,IF(CU125=0,0,Summary!AE428)))))</f>
        <v>0</v>
      </c>
      <c r="CF125" s="475">
        <f t="shared" si="124"/>
        <v>0</v>
      </c>
      <c r="CG125" s="476">
        <f t="shared" si="89"/>
        <v>0</v>
      </c>
      <c r="CH125" s="487">
        <f t="shared" si="125"/>
        <v>0</v>
      </c>
      <c r="CI125" s="756">
        <f t="shared" si="126"/>
        <v>0</v>
      </c>
      <c r="CJ125" s="487">
        <f>IF(CT125&gt;0.4,0,IF(AND(AU125=2,CH125=0,CT125=0.5,ER125=100),35,IF(AND(AU125=3,BB125&gt;75,CH125=0,CT125=0.5,ER125=100),25,IF(CB125&gt;1,0,IF(EF125&gt;EE125,0,IF(AND(AF125&gt;1,CH125=100),0,IF(AND(AF125=1,AY125=0),0,IF(AND(EF125&lt;=EE125,AW125&gt;=AZ125,'Data Entry'!$C$74=1,AU125=2),VLOOKUP(W125,$DO$96:$DP$102,2,FALSE),IF(AND(EF125&lt;=EE125,AW125&gt;=AZ125,AU125=3,'Data Entry'!$C$74=1),VLOOKUP(W125,$DO$127:$DP$134,2,FALSE))))))))))</f>
        <v>0</v>
      </c>
      <c r="CK125" s="716">
        <f t="shared" si="127"/>
        <v>0</v>
      </c>
      <c r="CL125" s="57">
        <f t="shared" si="128"/>
        <v>0</v>
      </c>
      <c r="CM125" s="475">
        <f t="shared" si="154"/>
        <v>0</v>
      </c>
      <c r="CN125" s="660">
        <f>IF(CM125&lt;0.1,0,IF(ISNA(AT125),0,IF(CL125+BC125=1,0,IF(BV125&gt;0.01,0,IF(CL125&gt;0.01,0,IF(CF125=1,0,IF(BC125=0.5,0,IF(AND(CI125=1,AU125=3),0,IF(AND(CI125=5,CL125=0),0,IF(AND(R125=12,BR125=50),0,IF(CK125&gt;0.01,0,IF(AND(AJ125&gt;0.01,AU125=2,BC125=15),CM125*0.1,IF(AND(AJ125&gt;0.01,AU125=3,BC125=15),CM125*0.08,IF(AND(R125=12,BC125=3,AF125&lt;=0),0,IF(AND(BC125=15,BI125=0),0,IF(AND(BC125=15,BJ125=0),0,IF(AND(R125=20,CU125=0),0,IF($X$4=0,0,IF(AND(BC125=250,CL125=0),0,IF(AA125&lt;1,0,IF(AND(ISNUMBER(SEARCH("Area",T125)),AU125=3),0,IF(AND(AQ125&gt;0.01,AR125=0,BK125=0,BL125=0,BM125=0,BN125=0),0,IF(AND(AU125=3,CI125=7,CT125&gt;0.5),0,IF(AND(BC125=44,AU125=3,BY125=0),0,IF(AND(BC125=27,'Data Entry'!$C$74=2),0,IF(AND(BC125=28,'Data Entry'!$C$74=2),0,IF(AND(BY125+BZ125+CA125&gt;0.01,BV125=0,EQ125+ER125+ES125+ET125&lt;100),0,IF(AU125=3,CM125*0.08,IF(AU125=2,CM125*0.1,0)))))))))))))))))))))))))))))</f>
        <v>0</v>
      </c>
      <c r="CO125" s="660">
        <f t="shared" si="129"/>
        <v>0</v>
      </c>
      <c r="CP125" s="475" t="str">
        <f t="shared" si="130"/>
        <v/>
      </c>
      <c r="CQ125" s="161" t="str">
        <f>IF(AH125=0,0,IF(AU125=5,0,Summary!AC128))</f>
        <v/>
      </c>
      <c r="CR125" s="161" t="str">
        <f>IF(BF125=0.5,0,IF(AU125=5,0,Summary!AD128))</f>
        <v/>
      </c>
      <c r="CS125" s="161" t="str">
        <f>IF(AU125=5,0,Summary!AE128)</f>
        <v/>
      </c>
      <c r="CT125" s="161">
        <f t="shared" si="131"/>
        <v>0</v>
      </c>
      <c r="CU125" s="475" t="str">
        <f t="shared" si="132"/>
        <v/>
      </c>
      <c r="CV125" s="307">
        <f>IF('Data Entry'!$C$74=0,0,IF(AA125&lt;1,0,IF(ISERROR(CU125),0,IF(CF125=1,0,IF(AND(R125=12,BR125=50),0,IF(CL125+BO125+BV125+DC125=0,0,IF(BC125=37,0,IF(AND(BC125=40,AJ125=0),0,IF(AND(BC125=37,BO125&gt;0.01,BQ125&gt;0.01),ROUND(BQ125,0),IF(CM125&lt;0,0,ROUND(CM125,0)))))))))))</f>
        <v>0</v>
      </c>
      <c r="CW125" s="700">
        <f t="shared" si="133"/>
        <v>0</v>
      </c>
      <c r="CX125" s="477">
        <f>IF('Data Entry'!$C$74=0,0,IF(CV125&lt;0.01,0,IF(BF125=0.5,0,IF(CF125=1,0,IF(ISNUMBER(SEARCH("false",CL125)),0,IF(AZ125=500,0,CL125))))))</f>
        <v>0</v>
      </c>
      <c r="CY125" s="147" t="e">
        <f t="shared" si="134"/>
        <v>#VALUE!</v>
      </c>
      <c r="CZ125" s="147" t="b">
        <f>IF(CN125+CL125=0,FALSE,IF(AH125=0,0,IF(AND('Data Entry'!$C$74=1,CR125&gt;=1),TRUE,IF(AND('Data Entry'!$C$74=2,CS125&gt;=1),TRUE,FALSE))))</f>
        <v>0</v>
      </c>
      <c r="DA125" s="1751">
        <f>IF('Data Entry'!$C$74=0,0,IFERROR(ROUND(IF(T125="","",IF($X$4=0,0,IF(CF125=1,0,IF(BQ125+CV125=0,0,IF(CF125=1,0,IF(CY125&gt;0.01,CY125,IF(CL125&gt;0.01,CL125,IF(CY125&gt;0.01,CY125,IF(BC125=37,BO125,IF(CZ125=FALSE,0,IF(CZ125=TRUE,DC125+DF125,0))))))))))),2),""))</f>
        <v>0</v>
      </c>
      <c r="DB125" s="1752"/>
      <c r="DC125" s="474">
        <f>IF(CN125&lt;0.01,0,IF(AND(BR125=3,CN125&gt;0.01,CT125&gt;0.6,ER125+ES125+ET125&lt;100),0,IF(AND('Data Entry'!$C$74=1,CN125&gt;0.01,CR125&gt;0.99),MIN(CN125:CO125),IF(AND('Data Entry'!$C$74=2,CN125&gt;0.01,CS125&gt;0.99),MIN(CN125:CO125),0))))</f>
        <v>0</v>
      </c>
      <c r="DD125" s="478">
        <f>IF(CF125=1,"Selection does not match",IF(T125=0,0,IF(AND('Data Entry'!$C$74=0,CP125&gt;1),"Select Oregon or Idaho on Data Entry Tab",IF(AND(AU125=1,AA125&gt;0.9),"Missing Interior or Exterior Selection",IF($X$4=0,"Enter Total Project Cost",IF(AQ125&lt;AR125,"Insufficient kWh savings – no incentive",IF(AND(SUM(CL125+CK125+BV125)&gt;0.01,'Data Entry'!$C$74=2,CJ125&gt;1,BO125=0),"Submit Control as Non-Standard",IF(AND('Data Entry'!$C$74=2,BR125=37,CJ125&gt;1,BO125=0),"Submit Control as Non-Standard",IF(SUM(CL125+CK125+BV125)&gt;0.01,"Standard Incentive",IF(AND('Data Entry'!$C$74=2,CP125=7,CN125=0),"Submit as Non-Standard",IF(DC125&gt;0.9,"Non-Standard Incentive",IF(AND(BY125+BZ125+CA125&gt;0.01,BV125=0,EQ125=0,ER125=0,ES125=0,ET125=0),"Scroll Right &amp; Select Control Strategies",IF(AND(CN125&gt;0.01,CO125=0),"Enter Unit Installed Cost",IF(ISNUMBER(SEARCH("Lighting Controls Only",F125)),"Lighting Controls Only",IF(CL125+DC125=0,"Does not meet incentive criteria",0)))))))))))))))</f>
        <v>0</v>
      </c>
      <c r="DE125" s="337">
        <f t="shared" si="135"/>
        <v>0</v>
      </c>
      <c r="DF125" s="609">
        <f t="shared" si="136"/>
        <v>0</v>
      </c>
      <c r="DG125" s="336" t="str">
        <f t="shared" si="137"/>
        <v/>
      </c>
      <c r="DH125" s="338">
        <f t="shared" si="138"/>
        <v>1</v>
      </c>
      <c r="DI125" s="336" t="e">
        <f t="shared" si="90"/>
        <v>#VALUE!</v>
      </c>
      <c r="DJ125" s="338">
        <f t="shared" si="91"/>
        <v>0</v>
      </c>
      <c r="DK125" s="325" t="s">
        <v>463</v>
      </c>
      <c r="DL125" s="341">
        <v>319</v>
      </c>
      <c r="DM125" s="325" t="s">
        <v>133</v>
      </c>
      <c r="DN125" s="1123">
        <v>2</v>
      </c>
      <c r="DO125" s="409" t="s">
        <v>1567</v>
      </c>
      <c r="DP125" s="332"/>
      <c r="DQ125" s="331"/>
      <c r="DR125" s="357"/>
      <c r="DS125" s="1195">
        <f t="shared" si="139"/>
        <v>0</v>
      </c>
      <c r="DT125" s="344" t="b">
        <f t="shared" si="140"/>
        <v>1</v>
      </c>
      <c r="DU125" s="1314" t="str">
        <f t="array" ref="DU125">IF(OR(COUNTIF(F125,"*"&amp;$DK$9:$DK$178&amp;"*")), "Yes", "")</f>
        <v/>
      </c>
      <c r="DV125" s="1314">
        <f t="shared" si="141"/>
        <v>0</v>
      </c>
      <c r="DW125" s="1480">
        <f t="shared" si="142"/>
        <v>0</v>
      </c>
      <c r="DX125" s="1498">
        <f t="shared" si="151"/>
        <v>0</v>
      </c>
      <c r="DY125" s="1484">
        <f t="shared" si="143"/>
        <v>0</v>
      </c>
      <c r="DZ125" s="331"/>
      <c r="EA125" s="392"/>
      <c r="EB125" s="1499" t="s">
        <v>512</v>
      </c>
      <c r="EC125" s="727" t="s">
        <v>1568</v>
      </c>
      <c r="ED125" s="728">
        <v>0.5</v>
      </c>
      <c r="EE125" s="1215"/>
      <c r="EF125" s="1215"/>
      <c r="EG125" s="1184" t="str">
        <f t="shared" si="144"/>
        <v/>
      </c>
      <c r="EH125" s="55"/>
      <c r="EI125" s="55"/>
      <c r="EJ125" s="1185">
        <f t="shared" si="92"/>
        <v>0</v>
      </c>
      <c r="EK125" s="1211"/>
      <c r="EL125" s="1180">
        <f t="shared" si="93"/>
        <v>0</v>
      </c>
      <c r="EM125" s="206"/>
      <c r="EN125" s="1038"/>
      <c r="EO125" s="1038"/>
      <c r="EP125" s="1038"/>
      <c r="EQ125" s="1038">
        <f t="shared" si="145"/>
        <v>0</v>
      </c>
      <c r="ER125" s="1041">
        <f t="shared" si="146"/>
        <v>0</v>
      </c>
      <c r="ES125" s="1042">
        <f t="shared" si="147"/>
        <v>0</v>
      </c>
      <c r="ET125" s="1042">
        <f t="shared" si="152"/>
        <v>0</v>
      </c>
      <c r="EU125" s="1021">
        <f t="shared" si="153"/>
        <v>0</v>
      </c>
      <c r="EV125" s="368"/>
      <c r="EW125" s="368"/>
      <c r="EX125" s="369"/>
      <c r="EY125" s="370"/>
      <c r="EZ125" s="370"/>
      <c r="FA125" s="371"/>
      <c r="FB125" s="372"/>
    </row>
    <row r="126" spans="1:158" ht="34.5" customHeight="1">
      <c r="A126" s="82">
        <v>118</v>
      </c>
      <c r="B126" s="1725"/>
      <c r="C126" s="1726"/>
      <c r="D126" s="1726"/>
      <c r="E126" s="1727"/>
      <c r="F126" s="1732"/>
      <c r="G126" s="1733"/>
      <c r="H126" s="1733"/>
      <c r="I126" s="1734"/>
      <c r="J126" s="1341"/>
      <c r="K126" s="1728"/>
      <c r="L126" s="1728"/>
      <c r="M126" s="1342"/>
      <c r="N126" s="1583"/>
      <c r="O126" s="208" t="str">
        <f t="shared" si="80"/>
        <v/>
      </c>
      <c r="P126" s="785"/>
      <c r="Q126" s="39" t="str">
        <f t="shared" si="81"/>
        <v/>
      </c>
      <c r="R126" s="39">
        <f t="shared" si="94"/>
        <v>0</v>
      </c>
      <c r="S126" s="234">
        <f t="shared" si="95"/>
        <v>0</v>
      </c>
      <c r="T126" s="1755"/>
      <c r="U126" s="1755"/>
      <c r="V126" s="1755"/>
      <c r="W126" s="1345"/>
      <c r="X126" s="1741"/>
      <c r="Y126" s="1742"/>
      <c r="Z126" s="1346"/>
      <c r="AA126" s="1343"/>
      <c r="AB126" s="1141"/>
      <c r="AC126" s="1103" t="str">
        <f>IF(T126="","",VLOOKUP(Z126,Lists!$A$60:$B$111,2,FALSE))</f>
        <v/>
      </c>
      <c r="AD126" s="130" t="str">
        <f t="shared" si="96"/>
        <v/>
      </c>
      <c r="AE126" s="130" t="e">
        <f t="shared" si="97"/>
        <v>#VALUE!</v>
      </c>
      <c r="AF126" s="130">
        <f t="shared" si="98"/>
        <v>1</v>
      </c>
      <c r="AG126" s="234">
        <f t="shared" si="82"/>
        <v>0</v>
      </c>
      <c r="AH126" s="1753" t="str">
        <f>IF(T126="","",(IF(ISNUMBER(SEARCH("exit",T126)),8760,IF(AND(M126="Dusk to Dawn",'Proposed Lighting'!AU126=3),4059,IF(AND(AU126=3,M126="1"),0,IF(AND(AU126=3,M126="1-C"),0,IF(AND(AU126=3,M126="2"),0,IF(AND(AU126=3,M126="2-C"),0,IF(AND(AU126=3,M126="3"),0,IF(AND(AU126=3,M126="3-C"),0,IF(AND(AU126=2,M126="Dusk to Dawn"),0,IF(AND(AU126=2,M126="Dusk to Dawn-C"),0,IF(AND(AU126=2,M126="Dusk to Dawn"),0,IF(AND(AU126=2,M126="E"),0,IF(AND(AU126=2,M126="E-C"),0,EG126)))))))))))))))</f>
        <v/>
      </c>
      <c r="AI126" s="1754"/>
      <c r="AJ126" s="1136"/>
      <c r="AK126" s="1136"/>
      <c r="AL126" s="1748">
        <f t="shared" si="99"/>
        <v>0</v>
      </c>
      <c r="AM126" s="1749"/>
      <c r="AN126" s="1750"/>
      <c r="AO126" s="476">
        <f t="shared" si="83"/>
        <v>0</v>
      </c>
      <c r="AP126" s="476">
        <f t="shared" si="100"/>
        <v>0</v>
      </c>
      <c r="AQ126" s="475">
        <f t="shared" si="84"/>
        <v>0</v>
      </c>
      <c r="AR126" s="475">
        <f t="shared" si="101"/>
        <v>0</v>
      </c>
      <c r="AS126" s="743" t="str">
        <f t="shared" si="156"/>
        <v/>
      </c>
      <c r="AT126" s="736" t="str">
        <f t="shared" si="102"/>
        <v/>
      </c>
      <c r="AU126" s="56">
        <f t="shared" si="103"/>
        <v>1</v>
      </c>
      <c r="AV126" s="476">
        <f t="shared" si="104"/>
        <v>0</v>
      </c>
      <c r="AW126" s="56">
        <f t="shared" si="105"/>
        <v>0</v>
      </c>
      <c r="AX126" s="475">
        <f t="shared" si="85"/>
        <v>0</v>
      </c>
      <c r="AY126" s="1169">
        <f t="shared" si="106"/>
        <v>0</v>
      </c>
      <c r="AZ126" s="1150">
        <f t="shared" si="148"/>
        <v>0</v>
      </c>
      <c r="BA126" s="56">
        <f t="shared" si="86"/>
        <v>0</v>
      </c>
      <c r="BB126" s="420">
        <f t="shared" si="87"/>
        <v>0</v>
      </c>
      <c r="BC126" s="58" t="str">
        <f t="shared" si="88"/>
        <v/>
      </c>
      <c r="BD126" s="660">
        <f t="shared" si="149"/>
        <v>0</v>
      </c>
      <c r="BE126" s="57" t="e">
        <f t="array" ref="BE126">INDEX($EB$11:$ED$1022,MATCH(F126&amp;T126,$EB$11:$EB$1007&amp;$EC$11:$EC$1007,0),3)</f>
        <v>#N/A</v>
      </c>
      <c r="BF126" s="463">
        <f t="shared" si="157"/>
        <v>0</v>
      </c>
      <c r="BG126" s="1445" t="e">
        <f t="array" ref="BG126">INDEX($DO$112:$DQ$123,MATCH(T126&amp;W126,$DO$114:$DO$125&amp;$DP$112:$DP$123,0),3)</f>
        <v>#N/A</v>
      </c>
      <c r="BH126" s="1446">
        <f t="shared" si="108"/>
        <v>0</v>
      </c>
      <c r="BI126" s="465">
        <f t="shared" si="109"/>
        <v>0</v>
      </c>
      <c r="BJ126" s="465">
        <f t="shared" si="110"/>
        <v>0</v>
      </c>
      <c r="BK126" s="466">
        <f t="shared" si="158"/>
        <v>0</v>
      </c>
      <c r="BL126" s="466">
        <f t="shared" si="159"/>
        <v>0</v>
      </c>
      <c r="BM126" s="466">
        <f t="shared" si="113"/>
        <v>0</v>
      </c>
      <c r="BN126" s="466">
        <f t="shared" si="114"/>
        <v>0</v>
      </c>
      <c r="BO126" s="463">
        <f>IF('Data Entry'!$C$74=0,0,IF(ISNA(CJ126),0,IF(AX126=0,0,IF(AND('Data Entry'!$C$74=2,AF126&gt;2,CE126&lt;1),0,IF(AND('Data Entry'!$C$74=2,AF126&gt;1,AU126=2,CJ126&gt;1),0,IF(AND(AF126=5,CT126=0.5,AU126=2,ER126&lt;100),0,IF(AND(AF126=5,CT126=0.5,AU126=3,ER126&lt;100),0,IF(AND('Data Entry'!$C$74=2,AF126=2,AU126=2,AK126&gt;0.01,CB126=2,CE126&lt;1),0,IF(AND('Data Entry'!$C$74=2,AF126=3,AU126=3,AK126&gt;0.01,CB126=3,CE126&lt;1),0,IF(AND('Data Entry'!$C$74=2,AF126=3,AU126=3,AK126&gt;0.01,CB126=3,CE126&gt;0.99),BQ126*0.08,IF(AND('Data Entry'!$C$74=2,AF126=2,AU126=2,AK126&gt;0.01,CB126=2,CE126&gt;0.99),BQ126*0.1,IF(AND(AU126=2,AK126&gt;0.01,CB126=2,CD126&gt;1),BQ126*0.1,IF(AND(AU126=3,AK126&gt;0.01,CB126=3,CD126&gt;1),BQ126*0.08,CJ126*EF126)))))))))))))</f>
        <v>0</v>
      </c>
      <c r="BP126" s="475">
        <f t="shared" si="115"/>
        <v>0</v>
      </c>
      <c r="BQ126" s="1431">
        <f>IF(AU126=1,0,IF(CH126=100,0,IF(AND(AF126=3,AU126=2),0,IF(AND(BH126=0,CT126&gt;0.4),0,IF(AND('Data Entry'!$C$74=2,AF126=1.5),0,IF(AND('Data Entry'!$C$74=2,AF126=1.6),0,IF(AND('Data Entry'!$C$74=2,AF126=4),0,IF(AND('Data Entry'!$C$74=2,AF126=5),0,IF(AND('Data Entry'!$C$74=2,AF126=2.5,CE126&lt;1),0,IF(AND('Data Entry'!$C$74=2,AF126=3,CE126&lt;1),0,IF(AND('Data Entry'!$C$74=1,AF126=2.5,CD126&lt;1),0,IF(AND('Data Entry'!$C$74=1,AF126=3,CD126&lt;1),0,IF(DX126&gt;0.01,DX126,IF(ISERROR(AX126-AY126),"",ROUND(AX126-AY126,2)))))))))))))))</f>
        <v>0</v>
      </c>
      <c r="BR126" s="146">
        <f t="shared" si="116"/>
        <v>0</v>
      </c>
      <c r="BS126" s="475">
        <f t="shared" si="117"/>
        <v>0</v>
      </c>
      <c r="BT126" s="146" t="b">
        <f t="shared" si="118"/>
        <v>0</v>
      </c>
      <c r="BU126" s="463">
        <f>IF(ISNA(AT126),0,IF(AND('Data Entry'!$C$74=2,BC126=27),0,IF(AND('Data Entry'!$C$74=2,BC126=28),0,IF(AND(BC126=27,BT126=27,CM126&gt;0.1),CM126*0.15,IF(AND(BC126=28,BT126=28,CM126&gt;0.1),CM126*0.12,0)))))</f>
        <v>0</v>
      </c>
      <c r="BV126" s="463">
        <f t="shared" si="155"/>
        <v>0</v>
      </c>
      <c r="BW126" s="463">
        <f t="shared" si="119"/>
        <v>0</v>
      </c>
      <c r="BX126" s="463">
        <f t="shared" si="120"/>
        <v>0</v>
      </c>
      <c r="BY126" s="463">
        <f t="shared" si="121"/>
        <v>0</v>
      </c>
      <c r="BZ126" s="463">
        <f t="shared" si="122"/>
        <v>0</v>
      </c>
      <c r="CA126" s="57">
        <f t="shared" si="150"/>
        <v>0</v>
      </c>
      <c r="CB126" s="56">
        <f t="shared" si="123"/>
        <v>1</v>
      </c>
      <c r="CC126" s="756">
        <f>IF(EE126=0,0,IF(EF126=0,0,IF(EE126&gt;AA126,0,IF(AND(AZ126&gt;AW126,AW126&gt;0),0,IF(CU126=0,0,Summary!AC429)))))</f>
        <v>0</v>
      </c>
      <c r="CD126" s="756">
        <f>IF(EE126=0,0,IF(EF126=0,0,IF(EE126&gt;AA126,0,IF(AND(AZ126&gt;AW126,AW126&gt;0),0,IF(CU126=0,0,Summary!AD429)))))</f>
        <v>0</v>
      </c>
      <c r="CE126" s="756">
        <f>IF(EF126=0,0,IF(EE126&gt;AA126,0,IF(CC126=0,0,IF(AND(AZ126&gt;AW126,AW126&gt;0),0,IF(CU126=0,0,Summary!AE429)))))</f>
        <v>0</v>
      </c>
      <c r="CF126" s="475">
        <f t="shared" si="124"/>
        <v>0</v>
      </c>
      <c r="CG126" s="476">
        <f t="shared" si="89"/>
        <v>0</v>
      </c>
      <c r="CH126" s="487">
        <f t="shared" si="125"/>
        <v>0</v>
      </c>
      <c r="CI126" s="756">
        <f t="shared" si="126"/>
        <v>0</v>
      </c>
      <c r="CJ126" s="487">
        <f>IF(CT126&gt;0.4,0,IF(AND(AU126=2,CH126=0,CT126=0.5,ER126=100),35,IF(AND(AU126=3,BB126&gt;75,CH126=0,CT126=0.5,ER126=100),25,IF(CB126&gt;1,0,IF(EF126&gt;EE126,0,IF(AND(AF126&gt;1,CH126=100),0,IF(AND(AF126=1,AY126=0),0,IF(AND(EF126&lt;=EE126,AW126&gt;=AZ126,'Data Entry'!$C$74=1,AU126=2),VLOOKUP(W126,$DO$96:$DP$102,2,FALSE),IF(AND(EF126&lt;=EE126,AW126&gt;=AZ126,AU126=3,'Data Entry'!$C$74=1),VLOOKUP(W126,$DO$127:$DP$134,2,FALSE))))))))))</f>
        <v>0</v>
      </c>
      <c r="CK126" s="716">
        <f t="shared" si="127"/>
        <v>0</v>
      </c>
      <c r="CL126" s="57">
        <f t="shared" si="128"/>
        <v>0</v>
      </c>
      <c r="CM126" s="475">
        <f t="shared" si="154"/>
        <v>0</v>
      </c>
      <c r="CN126" s="660">
        <f>IF(CM126&lt;0.1,0,IF(ISNA(AT126),0,IF(CL126+BC126=1,0,IF(BV126&gt;0.01,0,IF(CL126&gt;0.01,0,IF(CF126=1,0,IF(BC126=0.5,0,IF(AND(CI126=1,AU126=3),0,IF(AND(CI126=5,CL126=0),0,IF(AND(R126=12,BR126=50),0,IF(CK126&gt;0.01,0,IF(AND(AJ126&gt;0.01,AU126=2,BC126=15),CM126*0.1,IF(AND(AJ126&gt;0.01,AU126=3,BC126=15),CM126*0.08,IF(AND(R126=12,BC126=3,AF126&lt;=0),0,IF(AND(BC126=15,BI126=0),0,IF(AND(BC126=15,BJ126=0),0,IF(AND(R126=20,CU126=0),0,IF($X$4=0,0,IF(AND(BC126=250,CL126=0),0,IF(AA126&lt;1,0,IF(AND(ISNUMBER(SEARCH("Area",T126)),AU126=3),0,IF(AND(AQ126&gt;0.01,AR126=0,BK126=0,BL126=0,BM126=0,BN126=0),0,IF(AND(AU126=3,CI126=7,CT126&gt;0.5),0,IF(AND(BC126=44,AU126=3,BY126=0),0,IF(AND(BC126=27,'Data Entry'!$C$74=2),0,IF(AND(BC126=28,'Data Entry'!$C$74=2),0,IF(AND(BY126+BZ126+CA126&gt;0.01,BV126=0,EQ126+ER126+ES126+ET126&lt;100),0,IF(AU126=3,CM126*0.08,IF(AU126=2,CM126*0.1,0)))))))))))))))))))))))))))))</f>
        <v>0</v>
      </c>
      <c r="CO126" s="660">
        <f t="shared" si="129"/>
        <v>0</v>
      </c>
      <c r="CP126" s="475" t="str">
        <f t="shared" si="130"/>
        <v/>
      </c>
      <c r="CQ126" s="161" t="str">
        <f>IF(AH126=0,0,IF(AU126=5,0,Summary!AC129))</f>
        <v/>
      </c>
      <c r="CR126" s="161" t="str">
        <f>IF(BF126=0.5,0,IF(AU126=5,0,Summary!AD129))</f>
        <v/>
      </c>
      <c r="CS126" s="161" t="str">
        <f>IF(AU126=5,0,Summary!AE129)</f>
        <v/>
      </c>
      <c r="CT126" s="161">
        <f t="shared" si="131"/>
        <v>0</v>
      </c>
      <c r="CU126" s="475" t="str">
        <f t="shared" si="132"/>
        <v/>
      </c>
      <c r="CV126" s="307">
        <f>IF('Data Entry'!$C$74=0,0,IF(AA126&lt;1,0,IF(ISERROR(CU126),0,IF(CF126=1,0,IF(AND(R126=12,BR126=50),0,IF(CL126+BO126+BV126+DC126=0,0,IF(BC126=37,0,IF(AND(BC126=40,AJ126=0),0,IF(AND(BC126=37,BO126&gt;0.01,BQ126&gt;0.01),ROUND(BQ126,0),IF(CM126&lt;0,0,ROUND(CM126,0)))))))))))</f>
        <v>0</v>
      </c>
      <c r="CW126" s="700">
        <f t="shared" si="133"/>
        <v>0</v>
      </c>
      <c r="CX126" s="477">
        <f>IF('Data Entry'!$C$74=0,0,IF(CV126&lt;0.01,0,IF(BF126=0.5,0,IF(CF126=1,0,IF(ISNUMBER(SEARCH("false",CL126)),0,IF(AZ126=500,0,CL126))))))</f>
        <v>0</v>
      </c>
      <c r="CY126" s="147" t="e">
        <f t="shared" si="134"/>
        <v>#VALUE!</v>
      </c>
      <c r="CZ126" s="147" t="b">
        <f>IF(CN126+CL126=0,FALSE,IF(AH126=0,0,IF(AND('Data Entry'!$C$74=1,CR126&gt;=1),TRUE,IF(AND('Data Entry'!$C$74=2,CS126&gt;=1),TRUE,FALSE))))</f>
        <v>0</v>
      </c>
      <c r="DA126" s="1751">
        <f>IF('Data Entry'!$C$74=0,0,IFERROR(ROUND(IF(T126="","",IF($X$4=0,0,IF(CF126=1,0,IF(BQ126+CV126=0,0,IF(CF126=1,0,IF(CY126&gt;0.01,CY126,IF(CL126&gt;0.01,CL126,IF(CY126&gt;0.01,CY126,IF(BC126=37,BO126,IF(CZ126=FALSE,0,IF(CZ126=TRUE,DC126+DF126,0))))))))))),2),""))</f>
        <v>0</v>
      </c>
      <c r="DB126" s="1752"/>
      <c r="DC126" s="474">
        <f>IF(CN126&lt;0.01,0,IF(AND(BR126=3,CN126&gt;0.01,CT126&gt;0.6,ER126+ES126+ET126&lt;100),0,IF(AND('Data Entry'!$C$74=1,CN126&gt;0.01,CR126&gt;0.99),MIN(CN126:CO126),IF(AND('Data Entry'!$C$74=2,CN126&gt;0.01,CS126&gt;0.99),MIN(CN126:CO126),0))))</f>
        <v>0</v>
      </c>
      <c r="DD126" s="478">
        <f>IF(CF126=1,"Selection does not match",IF(T126=0,0,IF(AND('Data Entry'!$C$74=0,CP126&gt;1),"Select Oregon or Idaho on Data Entry Tab",IF(AND(AU126=1,AA126&gt;0.9),"Missing Interior or Exterior Selection",IF($X$4=0,"Enter Total Project Cost",IF(AQ126&lt;AR126,"Insufficient kWh savings – no incentive",IF(AND(SUM(CL126+CK126+BV126)&gt;0.01,'Data Entry'!$C$74=2,CJ126&gt;1,BO126=0),"Submit Control as Non-Standard",IF(AND('Data Entry'!$C$74=2,BR126=37,CJ126&gt;1,BO126=0),"Submit Control as Non-Standard",IF(SUM(CL126+CK126+BV126)&gt;0.01,"Standard Incentive",IF(AND('Data Entry'!$C$74=2,CP126=7,CN126=0),"Submit as Non-Standard",IF(DC126&gt;0.9,"Non-Standard Incentive",IF(AND(BY126+BZ126+CA126&gt;0.01,BV126=0,EQ126=0,ER126=0,ES126=0,ET126=0),"Scroll Right &amp; Select Control Strategies",IF(AND(CN126&gt;0.01,CO126=0),"Enter Unit Installed Cost",IF(ISNUMBER(SEARCH("Lighting Controls Only",F126)),"Lighting Controls Only",IF(CL126+DC126=0,"Does not meet incentive criteria",0)))))))))))))))</f>
        <v>0</v>
      </c>
      <c r="DE126" s="337">
        <f t="shared" si="135"/>
        <v>0</v>
      </c>
      <c r="DF126" s="609">
        <f t="shared" si="136"/>
        <v>0</v>
      </c>
      <c r="DG126" s="336" t="str">
        <f t="shared" si="137"/>
        <v/>
      </c>
      <c r="DH126" s="338">
        <f t="shared" si="138"/>
        <v>1</v>
      </c>
      <c r="DI126" s="336" t="e">
        <f t="shared" si="90"/>
        <v>#VALUE!</v>
      </c>
      <c r="DJ126" s="338">
        <f t="shared" si="91"/>
        <v>0</v>
      </c>
      <c r="DK126" s="325" t="s">
        <v>464</v>
      </c>
      <c r="DL126" s="341">
        <v>414</v>
      </c>
      <c r="DM126" s="325" t="s">
        <v>134</v>
      </c>
      <c r="DN126" s="1123">
        <v>4</v>
      </c>
      <c r="DO126" s="331"/>
      <c r="DP126" s="332"/>
      <c r="DQ126" s="331"/>
      <c r="DR126" s="357"/>
      <c r="DS126" s="1195">
        <f t="shared" si="139"/>
        <v>0</v>
      </c>
      <c r="DT126" s="344" t="b">
        <f t="shared" si="140"/>
        <v>1</v>
      </c>
      <c r="DU126" s="1314" t="str">
        <f t="array" ref="DU126">IF(OR(COUNTIF(F126,"*"&amp;$DK$9:$DK$178&amp;"*")), "Yes", "")</f>
        <v/>
      </c>
      <c r="DV126" s="1314">
        <f t="shared" si="141"/>
        <v>0</v>
      </c>
      <c r="DW126" s="1480">
        <f t="shared" si="142"/>
        <v>0</v>
      </c>
      <c r="DX126" s="1498">
        <f t="shared" si="151"/>
        <v>0</v>
      </c>
      <c r="DY126" s="1484">
        <f t="shared" si="143"/>
        <v>0</v>
      </c>
      <c r="DZ126" s="331"/>
      <c r="EA126" s="392"/>
      <c r="EB126" s="1499" t="s">
        <v>513</v>
      </c>
      <c r="EC126" s="727" t="s">
        <v>1568</v>
      </c>
      <c r="ED126" s="728">
        <v>0.5</v>
      </c>
      <c r="EE126" s="1215"/>
      <c r="EF126" s="1215"/>
      <c r="EG126" s="1184" t="str">
        <f t="shared" si="144"/>
        <v/>
      </c>
      <c r="EH126" s="55"/>
      <c r="EI126" s="55"/>
      <c r="EJ126" s="1185">
        <f t="shared" si="92"/>
        <v>0</v>
      </c>
      <c r="EK126" s="1211"/>
      <c r="EL126" s="1180">
        <f t="shared" si="93"/>
        <v>0</v>
      </c>
      <c r="EM126" s="206"/>
      <c r="EN126" s="1038"/>
      <c r="EO126" s="1038"/>
      <c r="EP126" s="1038"/>
      <c r="EQ126" s="1038">
        <f t="shared" si="145"/>
        <v>0</v>
      </c>
      <c r="ER126" s="1041">
        <f t="shared" si="146"/>
        <v>0</v>
      </c>
      <c r="ES126" s="1042">
        <f t="shared" si="147"/>
        <v>0</v>
      </c>
      <c r="ET126" s="1042">
        <f t="shared" si="152"/>
        <v>0</v>
      </c>
      <c r="EU126" s="1021">
        <f t="shared" si="153"/>
        <v>0</v>
      </c>
      <c r="EV126" s="368"/>
      <c r="EW126" s="368"/>
      <c r="EX126" s="369"/>
      <c r="EY126" s="370"/>
      <c r="EZ126" s="370"/>
      <c r="FA126" s="371"/>
      <c r="FB126" s="372"/>
    </row>
    <row r="127" spans="1:158" ht="34.5" customHeight="1">
      <c r="A127" s="82">
        <v>119</v>
      </c>
      <c r="B127" s="1725"/>
      <c r="C127" s="1726"/>
      <c r="D127" s="1726"/>
      <c r="E127" s="1727"/>
      <c r="F127" s="1732"/>
      <c r="G127" s="1733"/>
      <c r="H127" s="1733"/>
      <c r="I127" s="1734"/>
      <c r="J127" s="1341"/>
      <c r="K127" s="1728"/>
      <c r="L127" s="1728"/>
      <c r="M127" s="1342"/>
      <c r="N127" s="1583"/>
      <c r="O127" s="208" t="str">
        <f t="shared" si="80"/>
        <v/>
      </c>
      <c r="P127" s="785"/>
      <c r="Q127" s="39" t="str">
        <f t="shared" si="81"/>
        <v/>
      </c>
      <c r="R127" s="39">
        <f t="shared" si="94"/>
        <v>0</v>
      </c>
      <c r="S127" s="234">
        <f t="shared" si="95"/>
        <v>0</v>
      </c>
      <c r="T127" s="1755"/>
      <c r="U127" s="1755"/>
      <c r="V127" s="1755"/>
      <c r="W127" s="1345"/>
      <c r="X127" s="1741"/>
      <c r="Y127" s="1742"/>
      <c r="Z127" s="1346"/>
      <c r="AA127" s="1343"/>
      <c r="AB127" s="1141"/>
      <c r="AC127" s="1103" t="str">
        <f>IF(T127="","",VLOOKUP(Z127,Lists!$A$60:$B$111,2,FALSE))</f>
        <v/>
      </c>
      <c r="AD127" s="130" t="str">
        <f t="shared" si="96"/>
        <v/>
      </c>
      <c r="AE127" s="130" t="e">
        <f t="shared" si="97"/>
        <v>#VALUE!</v>
      </c>
      <c r="AF127" s="130">
        <f t="shared" si="98"/>
        <v>1</v>
      </c>
      <c r="AG127" s="234">
        <f t="shared" si="82"/>
        <v>0</v>
      </c>
      <c r="AH127" s="1753" t="str">
        <f>IF(T127="","",(IF(ISNUMBER(SEARCH("exit",T127)),8760,IF(AND(M127="Dusk to Dawn",'Proposed Lighting'!AU127=3),4059,IF(AND(AU127=3,M127="1"),0,IF(AND(AU127=3,M127="1-C"),0,IF(AND(AU127=3,M127="2"),0,IF(AND(AU127=3,M127="2-C"),0,IF(AND(AU127=3,M127="3"),0,IF(AND(AU127=3,M127="3-C"),0,IF(AND(AU127=2,M127="Dusk to Dawn"),0,IF(AND(AU127=2,M127="Dusk to Dawn-C"),0,IF(AND(AU127=2,M127="Dusk to Dawn"),0,IF(AND(AU127=2,M127="E"),0,IF(AND(AU127=2,M127="E-C"),0,EG127)))))))))))))))</f>
        <v/>
      </c>
      <c r="AI127" s="1754"/>
      <c r="AJ127" s="1136"/>
      <c r="AK127" s="1136"/>
      <c r="AL127" s="1748">
        <f t="shared" si="99"/>
        <v>0</v>
      </c>
      <c r="AM127" s="1749"/>
      <c r="AN127" s="1750"/>
      <c r="AO127" s="476">
        <f t="shared" si="83"/>
        <v>0</v>
      </c>
      <c r="AP127" s="476">
        <f t="shared" si="100"/>
        <v>0</v>
      </c>
      <c r="AQ127" s="475">
        <f t="shared" si="84"/>
        <v>0</v>
      </c>
      <c r="AR127" s="475">
        <f t="shared" si="101"/>
        <v>0</v>
      </c>
      <c r="AS127" s="743" t="str">
        <f t="shared" si="156"/>
        <v/>
      </c>
      <c r="AT127" s="736" t="str">
        <f t="shared" si="102"/>
        <v/>
      </c>
      <c r="AU127" s="56">
        <f t="shared" si="103"/>
        <v>1</v>
      </c>
      <c r="AV127" s="476">
        <f t="shared" si="104"/>
        <v>0</v>
      </c>
      <c r="AW127" s="56">
        <f t="shared" si="105"/>
        <v>0</v>
      </c>
      <c r="AX127" s="475">
        <f t="shared" si="85"/>
        <v>0</v>
      </c>
      <c r="AY127" s="1169">
        <f t="shared" si="106"/>
        <v>0</v>
      </c>
      <c r="AZ127" s="1150">
        <f t="shared" si="148"/>
        <v>0</v>
      </c>
      <c r="BA127" s="56">
        <f t="shared" si="86"/>
        <v>0</v>
      </c>
      <c r="BB127" s="420">
        <f t="shared" si="87"/>
        <v>0</v>
      </c>
      <c r="BC127" s="58" t="str">
        <f t="shared" si="88"/>
        <v/>
      </c>
      <c r="BD127" s="660">
        <f t="shared" si="149"/>
        <v>0</v>
      </c>
      <c r="BE127" s="57" t="e">
        <f t="array" ref="BE127">INDEX($EB$11:$ED$1022,MATCH(F127&amp;T127,$EB$11:$EB$1007&amp;$EC$11:$EC$1007,0),3)</f>
        <v>#N/A</v>
      </c>
      <c r="BF127" s="463">
        <f t="shared" si="157"/>
        <v>0</v>
      </c>
      <c r="BG127" s="1445" t="e">
        <f t="array" ref="BG127">INDEX($DO$112:$DQ$123,MATCH(T127&amp;W127,$DO$114:$DO$125&amp;$DP$112:$DP$123,0),3)</f>
        <v>#N/A</v>
      </c>
      <c r="BH127" s="1446">
        <f t="shared" si="108"/>
        <v>0</v>
      </c>
      <c r="BI127" s="465">
        <f t="shared" si="109"/>
        <v>0</v>
      </c>
      <c r="BJ127" s="465">
        <f t="shared" si="110"/>
        <v>0</v>
      </c>
      <c r="BK127" s="466">
        <f t="shared" si="158"/>
        <v>0</v>
      </c>
      <c r="BL127" s="466">
        <f t="shared" si="159"/>
        <v>0</v>
      </c>
      <c r="BM127" s="466">
        <f t="shared" si="113"/>
        <v>0</v>
      </c>
      <c r="BN127" s="466">
        <f t="shared" si="114"/>
        <v>0</v>
      </c>
      <c r="BO127" s="463">
        <f>IF('Data Entry'!$C$74=0,0,IF(ISNA(CJ127),0,IF(AX127=0,0,IF(AND('Data Entry'!$C$74=2,AF127&gt;2,CE127&lt;1),0,IF(AND('Data Entry'!$C$74=2,AF127&gt;1,AU127=2,CJ127&gt;1),0,IF(AND(AF127=5,CT127=0.5,AU127=2,ER127&lt;100),0,IF(AND(AF127=5,CT127=0.5,AU127=3,ER127&lt;100),0,IF(AND('Data Entry'!$C$74=2,AF127=2,AU127=2,AK127&gt;0.01,CB127=2,CE127&lt;1),0,IF(AND('Data Entry'!$C$74=2,AF127=3,AU127=3,AK127&gt;0.01,CB127=3,CE127&lt;1),0,IF(AND('Data Entry'!$C$74=2,AF127=3,AU127=3,AK127&gt;0.01,CB127=3,CE127&gt;0.99),BQ127*0.08,IF(AND('Data Entry'!$C$74=2,AF127=2,AU127=2,AK127&gt;0.01,CB127=2,CE127&gt;0.99),BQ127*0.1,IF(AND(AU127=2,AK127&gt;0.01,CB127=2,CD127&gt;1),BQ127*0.1,IF(AND(AU127=3,AK127&gt;0.01,CB127=3,CD127&gt;1),BQ127*0.08,CJ127*EF127)))))))))))))</f>
        <v>0</v>
      </c>
      <c r="BP127" s="475">
        <f t="shared" si="115"/>
        <v>0</v>
      </c>
      <c r="BQ127" s="1431">
        <f>IF(AU127=1,0,IF(CH127=100,0,IF(AND(AF127=3,AU127=2),0,IF(AND(BH127=0,CT127&gt;0.4),0,IF(AND('Data Entry'!$C$74=2,AF127=1.5),0,IF(AND('Data Entry'!$C$74=2,AF127=1.6),0,IF(AND('Data Entry'!$C$74=2,AF127=4),0,IF(AND('Data Entry'!$C$74=2,AF127=5),0,IF(AND('Data Entry'!$C$74=2,AF127=2.5,CE127&lt;1),0,IF(AND('Data Entry'!$C$74=2,AF127=3,CE127&lt;1),0,IF(AND('Data Entry'!$C$74=1,AF127=2.5,CD127&lt;1),0,IF(AND('Data Entry'!$C$74=1,AF127=3,CD127&lt;1),0,IF(DX127&gt;0.01,DX127,IF(ISERROR(AX127-AY127),"",ROUND(AX127-AY127,2)))))))))))))))</f>
        <v>0</v>
      </c>
      <c r="BR127" s="146">
        <f t="shared" si="116"/>
        <v>0</v>
      </c>
      <c r="BS127" s="475">
        <f t="shared" si="117"/>
        <v>0</v>
      </c>
      <c r="BT127" s="146" t="b">
        <f t="shared" si="118"/>
        <v>0</v>
      </c>
      <c r="BU127" s="463">
        <f>IF(ISNA(AT127),0,IF(AND('Data Entry'!$C$74=2,BC127=27),0,IF(AND('Data Entry'!$C$74=2,BC127=28),0,IF(AND(BC127=27,BT127=27,CM127&gt;0.1),CM127*0.15,IF(AND(BC127=28,BT127=28,CM127&gt;0.1),CM127*0.12,0)))))</f>
        <v>0</v>
      </c>
      <c r="BV127" s="463">
        <f t="shared" si="155"/>
        <v>0</v>
      </c>
      <c r="BW127" s="463">
        <f t="shared" si="119"/>
        <v>0</v>
      </c>
      <c r="BX127" s="463">
        <f t="shared" si="120"/>
        <v>0</v>
      </c>
      <c r="BY127" s="463">
        <f t="shared" si="121"/>
        <v>0</v>
      </c>
      <c r="BZ127" s="463">
        <f t="shared" si="122"/>
        <v>0</v>
      </c>
      <c r="CA127" s="57">
        <f t="shared" si="150"/>
        <v>0</v>
      </c>
      <c r="CB127" s="56">
        <f t="shared" si="123"/>
        <v>1</v>
      </c>
      <c r="CC127" s="756">
        <f>IF(EE127=0,0,IF(EF127=0,0,IF(EE127&gt;AA127,0,IF(AND(AZ127&gt;AW127,AW127&gt;0),0,IF(CU127=0,0,Summary!AC430)))))</f>
        <v>0</v>
      </c>
      <c r="CD127" s="756">
        <f>IF(EE127=0,0,IF(EF127=0,0,IF(EE127&gt;AA127,0,IF(AND(AZ127&gt;AW127,AW127&gt;0),0,IF(CU127=0,0,Summary!AD430)))))</f>
        <v>0</v>
      </c>
      <c r="CE127" s="756">
        <f>IF(EF127=0,0,IF(EE127&gt;AA127,0,IF(CC127=0,0,IF(AND(AZ127&gt;AW127,AW127&gt;0),0,IF(CU127=0,0,Summary!AE430)))))</f>
        <v>0</v>
      </c>
      <c r="CF127" s="475">
        <f t="shared" si="124"/>
        <v>0</v>
      </c>
      <c r="CG127" s="476">
        <f t="shared" si="89"/>
        <v>0</v>
      </c>
      <c r="CH127" s="487">
        <f t="shared" si="125"/>
        <v>0</v>
      </c>
      <c r="CI127" s="756">
        <f t="shared" si="126"/>
        <v>0</v>
      </c>
      <c r="CJ127" s="487">
        <f>IF(CT127&gt;0.4,0,IF(AND(AU127=2,CH127=0,CT127=0.5,ER127=100),35,IF(AND(AU127=3,BB127&gt;75,CH127=0,CT127=0.5,ER127=100),25,IF(CB127&gt;1,0,IF(EF127&gt;EE127,0,IF(AND(AF127&gt;1,CH127=100),0,IF(AND(AF127=1,AY127=0),0,IF(AND(EF127&lt;=EE127,AW127&gt;=AZ127,'Data Entry'!$C$74=1,AU127=2),VLOOKUP(W127,$DO$96:$DP$102,2,FALSE),IF(AND(EF127&lt;=EE127,AW127&gt;=AZ127,AU127=3,'Data Entry'!$C$74=1),VLOOKUP(W127,$DO$127:$DP$134,2,FALSE))))))))))</f>
        <v>0</v>
      </c>
      <c r="CK127" s="716">
        <f t="shared" si="127"/>
        <v>0</v>
      </c>
      <c r="CL127" s="57">
        <f t="shared" si="128"/>
        <v>0</v>
      </c>
      <c r="CM127" s="475">
        <f t="shared" si="154"/>
        <v>0</v>
      </c>
      <c r="CN127" s="660">
        <f>IF(CM127&lt;0.1,0,IF(ISNA(AT127),0,IF(CL127+BC127=1,0,IF(BV127&gt;0.01,0,IF(CL127&gt;0.01,0,IF(CF127=1,0,IF(BC127=0.5,0,IF(AND(CI127=1,AU127=3),0,IF(AND(CI127=5,CL127=0),0,IF(AND(R127=12,BR127=50),0,IF(CK127&gt;0.01,0,IF(AND(AJ127&gt;0.01,AU127=2,BC127=15),CM127*0.1,IF(AND(AJ127&gt;0.01,AU127=3,BC127=15),CM127*0.08,IF(AND(R127=12,BC127=3,AF127&lt;=0),0,IF(AND(BC127=15,BI127=0),0,IF(AND(BC127=15,BJ127=0),0,IF(AND(R127=20,CU127=0),0,IF($X$4=0,0,IF(AND(BC127=250,CL127=0),0,IF(AA127&lt;1,0,IF(AND(ISNUMBER(SEARCH("Area",T127)),AU127=3),0,IF(AND(AQ127&gt;0.01,AR127=0,BK127=0,BL127=0,BM127=0,BN127=0),0,IF(AND(AU127=3,CI127=7,CT127&gt;0.5),0,IF(AND(BC127=44,AU127=3,BY127=0),0,IF(AND(BC127=27,'Data Entry'!$C$74=2),0,IF(AND(BC127=28,'Data Entry'!$C$74=2),0,IF(AND(BY127+BZ127+CA127&gt;0.01,BV127=0,EQ127+ER127+ES127+ET127&lt;100),0,IF(AU127=3,CM127*0.08,IF(AU127=2,CM127*0.1,0)))))))))))))))))))))))))))))</f>
        <v>0</v>
      </c>
      <c r="CO127" s="660">
        <f t="shared" si="129"/>
        <v>0</v>
      </c>
      <c r="CP127" s="475" t="str">
        <f t="shared" si="130"/>
        <v/>
      </c>
      <c r="CQ127" s="161" t="str">
        <f>IF(AH127=0,0,IF(AU127=5,0,Summary!AC130))</f>
        <v/>
      </c>
      <c r="CR127" s="161" t="str">
        <f>IF(BF127=0.5,0,IF(AU127=5,0,Summary!AD130))</f>
        <v/>
      </c>
      <c r="CS127" s="161" t="str">
        <f>IF(AU127=5,0,Summary!AE130)</f>
        <v/>
      </c>
      <c r="CT127" s="161">
        <f t="shared" si="131"/>
        <v>0</v>
      </c>
      <c r="CU127" s="475" t="str">
        <f t="shared" si="132"/>
        <v/>
      </c>
      <c r="CV127" s="307">
        <f>IF('Data Entry'!$C$74=0,0,IF(AA127&lt;1,0,IF(ISERROR(CU127),0,IF(CF127=1,0,IF(AND(R127=12,BR127=50),0,IF(CL127+BO127+BV127+DC127=0,0,IF(BC127=37,0,IF(AND(BC127=40,AJ127=0),0,IF(AND(BC127=37,BO127&gt;0.01,BQ127&gt;0.01),ROUND(BQ127,0),IF(CM127&lt;0,0,ROUND(CM127,0)))))))))))</f>
        <v>0</v>
      </c>
      <c r="CW127" s="700">
        <f t="shared" si="133"/>
        <v>0</v>
      </c>
      <c r="CX127" s="477">
        <f>IF('Data Entry'!$C$74=0,0,IF(CV127&lt;0.01,0,IF(BF127=0.5,0,IF(CF127=1,0,IF(ISNUMBER(SEARCH("false",CL127)),0,IF(AZ127=500,0,CL127))))))</f>
        <v>0</v>
      </c>
      <c r="CY127" s="147" t="e">
        <f t="shared" si="134"/>
        <v>#VALUE!</v>
      </c>
      <c r="CZ127" s="147" t="b">
        <f>IF(CN127+CL127=0,FALSE,IF(AH127=0,0,IF(AND('Data Entry'!$C$74=1,CR127&gt;=1),TRUE,IF(AND('Data Entry'!$C$74=2,CS127&gt;=1),TRUE,FALSE))))</f>
        <v>0</v>
      </c>
      <c r="DA127" s="1751">
        <f>IF('Data Entry'!$C$74=0,0,IFERROR(ROUND(IF(T127="","",IF($X$4=0,0,IF(CF127=1,0,IF(BQ127+CV127=0,0,IF(CF127=1,0,IF(CY127&gt;0.01,CY127,IF(CL127&gt;0.01,CL127,IF(CY127&gt;0.01,CY127,IF(BC127=37,BO127,IF(CZ127=FALSE,0,IF(CZ127=TRUE,DC127+DF127,0))))))))))),2),""))</f>
        <v>0</v>
      </c>
      <c r="DB127" s="1752"/>
      <c r="DC127" s="474">
        <f>IF(CN127&lt;0.01,0,IF(AND(BR127=3,CN127&gt;0.01,CT127&gt;0.6,ER127+ES127+ET127&lt;100),0,IF(AND('Data Entry'!$C$74=1,CN127&gt;0.01,CR127&gt;0.99),MIN(CN127:CO127),IF(AND('Data Entry'!$C$74=2,CN127&gt;0.01,CS127&gt;0.99),MIN(CN127:CO127),0))))</f>
        <v>0</v>
      </c>
      <c r="DD127" s="478">
        <f>IF(CF127=1,"Selection does not match",IF(T127=0,0,IF(AND('Data Entry'!$C$74=0,CP127&gt;1),"Select Oregon or Idaho on Data Entry Tab",IF(AND(AU127=1,AA127&gt;0.9),"Missing Interior or Exterior Selection",IF($X$4=0,"Enter Total Project Cost",IF(AQ127&lt;AR127,"Insufficient kWh savings – no incentive",IF(AND(SUM(CL127+CK127+BV127)&gt;0.01,'Data Entry'!$C$74=2,CJ127&gt;1,BO127=0),"Submit Control as Non-Standard",IF(AND('Data Entry'!$C$74=2,BR127=37,CJ127&gt;1,BO127=0),"Submit Control as Non-Standard",IF(SUM(CL127+CK127+BV127)&gt;0.01,"Standard Incentive",IF(AND('Data Entry'!$C$74=2,CP127=7,CN127=0),"Submit as Non-Standard",IF(DC127&gt;0.9,"Non-Standard Incentive",IF(AND(BY127+BZ127+CA127&gt;0.01,BV127=0,EQ127=0,ER127=0,ES127=0,ET127=0),"Scroll Right &amp; Select Control Strategies",IF(AND(CN127&gt;0.01,CO127=0),"Enter Unit Installed Cost",IF(ISNUMBER(SEARCH("Lighting Controls Only",F127)),"Lighting Controls Only",IF(CL127+DC127=0,"Does not meet incentive criteria",0)))))))))))))))</f>
        <v>0</v>
      </c>
      <c r="DE127" s="337">
        <f t="shared" si="135"/>
        <v>0</v>
      </c>
      <c r="DF127" s="609">
        <f t="shared" si="136"/>
        <v>0</v>
      </c>
      <c r="DG127" s="336" t="str">
        <f t="shared" si="137"/>
        <v/>
      </c>
      <c r="DH127" s="338">
        <f t="shared" si="138"/>
        <v>1</v>
      </c>
      <c r="DI127" s="336" t="e">
        <f t="shared" si="90"/>
        <v>#VALUE!</v>
      </c>
      <c r="DJ127" s="338">
        <f t="shared" si="91"/>
        <v>0</v>
      </c>
      <c r="DK127" s="325" t="s">
        <v>516</v>
      </c>
      <c r="DL127" s="341">
        <v>197</v>
      </c>
      <c r="DM127" s="325" t="s">
        <v>187</v>
      </c>
      <c r="DN127" s="1123">
        <v>6</v>
      </c>
      <c r="DO127" s="1436" t="s">
        <v>1864</v>
      </c>
      <c r="DP127" s="1449">
        <v>0</v>
      </c>
      <c r="DQ127" s="331"/>
      <c r="DR127" s="357"/>
      <c r="DS127" s="1195">
        <f t="shared" si="139"/>
        <v>0</v>
      </c>
      <c r="DT127" s="344" t="b">
        <f t="shared" si="140"/>
        <v>1</v>
      </c>
      <c r="DU127" s="1314" t="str">
        <f t="array" ref="DU127">IF(OR(COUNTIF(F127,"*"&amp;$DK$9:$DK$178&amp;"*")), "Yes", "")</f>
        <v/>
      </c>
      <c r="DV127" s="1314">
        <f t="shared" si="141"/>
        <v>0</v>
      </c>
      <c r="DW127" s="1480">
        <f t="shared" si="142"/>
        <v>0</v>
      </c>
      <c r="DX127" s="1498">
        <f t="shared" si="151"/>
        <v>0</v>
      </c>
      <c r="DY127" s="1484">
        <f t="shared" si="143"/>
        <v>0</v>
      </c>
      <c r="DZ127" s="331"/>
      <c r="EA127" s="392"/>
      <c r="EB127" s="1499" t="s">
        <v>461</v>
      </c>
      <c r="EC127" s="727" t="s">
        <v>1568</v>
      </c>
      <c r="ED127" s="728">
        <v>0.5</v>
      </c>
      <c r="EE127" s="1215"/>
      <c r="EF127" s="1215"/>
      <c r="EG127" s="1184" t="str">
        <f t="shared" si="144"/>
        <v/>
      </c>
      <c r="EH127" s="55"/>
      <c r="EI127" s="55"/>
      <c r="EJ127" s="1185">
        <f t="shared" si="92"/>
        <v>0</v>
      </c>
      <c r="EK127" s="1211"/>
      <c r="EL127" s="1180">
        <f t="shared" si="93"/>
        <v>0</v>
      </c>
      <c r="EM127" s="206"/>
      <c r="EN127" s="1038"/>
      <c r="EO127" s="1038"/>
      <c r="EP127" s="1038"/>
      <c r="EQ127" s="1038">
        <f t="shared" si="145"/>
        <v>0</v>
      </c>
      <c r="ER127" s="1041">
        <f t="shared" si="146"/>
        <v>0</v>
      </c>
      <c r="ES127" s="1042">
        <f t="shared" si="147"/>
        <v>0</v>
      </c>
      <c r="ET127" s="1042">
        <f t="shared" si="152"/>
        <v>0</v>
      </c>
      <c r="EU127" s="1021">
        <f t="shared" si="153"/>
        <v>0</v>
      </c>
      <c r="EV127" s="368"/>
      <c r="EW127" s="368"/>
      <c r="EX127" s="369"/>
      <c r="EY127" s="370"/>
      <c r="EZ127" s="370"/>
      <c r="FA127" s="371"/>
      <c r="FB127" s="372"/>
    </row>
    <row r="128" spans="1:158" ht="34.5" customHeight="1">
      <c r="A128" s="82">
        <v>120</v>
      </c>
      <c r="B128" s="1725"/>
      <c r="C128" s="1726"/>
      <c r="D128" s="1726"/>
      <c r="E128" s="1727"/>
      <c r="F128" s="1732"/>
      <c r="G128" s="1733"/>
      <c r="H128" s="1733"/>
      <c r="I128" s="1734"/>
      <c r="J128" s="1341"/>
      <c r="K128" s="1728"/>
      <c r="L128" s="1728"/>
      <c r="M128" s="1342"/>
      <c r="N128" s="1583"/>
      <c r="O128" s="208" t="str">
        <f t="shared" si="80"/>
        <v/>
      </c>
      <c r="P128" s="785"/>
      <c r="Q128" s="39" t="str">
        <f t="shared" si="81"/>
        <v/>
      </c>
      <c r="R128" s="39">
        <f t="shared" si="94"/>
        <v>0</v>
      </c>
      <c r="S128" s="234">
        <f t="shared" si="95"/>
        <v>0</v>
      </c>
      <c r="T128" s="1755"/>
      <c r="U128" s="1755"/>
      <c r="V128" s="1755"/>
      <c r="W128" s="1345"/>
      <c r="X128" s="1741"/>
      <c r="Y128" s="1742"/>
      <c r="Z128" s="1346"/>
      <c r="AA128" s="1343"/>
      <c r="AB128" s="1141"/>
      <c r="AC128" s="1103" t="str">
        <f>IF(T128="","",VLOOKUP(Z128,Lists!$A$60:$B$111,2,FALSE))</f>
        <v/>
      </c>
      <c r="AD128" s="130" t="str">
        <f t="shared" si="96"/>
        <v/>
      </c>
      <c r="AE128" s="130" t="e">
        <f t="shared" si="97"/>
        <v>#VALUE!</v>
      </c>
      <c r="AF128" s="130">
        <f t="shared" si="98"/>
        <v>1</v>
      </c>
      <c r="AG128" s="234">
        <f t="shared" si="82"/>
        <v>0</v>
      </c>
      <c r="AH128" s="1753" t="str">
        <f>IF(T128="","",(IF(ISNUMBER(SEARCH("exit",T128)),8760,IF(AND(M128="Dusk to Dawn",'Proposed Lighting'!AU128=3),4059,IF(AND(AU128=3,M128="1"),0,IF(AND(AU128=3,M128="1-C"),0,IF(AND(AU128=3,M128="2"),0,IF(AND(AU128=3,M128="2-C"),0,IF(AND(AU128=3,M128="3"),0,IF(AND(AU128=3,M128="3-C"),0,IF(AND(AU128=2,M128="Dusk to Dawn"),0,IF(AND(AU128=2,M128="Dusk to Dawn-C"),0,IF(AND(AU128=2,M128="Dusk to Dawn"),0,IF(AND(AU128=2,M128="E"),0,IF(AND(AU128=2,M128="E-C"),0,EG128)))))))))))))))</f>
        <v/>
      </c>
      <c r="AI128" s="1754"/>
      <c r="AJ128" s="1136"/>
      <c r="AK128" s="1136"/>
      <c r="AL128" s="1748">
        <f t="shared" si="99"/>
        <v>0</v>
      </c>
      <c r="AM128" s="1749"/>
      <c r="AN128" s="1750"/>
      <c r="AO128" s="476">
        <f t="shared" si="83"/>
        <v>0</v>
      </c>
      <c r="AP128" s="476">
        <f t="shared" si="100"/>
        <v>0</v>
      </c>
      <c r="AQ128" s="475">
        <f t="shared" si="84"/>
        <v>0</v>
      </c>
      <c r="AR128" s="475">
        <f t="shared" si="101"/>
        <v>0</v>
      </c>
      <c r="AS128" s="743" t="str">
        <f t="shared" si="156"/>
        <v/>
      </c>
      <c r="AT128" s="736" t="str">
        <f t="shared" si="102"/>
        <v/>
      </c>
      <c r="AU128" s="56">
        <f t="shared" si="103"/>
        <v>1</v>
      </c>
      <c r="AV128" s="476">
        <f t="shared" si="104"/>
        <v>0</v>
      </c>
      <c r="AW128" s="56">
        <f t="shared" si="105"/>
        <v>0</v>
      </c>
      <c r="AX128" s="475">
        <f t="shared" si="85"/>
        <v>0</v>
      </c>
      <c r="AY128" s="1169">
        <f t="shared" si="106"/>
        <v>0</v>
      </c>
      <c r="AZ128" s="1150">
        <f t="shared" si="148"/>
        <v>0</v>
      </c>
      <c r="BA128" s="56">
        <f t="shared" si="86"/>
        <v>0</v>
      </c>
      <c r="BB128" s="420">
        <f t="shared" si="87"/>
        <v>0</v>
      </c>
      <c r="BC128" s="58" t="str">
        <f t="shared" si="88"/>
        <v/>
      </c>
      <c r="BD128" s="660">
        <f t="shared" si="149"/>
        <v>0</v>
      </c>
      <c r="BE128" s="57" t="e">
        <f t="array" ref="BE128">INDEX($EB$11:$ED$1022,MATCH(F128&amp;T128,$EB$11:$EB$1007&amp;$EC$11:$EC$1007,0),3)</f>
        <v>#N/A</v>
      </c>
      <c r="BF128" s="463">
        <f t="shared" si="157"/>
        <v>0</v>
      </c>
      <c r="BG128" s="1445" t="e">
        <f t="array" ref="BG128">INDEX($DO$112:$DQ$123,MATCH(T128&amp;W128,$DO$114:$DO$125&amp;$DP$112:$DP$123,0),3)</f>
        <v>#N/A</v>
      </c>
      <c r="BH128" s="1446">
        <f t="shared" si="108"/>
        <v>0</v>
      </c>
      <c r="BI128" s="465">
        <f t="shared" si="109"/>
        <v>0</v>
      </c>
      <c r="BJ128" s="465">
        <f t="shared" si="110"/>
        <v>0</v>
      </c>
      <c r="BK128" s="466">
        <f t="shared" si="158"/>
        <v>0</v>
      </c>
      <c r="BL128" s="466">
        <f t="shared" si="159"/>
        <v>0</v>
      </c>
      <c r="BM128" s="466">
        <f t="shared" si="113"/>
        <v>0</v>
      </c>
      <c r="BN128" s="466">
        <f t="shared" si="114"/>
        <v>0</v>
      </c>
      <c r="BO128" s="463">
        <f>IF('Data Entry'!$C$74=0,0,IF(ISNA(CJ128),0,IF(AX128=0,0,IF(AND('Data Entry'!$C$74=2,AF128&gt;2,CE128&lt;1),0,IF(AND('Data Entry'!$C$74=2,AF128&gt;1,AU128=2,CJ128&gt;1),0,IF(AND(AF128=5,CT128=0.5,AU128=2,ER128&lt;100),0,IF(AND(AF128=5,CT128=0.5,AU128=3,ER128&lt;100),0,IF(AND('Data Entry'!$C$74=2,AF128=2,AU128=2,AK128&gt;0.01,CB128=2,CE128&lt;1),0,IF(AND('Data Entry'!$C$74=2,AF128=3,AU128=3,AK128&gt;0.01,CB128=3,CE128&lt;1),0,IF(AND('Data Entry'!$C$74=2,AF128=3,AU128=3,AK128&gt;0.01,CB128=3,CE128&gt;0.99),BQ128*0.08,IF(AND('Data Entry'!$C$74=2,AF128=2,AU128=2,AK128&gt;0.01,CB128=2,CE128&gt;0.99),BQ128*0.1,IF(AND(AU128=2,AK128&gt;0.01,CB128=2,CD128&gt;1),BQ128*0.1,IF(AND(AU128=3,AK128&gt;0.01,CB128=3,CD128&gt;1),BQ128*0.08,CJ128*EF128)))))))))))))</f>
        <v>0</v>
      </c>
      <c r="BP128" s="475">
        <f t="shared" si="115"/>
        <v>0</v>
      </c>
      <c r="BQ128" s="1431">
        <f>IF(AU128=1,0,IF(CH128=100,0,IF(AND(AF128=3,AU128=2),0,IF(AND(BH128=0,CT128&gt;0.4),0,IF(AND('Data Entry'!$C$74=2,AF128=1.5),0,IF(AND('Data Entry'!$C$74=2,AF128=1.6),0,IF(AND('Data Entry'!$C$74=2,AF128=4),0,IF(AND('Data Entry'!$C$74=2,AF128=5),0,IF(AND('Data Entry'!$C$74=2,AF128=2.5,CE128&lt;1),0,IF(AND('Data Entry'!$C$74=2,AF128=3,CE128&lt;1),0,IF(AND('Data Entry'!$C$74=1,AF128=2.5,CD128&lt;1),0,IF(AND('Data Entry'!$C$74=1,AF128=3,CD128&lt;1),0,IF(DX128&gt;0.01,DX128,IF(ISERROR(AX128-AY128),"",ROUND(AX128-AY128,2)))))))))))))))</f>
        <v>0</v>
      </c>
      <c r="BR128" s="146">
        <f t="shared" si="116"/>
        <v>0</v>
      </c>
      <c r="BS128" s="475">
        <f t="shared" si="117"/>
        <v>0</v>
      </c>
      <c r="BT128" s="146" t="b">
        <f t="shared" si="118"/>
        <v>0</v>
      </c>
      <c r="BU128" s="463">
        <f>IF(ISNA(AT128),0,IF(AND('Data Entry'!$C$74=2,BC128=27),0,IF(AND('Data Entry'!$C$74=2,BC128=28),0,IF(AND(BC128=27,BT128=27,CM128&gt;0.1),CM128*0.15,IF(AND(BC128=28,BT128=28,CM128&gt;0.1),CM128*0.12,0)))))</f>
        <v>0</v>
      </c>
      <c r="BV128" s="463">
        <f t="shared" si="155"/>
        <v>0</v>
      </c>
      <c r="BW128" s="463">
        <f t="shared" si="119"/>
        <v>0</v>
      </c>
      <c r="BX128" s="463">
        <f t="shared" si="120"/>
        <v>0</v>
      </c>
      <c r="BY128" s="463">
        <f t="shared" si="121"/>
        <v>0</v>
      </c>
      <c r="BZ128" s="463">
        <f t="shared" si="122"/>
        <v>0</v>
      </c>
      <c r="CA128" s="57">
        <f t="shared" si="150"/>
        <v>0</v>
      </c>
      <c r="CB128" s="56">
        <f t="shared" si="123"/>
        <v>1</v>
      </c>
      <c r="CC128" s="756">
        <f>IF(EE128=0,0,IF(EF128=0,0,IF(EE128&gt;AA128,0,IF(AND(AZ128&gt;AW128,AW128&gt;0),0,IF(CU128=0,0,Summary!AC431)))))</f>
        <v>0</v>
      </c>
      <c r="CD128" s="756">
        <f>IF(EE128=0,0,IF(EF128=0,0,IF(EE128&gt;AA128,0,IF(AND(AZ128&gt;AW128,AW128&gt;0),0,IF(CU128=0,0,Summary!AD431)))))</f>
        <v>0</v>
      </c>
      <c r="CE128" s="756">
        <f>IF(EF128=0,0,IF(EE128&gt;AA128,0,IF(CC128=0,0,IF(AND(AZ128&gt;AW128,AW128&gt;0),0,IF(CU128=0,0,Summary!AE431)))))</f>
        <v>0</v>
      </c>
      <c r="CF128" s="475">
        <f t="shared" si="124"/>
        <v>0</v>
      </c>
      <c r="CG128" s="476">
        <f t="shared" si="89"/>
        <v>0</v>
      </c>
      <c r="CH128" s="487">
        <f t="shared" si="125"/>
        <v>0</v>
      </c>
      <c r="CI128" s="756">
        <f t="shared" si="126"/>
        <v>0</v>
      </c>
      <c r="CJ128" s="487">
        <f>IF(CT128&gt;0.4,0,IF(AND(AU128=2,CH128=0,CT128=0.5,ER128=100),35,IF(AND(AU128=3,BB128&gt;75,CH128=0,CT128=0.5,ER128=100),25,IF(CB128&gt;1,0,IF(EF128&gt;EE128,0,IF(AND(AF128&gt;1,CH128=100),0,IF(AND(AF128=1,AY128=0),0,IF(AND(EF128&lt;=EE128,AW128&gt;=AZ128,'Data Entry'!$C$74=1,AU128=2),VLOOKUP(W128,$DO$96:$DP$102,2,FALSE),IF(AND(EF128&lt;=EE128,AW128&gt;=AZ128,AU128=3,'Data Entry'!$C$74=1),VLOOKUP(W128,$DO$127:$DP$134,2,FALSE))))))))))</f>
        <v>0</v>
      </c>
      <c r="CK128" s="716">
        <f t="shared" si="127"/>
        <v>0</v>
      </c>
      <c r="CL128" s="57">
        <f t="shared" si="128"/>
        <v>0</v>
      </c>
      <c r="CM128" s="475">
        <f t="shared" si="154"/>
        <v>0</v>
      </c>
      <c r="CN128" s="660">
        <f>IF(CM128&lt;0.1,0,IF(ISNA(AT128),0,IF(CL128+BC128=1,0,IF(BV128&gt;0.01,0,IF(CL128&gt;0.01,0,IF(CF128=1,0,IF(BC128=0.5,0,IF(AND(CI128=1,AU128=3),0,IF(AND(CI128=5,CL128=0),0,IF(AND(R128=12,BR128=50),0,IF(CK128&gt;0.01,0,IF(AND(AJ128&gt;0.01,AU128=2,BC128=15),CM128*0.1,IF(AND(AJ128&gt;0.01,AU128=3,BC128=15),CM128*0.08,IF(AND(R128=12,BC128=3,AF128&lt;=0),0,IF(AND(BC128=15,BI128=0),0,IF(AND(BC128=15,BJ128=0),0,IF(AND(R128=20,CU128=0),0,IF($X$4=0,0,IF(AND(BC128=250,CL128=0),0,IF(AA128&lt;1,0,IF(AND(ISNUMBER(SEARCH("Area",T128)),AU128=3),0,IF(AND(AQ128&gt;0.01,AR128=0,BK128=0,BL128=0,BM128=0,BN128=0),0,IF(AND(AU128=3,CI128=7,CT128&gt;0.5),0,IF(AND(BC128=44,AU128=3,BY128=0),0,IF(AND(BC128=27,'Data Entry'!$C$74=2),0,IF(AND(BC128=28,'Data Entry'!$C$74=2),0,IF(AND(BY128+BZ128+CA128&gt;0.01,BV128=0,EQ128+ER128+ES128+ET128&lt;100),0,IF(AU128=3,CM128*0.08,IF(AU128=2,CM128*0.1,0)))))))))))))))))))))))))))))</f>
        <v>0</v>
      </c>
      <c r="CO128" s="660">
        <f t="shared" si="129"/>
        <v>0</v>
      </c>
      <c r="CP128" s="475" t="str">
        <f t="shared" si="130"/>
        <v/>
      </c>
      <c r="CQ128" s="161" t="str">
        <f>IF(AH128=0,0,IF(AU128=5,0,Summary!AC131))</f>
        <v/>
      </c>
      <c r="CR128" s="161" t="str">
        <f>IF(BF128=0.5,0,IF(AU128=5,0,Summary!AD131))</f>
        <v/>
      </c>
      <c r="CS128" s="161" t="str">
        <f>IF(AU128=5,0,Summary!AE131)</f>
        <v/>
      </c>
      <c r="CT128" s="161">
        <f t="shared" si="131"/>
        <v>0</v>
      </c>
      <c r="CU128" s="475" t="str">
        <f t="shared" si="132"/>
        <v/>
      </c>
      <c r="CV128" s="307">
        <f>IF('Data Entry'!$C$74=0,0,IF(AA128&lt;1,0,IF(ISERROR(CU128),0,IF(CF128=1,0,IF(AND(R128=12,BR128=50),0,IF(CL128+BO128+BV128+DC128=0,0,IF(BC128=37,0,IF(AND(BC128=40,AJ128=0),0,IF(AND(BC128=37,BO128&gt;0.01,BQ128&gt;0.01),ROUND(BQ128,0),IF(CM128&lt;0,0,ROUND(CM128,0)))))))))))</f>
        <v>0</v>
      </c>
      <c r="CW128" s="700">
        <f t="shared" si="133"/>
        <v>0</v>
      </c>
      <c r="CX128" s="477">
        <f>IF('Data Entry'!$C$74=0,0,IF(CV128&lt;0.01,0,IF(BF128=0.5,0,IF(CF128=1,0,IF(ISNUMBER(SEARCH("false",CL128)),0,IF(AZ128=500,0,CL128))))))</f>
        <v>0</v>
      </c>
      <c r="CY128" s="147" t="e">
        <f t="shared" si="134"/>
        <v>#VALUE!</v>
      </c>
      <c r="CZ128" s="147" t="b">
        <f>IF(CN128+CL128=0,FALSE,IF(AH128=0,0,IF(AND('Data Entry'!$C$74=1,CR128&gt;=1),TRUE,IF(AND('Data Entry'!$C$74=2,CS128&gt;=1),TRUE,FALSE))))</f>
        <v>0</v>
      </c>
      <c r="DA128" s="1751">
        <f>IF('Data Entry'!$C$74=0,0,IFERROR(ROUND(IF(T128="","",IF($X$4=0,0,IF(CF128=1,0,IF(BQ128+CV128=0,0,IF(CF128=1,0,IF(CY128&gt;0.01,CY128,IF(CL128&gt;0.01,CL128,IF(CY128&gt;0.01,CY128,IF(BC128=37,BO128,IF(CZ128=FALSE,0,IF(CZ128=TRUE,DC128+DF128,0))))))))))),2),""))</f>
        <v>0</v>
      </c>
      <c r="DB128" s="1752"/>
      <c r="DC128" s="474">
        <f>IF(CN128&lt;0.01,0,IF(AND(BR128=3,CN128&gt;0.01,CT128&gt;0.6,ER128+ES128+ET128&lt;100),0,IF(AND('Data Entry'!$C$74=1,CN128&gt;0.01,CR128&gt;0.99),MIN(CN128:CO128),IF(AND('Data Entry'!$C$74=2,CN128&gt;0.01,CS128&gt;0.99),MIN(CN128:CO128),0))))</f>
        <v>0</v>
      </c>
      <c r="DD128" s="478">
        <f>IF(CF128=1,"Selection does not match",IF(T128=0,0,IF(AND('Data Entry'!$C$74=0,CP128&gt;1),"Select Oregon or Idaho on Data Entry Tab",IF(AND(AU128=1,AA128&gt;0.9),"Missing Interior or Exterior Selection",IF($X$4=0,"Enter Total Project Cost",IF(AQ128&lt;AR128,"Insufficient kWh savings – no incentive",IF(AND(SUM(CL128+CK128+BV128)&gt;0.01,'Data Entry'!$C$74=2,CJ128&gt;1,BO128=0),"Submit Control as Non-Standard",IF(AND('Data Entry'!$C$74=2,BR128=37,CJ128&gt;1,BO128=0),"Submit Control as Non-Standard",IF(SUM(CL128+CK128+BV128)&gt;0.01,"Standard Incentive",IF(AND('Data Entry'!$C$74=2,CP128=7,CN128=0),"Submit as Non-Standard",IF(DC128&gt;0.9,"Non-Standard Incentive",IF(AND(BY128+BZ128+CA128&gt;0.01,BV128=0,EQ128=0,ER128=0,ES128=0,ET128=0),"Scroll Right &amp; Select Control Strategies",IF(AND(CN128&gt;0.01,CO128=0),"Enter Unit Installed Cost",IF(ISNUMBER(SEARCH("Lighting Controls Only",F128)),"Lighting Controls Only",IF(CL128+DC128=0,"Does not meet incentive criteria",0)))))))))))))))</f>
        <v>0</v>
      </c>
      <c r="DE128" s="337">
        <f t="shared" si="135"/>
        <v>0</v>
      </c>
      <c r="DF128" s="609">
        <f t="shared" si="136"/>
        <v>0</v>
      </c>
      <c r="DG128" s="336" t="str">
        <f t="shared" si="137"/>
        <v/>
      </c>
      <c r="DH128" s="338">
        <f t="shared" si="138"/>
        <v>1</v>
      </c>
      <c r="DI128" s="336" t="e">
        <f t="shared" si="90"/>
        <v>#VALUE!</v>
      </c>
      <c r="DJ128" s="338">
        <f t="shared" si="91"/>
        <v>0</v>
      </c>
      <c r="DK128" s="325" t="s">
        <v>515</v>
      </c>
      <c r="DL128" s="341">
        <v>390</v>
      </c>
      <c r="DM128" s="325" t="s">
        <v>188</v>
      </c>
      <c r="DN128" s="1123">
        <v>8</v>
      </c>
      <c r="DO128" s="1444" t="s">
        <v>1782</v>
      </c>
      <c r="DP128" s="344">
        <v>0</v>
      </c>
      <c r="DQ128" s="331"/>
      <c r="DR128" s="357"/>
      <c r="DS128" s="1195">
        <f t="shared" si="139"/>
        <v>0</v>
      </c>
      <c r="DT128" s="344" t="b">
        <f t="shared" si="140"/>
        <v>1</v>
      </c>
      <c r="DU128" s="1314" t="str">
        <f t="array" ref="DU128">IF(OR(COUNTIF(F128,"*"&amp;$DK$9:$DK$178&amp;"*")), "Yes", "")</f>
        <v/>
      </c>
      <c r="DV128" s="1314">
        <f t="shared" si="141"/>
        <v>0</v>
      </c>
      <c r="DW128" s="1480">
        <f t="shared" si="142"/>
        <v>0</v>
      </c>
      <c r="DX128" s="1498">
        <f t="shared" si="151"/>
        <v>0</v>
      </c>
      <c r="DY128" s="1484">
        <f t="shared" si="143"/>
        <v>0</v>
      </c>
      <c r="DZ128" s="331"/>
      <c r="EA128" s="392"/>
      <c r="EB128" s="1499" t="s">
        <v>514</v>
      </c>
      <c r="EC128" s="727" t="s">
        <v>1568</v>
      </c>
      <c r="ED128" s="728">
        <v>0.5</v>
      </c>
      <c r="EE128" s="1215"/>
      <c r="EF128" s="1215"/>
      <c r="EG128" s="1184" t="str">
        <f t="shared" si="144"/>
        <v/>
      </c>
      <c r="EH128" s="55"/>
      <c r="EI128" s="55"/>
      <c r="EJ128" s="1185">
        <f t="shared" si="92"/>
        <v>0</v>
      </c>
      <c r="EK128" s="1211"/>
      <c r="EL128" s="1180">
        <f t="shared" si="93"/>
        <v>0</v>
      </c>
      <c r="EM128" s="206"/>
      <c r="EN128" s="1038"/>
      <c r="EO128" s="1038"/>
      <c r="EP128" s="1038"/>
      <c r="EQ128" s="1038">
        <f t="shared" si="145"/>
        <v>0</v>
      </c>
      <c r="ER128" s="1041">
        <f t="shared" si="146"/>
        <v>0</v>
      </c>
      <c r="ES128" s="1042">
        <f t="shared" si="147"/>
        <v>0</v>
      </c>
      <c r="ET128" s="1042">
        <f t="shared" si="152"/>
        <v>0</v>
      </c>
      <c r="EU128" s="1021">
        <f t="shared" si="153"/>
        <v>0</v>
      </c>
      <c r="EV128" s="368"/>
      <c r="EW128" s="368"/>
      <c r="EX128" s="369"/>
      <c r="EY128" s="370"/>
      <c r="EZ128" s="370"/>
      <c r="FA128" s="371"/>
      <c r="FB128" s="372"/>
    </row>
    <row r="129" spans="1:158" ht="34.5" customHeight="1">
      <c r="A129" s="82">
        <v>121</v>
      </c>
      <c r="B129" s="1725"/>
      <c r="C129" s="1726"/>
      <c r="D129" s="1726"/>
      <c r="E129" s="1727"/>
      <c r="F129" s="1732"/>
      <c r="G129" s="1733"/>
      <c r="H129" s="1733"/>
      <c r="I129" s="1734"/>
      <c r="J129" s="1341"/>
      <c r="K129" s="1728"/>
      <c r="L129" s="1728"/>
      <c r="M129" s="1342"/>
      <c r="N129" s="1583"/>
      <c r="O129" s="208" t="str">
        <f t="shared" si="80"/>
        <v/>
      </c>
      <c r="P129" s="785"/>
      <c r="Q129" s="39" t="str">
        <f t="shared" si="81"/>
        <v/>
      </c>
      <c r="R129" s="39">
        <f t="shared" si="94"/>
        <v>0</v>
      </c>
      <c r="S129" s="234">
        <f t="shared" si="95"/>
        <v>0</v>
      </c>
      <c r="T129" s="1755"/>
      <c r="U129" s="1755"/>
      <c r="V129" s="1755"/>
      <c r="W129" s="1345"/>
      <c r="X129" s="1741"/>
      <c r="Y129" s="1742"/>
      <c r="Z129" s="1346"/>
      <c r="AA129" s="1343"/>
      <c r="AB129" s="1141"/>
      <c r="AC129" s="1103" t="str">
        <f>IF(T129="","",VLOOKUP(Z129,Lists!$A$60:$B$111,2,FALSE))</f>
        <v/>
      </c>
      <c r="AD129" s="130" t="str">
        <f t="shared" si="96"/>
        <v/>
      </c>
      <c r="AE129" s="130" t="e">
        <f t="shared" si="97"/>
        <v>#VALUE!</v>
      </c>
      <c r="AF129" s="130">
        <f t="shared" si="98"/>
        <v>1</v>
      </c>
      <c r="AG129" s="234">
        <f t="shared" si="82"/>
        <v>0</v>
      </c>
      <c r="AH129" s="1753" t="str">
        <f>IF(T129="","",(IF(ISNUMBER(SEARCH("exit",T129)),8760,IF(AND(M129="Dusk to Dawn",'Proposed Lighting'!AU129=3),4059,IF(AND(AU129=3,M129="1"),0,IF(AND(AU129=3,M129="1-C"),0,IF(AND(AU129=3,M129="2"),0,IF(AND(AU129=3,M129="2-C"),0,IF(AND(AU129=3,M129="3"),0,IF(AND(AU129=3,M129="3-C"),0,IF(AND(AU129=2,M129="Dusk to Dawn"),0,IF(AND(AU129=2,M129="Dusk to Dawn-C"),0,IF(AND(AU129=2,M129="Dusk to Dawn"),0,IF(AND(AU129=2,M129="E"),0,IF(AND(AU129=2,M129="E-C"),0,EG129)))))))))))))))</f>
        <v/>
      </c>
      <c r="AI129" s="1754"/>
      <c r="AJ129" s="1136"/>
      <c r="AK129" s="1136"/>
      <c r="AL129" s="1748">
        <f t="shared" si="99"/>
        <v>0</v>
      </c>
      <c r="AM129" s="1749"/>
      <c r="AN129" s="1750"/>
      <c r="AO129" s="476">
        <f t="shared" si="83"/>
        <v>0</v>
      </c>
      <c r="AP129" s="476">
        <f t="shared" si="100"/>
        <v>0</v>
      </c>
      <c r="AQ129" s="475">
        <f t="shared" si="84"/>
        <v>0</v>
      </c>
      <c r="AR129" s="475">
        <f t="shared" si="101"/>
        <v>0</v>
      </c>
      <c r="AS129" s="743" t="str">
        <f t="shared" si="156"/>
        <v/>
      </c>
      <c r="AT129" s="736" t="str">
        <f t="shared" si="102"/>
        <v/>
      </c>
      <c r="AU129" s="56">
        <f t="shared" si="103"/>
        <v>1</v>
      </c>
      <c r="AV129" s="476">
        <f t="shared" si="104"/>
        <v>0</v>
      </c>
      <c r="AW129" s="56">
        <f t="shared" si="105"/>
        <v>0</v>
      </c>
      <c r="AX129" s="475">
        <f t="shared" si="85"/>
        <v>0</v>
      </c>
      <c r="AY129" s="1169">
        <f t="shared" si="106"/>
        <v>0</v>
      </c>
      <c r="AZ129" s="1150">
        <f t="shared" si="148"/>
        <v>0</v>
      </c>
      <c r="BA129" s="56">
        <f t="shared" si="86"/>
        <v>0</v>
      </c>
      <c r="BB129" s="420">
        <f t="shared" si="87"/>
        <v>0</v>
      </c>
      <c r="BC129" s="58" t="str">
        <f t="shared" si="88"/>
        <v/>
      </c>
      <c r="BD129" s="660">
        <f t="shared" si="149"/>
        <v>0</v>
      </c>
      <c r="BE129" s="57" t="e">
        <f t="array" ref="BE129">INDEX($EB$11:$ED$1022,MATCH(F129&amp;T129,$EB$11:$EB$1007&amp;$EC$11:$EC$1007,0),3)</f>
        <v>#N/A</v>
      </c>
      <c r="BF129" s="463">
        <f t="shared" si="157"/>
        <v>0</v>
      </c>
      <c r="BG129" s="1445" t="e">
        <f t="array" ref="BG129">INDEX($DO$112:$DQ$123,MATCH(T129&amp;W129,$DO$114:$DO$125&amp;$DP$112:$DP$123,0),3)</f>
        <v>#N/A</v>
      </c>
      <c r="BH129" s="1446">
        <f t="shared" si="108"/>
        <v>0</v>
      </c>
      <c r="BI129" s="465">
        <f t="shared" si="109"/>
        <v>0</v>
      </c>
      <c r="BJ129" s="465">
        <f t="shared" si="110"/>
        <v>0</v>
      </c>
      <c r="BK129" s="466">
        <f t="shared" si="158"/>
        <v>0</v>
      </c>
      <c r="BL129" s="466">
        <f t="shared" si="159"/>
        <v>0</v>
      </c>
      <c r="BM129" s="466">
        <f t="shared" si="113"/>
        <v>0</v>
      </c>
      <c r="BN129" s="466">
        <f t="shared" si="114"/>
        <v>0</v>
      </c>
      <c r="BO129" s="463">
        <f>IF('Data Entry'!$C$74=0,0,IF(ISNA(CJ129),0,IF(AX129=0,0,IF(AND('Data Entry'!$C$74=2,AF129&gt;2,CE129&lt;1),0,IF(AND('Data Entry'!$C$74=2,AF129&gt;1,AU129=2,CJ129&gt;1),0,IF(AND(AF129=5,CT129=0.5,AU129=2,ER129&lt;100),0,IF(AND(AF129=5,CT129=0.5,AU129=3,ER129&lt;100),0,IF(AND('Data Entry'!$C$74=2,AF129=2,AU129=2,AK129&gt;0.01,CB129=2,CE129&lt;1),0,IF(AND('Data Entry'!$C$74=2,AF129=3,AU129=3,AK129&gt;0.01,CB129=3,CE129&lt;1),0,IF(AND('Data Entry'!$C$74=2,AF129=3,AU129=3,AK129&gt;0.01,CB129=3,CE129&gt;0.99),BQ129*0.08,IF(AND('Data Entry'!$C$74=2,AF129=2,AU129=2,AK129&gt;0.01,CB129=2,CE129&gt;0.99),BQ129*0.1,IF(AND(AU129=2,AK129&gt;0.01,CB129=2,CD129&gt;1),BQ129*0.1,IF(AND(AU129=3,AK129&gt;0.01,CB129=3,CD129&gt;1),BQ129*0.08,CJ129*EF129)))))))))))))</f>
        <v>0</v>
      </c>
      <c r="BP129" s="475">
        <f t="shared" si="115"/>
        <v>0</v>
      </c>
      <c r="BQ129" s="1431">
        <f>IF(AU129=1,0,IF(CH129=100,0,IF(AND(AF129=3,AU129=2),0,IF(AND(BH129=0,CT129&gt;0.4),0,IF(AND('Data Entry'!$C$74=2,AF129=1.5),0,IF(AND('Data Entry'!$C$74=2,AF129=1.6),0,IF(AND('Data Entry'!$C$74=2,AF129=4),0,IF(AND('Data Entry'!$C$74=2,AF129=5),0,IF(AND('Data Entry'!$C$74=2,AF129=2.5,CE129&lt;1),0,IF(AND('Data Entry'!$C$74=2,AF129=3,CE129&lt;1),0,IF(AND('Data Entry'!$C$74=1,AF129=2.5,CD129&lt;1),0,IF(AND('Data Entry'!$C$74=1,AF129=3,CD129&lt;1),0,IF(DX129&gt;0.01,DX129,IF(ISERROR(AX129-AY129),"",ROUND(AX129-AY129,2)))))))))))))))</f>
        <v>0</v>
      </c>
      <c r="BR129" s="146">
        <f t="shared" si="116"/>
        <v>0</v>
      </c>
      <c r="BS129" s="475">
        <f t="shared" si="117"/>
        <v>0</v>
      </c>
      <c r="BT129" s="146" t="b">
        <f t="shared" si="118"/>
        <v>0</v>
      </c>
      <c r="BU129" s="463">
        <f>IF(ISNA(AT129),0,IF(AND('Data Entry'!$C$74=2,BC129=27),0,IF(AND('Data Entry'!$C$74=2,BC129=28),0,IF(AND(BC129=27,BT129=27,CM129&gt;0.1),CM129*0.15,IF(AND(BC129=28,BT129=28,CM129&gt;0.1),CM129*0.12,0)))))</f>
        <v>0</v>
      </c>
      <c r="BV129" s="463">
        <f t="shared" si="155"/>
        <v>0</v>
      </c>
      <c r="BW129" s="463">
        <f t="shared" si="119"/>
        <v>0</v>
      </c>
      <c r="BX129" s="463">
        <f t="shared" si="120"/>
        <v>0</v>
      </c>
      <c r="BY129" s="463">
        <f t="shared" si="121"/>
        <v>0</v>
      </c>
      <c r="BZ129" s="463">
        <f t="shared" si="122"/>
        <v>0</v>
      </c>
      <c r="CA129" s="57">
        <f t="shared" si="150"/>
        <v>0</v>
      </c>
      <c r="CB129" s="56">
        <f t="shared" si="123"/>
        <v>1</v>
      </c>
      <c r="CC129" s="756">
        <f>IF(EE129=0,0,IF(EF129=0,0,IF(EE129&gt;AA129,0,IF(AND(AZ129&gt;AW129,AW129&gt;0),0,IF(CU129=0,0,Summary!AC432)))))</f>
        <v>0</v>
      </c>
      <c r="CD129" s="756">
        <f>IF(EE129=0,0,IF(EF129=0,0,IF(EE129&gt;AA129,0,IF(AND(AZ129&gt;AW129,AW129&gt;0),0,IF(CU129=0,0,Summary!AD432)))))</f>
        <v>0</v>
      </c>
      <c r="CE129" s="756">
        <f>IF(EF129=0,0,IF(EE129&gt;AA129,0,IF(CC129=0,0,IF(AND(AZ129&gt;AW129,AW129&gt;0),0,IF(CU129=0,0,Summary!AE432)))))</f>
        <v>0</v>
      </c>
      <c r="CF129" s="475">
        <f t="shared" si="124"/>
        <v>0</v>
      </c>
      <c r="CG129" s="476">
        <f t="shared" si="89"/>
        <v>0</v>
      </c>
      <c r="CH129" s="487">
        <f t="shared" si="125"/>
        <v>0</v>
      </c>
      <c r="CI129" s="756">
        <f t="shared" si="126"/>
        <v>0</v>
      </c>
      <c r="CJ129" s="487">
        <f>IF(CT129&gt;0.4,0,IF(AND(AU129=2,CH129=0,CT129=0.5,ER129=100),35,IF(AND(AU129=3,BB129&gt;75,CH129=0,CT129=0.5,ER129=100),25,IF(CB129&gt;1,0,IF(EF129&gt;EE129,0,IF(AND(AF129&gt;1,CH129=100),0,IF(AND(AF129=1,AY129=0),0,IF(AND(EF129&lt;=EE129,AW129&gt;=AZ129,'Data Entry'!$C$74=1,AU129=2),VLOOKUP(W129,$DO$96:$DP$102,2,FALSE),IF(AND(EF129&lt;=EE129,AW129&gt;=AZ129,AU129=3,'Data Entry'!$C$74=1),VLOOKUP(W129,$DO$127:$DP$134,2,FALSE))))))))))</f>
        <v>0</v>
      </c>
      <c r="CK129" s="716">
        <f t="shared" si="127"/>
        <v>0</v>
      </c>
      <c r="CL129" s="57">
        <f t="shared" si="128"/>
        <v>0</v>
      </c>
      <c r="CM129" s="475">
        <f t="shared" si="154"/>
        <v>0</v>
      </c>
      <c r="CN129" s="660">
        <f>IF(CM129&lt;0.1,0,IF(ISNA(AT129),0,IF(CL129+BC129=1,0,IF(BV129&gt;0.01,0,IF(CL129&gt;0.01,0,IF(CF129=1,0,IF(BC129=0.5,0,IF(AND(CI129=1,AU129=3),0,IF(AND(CI129=5,CL129=0),0,IF(AND(R129=12,BR129=50),0,IF(CK129&gt;0.01,0,IF(AND(AJ129&gt;0.01,AU129=2,BC129=15),CM129*0.1,IF(AND(AJ129&gt;0.01,AU129=3,BC129=15),CM129*0.08,IF(AND(R129=12,BC129=3,AF129&lt;=0),0,IF(AND(BC129=15,BI129=0),0,IF(AND(BC129=15,BJ129=0),0,IF(AND(R129=20,CU129=0),0,IF($X$4=0,0,IF(AND(BC129=250,CL129=0),0,IF(AA129&lt;1,0,IF(AND(ISNUMBER(SEARCH("Area",T129)),AU129=3),0,IF(AND(AQ129&gt;0.01,AR129=0,BK129=0,BL129=0,BM129=0,BN129=0),0,IF(AND(AU129=3,CI129=7,CT129&gt;0.5),0,IF(AND(BC129=44,AU129=3,BY129=0),0,IF(AND(BC129=27,'Data Entry'!$C$74=2),0,IF(AND(BC129=28,'Data Entry'!$C$74=2),0,IF(AND(BY129+BZ129+CA129&gt;0.01,BV129=0,EQ129+ER129+ES129+ET129&lt;100),0,IF(AU129=3,CM129*0.08,IF(AU129=2,CM129*0.1,0)))))))))))))))))))))))))))))</f>
        <v>0</v>
      </c>
      <c r="CO129" s="660">
        <f t="shared" si="129"/>
        <v>0</v>
      </c>
      <c r="CP129" s="475" t="str">
        <f t="shared" si="130"/>
        <v/>
      </c>
      <c r="CQ129" s="161" t="str">
        <f>IF(AH129=0,0,IF(AU129=5,0,Summary!AC132))</f>
        <v/>
      </c>
      <c r="CR129" s="161" t="str">
        <f>IF(BF129=0.5,0,IF(AU129=5,0,Summary!AD132))</f>
        <v/>
      </c>
      <c r="CS129" s="161" t="str">
        <f>IF(AU129=5,0,Summary!AE132)</f>
        <v/>
      </c>
      <c r="CT129" s="161">
        <f t="shared" si="131"/>
        <v>0</v>
      </c>
      <c r="CU129" s="475" t="str">
        <f t="shared" si="132"/>
        <v/>
      </c>
      <c r="CV129" s="307">
        <f>IF('Data Entry'!$C$74=0,0,IF(AA129&lt;1,0,IF(ISERROR(CU129),0,IF(CF129=1,0,IF(AND(R129=12,BR129=50),0,IF(CL129+BO129+BV129+DC129=0,0,IF(BC129=37,0,IF(AND(BC129=40,AJ129=0),0,IF(AND(BC129=37,BO129&gt;0.01,BQ129&gt;0.01),ROUND(BQ129,0),IF(CM129&lt;0,0,ROUND(CM129,0)))))))))))</f>
        <v>0</v>
      </c>
      <c r="CW129" s="700">
        <f t="shared" si="133"/>
        <v>0</v>
      </c>
      <c r="CX129" s="477">
        <f>IF('Data Entry'!$C$74=0,0,IF(CV129&lt;0.01,0,IF(BF129=0.5,0,IF(CF129=1,0,IF(ISNUMBER(SEARCH("false",CL129)),0,IF(AZ129=500,0,CL129))))))</f>
        <v>0</v>
      </c>
      <c r="CY129" s="147" t="e">
        <f t="shared" si="134"/>
        <v>#VALUE!</v>
      </c>
      <c r="CZ129" s="147" t="b">
        <f>IF(CN129+CL129=0,FALSE,IF(AH129=0,0,IF(AND('Data Entry'!$C$74=1,CR129&gt;=1),TRUE,IF(AND('Data Entry'!$C$74=2,CS129&gt;=1),TRUE,FALSE))))</f>
        <v>0</v>
      </c>
      <c r="DA129" s="1751">
        <f>IF('Data Entry'!$C$74=0,0,IFERROR(ROUND(IF(T129="","",IF($X$4=0,0,IF(CF129=1,0,IF(BQ129+CV129=0,0,IF(CF129=1,0,IF(CY129&gt;0.01,CY129,IF(CL129&gt;0.01,CL129,IF(CY129&gt;0.01,CY129,IF(BC129=37,BO129,IF(CZ129=FALSE,0,IF(CZ129=TRUE,DC129+DF129,0))))))))))),2),""))</f>
        <v>0</v>
      </c>
      <c r="DB129" s="1752"/>
      <c r="DC129" s="474">
        <f>IF(CN129&lt;0.01,0,IF(AND(BR129=3,CN129&gt;0.01,CT129&gt;0.6,ER129+ES129+ET129&lt;100),0,IF(AND('Data Entry'!$C$74=1,CN129&gt;0.01,CR129&gt;0.99),MIN(CN129:CO129),IF(AND('Data Entry'!$C$74=2,CN129&gt;0.01,CS129&gt;0.99),MIN(CN129:CO129),0))))</f>
        <v>0</v>
      </c>
      <c r="DD129" s="478">
        <f>IF(CF129=1,"Selection does not match",IF(T129=0,0,IF(AND('Data Entry'!$C$74=0,CP129&gt;1),"Select Oregon or Idaho on Data Entry Tab",IF(AND(AU129=1,AA129&gt;0.9),"Missing Interior or Exterior Selection",IF($X$4=0,"Enter Total Project Cost",IF(AQ129&lt;AR129,"Insufficient kWh savings – no incentive",IF(AND(SUM(CL129+CK129+BV129)&gt;0.01,'Data Entry'!$C$74=2,CJ129&gt;1,BO129=0),"Submit Control as Non-Standard",IF(AND('Data Entry'!$C$74=2,BR129=37,CJ129&gt;1,BO129=0),"Submit Control as Non-Standard",IF(SUM(CL129+CK129+BV129)&gt;0.01,"Standard Incentive",IF(AND('Data Entry'!$C$74=2,CP129=7,CN129=0),"Submit as Non-Standard",IF(DC129&gt;0.9,"Non-Standard Incentive",IF(AND(BY129+BZ129+CA129&gt;0.01,BV129=0,EQ129=0,ER129=0,ES129=0,ET129=0),"Scroll Right &amp; Select Control Strategies",IF(AND(CN129&gt;0.01,CO129=0),"Enter Unit Installed Cost",IF(ISNUMBER(SEARCH("Lighting Controls Only",F129)),"Lighting Controls Only",IF(CL129+DC129=0,"Does not meet incentive criteria",0)))))))))))))))</f>
        <v>0</v>
      </c>
      <c r="DE129" s="337">
        <f t="shared" si="135"/>
        <v>0</v>
      </c>
      <c r="DF129" s="609">
        <f t="shared" si="136"/>
        <v>0</v>
      </c>
      <c r="DG129" s="336" t="str">
        <f t="shared" si="137"/>
        <v/>
      </c>
      <c r="DH129" s="338">
        <f t="shared" si="138"/>
        <v>1</v>
      </c>
      <c r="DI129" s="336" t="e">
        <f t="shared" si="90"/>
        <v>#VALUE!</v>
      </c>
      <c r="DJ129" s="338">
        <f t="shared" si="91"/>
        <v>0</v>
      </c>
      <c r="DK129" s="325" t="s">
        <v>517</v>
      </c>
      <c r="DL129" s="341">
        <v>585</v>
      </c>
      <c r="DM129" s="325" t="s">
        <v>135</v>
      </c>
      <c r="DN129" s="1123">
        <v>3</v>
      </c>
      <c r="DO129" s="1436" t="s">
        <v>1864</v>
      </c>
      <c r="DP129" s="344">
        <v>0</v>
      </c>
      <c r="DQ129" s="331"/>
      <c r="DR129" s="357"/>
      <c r="DS129" s="1195">
        <f t="shared" si="139"/>
        <v>0</v>
      </c>
      <c r="DT129" s="344" t="b">
        <f t="shared" si="140"/>
        <v>1</v>
      </c>
      <c r="DU129" s="1314" t="str">
        <f t="array" ref="DU129">IF(OR(COUNTIF(F129,"*"&amp;$DK$9:$DK$178&amp;"*")), "Yes", "")</f>
        <v/>
      </c>
      <c r="DV129" s="1314">
        <f t="shared" si="141"/>
        <v>0</v>
      </c>
      <c r="DW129" s="1480">
        <f t="shared" si="142"/>
        <v>0</v>
      </c>
      <c r="DX129" s="1498">
        <f t="shared" si="151"/>
        <v>0</v>
      </c>
      <c r="DY129" s="1484">
        <f t="shared" si="143"/>
        <v>0</v>
      </c>
      <c r="DZ129" s="331"/>
      <c r="EA129" s="392"/>
      <c r="EB129" s="1499" t="s">
        <v>463</v>
      </c>
      <c r="EC129" s="727" t="s">
        <v>1568</v>
      </c>
      <c r="ED129" s="728">
        <v>0.5</v>
      </c>
      <c r="EE129" s="1215"/>
      <c r="EF129" s="1215"/>
      <c r="EG129" s="1184" t="str">
        <f t="shared" si="144"/>
        <v/>
      </c>
      <c r="EH129" s="55"/>
      <c r="EI129" s="55"/>
      <c r="EJ129" s="1185">
        <f t="shared" si="92"/>
        <v>0</v>
      </c>
      <c r="EK129" s="1211"/>
      <c r="EL129" s="1180">
        <f t="shared" si="93"/>
        <v>0</v>
      </c>
      <c r="EM129" s="206"/>
      <c r="EN129" s="1038"/>
      <c r="EO129" s="1038"/>
      <c r="EP129" s="1038"/>
      <c r="EQ129" s="1038">
        <f t="shared" si="145"/>
        <v>0</v>
      </c>
      <c r="ER129" s="1041">
        <f t="shared" si="146"/>
        <v>0</v>
      </c>
      <c r="ES129" s="1042">
        <f t="shared" si="147"/>
        <v>0</v>
      </c>
      <c r="ET129" s="1042">
        <f t="shared" si="152"/>
        <v>0</v>
      </c>
      <c r="EU129" s="1021">
        <f t="shared" si="153"/>
        <v>0</v>
      </c>
      <c r="EV129" s="368"/>
      <c r="EW129" s="368"/>
      <c r="EX129" s="369"/>
      <c r="EY129" s="370"/>
      <c r="EZ129" s="370"/>
      <c r="FA129" s="371"/>
      <c r="FB129" s="372"/>
    </row>
    <row r="130" spans="1:158" ht="34.5" customHeight="1">
      <c r="A130" s="82">
        <v>122</v>
      </c>
      <c r="B130" s="1725"/>
      <c r="C130" s="1726"/>
      <c r="D130" s="1726"/>
      <c r="E130" s="1727"/>
      <c r="F130" s="1732"/>
      <c r="G130" s="1733"/>
      <c r="H130" s="1733"/>
      <c r="I130" s="1734"/>
      <c r="J130" s="1341"/>
      <c r="K130" s="1728"/>
      <c r="L130" s="1728"/>
      <c r="M130" s="1342"/>
      <c r="N130" s="1583"/>
      <c r="O130" s="208" t="str">
        <f t="shared" si="80"/>
        <v/>
      </c>
      <c r="P130" s="785"/>
      <c r="Q130" s="39" t="str">
        <f t="shared" si="81"/>
        <v/>
      </c>
      <c r="R130" s="39">
        <f t="shared" si="94"/>
        <v>0</v>
      </c>
      <c r="S130" s="234">
        <f t="shared" si="95"/>
        <v>0</v>
      </c>
      <c r="T130" s="1755"/>
      <c r="U130" s="1755"/>
      <c r="V130" s="1755"/>
      <c r="W130" s="1345"/>
      <c r="X130" s="1741"/>
      <c r="Y130" s="1742"/>
      <c r="Z130" s="1346"/>
      <c r="AA130" s="1343"/>
      <c r="AB130" s="1141"/>
      <c r="AC130" s="1103" t="str">
        <f>IF(T130="","",VLOOKUP(Z130,Lists!$A$60:$B$111,2,FALSE))</f>
        <v/>
      </c>
      <c r="AD130" s="130" t="str">
        <f t="shared" si="96"/>
        <v/>
      </c>
      <c r="AE130" s="130" t="e">
        <f t="shared" si="97"/>
        <v>#VALUE!</v>
      </c>
      <c r="AF130" s="130">
        <f t="shared" si="98"/>
        <v>1</v>
      </c>
      <c r="AG130" s="234">
        <f t="shared" si="82"/>
        <v>0</v>
      </c>
      <c r="AH130" s="1753" t="str">
        <f>IF(T130="","",(IF(ISNUMBER(SEARCH("exit",T130)),8760,IF(AND(M130="Dusk to Dawn",'Proposed Lighting'!AU130=3),4059,IF(AND(AU130=3,M130="1"),0,IF(AND(AU130=3,M130="1-C"),0,IF(AND(AU130=3,M130="2"),0,IF(AND(AU130=3,M130="2-C"),0,IF(AND(AU130=3,M130="3"),0,IF(AND(AU130=3,M130="3-C"),0,IF(AND(AU130=2,M130="Dusk to Dawn"),0,IF(AND(AU130=2,M130="Dusk to Dawn-C"),0,IF(AND(AU130=2,M130="Dusk to Dawn"),0,IF(AND(AU130=2,M130="E"),0,IF(AND(AU130=2,M130="E-C"),0,EG130)))))))))))))))</f>
        <v/>
      </c>
      <c r="AI130" s="1754"/>
      <c r="AJ130" s="1136"/>
      <c r="AK130" s="1136"/>
      <c r="AL130" s="1748">
        <f t="shared" si="99"/>
        <v>0</v>
      </c>
      <c r="AM130" s="1749"/>
      <c r="AN130" s="1750"/>
      <c r="AO130" s="476">
        <f t="shared" si="83"/>
        <v>0</v>
      </c>
      <c r="AP130" s="476">
        <f t="shared" si="100"/>
        <v>0</v>
      </c>
      <c r="AQ130" s="475">
        <f t="shared" si="84"/>
        <v>0</v>
      </c>
      <c r="AR130" s="475">
        <f t="shared" si="101"/>
        <v>0</v>
      </c>
      <c r="AS130" s="743" t="str">
        <f t="shared" si="156"/>
        <v/>
      </c>
      <c r="AT130" s="736" t="str">
        <f t="shared" si="102"/>
        <v/>
      </c>
      <c r="AU130" s="56">
        <f t="shared" si="103"/>
        <v>1</v>
      </c>
      <c r="AV130" s="476">
        <f t="shared" si="104"/>
        <v>0</v>
      </c>
      <c r="AW130" s="56">
        <f t="shared" si="105"/>
        <v>0</v>
      </c>
      <c r="AX130" s="475">
        <f t="shared" si="85"/>
        <v>0</v>
      </c>
      <c r="AY130" s="1169">
        <f t="shared" si="106"/>
        <v>0</v>
      </c>
      <c r="AZ130" s="1150">
        <f t="shared" si="148"/>
        <v>0</v>
      </c>
      <c r="BA130" s="56">
        <f t="shared" si="86"/>
        <v>0</v>
      </c>
      <c r="BB130" s="420">
        <f t="shared" si="87"/>
        <v>0</v>
      </c>
      <c r="BC130" s="58" t="str">
        <f t="shared" si="88"/>
        <v/>
      </c>
      <c r="BD130" s="660">
        <f t="shared" si="149"/>
        <v>0</v>
      </c>
      <c r="BE130" s="57" t="e">
        <f t="array" ref="BE130">INDEX($EB$11:$ED$1022,MATCH(F130&amp;T130,$EB$11:$EB$1007&amp;$EC$11:$EC$1007,0),3)</f>
        <v>#N/A</v>
      </c>
      <c r="BF130" s="463">
        <f t="shared" si="157"/>
        <v>0</v>
      </c>
      <c r="BG130" s="1445" t="e">
        <f t="array" ref="BG130">INDEX($DO$112:$DQ$123,MATCH(T130&amp;W130,$DO$114:$DO$125&amp;$DP$112:$DP$123,0),3)</f>
        <v>#N/A</v>
      </c>
      <c r="BH130" s="1446">
        <f t="shared" si="108"/>
        <v>0</v>
      </c>
      <c r="BI130" s="465">
        <f t="shared" si="109"/>
        <v>0</v>
      </c>
      <c r="BJ130" s="465">
        <f t="shared" si="110"/>
        <v>0</v>
      </c>
      <c r="BK130" s="466">
        <f t="shared" si="158"/>
        <v>0</v>
      </c>
      <c r="BL130" s="466">
        <f t="shared" si="159"/>
        <v>0</v>
      </c>
      <c r="BM130" s="466">
        <f t="shared" si="113"/>
        <v>0</v>
      </c>
      <c r="BN130" s="466">
        <f t="shared" si="114"/>
        <v>0</v>
      </c>
      <c r="BO130" s="463">
        <f>IF('Data Entry'!$C$74=0,0,IF(ISNA(CJ130),0,IF(AX130=0,0,IF(AND('Data Entry'!$C$74=2,AF130&gt;2,CE130&lt;1),0,IF(AND('Data Entry'!$C$74=2,AF130&gt;1,AU130=2,CJ130&gt;1),0,IF(AND(AF130=5,CT130=0.5,AU130=2,ER130&lt;100),0,IF(AND(AF130=5,CT130=0.5,AU130=3,ER130&lt;100),0,IF(AND('Data Entry'!$C$74=2,AF130=2,AU130=2,AK130&gt;0.01,CB130=2,CE130&lt;1),0,IF(AND('Data Entry'!$C$74=2,AF130=3,AU130=3,AK130&gt;0.01,CB130=3,CE130&lt;1),0,IF(AND('Data Entry'!$C$74=2,AF130=3,AU130=3,AK130&gt;0.01,CB130=3,CE130&gt;0.99),BQ130*0.08,IF(AND('Data Entry'!$C$74=2,AF130=2,AU130=2,AK130&gt;0.01,CB130=2,CE130&gt;0.99),BQ130*0.1,IF(AND(AU130=2,AK130&gt;0.01,CB130=2,CD130&gt;1),BQ130*0.1,IF(AND(AU130=3,AK130&gt;0.01,CB130=3,CD130&gt;1),BQ130*0.08,CJ130*EF130)))))))))))))</f>
        <v>0</v>
      </c>
      <c r="BP130" s="475">
        <f t="shared" si="115"/>
        <v>0</v>
      </c>
      <c r="BQ130" s="1431">
        <f>IF(AU130=1,0,IF(CH130=100,0,IF(AND(AF130=3,AU130=2),0,IF(AND(BH130=0,CT130&gt;0.4),0,IF(AND('Data Entry'!$C$74=2,AF130=1.5),0,IF(AND('Data Entry'!$C$74=2,AF130=1.6),0,IF(AND('Data Entry'!$C$74=2,AF130=4),0,IF(AND('Data Entry'!$C$74=2,AF130=5),0,IF(AND('Data Entry'!$C$74=2,AF130=2.5,CE130&lt;1),0,IF(AND('Data Entry'!$C$74=2,AF130=3,CE130&lt;1),0,IF(AND('Data Entry'!$C$74=1,AF130=2.5,CD130&lt;1),0,IF(AND('Data Entry'!$C$74=1,AF130=3,CD130&lt;1),0,IF(DX130&gt;0.01,DX130,IF(ISERROR(AX130-AY130),"",ROUND(AX130-AY130,2)))))))))))))))</f>
        <v>0</v>
      </c>
      <c r="BR130" s="146">
        <f t="shared" si="116"/>
        <v>0</v>
      </c>
      <c r="BS130" s="475">
        <f t="shared" si="117"/>
        <v>0</v>
      </c>
      <c r="BT130" s="146" t="b">
        <f t="shared" si="118"/>
        <v>0</v>
      </c>
      <c r="BU130" s="463">
        <f>IF(ISNA(AT130),0,IF(AND('Data Entry'!$C$74=2,BC130=27),0,IF(AND('Data Entry'!$C$74=2,BC130=28),0,IF(AND(BC130=27,BT130=27,CM130&gt;0.1),CM130*0.15,IF(AND(BC130=28,BT130=28,CM130&gt;0.1),CM130*0.12,0)))))</f>
        <v>0</v>
      </c>
      <c r="BV130" s="463">
        <f t="shared" si="155"/>
        <v>0</v>
      </c>
      <c r="BW130" s="463">
        <f t="shared" si="119"/>
        <v>0</v>
      </c>
      <c r="BX130" s="463">
        <f t="shared" si="120"/>
        <v>0</v>
      </c>
      <c r="BY130" s="463">
        <f t="shared" si="121"/>
        <v>0</v>
      </c>
      <c r="BZ130" s="463">
        <f t="shared" si="122"/>
        <v>0</v>
      </c>
      <c r="CA130" s="57">
        <f t="shared" si="150"/>
        <v>0</v>
      </c>
      <c r="CB130" s="56">
        <f t="shared" si="123"/>
        <v>1</v>
      </c>
      <c r="CC130" s="756">
        <f>IF(EE130=0,0,IF(EF130=0,0,IF(EE130&gt;AA130,0,IF(AND(AZ130&gt;AW130,AW130&gt;0),0,IF(CU130=0,0,Summary!AC433)))))</f>
        <v>0</v>
      </c>
      <c r="CD130" s="756">
        <f>IF(EE130=0,0,IF(EF130=0,0,IF(EE130&gt;AA130,0,IF(AND(AZ130&gt;AW130,AW130&gt;0),0,IF(CU130=0,0,Summary!AD433)))))</f>
        <v>0</v>
      </c>
      <c r="CE130" s="756">
        <f>IF(EF130=0,0,IF(EE130&gt;AA130,0,IF(CC130=0,0,IF(AND(AZ130&gt;AW130,AW130&gt;0),0,IF(CU130=0,0,Summary!AE433)))))</f>
        <v>0</v>
      </c>
      <c r="CF130" s="475">
        <f t="shared" si="124"/>
        <v>0</v>
      </c>
      <c r="CG130" s="476">
        <f t="shared" si="89"/>
        <v>0</v>
      </c>
      <c r="CH130" s="487">
        <f t="shared" si="125"/>
        <v>0</v>
      </c>
      <c r="CI130" s="756">
        <f t="shared" si="126"/>
        <v>0</v>
      </c>
      <c r="CJ130" s="487">
        <f>IF(CT130&gt;0.4,0,IF(AND(AU130=2,CH130=0,CT130=0.5,ER130=100),35,IF(AND(AU130=3,BB130&gt;75,CH130=0,CT130=0.5,ER130=100),25,IF(CB130&gt;1,0,IF(EF130&gt;EE130,0,IF(AND(AF130&gt;1,CH130=100),0,IF(AND(AF130=1,AY130=0),0,IF(AND(EF130&lt;=EE130,AW130&gt;=AZ130,'Data Entry'!$C$74=1,AU130=2),VLOOKUP(W130,$DO$96:$DP$102,2,FALSE),IF(AND(EF130&lt;=EE130,AW130&gt;=AZ130,AU130=3,'Data Entry'!$C$74=1),VLOOKUP(W130,$DO$127:$DP$134,2,FALSE))))))))))</f>
        <v>0</v>
      </c>
      <c r="CK130" s="716">
        <f t="shared" si="127"/>
        <v>0</v>
      </c>
      <c r="CL130" s="57">
        <f t="shared" si="128"/>
        <v>0</v>
      </c>
      <c r="CM130" s="475">
        <f t="shared" si="154"/>
        <v>0</v>
      </c>
      <c r="CN130" s="660">
        <f>IF(CM130&lt;0.1,0,IF(ISNA(AT130),0,IF(CL130+BC130=1,0,IF(BV130&gt;0.01,0,IF(CL130&gt;0.01,0,IF(CF130=1,0,IF(BC130=0.5,0,IF(AND(CI130=1,AU130=3),0,IF(AND(CI130=5,CL130=0),0,IF(AND(R130=12,BR130=50),0,IF(CK130&gt;0.01,0,IF(AND(AJ130&gt;0.01,AU130=2,BC130=15),CM130*0.1,IF(AND(AJ130&gt;0.01,AU130=3,BC130=15),CM130*0.08,IF(AND(R130=12,BC130=3,AF130&lt;=0),0,IF(AND(BC130=15,BI130=0),0,IF(AND(BC130=15,BJ130=0),0,IF(AND(R130=20,CU130=0),0,IF($X$4=0,0,IF(AND(BC130=250,CL130=0),0,IF(AA130&lt;1,0,IF(AND(ISNUMBER(SEARCH("Area",T130)),AU130=3),0,IF(AND(AQ130&gt;0.01,AR130=0,BK130=0,BL130=0,BM130=0,BN130=0),0,IF(AND(AU130=3,CI130=7,CT130&gt;0.5),0,IF(AND(BC130=44,AU130=3,BY130=0),0,IF(AND(BC130=27,'Data Entry'!$C$74=2),0,IF(AND(BC130=28,'Data Entry'!$C$74=2),0,IF(AND(BY130+BZ130+CA130&gt;0.01,BV130=0,EQ130+ER130+ES130+ET130&lt;100),0,IF(AU130=3,CM130*0.08,IF(AU130=2,CM130*0.1,0)))))))))))))))))))))))))))))</f>
        <v>0</v>
      </c>
      <c r="CO130" s="660">
        <f t="shared" si="129"/>
        <v>0</v>
      </c>
      <c r="CP130" s="475" t="str">
        <f t="shared" si="130"/>
        <v/>
      </c>
      <c r="CQ130" s="161" t="str">
        <f>IF(AH130=0,0,IF(AU130=5,0,Summary!AC133))</f>
        <v/>
      </c>
      <c r="CR130" s="161" t="str">
        <f>IF(BF130=0.5,0,IF(AU130=5,0,Summary!AD133))</f>
        <v/>
      </c>
      <c r="CS130" s="161" t="str">
        <f>IF(AU130=5,0,Summary!AE133)</f>
        <v/>
      </c>
      <c r="CT130" s="161">
        <f t="shared" si="131"/>
        <v>0</v>
      </c>
      <c r="CU130" s="475" t="str">
        <f t="shared" si="132"/>
        <v/>
      </c>
      <c r="CV130" s="307">
        <f>IF('Data Entry'!$C$74=0,0,IF(AA130&lt;1,0,IF(ISERROR(CU130),0,IF(CF130=1,0,IF(AND(R130=12,BR130=50),0,IF(CL130+BO130+BV130+DC130=0,0,IF(BC130=37,0,IF(AND(BC130=40,AJ130=0),0,IF(AND(BC130=37,BO130&gt;0.01,BQ130&gt;0.01),ROUND(BQ130,0),IF(CM130&lt;0,0,ROUND(CM130,0)))))))))))</f>
        <v>0</v>
      </c>
      <c r="CW130" s="700">
        <f t="shared" si="133"/>
        <v>0</v>
      </c>
      <c r="CX130" s="477">
        <f>IF('Data Entry'!$C$74=0,0,IF(CV130&lt;0.01,0,IF(BF130=0.5,0,IF(CF130=1,0,IF(ISNUMBER(SEARCH("false",CL130)),0,IF(AZ130=500,0,CL130))))))</f>
        <v>0</v>
      </c>
      <c r="CY130" s="147" t="e">
        <f t="shared" si="134"/>
        <v>#VALUE!</v>
      </c>
      <c r="CZ130" s="147" t="b">
        <f>IF(CN130+CL130=0,FALSE,IF(AH130=0,0,IF(AND('Data Entry'!$C$74=1,CR130&gt;=1),TRUE,IF(AND('Data Entry'!$C$74=2,CS130&gt;=1),TRUE,FALSE))))</f>
        <v>0</v>
      </c>
      <c r="DA130" s="1751">
        <f>IF('Data Entry'!$C$74=0,0,IFERROR(ROUND(IF(T130="","",IF($X$4=0,0,IF(CF130=1,0,IF(BQ130+CV130=0,0,IF(CF130=1,0,IF(CY130&gt;0.01,CY130,IF(CL130&gt;0.01,CL130,IF(CY130&gt;0.01,CY130,IF(BC130=37,BO130,IF(CZ130=FALSE,0,IF(CZ130=TRUE,DC130+DF130,0))))))))))),2),""))</f>
        <v>0</v>
      </c>
      <c r="DB130" s="1752"/>
      <c r="DC130" s="474">
        <f>IF(CN130&lt;0.01,0,IF(AND(BR130=3,CN130&gt;0.01,CT130&gt;0.6,ER130+ES130+ET130&lt;100),0,IF(AND('Data Entry'!$C$74=1,CN130&gt;0.01,CR130&gt;0.99),MIN(CN130:CO130),IF(AND('Data Entry'!$C$74=2,CN130&gt;0.01,CS130&gt;0.99),MIN(CN130:CO130),0))))</f>
        <v>0</v>
      </c>
      <c r="DD130" s="478">
        <f>IF(CF130=1,"Selection does not match",IF(T130=0,0,IF(AND('Data Entry'!$C$74=0,CP130&gt;1),"Select Oregon or Idaho on Data Entry Tab",IF(AND(AU130=1,AA130&gt;0.9),"Missing Interior or Exterior Selection",IF($X$4=0,"Enter Total Project Cost",IF(AQ130&lt;AR130,"Insufficient kWh savings – no incentive",IF(AND(SUM(CL130+CK130+BV130)&gt;0.01,'Data Entry'!$C$74=2,CJ130&gt;1,BO130=0),"Submit Control as Non-Standard",IF(AND('Data Entry'!$C$74=2,BR130=37,CJ130&gt;1,BO130=0),"Submit Control as Non-Standard",IF(SUM(CL130+CK130+BV130)&gt;0.01,"Standard Incentive",IF(AND('Data Entry'!$C$74=2,CP130=7,CN130=0),"Submit as Non-Standard",IF(DC130&gt;0.9,"Non-Standard Incentive",IF(AND(BY130+BZ130+CA130&gt;0.01,BV130=0,EQ130=0,ER130=0,ES130=0,ET130=0),"Scroll Right &amp; Select Control Strategies",IF(AND(CN130&gt;0.01,CO130=0),"Enter Unit Installed Cost",IF(ISNUMBER(SEARCH("Lighting Controls Only",F130)),"Lighting Controls Only",IF(CL130+DC130=0,"Does not meet incentive criteria",0)))))))))))))))</f>
        <v>0</v>
      </c>
      <c r="DE130" s="337">
        <f t="shared" si="135"/>
        <v>0</v>
      </c>
      <c r="DF130" s="609">
        <f t="shared" si="136"/>
        <v>0</v>
      </c>
      <c r="DG130" s="336" t="str">
        <f t="shared" si="137"/>
        <v/>
      </c>
      <c r="DH130" s="338">
        <f t="shared" si="138"/>
        <v>1</v>
      </c>
      <c r="DI130" s="336" t="e">
        <f t="shared" si="90"/>
        <v>#VALUE!</v>
      </c>
      <c r="DJ130" s="338">
        <f t="shared" si="91"/>
        <v>0</v>
      </c>
      <c r="DK130" s="325" t="s">
        <v>518</v>
      </c>
      <c r="DL130" s="341">
        <v>760</v>
      </c>
      <c r="DM130" s="325" t="s">
        <v>136</v>
      </c>
      <c r="DN130" s="1123">
        <v>6</v>
      </c>
      <c r="DO130" s="1444" t="s">
        <v>1762</v>
      </c>
      <c r="DP130" s="344">
        <v>0</v>
      </c>
      <c r="DQ130" s="361"/>
      <c r="DR130" s="357"/>
      <c r="DS130" s="1195">
        <f t="shared" si="139"/>
        <v>0</v>
      </c>
      <c r="DT130" s="344" t="b">
        <f t="shared" si="140"/>
        <v>1</v>
      </c>
      <c r="DU130" s="1314" t="str">
        <f t="array" ref="DU130">IF(OR(COUNTIF(F130,"*"&amp;$DK$9:$DK$178&amp;"*")), "Yes", "")</f>
        <v/>
      </c>
      <c r="DV130" s="1314">
        <f t="shared" si="141"/>
        <v>0</v>
      </c>
      <c r="DW130" s="1480">
        <f t="shared" si="142"/>
        <v>0</v>
      </c>
      <c r="DX130" s="1498">
        <f t="shared" si="151"/>
        <v>0</v>
      </c>
      <c r="DY130" s="1484">
        <f t="shared" si="143"/>
        <v>0</v>
      </c>
      <c r="DZ130" s="331"/>
      <c r="EA130" s="392"/>
      <c r="EB130" s="1499" t="s">
        <v>464</v>
      </c>
      <c r="EC130" s="727" t="s">
        <v>1568</v>
      </c>
      <c r="ED130" s="728">
        <v>0.5</v>
      </c>
      <c r="EE130" s="1215"/>
      <c r="EF130" s="1215"/>
      <c r="EG130" s="1184" t="str">
        <f t="shared" si="144"/>
        <v/>
      </c>
      <c r="EH130" s="55"/>
      <c r="EI130" s="55"/>
      <c r="EJ130" s="1185">
        <f t="shared" si="92"/>
        <v>0</v>
      </c>
      <c r="EK130" s="1211"/>
      <c r="EL130" s="1180">
        <f t="shared" si="93"/>
        <v>0</v>
      </c>
      <c r="EM130" s="206"/>
      <c r="EN130" s="1038"/>
      <c r="EO130" s="1038"/>
      <c r="EP130" s="1038"/>
      <c r="EQ130" s="1038">
        <f t="shared" si="145"/>
        <v>0</v>
      </c>
      <c r="ER130" s="1041">
        <f t="shared" si="146"/>
        <v>0</v>
      </c>
      <c r="ES130" s="1042">
        <f t="shared" si="147"/>
        <v>0</v>
      </c>
      <c r="ET130" s="1042">
        <f t="shared" si="152"/>
        <v>0</v>
      </c>
      <c r="EU130" s="1021">
        <f t="shared" si="153"/>
        <v>0</v>
      </c>
      <c r="EV130" s="368"/>
      <c r="EW130" s="368"/>
      <c r="EX130" s="369"/>
      <c r="EY130" s="370"/>
      <c r="EZ130" s="370"/>
      <c r="FA130" s="371"/>
      <c r="FB130" s="372"/>
    </row>
    <row r="131" spans="1:158" ht="34.5" customHeight="1">
      <c r="A131" s="82">
        <v>123</v>
      </c>
      <c r="B131" s="1725"/>
      <c r="C131" s="1726"/>
      <c r="D131" s="1726"/>
      <c r="E131" s="1727"/>
      <c r="F131" s="1732"/>
      <c r="G131" s="1733"/>
      <c r="H131" s="1733"/>
      <c r="I131" s="1734"/>
      <c r="J131" s="1341"/>
      <c r="K131" s="1728"/>
      <c r="L131" s="1728"/>
      <c r="M131" s="1342"/>
      <c r="N131" s="1583"/>
      <c r="O131" s="208" t="str">
        <f t="shared" si="80"/>
        <v/>
      </c>
      <c r="P131" s="785"/>
      <c r="Q131" s="39" t="str">
        <f t="shared" si="81"/>
        <v/>
      </c>
      <c r="R131" s="39">
        <f t="shared" si="94"/>
        <v>0</v>
      </c>
      <c r="S131" s="234">
        <f t="shared" si="95"/>
        <v>0</v>
      </c>
      <c r="T131" s="1755"/>
      <c r="U131" s="1755"/>
      <c r="V131" s="1755"/>
      <c r="W131" s="1345"/>
      <c r="X131" s="1741"/>
      <c r="Y131" s="1742"/>
      <c r="Z131" s="1346"/>
      <c r="AA131" s="1343"/>
      <c r="AB131" s="1141"/>
      <c r="AC131" s="1103" t="str">
        <f>IF(T131="","",VLOOKUP(Z131,Lists!$A$60:$B$111,2,FALSE))</f>
        <v/>
      </c>
      <c r="AD131" s="130" t="str">
        <f t="shared" si="96"/>
        <v/>
      </c>
      <c r="AE131" s="130" t="e">
        <f t="shared" si="97"/>
        <v>#VALUE!</v>
      </c>
      <c r="AF131" s="130">
        <f t="shared" si="98"/>
        <v>1</v>
      </c>
      <c r="AG131" s="234">
        <f t="shared" si="82"/>
        <v>0</v>
      </c>
      <c r="AH131" s="1753" t="str">
        <f>IF(T131="","",(IF(ISNUMBER(SEARCH("exit",T131)),8760,IF(AND(M131="Dusk to Dawn",'Proposed Lighting'!AU131=3),4059,IF(AND(AU131=3,M131="1"),0,IF(AND(AU131=3,M131="1-C"),0,IF(AND(AU131=3,M131="2"),0,IF(AND(AU131=3,M131="2-C"),0,IF(AND(AU131=3,M131="3"),0,IF(AND(AU131=3,M131="3-C"),0,IF(AND(AU131=2,M131="Dusk to Dawn"),0,IF(AND(AU131=2,M131="Dusk to Dawn-C"),0,IF(AND(AU131=2,M131="Dusk to Dawn"),0,IF(AND(AU131=2,M131="E"),0,IF(AND(AU131=2,M131="E-C"),0,EG131)))))))))))))))</f>
        <v/>
      </c>
      <c r="AI131" s="1754"/>
      <c r="AJ131" s="1136"/>
      <c r="AK131" s="1136"/>
      <c r="AL131" s="1748">
        <f t="shared" si="99"/>
        <v>0</v>
      </c>
      <c r="AM131" s="1749"/>
      <c r="AN131" s="1750"/>
      <c r="AO131" s="476">
        <f t="shared" si="83"/>
        <v>0</v>
      </c>
      <c r="AP131" s="476">
        <f t="shared" si="100"/>
        <v>0</v>
      </c>
      <c r="AQ131" s="475">
        <f t="shared" si="84"/>
        <v>0</v>
      </c>
      <c r="AR131" s="475">
        <f t="shared" si="101"/>
        <v>0</v>
      </c>
      <c r="AS131" s="743" t="str">
        <f t="shared" si="156"/>
        <v/>
      </c>
      <c r="AT131" s="736" t="str">
        <f t="shared" si="102"/>
        <v/>
      </c>
      <c r="AU131" s="56">
        <f t="shared" si="103"/>
        <v>1</v>
      </c>
      <c r="AV131" s="476">
        <f t="shared" si="104"/>
        <v>0</v>
      </c>
      <c r="AW131" s="56">
        <f t="shared" si="105"/>
        <v>0</v>
      </c>
      <c r="AX131" s="475">
        <f t="shared" si="85"/>
        <v>0</v>
      </c>
      <c r="AY131" s="1169">
        <f t="shared" si="106"/>
        <v>0</v>
      </c>
      <c r="AZ131" s="1150">
        <f t="shared" si="148"/>
        <v>0</v>
      </c>
      <c r="BA131" s="56">
        <f t="shared" si="86"/>
        <v>0</v>
      </c>
      <c r="BB131" s="420">
        <f t="shared" si="87"/>
        <v>0</v>
      </c>
      <c r="BC131" s="58" t="str">
        <f t="shared" si="88"/>
        <v/>
      </c>
      <c r="BD131" s="660">
        <f t="shared" si="149"/>
        <v>0</v>
      </c>
      <c r="BE131" s="57" t="e">
        <f t="array" ref="BE131">INDEX($EB$11:$ED$1022,MATCH(F131&amp;T131,$EB$11:$EB$1007&amp;$EC$11:$EC$1007,0),3)</f>
        <v>#N/A</v>
      </c>
      <c r="BF131" s="463">
        <f t="shared" si="157"/>
        <v>0</v>
      </c>
      <c r="BG131" s="1445" t="e">
        <f t="array" ref="BG131">INDEX($DO$112:$DQ$123,MATCH(T131&amp;W131,$DO$114:$DO$125&amp;$DP$112:$DP$123,0),3)</f>
        <v>#N/A</v>
      </c>
      <c r="BH131" s="1446">
        <f t="shared" si="108"/>
        <v>0</v>
      </c>
      <c r="BI131" s="465">
        <f t="shared" si="109"/>
        <v>0</v>
      </c>
      <c r="BJ131" s="465">
        <f t="shared" si="110"/>
        <v>0</v>
      </c>
      <c r="BK131" s="466">
        <f t="shared" si="158"/>
        <v>0</v>
      </c>
      <c r="BL131" s="466">
        <f t="shared" si="159"/>
        <v>0</v>
      </c>
      <c r="BM131" s="466">
        <f t="shared" si="113"/>
        <v>0</v>
      </c>
      <c r="BN131" s="466">
        <f t="shared" si="114"/>
        <v>0</v>
      </c>
      <c r="BO131" s="463">
        <f>IF('Data Entry'!$C$74=0,0,IF(ISNA(CJ131),0,IF(AX131=0,0,IF(AND('Data Entry'!$C$74=2,AF131&gt;2,CE131&lt;1),0,IF(AND('Data Entry'!$C$74=2,AF131&gt;1,AU131=2,CJ131&gt;1),0,IF(AND(AF131=5,CT131=0.5,AU131=2,ER131&lt;100),0,IF(AND(AF131=5,CT131=0.5,AU131=3,ER131&lt;100),0,IF(AND('Data Entry'!$C$74=2,AF131=2,AU131=2,AK131&gt;0.01,CB131=2,CE131&lt;1),0,IF(AND('Data Entry'!$C$74=2,AF131=3,AU131=3,AK131&gt;0.01,CB131=3,CE131&lt;1),0,IF(AND('Data Entry'!$C$74=2,AF131=3,AU131=3,AK131&gt;0.01,CB131=3,CE131&gt;0.99),BQ131*0.08,IF(AND('Data Entry'!$C$74=2,AF131=2,AU131=2,AK131&gt;0.01,CB131=2,CE131&gt;0.99),BQ131*0.1,IF(AND(AU131=2,AK131&gt;0.01,CB131=2,CD131&gt;1),BQ131*0.1,IF(AND(AU131=3,AK131&gt;0.01,CB131=3,CD131&gt;1),BQ131*0.08,CJ131*EF131)))))))))))))</f>
        <v>0</v>
      </c>
      <c r="BP131" s="475">
        <f t="shared" si="115"/>
        <v>0</v>
      </c>
      <c r="BQ131" s="1431">
        <f>IF(AU131=1,0,IF(CH131=100,0,IF(AND(AF131=3,AU131=2),0,IF(AND(BH131=0,CT131&gt;0.4),0,IF(AND('Data Entry'!$C$74=2,AF131=1.5),0,IF(AND('Data Entry'!$C$74=2,AF131=1.6),0,IF(AND('Data Entry'!$C$74=2,AF131=4),0,IF(AND('Data Entry'!$C$74=2,AF131=5),0,IF(AND('Data Entry'!$C$74=2,AF131=2.5,CE131&lt;1),0,IF(AND('Data Entry'!$C$74=2,AF131=3,CE131&lt;1),0,IF(AND('Data Entry'!$C$74=1,AF131=2.5,CD131&lt;1),0,IF(AND('Data Entry'!$C$74=1,AF131=3,CD131&lt;1),0,IF(DX131&gt;0.01,DX131,IF(ISERROR(AX131-AY131),"",ROUND(AX131-AY131,2)))))))))))))))</f>
        <v>0</v>
      </c>
      <c r="BR131" s="146">
        <f t="shared" si="116"/>
        <v>0</v>
      </c>
      <c r="BS131" s="475">
        <f t="shared" si="117"/>
        <v>0</v>
      </c>
      <c r="BT131" s="146" t="b">
        <f t="shared" si="118"/>
        <v>0</v>
      </c>
      <c r="BU131" s="463">
        <f>IF(ISNA(AT131),0,IF(AND('Data Entry'!$C$74=2,BC131=27),0,IF(AND('Data Entry'!$C$74=2,BC131=28),0,IF(AND(BC131=27,BT131=27,CM131&gt;0.1),CM131*0.15,IF(AND(BC131=28,BT131=28,CM131&gt;0.1),CM131*0.12,0)))))</f>
        <v>0</v>
      </c>
      <c r="BV131" s="463">
        <f t="shared" si="155"/>
        <v>0</v>
      </c>
      <c r="BW131" s="463">
        <f t="shared" si="119"/>
        <v>0</v>
      </c>
      <c r="BX131" s="463">
        <f t="shared" si="120"/>
        <v>0</v>
      </c>
      <c r="BY131" s="463">
        <f t="shared" si="121"/>
        <v>0</v>
      </c>
      <c r="BZ131" s="463">
        <f t="shared" si="122"/>
        <v>0</v>
      </c>
      <c r="CA131" s="57">
        <f t="shared" si="150"/>
        <v>0</v>
      </c>
      <c r="CB131" s="56">
        <f t="shared" si="123"/>
        <v>1</v>
      </c>
      <c r="CC131" s="756">
        <f>IF(EE131=0,0,IF(EF131=0,0,IF(EE131&gt;AA131,0,IF(AND(AZ131&gt;AW131,AW131&gt;0),0,IF(CU131=0,0,Summary!AC434)))))</f>
        <v>0</v>
      </c>
      <c r="CD131" s="756">
        <f>IF(EE131=0,0,IF(EF131=0,0,IF(EE131&gt;AA131,0,IF(AND(AZ131&gt;AW131,AW131&gt;0),0,IF(CU131=0,0,Summary!AD434)))))</f>
        <v>0</v>
      </c>
      <c r="CE131" s="756">
        <f>IF(EF131=0,0,IF(EE131&gt;AA131,0,IF(CC131=0,0,IF(AND(AZ131&gt;AW131,AW131&gt;0),0,IF(CU131=0,0,Summary!AE434)))))</f>
        <v>0</v>
      </c>
      <c r="CF131" s="475">
        <f t="shared" si="124"/>
        <v>0</v>
      </c>
      <c r="CG131" s="476">
        <f t="shared" si="89"/>
        <v>0</v>
      </c>
      <c r="CH131" s="487">
        <f t="shared" si="125"/>
        <v>0</v>
      </c>
      <c r="CI131" s="756">
        <f t="shared" si="126"/>
        <v>0</v>
      </c>
      <c r="CJ131" s="487">
        <f>IF(CT131&gt;0.4,0,IF(AND(AU131=2,CH131=0,CT131=0.5,ER131=100),35,IF(AND(AU131=3,BB131&gt;75,CH131=0,CT131=0.5,ER131=100),25,IF(CB131&gt;1,0,IF(EF131&gt;EE131,0,IF(AND(AF131&gt;1,CH131=100),0,IF(AND(AF131=1,AY131=0),0,IF(AND(EF131&lt;=EE131,AW131&gt;=AZ131,'Data Entry'!$C$74=1,AU131=2),VLOOKUP(W131,$DO$96:$DP$102,2,FALSE),IF(AND(EF131&lt;=EE131,AW131&gt;=AZ131,AU131=3,'Data Entry'!$C$74=1),VLOOKUP(W131,$DO$127:$DP$134,2,FALSE))))))))))</f>
        <v>0</v>
      </c>
      <c r="CK131" s="716">
        <f t="shared" si="127"/>
        <v>0</v>
      </c>
      <c r="CL131" s="57">
        <f t="shared" si="128"/>
        <v>0</v>
      </c>
      <c r="CM131" s="475">
        <f t="shared" si="154"/>
        <v>0</v>
      </c>
      <c r="CN131" s="660">
        <f>IF(CM131&lt;0.1,0,IF(ISNA(AT131),0,IF(CL131+BC131=1,0,IF(BV131&gt;0.01,0,IF(CL131&gt;0.01,0,IF(CF131=1,0,IF(BC131=0.5,0,IF(AND(CI131=1,AU131=3),0,IF(AND(CI131=5,CL131=0),0,IF(AND(R131=12,BR131=50),0,IF(CK131&gt;0.01,0,IF(AND(AJ131&gt;0.01,AU131=2,BC131=15),CM131*0.1,IF(AND(AJ131&gt;0.01,AU131=3,BC131=15),CM131*0.08,IF(AND(R131=12,BC131=3,AF131&lt;=0),0,IF(AND(BC131=15,BI131=0),0,IF(AND(BC131=15,BJ131=0),0,IF(AND(R131=20,CU131=0),0,IF($X$4=0,0,IF(AND(BC131=250,CL131=0),0,IF(AA131&lt;1,0,IF(AND(ISNUMBER(SEARCH("Area",T131)),AU131=3),0,IF(AND(AQ131&gt;0.01,AR131=0,BK131=0,BL131=0,BM131=0,BN131=0),0,IF(AND(AU131=3,CI131=7,CT131&gt;0.5),0,IF(AND(BC131=44,AU131=3,BY131=0),0,IF(AND(BC131=27,'Data Entry'!$C$74=2),0,IF(AND(BC131=28,'Data Entry'!$C$74=2),0,IF(AND(BY131+BZ131+CA131&gt;0.01,BV131=0,EQ131+ER131+ES131+ET131&lt;100),0,IF(AU131=3,CM131*0.08,IF(AU131=2,CM131*0.1,0)))))))))))))))))))))))))))))</f>
        <v>0</v>
      </c>
      <c r="CO131" s="660">
        <f t="shared" si="129"/>
        <v>0</v>
      </c>
      <c r="CP131" s="475" t="str">
        <f t="shared" si="130"/>
        <v/>
      </c>
      <c r="CQ131" s="161" t="str">
        <f>IF(AH131=0,0,IF(AU131=5,0,Summary!AC134))</f>
        <v/>
      </c>
      <c r="CR131" s="161" t="str">
        <f>IF(BF131=0.5,0,IF(AU131=5,0,Summary!AD134))</f>
        <v/>
      </c>
      <c r="CS131" s="161" t="str">
        <f>IF(AU131=5,0,Summary!AE134)</f>
        <v/>
      </c>
      <c r="CT131" s="161">
        <f t="shared" si="131"/>
        <v>0</v>
      </c>
      <c r="CU131" s="475" t="str">
        <f t="shared" si="132"/>
        <v/>
      </c>
      <c r="CV131" s="307">
        <f>IF('Data Entry'!$C$74=0,0,IF(AA131&lt;1,0,IF(ISERROR(CU131),0,IF(CF131=1,0,IF(AND(R131=12,BR131=50),0,IF(CL131+BO131+BV131+DC131=0,0,IF(BC131=37,0,IF(AND(BC131=40,AJ131=0),0,IF(AND(BC131=37,BO131&gt;0.01,BQ131&gt;0.01),ROUND(BQ131,0),IF(CM131&lt;0,0,ROUND(CM131,0)))))))))))</f>
        <v>0</v>
      </c>
      <c r="CW131" s="700">
        <f t="shared" si="133"/>
        <v>0</v>
      </c>
      <c r="CX131" s="477">
        <f>IF('Data Entry'!$C$74=0,0,IF(CV131&lt;0.01,0,IF(BF131=0.5,0,IF(CF131=1,0,IF(ISNUMBER(SEARCH("false",CL131)),0,IF(AZ131=500,0,CL131))))))</f>
        <v>0</v>
      </c>
      <c r="CY131" s="147" t="e">
        <f t="shared" si="134"/>
        <v>#VALUE!</v>
      </c>
      <c r="CZ131" s="147" t="b">
        <f>IF(CN131+CL131=0,FALSE,IF(AH131=0,0,IF(AND('Data Entry'!$C$74=1,CR131&gt;=1),TRUE,IF(AND('Data Entry'!$C$74=2,CS131&gt;=1),TRUE,FALSE))))</f>
        <v>0</v>
      </c>
      <c r="DA131" s="1751">
        <f>IF('Data Entry'!$C$74=0,0,IFERROR(ROUND(IF(T131="","",IF($X$4=0,0,IF(CF131=1,0,IF(BQ131+CV131=0,0,IF(CF131=1,0,IF(CY131&gt;0.01,CY131,IF(CL131&gt;0.01,CL131,IF(CY131&gt;0.01,CY131,IF(BC131=37,BO131,IF(CZ131=FALSE,0,IF(CZ131=TRUE,DC131+DF131,0))))))))))),2),""))</f>
        <v>0</v>
      </c>
      <c r="DB131" s="1752"/>
      <c r="DC131" s="474">
        <f>IF(CN131&lt;0.01,0,IF(AND(BR131=3,CN131&gt;0.01,CT131&gt;0.6,ER131+ES131+ET131&lt;100),0,IF(AND('Data Entry'!$C$74=1,CN131&gt;0.01,CR131&gt;0.99),MIN(CN131:CO131),IF(AND('Data Entry'!$C$74=2,CN131&gt;0.01,CS131&gt;0.99),MIN(CN131:CO131),0))))</f>
        <v>0</v>
      </c>
      <c r="DD131" s="478">
        <f>IF(CF131=1,"Selection does not match",IF(T131=0,0,IF(AND('Data Entry'!$C$74=0,CP131&gt;1),"Select Oregon or Idaho on Data Entry Tab",IF(AND(AU131=1,AA131&gt;0.9),"Missing Interior or Exterior Selection",IF($X$4=0,"Enter Total Project Cost",IF(AQ131&lt;AR131,"Insufficient kWh savings – no incentive",IF(AND(SUM(CL131+CK131+BV131)&gt;0.01,'Data Entry'!$C$74=2,CJ131&gt;1,BO131=0),"Submit Control as Non-Standard",IF(AND('Data Entry'!$C$74=2,BR131=37,CJ131&gt;1,BO131=0),"Submit Control as Non-Standard",IF(SUM(CL131+CK131+BV131)&gt;0.01,"Standard Incentive",IF(AND('Data Entry'!$C$74=2,CP131=7,CN131=0),"Submit as Non-Standard",IF(DC131&gt;0.9,"Non-Standard Incentive",IF(AND(BY131+BZ131+CA131&gt;0.01,BV131=0,EQ131=0,ER131=0,ES131=0,ET131=0),"Scroll Right &amp; Select Control Strategies",IF(AND(CN131&gt;0.01,CO131=0),"Enter Unit Installed Cost",IF(ISNUMBER(SEARCH("Lighting Controls Only",F131)),"Lighting Controls Only",IF(CL131+DC131=0,"Does not meet incentive criteria",0)))))))))))))))</f>
        <v>0</v>
      </c>
      <c r="DE131" s="337">
        <f t="shared" si="135"/>
        <v>0</v>
      </c>
      <c r="DF131" s="609">
        <f t="shared" si="136"/>
        <v>0</v>
      </c>
      <c r="DG131" s="336" t="str">
        <f t="shared" si="137"/>
        <v/>
      </c>
      <c r="DH131" s="338">
        <f t="shared" si="138"/>
        <v>1</v>
      </c>
      <c r="DI131" s="336" t="e">
        <f t="shared" si="90"/>
        <v>#VALUE!</v>
      </c>
      <c r="DJ131" s="338">
        <f t="shared" si="91"/>
        <v>0</v>
      </c>
      <c r="DK131" s="325" t="s">
        <v>73</v>
      </c>
      <c r="DL131" s="341" t="s">
        <v>450</v>
      </c>
      <c r="DM131" s="325" t="s">
        <v>189</v>
      </c>
      <c r="DN131" s="1123">
        <v>9</v>
      </c>
      <c r="DO131" s="1444" t="s">
        <v>1763</v>
      </c>
      <c r="DP131" s="344">
        <v>0</v>
      </c>
      <c r="DQ131" s="356"/>
      <c r="DR131" s="357"/>
      <c r="DS131" s="1195">
        <f t="shared" si="139"/>
        <v>0</v>
      </c>
      <c r="DT131" s="344" t="b">
        <f t="shared" si="140"/>
        <v>1</v>
      </c>
      <c r="DU131" s="1314" t="str">
        <f t="array" ref="DU131">IF(OR(COUNTIF(F131,"*"&amp;$DK$9:$DK$178&amp;"*")), "Yes", "")</f>
        <v/>
      </c>
      <c r="DV131" s="1314">
        <f t="shared" si="141"/>
        <v>0</v>
      </c>
      <c r="DW131" s="1480">
        <f t="shared" si="142"/>
        <v>0</v>
      </c>
      <c r="DX131" s="1498">
        <f t="shared" si="151"/>
        <v>0</v>
      </c>
      <c r="DY131" s="1484">
        <f t="shared" si="143"/>
        <v>0</v>
      </c>
      <c r="DZ131" s="331"/>
      <c r="EA131" s="392"/>
      <c r="EB131" s="1499" t="s">
        <v>516</v>
      </c>
      <c r="EC131" s="727" t="s">
        <v>1568</v>
      </c>
      <c r="ED131" s="728">
        <v>0.5</v>
      </c>
      <c r="EE131" s="1215"/>
      <c r="EF131" s="1215"/>
      <c r="EG131" s="1184" t="str">
        <f t="shared" si="144"/>
        <v/>
      </c>
      <c r="EH131" s="55"/>
      <c r="EI131" s="55"/>
      <c r="EJ131" s="1185">
        <f t="shared" si="92"/>
        <v>0</v>
      </c>
      <c r="EK131" s="1211"/>
      <c r="EL131" s="1180">
        <f t="shared" si="93"/>
        <v>0</v>
      </c>
      <c r="EM131" s="206"/>
      <c r="EN131" s="1038"/>
      <c r="EO131" s="1038"/>
      <c r="EP131" s="1038"/>
      <c r="EQ131" s="1038">
        <f t="shared" si="145"/>
        <v>0</v>
      </c>
      <c r="ER131" s="1041">
        <f t="shared" si="146"/>
        <v>0</v>
      </c>
      <c r="ES131" s="1042">
        <f t="shared" si="147"/>
        <v>0</v>
      </c>
      <c r="ET131" s="1042">
        <f t="shared" si="152"/>
        <v>0</v>
      </c>
      <c r="EU131" s="1021">
        <f t="shared" si="153"/>
        <v>0</v>
      </c>
      <c r="EV131" s="368"/>
      <c r="EW131" s="368"/>
      <c r="EX131" s="369"/>
      <c r="EY131" s="370"/>
      <c r="EZ131" s="370"/>
      <c r="FA131" s="371"/>
      <c r="FB131" s="372"/>
    </row>
    <row r="132" spans="1:158" ht="34.5" customHeight="1">
      <c r="A132" s="82">
        <v>124</v>
      </c>
      <c r="B132" s="1725"/>
      <c r="C132" s="1726"/>
      <c r="D132" s="1726"/>
      <c r="E132" s="1727"/>
      <c r="F132" s="1732"/>
      <c r="G132" s="1733"/>
      <c r="H132" s="1733"/>
      <c r="I132" s="1734"/>
      <c r="J132" s="1341"/>
      <c r="K132" s="1728"/>
      <c r="L132" s="1728"/>
      <c r="M132" s="1342"/>
      <c r="N132" s="1583"/>
      <c r="O132" s="208" t="str">
        <f t="shared" si="80"/>
        <v/>
      </c>
      <c r="P132" s="785"/>
      <c r="Q132" s="39" t="str">
        <f t="shared" si="81"/>
        <v/>
      </c>
      <c r="R132" s="39">
        <f t="shared" si="94"/>
        <v>0</v>
      </c>
      <c r="S132" s="234">
        <f t="shared" si="95"/>
        <v>0</v>
      </c>
      <c r="T132" s="1755"/>
      <c r="U132" s="1755"/>
      <c r="V132" s="1755"/>
      <c r="W132" s="1345"/>
      <c r="X132" s="1741"/>
      <c r="Y132" s="1742"/>
      <c r="Z132" s="1346"/>
      <c r="AA132" s="1343"/>
      <c r="AB132" s="1141"/>
      <c r="AC132" s="1103" t="str">
        <f>IF(T132="","",VLOOKUP(Z132,Lists!$A$60:$B$111,2,FALSE))</f>
        <v/>
      </c>
      <c r="AD132" s="130" t="str">
        <f t="shared" si="96"/>
        <v/>
      </c>
      <c r="AE132" s="130" t="e">
        <f t="shared" si="97"/>
        <v>#VALUE!</v>
      </c>
      <c r="AF132" s="130">
        <f t="shared" si="98"/>
        <v>1</v>
      </c>
      <c r="AG132" s="234">
        <f t="shared" si="82"/>
        <v>0</v>
      </c>
      <c r="AH132" s="1753" t="str">
        <f>IF(T132="","",(IF(ISNUMBER(SEARCH("exit",T132)),8760,IF(AND(M132="Dusk to Dawn",'Proposed Lighting'!AU132=3),4059,IF(AND(AU132=3,M132="1"),0,IF(AND(AU132=3,M132="1-C"),0,IF(AND(AU132=3,M132="2"),0,IF(AND(AU132=3,M132="2-C"),0,IF(AND(AU132=3,M132="3"),0,IF(AND(AU132=3,M132="3-C"),0,IF(AND(AU132=2,M132="Dusk to Dawn"),0,IF(AND(AU132=2,M132="Dusk to Dawn-C"),0,IF(AND(AU132=2,M132="Dusk to Dawn"),0,IF(AND(AU132=2,M132="E"),0,IF(AND(AU132=2,M132="E-C"),0,EG132)))))))))))))))</f>
        <v/>
      </c>
      <c r="AI132" s="1754"/>
      <c r="AJ132" s="1136"/>
      <c r="AK132" s="1136"/>
      <c r="AL132" s="1748">
        <f t="shared" si="99"/>
        <v>0</v>
      </c>
      <c r="AM132" s="1749"/>
      <c r="AN132" s="1750"/>
      <c r="AO132" s="476">
        <f t="shared" si="83"/>
        <v>0</v>
      </c>
      <c r="AP132" s="476">
        <f t="shared" si="100"/>
        <v>0</v>
      </c>
      <c r="AQ132" s="475">
        <f t="shared" si="84"/>
        <v>0</v>
      </c>
      <c r="AR132" s="475">
        <f t="shared" si="101"/>
        <v>0</v>
      </c>
      <c r="AS132" s="743" t="str">
        <f t="shared" si="156"/>
        <v/>
      </c>
      <c r="AT132" s="736" t="str">
        <f t="shared" si="102"/>
        <v/>
      </c>
      <c r="AU132" s="56">
        <f t="shared" si="103"/>
        <v>1</v>
      </c>
      <c r="AV132" s="476">
        <f t="shared" si="104"/>
        <v>0</v>
      </c>
      <c r="AW132" s="56">
        <f t="shared" si="105"/>
        <v>0</v>
      </c>
      <c r="AX132" s="475">
        <f t="shared" si="85"/>
        <v>0</v>
      </c>
      <c r="AY132" s="1169">
        <f t="shared" si="106"/>
        <v>0</v>
      </c>
      <c r="AZ132" s="1150">
        <f t="shared" si="148"/>
        <v>0</v>
      </c>
      <c r="BA132" s="56">
        <f t="shared" si="86"/>
        <v>0</v>
      </c>
      <c r="BB132" s="420">
        <f t="shared" si="87"/>
        <v>0</v>
      </c>
      <c r="BC132" s="58" t="str">
        <f t="shared" si="88"/>
        <v/>
      </c>
      <c r="BD132" s="660">
        <f t="shared" si="149"/>
        <v>0</v>
      </c>
      <c r="BE132" s="57" t="e">
        <f t="array" ref="BE132">INDEX($EB$11:$ED$1022,MATCH(F132&amp;T132,$EB$11:$EB$1007&amp;$EC$11:$EC$1007,0),3)</f>
        <v>#N/A</v>
      </c>
      <c r="BF132" s="463">
        <f t="shared" si="157"/>
        <v>0</v>
      </c>
      <c r="BG132" s="1445" t="e">
        <f t="array" ref="BG132">INDEX($DO$112:$DQ$123,MATCH(T132&amp;W132,$DO$114:$DO$125&amp;$DP$112:$DP$123,0),3)</f>
        <v>#N/A</v>
      </c>
      <c r="BH132" s="1446">
        <f t="shared" si="108"/>
        <v>0</v>
      </c>
      <c r="BI132" s="465">
        <f t="shared" si="109"/>
        <v>0</v>
      </c>
      <c r="BJ132" s="465">
        <f t="shared" si="110"/>
        <v>0</v>
      </c>
      <c r="BK132" s="466">
        <f t="shared" si="158"/>
        <v>0</v>
      </c>
      <c r="BL132" s="466">
        <f t="shared" si="159"/>
        <v>0</v>
      </c>
      <c r="BM132" s="466">
        <f t="shared" si="113"/>
        <v>0</v>
      </c>
      <c r="BN132" s="466">
        <f t="shared" si="114"/>
        <v>0</v>
      </c>
      <c r="BO132" s="463">
        <f>IF('Data Entry'!$C$74=0,0,IF(ISNA(CJ132),0,IF(AX132=0,0,IF(AND('Data Entry'!$C$74=2,AF132&gt;2,CE132&lt;1),0,IF(AND('Data Entry'!$C$74=2,AF132&gt;1,AU132=2,CJ132&gt;1),0,IF(AND(AF132=5,CT132=0.5,AU132=2,ER132&lt;100),0,IF(AND(AF132=5,CT132=0.5,AU132=3,ER132&lt;100),0,IF(AND('Data Entry'!$C$74=2,AF132=2,AU132=2,AK132&gt;0.01,CB132=2,CE132&lt;1),0,IF(AND('Data Entry'!$C$74=2,AF132=3,AU132=3,AK132&gt;0.01,CB132=3,CE132&lt;1),0,IF(AND('Data Entry'!$C$74=2,AF132=3,AU132=3,AK132&gt;0.01,CB132=3,CE132&gt;0.99),BQ132*0.08,IF(AND('Data Entry'!$C$74=2,AF132=2,AU132=2,AK132&gt;0.01,CB132=2,CE132&gt;0.99),BQ132*0.1,IF(AND(AU132=2,AK132&gt;0.01,CB132=2,CD132&gt;1),BQ132*0.1,IF(AND(AU132=3,AK132&gt;0.01,CB132=3,CD132&gt;1),BQ132*0.08,CJ132*EF132)))))))))))))</f>
        <v>0</v>
      </c>
      <c r="BP132" s="475">
        <f t="shared" si="115"/>
        <v>0</v>
      </c>
      <c r="BQ132" s="1431">
        <f>IF(AU132=1,0,IF(CH132=100,0,IF(AND(AF132=3,AU132=2),0,IF(AND(BH132=0,CT132&gt;0.4),0,IF(AND('Data Entry'!$C$74=2,AF132=1.5),0,IF(AND('Data Entry'!$C$74=2,AF132=1.6),0,IF(AND('Data Entry'!$C$74=2,AF132=4),0,IF(AND('Data Entry'!$C$74=2,AF132=5),0,IF(AND('Data Entry'!$C$74=2,AF132=2.5,CE132&lt;1),0,IF(AND('Data Entry'!$C$74=2,AF132=3,CE132&lt;1),0,IF(AND('Data Entry'!$C$74=1,AF132=2.5,CD132&lt;1),0,IF(AND('Data Entry'!$C$74=1,AF132=3,CD132&lt;1),0,IF(DX132&gt;0.01,DX132,IF(ISERROR(AX132-AY132),"",ROUND(AX132-AY132,2)))))))))))))))</f>
        <v>0</v>
      </c>
      <c r="BR132" s="146">
        <f t="shared" si="116"/>
        <v>0</v>
      </c>
      <c r="BS132" s="475">
        <f t="shared" si="117"/>
        <v>0</v>
      </c>
      <c r="BT132" s="146" t="b">
        <f t="shared" si="118"/>
        <v>0</v>
      </c>
      <c r="BU132" s="463">
        <f>IF(ISNA(AT132),0,IF(AND('Data Entry'!$C$74=2,BC132=27),0,IF(AND('Data Entry'!$C$74=2,BC132=28),0,IF(AND(BC132=27,BT132=27,CM132&gt;0.1),CM132*0.15,IF(AND(BC132=28,BT132=28,CM132&gt;0.1),CM132*0.12,0)))))</f>
        <v>0</v>
      </c>
      <c r="BV132" s="463">
        <f t="shared" si="155"/>
        <v>0</v>
      </c>
      <c r="BW132" s="463">
        <f t="shared" si="119"/>
        <v>0</v>
      </c>
      <c r="BX132" s="463">
        <f t="shared" si="120"/>
        <v>0</v>
      </c>
      <c r="BY132" s="463">
        <f t="shared" si="121"/>
        <v>0</v>
      </c>
      <c r="BZ132" s="463">
        <f t="shared" si="122"/>
        <v>0</v>
      </c>
      <c r="CA132" s="57">
        <f t="shared" si="150"/>
        <v>0</v>
      </c>
      <c r="CB132" s="56">
        <f t="shared" si="123"/>
        <v>1</v>
      </c>
      <c r="CC132" s="756">
        <f>IF(EE132=0,0,IF(EF132=0,0,IF(EE132&gt;AA132,0,IF(AND(AZ132&gt;AW132,AW132&gt;0),0,IF(CU132=0,0,Summary!AC435)))))</f>
        <v>0</v>
      </c>
      <c r="CD132" s="756">
        <f>IF(EE132=0,0,IF(EF132=0,0,IF(EE132&gt;AA132,0,IF(AND(AZ132&gt;AW132,AW132&gt;0),0,IF(CU132=0,0,Summary!AD435)))))</f>
        <v>0</v>
      </c>
      <c r="CE132" s="756">
        <f>IF(EF132=0,0,IF(EE132&gt;AA132,0,IF(CC132=0,0,IF(AND(AZ132&gt;AW132,AW132&gt;0),0,IF(CU132=0,0,Summary!AE435)))))</f>
        <v>0</v>
      </c>
      <c r="CF132" s="475">
        <f t="shared" si="124"/>
        <v>0</v>
      </c>
      <c r="CG132" s="476">
        <f t="shared" si="89"/>
        <v>0</v>
      </c>
      <c r="CH132" s="487">
        <f t="shared" si="125"/>
        <v>0</v>
      </c>
      <c r="CI132" s="756">
        <f t="shared" si="126"/>
        <v>0</v>
      </c>
      <c r="CJ132" s="487">
        <f>IF(CT132&gt;0.4,0,IF(AND(AU132=2,CH132=0,CT132=0.5,ER132=100),35,IF(AND(AU132=3,BB132&gt;75,CH132=0,CT132=0.5,ER132=100),25,IF(CB132&gt;1,0,IF(EF132&gt;EE132,0,IF(AND(AF132&gt;1,CH132=100),0,IF(AND(AF132=1,AY132=0),0,IF(AND(EF132&lt;=EE132,AW132&gt;=AZ132,'Data Entry'!$C$74=1,AU132=2),VLOOKUP(W132,$DO$96:$DP$102,2,FALSE),IF(AND(EF132&lt;=EE132,AW132&gt;=AZ132,AU132=3,'Data Entry'!$C$74=1),VLOOKUP(W132,$DO$127:$DP$134,2,FALSE))))))))))</f>
        <v>0</v>
      </c>
      <c r="CK132" s="716">
        <f t="shared" si="127"/>
        <v>0</v>
      </c>
      <c r="CL132" s="57">
        <f t="shared" si="128"/>
        <v>0</v>
      </c>
      <c r="CM132" s="475">
        <f t="shared" si="154"/>
        <v>0</v>
      </c>
      <c r="CN132" s="660">
        <f>IF(CM132&lt;0.1,0,IF(ISNA(AT132),0,IF(CL132+BC132=1,0,IF(BV132&gt;0.01,0,IF(CL132&gt;0.01,0,IF(CF132=1,0,IF(BC132=0.5,0,IF(AND(CI132=1,AU132=3),0,IF(AND(CI132=5,CL132=0),0,IF(AND(R132=12,BR132=50),0,IF(CK132&gt;0.01,0,IF(AND(AJ132&gt;0.01,AU132=2,BC132=15),CM132*0.1,IF(AND(AJ132&gt;0.01,AU132=3,BC132=15),CM132*0.08,IF(AND(R132=12,BC132=3,AF132&lt;=0),0,IF(AND(BC132=15,BI132=0),0,IF(AND(BC132=15,BJ132=0),0,IF(AND(R132=20,CU132=0),0,IF($X$4=0,0,IF(AND(BC132=250,CL132=0),0,IF(AA132&lt;1,0,IF(AND(ISNUMBER(SEARCH("Area",T132)),AU132=3),0,IF(AND(AQ132&gt;0.01,AR132=0,BK132=0,BL132=0,BM132=0,BN132=0),0,IF(AND(AU132=3,CI132=7,CT132&gt;0.5),0,IF(AND(BC132=44,AU132=3,BY132=0),0,IF(AND(BC132=27,'Data Entry'!$C$74=2),0,IF(AND(BC132=28,'Data Entry'!$C$74=2),0,IF(AND(BY132+BZ132+CA132&gt;0.01,BV132=0,EQ132+ER132+ES132+ET132&lt;100),0,IF(AU132=3,CM132*0.08,IF(AU132=2,CM132*0.1,0)))))))))))))))))))))))))))))</f>
        <v>0</v>
      </c>
      <c r="CO132" s="660">
        <f t="shared" si="129"/>
        <v>0</v>
      </c>
      <c r="CP132" s="475" t="str">
        <f t="shared" si="130"/>
        <v/>
      </c>
      <c r="CQ132" s="161" t="str">
        <f>IF(AH132=0,0,IF(AU132=5,0,Summary!AC135))</f>
        <v/>
      </c>
      <c r="CR132" s="161" t="str">
        <f>IF(BF132=0.5,0,IF(AU132=5,0,Summary!AD135))</f>
        <v/>
      </c>
      <c r="CS132" s="161" t="str">
        <f>IF(AU132=5,0,Summary!AE135)</f>
        <v/>
      </c>
      <c r="CT132" s="161">
        <f t="shared" si="131"/>
        <v>0</v>
      </c>
      <c r="CU132" s="475" t="str">
        <f t="shared" si="132"/>
        <v/>
      </c>
      <c r="CV132" s="307">
        <f>IF('Data Entry'!$C$74=0,0,IF(AA132&lt;1,0,IF(ISERROR(CU132),0,IF(CF132=1,0,IF(AND(R132=12,BR132=50),0,IF(CL132+BO132+BV132+DC132=0,0,IF(BC132=37,0,IF(AND(BC132=40,AJ132=0),0,IF(AND(BC132=37,BO132&gt;0.01,BQ132&gt;0.01),ROUND(BQ132,0),IF(CM132&lt;0,0,ROUND(CM132,0)))))))))))</f>
        <v>0</v>
      </c>
      <c r="CW132" s="700">
        <f t="shared" si="133"/>
        <v>0</v>
      </c>
      <c r="CX132" s="477">
        <f>IF('Data Entry'!$C$74=0,0,IF(CV132&lt;0.01,0,IF(BF132=0.5,0,IF(CF132=1,0,IF(ISNUMBER(SEARCH("false",CL132)),0,IF(AZ132=500,0,CL132))))))</f>
        <v>0</v>
      </c>
      <c r="CY132" s="147" t="e">
        <f t="shared" si="134"/>
        <v>#VALUE!</v>
      </c>
      <c r="CZ132" s="147" t="b">
        <f>IF(CN132+CL132=0,FALSE,IF(AH132=0,0,IF(AND('Data Entry'!$C$74=1,CR132&gt;=1),TRUE,IF(AND('Data Entry'!$C$74=2,CS132&gt;=1),TRUE,FALSE))))</f>
        <v>0</v>
      </c>
      <c r="DA132" s="1751">
        <f>IF('Data Entry'!$C$74=0,0,IFERROR(ROUND(IF(T132="","",IF($X$4=0,0,IF(CF132=1,0,IF(BQ132+CV132=0,0,IF(CF132=1,0,IF(CY132&gt;0.01,CY132,IF(CL132&gt;0.01,CL132,IF(CY132&gt;0.01,CY132,IF(BC132=37,BO132,IF(CZ132=FALSE,0,IF(CZ132=TRUE,DC132+DF132,0))))))))))),2),""))</f>
        <v>0</v>
      </c>
      <c r="DB132" s="1752"/>
      <c r="DC132" s="474">
        <f>IF(CN132&lt;0.01,0,IF(AND(BR132=3,CN132&gt;0.01,CT132&gt;0.6,ER132+ES132+ET132&lt;100),0,IF(AND('Data Entry'!$C$74=1,CN132&gt;0.01,CR132&gt;0.99),MIN(CN132:CO132),IF(AND('Data Entry'!$C$74=2,CN132&gt;0.01,CS132&gt;0.99),MIN(CN132:CO132),0))))</f>
        <v>0</v>
      </c>
      <c r="DD132" s="478">
        <f>IF(CF132=1,"Selection does not match",IF(T132=0,0,IF(AND('Data Entry'!$C$74=0,CP132&gt;1),"Select Oregon or Idaho on Data Entry Tab",IF(AND(AU132=1,AA132&gt;0.9),"Missing Interior or Exterior Selection",IF($X$4=0,"Enter Total Project Cost",IF(AQ132&lt;AR132,"Insufficient kWh savings – no incentive",IF(AND(SUM(CL132+CK132+BV132)&gt;0.01,'Data Entry'!$C$74=2,CJ132&gt;1,BO132=0),"Submit Control as Non-Standard",IF(AND('Data Entry'!$C$74=2,BR132=37,CJ132&gt;1,BO132=0),"Submit Control as Non-Standard",IF(SUM(CL132+CK132+BV132)&gt;0.01,"Standard Incentive",IF(AND('Data Entry'!$C$74=2,CP132=7,CN132=0),"Submit as Non-Standard",IF(DC132&gt;0.9,"Non-Standard Incentive",IF(AND(BY132+BZ132+CA132&gt;0.01,BV132=0,EQ132=0,ER132=0,ES132=0,ET132=0),"Scroll Right &amp; Select Control Strategies",IF(AND(CN132&gt;0.01,CO132=0),"Enter Unit Installed Cost",IF(ISNUMBER(SEARCH("Lighting Controls Only",F132)),"Lighting Controls Only",IF(CL132+DC132=0,"Does not meet incentive criteria",0)))))))))))))))</f>
        <v>0</v>
      </c>
      <c r="DE132" s="337">
        <f t="shared" si="135"/>
        <v>0</v>
      </c>
      <c r="DF132" s="609">
        <f t="shared" si="136"/>
        <v>0</v>
      </c>
      <c r="DG132" s="336" t="str">
        <f t="shared" si="137"/>
        <v/>
      </c>
      <c r="DH132" s="338">
        <f t="shared" si="138"/>
        <v>1</v>
      </c>
      <c r="DI132" s="336" t="e">
        <f t="shared" si="90"/>
        <v>#VALUE!</v>
      </c>
      <c r="DJ132" s="338">
        <f t="shared" si="91"/>
        <v>0</v>
      </c>
      <c r="DK132" s="325" t="s">
        <v>1564</v>
      </c>
      <c r="DL132" s="341" t="s">
        <v>450</v>
      </c>
      <c r="DM132" s="325" t="s">
        <v>190</v>
      </c>
      <c r="DN132" s="1123">
        <v>12</v>
      </c>
      <c r="DO132" s="1444" t="s">
        <v>1764</v>
      </c>
      <c r="DP132" s="344">
        <v>25</v>
      </c>
      <c r="DQ132" s="361"/>
      <c r="DR132" s="357"/>
      <c r="DS132" s="1195">
        <f t="shared" si="139"/>
        <v>0</v>
      </c>
      <c r="DT132" s="344" t="b">
        <f t="shared" si="140"/>
        <v>1</v>
      </c>
      <c r="DU132" s="1314" t="str">
        <f t="array" ref="DU132">IF(OR(COUNTIF(F132,"*"&amp;$DK$9:$DK$178&amp;"*")), "Yes", "")</f>
        <v/>
      </c>
      <c r="DV132" s="1314">
        <f t="shared" si="141"/>
        <v>0</v>
      </c>
      <c r="DW132" s="1480">
        <f t="shared" si="142"/>
        <v>0</v>
      </c>
      <c r="DX132" s="1498">
        <f t="shared" si="151"/>
        <v>0</v>
      </c>
      <c r="DY132" s="1484">
        <f t="shared" si="143"/>
        <v>0</v>
      </c>
      <c r="DZ132" s="331"/>
      <c r="EA132" s="392"/>
      <c r="EB132" s="1499" t="s">
        <v>515</v>
      </c>
      <c r="EC132" s="727" t="s">
        <v>1568</v>
      </c>
      <c r="ED132" s="728">
        <v>0.5</v>
      </c>
      <c r="EE132" s="1215"/>
      <c r="EF132" s="1215"/>
      <c r="EG132" s="1184" t="str">
        <f t="shared" si="144"/>
        <v/>
      </c>
      <c r="EH132" s="55"/>
      <c r="EI132" s="55"/>
      <c r="EJ132" s="1185">
        <f t="shared" si="92"/>
        <v>0</v>
      </c>
      <c r="EK132" s="1211"/>
      <c r="EL132" s="1180">
        <f t="shared" si="93"/>
        <v>0</v>
      </c>
      <c r="EM132" s="206"/>
      <c r="EN132" s="1038"/>
      <c r="EO132" s="1038"/>
      <c r="EP132" s="1038"/>
      <c r="EQ132" s="1038">
        <f t="shared" si="145"/>
        <v>0</v>
      </c>
      <c r="ER132" s="1041">
        <f t="shared" si="146"/>
        <v>0</v>
      </c>
      <c r="ES132" s="1042">
        <f t="shared" si="147"/>
        <v>0</v>
      </c>
      <c r="ET132" s="1042">
        <f t="shared" si="152"/>
        <v>0</v>
      </c>
      <c r="EU132" s="1021">
        <f t="shared" si="153"/>
        <v>0</v>
      </c>
      <c r="EV132" s="368"/>
      <c r="EW132" s="368"/>
      <c r="EX132" s="369"/>
      <c r="EY132" s="370"/>
      <c r="EZ132" s="370"/>
      <c r="FA132" s="371"/>
      <c r="FB132" s="372"/>
    </row>
    <row r="133" spans="1:158" ht="34.5" customHeight="1">
      <c r="A133" s="82">
        <v>125</v>
      </c>
      <c r="B133" s="1725"/>
      <c r="C133" s="1726"/>
      <c r="D133" s="1726"/>
      <c r="E133" s="1727"/>
      <c r="F133" s="1732"/>
      <c r="G133" s="1733"/>
      <c r="H133" s="1733"/>
      <c r="I133" s="1734"/>
      <c r="J133" s="1341"/>
      <c r="K133" s="1728"/>
      <c r="L133" s="1728"/>
      <c r="M133" s="1342"/>
      <c r="N133" s="1583"/>
      <c r="O133" s="208" t="str">
        <f t="shared" si="80"/>
        <v/>
      </c>
      <c r="P133" s="785"/>
      <c r="Q133" s="39" t="str">
        <f t="shared" si="81"/>
        <v/>
      </c>
      <c r="R133" s="39">
        <f t="shared" si="94"/>
        <v>0</v>
      </c>
      <c r="S133" s="234">
        <f t="shared" si="95"/>
        <v>0</v>
      </c>
      <c r="T133" s="1755"/>
      <c r="U133" s="1755"/>
      <c r="V133" s="1755"/>
      <c r="W133" s="1345"/>
      <c r="X133" s="1741"/>
      <c r="Y133" s="1742"/>
      <c r="Z133" s="1346"/>
      <c r="AA133" s="1343"/>
      <c r="AB133" s="1141"/>
      <c r="AC133" s="1103" t="str">
        <f>IF(T133="","",VLOOKUP(Z133,Lists!$A$60:$B$111,2,FALSE))</f>
        <v/>
      </c>
      <c r="AD133" s="130" t="str">
        <f t="shared" si="96"/>
        <v/>
      </c>
      <c r="AE133" s="130" t="e">
        <f t="shared" si="97"/>
        <v>#VALUE!</v>
      </c>
      <c r="AF133" s="130">
        <f t="shared" si="98"/>
        <v>1</v>
      </c>
      <c r="AG133" s="234">
        <f t="shared" si="82"/>
        <v>0</v>
      </c>
      <c r="AH133" s="1753" t="str">
        <f>IF(T133="","",(IF(ISNUMBER(SEARCH("exit",T133)),8760,IF(AND(M133="Dusk to Dawn",'Proposed Lighting'!AU133=3),4059,IF(AND(AU133=3,M133="1"),0,IF(AND(AU133=3,M133="1-C"),0,IF(AND(AU133=3,M133="2"),0,IF(AND(AU133=3,M133="2-C"),0,IF(AND(AU133=3,M133="3"),0,IF(AND(AU133=3,M133="3-C"),0,IF(AND(AU133=2,M133="Dusk to Dawn"),0,IF(AND(AU133=2,M133="Dusk to Dawn-C"),0,IF(AND(AU133=2,M133="Dusk to Dawn"),0,IF(AND(AU133=2,M133="E"),0,IF(AND(AU133=2,M133="E-C"),0,EG133)))))))))))))))</f>
        <v/>
      </c>
      <c r="AI133" s="1754"/>
      <c r="AJ133" s="1136"/>
      <c r="AK133" s="1136"/>
      <c r="AL133" s="1748">
        <f t="shared" si="99"/>
        <v>0</v>
      </c>
      <c r="AM133" s="1749"/>
      <c r="AN133" s="1750"/>
      <c r="AO133" s="476">
        <f t="shared" si="83"/>
        <v>0</v>
      </c>
      <c r="AP133" s="476">
        <f t="shared" si="100"/>
        <v>0</v>
      </c>
      <c r="AQ133" s="475">
        <f t="shared" si="84"/>
        <v>0</v>
      </c>
      <c r="AR133" s="475">
        <f t="shared" si="101"/>
        <v>0</v>
      </c>
      <c r="AS133" s="743" t="str">
        <f t="shared" si="156"/>
        <v/>
      </c>
      <c r="AT133" s="736" t="str">
        <f t="shared" si="102"/>
        <v/>
      </c>
      <c r="AU133" s="56">
        <f t="shared" si="103"/>
        <v>1</v>
      </c>
      <c r="AV133" s="476">
        <f t="shared" si="104"/>
        <v>0</v>
      </c>
      <c r="AW133" s="56">
        <f t="shared" si="105"/>
        <v>0</v>
      </c>
      <c r="AX133" s="475">
        <f t="shared" si="85"/>
        <v>0</v>
      </c>
      <c r="AY133" s="1169">
        <f t="shared" si="106"/>
        <v>0</v>
      </c>
      <c r="AZ133" s="1150">
        <f t="shared" si="148"/>
        <v>0</v>
      </c>
      <c r="BA133" s="56">
        <f t="shared" si="86"/>
        <v>0</v>
      </c>
      <c r="BB133" s="420">
        <f t="shared" si="87"/>
        <v>0</v>
      </c>
      <c r="BC133" s="58" t="str">
        <f t="shared" si="88"/>
        <v/>
      </c>
      <c r="BD133" s="660">
        <f t="shared" si="149"/>
        <v>0</v>
      </c>
      <c r="BE133" s="57" t="e">
        <f t="array" ref="BE133">INDEX($EB$11:$ED$1022,MATCH(F133&amp;T133,$EB$11:$EB$1007&amp;$EC$11:$EC$1007,0),3)</f>
        <v>#N/A</v>
      </c>
      <c r="BF133" s="463">
        <f t="shared" si="157"/>
        <v>0</v>
      </c>
      <c r="BG133" s="1445" t="e">
        <f t="array" ref="BG133">INDEX($DO$112:$DQ$123,MATCH(T133&amp;W133,$DO$114:$DO$125&amp;$DP$112:$DP$123,0),3)</f>
        <v>#N/A</v>
      </c>
      <c r="BH133" s="1446">
        <f t="shared" si="108"/>
        <v>0</v>
      </c>
      <c r="BI133" s="465">
        <f t="shared" si="109"/>
        <v>0</v>
      </c>
      <c r="BJ133" s="465">
        <f t="shared" si="110"/>
        <v>0</v>
      </c>
      <c r="BK133" s="466">
        <f t="shared" si="158"/>
        <v>0</v>
      </c>
      <c r="BL133" s="466">
        <f t="shared" si="159"/>
        <v>0</v>
      </c>
      <c r="BM133" s="466">
        <f t="shared" si="113"/>
        <v>0</v>
      </c>
      <c r="BN133" s="466">
        <f t="shared" si="114"/>
        <v>0</v>
      </c>
      <c r="BO133" s="463">
        <f>IF('Data Entry'!$C$74=0,0,IF(ISNA(CJ133),0,IF(AX133=0,0,IF(AND('Data Entry'!$C$74=2,AF133&gt;2,CE133&lt;1),0,IF(AND('Data Entry'!$C$74=2,AF133&gt;1,AU133=2,CJ133&gt;1),0,IF(AND(AF133=5,CT133=0.5,AU133=2,ER133&lt;100),0,IF(AND(AF133=5,CT133=0.5,AU133=3,ER133&lt;100),0,IF(AND('Data Entry'!$C$74=2,AF133=2,AU133=2,AK133&gt;0.01,CB133=2,CE133&lt;1),0,IF(AND('Data Entry'!$C$74=2,AF133=3,AU133=3,AK133&gt;0.01,CB133=3,CE133&lt;1),0,IF(AND('Data Entry'!$C$74=2,AF133=3,AU133=3,AK133&gt;0.01,CB133=3,CE133&gt;0.99),BQ133*0.08,IF(AND('Data Entry'!$C$74=2,AF133=2,AU133=2,AK133&gt;0.01,CB133=2,CE133&gt;0.99),BQ133*0.1,IF(AND(AU133=2,AK133&gt;0.01,CB133=2,CD133&gt;1),BQ133*0.1,IF(AND(AU133=3,AK133&gt;0.01,CB133=3,CD133&gt;1),BQ133*0.08,CJ133*EF133)))))))))))))</f>
        <v>0</v>
      </c>
      <c r="BP133" s="475">
        <f t="shared" si="115"/>
        <v>0</v>
      </c>
      <c r="BQ133" s="1431">
        <f>IF(AU133=1,0,IF(CH133=100,0,IF(AND(AF133=3,AU133=2),0,IF(AND(BH133=0,CT133&gt;0.4),0,IF(AND('Data Entry'!$C$74=2,AF133=1.5),0,IF(AND('Data Entry'!$C$74=2,AF133=1.6),0,IF(AND('Data Entry'!$C$74=2,AF133=4),0,IF(AND('Data Entry'!$C$74=2,AF133=5),0,IF(AND('Data Entry'!$C$74=2,AF133=2.5,CE133&lt;1),0,IF(AND('Data Entry'!$C$74=2,AF133=3,CE133&lt;1),0,IF(AND('Data Entry'!$C$74=1,AF133=2.5,CD133&lt;1),0,IF(AND('Data Entry'!$C$74=1,AF133=3,CD133&lt;1),0,IF(DX133&gt;0.01,DX133,IF(ISERROR(AX133-AY133),"",ROUND(AX133-AY133,2)))))))))))))))</f>
        <v>0</v>
      </c>
      <c r="BR133" s="146">
        <f t="shared" si="116"/>
        <v>0</v>
      </c>
      <c r="BS133" s="475">
        <f t="shared" si="117"/>
        <v>0</v>
      </c>
      <c r="BT133" s="146" t="b">
        <f t="shared" si="118"/>
        <v>0</v>
      </c>
      <c r="BU133" s="463">
        <f>IF(ISNA(AT133),0,IF(AND('Data Entry'!$C$74=2,BC133=27),0,IF(AND('Data Entry'!$C$74=2,BC133=28),0,IF(AND(BC133=27,BT133=27,CM133&gt;0.1),CM133*0.15,IF(AND(BC133=28,BT133=28,CM133&gt;0.1),CM133*0.12,0)))))</f>
        <v>0</v>
      </c>
      <c r="BV133" s="463">
        <f t="shared" si="155"/>
        <v>0</v>
      </c>
      <c r="BW133" s="463">
        <f t="shared" si="119"/>
        <v>0</v>
      </c>
      <c r="BX133" s="463">
        <f t="shared" si="120"/>
        <v>0</v>
      </c>
      <c r="BY133" s="463">
        <f t="shared" si="121"/>
        <v>0</v>
      </c>
      <c r="BZ133" s="463">
        <f t="shared" si="122"/>
        <v>0</v>
      </c>
      <c r="CA133" s="57">
        <f t="shared" si="150"/>
        <v>0</v>
      </c>
      <c r="CB133" s="56">
        <f t="shared" si="123"/>
        <v>1</v>
      </c>
      <c r="CC133" s="756">
        <f>IF(EE133=0,0,IF(EF133=0,0,IF(EE133&gt;AA133,0,IF(AND(AZ133&gt;AW133,AW133&gt;0),0,IF(CU133=0,0,Summary!AC436)))))</f>
        <v>0</v>
      </c>
      <c r="CD133" s="756">
        <f>IF(EE133=0,0,IF(EF133=0,0,IF(EE133&gt;AA133,0,IF(AND(AZ133&gt;AW133,AW133&gt;0),0,IF(CU133=0,0,Summary!AD436)))))</f>
        <v>0</v>
      </c>
      <c r="CE133" s="756">
        <f>IF(EF133=0,0,IF(EE133&gt;AA133,0,IF(CC133=0,0,IF(AND(AZ133&gt;AW133,AW133&gt;0),0,IF(CU133=0,0,Summary!AE436)))))</f>
        <v>0</v>
      </c>
      <c r="CF133" s="475">
        <f t="shared" si="124"/>
        <v>0</v>
      </c>
      <c r="CG133" s="476">
        <f t="shared" si="89"/>
        <v>0</v>
      </c>
      <c r="CH133" s="487">
        <f t="shared" si="125"/>
        <v>0</v>
      </c>
      <c r="CI133" s="756">
        <f t="shared" si="126"/>
        <v>0</v>
      </c>
      <c r="CJ133" s="487">
        <f>IF(CT133&gt;0.4,0,IF(AND(AU133=2,CH133=0,CT133=0.5,ER133=100),35,IF(AND(AU133=3,BB133&gt;75,CH133=0,CT133=0.5,ER133=100),25,IF(CB133&gt;1,0,IF(EF133&gt;EE133,0,IF(AND(AF133&gt;1,CH133=100),0,IF(AND(AF133=1,AY133=0),0,IF(AND(EF133&lt;=EE133,AW133&gt;=AZ133,'Data Entry'!$C$74=1,AU133=2),VLOOKUP(W133,$DO$96:$DP$102,2,FALSE),IF(AND(EF133&lt;=EE133,AW133&gt;=AZ133,AU133=3,'Data Entry'!$C$74=1),VLOOKUP(W133,$DO$127:$DP$134,2,FALSE))))))))))</f>
        <v>0</v>
      </c>
      <c r="CK133" s="716">
        <f t="shared" si="127"/>
        <v>0</v>
      </c>
      <c r="CL133" s="57">
        <f t="shared" si="128"/>
        <v>0</v>
      </c>
      <c r="CM133" s="475">
        <f t="shared" si="154"/>
        <v>0</v>
      </c>
      <c r="CN133" s="660">
        <f>IF(CM133&lt;0.1,0,IF(ISNA(AT133),0,IF(CL133+BC133=1,0,IF(BV133&gt;0.01,0,IF(CL133&gt;0.01,0,IF(CF133=1,0,IF(BC133=0.5,0,IF(AND(CI133=1,AU133=3),0,IF(AND(CI133=5,CL133=0),0,IF(AND(R133=12,BR133=50),0,IF(CK133&gt;0.01,0,IF(AND(AJ133&gt;0.01,AU133=2,BC133=15),CM133*0.1,IF(AND(AJ133&gt;0.01,AU133=3,BC133=15),CM133*0.08,IF(AND(R133=12,BC133=3,AF133&lt;=0),0,IF(AND(BC133=15,BI133=0),0,IF(AND(BC133=15,BJ133=0),0,IF(AND(R133=20,CU133=0),0,IF($X$4=0,0,IF(AND(BC133=250,CL133=0),0,IF(AA133&lt;1,0,IF(AND(ISNUMBER(SEARCH("Area",T133)),AU133=3),0,IF(AND(AQ133&gt;0.01,AR133=0,BK133=0,BL133=0,BM133=0,BN133=0),0,IF(AND(AU133=3,CI133=7,CT133&gt;0.5),0,IF(AND(BC133=44,AU133=3,BY133=0),0,IF(AND(BC133=27,'Data Entry'!$C$74=2),0,IF(AND(BC133=28,'Data Entry'!$C$74=2),0,IF(AND(BY133+BZ133+CA133&gt;0.01,BV133=0,EQ133+ER133+ES133+ET133&lt;100),0,IF(AU133=3,CM133*0.08,IF(AU133=2,CM133*0.1,0)))))))))))))))))))))))))))))</f>
        <v>0</v>
      </c>
      <c r="CO133" s="660">
        <f t="shared" si="129"/>
        <v>0</v>
      </c>
      <c r="CP133" s="475" t="str">
        <f t="shared" si="130"/>
        <v/>
      </c>
      <c r="CQ133" s="161" t="str">
        <f>IF(AH133=0,0,IF(AU133=5,0,Summary!AC136))</f>
        <v/>
      </c>
      <c r="CR133" s="161" t="str">
        <f>IF(BF133=0.5,0,IF(AU133=5,0,Summary!AD136))</f>
        <v/>
      </c>
      <c r="CS133" s="161" t="str">
        <f>IF(AU133=5,0,Summary!AE136)</f>
        <v/>
      </c>
      <c r="CT133" s="161">
        <f t="shared" si="131"/>
        <v>0</v>
      </c>
      <c r="CU133" s="475" t="str">
        <f t="shared" si="132"/>
        <v/>
      </c>
      <c r="CV133" s="307">
        <f>IF('Data Entry'!$C$74=0,0,IF(AA133&lt;1,0,IF(ISERROR(CU133),0,IF(CF133=1,0,IF(AND(R133=12,BR133=50),0,IF(CL133+BO133+BV133+DC133=0,0,IF(BC133=37,0,IF(AND(BC133=40,AJ133=0),0,IF(AND(BC133=37,BO133&gt;0.01,BQ133&gt;0.01),ROUND(BQ133,0),IF(CM133&lt;0,0,ROUND(CM133,0)))))))))))</f>
        <v>0</v>
      </c>
      <c r="CW133" s="700">
        <f t="shared" si="133"/>
        <v>0</v>
      </c>
      <c r="CX133" s="477">
        <f>IF('Data Entry'!$C$74=0,0,IF(CV133&lt;0.01,0,IF(BF133=0.5,0,IF(CF133=1,0,IF(ISNUMBER(SEARCH("false",CL133)),0,IF(AZ133=500,0,CL133))))))</f>
        <v>0</v>
      </c>
      <c r="CY133" s="147" t="e">
        <f t="shared" si="134"/>
        <v>#VALUE!</v>
      </c>
      <c r="CZ133" s="147" t="b">
        <f>IF(CN133+CL133=0,FALSE,IF(AH133=0,0,IF(AND('Data Entry'!$C$74=1,CR133&gt;=1),TRUE,IF(AND('Data Entry'!$C$74=2,CS133&gt;=1),TRUE,FALSE))))</f>
        <v>0</v>
      </c>
      <c r="DA133" s="1751">
        <f>IF('Data Entry'!$C$74=0,0,IFERROR(ROUND(IF(T133="","",IF($X$4=0,0,IF(CF133=1,0,IF(BQ133+CV133=0,0,IF(CF133=1,0,IF(CY133&gt;0.01,CY133,IF(CL133&gt;0.01,CL133,IF(CY133&gt;0.01,CY133,IF(BC133=37,BO133,IF(CZ133=FALSE,0,IF(CZ133=TRUE,DC133+DF133,0))))))))))),2),""))</f>
        <v>0</v>
      </c>
      <c r="DB133" s="1752"/>
      <c r="DC133" s="474">
        <f>IF(CN133&lt;0.01,0,IF(AND(BR133=3,CN133&gt;0.01,CT133&gt;0.6,ER133+ES133+ET133&lt;100),0,IF(AND('Data Entry'!$C$74=1,CN133&gt;0.01,CR133&gt;0.99),MIN(CN133:CO133),IF(AND('Data Entry'!$C$74=2,CN133&gt;0.01,CS133&gt;0.99),MIN(CN133:CO133),0))))</f>
        <v>0</v>
      </c>
      <c r="DD133" s="478">
        <f>IF(CF133=1,"Selection does not match",IF(T133=0,0,IF(AND('Data Entry'!$C$74=0,CP133&gt;1),"Select Oregon or Idaho on Data Entry Tab",IF(AND(AU133=1,AA133&gt;0.9),"Missing Interior or Exterior Selection",IF($X$4=0,"Enter Total Project Cost",IF(AQ133&lt;AR133,"Insufficient kWh savings – no incentive",IF(AND(SUM(CL133+CK133+BV133)&gt;0.01,'Data Entry'!$C$74=2,CJ133&gt;1,BO133=0),"Submit Control as Non-Standard",IF(AND('Data Entry'!$C$74=2,BR133=37,CJ133&gt;1,BO133=0),"Submit Control as Non-Standard",IF(SUM(CL133+CK133+BV133)&gt;0.01,"Standard Incentive",IF(AND('Data Entry'!$C$74=2,CP133=7,CN133=0),"Submit as Non-Standard",IF(DC133&gt;0.9,"Non-Standard Incentive",IF(AND(BY133+BZ133+CA133&gt;0.01,BV133=0,EQ133=0,ER133=0,ES133=0,ET133=0),"Scroll Right &amp; Select Control Strategies",IF(AND(CN133&gt;0.01,CO133=0),"Enter Unit Installed Cost",IF(ISNUMBER(SEARCH("Lighting Controls Only",F133)),"Lighting Controls Only",IF(CL133+DC133=0,"Does not meet incentive criteria",0)))))))))))))))</f>
        <v>0</v>
      </c>
      <c r="DE133" s="337">
        <f t="shared" si="135"/>
        <v>0</v>
      </c>
      <c r="DF133" s="609">
        <f t="shared" si="136"/>
        <v>0</v>
      </c>
      <c r="DG133" s="336" t="str">
        <f t="shared" si="137"/>
        <v/>
      </c>
      <c r="DH133" s="338">
        <f t="shared" si="138"/>
        <v>1</v>
      </c>
      <c r="DI133" s="336" t="e">
        <f t="shared" si="90"/>
        <v>#VALUE!</v>
      </c>
      <c r="DJ133" s="338">
        <f t="shared" si="91"/>
        <v>0</v>
      </c>
      <c r="DK133" s="362" t="s">
        <v>73</v>
      </c>
      <c r="DL133" s="323" t="s">
        <v>450</v>
      </c>
      <c r="DM133" s="325" t="s">
        <v>141</v>
      </c>
      <c r="DN133" s="1123">
        <v>4</v>
      </c>
      <c r="DO133" s="1444" t="s">
        <v>1765</v>
      </c>
      <c r="DP133" s="344">
        <v>0</v>
      </c>
      <c r="DQ133" s="331"/>
      <c r="DR133" s="357"/>
      <c r="DS133" s="1195">
        <f t="shared" si="139"/>
        <v>0</v>
      </c>
      <c r="DT133" s="344" t="b">
        <f t="shared" si="140"/>
        <v>1</v>
      </c>
      <c r="DU133" s="1314" t="str">
        <f t="array" ref="DU133">IF(OR(COUNTIF(F133,"*"&amp;$DK$9:$DK$178&amp;"*")), "Yes", "")</f>
        <v/>
      </c>
      <c r="DV133" s="1314">
        <f t="shared" si="141"/>
        <v>0</v>
      </c>
      <c r="DW133" s="1480">
        <f t="shared" si="142"/>
        <v>0</v>
      </c>
      <c r="DX133" s="1498">
        <f t="shared" si="151"/>
        <v>0</v>
      </c>
      <c r="DY133" s="1484">
        <f t="shared" si="143"/>
        <v>0</v>
      </c>
      <c r="DZ133" s="331"/>
      <c r="EA133" s="392"/>
      <c r="EB133" s="1499" t="s">
        <v>517</v>
      </c>
      <c r="EC133" s="727" t="s">
        <v>1568</v>
      </c>
      <c r="ED133" s="728">
        <v>0.5</v>
      </c>
      <c r="EE133" s="1215"/>
      <c r="EF133" s="1215"/>
      <c r="EG133" s="1184" t="str">
        <f t="shared" si="144"/>
        <v/>
      </c>
      <c r="EH133" s="55"/>
      <c r="EI133" s="55"/>
      <c r="EJ133" s="1185">
        <f t="shared" si="92"/>
        <v>0</v>
      </c>
      <c r="EK133" s="1211"/>
      <c r="EL133" s="1180">
        <f t="shared" si="93"/>
        <v>0</v>
      </c>
      <c r="EM133" s="206"/>
      <c r="EN133" s="1038"/>
      <c r="EO133" s="1038"/>
      <c r="EP133" s="1038"/>
      <c r="EQ133" s="1038">
        <f t="shared" si="145"/>
        <v>0</v>
      </c>
      <c r="ER133" s="1041">
        <f t="shared" si="146"/>
        <v>0</v>
      </c>
      <c r="ES133" s="1042">
        <f t="shared" si="147"/>
        <v>0</v>
      </c>
      <c r="ET133" s="1042">
        <f t="shared" si="152"/>
        <v>0</v>
      </c>
      <c r="EU133" s="1021">
        <f t="shared" si="153"/>
        <v>0</v>
      </c>
      <c r="EV133" s="368"/>
      <c r="EW133" s="368"/>
      <c r="EX133" s="369"/>
      <c r="EY133" s="370"/>
      <c r="EZ133" s="370"/>
      <c r="FA133" s="371"/>
      <c r="FB133" s="372"/>
    </row>
    <row r="134" spans="1:158" ht="34.5" customHeight="1">
      <c r="A134" s="82">
        <v>126</v>
      </c>
      <c r="B134" s="1725"/>
      <c r="C134" s="1726"/>
      <c r="D134" s="1726"/>
      <c r="E134" s="1727"/>
      <c r="F134" s="1732"/>
      <c r="G134" s="1733"/>
      <c r="H134" s="1733"/>
      <c r="I134" s="1734"/>
      <c r="J134" s="1341"/>
      <c r="K134" s="1728"/>
      <c r="L134" s="1728"/>
      <c r="M134" s="1342"/>
      <c r="N134" s="1583"/>
      <c r="O134" s="208" t="str">
        <f t="shared" si="80"/>
        <v/>
      </c>
      <c r="P134" s="785"/>
      <c r="Q134" s="39" t="str">
        <f t="shared" si="81"/>
        <v/>
      </c>
      <c r="R134" s="39">
        <f t="shared" si="94"/>
        <v>0</v>
      </c>
      <c r="S134" s="234">
        <f t="shared" si="95"/>
        <v>0</v>
      </c>
      <c r="T134" s="1755"/>
      <c r="U134" s="1755"/>
      <c r="V134" s="1755"/>
      <c r="W134" s="1345"/>
      <c r="X134" s="1741"/>
      <c r="Y134" s="1742"/>
      <c r="Z134" s="1346"/>
      <c r="AA134" s="1343"/>
      <c r="AB134" s="1141"/>
      <c r="AC134" s="1103" t="str">
        <f>IF(T134="","",VLOOKUP(Z134,Lists!$A$60:$B$111,2,FALSE))</f>
        <v/>
      </c>
      <c r="AD134" s="130" t="str">
        <f t="shared" si="96"/>
        <v/>
      </c>
      <c r="AE134" s="130" t="e">
        <f t="shared" si="97"/>
        <v>#VALUE!</v>
      </c>
      <c r="AF134" s="130">
        <f t="shared" si="98"/>
        <v>1</v>
      </c>
      <c r="AG134" s="234">
        <f t="shared" si="82"/>
        <v>0</v>
      </c>
      <c r="AH134" s="1753" t="str">
        <f>IF(T134="","",(IF(ISNUMBER(SEARCH("exit",T134)),8760,IF(AND(M134="Dusk to Dawn",'Proposed Lighting'!AU134=3),4059,IF(AND(AU134=3,M134="1"),0,IF(AND(AU134=3,M134="1-C"),0,IF(AND(AU134=3,M134="2"),0,IF(AND(AU134=3,M134="2-C"),0,IF(AND(AU134=3,M134="3"),0,IF(AND(AU134=3,M134="3-C"),0,IF(AND(AU134=2,M134="Dusk to Dawn"),0,IF(AND(AU134=2,M134="Dusk to Dawn-C"),0,IF(AND(AU134=2,M134="Dusk to Dawn"),0,IF(AND(AU134=2,M134="E"),0,IF(AND(AU134=2,M134="E-C"),0,EG134)))))))))))))))</f>
        <v/>
      </c>
      <c r="AI134" s="1754"/>
      <c r="AJ134" s="1136"/>
      <c r="AK134" s="1136"/>
      <c r="AL134" s="1748">
        <f t="shared" si="99"/>
        <v>0</v>
      </c>
      <c r="AM134" s="1749"/>
      <c r="AN134" s="1750"/>
      <c r="AO134" s="476">
        <f t="shared" si="83"/>
        <v>0</v>
      </c>
      <c r="AP134" s="476">
        <f t="shared" si="100"/>
        <v>0</v>
      </c>
      <c r="AQ134" s="475">
        <f t="shared" si="84"/>
        <v>0</v>
      </c>
      <c r="AR134" s="475">
        <f t="shared" si="101"/>
        <v>0</v>
      </c>
      <c r="AS134" s="743" t="str">
        <f t="shared" si="156"/>
        <v/>
      </c>
      <c r="AT134" s="736" t="str">
        <f t="shared" si="102"/>
        <v/>
      </c>
      <c r="AU134" s="56">
        <f t="shared" si="103"/>
        <v>1</v>
      </c>
      <c r="AV134" s="476">
        <f t="shared" si="104"/>
        <v>0</v>
      </c>
      <c r="AW134" s="56">
        <f t="shared" si="105"/>
        <v>0</v>
      </c>
      <c r="AX134" s="475">
        <f t="shared" si="85"/>
        <v>0</v>
      </c>
      <c r="AY134" s="1169">
        <f t="shared" si="106"/>
        <v>0</v>
      </c>
      <c r="AZ134" s="1150">
        <f t="shared" si="148"/>
        <v>0</v>
      </c>
      <c r="BA134" s="56">
        <f t="shared" si="86"/>
        <v>0</v>
      </c>
      <c r="BB134" s="420">
        <f t="shared" si="87"/>
        <v>0</v>
      </c>
      <c r="BC134" s="58" t="str">
        <f t="shared" si="88"/>
        <v/>
      </c>
      <c r="BD134" s="660">
        <f t="shared" si="149"/>
        <v>0</v>
      </c>
      <c r="BE134" s="57" t="e">
        <f t="array" ref="BE134">INDEX($EB$11:$ED$1022,MATCH(F134&amp;T134,$EB$11:$EB$1007&amp;$EC$11:$EC$1007,0),3)</f>
        <v>#N/A</v>
      </c>
      <c r="BF134" s="463">
        <f t="shared" si="157"/>
        <v>0</v>
      </c>
      <c r="BG134" s="1445" t="e">
        <f t="array" ref="BG134">INDEX($DO$112:$DQ$123,MATCH(T134&amp;W134,$DO$114:$DO$125&amp;$DP$112:$DP$123,0),3)</f>
        <v>#N/A</v>
      </c>
      <c r="BH134" s="1446">
        <f t="shared" si="108"/>
        <v>0</v>
      </c>
      <c r="BI134" s="465">
        <f t="shared" si="109"/>
        <v>0</v>
      </c>
      <c r="BJ134" s="465">
        <f t="shared" si="110"/>
        <v>0</v>
      </c>
      <c r="BK134" s="466">
        <f t="shared" si="158"/>
        <v>0</v>
      </c>
      <c r="BL134" s="466">
        <f t="shared" si="159"/>
        <v>0</v>
      </c>
      <c r="BM134" s="466">
        <f t="shared" si="113"/>
        <v>0</v>
      </c>
      <c r="BN134" s="466">
        <f t="shared" si="114"/>
        <v>0</v>
      </c>
      <c r="BO134" s="463">
        <f>IF('Data Entry'!$C$74=0,0,IF(ISNA(CJ134),0,IF(AX134=0,0,IF(AND('Data Entry'!$C$74=2,AF134&gt;2,CE134&lt;1),0,IF(AND('Data Entry'!$C$74=2,AF134&gt;1,AU134=2,CJ134&gt;1),0,IF(AND(AF134=5,CT134=0.5,AU134=2,ER134&lt;100),0,IF(AND(AF134=5,CT134=0.5,AU134=3,ER134&lt;100),0,IF(AND('Data Entry'!$C$74=2,AF134=2,AU134=2,AK134&gt;0.01,CB134=2,CE134&lt;1),0,IF(AND('Data Entry'!$C$74=2,AF134=3,AU134=3,AK134&gt;0.01,CB134=3,CE134&lt;1),0,IF(AND('Data Entry'!$C$74=2,AF134=3,AU134=3,AK134&gt;0.01,CB134=3,CE134&gt;0.99),BQ134*0.08,IF(AND('Data Entry'!$C$74=2,AF134=2,AU134=2,AK134&gt;0.01,CB134=2,CE134&gt;0.99),BQ134*0.1,IF(AND(AU134=2,AK134&gt;0.01,CB134=2,CD134&gt;1),BQ134*0.1,IF(AND(AU134=3,AK134&gt;0.01,CB134=3,CD134&gt;1),BQ134*0.08,CJ134*EF134)))))))))))))</f>
        <v>0</v>
      </c>
      <c r="BP134" s="475">
        <f t="shared" si="115"/>
        <v>0</v>
      </c>
      <c r="BQ134" s="1431">
        <f>IF(AU134=1,0,IF(CH134=100,0,IF(AND(AF134=3,AU134=2),0,IF(AND(BH134=0,CT134&gt;0.4),0,IF(AND('Data Entry'!$C$74=2,AF134=1.5),0,IF(AND('Data Entry'!$C$74=2,AF134=1.6),0,IF(AND('Data Entry'!$C$74=2,AF134=4),0,IF(AND('Data Entry'!$C$74=2,AF134=5),0,IF(AND('Data Entry'!$C$74=2,AF134=2.5,CE134&lt;1),0,IF(AND('Data Entry'!$C$74=2,AF134=3,CE134&lt;1),0,IF(AND('Data Entry'!$C$74=1,AF134=2.5,CD134&lt;1),0,IF(AND('Data Entry'!$C$74=1,AF134=3,CD134&lt;1),0,IF(DX134&gt;0.01,DX134,IF(ISERROR(AX134-AY134),"",ROUND(AX134-AY134,2)))))))))))))))</f>
        <v>0</v>
      </c>
      <c r="BR134" s="146">
        <f t="shared" si="116"/>
        <v>0</v>
      </c>
      <c r="BS134" s="475">
        <f t="shared" si="117"/>
        <v>0</v>
      </c>
      <c r="BT134" s="146" t="b">
        <f t="shared" si="118"/>
        <v>0</v>
      </c>
      <c r="BU134" s="463">
        <f>IF(ISNA(AT134),0,IF(AND('Data Entry'!$C$74=2,BC134=27),0,IF(AND('Data Entry'!$C$74=2,BC134=28),0,IF(AND(BC134=27,BT134=27,CM134&gt;0.1),CM134*0.15,IF(AND(BC134=28,BT134=28,CM134&gt;0.1),CM134*0.12,0)))))</f>
        <v>0</v>
      </c>
      <c r="BV134" s="463">
        <f t="shared" si="155"/>
        <v>0</v>
      </c>
      <c r="BW134" s="463">
        <f t="shared" si="119"/>
        <v>0</v>
      </c>
      <c r="BX134" s="463">
        <f t="shared" si="120"/>
        <v>0</v>
      </c>
      <c r="BY134" s="463">
        <f t="shared" si="121"/>
        <v>0</v>
      </c>
      <c r="BZ134" s="463">
        <f t="shared" si="122"/>
        <v>0</v>
      </c>
      <c r="CA134" s="57">
        <f t="shared" si="150"/>
        <v>0</v>
      </c>
      <c r="CB134" s="56">
        <f t="shared" si="123"/>
        <v>1</v>
      </c>
      <c r="CC134" s="756">
        <f>IF(EE134=0,0,IF(EF134=0,0,IF(EE134&gt;AA134,0,IF(AND(AZ134&gt;AW134,AW134&gt;0),0,IF(CU134=0,0,Summary!AC437)))))</f>
        <v>0</v>
      </c>
      <c r="CD134" s="756">
        <f>IF(EE134=0,0,IF(EF134=0,0,IF(EE134&gt;AA134,0,IF(AND(AZ134&gt;AW134,AW134&gt;0),0,IF(CU134=0,0,Summary!AD437)))))</f>
        <v>0</v>
      </c>
      <c r="CE134" s="756">
        <f>IF(EF134=0,0,IF(EE134&gt;AA134,0,IF(CC134=0,0,IF(AND(AZ134&gt;AW134,AW134&gt;0),0,IF(CU134=0,0,Summary!AE437)))))</f>
        <v>0</v>
      </c>
      <c r="CF134" s="475">
        <f t="shared" si="124"/>
        <v>0</v>
      </c>
      <c r="CG134" s="476">
        <f t="shared" si="89"/>
        <v>0</v>
      </c>
      <c r="CH134" s="487">
        <f t="shared" si="125"/>
        <v>0</v>
      </c>
      <c r="CI134" s="756">
        <f t="shared" si="126"/>
        <v>0</v>
      </c>
      <c r="CJ134" s="487">
        <f>IF(CT134&gt;0.4,0,IF(AND(AU134=2,CH134=0,CT134=0.5,ER134=100),35,IF(AND(AU134=3,BB134&gt;75,CH134=0,CT134=0.5,ER134=100),25,IF(CB134&gt;1,0,IF(EF134&gt;EE134,0,IF(AND(AF134&gt;1,CH134=100),0,IF(AND(AF134=1,AY134=0),0,IF(AND(EF134&lt;=EE134,AW134&gt;=AZ134,'Data Entry'!$C$74=1,AU134=2),VLOOKUP(W134,$DO$96:$DP$102,2,FALSE),IF(AND(EF134&lt;=EE134,AW134&gt;=AZ134,AU134=3,'Data Entry'!$C$74=1),VLOOKUP(W134,$DO$127:$DP$134,2,FALSE))))))))))</f>
        <v>0</v>
      </c>
      <c r="CK134" s="716">
        <f t="shared" si="127"/>
        <v>0</v>
      </c>
      <c r="CL134" s="57">
        <f t="shared" si="128"/>
        <v>0</v>
      </c>
      <c r="CM134" s="475">
        <f t="shared" si="154"/>
        <v>0</v>
      </c>
      <c r="CN134" s="660">
        <f>IF(CM134&lt;0.1,0,IF(ISNA(AT134),0,IF(CL134+BC134=1,0,IF(BV134&gt;0.01,0,IF(CL134&gt;0.01,0,IF(CF134=1,0,IF(BC134=0.5,0,IF(AND(CI134=1,AU134=3),0,IF(AND(CI134=5,CL134=0),0,IF(AND(R134=12,BR134=50),0,IF(CK134&gt;0.01,0,IF(AND(AJ134&gt;0.01,AU134=2,BC134=15),CM134*0.1,IF(AND(AJ134&gt;0.01,AU134=3,BC134=15),CM134*0.08,IF(AND(R134=12,BC134=3,AF134&lt;=0),0,IF(AND(BC134=15,BI134=0),0,IF(AND(BC134=15,BJ134=0),0,IF(AND(R134=20,CU134=0),0,IF($X$4=0,0,IF(AND(BC134=250,CL134=0),0,IF(AA134&lt;1,0,IF(AND(ISNUMBER(SEARCH("Area",T134)),AU134=3),0,IF(AND(AQ134&gt;0.01,AR134=0,BK134=0,BL134=0,BM134=0,BN134=0),0,IF(AND(AU134=3,CI134=7,CT134&gt;0.5),0,IF(AND(BC134=44,AU134=3,BY134=0),0,IF(AND(BC134=27,'Data Entry'!$C$74=2),0,IF(AND(BC134=28,'Data Entry'!$C$74=2),0,IF(AND(BY134+BZ134+CA134&gt;0.01,BV134=0,EQ134+ER134+ES134+ET134&lt;100),0,IF(AU134=3,CM134*0.08,IF(AU134=2,CM134*0.1,0)))))))))))))))))))))))))))))</f>
        <v>0</v>
      </c>
      <c r="CO134" s="660">
        <f t="shared" si="129"/>
        <v>0</v>
      </c>
      <c r="CP134" s="475" t="str">
        <f t="shared" si="130"/>
        <v/>
      </c>
      <c r="CQ134" s="161" t="str">
        <f>IF(AH134=0,0,IF(AU134=5,0,Summary!AC137))</f>
        <v/>
      </c>
      <c r="CR134" s="161" t="str">
        <f>IF(BF134=0.5,0,IF(AU134=5,0,Summary!AD137))</f>
        <v/>
      </c>
      <c r="CS134" s="161" t="str">
        <f>IF(AU134=5,0,Summary!AE137)</f>
        <v/>
      </c>
      <c r="CT134" s="161">
        <f t="shared" si="131"/>
        <v>0</v>
      </c>
      <c r="CU134" s="475" t="str">
        <f t="shared" si="132"/>
        <v/>
      </c>
      <c r="CV134" s="307">
        <f>IF('Data Entry'!$C$74=0,0,IF(AA134&lt;1,0,IF(ISERROR(CU134),0,IF(CF134=1,0,IF(AND(R134=12,BR134=50),0,IF(CL134+BO134+BV134+DC134=0,0,IF(BC134=37,0,IF(AND(BC134=40,AJ134=0),0,IF(AND(BC134=37,BO134&gt;0.01,BQ134&gt;0.01),ROUND(BQ134,0),IF(CM134&lt;0,0,ROUND(CM134,0)))))))))))</f>
        <v>0</v>
      </c>
      <c r="CW134" s="700">
        <f t="shared" si="133"/>
        <v>0</v>
      </c>
      <c r="CX134" s="477">
        <f>IF('Data Entry'!$C$74=0,0,IF(CV134&lt;0.01,0,IF(BF134=0.5,0,IF(CF134=1,0,IF(ISNUMBER(SEARCH("false",CL134)),0,IF(AZ134=500,0,CL134))))))</f>
        <v>0</v>
      </c>
      <c r="CY134" s="147" t="e">
        <f t="shared" si="134"/>
        <v>#VALUE!</v>
      </c>
      <c r="CZ134" s="147" t="b">
        <f>IF(CN134+CL134=0,FALSE,IF(AH134=0,0,IF(AND('Data Entry'!$C$74=1,CR134&gt;=1),TRUE,IF(AND('Data Entry'!$C$74=2,CS134&gt;=1),TRUE,FALSE))))</f>
        <v>0</v>
      </c>
      <c r="DA134" s="1751">
        <f>IF('Data Entry'!$C$74=0,0,IFERROR(ROUND(IF(T134="","",IF($X$4=0,0,IF(CF134=1,0,IF(BQ134+CV134=0,0,IF(CF134=1,0,IF(CY134&gt;0.01,CY134,IF(CL134&gt;0.01,CL134,IF(CY134&gt;0.01,CY134,IF(BC134=37,BO134,IF(CZ134=FALSE,0,IF(CZ134=TRUE,DC134+DF134,0))))))))))),2),""))</f>
        <v>0</v>
      </c>
      <c r="DB134" s="1752"/>
      <c r="DC134" s="474">
        <f>IF(CN134&lt;0.01,0,IF(AND(BR134=3,CN134&gt;0.01,CT134&gt;0.6,ER134+ES134+ET134&lt;100),0,IF(AND('Data Entry'!$C$74=1,CN134&gt;0.01,CR134&gt;0.99),MIN(CN134:CO134),IF(AND('Data Entry'!$C$74=2,CN134&gt;0.01,CS134&gt;0.99),MIN(CN134:CO134),0))))</f>
        <v>0</v>
      </c>
      <c r="DD134" s="478">
        <f>IF(CF134=1,"Selection does not match",IF(T134=0,0,IF(AND('Data Entry'!$C$74=0,CP134&gt;1),"Select Oregon or Idaho on Data Entry Tab",IF(AND(AU134=1,AA134&gt;0.9),"Missing Interior or Exterior Selection",IF($X$4=0,"Enter Total Project Cost",IF(AQ134&lt;AR134,"Insufficient kWh savings – no incentive",IF(AND(SUM(CL134+CK134+BV134)&gt;0.01,'Data Entry'!$C$74=2,CJ134&gt;1,BO134=0),"Submit Control as Non-Standard",IF(AND('Data Entry'!$C$74=2,BR134=37,CJ134&gt;1,BO134=0),"Submit Control as Non-Standard",IF(SUM(CL134+CK134+BV134)&gt;0.01,"Standard Incentive",IF(AND('Data Entry'!$C$74=2,CP134=7,CN134=0),"Submit as Non-Standard",IF(DC134&gt;0.9,"Non-Standard Incentive",IF(AND(BY134+BZ134+CA134&gt;0.01,BV134=0,EQ134=0,ER134=0,ES134=0,ET134=0),"Scroll Right &amp; Select Control Strategies",IF(AND(CN134&gt;0.01,CO134=0),"Enter Unit Installed Cost",IF(ISNUMBER(SEARCH("Lighting Controls Only",F134)),"Lighting Controls Only",IF(CL134+DC134=0,"Does not meet incentive criteria",0)))))))))))))))</f>
        <v>0</v>
      </c>
      <c r="DE134" s="337">
        <f t="shared" si="135"/>
        <v>0</v>
      </c>
      <c r="DF134" s="609">
        <f t="shared" si="136"/>
        <v>0</v>
      </c>
      <c r="DG134" s="336" t="str">
        <f t="shared" si="137"/>
        <v/>
      </c>
      <c r="DH134" s="338">
        <f t="shared" si="138"/>
        <v>1</v>
      </c>
      <c r="DI134" s="336" t="e">
        <f t="shared" si="90"/>
        <v>#VALUE!</v>
      </c>
      <c r="DJ134" s="338">
        <f t="shared" si="91"/>
        <v>0</v>
      </c>
      <c r="DK134" s="322" t="s">
        <v>77</v>
      </c>
      <c r="DL134" s="323">
        <v>51</v>
      </c>
      <c r="DM134" s="325" t="s">
        <v>142</v>
      </c>
      <c r="DN134" s="1123">
        <v>8</v>
      </c>
      <c r="DO134" s="1444" t="s">
        <v>1781</v>
      </c>
      <c r="DP134" s="1334">
        <v>35</v>
      </c>
      <c r="DQ134" s="331"/>
      <c r="DR134" s="357"/>
      <c r="DS134" s="1195">
        <f t="shared" si="139"/>
        <v>0</v>
      </c>
      <c r="DT134" s="344" t="b">
        <f t="shared" si="140"/>
        <v>1</v>
      </c>
      <c r="DU134" s="1314" t="str">
        <f t="array" ref="DU134">IF(OR(COUNTIF(F134,"*"&amp;$DK$9:$DK$178&amp;"*")), "Yes", "")</f>
        <v/>
      </c>
      <c r="DV134" s="1314">
        <f t="shared" si="141"/>
        <v>0</v>
      </c>
      <c r="DW134" s="1480">
        <f t="shared" si="142"/>
        <v>0</v>
      </c>
      <c r="DX134" s="1498">
        <f t="shared" si="151"/>
        <v>0</v>
      </c>
      <c r="DY134" s="1484">
        <f t="shared" si="143"/>
        <v>0</v>
      </c>
      <c r="DZ134" s="331"/>
      <c r="EA134" s="392"/>
      <c r="EB134" s="1499" t="s">
        <v>518</v>
      </c>
      <c r="EC134" s="727" t="s">
        <v>1568</v>
      </c>
      <c r="ED134" s="728">
        <v>0.5</v>
      </c>
      <c r="EE134" s="1215"/>
      <c r="EF134" s="1215"/>
      <c r="EG134" s="1184" t="str">
        <f t="shared" si="144"/>
        <v/>
      </c>
      <c r="EH134" s="55"/>
      <c r="EI134" s="55"/>
      <c r="EJ134" s="1185">
        <f t="shared" si="92"/>
        <v>0</v>
      </c>
      <c r="EK134" s="1211"/>
      <c r="EL134" s="1180">
        <f t="shared" si="93"/>
        <v>0</v>
      </c>
      <c r="EM134" s="206"/>
      <c r="EN134" s="1038"/>
      <c r="EO134" s="1038"/>
      <c r="EP134" s="1038"/>
      <c r="EQ134" s="1038">
        <f t="shared" si="145"/>
        <v>0</v>
      </c>
      <c r="ER134" s="1041">
        <f t="shared" si="146"/>
        <v>0</v>
      </c>
      <c r="ES134" s="1042">
        <f t="shared" si="147"/>
        <v>0</v>
      </c>
      <c r="ET134" s="1042">
        <f t="shared" si="152"/>
        <v>0</v>
      </c>
      <c r="EU134" s="1021">
        <f t="shared" si="153"/>
        <v>0</v>
      </c>
      <c r="EV134" s="368"/>
      <c r="EW134" s="368"/>
      <c r="EX134" s="369"/>
      <c r="EY134" s="370"/>
      <c r="EZ134" s="370"/>
      <c r="FA134" s="371"/>
      <c r="FB134" s="372"/>
    </row>
    <row r="135" spans="1:158" ht="34.5" customHeight="1">
      <c r="A135" s="82">
        <v>127</v>
      </c>
      <c r="B135" s="1725"/>
      <c r="C135" s="1726"/>
      <c r="D135" s="1726"/>
      <c r="E135" s="1727"/>
      <c r="F135" s="1732"/>
      <c r="G135" s="1733"/>
      <c r="H135" s="1733"/>
      <c r="I135" s="1734"/>
      <c r="J135" s="1341"/>
      <c r="K135" s="1728"/>
      <c r="L135" s="1728"/>
      <c r="M135" s="1342"/>
      <c r="N135" s="1583"/>
      <c r="O135" s="208" t="str">
        <f t="shared" si="80"/>
        <v/>
      </c>
      <c r="P135" s="785"/>
      <c r="Q135" s="39" t="str">
        <f t="shared" si="81"/>
        <v/>
      </c>
      <c r="R135" s="39">
        <f t="shared" si="94"/>
        <v>0</v>
      </c>
      <c r="S135" s="234">
        <f t="shared" si="95"/>
        <v>0</v>
      </c>
      <c r="T135" s="1755"/>
      <c r="U135" s="1755"/>
      <c r="V135" s="1755"/>
      <c r="W135" s="1345"/>
      <c r="X135" s="1741"/>
      <c r="Y135" s="1742"/>
      <c r="Z135" s="1346"/>
      <c r="AA135" s="1343"/>
      <c r="AB135" s="1141"/>
      <c r="AC135" s="1103" t="str">
        <f>IF(T135="","",VLOOKUP(Z135,Lists!$A$60:$B$111,2,FALSE))</f>
        <v/>
      </c>
      <c r="AD135" s="130" t="str">
        <f t="shared" si="96"/>
        <v/>
      </c>
      <c r="AE135" s="130" t="e">
        <f t="shared" si="97"/>
        <v>#VALUE!</v>
      </c>
      <c r="AF135" s="130">
        <f t="shared" si="98"/>
        <v>1</v>
      </c>
      <c r="AG135" s="234">
        <f t="shared" si="82"/>
        <v>0</v>
      </c>
      <c r="AH135" s="1753" t="str">
        <f>IF(T135="","",(IF(ISNUMBER(SEARCH("exit",T135)),8760,IF(AND(M135="Dusk to Dawn",'Proposed Lighting'!AU135=3),4059,IF(AND(AU135=3,M135="1"),0,IF(AND(AU135=3,M135="1-C"),0,IF(AND(AU135=3,M135="2"),0,IF(AND(AU135=3,M135="2-C"),0,IF(AND(AU135=3,M135="3"),0,IF(AND(AU135=3,M135="3-C"),0,IF(AND(AU135=2,M135="Dusk to Dawn"),0,IF(AND(AU135=2,M135="Dusk to Dawn-C"),0,IF(AND(AU135=2,M135="Dusk to Dawn"),0,IF(AND(AU135=2,M135="E"),0,IF(AND(AU135=2,M135="E-C"),0,EG135)))))))))))))))</f>
        <v/>
      </c>
      <c r="AI135" s="1754"/>
      <c r="AJ135" s="1136"/>
      <c r="AK135" s="1136"/>
      <c r="AL135" s="1748">
        <f t="shared" si="99"/>
        <v>0</v>
      </c>
      <c r="AM135" s="1749"/>
      <c r="AN135" s="1750"/>
      <c r="AO135" s="476">
        <f t="shared" si="83"/>
        <v>0</v>
      </c>
      <c r="AP135" s="476">
        <f t="shared" si="100"/>
        <v>0</v>
      </c>
      <c r="AQ135" s="475">
        <f t="shared" si="84"/>
        <v>0</v>
      </c>
      <c r="AR135" s="475">
        <f t="shared" si="101"/>
        <v>0</v>
      </c>
      <c r="AS135" s="743" t="str">
        <f t="shared" si="156"/>
        <v/>
      </c>
      <c r="AT135" s="736" t="str">
        <f t="shared" si="102"/>
        <v/>
      </c>
      <c r="AU135" s="56">
        <f t="shared" si="103"/>
        <v>1</v>
      </c>
      <c r="AV135" s="476">
        <f t="shared" si="104"/>
        <v>0</v>
      </c>
      <c r="AW135" s="56">
        <f t="shared" si="105"/>
        <v>0</v>
      </c>
      <c r="AX135" s="475">
        <f t="shared" si="85"/>
        <v>0</v>
      </c>
      <c r="AY135" s="1169">
        <f t="shared" si="106"/>
        <v>0</v>
      </c>
      <c r="AZ135" s="1150">
        <f t="shared" si="148"/>
        <v>0</v>
      </c>
      <c r="BA135" s="56">
        <f t="shared" si="86"/>
        <v>0</v>
      </c>
      <c r="BB135" s="420">
        <f t="shared" si="87"/>
        <v>0</v>
      </c>
      <c r="BC135" s="58" t="str">
        <f t="shared" si="88"/>
        <v/>
      </c>
      <c r="BD135" s="660">
        <f t="shared" si="149"/>
        <v>0</v>
      </c>
      <c r="BE135" s="57" t="e">
        <f t="array" ref="BE135">INDEX($EB$11:$ED$1022,MATCH(F135&amp;T135,$EB$11:$EB$1007&amp;$EC$11:$EC$1007,0),3)</f>
        <v>#N/A</v>
      </c>
      <c r="BF135" s="463">
        <f t="shared" si="157"/>
        <v>0</v>
      </c>
      <c r="BG135" s="1445" t="e">
        <f t="array" ref="BG135">INDEX($DO$112:$DQ$123,MATCH(T135&amp;W135,$DO$114:$DO$125&amp;$DP$112:$DP$123,0),3)</f>
        <v>#N/A</v>
      </c>
      <c r="BH135" s="1446">
        <f t="shared" si="108"/>
        <v>0</v>
      </c>
      <c r="BI135" s="465">
        <f t="shared" si="109"/>
        <v>0</v>
      </c>
      <c r="BJ135" s="465">
        <f t="shared" si="110"/>
        <v>0</v>
      </c>
      <c r="BK135" s="466">
        <f t="shared" si="158"/>
        <v>0</v>
      </c>
      <c r="BL135" s="466">
        <f t="shared" si="159"/>
        <v>0</v>
      </c>
      <c r="BM135" s="466">
        <f t="shared" si="113"/>
        <v>0</v>
      </c>
      <c r="BN135" s="466">
        <f t="shared" si="114"/>
        <v>0</v>
      </c>
      <c r="BO135" s="463">
        <f>IF('Data Entry'!$C$74=0,0,IF(ISNA(CJ135),0,IF(AX135=0,0,IF(AND('Data Entry'!$C$74=2,AF135&gt;2,CE135&lt;1),0,IF(AND('Data Entry'!$C$74=2,AF135&gt;1,AU135=2,CJ135&gt;1),0,IF(AND(AF135=5,CT135=0.5,AU135=2,ER135&lt;100),0,IF(AND(AF135=5,CT135=0.5,AU135=3,ER135&lt;100),0,IF(AND('Data Entry'!$C$74=2,AF135=2,AU135=2,AK135&gt;0.01,CB135=2,CE135&lt;1),0,IF(AND('Data Entry'!$C$74=2,AF135=3,AU135=3,AK135&gt;0.01,CB135=3,CE135&lt;1),0,IF(AND('Data Entry'!$C$74=2,AF135=3,AU135=3,AK135&gt;0.01,CB135=3,CE135&gt;0.99),BQ135*0.08,IF(AND('Data Entry'!$C$74=2,AF135=2,AU135=2,AK135&gt;0.01,CB135=2,CE135&gt;0.99),BQ135*0.1,IF(AND(AU135=2,AK135&gt;0.01,CB135=2,CD135&gt;1),BQ135*0.1,IF(AND(AU135=3,AK135&gt;0.01,CB135=3,CD135&gt;1),BQ135*0.08,CJ135*EF135)))))))))))))</f>
        <v>0</v>
      </c>
      <c r="BP135" s="475">
        <f t="shared" si="115"/>
        <v>0</v>
      </c>
      <c r="BQ135" s="1431">
        <f>IF(AU135=1,0,IF(CH135=100,0,IF(AND(AF135=3,AU135=2),0,IF(AND(BH135=0,CT135&gt;0.4),0,IF(AND('Data Entry'!$C$74=2,AF135=1.5),0,IF(AND('Data Entry'!$C$74=2,AF135=1.6),0,IF(AND('Data Entry'!$C$74=2,AF135=4),0,IF(AND('Data Entry'!$C$74=2,AF135=5),0,IF(AND('Data Entry'!$C$74=2,AF135=2.5,CE135&lt;1),0,IF(AND('Data Entry'!$C$74=2,AF135=3,CE135&lt;1),0,IF(AND('Data Entry'!$C$74=1,AF135=2.5,CD135&lt;1),0,IF(AND('Data Entry'!$C$74=1,AF135=3,CD135&lt;1),0,IF(DX135&gt;0.01,DX135,IF(ISERROR(AX135-AY135),"",ROUND(AX135-AY135,2)))))))))))))))</f>
        <v>0</v>
      </c>
      <c r="BR135" s="146">
        <f t="shared" si="116"/>
        <v>0</v>
      </c>
      <c r="BS135" s="475">
        <f t="shared" si="117"/>
        <v>0</v>
      </c>
      <c r="BT135" s="146" t="b">
        <f t="shared" si="118"/>
        <v>0</v>
      </c>
      <c r="BU135" s="463">
        <f>IF(ISNA(AT135),0,IF(AND('Data Entry'!$C$74=2,BC135=27),0,IF(AND('Data Entry'!$C$74=2,BC135=28),0,IF(AND(BC135=27,BT135=27,CM135&gt;0.1),CM135*0.15,IF(AND(BC135=28,BT135=28,CM135&gt;0.1),CM135*0.12,0)))))</f>
        <v>0</v>
      </c>
      <c r="BV135" s="463">
        <f t="shared" si="155"/>
        <v>0</v>
      </c>
      <c r="BW135" s="463">
        <f t="shared" si="119"/>
        <v>0</v>
      </c>
      <c r="BX135" s="463">
        <f t="shared" si="120"/>
        <v>0</v>
      </c>
      <c r="BY135" s="463">
        <f t="shared" si="121"/>
        <v>0</v>
      </c>
      <c r="BZ135" s="463">
        <f t="shared" si="122"/>
        <v>0</v>
      </c>
      <c r="CA135" s="57">
        <f t="shared" si="150"/>
        <v>0</v>
      </c>
      <c r="CB135" s="56">
        <f t="shared" si="123"/>
        <v>1</v>
      </c>
      <c r="CC135" s="756">
        <f>IF(EE135=0,0,IF(EF135=0,0,IF(EE135&gt;AA135,0,IF(AND(AZ135&gt;AW135,AW135&gt;0),0,IF(CU135=0,0,Summary!AC438)))))</f>
        <v>0</v>
      </c>
      <c r="CD135" s="756">
        <f>IF(EE135=0,0,IF(EF135=0,0,IF(EE135&gt;AA135,0,IF(AND(AZ135&gt;AW135,AW135&gt;0),0,IF(CU135=0,0,Summary!AD438)))))</f>
        <v>0</v>
      </c>
      <c r="CE135" s="756">
        <f>IF(EF135=0,0,IF(EE135&gt;AA135,0,IF(CC135=0,0,IF(AND(AZ135&gt;AW135,AW135&gt;0),0,IF(CU135=0,0,Summary!AE438)))))</f>
        <v>0</v>
      </c>
      <c r="CF135" s="475">
        <f t="shared" si="124"/>
        <v>0</v>
      </c>
      <c r="CG135" s="476">
        <f t="shared" si="89"/>
        <v>0</v>
      </c>
      <c r="CH135" s="487">
        <f t="shared" si="125"/>
        <v>0</v>
      </c>
      <c r="CI135" s="756">
        <f t="shared" si="126"/>
        <v>0</v>
      </c>
      <c r="CJ135" s="487">
        <f>IF(CT135&gt;0.4,0,IF(AND(AU135=2,CH135=0,CT135=0.5,ER135=100),35,IF(AND(AU135=3,BB135&gt;75,CH135=0,CT135=0.5,ER135=100),25,IF(CB135&gt;1,0,IF(EF135&gt;EE135,0,IF(AND(AF135&gt;1,CH135=100),0,IF(AND(AF135=1,AY135=0),0,IF(AND(EF135&lt;=EE135,AW135&gt;=AZ135,'Data Entry'!$C$74=1,AU135=2),VLOOKUP(W135,$DO$96:$DP$102,2,FALSE),IF(AND(EF135&lt;=EE135,AW135&gt;=AZ135,AU135=3,'Data Entry'!$C$74=1),VLOOKUP(W135,$DO$127:$DP$134,2,FALSE))))))))))</f>
        <v>0</v>
      </c>
      <c r="CK135" s="716">
        <f t="shared" si="127"/>
        <v>0</v>
      </c>
      <c r="CL135" s="57">
        <f t="shared" si="128"/>
        <v>0</v>
      </c>
      <c r="CM135" s="475">
        <f t="shared" si="154"/>
        <v>0</v>
      </c>
      <c r="CN135" s="660">
        <f>IF(CM135&lt;0.1,0,IF(ISNA(AT135),0,IF(CL135+BC135=1,0,IF(BV135&gt;0.01,0,IF(CL135&gt;0.01,0,IF(CF135=1,0,IF(BC135=0.5,0,IF(AND(CI135=1,AU135=3),0,IF(AND(CI135=5,CL135=0),0,IF(AND(R135=12,BR135=50),0,IF(CK135&gt;0.01,0,IF(AND(AJ135&gt;0.01,AU135=2,BC135=15),CM135*0.1,IF(AND(AJ135&gt;0.01,AU135=3,BC135=15),CM135*0.08,IF(AND(R135=12,BC135=3,AF135&lt;=0),0,IF(AND(BC135=15,BI135=0),0,IF(AND(BC135=15,BJ135=0),0,IF(AND(R135=20,CU135=0),0,IF($X$4=0,0,IF(AND(BC135=250,CL135=0),0,IF(AA135&lt;1,0,IF(AND(ISNUMBER(SEARCH("Area",T135)),AU135=3),0,IF(AND(AQ135&gt;0.01,AR135=0,BK135=0,BL135=0,BM135=0,BN135=0),0,IF(AND(AU135=3,CI135=7,CT135&gt;0.5),0,IF(AND(BC135=44,AU135=3,BY135=0),0,IF(AND(BC135=27,'Data Entry'!$C$74=2),0,IF(AND(BC135=28,'Data Entry'!$C$74=2),0,IF(AND(BY135+BZ135+CA135&gt;0.01,BV135=0,EQ135+ER135+ES135+ET135&lt;100),0,IF(AU135=3,CM135*0.08,IF(AU135=2,CM135*0.1,0)))))))))))))))))))))))))))))</f>
        <v>0</v>
      </c>
      <c r="CO135" s="660">
        <f t="shared" si="129"/>
        <v>0</v>
      </c>
      <c r="CP135" s="475" t="str">
        <f t="shared" si="130"/>
        <v/>
      </c>
      <c r="CQ135" s="161" t="str">
        <f>IF(AH135=0,0,IF(AU135=5,0,Summary!AC138))</f>
        <v/>
      </c>
      <c r="CR135" s="161" t="str">
        <f>IF(BF135=0.5,0,IF(AU135=5,0,Summary!AD138))</f>
        <v/>
      </c>
      <c r="CS135" s="161" t="str">
        <f>IF(AU135=5,0,Summary!AE138)</f>
        <v/>
      </c>
      <c r="CT135" s="161">
        <f t="shared" si="131"/>
        <v>0</v>
      </c>
      <c r="CU135" s="475" t="str">
        <f t="shared" si="132"/>
        <v/>
      </c>
      <c r="CV135" s="307">
        <f>IF('Data Entry'!$C$74=0,0,IF(AA135&lt;1,0,IF(ISERROR(CU135),0,IF(CF135=1,0,IF(AND(R135=12,BR135=50),0,IF(CL135+BO135+BV135+DC135=0,0,IF(BC135=37,0,IF(AND(BC135=40,AJ135=0),0,IF(AND(BC135=37,BO135&gt;0.01,BQ135&gt;0.01),ROUND(BQ135,0),IF(CM135&lt;0,0,ROUND(CM135,0)))))))))))</f>
        <v>0</v>
      </c>
      <c r="CW135" s="700">
        <f t="shared" si="133"/>
        <v>0</v>
      </c>
      <c r="CX135" s="477">
        <f>IF('Data Entry'!$C$74=0,0,IF(CV135&lt;0.01,0,IF(BF135=0.5,0,IF(CF135=1,0,IF(ISNUMBER(SEARCH("false",CL135)),0,IF(AZ135=500,0,CL135))))))</f>
        <v>0</v>
      </c>
      <c r="CY135" s="147" t="e">
        <f t="shared" si="134"/>
        <v>#VALUE!</v>
      </c>
      <c r="CZ135" s="147" t="b">
        <f>IF(CN135+CL135=0,FALSE,IF(AH135=0,0,IF(AND('Data Entry'!$C$74=1,CR135&gt;=1),TRUE,IF(AND('Data Entry'!$C$74=2,CS135&gt;=1),TRUE,FALSE))))</f>
        <v>0</v>
      </c>
      <c r="DA135" s="1751">
        <f>IF('Data Entry'!$C$74=0,0,IFERROR(ROUND(IF(T135="","",IF($X$4=0,0,IF(CF135=1,0,IF(BQ135+CV135=0,0,IF(CF135=1,0,IF(CY135&gt;0.01,CY135,IF(CL135&gt;0.01,CL135,IF(CY135&gt;0.01,CY135,IF(BC135=37,BO135,IF(CZ135=FALSE,0,IF(CZ135=TRUE,DC135+DF135,0))))))))))),2),""))</f>
        <v>0</v>
      </c>
      <c r="DB135" s="1752"/>
      <c r="DC135" s="474">
        <f>IF(CN135&lt;0.01,0,IF(AND(BR135=3,CN135&gt;0.01,CT135&gt;0.6,ER135+ES135+ET135&lt;100),0,IF(AND('Data Entry'!$C$74=1,CN135&gt;0.01,CR135&gt;0.99),MIN(CN135:CO135),IF(AND('Data Entry'!$C$74=2,CN135&gt;0.01,CS135&gt;0.99),MIN(CN135:CO135),0))))</f>
        <v>0</v>
      </c>
      <c r="DD135" s="478">
        <f>IF(CF135=1,"Selection does not match",IF(T135=0,0,IF(AND('Data Entry'!$C$74=0,CP135&gt;1),"Select Oregon or Idaho on Data Entry Tab",IF(AND(AU135=1,AA135&gt;0.9),"Missing Interior or Exterior Selection",IF($X$4=0,"Enter Total Project Cost",IF(AQ135&lt;AR135,"Insufficient kWh savings – no incentive",IF(AND(SUM(CL135+CK135+BV135)&gt;0.01,'Data Entry'!$C$74=2,CJ135&gt;1,BO135=0),"Submit Control as Non-Standard",IF(AND('Data Entry'!$C$74=2,BR135=37,CJ135&gt;1,BO135=0),"Submit Control as Non-Standard",IF(SUM(CL135+CK135+BV135)&gt;0.01,"Standard Incentive",IF(AND('Data Entry'!$C$74=2,CP135=7,CN135=0),"Submit as Non-Standard",IF(DC135&gt;0.9,"Non-Standard Incentive",IF(AND(BY135+BZ135+CA135&gt;0.01,BV135=0,EQ135=0,ER135=0,ES135=0,ET135=0),"Scroll Right &amp; Select Control Strategies",IF(AND(CN135&gt;0.01,CO135=0),"Enter Unit Installed Cost",IF(ISNUMBER(SEARCH("Lighting Controls Only",F135)),"Lighting Controls Only",IF(CL135+DC135=0,"Does not meet incentive criteria",0)))))))))))))))</f>
        <v>0</v>
      </c>
      <c r="DE135" s="337">
        <f t="shared" si="135"/>
        <v>0</v>
      </c>
      <c r="DF135" s="609">
        <f t="shared" si="136"/>
        <v>0</v>
      </c>
      <c r="DG135" s="336" t="str">
        <f t="shared" si="137"/>
        <v/>
      </c>
      <c r="DH135" s="338">
        <f t="shared" si="138"/>
        <v>1</v>
      </c>
      <c r="DI135" s="336" t="e">
        <f t="shared" si="90"/>
        <v>#VALUE!</v>
      </c>
      <c r="DJ135" s="338">
        <f t="shared" si="91"/>
        <v>0</v>
      </c>
      <c r="DK135" s="362" t="s">
        <v>78</v>
      </c>
      <c r="DL135" s="323">
        <v>63</v>
      </c>
      <c r="DM135" s="325" t="s">
        <v>137</v>
      </c>
      <c r="DN135" s="1123">
        <v>4</v>
      </c>
      <c r="DO135" s="331"/>
      <c r="DP135" s="332"/>
      <c r="DQ135" s="361"/>
      <c r="DR135" s="357"/>
      <c r="DS135" s="1195">
        <f t="shared" si="139"/>
        <v>0</v>
      </c>
      <c r="DT135" s="344" t="b">
        <f t="shared" si="140"/>
        <v>1</v>
      </c>
      <c r="DU135" s="1314" t="str">
        <f t="array" ref="DU135">IF(OR(COUNTIF(F135,"*"&amp;$DK$9:$DK$178&amp;"*")), "Yes", "")</f>
        <v/>
      </c>
      <c r="DV135" s="1314">
        <f t="shared" si="141"/>
        <v>0</v>
      </c>
      <c r="DW135" s="1480">
        <f t="shared" si="142"/>
        <v>0</v>
      </c>
      <c r="DX135" s="1498">
        <f t="shared" si="151"/>
        <v>0</v>
      </c>
      <c r="DY135" s="1484">
        <f t="shared" si="143"/>
        <v>0</v>
      </c>
      <c r="DZ135" s="331"/>
      <c r="EA135" s="392"/>
      <c r="EB135" s="1499" t="s">
        <v>73</v>
      </c>
      <c r="EC135" s="727" t="s">
        <v>1568</v>
      </c>
      <c r="ED135" s="728">
        <v>0.5</v>
      </c>
      <c r="EE135" s="1215"/>
      <c r="EF135" s="1215"/>
      <c r="EG135" s="1184" t="str">
        <f t="shared" si="144"/>
        <v/>
      </c>
      <c r="EH135" s="55"/>
      <c r="EI135" s="55"/>
      <c r="EJ135" s="1185">
        <f t="shared" si="92"/>
        <v>0</v>
      </c>
      <c r="EK135" s="1211"/>
      <c r="EL135" s="1180">
        <f t="shared" si="93"/>
        <v>0</v>
      </c>
      <c r="EM135" s="206"/>
      <c r="EN135" s="1038"/>
      <c r="EO135" s="1038"/>
      <c r="EP135" s="1038"/>
      <c r="EQ135" s="1038">
        <f t="shared" si="145"/>
        <v>0</v>
      </c>
      <c r="ER135" s="1041">
        <f t="shared" si="146"/>
        <v>0</v>
      </c>
      <c r="ES135" s="1042">
        <f t="shared" si="147"/>
        <v>0</v>
      </c>
      <c r="ET135" s="1042">
        <f t="shared" si="152"/>
        <v>0</v>
      </c>
      <c r="EU135" s="1021">
        <f t="shared" si="153"/>
        <v>0</v>
      </c>
      <c r="EV135" s="368"/>
      <c r="EW135" s="368"/>
      <c r="EX135" s="369"/>
      <c r="EY135" s="370"/>
      <c r="EZ135" s="370"/>
      <c r="FA135" s="371"/>
      <c r="FB135" s="372"/>
    </row>
    <row r="136" spans="1:158" ht="34.5" customHeight="1">
      <c r="A136" s="82">
        <v>128</v>
      </c>
      <c r="B136" s="1725"/>
      <c r="C136" s="1726"/>
      <c r="D136" s="1726"/>
      <c r="E136" s="1727"/>
      <c r="F136" s="1732"/>
      <c r="G136" s="1733"/>
      <c r="H136" s="1733"/>
      <c r="I136" s="1734"/>
      <c r="J136" s="1341"/>
      <c r="K136" s="1728"/>
      <c r="L136" s="1728"/>
      <c r="M136" s="1342"/>
      <c r="N136" s="1583"/>
      <c r="O136" s="208" t="str">
        <f t="shared" si="80"/>
        <v/>
      </c>
      <c r="P136" s="785"/>
      <c r="Q136" s="39" t="str">
        <f t="shared" si="81"/>
        <v/>
      </c>
      <c r="R136" s="39">
        <f t="shared" si="94"/>
        <v>0</v>
      </c>
      <c r="S136" s="234">
        <f t="shared" si="95"/>
        <v>0</v>
      </c>
      <c r="T136" s="1755"/>
      <c r="U136" s="1755"/>
      <c r="V136" s="1755"/>
      <c r="W136" s="1345"/>
      <c r="X136" s="1741"/>
      <c r="Y136" s="1742"/>
      <c r="Z136" s="1346"/>
      <c r="AA136" s="1343"/>
      <c r="AB136" s="1141"/>
      <c r="AC136" s="1103" t="str">
        <f>IF(T136="","",VLOOKUP(Z136,Lists!$A$60:$B$111,2,FALSE))</f>
        <v/>
      </c>
      <c r="AD136" s="130" t="str">
        <f t="shared" si="96"/>
        <v/>
      </c>
      <c r="AE136" s="130" t="e">
        <f t="shared" si="97"/>
        <v>#VALUE!</v>
      </c>
      <c r="AF136" s="130">
        <f t="shared" si="98"/>
        <v>1</v>
      </c>
      <c r="AG136" s="234">
        <f t="shared" si="82"/>
        <v>0</v>
      </c>
      <c r="AH136" s="1753" t="str">
        <f>IF(T136="","",(IF(ISNUMBER(SEARCH("exit",T136)),8760,IF(AND(M136="Dusk to Dawn",'Proposed Lighting'!AU136=3),4059,IF(AND(AU136=3,M136="1"),0,IF(AND(AU136=3,M136="1-C"),0,IF(AND(AU136=3,M136="2"),0,IF(AND(AU136=3,M136="2-C"),0,IF(AND(AU136=3,M136="3"),0,IF(AND(AU136=3,M136="3-C"),0,IF(AND(AU136=2,M136="Dusk to Dawn"),0,IF(AND(AU136=2,M136="Dusk to Dawn-C"),0,IF(AND(AU136=2,M136="Dusk to Dawn"),0,IF(AND(AU136=2,M136="E"),0,IF(AND(AU136=2,M136="E-C"),0,EG136)))))))))))))))</f>
        <v/>
      </c>
      <c r="AI136" s="1754"/>
      <c r="AJ136" s="1136"/>
      <c r="AK136" s="1136"/>
      <c r="AL136" s="1748">
        <f t="shared" si="99"/>
        <v>0</v>
      </c>
      <c r="AM136" s="1749"/>
      <c r="AN136" s="1750"/>
      <c r="AO136" s="476">
        <f t="shared" si="83"/>
        <v>0</v>
      </c>
      <c r="AP136" s="476">
        <f t="shared" si="100"/>
        <v>0</v>
      </c>
      <c r="AQ136" s="475">
        <f t="shared" si="84"/>
        <v>0</v>
      </c>
      <c r="AR136" s="475">
        <f t="shared" si="101"/>
        <v>0</v>
      </c>
      <c r="AS136" s="743" t="str">
        <f t="shared" si="156"/>
        <v/>
      </c>
      <c r="AT136" s="736" t="str">
        <f t="shared" si="102"/>
        <v/>
      </c>
      <c r="AU136" s="56">
        <f t="shared" si="103"/>
        <v>1</v>
      </c>
      <c r="AV136" s="476">
        <f t="shared" si="104"/>
        <v>0</v>
      </c>
      <c r="AW136" s="56">
        <f t="shared" si="105"/>
        <v>0</v>
      </c>
      <c r="AX136" s="475">
        <f t="shared" si="85"/>
        <v>0</v>
      </c>
      <c r="AY136" s="1169">
        <f t="shared" si="106"/>
        <v>0</v>
      </c>
      <c r="AZ136" s="1150">
        <f t="shared" si="148"/>
        <v>0</v>
      </c>
      <c r="BA136" s="56">
        <f t="shared" si="86"/>
        <v>0</v>
      </c>
      <c r="BB136" s="420">
        <f t="shared" si="87"/>
        <v>0</v>
      </c>
      <c r="BC136" s="58" t="str">
        <f t="shared" si="88"/>
        <v/>
      </c>
      <c r="BD136" s="660">
        <f t="shared" si="149"/>
        <v>0</v>
      </c>
      <c r="BE136" s="57" t="e">
        <f t="array" ref="BE136">INDEX($EB$11:$ED$1022,MATCH(F136&amp;T136,$EB$11:$EB$1007&amp;$EC$11:$EC$1007,0),3)</f>
        <v>#N/A</v>
      </c>
      <c r="BF136" s="463">
        <f t="shared" si="157"/>
        <v>0</v>
      </c>
      <c r="BG136" s="1445" t="e">
        <f t="array" ref="BG136">INDEX($DO$112:$DQ$123,MATCH(T136&amp;W136,$DO$114:$DO$125&amp;$DP$112:$DP$123,0),3)</f>
        <v>#N/A</v>
      </c>
      <c r="BH136" s="1446">
        <f t="shared" si="108"/>
        <v>0</v>
      </c>
      <c r="BI136" s="465">
        <f t="shared" si="109"/>
        <v>0</v>
      </c>
      <c r="BJ136" s="465">
        <f t="shared" si="110"/>
        <v>0</v>
      </c>
      <c r="BK136" s="466">
        <f t="shared" si="158"/>
        <v>0</v>
      </c>
      <c r="BL136" s="466">
        <f t="shared" si="159"/>
        <v>0</v>
      </c>
      <c r="BM136" s="466">
        <f t="shared" si="113"/>
        <v>0</v>
      </c>
      <c r="BN136" s="466">
        <f t="shared" si="114"/>
        <v>0</v>
      </c>
      <c r="BO136" s="463">
        <f>IF('Data Entry'!$C$74=0,0,IF(ISNA(CJ136),0,IF(AX136=0,0,IF(AND('Data Entry'!$C$74=2,AF136&gt;2,CE136&lt;1),0,IF(AND('Data Entry'!$C$74=2,AF136&gt;1,AU136=2,CJ136&gt;1),0,IF(AND(AF136=5,CT136=0.5,AU136=2,ER136&lt;100),0,IF(AND(AF136=5,CT136=0.5,AU136=3,ER136&lt;100),0,IF(AND('Data Entry'!$C$74=2,AF136=2,AU136=2,AK136&gt;0.01,CB136=2,CE136&lt;1),0,IF(AND('Data Entry'!$C$74=2,AF136=3,AU136=3,AK136&gt;0.01,CB136=3,CE136&lt;1),0,IF(AND('Data Entry'!$C$74=2,AF136=3,AU136=3,AK136&gt;0.01,CB136=3,CE136&gt;0.99),BQ136*0.08,IF(AND('Data Entry'!$C$74=2,AF136=2,AU136=2,AK136&gt;0.01,CB136=2,CE136&gt;0.99),BQ136*0.1,IF(AND(AU136=2,AK136&gt;0.01,CB136=2,CD136&gt;1),BQ136*0.1,IF(AND(AU136=3,AK136&gt;0.01,CB136=3,CD136&gt;1),BQ136*0.08,CJ136*EF136)))))))))))))</f>
        <v>0</v>
      </c>
      <c r="BP136" s="475">
        <f t="shared" si="115"/>
        <v>0</v>
      </c>
      <c r="BQ136" s="1431">
        <f>IF(AU136=1,0,IF(CH136=100,0,IF(AND(AF136=3,AU136=2),0,IF(AND(BH136=0,CT136&gt;0.4),0,IF(AND('Data Entry'!$C$74=2,AF136=1.5),0,IF(AND('Data Entry'!$C$74=2,AF136=1.6),0,IF(AND('Data Entry'!$C$74=2,AF136=4),0,IF(AND('Data Entry'!$C$74=2,AF136=5),0,IF(AND('Data Entry'!$C$74=2,AF136=2.5,CE136&lt;1),0,IF(AND('Data Entry'!$C$74=2,AF136=3,CE136&lt;1),0,IF(AND('Data Entry'!$C$74=1,AF136=2.5,CD136&lt;1),0,IF(AND('Data Entry'!$C$74=1,AF136=3,CD136&lt;1),0,IF(DX136&gt;0.01,DX136,IF(ISERROR(AX136-AY136),"",ROUND(AX136-AY136,2)))))))))))))))</f>
        <v>0</v>
      </c>
      <c r="BR136" s="146">
        <f t="shared" si="116"/>
        <v>0</v>
      </c>
      <c r="BS136" s="475">
        <f t="shared" si="117"/>
        <v>0</v>
      </c>
      <c r="BT136" s="146" t="b">
        <f t="shared" si="118"/>
        <v>0</v>
      </c>
      <c r="BU136" s="463">
        <f>IF(ISNA(AT136),0,IF(AND('Data Entry'!$C$74=2,BC136=27),0,IF(AND('Data Entry'!$C$74=2,BC136=28),0,IF(AND(BC136=27,BT136=27,CM136&gt;0.1),CM136*0.15,IF(AND(BC136=28,BT136=28,CM136&gt;0.1),CM136*0.12,0)))))</f>
        <v>0</v>
      </c>
      <c r="BV136" s="463">
        <f t="shared" si="155"/>
        <v>0</v>
      </c>
      <c r="BW136" s="463">
        <f t="shared" si="119"/>
        <v>0</v>
      </c>
      <c r="BX136" s="463">
        <f t="shared" si="120"/>
        <v>0</v>
      </c>
      <c r="BY136" s="463">
        <f t="shared" si="121"/>
        <v>0</v>
      </c>
      <c r="BZ136" s="463">
        <f t="shared" si="122"/>
        <v>0</v>
      </c>
      <c r="CA136" s="57">
        <f t="shared" si="150"/>
        <v>0</v>
      </c>
      <c r="CB136" s="56">
        <f t="shared" si="123"/>
        <v>1</v>
      </c>
      <c r="CC136" s="756">
        <f>IF(EE136=0,0,IF(EF136=0,0,IF(EE136&gt;AA136,0,IF(AND(AZ136&gt;AW136,AW136&gt;0),0,IF(CU136=0,0,Summary!AC439)))))</f>
        <v>0</v>
      </c>
      <c r="CD136" s="756">
        <f>IF(EE136=0,0,IF(EF136=0,0,IF(EE136&gt;AA136,0,IF(AND(AZ136&gt;AW136,AW136&gt;0),0,IF(CU136=0,0,Summary!AD439)))))</f>
        <v>0</v>
      </c>
      <c r="CE136" s="756">
        <f>IF(EF136=0,0,IF(EE136&gt;AA136,0,IF(CC136=0,0,IF(AND(AZ136&gt;AW136,AW136&gt;0),0,IF(CU136=0,0,Summary!AE439)))))</f>
        <v>0</v>
      </c>
      <c r="CF136" s="475">
        <f t="shared" si="124"/>
        <v>0</v>
      </c>
      <c r="CG136" s="476">
        <f t="shared" si="89"/>
        <v>0</v>
      </c>
      <c r="CH136" s="487">
        <f t="shared" si="125"/>
        <v>0</v>
      </c>
      <c r="CI136" s="756">
        <f t="shared" si="126"/>
        <v>0</v>
      </c>
      <c r="CJ136" s="487">
        <f>IF(CT136&gt;0.4,0,IF(AND(AU136=2,CH136=0,CT136=0.5,ER136=100),35,IF(AND(AU136=3,BB136&gt;75,CH136=0,CT136=0.5,ER136=100),25,IF(CB136&gt;1,0,IF(EF136&gt;EE136,0,IF(AND(AF136&gt;1,CH136=100),0,IF(AND(AF136=1,AY136=0),0,IF(AND(EF136&lt;=EE136,AW136&gt;=AZ136,'Data Entry'!$C$74=1,AU136=2),VLOOKUP(W136,$DO$96:$DP$102,2,FALSE),IF(AND(EF136&lt;=EE136,AW136&gt;=AZ136,AU136=3,'Data Entry'!$C$74=1),VLOOKUP(W136,$DO$127:$DP$134,2,FALSE))))))))))</f>
        <v>0</v>
      </c>
      <c r="CK136" s="716">
        <f t="shared" si="127"/>
        <v>0</v>
      </c>
      <c r="CL136" s="57">
        <f t="shared" si="128"/>
        <v>0</v>
      </c>
      <c r="CM136" s="475">
        <f t="shared" si="154"/>
        <v>0</v>
      </c>
      <c r="CN136" s="660">
        <f>IF(CM136&lt;0.1,0,IF(ISNA(AT136),0,IF(CL136+BC136=1,0,IF(BV136&gt;0.01,0,IF(CL136&gt;0.01,0,IF(CF136=1,0,IF(BC136=0.5,0,IF(AND(CI136=1,AU136=3),0,IF(AND(CI136=5,CL136=0),0,IF(AND(R136=12,BR136=50),0,IF(CK136&gt;0.01,0,IF(AND(AJ136&gt;0.01,AU136=2,BC136=15),CM136*0.1,IF(AND(AJ136&gt;0.01,AU136=3,BC136=15),CM136*0.08,IF(AND(R136=12,BC136=3,AF136&lt;=0),0,IF(AND(BC136=15,BI136=0),0,IF(AND(BC136=15,BJ136=0),0,IF(AND(R136=20,CU136=0),0,IF($X$4=0,0,IF(AND(BC136=250,CL136=0),0,IF(AA136&lt;1,0,IF(AND(ISNUMBER(SEARCH("Area",T136)),AU136=3),0,IF(AND(AQ136&gt;0.01,AR136=0,BK136=0,BL136=0,BM136=0,BN136=0),0,IF(AND(AU136=3,CI136=7,CT136&gt;0.5),0,IF(AND(BC136=44,AU136=3,BY136=0),0,IF(AND(BC136=27,'Data Entry'!$C$74=2),0,IF(AND(BC136=28,'Data Entry'!$C$74=2),0,IF(AND(BY136+BZ136+CA136&gt;0.01,BV136=0,EQ136+ER136+ES136+ET136&lt;100),0,IF(AU136=3,CM136*0.08,IF(AU136=2,CM136*0.1,0)))))))))))))))))))))))))))))</f>
        <v>0</v>
      </c>
      <c r="CO136" s="660">
        <f t="shared" si="129"/>
        <v>0</v>
      </c>
      <c r="CP136" s="475" t="str">
        <f t="shared" si="130"/>
        <v/>
      </c>
      <c r="CQ136" s="161" t="str">
        <f>IF(AH136=0,0,IF(AU136=5,0,Summary!AC139))</f>
        <v/>
      </c>
      <c r="CR136" s="161" t="str">
        <f>IF(BF136=0.5,0,IF(AU136=5,0,Summary!AD139))</f>
        <v/>
      </c>
      <c r="CS136" s="161" t="str">
        <f>IF(AU136=5,0,Summary!AE139)</f>
        <v/>
      </c>
      <c r="CT136" s="161">
        <f t="shared" si="131"/>
        <v>0</v>
      </c>
      <c r="CU136" s="475" t="str">
        <f t="shared" si="132"/>
        <v/>
      </c>
      <c r="CV136" s="307">
        <f>IF('Data Entry'!$C$74=0,0,IF(AA136&lt;1,0,IF(ISERROR(CU136),0,IF(CF136=1,0,IF(AND(R136=12,BR136=50),0,IF(CL136+BO136+BV136+DC136=0,0,IF(BC136=37,0,IF(AND(BC136=40,AJ136=0),0,IF(AND(BC136=37,BO136&gt;0.01,BQ136&gt;0.01),ROUND(BQ136,0),IF(CM136&lt;0,0,ROUND(CM136,0)))))))))))</f>
        <v>0</v>
      </c>
      <c r="CW136" s="700">
        <f t="shared" si="133"/>
        <v>0</v>
      </c>
      <c r="CX136" s="477">
        <f>IF('Data Entry'!$C$74=0,0,IF(CV136&lt;0.01,0,IF(BF136=0.5,0,IF(CF136=1,0,IF(ISNUMBER(SEARCH("false",CL136)),0,IF(AZ136=500,0,CL136))))))</f>
        <v>0</v>
      </c>
      <c r="CY136" s="147" t="e">
        <f t="shared" si="134"/>
        <v>#VALUE!</v>
      </c>
      <c r="CZ136" s="147" t="b">
        <f>IF(CN136+CL136=0,FALSE,IF(AH136=0,0,IF(AND('Data Entry'!$C$74=1,CR136&gt;=1),TRUE,IF(AND('Data Entry'!$C$74=2,CS136&gt;=1),TRUE,FALSE))))</f>
        <v>0</v>
      </c>
      <c r="DA136" s="1751">
        <f>IF('Data Entry'!$C$74=0,0,IFERROR(ROUND(IF(T136="","",IF($X$4=0,0,IF(CF136=1,0,IF(BQ136+CV136=0,0,IF(CF136=1,0,IF(CY136&gt;0.01,CY136,IF(CL136&gt;0.01,CL136,IF(CY136&gt;0.01,CY136,IF(BC136=37,BO136,IF(CZ136=FALSE,0,IF(CZ136=TRUE,DC136+DF136,0))))))))))),2),""))</f>
        <v>0</v>
      </c>
      <c r="DB136" s="1752"/>
      <c r="DC136" s="474">
        <f>IF(CN136&lt;0.01,0,IF(AND(BR136=3,CN136&gt;0.01,CT136&gt;0.6,ER136+ES136+ET136&lt;100),0,IF(AND('Data Entry'!$C$74=1,CN136&gt;0.01,CR136&gt;0.99),MIN(CN136:CO136),IF(AND('Data Entry'!$C$74=2,CN136&gt;0.01,CS136&gt;0.99),MIN(CN136:CO136),0))))</f>
        <v>0</v>
      </c>
      <c r="DD136" s="478">
        <f>IF(CF136=1,"Selection does not match",IF(T136=0,0,IF(AND('Data Entry'!$C$74=0,CP136&gt;1),"Select Oregon or Idaho on Data Entry Tab",IF(AND(AU136=1,AA136&gt;0.9),"Missing Interior or Exterior Selection",IF($X$4=0,"Enter Total Project Cost",IF(AQ136&lt;AR136,"Insufficient kWh savings – no incentive",IF(AND(SUM(CL136+CK136+BV136)&gt;0.01,'Data Entry'!$C$74=2,CJ136&gt;1,BO136=0),"Submit Control as Non-Standard",IF(AND('Data Entry'!$C$74=2,BR136=37,CJ136&gt;1,BO136=0),"Submit Control as Non-Standard",IF(SUM(CL136+CK136+BV136)&gt;0.01,"Standard Incentive",IF(AND('Data Entry'!$C$74=2,CP136=7,CN136=0),"Submit as Non-Standard",IF(DC136&gt;0.9,"Non-Standard Incentive",IF(AND(BY136+BZ136+CA136&gt;0.01,BV136=0,EQ136=0,ER136=0,ES136=0,ET136=0),"Scroll Right &amp; Select Control Strategies",IF(AND(CN136&gt;0.01,CO136=0),"Enter Unit Installed Cost",IF(ISNUMBER(SEARCH("Lighting Controls Only",F136)),"Lighting Controls Only",IF(CL136+DC136=0,"Does not meet incentive criteria",0)))))))))))))))</f>
        <v>0</v>
      </c>
      <c r="DE136" s="337">
        <f t="shared" si="135"/>
        <v>0</v>
      </c>
      <c r="DF136" s="609">
        <f t="shared" si="136"/>
        <v>0</v>
      </c>
      <c r="DG136" s="336" t="str">
        <f t="shared" si="137"/>
        <v/>
      </c>
      <c r="DH136" s="338">
        <f t="shared" si="138"/>
        <v>1</v>
      </c>
      <c r="DI136" s="336" t="e">
        <f t="shared" si="90"/>
        <v>#VALUE!</v>
      </c>
      <c r="DJ136" s="338">
        <f t="shared" si="91"/>
        <v>0</v>
      </c>
      <c r="DK136" s="325" t="s">
        <v>79</v>
      </c>
      <c r="DL136" s="341">
        <v>88</v>
      </c>
      <c r="DM136" s="325" t="s">
        <v>138</v>
      </c>
      <c r="DN136" s="1123">
        <v>8</v>
      </c>
      <c r="DO136" s="331"/>
      <c r="DP136" s="332"/>
      <c r="DQ136" s="356"/>
      <c r="DR136" s="357"/>
      <c r="DS136" s="1195">
        <f t="shared" si="139"/>
        <v>0</v>
      </c>
      <c r="DT136" s="344" t="b">
        <f t="shared" si="140"/>
        <v>1</v>
      </c>
      <c r="DU136" s="1314" t="str">
        <f t="array" ref="DU136">IF(OR(COUNTIF(F136,"*"&amp;$DK$9:$DK$178&amp;"*")), "Yes", "")</f>
        <v/>
      </c>
      <c r="DV136" s="1314">
        <f t="shared" si="141"/>
        <v>0</v>
      </c>
      <c r="DW136" s="1480">
        <f t="shared" si="142"/>
        <v>0</v>
      </c>
      <c r="DX136" s="1498">
        <f t="shared" si="151"/>
        <v>0</v>
      </c>
      <c r="DY136" s="1484">
        <f t="shared" si="143"/>
        <v>0</v>
      </c>
      <c r="DZ136" s="331"/>
      <c r="EA136" s="392"/>
      <c r="EB136" s="1499" t="s">
        <v>1564</v>
      </c>
      <c r="EC136" s="727" t="s">
        <v>1568</v>
      </c>
      <c r="ED136" s="728">
        <v>0.5</v>
      </c>
      <c r="EE136" s="1215"/>
      <c r="EF136" s="1215"/>
      <c r="EG136" s="1184" t="str">
        <f t="shared" si="144"/>
        <v/>
      </c>
      <c r="EH136" s="55"/>
      <c r="EI136" s="55"/>
      <c r="EJ136" s="1185">
        <f t="shared" si="92"/>
        <v>0</v>
      </c>
      <c r="EK136" s="1211"/>
      <c r="EL136" s="1180">
        <f t="shared" si="93"/>
        <v>0</v>
      </c>
      <c r="EM136" s="206"/>
      <c r="EN136" s="1038"/>
      <c r="EO136" s="1038"/>
      <c r="EP136" s="1038"/>
      <c r="EQ136" s="1038">
        <f t="shared" si="145"/>
        <v>0</v>
      </c>
      <c r="ER136" s="1041">
        <f t="shared" si="146"/>
        <v>0</v>
      </c>
      <c r="ES136" s="1042">
        <f t="shared" si="147"/>
        <v>0</v>
      </c>
      <c r="ET136" s="1042">
        <f t="shared" si="152"/>
        <v>0</v>
      </c>
      <c r="EU136" s="1021">
        <f t="shared" si="153"/>
        <v>0</v>
      </c>
      <c r="EV136" s="368"/>
      <c r="EW136" s="368"/>
      <c r="EX136" s="369"/>
      <c r="EY136" s="370"/>
      <c r="EZ136" s="370"/>
      <c r="FA136" s="371"/>
      <c r="FB136" s="372"/>
    </row>
    <row r="137" spans="1:158" ht="34.5" customHeight="1">
      <c r="A137" s="82">
        <v>129</v>
      </c>
      <c r="B137" s="1725"/>
      <c r="C137" s="1726"/>
      <c r="D137" s="1726"/>
      <c r="E137" s="1727"/>
      <c r="F137" s="1732"/>
      <c r="G137" s="1733"/>
      <c r="H137" s="1733"/>
      <c r="I137" s="1734"/>
      <c r="J137" s="1341"/>
      <c r="K137" s="1728"/>
      <c r="L137" s="1728"/>
      <c r="M137" s="1342"/>
      <c r="N137" s="1583"/>
      <c r="O137" s="208" t="str">
        <f t="shared" ref="O137:O200" si="160">IF(F137="","",VLOOKUP(F137,$DK$5:$DL$202,2,FALSE))</f>
        <v/>
      </c>
      <c r="P137" s="785"/>
      <c r="Q137" s="39" t="str">
        <f t="shared" ref="Q137:Q200" si="161">IF(F137="","",VLOOKUP(F137,$DM$9:$DN$177,2,FALSE))</f>
        <v/>
      </c>
      <c r="R137" s="39">
        <f t="shared" si="94"/>
        <v>0</v>
      </c>
      <c r="S137" s="234">
        <f t="shared" si="95"/>
        <v>0</v>
      </c>
      <c r="T137" s="1755"/>
      <c r="U137" s="1755"/>
      <c r="V137" s="1755"/>
      <c r="W137" s="1345"/>
      <c r="X137" s="1741"/>
      <c r="Y137" s="1742"/>
      <c r="Z137" s="1346"/>
      <c r="AA137" s="1343"/>
      <c r="AB137" s="1141"/>
      <c r="AC137" s="1103" t="str">
        <f>IF(T137="","",VLOOKUP(Z137,Lists!$A$60:$B$111,2,FALSE))</f>
        <v/>
      </c>
      <c r="AD137" s="130" t="str">
        <f t="shared" si="96"/>
        <v/>
      </c>
      <c r="AE137" s="130" t="e">
        <f t="shared" si="97"/>
        <v>#VALUE!</v>
      </c>
      <c r="AF137" s="130">
        <f t="shared" si="98"/>
        <v>1</v>
      </c>
      <c r="AG137" s="234">
        <f t="shared" ref="AG137:AG200" si="162">IF(ISNUMBER(SEARCH("controls",F137)),0,AR137)</f>
        <v>0</v>
      </c>
      <c r="AH137" s="1753" t="str">
        <f>IF(T137="","",(IF(ISNUMBER(SEARCH("exit",T137)),8760,IF(AND(M137="Dusk to Dawn",'Proposed Lighting'!AU137=3),4059,IF(AND(AU137=3,M137="1"),0,IF(AND(AU137=3,M137="1-C"),0,IF(AND(AU137=3,M137="2"),0,IF(AND(AU137=3,M137="2-C"),0,IF(AND(AU137=3,M137="3"),0,IF(AND(AU137=3,M137="3-C"),0,IF(AND(AU137=2,M137="Dusk to Dawn"),0,IF(AND(AU137=2,M137="Dusk to Dawn-C"),0,IF(AND(AU137=2,M137="Dusk to Dawn"),0,IF(AND(AU137=2,M137="E"),0,IF(AND(AU137=2,M137="E-C"),0,EG137)))))))))))))))</f>
        <v/>
      </c>
      <c r="AI137" s="1754"/>
      <c r="AJ137" s="1136"/>
      <c r="AK137" s="1136"/>
      <c r="AL137" s="1748">
        <f t="shared" si="99"/>
        <v>0</v>
      </c>
      <c r="AM137" s="1749"/>
      <c r="AN137" s="1750"/>
      <c r="AO137" s="476">
        <f t="shared" ref="AO137:AO200" si="163">IF(ISNUMBER(SEARCH("controls",F137)),0,IF(ISBLANK(F137),0,IF(P137&gt;0.01,P137*N137/1000,O137*N137/1000)))</f>
        <v>0</v>
      </c>
      <c r="AP137" s="476">
        <f t="shared" si="100"/>
        <v>0</v>
      </c>
      <c r="AQ137" s="475">
        <f t="shared" ref="AQ137:AQ200" si="164">IF(ISNUMBER(SEARCH("controls",F137)),0,IF(AU137=1,0,IF(EJ137&gt;0.01,EG137*0.9*N137*AS137/1000,AO137*AH137)))</f>
        <v>0</v>
      </c>
      <c r="AR137" s="475">
        <f t="shared" si="101"/>
        <v>0</v>
      </c>
      <c r="AS137" s="743" t="str">
        <f t="shared" si="156"/>
        <v/>
      </c>
      <c r="AT137" s="736" t="str">
        <f t="shared" si="102"/>
        <v/>
      </c>
      <c r="AU137" s="56">
        <f t="shared" si="103"/>
        <v>1</v>
      </c>
      <c r="AV137" s="476">
        <f t="shared" si="104"/>
        <v>0</v>
      </c>
      <c r="AW137" s="56">
        <f t="shared" si="105"/>
        <v>0</v>
      </c>
      <c r="AX137" s="475">
        <f t="shared" ref="AX137:AX200" si="165">IF(EE137=0,0,IF(AW137=0,0,IF(EF137=0,0,IF(EE137&gt;AA137,0,IF(EJ137&gt;0.01,(EE137*AT137)*EJ137/1000,(EE137*AT137)*CU137/1000)))))</f>
        <v>0</v>
      </c>
      <c r="AY137" s="1169">
        <f t="shared" si="106"/>
        <v>0</v>
      </c>
      <c r="AZ137" s="1150">
        <f t="shared" si="148"/>
        <v>0</v>
      </c>
      <c r="BA137" s="56">
        <f t="shared" ref="BA137:BA200" si="166">IF(AND(AK137&gt;0.01,AF137&gt;1,EF137&gt;0.5),EF137*AK137,IF(AND(BQ137&gt;0,AK137&gt;0),AK137*EF137,0))</f>
        <v>0</v>
      </c>
      <c r="BB137" s="420">
        <f t="shared" ref="BB137:BB200" si="167">IF(AV137=0,0,IF(AND(AV137&gt;0.01,DS137&lt;2),0,IF(AF137&lt;2,0,AC137*EE137/EF137)))</f>
        <v>0</v>
      </c>
      <c r="BC137" s="58" t="str">
        <f t="shared" ref="BC137:BC200" si="168">IF(T137="","",VLOOKUP(T137,$DQ$193:$DR$237,2,FALSE))</f>
        <v/>
      </c>
      <c r="BD137" s="660">
        <f t="shared" si="149"/>
        <v>0</v>
      </c>
      <c r="BE137" s="57" t="e">
        <f t="array" ref="BE137">INDEX($EB$11:$ED$1022,MATCH(F137&amp;T137,$EB$11:$EB$1007&amp;$EC$11:$EC$1007,0),3)</f>
        <v>#N/A</v>
      </c>
      <c r="BF137" s="463">
        <f t="shared" si="157"/>
        <v>0</v>
      </c>
      <c r="BG137" s="1445" t="e">
        <f t="array" ref="BG137">INDEX($DO$112:$DQ$123,MATCH(T137&amp;W137,$DO$114:$DO$125&amp;$DP$112:$DP$123,0),3)</f>
        <v>#N/A</v>
      </c>
      <c r="BH137" s="1446">
        <f t="shared" si="108"/>
        <v>0</v>
      </c>
      <c r="BI137" s="465">
        <f t="shared" si="109"/>
        <v>0</v>
      </c>
      <c r="BJ137" s="465">
        <f t="shared" si="110"/>
        <v>0</v>
      </c>
      <c r="BK137" s="466">
        <f t="shared" si="158"/>
        <v>0</v>
      </c>
      <c r="BL137" s="466">
        <f t="shared" si="159"/>
        <v>0</v>
      </c>
      <c r="BM137" s="466">
        <f t="shared" si="113"/>
        <v>0</v>
      </c>
      <c r="BN137" s="466">
        <f t="shared" si="114"/>
        <v>0</v>
      </c>
      <c r="BO137" s="463">
        <f>IF('Data Entry'!$C$74=0,0,IF(ISNA(CJ137),0,IF(AX137=0,0,IF(AND('Data Entry'!$C$74=2,AF137&gt;2,CE137&lt;1),0,IF(AND('Data Entry'!$C$74=2,AF137&gt;1,AU137=2,CJ137&gt;1),0,IF(AND(AF137=5,CT137=0.5,AU137=2,ER137&lt;100),0,IF(AND(AF137=5,CT137=0.5,AU137=3,ER137&lt;100),0,IF(AND('Data Entry'!$C$74=2,AF137=2,AU137=2,AK137&gt;0.01,CB137=2,CE137&lt;1),0,IF(AND('Data Entry'!$C$74=2,AF137=3,AU137=3,AK137&gt;0.01,CB137=3,CE137&lt;1),0,IF(AND('Data Entry'!$C$74=2,AF137=3,AU137=3,AK137&gt;0.01,CB137=3,CE137&gt;0.99),BQ137*0.08,IF(AND('Data Entry'!$C$74=2,AF137=2,AU137=2,AK137&gt;0.01,CB137=2,CE137&gt;0.99),BQ137*0.1,IF(AND(AU137=2,AK137&gt;0.01,CB137=2,CD137&gt;1),BQ137*0.1,IF(AND(AU137=3,AK137&gt;0.01,CB137=3,CD137&gt;1),BQ137*0.08,CJ137*EF137)))))))))))))</f>
        <v>0</v>
      </c>
      <c r="BP137" s="475">
        <f t="shared" si="115"/>
        <v>0</v>
      </c>
      <c r="BQ137" s="1431">
        <f>IF(AU137=1,0,IF(CH137=100,0,IF(AND(AF137=3,AU137=2),0,IF(AND(BH137=0,CT137&gt;0.4),0,IF(AND('Data Entry'!$C$74=2,AF137=1.5),0,IF(AND('Data Entry'!$C$74=2,AF137=1.6),0,IF(AND('Data Entry'!$C$74=2,AF137=4),0,IF(AND('Data Entry'!$C$74=2,AF137=5),0,IF(AND('Data Entry'!$C$74=2,AF137=2.5,CE137&lt;1),0,IF(AND('Data Entry'!$C$74=2,AF137=3,CE137&lt;1),0,IF(AND('Data Entry'!$C$74=1,AF137=2.5,CD137&lt;1),0,IF(AND('Data Entry'!$C$74=1,AF137=3,CD137&lt;1),0,IF(DX137&gt;0.01,DX137,IF(ISERROR(AX137-AY137),"",ROUND(AX137-AY137,2)))))))))))))))</f>
        <v>0</v>
      </c>
      <c r="BR137" s="146">
        <f t="shared" si="116"/>
        <v>0</v>
      </c>
      <c r="BS137" s="475">
        <f t="shared" si="117"/>
        <v>0</v>
      </c>
      <c r="BT137" s="146" t="b">
        <f t="shared" si="118"/>
        <v>0</v>
      </c>
      <c r="BU137" s="463">
        <f>IF(ISNA(AT137),0,IF(AND('Data Entry'!$C$74=2,BC137=27),0,IF(AND('Data Entry'!$C$74=2,BC137=28),0,IF(AND(BC137=27,BT137=27,CM137&gt;0.1),CM137*0.15,IF(AND(BC137=28,BT137=28,CM137&gt;0.1),CM137*0.12,0)))))</f>
        <v>0</v>
      </c>
      <c r="BV137" s="463">
        <f t="shared" si="155"/>
        <v>0</v>
      </c>
      <c r="BW137" s="463">
        <f t="shared" si="119"/>
        <v>0</v>
      </c>
      <c r="BX137" s="463">
        <f t="shared" si="120"/>
        <v>0</v>
      </c>
      <c r="BY137" s="463">
        <f t="shared" si="121"/>
        <v>0</v>
      </c>
      <c r="BZ137" s="463">
        <f t="shared" si="122"/>
        <v>0</v>
      </c>
      <c r="CA137" s="57">
        <f t="shared" si="150"/>
        <v>0</v>
      </c>
      <c r="CB137" s="56">
        <f t="shared" si="123"/>
        <v>1</v>
      </c>
      <c r="CC137" s="756">
        <f>IF(EE137=0,0,IF(EF137=0,0,IF(EE137&gt;AA137,0,IF(AND(AZ137&gt;AW137,AW137&gt;0),0,IF(CU137=0,0,Summary!AC440)))))</f>
        <v>0</v>
      </c>
      <c r="CD137" s="756">
        <f>IF(EE137=0,0,IF(EF137=0,0,IF(EE137&gt;AA137,0,IF(AND(AZ137&gt;AW137,AW137&gt;0),0,IF(CU137=0,0,Summary!AD440)))))</f>
        <v>0</v>
      </c>
      <c r="CE137" s="756">
        <f>IF(EF137=0,0,IF(EE137&gt;AA137,0,IF(CC137=0,0,IF(AND(AZ137&gt;AW137,AW137&gt;0),0,IF(CU137=0,0,Summary!AE440)))))</f>
        <v>0</v>
      </c>
      <c r="CF137" s="475">
        <f t="shared" si="124"/>
        <v>0</v>
      </c>
      <c r="CG137" s="476">
        <f t="shared" ref="CG137:CG200" si="169">IF(CV137&lt;0,0,IF(DA137=0,0,AR137))</f>
        <v>0</v>
      </c>
      <c r="CH137" s="487">
        <f t="shared" si="125"/>
        <v>0</v>
      </c>
      <c r="CI137" s="756">
        <f t="shared" si="126"/>
        <v>0</v>
      </c>
      <c r="CJ137" s="487">
        <f>IF(CT137&gt;0.4,0,IF(AND(AU137=2,CH137=0,CT137=0.5,ER137=100),35,IF(AND(AU137=3,BB137&gt;75,CH137=0,CT137=0.5,ER137=100),25,IF(CB137&gt;1,0,IF(EF137&gt;EE137,0,IF(AND(AF137&gt;1,CH137=100),0,IF(AND(AF137=1,AY137=0),0,IF(AND(EF137&lt;=EE137,AW137&gt;=AZ137,'Data Entry'!$C$74=1,AU137=2),VLOOKUP(W137,$DO$96:$DP$102,2,FALSE),IF(AND(EF137&lt;=EE137,AW137&gt;=AZ137,AU137=3,'Data Entry'!$C$74=1),VLOOKUP(W137,$DO$127:$DP$134,2,FALSE))))))))))</f>
        <v>0</v>
      </c>
      <c r="CK137" s="716">
        <f t="shared" si="127"/>
        <v>0</v>
      </c>
      <c r="CL137" s="57">
        <f t="shared" si="128"/>
        <v>0</v>
      </c>
      <c r="CM137" s="475">
        <f t="shared" si="154"/>
        <v>0</v>
      </c>
      <c r="CN137" s="660">
        <f>IF(CM137&lt;0.1,0,IF(ISNA(AT137),0,IF(CL137+BC137=1,0,IF(BV137&gt;0.01,0,IF(CL137&gt;0.01,0,IF(CF137=1,0,IF(BC137=0.5,0,IF(AND(CI137=1,AU137=3),0,IF(AND(CI137=5,CL137=0),0,IF(AND(R137=12,BR137=50),0,IF(CK137&gt;0.01,0,IF(AND(AJ137&gt;0.01,AU137=2,BC137=15),CM137*0.1,IF(AND(AJ137&gt;0.01,AU137=3,BC137=15),CM137*0.08,IF(AND(R137=12,BC137=3,AF137&lt;=0),0,IF(AND(BC137=15,BI137=0),0,IF(AND(BC137=15,BJ137=0),0,IF(AND(R137=20,CU137=0),0,IF($X$4=0,0,IF(AND(BC137=250,CL137=0),0,IF(AA137&lt;1,0,IF(AND(ISNUMBER(SEARCH("Area",T137)),AU137=3),0,IF(AND(AQ137&gt;0.01,AR137=0,BK137=0,BL137=0,BM137=0,BN137=0),0,IF(AND(AU137=3,CI137=7,CT137&gt;0.5),0,IF(AND(BC137=44,AU137=3,BY137=0),0,IF(AND(BC137=27,'Data Entry'!$C$74=2),0,IF(AND(BC137=28,'Data Entry'!$C$74=2),0,IF(AND(BY137+BZ137+CA137&gt;0.01,BV137=0,EQ137+ER137+ES137+ET137&lt;100),0,IF(AU137=3,CM137*0.08,IF(AU137=2,CM137*0.1,0)))))))))))))))))))))))))))))</f>
        <v>0</v>
      </c>
      <c r="CO137" s="660">
        <f t="shared" si="129"/>
        <v>0</v>
      </c>
      <c r="CP137" s="475" t="str">
        <f t="shared" si="130"/>
        <v/>
      </c>
      <c r="CQ137" s="161" t="str">
        <f>IF(AH137=0,0,IF(AU137=5,0,Summary!AC140))</f>
        <v/>
      </c>
      <c r="CR137" s="161" t="str">
        <f>IF(BF137=0.5,0,IF(AU137=5,0,Summary!AD140))</f>
        <v/>
      </c>
      <c r="CS137" s="161" t="str">
        <f>IF(AU137=5,0,Summary!AE140)</f>
        <v/>
      </c>
      <c r="CT137" s="161">
        <f t="shared" si="131"/>
        <v>0</v>
      </c>
      <c r="CU137" s="475" t="str">
        <f t="shared" si="132"/>
        <v/>
      </c>
      <c r="CV137" s="307">
        <f>IF('Data Entry'!$C$74=0,0,IF(AA137&lt;1,0,IF(ISERROR(CU137),0,IF(CF137=1,0,IF(AND(R137=12,BR137=50),0,IF(CL137+BO137+BV137+DC137=0,0,IF(BC137=37,0,IF(AND(BC137=40,AJ137=0),0,IF(AND(BC137=37,BO137&gt;0.01,BQ137&gt;0.01),ROUND(BQ137,0),IF(CM137&lt;0,0,ROUND(CM137,0)))))))))))</f>
        <v>0</v>
      </c>
      <c r="CW137" s="700">
        <f t="shared" si="133"/>
        <v>0</v>
      </c>
      <c r="CX137" s="477">
        <f>IF('Data Entry'!$C$74=0,0,IF(CV137&lt;0.01,0,IF(BF137=0.5,0,IF(CF137=1,0,IF(ISNUMBER(SEARCH("false",CL137)),0,IF(AZ137=500,0,CL137))))))</f>
        <v>0</v>
      </c>
      <c r="CY137" s="147" t="e">
        <f t="shared" si="134"/>
        <v>#VALUE!</v>
      </c>
      <c r="CZ137" s="147" t="b">
        <f>IF(CN137+CL137=0,FALSE,IF(AH137=0,0,IF(AND('Data Entry'!$C$74=1,CR137&gt;=1),TRUE,IF(AND('Data Entry'!$C$74=2,CS137&gt;=1),TRUE,FALSE))))</f>
        <v>0</v>
      </c>
      <c r="DA137" s="1751">
        <f>IF('Data Entry'!$C$74=0,0,IFERROR(ROUND(IF(T137="","",IF($X$4=0,0,IF(CF137=1,0,IF(BQ137+CV137=0,0,IF(CF137=1,0,IF(CY137&gt;0.01,CY137,IF(CL137&gt;0.01,CL137,IF(CY137&gt;0.01,CY137,IF(BC137=37,BO137,IF(CZ137=FALSE,0,IF(CZ137=TRUE,DC137+DF137,0))))))))))),2),""))</f>
        <v>0</v>
      </c>
      <c r="DB137" s="1752"/>
      <c r="DC137" s="474">
        <f>IF(CN137&lt;0.01,0,IF(AND(BR137=3,CN137&gt;0.01,CT137&gt;0.6,ER137+ES137+ET137&lt;100),0,IF(AND('Data Entry'!$C$74=1,CN137&gt;0.01,CR137&gt;0.99),MIN(CN137:CO137),IF(AND('Data Entry'!$C$74=2,CN137&gt;0.01,CS137&gt;0.99),MIN(CN137:CO137),0))))</f>
        <v>0</v>
      </c>
      <c r="DD137" s="478">
        <f>IF(CF137=1,"Selection does not match",IF(T137=0,0,IF(AND('Data Entry'!$C$74=0,CP137&gt;1),"Select Oregon or Idaho on Data Entry Tab",IF(AND(AU137=1,AA137&gt;0.9),"Missing Interior or Exterior Selection",IF($X$4=0,"Enter Total Project Cost",IF(AQ137&lt;AR137,"Insufficient kWh savings – no incentive",IF(AND(SUM(CL137+CK137+BV137)&gt;0.01,'Data Entry'!$C$74=2,CJ137&gt;1,BO137=0),"Submit Control as Non-Standard",IF(AND('Data Entry'!$C$74=2,BR137=37,CJ137&gt;1,BO137=0),"Submit Control as Non-Standard",IF(SUM(CL137+CK137+BV137)&gt;0.01,"Standard Incentive",IF(AND('Data Entry'!$C$74=2,CP137=7,CN137=0),"Submit as Non-Standard",IF(DC137&gt;0.9,"Non-Standard Incentive",IF(AND(BY137+BZ137+CA137&gt;0.01,BV137=0,EQ137=0,ER137=0,ES137=0,ET137=0),"Scroll Right &amp; Select Control Strategies",IF(AND(CN137&gt;0.01,CO137=0),"Enter Unit Installed Cost",IF(ISNUMBER(SEARCH("Lighting Controls Only",F137)),"Lighting Controls Only",IF(CL137+DC137=0,"Does not meet incentive criteria",0)))))))))))))))</f>
        <v>0</v>
      </c>
      <c r="DE137" s="337">
        <f t="shared" si="135"/>
        <v>0</v>
      </c>
      <c r="DF137" s="609">
        <f t="shared" si="136"/>
        <v>0</v>
      </c>
      <c r="DG137" s="336" t="str">
        <f t="shared" si="137"/>
        <v/>
      </c>
      <c r="DH137" s="338">
        <f t="shared" si="138"/>
        <v>1</v>
      </c>
      <c r="DI137" s="336" t="e">
        <f t="shared" ref="DI137:DI200" si="170">Q137*N137</f>
        <v>#VALUE!</v>
      </c>
      <c r="DJ137" s="338">
        <f t="shared" ref="DJ137:DJ200" si="171">IF(DC137&gt;0.01,AL137,0)</f>
        <v>0</v>
      </c>
      <c r="DK137" s="325" t="s">
        <v>80</v>
      </c>
      <c r="DL137" s="341">
        <v>119</v>
      </c>
      <c r="DM137" s="325" t="s">
        <v>139</v>
      </c>
      <c r="DN137" s="1123">
        <v>12</v>
      </c>
      <c r="DO137" s="331"/>
      <c r="DP137" s="332"/>
      <c r="DQ137" s="361"/>
      <c r="DR137" s="357"/>
      <c r="DS137" s="1195">
        <f t="shared" si="139"/>
        <v>0</v>
      </c>
      <c r="DT137" s="344" t="b">
        <f t="shared" si="140"/>
        <v>1</v>
      </c>
      <c r="DU137" s="1314" t="str">
        <f t="array" ref="DU137">IF(OR(COUNTIF(F137,"*"&amp;$DK$9:$DK$178&amp;"*")), "Yes", "")</f>
        <v/>
      </c>
      <c r="DV137" s="1314">
        <f t="shared" si="141"/>
        <v>0</v>
      </c>
      <c r="DW137" s="1480">
        <f t="shared" si="142"/>
        <v>0</v>
      </c>
      <c r="DX137" s="1498">
        <f t="shared" si="151"/>
        <v>0</v>
      </c>
      <c r="DY137" s="1484">
        <f t="shared" si="143"/>
        <v>0</v>
      </c>
      <c r="DZ137" s="331"/>
      <c r="EA137" s="392"/>
      <c r="EB137" s="1499" t="s">
        <v>73</v>
      </c>
      <c r="EC137" s="727" t="s">
        <v>1568</v>
      </c>
      <c r="ED137" s="728">
        <v>0.5</v>
      </c>
      <c r="EE137" s="1215"/>
      <c r="EF137" s="1215"/>
      <c r="EG137" s="1184" t="str">
        <f t="shared" si="144"/>
        <v/>
      </c>
      <c r="EH137" s="55"/>
      <c r="EI137" s="55"/>
      <c r="EJ137" s="1185">
        <f t="shared" ref="EJ137:EJ200" si="172">IF(ISNUMBER(SEARCH("-C",M137)),VLOOKUP(M137,$DM$181:$DN$192,2,FALSE),0)</f>
        <v>0</v>
      </c>
      <c r="EK137" s="1211"/>
      <c r="EL137" s="1180">
        <f t="shared" ref="EL137:EL200" si="173">IF(CV137&lt;0,0,IF(DA137=0,0,IF(DD137="Does not meet incentive criteria",0,AQ137)))</f>
        <v>0</v>
      </c>
      <c r="EM137" s="206"/>
      <c r="EN137" s="1038"/>
      <c r="EO137" s="1038"/>
      <c r="EP137" s="1038"/>
      <c r="EQ137" s="1038">
        <f t="shared" si="145"/>
        <v>0</v>
      </c>
      <c r="ER137" s="1041">
        <f t="shared" si="146"/>
        <v>0</v>
      </c>
      <c r="ES137" s="1042">
        <f t="shared" si="147"/>
        <v>0</v>
      </c>
      <c r="ET137" s="1042">
        <f t="shared" si="152"/>
        <v>0</v>
      </c>
      <c r="EU137" s="1021">
        <f t="shared" si="153"/>
        <v>0</v>
      </c>
      <c r="EV137" s="368"/>
      <c r="EW137" s="368"/>
      <c r="EX137" s="369"/>
      <c r="EY137" s="370"/>
      <c r="EZ137" s="370"/>
      <c r="FA137" s="371"/>
      <c r="FB137" s="372"/>
    </row>
    <row r="138" spans="1:158" ht="34.5" customHeight="1">
      <c r="A138" s="82">
        <v>130</v>
      </c>
      <c r="B138" s="1725"/>
      <c r="C138" s="1726"/>
      <c r="D138" s="1726"/>
      <c r="E138" s="1727"/>
      <c r="F138" s="1732"/>
      <c r="G138" s="1733"/>
      <c r="H138" s="1733"/>
      <c r="I138" s="1734"/>
      <c r="J138" s="1341"/>
      <c r="K138" s="1728"/>
      <c r="L138" s="1728"/>
      <c r="M138" s="1342"/>
      <c r="N138" s="1583"/>
      <c r="O138" s="208" t="str">
        <f t="shared" si="160"/>
        <v/>
      </c>
      <c r="P138" s="785"/>
      <c r="Q138" s="39" t="str">
        <f t="shared" si="161"/>
        <v/>
      </c>
      <c r="R138" s="39">
        <f t="shared" ref="R138:R201" si="174">IF(F138="Other (Provide Description)",1,IF(ISNUMBER(SEARCH("interior",T138)),2,(IF(ISNUMBER(SEARCH("exterior",T138)),3,IF(ISNUMBER(SEARCH("Case",F138)),20,IF(ISNUMBER(SEARCH("Relamp",F138)),250,IF(ISNUMBER(SEARCH("T12",F138)),11,IF(ISNUMBER(SEARCH("T8",F138)),12,IF(ISNUMBER(SEARCH("T5",F138)),12,IF(ISNUMBER(SEARCH("exit",F138)),10,0))))))))))</f>
        <v>0</v>
      </c>
      <c r="S138" s="234">
        <f t="shared" ref="S138:S201" si="175">IF(ISERROR(AO138*AH138),0,AQ138)</f>
        <v>0</v>
      </c>
      <c r="T138" s="1755"/>
      <c r="U138" s="1755"/>
      <c r="V138" s="1755"/>
      <c r="W138" s="1345"/>
      <c r="X138" s="1741"/>
      <c r="Y138" s="1742"/>
      <c r="Z138" s="1346"/>
      <c r="AA138" s="1343"/>
      <c r="AB138" s="1141"/>
      <c r="AC138" s="1103" t="str">
        <f>IF(T138="","",VLOOKUP(Z138,Lists!$A$60:$B$111,2,FALSE))</f>
        <v/>
      </c>
      <c r="AD138" s="130" t="str">
        <f t="shared" ref="AD138:AD201" si="176">IF(T138="","",VLOOKUP(T138,$DQ$8:$DR$52,2,FALSE))</f>
        <v/>
      </c>
      <c r="AE138" s="130" t="e">
        <f t="shared" ref="AE138:AE201" si="177">SUM(AA138*AD138)</f>
        <v>#VALUE!</v>
      </c>
      <c r="AF138" s="130">
        <f t="shared" ref="AF138:AF201" si="178">IF(ISNUMBER(SEARCH("wall",W138)),4,IF(ISNUMBER(SEARCH("ceiling",W138)),5,IF(ISNUMBER(SEARCH("Fixture",W138)),1.5,IF(ISNUMBER(SEARCH("Daylight",W138)),1.6,IF(ISNUMBER(SEARCH("equip",W138)),2,IF(AND(W138="Non-Standard Control",AU138=2),2.5,IF(AND(W138="Non-standard Control",AU138=3),3,1)))))))</f>
        <v>1</v>
      </c>
      <c r="AG138" s="234">
        <f t="shared" si="162"/>
        <v>0</v>
      </c>
      <c r="AH138" s="1753" t="str">
        <f>IF(T138="","",(IF(ISNUMBER(SEARCH("exit",T138)),8760,IF(AND(M138="Dusk to Dawn",'Proposed Lighting'!AU138=3),4059,IF(AND(AU138=3,M138="1"),0,IF(AND(AU138=3,M138="1-C"),0,IF(AND(AU138=3,M138="2"),0,IF(AND(AU138=3,M138="2-C"),0,IF(AND(AU138=3,M138="3"),0,IF(AND(AU138=3,M138="3-C"),0,IF(AND(AU138=2,M138="Dusk to Dawn"),0,IF(AND(AU138=2,M138="Dusk to Dawn-C"),0,IF(AND(AU138=2,M138="Dusk to Dawn"),0,IF(AND(AU138=2,M138="E"),0,IF(AND(AU138=2,M138="E-C"),0,EG138)))))))))))))))</f>
        <v/>
      </c>
      <c r="AI138" s="1754"/>
      <c r="AJ138" s="1136"/>
      <c r="AK138" s="1136"/>
      <c r="AL138" s="1748">
        <f t="shared" ref="AL138:AL201" si="179">IFERROR(ROUND(IF(ISNUMBER(SEARCH("Additional",T138)),AA138*AJ138+BA138,IF(N138=0,0,IF(AU138=1,0,SUM(AA138*AJ138+BA138)))),2),"")</f>
        <v>0</v>
      </c>
      <c r="AM138" s="1749"/>
      <c r="AN138" s="1750"/>
      <c r="AO138" s="476">
        <f t="shared" si="163"/>
        <v>0</v>
      </c>
      <c r="AP138" s="476">
        <f t="shared" ref="AP138:AP201" si="180">IF(ISBLANK(T138),0,AT138*AA138/1000)</f>
        <v>0</v>
      </c>
      <c r="AQ138" s="475">
        <f t="shared" si="164"/>
        <v>0</v>
      </c>
      <c r="AR138" s="475">
        <f t="shared" ref="AR138:AR201" si="181">IF(ISNUMBER(SEARCH("controls",F138)),0,IF(ISNA(AP138),0,IF(AU138=1,0,IF(AQ138=0,0,IF(AND(AU138=2,EJ138&gt;0.01),AP138*EJ138,AP138*AH138)))))</f>
        <v>0</v>
      </c>
      <c r="AS138" s="743" t="str">
        <f t="shared" si="156"/>
        <v/>
      </c>
      <c r="AT138" s="736" t="str">
        <f t="shared" ref="AT138:AT201" si="182">IF(ISNUMBER(SEARCH("Permanent",T138)),0,IF(ISBLANK(AC138),0,AC138))</f>
        <v/>
      </c>
      <c r="AU138" s="56">
        <f t="shared" ref="AU138:AU201" si="183">IF(ISNUMBER(SEARCH("interior",K138)),2,(IF(ISNUMBER(SEARCH("exterior",K138)),3,1)))</f>
        <v>1</v>
      </c>
      <c r="AV138" s="476">
        <f t="shared" ref="AV138:AV201" si="184">IF(W138=0,0,IF(AU138=2,VLOOKUP(W138,$DO$56:$DP$66,2,FALSE),IF(AU138=3,VLOOKUP(W138,$DO$68:$DP$78,2,FALSE))))</f>
        <v>0</v>
      </c>
      <c r="AW138" s="56">
        <f t="shared" ref="AW138:AW201" si="185">IF(CT138&gt;0.4,AT138*AA138,IF(EF138=0,0,IF(W138=0,0,IF(AND(AV138&gt;0.01,DS138&lt;2),0,IF(AH138=0,0,SUM(EE138*AT138)/EF138)))))</f>
        <v>0</v>
      </c>
      <c r="AX138" s="475">
        <f t="shared" si="165"/>
        <v>0</v>
      </c>
      <c r="AY138" s="1169">
        <f t="shared" ref="AY138:AY201" si="186">IF(AX138=0,0,IF(W138="","",EE138*AT138*(CU138*(1-AV138)/1000)))</f>
        <v>0</v>
      </c>
      <c r="AZ138" s="1150">
        <f t="shared" si="148"/>
        <v>0</v>
      </c>
      <c r="BA138" s="56">
        <f t="shared" si="166"/>
        <v>0</v>
      </c>
      <c r="BB138" s="420">
        <f t="shared" si="167"/>
        <v>0</v>
      </c>
      <c r="BC138" s="58" t="str">
        <f t="shared" si="168"/>
        <v/>
      </c>
      <c r="BD138" s="660">
        <f t="shared" si="149"/>
        <v>0</v>
      </c>
      <c r="BE138" s="57" t="e">
        <f t="array" ref="BE138">INDEX($EB$11:$ED$1022,MATCH(F138&amp;T138,$EB$11:$EB$1007&amp;$EC$11:$EC$1007,0),3)</f>
        <v>#N/A</v>
      </c>
      <c r="BF138" s="463">
        <f t="shared" si="157"/>
        <v>0</v>
      </c>
      <c r="BG138" s="1445" t="e">
        <f t="array" ref="BG138">INDEX($DO$112:$DQ$123,MATCH(T138&amp;W138,$DO$114:$DO$125&amp;$DP$112:$DP$123,0),3)</f>
        <v>#N/A</v>
      </c>
      <c r="BH138" s="1446">
        <f t="shared" ref="BH138:BH201" si="187">IF(ISNA(BG138),0,BG138)</f>
        <v>0</v>
      </c>
      <c r="BI138" s="465">
        <f t="shared" ref="BI138:BI201" si="188">IF(AND(BC138=15,BR138=500),(N138*AS138-AA138*AT138)*0.26,0)</f>
        <v>0</v>
      </c>
      <c r="BJ138" s="465">
        <f t="shared" ref="BJ138:BJ201" si="189">IF(BC138=10,(N138*AS138-AA138*AT138)*0.12,0)</f>
        <v>0</v>
      </c>
      <c r="BK138" s="466">
        <f t="shared" si="158"/>
        <v>0</v>
      </c>
      <c r="BL138" s="466">
        <f t="shared" si="159"/>
        <v>0</v>
      </c>
      <c r="BM138" s="466">
        <f t="shared" ref="BM138:BM201" si="190">IF(ISNUMBER(SEARCH("removal",T138)),AND(AS138&gt;49,AS138&lt;300,AU138=3)*20,0)</f>
        <v>0</v>
      </c>
      <c r="BN138" s="466">
        <f t="shared" ref="BN138:BN201" si="191">IF(ISNUMBER(SEARCH("removal",T138)),AND(AS138&gt;299,AU138=3)*30,0)</f>
        <v>0</v>
      </c>
      <c r="BO138" s="463">
        <f>IF('Data Entry'!$C$74=0,0,IF(ISNA(CJ138),0,IF(AX138=0,0,IF(AND('Data Entry'!$C$74=2,AF138&gt;2,CE138&lt;1),0,IF(AND('Data Entry'!$C$74=2,AF138&gt;1,AU138=2,CJ138&gt;1),0,IF(AND(AF138=5,CT138=0.5,AU138=2,ER138&lt;100),0,IF(AND(AF138=5,CT138=0.5,AU138=3,ER138&lt;100),0,IF(AND('Data Entry'!$C$74=2,AF138=2,AU138=2,AK138&gt;0.01,CB138=2,CE138&lt;1),0,IF(AND('Data Entry'!$C$74=2,AF138=3,AU138=3,AK138&gt;0.01,CB138=3,CE138&lt;1),0,IF(AND('Data Entry'!$C$74=2,AF138=3,AU138=3,AK138&gt;0.01,CB138=3,CE138&gt;0.99),BQ138*0.08,IF(AND('Data Entry'!$C$74=2,AF138=2,AU138=2,AK138&gt;0.01,CB138=2,CE138&gt;0.99),BQ138*0.1,IF(AND(AU138=2,AK138&gt;0.01,CB138=2,CD138&gt;1),BQ138*0.1,IF(AND(AU138=3,AK138&gt;0.01,CB138=3,CD138&gt;1),BQ138*0.08,CJ138*EF138)))))))))))))</f>
        <v>0</v>
      </c>
      <c r="BP138" s="475">
        <f t="shared" ref="BP138:BP201" si="192">IF(AND(BO138&gt;0.1,CB138=1,EF138&gt;0.5),EF138,0)</f>
        <v>0</v>
      </c>
      <c r="BQ138" s="1431">
        <f>IF(AU138=1,0,IF(CH138=100,0,IF(AND(AF138=3,AU138=2),0,IF(AND(BH138=0,CT138&gt;0.4),0,IF(AND('Data Entry'!$C$74=2,AF138=1.5),0,IF(AND('Data Entry'!$C$74=2,AF138=1.6),0,IF(AND('Data Entry'!$C$74=2,AF138=4),0,IF(AND('Data Entry'!$C$74=2,AF138=5),0,IF(AND('Data Entry'!$C$74=2,AF138=2.5,CE138&lt;1),0,IF(AND('Data Entry'!$C$74=2,AF138=3,CE138&lt;1),0,IF(AND('Data Entry'!$C$74=1,AF138=2.5,CD138&lt;1),0,IF(AND('Data Entry'!$C$74=1,AF138=3,CD138&lt;1),0,IF(DX138&gt;0.01,DX138,IF(ISERROR(AX138-AY138),"",ROUND(AX138-AY138,2)))))))))))))))</f>
        <v>0</v>
      </c>
      <c r="BR138" s="146">
        <f t="shared" ref="BR138:BR201" si="193">IF(ISNUMBER(SEARCH("vapor",F138)),500,IF(ISNUMBER(SEARCH("halide",F138)),500,IF(ISNUMBER(SEARCH("pressure",F138)),500,IF(ISNUMBER(SEARCH("HID",F138)),500,IF(ISNUMBER(SEARCH("LED",F138)),3,IF(ISNUMBER(SEARCH("Only",F138)),37,IF(ISNUMBER(SEARCH("T8",T138)),50,IF(ISNUMBER(SEARCH("other",F138)),1,IF(AND(BA138&gt;0.1,BB138=0),5,IF(ISNA(BB138),0,0))))))))))</f>
        <v>0</v>
      </c>
      <c r="BS138" s="475">
        <f t="shared" ref="BS138:BS201" si="194">IF(N138=0,0,IF(ISNA(AP138),0,IF(AND(AU138=1,AO138&gt;0.01,AP138&gt;0.01),0,N138)))</f>
        <v>0</v>
      </c>
      <c r="BT138" s="146" t="b">
        <f t="shared" ref="BT138:BT201" si="195">IF(R138=20,VLOOKUP(F138,$DM$178:$DN$179,2,FALSE))</f>
        <v>0</v>
      </c>
      <c r="BU138" s="463">
        <f>IF(ISNA(AT138),0,IF(AND('Data Entry'!$C$74=2,BC138=27),0,IF(AND('Data Entry'!$C$74=2,BC138=28),0,IF(AND(BC138=27,BT138=27,CM138&gt;0.1),CM138*0.15,IF(AND(BC138=28,BT138=28,CM138&gt;0.1),CM138*0.12,0)))))</f>
        <v>0</v>
      </c>
      <c r="BV138" s="463">
        <f t="shared" si="155"/>
        <v>0</v>
      </c>
      <c r="BW138" s="463">
        <f t="shared" ref="BW138:BW201" si="196">IF(AND(BC138=20,AU138=2,CM138&gt;0.01),CM138*0.1,IF(AND(BC138=20,AU138=3,CM138&gt;0.01),CM138*0.1,IF(AND(BC138=30,AU138=2,CM138&gt;0.01,CT138=0),CM138*0.14,IF(AND(BC138=30,AU138=3,CM138&gt;0.01,CT138=0),CM138*0.14,0))))</f>
        <v>0</v>
      </c>
      <c r="BX138" s="463">
        <f t="shared" ref="BX138:BX201" si="197">IF(CT138&gt;0.4,0,IF(AND(BC138=21,AU138=2,CM138&gt;0.01),CM138*0.22,IF(AND(BC138=21,AU138=3,CM138&gt;0.01),CM138*0.22,0)))</f>
        <v>0</v>
      </c>
      <c r="BY138" s="463">
        <f t="shared" ref="BY138:BY201" si="198">IF(AND(BH138=44,AU138=3,CM138&gt;0.01),SUM(BQ138+CM138)*0.17,IF(AND(BH138=44,AU138=2,CM138&gt;0.01),SUM(BQ138+CM138)*0.17,IF(AND(BH138=22,AU138=2,CM138&gt;0.01),SUM(BQ138+CM138)*0.25,IF(AND(BH138=22,AU138=3,CM138&gt;0.01),SUM(BQ138+CM138)*0.25,0))))</f>
        <v>0</v>
      </c>
      <c r="BZ138" s="463">
        <f t="shared" ref="BZ138:BZ201" si="199">IF(AND(BH138=46,AU138=3,CM138&gt;0.01),SUM(BQ138+CM138)*0.19,IF(AND(BH138=46,AU138=2,CM138&gt;0.01),SUM(BQ138+CM138)*0.19,IF(AND(BH138=23,AU138=2,CM138&gt;0.01),SUM(BQ138+CM138)*0.27,IF(AND(BH138=23,AU138=3,CM138&gt;0.01),SUM(BQ138+CM138)*0.27,0))))</f>
        <v>0</v>
      </c>
      <c r="CA138" s="57">
        <f t="shared" si="150"/>
        <v>0</v>
      </c>
      <c r="CB138" s="56">
        <f t="shared" ref="CB138:CB201" si="200">IF(AND(W138="Non-standard Control",AU138=2),2,IF(AND(W138="Non-standard Control",AU138=3),3,1))</f>
        <v>1</v>
      </c>
      <c r="CC138" s="756">
        <f>IF(EE138=0,0,IF(EF138=0,0,IF(EE138&gt;AA138,0,IF(AND(AZ138&gt;AW138,AW138&gt;0),0,IF(CU138=0,0,Summary!AC441)))))</f>
        <v>0</v>
      </c>
      <c r="CD138" s="756">
        <f>IF(EE138=0,0,IF(EF138=0,0,IF(EE138&gt;AA138,0,IF(AND(AZ138&gt;AW138,AW138&gt;0),0,IF(CU138=0,0,Summary!AD441)))))</f>
        <v>0</v>
      </c>
      <c r="CE138" s="756">
        <f>IF(EF138=0,0,IF(EE138&gt;AA138,0,IF(CC138=0,0,IF(AND(AZ138&gt;AW138,AW138&gt;0),0,IF(CU138=0,0,Summary!AE441)))))</f>
        <v>0</v>
      </c>
      <c r="CF138" s="475">
        <f t="shared" ref="CF138:CF201" si="201">IF(BF138=0.5,1,IF(AND(R138=2,AU138=3),1,IF(AND(R138=3,AU138=2),1,IF(AND(R138=250,BC138&lt;250),1,IF(F138="**Fluorescent**",1,IF(F138="**HID**",1,IF(F138="**OTHER**",1,IF(F138="**SIGN LIGHTING**",1,IF(F138="**REFRIGERATION CASE LIGHTING**",1,IF(AND(AU138=2,M138="E-C"),1,IF(AND(AU138=3,M138="Sch 1"),1,IF(AND(AU138=3,M138="Sch 1-C"),1,IF(AND(AU138=3,M138="Sch 2"),1,IF(AND(AU138=3,M138="Sch 2-C"),1,IF(AND(AU138=3,M138="Sch 3"),1,IF(AND(AU138=3,M138="Sch 3-C"),1,IF(AND(AU138=2,M138="E"),1,IF(AND(AU138=2,M138="Dusk to Dawn"),1,IF(AND(AU138=2,M138="Dusk to Dawn-C"),1,IF(AND(DY138=1,BC138&lt;37),1,IF(AND(DY138=1,BC138&gt;37),1,0)))))))))))))))))))))</f>
        <v>0</v>
      </c>
      <c r="CG138" s="476">
        <f t="shared" si="169"/>
        <v>0</v>
      </c>
      <c r="CH138" s="487">
        <f t="shared" ref="CH138:CH201" si="202">IF(M138="Sch 1-C",100,IF(M138="Sch 2-C",100,IF(M138="Sch 3-C",100,IF(M138="E-C", 100,IF(M138="Dusk to Dawn-C", 100,IF(M138="Seasonal-C",100,0))))))</f>
        <v>0</v>
      </c>
      <c r="CI138" s="756">
        <f t="shared" ref="CI138:CI201" si="203">IF(ISNUMBER(SEARCH("removal",T138)),5,IF(ISNUMBER(SEARCH("pin-base LED",T138)),5,IF(ISNUMBER(SEARCH("T5",T138)),5,IF(ISNUMBER(SEARCH("LED Tube",T138)),6,IF(ISNUMBER(SEARCH("Exit sign",T138)),5,IF(ISNUMBER(SEARCH("Level 1",T138)),7,IF(ISNUMBER(SEARCH("25 watt",T138)),1,IF(ISNUMBER(SEARCH("28 watt",T138)),1,0))))))))</f>
        <v>0</v>
      </c>
      <c r="CJ138" s="487">
        <f>IF(CT138&gt;0.4,0,IF(AND(AU138=2,CH138=0,CT138=0.5,ER138=100),35,IF(AND(AU138=3,BB138&gt;75,CH138=0,CT138=0.5,ER138=100),25,IF(CB138&gt;1,0,IF(EF138&gt;EE138,0,IF(AND(AF138&gt;1,CH138=100),0,IF(AND(AF138=1,AY138=0),0,IF(AND(EF138&lt;=EE138,AW138&gt;=AZ138,'Data Entry'!$C$74=1,AU138=2),VLOOKUP(W138,$DO$96:$DP$102,2,FALSE),IF(AND(EF138&lt;=EE138,AW138&gt;=AZ138,AU138=3,'Data Entry'!$C$74=1),VLOOKUP(W138,$DO$127:$DP$134,2,FALSE))))))))))</f>
        <v>0</v>
      </c>
      <c r="CK138" s="716">
        <f t="shared" ref="CK138:CK201" si="204">IF(AND(BC138=25,AU138=2,N138&gt;0.1,AA138&gt;0.1),CM138*0.2,IF(AND(BC138=25,AU138=3,N138&gt;0.1,AA138&gt;0.1),CM138*0.2,0))</f>
        <v>0</v>
      </c>
      <c r="CL138" s="57">
        <f t="shared" ref="CL138:CL201" si="205">IF(AU138=1,0,IF(CF138=1,0,IF(ISNA(AT138),0,IF(AND(R138=20,CU138=0),0,IF(AND(AQ138&gt;0.01,AR138=0,AA138=0),0,IF($X$4=0,0,IF(BR138=3,0,IF(AND(AQ138&gt;0.01,AR138=0,BK138=0,BL138=0,BM138=0,BN138=0),0,SUM(BD138+BF138+BK138+BL138+BM138+BN138+CW138)))))))))</f>
        <v>0</v>
      </c>
      <c r="CM138" s="475">
        <f t="shared" si="154"/>
        <v>0</v>
      </c>
      <c r="CN138" s="660">
        <f>IF(CM138&lt;0.1,0,IF(ISNA(AT138),0,IF(CL138+BC138=1,0,IF(BV138&gt;0.01,0,IF(CL138&gt;0.01,0,IF(CF138=1,0,IF(BC138=0.5,0,IF(AND(CI138=1,AU138=3),0,IF(AND(CI138=5,CL138=0),0,IF(AND(R138=12,BR138=50),0,IF(CK138&gt;0.01,0,IF(AND(AJ138&gt;0.01,AU138=2,BC138=15),CM138*0.1,IF(AND(AJ138&gt;0.01,AU138=3,BC138=15),CM138*0.08,IF(AND(R138=12,BC138=3,AF138&lt;=0),0,IF(AND(BC138=15,BI138=0),0,IF(AND(BC138=15,BJ138=0),0,IF(AND(R138=20,CU138=0),0,IF($X$4=0,0,IF(AND(BC138=250,CL138=0),0,IF(AA138&lt;1,0,IF(AND(ISNUMBER(SEARCH("Area",T138)),AU138=3),0,IF(AND(AQ138&gt;0.01,AR138=0,BK138=0,BL138=0,BM138=0,BN138=0),0,IF(AND(AU138=3,CI138=7,CT138&gt;0.5),0,IF(AND(BC138=44,AU138=3,BY138=0),0,IF(AND(BC138=27,'Data Entry'!$C$74=2),0,IF(AND(BC138=28,'Data Entry'!$C$74=2),0,IF(AND(BY138+BZ138+CA138&gt;0.01,BV138=0,EQ138+ER138+ES138+ET138&lt;100),0,IF(AU138=3,CM138*0.08,IF(AU138=2,CM138*0.1,0)))))))))))))))))))))))))))))</f>
        <v>0</v>
      </c>
      <c r="CO138" s="660">
        <f t="shared" ref="CO138:CO201" si="206">IF(CL138&gt;0.1,0,IF(CN138&gt;0.01,SUM(AA138*AJ138)*0.7,0))</f>
        <v>0</v>
      </c>
      <c r="CP138" s="475" t="str">
        <f t="shared" ref="CP138:CP201" si="207">IF(T138="","",VLOOKUP(T138,$EH$9:$EI$27,2,FALSE))</f>
        <v/>
      </c>
      <c r="CQ138" s="161" t="str">
        <f>IF(AH138=0,0,IF(AU138=5,0,Summary!AC141))</f>
        <v/>
      </c>
      <c r="CR138" s="161" t="str">
        <f>IF(BF138=0.5,0,IF(AU138=5,0,Summary!AD141))</f>
        <v/>
      </c>
      <c r="CS138" s="161" t="str">
        <f>IF(AU138=5,0,Summary!AE141)</f>
        <v/>
      </c>
      <c r="CT138" s="161">
        <f t="shared" ref="CT138:CT201" si="208">IF(ISNUMBER(SEARCH("existing",W138)),0,IF(ISNUMBER(SEARCH("Multiple",W138)),0.5,IF(ISNUMBER(SEARCH("Single",W138)),0.6,IF(ISNUMBER(SEARCH("Networked",W138)),2,(IF(ISNUMBER(SEARCH("LLLC",W138)),3,0))))))</f>
        <v>0</v>
      </c>
      <c r="CU138" s="475" t="str">
        <f t="shared" ref="CU138:CU201" si="209">IF(ISERROR(AQ138),0,IF(ISERROR(AR138),0,IF(AH138&gt;0.01,AH138,0)))</f>
        <v/>
      </c>
      <c r="CV138" s="307">
        <f>IF('Data Entry'!$C$74=0,0,IF(AA138&lt;1,0,IF(ISERROR(CU138),0,IF(CF138=1,0,IF(AND(R138=12,BR138=50),0,IF(CL138+BO138+BV138+DC138=0,0,IF(BC138=37,0,IF(AND(BC138=40,AJ138=0),0,IF(AND(BC138=37,BO138&gt;0.01,BQ138&gt;0.01),ROUND(BQ138,0),IF(CM138&lt;0,0,ROUND(CM138,0)))))))))))</f>
        <v>0</v>
      </c>
      <c r="CW138" s="700">
        <f t="shared" ref="CW138:CW201" si="210">IF(CM138=0,0,IF(CI138=5,0,IF(AND(AQ138&gt;0.01,AR138=0,AA138=0),0,IF(BR138=3,0,IF(CI138=6,AD138*1.5,0)))))</f>
        <v>0</v>
      </c>
      <c r="CX138" s="477">
        <f>IF('Data Entry'!$C$74=0,0,IF(CV138&lt;0.01,0,IF(BF138=0.5,0,IF(CF138=1,0,IF(ISNUMBER(SEARCH("false",CL138)),0,IF(AZ138=500,0,CL138))))))</f>
        <v>0</v>
      </c>
      <c r="CY138" s="147" t="e">
        <f t="shared" ref="CY138:CY201" si="211">IF(CM138&lt;0,0,IF(CM138+CU138=0,0,IF(AT138+BK138+BL138+BM138+BN138=0,0,IF(AND(BV138&gt;0.01,CB138&gt;1),BV138+DF138,IF(BV138&gt;0.01,BV138,IF(AND(CI138=6,CW138&gt;0.01,N138*Q138&gt;=AE138),AE138*1.5,IF(AND(CI138=6,CW138&gt;0.01,Q138=0,CM138&gt;0.01),AE138*1.5,IF(AND(CI138=6,CW138&gt;0.01,CM138&gt;0.01,N138*Q138&lt;AE138),N138*Q138*1.5,IF((AND(CX138&gt;0.01,BC138=38)),CX138*N138,IF((AND(CX138&gt;0.01,N138*Q138&gt;AE138)),CX138*AA138,IF((AND(CX138&gt;0.5,AA138&lt;=N138)),CX138*AA138,IF((AND(CX138&gt;0.5,AA138&gt;N138)),CX138*N138,0))))))))))))</f>
        <v>#VALUE!</v>
      </c>
      <c r="CZ138" s="147" t="b">
        <f>IF(CN138+CL138=0,FALSE,IF(AH138=0,0,IF(AND('Data Entry'!$C$74=1,CR138&gt;=1),TRUE,IF(AND('Data Entry'!$C$74=2,CS138&gt;=1),TRUE,FALSE))))</f>
        <v>0</v>
      </c>
      <c r="DA138" s="1751">
        <f>IF('Data Entry'!$C$74=0,0,IFERROR(ROUND(IF(T138="","",IF($X$4=0,0,IF(CF138=1,0,IF(BQ138+CV138=0,0,IF(CF138=1,0,IF(CY138&gt;0.01,CY138,IF(CL138&gt;0.01,CL138,IF(CY138&gt;0.01,CY138,IF(BC138=37,BO138,IF(CZ138=FALSE,0,IF(CZ138=TRUE,DC138+DF138,0))))))))))),2),""))</f>
        <v>0</v>
      </c>
      <c r="DB138" s="1752"/>
      <c r="DC138" s="474">
        <f>IF(CN138&lt;0.01,0,IF(AND(BR138=3,CN138&gt;0.01,CT138&gt;0.6,ER138+ES138+ET138&lt;100),0,IF(AND('Data Entry'!$C$74=1,CN138&gt;0.01,CR138&gt;0.99),MIN(CN138:CO138),IF(AND('Data Entry'!$C$74=2,CN138&gt;0.01,CS138&gt;0.99),MIN(CN138:CO138),0))))</f>
        <v>0</v>
      </c>
      <c r="DD138" s="478">
        <f>IF(CF138=1,"Selection does not match",IF(T138=0,0,IF(AND('Data Entry'!$C$74=0,CP138&gt;1),"Select Oregon or Idaho on Data Entry Tab",IF(AND(AU138=1,AA138&gt;0.9),"Missing Interior or Exterior Selection",IF($X$4=0,"Enter Total Project Cost",IF(AQ138&lt;AR138,"Insufficient kWh savings – no incentive",IF(AND(SUM(CL138+CK138+BV138)&gt;0.01,'Data Entry'!$C$74=2,CJ138&gt;1,BO138=0),"Submit Control as Non-Standard",IF(AND('Data Entry'!$C$74=2,BR138=37,CJ138&gt;1,BO138=0),"Submit Control as Non-Standard",IF(SUM(CL138+CK138+BV138)&gt;0.01,"Standard Incentive",IF(AND('Data Entry'!$C$74=2,CP138=7,CN138=0),"Submit as Non-Standard",IF(DC138&gt;0.9,"Non-Standard Incentive",IF(AND(BY138+BZ138+CA138&gt;0.01,BV138=0,EQ138=0,ER138=0,ES138=0,ET138=0),"Scroll Right &amp; Select Control Strategies",IF(AND(CN138&gt;0.01,CO138=0),"Enter Unit Installed Cost",IF(ISNUMBER(SEARCH("Lighting Controls Only",F138)),"Lighting Controls Only",IF(CL138+DC138=0,"Does not meet incentive criteria",0)))))))))))))))</f>
        <v>0</v>
      </c>
      <c r="DE138" s="337">
        <f t="shared" ref="DE138:DE201" si="212">IF(AND(B138="",O138="enter input watts"),1,IF(AND(B138="",O138="blackout"),1,IF(AND(ISBLANK(B138),CM138&gt;0.01),1,IF(AND(ISBLANK(B138),CM138&lt;0),1,0))))</f>
        <v>0</v>
      </c>
      <c r="DF138" s="609">
        <f t="shared" ref="DF138:DF201" si="213">IF(AND(DC138&gt;0.01,CB138=1,BO138&gt;0.01),BO138,IF(AND(CB138&gt;1,BO138&lt;DW138),BO138,IF(AND(CB138&gt;1,BO138&gt;DW138),DW138,0)))</f>
        <v>0</v>
      </c>
      <c r="DG138" s="336" t="str">
        <f t="shared" ref="DG138:DG201" si="214">IF(T138="","",(IF(ISNUMBER(SEARCH("exit",T138)),0,(IF(ISNUMBER(SEARCH("LED",T138)),1,IF(ISNUMBER(SEARCH("LED",X138)),1,0))))))</f>
        <v/>
      </c>
      <c r="DH138" s="338">
        <f t="shared" ref="DH138:DH201" si="215">IF(AND(AV138&gt;0.01,BB138&gt;1,BQ138=0),0,IF(AND(AQ138=0,AR138=0),1,0))</f>
        <v>1</v>
      </c>
      <c r="DI138" s="336" t="e">
        <f t="shared" si="170"/>
        <v>#VALUE!</v>
      </c>
      <c r="DJ138" s="338">
        <f t="shared" si="171"/>
        <v>0</v>
      </c>
      <c r="DK138" s="325" t="s">
        <v>81</v>
      </c>
      <c r="DL138" s="341">
        <v>197</v>
      </c>
      <c r="DM138" s="325" t="s">
        <v>140</v>
      </c>
      <c r="DN138" s="1123">
        <v>16</v>
      </c>
      <c r="DO138" s="331"/>
      <c r="DP138" s="332"/>
      <c r="DQ138" s="361"/>
      <c r="DR138" s="357"/>
      <c r="DS138" s="1195">
        <f t="shared" ref="DS138:DS201" si="216">SUM(EE138:EF138)</f>
        <v>0</v>
      </c>
      <c r="DT138" s="344" t="b">
        <f t="shared" ref="DT138:DT201" si="217">ISBLANK(B138)</f>
        <v>1</v>
      </c>
      <c r="DU138" s="1314" t="str">
        <f t="array" ref="DU138">IF(OR(COUNTIF(F138,"*"&amp;$DK$9:$DK$178&amp;"*")), "Yes", "")</f>
        <v/>
      </c>
      <c r="DV138" s="1314">
        <f t="shared" ref="DV138:DV201" si="218">IF(AND(DT138=TRUE,DU138="Yes"),5,0)</f>
        <v>0</v>
      </c>
      <c r="DW138" s="1480">
        <f t="shared" ref="DW138:DW201" si="219">IF(AND(CB138&gt;1,BA138&gt;0.01),BA138*0.7,0)</f>
        <v>0</v>
      </c>
      <c r="DX138" s="1498">
        <f t="shared" si="151"/>
        <v>0</v>
      </c>
      <c r="DY138" s="1484">
        <f t="shared" ref="DY138:DY201" si="220">IF(ISNUMBER(SEARCH("existing equip",W138)),1,0)</f>
        <v>0</v>
      </c>
      <c r="DZ138" s="331"/>
      <c r="EA138" s="392"/>
      <c r="EB138" s="1499" t="s">
        <v>77</v>
      </c>
      <c r="EC138" s="727" t="s">
        <v>1568</v>
      </c>
      <c r="ED138" s="728">
        <v>0.5</v>
      </c>
      <c r="EE138" s="1215"/>
      <c r="EF138" s="1215"/>
      <c r="EG138" s="1184" t="str">
        <f t="shared" ref="EG138:EG201" si="221">IF(M138="","",VLOOKUP(M138,$DM$194:$DN$207,2,FALSE))</f>
        <v/>
      </c>
      <c r="EH138" s="55"/>
      <c r="EI138" s="55"/>
      <c r="EJ138" s="1185">
        <f t="shared" si="172"/>
        <v>0</v>
      </c>
      <c r="EK138" s="1211"/>
      <c r="EL138" s="1180">
        <f t="shared" si="173"/>
        <v>0</v>
      </c>
      <c r="EM138" s="206"/>
      <c r="EN138" s="1038"/>
      <c r="EO138" s="1038"/>
      <c r="EP138" s="1038"/>
      <c r="EQ138" s="1038">
        <f t="shared" ref="EQ138:EQ201" si="222">IF(AND(AU138=2,CT138=0.6,EM138="Yes"),100,IF(AND(AU138=2,CT138=0.6,EN138="Yes"),100,IF(AND(AU138=3,CT138=0.6,EM138="Yes"),100,0)))</f>
        <v>0</v>
      </c>
      <c r="ER138" s="1041">
        <f t="shared" ref="ER138:ER201" si="223">IF(AND(AF138=5,AU138=2,EM138="Yes",EN138="Yes"),100,IF(AND(AF138=5,AU138=2,EM138="Yes",EO138="Yes"),100,IF(AND(AF138=5,AU138=2,EM138="Yes",EP138="Yes"),100,IF(AND(AF138=5,AU138=2,EM138="Yes",EQ138="Yes"),100,IF(AND(AF138=5,AU138=2,EN138="Yes",EP138="Yes"),100,IF(AND(BR138=3,AU138=2,CT138=1,EM138="Yes",EN138="Yes"),100,IF(AND(BR138=3,AU138=2,CT138=1,EM138="Yes",EO138="Yes"),100,IF(AND(BR138=3,AU138=2,CT138=1,EM138="Yes",EP138="Yes"),100,IF(AND(BR138=3,AU138=2,CT138=1,EM138="Yes",EQ138="Yes"),100,IF(AND(BR138=3,AU138=2,CT138=1,EN138="Yes",EP138="Yes"),100,IF(AND(AU138=2,BZ138&gt;0.01,EM138="Yes",EN138="Yes"),100,IF(AND(AU138=2,BZ138&gt;0.01,EM138="Yes",EO138="Yes"),100,IF(AND(AU138=2,BZ138&gt;0.01,EM138="Yes",EP138="Yes"),100,IF(AND(AU138=2,BZ138&gt;0.01,EM138="Yes",EQ138="Yes"),100,IF(AND(AU138=2,BZ138&gt;0.01,EN138="Yes",EP138="Yes"),100,IF(AND(AU138=2,BZ138&gt;0.01,EN138="Yes",EQ138="Yes"),100,IF(AND(AU138=3,BZ138&gt;0.01,EM138="Yes",EP138="Yes"),100,IF(AND(AF138=5,AU138=3,EM138="Yes",EP138="Yes"),100,IF(AND(AF138=5,AU138=2,CT138=0.5,EM138="Yes",EN138="Yes"),100,0)))))))))))))))))))</f>
        <v>0</v>
      </c>
      <c r="ES138" s="1042">
        <f t="shared" ref="ES138:ES201" si="224">IF(AND(AU138=2,CA138&gt;0.01,CT138=3,EM138="Yes",EN138="Yes"),100,IF(AND(AU138=2,CA138&gt;0.01,CT138=3,EM138="Yes",EO138="Yes"),100,IF(AND(AU138=2,CA138&gt;0.01,CT138=3,EM138="Yes",EP138="Yes"),100,IF(AND(AU138=2,CA138&gt;0.01,CT138=3,EN138="Yes",EP138="Yes"),100,IF(AND(AU138=3,CA138&gt;0.01,CT138=3,EM138="Yes",EO138="Yes"),100,IF(AND(AU138=3,CA138&gt;0.01,CT138=3,EM138="Yes",EP138="Yes"),100,0))))))</f>
        <v>0</v>
      </c>
      <c r="ET138" s="1042">
        <f t="shared" si="152"/>
        <v>0</v>
      </c>
      <c r="EU138" s="1021">
        <f t="shared" si="153"/>
        <v>0</v>
      </c>
      <c r="EV138" s="368"/>
      <c r="EW138" s="368"/>
      <c r="EX138" s="369"/>
      <c r="EY138" s="370"/>
      <c r="EZ138" s="370"/>
      <c r="FA138" s="371"/>
      <c r="FB138" s="372"/>
    </row>
    <row r="139" spans="1:158" ht="34.5" customHeight="1">
      <c r="A139" s="82">
        <v>131</v>
      </c>
      <c r="B139" s="1725"/>
      <c r="C139" s="1726"/>
      <c r="D139" s="1726"/>
      <c r="E139" s="1727"/>
      <c r="F139" s="1732"/>
      <c r="G139" s="1733"/>
      <c r="H139" s="1733"/>
      <c r="I139" s="1734"/>
      <c r="J139" s="1341"/>
      <c r="K139" s="1728"/>
      <c r="L139" s="1728"/>
      <c r="M139" s="1342"/>
      <c r="N139" s="1583"/>
      <c r="O139" s="208" t="str">
        <f t="shared" si="160"/>
        <v/>
      </c>
      <c r="P139" s="785"/>
      <c r="Q139" s="39" t="str">
        <f t="shared" si="161"/>
        <v/>
      </c>
      <c r="R139" s="39">
        <f t="shared" si="174"/>
        <v>0</v>
      </c>
      <c r="S139" s="234">
        <f t="shared" si="175"/>
        <v>0</v>
      </c>
      <c r="T139" s="1755"/>
      <c r="U139" s="1755"/>
      <c r="V139" s="1755"/>
      <c r="W139" s="1345"/>
      <c r="X139" s="1741"/>
      <c r="Y139" s="1742"/>
      <c r="Z139" s="1346"/>
      <c r="AA139" s="1343"/>
      <c r="AB139" s="1141"/>
      <c r="AC139" s="1103" t="str">
        <f>IF(T139="","",VLOOKUP(Z139,Lists!$A$60:$B$111,2,FALSE))</f>
        <v/>
      </c>
      <c r="AD139" s="130" t="str">
        <f t="shared" si="176"/>
        <v/>
      </c>
      <c r="AE139" s="130" t="e">
        <f t="shared" si="177"/>
        <v>#VALUE!</v>
      </c>
      <c r="AF139" s="130">
        <f t="shared" si="178"/>
        <v>1</v>
      </c>
      <c r="AG139" s="234">
        <f t="shared" si="162"/>
        <v>0</v>
      </c>
      <c r="AH139" s="1753" t="str">
        <f>IF(T139="","",(IF(ISNUMBER(SEARCH("exit",T139)),8760,IF(AND(M139="Dusk to Dawn",'Proposed Lighting'!AU139=3),4059,IF(AND(AU139=3,M139="1"),0,IF(AND(AU139=3,M139="1-C"),0,IF(AND(AU139=3,M139="2"),0,IF(AND(AU139=3,M139="2-C"),0,IF(AND(AU139=3,M139="3"),0,IF(AND(AU139=3,M139="3-C"),0,IF(AND(AU139=2,M139="Dusk to Dawn"),0,IF(AND(AU139=2,M139="Dusk to Dawn-C"),0,IF(AND(AU139=2,M139="Dusk to Dawn"),0,IF(AND(AU139=2,M139="E"),0,IF(AND(AU139=2,M139="E-C"),0,EG139)))))))))))))))</f>
        <v/>
      </c>
      <c r="AI139" s="1754"/>
      <c r="AJ139" s="1136"/>
      <c r="AK139" s="1136"/>
      <c r="AL139" s="1748">
        <f t="shared" si="179"/>
        <v>0</v>
      </c>
      <c r="AM139" s="1749"/>
      <c r="AN139" s="1750"/>
      <c r="AO139" s="476">
        <f t="shared" si="163"/>
        <v>0</v>
      </c>
      <c r="AP139" s="476">
        <f t="shared" si="180"/>
        <v>0</v>
      </c>
      <c r="AQ139" s="475">
        <f t="shared" si="164"/>
        <v>0</v>
      </c>
      <c r="AR139" s="475">
        <f t="shared" si="181"/>
        <v>0</v>
      </c>
      <c r="AS139" s="743" t="str">
        <f t="shared" si="156"/>
        <v/>
      </c>
      <c r="AT139" s="736" t="str">
        <f t="shared" si="182"/>
        <v/>
      </c>
      <c r="AU139" s="56">
        <f t="shared" si="183"/>
        <v>1</v>
      </c>
      <c r="AV139" s="476">
        <f t="shared" si="184"/>
        <v>0</v>
      </c>
      <c r="AW139" s="56">
        <f t="shared" si="185"/>
        <v>0</v>
      </c>
      <c r="AX139" s="475">
        <f t="shared" si="165"/>
        <v>0</v>
      </c>
      <c r="AY139" s="1169">
        <f t="shared" si="186"/>
        <v>0</v>
      </c>
      <c r="AZ139" s="1150">
        <f t="shared" ref="AZ139:AZ202" si="225">IF(EE139=0,0,IF(EF139=0,0,IF(BC139=22,0,IF(BC139=23,0,IF(BC139=24,0,IF(BC139=44,0,IF(BC139=46,0,IF(BC139=48,0,IF(AF139&lt;2,0,IF(AND(EE139&gt;0,EF139&gt;0,CB139=3),0,IF(AND(AF139=2,AU139=3),75,VLOOKUP(W139,$DO$80:$DP$85,2,FALSE))))))))))))</f>
        <v>0</v>
      </c>
      <c r="BA139" s="56">
        <f t="shared" si="166"/>
        <v>0</v>
      </c>
      <c r="BB139" s="420">
        <f t="shared" si="167"/>
        <v>0</v>
      </c>
      <c r="BC139" s="58" t="str">
        <f t="shared" si="168"/>
        <v/>
      </c>
      <c r="BD139" s="660">
        <f t="shared" ref="BD139:BD202" si="226">IF(AND(R139=10,AT139&lt;5,AU139=2,BC139=1),40,0)</f>
        <v>0</v>
      </c>
      <c r="BE139" s="57" t="e">
        <f t="array" ref="BE139">INDEX($EB$11:$ED$1022,MATCH(F139&amp;T139,$EB$11:$EB$1007&amp;$EC$11:$EC$1007,0),3)</f>
        <v>#N/A</v>
      </c>
      <c r="BF139" s="463">
        <f t="shared" si="157"/>
        <v>0</v>
      </c>
      <c r="BG139" s="1445" t="e">
        <f t="array" ref="BG139">INDEX($DO$112:$DQ$123,MATCH(T139&amp;W139,$DO$114:$DO$125&amp;$DP$112:$DP$123,0),3)</f>
        <v>#N/A</v>
      </c>
      <c r="BH139" s="1446">
        <f t="shared" si="187"/>
        <v>0</v>
      </c>
      <c r="BI139" s="465">
        <f t="shared" si="188"/>
        <v>0</v>
      </c>
      <c r="BJ139" s="465">
        <f t="shared" si="189"/>
        <v>0</v>
      </c>
      <c r="BK139" s="466">
        <f t="shared" si="158"/>
        <v>0</v>
      </c>
      <c r="BL139" s="466">
        <f t="shared" si="159"/>
        <v>0</v>
      </c>
      <c r="BM139" s="466">
        <f t="shared" si="190"/>
        <v>0</v>
      </c>
      <c r="BN139" s="466">
        <f t="shared" si="191"/>
        <v>0</v>
      </c>
      <c r="BO139" s="463">
        <f>IF('Data Entry'!$C$74=0,0,IF(ISNA(CJ139),0,IF(AX139=0,0,IF(AND('Data Entry'!$C$74=2,AF139&gt;2,CE139&lt;1),0,IF(AND('Data Entry'!$C$74=2,AF139&gt;1,AU139=2,CJ139&gt;1),0,IF(AND(AF139=5,CT139=0.5,AU139=2,ER139&lt;100),0,IF(AND(AF139=5,CT139=0.5,AU139=3,ER139&lt;100),0,IF(AND('Data Entry'!$C$74=2,AF139=2,AU139=2,AK139&gt;0.01,CB139=2,CE139&lt;1),0,IF(AND('Data Entry'!$C$74=2,AF139=3,AU139=3,AK139&gt;0.01,CB139=3,CE139&lt;1),0,IF(AND('Data Entry'!$C$74=2,AF139=3,AU139=3,AK139&gt;0.01,CB139=3,CE139&gt;0.99),BQ139*0.08,IF(AND('Data Entry'!$C$74=2,AF139=2,AU139=2,AK139&gt;0.01,CB139=2,CE139&gt;0.99),BQ139*0.1,IF(AND(AU139=2,AK139&gt;0.01,CB139=2,CD139&gt;1),BQ139*0.1,IF(AND(AU139=3,AK139&gt;0.01,CB139=3,CD139&gt;1),BQ139*0.08,CJ139*EF139)))))))))))))</f>
        <v>0</v>
      </c>
      <c r="BP139" s="475">
        <f t="shared" si="192"/>
        <v>0</v>
      </c>
      <c r="BQ139" s="1431">
        <f>IF(AU139=1,0,IF(CH139=100,0,IF(AND(AF139=3,AU139=2),0,IF(AND(BH139=0,CT139&gt;0.4),0,IF(AND('Data Entry'!$C$74=2,AF139=1.5),0,IF(AND('Data Entry'!$C$74=2,AF139=1.6),0,IF(AND('Data Entry'!$C$74=2,AF139=4),0,IF(AND('Data Entry'!$C$74=2,AF139=5),0,IF(AND('Data Entry'!$C$74=2,AF139=2.5,CE139&lt;1),0,IF(AND('Data Entry'!$C$74=2,AF139=3,CE139&lt;1),0,IF(AND('Data Entry'!$C$74=1,AF139=2.5,CD139&lt;1),0,IF(AND('Data Entry'!$C$74=1,AF139=3,CD139&lt;1),0,IF(DX139&gt;0.01,DX139,IF(ISERROR(AX139-AY139),"",ROUND(AX139-AY139,2)))))))))))))))</f>
        <v>0</v>
      </c>
      <c r="BR139" s="146">
        <f t="shared" si="193"/>
        <v>0</v>
      </c>
      <c r="BS139" s="475">
        <f t="shared" si="194"/>
        <v>0</v>
      </c>
      <c r="BT139" s="146" t="b">
        <f t="shared" si="195"/>
        <v>0</v>
      </c>
      <c r="BU139" s="463">
        <f>IF(ISNA(AT139),0,IF(AND('Data Entry'!$C$74=2,BC139=27),0,IF(AND('Data Entry'!$C$74=2,BC139=28),0,IF(AND(BC139=27,BT139=27,CM139&gt;0.1),CM139*0.15,IF(AND(BC139=28,BT139=28,CM139&gt;0.1),CM139*0.12,0)))))</f>
        <v>0</v>
      </c>
      <c r="BV139" s="463">
        <f t="shared" si="155"/>
        <v>0</v>
      </c>
      <c r="BW139" s="463">
        <f t="shared" si="196"/>
        <v>0</v>
      </c>
      <c r="BX139" s="463">
        <f t="shared" si="197"/>
        <v>0</v>
      </c>
      <c r="BY139" s="463">
        <f t="shared" si="198"/>
        <v>0</v>
      </c>
      <c r="BZ139" s="463">
        <f t="shared" si="199"/>
        <v>0</v>
      </c>
      <c r="CA139" s="57">
        <f t="shared" ref="CA139:CA202" si="227">IF(AND(BH139=48,AU139=3,CM139&gt;0.01),SUM(BQ139+CM139)*0.23,IF(AND(BH139=48,AU139=2,CM139&gt;0.01),SUM(BQ139+CM139)*0.23,IF(AND(BH139=49,CM139&gt;0.01),SUM(BQ139+CM139)*0.21,IF(AND(BH139=24,AU139=2,CM139&gt;0.01),SUM(BQ139+CM139)*0.31,IF(AND(BH139=39,CM139&gt;0.01),SUM(BQ139+CM139)*0.29,IF(AND(BH139=29,CM139&gt;0.01),SUM(BQ139+CM139)*0.29,IF(AND(BH139=24,AU139=3,CM139&gt;0.01),SUM(BQ139+CM139)*0.31,0)))))))</f>
        <v>0</v>
      </c>
      <c r="CB139" s="56">
        <f t="shared" si="200"/>
        <v>1</v>
      </c>
      <c r="CC139" s="756">
        <f>IF(EE139=0,0,IF(EF139=0,0,IF(EE139&gt;AA139,0,IF(AND(AZ139&gt;AW139,AW139&gt;0),0,IF(CU139=0,0,Summary!AC442)))))</f>
        <v>0</v>
      </c>
      <c r="CD139" s="756">
        <f>IF(EE139=0,0,IF(EF139=0,0,IF(EE139&gt;AA139,0,IF(AND(AZ139&gt;AW139,AW139&gt;0),0,IF(CU139=0,0,Summary!AD442)))))</f>
        <v>0</v>
      </c>
      <c r="CE139" s="756">
        <f>IF(EF139=0,0,IF(EE139&gt;AA139,0,IF(CC139=0,0,IF(AND(AZ139&gt;AW139,AW139&gt;0),0,IF(CU139=0,0,Summary!AE442)))))</f>
        <v>0</v>
      </c>
      <c r="CF139" s="475">
        <f t="shared" si="201"/>
        <v>0</v>
      </c>
      <c r="CG139" s="476">
        <f t="shared" si="169"/>
        <v>0</v>
      </c>
      <c r="CH139" s="487">
        <f t="shared" si="202"/>
        <v>0</v>
      </c>
      <c r="CI139" s="756">
        <f t="shared" si="203"/>
        <v>0</v>
      </c>
      <c r="CJ139" s="487">
        <f>IF(CT139&gt;0.4,0,IF(AND(AU139=2,CH139=0,CT139=0.5,ER139=100),35,IF(AND(AU139=3,BB139&gt;75,CH139=0,CT139=0.5,ER139=100),25,IF(CB139&gt;1,0,IF(EF139&gt;EE139,0,IF(AND(AF139&gt;1,CH139=100),0,IF(AND(AF139=1,AY139=0),0,IF(AND(EF139&lt;=EE139,AW139&gt;=AZ139,'Data Entry'!$C$74=1,AU139=2),VLOOKUP(W139,$DO$96:$DP$102,2,FALSE),IF(AND(EF139&lt;=EE139,AW139&gt;=AZ139,AU139=3,'Data Entry'!$C$74=1),VLOOKUP(W139,$DO$127:$DP$134,2,FALSE))))))))))</f>
        <v>0</v>
      </c>
      <c r="CK139" s="716">
        <f t="shared" si="204"/>
        <v>0</v>
      </c>
      <c r="CL139" s="57">
        <f t="shared" si="205"/>
        <v>0</v>
      </c>
      <c r="CM139" s="475">
        <f t="shared" si="154"/>
        <v>0</v>
      </c>
      <c r="CN139" s="660">
        <f>IF(CM139&lt;0.1,0,IF(ISNA(AT139),0,IF(CL139+BC139=1,0,IF(BV139&gt;0.01,0,IF(CL139&gt;0.01,0,IF(CF139=1,0,IF(BC139=0.5,0,IF(AND(CI139=1,AU139=3),0,IF(AND(CI139=5,CL139=0),0,IF(AND(R139=12,BR139=50),0,IF(CK139&gt;0.01,0,IF(AND(AJ139&gt;0.01,AU139=2,BC139=15),CM139*0.1,IF(AND(AJ139&gt;0.01,AU139=3,BC139=15),CM139*0.08,IF(AND(R139=12,BC139=3,AF139&lt;=0),0,IF(AND(BC139=15,BI139=0),0,IF(AND(BC139=15,BJ139=0),0,IF(AND(R139=20,CU139=0),0,IF($X$4=0,0,IF(AND(BC139=250,CL139=0),0,IF(AA139&lt;1,0,IF(AND(ISNUMBER(SEARCH("Area",T139)),AU139=3),0,IF(AND(AQ139&gt;0.01,AR139=0,BK139=0,BL139=0,BM139=0,BN139=0),0,IF(AND(AU139=3,CI139=7,CT139&gt;0.5),0,IF(AND(BC139=44,AU139=3,BY139=0),0,IF(AND(BC139=27,'Data Entry'!$C$74=2),0,IF(AND(BC139=28,'Data Entry'!$C$74=2),0,IF(AND(BY139+BZ139+CA139&gt;0.01,BV139=0,EQ139+ER139+ES139+ET139&lt;100),0,IF(AU139=3,CM139*0.08,IF(AU139=2,CM139*0.1,0)))))))))))))))))))))))))))))</f>
        <v>0</v>
      </c>
      <c r="CO139" s="660">
        <f t="shared" si="206"/>
        <v>0</v>
      </c>
      <c r="CP139" s="475" t="str">
        <f t="shared" si="207"/>
        <v/>
      </c>
      <c r="CQ139" s="161" t="str">
        <f>IF(AH139=0,0,IF(AU139=5,0,Summary!AC142))</f>
        <v/>
      </c>
      <c r="CR139" s="161" t="str">
        <f>IF(BF139=0.5,0,IF(AU139=5,0,Summary!AD142))</f>
        <v/>
      </c>
      <c r="CS139" s="161" t="str">
        <f>IF(AU139=5,0,Summary!AE142)</f>
        <v/>
      </c>
      <c r="CT139" s="161">
        <f t="shared" si="208"/>
        <v>0</v>
      </c>
      <c r="CU139" s="475" t="str">
        <f t="shared" si="209"/>
        <v/>
      </c>
      <c r="CV139" s="307">
        <f>IF('Data Entry'!$C$74=0,0,IF(AA139&lt;1,0,IF(ISERROR(CU139),0,IF(CF139=1,0,IF(AND(R139=12,BR139=50),0,IF(CL139+BO139+BV139+DC139=0,0,IF(BC139=37,0,IF(AND(BC139=40,AJ139=0),0,IF(AND(BC139=37,BO139&gt;0.01,BQ139&gt;0.01),ROUND(BQ139,0),IF(CM139&lt;0,0,ROUND(CM139,0)))))))))))</f>
        <v>0</v>
      </c>
      <c r="CW139" s="700">
        <f t="shared" si="210"/>
        <v>0</v>
      </c>
      <c r="CX139" s="477">
        <f>IF('Data Entry'!$C$74=0,0,IF(CV139&lt;0.01,0,IF(BF139=0.5,0,IF(CF139=1,0,IF(ISNUMBER(SEARCH("false",CL139)),0,IF(AZ139=500,0,CL139))))))</f>
        <v>0</v>
      </c>
      <c r="CY139" s="147" t="e">
        <f t="shared" si="211"/>
        <v>#VALUE!</v>
      </c>
      <c r="CZ139" s="147" t="b">
        <f>IF(CN139+CL139=0,FALSE,IF(AH139=0,0,IF(AND('Data Entry'!$C$74=1,CR139&gt;=1),TRUE,IF(AND('Data Entry'!$C$74=2,CS139&gt;=1),TRUE,FALSE))))</f>
        <v>0</v>
      </c>
      <c r="DA139" s="1751">
        <f>IF('Data Entry'!$C$74=0,0,IFERROR(ROUND(IF(T139="","",IF($X$4=0,0,IF(CF139=1,0,IF(BQ139+CV139=0,0,IF(CF139=1,0,IF(CY139&gt;0.01,CY139,IF(CL139&gt;0.01,CL139,IF(CY139&gt;0.01,CY139,IF(BC139=37,BO139,IF(CZ139=FALSE,0,IF(CZ139=TRUE,DC139+DF139,0))))))))))),2),""))</f>
        <v>0</v>
      </c>
      <c r="DB139" s="1752"/>
      <c r="DC139" s="474">
        <f>IF(CN139&lt;0.01,0,IF(AND(BR139=3,CN139&gt;0.01,CT139&gt;0.6,ER139+ES139+ET139&lt;100),0,IF(AND('Data Entry'!$C$74=1,CN139&gt;0.01,CR139&gt;0.99),MIN(CN139:CO139),IF(AND('Data Entry'!$C$74=2,CN139&gt;0.01,CS139&gt;0.99),MIN(CN139:CO139),0))))</f>
        <v>0</v>
      </c>
      <c r="DD139" s="478">
        <f>IF(CF139=1,"Selection does not match",IF(T139=0,0,IF(AND('Data Entry'!$C$74=0,CP139&gt;1),"Select Oregon or Idaho on Data Entry Tab",IF(AND(AU139=1,AA139&gt;0.9),"Missing Interior or Exterior Selection",IF($X$4=0,"Enter Total Project Cost",IF(AQ139&lt;AR139,"Insufficient kWh savings – no incentive",IF(AND(SUM(CL139+CK139+BV139)&gt;0.01,'Data Entry'!$C$74=2,CJ139&gt;1,BO139=0),"Submit Control as Non-Standard",IF(AND('Data Entry'!$C$74=2,BR139=37,CJ139&gt;1,BO139=0),"Submit Control as Non-Standard",IF(SUM(CL139+CK139+BV139)&gt;0.01,"Standard Incentive",IF(AND('Data Entry'!$C$74=2,CP139=7,CN139=0),"Submit as Non-Standard",IF(DC139&gt;0.9,"Non-Standard Incentive",IF(AND(BY139+BZ139+CA139&gt;0.01,BV139=0,EQ139=0,ER139=0,ES139=0,ET139=0),"Scroll Right &amp; Select Control Strategies",IF(AND(CN139&gt;0.01,CO139=0),"Enter Unit Installed Cost",IF(ISNUMBER(SEARCH("Lighting Controls Only",F139)),"Lighting Controls Only",IF(CL139+DC139=0,"Does not meet incentive criteria",0)))))))))))))))</f>
        <v>0</v>
      </c>
      <c r="DE139" s="337">
        <f t="shared" si="212"/>
        <v>0</v>
      </c>
      <c r="DF139" s="609">
        <f t="shared" si="213"/>
        <v>0</v>
      </c>
      <c r="DG139" s="336" t="str">
        <f t="shared" si="214"/>
        <v/>
      </c>
      <c r="DH139" s="338">
        <f t="shared" si="215"/>
        <v>1</v>
      </c>
      <c r="DI139" s="336" t="e">
        <f t="shared" si="170"/>
        <v>#VALUE!</v>
      </c>
      <c r="DJ139" s="338">
        <f t="shared" si="171"/>
        <v>0</v>
      </c>
      <c r="DK139" s="325" t="s">
        <v>82</v>
      </c>
      <c r="DL139" s="341">
        <v>285</v>
      </c>
      <c r="DM139" s="325" t="s">
        <v>1089</v>
      </c>
      <c r="DN139" s="1123">
        <v>16</v>
      </c>
      <c r="DO139" s="331"/>
      <c r="DP139" s="332"/>
      <c r="DQ139" s="356"/>
      <c r="DR139" s="357"/>
      <c r="DS139" s="1195">
        <f t="shared" si="216"/>
        <v>0</v>
      </c>
      <c r="DT139" s="344" t="b">
        <f t="shared" si="217"/>
        <v>1</v>
      </c>
      <c r="DU139" s="1314" t="str">
        <f t="array" ref="DU139">IF(OR(COUNTIF(F139,"*"&amp;$DK$9:$DK$178&amp;"*")), "Yes", "")</f>
        <v/>
      </c>
      <c r="DV139" s="1314">
        <f t="shared" si="218"/>
        <v>0</v>
      </c>
      <c r="DW139" s="1480">
        <f t="shared" si="219"/>
        <v>0</v>
      </c>
      <c r="DX139" s="1498">
        <f t="shared" ref="DX139:DX202" si="228">IF(BC139=37,0,IF(CT139&gt;0.4,AA139*AT139*(CU139*(1-AV139)/1000),0))</f>
        <v>0</v>
      </c>
      <c r="DY139" s="1484">
        <f t="shared" si="220"/>
        <v>0</v>
      </c>
      <c r="DZ139" s="331"/>
      <c r="EA139" s="392"/>
      <c r="EB139" s="1499" t="s">
        <v>78</v>
      </c>
      <c r="EC139" s="727" t="s">
        <v>1568</v>
      </c>
      <c r="ED139" s="728">
        <v>0.5</v>
      </c>
      <c r="EE139" s="1215"/>
      <c r="EF139" s="1215"/>
      <c r="EG139" s="1184" t="str">
        <f t="shared" si="221"/>
        <v/>
      </c>
      <c r="EH139" s="55"/>
      <c r="EI139" s="55"/>
      <c r="EJ139" s="1185">
        <f t="shared" si="172"/>
        <v>0</v>
      </c>
      <c r="EK139" s="1211"/>
      <c r="EL139" s="1180">
        <f t="shared" si="173"/>
        <v>0</v>
      </c>
      <c r="EM139" s="206"/>
      <c r="EN139" s="1038"/>
      <c r="EO139" s="1038"/>
      <c r="EP139" s="1038"/>
      <c r="EQ139" s="1038">
        <f t="shared" si="222"/>
        <v>0</v>
      </c>
      <c r="ER139" s="1041">
        <f t="shared" si="223"/>
        <v>0</v>
      </c>
      <c r="ES139" s="1042">
        <f t="shared" si="224"/>
        <v>0</v>
      </c>
      <c r="ET139" s="1042">
        <f t="shared" ref="ET139:ET202" si="229">IF(AND(AU139=2,CA139&gt;0.01,CT139=2,EM139="Yes",EN139="Yes",EP139="Yes"),100,IF(AND(AU139=2,CA139&gt;0.01,CT139=2,EM139="Yes",EO139="Yes",EP139="Yes"),100,IF(AND(AU139=2,CA139&gt;0.01,CT139=2,EM139="Yes",EP139="Yes"),100,IF(AND(AU139=2,CA139&gt;0.01,CT139=2,EN139="Yes",EP139="Yes"),100,IF(AND(AU139=2,CA139&gt;0.01,CT139=2,EM139="Yes",EN139="Yes",EP139="Yes"),100,IF(AND(AU139=2,CA139&gt;0.01,CT139=2,EM139="Yes",EO139="Yes"),100,IF(AND(AU139=3,CA139&gt;0.01,CT139=2,EM139="Yes",EP139="Yes"),100,0)))))))</f>
        <v>0</v>
      </c>
      <c r="EU139" s="1021">
        <f t="shared" ref="EU139:EU202" si="230">IF(AND(BY139+BZ139+CA139&gt;0.01,EQ139+ER139+ES139+ET139&lt;100),"Does not meet program criteria",IF(AND(BB139&lt;AZ139,BO139=0),"Does not meet minimum connected load",0))</f>
        <v>0</v>
      </c>
      <c r="EV139" s="368"/>
      <c r="EW139" s="368"/>
      <c r="EX139" s="369"/>
      <c r="EY139" s="370"/>
      <c r="EZ139" s="370"/>
      <c r="FA139" s="371"/>
      <c r="FB139" s="372"/>
    </row>
    <row r="140" spans="1:158" ht="34.5" customHeight="1">
      <c r="A140" s="82">
        <v>132</v>
      </c>
      <c r="B140" s="1725"/>
      <c r="C140" s="1726"/>
      <c r="D140" s="1726"/>
      <c r="E140" s="1727"/>
      <c r="F140" s="1732"/>
      <c r="G140" s="1733"/>
      <c r="H140" s="1733"/>
      <c r="I140" s="1734"/>
      <c r="J140" s="1341"/>
      <c r="K140" s="1728"/>
      <c r="L140" s="1728"/>
      <c r="M140" s="1342"/>
      <c r="N140" s="1583"/>
      <c r="O140" s="208" t="str">
        <f t="shared" si="160"/>
        <v/>
      </c>
      <c r="P140" s="785"/>
      <c r="Q140" s="39" t="str">
        <f t="shared" si="161"/>
        <v/>
      </c>
      <c r="R140" s="39">
        <f t="shared" si="174"/>
        <v>0</v>
      </c>
      <c r="S140" s="234">
        <f t="shared" si="175"/>
        <v>0</v>
      </c>
      <c r="T140" s="1755"/>
      <c r="U140" s="1755"/>
      <c r="V140" s="1755"/>
      <c r="W140" s="1345"/>
      <c r="X140" s="1741"/>
      <c r="Y140" s="1742"/>
      <c r="Z140" s="1346"/>
      <c r="AA140" s="1343"/>
      <c r="AB140" s="1141"/>
      <c r="AC140" s="1103" t="str">
        <f>IF(T140="","",VLOOKUP(Z140,Lists!$A$60:$B$111,2,FALSE))</f>
        <v/>
      </c>
      <c r="AD140" s="130" t="str">
        <f t="shared" si="176"/>
        <v/>
      </c>
      <c r="AE140" s="130" t="e">
        <f t="shared" si="177"/>
        <v>#VALUE!</v>
      </c>
      <c r="AF140" s="130">
        <f t="shared" si="178"/>
        <v>1</v>
      </c>
      <c r="AG140" s="234">
        <f t="shared" si="162"/>
        <v>0</v>
      </c>
      <c r="AH140" s="1753" t="str">
        <f>IF(T140="","",(IF(ISNUMBER(SEARCH("exit",T140)),8760,IF(AND(M140="Dusk to Dawn",'Proposed Lighting'!AU140=3),4059,IF(AND(AU140=3,M140="1"),0,IF(AND(AU140=3,M140="1-C"),0,IF(AND(AU140=3,M140="2"),0,IF(AND(AU140=3,M140="2-C"),0,IF(AND(AU140=3,M140="3"),0,IF(AND(AU140=3,M140="3-C"),0,IF(AND(AU140=2,M140="Dusk to Dawn"),0,IF(AND(AU140=2,M140="Dusk to Dawn-C"),0,IF(AND(AU140=2,M140="Dusk to Dawn"),0,IF(AND(AU140=2,M140="E"),0,IF(AND(AU140=2,M140="E-C"),0,EG140)))))))))))))))</f>
        <v/>
      </c>
      <c r="AI140" s="1754"/>
      <c r="AJ140" s="1136"/>
      <c r="AK140" s="1136"/>
      <c r="AL140" s="1748">
        <f t="shared" si="179"/>
        <v>0</v>
      </c>
      <c r="AM140" s="1749"/>
      <c r="AN140" s="1750"/>
      <c r="AO140" s="476">
        <f t="shared" si="163"/>
        <v>0</v>
      </c>
      <c r="AP140" s="476">
        <f t="shared" si="180"/>
        <v>0</v>
      </c>
      <c r="AQ140" s="475">
        <f t="shared" si="164"/>
        <v>0</v>
      </c>
      <c r="AR140" s="475">
        <f t="shared" si="181"/>
        <v>0</v>
      </c>
      <c r="AS140" s="743" t="str">
        <f t="shared" si="156"/>
        <v/>
      </c>
      <c r="AT140" s="736" t="str">
        <f t="shared" si="182"/>
        <v/>
      </c>
      <c r="AU140" s="56">
        <f t="shared" si="183"/>
        <v>1</v>
      </c>
      <c r="AV140" s="476">
        <f t="shared" si="184"/>
        <v>0</v>
      </c>
      <c r="AW140" s="56">
        <f t="shared" si="185"/>
        <v>0</v>
      </c>
      <c r="AX140" s="475">
        <f t="shared" si="165"/>
        <v>0</v>
      </c>
      <c r="AY140" s="1169">
        <f t="shared" si="186"/>
        <v>0</v>
      </c>
      <c r="AZ140" s="1150">
        <f t="shared" si="225"/>
        <v>0</v>
      </c>
      <c r="BA140" s="56">
        <f t="shared" si="166"/>
        <v>0</v>
      </c>
      <c r="BB140" s="420">
        <f t="shared" si="167"/>
        <v>0</v>
      </c>
      <c r="BC140" s="58" t="str">
        <f t="shared" si="168"/>
        <v/>
      </c>
      <c r="BD140" s="660">
        <f t="shared" si="226"/>
        <v>0</v>
      </c>
      <c r="BE140" s="57" t="e">
        <f t="array" ref="BE140">INDEX($EB$11:$ED$1022,MATCH(F140&amp;T140,$EB$11:$EB$1007&amp;$EC$11:$EC$1007,0),3)</f>
        <v>#N/A</v>
      </c>
      <c r="BF140" s="463">
        <f t="shared" si="157"/>
        <v>0</v>
      </c>
      <c r="BG140" s="1445" t="e">
        <f t="array" ref="BG140">INDEX($DO$112:$DQ$123,MATCH(T140&amp;W140,$DO$114:$DO$125&amp;$DP$112:$DP$123,0),3)</f>
        <v>#N/A</v>
      </c>
      <c r="BH140" s="1446">
        <f t="shared" si="187"/>
        <v>0</v>
      </c>
      <c r="BI140" s="465">
        <f t="shared" si="188"/>
        <v>0</v>
      </c>
      <c r="BJ140" s="465">
        <f t="shared" si="189"/>
        <v>0</v>
      </c>
      <c r="BK140" s="466">
        <f t="shared" si="158"/>
        <v>0</v>
      </c>
      <c r="BL140" s="466">
        <f t="shared" si="159"/>
        <v>0</v>
      </c>
      <c r="BM140" s="466">
        <f t="shared" si="190"/>
        <v>0</v>
      </c>
      <c r="BN140" s="466">
        <f t="shared" si="191"/>
        <v>0</v>
      </c>
      <c r="BO140" s="463">
        <f>IF('Data Entry'!$C$74=0,0,IF(ISNA(CJ140),0,IF(AX140=0,0,IF(AND('Data Entry'!$C$74=2,AF140&gt;2,CE140&lt;1),0,IF(AND('Data Entry'!$C$74=2,AF140&gt;1,AU140=2,CJ140&gt;1),0,IF(AND(AF140=5,CT140=0.5,AU140=2,ER140&lt;100),0,IF(AND(AF140=5,CT140=0.5,AU140=3,ER140&lt;100),0,IF(AND('Data Entry'!$C$74=2,AF140=2,AU140=2,AK140&gt;0.01,CB140=2,CE140&lt;1),0,IF(AND('Data Entry'!$C$74=2,AF140=3,AU140=3,AK140&gt;0.01,CB140=3,CE140&lt;1),0,IF(AND('Data Entry'!$C$74=2,AF140=3,AU140=3,AK140&gt;0.01,CB140=3,CE140&gt;0.99),BQ140*0.08,IF(AND('Data Entry'!$C$74=2,AF140=2,AU140=2,AK140&gt;0.01,CB140=2,CE140&gt;0.99),BQ140*0.1,IF(AND(AU140=2,AK140&gt;0.01,CB140=2,CD140&gt;1),BQ140*0.1,IF(AND(AU140=3,AK140&gt;0.01,CB140=3,CD140&gt;1),BQ140*0.08,CJ140*EF140)))))))))))))</f>
        <v>0</v>
      </c>
      <c r="BP140" s="475">
        <f t="shared" si="192"/>
        <v>0</v>
      </c>
      <c r="BQ140" s="1431">
        <f>IF(AU140=1,0,IF(CH140=100,0,IF(AND(AF140=3,AU140=2),0,IF(AND(BH140=0,CT140&gt;0.4),0,IF(AND('Data Entry'!$C$74=2,AF140=1.5),0,IF(AND('Data Entry'!$C$74=2,AF140=1.6),0,IF(AND('Data Entry'!$C$74=2,AF140=4),0,IF(AND('Data Entry'!$C$74=2,AF140=5),0,IF(AND('Data Entry'!$C$74=2,AF140=2.5,CE140&lt;1),0,IF(AND('Data Entry'!$C$74=2,AF140=3,CE140&lt;1),0,IF(AND('Data Entry'!$C$74=1,AF140=2.5,CD140&lt;1),0,IF(AND('Data Entry'!$C$74=1,AF140=3,CD140&lt;1),0,IF(DX140&gt;0.01,DX140,IF(ISERROR(AX140-AY140),"",ROUND(AX140-AY140,2)))))))))))))))</f>
        <v>0</v>
      </c>
      <c r="BR140" s="146">
        <f t="shared" si="193"/>
        <v>0</v>
      </c>
      <c r="BS140" s="475">
        <f t="shared" si="194"/>
        <v>0</v>
      </c>
      <c r="BT140" s="146" t="b">
        <f t="shared" si="195"/>
        <v>0</v>
      </c>
      <c r="BU140" s="463">
        <f>IF(ISNA(AT140),0,IF(AND('Data Entry'!$C$74=2,BC140=27),0,IF(AND('Data Entry'!$C$74=2,BC140=28),0,IF(AND(BC140=27,BT140=27,CM140&gt;0.1),CM140*0.15,IF(AND(BC140=28,BT140=28,CM140&gt;0.1),CM140*0.12,0)))))</f>
        <v>0</v>
      </c>
      <c r="BV140" s="463">
        <f t="shared" si="155"/>
        <v>0</v>
      </c>
      <c r="BW140" s="463">
        <f t="shared" si="196"/>
        <v>0</v>
      </c>
      <c r="BX140" s="463">
        <f t="shared" si="197"/>
        <v>0</v>
      </c>
      <c r="BY140" s="463">
        <f t="shared" si="198"/>
        <v>0</v>
      </c>
      <c r="BZ140" s="463">
        <f t="shared" si="199"/>
        <v>0</v>
      </c>
      <c r="CA140" s="57">
        <f t="shared" si="227"/>
        <v>0</v>
      </c>
      <c r="CB140" s="56">
        <f t="shared" si="200"/>
        <v>1</v>
      </c>
      <c r="CC140" s="756">
        <f>IF(EE140=0,0,IF(EF140=0,0,IF(EE140&gt;AA140,0,IF(AND(AZ140&gt;AW140,AW140&gt;0),0,IF(CU140=0,0,Summary!AC443)))))</f>
        <v>0</v>
      </c>
      <c r="CD140" s="756">
        <f>IF(EE140=0,0,IF(EF140=0,0,IF(EE140&gt;AA140,0,IF(AND(AZ140&gt;AW140,AW140&gt;0),0,IF(CU140=0,0,Summary!AD443)))))</f>
        <v>0</v>
      </c>
      <c r="CE140" s="756">
        <f>IF(EF140=0,0,IF(EE140&gt;AA140,0,IF(CC140=0,0,IF(AND(AZ140&gt;AW140,AW140&gt;0),0,IF(CU140=0,0,Summary!AE443)))))</f>
        <v>0</v>
      </c>
      <c r="CF140" s="475">
        <f t="shared" si="201"/>
        <v>0</v>
      </c>
      <c r="CG140" s="476">
        <f t="shared" si="169"/>
        <v>0</v>
      </c>
      <c r="CH140" s="487">
        <f t="shared" si="202"/>
        <v>0</v>
      </c>
      <c r="CI140" s="756">
        <f t="shared" si="203"/>
        <v>0</v>
      </c>
      <c r="CJ140" s="487">
        <f>IF(CT140&gt;0.4,0,IF(AND(AU140=2,CH140=0,CT140=0.5,ER140=100),35,IF(AND(AU140=3,BB140&gt;75,CH140=0,CT140=0.5,ER140=100),25,IF(CB140&gt;1,0,IF(EF140&gt;EE140,0,IF(AND(AF140&gt;1,CH140=100),0,IF(AND(AF140=1,AY140=0),0,IF(AND(EF140&lt;=EE140,AW140&gt;=AZ140,'Data Entry'!$C$74=1,AU140=2),VLOOKUP(W140,$DO$96:$DP$102,2,FALSE),IF(AND(EF140&lt;=EE140,AW140&gt;=AZ140,AU140=3,'Data Entry'!$C$74=1),VLOOKUP(W140,$DO$127:$DP$134,2,FALSE))))))))))</f>
        <v>0</v>
      </c>
      <c r="CK140" s="716">
        <f t="shared" si="204"/>
        <v>0</v>
      </c>
      <c r="CL140" s="57">
        <f t="shared" si="205"/>
        <v>0</v>
      </c>
      <c r="CM140" s="475">
        <f t="shared" si="154"/>
        <v>0</v>
      </c>
      <c r="CN140" s="660">
        <f>IF(CM140&lt;0.1,0,IF(ISNA(AT140),0,IF(CL140+BC140=1,0,IF(BV140&gt;0.01,0,IF(CL140&gt;0.01,0,IF(CF140=1,0,IF(BC140=0.5,0,IF(AND(CI140=1,AU140=3),0,IF(AND(CI140=5,CL140=0),0,IF(AND(R140=12,BR140=50),0,IF(CK140&gt;0.01,0,IF(AND(AJ140&gt;0.01,AU140=2,BC140=15),CM140*0.1,IF(AND(AJ140&gt;0.01,AU140=3,BC140=15),CM140*0.08,IF(AND(R140=12,BC140=3,AF140&lt;=0),0,IF(AND(BC140=15,BI140=0),0,IF(AND(BC140=15,BJ140=0),0,IF(AND(R140=20,CU140=0),0,IF($X$4=0,0,IF(AND(BC140=250,CL140=0),0,IF(AA140&lt;1,0,IF(AND(ISNUMBER(SEARCH("Area",T140)),AU140=3),0,IF(AND(AQ140&gt;0.01,AR140=0,BK140=0,BL140=0,BM140=0,BN140=0),0,IF(AND(AU140=3,CI140=7,CT140&gt;0.5),0,IF(AND(BC140=44,AU140=3,BY140=0),0,IF(AND(BC140=27,'Data Entry'!$C$74=2),0,IF(AND(BC140=28,'Data Entry'!$C$74=2),0,IF(AND(BY140+BZ140+CA140&gt;0.01,BV140=0,EQ140+ER140+ES140+ET140&lt;100),0,IF(AU140=3,CM140*0.08,IF(AU140=2,CM140*0.1,0)))))))))))))))))))))))))))))</f>
        <v>0</v>
      </c>
      <c r="CO140" s="660">
        <f t="shared" si="206"/>
        <v>0</v>
      </c>
      <c r="CP140" s="475" t="str">
        <f t="shared" si="207"/>
        <v/>
      </c>
      <c r="CQ140" s="161" t="str">
        <f>IF(AH140=0,0,IF(AU140=5,0,Summary!AC143))</f>
        <v/>
      </c>
      <c r="CR140" s="161" t="str">
        <f>IF(BF140=0.5,0,IF(AU140=5,0,Summary!AD143))</f>
        <v/>
      </c>
      <c r="CS140" s="161" t="str">
        <f>IF(AU140=5,0,Summary!AE143)</f>
        <v/>
      </c>
      <c r="CT140" s="161">
        <f t="shared" si="208"/>
        <v>0</v>
      </c>
      <c r="CU140" s="475" t="str">
        <f t="shared" si="209"/>
        <v/>
      </c>
      <c r="CV140" s="307">
        <f>IF('Data Entry'!$C$74=0,0,IF(AA140&lt;1,0,IF(ISERROR(CU140),0,IF(CF140=1,0,IF(AND(R140=12,BR140=50),0,IF(CL140+BO140+BV140+DC140=0,0,IF(BC140=37,0,IF(AND(BC140=40,AJ140=0),0,IF(AND(BC140=37,BO140&gt;0.01,BQ140&gt;0.01),ROUND(BQ140,0),IF(CM140&lt;0,0,ROUND(CM140,0)))))))))))</f>
        <v>0</v>
      </c>
      <c r="CW140" s="700">
        <f t="shared" si="210"/>
        <v>0</v>
      </c>
      <c r="CX140" s="477">
        <f>IF('Data Entry'!$C$74=0,0,IF(CV140&lt;0.01,0,IF(BF140=0.5,0,IF(CF140=1,0,IF(ISNUMBER(SEARCH("false",CL140)),0,IF(AZ140=500,0,CL140))))))</f>
        <v>0</v>
      </c>
      <c r="CY140" s="147" t="e">
        <f t="shared" si="211"/>
        <v>#VALUE!</v>
      </c>
      <c r="CZ140" s="147" t="b">
        <f>IF(CN140+CL140=0,FALSE,IF(AH140=0,0,IF(AND('Data Entry'!$C$74=1,CR140&gt;=1),TRUE,IF(AND('Data Entry'!$C$74=2,CS140&gt;=1),TRUE,FALSE))))</f>
        <v>0</v>
      </c>
      <c r="DA140" s="1751">
        <f>IF('Data Entry'!$C$74=0,0,IFERROR(ROUND(IF(T140="","",IF($X$4=0,0,IF(CF140=1,0,IF(BQ140+CV140=0,0,IF(CF140=1,0,IF(CY140&gt;0.01,CY140,IF(CL140&gt;0.01,CL140,IF(CY140&gt;0.01,CY140,IF(BC140=37,BO140,IF(CZ140=FALSE,0,IF(CZ140=TRUE,DC140+DF140,0))))))))))),2),""))</f>
        <v>0</v>
      </c>
      <c r="DB140" s="1752"/>
      <c r="DC140" s="474">
        <f>IF(CN140&lt;0.01,0,IF(AND(BR140=3,CN140&gt;0.01,CT140&gt;0.6,ER140+ES140+ET140&lt;100),0,IF(AND('Data Entry'!$C$74=1,CN140&gt;0.01,CR140&gt;0.99),MIN(CN140:CO140),IF(AND('Data Entry'!$C$74=2,CN140&gt;0.01,CS140&gt;0.99),MIN(CN140:CO140),0))))</f>
        <v>0</v>
      </c>
      <c r="DD140" s="478">
        <f>IF(CF140=1,"Selection does not match",IF(T140=0,0,IF(AND('Data Entry'!$C$74=0,CP140&gt;1),"Select Oregon or Idaho on Data Entry Tab",IF(AND(AU140=1,AA140&gt;0.9),"Missing Interior or Exterior Selection",IF($X$4=0,"Enter Total Project Cost",IF(AQ140&lt;AR140,"Insufficient kWh savings – no incentive",IF(AND(SUM(CL140+CK140+BV140)&gt;0.01,'Data Entry'!$C$74=2,CJ140&gt;1,BO140=0),"Submit Control as Non-Standard",IF(AND('Data Entry'!$C$74=2,BR140=37,CJ140&gt;1,BO140=0),"Submit Control as Non-Standard",IF(SUM(CL140+CK140+BV140)&gt;0.01,"Standard Incentive",IF(AND('Data Entry'!$C$74=2,CP140=7,CN140=0),"Submit as Non-Standard",IF(DC140&gt;0.9,"Non-Standard Incentive",IF(AND(BY140+BZ140+CA140&gt;0.01,BV140=0,EQ140=0,ER140=0,ES140=0,ET140=0),"Scroll Right &amp; Select Control Strategies",IF(AND(CN140&gt;0.01,CO140=0),"Enter Unit Installed Cost",IF(ISNUMBER(SEARCH("Lighting Controls Only",F140)),"Lighting Controls Only",IF(CL140+DC140=0,"Does not meet incentive criteria",0)))))))))))))))</f>
        <v>0</v>
      </c>
      <c r="DE140" s="337">
        <f t="shared" si="212"/>
        <v>0</v>
      </c>
      <c r="DF140" s="609">
        <f t="shared" si="213"/>
        <v>0</v>
      </c>
      <c r="DG140" s="336" t="str">
        <f t="shared" si="214"/>
        <v/>
      </c>
      <c r="DH140" s="338">
        <f t="shared" si="215"/>
        <v>1</v>
      </c>
      <c r="DI140" s="336" t="e">
        <f t="shared" si="170"/>
        <v>#VALUE!</v>
      </c>
      <c r="DJ140" s="338">
        <f t="shared" si="171"/>
        <v>0</v>
      </c>
      <c r="DK140" s="325" t="s">
        <v>83</v>
      </c>
      <c r="DL140" s="341">
        <v>450</v>
      </c>
      <c r="DM140" s="326" t="s">
        <v>315</v>
      </c>
      <c r="DN140" s="1123">
        <v>24</v>
      </c>
      <c r="DO140" s="331"/>
      <c r="DP140" s="332"/>
      <c r="DQ140" s="331"/>
      <c r="DR140" s="357"/>
      <c r="DS140" s="1195">
        <f t="shared" si="216"/>
        <v>0</v>
      </c>
      <c r="DT140" s="344" t="b">
        <f t="shared" si="217"/>
        <v>1</v>
      </c>
      <c r="DU140" s="1314" t="str">
        <f t="array" ref="DU140">IF(OR(COUNTIF(F140,"*"&amp;$DK$9:$DK$178&amp;"*")), "Yes", "")</f>
        <v/>
      </c>
      <c r="DV140" s="1314">
        <f t="shared" si="218"/>
        <v>0</v>
      </c>
      <c r="DW140" s="1480">
        <f t="shared" si="219"/>
        <v>0</v>
      </c>
      <c r="DX140" s="1498">
        <f t="shared" si="228"/>
        <v>0</v>
      </c>
      <c r="DY140" s="1484">
        <f t="shared" si="220"/>
        <v>0</v>
      </c>
      <c r="DZ140" s="331"/>
      <c r="EA140" s="392"/>
      <c r="EB140" s="1499" t="s">
        <v>79</v>
      </c>
      <c r="EC140" s="727" t="s">
        <v>1568</v>
      </c>
      <c r="ED140" s="728">
        <v>0.5</v>
      </c>
      <c r="EE140" s="1215"/>
      <c r="EF140" s="1215"/>
      <c r="EG140" s="1184" t="str">
        <f t="shared" si="221"/>
        <v/>
      </c>
      <c r="EH140" s="55"/>
      <c r="EI140" s="55"/>
      <c r="EJ140" s="1185">
        <f t="shared" si="172"/>
        <v>0</v>
      </c>
      <c r="EK140" s="1211"/>
      <c r="EL140" s="1180">
        <f t="shared" si="173"/>
        <v>0</v>
      </c>
      <c r="EM140" s="206"/>
      <c r="EN140" s="1038"/>
      <c r="EO140" s="1038"/>
      <c r="EP140" s="1038"/>
      <c r="EQ140" s="1038">
        <f t="shared" si="222"/>
        <v>0</v>
      </c>
      <c r="ER140" s="1041">
        <f t="shared" si="223"/>
        <v>0</v>
      </c>
      <c r="ES140" s="1042">
        <f t="shared" si="224"/>
        <v>0</v>
      </c>
      <c r="ET140" s="1042">
        <f t="shared" si="229"/>
        <v>0</v>
      </c>
      <c r="EU140" s="1021">
        <f t="shared" si="230"/>
        <v>0</v>
      </c>
      <c r="EV140" s="368"/>
      <c r="EW140" s="368"/>
      <c r="EX140" s="369"/>
      <c r="EY140" s="370"/>
      <c r="EZ140" s="370"/>
      <c r="FA140" s="371"/>
      <c r="FB140" s="372"/>
    </row>
    <row r="141" spans="1:158" ht="34.5" customHeight="1">
      <c r="A141" s="82">
        <v>133</v>
      </c>
      <c r="B141" s="1725"/>
      <c r="C141" s="1726"/>
      <c r="D141" s="1726"/>
      <c r="E141" s="1727"/>
      <c r="F141" s="1732"/>
      <c r="G141" s="1733"/>
      <c r="H141" s="1733"/>
      <c r="I141" s="1734"/>
      <c r="J141" s="1341"/>
      <c r="K141" s="1728"/>
      <c r="L141" s="1728"/>
      <c r="M141" s="1342"/>
      <c r="N141" s="1583"/>
      <c r="O141" s="208" t="str">
        <f t="shared" si="160"/>
        <v/>
      </c>
      <c r="P141" s="785"/>
      <c r="Q141" s="39" t="str">
        <f t="shared" si="161"/>
        <v/>
      </c>
      <c r="R141" s="39">
        <f t="shared" si="174"/>
        <v>0</v>
      </c>
      <c r="S141" s="234">
        <f t="shared" si="175"/>
        <v>0</v>
      </c>
      <c r="T141" s="1755"/>
      <c r="U141" s="1755"/>
      <c r="V141" s="1755"/>
      <c r="W141" s="1345"/>
      <c r="X141" s="1741"/>
      <c r="Y141" s="1742"/>
      <c r="Z141" s="1346"/>
      <c r="AA141" s="1343"/>
      <c r="AB141" s="1141"/>
      <c r="AC141" s="1103" t="str">
        <f>IF(T141="","",VLOOKUP(Z141,Lists!$A$60:$B$111,2,FALSE))</f>
        <v/>
      </c>
      <c r="AD141" s="130" t="str">
        <f t="shared" si="176"/>
        <v/>
      </c>
      <c r="AE141" s="130" t="e">
        <f t="shared" si="177"/>
        <v>#VALUE!</v>
      </c>
      <c r="AF141" s="130">
        <f t="shared" si="178"/>
        <v>1</v>
      </c>
      <c r="AG141" s="234">
        <f t="shared" si="162"/>
        <v>0</v>
      </c>
      <c r="AH141" s="1753" t="str">
        <f>IF(T141="","",(IF(ISNUMBER(SEARCH("exit",T141)),8760,IF(AND(M141="Dusk to Dawn",'Proposed Lighting'!AU141=3),4059,IF(AND(AU141=3,M141="1"),0,IF(AND(AU141=3,M141="1-C"),0,IF(AND(AU141=3,M141="2"),0,IF(AND(AU141=3,M141="2-C"),0,IF(AND(AU141=3,M141="3"),0,IF(AND(AU141=3,M141="3-C"),0,IF(AND(AU141=2,M141="Dusk to Dawn"),0,IF(AND(AU141=2,M141="Dusk to Dawn-C"),0,IF(AND(AU141=2,M141="Dusk to Dawn"),0,IF(AND(AU141=2,M141="E"),0,IF(AND(AU141=2,M141="E-C"),0,EG141)))))))))))))))</f>
        <v/>
      </c>
      <c r="AI141" s="1754"/>
      <c r="AJ141" s="1136"/>
      <c r="AK141" s="1136"/>
      <c r="AL141" s="1748">
        <f t="shared" si="179"/>
        <v>0</v>
      </c>
      <c r="AM141" s="1749"/>
      <c r="AN141" s="1750"/>
      <c r="AO141" s="476">
        <f t="shared" si="163"/>
        <v>0</v>
      </c>
      <c r="AP141" s="476">
        <f t="shared" si="180"/>
        <v>0</v>
      </c>
      <c r="AQ141" s="475">
        <f t="shared" si="164"/>
        <v>0</v>
      </c>
      <c r="AR141" s="475">
        <f t="shared" si="181"/>
        <v>0</v>
      </c>
      <c r="AS141" s="743" t="str">
        <f t="shared" si="156"/>
        <v/>
      </c>
      <c r="AT141" s="736" t="str">
        <f t="shared" si="182"/>
        <v/>
      </c>
      <c r="AU141" s="56">
        <f t="shared" si="183"/>
        <v>1</v>
      </c>
      <c r="AV141" s="476">
        <f t="shared" si="184"/>
        <v>0</v>
      </c>
      <c r="AW141" s="56">
        <f t="shared" si="185"/>
        <v>0</v>
      </c>
      <c r="AX141" s="475">
        <f t="shared" si="165"/>
        <v>0</v>
      </c>
      <c r="AY141" s="1169">
        <f t="shared" si="186"/>
        <v>0</v>
      </c>
      <c r="AZ141" s="1150">
        <f t="shared" si="225"/>
        <v>0</v>
      </c>
      <c r="BA141" s="56">
        <f t="shared" si="166"/>
        <v>0</v>
      </c>
      <c r="BB141" s="420">
        <f t="shared" si="167"/>
        <v>0</v>
      </c>
      <c r="BC141" s="58" t="str">
        <f t="shared" si="168"/>
        <v/>
      </c>
      <c r="BD141" s="660">
        <f t="shared" si="226"/>
        <v>0</v>
      </c>
      <c r="BE141" s="57" t="e">
        <f t="array" ref="BE141">INDEX($EB$11:$ED$1022,MATCH(F141&amp;T141,$EB$11:$EB$1007&amp;$EC$11:$EC$1007,0),3)</f>
        <v>#N/A</v>
      </c>
      <c r="BF141" s="463">
        <f t="shared" si="157"/>
        <v>0</v>
      </c>
      <c r="BG141" s="1445" t="e">
        <f t="array" ref="BG141">INDEX($DO$112:$DQ$123,MATCH(T141&amp;W141,$DO$114:$DO$125&amp;$DP$112:$DP$123,0),3)</f>
        <v>#N/A</v>
      </c>
      <c r="BH141" s="1446">
        <f t="shared" si="187"/>
        <v>0</v>
      </c>
      <c r="BI141" s="465">
        <f t="shared" si="188"/>
        <v>0</v>
      </c>
      <c r="BJ141" s="465">
        <f t="shared" si="189"/>
        <v>0</v>
      </c>
      <c r="BK141" s="466">
        <f t="shared" si="158"/>
        <v>0</v>
      </c>
      <c r="BL141" s="466">
        <f t="shared" si="159"/>
        <v>0</v>
      </c>
      <c r="BM141" s="466">
        <f t="shared" si="190"/>
        <v>0</v>
      </c>
      <c r="BN141" s="466">
        <f t="shared" si="191"/>
        <v>0</v>
      </c>
      <c r="BO141" s="463">
        <f>IF('Data Entry'!$C$74=0,0,IF(ISNA(CJ141),0,IF(AX141=0,0,IF(AND('Data Entry'!$C$74=2,AF141&gt;2,CE141&lt;1),0,IF(AND('Data Entry'!$C$74=2,AF141&gt;1,AU141=2,CJ141&gt;1),0,IF(AND(AF141=5,CT141=0.5,AU141=2,ER141&lt;100),0,IF(AND(AF141=5,CT141=0.5,AU141=3,ER141&lt;100),0,IF(AND('Data Entry'!$C$74=2,AF141=2,AU141=2,AK141&gt;0.01,CB141=2,CE141&lt;1),0,IF(AND('Data Entry'!$C$74=2,AF141=3,AU141=3,AK141&gt;0.01,CB141=3,CE141&lt;1),0,IF(AND('Data Entry'!$C$74=2,AF141=3,AU141=3,AK141&gt;0.01,CB141=3,CE141&gt;0.99),BQ141*0.08,IF(AND('Data Entry'!$C$74=2,AF141=2,AU141=2,AK141&gt;0.01,CB141=2,CE141&gt;0.99),BQ141*0.1,IF(AND(AU141=2,AK141&gt;0.01,CB141=2,CD141&gt;1),BQ141*0.1,IF(AND(AU141=3,AK141&gt;0.01,CB141=3,CD141&gt;1),BQ141*0.08,CJ141*EF141)))))))))))))</f>
        <v>0</v>
      </c>
      <c r="BP141" s="475">
        <f t="shared" si="192"/>
        <v>0</v>
      </c>
      <c r="BQ141" s="1431">
        <f>IF(AU141=1,0,IF(CH141=100,0,IF(AND(AF141=3,AU141=2),0,IF(AND(BH141=0,CT141&gt;0.4),0,IF(AND('Data Entry'!$C$74=2,AF141=1.5),0,IF(AND('Data Entry'!$C$74=2,AF141=1.6),0,IF(AND('Data Entry'!$C$74=2,AF141=4),0,IF(AND('Data Entry'!$C$74=2,AF141=5),0,IF(AND('Data Entry'!$C$74=2,AF141=2.5,CE141&lt;1),0,IF(AND('Data Entry'!$C$74=2,AF141=3,CE141&lt;1),0,IF(AND('Data Entry'!$C$74=1,AF141=2.5,CD141&lt;1),0,IF(AND('Data Entry'!$C$74=1,AF141=3,CD141&lt;1),0,IF(DX141&gt;0.01,DX141,IF(ISERROR(AX141-AY141),"",ROUND(AX141-AY141,2)))))))))))))))</f>
        <v>0</v>
      </c>
      <c r="BR141" s="146">
        <f t="shared" si="193"/>
        <v>0</v>
      </c>
      <c r="BS141" s="475">
        <f t="shared" si="194"/>
        <v>0</v>
      </c>
      <c r="BT141" s="146" t="b">
        <f t="shared" si="195"/>
        <v>0</v>
      </c>
      <c r="BU141" s="463">
        <f>IF(ISNA(AT141),0,IF(AND('Data Entry'!$C$74=2,BC141=27),0,IF(AND('Data Entry'!$C$74=2,BC141=28),0,IF(AND(BC141=27,BT141=27,CM141&gt;0.1),CM141*0.15,IF(AND(BC141=28,BT141=28,CM141&gt;0.1),CM141*0.12,0)))))</f>
        <v>0</v>
      </c>
      <c r="BV141" s="463">
        <f t="shared" si="155"/>
        <v>0</v>
      </c>
      <c r="BW141" s="463">
        <f t="shared" si="196"/>
        <v>0</v>
      </c>
      <c r="BX141" s="463">
        <f t="shared" si="197"/>
        <v>0</v>
      </c>
      <c r="BY141" s="463">
        <f t="shared" si="198"/>
        <v>0</v>
      </c>
      <c r="BZ141" s="463">
        <f t="shared" si="199"/>
        <v>0</v>
      </c>
      <c r="CA141" s="57">
        <f t="shared" si="227"/>
        <v>0</v>
      </c>
      <c r="CB141" s="56">
        <f t="shared" si="200"/>
        <v>1</v>
      </c>
      <c r="CC141" s="756">
        <f>IF(EE141=0,0,IF(EF141=0,0,IF(EE141&gt;AA141,0,IF(AND(AZ141&gt;AW141,AW141&gt;0),0,IF(CU141=0,0,Summary!AC444)))))</f>
        <v>0</v>
      </c>
      <c r="CD141" s="756">
        <f>IF(EE141=0,0,IF(EF141=0,0,IF(EE141&gt;AA141,0,IF(AND(AZ141&gt;AW141,AW141&gt;0),0,IF(CU141=0,0,Summary!AD444)))))</f>
        <v>0</v>
      </c>
      <c r="CE141" s="756">
        <f>IF(EF141=0,0,IF(EE141&gt;AA141,0,IF(CC141=0,0,IF(AND(AZ141&gt;AW141,AW141&gt;0),0,IF(CU141=0,0,Summary!AE444)))))</f>
        <v>0</v>
      </c>
      <c r="CF141" s="475">
        <f t="shared" si="201"/>
        <v>0</v>
      </c>
      <c r="CG141" s="476">
        <f t="shared" si="169"/>
        <v>0</v>
      </c>
      <c r="CH141" s="487">
        <f t="shared" si="202"/>
        <v>0</v>
      </c>
      <c r="CI141" s="756">
        <f t="shared" si="203"/>
        <v>0</v>
      </c>
      <c r="CJ141" s="487">
        <f>IF(CT141&gt;0.4,0,IF(AND(AU141=2,CH141=0,CT141=0.5,ER141=100),35,IF(AND(AU141=3,BB141&gt;75,CH141=0,CT141=0.5,ER141=100),25,IF(CB141&gt;1,0,IF(EF141&gt;EE141,0,IF(AND(AF141&gt;1,CH141=100),0,IF(AND(AF141=1,AY141=0),0,IF(AND(EF141&lt;=EE141,AW141&gt;=AZ141,'Data Entry'!$C$74=1,AU141=2),VLOOKUP(W141,$DO$96:$DP$102,2,FALSE),IF(AND(EF141&lt;=EE141,AW141&gt;=AZ141,AU141=3,'Data Entry'!$C$74=1),VLOOKUP(W141,$DO$127:$DP$134,2,FALSE))))))))))</f>
        <v>0</v>
      </c>
      <c r="CK141" s="716">
        <f t="shared" si="204"/>
        <v>0</v>
      </c>
      <c r="CL141" s="57">
        <f t="shared" si="205"/>
        <v>0</v>
      </c>
      <c r="CM141" s="475">
        <f t="shared" si="154"/>
        <v>0</v>
      </c>
      <c r="CN141" s="660">
        <f>IF(CM141&lt;0.1,0,IF(ISNA(AT141),0,IF(CL141+BC141=1,0,IF(BV141&gt;0.01,0,IF(CL141&gt;0.01,0,IF(CF141=1,0,IF(BC141=0.5,0,IF(AND(CI141=1,AU141=3),0,IF(AND(CI141=5,CL141=0),0,IF(AND(R141=12,BR141=50),0,IF(CK141&gt;0.01,0,IF(AND(AJ141&gt;0.01,AU141=2,BC141=15),CM141*0.1,IF(AND(AJ141&gt;0.01,AU141=3,BC141=15),CM141*0.08,IF(AND(R141=12,BC141=3,AF141&lt;=0),0,IF(AND(BC141=15,BI141=0),0,IF(AND(BC141=15,BJ141=0),0,IF(AND(R141=20,CU141=0),0,IF($X$4=0,0,IF(AND(BC141=250,CL141=0),0,IF(AA141&lt;1,0,IF(AND(ISNUMBER(SEARCH("Area",T141)),AU141=3),0,IF(AND(AQ141&gt;0.01,AR141=0,BK141=0,BL141=0,BM141=0,BN141=0),0,IF(AND(AU141=3,CI141=7,CT141&gt;0.5),0,IF(AND(BC141=44,AU141=3,BY141=0),0,IF(AND(BC141=27,'Data Entry'!$C$74=2),0,IF(AND(BC141=28,'Data Entry'!$C$74=2),0,IF(AND(BY141+BZ141+CA141&gt;0.01,BV141=0,EQ141+ER141+ES141+ET141&lt;100),0,IF(AU141=3,CM141*0.08,IF(AU141=2,CM141*0.1,0)))))))))))))))))))))))))))))</f>
        <v>0</v>
      </c>
      <c r="CO141" s="660">
        <f t="shared" si="206"/>
        <v>0</v>
      </c>
      <c r="CP141" s="475" t="str">
        <f t="shared" si="207"/>
        <v/>
      </c>
      <c r="CQ141" s="161" t="str">
        <f>IF(AH141=0,0,IF(AU141=5,0,Summary!AC144))</f>
        <v/>
      </c>
      <c r="CR141" s="161" t="str">
        <f>IF(BF141=0.5,0,IF(AU141=5,0,Summary!AD144))</f>
        <v/>
      </c>
      <c r="CS141" s="161" t="str">
        <f>IF(AU141=5,0,Summary!AE144)</f>
        <v/>
      </c>
      <c r="CT141" s="161">
        <f t="shared" si="208"/>
        <v>0</v>
      </c>
      <c r="CU141" s="475" t="str">
        <f t="shared" si="209"/>
        <v/>
      </c>
      <c r="CV141" s="307">
        <f>IF('Data Entry'!$C$74=0,0,IF(AA141&lt;1,0,IF(ISERROR(CU141),0,IF(CF141=1,0,IF(AND(R141=12,BR141=50),0,IF(CL141+BO141+BV141+DC141=0,0,IF(BC141=37,0,IF(AND(BC141=40,AJ141=0),0,IF(AND(BC141=37,BO141&gt;0.01,BQ141&gt;0.01),ROUND(BQ141,0),IF(CM141&lt;0,0,ROUND(CM141,0)))))))))))</f>
        <v>0</v>
      </c>
      <c r="CW141" s="700">
        <f t="shared" si="210"/>
        <v>0</v>
      </c>
      <c r="CX141" s="477">
        <f>IF('Data Entry'!$C$74=0,0,IF(CV141&lt;0.01,0,IF(BF141=0.5,0,IF(CF141=1,0,IF(ISNUMBER(SEARCH("false",CL141)),0,IF(AZ141=500,0,CL141))))))</f>
        <v>0</v>
      </c>
      <c r="CY141" s="147" t="e">
        <f t="shared" si="211"/>
        <v>#VALUE!</v>
      </c>
      <c r="CZ141" s="147" t="b">
        <f>IF(CN141+CL141=0,FALSE,IF(AH141=0,0,IF(AND('Data Entry'!$C$74=1,CR141&gt;=1),TRUE,IF(AND('Data Entry'!$C$74=2,CS141&gt;=1),TRUE,FALSE))))</f>
        <v>0</v>
      </c>
      <c r="DA141" s="1751">
        <f>IF('Data Entry'!$C$74=0,0,IFERROR(ROUND(IF(T141="","",IF($X$4=0,0,IF(CF141=1,0,IF(BQ141+CV141=0,0,IF(CF141=1,0,IF(CY141&gt;0.01,CY141,IF(CL141&gt;0.01,CL141,IF(CY141&gt;0.01,CY141,IF(BC141=37,BO141,IF(CZ141=FALSE,0,IF(CZ141=TRUE,DC141+DF141,0))))))))))),2),""))</f>
        <v>0</v>
      </c>
      <c r="DB141" s="1752"/>
      <c r="DC141" s="474">
        <f>IF(CN141&lt;0.01,0,IF(AND(BR141=3,CN141&gt;0.01,CT141&gt;0.6,ER141+ES141+ET141&lt;100),0,IF(AND('Data Entry'!$C$74=1,CN141&gt;0.01,CR141&gt;0.99),MIN(CN141:CO141),IF(AND('Data Entry'!$C$74=2,CN141&gt;0.01,CS141&gt;0.99),MIN(CN141:CO141),0))))</f>
        <v>0</v>
      </c>
      <c r="DD141" s="478">
        <f>IF(CF141=1,"Selection does not match",IF(T141=0,0,IF(AND('Data Entry'!$C$74=0,CP141&gt;1),"Select Oregon or Idaho on Data Entry Tab",IF(AND(AU141=1,AA141&gt;0.9),"Missing Interior or Exterior Selection",IF($X$4=0,"Enter Total Project Cost",IF(AQ141&lt;AR141,"Insufficient kWh savings – no incentive",IF(AND(SUM(CL141+CK141+BV141)&gt;0.01,'Data Entry'!$C$74=2,CJ141&gt;1,BO141=0),"Submit Control as Non-Standard",IF(AND('Data Entry'!$C$74=2,BR141=37,CJ141&gt;1,BO141=0),"Submit Control as Non-Standard",IF(SUM(CL141+CK141+BV141)&gt;0.01,"Standard Incentive",IF(AND('Data Entry'!$C$74=2,CP141=7,CN141=0),"Submit as Non-Standard",IF(DC141&gt;0.9,"Non-Standard Incentive",IF(AND(BY141+BZ141+CA141&gt;0.01,BV141=0,EQ141=0,ER141=0,ES141=0,ET141=0),"Scroll Right &amp; Select Control Strategies",IF(AND(CN141&gt;0.01,CO141=0),"Enter Unit Installed Cost",IF(ISNUMBER(SEARCH("Lighting Controls Only",F141)),"Lighting Controls Only",IF(CL141+DC141=0,"Does not meet incentive criteria",0)))))))))))))))</f>
        <v>0</v>
      </c>
      <c r="DE141" s="337">
        <f t="shared" si="212"/>
        <v>0</v>
      </c>
      <c r="DF141" s="609">
        <f t="shared" si="213"/>
        <v>0</v>
      </c>
      <c r="DG141" s="336" t="str">
        <f t="shared" si="214"/>
        <v/>
      </c>
      <c r="DH141" s="338">
        <f t="shared" si="215"/>
        <v>1</v>
      </c>
      <c r="DI141" s="336" t="e">
        <f t="shared" si="170"/>
        <v>#VALUE!</v>
      </c>
      <c r="DJ141" s="338">
        <f t="shared" si="171"/>
        <v>0</v>
      </c>
      <c r="DK141" s="325" t="s">
        <v>84</v>
      </c>
      <c r="DL141" s="341">
        <v>1080</v>
      </c>
      <c r="DM141" s="325" t="s">
        <v>1090</v>
      </c>
      <c r="DN141" s="1123">
        <v>24</v>
      </c>
      <c r="DO141" s="361"/>
      <c r="DP141" s="329"/>
      <c r="DQ141" s="361"/>
      <c r="DR141" s="357"/>
      <c r="DS141" s="1195">
        <f t="shared" si="216"/>
        <v>0</v>
      </c>
      <c r="DT141" s="344" t="b">
        <f t="shared" si="217"/>
        <v>1</v>
      </c>
      <c r="DU141" s="1314" t="str">
        <f t="array" ref="DU141">IF(OR(COUNTIF(F141,"*"&amp;$DK$9:$DK$178&amp;"*")), "Yes", "")</f>
        <v/>
      </c>
      <c r="DV141" s="1314">
        <f t="shared" si="218"/>
        <v>0</v>
      </c>
      <c r="DW141" s="1480">
        <f t="shared" si="219"/>
        <v>0</v>
      </c>
      <c r="DX141" s="1498">
        <f t="shared" si="228"/>
        <v>0</v>
      </c>
      <c r="DY141" s="1484">
        <f t="shared" si="220"/>
        <v>0</v>
      </c>
      <c r="DZ141" s="331"/>
      <c r="EA141" s="392"/>
      <c r="EB141" s="1499" t="s">
        <v>80</v>
      </c>
      <c r="EC141" s="727" t="s">
        <v>1568</v>
      </c>
      <c r="ED141" s="728">
        <v>0.5</v>
      </c>
      <c r="EE141" s="1215"/>
      <c r="EF141" s="1215"/>
      <c r="EG141" s="1184" t="str">
        <f t="shared" si="221"/>
        <v/>
      </c>
      <c r="EH141" s="55"/>
      <c r="EI141" s="55"/>
      <c r="EJ141" s="1185">
        <f t="shared" si="172"/>
        <v>0</v>
      </c>
      <c r="EK141" s="1211"/>
      <c r="EL141" s="1180">
        <f t="shared" si="173"/>
        <v>0</v>
      </c>
      <c r="EM141" s="206"/>
      <c r="EN141" s="1038"/>
      <c r="EO141" s="1038"/>
      <c r="EP141" s="1038"/>
      <c r="EQ141" s="1038">
        <f t="shared" si="222"/>
        <v>0</v>
      </c>
      <c r="ER141" s="1041">
        <f t="shared" si="223"/>
        <v>0</v>
      </c>
      <c r="ES141" s="1042">
        <f t="shared" si="224"/>
        <v>0</v>
      </c>
      <c r="ET141" s="1042">
        <f t="shared" si="229"/>
        <v>0</v>
      </c>
      <c r="EU141" s="1021">
        <f t="shared" si="230"/>
        <v>0</v>
      </c>
      <c r="EV141" s="368"/>
      <c r="EW141" s="368"/>
      <c r="EX141" s="369"/>
      <c r="EY141" s="370"/>
      <c r="EZ141" s="370"/>
      <c r="FA141" s="371"/>
      <c r="FB141" s="372"/>
    </row>
    <row r="142" spans="1:158" ht="34.5" customHeight="1">
      <c r="A142" s="82">
        <v>134</v>
      </c>
      <c r="B142" s="1725"/>
      <c r="C142" s="1726"/>
      <c r="D142" s="1726"/>
      <c r="E142" s="1727"/>
      <c r="F142" s="1732"/>
      <c r="G142" s="1733"/>
      <c r="H142" s="1733"/>
      <c r="I142" s="1734"/>
      <c r="J142" s="1341"/>
      <c r="K142" s="1728"/>
      <c r="L142" s="1728"/>
      <c r="M142" s="1342"/>
      <c r="N142" s="1583"/>
      <c r="O142" s="208" t="str">
        <f t="shared" si="160"/>
        <v/>
      </c>
      <c r="P142" s="785"/>
      <c r="Q142" s="39" t="str">
        <f t="shared" si="161"/>
        <v/>
      </c>
      <c r="R142" s="39">
        <f t="shared" si="174"/>
        <v>0</v>
      </c>
      <c r="S142" s="234">
        <f t="shared" si="175"/>
        <v>0</v>
      </c>
      <c r="T142" s="1755"/>
      <c r="U142" s="1755"/>
      <c r="V142" s="1755"/>
      <c r="W142" s="1345"/>
      <c r="X142" s="1741"/>
      <c r="Y142" s="1742"/>
      <c r="Z142" s="1346"/>
      <c r="AA142" s="1343"/>
      <c r="AB142" s="1141"/>
      <c r="AC142" s="1103" t="str">
        <f>IF(T142="","",VLOOKUP(Z142,Lists!$A$60:$B$111,2,FALSE))</f>
        <v/>
      </c>
      <c r="AD142" s="130" t="str">
        <f t="shared" si="176"/>
        <v/>
      </c>
      <c r="AE142" s="130" t="e">
        <f t="shared" si="177"/>
        <v>#VALUE!</v>
      </c>
      <c r="AF142" s="130">
        <f t="shared" si="178"/>
        <v>1</v>
      </c>
      <c r="AG142" s="234">
        <f t="shared" si="162"/>
        <v>0</v>
      </c>
      <c r="AH142" s="1753" t="str">
        <f>IF(T142="","",(IF(ISNUMBER(SEARCH("exit",T142)),8760,IF(AND(M142="Dusk to Dawn",'Proposed Lighting'!AU142=3),4059,IF(AND(AU142=3,M142="1"),0,IF(AND(AU142=3,M142="1-C"),0,IF(AND(AU142=3,M142="2"),0,IF(AND(AU142=3,M142="2-C"),0,IF(AND(AU142=3,M142="3"),0,IF(AND(AU142=3,M142="3-C"),0,IF(AND(AU142=2,M142="Dusk to Dawn"),0,IF(AND(AU142=2,M142="Dusk to Dawn-C"),0,IF(AND(AU142=2,M142="Dusk to Dawn"),0,IF(AND(AU142=2,M142="E"),0,IF(AND(AU142=2,M142="E-C"),0,EG142)))))))))))))))</f>
        <v/>
      </c>
      <c r="AI142" s="1754"/>
      <c r="AJ142" s="1136"/>
      <c r="AK142" s="1136"/>
      <c r="AL142" s="1748">
        <f t="shared" si="179"/>
        <v>0</v>
      </c>
      <c r="AM142" s="1749"/>
      <c r="AN142" s="1750"/>
      <c r="AO142" s="476">
        <f t="shared" si="163"/>
        <v>0</v>
      </c>
      <c r="AP142" s="476">
        <f t="shared" si="180"/>
        <v>0</v>
      </c>
      <c r="AQ142" s="475">
        <f t="shared" si="164"/>
        <v>0</v>
      </c>
      <c r="AR142" s="475">
        <f t="shared" si="181"/>
        <v>0</v>
      </c>
      <c r="AS142" s="743" t="str">
        <f t="shared" si="156"/>
        <v/>
      </c>
      <c r="AT142" s="736" t="str">
        <f t="shared" si="182"/>
        <v/>
      </c>
      <c r="AU142" s="56">
        <f t="shared" si="183"/>
        <v>1</v>
      </c>
      <c r="AV142" s="476">
        <f t="shared" si="184"/>
        <v>0</v>
      </c>
      <c r="AW142" s="56">
        <f t="shared" si="185"/>
        <v>0</v>
      </c>
      <c r="AX142" s="475">
        <f t="shared" si="165"/>
        <v>0</v>
      </c>
      <c r="AY142" s="1169">
        <f t="shared" si="186"/>
        <v>0</v>
      </c>
      <c r="AZ142" s="1150">
        <f t="shared" si="225"/>
        <v>0</v>
      </c>
      <c r="BA142" s="56">
        <f t="shared" si="166"/>
        <v>0</v>
      </c>
      <c r="BB142" s="420">
        <f t="shared" si="167"/>
        <v>0</v>
      </c>
      <c r="BC142" s="58" t="str">
        <f t="shared" si="168"/>
        <v/>
      </c>
      <c r="BD142" s="660">
        <f t="shared" si="226"/>
        <v>0</v>
      </c>
      <c r="BE142" s="57" t="e">
        <f t="array" ref="BE142">INDEX($EB$11:$ED$1022,MATCH(F142&amp;T142,$EB$11:$EB$1007&amp;$EC$11:$EC$1007,0),3)</f>
        <v>#N/A</v>
      </c>
      <c r="BF142" s="463">
        <f t="shared" si="157"/>
        <v>0</v>
      </c>
      <c r="BG142" s="1445" t="e">
        <f t="array" ref="BG142">INDEX($DO$112:$DQ$123,MATCH(T142&amp;W142,$DO$114:$DO$125&amp;$DP$112:$DP$123,0),3)</f>
        <v>#N/A</v>
      </c>
      <c r="BH142" s="1446">
        <f t="shared" si="187"/>
        <v>0</v>
      </c>
      <c r="BI142" s="465">
        <f t="shared" si="188"/>
        <v>0</v>
      </c>
      <c r="BJ142" s="465">
        <f t="shared" si="189"/>
        <v>0</v>
      </c>
      <c r="BK142" s="466">
        <f t="shared" si="158"/>
        <v>0</v>
      </c>
      <c r="BL142" s="466">
        <f t="shared" si="159"/>
        <v>0</v>
      </c>
      <c r="BM142" s="466">
        <f t="shared" si="190"/>
        <v>0</v>
      </c>
      <c r="BN142" s="466">
        <f t="shared" si="191"/>
        <v>0</v>
      </c>
      <c r="BO142" s="463">
        <f>IF('Data Entry'!$C$74=0,0,IF(ISNA(CJ142),0,IF(AX142=0,0,IF(AND('Data Entry'!$C$74=2,AF142&gt;2,CE142&lt;1),0,IF(AND('Data Entry'!$C$74=2,AF142&gt;1,AU142=2,CJ142&gt;1),0,IF(AND(AF142=5,CT142=0.5,AU142=2,ER142&lt;100),0,IF(AND(AF142=5,CT142=0.5,AU142=3,ER142&lt;100),0,IF(AND('Data Entry'!$C$74=2,AF142=2,AU142=2,AK142&gt;0.01,CB142=2,CE142&lt;1),0,IF(AND('Data Entry'!$C$74=2,AF142=3,AU142=3,AK142&gt;0.01,CB142=3,CE142&lt;1),0,IF(AND('Data Entry'!$C$74=2,AF142=3,AU142=3,AK142&gt;0.01,CB142=3,CE142&gt;0.99),BQ142*0.08,IF(AND('Data Entry'!$C$74=2,AF142=2,AU142=2,AK142&gt;0.01,CB142=2,CE142&gt;0.99),BQ142*0.1,IF(AND(AU142=2,AK142&gt;0.01,CB142=2,CD142&gt;1),BQ142*0.1,IF(AND(AU142=3,AK142&gt;0.01,CB142=3,CD142&gt;1),BQ142*0.08,CJ142*EF142)))))))))))))</f>
        <v>0</v>
      </c>
      <c r="BP142" s="475">
        <f t="shared" si="192"/>
        <v>0</v>
      </c>
      <c r="BQ142" s="1431">
        <f>IF(AU142=1,0,IF(CH142=100,0,IF(AND(AF142=3,AU142=2),0,IF(AND(BH142=0,CT142&gt;0.4),0,IF(AND('Data Entry'!$C$74=2,AF142=1.5),0,IF(AND('Data Entry'!$C$74=2,AF142=1.6),0,IF(AND('Data Entry'!$C$74=2,AF142=4),0,IF(AND('Data Entry'!$C$74=2,AF142=5),0,IF(AND('Data Entry'!$C$74=2,AF142=2.5,CE142&lt;1),0,IF(AND('Data Entry'!$C$74=2,AF142=3,CE142&lt;1),0,IF(AND('Data Entry'!$C$74=1,AF142=2.5,CD142&lt;1),0,IF(AND('Data Entry'!$C$74=1,AF142=3,CD142&lt;1),0,IF(DX142&gt;0.01,DX142,IF(ISERROR(AX142-AY142),"",ROUND(AX142-AY142,2)))))))))))))))</f>
        <v>0</v>
      </c>
      <c r="BR142" s="146">
        <f t="shared" si="193"/>
        <v>0</v>
      </c>
      <c r="BS142" s="475">
        <f t="shared" si="194"/>
        <v>0</v>
      </c>
      <c r="BT142" s="146" t="b">
        <f t="shared" si="195"/>
        <v>0</v>
      </c>
      <c r="BU142" s="463">
        <f>IF(ISNA(AT142),0,IF(AND('Data Entry'!$C$74=2,BC142=27),0,IF(AND('Data Entry'!$C$74=2,BC142=28),0,IF(AND(BC142=27,BT142=27,CM142&gt;0.1),CM142*0.15,IF(AND(BC142=28,BT142=28,CM142&gt;0.1),CM142*0.12,0)))))</f>
        <v>0</v>
      </c>
      <c r="BV142" s="463">
        <f t="shared" si="155"/>
        <v>0</v>
      </c>
      <c r="BW142" s="463">
        <f t="shared" si="196"/>
        <v>0</v>
      </c>
      <c r="BX142" s="463">
        <f t="shared" si="197"/>
        <v>0</v>
      </c>
      <c r="BY142" s="463">
        <f t="shared" si="198"/>
        <v>0</v>
      </c>
      <c r="BZ142" s="463">
        <f t="shared" si="199"/>
        <v>0</v>
      </c>
      <c r="CA142" s="57">
        <f t="shared" si="227"/>
        <v>0</v>
      </c>
      <c r="CB142" s="56">
        <f t="shared" si="200"/>
        <v>1</v>
      </c>
      <c r="CC142" s="756">
        <f>IF(EE142=0,0,IF(EF142=0,0,IF(EE142&gt;AA142,0,IF(AND(AZ142&gt;AW142,AW142&gt;0),0,IF(CU142=0,0,Summary!AC445)))))</f>
        <v>0</v>
      </c>
      <c r="CD142" s="756">
        <f>IF(EE142=0,0,IF(EF142=0,0,IF(EE142&gt;AA142,0,IF(AND(AZ142&gt;AW142,AW142&gt;0),0,IF(CU142=0,0,Summary!AD445)))))</f>
        <v>0</v>
      </c>
      <c r="CE142" s="756">
        <f>IF(EF142=0,0,IF(EE142&gt;AA142,0,IF(CC142=0,0,IF(AND(AZ142&gt;AW142,AW142&gt;0),0,IF(CU142=0,0,Summary!AE445)))))</f>
        <v>0</v>
      </c>
      <c r="CF142" s="475">
        <f t="shared" si="201"/>
        <v>0</v>
      </c>
      <c r="CG142" s="476">
        <f t="shared" si="169"/>
        <v>0</v>
      </c>
      <c r="CH142" s="487">
        <f t="shared" si="202"/>
        <v>0</v>
      </c>
      <c r="CI142" s="756">
        <f t="shared" si="203"/>
        <v>0</v>
      </c>
      <c r="CJ142" s="487">
        <f>IF(CT142&gt;0.4,0,IF(AND(AU142=2,CH142=0,CT142=0.5,ER142=100),35,IF(AND(AU142=3,BB142&gt;75,CH142=0,CT142=0.5,ER142=100),25,IF(CB142&gt;1,0,IF(EF142&gt;EE142,0,IF(AND(AF142&gt;1,CH142=100),0,IF(AND(AF142=1,AY142=0),0,IF(AND(EF142&lt;=EE142,AW142&gt;=AZ142,'Data Entry'!$C$74=1,AU142=2),VLOOKUP(W142,$DO$96:$DP$102,2,FALSE),IF(AND(EF142&lt;=EE142,AW142&gt;=AZ142,AU142=3,'Data Entry'!$C$74=1),VLOOKUP(W142,$DO$127:$DP$134,2,FALSE))))))))))</f>
        <v>0</v>
      </c>
      <c r="CK142" s="716">
        <f t="shared" si="204"/>
        <v>0</v>
      </c>
      <c r="CL142" s="57">
        <f t="shared" si="205"/>
        <v>0</v>
      </c>
      <c r="CM142" s="475">
        <f t="shared" ref="CM142:CM205" si="231">IF(AA142&lt;1,0,ROUND(AQ142-AR142,2))</f>
        <v>0</v>
      </c>
      <c r="CN142" s="660">
        <f>IF(CM142&lt;0.1,0,IF(ISNA(AT142),0,IF(CL142+BC142=1,0,IF(BV142&gt;0.01,0,IF(CL142&gt;0.01,0,IF(CF142=1,0,IF(BC142=0.5,0,IF(AND(CI142=1,AU142=3),0,IF(AND(CI142=5,CL142=0),0,IF(AND(R142=12,BR142=50),0,IF(CK142&gt;0.01,0,IF(AND(AJ142&gt;0.01,AU142=2,BC142=15),CM142*0.1,IF(AND(AJ142&gt;0.01,AU142=3,BC142=15),CM142*0.08,IF(AND(R142=12,BC142=3,AF142&lt;=0),0,IF(AND(BC142=15,BI142=0),0,IF(AND(BC142=15,BJ142=0),0,IF(AND(R142=20,CU142=0),0,IF($X$4=0,0,IF(AND(BC142=250,CL142=0),0,IF(AA142&lt;1,0,IF(AND(ISNUMBER(SEARCH("Area",T142)),AU142=3),0,IF(AND(AQ142&gt;0.01,AR142=0,BK142=0,BL142=0,BM142=0,BN142=0),0,IF(AND(AU142=3,CI142=7,CT142&gt;0.5),0,IF(AND(BC142=44,AU142=3,BY142=0),0,IF(AND(BC142=27,'Data Entry'!$C$74=2),0,IF(AND(BC142=28,'Data Entry'!$C$74=2),0,IF(AND(BY142+BZ142+CA142&gt;0.01,BV142=0,EQ142+ER142+ES142+ET142&lt;100),0,IF(AU142=3,CM142*0.08,IF(AU142=2,CM142*0.1,0)))))))))))))))))))))))))))))</f>
        <v>0</v>
      </c>
      <c r="CO142" s="660">
        <f t="shared" si="206"/>
        <v>0</v>
      </c>
      <c r="CP142" s="475" t="str">
        <f t="shared" si="207"/>
        <v/>
      </c>
      <c r="CQ142" s="161" t="str">
        <f>IF(AH142=0,0,IF(AU142=5,0,Summary!AC145))</f>
        <v/>
      </c>
      <c r="CR142" s="161" t="str">
        <f>IF(BF142=0.5,0,IF(AU142=5,0,Summary!AD145))</f>
        <v/>
      </c>
      <c r="CS142" s="161" t="str">
        <f>IF(AU142=5,0,Summary!AE145)</f>
        <v/>
      </c>
      <c r="CT142" s="161">
        <f t="shared" si="208"/>
        <v>0</v>
      </c>
      <c r="CU142" s="475" t="str">
        <f t="shared" si="209"/>
        <v/>
      </c>
      <c r="CV142" s="307">
        <f>IF('Data Entry'!$C$74=0,0,IF(AA142&lt;1,0,IF(ISERROR(CU142),0,IF(CF142=1,0,IF(AND(R142=12,BR142=50),0,IF(CL142+BO142+BV142+DC142=0,0,IF(BC142=37,0,IF(AND(BC142=40,AJ142=0),0,IF(AND(BC142=37,BO142&gt;0.01,BQ142&gt;0.01),ROUND(BQ142,0),IF(CM142&lt;0,0,ROUND(CM142,0)))))))))))</f>
        <v>0</v>
      </c>
      <c r="CW142" s="700">
        <f t="shared" si="210"/>
        <v>0</v>
      </c>
      <c r="CX142" s="477">
        <f>IF('Data Entry'!$C$74=0,0,IF(CV142&lt;0.01,0,IF(BF142=0.5,0,IF(CF142=1,0,IF(ISNUMBER(SEARCH("false",CL142)),0,IF(AZ142=500,0,CL142))))))</f>
        <v>0</v>
      </c>
      <c r="CY142" s="147" t="e">
        <f t="shared" si="211"/>
        <v>#VALUE!</v>
      </c>
      <c r="CZ142" s="147" t="b">
        <f>IF(CN142+CL142=0,FALSE,IF(AH142=0,0,IF(AND('Data Entry'!$C$74=1,CR142&gt;=1),TRUE,IF(AND('Data Entry'!$C$74=2,CS142&gt;=1),TRUE,FALSE))))</f>
        <v>0</v>
      </c>
      <c r="DA142" s="1751">
        <f>IF('Data Entry'!$C$74=0,0,IFERROR(ROUND(IF(T142="","",IF($X$4=0,0,IF(CF142=1,0,IF(BQ142+CV142=0,0,IF(CF142=1,0,IF(CY142&gt;0.01,CY142,IF(CL142&gt;0.01,CL142,IF(CY142&gt;0.01,CY142,IF(BC142=37,BO142,IF(CZ142=FALSE,0,IF(CZ142=TRUE,DC142+DF142,0))))))))))),2),""))</f>
        <v>0</v>
      </c>
      <c r="DB142" s="1752"/>
      <c r="DC142" s="474">
        <f>IF(CN142&lt;0.01,0,IF(AND(BR142=3,CN142&gt;0.01,CT142&gt;0.6,ER142+ES142+ET142&lt;100),0,IF(AND('Data Entry'!$C$74=1,CN142&gt;0.01,CR142&gt;0.99),MIN(CN142:CO142),IF(AND('Data Entry'!$C$74=2,CN142&gt;0.01,CS142&gt;0.99),MIN(CN142:CO142),0))))</f>
        <v>0</v>
      </c>
      <c r="DD142" s="478">
        <f>IF(CF142=1,"Selection does not match",IF(T142=0,0,IF(AND('Data Entry'!$C$74=0,CP142&gt;1),"Select Oregon or Idaho on Data Entry Tab",IF(AND(AU142=1,AA142&gt;0.9),"Missing Interior or Exterior Selection",IF($X$4=0,"Enter Total Project Cost",IF(AQ142&lt;AR142,"Insufficient kWh savings – no incentive",IF(AND(SUM(CL142+CK142+BV142)&gt;0.01,'Data Entry'!$C$74=2,CJ142&gt;1,BO142=0),"Submit Control as Non-Standard",IF(AND('Data Entry'!$C$74=2,BR142=37,CJ142&gt;1,BO142=0),"Submit Control as Non-Standard",IF(SUM(CL142+CK142+BV142)&gt;0.01,"Standard Incentive",IF(AND('Data Entry'!$C$74=2,CP142=7,CN142=0),"Submit as Non-Standard",IF(DC142&gt;0.9,"Non-Standard Incentive",IF(AND(BY142+BZ142+CA142&gt;0.01,BV142=0,EQ142=0,ER142=0,ES142=0,ET142=0),"Scroll Right &amp; Select Control Strategies",IF(AND(CN142&gt;0.01,CO142=0),"Enter Unit Installed Cost",IF(ISNUMBER(SEARCH("Lighting Controls Only",F142)),"Lighting Controls Only",IF(CL142+DC142=0,"Does not meet incentive criteria",0)))))))))))))))</f>
        <v>0</v>
      </c>
      <c r="DE142" s="337">
        <f t="shared" si="212"/>
        <v>0</v>
      </c>
      <c r="DF142" s="609">
        <f t="shared" si="213"/>
        <v>0</v>
      </c>
      <c r="DG142" s="336" t="str">
        <f t="shared" si="214"/>
        <v/>
      </c>
      <c r="DH142" s="338">
        <f t="shared" si="215"/>
        <v>1</v>
      </c>
      <c r="DI142" s="336" t="e">
        <f t="shared" si="170"/>
        <v>#VALUE!</v>
      </c>
      <c r="DJ142" s="338">
        <f t="shared" si="171"/>
        <v>0</v>
      </c>
      <c r="DK142" s="362" t="s">
        <v>85</v>
      </c>
      <c r="DL142" s="323">
        <v>44</v>
      </c>
      <c r="DM142" s="326" t="s">
        <v>316</v>
      </c>
      <c r="DN142" s="1123">
        <v>32</v>
      </c>
      <c r="DO142" s="356"/>
      <c r="DP142" s="329"/>
      <c r="DQ142" s="356"/>
      <c r="DR142" s="357"/>
      <c r="DS142" s="1195">
        <f t="shared" si="216"/>
        <v>0</v>
      </c>
      <c r="DT142" s="344" t="b">
        <f t="shared" si="217"/>
        <v>1</v>
      </c>
      <c r="DU142" s="1314" t="str">
        <f t="array" ref="DU142">IF(OR(COUNTIF(F142,"*"&amp;$DK$9:$DK$178&amp;"*")), "Yes", "")</f>
        <v/>
      </c>
      <c r="DV142" s="1314">
        <f t="shared" si="218"/>
        <v>0</v>
      </c>
      <c r="DW142" s="1480">
        <f t="shared" si="219"/>
        <v>0</v>
      </c>
      <c r="DX142" s="1498">
        <f t="shared" si="228"/>
        <v>0</v>
      </c>
      <c r="DY142" s="1484">
        <f t="shared" si="220"/>
        <v>0</v>
      </c>
      <c r="DZ142" s="331"/>
      <c r="EA142" s="392"/>
      <c r="EB142" s="1499" t="s">
        <v>81</v>
      </c>
      <c r="EC142" s="727" t="s">
        <v>1568</v>
      </c>
      <c r="ED142" s="728">
        <v>0.5</v>
      </c>
      <c r="EE142" s="1215"/>
      <c r="EF142" s="1215"/>
      <c r="EG142" s="1184" t="str">
        <f t="shared" si="221"/>
        <v/>
      </c>
      <c r="EH142" s="55"/>
      <c r="EI142" s="55"/>
      <c r="EJ142" s="1185">
        <f t="shared" si="172"/>
        <v>0</v>
      </c>
      <c r="EK142" s="1211"/>
      <c r="EL142" s="1180">
        <f t="shared" si="173"/>
        <v>0</v>
      </c>
      <c r="EM142" s="206"/>
      <c r="EN142" s="1038"/>
      <c r="EO142" s="1038"/>
      <c r="EP142" s="1038"/>
      <c r="EQ142" s="1038">
        <f t="shared" si="222"/>
        <v>0</v>
      </c>
      <c r="ER142" s="1041">
        <f t="shared" si="223"/>
        <v>0</v>
      </c>
      <c r="ES142" s="1042">
        <f t="shared" si="224"/>
        <v>0</v>
      </c>
      <c r="ET142" s="1042">
        <f t="shared" si="229"/>
        <v>0</v>
      </c>
      <c r="EU142" s="1021">
        <f t="shared" si="230"/>
        <v>0</v>
      </c>
      <c r="EV142" s="368"/>
      <c r="EW142" s="368"/>
      <c r="EX142" s="369"/>
      <c r="EY142" s="370"/>
      <c r="EZ142" s="370"/>
      <c r="FA142" s="371"/>
      <c r="FB142" s="372"/>
    </row>
    <row r="143" spans="1:158" ht="34.5" customHeight="1">
      <c r="A143" s="82">
        <v>135</v>
      </c>
      <c r="B143" s="1725"/>
      <c r="C143" s="1726"/>
      <c r="D143" s="1726"/>
      <c r="E143" s="1727"/>
      <c r="F143" s="1732"/>
      <c r="G143" s="1733"/>
      <c r="H143" s="1733"/>
      <c r="I143" s="1734"/>
      <c r="J143" s="1341"/>
      <c r="K143" s="1728"/>
      <c r="L143" s="1728"/>
      <c r="M143" s="1342"/>
      <c r="N143" s="1583"/>
      <c r="O143" s="208" t="str">
        <f t="shared" si="160"/>
        <v/>
      </c>
      <c r="P143" s="785"/>
      <c r="Q143" s="39" t="str">
        <f t="shared" si="161"/>
        <v/>
      </c>
      <c r="R143" s="39">
        <f t="shared" si="174"/>
        <v>0</v>
      </c>
      <c r="S143" s="234">
        <f t="shared" si="175"/>
        <v>0</v>
      </c>
      <c r="T143" s="1755"/>
      <c r="U143" s="1755"/>
      <c r="V143" s="1755"/>
      <c r="W143" s="1345"/>
      <c r="X143" s="1741"/>
      <c r="Y143" s="1742"/>
      <c r="Z143" s="1346"/>
      <c r="AA143" s="1343"/>
      <c r="AB143" s="1141"/>
      <c r="AC143" s="1103" t="str">
        <f>IF(T143="","",VLOOKUP(Z143,Lists!$A$60:$B$111,2,FALSE))</f>
        <v/>
      </c>
      <c r="AD143" s="130" t="str">
        <f t="shared" si="176"/>
        <v/>
      </c>
      <c r="AE143" s="130" t="e">
        <f t="shared" si="177"/>
        <v>#VALUE!</v>
      </c>
      <c r="AF143" s="130">
        <f t="shared" si="178"/>
        <v>1</v>
      </c>
      <c r="AG143" s="234">
        <f t="shared" si="162"/>
        <v>0</v>
      </c>
      <c r="AH143" s="1753" t="str">
        <f>IF(T143="","",(IF(ISNUMBER(SEARCH("exit",T143)),8760,IF(AND(M143="Dusk to Dawn",'Proposed Lighting'!AU143=3),4059,IF(AND(AU143=3,M143="1"),0,IF(AND(AU143=3,M143="1-C"),0,IF(AND(AU143=3,M143="2"),0,IF(AND(AU143=3,M143="2-C"),0,IF(AND(AU143=3,M143="3"),0,IF(AND(AU143=3,M143="3-C"),0,IF(AND(AU143=2,M143="Dusk to Dawn"),0,IF(AND(AU143=2,M143="Dusk to Dawn-C"),0,IF(AND(AU143=2,M143="Dusk to Dawn"),0,IF(AND(AU143=2,M143="E"),0,IF(AND(AU143=2,M143="E-C"),0,EG143)))))))))))))))</f>
        <v/>
      </c>
      <c r="AI143" s="1754"/>
      <c r="AJ143" s="1136"/>
      <c r="AK143" s="1136"/>
      <c r="AL143" s="1748">
        <f t="shared" si="179"/>
        <v>0</v>
      </c>
      <c r="AM143" s="1749"/>
      <c r="AN143" s="1750"/>
      <c r="AO143" s="476">
        <f t="shared" si="163"/>
        <v>0</v>
      </c>
      <c r="AP143" s="476">
        <f t="shared" si="180"/>
        <v>0</v>
      </c>
      <c r="AQ143" s="475">
        <f t="shared" si="164"/>
        <v>0</v>
      </c>
      <c r="AR143" s="475">
        <f t="shared" si="181"/>
        <v>0</v>
      </c>
      <c r="AS143" s="743" t="str">
        <f t="shared" si="156"/>
        <v/>
      </c>
      <c r="AT143" s="736" t="str">
        <f t="shared" si="182"/>
        <v/>
      </c>
      <c r="AU143" s="56">
        <f t="shared" si="183"/>
        <v>1</v>
      </c>
      <c r="AV143" s="476">
        <f t="shared" si="184"/>
        <v>0</v>
      </c>
      <c r="AW143" s="56">
        <f t="shared" si="185"/>
        <v>0</v>
      </c>
      <c r="AX143" s="475">
        <f t="shared" si="165"/>
        <v>0</v>
      </c>
      <c r="AY143" s="1169">
        <f t="shared" si="186"/>
        <v>0</v>
      </c>
      <c r="AZ143" s="1150">
        <f t="shared" si="225"/>
        <v>0</v>
      </c>
      <c r="BA143" s="56">
        <f t="shared" si="166"/>
        <v>0</v>
      </c>
      <c r="BB143" s="420">
        <f t="shared" si="167"/>
        <v>0</v>
      </c>
      <c r="BC143" s="58" t="str">
        <f t="shared" si="168"/>
        <v/>
      </c>
      <c r="BD143" s="660">
        <f t="shared" si="226"/>
        <v>0</v>
      </c>
      <c r="BE143" s="57" t="e">
        <f t="array" ref="BE143">INDEX($EB$11:$ED$1022,MATCH(F143&amp;T143,$EB$11:$EB$1007&amp;$EC$11:$EC$1007,0),3)</f>
        <v>#N/A</v>
      </c>
      <c r="BF143" s="463">
        <f t="shared" si="157"/>
        <v>0</v>
      </c>
      <c r="BG143" s="1445" t="e">
        <f t="array" ref="BG143">INDEX($DO$112:$DQ$123,MATCH(T143&amp;W143,$DO$114:$DO$125&amp;$DP$112:$DP$123,0),3)</f>
        <v>#N/A</v>
      </c>
      <c r="BH143" s="1446">
        <f t="shared" si="187"/>
        <v>0</v>
      </c>
      <c r="BI143" s="465">
        <f t="shared" si="188"/>
        <v>0</v>
      </c>
      <c r="BJ143" s="465">
        <f t="shared" si="189"/>
        <v>0</v>
      </c>
      <c r="BK143" s="466">
        <f t="shared" si="158"/>
        <v>0</v>
      </c>
      <c r="BL143" s="466">
        <f t="shared" si="159"/>
        <v>0</v>
      </c>
      <c r="BM143" s="466">
        <f t="shared" si="190"/>
        <v>0</v>
      </c>
      <c r="BN143" s="466">
        <f t="shared" si="191"/>
        <v>0</v>
      </c>
      <c r="BO143" s="463">
        <f>IF('Data Entry'!$C$74=0,0,IF(ISNA(CJ143),0,IF(AX143=0,0,IF(AND('Data Entry'!$C$74=2,AF143&gt;2,CE143&lt;1),0,IF(AND('Data Entry'!$C$74=2,AF143&gt;1,AU143=2,CJ143&gt;1),0,IF(AND(AF143=5,CT143=0.5,AU143=2,ER143&lt;100),0,IF(AND(AF143=5,CT143=0.5,AU143=3,ER143&lt;100),0,IF(AND('Data Entry'!$C$74=2,AF143=2,AU143=2,AK143&gt;0.01,CB143=2,CE143&lt;1),0,IF(AND('Data Entry'!$C$74=2,AF143=3,AU143=3,AK143&gt;0.01,CB143=3,CE143&lt;1),0,IF(AND('Data Entry'!$C$74=2,AF143=3,AU143=3,AK143&gt;0.01,CB143=3,CE143&gt;0.99),BQ143*0.08,IF(AND('Data Entry'!$C$74=2,AF143=2,AU143=2,AK143&gt;0.01,CB143=2,CE143&gt;0.99),BQ143*0.1,IF(AND(AU143=2,AK143&gt;0.01,CB143=2,CD143&gt;1),BQ143*0.1,IF(AND(AU143=3,AK143&gt;0.01,CB143=3,CD143&gt;1),BQ143*0.08,CJ143*EF143)))))))))))))</f>
        <v>0</v>
      </c>
      <c r="BP143" s="475">
        <f t="shared" si="192"/>
        <v>0</v>
      </c>
      <c r="BQ143" s="1431">
        <f>IF(AU143=1,0,IF(CH143=100,0,IF(AND(AF143=3,AU143=2),0,IF(AND(BH143=0,CT143&gt;0.4),0,IF(AND('Data Entry'!$C$74=2,AF143=1.5),0,IF(AND('Data Entry'!$C$74=2,AF143=1.6),0,IF(AND('Data Entry'!$C$74=2,AF143=4),0,IF(AND('Data Entry'!$C$74=2,AF143=5),0,IF(AND('Data Entry'!$C$74=2,AF143=2.5,CE143&lt;1),0,IF(AND('Data Entry'!$C$74=2,AF143=3,CE143&lt;1),0,IF(AND('Data Entry'!$C$74=1,AF143=2.5,CD143&lt;1),0,IF(AND('Data Entry'!$C$74=1,AF143=3,CD143&lt;1),0,IF(DX143&gt;0.01,DX143,IF(ISERROR(AX143-AY143),"",ROUND(AX143-AY143,2)))))))))))))))</f>
        <v>0</v>
      </c>
      <c r="BR143" s="146">
        <f t="shared" si="193"/>
        <v>0</v>
      </c>
      <c r="BS143" s="475">
        <f t="shared" si="194"/>
        <v>0</v>
      </c>
      <c r="BT143" s="146" t="b">
        <f t="shared" si="195"/>
        <v>0</v>
      </c>
      <c r="BU143" s="463">
        <f>IF(ISNA(AT143),0,IF(AND('Data Entry'!$C$74=2,BC143=27),0,IF(AND('Data Entry'!$C$74=2,BC143=28),0,IF(AND(BC143=27,BT143=27,CM143&gt;0.1),CM143*0.15,IF(AND(BC143=28,BT143=28,CM143&gt;0.1),CM143*0.12,0)))))</f>
        <v>0</v>
      </c>
      <c r="BV143" s="463">
        <f t="shared" si="155"/>
        <v>0</v>
      </c>
      <c r="BW143" s="463">
        <f t="shared" si="196"/>
        <v>0</v>
      </c>
      <c r="BX143" s="463">
        <f t="shared" si="197"/>
        <v>0</v>
      </c>
      <c r="BY143" s="463">
        <f t="shared" si="198"/>
        <v>0</v>
      </c>
      <c r="BZ143" s="463">
        <f t="shared" si="199"/>
        <v>0</v>
      </c>
      <c r="CA143" s="57">
        <f t="shared" si="227"/>
        <v>0</v>
      </c>
      <c r="CB143" s="56">
        <f t="shared" si="200"/>
        <v>1</v>
      </c>
      <c r="CC143" s="756">
        <f>IF(EE143=0,0,IF(EF143=0,0,IF(EE143&gt;AA143,0,IF(AND(AZ143&gt;AW143,AW143&gt;0),0,IF(CU143=0,0,Summary!AC446)))))</f>
        <v>0</v>
      </c>
      <c r="CD143" s="756">
        <f>IF(EE143=0,0,IF(EF143=0,0,IF(EE143&gt;AA143,0,IF(AND(AZ143&gt;AW143,AW143&gt;0),0,IF(CU143=0,0,Summary!AD446)))))</f>
        <v>0</v>
      </c>
      <c r="CE143" s="756">
        <f>IF(EF143=0,0,IF(EE143&gt;AA143,0,IF(CC143=0,0,IF(AND(AZ143&gt;AW143,AW143&gt;0),0,IF(CU143=0,0,Summary!AE446)))))</f>
        <v>0</v>
      </c>
      <c r="CF143" s="475">
        <f t="shared" si="201"/>
        <v>0</v>
      </c>
      <c r="CG143" s="476">
        <f t="shared" si="169"/>
        <v>0</v>
      </c>
      <c r="CH143" s="487">
        <f t="shared" si="202"/>
        <v>0</v>
      </c>
      <c r="CI143" s="756">
        <f t="shared" si="203"/>
        <v>0</v>
      </c>
      <c r="CJ143" s="487">
        <f>IF(CT143&gt;0.4,0,IF(AND(AU143=2,CH143=0,CT143=0.5,ER143=100),35,IF(AND(AU143=3,BB143&gt;75,CH143=0,CT143=0.5,ER143=100),25,IF(CB143&gt;1,0,IF(EF143&gt;EE143,0,IF(AND(AF143&gt;1,CH143=100),0,IF(AND(AF143=1,AY143=0),0,IF(AND(EF143&lt;=EE143,AW143&gt;=AZ143,'Data Entry'!$C$74=1,AU143=2),VLOOKUP(W143,$DO$96:$DP$102,2,FALSE),IF(AND(EF143&lt;=EE143,AW143&gt;=AZ143,AU143=3,'Data Entry'!$C$74=1),VLOOKUP(W143,$DO$127:$DP$134,2,FALSE))))))))))</f>
        <v>0</v>
      </c>
      <c r="CK143" s="716">
        <f t="shared" si="204"/>
        <v>0</v>
      </c>
      <c r="CL143" s="57">
        <f t="shared" si="205"/>
        <v>0</v>
      </c>
      <c r="CM143" s="475">
        <f t="shared" si="231"/>
        <v>0</v>
      </c>
      <c r="CN143" s="660">
        <f>IF(CM143&lt;0.1,0,IF(ISNA(AT143),0,IF(CL143+BC143=1,0,IF(BV143&gt;0.01,0,IF(CL143&gt;0.01,0,IF(CF143=1,0,IF(BC143=0.5,0,IF(AND(CI143=1,AU143=3),0,IF(AND(CI143=5,CL143=0),0,IF(AND(R143=12,BR143=50),0,IF(CK143&gt;0.01,0,IF(AND(AJ143&gt;0.01,AU143=2,BC143=15),CM143*0.1,IF(AND(AJ143&gt;0.01,AU143=3,BC143=15),CM143*0.08,IF(AND(R143=12,BC143=3,AF143&lt;=0),0,IF(AND(BC143=15,BI143=0),0,IF(AND(BC143=15,BJ143=0),0,IF(AND(R143=20,CU143=0),0,IF($X$4=0,0,IF(AND(BC143=250,CL143=0),0,IF(AA143&lt;1,0,IF(AND(ISNUMBER(SEARCH("Area",T143)),AU143=3),0,IF(AND(AQ143&gt;0.01,AR143=0,BK143=0,BL143=0,BM143=0,BN143=0),0,IF(AND(AU143=3,CI143=7,CT143&gt;0.5),0,IF(AND(BC143=44,AU143=3,BY143=0),0,IF(AND(BC143=27,'Data Entry'!$C$74=2),0,IF(AND(BC143=28,'Data Entry'!$C$74=2),0,IF(AND(BY143+BZ143+CA143&gt;0.01,BV143=0,EQ143+ER143+ES143+ET143&lt;100),0,IF(AU143=3,CM143*0.08,IF(AU143=2,CM143*0.1,0)))))))))))))))))))))))))))))</f>
        <v>0</v>
      </c>
      <c r="CO143" s="660">
        <f t="shared" si="206"/>
        <v>0</v>
      </c>
      <c r="CP143" s="475" t="str">
        <f t="shared" si="207"/>
        <v/>
      </c>
      <c r="CQ143" s="161" t="str">
        <f>IF(AH143=0,0,IF(AU143=5,0,Summary!AC146))</f>
        <v/>
      </c>
      <c r="CR143" s="161" t="str">
        <f>IF(BF143=0.5,0,IF(AU143=5,0,Summary!AD146))</f>
        <v/>
      </c>
      <c r="CS143" s="161" t="str">
        <f>IF(AU143=5,0,Summary!AE146)</f>
        <v/>
      </c>
      <c r="CT143" s="161">
        <f t="shared" si="208"/>
        <v>0</v>
      </c>
      <c r="CU143" s="475" t="str">
        <f t="shared" si="209"/>
        <v/>
      </c>
      <c r="CV143" s="307">
        <f>IF('Data Entry'!$C$74=0,0,IF(AA143&lt;1,0,IF(ISERROR(CU143),0,IF(CF143=1,0,IF(AND(R143=12,BR143=50),0,IF(CL143+BO143+BV143+DC143=0,0,IF(BC143=37,0,IF(AND(BC143=40,AJ143=0),0,IF(AND(BC143=37,BO143&gt;0.01,BQ143&gt;0.01),ROUND(BQ143,0),IF(CM143&lt;0,0,ROUND(CM143,0)))))))))))</f>
        <v>0</v>
      </c>
      <c r="CW143" s="700">
        <f t="shared" si="210"/>
        <v>0</v>
      </c>
      <c r="CX143" s="477">
        <f>IF('Data Entry'!$C$74=0,0,IF(CV143&lt;0.01,0,IF(BF143=0.5,0,IF(CF143=1,0,IF(ISNUMBER(SEARCH("false",CL143)),0,IF(AZ143=500,0,CL143))))))</f>
        <v>0</v>
      </c>
      <c r="CY143" s="147" t="e">
        <f t="shared" si="211"/>
        <v>#VALUE!</v>
      </c>
      <c r="CZ143" s="147" t="b">
        <f>IF(CN143+CL143=0,FALSE,IF(AH143=0,0,IF(AND('Data Entry'!$C$74=1,CR143&gt;=1),TRUE,IF(AND('Data Entry'!$C$74=2,CS143&gt;=1),TRUE,FALSE))))</f>
        <v>0</v>
      </c>
      <c r="DA143" s="1751">
        <f>IF('Data Entry'!$C$74=0,0,IFERROR(ROUND(IF(T143="","",IF($X$4=0,0,IF(CF143=1,0,IF(BQ143+CV143=0,0,IF(CF143=1,0,IF(CY143&gt;0.01,CY143,IF(CL143&gt;0.01,CL143,IF(CY143&gt;0.01,CY143,IF(BC143=37,BO143,IF(CZ143=FALSE,0,IF(CZ143=TRUE,DC143+DF143,0))))))))))),2),""))</f>
        <v>0</v>
      </c>
      <c r="DB143" s="1752"/>
      <c r="DC143" s="474">
        <f>IF(CN143&lt;0.01,0,IF(AND(BR143=3,CN143&gt;0.01,CT143&gt;0.6,ER143+ES143+ET143&lt;100),0,IF(AND('Data Entry'!$C$74=1,CN143&gt;0.01,CR143&gt;0.99),MIN(CN143:CO143),IF(AND('Data Entry'!$C$74=2,CN143&gt;0.01,CS143&gt;0.99),MIN(CN143:CO143),0))))</f>
        <v>0</v>
      </c>
      <c r="DD143" s="478">
        <f>IF(CF143=1,"Selection does not match",IF(T143=0,0,IF(AND('Data Entry'!$C$74=0,CP143&gt;1),"Select Oregon or Idaho on Data Entry Tab",IF(AND(AU143=1,AA143&gt;0.9),"Missing Interior or Exterior Selection",IF($X$4=0,"Enter Total Project Cost",IF(AQ143&lt;AR143,"Insufficient kWh savings – no incentive",IF(AND(SUM(CL143+CK143+BV143)&gt;0.01,'Data Entry'!$C$74=2,CJ143&gt;1,BO143=0),"Submit Control as Non-Standard",IF(AND('Data Entry'!$C$74=2,BR143=37,CJ143&gt;1,BO143=0),"Submit Control as Non-Standard",IF(SUM(CL143+CK143+BV143)&gt;0.01,"Standard Incentive",IF(AND('Data Entry'!$C$74=2,CP143=7,CN143=0),"Submit as Non-Standard",IF(DC143&gt;0.9,"Non-Standard Incentive",IF(AND(BY143+BZ143+CA143&gt;0.01,BV143=0,EQ143=0,ER143=0,ES143=0,ET143=0),"Scroll Right &amp; Select Control Strategies",IF(AND(CN143&gt;0.01,CO143=0),"Enter Unit Installed Cost",IF(ISNUMBER(SEARCH("Lighting Controls Only",F143)),"Lighting Controls Only",IF(CL143+DC143=0,"Does not meet incentive criteria",0)))))))))))))))</f>
        <v>0</v>
      </c>
      <c r="DE143" s="337">
        <f t="shared" si="212"/>
        <v>0</v>
      </c>
      <c r="DF143" s="609">
        <f t="shared" si="213"/>
        <v>0</v>
      </c>
      <c r="DG143" s="336" t="str">
        <f t="shared" si="214"/>
        <v/>
      </c>
      <c r="DH143" s="338">
        <f t="shared" si="215"/>
        <v>1</v>
      </c>
      <c r="DI143" s="336" t="e">
        <f t="shared" si="170"/>
        <v>#VALUE!</v>
      </c>
      <c r="DJ143" s="338">
        <f t="shared" si="171"/>
        <v>0</v>
      </c>
      <c r="DK143" s="326" t="s">
        <v>86</v>
      </c>
      <c r="DL143" s="341">
        <v>61</v>
      </c>
      <c r="DM143" s="325" t="s">
        <v>1091</v>
      </c>
      <c r="DN143" s="1123">
        <v>32</v>
      </c>
      <c r="DO143" s="361"/>
      <c r="DP143" s="329"/>
      <c r="DQ143" s="356"/>
      <c r="DR143" s="357"/>
      <c r="DS143" s="1195">
        <f t="shared" si="216"/>
        <v>0</v>
      </c>
      <c r="DT143" s="344" t="b">
        <f t="shared" si="217"/>
        <v>1</v>
      </c>
      <c r="DU143" s="1314" t="str">
        <f t="array" ref="DU143">IF(OR(COUNTIF(F143,"*"&amp;$DK$9:$DK$178&amp;"*")), "Yes", "")</f>
        <v/>
      </c>
      <c r="DV143" s="1314">
        <f t="shared" si="218"/>
        <v>0</v>
      </c>
      <c r="DW143" s="1480">
        <f t="shared" si="219"/>
        <v>0</v>
      </c>
      <c r="DX143" s="1498">
        <f t="shared" si="228"/>
        <v>0</v>
      </c>
      <c r="DY143" s="1484">
        <f t="shared" si="220"/>
        <v>0</v>
      </c>
      <c r="DZ143" s="331"/>
      <c r="EA143" s="392"/>
      <c r="EB143" s="1499" t="s">
        <v>82</v>
      </c>
      <c r="EC143" s="727" t="s">
        <v>1568</v>
      </c>
      <c r="ED143" s="728">
        <v>0.5</v>
      </c>
      <c r="EE143" s="1215"/>
      <c r="EF143" s="1215"/>
      <c r="EG143" s="1184" t="str">
        <f t="shared" si="221"/>
        <v/>
      </c>
      <c r="EH143" s="55"/>
      <c r="EI143" s="55"/>
      <c r="EJ143" s="1185">
        <f t="shared" si="172"/>
        <v>0</v>
      </c>
      <c r="EK143" s="1211"/>
      <c r="EL143" s="1180">
        <f t="shared" si="173"/>
        <v>0</v>
      </c>
      <c r="EM143" s="206"/>
      <c r="EN143" s="1038"/>
      <c r="EO143" s="1038"/>
      <c r="EP143" s="1038"/>
      <c r="EQ143" s="1038">
        <f t="shared" si="222"/>
        <v>0</v>
      </c>
      <c r="ER143" s="1041">
        <f t="shared" si="223"/>
        <v>0</v>
      </c>
      <c r="ES143" s="1042">
        <f t="shared" si="224"/>
        <v>0</v>
      </c>
      <c r="ET143" s="1042">
        <f t="shared" si="229"/>
        <v>0</v>
      </c>
      <c r="EU143" s="1021">
        <f t="shared" si="230"/>
        <v>0</v>
      </c>
      <c r="EV143" s="368"/>
      <c r="EW143" s="368"/>
      <c r="EX143" s="369"/>
      <c r="EY143" s="370"/>
      <c r="EZ143" s="370"/>
      <c r="FA143" s="371"/>
      <c r="FB143" s="372"/>
    </row>
    <row r="144" spans="1:158" ht="34.5" customHeight="1">
      <c r="A144" s="82">
        <v>136</v>
      </c>
      <c r="B144" s="1725"/>
      <c r="C144" s="1726"/>
      <c r="D144" s="1726"/>
      <c r="E144" s="1727"/>
      <c r="F144" s="1732"/>
      <c r="G144" s="1733"/>
      <c r="H144" s="1733"/>
      <c r="I144" s="1734"/>
      <c r="J144" s="1341"/>
      <c r="K144" s="1728"/>
      <c r="L144" s="1728"/>
      <c r="M144" s="1342"/>
      <c r="N144" s="1583"/>
      <c r="O144" s="208" t="str">
        <f t="shared" si="160"/>
        <v/>
      </c>
      <c r="P144" s="785"/>
      <c r="Q144" s="39" t="str">
        <f t="shared" si="161"/>
        <v/>
      </c>
      <c r="R144" s="39">
        <f t="shared" si="174"/>
        <v>0</v>
      </c>
      <c r="S144" s="234">
        <f t="shared" si="175"/>
        <v>0</v>
      </c>
      <c r="T144" s="1755"/>
      <c r="U144" s="1755"/>
      <c r="V144" s="1755"/>
      <c r="W144" s="1345"/>
      <c r="X144" s="1741"/>
      <c r="Y144" s="1742"/>
      <c r="Z144" s="1346"/>
      <c r="AA144" s="1343"/>
      <c r="AB144" s="1141"/>
      <c r="AC144" s="1103" t="str">
        <f>IF(T144="","",VLOOKUP(Z144,Lists!$A$60:$B$111,2,FALSE))</f>
        <v/>
      </c>
      <c r="AD144" s="130" t="str">
        <f t="shared" si="176"/>
        <v/>
      </c>
      <c r="AE144" s="130" t="e">
        <f t="shared" si="177"/>
        <v>#VALUE!</v>
      </c>
      <c r="AF144" s="130">
        <f t="shared" si="178"/>
        <v>1</v>
      </c>
      <c r="AG144" s="234">
        <f t="shared" si="162"/>
        <v>0</v>
      </c>
      <c r="AH144" s="1753" t="str">
        <f>IF(T144="","",(IF(ISNUMBER(SEARCH("exit",T144)),8760,IF(AND(M144="Dusk to Dawn",'Proposed Lighting'!AU144=3),4059,IF(AND(AU144=3,M144="1"),0,IF(AND(AU144=3,M144="1-C"),0,IF(AND(AU144=3,M144="2"),0,IF(AND(AU144=3,M144="2-C"),0,IF(AND(AU144=3,M144="3"),0,IF(AND(AU144=3,M144="3-C"),0,IF(AND(AU144=2,M144="Dusk to Dawn"),0,IF(AND(AU144=2,M144="Dusk to Dawn-C"),0,IF(AND(AU144=2,M144="Dusk to Dawn"),0,IF(AND(AU144=2,M144="E"),0,IF(AND(AU144=2,M144="E-C"),0,EG144)))))))))))))))</f>
        <v/>
      </c>
      <c r="AI144" s="1754"/>
      <c r="AJ144" s="1136"/>
      <c r="AK144" s="1136"/>
      <c r="AL144" s="1748">
        <f t="shared" si="179"/>
        <v>0</v>
      </c>
      <c r="AM144" s="1749"/>
      <c r="AN144" s="1750"/>
      <c r="AO144" s="476">
        <f t="shared" si="163"/>
        <v>0</v>
      </c>
      <c r="AP144" s="476">
        <f t="shared" si="180"/>
        <v>0</v>
      </c>
      <c r="AQ144" s="475">
        <f t="shared" si="164"/>
        <v>0</v>
      </c>
      <c r="AR144" s="475">
        <f t="shared" si="181"/>
        <v>0</v>
      </c>
      <c r="AS144" s="743" t="str">
        <f t="shared" si="156"/>
        <v/>
      </c>
      <c r="AT144" s="736" t="str">
        <f t="shared" si="182"/>
        <v/>
      </c>
      <c r="AU144" s="56">
        <f t="shared" si="183"/>
        <v>1</v>
      </c>
      <c r="AV144" s="476">
        <f t="shared" si="184"/>
        <v>0</v>
      </c>
      <c r="AW144" s="56">
        <f t="shared" si="185"/>
        <v>0</v>
      </c>
      <c r="AX144" s="475">
        <f t="shared" si="165"/>
        <v>0</v>
      </c>
      <c r="AY144" s="1169">
        <f t="shared" si="186"/>
        <v>0</v>
      </c>
      <c r="AZ144" s="1150">
        <f t="shared" si="225"/>
        <v>0</v>
      </c>
      <c r="BA144" s="56">
        <f t="shared" si="166"/>
        <v>0</v>
      </c>
      <c r="BB144" s="420">
        <f t="shared" si="167"/>
        <v>0</v>
      </c>
      <c r="BC144" s="58" t="str">
        <f t="shared" si="168"/>
        <v/>
      </c>
      <c r="BD144" s="660">
        <f t="shared" si="226"/>
        <v>0</v>
      </c>
      <c r="BE144" s="57" t="e">
        <f t="array" ref="BE144">INDEX($EB$11:$ED$1022,MATCH(F144&amp;T144,$EB$11:$EB$1007&amp;$EC$11:$EC$1007,0),3)</f>
        <v>#N/A</v>
      </c>
      <c r="BF144" s="463">
        <f t="shared" si="157"/>
        <v>0</v>
      </c>
      <c r="BG144" s="1445" t="e">
        <f t="array" ref="BG144">INDEX($DO$112:$DQ$123,MATCH(T144&amp;W144,$DO$114:$DO$125&amp;$DP$112:$DP$123,0),3)</f>
        <v>#N/A</v>
      </c>
      <c r="BH144" s="1446">
        <f t="shared" si="187"/>
        <v>0</v>
      </c>
      <c r="BI144" s="465">
        <f t="shared" si="188"/>
        <v>0</v>
      </c>
      <c r="BJ144" s="465">
        <f t="shared" si="189"/>
        <v>0</v>
      </c>
      <c r="BK144" s="466">
        <f t="shared" si="158"/>
        <v>0</v>
      </c>
      <c r="BL144" s="466">
        <f t="shared" si="159"/>
        <v>0</v>
      </c>
      <c r="BM144" s="466">
        <f t="shared" si="190"/>
        <v>0</v>
      </c>
      <c r="BN144" s="466">
        <f t="shared" si="191"/>
        <v>0</v>
      </c>
      <c r="BO144" s="463">
        <f>IF('Data Entry'!$C$74=0,0,IF(ISNA(CJ144),0,IF(AX144=0,0,IF(AND('Data Entry'!$C$74=2,AF144&gt;2,CE144&lt;1),0,IF(AND('Data Entry'!$C$74=2,AF144&gt;1,AU144=2,CJ144&gt;1),0,IF(AND(AF144=5,CT144=0.5,AU144=2,ER144&lt;100),0,IF(AND(AF144=5,CT144=0.5,AU144=3,ER144&lt;100),0,IF(AND('Data Entry'!$C$74=2,AF144=2,AU144=2,AK144&gt;0.01,CB144=2,CE144&lt;1),0,IF(AND('Data Entry'!$C$74=2,AF144=3,AU144=3,AK144&gt;0.01,CB144=3,CE144&lt;1),0,IF(AND('Data Entry'!$C$74=2,AF144=3,AU144=3,AK144&gt;0.01,CB144=3,CE144&gt;0.99),BQ144*0.08,IF(AND('Data Entry'!$C$74=2,AF144=2,AU144=2,AK144&gt;0.01,CB144=2,CE144&gt;0.99),BQ144*0.1,IF(AND(AU144=2,AK144&gt;0.01,CB144=2,CD144&gt;1),BQ144*0.1,IF(AND(AU144=3,AK144&gt;0.01,CB144=3,CD144&gt;1),BQ144*0.08,CJ144*EF144)))))))))))))</f>
        <v>0</v>
      </c>
      <c r="BP144" s="475">
        <f t="shared" si="192"/>
        <v>0</v>
      </c>
      <c r="BQ144" s="1431">
        <f>IF(AU144=1,0,IF(CH144=100,0,IF(AND(AF144=3,AU144=2),0,IF(AND(BH144=0,CT144&gt;0.4),0,IF(AND('Data Entry'!$C$74=2,AF144=1.5),0,IF(AND('Data Entry'!$C$74=2,AF144=1.6),0,IF(AND('Data Entry'!$C$74=2,AF144=4),0,IF(AND('Data Entry'!$C$74=2,AF144=5),0,IF(AND('Data Entry'!$C$74=2,AF144=2.5,CE144&lt;1),0,IF(AND('Data Entry'!$C$74=2,AF144=3,CE144&lt;1),0,IF(AND('Data Entry'!$C$74=1,AF144=2.5,CD144&lt;1),0,IF(AND('Data Entry'!$C$74=1,AF144=3,CD144&lt;1),0,IF(DX144&gt;0.01,DX144,IF(ISERROR(AX144-AY144),"",ROUND(AX144-AY144,2)))))))))))))))</f>
        <v>0</v>
      </c>
      <c r="BR144" s="146">
        <f t="shared" si="193"/>
        <v>0</v>
      </c>
      <c r="BS144" s="475">
        <f t="shared" si="194"/>
        <v>0</v>
      </c>
      <c r="BT144" s="146" t="b">
        <f t="shared" si="195"/>
        <v>0</v>
      </c>
      <c r="BU144" s="463">
        <f>IF(ISNA(AT144),0,IF(AND('Data Entry'!$C$74=2,BC144=27),0,IF(AND('Data Entry'!$C$74=2,BC144=28),0,IF(AND(BC144=27,BT144=27,CM144&gt;0.1),CM144*0.15,IF(AND(BC144=28,BT144=28,CM144&gt;0.1),CM144*0.12,0)))))</f>
        <v>0</v>
      </c>
      <c r="BV144" s="463">
        <f t="shared" si="155"/>
        <v>0</v>
      </c>
      <c r="BW144" s="463">
        <f t="shared" si="196"/>
        <v>0</v>
      </c>
      <c r="BX144" s="463">
        <f t="shared" si="197"/>
        <v>0</v>
      </c>
      <c r="BY144" s="463">
        <f t="shared" si="198"/>
        <v>0</v>
      </c>
      <c r="BZ144" s="463">
        <f t="shared" si="199"/>
        <v>0</v>
      </c>
      <c r="CA144" s="57">
        <f t="shared" si="227"/>
        <v>0</v>
      </c>
      <c r="CB144" s="56">
        <f t="shared" si="200"/>
        <v>1</v>
      </c>
      <c r="CC144" s="756">
        <f>IF(EE144=0,0,IF(EF144=0,0,IF(EE144&gt;AA144,0,IF(AND(AZ144&gt;AW144,AW144&gt;0),0,IF(CU144=0,0,Summary!AC447)))))</f>
        <v>0</v>
      </c>
      <c r="CD144" s="756">
        <f>IF(EE144=0,0,IF(EF144=0,0,IF(EE144&gt;AA144,0,IF(AND(AZ144&gt;AW144,AW144&gt;0),0,IF(CU144=0,0,Summary!AD447)))))</f>
        <v>0</v>
      </c>
      <c r="CE144" s="756">
        <f>IF(EF144=0,0,IF(EE144&gt;AA144,0,IF(CC144=0,0,IF(AND(AZ144&gt;AW144,AW144&gt;0),0,IF(CU144=0,0,Summary!AE447)))))</f>
        <v>0</v>
      </c>
      <c r="CF144" s="475">
        <f t="shared" si="201"/>
        <v>0</v>
      </c>
      <c r="CG144" s="476">
        <f t="shared" si="169"/>
        <v>0</v>
      </c>
      <c r="CH144" s="487">
        <f t="shared" si="202"/>
        <v>0</v>
      </c>
      <c r="CI144" s="756">
        <f t="shared" si="203"/>
        <v>0</v>
      </c>
      <c r="CJ144" s="487">
        <f>IF(CT144&gt;0.4,0,IF(AND(AU144=2,CH144=0,CT144=0.5,ER144=100),35,IF(AND(AU144=3,BB144&gt;75,CH144=0,CT144=0.5,ER144=100),25,IF(CB144&gt;1,0,IF(EF144&gt;EE144,0,IF(AND(AF144&gt;1,CH144=100),0,IF(AND(AF144=1,AY144=0),0,IF(AND(EF144&lt;=EE144,AW144&gt;=AZ144,'Data Entry'!$C$74=1,AU144=2),VLOOKUP(W144,$DO$96:$DP$102,2,FALSE),IF(AND(EF144&lt;=EE144,AW144&gt;=AZ144,AU144=3,'Data Entry'!$C$74=1),VLOOKUP(W144,$DO$127:$DP$134,2,FALSE))))))))))</f>
        <v>0</v>
      </c>
      <c r="CK144" s="716">
        <f t="shared" si="204"/>
        <v>0</v>
      </c>
      <c r="CL144" s="57">
        <f t="shared" si="205"/>
        <v>0</v>
      </c>
      <c r="CM144" s="475">
        <f t="shared" si="231"/>
        <v>0</v>
      </c>
      <c r="CN144" s="660">
        <f>IF(CM144&lt;0.1,0,IF(ISNA(AT144),0,IF(CL144+BC144=1,0,IF(BV144&gt;0.01,0,IF(CL144&gt;0.01,0,IF(CF144=1,0,IF(BC144=0.5,0,IF(AND(CI144=1,AU144=3),0,IF(AND(CI144=5,CL144=0),0,IF(AND(R144=12,BR144=50),0,IF(CK144&gt;0.01,0,IF(AND(AJ144&gt;0.01,AU144=2,BC144=15),CM144*0.1,IF(AND(AJ144&gt;0.01,AU144=3,BC144=15),CM144*0.08,IF(AND(R144=12,BC144=3,AF144&lt;=0),0,IF(AND(BC144=15,BI144=0),0,IF(AND(BC144=15,BJ144=0),0,IF(AND(R144=20,CU144=0),0,IF($X$4=0,0,IF(AND(BC144=250,CL144=0),0,IF(AA144&lt;1,0,IF(AND(ISNUMBER(SEARCH("Area",T144)),AU144=3),0,IF(AND(AQ144&gt;0.01,AR144=0,BK144=0,BL144=0,BM144=0,BN144=0),0,IF(AND(AU144=3,CI144=7,CT144&gt;0.5),0,IF(AND(BC144=44,AU144=3,BY144=0),0,IF(AND(BC144=27,'Data Entry'!$C$74=2),0,IF(AND(BC144=28,'Data Entry'!$C$74=2),0,IF(AND(BY144+BZ144+CA144&gt;0.01,BV144=0,EQ144+ER144+ES144+ET144&lt;100),0,IF(AU144=3,CM144*0.08,IF(AU144=2,CM144*0.1,0)))))))))))))))))))))))))))))</f>
        <v>0</v>
      </c>
      <c r="CO144" s="660">
        <f t="shared" si="206"/>
        <v>0</v>
      </c>
      <c r="CP144" s="475" t="str">
        <f t="shared" si="207"/>
        <v/>
      </c>
      <c r="CQ144" s="161" t="str">
        <f>IF(AH144=0,0,IF(AU144=5,0,Summary!AC147))</f>
        <v/>
      </c>
      <c r="CR144" s="161" t="str">
        <f>IF(BF144=0.5,0,IF(AU144=5,0,Summary!AD147))</f>
        <v/>
      </c>
      <c r="CS144" s="161" t="str">
        <f>IF(AU144=5,0,Summary!AE147)</f>
        <v/>
      </c>
      <c r="CT144" s="161">
        <f t="shared" si="208"/>
        <v>0</v>
      </c>
      <c r="CU144" s="475" t="str">
        <f t="shared" si="209"/>
        <v/>
      </c>
      <c r="CV144" s="307">
        <f>IF('Data Entry'!$C$74=0,0,IF(AA144&lt;1,0,IF(ISERROR(CU144),0,IF(CF144=1,0,IF(AND(R144=12,BR144=50),0,IF(CL144+BO144+BV144+DC144=0,0,IF(BC144=37,0,IF(AND(BC144=40,AJ144=0),0,IF(AND(BC144=37,BO144&gt;0.01,BQ144&gt;0.01),ROUND(BQ144,0),IF(CM144&lt;0,0,ROUND(CM144,0)))))))))))</f>
        <v>0</v>
      </c>
      <c r="CW144" s="700">
        <f t="shared" si="210"/>
        <v>0</v>
      </c>
      <c r="CX144" s="477">
        <f>IF('Data Entry'!$C$74=0,0,IF(CV144&lt;0.01,0,IF(BF144=0.5,0,IF(CF144=1,0,IF(ISNUMBER(SEARCH("false",CL144)),0,IF(AZ144=500,0,CL144))))))</f>
        <v>0</v>
      </c>
      <c r="CY144" s="147" t="e">
        <f t="shared" si="211"/>
        <v>#VALUE!</v>
      </c>
      <c r="CZ144" s="147" t="b">
        <f>IF(CN144+CL144=0,FALSE,IF(AH144=0,0,IF(AND('Data Entry'!$C$74=1,CR144&gt;=1),TRUE,IF(AND('Data Entry'!$C$74=2,CS144&gt;=1),TRUE,FALSE))))</f>
        <v>0</v>
      </c>
      <c r="DA144" s="1751">
        <f>IF('Data Entry'!$C$74=0,0,IFERROR(ROUND(IF(T144="","",IF($X$4=0,0,IF(CF144=1,0,IF(BQ144+CV144=0,0,IF(CF144=1,0,IF(CY144&gt;0.01,CY144,IF(CL144&gt;0.01,CL144,IF(CY144&gt;0.01,CY144,IF(BC144=37,BO144,IF(CZ144=FALSE,0,IF(CZ144=TRUE,DC144+DF144,0))))))))))),2),""))</f>
        <v>0</v>
      </c>
      <c r="DB144" s="1752"/>
      <c r="DC144" s="474">
        <f>IF(CN144&lt;0.01,0,IF(AND(BR144=3,CN144&gt;0.01,CT144&gt;0.6,ER144+ES144+ET144&lt;100),0,IF(AND('Data Entry'!$C$74=1,CN144&gt;0.01,CR144&gt;0.99),MIN(CN144:CO144),IF(AND('Data Entry'!$C$74=2,CN144&gt;0.01,CS144&gt;0.99),MIN(CN144:CO144),0))))</f>
        <v>0</v>
      </c>
      <c r="DD144" s="478">
        <f>IF(CF144=1,"Selection does not match",IF(T144=0,0,IF(AND('Data Entry'!$C$74=0,CP144&gt;1),"Select Oregon or Idaho on Data Entry Tab",IF(AND(AU144=1,AA144&gt;0.9),"Missing Interior or Exterior Selection",IF($X$4=0,"Enter Total Project Cost",IF(AQ144&lt;AR144,"Insufficient kWh savings – no incentive",IF(AND(SUM(CL144+CK144+BV144)&gt;0.01,'Data Entry'!$C$74=2,CJ144&gt;1,BO144=0),"Submit Control as Non-Standard",IF(AND('Data Entry'!$C$74=2,BR144=37,CJ144&gt;1,BO144=0),"Submit Control as Non-Standard",IF(SUM(CL144+CK144+BV144)&gt;0.01,"Standard Incentive",IF(AND('Data Entry'!$C$74=2,CP144=7,CN144=0),"Submit as Non-Standard",IF(DC144&gt;0.9,"Non-Standard Incentive",IF(AND(BY144+BZ144+CA144&gt;0.01,BV144=0,EQ144=0,ER144=0,ES144=0,ET144=0),"Scroll Right &amp; Select Control Strategies",IF(AND(CN144&gt;0.01,CO144=0),"Enter Unit Installed Cost",IF(ISNUMBER(SEARCH("Lighting Controls Only",F144)),"Lighting Controls Only",IF(CL144+DC144=0,"Does not meet incentive criteria",0)))))))))))))))</f>
        <v>0</v>
      </c>
      <c r="DE144" s="337">
        <f t="shared" si="212"/>
        <v>0</v>
      </c>
      <c r="DF144" s="609">
        <f t="shared" si="213"/>
        <v>0</v>
      </c>
      <c r="DG144" s="336" t="str">
        <f t="shared" si="214"/>
        <v/>
      </c>
      <c r="DH144" s="338">
        <f t="shared" si="215"/>
        <v>1</v>
      </c>
      <c r="DI144" s="336" t="e">
        <f t="shared" si="170"/>
        <v>#VALUE!</v>
      </c>
      <c r="DJ144" s="338">
        <f t="shared" si="171"/>
        <v>0</v>
      </c>
      <c r="DK144" s="326" t="s">
        <v>87</v>
      </c>
      <c r="DL144" s="341">
        <v>93</v>
      </c>
      <c r="DM144" s="373" t="s">
        <v>73</v>
      </c>
      <c r="DN144" s="820"/>
      <c r="DO144" s="331"/>
      <c r="DP144" s="332"/>
      <c r="DQ144" s="361"/>
      <c r="DR144" s="357"/>
      <c r="DS144" s="1195">
        <f t="shared" si="216"/>
        <v>0</v>
      </c>
      <c r="DT144" s="344" t="b">
        <f t="shared" si="217"/>
        <v>1</v>
      </c>
      <c r="DU144" s="1314" t="str">
        <f t="array" ref="DU144">IF(OR(COUNTIF(F144,"*"&amp;$DK$9:$DK$178&amp;"*")), "Yes", "")</f>
        <v/>
      </c>
      <c r="DV144" s="1314">
        <f t="shared" si="218"/>
        <v>0</v>
      </c>
      <c r="DW144" s="1480">
        <f t="shared" si="219"/>
        <v>0</v>
      </c>
      <c r="DX144" s="1498">
        <f t="shared" si="228"/>
        <v>0</v>
      </c>
      <c r="DY144" s="1484">
        <f t="shared" si="220"/>
        <v>0</v>
      </c>
      <c r="DZ144" s="331"/>
      <c r="EA144" s="392"/>
      <c r="EB144" s="1499" t="s">
        <v>83</v>
      </c>
      <c r="EC144" s="727" t="s">
        <v>1568</v>
      </c>
      <c r="ED144" s="728">
        <v>0.5</v>
      </c>
      <c r="EE144" s="1215"/>
      <c r="EF144" s="1215"/>
      <c r="EG144" s="1184" t="str">
        <f t="shared" si="221"/>
        <v/>
      </c>
      <c r="EH144" s="55"/>
      <c r="EI144" s="55"/>
      <c r="EJ144" s="1185">
        <f t="shared" si="172"/>
        <v>0</v>
      </c>
      <c r="EK144" s="1211"/>
      <c r="EL144" s="1180">
        <f t="shared" si="173"/>
        <v>0</v>
      </c>
      <c r="EM144" s="206"/>
      <c r="EN144" s="1038"/>
      <c r="EO144" s="1038"/>
      <c r="EP144" s="1038"/>
      <c r="EQ144" s="1038">
        <f t="shared" si="222"/>
        <v>0</v>
      </c>
      <c r="ER144" s="1041">
        <f t="shared" si="223"/>
        <v>0</v>
      </c>
      <c r="ES144" s="1042">
        <f t="shared" si="224"/>
        <v>0</v>
      </c>
      <c r="ET144" s="1042">
        <f t="shared" si="229"/>
        <v>0</v>
      </c>
      <c r="EU144" s="1021">
        <f t="shared" si="230"/>
        <v>0</v>
      </c>
      <c r="EV144" s="368"/>
      <c r="EW144" s="368"/>
      <c r="EX144" s="369"/>
      <c r="EY144" s="370"/>
      <c r="EZ144" s="370"/>
      <c r="FA144" s="371"/>
      <c r="FB144" s="372"/>
    </row>
    <row r="145" spans="1:158" ht="34.5" customHeight="1">
      <c r="A145" s="82">
        <v>137</v>
      </c>
      <c r="B145" s="1725"/>
      <c r="C145" s="1726"/>
      <c r="D145" s="1726"/>
      <c r="E145" s="1727"/>
      <c r="F145" s="1732"/>
      <c r="G145" s="1733"/>
      <c r="H145" s="1733"/>
      <c r="I145" s="1734"/>
      <c r="J145" s="1341"/>
      <c r="K145" s="1728"/>
      <c r="L145" s="1728"/>
      <c r="M145" s="1342"/>
      <c r="N145" s="1583"/>
      <c r="O145" s="208" t="str">
        <f t="shared" si="160"/>
        <v/>
      </c>
      <c r="P145" s="785"/>
      <c r="Q145" s="39" t="str">
        <f t="shared" si="161"/>
        <v/>
      </c>
      <c r="R145" s="39">
        <f t="shared" si="174"/>
        <v>0</v>
      </c>
      <c r="S145" s="234">
        <f t="shared" si="175"/>
        <v>0</v>
      </c>
      <c r="T145" s="1755"/>
      <c r="U145" s="1755"/>
      <c r="V145" s="1755"/>
      <c r="W145" s="1345"/>
      <c r="X145" s="1741"/>
      <c r="Y145" s="1742"/>
      <c r="Z145" s="1346"/>
      <c r="AA145" s="1343"/>
      <c r="AB145" s="1141"/>
      <c r="AC145" s="1103" t="str">
        <f>IF(T145="","",VLOOKUP(Z145,Lists!$A$60:$B$111,2,FALSE))</f>
        <v/>
      </c>
      <c r="AD145" s="130" t="str">
        <f t="shared" si="176"/>
        <v/>
      </c>
      <c r="AE145" s="130" t="e">
        <f t="shared" si="177"/>
        <v>#VALUE!</v>
      </c>
      <c r="AF145" s="130">
        <f t="shared" si="178"/>
        <v>1</v>
      </c>
      <c r="AG145" s="234">
        <f t="shared" si="162"/>
        <v>0</v>
      </c>
      <c r="AH145" s="1753" t="str">
        <f>IF(T145="","",(IF(ISNUMBER(SEARCH("exit",T145)),8760,IF(AND(M145="Dusk to Dawn",'Proposed Lighting'!AU145=3),4059,IF(AND(AU145=3,M145="1"),0,IF(AND(AU145=3,M145="1-C"),0,IF(AND(AU145=3,M145="2"),0,IF(AND(AU145=3,M145="2-C"),0,IF(AND(AU145=3,M145="3"),0,IF(AND(AU145=3,M145="3-C"),0,IF(AND(AU145=2,M145="Dusk to Dawn"),0,IF(AND(AU145=2,M145="Dusk to Dawn-C"),0,IF(AND(AU145=2,M145="Dusk to Dawn"),0,IF(AND(AU145=2,M145="E"),0,IF(AND(AU145=2,M145="E-C"),0,EG145)))))))))))))))</f>
        <v/>
      </c>
      <c r="AI145" s="1754"/>
      <c r="AJ145" s="1136"/>
      <c r="AK145" s="1136"/>
      <c r="AL145" s="1748">
        <f t="shared" si="179"/>
        <v>0</v>
      </c>
      <c r="AM145" s="1749"/>
      <c r="AN145" s="1750"/>
      <c r="AO145" s="476">
        <f t="shared" si="163"/>
        <v>0</v>
      </c>
      <c r="AP145" s="476">
        <f t="shared" si="180"/>
        <v>0</v>
      </c>
      <c r="AQ145" s="475">
        <f t="shared" si="164"/>
        <v>0</v>
      </c>
      <c r="AR145" s="475">
        <f t="shared" si="181"/>
        <v>0</v>
      </c>
      <c r="AS145" s="743" t="str">
        <f t="shared" si="156"/>
        <v/>
      </c>
      <c r="AT145" s="736" t="str">
        <f t="shared" si="182"/>
        <v/>
      </c>
      <c r="AU145" s="56">
        <f t="shared" si="183"/>
        <v>1</v>
      </c>
      <c r="AV145" s="476">
        <f t="shared" si="184"/>
        <v>0</v>
      </c>
      <c r="AW145" s="56">
        <f t="shared" si="185"/>
        <v>0</v>
      </c>
      <c r="AX145" s="475">
        <f t="shared" si="165"/>
        <v>0</v>
      </c>
      <c r="AY145" s="1169">
        <f t="shared" si="186"/>
        <v>0</v>
      </c>
      <c r="AZ145" s="1150">
        <f t="shared" si="225"/>
        <v>0</v>
      </c>
      <c r="BA145" s="56">
        <f t="shared" si="166"/>
        <v>0</v>
      </c>
      <c r="BB145" s="420">
        <f t="shared" si="167"/>
        <v>0</v>
      </c>
      <c r="BC145" s="58" t="str">
        <f t="shared" si="168"/>
        <v/>
      </c>
      <c r="BD145" s="660">
        <f t="shared" si="226"/>
        <v>0</v>
      </c>
      <c r="BE145" s="57" t="e">
        <f t="array" ref="BE145">INDEX($EB$11:$ED$1022,MATCH(F145&amp;T145,$EB$11:$EB$1007&amp;$EC$11:$EC$1007,0),3)</f>
        <v>#N/A</v>
      </c>
      <c r="BF145" s="463">
        <f t="shared" si="157"/>
        <v>0</v>
      </c>
      <c r="BG145" s="1445" t="e">
        <f t="array" ref="BG145">INDEX($DO$112:$DQ$123,MATCH(T145&amp;W145,$DO$114:$DO$125&amp;$DP$112:$DP$123,0),3)</f>
        <v>#N/A</v>
      </c>
      <c r="BH145" s="1446">
        <f t="shared" si="187"/>
        <v>0</v>
      </c>
      <c r="BI145" s="465">
        <f t="shared" si="188"/>
        <v>0</v>
      </c>
      <c r="BJ145" s="465">
        <f t="shared" si="189"/>
        <v>0</v>
      </c>
      <c r="BK145" s="466">
        <f t="shared" si="158"/>
        <v>0</v>
      </c>
      <c r="BL145" s="466">
        <f t="shared" si="159"/>
        <v>0</v>
      </c>
      <c r="BM145" s="466">
        <f t="shared" si="190"/>
        <v>0</v>
      </c>
      <c r="BN145" s="466">
        <f t="shared" si="191"/>
        <v>0</v>
      </c>
      <c r="BO145" s="463">
        <f>IF('Data Entry'!$C$74=0,0,IF(ISNA(CJ145),0,IF(AX145=0,0,IF(AND('Data Entry'!$C$74=2,AF145&gt;2,CE145&lt;1),0,IF(AND('Data Entry'!$C$74=2,AF145&gt;1,AU145=2,CJ145&gt;1),0,IF(AND(AF145=5,CT145=0.5,AU145=2,ER145&lt;100),0,IF(AND(AF145=5,CT145=0.5,AU145=3,ER145&lt;100),0,IF(AND('Data Entry'!$C$74=2,AF145=2,AU145=2,AK145&gt;0.01,CB145=2,CE145&lt;1),0,IF(AND('Data Entry'!$C$74=2,AF145=3,AU145=3,AK145&gt;0.01,CB145=3,CE145&lt;1),0,IF(AND('Data Entry'!$C$74=2,AF145=3,AU145=3,AK145&gt;0.01,CB145=3,CE145&gt;0.99),BQ145*0.08,IF(AND('Data Entry'!$C$74=2,AF145=2,AU145=2,AK145&gt;0.01,CB145=2,CE145&gt;0.99),BQ145*0.1,IF(AND(AU145=2,AK145&gt;0.01,CB145=2,CD145&gt;1),BQ145*0.1,IF(AND(AU145=3,AK145&gt;0.01,CB145=3,CD145&gt;1),BQ145*0.08,CJ145*EF145)))))))))))))</f>
        <v>0</v>
      </c>
      <c r="BP145" s="475">
        <f t="shared" si="192"/>
        <v>0</v>
      </c>
      <c r="BQ145" s="1431">
        <f>IF(AU145=1,0,IF(CH145=100,0,IF(AND(AF145=3,AU145=2),0,IF(AND(BH145=0,CT145&gt;0.4),0,IF(AND('Data Entry'!$C$74=2,AF145=1.5),0,IF(AND('Data Entry'!$C$74=2,AF145=1.6),0,IF(AND('Data Entry'!$C$74=2,AF145=4),0,IF(AND('Data Entry'!$C$74=2,AF145=5),0,IF(AND('Data Entry'!$C$74=2,AF145=2.5,CE145&lt;1),0,IF(AND('Data Entry'!$C$74=2,AF145=3,CE145&lt;1),0,IF(AND('Data Entry'!$C$74=1,AF145=2.5,CD145&lt;1),0,IF(AND('Data Entry'!$C$74=1,AF145=3,CD145&lt;1),0,IF(DX145&gt;0.01,DX145,IF(ISERROR(AX145-AY145),"",ROUND(AX145-AY145,2)))))))))))))))</f>
        <v>0</v>
      </c>
      <c r="BR145" s="146">
        <f t="shared" si="193"/>
        <v>0</v>
      </c>
      <c r="BS145" s="475">
        <f t="shared" si="194"/>
        <v>0</v>
      </c>
      <c r="BT145" s="146" t="b">
        <f t="shared" si="195"/>
        <v>0</v>
      </c>
      <c r="BU145" s="463">
        <f>IF(ISNA(AT145),0,IF(AND('Data Entry'!$C$74=2,BC145=27),0,IF(AND('Data Entry'!$C$74=2,BC145=28),0,IF(AND(BC145=27,BT145=27,CM145&gt;0.1),CM145*0.15,IF(AND(BC145=28,BT145=28,CM145&gt;0.1),CM145*0.12,0)))))</f>
        <v>0</v>
      </c>
      <c r="BV145" s="463">
        <f t="shared" si="155"/>
        <v>0</v>
      </c>
      <c r="BW145" s="463">
        <f t="shared" si="196"/>
        <v>0</v>
      </c>
      <c r="BX145" s="463">
        <f t="shared" si="197"/>
        <v>0</v>
      </c>
      <c r="BY145" s="463">
        <f t="shared" si="198"/>
        <v>0</v>
      </c>
      <c r="BZ145" s="463">
        <f t="shared" si="199"/>
        <v>0</v>
      </c>
      <c r="CA145" s="57">
        <f t="shared" si="227"/>
        <v>0</v>
      </c>
      <c r="CB145" s="56">
        <f t="shared" si="200"/>
        <v>1</v>
      </c>
      <c r="CC145" s="756">
        <f>IF(EE145=0,0,IF(EF145=0,0,IF(EE145&gt;AA145,0,IF(AND(AZ145&gt;AW145,AW145&gt;0),0,IF(CU145=0,0,Summary!AC448)))))</f>
        <v>0</v>
      </c>
      <c r="CD145" s="756">
        <f>IF(EE145=0,0,IF(EF145=0,0,IF(EE145&gt;AA145,0,IF(AND(AZ145&gt;AW145,AW145&gt;0),0,IF(CU145=0,0,Summary!AD448)))))</f>
        <v>0</v>
      </c>
      <c r="CE145" s="756">
        <f>IF(EF145=0,0,IF(EE145&gt;AA145,0,IF(CC145=0,0,IF(AND(AZ145&gt;AW145,AW145&gt;0),0,IF(CU145=0,0,Summary!AE448)))))</f>
        <v>0</v>
      </c>
      <c r="CF145" s="475">
        <f t="shared" si="201"/>
        <v>0</v>
      </c>
      <c r="CG145" s="476">
        <f t="shared" si="169"/>
        <v>0</v>
      </c>
      <c r="CH145" s="487">
        <f t="shared" si="202"/>
        <v>0</v>
      </c>
      <c r="CI145" s="756">
        <f t="shared" si="203"/>
        <v>0</v>
      </c>
      <c r="CJ145" s="487">
        <f>IF(CT145&gt;0.4,0,IF(AND(AU145=2,CH145=0,CT145=0.5,ER145=100),35,IF(AND(AU145=3,BB145&gt;75,CH145=0,CT145=0.5,ER145=100),25,IF(CB145&gt;1,0,IF(EF145&gt;EE145,0,IF(AND(AF145&gt;1,CH145=100),0,IF(AND(AF145=1,AY145=0),0,IF(AND(EF145&lt;=EE145,AW145&gt;=AZ145,'Data Entry'!$C$74=1,AU145=2),VLOOKUP(W145,$DO$96:$DP$102,2,FALSE),IF(AND(EF145&lt;=EE145,AW145&gt;=AZ145,AU145=3,'Data Entry'!$C$74=1),VLOOKUP(W145,$DO$127:$DP$134,2,FALSE))))))))))</f>
        <v>0</v>
      </c>
      <c r="CK145" s="716">
        <f t="shared" si="204"/>
        <v>0</v>
      </c>
      <c r="CL145" s="57">
        <f t="shared" si="205"/>
        <v>0</v>
      </c>
      <c r="CM145" s="475">
        <f t="shared" si="231"/>
        <v>0</v>
      </c>
      <c r="CN145" s="660">
        <f>IF(CM145&lt;0.1,0,IF(ISNA(AT145),0,IF(CL145+BC145=1,0,IF(BV145&gt;0.01,0,IF(CL145&gt;0.01,0,IF(CF145=1,0,IF(BC145=0.5,0,IF(AND(CI145=1,AU145=3),0,IF(AND(CI145=5,CL145=0),0,IF(AND(R145=12,BR145=50),0,IF(CK145&gt;0.01,0,IF(AND(AJ145&gt;0.01,AU145=2,BC145=15),CM145*0.1,IF(AND(AJ145&gt;0.01,AU145=3,BC145=15),CM145*0.08,IF(AND(R145=12,BC145=3,AF145&lt;=0),0,IF(AND(BC145=15,BI145=0),0,IF(AND(BC145=15,BJ145=0),0,IF(AND(R145=20,CU145=0),0,IF($X$4=0,0,IF(AND(BC145=250,CL145=0),0,IF(AA145&lt;1,0,IF(AND(ISNUMBER(SEARCH("Area",T145)),AU145=3),0,IF(AND(AQ145&gt;0.01,AR145=0,BK145=0,BL145=0,BM145=0,BN145=0),0,IF(AND(AU145=3,CI145=7,CT145&gt;0.5),0,IF(AND(BC145=44,AU145=3,BY145=0),0,IF(AND(BC145=27,'Data Entry'!$C$74=2),0,IF(AND(BC145=28,'Data Entry'!$C$74=2),0,IF(AND(BY145+BZ145+CA145&gt;0.01,BV145=0,EQ145+ER145+ES145+ET145&lt;100),0,IF(AU145=3,CM145*0.08,IF(AU145=2,CM145*0.1,0)))))))))))))))))))))))))))))</f>
        <v>0</v>
      </c>
      <c r="CO145" s="660">
        <f t="shared" si="206"/>
        <v>0</v>
      </c>
      <c r="CP145" s="475" t="str">
        <f t="shared" si="207"/>
        <v/>
      </c>
      <c r="CQ145" s="161" t="str">
        <f>IF(AH145=0,0,IF(AU145=5,0,Summary!AC148))</f>
        <v/>
      </c>
      <c r="CR145" s="161" t="str">
        <f>IF(BF145=0.5,0,IF(AU145=5,0,Summary!AD148))</f>
        <v/>
      </c>
      <c r="CS145" s="161" t="str">
        <f>IF(AU145=5,0,Summary!AE148)</f>
        <v/>
      </c>
      <c r="CT145" s="161">
        <f t="shared" si="208"/>
        <v>0</v>
      </c>
      <c r="CU145" s="475" t="str">
        <f t="shared" si="209"/>
        <v/>
      </c>
      <c r="CV145" s="307">
        <f>IF('Data Entry'!$C$74=0,0,IF(AA145&lt;1,0,IF(ISERROR(CU145),0,IF(CF145=1,0,IF(AND(R145=12,BR145=50),0,IF(CL145+BO145+BV145+DC145=0,0,IF(BC145=37,0,IF(AND(BC145=40,AJ145=0),0,IF(AND(BC145=37,BO145&gt;0.01,BQ145&gt;0.01),ROUND(BQ145,0),IF(CM145&lt;0,0,ROUND(CM145,0)))))))))))</f>
        <v>0</v>
      </c>
      <c r="CW145" s="700">
        <f t="shared" si="210"/>
        <v>0</v>
      </c>
      <c r="CX145" s="477">
        <f>IF('Data Entry'!$C$74=0,0,IF(CV145&lt;0.01,0,IF(BF145=0.5,0,IF(CF145=1,0,IF(ISNUMBER(SEARCH("false",CL145)),0,IF(AZ145=500,0,CL145))))))</f>
        <v>0</v>
      </c>
      <c r="CY145" s="147" t="e">
        <f t="shared" si="211"/>
        <v>#VALUE!</v>
      </c>
      <c r="CZ145" s="147" t="b">
        <f>IF(CN145+CL145=0,FALSE,IF(AH145=0,0,IF(AND('Data Entry'!$C$74=1,CR145&gt;=1),TRUE,IF(AND('Data Entry'!$C$74=2,CS145&gt;=1),TRUE,FALSE))))</f>
        <v>0</v>
      </c>
      <c r="DA145" s="1751">
        <f>IF('Data Entry'!$C$74=0,0,IFERROR(ROUND(IF(T145="","",IF($X$4=0,0,IF(CF145=1,0,IF(BQ145+CV145=0,0,IF(CF145=1,0,IF(CY145&gt;0.01,CY145,IF(CL145&gt;0.01,CL145,IF(CY145&gt;0.01,CY145,IF(BC145=37,BO145,IF(CZ145=FALSE,0,IF(CZ145=TRUE,DC145+DF145,0))))))))))),2),""))</f>
        <v>0</v>
      </c>
      <c r="DB145" s="1752"/>
      <c r="DC145" s="474">
        <f>IF(CN145&lt;0.01,0,IF(AND(BR145=3,CN145&gt;0.01,CT145&gt;0.6,ER145+ES145+ET145&lt;100),0,IF(AND('Data Entry'!$C$74=1,CN145&gt;0.01,CR145&gt;0.99),MIN(CN145:CO145),IF(AND('Data Entry'!$C$74=2,CN145&gt;0.01,CS145&gt;0.99),MIN(CN145:CO145),0))))</f>
        <v>0</v>
      </c>
      <c r="DD145" s="478">
        <f>IF(CF145=1,"Selection does not match",IF(T145=0,0,IF(AND('Data Entry'!$C$74=0,CP145&gt;1),"Select Oregon or Idaho on Data Entry Tab",IF(AND(AU145=1,AA145&gt;0.9),"Missing Interior or Exterior Selection",IF($X$4=0,"Enter Total Project Cost",IF(AQ145&lt;AR145,"Insufficient kWh savings – no incentive",IF(AND(SUM(CL145+CK145+BV145)&gt;0.01,'Data Entry'!$C$74=2,CJ145&gt;1,BO145=0),"Submit Control as Non-Standard",IF(AND('Data Entry'!$C$74=2,BR145=37,CJ145&gt;1,BO145=0),"Submit Control as Non-Standard",IF(SUM(CL145+CK145+BV145)&gt;0.01,"Standard Incentive",IF(AND('Data Entry'!$C$74=2,CP145=7,CN145=0),"Submit as Non-Standard",IF(DC145&gt;0.9,"Non-Standard Incentive",IF(AND(BY145+BZ145+CA145&gt;0.01,BV145=0,EQ145=0,ER145=0,ES145=0,ET145=0),"Scroll Right &amp; Select Control Strategies",IF(AND(CN145&gt;0.01,CO145=0),"Enter Unit Installed Cost",IF(ISNUMBER(SEARCH("Lighting Controls Only",F145)),"Lighting Controls Only",IF(CL145+DC145=0,"Does not meet incentive criteria",0)))))))))))))))</f>
        <v>0</v>
      </c>
      <c r="DE145" s="337">
        <f t="shared" si="212"/>
        <v>0</v>
      </c>
      <c r="DF145" s="609">
        <f t="shared" si="213"/>
        <v>0</v>
      </c>
      <c r="DG145" s="336" t="str">
        <f t="shared" si="214"/>
        <v/>
      </c>
      <c r="DH145" s="338">
        <f t="shared" si="215"/>
        <v>1</v>
      </c>
      <c r="DI145" s="336" t="e">
        <f t="shared" si="170"/>
        <v>#VALUE!</v>
      </c>
      <c r="DJ145" s="338">
        <f t="shared" si="171"/>
        <v>0</v>
      </c>
      <c r="DK145" s="326" t="s">
        <v>88</v>
      </c>
      <c r="DL145" s="341">
        <v>116</v>
      </c>
      <c r="DM145" s="326" t="s">
        <v>472</v>
      </c>
      <c r="DN145" s="1123">
        <v>4</v>
      </c>
      <c r="DO145" s="331"/>
      <c r="DP145" s="332"/>
      <c r="DQ145" s="331"/>
      <c r="DR145" s="357"/>
      <c r="DS145" s="1195">
        <f t="shared" si="216"/>
        <v>0</v>
      </c>
      <c r="DT145" s="344" t="b">
        <f t="shared" si="217"/>
        <v>1</v>
      </c>
      <c r="DU145" s="1314" t="str">
        <f t="array" ref="DU145">IF(OR(COUNTIF(F145,"*"&amp;$DK$9:$DK$178&amp;"*")), "Yes", "")</f>
        <v/>
      </c>
      <c r="DV145" s="1314">
        <f t="shared" si="218"/>
        <v>0</v>
      </c>
      <c r="DW145" s="1480">
        <f t="shared" si="219"/>
        <v>0</v>
      </c>
      <c r="DX145" s="1498">
        <f t="shared" si="228"/>
        <v>0</v>
      </c>
      <c r="DY145" s="1484">
        <f t="shared" si="220"/>
        <v>0</v>
      </c>
      <c r="DZ145" s="331"/>
      <c r="EA145" s="392"/>
      <c r="EB145" s="1499" t="s">
        <v>84</v>
      </c>
      <c r="EC145" s="727" t="s">
        <v>1568</v>
      </c>
      <c r="ED145" s="728">
        <v>0.5</v>
      </c>
      <c r="EE145" s="1215"/>
      <c r="EF145" s="1215"/>
      <c r="EG145" s="1184" t="str">
        <f t="shared" si="221"/>
        <v/>
      </c>
      <c r="EH145" s="55"/>
      <c r="EI145" s="55"/>
      <c r="EJ145" s="1185">
        <f t="shared" si="172"/>
        <v>0</v>
      </c>
      <c r="EK145" s="1211"/>
      <c r="EL145" s="1180">
        <f t="shared" si="173"/>
        <v>0</v>
      </c>
      <c r="EM145" s="206"/>
      <c r="EN145" s="1038"/>
      <c r="EO145" s="1038"/>
      <c r="EP145" s="1038"/>
      <c r="EQ145" s="1038">
        <f t="shared" si="222"/>
        <v>0</v>
      </c>
      <c r="ER145" s="1041">
        <f t="shared" si="223"/>
        <v>0</v>
      </c>
      <c r="ES145" s="1042">
        <f t="shared" si="224"/>
        <v>0</v>
      </c>
      <c r="ET145" s="1042">
        <f t="shared" si="229"/>
        <v>0</v>
      </c>
      <c r="EU145" s="1021">
        <f t="shared" si="230"/>
        <v>0</v>
      </c>
      <c r="EV145" s="368"/>
      <c r="EW145" s="368"/>
      <c r="EX145" s="369"/>
      <c r="EY145" s="370"/>
      <c r="EZ145" s="370"/>
      <c r="FA145" s="371"/>
      <c r="FB145" s="372"/>
    </row>
    <row r="146" spans="1:158" ht="34.5" customHeight="1">
      <c r="A146" s="82">
        <v>138</v>
      </c>
      <c r="B146" s="1725"/>
      <c r="C146" s="1726"/>
      <c r="D146" s="1726"/>
      <c r="E146" s="1727"/>
      <c r="F146" s="1732"/>
      <c r="G146" s="1733"/>
      <c r="H146" s="1733"/>
      <c r="I146" s="1734"/>
      <c r="J146" s="1341"/>
      <c r="K146" s="1728"/>
      <c r="L146" s="1728"/>
      <c r="M146" s="1342"/>
      <c r="N146" s="1583"/>
      <c r="O146" s="208" t="str">
        <f t="shared" si="160"/>
        <v/>
      </c>
      <c r="P146" s="785"/>
      <c r="Q146" s="39" t="str">
        <f t="shared" si="161"/>
        <v/>
      </c>
      <c r="R146" s="39">
        <f t="shared" si="174"/>
        <v>0</v>
      </c>
      <c r="S146" s="234">
        <f t="shared" si="175"/>
        <v>0</v>
      </c>
      <c r="T146" s="1755"/>
      <c r="U146" s="1755"/>
      <c r="V146" s="1755"/>
      <c r="W146" s="1345"/>
      <c r="X146" s="1741"/>
      <c r="Y146" s="1742"/>
      <c r="Z146" s="1346"/>
      <c r="AA146" s="1343"/>
      <c r="AB146" s="1141"/>
      <c r="AC146" s="1103" t="str">
        <f>IF(T146="","",VLOOKUP(Z146,Lists!$A$60:$B$111,2,FALSE))</f>
        <v/>
      </c>
      <c r="AD146" s="130" t="str">
        <f t="shared" si="176"/>
        <v/>
      </c>
      <c r="AE146" s="130" t="e">
        <f t="shared" si="177"/>
        <v>#VALUE!</v>
      </c>
      <c r="AF146" s="130">
        <f t="shared" si="178"/>
        <v>1</v>
      </c>
      <c r="AG146" s="234">
        <f t="shared" si="162"/>
        <v>0</v>
      </c>
      <c r="AH146" s="1753" t="str">
        <f>IF(T146="","",(IF(ISNUMBER(SEARCH("exit",T146)),8760,IF(AND(M146="Dusk to Dawn",'Proposed Lighting'!AU146=3),4059,IF(AND(AU146=3,M146="1"),0,IF(AND(AU146=3,M146="1-C"),0,IF(AND(AU146=3,M146="2"),0,IF(AND(AU146=3,M146="2-C"),0,IF(AND(AU146=3,M146="3"),0,IF(AND(AU146=3,M146="3-C"),0,IF(AND(AU146=2,M146="Dusk to Dawn"),0,IF(AND(AU146=2,M146="Dusk to Dawn-C"),0,IF(AND(AU146=2,M146="Dusk to Dawn"),0,IF(AND(AU146=2,M146="E"),0,IF(AND(AU146=2,M146="E-C"),0,EG146)))))))))))))))</f>
        <v/>
      </c>
      <c r="AI146" s="1754"/>
      <c r="AJ146" s="1136"/>
      <c r="AK146" s="1136"/>
      <c r="AL146" s="1748">
        <f t="shared" si="179"/>
        <v>0</v>
      </c>
      <c r="AM146" s="1749"/>
      <c r="AN146" s="1750"/>
      <c r="AO146" s="476">
        <f t="shared" si="163"/>
        <v>0</v>
      </c>
      <c r="AP146" s="476">
        <f t="shared" si="180"/>
        <v>0</v>
      </c>
      <c r="AQ146" s="475">
        <f t="shared" si="164"/>
        <v>0</v>
      </c>
      <c r="AR146" s="475">
        <f t="shared" si="181"/>
        <v>0</v>
      </c>
      <c r="AS146" s="743" t="str">
        <f t="shared" si="156"/>
        <v/>
      </c>
      <c r="AT146" s="736" t="str">
        <f t="shared" si="182"/>
        <v/>
      </c>
      <c r="AU146" s="56">
        <f t="shared" si="183"/>
        <v>1</v>
      </c>
      <c r="AV146" s="476">
        <f t="shared" si="184"/>
        <v>0</v>
      </c>
      <c r="AW146" s="56">
        <f t="shared" si="185"/>
        <v>0</v>
      </c>
      <c r="AX146" s="475">
        <f t="shared" si="165"/>
        <v>0</v>
      </c>
      <c r="AY146" s="1169">
        <f t="shared" si="186"/>
        <v>0</v>
      </c>
      <c r="AZ146" s="1150">
        <f t="shared" si="225"/>
        <v>0</v>
      </c>
      <c r="BA146" s="56">
        <f t="shared" si="166"/>
        <v>0</v>
      </c>
      <c r="BB146" s="420">
        <f t="shared" si="167"/>
        <v>0</v>
      </c>
      <c r="BC146" s="58" t="str">
        <f t="shared" si="168"/>
        <v/>
      </c>
      <c r="BD146" s="660">
        <f t="shared" si="226"/>
        <v>0</v>
      </c>
      <c r="BE146" s="57" t="e">
        <f t="array" ref="BE146">INDEX($EB$11:$ED$1022,MATCH(F146&amp;T146,$EB$11:$EB$1007&amp;$EC$11:$EC$1007,0),3)</f>
        <v>#N/A</v>
      </c>
      <c r="BF146" s="463">
        <f t="shared" si="157"/>
        <v>0</v>
      </c>
      <c r="BG146" s="1445" t="e">
        <f t="array" ref="BG146">INDEX($DO$112:$DQ$123,MATCH(T146&amp;W146,$DO$114:$DO$125&amp;$DP$112:$DP$123,0),3)</f>
        <v>#N/A</v>
      </c>
      <c r="BH146" s="1446">
        <f t="shared" si="187"/>
        <v>0</v>
      </c>
      <c r="BI146" s="465">
        <f t="shared" si="188"/>
        <v>0</v>
      </c>
      <c r="BJ146" s="465">
        <f t="shared" si="189"/>
        <v>0</v>
      </c>
      <c r="BK146" s="466">
        <f t="shared" si="158"/>
        <v>0</v>
      </c>
      <c r="BL146" s="466">
        <f t="shared" si="159"/>
        <v>0</v>
      </c>
      <c r="BM146" s="466">
        <f t="shared" si="190"/>
        <v>0</v>
      </c>
      <c r="BN146" s="466">
        <f t="shared" si="191"/>
        <v>0</v>
      </c>
      <c r="BO146" s="463">
        <f>IF('Data Entry'!$C$74=0,0,IF(ISNA(CJ146),0,IF(AX146=0,0,IF(AND('Data Entry'!$C$74=2,AF146&gt;2,CE146&lt;1),0,IF(AND('Data Entry'!$C$74=2,AF146&gt;1,AU146=2,CJ146&gt;1),0,IF(AND(AF146=5,CT146=0.5,AU146=2,ER146&lt;100),0,IF(AND(AF146=5,CT146=0.5,AU146=3,ER146&lt;100),0,IF(AND('Data Entry'!$C$74=2,AF146=2,AU146=2,AK146&gt;0.01,CB146=2,CE146&lt;1),0,IF(AND('Data Entry'!$C$74=2,AF146=3,AU146=3,AK146&gt;0.01,CB146=3,CE146&lt;1),0,IF(AND('Data Entry'!$C$74=2,AF146=3,AU146=3,AK146&gt;0.01,CB146=3,CE146&gt;0.99),BQ146*0.08,IF(AND('Data Entry'!$C$74=2,AF146=2,AU146=2,AK146&gt;0.01,CB146=2,CE146&gt;0.99),BQ146*0.1,IF(AND(AU146=2,AK146&gt;0.01,CB146=2,CD146&gt;1),BQ146*0.1,IF(AND(AU146=3,AK146&gt;0.01,CB146=3,CD146&gt;1),BQ146*0.08,CJ146*EF146)))))))))))))</f>
        <v>0</v>
      </c>
      <c r="BP146" s="475">
        <f t="shared" si="192"/>
        <v>0</v>
      </c>
      <c r="BQ146" s="1431">
        <f>IF(AU146=1,0,IF(CH146=100,0,IF(AND(AF146=3,AU146=2),0,IF(AND(BH146=0,CT146&gt;0.4),0,IF(AND('Data Entry'!$C$74=2,AF146=1.5),0,IF(AND('Data Entry'!$C$74=2,AF146=1.6),0,IF(AND('Data Entry'!$C$74=2,AF146=4),0,IF(AND('Data Entry'!$C$74=2,AF146=5),0,IF(AND('Data Entry'!$C$74=2,AF146=2.5,CE146&lt;1),0,IF(AND('Data Entry'!$C$74=2,AF146=3,CE146&lt;1),0,IF(AND('Data Entry'!$C$74=1,AF146=2.5,CD146&lt;1),0,IF(AND('Data Entry'!$C$74=1,AF146=3,CD146&lt;1),0,IF(DX146&gt;0.01,DX146,IF(ISERROR(AX146-AY146),"",ROUND(AX146-AY146,2)))))))))))))))</f>
        <v>0</v>
      </c>
      <c r="BR146" s="146">
        <f t="shared" si="193"/>
        <v>0</v>
      </c>
      <c r="BS146" s="475">
        <f t="shared" si="194"/>
        <v>0</v>
      </c>
      <c r="BT146" s="146" t="b">
        <f t="shared" si="195"/>
        <v>0</v>
      </c>
      <c r="BU146" s="463">
        <f>IF(ISNA(AT146),0,IF(AND('Data Entry'!$C$74=2,BC146=27),0,IF(AND('Data Entry'!$C$74=2,BC146=28),0,IF(AND(BC146=27,BT146=27,CM146&gt;0.1),CM146*0.15,IF(AND(BC146=28,BT146=28,CM146&gt;0.1),CM146*0.12,0)))))</f>
        <v>0</v>
      </c>
      <c r="BV146" s="463">
        <f t="shared" si="155"/>
        <v>0</v>
      </c>
      <c r="BW146" s="463">
        <f t="shared" si="196"/>
        <v>0</v>
      </c>
      <c r="BX146" s="463">
        <f t="shared" si="197"/>
        <v>0</v>
      </c>
      <c r="BY146" s="463">
        <f t="shared" si="198"/>
        <v>0</v>
      </c>
      <c r="BZ146" s="463">
        <f t="shared" si="199"/>
        <v>0</v>
      </c>
      <c r="CA146" s="57">
        <f t="shared" si="227"/>
        <v>0</v>
      </c>
      <c r="CB146" s="56">
        <f t="shared" si="200"/>
        <v>1</v>
      </c>
      <c r="CC146" s="756">
        <f>IF(EE146=0,0,IF(EF146=0,0,IF(EE146&gt;AA146,0,IF(AND(AZ146&gt;AW146,AW146&gt;0),0,IF(CU146=0,0,Summary!AC449)))))</f>
        <v>0</v>
      </c>
      <c r="CD146" s="756">
        <f>IF(EE146=0,0,IF(EF146=0,0,IF(EE146&gt;AA146,0,IF(AND(AZ146&gt;AW146,AW146&gt;0),0,IF(CU146=0,0,Summary!AD449)))))</f>
        <v>0</v>
      </c>
      <c r="CE146" s="756">
        <f>IF(EF146=0,0,IF(EE146&gt;AA146,0,IF(CC146=0,0,IF(AND(AZ146&gt;AW146,AW146&gt;0),0,IF(CU146=0,0,Summary!AE449)))))</f>
        <v>0</v>
      </c>
      <c r="CF146" s="475">
        <f t="shared" si="201"/>
        <v>0</v>
      </c>
      <c r="CG146" s="476">
        <f t="shared" si="169"/>
        <v>0</v>
      </c>
      <c r="CH146" s="487">
        <f t="shared" si="202"/>
        <v>0</v>
      </c>
      <c r="CI146" s="756">
        <f t="shared" si="203"/>
        <v>0</v>
      </c>
      <c r="CJ146" s="487">
        <f>IF(CT146&gt;0.4,0,IF(AND(AU146=2,CH146=0,CT146=0.5,ER146=100),35,IF(AND(AU146=3,BB146&gt;75,CH146=0,CT146=0.5,ER146=100),25,IF(CB146&gt;1,0,IF(EF146&gt;EE146,0,IF(AND(AF146&gt;1,CH146=100),0,IF(AND(AF146=1,AY146=0),0,IF(AND(EF146&lt;=EE146,AW146&gt;=AZ146,'Data Entry'!$C$74=1,AU146=2),VLOOKUP(W146,$DO$96:$DP$102,2,FALSE),IF(AND(EF146&lt;=EE146,AW146&gt;=AZ146,AU146=3,'Data Entry'!$C$74=1),VLOOKUP(W146,$DO$127:$DP$134,2,FALSE))))))))))</f>
        <v>0</v>
      </c>
      <c r="CK146" s="716">
        <f t="shared" si="204"/>
        <v>0</v>
      </c>
      <c r="CL146" s="57">
        <f t="shared" si="205"/>
        <v>0</v>
      </c>
      <c r="CM146" s="475">
        <f t="shared" si="231"/>
        <v>0</v>
      </c>
      <c r="CN146" s="660">
        <f>IF(CM146&lt;0.1,0,IF(ISNA(AT146),0,IF(CL146+BC146=1,0,IF(BV146&gt;0.01,0,IF(CL146&gt;0.01,0,IF(CF146=1,0,IF(BC146=0.5,0,IF(AND(CI146=1,AU146=3),0,IF(AND(CI146=5,CL146=0),0,IF(AND(R146=12,BR146=50),0,IF(CK146&gt;0.01,0,IF(AND(AJ146&gt;0.01,AU146=2,BC146=15),CM146*0.1,IF(AND(AJ146&gt;0.01,AU146=3,BC146=15),CM146*0.08,IF(AND(R146=12,BC146=3,AF146&lt;=0),0,IF(AND(BC146=15,BI146=0),0,IF(AND(BC146=15,BJ146=0),0,IF(AND(R146=20,CU146=0),0,IF($X$4=0,0,IF(AND(BC146=250,CL146=0),0,IF(AA146&lt;1,0,IF(AND(ISNUMBER(SEARCH("Area",T146)),AU146=3),0,IF(AND(AQ146&gt;0.01,AR146=0,BK146=0,BL146=0,BM146=0,BN146=0),0,IF(AND(AU146=3,CI146=7,CT146&gt;0.5),0,IF(AND(BC146=44,AU146=3,BY146=0),0,IF(AND(BC146=27,'Data Entry'!$C$74=2),0,IF(AND(BC146=28,'Data Entry'!$C$74=2),0,IF(AND(BY146+BZ146+CA146&gt;0.01,BV146=0,EQ146+ER146+ES146+ET146&lt;100),0,IF(AU146=3,CM146*0.08,IF(AU146=2,CM146*0.1,0)))))))))))))))))))))))))))))</f>
        <v>0</v>
      </c>
      <c r="CO146" s="660">
        <f t="shared" si="206"/>
        <v>0</v>
      </c>
      <c r="CP146" s="475" t="str">
        <f t="shared" si="207"/>
        <v/>
      </c>
      <c r="CQ146" s="161" t="str">
        <f>IF(AH146=0,0,IF(AU146=5,0,Summary!AC149))</f>
        <v/>
      </c>
      <c r="CR146" s="161" t="str">
        <f>IF(BF146=0.5,0,IF(AU146=5,0,Summary!AD149))</f>
        <v/>
      </c>
      <c r="CS146" s="161" t="str">
        <f>IF(AU146=5,0,Summary!AE149)</f>
        <v/>
      </c>
      <c r="CT146" s="161">
        <f t="shared" si="208"/>
        <v>0</v>
      </c>
      <c r="CU146" s="475" t="str">
        <f t="shared" si="209"/>
        <v/>
      </c>
      <c r="CV146" s="307">
        <f>IF('Data Entry'!$C$74=0,0,IF(AA146&lt;1,0,IF(ISERROR(CU146),0,IF(CF146=1,0,IF(AND(R146=12,BR146=50),0,IF(CL146+BO146+BV146+DC146=0,0,IF(BC146=37,0,IF(AND(BC146=40,AJ146=0),0,IF(AND(BC146=37,BO146&gt;0.01,BQ146&gt;0.01),ROUND(BQ146,0),IF(CM146&lt;0,0,ROUND(CM146,0)))))))))))</f>
        <v>0</v>
      </c>
      <c r="CW146" s="700">
        <f t="shared" si="210"/>
        <v>0</v>
      </c>
      <c r="CX146" s="477">
        <f>IF('Data Entry'!$C$74=0,0,IF(CV146&lt;0.01,0,IF(BF146=0.5,0,IF(CF146=1,0,IF(ISNUMBER(SEARCH("false",CL146)),0,IF(AZ146=500,0,CL146))))))</f>
        <v>0</v>
      </c>
      <c r="CY146" s="147" t="e">
        <f t="shared" si="211"/>
        <v>#VALUE!</v>
      </c>
      <c r="CZ146" s="147" t="b">
        <f>IF(CN146+CL146=0,FALSE,IF(AH146=0,0,IF(AND('Data Entry'!$C$74=1,CR146&gt;=1),TRUE,IF(AND('Data Entry'!$C$74=2,CS146&gt;=1),TRUE,FALSE))))</f>
        <v>0</v>
      </c>
      <c r="DA146" s="1751">
        <f>IF('Data Entry'!$C$74=0,0,IFERROR(ROUND(IF(T146="","",IF($X$4=0,0,IF(CF146=1,0,IF(BQ146+CV146=0,0,IF(CF146=1,0,IF(CY146&gt;0.01,CY146,IF(CL146&gt;0.01,CL146,IF(CY146&gt;0.01,CY146,IF(BC146=37,BO146,IF(CZ146=FALSE,0,IF(CZ146=TRUE,DC146+DF146,0))))))))))),2),""))</f>
        <v>0</v>
      </c>
      <c r="DB146" s="1752"/>
      <c r="DC146" s="474">
        <f>IF(CN146&lt;0.01,0,IF(AND(BR146=3,CN146&gt;0.01,CT146&gt;0.6,ER146+ES146+ET146&lt;100),0,IF(AND('Data Entry'!$C$74=1,CN146&gt;0.01,CR146&gt;0.99),MIN(CN146:CO146),IF(AND('Data Entry'!$C$74=2,CN146&gt;0.01,CS146&gt;0.99),MIN(CN146:CO146),0))))</f>
        <v>0</v>
      </c>
      <c r="DD146" s="478">
        <f>IF(CF146=1,"Selection does not match",IF(T146=0,0,IF(AND('Data Entry'!$C$74=0,CP146&gt;1),"Select Oregon or Idaho on Data Entry Tab",IF(AND(AU146=1,AA146&gt;0.9),"Missing Interior or Exterior Selection",IF($X$4=0,"Enter Total Project Cost",IF(AQ146&lt;AR146,"Insufficient kWh savings – no incentive",IF(AND(SUM(CL146+CK146+BV146)&gt;0.01,'Data Entry'!$C$74=2,CJ146&gt;1,BO146=0),"Submit Control as Non-Standard",IF(AND('Data Entry'!$C$74=2,BR146=37,CJ146&gt;1,BO146=0),"Submit Control as Non-Standard",IF(SUM(CL146+CK146+BV146)&gt;0.01,"Standard Incentive",IF(AND('Data Entry'!$C$74=2,CP146=7,CN146=0),"Submit as Non-Standard",IF(DC146&gt;0.9,"Non-Standard Incentive",IF(AND(BY146+BZ146+CA146&gt;0.01,BV146=0,EQ146=0,ER146=0,ES146=0,ET146=0),"Scroll Right &amp; Select Control Strategies",IF(AND(CN146&gt;0.01,CO146=0),"Enter Unit Installed Cost",IF(ISNUMBER(SEARCH("Lighting Controls Only",F146)),"Lighting Controls Only",IF(CL146+DC146=0,"Does not meet incentive criteria",0)))))))))))))))</f>
        <v>0</v>
      </c>
      <c r="DE146" s="337">
        <f t="shared" si="212"/>
        <v>0</v>
      </c>
      <c r="DF146" s="609">
        <f t="shared" si="213"/>
        <v>0</v>
      </c>
      <c r="DG146" s="336" t="str">
        <f t="shared" si="214"/>
        <v/>
      </c>
      <c r="DH146" s="338">
        <f t="shared" si="215"/>
        <v>1</v>
      </c>
      <c r="DI146" s="336" t="e">
        <f t="shared" si="170"/>
        <v>#VALUE!</v>
      </c>
      <c r="DJ146" s="338">
        <f t="shared" si="171"/>
        <v>0</v>
      </c>
      <c r="DK146" s="326" t="s">
        <v>89</v>
      </c>
      <c r="DL146" s="341">
        <v>173</v>
      </c>
      <c r="DM146" s="326" t="s">
        <v>473</v>
      </c>
      <c r="DN146" s="1123">
        <v>8</v>
      </c>
      <c r="DO146" s="361"/>
      <c r="DP146" s="329"/>
      <c r="DQ146" s="331"/>
      <c r="DR146" s="357"/>
      <c r="DS146" s="1195">
        <f t="shared" si="216"/>
        <v>0</v>
      </c>
      <c r="DT146" s="344" t="b">
        <f t="shared" si="217"/>
        <v>1</v>
      </c>
      <c r="DU146" s="1314" t="str">
        <f t="array" ref="DU146">IF(OR(COUNTIF(F146,"*"&amp;$DK$9:$DK$178&amp;"*")), "Yes", "")</f>
        <v/>
      </c>
      <c r="DV146" s="1314">
        <f t="shared" si="218"/>
        <v>0</v>
      </c>
      <c r="DW146" s="1480">
        <f t="shared" si="219"/>
        <v>0</v>
      </c>
      <c r="DX146" s="1498">
        <f t="shared" si="228"/>
        <v>0</v>
      </c>
      <c r="DY146" s="1484">
        <f t="shared" si="220"/>
        <v>0</v>
      </c>
      <c r="DZ146" s="331"/>
      <c r="EA146" s="392"/>
      <c r="EB146" s="1499" t="s">
        <v>85</v>
      </c>
      <c r="EC146" s="727" t="s">
        <v>1568</v>
      </c>
      <c r="ED146" s="728">
        <v>0.5</v>
      </c>
      <c r="EE146" s="1215"/>
      <c r="EF146" s="1215"/>
      <c r="EG146" s="1184" t="str">
        <f t="shared" si="221"/>
        <v/>
      </c>
      <c r="EH146" s="55"/>
      <c r="EI146" s="55"/>
      <c r="EJ146" s="1185">
        <f t="shared" si="172"/>
        <v>0</v>
      </c>
      <c r="EK146" s="1211"/>
      <c r="EL146" s="1180">
        <f t="shared" si="173"/>
        <v>0</v>
      </c>
      <c r="EM146" s="206"/>
      <c r="EN146" s="1038"/>
      <c r="EO146" s="1038"/>
      <c r="EP146" s="1038"/>
      <c r="EQ146" s="1038">
        <f t="shared" si="222"/>
        <v>0</v>
      </c>
      <c r="ER146" s="1041">
        <f t="shared" si="223"/>
        <v>0</v>
      </c>
      <c r="ES146" s="1042">
        <f t="shared" si="224"/>
        <v>0</v>
      </c>
      <c r="ET146" s="1042">
        <f t="shared" si="229"/>
        <v>0</v>
      </c>
      <c r="EU146" s="1021">
        <f t="shared" si="230"/>
        <v>0</v>
      </c>
      <c r="EV146" s="368"/>
      <c r="EW146" s="368"/>
      <c r="EX146" s="369"/>
      <c r="EY146" s="370"/>
      <c r="EZ146" s="370"/>
      <c r="FA146" s="371"/>
      <c r="FB146" s="372"/>
    </row>
    <row r="147" spans="1:158" ht="34.5" customHeight="1">
      <c r="A147" s="82">
        <v>139</v>
      </c>
      <c r="B147" s="1725"/>
      <c r="C147" s="1726"/>
      <c r="D147" s="1726"/>
      <c r="E147" s="1727"/>
      <c r="F147" s="1732"/>
      <c r="G147" s="1733"/>
      <c r="H147" s="1733"/>
      <c r="I147" s="1734"/>
      <c r="J147" s="1341"/>
      <c r="K147" s="1728"/>
      <c r="L147" s="1728"/>
      <c r="M147" s="1342"/>
      <c r="N147" s="1583"/>
      <c r="O147" s="208" t="str">
        <f t="shared" si="160"/>
        <v/>
      </c>
      <c r="P147" s="785"/>
      <c r="Q147" s="39" t="str">
        <f t="shared" si="161"/>
        <v/>
      </c>
      <c r="R147" s="39">
        <f t="shared" si="174"/>
        <v>0</v>
      </c>
      <c r="S147" s="234">
        <f t="shared" si="175"/>
        <v>0</v>
      </c>
      <c r="T147" s="1755"/>
      <c r="U147" s="1755"/>
      <c r="V147" s="1755"/>
      <c r="W147" s="1345"/>
      <c r="X147" s="1741"/>
      <c r="Y147" s="1742"/>
      <c r="Z147" s="1346"/>
      <c r="AA147" s="1343"/>
      <c r="AB147" s="1141"/>
      <c r="AC147" s="1103" t="str">
        <f>IF(T147="","",VLOOKUP(Z147,Lists!$A$60:$B$111,2,FALSE))</f>
        <v/>
      </c>
      <c r="AD147" s="130" t="str">
        <f t="shared" si="176"/>
        <v/>
      </c>
      <c r="AE147" s="130" t="e">
        <f t="shared" si="177"/>
        <v>#VALUE!</v>
      </c>
      <c r="AF147" s="130">
        <f t="shared" si="178"/>
        <v>1</v>
      </c>
      <c r="AG147" s="234">
        <f t="shared" si="162"/>
        <v>0</v>
      </c>
      <c r="AH147" s="1753" t="str">
        <f>IF(T147="","",(IF(ISNUMBER(SEARCH("exit",T147)),8760,IF(AND(M147="Dusk to Dawn",'Proposed Lighting'!AU147=3),4059,IF(AND(AU147=3,M147="1"),0,IF(AND(AU147=3,M147="1-C"),0,IF(AND(AU147=3,M147="2"),0,IF(AND(AU147=3,M147="2-C"),0,IF(AND(AU147=3,M147="3"),0,IF(AND(AU147=3,M147="3-C"),0,IF(AND(AU147=2,M147="Dusk to Dawn"),0,IF(AND(AU147=2,M147="Dusk to Dawn-C"),0,IF(AND(AU147=2,M147="Dusk to Dawn"),0,IF(AND(AU147=2,M147="E"),0,IF(AND(AU147=2,M147="E-C"),0,EG147)))))))))))))))</f>
        <v/>
      </c>
      <c r="AI147" s="1754"/>
      <c r="AJ147" s="1136"/>
      <c r="AK147" s="1136"/>
      <c r="AL147" s="1748">
        <f t="shared" si="179"/>
        <v>0</v>
      </c>
      <c r="AM147" s="1749"/>
      <c r="AN147" s="1750"/>
      <c r="AO147" s="476">
        <f t="shared" si="163"/>
        <v>0</v>
      </c>
      <c r="AP147" s="476">
        <f t="shared" si="180"/>
        <v>0</v>
      </c>
      <c r="AQ147" s="475">
        <f t="shared" si="164"/>
        <v>0</v>
      </c>
      <c r="AR147" s="475">
        <f t="shared" si="181"/>
        <v>0</v>
      </c>
      <c r="AS147" s="743" t="str">
        <f t="shared" si="156"/>
        <v/>
      </c>
      <c r="AT147" s="736" t="str">
        <f t="shared" si="182"/>
        <v/>
      </c>
      <c r="AU147" s="56">
        <f t="shared" si="183"/>
        <v>1</v>
      </c>
      <c r="AV147" s="476">
        <f t="shared" si="184"/>
        <v>0</v>
      </c>
      <c r="AW147" s="56">
        <f t="shared" si="185"/>
        <v>0</v>
      </c>
      <c r="AX147" s="475">
        <f t="shared" si="165"/>
        <v>0</v>
      </c>
      <c r="AY147" s="1169">
        <f t="shared" si="186"/>
        <v>0</v>
      </c>
      <c r="AZ147" s="1150">
        <f t="shared" si="225"/>
        <v>0</v>
      </c>
      <c r="BA147" s="56">
        <f t="shared" si="166"/>
        <v>0</v>
      </c>
      <c r="BB147" s="420">
        <f t="shared" si="167"/>
        <v>0</v>
      </c>
      <c r="BC147" s="58" t="str">
        <f t="shared" si="168"/>
        <v/>
      </c>
      <c r="BD147" s="660">
        <f t="shared" si="226"/>
        <v>0</v>
      </c>
      <c r="BE147" s="57" t="e">
        <f t="array" ref="BE147">INDEX($EB$11:$ED$1022,MATCH(F147&amp;T147,$EB$11:$EB$1007&amp;$EC$11:$EC$1007,0),3)</f>
        <v>#N/A</v>
      </c>
      <c r="BF147" s="463">
        <f t="shared" si="157"/>
        <v>0</v>
      </c>
      <c r="BG147" s="1445" t="e">
        <f t="array" ref="BG147">INDEX($DO$112:$DQ$123,MATCH(T147&amp;W147,$DO$114:$DO$125&amp;$DP$112:$DP$123,0),3)</f>
        <v>#N/A</v>
      </c>
      <c r="BH147" s="1446">
        <f t="shared" si="187"/>
        <v>0</v>
      </c>
      <c r="BI147" s="465">
        <f t="shared" si="188"/>
        <v>0</v>
      </c>
      <c r="BJ147" s="465">
        <f t="shared" si="189"/>
        <v>0</v>
      </c>
      <c r="BK147" s="466">
        <f t="shared" si="158"/>
        <v>0</v>
      </c>
      <c r="BL147" s="466">
        <f t="shared" si="159"/>
        <v>0</v>
      </c>
      <c r="BM147" s="466">
        <f t="shared" si="190"/>
        <v>0</v>
      </c>
      <c r="BN147" s="466">
        <f t="shared" si="191"/>
        <v>0</v>
      </c>
      <c r="BO147" s="463">
        <f>IF('Data Entry'!$C$74=0,0,IF(ISNA(CJ147),0,IF(AX147=0,0,IF(AND('Data Entry'!$C$74=2,AF147&gt;2,CE147&lt;1),0,IF(AND('Data Entry'!$C$74=2,AF147&gt;1,AU147=2,CJ147&gt;1),0,IF(AND(AF147=5,CT147=0.5,AU147=2,ER147&lt;100),0,IF(AND(AF147=5,CT147=0.5,AU147=3,ER147&lt;100),0,IF(AND('Data Entry'!$C$74=2,AF147=2,AU147=2,AK147&gt;0.01,CB147=2,CE147&lt;1),0,IF(AND('Data Entry'!$C$74=2,AF147=3,AU147=3,AK147&gt;0.01,CB147=3,CE147&lt;1),0,IF(AND('Data Entry'!$C$74=2,AF147=3,AU147=3,AK147&gt;0.01,CB147=3,CE147&gt;0.99),BQ147*0.08,IF(AND('Data Entry'!$C$74=2,AF147=2,AU147=2,AK147&gt;0.01,CB147=2,CE147&gt;0.99),BQ147*0.1,IF(AND(AU147=2,AK147&gt;0.01,CB147=2,CD147&gt;1),BQ147*0.1,IF(AND(AU147=3,AK147&gt;0.01,CB147=3,CD147&gt;1),BQ147*0.08,CJ147*EF147)))))))))))))</f>
        <v>0</v>
      </c>
      <c r="BP147" s="475">
        <f t="shared" si="192"/>
        <v>0</v>
      </c>
      <c r="BQ147" s="1431">
        <f>IF(AU147=1,0,IF(CH147=100,0,IF(AND(AF147=3,AU147=2),0,IF(AND(BH147=0,CT147&gt;0.4),0,IF(AND('Data Entry'!$C$74=2,AF147=1.5),0,IF(AND('Data Entry'!$C$74=2,AF147=1.6),0,IF(AND('Data Entry'!$C$74=2,AF147=4),0,IF(AND('Data Entry'!$C$74=2,AF147=5),0,IF(AND('Data Entry'!$C$74=2,AF147=2.5,CE147&lt;1),0,IF(AND('Data Entry'!$C$74=2,AF147=3,CE147&lt;1),0,IF(AND('Data Entry'!$C$74=1,AF147=2.5,CD147&lt;1),0,IF(AND('Data Entry'!$C$74=1,AF147=3,CD147&lt;1),0,IF(DX147&gt;0.01,DX147,IF(ISERROR(AX147-AY147),"",ROUND(AX147-AY147,2)))))))))))))))</f>
        <v>0</v>
      </c>
      <c r="BR147" s="146">
        <f t="shared" si="193"/>
        <v>0</v>
      </c>
      <c r="BS147" s="475">
        <f t="shared" si="194"/>
        <v>0</v>
      </c>
      <c r="BT147" s="146" t="b">
        <f t="shared" si="195"/>
        <v>0</v>
      </c>
      <c r="BU147" s="463">
        <f>IF(ISNA(AT147),0,IF(AND('Data Entry'!$C$74=2,BC147=27),0,IF(AND('Data Entry'!$C$74=2,BC147=28),0,IF(AND(BC147=27,BT147=27,CM147&gt;0.1),CM147*0.15,IF(AND(BC147=28,BT147=28,CM147&gt;0.1),CM147*0.12,0)))))</f>
        <v>0</v>
      </c>
      <c r="BV147" s="463">
        <f t="shared" si="155"/>
        <v>0</v>
      </c>
      <c r="BW147" s="463">
        <f t="shared" si="196"/>
        <v>0</v>
      </c>
      <c r="BX147" s="463">
        <f t="shared" si="197"/>
        <v>0</v>
      </c>
      <c r="BY147" s="463">
        <f t="shared" si="198"/>
        <v>0</v>
      </c>
      <c r="BZ147" s="463">
        <f t="shared" si="199"/>
        <v>0</v>
      </c>
      <c r="CA147" s="57">
        <f t="shared" si="227"/>
        <v>0</v>
      </c>
      <c r="CB147" s="56">
        <f t="shared" si="200"/>
        <v>1</v>
      </c>
      <c r="CC147" s="756">
        <f>IF(EE147=0,0,IF(EF147=0,0,IF(EE147&gt;AA147,0,IF(AND(AZ147&gt;AW147,AW147&gt;0),0,IF(CU147=0,0,Summary!AC450)))))</f>
        <v>0</v>
      </c>
      <c r="CD147" s="756">
        <f>IF(EE147=0,0,IF(EF147=0,0,IF(EE147&gt;AA147,0,IF(AND(AZ147&gt;AW147,AW147&gt;0),0,IF(CU147=0,0,Summary!AD450)))))</f>
        <v>0</v>
      </c>
      <c r="CE147" s="756">
        <f>IF(EF147=0,0,IF(EE147&gt;AA147,0,IF(CC147=0,0,IF(AND(AZ147&gt;AW147,AW147&gt;0),0,IF(CU147=0,0,Summary!AE450)))))</f>
        <v>0</v>
      </c>
      <c r="CF147" s="475">
        <f t="shared" si="201"/>
        <v>0</v>
      </c>
      <c r="CG147" s="476">
        <f t="shared" si="169"/>
        <v>0</v>
      </c>
      <c r="CH147" s="487">
        <f t="shared" si="202"/>
        <v>0</v>
      </c>
      <c r="CI147" s="756">
        <f t="shared" si="203"/>
        <v>0</v>
      </c>
      <c r="CJ147" s="487">
        <f>IF(CT147&gt;0.4,0,IF(AND(AU147=2,CH147=0,CT147=0.5,ER147=100),35,IF(AND(AU147=3,BB147&gt;75,CH147=0,CT147=0.5,ER147=100),25,IF(CB147&gt;1,0,IF(EF147&gt;EE147,0,IF(AND(AF147&gt;1,CH147=100),0,IF(AND(AF147=1,AY147=0),0,IF(AND(EF147&lt;=EE147,AW147&gt;=AZ147,'Data Entry'!$C$74=1,AU147=2),VLOOKUP(W147,$DO$96:$DP$102,2,FALSE),IF(AND(EF147&lt;=EE147,AW147&gt;=AZ147,AU147=3,'Data Entry'!$C$74=1),VLOOKUP(W147,$DO$127:$DP$134,2,FALSE))))))))))</f>
        <v>0</v>
      </c>
      <c r="CK147" s="716">
        <f t="shared" si="204"/>
        <v>0</v>
      </c>
      <c r="CL147" s="57">
        <f t="shared" si="205"/>
        <v>0</v>
      </c>
      <c r="CM147" s="475">
        <f t="shared" si="231"/>
        <v>0</v>
      </c>
      <c r="CN147" s="660">
        <f>IF(CM147&lt;0.1,0,IF(ISNA(AT147),0,IF(CL147+BC147=1,0,IF(BV147&gt;0.01,0,IF(CL147&gt;0.01,0,IF(CF147=1,0,IF(BC147=0.5,0,IF(AND(CI147=1,AU147=3),0,IF(AND(CI147=5,CL147=0),0,IF(AND(R147=12,BR147=50),0,IF(CK147&gt;0.01,0,IF(AND(AJ147&gt;0.01,AU147=2,BC147=15),CM147*0.1,IF(AND(AJ147&gt;0.01,AU147=3,BC147=15),CM147*0.08,IF(AND(R147=12,BC147=3,AF147&lt;=0),0,IF(AND(BC147=15,BI147=0),0,IF(AND(BC147=15,BJ147=0),0,IF(AND(R147=20,CU147=0),0,IF($X$4=0,0,IF(AND(BC147=250,CL147=0),0,IF(AA147&lt;1,0,IF(AND(ISNUMBER(SEARCH("Area",T147)),AU147=3),0,IF(AND(AQ147&gt;0.01,AR147=0,BK147=0,BL147=0,BM147=0,BN147=0),0,IF(AND(AU147=3,CI147=7,CT147&gt;0.5),0,IF(AND(BC147=44,AU147=3,BY147=0),0,IF(AND(BC147=27,'Data Entry'!$C$74=2),0,IF(AND(BC147=28,'Data Entry'!$C$74=2),0,IF(AND(BY147+BZ147+CA147&gt;0.01,BV147=0,EQ147+ER147+ES147+ET147&lt;100),0,IF(AU147=3,CM147*0.08,IF(AU147=2,CM147*0.1,0)))))))))))))))))))))))))))))</f>
        <v>0</v>
      </c>
      <c r="CO147" s="660">
        <f t="shared" si="206"/>
        <v>0</v>
      </c>
      <c r="CP147" s="475" t="str">
        <f t="shared" si="207"/>
        <v/>
      </c>
      <c r="CQ147" s="161" t="str">
        <f>IF(AH147=0,0,IF(AU147=5,0,Summary!AC150))</f>
        <v/>
      </c>
      <c r="CR147" s="161" t="str">
        <f>IF(BF147=0.5,0,IF(AU147=5,0,Summary!AD150))</f>
        <v/>
      </c>
      <c r="CS147" s="161" t="str">
        <f>IF(AU147=5,0,Summary!AE150)</f>
        <v/>
      </c>
      <c r="CT147" s="161">
        <f t="shared" si="208"/>
        <v>0</v>
      </c>
      <c r="CU147" s="475" t="str">
        <f t="shared" si="209"/>
        <v/>
      </c>
      <c r="CV147" s="307">
        <f>IF('Data Entry'!$C$74=0,0,IF(AA147&lt;1,0,IF(ISERROR(CU147),0,IF(CF147=1,0,IF(AND(R147=12,BR147=50),0,IF(CL147+BO147+BV147+DC147=0,0,IF(BC147=37,0,IF(AND(BC147=40,AJ147=0),0,IF(AND(BC147=37,BO147&gt;0.01,BQ147&gt;0.01),ROUND(BQ147,0),IF(CM147&lt;0,0,ROUND(CM147,0)))))))))))</f>
        <v>0</v>
      </c>
      <c r="CW147" s="700">
        <f t="shared" si="210"/>
        <v>0</v>
      </c>
      <c r="CX147" s="477">
        <f>IF('Data Entry'!$C$74=0,0,IF(CV147&lt;0.01,0,IF(BF147=0.5,0,IF(CF147=1,0,IF(ISNUMBER(SEARCH("false",CL147)),0,IF(AZ147=500,0,CL147))))))</f>
        <v>0</v>
      </c>
      <c r="CY147" s="147" t="e">
        <f t="shared" si="211"/>
        <v>#VALUE!</v>
      </c>
      <c r="CZ147" s="147" t="b">
        <f>IF(CN147+CL147=0,FALSE,IF(AH147=0,0,IF(AND('Data Entry'!$C$74=1,CR147&gt;=1),TRUE,IF(AND('Data Entry'!$C$74=2,CS147&gt;=1),TRUE,FALSE))))</f>
        <v>0</v>
      </c>
      <c r="DA147" s="1751">
        <f>IF('Data Entry'!$C$74=0,0,IFERROR(ROUND(IF(T147="","",IF($X$4=0,0,IF(CF147=1,0,IF(BQ147+CV147=0,0,IF(CF147=1,0,IF(CY147&gt;0.01,CY147,IF(CL147&gt;0.01,CL147,IF(CY147&gt;0.01,CY147,IF(BC147=37,BO147,IF(CZ147=FALSE,0,IF(CZ147=TRUE,DC147+DF147,0))))))))))),2),""))</f>
        <v>0</v>
      </c>
      <c r="DB147" s="1752"/>
      <c r="DC147" s="474">
        <f>IF(CN147&lt;0.01,0,IF(AND(BR147=3,CN147&gt;0.01,CT147&gt;0.6,ER147+ES147+ET147&lt;100),0,IF(AND('Data Entry'!$C$74=1,CN147&gt;0.01,CR147&gt;0.99),MIN(CN147:CO147),IF(AND('Data Entry'!$C$74=2,CN147&gt;0.01,CS147&gt;0.99),MIN(CN147:CO147),0))))</f>
        <v>0</v>
      </c>
      <c r="DD147" s="478">
        <f>IF(CF147=1,"Selection does not match",IF(T147=0,0,IF(AND('Data Entry'!$C$74=0,CP147&gt;1),"Select Oregon or Idaho on Data Entry Tab",IF(AND(AU147=1,AA147&gt;0.9),"Missing Interior or Exterior Selection",IF($X$4=0,"Enter Total Project Cost",IF(AQ147&lt;AR147,"Insufficient kWh savings – no incentive",IF(AND(SUM(CL147+CK147+BV147)&gt;0.01,'Data Entry'!$C$74=2,CJ147&gt;1,BO147=0),"Submit Control as Non-Standard",IF(AND('Data Entry'!$C$74=2,BR147=37,CJ147&gt;1,BO147=0),"Submit Control as Non-Standard",IF(SUM(CL147+CK147+BV147)&gt;0.01,"Standard Incentive",IF(AND('Data Entry'!$C$74=2,CP147=7,CN147=0),"Submit as Non-Standard",IF(DC147&gt;0.9,"Non-Standard Incentive",IF(AND(BY147+BZ147+CA147&gt;0.01,BV147=0,EQ147=0,ER147=0,ES147=0,ET147=0),"Scroll Right &amp; Select Control Strategies",IF(AND(CN147&gt;0.01,CO147=0),"Enter Unit Installed Cost",IF(ISNUMBER(SEARCH("Lighting Controls Only",F147)),"Lighting Controls Only",IF(CL147+DC147=0,"Does not meet incentive criteria",0)))))))))))))))</f>
        <v>0</v>
      </c>
      <c r="DE147" s="337">
        <f t="shared" si="212"/>
        <v>0</v>
      </c>
      <c r="DF147" s="609">
        <f t="shared" si="213"/>
        <v>0</v>
      </c>
      <c r="DG147" s="336" t="str">
        <f t="shared" si="214"/>
        <v/>
      </c>
      <c r="DH147" s="338">
        <f t="shared" si="215"/>
        <v>1</v>
      </c>
      <c r="DI147" s="336" t="e">
        <f t="shared" si="170"/>
        <v>#VALUE!</v>
      </c>
      <c r="DJ147" s="338">
        <f t="shared" si="171"/>
        <v>0</v>
      </c>
      <c r="DK147" s="326" t="s">
        <v>90</v>
      </c>
      <c r="DL147" s="341">
        <v>240</v>
      </c>
      <c r="DM147" s="326" t="s">
        <v>474</v>
      </c>
      <c r="DN147" s="1123">
        <v>12</v>
      </c>
      <c r="DO147" s="356"/>
      <c r="DP147" s="329"/>
      <c r="DQ147" s="331"/>
      <c r="DR147" s="357"/>
      <c r="DS147" s="1195">
        <f t="shared" si="216"/>
        <v>0</v>
      </c>
      <c r="DT147" s="344" t="b">
        <f t="shared" si="217"/>
        <v>1</v>
      </c>
      <c r="DU147" s="1314" t="str">
        <f t="array" ref="DU147">IF(OR(COUNTIF(F147,"*"&amp;$DK$9:$DK$178&amp;"*")), "Yes", "")</f>
        <v/>
      </c>
      <c r="DV147" s="1314">
        <f t="shared" si="218"/>
        <v>0</v>
      </c>
      <c r="DW147" s="1480">
        <f t="shared" si="219"/>
        <v>0</v>
      </c>
      <c r="DX147" s="1498">
        <f t="shared" si="228"/>
        <v>0</v>
      </c>
      <c r="DY147" s="1484">
        <f t="shared" si="220"/>
        <v>0</v>
      </c>
      <c r="DZ147" s="331"/>
      <c r="EA147" s="392"/>
      <c r="EB147" s="1499" t="s">
        <v>86</v>
      </c>
      <c r="EC147" s="727" t="s">
        <v>1568</v>
      </c>
      <c r="ED147" s="728">
        <v>0.5</v>
      </c>
      <c r="EE147" s="1215"/>
      <c r="EF147" s="1215"/>
      <c r="EG147" s="1184" t="str">
        <f t="shared" si="221"/>
        <v/>
      </c>
      <c r="EH147" s="55"/>
      <c r="EI147" s="55"/>
      <c r="EJ147" s="1185">
        <f t="shared" si="172"/>
        <v>0</v>
      </c>
      <c r="EK147" s="1211"/>
      <c r="EL147" s="1180">
        <f t="shared" si="173"/>
        <v>0</v>
      </c>
      <c r="EM147" s="206"/>
      <c r="EN147" s="1038"/>
      <c r="EO147" s="1038"/>
      <c r="EP147" s="1038"/>
      <c r="EQ147" s="1038">
        <f t="shared" si="222"/>
        <v>0</v>
      </c>
      <c r="ER147" s="1041">
        <f t="shared" si="223"/>
        <v>0</v>
      </c>
      <c r="ES147" s="1042">
        <f t="shared" si="224"/>
        <v>0</v>
      </c>
      <c r="ET147" s="1042">
        <f t="shared" si="229"/>
        <v>0</v>
      </c>
      <c r="EU147" s="1021">
        <f t="shared" si="230"/>
        <v>0</v>
      </c>
      <c r="EV147" s="368"/>
      <c r="EW147" s="368"/>
      <c r="EX147" s="369"/>
      <c r="EY147" s="370"/>
      <c r="EZ147" s="370"/>
      <c r="FA147" s="371"/>
      <c r="FB147" s="372"/>
    </row>
    <row r="148" spans="1:158" ht="34.5" customHeight="1">
      <c r="A148" s="82">
        <v>140</v>
      </c>
      <c r="B148" s="1725"/>
      <c r="C148" s="1726"/>
      <c r="D148" s="1726"/>
      <c r="E148" s="1727"/>
      <c r="F148" s="1732"/>
      <c r="G148" s="1733"/>
      <c r="H148" s="1733"/>
      <c r="I148" s="1734"/>
      <c r="J148" s="1341"/>
      <c r="K148" s="1728"/>
      <c r="L148" s="1728"/>
      <c r="M148" s="1342"/>
      <c r="N148" s="1583"/>
      <c r="O148" s="208" t="str">
        <f t="shared" si="160"/>
        <v/>
      </c>
      <c r="P148" s="785"/>
      <c r="Q148" s="39" t="str">
        <f t="shared" si="161"/>
        <v/>
      </c>
      <c r="R148" s="39">
        <f t="shared" si="174"/>
        <v>0</v>
      </c>
      <c r="S148" s="234">
        <f t="shared" si="175"/>
        <v>0</v>
      </c>
      <c r="T148" s="1755"/>
      <c r="U148" s="1755"/>
      <c r="V148" s="1755"/>
      <c r="W148" s="1345"/>
      <c r="X148" s="1741"/>
      <c r="Y148" s="1742"/>
      <c r="Z148" s="1346"/>
      <c r="AA148" s="1343"/>
      <c r="AB148" s="1141"/>
      <c r="AC148" s="1103" t="str">
        <f>IF(T148="","",VLOOKUP(Z148,Lists!$A$60:$B$111,2,FALSE))</f>
        <v/>
      </c>
      <c r="AD148" s="130" t="str">
        <f t="shared" si="176"/>
        <v/>
      </c>
      <c r="AE148" s="130" t="e">
        <f t="shared" si="177"/>
        <v>#VALUE!</v>
      </c>
      <c r="AF148" s="130">
        <f t="shared" si="178"/>
        <v>1</v>
      </c>
      <c r="AG148" s="234">
        <f t="shared" si="162"/>
        <v>0</v>
      </c>
      <c r="AH148" s="1753" t="str">
        <f>IF(T148="","",(IF(ISNUMBER(SEARCH("exit",T148)),8760,IF(AND(M148="Dusk to Dawn",'Proposed Lighting'!AU148=3),4059,IF(AND(AU148=3,M148="1"),0,IF(AND(AU148=3,M148="1-C"),0,IF(AND(AU148=3,M148="2"),0,IF(AND(AU148=3,M148="2-C"),0,IF(AND(AU148=3,M148="3"),0,IF(AND(AU148=3,M148="3-C"),0,IF(AND(AU148=2,M148="Dusk to Dawn"),0,IF(AND(AU148=2,M148="Dusk to Dawn-C"),0,IF(AND(AU148=2,M148="Dusk to Dawn"),0,IF(AND(AU148=2,M148="E"),0,IF(AND(AU148=2,M148="E-C"),0,EG148)))))))))))))))</f>
        <v/>
      </c>
      <c r="AI148" s="1754"/>
      <c r="AJ148" s="1136"/>
      <c r="AK148" s="1136"/>
      <c r="AL148" s="1748">
        <f t="shared" si="179"/>
        <v>0</v>
      </c>
      <c r="AM148" s="1749"/>
      <c r="AN148" s="1750"/>
      <c r="AO148" s="476">
        <f t="shared" si="163"/>
        <v>0</v>
      </c>
      <c r="AP148" s="476">
        <f t="shared" si="180"/>
        <v>0</v>
      </c>
      <c r="AQ148" s="475">
        <f t="shared" si="164"/>
        <v>0</v>
      </c>
      <c r="AR148" s="475">
        <f t="shared" si="181"/>
        <v>0</v>
      </c>
      <c r="AS148" s="743" t="str">
        <f t="shared" si="156"/>
        <v/>
      </c>
      <c r="AT148" s="736" t="str">
        <f t="shared" si="182"/>
        <v/>
      </c>
      <c r="AU148" s="56">
        <f t="shared" si="183"/>
        <v>1</v>
      </c>
      <c r="AV148" s="476">
        <f t="shared" si="184"/>
        <v>0</v>
      </c>
      <c r="AW148" s="56">
        <f t="shared" si="185"/>
        <v>0</v>
      </c>
      <c r="AX148" s="475">
        <f t="shared" si="165"/>
        <v>0</v>
      </c>
      <c r="AY148" s="1169">
        <f t="shared" si="186"/>
        <v>0</v>
      </c>
      <c r="AZ148" s="1150">
        <f t="shared" si="225"/>
        <v>0</v>
      </c>
      <c r="BA148" s="56">
        <f t="shared" si="166"/>
        <v>0</v>
      </c>
      <c r="BB148" s="420">
        <f t="shared" si="167"/>
        <v>0</v>
      </c>
      <c r="BC148" s="58" t="str">
        <f t="shared" si="168"/>
        <v/>
      </c>
      <c r="BD148" s="660">
        <f t="shared" si="226"/>
        <v>0</v>
      </c>
      <c r="BE148" s="57" t="e">
        <f t="array" ref="BE148">INDEX($EB$11:$ED$1022,MATCH(F148&amp;T148,$EB$11:$EB$1007&amp;$EC$11:$EC$1007,0),3)</f>
        <v>#N/A</v>
      </c>
      <c r="BF148" s="463">
        <f t="shared" si="157"/>
        <v>0</v>
      </c>
      <c r="BG148" s="1445" t="e">
        <f t="array" ref="BG148">INDEX($DO$112:$DQ$123,MATCH(T148&amp;W148,$DO$114:$DO$125&amp;$DP$112:$DP$123,0),3)</f>
        <v>#N/A</v>
      </c>
      <c r="BH148" s="1446">
        <f t="shared" si="187"/>
        <v>0</v>
      </c>
      <c r="BI148" s="465">
        <f t="shared" si="188"/>
        <v>0</v>
      </c>
      <c r="BJ148" s="465">
        <f t="shared" si="189"/>
        <v>0</v>
      </c>
      <c r="BK148" s="466">
        <f t="shared" si="158"/>
        <v>0</v>
      </c>
      <c r="BL148" s="466">
        <f t="shared" si="159"/>
        <v>0</v>
      </c>
      <c r="BM148" s="466">
        <f t="shared" si="190"/>
        <v>0</v>
      </c>
      <c r="BN148" s="466">
        <f t="shared" si="191"/>
        <v>0</v>
      </c>
      <c r="BO148" s="463">
        <f>IF('Data Entry'!$C$74=0,0,IF(ISNA(CJ148),0,IF(AX148=0,0,IF(AND('Data Entry'!$C$74=2,AF148&gt;2,CE148&lt;1),0,IF(AND('Data Entry'!$C$74=2,AF148&gt;1,AU148=2,CJ148&gt;1),0,IF(AND(AF148=5,CT148=0.5,AU148=2,ER148&lt;100),0,IF(AND(AF148=5,CT148=0.5,AU148=3,ER148&lt;100),0,IF(AND('Data Entry'!$C$74=2,AF148=2,AU148=2,AK148&gt;0.01,CB148=2,CE148&lt;1),0,IF(AND('Data Entry'!$C$74=2,AF148=3,AU148=3,AK148&gt;0.01,CB148=3,CE148&lt;1),0,IF(AND('Data Entry'!$C$74=2,AF148=3,AU148=3,AK148&gt;0.01,CB148=3,CE148&gt;0.99),BQ148*0.08,IF(AND('Data Entry'!$C$74=2,AF148=2,AU148=2,AK148&gt;0.01,CB148=2,CE148&gt;0.99),BQ148*0.1,IF(AND(AU148=2,AK148&gt;0.01,CB148=2,CD148&gt;1),BQ148*0.1,IF(AND(AU148=3,AK148&gt;0.01,CB148=3,CD148&gt;1),BQ148*0.08,CJ148*EF148)))))))))))))</f>
        <v>0</v>
      </c>
      <c r="BP148" s="475">
        <f t="shared" si="192"/>
        <v>0</v>
      </c>
      <c r="BQ148" s="1431">
        <f>IF(AU148=1,0,IF(CH148=100,0,IF(AND(AF148=3,AU148=2),0,IF(AND(BH148=0,CT148&gt;0.4),0,IF(AND('Data Entry'!$C$74=2,AF148=1.5),0,IF(AND('Data Entry'!$C$74=2,AF148=1.6),0,IF(AND('Data Entry'!$C$74=2,AF148=4),0,IF(AND('Data Entry'!$C$74=2,AF148=5),0,IF(AND('Data Entry'!$C$74=2,AF148=2.5,CE148&lt;1),0,IF(AND('Data Entry'!$C$74=2,AF148=3,CE148&lt;1),0,IF(AND('Data Entry'!$C$74=1,AF148=2.5,CD148&lt;1),0,IF(AND('Data Entry'!$C$74=1,AF148=3,CD148&lt;1),0,IF(DX148&gt;0.01,DX148,IF(ISERROR(AX148-AY148),"",ROUND(AX148-AY148,2)))))))))))))))</f>
        <v>0</v>
      </c>
      <c r="BR148" s="146">
        <f t="shared" si="193"/>
        <v>0</v>
      </c>
      <c r="BS148" s="475">
        <f t="shared" si="194"/>
        <v>0</v>
      </c>
      <c r="BT148" s="146" t="b">
        <f t="shared" si="195"/>
        <v>0</v>
      </c>
      <c r="BU148" s="463">
        <f>IF(ISNA(AT148),0,IF(AND('Data Entry'!$C$74=2,BC148=27),0,IF(AND('Data Entry'!$C$74=2,BC148=28),0,IF(AND(BC148=27,BT148=27,CM148&gt;0.1),CM148*0.15,IF(AND(BC148=28,BT148=28,CM148&gt;0.1),CM148*0.12,0)))))</f>
        <v>0</v>
      </c>
      <c r="BV148" s="463">
        <f t="shared" si="155"/>
        <v>0</v>
      </c>
      <c r="BW148" s="463">
        <f t="shared" si="196"/>
        <v>0</v>
      </c>
      <c r="BX148" s="463">
        <f t="shared" si="197"/>
        <v>0</v>
      </c>
      <c r="BY148" s="463">
        <f t="shared" si="198"/>
        <v>0</v>
      </c>
      <c r="BZ148" s="463">
        <f t="shared" si="199"/>
        <v>0</v>
      </c>
      <c r="CA148" s="57">
        <f t="shared" si="227"/>
        <v>0</v>
      </c>
      <c r="CB148" s="56">
        <f t="shared" si="200"/>
        <v>1</v>
      </c>
      <c r="CC148" s="756">
        <f>IF(EE148=0,0,IF(EF148=0,0,IF(EE148&gt;AA148,0,IF(AND(AZ148&gt;AW148,AW148&gt;0),0,IF(CU148=0,0,Summary!AC451)))))</f>
        <v>0</v>
      </c>
      <c r="CD148" s="756">
        <f>IF(EE148=0,0,IF(EF148=0,0,IF(EE148&gt;AA148,0,IF(AND(AZ148&gt;AW148,AW148&gt;0),0,IF(CU148=0,0,Summary!AD451)))))</f>
        <v>0</v>
      </c>
      <c r="CE148" s="756">
        <f>IF(EF148=0,0,IF(EE148&gt;AA148,0,IF(CC148=0,0,IF(AND(AZ148&gt;AW148,AW148&gt;0),0,IF(CU148=0,0,Summary!AE451)))))</f>
        <v>0</v>
      </c>
      <c r="CF148" s="475">
        <f t="shared" si="201"/>
        <v>0</v>
      </c>
      <c r="CG148" s="476">
        <f t="shared" si="169"/>
        <v>0</v>
      </c>
      <c r="CH148" s="487">
        <f t="shared" si="202"/>
        <v>0</v>
      </c>
      <c r="CI148" s="756">
        <f t="shared" si="203"/>
        <v>0</v>
      </c>
      <c r="CJ148" s="487">
        <f>IF(CT148&gt;0.4,0,IF(AND(AU148=2,CH148=0,CT148=0.5,ER148=100),35,IF(AND(AU148=3,BB148&gt;75,CH148=0,CT148=0.5,ER148=100),25,IF(CB148&gt;1,0,IF(EF148&gt;EE148,0,IF(AND(AF148&gt;1,CH148=100),0,IF(AND(AF148=1,AY148=0),0,IF(AND(EF148&lt;=EE148,AW148&gt;=AZ148,'Data Entry'!$C$74=1,AU148=2),VLOOKUP(W148,$DO$96:$DP$102,2,FALSE),IF(AND(EF148&lt;=EE148,AW148&gt;=AZ148,AU148=3,'Data Entry'!$C$74=1),VLOOKUP(W148,$DO$127:$DP$134,2,FALSE))))))))))</f>
        <v>0</v>
      </c>
      <c r="CK148" s="716">
        <f t="shared" si="204"/>
        <v>0</v>
      </c>
      <c r="CL148" s="57">
        <f t="shared" si="205"/>
        <v>0</v>
      </c>
      <c r="CM148" s="475">
        <f t="shared" si="231"/>
        <v>0</v>
      </c>
      <c r="CN148" s="660">
        <f>IF(CM148&lt;0.1,0,IF(ISNA(AT148),0,IF(CL148+BC148=1,0,IF(BV148&gt;0.01,0,IF(CL148&gt;0.01,0,IF(CF148=1,0,IF(BC148=0.5,0,IF(AND(CI148=1,AU148=3),0,IF(AND(CI148=5,CL148=0),0,IF(AND(R148=12,BR148=50),0,IF(CK148&gt;0.01,0,IF(AND(AJ148&gt;0.01,AU148=2,BC148=15),CM148*0.1,IF(AND(AJ148&gt;0.01,AU148=3,BC148=15),CM148*0.08,IF(AND(R148=12,BC148=3,AF148&lt;=0),0,IF(AND(BC148=15,BI148=0),0,IF(AND(BC148=15,BJ148=0),0,IF(AND(R148=20,CU148=0),0,IF($X$4=0,0,IF(AND(BC148=250,CL148=0),0,IF(AA148&lt;1,0,IF(AND(ISNUMBER(SEARCH("Area",T148)),AU148=3),0,IF(AND(AQ148&gt;0.01,AR148=0,BK148=0,BL148=0,BM148=0,BN148=0),0,IF(AND(AU148=3,CI148=7,CT148&gt;0.5),0,IF(AND(BC148=44,AU148=3,BY148=0),0,IF(AND(BC148=27,'Data Entry'!$C$74=2),0,IF(AND(BC148=28,'Data Entry'!$C$74=2),0,IF(AND(BY148+BZ148+CA148&gt;0.01,BV148=0,EQ148+ER148+ES148+ET148&lt;100),0,IF(AU148=3,CM148*0.08,IF(AU148=2,CM148*0.1,0)))))))))))))))))))))))))))))</f>
        <v>0</v>
      </c>
      <c r="CO148" s="660">
        <f t="shared" si="206"/>
        <v>0</v>
      </c>
      <c r="CP148" s="475" t="str">
        <f t="shared" si="207"/>
        <v/>
      </c>
      <c r="CQ148" s="161" t="str">
        <f>IF(AH148=0,0,IF(AU148=5,0,Summary!AC151))</f>
        <v/>
      </c>
      <c r="CR148" s="161" t="str">
        <f>IF(BF148=0.5,0,IF(AU148=5,0,Summary!AD151))</f>
        <v/>
      </c>
      <c r="CS148" s="161" t="str">
        <f>IF(AU148=5,0,Summary!AE151)</f>
        <v/>
      </c>
      <c r="CT148" s="161">
        <f t="shared" si="208"/>
        <v>0</v>
      </c>
      <c r="CU148" s="475" t="str">
        <f t="shared" si="209"/>
        <v/>
      </c>
      <c r="CV148" s="307">
        <f>IF('Data Entry'!$C$74=0,0,IF(AA148&lt;1,0,IF(ISERROR(CU148),0,IF(CF148=1,0,IF(AND(R148=12,BR148=50),0,IF(CL148+BO148+BV148+DC148=0,0,IF(BC148=37,0,IF(AND(BC148=40,AJ148=0),0,IF(AND(BC148=37,BO148&gt;0.01,BQ148&gt;0.01),ROUND(BQ148,0),IF(CM148&lt;0,0,ROUND(CM148,0)))))))))))</f>
        <v>0</v>
      </c>
      <c r="CW148" s="700">
        <f t="shared" si="210"/>
        <v>0</v>
      </c>
      <c r="CX148" s="477">
        <f>IF('Data Entry'!$C$74=0,0,IF(CV148&lt;0.01,0,IF(BF148=0.5,0,IF(CF148=1,0,IF(ISNUMBER(SEARCH("false",CL148)),0,IF(AZ148=500,0,CL148))))))</f>
        <v>0</v>
      </c>
      <c r="CY148" s="147" t="e">
        <f t="shared" si="211"/>
        <v>#VALUE!</v>
      </c>
      <c r="CZ148" s="147" t="b">
        <f>IF(CN148+CL148=0,FALSE,IF(AH148=0,0,IF(AND('Data Entry'!$C$74=1,CR148&gt;=1),TRUE,IF(AND('Data Entry'!$C$74=2,CS148&gt;=1),TRUE,FALSE))))</f>
        <v>0</v>
      </c>
      <c r="DA148" s="1751">
        <f>IF('Data Entry'!$C$74=0,0,IFERROR(ROUND(IF(T148="","",IF($X$4=0,0,IF(CF148=1,0,IF(BQ148+CV148=0,0,IF(CF148=1,0,IF(CY148&gt;0.01,CY148,IF(CL148&gt;0.01,CL148,IF(CY148&gt;0.01,CY148,IF(BC148=37,BO148,IF(CZ148=FALSE,0,IF(CZ148=TRUE,DC148+DF148,0))))))))))),2),""))</f>
        <v>0</v>
      </c>
      <c r="DB148" s="1752"/>
      <c r="DC148" s="474">
        <f>IF(CN148&lt;0.01,0,IF(AND(BR148=3,CN148&gt;0.01,CT148&gt;0.6,ER148+ES148+ET148&lt;100),0,IF(AND('Data Entry'!$C$74=1,CN148&gt;0.01,CR148&gt;0.99),MIN(CN148:CO148),IF(AND('Data Entry'!$C$74=2,CN148&gt;0.01,CS148&gt;0.99),MIN(CN148:CO148),0))))</f>
        <v>0</v>
      </c>
      <c r="DD148" s="478">
        <f>IF(CF148=1,"Selection does not match",IF(T148=0,0,IF(AND('Data Entry'!$C$74=0,CP148&gt;1),"Select Oregon or Idaho on Data Entry Tab",IF(AND(AU148=1,AA148&gt;0.9),"Missing Interior or Exterior Selection",IF($X$4=0,"Enter Total Project Cost",IF(AQ148&lt;AR148,"Insufficient kWh savings – no incentive",IF(AND(SUM(CL148+CK148+BV148)&gt;0.01,'Data Entry'!$C$74=2,CJ148&gt;1,BO148=0),"Submit Control as Non-Standard",IF(AND('Data Entry'!$C$74=2,BR148=37,CJ148&gt;1,BO148=0),"Submit Control as Non-Standard",IF(SUM(CL148+CK148+BV148)&gt;0.01,"Standard Incentive",IF(AND('Data Entry'!$C$74=2,CP148=7,CN148=0),"Submit as Non-Standard",IF(DC148&gt;0.9,"Non-Standard Incentive",IF(AND(BY148+BZ148+CA148&gt;0.01,BV148=0,EQ148=0,ER148=0,ES148=0,ET148=0),"Scroll Right &amp; Select Control Strategies",IF(AND(CN148&gt;0.01,CO148=0),"Enter Unit Installed Cost",IF(ISNUMBER(SEARCH("Lighting Controls Only",F148)),"Lighting Controls Only",IF(CL148+DC148=0,"Does not meet incentive criteria",0)))))))))))))))</f>
        <v>0</v>
      </c>
      <c r="DE148" s="337">
        <f t="shared" si="212"/>
        <v>0</v>
      </c>
      <c r="DF148" s="609">
        <f t="shared" si="213"/>
        <v>0</v>
      </c>
      <c r="DG148" s="336" t="str">
        <f t="shared" si="214"/>
        <v/>
      </c>
      <c r="DH148" s="338">
        <f t="shared" si="215"/>
        <v>1</v>
      </c>
      <c r="DI148" s="336" t="e">
        <f t="shared" si="170"/>
        <v>#VALUE!</v>
      </c>
      <c r="DJ148" s="338">
        <f t="shared" si="171"/>
        <v>0</v>
      </c>
      <c r="DK148" s="326" t="s">
        <v>91</v>
      </c>
      <c r="DL148" s="341">
        <v>295</v>
      </c>
      <c r="DM148" s="326" t="s">
        <v>475</v>
      </c>
      <c r="DN148" s="1123">
        <v>16</v>
      </c>
      <c r="DO148" s="361"/>
      <c r="DP148" s="332"/>
      <c r="DQ148" s="331"/>
      <c r="DR148" s="357"/>
      <c r="DS148" s="1195">
        <f t="shared" si="216"/>
        <v>0</v>
      </c>
      <c r="DT148" s="344" t="b">
        <f t="shared" si="217"/>
        <v>1</v>
      </c>
      <c r="DU148" s="1314" t="str">
        <f t="array" ref="DU148">IF(OR(COUNTIF(F148,"*"&amp;$DK$9:$DK$178&amp;"*")), "Yes", "")</f>
        <v/>
      </c>
      <c r="DV148" s="1314">
        <f t="shared" si="218"/>
        <v>0</v>
      </c>
      <c r="DW148" s="1480">
        <f t="shared" si="219"/>
        <v>0</v>
      </c>
      <c r="DX148" s="1498">
        <f t="shared" si="228"/>
        <v>0</v>
      </c>
      <c r="DY148" s="1484">
        <f t="shared" si="220"/>
        <v>0</v>
      </c>
      <c r="DZ148" s="331"/>
      <c r="EA148" s="392"/>
      <c r="EB148" s="1499" t="s">
        <v>87</v>
      </c>
      <c r="EC148" s="727" t="s">
        <v>1568</v>
      </c>
      <c r="ED148" s="728">
        <v>0.5</v>
      </c>
      <c r="EE148" s="1215"/>
      <c r="EF148" s="1215"/>
      <c r="EG148" s="1184" t="str">
        <f t="shared" si="221"/>
        <v/>
      </c>
      <c r="EH148" s="55"/>
      <c r="EI148" s="55"/>
      <c r="EJ148" s="1185">
        <f t="shared" si="172"/>
        <v>0</v>
      </c>
      <c r="EK148" s="1211"/>
      <c r="EL148" s="1180">
        <f t="shared" si="173"/>
        <v>0</v>
      </c>
      <c r="EM148" s="206"/>
      <c r="EN148" s="1038"/>
      <c r="EO148" s="1038"/>
      <c r="EP148" s="1038"/>
      <c r="EQ148" s="1038">
        <f t="shared" si="222"/>
        <v>0</v>
      </c>
      <c r="ER148" s="1041">
        <f t="shared" si="223"/>
        <v>0</v>
      </c>
      <c r="ES148" s="1042">
        <f t="shared" si="224"/>
        <v>0</v>
      </c>
      <c r="ET148" s="1042">
        <f t="shared" si="229"/>
        <v>0</v>
      </c>
      <c r="EU148" s="1021">
        <f t="shared" si="230"/>
        <v>0</v>
      </c>
      <c r="EV148" s="368"/>
      <c r="EW148" s="368"/>
      <c r="EX148" s="369"/>
      <c r="EY148" s="370"/>
      <c r="EZ148" s="370"/>
      <c r="FA148" s="371"/>
      <c r="FB148" s="372"/>
    </row>
    <row r="149" spans="1:158" ht="34.5" customHeight="1">
      <c r="A149" s="82">
        <v>141</v>
      </c>
      <c r="B149" s="1725"/>
      <c r="C149" s="1726"/>
      <c r="D149" s="1726"/>
      <c r="E149" s="1727"/>
      <c r="F149" s="1732"/>
      <c r="G149" s="1733"/>
      <c r="H149" s="1733"/>
      <c r="I149" s="1734"/>
      <c r="J149" s="1341"/>
      <c r="K149" s="1728"/>
      <c r="L149" s="1728"/>
      <c r="M149" s="1342"/>
      <c r="N149" s="1583"/>
      <c r="O149" s="208" t="str">
        <f t="shared" si="160"/>
        <v/>
      </c>
      <c r="P149" s="785"/>
      <c r="Q149" s="39" t="str">
        <f t="shared" si="161"/>
        <v/>
      </c>
      <c r="R149" s="39">
        <f t="shared" si="174"/>
        <v>0</v>
      </c>
      <c r="S149" s="234">
        <f t="shared" si="175"/>
        <v>0</v>
      </c>
      <c r="T149" s="1755"/>
      <c r="U149" s="1755"/>
      <c r="V149" s="1755"/>
      <c r="W149" s="1345"/>
      <c r="X149" s="1741"/>
      <c r="Y149" s="1742"/>
      <c r="Z149" s="1346"/>
      <c r="AA149" s="1343"/>
      <c r="AB149" s="1141"/>
      <c r="AC149" s="1103" t="str">
        <f>IF(T149="","",VLOOKUP(Z149,Lists!$A$60:$B$111,2,FALSE))</f>
        <v/>
      </c>
      <c r="AD149" s="130" t="str">
        <f t="shared" si="176"/>
        <v/>
      </c>
      <c r="AE149" s="130" t="e">
        <f t="shared" si="177"/>
        <v>#VALUE!</v>
      </c>
      <c r="AF149" s="130">
        <f t="shared" si="178"/>
        <v>1</v>
      </c>
      <c r="AG149" s="234">
        <f t="shared" si="162"/>
        <v>0</v>
      </c>
      <c r="AH149" s="1753" t="str">
        <f>IF(T149="","",(IF(ISNUMBER(SEARCH("exit",T149)),8760,IF(AND(M149="Dusk to Dawn",'Proposed Lighting'!AU149=3),4059,IF(AND(AU149=3,M149="1"),0,IF(AND(AU149=3,M149="1-C"),0,IF(AND(AU149=3,M149="2"),0,IF(AND(AU149=3,M149="2-C"),0,IF(AND(AU149=3,M149="3"),0,IF(AND(AU149=3,M149="3-C"),0,IF(AND(AU149=2,M149="Dusk to Dawn"),0,IF(AND(AU149=2,M149="Dusk to Dawn-C"),0,IF(AND(AU149=2,M149="Dusk to Dawn"),0,IF(AND(AU149=2,M149="E"),0,IF(AND(AU149=2,M149="E-C"),0,EG149)))))))))))))))</f>
        <v/>
      </c>
      <c r="AI149" s="1754"/>
      <c r="AJ149" s="1136"/>
      <c r="AK149" s="1136"/>
      <c r="AL149" s="1748">
        <f t="shared" si="179"/>
        <v>0</v>
      </c>
      <c r="AM149" s="1749"/>
      <c r="AN149" s="1750"/>
      <c r="AO149" s="476">
        <f t="shared" si="163"/>
        <v>0</v>
      </c>
      <c r="AP149" s="476">
        <f t="shared" si="180"/>
        <v>0</v>
      </c>
      <c r="AQ149" s="475">
        <f t="shared" si="164"/>
        <v>0</v>
      </c>
      <c r="AR149" s="475">
        <f t="shared" si="181"/>
        <v>0</v>
      </c>
      <c r="AS149" s="743" t="str">
        <f t="shared" si="156"/>
        <v/>
      </c>
      <c r="AT149" s="736" t="str">
        <f t="shared" si="182"/>
        <v/>
      </c>
      <c r="AU149" s="56">
        <f t="shared" si="183"/>
        <v>1</v>
      </c>
      <c r="AV149" s="476">
        <f t="shared" si="184"/>
        <v>0</v>
      </c>
      <c r="AW149" s="56">
        <f t="shared" si="185"/>
        <v>0</v>
      </c>
      <c r="AX149" s="475">
        <f t="shared" si="165"/>
        <v>0</v>
      </c>
      <c r="AY149" s="1169">
        <f t="shared" si="186"/>
        <v>0</v>
      </c>
      <c r="AZ149" s="1150">
        <f t="shared" si="225"/>
        <v>0</v>
      </c>
      <c r="BA149" s="56">
        <f t="shared" si="166"/>
        <v>0</v>
      </c>
      <c r="BB149" s="420">
        <f t="shared" si="167"/>
        <v>0</v>
      </c>
      <c r="BC149" s="58" t="str">
        <f t="shared" si="168"/>
        <v/>
      </c>
      <c r="BD149" s="660">
        <f t="shared" si="226"/>
        <v>0</v>
      </c>
      <c r="BE149" s="57" t="e">
        <f t="array" ref="BE149">INDEX($EB$11:$ED$1022,MATCH(F149&amp;T149,$EB$11:$EB$1007&amp;$EC$11:$EC$1007,0),3)</f>
        <v>#N/A</v>
      </c>
      <c r="BF149" s="463">
        <f t="shared" si="157"/>
        <v>0</v>
      </c>
      <c r="BG149" s="1445" t="e">
        <f t="array" ref="BG149">INDEX($DO$112:$DQ$123,MATCH(T149&amp;W149,$DO$114:$DO$125&amp;$DP$112:$DP$123,0),3)</f>
        <v>#N/A</v>
      </c>
      <c r="BH149" s="1446">
        <f t="shared" si="187"/>
        <v>0</v>
      </c>
      <c r="BI149" s="465">
        <f t="shared" si="188"/>
        <v>0</v>
      </c>
      <c r="BJ149" s="465">
        <f t="shared" si="189"/>
        <v>0</v>
      </c>
      <c r="BK149" s="466">
        <f t="shared" si="158"/>
        <v>0</v>
      </c>
      <c r="BL149" s="466">
        <f t="shared" si="159"/>
        <v>0</v>
      </c>
      <c r="BM149" s="466">
        <f t="shared" si="190"/>
        <v>0</v>
      </c>
      <c r="BN149" s="466">
        <f t="shared" si="191"/>
        <v>0</v>
      </c>
      <c r="BO149" s="463">
        <f>IF('Data Entry'!$C$74=0,0,IF(ISNA(CJ149),0,IF(AX149=0,0,IF(AND('Data Entry'!$C$74=2,AF149&gt;2,CE149&lt;1),0,IF(AND('Data Entry'!$C$74=2,AF149&gt;1,AU149=2,CJ149&gt;1),0,IF(AND(AF149=5,CT149=0.5,AU149=2,ER149&lt;100),0,IF(AND(AF149=5,CT149=0.5,AU149=3,ER149&lt;100),0,IF(AND('Data Entry'!$C$74=2,AF149=2,AU149=2,AK149&gt;0.01,CB149=2,CE149&lt;1),0,IF(AND('Data Entry'!$C$74=2,AF149=3,AU149=3,AK149&gt;0.01,CB149=3,CE149&lt;1),0,IF(AND('Data Entry'!$C$74=2,AF149=3,AU149=3,AK149&gt;0.01,CB149=3,CE149&gt;0.99),BQ149*0.08,IF(AND('Data Entry'!$C$74=2,AF149=2,AU149=2,AK149&gt;0.01,CB149=2,CE149&gt;0.99),BQ149*0.1,IF(AND(AU149=2,AK149&gt;0.01,CB149=2,CD149&gt;1),BQ149*0.1,IF(AND(AU149=3,AK149&gt;0.01,CB149=3,CD149&gt;1),BQ149*0.08,CJ149*EF149)))))))))))))</f>
        <v>0</v>
      </c>
      <c r="BP149" s="475">
        <f t="shared" si="192"/>
        <v>0</v>
      </c>
      <c r="BQ149" s="1431">
        <f>IF(AU149=1,0,IF(CH149=100,0,IF(AND(AF149=3,AU149=2),0,IF(AND(BH149=0,CT149&gt;0.4),0,IF(AND('Data Entry'!$C$74=2,AF149=1.5),0,IF(AND('Data Entry'!$C$74=2,AF149=1.6),0,IF(AND('Data Entry'!$C$74=2,AF149=4),0,IF(AND('Data Entry'!$C$74=2,AF149=5),0,IF(AND('Data Entry'!$C$74=2,AF149=2.5,CE149&lt;1),0,IF(AND('Data Entry'!$C$74=2,AF149=3,CE149&lt;1),0,IF(AND('Data Entry'!$C$74=1,AF149=2.5,CD149&lt;1),0,IF(AND('Data Entry'!$C$74=1,AF149=3,CD149&lt;1),0,IF(DX149&gt;0.01,DX149,IF(ISERROR(AX149-AY149),"",ROUND(AX149-AY149,2)))))))))))))))</f>
        <v>0</v>
      </c>
      <c r="BR149" s="146">
        <f t="shared" si="193"/>
        <v>0</v>
      </c>
      <c r="BS149" s="475">
        <f t="shared" si="194"/>
        <v>0</v>
      </c>
      <c r="BT149" s="146" t="b">
        <f t="shared" si="195"/>
        <v>0</v>
      </c>
      <c r="BU149" s="463">
        <f>IF(ISNA(AT149),0,IF(AND('Data Entry'!$C$74=2,BC149=27),0,IF(AND('Data Entry'!$C$74=2,BC149=28),0,IF(AND(BC149=27,BT149=27,CM149&gt;0.1),CM149*0.15,IF(AND(BC149=28,BT149=28,CM149&gt;0.1),CM149*0.12,0)))))</f>
        <v>0</v>
      </c>
      <c r="BV149" s="463">
        <f t="shared" si="155"/>
        <v>0</v>
      </c>
      <c r="BW149" s="463">
        <f t="shared" si="196"/>
        <v>0</v>
      </c>
      <c r="BX149" s="463">
        <f t="shared" si="197"/>
        <v>0</v>
      </c>
      <c r="BY149" s="463">
        <f t="shared" si="198"/>
        <v>0</v>
      </c>
      <c r="BZ149" s="463">
        <f t="shared" si="199"/>
        <v>0</v>
      </c>
      <c r="CA149" s="57">
        <f t="shared" si="227"/>
        <v>0</v>
      </c>
      <c r="CB149" s="56">
        <f t="shared" si="200"/>
        <v>1</v>
      </c>
      <c r="CC149" s="756">
        <f>IF(EE149=0,0,IF(EF149=0,0,IF(EE149&gt;AA149,0,IF(AND(AZ149&gt;AW149,AW149&gt;0),0,IF(CU149=0,0,Summary!AC452)))))</f>
        <v>0</v>
      </c>
      <c r="CD149" s="756">
        <f>IF(EE149=0,0,IF(EF149=0,0,IF(EE149&gt;AA149,0,IF(AND(AZ149&gt;AW149,AW149&gt;0),0,IF(CU149=0,0,Summary!AD452)))))</f>
        <v>0</v>
      </c>
      <c r="CE149" s="756">
        <f>IF(EF149=0,0,IF(EE149&gt;AA149,0,IF(CC149=0,0,IF(AND(AZ149&gt;AW149,AW149&gt;0),0,IF(CU149=0,0,Summary!AE452)))))</f>
        <v>0</v>
      </c>
      <c r="CF149" s="475">
        <f t="shared" si="201"/>
        <v>0</v>
      </c>
      <c r="CG149" s="476">
        <f t="shared" si="169"/>
        <v>0</v>
      </c>
      <c r="CH149" s="487">
        <f t="shared" si="202"/>
        <v>0</v>
      </c>
      <c r="CI149" s="756">
        <f t="shared" si="203"/>
        <v>0</v>
      </c>
      <c r="CJ149" s="487">
        <f>IF(CT149&gt;0.4,0,IF(AND(AU149=2,CH149=0,CT149=0.5,ER149=100),35,IF(AND(AU149=3,BB149&gt;75,CH149=0,CT149=0.5,ER149=100),25,IF(CB149&gt;1,0,IF(EF149&gt;EE149,0,IF(AND(AF149&gt;1,CH149=100),0,IF(AND(AF149=1,AY149=0),0,IF(AND(EF149&lt;=EE149,AW149&gt;=AZ149,'Data Entry'!$C$74=1,AU149=2),VLOOKUP(W149,$DO$96:$DP$102,2,FALSE),IF(AND(EF149&lt;=EE149,AW149&gt;=AZ149,AU149=3,'Data Entry'!$C$74=1),VLOOKUP(W149,$DO$127:$DP$134,2,FALSE))))))))))</f>
        <v>0</v>
      </c>
      <c r="CK149" s="716">
        <f t="shared" si="204"/>
        <v>0</v>
      </c>
      <c r="CL149" s="57">
        <f t="shared" si="205"/>
        <v>0</v>
      </c>
      <c r="CM149" s="475">
        <f t="shared" si="231"/>
        <v>0</v>
      </c>
      <c r="CN149" s="660">
        <f>IF(CM149&lt;0.1,0,IF(ISNA(AT149),0,IF(CL149+BC149=1,0,IF(BV149&gt;0.01,0,IF(CL149&gt;0.01,0,IF(CF149=1,0,IF(BC149=0.5,0,IF(AND(CI149=1,AU149=3),0,IF(AND(CI149=5,CL149=0),0,IF(AND(R149=12,BR149=50),0,IF(CK149&gt;0.01,0,IF(AND(AJ149&gt;0.01,AU149=2,BC149=15),CM149*0.1,IF(AND(AJ149&gt;0.01,AU149=3,BC149=15),CM149*0.08,IF(AND(R149=12,BC149=3,AF149&lt;=0),0,IF(AND(BC149=15,BI149=0),0,IF(AND(BC149=15,BJ149=0),0,IF(AND(R149=20,CU149=0),0,IF($X$4=0,0,IF(AND(BC149=250,CL149=0),0,IF(AA149&lt;1,0,IF(AND(ISNUMBER(SEARCH("Area",T149)),AU149=3),0,IF(AND(AQ149&gt;0.01,AR149=0,BK149=0,BL149=0,BM149=0,BN149=0),0,IF(AND(AU149=3,CI149=7,CT149&gt;0.5),0,IF(AND(BC149=44,AU149=3,BY149=0),0,IF(AND(BC149=27,'Data Entry'!$C$74=2),0,IF(AND(BC149=28,'Data Entry'!$C$74=2),0,IF(AND(BY149+BZ149+CA149&gt;0.01,BV149=0,EQ149+ER149+ES149+ET149&lt;100),0,IF(AU149=3,CM149*0.08,IF(AU149=2,CM149*0.1,0)))))))))))))))))))))))))))))</f>
        <v>0</v>
      </c>
      <c r="CO149" s="660">
        <f t="shared" si="206"/>
        <v>0</v>
      </c>
      <c r="CP149" s="475" t="str">
        <f t="shared" si="207"/>
        <v/>
      </c>
      <c r="CQ149" s="161" t="str">
        <f>IF(AH149=0,0,IF(AU149=5,0,Summary!AC152))</f>
        <v/>
      </c>
      <c r="CR149" s="161" t="str">
        <f>IF(BF149=0.5,0,IF(AU149=5,0,Summary!AD152))</f>
        <v/>
      </c>
      <c r="CS149" s="161" t="str">
        <f>IF(AU149=5,0,Summary!AE152)</f>
        <v/>
      </c>
      <c r="CT149" s="161">
        <f t="shared" si="208"/>
        <v>0</v>
      </c>
      <c r="CU149" s="475" t="str">
        <f t="shared" si="209"/>
        <v/>
      </c>
      <c r="CV149" s="307">
        <f>IF('Data Entry'!$C$74=0,0,IF(AA149&lt;1,0,IF(ISERROR(CU149),0,IF(CF149=1,0,IF(AND(R149=12,BR149=50),0,IF(CL149+BO149+BV149+DC149=0,0,IF(BC149=37,0,IF(AND(BC149=40,AJ149=0),0,IF(AND(BC149=37,BO149&gt;0.01,BQ149&gt;0.01),ROUND(BQ149,0),IF(CM149&lt;0,0,ROUND(CM149,0)))))))))))</f>
        <v>0</v>
      </c>
      <c r="CW149" s="700">
        <f t="shared" si="210"/>
        <v>0</v>
      </c>
      <c r="CX149" s="477">
        <f>IF('Data Entry'!$C$74=0,0,IF(CV149&lt;0.01,0,IF(BF149=0.5,0,IF(CF149=1,0,IF(ISNUMBER(SEARCH("false",CL149)),0,IF(AZ149=500,0,CL149))))))</f>
        <v>0</v>
      </c>
      <c r="CY149" s="147" t="e">
        <f t="shared" si="211"/>
        <v>#VALUE!</v>
      </c>
      <c r="CZ149" s="147" t="b">
        <f>IF(CN149+CL149=0,FALSE,IF(AH149=0,0,IF(AND('Data Entry'!$C$74=1,CR149&gt;=1),TRUE,IF(AND('Data Entry'!$C$74=2,CS149&gt;=1),TRUE,FALSE))))</f>
        <v>0</v>
      </c>
      <c r="DA149" s="1751">
        <f>IF('Data Entry'!$C$74=0,0,IFERROR(ROUND(IF(T149="","",IF($X$4=0,0,IF(CF149=1,0,IF(BQ149+CV149=0,0,IF(CF149=1,0,IF(CY149&gt;0.01,CY149,IF(CL149&gt;0.01,CL149,IF(CY149&gt;0.01,CY149,IF(BC149=37,BO149,IF(CZ149=FALSE,0,IF(CZ149=TRUE,DC149+DF149,0))))))))))),2),""))</f>
        <v>0</v>
      </c>
      <c r="DB149" s="1752"/>
      <c r="DC149" s="474">
        <f>IF(CN149&lt;0.01,0,IF(AND(BR149=3,CN149&gt;0.01,CT149&gt;0.6,ER149+ES149+ET149&lt;100),0,IF(AND('Data Entry'!$C$74=1,CN149&gt;0.01,CR149&gt;0.99),MIN(CN149:CO149),IF(AND('Data Entry'!$C$74=2,CN149&gt;0.01,CS149&gt;0.99),MIN(CN149:CO149),0))))</f>
        <v>0</v>
      </c>
      <c r="DD149" s="478">
        <f>IF(CF149=1,"Selection does not match",IF(T149=0,0,IF(AND('Data Entry'!$C$74=0,CP149&gt;1),"Select Oregon or Idaho on Data Entry Tab",IF(AND(AU149=1,AA149&gt;0.9),"Missing Interior or Exterior Selection",IF($X$4=0,"Enter Total Project Cost",IF(AQ149&lt;AR149,"Insufficient kWh savings – no incentive",IF(AND(SUM(CL149+CK149+BV149)&gt;0.01,'Data Entry'!$C$74=2,CJ149&gt;1,BO149=0),"Submit Control as Non-Standard",IF(AND('Data Entry'!$C$74=2,BR149=37,CJ149&gt;1,BO149=0),"Submit Control as Non-Standard",IF(SUM(CL149+CK149+BV149)&gt;0.01,"Standard Incentive",IF(AND('Data Entry'!$C$74=2,CP149=7,CN149=0),"Submit as Non-Standard",IF(DC149&gt;0.9,"Non-Standard Incentive",IF(AND(BY149+BZ149+CA149&gt;0.01,BV149=0,EQ149=0,ER149=0,ES149=0,ET149=0),"Scroll Right &amp; Select Control Strategies",IF(AND(CN149&gt;0.01,CO149=0),"Enter Unit Installed Cost",IF(ISNUMBER(SEARCH("Lighting Controls Only",F149)),"Lighting Controls Only",IF(CL149+DC149=0,"Does not meet incentive criteria",0)))))))))))))))</f>
        <v>0</v>
      </c>
      <c r="DE149" s="337">
        <f t="shared" si="212"/>
        <v>0</v>
      </c>
      <c r="DF149" s="609">
        <f t="shared" si="213"/>
        <v>0</v>
      </c>
      <c r="DG149" s="336" t="str">
        <f t="shared" si="214"/>
        <v/>
      </c>
      <c r="DH149" s="338">
        <f t="shared" si="215"/>
        <v>1</v>
      </c>
      <c r="DI149" s="336" t="e">
        <f t="shared" si="170"/>
        <v>#VALUE!</v>
      </c>
      <c r="DJ149" s="338">
        <f t="shared" si="171"/>
        <v>0</v>
      </c>
      <c r="DK149" s="362" t="s">
        <v>92</v>
      </c>
      <c r="DL149" s="323">
        <v>469</v>
      </c>
      <c r="DM149" s="326" t="s">
        <v>476</v>
      </c>
      <c r="DN149" s="820">
        <v>24</v>
      </c>
      <c r="DO149" s="361"/>
      <c r="DP149" s="329"/>
      <c r="DQ149" s="331"/>
      <c r="DR149" s="357"/>
      <c r="DS149" s="1195">
        <f t="shared" si="216"/>
        <v>0</v>
      </c>
      <c r="DT149" s="344" t="b">
        <f t="shared" si="217"/>
        <v>1</v>
      </c>
      <c r="DU149" s="1314" t="str">
        <f t="array" ref="DU149">IF(OR(COUNTIF(F149,"*"&amp;$DK$9:$DK$178&amp;"*")), "Yes", "")</f>
        <v/>
      </c>
      <c r="DV149" s="1314">
        <f t="shared" si="218"/>
        <v>0</v>
      </c>
      <c r="DW149" s="1480">
        <f t="shared" si="219"/>
        <v>0</v>
      </c>
      <c r="DX149" s="1498">
        <f t="shared" si="228"/>
        <v>0</v>
      </c>
      <c r="DY149" s="1484">
        <f t="shared" si="220"/>
        <v>0</v>
      </c>
      <c r="DZ149" s="331"/>
      <c r="EA149" s="392"/>
      <c r="EB149" s="1499" t="s">
        <v>88</v>
      </c>
      <c r="EC149" s="727" t="s">
        <v>1568</v>
      </c>
      <c r="ED149" s="728">
        <v>0.5</v>
      </c>
      <c r="EE149" s="1215"/>
      <c r="EF149" s="1215"/>
      <c r="EG149" s="1184" t="str">
        <f t="shared" si="221"/>
        <v/>
      </c>
      <c r="EH149" s="55"/>
      <c r="EI149" s="55"/>
      <c r="EJ149" s="1185">
        <f t="shared" si="172"/>
        <v>0</v>
      </c>
      <c r="EK149" s="1211"/>
      <c r="EL149" s="1180">
        <f t="shared" si="173"/>
        <v>0</v>
      </c>
      <c r="EM149" s="206"/>
      <c r="EN149" s="1038"/>
      <c r="EO149" s="1038"/>
      <c r="EP149" s="1038"/>
      <c r="EQ149" s="1038">
        <f t="shared" si="222"/>
        <v>0</v>
      </c>
      <c r="ER149" s="1041">
        <f t="shared" si="223"/>
        <v>0</v>
      </c>
      <c r="ES149" s="1042">
        <f t="shared" si="224"/>
        <v>0</v>
      </c>
      <c r="ET149" s="1042">
        <f t="shared" si="229"/>
        <v>0</v>
      </c>
      <c r="EU149" s="1021">
        <f t="shared" si="230"/>
        <v>0</v>
      </c>
      <c r="EV149" s="368"/>
      <c r="EW149" s="368"/>
      <c r="EX149" s="369"/>
      <c r="EY149" s="370"/>
      <c r="EZ149" s="370"/>
      <c r="FA149" s="371"/>
      <c r="FB149" s="372"/>
    </row>
    <row r="150" spans="1:158" ht="34.5" customHeight="1">
      <c r="A150" s="82">
        <v>142</v>
      </c>
      <c r="B150" s="1725"/>
      <c r="C150" s="1726"/>
      <c r="D150" s="1726"/>
      <c r="E150" s="1727"/>
      <c r="F150" s="1732"/>
      <c r="G150" s="1733"/>
      <c r="H150" s="1733"/>
      <c r="I150" s="1734"/>
      <c r="J150" s="1341"/>
      <c r="K150" s="1728"/>
      <c r="L150" s="1728"/>
      <c r="M150" s="1342"/>
      <c r="N150" s="1583"/>
      <c r="O150" s="208" t="str">
        <f t="shared" si="160"/>
        <v/>
      </c>
      <c r="P150" s="785"/>
      <c r="Q150" s="39" t="str">
        <f t="shared" si="161"/>
        <v/>
      </c>
      <c r="R150" s="39">
        <f t="shared" si="174"/>
        <v>0</v>
      </c>
      <c r="S150" s="234">
        <f t="shared" si="175"/>
        <v>0</v>
      </c>
      <c r="T150" s="1755"/>
      <c r="U150" s="1755"/>
      <c r="V150" s="1755"/>
      <c r="W150" s="1345"/>
      <c r="X150" s="1741"/>
      <c r="Y150" s="1742"/>
      <c r="Z150" s="1346"/>
      <c r="AA150" s="1343"/>
      <c r="AB150" s="1141"/>
      <c r="AC150" s="1103" t="str">
        <f>IF(T150="","",VLOOKUP(Z150,Lists!$A$60:$B$111,2,FALSE))</f>
        <v/>
      </c>
      <c r="AD150" s="130" t="str">
        <f t="shared" si="176"/>
        <v/>
      </c>
      <c r="AE150" s="130" t="e">
        <f t="shared" si="177"/>
        <v>#VALUE!</v>
      </c>
      <c r="AF150" s="130">
        <f t="shared" si="178"/>
        <v>1</v>
      </c>
      <c r="AG150" s="234">
        <f t="shared" si="162"/>
        <v>0</v>
      </c>
      <c r="AH150" s="1753" t="str">
        <f>IF(T150="","",(IF(ISNUMBER(SEARCH("exit",T150)),8760,IF(AND(M150="Dusk to Dawn",'Proposed Lighting'!AU150=3),4059,IF(AND(AU150=3,M150="1"),0,IF(AND(AU150=3,M150="1-C"),0,IF(AND(AU150=3,M150="2"),0,IF(AND(AU150=3,M150="2-C"),0,IF(AND(AU150=3,M150="3"),0,IF(AND(AU150=3,M150="3-C"),0,IF(AND(AU150=2,M150="Dusk to Dawn"),0,IF(AND(AU150=2,M150="Dusk to Dawn-C"),0,IF(AND(AU150=2,M150="Dusk to Dawn"),0,IF(AND(AU150=2,M150="E"),0,IF(AND(AU150=2,M150="E-C"),0,EG150)))))))))))))))</f>
        <v/>
      </c>
      <c r="AI150" s="1754"/>
      <c r="AJ150" s="1136"/>
      <c r="AK150" s="1136"/>
      <c r="AL150" s="1748">
        <f t="shared" si="179"/>
        <v>0</v>
      </c>
      <c r="AM150" s="1749"/>
      <c r="AN150" s="1750"/>
      <c r="AO150" s="476">
        <f t="shared" si="163"/>
        <v>0</v>
      </c>
      <c r="AP150" s="476">
        <f t="shared" si="180"/>
        <v>0</v>
      </c>
      <c r="AQ150" s="475">
        <f t="shared" si="164"/>
        <v>0</v>
      </c>
      <c r="AR150" s="475">
        <f t="shared" si="181"/>
        <v>0</v>
      </c>
      <c r="AS150" s="743" t="str">
        <f t="shared" si="156"/>
        <v/>
      </c>
      <c r="AT150" s="736" t="str">
        <f t="shared" si="182"/>
        <v/>
      </c>
      <c r="AU150" s="56">
        <f t="shared" si="183"/>
        <v>1</v>
      </c>
      <c r="AV150" s="476">
        <f t="shared" si="184"/>
        <v>0</v>
      </c>
      <c r="AW150" s="56">
        <f t="shared" si="185"/>
        <v>0</v>
      </c>
      <c r="AX150" s="475">
        <f t="shared" si="165"/>
        <v>0</v>
      </c>
      <c r="AY150" s="1169">
        <f t="shared" si="186"/>
        <v>0</v>
      </c>
      <c r="AZ150" s="1150">
        <f t="shared" si="225"/>
        <v>0</v>
      </c>
      <c r="BA150" s="56">
        <f t="shared" si="166"/>
        <v>0</v>
      </c>
      <c r="BB150" s="420">
        <f t="shared" si="167"/>
        <v>0</v>
      </c>
      <c r="BC150" s="58" t="str">
        <f t="shared" si="168"/>
        <v/>
      </c>
      <c r="BD150" s="660">
        <f t="shared" si="226"/>
        <v>0</v>
      </c>
      <c r="BE150" s="57" t="e">
        <f t="array" ref="BE150">INDEX($EB$11:$ED$1022,MATCH(F150&amp;T150,$EB$11:$EB$1007&amp;$EC$11:$EC$1007,0),3)</f>
        <v>#N/A</v>
      </c>
      <c r="BF150" s="463">
        <f t="shared" si="157"/>
        <v>0</v>
      </c>
      <c r="BG150" s="1445" t="e">
        <f t="array" ref="BG150">INDEX($DO$112:$DQ$123,MATCH(T150&amp;W150,$DO$114:$DO$125&amp;$DP$112:$DP$123,0),3)</f>
        <v>#N/A</v>
      </c>
      <c r="BH150" s="1446">
        <f t="shared" si="187"/>
        <v>0</v>
      </c>
      <c r="BI150" s="465">
        <f t="shared" si="188"/>
        <v>0</v>
      </c>
      <c r="BJ150" s="465">
        <f t="shared" si="189"/>
        <v>0</v>
      </c>
      <c r="BK150" s="466">
        <f t="shared" si="158"/>
        <v>0</v>
      </c>
      <c r="BL150" s="466">
        <f t="shared" si="159"/>
        <v>0</v>
      </c>
      <c r="BM150" s="466">
        <f t="shared" si="190"/>
        <v>0</v>
      </c>
      <c r="BN150" s="466">
        <f t="shared" si="191"/>
        <v>0</v>
      </c>
      <c r="BO150" s="463">
        <f>IF('Data Entry'!$C$74=0,0,IF(ISNA(CJ150),0,IF(AX150=0,0,IF(AND('Data Entry'!$C$74=2,AF150&gt;2,CE150&lt;1),0,IF(AND('Data Entry'!$C$74=2,AF150&gt;1,AU150=2,CJ150&gt;1),0,IF(AND(AF150=5,CT150=0.5,AU150=2,ER150&lt;100),0,IF(AND(AF150=5,CT150=0.5,AU150=3,ER150&lt;100),0,IF(AND('Data Entry'!$C$74=2,AF150=2,AU150=2,AK150&gt;0.01,CB150=2,CE150&lt;1),0,IF(AND('Data Entry'!$C$74=2,AF150=3,AU150=3,AK150&gt;0.01,CB150=3,CE150&lt;1),0,IF(AND('Data Entry'!$C$74=2,AF150=3,AU150=3,AK150&gt;0.01,CB150=3,CE150&gt;0.99),BQ150*0.08,IF(AND('Data Entry'!$C$74=2,AF150=2,AU150=2,AK150&gt;0.01,CB150=2,CE150&gt;0.99),BQ150*0.1,IF(AND(AU150=2,AK150&gt;0.01,CB150=2,CD150&gt;1),BQ150*0.1,IF(AND(AU150=3,AK150&gt;0.01,CB150=3,CD150&gt;1),BQ150*0.08,CJ150*EF150)))))))))))))</f>
        <v>0</v>
      </c>
      <c r="BP150" s="475">
        <f t="shared" si="192"/>
        <v>0</v>
      </c>
      <c r="BQ150" s="1431">
        <f>IF(AU150=1,0,IF(CH150=100,0,IF(AND(AF150=3,AU150=2),0,IF(AND(BH150=0,CT150&gt;0.4),0,IF(AND('Data Entry'!$C$74=2,AF150=1.5),0,IF(AND('Data Entry'!$C$74=2,AF150=1.6),0,IF(AND('Data Entry'!$C$74=2,AF150=4),0,IF(AND('Data Entry'!$C$74=2,AF150=5),0,IF(AND('Data Entry'!$C$74=2,AF150=2.5,CE150&lt;1),0,IF(AND('Data Entry'!$C$74=2,AF150=3,CE150&lt;1),0,IF(AND('Data Entry'!$C$74=1,AF150=2.5,CD150&lt;1),0,IF(AND('Data Entry'!$C$74=1,AF150=3,CD150&lt;1),0,IF(DX150&gt;0.01,DX150,IF(ISERROR(AX150-AY150),"",ROUND(AX150-AY150,2)))))))))))))))</f>
        <v>0</v>
      </c>
      <c r="BR150" s="146">
        <f t="shared" si="193"/>
        <v>0</v>
      </c>
      <c r="BS150" s="475">
        <f t="shared" si="194"/>
        <v>0</v>
      </c>
      <c r="BT150" s="146" t="b">
        <f t="shared" si="195"/>
        <v>0</v>
      </c>
      <c r="BU150" s="463">
        <f>IF(ISNA(AT150),0,IF(AND('Data Entry'!$C$74=2,BC150=27),0,IF(AND('Data Entry'!$C$74=2,BC150=28),0,IF(AND(BC150=27,BT150=27,CM150&gt;0.1),CM150*0.15,IF(AND(BC150=28,BT150=28,CM150&gt;0.1),CM150*0.12,0)))))</f>
        <v>0</v>
      </c>
      <c r="BV150" s="463">
        <f t="shared" si="155"/>
        <v>0</v>
      </c>
      <c r="BW150" s="463">
        <f t="shared" si="196"/>
        <v>0</v>
      </c>
      <c r="BX150" s="463">
        <f t="shared" si="197"/>
        <v>0</v>
      </c>
      <c r="BY150" s="463">
        <f t="shared" si="198"/>
        <v>0</v>
      </c>
      <c r="BZ150" s="463">
        <f t="shared" si="199"/>
        <v>0</v>
      </c>
      <c r="CA150" s="57">
        <f t="shared" si="227"/>
        <v>0</v>
      </c>
      <c r="CB150" s="56">
        <f t="shared" si="200"/>
        <v>1</v>
      </c>
      <c r="CC150" s="756">
        <f>IF(EE150=0,0,IF(EF150=0,0,IF(EE150&gt;AA150,0,IF(AND(AZ150&gt;AW150,AW150&gt;0),0,IF(CU150=0,0,Summary!AC453)))))</f>
        <v>0</v>
      </c>
      <c r="CD150" s="756">
        <f>IF(EE150=0,0,IF(EF150=0,0,IF(EE150&gt;AA150,0,IF(AND(AZ150&gt;AW150,AW150&gt;0),0,IF(CU150=0,0,Summary!AD453)))))</f>
        <v>0</v>
      </c>
      <c r="CE150" s="756">
        <f>IF(EF150=0,0,IF(EE150&gt;AA150,0,IF(CC150=0,0,IF(AND(AZ150&gt;AW150,AW150&gt;0),0,IF(CU150=0,0,Summary!AE453)))))</f>
        <v>0</v>
      </c>
      <c r="CF150" s="475">
        <f t="shared" si="201"/>
        <v>0</v>
      </c>
      <c r="CG150" s="476">
        <f t="shared" si="169"/>
        <v>0</v>
      </c>
      <c r="CH150" s="487">
        <f t="shared" si="202"/>
        <v>0</v>
      </c>
      <c r="CI150" s="756">
        <f t="shared" si="203"/>
        <v>0</v>
      </c>
      <c r="CJ150" s="487">
        <f>IF(CT150&gt;0.4,0,IF(AND(AU150=2,CH150=0,CT150=0.5,ER150=100),35,IF(AND(AU150=3,BB150&gt;75,CH150=0,CT150=0.5,ER150=100),25,IF(CB150&gt;1,0,IF(EF150&gt;EE150,0,IF(AND(AF150&gt;1,CH150=100),0,IF(AND(AF150=1,AY150=0),0,IF(AND(EF150&lt;=EE150,AW150&gt;=AZ150,'Data Entry'!$C$74=1,AU150=2),VLOOKUP(W150,$DO$96:$DP$102,2,FALSE),IF(AND(EF150&lt;=EE150,AW150&gt;=AZ150,AU150=3,'Data Entry'!$C$74=1),VLOOKUP(W150,$DO$127:$DP$134,2,FALSE))))))))))</f>
        <v>0</v>
      </c>
      <c r="CK150" s="716">
        <f t="shared" si="204"/>
        <v>0</v>
      </c>
      <c r="CL150" s="57">
        <f t="shared" si="205"/>
        <v>0</v>
      </c>
      <c r="CM150" s="475">
        <f t="shared" si="231"/>
        <v>0</v>
      </c>
      <c r="CN150" s="660">
        <f>IF(CM150&lt;0.1,0,IF(ISNA(AT150),0,IF(CL150+BC150=1,0,IF(BV150&gt;0.01,0,IF(CL150&gt;0.01,0,IF(CF150=1,0,IF(BC150=0.5,0,IF(AND(CI150=1,AU150=3),0,IF(AND(CI150=5,CL150=0),0,IF(AND(R150=12,BR150=50),0,IF(CK150&gt;0.01,0,IF(AND(AJ150&gt;0.01,AU150=2,BC150=15),CM150*0.1,IF(AND(AJ150&gt;0.01,AU150=3,BC150=15),CM150*0.08,IF(AND(R150=12,BC150=3,AF150&lt;=0),0,IF(AND(BC150=15,BI150=0),0,IF(AND(BC150=15,BJ150=0),0,IF(AND(R150=20,CU150=0),0,IF($X$4=0,0,IF(AND(BC150=250,CL150=0),0,IF(AA150&lt;1,0,IF(AND(ISNUMBER(SEARCH("Area",T150)),AU150=3),0,IF(AND(AQ150&gt;0.01,AR150=0,BK150=0,BL150=0,BM150=0,BN150=0),0,IF(AND(AU150=3,CI150=7,CT150&gt;0.5),0,IF(AND(BC150=44,AU150=3,BY150=0),0,IF(AND(BC150=27,'Data Entry'!$C$74=2),0,IF(AND(BC150=28,'Data Entry'!$C$74=2),0,IF(AND(BY150+BZ150+CA150&gt;0.01,BV150=0,EQ150+ER150+ES150+ET150&lt;100),0,IF(AU150=3,CM150*0.08,IF(AU150=2,CM150*0.1,0)))))))))))))))))))))))))))))</f>
        <v>0</v>
      </c>
      <c r="CO150" s="660">
        <f t="shared" si="206"/>
        <v>0</v>
      </c>
      <c r="CP150" s="475" t="str">
        <f t="shared" si="207"/>
        <v/>
      </c>
      <c r="CQ150" s="161" t="str">
        <f>IF(AH150=0,0,IF(AU150=5,0,Summary!AC153))</f>
        <v/>
      </c>
      <c r="CR150" s="161" t="str">
        <f>IF(BF150=0.5,0,IF(AU150=5,0,Summary!AD153))</f>
        <v/>
      </c>
      <c r="CS150" s="161" t="str">
        <f>IF(AU150=5,0,Summary!AE153)</f>
        <v/>
      </c>
      <c r="CT150" s="161">
        <f t="shared" si="208"/>
        <v>0</v>
      </c>
      <c r="CU150" s="475" t="str">
        <f t="shared" si="209"/>
        <v/>
      </c>
      <c r="CV150" s="307">
        <f>IF('Data Entry'!$C$74=0,0,IF(AA150&lt;1,0,IF(ISERROR(CU150),0,IF(CF150=1,0,IF(AND(R150=12,BR150=50),0,IF(CL150+BO150+BV150+DC150=0,0,IF(BC150=37,0,IF(AND(BC150=40,AJ150=0),0,IF(AND(BC150=37,BO150&gt;0.01,BQ150&gt;0.01),ROUND(BQ150,0),IF(CM150&lt;0,0,ROUND(CM150,0)))))))))))</f>
        <v>0</v>
      </c>
      <c r="CW150" s="700">
        <f t="shared" si="210"/>
        <v>0</v>
      </c>
      <c r="CX150" s="477">
        <f>IF('Data Entry'!$C$74=0,0,IF(CV150&lt;0.01,0,IF(BF150=0.5,0,IF(CF150=1,0,IF(ISNUMBER(SEARCH("false",CL150)),0,IF(AZ150=500,0,CL150))))))</f>
        <v>0</v>
      </c>
      <c r="CY150" s="147" t="e">
        <f t="shared" si="211"/>
        <v>#VALUE!</v>
      </c>
      <c r="CZ150" s="147" t="b">
        <f>IF(CN150+CL150=0,FALSE,IF(AH150=0,0,IF(AND('Data Entry'!$C$74=1,CR150&gt;=1),TRUE,IF(AND('Data Entry'!$C$74=2,CS150&gt;=1),TRUE,FALSE))))</f>
        <v>0</v>
      </c>
      <c r="DA150" s="1751">
        <f>IF('Data Entry'!$C$74=0,0,IFERROR(ROUND(IF(T150="","",IF($X$4=0,0,IF(CF150=1,0,IF(BQ150+CV150=0,0,IF(CF150=1,0,IF(CY150&gt;0.01,CY150,IF(CL150&gt;0.01,CL150,IF(CY150&gt;0.01,CY150,IF(BC150=37,BO150,IF(CZ150=FALSE,0,IF(CZ150=TRUE,DC150+DF150,0))))))))))),2),""))</f>
        <v>0</v>
      </c>
      <c r="DB150" s="1752"/>
      <c r="DC150" s="474">
        <f>IF(CN150&lt;0.01,0,IF(AND(BR150=3,CN150&gt;0.01,CT150&gt;0.6,ER150+ES150+ET150&lt;100),0,IF(AND('Data Entry'!$C$74=1,CN150&gt;0.01,CR150&gt;0.99),MIN(CN150:CO150),IF(AND('Data Entry'!$C$74=2,CN150&gt;0.01,CS150&gt;0.99),MIN(CN150:CO150),0))))</f>
        <v>0</v>
      </c>
      <c r="DD150" s="478">
        <f>IF(CF150=1,"Selection does not match",IF(T150=0,0,IF(AND('Data Entry'!$C$74=0,CP150&gt;1),"Select Oregon or Idaho on Data Entry Tab",IF(AND(AU150=1,AA150&gt;0.9),"Missing Interior or Exterior Selection",IF($X$4=0,"Enter Total Project Cost",IF(AQ150&lt;AR150,"Insufficient kWh savings – no incentive",IF(AND(SUM(CL150+CK150+BV150)&gt;0.01,'Data Entry'!$C$74=2,CJ150&gt;1,BO150=0),"Submit Control as Non-Standard",IF(AND('Data Entry'!$C$74=2,BR150=37,CJ150&gt;1,BO150=0),"Submit Control as Non-Standard",IF(SUM(CL150+CK150+BV150)&gt;0.01,"Standard Incentive",IF(AND('Data Entry'!$C$74=2,CP150=7,CN150=0),"Submit as Non-Standard",IF(DC150&gt;0.9,"Non-Standard Incentive",IF(AND(BY150+BZ150+CA150&gt;0.01,BV150=0,EQ150=0,ER150=0,ES150=0,ET150=0),"Scroll Right &amp; Select Control Strategies",IF(AND(CN150&gt;0.01,CO150=0),"Enter Unit Installed Cost",IF(ISNUMBER(SEARCH("Lighting Controls Only",F150)),"Lighting Controls Only",IF(CL150+DC150=0,"Does not meet incentive criteria",0)))))))))))))))</f>
        <v>0</v>
      </c>
      <c r="DE150" s="337">
        <f t="shared" si="212"/>
        <v>0</v>
      </c>
      <c r="DF150" s="609">
        <f t="shared" si="213"/>
        <v>0</v>
      </c>
      <c r="DG150" s="336" t="str">
        <f t="shared" si="214"/>
        <v/>
      </c>
      <c r="DH150" s="338">
        <f t="shared" si="215"/>
        <v>1</v>
      </c>
      <c r="DI150" s="336" t="e">
        <f t="shared" si="170"/>
        <v>#VALUE!</v>
      </c>
      <c r="DJ150" s="338">
        <f t="shared" si="171"/>
        <v>0</v>
      </c>
      <c r="DK150" s="325" t="s">
        <v>93</v>
      </c>
      <c r="DL150" s="341">
        <v>1090</v>
      </c>
      <c r="DM150" s="326" t="s">
        <v>1561</v>
      </c>
      <c r="DN150" s="820">
        <v>16</v>
      </c>
      <c r="DO150" s="356"/>
      <c r="DP150" s="329"/>
      <c r="DQ150" s="331"/>
      <c r="DR150" s="357"/>
      <c r="DS150" s="1195">
        <f t="shared" si="216"/>
        <v>0</v>
      </c>
      <c r="DT150" s="344" t="b">
        <f t="shared" si="217"/>
        <v>1</v>
      </c>
      <c r="DU150" s="1314" t="str">
        <f t="array" ref="DU150">IF(OR(COUNTIF(F150,"*"&amp;$DK$9:$DK$178&amp;"*")), "Yes", "")</f>
        <v/>
      </c>
      <c r="DV150" s="1314">
        <f t="shared" si="218"/>
        <v>0</v>
      </c>
      <c r="DW150" s="1480">
        <f t="shared" si="219"/>
        <v>0</v>
      </c>
      <c r="DX150" s="1498">
        <f t="shared" si="228"/>
        <v>0</v>
      </c>
      <c r="DY150" s="1484">
        <f t="shared" si="220"/>
        <v>0</v>
      </c>
      <c r="DZ150" s="331"/>
      <c r="EA150" s="392"/>
      <c r="EB150" s="1499" t="s">
        <v>89</v>
      </c>
      <c r="EC150" s="727" t="s">
        <v>1568</v>
      </c>
      <c r="ED150" s="728">
        <v>0.5</v>
      </c>
      <c r="EE150" s="1215"/>
      <c r="EF150" s="1215"/>
      <c r="EG150" s="1184" t="str">
        <f t="shared" si="221"/>
        <v/>
      </c>
      <c r="EH150" s="55"/>
      <c r="EI150" s="55"/>
      <c r="EJ150" s="1185">
        <f t="shared" si="172"/>
        <v>0</v>
      </c>
      <c r="EK150" s="1211"/>
      <c r="EL150" s="1180">
        <f t="shared" si="173"/>
        <v>0</v>
      </c>
      <c r="EM150" s="206"/>
      <c r="EN150" s="1038"/>
      <c r="EO150" s="1038"/>
      <c r="EP150" s="1038"/>
      <c r="EQ150" s="1038">
        <f t="shared" si="222"/>
        <v>0</v>
      </c>
      <c r="ER150" s="1041">
        <f t="shared" si="223"/>
        <v>0</v>
      </c>
      <c r="ES150" s="1042">
        <f t="shared" si="224"/>
        <v>0</v>
      </c>
      <c r="ET150" s="1042">
        <f t="shared" si="229"/>
        <v>0</v>
      </c>
      <c r="EU150" s="1021">
        <f t="shared" si="230"/>
        <v>0</v>
      </c>
      <c r="EV150" s="368"/>
      <c r="EW150" s="368"/>
      <c r="EX150" s="369"/>
      <c r="EY150" s="370"/>
      <c r="EZ150" s="370"/>
      <c r="FA150" s="371"/>
      <c r="FB150" s="372"/>
    </row>
    <row r="151" spans="1:158" ht="34.5" customHeight="1">
      <c r="A151" s="82">
        <v>143</v>
      </c>
      <c r="B151" s="1725"/>
      <c r="C151" s="1726"/>
      <c r="D151" s="1726"/>
      <c r="E151" s="1727"/>
      <c r="F151" s="1732"/>
      <c r="G151" s="1733"/>
      <c r="H151" s="1733"/>
      <c r="I151" s="1734"/>
      <c r="J151" s="1341"/>
      <c r="K151" s="1728"/>
      <c r="L151" s="1728"/>
      <c r="M151" s="1342"/>
      <c r="N151" s="1583"/>
      <c r="O151" s="208" t="str">
        <f t="shared" si="160"/>
        <v/>
      </c>
      <c r="P151" s="785"/>
      <c r="Q151" s="39" t="str">
        <f t="shared" si="161"/>
        <v/>
      </c>
      <c r="R151" s="39">
        <f t="shared" si="174"/>
        <v>0</v>
      </c>
      <c r="S151" s="234">
        <f t="shared" si="175"/>
        <v>0</v>
      </c>
      <c r="T151" s="1755"/>
      <c r="U151" s="1755"/>
      <c r="V151" s="1755"/>
      <c r="W151" s="1345"/>
      <c r="X151" s="1741"/>
      <c r="Y151" s="1742"/>
      <c r="Z151" s="1346"/>
      <c r="AA151" s="1343"/>
      <c r="AB151" s="1141"/>
      <c r="AC151" s="1103" t="str">
        <f>IF(T151="","",VLOOKUP(Z151,Lists!$A$60:$B$111,2,FALSE))</f>
        <v/>
      </c>
      <c r="AD151" s="130" t="str">
        <f t="shared" si="176"/>
        <v/>
      </c>
      <c r="AE151" s="130" t="e">
        <f t="shared" si="177"/>
        <v>#VALUE!</v>
      </c>
      <c r="AF151" s="130">
        <f t="shared" si="178"/>
        <v>1</v>
      </c>
      <c r="AG151" s="234">
        <f t="shared" si="162"/>
        <v>0</v>
      </c>
      <c r="AH151" s="1753" t="str">
        <f>IF(T151="","",(IF(ISNUMBER(SEARCH("exit",T151)),8760,IF(AND(M151="Dusk to Dawn",'Proposed Lighting'!AU151=3),4059,IF(AND(AU151=3,M151="1"),0,IF(AND(AU151=3,M151="1-C"),0,IF(AND(AU151=3,M151="2"),0,IF(AND(AU151=3,M151="2-C"),0,IF(AND(AU151=3,M151="3"),0,IF(AND(AU151=3,M151="3-C"),0,IF(AND(AU151=2,M151="Dusk to Dawn"),0,IF(AND(AU151=2,M151="Dusk to Dawn-C"),0,IF(AND(AU151=2,M151="Dusk to Dawn"),0,IF(AND(AU151=2,M151="E"),0,IF(AND(AU151=2,M151="E-C"),0,EG151)))))))))))))))</f>
        <v/>
      </c>
      <c r="AI151" s="1754"/>
      <c r="AJ151" s="1136"/>
      <c r="AK151" s="1136"/>
      <c r="AL151" s="1748">
        <f t="shared" si="179"/>
        <v>0</v>
      </c>
      <c r="AM151" s="1749"/>
      <c r="AN151" s="1750"/>
      <c r="AO151" s="476">
        <f t="shared" si="163"/>
        <v>0</v>
      </c>
      <c r="AP151" s="476">
        <f t="shared" si="180"/>
        <v>0</v>
      </c>
      <c r="AQ151" s="475">
        <f t="shared" si="164"/>
        <v>0</v>
      </c>
      <c r="AR151" s="475">
        <f t="shared" si="181"/>
        <v>0</v>
      </c>
      <c r="AS151" s="743" t="str">
        <f t="shared" si="156"/>
        <v/>
      </c>
      <c r="AT151" s="736" t="str">
        <f t="shared" si="182"/>
        <v/>
      </c>
      <c r="AU151" s="56">
        <f t="shared" si="183"/>
        <v>1</v>
      </c>
      <c r="AV151" s="476">
        <f t="shared" si="184"/>
        <v>0</v>
      </c>
      <c r="AW151" s="56">
        <f t="shared" si="185"/>
        <v>0</v>
      </c>
      <c r="AX151" s="475">
        <f t="shared" si="165"/>
        <v>0</v>
      </c>
      <c r="AY151" s="1169">
        <f t="shared" si="186"/>
        <v>0</v>
      </c>
      <c r="AZ151" s="1150">
        <f t="shared" si="225"/>
        <v>0</v>
      </c>
      <c r="BA151" s="56">
        <f t="shared" si="166"/>
        <v>0</v>
      </c>
      <c r="BB151" s="420">
        <f t="shared" si="167"/>
        <v>0</v>
      </c>
      <c r="BC151" s="58" t="str">
        <f t="shared" si="168"/>
        <v/>
      </c>
      <c r="BD151" s="660">
        <f t="shared" si="226"/>
        <v>0</v>
      </c>
      <c r="BE151" s="57" t="e">
        <f t="array" ref="BE151">INDEX($EB$11:$ED$1022,MATCH(F151&amp;T151,$EB$11:$EB$1007&amp;$EC$11:$EC$1007,0),3)</f>
        <v>#N/A</v>
      </c>
      <c r="BF151" s="463">
        <f t="shared" si="157"/>
        <v>0</v>
      </c>
      <c r="BG151" s="1445" t="e">
        <f t="array" ref="BG151">INDEX($DO$112:$DQ$123,MATCH(T151&amp;W151,$DO$114:$DO$125&amp;$DP$112:$DP$123,0),3)</f>
        <v>#N/A</v>
      </c>
      <c r="BH151" s="1446">
        <f t="shared" si="187"/>
        <v>0</v>
      </c>
      <c r="BI151" s="465">
        <f t="shared" si="188"/>
        <v>0</v>
      </c>
      <c r="BJ151" s="465">
        <f t="shared" si="189"/>
        <v>0</v>
      </c>
      <c r="BK151" s="466">
        <f t="shared" si="158"/>
        <v>0</v>
      </c>
      <c r="BL151" s="466">
        <f t="shared" si="159"/>
        <v>0</v>
      </c>
      <c r="BM151" s="466">
        <f t="shared" si="190"/>
        <v>0</v>
      </c>
      <c r="BN151" s="466">
        <f t="shared" si="191"/>
        <v>0</v>
      </c>
      <c r="BO151" s="463">
        <f>IF('Data Entry'!$C$74=0,0,IF(ISNA(CJ151),0,IF(AX151=0,0,IF(AND('Data Entry'!$C$74=2,AF151&gt;2,CE151&lt;1),0,IF(AND('Data Entry'!$C$74=2,AF151&gt;1,AU151=2,CJ151&gt;1),0,IF(AND(AF151=5,CT151=0.5,AU151=2,ER151&lt;100),0,IF(AND(AF151=5,CT151=0.5,AU151=3,ER151&lt;100),0,IF(AND('Data Entry'!$C$74=2,AF151=2,AU151=2,AK151&gt;0.01,CB151=2,CE151&lt;1),0,IF(AND('Data Entry'!$C$74=2,AF151=3,AU151=3,AK151&gt;0.01,CB151=3,CE151&lt;1),0,IF(AND('Data Entry'!$C$74=2,AF151=3,AU151=3,AK151&gt;0.01,CB151=3,CE151&gt;0.99),BQ151*0.08,IF(AND('Data Entry'!$C$74=2,AF151=2,AU151=2,AK151&gt;0.01,CB151=2,CE151&gt;0.99),BQ151*0.1,IF(AND(AU151=2,AK151&gt;0.01,CB151=2,CD151&gt;1),BQ151*0.1,IF(AND(AU151=3,AK151&gt;0.01,CB151=3,CD151&gt;1),BQ151*0.08,CJ151*EF151)))))))))))))</f>
        <v>0</v>
      </c>
      <c r="BP151" s="475">
        <f t="shared" si="192"/>
        <v>0</v>
      </c>
      <c r="BQ151" s="1431">
        <f>IF(AU151=1,0,IF(CH151=100,0,IF(AND(AF151=3,AU151=2),0,IF(AND(BH151=0,CT151&gt;0.4),0,IF(AND('Data Entry'!$C$74=2,AF151=1.5),0,IF(AND('Data Entry'!$C$74=2,AF151=1.6),0,IF(AND('Data Entry'!$C$74=2,AF151=4),0,IF(AND('Data Entry'!$C$74=2,AF151=5),0,IF(AND('Data Entry'!$C$74=2,AF151=2.5,CE151&lt;1),0,IF(AND('Data Entry'!$C$74=2,AF151=3,CE151&lt;1),0,IF(AND('Data Entry'!$C$74=1,AF151=2.5,CD151&lt;1),0,IF(AND('Data Entry'!$C$74=1,AF151=3,CD151&lt;1),0,IF(DX151&gt;0.01,DX151,IF(ISERROR(AX151-AY151),"",ROUND(AX151-AY151,2)))))))))))))))</f>
        <v>0</v>
      </c>
      <c r="BR151" s="146">
        <f t="shared" si="193"/>
        <v>0</v>
      </c>
      <c r="BS151" s="475">
        <f t="shared" si="194"/>
        <v>0</v>
      </c>
      <c r="BT151" s="146" t="b">
        <f t="shared" si="195"/>
        <v>0</v>
      </c>
      <c r="BU151" s="463">
        <f>IF(ISNA(AT151),0,IF(AND('Data Entry'!$C$74=2,BC151=27),0,IF(AND('Data Entry'!$C$74=2,BC151=28),0,IF(AND(BC151=27,BT151=27,CM151&gt;0.1),CM151*0.15,IF(AND(BC151=28,BT151=28,CM151&gt;0.1),CM151*0.12,0)))))</f>
        <v>0</v>
      </c>
      <c r="BV151" s="463">
        <f t="shared" si="155"/>
        <v>0</v>
      </c>
      <c r="BW151" s="463">
        <f t="shared" si="196"/>
        <v>0</v>
      </c>
      <c r="BX151" s="463">
        <f t="shared" si="197"/>
        <v>0</v>
      </c>
      <c r="BY151" s="463">
        <f t="shared" si="198"/>
        <v>0</v>
      </c>
      <c r="BZ151" s="463">
        <f t="shared" si="199"/>
        <v>0</v>
      </c>
      <c r="CA151" s="57">
        <f t="shared" si="227"/>
        <v>0</v>
      </c>
      <c r="CB151" s="56">
        <f t="shared" si="200"/>
        <v>1</v>
      </c>
      <c r="CC151" s="756">
        <f>IF(EE151=0,0,IF(EF151=0,0,IF(EE151&gt;AA151,0,IF(AND(AZ151&gt;AW151,AW151&gt;0),0,IF(CU151=0,0,Summary!AC454)))))</f>
        <v>0</v>
      </c>
      <c r="CD151" s="756">
        <f>IF(EE151=0,0,IF(EF151=0,0,IF(EE151&gt;AA151,0,IF(AND(AZ151&gt;AW151,AW151&gt;0),0,IF(CU151=0,0,Summary!AD454)))))</f>
        <v>0</v>
      </c>
      <c r="CE151" s="756">
        <f>IF(EF151=0,0,IF(EE151&gt;AA151,0,IF(CC151=0,0,IF(AND(AZ151&gt;AW151,AW151&gt;0),0,IF(CU151=0,0,Summary!AE454)))))</f>
        <v>0</v>
      </c>
      <c r="CF151" s="475">
        <f t="shared" si="201"/>
        <v>0</v>
      </c>
      <c r="CG151" s="476">
        <f t="shared" si="169"/>
        <v>0</v>
      </c>
      <c r="CH151" s="487">
        <f t="shared" si="202"/>
        <v>0</v>
      </c>
      <c r="CI151" s="756">
        <f t="shared" si="203"/>
        <v>0</v>
      </c>
      <c r="CJ151" s="487">
        <f>IF(CT151&gt;0.4,0,IF(AND(AU151=2,CH151=0,CT151=0.5,ER151=100),35,IF(AND(AU151=3,BB151&gt;75,CH151=0,CT151=0.5,ER151=100),25,IF(CB151&gt;1,0,IF(EF151&gt;EE151,0,IF(AND(AF151&gt;1,CH151=100),0,IF(AND(AF151=1,AY151=0),0,IF(AND(EF151&lt;=EE151,AW151&gt;=AZ151,'Data Entry'!$C$74=1,AU151=2),VLOOKUP(W151,$DO$96:$DP$102,2,FALSE),IF(AND(EF151&lt;=EE151,AW151&gt;=AZ151,AU151=3,'Data Entry'!$C$74=1),VLOOKUP(W151,$DO$127:$DP$134,2,FALSE))))))))))</f>
        <v>0</v>
      </c>
      <c r="CK151" s="716">
        <f t="shared" si="204"/>
        <v>0</v>
      </c>
      <c r="CL151" s="57">
        <f t="shared" si="205"/>
        <v>0</v>
      </c>
      <c r="CM151" s="475">
        <f t="shared" si="231"/>
        <v>0</v>
      </c>
      <c r="CN151" s="660">
        <f>IF(CM151&lt;0.1,0,IF(ISNA(AT151),0,IF(CL151+BC151=1,0,IF(BV151&gt;0.01,0,IF(CL151&gt;0.01,0,IF(CF151=1,0,IF(BC151=0.5,0,IF(AND(CI151=1,AU151=3),0,IF(AND(CI151=5,CL151=0),0,IF(AND(R151=12,BR151=50),0,IF(CK151&gt;0.01,0,IF(AND(AJ151&gt;0.01,AU151=2,BC151=15),CM151*0.1,IF(AND(AJ151&gt;0.01,AU151=3,BC151=15),CM151*0.08,IF(AND(R151=12,BC151=3,AF151&lt;=0),0,IF(AND(BC151=15,BI151=0),0,IF(AND(BC151=15,BJ151=0),0,IF(AND(R151=20,CU151=0),0,IF($X$4=0,0,IF(AND(BC151=250,CL151=0),0,IF(AA151&lt;1,0,IF(AND(ISNUMBER(SEARCH("Area",T151)),AU151=3),0,IF(AND(AQ151&gt;0.01,AR151=0,BK151=0,BL151=0,BM151=0,BN151=0),0,IF(AND(AU151=3,CI151=7,CT151&gt;0.5),0,IF(AND(BC151=44,AU151=3,BY151=0),0,IF(AND(BC151=27,'Data Entry'!$C$74=2),0,IF(AND(BC151=28,'Data Entry'!$C$74=2),0,IF(AND(BY151+BZ151+CA151&gt;0.01,BV151=0,EQ151+ER151+ES151+ET151&lt;100),0,IF(AU151=3,CM151*0.08,IF(AU151=2,CM151*0.1,0)))))))))))))))))))))))))))))</f>
        <v>0</v>
      </c>
      <c r="CO151" s="660">
        <f t="shared" si="206"/>
        <v>0</v>
      </c>
      <c r="CP151" s="475" t="str">
        <f t="shared" si="207"/>
        <v/>
      </c>
      <c r="CQ151" s="161" t="str">
        <f>IF(AH151=0,0,IF(AU151=5,0,Summary!AC154))</f>
        <v/>
      </c>
      <c r="CR151" s="161" t="str">
        <f>IF(BF151=0.5,0,IF(AU151=5,0,Summary!AD154))</f>
        <v/>
      </c>
      <c r="CS151" s="161" t="str">
        <f>IF(AU151=5,0,Summary!AE154)</f>
        <v/>
      </c>
      <c r="CT151" s="161">
        <f t="shared" si="208"/>
        <v>0</v>
      </c>
      <c r="CU151" s="475" t="str">
        <f t="shared" si="209"/>
        <v/>
      </c>
      <c r="CV151" s="307">
        <f>IF('Data Entry'!$C$74=0,0,IF(AA151&lt;1,0,IF(ISERROR(CU151),0,IF(CF151=1,0,IF(AND(R151=12,BR151=50),0,IF(CL151+BO151+BV151+DC151=0,0,IF(BC151=37,0,IF(AND(BC151=40,AJ151=0),0,IF(AND(BC151=37,BO151&gt;0.01,BQ151&gt;0.01),ROUND(BQ151,0),IF(CM151&lt;0,0,ROUND(CM151,0)))))))))))</f>
        <v>0</v>
      </c>
      <c r="CW151" s="700">
        <f t="shared" si="210"/>
        <v>0</v>
      </c>
      <c r="CX151" s="477">
        <f>IF('Data Entry'!$C$74=0,0,IF(CV151&lt;0.01,0,IF(BF151=0.5,0,IF(CF151=1,0,IF(ISNUMBER(SEARCH("false",CL151)),0,IF(AZ151=500,0,CL151))))))</f>
        <v>0</v>
      </c>
      <c r="CY151" s="147" t="e">
        <f t="shared" si="211"/>
        <v>#VALUE!</v>
      </c>
      <c r="CZ151" s="147" t="b">
        <f>IF(CN151+CL151=0,FALSE,IF(AH151=0,0,IF(AND('Data Entry'!$C$74=1,CR151&gt;=1),TRUE,IF(AND('Data Entry'!$C$74=2,CS151&gt;=1),TRUE,FALSE))))</f>
        <v>0</v>
      </c>
      <c r="DA151" s="1751">
        <f>IF('Data Entry'!$C$74=0,0,IFERROR(ROUND(IF(T151="","",IF($X$4=0,0,IF(CF151=1,0,IF(BQ151+CV151=0,0,IF(CF151=1,0,IF(CY151&gt;0.01,CY151,IF(CL151&gt;0.01,CL151,IF(CY151&gt;0.01,CY151,IF(BC151=37,BO151,IF(CZ151=FALSE,0,IF(CZ151=TRUE,DC151+DF151,0))))))))))),2),""))</f>
        <v>0</v>
      </c>
      <c r="DB151" s="1752"/>
      <c r="DC151" s="474">
        <f>IF(CN151&lt;0.01,0,IF(AND(BR151=3,CN151&gt;0.01,CT151&gt;0.6,ER151+ES151+ET151&lt;100),0,IF(AND('Data Entry'!$C$74=1,CN151&gt;0.01,CR151&gt;0.99),MIN(CN151:CO151),IF(AND('Data Entry'!$C$74=2,CN151&gt;0.01,CS151&gt;0.99),MIN(CN151:CO151),0))))</f>
        <v>0</v>
      </c>
      <c r="DD151" s="478">
        <f>IF(CF151=1,"Selection does not match",IF(T151=0,0,IF(AND('Data Entry'!$C$74=0,CP151&gt;1),"Select Oregon or Idaho on Data Entry Tab",IF(AND(AU151=1,AA151&gt;0.9),"Missing Interior or Exterior Selection",IF($X$4=0,"Enter Total Project Cost",IF(AQ151&lt;AR151,"Insufficient kWh savings – no incentive",IF(AND(SUM(CL151+CK151+BV151)&gt;0.01,'Data Entry'!$C$74=2,CJ151&gt;1,BO151=0),"Submit Control as Non-Standard",IF(AND('Data Entry'!$C$74=2,BR151=37,CJ151&gt;1,BO151=0),"Submit Control as Non-Standard",IF(SUM(CL151+CK151+BV151)&gt;0.01,"Standard Incentive",IF(AND('Data Entry'!$C$74=2,CP151=7,CN151=0),"Submit as Non-Standard",IF(DC151&gt;0.9,"Non-Standard Incentive",IF(AND(BY151+BZ151+CA151&gt;0.01,BV151=0,EQ151=0,ER151=0,ES151=0,ET151=0),"Scroll Right &amp; Select Control Strategies",IF(AND(CN151&gt;0.01,CO151=0),"Enter Unit Installed Cost",IF(ISNUMBER(SEARCH("Lighting Controls Only",F151)),"Lighting Controls Only",IF(CL151+DC151=0,"Does not meet incentive criteria",0)))))))))))))))</f>
        <v>0</v>
      </c>
      <c r="DE151" s="337">
        <f t="shared" si="212"/>
        <v>0</v>
      </c>
      <c r="DF151" s="609">
        <f t="shared" si="213"/>
        <v>0</v>
      </c>
      <c r="DG151" s="336" t="str">
        <f t="shared" si="214"/>
        <v/>
      </c>
      <c r="DH151" s="338">
        <f t="shared" si="215"/>
        <v>1</v>
      </c>
      <c r="DI151" s="336" t="e">
        <f t="shared" si="170"/>
        <v>#VALUE!</v>
      </c>
      <c r="DJ151" s="338">
        <f t="shared" si="171"/>
        <v>0</v>
      </c>
      <c r="DK151" s="325" t="s">
        <v>94</v>
      </c>
      <c r="DL151" s="341">
        <v>42</v>
      </c>
      <c r="DM151" s="326" t="s">
        <v>477</v>
      </c>
      <c r="DN151" s="820">
        <v>32</v>
      </c>
      <c r="DO151" s="331"/>
      <c r="DP151" s="332"/>
      <c r="DQ151" s="331"/>
      <c r="DR151" s="357"/>
      <c r="DS151" s="1195">
        <f t="shared" si="216"/>
        <v>0</v>
      </c>
      <c r="DT151" s="344" t="b">
        <f t="shared" si="217"/>
        <v>1</v>
      </c>
      <c r="DU151" s="1314" t="str">
        <f t="array" ref="DU151">IF(OR(COUNTIF(F151,"*"&amp;$DK$9:$DK$178&amp;"*")), "Yes", "")</f>
        <v/>
      </c>
      <c r="DV151" s="1314">
        <f t="shared" si="218"/>
        <v>0</v>
      </c>
      <c r="DW151" s="1480">
        <f t="shared" si="219"/>
        <v>0</v>
      </c>
      <c r="DX151" s="1498">
        <f t="shared" si="228"/>
        <v>0</v>
      </c>
      <c r="DY151" s="1484">
        <f t="shared" si="220"/>
        <v>0</v>
      </c>
      <c r="DZ151" s="331"/>
      <c r="EA151" s="392"/>
      <c r="EB151" s="1499" t="s">
        <v>90</v>
      </c>
      <c r="EC151" s="727" t="s">
        <v>1568</v>
      </c>
      <c r="ED151" s="728">
        <v>0.5</v>
      </c>
      <c r="EE151" s="1215"/>
      <c r="EF151" s="1215"/>
      <c r="EG151" s="1184" t="str">
        <f t="shared" si="221"/>
        <v/>
      </c>
      <c r="EH151" s="55"/>
      <c r="EI151" s="55"/>
      <c r="EJ151" s="1185">
        <f t="shared" si="172"/>
        <v>0</v>
      </c>
      <c r="EK151" s="1211"/>
      <c r="EL151" s="1180">
        <f t="shared" si="173"/>
        <v>0</v>
      </c>
      <c r="EM151" s="206"/>
      <c r="EN151" s="1038"/>
      <c r="EO151" s="1038"/>
      <c r="EP151" s="1038"/>
      <c r="EQ151" s="1038">
        <f t="shared" si="222"/>
        <v>0</v>
      </c>
      <c r="ER151" s="1041">
        <f t="shared" si="223"/>
        <v>0</v>
      </c>
      <c r="ES151" s="1042">
        <f t="shared" si="224"/>
        <v>0</v>
      </c>
      <c r="ET151" s="1042">
        <f t="shared" si="229"/>
        <v>0</v>
      </c>
      <c r="EU151" s="1021">
        <f t="shared" si="230"/>
        <v>0</v>
      </c>
      <c r="EV151" s="368"/>
      <c r="EW151" s="368"/>
      <c r="EX151" s="369"/>
      <c r="EY151" s="370"/>
      <c r="EZ151" s="370"/>
      <c r="FA151" s="371"/>
      <c r="FB151" s="372"/>
    </row>
    <row r="152" spans="1:158" ht="34.5" customHeight="1">
      <c r="A152" s="82">
        <v>144</v>
      </c>
      <c r="B152" s="1725"/>
      <c r="C152" s="1726"/>
      <c r="D152" s="1726"/>
      <c r="E152" s="1727"/>
      <c r="F152" s="1732"/>
      <c r="G152" s="1733"/>
      <c r="H152" s="1733"/>
      <c r="I152" s="1734"/>
      <c r="J152" s="1341"/>
      <c r="K152" s="1728"/>
      <c r="L152" s="1728"/>
      <c r="M152" s="1342"/>
      <c r="N152" s="1583"/>
      <c r="O152" s="208" t="str">
        <f t="shared" si="160"/>
        <v/>
      </c>
      <c r="P152" s="785"/>
      <c r="Q152" s="39" t="str">
        <f t="shared" si="161"/>
        <v/>
      </c>
      <c r="R152" s="39">
        <f t="shared" si="174"/>
        <v>0</v>
      </c>
      <c r="S152" s="234">
        <f t="shared" si="175"/>
        <v>0</v>
      </c>
      <c r="T152" s="1755"/>
      <c r="U152" s="1755"/>
      <c r="V152" s="1755"/>
      <c r="W152" s="1345"/>
      <c r="X152" s="1741"/>
      <c r="Y152" s="1742"/>
      <c r="Z152" s="1346"/>
      <c r="AA152" s="1343"/>
      <c r="AB152" s="1141"/>
      <c r="AC152" s="1103" t="str">
        <f>IF(T152="","",VLOOKUP(Z152,Lists!$A$60:$B$111,2,FALSE))</f>
        <v/>
      </c>
      <c r="AD152" s="130" t="str">
        <f t="shared" si="176"/>
        <v/>
      </c>
      <c r="AE152" s="130" t="e">
        <f t="shared" si="177"/>
        <v>#VALUE!</v>
      </c>
      <c r="AF152" s="130">
        <f t="shared" si="178"/>
        <v>1</v>
      </c>
      <c r="AG152" s="234">
        <f t="shared" si="162"/>
        <v>0</v>
      </c>
      <c r="AH152" s="1753" t="str">
        <f>IF(T152="","",(IF(ISNUMBER(SEARCH("exit",T152)),8760,IF(AND(M152="Dusk to Dawn",'Proposed Lighting'!AU152=3),4059,IF(AND(AU152=3,M152="1"),0,IF(AND(AU152=3,M152="1-C"),0,IF(AND(AU152=3,M152="2"),0,IF(AND(AU152=3,M152="2-C"),0,IF(AND(AU152=3,M152="3"),0,IF(AND(AU152=3,M152="3-C"),0,IF(AND(AU152=2,M152="Dusk to Dawn"),0,IF(AND(AU152=2,M152="Dusk to Dawn-C"),0,IF(AND(AU152=2,M152="Dusk to Dawn"),0,IF(AND(AU152=2,M152="E"),0,IF(AND(AU152=2,M152="E-C"),0,EG152)))))))))))))))</f>
        <v/>
      </c>
      <c r="AI152" s="1754"/>
      <c r="AJ152" s="1136"/>
      <c r="AK152" s="1136"/>
      <c r="AL152" s="1748">
        <f t="shared" si="179"/>
        <v>0</v>
      </c>
      <c r="AM152" s="1749"/>
      <c r="AN152" s="1750"/>
      <c r="AO152" s="476">
        <f t="shared" si="163"/>
        <v>0</v>
      </c>
      <c r="AP152" s="476">
        <f t="shared" si="180"/>
        <v>0</v>
      </c>
      <c r="AQ152" s="475">
        <f t="shared" si="164"/>
        <v>0</v>
      </c>
      <c r="AR152" s="475">
        <f t="shared" si="181"/>
        <v>0</v>
      </c>
      <c r="AS152" s="743" t="str">
        <f t="shared" si="156"/>
        <v/>
      </c>
      <c r="AT152" s="736" t="str">
        <f t="shared" si="182"/>
        <v/>
      </c>
      <c r="AU152" s="56">
        <f t="shared" si="183"/>
        <v>1</v>
      </c>
      <c r="AV152" s="476">
        <f t="shared" si="184"/>
        <v>0</v>
      </c>
      <c r="AW152" s="56">
        <f t="shared" si="185"/>
        <v>0</v>
      </c>
      <c r="AX152" s="475">
        <f t="shared" si="165"/>
        <v>0</v>
      </c>
      <c r="AY152" s="1169">
        <f t="shared" si="186"/>
        <v>0</v>
      </c>
      <c r="AZ152" s="1150">
        <f t="shared" si="225"/>
        <v>0</v>
      </c>
      <c r="BA152" s="56">
        <f t="shared" si="166"/>
        <v>0</v>
      </c>
      <c r="BB152" s="420">
        <f t="shared" si="167"/>
        <v>0</v>
      </c>
      <c r="BC152" s="58" t="str">
        <f t="shared" si="168"/>
        <v/>
      </c>
      <c r="BD152" s="660">
        <f t="shared" si="226"/>
        <v>0</v>
      </c>
      <c r="BE152" s="57" t="e">
        <f t="array" ref="BE152">INDEX($EB$11:$ED$1022,MATCH(F152&amp;T152,$EB$11:$EB$1007&amp;$EC$11:$EC$1007,0),3)</f>
        <v>#N/A</v>
      </c>
      <c r="BF152" s="463">
        <f t="shared" si="157"/>
        <v>0</v>
      </c>
      <c r="BG152" s="1445" t="e">
        <f t="array" ref="BG152">INDEX($DO$112:$DQ$123,MATCH(T152&amp;W152,$DO$114:$DO$125&amp;$DP$112:$DP$123,0),3)</f>
        <v>#N/A</v>
      </c>
      <c r="BH152" s="1446">
        <f t="shared" si="187"/>
        <v>0</v>
      </c>
      <c r="BI152" s="465">
        <f t="shared" si="188"/>
        <v>0</v>
      </c>
      <c r="BJ152" s="465">
        <f t="shared" si="189"/>
        <v>0</v>
      </c>
      <c r="BK152" s="466">
        <f t="shared" si="158"/>
        <v>0</v>
      </c>
      <c r="BL152" s="466">
        <f t="shared" si="159"/>
        <v>0</v>
      </c>
      <c r="BM152" s="466">
        <f t="shared" si="190"/>
        <v>0</v>
      </c>
      <c r="BN152" s="466">
        <f t="shared" si="191"/>
        <v>0</v>
      </c>
      <c r="BO152" s="463">
        <f>IF('Data Entry'!$C$74=0,0,IF(ISNA(CJ152),0,IF(AX152=0,0,IF(AND('Data Entry'!$C$74=2,AF152&gt;2,CE152&lt;1),0,IF(AND('Data Entry'!$C$74=2,AF152&gt;1,AU152=2,CJ152&gt;1),0,IF(AND(AF152=5,CT152=0.5,AU152=2,ER152&lt;100),0,IF(AND(AF152=5,CT152=0.5,AU152=3,ER152&lt;100),0,IF(AND('Data Entry'!$C$74=2,AF152=2,AU152=2,AK152&gt;0.01,CB152=2,CE152&lt;1),0,IF(AND('Data Entry'!$C$74=2,AF152=3,AU152=3,AK152&gt;0.01,CB152=3,CE152&lt;1),0,IF(AND('Data Entry'!$C$74=2,AF152=3,AU152=3,AK152&gt;0.01,CB152=3,CE152&gt;0.99),BQ152*0.08,IF(AND('Data Entry'!$C$74=2,AF152=2,AU152=2,AK152&gt;0.01,CB152=2,CE152&gt;0.99),BQ152*0.1,IF(AND(AU152=2,AK152&gt;0.01,CB152=2,CD152&gt;1),BQ152*0.1,IF(AND(AU152=3,AK152&gt;0.01,CB152=3,CD152&gt;1),BQ152*0.08,CJ152*EF152)))))))))))))</f>
        <v>0</v>
      </c>
      <c r="BP152" s="475">
        <f t="shared" si="192"/>
        <v>0</v>
      </c>
      <c r="BQ152" s="1431">
        <f>IF(AU152=1,0,IF(CH152=100,0,IF(AND(AF152=3,AU152=2),0,IF(AND(BH152=0,CT152&gt;0.4),0,IF(AND('Data Entry'!$C$74=2,AF152=1.5),0,IF(AND('Data Entry'!$C$74=2,AF152=1.6),0,IF(AND('Data Entry'!$C$74=2,AF152=4),0,IF(AND('Data Entry'!$C$74=2,AF152=5),0,IF(AND('Data Entry'!$C$74=2,AF152=2.5,CE152&lt;1),0,IF(AND('Data Entry'!$C$74=2,AF152=3,CE152&lt;1),0,IF(AND('Data Entry'!$C$74=1,AF152=2.5,CD152&lt;1),0,IF(AND('Data Entry'!$C$74=1,AF152=3,CD152&lt;1),0,IF(DX152&gt;0.01,DX152,IF(ISERROR(AX152-AY152),"",ROUND(AX152-AY152,2)))))))))))))))</f>
        <v>0</v>
      </c>
      <c r="BR152" s="146">
        <f t="shared" si="193"/>
        <v>0</v>
      </c>
      <c r="BS152" s="475">
        <f t="shared" si="194"/>
        <v>0</v>
      </c>
      <c r="BT152" s="146" t="b">
        <f t="shared" si="195"/>
        <v>0</v>
      </c>
      <c r="BU152" s="463">
        <f>IF(ISNA(AT152),0,IF(AND('Data Entry'!$C$74=2,BC152=27),0,IF(AND('Data Entry'!$C$74=2,BC152=28),0,IF(AND(BC152=27,BT152=27,CM152&gt;0.1),CM152*0.15,IF(AND(BC152=28,BT152=28,CM152&gt;0.1),CM152*0.12,0)))))</f>
        <v>0</v>
      </c>
      <c r="BV152" s="463">
        <f t="shared" si="155"/>
        <v>0</v>
      </c>
      <c r="BW152" s="463">
        <f t="shared" si="196"/>
        <v>0</v>
      </c>
      <c r="BX152" s="463">
        <f t="shared" si="197"/>
        <v>0</v>
      </c>
      <c r="BY152" s="463">
        <f t="shared" si="198"/>
        <v>0</v>
      </c>
      <c r="BZ152" s="463">
        <f t="shared" si="199"/>
        <v>0</v>
      </c>
      <c r="CA152" s="57">
        <f t="shared" si="227"/>
        <v>0</v>
      </c>
      <c r="CB152" s="56">
        <f t="shared" si="200"/>
        <v>1</v>
      </c>
      <c r="CC152" s="756">
        <f>IF(EE152=0,0,IF(EF152=0,0,IF(EE152&gt;AA152,0,IF(AND(AZ152&gt;AW152,AW152&gt;0),0,IF(CU152=0,0,Summary!AC455)))))</f>
        <v>0</v>
      </c>
      <c r="CD152" s="756">
        <f>IF(EE152=0,0,IF(EF152=0,0,IF(EE152&gt;AA152,0,IF(AND(AZ152&gt;AW152,AW152&gt;0),0,IF(CU152=0,0,Summary!AD455)))))</f>
        <v>0</v>
      </c>
      <c r="CE152" s="756">
        <f>IF(EF152=0,0,IF(EE152&gt;AA152,0,IF(CC152=0,0,IF(AND(AZ152&gt;AW152,AW152&gt;0),0,IF(CU152=0,0,Summary!AE455)))))</f>
        <v>0</v>
      </c>
      <c r="CF152" s="475">
        <f t="shared" si="201"/>
        <v>0</v>
      </c>
      <c r="CG152" s="476">
        <f t="shared" si="169"/>
        <v>0</v>
      </c>
      <c r="CH152" s="487">
        <f t="shared" si="202"/>
        <v>0</v>
      </c>
      <c r="CI152" s="756">
        <f t="shared" si="203"/>
        <v>0</v>
      </c>
      <c r="CJ152" s="487">
        <f>IF(CT152&gt;0.4,0,IF(AND(AU152=2,CH152=0,CT152=0.5,ER152=100),35,IF(AND(AU152=3,BB152&gt;75,CH152=0,CT152=0.5,ER152=100),25,IF(CB152&gt;1,0,IF(EF152&gt;EE152,0,IF(AND(AF152&gt;1,CH152=100),0,IF(AND(AF152=1,AY152=0),0,IF(AND(EF152&lt;=EE152,AW152&gt;=AZ152,'Data Entry'!$C$74=1,AU152=2),VLOOKUP(W152,$DO$96:$DP$102,2,FALSE),IF(AND(EF152&lt;=EE152,AW152&gt;=AZ152,AU152=3,'Data Entry'!$C$74=1),VLOOKUP(W152,$DO$127:$DP$134,2,FALSE))))))))))</f>
        <v>0</v>
      </c>
      <c r="CK152" s="716">
        <f t="shared" si="204"/>
        <v>0</v>
      </c>
      <c r="CL152" s="57">
        <f t="shared" si="205"/>
        <v>0</v>
      </c>
      <c r="CM152" s="475">
        <f t="shared" si="231"/>
        <v>0</v>
      </c>
      <c r="CN152" s="660">
        <f>IF(CM152&lt;0.1,0,IF(ISNA(AT152),0,IF(CL152+BC152=1,0,IF(BV152&gt;0.01,0,IF(CL152&gt;0.01,0,IF(CF152=1,0,IF(BC152=0.5,0,IF(AND(CI152=1,AU152=3),0,IF(AND(CI152=5,CL152=0),0,IF(AND(R152=12,BR152=50),0,IF(CK152&gt;0.01,0,IF(AND(AJ152&gt;0.01,AU152=2,BC152=15),CM152*0.1,IF(AND(AJ152&gt;0.01,AU152=3,BC152=15),CM152*0.08,IF(AND(R152=12,BC152=3,AF152&lt;=0),0,IF(AND(BC152=15,BI152=0),0,IF(AND(BC152=15,BJ152=0),0,IF(AND(R152=20,CU152=0),0,IF($X$4=0,0,IF(AND(BC152=250,CL152=0),0,IF(AA152&lt;1,0,IF(AND(ISNUMBER(SEARCH("Area",T152)),AU152=3),0,IF(AND(AQ152&gt;0.01,AR152=0,BK152=0,BL152=0,BM152=0,BN152=0),0,IF(AND(AU152=3,CI152=7,CT152&gt;0.5),0,IF(AND(BC152=44,AU152=3,BY152=0),0,IF(AND(BC152=27,'Data Entry'!$C$74=2),0,IF(AND(BC152=28,'Data Entry'!$C$74=2),0,IF(AND(BY152+BZ152+CA152&gt;0.01,BV152=0,EQ152+ER152+ES152+ET152&lt;100),0,IF(AU152=3,CM152*0.08,IF(AU152=2,CM152*0.1,0)))))))))))))))))))))))))))))</f>
        <v>0</v>
      </c>
      <c r="CO152" s="660">
        <f t="shared" si="206"/>
        <v>0</v>
      </c>
      <c r="CP152" s="475" t="str">
        <f t="shared" si="207"/>
        <v/>
      </c>
      <c r="CQ152" s="161" t="str">
        <f>IF(AH152=0,0,IF(AU152=5,0,Summary!AC155))</f>
        <v/>
      </c>
      <c r="CR152" s="161" t="str">
        <f>IF(BF152=0.5,0,IF(AU152=5,0,Summary!AD155))</f>
        <v/>
      </c>
      <c r="CS152" s="161" t="str">
        <f>IF(AU152=5,0,Summary!AE155)</f>
        <v/>
      </c>
      <c r="CT152" s="161">
        <f t="shared" si="208"/>
        <v>0</v>
      </c>
      <c r="CU152" s="475" t="str">
        <f t="shared" si="209"/>
        <v/>
      </c>
      <c r="CV152" s="307">
        <f>IF('Data Entry'!$C$74=0,0,IF(AA152&lt;1,0,IF(ISERROR(CU152),0,IF(CF152=1,0,IF(AND(R152=12,BR152=50),0,IF(CL152+BO152+BV152+DC152=0,0,IF(BC152=37,0,IF(AND(BC152=40,AJ152=0),0,IF(AND(BC152=37,BO152&gt;0.01,BQ152&gt;0.01),ROUND(BQ152,0),IF(CM152&lt;0,0,ROUND(CM152,0)))))))))))</f>
        <v>0</v>
      </c>
      <c r="CW152" s="700">
        <f t="shared" si="210"/>
        <v>0</v>
      </c>
      <c r="CX152" s="477">
        <f>IF('Data Entry'!$C$74=0,0,IF(CV152&lt;0.01,0,IF(BF152=0.5,0,IF(CF152=1,0,IF(ISNUMBER(SEARCH("false",CL152)),0,IF(AZ152=500,0,CL152))))))</f>
        <v>0</v>
      </c>
      <c r="CY152" s="147" t="e">
        <f t="shared" si="211"/>
        <v>#VALUE!</v>
      </c>
      <c r="CZ152" s="147" t="b">
        <f>IF(CN152+CL152=0,FALSE,IF(AH152=0,0,IF(AND('Data Entry'!$C$74=1,CR152&gt;=1),TRUE,IF(AND('Data Entry'!$C$74=2,CS152&gt;=1),TRUE,FALSE))))</f>
        <v>0</v>
      </c>
      <c r="DA152" s="1751">
        <f>IF('Data Entry'!$C$74=0,0,IFERROR(ROUND(IF(T152="","",IF($X$4=0,0,IF(CF152=1,0,IF(BQ152+CV152=0,0,IF(CF152=1,0,IF(CY152&gt;0.01,CY152,IF(CL152&gt;0.01,CL152,IF(CY152&gt;0.01,CY152,IF(BC152=37,BO152,IF(CZ152=FALSE,0,IF(CZ152=TRUE,DC152+DF152,0))))))))))),2),""))</f>
        <v>0</v>
      </c>
      <c r="DB152" s="1752"/>
      <c r="DC152" s="474">
        <f>IF(CN152&lt;0.01,0,IF(AND(BR152=3,CN152&gt;0.01,CT152&gt;0.6,ER152+ES152+ET152&lt;100),0,IF(AND('Data Entry'!$C$74=1,CN152&gt;0.01,CR152&gt;0.99),MIN(CN152:CO152),IF(AND('Data Entry'!$C$74=2,CN152&gt;0.01,CS152&gt;0.99),MIN(CN152:CO152),0))))</f>
        <v>0</v>
      </c>
      <c r="DD152" s="478">
        <f>IF(CF152=1,"Selection does not match",IF(T152=0,0,IF(AND('Data Entry'!$C$74=0,CP152&gt;1),"Select Oregon or Idaho on Data Entry Tab",IF(AND(AU152=1,AA152&gt;0.9),"Missing Interior or Exterior Selection",IF($X$4=0,"Enter Total Project Cost",IF(AQ152&lt;AR152,"Insufficient kWh savings – no incentive",IF(AND(SUM(CL152+CK152+BV152)&gt;0.01,'Data Entry'!$C$74=2,CJ152&gt;1,BO152=0),"Submit Control as Non-Standard",IF(AND('Data Entry'!$C$74=2,BR152=37,CJ152&gt;1,BO152=0),"Submit Control as Non-Standard",IF(SUM(CL152+CK152+BV152)&gt;0.01,"Standard Incentive",IF(AND('Data Entry'!$C$74=2,CP152=7,CN152=0),"Submit as Non-Standard",IF(DC152&gt;0.9,"Non-Standard Incentive",IF(AND(BY152+BZ152+CA152&gt;0.01,BV152=0,EQ152=0,ER152=0,ES152=0,ET152=0),"Scroll Right &amp; Select Control Strategies",IF(AND(CN152&gt;0.01,CO152=0),"Enter Unit Installed Cost",IF(ISNUMBER(SEARCH("Lighting Controls Only",F152)),"Lighting Controls Only",IF(CL152+DC152=0,"Does not meet incentive criteria",0)))))))))))))))</f>
        <v>0</v>
      </c>
      <c r="DE152" s="337">
        <f t="shared" si="212"/>
        <v>0</v>
      </c>
      <c r="DF152" s="609">
        <f t="shared" si="213"/>
        <v>0</v>
      </c>
      <c r="DG152" s="336" t="str">
        <f t="shared" si="214"/>
        <v/>
      </c>
      <c r="DH152" s="338">
        <f t="shared" si="215"/>
        <v>1</v>
      </c>
      <c r="DI152" s="336" t="e">
        <f t="shared" si="170"/>
        <v>#VALUE!</v>
      </c>
      <c r="DJ152" s="338">
        <f t="shared" si="171"/>
        <v>0</v>
      </c>
      <c r="DK152" s="325" t="s">
        <v>95</v>
      </c>
      <c r="DL152" s="341">
        <v>95</v>
      </c>
      <c r="DM152" s="326" t="s">
        <v>1562</v>
      </c>
      <c r="DN152" s="820">
        <v>24</v>
      </c>
      <c r="DO152" s="361"/>
      <c r="DP152" s="329"/>
      <c r="DQ152" s="331"/>
      <c r="DR152" s="357"/>
      <c r="DS152" s="1195">
        <f t="shared" si="216"/>
        <v>0</v>
      </c>
      <c r="DT152" s="344" t="b">
        <f t="shared" si="217"/>
        <v>1</v>
      </c>
      <c r="DU152" s="1314" t="str">
        <f t="array" ref="DU152">IF(OR(COUNTIF(F152,"*"&amp;$DK$9:$DK$178&amp;"*")), "Yes", "")</f>
        <v/>
      </c>
      <c r="DV152" s="1314">
        <f t="shared" si="218"/>
        <v>0</v>
      </c>
      <c r="DW152" s="1480">
        <f t="shared" si="219"/>
        <v>0</v>
      </c>
      <c r="DX152" s="1498">
        <f t="shared" si="228"/>
        <v>0</v>
      </c>
      <c r="DY152" s="1484">
        <f t="shared" si="220"/>
        <v>0</v>
      </c>
      <c r="DZ152" s="331"/>
      <c r="EA152" s="392"/>
      <c r="EB152" s="1499" t="s">
        <v>91</v>
      </c>
      <c r="EC152" s="727" t="s">
        <v>1568</v>
      </c>
      <c r="ED152" s="728">
        <v>0.5</v>
      </c>
      <c r="EE152" s="1215"/>
      <c r="EF152" s="1215"/>
      <c r="EG152" s="1184" t="str">
        <f t="shared" si="221"/>
        <v/>
      </c>
      <c r="EH152" s="55"/>
      <c r="EI152" s="55"/>
      <c r="EJ152" s="1185">
        <f t="shared" si="172"/>
        <v>0</v>
      </c>
      <c r="EK152" s="1211"/>
      <c r="EL152" s="1180">
        <f t="shared" si="173"/>
        <v>0</v>
      </c>
      <c r="EM152" s="206"/>
      <c r="EN152" s="1038"/>
      <c r="EO152" s="1038"/>
      <c r="EP152" s="1038"/>
      <c r="EQ152" s="1038">
        <f t="shared" si="222"/>
        <v>0</v>
      </c>
      <c r="ER152" s="1041">
        <f t="shared" si="223"/>
        <v>0</v>
      </c>
      <c r="ES152" s="1042">
        <f t="shared" si="224"/>
        <v>0</v>
      </c>
      <c r="ET152" s="1042">
        <f t="shared" si="229"/>
        <v>0</v>
      </c>
      <c r="EU152" s="1021">
        <f t="shared" si="230"/>
        <v>0</v>
      </c>
      <c r="EV152" s="368"/>
      <c r="EW152" s="368"/>
      <c r="EX152" s="369"/>
      <c r="EY152" s="370"/>
      <c r="EZ152" s="370"/>
      <c r="FA152" s="371"/>
      <c r="FB152" s="372"/>
    </row>
    <row r="153" spans="1:158" ht="34.5" customHeight="1">
      <c r="A153" s="82">
        <v>145</v>
      </c>
      <c r="B153" s="1725"/>
      <c r="C153" s="1726"/>
      <c r="D153" s="1726"/>
      <c r="E153" s="1727"/>
      <c r="F153" s="1732"/>
      <c r="G153" s="1733"/>
      <c r="H153" s="1733"/>
      <c r="I153" s="1734"/>
      <c r="J153" s="1341"/>
      <c r="K153" s="1728"/>
      <c r="L153" s="1728"/>
      <c r="M153" s="1342"/>
      <c r="N153" s="1583"/>
      <c r="O153" s="208" t="str">
        <f t="shared" si="160"/>
        <v/>
      </c>
      <c r="P153" s="785"/>
      <c r="Q153" s="39" t="str">
        <f t="shared" si="161"/>
        <v/>
      </c>
      <c r="R153" s="39">
        <f t="shared" si="174"/>
        <v>0</v>
      </c>
      <c r="S153" s="234">
        <f t="shared" si="175"/>
        <v>0</v>
      </c>
      <c r="T153" s="1755"/>
      <c r="U153" s="1755"/>
      <c r="V153" s="1755"/>
      <c r="W153" s="1345"/>
      <c r="X153" s="1741"/>
      <c r="Y153" s="1742"/>
      <c r="Z153" s="1346"/>
      <c r="AA153" s="1343"/>
      <c r="AB153" s="1141"/>
      <c r="AC153" s="1103" t="str">
        <f>IF(T153="","",VLOOKUP(Z153,Lists!$A$60:$B$111,2,FALSE))</f>
        <v/>
      </c>
      <c r="AD153" s="130" t="str">
        <f t="shared" si="176"/>
        <v/>
      </c>
      <c r="AE153" s="130" t="e">
        <f t="shared" si="177"/>
        <v>#VALUE!</v>
      </c>
      <c r="AF153" s="130">
        <f t="shared" si="178"/>
        <v>1</v>
      </c>
      <c r="AG153" s="234">
        <f t="shared" si="162"/>
        <v>0</v>
      </c>
      <c r="AH153" s="1753" t="str">
        <f>IF(T153="","",(IF(ISNUMBER(SEARCH("exit",T153)),8760,IF(AND(M153="Dusk to Dawn",'Proposed Lighting'!AU153=3),4059,IF(AND(AU153=3,M153="1"),0,IF(AND(AU153=3,M153="1-C"),0,IF(AND(AU153=3,M153="2"),0,IF(AND(AU153=3,M153="2-C"),0,IF(AND(AU153=3,M153="3"),0,IF(AND(AU153=3,M153="3-C"),0,IF(AND(AU153=2,M153="Dusk to Dawn"),0,IF(AND(AU153=2,M153="Dusk to Dawn-C"),0,IF(AND(AU153=2,M153="Dusk to Dawn"),0,IF(AND(AU153=2,M153="E"),0,IF(AND(AU153=2,M153="E-C"),0,EG153)))))))))))))))</f>
        <v/>
      </c>
      <c r="AI153" s="1754"/>
      <c r="AJ153" s="1136"/>
      <c r="AK153" s="1136"/>
      <c r="AL153" s="1748">
        <f t="shared" si="179"/>
        <v>0</v>
      </c>
      <c r="AM153" s="1749"/>
      <c r="AN153" s="1750"/>
      <c r="AO153" s="476">
        <f t="shared" si="163"/>
        <v>0</v>
      </c>
      <c r="AP153" s="476">
        <f t="shared" si="180"/>
        <v>0</v>
      </c>
      <c r="AQ153" s="475">
        <f t="shared" si="164"/>
        <v>0</v>
      </c>
      <c r="AR153" s="475">
        <f t="shared" si="181"/>
        <v>0</v>
      </c>
      <c r="AS153" s="743" t="str">
        <f t="shared" si="156"/>
        <v/>
      </c>
      <c r="AT153" s="736" t="str">
        <f t="shared" si="182"/>
        <v/>
      </c>
      <c r="AU153" s="56">
        <f t="shared" si="183"/>
        <v>1</v>
      </c>
      <c r="AV153" s="476">
        <f t="shared" si="184"/>
        <v>0</v>
      </c>
      <c r="AW153" s="56">
        <f t="shared" si="185"/>
        <v>0</v>
      </c>
      <c r="AX153" s="475">
        <f t="shared" si="165"/>
        <v>0</v>
      </c>
      <c r="AY153" s="1169">
        <f t="shared" si="186"/>
        <v>0</v>
      </c>
      <c r="AZ153" s="1150">
        <f t="shared" si="225"/>
        <v>0</v>
      </c>
      <c r="BA153" s="56">
        <f t="shared" si="166"/>
        <v>0</v>
      </c>
      <c r="BB153" s="420">
        <f t="shared" si="167"/>
        <v>0</v>
      </c>
      <c r="BC153" s="58" t="str">
        <f t="shared" si="168"/>
        <v/>
      </c>
      <c r="BD153" s="660">
        <f t="shared" si="226"/>
        <v>0</v>
      </c>
      <c r="BE153" s="57" t="e">
        <f t="array" ref="BE153">INDEX($EB$11:$ED$1022,MATCH(F153&amp;T153,$EB$11:$EB$1007&amp;$EC$11:$EC$1007,0),3)</f>
        <v>#N/A</v>
      </c>
      <c r="BF153" s="463">
        <f t="shared" si="157"/>
        <v>0</v>
      </c>
      <c r="BG153" s="1445" t="e">
        <f t="array" ref="BG153">INDEX($DO$112:$DQ$123,MATCH(T153&amp;W153,$DO$114:$DO$125&amp;$DP$112:$DP$123,0),3)</f>
        <v>#N/A</v>
      </c>
      <c r="BH153" s="1446">
        <f t="shared" si="187"/>
        <v>0</v>
      </c>
      <c r="BI153" s="465">
        <f t="shared" si="188"/>
        <v>0</v>
      </c>
      <c r="BJ153" s="465">
        <f t="shared" si="189"/>
        <v>0</v>
      </c>
      <c r="BK153" s="466">
        <f t="shared" si="158"/>
        <v>0</v>
      </c>
      <c r="BL153" s="466">
        <f t="shared" si="159"/>
        <v>0</v>
      </c>
      <c r="BM153" s="466">
        <f t="shared" si="190"/>
        <v>0</v>
      </c>
      <c r="BN153" s="466">
        <f t="shared" si="191"/>
        <v>0</v>
      </c>
      <c r="BO153" s="463">
        <f>IF('Data Entry'!$C$74=0,0,IF(ISNA(CJ153),0,IF(AX153=0,0,IF(AND('Data Entry'!$C$74=2,AF153&gt;2,CE153&lt;1),0,IF(AND('Data Entry'!$C$74=2,AF153&gt;1,AU153=2,CJ153&gt;1),0,IF(AND(AF153=5,CT153=0.5,AU153=2,ER153&lt;100),0,IF(AND(AF153=5,CT153=0.5,AU153=3,ER153&lt;100),0,IF(AND('Data Entry'!$C$74=2,AF153=2,AU153=2,AK153&gt;0.01,CB153=2,CE153&lt;1),0,IF(AND('Data Entry'!$C$74=2,AF153=3,AU153=3,AK153&gt;0.01,CB153=3,CE153&lt;1),0,IF(AND('Data Entry'!$C$74=2,AF153=3,AU153=3,AK153&gt;0.01,CB153=3,CE153&gt;0.99),BQ153*0.08,IF(AND('Data Entry'!$C$74=2,AF153=2,AU153=2,AK153&gt;0.01,CB153=2,CE153&gt;0.99),BQ153*0.1,IF(AND(AU153=2,AK153&gt;0.01,CB153=2,CD153&gt;1),BQ153*0.1,IF(AND(AU153=3,AK153&gt;0.01,CB153=3,CD153&gt;1),BQ153*0.08,CJ153*EF153)))))))))))))</f>
        <v>0</v>
      </c>
      <c r="BP153" s="475">
        <f t="shared" si="192"/>
        <v>0</v>
      </c>
      <c r="BQ153" s="1431">
        <f>IF(AU153=1,0,IF(CH153=100,0,IF(AND(AF153=3,AU153=2),0,IF(AND(BH153=0,CT153&gt;0.4),0,IF(AND('Data Entry'!$C$74=2,AF153=1.5),0,IF(AND('Data Entry'!$C$74=2,AF153=1.6),0,IF(AND('Data Entry'!$C$74=2,AF153=4),0,IF(AND('Data Entry'!$C$74=2,AF153=5),0,IF(AND('Data Entry'!$C$74=2,AF153=2.5,CE153&lt;1),0,IF(AND('Data Entry'!$C$74=2,AF153=3,CE153&lt;1),0,IF(AND('Data Entry'!$C$74=1,AF153=2.5,CD153&lt;1),0,IF(AND('Data Entry'!$C$74=1,AF153=3,CD153&lt;1),0,IF(DX153&gt;0.01,DX153,IF(ISERROR(AX153-AY153),"",ROUND(AX153-AY153,2)))))))))))))))</f>
        <v>0</v>
      </c>
      <c r="BR153" s="146">
        <f t="shared" si="193"/>
        <v>0</v>
      </c>
      <c r="BS153" s="475">
        <f t="shared" si="194"/>
        <v>0</v>
      </c>
      <c r="BT153" s="146" t="b">
        <f t="shared" si="195"/>
        <v>0</v>
      </c>
      <c r="BU153" s="463">
        <f>IF(ISNA(AT153),0,IF(AND('Data Entry'!$C$74=2,BC153=27),0,IF(AND('Data Entry'!$C$74=2,BC153=28),0,IF(AND(BC153=27,BT153=27,CM153&gt;0.1),CM153*0.15,IF(AND(BC153=28,BT153=28,CM153&gt;0.1),CM153*0.12,0)))))</f>
        <v>0</v>
      </c>
      <c r="BV153" s="463">
        <f t="shared" ref="BV153:BV216" si="232">IF($X$4=0,0,IF(AND(CM153&lt;0.01,BQ153&lt;0.01),0,IF(ISNA(AT153),0,IF(BR153=3,0,IF(AND(BY153+BZ153+CA153&gt;0.01,EQ153+ER153+ES153+ET153&lt;100),0,IF(AA153&lt;1,0,IF(CB153=1,SUM(BI153+BJ153+BO153+BU153+BW153+BX153+BY153+BZ153+CA153+CK153),SUM(BI153+BJ153+BU153+BW153+BX153+BY153+BZ153+CA153+CK153))))))))</f>
        <v>0</v>
      </c>
      <c r="BW153" s="463">
        <f t="shared" si="196"/>
        <v>0</v>
      </c>
      <c r="BX153" s="463">
        <f t="shared" si="197"/>
        <v>0</v>
      </c>
      <c r="BY153" s="463">
        <f t="shared" si="198"/>
        <v>0</v>
      </c>
      <c r="BZ153" s="463">
        <f t="shared" si="199"/>
        <v>0</v>
      </c>
      <c r="CA153" s="57">
        <f t="shared" si="227"/>
        <v>0</v>
      </c>
      <c r="CB153" s="56">
        <f t="shared" si="200"/>
        <v>1</v>
      </c>
      <c r="CC153" s="756">
        <f>IF(EE153=0,0,IF(EF153=0,0,IF(EE153&gt;AA153,0,IF(AND(AZ153&gt;AW153,AW153&gt;0),0,IF(CU153=0,0,Summary!AC456)))))</f>
        <v>0</v>
      </c>
      <c r="CD153" s="756">
        <f>IF(EE153=0,0,IF(EF153=0,0,IF(EE153&gt;AA153,0,IF(AND(AZ153&gt;AW153,AW153&gt;0),0,IF(CU153=0,0,Summary!AD456)))))</f>
        <v>0</v>
      </c>
      <c r="CE153" s="756">
        <f>IF(EF153=0,0,IF(EE153&gt;AA153,0,IF(CC153=0,0,IF(AND(AZ153&gt;AW153,AW153&gt;0),0,IF(CU153=0,0,Summary!AE456)))))</f>
        <v>0</v>
      </c>
      <c r="CF153" s="475">
        <f t="shared" si="201"/>
        <v>0</v>
      </c>
      <c r="CG153" s="476">
        <f t="shared" si="169"/>
        <v>0</v>
      </c>
      <c r="CH153" s="487">
        <f t="shared" si="202"/>
        <v>0</v>
      </c>
      <c r="CI153" s="756">
        <f t="shared" si="203"/>
        <v>0</v>
      </c>
      <c r="CJ153" s="487">
        <f>IF(CT153&gt;0.4,0,IF(AND(AU153=2,CH153=0,CT153=0.5,ER153=100),35,IF(AND(AU153=3,BB153&gt;75,CH153=0,CT153=0.5,ER153=100),25,IF(CB153&gt;1,0,IF(EF153&gt;EE153,0,IF(AND(AF153&gt;1,CH153=100),0,IF(AND(AF153=1,AY153=0),0,IF(AND(EF153&lt;=EE153,AW153&gt;=AZ153,'Data Entry'!$C$74=1,AU153=2),VLOOKUP(W153,$DO$96:$DP$102,2,FALSE),IF(AND(EF153&lt;=EE153,AW153&gt;=AZ153,AU153=3,'Data Entry'!$C$74=1),VLOOKUP(W153,$DO$127:$DP$134,2,FALSE))))))))))</f>
        <v>0</v>
      </c>
      <c r="CK153" s="716">
        <f t="shared" si="204"/>
        <v>0</v>
      </c>
      <c r="CL153" s="57">
        <f t="shared" si="205"/>
        <v>0</v>
      </c>
      <c r="CM153" s="475">
        <f t="shared" si="231"/>
        <v>0</v>
      </c>
      <c r="CN153" s="660">
        <f>IF(CM153&lt;0.1,0,IF(ISNA(AT153),0,IF(CL153+BC153=1,0,IF(BV153&gt;0.01,0,IF(CL153&gt;0.01,0,IF(CF153=1,0,IF(BC153=0.5,0,IF(AND(CI153=1,AU153=3),0,IF(AND(CI153=5,CL153=0),0,IF(AND(R153=12,BR153=50),0,IF(CK153&gt;0.01,0,IF(AND(AJ153&gt;0.01,AU153=2,BC153=15),CM153*0.1,IF(AND(AJ153&gt;0.01,AU153=3,BC153=15),CM153*0.08,IF(AND(R153=12,BC153=3,AF153&lt;=0),0,IF(AND(BC153=15,BI153=0),0,IF(AND(BC153=15,BJ153=0),0,IF(AND(R153=20,CU153=0),0,IF($X$4=0,0,IF(AND(BC153=250,CL153=0),0,IF(AA153&lt;1,0,IF(AND(ISNUMBER(SEARCH("Area",T153)),AU153=3),0,IF(AND(AQ153&gt;0.01,AR153=0,BK153=0,BL153=0,BM153=0,BN153=0),0,IF(AND(AU153=3,CI153=7,CT153&gt;0.5),0,IF(AND(BC153=44,AU153=3,BY153=0),0,IF(AND(BC153=27,'Data Entry'!$C$74=2),0,IF(AND(BC153=28,'Data Entry'!$C$74=2),0,IF(AND(BY153+BZ153+CA153&gt;0.01,BV153=0,EQ153+ER153+ES153+ET153&lt;100),0,IF(AU153=3,CM153*0.08,IF(AU153=2,CM153*0.1,0)))))))))))))))))))))))))))))</f>
        <v>0</v>
      </c>
      <c r="CO153" s="660">
        <f t="shared" si="206"/>
        <v>0</v>
      </c>
      <c r="CP153" s="475" t="str">
        <f t="shared" si="207"/>
        <v/>
      </c>
      <c r="CQ153" s="161" t="str">
        <f>IF(AH153=0,0,IF(AU153=5,0,Summary!AC156))</f>
        <v/>
      </c>
      <c r="CR153" s="161" t="str">
        <f>IF(BF153=0.5,0,IF(AU153=5,0,Summary!AD156))</f>
        <v/>
      </c>
      <c r="CS153" s="161" t="str">
        <f>IF(AU153=5,0,Summary!AE156)</f>
        <v/>
      </c>
      <c r="CT153" s="161">
        <f t="shared" si="208"/>
        <v>0</v>
      </c>
      <c r="CU153" s="475" t="str">
        <f t="shared" si="209"/>
        <v/>
      </c>
      <c r="CV153" s="307">
        <f>IF('Data Entry'!$C$74=0,0,IF(AA153&lt;1,0,IF(ISERROR(CU153),0,IF(CF153=1,0,IF(AND(R153=12,BR153=50),0,IF(CL153+BO153+BV153+DC153=0,0,IF(BC153=37,0,IF(AND(BC153=40,AJ153=0),0,IF(AND(BC153=37,BO153&gt;0.01,BQ153&gt;0.01),ROUND(BQ153,0),IF(CM153&lt;0,0,ROUND(CM153,0)))))))))))</f>
        <v>0</v>
      </c>
      <c r="CW153" s="700">
        <f t="shared" si="210"/>
        <v>0</v>
      </c>
      <c r="CX153" s="477">
        <f>IF('Data Entry'!$C$74=0,0,IF(CV153&lt;0.01,0,IF(BF153=0.5,0,IF(CF153=1,0,IF(ISNUMBER(SEARCH("false",CL153)),0,IF(AZ153=500,0,CL153))))))</f>
        <v>0</v>
      </c>
      <c r="CY153" s="147" t="e">
        <f t="shared" si="211"/>
        <v>#VALUE!</v>
      </c>
      <c r="CZ153" s="147" t="b">
        <f>IF(CN153+CL153=0,FALSE,IF(AH153=0,0,IF(AND('Data Entry'!$C$74=1,CR153&gt;=1),TRUE,IF(AND('Data Entry'!$C$74=2,CS153&gt;=1),TRUE,FALSE))))</f>
        <v>0</v>
      </c>
      <c r="DA153" s="1751">
        <f>IF('Data Entry'!$C$74=0,0,IFERROR(ROUND(IF(T153="","",IF($X$4=0,0,IF(CF153=1,0,IF(BQ153+CV153=0,0,IF(CF153=1,0,IF(CY153&gt;0.01,CY153,IF(CL153&gt;0.01,CL153,IF(CY153&gt;0.01,CY153,IF(BC153=37,BO153,IF(CZ153=FALSE,0,IF(CZ153=TRUE,DC153+DF153,0))))))))))),2),""))</f>
        <v>0</v>
      </c>
      <c r="DB153" s="1752"/>
      <c r="DC153" s="474">
        <f>IF(CN153&lt;0.01,0,IF(AND(BR153=3,CN153&gt;0.01,CT153&gt;0.6,ER153+ES153+ET153&lt;100),0,IF(AND('Data Entry'!$C$74=1,CN153&gt;0.01,CR153&gt;0.99),MIN(CN153:CO153),IF(AND('Data Entry'!$C$74=2,CN153&gt;0.01,CS153&gt;0.99),MIN(CN153:CO153),0))))</f>
        <v>0</v>
      </c>
      <c r="DD153" s="478">
        <f>IF(CF153=1,"Selection does not match",IF(T153=0,0,IF(AND('Data Entry'!$C$74=0,CP153&gt;1),"Select Oregon or Idaho on Data Entry Tab",IF(AND(AU153=1,AA153&gt;0.9),"Missing Interior or Exterior Selection",IF($X$4=0,"Enter Total Project Cost",IF(AQ153&lt;AR153,"Insufficient kWh savings – no incentive",IF(AND(SUM(CL153+CK153+BV153)&gt;0.01,'Data Entry'!$C$74=2,CJ153&gt;1,BO153=0),"Submit Control as Non-Standard",IF(AND('Data Entry'!$C$74=2,BR153=37,CJ153&gt;1,BO153=0),"Submit Control as Non-Standard",IF(SUM(CL153+CK153+BV153)&gt;0.01,"Standard Incentive",IF(AND('Data Entry'!$C$74=2,CP153=7,CN153=0),"Submit as Non-Standard",IF(DC153&gt;0.9,"Non-Standard Incentive",IF(AND(BY153+BZ153+CA153&gt;0.01,BV153=0,EQ153=0,ER153=0,ES153=0,ET153=0),"Scroll Right &amp; Select Control Strategies",IF(AND(CN153&gt;0.01,CO153=0),"Enter Unit Installed Cost",IF(ISNUMBER(SEARCH("Lighting Controls Only",F153)),"Lighting Controls Only",IF(CL153+DC153=0,"Does not meet incentive criteria",0)))))))))))))))</f>
        <v>0</v>
      </c>
      <c r="DE153" s="337">
        <f t="shared" si="212"/>
        <v>0</v>
      </c>
      <c r="DF153" s="609">
        <f t="shared" si="213"/>
        <v>0</v>
      </c>
      <c r="DG153" s="336" t="str">
        <f t="shared" si="214"/>
        <v/>
      </c>
      <c r="DH153" s="338">
        <f t="shared" si="215"/>
        <v>1</v>
      </c>
      <c r="DI153" s="336" t="e">
        <f t="shared" si="170"/>
        <v>#VALUE!</v>
      </c>
      <c r="DJ153" s="338">
        <f t="shared" si="171"/>
        <v>0</v>
      </c>
      <c r="DK153" s="325" t="s">
        <v>96</v>
      </c>
      <c r="DL153" s="341">
        <v>128</v>
      </c>
      <c r="DM153" s="373" t="s">
        <v>1616</v>
      </c>
      <c r="DN153" s="820">
        <v>32</v>
      </c>
      <c r="DO153" s="361"/>
      <c r="DP153" s="329"/>
      <c r="DQ153" s="331"/>
      <c r="DR153" s="357"/>
      <c r="DS153" s="1195">
        <f t="shared" si="216"/>
        <v>0</v>
      </c>
      <c r="DT153" s="344" t="b">
        <f t="shared" si="217"/>
        <v>1</v>
      </c>
      <c r="DU153" s="1314" t="str">
        <f t="array" ref="DU153">IF(OR(COUNTIF(F153,"*"&amp;$DK$9:$DK$178&amp;"*")), "Yes", "")</f>
        <v/>
      </c>
      <c r="DV153" s="1314">
        <f t="shared" si="218"/>
        <v>0</v>
      </c>
      <c r="DW153" s="1480">
        <f t="shared" si="219"/>
        <v>0</v>
      </c>
      <c r="DX153" s="1498">
        <f t="shared" si="228"/>
        <v>0</v>
      </c>
      <c r="DY153" s="1484">
        <f t="shared" si="220"/>
        <v>0</v>
      </c>
      <c r="DZ153" s="331"/>
      <c r="EA153" s="392"/>
      <c r="EB153" s="1499" t="s">
        <v>92</v>
      </c>
      <c r="EC153" s="727" t="s">
        <v>1568</v>
      </c>
      <c r="ED153" s="728">
        <v>0.5</v>
      </c>
      <c r="EE153" s="1215"/>
      <c r="EF153" s="1215"/>
      <c r="EG153" s="1184" t="str">
        <f t="shared" si="221"/>
        <v/>
      </c>
      <c r="EH153" s="55"/>
      <c r="EI153" s="55"/>
      <c r="EJ153" s="1185">
        <f t="shared" si="172"/>
        <v>0</v>
      </c>
      <c r="EK153" s="1211"/>
      <c r="EL153" s="1180">
        <f t="shared" si="173"/>
        <v>0</v>
      </c>
      <c r="EM153" s="206"/>
      <c r="EN153" s="1038"/>
      <c r="EO153" s="1038"/>
      <c r="EP153" s="1038"/>
      <c r="EQ153" s="1038">
        <f t="shared" si="222"/>
        <v>0</v>
      </c>
      <c r="ER153" s="1041">
        <f t="shared" si="223"/>
        <v>0</v>
      </c>
      <c r="ES153" s="1042">
        <f t="shared" si="224"/>
        <v>0</v>
      </c>
      <c r="ET153" s="1042">
        <f t="shared" si="229"/>
        <v>0</v>
      </c>
      <c r="EU153" s="1021">
        <f t="shared" si="230"/>
        <v>0</v>
      </c>
      <c r="EV153" s="368"/>
      <c r="EW153" s="368"/>
      <c r="EX153" s="369"/>
      <c r="EY153" s="370"/>
      <c r="EZ153" s="370"/>
      <c r="FA153" s="371"/>
      <c r="FB153" s="372"/>
    </row>
    <row r="154" spans="1:158" ht="34.5" customHeight="1">
      <c r="A154" s="82">
        <v>146</v>
      </c>
      <c r="B154" s="1725"/>
      <c r="C154" s="1726"/>
      <c r="D154" s="1726"/>
      <c r="E154" s="1727"/>
      <c r="F154" s="1732"/>
      <c r="G154" s="1733"/>
      <c r="H154" s="1733"/>
      <c r="I154" s="1734"/>
      <c r="J154" s="1341"/>
      <c r="K154" s="1728"/>
      <c r="L154" s="1728"/>
      <c r="M154" s="1342"/>
      <c r="N154" s="1583"/>
      <c r="O154" s="208" t="str">
        <f t="shared" si="160"/>
        <v/>
      </c>
      <c r="P154" s="785"/>
      <c r="Q154" s="39" t="str">
        <f t="shared" si="161"/>
        <v/>
      </c>
      <c r="R154" s="39">
        <f t="shared" si="174"/>
        <v>0</v>
      </c>
      <c r="S154" s="234">
        <f t="shared" si="175"/>
        <v>0</v>
      </c>
      <c r="T154" s="1755"/>
      <c r="U154" s="1755"/>
      <c r="V154" s="1755"/>
      <c r="W154" s="1345"/>
      <c r="X154" s="1741"/>
      <c r="Y154" s="1742"/>
      <c r="Z154" s="1346"/>
      <c r="AA154" s="1343"/>
      <c r="AB154" s="1141"/>
      <c r="AC154" s="1103" t="str">
        <f>IF(T154="","",VLOOKUP(Z154,Lists!$A$60:$B$111,2,FALSE))</f>
        <v/>
      </c>
      <c r="AD154" s="130" t="str">
        <f t="shared" si="176"/>
        <v/>
      </c>
      <c r="AE154" s="130" t="e">
        <f t="shared" si="177"/>
        <v>#VALUE!</v>
      </c>
      <c r="AF154" s="130">
        <f t="shared" si="178"/>
        <v>1</v>
      </c>
      <c r="AG154" s="234">
        <f t="shared" si="162"/>
        <v>0</v>
      </c>
      <c r="AH154" s="1753" t="str">
        <f>IF(T154="","",(IF(ISNUMBER(SEARCH("exit",T154)),8760,IF(AND(M154="Dusk to Dawn",'Proposed Lighting'!AU154=3),4059,IF(AND(AU154=3,M154="1"),0,IF(AND(AU154=3,M154="1-C"),0,IF(AND(AU154=3,M154="2"),0,IF(AND(AU154=3,M154="2-C"),0,IF(AND(AU154=3,M154="3"),0,IF(AND(AU154=3,M154="3-C"),0,IF(AND(AU154=2,M154="Dusk to Dawn"),0,IF(AND(AU154=2,M154="Dusk to Dawn-C"),0,IF(AND(AU154=2,M154="Dusk to Dawn"),0,IF(AND(AU154=2,M154="E"),0,IF(AND(AU154=2,M154="E-C"),0,EG154)))))))))))))))</f>
        <v/>
      </c>
      <c r="AI154" s="1754"/>
      <c r="AJ154" s="1136"/>
      <c r="AK154" s="1136"/>
      <c r="AL154" s="1748">
        <f t="shared" si="179"/>
        <v>0</v>
      </c>
      <c r="AM154" s="1749"/>
      <c r="AN154" s="1750"/>
      <c r="AO154" s="476">
        <f t="shared" si="163"/>
        <v>0</v>
      </c>
      <c r="AP154" s="476">
        <f t="shared" si="180"/>
        <v>0</v>
      </c>
      <c r="AQ154" s="475">
        <f t="shared" si="164"/>
        <v>0</v>
      </c>
      <c r="AR154" s="475">
        <f t="shared" si="181"/>
        <v>0</v>
      </c>
      <c r="AS154" s="743" t="str">
        <f t="shared" si="156"/>
        <v/>
      </c>
      <c r="AT154" s="736" t="str">
        <f t="shared" si="182"/>
        <v/>
      </c>
      <c r="AU154" s="56">
        <f t="shared" si="183"/>
        <v>1</v>
      </c>
      <c r="AV154" s="476">
        <f t="shared" si="184"/>
        <v>0</v>
      </c>
      <c r="AW154" s="56">
        <f t="shared" si="185"/>
        <v>0</v>
      </c>
      <c r="AX154" s="475">
        <f t="shared" si="165"/>
        <v>0</v>
      </c>
      <c r="AY154" s="1169">
        <f t="shared" si="186"/>
        <v>0</v>
      </c>
      <c r="AZ154" s="1150">
        <f t="shared" si="225"/>
        <v>0</v>
      </c>
      <c r="BA154" s="56">
        <f t="shared" si="166"/>
        <v>0</v>
      </c>
      <c r="BB154" s="420">
        <f t="shared" si="167"/>
        <v>0</v>
      </c>
      <c r="BC154" s="58" t="str">
        <f t="shared" si="168"/>
        <v/>
      </c>
      <c r="BD154" s="660">
        <f t="shared" si="226"/>
        <v>0</v>
      </c>
      <c r="BE154" s="57" t="e">
        <f t="array" ref="BE154">INDEX($EB$11:$ED$1022,MATCH(F154&amp;T154,$EB$11:$EB$1007&amp;$EC$11:$EC$1007,0),3)</f>
        <v>#N/A</v>
      </c>
      <c r="BF154" s="463">
        <f t="shared" si="157"/>
        <v>0</v>
      </c>
      <c r="BG154" s="1445" t="e">
        <f t="array" ref="BG154">INDEX($DO$112:$DQ$123,MATCH(T154&amp;W154,$DO$114:$DO$125&amp;$DP$112:$DP$123,0),3)</f>
        <v>#N/A</v>
      </c>
      <c r="BH154" s="1446">
        <f t="shared" si="187"/>
        <v>0</v>
      </c>
      <c r="BI154" s="465">
        <f t="shared" si="188"/>
        <v>0</v>
      </c>
      <c r="BJ154" s="465">
        <f t="shared" si="189"/>
        <v>0</v>
      </c>
      <c r="BK154" s="466">
        <f t="shared" si="158"/>
        <v>0</v>
      </c>
      <c r="BL154" s="466">
        <f t="shared" si="159"/>
        <v>0</v>
      </c>
      <c r="BM154" s="466">
        <f t="shared" si="190"/>
        <v>0</v>
      </c>
      <c r="BN154" s="466">
        <f t="shared" si="191"/>
        <v>0</v>
      </c>
      <c r="BO154" s="463">
        <f>IF('Data Entry'!$C$74=0,0,IF(ISNA(CJ154),0,IF(AX154=0,0,IF(AND('Data Entry'!$C$74=2,AF154&gt;2,CE154&lt;1),0,IF(AND('Data Entry'!$C$74=2,AF154&gt;1,AU154=2,CJ154&gt;1),0,IF(AND(AF154=5,CT154=0.5,AU154=2,ER154&lt;100),0,IF(AND(AF154=5,CT154=0.5,AU154=3,ER154&lt;100),0,IF(AND('Data Entry'!$C$74=2,AF154=2,AU154=2,AK154&gt;0.01,CB154=2,CE154&lt;1),0,IF(AND('Data Entry'!$C$74=2,AF154=3,AU154=3,AK154&gt;0.01,CB154=3,CE154&lt;1),0,IF(AND('Data Entry'!$C$74=2,AF154=3,AU154=3,AK154&gt;0.01,CB154=3,CE154&gt;0.99),BQ154*0.08,IF(AND('Data Entry'!$C$74=2,AF154=2,AU154=2,AK154&gt;0.01,CB154=2,CE154&gt;0.99),BQ154*0.1,IF(AND(AU154=2,AK154&gt;0.01,CB154=2,CD154&gt;1),BQ154*0.1,IF(AND(AU154=3,AK154&gt;0.01,CB154=3,CD154&gt;1),BQ154*0.08,CJ154*EF154)))))))))))))</f>
        <v>0</v>
      </c>
      <c r="BP154" s="475">
        <f t="shared" si="192"/>
        <v>0</v>
      </c>
      <c r="BQ154" s="1431">
        <f>IF(AU154=1,0,IF(CH154=100,0,IF(AND(AF154=3,AU154=2),0,IF(AND(BH154=0,CT154&gt;0.4),0,IF(AND('Data Entry'!$C$74=2,AF154=1.5),0,IF(AND('Data Entry'!$C$74=2,AF154=1.6),0,IF(AND('Data Entry'!$C$74=2,AF154=4),0,IF(AND('Data Entry'!$C$74=2,AF154=5),0,IF(AND('Data Entry'!$C$74=2,AF154=2.5,CE154&lt;1),0,IF(AND('Data Entry'!$C$74=2,AF154=3,CE154&lt;1),0,IF(AND('Data Entry'!$C$74=1,AF154=2.5,CD154&lt;1),0,IF(AND('Data Entry'!$C$74=1,AF154=3,CD154&lt;1),0,IF(DX154&gt;0.01,DX154,IF(ISERROR(AX154-AY154),"",ROUND(AX154-AY154,2)))))))))))))))</f>
        <v>0</v>
      </c>
      <c r="BR154" s="146">
        <f t="shared" si="193"/>
        <v>0</v>
      </c>
      <c r="BS154" s="475">
        <f t="shared" si="194"/>
        <v>0</v>
      </c>
      <c r="BT154" s="146" t="b">
        <f t="shared" si="195"/>
        <v>0</v>
      </c>
      <c r="BU154" s="463">
        <f>IF(ISNA(AT154),0,IF(AND('Data Entry'!$C$74=2,BC154=27),0,IF(AND('Data Entry'!$C$74=2,BC154=28),0,IF(AND(BC154=27,BT154=27,CM154&gt;0.1),CM154*0.15,IF(AND(BC154=28,BT154=28,CM154&gt;0.1),CM154*0.12,0)))))</f>
        <v>0</v>
      </c>
      <c r="BV154" s="463">
        <f t="shared" si="232"/>
        <v>0</v>
      </c>
      <c r="BW154" s="463">
        <f t="shared" si="196"/>
        <v>0</v>
      </c>
      <c r="BX154" s="463">
        <f t="shared" si="197"/>
        <v>0</v>
      </c>
      <c r="BY154" s="463">
        <f t="shared" si="198"/>
        <v>0</v>
      </c>
      <c r="BZ154" s="463">
        <f t="shared" si="199"/>
        <v>0</v>
      </c>
      <c r="CA154" s="57">
        <f t="shared" si="227"/>
        <v>0</v>
      </c>
      <c r="CB154" s="56">
        <f t="shared" si="200"/>
        <v>1</v>
      </c>
      <c r="CC154" s="756">
        <f>IF(EE154=0,0,IF(EF154=0,0,IF(EE154&gt;AA154,0,IF(AND(AZ154&gt;AW154,AW154&gt;0),0,IF(CU154=0,0,Summary!AC457)))))</f>
        <v>0</v>
      </c>
      <c r="CD154" s="756">
        <f>IF(EE154=0,0,IF(EF154=0,0,IF(EE154&gt;AA154,0,IF(AND(AZ154&gt;AW154,AW154&gt;0),0,IF(CU154=0,0,Summary!AD457)))))</f>
        <v>0</v>
      </c>
      <c r="CE154" s="756">
        <f>IF(EF154=0,0,IF(EE154&gt;AA154,0,IF(CC154=0,0,IF(AND(AZ154&gt;AW154,AW154&gt;0),0,IF(CU154=0,0,Summary!AE457)))))</f>
        <v>0</v>
      </c>
      <c r="CF154" s="475">
        <f t="shared" si="201"/>
        <v>0</v>
      </c>
      <c r="CG154" s="476">
        <f t="shared" si="169"/>
        <v>0</v>
      </c>
      <c r="CH154" s="487">
        <f t="shared" si="202"/>
        <v>0</v>
      </c>
      <c r="CI154" s="756">
        <f t="shared" si="203"/>
        <v>0</v>
      </c>
      <c r="CJ154" s="487">
        <f>IF(CT154&gt;0.4,0,IF(AND(AU154=2,CH154=0,CT154=0.5,ER154=100),35,IF(AND(AU154=3,BB154&gt;75,CH154=0,CT154=0.5,ER154=100),25,IF(CB154&gt;1,0,IF(EF154&gt;EE154,0,IF(AND(AF154&gt;1,CH154=100),0,IF(AND(AF154=1,AY154=0),0,IF(AND(EF154&lt;=EE154,AW154&gt;=AZ154,'Data Entry'!$C$74=1,AU154=2),VLOOKUP(W154,$DO$96:$DP$102,2,FALSE),IF(AND(EF154&lt;=EE154,AW154&gt;=AZ154,AU154=3,'Data Entry'!$C$74=1),VLOOKUP(W154,$DO$127:$DP$134,2,FALSE))))))))))</f>
        <v>0</v>
      </c>
      <c r="CK154" s="716">
        <f t="shared" si="204"/>
        <v>0</v>
      </c>
      <c r="CL154" s="57">
        <f t="shared" si="205"/>
        <v>0</v>
      </c>
      <c r="CM154" s="475">
        <f t="shared" si="231"/>
        <v>0</v>
      </c>
      <c r="CN154" s="660">
        <f>IF(CM154&lt;0.1,0,IF(ISNA(AT154),0,IF(CL154+BC154=1,0,IF(BV154&gt;0.01,0,IF(CL154&gt;0.01,0,IF(CF154=1,0,IF(BC154=0.5,0,IF(AND(CI154=1,AU154=3),0,IF(AND(CI154=5,CL154=0),0,IF(AND(R154=12,BR154=50),0,IF(CK154&gt;0.01,0,IF(AND(AJ154&gt;0.01,AU154=2,BC154=15),CM154*0.1,IF(AND(AJ154&gt;0.01,AU154=3,BC154=15),CM154*0.08,IF(AND(R154=12,BC154=3,AF154&lt;=0),0,IF(AND(BC154=15,BI154=0),0,IF(AND(BC154=15,BJ154=0),0,IF(AND(R154=20,CU154=0),0,IF($X$4=0,0,IF(AND(BC154=250,CL154=0),0,IF(AA154&lt;1,0,IF(AND(ISNUMBER(SEARCH("Area",T154)),AU154=3),0,IF(AND(AQ154&gt;0.01,AR154=0,BK154=0,BL154=0,BM154=0,BN154=0),0,IF(AND(AU154=3,CI154=7,CT154&gt;0.5),0,IF(AND(BC154=44,AU154=3,BY154=0),0,IF(AND(BC154=27,'Data Entry'!$C$74=2),0,IF(AND(BC154=28,'Data Entry'!$C$74=2),0,IF(AND(BY154+BZ154+CA154&gt;0.01,BV154=0,EQ154+ER154+ES154+ET154&lt;100),0,IF(AU154=3,CM154*0.08,IF(AU154=2,CM154*0.1,0)))))))))))))))))))))))))))))</f>
        <v>0</v>
      </c>
      <c r="CO154" s="660">
        <f t="shared" si="206"/>
        <v>0</v>
      </c>
      <c r="CP154" s="475" t="str">
        <f t="shared" si="207"/>
        <v/>
      </c>
      <c r="CQ154" s="161" t="str">
        <f>IF(AH154=0,0,IF(AU154=5,0,Summary!AC157))</f>
        <v/>
      </c>
      <c r="CR154" s="161" t="str">
        <f>IF(BF154=0.5,0,IF(AU154=5,0,Summary!AD157))</f>
        <v/>
      </c>
      <c r="CS154" s="161" t="str">
        <f>IF(AU154=5,0,Summary!AE157)</f>
        <v/>
      </c>
      <c r="CT154" s="161">
        <f t="shared" si="208"/>
        <v>0</v>
      </c>
      <c r="CU154" s="475" t="str">
        <f t="shared" si="209"/>
        <v/>
      </c>
      <c r="CV154" s="307">
        <f>IF('Data Entry'!$C$74=0,0,IF(AA154&lt;1,0,IF(ISERROR(CU154),0,IF(CF154=1,0,IF(AND(R154=12,BR154=50),0,IF(CL154+BO154+BV154+DC154=0,0,IF(BC154=37,0,IF(AND(BC154=40,AJ154=0),0,IF(AND(BC154=37,BO154&gt;0.01,BQ154&gt;0.01),ROUND(BQ154,0),IF(CM154&lt;0,0,ROUND(CM154,0)))))))))))</f>
        <v>0</v>
      </c>
      <c r="CW154" s="700">
        <f t="shared" si="210"/>
        <v>0</v>
      </c>
      <c r="CX154" s="477">
        <f>IF('Data Entry'!$C$74=0,0,IF(CV154&lt;0.01,0,IF(BF154=0.5,0,IF(CF154=1,0,IF(ISNUMBER(SEARCH("false",CL154)),0,IF(AZ154=500,0,CL154))))))</f>
        <v>0</v>
      </c>
      <c r="CY154" s="147" t="e">
        <f t="shared" si="211"/>
        <v>#VALUE!</v>
      </c>
      <c r="CZ154" s="147" t="b">
        <f>IF(CN154+CL154=0,FALSE,IF(AH154=0,0,IF(AND('Data Entry'!$C$74=1,CR154&gt;=1),TRUE,IF(AND('Data Entry'!$C$74=2,CS154&gt;=1),TRUE,FALSE))))</f>
        <v>0</v>
      </c>
      <c r="DA154" s="1751">
        <f>IF('Data Entry'!$C$74=0,0,IFERROR(ROUND(IF(T154="","",IF($X$4=0,0,IF(CF154=1,0,IF(BQ154+CV154=0,0,IF(CF154=1,0,IF(CY154&gt;0.01,CY154,IF(CL154&gt;0.01,CL154,IF(CY154&gt;0.01,CY154,IF(BC154=37,BO154,IF(CZ154=FALSE,0,IF(CZ154=TRUE,DC154+DF154,0))))))))))),2),""))</f>
        <v>0</v>
      </c>
      <c r="DB154" s="1752"/>
      <c r="DC154" s="474">
        <f>IF(CN154&lt;0.01,0,IF(AND(BR154=3,CN154&gt;0.01,CT154&gt;0.6,ER154+ES154+ET154&lt;100),0,IF(AND('Data Entry'!$C$74=1,CN154&gt;0.01,CR154&gt;0.99),MIN(CN154:CO154),IF(AND('Data Entry'!$C$74=2,CN154&gt;0.01,CS154&gt;0.99),MIN(CN154:CO154),0))))</f>
        <v>0</v>
      </c>
      <c r="DD154" s="478">
        <f>IF(CF154=1,"Selection does not match",IF(T154=0,0,IF(AND('Data Entry'!$C$74=0,CP154&gt;1),"Select Oregon or Idaho on Data Entry Tab",IF(AND(AU154=1,AA154&gt;0.9),"Missing Interior or Exterior Selection",IF($X$4=0,"Enter Total Project Cost",IF(AQ154&lt;AR154,"Insufficient kWh savings – no incentive",IF(AND(SUM(CL154+CK154+BV154)&gt;0.01,'Data Entry'!$C$74=2,CJ154&gt;1,BO154=0),"Submit Control as Non-Standard",IF(AND('Data Entry'!$C$74=2,BR154=37,CJ154&gt;1,BO154=0),"Submit Control as Non-Standard",IF(SUM(CL154+CK154+BV154)&gt;0.01,"Standard Incentive",IF(AND('Data Entry'!$C$74=2,CP154=7,CN154=0),"Submit as Non-Standard",IF(DC154&gt;0.9,"Non-Standard Incentive",IF(AND(BY154+BZ154+CA154&gt;0.01,BV154=0,EQ154=0,ER154=0,ES154=0,ET154=0),"Scroll Right &amp; Select Control Strategies",IF(AND(CN154&gt;0.01,CO154=0),"Enter Unit Installed Cost",IF(ISNUMBER(SEARCH("Lighting Controls Only",F154)),"Lighting Controls Only",IF(CL154+DC154=0,"Does not meet incentive criteria",0)))))))))))))))</f>
        <v>0</v>
      </c>
      <c r="DE154" s="337">
        <f t="shared" si="212"/>
        <v>0</v>
      </c>
      <c r="DF154" s="609">
        <f t="shared" si="213"/>
        <v>0</v>
      </c>
      <c r="DG154" s="336" t="str">
        <f t="shared" si="214"/>
        <v/>
      </c>
      <c r="DH154" s="338">
        <f t="shared" si="215"/>
        <v>1</v>
      </c>
      <c r="DI154" s="336" t="e">
        <f t="shared" si="170"/>
        <v>#VALUE!</v>
      </c>
      <c r="DJ154" s="338">
        <f t="shared" si="171"/>
        <v>0</v>
      </c>
      <c r="DK154" s="325" t="s">
        <v>1565</v>
      </c>
      <c r="DL154" s="341">
        <v>184</v>
      </c>
      <c r="DM154" s="1143" t="s">
        <v>143</v>
      </c>
      <c r="DN154" s="1123">
        <v>4</v>
      </c>
      <c r="DO154" s="356"/>
      <c r="DP154" s="332"/>
      <c r="DQ154" s="331"/>
      <c r="DR154" s="357"/>
      <c r="DS154" s="1195">
        <f t="shared" si="216"/>
        <v>0</v>
      </c>
      <c r="DT154" s="344" t="b">
        <f t="shared" si="217"/>
        <v>1</v>
      </c>
      <c r="DU154" s="1314" t="str">
        <f t="array" ref="DU154">IF(OR(COUNTIF(F154,"*"&amp;$DK$9:$DK$178&amp;"*")), "Yes", "")</f>
        <v/>
      </c>
      <c r="DV154" s="1314">
        <f t="shared" si="218"/>
        <v>0</v>
      </c>
      <c r="DW154" s="1480">
        <f t="shared" si="219"/>
        <v>0</v>
      </c>
      <c r="DX154" s="1498">
        <f t="shared" si="228"/>
        <v>0</v>
      </c>
      <c r="DY154" s="1484">
        <f t="shared" si="220"/>
        <v>0</v>
      </c>
      <c r="DZ154" s="331"/>
      <c r="EA154" s="392"/>
      <c r="EB154" s="1499" t="s">
        <v>93</v>
      </c>
      <c r="EC154" s="727" t="s">
        <v>1568</v>
      </c>
      <c r="ED154" s="728">
        <v>0.5</v>
      </c>
      <c r="EE154" s="1215"/>
      <c r="EF154" s="1215"/>
      <c r="EG154" s="1184" t="str">
        <f t="shared" si="221"/>
        <v/>
      </c>
      <c r="EH154" s="55"/>
      <c r="EI154" s="55"/>
      <c r="EJ154" s="1185">
        <f t="shared" si="172"/>
        <v>0</v>
      </c>
      <c r="EK154" s="1211"/>
      <c r="EL154" s="1180">
        <f t="shared" si="173"/>
        <v>0</v>
      </c>
      <c r="EM154" s="206"/>
      <c r="EN154" s="1038"/>
      <c r="EO154" s="1038"/>
      <c r="EP154" s="1038"/>
      <c r="EQ154" s="1038">
        <f t="shared" si="222"/>
        <v>0</v>
      </c>
      <c r="ER154" s="1041">
        <f t="shared" si="223"/>
        <v>0</v>
      </c>
      <c r="ES154" s="1042">
        <f t="shared" si="224"/>
        <v>0</v>
      </c>
      <c r="ET154" s="1042">
        <f t="shared" si="229"/>
        <v>0</v>
      </c>
      <c r="EU154" s="1021">
        <f t="shared" si="230"/>
        <v>0</v>
      </c>
      <c r="EV154" s="368"/>
      <c r="EW154" s="368"/>
      <c r="EX154" s="369"/>
      <c r="EY154" s="370"/>
      <c r="EZ154" s="370"/>
      <c r="FA154" s="371"/>
      <c r="FB154" s="372"/>
    </row>
    <row r="155" spans="1:158" ht="34.5" customHeight="1">
      <c r="A155" s="82">
        <v>147</v>
      </c>
      <c r="B155" s="1725"/>
      <c r="C155" s="1726"/>
      <c r="D155" s="1726"/>
      <c r="E155" s="1727"/>
      <c r="F155" s="1732"/>
      <c r="G155" s="1733"/>
      <c r="H155" s="1733"/>
      <c r="I155" s="1734"/>
      <c r="J155" s="1341"/>
      <c r="K155" s="1728"/>
      <c r="L155" s="1728"/>
      <c r="M155" s="1342"/>
      <c r="N155" s="1583"/>
      <c r="O155" s="208" t="str">
        <f t="shared" si="160"/>
        <v/>
      </c>
      <c r="P155" s="785"/>
      <c r="Q155" s="39" t="str">
        <f t="shared" si="161"/>
        <v/>
      </c>
      <c r="R155" s="39">
        <f t="shared" si="174"/>
        <v>0</v>
      </c>
      <c r="S155" s="234">
        <f t="shared" si="175"/>
        <v>0</v>
      </c>
      <c r="T155" s="1755"/>
      <c r="U155" s="1755"/>
      <c r="V155" s="1755"/>
      <c r="W155" s="1345"/>
      <c r="X155" s="1741"/>
      <c r="Y155" s="1742"/>
      <c r="Z155" s="1346"/>
      <c r="AA155" s="1343"/>
      <c r="AB155" s="1141"/>
      <c r="AC155" s="1103" t="str">
        <f>IF(T155="","",VLOOKUP(Z155,Lists!$A$60:$B$111,2,FALSE))</f>
        <v/>
      </c>
      <c r="AD155" s="130" t="str">
        <f t="shared" si="176"/>
        <v/>
      </c>
      <c r="AE155" s="130" t="e">
        <f t="shared" si="177"/>
        <v>#VALUE!</v>
      </c>
      <c r="AF155" s="130">
        <f t="shared" si="178"/>
        <v>1</v>
      </c>
      <c r="AG155" s="234">
        <f t="shared" si="162"/>
        <v>0</v>
      </c>
      <c r="AH155" s="1753" t="str">
        <f>IF(T155="","",(IF(ISNUMBER(SEARCH("exit",T155)),8760,IF(AND(M155="Dusk to Dawn",'Proposed Lighting'!AU155=3),4059,IF(AND(AU155=3,M155="1"),0,IF(AND(AU155=3,M155="1-C"),0,IF(AND(AU155=3,M155="2"),0,IF(AND(AU155=3,M155="2-C"),0,IF(AND(AU155=3,M155="3"),0,IF(AND(AU155=3,M155="3-C"),0,IF(AND(AU155=2,M155="Dusk to Dawn"),0,IF(AND(AU155=2,M155="Dusk to Dawn-C"),0,IF(AND(AU155=2,M155="Dusk to Dawn"),0,IF(AND(AU155=2,M155="E"),0,IF(AND(AU155=2,M155="E-C"),0,EG155)))))))))))))))</f>
        <v/>
      </c>
      <c r="AI155" s="1754"/>
      <c r="AJ155" s="1136"/>
      <c r="AK155" s="1136"/>
      <c r="AL155" s="1748">
        <f t="shared" si="179"/>
        <v>0</v>
      </c>
      <c r="AM155" s="1749"/>
      <c r="AN155" s="1750"/>
      <c r="AO155" s="476">
        <f t="shared" si="163"/>
        <v>0</v>
      </c>
      <c r="AP155" s="476">
        <f t="shared" si="180"/>
        <v>0</v>
      </c>
      <c r="AQ155" s="475">
        <f t="shared" si="164"/>
        <v>0</v>
      </c>
      <c r="AR155" s="475">
        <f t="shared" si="181"/>
        <v>0</v>
      </c>
      <c r="AS155" s="743" t="str">
        <f t="shared" si="156"/>
        <v/>
      </c>
      <c r="AT155" s="736" t="str">
        <f t="shared" si="182"/>
        <v/>
      </c>
      <c r="AU155" s="56">
        <f t="shared" si="183"/>
        <v>1</v>
      </c>
      <c r="AV155" s="476">
        <f t="shared" si="184"/>
        <v>0</v>
      </c>
      <c r="AW155" s="56">
        <f t="shared" si="185"/>
        <v>0</v>
      </c>
      <c r="AX155" s="475">
        <f t="shared" si="165"/>
        <v>0</v>
      </c>
      <c r="AY155" s="1169">
        <f t="shared" si="186"/>
        <v>0</v>
      </c>
      <c r="AZ155" s="1150">
        <f t="shared" si="225"/>
        <v>0</v>
      </c>
      <c r="BA155" s="56">
        <f t="shared" si="166"/>
        <v>0</v>
      </c>
      <c r="BB155" s="420">
        <f t="shared" si="167"/>
        <v>0</v>
      </c>
      <c r="BC155" s="58" t="str">
        <f t="shared" si="168"/>
        <v/>
      </c>
      <c r="BD155" s="660">
        <f t="shared" si="226"/>
        <v>0</v>
      </c>
      <c r="BE155" s="57" t="e">
        <f t="array" ref="BE155">INDEX($EB$11:$ED$1022,MATCH(F155&amp;T155,$EB$11:$EB$1007&amp;$EC$11:$EC$1007,0),3)</f>
        <v>#N/A</v>
      </c>
      <c r="BF155" s="463">
        <f t="shared" si="157"/>
        <v>0</v>
      </c>
      <c r="BG155" s="1445" t="e">
        <f t="array" ref="BG155">INDEX($DO$112:$DQ$123,MATCH(T155&amp;W155,$DO$114:$DO$125&amp;$DP$112:$DP$123,0),3)</f>
        <v>#N/A</v>
      </c>
      <c r="BH155" s="1446">
        <f t="shared" si="187"/>
        <v>0</v>
      </c>
      <c r="BI155" s="465">
        <f t="shared" si="188"/>
        <v>0</v>
      </c>
      <c r="BJ155" s="465">
        <f t="shared" si="189"/>
        <v>0</v>
      </c>
      <c r="BK155" s="466">
        <f t="shared" si="158"/>
        <v>0</v>
      </c>
      <c r="BL155" s="466">
        <f t="shared" si="159"/>
        <v>0</v>
      </c>
      <c r="BM155" s="466">
        <f t="shared" si="190"/>
        <v>0</v>
      </c>
      <c r="BN155" s="466">
        <f t="shared" si="191"/>
        <v>0</v>
      </c>
      <c r="BO155" s="463">
        <f>IF('Data Entry'!$C$74=0,0,IF(ISNA(CJ155),0,IF(AX155=0,0,IF(AND('Data Entry'!$C$74=2,AF155&gt;2,CE155&lt;1),0,IF(AND('Data Entry'!$C$74=2,AF155&gt;1,AU155=2,CJ155&gt;1),0,IF(AND(AF155=5,CT155=0.5,AU155=2,ER155&lt;100),0,IF(AND(AF155=5,CT155=0.5,AU155=3,ER155&lt;100),0,IF(AND('Data Entry'!$C$74=2,AF155=2,AU155=2,AK155&gt;0.01,CB155=2,CE155&lt;1),0,IF(AND('Data Entry'!$C$74=2,AF155=3,AU155=3,AK155&gt;0.01,CB155=3,CE155&lt;1),0,IF(AND('Data Entry'!$C$74=2,AF155=3,AU155=3,AK155&gt;0.01,CB155=3,CE155&gt;0.99),BQ155*0.08,IF(AND('Data Entry'!$C$74=2,AF155=2,AU155=2,AK155&gt;0.01,CB155=2,CE155&gt;0.99),BQ155*0.1,IF(AND(AU155=2,AK155&gt;0.01,CB155=2,CD155&gt;1),BQ155*0.1,IF(AND(AU155=3,AK155&gt;0.01,CB155=3,CD155&gt;1),BQ155*0.08,CJ155*EF155)))))))))))))</f>
        <v>0</v>
      </c>
      <c r="BP155" s="475">
        <f t="shared" si="192"/>
        <v>0</v>
      </c>
      <c r="BQ155" s="1431">
        <f>IF(AU155=1,0,IF(CH155=100,0,IF(AND(AF155=3,AU155=2),0,IF(AND(BH155=0,CT155&gt;0.4),0,IF(AND('Data Entry'!$C$74=2,AF155=1.5),0,IF(AND('Data Entry'!$C$74=2,AF155=1.6),0,IF(AND('Data Entry'!$C$74=2,AF155=4),0,IF(AND('Data Entry'!$C$74=2,AF155=5),0,IF(AND('Data Entry'!$C$74=2,AF155=2.5,CE155&lt;1),0,IF(AND('Data Entry'!$C$74=2,AF155=3,CE155&lt;1),0,IF(AND('Data Entry'!$C$74=1,AF155=2.5,CD155&lt;1),0,IF(AND('Data Entry'!$C$74=1,AF155=3,CD155&lt;1),0,IF(DX155&gt;0.01,DX155,IF(ISERROR(AX155-AY155),"",ROUND(AX155-AY155,2)))))))))))))))</f>
        <v>0</v>
      </c>
      <c r="BR155" s="146">
        <f t="shared" si="193"/>
        <v>0</v>
      </c>
      <c r="BS155" s="475">
        <f t="shared" si="194"/>
        <v>0</v>
      </c>
      <c r="BT155" s="146" t="b">
        <f t="shared" si="195"/>
        <v>0</v>
      </c>
      <c r="BU155" s="463">
        <f>IF(ISNA(AT155),0,IF(AND('Data Entry'!$C$74=2,BC155=27),0,IF(AND('Data Entry'!$C$74=2,BC155=28),0,IF(AND(BC155=27,BT155=27,CM155&gt;0.1),CM155*0.15,IF(AND(BC155=28,BT155=28,CM155&gt;0.1),CM155*0.12,0)))))</f>
        <v>0</v>
      </c>
      <c r="BV155" s="463">
        <f t="shared" si="232"/>
        <v>0</v>
      </c>
      <c r="BW155" s="463">
        <f t="shared" si="196"/>
        <v>0</v>
      </c>
      <c r="BX155" s="463">
        <f t="shared" si="197"/>
        <v>0</v>
      </c>
      <c r="BY155" s="463">
        <f t="shared" si="198"/>
        <v>0</v>
      </c>
      <c r="BZ155" s="463">
        <f t="shared" si="199"/>
        <v>0</v>
      </c>
      <c r="CA155" s="57">
        <f t="shared" si="227"/>
        <v>0</v>
      </c>
      <c r="CB155" s="56">
        <f t="shared" si="200"/>
        <v>1</v>
      </c>
      <c r="CC155" s="756">
        <f>IF(EE155=0,0,IF(EF155=0,0,IF(EE155&gt;AA155,0,IF(AND(AZ155&gt;AW155,AW155&gt;0),0,IF(CU155=0,0,Summary!AC458)))))</f>
        <v>0</v>
      </c>
      <c r="CD155" s="756">
        <f>IF(EE155=0,0,IF(EF155=0,0,IF(EE155&gt;AA155,0,IF(AND(AZ155&gt;AW155,AW155&gt;0),0,IF(CU155=0,0,Summary!AD458)))))</f>
        <v>0</v>
      </c>
      <c r="CE155" s="756">
        <f>IF(EF155=0,0,IF(EE155&gt;AA155,0,IF(CC155=0,0,IF(AND(AZ155&gt;AW155,AW155&gt;0),0,IF(CU155=0,0,Summary!AE458)))))</f>
        <v>0</v>
      </c>
      <c r="CF155" s="475">
        <f t="shared" si="201"/>
        <v>0</v>
      </c>
      <c r="CG155" s="476">
        <f t="shared" si="169"/>
        <v>0</v>
      </c>
      <c r="CH155" s="487">
        <f t="shared" si="202"/>
        <v>0</v>
      </c>
      <c r="CI155" s="756">
        <f t="shared" si="203"/>
        <v>0</v>
      </c>
      <c r="CJ155" s="487">
        <f>IF(CT155&gt;0.4,0,IF(AND(AU155=2,CH155=0,CT155=0.5,ER155=100),35,IF(AND(AU155=3,BB155&gt;75,CH155=0,CT155=0.5,ER155=100),25,IF(CB155&gt;1,0,IF(EF155&gt;EE155,0,IF(AND(AF155&gt;1,CH155=100),0,IF(AND(AF155=1,AY155=0),0,IF(AND(EF155&lt;=EE155,AW155&gt;=AZ155,'Data Entry'!$C$74=1,AU155=2),VLOOKUP(W155,$DO$96:$DP$102,2,FALSE),IF(AND(EF155&lt;=EE155,AW155&gt;=AZ155,AU155=3,'Data Entry'!$C$74=1),VLOOKUP(W155,$DO$127:$DP$134,2,FALSE))))))))))</f>
        <v>0</v>
      </c>
      <c r="CK155" s="716">
        <f t="shared" si="204"/>
        <v>0</v>
      </c>
      <c r="CL155" s="57">
        <f t="shared" si="205"/>
        <v>0</v>
      </c>
      <c r="CM155" s="475">
        <f t="shared" si="231"/>
        <v>0</v>
      </c>
      <c r="CN155" s="660">
        <f>IF(CM155&lt;0.1,0,IF(ISNA(AT155),0,IF(CL155+BC155=1,0,IF(BV155&gt;0.01,0,IF(CL155&gt;0.01,0,IF(CF155=1,0,IF(BC155=0.5,0,IF(AND(CI155=1,AU155=3),0,IF(AND(CI155=5,CL155=0),0,IF(AND(R155=12,BR155=50),0,IF(CK155&gt;0.01,0,IF(AND(AJ155&gt;0.01,AU155=2,BC155=15),CM155*0.1,IF(AND(AJ155&gt;0.01,AU155=3,BC155=15),CM155*0.08,IF(AND(R155=12,BC155=3,AF155&lt;=0),0,IF(AND(BC155=15,BI155=0),0,IF(AND(BC155=15,BJ155=0),0,IF(AND(R155=20,CU155=0),0,IF($X$4=0,0,IF(AND(BC155=250,CL155=0),0,IF(AA155&lt;1,0,IF(AND(ISNUMBER(SEARCH("Area",T155)),AU155=3),0,IF(AND(AQ155&gt;0.01,AR155=0,BK155=0,BL155=0,BM155=0,BN155=0),0,IF(AND(AU155=3,CI155=7,CT155&gt;0.5),0,IF(AND(BC155=44,AU155=3,BY155=0),0,IF(AND(BC155=27,'Data Entry'!$C$74=2),0,IF(AND(BC155=28,'Data Entry'!$C$74=2),0,IF(AND(BY155+BZ155+CA155&gt;0.01,BV155=0,EQ155+ER155+ES155+ET155&lt;100),0,IF(AU155=3,CM155*0.08,IF(AU155=2,CM155*0.1,0)))))))))))))))))))))))))))))</f>
        <v>0</v>
      </c>
      <c r="CO155" s="660">
        <f t="shared" si="206"/>
        <v>0</v>
      </c>
      <c r="CP155" s="475" t="str">
        <f t="shared" si="207"/>
        <v/>
      </c>
      <c r="CQ155" s="161" t="str">
        <f>IF(AH155=0,0,IF(AU155=5,0,Summary!AC158))</f>
        <v/>
      </c>
      <c r="CR155" s="161" t="str">
        <f>IF(BF155=0.5,0,IF(AU155=5,0,Summary!AD158))</f>
        <v/>
      </c>
      <c r="CS155" s="161" t="str">
        <f>IF(AU155=5,0,Summary!AE158)</f>
        <v/>
      </c>
      <c r="CT155" s="161">
        <f t="shared" si="208"/>
        <v>0</v>
      </c>
      <c r="CU155" s="475" t="str">
        <f t="shared" si="209"/>
        <v/>
      </c>
      <c r="CV155" s="307">
        <f>IF('Data Entry'!$C$74=0,0,IF(AA155&lt;1,0,IF(ISERROR(CU155),0,IF(CF155=1,0,IF(AND(R155=12,BR155=50),0,IF(CL155+BO155+BV155+DC155=0,0,IF(BC155=37,0,IF(AND(BC155=40,AJ155=0),0,IF(AND(BC155=37,BO155&gt;0.01,BQ155&gt;0.01),ROUND(BQ155,0),IF(CM155&lt;0,0,ROUND(CM155,0)))))))))))</f>
        <v>0</v>
      </c>
      <c r="CW155" s="700">
        <f t="shared" si="210"/>
        <v>0</v>
      </c>
      <c r="CX155" s="477">
        <f>IF('Data Entry'!$C$74=0,0,IF(CV155&lt;0.01,0,IF(BF155=0.5,0,IF(CF155=1,0,IF(ISNUMBER(SEARCH("false",CL155)),0,IF(AZ155=500,0,CL155))))))</f>
        <v>0</v>
      </c>
      <c r="CY155" s="147" t="e">
        <f t="shared" si="211"/>
        <v>#VALUE!</v>
      </c>
      <c r="CZ155" s="147" t="b">
        <f>IF(CN155+CL155=0,FALSE,IF(AH155=0,0,IF(AND('Data Entry'!$C$74=1,CR155&gt;=1),TRUE,IF(AND('Data Entry'!$C$74=2,CS155&gt;=1),TRUE,FALSE))))</f>
        <v>0</v>
      </c>
      <c r="DA155" s="1751">
        <f>IF('Data Entry'!$C$74=0,0,IFERROR(ROUND(IF(T155="","",IF($X$4=0,0,IF(CF155=1,0,IF(BQ155+CV155=0,0,IF(CF155=1,0,IF(CY155&gt;0.01,CY155,IF(CL155&gt;0.01,CL155,IF(CY155&gt;0.01,CY155,IF(BC155=37,BO155,IF(CZ155=FALSE,0,IF(CZ155=TRUE,DC155+DF155,0))))))))))),2),""))</f>
        <v>0</v>
      </c>
      <c r="DB155" s="1752"/>
      <c r="DC155" s="474">
        <f>IF(CN155&lt;0.01,0,IF(AND(BR155=3,CN155&gt;0.01,CT155&gt;0.6,ER155+ES155+ET155&lt;100),0,IF(AND('Data Entry'!$C$74=1,CN155&gt;0.01,CR155&gt;0.99),MIN(CN155:CO155),IF(AND('Data Entry'!$C$74=2,CN155&gt;0.01,CS155&gt;0.99),MIN(CN155:CO155),0))))</f>
        <v>0</v>
      </c>
      <c r="DD155" s="478">
        <f>IF(CF155=1,"Selection does not match",IF(T155=0,0,IF(AND('Data Entry'!$C$74=0,CP155&gt;1),"Select Oregon or Idaho on Data Entry Tab",IF(AND(AU155=1,AA155&gt;0.9),"Missing Interior or Exterior Selection",IF($X$4=0,"Enter Total Project Cost",IF(AQ155&lt;AR155,"Insufficient kWh savings – no incentive",IF(AND(SUM(CL155+CK155+BV155)&gt;0.01,'Data Entry'!$C$74=2,CJ155&gt;1,BO155=0),"Submit Control as Non-Standard",IF(AND('Data Entry'!$C$74=2,BR155=37,CJ155&gt;1,BO155=0),"Submit Control as Non-Standard",IF(SUM(CL155+CK155+BV155)&gt;0.01,"Standard Incentive",IF(AND('Data Entry'!$C$74=2,CP155=7,CN155=0),"Submit as Non-Standard",IF(DC155&gt;0.9,"Non-Standard Incentive",IF(AND(BY155+BZ155+CA155&gt;0.01,BV155=0,EQ155=0,ER155=0,ES155=0,ET155=0),"Scroll Right &amp; Select Control Strategies",IF(AND(CN155&gt;0.01,CO155=0),"Enter Unit Installed Cost",IF(ISNUMBER(SEARCH("Lighting Controls Only",F155)),"Lighting Controls Only",IF(CL155+DC155=0,"Does not meet incentive criteria",0)))))))))))))))</f>
        <v>0</v>
      </c>
      <c r="DE155" s="337">
        <f t="shared" si="212"/>
        <v>0</v>
      </c>
      <c r="DF155" s="609">
        <f t="shared" si="213"/>
        <v>0</v>
      </c>
      <c r="DG155" s="336" t="str">
        <f t="shared" si="214"/>
        <v/>
      </c>
      <c r="DH155" s="338">
        <f t="shared" si="215"/>
        <v>1</v>
      </c>
      <c r="DI155" s="336" t="e">
        <f t="shared" si="170"/>
        <v>#VALUE!</v>
      </c>
      <c r="DJ155" s="338">
        <f t="shared" si="171"/>
        <v>0</v>
      </c>
      <c r="DK155" s="325" t="s">
        <v>97</v>
      </c>
      <c r="DL155" s="341">
        <v>210</v>
      </c>
      <c r="DM155" s="1143" t="s">
        <v>144</v>
      </c>
      <c r="DN155" s="1123">
        <v>8</v>
      </c>
      <c r="DO155" s="356"/>
      <c r="DP155" s="332"/>
      <c r="DQ155" s="331"/>
      <c r="DR155" s="357"/>
      <c r="DS155" s="1195">
        <f t="shared" si="216"/>
        <v>0</v>
      </c>
      <c r="DT155" s="344" t="b">
        <f t="shared" si="217"/>
        <v>1</v>
      </c>
      <c r="DU155" s="1314" t="str">
        <f t="array" ref="DU155">IF(OR(COUNTIF(F155,"*"&amp;$DK$9:$DK$178&amp;"*")), "Yes", "")</f>
        <v/>
      </c>
      <c r="DV155" s="1314">
        <f t="shared" si="218"/>
        <v>0</v>
      </c>
      <c r="DW155" s="1480">
        <f t="shared" si="219"/>
        <v>0</v>
      </c>
      <c r="DX155" s="1498">
        <f t="shared" si="228"/>
        <v>0</v>
      </c>
      <c r="DY155" s="1484">
        <f t="shared" si="220"/>
        <v>0</v>
      </c>
      <c r="DZ155" s="331"/>
      <c r="EA155" s="392"/>
      <c r="EB155" s="1499" t="s">
        <v>94</v>
      </c>
      <c r="EC155" s="727" t="s">
        <v>1568</v>
      </c>
      <c r="ED155" s="728">
        <v>0.5</v>
      </c>
      <c r="EE155" s="1215"/>
      <c r="EF155" s="1215"/>
      <c r="EG155" s="1184" t="str">
        <f t="shared" si="221"/>
        <v/>
      </c>
      <c r="EH155" s="55"/>
      <c r="EI155" s="55"/>
      <c r="EJ155" s="1185">
        <f t="shared" si="172"/>
        <v>0</v>
      </c>
      <c r="EK155" s="1211"/>
      <c r="EL155" s="1180">
        <f t="shared" si="173"/>
        <v>0</v>
      </c>
      <c r="EM155" s="206"/>
      <c r="EN155" s="1038"/>
      <c r="EO155" s="1038"/>
      <c r="EP155" s="1038"/>
      <c r="EQ155" s="1038">
        <f t="shared" si="222"/>
        <v>0</v>
      </c>
      <c r="ER155" s="1041">
        <f t="shared" si="223"/>
        <v>0</v>
      </c>
      <c r="ES155" s="1042">
        <f t="shared" si="224"/>
        <v>0</v>
      </c>
      <c r="ET155" s="1042">
        <f t="shared" si="229"/>
        <v>0</v>
      </c>
      <c r="EU155" s="1021">
        <f t="shared" si="230"/>
        <v>0</v>
      </c>
      <c r="EV155" s="368"/>
      <c r="EW155" s="368"/>
      <c r="EX155" s="369"/>
      <c r="EY155" s="370"/>
      <c r="EZ155" s="370"/>
      <c r="FA155" s="371"/>
      <c r="FB155" s="372"/>
    </row>
    <row r="156" spans="1:158" ht="34.5" customHeight="1">
      <c r="A156" s="82">
        <v>148</v>
      </c>
      <c r="B156" s="1725"/>
      <c r="C156" s="1726"/>
      <c r="D156" s="1726"/>
      <c r="E156" s="1727"/>
      <c r="F156" s="1732"/>
      <c r="G156" s="1733"/>
      <c r="H156" s="1733"/>
      <c r="I156" s="1734"/>
      <c r="J156" s="1341"/>
      <c r="K156" s="1728"/>
      <c r="L156" s="1728"/>
      <c r="M156" s="1342"/>
      <c r="N156" s="1583"/>
      <c r="O156" s="208" t="str">
        <f t="shared" si="160"/>
        <v/>
      </c>
      <c r="P156" s="785"/>
      <c r="Q156" s="39" t="str">
        <f t="shared" si="161"/>
        <v/>
      </c>
      <c r="R156" s="39">
        <f t="shared" si="174"/>
        <v>0</v>
      </c>
      <c r="S156" s="234">
        <f t="shared" si="175"/>
        <v>0</v>
      </c>
      <c r="T156" s="1755"/>
      <c r="U156" s="1755"/>
      <c r="V156" s="1755"/>
      <c r="W156" s="1345"/>
      <c r="X156" s="1741"/>
      <c r="Y156" s="1742"/>
      <c r="Z156" s="1346"/>
      <c r="AA156" s="1343"/>
      <c r="AB156" s="1141"/>
      <c r="AC156" s="1103" t="str">
        <f>IF(T156="","",VLOOKUP(Z156,Lists!$A$60:$B$111,2,FALSE))</f>
        <v/>
      </c>
      <c r="AD156" s="130" t="str">
        <f t="shared" si="176"/>
        <v/>
      </c>
      <c r="AE156" s="130" t="e">
        <f t="shared" si="177"/>
        <v>#VALUE!</v>
      </c>
      <c r="AF156" s="130">
        <f t="shared" si="178"/>
        <v>1</v>
      </c>
      <c r="AG156" s="234">
        <f t="shared" si="162"/>
        <v>0</v>
      </c>
      <c r="AH156" s="1753" t="str">
        <f>IF(T156="","",(IF(ISNUMBER(SEARCH("exit",T156)),8760,IF(AND(M156="Dusk to Dawn",'Proposed Lighting'!AU156=3),4059,IF(AND(AU156=3,M156="1"),0,IF(AND(AU156=3,M156="1-C"),0,IF(AND(AU156=3,M156="2"),0,IF(AND(AU156=3,M156="2-C"),0,IF(AND(AU156=3,M156="3"),0,IF(AND(AU156=3,M156="3-C"),0,IF(AND(AU156=2,M156="Dusk to Dawn"),0,IF(AND(AU156=2,M156="Dusk to Dawn-C"),0,IF(AND(AU156=2,M156="Dusk to Dawn"),0,IF(AND(AU156=2,M156="E"),0,IF(AND(AU156=2,M156="E-C"),0,EG156)))))))))))))))</f>
        <v/>
      </c>
      <c r="AI156" s="1754"/>
      <c r="AJ156" s="1136"/>
      <c r="AK156" s="1136"/>
      <c r="AL156" s="1748">
        <f t="shared" si="179"/>
        <v>0</v>
      </c>
      <c r="AM156" s="1749"/>
      <c r="AN156" s="1750"/>
      <c r="AO156" s="476">
        <f t="shared" si="163"/>
        <v>0</v>
      </c>
      <c r="AP156" s="476">
        <f t="shared" si="180"/>
        <v>0</v>
      </c>
      <c r="AQ156" s="475">
        <f t="shared" si="164"/>
        <v>0</v>
      </c>
      <c r="AR156" s="475">
        <f t="shared" si="181"/>
        <v>0</v>
      </c>
      <c r="AS156" s="743" t="str">
        <f t="shared" si="156"/>
        <v/>
      </c>
      <c r="AT156" s="736" t="str">
        <f t="shared" si="182"/>
        <v/>
      </c>
      <c r="AU156" s="56">
        <f t="shared" si="183"/>
        <v>1</v>
      </c>
      <c r="AV156" s="476">
        <f t="shared" si="184"/>
        <v>0</v>
      </c>
      <c r="AW156" s="56">
        <f t="shared" si="185"/>
        <v>0</v>
      </c>
      <c r="AX156" s="475">
        <f t="shared" si="165"/>
        <v>0</v>
      </c>
      <c r="AY156" s="1169">
        <f t="shared" si="186"/>
        <v>0</v>
      </c>
      <c r="AZ156" s="1150">
        <f t="shared" si="225"/>
        <v>0</v>
      </c>
      <c r="BA156" s="56">
        <f t="shared" si="166"/>
        <v>0</v>
      </c>
      <c r="BB156" s="420">
        <f t="shared" si="167"/>
        <v>0</v>
      </c>
      <c r="BC156" s="58" t="str">
        <f t="shared" si="168"/>
        <v/>
      </c>
      <c r="BD156" s="660">
        <f t="shared" si="226"/>
        <v>0</v>
      </c>
      <c r="BE156" s="57" t="e">
        <f t="array" ref="BE156">INDEX($EB$11:$ED$1022,MATCH(F156&amp;T156,$EB$11:$EB$1007&amp;$EC$11:$EC$1007,0),3)</f>
        <v>#N/A</v>
      </c>
      <c r="BF156" s="463">
        <f t="shared" si="157"/>
        <v>0</v>
      </c>
      <c r="BG156" s="1445" t="e">
        <f t="array" ref="BG156">INDEX($DO$112:$DQ$123,MATCH(T156&amp;W156,$DO$114:$DO$125&amp;$DP$112:$DP$123,0),3)</f>
        <v>#N/A</v>
      </c>
      <c r="BH156" s="1446">
        <f t="shared" si="187"/>
        <v>0</v>
      </c>
      <c r="BI156" s="465">
        <f t="shared" si="188"/>
        <v>0</v>
      </c>
      <c r="BJ156" s="465">
        <f t="shared" si="189"/>
        <v>0</v>
      </c>
      <c r="BK156" s="466">
        <f t="shared" si="158"/>
        <v>0</v>
      </c>
      <c r="BL156" s="466">
        <f t="shared" si="159"/>
        <v>0</v>
      </c>
      <c r="BM156" s="466">
        <f t="shared" si="190"/>
        <v>0</v>
      </c>
      <c r="BN156" s="466">
        <f t="shared" si="191"/>
        <v>0</v>
      </c>
      <c r="BO156" s="463">
        <f>IF('Data Entry'!$C$74=0,0,IF(ISNA(CJ156),0,IF(AX156=0,0,IF(AND('Data Entry'!$C$74=2,AF156&gt;2,CE156&lt;1),0,IF(AND('Data Entry'!$C$74=2,AF156&gt;1,AU156=2,CJ156&gt;1),0,IF(AND(AF156=5,CT156=0.5,AU156=2,ER156&lt;100),0,IF(AND(AF156=5,CT156=0.5,AU156=3,ER156&lt;100),0,IF(AND('Data Entry'!$C$74=2,AF156=2,AU156=2,AK156&gt;0.01,CB156=2,CE156&lt;1),0,IF(AND('Data Entry'!$C$74=2,AF156=3,AU156=3,AK156&gt;0.01,CB156=3,CE156&lt;1),0,IF(AND('Data Entry'!$C$74=2,AF156=3,AU156=3,AK156&gt;0.01,CB156=3,CE156&gt;0.99),BQ156*0.08,IF(AND('Data Entry'!$C$74=2,AF156=2,AU156=2,AK156&gt;0.01,CB156=2,CE156&gt;0.99),BQ156*0.1,IF(AND(AU156=2,AK156&gt;0.01,CB156=2,CD156&gt;1),BQ156*0.1,IF(AND(AU156=3,AK156&gt;0.01,CB156=3,CD156&gt;1),BQ156*0.08,CJ156*EF156)))))))))))))</f>
        <v>0</v>
      </c>
      <c r="BP156" s="475">
        <f t="shared" si="192"/>
        <v>0</v>
      </c>
      <c r="BQ156" s="1431">
        <f>IF(AU156=1,0,IF(CH156=100,0,IF(AND(AF156=3,AU156=2),0,IF(AND(BH156=0,CT156&gt;0.4),0,IF(AND('Data Entry'!$C$74=2,AF156=1.5),0,IF(AND('Data Entry'!$C$74=2,AF156=1.6),0,IF(AND('Data Entry'!$C$74=2,AF156=4),0,IF(AND('Data Entry'!$C$74=2,AF156=5),0,IF(AND('Data Entry'!$C$74=2,AF156=2.5,CE156&lt;1),0,IF(AND('Data Entry'!$C$74=2,AF156=3,CE156&lt;1),0,IF(AND('Data Entry'!$C$74=1,AF156=2.5,CD156&lt;1),0,IF(AND('Data Entry'!$C$74=1,AF156=3,CD156&lt;1),0,IF(DX156&gt;0.01,DX156,IF(ISERROR(AX156-AY156),"",ROUND(AX156-AY156,2)))))))))))))))</f>
        <v>0</v>
      </c>
      <c r="BR156" s="146">
        <f t="shared" si="193"/>
        <v>0</v>
      </c>
      <c r="BS156" s="475">
        <f t="shared" si="194"/>
        <v>0</v>
      </c>
      <c r="BT156" s="146" t="b">
        <f t="shared" si="195"/>
        <v>0</v>
      </c>
      <c r="BU156" s="463">
        <f>IF(ISNA(AT156),0,IF(AND('Data Entry'!$C$74=2,BC156=27),0,IF(AND('Data Entry'!$C$74=2,BC156=28),0,IF(AND(BC156=27,BT156=27,CM156&gt;0.1),CM156*0.15,IF(AND(BC156=28,BT156=28,CM156&gt;0.1),CM156*0.12,0)))))</f>
        <v>0</v>
      </c>
      <c r="BV156" s="463">
        <f t="shared" si="232"/>
        <v>0</v>
      </c>
      <c r="BW156" s="463">
        <f t="shared" si="196"/>
        <v>0</v>
      </c>
      <c r="BX156" s="463">
        <f t="shared" si="197"/>
        <v>0</v>
      </c>
      <c r="BY156" s="463">
        <f t="shared" si="198"/>
        <v>0</v>
      </c>
      <c r="BZ156" s="463">
        <f t="shared" si="199"/>
        <v>0</v>
      </c>
      <c r="CA156" s="57">
        <f t="shared" si="227"/>
        <v>0</v>
      </c>
      <c r="CB156" s="56">
        <f t="shared" si="200"/>
        <v>1</v>
      </c>
      <c r="CC156" s="756">
        <f>IF(EE156=0,0,IF(EF156=0,0,IF(EE156&gt;AA156,0,IF(AND(AZ156&gt;AW156,AW156&gt;0),0,IF(CU156=0,0,Summary!AC459)))))</f>
        <v>0</v>
      </c>
      <c r="CD156" s="756">
        <f>IF(EE156=0,0,IF(EF156=0,0,IF(EE156&gt;AA156,0,IF(AND(AZ156&gt;AW156,AW156&gt;0),0,IF(CU156=0,0,Summary!AD459)))))</f>
        <v>0</v>
      </c>
      <c r="CE156" s="756">
        <f>IF(EF156=0,0,IF(EE156&gt;AA156,0,IF(CC156=0,0,IF(AND(AZ156&gt;AW156,AW156&gt;0),0,IF(CU156=0,0,Summary!AE459)))))</f>
        <v>0</v>
      </c>
      <c r="CF156" s="475">
        <f t="shared" si="201"/>
        <v>0</v>
      </c>
      <c r="CG156" s="476">
        <f t="shared" si="169"/>
        <v>0</v>
      </c>
      <c r="CH156" s="487">
        <f t="shared" si="202"/>
        <v>0</v>
      </c>
      <c r="CI156" s="756">
        <f t="shared" si="203"/>
        <v>0</v>
      </c>
      <c r="CJ156" s="487">
        <f>IF(CT156&gt;0.4,0,IF(AND(AU156=2,CH156=0,CT156=0.5,ER156=100),35,IF(AND(AU156=3,BB156&gt;75,CH156=0,CT156=0.5,ER156=100),25,IF(CB156&gt;1,0,IF(EF156&gt;EE156,0,IF(AND(AF156&gt;1,CH156=100),0,IF(AND(AF156=1,AY156=0),0,IF(AND(EF156&lt;=EE156,AW156&gt;=AZ156,'Data Entry'!$C$74=1,AU156=2),VLOOKUP(W156,$DO$96:$DP$102,2,FALSE),IF(AND(EF156&lt;=EE156,AW156&gt;=AZ156,AU156=3,'Data Entry'!$C$74=1),VLOOKUP(W156,$DO$127:$DP$134,2,FALSE))))))))))</f>
        <v>0</v>
      </c>
      <c r="CK156" s="716">
        <f t="shared" si="204"/>
        <v>0</v>
      </c>
      <c r="CL156" s="57">
        <f t="shared" si="205"/>
        <v>0</v>
      </c>
      <c r="CM156" s="475">
        <f t="shared" si="231"/>
        <v>0</v>
      </c>
      <c r="CN156" s="660">
        <f>IF(CM156&lt;0.1,0,IF(ISNA(AT156),0,IF(CL156+BC156=1,0,IF(BV156&gt;0.01,0,IF(CL156&gt;0.01,0,IF(CF156=1,0,IF(BC156=0.5,0,IF(AND(CI156=1,AU156=3),0,IF(AND(CI156=5,CL156=0),0,IF(AND(R156=12,BR156=50),0,IF(CK156&gt;0.01,0,IF(AND(AJ156&gt;0.01,AU156=2,BC156=15),CM156*0.1,IF(AND(AJ156&gt;0.01,AU156=3,BC156=15),CM156*0.08,IF(AND(R156=12,BC156=3,AF156&lt;=0),0,IF(AND(BC156=15,BI156=0),0,IF(AND(BC156=15,BJ156=0),0,IF(AND(R156=20,CU156=0),0,IF($X$4=0,0,IF(AND(BC156=250,CL156=0),0,IF(AA156&lt;1,0,IF(AND(ISNUMBER(SEARCH("Area",T156)),AU156=3),0,IF(AND(AQ156&gt;0.01,AR156=0,BK156=0,BL156=0,BM156=0,BN156=0),0,IF(AND(AU156=3,CI156=7,CT156&gt;0.5),0,IF(AND(BC156=44,AU156=3,BY156=0),0,IF(AND(BC156=27,'Data Entry'!$C$74=2),0,IF(AND(BC156=28,'Data Entry'!$C$74=2),0,IF(AND(BY156+BZ156+CA156&gt;0.01,BV156=0,EQ156+ER156+ES156+ET156&lt;100),0,IF(AU156=3,CM156*0.08,IF(AU156=2,CM156*0.1,0)))))))))))))))))))))))))))))</f>
        <v>0</v>
      </c>
      <c r="CO156" s="660">
        <f t="shared" si="206"/>
        <v>0</v>
      </c>
      <c r="CP156" s="475" t="str">
        <f t="shared" si="207"/>
        <v/>
      </c>
      <c r="CQ156" s="161" t="str">
        <f>IF(AH156=0,0,IF(AU156=5,0,Summary!AC159))</f>
        <v/>
      </c>
      <c r="CR156" s="161" t="str">
        <f>IF(BF156=0.5,0,IF(AU156=5,0,Summary!AD159))</f>
        <v/>
      </c>
      <c r="CS156" s="161" t="str">
        <f>IF(AU156=5,0,Summary!AE159)</f>
        <v/>
      </c>
      <c r="CT156" s="161">
        <f t="shared" si="208"/>
        <v>0</v>
      </c>
      <c r="CU156" s="475" t="str">
        <f t="shared" si="209"/>
        <v/>
      </c>
      <c r="CV156" s="307">
        <f>IF('Data Entry'!$C$74=0,0,IF(AA156&lt;1,0,IF(ISERROR(CU156),0,IF(CF156=1,0,IF(AND(R156=12,BR156=50),0,IF(CL156+BO156+BV156+DC156=0,0,IF(BC156=37,0,IF(AND(BC156=40,AJ156=0),0,IF(AND(BC156=37,BO156&gt;0.01,BQ156&gt;0.01),ROUND(BQ156,0),IF(CM156&lt;0,0,ROUND(CM156,0)))))))))))</f>
        <v>0</v>
      </c>
      <c r="CW156" s="700">
        <f t="shared" si="210"/>
        <v>0</v>
      </c>
      <c r="CX156" s="477">
        <f>IF('Data Entry'!$C$74=0,0,IF(CV156&lt;0.01,0,IF(BF156=0.5,0,IF(CF156=1,0,IF(ISNUMBER(SEARCH("false",CL156)),0,IF(AZ156=500,0,CL156))))))</f>
        <v>0</v>
      </c>
      <c r="CY156" s="147" t="e">
        <f t="shared" si="211"/>
        <v>#VALUE!</v>
      </c>
      <c r="CZ156" s="147" t="b">
        <f>IF(CN156+CL156=0,FALSE,IF(AH156=0,0,IF(AND('Data Entry'!$C$74=1,CR156&gt;=1),TRUE,IF(AND('Data Entry'!$C$74=2,CS156&gt;=1),TRUE,FALSE))))</f>
        <v>0</v>
      </c>
      <c r="DA156" s="1751">
        <f>IF('Data Entry'!$C$74=0,0,IFERROR(ROUND(IF(T156="","",IF($X$4=0,0,IF(CF156=1,0,IF(BQ156+CV156=0,0,IF(CF156=1,0,IF(CY156&gt;0.01,CY156,IF(CL156&gt;0.01,CL156,IF(CY156&gt;0.01,CY156,IF(BC156=37,BO156,IF(CZ156=FALSE,0,IF(CZ156=TRUE,DC156+DF156,0))))))))))),2),""))</f>
        <v>0</v>
      </c>
      <c r="DB156" s="1752"/>
      <c r="DC156" s="474">
        <f>IF(CN156&lt;0.01,0,IF(AND(BR156=3,CN156&gt;0.01,CT156&gt;0.6,ER156+ES156+ET156&lt;100),0,IF(AND('Data Entry'!$C$74=1,CN156&gt;0.01,CR156&gt;0.99),MIN(CN156:CO156),IF(AND('Data Entry'!$C$74=2,CN156&gt;0.01,CS156&gt;0.99),MIN(CN156:CO156),0))))</f>
        <v>0</v>
      </c>
      <c r="DD156" s="478">
        <f>IF(CF156=1,"Selection does not match",IF(T156=0,0,IF(AND('Data Entry'!$C$74=0,CP156&gt;1),"Select Oregon or Idaho on Data Entry Tab",IF(AND(AU156=1,AA156&gt;0.9),"Missing Interior or Exterior Selection",IF($X$4=0,"Enter Total Project Cost",IF(AQ156&lt;AR156,"Insufficient kWh savings – no incentive",IF(AND(SUM(CL156+CK156+BV156)&gt;0.01,'Data Entry'!$C$74=2,CJ156&gt;1,BO156=0),"Submit Control as Non-Standard",IF(AND('Data Entry'!$C$74=2,BR156=37,CJ156&gt;1,BO156=0),"Submit Control as Non-Standard",IF(SUM(CL156+CK156+BV156)&gt;0.01,"Standard Incentive",IF(AND('Data Entry'!$C$74=2,CP156=7,CN156=0),"Submit as Non-Standard",IF(DC156&gt;0.9,"Non-Standard Incentive",IF(AND(BY156+BZ156+CA156&gt;0.01,BV156=0,EQ156=0,ER156=0,ES156=0,ET156=0),"Scroll Right &amp; Select Control Strategies",IF(AND(CN156&gt;0.01,CO156=0),"Enter Unit Installed Cost",IF(ISNUMBER(SEARCH("Lighting Controls Only",F156)),"Lighting Controls Only",IF(CL156+DC156=0,"Does not meet incentive criteria",0)))))))))))))))</f>
        <v>0</v>
      </c>
      <c r="DE156" s="337">
        <f t="shared" si="212"/>
        <v>0</v>
      </c>
      <c r="DF156" s="609">
        <f t="shared" si="213"/>
        <v>0</v>
      </c>
      <c r="DG156" s="336" t="str">
        <f t="shared" si="214"/>
        <v/>
      </c>
      <c r="DH156" s="338">
        <f t="shared" si="215"/>
        <v>1</v>
      </c>
      <c r="DI156" s="336" t="e">
        <f t="shared" si="170"/>
        <v>#VALUE!</v>
      </c>
      <c r="DJ156" s="338">
        <f t="shared" si="171"/>
        <v>0</v>
      </c>
      <c r="DK156" s="325" t="s">
        <v>98</v>
      </c>
      <c r="DL156" s="341">
        <v>295</v>
      </c>
      <c r="DM156" s="1143" t="s">
        <v>145</v>
      </c>
      <c r="DN156" s="1123">
        <v>12</v>
      </c>
      <c r="DO156" s="361"/>
      <c r="DP156" s="332"/>
      <c r="DQ156" s="375"/>
      <c r="DR156" s="357"/>
      <c r="DS156" s="1195">
        <f t="shared" si="216"/>
        <v>0</v>
      </c>
      <c r="DT156" s="344" t="b">
        <f t="shared" si="217"/>
        <v>1</v>
      </c>
      <c r="DU156" s="1314" t="str">
        <f t="array" ref="DU156">IF(OR(COUNTIF(F156,"*"&amp;$DK$9:$DK$178&amp;"*")), "Yes", "")</f>
        <v/>
      </c>
      <c r="DV156" s="1314">
        <f t="shared" si="218"/>
        <v>0</v>
      </c>
      <c r="DW156" s="1480">
        <f t="shared" si="219"/>
        <v>0</v>
      </c>
      <c r="DX156" s="1498">
        <f t="shared" si="228"/>
        <v>0</v>
      </c>
      <c r="DY156" s="1484">
        <f t="shared" si="220"/>
        <v>0</v>
      </c>
      <c r="DZ156" s="331"/>
      <c r="EA156" s="392"/>
      <c r="EB156" s="1499" t="s">
        <v>95</v>
      </c>
      <c r="EC156" s="727" t="s">
        <v>1568</v>
      </c>
      <c r="ED156" s="728">
        <v>0.5</v>
      </c>
      <c r="EE156" s="1215"/>
      <c r="EF156" s="1215"/>
      <c r="EG156" s="1184" t="str">
        <f t="shared" si="221"/>
        <v/>
      </c>
      <c r="EH156" s="55"/>
      <c r="EI156" s="55"/>
      <c r="EJ156" s="1185">
        <f t="shared" si="172"/>
        <v>0</v>
      </c>
      <c r="EK156" s="1211"/>
      <c r="EL156" s="1180">
        <f t="shared" si="173"/>
        <v>0</v>
      </c>
      <c r="EM156" s="206"/>
      <c r="EN156" s="1038"/>
      <c r="EO156" s="1038"/>
      <c r="EP156" s="1038"/>
      <c r="EQ156" s="1038">
        <f t="shared" si="222"/>
        <v>0</v>
      </c>
      <c r="ER156" s="1041">
        <f t="shared" si="223"/>
        <v>0</v>
      </c>
      <c r="ES156" s="1042">
        <f t="shared" si="224"/>
        <v>0</v>
      </c>
      <c r="ET156" s="1042">
        <f t="shared" si="229"/>
        <v>0</v>
      </c>
      <c r="EU156" s="1021">
        <f t="shared" si="230"/>
        <v>0</v>
      </c>
      <c r="EV156" s="368"/>
      <c r="EW156" s="368"/>
      <c r="EX156" s="369"/>
      <c r="EY156" s="370"/>
      <c r="EZ156" s="370"/>
      <c r="FA156" s="371"/>
      <c r="FB156" s="372"/>
    </row>
    <row r="157" spans="1:158" ht="34.5" customHeight="1">
      <c r="A157" s="82">
        <v>149</v>
      </c>
      <c r="B157" s="1725"/>
      <c r="C157" s="1726"/>
      <c r="D157" s="1726"/>
      <c r="E157" s="1727"/>
      <c r="F157" s="1732"/>
      <c r="G157" s="1733"/>
      <c r="H157" s="1733"/>
      <c r="I157" s="1734"/>
      <c r="J157" s="1341"/>
      <c r="K157" s="1728"/>
      <c r="L157" s="1728"/>
      <c r="M157" s="1342"/>
      <c r="N157" s="1583"/>
      <c r="O157" s="208" t="str">
        <f t="shared" si="160"/>
        <v/>
      </c>
      <c r="P157" s="785"/>
      <c r="Q157" s="39" t="str">
        <f t="shared" si="161"/>
        <v/>
      </c>
      <c r="R157" s="39">
        <f t="shared" si="174"/>
        <v>0</v>
      </c>
      <c r="S157" s="234">
        <f t="shared" si="175"/>
        <v>0</v>
      </c>
      <c r="T157" s="1755"/>
      <c r="U157" s="1755"/>
      <c r="V157" s="1755"/>
      <c r="W157" s="1345"/>
      <c r="X157" s="1741"/>
      <c r="Y157" s="1742"/>
      <c r="Z157" s="1346"/>
      <c r="AA157" s="1343"/>
      <c r="AB157" s="1141"/>
      <c r="AC157" s="1103" t="str">
        <f>IF(T157="","",VLOOKUP(Z157,Lists!$A$60:$B$111,2,FALSE))</f>
        <v/>
      </c>
      <c r="AD157" s="130" t="str">
        <f t="shared" si="176"/>
        <v/>
      </c>
      <c r="AE157" s="130" t="e">
        <f t="shared" si="177"/>
        <v>#VALUE!</v>
      </c>
      <c r="AF157" s="130">
        <f t="shared" si="178"/>
        <v>1</v>
      </c>
      <c r="AG157" s="234">
        <f t="shared" si="162"/>
        <v>0</v>
      </c>
      <c r="AH157" s="1753" t="str">
        <f>IF(T157="","",(IF(ISNUMBER(SEARCH("exit",T157)),8760,IF(AND(M157="Dusk to Dawn",'Proposed Lighting'!AU157=3),4059,IF(AND(AU157=3,M157="1"),0,IF(AND(AU157=3,M157="1-C"),0,IF(AND(AU157=3,M157="2"),0,IF(AND(AU157=3,M157="2-C"),0,IF(AND(AU157=3,M157="3"),0,IF(AND(AU157=3,M157="3-C"),0,IF(AND(AU157=2,M157="Dusk to Dawn"),0,IF(AND(AU157=2,M157="Dusk to Dawn-C"),0,IF(AND(AU157=2,M157="Dusk to Dawn"),0,IF(AND(AU157=2,M157="E"),0,IF(AND(AU157=2,M157="E-C"),0,EG157)))))))))))))))</f>
        <v/>
      </c>
      <c r="AI157" s="1754"/>
      <c r="AJ157" s="1136"/>
      <c r="AK157" s="1136"/>
      <c r="AL157" s="1748">
        <f t="shared" si="179"/>
        <v>0</v>
      </c>
      <c r="AM157" s="1749"/>
      <c r="AN157" s="1750"/>
      <c r="AO157" s="476">
        <f t="shared" si="163"/>
        <v>0</v>
      </c>
      <c r="AP157" s="476">
        <f t="shared" si="180"/>
        <v>0</v>
      </c>
      <c r="AQ157" s="475">
        <f t="shared" si="164"/>
        <v>0</v>
      </c>
      <c r="AR157" s="475">
        <f t="shared" si="181"/>
        <v>0</v>
      </c>
      <c r="AS157" s="743" t="str">
        <f t="shared" si="156"/>
        <v/>
      </c>
      <c r="AT157" s="736" t="str">
        <f t="shared" si="182"/>
        <v/>
      </c>
      <c r="AU157" s="56">
        <f t="shared" si="183"/>
        <v>1</v>
      </c>
      <c r="AV157" s="476">
        <f t="shared" si="184"/>
        <v>0</v>
      </c>
      <c r="AW157" s="56">
        <f t="shared" si="185"/>
        <v>0</v>
      </c>
      <c r="AX157" s="475">
        <f t="shared" si="165"/>
        <v>0</v>
      </c>
      <c r="AY157" s="1169">
        <f t="shared" si="186"/>
        <v>0</v>
      </c>
      <c r="AZ157" s="1150">
        <f t="shared" si="225"/>
        <v>0</v>
      </c>
      <c r="BA157" s="56">
        <f t="shared" si="166"/>
        <v>0</v>
      </c>
      <c r="BB157" s="420">
        <f t="shared" si="167"/>
        <v>0</v>
      </c>
      <c r="BC157" s="58" t="str">
        <f t="shared" si="168"/>
        <v/>
      </c>
      <c r="BD157" s="660">
        <f t="shared" si="226"/>
        <v>0</v>
      </c>
      <c r="BE157" s="57" t="e">
        <f t="array" ref="BE157">INDEX($EB$11:$ED$1022,MATCH(F157&amp;T157,$EB$11:$EB$1007&amp;$EC$11:$EC$1007,0),3)</f>
        <v>#N/A</v>
      </c>
      <c r="BF157" s="463">
        <f t="shared" si="157"/>
        <v>0</v>
      </c>
      <c r="BG157" s="1445" t="e">
        <f t="array" ref="BG157">INDEX($DO$112:$DQ$123,MATCH(T157&amp;W157,$DO$114:$DO$125&amp;$DP$112:$DP$123,0),3)</f>
        <v>#N/A</v>
      </c>
      <c r="BH157" s="1446">
        <f t="shared" si="187"/>
        <v>0</v>
      </c>
      <c r="BI157" s="465">
        <f t="shared" si="188"/>
        <v>0</v>
      </c>
      <c r="BJ157" s="465">
        <f t="shared" si="189"/>
        <v>0</v>
      </c>
      <c r="BK157" s="466">
        <f t="shared" si="158"/>
        <v>0</v>
      </c>
      <c r="BL157" s="466">
        <f t="shared" si="159"/>
        <v>0</v>
      </c>
      <c r="BM157" s="466">
        <f t="shared" si="190"/>
        <v>0</v>
      </c>
      <c r="BN157" s="466">
        <f t="shared" si="191"/>
        <v>0</v>
      </c>
      <c r="BO157" s="463">
        <f>IF('Data Entry'!$C$74=0,0,IF(ISNA(CJ157),0,IF(AX157=0,0,IF(AND('Data Entry'!$C$74=2,AF157&gt;2,CE157&lt;1),0,IF(AND('Data Entry'!$C$74=2,AF157&gt;1,AU157=2,CJ157&gt;1),0,IF(AND(AF157=5,CT157=0.5,AU157=2,ER157&lt;100),0,IF(AND(AF157=5,CT157=0.5,AU157=3,ER157&lt;100),0,IF(AND('Data Entry'!$C$74=2,AF157=2,AU157=2,AK157&gt;0.01,CB157=2,CE157&lt;1),0,IF(AND('Data Entry'!$C$74=2,AF157=3,AU157=3,AK157&gt;0.01,CB157=3,CE157&lt;1),0,IF(AND('Data Entry'!$C$74=2,AF157=3,AU157=3,AK157&gt;0.01,CB157=3,CE157&gt;0.99),BQ157*0.08,IF(AND('Data Entry'!$C$74=2,AF157=2,AU157=2,AK157&gt;0.01,CB157=2,CE157&gt;0.99),BQ157*0.1,IF(AND(AU157=2,AK157&gt;0.01,CB157=2,CD157&gt;1),BQ157*0.1,IF(AND(AU157=3,AK157&gt;0.01,CB157=3,CD157&gt;1),BQ157*0.08,CJ157*EF157)))))))))))))</f>
        <v>0</v>
      </c>
      <c r="BP157" s="475">
        <f t="shared" si="192"/>
        <v>0</v>
      </c>
      <c r="BQ157" s="1431">
        <f>IF(AU157=1,0,IF(CH157=100,0,IF(AND(AF157=3,AU157=2),0,IF(AND(BH157=0,CT157&gt;0.4),0,IF(AND('Data Entry'!$C$74=2,AF157=1.5),0,IF(AND('Data Entry'!$C$74=2,AF157=1.6),0,IF(AND('Data Entry'!$C$74=2,AF157=4),0,IF(AND('Data Entry'!$C$74=2,AF157=5),0,IF(AND('Data Entry'!$C$74=2,AF157=2.5,CE157&lt;1),0,IF(AND('Data Entry'!$C$74=2,AF157=3,CE157&lt;1),0,IF(AND('Data Entry'!$C$74=1,AF157=2.5,CD157&lt;1),0,IF(AND('Data Entry'!$C$74=1,AF157=3,CD157&lt;1),0,IF(DX157&gt;0.01,DX157,IF(ISERROR(AX157-AY157),"",ROUND(AX157-AY157,2)))))))))))))))</f>
        <v>0</v>
      </c>
      <c r="BR157" s="146">
        <f t="shared" si="193"/>
        <v>0</v>
      </c>
      <c r="BS157" s="475">
        <f t="shared" si="194"/>
        <v>0</v>
      </c>
      <c r="BT157" s="146" t="b">
        <f t="shared" si="195"/>
        <v>0</v>
      </c>
      <c r="BU157" s="463">
        <f>IF(ISNA(AT157),0,IF(AND('Data Entry'!$C$74=2,BC157=27),0,IF(AND('Data Entry'!$C$74=2,BC157=28),0,IF(AND(BC157=27,BT157=27,CM157&gt;0.1),CM157*0.15,IF(AND(BC157=28,BT157=28,CM157&gt;0.1),CM157*0.12,0)))))</f>
        <v>0</v>
      </c>
      <c r="BV157" s="463">
        <f t="shared" si="232"/>
        <v>0</v>
      </c>
      <c r="BW157" s="463">
        <f t="shared" si="196"/>
        <v>0</v>
      </c>
      <c r="BX157" s="463">
        <f t="shared" si="197"/>
        <v>0</v>
      </c>
      <c r="BY157" s="463">
        <f t="shared" si="198"/>
        <v>0</v>
      </c>
      <c r="BZ157" s="463">
        <f t="shared" si="199"/>
        <v>0</v>
      </c>
      <c r="CA157" s="57">
        <f t="shared" si="227"/>
        <v>0</v>
      </c>
      <c r="CB157" s="56">
        <f t="shared" si="200"/>
        <v>1</v>
      </c>
      <c r="CC157" s="756">
        <f>IF(EE157=0,0,IF(EF157=0,0,IF(EE157&gt;AA157,0,IF(AND(AZ157&gt;AW157,AW157&gt;0),0,IF(CU157=0,0,Summary!AC460)))))</f>
        <v>0</v>
      </c>
      <c r="CD157" s="756">
        <f>IF(EE157=0,0,IF(EF157=0,0,IF(EE157&gt;AA157,0,IF(AND(AZ157&gt;AW157,AW157&gt;0),0,IF(CU157=0,0,Summary!AD460)))))</f>
        <v>0</v>
      </c>
      <c r="CE157" s="756">
        <f>IF(EF157=0,0,IF(EE157&gt;AA157,0,IF(CC157=0,0,IF(AND(AZ157&gt;AW157,AW157&gt;0),0,IF(CU157=0,0,Summary!AE460)))))</f>
        <v>0</v>
      </c>
      <c r="CF157" s="475">
        <f t="shared" si="201"/>
        <v>0</v>
      </c>
      <c r="CG157" s="476">
        <f t="shared" si="169"/>
        <v>0</v>
      </c>
      <c r="CH157" s="487">
        <f t="shared" si="202"/>
        <v>0</v>
      </c>
      <c r="CI157" s="756">
        <f t="shared" si="203"/>
        <v>0</v>
      </c>
      <c r="CJ157" s="487">
        <f>IF(CT157&gt;0.4,0,IF(AND(AU157=2,CH157=0,CT157=0.5,ER157=100),35,IF(AND(AU157=3,BB157&gt;75,CH157=0,CT157=0.5,ER157=100),25,IF(CB157&gt;1,0,IF(EF157&gt;EE157,0,IF(AND(AF157&gt;1,CH157=100),0,IF(AND(AF157=1,AY157=0),0,IF(AND(EF157&lt;=EE157,AW157&gt;=AZ157,'Data Entry'!$C$74=1,AU157=2),VLOOKUP(W157,$DO$96:$DP$102,2,FALSE),IF(AND(EF157&lt;=EE157,AW157&gt;=AZ157,AU157=3,'Data Entry'!$C$74=1),VLOOKUP(W157,$DO$127:$DP$134,2,FALSE))))))))))</f>
        <v>0</v>
      </c>
      <c r="CK157" s="716">
        <f t="shared" si="204"/>
        <v>0</v>
      </c>
      <c r="CL157" s="57">
        <f t="shared" si="205"/>
        <v>0</v>
      </c>
      <c r="CM157" s="475">
        <f t="shared" si="231"/>
        <v>0</v>
      </c>
      <c r="CN157" s="660">
        <f>IF(CM157&lt;0.1,0,IF(ISNA(AT157),0,IF(CL157+BC157=1,0,IF(BV157&gt;0.01,0,IF(CL157&gt;0.01,0,IF(CF157=1,0,IF(BC157=0.5,0,IF(AND(CI157=1,AU157=3),0,IF(AND(CI157=5,CL157=0),0,IF(AND(R157=12,BR157=50),0,IF(CK157&gt;0.01,0,IF(AND(AJ157&gt;0.01,AU157=2,BC157=15),CM157*0.1,IF(AND(AJ157&gt;0.01,AU157=3,BC157=15),CM157*0.08,IF(AND(R157=12,BC157=3,AF157&lt;=0),0,IF(AND(BC157=15,BI157=0),0,IF(AND(BC157=15,BJ157=0),0,IF(AND(R157=20,CU157=0),0,IF($X$4=0,0,IF(AND(BC157=250,CL157=0),0,IF(AA157&lt;1,0,IF(AND(ISNUMBER(SEARCH("Area",T157)),AU157=3),0,IF(AND(AQ157&gt;0.01,AR157=0,BK157=0,BL157=0,BM157=0,BN157=0),0,IF(AND(AU157=3,CI157=7,CT157&gt;0.5),0,IF(AND(BC157=44,AU157=3,BY157=0),0,IF(AND(BC157=27,'Data Entry'!$C$74=2),0,IF(AND(BC157=28,'Data Entry'!$C$74=2),0,IF(AND(BY157+BZ157+CA157&gt;0.01,BV157=0,EQ157+ER157+ES157+ET157&lt;100),0,IF(AU157=3,CM157*0.08,IF(AU157=2,CM157*0.1,0)))))))))))))))))))))))))))))</f>
        <v>0</v>
      </c>
      <c r="CO157" s="660">
        <f t="shared" si="206"/>
        <v>0</v>
      </c>
      <c r="CP157" s="475" t="str">
        <f t="shared" si="207"/>
        <v/>
      </c>
      <c r="CQ157" s="161" t="str">
        <f>IF(AH157=0,0,IF(AU157=5,0,Summary!AC160))</f>
        <v/>
      </c>
      <c r="CR157" s="161" t="str">
        <f>IF(BF157=0.5,0,IF(AU157=5,0,Summary!AD160))</f>
        <v/>
      </c>
      <c r="CS157" s="161" t="str">
        <f>IF(AU157=5,0,Summary!AE160)</f>
        <v/>
      </c>
      <c r="CT157" s="161">
        <f t="shared" si="208"/>
        <v>0</v>
      </c>
      <c r="CU157" s="475" t="str">
        <f t="shared" si="209"/>
        <v/>
      </c>
      <c r="CV157" s="307">
        <f>IF('Data Entry'!$C$74=0,0,IF(AA157&lt;1,0,IF(ISERROR(CU157),0,IF(CF157=1,0,IF(AND(R157=12,BR157=50),0,IF(CL157+BO157+BV157+DC157=0,0,IF(BC157=37,0,IF(AND(BC157=40,AJ157=0),0,IF(AND(BC157=37,BO157&gt;0.01,BQ157&gt;0.01),ROUND(BQ157,0),IF(CM157&lt;0,0,ROUND(CM157,0)))))))))))</f>
        <v>0</v>
      </c>
      <c r="CW157" s="700">
        <f t="shared" si="210"/>
        <v>0</v>
      </c>
      <c r="CX157" s="477">
        <f>IF('Data Entry'!$C$74=0,0,IF(CV157&lt;0.01,0,IF(BF157=0.5,0,IF(CF157=1,0,IF(ISNUMBER(SEARCH("false",CL157)),0,IF(AZ157=500,0,CL157))))))</f>
        <v>0</v>
      </c>
      <c r="CY157" s="147" t="e">
        <f t="shared" si="211"/>
        <v>#VALUE!</v>
      </c>
      <c r="CZ157" s="147" t="b">
        <f>IF(CN157+CL157=0,FALSE,IF(AH157=0,0,IF(AND('Data Entry'!$C$74=1,CR157&gt;=1),TRUE,IF(AND('Data Entry'!$C$74=2,CS157&gt;=1),TRUE,FALSE))))</f>
        <v>0</v>
      </c>
      <c r="DA157" s="1751">
        <f>IF('Data Entry'!$C$74=0,0,IFERROR(ROUND(IF(T157="","",IF($X$4=0,0,IF(CF157=1,0,IF(BQ157+CV157=0,0,IF(CF157=1,0,IF(CY157&gt;0.01,CY157,IF(CL157&gt;0.01,CL157,IF(CY157&gt;0.01,CY157,IF(BC157=37,BO157,IF(CZ157=FALSE,0,IF(CZ157=TRUE,DC157+DF157,0))))))))))),2),""))</f>
        <v>0</v>
      </c>
      <c r="DB157" s="1752"/>
      <c r="DC157" s="474">
        <f>IF(CN157&lt;0.01,0,IF(AND(BR157=3,CN157&gt;0.01,CT157&gt;0.6,ER157+ES157+ET157&lt;100),0,IF(AND('Data Entry'!$C$74=1,CN157&gt;0.01,CR157&gt;0.99),MIN(CN157:CO157),IF(AND('Data Entry'!$C$74=2,CN157&gt;0.01,CS157&gt;0.99),MIN(CN157:CO157),0))))</f>
        <v>0</v>
      </c>
      <c r="DD157" s="478">
        <f>IF(CF157=1,"Selection does not match",IF(T157=0,0,IF(AND('Data Entry'!$C$74=0,CP157&gt;1),"Select Oregon or Idaho on Data Entry Tab",IF(AND(AU157=1,AA157&gt;0.9),"Missing Interior or Exterior Selection",IF($X$4=0,"Enter Total Project Cost",IF(AQ157&lt;AR157,"Insufficient kWh savings – no incentive",IF(AND(SUM(CL157+CK157+BV157)&gt;0.01,'Data Entry'!$C$74=2,CJ157&gt;1,BO157=0),"Submit Control as Non-Standard",IF(AND('Data Entry'!$C$74=2,BR157=37,CJ157&gt;1,BO157=0),"Submit Control as Non-Standard",IF(SUM(CL157+CK157+BV157)&gt;0.01,"Standard Incentive",IF(AND('Data Entry'!$C$74=2,CP157=7,CN157=0),"Submit as Non-Standard",IF(DC157&gt;0.9,"Non-Standard Incentive",IF(AND(BY157+BZ157+CA157&gt;0.01,BV157=0,EQ157=0,ER157=0,ES157=0,ET157=0),"Scroll Right &amp; Select Control Strategies",IF(AND(CN157&gt;0.01,CO157=0),"Enter Unit Installed Cost",IF(ISNUMBER(SEARCH("Lighting Controls Only",F157)),"Lighting Controls Only",IF(CL157+DC157=0,"Does not meet incentive criteria",0)))))))))))))))</f>
        <v>0</v>
      </c>
      <c r="DE157" s="337">
        <f t="shared" si="212"/>
        <v>0</v>
      </c>
      <c r="DF157" s="609">
        <f t="shared" si="213"/>
        <v>0</v>
      </c>
      <c r="DG157" s="336" t="str">
        <f t="shared" si="214"/>
        <v/>
      </c>
      <c r="DH157" s="338">
        <f t="shared" si="215"/>
        <v>1</v>
      </c>
      <c r="DI157" s="336" t="e">
        <f t="shared" si="170"/>
        <v>#VALUE!</v>
      </c>
      <c r="DJ157" s="338">
        <f t="shared" si="171"/>
        <v>0</v>
      </c>
      <c r="DK157" s="320" t="s">
        <v>498</v>
      </c>
      <c r="DL157" s="323">
        <v>345</v>
      </c>
      <c r="DM157" s="1143" t="s">
        <v>146</v>
      </c>
      <c r="DN157" s="1123">
        <v>16</v>
      </c>
      <c r="DO157" s="331"/>
      <c r="DP157" s="332"/>
      <c r="DQ157" s="375"/>
      <c r="DR157" s="357"/>
      <c r="DS157" s="1195">
        <f t="shared" si="216"/>
        <v>0</v>
      </c>
      <c r="DT157" s="344" t="b">
        <f t="shared" si="217"/>
        <v>1</v>
      </c>
      <c r="DU157" s="1314" t="str">
        <f t="array" ref="DU157">IF(OR(COUNTIF(F157,"*"&amp;$DK$9:$DK$178&amp;"*")), "Yes", "")</f>
        <v/>
      </c>
      <c r="DV157" s="1314">
        <f t="shared" si="218"/>
        <v>0</v>
      </c>
      <c r="DW157" s="1480">
        <f t="shared" si="219"/>
        <v>0</v>
      </c>
      <c r="DX157" s="1498">
        <f t="shared" si="228"/>
        <v>0</v>
      </c>
      <c r="DY157" s="1484">
        <f t="shared" si="220"/>
        <v>0</v>
      </c>
      <c r="DZ157" s="331"/>
      <c r="EA157" s="392"/>
      <c r="EB157" s="1499" t="s">
        <v>96</v>
      </c>
      <c r="EC157" s="727" t="s">
        <v>1568</v>
      </c>
      <c r="ED157" s="728">
        <v>0.5</v>
      </c>
      <c r="EE157" s="1215"/>
      <c r="EF157" s="1215"/>
      <c r="EG157" s="1184" t="str">
        <f t="shared" si="221"/>
        <v/>
      </c>
      <c r="EH157" s="55"/>
      <c r="EI157" s="55"/>
      <c r="EJ157" s="1185">
        <f t="shared" si="172"/>
        <v>0</v>
      </c>
      <c r="EK157" s="1211"/>
      <c r="EL157" s="1180">
        <f t="shared" si="173"/>
        <v>0</v>
      </c>
      <c r="EM157" s="206"/>
      <c r="EN157" s="1038"/>
      <c r="EO157" s="1038"/>
      <c r="EP157" s="1038"/>
      <c r="EQ157" s="1038">
        <f t="shared" si="222"/>
        <v>0</v>
      </c>
      <c r="ER157" s="1041">
        <f t="shared" si="223"/>
        <v>0</v>
      </c>
      <c r="ES157" s="1042">
        <f t="shared" si="224"/>
        <v>0</v>
      </c>
      <c r="ET157" s="1042">
        <f t="shared" si="229"/>
        <v>0</v>
      </c>
      <c r="EU157" s="1021">
        <f t="shared" si="230"/>
        <v>0</v>
      </c>
      <c r="EV157" s="368"/>
      <c r="EW157" s="368"/>
      <c r="EX157" s="369"/>
      <c r="EY157" s="370"/>
      <c r="EZ157" s="370"/>
      <c r="FA157" s="371"/>
      <c r="FB157" s="372"/>
    </row>
    <row r="158" spans="1:158" ht="34.5" customHeight="1">
      <c r="A158" s="82">
        <v>150</v>
      </c>
      <c r="B158" s="1725"/>
      <c r="C158" s="1726"/>
      <c r="D158" s="1726"/>
      <c r="E158" s="1727"/>
      <c r="F158" s="1732"/>
      <c r="G158" s="1733"/>
      <c r="H158" s="1733"/>
      <c r="I158" s="1734"/>
      <c r="J158" s="1341"/>
      <c r="K158" s="1728"/>
      <c r="L158" s="1728"/>
      <c r="M158" s="1342"/>
      <c r="N158" s="1583"/>
      <c r="O158" s="208" t="str">
        <f t="shared" si="160"/>
        <v/>
      </c>
      <c r="P158" s="785"/>
      <c r="Q158" s="39" t="str">
        <f t="shared" si="161"/>
        <v/>
      </c>
      <c r="R158" s="39">
        <f t="shared" si="174"/>
        <v>0</v>
      </c>
      <c r="S158" s="234">
        <f t="shared" si="175"/>
        <v>0</v>
      </c>
      <c r="T158" s="1755"/>
      <c r="U158" s="1755"/>
      <c r="V158" s="1755"/>
      <c r="W158" s="1345"/>
      <c r="X158" s="1741"/>
      <c r="Y158" s="1742"/>
      <c r="Z158" s="1346"/>
      <c r="AA158" s="1343"/>
      <c r="AB158" s="1141"/>
      <c r="AC158" s="1103" t="str">
        <f>IF(T158="","",VLOOKUP(Z158,Lists!$A$60:$B$111,2,FALSE))</f>
        <v/>
      </c>
      <c r="AD158" s="130" t="str">
        <f t="shared" si="176"/>
        <v/>
      </c>
      <c r="AE158" s="130" t="e">
        <f t="shared" si="177"/>
        <v>#VALUE!</v>
      </c>
      <c r="AF158" s="130">
        <f t="shared" si="178"/>
        <v>1</v>
      </c>
      <c r="AG158" s="234">
        <f t="shared" si="162"/>
        <v>0</v>
      </c>
      <c r="AH158" s="1753" t="str">
        <f>IF(T158="","",(IF(ISNUMBER(SEARCH("exit",T158)),8760,IF(AND(M158="Dusk to Dawn",'Proposed Lighting'!AU158=3),4059,IF(AND(AU158=3,M158="1"),0,IF(AND(AU158=3,M158="1-C"),0,IF(AND(AU158=3,M158="2"),0,IF(AND(AU158=3,M158="2-C"),0,IF(AND(AU158=3,M158="3"),0,IF(AND(AU158=3,M158="3-C"),0,IF(AND(AU158=2,M158="Dusk to Dawn"),0,IF(AND(AU158=2,M158="Dusk to Dawn-C"),0,IF(AND(AU158=2,M158="Dusk to Dawn"),0,IF(AND(AU158=2,M158="E"),0,IF(AND(AU158=2,M158="E-C"),0,EG158)))))))))))))))</f>
        <v/>
      </c>
      <c r="AI158" s="1754"/>
      <c r="AJ158" s="1136"/>
      <c r="AK158" s="1136"/>
      <c r="AL158" s="1748">
        <f t="shared" si="179"/>
        <v>0</v>
      </c>
      <c r="AM158" s="1749"/>
      <c r="AN158" s="1750"/>
      <c r="AO158" s="476">
        <f t="shared" si="163"/>
        <v>0</v>
      </c>
      <c r="AP158" s="476">
        <f t="shared" si="180"/>
        <v>0</v>
      </c>
      <c r="AQ158" s="475">
        <f t="shared" si="164"/>
        <v>0</v>
      </c>
      <c r="AR158" s="475">
        <f t="shared" si="181"/>
        <v>0</v>
      </c>
      <c r="AS158" s="743" t="str">
        <f t="shared" si="156"/>
        <v/>
      </c>
      <c r="AT158" s="736" t="str">
        <f t="shared" si="182"/>
        <v/>
      </c>
      <c r="AU158" s="56">
        <f t="shared" si="183"/>
        <v>1</v>
      </c>
      <c r="AV158" s="476">
        <f t="shared" si="184"/>
        <v>0</v>
      </c>
      <c r="AW158" s="56">
        <f t="shared" si="185"/>
        <v>0</v>
      </c>
      <c r="AX158" s="475">
        <f t="shared" si="165"/>
        <v>0</v>
      </c>
      <c r="AY158" s="1169">
        <f t="shared" si="186"/>
        <v>0</v>
      </c>
      <c r="AZ158" s="1150">
        <f t="shared" si="225"/>
        <v>0</v>
      </c>
      <c r="BA158" s="56">
        <f t="shared" si="166"/>
        <v>0</v>
      </c>
      <c r="BB158" s="420">
        <f t="shared" si="167"/>
        <v>0</v>
      </c>
      <c r="BC158" s="58" t="str">
        <f t="shared" si="168"/>
        <v/>
      </c>
      <c r="BD158" s="660">
        <f t="shared" si="226"/>
        <v>0</v>
      </c>
      <c r="BE158" s="57" t="e">
        <f t="array" ref="BE158">INDEX($EB$11:$ED$1022,MATCH(F158&amp;T158,$EB$11:$EB$1007&amp;$EC$11:$EC$1007,0),3)</f>
        <v>#N/A</v>
      </c>
      <c r="BF158" s="463">
        <f t="shared" si="157"/>
        <v>0</v>
      </c>
      <c r="BG158" s="1445" t="e">
        <f t="array" ref="BG158">INDEX($DO$112:$DQ$123,MATCH(T158&amp;W158,$DO$114:$DO$125&amp;$DP$112:$DP$123,0),3)</f>
        <v>#N/A</v>
      </c>
      <c r="BH158" s="1446">
        <f t="shared" si="187"/>
        <v>0</v>
      </c>
      <c r="BI158" s="465">
        <f t="shared" si="188"/>
        <v>0</v>
      </c>
      <c r="BJ158" s="465">
        <f t="shared" si="189"/>
        <v>0</v>
      </c>
      <c r="BK158" s="466">
        <f t="shared" si="158"/>
        <v>0</v>
      </c>
      <c r="BL158" s="466">
        <f t="shared" si="159"/>
        <v>0</v>
      </c>
      <c r="BM158" s="466">
        <f t="shared" si="190"/>
        <v>0</v>
      </c>
      <c r="BN158" s="466">
        <f t="shared" si="191"/>
        <v>0</v>
      </c>
      <c r="BO158" s="463">
        <f>IF('Data Entry'!$C$74=0,0,IF(ISNA(CJ158),0,IF(AX158=0,0,IF(AND('Data Entry'!$C$74=2,AF158&gt;2,CE158&lt;1),0,IF(AND('Data Entry'!$C$74=2,AF158&gt;1,AU158=2,CJ158&gt;1),0,IF(AND(AF158=5,CT158=0.5,AU158=2,ER158&lt;100),0,IF(AND(AF158=5,CT158=0.5,AU158=3,ER158&lt;100),0,IF(AND('Data Entry'!$C$74=2,AF158=2,AU158=2,AK158&gt;0.01,CB158=2,CE158&lt;1),0,IF(AND('Data Entry'!$C$74=2,AF158=3,AU158=3,AK158&gt;0.01,CB158=3,CE158&lt;1),0,IF(AND('Data Entry'!$C$74=2,AF158=3,AU158=3,AK158&gt;0.01,CB158=3,CE158&gt;0.99),BQ158*0.08,IF(AND('Data Entry'!$C$74=2,AF158=2,AU158=2,AK158&gt;0.01,CB158=2,CE158&gt;0.99),BQ158*0.1,IF(AND(AU158=2,AK158&gt;0.01,CB158=2,CD158&gt;1),BQ158*0.1,IF(AND(AU158=3,AK158&gt;0.01,CB158=3,CD158&gt;1),BQ158*0.08,CJ158*EF158)))))))))))))</f>
        <v>0</v>
      </c>
      <c r="BP158" s="475">
        <f t="shared" si="192"/>
        <v>0</v>
      </c>
      <c r="BQ158" s="1431">
        <f>IF(AU158=1,0,IF(CH158=100,0,IF(AND(AF158=3,AU158=2),0,IF(AND(BH158=0,CT158&gt;0.4),0,IF(AND('Data Entry'!$C$74=2,AF158=1.5),0,IF(AND('Data Entry'!$C$74=2,AF158=1.6),0,IF(AND('Data Entry'!$C$74=2,AF158=4),0,IF(AND('Data Entry'!$C$74=2,AF158=5),0,IF(AND('Data Entry'!$C$74=2,AF158=2.5,CE158&lt;1),0,IF(AND('Data Entry'!$C$74=2,AF158=3,CE158&lt;1),0,IF(AND('Data Entry'!$C$74=1,AF158=2.5,CD158&lt;1),0,IF(AND('Data Entry'!$C$74=1,AF158=3,CD158&lt;1),0,IF(DX158&gt;0.01,DX158,IF(ISERROR(AX158-AY158),"",ROUND(AX158-AY158,2)))))))))))))))</f>
        <v>0</v>
      </c>
      <c r="BR158" s="146">
        <f t="shared" si="193"/>
        <v>0</v>
      </c>
      <c r="BS158" s="475">
        <f t="shared" si="194"/>
        <v>0</v>
      </c>
      <c r="BT158" s="146" t="b">
        <f t="shared" si="195"/>
        <v>0</v>
      </c>
      <c r="BU158" s="463">
        <f>IF(ISNA(AT158),0,IF(AND('Data Entry'!$C$74=2,BC158=27),0,IF(AND('Data Entry'!$C$74=2,BC158=28),0,IF(AND(BC158=27,BT158=27,CM158&gt;0.1),CM158*0.15,IF(AND(BC158=28,BT158=28,CM158&gt;0.1),CM158*0.12,0)))))</f>
        <v>0</v>
      </c>
      <c r="BV158" s="463">
        <f t="shared" si="232"/>
        <v>0</v>
      </c>
      <c r="BW158" s="463">
        <f t="shared" si="196"/>
        <v>0</v>
      </c>
      <c r="BX158" s="463">
        <f t="shared" si="197"/>
        <v>0</v>
      </c>
      <c r="BY158" s="463">
        <f t="shared" si="198"/>
        <v>0</v>
      </c>
      <c r="BZ158" s="463">
        <f t="shared" si="199"/>
        <v>0</v>
      </c>
      <c r="CA158" s="57">
        <f t="shared" si="227"/>
        <v>0</v>
      </c>
      <c r="CB158" s="56">
        <f t="shared" si="200"/>
        <v>1</v>
      </c>
      <c r="CC158" s="756">
        <f>IF(EE158=0,0,IF(EF158=0,0,IF(EE158&gt;AA158,0,IF(AND(AZ158&gt;AW158,AW158&gt;0),0,IF(CU158=0,0,Summary!AC461)))))</f>
        <v>0</v>
      </c>
      <c r="CD158" s="756">
        <f>IF(EE158=0,0,IF(EF158=0,0,IF(EE158&gt;AA158,0,IF(AND(AZ158&gt;AW158,AW158&gt;0),0,IF(CU158=0,0,Summary!AD461)))))</f>
        <v>0</v>
      </c>
      <c r="CE158" s="756">
        <f>IF(EF158=0,0,IF(EE158&gt;AA158,0,IF(CC158=0,0,IF(AND(AZ158&gt;AW158,AW158&gt;0),0,IF(CU158=0,0,Summary!AE461)))))</f>
        <v>0</v>
      </c>
      <c r="CF158" s="475">
        <f t="shared" si="201"/>
        <v>0</v>
      </c>
      <c r="CG158" s="476">
        <f t="shared" si="169"/>
        <v>0</v>
      </c>
      <c r="CH158" s="487">
        <f t="shared" si="202"/>
        <v>0</v>
      </c>
      <c r="CI158" s="756">
        <f t="shared" si="203"/>
        <v>0</v>
      </c>
      <c r="CJ158" s="487">
        <f>IF(CT158&gt;0.4,0,IF(AND(AU158=2,CH158=0,CT158=0.5,ER158=100),35,IF(AND(AU158=3,BB158&gt;75,CH158=0,CT158=0.5,ER158=100),25,IF(CB158&gt;1,0,IF(EF158&gt;EE158,0,IF(AND(AF158&gt;1,CH158=100),0,IF(AND(AF158=1,AY158=0),0,IF(AND(EF158&lt;=EE158,AW158&gt;=AZ158,'Data Entry'!$C$74=1,AU158=2),VLOOKUP(W158,$DO$96:$DP$102,2,FALSE),IF(AND(EF158&lt;=EE158,AW158&gt;=AZ158,AU158=3,'Data Entry'!$C$74=1),VLOOKUP(W158,$DO$127:$DP$134,2,FALSE))))))))))</f>
        <v>0</v>
      </c>
      <c r="CK158" s="716">
        <f t="shared" si="204"/>
        <v>0</v>
      </c>
      <c r="CL158" s="57">
        <f t="shared" si="205"/>
        <v>0</v>
      </c>
      <c r="CM158" s="475">
        <f t="shared" si="231"/>
        <v>0</v>
      </c>
      <c r="CN158" s="660">
        <f>IF(CM158&lt;0.1,0,IF(ISNA(AT158),0,IF(CL158+BC158=1,0,IF(BV158&gt;0.01,0,IF(CL158&gt;0.01,0,IF(CF158=1,0,IF(BC158=0.5,0,IF(AND(CI158=1,AU158=3),0,IF(AND(CI158=5,CL158=0),0,IF(AND(R158=12,BR158=50),0,IF(CK158&gt;0.01,0,IF(AND(AJ158&gt;0.01,AU158=2,BC158=15),CM158*0.1,IF(AND(AJ158&gt;0.01,AU158=3,BC158=15),CM158*0.08,IF(AND(R158=12,BC158=3,AF158&lt;=0),0,IF(AND(BC158=15,BI158=0),0,IF(AND(BC158=15,BJ158=0),0,IF(AND(R158=20,CU158=0),0,IF($X$4=0,0,IF(AND(BC158=250,CL158=0),0,IF(AA158&lt;1,0,IF(AND(ISNUMBER(SEARCH("Area",T158)),AU158=3),0,IF(AND(AQ158&gt;0.01,AR158=0,BK158=0,BL158=0,BM158=0,BN158=0),0,IF(AND(AU158=3,CI158=7,CT158&gt;0.5),0,IF(AND(BC158=44,AU158=3,BY158=0),0,IF(AND(BC158=27,'Data Entry'!$C$74=2),0,IF(AND(BC158=28,'Data Entry'!$C$74=2),0,IF(AND(BY158+BZ158+CA158&gt;0.01,BV158=0,EQ158+ER158+ES158+ET158&lt;100),0,IF(AU158=3,CM158*0.08,IF(AU158=2,CM158*0.1,0)))))))))))))))))))))))))))))</f>
        <v>0</v>
      </c>
      <c r="CO158" s="660">
        <f t="shared" si="206"/>
        <v>0</v>
      </c>
      <c r="CP158" s="475" t="str">
        <f t="shared" si="207"/>
        <v/>
      </c>
      <c r="CQ158" s="161" t="str">
        <f>IF(AH158=0,0,IF(AU158=5,0,Summary!AC161))</f>
        <v/>
      </c>
      <c r="CR158" s="161" t="str">
        <f>IF(BF158=0.5,0,IF(AU158=5,0,Summary!AD161))</f>
        <v/>
      </c>
      <c r="CS158" s="161" t="str">
        <f>IF(AU158=5,0,Summary!AE161)</f>
        <v/>
      </c>
      <c r="CT158" s="161">
        <f t="shared" si="208"/>
        <v>0</v>
      </c>
      <c r="CU158" s="475" t="str">
        <f t="shared" si="209"/>
        <v/>
      </c>
      <c r="CV158" s="307">
        <f>IF('Data Entry'!$C$74=0,0,IF(AA158&lt;1,0,IF(ISERROR(CU158),0,IF(CF158=1,0,IF(AND(R158=12,BR158=50),0,IF(CL158+BO158+BV158+DC158=0,0,IF(BC158=37,0,IF(AND(BC158=40,AJ158=0),0,IF(AND(BC158=37,BO158&gt;0.01,BQ158&gt;0.01),ROUND(BQ158,0),IF(CM158&lt;0,0,ROUND(CM158,0)))))))))))</f>
        <v>0</v>
      </c>
      <c r="CW158" s="700">
        <f t="shared" si="210"/>
        <v>0</v>
      </c>
      <c r="CX158" s="477">
        <f>IF('Data Entry'!$C$74=0,0,IF(CV158&lt;0.01,0,IF(BF158=0.5,0,IF(CF158=1,0,IF(ISNUMBER(SEARCH("false",CL158)),0,IF(AZ158=500,0,CL158))))))</f>
        <v>0</v>
      </c>
      <c r="CY158" s="147" t="e">
        <f t="shared" si="211"/>
        <v>#VALUE!</v>
      </c>
      <c r="CZ158" s="147" t="b">
        <f>IF(CN158+CL158=0,FALSE,IF(AH158=0,0,IF(AND('Data Entry'!$C$74=1,CR158&gt;=1),TRUE,IF(AND('Data Entry'!$C$74=2,CS158&gt;=1),TRUE,FALSE))))</f>
        <v>0</v>
      </c>
      <c r="DA158" s="1751">
        <f>IF('Data Entry'!$C$74=0,0,IFERROR(ROUND(IF(T158="","",IF($X$4=0,0,IF(CF158=1,0,IF(BQ158+CV158=0,0,IF(CF158=1,0,IF(CY158&gt;0.01,CY158,IF(CL158&gt;0.01,CL158,IF(CY158&gt;0.01,CY158,IF(BC158=37,BO158,IF(CZ158=FALSE,0,IF(CZ158=TRUE,DC158+DF158,0))))))))))),2),""))</f>
        <v>0</v>
      </c>
      <c r="DB158" s="1752"/>
      <c r="DC158" s="474">
        <f>IF(CN158&lt;0.01,0,IF(AND(BR158=3,CN158&gt;0.01,CT158&gt;0.6,ER158+ES158+ET158&lt;100),0,IF(AND('Data Entry'!$C$74=1,CN158&gt;0.01,CR158&gt;0.99),MIN(CN158:CO158),IF(AND('Data Entry'!$C$74=2,CN158&gt;0.01,CS158&gt;0.99),MIN(CN158:CO158),0))))</f>
        <v>0</v>
      </c>
      <c r="DD158" s="478">
        <f>IF(CF158=1,"Selection does not match",IF(T158=0,0,IF(AND('Data Entry'!$C$74=0,CP158&gt;1),"Select Oregon or Idaho on Data Entry Tab",IF(AND(AU158=1,AA158&gt;0.9),"Missing Interior or Exterior Selection",IF($X$4=0,"Enter Total Project Cost",IF(AQ158&lt;AR158,"Insufficient kWh savings – no incentive",IF(AND(SUM(CL158+CK158+BV158)&gt;0.01,'Data Entry'!$C$74=2,CJ158&gt;1,BO158=0),"Submit Control as Non-Standard",IF(AND('Data Entry'!$C$74=2,BR158=37,CJ158&gt;1,BO158=0),"Submit Control as Non-Standard",IF(SUM(CL158+CK158+BV158)&gt;0.01,"Standard Incentive",IF(AND('Data Entry'!$C$74=2,CP158=7,CN158=0),"Submit as Non-Standard",IF(DC158&gt;0.9,"Non-Standard Incentive",IF(AND(BY158+BZ158+CA158&gt;0.01,BV158=0,EQ158=0,ER158=0,ES158=0,ET158=0),"Scroll Right &amp; Select Control Strategies",IF(AND(CN158&gt;0.01,CO158=0),"Enter Unit Installed Cost",IF(ISNUMBER(SEARCH("Lighting Controls Only",F158)),"Lighting Controls Only",IF(CL158+DC158=0,"Does not meet incentive criteria",0)))))))))))))))</f>
        <v>0</v>
      </c>
      <c r="DE158" s="337">
        <f t="shared" si="212"/>
        <v>0</v>
      </c>
      <c r="DF158" s="609">
        <f t="shared" si="213"/>
        <v>0</v>
      </c>
      <c r="DG158" s="336" t="str">
        <f t="shared" si="214"/>
        <v/>
      </c>
      <c r="DH158" s="338">
        <f t="shared" si="215"/>
        <v>1</v>
      </c>
      <c r="DI158" s="336" t="e">
        <f t="shared" si="170"/>
        <v>#VALUE!</v>
      </c>
      <c r="DJ158" s="338">
        <f t="shared" si="171"/>
        <v>0</v>
      </c>
      <c r="DK158" s="342" t="s">
        <v>99</v>
      </c>
      <c r="DL158" s="323">
        <v>461</v>
      </c>
      <c r="DM158" s="1143" t="s">
        <v>1563</v>
      </c>
      <c r="DN158" s="1123">
        <v>20</v>
      </c>
      <c r="DO158" s="331"/>
      <c r="DP158" s="332"/>
      <c r="DQ158" s="375"/>
      <c r="DR158" s="357"/>
      <c r="DS158" s="1195">
        <f t="shared" si="216"/>
        <v>0</v>
      </c>
      <c r="DT158" s="344" t="b">
        <f t="shared" si="217"/>
        <v>1</v>
      </c>
      <c r="DU158" s="1314" t="str">
        <f t="array" ref="DU158">IF(OR(COUNTIF(F158,"*"&amp;$DK$9:$DK$178&amp;"*")), "Yes", "")</f>
        <v/>
      </c>
      <c r="DV158" s="1314">
        <f t="shared" si="218"/>
        <v>0</v>
      </c>
      <c r="DW158" s="1480">
        <f t="shared" si="219"/>
        <v>0</v>
      </c>
      <c r="DX158" s="1498">
        <f t="shared" si="228"/>
        <v>0</v>
      </c>
      <c r="DY158" s="1484">
        <f t="shared" si="220"/>
        <v>0</v>
      </c>
      <c r="DZ158" s="331"/>
      <c r="EA158" s="392"/>
      <c r="EB158" s="1499" t="s">
        <v>1565</v>
      </c>
      <c r="EC158" s="727" t="s">
        <v>1568</v>
      </c>
      <c r="ED158" s="728">
        <v>0.5</v>
      </c>
      <c r="EE158" s="1215"/>
      <c r="EF158" s="1215"/>
      <c r="EG158" s="1184" t="str">
        <f t="shared" si="221"/>
        <v/>
      </c>
      <c r="EH158" s="55"/>
      <c r="EI158" s="55"/>
      <c r="EJ158" s="1185">
        <f t="shared" si="172"/>
        <v>0</v>
      </c>
      <c r="EK158" s="1211"/>
      <c r="EL158" s="1180">
        <f t="shared" si="173"/>
        <v>0</v>
      </c>
      <c r="EM158" s="206"/>
      <c r="EN158" s="1038"/>
      <c r="EO158" s="1038"/>
      <c r="EP158" s="1038"/>
      <c r="EQ158" s="1038">
        <f t="shared" si="222"/>
        <v>0</v>
      </c>
      <c r="ER158" s="1041">
        <f t="shared" si="223"/>
        <v>0</v>
      </c>
      <c r="ES158" s="1042">
        <f t="shared" si="224"/>
        <v>0</v>
      </c>
      <c r="ET158" s="1042">
        <f t="shared" si="229"/>
        <v>0</v>
      </c>
      <c r="EU158" s="1021">
        <f t="shared" si="230"/>
        <v>0</v>
      </c>
      <c r="EV158" s="368"/>
      <c r="EW158" s="368"/>
      <c r="EX158" s="369"/>
      <c r="EY158" s="370"/>
      <c r="EZ158" s="370"/>
      <c r="FA158" s="371"/>
      <c r="FB158" s="372"/>
    </row>
    <row r="159" spans="1:158" ht="34.5" customHeight="1">
      <c r="A159" s="82">
        <v>151</v>
      </c>
      <c r="B159" s="1725"/>
      <c r="C159" s="1726"/>
      <c r="D159" s="1726"/>
      <c r="E159" s="1727"/>
      <c r="F159" s="1732"/>
      <c r="G159" s="1733"/>
      <c r="H159" s="1733"/>
      <c r="I159" s="1734"/>
      <c r="J159" s="1341"/>
      <c r="K159" s="1728"/>
      <c r="L159" s="1728"/>
      <c r="M159" s="1342"/>
      <c r="N159" s="1583"/>
      <c r="O159" s="208" t="str">
        <f t="shared" si="160"/>
        <v/>
      </c>
      <c r="P159" s="785"/>
      <c r="Q159" s="39" t="str">
        <f t="shared" si="161"/>
        <v/>
      </c>
      <c r="R159" s="39">
        <f t="shared" si="174"/>
        <v>0</v>
      </c>
      <c r="S159" s="234">
        <f t="shared" si="175"/>
        <v>0</v>
      </c>
      <c r="T159" s="1755"/>
      <c r="U159" s="1755"/>
      <c r="V159" s="1755"/>
      <c r="W159" s="1345"/>
      <c r="X159" s="1741"/>
      <c r="Y159" s="1742"/>
      <c r="Z159" s="1346"/>
      <c r="AA159" s="1343"/>
      <c r="AB159" s="1141"/>
      <c r="AC159" s="1103" t="str">
        <f>IF(T159="","",VLOOKUP(Z159,Lists!$A$60:$B$111,2,FALSE))</f>
        <v/>
      </c>
      <c r="AD159" s="130" t="str">
        <f t="shared" si="176"/>
        <v/>
      </c>
      <c r="AE159" s="130" t="e">
        <f t="shared" si="177"/>
        <v>#VALUE!</v>
      </c>
      <c r="AF159" s="130">
        <f t="shared" si="178"/>
        <v>1</v>
      </c>
      <c r="AG159" s="234">
        <f t="shared" si="162"/>
        <v>0</v>
      </c>
      <c r="AH159" s="1753" t="str">
        <f>IF(T159="","",(IF(ISNUMBER(SEARCH("exit",T159)),8760,IF(AND(M159="Dusk to Dawn",'Proposed Lighting'!AU159=3),4059,IF(AND(AU159=3,M159="1"),0,IF(AND(AU159=3,M159="1-C"),0,IF(AND(AU159=3,M159="2"),0,IF(AND(AU159=3,M159="2-C"),0,IF(AND(AU159=3,M159="3"),0,IF(AND(AU159=3,M159="3-C"),0,IF(AND(AU159=2,M159="Dusk to Dawn"),0,IF(AND(AU159=2,M159="Dusk to Dawn-C"),0,IF(AND(AU159=2,M159="Dusk to Dawn"),0,IF(AND(AU159=2,M159="E"),0,IF(AND(AU159=2,M159="E-C"),0,EG159)))))))))))))))</f>
        <v/>
      </c>
      <c r="AI159" s="1754"/>
      <c r="AJ159" s="1136"/>
      <c r="AK159" s="1136"/>
      <c r="AL159" s="1748">
        <f t="shared" si="179"/>
        <v>0</v>
      </c>
      <c r="AM159" s="1749"/>
      <c r="AN159" s="1750"/>
      <c r="AO159" s="476">
        <f t="shared" si="163"/>
        <v>0</v>
      </c>
      <c r="AP159" s="476">
        <f t="shared" si="180"/>
        <v>0</v>
      </c>
      <c r="AQ159" s="475">
        <f t="shared" si="164"/>
        <v>0</v>
      </c>
      <c r="AR159" s="475">
        <f t="shared" si="181"/>
        <v>0</v>
      </c>
      <c r="AS159" s="743" t="str">
        <f t="shared" si="156"/>
        <v/>
      </c>
      <c r="AT159" s="736" t="str">
        <f t="shared" si="182"/>
        <v/>
      </c>
      <c r="AU159" s="56">
        <f t="shared" si="183"/>
        <v>1</v>
      </c>
      <c r="AV159" s="476">
        <f t="shared" si="184"/>
        <v>0</v>
      </c>
      <c r="AW159" s="56">
        <f t="shared" si="185"/>
        <v>0</v>
      </c>
      <c r="AX159" s="475">
        <f t="shared" si="165"/>
        <v>0</v>
      </c>
      <c r="AY159" s="1169">
        <f t="shared" si="186"/>
        <v>0</v>
      </c>
      <c r="AZ159" s="1150">
        <f t="shared" si="225"/>
        <v>0</v>
      </c>
      <c r="BA159" s="56">
        <f t="shared" si="166"/>
        <v>0</v>
      </c>
      <c r="BB159" s="420">
        <f t="shared" si="167"/>
        <v>0</v>
      </c>
      <c r="BC159" s="58" t="str">
        <f t="shared" si="168"/>
        <v/>
      </c>
      <c r="BD159" s="660">
        <f t="shared" si="226"/>
        <v>0</v>
      </c>
      <c r="BE159" s="57" t="e">
        <f t="array" ref="BE159">INDEX($EB$11:$ED$1022,MATCH(F159&amp;T159,$EB$11:$EB$1007&amp;$EC$11:$EC$1007,0),3)</f>
        <v>#N/A</v>
      </c>
      <c r="BF159" s="463">
        <f t="shared" si="157"/>
        <v>0</v>
      </c>
      <c r="BG159" s="1445" t="e">
        <f t="array" ref="BG159">INDEX($DO$112:$DQ$123,MATCH(T159&amp;W159,$DO$114:$DO$125&amp;$DP$112:$DP$123,0),3)</f>
        <v>#N/A</v>
      </c>
      <c r="BH159" s="1446">
        <f t="shared" si="187"/>
        <v>0</v>
      </c>
      <c r="BI159" s="465">
        <f t="shared" si="188"/>
        <v>0</v>
      </c>
      <c r="BJ159" s="465">
        <f t="shared" si="189"/>
        <v>0</v>
      </c>
      <c r="BK159" s="466">
        <f t="shared" si="158"/>
        <v>0</v>
      </c>
      <c r="BL159" s="466">
        <f t="shared" si="159"/>
        <v>0</v>
      </c>
      <c r="BM159" s="466">
        <f t="shared" si="190"/>
        <v>0</v>
      </c>
      <c r="BN159" s="466">
        <f t="shared" si="191"/>
        <v>0</v>
      </c>
      <c r="BO159" s="463">
        <f>IF('Data Entry'!$C$74=0,0,IF(ISNA(CJ159),0,IF(AX159=0,0,IF(AND('Data Entry'!$C$74=2,AF159&gt;2,CE159&lt;1),0,IF(AND('Data Entry'!$C$74=2,AF159&gt;1,AU159=2,CJ159&gt;1),0,IF(AND(AF159=5,CT159=0.5,AU159=2,ER159&lt;100),0,IF(AND(AF159=5,CT159=0.5,AU159=3,ER159&lt;100),0,IF(AND('Data Entry'!$C$74=2,AF159=2,AU159=2,AK159&gt;0.01,CB159=2,CE159&lt;1),0,IF(AND('Data Entry'!$C$74=2,AF159=3,AU159=3,AK159&gt;0.01,CB159=3,CE159&lt;1),0,IF(AND('Data Entry'!$C$74=2,AF159=3,AU159=3,AK159&gt;0.01,CB159=3,CE159&gt;0.99),BQ159*0.08,IF(AND('Data Entry'!$C$74=2,AF159=2,AU159=2,AK159&gt;0.01,CB159=2,CE159&gt;0.99),BQ159*0.1,IF(AND(AU159=2,AK159&gt;0.01,CB159=2,CD159&gt;1),BQ159*0.1,IF(AND(AU159=3,AK159&gt;0.01,CB159=3,CD159&gt;1),BQ159*0.08,CJ159*EF159)))))))))))))</f>
        <v>0</v>
      </c>
      <c r="BP159" s="475">
        <f t="shared" si="192"/>
        <v>0</v>
      </c>
      <c r="BQ159" s="1431">
        <f>IF(AU159=1,0,IF(CH159=100,0,IF(AND(AF159=3,AU159=2),0,IF(AND(BH159=0,CT159&gt;0.4),0,IF(AND('Data Entry'!$C$74=2,AF159=1.5),0,IF(AND('Data Entry'!$C$74=2,AF159=1.6),0,IF(AND('Data Entry'!$C$74=2,AF159=4),0,IF(AND('Data Entry'!$C$74=2,AF159=5),0,IF(AND('Data Entry'!$C$74=2,AF159=2.5,CE159&lt;1),0,IF(AND('Data Entry'!$C$74=2,AF159=3,CE159&lt;1),0,IF(AND('Data Entry'!$C$74=1,AF159=2.5,CD159&lt;1),0,IF(AND('Data Entry'!$C$74=1,AF159=3,CD159&lt;1),0,IF(DX159&gt;0.01,DX159,IF(ISERROR(AX159-AY159),"",ROUND(AX159-AY159,2)))))))))))))))</f>
        <v>0</v>
      </c>
      <c r="BR159" s="146">
        <f t="shared" si="193"/>
        <v>0</v>
      </c>
      <c r="BS159" s="475">
        <f t="shared" si="194"/>
        <v>0</v>
      </c>
      <c r="BT159" s="146" t="b">
        <f t="shared" si="195"/>
        <v>0</v>
      </c>
      <c r="BU159" s="463">
        <f>IF(ISNA(AT159),0,IF(AND('Data Entry'!$C$74=2,BC159=27),0,IF(AND('Data Entry'!$C$74=2,BC159=28),0,IF(AND(BC159=27,BT159=27,CM159&gt;0.1),CM159*0.15,IF(AND(BC159=28,BT159=28,CM159&gt;0.1),CM159*0.12,0)))))</f>
        <v>0</v>
      </c>
      <c r="BV159" s="463">
        <f t="shared" si="232"/>
        <v>0</v>
      </c>
      <c r="BW159" s="463">
        <f t="shared" si="196"/>
        <v>0</v>
      </c>
      <c r="BX159" s="463">
        <f t="shared" si="197"/>
        <v>0</v>
      </c>
      <c r="BY159" s="463">
        <f t="shared" si="198"/>
        <v>0</v>
      </c>
      <c r="BZ159" s="463">
        <f t="shared" si="199"/>
        <v>0</v>
      </c>
      <c r="CA159" s="57">
        <f t="shared" si="227"/>
        <v>0</v>
      </c>
      <c r="CB159" s="56">
        <f t="shared" si="200"/>
        <v>1</v>
      </c>
      <c r="CC159" s="756">
        <f>IF(EE159=0,0,IF(EF159=0,0,IF(EE159&gt;AA159,0,IF(AND(AZ159&gt;AW159,AW159&gt;0),0,IF(CU159=0,0,Summary!AC462)))))</f>
        <v>0</v>
      </c>
      <c r="CD159" s="756">
        <f>IF(EE159=0,0,IF(EF159=0,0,IF(EE159&gt;AA159,0,IF(AND(AZ159&gt;AW159,AW159&gt;0),0,IF(CU159=0,0,Summary!AD462)))))</f>
        <v>0</v>
      </c>
      <c r="CE159" s="756">
        <f>IF(EF159=0,0,IF(EE159&gt;AA159,0,IF(CC159=0,0,IF(AND(AZ159&gt;AW159,AW159&gt;0),0,IF(CU159=0,0,Summary!AE462)))))</f>
        <v>0</v>
      </c>
      <c r="CF159" s="475">
        <f t="shared" si="201"/>
        <v>0</v>
      </c>
      <c r="CG159" s="476">
        <f t="shared" si="169"/>
        <v>0</v>
      </c>
      <c r="CH159" s="487">
        <f t="shared" si="202"/>
        <v>0</v>
      </c>
      <c r="CI159" s="756">
        <f t="shared" si="203"/>
        <v>0</v>
      </c>
      <c r="CJ159" s="487">
        <f>IF(CT159&gt;0.4,0,IF(AND(AU159=2,CH159=0,CT159=0.5,ER159=100),35,IF(AND(AU159=3,BB159&gt;75,CH159=0,CT159=0.5,ER159=100),25,IF(CB159&gt;1,0,IF(EF159&gt;EE159,0,IF(AND(AF159&gt;1,CH159=100),0,IF(AND(AF159=1,AY159=0),0,IF(AND(EF159&lt;=EE159,AW159&gt;=AZ159,'Data Entry'!$C$74=1,AU159=2),VLOOKUP(W159,$DO$96:$DP$102,2,FALSE),IF(AND(EF159&lt;=EE159,AW159&gt;=AZ159,AU159=3,'Data Entry'!$C$74=1),VLOOKUP(W159,$DO$127:$DP$134,2,FALSE))))))))))</f>
        <v>0</v>
      </c>
      <c r="CK159" s="716">
        <f t="shared" si="204"/>
        <v>0</v>
      </c>
      <c r="CL159" s="57">
        <f t="shared" si="205"/>
        <v>0</v>
      </c>
      <c r="CM159" s="475">
        <f t="shared" si="231"/>
        <v>0</v>
      </c>
      <c r="CN159" s="660">
        <f>IF(CM159&lt;0.1,0,IF(ISNA(AT159),0,IF(CL159+BC159=1,0,IF(BV159&gt;0.01,0,IF(CL159&gt;0.01,0,IF(CF159=1,0,IF(BC159=0.5,0,IF(AND(CI159=1,AU159=3),0,IF(AND(CI159=5,CL159=0),0,IF(AND(R159=12,BR159=50),0,IF(CK159&gt;0.01,0,IF(AND(AJ159&gt;0.01,AU159=2,BC159=15),CM159*0.1,IF(AND(AJ159&gt;0.01,AU159=3,BC159=15),CM159*0.08,IF(AND(R159=12,BC159=3,AF159&lt;=0),0,IF(AND(BC159=15,BI159=0),0,IF(AND(BC159=15,BJ159=0),0,IF(AND(R159=20,CU159=0),0,IF($X$4=0,0,IF(AND(BC159=250,CL159=0),0,IF(AA159&lt;1,0,IF(AND(ISNUMBER(SEARCH("Area",T159)),AU159=3),0,IF(AND(AQ159&gt;0.01,AR159=0,BK159=0,BL159=0,BM159=0,BN159=0),0,IF(AND(AU159=3,CI159=7,CT159&gt;0.5),0,IF(AND(BC159=44,AU159=3,BY159=0),0,IF(AND(BC159=27,'Data Entry'!$C$74=2),0,IF(AND(BC159=28,'Data Entry'!$C$74=2),0,IF(AND(BY159+BZ159+CA159&gt;0.01,BV159=0,EQ159+ER159+ES159+ET159&lt;100),0,IF(AU159=3,CM159*0.08,IF(AU159=2,CM159*0.1,0)))))))))))))))))))))))))))))</f>
        <v>0</v>
      </c>
      <c r="CO159" s="660">
        <f t="shared" si="206"/>
        <v>0</v>
      </c>
      <c r="CP159" s="475" t="str">
        <f t="shared" si="207"/>
        <v/>
      </c>
      <c r="CQ159" s="161" t="str">
        <f>IF(AH159=0,0,IF(AU159=5,0,Summary!AC162))</f>
        <v/>
      </c>
      <c r="CR159" s="161" t="str">
        <f>IF(BF159=0.5,0,IF(AU159=5,0,Summary!AD162))</f>
        <v/>
      </c>
      <c r="CS159" s="161" t="str">
        <f>IF(AU159=5,0,Summary!AE162)</f>
        <v/>
      </c>
      <c r="CT159" s="161">
        <f t="shared" si="208"/>
        <v>0</v>
      </c>
      <c r="CU159" s="475" t="str">
        <f t="shared" si="209"/>
        <v/>
      </c>
      <c r="CV159" s="307">
        <f>IF('Data Entry'!$C$74=0,0,IF(AA159&lt;1,0,IF(ISERROR(CU159),0,IF(CF159=1,0,IF(AND(R159=12,BR159=50),0,IF(CL159+BO159+BV159+DC159=0,0,IF(BC159=37,0,IF(AND(BC159=40,AJ159=0),0,IF(AND(BC159=37,BO159&gt;0.01,BQ159&gt;0.01),ROUND(BQ159,0),IF(CM159&lt;0,0,ROUND(CM159,0)))))))))))</f>
        <v>0</v>
      </c>
      <c r="CW159" s="700">
        <f t="shared" si="210"/>
        <v>0</v>
      </c>
      <c r="CX159" s="477">
        <f>IF('Data Entry'!$C$74=0,0,IF(CV159&lt;0.01,0,IF(BF159=0.5,0,IF(CF159=1,0,IF(ISNUMBER(SEARCH("false",CL159)),0,IF(AZ159=500,0,CL159))))))</f>
        <v>0</v>
      </c>
      <c r="CY159" s="147" t="e">
        <f t="shared" si="211"/>
        <v>#VALUE!</v>
      </c>
      <c r="CZ159" s="147" t="b">
        <f>IF(CN159+CL159=0,FALSE,IF(AH159=0,0,IF(AND('Data Entry'!$C$74=1,CR159&gt;=1),TRUE,IF(AND('Data Entry'!$C$74=2,CS159&gt;=1),TRUE,FALSE))))</f>
        <v>0</v>
      </c>
      <c r="DA159" s="1751">
        <f>IF('Data Entry'!$C$74=0,0,IFERROR(ROUND(IF(T159="","",IF($X$4=0,0,IF(CF159=1,0,IF(BQ159+CV159=0,0,IF(CF159=1,0,IF(CY159&gt;0.01,CY159,IF(CL159&gt;0.01,CL159,IF(CY159&gt;0.01,CY159,IF(BC159=37,BO159,IF(CZ159=FALSE,0,IF(CZ159=TRUE,DC159+DF159,0))))))))))),2),""))</f>
        <v>0</v>
      </c>
      <c r="DB159" s="1752"/>
      <c r="DC159" s="474">
        <f>IF(CN159&lt;0.01,0,IF(AND(BR159=3,CN159&gt;0.01,CT159&gt;0.6,ER159+ES159+ET159&lt;100),0,IF(AND('Data Entry'!$C$74=1,CN159&gt;0.01,CR159&gt;0.99),MIN(CN159:CO159),IF(AND('Data Entry'!$C$74=2,CN159&gt;0.01,CS159&gt;0.99),MIN(CN159:CO159),0))))</f>
        <v>0</v>
      </c>
      <c r="DD159" s="478">
        <f>IF(CF159=1,"Selection does not match",IF(T159=0,0,IF(AND('Data Entry'!$C$74=0,CP159&gt;1),"Select Oregon or Idaho on Data Entry Tab",IF(AND(AU159=1,AA159&gt;0.9),"Missing Interior or Exterior Selection",IF($X$4=0,"Enter Total Project Cost",IF(AQ159&lt;AR159,"Insufficient kWh savings – no incentive",IF(AND(SUM(CL159+CK159+BV159)&gt;0.01,'Data Entry'!$C$74=2,CJ159&gt;1,BO159=0),"Submit Control as Non-Standard",IF(AND('Data Entry'!$C$74=2,BR159=37,CJ159&gt;1,BO159=0),"Submit Control as Non-Standard",IF(SUM(CL159+CK159+BV159)&gt;0.01,"Standard Incentive",IF(AND('Data Entry'!$C$74=2,CP159=7,CN159=0),"Submit as Non-Standard",IF(DC159&gt;0.9,"Non-Standard Incentive",IF(AND(BY159+BZ159+CA159&gt;0.01,BV159=0,EQ159=0,ER159=0,ES159=0,ET159=0),"Scroll Right &amp; Select Control Strategies",IF(AND(CN159&gt;0.01,CO159=0),"Enter Unit Installed Cost",IF(ISNUMBER(SEARCH("Lighting Controls Only",F159)),"Lighting Controls Only",IF(CL159+DC159=0,"Does not meet incentive criteria",0)))))))))))))))</f>
        <v>0</v>
      </c>
      <c r="DE159" s="337">
        <f t="shared" si="212"/>
        <v>0</v>
      </c>
      <c r="DF159" s="609">
        <f t="shared" si="213"/>
        <v>0</v>
      </c>
      <c r="DG159" s="336" t="str">
        <f t="shared" si="214"/>
        <v/>
      </c>
      <c r="DH159" s="338">
        <f t="shared" si="215"/>
        <v>1</v>
      </c>
      <c r="DI159" s="336" t="e">
        <f t="shared" si="170"/>
        <v>#VALUE!</v>
      </c>
      <c r="DJ159" s="338">
        <f t="shared" si="171"/>
        <v>0</v>
      </c>
      <c r="DK159" s="320" t="s">
        <v>100</v>
      </c>
      <c r="DL159" s="323">
        <v>1080</v>
      </c>
      <c r="DM159" s="1143" t="s">
        <v>147</v>
      </c>
      <c r="DN159" s="820">
        <v>24</v>
      </c>
      <c r="DO159" s="331"/>
      <c r="DP159" s="332"/>
      <c r="DQ159" s="331"/>
      <c r="DR159" s="357"/>
      <c r="DS159" s="1195">
        <f t="shared" si="216"/>
        <v>0</v>
      </c>
      <c r="DT159" s="344" t="b">
        <f t="shared" si="217"/>
        <v>1</v>
      </c>
      <c r="DU159" s="1314" t="str">
        <f t="array" ref="DU159">IF(OR(COUNTIF(F159,"*"&amp;$DK$9:$DK$178&amp;"*")), "Yes", "")</f>
        <v/>
      </c>
      <c r="DV159" s="1314">
        <f t="shared" si="218"/>
        <v>0</v>
      </c>
      <c r="DW159" s="1480">
        <f t="shared" si="219"/>
        <v>0</v>
      </c>
      <c r="DX159" s="1498">
        <f t="shared" si="228"/>
        <v>0</v>
      </c>
      <c r="DY159" s="1484">
        <f t="shared" si="220"/>
        <v>0</v>
      </c>
      <c r="DZ159" s="331"/>
      <c r="EA159" s="392"/>
      <c r="EB159" s="1499" t="s">
        <v>97</v>
      </c>
      <c r="EC159" s="727" t="s">
        <v>1568</v>
      </c>
      <c r="ED159" s="728">
        <v>0.5</v>
      </c>
      <c r="EE159" s="1215"/>
      <c r="EF159" s="1215"/>
      <c r="EG159" s="1184" t="str">
        <f t="shared" si="221"/>
        <v/>
      </c>
      <c r="EH159" s="55"/>
      <c r="EI159" s="55"/>
      <c r="EJ159" s="1185">
        <f t="shared" si="172"/>
        <v>0</v>
      </c>
      <c r="EK159" s="1211"/>
      <c r="EL159" s="1180">
        <f t="shared" si="173"/>
        <v>0</v>
      </c>
      <c r="EM159" s="206"/>
      <c r="EN159" s="1038"/>
      <c r="EO159" s="1038"/>
      <c r="EP159" s="1038"/>
      <c r="EQ159" s="1038">
        <f t="shared" si="222"/>
        <v>0</v>
      </c>
      <c r="ER159" s="1041">
        <f t="shared" si="223"/>
        <v>0</v>
      </c>
      <c r="ES159" s="1042">
        <f t="shared" si="224"/>
        <v>0</v>
      </c>
      <c r="ET159" s="1042">
        <f t="shared" si="229"/>
        <v>0</v>
      </c>
      <c r="EU159" s="1021">
        <f t="shared" si="230"/>
        <v>0</v>
      </c>
      <c r="EV159" s="368"/>
      <c r="EW159" s="368"/>
      <c r="EX159" s="369"/>
      <c r="EY159" s="370"/>
      <c r="EZ159" s="370"/>
      <c r="FA159" s="371"/>
      <c r="FB159" s="372"/>
    </row>
    <row r="160" spans="1:158" ht="34.5" customHeight="1">
      <c r="A160" s="82">
        <v>152</v>
      </c>
      <c r="B160" s="1725"/>
      <c r="C160" s="1726"/>
      <c r="D160" s="1726"/>
      <c r="E160" s="1727"/>
      <c r="F160" s="1732"/>
      <c r="G160" s="1733"/>
      <c r="H160" s="1733"/>
      <c r="I160" s="1734"/>
      <c r="J160" s="1341"/>
      <c r="K160" s="1728"/>
      <c r="L160" s="1728"/>
      <c r="M160" s="1342"/>
      <c r="N160" s="1583"/>
      <c r="O160" s="208" t="str">
        <f t="shared" si="160"/>
        <v/>
      </c>
      <c r="P160" s="785"/>
      <c r="Q160" s="39" t="str">
        <f t="shared" si="161"/>
        <v/>
      </c>
      <c r="R160" s="39">
        <f t="shared" si="174"/>
        <v>0</v>
      </c>
      <c r="S160" s="234">
        <f t="shared" si="175"/>
        <v>0</v>
      </c>
      <c r="T160" s="1755"/>
      <c r="U160" s="1755"/>
      <c r="V160" s="1755"/>
      <c r="W160" s="1345"/>
      <c r="X160" s="1741"/>
      <c r="Y160" s="1742"/>
      <c r="Z160" s="1346"/>
      <c r="AA160" s="1343"/>
      <c r="AB160" s="1141"/>
      <c r="AC160" s="1103" t="str">
        <f>IF(T160="","",VLOOKUP(Z160,Lists!$A$60:$B$111,2,FALSE))</f>
        <v/>
      </c>
      <c r="AD160" s="130" t="str">
        <f t="shared" si="176"/>
        <v/>
      </c>
      <c r="AE160" s="130" t="e">
        <f t="shared" si="177"/>
        <v>#VALUE!</v>
      </c>
      <c r="AF160" s="130">
        <f t="shared" si="178"/>
        <v>1</v>
      </c>
      <c r="AG160" s="234">
        <f t="shared" si="162"/>
        <v>0</v>
      </c>
      <c r="AH160" s="1753" t="str">
        <f>IF(T160="","",(IF(ISNUMBER(SEARCH("exit",T160)),8760,IF(AND(M160="Dusk to Dawn",'Proposed Lighting'!AU160=3),4059,IF(AND(AU160=3,M160="1"),0,IF(AND(AU160=3,M160="1-C"),0,IF(AND(AU160=3,M160="2"),0,IF(AND(AU160=3,M160="2-C"),0,IF(AND(AU160=3,M160="3"),0,IF(AND(AU160=3,M160="3-C"),0,IF(AND(AU160=2,M160="Dusk to Dawn"),0,IF(AND(AU160=2,M160="Dusk to Dawn-C"),0,IF(AND(AU160=2,M160="Dusk to Dawn"),0,IF(AND(AU160=2,M160="E"),0,IF(AND(AU160=2,M160="E-C"),0,EG160)))))))))))))))</f>
        <v/>
      </c>
      <c r="AI160" s="1754"/>
      <c r="AJ160" s="1136"/>
      <c r="AK160" s="1136"/>
      <c r="AL160" s="1748">
        <f t="shared" si="179"/>
        <v>0</v>
      </c>
      <c r="AM160" s="1749"/>
      <c r="AN160" s="1750"/>
      <c r="AO160" s="476">
        <f t="shared" si="163"/>
        <v>0</v>
      </c>
      <c r="AP160" s="476">
        <f t="shared" si="180"/>
        <v>0</v>
      </c>
      <c r="AQ160" s="475">
        <f t="shared" si="164"/>
        <v>0</v>
      </c>
      <c r="AR160" s="475">
        <f t="shared" si="181"/>
        <v>0</v>
      </c>
      <c r="AS160" s="743" t="str">
        <f t="shared" si="156"/>
        <v/>
      </c>
      <c r="AT160" s="736" t="str">
        <f t="shared" si="182"/>
        <v/>
      </c>
      <c r="AU160" s="56">
        <f t="shared" si="183"/>
        <v>1</v>
      </c>
      <c r="AV160" s="476">
        <f t="shared" si="184"/>
        <v>0</v>
      </c>
      <c r="AW160" s="56">
        <f t="shared" si="185"/>
        <v>0</v>
      </c>
      <c r="AX160" s="475">
        <f t="shared" si="165"/>
        <v>0</v>
      </c>
      <c r="AY160" s="1169">
        <f t="shared" si="186"/>
        <v>0</v>
      </c>
      <c r="AZ160" s="1150">
        <f t="shared" si="225"/>
        <v>0</v>
      </c>
      <c r="BA160" s="56">
        <f t="shared" si="166"/>
        <v>0</v>
      </c>
      <c r="BB160" s="420">
        <f t="shared" si="167"/>
        <v>0</v>
      </c>
      <c r="BC160" s="58" t="str">
        <f t="shared" si="168"/>
        <v/>
      </c>
      <c r="BD160" s="660">
        <f t="shared" si="226"/>
        <v>0</v>
      </c>
      <c r="BE160" s="57" t="e">
        <f t="array" ref="BE160">INDEX($EB$11:$ED$1022,MATCH(F160&amp;T160,$EB$11:$EB$1007&amp;$EC$11:$EC$1007,0),3)</f>
        <v>#N/A</v>
      </c>
      <c r="BF160" s="463">
        <f t="shared" si="157"/>
        <v>0</v>
      </c>
      <c r="BG160" s="1445" t="e">
        <f t="array" ref="BG160">INDEX($DO$112:$DQ$123,MATCH(T160&amp;W160,$DO$114:$DO$125&amp;$DP$112:$DP$123,0),3)</f>
        <v>#N/A</v>
      </c>
      <c r="BH160" s="1446">
        <f t="shared" si="187"/>
        <v>0</v>
      </c>
      <c r="BI160" s="465">
        <f t="shared" si="188"/>
        <v>0</v>
      </c>
      <c r="BJ160" s="465">
        <f t="shared" si="189"/>
        <v>0</v>
      </c>
      <c r="BK160" s="466">
        <f t="shared" si="158"/>
        <v>0</v>
      </c>
      <c r="BL160" s="466">
        <f t="shared" si="159"/>
        <v>0</v>
      </c>
      <c r="BM160" s="466">
        <f t="shared" si="190"/>
        <v>0</v>
      </c>
      <c r="BN160" s="466">
        <f t="shared" si="191"/>
        <v>0</v>
      </c>
      <c r="BO160" s="463">
        <f>IF('Data Entry'!$C$74=0,0,IF(ISNA(CJ160),0,IF(AX160=0,0,IF(AND('Data Entry'!$C$74=2,AF160&gt;2,CE160&lt;1),0,IF(AND('Data Entry'!$C$74=2,AF160&gt;1,AU160=2,CJ160&gt;1),0,IF(AND(AF160=5,CT160=0.5,AU160=2,ER160&lt;100),0,IF(AND(AF160=5,CT160=0.5,AU160=3,ER160&lt;100),0,IF(AND('Data Entry'!$C$74=2,AF160=2,AU160=2,AK160&gt;0.01,CB160=2,CE160&lt;1),0,IF(AND('Data Entry'!$C$74=2,AF160=3,AU160=3,AK160&gt;0.01,CB160=3,CE160&lt;1),0,IF(AND('Data Entry'!$C$74=2,AF160=3,AU160=3,AK160&gt;0.01,CB160=3,CE160&gt;0.99),BQ160*0.08,IF(AND('Data Entry'!$C$74=2,AF160=2,AU160=2,AK160&gt;0.01,CB160=2,CE160&gt;0.99),BQ160*0.1,IF(AND(AU160=2,AK160&gt;0.01,CB160=2,CD160&gt;1),BQ160*0.1,IF(AND(AU160=3,AK160&gt;0.01,CB160=3,CD160&gt;1),BQ160*0.08,CJ160*EF160)))))))))))))</f>
        <v>0</v>
      </c>
      <c r="BP160" s="475">
        <f t="shared" si="192"/>
        <v>0</v>
      </c>
      <c r="BQ160" s="1431">
        <f>IF(AU160=1,0,IF(CH160=100,0,IF(AND(AF160=3,AU160=2),0,IF(AND(BH160=0,CT160&gt;0.4),0,IF(AND('Data Entry'!$C$74=2,AF160=1.5),0,IF(AND('Data Entry'!$C$74=2,AF160=1.6),0,IF(AND('Data Entry'!$C$74=2,AF160=4),0,IF(AND('Data Entry'!$C$74=2,AF160=5),0,IF(AND('Data Entry'!$C$74=2,AF160=2.5,CE160&lt;1),0,IF(AND('Data Entry'!$C$74=2,AF160=3,CE160&lt;1),0,IF(AND('Data Entry'!$C$74=1,AF160=2.5,CD160&lt;1),0,IF(AND('Data Entry'!$C$74=1,AF160=3,CD160&lt;1),0,IF(DX160&gt;0.01,DX160,IF(ISERROR(AX160-AY160),"",ROUND(AX160-AY160,2)))))))))))))))</f>
        <v>0</v>
      </c>
      <c r="BR160" s="146">
        <f t="shared" si="193"/>
        <v>0</v>
      </c>
      <c r="BS160" s="475">
        <f t="shared" si="194"/>
        <v>0</v>
      </c>
      <c r="BT160" s="146" t="b">
        <f t="shared" si="195"/>
        <v>0</v>
      </c>
      <c r="BU160" s="463">
        <f>IF(ISNA(AT160),0,IF(AND('Data Entry'!$C$74=2,BC160=27),0,IF(AND('Data Entry'!$C$74=2,BC160=28),0,IF(AND(BC160=27,BT160=27,CM160&gt;0.1),CM160*0.15,IF(AND(BC160=28,BT160=28,CM160&gt;0.1),CM160*0.12,0)))))</f>
        <v>0</v>
      </c>
      <c r="BV160" s="463">
        <f t="shared" si="232"/>
        <v>0</v>
      </c>
      <c r="BW160" s="463">
        <f t="shared" si="196"/>
        <v>0</v>
      </c>
      <c r="BX160" s="463">
        <f t="shared" si="197"/>
        <v>0</v>
      </c>
      <c r="BY160" s="463">
        <f t="shared" si="198"/>
        <v>0</v>
      </c>
      <c r="BZ160" s="463">
        <f t="shared" si="199"/>
        <v>0</v>
      </c>
      <c r="CA160" s="57">
        <f t="shared" si="227"/>
        <v>0</v>
      </c>
      <c r="CB160" s="56">
        <f t="shared" si="200"/>
        <v>1</v>
      </c>
      <c r="CC160" s="756">
        <f>IF(EE160=0,0,IF(EF160=0,0,IF(EE160&gt;AA160,0,IF(AND(AZ160&gt;AW160,AW160&gt;0),0,IF(CU160=0,0,Summary!AC463)))))</f>
        <v>0</v>
      </c>
      <c r="CD160" s="756">
        <f>IF(EE160=0,0,IF(EF160=0,0,IF(EE160&gt;AA160,0,IF(AND(AZ160&gt;AW160,AW160&gt;0),0,IF(CU160=0,0,Summary!AD463)))))</f>
        <v>0</v>
      </c>
      <c r="CE160" s="756">
        <f>IF(EF160=0,0,IF(EE160&gt;AA160,0,IF(CC160=0,0,IF(AND(AZ160&gt;AW160,AW160&gt;0),0,IF(CU160=0,0,Summary!AE463)))))</f>
        <v>0</v>
      </c>
      <c r="CF160" s="475">
        <f t="shared" si="201"/>
        <v>0</v>
      </c>
      <c r="CG160" s="476">
        <f t="shared" si="169"/>
        <v>0</v>
      </c>
      <c r="CH160" s="487">
        <f t="shared" si="202"/>
        <v>0</v>
      </c>
      <c r="CI160" s="756">
        <f t="shared" si="203"/>
        <v>0</v>
      </c>
      <c r="CJ160" s="487">
        <f>IF(CT160&gt;0.4,0,IF(AND(AU160=2,CH160=0,CT160=0.5,ER160=100),35,IF(AND(AU160=3,BB160&gt;75,CH160=0,CT160=0.5,ER160=100),25,IF(CB160&gt;1,0,IF(EF160&gt;EE160,0,IF(AND(AF160&gt;1,CH160=100),0,IF(AND(AF160=1,AY160=0),0,IF(AND(EF160&lt;=EE160,AW160&gt;=AZ160,'Data Entry'!$C$74=1,AU160=2),VLOOKUP(W160,$DO$96:$DP$102,2,FALSE),IF(AND(EF160&lt;=EE160,AW160&gt;=AZ160,AU160=3,'Data Entry'!$C$74=1),VLOOKUP(W160,$DO$127:$DP$134,2,FALSE))))))))))</f>
        <v>0</v>
      </c>
      <c r="CK160" s="716">
        <f t="shared" si="204"/>
        <v>0</v>
      </c>
      <c r="CL160" s="57">
        <f t="shared" si="205"/>
        <v>0</v>
      </c>
      <c r="CM160" s="475">
        <f t="shared" si="231"/>
        <v>0</v>
      </c>
      <c r="CN160" s="660">
        <f>IF(CM160&lt;0.1,0,IF(ISNA(AT160),0,IF(CL160+BC160=1,0,IF(BV160&gt;0.01,0,IF(CL160&gt;0.01,0,IF(CF160=1,0,IF(BC160=0.5,0,IF(AND(CI160=1,AU160=3),0,IF(AND(CI160=5,CL160=0),0,IF(AND(R160=12,BR160=50),0,IF(CK160&gt;0.01,0,IF(AND(AJ160&gt;0.01,AU160=2,BC160=15),CM160*0.1,IF(AND(AJ160&gt;0.01,AU160=3,BC160=15),CM160*0.08,IF(AND(R160=12,BC160=3,AF160&lt;=0),0,IF(AND(BC160=15,BI160=0),0,IF(AND(BC160=15,BJ160=0),0,IF(AND(R160=20,CU160=0),0,IF($X$4=0,0,IF(AND(BC160=250,CL160=0),0,IF(AA160&lt;1,0,IF(AND(ISNUMBER(SEARCH("Area",T160)),AU160=3),0,IF(AND(AQ160&gt;0.01,AR160=0,BK160=0,BL160=0,BM160=0,BN160=0),0,IF(AND(AU160=3,CI160=7,CT160&gt;0.5),0,IF(AND(BC160=44,AU160=3,BY160=0),0,IF(AND(BC160=27,'Data Entry'!$C$74=2),0,IF(AND(BC160=28,'Data Entry'!$C$74=2),0,IF(AND(BY160+BZ160+CA160&gt;0.01,BV160=0,EQ160+ER160+ES160+ET160&lt;100),0,IF(AU160=3,CM160*0.08,IF(AU160=2,CM160*0.1,0)))))))))))))))))))))))))))))</f>
        <v>0</v>
      </c>
      <c r="CO160" s="660">
        <f t="shared" si="206"/>
        <v>0</v>
      </c>
      <c r="CP160" s="475" t="str">
        <f t="shared" si="207"/>
        <v/>
      </c>
      <c r="CQ160" s="161" t="str">
        <f>IF(AH160=0,0,IF(AU160=5,0,Summary!AC163))</f>
        <v/>
      </c>
      <c r="CR160" s="161" t="str">
        <f>IF(BF160=0.5,0,IF(AU160=5,0,Summary!AD163))</f>
        <v/>
      </c>
      <c r="CS160" s="161" t="str">
        <f>IF(AU160=5,0,Summary!AE163)</f>
        <v/>
      </c>
      <c r="CT160" s="161">
        <f t="shared" si="208"/>
        <v>0</v>
      </c>
      <c r="CU160" s="475" t="str">
        <f t="shared" si="209"/>
        <v/>
      </c>
      <c r="CV160" s="307">
        <f>IF('Data Entry'!$C$74=0,0,IF(AA160&lt;1,0,IF(ISERROR(CU160),0,IF(CF160=1,0,IF(AND(R160=12,BR160=50),0,IF(CL160+BO160+BV160+DC160=0,0,IF(BC160=37,0,IF(AND(BC160=40,AJ160=0),0,IF(AND(BC160=37,BO160&gt;0.01,BQ160&gt;0.01),ROUND(BQ160,0),IF(CM160&lt;0,0,ROUND(CM160,0)))))))))))</f>
        <v>0</v>
      </c>
      <c r="CW160" s="700">
        <f t="shared" si="210"/>
        <v>0</v>
      </c>
      <c r="CX160" s="477">
        <f>IF('Data Entry'!$C$74=0,0,IF(CV160&lt;0.01,0,IF(BF160=0.5,0,IF(CF160=1,0,IF(ISNUMBER(SEARCH("false",CL160)),0,IF(AZ160=500,0,CL160))))))</f>
        <v>0</v>
      </c>
      <c r="CY160" s="147" t="e">
        <f t="shared" si="211"/>
        <v>#VALUE!</v>
      </c>
      <c r="CZ160" s="147" t="b">
        <f>IF(CN160+CL160=0,FALSE,IF(AH160=0,0,IF(AND('Data Entry'!$C$74=1,CR160&gt;=1),TRUE,IF(AND('Data Entry'!$C$74=2,CS160&gt;=1),TRUE,FALSE))))</f>
        <v>0</v>
      </c>
      <c r="DA160" s="1751">
        <f>IF('Data Entry'!$C$74=0,0,IFERROR(ROUND(IF(T160="","",IF($X$4=0,0,IF(CF160=1,0,IF(BQ160+CV160=0,0,IF(CF160=1,0,IF(CY160&gt;0.01,CY160,IF(CL160&gt;0.01,CL160,IF(CY160&gt;0.01,CY160,IF(BC160=37,BO160,IF(CZ160=FALSE,0,IF(CZ160=TRUE,DC160+DF160,0))))))))))),2),""))</f>
        <v>0</v>
      </c>
      <c r="DB160" s="1752"/>
      <c r="DC160" s="474">
        <f>IF(CN160&lt;0.01,0,IF(AND(BR160=3,CN160&gt;0.01,CT160&gt;0.6,ER160+ES160+ET160&lt;100),0,IF(AND('Data Entry'!$C$74=1,CN160&gt;0.01,CR160&gt;0.99),MIN(CN160:CO160),IF(AND('Data Entry'!$C$74=2,CN160&gt;0.01,CS160&gt;0.99),MIN(CN160:CO160),0))))</f>
        <v>0</v>
      </c>
      <c r="DD160" s="478">
        <f>IF(CF160=1,"Selection does not match",IF(T160=0,0,IF(AND('Data Entry'!$C$74=0,CP160&gt;1),"Select Oregon or Idaho on Data Entry Tab",IF(AND(AU160=1,AA160&gt;0.9),"Missing Interior or Exterior Selection",IF($X$4=0,"Enter Total Project Cost",IF(AQ160&lt;AR160,"Insufficient kWh savings – no incentive",IF(AND(SUM(CL160+CK160+BV160)&gt;0.01,'Data Entry'!$C$74=2,CJ160&gt;1,BO160=0),"Submit Control as Non-Standard",IF(AND('Data Entry'!$C$74=2,BR160=37,CJ160&gt;1,BO160=0),"Submit Control as Non-Standard",IF(SUM(CL160+CK160+BV160)&gt;0.01,"Standard Incentive",IF(AND('Data Entry'!$C$74=2,CP160=7,CN160=0),"Submit as Non-Standard",IF(DC160&gt;0.9,"Non-Standard Incentive",IF(AND(BY160+BZ160+CA160&gt;0.01,BV160=0,EQ160=0,ER160=0,ES160=0,ET160=0),"Scroll Right &amp; Select Control Strategies",IF(AND(CN160&gt;0.01,CO160=0),"Enter Unit Installed Cost",IF(ISNUMBER(SEARCH("Lighting Controls Only",F160)),"Lighting Controls Only",IF(CL160+DC160=0,"Does not meet incentive criteria",0)))))))))))))))</f>
        <v>0</v>
      </c>
      <c r="DE160" s="337">
        <f t="shared" si="212"/>
        <v>0</v>
      </c>
      <c r="DF160" s="609">
        <f t="shared" si="213"/>
        <v>0</v>
      </c>
      <c r="DG160" s="336" t="str">
        <f t="shared" si="214"/>
        <v/>
      </c>
      <c r="DH160" s="338">
        <f t="shared" si="215"/>
        <v>1</v>
      </c>
      <c r="DI160" s="336" t="e">
        <f t="shared" si="170"/>
        <v>#VALUE!</v>
      </c>
      <c r="DJ160" s="338">
        <f t="shared" si="171"/>
        <v>0</v>
      </c>
      <c r="DK160" s="325" t="s">
        <v>1378</v>
      </c>
      <c r="DL160" s="341" t="s">
        <v>34</v>
      </c>
      <c r="DM160" s="1143" t="s">
        <v>148</v>
      </c>
      <c r="DN160" s="820">
        <v>32</v>
      </c>
      <c r="DO160" s="331"/>
      <c r="DP160" s="332"/>
      <c r="DQ160" s="331"/>
      <c r="DR160" s="357"/>
      <c r="DS160" s="1195">
        <f t="shared" si="216"/>
        <v>0</v>
      </c>
      <c r="DT160" s="344" t="b">
        <f t="shared" si="217"/>
        <v>1</v>
      </c>
      <c r="DU160" s="1314" t="str">
        <f t="array" ref="DU160">IF(OR(COUNTIF(F160,"*"&amp;$DK$9:$DK$178&amp;"*")), "Yes", "")</f>
        <v/>
      </c>
      <c r="DV160" s="1314">
        <f t="shared" si="218"/>
        <v>0</v>
      </c>
      <c r="DW160" s="1480">
        <f t="shared" si="219"/>
        <v>0</v>
      </c>
      <c r="DX160" s="1498">
        <f t="shared" si="228"/>
        <v>0</v>
      </c>
      <c r="DY160" s="1484">
        <f t="shared" si="220"/>
        <v>0</v>
      </c>
      <c r="DZ160" s="331"/>
      <c r="EA160" s="392"/>
      <c r="EB160" s="1499" t="s">
        <v>98</v>
      </c>
      <c r="EC160" s="727" t="s">
        <v>1568</v>
      </c>
      <c r="ED160" s="728">
        <v>0.5</v>
      </c>
      <c r="EE160" s="1215"/>
      <c r="EF160" s="1215"/>
      <c r="EG160" s="1184" t="str">
        <f t="shared" si="221"/>
        <v/>
      </c>
      <c r="EH160" s="55"/>
      <c r="EI160" s="55"/>
      <c r="EJ160" s="1185">
        <f t="shared" si="172"/>
        <v>0</v>
      </c>
      <c r="EK160" s="1211"/>
      <c r="EL160" s="1180">
        <f t="shared" si="173"/>
        <v>0</v>
      </c>
      <c r="EM160" s="206"/>
      <c r="EN160" s="1038"/>
      <c r="EO160" s="1038"/>
      <c r="EP160" s="1038"/>
      <c r="EQ160" s="1038">
        <f t="shared" si="222"/>
        <v>0</v>
      </c>
      <c r="ER160" s="1041">
        <f t="shared" si="223"/>
        <v>0</v>
      </c>
      <c r="ES160" s="1042">
        <f t="shared" si="224"/>
        <v>0</v>
      </c>
      <c r="ET160" s="1042">
        <f t="shared" si="229"/>
        <v>0</v>
      </c>
      <c r="EU160" s="1021">
        <f t="shared" si="230"/>
        <v>0</v>
      </c>
      <c r="EV160" s="368"/>
      <c r="EW160" s="368"/>
      <c r="EX160" s="369"/>
      <c r="EY160" s="370"/>
      <c r="EZ160" s="370"/>
      <c r="FA160" s="371"/>
      <c r="FB160" s="372"/>
    </row>
    <row r="161" spans="1:158" ht="34.5" customHeight="1">
      <c r="A161" s="82">
        <v>153</v>
      </c>
      <c r="B161" s="1725"/>
      <c r="C161" s="1726"/>
      <c r="D161" s="1726"/>
      <c r="E161" s="1727"/>
      <c r="F161" s="1732"/>
      <c r="G161" s="1733"/>
      <c r="H161" s="1733"/>
      <c r="I161" s="1734"/>
      <c r="J161" s="1341"/>
      <c r="K161" s="1728"/>
      <c r="L161" s="1728"/>
      <c r="M161" s="1342"/>
      <c r="N161" s="1583"/>
      <c r="O161" s="208" t="str">
        <f t="shared" si="160"/>
        <v/>
      </c>
      <c r="P161" s="785"/>
      <c r="Q161" s="39" t="str">
        <f t="shared" si="161"/>
        <v/>
      </c>
      <c r="R161" s="39">
        <f t="shared" si="174"/>
        <v>0</v>
      </c>
      <c r="S161" s="234">
        <f t="shared" si="175"/>
        <v>0</v>
      </c>
      <c r="T161" s="1755"/>
      <c r="U161" s="1755"/>
      <c r="V161" s="1755"/>
      <c r="W161" s="1345"/>
      <c r="X161" s="1741"/>
      <c r="Y161" s="1742"/>
      <c r="Z161" s="1346"/>
      <c r="AA161" s="1343"/>
      <c r="AB161" s="1141"/>
      <c r="AC161" s="1103" t="str">
        <f>IF(T161="","",VLOOKUP(Z161,Lists!$A$60:$B$111,2,FALSE))</f>
        <v/>
      </c>
      <c r="AD161" s="130" t="str">
        <f t="shared" si="176"/>
        <v/>
      </c>
      <c r="AE161" s="130" t="e">
        <f t="shared" si="177"/>
        <v>#VALUE!</v>
      </c>
      <c r="AF161" s="130">
        <f t="shared" si="178"/>
        <v>1</v>
      </c>
      <c r="AG161" s="234">
        <f t="shared" si="162"/>
        <v>0</v>
      </c>
      <c r="AH161" s="1753" t="str">
        <f>IF(T161="","",(IF(ISNUMBER(SEARCH("exit",T161)),8760,IF(AND(M161="Dusk to Dawn",'Proposed Lighting'!AU161=3),4059,IF(AND(AU161=3,M161="1"),0,IF(AND(AU161=3,M161="1-C"),0,IF(AND(AU161=3,M161="2"),0,IF(AND(AU161=3,M161="2-C"),0,IF(AND(AU161=3,M161="3"),0,IF(AND(AU161=3,M161="3-C"),0,IF(AND(AU161=2,M161="Dusk to Dawn"),0,IF(AND(AU161=2,M161="Dusk to Dawn-C"),0,IF(AND(AU161=2,M161="Dusk to Dawn"),0,IF(AND(AU161=2,M161="E"),0,IF(AND(AU161=2,M161="E-C"),0,EG161)))))))))))))))</f>
        <v/>
      </c>
      <c r="AI161" s="1754"/>
      <c r="AJ161" s="1136"/>
      <c r="AK161" s="1136"/>
      <c r="AL161" s="1748">
        <f t="shared" si="179"/>
        <v>0</v>
      </c>
      <c r="AM161" s="1749"/>
      <c r="AN161" s="1750"/>
      <c r="AO161" s="476">
        <f t="shared" si="163"/>
        <v>0</v>
      </c>
      <c r="AP161" s="476">
        <f t="shared" si="180"/>
        <v>0</v>
      </c>
      <c r="AQ161" s="475">
        <f t="shared" si="164"/>
        <v>0</v>
      </c>
      <c r="AR161" s="475">
        <f t="shared" si="181"/>
        <v>0</v>
      </c>
      <c r="AS161" s="743" t="str">
        <f t="shared" ref="AS161:AS224" si="233">IF(P161&gt;0.02,P161,O161)</f>
        <v/>
      </c>
      <c r="AT161" s="736" t="str">
        <f t="shared" si="182"/>
        <v/>
      </c>
      <c r="AU161" s="56">
        <f t="shared" si="183"/>
        <v>1</v>
      </c>
      <c r="AV161" s="476">
        <f t="shared" si="184"/>
        <v>0</v>
      </c>
      <c r="AW161" s="56">
        <f t="shared" si="185"/>
        <v>0</v>
      </c>
      <c r="AX161" s="475">
        <f t="shared" si="165"/>
        <v>0</v>
      </c>
      <c r="AY161" s="1169">
        <f t="shared" si="186"/>
        <v>0</v>
      </c>
      <c r="AZ161" s="1150">
        <f t="shared" si="225"/>
        <v>0</v>
      </c>
      <c r="BA161" s="56">
        <f t="shared" si="166"/>
        <v>0</v>
      </c>
      <c r="BB161" s="420">
        <f t="shared" si="167"/>
        <v>0</v>
      </c>
      <c r="BC161" s="58" t="str">
        <f t="shared" si="168"/>
        <v/>
      </c>
      <c r="BD161" s="660">
        <f t="shared" si="226"/>
        <v>0</v>
      </c>
      <c r="BE161" s="57" t="e">
        <f t="array" ref="BE161">INDEX($EB$11:$ED$1022,MATCH(F161&amp;T161,$EB$11:$EB$1007&amp;$EC$11:$EC$1007,0),3)</f>
        <v>#N/A</v>
      </c>
      <c r="BF161" s="463">
        <f t="shared" si="157"/>
        <v>0</v>
      </c>
      <c r="BG161" s="1445" t="e">
        <f t="array" ref="BG161">INDEX($DO$112:$DQ$123,MATCH(T161&amp;W161,$DO$114:$DO$125&amp;$DP$112:$DP$123,0),3)</f>
        <v>#N/A</v>
      </c>
      <c r="BH161" s="1446">
        <f t="shared" si="187"/>
        <v>0</v>
      </c>
      <c r="BI161" s="465">
        <f t="shared" si="188"/>
        <v>0</v>
      </c>
      <c r="BJ161" s="465">
        <f t="shared" si="189"/>
        <v>0</v>
      </c>
      <c r="BK161" s="466">
        <f t="shared" si="158"/>
        <v>0</v>
      </c>
      <c r="BL161" s="466">
        <f t="shared" si="159"/>
        <v>0</v>
      </c>
      <c r="BM161" s="466">
        <f t="shared" si="190"/>
        <v>0</v>
      </c>
      <c r="BN161" s="466">
        <f t="shared" si="191"/>
        <v>0</v>
      </c>
      <c r="BO161" s="463">
        <f>IF('Data Entry'!$C$74=0,0,IF(ISNA(CJ161),0,IF(AX161=0,0,IF(AND('Data Entry'!$C$74=2,AF161&gt;2,CE161&lt;1),0,IF(AND('Data Entry'!$C$74=2,AF161&gt;1,AU161=2,CJ161&gt;1),0,IF(AND(AF161=5,CT161=0.5,AU161=2,ER161&lt;100),0,IF(AND(AF161=5,CT161=0.5,AU161=3,ER161&lt;100),0,IF(AND('Data Entry'!$C$74=2,AF161=2,AU161=2,AK161&gt;0.01,CB161=2,CE161&lt;1),0,IF(AND('Data Entry'!$C$74=2,AF161=3,AU161=3,AK161&gt;0.01,CB161=3,CE161&lt;1),0,IF(AND('Data Entry'!$C$74=2,AF161=3,AU161=3,AK161&gt;0.01,CB161=3,CE161&gt;0.99),BQ161*0.08,IF(AND('Data Entry'!$C$74=2,AF161=2,AU161=2,AK161&gt;0.01,CB161=2,CE161&gt;0.99),BQ161*0.1,IF(AND(AU161=2,AK161&gt;0.01,CB161=2,CD161&gt;1),BQ161*0.1,IF(AND(AU161=3,AK161&gt;0.01,CB161=3,CD161&gt;1),BQ161*0.08,CJ161*EF161)))))))))))))</f>
        <v>0</v>
      </c>
      <c r="BP161" s="475">
        <f t="shared" si="192"/>
        <v>0</v>
      </c>
      <c r="BQ161" s="1431">
        <f>IF(AU161=1,0,IF(CH161=100,0,IF(AND(AF161=3,AU161=2),0,IF(AND(BH161=0,CT161&gt;0.4),0,IF(AND('Data Entry'!$C$74=2,AF161=1.5),0,IF(AND('Data Entry'!$C$74=2,AF161=1.6),0,IF(AND('Data Entry'!$C$74=2,AF161=4),0,IF(AND('Data Entry'!$C$74=2,AF161=5),0,IF(AND('Data Entry'!$C$74=2,AF161=2.5,CE161&lt;1),0,IF(AND('Data Entry'!$C$74=2,AF161=3,CE161&lt;1),0,IF(AND('Data Entry'!$C$74=1,AF161=2.5,CD161&lt;1),0,IF(AND('Data Entry'!$C$74=1,AF161=3,CD161&lt;1),0,IF(DX161&gt;0.01,DX161,IF(ISERROR(AX161-AY161),"",ROUND(AX161-AY161,2)))))))))))))))</f>
        <v>0</v>
      </c>
      <c r="BR161" s="146">
        <f t="shared" si="193"/>
        <v>0</v>
      </c>
      <c r="BS161" s="475">
        <f t="shared" si="194"/>
        <v>0</v>
      </c>
      <c r="BT161" s="146" t="b">
        <f t="shared" si="195"/>
        <v>0</v>
      </c>
      <c r="BU161" s="463">
        <f>IF(ISNA(AT161),0,IF(AND('Data Entry'!$C$74=2,BC161=27),0,IF(AND('Data Entry'!$C$74=2,BC161=28),0,IF(AND(BC161=27,BT161=27,CM161&gt;0.1),CM161*0.15,IF(AND(BC161=28,BT161=28,CM161&gt;0.1),CM161*0.12,0)))))</f>
        <v>0</v>
      </c>
      <c r="BV161" s="463">
        <f t="shared" si="232"/>
        <v>0</v>
      </c>
      <c r="BW161" s="463">
        <f t="shared" si="196"/>
        <v>0</v>
      </c>
      <c r="BX161" s="463">
        <f t="shared" si="197"/>
        <v>0</v>
      </c>
      <c r="BY161" s="463">
        <f t="shared" si="198"/>
        <v>0</v>
      </c>
      <c r="BZ161" s="463">
        <f t="shared" si="199"/>
        <v>0</v>
      </c>
      <c r="CA161" s="57">
        <f t="shared" si="227"/>
        <v>0</v>
      </c>
      <c r="CB161" s="56">
        <f t="shared" si="200"/>
        <v>1</v>
      </c>
      <c r="CC161" s="756">
        <f>IF(EE161=0,0,IF(EF161=0,0,IF(EE161&gt;AA161,0,IF(AND(AZ161&gt;AW161,AW161&gt;0),0,IF(CU161=0,0,Summary!AC464)))))</f>
        <v>0</v>
      </c>
      <c r="CD161" s="756">
        <f>IF(EE161=0,0,IF(EF161=0,0,IF(EE161&gt;AA161,0,IF(AND(AZ161&gt;AW161,AW161&gt;0),0,IF(CU161=0,0,Summary!AD464)))))</f>
        <v>0</v>
      </c>
      <c r="CE161" s="756">
        <f>IF(EF161=0,0,IF(EE161&gt;AA161,0,IF(CC161=0,0,IF(AND(AZ161&gt;AW161,AW161&gt;0),0,IF(CU161=0,0,Summary!AE464)))))</f>
        <v>0</v>
      </c>
      <c r="CF161" s="475">
        <f t="shared" si="201"/>
        <v>0</v>
      </c>
      <c r="CG161" s="476">
        <f t="shared" si="169"/>
        <v>0</v>
      </c>
      <c r="CH161" s="487">
        <f t="shared" si="202"/>
        <v>0</v>
      </c>
      <c r="CI161" s="756">
        <f t="shared" si="203"/>
        <v>0</v>
      </c>
      <c r="CJ161" s="487">
        <f>IF(CT161&gt;0.4,0,IF(AND(AU161=2,CH161=0,CT161=0.5,ER161=100),35,IF(AND(AU161=3,BB161&gt;75,CH161=0,CT161=0.5,ER161=100),25,IF(CB161&gt;1,0,IF(EF161&gt;EE161,0,IF(AND(AF161&gt;1,CH161=100),0,IF(AND(AF161=1,AY161=0),0,IF(AND(EF161&lt;=EE161,AW161&gt;=AZ161,'Data Entry'!$C$74=1,AU161=2),VLOOKUP(W161,$DO$96:$DP$102,2,FALSE),IF(AND(EF161&lt;=EE161,AW161&gt;=AZ161,AU161=3,'Data Entry'!$C$74=1),VLOOKUP(W161,$DO$127:$DP$134,2,FALSE))))))))))</f>
        <v>0</v>
      </c>
      <c r="CK161" s="716">
        <f t="shared" si="204"/>
        <v>0</v>
      </c>
      <c r="CL161" s="57">
        <f t="shared" si="205"/>
        <v>0</v>
      </c>
      <c r="CM161" s="475">
        <f t="shared" si="231"/>
        <v>0</v>
      </c>
      <c r="CN161" s="660">
        <f>IF(CM161&lt;0.1,0,IF(ISNA(AT161),0,IF(CL161+BC161=1,0,IF(BV161&gt;0.01,0,IF(CL161&gt;0.01,0,IF(CF161=1,0,IF(BC161=0.5,0,IF(AND(CI161=1,AU161=3),0,IF(AND(CI161=5,CL161=0),0,IF(AND(R161=12,BR161=50),0,IF(CK161&gt;0.01,0,IF(AND(AJ161&gt;0.01,AU161=2,BC161=15),CM161*0.1,IF(AND(AJ161&gt;0.01,AU161=3,BC161=15),CM161*0.08,IF(AND(R161=12,BC161=3,AF161&lt;=0),0,IF(AND(BC161=15,BI161=0),0,IF(AND(BC161=15,BJ161=0),0,IF(AND(R161=20,CU161=0),0,IF($X$4=0,0,IF(AND(BC161=250,CL161=0),0,IF(AA161&lt;1,0,IF(AND(ISNUMBER(SEARCH("Area",T161)),AU161=3),0,IF(AND(AQ161&gt;0.01,AR161=0,BK161=0,BL161=0,BM161=0,BN161=0),0,IF(AND(AU161=3,CI161=7,CT161&gt;0.5),0,IF(AND(BC161=44,AU161=3,BY161=0),0,IF(AND(BC161=27,'Data Entry'!$C$74=2),0,IF(AND(BC161=28,'Data Entry'!$C$74=2),0,IF(AND(BY161+BZ161+CA161&gt;0.01,BV161=0,EQ161+ER161+ES161+ET161&lt;100),0,IF(AU161=3,CM161*0.08,IF(AU161=2,CM161*0.1,0)))))))))))))))))))))))))))))</f>
        <v>0</v>
      </c>
      <c r="CO161" s="660">
        <f t="shared" si="206"/>
        <v>0</v>
      </c>
      <c r="CP161" s="475" t="str">
        <f t="shared" si="207"/>
        <v/>
      </c>
      <c r="CQ161" s="161" t="str">
        <f>IF(AH161=0,0,IF(AU161=5,0,Summary!AC164))</f>
        <v/>
      </c>
      <c r="CR161" s="161" t="str">
        <f>IF(BF161=0.5,0,IF(AU161=5,0,Summary!AD164))</f>
        <v/>
      </c>
      <c r="CS161" s="161" t="str">
        <f>IF(AU161=5,0,Summary!AE164)</f>
        <v/>
      </c>
      <c r="CT161" s="161">
        <f t="shared" si="208"/>
        <v>0</v>
      </c>
      <c r="CU161" s="475" t="str">
        <f t="shared" si="209"/>
        <v/>
      </c>
      <c r="CV161" s="307">
        <f>IF('Data Entry'!$C$74=0,0,IF(AA161&lt;1,0,IF(ISERROR(CU161),0,IF(CF161=1,0,IF(AND(R161=12,BR161=50),0,IF(CL161+BO161+BV161+DC161=0,0,IF(BC161=37,0,IF(AND(BC161=40,AJ161=0),0,IF(AND(BC161=37,BO161&gt;0.01,BQ161&gt;0.01),ROUND(BQ161,0),IF(CM161&lt;0,0,ROUND(CM161,0)))))))))))</f>
        <v>0</v>
      </c>
      <c r="CW161" s="700">
        <f t="shared" si="210"/>
        <v>0</v>
      </c>
      <c r="CX161" s="477">
        <f>IF('Data Entry'!$C$74=0,0,IF(CV161&lt;0.01,0,IF(BF161=0.5,0,IF(CF161=1,0,IF(ISNUMBER(SEARCH("false",CL161)),0,IF(AZ161=500,0,CL161))))))</f>
        <v>0</v>
      </c>
      <c r="CY161" s="147" t="e">
        <f t="shared" si="211"/>
        <v>#VALUE!</v>
      </c>
      <c r="CZ161" s="147" t="b">
        <f>IF(CN161+CL161=0,FALSE,IF(AH161=0,0,IF(AND('Data Entry'!$C$74=1,CR161&gt;=1),TRUE,IF(AND('Data Entry'!$C$74=2,CS161&gt;=1),TRUE,FALSE))))</f>
        <v>0</v>
      </c>
      <c r="DA161" s="1751">
        <f>IF('Data Entry'!$C$74=0,0,IFERROR(ROUND(IF(T161="","",IF($X$4=0,0,IF(CF161=1,0,IF(BQ161+CV161=0,0,IF(CF161=1,0,IF(CY161&gt;0.01,CY161,IF(CL161&gt;0.01,CL161,IF(CY161&gt;0.01,CY161,IF(BC161=37,BO161,IF(CZ161=FALSE,0,IF(CZ161=TRUE,DC161+DF161,0))))))))))),2),""))</f>
        <v>0</v>
      </c>
      <c r="DB161" s="1752"/>
      <c r="DC161" s="474">
        <f>IF(CN161&lt;0.01,0,IF(AND(BR161=3,CN161&gt;0.01,CT161&gt;0.6,ER161+ES161+ET161&lt;100),0,IF(AND('Data Entry'!$C$74=1,CN161&gt;0.01,CR161&gt;0.99),MIN(CN161:CO161),IF(AND('Data Entry'!$C$74=2,CN161&gt;0.01,CS161&gt;0.99),MIN(CN161:CO161),0))))</f>
        <v>0</v>
      </c>
      <c r="DD161" s="478">
        <f>IF(CF161=1,"Selection does not match",IF(T161=0,0,IF(AND('Data Entry'!$C$74=0,CP161&gt;1),"Select Oregon or Idaho on Data Entry Tab",IF(AND(AU161=1,AA161&gt;0.9),"Missing Interior or Exterior Selection",IF($X$4=0,"Enter Total Project Cost",IF(AQ161&lt;AR161,"Insufficient kWh savings – no incentive",IF(AND(SUM(CL161+CK161+BV161)&gt;0.01,'Data Entry'!$C$74=2,CJ161&gt;1,BO161=0),"Submit Control as Non-Standard",IF(AND('Data Entry'!$C$74=2,BR161=37,CJ161&gt;1,BO161=0),"Submit Control as Non-Standard",IF(SUM(CL161+CK161+BV161)&gt;0.01,"Standard Incentive",IF(AND('Data Entry'!$C$74=2,CP161=7,CN161=0),"Submit as Non-Standard",IF(DC161&gt;0.9,"Non-Standard Incentive",IF(AND(BY161+BZ161+CA161&gt;0.01,BV161=0,EQ161=0,ER161=0,ES161=0,ET161=0),"Scroll Right &amp; Select Control Strategies",IF(AND(CN161&gt;0.01,CO161=0),"Enter Unit Installed Cost",IF(ISNUMBER(SEARCH("Lighting Controls Only",F161)),"Lighting Controls Only",IF(CL161+DC161=0,"Does not meet incentive criteria",0)))))))))))))))</f>
        <v>0</v>
      </c>
      <c r="DE161" s="337">
        <f t="shared" si="212"/>
        <v>0</v>
      </c>
      <c r="DF161" s="609">
        <f t="shared" si="213"/>
        <v>0</v>
      </c>
      <c r="DG161" s="336" t="str">
        <f t="shared" si="214"/>
        <v/>
      </c>
      <c r="DH161" s="338">
        <f t="shared" si="215"/>
        <v>1</v>
      </c>
      <c r="DI161" s="336" t="e">
        <f t="shared" si="170"/>
        <v>#VALUE!</v>
      </c>
      <c r="DJ161" s="338">
        <f t="shared" si="171"/>
        <v>0</v>
      </c>
      <c r="DK161" s="325" t="s">
        <v>73</v>
      </c>
      <c r="DL161" s="341" t="s">
        <v>450</v>
      </c>
      <c r="DM161" s="1143" t="s">
        <v>149</v>
      </c>
      <c r="DN161" s="820">
        <v>40</v>
      </c>
      <c r="DO161" s="331"/>
      <c r="DP161" s="332"/>
      <c r="DQ161" s="331"/>
      <c r="DR161" s="357"/>
      <c r="DS161" s="1195">
        <f t="shared" si="216"/>
        <v>0</v>
      </c>
      <c r="DT161" s="344" t="b">
        <f t="shared" si="217"/>
        <v>1</v>
      </c>
      <c r="DU161" s="1314" t="str">
        <f t="array" ref="DU161">IF(OR(COUNTIF(F161,"*"&amp;$DK$9:$DK$178&amp;"*")), "Yes", "")</f>
        <v/>
      </c>
      <c r="DV161" s="1314">
        <f t="shared" si="218"/>
        <v>0</v>
      </c>
      <c r="DW161" s="1480">
        <f t="shared" si="219"/>
        <v>0</v>
      </c>
      <c r="DX161" s="1498">
        <f t="shared" si="228"/>
        <v>0</v>
      </c>
      <c r="DY161" s="1484">
        <f t="shared" si="220"/>
        <v>0</v>
      </c>
      <c r="DZ161" s="331"/>
      <c r="EA161" s="392"/>
      <c r="EB161" s="1499" t="s">
        <v>498</v>
      </c>
      <c r="EC161" s="727" t="s">
        <v>1568</v>
      </c>
      <c r="ED161" s="728">
        <v>0.5</v>
      </c>
      <c r="EE161" s="1215"/>
      <c r="EF161" s="1215"/>
      <c r="EG161" s="1184" t="str">
        <f t="shared" si="221"/>
        <v/>
      </c>
      <c r="EH161" s="55"/>
      <c r="EI161" s="55"/>
      <c r="EJ161" s="1185">
        <f t="shared" si="172"/>
        <v>0</v>
      </c>
      <c r="EK161" s="1211"/>
      <c r="EL161" s="1180">
        <f t="shared" si="173"/>
        <v>0</v>
      </c>
      <c r="EM161" s="206"/>
      <c r="EN161" s="1038"/>
      <c r="EO161" s="1038"/>
      <c r="EP161" s="1038"/>
      <c r="EQ161" s="1038">
        <f t="shared" si="222"/>
        <v>0</v>
      </c>
      <c r="ER161" s="1041">
        <f t="shared" si="223"/>
        <v>0</v>
      </c>
      <c r="ES161" s="1042">
        <f t="shared" si="224"/>
        <v>0</v>
      </c>
      <c r="ET161" s="1042">
        <f t="shared" si="229"/>
        <v>0</v>
      </c>
      <c r="EU161" s="1021">
        <f t="shared" si="230"/>
        <v>0</v>
      </c>
      <c r="EV161" s="368"/>
      <c r="EW161" s="368"/>
      <c r="EX161" s="369"/>
      <c r="EY161" s="370"/>
      <c r="EZ161" s="370"/>
      <c r="FA161" s="371"/>
      <c r="FB161" s="372"/>
    </row>
    <row r="162" spans="1:158" ht="34.5" customHeight="1">
      <c r="A162" s="82">
        <v>154</v>
      </c>
      <c r="B162" s="1725"/>
      <c r="C162" s="1726"/>
      <c r="D162" s="1726"/>
      <c r="E162" s="1727"/>
      <c r="F162" s="1732"/>
      <c r="G162" s="1733"/>
      <c r="H162" s="1733"/>
      <c r="I162" s="1734"/>
      <c r="J162" s="1341"/>
      <c r="K162" s="1728"/>
      <c r="L162" s="1728"/>
      <c r="M162" s="1342"/>
      <c r="N162" s="1583"/>
      <c r="O162" s="208" t="str">
        <f t="shared" si="160"/>
        <v/>
      </c>
      <c r="P162" s="785"/>
      <c r="Q162" s="39" t="str">
        <f t="shared" si="161"/>
        <v/>
      </c>
      <c r="R162" s="39">
        <f t="shared" si="174"/>
        <v>0</v>
      </c>
      <c r="S162" s="234">
        <f t="shared" si="175"/>
        <v>0</v>
      </c>
      <c r="T162" s="1755"/>
      <c r="U162" s="1755"/>
      <c r="V162" s="1755"/>
      <c r="W162" s="1345"/>
      <c r="X162" s="1741"/>
      <c r="Y162" s="1742"/>
      <c r="Z162" s="1346"/>
      <c r="AA162" s="1343"/>
      <c r="AB162" s="1141"/>
      <c r="AC162" s="1103" t="str">
        <f>IF(T162="","",VLOOKUP(Z162,Lists!$A$60:$B$111,2,FALSE))</f>
        <v/>
      </c>
      <c r="AD162" s="130" t="str">
        <f t="shared" si="176"/>
        <v/>
      </c>
      <c r="AE162" s="130" t="e">
        <f t="shared" si="177"/>
        <v>#VALUE!</v>
      </c>
      <c r="AF162" s="130">
        <f t="shared" si="178"/>
        <v>1</v>
      </c>
      <c r="AG162" s="234">
        <f t="shared" si="162"/>
        <v>0</v>
      </c>
      <c r="AH162" s="1753" t="str">
        <f>IF(T162="","",(IF(ISNUMBER(SEARCH("exit",T162)),8760,IF(AND(M162="Dusk to Dawn",'Proposed Lighting'!AU162=3),4059,IF(AND(AU162=3,M162="1"),0,IF(AND(AU162=3,M162="1-C"),0,IF(AND(AU162=3,M162="2"),0,IF(AND(AU162=3,M162="2-C"),0,IF(AND(AU162=3,M162="3"),0,IF(AND(AU162=3,M162="3-C"),0,IF(AND(AU162=2,M162="Dusk to Dawn"),0,IF(AND(AU162=2,M162="Dusk to Dawn-C"),0,IF(AND(AU162=2,M162="Dusk to Dawn"),0,IF(AND(AU162=2,M162="E"),0,IF(AND(AU162=2,M162="E-C"),0,EG162)))))))))))))))</f>
        <v/>
      </c>
      <c r="AI162" s="1754"/>
      <c r="AJ162" s="1136"/>
      <c r="AK162" s="1136"/>
      <c r="AL162" s="1748">
        <f t="shared" si="179"/>
        <v>0</v>
      </c>
      <c r="AM162" s="1749"/>
      <c r="AN162" s="1750"/>
      <c r="AO162" s="476">
        <f t="shared" si="163"/>
        <v>0</v>
      </c>
      <c r="AP162" s="476">
        <f t="shared" si="180"/>
        <v>0</v>
      </c>
      <c r="AQ162" s="475">
        <f t="shared" si="164"/>
        <v>0</v>
      </c>
      <c r="AR162" s="475">
        <f t="shared" si="181"/>
        <v>0</v>
      </c>
      <c r="AS162" s="743" t="str">
        <f t="shared" si="233"/>
        <v/>
      </c>
      <c r="AT162" s="736" t="str">
        <f t="shared" si="182"/>
        <v/>
      </c>
      <c r="AU162" s="56">
        <f t="shared" si="183"/>
        <v>1</v>
      </c>
      <c r="AV162" s="476">
        <f t="shared" si="184"/>
        <v>0</v>
      </c>
      <c r="AW162" s="56">
        <f t="shared" si="185"/>
        <v>0</v>
      </c>
      <c r="AX162" s="475">
        <f t="shared" si="165"/>
        <v>0</v>
      </c>
      <c r="AY162" s="1169">
        <f t="shared" si="186"/>
        <v>0</v>
      </c>
      <c r="AZ162" s="1150">
        <f t="shared" si="225"/>
        <v>0</v>
      </c>
      <c r="BA162" s="56">
        <f t="shared" si="166"/>
        <v>0</v>
      </c>
      <c r="BB162" s="420">
        <f t="shared" si="167"/>
        <v>0</v>
      </c>
      <c r="BC162" s="58" t="str">
        <f t="shared" si="168"/>
        <v/>
      </c>
      <c r="BD162" s="660">
        <f t="shared" si="226"/>
        <v>0</v>
      </c>
      <c r="BE162" s="57" t="e">
        <f t="array" ref="BE162">INDEX($EB$11:$ED$1022,MATCH(F162&amp;T162,$EB$11:$EB$1007&amp;$EC$11:$EC$1007,0),3)</f>
        <v>#N/A</v>
      </c>
      <c r="BF162" s="463">
        <f t="shared" si="157"/>
        <v>0</v>
      </c>
      <c r="BG162" s="1445" t="e">
        <f t="array" ref="BG162">INDEX($DO$112:$DQ$123,MATCH(T162&amp;W162,$DO$114:$DO$125&amp;$DP$112:$DP$123,0),3)</f>
        <v>#N/A</v>
      </c>
      <c r="BH162" s="1446">
        <f t="shared" si="187"/>
        <v>0</v>
      </c>
      <c r="BI162" s="465">
        <f t="shared" si="188"/>
        <v>0</v>
      </c>
      <c r="BJ162" s="465">
        <f t="shared" si="189"/>
        <v>0</v>
      </c>
      <c r="BK162" s="466">
        <f t="shared" si="158"/>
        <v>0</v>
      </c>
      <c r="BL162" s="466">
        <f t="shared" si="159"/>
        <v>0</v>
      </c>
      <c r="BM162" s="466">
        <f t="shared" si="190"/>
        <v>0</v>
      </c>
      <c r="BN162" s="466">
        <f t="shared" si="191"/>
        <v>0</v>
      </c>
      <c r="BO162" s="463">
        <f>IF('Data Entry'!$C$74=0,0,IF(ISNA(CJ162),0,IF(AX162=0,0,IF(AND('Data Entry'!$C$74=2,AF162&gt;2,CE162&lt;1),0,IF(AND('Data Entry'!$C$74=2,AF162&gt;1,AU162=2,CJ162&gt;1),0,IF(AND(AF162=5,CT162=0.5,AU162=2,ER162&lt;100),0,IF(AND(AF162=5,CT162=0.5,AU162=3,ER162&lt;100),0,IF(AND('Data Entry'!$C$74=2,AF162=2,AU162=2,AK162&gt;0.01,CB162=2,CE162&lt;1),0,IF(AND('Data Entry'!$C$74=2,AF162=3,AU162=3,AK162&gt;0.01,CB162=3,CE162&lt;1),0,IF(AND('Data Entry'!$C$74=2,AF162=3,AU162=3,AK162&gt;0.01,CB162=3,CE162&gt;0.99),BQ162*0.08,IF(AND('Data Entry'!$C$74=2,AF162=2,AU162=2,AK162&gt;0.01,CB162=2,CE162&gt;0.99),BQ162*0.1,IF(AND(AU162=2,AK162&gt;0.01,CB162=2,CD162&gt;1),BQ162*0.1,IF(AND(AU162=3,AK162&gt;0.01,CB162=3,CD162&gt;1),BQ162*0.08,CJ162*EF162)))))))))))))</f>
        <v>0</v>
      </c>
      <c r="BP162" s="475">
        <f t="shared" si="192"/>
        <v>0</v>
      </c>
      <c r="BQ162" s="1431">
        <f>IF(AU162=1,0,IF(CH162=100,0,IF(AND(AF162=3,AU162=2),0,IF(AND(BH162=0,CT162&gt;0.4),0,IF(AND('Data Entry'!$C$74=2,AF162=1.5),0,IF(AND('Data Entry'!$C$74=2,AF162=1.6),0,IF(AND('Data Entry'!$C$74=2,AF162=4),0,IF(AND('Data Entry'!$C$74=2,AF162=5),0,IF(AND('Data Entry'!$C$74=2,AF162=2.5,CE162&lt;1),0,IF(AND('Data Entry'!$C$74=2,AF162=3,CE162&lt;1),0,IF(AND('Data Entry'!$C$74=1,AF162=2.5,CD162&lt;1),0,IF(AND('Data Entry'!$C$74=1,AF162=3,CD162&lt;1),0,IF(DX162&gt;0.01,DX162,IF(ISERROR(AX162-AY162),"",ROUND(AX162-AY162,2)))))))))))))))</f>
        <v>0</v>
      </c>
      <c r="BR162" s="146">
        <f t="shared" si="193"/>
        <v>0</v>
      </c>
      <c r="BS162" s="475">
        <f t="shared" si="194"/>
        <v>0</v>
      </c>
      <c r="BT162" s="146" t="b">
        <f t="shared" si="195"/>
        <v>0</v>
      </c>
      <c r="BU162" s="463">
        <f>IF(ISNA(AT162),0,IF(AND('Data Entry'!$C$74=2,BC162=27),0,IF(AND('Data Entry'!$C$74=2,BC162=28),0,IF(AND(BC162=27,BT162=27,CM162&gt;0.1),CM162*0.15,IF(AND(BC162=28,BT162=28,CM162&gt;0.1),CM162*0.12,0)))))</f>
        <v>0</v>
      </c>
      <c r="BV162" s="463">
        <f t="shared" si="232"/>
        <v>0</v>
      </c>
      <c r="BW162" s="463">
        <f t="shared" si="196"/>
        <v>0</v>
      </c>
      <c r="BX162" s="463">
        <f t="shared" si="197"/>
        <v>0</v>
      </c>
      <c r="BY162" s="463">
        <f t="shared" si="198"/>
        <v>0</v>
      </c>
      <c r="BZ162" s="463">
        <f t="shared" si="199"/>
        <v>0</v>
      </c>
      <c r="CA162" s="57">
        <f t="shared" si="227"/>
        <v>0</v>
      </c>
      <c r="CB162" s="56">
        <f t="shared" si="200"/>
        <v>1</v>
      </c>
      <c r="CC162" s="756">
        <f>IF(EE162=0,0,IF(EF162=0,0,IF(EE162&gt;AA162,0,IF(AND(AZ162&gt;AW162,AW162&gt;0),0,IF(CU162=0,0,Summary!AC465)))))</f>
        <v>0</v>
      </c>
      <c r="CD162" s="756">
        <f>IF(EE162=0,0,IF(EF162=0,0,IF(EE162&gt;AA162,0,IF(AND(AZ162&gt;AW162,AW162&gt;0),0,IF(CU162=0,0,Summary!AD465)))))</f>
        <v>0</v>
      </c>
      <c r="CE162" s="756">
        <f>IF(EF162=0,0,IF(EE162&gt;AA162,0,IF(CC162=0,0,IF(AND(AZ162&gt;AW162,AW162&gt;0),0,IF(CU162=0,0,Summary!AE465)))))</f>
        <v>0</v>
      </c>
      <c r="CF162" s="475">
        <f t="shared" si="201"/>
        <v>0</v>
      </c>
      <c r="CG162" s="476">
        <f t="shared" si="169"/>
        <v>0</v>
      </c>
      <c r="CH162" s="487">
        <f t="shared" si="202"/>
        <v>0</v>
      </c>
      <c r="CI162" s="756">
        <f t="shared" si="203"/>
        <v>0</v>
      </c>
      <c r="CJ162" s="487">
        <f>IF(CT162&gt;0.4,0,IF(AND(AU162=2,CH162=0,CT162=0.5,ER162=100),35,IF(AND(AU162=3,BB162&gt;75,CH162=0,CT162=0.5,ER162=100),25,IF(CB162&gt;1,0,IF(EF162&gt;EE162,0,IF(AND(AF162&gt;1,CH162=100),0,IF(AND(AF162=1,AY162=0),0,IF(AND(EF162&lt;=EE162,AW162&gt;=AZ162,'Data Entry'!$C$74=1,AU162=2),VLOOKUP(W162,$DO$96:$DP$102,2,FALSE),IF(AND(EF162&lt;=EE162,AW162&gt;=AZ162,AU162=3,'Data Entry'!$C$74=1),VLOOKUP(W162,$DO$127:$DP$134,2,FALSE))))))))))</f>
        <v>0</v>
      </c>
      <c r="CK162" s="716">
        <f t="shared" si="204"/>
        <v>0</v>
      </c>
      <c r="CL162" s="57">
        <f t="shared" si="205"/>
        <v>0</v>
      </c>
      <c r="CM162" s="475">
        <f t="shared" si="231"/>
        <v>0</v>
      </c>
      <c r="CN162" s="660">
        <f>IF(CM162&lt;0.1,0,IF(ISNA(AT162),0,IF(CL162+BC162=1,0,IF(BV162&gt;0.01,0,IF(CL162&gt;0.01,0,IF(CF162=1,0,IF(BC162=0.5,0,IF(AND(CI162=1,AU162=3),0,IF(AND(CI162=5,CL162=0),0,IF(AND(R162=12,BR162=50),0,IF(CK162&gt;0.01,0,IF(AND(AJ162&gt;0.01,AU162=2,BC162=15),CM162*0.1,IF(AND(AJ162&gt;0.01,AU162=3,BC162=15),CM162*0.08,IF(AND(R162=12,BC162=3,AF162&lt;=0),0,IF(AND(BC162=15,BI162=0),0,IF(AND(BC162=15,BJ162=0),0,IF(AND(R162=20,CU162=0),0,IF($X$4=0,0,IF(AND(BC162=250,CL162=0),0,IF(AA162&lt;1,0,IF(AND(ISNUMBER(SEARCH("Area",T162)),AU162=3),0,IF(AND(AQ162&gt;0.01,AR162=0,BK162=0,BL162=0,BM162=0,BN162=0),0,IF(AND(AU162=3,CI162=7,CT162&gt;0.5),0,IF(AND(BC162=44,AU162=3,BY162=0),0,IF(AND(BC162=27,'Data Entry'!$C$74=2),0,IF(AND(BC162=28,'Data Entry'!$C$74=2),0,IF(AND(BY162+BZ162+CA162&gt;0.01,BV162=0,EQ162+ER162+ES162+ET162&lt;100),0,IF(AU162=3,CM162*0.08,IF(AU162=2,CM162*0.1,0)))))))))))))))))))))))))))))</f>
        <v>0</v>
      </c>
      <c r="CO162" s="660">
        <f t="shared" si="206"/>
        <v>0</v>
      </c>
      <c r="CP162" s="475" t="str">
        <f t="shared" si="207"/>
        <v/>
      </c>
      <c r="CQ162" s="161" t="str">
        <f>IF(AH162=0,0,IF(AU162=5,0,Summary!AC165))</f>
        <v/>
      </c>
      <c r="CR162" s="161" t="str">
        <f>IF(BF162=0.5,0,IF(AU162=5,0,Summary!AD165))</f>
        <v/>
      </c>
      <c r="CS162" s="161" t="str">
        <f>IF(AU162=5,0,Summary!AE165)</f>
        <v/>
      </c>
      <c r="CT162" s="161">
        <f t="shared" si="208"/>
        <v>0</v>
      </c>
      <c r="CU162" s="475" t="str">
        <f t="shared" si="209"/>
        <v/>
      </c>
      <c r="CV162" s="307">
        <f>IF('Data Entry'!$C$74=0,0,IF(AA162&lt;1,0,IF(ISERROR(CU162),0,IF(CF162=1,0,IF(AND(R162=12,BR162=50),0,IF(CL162+BO162+BV162+DC162=0,0,IF(BC162=37,0,IF(AND(BC162=40,AJ162=0),0,IF(AND(BC162=37,BO162&gt;0.01,BQ162&gt;0.01),ROUND(BQ162,0),IF(CM162&lt;0,0,ROUND(CM162,0)))))))))))</f>
        <v>0</v>
      </c>
      <c r="CW162" s="700">
        <f t="shared" si="210"/>
        <v>0</v>
      </c>
      <c r="CX162" s="477">
        <f>IF('Data Entry'!$C$74=0,0,IF(CV162&lt;0.01,0,IF(BF162=0.5,0,IF(CF162=1,0,IF(ISNUMBER(SEARCH("false",CL162)),0,IF(AZ162=500,0,CL162))))))</f>
        <v>0</v>
      </c>
      <c r="CY162" s="147" t="e">
        <f t="shared" si="211"/>
        <v>#VALUE!</v>
      </c>
      <c r="CZ162" s="147" t="b">
        <f>IF(CN162+CL162=0,FALSE,IF(AH162=0,0,IF(AND('Data Entry'!$C$74=1,CR162&gt;=1),TRUE,IF(AND('Data Entry'!$C$74=2,CS162&gt;=1),TRUE,FALSE))))</f>
        <v>0</v>
      </c>
      <c r="DA162" s="1751">
        <f>IF('Data Entry'!$C$74=0,0,IFERROR(ROUND(IF(T162="","",IF($X$4=0,0,IF(CF162=1,0,IF(BQ162+CV162=0,0,IF(CF162=1,0,IF(CY162&gt;0.01,CY162,IF(CL162&gt;0.01,CL162,IF(CY162&gt;0.01,CY162,IF(BC162=37,BO162,IF(CZ162=FALSE,0,IF(CZ162=TRUE,DC162+DF162,0))))))))))),2),""))</f>
        <v>0</v>
      </c>
      <c r="DB162" s="1752"/>
      <c r="DC162" s="474">
        <f>IF(CN162&lt;0.01,0,IF(AND(BR162=3,CN162&gt;0.01,CT162&gt;0.6,ER162+ES162+ET162&lt;100),0,IF(AND('Data Entry'!$C$74=1,CN162&gt;0.01,CR162&gt;0.99),MIN(CN162:CO162),IF(AND('Data Entry'!$C$74=2,CN162&gt;0.01,CS162&gt;0.99),MIN(CN162:CO162),0))))</f>
        <v>0</v>
      </c>
      <c r="DD162" s="478">
        <f>IF(CF162=1,"Selection does not match",IF(T162=0,0,IF(AND('Data Entry'!$C$74=0,CP162&gt;1),"Select Oregon or Idaho on Data Entry Tab",IF(AND(AU162=1,AA162&gt;0.9),"Missing Interior or Exterior Selection",IF($X$4=0,"Enter Total Project Cost",IF(AQ162&lt;AR162,"Insufficient kWh savings – no incentive",IF(AND(SUM(CL162+CK162+BV162)&gt;0.01,'Data Entry'!$C$74=2,CJ162&gt;1,BO162=0),"Submit Control as Non-Standard",IF(AND('Data Entry'!$C$74=2,BR162=37,CJ162&gt;1,BO162=0),"Submit Control as Non-Standard",IF(SUM(CL162+CK162+BV162)&gt;0.01,"Standard Incentive",IF(AND('Data Entry'!$C$74=2,CP162=7,CN162=0),"Submit as Non-Standard",IF(DC162&gt;0.9,"Non-Standard Incentive",IF(AND(BY162+BZ162+CA162&gt;0.01,BV162=0,EQ162=0,ER162=0,ES162=0,ET162=0),"Scroll Right &amp; Select Control Strategies",IF(AND(CN162&gt;0.01,CO162=0),"Enter Unit Installed Cost",IF(ISNUMBER(SEARCH("Lighting Controls Only",F162)),"Lighting Controls Only",IF(CL162+DC162=0,"Does not meet incentive criteria",0)))))))))))))))</f>
        <v>0</v>
      </c>
      <c r="DE162" s="337">
        <f t="shared" si="212"/>
        <v>0</v>
      </c>
      <c r="DF162" s="609">
        <f t="shared" si="213"/>
        <v>0</v>
      </c>
      <c r="DG162" s="336" t="str">
        <f t="shared" si="214"/>
        <v/>
      </c>
      <c r="DH162" s="338">
        <f t="shared" si="215"/>
        <v>1</v>
      </c>
      <c r="DI162" s="336" t="e">
        <f t="shared" si="170"/>
        <v>#VALUE!</v>
      </c>
      <c r="DJ162" s="338">
        <f t="shared" si="171"/>
        <v>0</v>
      </c>
      <c r="DK162" s="325" t="s">
        <v>1377</v>
      </c>
      <c r="DL162" s="341" t="s">
        <v>450</v>
      </c>
      <c r="DM162" s="1144" t="s">
        <v>73</v>
      </c>
      <c r="DN162" s="820"/>
      <c r="DO162" s="331"/>
      <c r="DP162" s="332"/>
      <c r="DQ162" s="331"/>
      <c r="DR162" s="357"/>
      <c r="DS162" s="1195">
        <f t="shared" si="216"/>
        <v>0</v>
      </c>
      <c r="DT162" s="344" t="b">
        <f t="shared" si="217"/>
        <v>1</v>
      </c>
      <c r="DU162" s="1314" t="str">
        <f t="array" ref="DU162">IF(OR(COUNTIF(F162,"*"&amp;$DK$9:$DK$178&amp;"*")), "Yes", "")</f>
        <v/>
      </c>
      <c r="DV162" s="1314">
        <f t="shared" si="218"/>
        <v>0</v>
      </c>
      <c r="DW162" s="1480">
        <f t="shared" si="219"/>
        <v>0</v>
      </c>
      <c r="DX162" s="1498">
        <f t="shared" si="228"/>
        <v>0</v>
      </c>
      <c r="DY162" s="1484">
        <f t="shared" si="220"/>
        <v>0</v>
      </c>
      <c r="DZ162" s="331"/>
      <c r="EA162" s="392"/>
      <c r="EB162" s="1499" t="s">
        <v>99</v>
      </c>
      <c r="EC162" s="727" t="s">
        <v>1568</v>
      </c>
      <c r="ED162" s="728">
        <v>0.5</v>
      </c>
      <c r="EE162" s="1215"/>
      <c r="EF162" s="1215"/>
      <c r="EG162" s="1184" t="str">
        <f t="shared" si="221"/>
        <v/>
      </c>
      <c r="EH162" s="55"/>
      <c r="EI162" s="55"/>
      <c r="EJ162" s="1185">
        <f t="shared" si="172"/>
        <v>0</v>
      </c>
      <c r="EK162" s="1211"/>
      <c r="EL162" s="1180">
        <f t="shared" si="173"/>
        <v>0</v>
      </c>
      <c r="EM162" s="206"/>
      <c r="EN162" s="1038"/>
      <c r="EO162" s="1038"/>
      <c r="EP162" s="1038"/>
      <c r="EQ162" s="1038">
        <f t="shared" si="222"/>
        <v>0</v>
      </c>
      <c r="ER162" s="1041">
        <f t="shared" si="223"/>
        <v>0</v>
      </c>
      <c r="ES162" s="1042">
        <f t="shared" si="224"/>
        <v>0</v>
      </c>
      <c r="ET162" s="1042">
        <f t="shared" si="229"/>
        <v>0</v>
      </c>
      <c r="EU162" s="1021">
        <f t="shared" si="230"/>
        <v>0</v>
      </c>
      <c r="EV162" s="368"/>
      <c r="EW162" s="368"/>
      <c r="EX162" s="369"/>
      <c r="EY162" s="370"/>
      <c r="EZ162" s="370"/>
      <c r="FA162" s="371"/>
      <c r="FB162" s="372"/>
    </row>
    <row r="163" spans="1:158" ht="34.5" customHeight="1">
      <c r="A163" s="82">
        <v>155</v>
      </c>
      <c r="B163" s="1725"/>
      <c r="C163" s="1726"/>
      <c r="D163" s="1726"/>
      <c r="E163" s="1727"/>
      <c r="F163" s="1732"/>
      <c r="G163" s="1733"/>
      <c r="H163" s="1733"/>
      <c r="I163" s="1734"/>
      <c r="J163" s="1341"/>
      <c r="K163" s="1728"/>
      <c r="L163" s="1728"/>
      <c r="M163" s="1342"/>
      <c r="N163" s="1583"/>
      <c r="O163" s="208" t="str">
        <f t="shared" si="160"/>
        <v/>
      </c>
      <c r="P163" s="785"/>
      <c r="Q163" s="39" t="str">
        <f t="shared" si="161"/>
        <v/>
      </c>
      <c r="R163" s="39">
        <f t="shared" si="174"/>
        <v>0</v>
      </c>
      <c r="S163" s="234">
        <f t="shared" si="175"/>
        <v>0</v>
      </c>
      <c r="T163" s="1755"/>
      <c r="U163" s="1755"/>
      <c r="V163" s="1755"/>
      <c r="W163" s="1345"/>
      <c r="X163" s="1741"/>
      <c r="Y163" s="1742"/>
      <c r="Z163" s="1346"/>
      <c r="AA163" s="1343"/>
      <c r="AB163" s="1141"/>
      <c r="AC163" s="1103" t="str">
        <f>IF(T163="","",VLOOKUP(Z163,Lists!$A$60:$B$111,2,FALSE))</f>
        <v/>
      </c>
      <c r="AD163" s="130" t="str">
        <f t="shared" si="176"/>
        <v/>
      </c>
      <c r="AE163" s="130" t="e">
        <f t="shared" si="177"/>
        <v>#VALUE!</v>
      </c>
      <c r="AF163" s="130">
        <f t="shared" si="178"/>
        <v>1</v>
      </c>
      <c r="AG163" s="234">
        <f t="shared" si="162"/>
        <v>0</v>
      </c>
      <c r="AH163" s="1753" t="str">
        <f>IF(T163="","",(IF(ISNUMBER(SEARCH("exit",T163)),8760,IF(AND(M163="Dusk to Dawn",'Proposed Lighting'!AU163=3),4059,IF(AND(AU163=3,M163="1"),0,IF(AND(AU163=3,M163="1-C"),0,IF(AND(AU163=3,M163="2"),0,IF(AND(AU163=3,M163="2-C"),0,IF(AND(AU163=3,M163="3"),0,IF(AND(AU163=3,M163="3-C"),0,IF(AND(AU163=2,M163="Dusk to Dawn"),0,IF(AND(AU163=2,M163="Dusk to Dawn-C"),0,IF(AND(AU163=2,M163="Dusk to Dawn"),0,IF(AND(AU163=2,M163="E"),0,IF(AND(AU163=2,M163="E-C"),0,EG163)))))))))))))))</f>
        <v/>
      </c>
      <c r="AI163" s="1754"/>
      <c r="AJ163" s="1136"/>
      <c r="AK163" s="1136"/>
      <c r="AL163" s="1748">
        <f t="shared" si="179"/>
        <v>0</v>
      </c>
      <c r="AM163" s="1749"/>
      <c r="AN163" s="1750"/>
      <c r="AO163" s="476">
        <f t="shared" si="163"/>
        <v>0</v>
      </c>
      <c r="AP163" s="476">
        <f t="shared" si="180"/>
        <v>0</v>
      </c>
      <c r="AQ163" s="475">
        <f t="shared" si="164"/>
        <v>0</v>
      </c>
      <c r="AR163" s="475">
        <f t="shared" si="181"/>
        <v>0</v>
      </c>
      <c r="AS163" s="743" t="str">
        <f t="shared" si="233"/>
        <v/>
      </c>
      <c r="AT163" s="736" t="str">
        <f t="shared" si="182"/>
        <v/>
      </c>
      <c r="AU163" s="56">
        <f t="shared" si="183"/>
        <v>1</v>
      </c>
      <c r="AV163" s="476">
        <f t="shared" si="184"/>
        <v>0</v>
      </c>
      <c r="AW163" s="56">
        <f t="shared" si="185"/>
        <v>0</v>
      </c>
      <c r="AX163" s="475">
        <f t="shared" si="165"/>
        <v>0</v>
      </c>
      <c r="AY163" s="1169">
        <f t="shared" si="186"/>
        <v>0</v>
      </c>
      <c r="AZ163" s="1150">
        <f t="shared" si="225"/>
        <v>0</v>
      </c>
      <c r="BA163" s="56">
        <f t="shared" si="166"/>
        <v>0</v>
      </c>
      <c r="BB163" s="420">
        <f t="shared" si="167"/>
        <v>0</v>
      </c>
      <c r="BC163" s="58" t="str">
        <f t="shared" si="168"/>
        <v/>
      </c>
      <c r="BD163" s="660">
        <f t="shared" si="226"/>
        <v>0</v>
      </c>
      <c r="BE163" s="57" t="e">
        <f t="array" ref="BE163">INDEX($EB$11:$ED$1022,MATCH(F163&amp;T163,$EB$11:$EB$1007&amp;$EC$11:$EC$1007,0),3)</f>
        <v>#N/A</v>
      </c>
      <c r="BF163" s="463">
        <f t="shared" si="157"/>
        <v>0</v>
      </c>
      <c r="BG163" s="1445" t="e">
        <f t="array" ref="BG163">INDEX($DO$112:$DQ$123,MATCH(T163&amp;W163,$DO$114:$DO$125&amp;$DP$112:$DP$123,0),3)</f>
        <v>#N/A</v>
      </c>
      <c r="BH163" s="1446">
        <f t="shared" si="187"/>
        <v>0</v>
      </c>
      <c r="BI163" s="465">
        <f t="shared" si="188"/>
        <v>0</v>
      </c>
      <c r="BJ163" s="465">
        <f t="shared" si="189"/>
        <v>0</v>
      </c>
      <c r="BK163" s="466">
        <f t="shared" si="158"/>
        <v>0</v>
      </c>
      <c r="BL163" s="466">
        <f t="shared" si="159"/>
        <v>0</v>
      </c>
      <c r="BM163" s="466">
        <f t="shared" si="190"/>
        <v>0</v>
      </c>
      <c r="BN163" s="466">
        <f t="shared" si="191"/>
        <v>0</v>
      </c>
      <c r="BO163" s="463">
        <f>IF('Data Entry'!$C$74=0,0,IF(ISNA(CJ163),0,IF(AX163=0,0,IF(AND('Data Entry'!$C$74=2,AF163&gt;2,CE163&lt;1),0,IF(AND('Data Entry'!$C$74=2,AF163&gt;1,AU163=2,CJ163&gt;1),0,IF(AND(AF163=5,CT163=0.5,AU163=2,ER163&lt;100),0,IF(AND(AF163=5,CT163=0.5,AU163=3,ER163&lt;100),0,IF(AND('Data Entry'!$C$74=2,AF163=2,AU163=2,AK163&gt;0.01,CB163=2,CE163&lt;1),0,IF(AND('Data Entry'!$C$74=2,AF163=3,AU163=3,AK163&gt;0.01,CB163=3,CE163&lt;1),0,IF(AND('Data Entry'!$C$74=2,AF163=3,AU163=3,AK163&gt;0.01,CB163=3,CE163&gt;0.99),BQ163*0.08,IF(AND('Data Entry'!$C$74=2,AF163=2,AU163=2,AK163&gt;0.01,CB163=2,CE163&gt;0.99),BQ163*0.1,IF(AND(AU163=2,AK163&gt;0.01,CB163=2,CD163&gt;1),BQ163*0.1,IF(AND(AU163=3,AK163&gt;0.01,CB163=3,CD163&gt;1),BQ163*0.08,CJ163*EF163)))))))))))))</f>
        <v>0</v>
      </c>
      <c r="BP163" s="475">
        <f t="shared" si="192"/>
        <v>0</v>
      </c>
      <c r="BQ163" s="1431">
        <f>IF(AU163=1,0,IF(CH163=100,0,IF(AND(AF163=3,AU163=2),0,IF(AND(BH163=0,CT163&gt;0.4),0,IF(AND('Data Entry'!$C$74=2,AF163=1.5),0,IF(AND('Data Entry'!$C$74=2,AF163=1.6),0,IF(AND('Data Entry'!$C$74=2,AF163=4),0,IF(AND('Data Entry'!$C$74=2,AF163=5),0,IF(AND('Data Entry'!$C$74=2,AF163=2.5,CE163&lt;1),0,IF(AND('Data Entry'!$C$74=2,AF163=3,CE163&lt;1),0,IF(AND('Data Entry'!$C$74=1,AF163=2.5,CD163&lt;1),0,IF(AND('Data Entry'!$C$74=1,AF163=3,CD163&lt;1),0,IF(DX163&gt;0.01,DX163,IF(ISERROR(AX163-AY163),"",ROUND(AX163-AY163,2)))))))))))))))</f>
        <v>0</v>
      </c>
      <c r="BR163" s="146">
        <f t="shared" si="193"/>
        <v>0</v>
      </c>
      <c r="BS163" s="475">
        <f t="shared" si="194"/>
        <v>0</v>
      </c>
      <c r="BT163" s="146" t="b">
        <f t="shared" si="195"/>
        <v>0</v>
      </c>
      <c r="BU163" s="463">
        <f>IF(ISNA(AT163),0,IF(AND('Data Entry'!$C$74=2,BC163=27),0,IF(AND('Data Entry'!$C$74=2,BC163=28),0,IF(AND(BC163=27,BT163=27,CM163&gt;0.1),CM163*0.15,IF(AND(BC163=28,BT163=28,CM163&gt;0.1),CM163*0.12,0)))))</f>
        <v>0</v>
      </c>
      <c r="BV163" s="463">
        <f t="shared" si="232"/>
        <v>0</v>
      </c>
      <c r="BW163" s="463">
        <f t="shared" si="196"/>
        <v>0</v>
      </c>
      <c r="BX163" s="463">
        <f t="shared" si="197"/>
        <v>0</v>
      </c>
      <c r="BY163" s="463">
        <f t="shared" si="198"/>
        <v>0</v>
      </c>
      <c r="BZ163" s="463">
        <f t="shared" si="199"/>
        <v>0</v>
      </c>
      <c r="CA163" s="57">
        <f t="shared" si="227"/>
        <v>0</v>
      </c>
      <c r="CB163" s="56">
        <f t="shared" si="200"/>
        <v>1</v>
      </c>
      <c r="CC163" s="756">
        <f>IF(EE163=0,0,IF(EF163=0,0,IF(EE163&gt;AA163,0,IF(AND(AZ163&gt;AW163,AW163&gt;0),0,IF(CU163=0,0,Summary!AC466)))))</f>
        <v>0</v>
      </c>
      <c r="CD163" s="756">
        <f>IF(EE163=0,0,IF(EF163=0,0,IF(EE163&gt;AA163,0,IF(AND(AZ163&gt;AW163,AW163&gt;0),0,IF(CU163=0,0,Summary!AD466)))))</f>
        <v>0</v>
      </c>
      <c r="CE163" s="756">
        <f>IF(EF163=0,0,IF(EE163&gt;AA163,0,IF(CC163=0,0,IF(AND(AZ163&gt;AW163,AW163&gt;0),0,IF(CU163=0,0,Summary!AE466)))))</f>
        <v>0</v>
      </c>
      <c r="CF163" s="475">
        <f t="shared" si="201"/>
        <v>0</v>
      </c>
      <c r="CG163" s="476">
        <f t="shared" si="169"/>
        <v>0</v>
      </c>
      <c r="CH163" s="487">
        <f t="shared" si="202"/>
        <v>0</v>
      </c>
      <c r="CI163" s="756">
        <f t="shared" si="203"/>
        <v>0</v>
      </c>
      <c r="CJ163" s="487">
        <f>IF(CT163&gt;0.4,0,IF(AND(AU163=2,CH163=0,CT163=0.5,ER163=100),35,IF(AND(AU163=3,BB163&gt;75,CH163=0,CT163=0.5,ER163=100),25,IF(CB163&gt;1,0,IF(EF163&gt;EE163,0,IF(AND(AF163&gt;1,CH163=100),0,IF(AND(AF163=1,AY163=0),0,IF(AND(EF163&lt;=EE163,AW163&gt;=AZ163,'Data Entry'!$C$74=1,AU163=2),VLOOKUP(W163,$DO$96:$DP$102,2,FALSE),IF(AND(EF163&lt;=EE163,AW163&gt;=AZ163,AU163=3,'Data Entry'!$C$74=1),VLOOKUP(W163,$DO$127:$DP$134,2,FALSE))))))))))</f>
        <v>0</v>
      </c>
      <c r="CK163" s="716">
        <f t="shared" si="204"/>
        <v>0</v>
      </c>
      <c r="CL163" s="57">
        <f t="shared" si="205"/>
        <v>0</v>
      </c>
      <c r="CM163" s="475">
        <f t="shared" si="231"/>
        <v>0</v>
      </c>
      <c r="CN163" s="660">
        <f>IF(CM163&lt;0.1,0,IF(ISNA(AT163),0,IF(CL163+BC163=1,0,IF(BV163&gt;0.01,0,IF(CL163&gt;0.01,0,IF(CF163=1,0,IF(BC163=0.5,0,IF(AND(CI163=1,AU163=3),0,IF(AND(CI163=5,CL163=0),0,IF(AND(R163=12,BR163=50),0,IF(CK163&gt;0.01,0,IF(AND(AJ163&gt;0.01,AU163=2,BC163=15),CM163*0.1,IF(AND(AJ163&gt;0.01,AU163=3,BC163=15),CM163*0.08,IF(AND(R163=12,BC163=3,AF163&lt;=0),0,IF(AND(BC163=15,BI163=0),0,IF(AND(BC163=15,BJ163=0),0,IF(AND(R163=20,CU163=0),0,IF($X$4=0,0,IF(AND(BC163=250,CL163=0),0,IF(AA163&lt;1,0,IF(AND(ISNUMBER(SEARCH("Area",T163)),AU163=3),0,IF(AND(AQ163&gt;0.01,AR163=0,BK163=0,BL163=0,BM163=0,BN163=0),0,IF(AND(AU163=3,CI163=7,CT163&gt;0.5),0,IF(AND(BC163=44,AU163=3,BY163=0),0,IF(AND(BC163=27,'Data Entry'!$C$74=2),0,IF(AND(BC163=28,'Data Entry'!$C$74=2),0,IF(AND(BY163+BZ163+CA163&gt;0.01,BV163=0,EQ163+ER163+ES163+ET163&lt;100),0,IF(AU163=3,CM163*0.08,IF(AU163=2,CM163*0.1,0)))))))))))))))))))))))))))))</f>
        <v>0</v>
      </c>
      <c r="CO163" s="660">
        <f t="shared" si="206"/>
        <v>0</v>
      </c>
      <c r="CP163" s="475" t="str">
        <f t="shared" si="207"/>
        <v/>
      </c>
      <c r="CQ163" s="161" t="str">
        <f>IF(AH163=0,0,IF(AU163=5,0,Summary!AC166))</f>
        <v/>
      </c>
      <c r="CR163" s="161" t="str">
        <f>IF(BF163=0.5,0,IF(AU163=5,0,Summary!AD166))</f>
        <v/>
      </c>
      <c r="CS163" s="161" t="str">
        <f>IF(AU163=5,0,Summary!AE166)</f>
        <v/>
      </c>
      <c r="CT163" s="161">
        <f t="shared" si="208"/>
        <v>0</v>
      </c>
      <c r="CU163" s="475" t="str">
        <f t="shared" si="209"/>
        <v/>
      </c>
      <c r="CV163" s="307">
        <f>IF('Data Entry'!$C$74=0,0,IF(AA163&lt;1,0,IF(ISERROR(CU163),0,IF(CF163=1,0,IF(AND(R163=12,BR163=50),0,IF(CL163+BO163+BV163+DC163=0,0,IF(BC163=37,0,IF(AND(BC163=40,AJ163=0),0,IF(AND(BC163=37,BO163&gt;0.01,BQ163&gt;0.01),ROUND(BQ163,0),IF(CM163&lt;0,0,ROUND(CM163,0)))))))))))</f>
        <v>0</v>
      </c>
      <c r="CW163" s="700">
        <f t="shared" si="210"/>
        <v>0</v>
      </c>
      <c r="CX163" s="477">
        <f>IF('Data Entry'!$C$74=0,0,IF(CV163&lt;0.01,0,IF(BF163=0.5,0,IF(CF163=1,0,IF(ISNUMBER(SEARCH("false",CL163)),0,IF(AZ163=500,0,CL163))))))</f>
        <v>0</v>
      </c>
      <c r="CY163" s="147" t="e">
        <f t="shared" si="211"/>
        <v>#VALUE!</v>
      </c>
      <c r="CZ163" s="147" t="b">
        <f>IF(CN163+CL163=0,FALSE,IF(AH163=0,0,IF(AND('Data Entry'!$C$74=1,CR163&gt;=1),TRUE,IF(AND('Data Entry'!$C$74=2,CS163&gt;=1),TRUE,FALSE))))</f>
        <v>0</v>
      </c>
      <c r="DA163" s="1751">
        <f>IF('Data Entry'!$C$74=0,0,IFERROR(ROUND(IF(T163="","",IF($X$4=0,0,IF(CF163=1,0,IF(BQ163+CV163=0,0,IF(CF163=1,0,IF(CY163&gt;0.01,CY163,IF(CL163&gt;0.01,CL163,IF(CY163&gt;0.01,CY163,IF(BC163=37,BO163,IF(CZ163=FALSE,0,IF(CZ163=TRUE,DC163+DF163,0))))))))))),2),""))</f>
        <v>0</v>
      </c>
      <c r="DB163" s="1752"/>
      <c r="DC163" s="474">
        <f>IF(CN163&lt;0.01,0,IF(AND(BR163=3,CN163&gt;0.01,CT163&gt;0.6,ER163+ES163+ET163&lt;100),0,IF(AND('Data Entry'!$C$74=1,CN163&gt;0.01,CR163&gt;0.99),MIN(CN163:CO163),IF(AND('Data Entry'!$C$74=2,CN163&gt;0.01,CS163&gt;0.99),MIN(CN163:CO163),0))))</f>
        <v>0</v>
      </c>
      <c r="DD163" s="478">
        <f>IF(CF163=1,"Selection does not match",IF(T163=0,0,IF(AND('Data Entry'!$C$74=0,CP163&gt;1),"Select Oregon or Idaho on Data Entry Tab",IF(AND(AU163=1,AA163&gt;0.9),"Missing Interior or Exterior Selection",IF($X$4=0,"Enter Total Project Cost",IF(AQ163&lt;AR163,"Insufficient kWh savings – no incentive",IF(AND(SUM(CL163+CK163+BV163)&gt;0.01,'Data Entry'!$C$74=2,CJ163&gt;1,BO163=0),"Submit Control as Non-Standard",IF(AND('Data Entry'!$C$74=2,BR163=37,CJ163&gt;1,BO163=0),"Submit Control as Non-Standard",IF(SUM(CL163+CK163+BV163)&gt;0.01,"Standard Incentive",IF(AND('Data Entry'!$C$74=2,CP163=7,CN163=0),"Submit as Non-Standard",IF(DC163&gt;0.9,"Non-Standard Incentive",IF(AND(BY163+BZ163+CA163&gt;0.01,BV163=0,EQ163=0,ER163=0,ES163=0,ET163=0),"Scroll Right &amp; Select Control Strategies",IF(AND(CN163&gt;0.01,CO163=0),"Enter Unit Installed Cost",IF(ISNUMBER(SEARCH("Lighting Controls Only",F163)),"Lighting Controls Only",IF(CL163+DC163=0,"Does not meet incentive criteria",0)))))))))))))))</f>
        <v>0</v>
      </c>
      <c r="DE163" s="337">
        <f t="shared" si="212"/>
        <v>0</v>
      </c>
      <c r="DF163" s="609">
        <f t="shared" si="213"/>
        <v>0</v>
      </c>
      <c r="DG163" s="336" t="str">
        <f t="shared" si="214"/>
        <v/>
      </c>
      <c r="DH163" s="338">
        <f t="shared" si="215"/>
        <v>1</v>
      </c>
      <c r="DI163" s="336" t="e">
        <f t="shared" si="170"/>
        <v>#VALUE!</v>
      </c>
      <c r="DJ163" s="338">
        <f t="shared" si="171"/>
        <v>0</v>
      </c>
      <c r="DK163" s="325" t="s">
        <v>73</v>
      </c>
      <c r="DL163" s="341" t="s">
        <v>450</v>
      </c>
      <c r="DM163" s="340" t="s">
        <v>157</v>
      </c>
      <c r="DN163" s="820">
        <v>8</v>
      </c>
      <c r="DO163" s="331"/>
      <c r="DP163" s="332"/>
      <c r="DQ163" s="331"/>
      <c r="DR163" s="357"/>
      <c r="DS163" s="1195">
        <f t="shared" si="216"/>
        <v>0</v>
      </c>
      <c r="DT163" s="344" t="b">
        <f t="shared" si="217"/>
        <v>1</v>
      </c>
      <c r="DU163" s="1314" t="str">
        <f t="array" ref="DU163">IF(OR(COUNTIF(F163,"*"&amp;$DK$9:$DK$178&amp;"*")), "Yes", "")</f>
        <v/>
      </c>
      <c r="DV163" s="1314">
        <f t="shared" si="218"/>
        <v>0</v>
      </c>
      <c r="DW163" s="1480">
        <f t="shared" si="219"/>
        <v>0</v>
      </c>
      <c r="DX163" s="1498">
        <f t="shared" si="228"/>
        <v>0</v>
      </c>
      <c r="DY163" s="1484">
        <f t="shared" si="220"/>
        <v>0</v>
      </c>
      <c r="DZ163" s="331"/>
      <c r="EA163" s="392"/>
      <c r="EB163" s="1499" t="s">
        <v>100</v>
      </c>
      <c r="EC163" s="727" t="s">
        <v>1568</v>
      </c>
      <c r="ED163" s="728">
        <v>0.5</v>
      </c>
      <c r="EE163" s="1215"/>
      <c r="EF163" s="1215"/>
      <c r="EG163" s="1184" t="str">
        <f t="shared" si="221"/>
        <v/>
      </c>
      <c r="EH163" s="55"/>
      <c r="EI163" s="55"/>
      <c r="EJ163" s="1185">
        <f t="shared" si="172"/>
        <v>0</v>
      </c>
      <c r="EK163" s="1211"/>
      <c r="EL163" s="1180">
        <f t="shared" si="173"/>
        <v>0</v>
      </c>
      <c r="EM163" s="206"/>
      <c r="EN163" s="1038"/>
      <c r="EO163" s="1038"/>
      <c r="EP163" s="1038"/>
      <c r="EQ163" s="1038">
        <f t="shared" si="222"/>
        <v>0</v>
      </c>
      <c r="ER163" s="1041">
        <f t="shared" si="223"/>
        <v>0</v>
      </c>
      <c r="ES163" s="1042">
        <f t="shared" si="224"/>
        <v>0</v>
      </c>
      <c r="ET163" s="1042">
        <f t="shared" si="229"/>
        <v>0</v>
      </c>
      <c r="EU163" s="1021">
        <f t="shared" si="230"/>
        <v>0</v>
      </c>
      <c r="EV163" s="368"/>
      <c r="EW163" s="368"/>
      <c r="EX163" s="369"/>
      <c r="EY163" s="370"/>
      <c r="EZ163" s="370"/>
      <c r="FA163" s="371"/>
      <c r="FB163" s="372"/>
    </row>
    <row r="164" spans="1:158" ht="34.5" customHeight="1">
      <c r="A164" s="82">
        <v>156</v>
      </c>
      <c r="B164" s="1725"/>
      <c r="C164" s="1726"/>
      <c r="D164" s="1726"/>
      <c r="E164" s="1727"/>
      <c r="F164" s="1732"/>
      <c r="G164" s="1733"/>
      <c r="H164" s="1733"/>
      <c r="I164" s="1734"/>
      <c r="J164" s="1341"/>
      <c r="K164" s="1728"/>
      <c r="L164" s="1728"/>
      <c r="M164" s="1342"/>
      <c r="N164" s="1583"/>
      <c r="O164" s="208" t="str">
        <f t="shared" si="160"/>
        <v/>
      </c>
      <c r="P164" s="785"/>
      <c r="Q164" s="39" t="str">
        <f t="shared" si="161"/>
        <v/>
      </c>
      <c r="R164" s="39">
        <f t="shared" si="174"/>
        <v>0</v>
      </c>
      <c r="S164" s="234">
        <f t="shared" si="175"/>
        <v>0</v>
      </c>
      <c r="T164" s="1755"/>
      <c r="U164" s="1755"/>
      <c r="V164" s="1755"/>
      <c r="W164" s="1345"/>
      <c r="X164" s="1741"/>
      <c r="Y164" s="1742"/>
      <c r="Z164" s="1346"/>
      <c r="AA164" s="1343"/>
      <c r="AB164" s="1141"/>
      <c r="AC164" s="1103" t="str">
        <f>IF(T164="","",VLOOKUP(Z164,Lists!$A$60:$B$111,2,FALSE))</f>
        <v/>
      </c>
      <c r="AD164" s="130" t="str">
        <f t="shared" si="176"/>
        <v/>
      </c>
      <c r="AE164" s="130" t="e">
        <f t="shared" si="177"/>
        <v>#VALUE!</v>
      </c>
      <c r="AF164" s="130">
        <f t="shared" si="178"/>
        <v>1</v>
      </c>
      <c r="AG164" s="234">
        <f t="shared" si="162"/>
        <v>0</v>
      </c>
      <c r="AH164" s="1753" t="str">
        <f>IF(T164="","",(IF(ISNUMBER(SEARCH("exit",T164)),8760,IF(AND(M164="Dusk to Dawn",'Proposed Lighting'!AU164=3),4059,IF(AND(AU164=3,M164="1"),0,IF(AND(AU164=3,M164="1-C"),0,IF(AND(AU164=3,M164="2"),0,IF(AND(AU164=3,M164="2-C"),0,IF(AND(AU164=3,M164="3"),0,IF(AND(AU164=3,M164="3-C"),0,IF(AND(AU164=2,M164="Dusk to Dawn"),0,IF(AND(AU164=2,M164="Dusk to Dawn-C"),0,IF(AND(AU164=2,M164="Dusk to Dawn"),0,IF(AND(AU164=2,M164="E"),0,IF(AND(AU164=2,M164="E-C"),0,EG164)))))))))))))))</f>
        <v/>
      </c>
      <c r="AI164" s="1754"/>
      <c r="AJ164" s="1136"/>
      <c r="AK164" s="1136"/>
      <c r="AL164" s="1748">
        <f t="shared" si="179"/>
        <v>0</v>
      </c>
      <c r="AM164" s="1749"/>
      <c r="AN164" s="1750"/>
      <c r="AO164" s="476">
        <f t="shared" si="163"/>
        <v>0</v>
      </c>
      <c r="AP164" s="476">
        <f t="shared" si="180"/>
        <v>0</v>
      </c>
      <c r="AQ164" s="475">
        <f t="shared" si="164"/>
        <v>0</v>
      </c>
      <c r="AR164" s="475">
        <f t="shared" si="181"/>
        <v>0</v>
      </c>
      <c r="AS164" s="743" t="str">
        <f t="shared" si="233"/>
        <v/>
      </c>
      <c r="AT164" s="736" t="str">
        <f t="shared" si="182"/>
        <v/>
      </c>
      <c r="AU164" s="56">
        <f t="shared" si="183"/>
        <v>1</v>
      </c>
      <c r="AV164" s="476">
        <f t="shared" si="184"/>
        <v>0</v>
      </c>
      <c r="AW164" s="56">
        <f t="shared" si="185"/>
        <v>0</v>
      </c>
      <c r="AX164" s="475">
        <f t="shared" si="165"/>
        <v>0</v>
      </c>
      <c r="AY164" s="1169">
        <f t="shared" si="186"/>
        <v>0</v>
      </c>
      <c r="AZ164" s="1150">
        <f t="shared" si="225"/>
        <v>0</v>
      </c>
      <c r="BA164" s="56">
        <f t="shared" si="166"/>
        <v>0</v>
      </c>
      <c r="BB164" s="420">
        <f t="shared" si="167"/>
        <v>0</v>
      </c>
      <c r="BC164" s="58" t="str">
        <f t="shared" si="168"/>
        <v/>
      </c>
      <c r="BD164" s="660">
        <f t="shared" si="226"/>
        <v>0</v>
      </c>
      <c r="BE164" s="57" t="e">
        <f t="array" ref="BE164">INDEX($EB$11:$ED$1022,MATCH(F164&amp;T164,$EB$11:$EB$1007&amp;$EC$11:$EC$1007,0),3)</f>
        <v>#N/A</v>
      </c>
      <c r="BF164" s="463">
        <f t="shared" si="157"/>
        <v>0</v>
      </c>
      <c r="BG164" s="1445" t="e">
        <f t="array" ref="BG164">INDEX($DO$112:$DQ$123,MATCH(T164&amp;W164,$DO$114:$DO$125&amp;$DP$112:$DP$123,0),3)</f>
        <v>#N/A</v>
      </c>
      <c r="BH164" s="1446">
        <f t="shared" si="187"/>
        <v>0</v>
      </c>
      <c r="BI164" s="465">
        <f t="shared" si="188"/>
        <v>0</v>
      </c>
      <c r="BJ164" s="465">
        <f t="shared" si="189"/>
        <v>0</v>
      </c>
      <c r="BK164" s="466">
        <f t="shared" si="158"/>
        <v>0</v>
      </c>
      <c r="BL164" s="466">
        <f t="shared" si="159"/>
        <v>0</v>
      </c>
      <c r="BM164" s="466">
        <f t="shared" si="190"/>
        <v>0</v>
      </c>
      <c r="BN164" s="466">
        <f t="shared" si="191"/>
        <v>0</v>
      </c>
      <c r="BO164" s="463">
        <f>IF('Data Entry'!$C$74=0,0,IF(ISNA(CJ164),0,IF(AX164=0,0,IF(AND('Data Entry'!$C$74=2,AF164&gt;2,CE164&lt;1),0,IF(AND('Data Entry'!$C$74=2,AF164&gt;1,AU164=2,CJ164&gt;1),0,IF(AND(AF164=5,CT164=0.5,AU164=2,ER164&lt;100),0,IF(AND(AF164=5,CT164=0.5,AU164=3,ER164&lt;100),0,IF(AND('Data Entry'!$C$74=2,AF164=2,AU164=2,AK164&gt;0.01,CB164=2,CE164&lt;1),0,IF(AND('Data Entry'!$C$74=2,AF164=3,AU164=3,AK164&gt;0.01,CB164=3,CE164&lt;1),0,IF(AND('Data Entry'!$C$74=2,AF164=3,AU164=3,AK164&gt;0.01,CB164=3,CE164&gt;0.99),BQ164*0.08,IF(AND('Data Entry'!$C$74=2,AF164=2,AU164=2,AK164&gt;0.01,CB164=2,CE164&gt;0.99),BQ164*0.1,IF(AND(AU164=2,AK164&gt;0.01,CB164=2,CD164&gt;1),BQ164*0.1,IF(AND(AU164=3,AK164&gt;0.01,CB164=3,CD164&gt;1),BQ164*0.08,CJ164*EF164)))))))))))))</f>
        <v>0</v>
      </c>
      <c r="BP164" s="475">
        <f t="shared" si="192"/>
        <v>0</v>
      </c>
      <c r="BQ164" s="1431">
        <f>IF(AU164=1,0,IF(CH164=100,0,IF(AND(AF164=3,AU164=2),0,IF(AND(BH164=0,CT164&gt;0.4),0,IF(AND('Data Entry'!$C$74=2,AF164=1.5),0,IF(AND('Data Entry'!$C$74=2,AF164=1.6),0,IF(AND('Data Entry'!$C$74=2,AF164=4),0,IF(AND('Data Entry'!$C$74=2,AF164=5),0,IF(AND('Data Entry'!$C$74=2,AF164=2.5,CE164&lt;1),0,IF(AND('Data Entry'!$C$74=2,AF164=3,CE164&lt;1),0,IF(AND('Data Entry'!$C$74=1,AF164=2.5,CD164&lt;1),0,IF(AND('Data Entry'!$C$74=1,AF164=3,CD164&lt;1),0,IF(DX164&gt;0.01,DX164,IF(ISERROR(AX164-AY164),"",ROUND(AX164-AY164,2)))))))))))))))</f>
        <v>0</v>
      </c>
      <c r="BR164" s="146">
        <f t="shared" si="193"/>
        <v>0</v>
      </c>
      <c r="BS164" s="475">
        <f t="shared" si="194"/>
        <v>0</v>
      </c>
      <c r="BT164" s="146" t="b">
        <f t="shared" si="195"/>
        <v>0</v>
      </c>
      <c r="BU164" s="463">
        <f>IF(ISNA(AT164),0,IF(AND('Data Entry'!$C$74=2,BC164=27),0,IF(AND('Data Entry'!$C$74=2,BC164=28),0,IF(AND(BC164=27,BT164=27,CM164&gt;0.1),CM164*0.15,IF(AND(BC164=28,BT164=28,CM164&gt;0.1),CM164*0.12,0)))))</f>
        <v>0</v>
      </c>
      <c r="BV164" s="463">
        <f t="shared" si="232"/>
        <v>0</v>
      </c>
      <c r="BW164" s="463">
        <f t="shared" si="196"/>
        <v>0</v>
      </c>
      <c r="BX164" s="463">
        <f t="shared" si="197"/>
        <v>0</v>
      </c>
      <c r="BY164" s="463">
        <f t="shared" si="198"/>
        <v>0</v>
      </c>
      <c r="BZ164" s="463">
        <f t="shared" si="199"/>
        <v>0</v>
      </c>
      <c r="CA164" s="57">
        <f t="shared" si="227"/>
        <v>0</v>
      </c>
      <c r="CB164" s="56">
        <f t="shared" si="200"/>
        <v>1</v>
      </c>
      <c r="CC164" s="756">
        <f>IF(EE164=0,0,IF(EF164=0,0,IF(EE164&gt;AA164,0,IF(AND(AZ164&gt;AW164,AW164&gt;0),0,IF(CU164=0,0,Summary!AC467)))))</f>
        <v>0</v>
      </c>
      <c r="CD164" s="756">
        <f>IF(EE164=0,0,IF(EF164=0,0,IF(EE164&gt;AA164,0,IF(AND(AZ164&gt;AW164,AW164&gt;0),0,IF(CU164=0,0,Summary!AD467)))))</f>
        <v>0</v>
      </c>
      <c r="CE164" s="756">
        <f>IF(EF164=0,0,IF(EE164&gt;AA164,0,IF(CC164=0,0,IF(AND(AZ164&gt;AW164,AW164&gt;0),0,IF(CU164=0,0,Summary!AE467)))))</f>
        <v>0</v>
      </c>
      <c r="CF164" s="475">
        <f t="shared" si="201"/>
        <v>0</v>
      </c>
      <c r="CG164" s="476">
        <f t="shared" si="169"/>
        <v>0</v>
      </c>
      <c r="CH164" s="487">
        <f t="shared" si="202"/>
        <v>0</v>
      </c>
      <c r="CI164" s="756">
        <f t="shared" si="203"/>
        <v>0</v>
      </c>
      <c r="CJ164" s="487">
        <f>IF(CT164&gt;0.4,0,IF(AND(AU164=2,CH164=0,CT164=0.5,ER164=100),35,IF(AND(AU164=3,BB164&gt;75,CH164=0,CT164=0.5,ER164=100),25,IF(CB164&gt;1,0,IF(EF164&gt;EE164,0,IF(AND(AF164&gt;1,CH164=100),0,IF(AND(AF164=1,AY164=0),0,IF(AND(EF164&lt;=EE164,AW164&gt;=AZ164,'Data Entry'!$C$74=1,AU164=2),VLOOKUP(W164,$DO$96:$DP$102,2,FALSE),IF(AND(EF164&lt;=EE164,AW164&gt;=AZ164,AU164=3,'Data Entry'!$C$74=1),VLOOKUP(W164,$DO$127:$DP$134,2,FALSE))))))))))</f>
        <v>0</v>
      </c>
      <c r="CK164" s="716">
        <f t="shared" si="204"/>
        <v>0</v>
      </c>
      <c r="CL164" s="57">
        <f t="shared" si="205"/>
        <v>0</v>
      </c>
      <c r="CM164" s="475">
        <f t="shared" si="231"/>
        <v>0</v>
      </c>
      <c r="CN164" s="660">
        <f>IF(CM164&lt;0.1,0,IF(ISNA(AT164),0,IF(CL164+BC164=1,0,IF(BV164&gt;0.01,0,IF(CL164&gt;0.01,0,IF(CF164=1,0,IF(BC164=0.5,0,IF(AND(CI164=1,AU164=3),0,IF(AND(CI164=5,CL164=0),0,IF(AND(R164=12,BR164=50),0,IF(CK164&gt;0.01,0,IF(AND(AJ164&gt;0.01,AU164=2,BC164=15),CM164*0.1,IF(AND(AJ164&gt;0.01,AU164=3,BC164=15),CM164*0.08,IF(AND(R164=12,BC164=3,AF164&lt;=0),0,IF(AND(BC164=15,BI164=0),0,IF(AND(BC164=15,BJ164=0),0,IF(AND(R164=20,CU164=0),0,IF($X$4=0,0,IF(AND(BC164=250,CL164=0),0,IF(AA164&lt;1,0,IF(AND(ISNUMBER(SEARCH("Area",T164)),AU164=3),0,IF(AND(AQ164&gt;0.01,AR164=0,BK164=0,BL164=0,BM164=0,BN164=0),0,IF(AND(AU164=3,CI164=7,CT164&gt;0.5),0,IF(AND(BC164=44,AU164=3,BY164=0),0,IF(AND(BC164=27,'Data Entry'!$C$74=2),0,IF(AND(BC164=28,'Data Entry'!$C$74=2),0,IF(AND(BY164+BZ164+CA164&gt;0.01,BV164=0,EQ164+ER164+ES164+ET164&lt;100),0,IF(AU164=3,CM164*0.08,IF(AU164=2,CM164*0.1,0)))))))))))))))))))))))))))))</f>
        <v>0</v>
      </c>
      <c r="CO164" s="660">
        <f t="shared" si="206"/>
        <v>0</v>
      </c>
      <c r="CP164" s="475" t="str">
        <f t="shared" si="207"/>
        <v/>
      </c>
      <c r="CQ164" s="161" t="str">
        <f>IF(AH164=0,0,IF(AU164=5,0,Summary!AC167))</f>
        <v/>
      </c>
      <c r="CR164" s="161" t="str">
        <f>IF(BF164=0.5,0,IF(AU164=5,0,Summary!AD167))</f>
        <v/>
      </c>
      <c r="CS164" s="161" t="str">
        <f>IF(AU164=5,0,Summary!AE167)</f>
        <v/>
      </c>
      <c r="CT164" s="161">
        <f t="shared" si="208"/>
        <v>0</v>
      </c>
      <c r="CU164" s="475" t="str">
        <f t="shared" si="209"/>
        <v/>
      </c>
      <c r="CV164" s="307">
        <f>IF('Data Entry'!$C$74=0,0,IF(AA164&lt;1,0,IF(ISERROR(CU164),0,IF(CF164=1,0,IF(AND(R164=12,BR164=50),0,IF(CL164+BO164+BV164+DC164=0,0,IF(BC164=37,0,IF(AND(BC164=40,AJ164=0),0,IF(AND(BC164=37,BO164&gt;0.01,BQ164&gt;0.01),ROUND(BQ164,0),IF(CM164&lt;0,0,ROUND(CM164,0)))))))))))</f>
        <v>0</v>
      </c>
      <c r="CW164" s="700">
        <f t="shared" si="210"/>
        <v>0</v>
      </c>
      <c r="CX164" s="477">
        <f>IF('Data Entry'!$C$74=0,0,IF(CV164&lt;0.01,0,IF(BF164=0.5,0,IF(CF164=1,0,IF(ISNUMBER(SEARCH("false",CL164)),0,IF(AZ164=500,0,CL164))))))</f>
        <v>0</v>
      </c>
      <c r="CY164" s="147" t="e">
        <f t="shared" si="211"/>
        <v>#VALUE!</v>
      </c>
      <c r="CZ164" s="147" t="b">
        <f>IF(CN164+CL164=0,FALSE,IF(AH164=0,0,IF(AND('Data Entry'!$C$74=1,CR164&gt;=1),TRUE,IF(AND('Data Entry'!$C$74=2,CS164&gt;=1),TRUE,FALSE))))</f>
        <v>0</v>
      </c>
      <c r="DA164" s="1751">
        <f>IF('Data Entry'!$C$74=0,0,IFERROR(ROUND(IF(T164="","",IF($X$4=0,0,IF(CF164=1,0,IF(BQ164+CV164=0,0,IF(CF164=1,0,IF(CY164&gt;0.01,CY164,IF(CL164&gt;0.01,CL164,IF(CY164&gt;0.01,CY164,IF(BC164=37,BO164,IF(CZ164=FALSE,0,IF(CZ164=TRUE,DC164+DF164,0))))))))))),2),""))</f>
        <v>0</v>
      </c>
      <c r="DB164" s="1752"/>
      <c r="DC164" s="474">
        <f>IF(CN164&lt;0.01,0,IF(AND(BR164=3,CN164&gt;0.01,CT164&gt;0.6,ER164+ES164+ET164&lt;100),0,IF(AND('Data Entry'!$C$74=1,CN164&gt;0.01,CR164&gt;0.99),MIN(CN164:CO164),IF(AND('Data Entry'!$C$74=2,CN164&gt;0.01,CS164&gt;0.99),MIN(CN164:CO164),0))))</f>
        <v>0</v>
      </c>
      <c r="DD164" s="478">
        <f>IF(CF164=1,"Selection does not match",IF(T164=0,0,IF(AND('Data Entry'!$C$74=0,CP164&gt;1),"Select Oregon or Idaho on Data Entry Tab",IF(AND(AU164=1,AA164&gt;0.9),"Missing Interior or Exterior Selection",IF($X$4=0,"Enter Total Project Cost",IF(AQ164&lt;AR164,"Insufficient kWh savings – no incentive",IF(AND(SUM(CL164+CK164+BV164)&gt;0.01,'Data Entry'!$C$74=2,CJ164&gt;1,BO164=0),"Submit Control as Non-Standard",IF(AND('Data Entry'!$C$74=2,BR164=37,CJ164&gt;1,BO164=0),"Submit Control as Non-Standard",IF(SUM(CL164+CK164+BV164)&gt;0.01,"Standard Incentive",IF(AND('Data Entry'!$C$74=2,CP164=7,CN164=0),"Submit as Non-Standard",IF(DC164&gt;0.9,"Non-Standard Incentive",IF(AND(BY164+BZ164+CA164&gt;0.01,BV164=0,EQ164=0,ER164=0,ES164=0,ET164=0),"Scroll Right &amp; Select Control Strategies",IF(AND(CN164&gt;0.01,CO164=0),"Enter Unit Installed Cost",IF(ISNUMBER(SEARCH("Lighting Controls Only",F164)),"Lighting Controls Only",IF(CL164+DC164=0,"Does not meet incentive criteria",0)))))))))))))))</f>
        <v>0</v>
      </c>
      <c r="DE164" s="337">
        <f t="shared" si="212"/>
        <v>0</v>
      </c>
      <c r="DF164" s="609">
        <f t="shared" si="213"/>
        <v>0</v>
      </c>
      <c r="DG164" s="336" t="str">
        <f t="shared" si="214"/>
        <v/>
      </c>
      <c r="DH164" s="338">
        <f t="shared" si="215"/>
        <v>1</v>
      </c>
      <c r="DI164" s="336" t="e">
        <f t="shared" si="170"/>
        <v>#VALUE!</v>
      </c>
      <c r="DJ164" s="338">
        <f t="shared" si="171"/>
        <v>0</v>
      </c>
      <c r="DK164" s="325" t="s">
        <v>1380</v>
      </c>
      <c r="DL164" s="341" t="s">
        <v>34</v>
      </c>
      <c r="DM164" s="340" t="s">
        <v>158</v>
      </c>
      <c r="DN164" s="820">
        <v>16</v>
      </c>
      <c r="DO164" s="331"/>
      <c r="DP164" s="332"/>
      <c r="DQ164" s="331"/>
      <c r="DR164" s="357"/>
      <c r="DS164" s="1195">
        <f t="shared" si="216"/>
        <v>0</v>
      </c>
      <c r="DT164" s="344" t="b">
        <f t="shared" si="217"/>
        <v>1</v>
      </c>
      <c r="DU164" s="1314" t="str">
        <f t="array" ref="DU164">IF(OR(COUNTIF(F164,"*"&amp;$DK$9:$DK$178&amp;"*")), "Yes", "")</f>
        <v/>
      </c>
      <c r="DV164" s="1314">
        <f t="shared" si="218"/>
        <v>0</v>
      </c>
      <c r="DW164" s="1480">
        <f t="shared" si="219"/>
        <v>0</v>
      </c>
      <c r="DX164" s="1498">
        <f t="shared" si="228"/>
        <v>0</v>
      </c>
      <c r="DY164" s="1484">
        <f t="shared" si="220"/>
        <v>0</v>
      </c>
      <c r="DZ164" s="331"/>
      <c r="EA164" s="392"/>
      <c r="EB164" s="1499" t="s">
        <v>1378</v>
      </c>
      <c r="EC164" s="727" t="s">
        <v>1568</v>
      </c>
      <c r="ED164" s="728">
        <v>0.5</v>
      </c>
      <c r="EE164" s="1215"/>
      <c r="EF164" s="1215"/>
      <c r="EG164" s="1184" t="str">
        <f t="shared" si="221"/>
        <v/>
      </c>
      <c r="EH164" s="55"/>
      <c r="EI164" s="55"/>
      <c r="EJ164" s="1185">
        <f t="shared" si="172"/>
        <v>0</v>
      </c>
      <c r="EK164" s="1211"/>
      <c r="EL164" s="1180">
        <f t="shared" si="173"/>
        <v>0</v>
      </c>
      <c r="EM164" s="206"/>
      <c r="EN164" s="1038"/>
      <c r="EO164" s="206"/>
      <c r="EP164" s="1038"/>
      <c r="EQ164" s="1038">
        <f t="shared" si="222"/>
        <v>0</v>
      </c>
      <c r="ER164" s="1041">
        <f t="shared" si="223"/>
        <v>0</v>
      </c>
      <c r="ES164" s="1042">
        <f t="shared" si="224"/>
        <v>0</v>
      </c>
      <c r="ET164" s="1042">
        <f t="shared" si="229"/>
        <v>0</v>
      </c>
      <c r="EU164" s="1021">
        <f t="shared" si="230"/>
        <v>0</v>
      </c>
      <c r="EV164" s="368"/>
      <c r="EW164" s="368"/>
      <c r="EX164" s="369"/>
      <c r="EY164" s="370"/>
      <c r="EZ164" s="370"/>
      <c r="FA164" s="371"/>
      <c r="FB164" s="372"/>
    </row>
    <row r="165" spans="1:158" ht="34.5" customHeight="1">
      <c r="A165" s="82">
        <v>157</v>
      </c>
      <c r="B165" s="1725"/>
      <c r="C165" s="1726"/>
      <c r="D165" s="1726"/>
      <c r="E165" s="1727"/>
      <c r="F165" s="1732"/>
      <c r="G165" s="1733"/>
      <c r="H165" s="1733"/>
      <c r="I165" s="1734"/>
      <c r="J165" s="1341"/>
      <c r="K165" s="1728"/>
      <c r="L165" s="1728"/>
      <c r="M165" s="1342"/>
      <c r="N165" s="1583"/>
      <c r="O165" s="208" t="str">
        <f t="shared" si="160"/>
        <v/>
      </c>
      <c r="P165" s="785"/>
      <c r="Q165" s="39" t="str">
        <f t="shared" si="161"/>
        <v/>
      </c>
      <c r="R165" s="39">
        <f t="shared" si="174"/>
        <v>0</v>
      </c>
      <c r="S165" s="234">
        <f t="shared" si="175"/>
        <v>0</v>
      </c>
      <c r="T165" s="1755"/>
      <c r="U165" s="1755"/>
      <c r="V165" s="1755"/>
      <c r="W165" s="1345"/>
      <c r="X165" s="1741"/>
      <c r="Y165" s="1742"/>
      <c r="Z165" s="1346"/>
      <c r="AA165" s="1343"/>
      <c r="AB165" s="1141"/>
      <c r="AC165" s="1103" t="str">
        <f>IF(T165="","",VLOOKUP(Z165,Lists!$A$60:$B$111,2,FALSE))</f>
        <v/>
      </c>
      <c r="AD165" s="130" t="str">
        <f t="shared" si="176"/>
        <v/>
      </c>
      <c r="AE165" s="130" t="e">
        <f t="shared" si="177"/>
        <v>#VALUE!</v>
      </c>
      <c r="AF165" s="130">
        <f t="shared" si="178"/>
        <v>1</v>
      </c>
      <c r="AG165" s="234">
        <f t="shared" si="162"/>
        <v>0</v>
      </c>
      <c r="AH165" s="1753" t="str">
        <f>IF(T165="","",(IF(ISNUMBER(SEARCH("exit",T165)),8760,IF(AND(M165="Dusk to Dawn",'Proposed Lighting'!AU165=3),4059,IF(AND(AU165=3,M165="1"),0,IF(AND(AU165=3,M165="1-C"),0,IF(AND(AU165=3,M165="2"),0,IF(AND(AU165=3,M165="2-C"),0,IF(AND(AU165=3,M165="3"),0,IF(AND(AU165=3,M165="3-C"),0,IF(AND(AU165=2,M165="Dusk to Dawn"),0,IF(AND(AU165=2,M165="Dusk to Dawn-C"),0,IF(AND(AU165=2,M165="Dusk to Dawn"),0,IF(AND(AU165=2,M165="E"),0,IF(AND(AU165=2,M165="E-C"),0,EG165)))))))))))))))</f>
        <v/>
      </c>
      <c r="AI165" s="1754"/>
      <c r="AJ165" s="1136"/>
      <c r="AK165" s="1136"/>
      <c r="AL165" s="1748">
        <f t="shared" si="179"/>
        <v>0</v>
      </c>
      <c r="AM165" s="1749"/>
      <c r="AN165" s="1750"/>
      <c r="AO165" s="476">
        <f t="shared" si="163"/>
        <v>0</v>
      </c>
      <c r="AP165" s="476">
        <f t="shared" si="180"/>
        <v>0</v>
      </c>
      <c r="AQ165" s="475">
        <f t="shared" si="164"/>
        <v>0</v>
      </c>
      <c r="AR165" s="475">
        <f t="shared" si="181"/>
        <v>0</v>
      </c>
      <c r="AS165" s="743" t="str">
        <f t="shared" si="233"/>
        <v/>
      </c>
      <c r="AT165" s="736" t="str">
        <f t="shared" si="182"/>
        <v/>
      </c>
      <c r="AU165" s="56">
        <f t="shared" si="183"/>
        <v>1</v>
      </c>
      <c r="AV165" s="476">
        <f t="shared" si="184"/>
        <v>0</v>
      </c>
      <c r="AW165" s="56">
        <f t="shared" si="185"/>
        <v>0</v>
      </c>
      <c r="AX165" s="475">
        <f t="shared" si="165"/>
        <v>0</v>
      </c>
      <c r="AY165" s="1169">
        <f t="shared" si="186"/>
        <v>0</v>
      </c>
      <c r="AZ165" s="1150">
        <f t="shared" si="225"/>
        <v>0</v>
      </c>
      <c r="BA165" s="56">
        <f t="shared" si="166"/>
        <v>0</v>
      </c>
      <c r="BB165" s="420">
        <f t="shared" si="167"/>
        <v>0</v>
      </c>
      <c r="BC165" s="58" t="str">
        <f t="shared" si="168"/>
        <v/>
      </c>
      <c r="BD165" s="660">
        <f t="shared" si="226"/>
        <v>0</v>
      </c>
      <c r="BE165" s="57" t="e">
        <f t="array" ref="BE165">INDEX($EB$11:$ED$1022,MATCH(F165&amp;T165,$EB$11:$EB$1007&amp;$EC$11:$EC$1007,0),3)</f>
        <v>#N/A</v>
      </c>
      <c r="BF165" s="463">
        <f t="shared" si="157"/>
        <v>0</v>
      </c>
      <c r="BG165" s="1445" t="e">
        <f t="array" ref="BG165">INDEX($DO$112:$DQ$123,MATCH(T165&amp;W165,$DO$114:$DO$125&amp;$DP$112:$DP$123,0),3)</f>
        <v>#N/A</v>
      </c>
      <c r="BH165" s="1446">
        <f t="shared" si="187"/>
        <v>0</v>
      </c>
      <c r="BI165" s="465">
        <f t="shared" si="188"/>
        <v>0</v>
      </c>
      <c r="BJ165" s="465">
        <f t="shared" si="189"/>
        <v>0</v>
      </c>
      <c r="BK165" s="466">
        <f t="shared" si="158"/>
        <v>0</v>
      </c>
      <c r="BL165" s="466">
        <f t="shared" si="159"/>
        <v>0</v>
      </c>
      <c r="BM165" s="466">
        <f t="shared" si="190"/>
        <v>0</v>
      </c>
      <c r="BN165" s="466">
        <f t="shared" si="191"/>
        <v>0</v>
      </c>
      <c r="BO165" s="463">
        <f>IF('Data Entry'!$C$74=0,0,IF(ISNA(CJ165),0,IF(AX165=0,0,IF(AND('Data Entry'!$C$74=2,AF165&gt;2,CE165&lt;1),0,IF(AND('Data Entry'!$C$74=2,AF165&gt;1,AU165=2,CJ165&gt;1),0,IF(AND(AF165=5,CT165=0.5,AU165=2,ER165&lt;100),0,IF(AND(AF165=5,CT165=0.5,AU165=3,ER165&lt;100),0,IF(AND('Data Entry'!$C$74=2,AF165=2,AU165=2,AK165&gt;0.01,CB165=2,CE165&lt;1),0,IF(AND('Data Entry'!$C$74=2,AF165=3,AU165=3,AK165&gt;0.01,CB165=3,CE165&lt;1),0,IF(AND('Data Entry'!$C$74=2,AF165=3,AU165=3,AK165&gt;0.01,CB165=3,CE165&gt;0.99),BQ165*0.08,IF(AND('Data Entry'!$C$74=2,AF165=2,AU165=2,AK165&gt;0.01,CB165=2,CE165&gt;0.99),BQ165*0.1,IF(AND(AU165=2,AK165&gt;0.01,CB165=2,CD165&gt;1),BQ165*0.1,IF(AND(AU165=3,AK165&gt;0.01,CB165=3,CD165&gt;1),BQ165*0.08,CJ165*EF165)))))))))))))</f>
        <v>0</v>
      </c>
      <c r="BP165" s="475">
        <f t="shared" si="192"/>
        <v>0</v>
      </c>
      <c r="BQ165" s="1431">
        <f>IF(AU165=1,0,IF(CH165=100,0,IF(AND(AF165=3,AU165=2),0,IF(AND(BH165=0,CT165&gt;0.4),0,IF(AND('Data Entry'!$C$74=2,AF165=1.5),0,IF(AND('Data Entry'!$C$74=2,AF165=1.6),0,IF(AND('Data Entry'!$C$74=2,AF165=4),0,IF(AND('Data Entry'!$C$74=2,AF165=5),0,IF(AND('Data Entry'!$C$74=2,AF165=2.5,CE165&lt;1),0,IF(AND('Data Entry'!$C$74=2,AF165=3,CE165&lt;1),0,IF(AND('Data Entry'!$C$74=1,AF165=2.5,CD165&lt;1),0,IF(AND('Data Entry'!$C$74=1,AF165=3,CD165&lt;1),0,IF(DX165&gt;0.01,DX165,IF(ISERROR(AX165-AY165),"",ROUND(AX165-AY165,2)))))))))))))))</f>
        <v>0</v>
      </c>
      <c r="BR165" s="146">
        <f t="shared" si="193"/>
        <v>0</v>
      </c>
      <c r="BS165" s="475">
        <f t="shared" si="194"/>
        <v>0</v>
      </c>
      <c r="BT165" s="146" t="b">
        <f t="shared" si="195"/>
        <v>0</v>
      </c>
      <c r="BU165" s="463">
        <f>IF(ISNA(AT165),0,IF(AND('Data Entry'!$C$74=2,BC165=27),0,IF(AND('Data Entry'!$C$74=2,BC165=28),0,IF(AND(BC165=27,BT165=27,CM165&gt;0.1),CM165*0.15,IF(AND(BC165=28,BT165=28,CM165&gt;0.1),CM165*0.12,0)))))</f>
        <v>0</v>
      </c>
      <c r="BV165" s="463">
        <f t="shared" si="232"/>
        <v>0</v>
      </c>
      <c r="BW165" s="463">
        <f t="shared" si="196"/>
        <v>0</v>
      </c>
      <c r="BX165" s="463">
        <f t="shared" si="197"/>
        <v>0</v>
      </c>
      <c r="BY165" s="463">
        <f t="shared" si="198"/>
        <v>0</v>
      </c>
      <c r="BZ165" s="463">
        <f t="shared" si="199"/>
        <v>0</v>
      </c>
      <c r="CA165" s="57">
        <f t="shared" si="227"/>
        <v>0</v>
      </c>
      <c r="CB165" s="56">
        <f t="shared" si="200"/>
        <v>1</v>
      </c>
      <c r="CC165" s="756">
        <f>IF(EE165=0,0,IF(EF165=0,0,IF(EE165&gt;AA165,0,IF(AND(AZ165&gt;AW165,AW165&gt;0),0,IF(CU165=0,0,Summary!AC468)))))</f>
        <v>0</v>
      </c>
      <c r="CD165" s="756">
        <f>IF(EE165=0,0,IF(EF165=0,0,IF(EE165&gt;AA165,0,IF(AND(AZ165&gt;AW165,AW165&gt;0),0,IF(CU165=0,0,Summary!AD468)))))</f>
        <v>0</v>
      </c>
      <c r="CE165" s="756">
        <f>IF(EF165=0,0,IF(EE165&gt;AA165,0,IF(CC165=0,0,IF(AND(AZ165&gt;AW165,AW165&gt;0),0,IF(CU165=0,0,Summary!AE468)))))</f>
        <v>0</v>
      </c>
      <c r="CF165" s="475">
        <f t="shared" si="201"/>
        <v>0</v>
      </c>
      <c r="CG165" s="476">
        <f t="shared" si="169"/>
        <v>0</v>
      </c>
      <c r="CH165" s="487">
        <f t="shared" si="202"/>
        <v>0</v>
      </c>
      <c r="CI165" s="756">
        <f t="shared" si="203"/>
        <v>0</v>
      </c>
      <c r="CJ165" s="487">
        <f>IF(CT165&gt;0.4,0,IF(AND(AU165=2,CH165=0,CT165=0.5,ER165=100),35,IF(AND(AU165=3,BB165&gt;75,CH165=0,CT165=0.5,ER165=100),25,IF(CB165&gt;1,0,IF(EF165&gt;EE165,0,IF(AND(AF165&gt;1,CH165=100),0,IF(AND(AF165=1,AY165=0),0,IF(AND(EF165&lt;=EE165,AW165&gt;=AZ165,'Data Entry'!$C$74=1,AU165=2),VLOOKUP(W165,$DO$96:$DP$102,2,FALSE),IF(AND(EF165&lt;=EE165,AW165&gt;=AZ165,AU165=3,'Data Entry'!$C$74=1),VLOOKUP(W165,$DO$127:$DP$134,2,FALSE))))))))))</f>
        <v>0</v>
      </c>
      <c r="CK165" s="716">
        <f t="shared" si="204"/>
        <v>0</v>
      </c>
      <c r="CL165" s="57">
        <f t="shared" si="205"/>
        <v>0</v>
      </c>
      <c r="CM165" s="475">
        <f t="shared" si="231"/>
        <v>0</v>
      </c>
      <c r="CN165" s="660">
        <f>IF(CM165&lt;0.1,0,IF(ISNA(AT165),0,IF(CL165+BC165=1,0,IF(BV165&gt;0.01,0,IF(CL165&gt;0.01,0,IF(CF165=1,0,IF(BC165=0.5,0,IF(AND(CI165=1,AU165=3),0,IF(AND(CI165=5,CL165=0),0,IF(AND(R165=12,BR165=50),0,IF(CK165&gt;0.01,0,IF(AND(AJ165&gt;0.01,AU165=2,BC165=15),CM165*0.1,IF(AND(AJ165&gt;0.01,AU165=3,BC165=15),CM165*0.08,IF(AND(R165=12,BC165=3,AF165&lt;=0),0,IF(AND(BC165=15,BI165=0),0,IF(AND(BC165=15,BJ165=0),0,IF(AND(R165=20,CU165=0),0,IF($X$4=0,0,IF(AND(BC165=250,CL165=0),0,IF(AA165&lt;1,0,IF(AND(ISNUMBER(SEARCH("Area",T165)),AU165=3),0,IF(AND(AQ165&gt;0.01,AR165=0,BK165=0,BL165=0,BM165=0,BN165=0),0,IF(AND(AU165=3,CI165=7,CT165&gt;0.5),0,IF(AND(BC165=44,AU165=3,BY165=0),0,IF(AND(BC165=27,'Data Entry'!$C$74=2),0,IF(AND(BC165=28,'Data Entry'!$C$74=2),0,IF(AND(BY165+BZ165+CA165&gt;0.01,BV165=0,EQ165+ER165+ES165+ET165&lt;100),0,IF(AU165=3,CM165*0.08,IF(AU165=2,CM165*0.1,0)))))))))))))))))))))))))))))</f>
        <v>0</v>
      </c>
      <c r="CO165" s="660">
        <f t="shared" si="206"/>
        <v>0</v>
      </c>
      <c r="CP165" s="475" t="str">
        <f t="shared" si="207"/>
        <v/>
      </c>
      <c r="CQ165" s="161" t="str">
        <f>IF(AH165=0,0,IF(AU165=5,0,Summary!AC168))</f>
        <v/>
      </c>
      <c r="CR165" s="161" t="str">
        <f>IF(BF165=0.5,0,IF(AU165=5,0,Summary!AD168))</f>
        <v/>
      </c>
      <c r="CS165" s="161" t="str">
        <f>IF(AU165=5,0,Summary!AE168)</f>
        <v/>
      </c>
      <c r="CT165" s="161">
        <f t="shared" si="208"/>
        <v>0</v>
      </c>
      <c r="CU165" s="475" t="str">
        <f t="shared" si="209"/>
        <v/>
      </c>
      <c r="CV165" s="307">
        <f>IF('Data Entry'!$C$74=0,0,IF(AA165&lt;1,0,IF(ISERROR(CU165),0,IF(CF165=1,0,IF(AND(R165=12,BR165=50),0,IF(CL165+BO165+BV165+DC165=0,0,IF(BC165=37,0,IF(AND(BC165=40,AJ165=0),0,IF(AND(BC165=37,BO165&gt;0.01,BQ165&gt;0.01),ROUND(BQ165,0),IF(CM165&lt;0,0,ROUND(CM165,0)))))))))))</f>
        <v>0</v>
      </c>
      <c r="CW165" s="700">
        <f t="shared" si="210"/>
        <v>0</v>
      </c>
      <c r="CX165" s="477">
        <f>IF('Data Entry'!$C$74=0,0,IF(CV165&lt;0.01,0,IF(BF165=0.5,0,IF(CF165=1,0,IF(ISNUMBER(SEARCH("false",CL165)),0,IF(AZ165=500,0,CL165))))))</f>
        <v>0</v>
      </c>
      <c r="CY165" s="147" t="e">
        <f t="shared" si="211"/>
        <v>#VALUE!</v>
      </c>
      <c r="CZ165" s="147" t="b">
        <f>IF(CN165+CL165=0,FALSE,IF(AH165=0,0,IF(AND('Data Entry'!$C$74=1,CR165&gt;=1),TRUE,IF(AND('Data Entry'!$C$74=2,CS165&gt;=1),TRUE,FALSE))))</f>
        <v>0</v>
      </c>
      <c r="DA165" s="1751">
        <f>IF('Data Entry'!$C$74=0,0,IFERROR(ROUND(IF(T165="","",IF($X$4=0,0,IF(CF165=1,0,IF(BQ165+CV165=0,0,IF(CF165=1,0,IF(CY165&gt;0.01,CY165,IF(CL165&gt;0.01,CL165,IF(CY165&gt;0.01,CY165,IF(BC165=37,BO165,IF(CZ165=FALSE,0,IF(CZ165=TRUE,DC165+DF165,0))))))))))),2),""))</f>
        <v>0</v>
      </c>
      <c r="DB165" s="1752"/>
      <c r="DC165" s="474">
        <f>IF(CN165&lt;0.01,0,IF(AND(BR165=3,CN165&gt;0.01,CT165&gt;0.6,ER165+ES165+ET165&lt;100),0,IF(AND('Data Entry'!$C$74=1,CN165&gt;0.01,CR165&gt;0.99),MIN(CN165:CO165),IF(AND('Data Entry'!$C$74=2,CN165&gt;0.01,CS165&gt;0.99),MIN(CN165:CO165),0))))</f>
        <v>0</v>
      </c>
      <c r="DD165" s="478">
        <f>IF(CF165=1,"Selection does not match",IF(T165=0,0,IF(AND('Data Entry'!$C$74=0,CP165&gt;1),"Select Oregon or Idaho on Data Entry Tab",IF(AND(AU165=1,AA165&gt;0.9),"Missing Interior or Exterior Selection",IF($X$4=0,"Enter Total Project Cost",IF(AQ165&lt;AR165,"Insufficient kWh savings – no incentive",IF(AND(SUM(CL165+CK165+BV165)&gt;0.01,'Data Entry'!$C$74=2,CJ165&gt;1,BO165=0),"Submit Control as Non-Standard",IF(AND('Data Entry'!$C$74=2,BR165=37,CJ165&gt;1,BO165=0),"Submit Control as Non-Standard",IF(SUM(CL165+CK165+BV165)&gt;0.01,"Standard Incentive",IF(AND('Data Entry'!$C$74=2,CP165=7,CN165=0),"Submit as Non-Standard",IF(DC165&gt;0.9,"Non-Standard Incentive",IF(AND(BY165+BZ165+CA165&gt;0.01,BV165=0,EQ165=0,ER165=0,ES165=0,ET165=0),"Scroll Right &amp; Select Control Strategies",IF(AND(CN165&gt;0.01,CO165=0),"Enter Unit Installed Cost",IF(ISNUMBER(SEARCH("Lighting Controls Only",F165)),"Lighting Controls Only",IF(CL165+DC165=0,"Does not meet incentive criteria",0)))))))))))))))</f>
        <v>0</v>
      </c>
      <c r="DE165" s="337">
        <f t="shared" si="212"/>
        <v>0</v>
      </c>
      <c r="DF165" s="609">
        <f t="shared" si="213"/>
        <v>0</v>
      </c>
      <c r="DG165" s="336" t="str">
        <f t="shared" si="214"/>
        <v/>
      </c>
      <c r="DH165" s="338">
        <f t="shared" si="215"/>
        <v>1</v>
      </c>
      <c r="DI165" s="336" t="e">
        <f t="shared" si="170"/>
        <v>#VALUE!</v>
      </c>
      <c r="DJ165" s="338">
        <f t="shared" si="171"/>
        <v>0</v>
      </c>
      <c r="DK165" s="325" t="s">
        <v>101</v>
      </c>
      <c r="DL165" s="341">
        <v>18</v>
      </c>
      <c r="DM165" s="340" t="s">
        <v>159</v>
      </c>
      <c r="DN165" s="820">
        <v>24</v>
      </c>
      <c r="DO165" s="331"/>
      <c r="DP165" s="332"/>
      <c r="DQ165" s="331"/>
      <c r="DR165" s="357"/>
      <c r="DS165" s="1195">
        <f t="shared" si="216"/>
        <v>0</v>
      </c>
      <c r="DT165" s="344" t="b">
        <f t="shared" si="217"/>
        <v>1</v>
      </c>
      <c r="DU165" s="1314" t="str">
        <f t="array" ref="DU165">IF(OR(COUNTIF(F165,"*"&amp;$DK$9:$DK$178&amp;"*")), "Yes", "")</f>
        <v/>
      </c>
      <c r="DV165" s="1314">
        <f t="shared" si="218"/>
        <v>0</v>
      </c>
      <c r="DW165" s="1480">
        <f t="shared" si="219"/>
        <v>0</v>
      </c>
      <c r="DX165" s="1498">
        <f t="shared" si="228"/>
        <v>0</v>
      </c>
      <c r="DY165" s="1484">
        <f t="shared" si="220"/>
        <v>0</v>
      </c>
      <c r="DZ165" s="331"/>
      <c r="EA165" s="392"/>
      <c r="EB165" s="1499" t="s">
        <v>73</v>
      </c>
      <c r="EC165" s="727" t="s">
        <v>1568</v>
      </c>
      <c r="ED165" s="728">
        <v>0.5</v>
      </c>
      <c r="EE165" s="1215"/>
      <c r="EF165" s="1215"/>
      <c r="EG165" s="1184" t="str">
        <f t="shared" si="221"/>
        <v/>
      </c>
      <c r="EH165" s="55"/>
      <c r="EI165" s="55"/>
      <c r="EJ165" s="1185">
        <f t="shared" si="172"/>
        <v>0</v>
      </c>
      <c r="EK165" s="1211"/>
      <c r="EL165" s="1180">
        <f t="shared" si="173"/>
        <v>0</v>
      </c>
      <c r="EM165" s="206"/>
      <c r="EN165" s="1038"/>
      <c r="EO165" s="1038"/>
      <c r="EP165" s="1038"/>
      <c r="EQ165" s="1038">
        <f t="shared" si="222"/>
        <v>0</v>
      </c>
      <c r="ER165" s="1041">
        <f t="shared" si="223"/>
        <v>0</v>
      </c>
      <c r="ES165" s="1042">
        <f t="shared" si="224"/>
        <v>0</v>
      </c>
      <c r="ET165" s="1042">
        <f t="shared" si="229"/>
        <v>0</v>
      </c>
      <c r="EU165" s="1021">
        <f t="shared" si="230"/>
        <v>0</v>
      </c>
      <c r="EV165" s="368"/>
      <c r="EW165" s="368"/>
      <c r="EX165" s="369"/>
      <c r="EY165" s="370"/>
      <c r="EZ165" s="370"/>
      <c r="FA165" s="371"/>
      <c r="FB165" s="372"/>
    </row>
    <row r="166" spans="1:158" ht="34.5" customHeight="1">
      <c r="A166" s="82">
        <v>158</v>
      </c>
      <c r="B166" s="1725"/>
      <c r="C166" s="1726"/>
      <c r="D166" s="1726"/>
      <c r="E166" s="1727"/>
      <c r="F166" s="1732"/>
      <c r="G166" s="1733"/>
      <c r="H166" s="1733"/>
      <c r="I166" s="1734"/>
      <c r="J166" s="1341"/>
      <c r="K166" s="1728"/>
      <c r="L166" s="1728"/>
      <c r="M166" s="1342"/>
      <c r="N166" s="1583"/>
      <c r="O166" s="208" t="str">
        <f t="shared" si="160"/>
        <v/>
      </c>
      <c r="P166" s="785"/>
      <c r="Q166" s="39" t="str">
        <f t="shared" si="161"/>
        <v/>
      </c>
      <c r="R166" s="39">
        <f t="shared" si="174"/>
        <v>0</v>
      </c>
      <c r="S166" s="234">
        <f t="shared" si="175"/>
        <v>0</v>
      </c>
      <c r="T166" s="1755"/>
      <c r="U166" s="1755"/>
      <c r="V166" s="1755"/>
      <c r="W166" s="1345"/>
      <c r="X166" s="1741"/>
      <c r="Y166" s="1742"/>
      <c r="Z166" s="1346"/>
      <c r="AA166" s="1343"/>
      <c r="AB166" s="1141"/>
      <c r="AC166" s="1103" t="str">
        <f>IF(T166="","",VLOOKUP(Z166,Lists!$A$60:$B$111,2,FALSE))</f>
        <v/>
      </c>
      <c r="AD166" s="130" t="str">
        <f t="shared" si="176"/>
        <v/>
      </c>
      <c r="AE166" s="130" t="e">
        <f t="shared" si="177"/>
        <v>#VALUE!</v>
      </c>
      <c r="AF166" s="130">
        <f t="shared" si="178"/>
        <v>1</v>
      </c>
      <c r="AG166" s="234">
        <f t="shared" si="162"/>
        <v>0</v>
      </c>
      <c r="AH166" s="1753" t="str">
        <f>IF(T166="","",(IF(ISNUMBER(SEARCH("exit",T166)),8760,IF(AND(M166="Dusk to Dawn",'Proposed Lighting'!AU166=3),4059,IF(AND(AU166=3,M166="1"),0,IF(AND(AU166=3,M166="1-C"),0,IF(AND(AU166=3,M166="2"),0,IF(AND(AU166=3,M166="2-C"),0,IF(AND(AU166=3,M166="3"),0,IF(AND(AU166=3,M166="3-C"),0,IF(AND(AU166=2,M166="Dusk to Dawn"),0,IF(AND(AU166=2,M166="Dusk to Dawn-C"),0,IF(AND(AU166=2,M166="Dusk to Dawn"),0,IF(AND(AU166=2,M166="E"),0,IF(AND(AU166=2,M166="E-C"),0,EG166)))))))))))))))</f>
        <v/>
      </c>
      <c r="AI166" s="1754"/>
      <c r="AJ166" s="1136"/>
      <c r="AK166" s="1136"/>
      <c r="AL166" s="1748">
        <f t="shared" si="179"/>
        <v>0</v>
      </c>
      <c r="AM166" s="1749"/>
      <c r="AN166" s="1750"/>
      <c r="AO166" s="476">
        <f t="shared" si="163"/>
        <v>0</v>
      </c>
      <c r="AP166" s="476">
        <f t="shared" si="180"/>
        <v>0</v>
      </c>
      <c r="AQ166" s="475">
        <f t="shared" si="164"/>
        <v>0</v>
      </c>
      <c r="AR166" s="475">
        <f t="shared" si="181"/>
        <v>0</v>
      </c>
      <c r="AS166" s="743" t="str">
        <f t="shared" si="233"/>
        <v/>
      </c>
      <c r="AT166" s="736" t="str">
        <f t="shared" si="182"/>
        <v/>
      </c>
      <c r="AU166" s="56">
        <f t="shared" si="183"/>
        <v>1</v>
      </c>
      <c r="AV166" s="476">
        <f t="shared" si="184"/>
        <v>0</v>
      </c>
      <c r="AW166" s="56">
        <f t="shared" si="185"/>
        <v>0</v>
      </c>
      <c r="AX166" s="475">
        <f t="shared" si="165"/>
        <v>0</v>
      </c>
      <c r="AY166" s="1169">
        <f t="shared" si="186"/>
        <v>0</v>
      </c>
      <c r="AZ166" s="1150">
        <f t="shared" si="225"/>
        <v>0</v>
      </c>
      <c r="BA166" s="56">
        <f t="shared" si="166"/>
        <v>0</v>
      </c>
      <c r="BB166" s="420">
        <f t="shared" si="167"/>
        <v>0</v>
      </c>
      <c r="BC166" s="58" t="str">
        <f t="shared" si="168"/>
        <v/>
      </c>
      <c r="BD166" s="660">
        <f t="shared" si="226"/>
        <v>0</v>
      </c>
      <c r="BE166" s="57" t="e">
        <f t="array" ref="BE166">INDEX($EB$11:$ED$1022,MATCH(F166&amp;T166,$EB$11:$EB$1007&amp;$EC$11:$EC$1007,0),3)</f>
        <v>#N/A</v>
      </c>
      <c r="BF166" s="463">
        <f t="shared" si="157"/>
        <v>0</v>
      </c>
      <c r="BG166" s="1445" t="e">
        <f t="array" ref="BG166">INDEX($DO$112:$DQ$123,MATCH(T166&amp;W166,$DO$114:$DO$125&amp;$DP$112:$DP$123,0),3)</f>
        <v>#N/A</v>
      </c>
      <c r="BH166" s="1446">
        <f t="shared" si="187"/>
        <v>0</v>
      </c>
      <c r="BI166" s="465">
        <f t="shared" si="188"/>
        <v>0</v>
      </c>
      <c r="BJ166" s="465">
        <f t="shared" si="189"/>
        <v>0</v>
      </c>
      <c r="BK166" s="466">
        <f t="shared" si="158"/>
        <v>0</v>
      </c>
      <c r="BL166" s="466">
        <f t="shared" si="159"/>
        <v>0</v>
      </c>
      <c r="BM166" s="466">
        <f t="shared" si="190"/>
        <v>0</v>
      </c>
      <c r="BN166" s="466">
        <f t="shared" si="191"/>
        <v>0</v>
      </c>
      <c r="BO166" s="463">
        <f>IF('Data Entry'!$C$74=0,0,IF(ISNA(CJ166),0,IF(AX166=0,0,IF(AND('Data Entry'!$C$74=2,AF166&gt;2,CE166&lt;1),0,IF(AND('Data Entry'!$C$74=2,AF166&gt;1,AU166=2,CJ166&gt;1),0,IF(AND(AF166=5,CT166=0.5,AU166=2,ER166&lt;100),0,IF(AND(AF166=5,CT166=0.5,AU166=3,ER166&lt;100),0,IF(AND('Data Entry'!$C$74=2,AF166=2,AU166=2,AK166&gt;0.01,CB166=2,CE166&lt;1),0,IF(AND('Data Entry'!$C$74=2,AF166=3,AU166=3,AK166&gt;0.01,CB166=3,CE166&lt;1),0,IF(AND('Data Entry'!$C$74=2,AF166=3,AU166=3,AK166&gt;0.01,CB166=3,CE166&gt;0.99),BQ166*0.08,IF(AND('Data Entry'!$C$74=2,AF166=2,AU166=2,AK166&gt;0.01,CB166=2,CE166&gt;0.99),BQ166*0.1,IF(AND(AU166=2,AK166&gt;0.01,CB166=2,CD166&gt;1),BQ166*0.1,IF(AND(AU166=3,AK166&gt;0.01,CB166=3,CD166&gt;1),BQ166*0.08,CJ166*EF166)))))))))))))</f>
        <v>0</v>
      </c>
      <c r="BP166" s="475">
        <f t="shared" si="192"/>
        <v>0</v>
      </c>
      <c r="BQ166" s="1431">
        <f>IF(AU166=1,0,IF(CH166=100,0,IF(AND(AF166=3,AU166=2),0,IF(AND(BH166=0,CT166&gt;0.4),0,IF(AND('Data Entry'!$C$74=2,AF166=1.5),0,IF(AND('Data Entry'!$C$74=2,AF166=1.6),0,IF(AND('Data Entry'!$C$74=2,AF166=4),0,IF(AND('Data Entry'!$C$74=2,AF166=5),0,IF(AND('Data Entry'!$C$74=2,AF166=2.5,CE166&lt;1),0,IF(AND('Data Entry'!$C$74=2,AF166=3,CE166&lt;1),0,IF(AND('Data Entry'!$C$74=1,AF166=2.5,CD166&lt;1),0,IF(AND('Data Entry'!$C$74=1,AF166=3,CD166&lt;1),0,IF(DX166&gt;0.01,DX166,IF(ISERROR(AX166-AY166),"",ROUND(AX166-AY166,2)))))))))))))))</f>
        <v>0</v>
      </c>
      <c r="BR166" s="146">
        <f t="shared" si="193"/>
        <v>0</v>
      </c>
      <c r="BS166" s="475">
        <f t="shared" si="194"/>
        <v>0</v>
      </c>
      <c r="BT166" s="146" t="b">
        <f t="shared" si="195"/>
        <v>0</v>
      </c>
      <c r="BU166" s="463">
        <f>IF(ISNA(AT166),0,IF(AND('Data Entry'!$C$74=2,BC166=27),0,IF(AND('Data Entry'!$C$74=2,BC166=28),0,IF(AND(BC166=27,BT166=27,CM166&gt;0.1),CM166*0.15,IF(AND(BC166=28,BT166=28,CM166&gt;0.1),CM166*0.12,0)))))</f>
        <v>0</v>
      </c>
      <c r="BV166" s="463">
        <f t="shared" si="232"/>
        <v>0</v>
      </c>
      <c r="BW166" s="463">
        <f t="shared" si="196"/>
        <v>0</v>
      </c>
      <c r="BX166" s="463">
        <f t="shared" si="197"/>
        <v>0</v>
      </c>
      <c r="BY166" s="463">
        <f t="shared" si="198"/>
        <v>0</v>
      </c>
      <c r="BZ166" s="463">
        <f t="shared" si="199"/>
        <v>0</v>
      </c>
      <c r="CA166" s="57">
        <f t="shared" si="227"/>
        <v>0</v>
      </c>
      <c r="CB166" s="56">
        <f t="shared" si="200"/>
        <v>1</v>
      </c>
      <c r="CC166" s="756">
        <f>IF(EE166=0,0,IF(EF166=0,0,IF(EE166&gt;AA166,0,IF(AND(AZ166&gt;AW166,AW166&gt;0),0,IF(CU166=0,0,Summary!AC469)))))</f>
        <v>0</v>
      </c>
      <c r="CD166" s="756">
        <f>IF(EE166=0,0,IF(EF166=0,0,IF(EE166&gt;AA166,0,IF(AND(AZ166&gt;AW166,AW166&gt;0),0,IF(CU166=0,0,Summary!AD469)))))</f>
        <v>0</v>
      </c>
      <c r="CE166" s="756">
        <f>IF(EF166=0,0,IF(EE166&gt;AA166,0,IF(CC166=0,0,IF(AND(AZ166&gt;AW166,AW166&gt;0),0,IF(CU166=0,0,Summary!AE469)))))</f>
        <v>0</v>
      </c>
      <c r="CF166" s="475">
        <f t="shared" si="201"/>
        <v>0</v>
      </c>
      <c r="CG166" s="476">
        <f t="shared" si="169"/>
        <v>0</v>
      </c>
      <c r="CH166" s="487">
        <f t="shared" si="202"/>
        <v>0</v>
      </c>
      <c r="CI166" s="756">
        <f t="shared" si="203"/>
        <v>0</v>
      </c>
      <c r="CJ166" s="487">
        <f>IF(CT166&gt;0.4,0,IF(AND(AU166=2,CH166=0,CT166=0.5,ER166=100),35,IF(AND(AU166=3,BB166&gt;75,CH166=0,CT166=0.5,ER166=100),25,IF(CB166&gt;1,0,IF(EF166&gt;EE166,0,IF(AND(AF166&gt;1,CH166=100),0,IF(AND(AF166=1,AY166=0),0,IF(AND(EF166&lt;=EE166,AW166&gt;=AZ166,'Data Entry'!$C$74=1,AU166=2),VLOOKUP(W166,$DO$96:$DP$102,2,FALSE),IF(AND(EF166&lt;=EE166,AW166&gt;=AZ166,AU166=3,'Data Entry'!$C$74=1),VLOOKUP(W166,$DO$127:$DP$134,2,FALSE))))))))))</f>
        <v>0</v>
      </c>
      <c r="CK166" s="716">
        <f t="shared" si="204"/>
        <v>0</v>
      </c>
      <c r="CL166" s="57">
        <f t="shared" si="205"/>
        <v>0</v>
      </c>
      <c r="CM166" s="475">
        <f t="shared" si="231"/>
        <v>0</v>
      </c>
      <c r="CN166" s="660">
        <f>IF(CM166&lt;0.1,0,IF(ISNA(AT166),0,IF(CL166+BC166=1,0,IF(BV166&gt;0.01,0,IF(CL166&gt;0.01,0,IF(CF166=1,0,IF(BC166=0.5,0,IF(AND(CI166=1,AU166=3),0,IF(AND(CI166=5,CL166=0),0,IF(AND(R166=12,BR166=50),0,IF(CK166&gt;0.01,0,IF(AND(AJ166&gt;0.01,AU166=2,BC166=15),CM166*0.1,IF(AND(AJ166&gt;0.01,AU166=3,BC166=15),CM166*0.08,IF(AND(R166=12,BC166=3,AF166&lt;=0),0,IF(AND(BC166=15,BI166=0),0,IF(AND(BC166=15,BJ166=0),0,IF(AND(R166=20,CU166=0),0,IF($X$4=0,0,IF(AND(BC166=250,CL166=0),0,IF(AA166&lt;1,0,IF(AND(ISNUMBER(SEARCH("Area",T166)),AU166=3),0,IF(AND(AQ166&gt;0.01,AR166=0,BK166=0,BL166=0,BM166=0,BN166=0),0,IF(AND(AU166=3,CI166=7,CT166&gt;0.5),0,IF(AND(BC166=44,AU166=3,BY166=0),0,IF(AND(BC166=27,'Data Entry'!$C$74=2),0,IF(AND(BC166=28,'Data Entry'!$C$74=2),0,IF(AND(BY166+BZ166+CA166&gt;0.01,BV166=0,EQ166+ER166+ES166+ET166&lt;100),0,IF(AU166=3,CM166*0.08,IF(AU166=2,CM166*0.1,0)))))))))))))))))))))))))))))</f>
        <v>0</v>
      </c>
      <c r="CO166" s="660">
        <f t="shared" si="206"/>
        <v>0</v>
      </c>
      <c r="CP166" s="475" t="str">
        <f t="shared" si="207"/>
        <v/>
      </c>
      <c r="CQ166" s="161" t="str">
        <f>IF(AH166=0,0,IF(AU166=5,0,Summary!AC169))</f>
        <v/>
      </c>
      <c r="CR166" s="161" t="str">
        <f>IF(BF166=0.5,0,IF(AU166=5,0,Summary!AD169))</f>
        <v/>
      </c>
      <c r="CS166" s="161" t="str">
        <f>IF(AU166=5,0,Summary!AE169)</f>
        <v/>
      </c>
      <c r="CT166" s="161">
        <f t="shared" si="208"/>
        <v>0</v>
      </c>
      <c r="CU166" s="475" t="str">
        <f t="shared" si="209"/>
        <v/>
      </c>
      <c r="CV166" s="307">
        <f>IF('Data Entry'!$C$74=0,0,IF(AA166&lt;1,0,IF(ISERROR(CU166),0,IF(CF166=1,0,IF(AND(R166=12,BR166=50),0,IF(CL166+BO166+BV166+DC166=0,0,IF(BC166=37,0,IF(AND(BC166=40,AJ166=0),0,IF(AND(BC166=37,BO166&gt;0.01,BQ166&gt;0.01),ROUND(BQ166,0),IF(CM166&lt;0,0,ROUND(CM166,0)))))))))))</f>
        <v>0</v>
      </c>
      <c r="CW166" s="700">
        <f t="shared" si="210"/>
        <v>0</v>
      </c>
      <c r="CX166" s="477">
        <f>IF('Data Entry'!$C$74=0,0,IF(CV166&lt;0.01,0,IF(BF166=0.5,0,IF(CF166=1,0,IF(ISNUMBER(SEARCH("false",CL166)),0,IF(AZ166=500,0,CL166))))))</f>
        <v>0</v>
      </c>
      <c r="CY166" s="147" t="e">
        <f t="shared" si="211"/>
        <v>#VALUE!</v>
      </c>
      <c r="CZ166" s="147" t="b">
        <f>IF(CN166+CL166=0,FALSE,IF(AH166=0,0,IF(AND('Data Entry'!$C$74=1,CR166&gt;=1),TRUE,IF(AND('Data Entry'!$C$74=2,CS166&gt;=1),TRUE,FALSE))))</f>
        <v>0</v>
      </c>
      <c r="DA166" s="1751">
        <f>IF('Data Entry'!$C$74=0,0,IFERROR(ROUND(IF(T166="","",IF($X$4=0,0,IF(CF166=1,0,IF(BQ166+CV166=0,0,IF(CF166=1,0,IF(CY166&gt;0.01,CY166,IF(CL166&gt;0.01,CL166,IF(CY166&gt;0.01,CY166,IF(BC166=37,BO166,IF(CZ166=FALSE,0,IF(CZ166=TRUE,DC166+DF166,0))))))))))),2),""))</f>
        <v>0</v>
      </c>
      <c r="DB166" s="1752"/>
      <c r="DC166" s="474">
        <f>IF(CN166&lt;0.01,0,IF(AND(BR166=3,CN166&gt;0.01,CT166&gt;0.6,ER166+ES166+ET166&lt;100),0,IF(AND('Data Entry'!$C$74=1,CN166&gt;0.01,CR166&gt;0.99),MIN(CN166:CO166),IF(AND('Data Entry'!$C$74=2,CN166&gt;0.01,CS166&gt;0.99),MIN(CN166:CO166),0))))</f>
        <v>0</v>
      </c>
      <c r="DD166" s="478">
        <f>IF(CF166=1,"Selection does not match",IF(T166=0,0,IF(AND('Data Entry'!$C$74=0,CP166&gt;1),"Select Oregon or Idaho on Data Entry Tab",IF(AND(AU166=1,AA166&gt;0.9),"Missing Interior or Exterior Selection",IF($X$4=0,"Enter Total Project Cost",IF(AQ166&lt;AR166,"Insufficient kWh savings – no incentive",IF(AND(SUM(CL166+CK166+BV166)&gt;0.01,'Data Entry'!$C$74=2,CJ166&gt;1,BO166=0),"Submit Control as Non-Standard",IF(AND('Data Entry'!$C$74=2,BR166=37,CJ166&gt;1,BO166=0),"Submit Control as Non-Standard",IF(SUM(CL166+CK166+BV166)&gt;0.01,"Standard Incentive",IF(AND('Data Entry'!$C$74=2,CP166=7,CN166=0),"Submit as Non-Standard",IF(DC166&gt;0.9,"Non-Standard Incentive",IF(AND(BY166+BZ166+CA166&gt;0.01,BV166=0,EQ166=0,ER166=0,ES166=0,ET166=0),"Scroll Right &amp; Select Control Strategies",IF(AND(CN166&gt;0.01,CO166=0),"Enter Unit Installed Cost",IF(ISNUMBER(SEARCH("Lighting Controls Only",F166)),"Lighting Controls Only",IF(CL166+DC166=0,"Does not meet incentive criteria",0)))))))))))))))</f>
        <v>0</v>
      </c>
      <c r="DE166" s="337">
        <f t="shared" si="212"/>
        <v>0</v>
      </c>
      <c r="DF166" s="609">
        <f t="shared" si="213"/>
        <v>0</v>
      </c>
      <c r="DG166" s="336" t="str">
        <f t="shared" si="214"/>
        <v/>
      </c>
      <c r="DH166" s="338">
        <f t="shared" si="215"/>
        <v>1</v>
      </c>
      <c r="DI166" s="336" t="e">
        <f t="shared" si="170"/>
        <v>#VALUE!</v>
      </c>
      <c r="DJ166" s="338">
        <f t="shared" si="171"/>
        <v>0</v>
      </c>
      <c r="DK166" s="325" t="s">
        <v>102</v>
      </c>
      <c r="DL166" s="341">
        <v>30</v>
      </c>
      <c r="DM166" s="340" t="s">
        <v>160</v>
      </c>
      <c r="DN166" s="820">
        <v>32</v>
      </c>
      <c r="DO166" s="331"/>
      <c r="DP166" s="332"/>
      <c r="DQ166" s="331"/>
      <c r="DR166" s="357"/>
      <c r="DS166" s="1195">
        <f t="shared" si="216"/>
        <v>0</v>
      </c>
      <c r="DT166" s="344" t="b">
        <f t="shared" si="217"/>
        <v>1</v>
      </c>
      <c r="DU166" s="1314" t="str">
        <f t="array" ref="DU166">IF(OR(COUNTIF(F166,"*"&amp;$DK$9:$DK$178&amp;"*")), "Yes", "")</f>
        <v/>
      </c>
      <c r="DV166" s="1314">
        <f t="shared" si="218"/>
        <v>0</v>
      </c>
      <c r="DW166" s="1480">
        <f t="shared" si="219"/>
        <v>0</v>
      </c>
      <c r="DX166" s="1498">
        <f t="shared" si="228"/>
        <v>0</v>
      </c>
      <c r="DY166" s="1484">
        <f t="shared" si="220"/>
        <v>0</v>
      </c>
      <c r="DZ166" s="331"/>
      <c r="EA166" s="392"/>
      <c r="EB166" s="1499" t="s">
        <v>1377</v>
      </c>
      <c r="EC166" s="727" t="s">
        <v>1568</v>
      </c>
      <c r="ED166" s="728">
        <v>0.5</v>
      </c>
      <c r="EE166" s="1215"/>
      <c r="EF166" s="1215"/>
      <c r="EG166" s="1184" t="str">
        <f t="shared" si="221"/>
        <v/>
      </c>
      <c r="EH166" s="55"/>
      <c r="EI166" s="55"/>
      <c r="EJ166" s="1185">
        <f t="shared" si="172"/>
        <v>0</v>
      </c>
      <c r="EK166" s="1211"/>
      <c r="EL166" s="1180">
        <f t="shared" si="173"/>
        <v>0</v>
      </c>
      <c r="EM166" s="206"/>
      <c r="EN166" s="1038"/>
      <c r="EO166" s="1038"/>
      <c r="EP166" s="1038"/>
      <c r="EQ166" s="1038">
        <f t="shared" si="222"/>
        <v>0</v>
      </c>
      <c r="ER166" s="1041">
        <f t="shared" si="223"/>
        <v>0</v>
      </c>
      <c r="ES166" s="1042">
        <f t="shared" si="224"/>
        <v>0</v>
      </c>
      <c r="ET166" s="1042">
        <f t="shared" si="229"/>
        <v>0</v>
      </c>
      <c r="EU166" s="1021">
        <f t="shared" si="230"/>
        <v>0</v>
      </c>
      <c r="EV166" s="368"/>
      <c r="EW166" s="368"/>
      <c r="EX166" s="369"/>
      <c r="EY166" s="370"/>
      <c r="EZ166" s="370"/>
      <c r="FA166" s="371"/>
      <c r="FB166" s="372"/>
    </row>
    <row r="167" spans="1:158" ht="34.5" customHeight="1">
      <c r="A167" s="82">
        <v>159</v>
      </c>
      <c r="B167" s="1725"/>
      <c r="C167" s="1726"/>
      <c r="D167" s="1726"/>
      <c r="E167" s="1727"/>
      <c r="F167" s="1732"/>
      <c r="G167" s="1733"/>
      <c r="H167" s="1733"/>
      <c r="I167" s="1734"/>
      <c r="J167" s="1341"/>
      <c r="K167" s="1728"/>
      <c r="L167" s="1728"/>
      <c r="M167" s="1342"/>
      <c r="N167" s="1583"/>
      <c r="O167" s="208" t="str">
        <f t="shared" si="160"/>
        <v/>
      </c>
      <c r="P167" s="785"/>
      <c r="Q167" s="39" t="str">
        <f t="shared" si="161"/>
        <v/>
      </c>
      <c r="R167" s="39">
        <f t="shared" si="174"/>
        <v>0</v>
      </c>
      <c r="S167" s="234">
        <f t="shared" si="175"/>
        <v>0</v>
      </c>
      <c r="T167" s="1755"/>
      <c r="U167" s="1755"/>
      <c r="V167" s="1755"/>
      <c r="W167" s="1345"/>
      <c r="X167" s="1741"/>
      <c r="Y167" s="1742"/>
      <c r="Z167" s="1346"/>
      <c r="AA167" s="1343"/>
      <c r="AB167" s="1141"/>
      <c r="AC167" s="1103" t="str">
        <f>IF(T167="","",VLOOKUP(Z167,Lists!$A$60:$B$111,2,FALSE))</f>
        <v/>
      </c>
      <c r="AD167" s="130" t="str">
        <f t="shared" si="176"/>
        <v/>
      </c>
      <c r="AE167" s="130" t="e">
        <f t="shared" si="177"/>
        <v>#VALUE!</v>
      </c>
      <c r="AF167" s="130">
        <f t="shared" si="178"/>
        <v>1</v>
      </c>
      <c r="AG167" s="234">
        <f t="shared" si="162"/>
        <v>0</v>
      </c>
      <c r="AH167" s="1753" t="str">
        <f>IF(T167="","",(IF(ISNUMBER(SEARCH("exit",T167)),8760,IF(AND(M167="Dusk to Dawn",'Proposed Lighting'!AU167=3),4059,IF(AND(AU167=3,M167="1"),0,IF(AND(AU167=3,M167="1-C"),0,IF(AND(AU167=3,M167="2"),0,IF(AND(AU167=3,M167="2-C"),0,IF(AND(AU167=3,M167="3"),0,IF(AND(AU167=3,M167="3-C"),0,IF(AND(AU167=2,M167="Dusk to Dawn"),0,IF(AND(AU167=2,M167="Dusk to Dawn-C"),0,IF(AND(AU167=2,M167="Dusk to Dawn"),0,IF(AND(AU167=2,M167="E"),0,IF(AND(AU167=2,M167="E-C"),0,EG167)))))))))))))))</f>
        <v/>
      </c>
      <c r="AI167" s="1754"/>
      <c r="AJ167" s="1136"/>
      <c r="AK167" s="1136"/>
      <c r="AL167" s="1748">
        <f t="shared" si="179"/>
        <v>0</v>
      </c>
      <c r="AM167" s="1749"/>
      <c r="AN167" s="1750"/>
      <c r="AO167" s="476">
        <f t="shared" si="163"/>
        <v>0</v>
      </c>
      <c r="AP167" s="476">
        <f t="shared" si="180"/>
        <v>0</v>
      </c>
      <c r="AQ167" s="475">
        <f t="shared" si="164"/>
        <v>0</v>
      </c>
      <c r="AR167" s="475">
        <f t="shared" si="181"/>
        <v>0</v>
      </c>
      <c r="AS167" s="743" t="str">
        <f t="shared" si="233"/>
        <v/>
      </c>
      <c r="AT167" s="736" t="str">
        <f t="shared" si="182"/>
        <v/>
      </c>
      <c r="AU167" s="56">
        <f t="shared" si="183"/>
        <v>1</v>
      </c>
      <c r="AV167" s="476">
        <f t="shared" si="184"/>
        <v>0</v>
      </c>
      <c r="AW167" s="56">
        <f t="shared" si="185"/>
        <v>0</v>
      </c>
      <c r="AX167" s="475">
        <f t="shared" si="165"/>
        <v>0</v>
      </c>
      <c r="AY167" s="1169">
        <f t="shared" si="186"/>
        <v>0</v>
      </c>
      <c r="AZ167" s="1150">
        <f t="shared" si="225"/>
        <v>0</v>
      </c>
      <c r="BA167" s="56">
        <f t="shared" si="166"/>
        <v>0</v>
      </c>
      <c r="BB167" s="420">
        <f t="shared" si="167"/>
        <v>0</v>
      </c>
      <c r="BC167" s="58" t="str">
        <f t="shared" si="168"/>
        <v/>
      </c>
      <c r="BD167" s="660">
        <f t="shared" si="226"/>
        <v>0</v>
      </c>
      <c r="BE167" s="57" t="e">
        <f t="array" ref="BE167">INDEX($EB$11:$ED$1022,MATCH(F167&amp;T167,$EB$11:$EB$1007&amp;$EC$11:$EC$1007,0),3)</f>
        <v>#N/A</v>
      </c>
      <c r="BF167" s="463">
        <f t="shared" si="157"/>
        <v>0</v>
      </c>
      <c r="BG167" s="1445" t="e">
        <f t="array" ref="BG167">INDEX($DO$112:$DQ$123,MATCH(T167&amp;W167,$DO$114:$DO$125&amp;$DP$112:$DP$123,0),3)</f>
        <v>#N/A</v>
      </c>
      <c r="BH167" s="1446">
        <f t="shared" si="187"/>
        <v>0</v>
      </c>
      <c r="BI167" s="465">
        <f t="shared" si="188"/>
        <v>0</v>
      </c>
      <c r="BJ167" s="465">
        <f t="shared" si="189"/>
        <v>0</v>
      </c>
      <c r="BK167" s="466">
        <f t="shared" si="158"/>
        <v>0</v>
      </c>
      <c r="BL167" s="466">
        <f t="shared" si="159"/>
        <v>0</v>
      </c>
      <c r="BM167" s="466">
        <f t="shared" si="190"/>
        <v>0</v>
      </c>
      <c r="BN167" s="466">
        <f t="shared" si="191"/>
        <v>0</v>
      </c>
      <c r="BO167" s="463">
        <f>IF('Data Entry'!$C$74=0,0,IF(ISNA(CJ167),0,IF(AX167=0,0,IF(AND('Data Entry'!$C$74=2,AF167&gt;2,CE167&lt;1),0,IF(AND('Data Entry'!$C$74=2,AF167&gt;1,AU167=2,CJ167&gt;1),0,IF(AND(AF167=5,CT167=0.5,AU167=2,ER167&lt;100),0,IF(AND(AF167=5,CT167=0.5,AU167=3,ER167&lt;100),0,IF(AND('Data Entry'!$C$74=2,AF167=2,AU167=2,AK167&gt;0.01,CB167=2,CE167&lt;1),0,IF(AND('Data Entry'!$C$74=2,AF167=3,AU167=3,AK167&gt;0.01,CB167=3,CE167&lt;1),0,IF(AND('Data Entry'!$C$74=2,AF167=3,AU167=3,AK167&gt;0.01,CB167=3,CE167&gt;0.99),BQ167*0.08,IF(AND('Data Entry'!$C$74=2,AF167=2,AU167=2,AK167&gt;0.01,CB167=2,CE167&gt;0.99),BQ167*0.1,IF(AND(AU167=2,AK167&gt;0.01,CB167=2,CD167&gt;1),BQ167*0.1,IF(AND(AU167=3,AK167&gt;0.01,CB167=3,CD167&gt;1),BQ167*0.08,CJ167*EF167)))))))))))))</f>
        <v>0</v>
      </c>
      <c r="BP167" s="475">
        <f t="shared" si="192"/>
        <v>0</v>
      </c>
      <c r="BQ167" s="1431">
        <f>IF(AU167=1,0,IF(CH167=100,0,IF(AND(AF167=3,AU167=2),0,IF(AND(BH167=0,CT167&gt;0.4),0,IF(AND('Data Entry'!$C$74=2,AF167=1.5),0,IF(AND('Data Entry'!$C$74=2,AF167=1.6),0,IF(AND('Data Entry'!$C$74=2,AF167=4),0,IF(AND('Data Entry'!$C$74=2,AF167=5),0,IF(AND('Data Entry'!$C$74=2,AF167=2.5,CE167&lt;1),0,IF(AND('Data Entry'!$C$74=2,AF167=3,CE167&lt;1),0,IF(AND('Data Entry'!$C$74=1,AF167=2.5,CD167&lt;1),0,IF(AND('Data Entry'!$C$74=1,AF167=3,CD167&lt;1),0,IF(DX167&gt;0.01,DX167,IF(ISERROR(AX167-AY167),"",ROUND(AX167-AY167,2)))))))))))))))</f>
        <v>0</v>
      </c>
      <c r="BR167" s="146">
        <f t="shared" si="193"/>
        <v>0</v>
      </c>
      <c r="BS167" s="475">
        <f t="shared" si="194"/>
        <v>0</v>
      </c>
      <c r="BT167" s="146" t="b">
        <f t="shared" si="195"/>
        <v>0</v>
      </c>
      <c r="BU167" s="463">
        <f>IF(ISNA(AT167),0,IF(AND('Data Entry'!$C$74=2,BC167=27),0,IF(AND('Data Entry'!$C$74=2,BC167=28),0,IF(AND(BC167=27,BT167=27,CM167&gt;0.1),CM167*0.15,IF(AND(BC167=28,BT167=28,CM167&gt;0.1),CM167*0.12,0)))))</f>
        <v>0</v>
      </c>
      <c r="BV167" s="463">
        <f t="shared" si="232"/>
        <v>0</v>
      </c>
      <c r="BW167" s="463">
        <f t="shared" si="196"/>
        <v>0</v>
      </c>
      <c r="BX167" s="463">
        <f t="shared" si="197"/>
        <v>0</v>
      </c>
      <c r="BY167" s="463">
        <f t="shared" si="198"/>
        <v>0</v>
      </c>
      <c r="BZ167" s="463">
        <f t="shared" si="199"/>
        <v>0</v>
      </c>
      <c r="CA167" s="57">
        <f t="shared" si="227"/>
        <v>0</v>
      </c>
      <c r="CB167" s="56">
        <f t="shared" si="200"/>
        <v>1</v>
      </c>
      <c r="CC167" s="756">
        <f>IF(EE167=0,0,IF(EF167=0,0,IF(EE167&gt;AA167,0,IF(AND(AZ167&gt;AW167,AW167&gt;0),0,IF(CU167=0,0,Summary!AC470)))))</f>
        <v>0</v>
      </c>
      <c r="CD167" s="756">
        <f>IF(EE167=0,0,IF(EF167=0,0,IF(EE167&gt;AA167,0,IF(AND(AZ167&gt;AW167,AW167&gt;0),0,IF(CU167=0,0,Summary!AD470)))))</f>
        <v>0</v>
      </c>
      <c r="CE167" s="756">
        <f>IF(EF167=0,0,IF(EE167&gt;AA167,0,IF(CC167=0,0,IF(AND(AZ167&gt;AW167,AW167&gt;0),0,IF(CU167=0,0,Summary!AE470)))))</f>
        <v>0</v>
      </c>
      <c r="CF167" s="475">
        <f t="shared" si="201"/>
        <v>0</v>
      </c>
      <c r="CG167" s="476">
        <f t="shared" si="169"/>
        <v>0</v>
      </c>
      <c r="CH167" s="487">
        <f t="shared" si="202"/>
        <v>0</v>
      </c>
      <c r="CI167" s="756">
        <f t="shared" si="203"/>
        <v>0</v>
      </c>
      <c r="CJ167" s="487">
        <f>IF(CT167&gt;0.4,0,IF(AND(AU167=2,CH167=0,CT167=0.5,ER167=100),35,IF(AND(AU167=3,BB167&gt;75,CH167=0,CT167=0.5,ER167=100),25,IF(CB167&gt;1,0,IF(EF167&gt;EE167,0,IF(AND(AF167&gt;1,CH167=100),0,IF(AND(AF167=1,AY167=0),0,IF(AND(EF167&lt;=EE167,AW167&gt;=AZ167,'Data Entry'!$C$74=1,AU167=2),VLOOKUP(W167,$DO$96:$DP$102,2,FALSE),IF(AND(EF167&lt;=EE167,AW167&gt;=AZ167,AU167=3,'Data Entry'!$C$74=1),VLOOKUP(W167,$DO$127:$DP$134,2,FALSE))))))))))</f>
        <v>0</v>
      </c>
      <c r="CK167" s="716">
        <f t="shared" si="204"/>
        <v>0</v>
      </c>
      <c r="CL167" s="57">
        <f t="shared" si="205"/>
        <v>0</v>
      </c>
      <c r="CM167" s="475">
        <f t="shared" si="231"/>
        <v>0</v>
      </c>
      <c r="CN167" s="660">
        <f>IF(CM167&lt;0.1,0,IF(ISNA(AT167),0,IF(CL167+BC167=1,0,IF(BV167&gt;0.01,0,IF(CL167&gt;0.01,0,IF(CF167=1,0,IF(BC167=0.5,0,IF(AND(CI167=1,AU167=3),0,IF(AND(CI167=5,CL167=0),0,IF(AND(R167=12,BR167=50),0,IF(CK167&gt;0.01,0,IF(AND(AJ167&gt;0.01,AU167=2,BC167=15),CM167*0.1,IF(AND(AJ167&gt;0.01,AU167=3,BC167=15),CM167*0.08,IF(AND(R167=12,BC167=3,AF167&lt;=0),0,IF(AND(BC167=15,BI167=0),0,IF(AND(BC167=15,BJ167=0),0,IF(AND(R167=20,CU167=0),0,IF($X$4=0,0,IF(AND(BC167=250,CL167=0),0,IF(AA167&lt;1,0,IF(AND(ISNUMBER(SEARCH("Area",T167)),AU167=3),0,IF(AND(AQ167&gt;0.01,AR167=0,BK167=0,BL167=0,BM167=0,BN167=0),0,IF(AND(AU167=3,CI167=7,CT167&gt;0.5),0,IF(AND(BC167=44,AU167=3,BY167=0),0,IF(AND(BC167=27,'Data Entry'!$C$74=2),0,IF(AND(BC167=28,'Data Entry'!$C$74=2),0,IF(AND(BY167+BZ167+CA167&gt;0.01,BV167=0,EQ167+ER167+ES167+ET167&lt;100),0,IF(AU167=3,CM167*0.08,IF(AU167=2,CM167*0.1,0)))))))))))))))))))))))))))))</f>
        <v>0</v>
      </c>
      <c r="CO167" s="660">
        <f t="shared" si="206"/>
        <v>0</v>
      </c>
      <c r="CP167" s="475" t="str">
        <f t="shared" si="207"/>
        <v/>
      </c>
      <c r="CQ167" s="161" t="str">
        <f>IF(AH167=0,0,IF(AU167=5,0,Summary!AC170))</f>
        <v/>
      </c>
      <c r="CR167" s="161" t="str">
        <f>IF(BF167=0.5,0,IF(AU167=5,0,Summary!AD170))</f>
        <v/>
      </c>
      <c r="CS167" s="161" t="str">
        <f>IF(AU167=5,0,Summary!AE170)</f>
        <v/>
      </c>
      <c r="CT167" s="161">
        <f t="shared" si="208"/>
        <v>0</v>
      </c>
      <c r="CU167" s="475" t="str">
        <f t="shared" si="209"/>
        <v/>
      </c>
      <c r="CV167" s="307">
        <f>IF('Data Entry'!$C$74=0,0,IF(AA167&lt;1,0,IF(ISERROR(CU167),0,IF(CF167=1,0,IF(AND(R167=12,BR167=50),0,IF(CL167+BO167+BV167+DC167=0,0,IF(BC167=37,0,IF(AND(BC167=40,AJ167=0),0,IF(AND(BC167=37,BO167&gt;0.01,BQ167&gt;0.01),ROUND(BQ167,0),IF(CM167&lt;0,0,ROUND(CM167,0)))))))))))</f>
        <v>0</v>
      </c>
      <c r="CW167" s="700">
        <f t="shared" si="210"/>
        <v>0</v>
      </c>
      <c r="CX167" s="477">
        <f>IF('Data Entry'!$C$74=0,0,IF(CV167&lt;0.01,0,IF(BF167=0.5,0,IF(CF167=1,0,IF(ISNUMBER(SEARCH("false",CL167)),0,IF(AZ167=500,0,CL167))))))</f>
        <v>0</v>
      </c>
      <c r="CY167" s="147" t="e">
        <f t="shared" si="211"/>
        <v>#VALUE!</v>
      </c>
      <c r="CZ167" s="147" t="b">
        <f>IF(CN167+CL167=0,FALSE,IF(AH167=0,0,IF(AND('Data Entry'!$C$74=1,CR167&gt;=1),TRUE,IF(AND('Data Entry'!$C$74=2,CS167&gt;=1),TRUE,FALSE))))</f>
        <v>0</v>
      </c>
      <c r="DA167" s="1751">
        <f>IF('Data Entry'!$C$74=0,0,IFERROR(ROUND(IF(T167="","",IF($X$4=0,0,IF(CF167=1,0,IF(BQ167+CV167=0,0,IF(CF167=1,0,IF(CY167&gt;0.01,CY167,IF(CL167&gt;0.01,CL167,IF(CY167&gt;0.01,CY167,IF(BC167=37,BO167,IF(CZ167=FALSE,0,IF(CZ167=TRUE,DC167+DF167,0))))))))))),2),""))</f>
        <v>0</v>
      </c>
      <c r="DB167" s="1752"/>
      <c r="DC167" s="474">
        <f>IF(CN167&lt;0.01,0,IF(AND(BR167=3,CN167&gt;0.01,CT167&gt;0.6,ER167+ES167+ET167&lt;100),0,IF(AND('Data Entry'!$C$74=1,CN167&gt;0.01,CR167&gt;0.99),MIN(CN167:CO167),IF(AND('Data Entry'!$C$74=2,CN167&gt;0.01,CS167&gt;0.99),MIN(CN167:CO167),0))))</f>
        <v>0</v>
      </c>
      <c r="DD167" s="478">
        <f>IF(CF167=1,"Selection does not match",IF(T167=0,0,IF(AND('Data Entry'!$C$74=0,CP167&gt;1),"Select Oregon or Idaho on Data Entry Tab",IF(AND(AU167=1,AA167&gt;0.9),"Missing Interior or Exterior Selection",IF($X$4=0,"Enter Total Project Cost",IF(AQ167&lt;AR167,"Insufficient kWh savings – no incentive",IF(AND(SUM(CL167+CK167+BV167)&gt;0.01,'Data Entry'!$C$74=2,CJ167&gt;1,BO167=0),"Submit Control as Non-Standard",IF(AND('Data Entry'!$C$74=2,BR167=37,CJ167&gt;1,BO167=0),"Submit Control as Non-Standard",IF(SUM(CL167+CK167+BV167)&gt;0.01,"Standard Incentive",IF(AND('Data Entry'!$C$74=2,CP167=7,CN167=0),"Submit as Non-Standard",IF(DC167&gt;0.9,"Non-Standard Incentive",IF(AND(BY167+BZ167+CA167&gt;0.01,BV167=0,EQ167=0,ER167=0,ES167=0,ET167=0),"Scroll Right &amp; Select Control Strategies",IF(AND(CN167&gt;0.01,CO167=0),"Enter Unit Installed Cost",IF(ISNUMBER(SEARCH("Lighting Controls Only",F167)),"Lighting Controls Only",IF(CL167+DC167=0,"Does not meet incentive criteria",0)))))))))))))))</f>
        <v>0</v>
      </c>
      <c r="DE167" s="337">
        <f t="shared" si="212"/>
        <v>0</v>
      </c>
      <c r="DF167" s="609">
        <f t="shared" si="213"/>
        <v>0</v>
      </c>
      <c r="DG167" s="336" t="str">
        <f t="shared" si="214"/>
        <v/>
      </c>
      <c r="DH167" s="338">
        <f t="shared" si="215"/>
        <v>1</v>
      </c>
      <c r="DI167" s="336" t="e">
        <f t="shared" si="170"/>
        <v>#VALUE!</v>
      </c>
      <c r="DJ167" s="338">
        <f t="shared" si="171"/>
        <v>0</v>
      </c>
      <c r="DK167" s="325" t="s">
        <v>103</v>
      </c>
      <c r="DL167" s="343">
        <v>40</v>
      </c>
      <c r="DM167" s="340" t="s">
        <v>161</v>
      </c>
      <c r="DN167" s="820">
        <v>8</v>
      </c>
      <c r="DO167" s="331"/>
      <c r="DP167" s="332"/>
      <c r="DQ167" s="331"/>
      <c r="DR167" s="357"/>
      <c r="DS167" s="1195">
        <f t="shared" si="216"/>
        <v>0</v>
      </c>
      <c r="DT167" s="344" t="b">
        <f t="shared" si="217"/>
        <v>1</v>
      </c>
      <c r="DU167" s="1314" t="str">
        <f t="array" ref="DU167">IF(OR(COUNTIF(F167,"*"&amp;$DK$9:$DK$178&amp;"*")), "Yes", "")</f>
        <v/>
      </c>
      <c r="DV167" s="1314">
        <f t="shared" si="218"/>
        <v>0</v>
      </c>
      <c r="DW167" s="1480">
        <f t="shared" si="219"/>
        <v>0</v>
      </c>
      <c r="DX167" s="1498">
        <f t="shared" si="228"/>
        <v>0</v>
      </c>
      <c r="DY167" s="1484">
        <f t="shared" si="220"/>
        <v>0</v>
      </c>
      <c r="DZ167" s="331"/>
      <c r="EA167" s="392"/>
      <c r="EB167" s="1499" t="s">
        <v>73</v>
      </c>
      <c r="EC167" s="727" t="s">
        <v>1568</v>
      </c>
      <c r="ED167" s="728">
        <v>0.5</v>
      </c>
      <c r="EE167" s="1215"/>
      <c r="EF167" s="1215"/>
      <c r="EG167" s="1184" t="str">
        <f t="shared" si="221"/>
        <v/>
      </c>
      <c r="EH167" s="55"/>
      <c r="EI167" s="55"/>
      <c r="EJ167" s="1185">
        <f t="shared" si="172"/>
        <v>0</v>
      </c>
      <c r="EK167" s="1211"/>
      <c r="EL167" s="1180">
        <f t="shared" si="173"/>
        <v>0</v>
      </c>
      <c r="EM167" s="206"/>
      <c r="EN167" s="1038"/>
      <c r="EO167" s="1038"/>
      <c r="EP167" s="1038"/>
      <c r="EQ167" s="1038">
        <f t="shared" si="222"/>
        <v>0</v>
      </c>
      <c r="ER167" s="1041">
        <f t="shared" si="223"/>
        <v>0</v>
      </c>
      <c r="ES167" s="1042">
        <f t="shared" si="224"/>
        <v>0</v>
      </c>
      <c r="ET167" s="1042">
        <f t="shared" si="229"/>
        <v>0</v>
      </c>
      <c r="EU167" s="1021">
        <f t="shared" si="230"/>
        <v>0</v>
      </c>
      <c r="EV167" s="368"/>
      <c r="EW167" s="368"/>
      <c r="EX167" s="369"/>
      <c r="EY167" s="370"/>
      <c r="EZ167" s="370"/>
      <c r="FA167" s="371"/>
      <c r="FB167" s="372"/>
    </row>
    <row r="168" spans="1:158" ht="34.5" customHeight="1">
      <c r="A168" s="82">
        <v>160</v>
      </c>
      <c r="B168" s="1725"/>
      <c r="C168" s="1726"/>
      <c r="D168" s="1726"/>
      <c r="E168" s="1727"/>
      <c r="F168" s="1732"/>
      <c r="G168" s="1733"/>
      <c r="H168" s="1733"/>
      <c r="I168" s="1734"/>
      <c r="J168" s="1341"/>
      <c r="K168" s="1728"/>
      <c r="L168" s="1728"/>
      <c r="M168" s="1342"/>
      <c r="N168" s="1583"/>
      <c r="O168" s="208" t="str">
        <f t="shared" si="160"/>
        <v/>
      </c>
      <c r="P168" s="785"/>
      <c r="Q168" s="39" t="str">
        <f t="shared" si="161"/>
        <v/>
      </c>
      <c r="R168" s="39">
        <f t="shared" si="174"/>
        <v>0</v>
      </c>
      <c r="S168" s="234">
        <f t="shared" si="175"/>
        <v>0</v>
      </c>
      <c r="T168" s="1755"/>
      <c r="U168" s="1755"/>
      <c r="V168" s="1755"/>
      <c r="W168" s="1345"/>
      <c r="X168" s="1741"/>
      <c r="Y168" s="1742"/>
      <c r="Z168" s="1346"/>
      <c r="AA168" s="1343"/>
      <c r="AB168" s="1141"/>
      <c r="AC168" s="1103" t="str">
        <f>IF(T168="","",VLOOKUP(Z168,Lists!$A$60:$B$111,2,FALSE))</f>
        <v/>
      </c>
      <c r="AD168" s="130" t="str">
        <f t="shared" si="176"/>
        <v/>
      </c>
      <c r="AE168" s="130" t="e">
        <f t="shared" si="177"/>
        <v>#VALUE!</v>
      </c>
      <c r="AF168" s="130">
        <f t="shared" si="178"/>
        <v>1</v>
      </c>
      <c r="AG168" s="234">
        <f t="shared" si="162"/>
        <v>0</v>
      </c>
      <c r="AH168" s="1753" t="str">
        <f>IF(T168="","",(IF(ISNUMBER(SEARCH("exit",T168)),8760,IF(AND(M168="Dusk to Dawn",'Proposed Lighting'!AU168=3),4059,IF(AND(AU168=3,M168="1"),0,IF(AND(AU168=3,M168="1-C"),0,IF(AND(AU168=3,M168="2"),0,IF(AND(AU168=3,M168="2-C"),0,IF(AND(AU168=3,M168="3"),0,IF(AND(AU168=3,M168="3-C"),0,IF(AND(AU168=2,M168="Dusk to Dawn"),0,IF(AND(AU168=2,M168="Dusk to Dawn-C"),0,IF(AND(AU168=2,M168="Dusk to Dawn"),0,IF(AND(AU168=2,M168="E"),0,IF(AND(AU168=2,M168="E-C"),0,EG168)))))))))))))))</f>
        <v/>
      </c>
      <c r="AI168" s="1754"/>
      <c r="AJ168" s="1136"/>
      <c r="AK168" s="1136"/>
      <c r="AL168" s="1748">
        <f t="shared" si="179"/>
        <v>0</v>
      </c>
      <c r="AM168" s="1749"/>
      <c r="AN168" s="1750"/>
      <c r="AO168" s="476">
        <f t="shared" si="163"/>
        <v>0</v>
      </c>
      <c r="AP168" s="476">
        <f t="shared" si="180"/>
        <v>0</v>
      </c>
      <c r="AQ168" s="475">
        <f t="shared" si="164"/>
        <v>0</v>
      </c>
      <c r="AR168" s="475">
        <f t="shared" si="181"/>
        <v>0</v>
      </c>
      <c r="AS168" s="743" t="str">
        <f t="shared" si="233"/>
        <v/>
      </c>
      <c r="AT168" s="736" t="str">
        <f t="shared" si="182"/>
        <v/>
      </c>
      <c r="AU168" s="56">
        <f t="shared" si="183"/>
        <v>1</v>
      </c>
      <c r="AV168" s="476">
        <f t="shared" si="184"/>
        <v>0</v>
      </c>
      <c r="AW168" s="56">
        <f t="shared" si="185"/>
        <v>0</v>
      </c>
      <c r="AX168" s="475">
        <f t="shared" si="165"/>
        <v>0</v>
      </c>
      <c r="AY168" s="1169">
        <f t="shared" si="186"/>
        <v>0</v>
      </c>
      <c r="AZ168" s="1150">
        <f t="shared" si="225"/>
        <v>0</v>
      </c>
      <c r="BA168" s="56">
        <f t="shared" si="166"/>
        <v>0</v>
      </c>
      <c r="BB168" s="420">
        <f t="shared" si="167"/>
        <v>0</v>
      </c>
      <c r="BC168" s="58" t="str">
        <f t="shared" si="168"/>
        <v/>
      </c>
      <c r="BD168" s="660">
        <f t="shared" si="226"/>
        <v>0</v>
      </c>
      <c r="BE168" s="57" t="e">
        <f t="array" ref="BE168">INDEX($EB$11:$ED$1022,MATCH(F168&amp;T168,$EB$11:$EB$1007&amp;$EC$11:$EC$1007,0),3)</f>
        <v>#N/A</v>
      </c>
      <c r="BF168" s="463">
        <f t="shared" si="157"/>
        <v>0</v>
      </c>
      <c r="BG168" s="1445" t="e">
        <f t="array" ref="BG168">INDEX($DO$112:$DQ$123,MATCH(T168&amp;W168,$DO$114:$DO$125&amp;$DP$112:$DP$123,0),3)</f>
        <v>#N/A</v>
      </c>
      <c r="BH168" s="1446">
        <f t="shared" si="187"/>
        <v>0</v>
      </c>
      <c r="BI168" s="465">
        <f t="shared" si="188"/>
        <v>0</v>
      </c>
      <c r="BJ168" s="465">
        <f t="shared" si="189"/>
        <v>0</v>
      </c>
      <c r="BK168" s="466">
        <f t="shared" si="158"/>
        <v>0</v>
      </c>
      <c r="BL168" s="466">
        <f t="shared" si="159"/>
        <v>0</v>
      </c>
      <c r="BM168" s="466">
        <f t="shared" si="190"/>
        <v>0</v>
      </c>
      <c r="BN168" s="466">
        <f t="shared" si="191"/>
        <v>0</v>
      </c>
      <c r="BO168" s="463">
        <f>IF('Data Entry'!$C$74=0,0,IF(ISNA(CJ168),0,IF(AX168=0,0,IF(AND('Data Entry'!$C$74=2,AF168&gt;2,CE168&lt;1),0,IF(AND('Data Entry'!$C$74=2,AF168&gt;1,AU168=2,CJ168&gt;1),0,IF(AND(AF168=5,CT168=0.5,AU168=2,ER168&lt;100),0,IF(AND(AF168=5,CT168=0.5,AU168=3,ER168&lt;100),0,IF(AND('Data Entry'!$C$74=2,AF168=2,AU168=2,AK168&gt;0.01,CB168=2,CE168&lt;1),0,IF(AND('Data Entry'!$C$74=2,AF168=3,AU168=3,AK168&gt;0.01,CB168=3,CE168&lt;1),0,IF(AND('Data Entry'!$C$74=2,AF168=3,AU168=3,AK168&gt;0.01,CB168=3,CE168&gt;0.99),BQ168*0.08,IF(AND('Data Entry'!$C$74=2,AF168=2,AU168=2,AK168&gt;0.01,CB168=2,CE168&gt;0.99),BQ168*0.1,IF(AND(AU168=2,AK168&gt;0.01,CB168=2,CD168&gt;1),BQ168*0.1,IF(AND(AU168=3,AK168&gt;0.01,CB168=3,CD168&gt;1),BQ168*0.08,CJ168*EF168)))))))))))))</f>
        <v>0</v>
      </c>
      <c r="BP168" s="475">
        <f t="shared" si="192"/>
        <v>0</v>
      </c>
      <c r="BQ168" s="1431">
        <f>IF(AU168=1,0,IF(CH168=100,0,IF(AND(AF168=3,AU168=2),0,IF(AND(BH168=0,CT168&gt;0.4),0,IF(AND('Data Entry'!$C$74=2,AF168=1.5),0,IF(AND('Data Entry'!$C$74=2,AF168=1.6),0,IF(AND('Data Entry'!$C$74=2,AF168=4),0,IF(AND('Data Entry'!$C$74=2,AF168=5),0,IF(AND('Data Entry'!$C$74=2,AF168=2.5,CE168&lt;1),0,IF(AND('Data Entry'!$C$74=2,AF168=3,CE168&lt;1),0,IF(AND('Data Entry'!$C$74=1,AF168=2.5,CD168&lt;1),0,IF(AND('Data Entry'!$C$74=1,AF168=3,CD168&lt;1),0,IF(DX168&gt;0.01,DX168,IF(ISERROR(AX168-AY168),"",ROUND(AX168-AY168,2)))))))))))))))</f>
        <v>0</v>
      </c>
      <c r="BR168" s="146">
        <f t="shared" si="193"/>
        <v>0</v>
      </c>
      <c r="BS168" s="475">
        <f t="shared" si="194"/>
        <v>0</v>
      </c>
      <c r="BT168" s="146" t="b">
        <f t="shared" si="195"/>
        <v>0</v>
      </c>
      <c r="BU168" s="463">
        <f>IF(ISNA(AT168),0,IF(AND('Data Entry'!$C$74=2,BC168=27),0,IF(AND('Data Entry'!$C$74=2,BC168=28),0,IF(AND(BC168=27,BT168=27,CM168&gt;0.1),CM168*0.15,IF(AND(BC168=28,BT168=28,CM168&gt;0.1),CM168*0.12,0)))))</f>
        <v>0</v>
      </c>
      <c r="BV168" s="463">
        <f t="shared" si="232"/>
        <v>0</v>
      </c>
      <c r="BW168" s="463">
        <f t="shared" si="196"/>
        <v>0</v>
      </c>
      <c r="BX168" s="463">
        <f t="shared" si="197"/>
        <v>0</v>
      </c>
      <c r="BY168" s="463">
        <f t="shared" si="198"/>
        <v>0</v>
      </c>
      <c r="BZ168" s="463">
        <f t="shared" si="199"/>
        <v>0</v>
      </c>
      <c r="CA168" s="57">
        <f t="shared" si="227"/>
        <v>0</v>
      </c>
      <c r="CB168" s="56">
        <f t="shared" si="200"/>
        <v>1</v>
      </c>
      <c r="CC168" s="756">
        <f>IF(EE168=0,0,IF(EF168=0,0,IF(EE168&gt;AA168,0,IF(AND(AZ168&gt;AW168,AW168&gt;0),0,IF(CU168=0,0,Summary!AC471)))))</f>
        <v>0</v>
      </c>
      <c r="CD168" s="756">
        <f>IF(EE168=0,0,IF(EF168=0,0,IF(EE168&gt;AA168,0,IF(AND(AZ168&gt;AW168,AW168&gt;0),0,IF(CU168=0,0,Summary!AD471)))))</f>
        <v>0</v>
      </c>
      <c r="CE168" s="756">
        <f>IF(EF168=0,0,IF(EE168&gt;AA168,0,IF(CC168=0,0,IF(AND(AZ168&gt;AW168,AW168&gt;0),0,IF(CU168=0,0,Summary!AE471)))))</f>
        <v>0</v>
      </c>
      <c r="CF168" s="475">
        <f t="shared" si="201"/>
        <v>0</v>
      </c>
      <c r="CG168" s="476">
        <f t="shared" si="169"/>
        <v>0</v>
      </c>
      <c r="CH168" s="487">
        <f t="shared" si="202"/>
        <v>0</v>
      </c>
      <c r="CI168" s="756">
        <f t="shared" si="203"/>
        <v>0</v>
      </c>
      <c r="CJ168" s="487">
        <f>IF(CT168&gt;0.4,0,IF(AND(AU168=2,CH168=0,CT168=0.5,ER168=100),35,IF(AND(AU168=3,BB168&gt;75,CH168=0,CT168=0.5,ER168=100),25,IF(CB168&gt;1,0,IF(EF168&gt;EE168,0,IF(AND(AF168&gt;1,CH168=100),0,IF(AND(AF168=1,AY168=0),0,IF(AND(EF168&lt;=EE168,AW168&gt;=AZ168,'Data Entry'!$C$74=1,AU168=2),VLOOKUP(W168,$DO$96:$DP$102,2,FALSE),IF(AND(EF168&lt;=EE168,AW168&gt;=AZ168,AU168=3,'Data Entry'!$C$74=1),VLOOKUP(W168,$DO$127:$DP$134,2,FALSE))))))))))</f>
        <v>0</v>
      </c>
      <c r="CK168" s="716">
        <f t="shared" si="204"/>
        <v>0</v>
      </c>
      <c r="CL168" s="57">
        <f t="shared" si="205"/>
        <v>0</v>
      </c>
      <c r="CM168" s="475">
        <f t="shared" si="231"/>
        <v>0</v>
      </c>
      <c r="CN168" s="660">
        <f>IF(CM168&lt;0.1,0,IF(ISNA(AT168),0,IF(CL168+BC168=1,0,IF(BV168&gt;0.01,0,IF(CL168&gt;0.01,0,IF(CF168=1,0,IF(BC168=0.5,0,IF(AND(CI168=1,AU168=3),0,IF(AND(CI168=5,CL168=0),0,IF(AND(R168=12,BR168=50),0,IF(CK168&gt;0.01,0,IF(AND(AJ168&gt;0.01,AU168=2,BC168=15),CM168*0.1,IF(AND(AJ168&gt;0.01,AU168=3,BC168=15),CM168*0.08,IF(AND(R168=12,BC168=3,AF168&lt;=0),0,IF(AND(BC168=15,BI168=0),0,IF(AND(BC168=15,BJ168=0),0,IF(AND(R168=20,CU168=0),0,IF($X$4=0,0,IF(AND(BC168=250,CL168=0),0,IF(AA168&lt;1,0,IF(AND(ISNUMBER(SEARCH("Area",T168)),AU168=3),0,IF(AND(AQ168&gt;0.01,AR168=0,BK168=0,BL168=0,BM168=0,BN168=0),0,IF(AND(AU168=3,CI168=7,CT168&gt;0.5),0,IF(AND(BC168=44,AU168=3,BY168=0),0,IF(AND(BC168=27,'Data Entry'!$C$74=2),0,IF(AND(BC168=28,'Data Entry'!$C$74=2),0,IF(AND(BY168+BZ168+CA168&gt;0.01,BV168=0,EQ168+ER168+ES168+ET168&lt;100),0,IF(AU168=3,CM168*0.08,IF(AU168=2,CM168*0.1,0)))))))))))))))))))))))))))))</f>
        <v>0</v>
      </c>
      <c r="CO168" s="660">
        <f t="shared" si="206"/>
        <v>0</v>
      </c>
      <c r="CP168" s="475" t="str">
        <f t="shared" si="207"/>
        <v/>
      </c>
      <c r="CQ168" s="161" t="str">
        <f>IF(AH168=0,0,IF(AU168=5,0,Summary!AC171))</f>
        <v/>
      </c>
      <c r="CR168" s="161" t="str">
        <f>IF(BF168=0.5,0,IF(AU168=5,0,Summary!AD171))</f>
        <v/>
      </c>
      <c r="CS168" s="161" t="str">
        <f>IF(AU168=5,0,Summary!AE171)</f>
        <v/>
      </c>
      <c r="CT168" s="161">
        <f t="shared" si="208"/>
        <v>0</v>
      </c>
      <c r="CU168" s="475" t="str">
        <f t="shared" si="209"/>
        <v/>
      </c>
      <c r="CV168" s="307">
        <f>IF('Data Entry'!$C$74=0,0,IF(AA168&lt;1,0,IF(ISERROR(CU168),0,IF(CF168=1,0,IF(AND(R168=12,BR168=50),0,IF(CL168+BO168+BV168+DC168=0,0,IF(BC168=37,0,IF(AND(BC168=40,AJ168=0),0,IF(AND(BC168=37,BO168&gt;0.01,BQ168&gt;0.01),ROUND(BQ168,0),IF(CM168&lt;0,0,ROUND(CM168,0)))))))))))</f>
        <v>0</v>
      </c>
      <c r="CW168" s="700">
        <f t="shared" si="210"/>
        <v>0</v>
      </c>
      <c r="CX168" s="477">
        <f>IF('Data Entry'!$C$74=0,0,IF(CV168&lt;0.01,0,IF(BF168=0.5,0,IF(CF168=1,0,IF(ISNUMBER(SEARCH("false",CL168)),0,IF(AZ168=500,0,CL168))))))</f>
        <v>0</v>
      </c>
      <c r="CY168" s="147" t="e">
        <f t="shared" si="211"/>
        <v>#VALUE!</v>
      </c>
      <c r="CZ168" s="147" t="b">
        <f>IF(CN168+CL168=0,FALSE,IF(AH168=0,0,IF(AND('Data Entry'!$C$74=1,CR168&gt;=1),TRUE,IF(AND('Data Entry'!$C$74=2,CS168&gt;=1),TRUE,FALSE))))</f>
        <v>0</v>
      </c>
      <c r="DA168" s="1751">
        <f>IF('Data Entry'!$C$74=0,0,IFERROR(ROUND(IF(T168="","",IF($X$4=0,0,IF(CF168=1,0,IF(BQ168+CV168=0,0,IF(CF168=1,0,IF(CY168&gt;0.01,CY168,IF(CL168&gt;0.01,CL168,IF(CY168&gt;0.01,CY168,IF(BC168=37,BO168,IF(CZ168=FALSE,0,IF(CZ168=TRUE,DC168+DF168,0))))))))))),2),""))</f>
        <v>0</v>
      </c>
      <c r="DB168" s="1752"/>
      <c r="DC168" s="474">
        <f>IF(CN168&lt;0.01,0,IF(AND(BR168=3,CN168&gt;0.01,CT168&gt;0.6,ER168+ES168+ET168&lt;100),0,IF(AND('Data Entry'!$C$74=1,CN168&gt;0.01,CR168&gt;0.99),MIN(CN168:CO168),IF(AND('Data Entry'!$C$74=2,CN168&gt;0.01,CS168&gt;0.99),MIN(CN168:CO168),0))))</f>
        <v>0</v>
      </c>
      <c r="DD168" s="478">
        <f>IF(CF168=1,"Selection does not match",IF(T168=0,0,IF(AND('Data Entry'!$C$74=0,CP168&gt;1),"Select Oregon or Idaho on Data Entry Tab",IF(AND(AU168=1,AA168&gt;0.9),"Missing Interior or Exterior Selection",IF($X$4=0,"Enter Total Project Cost",IF(AQ168&lt;AR168,"Insufficient kWh savings – no incentive",IF(AND(SUM(CL168+CK168+BV168)&gt;0.01,'Data Entry'!$C$74=2,CJ168&gt;1,BO168=0),"Submit Control as Non-Standard",IF(AND('Data Entry'!$C$74=2,BR168=37,CJ168&gt;1,BO168=0),"Submit Control as Non-Standard",IF(SUM(CL168+CK168+BV168)&gt;0.01,"Standard Incentive",IF(AND('Data Entry'!$C$74=2,CP168=7,CN168=0),"Submit as Non-Standard",IF(DC168&gt;0.9,"Non-Standard Incentive",IF(AND(BY168+BZ168+CA168&gt;0.01,BV168=0,EQ168=0,ER168=0,ES168=0,ET168=0),"Scroll Right &amp; Select Control Strategies",IF(AND(CN168&gt;0.01,CO168=0),"Enter Unit Installed Cost",IF(ISNUMBER(SEARCH("Lighting Controls Only",F168)),"Lighting Controls Only",IF(CL168+DC168=0,"Does not meet incentive criteria",0)))))))))))))))</f>
        <v>0</v>
      </c>
      <c r="DE168" s="337">
        <f t="shared" si="212"/>
        <v>0</v>
      </c>
      <c r="DF168" s="609">
        <f t="shared" si="213"/>
        <v>0</v>
      </c>
      <c r="DG168" s="336" t="str">
        <f t="shared" si="214"/>
        <v/>
      </c>
      <c r="DH168" s="338">
        <f t="shared" si="215"/>
        <v>1</v>
      </c>
      <c r="DI168" s="336" t="e">
        <f t="shared" si="170"/>
        <v>#VALUE!</v>
      </c>
      <c r="DJ168" s="338">
        <f t="shared" si="171"/>
        <v>0</v>
      </c>
      <c r="DK168" s="325" t="s">
        <v>73</v>
      </c>
      <c r="DL168" s="341" t="s">
        <v>450</v>
      </c>
      <c r="DM168" s="340" t="s">
        <v>162</v>
      </c>
      <c r="DN168" s="820">
        <v>16</v>
      </c>
      <c r="DO168" s="375"/>
      <c r="DP168" s="332"/>
      <c r="DQ168" s="331"/>
      <c r="DR168" s="357"/>
      <c r="DS168" s="1195">
        <f t="shared" si="216"/>
        <v>0</v>
      </c>
      <c r="DT168" s="344" t="b">
        <f t="shared" si="217"/>
        <v>1</v>
      </c>
      <c r="DU168" s="1314" t="str">
        <f t="array" ref="DU168">IF(OR(COUNTIF(F168,"*"&amp;$DK$9:$DK$178&amp;"*")), "Yes", "")</f>
        <v/>
      </c>
      <c r="DV168" s="1314">
        <f t="shared" si="218"/>
        <v>0</v>
      </c>
      <c r="DW168" s="1480">
        <f t="shared" si="219"/>
        <v>0</v>
      </c>
      <c r="DX168" s="1498">
        <f t="shared" si="228"/>
        <v>0</v>
      </c>
      <c r="DY168" s="1484">
        <f t="shared" si="220"/>
        <v>0</v>
      </c>
      <c r="DZ168" s="331"/>
      <c r="EA168" s="392"/>
      <c r="EB168" s="1499" t="s">
        <v>1380</v>
      </c>
      <c r="EC168" s="727" t="s">
        <v>1568</v>
      </c>
      <c r="ED168" s="728">
        <v>0.5</v>
      </c>
      <c r="EE168" s="1215"/>
      <c r="EF168" s="1215"/>
      <c r="EG168" s="1184" t="str">
        <f t="shared" si="221"/>
        <v/>
      </c>
      <c r="EH168" s="55"/>
      <c r="EI168" s="55"/>
      <c r="EJ168" s="1185">
        <f t="shared" si="172"/>
        <v>0</v>
      </c>
      <c r="EK168" s="1211"/>
      <c r="EL168" s="1180">
        <f t="shared" si="173"/>
        <v>0</v>
      </c>
      <c r="EM168" s="206"/>
      <c r="EN168" s="1038"/>
      <c r="EO168" s="1038"/>
      <c r="EP168" s="1038"/>
      <c r="EQ168" s="1038">
        <f t="shared" si="222"/>
        <v>0</v>
      </c>
      <c r="ER168" s="1041">
        <f t="shared" si="223"/>
        <v>0</v>
      </c>
      <c r="ES168" s="1042">
        <f t="shared" si="224"/>
        <v>0</v>
      </c>
      <c r="ET168" s="1042">
        <f t="shared" si="229"/>
        <v>0</v>
      </c>
      <c r="EU168" s="1021">
        <f t="shared" si="230"/>
        <v>0</v>
      </c>
      <c r="EV168" s="368"/>
      <c r="EW168" s="368"/>
      <c r="EX168" s="369"/>
      <c r="EY168" s="370"/>
      <c r="EZ168" s="370"/>
      <c r="FA168" s="371"/>
      <c r="FB168" s="372"/>
    </row>
    <row r="169" spans="1:158" ht="34.5" customHeight="1">
      <c r="A169" s="82">
        <v>161</v>
      </c>
      <c r="B169" s="1725"/>
      <c r="C169" s="1726"/>
      <c r="D169" s="1726"/>
      <c r="E169" s="1727"/>
      <c r="F169" s="1732"/>
      <c r="G169" s="1733"/>
      <c r="H169" s="1733"/>
      <c r="I169" s="1734"/>
      <c r="J169" s="1341"/>
      <c r="K169" s="1728"/>
      <c r="L169" s="1728"/>
      <c r="M169" s="1342"/>
      <c r="N169" s="1583"/>
      <c r="O169" s="208" t="str">
        <f t="shared" si="160"/>
        <v/>
      </c>
      <c r="P169" s="785"/>
      <c r="Q169" s="39" t="str">
        <f t="shared" si="161"/>
        <v/>
      </c>
      <c r="R169" s="39">
        <f t="shared" si="174"/>
        <v>0</v>
      </c>
      <c r="S169" s="234">
        <f t="shared" si="175"/>
        <v>0</v>
      </c>
      <c r="T169" s="1755"/>
      <c r="U169" s="1755"/>
      <c r="V169" s="1755"/>
      <c r="W169" s="1345"/>
      <c r="X169" s="1741"/>
      <c r="Y169" s="1742"/>
      <c r="Z169" s="1346"/>
      <c r="AA169" s="1343"/>
      <c r="AB169" s="1141"/>
      <c r="AC169" s="1103" t="str">
        <f>IF(T169="","",VLOOKUP(Z169,Lists!$A$60:$B$111,2,FALSE))</f>
        <v/>
      </c>
      <c r="AD169" s="130" t="str">
        <f t="shared" si="176"/>
        <v/>
      </c>
      <c r="AE169" s="130" t="e">
        <f t="shared" si="177"/>
        <v>#VALUE!</v>
      </c>
      <c r="AF169" s="130">
        <f t="shared" si="178"/>
        <v>1</v>
      </c>
      <c r="AG169" s="234">
        <f t="shared" si="162"/>
        <v>0</v>
      </c>
      <c r="AH169" s="1753" t="str">
        <f>IF(T169="","",(IF(ISNUMBER(SEARCH("exit",T169)),8760,IF(AND(M169="Dusk to Dawn",'Proposed Lighting'!AU169=3),4059,IF(AND(AU169=3,M169="1"),0,IF(AND(AU169=3,M169="1-C"),0,IF(AND(AU169=3,M169="2"),0,IF(AND(AU169=3,M169="2-C"),0,IF(AND(AU169=3,M169="3"),0,IF(AND(AU169=3,M169="3-C"),0,IF(AND(AU169=2,M169="Dusk to Dawn"),0,IF(AND(AU169=2,M169="Dusk to Dawn-C"),0,IF(AND(AU169=2,M169="Dusk to Dawn"),0,IF(AND(AU169=2,M169="E"),0,IF(AND(AU169=2,M169="E-C"),0,EG169)))))))))))))))</f>
        <v/>
      </c>
      <c r="AI169" s="1754"/>
      <c r="AJ169" s="1136"/>
      <c r="AK169" s="1136"/>
      <c r="AL169" s="1748">
        <f t="shared" si="179"/>
        <v>0</v>
      </c>
      <c r="AM169" s="1749"/>
      <c r="AN169" s="1750"/>
      <c r="AO169" s="476">
        <f t="shared" si="163"/>
        <v>0</v>
      </c>
      <c r="AP169" s="476">
        <f t="shared" si="180"/>
        <v>0</v>
      </c>
      <c r="AQ169" s="475">
        <f t="shared" si="164"/>
        <v>0</v>
      </c>
      <c r="AR169" s="475">
        <f t="shared" si="181"/>
        <v>0</v>
      </c>
      <c r="AS169" s="743" t="str">
        <f t="shared" si="233"/>
        <v/>
      </c>
      <c r="AT169" s="736" t="str">
        <f t="shared" si="182"/>
        <v/>
      </c>
      <c r="AU169" s="56">
        <f t="shared" si="183"/>
        <v>1</v>
      </c>
      <c r="AV169" s="476">
        <f t="shared" si="184"/>
        <v>0</v>
      </c>
      <c r="AW169" s="56">
        <f t="shared" si="185"/>
        <v>0</v>
      </c>
      <c r="AX169" s="475">
        <f t="shared" si="165"/>
        <v>0</v>
      </c>
      <c r="AY169" s="1169">
        <f t="shared" si="186"/>
        <v>0</v>
      </c>
      <c r="AZ169" s="1150">
        <f t="shared" si="225"/>
        <v>0</v>
      </c>
      <c r="BA169" s="56">
        <f t="shared" si="166"/>
        <v>0</v>
      </c>
      <c r="BB169" s="420">
        <f t="shared" si="167"/>
        <v>0</v>
      </c>
      <c r="BC169" s="58" t="str">
        <f t="shared" si="168"/>
        <v/>
      </c>
      <c r="BD169" s="660">
        <f t="shared" si="226"/>
        <v>0</v>
      </c>
      <c r="BE169" s="57" t="e">
        <f t="array" ref="BE169">INDEX($EB$11:$ED$1022,MATCH(F169&amp;T169,$EB$11:$EB$1007&amp;$EC$11:$EC$1007,0),3)</f>
        <v>#N/A</v>
      </c>
      <c r="BF169" s="463">
        <f t="shared" si="157"/>
        <v>0</v>
      </c>
      <c r="BG169" s="1445" t="e">
        <f t="array" ref="BG169">INDEX($DO$112:$DQ$123,MATCH(T169&amp;W169,$DO$114:$DO$125&amp;$DP$112:$DP$123,0),3)</f>
        <v>#N/A</v>
      </c>
      <c r="BH169" s="1446">
        <f t="shared" si="187"/>
        <v>0</v>
      </c>
      <c r="BI169" s="465">
        <f t="shared" si="188"/>
        <v>0</v>
      </c>
      <c r="BJ169" s="465">
        <f t="shared" si="189"/>
        <v>0</v>
      </c>
      <c r="BK169" s="466">
        <f t="shared" si="158"/>
        <v>0</v>
      </c>
      <c r="BL169" s="466">
        <f t="shared" si="159"/>
        <v>0</v>
      </c>
      <c r="BM169" s="466">
        <f t="shared" si="190"/>
        <v>0</v>
      </c>
      <c r="BN169" s="466">
        <f t="shared" si="191"/>
        <v>0</v>
      </c>
      <c r="BO169" s="463">
        <f>IF('Data Entry'!$C$74=0,0,IF(ISNA(CJ169),0,IF(AX169=0,0,IF(AND('Data Entry'!$C$74=2,AF169&gt;2,CE169&lt;1),0,IF(AND('Data Entry'!$C$74=2,AF169&gt;1,AU169=2,CJ169&gt;1),0,IF(AND(AF169=5,CT169=0.5,AU169=2,ER169&lt;100),0,IF(AND(AF169=5,CT169=0.5,AU169=3,ER169&lt;100),0,IF(AND('Data Entry'!$C$74=2,AF169=2,AU169=2,AK169&gt;0.01,CB169=2,CE169&lt;1),0,IF(AND('Data Entry'!$C$74=2,AF169=3,AU169=3,AK169&gt;0.01,CB169=3,CE169&lt;1),0,IF(AND('Data Entry'!$C$74=2,AF169=3,AU169=3,AK169&gt;0.01,CB169=3,CE169&gt;0.99),BQ169*0.08,IF(AND('Data Entry'!$C$74=2,AF169=2,AU169=2,AK169&gt;0.01,CB169=2,CE169&gt;0.99),BQ169*0.1,IF(AND(AU169=2,AK169&gt;0.01,CB169=2,CD169&gt;1),BQ169*0.1,IF(AND(AU169=3,AK169&gt;0.01,CB169=3,CD169&gt;1),BQ169*0.08,CJ169*EF169)))))))))))))</f>
        <v>0</v>
      </c>
      <c r="BP169" s="475">
        <f t="shared" si="192"/>
        <v>0</v>
      </c>
      <c r="BQ169" s="1431">
        <f>IF(AU169=1,0,IF(CH169=100,0,IF(AND(AF169=3,AU169=2),0,IF(AND(BH169=0,CT169&gt;0.4),0,IF(AND('Data Entry'!$C$74=2,AF169=1.5),0,IF(AND('Data Entry'!$C$74=2,AF169=1.6),0,IF(AND('Data Entry'!$C$74=2,AF169=4),0,IF(AND('Data Entry'!$C$74=2,AF169=5),0,IF(AND('Data Entry'!$C$74=2,AF169=2.5,CE169&lt;1),0,IF(AND('Data Entry'!$C$74=2,AF169=3,CE169&lt;1),0,IF(AND('Data Entry'!$C$74=1,AF169=2.5,CD169&lt;1),0,IF(AND('Data Entry'!$C$74=1,AF169=3,CD169&lt;1),0,IF(DX169&gt;0.01,DX169,IF(ISERROR(AX169-AY169),"",ROUND(AX169-AY169,2)))))))))))))))</f>
        <v>0</v>
      </c>
      <c r="BR169" s="146">
        <f t="shared" si="193"/>
        <v>0</v>
      </c>
      <c r="BS169" s="475">
        <f t="shared" si="194"/>
        <v>0</v>
      </c>
      <c r="BT169" s="146" t="b">
        <f t="shared" si="195"/>
        <v>0</v>
      </c>
      <c r="BU169" s="463">
        <f>IF(ISNA(AT169),0,IF(AND('Data Entry'!$C$74=2,BC169=27),0,IF(AND('Data Entry'!$C$74=2,BC169=28),0,IF(AND(BC169=27,BT169=27,CM169&gt;0.1),CM169*0.15,IF(AND(BC169=28,BT169=28,CM169&gt;0.1),CM169*0.12,0)))))</f>
        <v>0</v>
      </c>
      <c r="BV169" s="463">
        <f t="shared" si="232"/>
        <v>0</v>
      </c>
      <c r="BW169" s="463">
        <f t="shared" si="196"/>
        <v>0</v>
      </c>
      <c r="BX169" s="463">
        <f t="shared" si="197"/>
        <v>0</v>
      </c>
      <c r="BY169" s="463">
        <f t="shared" si="198"/>
        <v>0</v>
      </c>
      <c r="BZ169" s="463">
        <f t="shared" si="199"/>
        <v>0</v>
      </c>
      <c r="CA169" s="57">
        <f t="shared" si="227"/>
        <v>0</v>
      </c>
      <c r="CB169" s="56">
        <f t="shared" si="200"/>
        <v>1</v>
      </c>
      <c r="CC169" s="756">
        <f>IF(EE169=0,0,IF(EF169=0,0,IF(EE169&gt;AA169,0,IF(AND(AZ169&gt;AW169,AW169&gt;0),0,IF(CU169=0,0,Summary!AC472)))))</f>
        <v>0</v>
      </c>
      <c r="CD169" s="756">
        <f>IF(EE169=0,0,IF(EF169=0,0,IF(EE169&gt;AA169,0,IF(AND(AZ169&gt;AW169,AW169&gt;0),0,IF(CU169=0,0,Summary!AD472)))))</f>
        <v>0</v>
      </c>
      <c r="CE169" s="756">
        <f>IF(EF169=0,0,IF(EE169&gt;AA169,0,IF(CC169=0,0,IF(AND(AZ169&gt;AW169,AW169&gt;0),0,IF(CU169=0,0,Summary!AE472)))))</f>
        <v>0</v>
      </c>
      <c r="CF169" s="475">
        <f t="shared" si="201"/>
        <v>0</v>
      </c>
      <c r="CG169" s="476">
        <f t="shared" si="169"/>
        <v>0</v>
      </c>
      <c r="CH169" s="487">
        <f t="shared" si="202"/>
        <v>0</v>
      </c>
      <c r="CI169" s="756">
        <f t="shared" si="203"/>
        <v>0</v>
      </c>
      <c r="CJ169" s="487">
        <f>IF(CT169&gt;0.4,0,IF(AND(AU169=2,CH169=0,CT169=0.5,ER169=100),35,IF(AND(AU169=3,BB169&gt;75,CH169=0,CT169=0.5,ER169=100),25,IF(CB169&gt;1,0,IF(EF169&gt;EE169,0,IF(AND(AF169&gt;1,CH169=100),0,IF(AND(AF169=1,AY169=0),0,IF(AND(EF169&lt;=EE169,AW169&gt;=AZ169,'Data Entry'!$C$74=1,AU169=2),VLOOKUP(W169,$DO$96:$DP$102,2,FALSE),IF(AND(EF169&lt;=EE169,AW169&gt;=AZ169,AU169=3,'Data Entry'!$C$74=1),VLOOKUP(W169,$DO$127:$DP$134,2,FALSE))))))))))</f>
        <v>0</v>
      </c>
      <c r="CK169" s="716">
        <f t="shared" si="204"/>
        <v>0</v>
      </c>
      <c r="CL169" s="57">
        <f t="shared" si="205"/>
        <v>0</v>
      </c>
      <c r="CM169" s="475">
        <f t="shared" si="231"/>
        <v>0</v>
      </c>
      <c r="CN169" s="660">
        <f>IF(CM169&lt;0.1,0,IF(ISNA(AT169),0,IF(CL169+BC169=1,0,IF(BV169&gt;0.01,0,IF(CL169&gt;0.01,0,IF(CF169=1,0,IF(BC169=0.5,0,IF(AND(CI169=1,AU169=3),0,IF(AND(CI169=5,CL169=0),0,IF(AND(R169=12,BR169=50),0,IF(CK169&gt;0.01,0,IF(AND(AJ169&gt;0.01,AU169=2,BC169=15),CM169*0.1,IF(AND(AJ169&gt;0.01,AU169=3,BC169=15),CM169*0.08,IF(AND(R169=12,BC169=3,AF169&lt;=0),0,IF(AND(BC169=15,BI169=0),0,IF(AND(BC169=15,BJ169=0),0,IF(AND(R169=20,CU169=0),0,IF($X$4=0,0,IF(AND(BC169=250,CL169=0),0,IF(AA169&lt;1,0,IF(AND(ISNUMBER(SEARCH("Area",T169)),AU169=3),0,IF(AND(AQ169&gt;0.01,AR169=0,BK169=0,BL169=0,BM169=0,BN169=0),0,IF(AND(AU169=3,CI169=7,CT169&gt;0.5),0,IF(AND(BC169=44,AU169=3,BY169=0),0,IF(AND(BC169=27,'Data Entry'!$C$74=2),0,IF(AND(BC169=28,'Data Entry'!$C$74=2),0,IF(AND(BY169+BZ169+CA169&gt;0.01,BV169=0,EQ169+ER169+ES169+ET169&lt;100),0,IF(AU169=3,CM169*0.08,IF(AU169=2,CM169*0.1,0)))))))))))))))))))))))))))))</f>
        <v>0</v>
      </c>
      <c r="CO169" s="660">
        <f t="shared" si="206"/>
        <v>0</v>
      </c>
      <c r="CP169" s="475" t="str">
        <f t="shared" si="207"/>
        <v/>
      </c>
      <c r="CQ169" s="161" t="str">
        <f>IF(AH169=0,0,IF(AU169=5,0,Summary!AC172))</f>
        <v/>
      </c>
      <c r="CR169" s="161" t="str">
        <f>IF(BF169=0.5,0,IF(AU169=5,0,Summary!AD172))</f>
        <v/>
      </c>
      <c r="CS169" s="161" t="str">
        <f>IF(AU169=5,0,Summary!AE172)</f>
        <v/>
      </c>
      <c r="CT169" s="161">
        <f t="shared" si="208"/>
        <v>0</v>
      </c>
      <c r="CU169" s="475" t="str">
        <f t="shared" si="209"/>
        <v/>
      </c>
      <c r="CV169" s="307">
        <f>IF('Data Entry'!$C$74=0,0,IF(AA169&lt;1,0,IF(ISERROR(CU169),0,IF(CF169=1,0,IF(AND(R169=12,BR169=50),0,IF(CL169+BO169+BV169+DC169=0,0,IF(BC169=37,0,IF(AND(BC169=40,AJ169=0),0,IF(AND(BC169=37,BO169&gt;0.01,BQ169&gt;0.01),ROUND(BQ169,0),IF(CM169&lt;0,0,ROUND(CM169,0)))))))))))</f>
        <v>0</v>
      </c>
      <c r="CW169" s="700">
        <f t="shared" si="210"/>
        <v>0</v>
      </c>
      <c r="CX169" s="477">
        <f>IF('Data Entry'!$C$74=0,0,IF(CV169&lt;0.01,0,IF(BF169=0.5,0,IF(CF169=1,0,IF(ISNUMBER(SEARCH("false",CL169)),0,IF(AZ169=500,0,CL169))))))</f>
        <v>0</v>
      </c>
      <c r="CY169" s="147" t="e">
        <f t="shared" si="211"/>
        <v>#VALUE!</v>
      </c>
      <c r="CZ169" s="147" t="b">
        <f>IF(CN169+CL169=0,FALSE,IF(AH169=0,0,IF(AND('Data Entry'!$C$74=1,CR169&gt;=1),TRUE,IF(AND('Data Entry'!$C$74=2,CS169&gt;=1),TRUE,FALSE))))</f>
        <v>0</v>
      </c>
      <c r="DA169" s="1751">
        <f>IF('Data Entry'!$C$74=0,0,IFERROR(ROUND(IF(T169="","",IF($X$4=0,0,IF(CF169=1,0,IF(BQ169+CV169=0,0,IF(CF169=1,0,IF(CY169&gt;0.01,CY169,IF(CL169&gt;0.01,CL169,IF(CY169&gt;0.01,CY169,IF(BC169=37,BO169,IF(CZ169=FALSE,0,IF(CZ169=TRUE,DC169+DF169,0))))))))))),2),""))</f>
        <v>0</v>
      </c>
      <c r="DB169" s="1752"/>
      <c r="DC169" s="474">
        <f>IF(CN169&lt;0.01,0,IF(AND(BR169=3,CN169&gt;0.01,CT169&gt;0.6,ER169+ES169+ET169&lt;100),0,IF(AND('Data Entry'!$C$74=1,CN169&gt;0.01,CR169&gt;0.99),MIN(CN169:CO169),IF(AND('Data Entry'!$C$74=2,CN169&gt;0.01,CS169&gt;0.99),MIN(CN169:CO169),0))))</f>
        <v>0</v>
      </c>
      <c r="DD169" s="478">
        <f>IF(CF169=1,"Selection does not match",IF(T169=0,0,IF(AND('Data Entry'!$C$74=0,CP169&gt;1),"Select Oregon or Idaho on Data Entry Tab",IF(AND(AU169=1,AA169&gt;0.9),"Missing Interior or Exterior Selection",IF($X$4=0,"Enter Total Project Cost",IF(AQ169&lt;AR169,"Insufficient kWh savings – no incentive",IF(AND(SUM(CL169+CK169+BV169)&gt;0.01,'Data Entry'!$C$74=2,CJ169&gt;1,BO169=0),"Submit Control as Non-Standard",IF(AND('Data Entry'!$C$74=2,BR169=37,CJ169&gt;1,BO169=0),"Submit Control as Non-Standard",IF(SUM(CL169+CK169+BV169)&gt;0.01,"Standard Incentive",IF(AND('Data Entry'!$C$74=2,CP169=7,CN169=0),"Submit as Non-Standard",IF(DC169&gt;0.9,"Non-Standard Incentive",IF(AND(BY169+BZ169+CA169&gt;0.01,BV169=0,EQ169=0,ER169=0,ES169=0,ET169=0),"Scroll Right &amp; Select Control Strategies",IF(AND(CN169&gt;0.01,CO169=0),"Enter Unit Installed Cost",IF(ISNUMBER(SEARCH("Lighting Controls Only",F169)),"Lighting Controls Only",IF(CL169+DC169=0,"Does not meet incentive criteria",0)))))))))))))))</f>
        <v>0</v>
      </c>
      <c r="DE169" s="337">
        <f t="shared" si="212"/>
        <v>0</v>
      </c>
      <c r="DF169" s="609">
        <f t="shared" si="213"/>
        <v>0</v>
      </c>
      <c r="DG169" s="336" t="str">
        <f t="shared" si="214"/>
        <v/>
      </c>
      <c r="DH169" s="338">
        <f t="shared" si="215"/>
        <v>1</v>
      </c>
      <c r="DI169" s="336" t="e">
        <f t="shared" si="170"/>
        <v>#VALUE!</v>
      </c>
      <c r="DJ169" s="338">
        <f t="shared" si="171"/>
        <v>0</v>
      </c>
      <c r="DK169" s="325" t="s">
        <v>1285</v>
      </c>
      <c r="DL169" s="341" t="s">
        <v>450</v>
      </c>
      <c r="DM169" s="340" t="s">
        <v>163</v>
      </c>
      <c r="DN169" s="820">
        <v>24</v>
      </c>
      <c r="DO169" s="375"/>
      <c r="DP169" s="332"/>
      <c r="DQ169" s="331"/>
      <c r="DR169" s="357"/>
      <c r="DS169" s="1195">
        <f t="shared" si="216"/>
        <v>0</v>
      </c>
      <c r="DT169" s="344" t="b">
        <f t="shared" si="217"/>
        <v>1</v>
      </c>
      <c r="DU169" s="1314" t="str">
        <f t="array" ref="DU169">IF(OR(COUNTIF(F169,"*"&amp;$DK$9:$DK$178&amp;"*")), "Yes", "")</f>
        <v/>
      </c>
      <c r="DV169" s="1314">
        <f t="shared" si="218"/>
        <v>0</v>
      </c>
      <c r="DW169" s="1480">
        <f t="shared" si="219"/>
        <v>0</v>
      </c>
      <c r="DX169" s="1498">
        <f t="shared" si="228"/>
        <v>0</v>
      </c>
      <c r="DY169" s="1484">
        <f t="shared" si="220"/>
        <v>0</v>
      </c>
      <c r="DZ169" s="331"/>
      <c r="EA169" s="392"/>
      <c r="EB169" s="1499" t="s">
        <v>101</v>
      </c>
      <c r="EC169" s="727" t="s">
        <v>1568</v>
      </c>
      <c r="ED169" s="728">
        <v>0.5</v>
      </c>
      <c r="EE169" s="1215"/>
      <c r="EF169" s="1215"/>
      <c r="EG169" s="1184" t="str">
        <f t="shared" si="221"/>
        <v/>
      </c>
      <c r="EH169" s="55"/>
      <c r="EI169" s="55"/>
      <c r="EJ169" s="1185">
        <f t="shared" si="172"/>
        <v>0</v>
      </c>
      <c r="EK169" s="1211"/>
      <c r="EL169" s="1180">
        <f t="shared" si="173"/>
        <v>0</v>
      </c>
      <c r="EM169" s="206"/>
      <c r="EN169" s="1038"/>
      <c r="EO169" s="1038"/>
      <c r="EP169" s="1038"/>
      <c r="EQ169" s="1038">
        <f t="shared" si="222"/>
        <v>0</v>
      </c>
      <c r="ER169" s="1041">
        <f t="shared" si="223"/>
        <v>0</v>
      </c>
      <c r="ES169" s="1042">
        <f t="shared" si="224"/>
        <v>0</v>
      </c>
      <c r="ET169" s="1042">
        <f t="shared" si="229"/>
        <v>0</v>
      </c>
      <c r="EU169" s="1021">
        <f t="shared" si="230"/>
        <v>0</v>
      </c>
      <c r="EV169" s="368"/>
      <c r="EW169" s="368"/>
      <c r="EX169" s="369"/>
      <c r="EY169" s="370"/>
      <c r="EZ169" s="370"/>
      <c r="FA169" s="371"/>
      <c r="FB169" s="372"/>
    </row>
    <row r="170" spans="1:158" ht="34.5" customHeight="1">
      <c r="A170" s="82">
        <v>162</v>
      </c>
      <c r="B170" s="1725"/>
      <c r="C170" s="1726"/>
      <c r="D170" s="1726"/>
      <c r="E170" s="1727"/>
      <c r="F170" s="1732"/>
      <c r="G170" s="1733"/>
      <c r="H170" s="1733"/>
      <c r="I170" s="1734"/>
      <c r="J170" s="1341"/>
      <c r="K170" s="1728"/>
      <c r="L170" s="1728"/>
      <c r="M170" s="1342"/>
      <c r="N170" s="1583"/>
      <c r="O170" s="208" t="str">
        <f t="shared" si="160"/>
        <v/>
      </c>
      <c r="P170" s="785"/>
      <c r="Q170" s="39" t="str">
        <f t="shared" si="161"/>
        <v/>
      </c>
      <c r="R170" s="39">
        <f t="shared" si="174"/>
        <v>0</v>
      </c>
      <c r="S170" s="234">
        <f t="shared" si="175"/>
        <v>0</v>
      </c>
      <c r="T170" s="1755"/>
      <c r="U170" s="1755"/>
      <c r="V170" s="1755"/>
      <c r="W170" s="1345"/>
      <c r="X170" s="1741"/>
      <c r="Y170" s="1742"/>
      <c r="Z170" s="1346"/>
      <c r="AA170" s="1343"/>
      <c r="AB170" s="1141"/>
      <c r="AC170" s="1103" t="str">
        <f>IF(T170="","",VLOOKUP(Z170,Lists!$A$60:$B$111,2,FALSE))</f>
        <v/>
      </c>
      <c r="AD170" s="130" t="str">
        <f t="shared" si="176"/>
        <v/>
      </c>
      <c r="AE170" s="130" t="e">
        <f t="shared" si="177"/>
        <v>#VALUE!</v>
      </c>
      <c r="AF170" s="130">
        <f t="shared" si="178"/>
        <v>1</v>
      </c>
      <c r="AG170" s="234">
        <f t="shared" si="162"/>
        <v>0</v>
      </c>
      <c r="AH170" s="1753" t="str">
        <f>IF(T170="","",(IF(ISNUMBER(SEARCH("exit",T170)),8760,IF(AND(M170="Dusk to Dawn",'Proposed Lighting'!AU170=3),4059,IF(AND(AU170=3,M170="1"),0,IF(AND(AU170=3,M170="1-C"),0,IF(AND(AU170=3,M170="2"),0,IF(AND(AU170=3,M170="2-C"),0,IF(AND(AU170=3,M170="3"),0,IF(AND(AU170=3,M170="3-C"),0,IF(AND(AU170=2,M170="Dusk to Dawn"),0,IF(AND(AU170=2,M170="Dusk to Dawn-C"),0,IF(AND(AU170=2,M170="Dusk to Dawn"),0,IF(AND(AU170=2,M170="E"),0,IF(AND(AU170=2,M170="E-C"),0,EG170)))))))))))))))</f>
        <v/>
      </c>
      <c r="AI170" s="1754"/>
      <c r="AJ170" s="1136"/>
      <c r="AK170" s="1136"/>
      <c r="AL170" s="1748">
        <f t="shared" si="179"/>
        <v>0</v>
      </c>
      <c r="AM170" s="1749"/>
      <c r="AN170" s="1750"/>
      <c r="AO170" s="476">
        <f t="shared" si="163"/>
        <v>0</v>
      </c>
      <c r="AP170" s="476">
        <f t="shared" si="180"/>
        <v>0</v>
      </c>
      <c r="AQ170" s="475">
        <f t="shared" si="164"/>
        <v>0</v>
      </c>
      <c r="AR170" s="475">
        <f t="shared" si="181"/>
        <v>0</v>
      </c>
      <c r="AS170" s="743" t="str">
        <f t="shared" si="233"/>
        <v/>
      </c>
      <c r="AT170" s="736" t="str">
        <f t="shared" si="182"/>
        <v/>
      </c>
      <c r="AU170" s="56">
        <f t="shared" si="183"/>
        <v>1</v>
      </c>
      <c r="AV170" s="476">
        <f t="shared" si="184"/>
        <v>0</v>
      </c>
      <c r="AW170" s="56">
        <f t="shared" si="185"/>
        <v>0</v>
      </c>
      <c r="AX170" s="475">
        <f t="shared" si="165"/>
        <v>0</v>
      </c>
      <c r="AY170" s="1169">
        <f t="shared" si="186"/>
        <v>0</v>
      </c>
      <c r="AZ170" s="1150">
        <f t="shared" si="225"/>
        <v>0</v>
      </c>
      <c r="BA170" s="56">
        <f t="shared" si="166"/>
        <v>0</v>
      </c>
      <c r="BB170" s="420">
        <f t="shared" si="167"/>
        <v>0</v>
      </c>
      <c r="BC170" s="58" t="str">
        <f t="shared" si="168"/>
        <v/>
      </c>
      <c r="BD170" s="660">
        <f t="shared" si="226"/>
        <v>0</v>
      </c>
      <c r="BE170" s="57" t="e">
        <f t="array" ref="BE170">INDEX($EB$11:$ED$1022,MATCH(F170&amp;T170,$EB$11:$EB$1007&amp;$EC$11:$EC$1007,0),3)</f>
        <v>#N/A</v>
      </c>
      <c r="BF170" s="463">
        <f t="shared" si="157"/>
        <v>0</v>
      </c>
      <c r="BG170" s="1445" t="e">
        <f t="array" ref="BG170">INDEX($DO$112:$DQ$123,MATCH(T170&amp;W170,$DO$114:$DO$125&amp;$DP$112:$DP$123,0),3)</f>
        <v>#N/A</v>
      </c>
      <c r="BH170" s="1446">
        <f t="shared" si="187"/>
        <v>0</v>
      </c>
      <c r="BI170" s="465">
        <f t="shared" si="188"/>
        <v>0</v>
      </c>
      <c r="BJ170" s="465">
        <f t="shared" si="189"/>
        <v>0</v>
      </c>
      <c r="BK170" s="466">
        <f t="shared" si="158"/>
        <v>0</v>
      </c>
      <c r="BL170" s="466">
        <f t="shared" si="159"/>
        <v>0</v>
      </c>
      <c r="BM170" s="466">
        <f t="shared" si="190"/>
        <v>0</v>
      </c>
      <c r="BN170" s="466">
        <f t="shared" si="191"/>
        <v>0</v>
      </c>
      <c r="BO170" s="463">
        <f>IF('Data Entry'!$C$74=0,0,IF(ISNA(CJ170),0,IF(AX170=0,0,IF(AND('Data Entry'!$C$74=2,AF170&gt;2,CE170&lt;1),0,IF(AND('Data Entry'!$C$74=2,AF170&gt;1,AU170=2,CJ170&gt;1),0,IF(AND(AF170=5,CT170=0.5,AU170=2,ER170&lt;100),0,IF(AND(AF170=5,CT170=0.5,AU170=3,ER170&lt;100),0,IF(AND('Data Entry'!$C$74=2,AF170=2,AU170=2,AK170&gt;0.01,CB170=2,CE170&lt;1),0,IF(AND('Data Entry'!$C$74=2,AF170=3,AU170=3,AK170&gt;0.01,CB170=3,CE170&lt;1),0,IF(AND('Data Entry'!$C$74=2,AF170=3,AU170=3,AK170&gt;0.01,CB170=3,CE170&gt;0.99),BQ170*0.08,IF(AND('Data Entry'!$C$74=2,AF170=2,AU170=2,AK170&gt;0.01,CB170=2,CE170&gt;0.99),BQ170*0.1,IF(AND(AU170=2,AK170&gt;0.01,CB170=2,CD170&gt;1),BQ170*0.1,IF(AND(AU170=3,AK170&gt;0.01,CB170=3,CD170&gt;1),BQ170*0.08,CJ170*EF170)))))))))))))</f>
        <v>0</v>
      </c>
      <c r="BP170" s="475">
        <f t="shared" si="192"/>
        <v>0</v>
      </c>
      <c r="BQ170" s="1431">
        <f>IF(AU170=1,0,IF(CH170=100,0,IF(AND(AF170=3,AU170=2),0,IF(AND(BH170=0,CT170&gt;0.4),0,IF(AND('Data Entry'!$C$74=2,AF170=1.5),0,IF(AND('Data Entry'!$C$74=2,AF170=1.6),0,IF(AND('Data Entry'!$C$74=2,AF170=4),0,IF(AND('Data Entry'!$C$74=2,AF170=5),0,IF(AND('Data Entry'!$C$74=2,AF170=2.5,CE170&lt;1),0,IF(AND('Data Entry'!$C$74=2,AF170=3,CE170&lt;1),0,IF(AND('Data Entry'!$C$74=1,AF170=2.5,CD170&lt;1),0,IF(AND('Data Entry'!$C$74=1,AF170=3,CD170&lt;1),0,IF(DX170&gt;0.01,DX170,IF(ISERROR(AX170-AY170),"",ROUND(AX170-AY170,2)))))))))))))))</f>
        <v>0</v>
      </c>
      <c r="BR170" s="146">
        <f t="shared" si="193"/>
        <v>0</v>
      </c>
      <c r="BS170" s="475">
        <f t="shared" si="194"/>
        <v>0</v>
      </c>
      <c r="BT170" s="146" t="b">
        <f t="shared" si="195"/>
        <v>0</v>
      </c>
      <c r="BU170" s="463">
        <f>IF(ISNA(AT170),0,IF(AND('Data Entry'!$C$74=2,BC170=27),0,IF(AND('Data Entry'!$C$74=2,BC170=28),0,IF(AND(BC170=27,BT170=27,CM170&gt;0.1),CM170*0.15,IF(AND(BC170=28,BT170=28,CM170&gt;0.1),CM170*0.12,0)))))</f>
        <v>0</v>
      </c>
      <c r="BV170" s="463">
        <f t="shared" si="232"/>
        <v>0</v>
      </c>
      <c r="BW170" s="463">
        <f t="shared" si="196"/>
        <v>0</v>
      </c>
      <c r="BX170" s="463">
        <f t="shared" si="197"/>
        <v>0</v>
      </c>
      <c r="BY170" s="463">
        <f t="shared" si="198"/>
        <v>0</v>
      </c>
      <c r="BZ170" s="463">
        <f t="shared" si="199"/>
        <v>0</v>
      </c>
      <c r="CA170" s="57">
        <f t="shared" si="227"/>
        <v>0</v>
      </c>
      <c r="CB170" s="56">
        <f t="shared" si="200"/>
        <v>1</v>
      </c>
      <c r="CC170" s="756">
        <f>IF(EE170=0,0,IF(EF170=0,0,IF(EE170&gt;AA170,0,IF(AND(AZ170&gt;AW170,AW170&gt;0),0,IF(CU170=0,0,Summary!AC473)))))</f>
        <v>0</v>
      </c>
      <c r="CD170" s="756">
        <f>IF(EE170=0,0,IF(EF170=0,0,IF(EE170&gt;AA170,0,IF(AND(AZ170&gt;AW170,AW170&gt;0),0,IF(CU170=0,0,Summary!AD473)))))</f>
        <v>0</v>
      </c>
      <c r="CE170" s="756">
        <f>IF(EF170=0,0,IF(EE170&gt;AA170,0,IF(CC170=0,0,IF(AND(AZ170&gt;AW170,AW170&gt;0),0,IF(CU170=0,0,Summary!AE473)))))</f>
        <v>0</v>
      </c>
      <c r="CF170" s="475">
        <f t="shared" si="201"/>
        <v>0</v>
      </c>
      <c r="CG170" s="476">
        <f t="shared" si="169"/>
        <v>0</v>
      </c>
      <c r="CH170" s="487">
        <f t="shared" si="202"/>
        <v>0</v>
      </c>
      <c r="CI170" s="756">
        <f t="shared" si="203"/>
        <v>0</v>
      </c>
      <c r="CJ170" s="487">
        <f>IF(CT170&gt;0.4,0,IF(AND(AU170=2,CH170=0,CT170=0.5,ER170=100),35,IF(AND(AU170=3,BB170&gt;75,CH170=0,CT170=0.5,ER170=100),25,IF(CB170&gt;1,0,IF(EF170&gt;EE170,0,IF(AND(AF170&gt;1,CH170=100),0,IF(AND(AF170=1,AY170=0),0,IF(AND(EF170&lt;=EE170,AW170&gt;=AZ170,'Data Entry'!$C$74=1,AU170=2),VLOOKUP(W170,$DO$96:$DP$102,2,FALSE),IF(AND(EF170&lt;=EE170,AW170&gt;=AZ170,AU170=3,'Data Entry'!$C$74=1),VLOOKUP(W170,$DO$127:$DP$134,2,FALSE))))))))))</f>
        <v>0</v>
      </c>
      <c r="CK170" s="716">
        <f t="shared" si="204"/>
        <v>0</v>
      </c>
      <c r="CL170" s="57">
        <f t="shared" si="205"/>
        <v>0</v>
      </c>
      <c r="CM170" s="475">
        <f t="shared" si="231"/>
        <v>0</v>
      </c>
      <c r="CN170" s="660">
        <f>IF(CM170&lt;0.1,0,IF(ISNA(AT170),0,IF(CL170+BC170=1,0,IF(BV170&gt;0.01,0,IF(CL170&gt;0.01,0,IF(CF170=1,0,IF(BC170=0.5,0,IF(AND(CI170=1,AU170=3),0,IF(AND(CI170=5,CL170=0),0,IF(AND(R170=12,BR170=50),0,IF(CK170&gt;0.01,0,IF(AND(AJ170&gt;0.01,AU170=2,BC170=15),CM170*0.1,IF(AND(AJ170&gt;0.01,AU170=3,BC170=15),CM170*0.08,IF(AND(R170=12,BC170=3,AF170&lt;=0),0,IF(AND(BC170=15,BI170=0),0,IF(AND(BC170=15,BJ170=0),0,IF(AND(R170=20,CU170=0),0,IF($X$4=0,0,IF(AND(BC170=250,CL170=0),0,IF(AA170&lt;1,0,IF(AND(ISNUMBER(SEARCH("Area",T170)),AU170=3),0,IF(AND(AQ170&gt;0.01,AR170=0,BK170=0,BL170=0,BM170=0,BN170=0),0,IF(AND(AU170=3,CI170=7,CT170&gt;0.5),0,IF(AND(BC170=44,AU170=3,BY170=0),0,IF(AND(BC170=27,'Data Entry'!$C$74=2),0,IF(AND(BC170=28,'Data Entry'!$C$74=2),0,IF(AND(BY170+BZ170+CA170&gt;0.01,BV170=0,EQ170+ER170+ES170+ET170&lt;100),0,IF(AU170=3,CM170*0.08,IF(AU170=2,CM170*0.1,0)))))))))))))))))))))))))))))</f>
        <v>0</v>
      </c>
      <c r="CO170" s="660">
        <f t="shared" si="206"/>
        <v>0</v>
      </c>
      <c r="CP170" s="475" t="str">
        <f t="shared" si="207"/>
        <v/>
      </c>
      <c r="CQ170" s="161" t="str">
        <f>IF(AH170=0,0,IF(AU170=5,0,Summary!AC173))</f>
        <v/>
      </c>
      <c r="CR170" s="161" t="str">
        <f>IF(BF170=0.5,0,IF(AU170=5,0,Summary!AD173))</f>
        <v/>
      </c>
      <c r="CS170" s="161" t="str">
        <f>IF(AU170=5,0,Summary!AE173)</f>
        <v/>
      </c>
      <c r="CT170" s="161">
        <f t="shared" si="208"/>
        <v>0</v>
      </c>
      <c r="CU170" s="475" t="str">
        <f t="shared" si="209"/>
        <v/>
      </c>
      <c r="CV170" s="307">
        <f>IF('Data Entry'!$C$74=0,0,IF(AA170&lt;1,0,IF(ISERROR(CU170),0,IF(CF170=1,0,IF(AND(R170=12,BR170=50),0,IF(CL170+BO170+BV170+DC170=0,0,IF(BC170=37,0,IF(AND(BC170=40,AJ170=0),0,IF(AND(BC170=37,BO170&gt;0.01,BQ170&gt;0.01),ROUND(BQ170,0),IF(CM170&lt;0,0,ROUND(CM170,0)))))))))))</f>
        <v>0</v>
      </c>
      <c r="CW170" s="700">
        <f t="shared" si="210"/>
        <v>0</v>
      </c>
      <c r="CX170" s="477">
        <f>IF('Data Entry'!$C$74=0,0,IF(CV170&lt;0.01,0,IF(BF170=0.5,0,IF(CF170=1,0,IF(ISNUMBER(SEARCH("false",CL170)),0,IF(AZ170=500,0,CL170))))))</f>
        <v>0</v>
      </c>
      <c r="CY170" s="147" t="e">
        <f t="shared" si="211"/>
        <v>#VALUE!</v>
      </c>
      <c r="CZ170" s="147" t="b">
        <f>IF(CN170+CL170=0,FALSE,IF(AH170=0,0,IF(AND('Data Entry'!$C$74=1,CR170&gt;=1),TRUE,IF(AND('Data Entry'!$C$74=2,CS170&gt;=1),TRUE,FALSE))))</f>
        <v>0</v>
      </c>
      <c r="DA170" s="1751">
        <f>IF('Data Entry'!$C$74=0,0,IFERROR(ROUND(IF(T170="","",IF($X$4=0,0,IF(CF170=1,0,IF(BQ170+CV170=0,0,IF(CF170=1,0,IF(CY170&gt;0.01,CY170,IF(CL170&gt;0.01,CL170,IF(CY170&gt;0.01,CY170,IF(BC170=37,BO170,IF(CZ170=FALSE,0,IF(CZ170=TRUE,DC170+DF170,0))))))))))),2),""))</f>
        <v>0</v>
      </c>
      <c r="DB170" s="1752"/>
      <c r="DC170" s="474">
        <f>IF(CN170&lt;0.01,0,IF(AND(BR170=3,CN170&gt;0.01,CT170&gt;0.6,ER170+ES170+ET170&lt;100),0,IF(AND('Data Entry'!$C$74=1,CN170&gt;0.01,CR170&gt;0.99),MIN(CN170:CO170),IF(AND('Data Entry'!$C$74=2,CN170&gt;0.01,CS170&gt;0.99),MIN(CN170:CO170),0))))</f>
        <v>0</v>
      </c>
      <c r="DD170" s="478">
        <f>IF(CF170=1,"Selection does not match",IF(T170=0,0,IF(AND('Data Entry'!$C$74=0,CP170&gt;1),"Select Oregon or Idaho on Data Entry Tab",IF(AND(AU170=1,AA170&gt;0.9),"Missing Interior or Exterior Selection",IF($X$4=0,"Enter Total Project Cost",IF(AQ170&lt;AR170,"Insufficient kWh savings – no incentive",IF(AND(SUM(CL170+CK170+BV170)&gt;0.01,'Data Entry'!$C$74=2,CJ170&gt;1,BO170=0),"Submit Control as Non-Standard",IF(AND('Data Entry'!$C$74=2,BR170=37,CJ170&gt;1,BO170=0),"Submit Control as Non-Standard",IF(SUM(CL170+CK170+BV170)&gt;0.01,"Standard Incentive",IF(AND('Data Entry'!$C$74=2,CP170=7,CN170=0),"Submit as Non-Standard",IF(DC170&gt;0.9,"Non-Standard Incentive",IF(AND(BY170+BZ170+CA170&gt;0.01,BV170=0,EQ170=0,ER170=0,ES170=0,ET170=0),"Scroll Right &amp; Select Control Strategies",IF(AND(CN170&gt;0.01,CO170=0),"Enter Unit Installed Cost",IF(ISNUMBER(SEARCH("Lighting Controls Only",F170)),"Lighting Controls Only",IF(CL170+DC170=0,"Does not meet incentive criteria",0)))))))))))))))</f>
        <v>0</v>
      </c>
      <c r="DE170" s="337">
        <f t="shared" si="212"/>
        <v>0</v>
      </c>
      <c r="DF170" s="609">
        <f t="shared" si="213"/>
        <v>0</v>
      </c>
      <c r="DG170" s="336" t="str">
        <f t="shared" si="214"/>
        <v/>
      </c>
      <c r="DH170" s="338">
        <f t="shared" si="215"/>
        <v>1</v>
      </c>
      <c r="DI170" s="336" t="e">
        <f t="shared" si="170"/>
        <v>#VALUE!</v>
      </c>
      <c r="DJ170" s="338">
        <f t="shared" si="171"/>
        <v>0</v>
      </c>
      <c r="DK170" s="325" t="s">
        <v>73</v>
      </c>
      <c r="DL170" s="341" t="s">
        <v>450</v>
      </c>
      <c r="DM170" s="340" t="s">
        <v>164</v>
      </c>
      <c r="DN170" s="820">
        <v>32</v>
      </c>
      <c r="DO170" s="375"/>
      <c r="DP170" s="332"/>
      <c r="DQ170" s="331"/>
      <c r="DR170" s="357"/>
      <c r="DS170" s="1195">
        <f t="shared" si="216"/>
        <v>0</v>
      </c>
      <c r="DT170" s="344" t="b">
        <f t="shared" si="217"/>
        <v>1</v>
      </c>
      <c r="DU170" s="1314" t="str">
        <f t="array" ref="DU170">IF(OR(COUNTIF(F170,"*"&amp;$DK$9:$DK$178&amp;"*")), "Yes", "")</f>
        <v/>
      </c>
      <c r="DV170" s="1314">
        <f t="shared" si="218"/>
        <v>0</v>
      </c>
      <c r="DW170" s="1480">
        <f t="shared" si="219"/>
        <v>0</v>
      </c>
      <c r="DX170" s="1498">
        <f t="shared" si="228"/>
        <v>0</v>
      </c>
      <c r="DY170" s="1484">
        <f t="shared" si="220"/>
        <v>0</v>
      </c>
      <c r="DZ170" s="331"/>
      <c r="EA170" s="392"/>
      <c r="EB170" s="1499" t="s">
        <v>102</v>
      </c>
      <c r="EC170" s="727" t="s">
        <v>1568</v>
      </c>
      <c r="ED170" s="728">
        <v>0.5</v>
      </c>
      <c r="EE170" s="1215"/>
      <c r="EF170" s="1215"/>
      <c r="EG170" s="1184" t="str">
        <f t="shared" si="221"/>
        <v/>
      </c>
      <c r="EH170" s="55"/>
      <c r="EI170" s="55"/>
      <c r="EJ170" s="1185">
        <f t="shared" si="172"/>
        <v>0</v>
      </c>
      <c r="EK170" s="1211"/>
      <c r="EL170" s="1180">
        <f t="shared" si="173"/>
        <v>0</v>
      </c>
      <c r="EM170" s="206"/>
      <c r="EN170" s="1038"/>
      <c r="EO170" s="1038"/>
      <c r="EP170" s="1038"/>
      <c r="EQ170" s="1038">
        <f t="shared" si="222"/>
        <v>0</v>
      </c>
      <c r="ER170" s="1041">
        <f t="shared" si="223"/>
        <v>0</v>
      </c>
      <c r="ES170" s="1042">
        <f t="shared" si="224"/>
        <v>0</v>
      </c>
      <c r="ET170" s="1042">
        <f t="shared" si="229"/>
        <v>0</v>
      </c>
      <c r="EU170" s="1021">
        <f t="shared" si="230"/>
        <v>0</v>
      </c>
      <c r="EV170" s="368"/>
      <c r="EW170" s="368"/>
      <c r="EX170" s="369"/>
      <c r="EY170" s="370"/>
      <c r="EZ170" s="370"/>
      <c r="FA170" s="371"/>
      <c r="FB170" s="372"/>
    </row>
    <row r="171" spans="1:158" ht="34.5" customHeight="1">
      <c r="A171" s="82">
        <v>163</v>
      </c>
      <c r="B171" s="1725"/>
      <c r="C171" s="1726"/>
      <c r="D171" s="1726"/>
      <c r="E171" s="1727"/>
      <c r="F171" s="1732"/>
      <c r="G171" s="1733"/>
      <c r="H171" s="1733"/>
      <c r="I171" s="1734"/>
      <c r="J171" s="1341"/>
      <c r="K171" s="1728"/>
      <c r="L171" s="1728"/>
      <c r="M171" s="1342"/>
      <c r="N171" s="1583"/>
      <c r="O171" s="208" t="str">
        <f t="shared" si="160"/>
        <v/>
      </c>
      <c r="P171" s="785"/>
      <c r="Q171" s="39" t="str">
        <f t="shared" si="161"/>
        <v/>
      </c>
      <c r="R171" s="39">
        <f t="shared" si="174"/>
        <v>0</v>
      </c>
      <c r="S171" s="234">
        <f t="shared" si="175"/>
        <v>0</v>
      </c>
      <c r="T171" s="1755"/>
      <c r="U171" s="1755"/>
      <c r="V171" s="1755"/>
      <c r="W171" s="1345"/>
      <c r="X171" s="1741"/>
      <c r="Y171" s="1742"/>
      <c r="Z171" s="1346"/>
      <c r="AA171" s="1343"/>
      <c r="AB171" s="1141"/>
      <c r="AC171" s="1103" t="str">
        <f>IF(T171="","",VLOOKUP(Z171,Lists!$A$60:$B$111,2,FALSE))</f>
        <v/>
      </c>
      <c r="AD171" s="130" t="str">
        <f t="shared" si="176"/>
        <v/>
      </c>
      <c r="AE171" s="130" t="e">
        <f t="shared" si="177"/>
        <v>#VALUE!</v>
      </c>
      <c r="AF171" s="130">
        <f t="shared" si="178"/>
        <v>1</v>
      </c>
      <c r="AG171" s="234">
        <f t="shared" si="162"/>
        <v>0</v>
      </c>
      <c r="AH171" s="1753" t="str">
        <f>IF(T171="","",(IF(ISNUMBER(SEARCH("exit",T171)),8760,IF(AND(M171="Dusk to Dawn",'Proposed Lighting'!AU171=3),4059,IF(AND(AU171=3,M171="1"),0,IF(AND(AU171=3,M171="1-C"),0,IF(AND(AU171=3,M171="2"),0,IF(AND(AU171=3,M171="2-C"),0,IF(AND(AU171=3,M171="3"),0,IF(AND(AU171=3,M171="3-C"),0,IF(AND(AU171=2,M171="Dusk to Dawn"),0,IF(AND(AU171=2,M171="Dusk to Dawn-C"),0,IF(AND(AU171=2,M171="Dusk to Dawn"),0,IF(AND(AU171=2,M171="E"),0,IF(AND(AU171=2,M171="E-C"),0,EG171)))))))))))))))</f>
        <v/>
      </c>
      <c r="AI171" s="1754"/>
      <c r="AJ171" s="1136"/>
      <c r="AK171" s="1136"/>
      <c r="AL171" s="1748">
        <f t="shared" si="179"/>
        <v>0</v>
      </c>
      <c r="AM171" s="1749"/>
      <c r="AN171" s="1750"/>
      <c r="AO171" s="476">
        <f t="shared" si="163"/>
        <v>0</v>
      </c>
      <c r="AP171" s="476">
        <f t="shared" si="180"/>
        <v>0</v>
      </c>
      <c r="AQ171" s="475">
        <f t="shared" si="164"/>
        <v>0</v>
      </c>
      <c r="AR171" s="475">
        <f t="shared" si="181"/>
        <v>0</v>
      </c>
      <c r="AS171" s="743" t="str">
        <f t="shared" si="233"/>
        <v/>
      </c>
      <c r="AT171" s="736" t="str">
        <f t="shared" si="182"/>
        <v/>
      </c>
      <c r="AU171" s="56">
        <f t="shared" si="183"/>
        <v>1</v>
      </c>
      <c r="AV171" s="476">
        <f t="shared" si="184"/>
        <v>0</v>
      </c>
      <c r="AW171" s="56">
        <f t="shared" si="185"/>
        <v>0</v>
      </c>
      <c r="AX171" s="475">
        <f t="shared" si="165"/>
        <v>0</v>
      </c>
      <c r="AY171" s="1169">
        <f t="shared" si="186"/>
        <v>0</v>
      </c>
      <c r="AZ171" s="1150">
        <f t="shared" si="225"/>
        <v>0</v>
      </c>
      <c r="BA171" s="56">
        <f t="shared" si="166"/>
        <v>0</v>
      </c>
      <c r="BB171" s="420">
        <f t="shared" si="167"/>
        <v>0</v>
      </c>
      <c r="BC171" s="58" t="str">
        <f t="shared" si="168"/>
        <v/>
      </c>
      <c r="BD171" s="660">
        <f t="shared" si="226"/>
        <v>0</v>
      </c>
      <c r="BE171" s="57" t="e">
        <f t="array" ref="BE171">INDEX($EB$11:$ED$1022,MATCH(F171&amp;T171,$EB$11:$EB$1007&amp;$EC$11:$EC$1007,0),3)</f>
        <v>#N/A</v>
      </c>
      <c r="BF171" s="463">
        <f t="shared" ref="BF171:BF234" si="234">IF(ISNA(BE171),0,BE171)</f>
        <v>0</v>
      </c>
      <c r="BG171" s="1445" t="e">
        <f t="array" ref="BG171">INDEX($DO$112:$DQ$123,MATCH(T171&amp;W171,$DO$114:$DO$125&amp;$DP$112:$DP$123,0),3)</f>
        <v>#N/A</v>
      </c>
      <c r="BH171" s="1446">
        <f t="shared" si="187"/>
        <v>0</v>
      </c>
      <c r="BI171" s="465">
        <f t="shared" si="188"/>
        <v>0</v>
      </c>
      <c r="BJ171" s="465">
        <f t="shared" si="189"/>
        <v>0</v>
      </c>
      <c r="BK171" s="466">
        <f t="shared" ref="BK171:BK234" si="235">IF(ISNUMBER(SEARCH("removal",T171)),AND(AS171&gt;49,AS171&lt;300,AU171=2)*20,0)</f>
        <v>0</v>
      </c>
      <c r="BL171" s="466">
        <f t="shared" ref="BL171:BL234" si="236">IF(ISNUMBER(SEARCH("removal",T171)),AND(AS171&gt;299,AU171=2)*30,0)</f>
        <v>0</v>
      </c>
      <c r="BM171" s="466">
        <f t="shared" si="190"/>
        <v>0</v>
      </c>
      <c r="BN171" s="466">
        <f t="shared" si="191"/>
        <v>0</v>
      </c>
      <c r="BO171" s="463">
        <f>IF('Data Entry'!$C$74=0,0,IF(ISNA(CJ171),0,IF(AX171=0,0,IF(AND('Data Entry'!$C$74=2,AF171&gt;2,CE171&lt;1),0,IF(AND('Data Entry'!$C$74=2,AF171&gt;1,AU171=2,CJ171&gt;1),0,IF(AND(AF171=5,CT171=0.5,AU171=2,ER171&lt;100),0,IF(AND(AF171=5,CT171=0.5,AU171=3,ER171&lt;100),0,IF(AND('Data Entry'!$C$74=2,AF171=2,AU171=2,AK171&gt;0.01,CB171=2,CE171&lt;1),0,IF(AND('Data Entry'!$C$74=2,AF171=3,AU171=3,AK171&gt;0.01,CB171=3,CE171&lt;1),0,IF(AND('Data Entry'!$C$74=2,AF171=3,AU171=3,AK171&gt;0.01,CB171=3,CE171&gt;0.99),BQ171*0.08,IF(AND('Data Entry'!$C$74=2,AF171=2,AU171=2,AK171&gt;0.01,CB171=2,CE171&gt;0.99),BQ171*0.1,IF(AND(AU171=2,AK171&gt;0.01,CB171=2,CD171&gt;1),BQ171*0.1,IF(AND(AU171=3,AK171&gt;0.01,CB171=3,CD171&gt;1),BQ171*0.08,CJ171*EF171)))))))))))))</f>
        <v>0</v>
      </c>
      <c r="BP171" s="475">
        <f t="shared" si="192"/>
        <v>0</v>
      </c>
      <c r="BQ171" s="1431">
        <f>IF(AU171=1,0,IF(CH171=100,0,IF(AND(AF171=3,AU171=2),0,IF(AND(BH171=0,CT171&gt;0.4),0,IF(AND('Data Entry'!$C$74=2,AF171=1.5),0,IF(AND('Data Entry'!$C$74=2,AF171=1.6),0,IF(AND('Data Entry'!$C$74=2,AF171=4),0,IF(AND('Data Entry'!$C$74=2,AF171=5),0,IF(AND('Data Entry'!$C$74=2,AF171=2.5,CE171&lt;1),0,IF(AND('Data Entry'!$C$74=2,AF171=3,CE171&lt;1),0,IF(AND('Data Entry'!$C$74=1,AF171=2.5,CD171&lt;1),0,IF(AND('Data Entry'!$C$74=1,AF171=3,CD171&lt;1),0,IF(DX171&gt;0.01,DX171,IF(ISERROR(AX171-AY171),"",ROUND(AX171-AY171,2)))))))))))))))</f>
        <v>0</v>
      </c>
      <c r="BR171" s="146">
        <f t="shared" si="193"/>
        <v>0</v>
      </c>
      <c r="BS171" s="475">
        <f t="shared" si="194"/>
        <v>0</v>
      </c>
      <c r="BT171" s="146" t="b">
        <f t="shared" si="195"/>
        <v>0</v>
      </c>
      <c r="BU171" s="463">
        <f>IF(ISNA(AT171),0,IF(AND('Data Entry'!$C$74=2,BC171=27),0,IF(AND('Data Entry'!$C$74=2,BC171=28),0,IF(AND(BC171=27,BT171=27,CM171&gt;0.1),CM171*0.15,IF(AND(BC171=28,BT171=28,CM171&gt;0.1),CM171*0.12,0)))))</f>
        <v>0</v>
      </c>
      <c r="BV171" s="463">
        <f t="shared" si="232"/>
        <v>0</v>
      </c>
      <c r="BW171" s="463">
        <f t="shared" si="196"/>
        <v>0</v>
      </c>
      <c r="BX171" s="463">
        <f t="shared" si="197"/>
        <v>0</v>
      </c>
      <c r="BY171" s="463">
        <f t="shared" si="198"/>
        <v>0</v>
      </c>
      <c r="BZ171" s="463">
        <f t="shared" si="199"/>
        <v>0</v>
      </c>
      <c r="CA171" s="57">
        <f t="shared" si="227"/>
        <v>0</v>
      </c>
      <c r="CB171" s="56">
        <f t="shared" si="200"/>
        <v>1</v>
      </c>
      <c r="CC171" s="756">
        <f>IF(EE171=0,0,IF(EF171=0,0,IF(EE171&gt;AA171,0,IF(AND(AZ171&gt;AW171,AW171&gt;0),0,IF(CU171=0,0,Summary!AC474)))))</f>
        <v>0</v>
      </c>
      <c r="CD171" s="756">
        <f>IF(EE171=0,0,IF(EF171=0,0,IF(EE171&gt;AA171,0,IF(AND(AZ171&gt;AW171,AW171&gt;0),0,IF(CU171=0,0,Summary!AD474)))))</f>
        <v>0</v>
      </c>
      <c r="CE171" s="756">
        <f>IF(EF171=0,0,IF(EE171&gt;AA171,0,IF(CC171=0,0,IF(AND(AZ171&gt;AW171,AW171&gt;0),0,IF(CU171=0,0,Summary!AE474)))))</f>
        <v>0</v>
      </c>
      <c r="CF171" s="475">
        <f t="shared" si="201"/>
        <v>0</v>
      </c>
      <c r="CG171" s="476">
        <f t="shared" si="169"/>
        <v>0</v>
      </c>
      <c r="CH171" s="487">
        <f t="shared" si="202"/>
        <v>0</v>
      </c>
      <c r="CI171" s="756">
        <f t="shared" si="203"/>
        <v>0</v>
      </c>
      <c r="CJ171" s="487">
        <f>IF(CT171&gt;0.4,0,IF(AND(AU171=2,CH171=0,CT171=0.5,ER171=100),35,IF(AND(AU171=3,BB171&gt;75,CH171=0,CT171=0.5,ER171=100),25,IF(CB171&gt;1,0,IF(EF171&gt;EE171,0,IF(AND(AF171&gt;1,CH171=100),0,IF(AND(AF171=1,AY171=0),0,IF(AND(EF171&lt;=EE171,AW171&gt;=AZ171,'Data Entry'!$C$74=1,AU171=2),VLOOKUP(W171,$DO$96:$DP$102,2,FALSE),IF(AND(EF171&lt;=EE171,AW171&gt;=AZ171,AU171=3,'Data Entry'!$C$74=1),VLOOKUP(W171,$DO$127:$DP$134,2,FALSE))))))))))</f>
        <v>0</v>
      </c>
      <c r="CK171" s="716">
        <f t="shared" si="204"/>
        <v>0</v>
      </c>
      <c r="CL171" s="57">
        <f t="shared" si="205"/>
        <v>0</v>
      </c>
      <c r="CM171" s="475">
        <f t="shared" si="231"/>
        <v>0</v>
      </c>
      <c r="CN171" s="660">
        <f>IF(CM171&lt;0.1,0,IF(ISNA(AT171),0,IF(CL171+BC171=1,0,IF(BV171&gt;0.01,0,IF(CL171&gt;0.01,0,IF(CF171=1,0,IF(BC171=0.5,0,IF(AND(CI171=1,AU171=3),0,IF(AND(CI171=5,CL171=0),0,IF(AND(R171=12,BR171=50),0,IF(CK171&gt;0.01,0,IF(AND(AJ171&gt;0.01,AU171=2,BC171=15),CM171*0.1,IF(AND(AJ171&gt;0.01,AU171=3,BC171=15),CM171*0.08,IF(AND(R171=12,BC171=3,AF171&lt;=0),0,IF(AND(BC171=15,BI171=0),0,IF(AND(BC171=15,BJ171=0),0,IF(AND(R171=20,CU171=0),0,IF($X$4=0,0,IF(AND(BC171=250,CL171=0),0,IF(AA171&lt;1,0,IF(AND(ISNUMBER(SEARCH("Area",T171)),AU171=3),0,IF(AND(AQ171&gt;0.01,AR171=0,BK171=0,BL171=0,BM171=0,BN171=0),0,IF(AND(AU171=3,CI171=7,CT171&gt;0.5),0,IF(AND(BC171=44,AU171=3,BY171=0),0,IF(AND(BC171=27,'Data Entry'!$C$74=2),0,IF(AND(BC171=28,'Data Entry'!$C$74=2),0,IF(AND(BY171+BZ171+CA171&gt;0.01,BV171=0,EQ171+ER171+ES171+ET171&lt;100),0,IF(AU171=3,CM171*0.08,IF(AU171=2,CM171*0.1,0)))))))))))))))))))))))))))))</f>
        <v>0</v>
      </c>
      <c r="CO171" s="660">
        <f t="shared" si="206"/>
        <v>0</v>
      </c>
      <c r="CP171" s="475" t="str">
        <f t="shared" si="207"/>
        <v/>
      </c>
      <c r="CQ171" s="161" t="str">
        <f>IF(AH171=0,0,IF(AU171=5,0,Summary!AC174))</f>
        <v/>
      </c>
      <c r="CR171" s="161" t="str">
        <f>IF(BF171=0.5,0,IF(AU171=5,0,Summary!AD174))</f>
        <v/>
      </c>
      <c r="CS171" s="161" t="str">
        <f>IF(AU171=5,0,Summary!AE174)</f>
        <v/>
      </c>
      <c r="CT171" s="161">
        <f t="shared" si="208"/>
        <v>0</v>
      </c>
      <c r="CU171" s="475" t="str">
        <f t="shared" si="209"/>
        <v/>
      </c>
      <c r="CV171" s="307">
        <f>IF('Data Entry'!$C$74=0,0,IF(AA171&lt;1,0,IF(ISERROR(CU171),0,IF(CF171=1,0,IF(AND(R171=12,BR171=50),0,IF(CL171+BO171+BV171+DC171=0,0,IF(BC171=37,0,IF(AND(BC171=40,AJ171=0),0,IF(AND(BC171=37,BO171&gt;0.01,BQ171&gt;0.01),ROUND(BQ171,0),IF(CM171&lt;0,0,ROUND(CM171,0)))))))))))</f>
        <v>0</v>
      </c>
      <c r="CW171" s="700">
        <f t="shared" si="210"/>
        <v>0</v>
      </c>
      <c r="CX171" s="477">
        <f>IF('Data Entry'!$C$74=0,0,IF(CV171&lt;0.01,0,IF(BF171=0.5,0,IF(CF171=1,0,IF(ISNUMBER(SEARCH("false",CL171)),0,IF(AZ171=500,0,CL171))))))</f>
        <v>0</v>
      </c>
      <c r="CY171" s="147" t="e">
        <f t="shared" si="211"/>
        <v>#VALUE!</v>
      </c>
      <c r="CZ171" s="147" t="b">
        <f>IF(CN171+CL171=0,FALSE,IF(AH171=0,0,IF(AND('Data Entry'!$C$74=1,CR171&gt;=1),TRUE,IF(AND('Data Entry'!$C$74=2,CS171&gt;=1),TRUE,FALSE))))</f>
        <v>0</v>
      </c>
      <c r="DA171" s="1751">
        <f>IF('Data Entry'!$C$74=0,0,IFERROR(ROUND(IF(T171="","",IF($X$4=0,0,IF(CF171=1,0,IF(BQ171+CV171=0,0,IF(CF171=1,0,IF(CY171&gt;0.01,CY171,IF(CL171&gt;0.01,CL171,IF(CY171&gt;0.01,CY171,IF(BC171=37,BO171,IF(CZ171=FALSE,0,IF(CZ171=TRUE,DC171+DF171,0))))))))))),2),""))</f>
        <v>0</v>
      </c>
      <c r="DB171" s="1752"/>
      <c r="DC171" s="474">
        <f>IF(CN171&lt;0.01,0,IF(AND(BR171=3,CN171&gt;0.01,CT171&gt;0.6,ER171+ES171+ET171&lt;100),0,IF(AND('Data Entry'!$C$74=1,CN171&gt;0.01,CR171&gt;0.99),MIN(CN171:CO171),IF(AND('Data Entry'!$C$74=2,CN171&gt;0.01,CS171&gt;0.99),MIN(CN171:CO171),0))))</f>
        <v>0</v>
      </c>
      <c r="DD171" s="478">
        <f>IF(CF171=1,"Selection does not match",IF(T171=0,0,IF(AND('Data Entry'!$C$74=0,CP171&gt;1),"Select Oregon or Idaho on Data Entry Tab",IF(AND(AU171=1,AA171&gt;0.9),"Missing Interior or Exterior Selection",IF($X$4=0,"Enter Total Project Cost",IF(AQ171&lt;AR171,"Insufficient kWh savings – no incentive",IF(AND(SUM(CL171+CK171+BV171)&gt;0.01,'Data Entry'!$C$74=2,CJ171&gt;1,BO171=0),"Submit Control as Non-Standard",IF(AND('Data Entry'!$C$74=2,BR171=37,CJ171&gt;1,BO171=0),"Submit Control as Non-Standard",IF(SUM(CL171+CK171+BV171)&gt;0.01,"Standard Incentive",IF(AND('Data Entry'!$C$74=2,CP171=7,CN171=0),"Submit as Non-Standard",IF(DC171&gt;0.9,"Non-Standard Incentive",IF(AND(BY171+BZ171+CA171&gt;0.01,BV171=0,EQ171=0,ER171=0,ES171=0,ET171=0),"Scroll Right &amp; Select Control Strategies",IF(AND(CN171&gt;0.01,CO171=0),"Enter Unit Installed Cost",IF(ISNUMBER(SEARCH("Lighting Controls Only",F171)),"Lighting Controls Only",IF(CL171+DC171=0,"Does not meet incentive criteria",0)))))))))))))))</f>
        <v>0</v>
      </c>
      <c r="DE171" s="337">
        <f t="shared" si="212"/>
        <v>0</v>
      </c>
      <c r="DF171" s="609">
        <f t="shared" si="213"/>
        <v>0</v>
      </c>
      <c r="DG171" s="336" t="str">
        <f t="shared" si="214"/>
        <v/>
      </c>
      <c r="DH171" s="338">
        <f t="shared" si="215"/>
        <v>1</v>
      </c>
      <c r="DI171" s="336" t="e">
        <f t="shared" si="170"/>
        <v>#VALUE!</v>
      </c>
      <c r="DJ171" s="338">
        <f t="shared" si="171"/>
        <v>0</v>
      </c>
      <c r="DK171" s="325" t="s">
        <v>1287</v>
      </c>
      <c r="DL171" s="341" t="s">
        <v>34</v>
      </c>
      <c r="DM171" s="340" t="s">
        <v>150</v>
      </c>
      <c r="DN171" s="1123">
        <v>4</v>
      </c>
      <c r="DO171" s="331"/>
      <c r="DP171" s="332"/>
      <c r="DQ171" s="331"/>
      <c r="DR171" s="357"/>
      <c r="DS171" s="1195">
        <f t="shared" si="216"/>
        <v>0</v>
      </c>
      <c r="DT171" s="344" t="b">
        <f t="shared" si="217"/>
        <v>1</v>
      </c>
      <c r="DU171" s="1314" t="str">
        <f t="array" ref="DU171">IF(OR(COUNTIF(F171,"*"&amp;$DK$9:$DK$178&amp;"*")), "Yes", "")</f>
        <v/>
      </c>
      <c r="DV171" s="1314">
        <f t="shared" si="218"/>
        <v>0</v>
      </c>
      <c r="DW171" s="1480">
        <f t="shared" si="219"/>
        <v>0</v>
      </c>
      <c r="DX171" s="1498">
        <f t="shared" si="228"/>
        <v>0</v>
      </c>
      <c r="DY171" s="1484">
        <f t="shared" si="220"/>
        <v>0</v>
      </c>
      <c r="DZ171" s="331"/>
      <c r="EA171" s="392"/>
      <c r="EB171" s="1499" t="s">
        <v>103</v>
      </c>
      <c r="EC171" s="727" t="s">
        <v>1568</v>
      </c>
      <c r="ED171" s="728">
        <v>0.5</v>
      </c>
      <c r="EE171" s="1215"/>
      <c r="EF171" s="1215"/>
      <c r="EG171" s="1184" t="str">
        <f t="shared" si="221"/>
        <v/>
      </c>
      <c r="EH171" s="55"/>
      <c r="EI171" s="55"/>
      <c r="EJ171" s="1185">
        <f t="shared" si="172"/>
        <v>0</v>
      </c>
      <c r="EK171" s="1211"/>
      <c r="EL171" s="1180">
        <f t="shared" si="173"/>
        <v>0</v>
      </c>
      <c r="EM171" s="206"/>
      <c r="EN171" s="1038"/>
      <c r="EO171" s="1038"/>
      <c r="EP171" s="1038"/>
      <c r="EQ171" s="1038">
        <f t="shared" si="222"/>
        <v>0</v>
      </c>
      <c r="ER171" s="1041">
        <f t="shared" si="223"/>
        <v>0</v>
      </c>
      <c r="ES171" s="1042">
        <f t="shared" si="224"/>
        <v>0</v>
      </c>
      <c r="ET171" s="1042">
        <f t="shared" si="229"/>
        <v>0</v>
      </c>
      <c r="EU171" s="1021">
        <f t="shared" si="230"/>
        <v>0</v>
      </c>
      <c r="EV171" s="368"/>
      <c r="EW171" s="368"/>
      <c r="EX171" s="369"/>
      <c r="EY171" s="370"/>
      <c r="EZ171" s="370"/>
      <c r="FA171" s="371"/>
      <c r="FB171" s="372"/>
    </row>
    <row r="172" spans="1:158" ht="34.5" customHeight="1">
      <c r="A172" s="82">
        <v>164</v>
      </c>
      <c r="B172" s="1725"/>
      <c r="C172" s="1726"/>
      <c r="D172" s="1726"/>
      <c r="E172" s="1727"/>
      <c r="F172" s="1732"/>
      <c r="G172" s="1733"/>
      <c r="H172" s="1733"/>
      <c r="I172" s="1734"/>
      <c r="J172" s="1341"/>
      <c r="K172" s="1728"/>
      <c r="L172" s="1728"/>
      <c r="M172" s="1342"/>
      <c r="N172" s="1583"/>
      <c r="O172" s="208" t="str">
        <f t="shared" si="160"/>
        <v/>
      </c>
      <c r="P172" s="785"/>
      <c r="Q172" s="39" t="str">
        <f t="shared" si="161"/>
        <v/>
      </c>
      <c r="R172" s="39">
        <f t="shared" si="174"/>
        <v>0</v>
      </c>
      <c r="S172" s="234">
        <f t="shared" si="175"/>
        <v>0</v>
      </c>
      <c r="T172" s="1755"/>
      <c r="U172" s="1755"/>
      <c r="V172" s="1755"/>
      <c r="W172" s="1345"/>
      <c r="X172" s="1741"/>
      <c r="Y172" s="1742"/>
      <c r="Z172" s="1346"/>
      <c r="AA172" s="1343"/>
      <c r="AB172" s="1141"/>
      <c r="AC172" s="1103" t="str">
        <f>IF(T172="","",VLOOKUP(Z172,Lists!$A$60:$B$111,2,FALSE))</f>
        <v/>
      </c>
      <c r="AD172" s="130" t="str">
        <f t="shared" si="176"/>
        <v/>
      </c>
      <c r="AE172" s="130" t="e">
        <f t="shared" si="177"/>
        <v>#VALUE!</v>
      </c>
      <c r="AF172" s="130">
        <f t="shared" si="178"/>
        <v>1</v>
      </c>
      <c r="AG172" s="234">
        <f t="shared" si="162"/>
        <v>0</v>
      </c>
      <c r="AH172" s="1753" t="str">
        <f>IF(T172="","",(IF(ISNUMBER(SEARCH("exit",T172)),8760,IF(AND(M172="Dusk to Dawn",'Proposed Lighting'!AU172=3),4059,IF(AND(AU172=3,M172="1"),0,IF(AND(AU172=3,M172="1-C"),0,IF(AND(AU172=3,M172="2"),0,IF(AND(AU172=3,M172="2-C"),0,IF(AND(AU172=3,M172="3"),0,IF(AND(AU172=3,M172="3-C"),0,IF(AND(AU172=2,M172="Dusk to Dawn"),0,IF(AND(AU172=2,M172="Dusk to Dawn-C"),0,IF(AND(AU172=2,M172="Dusk to Dawn"),0,IF(AND(AU172=2,M172="E"),0,IF(AND(AU172=2,M172="E-C"),0,EG172)))))))))))))))</f>
        <v/>
      </c>
      <c r="AI172" s="1754"/>
      <c r="AJ172" s="1136"/>
      <c r="AK172" s="1136"/>
      <c r="AL172" s="1748">
        <f t="shared" si="179"/>
        <v>0</v>
      </c>
      <c r="AM172" s="1749"/>
      <c r="AN172" s="1750"/>
      <c r="AO172" s="476">
        <f t="shared" si="163"/>
        <v>0</v>
      </c>
      <c r="AP172" s="476">
        <f t="shared" si="180"/>
        <v>0</v>
      </c>
      <c r="AQ172" s="475">
        <f t="shared" si="164"/>
        <v>0</v>
      </c>
      <c r="AR172" s="475">
        <f t="shared" si="181"/>
        <v>0</v>
      </c>
      <c r="AS172" s="743" t="str">
        <f t="shared" si="233"/>
        <v/>
      </c>
      <c r="AT172" s="736" t="str">
        <f t="shared" si="182"/>
        <v/>
      </c>
      <c r="AU172" s="56">
        <f t="shared" si="183"/>
        <v>1</v>
      </c>
      <c r="AV172" s="476">
        <f t="shared" si="184"/>
        <v>0</v>
      </c>
      <c r="AW172" s="56">
        <f t="shared" si="185"/>
        <v>0</v>
      </c>
      <c r="AX172" s="475">
        <f t="shared" si="165"/>
        <v>0</v>
      </c>
      <c r="AY172" s="1169">
        <f t="shared" si="186"/>
        <v>0</v>
      </c>
      <c r="AZ172" s="1150">
        <f t="shared" si="225"/>
        <v>0</v>
      </c>
      <c r="BA172" s="56">
        <f t="shared" si="166"/>
        <v>0</v>
      </c>
      <c r="BB172" s="420">
        <f t="shared" si="167"/>
        <v>0</v>
      </c>
      <c r="BC172" s="58" t="str">
        <f t="shared" si="168"/>
        <v/>
      </c>
      <c r="BD172" s="660">
        <f t="shared" si="226"/>
        <v>0</v>
      </c>
      <c r="BE172" s="57" t="e">
        <f t="array" ref="BE172">INDEX($EB$11:$ED$1022,MATCH(F172&amp;T172,$EB$11:$EB$1007&amp;$EC$11:$EC$1007,0),3)</f>
        <v>#N/A</v>
      </c>
      <c r="BF172" s="463">
        <f t="shared" si="234"/>
        <v>0</v>
      </c>
      <c r="BG172" s="1445" t="e">
        <f t="array" ref="BG172">INDEX($DO$112:$DQ$123,MATCH(T172&amp;W172,$DO$114:$DO$125&amp;$DP$112:$DP$123,0),3)</f>
        <v>#N/A</v>
      </c>
      <c r="BH172" s="1446">
        <f t="shared" si="187"/>
        <v>0</v>
      </c>
      <c r="BI172" s="465">
        <f t="shared" si="188"/>
        <v>0</v>
      </c>
      <c r="BJ172" s="465">
        <f t="shared" si="189"/>
        <v>0</v>
      </c>
      <c r="BK172" s="466">
        <f t="shared" si="235"/>
        <v>0</v>
      </c>
      <c r="BL172" s="466">
        <f t="shared" si="236"/>
        <v>0</v>
      </c>
      <c r="BM172" s="466">
        <f t="shared" si="190"/>
        <v>0</v>
      </c>
      <c r="BN172" s="466">
        <f t="shared" si="191"/>
        <v>0</v>
      </c>
      <c r="BO172" s="463">
        <f>IF('Data Entry'!$C$74=0,0,IF(ISNA(CJ172),0,IF(AX172=0,0,IF(AND('Data Entry'!$C$74=2,AF172&gt;2,CE172&lt;1),0,IF(AND('Data Entry'!$C$74=2,AF172&gt;1,AU172=2,CJ172&gt;1),0,IF(AND(AF172=5,CT172=0.5,AU172=2,ER172&lt;100),0,IF(AND(AF172=5,CT172=0.5,AU172=3,ER172&lt;100),0,IF(AND('Data Entry'!$C$74=2,AF172=2,AU172=2,AK172&gt;0.01,CB172=2,CE172&lt;1),0,IF(AND('Data Entry'!$C$74=2,AF172=3,AU172=3,AK172&gt;0.01,CB172=3,CE172&lt;1),0,IF(AND('Data Entry'!$C$74=2,AF172=3,AU172=3,AK172&gt;0.01,CB172=3,CE172&gt;0.99),BQ172*0.08,IF(AND('Data Entry'!$C$74=2,AF172=2,AU172=2,AK172&gt;0.01,CB172=2,CE172&gt;0.99),BQ172*0.1,IF(AND(AU172=2,AK172&gt;0.01,CB172=2,CD172&gt;1),BQ172*0.1,IF(AND(AU172=3,AK172&gt;0.01,CB172=3,CD172&gt;1),BQ172*0.08,CJ172*EF172)))))))))))))</f>
        <v>0</v>
      </c>
      <c r="BP172" s="475">
        <f t="shared" si="192"/>
        <v>0</v>
      </c>
      <c r="BQ172" s="1431">
        <f>IF(AU172=1,0,IF(CH172=100,0,IF(AND(AF172=3,AU172=2),0,IF(AND(BH172=0,CT172&gt;0.4),0,IF(AND('Data Entry'!$C$74=2,AF172=1.5),0,IF(AND('Data Entry'!$C$74=2,AF172=1.6),0,IF(AND('Data Entry'!$C$74=2,AF172=4),0,IF(AND('Data Entry'!$C$74=2,AF172=5),0,IF(AND('Data Entry'!$C$74=2,AF172=2.5,CE172&lt;1),0,IF(AND('Data Entry'!$C$74=2,AF172=3,CE172&lt;1),0,IF(AND('Data Entry'!$C$74=1,AF172=2.5,CD172&lt;1),0,IF(AND('Data Entry'!$C$74=1,AF172=3,CD172&lt;1),0,IF(DX172&gt;0.01,DX172,IF(ISERROR(AX172-AY172),"",ROUND(AX172-AY172,2)))))))))))))))</f>
        <v>0</v>
      </c>
      <c r="BR172" s="146">
        <f t="shared" si="193"/>
        <v>0</v>
      </c>
      <c r="BS172" s="475">
        <f t="shared" si="194"/>
        <v>0</v>
      </c>
      <c r="BT172" s="146" t="b">
        <f t="shared" si="195"/>
        <v>0</v>
      </c>
      <c r="BU172" s="463">
        <f>IF(ISNA(AT172),0,IF(AND('Data Entry'!$C$74=2,BC172=27),0,IF(AND('Data Entry'!$C$74=2,BC172=28),0,IF(AND(BC172=27,BT172=27,CM172&gt;0.1),CM172*0.15,IF(AND(BC172=28,BT172=28,CM172&gt;0.1),CM172*0.12,0)))))</f>
        <v>0</v>
      </c>
      <c r="BV172" s="463">
        <f t="shared" si="232"/>
        <v>0</v>
      </c>
      <c r="BW172" s="463">
        <f t="shared" si="196"/>
        <v>0</v>
      </c>
      <c r="BX172" s="463">
        <f t="shared" si="197"/>
        <v>0</v>
      </c>
      <c r="BY172" s="463">
        <f t="shared" si="198"/>
        <v>0</v>
      </c>
      <c r="BZ172" s="463">
        <f t="shared" si="199"/>
        <v>0</v>
      </c>
      <c r="CA172" s="57">
        <f t="shared" si="227"/>
        <v>0</v>
      </c>
      <c r="CB172" s="56">
        <f t="shared" si="200"/>
        <v>1</v>
      </c>
      <c r="CC172" s="756">
        <f>IF(EE172=0,0,IF(EF172=0,0,IF(EE172&gt;AA172,0,IF(AND(AZ172&gt;AW172,AW172&gt;0),0,IF(CU172=0,0,Summary!AC475)))))</f>
        <v>0</v>
      </c>
      <c r="CD172" s="756">
        <f>IF(EE172=0,0,IF(EF172=0,0,IF(EE172&gt;AA172,0,IF(AND(AZ172&gt;AW172,AW172&gt;0),0,IF(CU172=0,0,Summary!AD475)))))</f>
        <v>0</v>
      </c>
      <c r="CE172" s="756">
        <f>IF(EF172=0,0,IF(EE172&gt;AA172,0,IF(CC172=0,0,IF(AND(AZ172&gt;AW172,AW172&gt;0),0,IF(CU172=0,0,Summary!AE475)))))</f>
        <v>0</v>
      </c>
      <c r="CF172" s="475">
        <f t="shared" si="201"/>
        <v>0</v>
      </c>
      <c r="CG172" s="476">
        <f t="shared" si="169"/>
        <v>0</v>
      </c>
      <c r="CH172" s="487">
        <f t="shared" si="202"/>
        <v>0</v>
      </c>
      <c r="CI172" s="756">
        <f t="shared" si="203"/>
        <v>0</v>
      </c>
      <c r="CJ172" s="487">
        <f>IF(CT172&gt;0.4,0,IF(AND(AU172=2,CH172=0,CT172=0.5,ER172=100),35,IF(AND(AU172=3,BB172&gt;75,CH172=0,CT172=0.5,ER172=100),25,IF(CB172&gt;1,0,IF(EF172&gt;EE172,0,IF(AND(AF172&gt;1,CH172=100),0,IF(AND(AF172=1,AY172=0),0,IF(AND(EF172&lt;=EE172,AW172&gt;=AZ172,'Data Entry'!$C$74=1,AU172=2),VLOOKUP(W172,$DO$96:$DP$102,2,FALSE),IF(AND(EF172&lt;=EE172,AW172&gt;=AZ172,AU172=3,'Data Entry'!$C$74=1),VLOOKUP(W172,$DO$127:$DP$134,2,FALSE))))))))))</f>
        <v>0</v>
      </c>
      <c r="CK172" s="716">
        <f t="shared" si="204"/>
        <v>0</v>
      </c>
      <c r="CL172" s="57">
        <f t="shared" si="205"/>
        <v>0</v>
      </c>
      <c r="CM172" s="475">
        <f t="shared" si="231"/>
        <v>0</v>
      </c>
      <c r="CN172" s="660">
        <f>IF(CM172&lt;0.1,0,IF(ISNA(AT172),0,IF(CL172+BC172=1,0,IF(BV172&gt;0.01,0,IF(CL172&gt;0.01,0,IF(CF172=1,0,IF(BC172=0.5,0,IF(AND(CI172=1,AU172=3),0,IF(AND(CI172=5,CL172=0),0,IF(AND(R172=12,BR172=50),0,IF(CK172&gt;0.01,0,IF(AND(AJ172&gt;0.01,AU172=2,BC172=15),CM172*0.1,IF(AND(AJ172&gt;0.01,AU172=3,BC172=15),CM172*0.08,IF(AND(R172=12,BC172=3,AF172&lt;=0),0,IF(AND(BC172=15,BI172=0),0,IF(AND(BC172=15,BJ172=0),0,IF(AND(R172=20,CU172=0),0,IF($X$4=0,0,IF(AND(BC172=250,CL172=0),0,IF(AA172&lt;1,0,IF(AND(ISNUMBER(SEARCH("Area",T172)),AU172=3),0,IF(AND(AQ172&gt;0.01,AR172=0,BK172=0,BL172=0,BM172=0,BN172=0),0,IF(AND(AU172=3,CI172=7,CT172&gt;0.5),0,IF(AND(BC172=44,AU172=3,BY172=0),0,IF(AND(BC172=27,'Data Entry'!$C$74=2),0,IF(AND(BC172=28,'Data Entry'!$C$74=2),0,IF(AND(BY172+BZ172+CA172&gt;0.01,BV172=0,EQ172+ER172+ES172+ET172&lt;100),0,IF(AU172=3,CM172*0.08,IF(AU172=2,CM172*0.1,0)))))))))))))))))))))))))))))</f>
        <v>0</v>
      </c>
      <c r="CO172" s="660">
        <f t="shared" si="206"/>
        <v>0</v>
      </c>
      <c r="CP172" s="475" t="str">
        <f t="shared" si="207"/>
        <v/>
      </c>
      <c r="CQ172" s="161" t="str">
        <f>IF(AH172=0,0,IF(AU172=5,0,Summary!AC175))</f>
        <v/>
      </c>
      <c r="CR172" s="161" t="str">
        <f>IF(BF172=0.5,0,IF(AU172=5,0,Summary!AD175))</f>
        <v/>
      </c>
      <c r="CS172" s="161" t="str">
        <f>IF(AU172=5,0,Summary!AE175)</f>
        <v/>
      </c>
      <c r="CT172" s="161">
        <f t="shared" si="208"/>
        <v>0</v>
      </c>
      <c r="CU172" s="475" t="str">
        <f t="shared" si="209"/>
        <v/>
      </c>
      <c r="CV172" s="307">
        <f>IF('Data Entry'!$C$74=0,0,IF(AA172&lt;1,0,IF(ISERROR(CU172),0,IF(CF172=1,0,IF(AND(R172=12,BR172=50),0,IF(CL172+BO172+BV172+DC172=0,0,IF(BC172=37,0,IF(AND(BC172=40,AJ172=0),0,IF(AND(BC172=37,BO172&gt;0.01,BQ172&gt;0.01),ROUND(BQ172,0),IF(CM172&lt;0,0,ROUND(CM172,0)))))))))))</f>
        <v>0</v>
      </c>
      <c r="CW172" s="700">
        <f t="shared" si="210"/>
        <v>0</v>
      </c>
      <c r="CX172" s="477">
        <f>IF('Data Entry'!$C$74=0,0,IF(CV172&lt;0.01,0,IF(BF172=0.5,0,IF(CF172=1,0,IF(ISNUMBER(SEARCH("false",CL172)),0,IF(AZ172=500,0,CL172))))))</f>
        <v>0</v>
      </c>
      <c r="CY172" s="147" t="e">
        <f t="shared" si="211"/>
        <v>#VALUE!</v>
      </c>
      <c r="CZ172" s="147" t="b">
        <f>IF(CN172+CL172=0,FALSE,IF(AH172=0,0,IF(AND('Data Entry'!$C$74=1,CR172&gt;=1),TRUE,IF(AND('Data Entry'!$C$74=2,CS172&gt;=1),TRUE,FALSE))))</f>
        <v>0</v>
      </c>
      <c r="DA172" s="1751">
        <f>IF('Data Entry'!$C$74=0,0,IFERROR(ROUND(IF(T172="","",IF($X$4=0,0,IF(CF172=1,0,IF(BQ172+CV172=0,0,IF(CF172=1,0,IF(CY172&gt;0.01,CY172,IF(CL172&gt;0.01,CL172,IF(CY172&gt;0.01,CY172,IF(BC172=37,BO172,IF(CZ172=FALSE,0,IF(CZ172=TRUE,DC172+DF172,0))))))))))),2),""))</f>
        <v>0</v>
      </c>
      <c r="DB172" s="1752"/>
      <c r="DC172" s="474">
        <f>IF(CN172&lt;0.01,0,IF(AND(BR172=3,CN172&gt;0.01,CT172&gt;0.6,ER172+ES172+ET172&lt;100),0,IF(AND('Data Entry'!$C$74=1,CN172&gt;0.01,CR172&gt;0.99),MIN(CN172:CO172),IF(AND('Data Entry'!$C$74=2,CN172&gt;0.01,CS172&gt;0.99),MIN(CN172:CO172),0))))</f>
        <v>0</v>
      </c>
      <c r="DD172" s="478">
        <f>IF(CF172=1,"Selection does not match",IF(T172=0,0,IF(AND('Data Entry'!$C$74=0,CP172&gt;1),"Select Oregon or Idaho on Data Entry Tab",IF(AND(AU172=1,AA172&gt;0.9),"Missing Interior or Exterior Selection",IF($X$4=0,"Enter Total Project Cost",IF(AQ172&lt;AR172,"Insufficient kWh savings – no incentive",IF(AND(SUM(CL172+CK172+BV172)&gt;0.01,'Data Entry'!$C$74=2,CJ172&gt;1,BO172=0),"Submit Control as Non-Standard",IF(AND('Data Entry'!$C$74=2,BR172=37,CJ172&gt;1,BO172=0),"Submit Control as Non-Standard",IF(SUM(CL172+CK172+BV172)&gt;0.01,"Standard Incentive",IF(AND('Data Entry'!$C$74=2,CP172=7,CN172=0),"Submit as Non-Standard",IF(DC172&gt;0.9,"Non-Standard Incentive",IF(AND(BY172+BZ172+CA172&gt;0.01,BV172=0,EQ172=0,ER172=0,ES172=0,ET172=0),"Scroll Right &amp; Select Control Strategies",IF(AND(CN172&gt;0.01,CO172=0),"Enter Unit Installed Cost",IF(ISNUMBER(SEARCH("Lighting Controls Only",F172)),"Lighting Controls Only",IF(CL172+DC172=0,"Does not meet incentive criteria",0)))))))))))))))</f>
        <v>0</v>
      </c>
      <c r="DE172" s="337">
        <f t="shared" si="212"/>
        <v>0</v>
      </c>
      <c r="DF172" s="609">
        <f t="shared" si="213"/>
        <v>0</v>
      </c>
      <c r="DG172" s="336" t="str">
        <f t="shared" si="214"/>
        <v/>
      </c>
      <c r="DH172" s="338">
        <f t="shared" si="215"/>
        <v>1</v>
      </c>
      <c r="DI172" s="336" t="e">
        <f t="shared" si="170"/>
        <v>#VALUE!</v>
      </c>
      <c r="DJ172" s="338">
        <f t="shared" si="171"/>
        <v>0</v>
      </c>
      <c r="DK172" s="325" t="s">
        <v>1288</v>
      </c>
      <c r="DL172" s="341" t="s">
        <v>34</v>
      </c>
      <c r="DM172" s="340" t="s">
        <v>151</v>
      </c>
      <c r="DN172" s="1123">
        <v>8</v>
      </c>
      <c r="DO172" s="331"/>
      <c r="DP172" s="332"/>
      <c r="DQ172" s="331"/>
      <c r="DR172" s="357"/>
      <c r="DS172" s="1195">
        <f t="shared" si="216"/>
        <v>0</v>
      </c>
      <c r="DT172" s="344" t="b">
        <f t="shared" si="217"/>
        <v>1</v>
      </c>
      <c r="DU172" s="1314" t="str">
        <f t="array" ref="DU172">IF(OR(COUNTIF(F172,"*"&amp;$DK$9:$DK$178&amp;"*")), "Yes", "")</f>
        <v/>
      </c>
      <c r="DV172" s="1314">
        <f t="shared" si="218"/>
        <v>0</v>
      </c>
      <c r="DW172" s="1480">
        <f t="shared" si="219"/>
        <v>0</v>
      </c>
      <c r="DX172" s="1498">
        <f t="shared" si="228"/>
        <v>0</v>
      </c>
      <c r="DY172" s="1484">
        <f t="shared" si="220"/>
        <v>0</v>
      </c>
      <c r="DZ172" s="331"/>
      <c r="EA172" s="392"/>
      <c r="EB172" s="1499" t="s">
        <v>73</v>
      </c>
      <c r="EC172" s="727" t="s">
        <v>1568</v>
      </c>
      <c r="ED172" s="728">
        <v>0.5</v>
      </c>
      <c r="EE172" s="1215"/>
      <c r="EF172" s="1215"/>
      <c r="EG172" s="1184" t="str">
        <f t="shared" si="221"/>
        <v/>
      </c>
      <c r="EH172" s="55"/>
      <c r="EI172" s="55"/>
      <c r="EJ172" s="1185">
        <f t="shared" si="172"/>
        <v>0</v>
      </c>
      <c r="EK172" s="1211"/>
      <c r="EL172" s="1180">
        <f t="shared" si="173"/>
        <v>0</v>
      </c>
      <c r="EM172" s="206"/>
      <c r="EN172" s="1038"/>
      <c r="EO172" s="1038"/>
      <c r="EP172" s="1038"/>
      <c r="EQ172" s="1038">
        <f t="shared" si="222"/>
        <v>0</v>
      </c>
      <c r="ER172" s="1041">
        <f t="shared" si="223"/>
        <v>0</v>
      </c>
      <c r="ES172" s="1042">
        <f t="shared" si="224"/>
        <v>0</v>
      </c>
      <c r="ET172" s="1042">
        <f t="shared" si="229"/>
        <v>0</v>
      </c>
      <c r="EU172" s="1021">
        <f t="shared" si="230"/>
        <v>0</v>
      </c>
      <c r="EV172" s="368"/>
      <c r="EW172" s="368"/>
      <c r="EX172" s="369"/>
      <c r="EY172" s="370"/>
      <c r="EZ172" s="370"/>
      <c r="FA172" s="371"/>
      <c r="FB172" s="372"/>
    </row>
    <row r="173" spans="1:158" ht="34.5" customHeight="1">
      <c r="A173" s="82">
        <v>165</v>
      </c>
      <c r="B173" s="1725"/>
      <c r="C173" s="1726"/>
      <c r="D173" s="1726"/>
      <c r="E173" s="1727"/>
      <c r="F173" s="1732"/>
      <c r="G173" s="1733"/>
      <c r="H173" s="1733"/>
      <c r="I173" s="1734"/>
      <c r="J173" s="1341"/>
      <c r="K173" s="1728"/>
      <c r="L173" s="1728"/>
      <c r="M173" s="1342"/>
      <c r="N173" s="1583"/>
      <c r="O173" s="208" t="str">
        <f t="shared" si="160"/>
        <v/>
      </c>
      <c r="P173" s="785"/>
      <c r="Q173" s="39" t="str">
        <f t="shared" si="161"/>
        <v/>
      </c>
      <c r="R173" s="39">
        <f t="shared" si="174"/>
        <v>0</v>
      </c>
      <c r="S173" s="234">
        <f t="shared" si="175"/>
        <v>0</v>
      </c>
      <c r="T173" s="1755"/>
      <c r="U173" s="1755"/>
      <c r="V173" s="1755"/>
      <c r="W173" s="1345"/>
      <c r="X173" s="1741"/>
      <c r="Y173" s="1742"/>
      <c r="Z173" s="1346"/>
      <c r="AA173" s="1343"/>
      <c r="AB173" s="1141"/>
      <c r="AC173" s="1103" t="str">
        <f>IF(T173="","",VLOOKUP(Z173,Lists!$A$60:$B$111,2,FALSE))</f>
        <v/>
      </c>
      <c r="AD173" s="130" t="str">
        <f t="shared" si="176"/>
        <v/>
      </c>
      <c r="AE173" s="130" t="e">
        <f t="shared" si="177"/>
        <v>#VALUE!</v>
      </c>
      <c r="AF173" s="130">
        <f t="shared" si="178"/>
        <v>1</v>
      </c>
      <c r="AG173" s="234">
        <f t="shared" si="162"/>
        <v>0</v>
      </c>
      <c r="AH173" s="1753" t="str">
        <f>IF(T173="","",(IF(ISNUMBER(SEARCH("exit",T173)),8760,IF(AND(M173="Dusk to Dawn",'Proposed Lighting'!AU173=3),4059,IF(AND(AU173=3,M173="1"),0,IF(AND(AU173=3,M173="1-C"),0,IF(AND(AU173=3,M173="2"),0,IF(AND(AU173=3,M173="2-C"),0,IF(AND(AU173=3,M173="3"),0,IF(AND(AU173=3,M173="3-C"),0,IF(AND(AU173=2,M173="Dusk to Dawn"),0,IF(AND(AU173=2,M173="Dusk to Dawn-C"),0,IF(AND(AU173=2,M173="Dusk to Dawn"),0,IF(AND(AU173=2,M173="E"),0,IF(AND(AU173=2,M173="E-C"),0,EG173)))))))))))))))</f>
        <v/>
      </c>
      <c r="AI173" s="1754"/>
      <c r="AJ173" s="1136"/>
      <c r="AK173" s="1136"/>
      <c r="AL173" s="1748">
        <f t="shared" si="179"/>
        <v>0</v>
      </c>
      <c r="AM173" s="1749"/>
      <c r="AN173" s="1750"/>
      <c r="AO173" s="476">
        <f t="shared" si="163"/>
        <v>0</v>
      </c>
      <c r="AP173" s="476">
        <f t="shared" si="180"/>
        <v>0</v>
      </c>
      <c r="AQ173" s="475">
        <f t="shared" si="164"/>
        <v>0</v>
      </c>
      <c r="AR173" s="475">
        <f t="shared" si="181"/>
        <v>0</v>
      </c>
      <c r="AS173" s="743" t="str">
        <f t="shared" si="233"/>
        <v/>
      </c>
      <c r="AT173" s="736" t="str">
        <f t="shared" si="182"/>
        <v/>
      </c>
      <c r="AU173" s="56">
        <f t="shared" si="183"/>
        <v>1</v>
      </c>
      <c r="AV173" s="476">
        <f t="shared" si="184"/>
        <v>0</v>
      </c>
      <c r="AW173" s="56">
        <f t="shared" si="185"/>
        <v>0</v>
      </c>
      <c r="AX173" s="475">
        <f t="shared" si="165"/>
        <v>0</v>
      </c>
      <c r="AY173" s="1169">
        <f t="shared" si="186"/>
        <v>0</v>
      </c>
      <c r="AZ173" s="1150">
        <f t="shared" si="225"/>
        <v>0</v>
      </c>
      <c r="BA173" s="56">
        <f t="shared" si="166"/>
        <v>0</v>
      </c>
      <c r="BB173" s="420">
        <f t="shared" si="167"/>
        <v>0</v>
      </c>
      <c r="BC173" s="58" t="str">
        <f t="shared" si="168"/>
        <v/>
      </c>
      <c r="BD173" s="660">
        <f t="shared" si="226"/>
        <v>0</v>
      </c>
      <c r="BE173" s="57" t="e">
        <f t="array" ref="BE173">INDEX($EB$11:$ED$1022,MATCH(F173&amp;T173,$EB$11:$EB$1007&amp;$EC$11:$EC$1007,0),3)</f>
        <v>#N/A</v>
      </c>
      <c r="BF173" s="463">
        <f t="shared" si="234"/>
        <v>0</v>
      </c>
      <c r="BG173" s="1445" t="e">
        <f t="array" ref="BG173">INDEX($DO$112:$DQ$123,MATCH(T173&amp;W173,$DO$114:$DO$125&amp;$DP$112:$DP$123,0),3)</f>
        <v>#N/A</v>
      </c>
      <c r="BH173" s="1446">
        <f t="shared" si="187"/>
        <v>0</v>
      </c>
      <c r="BI173" s="465">
        <f t="shared" si="188"/>
        <v>0</v>
      </c>
      <c r="BJ173" s="465">
        <f t="shared" si="189"/>
        <v>0</v>
      </c>
      <c r="BK173" s="466">
        <f t="shared" si="235"/>
        <v>0</v>
      </c>
      <c r="BL173" s="466">
        <f t="shared" si="236"/>
        <v>0</v>
      </c>
      <c r="BM173" s="466">
        <f t="shared" si="190"/>
        <v>0</v>
      </c>
      <c r="BN173" s="466">
        <f t="shared" si="191"/>
        <v>0</v>
      </c>
      <c r="BO173" s="463">
        <f>IF('Data Entry'!$C$74=0,0,IF(ISNA(CJ173),0,IF(AX173=0,0,IF(AND('Data Entry'!$C$74=2,AF173&gt;2,CE173&lt;1),0,IF(AND('Data Entry'!$C$74=2,AF173&gt;1,AU173=2,CJ173&gt;1),0,IF(AND(AF173=5,CT173=0.5,AU173=2,ER173&lt;100),0,IF(AND(AF173=5,CT173=0.5,AU173=3,ER173&lt;100),0,IF(AND('Data Entry'!$C$74=2,AF173=2,AU173=2,AK173&gt;0.01,CB173=2,CE173&lt;1),0,IF(AND('Data Entry'!$C$74=2,AF173=3,AU173=3,AK173&gt;0.01,CB173=3,CE173&lt;1),0,IF(AND('Data Entry'!$C$74=2,AF173=3,AU173=3,AK173&gt;0.01,CB173=3,CE173&gt;0.99),BQ173*0.08,IF(AND('Data Entry'!$C$74=2,AF173=2,AU173=2,AK173&gt;0.01,CB173=2,CE173&gt;0.99),BQ173*0.1,IF(AND(AU173=2,AK173&gt;0.01,CB173=2,CD173&gt;1),BQ173*0.1,IF(AND(AU173=3,AK173&gt;0.01,CB173=3,CD173&gt;1),BQ173*0.08,CJ173*EF173)))))))))))))</f>
        <v>0</v>
      </c>
      <c r="BP173" s="475">
        <f t="shared" si="192"/>
        <v>0</v>
      </c>
      <c r="BQ173" s="1431">
        <f>IF(AU173=1,0,IF(CH173=100,0,IF(AND(AF173=3,AU173=2),0,IF(AND(BH173=0,CT173&gt;0.4),0,IF(AND('Data Entry'!$C$74=2,AF173=1.5),0,IF(AND('Data Entry'!$C$74=2,AF173=1.6),0,IF(AND('Data Entry'!$C$74=2,AF173=4),0,IF(AND('Data Entry'!$C$74=2,AF173=5),0,IF(AND('Data Entry'!$C$74=2,AF173=2.5,CE173&lt;1),0,IF(AND('Data Entry'!$C$74=2,AF173=3,CE173&lt;1),0,IF(AND('Data Entry'!$C$74=1,AF173=2.5,CD173&lt;1),0,IF(AND('Data Entry'!$C$74=1,AF173=3,CD173&lt;1),0,IF(DX173&gt;0.01,DX173,IF(ISERROR(AX173-AY173),"",ROUND(AX173-AY173,2)))))))))))))))</f>
        <v>0</v>
      </c>
      <c r="BR173" s="146">
        <f t="shared" si="193"/>
        <v>0</v>
      </c>
      <c r="BS173" s="475">
        <f t="shared" si="194"/>
        <v>0</v>
      </c>
      <c r="BT173" s="146" t="b">
        <f t="shared" si="195"/>
        <v>0</v>
      </c>
      <c r="BU173" s="463">
        <f>IF(ISNA(AT173),0,IF(AND('Data Entry'!$C$74=2,BC173=27),0,IF(AND('Data Entry'!$C$74=2,BC173=28),0,IF(AND(BC173=27,BT173=27,CM173&gt;0.1),CM173*0.15,IF(AND(BC173=28,BT173=28,CM173&gt;0.1),CM173*0.12,0)))))</f>
        <v>0</v>
      </c>
      <c r="BV173" s="463">
        <f t="shared" si="232"/>
        <v>0</v>
      </c>
      <c r="BW173" s="463">
        <f t="shared" si="196"/>
        <v>0</v>
      </c>
      <c r="BX173" s="463">
        <f t="shared" si="197"/>
        <v>0</v>
      </c>
      <c r="BY173" s="463">
        <f t="shared" si="198"/>
        <v>0</v>
      </c>
      <c r="BZ173" s="463">
        <f t="shared" si="199"/>
        <v>0</v>
      </c>
      <c r="CA173" s="57">
        <f t="shared" si="227"/>
        <v>0</v>
      </c>
      <c r="CB173" s="56">
        <f t="shared" si="200"/>
        <v>1</v>
      </c>
      <c r="CC173" s="756">
        <f>IF(EE173=0,0,IF(EF173=0,0,IF(EE173&gt;AA173,0,IF(AND(AZ173&gt;AW173,AW173&gt;0),0,IF(CU173=0,0,Summary!AC476)))))</f>
        <v>0</v>
      </c>
      <c r="CD173" s="756">
        <f>IF(EE173=0,0,IF(EF173=0,0,IF(EE173&gt;AA173,0,IF(AND(AZ173&gt;AW173,AW173&gt;0),0,IF(CU173=0,0,Summary!AD476)))))</f>
        <v>0</v>
      </c>
      <c r="CE173" s="756">
        <f>IF(EF173=0,0,IF(EE173&gt;AA173,0,IF(CC173=0,0,IF(AND(AZ173&gt;AW173,AW173&gt;0),0,IF(CU173=0,0,Summary!AE476)))))</f>
        <v>0</v>
      </c>
      <c r="CF173" s="475">
        <f t="shared" si="201"/>
        <v>0</v>
      </c>
      <c r="CG173" s="476">
        <f t="shared" si="169"/>
        <v>0</v>
      </c>
      <c r="CH173" s="487">
        <f t="shared" si="202"/>
        <v>0</v>
      </c>
      <c r="CI173" s="756">
        <f t="shared" si="203"/>
        <v>0</v>
      </c>
      <c r="CJ173" s="487">
        <f>IF(CT173&gt;0.4,0,IF(AND(AU173=2,CH173=0,CT173=0.5,ER173=100),35,IF(AND(AU173=3,BB173&gt;75,CH173=0,CT173=0.5,ER173=100),25,IF(CB173&gt;1,0,IF(EF173&gt;EE173,0,IF(AND(AF173&gt;1,CH173=100),0,IF(AND(AF173=1,AY173=0),0,IF(AND(EF173&lt;=EE173,AW173&gt;=AZ173,'Data Entry'!$C$74=1,AU173=2),VLOOKUP(W173,$DO$96:$DP$102,2,FALSE),IF(AND(EF173&lt;=EE173,AW173&gt;=AZ173,AU173=3,'Data Entry'!$C$74=1),VLOOKUP(W173,$DO$127:$DP$134,2,FALSE))))))))))</f>
        <v>0</v>
      </c>
      <c r="CK173" s="716">
        <f t="shared" si="204"/>
        <v>0</v>
      </c>
      <c r="CL173" s="57">
        <f t="shared" si="205"/>
        <v>0</v>
      </c>
      <c r="CM173" s="475">
        <f t="shared" si="231"/>
        <v>0</v>
      </c>
      <c r="CN173" s="660">
        <f>IF(CM173&lt;0.1,0,IF(ISNA(AT173),0,IF(CL173+BC173=1,0,IF(BV173&gt;0.01,0,IF(CL173&gt;0.01,0,IF(CF173=1,0,IF(BC173=0.5,0,IF(AND(CI173=1,AU173=3),0,IF(AND(CI173=5,CL173=0),0,IF(AND(R173=12,BR173=50),0,IF(CK173&gt;0.01,0,IF(AND(AJ173&gt;0.01,AU173=2,BC173=15),CM173*0.1,IF(AND(AJ173&gt;0.01,AU173=3,BC173=15),CM173*0.08,IF(AND(R173=12,BC173=3,AF173&lt;=0),0,IF(AND(BC173=15,BI173=0),0,IF(AND(BC173=15,BJ173=0),0,IF(AND(R173=20,CU173=0),0,IF($X$4=0,0,IF(AND(BC173=250,CL173=0),0,IF(AA173&lt;1,0,IF(AND(ISNUMBER(SEARCH("Area",T173)),AU173=3),0,IF(AND(AQ173&gt;0.01,AR173=0,BK173=0,BL173=0,BM173=0,BN173=0),0,IF(AND(AU173=3,CI173=7,CT173&gt;0.5),0,IF(AND(BC173=44,AU173=3,BY173=0),0,IF(AND(BC173=27,'Data Entry'!$C$74=2),0,IF(AND(BC173=28,'Data Entry'!$C$74=2),0,IF(AND(BY173+BZ173+CA173&gt;0.01,BV173=0,EQ173+ER173+ES173+ET173&lt;100),0,IF(AU173=3,CM173*0.08,IF(AU173=2,CM173*0.1,0)))))))))))))))))))))))))))))</f>
        <v>0</v>
      </c>
      <c r="CO173" s="660">
        <f t="shared" si="206"/>
        <v>0</v>
      </c>
      <c r="CP173" s="475" t="str">
        <f t="shared" si="207"/>
        <v/>
      </c>
      <c r="CQ173" s="161" t="str">
        <f>IF(AH173=0,0,IF(AU173=5,0,Summary!AC176))</f>
        <v/>
      </c>
      <c r="CR173" s="161" t="str">
        <f>IF(BF173=0.5,0,IF(AU173=5,0,Summary!AD176))</f>
        <v/>
      </c>
      <c r="CS173" s="161" t="str">
        <f>IF(AU173=5,0,Summary!AE176)</f>
        <v/>
      </c>
      <c r="CT173" s="161">
        <f t="shared" si="208"/>
        <v>0</v>
      </c>
      <c r="CU173" s="475" t="str">
        <f t="shared" si="209"/>
        <v/>
      </c>
      <c r="CV173" s="307">
        <f>IF('Data Entry'!$C$74=0,0,IF(AA173&lt;1,0,IF(ISERROR(CU173),0,IF(CF173=1,0,IF(AND(R173=12,BR173=50),0,IF(CL173+BO173+BV173+DC173=0,0,IF(BC173=37,0,IF(AND(BC173=40,AJ173=0),0,IF(AND(BC173=37,BO173&gt;0.01,BQ173&gt;0.01),ROUND(BQ173,0),IF(CM173&lt;0,0,ROUND(CM173,0)))))))))))</f>
        <v>0</v>
      </c>
      <c r="CW173" s="700">
        <f t="shared" si="210"/>
        <v>0</v>
      </c>
      <c r="CX173" s="477">
        <f>IF('Data Entry'!$C$74=0,0,IF(CV173&lt;0.01,0,IF(BF173=0.5,0,IF(CF173=1,0,IF(ISNUMBER(SEARCH("false",CL173)),0,IF(AZ173=500,0,CL173))))))</f>
        <v>0</v>
      </c>
      <c r="CY173" s="147" t="e">
        <f t="shared" si="211"/>
        <v>#VALUE!</v>
      </c>
      <c r="CZ173" s="147" t="b">
        <f>IF(CN173+CL173=0,FALSE,IF(AH173=0,0,IF(AND('Data Entry'!$C$74=1,CR173&gt;=1),TRUE,IF(AND('Data Entry'!$C$74=2,CS173&gt;=1),TRUE,FALSE))))</f>
        <v>0</v>
      </c>
      <c r="DA173" s="1751">
        <f>IF('Data Entry'!$C$74=0,0,IFERROR(ROUND(IF(T173="","",IF($X$4=0,0,IF(CF173=1,0,IF(BQ173+CV173=0,0,IF(CF173=1,0,IF(CY173&gt;0.01,CY173,IF(CL173&gt;0.01,CL173,IF(CY173&gt;0.01,CY173,IF(BC173=37,BO173,IF(CZ173=FALSE,0,IF(CZ173=TRUE,DC173+DF173,0))))))))))),2),""))</f>
        <v>0</v>
      </c>
      <c r="DB173" s="1752"/>
      <c r="DC173" s="474">
        <f>IF(CN173&lt;0.01,0,IF(AND(BR173=3,CN173&gt;0.01,CT173&gt;0.6,ER173+ES173+ET173&lt;100),0,IF(AND('Data Entry'!$C$74=1,CN173&gt;0.01,CR173&gt;0.99),MIN(CN173:CO173),IF(AND('Data Entry'!$C$74=2,CN173&gt;0.01,CS173&gt;0.99),MIN(CN173:CO173),0))))</f>
        <v>0</v>
      </c>
      <c r="DD173" s="478">
        <f>IF(CF173=1,"Selection does not match",IF(T173=0,0,IF(AND('Data Entry'!$C$74=0,CP173&gt;1),"Select Oregon or Idaho on Data Entry Tab",IF(AND(AU173=1,AA173&gt;0.9),"Missing Interior or Exterior Selection",IF($X$4=0,"Enter Total Project Cost",IF(AQ173&lt;AR173,"Insufficient kWh savings – no incentive",IF(AND(SUM(CL173+CK173+BV173)&gt;0.01,'Data Entry'!$C$74=2,CJ173&gt;1,BO173=0),"Submit Control as Non-Standard",IF(AND('Data Entry'!$C$74=2,BR173=37,CJ173&gt;1,BO173=0),"Submit Control as Non-Standard",IF(SUM(CL173+CK173+BV173)&gt;0.01,"Standard Incentive",IF(AND('Data Entry'!$C$74=2,CP173=7,CN173=0),"Submit as Non-Standard",IF(DC173&gt;0.9,"Non-Standard Incentive",IF(AND(BY173+BZ173+CA173&gt;0.01,BV173=0,EQ173=0,ER173=0,ES173=0,ET173=0),"Scroll Right &amp; Select Control Strategies",IF(AND(CN173&gt;0.01,CO173=0),"Enter Unit Installed Cost",IF(ISNUMBER(SEARCH("Lighting Controls Only",F173)),"Lighting Controls Only",IF(CL173+DC173=0,"Does not meet incentive criteria",0)))))))))))))))</f>
        <v>0</v>
      </c>
      <c r="DE173" s="337">
        <f t="shared" si="212"/>
        <v>0</v>
      </c>
      <c r="DF173" s="609">
        <f t="shared" si="213"/>
        <v>0</v>
      </c>
      <c r="DG173" s="336" t="str">
        <f t="shared" si="214"/>
        <v/>
      </c>
      <c r="DH173" s="338">
        <f t="shared" si="215"/>
        <v>1</v>
      </c>
      <c r="DI173" s="336" t="e">
        <f t="shared" si="170"/>
        <v>#VALUE!</v>
      </c>
      <c r="DJ173" s="338">
        <f t="shared" si="171"/>
        <v>0</v>
      </c>
      <c r="DK173" s="325" t="s">
        <v>73</v>
      </c>
      <c r="DL173" s="341" t="s">
        <v>450</v>
      </c>
      <c r="DM173" s="340" t="s">
        <v>152</v>
      </c>
      <c r="DN173" s="1123">
        <v>12</v>
      </c>
      <c r="DO173" s="331"/>
      <c r="DP173" s="332"/>
      <c r="DQ173" s="375"/>
      <c r="DR173" s="357"/>
      <c r="DS173" s="1195">
        <f t="shared" si="216"/>
        <v>0</v>
      </c>
      <c r="DT173" s="344" t="b">
        <f t="shared" si="217"/>
        <v>1</v>
      </c>
      <c r="DU173" s="1314" t="str">
        <f t="array" ref="DU173">IF(OR(COUNTIF(F173,"*"&amp;$DK$9:$DK$178&amp;"*")), "Yes", "")</f>
        <v/>
      </c>
      <c r="DV173" s="1314">
        <f t="shared" si="218"/>
        <v>0</v>
      </c>
      <c r="DW173" s="1480">
        <f t="shared" si="219"/>
        <v>0</v>
      </c>
      <c r="DX173" s="1498">
        <f t="shared" si="228"/>
        <v>0</v>
      </c>
      <c r="DY173" s="1484">
        <f t="shared" si="220"/>
        <v>0</v>
      </c>
      <c r="DZ173" s="331"/>
      <c r="EA173" s="392"/>
      <c r="EB173" s="1499" t="s">
        <v>1285</v>
      </c>
      <c r="EC173" s="727" t="s">
        <v>1568</v>
      </c>
      <c r="ED173" s="728">
        <v>0.5</v>
      </c>
      <c r="EE173" s="1215"/>
      <c r="EF173" s="1215"/>
      <c r="EG173" s="1184" t="str">
        <f t="shared" si="221"/>
        <v/>
      </c>
      <c r="EH173" s="55"/>
      <c r="EI173" s="55"/>
      <c r="EJ173" s="1185">
        <f t="shared" si="172"/>
        <v>0</v>
      </c>
      <c r="EK173" s="1211"/>
      <c r="EL173" s="1180">
        <f t="shared" si="173"/>
        <v>0</v>
      </c>
      <c r="EM173" s="206"/>
      <c r="EN173" s="1038"/>
      <c r="EO173" s="1038"/>
      <c r="EP173" s="1038"/>
      <c r="EQ173" s="1038">
        <f t="shared" si="222"/>
        <v>0</v>
      </c>
      <c r="ER173" s="1041">
        <f t="shared" si="223"/>
        <v>0</v>
      </c>
      <c r="ES173" s="1042">
        <f t="shared" si="224"/>
        <v>0</v>
      </c>
      <c r="ET173" s="1042">
        <f t="shared" si="229"/>
        <v>0</v>
      </c>
      <c r="EU173" s="1021">
        <f t="shared" si="230"/>
        <v>0</v>
      </c>
      <c r="EV173" s="368"/>
      <c r="EW173" s="368"/>
      <c r="EX173" s="369"/>
      <c r="EY173" s="370"/>
      <c r="EZ173" s="370"/>
      <c r="FA173" s="371"/>
      <c r="FB173" s="372"/>
    </row>
    <row r="174" spans="1:158" ht="34.5" customHeight="1">
      <c r="A174" s="82">
        <v>166</v>
      </c>
      <c r="B174" s="1725"/>
      <c r="C174" s="1726"/>
      <c r="D174" s="1726"/>
      <c r="E174" s="1727"/>
      <c r="F174" s="1732"/>
      <c r="G174" s="1733"/>
      <c r="H174" s="1733"/>
      <c r="I174" s="1734"/>
      <c r="J174" s="1341"/>
      <c r="K174" s="1728"/>
      <c r="L174" s="1728"/>
      <c r="M174" s="1342"/>
      <c r="N174" s="1583"/>
      <c r="O174" s="208" t="str">
        <f t="shared" si="160"/>
        <v/>
      </c>
      <c r="P174" s="785"/>
      <c r="Q174" s="39" t="str">
        <f t="shared" si="161"/>
        <v/>
      </c>
      <c r="R174" s="39">
        <f t="shared" si="174"/>
        <v>0</v>
      </c>
      <c r="S174" s="234">
        <f t="shared" si="175"/>
        <v>0</v>
      </c>
      <c r="T174" s="1755"/>
      <c r="U174" s="1755"/>
      <c r="V174" s="1755"/>
      <c r="W174" s="1345"/>
      <c r="X174" s="1741"/>
      <c r="Y174" s="1742"/>
      <c r="Z174" s="1346"/>
      <c r="AA174" s="1343"/>
      <c r="AB174" s="1141"/>
      <c r="AC174" s="1103" t="str">
        <f>IF(T174="","",VLOOKUP(Z174,Lists!$A$60:$B$111,2,FALSE))</f>
        <v/>
      </c>
      <c r="AD174" s="130" t="str">
        <f t="shared" si="176"/>
        <v/>
      </c>
      <c r="AE174" s="130" t="e">
        <f t="shared" si="177"/>
        <v>#VALUE!</v>
      </c>
      <c r="AF174" s="130">
        <f t="shared" si="178"/>
        <v>1</v>
      </c>
      <c r="AG174" s="234">
        <f t="shared" si="162"/>
        <v>0</v>
      </c>
      <c r="AH174" s="1753" t="str">
        <f>IF(T174="","",(IF(ISNUMBER(SEARCH("exit",T174)),8760,IF(AND(M174="Dusk to Dawn",'Proposed Lighting'!AU174=3),4059,IF(AND(AU174=3,M174="1"),0,IF(AND(AU174=3,M174="1-C"),0,IF(AND(AU174=3,M174="2"),0,IF(AND(AU174=3,M174="2-C"),0,IF(AND(AU174=3,M174="3"),0,IF(AND(AU174=3,M174="3-C"),0,IF(AND(AU174=2,M174="Dusk to Dawn"),0,IF(AND(AU174=2,M174="Dusk to Dawn-C"),0,IF(AND(AU174=2,M174="Dusk to Dawn"),0,IF(AND(AU174=2,M174="E"),0,IF(AND(AU174=2,M174="E-C"),0,EG174)))))))))))))))</f>
        <v/>
      </c>
      <c r="AI174" s="1754"/>
      <c r="AJ174" s="1136"/>
      <c r="AK174" s="1136"/>
      <c r="AL174" s="1748">
        <f t="shared" si="179"/>
        <v>0</v>
      </c>
      <c r="AM174" s="1749"/>
      <c r="AN174" s="1750"/>
      <c r="AO174" s="476">
        <f t="shared" si="163"/>
        <v>0</v>
      </c>
      <c r="AP174" s="476">
        <f t="shared" si="180"/>
        <v>0</v>
      </c>
      <c r="AQ174" s="475">
        <f t="shared" si="164"/>
        <v>0</v>
      </c>
      <c r="AR174" s="475">
        <f t="shared" si="181"/>
        <v>0</v>
      </c>
      <c r="AS174" s="743" t="str">
        <f t="shared" si="233"/>
        <v/>
      </c>
      <c r="AT174" s="736" t="str">
        <f t="shared" si="182"/>
        <v/>
      </c>
      <c r="AU174" s="56">
        <f t="shared" si="183"/>
        <v>1</v>
      </c>
      <c r="AV174" s="476">
        <f t="shared" si="184"/>
        <v>0</v>
      </c>
      <c r="AW174" s="56">
        <f t="shared" si="185"/>
        <v>0</v>
      </c>
      <c r="AX174" s="475">
        <f t="shared" si="165"/>
        <v>0</v>
      </c>
      <c r="AY174" s="1169">
        <f t="shared" si="186"/>
        <v>0</v>
      </c>
      <c r="AZ174" s="1150">
        <f t="shared" si="225"/>
        <v>0</v>
      </c>
      <c r="BA174" s="56">
        <f t="shared" si="166"/>
        <v>0</v>
      </c>
      <c r="BB174" s="420">
        <f t="shared" si="167"/>
        <v>0</v>
      </c>
      <c r="BC174" s="58" t="str">
        <f t="shared" si="168"/>
        <v/>
      </c>
      <c r="BD174" s="660">
        <f t="shared" si="226"/>
        <v>0</v>
      </c>
      <c r="BE174" s="57" t="e">
        <f t="array" ref="BE174">INDEX($EB$11:$ED$1022,MATCH(F174&amp;T174,$EB$11:$EB$1007&amp;$EC$11:$EC$1007,0),3)</f>
        <v>#N/A</v>
      </c>
      <c r="BF174" s="463">
        <f t="shared" si="234"/>
        <v>0</v>
      </c>
      <c r="BG174" s="1445" t="e">
        <f t="array" ref="BG174">INDEX($DO$112:$DQ$123,MATCH(T174&amp;W174,$DO$114:$DO$125&amp;$DP$112:$DP$123,0),3)</f>
        <v>#N/A</v>
      </c>
      <c r="BH174" s="1446">
        <f t="shared" si="187"/>
        <v>0</v>
      </c>
      <c r="BI174" s="465">
        <f t="shared" si="188"/>
        <v>0</v>
      </c>
      <c r="BJ174" s="465">
        <f t="shared" si="189"/>
        <v>0</v>
      </c>
      <c r="BK174" s="466">
        <f t="shared" si="235"/>
        <v>0</v>
      </c>
      <c r="BL174" s="466">
        <f t="shared" si="236"/>
        <v>0</v>
      </c>
      <c r="BM174" s="466">
        <f t="shared" si="190"/>
        <v>0</v>
      </c>
      <c r="BN174" s="466">
        <f t="shared" si="191"/>
        <v>0</v>
      </c>
      <c r="BO174" s="463">
        <f>IF('Data Entry'!$C$74=0,0,IF(ISNA(CJ174),0,IF(AX174=0,0,IF(AND('Data Entry'!$C$74=2,AF174&gt;2,CE174&lt;1),0,IF(AND('Data Entry'!$C$74=2,AF174&gt;1,AU174=2,CJ174&gt;1),0,IF(AND(AF174=5,CT174=0.5,AU174=2,ER174&lt;100),0,IF(AND(AF174=5,CT174=0.5,AU174=3,ER174&lt;100),0,IF(AND('Data Entry'!$C$74=2,AF174=2,AU174=2,AK174&gt;0.01,CB174=2,CE174&lt;1),0,IF(AND('Data Entry'!$C$74=2,AF174=3,AU174=3,AK174&gt;0.01,CB174=3,CE174&lt;1),0,IF(AND('Data Entry'!$C$74=2,AF174=3,AU174=3,AK174&gt;0.01,CB174=3,CE174&gt;0.99),BQ174*0.08,IF(AND('Data Entry'!$C$74=2,AF174=2,AU174=2,AK174&gt;0.01,CB174=2,CE174&gt;0.99),BQ174*0.1,IF(AND(AU174=2,AK174&gt;0.01,CB174=2,CD174&gt;1),BQ174*0.1,IF(AND(AU174=3,AK174&gt;0.01,CB174=3,CD174&gt;1),BQ174*0.08,CJ174*EF174)))))))))))))</f>
        <v>0</v>
      </c>
      <c r="BP174" s="475">
        <f t="shared" si="192"/>
        <v>0</v>
      </c>
      <c r="BQ174" s="1431">
        <f>IF(AU174=1,0,IF(CH174=100,0,IF(AND(AF174=3,AU174=2),0,IF(AND(BH174=0,CT174&gt;0.4),0,IF(AND('Data Entry'!$C$74=2,AF174=1.5),0,IF(AND('Data Entry'!$C$74=2,AF174=1.6),0,IF(AND('Data Entry'!$C$74=2,AF174=4),0,IF(AND('Data Entry'!$C$74=2,AF174=5),0,IF(AND('Data Entry'!$C$74=2,AF174=2.5,CE174&lt;1),0,IF(AND('Data Entry'!$C$74=2,AF174=3,CE174&lt;1),0,IF(AND('Data Entry'!$C$74=1,AF174=2.5,CD174&lt;1),0,IF(AND('Data Entry'!$C$74=1,AF174=3,CD174&lt;1),0,IF(DX174&gt;0.01,DX174,IF(ISERROR(AX174-AY174),"",ROUND(AX174-AY174,2)))))))))))))))</f>
        <v>0</v>
      </c>
      <c r="BR174" s="146">
        <f t="shared" si="193"/>
        <v>0</v>
      </c>
      <c r="BS174" s="475">
        <f t="shared" si="194"/>
        <v>0</v>
      </c>
      <c r="BT174" s="146" t="b">
        <f t="shared" si="195"/>
        <v>0</v>
      </c>
      <c r="BU174" s="463">
        <f>IF(ISNA(AT174),0,IF(AND('Data Entry'!$C$74=2,BC174=27),0,IF(AND('Data Entry'!$C$74=2,BC174=28),0,IF(AND(BC174=27,BT174=27,CM174&gt;0.1),CM174*0.15,IF(AND(BC174=28,BT174=28,CM174&gt;0.1),CM174*0.12,0)))))</f>
        <v>0</v>
      </c>
      <c r="BV174" s="463">
        <f t="shared" si="232"/>
        <v>0</v>
      </c>
      <c r="BW174" s="463">
        <f t="shared" si="196"/>
        <v>0</v>
      </c>
      <c r="BX174" s="463">
        <f t="shared" si="197"/>
        <v>0</v>
      </c>
      <c r="BY174" s="463">
        <f t="shared" si="198"/>
        <v>0</v>
      </c>
      <c r="BZ174" s="463">
        <f t="shared" si="199"/>
        <v>0</v>
      </c>
      <c r="CA174" s="57">
        <f t="shared" si="227"/>
        <v>0</v>
      </c>
      <c r="CB174" s="56">
        <f t="shared" si="200"/>
        <v>1</v>
      </c>
      <c r="CC174" s="756">
        <f>IF(EE174=0,0,IF(EF174=0,0,IF(EE174&gt;AA174,0,IF(AND(AZ174&gt;AW174,AW174&gt;0),0,IF(CU174=0,0,Summary!AC477)))))</f>
        <v>0</v>
      </c>
      <c r="CD174" s="756">
        <f>IF(EE174=0,0,IF(EF174=0,0,IF(EE174&gt;AA174,0,IF(AND(AZ174&gt;AW174,AW174&gt;0),0,IF(CU174=0,0,Summary!AD477)))))</f>
        <v>0</v>
      </c>
      <c r="CE174" s="756">
        <f>IF(EF174=0,0,IF(EE174&gt;AA174,0,IF(CC174=0,0,IF(AND(AZ174&gt;AW174,AW174&gt;0),0,IF(CU174=0,0,Summary!AE477)))))</f>
        <v>0</v>
      </c>
      <c r="CF174" s="475">
        <f t="shared" si="201"/>
        <v>0</v>
      </c>
      <c r="CG174" s="476">
        <f t="shared" si="169"/>
        <v>0</v>
      </c>
      <c r="CH174" s="487">
        <f t="shared" si="202"/>
        <v>0</v>
      </c>
      <c r="CI174" s="756">
        <f t="shared" si="203"/>
        <v>0</v>
      </c>
      <c r="CJ174" s="487">
        <f>IF(CT174&gt;0.4,0,IF(AND(AU174=2,CH174=0,CT174=0.5,ER174=100),35,IF(AND(AU174=3,BB174&gt;75,CH174=0,CT174=0.5,ER174=100),25,IF(CB174&gt;1,0,IF(EF174&gt;EE174,0,IF(AND(AF174&gt;1,CH174=100),0,IF(AND(AF174=1,AY174=0),0,IF(AND(EF174&lt;=EE174,AW174&gt;=AZ174,'Data Entry'!$C$74=1,AU174=2),VLOOKUP(W174,$DO$96:$DP$102,2,FALSE),IF(AND(EF174&lt;=EE174,AW174&gt;=AZ174,AU174=3,'Data Entry'!$C$74=1),VLOOKUP(W174,$DO$127:$DP$134,2,FALSE))))))))))</f>
        <v>0</v>
      </c>
      <c r="CK174" s="716">
        <f t="shared" si="204"/>
        <v>0</v>
      </c>
      <c r="CL174" s="57">
        <f t="shared" si="205"/>
        <v>0</v>
      </c>
      <c r="CM174" s="475">
        <f t="shared" si="231"/>
        <v>0</v>
      </c>
      <c r="CN174" s="660">
        <f>IF(CM174&lt;0.1,0,IF(ISNA(AT174),0,IF(CL174+BC174=1,0,IF(BV174&gt;0.01,0,IF(CL174&gt;0.01,0,IF(CF174=1,0,IF(BC174=0.5,0,IF(AND(CI174=1,AU174=3),0,IF(AND(CI174=5,CL174=0),0,IF(AND(R174=12,BR174=50),0,IF(CK174&gt;0.01,0,IF(AND(AJ174&gt;0.01,AU174=2,BC174=15),CM174*0.1,IF(AND(AJ174&gt;0.01,AU174=3,BC174=15),CM174*0.08,IF(AND(R174=12,BC174=3,AF174&lt;=0),0,IF(AND(BC174=15,BI174=0),0,IF(AND(BC174=15,BJ174=0),0,IF(AND(R174=20,CU174=0),0,IF($X$4=0,0,IF(AND(BC174=250,CL174=0),0,IF(AA174&lt;1,0,IF(AND(ISNUMBER(SEARCH("Area",T174)),AU174=3),0,IF(AND(AQ174&gt;0.01,AR174=0,BK174=0,BL174=0,BM174=0,BN174=0),0,IF(AND(AU174=3,CI174=7,CT174&gt;0.5),0,IF(AND(BC174=44,AU174=3,BY174=0),0,IF(AND(BC174=27,'Data Entry'!$C$74=2),0,IF(AND(BC174=28,'Data Entry'!$C$74=2),0,IF(AND(BY174+BZ174+CA174&gt;0.01,BV174=0,EQ174+ER174+ES174+ET174&lt;100),0,IF(AU174=3,CM174*0.08,IF(AU174=2,CM174*0.1,0)))))))))))))))))))))))))))))</f>
        <v>0</v>
      </c>
      <c r="CO174" s="660">
        <f t="shared" si="206"/>
        <v>0</v>
      </c>
      <c r="CP174" s="475" t="str">
        <f t="shared" si="207"/>
        <v/>
      </c>
      <c r="CQ174" s="161" t="str">
        <f>IF(AH174=0,0,IF(AU174=5,0,Summary!AC177))</f>
        <v/>
      </c>
      <c r="CR174" s="161" t="str">
        <f>IF(BF174=0.5,0,IF(AU174=5,0,Summary!AD177))</f>
        <v/>
      </c>
      <c r="CS174" s="161" t="str">
        <f>IF(AU174=5,0,Summary!AE177)</f>
        <v/>
      </c>
      <c r="CT174" s="161">
        <f t="shared" si="208"/>
        <v>0</v>
      </c>
      <c r="CU174" s="475" t="str">
        <f t="shared" si="209"/>
        <v/>
      </c>
      <c r="CV174" s="307">
        <f>IF('Data Entry'!$C$74=0,0,IF(AA174&lt;1,0,IF(ISERROR(CU174),0,IF(CF174=1,0,IF(AND(R174=12,BR174=50),0,IF(CL174+BO174+BV174+DC174=0,0,IF(BC174=37,0,IF(AND(BC174=40,AJ174=0),0,IF(AND(BC174=37,BO174&gt;0.01,BQ174&gt;0.01),ROUND(BQ174,0),IF(CM174&lt;0,0,ROUND(CM174,0)))))))))))</f>
        <v>0</v>
      </c>
      <c r="CW174" s="700">
        <f t="shared" si="210"/>
        <v>0</v>
      </c>
      <c r="CX174" s="477">
        <f>IF('Data Entry'!$C$74=0,0,IF(CV174&lt;0.01,0,IF(BF174=0.5,0,IF(CF174=1,0,IF(ISNUMBER(SEARCH("false",CL174)),0,IF(AZ174=500,0,CL174))))))</f>
        <v>0</v>
      </c>
      <c r="CY174" s="147" t="e">
        <f t="shared" si="211"/>
        <v>#VALUE!</v>
      </c>
      <c r="CZ174" s="147" t="b">
        <f>IF(CN174+CL174=0,FALSE,IF(AH174=0,0,IF(AND('Data Entry'!$C$74=1,CR174&gt;=1),TRUE,IF(AND('Data Entry'!$C$74=2,CS174&gt;=1),TRUE,FALSE))))</f>
        <v>0</v>
      </c>
      <c r="DA174" s="1751">
        <f>IF('Data Entry'!$C$74=0,0,IFERROR(ROUND(IF(T174="","",IF($X$4=0,0,IF(CF174=1,0,IF(BQ174+CV174=0,0,IF(CF174=1,0,IF(CY174&gt;0.01,CY174,IF(CL174&gt;0.01,CL174,IF(CY174&gt;0.01,CY174,IF(BC174=37,BO174,IF(CZ174=FALSE,0,IF(CZ174=TRUE,DC174+DF174,0))))))))))),2),""))</f>
        <v>0</v>
      </c>
      <c r="DB174" s="1752"/>
      <c r="DC174" s="474">
        <f>IF(CN174&lt;0.01,0,IF(AND(BR174=3,CN174&gt;0.01,CT174&gt;0.6,ER174+ES174+ET174&lt;100),0,IF(AND('Data Entry'!$C$74=1,CN174&gt;0.01,CR174&gt;0.99),MIN(CN174:CO174),IF(AND('Data Entry'!$C$74=2,CN174&gt;0.01,CS174&gt;0.99),MIN(CN174:CO174),0))))</f>
        <v>0</v>
      </c>
      <c r="DD174" s="478">
        <f>IF(CF174=1,"Selection does not match",IF(T174=0,0,IF(AND('Data Entry'!$C$74=0,CP174&gt;1),"Select Oregon or Idaho on Data Entry Tab",IF(AND(AU174=1,AA174&gt;0.9),"Missing Interior or Exterior Selection",IF($X$4=0,"Enter Total Project Cost",IF(AQ174&lt;AR174,"Insufficient kWh savings – no incentive",IF(AND(SUM(CL174+CK174+BV174)&gt;0.01,'Data Entry'!$C$74=2,CJ174&gt;1,BO174=0),"Submit Control as Non-Standard",IF(AND('Data Entry'!$C$74=2,BR174=37,CJ174&gt;1,BO174=0),"Submit Control as Non-Standard",IF(SUM(CL174+CK174+BV174)&gt;0.01,"Standard Incentive",IF(AND('Data Entry'!$C$74=2,CP174=7,CN174=0),"Submit as Non-Standard",IF(DC174&gt;0.9,"Non-Standard Incentive",IF(AND(BY174+BZ174+CA174&gt;0.01,BV174=0,EQ174=0,ER174=0,ES174=0,ET174=0),"Scroll Right &amp; Select Control Strategies",IF(AND(CN174&gt;0.01,CO174=0),"Enter Unit Installed Cost",IF(ISNUMBER(SEARCH("Lighting Controls Only",F174)),"Lighting Controls Only",IF(CL174+DC174=0,"Does not meet incentive criteria",0)))))))))))))))</f>
        <v>0</v>
      </c>
      <c r="DE174" s="337">
        <f t="shared" si="212"/>
        <v>0</v>
      </c>
      <c r="DF174" s="609">
        <f t="shared" si="213"/>
        <v>0</v>
      </c>
      <c r="DG174" s="336" t="str">
        <f t="shared" si="214"/>
        <v/>
      </c>
      <c r="DH174" s="338">
        <f t="shared" si="215"/>
        <v>1</v>
      </c>
      <c r="DI174" s="336" t="e">
        <f t="shared" si="170"/>
        <v>#VALUE!</v>
      </c>
      <c r="DJ174" s="338">
        <f t="shared" si="171"/>
        <v>0</v>
      </c>
      <c r="DK174" s="325" t="s">
        <v>1566</v>
      </c>
      <c r="DL174" s="341" t="s">
        <v>450</v>
      </c>
      <c r="DM174" s="340" t="s">
        <v>153</v>
      </c>
      <c r="DN174" s="1123">
        <v>16</v>
      </c>
      <c r="DO174" s="331"/>
      <c r="DP174" s="332"/>
      <c r="DQ174" s="375"/>
      <c r="DR174" s="357"/>
      <c r="DS174" s="1195">
        <f t="shared" si="216"/>
        <v>0</v>
      </c>
      <c r="DT174" s="344" t="b">
        <f t="shared" si="217"/>
        <v>1</v>
      </c>
      <c r="DU174" s="1314" t="str">
        <f t="array" ref="DU174">IF(OR(COUNTIF(F174,"*"&amp;$DK$9:$DK$178&amp;"*")), "Yes", "")</f>
        <v/>
      </c>
      <c r="DV174" s="1314">
        <f t="shared" si="218"/>
        <v>0</v>
      </c>
      <c r="DW174" s="1480">
        <f t="shared" si="219"/>
        <v>0</v>
      </c>
      <c r="DX174" s="1498">
        <f t="shared" si="228"/>
        <v>0</v>
      </c>
      <c r="DY174" s="1484">
        <f t="shared" si="220"/>
        <v>0</v>
      </c>
      <c r="DZ174" s="331"/>
      <c r="EA174" s="392"/>
      <c r="EB174" s="1499" t="s">
        <v>73</v>
      </c>
      <c r="EC174" s="727" t="s">
        <v>1568</v>
      </c>
      <c r="ED174" s="728">
        <v>0.5</v>
      </c>
      <c r="EE174" s="1215"/>
      <c r="EF174" s="1215"/>
      <c r="EG174" s="1184" t="str">
        <f t="shared" si="221"/>
        <v/>
      </c>
      <c r="EH174" s="55"/>
      <c r="EI174" s="55"/>
      <c r="EJ174" s="1185">
        <f t="shared" si="172"/>
        <v>0</v>
      </c>
      <c r="EK174" s="1211"/>
      <c r="EL174" s="1180">
        <f t="shared" si="173"/>
        <v>0</v>
      </c>
      <c r="EM174" s="206"/>
      <c r="EN174" s="1038"/>
      <c r="EO174" s="1038"/>
      <c r="EP174" s="1038"/>
      <c r="EQ174" s="1038">
        <f t="shared" si="222"/>
        <v>0</v>
      </c>
      <c r="ER174" s="1041">
        <f t="shared" si="223"/>
        <v>0</v>
      </c>
      <c r="ES174" s="1042">
        <f t="shared" si="224"/>
        <v>0</v>
      </c>
      <c r="ET174" s="1042">
        <f t="shared" si="229"/>
        <v>0</v>
      </c>
      <c r="EU174" s="1021">
        <f t="shared" si="230"/>
        <v>0</v>
      </c>
      <c r="EV174" s="368"/>
      <c r="EW174" s="368"/>
      <c r="EX174" s="369"/>
      <c r="EY174" s="370"/>
      <c r="EZ174" s="370"/>
      <c r="FA174" s="371"/>
      <c r="FB174" s="372"/>
    </row>
    <row r="175" spans="1:158" ht="34.5" customHeight="1">
      <c r="A175" s="82">
        <v>167</v>
      </c>
      <c r="B175" s="1725"/>
      <c r="C175" s="1726"/>
      <c r="D175" s="1726"/>
      <c r="E175" s="1727"/>
      <c r="F175" s="1732"/>
      <c r="G175" s="1733"/>
      <c r="H175" s="1733"/>
      <c r="I175" s="1734"/>
      <c r="J175" s="1341"/>
      <c r="K175" s="1728"/>
      <c r="L175" s="1728"/>
      <c r="M175" s="1342"/>
      <c r="N175" s="1583"/>
      <c r="O175" s="208" t="str">
        <f t="shared" si="160"/>
        <v/>
      </c>
      <c r="P175" s="785"/>
      <c r="Q175" s="39" t="str">
        <f t="shared" si="161"/>
        <v/>
      </c>
      <c r="R175" s="39">
        <f t="shared" si="174"/>
        <v>0</v>
      </c>
      <c r="S175" s="234">
        <f t="shared" si="175"/>
        <v>0</v>
      </c>
      <c r="T175" s="1755"/>
      <c r="U175" s="1755"/>
      <c r="V175" s="1755"/>
      <c r="W175" s="1345"/>
      <c r="X175" s="1741"/>
      <c r="Y175" s="1742"/>
      <c r="Z175" s="1346"/>
      <c r="AA175" s="1343"/>
      <c r="AB175" s="1141"/>
      <c r="AC175" s="1103" t="str">
        <f>IF(T175="","",VLOOKUP(Z175,Lists!$A$60:$B$111,2,FALSE))</f>
        <v/>
      </c>
      <c r="AD175" s="130" t="str">
        <f t="shared" si="176"/>
        <v/>
      </c>
      <c r="AE175" s="130" t="e">
        <f t="shared" si="177"/>
        <v>#VALUE!</v>
      </c>
      <c r="AF175" s="130">
        <f t="shared" si="178"/>
        <v>1</v>
      </c>
      <c r="AG175" s="234">
        <f t="shared" si="162"/>
        <v>0</v>
      </c>
      <c r="AH175" s="1753" t="str">
        <f>IF(T175="","",(IF(ISNUMBER(SEARCH("exit",T175)),8760,IF(AND(M175="Dusk to Dawn",'Proposed Lighting'!AU175=3),4059,IF(AND(AU175=3,M175="1"),0,IF(AND(AU175=3,M175="1-C"),0,IF(AND(AU175=3,M175="2"),0,IF(AND(AU175=3,M175="2-C"),0,IF(AND(AU175=3,M175="3"),0,IF(AND(AU175=3,M175="3-C"),0,IF(AND(AU175=2,M175="Dusk to Dawn"),0,IF(AND(AU175=2,M175="Dusk to Dawn-C"),0,IF(AND(AU175=2,M175="Dusk to Dawn"),0,IF(AND(AU175=2,M175="E"),0,IF(AND(AU175=2,M175="E-C"),0,EG175)))))))))))))))</f>
        <v/>
      </c>
      <c r="AI175" s="1754"/>
      <c r="AJ175" s="1136"/>
      <c r="AK175" s="1136"/>
      <c r="AL175" s="1748">
        <f t="shared" si="179"/>
        <v>0</v>
      </c>
      <c r="AM175" s="1749"/>
      <c r="AN175" s="1750"/>
      <c r="AO175" s="476">
        <f t="shared" si="163"/>
        <v>0</v>
      </c>
      <c r="AP175" s="476">
        <f t="shared" si="180"/>
        <v>0</v>
      </c>
      <c r="AQ175" s="475">
        <f t="shared" si="164"/>
        <v>0</v>
      </c>
      <c r="AR175" s="475">
        <f t="shared" si="181"/>
        <v>0</v>
      </c>
      <c r="AS175" s="743" t="str">
        <f t="shared" si="233"/>
        <v/>
      </c>
      <c r="AT175" s="736" t="str">
        <f t="shared" si="182"/>
        <v/>
      </c>
      <c r="AU175" s="56">
        <f t="shared" si="183"/>
        <v>1</v>
      </c>
      <c r="AV175" s="476">
        <f t="shared" si="184"/>
        <v>0</v>
      </c>
      <c r="AW175" s="56">
        <f t="shared" si="185"/>
        <v>0</v>
      </c>
      <c r="AX175" s="475">
        <f t="shared" si="165"/>
        <v>0</v>
      </c>
      <c r="AY175" s="1169">
        <f t="shared" si="186"/>
        <v>0</v>
      </c>
      <c r="AZ175" s="1150">
        <f t="shared" si="225"/>
        <v>0</v>
      </c>
      <c r="BA175" s="56">
        <f t="shared" si="166"/>
        <v>0</v>
      </c>
      <c r="BB175" s="420">
        <f t="shared" si="167"/>
        <v>0</v>
      </c>
      <c r="BC175" s="58" t="str">
        <f t="shared" si="168"/>
        <v/>
      </c>
      <c r="BD175" s="660">
        <f t="shared" si="226"/>
        <v>0</v>
      </c>
      <c r="BE175" s="57" t="e">
        <f t="array" ref="BE175">INDEX($EB$11:$ED$1022,MATCH(F175&amp;T175,$EB$11:$EB$1007&amp;$EC$11:$EC$1007,0),3)</f>
        <v>#N/A</v>
      </c>
      <c r="BF175" s="463">
        <f t="shared" si="234"/>
        <v>0</v>
      </c>
      <c r="BG175" s="1445" t="e">
        <f t="array" ref="BG175">INDEX($DO$112:$DQ$123,MATCH(T175&amp;W175,$DO$114:$DO$125&amp;$DP$112:$DP$123,0),3)</f>
        <v>#N/A</v>
      </c>
      <c r="BH175" s="1446">
        <f t="shared" si="187"/>
        <v>0</v>
      </c>
      <c r="BI175" s="465">
        <f t="shared" si="188"/>
        <v>0</v>
      </c>
      <c r="BJ175" s="465">
        <f t="shared" si="189"/>
        <v>0</v>
      </c>
      <c r="BK175" s="466">
        <f t="shared" si="235"/>
        <v>0</v>
      </c>
      <c r="BL175" s="466">
        <f t="shared" si="236"/>
        <v>0</v>
      </c>
      <c r="BM175" s="466">
        <f t="shared" si="190"/>
        <v>0</v>
      </c>
      <c r="BN175" s="466">
        <f t="shared" si="191"/>
        <v>0</v>
      </c>
      <c r="BO175" s="463">
        <f>IF('Data Entry'!$C$74=0,0,IF(ISNA(CJ175),0,IF(AX175=0,0,IF(AND('Data Entry'!$C$74=2,AF175&gt;2,CE175&lt;1),0,IF(AND('Data Entry'!$C$74=2,AF175&gt;1,AU175=2,CJ175&gt;1),0,IF(AND(AF175=5,CT175=0.5,AU175=2,ER175&lt;100),0,IF(AND(AF175=5,CT175=0.5,AU175=3,ER175&lt;100),0,IF(AND('Data Entry'!$C$74=2,AF175=2,AU175=2,AK175&gt;0.01,CB175=2,CE175&lt;1),0,IF(AND('Data Entry'!$C$74=2,AF175=3,AU175=3,AK175&gt;0.01,CB175=3,CE175&lt;1),0,IF(AND('Data Entry'!$C$74=2,AF175=3,AU175=3,AK175&gt;0.01,CB175=3,CE175&gt;0.99),BQ175*0.08,IF(AND('Data Entry'!$C$74=2,AF175=2,AU175=2,AK175&gt;0.01,CB175=2,CE175&gt;0.99),BQ175*0.1,IF(AND(AU175=2,AK175&gt;0.01,CB175=2,CD175&gt;1),BQ175*0.1,IF(AND(AU175=3,AK175&gt;0.01,CB175=3,CD175&gt;1),BQ175*0.08,CJ175*EF175)))))))))))))</f>
        <v>0</v>
      </c>
      <c r="BP175" s="475">
        <f t="shared" si="192"/>
        <v>0</v>
      </c>
      <c r="BQ175" s="1431">
        <f>IF(AU175=1,0,IF(CH175=100,0,IF(AND(AF175=3,AU175=2),0,IF(AND(BH175=0,CT175&gt;0.4),0,IF(AND('Data Entry'!$C$74=2,AF175=1.5),0,IF(AND('Data Entry'!$C$74=2,AF175=1.6),0,IF(AND('Data Entry'!$C$74=2,AF175=4),0,IF(AND('Data Entry'!$C$74=2,AF175=5),0,IF(AND('Data Entry'!$C$74=2,AF175=2.5,CE175&lt;1),0,IF(AND('Data Entry'!$C$74=2,AF175=3,CE175&lt;1),0,IF(AND('Data Entry'!$C$74=1,AF175=2.5,CD175&lt;1),0,IF(AND('Data Entry'!$C$74=1,AF175=3,CD175&lt;1),0,IF(DX175&gt;0.01,DX175,IF(ISERROR(AX175-AY175),"",ROUND(AX175-AY175,2)))))))))))))))</f>
        <v>0</v>
      </c>
      <c r="BR175" s="146">
        <f t="shared" si="193"/>
        <v>0</v>
      </c>
      <c r="BS175" s="475">
        <f t="shared" si="194"/>
        <v>0</v>
      </c>
      <c r="BT175" s="146" t="b">
        <f t="shared" si="195"/>
        <v>0</v>
      </c>
      <c r="BU175" s="463">
        <f>IF(ISNA(AT175),0,IF(AND('Data Entry'!$C$74=2,BC175=27),0,IF(AND('Data Entry'!$C$74=2,BC175=28),0,IF(AND(BC175=27,BT175=27,CM175&gt;0.1),CM175*0.15,IF(AND(BC175=28,BT175=28,CM175&gt;0.1),CM175*0.12,0)))))</f>
        <v>0</v>
      </c>
      <c r="BV175" s="463">
        <f t="shared" si="232"/>
        <v>0</v>
      </c>
      <c r="BW175" s="463">
        <f t="shared" si="196"/>
        <v>0</v>
      </c>
      <c r="BX175" s="463">
        <f t="shared" si="197"/>
        <v>0</v>
      </c>
      <c r="BY175" s="463">
        <f t="shared" si="198"/>
        <v>0</v>
      </c>
      <c r="BZ175" s="463">
        <f t="shared" si="199"/>
        <v>0</v>
      </c>
      <c r="CA175" s="57">
        <f t="shared" si="227"/>
        <v>0</v>
      </c>
      <c r="CB175" s="56">
        <f t="shared" si="200"/>
        <v>1</v>
      </c>
      <c r="CC175" s="756">
        <f>IF(EE175=0,0,IF(EF175=0,0,IF(EE175&gt;AA175,0,IF(AND(AZ175&gt;AW175,AW175&gt;0),0,IF(CU175=0,0,Summary!AC478)))))</f>
        <v>0</v>
      </c>
      <c r="CD175" s="756">
        <f>IF(EE175=0,0,IF(EF175=0,0,IF(EE175&gt;AA175,0,IF(AND(AZ175&gt;AW175,AW175&gt;0),0,IF(CU175=0,0,Summary!AD478)))))</f>
        <v>0</v>
      </c>
      <c r="CE175" s="756">
        <f>IF(EF175=0,0,IF(EE175&gt;AA175,0,IF(CC175=0,0,IF(AND(AZ175&gt;AW175,AW175&gt;0),0,IF(CU175=0,0,Summary!AE478)))))</f>
        <v>0</v>
      </c>
      <c r="CF175" s="475">
        <f t="shared" si="201"/>
        <v>0</v>
      </c>
      <c r="CG175" s="476">
        <f t="shared" si="169"/>
        <v>0</v>
      </c>
      <c r="CH175" s="487">
        <f t="shared" si="202"/>
        <v>0</v>
      </c>
      <c r="CI175" s="756">
        <f t="shared" si="203"/>
        <v>0</v>
      </c>
      <c r="CJ175" s="487">
        <f>IF(CT175&gt;0.4,0,IF(AND(AU175=2,CH175=0,CT175=0.5,ER175=100),35,IF(AND(AU175=3,BB175&gt;75,CH175=0,CT175=0.5,ER175=100),25,IF(CB175&gt;1,0,IF(EF175&gt;EE175,0,IF(AND(AF175&gt;1,CH175=100),0,IF(AND(AF175=1,AY175=0),0,IF(AND(EF175&lt;=EE175,AW175&gt;=AZ175,'Data Entry'!$C$74=1,AU175=2),VLOOKUP(W175,$DO$96:$DP$102,2,FALSE),IF(AND(EF175&lt;=EE175,AW175&gt;=AZ175,AU175=3,'Data Entry'!$C$74=1),VLOOKUP(W175,$DO$127:$DP$134,2,FALSE))))))))))</f>
        <v>0</v>
      </c>
      <c r="CK175" s="716">
        <f t="shared" si="204"/>
        <v>0</v>
      </c>
      <c r="CL175" s="57">
        <f t="shared" si="205"/>
        <v>0</v>
      </c>
      <c r="CM175" s="475">
        <f t="shared" si="231"/>
        <v>0</v>
      </c>
      <c r="CN175" s="660">
        <f>IF(CM175&lt;0.1,0,IF(ISNA(AT175),0,IF(CL175+BC175=1,0,IF(BV175&gt;0.01,0,IF(CL175&gt;0.01,0,IF(CF175=1,0,IF(BC175=0.5,0,IF(AND(CI175=1,AU175=3),0,IF(AND(CI175=5,CL175=0),0,IF(AND(R175=12,BR175=50),0,IF(CK175&gt;0.01,0,IF(AND(AJ175&gt;0.01,AU175=2,BC175=15),CM175*0.1,IF(AND(AJ175&gt;0.01,AU175=3,BC175=15),CM175*0.08,IF(AND(R175=12,BC175=3,AF175&lt;=0),0,IF(AND(BC175=15,BI175=0),0,IF(AND(BC175=15,BJ175=0),0,IF(AND(R175=20,CU175=0),0,IF($X$4=0,0,IF(AND(BC175=250,CL175=0),0,IF(AA175&lt;1,0,IF(AND(ISNUMBER(SEARCH("Area",T175)),AU175=3),0,IF(AND(AQ175&gt;0.01,AR175=0,BK175=0,BL175=0,BM175=0,BN175=0),0,IF(AND(AU175=3,CI175=7,CT175&gt;0.5),0,IF(AND(BC175=44,AU175=3,BY175=0),0,IF(AND(BC175=27,'Data Entry'!$C$74=2),0,IF(AND(BC175=28,'Data Entry'!$C$74=2),0,IF(AND(BY175+BZ175+CA175&gt;0.01,BV175=0,EQ175+ER175+ES175+ET175&lt;100),0,IF(AU175=3,CM175*0.08,IF(AU175=2,CM175*0.1,0)))))))))))))))))))))))))))))</f>
        <v>0</v>
      </c>
      <c r="CO175" s="660">
        <f t="shared" si="206"/>
        <v>0</v>
      </c>
      <c r="CP175" s="475" t="str">
        <f t="shared" si="207"/>
        <v/>
      </c>
      <c r="CQ175" s="161" t="str">
        <f>IF(AH175=0,0,IF(AU175=5,0,Summary!AC178))</f>
        <v/>
      </c>
      <c r="CR175" s="161" t="str">
        <f>IF(BF175=0.5,0,IF(AU175=5,0,Summary!AD178))</f>
        <v/>
      </c>
      <c r="CS175" s="161" t="str">
        <f>IF(AU175=5,0,Summary!AE178)</f>
        <v/>
      </c>
      <c r="CT175" s="161">
        <f t="shared" si="208"/>
        <v>0</v>
      </c>
      <c r="CU175" s="475" t="str">
        <f t="shared" si="209"/>
        <v/>
      </c>
      <c r="CV175" s="307">
        <f>IF('Data Entry'!$C$74=0,0,IF(AA175&lt;1,0,IF(ISERROR(CU175),0,IF(CF175=1,0,IF(AND(R175=12,BR175=50),0,IF(CL175+BO175+BV175+DC175=0,0,IF(BC175=37,0,IF(AND(BC175=40,AJ175=0),0,IF(AND(BC175=37,BO175&gt;0.01,BQ175&gt;0.01),ROUND(BQ175,0),IF(CM175&lt;0,0,ROUND(CM175,0)))))))))))</f>
        <v>0</v>
      </c>
      <c r="CW175" s="700">
        <f t="shared" si="210"/>
        <v>0</v>
      </c>
      <c r="CX175" s="477">
        <f>IF('Data Entry'!$C$74=0,0,IF(CV175&lt;0.01,0,IF(BF175=0.5,0,IF(CF175=1,0,IF(ISNUMBER(SEARCH("false",CL175)),0,IF(AZ175=500,0,CL175))))))</f>
        <v>0</v>
      </c>
      <c r="CY175" s="147" t="e">
        <f t="shared" si="211"/>
        <v>#VALUE!</v>
      </c>
      <c r="CZ175" s="147" t="b">
        <f>IF(CN175+CL175=0,FALSE,IF(AH175=0,0,IF(AND('Data Entry'!$C$74=1,CR175&gt;=1),TRUE,IF(AND('Data Entry'!$C$74=2,CS175&gt;=1),TRUE,FALSE))))</f>
        <v>0</v>
      </c>
      <c r="DA175" s="1751">
        <f>IF('Data Entry'!$C$74=0,0,IFERROR(ROUND(IF(T175="","",IF($X$4=0,0,IF(CF175=1,0,IF(BQ175+CV175=0,0,IF(CF175=1,0,IF(CY175&gt;0.01,CY175,IF(CL175&gt;0.01,CL175,IF(CY175&gt;0.01,CY175,IF(BC175=37,BO175,IF(CZ175=FALSE,0,IF(CZ175=TRUE,DC175+DF175,0))))))))))),2),""))</f>
        <v>0</v>
      </c>
      <c r="DB175" s="1752"/>
      <c r="DC175" s="474">
        <f>IF(CN175&lt;0.01,0,IF(AND(BR175=3,CN175&gt;0.01,CT175&gt;0.6,ER175+ES175+ET175&lt;100),0,IF(AND('Data Entry'!$C$74=1,CN175&gt;0.01,CR175&gt;0.99),MIN(CN175:CO175),IF(AND('Data Entry'!$C$74=2,CN175&gt;0.01,CS175&gt;0.99),MIN(CN175:CO175),0))))</f>
        <v>0</v>
      </c>
      <c r="DD175" s="478">
        <f>IF(CF175=1,"Selection does not match",IF(T175=0,0,IF(AND('Data Entry'!$C$74=0,CP175&gt;1),"Select Oregon or Idaho on Data Entry Tab",IF(AND(AU175=1,AA175&gt;0.9),"Missing Interior or Exterior Selection",IF($X$4=0,"Enter Total Project Cost",IF(AQ175&lt;AR175,"Insufficient kWh savings – no incentive",IF(AND(SUM(CL175+CK175+BV175)&gt;0.01,'Data Entry'!$C$74=2,CJ175&gt;1,BO175=0),"Submit Control as Non-Standard",IF(AND('Data Entry'!$C$74=2,BR175=37,CJ175&gt;1,BO175=0),"Submit Control as Non-Standard",IF(SUM(CL175+CK175+BV175)&gt;0.01,"Standard Incentive",IF(AND('Data Entry'!$C$74=2,CP175=7,CN175=0),"Submit as Non-Standard",IF(DC175&gt;0.9,"Non-Standard Incentive",IF(AND(BY175+BZ175+CA175&gt;0.01,BV175=0,EQ175=0,ER175=0,ES175=0,ET175=0),"Scroll Right &amp; Select Control Strategies",IF(AND(CN175&gt;0.01,CO175=0),"Enter Unit Installed Cost",IF(ISNUMBER(SEARCH("Lighting Controls Only",F175)),"Lighting Controls Only",IF(CL175+DC175=0,"Does not meet incentive criteria",0)))))))))))))))</f>
        <v>0</v>
      </c>
      <c r="DE175" s="337">
        <f t="shared" si="212"/>
        <v>0</v>
      </c>
      <c r="DF175" s="609">
        <f t="shared" si="213"/>
        <v>0</v>
      </c>
      <c r="DG175" s="336" t="str">
        <f t="shared" si="214"/>
        <v/>
      </c>
      <c r="DH175" s="338">
        <f t="shared" si="215"/>
        <v>1</v>
      </c>
      <c r="DI175" s="336" t="e">
        <f t="shared" si="170"/>
        <v>#VALUE!</v>
      </c>
      <c r="DJ175" s="338">
        <f t="shared" si="171"/>
        <v>0</v>
      </c>
      <c r="DK175" s="325" t="s">
        <v>73</v>
      </c>
      <c r="DL175" s="341" t="s">
        <v>450</v>
      </c>
      <c r="DM175" s="340" t="s">
        <v>154</v>
      </c>
      <c r="DN175" s="820">
        <v>24</v>
      </c>
      <c r="DO175" s="331"/>
      <c r="DP175" s="332"/>
      <c r="DQ175" s="375"/>
      <c r="DR175" s="357"/>
      <c r="DS175" s="1195">
        <f t="shared" si="216"/>
        <v>0</v>
      </c>
      <c r="DT175" s="344" t="b">
        <f t="shared" si="217"/>
        <v>1</v>
      </c>
      <c r="DU175" s="1314" t="str">
        <f t="array" ref="DU175">IF(OR(COUNTIF(F175,"*"&amp;$DK$9:$DK$178&amp;"*")), "Yes", "")</f>
        <v/>
      </c>
      <c r="DV175" s="1314">
        <f t="shared" si="218"/>
        <v>0</v>
      </c>
      <c r="DW175" s="1480">
        <f t="shared" si="219"/>
        <v>0</v>
      </c>
      <c r="DX175" s="1498">
        <f t="shared" si="228"/>
        <v>0</v>
      </c>
      <c r="DY175" s="1484">
        <f t="shared" si="220"/>
        <v>0</v>
      </c>
      <c r="DZ175" s="331"/>
      <c r="EA175" s="392"/>
      <c r="EB175" s="1499" t="s">
        <v>1288</v>
      </c>
      <c r="EC175" s="727" t="s">
        <v>1568</v>
      </c>
      <c r="ED175" s="728">
        <v>0.5</v>
      </c>
      <c r="EE175" s="1215"/>
      <c r="EF175" s="1215"/>
      <c r="EG175" s="1184" t="str">
        <f t="shared" si="221"/>
        <v/>
      </c>
      <c r="EH175" s="55"/>
      <c r="EI175" s="55"/>
      <c r="EJ175" s="1185">
        <f t="shared" si="172"/>
        <v>0</v>
      </c>
      <c r="EK175" s="1211"/>
      <c r="EL175" s="1180">
        <f t="shared" si="173"/>
        <v>0</v>
      </c>
      <c r="EM175" s="206"/>
      <c r="EN175" s="1038"/>
      <c r="EO175" s="1038"/>
      <c r="EP175" s="1038"/>
      <c r="EQ175" s="1038">
        <f t="shared" si="222"/>
        <v>0</v>
      </c>
      <c r="ER175" s="1041">
        <f t="shared" si="223"/>
        <v>0</v>
      </c>
      <c r="ES175" s="1042">
        <f t="shared" si="224"/>
        <v>0</v>
      </c>
      <c r="ET175" s="1042">
        <f t="shared" si="229"/>
        <v>0</v>
      </c>
      <c r="EU175" s="1021">
        <f t="shared" si="230"/>
        <v>0</v>
      </c>
      <c r="EV175" s="368"/>
      <c r="EW175" s="368"/>
      <c r="EX175" s="369"/>
      <c r="EY175" s="370"/>
      <c r="EZ175" s="370"/>
      <c r="FA175" s="371"/>
      <c r="FB175" s="372"/>
    </row>
    <row r="176" spans="1:158" ht="34.5" customHeight="1">
      <c r="A176" s="82">
        <v>168</v>
      </c>
      <c r="B176" s="1725"/>
      <c r="C176" s="1726"/>
      <c r="D176" s="1726"/>
      <c r="E176" s="1727"/>
      <c r="F176" s="1732"/>
      <c r="G176" s="1733"/>
      <c r="H176" s="1733"/>
      <c r="I176" s="1734"/>
      <c r="J176" s="1341"/>
      <c r="K176" s="1728"/>
      <c r="L176" s="1728"/>
      <c r="M176" s="1342"/>
      <c r="N176" s="1583"/>
      <c r="O176" s="208" t="str">
        <f t="shared" si="160"/>
        <v/>
      </c>
      <c r="P176" s="785"/>
      <c r="Q176" s="39" t="str">
        <f t="shared" si="161"/>
        <v/>
      </c>
      <c r="R176" s="39">
        <f t="shared" si="174"/>
        <v>0</v>
      </c>
      <c r="S176" s="234">
        <f t="shared" si="175"/>
        <v>0</v>
      </c>
      <c r="T176" s="1755"/>
      <c r="U176" s="1755"/>
      <c r="V176" s="1755"/>
      <c r="W176" s="1345"/>
      <c r="X176" s="1741"/>
      <c r="Y176" s="1742"/>
      <c r="Z176" s="1346"/>
      <c r="AA176" s="1343"/>
      <c r="AB176" s="1141"/>
      <c r="AC176" s="1103" t="str">
        <f>IF(T176="","",VLOOKUP(Z176,Lists!$A$60:$B$111,2,FALSE))</f>
        <v/>
      </c>
      <c r="AD176" s="130" t="str">
        <f t="shared" si="176"/>
        <v/>
      </c>
      <c r="AE176" s="130" t="e">
        <f t="shared" si="177"/>
        <v>#VALUE!</v>
      </c>
      <c r="AF176" s="130">
        <f t="shared" si="178"/>
        <v>1</v>
      </c>
      <c r="AG176" s="234">
        <f t="shared" si="162"/>
        <v>0</v>
      </c>
      <c r="AH176" s="1753" t="str">
        <f>IF(T176="","",(IF(ISNUMBER(SEARCH("exit",T176)),8760,IF(AND(M176="Dusk to Dawn",'Proposed Lighting'!AU176=3),4059,IF(AND(AU176=3,M176="1"),0,IF(AND(AU176=3,M176="1-C"),0,IF(AND(AU176=3,M176="2"),0,IF(AND(AU176=3,M176="2-C"),0,IF(AND(AU176=3,M176="3"),0,IF(AND(AU176=3,M176="3-C"),0,IF(AND(AU176=2,M176="Dusk to Dawn"),0,IF(AND(AU176=2,M176="Dusk to Dawn-C"),0,IF(AND(AU176=2,M176="Dusk to Dawn"),0,IF(AND(AU176=2,M176="E"),0,IF(AND(AU176=2,M176="E-C"),0,EG176)))))))))))))))</f>
        <v/>
      </c>
      <c r="AI176" s="1754"/>
      <c r="AJ176" s="1136"/>
      <c r="AK176" s="1136"/>
      <c r="AL176" s="1748">
        <f t="shared" si="179"/>
        <v>0</v>
      </c>
      <c r="AM176" s="1749"/>
      <c r="AN176" s="1750"/>
      <c r="AO176" s="476">
        <f t="shared" si="163"/>
        <v>0</v>
      </c>
      <c r="AP176" s="476">
        <f t="shared" si="180"/>
        <v>0</v>
      </c>
      <c r="AQ176" s="475">
        <f t="shared" si="164"/>
        <v>0</v>
      </c>
      <c r="AR176" s="475">
        <f t="shared" si="181"/>
        <v>0</v>
      </c>
      <c r="AS176" s="743" t="str">
        <f t="shared" si="233"/>
        <v/>
      </c>
      <c r="AT176" s="736" t="str">
        <f t="shared" si="182"/>
        <v/>
      </c>
      <c r="AU176" s="56">
        <f t="shared" si="183"/>
        <v>1</v>
      </c>
      <c r="AV176" s="476">
        <f t="shared" si="184"/>
        <v>0</v>
      </c>
      <c r="AW176" s="56">
        <f t="shared" si="185"/>
        <v>0</v>
      </c>
      <c r="AX176" s="475">
        <f t="shared" si="165"/>
        <v>0</v>
      </c>
      <c r="AY176" s="1169">
        <f t="shared" si="186"/>
        <v>0</v>
      </c>
      <c r="AZ176" s="1150">
        <f t="shared" si="225"/>
        <v>0</v>
      </c>
      <c r="BA176" s="56">
        <f t="shared" si="166"/>
        <v>0</v>
      </c>
      <c r="BB176" s="420">
        <f t="shared" si="167"/>
        <v>0</v>
      </c>
      <c r="BC176" s="58" t="str">
        <f t="shared" si="168"/>
        <v/>
      </c>
      <c r="BD176" s="660">
        <f t="shared" si="226"/>
        <v>0</v>
      </c>
      <c r="BE176" s="57" t="e">
        <f t="array" ref="BE176">INDEX($EB$11:$ED$1022,MATCH(F176&amp;T176,$EB$11:$EB$1007&amp;$EC$11:$EC$1007,0),3)</f>
        <v>#N/A</v>
      </c>
      <c r="BF176" s="463">
        <f t="shared" si="234"/>
        <v>0</v>
      </c>
      <c r="BG176" s="1445" t="e">
        <f t="array" ref="BG176">INDEX($DO$112:$DQ$123,MATCH(T176&amp;W176,$DO$114:$DO$125&amp;$DP$112:$DP$123,0),3)</f>
        <v>#N/A</v>
      </c>
      <c r="BH176" s="1446">
        <f t="shared" si="187"/>
        <v>0</v>
      </c>
      <c r="BI176" s="465">
        <f t="shared" si="188"/>
        <v>0</v>
      </c>
      <c r="BJ176" s="465">
        <f t="shared" si="189"/>
        <v>0</v>
      </c>
      <c r="BK176" s="466">
        <f t="shared" si="235"/>
        <v>0</v>
      </c>
      <c r="BL176" s="466">
        <f t="shared" si="236"/>
        <v>0</v>
      </c>
      <c r="BM176" s="466">
        <f t="shared" si="190"/>
        <v>0</v>
      </c>
      <c r="BN176" s="466">
        <f t="shared" si="191"/>
        <v>0</v>
      </c>
      <c r="BO176" s="463">
        <f>IF('Data Entry'!$C$74=0,0,IF(ISNA(CJ176),0,IF(AX176=0,0,IF(AND('Data Entry'!$C$74=2,AF176&gt;2,CE176&lt;1),0,IF(AND('Data Entry'!$C$74=2,AF176&gt;1,AU176=2,CJ176&gt;1),0,IF(AND(AF176=5,CT176=0.5,AU176=2,ER176&lt;100),0,IF(AND(AF176=5,CT176=0.5,AU176=3,ER176&lt;100),0,IF(AND('Data Entry'!$C$74=2,AF176=2,AU176=2,AK176&gt;0.01,CB176=2,CE176&lt;1),0,IF(AND('Data Entry'!$C$74=2,AF176=3,AU176=3,AK176&gt;0.01,CB176=3,CE176&lt;1),0,IF(AND('Data Entry'!$C$74=2,AF176=3,AU176=3,AK176&gt;0.01,CB176=3,CE176&gt;0.99),BQ176*0.08,IF(AND('Data Entry'!$C$74=2,AF176=2,AU176=2,AK176&gt;0.01,CB176=2,CE176&gt;0.99),BQ176*0.1,IF(AND(AU176=2,AK176&gt;0.01,CB176=2,CD176&gt;1),BQ176*0.1,IF(AND(AU176=3,AK176&gt;0.01,CB176=3,CD176&gt;1),BQ176*0.08,CJ176*EF176)))))))))))))</f>
        <v>0</v>
      </c>
      <c r="BP176" s="475">
        <f t="shared" si="192"/>
        <v>0</v>
      </c>
      <c r="BQ176" s="1431">
        <f>IF(AU176=1,0,IF(CH176=100,0,IF(AND(AF176=3,AU176=2),0,IF(AND(BH176=0,CT176&gt;0.4),0,IF(AND('Data Entry'!$C$74=2,AF176=1.5),0,IF(AND('Data Entry'!$C$74=2,AF176=1.6),0,IF(AND('Data Entry'!$C$74=2,AF176=4),0,IF(AND('Data Entry'!$C$74=2,AF176=5),0,IF(AND('Data Entry'!$C$74=2,AF176=2.5,CE176&lt;1),0,IF(AND('Data Entry'!$C$74=2,AF176=3,CE176&lt;1),0,IF(AND('Data Entry'!$C$74=1,AF176=2.5,CD176&lt;1),0,IF(AND('Data Entry'!$C$74=1,AF176=3,CD176&lt;1),0,IF(DX176&gt;0.01,DX176,IF(ISERROR(AX176-AY176),"",ROUND(AX176-AY176,2)))))))))))))))</f>
        <v>0</v>
      </c>
      <c r="BR176" s="146">
        <f t="shared" si="193"/>
        <v>0</v>
      </c>
      <c r="BS176" s="475">
        <f t="shared" si="194"/>
        <v>0</v>
      </c>
      <c r="BT176" s="146" t="b">
        <f t="shared" si="195"/>
        <v>0</v>
      </c>
      <c r="BU176" s="463">
        <f>IF(ISNA(AT176),0,IF(AND('Data Entry'!$C$74=2,BC176=27),0,IF(AND('Data Entry'!$C$74=2,BC176=28),0,IF(AND(BC176=27,BT176=27,CM176&gt;0.1),CM176*0.15,IF(AND(BC176=28,BT176=28,CM176&gt;0.1),CM176*0.12,0)))))</f>
        <v>0</v>
      </c>
      <c r="BV176" s="463">
        <f t="shared" si="232"/>
        <v>0</v>
      </c>
      <c r="BW176" s="463">
        <f t="shared" si="196"/>
        <v>0</v>
      </c>
      <c r="BX176" s="463">
        <f t="shared" si="197"/>
        <v>0</v>
      </c>
      <c r="BY176" s="463">
        <f t="shared" si="198"/>
        <v>0</v>
      </c>
      <c r="BZ176" s="463">
        <f t="shared" si="199"/>
        <v>0</v>
      </c>
      <c r="CA176" s="57">
        <f t="shared" si="227"/>
        <v>0</v>
      </c>
      <c r="CB176" s="56">
        <f t="shared" si="200"/>
        <v>1</v>
      </c>
      <c r="CC176" s="756">
        <f>IF(EE176=0,0,IF(EF176=0,0,IF(EE176&gt;AA176,0,IF(AND(AZ176&gt;AW176,AW176&gt;0),0,IF(CU176=0,0,Summary!AC479)))))</f>
        <v>0</v>
      </c>
      <c r="CD176" s="756">
        <f>IF(EE176=0,0,IF(EF176=0,0,IF(EE176&gt;AA176,0,IF(AND(AZ176&gt;AW176,AW176&gt;0),0,IF(CU176=0,0,Summary!AD479)))))</f>
        <v>0</v>
      </c>
      <c r="CE176" s="756">
        <f>IF(EF176=0,0,IF(EE176&gt;AA176,0,IF(CC176=0,0,IF(AND(AZ176&gt;AW176,AW176&gt;0),0,IF(CU176=0,0,Summary!AE479)))))</f>
        <v>0</v>
      </c>
      <c r="CF176" s="475">
        <f t="shared" si="201"/>
        <v>0</v>
      </c>
      <c r="CG176" s="476">
        <f t="shared" si="169"/>
        <v>0</v>
      </c>
      <c r="CH176" s="487">
        <f t="shared" si="202"/>
        <v>0</v>
      </c>
      <c r="CI176" s="756">
        <f t="shared" si="203"/>
        <v>0</v>
      </c>
      <c r="CJ176" s="487">
        <f>IF(CT176&gt;0.4,0,IF(AND(AU176=2,CH176=0,CT176=0.5,ER176=100),35,IF(AND(AU176=3,BB176&gt;75,CH176=0,CT176=0.5,ER176=100),25,IF(CB176&gt;1,0,IF(EF176&gt;EE176,0,IF(AND(AF176&gt;1,CH176=100),0,IF(AND(AF176=1,AY176=0),0,IF(AND(EF176&lt;=EE176,AW176&gt;=AZ176,'Data Entry'!$C$74=1,AU176=2),VLOOKUP(W176,$DO$96:$DP$102,2,FALSE),IF(AND(EF176&lt;=EE176,AW176&gt;=AZ176,AU176=3,'Data Entry'!$C$74=1),VLOOKUP(W176,$DO$127:$DP$134,2,FALSE))))))))))</f>
        <v>0</v>
      </c>
      <c r="CK176" s="716">
        <f t="shared" si="204"/>
        <v>0</v>
      </c>
      <c r="CL176" s="57">
        <f t="shared" si="205"/>
        <v>0</v>
      </c>
      <c r="CM176" s="475">
        <f t="shared" si="231"/>
        <v>0</v>
      </c>
      <c r="CN176" s="660">
        <f>IF(CM176&lt;0.1,0,IF(ISNA(AT176),0,IF(CL176+BC176=1,0,IF(BV176&gt;0.01,0,IF(CL176&gt;0.01,0,IF(CF176=1,0,IF(BC176=0.5,0,IF(AND(CI176=1,AU176=3),0,IF(AND(CI176=5,CL176=0),0,IF(AND(R176=12,BR176=50),0,IF(CK176&gt;0.01,0,IF(AND(AJ176&gt;0.01,AU176=2,BC176=15),CM176*0.1,IF(AND(AJ176&gt;0.01,AU176=3,BC176=15),CM176*0.08,IF(AND(R176=12,BC176=3,AF176&lt;=0),0,IF(AND(BC176=15,BI176=0),0,IF(AND(BC176=15,BJ176=0),0,IF(AND(R176=20,CU176=0),0,IF($X$4=0,0,IF(AND(BC176=250,CL176=0),0,IF(AA176&lt;1,0,IF(AND(ISNUMBER(SEARCH("Area",T176)),AU176=3),0,IF(AND(AQ176&gt;0.01,AR176=0,BK176=0,BL176=0,BM176=0,BN176=0),0,IF(AND(AU176=3,CI176=7,CT176&gt;0.5),0,IF(AND(BC176=44,AU176=3,BY176=0),0,IF(AND(BC176=27,'Data Entry'!$C$74=2),0,IF(AND(BC176=28,'Data Entry'!$C$74=2),0,IF(AND(BY176+BZ176+CA176&gt;0.01,BV176=0,EQ176+ER176+ES176+ET176&lt;100),0,IF(AU176=3,CM176*0.08,IF(AU176=2,CM176*0.1,0)))))))))))))))))))))))))))))</f>
        <v>0</v>
      </c>
      <c r="CO176" s="660">
        <f t="shared" si="206"/>
        <v>0</v>
      </c>
      <c r="CP176" s="475" t="str">
        <f t="shared" si="207"/>
        <v/>
      </c>
      <c r="CQ176" s="161" t="str">
        <f>IF(AH176=0,0,IF(AU176=5,0,Summary!AC179))</f>
        <v/>
      </c>
      <c r="CR176" s="161" t="str">
        <f>IF(BF176=0.5,0,IF(AU176=5,0,Summary!AD179))</f>
        <v/>
      </c>
      <c r="CS176" s="161" t="str">
        <f>IF(AU176=5,0,Summary!AE179)</f>
        <v/>
      </c>
      <c r="CT176" s="161">
        <f t="shared" si="208"/>
        <v>0</v>
      </c>
      <c r="CU176" s="475" t="str">
        <f t="shared" si="209"/>
        <v/>
      </c>
      <c r="CV176" s="307">
        <f>IF('Data Entry'!$C$74=0,0,IF(AA176&lt;1,0,IF(ISERROR(CU176),0,IF(CF176=1,0,IF(AND(R176=12,BR176=50),0,IF(CL176+BO176+BV176+DC176=0,0,IF(BC176=37,0,IF(AND(BC176=40,AJ176=0),0,IF(AND(BC176=37,BO176&gt;0.01,BQ176&gt;0.01),ROUND(BQ176,0),IF(CM176&lt;0,0,ROUND(CM176,0)))))))))))</f>
        <v>0</v>
      </c>
      <c r="CW176" s="700">
        <f t="shared" si="210"/>
        <v>0</v>
      </c>
      <c r="CX176" s="477">
        <f>IF('Data Entry'!$C$74=0,0,IF(CV176&lt;0.01,0,IF(BF176=0.5,0,IF(CF176=1,0,IF(ISNUMBER(SEARCH("false",CL176)),0,IF(AZ176=500,0,CL176))))))</f>
        <v>0</v>
      </c>
      <c r="CY176" s="147" t="e">
        <f t="shared" si="211"/>
        <v>#VALUE!</v>
      </c>
      <c r="CZ176" s="147" t="b">
        <f>IF(CN176+CL176=0,FALSE,IF(AH176=0,0,IF(AND('Data Entry'!$C$74=1,CR176&gt;=1),TRUE,IF(AND('Data Entry'!$C$74=2,CS176&gt;=1),TRUE,FALSE))))</f>
        <v>0</v>
      </c>
      <c r="DA176" s="1751">
        <f>IF('Data Entry'!$C$74=0,0,IFERROR(ROUND(IF(T176="","",IF($X$4=0,0,IF(CF176=1,0,IF(BQ176+CV176=0,0,IF(CF176=1,0,IF(CY176&gt;0.01,CY176,IF(CL176&gt;0.01,CL176,IF(CY176&gt;0.01,CY176,IF(BC176=37,BO176,IF(CZ176=FALSE,0,IF(CZ176=TRUE,DC176+DF176,0))))))))))),2),""))</f>
        <v>0</v>
      </c>
      <c r="DB176" s="1752"/>
      <c r="DC176" s="474">
        <f>IF(CN176&lt;0.01,0,IF(AND(BR176=3,CN176&gt;0.01,CT176&gt;0.6,ER176+ES176+ET176&lt;100),0,IF(AND('Data Entry'!$C$74=1,CN176&gt;0.01,CR176&gt;0.99),MIN(CN176:CO176),IF(AND('Data Entry'!$C$74=2,CN176&gt;0.01,CS176&gt;0.99),MIN(CN176:CO176),0))))</f>
        <v>0</v>
      </c>
      <c r="DD176" s="478">
        <f>IF(CF176=1,"Selection does not match",IF(T176=0,0,IF(AND('Data Entry'!$C$74=0,CP176&gt;1),"Select Oregon or Idaho on Data Entry Tab",IF(AND(AU176=1,AA176&gt;0.9),"Missing Interior or Exterior Selection",IF($X$4=0,"Enter Total Project Cost",IF(AQ176&lt;AR176,"Insufficient kWh savings – no incentive",IF(AND(SUM(CL176+CK176+BV176)&gt;0.01,'Data Entry'!$C$74=2,CJ176&gt;1,BO176=0),"Submit Control as Non-Standard",IF(AND('Data Entry'!$C$74=2,BR176=37,CJ176&gt;1,BO176=0),"Submit Control as Non-Standard",IF(SUM(CL176+CK176+BV176)&gt;0.01,"Standard Incentive",IF(AND('Data Entry'!$C$74=2,CP176=7,CN176=0),"Submit as Non-Standard",IF(DC176&gt;0.9,"Non-Standard Incentive",IF(AND(BY176+BZ176+CA176&gt;0.01,BV176=0,EQ176=0,ER176=0,ES176=0,ET176=0),"Scroll Right &amp; Select Control Strategies",IF(AND(CN176&gt;0.01,CO176=0),"Enter Unit Installed Cost",IF(ISNUMBER(SEARCH("Lighting Controls Only",F176)),"Lighting Controls Only",IF(CL176+DC176=0,"Does not meet incentive criteria",0)))))))))))))))</f>
        <v>0</v>
      </c>
      <c r="DE176" s="337">
        <f t="shared" si="212"/>
        <v>0</v>
      </c>
      <c r="DF176" s="609">
        <f t="shared" si="213"/>
        <v>0</v>
      </c>
      <c r="DG176" s="336" t="str">
        <f t="shared" si="214"/>
        <v/>
      </c>
      <c r="DH176" s="338">
        <f t="shared" si="215"/>
        <v>1</v>
      </c>
      <c r="DI176" s="336" t="e">
        <f t="shared" si="170"/>
        <v>#VALUE!</v>
      </c>
      <c r="DJ176" s="338">
        <f t="shared" si="171"/>
        <v>0</v>
      </c>
      <c r="DK176" s="325" t="s">
        <v>1655</v>
      </c>
      <c r="DL176" s="343" t="s">
        <v>34</v>
      </c>
      <c r="DM176" s="340" t="s">
        <v>155</v>
      </c>
      <c r="DN176" s="820">
        <v>32</v>
      </c>
      <c r="DO176" s="331"/>
      <c r="DP176" s="332"/>
      <c r="DQ176" s="331"/>
      <c r="DR176" s="329"/>
      <c r="DS176" s="1195">
        <f t="shared" si="216"/>
        <v>0</v>
      </c>
      <c r="DT176" s="344" t="b">
        <f t="shared" si="217"/>
        <v>1</v>
      </c>
      <c r="DU176" s="1314" t="str">
        <f t="array" ref="DU176">IF(OR(COUNTIF(F176,"*"&amp;$DK$9:$DK$178&amp;"*")), "Yes", "")</f>
        <v/>
      </c>
      <c r="DV176" s="1314">
        <f t="shared" si="218"/>
        <v>0</v>
      </c>
      <c r="DW176" s="1480">
        <f t="shared" si="219"/>
        <v>0</v>
      </c>
      <c r="DX176" s="1498">
        <f t="shared" si="228"/>
        <v>0</v>
      </c>
      <c r="DY176" s="1484">
        <f t="shared" si="220"/>
        <v>0</v>
      </c>
      <c r="DZ176" s="331"/>
      <c r="EA176" s="392"/>
      <c r="EB176" s="1499" t="s">
        <v>73</v>
      </c>
      <c r="EC176" s="727" t="s">
        <v>1568</v>
      </c>
      <c r="ED176" s="728">
        <v>0.5</v>
      </c>
      <c r="EE176" s="1215"/>
      <c r="EF176" s="1215"/>
      <c r="EG176" s="1184" t="str">
        <f t="shared" si="221"/>
        <v/>
      </c>
      <c r="EH176" s="55"/>
      <c r="EI176" s="55"/>
      <c r="EJ176" s="1185">
        <f t="shared" si="172"/>
        <v>0</v>
      </c>
      <c r="EK176" s="1211"/>
      <c r="EL176" s="1180">
        <f t="shared" si="173"/>
        <v>0</v>
      </c>
      <c r="EM176" s="206"/>
      <c r="EN176" s="1038"/>
      <c r="EO176" s="1038"/>
      <c r="EP176" s="1038"/>
      <c r="EQ176" s="1038">
        <f t="shared" si="222"/>
        <v>0</v>
      </c>
      <c r="ER176" s="1041">
        <f t="shared" si="223"/>
        <v>0</v>
      </c>
      <c r="ES176" s="1042">
        <f t="shared" si="224"/>
        <v>0</v>
      </c>
      <c r="ET176" s="1042">
        <f t="shared" si="229"/>
        <v>0</v>
      </c>
      <c r="EU176" s="1021">
        <f t="shared" si="230"/>
        <v>0</v>
      </c>
      <c r="EV176" s="368"/>
      <c r="EW176" s="368"/>
      <c r="EX176" s="369"/>
      <c r="EY176" s="370"/>
      <c r="EZ176" s="370"/>
      <c r="FA176" s="371"/>
      <c r="FB176" s="372"/>
    </row>
    <row r="177" spans="1:158" ht="34.5" customHeight="1">
      <c r="A177" s="82">
        <v>169</v>
      </c>
      <c r="B177" s="1725"/>
      <c r="C177" s="1726"/>
      <c r="D177" s="1726"/>
      <c r="E177" s="1727"/>
      <c r="F177" s="1732"/>
      <c r="G177" s="1733"/>
      <c r="H177" s="1733"/>
      <c r="I177" s="1734"/>
      <c r="J177" s="1341"/>
      <c r="K177" s="1728"/>
      <c r="L177" s="1728"/>
      <c r="M177" s="1342"/>
      <c r="N177" s="1583"/>
      <c r="O177" s="208" t="str">
        <f t="shared" si="160"/>
        <v/>
      </c>
      <c r="P177" s="785"/>
      <c r="Q177" s="39" t="str">
        <f t="shared" si="161"/>
        <v/>
      </c>
      <c r="R177" s="39">
        <f t="shared" si="174"/>
        <v>0</v>
      </c>
      <c r="S177" s="234">
        <f t="shared" si="175"/>
        <v>0</v>
      </c>
      <c r="T177" s="1755"/>
      <c r="U177" s="1755"/>
      <c r="V177" s="1755"/>
      <c r="W177" s="1345"/>
      <c r="X177" s="1741"/>
      <c r="Y177" s="1742"/>
      <c r="Z177" s="1346"/>
      <c r="AA177" s="1343"/>
      <c r="AB177" s="1141"/>
      <c r="AC177" s="1103" t="str">
        <f>IF(T177="","",VLOOKUP(Z177,Lists!$A$60:$B$111,2,FALSE))</f>
        <v/>
      </c>
      <c r="AD177" s="130" t="str">
        <f t="shared" si="176"/>
        <v/>
      </c>
      <c r="AE177" s="130" t="e">
        <f t="shared" si="177"/>
        <v>#VALUE!</v>
      </c>
      <c r="AF177" s="130">
        <f t="shared" si="178"/>
        <v>1</v>
      </c>
      <c r="AG177" s="234">
        <f t="shared" si="162"/>
        <v>0</v>
      </c>
      <c r="AH177" s="1753" t="str">
        <f>IF(T177="","",(IF(ISNUMBER(SEARCH("exit",T177)),8760,IF(AND(M177="Dusk to Dawn",'Proposed Lighting'!AU177=3),4059,IF(AND(AU177=3,M177="1"),0,IF(AND(AU177=3,M177="1-C"),0,IF(AND(AU177=3,M177="2"),0,IF(AND(AU177=3,M177="2-C"),0,IF(AND(AU177=3,M177="3"),0,IF(AND(AU177=3,M177="3-C"),0,IF(AND(AU177=2,M177="Dusk to Dawn"),0,IF(AND(AU177=2,M177="Dusk to Dawn-C"),0,IF(AND(AU177=2,M177="Dusk to Dawn"),0,IF(AND(AU177=2,M177="E"),0,IF(AND(AU177=2,M177="E-C"),0,EG177)))))))))))))))</f>
        <v/>
      </c>
      <c r="AI177" s="1754"/>
      <c r="AJ177" s="1136"/>
      <c r="AK177" s="1136"/>
      <c r="AL177" s="1748">
        <f t="shared" si="179"/>
        <v>0</v>
      </c>
      <c r="AM177" s="1749"/>
      <c r="AN177" s="1750"/>
      <c r="AO177" s="476">
        <f t="shared" si="163"/>
        <v>0</v>
      </c>
      <c r="AP177" s="476">
        <f t="shared" si="180"/>
        <v>0</v>
      </c>
      <c r="AQ177" s="475">
        <f t="shared" si="164"/>
        <v>0</v>
      </c>
      <c r="AR177" s="475">
        <f t="shared" si="181"/>
        <v>0</v>
      </c>
      <c r="AS177" s="743" t="str">
        <f t="shared" si="233"/>
        <v/>
      </c>
      <c r="AT177" s="736" t="str">
        <f t="shared" si="182"/>
        <v/>
      </c>
      <c r="AU177" s="56">
        <f t="shared" si="183"/>
        <v>1</v>
      </c>
      <c r="AV177" s="476">
        <f t="shared" si="184"/>
        <v>0</v>
      </c>
      <c r="AW177" s="56">
        <f t="shared" si="185"/>
        <v>0</v>
      </c>
      <c r="AX177" s="475">
        <f t="shared" si="165"/>
        <v>0</v>
      </c>
      <c r="AY177" s="1169">
        <f t="shared" si="186"/>
        <v>0</v>
      </c>
      <c r="AZ177" s="1150">
        <f t="shared" si="225"/>
        <v>0</v>
      </c>
      <c r="BA177" s="56">
        <f t="shared" si="166"/>
        <v>0</v>
      </c>
      <c r="BB177" s="420">
        <f t="shared" si="167"/>
        <v>0</v>
      </c>
      <c r="BC177" s="58" t="str">
        <f t="shared" si="168"/>
        <v/>
      </c>
      <c r="BD177" s="660">
        <f t="shared" si="226"/>
        <v>0</v>
      </c>
      <c r="BE177" s="57" t="e">
        <f t="array" ref="BE177">INDEX($EB$11:$ED$1022,MATCH(F177&amp;T177,$EB$11:$EB$1007&amp;$EC$11:$EC$1007,0),3)</f>
        <v>#N/A</v>
      </c>
      <c r="BF177" s="463">
        <f t="shared" si="234"/>
        <v>0</v>
      </c>
      <c r="BG177" s="1445" t="e">
        <f t="array" ref="BG177">INDEX($DO$112:$DQ$123,MATCH(T177&amp;W177,$DO$114:$DO$125&amp;$DP$112:$DP$123,0),3)</f>
        <v>#N/A</v>
      </c>
      <c r="BH177" s="1446">
        <f t="shared" si="187"/>
        <v>0</v>
      </c>
      <c r="BI177" s="465">
        <f t="shared" si="188"/>
        <v>0</v>
      </c>
      <c r="BJ177" s="465">
        <f t="shared" si="189"/>
        <v>0</v>
      </c>
      <c r="BK177" s="466">
        <f t="shared" si="235"/>
        <v>0</v>
      </c>
      <c r="BL177" s="466">
        <f t="shared" si="236"/>
        <v>0</v>
      </c>
      <c r="BM177" s="466">
        <f t="shared" si="190"/>
        <v>0</v>
      </c>
      <c r="BN177" s="466">
        <f t="shared" si="191"/>
        <v>0</v>
      </c>
      <c r="BO177" s="463">
        <f>IF('Data Entry'!$C$74=0,0,IF(ISNA(CJ177),0,IF(AX177=0,0,IF(AND('Data Entry'!$C$74=2,AF177&gt;2,CE177&lt;1),0,IF(AND('Data Entry'!$C$74=2,AF177&gt;1,AU177=2,CJ177&gt;1),0,IF(AND(AF177=5,CT177=0.5,AU177=2,ER177&lt;100),0,IF(AND(AF177=5,CT177=0.5,AU177=3,ER177&lt;100),0,IF(AND('Data Entry'!$C$74=2,AF177=2,AU177=2,AK177&gt;0.01,CB177=2,CE177&lt;1),0,IF(AND('Data Entry'!$C$74=2,AF177=3,AU177=3,AK177&gt;0.01,CB177=3,CE177&lt;1),0,IF(AND('Data Entry'!$C$74=2,AF177=3,AU177=3,AK177&gt;0.01,CB177=3,CE177&gt;0.99),BQ177*0.08,IF(AND('Data Entry'!$C$74=2,AF177=2,AU177=2,AK177&gt;0.01,CB177=2,CE177&gt;0.99),BQ177*0.1,IF(AND(AU177=2,AK177&gt;0.01,CB177=2,CD177&gt;1),BQ177*0.1,IF(AND(AU177=3,AK177&gt;0.01,CB177=3,CD177&gt;1),BQ177*0.08,CJ177*EF177)))))))))))))</f>
        <v>0</v>
      </c>
      <c r="BP177" s="475">
        <f t="shared" si="192"/>
        <v>0</v>
      </c>
      <c r="BQ177" s="1431">
        <f>IF(AU177=1,0,IF(CH177=100,0,IF(AND(AF177=3,AU177=2),0,IF(AND(BH177=0,CT177&gt;0.4),0,IF(AND('Data Entry'!$C$74=2,AF177=1.5),0,IF(AND('Data Entry'!$C$74=2,AF177=1.6),0,IF(AND('Data Entry'!$C$74=2,AF177=4),0,IF(AND('Data Entry'!$C$74=2,AF177=5),0,IF(AND('Data Entry'!$C$74=2,AF177=2.5,CE177&lt;1),0,IF(AND('Data Entry'!$C$74=2,AF177=3,CE177&lt;1),0,IF(AND('Data Entry'!$C$74=1,AF177=2.5,CD177&lt;1),0,IF(AND('Data Entry'!$C$74=1,AF177=3,CD177&lt;1),0,IF(DX177&gt;0.01,DX177,IF(ISERROR(AX177-AY177),"",ROUND(AX177-AY177,2)))))))))))))))</f>
        <v>0</v>
      </c>
      <c r="BR177" s="146">
        <f t="shared" si="193"/>
        <v>0</v>
      </c>
      <c r="BS177" s="475">
        <f t="shared" si="194"/>
        <v>0</v>
      </c>
      <c r="BT177" s="146" t="b">
        <f t="shared" si="195"/>
        <v>0</v>
      </c>
      <c r="BU177" s="463">
        <f>IF(ISNA(AT177),0,IF(AND('Data Entry'!$C$74=2,BC177=27),0,IF(AND('Data Entry'!$C$74=2,BC177=28),0,IF(AND(BC177=27,BT177=27,CM177&gt;0.1),CM177*0.15,IF(AND(BC177=28,BT177=28,CM177&gt;0.1),CM177*0.12,0)))))</f>
        <v>0</v>
      </c>
      <c r="BV177" s="463">
        <f t="shared" si="232"/>
        <v>0</v>
      </c>
      <c r="BW177" s="463">
        <f t="shared" si="196"/>
        <v>0</v>
      </c>
      <c r="BX177" s="463">
        <f t="shared" si="197"/>
        <v>0</v>
      </c>
      <c r="BY177" s="463">
        <f t="shared" si="198"/>
        <v>0</v>
      </c>
      <c r="BZ177" s="463">
        <f t="shared" si="199"/>
        <v>0</v>
      </c>
      <c r="CA177" s="57">
        <f t="shared" si="227"/>
        <v>0</v>
      </c>
      <c r="CB177" s="56">
        <f t="shared" si="200"/>
        <v>1</v>
      </c>
      <c r="CC177" s="756">
        <f>IF(EE177=0,0,IF(EF177=0,0,IF(EE177&gt;AA177,0,IF(AND(AZ177&gt;AW177,AW177&gt;0),0,IF(CU177=0,0,Summary!AC480)))))</f>
        <v>0</v>
      </c>
      <c r="CD177" s="756">
        <f>IF(EE177=0,0,IF(EF177=0,0,IF(EE177&gt;AA177,0,IF(AND(AZ177&gt;AW177,AW177&gt;0),0,IF(CU177=0,0,Summary!AD480)))))</f>
        <v>0</v>
      </c>
      <c r="CE177" s="756">
        <f>IF(EF177=0,0,IF(EE177&gt;AA177,0,IF(CC177=0,0,IF(AND(AZ177&gt;AW177,AW177&gt;0),0,IF(CU177=0,0,Summary!AE480)))))</f>
        <v>0</v>
      </c>
      <c r="CF177" s="475">
        <f t="shared" si="201"/>
        <v>0</v>
      </c>
      <c r="CG177" s="476">
        <f t="shared" si="169"/>
        <v>0</v>
      </c>
      <c r="CH177" s="487">
        <f t="shared" si="202"/>
        <v>0</v>
      </c>
      <c r="CI177" s="756">
        <f t="shared" si="203"/>
        <v>0</v>
      </c>
      <c r="CJ177" s="487">
        <f>IF(CT177&gt;0.4,0,IF(AND(AU177=2,CH177=0,CT177=0.5,ER177=100),35,IF(AND(AU177=3,BB177&gt;75,CH177=0,CT177=0.5,ER177=100),25,IF(CB177&gt;1,0,IF(EF177&gt;EE177,0,IF(AND(AF177&gt;1,CH177=100),0,IF(AND(AF177=1,AY177=0),0,IF(AND(EF177&lt;=EE177,AW177&gt;=AZ177,'Data Entry'!$C$74=1,AU177=2),VLOOKUP(W177,$DO$96:$DP$102,2,FALSE),IF(AND(EF177&lt;=EE177,AW177&gt;=AZ177,AU177=3,'Data Entry'!$C$74=1),VLOOKUP(W177,$DO$127:$DP$134,2,FALSE))))))))))</f>
        <v>0</v>
      </c>
      <c r="CK177" s="716">
        <f t="shared" si="204"/>
        <v>0</v>
      </c>
      <c r="CL177" s="57">
        <f t="shared" si="205"/>
        <v>0</v>
      </c>
      <c r="CM177" s="475">
        <f t="shared" si="231"/>
        <v>0</v>
      </c>
      <c r="CN177" s="660">
        <f>IF(CM177&lt;0.1,0,IF(ISNA(AT177),0,IF(CL177+BC177=1,0,IF(BV177&gt;0.01,0,IF(CL177&gt;0.01,0,IF(CF177=1,0,IF(BC177=0.5,0,IF(AND(CI177=1,AU177=3),0,IF(AND(CI177=5,CL177=0),0,IF(AND(R177=12,BR177=50),0,IF(CK177&gt;0.01,0,IF(AND(AJ177&gt;0.01,AU177=2,BC177=15),CM177*0.1,IF(AND(AJ177&gt;0.01,AU177=3,BC177=15),CM177*0.08,IF(AND(R177=12,BC177=3,AF177&lt;=0),0,IF(AND(BC177=15,BI177=0),0,IF(AND(BC177=15,BJ177=0),0,IF(AND(R177=20,CU177=0),0,IF($X$4=0,0,IF(AND(BC177=250,CL177=0),0,IF(AA177&lt;1,0,IF(AND(ISNUMBER(SEARCH("Area",T177)),AU177=3),0,IF(AND(AQ177&gt;0.01,AR177=0,BK177=0,BL177=0,BM177=0,BN177=0),0,IF(AND(AU177=3,CI177=7,CT177&gt;0.5),0,IF(AND(BC177=44,AU177=3,BY177=0),0,IF(AND(BC177=27,'Data Entry'!$C$74=2),0,IF(AND(BC177=28,'Data Entry'!$C$74=2),0,IF(AND(BY177+BZ177+CA177&gt;0.01,BV177=0,EQ177+ER177+ES177+ET177&lt;100),0,IF(AU177=3,CM177*0.08,IF(AU177=2,CM177*0.1,0)))))))))))))))))))))))))))))</f>
        <v>0</v>
      </c>
      <c r="CO177" s="660">
        <f t="shared" si="206"/>
        <v>0</v>
      </c>
      <c r="CP177" s="475" t="str">
        <f t="shared" si="207"/>
        <v/>
      </c>
      <c r="CQ177" s="161" t="str">
        <f>IF(AH177=0,0,IF(AU177=5,0,Summary!AC180))</f>
        <v/>
      </c>
      <c r="CR177" s="161" t="str">
        <f>IF(BF177=0.5,0,IF(AU177=5,0,Summary!AD180))</f>
        <v/>
      </c>
      <c r="CS177" s="161" t="str">
        <f>IF(AU177=5,0,Summary!AE180)</f>
        <v/>
      </c>
      <c r="CT177" s="161">
        <f t="shared" si="208"/>
        <v>0</v>
      </c>
      <c r="CU177" s="475" t="str">
        <f t="shared" si="209"/>
        <v/>
      </c>
      <c r="CV177" s="307">
        <f>IF('Data Entry'!$C$74=0,0,IF(AA177&lt;1,0,IF(ISERROR(CU177),0,IF(CF177=1,0,IF(AND(R177=12,BR177=50),0,IF(CL177+BO177+BV177+DC177=0,0,IF(BC177=37,0,IF(AND(BC177=40,AJ177=0),0,IF(AND(BC177=37,BO177&gt;0.01,BQ177&gt;0.01),ROUND(BQ177,0),IF(CM177&lt;0,0,ROUND(CM177,0)))))))))))</f>
        <v>0</v>
      </c>
      <c r="CW177" s="700">
        <f t="shared" si="210"/>
        <v>0</v>
      </c>
      <c r="CX177" s="477">
        <f>IF('Data Entry'!$C$74=0,0,IF(CV177&lt;0.01,0,IF(BF177=0.5,0,IF(CF177=1,0,IF(ISNUMBER(SEARCH("false",CL177)),0,IF(AZ177=500,0,CL177))))))</f>
        <v>0</v>
      </c>
      <c r="CY177" s="147" t="e">
        <f t="shared" si="211"/>
        <v>#VALUE!</v>
      </c>
      <c r="CZ177" s="147" t="b">
        <f>IF(CN177+CL177=0,FALSE,IF(AH177=0,0,IF(AND('Data Entry'!$C$74=1,CR177&gt;=1),TRUE,IF(AND('Data Entry'!$C$74=2,CS177&gt;=1),TRUE,FALSE))))</f>
        <v>0</v>
      </c>
      <c r="DA177" s="1751">
        <f>IF('Data Entry'!$C$74=0,0,IFERROR(ROUND(IF(T177="","",IF($X$4=0,0,IF(CF177=1,0,IF(BQ177+CV177=0,0,IF(CF177=1,0,IF(CY177&gt;0.01,CY177,IF(CL177&gt;0.01,CL177,IF(CY177&gt;0.01,CY177,IF(BC177=37,BO177,IF(CZ177=FALSE,0,IF(CZ177=TRUE,DC177+DF177,0))))))))))),2),""))</f>
        <v>0</v>
      </c>
      <c r="DB177" s="1752"/>
      <c r="DC177" s="474">
        <f>IF(CN177&lt;0.01,0,IF(AND(BR177=3,CN177&gt;0.01,CT177&gt;0.6,ER177+ES177+ET177&lt;100),0,IF(AND('Data Entry'!$C$74=1,CN177&gt;0.01,CR177&gt;0.99),MIN(CN177:CO177),IF(AND('Data Entry'!$C$74=2,CN177&gt;0.01,CS177&gt;0.99),MIN(CN177:CO177),0))))</f>
        <v>0</v>
      </c>
      <c r="DD177" s="478">
        <f>IF(CF177=1,"Selection does not match",IF(T177=0,0,IF(AND('Data Entry'!$C$74=0,CP177&gt;1),"Select Oregon or Idaho on Data Entry Tab",IF(AND(AU177=1,AA177&gt;0.9),"Missing Interior or Exterior Selection",IF($X$4=0,"Enter Total Project Cost",IF(AQ177&lt;AR177,"Insufficient kWh savings – no incentive",IF(AND(SUM(CL177+CK177+BV177)&gt;0.01,'Data Entry'!$C$74=2,CJ177&gt;1,BO177=0),"Submit Control as Non-Standard",IF(AND('Data Entry'!$C$74=2,BR177=37,CJ177&gt;1,BO177=0),"Submit Control as Non-Standard",IF(SUM(CL177+CK177+BV177)&gt;0.01,"Standard Incentive",IF(AND('Data Entry'!$C$74=2,CP177=7,CN177=0),"Submit as Non-Standard",IF(DC177&gt;0.9,"Non-Standard Incentive",IF(AND(BY177+BZ177+CA177&gt;0.01,BV177=0,EQ177=0,ER177=0,ES177=0,ET177=0),"Scroll Right &amp; Select Control Strategies",IF(AND(CN177&gt;0.01,CO177=0),"Enter Unit Installed Cost",IF(ISNUMBER(SEARCH("Lighting Controls Only",F177)),"Lighting Controls Only",IF(CL177+DC177=0,"Does not meet incentive criteria",0)))))))))))))))</f>
        <v>0</v>
      </c>
      <c r="DE177" s="337">
        <f t="shared" si="212"/>
        <v>0</v>
      </c>
      <c r="DF177" s="609">
        <f t="shared" si="213"/>
        <v>0</v>
      </c>
      <c r="DG177" s="336" t="str">
        <f t="shared" si="214"/>
        <v/>
      </c>
      <c r="DH177" s="338">
        <f t="shared" si="215"/>
        <v>1</v>
      </c>
      <c r="DI177" s="336" t="e">
        <f t="shared" si="170"/>
        <v>#VALUE!</v>
      </c>
      <c r="DJ177" s="338">
        <f t="shared" si="171"/>
        <v>0</v>
      </c>
      <c r="DK177" s="325" t="s">
        <v>1212</v>
      </c>
      <c r="DL177" s="341" t="s">
        <v>34</v>
      </c>
      <c r="DM177" s="340" t="s">
        <v>156</v>
      </c>
      <c r="DN177" s="820">
        <v>40</v>
      </c>
      <c r="DO177" s="331"/>
      <c r="DP177" s="332"/>
      <c r="DQ177" s="331"/>
      <c r="DR177" s="357"/>
      <c r="DS177" s="1195">
        <f t="shared" si="216"/>
        <v>0</v>
      </c>
      <c r="DT177" s="344" t="b">
        <f t="shared" si="217"/>
        <v>1</v>
      </c>
      <c r="DU177" s="1314" t="str">
        <f t="array" ref="DU177">IF(OR(COUNTIF(F177,"*"&amp;$DK$9:$DK$178&amp;"*")), "Yes", "")</f>
        <v/>
      </c>
      <c r="DV177" s="1314">
        <f t="shared" si="218"/>
        <v>0</v>
      </c>
      <c r="DW177" s="1480">
        <f t="shared" si="219"/>
        <v>0</v>
      </c>
      <c r="DX177" s="1498">
        <f t="shared" si="228"/>
        <v>0</v>
      </c>
      <c r="DY177" s="1484">
        <f t="shared" si="220"/>
        <v>0</v>
      </c>
      <c r="DZ177" s="331"/>
      <c r="EA177" s="392"/>
      <c r="EB177" s="1499" t="s">
        <v>1566</v>
      </c>
      <c r="EC177" s="727" t="s">
        <v>1568</v>
      </c>
      <c r="ED177" s="728">
        <v>0.5</v>
      </c>
      <c r="EE177" s="1215"/>
      <c r="EF177" s="1215"/>
      <c r="EG177" s="1184" t="str">
        <f t="shared" si="221"/>
        <v/>
      </c>
      <c r="EH177" s="55"/>
      <c r="EI177" s="55"/>
      <c r="EJ177" s="1185">
        <f t="shared" si="172"/>
        <v>0</v>
      </c>
      <c r="EK177" s="1211"/>
      <c r="EL177" s="1180">
        <f t="shared" si="173"/>
        <v>0</v>
      </c>
      <c r="EM177" s="206"/>
      <c r="EN177" s="1038"/>
      <c r="EO177" s="1038"/>
      <c r="EP177" s="1038"/>
      <c r="EQ177" s="1038">
        <f t="shared" si="222"/>
        <v>0</v>
      </c>
      <c r="ER177" s="1041">
        <f t="shared" si="223"/>
        <v>0</v>
      </c>
      <c r="ES177" s="1042">
        <f t="shared" si="224"/>
        <v>0</v>
      </c>
      <c r="ET177" s="1042">
        <f t="shared" si="229"/>
        <v>0</v>
      </c>
      <c r="EU177" s="1021">
        <f t="shared" si="230"/>
        <v>0</v>
      </c>
      <c r="EV177" s="368"/>
      <c r="EW177" s="368"/>
      <c r="EX177" s="369"/>
      <c r="EY177" s="370"/>
      <c r="EZ177" s="370"/>
      <c r="FA177" s="371"/>
      <c r="FB177" s="372"/>
    </row>
    <row r="178" spans="1:158" ht="34.5" customHeight="1">
      <c r="A178" s="82">
        <v>170</v>
      </c>
      <c r="B178" s="1725"/>
      <c r="C178" s="1726"/>
      <c r="D178" s="1726"/>
      <c r="E178" s="1727"/>
      <c r="F178" s="1732"/>
      <c r="G178" s="1733"/>
      <c r="H178" s="1733"/>
      <c r="I178" s="1734"/>
      <c r="J178" s="1341"/>
      <c r="K178" s="1728"/>
      <c r="L178" s="1728"/>
      <c r="M178" s="1342"/>
      <c r="N178" s="1583"/>
      <c r="O178" s="208" t="str">
        <f t="shared" si="160"/>
        <v/>
      </c>
      <c r="P178" s="785"/>
      <c r="Q178" s="39" t="str">
        <f t="shared" si="161"/>
        <v/>
      </c>
      <c r="R178" s="39">
        <f t="shared" si="174"/>
        <v>0</v>
      </c>
      <c r="S178" s="234">
        <f t="shared" si="175"/>
        <v>0</v>
      </c>
      <c r="T178" s="1755"/>
      <c r="U178" s="1755"/>
      <c r="V178" s="1755"/>
      <c r="W178" s="1345"/>
      <c r="X178" s="1741"/>
      <c r="Y178" s="1742"/>
      <c r="Z178" s="1346"/>
      <c r="AA178" s="1343"/>
      <c r="AB178" s="1141"/>
      <c r="AC178" s="1103" t="str">
        <f>IF(T178="","",VLOOKUP(Z178,Lists!$A$60:$B$111,2,FALSE))</f>
        <v/>
      </c>
      <c r="AD178" s="130" t="str">
        <f t="shared" si="176"/>
        <v/>
      </c>
      <c r="AE178" s="130" t="e">
        <f t="shared" si="177"/>
        <v>#VALUE!</v>
      </c>
      <c r="AF178" s="130">
        <f t="shared" si="178"/>
        <v>1</v>
      </c>
      <c r="AG178" s="234">
        <f t="shared" si="162"/>
        <v>0</v>
      </c>
      <c r="AH178" s="1753" t="str">
        <f>IF(T178="","",(IF(ISNUMBER(SEARCH("exit",T178)),8760,IF(AND(M178="Dusk to Dawn",'Proposed Lighting'!AU178=3),4059,IF(AND(AU178=3,M178="1"),0,IF(AND(AU178=3,M178="1-C"),0,IF(AND(AU178=3,M178="2"),0,IF(AND(AU178=3,M178="2-C"),0,IF(AND(AU178=3,M178="3"),0,IF(AND(AU178=3,M178="3-C"),0,IF(AND(AU178=2,M178="Dusk to Dawn"),0,IF(AND(AU178=2,M178="Dusk to Dawn-C"),0,IF(AND(AU178=2,M178="Dusk to Dawn"),0,IF(AND(AU178=2,M178="E"),0,IF(AND(AU178=2,M178="E-C"),0,EG178)))))))))))))))</f>
        <v/>
      </c>
      <c r="AI178" s="1754"/>
      <c r="AJ178" s="1136"/>
      <c r="AK178" s="1136"/>
      <c r="AL178" s="1748">
        <f t="shared" si="179"/>
        <v>0</v>
      </c>
      <c r="AM178" s="1749"/>
      <c r="AN178" s="1750"/>
      <c r="AO178" s="476">
        <f t="shared" si="163"/>
        <v>0</v>
      </c>
      <c r="AP178" s="476">
        <f t="shared" si="180"/>
        <v>0</v>
      </c>
      <c r="AQ178" s="475">
        <f t="shared" si="164"/>
        <v>0</v>
      </c>
      <c r="AR178" s="475">
        <f t="shared" si="181"/>
        <v>0</v>
      </c>
      <c r="AS178" s="743" t="str">
        <f t="shared" si="233"/>
        <v/>
      </c>
      <c r="AT178" s="736" t="str">
        <f t="shared" si="182"/>
        <v/>
      </c>
      <c r="AU178" s="56">
        <f t="shared" si="183"/>
        <v>1</v>
      </c>
      <c r="AV178" s="476">
        <f t="shared" si="184"/>
        <v>0</v>
      </c>
      <c r="AW178" s="56">
        <f t="shared" si="185"/>
        <v>0</v>
      </c>
      <c r="AX178" s="475">
        <f t="shared" si="165"/>
        <v>0</v>
      </c>
      <c r="AY178" s="1169">
        <f t="shared" si="186"/>
        <v>0</v>
      </c>
      <c r="AZ178" s="1150">
        <f t="shared" si="225"/>
        <v>0</v>
      </c>
      <c r="BA178" s="56">
        <f t="shared" si="166"/>
        <v>0</v>
      </c>
      <c r="BB178" s="420">
        <f t="shared" si="167"/>
        <v>0</v>
      </c>
      <c r="BC178" s="58" t="str">
        <f t="shared" si="168"/>
        <v/>
      </c>
      <c r="BD178" s="660">
        <f t="shared" si="226"/>
        <v>0</v>
      </c>
      <c r="BE178" s="57" t="e">
        <f t="array" ref="BE178">INDEX($EB$11:$ED$1022,MATCH(F178&amp;T178,$EB$11:$EB$1007&amp;$EC$11:$EC$1007,0),3)</f>
        <v>#N/A</v>
      </c>
      <c r="BF178" s="463">
        <f t="shared" si="234"/>
        <v>0</v>
      </c>
      <c r="BG178" s="1445" t="e">
        <f t="array" ref="BG178">INDEX($DO$112:$DQ$123,MATCH(T178&amp;W178,$DO$114:$DO$125&amp;$DP$112:$DP$123,0),3)</f>
        <v>#N/A</v>
      </c>
      <c r="BH178" s="1446">
        <f t="shared" si="187"/>
        <v>0</v>
      </c>
      <c r="BI178" s="465">
        <f t="shared" si="188"/>
        <v>0</v>
      </c>
      <c r="BJ178" s="465">
        <f t="shared" si="189"/>
        <v>0</v>
      </c>
      <c r="BK178" s="466">
        <f t="shared" si="235"/>
        <v>0</v>
      </c>
      <c r="BL178" s="466">
        <f t="shared" si="236"/>
        <v>0</v>
      </c>
      <c r="BM178" s="466">
        <f t="shared" si="190"/>
        <v>0</v>
      </c>
      <c r="BN178" s="466">
        <f t="shared" si="191"/>
        <v>0</v>
      </c>
      <c r="BO178" s="463">
        <f>IF('Data Entry'!$C$74=0,0,IF(ISNA(CJ178),0,IF(AX178=0,0,IF(AND('Data Entry'!$C$74=2,AF178&gt;2,CE178&lt;1),0,IF(AND('Data Entry'!$C$74=2,AF178&gt;1,AU178=2,CJ178&gt;1),0,IF(AND(AF178=5,CT178=0.5,AU178=2,ER178&lt;100),0,IF(AND(AF178=5,CT178=0.5,AU178=3,ER178&lt;100),0,IF(AND('Data Entry'!$C$74=2,AF178=2,AU178=2,AK178&gt;0.01,CB178=2,CE178&lt;1),0,IF(AND('Data Entry'!$C$74=2,AF178=3,AU178=3,AK178&gt;0.01,CB178=3,CE178&lt;1),0,IF(AND('Data Entry'!$C$74=2,AF178=3,AU178=3,AK178&gt;0.01,CB178=3,CE178&gt;0.99),BQ178*0.08,IF(AND('Data Entry'!$C$74=2,AF178=2,AU178=2,AK178&gt;0.01,CB178=2,CE178&gt;0.99),BQ178*0.1,IF(AND(AU178=2,AK178&gt;0.01,CB178=2,CD178&gt;1),BQ178*0.1,IF(AND(AU178=3,AK178&gt;0.01,CB178=3,CD178&gt;1),BQ178*0.08,CJ178*EF178)))))))))))))</f>
        <v>0</v>
      </c>
      <c r="BP178" s="475">
        <f t="shared" si="192"/>
        <v>0</v>
      </c>
      <c r="BQ178" s="1431">
        <f>IF(AU178=1,0,IF(CH178=100,0,IF(AND(AF178=3,AU178=2),0,IF(AND(BH178=0,CT178&gt;0.4),0,IF(AND('Data Entry'!$C$74=2,AF178=1.5),0,IF(AND('Data Entry'!$C$74=2,AF178=1.6),0,IF(AND('Data Entry'!$C$74=2,AF178=4),0,IF(AND('Data Entry'!$C$74=2,AF178=5),0,IF(AND('Data Entry'!$C$74=2,AF178=2.5,CE178&lt;1),0,IF(AND('Data Entry'!$C$74=2,AF178=3,CE178&lt;1),0,IF(AND('Data Entry'!$C$74=1,AF178=2.5,CD178&lt;1),0,IF(AND('Data Entry'!$C$74=1,AF178=3,CD178&lt;1),0,IF(DX178&gt;0.01,DX178,IF(ISERROR(AX178-AY178),"",ROUND(AX178-AY178,2)))))))))))))))</f>
        <v>0</v>
      </c>
      <c r="BR178" s="146">
        <f t="shared" si="193"/>
        <v>0</v>
      </c>
      <c r="BS178" s="475">
        <f t="shared" si="194"/>
        <v>0</v>
      </c>
      <c r="BT178" s="146" t="b">
        <f t="shared" si="195"/>
        <v>0</v>
      </c>
      <c r="BU178" s="463">
        <f>IF(ISNA(AT178),0,IF(AND('Data Entry'!$C$74=2,BC178=27),0,IF(AND('Data Entry'!$C$74=2,BC178=28),0,IF(AND(BC178=27,BT178=27,CM178&gt;0.1),CM178*0.15,IF(AND(BC178=28,BT178=28,CM178&gt;0.1),CM178*0.12,0)))))</f>
        <v>0</v>
      </c>
      <c r="BV178" s="463">
        <f t="shared" si="232"/>
        <v>0</v>
      </c>
      <c r="BW178" s="463">
        <f t="shared" si="196"/>
        <v>0</v>
      </c>
      <c r="BX178" s="463">
        <f t="shared" si="197"/>
        <v>0</v>
      </c>
      <c r="BY178" s="463">
        <f t="shared" si="198"/>
        <v>0</v>
      </c>
      <c r="BZ178" s="463">
        <f t="shared" si="199"/>
        <v>0</v>
      </c>
      <c r="CA178" s="57">
        <f t="shared" si="227"/>
        <v>0</v>
      </c>
      <c r="CB178" s="56">
        <f t="shared" si="200"/>
        <v>1</v>
      </c>
      <c r="CC178" s="756">
        <f>IF(EE178=0,0,IF(EF178=0,0,IF(EE178&gt;AA178,0,IF(AND(AZ178&gt;AW178,AW178&gt;0),0,IF(CU178=0,0,Summary!AC481)))))</f>
        <v>0</v>
      </c>
      <c r="CD178" s="756">
        <f>IF(EE178=0,0,IF(EF178=0,0,IF(EE178&gt;AA178,0,IF(AND(AZ178&gt;AW178,AW178&gt;0),0,IF(CU178=0,0,Summary!AD481)))))</f>
        <v>0</v>
      </c>
      <c r="CE178" s="756">
        <f>IF(EF178=0,0,IF(EE178&gt;AA178,0,IF(CC178=0,0,IF(AND(AZ178&gt;AW178,AW178&gt;0),0,IF(CU178=0,0,Summary!AE481)))))</f>
        <v>0</v>
      </c>
      <c r="CF178" s="475">
        <f t="shared" si="201"/>
        <v>0</v>
      </c>
      <c r="CG178" s="476">
        <f t="shared" si="169"/>
        <v>0</v>
      </c>
      <c r="CH178" s="487">
        <f t="shared" si="202"/>
        <v>0</v>
      </c>
      <c r="CI178" s="756">
        <f t="shared" si="203"/>
        <v>0</v>
      </c>
      <c r="CJ178" s="487">
        <f>IF(CT178&gt;0.4,0,IF(AND(AU178=2,CH178=0,CT178=0.5,ER178=100),35,IF(AND(AU178=3,BB178&gt;75,CH178=0,CT178=0.5,ER178=100),25,IF(CB178&gt;1,0,IF(EF178&gt;EE178,0,IF(AND(AF178&gt;1,CH178=100),0,IF(AND(AF178=1,AY178=0),0,IF(AND(EF178&lt;=EE178,AW178&gt;=AZ178,'Data Entry'!$C$74=1,AU178=2),VLOOKUP(W178,$DO$96:$DP$102,2,FALSE),IF(AND(EF178&lt;=EE178,AW178&gt;=AZ178,AU178=3,'Data Entry'!$C$74=1),VLOOKUP(W178,$DO$127:$DP$134,2,FALSE))))))))))</f>
        <v>0</v>
      </c>
      <c r="CK178" s="716">
        <f t="shared" si="204"/>
        <v>0</v>
      </c>
      <c r="CL178" s="57">
        <f t="shared" si="205"/>
        <v>0</v>
      </c>
      <c r="CM178" s="475">
        <f t="shared" si="231"/>
        <v>0</v>
      </c>
      <c r="CN178" s="660">
        <f>IF(CM178&lt;0.1,0,IF(ISNA(AT178),0,IF(CL178+BC178=1,0,IF(BV178&gt;0.01,0,IF(CL178&gt;0.01,0,IF(CF178=1,0,IF(BC178=0.5,0,IF(AND(CI178=1,AU178=3),0,IF(AND(CI178=5,CL178=0),0,IF(AND(R178=12,BR178=50),0,IF(CK178&gt;0.01,0,IF(AND(AJ178&gt;0.01,AU178=2,BC178=15),CM178*0.1,IF(AND(AJ178&gt;0.01,AU178=3,BC178=15),CM178*0.08,IF(AND(R178=12,BC178=3,AF178&lt;=0),0,IF(AND(BC178=15,BI178=0),0,IF(AND(BC178=15,BJ178=0),0,IF(AND(R178=20,CU178=0),0,IF($X$4=0,0,IF(AND(BC178=250,CL178=0),0,IF(AA178&lt;1,0,IF(AND(ISNUMBER(SEARCH("Area",T178)),AU178=3),0,IF(AND(AQ178&gt;0.01,AR178=0,BK178=0,BL178=0,BM178=0,BN178=0),0,IF(AND(AU178=3,CI178=7,CT178&gt;0.5),0,IF(AND(BC178=44,AU178=3,BY178=0),0,IF(AND(BC178=27,'Data Entry'!$C$74=2),0,IF(AND(BC178=28,'Data Entry'!$C$74=2),0,IF(AND(BY178+BZ178+CA178&gt;0.01,BV178=0,EQ178+ER178+ES178+ET178&lt;100),0,IF(AU178=3,CM178*0.08,IF(AU178=2,CM178*0.1,0)))))))))))))))))))))))))))))</f>
        <v>0</v>
      </c>
      <c r="CO178" s="660">
        <f t="shared" si="206"/>
        <v>0</v>
      </c>
      <c r="CP178" s="475" t="str">
        <f t="shared" si="207"/>
        <v/>
      </c>
      <c r="CQ178" s="161" t="str">
        <f>IF(AH178=0,0,IF(AU178=5,0,Summary!AC181))</f>
        <v/>
      </c>
      <c r="CR178" s="161" t="str">
        <f>IF(BF178=0.5,0,IF(AU178=5,0,Summary!AD181))</f>
        <v/>
      </c>
      <c r="CS178" s="161" t="str">
        <f>IF(AU178=5,0,Summary!AE181)</f>
        <v/>
      </c>
      <c r="CT178" s="161">
        <f t="shared" si="208"/>
        <v>0</v>
      </c>
      <c r="CU178" s="475" t="str">
        <f t="shared" si="209"/>
        <v/>
      </c>
      <c r="CV178" s="307">
        <f>IF('Data Entry'!$C$74=0,0,IF(AA178&lt;1,0,IF(ISERROR(CU178),0,IF(CF178=1,0,IF(AND(R178=12,BR178=50),0,IF(CL178+BO178+BV178+DC178=0,0,IF(BC178=37,0,IF(AND(BC178=40,AJ178=0),0,IF(AND(BC178=37,BO178&gt;0.01,BQ178&gt;0.01),ROUND(BQ178,0),IF(CM178&lt;0,0,ROUND(CM178,0)))))))))))</f>
        <v>0</v>
      </c>
      <c r="CW178" s="700">
        <f t="shared" si="210"/>
        <v>0</v>
      </c>
      <c r="CX178" s="477">
        <f>IF('Data Entry'!$C$74=0,0,IF(CV178&lt;0.01,0,IF(BF178=0.5,0,IF(CF178=1,0,IF(ISNUMBER(SEARCH("false",CL178)),0,IF(AZ178=500,0,CL178))))))</f>
        <v>0</v>
      </c>
      <c r="CY178" s="147" t="e">
        <f t="shared" si="211"/>
        <v>#VALUE!</v>
      </c>
      <c r="CZ178" s="147" t="b">
        <f>IF(CN178+CL178=0,FALSE,IF(AH178=0,0,IF(AND('Data Entry'!$C$74=1,CR178&gt;=1),TRUE,IF(AND('Data Entry'!$C$74=2,CS178&gt;=1),TRUE,FALSE))))</f>
        <v>0</v>
      </c>
      <c r="DA178" s="1751">
        <f>IF('Data Entry'!$C$74=0,0,IFERROR(ROUND(IF(T178="","",IF($X$4=0,0,IF(CF178=1,0,IF(BQ178+CV178=0,0,IF(CF178=1,0,IF(CY178&gt;0.01,CY178,IF(CL178&gt;0.01,CL178,IF(CY178&gt;0.01,CY178,IF(BC178=37,BO178,IF(CZ178=FALSE,0,IF(CZ178=TRUE,DC178+DF178,0))))))))))),2),""))</f>
        <v>0</v>
      </c>
      <c r="DB178" s="1752"/>
      <c r="DC178" s="474">
        <f>IF(CN178&lt;0.01,0,IF(AND(BR178=3,CN178&gt;0.01,CT178&gt;0.6,ER178+ES178+ET178&lt;100),0,IF(AND('Data Entry'!$C$74=1,CN178&gt;0.01,CR178&gt;0.99),MIN(CN178:CO178),IF(AND('Data Entry'!$C$74=2,CN178&gt;0.01,CS178&gt;0.99),MIN(CN178:CO178),0))))</f>
        <v>0</v>
      </c>
      <c r="DD178" s="478">
        <f>IF(CF178=1,"Selection does not match",IF(T178=0,0,IF(AND('Data Entry'!$C$74=0,CP178&gt;1),"Select Oregon or Idaho on Data Entry Tab",IF(AND(AU178=1,AA178&gt;0.9),"Missing Interior or Exterior Selection",IF($X$4=0,"Enter Total Project Cost",IF(AQ178&lt;AR178,"Insufficient kWh savings – no incentive",IF(AND(SUM(CL178+CK178+BV178)&gt;0.01,'Data Entry'!$C$74=2,CJ178&gt;1,BO178=0),"Submit Control as Non-Standard",IF(AND('Data Entry'!$C$74=2,BR178=37,CJ178&gt;1,BO178=0),"Submit Control as Non-Standard",IF(SUM(CL178+CK178+BV178)&gt;0.01,"Standard Incentive",IF(AND('Data Entry'!$C$74=2,CP178=7,CN178=0),"Submit as Non-Standard",IF(DC178&gt;0.9,"Non-Standard Incentive",IF(AND(BY178+BZ178+CA178&gt;0.01,BV178=0,EQ178=0,ER178=0,ES178=0,ET178=0),"Scroll Right &amp; Select Control Strategies",IF(AND(CN178&gt;0.01,CO178=0),"Enter Unit Installed Cost",IF(ISNUMBER(SEARCH("Lighting Controls Only",F178)),"Lighting Controls Only",IF(CL178+DC178=0,"Does not meet incentive criteria",0)))))))))))))))</f>
        <v>0</v>
      </c>
      <c r="DE178" s="337">
        <f t="shared" si="212"/>
        <v>0</v>
      </c>
      <c r="DF178" s="609">
        <f t="shared" si="213"/>
        <v>0</v>
      </c>
      <c r="DG178" s="336" t="str">
        <f t="shared" si="214"/>
        <v/>
      </c>
      <c r="DH178" s="338">
        <f t="shared" si="215"/>
        <v>1</v>
      </c>
      <c r="DI178" s="336" t="e">
        <f t="shared" si="170"/>
        <v>#VALUE!</v>
      </c>
      <c r="DJ178" s="338">
        <f t="shared" si="171"/>
        <v>0</v>
      </c>
      <c r="DK178" s="1146" t="s">
        <v>418</v>
      </c>
      <c r="DL178" s="1209" t="s">
        <v>1379</v>
      </c>
      <c r="DM178" s="899" t="s">
        <v>1287</v>
      </c>
      <c r="DN178" s="341">
        <v>27</v>
      </c>
      <c r="DO178" s="331"/>
      <c r="DP178" s="332"/>
      <c r="DQ178" s="331"/>
      <c r="DR178" s="357"/>
      <c r="DS178" s="1195">
        <f t="shared" si="216"/>
        <v>0</v>
      </c>
      <c r="DT178" s="344" t="b">
        <f t="shared" si="217"/>
        <v>1</v>
      </c>
      <c r="DU178" s="1314" t="str">
        <f t="array" ref="DU178">IF(OR(COUNTIF(F178,"*"&amp;$DK$9:$DK$178&amp;"*")), "Yes", "")</f>
        <v/>
      </c>
      <c r="DV178" s="1314">
        <f t="shared" si="218"/>
        <v>0</v>
      </c>
      <c r="DW178" s="1480">
        <f t="shared" si="219"/>
        <v>0</v>
      </c>
      <c r="DX178" s="1498">
        <f t="shared" si="228"/>
        <v>0</v>
      </c>
      <c r="DY178" s="1484">
        <f t="shared" si="220"/>
        <v>0</v>
      </c>
      <c r="DZ178" s="331"/>
      <c r="EA178" s="392"/>
      <c r="EB178" s="1499" t="s">
        <v>73</v>
      </c>
      <c r="EC178" s="727" t="s">
        <v>1568</v>
      </c>
      <c r="ED178" s="728">
        <v>0.5</v>
      </c>
      <c r="EE178" s="1215"/>
      <c r="EF178" s="1215"/>
      <c r="EG178" s="1184" t="str">
        <f t="shared" si="221"/>
        <v/>
      </c>
      <c r="EH178" s="55"/>
      <c r="EI178" s="55"/>
      <c r="EJ178" s="1185">
        <f t="shared" si="172"/>
        <v>0</v>
      </c>
      <c r="EK178" s="1211"/>
      <c r="EL178" s="1180">
        <f t="shared" si="173"/>
        <v>0</v>
      </c>
      <c r="EM178" s="206"/>
      <c r="EN178" s="1038"/>
      <c r="EO178" s="1038"/>
      <c r="EP178" s="1038"/>
      <c r="EQ178" s="1038">
        <f t="shared" si="222"/>
        <v>0</v>
      </c>
      <c r="ER178" s="1041">
        <f t="shared" si="223"/>
        <v>0</v>
      </c>
      <c r="ES178" s="1042">
        <f t="shared" si="224"/>
        <v>0</v>
      </c>
      <c r="ET178" s="1042">
        <f t="shared" si="229"/>
        <v>0</v>
      </c>
      <c r="EU178" s="1021">
        <f t="shared" si="230"/>
        <v>0</v>
      </c>
      <c r="EV178" s="368"/>
      <c r="EW178" s="368"/>
      <c r="EX178" s="369"/>
      <c r="EY178" s="370"/>
      <c r="EZ178" s="370"/>
      <c r="FA178" s="371"/>
      <c r="FB178" s="372"/>
    </row>
    <row r="179" spans="1:158" ht="34.5" customHeight="1">
      <c r="A179" s="82">
        <v>171</v>
      </c>
      <c r="B179" s="1725"/>
      <c r="C179" s="1726"/>
      <c r="D179" s="1726"/>
      <c r="E179" s="1727"/>
      <c r="F179" s="1732"/>
      <c r="G179" s="1733"/>
      <c r="H179" s="1733"/>
      <c r="I179" s="1734"/>
      <c r="J179" s="1341"/>
      <c r="K179" s="1728"/>
      <c r="L179" s="1728"/>
      <c r="M179" s="1342"/>
      <c r="N179" s="1583"/>
      <c r="O179" s="208" t="str">
        <f t="shared" si="160"/>
        <v/>
      </c>
      <c r="P179" s="785"/>
      <c r="Q179" s="39" t="str">
        <f t="shared" si="161"/>
        <v/>
      </c>
      <c r="R179" s="39">
        <f t="shared" si="174"/>
        <v>0</v>
      </c>
      <c r="S179" s="234">
        <f t="shared" si="175"/>
        <v>0</v>
      </c>
      <c r="T179" s="1755"/>
      <c r="U179" s="1755"/>
      <c r="V179" s="1755"/>
      <c r="W179" s="1345"/>
      <c r="X179" s="1741"/>
      <c r="Y179" s="1742"/>
      <c r="Z179" s="1346"/>
      <c r="AA179" s="1343"/>
      <c r="AB179" s="1141"/>
      <c r="AC179" s="1103" t="str">
        <f>IF(T179="","",VLOOKUP(Z179,Lists!$A$60:$B$111,2,FALSE))</f>
        <v/>
      </c>
      <c r="AD179" s="130" t="str">
        <f t="shared" si="176"/>
        <v/>
      </c>
      <c r="AE179" s="130" t="e">
        <f t="shared" si="177"/>
        <v>#VALUE!</v>
      </c>
      <c r="AF179" s="130">
        <f t="shared" si="178"/>
        <v>1</v>
      </c>
      <c r="AG179" s="234">
        <f t="shared" si="162"/>
        <v>0</v>
      </c>
      <c r="AH179" s="1753" t="str">
        <f>IF(T179="","",(IF(ISNUMBER(SEARCH("exit",T179)),8760,IF(AND(M179="Dusk to Dawn",'Proposed Lighting'!AU179=3),4059,IF(AND(AU179=3,M179="1"),0,IF(AND(AU179=3,M179="1-C"),0,IF(AND(AU179=3,M179="2"),0,IF(AND(AU179=3,M179="2-C"),0,IF(AND(AU179=3,M179="3"),0,IF(AND(AU179=3,M179="3-C"),0,IF(AND(AU179=2,M179="Dusk to Dawn"),0,IF(AND(AU179=2,M179="Dusk to Dawn-C"),0,IF(AND(AU179=2,M179="Dusk to Dawn"),0,IF(AND(AU179=2,M179="E"),0,IF(AND(AU179=2,M179="E-C"),0,EG179)))))))))))))))</f>
        <v/>
      </c>
      <c r="AI179" s="1754"/>
      <c r="AJ179" s="1136"/>
      <c r="AK179" s="1136"/>
      <c r="AL179" s="1748">
        <f t="shared" si="179"/>
        <v>0</v>
      </c>
      <c r="AM179" s="1749"/>
      <c r="AN179" s="1750"/>
      <c r="AO179" s="476">
        <f t="shared" si="163"/>
        <v>0</v>
      </c>
      <c r="AP179" s="476">
        <f t="shared" si="180"/>
        <v>0</v>
      </c>
      <c r="AQ179" s="475">
        <f t="shared" si="164"/>
        <v>0</v>
      </c>
      <c r="AR179" s="475">
        <f t="shared" si="181"/>
        <v>0</v>
      </c>
      <c r="AS179" s="743" t="str">
        <f t="shared" si="233"/>
        <v/>
      </c>
      <c r="AT179" s="736" t="str">
        <f t="shared" si="182"/>
        <v/>
      </c>
      <c r="AU179" s="56">
        <f t="shared" si="183"/>
        <v>1</v>
      </c>
      <c r="AV179" s="476">
        <f t="shared" si="184"/>
        <v>0</v>
      </c>
      <c r="AW179" s="56">
        <f t="shared" si="185"/>
        <v>0</v>
      </c>
      <c r="AX179" s="475">
        <f t="shared" si="165"/>
        <v>0</v>
      </c>
      <c r="AY179" s="1169">
        <f t="shared" si="186"/>
        <v>0</v>
      </c>
      <c r="AZ179" s="1150">
        <f t="shared" si="225"/>
        <v>0</v>
      </c>
      <c r="BA179" s="56">
        <f t="shared" si="166"/>
        <v>0</v>
      </c>
      <c r="BB179" s="420">
        <f t="shared" si="167"/>
        <v>0</v>
      </c>
      <c r="BC179" s="58" t="str">
        <f t="shared" si="168"/>
        <v/>
      </c>
      <c r="BD179" s="660">
        <f t="shared" si="226"/>
        <v>0</v>
      </c>
      <c r="BE179" s="57" t="e">
        <f t="array" ref="BE179">INDEX($EB$11:$ED$1022,MATCH(F179&amp;T179,$EB$11:$EB$1007&amp;$EC$11:$EC$1007,0),3)</f>
        <v>#N/A</v>
      </c>
      <c r="BF179" s="463">
        <f t="shared" si="234"/>
        <v>0</v>
      </c>
      <c r="BG179" s="1445" t="e">
        <f t="array" ref="BG179">INDEX($DO$112:$DQ$123,MATCH(T179&amp;W179,$DO$114:$DO$125&amp;$DP$112:$DP$123,0),3)</f>
        <v>#N/A</v>
      </c>
      <c r="BH179" s="1446">
        <f t="shared" si="187"/>
        <v>0</v>
      </c>
      <c r="BI179" s="465">
        <f t="shared" si="188"/>
        <v>0</v>
      </c>
      <c r="BJ179" s="465">
        <f t="shared" si="189"/>
        <v>0</v>
      </c>
      <c r="BK179" s="466">
        <f t="shared" si="235"/>
        <v>0</v>
      </c>
      <c r="BL179" s="466">
        <f t="shared" si="236"/>
        <v>0</v>
      </c>
      <c r="BM179" s="466">
        <f t="shared" si="190"/>
        <v>0</v>
      </c>
      <c r="BN179" s="466">
        <f t="shared" si="191"/>
        <v>0</v>
      </c>
      <c r="BO179" s="463">
        <f>IF('Data Entry'!$C$74=0,0,IF(ISNA(CJ179),0,IF(AX179=0,0,IF(AND('Data Entry'!$C$74=2,AF179&gt;2,CE179&lt;1),0,IF(AND('Data Entry'!$C$74=2,AF179&gt;1,AU179=2,CJ179&gt;1),0,IF(AND(AF179=5,CT179=0.5,AU179=2,ER179&lt;100),0,IF(AND(AF179=5,CT179=0.5,AU179=3,ER179&lt;100),0,IF(AND('Data Entry'!$C$74=2,AF179=2,AU179=2,AK179&gt;0.01,CB179=2,CE179&lt;1),0,IF(AND('Data Entry'!$C$74=2,AF179=3,AU179=3,AK179&gt;0.01,CB179=3,CE179&lt;1),0,IF(AND('Data Entry'!$C$74=2,AF179=3,AU179=3,AK179&gt;0.01,CB179=3,CE179&gt;0.99),BQ179*0.08,IF(AND('Data Entry'!$C$74=2,AF179=2,AU179=2,AK179&gt;0.01,CB179=2,CE179&gt;0.99),BQ179*0.1,IF(AND(AU179=2,AK179&gt;0.01,CB179=2,CD179&gt;1),BQ179*0.1,IF(AND(AU179=3,AK179&gt;0.01,CB179=3,CD179&gt;1),BQ179*0.08,CJ179*EF179)))))))))))))</f>
        <v>0</v>
      </c>
      <c r="BP179" s="475">
        <f t="shared" si="192"/>
        <v>0</v>
      </c>
      <c r="BQ179" s="1431">
        <f>IF(AU179=1,0,IF(CH179=100,0,IF(AND(AF179=3,AU179=2),0,IF(AND(BH179=0,CT179&gt;0.4),0,IF(AND('Data Entry'!$C$74=2,AF179=1.5),0,IF(AND('Data Entry'!$C$74=2,AF179=1.6),0,IF(AND('Data Entry'!$C$74=2,AF179=4),0,IF(AND('Data Entry'!$C$74=2,AF179=5),0,IF(AND('Data Entry'!$C$74=2,AF179=2.5,CE179&lt;1),0,IF(AND('Data Entry'!$C$74=2,AF179=3,CE179&lt;1),0,IF(AND('Data Entry'!$C$74=1,AF179=2.5,CD179&lt;1),0,IF(AND('Data Entry'!$C$74=1,AF179=3,CD179&lt;1),0,IF(DX179&gt;0.01,DX179,IF(ISERROR(AX179-AY179),"",ROUND(AX179-AY179,2)))))))))))))))</f>
        <v>0</v>
      </c>
      <c r="BR179" s="146">
        <f t="shared" si="193"/>
        <v>0</v>
      </c>
      <c r="BS179" s="475">
        <f t="shared" si="194"/>
        <v>0</v>
      </c>
      <c r="BT179" s="146" t="b">
        <f t="shared" si="195"/>
        <v>0</v>
      </c>
      <c r="BU179" s="463">
        <f>IF(ISNA(AT179),0,IF(AND('Data Entry'!$C$74=2,BC179=27),0,IF(AND('Data Entry'!$C$74=2,BC179=28),0,IF(AND(BC179=27,BT179=27,CM179&gt;0.1),CM179*0.15,IF(AND(BC179=28,BT179=28,CM179&gt;0.1),CM179*0.12,0)))))</f>
        <v>0</v>
      </c>
      <c r="BV179" s="463">
        <f t="shared" si="232"/>
        <v>0</v>
      </c>
      <c r="BW179" s="463">
        <f t="shared" si="196"/>
        <v>0</v>
      </c>
      <c r="BX179" s="463">
        <f t="shared" si="197"/>
        <v>0</v>
      </c>
      <c r="BY179" s="463">
        <f t="shared" si="198"/>
        <v>0</v>
      </c>
      <c r="BZ179" s="463">
        <f t="shared" si="199"/>
        <v>0</v>
      </c>
      <c r="CA179" s="57">
        <f t="shared" si="227"/>
        <v>0</v>
      </c>
      <c r="CB179" s="56">
        <f t="shared" si="200"/>
        <v>1</v>
      </c>
      <c r="CC179" s="756">
        <f>IF(EE179=0,0,IF(EF179=0,0,IF(EE179&gt;AA179,0,IF(AND(AZ179&gt;AW179,AW179&gt;0),0,IF(CU179=0,0,Summary!AC482)))))</f>
        <v>0</v>
      </c>
      <c r="CD179" s="756">
        <f>IF(EE179=0,0,IF(EF179=0,0,IF(EE179&gt;AA179,0,IF(AND(AZ179&gt;AW179,AW179&gt;0),0,IF(CU179=0,0,Summary!AD482)))))</f>
        <v>0</v>
      </c>
      <c r="CE179" s="756">
        <f>IF(EF179=0,0,IF(EE179&gt;AA179,0,IF(CC179=0,0,IF(AND(AZ179&gt;AW179,AW179&gt;0),0,IF(CU179=0,0,Summary!AE482)))))</f>
        <v>0</v>
      </c>
      <c r="CF179" s="475">
        <f t="shared" si="201"/>
        <v>0</v>
      </c>
      <c r="CG179" s="476">
        <f t="shared" si="169"/>
        <v>0</v>
      </c>
      <c r="CH179" s="487">
        <f t="shared" si="202"/>
        <v>0</v>
      </c>
      <c r="CI179" s="756">
        <f t="shared" si="203"/>
        <v>0</v>
      </c>
      <c r="CJ179" s="487">
        <f>IF(CT179&gt;0.4,0,IF(AND(AU179=2,CH179=0,CT179=0.5,ER179=100),35,IF(AND(AU179=3,BB179&gt;75,CH179=0,CT179=0.5,ER179=100),25,IF(CB179&gt;1,0,IF(EF179&gt;EE179,0,IF(AND(AF179&gt;1,CH179=100),0,IF(AND(AF179=1,AY179=0),0,IF(AND(EF179&lt;=EE179,AW179&gt;=AZ179,'Data Entry'!$C$74=1,AU179=2),VLOOKUP(W179,$DO$96:$DP$102,2,FALSE),IF(AND(EF179&lt;=EE179,AW179&gt;=AZ179,AU179=3,'Data Entry'!$C$74=1),VLOOKUP(W179,$DO$127:$DP$134,2,FALSE))))))))))</f>
        <v>0</v>
      </c>
      <c r="CK179" s="716">
        <f t="shared" si="204"/>
        <v>0</v>
      </c>
      <c r="CL179" s="57">
        <f t="shared" si="205"/>
        <v>0</v>
      </c>
      <c r="CM179" s="475">
        <f t="shared" si="231"/>
        <v>0</v>
      </c>
      <c r="CN179" s="660">
        <f>IF(CM179&lt;0.1,0,IF(ISNA(AT179),0,IF(CL179+BC179=1,0,IF(BV179&gt;0.01,0,IF(CL179&gt;0.01,0,IF(CF179=1,0,IF(BC179=0.5,0,IF(AND(CI179=1,AU179=3),0,IF(AND(CI179=5,CL179=0),0,IF(AND(R179=12,BR179=50),0,IF(CK179&gt;0.01,0,IF(AND(AJ179&gt;0.01,AU179=2,BC179=15),CM179*0.1,IF(AND(AJ179&gt;0.01,AU179=3,BC179=15),CM179*0.08,IF(AND(R179=12,BC179=3,AF179&lt;=0),0,IF(AND(BC179=15,BI179=0),0,IF(AND(BC179=15,BJ179=0),0,IF(AND(R179=20,CU179=0),0,IF($X$4=0,0,IF(AND(BC179=250,CL179=0),0,IF(AA179&lt;1,0,IF(AND(ISNUMBER(SEARCH("Area",T179)),AU179=3),0,IF(AND(AQ179&gt;0.01,AR179=0,BK179=0,BL179=0,BM179=0,BN179=0),0,IF(AND(AU179=3,CI179=7,CT179&gt;0.5),0,IF(AND(BC179=44,AU179=3,BY179=0),0,IF(AND(BC179=27,'Data Entry'!$C$74=2),0,IF(AND(BC179=28,'Data Entry'!$C$74=2),0,IF(AND(BY179+BZ179+CA179&gt;0.01,BV179=0,EQ179+ER179+ES179+ET179&lt;100),0,IF(AU179=3,CM179*0.08,IF(AU179=2,CM179*0.1,0)))))))))))))))))))))))))))))</f>
        <v>0</v>
      </c>
      <c r="CO179" s="660">
        <f t="shared" si="206"/>
        <v>0</v>
      </c>
      <c r="CP179" s="475" t="str">
        <f t="shared" si="207"/>
        <v/>
      </c>
      <c r="CQ179" s="161" t="str">
        <f>IF(AH179=0,0,IF(AU179=5,0,Summary!AC182))</f>
        <v/>
      </c>
      <c r="CR179" s="161" t="str">
        <f>IF(BF179=0.5,0,IF(AU179=5,0,Summary!AD182))</f>
        <v/>
      </c>
      <c r="CS179" s="161" t="str">
        <f>IF(AU179=5,0,Summary!AE182)</f>
        <v/>
      </c>
      <c r="CT179" s="161">
        <f t="shared" si="208"/>
        <v>0</v>
      </c>
      <c r="CU179" s="475" t="str">
        <f t="shared" si="209"/>
        <v/>
      </c>
      <c r="CV179" s="307">
        <f>IF('Data Entry'!$C$74=0,0,IF(AA179&lt;1,0,IF(ISERROR(CU179),0,IF(CF179=1,0,IF(AND(R179=12,BR179=50),0,IF(CL179+BO179+BV179+DC179=0,0,IF(BC179=37,0,IF(AND(BC179=40,AJ179=0),0,IF(AND(BC179=37,BO179&gt;0.01,BQ179&gt;0.01),ROUND(BQ179,0),IF(CM179&lt;0,0,ROUND(CM179,0)))))))))))</f>
        <v>0</v>
      </c>
      <c r="CW179" s="700">
        <f t="shared" si="210"/>
        <v>0</v>
      </c>
      <c r="CX179" s="477">
        <f>IF('Data Entry'!$C$74=0,0,IF(CV179&lt;0.01,0,IF(BF179=0.5,0,IF(CF179=1,0,IF(ISNUMBER(SEARCH("false",CL179)),0,IF(AZ179=500,0,CL179))))))</f>
        <v>0</v>
      </c>
      <c r="CY179" s="147" t="e">
        <f t="shared" si="211"/>
        <v>#VALUE!</v>
      </c>
      <c r="CZ179" s="147" t="b">
        <f>IF(CN179+CL179=0,FALSE,IF(AH179=0,0,IF(AND('Data Entry'!$C$74=1,CR179&gt;=1),TRUE,IF(AND('Data Entry'!$C$74=2,CS179&gt;=1),TRUE,FALSE))))</f>
        <v>0</v>
      </c>
      <c r="DA179" s="1751">
        <f>IF('Data Entry'!$C$74=0,0,IFERROR(ROUND(IF(T179="","",IF($X$4=0,0,IF(CF179=1,0,IF(BQ179+CV179=0,0,IF(CF179=1,0,IF(CY179&gt;0.01,CY179,IF(CL179&gt;0.01,CL179,IF(CY179&gt;0.01,CY179,IF(BC179=37,BO179,IF(CZ179=FALSE,0,IF(CZ179=TRUE,DC179+DF179,0))))))))))),2),""))</f>
        <v>0</v>
      </c>
      <c r="DB179" s="1752"/>
      <c r="DC179" s="474">
        <f>IF(CN179&lt;0.01,0,IF(AND(BR179=3,CN179&gt;0.01,CT179&gt;0.6,ER179+ES179+ET179&lt;100),0,IF(AND('Data Entry'!$C$74=1,CN179&gt;0.01,CR179&gt;0.99),MIN(CN179:CO179),IF(AND('Data Entry'!$C$74=2,CN179&gt;0.01,CS179&gt;0.99),MIN(CN179:CO179),0))))</f>
        <v>0</v>
      </c>
      <c r="DD179" s="478">
        <f>IF(CF179=1,"Selection does not match",IF(T179=0,0,IF(AND('Data Entry'!$C$74=0,CP179&gt;1),"Select Oregon or Idaho on Data Entry Tab",IF(AND(AU179=1,AA179&gt;0.9),"Missing Interior or Exterior Selection",IF($X$4=0,"Enter Total Project Cost",IF(AQ179&lt;AR179,"Insufficient kWh savings – no incentive",IF(AND(SUM(CL179+CK179+BV179)&gt;0.01,'Data Entry'!$C$74=2,CJ179&gt;1,BO179=0),"Submit Control as Non-Standard",IF(AND('Data Entry'!$C$74=2,BR179=37,CJ179&gt;1,BO179=0),"Submit Control as Non-Standard",IF(SUM(CL179+CK179+BV179)&gt;0.01,"Standard Incentive",IF(AND('Data Entry'!$C$74=2,CP179=7,CN179=0),"Submit as Non-Standard",IF(DC179&gt;0.9,"Non-Standard Incentive",IF(AND(BY179+BZ179+CA179&gt;0.01,BV179=0,EQ179=0,ER179=0,ES179=0,ET179=0),"Scroll Right &amp; Select Control Strategies",IF(AND(CN179&gt;0.01,CO179=0),"Enter Unit Installed Cost",IF(ISNUMBER(SEARCH("Lighting Controls Only",F179)),"Lighting Controls Only",IF(CL179+DC179=0,"Does not meet incentive criteria",0)))))))))))))))</f>
        <v>0</v>
      </c>
      <c r="DE179" s="337">
        <f t="shared" si="212"/>
        <v>0</v>
      </c>
      <c r="DF179" s="609">
        <f t="shared" si="213"/>
        <v>0</v>
      </c>
      <c r="DG179" s="336" t="str">
        <f t="shared" si="214"/>
        <v/>
      </c>
      <c r="DH179" s="338">
        <f t="shared" si="215"/>
        <v>1</v>
      </c>
      <c r="DI179" s="336" t="e">
        <f t="shared" si="170"/>
        <v>#VALUE!</v>
      </c>
      <c r="DJ179" s="1142">
        <f t="shared" si="171"/>
        <v>0</v>
      </c>
      <c r="DK179" s="331"/>
      <c r="DL179" s="332"/>
      <c r="DM179" s="899" t="s">
        <v>1288</v>
      </c>
      <c r="DN179" s="341">
        <v>28</v>
      </c>
      <c r="DO179" s="331"/>
      <c r="DP179" s="332"/>
      <c r="DQ179" s="361"/>
      <c r="DR179" s="357"/>
      <c r="DS179" s="1195">
        <f t="shared" si="216"/>
        <v>0</v>
      </c>
      <c r="DT179" s="344" t="b">
        <f t="shared" si="217"/>
        <v>1</v>
      </c>
      <c r="DU179" s="1314" t="str">
        <f t="array" ref="DU179">IF(OR(COUNTIF(F179,"*"&amp;$DK$9:$DK$178&amp;"*")), "Yes", "")</f>
        <v/>
      </c>
      <c r="DV179" s="1314">
        <f t="shared" si="218"/>
        <v>0</v>
      </c>
      <c r="DW179" s="1480">
        <f t="shared" si="219"/>
        <v>0</v>
      </c>
      <c r="DX179" s="1498">
        <f t="shared" si="228"/>
        <v>0</v>
      </c>
      <c r="DY179" s="1484">
        <f t="shared" si="220"/>
        <v>0</v>
      </c>
      <c r="DZ179" s="331"/>
      <c r="EA179" s="392"/>
      <c r="EB179" s="1499" t="s">
        <v>1655</v>
      </c>
      <c r="EC179" s="727" t="s">
        <v>1568</v>
      </c>
      <c r="ED179" s="728">
        <v>0.5</v>
      </c>
      <c r="EE179" s="1215"/>
      <c r="EF179" s="1215"/>
      <c r="EG179" s="1184" t="str">
        <f t="shared" si="221"/>
        <v/>
      </c>
      <c r="EH179" s="55"/>
      <c r="EI179" s="55"/>
      <c r="EJ179" s="1185">
        <f t="shared" si="172"/>
        <v>0</v>
      </c>
      <c r="EK179" s="1211"/>
      <c r="EL179" s="1180">
        <f t="shared" si="173"/>
        <v>0</v>
      </c>
      <c r="EM179" s="206"/>
      <c r="EN179" s="1038"/>
      <c r="EO179" s="1038"/>
      <c r="EP179" s="1038"/>
      <c r="EQ179" s="1038">
        <f t="shared" si="222"/>
        <v>0</v>
      </c>
      <c r="ER179" s="1041">
        <f t="shared" si="223"/>
        <v>0</v>
      </c>
      <c r="ES179" s="1042">
        <f t="shared" si="224"/>
        <v>0</v>
      </c>
      <c r="ET179" s="1042">
        <f t="shared" si="229"/>
        <v>0</v>
      </c>
      <c r="EU179" s="1021">
        <f t="shared" si="230"/>
        <v>0</v>
      </c>
      <c r="EV179" s="368"/>
      <c r="EW179" s="368"/>
      <c r="EX179" s="369"/>
      <c r="EY179" s="370"/>
      <c r="EZ179" s="370"/>
      <c r="FA179" s="371"/>
      <c r="FB179" s="372"/>
    </row>
    <row r="180" spans="1:158" ht="34.5" customHeight="1">
      <c r="A180" s="82">
        <v>172</v>
      </c>
      <c r="B180" s="1725"/>
      <c r="C180" s="1726"/>
      <c r="D180" s="1726"/>
      <c r="E180" s="1727"/>
      <c r="F180" s="1732"/>
      <c r="G180" s="1733"/>
      <c r="H180" s="1733"/>
      <c r="I180" s="1734"/>
      <c r="J180" s="1341"/>
      <c r="K180" s="1728"/>
      <c r="L180" s="1728"/>
      <c r="M180" s="1342"/>
      <c r="N180" s="1583"/>
      <c r="O180" s="208" t="str">
        <f t="shared" si="160"/>
        <v/>
      </c>
      <c r="P180" s="785"/>
      <c r="Q180" s="39" t="str">
        <f t="shared" si="161"/>
        <v/>
      </c>
      <c r="R180" s="39">
        <f t="shared" si="174"/>
        <v>0</v>
      </c>
      <c r="S180" s="234">
        <f t="shared" si="175"/>
        <v>0</v>
      </c>
      <c r="T180" s="1755"/>
      <c r="U180" s="1755"/>
      <c r="V180" s="1755"/>
      <c r="W180" s="1345"/>
      <c r="X180" s="1741"/>
      <c r="Y180" s="1742"/>
      <c r="Z180" s="1346"/>
      <c r="AA180" s="1343"/>
      <c r="AB180" s="1141"/>
      <c r="AC180" s="1103" t="str">
        <f>IF(T180="","",VLOOKUP(Z180,Lists!$A$60:$B$111,2,FALSE))</f>
        <v/>
      </c>
      <c r="AD180" s="130" t="str">
        <f t="shared" si="176"/>
        <v/>
      </c>
      <c r="AE180" s="130" t="e">
        <f t="shared" si="177"/>
        <v>#VALUE!</v>
      </c>
      <c r="AF180" s="130">
        <f t="shared" si="178"/>
        <v>1</v>
      </c>
      <c r="AG180" s="234">
        <f t="shared" si="162"/>
        <v>0</v>
      </c>
      <c r="AH180" s="1753" t="str">
        <f>IF(T180="","",(IF(ISNUMBER(SEARCH("exit",T180)),8760,IF(AND(M180="Dusk to Dawn",'Proposed Lighting'!AU180=3),4059,IF(AND(AU180=3,M180="1"),0,IF(AND(AU180=3,M180="1-C"),0,IF(AND(AU180=3,M180="2"),0,IF(AND(AU180=3,M180="2-C"),0,IF(AND(AU180=3,M180="3"),0,IF(AND(AU180=3,M180="3-C"),0,IF(AND(AU180=2,M180="Dusk to Dawn"),0,IF(AND(AU180=2,M180="Dusk to Dawn-C"),0,IF(AND(AU180=2,M180="Dusk to Dawn"),0,IF(AND(AU180=2,M180="E"),0,IF(AND(AU180=2,M180="E-C"),0,EG180)))))))))))))))</f>
        <v/>
      </c>
      <c r="AI180" s="1754"/>
      <c r="AJ180" s="1136"/>
      <c r="AK180" s="1136"/>
      <c r="AL180" s="1748">
        <f t="shared" si="179"/>
        <v>0</v>
      </c>
      <c r="AM180" s="1749"/>
      <c r="AN180" s="1750"/>
      <c r="AO180" s="476">
        <f t="shared" si="163"/>
        <v>0</v>
      </c>
      <c r="AP180" s="476">
        <f t="shared" si="180"/>
        <v>0</v>
      </c>
      <c r="AQ180" s="475">
        <f t="shared" si="164"/>
        <v>0</v>
      </c>
      <c r="AR180" s="475">
        <f t="shared" si="181"/>
        <v>0</v>
      </c>
      <c r="AS180" s="743" t="str">
        <f t="shared" si="233"/>
        <v/>
      </c>
      <c r="AT180" s="736" t="str">
        <f t="shared" si="182"/>
        <v/>
      </c>
      <c r="AU180" s="56">
        <f t="shared" si="183"/>
        <v>1</v>
      </c>
      <c r="AV180" s="476">
        <f t="shared" si="184"/>
        <v>0</v>
      </c>
      <c r="AW180" s="56">
        <f t="shared" si="185"/>
        <v>0</v>
      </c>
      <c r="AX180" s="475">
        <f t="shared" si="165"/>
        <v>0</v>
      </c>
      <c r="AY180" s="1169">
        <f t="shared" si="186"/>
        <v>0</v>
      </c>
      <c r="AZ180" s="1150">
        <f t="shared" si="225"/>
        <v>0</v>
      </c>
      <c r="BA180" s="56">
        <f t="shared" si="166"/>
        <v>0</v>
      </c>
      <c r="BB180" s="420">
        <f t="shared" si="167"/>
        <v>0</v>
      </c>
      <c r="BC180" s="58" t="str">
        <f t="shared" si="168"/>
        <v/>
      </c>
      <c r="BD180" s="660">
        <f t="shared" si="226"/>
        <v>0</v>
      </c>
      <c r="BE180" s="57" t="e">
        <f t="array" ref="BE180">INDEX($EB$11:$ED$1022,MATCH(F180&amp;T180,$EB$11:$EB$1007&amp;$EC$11:$EC$1007,0),3)</f>
        <v>#N/A</v>
      </c>
      <c r="BF180" s="463">
        <f t="shared" si="234"/>
        <v>0</v>
      </c>
      <c r="BG180" s="1445" t="e">
        <f t="array" ref="BG180">INDEX($DO$112:$DQ$123,MATCH(T180&amp;W180,$DO$114:$DO$125&amp;$DP$112:$DP$123,0),3)</f>
        <v>#N/A</v>
      </c>
      <c r="BH180" s="1446">
        <f t="shared" si="187"/>
        <v>0</v>
      </c>
      <c r="BI180" s="465">
        <f t="shared" si="188"/>
        <v>0</v>
      </c>
      <c r="BJ180" s="465">
        <f t="shared" si="189"/>
        <v>0</v>
      </c>
      <c r="BK180" s="466">
        <f t="shared" si="235"/>
        <v>0</v>
      </c>
      <c r="BL180" s="466">
        <f t="shared" si="236"/>
        <v>0</v>
      </c>
      <c r="BM180" s="466">
        <f t="shared" si="190"/>
        <v>0</v>
      </c>
      <c r="BN180" s="466">
        <f t="shared" si="191"/>
        <v>0</v>
      </c>
      <c r="BO180" s="463">
        <f>IF('Data Entry'!$C$74=0,0,IF(ISNA(CJ180),0,IF(AX180=0,0,IF(AND('Data Entry'!$C$74=2,AF180&gt;2,CE180&lt;1),0,IF(AND('Data Entry'!$C$74=2,AF180&gt;1,AU180=2,CJ180&gt;1),0,IF(AND(AF180=5,CT180=0.5,AU180=2,ER180&lt;100),0,IF(AND(AF180=5,CT180=0.5,AU180=3,ER180&lt;100),0,IF(AND('Data Entry'!$C$74=2,AF180=2,AU180=2,AK180&gt;0.01,CB180=2,CE180&lt;1),0,IF(AND('Data Entry'!$C$74=2,AF180=3,AU180=3,AK180&gt;0.01,CB180=3,CE180&lt;1),0,IF(AND('Data Entry'!$C$74=2,AF180=3,AU180=3,AK180&gt;0.01,CB180=3,CE180&gt;0.99),BQ180*0.08,IF(AND('Data Entry'!$C$74=2,AF180=2,AU180=2,AK180&gt;0.01,CB180=2,CE180&gt;0.99),BQ180*0.1,IF(AND(AU180=2,AK180&gt;0.01,CB180=2,CD180&gt;1),BQ180*0.1,IF(AND(AU180=3,AK180&gt;0.01,CB180=3,CD180&gt;1),BQ180*0.08,CJ180*EF180)))))))))))))</f>
        <v>0</v>
      </c>
      <c r="BP180" s="475">
        <f t="shared" si="192"/>
        <v>0</v>
      </c>
      <c r="BQ180" s="1431">
        <f>IF(AU180=1,0,IF(CH180=100,0,IF(AND(AF180=3,AU180=2),0,IF(AND(BH180=0,CT180&gt;0.4),0,IF(AND('Data Entry'!$C$74=2,AF180=1.5),0,IF(AND('Data Entry'!$C$74=2,AF180=1.6),0,IF(AND('Data Entry'!$C$74=2,AF180=4),0,IF(AND('Data Entry'!$C$74=2,AF180=5),0,IF(AND('Data Entry'!$C$74=2,AF180=2.5,CE180&lt;1),0,IF(AND('Data Entry'!$C$74=2,AF180=3,CE180&lt;1),0,IF(AND('Data Entry'!$C$74=1,AF180=2.5,CD180&lt;1),0,IF(AND('Data Entry'!$C$74=1,AF180=3,CD180&lt;1),0,IF(DX180&gt;0.01,DX180,IF(ISERROR(AX180-AY180),"",ROUND(AX180-AY180,2)))))))))))))))</f>
        <v>0</v>
      </c>
      <c r="BR180" s="146">
        <f t="shared" si="193"/>
        <v>0</v>
      </c>
      <c r="BS180" s="475">
        <f t="shared" si="194"/>
        <v>0</v>
      </c>
      <c r="BT180" s="146" t="b">
        <f t="shared" si="195"/>
        <v>0</v>
      </c>
      <c r="BU180" s="463">
        <f>IF(ISNA(AT180),0,IF(AND('Data Entry'!$C$74=2,BC180=27),0,IF(AND('Data Entry'!$C$74=2,BC180=28),0,IF(AND(BC180=27,BT180=27,CM180&gt;0.1),CM180*0.15,IF(AND(BC180=28,BT180=28,CM180&gt;0.1),CM180*0.12,0)))))</f>
        <v>0</v>
      </c>
      <c r="BV180" s="463">
        <f t="shared" si="232"/>
        <v>0</v>
      </c>
      <c r="BW180" s="463">
        <f t="shared" si="196"/>
        <v>0</v>
      </c>
      <c r="BX180" s="463">
        <f t="shared" si="197"/>
        <v>0</v>
      </c>
      <c r="BY180" s="463">
        <f t="shared" si="198"/>
        <v>0</v>
      </c>
      <c r="BZ180" s="463">
        <f t="shared" si="199"/>
        <v>0</v>
      </c>
      <c r="CA180" s="57">
        <f t="shared" si="227"/>
        <v>0</v>
      </c>
      <c r="CB180" s="56">
        <f t="shared" si="200"/>
        <v>1</v>
      </c>
      <c r="CC180" s="756">
        <f>IF(EE180=0,0,IF(EF180=0,0,IF(EE180&gt;AA180,0,IF(AND(AZ180&gt;AW180,AW180&gt;0),0,IF(CU180=0,0,Summary!AC483)))))</f>
        <v>0</v>
      </c>
      <c r="CD180" s="756">
        <f>IF(EE180=0,0,IF(EF180=0,0,IF(EE180&gt;AA180,0,IF(AND(AZ180&gt;AW180,AW180&gt;0),0,IF(CU180=0,0,Summary!AD483)))))</f>
        <v>0</v>
      </c>
      <c r="CE180" s="756">
        <f>IF(EF180=0,0,IF(EE180&gt;AA180,0,IF(CC180=0,0,IF(AND(AZ180&gt;AW180,AW180&gt;0),0,IF(CU180=0,0,Summary!AE483)))))</f>
        <v>0</v>
      </c>
      <c r="CF180" s="475">
        <f t="shared" si="201"/>
        <v>0</v>
      </c>
      <c r="CG180" s="476">
        <f t="shared" si="169"/>
        <v>0</v>
      </c>
      <c r="CH180" s="487">
        <f t="shared" si="202"/>
        <v>0</v>
      </c>
      <c r="CI180" s="756">
        <f t="shared" si="203"/>
        <v>0</v>
      </c>
      <c r="CJ180" s="487">
        <f>IF(CT180&gt;0.4,0,IF(AND(AU180=2,CH180=0,CT180=0.5,ER180=100),35,IF(AND(AU180=3,BB180&gt;75,CH180=0,CT180=0.5,ER180=100),25,IF(CB180&gt;1,0,IF(EF180&gt;EE180,0,IF(AND(AF180&gt;1,CH180=100),0,IF(AND(AF180=1,AY180=0),0,IF(AND(EF180&lt;=EE180,AW180&gt;=AZ180,'Data Entry'!$C$74=1,AU180=2),VLOOKUP(W180,$DO$96:$DP$102,2,FALSE),IF(AND(EF180&lt;=EE180,AW180&gt;=AZ180,AU180=3,'Data Entry'!$C$74=1),VLOOKUP(W180,$DO$127:$DP$134,2,FALSE))))))))))</f>
        <v>0</v>
      </c>
      <c r="CK180" s="716">
        <f t="shared" si="204"/>
        <v>0</v>
      </c>
      <c r="CL180" s="57">
        <f t="shared" si="205"/>
        <v>0</v>
      </c>
      <c r="CM180" s="475">
        <f t="shared" si="231"/>
        <v>0</v>
      </c>
      <c r="CN180" s="660">
        <f>IF(CM180&lt;0.1,0,IF(ISNA(AT180),0,IF(CL180+BC180=1,0,IF(BV180&gt;0.01,0,IF(CL180&gt;0.01,0,IF(CF180=1,0,IF(BC180=0.5,0,IF(AND(CI180=1,AU180=3),0,IF(AND(CI180=5,CL180=0),0,IF(AND(R180=12,BR180=50),0,IF(CK180&gt;0.01,0,IF(AND(AJ180&gt;0.01,AU180=2,BC180=15),CM180*0.1,IF(AND(AJ180&gt;0.01,AU180=3,BC180=15),CM180*0.08,IF(AND(R180=12,BC180=3,AF180&lt;=0),0,IF(AND(BC180=15,BI180=0),0,IF(AND(BC180=15,BJ180=0),0,IF(AND(R180=20,CU180=0),0,IF($X$4=0,0,IF(AND(BC180=250,CL180=0),0,IF(AA180&lt;1,0,IF(AND(ISNUMBER(SEARCH("Area",T180)),AU180=3),0,IF(AND(AQ180&gt;0.01,AR180=0,BK180=0,BL180=0,BM180=0,BN180=0),0,IF(AND(AU180=3,CI180=7,CT180&gt;0.5),0,IF(AND(BC180=44,AU180=3,BY180=0),0,IF(AND(BC180=27,'Data Entry'!$C$74=2),0,IF(AND(BC180=28,'Data Entry'!$C$74=2),0,IF(AND(BY180+BZ180+CA180&gt;0.01,BV180=0,EQ180+ER180+ES180+ET180&lt;100),0,IF(AU180=3,CM180*0.08,IF(AU180=2,CM180*0.1,0)))))))))))))))))))))))))))))</f>
        <v>0</v>
      </c>
      <c r="CO180" s="660">
        <f t="shared" si="206"/>
        <v>0</v>
      </c>
      <c r="CP180" s="475" t="str">
        <f t="shared" si="207"/>
        <v/>
      </c>
      <c r="CQ180" s="161" t="str">
        <f>IF(AH180=0,0,IF(AU180=5,0,Summary!AC183))</f>
        <v/>
      </c>
      <c r="CR180" s="161" t="str">
        <f>IF(BF180=0.5,0,IF(AU180=5,0,Summary!AD183))</f>
        <v/>
      </c>
      <c r="CS180" s="161" t="str">
        <f>IF(AU180=5,0,Summary!AE183)</f>
        <v/>
      </c>
      <c r="CT180" s="161">
        <f t="shared" si="208"/>
        <v>0</v>
      </c>
      <c r="CU180" s="475" t="str">
        <f t="shared" si="209"/>
        <v/>
      </c>
      <c r="CV180" s="307">
        <f>IF('Data Entry'!$C$74=0,0,IF(AA180&lt;1,0,IF(ISERROR(CU180),0,IF(CF180=1,0,IF(AND(R180=12,BR180=50),0,IF(CL180+BO180+BV180+DC180=0,0,IF(BC180=37,0,IF(AND(BC180=40,AJ180=0),0,IF(AND(BC180=37,BO180&gt;0.01,BQ180&gt;0.01),ROUND(BQ180,0),IF(CM180&lt;0,0,ROUND(CM180,0)))))))))))</f>
        <v>0</v>
      </c>
      <c r="CW180" s="700">
        <f t="shared" si="210"/>
        <v>0</v>
      </c>
      <c r="CX180" s="477">
        <f>IF('Data Entry'!$C$74=0,0,IF(CV180&lt;0.01,0,IF(BF180=0.5,0,IF(CF180=1,0,IF(ISNUMBER(SEARCH("false",CL180)),0,IF(AZ180=500,0,CL180))))))</f>
        <v>0</v>
      </c>
      <c r="CY180" s="147" t="e">
        <f t="shared" si="211"/>
        <v>#VALUE!</v>
      </c>
      <c r="CZ180" s="147" t="b">
        <f>IF(CN180+CL180=0,FALSE,IF(AH180=0,0,IF(AND('Data Entry'!$C$74=1,CR180&gt;=1),TRUE,IF(AND('Data Entry'!$C$74=2,CS180&gt;=1),TRUE,FALSE))))</f>
        <v>0</v>
      </c>
      <c r="DA180" s="1751">
        <f>IF('Data Entry'!$C$74=0,0,IFERROR(ROUND(IF(T180="","",IF($X$4=0,0,IF(CF180=1,0,IF(BQ180+CV180=0,0,IF(CF180=1,0,IF(CY180&gt;0.01,CY180,IF(CL180&gt;0.01,CL180,IF(CY180&gt;0.01,CY180,IF(BC180=37,BO180,IF(CZ180=FALSE,0,IF(CZ180=TRUE,DC180+DF180,0))))))))))),2),""))</f>
        <v>0</v>
      </c>
      <c r="DB180" s="1752"/>
      <c r="DC180" s="474">
        <f>IF(CN180&lt;0.01,0,IF(AND(BR180=3,CN180&gt;0.01,CT180&gt;0.6,ER180+ES180+ET180&lt;100),0,IF(AND('Data Entry'!$C$74=1,CN180&gt;0.01,CR180&gt;0.99),MIN(CN180:CO180),IF(AND('Data Entry'!$C$74=2,CN180&gt;0.01,CS180&gt;0.99),MIN(CN180:CO180),0))))</f>
        <v>0</v>
      </c>
      <c r="DD180" s="478">
        <f>IF(CF180=1,"Selection does not match",IF(T180=0,0,IF(AND('Data Entry'!$C$74=0,CP180&gt;1),"Select Oregon or Idaho on Data Entry Tab",IF(AND(AU180=1,AA180&gt;0.9),"Missing Interior or Exterior Selection",IF($X$4=0,"Enter Total Project Cost",IF(AQ180&lt;AR180,"Insufficient kWh savings – no incentive",IF(AND(SUM(CL180+CK180+BV180)&gt;0.01,'Data Entry'!$C$74=2,CJ180&gt;1,BO180=0),"Submit Control as Non-Standard",IF(AND('Data Entry'!$C$74=2,BR180=37,CJ180&gt;1,BO180=0),"Submit Control as Non-Standard",IF(SUM(CL180+CK180+BV180)&gt;0.01,"Standard Incentive",IF(AND('Data Entry'!$C$74=2,CP180=7,CN180=0),"Submit as Non-Standard",IF(DC180&gt;0.9,"Non-Standard Incentive",IF(AND(BY180+BZ180+CA180&gt;0.01,BV180=0,EQ180=0,ER180=0,ES180=0,ET180=0),"Scroll Right &amp; Select Control Strategies",IF(AND(CN180&gt;0.01,CO180=0),"Enter Unit Installed Cost",IF(ISNUMBER(SEARCH("Lighting Controls Only",F180)),"Lighting Controls Only",IF(CL180+DC180=0,"Does not meet incentive criteria",0)))))))))))))))</f>
        <v>0</v>
      </c>
      <c r="DE180" s="337">
        <f t="shared" si="212"/>
        <v>0</v>
      </c>
      <c r="DF180" s="609">
        <f t="shared" si="213"/>
        <v>0</v>
      </c>
      <c r="DG180" s="336" t="str">
        <f t="shared" si="214"/>
        <v/>
      </c>
      <c r="DH180" s="338">
        <f t="shared" si="215"/>
        <v>1</v>
      </c>
      <c r="DI180" s="336" t="e">
        <f t="shared" si="170"/>
        <v>#VALUE!</v>
      </c>
      <c r="DJ180" s="1142">
        <f t="shared" si="171"/>
        <v>0</v>
      </c>
      <c r="DK180" s="331"/>
      <c r="DL180" s="332"/>
      <c r="DM180" s="864" t="s">
        <v>1286</v>
      </c>
      <c r="DN180" s="859"/>
      <c r="DO180" s="331"/>
      <c r="DP180" s="332"/>
      <c r="DQ180" s="330"/>
      <c r="DR180" s="357"/>
      <c r="DS180" s="1195">
        <f t="shared" si="216"/>
        <v>0</v>
      </c>
      <c r="DT180" s="344" t="b">
        <f t="shared" si="217"/>
        <v>1</v>
      </c>
      <c r="DU180" s="1314" t="str">
        <f t="array" ref="DU180">IF(OR(COUNTIF(F180,"*"&amp;$DK$9:$DK$178&amp;"*")), "Yes", "")</f>
        <v/>
      </c>
      <c r="DV180" s="1314">
        <f t="shared" si="218"/>
        <v>0</v>
      </c>
      <c r="DW180" s="1480">
        <f t="shared" si="219"/>
        <v>0</v>
      </c>
      <c r="DX180" s="1498">
        <f t="shared" si="228"/>
        <v>0</v>
      </c>
      <c r="DY180" s="1484">
        <f t="shared" si="220"/>
        <v>0</v>
      </c>
      <c r="DZ180" s="331"/>
      <c r="EA180" s="392"/>
      <c r="EB180" s="1499" t="s">
        <v>1212</v>
      </c>
      <c r="EC180" s="727" t="s">
        <v>1568</v>
      </c>
      <c r="ED180" s="728">
        <v>0.5</v>
      </c>
      <c r="EE180" s="1215"/>
      <c r="EF180" s="1215"/>
      <c r="EG180" s="1184" t="str">
        <f t="shared" si="221"/>
        <v/>
      </c>
      <c r="EH180" s="55"/>
      <c r="EI180" s="55"/>
      <c r="EJ180" s="1185">
        <f t="shared" si="172"/>
        <v>0</v>
      </c>
      <c r="EK180" s="1211"/>
      <c r="EL180" s="1180">
        <f t="shared" si="173"/>
        <v>0</v>
      </c>
      <c r="EM180" s="206"/>
      <c r="EN180" s="1038"/>
      <c r="EO180" s="1038"/>
      <c r="EP180" s="1038"/>
      <c r="EQ180" s="1038">
        <f t="shared" si="222"/>
        <v>0</v>
      </c>
      <c r="ER180" s="1041">
        <f t="shared" si="223"/>
        <v>0</v>
      </c>
      <c r="ES180" s="1042">
        <f t="shared" si="224"/>
        <v>0</v>
      </c>
      <c r="ET180" s="1042">
        <f t="shared" si="229"/>
        <v>0</v>
      </c>
      <c r="EU180" s="1021">
        <f t="shared" si="230"/>
        <v>0</v>
      </c>
      <c r="EV180" s="368"/>
      <c r="EW180" s="368"/>
      <c r="EX180" s="369"/>
      <c r="EY180" s="370"/>
      <c r="EZ180" s="370"/>
      <c r="FA180" s="371"/>
      <c r="FB180" s="372"/>
    </row>
    <row r="181" spans="1:158" ht="34.5" customHeight="1">
      <c r="A181" s="82">
        <v>173</v>
      </c>
      <c r="B181" s="1725"/>
      <c r="C181" s="1726"/>
      <c r="D181" s="1726"/>
      <c r="E181" s="1727"/>
      <c r="F181" s="1732"/>
      <c r="G181" s="1733"/>
      <c r="H181" s="1733"/>
      <c r="I181" s="1734"/>
      <c r="J181" s="1341"/>
      <c r="K181" s="1728"/>
      <c r="L181" s="1728"/>
      <c r="M181" s="1342"/>
      <c r="N181" s="1583"/>
      <c r="O181" s="208" t="str">
        <f t="shared" si="160"/>
        <v/>
      </c>
      <c r="P181" s="785"/>
      <c r="Q181" s="39" t="str">
        <f t="shared" si="161"/>
        <v/>
      </c>
      <c r="R181" s="39">
        <f t="shared" si="174"/>
        <v>0</v>
      </c>
      <c r="S181" s="234">
        <f t="shared" si="175"/>
        <v>0</v>
      </c>
      <c r="T181" s="1755"/>
      <c r="U181" s="1755"/>
      <c r="V181" s="1755"/>
      <c r="W181" s="1345"/>
      <c r="X181" s="1741"/>
      <c r="Y181" s="1742"/>
      <c r="Z181" s="1346"/>
      <c r="AA181" s="1343"/>
      <c r="AB181" s="1141"/>
      <c r="AC181" s="1103" t="str">
        <f>IF(T181="","",VLOOKUP(Z181,Lists!$A$60:$B$111,2,FALSE))</f>
        <v/>
      </c>
      <c r="AD181" s="130" t="str">
        <f t="shared" si="176"/>
        <v/>
      </c>
      <c r="AE181" s="130" t="e">
        <f t="shared" si="177"/>
        <v>#VALUE!</v>
      </c>
      <c r="AF181" s="130">
        <f t="shared" si="178"/>
        <v>1</v>
      </c>
      <c r="AG181" s="234">
        <f t="shared" si="162"/>
        <v>0</v>
      </c>
      <c r="AH181" s="1753" t="str">
        <f>IF(T181="","",(IF(ISNUMBER(SEARCH("exit",T181)),8760,IF(AND(M181="Dusk to Dawn",'Proposed Lighting'!AU181=3),4059,IF(AND(AU181=3,M181="1"),0,IF(AND(AU181=3,M181="1-C"),0,IF(AND(AU181=3,M181="2"),0,IF(AND(AU181=3,M181="2-C"),0,IF(AND(AU181=3,M181="3"),0,IF(AND(AU181=3,M181="3-C"),0,IF(AND(AU181=2,M181="Dusk to Dawn"),0,IF(AND(AU181=2,M181="Dusk to Dawn-C"),0,IF(AND(AU181=2,M181="Dusk to Dawn"),0,IF(AND(AU181=2,M181="E"),0,IF(AND(AU181=2,M181="E-C"),0,EG181)))))))))))))))</f>
        <v/>
      </c>
      <c r="AI181" s="1754"/>
      <c r="AJ181" s="1136"/>
      <c r="AK181" s="1136"/>
      <c r="AL181" s="1748">
        <f t="shared" si="179"/>
        <v>0</v>
      </c>
      <c r="AM181" s="1749"/>
      <c r="AN181" s="1750"/>
      <c r="AO181" s="476">
        <f t="shared" si="163"/>
        <v>0</v>
      </c>
      <c r="AP181" s="476">
        <f t="shared" si="180"/>
        <v>0</v>
      </c>
      <c r="AQ181" s="475">
        <f t="shared" si="164"/>
        <v>0</v>
      </c>
      <c r="AR181" s="475">
        <f t="shared" si="181"/>
        <v>0</v>
      </c>
      <c r="AS181" s="743" t="str">
        <f t="shared" si="233"/>
        <v/>
      </c>
      <c r="AT181" s="736" t="str">
        <f t="shared" si="182"/>
        <v/>
      </c>
      <c r="AU181" s="56">
        <f t="shared" si="183"/>
        <v>1</v>
      </c>
      <c r="AV181" s="476">
        <f t="shared" si="184"/>
        <v>0</v>
      </c>
      <c r="AW181" s="56">
        <f t="shared" si="185"/>
        <v>0</v>
      </c>
      <c r="AX181" s="475">
        <f t="shared" si="165"/>
        <v>0</v>
      </c>
      <c r="AY181" s="1169">
        <f t="shared" si="186"/>
        <v>0</v>
      </c>
      <c r="AZ181" s="1150">
        <f t="shared" si="225"/>
        <v>0</v>
      </c>
      <c r="BA181" s="56">
        <f t="shared" si="166"/>
        <v>0</v>
      </c>
      <c r="BB181" s="420">
        <f t="shared" si="167"/>
        <v>0</v>
      </c>
      <c r="BC181" s="58" t="str">
        <f t="shared" si="168"/>
        <v/>
      </c>
      <c r="BD181" s="660">
        <f t="shared" si="226"/>
        <v>0</v>
      </c>
      <c r="BE181" s="57" t="e">
        <f t="array" ref="BE181">INDEX($EB$11:$ED$1022,MATCH(F181&amp;T181,$EB$11:$EB$1007&amp;$EC$11:$EC$1007,0),3)</f>
        <v>#N/A</v>
      </c>
      <c r="BF181" s="463">
        <f t="shared" si="234"/>
        <v>0</v>
      </c>
      <c r="BG181" s="1445" t="e">
        <f t="array" ref="BG181">INDEX($DO$112:$DQ$123,MATCH(T181&amp;W181,$DO$114:$DO$125&amp;$DP$112:$DP$123,0),3)</f>
        <v>#N/A</v>
      </c>
      <c r="BH181" s="1446">
        <f t="shared" si="187"/>
        <v>0</v>
      </c>
      <c r="BI181" s="465">
        <f t="shared" si="188"/>
        <v>0</v>
      </c>
      <c r="BJ181" s="465">
        <f t="shared" si="189"/>
        <v>0</v>
      </c>
      <c r="BK181" s="466">
        <f t="shared" si="235"/>
        <v>0</v>
      </c>
      <c r="BL181" s="466">
        <f t="shared" si="236"/>
        <v>0</v>
      </c>
      <c r="BM181" s="466">
        <f t="shared" si="190"/>
        <v>0</v>
      </c>
      <c r="BN181" s="466">
        <f t="shared" si="191"/>
        <v>0</v>
      </c>
      <c r="BO181" s="463">
        <f>IF('Data Entry'!$C$74=0,0,IF(ISNA(CJ181),0,IF(AX181=0,0,IF(AND('Data Entry'!$C$74=2,AF181&gt;2,CE181&lt;1),0,IF(AND('Data Entry'!$C$74=2,AF181&gt;1,AU181=2,CJ181&gt;1),0,IF(AND(AF181=5,CT181=0.5,AU181=2,ER181&lt;100),0,IF(AND(AF181=5,CT181=0.5,AU181=3,ER181&lt;100),0,IF(AND('Data Entry'!$C$74=2,AF181=2,AU181=2,AK181&gt;0.01,CB181=2,CE181&lt;1),0,IF(AND('Data Entry'!$C$74=2,AF181=3,AU181=3,AK181&gt;0.01,CB181=3,CE181&lt;1),0,IF(AND('Data Entry'!$C$74=2,AF181=3,AU181=3,AK181&gt;0.01,CB181=3,CE181&gt;0.99),BQ181*0.08,IF(AND('Data Entry'!$C$74=2,AF181=2,AU181=2,AK181&gt;0.01,CB181=2,CE181&gt;0.99),BQ181*0.1,IF(AND(AU181=2,AK181&gt;0.01,CB181=2,CD181&gt;1),BQ181*0.1,IF(AND(AU181=3,AK181&gt;0.01,CB181=3,CD181&gt;1),BQ181*0.08,CJ181*EF181)))))))))))))</f>
        <v>0</v>
      </c>
      <c r="BP181" s="475">
        <f t="shared" si="192"/>
        <v>0</v>
      </c>
      <c r="BQ181" s="1431">
        <f>IF(AU181=1,0,IF(CH181=100,0,IF(AND(AF181=3,AU181=2),0,IF(AND(BH181=0,CT181&gt;0.4),0,IF(AND('Data Entry'!$C$74=2,AF181=1.5),0,IF(AND('Data Entry'!$C$74=2,AF181=1.6),0,IF(AND('Data Entry'!$C$74=2,AF181=4),0,IF(AND('Data Entry'!$C$74=2,AF181=5),0,IF(AND('Data Entry'!$C$74=2,AF181=2.5,CE181&lt;1),0,IF(AND('Data Entry'!$C$74=2,AF181=3,CE181&lt;1),0,IF(AND('Data Entry'!$C$74=1,AF181=2.5,CD181&lt;1),0,IF(AND('Data Entry'!$C$74=1,AF181=3,CD181&lt;1),0,IF(DX181&gt;0.01,DX181,IF(ISERROR(AX181-AY181),"",ROUND(AX181-AY181,2)))))))))))))))</f>
        <v>0</v>
      </c>
      <c r="BR181" s="146">
        <f t="shared" si="193"/>
        <v>0</v>
      </c>
      <c r="BS181" s="475">
        <f t="shared" si="194"/>
        <v>0</v>
      </c>
      <c r="BT181" s="146" t="b">
        <f t="shared" si="195"/>
        <v>0</v>
      </c>
      <c r="BU181" s="463">
        <f>IF(ISNA(AT181),0,IF(AND('Data Entry'!$C$74=2,BC181=27),0,IF(AND('Data Entry'!$C$74=2,BC181=28),0,IF(AND(BC181=27,BT181=27,CM181&gt;0.1),CM181*0.15,IF(AND(BC181=28,BT181=28,CM181&gt;0.1),CM181*0.12,0)))))</f>
        <v>0</v>
      </c>
      <c r="BV181" s="463">
        <f t="shared" si="232"/>
        <v>0</v>
      </c>
      <c r="BW181" s="463">
        <f t="shared" si="196"/>
        <v>0</v>
      </c>
      <c r="BX181" s="463">
        <f t="shared" si="197"/>
        <v>0</v>
      </c>
      <c r="BY181" s="463">
        <f t="shared" si="198"/>
        <v>0</v>
      </c>
      <c r="BZ181" s="463">
        <f t="shared" si="199"/>
        <v>0</v>
      </c>
      <c r="CA181" s="57">
        <f t="shared" si="227"/>
        <v>0</v>
      </c>
      <c r="CB181" s="56">
        <f t="shared" si="200"/>
        <v>1</v>
      </c>
      <c r="CC181" s="756">
        <f>IF(EE181=0,0,IF(EF181=0,0,IF(EE181&gt;AA181,0,IF(AND(AZ181&gt;AW181,AW181&gt;0),0,IF(CU181=0,0,Summary!AC484)))))</f>
        <v>0</v>
      </c>
      <c r="CD181" s="756">
        <f>IF(EE181=0,0,IF(EF181=0,0,IF(EE181&gt;AA181,0,IF(AND(AZ181&gt;AW181,AW181&gt;0),0,IF(CU181=0,0,Summary!AD484)))))</f>
        <v>0</v>
      </c>
      <c r="CE181" s="756">
        <f>IF(EF181=0,0,IF(EE181&gt;AA181,0,IF(CC181=0,0,IF(AND(AZ181&gt;AW181,AW181&gt;0),0,IF(CU181=0,0,Summary!AE484)))))</f>
        <v>0</v>
      </c>
      <c r="CF181" s="475">
        <f t="shared" si="201"/>
        <v>0</v>
      </c>
      <c r="CG181" s="476">
        <f t="shared" si="169"/>
        <v>0</v>
      </c>
      <c r="CH181" s="487">
        <f t="shared" si="202"/>
        <v>0</v>
      </c>
      <c r="CI181" s="756">
        <f t="shared" si="203"/>
        <v>0</v>
      </c>
      <c r="CJ181" s="487">
        <f>IF(CT181&gt;0.4,0,IF(AND(AU181=2,CH181=0,CT181=0.5,ER181=100),35,IF(AND(AU181=3,BB181&gt;75,CH181=0,CT181=0.5,ER181=100),25,IF(CB181&gt;1,0,IF(EF181&gt;EE181,0,IF(AND(AF181&gt;1,CH181=100),0,IF(AND(AF181=1,AY181=0),0,IF(AND(EF181&lt;=EE181,AW181&gt;=AZ181,'Data Entry'!$C$74=1,AU181=2),VLOOKUP(W181,$DO$96:$DP$102,2,FALSE),IF(AND(EF181&lt;=EE181,AW181&gt;=AZ181,AU181=3,'Data Entry'!$C$74=1),VLOOKUP(W181,$DO$127:$DP$134,2,FALSE))))))))))</f>
        <v>0</v>
      </c>
      <c r="CK181" s="716">
        <f t="shared" si="204"/>
        <v>0</v>
      </c>
      <c r="CL181" s="57">
        <f t="shared" si="205"/>
        <v>0</v>
      </c>
      <c r="CM181" s="475">
        <f t="shared" si="231"/>
        <v>0</v>
      </c>
      <c r="CN181" s="660">
        <f>IF(CM181&lt;0.1,0,IF(ISNA(AT181),0,IF(CL181+BC181=1,0,IF(BV181&gt;0.01,0,IF(CL181&gt;0.01,0,IF(CF181=1,0,IF(BC181=0.5,0,IF(AND(CI181=1,AU181=3),0,IF(AND(CI181=5,CL181=0),0,IF(AND(R181=12,BR181=50),0,IF(CK181&gt;0.01,0,IF(AND(AJ181&gt;0.01,AU181=2,BC181=15),CM181*0.1,IF(AND(AJ181&gt;0.01,AU181=3,BC181=15),CM181*0.08,IF(AND(R181=12,BC181=3,AF181&lt;=0),0,IF(AND(BC181=15,BI181=0),0,IF(AND(BC181=15,BJ181=0),0,IF(AND(R181=20,CU181=0),0,IF($X$4=0,0,IF(AND(BC181=250,CL181=0),0,IF(AA181&lt;1,0,IF(AND(ISNUMBER(SEARCH("Area",T181)),AU181=3),0,IF(AND(AQ181&gt;0.01,AR181=0,BK181=0,BL181=0,BM181=0,BN181=0),0,IF(AND(AU181=3,CI181=7,CT181&gt;0.5),0,IF(AND(BC181=44,AU181=3,BY181=0),0,IF(AND(BC181=27,'Data Entry'!$C$74=2),0,IF(AND(BC181=28,'Data Entry'!$C$74=2),0,IF(AND(BY181+BZ181+CA181&gt;0.01,BV181=0,EQ181+ER181+ES181+ET181&lt;100),0,IF(AU181=3,CM181*0.08,IF(AU181=2,CM181*0.1,0)))))))))))))))))))))))))))))</f>
        <v>0</v>
      </c>
      <c r="CO181" s="660">
        <f t="shared" si="206"/>
        <v>0</v>
      </c>
      <c r="CP181" s="475" t="str">
        <f t="shared" si="207"/>
        <v/>
      </c>
      <c r="CQ181" s="161" t="str">
        <f>IF(AH181=0,0,IF(AU181=5,0,Summary!AC184))</f>
        <v/>
      </c>
      <c r="CR181" s="161" t="str">
        <f>IF(BF181=0.5,0,IF(AU181=5,0,Summary!AD184))</f>
        <v/>
      </c>
      <c r="CS181" s="161" t="str">
        <f>IF(AU181=5,0,Summary!AE184)</f>
        <v/>
      </c>
      <c r="CT181" s="161">
        <f t="shared" si="208"/>
        <v>0</v>
      </c>
      <c r="CU181" s="475" t="str">
        <f t="shared" si="209"/>
        <v/>
      </c>
      <c r="CV181" s="307">
        <f>IF('Data Entry'!$C$74=0,0,IF(AA181&lt;1,0,IF(ISERROR(CU181),0,IF(CF181=1,0,IF(AND(R181=12,BR181=50),0,IF(CL181+BO181+BV181+DC181=0,0,IF(BC181=37,0,IF(AND(BC181=40,AJ181=0),0,IF(AND(BC181=37,BO181&gt;0.01,BQ181&gt;0.01),ROUND(BQ181,0),IF(CM181&lt;0,0,ROUND(CM181,0)))))))))))</f>
        <v>0</v>
      </c>
      <c r="CW181" s="700">
        <f t="shared" si="210"/>
        <v>0</v>
      </c>
      <c r="CX181" s="477">
        <f>IF('Data Entry'!$C$74=0,0,IF(CV181&lt;0.01,0,IF(BF181=0.5,0,IF(CF181=1,0,IF(ISNUMBER(SEARCH("false",CL181)),0,IF(AZ181=500,0,CL181))))))</f>
        <v>0</v>
      </c>
      <c r="CY181" s="147" t="e">
        <f t="shared" si="211"/>
        <v>#VALUE!</v>
      </c>
      <c r="CZ181" s="147" t="b">
        <f>IF(CN181+CL181=0,FALSE,IF(AH181=0,0,IF(AND('Data Entry'!$C$74=1,CR181&gt;=1),TRUE,IF(AND('Data Entry'!$C$74=2,CS181&gt;=1),TRUE,FALSE))))</f>
        <v>0</v>
      </c>
      <c r="DA181" s="1751">
        <f>IF('Data Entry'!$C$74=0,0,IFERROR(ROUND(IF(T181="","",IF($X$4=0,0,IF(CF181=1,0,IF(BQ181+CV181=0,0,IF(CF181=1,0,IF(CY181&gt;0.01,CY181,IF(CL181&gt;0.01,CL181,IF(CY181&gt;0.01,CY181,IF(BC181=37,BO181,IF(CZ181=FALSE,0,IF(CZ181=TRUE,DC181+DF181,0))))))))))),2),""))</f>
        <v>0</v>
      </c>
      <c r="DB181" s="1752"/>
      <c r="DC181" s="474">
        <f>IF(CN181&lt;0.01,0,IF(AND(BR181=3,CN181&gt;0.01,CT181&gt;0.6,ER181+ES181+ET181&lt;100),0,IF(AND('Data Entry'!$C$74=1,CN181&gt;0.01,CR181&gt;0.99),MIN(CN181:CO181),IF(AND('Data Entry'!$C$74=2,CN181&gt;0.01,CS181&gt;0.99),MIN(CN181:CO181),0))))</f>
        <v>0</v>
      </c>
      <c r="DD181" s="478">
        <f>IF(CF181=1,"Selection does not match",IF(T181=0,0,IF(AND('Data Entry'!$C$74=0,CP181&gt;1),"Select Oregon or Idaho on Data Entry Tab",IF(AND(AU181=1,AA181&gt;0.9),"Missing Interior or Exterior Selection",IF($X$4=0,"Enter Total Project Cost",IF(AQ181&lt;AR181,"Insufficient kWh savings – no incentive",IF(AND(SUM(CL181+CK181+BV181)&gt;0.01,'Data Entry'!$C$74=2,CJ181&gt;1,BO181=0),"Submit Control as Non-Standard",IF(AND('Data Entry'!$C$74=2,BR181=37,CJ181&gt;1,BO181=0),"Submit Control as Non-Standard",IF(SUM(CL181+CK181+BV181)&gt;0.01,"Standard Incentive",IF(AND('Data Entry'!$C$74=2,CP181=7,CN181=0),"Submit as Non-Standard",IF(DC181&gt;0.9,"Non-Standard Incentive",IF(AND(BY181+BZ181+CA181&gt;0.01,BV181=0,EQ181=0,ER181=0,ES181=0,ET181=0),"Scroll Right &amp; Select Control Strategies",IF(AND(CN181&gt;0.01,CO181=0),"Enter Unit Installed Cost",IF(ISNUMBER(SEARCH("Lighting Controls Only",F181)),"Lighting Controls Only",IF(CL181+DC181=0,"Does not meet incentive criteria",0)))))))))))))))</f>
        <v>0</v>
      </c>
      <c r="DE181" s="337">
        <f t="shared" si="212"/>
        <v>0</v>
      </c>
      <c r="DF181" s="609">
        <f t="shared" si="213"/>
        <v>0</v>
      </c>
      <c r="DG181" s="336" t="str">
        <f t="shared" si="214"/>
        <v/>
      </c>
      <c r="DH181" s="338">
        <f t="shared" si="215"/>
        <v>1</v>
      </c>
      <c r="DI181" s="336" t="e">
        <f t="shared" si="170"/>
        <v>#VALUE!</v>
      </c>
      <c r="DJ181" s="1142">
        <f t="shared" si="171"/>
        <v>0</v>
      </c>
      <c r="DK181" s="331"/>
      <c r="DL181" s="332"/>
      <c r="DM181" s="1145" t="s">
        <v>1553</v>
      </c>
      <c r="DN181" s="863">
        <f>'Data Entry'!K64</f>
        <v>0</v>
      </c>
      <c r="DO181" s="1205"/>
      <c r="DP181" s="1206"/>
      <c r="DQ181" s="361"/>
      <c r="DS181" s="1195">
        <f t="shared" si="216"/>
        <v>0</v>
      </c>
      <c r="DT181" s="344" t="b">
        <f t="shared" si="217"/>
        <v>1</v>
      </c>
      <c r="DU181" s="1314" t="str">
        <f t="array" ref="DU181">IF(OR(COUNTIF(F181,"*"&amp;$DK$9:$DK$178&amp;"*")), "Yes", "")</f>
        <v/>
      </c>
      <c r="DV181" s="1314">
        <f t="shared" si="218"/>
        <v>0</v>
      </c>
      <c r="DW181" s="1480">
        <f t="shared" si="219"/>
        <v>0</v>
      </c>
      <c r="DX181" s="1498">
        <f t="shared" si="228"/>
        <v>0</v>
      </c>
      <c r="DY181" s="1484">
        <f t="shared" si="220"/>
        <v>0</v>
      </c>
      <c r="DZ181" s="331"/>
      <c r="EA181" s="392"/>
      <c r="EB181" s="1499" t="s">
        <v>418</v>
      </c>
      <c r="EC181" s="727" t="s">
        <v>1568</v>
      </c>
      <c r="ED181" s="728">
        <v>0.5</v>
      </c>
      <c r="EE181" s="1215"/>
      <c r="EF181" s="1215"/>
      <c r="EG181" s="1184" t="str">
        <f t="shared" si="221"/>
        <v/>
      </c>
      <c r="EH181" s="55"/>
      <c r="EI181" s="55"/>
      <c r="EJ181" s="1185">
        <f t="shared" si="172"/>
        <v>0</v>
      </c>
      <c r="EK181" s="1211"/>
      <c r="EL181" s="1180">
        <f t="shared" si="173"/>
        <v>0</v>
      </c>
      <c r="EM181" s="206"/>
      <c r="EN181" s="1038"/>
      <c r="EO181" s="1038"/>
      <c r="EP181" s="1038"/>
      <c r="EQ181" s="1038">
        <f t="shared" si="222"/>
        <v>0</v>
      </c>
      <c r="ER181" s="1041">
        <f t="shared" si="223"/>
        <v>0</v>
      </c>
      <c r="ES181" s="1042">
        <f t="shared" si="224"/>
        <v>0</v>
      </c>
      <c r="ET181" s="1042">
        <f t="shared" si="229"/>
        <v>0</v>
      </c>
      <c r="EU181" s="1021">
        <f t="shared" si="230"/>
        <v>0</v>
      </c>
      <c r="EV181" s="368"/>
      <c r="EW181" s="368"/>
      <c r="EX181" s="369"/>
      <c r="EY181" s="370"/>
      <c r="EZ181" s="370"/>
      <c r="FA181" s="371"/>
      <c r="FB181" s="372"/>
    </row>
    <row r="182" spans="1:158" ht="34.5" customHeight="1">
      <c r="A182" s="82">
        <v>174</v>
      </c>
      <c r="B182" s="1725"/>
      <c r="C182" s="1726"/>
      <c r="D182" s="1726"/>
      <c r="E182" s="1727"/>
      <c r="F182" s="1732"/>
      <c r="G182" s="1733"/>
      <c r="H182" s="1733"/>
      <c r="I182" s="1734"/>
      <c r="J182" s="1341"/>
      <c r="K182" s="1728"/>
      <c r="L182" s="1728"/>
      <c r="M182" s="1342"/>
      <c r="N182" s="1583"/>
      <c r="O182" s="208" t="str">
        <f t="shared" si="160"/>
        <v/>
      </c>
      <c r="P182" s="785"/>
      <c r="Q182" s="39" t="str">
        <f t="shared" si="161"/>
        <v/>
      </c>
      <c r="R182" s="39">
        <f t="shared" si="174"/>
        <v>0</v>
      </c>
      <c r="S182" s="234">
        <f t="shared" si="175"/>
        <v>0</v>
      </c>
      <c r="T182" s="1755"/>
      <c r="U182" s="1755"/>
      <c r="V182" s="1755"/>
      <c r="W182" s="1345"/>
      <c r="X182" s="1741"/>
      <c r="Y182" s="1742"/>
      <c r="Z182" s="1346"/>
      <c r="AA182" s="1343"/>
      <c r="AB182" s="1141"/>
      <c r="AC182" s="1103" t="str">
        <f>IF(T182="","",VLOOKUP(Z182,Lists!$A$60:$B$111,2,FALSE))</f>
        <v/>
      </c>
      <c r="AD182" s="130" t="str">
        <f t="shared" si="176"/>
        <v/>
      </c>
      <c r="AE182" s="130" t="e">
        <f t="shared" si="177"/>
        <v>#VALUE!</v>
      </c>
      <c r="AF182" s="130">
        <f t="shared" si="178"/>
        <v>1</v>
      </c>
      <c r="AG182" s="234">
        <f t="shared" si="162"/>
        <v>0</v>
      </c>
      <c r="AH182" s="1753" t="str">
        <f>IF(T182="","",(IF(ISNUMBER(SEARCH("exit",T182)),8760,IF(AND(M182="Dusk to Dawn",'Proposed Lighting'!AU182=3),4059,IF(AND(AU182=3,M182="1"),0,IF(AND(AU182=3,M182="1-C"),0,IF(AND(AU182=3,M182="2"),0,IF(AND(AU182=3,M182="2-C"),0,IF(AND(AU182=3,M182="3"),0,IF(AND(AU182=3,M182="3-C"),0,IF(AND(AU182=2,M182="Dusk to Dawn"),0,IF(AND(AU182=2,M182="Dusk to Dawn-C"),0,IF(AND(AU182=2,M182="Dusk to Dawn"),0,IF(AND(AU182=2,M182="E"),0,IF(AND(AU182=2,M182="E-C"),0,EG182)))))))))))))))</f>
        <v/>
      </c>
      <c r="AI182" s="1754"/>
      <c r="AJ182" s="1136"/>
      <c r="AK182" s="1136"/>
      <c r="AL182" s="1748">
        <f t="shared" si="179"/>
        <v>0</v>
      </c>
      <c r="AM182" s="1749"/>
      <c r="AN182" s="1750"/>
      <c r="AO182" s="476">
        <f t="shared" si="163"/>
        <v>0</v>
      </c>
      <c r="AP182" s="476">
        <f t="shared" si="180"/>
        <v>0</v>
      </c>
      <c r="AQ182" s="475">
        <f t="shared" si="164"/>
        <v>0</v>
      </c>
      <c r="AR182" s="475">
        <f t="shared" si="181"/>
        <v>0</v>
      </c>
      <c r="AS182" s="743" t="str">
        <f t="shared" si="233"/>
        <v/>
      </c>
      <c r="AT182" s="736" t="str">
        <f t="shared" si="182"/>
        <v/>
      </c>
      <c r="AU182" s="56">
        <f t="shared" si="183"/>
        <v>1</v>
      </c>
      <c r="AV182" s="476">
        <f t="shared" si="184"/>
        <v>0</v>
      </c>
      <c r="AW182" s="56">
        <f t="shared" si="185"/>
        <v>0</v>
      </c>
      <c r="AX182" s="475">
        <f t="shared" si="165"/>
        <v>0</v>
      </c>
      <c r="AY182" s="1169">
        <f t="shared" si="186"/>
        <v>0</v>
      </c>
      <c r="AZ182" s="1150">
        <f t="shared" si="225"/>
        <v>0</v>
      </c>
      <c r="BA182" s="56">
        <f t="shared" si="166"/>
        <v>0</v>
      </c>
      <c r="BB182" s="420">
        <f t="shared" si="167"/>
        <v>0</v>
      </c>
      <c r="BC182" s="58" t="str">
        <f t="shared" si="168"/>
        <v/>
      </c>
      <c r="BD182" s="660">
        <f t="shared" si="226"/>
        <v>0</v>
      </c>
      <c r="BE182" s="57" t="e">
        <f t="array" ref="BE182">INDEX($EB$11:$ED$1022,MATCH(F182&amp;T182,$EB$11:$EB$1007&amp;$EC$11:$EC$1007,0),3)</f>
        <v>#N/A</v>
      </c>
      <c r="BF182" s="463">
        <f t="shared" si="234"/>
        <v>0</v>
      </c>
      <c r="BG182" s="1445" t="e">
        <f t="array" ref="BG182">INDEX($DO$112:$DQ$123,MATCH(T182&amp;W182,$DO$114:$DO$125&amp;$DP$112:$DP$123,0),3)</f>
        <v>#N/A</v>
      </c>
      <c r="BH182" s="1446">
        <f t="shared" si="187"/>
        <v>0</v>
      </c>
      <c r="BI182" s="465">
        <f t="shared" si="188"/>
        <v>0</v>
      </c>
      <c r="BJ182" s="465">
        <f t="shared" si="189"/>
        <v>0</v>
      </c>
      <c r="BK182" s="466">
        <f t="shared" si="235"/>
        <v>0</v>
      </c>
      <c r="BL182" s="466">
        <f t="shared" si="236"/>
        <v>0</v>
      </c>
      <c r="BM182" s="466">
        <f t="shared" si="190"/>
        <v>0</v>
      </c>
      <c r="BN182" s="466">
        <f t="shared" si="191"/>
        <v>0</v>
      </c>
      <c r="BO182" s="463">
        <f>IF('Data Entry'!$C$74=0,0,IF(ISNA(CJ182),0,IF(AX182=0,0,IF(AND('Data Entry'!$C$74=2,AF182&gt;2,CE182&lt;1),0,IF(AND('Data Entry'!$C$74=2,AF182&gt;1,AU182=2,CJ182&gt;1),0,IF(AND(AF182=5,CT182=0.5,AU182=2,ER182&lt;100),0,IF(AND(AF182=5,CT182=0.5,AU182=3,ER182&lt;100),0,IF(AND('Data Entry'!$C$74=2,AF182=2,AU182=2,AK182&gt;0.01,CB182=2,CE182&lt;1),0,IF(AND('Data Entry'!$C$74=2,AF182=3,AU182=3,AK182&gt;0.01,CB182=3,CE182&lt;1),0,IF(AND('Data Entry'!$C$74=2,AF182=3,AU182=3,AK182&gt;0.01,CB182=3,CE182&gt;0.99),BQ182*0.08,IF(AND('Data Entry'!$C$74=2,AF182=2,AU182=2,AK182&gt;0.01,CB182=2,CE182&gt;0.99),BQ182*0.1,IF(AND(AU182=2,AK182&gt;0.01,CB182=2,CD182&gt;1),BQ182*0.1,IF(AND(AU182=3,AK182&gt;0.01,CB182=3,CD182&gt;1),BQ182*0.08,CJ182*EF182)))))))))))))</f>
        <v>0</v>
      </c>
      <c r="BP182" s="475">
        <f t="shared" si="192"/>
        <v>0</v>
      </c>
      <c r="BQ182" s="1431">
        <f>IF(AU182=1,0,IF(CH182=100,0,IF(AND(AF182=3,AU182=2),0,IF(AND(BH182=0,CT182&gt;0.4),0,IF(AND('Data Entry'!$C$74=2,AF182=1.5),0,IF(AND('Data Entry'!$C$74=2,AF182=1.6),0,IF(AND('Data Entry'!$C$74=2,AF182=4),0,IF(AND('Data Entry'!$C$74=2,AF182=5),0,IF(AND('Data Entry'!$C$74=2,AF182=2.5,CE182&lt;1),0,IF(AND('Data Entry'!$C$74=2,AF182=3,CE182&lt;1),0,IF(AND('Data Entry'!$C$74=1,AF182=2.5,CD182&lt;1),0,IF(AND('Data Entry'!$C$74=1,AF182=3,CD182&lt;1),0,IF(DX182&gt;0.01,DX182,IF(ISERROR(AX182-AY182),"",ROUND(AX182-AY182,2)))))))))))))))</f>
        <v>0</v>
      </c>
      <c r="BR182" s="146">
        <f t="shared" si="193"/>
        <v>0</v>
      </c>
      <c r="BS182" s="475">
        <f t="shared" si="194"/>
        <v>0</v>
      </c>
      <c r="BT182" s="146" t="b">
        <f t="shared" si="195"/>
        <v>0</v>
      </c>
      <c r="BU182" s="463">
        <f>IF(ISNA(AT182),0,IF(AND('Data Entry'!$C$74=2,BC182=27),0,IF(AND('Data Entry'!$C$74=2,BC182=28),0,IF(AND(BC182=27,BT182=27,CM182&gt;0.1),CM182*0.15,IF(AND(BC182=28,BT182=28,CM182&gt;0.1),CM182*0.12,0)))))</f>
        <v>0</v>
      </c>
      <c r="BV182" s="463">
        <f t="shared" si="232"/>
        <v>0</v>
      </c>
      <c r="BW182" s="463">
        <f t="shared" si="196"/>
        <v>0</v>
      </c>
      <c r="BX182" s="463">
        <f t="shared" si="197"/>
        <v>0</v>
      </c>
      <c r="BY182" s="463">
        <f t="shared" si="198"/>
        <v>0</v>
      </c>
      <c r="BZ182" s="463">
        <f t="shared" si="199"/>
        <v>0</v>
      </c>
      <c r="CA182" s="57">
        <f t="shared" si="227"/>
        <v>0</v>
      </c>
      <c r="CB182" s="56">
        <f t="shared" si="200"/>
        <v>1</v>
      </c>
      <c r="CC182" s="756">
        <f>IF(EE182=0,0,IF(EF182=0,0,IF(EE182&gt;AA182,0,IF(AND(AZ182&gt;AW182,AW182&gt;0),0,IF(CU182=0,0,Summary!AC485)))))</f>
        <v>0</v>
      </c>
      <c r="CD182" s="756">
        <f>IF(EE182=0,0,IF(EF182=0,0,IF(EE182&gt;AA182,0,IF(AND(AZ182&gt;AW182,AW182&gt;0),0,IF(CU182=0,0,Summary!AD485)))))</f>
        <v>0</v>
      </c>
      <c r="CE182" s="756">
        <f>IF(EF182=0,0,IF(EE182&gt;AA182,0,IF(CC182=0,0,IF(AND(AZ182&gt;AW182,AW182&gt;0),0,IF(CU182=0,0,Summary!AE485)))))</f>
        <v>0</v>
      </c>
      <c r="CF182" s="475">
        <f t="shared" si="201"/>
        <v>0</v>
      </c>
      <c r="CG182" s="476">
        <f t="shared" si="169"/>
        <v>0</v>
      </c>
      <c r="CH182" s="487">
        <f t="shared" si="202"/>
        <v>0</v>
      </c>
      <c r="CI182" s="756">
        <f t="shared" si="203"/>
        <v>0</v>
      </c>
      <c r="CJ182" s="487">
        <f>IF(CT182&gt;0.4,0,IF(AND(AU182=2,CH182=0,CT182=0.5,ER182=100),35,IF(AND(AU182=3,BB182&gt;75,CH182=0,CT182=0.5,ER182=100),25,IF(CB182&gt;1,0,IF(EF182&gt;EE182,0,IF(AND(AF182&gt;1,CH182=100),0,IF(AND(AF182=1,AY182=0),0,IF(AND(EF182&lt;=EE182,AW182&gt;=AZ182,'Data Entry'!$C$74=1,AU182=2),VLOOKUP(W182,$DO$96:$DP$102,2,FALSE),IF(AND(EF182&lt;=EE182,AW182&gt;=AZ182,AU182=3,'Data Entry'!$C$74=1),VLOOKUP(W182,$DO$127:$DP$134,2,FALSE))))))))))</f>
        <v>0</v>
      </c>
      <c r="CK182" s="716">
        <f t="shared" si="204"/>
        <v>0</v>
      </c>
      <c r="CL182" s="57">
        <f t="shared" si="205"/>
        <v>0</v>
      </c>
      <c r="CM182" s="475">
        <f t="shared" si="231"/>
        <v>0</v>
      </c>
      <c r="CN182" s="660">
        <f>IF(CM182&lt;0.1,0,IF(ISNA(AT182),0,IF(CL182+BC182=1,0,IF(BV182&gt;0.01,0,IF(CL182&gt;0.01,0,IF(CF182=1,0,IF(BC182=0.5,0,IF(AND(CI182=1,AU182=3),0,IF(AND(CI182=5,CL182=0),0,IF(AND(R182=12,BR182=50),0,IF(CK182&gt;0.01,0,IF(AND(AJ182&gt;0.01,AU182=2,BC182=15),CM182*0.1,IF(AND(AJ182&gt;0.01,AU182=3,BC182=15),CM182*0.08,IF(AND(R182=12,BC182=3,AF182&lt;=0),0,IF(AND(BC182=15,BI182=0),0,IF(AND(BC182=15,BJ182=0),0,IF(AND(R182=20,CU182=0),0,IF($X$4=0,0,IF(AND(BC182=250,CL182=0),0,IF(AA182&lt;1,0,IF(AND(ISNUMBER(SEARCH("Area",T182)),AU182=3),0,IF(AND(AQ182&gt;0.01,AR182=0,BK182=0,BL182=0,BM182=0,BN182=0),0,IF(AND(AU182=3,CI182=7,CT182&gt;0.5),0,IF(AND(BC182=44,AU182=3,BY182=0),0,IF(AND(BC182=27,'Data Entry'!$C$74=2),0,IF(AND(BC182=28,'Data Entry'!$C$74=2),0,IF(AND(BY182+BZ182+CA182&gt;0.01,BV182=0,EQ182+ER182+ES182+ET182&lt;100),0,IF(AU182=3,CM182*0.08,IF(AU182=2,CM182*0.1,0)))))))))))))))))))))))))))))</f>
        <v>0</v>
      </c>
      <c r="CO182" s="660">
        <f t="shared" si="206"/>
        <v>0</v>
      </c>
      <c r="CP182" s="475" t="str">
        <f t="shared" si="207"/>
        <v/>
      </c>
      <c r="CQ182" s="161" t="str">
        <f>IF(AH182=0,0,IF(AU182=5,0,Summary!AC185))</f>
        <v/>
      </c>
      <c r="CR182" s="161" t="str">
        <f>IF(BF182=0.5,0,IF(AU182=5,0,Summary!AD185))</f>
        <v/>
      </c>
      <c r="CS182" s="161" t="str">
        <f>IF(AU182=5,0,Summary!AE185)</f>
        <v/>
      </c>
      <c r="CT182" s="161">
        <f t="shared" si="208"/>
        <v>0</v>
      </c>
      <c r="CU182" s="475" t="str">
        <f t="shared" si="209"/>
        <v/>
      </c>
      <c r="CV182" s="307">
        <f>IF('Data Entry'!$C$74=0,0,IF(AA182&lt;1,0,IF(ISERROR(CU182),0,IF(CF182=1,0,IF(AND(R182=12,BR182=50),0,IF(CL182+BO182+BV182+DC182=0,0,IF(BC182=37,0,IF(AND(BC182=40,AJ182=0),0,IF(AND(BC182=37,BO182&gt;0.01,BQ182&gt;0.01),ROUND(BQ182,0),IF(CM182&lt;0,0,ROUND(CM182,0)))))))))))</f>
        <v>0</v>
      </c>
      <c r="CW182" s="700">
        <f t="shared" si="210"/>
        <v>0</v>
      </c>
      <c r="CX182" s="477">
        <f>IF('Data Entry'!$C$74=0,0,IF(CV182&lt;0.01,0,IF(BF182=0.5,0,IF(CF182=1,0,IF(ISNUMBER(SEARCH("false",CL182)),0,IF(AZ182=500,0,CL182))))))</f>
        <v>0</v>
      </c>
      <c r="CY182" s="147" t="e">
        <f t="shared" si="211"/>
        <v>#VALUE!</v>
      </c>
      <c r="CZ182" s="147" t="b">
        <f>IF(CN182+CL182=0,FALSE,IF(AH182=0,0,IF(AND('Data Entry'!$C$74=1,CR182&gt;=1),TRUE,IF(AND('Data Entry'!$C$74=2,CS182&gt;=1),TRUE,FALSE))))</f>
        <v>0</v>
      </c>
      <c r="DA182" s="1751">
        <f>IF('Data Entry'!$C$74=0,0,IFERROR(ROUND(IF(T182="","",IF($X$4=0,0,IF(CF182=1,0,IF(BQ182+CV182=0,0,IF(CF182=1,0,IF(CY182&gt;0.01,CY182,IF(CL182&gt;0.01,CL182,IF(CY182&gt;0.01,CY182,IF(BC182=37,BO182,IF(CZ182=FALSE,0,IF(CZ182=TRUE,DC182+DF182,0))))))))))),2),""))</f>
        <v>0</v>
      </c>
      <c r="DB182" s="1752"/>
      <c r="DC182" s="474">
        <f>IF(CN182&lt;0.01,0,IF(AND(BR182=3,CN182&gt;0.01,CT182&gt;0.6,ER182+ES182+ET182&lt;100),0,IF(AND('Data Entry'!$C$74=1,CN182&gt;0.01,CR182&gt;0.99),MIN(CN182:CO182),IF(AND('Data Entry'!$C$74=2,CN182&gt;0.01,CS182&gt;0.99),MIN(CN182:CO182),0))))</f>
        <v>0</v>
      </c>
      <c r="DD182" s="478">
        <f>IF(CF182=1,"Selection does not match",IF(T182=0,0,IF(AND('Data Entry'!$C$74=0,CP182&gt;1),"Select Oregon or Idaho on Data Entry Tab",IF(AND(AU182=1,AA182&gt;0.9),"Missing Interior or Exterior Selection",IF($X$4=0,"Enter Total Project Cost",IF(AQ182&lt;AR182,"Insufficient kWh savings – no incentive",IF(AND(SUM(CL182+CK182+BV182)&gt;0.01,'Data Entry'!$C$74=2,CJ182&gt;1,BO182=0),"Submit Control as Non-Standard",IF(AND('Data Entry'!$C$74=2,BR182=37,CJ182&gt;1,BO182=0),"Submit Control as Non-Standard",IF(SUM(CL182+CK182+BV182)&gt;0.01,"Standard Incentive",IF(AND('Data Entry'!$C$74=2,CP182=7,CN182=0),"Submit as Non-Standard",IF(DC182&gt;0.9,"Non-Standard Incentive",IF(AND(BY182+BZ182+CA182&gt;0.01,BV182=0,EQ182=0,ER182=0,ES182=0,ET182=0),"Scroll Right &amp; Select Control Strategies",IF(AND(CN182&gt;0.01,CO182=0),"Enter Unit Installed Cost",IF(ISNUMBER(SEARCH("Lighting Controls Only",F182)),"Lighting Controls Only",IF(CL182+DC182=0,"Does not meet incentive criteria",0)))))))))))))))</f>
        <v>0</v>
      </c>
      <c r="DE182" s="337">
        <f t="shared" si="212"/>
        <v>0</v>
      </c>
      <c r="DF182" s="609">
        <f t="shared" si="213"/>
        <v>0</v>
      </c>
      <c r="DG182" s="336" t="str">
        <f t="shared" si="214"/>
        <v/>
      </c>
      <c r="DH182" s="338">
        <f t="shared" si="215"/>
        <v>1</v>
      </c>
      <c r="DI182" s="336" t="e">
        <f t="shared" si="170"/>
        <v>#VALUE!</v>
      </c>
      <c r="DJ182" s="1142">
        <f t="shared" si="171"/>
        <v>0</v>
      </c>
      <c r="DK182" s="331"/>
      <c r="DL182" s="332"/>
      <c r="DM182" s="1145" t="s">
        <v>1554</v>
      </c>
      <c r="DN182" s="863">
        <f>'Data Entry'!K64*0.9</f>
        <v>0</v>
      </c>
      <c r="DO182" s="1207"/>
      <c r="DP182" s="1208"/>
      <c r="DQ182" s="331"/>
      <c r="DS182" s="1195">
        <f t="shared" si="216"/>
        <v>0</v>
      </c>
      <c r="DT182" s="344" t="b">
        <f t="shared" si="217"/>
        <v>1</v>
      </c>
      <c r="DU182" s="1314" t="str">
        <f t="array" ref="DU182">IF(OR(COUNTIF(F182,"*"&amp;$DK$9:$DK$178&amp;"*")), "Yes", "")</f>
        <v/>
      </c>
      <c r="DV182" s="1314">
        <f t="shared" si="218"/>
        <v>0</v>
      </c>
      <c r="DW182" s="1480">
        <f t="shared" si="219"/>
        <v>0</v>
      </c>
      <c r="DX182" s="1498">
        <f t="shared" si="228"/>
        <v>0</v>
      </c>
      <c r="DY182" s="1484">
        <f t="shared" si="220"/>
        <v>0</v>
      </c>
      <c r="DZ182" s="331"/>
      <c r="EA182" s="392"/>
      <c r="EB182" s="1499" t="s">
        <v>74</v>
      </c>
      <c r="EC182" s="727" t="s">
        <v>1569</v>
      </c>
      <c r="ED182" s="728">
        <v>0.5</v>
      </c>
      <c r="EE182" s="1215"/>
      <c r="EF182" s="1215"/>
      <c r="EG182" s="1184" t="str">
        <f t="shared" si="221"/>
        <v/>
      </c>
      <c r="EH182" s="55"/>
      <c r="EI182" s="55"/>
      <c r="EJ182" s="1185">
        <f t="shared" si="172"/>
        <v>0</v>
      </c>
      <c r="EK182" s="1211"/>
      <c r="EL182" s="1180">
        <f t="shared" si="173"/>
        <v>0</v>
      </c>
      <c r="EM182" s="206"/>
      <c r="EN182" s="1038"/>
      <c r="EO182" s="1038"/>
      <c r="EP182" s="1038"/>
      <c r="EQ182" s="1038">
        <f t="shared" si="222"/>
        <v>0</v>
      </c>
      <c r="ER182" s="1041">
        <f t="shared" si="223"/>
        <v>0</v>
      </c>
      <c r="ES182" s="1042">
        <f t="shared" si="224"/>
        <v>0</v>
      </c>
      <c r="ET182" s="1042">
        <f t="shared" si="229"/>
        <v>0</v>
      </c>
      <c r="EU182" s="1021">
        <f t="shared" si="230"/>
        <v>0</v>
      </c>
      <c r="EV182" s="368"/>
      <c r="EW182" s="368"/>
      <c r="EX182" s="369"/>
      <c r="EY182" s="370"/>
      <c r="EZ182" s="370"/>
      <c r="FA182" s="371"/>
      <c r="FB182" s="372"/>
    </row>
    <row r="183" spans="1:158" ht="34.5" customHeight="1">
      <c r="A183" s="82">
        <v>175</v>
      </c>
      <c r="B183" s="1725"/>
      <c r="C183" s="1726"/>
      <c r="D183" s="1726"/>
      <c r="E183" s="1727"/>
      <c r="F183" s="1732"/>
      <c r="G183" s="1733"/>
      <c r="H183" s="1733"/>
      <c r="I183" s="1734"/>
      <c r="J183" s="1341"/>
      <c r="K183" s="1728"/>
      <c r="L183" s="1728"/>
      <c r="M183" s="1342"/>
      <c r="N183" s="1583"/>
      <c r="O183" s="208" t="str">
        <f t="shared" si="160"/>
        <v/>
      </c>
      <c r="P183" s="785"/>
      <c r="Q183" s="39" t="str">
        <f t="shared" si="161"/>
        <v/>
      </c>
      <c r="R183" s="39">
        <f t="shared" si="174"/>
        <v>0</v>
      </c>
      <c r="S183" s="234">
        <f t="shared" si="175"/>
        <v>0</v>
      </c>
      <c r="T183" s="1755"/>
      <c r="U183" s="1755"/>
      <c r="V183" s="1755"/>
      <c r="W183" s="1345"/>
      <c r="X183" s="1741"/>
      <c r="Y183" s="1742"/>
      <c r="Z183" s="1346"/>
      <c r="AA183" s="1343"/>
      <c r="AB183" s="1141"/>
      <c r="AC183" s="1103" t="str">
        <f>IF(T183="","",VLOOKUP(Z183,Lists!$A$60:$B$111,2,FALSE))</f>
        <v/>
      </c>
      <c r="AD183" s="130" t="str">
        <f t="shared" si="176"/>
        <v/>
      </c>
      <c r="AE183" s="130" t="e">
        <f t="shared" si="177"/>
        <v>#VALUE!</v>
      </c>
      <c r="AF183" s="130">
        <f t="shared" si="178"/>
        <v>1</v>
      </c>
      <c r="AG183" s="234">
        <f t="shared" si="162"/>
        <v>0</v>
      </c>
      <c r="AH183" s="1753" t="str">
        <f>IF(T183="","",(IF(ISNUMBER(SEARCH("exit",T183)),8760,IF(AND(M183="Dusk to Dawn",'Proposed Lighting'!AU183=3),4059,IF(AND(AU183=3,M183="1"),0,IF(AND(AU183=3,M183="1-C"),0,IF(AND(AU183=3,M183="2"),0,IF(AND(AU183=3,M183="2-C"),0,IF(AND(AU183=3,M183="3"),0,IF(AND(AU183=3,M183="3-C"),0,IF(AND(AU183=2,M183="Dusk to Dawn"),0,IF(AND(AU183=2,M183="Dusk to Dawn-C"),0,IF(AND(AU183=2,M183="Dusk to Dawn"),0,IF(AND(AU183=2,M183="E"),0,IF(AND(AU183=2,M183="E-C"),0,EG183)))))))))))))))</f>
        <v/>
      </c>
      <c r="AI183" s="1754"/>
      <c r="AJ183" s="1136"/>
      <c r="AK183" s="1136"/>
      <c r="AL183" s="1748">
        <f t="shared" si="179"/>
        <v>0</v>
      </c>
      <c r="AM183" s="1749"/>
      <c r="AN183" s="1750"/>
      <c r="AO183" s="476">
        <f t="shared" si="163"/>
        <v>0</v>
      </c>
      <c r="AP183" s="476">
        <f t="shared" si="180"/>
        <v>0</v>
      </c>
      <c r="AQ183" s="475">
        <f t="shared" si="164"/>
        <v>0</v>
      </c>
      <c r="AR183" s="475">
        <f t="shared" si="181"/>
        <v>0</v>
      </c>
      <c r="AS183" s="743" t="str">
        <f t="shared" si="233"/>
        <v/>
      </c>
      <c r="AT183" s="736" t="str">
        <f t="shared" si="182"/>
        <v/>
      </c>
      <c r="AU183" s="56">
        <f t="shared" si="183"/>
        <v>1</v>
      </c>
      <c r="AV183" s="476">
        <f t="shared" si="184"/>
        <v>0</v>
      </c>
      <c r="AW183" s="56">
        <f t="shared" si="185"/>
        <v>0</v>
      </c>
      <c r="AX183" s="475">
        <f t="shared" si="165"/>
        <v>0</v>
      </c>
      <c r="AY183" s="1169">
        <f t="shared" si="186"/>
        <v>0</v>
      </c>
      <c r="AZ183" s="1150">
        <f t="shared" si="225"/>
        <v>0</v>
      </c>
      <c r="BA183" s="56">
        <f t="shared" si="166"/>
        <v>0</v>
      </c>
      <c r="BB183" s="420">
        <f t="shared" si="167"/>
        <v>0</v>
      </c>
      <c r="BC183" s="58" t="str">
        <f t="shared" si="168"/>
        <v/>
      </c>
      <c r="BD183" s="660">
        <f t="shared" si="226"/>
        <v>0</v>
      </c>
      <c r="BE183" s="57" t="e">
        <f t="array" ref="BE183">INDEX($EB$11:$ED$1022,MATCH(F183&amp;T183,$EB$11:$EB$1007&amp;$EC$11:$EC$1007,0),3)</f>
        <v>#N/A</v>
      </c>
      <c r="BF183" s="463">
        <f t="shared" si="234"/>
        <v>0</v>
      </c>
      <c r="BG183" s="1445" t="e">
        <f t="array" ref="BG183">INDEX($DO$112:$DQ$123,MATCH(T183&amp;W183,$DO$114:$DO$125&amp;$DP$112:$DP$123,0),3)</f>
        <v>#N/A</v>
      </c>
      <c r="BH183" s="1446">
        <f t="shared" si="187"/>
        <v>0</v>
      </c>
      <c r="BI183" s="465">
        <f t="shared" si="188"/>
        <v>0</v>
      </c>
      <c r="BJ183" s="465">
        <f t="shared" si="189"/>
        <v>0</v>
      </c>
      <c r="BK183" s="466">
        <f t="shared" si="235"/>
        <v>0</v>
      </c>
      <c r="BL183" s="466">
        <f t="shared" si="236"/>
        <v>0</v>
      </c>
      <c r="BM183" s="466">
        <f t="shared" si="190"/>
        <v>0</v>
      </c>
      <c r="BN183" s="466">
        <f t="shared" si="191"/>
        <v>0</v>
      </c>
      <c r="BO183" s="463">
        <f>IF('Data Entry'!$C$74=0,0,IF(ISNA(CJ183),0,IF(AX183=0,0,IF(AND('Data Entry'!$C$74=2,AF183&gt;2,CE183&lt;1),0,IF(AND('Data Entry'!$C$74=2,AF183&gt;1,AU183=2,CJ183&gt;1),0,IF(AND(AF183=5,CT183=0.5,AU183=2,ER183&lt;100),0,IF(AND(AF183=5,CT183=0.5,AU183=3,ER183&lt;100),0,IF(AND('Data Entry'!$C$74=2,AF183=2,AU183=2,AK183&gt;0.01,CB183=2,CE183&lt;1),0,IF(AND('Data Entry'!$C$74=2,AF183=3,AU183=3,AK183&gt;0.01,CB183=3,CE183&lt;1),0,IF(AND('Data Entry'!$C$74=2,AF183=3,AU183=3,AK183&gt;0.01,CB183=3,CE183&gt;0.99),BQ183*0.08,IF(AND('Data Entry'!$C$74=2,AF183=2,AU183=2,AK183&gt;0.01,CB183=2,CE183&gt;0.99),BQ183*0.1,IF(AND(AU183=2,AK183&gt;0.01,CB183=2,CD183&gt;1),BQ183*0.1,IF(AND(AU183=3,AK183&gt;0.01,CB183=3,CD183&gt;1),BQ183*0.08,CJ183*EF183)))))))))))))</f>
        <v>0</v>
      </c>
      <c r="BP183" s="475">
        <f t="shared" si="192"/>
        <v>0</v>
      </c>
      <c r="BQ183" s="1431">
        <f>IF(AU183=1,0,IF(CH183=100,0,IF(AND(AF183=3,AU183=2),0,IF(AND(BH183=0,CT183&gt;0.4),0,IF(AND('Data Entry'!$C$74=2,AF183=1.5),0,IF(AND('Data Entry'!$C$74=2,AF183=1.6),0,IF(AND('Data Entry'!$C$74=2,AF183=4),0,IF(AND('Data Entry'!$C$74=2,AF183=5),0,IF(AND('Data Entry'!$C$74=2,AF183=2.5,CE183&lt;1),0,IF(AND('Data Entry'!$C$74=2,AF183=3,CE183&lt;1),0,IF(AND('Data Entry'!$C$74=1,AF183=2.5,CD183&lt;1),0,IF(AND('Data Entry'!$C$74=1,AF183=3,CD183&lt;1),0,IF(DX183&gt;0.01,DX183,IF(ISERROR(AX183-AY183),"",ROUND(AX183-AY183,2)))))))))))))))</f>
        <v>0</v>
      </c>
      <c r="BR183" s="146">
        <f t="shared" si="193"/>
        <v>0</v>
      </c>
      <c r="BS183" s="475">
        <f t="shared" si="194"/>
        <v>0</v>
      </c>
      <c r="BT183" s="146" t="b">
        <f t="shared" si="195"/>
        <v>0</v>
      </c>
      <c r="BU183" s="463">
        <f>IF(ISNA(AT183),0,IF(AND('Data Entry'!$C$74=2,BC183=27),0,IF(AND('Data Entry'!$C$74=2,BC183=28),0,IF(AND(BC183=27,BT183=27,CM183&gt;0.1),CM183*0.15,IF(AND(BC183=28,BT183=28,CM183&gt;0.1),CM183*0.12,0)))))</f>
        <v>0</v>
      </c>
      <c r="BV183" s="463">
        <f t="shared" si="232"/>
        <v>0</v>
      </c>
      <c r="BW183" s="463">
        <f t="shared" si="196"/>
        <v>0</v>
      </c>
      <c r="BX183" s="463">
        <f t="shared" si="197"/>
        <v>0</v>
      </c>
      <c r="BY183" s="463">
        <f t="shared" si="198"/>
        <v>0</v>
      </c>
      <c r="BZ183" s="463">
        <f t="shared" si="199"/>
        <v>0</v>
      </c>
      <c r="CA183" s="57">
        <f t="shared" si="227"/>
        <v>0</v>
      </c>
      <c r="CB183" s="56">
        <f t="shared" si="200"/>
        <v>1</v>
      </c>
      <c r="CC183" s="756">
        <f>IF(EE183=0,0,IF(EF183=0,0,IF(EE183&gt;AA183,0,IF(AND(AZ183&gt;AW183,AW183&gt;0),0,IF(CU183=0,0,Summary!AC486)))))</f>
        <v>0</v>
      </c>
      <c r="CD183" s="756">
        <f>IF(EE183=0,0,IF(EF183=0,0,IF(EE183&gt;AA183,0,IF(AND(AZ183&gt;AW183,AW183&gt;0),0,IF(CU183=0,0,Summary!AD486)))))</f>
        <v>0</v>
      </c>
      <c r="CE183" s="756">
        <f>IF(EF183=0,0,IF(EE183&gt;AA183,0,IF(CC183=0,0,IF(AND(AZ183&gt;AW183,AW183&gt;0),0,IF(CU183=0,0,Summary!AE486)))))</f>
        <v>0</v>
      </c>
      <c r="CF183" s="475">
        <f t="shared" si="201"/>
        <v>0</v>
      </c>
      <c r="CG183" s="476">
        <f t="shared" si="169"/>
        <v>0</v>
      </c>
      <c r="CH183" s="487">
        <f t="shared" si="202"/>
        <v>0</v>
      </c>
      <c r="CI183" s="756">
        <f t="shared" si="203"/>
        <v>0</v>
      </c>
      <c r="CJ183" s="487">
        <f>IF(CT183&gt;0.4,0,IF(AND(AU183=2,CH183=0,CT183=0.5,ER183=100),35,IF(AND(AU183=3,BB183&gt;75,CH183=0,CT183=0.5,ER183=100),25,IF(CB183&gt;1,0,IF(EF183&gt;EE183,0,IF(AND(AF183&gt;1,CH183=100),0,IF(AND(AF183=1,AY183=0),0,IF(AND(EF183&lt;=EE183,AW183&gt;=AZ183,'Data Entry'!$C$74=1,AU183=2),VLOOKUP(W183,$DO$96:$DP$102,2,FALSE),IF(AND(EF183&lt;=EE183,AW183&gt;=AZ183,AU183=3,'Data Entry'!$C$74=1),VLOOKUP(W183,$DO$127:$DP$134,2,FALSE))))))))))</f>
        <v>0</v>
      </c>
      <c r="CK183" s="716">
        <f t="shared" si="204"/>
        <v>0</v>
      </c>
      <c r="CL183" s="57">
        <f t="shared" si="205"/>
        <v>0</v>
      </c>
      <c r="CM183" s="475">
        <f t="shared" si="231"/>
        <v>0</v>
      </c>
      <c r="CN183" s="660">
        <f>IF(CM183&lt;0.1,0,IF(ISNA(AT183),0,IF(CL183+BC183=1,0,IF(BV183&gt;0.01,0,IF(CL183&gt;0.01,0,IF(CF183=1,0,IF(BC183=0.5,0,IF(AND(CI183=1,AU183=3),0,IF(AND(CI183=5,CL183=0),0,IF(AND(R183=12,BR183=50),0,IF(CK183&gt;0.01,0,IF(AND(AJ183&gt;0.01,AU183=2,BC183=15),CM183*0.1,IF(AND(AJ183&gt;0.01,AU183=3,BC183=15),CM183*0.08,IF(AND(R183=12,BC183=3,AF183&lt;=0),0,IF(AND(BC183=15,BI183=0),0,IF(AND(BC183=15,BJ183=0),0,IF(AND(R183=20,CU183=0),0,IF($X$4=0,0,IF(AND(BC183=250,CL183=0),0,IF(AA183&lt;1,0,IF(AND(ISNUMBER(SEARCH("Area",T183)),AU183=3),0,IF(AND(AQ183&gt;0.01,AR183=0,BK183=0,BL183=0,BM183=0,BN183=0),0,IF(AND(AU183=3,CI183=7,CT183&gt;0.5),0,IF(AND(BC183=44,AU183=3,BY183=0),0,IF(AND(BC183=27,'Data Entry'!$C$74=2),0,IF(AND(BC183=28,'Data Entry'!$C$74=2),0,IF(AND(BY183+BZ183+CA183&gt;0.01,BV183=0,EQ183+ER183+ES183+ET183&lt;100),0,IF(AU183=3,CM183*0.08,IF(AU183=2,CM183*0.1,0)))))))))))))))))))))))))))))</f>
        <v>0</v>
      </c>
      <c r="CO183" s="660">
        <f t="shared" si="206"/>
        <v>0</v>
      </c>
      <c r="CP183" s="475" t="str">
        <f t="shared" si="207"/>
        <v/>
      </c>
      <c r="CQ183" s="161" t="str">
        <f>IF(AH183=0,0,IF(AU183=5,0,Summary!AC186))</f>
        <v/>
      </c>
      <c r="CR183" s="161" t="str">
        <f>IF(BF183=0.5,0,IF(AU183=5,0,Summary!AD186))</f>
        <v/>
      </c>
      <c r="CS183" s="161" t="str">
        <f>IF(AU183=5,0,Summary!AE186)</f>
        <v/>
      </c>
      <c r="CT183" s="161">
        <f t="shared" si="208"/>
        <v>0</v>
      </c>
      <c r="CU183" s="475" t="str">
        <f t="shared" si="209"/>
        <v/>
      </c>
      <c r="CV183" s="307">
        <f>IF('Data Entry'!$C$74=0,0,IF(AA183&lt;1,0,IF(ISERROR(CU183),0,IF(CF183=1,0,IF(AND(R183=12,BR183=50),0,IF(CL183+BO183+BV183+DC183=0,0,IF(BC183=37,0,IF(AND(BC183=40,AJ183=0),0,IF(AND(BC183=37,BO183&gt;0.01,BQ183&gt;0.01),ROUND(BQ183,0),IF(CM183&lt;0,0,ROUND(CM183,0)))))))))))</f>
        <v>0</v>
      </c>
      <c r="CW183" s="700">
        <f t="shared" si="210"/>
        <v>0</v>
      </c>
      <c r="CX183" s="477">
        <f>IF('Data Entry'!$C$74=0,0,IF(CV183&lt;0.01,0,IF(BF183=0.5,0,IF(CF183=1,0,IF(ISNUMBER(SEARCH("false",CL183)),0,IF(AZ183=500,0,CL183))))))</f>
        <v>0</v>
      </c>
      <c r="CY183" s="147" t="e">
        <f t="shared" si="211"/>
        <v>#VALUE!</v>
      </c>
      <c r="CZ183" s="147" t="b">
        <f>IF(CN183+CL183=0,FALSE,IF(AH183=0,0,IF(AND('Data Entry'!$C$74=1,CR183&gt;=1),TRUE,IF(AND('Data Entry'!$C$74=2,CS183&gt;=1),TRUE,FALSE))))</f>
        <v>0</v>
      </c>
      <c r="DA183" s="1751">
        <f>IF('Data Entry'!$C$74=0,0,IFERROR(ROUND(IF(T183="","",IF($X$4=0,0,IF(CF183=1,0,IF(BQ183+CV183=0,0,IF(CF183=1,0,IF(CY183&gt;0.01,CY183,IF(CL183&gt;0.01,CL183,IF(CY183&gt;0.01,CY183,IF(BC183=37,BO183,IF(CZ183=FALSE,0,IF(CZ183=TRUE,DC183+DF183,0))))))))))),2),""))</f>
        <v>0</v>
      </c>
      <c r="DB183" s="1752"/>
      <c r="DC183" s="474">
        <f>IF(CN183&lt;0.01,0,IF(AND(BR183=3,CN183&gt;0.01,CT183&gt;0.6,ER183+ES183+ET183&lt;100),0,IF(AND('Data Entry'!$C$74=1,CN183&gt;0.01,CR183&gt;0.99),MIN(CN183:CO183),IF(AND('Data Entry'!$C$74=2,CN183&gt;0.01,CS183&gt;0.99),MIN(CN183:CO183),0))))</f>
        <v>0</v>
      </c>
      <c r="DD183" s="478">
        <f>IF(CF183=1,"Selection does not match",IF(T183=0,0,IF(AND('Data Entry'!$C$74=0,CP183&gt;1),"Select Oregon or Idaho on Data Entry Tab",IF(AND(AU183=1,AA183&gt;0.9),"Missing Interior or Exterior Selection",IF($X$4=0,"Enter Total Project Cost",IF(AQ183&lt;AR183,"Insufficient kWh savings – no incentive",IF(AND(SUM(CL183+CK183+BV183)&gt;0.01,'Data Entry'!$C$74=2,CJ183&gt;1,BO183=0),"Submit Control as Non-Standard",IF(AND('Data Entry'!$C$74=2,BR183=37,CJ183&gt;1,BO183=0),"Submit Control as Non-Standard",IF(SUM(CL183+CK183+BV183)&gt;0.01,"Standard Incentive",IF(AND('Data Entry'!$C$74=2,CP183=7,CN183=0),"Submit as Non-Standard",IF(DC183&gt;0.9,"Non-Standard Incentive",IF(AND(BY183+BZ183+CA183&gt;0.01,BV183=0,EQ183=0,ER183=0,ES183=0,ET183=0),"Scroll Right &amp; Select Control Strategies",IF(AND(CN183&gt;0.01,CO183=0),"Enter Unit Installed Cost",IF(ISNUMBER(SEARCH("Lighting Controls Only",F183)),"Lighting Controls Only",IF(CL183+DC183=0,"Does not meet incentive criteria",0)))))))))))))))</f>
        <v>0</v>
      </c>
      <c r="DE183" s="337">
        <f t="shared" si="212"/>
        <v>0</v>
      </c>
      <c r="DF183" s="609">
        <f t="shared" si="213"/>
        <v>0</v>
      </c>
      <c r="DG183" s="336" t="str">
        <f t="shared" si="214"/>
        <v/>
      </c>
      <c r="DH183" s="338">
        <f t="shared" si="215"/>
        <v>1</v>
      </c>
      <c r="DI183" s="336" t="e">
        <f t="shared" si="170"/>
        <v>#VALUE!</v>
      </c>
      <c r="DJ183" s="1142">
        <f t="shared" si="171"/>
        <v>0</v>
      </c>
      <c r="DK183" s="331"/>
      <c r="DL183" s="332"/>
      <c r="DM183" s="1090" t="s">
        <v>1555</v>
      </c>
      <c r="DN183" s="863">
        <f>'Data Entry'!O64</f>
        <v>0</v>
      </c>
      <c r="DO183" s="955"/>
      <c r="DP183" s="1208"/>
      <c r="DQ183" s="331"/>
      <c r="DS183" s="1195">
        <f t="shared" si="216"/>
        <v>0</v>
      </c>
      <c r="DT183" s="344" t="b">
        <f t="shared" si="217"/>
        <v>1</v>
      </c>
      <c r="DU183" s="1314" t="str">
        <f t="array" ref="DU183">IF(OR(COUNTIF(F183,"*"&amp;$DK$9:$DK$178&amp;"*")), "Yes", "")</f>
        <v/>
      </c>
      <c r="DV183" s="1314">
        <f t="shared" si="218"/>
        <v>0</v>
      </c>
      <c r="DW183" s="1480">
        <f t="shared" si="219"/>
        <v>0</v>
      </c>
      <c r="DX183" s="1498">
        <f t="shared" si="228"/>
        <v>0</v>
      </c>
      <c r="DY183" s="1484">
        <f t="shared" si="220"/>
        <v>0</v>
      </c>
      <c r="DZ183" s="331"/>
      <c r="EA183" s="392"/>
      <c r="EB183" s="1499" t="s">
        <v>75</v>
      </c>
      <c r="EC183" s="727" t="s">
        <v>1569</v>
      </c>
      <c r="ED183" s="728">
        <v>0.5</v>
      </c>
      <c r="EE183" s="1215"/>
      <c r="EF183" s="1215"/>
      <c r="EG183" s="1184" t="str">
        <f t="shared" si="221"/>
        <v/>
      </c>
      <c r="EH183" s="55"/>
      <c r="EI183" s="55"/>
      <c r="EJ183" s="1185">
        <f t="shared" si="172"/>
        <v>0</v>
      </c>
      <c r="EK183" s="1211"/>
      <c r="EL183" s="1180">
        <f t="shared" si="173"/>
        <v>0</v>
      </c>
      <c r="EM183" s="206"/>
      <c r="EN183" s="1038"/>
      <c r="EO183" s="1038"/>
      <c r="EP183" s="1038"/>
      <c r="EQ183" s="1038">
        <f t="shared" si="222"/>
        <v>0</v>
      </c>
      <c r="ER183" s="1041">
        <f t="shared" si="223"/>
        <v>0</v>
      </c>
      <c r="ES183" s="1042">
        <f t="shared" si="224"/>
        <v>0</v>
      </c>
      <c r="ET183" s="1042">
        <f t="shared" si="229"/>
        <v>0</v>
      </c>
      <c r="EU183" s="1021">
        <f t="shared" si="230"/>
        <v>0</v>
      </c>
      <c r="EV183" s="368"/>
      <c r="EW183" s="368"/>
      <c r="EX183" s="369"/>
      <c r="EY183" s="370"/>
      <c r="EZ183" s="370"/>
      <c r="FA183" s="371"/>
      <c r="FB183" s="372"/>
    </row>
    <row r="184" spans="1:158" ht="34.5" customHeight="1">
      <c r="A184" s="82">
        <v>176</v>
      </c>
      <c r="B184" s="1725"/>
      <c r="C184" s="1726"/>
      <c r="D184" s="1726"/>
      <c r="E184" s="1727"/>
      <c r="F184" s="1732"/>
      <c r="G184" s="1733"/>
      <c r="H184" s="1733"/>
      <c r="I184" s="1734"/>
      <c r="J184" s="1341"/>
      <c r="K184" s="1728"/>
      <c r="L184" s="1728"/>
      <c r="M184" s="1342"/>
      <c r="N184" s="1583"/>
      <c r="O184" s="208" t="str">
        <f t="shared" si="160"/>
        <v/>
      </c>
      <c r="P184" s="785"/>
      <c r="Q184" s="39" t="str">
        <f t="shared" si="161"/>
        <v/>
      </c>
      <c r="R184" s="39">
        <f t="shared" si="174"/>
        <v>0</v>
      </c>
      <c r="S184" s="234">
        <f t="shared" si="175"/>
        <v>0</v>
      </c>
      <c r="T184" s="1755"/>
      <c r="U184" s="1755"/>
      <c r="V184" s="1755"/>
      <c r="W184" s="1345"/>
      <c r="X184" s="1741"/>
      <c r="Y184" s="1742"/>
      <c r="Z184" s="1346"/>
      <c r="AA184" s="1343"/>
      <c r="AB184" s="1141"/>
      <c r="AC184" s="1103" t="str">
        <f>IF(T184="","",VLOOKUP(Z184,Lists!$A$60:$B$111,2,FALSE))</f>
        <v/>
      </c>
      <c r="AD184" s="130" t="str">
        <f t="shared" si="176"/>
        <v/>
      </c>
      <c r="AE184" s="130" t="e">
        <f t="shared" si="177"/>
        <v>#VALUE!</v>
      </c>
      <c r="AF184" s="130">
        <f t="shared" si="178"/>
        <v>1</v>
      </c>
      <c r="AG184" s="234">
        <f t="shared" si="162"/>
        <v>0</v>
      </c>
      <c r="AH184" s="1753" t="str">
        <f>IF(T184="","",(IF(ISNUMBER(SEARCH("exit",T184)),8760,IF(AND(M184="Dusk to Dawn",'Proposed Lighting'!AU184=3),4059,IF(AND(AU184=3,M184="1"),0,IF(AND(AU184=3,M184="1-C"),0,IF(AND(AU184=3,M184="2"),0,IF(AND(AU184=3,M184="2-C"),0,IF(AND(AU184=3,M184="3"),0,IF(AND(AU184=3,M184="3-C"),0,IF(AND(AU184=2,M184="Dusk to Dawn"),0,IF(AND(AU184=2,M184="Dusk to Dawn-C"),0,IF(AND(AU184=2,M184="Dusk to Dawn"),0,IF(AND(AU184=2,M184="E"),0,IF(AND(AU184=2,M184="E-C"),0,EG184)))))))))))))))</f>
        <v/>
      </c>
      <c r="AI184" s="1754"/>
      <c r="AJ184" s="1136"/>
      <c r="AK184" s="1136"/>
      <c r="AL184" s="1748">
        <f t="shared" si="179"/>
        <v>0</v>
      </c>
      <c r="AM184" s="1749"/>
      <c r="AN184" s="1750"/>
      <c r="AO184" s="476">
        <f t="shared" si="163"/>
        <v>0</v>
      </c>
      <c r="AP184" s="476">
        <f t="shared" si="180"/>
        <v>0</v>
      </c>
      <c r="AQ184" s="475">
        <f t="shared" si="164"/>
        <v>0</v>
      </c>
      <c r="AR184" s="475">
        <f t="shared" si="181"/>
        <v>0</v>
      </c>
      <c r="AS184" s="743" t="str">
        <f t="shared" si="233"/>
        <v/>
      </c>
      <c r="AT184" s="736" t="str">
        <f t="shared" si="182"/>
        <v/>
      </c>
      <c r="AU184" s="56">
        <f t="shared" si="183"/>
        <v>1</v>
      </c>
      <c r="AV184" s="476">
        <f t="shared" si="184"/>
        <v>0</v>
      </c>
      <c r="AW184" s="56">
        <f t="shared" si="185"/>
        <v>0</v>
      </c>
      <c r="AX184" s="475">
        <f t="shared" si="165"/>
        <v>0</v>
      </c>
      <c r="AY184" s="1169">
        <f t="shared" si="186"/>
        <v>0</v>
      </c>
      <c r="AZ184" s="1150">
        <f t="shared" si="225"/>
        <v>0</v>
      </c>
      <c r="BA184" s="56">
        <f t="shared" si="166"/>
        <v>0</v>
      </c>
      <c r="BB184" s="420">
        <f t="shared" si="167"/>
        <v>0</v>
      </c>
      <c r="BC184" s="58" t="str">
        <f t="shared" si="168"/>
        <v/>
      </c>
      <c r="BD184" s="660">
        <f t="shared" si="226"/>
        <v>0</v>
      </c>
      <c r="BE184" s="57" t="e">
        <f t="array" ref="BE184">INDEX($EB$11:$ED$1022,MATCH(F184&amp;T184,$EB$11:$EB$1007&amp;$EC$11:$EC$1007,0),3)</f>
        <v>#N/A</v>
      </c>
      <c r="BF184" s="463">
        <f t="shared" si="234"/>
        <v>0</v>
      </c>
      <c r="BG184" s="1445" t="e">
        <f t="array" ref="BG184">INDEX($DO$112:$DQ$123,MATCH(T184&amp;W184,$DO$114:$DO$125&amp;$DP$112:$DP$123,0),3)</f>
        <v>#N/A</v>
      </c>
      <c r="BH184" s="1446">
        <f t="shared" si="187"/>
        <v>0</v>
      </c>
      <c r="BI184" s="465">
        <f t="shared" si="188"/>
        <v>0</v>
      </c>
      <c r="BJ184" s="465">
        <f t="shared" si="189"/>
        <v>0</v>
      </c>
      <c r="BK184" s="466">
        <f t="shared" si="235"/>
        <v>0</v>
      </c>
      <c r="BL184" s="466">
        <f t="shared" si="236"/>
        <v>0</v>
      </c>
      <c r="BM184" s="466">
        <f t="shared" si="190"/>
        <v>0</v>
      </c>
      <c r="BN184" s="466">
        <f t="shared" si="191"/>
        <v>0</v>
      </c>
      <c r="BO184" s="463">
        <f>IF('Data Entry'!$C$74=0,0,IF(ISNA(CJ184),0,IF(AX184=0,0,IF(AND('Data Entry'!$C$74=2,AF184&gt;2,CE184&lt;1),0,IF(AND('Data Entry'!$C$74=2,AF184&gt;1,AU184=2,CJ184&gt;1),0,IF(AND(AF184=5,CT184=0.5,AU184=2,ER184&lt;100),0,IF(AND(AF184=5,CT184=0.5,AU184=3,ER184&lt;100),0,IF(AND('Data Entry'!$C$74=2,AF184=2,AU184=2,AK184&gt;0.01,CB184=2,CE184&lt;1),0,IF(AND('Data Entry'!$C$74=2,AF184=3,AU184=3,AK184&gt;0.01,CB184=3,CE184&lt;1),0,IF(AND('Data Entry'!$C$74=2,AF184=3,AU184=3,AK184&gt;0.01,CB184=3,CE184&gt;0.99),BQ184*0.08,IF(AND('Data Entry'!$C$74=2,AF184=2,AU184=2,AK184&gt;0.01,CB184=2,CE184&gt;0.99),BQ184*0.1,IF(AND(AU184=2,AK184&gt;0.01,CB184=2,CD184&gt;1),BQ184*0.1,IF(AND(AU184=3,AK184&gt;0.01,CB184=3,CD184&gt;1),BQ184*0.08,CJ184*EF184)))))))))))))</f>
        <v>0</v>
      </c>
      <c r="BP184" s="475">
        <f t="shared" si="192"/>
        <v>0</v>
      </c>
      <c r="BQ184" s="1431">
        <f>IF(AU184=1,0,IF(CH184=100,0,IF(AND(AF184=3,AU184=2),0,IF(AND(BH184=0,CT184&gt;0.4),0,IF(AND('Data Entry'!$C$74=2,AF184=1.5),0,IF(AND('Data Entry'!$C$74=2,AF184=1.6),0,IF(AND('Data Entry'!$C$74=2,AF184=4),0,IF(AND('Data Entry'!$C$74=2,AF184=5),0,IF(AND('Data Entry'!$C$74=2,AF184=2.5,CE184&lt;1),0,IF(AND('Data Entry'!$C$74=2,AF184=3,CE184&lt;1),0,IF(AND('Data Entry'!$C$74=1,AF184=2.5,CD184&lt;1),0,IF(AND('Data Entry'!$C$74=1,AF184=3,CD184&lt;1),0,IF(DX184&gt;0.01,DX184,IF(ISERROR(AX184-AY184),"",ROUND(AX184-AY184,2)))))))))))))))</f>
        <v>0</v>
      </c>
      <c r="BR184" s="146">
        <f t="shared" si="193"/>
        <v>0</v>
      </c>
      <c r="BS184" s="475">
        <f t="shared" si="194"/>
        <v>0</v>
      </c>
      <c r="BT184" s="146" t="b">
        <f t="shared" si="195"/>
        <v>0</v>
      </c>
      <c r="BU184" s="463">
        <f>IF(ISNA(AT184),0,IF(AND('Data Entry'!$C$74=2,BC184=27),0,IF(AND('Data Entry'!$C$74=2,BC184=28),0,IF(AND(BC184=27,BT184=27,CM184&gt;0.1),CM184*0.15,IF(AND(BC184=28,BT184=28,CM184&gt;0.1),CM184*0.12,0)))))</f>
        <v>0</v>
      </c>
      <c r="BV184" s="463">
        <f t="shared" si="232"/>
        <v>0</v>
      </c>
      <c r="BW184" s="463">
        <f t="shared" si="196"/>
        <v>0</v>
      </c>
      <c r="BX184" s="463">
        <f t="shared" si="197"/>
        <v>0</v>
      </c>
      <c r="BY184" s="463">
        <f t="shared" si="198"/>
        <v>0</v>
      </c>
      <c r="BZ184" s="463">
        <f t="shared" si="199"/>
        <v>0</v>
      </c>
      <c r="CA184" s="57">
        <f t="shared" si="227"/>
        <v>0</v>
      </c>
      <c r="CB184" s="56">
        <f t="shared" si="200"/>
        <v>1</v>
      </c>
      <c r="CC184" s="756">
        <f>IF(EE184=0,0,IF(EF184=0,0,IF(EE184&gt;AA184,0,IF(AND(AZ184&gt;AW184,AW184&gt;0),0,IF(CU184=0,0,Summary!AC487)))))</f>
        <v>0</v>
      </c>
      <c r="CD184" s="756">
        <f>IF(EE184=0,0,IF(EF184=0,0,IF(EE184&gt;AA184,0,IF(AND(AZ184&gt;AW184,AW184&gt;0),0,IF(CU184=0,0,Summary!AD487)))))</f>
        <v>0</v>
      </c>
      <c r="CE184" s="756">
        <f>IF(EF184=0,0,IF(EE184&gt;AA184,0,IF(CC184=0,0,IF(AND(AZ184&gt;AW184,AW184&gt;0),0,IF(CU184=0,0,Summary!AE487)))))</f>
        <v>0</v>
      </c>
      <c r="CF184" s="475">
        <f t="shared" si="201"/>
        <v>0</v>
      </c>
      <c r="CG184" s="476">
        <f t="shared" si="169"/>
        <v>0</v>
      </c>
      <c r="CH184" s="487">
        <f t="shared" si="202"/>
        <v>0</v>
      </c>
      <c r="CI184" s="756">
        <f t="shared" si="203"/>
        <v>0</v>
      </c>
      <c r="CJ184" s="487">
        <f>IF(CT184&gt;0.4,0,IF(AND(AU184=2,CH184=0,CT184=0.5,ER184=100),35,IF(AND(AU184=3,BB184&gt;75,CH184=0,CT184=0.5,ER184=100),25,IF(CB184&gt;1,0,IF(EF184&gt;EE184,0,IF(AND(AF184&gt;1,CH184=100),0,IF(AND(AF184=1,AY184=0),0,IF(AND(EF184&lt;=EE184,AW184&gt;=AZ184,'Data Entry'!$C$74=1,AU184=2),VLOOKUP(W184,$DO$96:$DP$102,2,FALSE),IF(AND(EF184&lt;=EE184,AW184&gt;=AZ184,AU184=3,'Data Entry'!$C$74=1),VLOOKUP(W184,$DO$127:$DP$134,2,FALSE))))))))))</f>
        <v>0</v>
      </c>
      <c r="CK184" s="716">
        <f t="shared" si="204"/>
        <v>0</v>
      </c>
      <c r="CL184" s="57">
        <f t="shared" si="205"/>
        <v>0</v>
      </c>
      <c r="CM184" s="475">
        <f t="shared" si="231"/>
        <v>0</v>
      </c>
      <c r="CN184" s="660">
        <f>IF(CM184&lt;0.1,0,IF(ISNA(AT184),0,IF(CL184+BC184=1,0,IF(BV184&gt;0.01,0,IF(CL184&gt;0.01,0,IF(CF184=1,0,IF(BC184=0.5,0,IF(AND(CI184=1,AU184=3),0,IF(AND(CI184=5,CL184=0),0,IF(AND(R184=12,BR184=50),0,IF(CK184&gt;0.01,0,IF(AND(AJ184&gt;0.01,AU184=2,BC184=15),CM184*0.1,IF(AND(AJ184&gt;0.01,AU184=3,BC184=15),CM184*0.08,IF(AND(R184=12,BC184=3,AF184&lt;=0),0,IF(AND(BC184=15,BI184=0),0,IF(AND(BC184=15,BJ184=0),0,IF(AND(R184=20,CU184=0),0,IF($X$4=0,0,IF(AND(BC184=250,CL184=0),0,IF(AA184&lt;1,0,IF(AND(ISNUMBER(SEARCH("Area",T184)),AU184=3),0,IF(AND(AQ184&gt;0.01,AR184=0,BK184=0,BL184=0,BM184=0,BN184=0),0,IF(AND(AU184=3,CI184=7,CT184&gt;0.5),0,IF(AND(BC184=44,AU184=3,BY184=0),0,IF(AND(BC184=27,'Data Entry'!$C$74=2),0,IF(AND(BC184=28,'Data Entry'!$C$74=2),0,IF(AND(BY184+BZ184+CA184&gt;0.01,BV184=0,EQ184+ER184+ES184+ET184&lt;100),0,IF(AU184=3,CM184*0.08,IF(AU184=2,CM184*0.1,0)))))))))))))))))))))))))))))</f>
        <v>0</v>
      </c>
      <c r="CO184" s="660">
        <f t="shared" si="206"/>
        <v>0</v>
      </c>
      <c r="CP184" s="475" t="str">
        <f t="shared" si="207"/>
        <v/>
      </c>
      <c r="CQ184" s="161" t="str">
        <f>IF(AH184=0,0,IF(AU184=5,0,Summary!AC187))</f>
        <v/>
      </c>
      <c r="CR184" s="161" t="str">
        <f>IF(BF184=0.5,0,IF(AU184=5,0,Summary!AD187))</f>
        <v/>
      </c>
      <c r="CS184" s="161" t="str">
        <f>IF(AU184=5,0,Summary!AE187)</f>
        <v/>
      </c>
      <c r="CT184" s="161">
        <f t="shared" si="208"/>
        <v>0</v>
      </c>
      <c r="CU184" s="475" t="str">
        <f t="shared" si="209"/>
        <v/>
      </c>
      <c r="CV184" s="307">
        <f>IF('Data Entry'!$C$74=0,0,IF(AA184&lt;1,0,IF(ISERROR(CU184),0,IF(CF184=1,0,IF(AND(R184=12,BR184=50),0,IF(CL184+BO184+BV184+DC184=0,0,IF(BC184=37,0,IF(AND(BC184=40,AJ184=0),0,IF(AND(BC184=37,BO184&gt;0.01,BQ184&gt;0.01),ROUND(BQ184,0),IF(CM184&lt;0,0,ROUND(CM184,0)))))))))))</f>
        <v>0</v>
      </c>
      <c r="CW184" s="700">
        <f t="shared" si="210"/>
        <v>0</v>
      </c>
      <c r="CX184" s="477">
        <f>IF('Data Entry'!$C$74=0,0,IF(CV184&lt;0.01,0,IF(BF184=0.5,0,IF(CF184=1,0,IF(ISNUMBER(SEARCH("false",CL184)),0,IF(AZ184=500,0,CL184))))))</f>
        <v>0</v>
      </c>
      <c r="CY184" s="147" t="e">
        <f t="shared" si="211"/>
        <v>#VALUE!</v>
      </c>
      <c r="CZ184" s="147" t="b">
        <f>IF(CN184+CL184=0,FALSE,IF(AH184=0,0,IF(AND('Data Entry'!$C$74=1,CR184&gt;=1),TRUE,IF(AND('Data Entry'!$C$74=2,CS184&gt;=1),TRUE,FALSE))))</f>
        <v>0</v>
      </c>
      <c r="DA184" s="1751">
        <f>IF('Data Entry'!$C$74=0,0,IFERROR(ROUND(IF(T184="","",IF($X$4=0,0,IF(CF184=1,0,IF(BQ184+CV184=0,0,IF(CF184=1,0,IF(CY184&gt;0.01,CY184,IF(CL184&gt;0.01,CL184,IF(CY184&gt;0.01,CY184,IF(BC184=37,BO184,IF(CZ184=FALSE,0,IF(CZ184=TRUE,DC184+DF184,0))))))))))),2),""))</f>
        <v>0</v>
      </c>
      <c r="DB184" s="1752"/>
      <c r="DC184" s="474">
        <f>IF(CN184&lt;0.01,0,IF(AND(BR184=3,CN184&gt;0.01,CT184&gt;0.6,ER184+ES184+ET184&lt;100),0,IF(AND('Data Entry'!$C$74=1,CN184&gt;0.01,CR184&gt;0.99),MIN(CN184:CO184),IF(AND('Data Entry'!$C$74=2,CN184&gt;0.01,CS184&gt;0.99),MIN(CN184:CO184),0))))</f>
        <v>0</v>
      </c>
      <c r="DD184" s="478">
        <f>IF(CF184=1,"Selection does not match",IF(T184=0,0,IF(AND('Data Entry'!$C$74=0,CP184&gt;1),"Select Oregon or Idaho on Data Entry Tab",IF(AND(AU184=1,AA184&gt;0.9),"Missing Interior or Exterior Selection",IF($X$4=0,"Enter Total Project Cost",IF(AQ184&lt;AR184,"Insufficient kWh savings – no incentive",IF(AND(SUM(CL184+CK184+BV184)&gt;0.01,'Data Entry'!$C$74=2,CJ184&gt;1,BO184=0),"Submit Control as Non-Standard",IF(AND('Data Entry'!$C$74=2,BR184=37,CJ184&gt;1,BO184=0),"Submit Control as Non-Standard",IF(SUM(CL184+CK184+BV184)&gt;0.01,"Standard Incentive",IF(AND('Data Entry'!$C$74=2,CP184=7,CN184=0),"Submit as Non-Standard",IF(DC184&gt;0.9,"Non-Standard Incentive",IF(AND(BY184+BZ184+CA184&gt;0.01,BV184=0,EQ184=0,ER184=0,ES184=0,ET184=0),"Scroll Right &amp; Select Control Strategies",IF(AND(CN184&gt;0.01,CO184=0),"Enter Unit Installed Cost",IF(ISNUMBER(SEARCH("Lighting Controls Only",F184)),"Lighting Controls Only",IF(CL184+DC184=0,"Does not meet incentive criteria",0)))))))))))))))</f>
        <v>0</v>
      </c>
      <c r="DE184" s="337">
        <f t="shared" si="212"/>
        <v>0</v>
      </c>
      <c r="DF184" s="609">
        <f t="shared" si="213"/>
        <v>0</v>
      </c>
      <c r="DG184" s="336" t="str">
        <f t="shared" si="214"/>
        <v/>
      </c>
      <c r="DH184" s="338">
        <f t="shared" si="215"/>
        <v>1</v>
      </c>
      <c r="DI184" s="336" t="e">
        <f t="shared" si="170"/>
        <v>#VALUE!</v>
      </c>
      <c r="DJ184" s="1142">
        <f t="shared" si="171"/>
        <v>0</v>
      </c>
      <c r="DK184" s="331"/>
      <c r="DL184" s="454"/>
      <c r="DM184" s="1090" t="s">
        <v>1556</v>
      </c>
      <c r="DN184" s="863">
        <f>'Data Entry'!O64*0.9</f>
        <v>0</v>
      </c>
      <c r="DO184" s="1207"/>
      <c r="DP184" s="1208"/>
      <c r="DQ184" s="331"/>
      <c r="DS184" s="1195">
        <f t="shared" si="216"/>
        <v>0</v>
      </c>
      <c r="DT184" s="344" t="b">
        <f t="shared" si="217"/>
        <v>1</v>
      </c>
      <c r="DU184" s="1314" t="str">
        <f t="array" ref="DU184">IF(OR(COUNTIF(F184,"*"&amp;$DK$9:$DK$178&amp;"*")), "Yes", "")</f>
        <v/>
      </c>
      <c r="DV184" s="1314">
        <f t="shared" si="218"/>
        <v>0</v>
      </c>
      <c r="DW184" s="1480">
        <f t="shared" si="219"/>
        <v>0</v>
      </c>
      <c r="DX184" s="1498">
        <f t="shared" si="228"/>
        <v>0</v>
      </c>
      <c r="DY184" s="1484">
        <f t="shared" si="220"/>
        <v>0</v>
      </c>
      <c r="DZ184" s="331"/>
      <c r="EA184" s="392"/>
      <c r="EB184" s="1499" t="s">
        <v>1655</v>
      </c>
      <c r="EC184" s="727" t="s">
        <v>1569</v>
      </c>
      <c r="ED184" s="728">
        <v>0.5</v>
      </c>
      <c r="EE184" s="1215"/>
      <c r="EF184" s="1215"/>
      <c r="EG184" s="1184" t="str">
        <f t="shared" si="221"/>
        <v/>
      </c>
      <c r="EH184" s="55"/>
      <c r="EI184" s="55"/>
      <c r="EJ184" s="1185">
        <f t="shared" si="172"/>
        <v>0</v>
      </c>
      <c r="EK184" s="1211"/>
      <c r="EL184" s="1180">
        <f t="shared" si="173"/>
        <v>0</v>
      </c>
      <c r="EM184" s="206"/>
      <c r="EN184" s="1038"/>
      <c r="EO184" s="1038"/>
      <c r="EP184" s="1038"/>
      <c r="EQ184" s="1038">
        <f t="shared" si="222"/>
        <v>0</v>
      </c>
      <c r="ER184" s="1041">
        <f t="shared" si="223"/>
        <v>0</v>
      </c>
      <c r="ES184" s="1042">
        <f t="shared" si="224"/>
        <v>0</v>
      </c>
      <c r="ET184" s="1042">
        <f t="shared" si="229"/>
        <v>0</v>
      </c>
      <c r="EU184" s="1021">
        <f t="shared" si="230"/>
        <v>0</v>
      </c>
      <c r="EV184" s="368"/>
      <c r="EW184" s="368"/>
      <c r="EX184" s="369"/>
      <c r="EY184" s="370"/>
      <c r="EZ184" s="370"/>
      <c r="FA184" s="371"/>
      <c r="FB184" s="372"/>
    </row>
    <row r="185" spans="1:158" ht="34.5" customHeight="1">
      <c r="A185" s="82">
        <v>177</v>
      </c>
      <c r="B185" s="1725"/>
      <c r="C185" s="1726"/>
      <c r="D185" s="1726"/>
      <c r="E185" s="1727"/>
      <c r="F185" s="1732"/>
      <c r="G185" s="1733"/>
      <c r="H185" s="1733"/>
      <c r="I185" s="1734"/>
      <c r="J185" s="1341"/>
      <c r="K185" s="1728"/>
      <c r="L185" s="1728"/>
      <c r="M185" s="1342"/>
      <c r="N185" s="1583"/>
      <c r="O185" s="208" t="str">
        <f t="shared" si="160"/>
        <v/>
      </c>
      <c r="P185" s="785"/>
      <c r="Q185" s="39" t="str">
        <f t="shared" si="161"/>
        <v/>
      </c>
      <c r="R185" s="39">
        <f t="shared" si="174"/>
        <v>0</v>
      </c>
      <c r="S185" s="234">
        <f t="shared" si="175"/>
        <v>0</v>
      </c>
      <c r="T185" s="1755"/>
      <c r="U185" s="1755"/>
      <c r="V185" s="1755"/>
      <c r="W185" s="1345"/>
      <c r="X185" s="1741"/>
      <c r="Y185" s="1742"/>
      <c r="Z185" s="1346"/>
      <c r="AA185" s="1343"/>
      <c r="AB185" s="1141"/>
      <c r="AC185" s="1103" t="str">
        <f>IF(T185="","",VLOOKUP(Z185,Lists!$A$60:$B$111,2,FALSE))</f>
        <v/>
      </c>
      <c r="AD185" s="130" t="str">
        <f t="shared" si="176"/>
        <v/>
      </c>
      <c r="AE185" s="130" t="e">
        <f t="shared" si="177"/>
        <v>#VALUE!</v>
      </c>
      <c r="AF185" s="130">
        <f t="shared" si="178"/>
        <v>1</v>
      </c>
      <c r="AG185" s="234">
        <f t="shared" si="162"/>
        <v>0</v>
      </c>
      <c r="AH185" s="1753" t="str">
        <f>IF(T185="","",(IF(ISNUMBER(SEARCH("exit",T185)),8760,IF(AND(M185="Dusk to Dawn",'Proposed Lighting'!AU185=3),4059,IF(AND(AU185=3,M185="1"),0,IF(AND(AU185=3,M185="1-C"),0,IF(AND(AU185=3,M185="2"),0,IF(AND(AU185=3,M185="2-C"),0,IF(AND(AU185=3,M185="3"),0,IF(AND(AU185=3,M185="3-C"),0,IF(AND(AU185=2,M185="Dusk to Dawn"),0,IF(AND(AU185=2,M185="Dusk to Dawn-C"),0,IF(AND(AU185=2,M185="Dusk to Dawn"),0,IF(AND(AU185=2,M185="E"),0,IF(AND(AU185=2,M185="E-C"),0,EG185)))))))))))))))</f>
        <v/>
      </c>
      <c r="AI185" s="1754"/>
      <c r="AJ185" s="1136"/>
      <c r="AK185" s="1136"/>
      <c r="AL185" s="1748">
        <f t="shared" si="179"/>
        <v>0</v>
      </c>
      <c r="AM185" s="1749"/>
      <c r="AN185" s="1750"/>
      <c r="AO185" s="476">
        <f t="shared" si="163"/>
        <v>0</v>
      </c>
      <c r="AP185" s="476">
        <f t="shared" si="180"/>
        <v>0</v>
      </c>
      <c r="AQ185" s="475">
        <f t="shared" si="164"/>
        <v>0</v>
      </c>
      <c r="AR185" s="475">
        <f t="shared" si="181"/>
        <v>0</v>
      </c>
      <c r="AS185" s="743" t="str">
        <f t="shared" si="233"/>
        <v/>
      </c>
      <c r="AT185" s="736" t="str">
        <f t="shared" si="182"/>
        <v/>
      </c>
      <c r="AU185" s="56">
        <f t="shared" si="183"/>
        <v>1</v>
      </c>
      <c r="AV185" s="476">
        <f t="shared" si="184"/>
        <v>0</v>
      </c>
      <c r="AW185" s="56">
        <f t="shared" si="185"/>
        <v>0</v>
      </c>
      <c r="AX185" s="475">
        <f t="shared" si="165"/>
        <v>0</v>
      </c>
      <c r="AY185" s="1169">
        <f t="shared" si="186"/>
        <v>0</v>
      </c>
      <c r="AZ185" s="1150">
        <f t="shared" si="225"/>
        <v>0</v>
      </c>
      <c r="BA185" s="56">
        <f t="shared" si="166"/>
        <v>0</v>
      </c>
      <c r="BB185" s="420">
        <f t="shared" si="167"/>
        <v>0</v>
      </c>
      <c r="BC185" s="58" t="str">
        <f t="shared" si="168"/>
        <v/>
      </c>
      <c r="BD185" s="660">
        <f t="shared" si="226"/>
        <v>0</v>
      </c>
      <c r="BE185" s="57" t="e">
        <f t="array" ref="BE185">INDEX($EB$11:$ED$1022,MATCH(F185&amp;T185,$EB$11:$EB$1007&amp;$EC$11:$EC$1007,0),3)</f>
        <v>#N/A</v>
      </c>
      <c r="BF185" s="463">
        <f t="shared" si="234"/>
        <v>0</v>
      </c>
      <c r="BG185" s="1445" t="e">
        <f t="array" ref="BG185">INDEX($DO$112:$DQ$123,MATCH(T185&amp;W185,$DO$114:$DO$125&amp;$DP$112:$DP$123,0),3)</f>
        <v>#N/A</v>
      </c>
      <c r="BH185" s="1446">
        <f t="shared" si="187"/>
        <v>0</v>
      </c>
      <c r="BI185" s="465">
        <f t="shared" si="188"/>
        <v>0</v>
      </c>
      <c r="BJ185" s="465">
        <f t="shared" si="189"/>
        <v>0</v>
      </c>
      <c r="BK185" s="466">
        <f t="shared" si="235"/>
        <v>0</v>
      </c>
      <c r="BL185" s="466">
        <f t="shared" si="236"/>
        <v>0</v>
      </c>
      <c r="BM185" s="466">
        <f t="shared" si="190"/>
        <v>0</v>
      </c>
      <c r="BN185" s="466">
        <f t="shared" si="191"/>
        <v>0</v>
      </c>
      <c r="BO185" s="463">
        <f>IF('Data Entry'!$C$74=0,0,IF(ISNA(CJ185),0,IF(AX185=0,0,IF(AND('Data Entry'!$C$74=2,AF185&gt;2,CE185&lt;1),0,IF(AND('Data Entry'!$C$74=2,AF185&gt;1,AU185=2,CJ185&gt;1),0,IF(AND(AF185=5,CT185=0.5,AU185=2,ER185&lt;100),0,IF(AND(AF185=5,CT185=0.5,AU185=3,ER185&lt;100),0,IF(AND('Data Entry'!$C$74=2,AF185=2,AU185=2,AK185&gt;0.01,CB185=2,CE185&lt;1),0,IF(AND('Data Entry'!$C$74=2,AF185=3,AU185=3,AK185&gt;0.01,CB185=3,CE185&lt;1),0,IF(AND('Data Entry'!$C$74=2,AF185=3,AU185=3,AK185&gt;0.01,CB185=3,CE185&gt;0.99),BQ185*0.08,IF(AND('Data Entry'!$C$74=2,AF185=2,AU185=2,AK185&gt;0.01,CB185=2,CE185&gt;0.99),BQ185*0.1,IF(AND(AU185=2,AK185&gt;0.01,CB185=2,CD185&gt;1),BQ185*0.1,IF(AND(AU185=3,AK185&gt;0.01,CB185=3,CD185&gt;1),BQ185*0.08,CJ185*EF185)))))))))))))</f>
        <v>0</v>
      </c>
      <c r="BP185" s="475">
        <f t="shared" si="192"/>
        <v>0</v>
      </c>
      <c r="BQ185" s="1431">
        <f>IF(AU185=1,0,IF(CH185=100,0,IF(AND(AF185=3,AU185=2),0,IF(AND(BH185=0,CT185&gt;0.4),0,IF(AND('Data Entry'!$C$74=2,AF185=1.5),0,IF(AND('Data Entry'!$C$74=2,AF185=1.6),0,IF(AND('Data Entry'!$C$74=2,AF185=4),0,IF(AND('Data Entry'!$C$74=2,AF185=5),0,IF(AND('Data Entry'!$C$74=2,AF185=2.5,CE185&lt;1),0,IF(AND('Data Entry'!$C$74=2,AF185=3,CE185&lt;1),0,IF(AND('Data Entry'!$C$74=1,AF185=2.5,CD185&lt;1),0,IF(AND('Data Entry'!$C$74=1,AF185=3,CD185&lt;1),0,IF(DX185&gt;0.01,DX185,IF(ISERROR(AX185-AY185),"",ROUND(AX185-AY185,2)))))))))))))))</f>
        <v>0</v>
      </c>
      <c r="BR185" s="146">
        <f t="shared" si="193"/>
        <v>0</v>
      </c>
      <c r="BS185" s="475">
        <f t="shared" si="194"/>
        <v>0</v>
      </c>
      <c r="BT185" s="146" t="b">
        <f t="shared" si="195"/>
        <v>0</v>
      </c>
      <c r="BU185" s="463">
        <f>IF(ISNA(AT185),0,IF(AND('Data Entry'!$C$74=2,BC185=27),0,IF(AND('Data Entry'!$C$74=2,BC185=28),0,IF(AND(BC185=27,BT185=27,CM185&gt;0.1),CM185*0.15,IF(AND(BC185=28,BT185=28,CM185&gt;0.1),CM185*0.12,0)))))</f>
        <v>0</v>
      </c>
      <c r="BV185" s="463">
        <f t="shared" si="232"/>
        <v>0</v>
      </c>
      <c r="BW185" s="463">
        <f t="shared" si="196"/>
        <v>0</v>
      </c>
      <c r="BX185" s="463">
        <f t="shared" si="197"/>
        <v>0</v>
      </c>
      <c r="BY185" s="463">
        <f t="shared" si="198"/>
        <v>0</v>
      </c>
      <c r="BZ185" s="463">
        <f t="shared" si="199"/>
        <v>0</v>
      </c>
      <c r="CA185" s="57">
        <f t="shared" si="227"/>
        <v>0</v>
      </c>
      <c r="CB185" s="56">
        <f t="shared" si="200"/>
        <v>1</v>
      </c>
      <c r="CC185" s="756">
        <f>IF(EE185=0,0,IF(EF185=0,0,IF(EE185&gt;AA185,0,IF(AND(AZ185&gt;AW185,AW185&gt;0),0,IF(CU185=0,0,Summary!AC488)))))</f>
        <v>0</v>
      </c>
      <c r="CD185" s="756">
        <f>IF(EE185=0,0,IF(EF185=0,0,IF(EE185&gt;AA185,0,IF(AND(AZ185&gt;AW185,AW185&gt;0),0,IF(CU185=0,0,Summary!AD488)))))</f>
        <v>0</v>
      </c>
      <c r="CE185" s="756">
        <f>IF(EF185=0,0,IF(EE185&gt;AA185,0,IF(CC185=0,0,IF(AND(AZ185&gt;AW185,AW185&gt;0),0,IF(CU185=0,0,Summary!AE488)))))</f>
        <v>0</v>
      </c>
      <c r="CF185" s="475">
        <f t="shared" si="201"/>
        <v>0</v>
      </c>
      <c r="CG185" s="476">
        <f t="shared" si="169"/>
        <v>0</v>
      </c>
      <c r="CH185" s="487">
        <f t="shared" si="202"/>
        <v>0</v>
      </c>
      <c r="CI185" s="756">
        <f t="shared" si="203"/>
        <v>0</v>
      </c>
      <c r="CJ185" s="487">
        <f>IF(CT185&gt;0.4,0,IF(AND(AU185=2,CH185=0,CT185=0.5,ER185=100),35,IF(AND(AU185=3,BB185&gt;75,CH185=0,CT185=0.5,ER185=100),25,IF(CB185&gt;1,0,IF(EF185&gt;EE185,0,IF(AND(AF185&gt;1,CH185=100),0,IF(AND(AF185=1,AY185=0),0,IF(AND(EF185&lt;=EE185,AW185&gt;=AZ185,'Data Entry'!$C$74=1,AU185=2),VLOOKUP(W185,$DO$96:$DP$102,2,FALSE),IF(AND(EF185&lt;=EE185,AW185&gt;=AZ185,AU185=3,'Data Entry'!$C$74=1),VLOOKUP(W185,$DO$127:$DP$134,2,FALSE))))))))))</f>
        <v>0</v>
      </c>
      <c r="CK185" s="716">
        <f t="shared" si="204"/>
        <v>0</v>
      </c>
      <c r="CL185" s="57">
        <f t="shared" si="205"/>
        <v>0</v>
      </c>
      <c r="CM185" s="475">
        <f t="shared" si="231"/>
        <v>0</v>
      </c>
      <c r="CN185" s="660">
        <f>IF(CM185&lt;0.1,0,IF(ISNA(AT185),0,IF(CL185+BC185=1,0,IF(BV185&gt;0.01,0,IF(CL185&gt;0.01,0,IF(CF185=1,0,IF(BC185=0.5,0,IF(AND(CI185=1,AU185=3),0,IF(AND(CI185=5,CL185=0),0,IF(AND(R185=12,BR185=50),0,IF(CK185&gt;0.01,0,IF(AND(AJ185&gt;0.01,AU185=2,BC185=15),CM185*0.1,IF(AND(AJ185&gt;0.01,AU185=3,BC185=15),CM185*0.08,IF(AND(R185=12,BC185=3,AF185&lt;=0),0,IF(AND(BC185=15,BI185=0),0,IF(AND(BC185=15,BJ185=0),0,IF(AND(R185=20,CU185=0),0,IF($X$4=0,0,IF(AND(BC185=250,CL185=0),0,IF(AA185&lt;1,0,IF(AND(ISNUMBER(SEARCH("Area",T185)),AU185=3),0,IF(AND(AQ185&gt;0.01,AR185=0,BK185=0,BL185=0,BM185=0,BN185=0),0,IF(AND(AU185=3,CI185=7,CT185&gt;0.5),0,IF(AND(BC185=44,AU185=3,BY185=0),0,IF(AND(BC185=27,'Data Entry'!$C$74=2),0,IF(AND(BC185=28,'Data Entry'!$C$74=2),0,IF(AND(BY185+BZ185+CA185&gt;0.01,BV185=0,EQ185+ER185+ES185+ET185&lt;100),0,IF(AU185=3,CM185*0.08,IF(AU185=2,CM185*0.1,0)))))))))))))))))))))))))))))</f>
        <v>0</v>
      </c>
      <c r="CO185" s="660">
        <f t="shared" si="206"/>
        <v>0</v>
      </c>
      <c r="CP185" s="475" t="str">
        <f t="shared" si="207"/>
        <v/>
      </c>
      <c r="CQ185" s="161" t="str">
        <f>IF(AH185=0,0,IF(AU185=5,0,Summary!AC188))</f>
        <v/>
      </c>
      <c r="CR185" s="161" t="str">
        <f>IF(BF185=0.5,0,IF(AU185=5,0,Summary!AD188))</f>
        <v/>
      </c>
      <c r="CS185" s="161" t="str">
        <f>IF(AU185=5,0,Summary!AE188)</f>
        <v/>
      </c>
      <c r="CT185" s="161">
        <f t="shared" si="208"/>
        <v>0</v>
      </c>
      <c r="CU185" s="475" t="str">
        <f t="shared" si="209"/>
        <v/>
      </c>
      <c r="CV185" s="307">
        <f>IF('Data Entry'!$C$74=0,0,IF(AA185&lt;1,0,IF(ISERROR(CU185),0,IF(CF185=1,0,IF(AND(R185=12,BR185=50),0,IF(CL185+BO185+BV185+DC185=0,0,IF(BC185=37,0,IF(AND(BC185=40,AJ185=0),0,IF(AND(BC185=37,BO185&gt;0.01,BQ185&gt;0.01),ROUND(BQ185,0),IF(CM185&lt;0,0,ROUND(CM185,0)))))))))))</f>
        <v>0</v>
      </c>
      <c r="CW185" s="700">
        <f t="shared" si="210"/>
        <v>0</v>
      </c>
      <c r="CX185" s="477">
        <f>IF('Data Entry'!$C$74=0,0,IF(CV185&lt;0.01,0,IF(BF185=0.5,0,IF(CF185=1,0,IF(ISNUMBER(SEARCH("false",CL185)),0,IF(AZ185=500,0,CL185))))))</f>
        <v>0</v>
      </c>
      <c r="CY185" s="147" t="e">
        <f t="shared" si="211"/>
        <v>#VALUE!</v>
      </c>
      <c r="CZ185" s="147" t="b">
        <f>IF(CN185+CL185=0,FALSE,IF(AH185=0,0,IF(AND('Data Entry'!$C$74=1,CR185&gt;=1),TRUE,IF(AND('Data Entry'!$C$74=2,CS185&gt;=1),TRUE,FALSE))))</f>
        <v>0</v>
      </c>
      <c r="DA185" s="1751">
        <f>IF('Data Entry'!$C$74=0,0,IFERROR(ROUND(IF(T185="","",IF($X$4=0,0,IF(CF185=1,0,IF(BQ185+CV185=0,0,IF(CF185=1,0,IF(CY185&gt;0.01,CY185,IF(CL185&gt;0.01,CL185,IF(CY185&gt;0.01,CY185,IF(BC185=37,BO185,IF(CZ185=FALSE,0,IF(CZ185=TRUE,DC185+DF185,0))))))))))),2),""))</f>
        <v>0</v>
      </c>
      <c r="DB185" s="1752"/>
      <c r="DC185" s="474">
        <f>IF(CN185&lt;0.01,0,IF(AND(BR185=3,CN185&gt;0.01,CT185&gt;0.6,ER185+ES185+ET185&lt;100),0,IF(AND('Data Entry'!$C$74=1,CN185&gt;0.01,CR185&gt;0.99),MIN(CN185:CO185),IF(AND('Data Entry'!$C$74=2,CN185&gt;0.01,CS185&gt;0.99),MIN(CN185:CO185),0))))</f>
        <v>0</v>
      </c>
      <c r="DD185" s="478">
        <f>IF(CF185=1,"Selection does not match",IF(T185=0,0,IF(AND('Data Entry'!$C$74=0,CP185&gt;1),"Select Oregon or Idaho on Data Entry Tab",IF(AND(AU185=1,AA185&gt;0.9),"Missing Interior or Exterior Selection",IF($X$4=0,"Enter Total Project Cost",IF(AQ185&lt;AR185,"Insufficient kWh savings – no incentive",IF(AND(SUM(CL185+CK185+BV185)&gt;0.01,'Data Entry'!$C$74=2,CJ185&gt;1,BO185=0),"Submit Control as Non-Standard",IF(AND('Data Entry'!$C$74=2,BR185=37,CJ185&gt;1,BO185=0),"Submit Control as Non-Standard",IF(SUM(CL185+CK185+BV185)&gt;0.01,"Standard Incentive",IF(AND('Data Entry'!$C$74=2,CP185=7,CN185=0),"Submit as Non-Standard",IF(DC185&gt;0.9,"Non-Standard Incentive",IF(AND(BY185+BZ185+CA185&gt;0.01,BV185=0,EQ185=0,ER185=0,ES185=0,ET185=0),"Scroll Right &amp; Select Control Strategies",IF(AND(CN185&gt;0.01,CO185=0),"Enter Unit Installed Cost",IF(ISNUMBER(SEARCH("Lighting Controls Only",F185)),"Lighting Controls Only",IF(CL185+DC185=0,"Does not meet incentive criteria",0)))))))))))))))</f>
        <v>0</v>
      </c>
      <c r="DE185" s="337">
        <f t="shared" si="212"/>
        <v>0</v>
      </c>
      <c r="DF185" s="609">
        <f t="shared" si="213"/>
        <v>0</v>
      </c>
      <c r="DG185" s="336" t="str">
        <f t="shared" si="214"/>
        <v/>
      </c>
      <c r="DH185" s="338">
        <f t="shared" si="215"/>
        <v>1</v>
      </c>
      <c r="DI185" s="336" t="e">
        <f t="shared" si="170"/>
        <v>#VALUE!</v>
      </c>
      <c r="DJ185" s="1142">
        <f t="shared" si="171"/>
        <v>0</v>
      </c>
      <c r="DK185" s="331"/>
      <c r="DL185" s="332"/>
      <c r="DM185" s="1090" t="s">
        <v>1557</v>
      </c>
      <c r="DN185" s="863">
        <f>'Data Entry'!S64</f>
        <v>0</v>
      </c>
      <c r="DO185" s="1205"/>
      <c r="DP185" s="1206"/>
      <c r="DQ185" s="331"/>
      <c r="DS185" s="1195">
        <f t="shared" si="216"/>
        <v>0</v>
      </c>
      <c r="DT185" s="344" t="b">
        <f t="shared" si="217"/>
        <v>1</v>
      </c>
      <c r="DU185" s="1314" t="str">
        <f t="array" ref="DU185">IF(OR(COUNTIF(F185,"*"&amp;$DK$9:$DK$178&amp;"*")), "Yes", "")</f>
        <v/>
      </c>
      <c r="DV185" s="1314">
        <f t="shared" si="218"/>
        <v>0</v>
      </c>
      <c r="DW185" s="1480">
        <f t="shared" si="219"/>
        <v>0</v>
      </c>
      <c r="DX185" s="1498">
        <f t="shared" si="228"/>
        <v>0</v>
      </c>
      <c r="DY185" s="1484">
        <f t="shared" si="220"/>
        <v>0</v>
      </c>
      <c r="DZ185" s="331"/>
      <c r="EA185" s="392"/>
      <c r="EB185" s="1499" t="s">
        <v>1560</v>
      </c>
      <c r="EC185" s="727" t="s">
        <v>1569</v>
      </c>
      <c r="ED185" s="728">
        <v>0.5</v>
      </c>
      <c r="EE185" s="1215"/>
      <c r="EF185" s="1215"/>
      <c r="EG185" s="1184" t="str">
        <f t="shared" si="221"/>
        <v/>
      </c>
      <c r="EH185" s="55"/>
      <c r="EI185" s="55"/>
      <c r="EJ185" s="1185">
        <f t="shared" si="172"/>
        <v>0</v>
      </c>
      <c r="EK185" s="1211"/>
      <c r="EL185" s="1180">
        <f t="shared" si="173"/>
        <v>0</v>
      </c>
      <c r="EM185" s="206"/>
      <c r="EN185" s="1038"/>
      <c r="EO185" s="1038"/>
      <c r="EP185" s="1038"/>
      <c r="EQ185" s="1038">
        <f t="shared" si="222"/>
        <v>0</v>
      </c>
      <c r="ER185" s="1041">
        <f t="shared" si="223"/>
        <v>0</v>
      </c>
      <c r="ES185" s="1042">
        <f t="shared" si="224"/>
        <v>0</v>
      </c>
      <c r="ET185" s="1042">
        <f t="shared" si="229"/>
        <v>0</v>
      </c>
      <c r="EU185" s="1021">
        <f t="shared" si="230"/>
        <v>0</v>
      </c>
      <c r="EV185" s="368"/>
      <c r="EW185" s="368"/>
      <c r="EX185" s="369"/>
      <c r="EY185" s="370"/>
      <c r="EZ185" s="370"/>
      <c r="FA185" s="371"/>
      <c r="FB185" s="372"/>
    </row>
    <row r="186" spans="1:158" ht="34.5" customHeight="1">
      <c r="A186" s="82">
        <v>178</v>
      </c>
      <c r="B186" s="1725"/>
      <c r="C186" s="1726"/>
      <c r="D186" s="1726"/>
      <c r="E186" s="1727"/>
      <c r="F186" s="1732"/>
      <c r="G186" s="1733"/>
      <c r="H186" s="1733"/>
      <c r="I186" s="1734"/>
      <c r="J186" s="1341"/>
      <c r="K186" s="1728"/>
      <c r="L186" s="1728"/>
      <c r="M186" s="1342"/>
      <c r="N186" s="1583"/>
      <c r="O186" s="208" t="str">
        <f t="shared" si="160"/>
        <v/>
      </c>
      <c r="P186" s="785"/>
      <c r="Q186" s="39" t="str">
        <f t="shared" si="161"/>
        <v/>
      </c>
      <c r="R186" s="39">
        <f t="shared" si="174"/>
        <v>0</v>
      </c>
      <c r="S186" s="234">
        <f t="shared" si="175"/>
        <v>0</v>
      </c>
      <c r="T186" s="1755"/>
      <c r="U186" s="1755"/>
      <c r="V186" s="1755"/>
      <c r="W186" s="1345"/>
      <c r="X186" s="1741"/>
      <c r="Y186" s="1742"/>
      <c r="Z186" s="1346"/>
      <c r="AA186" s="1343"/>
      <c r="AB186" s="1141"/>
      <c r="AC186" s="1103" t="str">
        <f>IF(T186="","",VLOOKUP(Z186,Lists!$A$60:$B$111,2,FALSE))</f>
        <v/>
      </c>
      <c r="AD186" s="130" t="str">
        <f t="shared" si="176"/>
        <v/>
      </c>
      <c r="AE186" s="130" t="e">
        <f t="shared" si="177"/>
        <v>#VALUE!</v>
      </c>
      <c r="AF186" s="130">
        <f t="shared" si="178"/>
        <v>1</v>
      </c>
      <c r="AG186" s="234">
        <f t="shared" si="162"/>
        <v>0</v>
      </c>
      <c r="AH186" s="1753" t="str">
        <f>IF(T186="","",(IF(ISNUMBER(SEARCH("exit",T186)),8760,IF(AND(M186="Dusk to Dawn",'Proposed Lighting'!AU186=3),4059,IF(AND(AU186=3,M186="1"),0,IF(AND(AU186=3,M186="1-C"),0,IF(AND(AU186=3,M186="2"),0,IF(AND(AU186=3,M186="2-C"),0,IF(AND(AU186=3,M186="3"),0,IF(AND(AU186=3,M186="3-C"),0,IF(AND(AU186=2,M186="Dusk to Dawn"),0,IF(AND(AU186=2,M186="Dusk to Dawn-C"),0,IF(AND(AU186=2,M186="Dusk to Dawn"),0,IF(AND(AU186=2,M186="E"),0,IF(AND(AU186=2,M186="E-C"),0,EG186)))))))))))))))</f>
        <v/>
      </c>
      <c r="AI186" s="1754"/>
      <c r="AJ186" s="1136"/>
      <c r="AK186" s="1136"/>
      <c r="AL186" s="1748">
        <f t="shared" si="179"/>
        <v>0</v>
      </c>
      <c r="AM186" s="1749"/>
      <c r="AN186" s="1750"/>
      <c r="AO186" s="476">
        <f t="shared" si="163"/>
        <v>0</v>
      </c>
      <c r="AP186" s="476">
        <f t="shared" si="180"/>
        <v>0</v>
      </c>
      <c r="AQ186" s="475">
        <f t="shared" si="164"/>
        <v>0</v>
      </c>
      <c r="AR186" s="475">
        <f t="shared" si="181"/>
        <v>0</v>
      </c>
      <c r="AS186" s="743" t="str">
        <f t="shared" si="233"/>
        <v/>
      </c>
      <c r="AT186" s="736" t="str">
        <f t="shared" si="182"/>
        <v/>
      </c>
      <c r="AU186" s="56">
        <f t="shared" si="183"/>
        <v>1</v>
      </c>
      <c r="AV186" s="476">
        <f t="shared" si="184"/>
        <v>0</v>
      </c>
      <c r="AW186" s="56">
        <f t="shared" si="185"/>
        <v>0</v>
      </c>
      <c r="AX186" s="475">
        <f t="shared" si="165"/>
        <v>0</v>
      </c>
      <c r="AY186" s="1169">
        <f t="shared" si="186"/>
        <v>0</v>
      </c>
      <c r="AZ186" s="1150">
        <f t="shared" si="225"/>
        <v>0</v>
      </c>
      <c r="BA186" s="56">
        <f t="shared" si="166"/>
        <v>0</v>
      </c>
      <c r="BB186" s="420">
        <f t="shared" si="167"/>
        <v>0</v>
      </c>
      <c r="BC186" s="58" t="str">
        <f t="shared" si="168"/>
        <v/>
      </c>
      <c r="BD186" s="660">
        <f t="shared" si="226"/>
        <v>0</v>
      </c>
      <c r="BE186" s="57" t="e">
        <f t="array" ref="BE186">INDEX($EB$11:$ED$1022,MATCH(F186&amp;T186,$EB$11:$EB$1007&amp;$EC$11:$EC$1007,0),3)</f>
        <v>#N/A</v>
      </c>
      <c r="BF186" s="463">
        <f t="shared" si="234"/>
        <v>0</v>
      </c>
      <c r="BG186" s="1445" t="e">
        <f t="array" ref="BG186">INDEX($DO$112:$DQ$123,MATCH(T186&amp;W186,$DO$114:$DO$125&amp;$DP$112:$DP$123,0),3)</f>
        <v>#N/A</v>
      </c>
      <c r="BH186" s="1446">
        <f t="shared" si="187"/>
        <v>0</v>
      </c>
      <c r="BI186" s="465">
        <f t="shared" si="188"/>
        <v>0</v>
      </c>
      <c r="BJ186" s="465">
        <f t="shared" si="189"/>
        <v>0</v>
      </c>
      <c r="BK186" s="466">
        <f t="shared" si="235"/>
        <v>0</v>
      </c>
      <c r="BL186" s="466">
        <f t="shared" si="236"/>
        <v>0</v>
      </c>
      <c r="BM186" s="466">
        <f t="shared" si="190"/>
        <v>0</v>
      </c>
      <c r="BN186" s="466">
        <f t="shared" si="191"/>
        <v>0</v>
      </c>
      <c r="BO186" s="463">
        <f>IF('Data Entry'!$C$74=0,0,IF(ISNA(CJ186),0,IF(AX186=0,0,IF(AND('Data Entry'!$C$74=2,AF186&gt;2,CE186&lt;1),0,IF(AND('Data Entry'!$C$74=2,AF186&gt;1,AU186=2,CJ186&gt;1),0,IF(AND(AF186=5,CT186=0.5,AU186=2,ER186&lt;100),0,IF(AND(AF186=5,CT186=0.5,AU186=3,ER186&lt;100),0,IF(AND('Data Entry'!$C$74=2,AF186=2,AU186=2,AK186&gt;0.01,CB186=2,CE186&lt;1),0,IF(AND('Data Entry'!$C$74=2,AF186=3,AU186=3,AK186&gt;0.01,CB186=3,CE186&lt;1),0,IF(AND('Data Entry'!$C$74=2,AF186=3,AU186=3,AK186&gt;0.01,CB186=3,CE186&gt;0.99),BQ186*0.08,IF(AND('Data Entry'!$C$74=2,AF186=2,AU186=2,AK186&gt;0.01,CB186=2,CE186&gt;0.99),BQ186*0.1,IF(AND(AU186=2,AK186&gt;0.01,CB186=2,CD186&gt;1),BQ186*0.1,IF(AND(AU186=3,AK186&gt;0.01,CB186=3,CD186&gt;1),BQ186*0.08,CJ186*EF186)))))))))))))</f>
        <v>0</v>
      </c>
      <c r="BP186" s="475">
        <f t="shared" si="192"/>
        <v>0</v>
      </c>
      <c r="BQ186" s="1431">
        <f>IF(AU186=1,0,IF(CH186=100,0,IF(AND(AF186=3,AU186=2),0,IF(AND(BH186=0,CT186&gt;0.4),0,IF(AND('Data Entry'!$C$74=2,AF186=1.5),0,IF(AND('Data Entry'!$C$74=2,AF186=1.6),0,IF(AND('Data Entry'!$C$74=2,AF186=4),0,IF(AND('Data Entry'!$C$74=2,AF186=5),0,IF(AND('Data Entry'!$C$74=2,AF186=2.5,CE186&lt;1),0,IF(AND('Data Entry'!$C$74=2,AF186=3,CE186&lt;1),0,IF(AND('Data Entry'!$C$74=1,AF186=2.5,CD186&lt;1),0,IF(AND('Data Entry'!$C$74=1,AF186=3,CD186&lt;1),0,IF(DX186&gt;0.01,DX186,IF(ISERROR(AX186-AY186),"",ROUND(AX186-AY186,2)))))))))))))))</f>
        <v>0</v>
      </c>
      <c r="BR186" s="146">
        <f t="shared" si="193"/>
        <v>0</v>
      </c>
      <c r="BS186" s="475">
        <f t="shared" si="194"/>
        <v>0</v>
      </c>
      <c r="BT186" s="146" t="b">
        <f t="shared" si="195"/>
        <v>0</v>
      </c>
      <c r="BU186" s="463">
        <f>IF(ISNA(AT186),0,IF(AND('Data Entry'!$C$74=2,BC186=27),0,IF(AND('Data Entry'!$C$74=2,BC186=28),0,IF(AND(BC186=27,BT186=27,CM186&gt;0.1),CM186*0.15,IF(AND(BC186=28,BT186=28,CM186&gt;0.1),CM186*0.12,0)))))</f>
        <v>0</v>
      </c>
      <c r="BV186" s="463">
        <f t="shared" si="232"/>
        <v>0</v>
      </c>
      <c r="BW186" s="463">
        <f t="shared" si="196"/>
        <v>0</v>
      </c>
      <c r="BX186" s="463">
        <f t="shared" si="197"/>
        <v>0</v>
      </c>
      <c r="BY186" s="463">
        <f t="shared" si="198"/>
        <v>0</v>
      </c>
      <c r="BZ186" s="463">
        <f t="shared" si="199"/>
        <v>0</v>
      </c>
      <c r="CA186" s="57">
        <f t="shared" si="227"/>
        <v>0</v>
      </c>
      <c r="CB186" s="56">
        <f t="shared" si="200"/>
        <v>1</v>
      </c>
      <c r="CC186" s="756">
        <f>IF(EE186=0,0,IF(EF186=0,0,IF(EE186&gt;AA186,0,IF(AND(AZ186&gt;AW186,AW186&gt;0),0,IF(CU186=0,0,Summary!AC489)))))</f>
        <v>0</v>
      </c>
      <c r="CD186" s="756">
        <f>IF(EE186=0,0,IF(EF186=0,0,IF(EE186&gt;AA186,0,IF(AND(AZ186&gt;AW186,AW186&gt;0),0,IF(CU186=0,0,Summary!AD489)))))</f>
        <v>0</v>
      </c>
      <c r="CE186" s="756">
        <f>IF(EF186=0,0,IF(EE186&gt;AA186,0,IF(CC186=0,0,IF(AND(AZ186&gt;AW186,AW186&gt;0),0,IF(CU186=0,0,Summary!AE489)))))</f>
        <v>0</v>
      </c>
      <c r="CF186" s="475">
        <f t="shared" si="201"/>
        <v>0</v>
      </c>
      <c r="CG186" s="476">
        <f t="shared" si="169"/>
        <v>0</v>
      </c>
      <c r="CH186" s="487">
        <f t="shared" si="202"/>
        <v>0</v>
      </c>
      <c r="CI186" s="756">
        <f t="shared" si="203"/>
        <v>0</v>
      </c>
      <c r="CJ186" s="487">
        <f>IF(CT186&gt;0.4,0,IF(AND(AU186=2,CH186=0,CT186=0.5,ER186=100),35,IF(AND(AU186=3,BB186&gt;75,CH186=0,CT186=0.5,ER186=100),25,IF(CB186&gt;1,0,IF(EF186&gt;EE186,0,IF(AND(AF186&gt;1,CH186=100),0,IF(AND(AF186=1,AY186=0),0,IF(AND(EF186&lt;=EE186,AW186&gt;=AZ186,'Data Entry'!$C$74=1,AU186=2),VLOOKUP(W186,$DO$96:$DP$102,2,FALSE),IF(AND(EF186&lt;=EE186,AW186&gt;=AZ186,AU186=3,'Data Entry'!$C$74=1),VLOOKUP(W186,$DO$127:$DP$134,2,FALSE))))))))))</f>
        <v>0</v>
      </c>
      <c r="CK186" s="716">
        <f t="shared" si="204"/>
        <v>0</v>
      </c>
      <c r="CL186" s="57">
        <f t="shared" si="205"/>
        <v>0</v>
      </c>
      <c r="CM186" s="475">
        <f t="shared" si="231"/>
        <v>0</v>
      </c>
      <c r="CN186" s="660">
        <f>IF(CM186&lt;0.1,0,IF(ISNA(AT186),0,IF(CL186+BC186=1,0,IF(BV186&gt;0.01,0,IF(CL186&gt;0.01,0,IF(CF186=1,0,IF(BC186=0.5,0,IF(AND(CI186=1,AU186=3),0,IF(AND(CI186=5,CL186=0),0,IF(AND(R186=12,BR186=50),0,IF(CK186&gt;0.01,0,IF(AND(AJ186&gt;0.01,AU186=2,BC186=15),CM186*0.1,IF(AND(AJ186&gt;0.01,AU186=3,BC186=15),CM186*0.08,IF(AND(R186=12,BC186=3,AF186&lt;=0),0,IF(AND(BC186=15,BI186=0),0,IF(AND(BC186=15,BJ186=0),0,IF(AND(R186=20,CU186=0),0,IF($X$4=0,0,IF(AND(BC186=250,CL186=0),0,IF(AA186&lt;1,0,IF(AND(ISNUMBER(SEARCH("Area",T186)),AU186=3),0,IF(AND(AQ186&gt;0.01,AR186=0,BK186=0,BL186=0,BM186=0,BN186=0),0,IF(AND(AU186=3,CI186=7,CT186&gt;0.5),0,IF(AND(BC186=44,AU186=3,BY186=0),0,IF(AND(BC186=27,'Data Entry'!$C$74=2),0,IF(AND(BC186=28,'Data Entry'!$C$74=2),0,IF(AND(BY186+BZ186+CA186&gt;0.01,BV186=0,EQ186+ER186+ES186+ET186&lt;100),0,IF(AU186=3,CM186*0.08,IF(AU186=2,CM186*0.1,0)))))))))))))))))))))))))))))</f>
        <v>0</v>
      </c>
      <c r="CO186" s="660">
        <f t="shared" si="206"/>
        <v>0</v>
      </c>
      <c r="CP186" s="475" t="str">
        <f t="shared" si="207"/>
        <v/>
      </c>
      <c r="CQ186" s="161" t="str">
        <f>IF(AH186=0,0,IF(AU186=5,0,Summary!AC189))</f>
        <v/>
      </c>
      <c r="CR186" s="161" t="str">
        <f>IF(BF186=0.5,0,IF(AU186=5,0,Summary!AD189))</f>
        <v/>
      </c>
      <c r="CS186" s="161" t="str">
        <f>IF(AU186=5,0,Summary!AE189)</f>
        <v/>
      </c>
      <c r="CT186" s="161">
        <f t="shared" si="208"/>
        <v>0</v>
      </c>
      <c r="CU186" s="475" t="str">
        <f t="shared" si="209"/>
        <v/>
      </c>
      <c r="CV186" s="307">
        <f>IF('Data Entry'!$C$74=0,0,IF(AA186&lt;1,0,IF(ISERROR(CU186),0,IF(CF186=1,0,IF(AND(R186=12,BR186=50),0,IF(CL186+BO186+BV186+DC186=0,0,IF(BC186=37,0,IF(AND(BC186=40,AJ186=0),0,IF(AND(BC186=37,BO186&gt;0.01,BQ186&gt;0.01),ROUND(BQ186,0),IF(CM186&lt;0,0,ROUND(CM186,0)))))))))))</f>
        <v>0</v>
      </c>
      <c r="CW186" s="700">
        <f t="shared" si="210"/>
        <v>0</v>
      </c>
      <c r="CX186" s="477">
        <f>IF('Data Entry'!$C$74=0,0,IF(CV186&lt;0.01,0,IF(BF186=0.5,0,IF(CF186=1,0,IF(ISNUMBER(SEARCH("false",CL186)),0,IF(AZ186=500,0,CL186))))))</f>
        <v>0</v>
      </c>
      <c r="CY186" s="147" t="e">
        <f t="shared" si="211"/>
        <v>#VALUE!</v>
      </c>
      <c r="CZ186" s="147" t="b">
        <f>IF(CN186+CL186=0,FALSE,IF(AH186=0,0,IF(AND('Data Entry'!$C$74=1,CR186&gt;=1),TRUE,IF(AND('Data Entry'!$C$74=2,CS186&gt;=1),TRUE,FALSE))))</f>
        <v>0</v>
      </c>
      <c r="DA186" s="1751">
        <f>IF('Data Entry'!$C$74=0,0,IFERROR(ROUND(IF(T186="","",IF($X$4=0,0,IF(CF186=1,0,IF(BQ186+CV186=0,0,IF(CF186=1,0,IF(CY186&gt;0.01,CY186,IF(CL186&gt;0.01,CL186,IF(CY186&gt;0.01,CY186,IF(BC186=37,BO186,IF(CZ186=FALSE,0,IF(CZ186=TRUE,DC186+DF186,0))))))))))),2),""))</f>
        <v>0</v>
      </c>
      <c r="DB186" s="1752"/>
      <c r="DC186" s="474">
        <f>IF(CN186&lt;0.01,0,IF(AND(BR186=3,CN186&gt;0.01,CT186&gt;0.6,ER186+ES186+ET186&lt;100),0,IF(AND('Data Entry'!$C$74=1,CN186&gt;0.01,CR186&gt;0.99),MIN(CN186:CO186),IF(AND('Data Entry'!$C$74=2,CN186&gt;0.01,CS186&gt;0.99),MIN(CN186:CO186),0))))</f>
        <v>0</v>
      </c>
      <c r="DD186" s="478">
        <f>IF(CF186=1,"Selection does not match",IF(T186=0,0,IF(AND('Data Entry'!$C$74=0,CP186&gt;1),"Select Oregon or Idaho on Data Entry Tab",IF(AND(AU186=1,AA186&gt;0.9),"Missing Interior or Exterior Selection",IF($X$4=0,"Enter Total Project Cost",IF(AQ186&lt;AR186,"Insufficient kWh savings – no incentive",IF(AND(SUM(CL186+CK186+BV186)&gt;0.01,'Data Entry'!$C$74=2,CJ186&gt;1,BO186=0),"Submit Control as Non-Standard",IF(AND('Data Entry'!$C$74=2,BR186=37,CJ186&gt;1,BO186=0),"Submit Control as Non-Standard",IF(SUM(CL186+CK186+BV186)&gt;0.01,"Standard Incentive",IF(AND('Data Entry'!$C$74=2,CP186=7,CN186=0),"Submit as Non-Standard",IF(DC186&gt;0.9,"Non-Standard Incentive",IF(AND(BY186+BZ186+CA186&gt;0.01,BV186=0,EQ186=0,ER186=0,ES186=0,ET186=0),"Scroll Right &amp; Select Control Strategies",IF(AND(CN186&gt;0.01,CO186=0),"Enter Unit Installed Cost",IF(ISNUMBER(SEARCH("Lighting Controls Only",F186)),"Lighting Controls Only",IF(CL186+DC186=0,"Does not meet incentive criteria",0)))))))))))))))</f>
        <v>0</v>
      </c>
      <c r="DE186" s="337">
        <f t="shared" si="212"/>
        <v>0</v>
      </c>
      <c r="DF186" s="609">
        <f t="shared" si="213"/>
        <v>0</v>
      </c>
      <c r="DG186" s="336" t="str">
        <f t="shared" si="214"/>
        <v/>
      </c>
      <c r="DH186" s="338">
        <f t="shared" si="215"/>
        <v>1</v>
      </c>
      <c r="DI186" s="336" t="e">
        <f t="shared" si="170"/>
        <v>#VALUE!</v>
      </c>
      <c r="DJ186" s="1142">
        <f t="shared" si="171"/>
        <v>0</v>
      </c>
      <c r="DK186" s="361"/>
      <c r="DL186" s="329"/>
      <c r="DM186" s="1090" t="s">
        <v>1558</v>
      </c>
      <c r="DN186" s="863">
        <f>'Data Entry'!S64*0.9</f>
        <v>0</v>
      </c>
      <c r="DO186" s="375"/>
      <c r="DP186" s="332"/>
      <c r="DQ186" s="331"/>
      <c r="DS186" s="1195">
        <f t="shared" si="216"/>
        <v>0</v>
      </c>
      <c r="DT186" s="344" t="b">
        <f t="shared" si="217"/>
        <v>1</v>
      </c>
      <c r="DU186" s="1314" t="str">
        <f t="array" ref="DU186">IF(OR(COUNTIF(F186,"*"&amp;$DK$9:$DK$178&amp;"*")), "Yes", "")</f>
        <v/>
      </c>
      <c r="DV186" s="1314">
        <f t="shared" si="218"/>
        <v>0</v>
      </c>
      <c r="DW186" s="1480">
        <f t="shared" si="219"/>
        <v>0</v>
      </c>
      <c r="DX186" s="1498">
        <f t="shared" si="228"/>
        <v>0</v>
      </c>
      <c r="DY186" s="1484">
        <f t="shared" si="220"/>
        <v>0</v>
      </c>
      <c r="DZ186" s="331"/>
      <c r="EA186" s="392"/>
      <c r="EB186" s="1499" t="s">
        <v>73</v>
      </c>
      <c r="EC186" s="727" t="s">
        <v>1569</v>
      </c>
      <c r="ED186" s="728">
        <v>0.5</v>
      </c>
      <c r="EE186" s="1215"/>
      <c r="EF186" s="1215"/>
      <c r="EG186" s="1184" t="str">
        <f t="shared" si="221"/>
        <v/>
      </c>
      <c r="EH186" s="55"/>
      <c r="EI186" s="55"/>
      <c r="EJ186" s="1185">
        <f t="shared" si="172"/>
        <v>0</v>
      </c>
      <c r="EK186" s="1211"/>
      <c r="EL186" s="1180">
        <f t="shared" si="173"/>
        <v>0</v>
      </c>
      <c r="EM186" s="206"/>
      <c r="EN186" s="1038"/>
      <c r="EO186" s="1038"/>
      <c r="EP186" s="1038"/>
      <c r="EQ186" s="1038">
        <f t="shared" si="222"/>
        <v>0</v>
      </c>
      <c r="ER186" s="1041">
        <f t="shared" si="223"/>
        <v>0</v>
      </c>
      <c r="ES186" s="1042">
        <f t="shared" si="224"/>
        <v>0</v>
      </c>
      <c r="ET186" s="1042">
        <f t="shared" si="229"/>
        <v>0</v>
      </c>
      <c r="EU186" s="1021">
        <f t="shared" si="230"/>
        <v>0</v>
      </c>
      <c r="EV186" s="368"/>
      <c r="EW186" s="368"/>
      <c r="EX186" s="369"/>
      <c r="EY186" s="370"/>
      <c r="EZ186" s="370"/>
      <c r="FA186" s="371"/>
      <c r="FB186" s="372"/>
    </row>
    <row r="187" spans="1:158" ht="34.5" customHeight="1">
      <c r="A187" s="82">
        <v>179</v>
      </c>
      <c r="B187" s="1725"/>
      <c r="C187" s="1726"/>
      <c r="D187" s="1726"/>
      <c r="E187" s="1727"/>
      <c r="F187" s="1732"/>
      <c r="G187" s="1733"/>
      <c r="H187" s="1733"/>
      <c r="I187" s="1734"/>
      <c r="J187" s="1341"/>
      <c r="K187" s="1728"/>
      <c r="L187" s="1728"/>
      <c r="M187" s="1342"/>
      <c r="N187" s="1583"/>
      <c r="O187" s="208" t="str">
        <f t="shared" si="160"/>
        <v/>
      </c>
      <c r="P187" s="785"/>
      <c r="Q187" s="39" t="str">
        <f t="shared" si="161"/>
        <v/>
      </c>
      <c r="R187" s="39">
        <f t="shared" si="174"/>
        <v>0</v>
      </c>
      <c r="S187" s="234">
        <f t="shared" si="175"/>
        <v>0</v>
      </c>
      <c r="T187" s="1755"/>
      <c r="U187" s="1755"/>
      <c r="V187" s="1755"/>
      <c r="W187" s="1345"/>
      <c r="X187" s="1741"/>
      <c r="Y187" s="1742"/>
      <c r="Z187" s="1346"/>
      <c r="AA187" s="1343"/>
      <c r="AB187" s="1141"/>
      <c r="AC187" s="1103" t="str">
        <f>IF(T187="","",VLOOKUP(Z187,Lists!$A$60:$B$111,2,FALSE))</f>
        <v/>
      </c>
      <c r="AD187" s="130" t="str">
        <f t="shared" si="176"/>
        <v/>
      </c>
      <c r="AE187" s="130" t="e">
        <f t="shared" si="177"/>
        <v>#VALUE!</v>
      </c>
      <c r="AF187" s="130">
        <f t="shared" si="178"/>
        <v>1</v>
      </c>
      <c r="AG187" s="234">
        <f t="shared" si="162"/>
        <v>0</v>
      </c>
      <c r="AH187" s="1753" t="str">
        <f>IF(T187="","",(IF(ISNUMBER(SEARCH("exit",T187)),8760,IF(AND(M187="Dusk to Dawn",'Proposed Lighting'!AU187=3),4059,IF(AND(AU187=3,M187="1"),0,IF(AND(AU187=3,M187="1-C"),0,IF(AND(AU187=3,M187="2"),0,IF(AND(AU187=3,M187="2-C"),0,IF(AND(AU187=3,M187="3"),0,IF(AND(AU187=3,M187="3-C"),0,IF(AND(AU187=2,M187="Dusk to Dawn"),0,IF(AND(AU187=2,M187="Dusk to Dawn-C"),0,IF(AND(AU187=2,M187="Dusk to Dawn"),0,IF(AND(AU187=2,M187="E"),0,IF(AND(AU187=2,M187="E-C"),0,EG187)))))))))))))))</f>
        <v/>
      </c>
      <c r="AI187" s="1754"/>
      <c r="AJ187" s="1136"/>
      <c r="AK187" s="1136"/>
      <c r="AL187" s="1748">
        <f t="shared" si="179"/>
        <v>0</v>
      </c>
      <c r="AM187" s="1749"/>
      <c r="AN187" s="1750"/>
      <c r="AO187" s="476">
        <f t="shared" si="163"/>
        <v>0</v>
      </c>
      <c r="AP187" s="476">
        <f t="shared" si="180"/>
        <v>0</v>
      </c>
      <c r="AQ187" s="475">
        <f t="shared" si="164"/>
        <v>0</v>
      </c>
      <c r="AR187" s="475">
        <f t="shared" si="181"/>
        <v>0</v>
      </c>
      <c r="AS187" s="743" t="str">
        <f t="shared" si="233"/>
        <v/>
      </c>
      <c r="AT187" s="736" t="str">
        <f t="shared" si="182"/>
        <v/>
      </c>
      <c r="AU187" s="56">
        <f t="shared" si="183"/>
        <v>1</v>
      </c>
      <c r="AV187" s="476">
        <f t="shared" si="184"/>
        <v>0</v>
      </c>
      <c r="AW187" s="56">
        <f t="shared" si="185"/>
        <v>0</v>
      </c>
      <c r="AX187" s="475">
        <f t="shared" si="165"/>
        <v>0</v>
      </c>
      <c r="AY187" s="1169">
        <f t="shared" si="186"/>
        <v>0</v>
      </c>
      <c r="AZ187" s="1150">
        <f t="shared" si="225"/>
        <v>0</v>
      </c>
      <c r="BA187" s="56">
        <f t="shared" si="166"/>
        <v>0</v>
      </c>
      <c r="BB187" s="420">
        <f t="shared" si="167"/>
        <v>0</v>
      </c>
      <c r="BC187" s="58" t="str">
        <f t="shared" si="168"/>
        <v/>
      </c>
      <c r="BD187" s="660">
        <f t="shared" si="226"/>
        <v>0</v>
      </c>
      <c r="BE187" s="57" t="e">
        <f t="array" ref="BE187">INDEX($EB$11:$ED$1022,MATCH(F187&amp;T187,$EB$11:$EB$1007&amp;$EC$11:$EC$1007,0),3)</f>
        <v>#N/A</v>
      </c>
      <c r="BF187" s="463">
        <f t="shared" si="234"/>
        <v>0</v>
      </c>
      <c r="BG187" s="1445" t="e">
        <f t="array" ref="BG187">INDEX($DO$112:$DQ$123,MATCH(T187&amp;W187,$DO$114:$DO$125&amp;$DP$112:$DP$123,0),3)</f>
        <v>#N/A</v>
      </c>
      <c r="BH187" s="1446">
        <f t="shared" si="187"/>
        <v>0</v>
      </c>
      <c r="BI187" s="465">
        <f t="shared" si="188"/>
        <v>0</v>
      </c>
      <c r="BJ187" s="465">
        <f t="shared" si="189"/>
        <v>0</v>
      </c>
      <c r="BK187" s="466">
        <f t="shared" si="235"/>
        <v>0</v>
      </c>
      <c r="BL187" s="466">
        <f t="shared" si="236"/>
        <v>0</v>
      </c>
      <c r="BM187" s="466">
        <f t="shared" si="190"/>
        <v>0</v>
      </c>
      <c r="BN187" s="466">
        <f t="shared" si="191"/>
        <v>0</v>
      </c>
      <c r="BO187" s="463">
        <f>IF('Data Entry'!$C$74=0,0,IF(ISNA(CJ187),0,IF(AX187=0,0,IF(AND('Data Entry'!$C$74=2,AF187&gt;2,CE187&lt;1),0,IF(AND('Data Entry'!$C$74=2,AF187&gt;1,AU187=2,CJ187&gt;1),0,IF(AND(AF187=5,CT187=0.5,AU187=2,ER187&lt;100),0,IF(AND(AF187=5,CT187=0.5,AU187=3,ER187&lt;100),0,IF(AND('Data Entry'!$C$74=2,AF187=2,AU187=2,AK187&gt;0.01,CB187=2,CE187&lt;1),0,IF(AND('Data Entry'!$C$74=2,AF187=3,AU187=3,AK187&gt;0.01,CB187=3,CE187&lt;1),0,IF(AND('Data Entry'!$C$74=2,AF187=3,AU187=3,AK187&gt;0.01,CB187=3,CE187&gt;0.99),BQ187*0.08,IF(AND('Data Entry'!$C$74=2,AF187=2,AU187=2,AK187&gt;0.01,CB187=2,CE187&gt;0.99),BQ187*0.1,IF(AND(AU187=2,AK187&gt;0.01,CB187=2,CD187&gt;1),BQ187*0.1,IF(AND(AU187=3,AK187&gt;0.01,CB187=3,CD187&gt;1),BQ187*0.08,CJ187*EF187)))))))))))))</f>
        <v>0</v>
      </c>
      <c r="BP187" s="475">
        <f t="shared" si="192"/>
        <v>0</v>
      </c>
      <c r="BQ187" s="1431">
        <f>IF(AU187=1,0,IF(CH187=100,0,IF(AND(AF187=3,AU187=2),0,IF(AND(BH187=0,CT187&gt;0.4),0,IF(AND('Data Entry'!$C$74=2,AF187=1.5),0,IF(AND('Data Entry'!$C$74=2,AF187=1.6),0,IF(AND('Data Entry'!$C$74=2,AF187=4),0,IF(AND('Data Entry'!$C$74=2,AF187=5),0,IF(AND('Data Entry'!$C$74=2,AF187=2.5,CE187&lt;1),0,IF(AND('Data Entry'!$C$74=2,AF187=3,CE187&lt;1),0,IF(AND('Data Entry'!$C$74=1,AF187=2.5,CD187&lt;1),0,IF(AND('Data Entry'!$C$74=1,AF187=3,CD187&lt;1),0,IF(DX187&gt;0.01,DX187,IF(ISERROR(AX187-AY187),"",ROUND(AX187-AY187,2)))))))))))))))</f>
        <v>0</v>
      </c>
      <c r="BR187" s="146">
        <f t="shared" si="193"/>
        <v>0</v>
      </c>
      <c r="BS187" s="475">
        <f t="shared" si="194"/>
        <v>0</v>
      </c>
      <c r="BT187" s="146" t="b">
        <f t="shared" si="195"/>
        <v>0</v>
      </c>
      <c r="BU187" s="463">
        <f>IF(ISNA(AT187),0,IF(AND('Data Entry'!$C$74=2,BC187=27),0,IF(AND('Data Entry'!$C$74=2,BC187=28),0,IF(AND(BC187=27,BT187=27,CM187&gt;0.1),CM187*0.15,IF(AND(BC187=28,BT187=28,CM187&gt;0.1),CM187*0.12,0)))))</f>
        <v>0</v>
      </c>
      <c r="BV187" s="463">
        <f t="shared" si="232"/>
        <v>0</v>
      </c>
      <c r="BW187" s="463">
        <f t="shared" si="196"/>
        <v>0</v>
      </c>
      <c r="BX187" s="463">
        <f t="shared" si="197"/>
        <v>0</v>
      </c>
      <c r="BY187" s="463">
        <f t="shared" si="198"/>
        <v>0</v>
      </c>
      <c r="BZ187" s="463">
        <f t="shared" si="199"/>
        <v>0</v>
      </c>
      <c r="CA187" s="57">
        <f t="shared" si="227"/>
        <v>0</v>
      </c>
      <c r="CB187" s="56">
        <f t="shared" si="200"/>
        <v>1</v>
      </c>
      <c r="CC187" s="756">
        <f>IF(EE187=0,0,IF(EF187=0,0,IF(EE187&gt;AA187,0,IF(AND(AZ187&gt;AW187,AW187&gt;0),0,IF(CU187=0,0,Summary!AC490)))))</f>
        <v>0</v>
      </c>
      <c r="CD187" s="756">
        <f>IF(EE187=0,0,IF(EF187=0,0,IF(EE187&gt;AA187,0,IF(AND(AZ187&gt;AW187,AW187&gt;0),0,IF(CU187=0,0,Summary!AD490)))))</f>
        <v>0</v>
      </c>
      <c r="CE187" s="756">
        <f>IF(EF187=0,0,IF(EE187&gt;AA187,0,IF(CC187=0,0,IF(AND(AZ187&gt;AW187,AW187&gt;0),0,IF(CU187=0,0,Summary!AE490)))))</f>
        <v>0</v>
      </c>
      <c r="CF187" s="475">
        <f t="shared" si="201"/>
        <v>0</v>
      </c>
      <c r="CG187" s="476">
        <f t="shared" si="169"/>
        <v>0</v>
      </c>
      <c r="CH187" s="487">
        <f t="shared" si="202"/>
        <v>0</v>
      </c>
      <c r="CI187" s="756">
        <f t="shared" si="203"/>
        <v>0</v>
      </c>
      <c r="CJ187" s="487">
        <f>IF(CT187&gt;0.4,0,IF(AND(AU187=2,CH187=0,CT187=0.5,ER187=100),35,IF(AND(AU187=3,BB187&gt;75,CH187=0,CT187=0.5,ER187=100),25,IF(CB187&gt;1,0,IF(EF187&gt;EE187,0,IF(AND(AF187&gt;1,CH187=100),0,IF(AND(AF187=1,AY187=0),0,IF(AND(EF187&lt;=EE187,AW187&gt;=AZ187,'Data Entry'!$C$74=1,AU187=2),VLOOKUP(W187,$DO$96:$DP$102,2,FALSE),IF(AND(EF187&lt;=EE187,AW187&gt;=AZ187,AU187=3,'Data Entry'!$C$74=1),VLOOKUP(W187,$DO$127:$DP$134,2,FALSE))))))))))</f>
        <v>0</v>
      </c>
      <c r="CK187" s="716">
        <f t="shared" si="204"/>
        <v>0</v>
      </c>
      <c r="CL187" s="57">
        <f t="shared" si="205"/>
        <v>0</v>
      </c>
      <c r="CM187" s="475">
        <f t="shared" si="231"/>
        <v>0</v>
      </c>
      <c r="CN187" s="660">
        <f>IF(CM187&lt;0.1,0,IF(ISNA(AT187),0,IF(CL187+BC187=1,0,IF(BV187&gt;0.01,0,IF(CL187&gt;0.01,0,IF(CF187=1,0,IF(BC187=0.5,0,IF(AND(CI187=1,AU187=3),0,IF(AND(CI187=5,CL187=0),0,IF(AND(R187=12,BR187=50),0,IF(CK187&gt;0.01,0,IF(AND(AJ187&gt;0.01,AU187=2,BC187=15),CM187*0.1,IF(AND(AJ187&gt;0.01,AU187=3,BC187=15),CM187*0.08,IF(AND(R187=12,BC187=3,AF187&lt;=0),0,IF(AND(BC187=15,BI187=0),0,IF(AND(BC187=15,BJ187=0),0,IF(AND(R187=20,CU187=0),0,IF($X$4=0,0,IF(AND(BC187=250,CL187=0),0,IF(AA187&lt;1,0,IF(AND(ISNUMBER(SEARCH("Area",T187)),AU187=3),0,IF(AND(AQ187&gt;0.01,AR187=0,BK187=0,BL187=0,BM187=0,BN187=0),0,IF(AND(AU187=3,CI187=7,CT187&gt;0.5),0,IF(AND(BC187=44,AU187=3,BY187=0),0,IF(AND(BC187=27,'Data Entry'!$C$74=2),0,IF(AND(BC187=28,'Data Entry'!$C$74=2),0,IF(AND(BY187+BZ187+CA187&gt;0.01,BV187=0,EQ187+ER187+ES187+ET187&lt;100),0,IF(AU187=3,CM187*0.08,IF(AU187=2,CM187*0.1,0)))))))))))))))))))))))))))))</f>
        <v>0</v>
      </c>
      <c r="CO187" s="660">
        <f t="shared" si="206"/>
        <v>0</v>
      </c>
      <c r="CP187" s="475" t="str">
        <f t="shared" si="207"/>
        <v/>
      </c>
      <c r="CQ187" s="161" t="str">
        <f>IF(AH187=0,0,IF(AU187=5,0,Summary!AC190))</f>
        <v/>
      </c>
      <c r="CR187" s="161" t="str">
        <f>IF(BF187=0.5,0,IF(AU187=5,0,Summary!AD190))</f>
        <v/>
      </c>
      <c r="CS187" s="161" t="str">
        <f>IF(AU187=5,0,Summary!AE190)</f>
        <v/>
      </c>
      <c r="CT187" s="161">
        <f t="shared" si="208"/>
        <v>0</v>
      </c>
      <c r="CU187" s="475" t="str">
        <f t="shared" si="209"/>
        <v/>
      </c>
      <c r="CV187" s="307">
        <f>IF('Data Entry'!$C$74=0,0,IF(AA187&lt;1,0,IF(ISERROR(CU187),0,IF(CF187=1,0,IF(AND(R187=12,BR187=50),0,IF(CL187+BO187+BV187+DC187=0,0,IF(BC187=37,0,IF(AND(BC187=40,AJ187=0),0,IF(AND(BC187=37,BO187&gt;0.01,BQ187&gt;0.01),ROUND(BQ187,0),IF(CM187&lt;0,0,ROUND(CM187,0)))))))))))</f>
        <v>0</v>
      </c>
      <c r="CW187" s="700">
        <f t="shared" si="210"/>
        <v>0</v>
      </c>
      <c r="CX187" s="477">
        <f>IF('Data Entry'!$C$74=0,0,IF(CV187&lt;0.01,0,IF(BF187=0.5,0,IF(CF187=1,0,IF(ISNUMBER(SEARCH("false",CL187)),0,IF(AZ187=500,0,CL187))))))</f>
        <v>0</v>
      </c>
      <c r="CY187" s="147" t="e">
        <f t="shared" si="211"/>
        <v>#VALUE!</v>
      </c>
      <c r="CZ187" s="147" t="b">
        <f>IF(CN187+CL187=0,FALSE,IF(AH187=0,0,IF(AND('Data Entry'!$C$74=1,CR187&gt;=1),TRUE,IF(AND('Data Entry'!$C$74=2,CS187&gt;=1),TRUE,FALSE))))</f>
        <v>0</v>
      </c>
      <c r="DA187" s="1751">
        <f>IF('Data Entry'!$C$74=0,0,IFERROR(ROUND(IF(T187="","",IF($X$4=0,0,IF(CF187=1,0,IF(BQ187+CV187=0,0,IF(CF187=1,0,IF(CY187&gt;0.01,CY187,IF(CL187&gt;0.01,CL187,IF(CY187&gt;0.01,CY187,IF(BC187=37,BO187,IF(CZ187=FALSE,0,IF(CZ187=TRUE,DC187+DF187,0))))))))))),2),""))</f>
        <v>0</v>
      </c>
      <c r="DB187" s="1752"/>
      <c r="DC187" s="474">
        <f>IF(CN187&lt;0.01,0,IF(AND(BR187=3,CN187&gt;0.01,CT187&gt;0.6,ER187+ES187+ET187&lt;100),0,IF(AND('Data Entry'!$C$74=1,CN187&gt;0.01,CR187&gt;0.99),MIN(CN187:CO187),IF(AND('Data Entry'!$C$74=2,CN187&gt;0.01,CS187&gt;0.99),MIN(CN187:CO187),0))))</f>
        <v>0</v>
      </c>
      <c r="DD187" s="478">
        <f>IF(CF187=1,"Selection does not match",IF(T187=0,0,IF(AND('Data Entry'!$C$74=0,CP187&gt;1),"Select Oregon or Idaho on Data Entry Tab",IF(AND(AU187=1,AA187&gt;0.9),"Missing Interior or Exterior Selection",IF($X$4=0,"Enter Total Project Cost",IF(AQ187&lt;AR187,"Insufficient kWh savings – no incentive",IF(AND(SUM(CL187+CK187+BV187)&gt;0.01,'Data Entry'!$C$74=2,CJ187&gt;1,BO187=0),"Submit Control as Non-Standard",IF(AND('Data Entry'!$C$74=2,BR187=37,CJ187&gt;1,BO187=0),"Submit Control as Non-Standard",IF(SUM(CL187+CK187+BV187)&gt;0.01,"Standard Incentive",IF(AND('Data Entry'!$C$74=2,CP187=7,CN187=0),"Submit as Non-Standard",IF(DC187&gt;0.9,"Non-Standard Incentive",IF(AND(BY187+BZ187+CA187&gt;0.01,BV187=0,EQ187=0,ER187=0,ES187=0,ET187=0),"Scroll Right &amp; Select Control Strategies",IF(AND(CN187&gt;0.01,CO187=0),"Enter Unit Installed Cost",IF(ISNUMBER(SEARCH("Lighting Controls Only",F187)),"Lighting Controls Only",IF(CL187+DC187=0,"Does not meet incentive criteria",0)))))))))))))))</f>
        <v>0</v>
      </c>
      <c r="DE187" s="337">
        <f t="shared" si="212"/>
        <v>0</v>
      </c>
      <c r="DF187" s="609">
        <f t="shared" si="213"/>
        <v>0</v>
      </c>
      <c r="DG187" s="336" t="str">
        <f t="shared" si="214"/>
        <v/>
      </c>
      <c r="DH187" s="338">
        <f t="shared" si="215"/>
        <v>1</v>
      </c>
      <c r="DI187" s="336" t="e">
        <f t="shared" si="170"/>
        <v>#VALUE!</v>
      </c>
      <c r="DJ187" s="1142">
        <f t="shared" si="171"/>
        <v>0</v>
      </c>
      <c r="DK187" s="374"/>
      <c r="DL187" s="329"/>
      <c r="DM187" s="1090" t="s">
        <v>1601</v>
      </c>
      <c r="DN187" s="863">
        <f>'Data Entry'!AB57</f>
        <v>0</v>
      </c>
      <c r="DO187" s="375"/>
      <c r="DP187" s="332"/>
      <c r="DQ187" s="331"/>
      <c r="DS187" s="1195">
        <f t="shared" si="216"/>
        <v>0</v>
      </c>
      <c r="DT187" s="344" t="b">
        <f t="shared" si="217"/>
        <v>1</v>
      </c>
      <c r="DU187" s="1314" t="str">
        <f t="array" ref="DU187">IF(OR(COUNTIF(F187,"*"&amp;$DK$9:$DK$178&amp;"*")), "Yes", "")</f>
        <v/>
      </c>
      <c r="DV187" s="1314">
        <f t="shared" si="218"/>
        <v>0</v>
      </c>
      <c r="DW187" s="1480">
        <f t="shared" si="219"/>
        <v>0</v>
      </c>
      <c r="DX187" s="1498">
        <f t="shared" si="228"/>
        <v>0</v>
      </c>
      <c r="DY187" s="1484">
        <f t="shared" si="220"/>
        <v>0</v>
      </c>
      <c r="DZ187" s="331"/>
      <c r="EA187" s="392"/>
      <c r="EB187" s="1499" t="s">
        <v>133</v>
      </c>
      <c r="EC187" s="727" t="s">
        <v>1569</v>
      </c>
      <c r="ED187" s="728">
        <v>0.5</v>
      </c>
      <c r="EE187" s="1215"/>
      <c r="EF187" s="1215"/>
      <c r="EG187" s="1184" t="str">
        <f t="shared" si="221"/>
        <v/>
      </c>
      <c r="EH187" s="55"/>
      <c r="EI187" s="55"/>
      <c r="EJ187" s="1185">
        <f t="shared" si="172"/>
        <v>0</v>
      </c>
      <c r="EK187" s="1211"/>
      <c r="EL187" s="1180">
        <f t="shared" si="173"/>
        <v>0</v>
      </c>
      <c r="EM187" s="206"/>
      <c r="EN187" s="1038"/>
      <c r="EO187" s="1038"/>
      <c r="EP187" s="1038"/>
      <c r="EQ187" s="1038">
        <f t="shared" si="222"/>
        <v>0</v>
      </c>
      <c r="ER187" s="1041">
        <f t="shared" si="223"/>
        <v>0</v>
      </c>
      <c r="ES187" s="1042">
        <f t="shared" si="224"/>
        <v>0</v>
      </c>
      <c r="ET187" s="1042">
        <f t="shared" si="229"/>
        <v>0</v>
      </c>
      <c r="EU187" s="1021">
        <f t="shared" si="230"/>
        <v>0</v>
      </c>
      <c r="EV187" s="368"/>
      <c r="EW187" s="368"/>
      <c r="EX187" s="369"/>
      <c r="EY187" s="370"/>
      <c r="EZ187" s="370"/>
      <c r="FA187" s="371"/>
      <c r="FB187" s="372"/>
    </row>
    <row r="188" spans="1:158" ht="34.5" customHeight="1">
      <c r="A188" s="82">
        <v>180</v>
      </c>
      <c r="B188" s="1725"/>
      <c r="C188" s="1726"/>
      <c r="D188" s="1726"/>
      <c r="E188" s="1727"/>
      <c r="F188" s="1732"/>
      <c r="G188" s="1733"/>
      <c r="H188" s="1733"/>
      <c r="I188" s="1734"/>
      <c r="J188" s="1341"/>
      <c r="K188" s="1728"/>
      <c r="L188" s="1728"/>
      <c r="M188" s="1342"/>
      <c r="N188" s="1583"/>
      <c r="O188" s="208" t="str">
        <f t="shared" si="160"/>
        <v/>
      </c>
      <c r="P188" s="785"/>
      <c r="Q188" s="39" t="str">
        <f t="shared" si="161"/>
        <v/>
      </c>
      <c r="R188" s="39">
        <f t="shared" si="174"/>
        <v>0</v>
      </c>
      <c r="S188" s="234">
        <f t="shared" si="175"/>
        <v>0</v>
      </c>
      <c r="T188" s="1755"/>
      <c r="U188" s="1755"/>
      <c r="V188" s="1755"/>
      <c r="W188" s="1345"/>
      <c r="X188" s="1741"/>
      <c r="Y188" s="1742"/>
      <c r="Z188" s="1346"/>
      <c r="AA188" s="1343"/>
      <c r="AB188" s="1141"/>
      <c r="AC188" s="1103" t="str">
        <f>IF(T188="","",VLOOKUP(Z188,Lists!$A$60:$B$111,2,FALSE))</f>
        <v/>
      </c>
      <c r="AD188" s="130" t="str">
        <f t="shared" si="176"/>
        <v/>
      </c>
      <c r="AE188" s="130" t="e">
        <f t="shared" si="177"/>
        <v>#VALUE!</v>
      </c>
      <c r="AF188" s="130">
        <f t="shared" si="178"/>
        <v>1</v>
      </c>
      <c r="AG188" s="234">
        <f t="shared" si="162"/>
        <v>0</v>
      </c>
      <c r="AH188" s="1753" t="str">
        <f>IF(T188="","",(IF(ISNUMBER(SEARCH("exit",T188)),8760,IF(AND(M188="Dusk to Dawn",'Proposed Lighting'!AU188=3),4059,IF(AND(AU188=3,M188="1"),0,IF(AND(AU188=3,M188="1-C"),0,IF(AND(AU188=3,M188="2"),0,IF(AND(AU188=3,M188="2-C"),0,IF(AND(AU188=3,M188="3"),0,IF(AND(AU188=3,M188="3-C"),0,IF(AND(AU188=2,M188="Dusk to Dawn"),0,IF(AND(AU188=2,M188="Dusk to Dawn-C"),0,IF(AND(AU188=2,M188="Dusk to Dawn"),0,IF(AND(AU188=2,M188="E"),0,IF(AND(AU188=2,M188="E-C"),0,EG188)))))))))))))))</f>
        <v/>
      </c>
      <c r="AI188" s="1754"/>
      <c r="AJ188" s="1136"/>
      <c r="AK188" s="1136"/>
      <c r="AL188" s="1748">
        <f t="shared" si="179"/>
        <v>0</v>
      </c>
      <c r="AM188" s="1749"/>
      <c r="AN188" s="1750"/>
      <c r="AO188" s="476">
        <f t="shared" si="163"/>
        <v>0</v>
      </c>
      <c r="AP188" s="476">
        <f t="shared" si="180"/>
        <v>0</v>
      </c>
      <c r="AQ188" s="475">
        <f t="shared" si="164"/>
        <v>0</v>
      </c>
      <c r="AR188" s="475">
        <f t="shared" si="181"/>
        <v>0</v>
      </c>
      <c r="AS188" s="743" t="str">
        <f t="shared" si="233"/>
        <v/>
      </c>
      <c r="AT188" s="736" t="str">
        <f t="shared" si="182"/>
        <v/>
      </c>
      <c r="AU188" s="56">
        <f t="shared" si="183"/>
        <v>1</v>
      </c>
      <c r="AV188" s="476">
        <f t="shared" si="184"/>
        <v>0</v>
      </c>
      <c r="AW188" s="56">
        <f t="shared" si="185"/>
        <v>0</v>
      </c>
      <c r="AX188" s="475">
        <f t="shared" si="165"/>
        <v>0</v>
      </c>
      <c r="AY188" s="1169">
        <f t="shared" si="186"/>
        <v>0</v>
      </c>
      <c r="AZ188" s="1150">
        <f t="shared" si="225"/>
        <v>0</v>
      </c>
      <c r="BA188" s="56">
        <f t="shared" si="166"/>
        <v>0</v>
      </c>
      <c r="BB188" s="420">
        <f t="shared" si="167"/>
        <v>0</v>
      </c>
      <c r="BC188" s="58" t="str">
        <f t="shared" si="168"/>
        <v/>
      </c>
      <c r="BD188" s="660">
        <f t="shared" si="226"/>
        <v>0</v>
      </c>
      <c r="BE188" s="57" t="e">
        <f t="array" ref="BE188">INDEX($EB$11:$ED$1022,MATCH(F188&amp;T188,$EB$11:$EB$1007&amp;$EC$11:$EC$1007,0),3)</f>
        <v>#N/A</v>
      </c>
      <c r="BF188" s="463">
        <f t="shared" si="234"/>
        <v>0</v>
      </c>
      <c r="BG188" s="1445" t="e">
        <f t="array" ref="BG188">INDEX($DO$112:$DQ$123,MATCH(T188&amp;W188,$DO$114:$DO$125&amp;$DP$112:$DP$123,0),3)</f>
        <v>#N/A</v>
      </c>
      <c r="BH188" s="1446">
        <f t="shared" si="187"/>
        <v>0</v>
      </c>
      <c r="BI188" s="465">
        <f t="shared" si="188"/>
        <v>0</v>
      </c>
      <c r="BJ188" s="465">
        <f t="shared" si="189"/>
        <v>0</v>
      </c>
      <c r="BK188" s="466">
        <f t="shared" si="235"/>
        <v>0</v>
      </c>
      <c r="BL188" s="466">
        <f t="shared" si="236"/>
        <v>0</v>
      </c>
      <c r="BM188" s="466">
        <f t="shared" si="190"/>
        <v>0</v>
      </c>
      <c r="BN188" s="466">
        <f t="shared" si="191"/>
        <v>0</v>
      </c>
      <c r="BO188" s="463">
        <f>IF('Data Entry'!$C$74=0,0,IF(ISNA(CJ188),0,IF(AX188=0,0,IF(AND('Data Entry'!$C$74=2,AF188&gt;2,CE188&lt;1),0,IF(AND('Data Entry'!$C$74=2,AF188&gt;1,AU188=2,CJ188&gt;1),0,IF(AND(AF188=5,CT188=0.5,AU188=2,ER188&lt;100),0,IF(AND(AF188=5,CT188=0.5,AU188=3,ER188&lt;100),0,IF(AND('Data Entry'!$C$74=2,AF188=2,AU188=2,AK188&gt;0.01,CB188=2,CE188&lt;1),0,IF(AND('Data Entry'!$C$74=2,AF188=3,AU188=3,AK188&gt;0.01,CB188=3,CE188&lt;1),0,IF(AND('Data Entry'!$C$74=2,AF188=3,AU188=3,AK188&gt;0.01,CB188=3,CE188&gt;0.99),BQ188*0.08,IF(AND('Data Entry'!$C$74=2,AF188=2,AU188=2,AK188&gt;0.01,CB188=2,CE188&gt;0.99),BQ188*0.1,IF(AND(AU188=2,AK188&gt;0.01,CB188=2,CD188&gt;1),BQ188*0.1,IF(AND(AU188=3,AK188&gt;0.01,CB188=3,CD188&gt;1),BQ188*0.08,CJ188*EF188)))))))))))))</f>
        <v>0</v>
      </c>
      <c r="BP188" s="475">
        <f t="shared" si="192"/>
        <v>0</v>
      </c>
      <c r="BQ188" s="1431">
        <f>IF(AU188=1,0,IF(CH188=100,0,IF(AND(AF188=3,AU188=2),0,IF(AND(BH188=0,CT188&gt;0.4),0,IF(AND('Data Entry'!$C$74=2,AF188=1.5),0,IF(AND('Data Entry'!$C$74=2,AF188=1.6),0,IF(AND('Data Entry'!$C$74=2,AF188=4),0,IF(AND('Data Entry'!$C$74=2,AF188=5),0,IF(AND('Data Entry'!$C$74=2,AF188=2.5,CE188&lt;1),0,IF(AND('Data Entry'!$C$74=2,AF188=3,CE188&lt;1),0,IF(AND('Data Entry'!$C$74=1,AF188=2.5,CD188&lt;1),0,IF(AND('Data Entry'!$C$74=1,AF188=3,CD188&lt;1),0,IF(DX188&gt;0.01,DX188,IF(ISERROR(AX188-AY188),"",ROUND(AX188-AY188,2)))))))))))))))</f>
        <v>0</v>
      </c>
      <c r="BR188" s="146">
        <f t="shared" si="193"/>
        <v>0</v>
      </c>
      <c r="BS188" s="475">
        <f t="shared" si="194"/>
        <v>0</v>
      </c>
      <c r="BT188" s="146" t="b">
        <f t="shared" si="195"/>
        <v>0</v>
      </c>
      <c r="BU188" s="463">
        <f>IF(ISNA(AT188),0,IF(AND('Data Entry'!$C$74=2,BC188=27),0,IF(AND('Data Entry'!$C$74=2,BC188=28),0,IF(AND(BC188=27,BT188=27,CM188&gt;0.1),CM188*0.15,IF(AND(BC188=28,BT188=28,CM188&gt;0.1),CM188*0.12,0)))))</f>
        <v>0</v>
      </c>
      <c r="BV188" s="463">
        <f t="shared" si="232"/>
        <v>0</v>
      </c>
      <c r="BW188" s="463">
        <f t="shared" si="196"/>
        <v>0</v>
      </c>
      <c r="BX188" s="463">
        <f t="shared" si="197"/>
        <v>0</v>
      </c>
      <c r="BY188" s="463">
        <f t="shared" si="198"/>
        <v>0</v>
      </c>
      <c r="BZ188" s="463">
        <f t="shared" si="199"/>
        <v>0</v>
      </c>
      <c r="CA188" s="57">
        <f t="shared" si="227"/>
        <v>0</v>
      </c>
      <c r="CB188" s="56">
        <f t="shared" si="200"/>
        <v>1</v>
      </c>
      <c r="CC188" s="756">
        <f>IF(EE188=0,0,IF(EF188=0,0,IF(EE188&gt;AA188,0,IF(AND(AZ188&gt;AW188,AW188&gt;0),0,IF(CU188=0,0,Summary!AC491)))))</f>
        <v>0</v>
      </c>
      <c r="CD188" s="756">
        <f>IF(EE188=0,0,IF(EF188=0,0,IF(EE188&gt;AA188,0,IF(AND(AZ188&gt;AW188,AW188&gt;0),0,IF(CU188=0,0,Summary!AD491)))))</f>
        <v>0</v>
      </c>
      <c r="CE188" s="756">
        <f>IF(EF188=0,0,IF(EE188&gt;AA188,0,IF(CC188=0,0,IF(AND(AZ188&gt;AW188,AW188&gt;0),0,IF(CU188=0,0,Summary!AE491)))))</f>
        <v>0</v>
      </c>
      <c r="CF188" s="475">
        <f t="shared" si="201"/>
        <v>0</v>
      </c>
      <c r="CG188" s="476">
        <f t="shared" si="169"/>
        <v>0</v>
      </c>
      <c r="CH188" s="487">
        <f t="shared" si="202"/>
        <v>0</v>
      </c>
      <c r="CI188" s="756">
        <f t="shared" si="203"/>
        <v>0</v>
      </c>
      <c r="CJ188" s="487">
        <f>IF(CT188&gt;0.4,0,IF(AND(AU188=2,CH188=0,CT188=0.5,ER188=100),35,IF(AND(AU188=3,BB188&gt;75,CH188=0,CT188=0.5,ER188=100),25,IF(CB188&gt;1,0,IF(EF188&gt;EE188,0,IF(AND(AF188&gt;1,CH188=100),0,IF(AND(AF188=1,AY188=0),0,IF(AND(EF188&lt;=EE188,AW188&gt;=AZ188,'Data Entry'!$C$74=1,AU188=2),VLOOKUP(W188,$DO$96:$DP$102,2,FALSE),IF(AND(EF188&lt;=EE188,AW188&gt;=AZ188,AU188=3,'Data Entry'!$C$74=1),VLOOKUP(W188,$DO$127:$DP$134,2,FALSE))))))))))</f>
        <v>0</v>
      </c>
      <c r="CK188" s="716">
        <f t="shared" si="204"/>
        <v>0</v>
      </c>
      <c r="CL188" s="57">
        <f t="shared" si="205"/>
        <v>0</v>
      </c>
      <c r="CM188" s="475">
        <f t="shared" si="231"/>
        <v>0</v>
      </c>
      <c r="CN188" s="660">
        <f>IF(CM188&lt;0.1,0,IF(ISNA(AT188),0,IF(CL188+BC188=1,0,IF(BV188&gt;0.01,0,IF(CL188&gt;0.01,0,IF(CF188=1,0,IF(BC188=0.5,0,IF(AND(CI188=1,AU188=3),0,IF(AND(CI188=5,CL188=0),0,IF(AND(R188=12,BR188=50),0,IF(CK188&gt;0.01,0,IF(AND(AJ188&gt;0.01,AU188=2,BC188=15),CM188*0.1,IF(AND(AJ188&gt;0.01,AU188=3,BC188=15),CM188*0.08,IF(AND(R188=12,BC188=3,AF188&lt;=0),0,IF(AND(BC188=15,BI188=0),0,IF(AND(BC188=15,BJ188=0),0,IF(AND(R188=20,CU188=0),0,IF($X$4=0,0,IF(AND(BC188=250,CL188=0),0,IF(AA188&lt;1,0,IF(AND(ISNUMBER(SEARCH("Area",T188)),AU188=3),0,IF(AND(AQ188&gt;0.01,AR188=0,BK188=0,BL188=0,BM188=0,BN188=0),0,IF(AND(AU188=3,CI188=7,CT188&gt;0.5),0,IF(AND(BC188=44,AU188=3,BY188=0),0,IF(AND(BC188=27,'Data Entry'!$C$74=2),0,IF(AND(BC188=28,'Data Entry'!$C$74=2),0,IF(AND(BY188+BZ188+CA188&gt;0.01,BV188=0,EQ188+ER188+ES188+ET188&lt;100),0,IF(AU188=3,CM188*0.08,IF(AU188=2,CM188*0.1,0)))))))))))))))))))))))))))))</f>
        <v>0</v>
      </c>
      <c r="CO188" s="660">
        <f t="shared" si="206"/>
        <v>0</v>
      </c>
      <c r="CP188" s="475" t="str">
        <f t="shared" si="207"/>
        <v/>
      </c>
      <c r="CQ188" s="161" t="str">
        <f>IF(AH188=0,0,IF(AU188=5,0,Summary!AC191))</f>
        <v/>
      </c>
      <c r="CR188" s="161" t="str">
        <f>IF(BF188=0.5,0,IF(AU188=5,0,Summary!AD191))</f>
        <v/>
      </c>
      <c r="CS188" s="161" t="str">
        <f>IF(AU188=5,0,Summary!AE191)</f>
        <v/>
      </c>
      <c r="CT188" s="161">
        <f t="shared" si="208"/>
        <v>0</v>
      </c>
      <c r="CU188" s="475" t="str">
        <f t="shared" si="209"/>
        <v/>
      </c>
      <c r="CV188" s="307">
        <f>IF('Data Entry'!$C$74=0,0,IF(AA188&lt;1,0,IF(ISERROR(CU188),0,IF(CF188=1,0,IF(AND(R188=12,BR188=50),0,IF(CL188+BO188+BV188+DC188=0,0,IF(BC188=37,0,IF(AND(BC188=40,AJ188=0),0,IF(AND(BC188=37,BO188&gt;0.01,BQ188&gt;0.01),ROUND(BQ188,0),IF(CM188&lt;0,0,ROUND(CM188,0)))))))))))</f>
        <v>0</v>
      </c>
      <c r="CW188" s="700">
        <f t="shared" si="210"/>
        <v>0</v>
      </c>
      <c r="CX188" s="477">
        <f>IF('Data Entry'!$C$74=0,0,IF(CV188&lt;0.01,0,IF(BF188=0.5,0,IF(CF188=1,0,IF(ISNUMBER(SEARCH("false",CL188)),0,IF(AZ188=500,0,CL188))))))</f>
        <v>0</v>
      </c>
      <c r="CY188" s="147" t="e">
        <f t="shared" si="211"/>
        <v>#VALUE!</v>
      </c>
      <c r="CZ188" s="147" t="b">
        <f>IF(CN188+CL188=0,FALSE,IF(AH188=0,0,IF(AND('Data Entry'!$C$74=1,CR188&gt;=1),TRUE,IF(AND('Data Entry'!$C$74=2,CS188&gt;=1),TRUE,FALSE))))</f>
        <v>0</v>
      </c>
      <c r="DA188" s="1751">
        <f>IF('Data Entry'!$C$74=0,0,IFERROR(ROUND(IF(T188="","",IF($X$4=0,0,IF(CF188=1,0,IF(BQ188+CV188=0,0,IF(CF188=1,0,IF(CY188&gt;0.01,CY188,IF(CL188&gt;0.01,CL188,IF(CY188&gt;0.01,CY188,IF(BC188=37,BO188,IF(CZ188=FALSE,0,IF(CZ188=TRUE,DC188+DF188,0))))))))))),2),""))</f>
        <v>0</v>
      </c>
      <c r="DB188" s="1752"/>
      <c r="DC188" s="474">
        <f>IF(CN188&lt;0.01,0,IF(AND(BR188=3,CN188&gt;0.01,CT188&gt;0.6,ER188+ES188+ET188&lt;100),0,IF(AND('Data Entry'!$C$74=1,CN188&gt;0.01,CR188&gt;0.99),MIN(CN188:CO188),IF(AND('Data Entry'!$C$74=2,CN188&gt;0.01,CS188&gt;0.99),MIN(CN188:CO188),0))))</f>
        <v>0</v>
      </c>
      <c r="DD188" s="478">
        <f>IF(CF188=1,"Selection does not match",IF(T188=0,0,IF(AND('Data Entry'!$C$74=0,CP188&gt;1),"Select Oregon or Idaho on Data Entry Tab",IF(AND(AU188=1,AA188&gt;0.9),"Missing Interior or Exterior Selection",IF($X$4=0,"Enter Total Project Cost",IF(AQ188&lt;AR188,"Insufficient kWh savings – no incentive",IF(AND(SUM(CL188+CK188+BV188)&gt;0.01,'Data Entry'!$C$74=2,CJ188&gt;1,BO188=0),"Submit Control as Non-Standard",IF(AND('Data Entry'!$C$74=2,BR188=37,CJ188&gt;1,BO188=0),"Submit Control as Non-Standard",IF(SUM(CL188+CK188+BV188)&gt;0.01,"Standard Incentive",IF(AND('Data Entry'!$C$74=2,CP188=7,CN188=0),"Submit as Non-Standard",IF(DC188&gt;0.9,"Non-Standard Incentive",IF(AND(BY188+BZ188+CA188&gt;0.01,BV188=0,EQ188=0,ER188=0,ES188=0,ET188=0),"Scroll Right &amp; Select Control Strategies",IF(AND(CN188&gt;0.01,CO188=0),"Enter Unit Installed Cost",IF(ISNUMBER(SEARCH("Lighting Controls Only",F188)),"Lighting Controls Only",IF(CL188+DC188=0,"Does not meet incentive criteria",0)))))))))))))))</f>
        <v>0</v>
      </c>
      <c r="DE188" s="337">
        <f t="shared" si="212"/>
        <v>0</v>
      </c>
      <c r="DF188" s="609">
        <f t="shared" si="213"/>
        <v>0</v>
      </c>
      <c r="DG188" s="336" t="str">
        <f t="shared" si="214"/>
        <v/>
      </c>
      <c r="DH188" s="338">
        <f t="shared" si="215"/>
        <v>1</v>
      </c>
      <c r="DI188" s="336" t="e">
        <f t="shared" si="170"/>
        <v>#VALUE!</v>
      </c>
      <c r="DJ188" s="1142">
        <f t="shared" si="171"/>
        <v>0</v>
      </c>
      <c r="DK188" s="361"/>
      <c r="DL188" s="329"/>
      <c r="DM188" s="1090" t="s">
        <v>1602</v>
      </c>
      <c r="DN188" s="863">
        <f>'Data Entry'!AB57*0.9</f>
        <v>0</v>
      </c>
      <c r="DO188" s="331"/>
      <c r="DP188" s="332"/>
      <c r="DQ188" s="331"/>
      <c r="DS188" s="1195">
        <f t="shared" si="216"/>
        <v>0</v>
      </c>
      <c r="DT188" s="344" t="b">
        <f t="shared" si="217"/>
        <v>1</v>
      </c>
      <c r="DU188" s="1314" t="str">
        <f t="array" ref="DU188">IF(OR(COUNTIF(F188,"*"&amp;$DK$9:$DK$178&amp;"*")), "Yes", "")</f>
        <v/>
      </c>
      <c r="DV188" s="1314">
        <f t="shared" si="218"/>
        <v>0</v>
      </c>
      <c r="DW188" s="1480">
        <f t="shared" si="219"/>
        <v>0</v>
      </c>
      <c r="DX188" s="1498">
        <f t="shared" si="228"/>
        <v>0</v>
      </c>
      <c r="DY188" s="1484">
        <f t="shared" si="220"/>
        <v>0</v>
      </c>
      <c r="DZ188" s="331"/>
      <c r="EA188" s="392"/>
      <c r="EB188" s="1499" t="s">
        <v>134</v>
      </c>
      <c r="EC188" s="727" t="s">
        <v>1569</v>
      </c>
      <c r="ED188" s="728">
        <v>0.5</v>
      </c>
      <c r="EE188" s="1215"/>
      <c r="EF188" s="1215"/>
      <c r="EG188" s="1184" t="str">
        <f t="shared" si="221"/>
        <v/>
      </c>
      <c r="EH188" s="55"/>
      <c r="EI188" s="55"/>
      <c r="EJ188" s="1185">
        <f t="shared" si="172"/>
        <v>0</v>
      </c>
      <c r="EK188" s="1211"/>
      <c r="EL188" s="1180">
        <f t="shared" si="173"/>
        <v>0</v>
      </c>
      <c r="EM188" s="206"/>
      <c r="EN188" s="1038"/>
      <c r="EO188" s="1038"/>
      <c r="EP188" s="1038"/>
      <c r="EQ188" s="1038">
        <f t="shared" si="222"/>
        <v>0</v>
      </c>
      <c r="ER188" s="1041">
        <f t="shared" si="223"/>
        <v>0</v>
      </c>
      <c r="ES188" s="1042">
        <f t="shared" si="224"/>
        <v>0</v>
      </c>
      <c r="ET188" s="1042">
        <f t="shared" si="229"/>
        <v>0</v>
      </c>
      <c r="EU188" s="1021">
        <f t="shared" si="230"/>
        <v>0</v>
      </c>
      <c r="EV188" s="368"/>
      <c r="EW188" s="368"/>
      <c r="EX188" s="369"/>
      <c r="EY188" s="370"/>
      <c r="EZ188" s="370"/>
      <c r="FA188" s="371"/>
      <c r="FB188" s="372"/>
    </row>
    <row r="189" spans="1:158" ht="34.5" customHeight="1">
      <c r="A189" s="82">
        <v>181</v>
      </c>
      <c r="B189" s="1725"/>
      <c r="C189" s="1726"/>
      <c r="D189" s="1726"/>
      <c r="E189" s="1727"/>
      <c r="F189" s="1732"/>
      <c r="G189" s="1733"/>
      <c r="H189" s="1733"/>
      <c r="I189" s="1734"/>
      <c r="J189" s="1341"/>
      <c r="K189" s="1728"/>
      <c r="L189" s="1728"/>
      <c r="M189" s="1342"/>
      <c r="N189" s="1583"/>
      <c r="O189" s="208" t="str">
        <f t="shared" si="160"/>
        <v/>
      </c>
      <c r="P189" s="785"/>
      <c r="Q189" s="39" t="str">
        <f t="shared" si="161"/>
        <v/>
      </c>
      <c r="R189" s="39">
        <f t="shared" si="174"/>
        <v>0</v>
      </c>
      <c r="S189" s="234">
        <f t="shared" si="175"/>
        <v>0</v>
      </c>
      <c r="T189" s="1755"/>
      <c r="U189" s="1755"/>
      <c r="V189" s="1755"/>
      <c r="W189" s="1345"/>
      <c r="X189" s="1741"/>
      <c r="Y189" s="1742"/>
      <c r="Z189" s="1346"/>
      <c r="AA189" s="1343"/>
      <c r="AB189" s="1141"/>
      <c r="AC189" s="1103" t="str">
        <f>IF(T189="","",VLOOKUP(Z189,Lists!$A$60:$B$111,2,FALSE))</f>
        <v/>
      </c>
      <c r="AD189" s="130" t="str">
        <f t="shared" si="176"/>
        <v/>
      </c>
      <c r="AE189" s="130" t="e">
        <f t="shared" si="177"/>
        <v>#VALUE!</v>
      </c>
      <c r="AF189" s="130">
        <f t="shared" si="178"/>
        <v>1</v>
      </c>
      <c r="AG189" s="234">
        <f t="shared" si="162"/>
        <v>0</v>
      </c>
      <c r="AH189" s="1753" t="str">
        <f>IF(T189="","",(IF(ISNUMBER(SEARCH("exit",T189)),8760,IF(AND(M189="Dusk to Dawn",'Proposed Lighting'!AU189=3),4059,IF(AND(AU189=3,M189="1"),0,IF(AND(AU189=3,M189="1-C"),0,IF(AND(AU189=3,M189="2"),0,IF(AND(AU189=3,M189="2-C"),0,IF(AND(AU189=3,M189="3"),0,IF(AND(AU189=3,M189="3-C"),0,IF(AND(AU189=2,M189="Dusk to Dawn"),0,IF(AND(AU189=2,M189="Dusk to Dawn-C"),0,IF(AND(AU189=2,M189="Dusk to Dawn"),0,IF(AND(AU189=2,M189="E"),0,IF(AND(AU189=2,M189="E-C"),0,EG189)))))))))))))))</f>
        <v/>
      </c>
      <c r="AI189" s="1754"/>
      <c r="AJ189" s="1136"/>
      <c r="AK189" s="1136"/>
      <c r="AL189" s="1748">
        <f t="shared" si="179"/>
        <v>0</v>
      </c>
      <c r="AM189" s="1749"/>
      <c r="AN189" s="1750"/>
      <c r="AO189" s="476">
        <f t="shared" si="163"/>
        <v>0</v>
      </c>
      <c r="AP189" s="476">
        <f t="shared" si="180"/>
        <v>0</v>
      </c>
      <c r="AQ189" s="475">
        <f t="shared" si="164"/>
        <v>0</v>
      </c>
      <c r="AR189" s="475">
        <f t="shared" si="181"/>
        <v>0</v>
      </c>
      <c r="AS189" s="743" t="str">
        <f t="shared" si="233"/>
        <v/>
      </c>
      <c r="AT189" s="736" t="str">
        <f t="shared" si="182"/>
        <v/>
      </c>
      <c r="AU189" s="56">
        <f t="shared" si="183"/>
        <v>1</v>
      </c>
      <c r="AV189" s="476">
        <f t="shared" si="184"/>
        <v>0</v>
      </c>
      <c r="AW189" s="56">
        <f t="shared" si="185"/>
        <v>0</v>
      </c>
      <c r="AX189" s="475">
        <f t="shared" si="165"/>
        <v>0</v>
      </c>
      <c r="AY189" s="1169">
        <f t="shared" si="186"/>
        <v>0</v>
      </c>
      <c r="AZ189" s="1150">
        <f t="shared" si="225"/>
        <v>0</v>
      </c>
      <c r="BA189" s="56">
        <f t="shared" si="166"/>
        <v>0</v>
      </c>
      <c r="BB189" s="420">
        <f t="shared" si="167"/>
        <v>0</v>
      </c>
      <c r="BC189" s="58" t="str">
        <f t="shared" si="168"/>
        <v/>
      </c>
      <c r="BD189" s="660">
        <f t="shared" si="226"/>
        <v>0</v>
      </c>
      <c r="BE189" s="57" t="e">
        <f t="array" ref="BE189">INDEX($EB$11:$ED$1022,MATCH(F189&amp;T189,$EB$11:$EB$1007&amp;$EC$11:$EC$1007,0),3)</f>
        <v>#N/A</v>
      </c>
      <c r="BF189" s="463">
        <f t="shared" si="234"/>
        <v>0</v>
      </c>
      <c r="BG189" s="1445" t="e">
        <f t="array" ref="BG189">INDEX($DO$112:$DQ$123,MATCH(T189&amp;W189,$DO$114:$DO$125&amp;$DP$112:$DP$123,0),3)</f>
        <v>#N/A</v>
      </c>
      <c r="BH189" s="1446">
        <f t="shared" si="187"/>
        <v>0</v>
      </c>
      <c r="BI189" s="465">
        <f t="shared" si="188"/>
        <v>0</v>
      </c>
      <c r="BJ189" s="465">
        <f t="shared" si="189"/>
        <v>0</v>
      </c>
      <c r="BK189" s="466">
        <f t="shared" si="235"/>
        <v>0</v>
      </c>
      <c r="BL189" s="466">
        <f t="shared" si="236"/>
        <v>0</v>
      </c>
      <c r="BM189" s="466">
        <f t="shared" si="190"/>
        <v>0</v>
      </c>
      <c r="BN189" s="466">
        <f t="shared" si="191"/>
        <v>0</v>
      </c>
      <c r="BO189" s="463">
        <f>IF('Data Entry'!$C$74=0,0,IF(ISNA(CJ189),0,IF(AX189=0,0,IF(AND('Data Entry'!$C$74=2,AF189&gt;2,CE189&lt;1),0,IF(AND('Data Entry'!$C$74=2,AF189&gt;1,AU189=2,CJ189&gt;1),0,IF(AND(AF189=5,CT189=0.5,AU189=2,ER189&lt;100),0,IF(AND(AF189=5,CT189=0.5,AU189=3,ER189&lt;100),0,IF(AND('Data Entry'!$C$74=2,AF189=2,AU189=2,AK189&gt;0.01,CB189=2,CE189&lt;1),0,IF(AND('Data Entry'!$C$74=2,AF189=3,AU189=3,AK189&gt;0.01,CB189=3,CE189&lt;1),0,IF(AND('Data Entry'!$C$74=2,AF189=3,AU189=3,AK189&gt;0.01,CB189=3,CE189&gt;0.99),BQ189*0.08,IF(AND('Data Entry'!$C$74=2,AF189=2,AU189=2,AK189&gt;0.01,CB189=2,CE189&gt;0.99),BQ189*0.1,IF(AND(AU189=2,AK189&gt;0.01,CB189=2,CD189&gt;1),BQ189*0.1,IF(AND(AU189=3,AK189&gt;0.01,CB189=3,CD189&gt;1),BQ189*0.08,CJ189*EF189)))))))))))))</f>
        <v>0</v>
      </c>
      <c r="BP189" s="475">
        <f t="shared" si="192"/>
        <v>0</v>
      </c>
      <c r="BQ189" s="1431">
        <f>IF(AU189=1,0,IF(CH189=100,0,IF(AND(AF189=3,AU189=2),0,IF(AND(BH189=0,CT189&gt;0.4),0,IF(AND('Data Entry'!$C$74=2,AF189=1.5),0,IF(AND('Data Entry'!$C$74=2,AF189=1.6),0,IF(AND('Data Entry'!$C$74=2,AF189=4),0,IF(AND('Data Entry'!$C$74=2,AF189=5),0,IF(AND('Data Entry'!$C$74=2,AF189=2.5,CE189&lt;1),0,IF(AND('Data Entry'!$C$74=2,AF189=3,CE189&lt;1),0,IF(AND('Data Entry'!$C$74=1,AF189=2.5,CD189&lt;1),0,IF(AND('Data Entry'!$C$74=1,AF189=3,CD189&lt;1),0,IF(DX189&gt;0.01,DX189,IF(ISERROR(AX189-AY189),"",ROUND(AX189-AY189,2)))))))))))))))</f>
        <v>0</v>
      </c>
      <c r="BR189" s="146">
        <f t="shared" si="193"/>
        <v>0</v>
      </c>
      <c r="BS189" s="475">
        <f t="shared" si="194"/>
        <v>0</v>
      </c>
      <c r="BT189" s="146" t="b">
        <f t="shared" si="195"/>
        <v>0</v>
      </c>
      <c r="BU189" s="463">
        <f>IF(ISNA(AT189),0,IF(AND('Data Entry'!$C$74=2,BC189=27),0,IF(AND('Data Entry'!$C$74=2,BC189=28),0,IF(AND(BC189=27,BT189=27,CM189&gt;0.1),CM189*0.15,IF(AND(BC189=28,BT189=28,CM189&gt;0.1),CM189*0.12,0)))))</f>
        <v>0</v>
      </c>
      <c r="BV189" s="463">
        <f t="shared" si="232"/>
        <v>0</v>
      </c>
      <c r="BW189" s="463">
        <f t="shared" si="196"/>
        <v>0</v>
      </c>
      <c r="BX189" s="463">
        <f t="shared" si="197"/>
        <v>0</v>
      </c>
      <c r="BY189" s="463">
        <f t="shared" si="198"/>
        <v>0</v>
      </c>
      <c r="BZ189" s="463">
        <f t="shared" si="199"/>
        <v>0</v>
      </c>
      <c r="CA189" s="57">
        <f t="shared" si="227"/>
        <v>0</v>
      </c>
      <c r="CB189" s="56">
        <f t="shared" si="200"/>
        <v>1</v>
      </c>
      <c r="CC189" s="756">
        <f>IF(EE189=0,0,IF(EF189=0,0,IF(EE189&gt;AA189,0,IF(AND(AZ189&gt;AW189,AW189&gt;0),0,IF(CU189=0,0,Summary!AC492)))))</f>
        <v>0</v>
      </c>
      <c r="CD189" s="756">
        <f>IF(EE189=0,0,IF(EF189=0,0,IF(EE189&gt;AA189,0,IF(AND(AZ189&gt;AW189,AW189&gt;0),0,IF(CU189=0,0,Summary!AD492)))))</f>
        <v>0</v>
      </c>
      <c r="CE189" s="756">
        <f>IF(EF189=0,0,IF(EE189&gt;AA189,0,IF(CC189=0,0,IF(AND(AZ189&gt;AW189,AW189&gt;0),0,IF(CU189=0,0,Summary!AE492)))))</f>
        <v>0</v>
      </c>
      <c r="CF189" s="475">
        <f t="shared" si="201"/>
        <v>0</v>
      </c>
      <c r="CG189" s="476">
        <f t="shared" si="169"/>
        <v>0</v>
      </c>
      <c r="CH189" s="487">
        <f t="shared" si="202"/>
        <v>0</v>
      </c>
      <c r="CI189" s="756">
        <f t="shared" si="203"/>
        <v>0</v>
      </c>
      <c r="CJ189" s="487">
        <f>IF(CT189&gt;0.4,0,IF(AND(AU189=2,CH189=0,CT189=0.5,ER189=100),35,IF(AND(AU189=3,BB189&gt;75,CH189=0,CT189=0.5,ER189=100),25,IF(CB189&gt;1,0,IF(EF189&gt;EE189,0,IF(AND(AF189&gt;1,CH189=100),0,IF(AND(AF189=1,AY189=0),0,IF(AND(EF189&lt;=EE189,AW189&gt;=AZ189,'Data Entry'!$C$74=1,AU189=2),VLOOKUP(W189,$DO$96:$DP$102,2,FALSE),IF(AND(EF189&lt;=EE189,AW189&gt;=AZ189,AU189=3,'Data Entry'!$C$74=1),VLOOKUP(W189,$DO$127:$DP$134,2,FALSE))))))))))</f>
        <v>0</v>
      </c>
      <c r="CK189" s="716">
        <f t="shared" si="204"/>
        <v>0</v>
      </c>
      <c r="CL189" s="57">
        <f t="shared" si="205"/>
        <v>0</v>
      </c>
      <c r="CM189" s="475">
        <f t="shared" si="231"/>
        <v>0</v>
      </c>
      <c r="CN189" s="660">
        <f>IF(CM189&lt;0.1,0,IF(ISNA(AT189),0,IF(CL189+BC189=1,0,IF(BV189&gt;0.01,0,IF(CL189&gt;0.01,0,IF(CF189=1,0,IF(BC189=0.5,0,IF(AND(CI189=1,AU189=3),0,IF(AND(CI189=5,CL189=0),0,IF(AND(R189=12,BR189=50),0,IF(CK189&gt;0.01,0,IF(AND(AJ189&gt;0.01,AU189=2,BC189=15),CM189*0.1,IF(AND(AJ189&gt;0.01,AU189=3,BC189=15),CM189*0.08,IF(AND(R189=12,BC189=3,AF189&lt;=0),0,IF(AND(BC189=15,BI189=0),0,IF(AND(BC189=15,BJ189=0),0,IF(AND(R189=20,CU189=0),0,IF($X$4=0,0,IF(AND(BC189=250,CL189=0),0,IF(AA189&lt;1,0,IF(AND(ISNUMBER(SEARCH("Area",T189)),AU189=3),0,IF(AND(AQ189&gt;0.01,AR189=0,BK189=0,BL189=0,BM189=0,BN189=0),0,IF(AND(AU189=3,CI189=7,CT189&gt;0.5),0,IF(AND(BC189=44,AU189=3,BY189=0),0,IF(AND(BC189=27,'Data Entry'!$C$74=2),0,IF(AND(BC189=28,'Data Entry'!$C$74=2),0,IF(AND(BY189+BZ189+CA189&gt;0.01,BV189=0,EQ189+ER189+ES189+ET189&lt;100),0,IF(AU189=3,CM189*0.08,IF(AU189=2,CM189*0.1,0)))))))))))))))))))))))))))))</f>
        <v>0</v>
      </c>
      <c r="CO189" s="660">
        <f t="shared" si="206"/>
        <v>0</v>
      </c>
      <c r="CP189" s="475" t="str">
        <f t="shared" si="207"/>
        <v/>
      </c>
      <c r="CQ189" s="161" t="str">
        <f>IF(AH189=0,0,IF(AU189=5,0,Summary!AC192))</f>
        <v/>
      </c>
      <c r="CR189" s="161" t="str">
        <f>IF(BF189=0.5,0,IF(AU189=5,0,Summary!AD192))</f>
        <v/>
      </c>
      <c r="CS189" s="161" t="str">
        <f>IF(AU189=5,0,Summary!AE192)</f>
        <v/>
      </c>
      <c r="CT189" s="161">
        <f t="shared" si="208"/>
        <v>0</v>
      </c>
      <c r="CU189" s="475" t="str">
        <f t="shared" si="209"/>
        <v/>
      </c>
      <c r="CV189" s="307">
        <f>IF('Data Entry'!$C$74=0,0,IF(AA189&lt;1,0,IF(ISERROR(CU189),0,IF(CF189=1,0,IF(AND(R189=12,BR189=50),0,IF(CL189+BO189+BV189+DC189=0,0,IF(BC189=37,0,IF(AND(BC189=40,AJ189=0),0,IF(AND(BC189=37,BO189&gt;0.01,BQ189&gt;0.01),ROUND(BQ189,0),IF(CM189&lt;0,0,ROUND(CM189,0)))))))))))</f>
        <v>0</v>
      </c>
      <c r="CW189" s="700">
        <f t="shared" si="210"/>
        <v>0</v>
      </c>
      <c r="CX189" s="477">
        <f>IF('Data Entry'!$C$74=0,0,IF(CV189&lt;0.01,0,IF(BF189=0.5,0,IF(CF189=1,0,IF(ISNUMBER(SEARCH("false",CL189)),0,IF(AZ189=500,0,CL189))))))</f>
        <v>0</v>
      </c>
      <c r="CY189" s="147" t="e">
        <f t="shared" si="211"/>
        <v>#VALUE!</v>
      </c>
      <c r="CZ189" s="147" t="b">
        <f>IF(CN189+CL189=0,FALSE,IF(AH189=0,0,IF(AND('Data Entry'!$C$74=1,CR189&gt;=1),TRUE,IF(AND('Data Entry'!$C$74=2,CS189&gt;=1),TRUE,FALSE))))</f>
        <v>0</v>
      </c>
      <c r="DA189" s="1751">
        <f>IF('Data Entry'!$C$74=0,0,IFERROR(ROUND(IF(T189="","",IF($X$4=0,0,IF(CF189=1,0,IF(BQ189+CV189=0,0,IF(CF189=1,0,IF(CY189&gt;0.01,CY189,IF(CL189&gt;0.01,CL189,IF(CY189&gt;0.01,CY189,IF(BC189=37,BO189,IF(CZ189=FALSE,0,IF(CZ189=TRUE,DC189+DF189,0))))))))))),2),""))</f>
        <v>0</v>
      </c>
      <c r="DB189" s="1752"/>
      <c r="DC189" s="474">
        <f>IF(CN189&lt;0.01,0,IF(AND(BR189=3,CN189&gt;0.01,CT189&gt;0.6,ER189+ES189+ET189&lt;100),0,IF(AND('Data Entry'!$C$74=1,CN189&gt;0.01,CR189&gt;0.99),MIN(CN189:CO189),IF(AND('Data Entry'!$C$74=2,CN189&gt;0.01,CS189&gt;0.99),MIN(CN189:CO189),0))))</f>
        <v>0</v>
      </c>
      <c r="DD189" s="478">
        <f>IF(CF189=1,"Selection does not match",IF(T189=0,0,IF(AND('Data Entry'!$C$74=0,CP189&gt;1),"Select Oregon or Idaho on Data Entry Tab",IF(AND(AU189=1,AA189&gt;0.9),"Missing Interior or Exterior Selection",IF($X$4=0,"Enter Total Project Cost",IF(AQ189&lt;AR189,"Insufficient kWh savings – no incentive",IF(AND(SUM(CL189+CK189+BV189)&gt;0.01,'Data Entry'!$C$74=2,CJ189&gt;1,BO189=0),"Submit Control as Non-Standard",IF(AND('Data Entry'!$C$74=2,BR189=37,CJ189&gt;1,BO189=0),"Submit Control as Non-Standard",IF(SUM(CL189+CK189+BV189)&gt;0.01,"Standard Incentive",IF(AND('Data Entry'!$C$74=2,CP189=7,CN189=0),"Submit as Non-Standard",IF(DC189&gt;0.9,"Non-Standard Incentive",IF(AND(BY189+BZ189+CA189&gt;0.01,BV189=0,EQ189=0,ER189=0,ES189=0,ET189=0),"Scroll Right &amp; Select Control Strategies",IF(AND(CN189&gt;0.01,CO189=0),"Enter Unit Installed Cost",IF(ISNUMBER(SEARCH("Lighting Controls Only",F189)),"Lighting Controls Only",IF(CL189+DC189=0,"Does not meet incentive criteria",0)))))))))))))))</f>
        <v>0</v>
      </c>
      <c r="DE189" s="337">
        <f t="shared" si="212"/>
        <v>0</v>
      </c>
      <c r="DF189" s="609">
        <f t="shared" si="213"/>
        <v>0</v>
      </c>
      <c r="DG189" s="336" t="str">
        <f t="shared" si="214"/>
        <v/>
      </c>
      <c r="DH189" s="338">
        <f t="shared" si="215"/>
        <v>1</v>
      </c>
      <c r="DI189" s="336" t="e">
        <f t="shared" si="170"/>
        <v>#VALUE!</v>
      </c>
      <c r="DJ189" s="1142">
        <f t="shared" si="171"/>
        <v>0</v>
      </c>
      <c r="DK189" s="361"/>
      <c r="DL189" s="332"/>
      <c r="DM189" s="1090" t="s">
        <v>1102</v>
      </c>
      <c r="DN189" s="863">
        <f>'Data Entry'!W64</f>
        <v>0</v>
      </c>
      <c r="DO189" s="331"/>
      <c r="DP189" s="332"/>
      <c r="DQ189" s="361"/>
      <c r="DS189" s="1195">
        <f t="shared" si="216"/>
        <v>0</v>
      </c>
      <c r="DT189" s="344" t="b">
        <f t="shared" si="217"/>
        <v>1</v>
      </c>
      <c r="DU189" s="1314" t="str">
        <f t="array" ref="DU189">IF(OR(COUNTIF(F189,"*"&amp;$DK$9:$DK$178&amp;"*")), "Yes", "")</f>
        <v/>
      </c>
      <c r="DV189" s="1314">
        <f t="shared" si="218"/>
        <v>0</v>
      </c>
      <c r="DW189" s="1480">
        <f t="shared" si="219"/>
        <v>0</v>
      </c>
      <c r="DX189" s="1498">
        <f t="shared" si="228"/>
        <v>0</v>
      </c>
      <c r="DY189" s="1484">
        <f t="shared" si="220"/>
        <v>0</v>
      </c>
      <c r="DZ189" s="331"/>
      <c r="EA189" s="392"/>
      <c r="EB189" s="1499" t="s">
        <v>187</v>
      </c>
      <c r="EC189" s="727" t="s">
        <v>1569</v>
      </c>
      <c r="ED189" s="728">
        <v>0.5</v>
      </c>
      <c r="EE189" s="1215"/>
      <c r="EF189" s="1215"/>
      <c r="EG189" s="1184" t="str">
        <f t="shared" si="221"/>
        <v/>
      </c>
      <c r="EH189" s="55"/>
      <c r="EI189" s="55"/>
      <c r="EJ189" s="1185">
        <f t="shared" si="172"/>
        <v>0</v>
      </c>
      <c r="EK189" s="1211"/>
      <c r="EL189" s="1180">
        <f t="shared" si="173"/>
        <v>0</v>
      </c>
      <c r="EM189" s="206"/>
      <c r="EN189" s="1038"/>
      <c r="EO189" s="1038"/>
      <c r="EP189" s="1038"/>
      <c r="EQ189" s="1038">
        <f t="shared" si="222"/>
        <v>0</v>
      </c>
      <c r="ER189" s="1041">
        <f t="shared" si="223"/>
        <v>0</v>
      </c>
      <c r="ES189" s="1042">
        <f t="shared" si="224"/>
        <v>0</v>
      </c>
      <c r="ET189" s="1042">
        <f t="shared" si="229"/>
        <v>0</v>
      </c>
      <c r="EU189" s="1021">
        <f t="shared" si="230"/>
        <v>0</v>
      </c>
      <c r="EV189" s="368"/>
      <c r="EW189" s="368"/>
      <c r="EX189" s="369"/>
      <c r="EY189" s="370"/>
      <c r="EZ189" s="370"/>
      <c r="FA189" s="371"/>
      <c r="FB189" s="372"/>
    </row>
    <row r="190" spans="1:158" ht="34.5" customHeight="1">
      <c r="A190" s="82">
        <v>182</v>
      </c>
      <c r="B190" s="1725"/>
      <c r="C190" s="1726"/>
      <c r="D190" s="1726"/>
      <c r="E190" s="1727"/>
      <c r="F190" s="1732"/>
      <c r="G190" s="1733"/>
      <c r="H190" s="1733"/>
      <c r="I190" s="1734"/>
      <c r="J190" s="1341"/>
      <c r="K190" s="1728"/>
      <c r="L190" s="1728"/>
      <c r="M190" s="1342"/>
      <c r="N190" s="1583"/>
      <c r="O190" s="208" t="str">
        <f t="shared" si="160"/>
        <v/>
      </c>
      <c r="P190" s="785"/>
      <c r="Q190" s="39" t="str">
        <f t="shared" si="161"/>
        <v/>
      </c>
      <c r="R190" s="39">
        <f t="shared" si="174"/>
        <v>0</v>
      </c>
      <c r="S190" s="234">
        <f t="shared" si="175"/>
        <v>0</v>
      </c>
      <c r="T190" s="1755"/>
      <c r="U190" s="1755"/>
      <c r="V190" s="1755"/>
      <c r="W190" s="1345"/>
      <c r="X190" s="1741"/>
      <c r="Y190" s="1742"/>
      <c r="Z190" s="1346"/>
      <c r="AA190" s="1343"/>
      <c r="AB190" s="1141"/>
      <c r="AC190" s="1103" t="str">
        <f>IF(T190="","",VLOOKUP(Z190,Lists!$A$60:$B$111,2,FALSE))</f>
        <v/>
      </c>
      <c r="AD190" s="130" t="str">
        <f t="shared" si="176"/>
        <v/>
      </c>
      <c r="AE190" s="130" t="e">
        <f t="shared" si="177"/>
        <v>#VALUE!</v>
      </c>
      <c r="AF190" s="130">
        <f t="shared" si="178"/>
        <v>1</v>
      </c>
      <c r="AG190" s="234">
        <f t="shared" si="162"/>
        <v>0</v>
      </c>
      <c r="AH190" s="1753" t="str">
        <f>IF(T190="","",(IF(ISNUMBER(SEARCH("exit",T190)),8760,IF(AND(M190="Dusk to Dawn",'Proposed Lighting'!AU190=3),4059,IF(AND(AU190=3,M190="1"),0,IF(AND(AU190=3,M190="1-C"),0,IF(AND(AU190=3,M190="2"),0,IF(AND(AU190=3,M190="2-C"),0,IF(AND(AU190=3,M190="3"),0,IF(AND(AU190=3,M190="3-C"),0,IF(AND(AU190=2,M190="Dusk to Dawn"),0,IF(AND(AU190=2,M190="Dusk to Dawn-C"),0,IF(AND(AU190=2,M190="Dusk to Dawn"),0,IF(AND(AU190=2,M190="E"),0,IF(AND(AU190=2,M190="E-C"),0,EG190)))))))))))))))</f>
        <v/>
      </c>
      <c r="AI190" s="1754"/>
      <c r="AJ190" s="1136"/>
      <c r="AK190" s="1136"/>
      <c r="AL190" s="1748">
        <f t="shared" si="179"/>
        <v>0</v>
      </c>
      <c r="AM190" s="1749"/>
      <c r="AN190" s="1750"/>
      <c r="AO190" s="476">
        <f t="shared" si="163"/>
        <v>0</v>
      </c>
      <c r="AP190" s="476">
        <f t="shared" si="180"/>
        <v>0</v>
      </c>
      <c r="AQ190" s="475">
        <f t="shared" si="164"/>
        <v>0</v>
      </c>
      <c r="AR190" s="475">
        <f t="shared" si="181"/>
        <v>0</v>
      </c>
      <c r="AS190" s="743" t="str">
        <f t="shared" si="233"/>
        <v/>
      </c>
      <c r="AT190" s="736" t="str">
        <f t="shared" si="182"/>
        <v/>
      </c>
      <c r="AU190" s="56">
        <f t="shared" si="183"/>
        <v>1</v>
      </c>
      <c r="AV190" s="476">
        <f t="shared" si="184"/>
        <v>0</v>
      </c>
      <c r="AW190" s="56">
        <f t="shared" si="185"/>
        <v>0</v>
      </c>
      <c r="AX190" s="475">
        <f t="shared" si="165"/>
        <v>0</v>
      </c>
      <c r="AY190" s="1169">
        <f t="shared" si="186"/>
        <v>0</v>
      </c>
      <c r="AZ190" s="1150">
        <f t="shared" si="225"/>
        <v>0</v>
      </c>
      <c r="BA190" s="56">
        <f t="shared" si="166"/>
        <v>0</v>
      </c>
      <c r="BB190" s="420">
        <f t="shared" si="167"/>
        <v>0</v>
      </c>
      <c r="BC190" s="58" t="str">
        <f t="shared" si="168"/>
        <v/>
      </c>
      <c r="BD190" s="660">
        <f t="shared" si="226"/>
        <v>0</v>
      </c>
      <c r="BE190" s="57" t="e">
        <f t="array" ref="BE190">INDEX($EB$11:$ED$1022,MATCH(F190&amp;T190,$EB$11:$EB$1007&amp;$EC$11:$EC$1007,0),3)</f>
        <v>#N/A</v>
      </c>
      <c r="BF190" s="463">
        <f t="shared" si="234"/>
        <v>0</v>
      </c>
      <c r="BG190" s="1445" t="e">
        <f t="array" ref="BG190">INDEX($DO$112:$DQ$123,MATCH(T190&amp;W190,$DO$114:$DO$125&amp;$DP$112:$DP$123,0),3)</f>
        <v>#N/A</v>
      </c>
      <c r="BH190" s="1446">
        <f t="shared" si="187"/>
        <v>0</v>
      </c>
      <c r="BI190" s="465">
        <f t="shared" si="188"/>
        <v>0</v>
      </c>
      <c r="BJ190" s="465">
        <f t="shared" si="189"/>
        <v>0</v>
      </c>
      <c r="BK190" s="466">
        <f t="shared" si="235"/>
        <v>0</v>
      </c>
      <c r="BL190" s="466">
        <f t="shared" si="236"/>
        <v>0</v>
      </c>
      <c r="BM190" s="466">
        <f t="shared" si="190"/>
        <v>0</v>
      </c>
      <c r="BN190" s="466">
        <f t="shared" si="191"/>
        <v>0</v>
      </c>
      <c r="BO190" s="463">
        <f>IF('Data Entry'!$C$74=0,0,IF(ISNA(CJ190),0,IF(AX190=0,0,IF(AND('Data Entry'!$C$74=2,AF190&gt;2,CE190&lt;1),0,IF(AND('Data Entry'!$C$74=2,AF190&gt;1,AU190=2,CJ190&gt;1),0,IF(AND(AF190=5,CT190=0.5,AU190=2,ER190&lt;100),0,IF(AND(AF190=5,CT190=0.5,AU190=3,ER190&lt;100),0,IF(AND('Data Entry'!$C$74=2,AF190=2,AU190=2,AK190&gt;0.01,CB190=2,CE190&lt;1),0,IF(AND('Data Entry'!$C$74=2,AF190=3,AU190=3,AK190&gt;0.01,CB190=3,CE190&lt;1),0,IF(AND('Data Entry'!$C$74=2,AF190=3,AU190=3,AK190&gt;0.01,CB190=3,CE190&gt;0.99),BQ190*0.08,IF(AND('Data Entry'!$C$74=2,AF190=2,AU190=2,AK190&gt;0.01,CB190=2,CE190&gt;0.99),BQ190*0.1,IF(AND(AU190=2,AK190&gt;0.01,CB190=2,CD190&gt;1),BQ190*0.1,IF(AND(AU190=3,AK190&gt;0.01,CB190=3,CD190&gt;1),BQ190*0.08,CJ190*EF190)))))))))))))</f>
        <v>0</v>
      </c>
      <c r="BP190" s="475">
        <f t="shared" si="192"/>
        <v>0</v>
      </c>
      <c r="BQ190" s="1431">
        <f>IF(AU190=1,0,IF(CH190=100,0,IF(AND(AF190=3,AU190=2),0,IF(AND(BH190=0,CT190&gt;0.4),0,IF(AND('Data Entry'!$C$74=2,AF190=1.5),0,IF(AND('Data Entry'!$C$74=2,AF190=1.6),0,IF(AND('Data Entry'!$C$74=2,AF190=4),0,IF(AND('Data Entry'!$C$74=2,AF190=5),0,IF(AND('Data Entry'!$C$74=2,AF190=2.5,CE190&lt;1),0,IF(AND('Data Entry'!$C$74=2,AF190=3,CE190&lt;1),0,IF(AND('Data Entry'!$C$74=1,AF190=2.5,CD190&lt;1),0,IF(AND('Data Entry'!$C$74=1,AF190=3,CD190&lt;1),0,IF(DX190&gt;0.01,DX190,IF(ISERROR(AX190-AY190),"",ROUND(AX190-AY190,2)))))))))))))))</f>
        <v>0</v>
      </c>
      <c r="BR190" s="146">
        <f t="shared" si="193"/>
        <v>0</v>
      </c>
      <c r="BS190" s="475">
        <f t="shared" si="194"/>
        <v>0</v>
      </c>
      <c r="BT190" s="146" t="b">
        <f t="shared" si="195"/>
        <v>0</v>
      </c>
      <c r="BU190" s="463">
        <f>IF(ISNA(AT190),0,IF(AND('Data Entry'!$C$74=2,BC190=27),0,IF(AND('Data Entry'!$C$74=2,BC190=28),0,IF(AND(BC190=27,BT190=27,CM190&gt;0.1),CM190*0.15,IF(AND(BC190=28,BT190=28,CM190&gt;0.1),CM190*0.12,0)))))</f>
        <v>0</v>
      </c>
      <c r="BV190" s="463">
        <f t="shared" si="232"/>
        <v>0</v>
      </c>
      <c r="BW190" s="463">
        <f t="shared" si="196"/>
        <v>0</v>
      </c>
      <c r="BX190" s="463">
        <f t="shared" si="197"/>
        <v>0</v>
      </c>
      <c r="BY190" s="463">
        <f t="shared" si="198"/>
        <v>0</v>
      </c>
      <c r="BZ190" s="463">
        <f t="shared" si="199"/>
        <v>0</v>
      </c>
      <c r="CA190" s="57">
        <f t="shared" si="227"/>
        <v>0</v>
      </c>
      <c r="CB190" s="56">
        <f t="shared" si="200"/>
        <v>1</v>
      </c>
      <c r="CC190" s="756">
        <f>IF(EE190=0,0,IF(EF190=0,0,IF(EE190&gt;AA190,0,IF(AND(AZ190&gt;AW190,AW190&gt;0),0,IF(CU190=0,0,Summary!AC493)))))</f>
        <v>0</v>
      </c>
      <c r="CD190" s="756">
        <f>IF(EE190=0,0,IF(EF190=0,0,IF(EE190&gt;AA190,0,IF(AND(AZ190&gt;AW190,AW190&gt;0),0,IF(CU190=0,0,Summary!AD493)))))</f>
        <v>0</v>
      </c>
      <c r="CE190" s="756">
        <f>IF(EF190=0,0,IF(EE190&gt;AA190,0,IF(CC190=0,0,IF(AND(AZ190&gt;AW190,AW190&gt;0),0,IF(CU190=0,0,Summary!AE493)))))</f>
        <v>0</v>
      </c>
      <c r="CF190" s="475">
        <f t="shared" si="201"/>
        <v>0</v>
      </c>
      <c r="CG190" s="476">
        <f t="shared" si="169"/>
        <v>0</v>
      </c>
      <c r="CH190" s="487">
        <f t="shared" si="202"/>
        <v>0</v>
      </c>
      <c r="CI190" s="756">
        <f t="shared" si="203"/>
        <v>0</v>
      </c>
      <c r="CJ190" s="487">
        <f>IF(CT190&gt;0.4,0,IF(AND(AU190=2,CH190=0,CT190=0.5,ER190=100),35,IF(AND(AU190=3,BB190&gt;75,CH190=0,CT190=0.5,ER190=100),25,IF(CB190&gt;1,0,IF(EF190&gt;EE190,0,IF(AND(AF190&gt;1,CH190=100),0,IF(AND(AF190=1,AY190=0),0,IF(AND(EF190&lt;=EE190,AW190&gt;=AZ190,'Data Entry'!$C$74=1,AU190=2),VLOOKUP(W190,$DO$96:$DP$102,2,FALSE),IF(AND(EF190&lt;=EE190,AW190&gt;=AZ190,AU190=3,'Data Entry'!$C$74=1),VLOOKUP(W190,$DO$127:$DP$134,2,FALSE))))))))))</f>
        <v>0</v>
      </c>
      <c r="CK190" s="716">
        <f t="shared" si="204"/>
        <v>0</v>
      </c>
      <c r="CL190" s="57">
        <f t="shared" si="205"/>
        <v>0</v>
      </c>
      <c r="CM190" s="475">
        <f t="shared" si="231"/>
        <v>0</v>
      </c>
      <c r="CN190" s="660">
        <f>IF(CM190&lt;0.1,0,IF(ISNA(AT190),0,IF(CL190+BC190=1,0,IF(BV190&gt;0.01,0,IF(CL190&gt;0.01,0,IF(CF190=1,0,IF(BC190=0.5,0,IF(AND(CI190=1,AU190=3),0,IF(AND(CI190=5,CL190=0),0,IF(AND(R190=12,BR190=50),0,IF(CK190&gt;0.01,0,IF(AND(AJ190&gt;0.01,AU190=2,BC190=15),CM190*0.1,IF(AND(AJ190&gt;0.01,AU190=3,BC190=15),CM190*0.08,IF(AND(R190=12,BC190=3,AF190&lt;=0),0,IF(AND(BC190=15,BI190=0),0,IF(AND(BC190=15,BJ190=0),0,IF(AND(R190=20,CU190=0),0,IF($X$4=0,0,IF(AND(BC190=250,CL190=0),0,IF(AA190&lt;1,0,IF(AND(ISNUMBER(SEARCH("Area",T190)),AU190=3),0,IF(AND(AQ190&gt;0.01,AR190=0,BK190=0,BL190=0,BM190=0,BN190=0),0,IF(AND(AU190=3,CI190=7,CT190&gt;0.5),0,IF(AND(BC190=44,AU190=3,BY190=0),0,IF(AND(BC190=27,'Data Entry'!$C$74=2),0,IF(AND(BC190=28,'Data Entry'!$C$74=2),0,IF(AND(BY190+BZ190+CA190&gt;0.01,BV190=0,EQ190+ER190+ES190+ET190&lt;100),0,IF(AU190=3,CM190*0.08,IF(AU190=2,CM190*0.1,0)))))))))))))))))))))))))))))</f>
        <v>0</v>
      </c>
      <c r="CO190" s="660">
        <f t="shared" si="206"/>
        <v>0</v>
      </c>
      <c r="CP190" s="475" t="str">
        <f t="shared" si="207"/>
        <v/>
      </c>
      <c r="CQ190" s="161" t="str">
        <f>IF(AH190=0,0,IF(AU190=5,0,Summary!AC193))</f>
        <v/>
      </c>
      <c r="CR190" s="161" t="str">
        <f>IF(BF190=0.5,0,IF(AU190=5,0,Summary!AD193))</f>
        <v/>
      </c>
      <c r="CS190" s="161" t="str">
        <f>IF(AU190=5,0,Summary!AE193)</f>
        <v/>
      </c>
      <c r="CT190" s="161">
        <f t="shared" si="208"/>
        <v>0</v>
      </c>
      <c r="CU190" s="475" t="str">
        <f t="shared" si="209"/>
        <v/>
      </c>
      <c r="CV190" s="307">
        <f>IF('Data Entry'!$C$74=0,0,IF(AA190&lt;1,0,IF(ISERROR(CU190),0,IF(CF190=1,0,IF(AND(R190=12,BR190=50),0,IF(CL190+BO190+BV190+DC190=0,0,IF(BC190=37,0,IF(AND(BC190=40,AJ190=0),0,IF(AND(BC190=37,BO190&gt;0.01,BQ190&gt;0.01),ROUND(BQ190,0),IF(CM190&lt;0,0,ROUND(CM190,0)))))))))))</f>
        <v>0</v>
      </c>
      <c r="CW190" s="700">
        <f t="shared" si="210"/>
        <v>0</v>
      </c>
      <c r="CX190" s="477">
        <f>IF('Data Entry'!$C$74=0,0,IF(CV190&lt;0.01,0,IF(BF190=0.5,0,IF(CF190=1,0,IF(ISNUMBER(SEARCH("false",CL190)),0,IF(AZ190=500,0,CL190))))))</f>
        <v>0</v>
      </c>
      <c r="CY190" s="147" t="e">
        <f t="shared" si="211"/>
        <v>#VALUE!</v>
      </c>
      <c r="CZ190" s="147" t="b">
        <f>IF(CN190+CL190=0,FALSE,IF(AH190=0,0,IF(AND('Data Entry'!$C$74=1,CR190&gt;=1),TRUE,IF(AND('Data Entry'!$C$74=2,CS190&gt;=1),TRUE,FALSE))))</f>
        <v>0</v>
      </c>
      <c r="DA190" s="1751">
        <f>IF('Data Entry'!$C$74=0,0,IFERROR(ROUND(IF(T190="","",IF($X$4=0,0,IF(CF190=1,0,IF(BQ190+CV190=0,0,IF(CF190=1,0,IF(CY190&gt;0.01,CY190,IF(CL190&gt;0.01,CL190,IF(CY190&gt;0.01,CY190,IF(BC190=37,BO190,IF(CZ190=FALSE,0,IF(CZ190=TRUE,DC190+DF190,0))))))))))),2),""))</f>
        <v>0</v>
      </c>
      <c r="DB190" s="1752"/>
      <c r="DC190" s="474">
        <f>IF(CN190&lt;0.01,0,IF(AND(BR190=3,CN190&gt;0.01,CT190&gt;0.6,ER190+ES190+ET190&lt;100),0,IF(AND('Data Entry'!$C$74=1,CN190&gt;0.01,CR190&gt;0.99),MIN(CN190:CO190),IF(AND('Data Entry'!$C$74=2,CN190&gt;0.01,CS190&gt;0.99),MIN(CN190:CO190),0))))</f>
        <v>0</v>
      </c>
      <c r="DD190" s="478">
        <f>IF(CF190=1,"Selection does not match",IF(T190=0,0,IF(AND('Data Entry'!$C$74=0,CP190&gt;1),"Select Oregon or Idaho on Data Entry Tab",IF(AND(AU190=1,AA190&gt;0.9),"Missing Interior or Exterior Selection",IF($X$4=0,"Enter Total Project Cost",IF(AQ190&lt;AR190,"Insufficient kWh savings – no incentive",IF(AND(SUM(CL190+CK190+BV190)&gt;0.01,'Data Entry'!$C$74=2,CJ190&gt;1,BO190=0),"Submit Control as Non-Standard",IF(AND('Data Entry'!$C$74=2,BR190=37,CJ190&gt;1,BO190=0),"Submit Control as Non-Standard",IF(SUM(CL190+CK190+BV190)&gt;0.01,"Standard Incentive",IF(AND('Data Entry'!$C$74=2,CP190=7,CN190=0),"Submit as Non-Standard",IF(DC190&gt;0.9,"Non-Standard Incentive",IF(AND(BY190+BZ190+CA190&gt;0.01,BV190=0,EQ190=0,ER190=0,ES190=0,ET190=0),"Scroll Right &amp; Select Control Strategies",IF(AND(CN190&gt;0.01,CO190=0),"Enter Unit Installed Cost",IF(ISNUMBER(SEARCH("Lighting Controls Only",F190)),"Lighting Controls Only",IF(CL190+DC190=0,"Does not meet incentive criteria",0)))))))))))))))</f>
        <v>0</v>
      </c>
      <c r="DE190" s="337">
        <f t="shared" si="212"/>
        <v>0</v>
      </c>
      <c r="DF190" s="609">
        <f t="shared" si="213"/>
        <v>0</v>
      </c>
      <c r="DG190" s="336" t="str">
        <f t="shared" si="214"/>
        <v/>
      </c>
      <c r="DH190" s="338">
        <f t="shared" si="215"/>
        <v>1</v>
      </c>
      <c r="DI190" s="336" t="e">
        <f t="shared" si="170"/>
        <v>#VALUE!</v>
      </c>
      <c r="DJ190" s="1142">
        <f t="shared" si="171"/>
        <v>0</v>
      </c>
      <c r="DK190" s="331"/>
      <c r="DL190" s="332"/>
      <c r="DM190" s="862" t="s">
        <v>1525</v>
      </c>
      <c r="DN190" s="863">
        <f>DN189*0.9</f>
        <v>0</v>
      </c>
      <c r="DO190" s="331"/>
      <c r="DP190" s="332"/>
      <c r="DQ190" s="81"/>
      <c r="DS190" s="1195">
        <f t="shared" si="216"/>
        <v>0</v>
      </c>
      <c r="DT190" s="344" t="b">
        <f t="shared" si="217"/>
        <v>1</v>
      </c>
      <c r="DU190" s="1314" t="str">
        <f t="array" ref="DU190">IF(OR(COUNTIF(F190,"*"&amp;$DK$9:$DK$178&amp;"*")), "Yes", "")</f>
        <v/>
      </c>
      <c r="DV190" s="1314">
        <f t="shared" si="218"/>
        <v>0</v>
      </c>
      <c r="DW190" s="1480">
        <f t="shared" si="219"/>
        <v>0</v>
      </c>
      <c r="DX190" s="1498">
        <f t="shared" si="228"/>
        <v>0</v>
      </c>
      <c r="DY190" s="1484">
        <f t="shared" si="220"/>
        <v>0</v>
      </c>
      <c r="DZ190" s="331"/>
      <c r="EA190" s="392"/>
      <c r="EB190" s="1499" t="s">
        <v>188</v>
      </c>
      <c r="EC190" s="727" t="s">
        <v>1569</v>
      </c>
      <c r="ED190" s="728">
        <v>0.5</v>
      </c>
      <c r="EE190" s="1215"/>
      <c r="EF190" s="1215"/>
      <c r="EG190" s="1184" t="str">
        <f t="shared" si="221"/>
        <v/>
      </c>
      <c r="EH190" s="55"/>
      <c r="EI190" s="55"/>
      <c r="EJ190" s="1185">
        <f t="shared" si="172"/>
        <v>0</v>
      </c>
      <c r="EK190" s="1211"/>
      <c r="EL190" s="1180">
        <f t="shared" si="173"/>
        <v>0</v>
      </c>
      <c r="EM190" s="206"/>
      <c r="EN190" s="1038"/>
      <c r="EO190" s="1038"/>
      <c r="EP190" s="1038"/>
      <c r="EQ190" s="1038">
        <f t="shared" si="222"/>
        <v>0</v>
      </c>
      <c r="ER190" s="1041">
        <f t="shared" si="223"/>
        <v>0</v>
      </c>
      <c r="ES190" s="1042">
        <f t="shared" si="224"/>
        <v>0</v>
      </c>
      <c r="ET190" s="1042">
        <f t="shared" si="229"/>
        <v>0</v>
      </c>
      <c r="EU190" s="1021">
        <f t="shared" si="230"/>
        <v>0</v>
      </c>
      <c r="EV190" s="368"/>
      <c r="EW190" s="368"/>
      <c r="EX190" s="369"/>
      <c r="EY190" s="370"/>
      <c r="EZ190" s="370"/>
      <c r="FA190" s="371"/>
      <c r="FB190" s="372"/>
    </row>
    <row r="191" spans="1:158" ht="34.5" customHeight="1">
      <c r="A191" s="82">
        <v>183</v>
      </c>
      <c r="B191" s="1725"/>
      <c r="C191" s="1726"/>
      <c r="D191" s="1726"/>
      <c r="E191" s="1727"/>
      <c r="F191" s="1732"/>
      <c r="G191" s="1733"/>
      <c r="H191" s="1733"/>
      <c r="I191" s="1734"/>
      <c r="J191" s="1341"/>
      <c r="K191" s="1728"/>
      <c r="L191" s="1728"/>
      <c r="M191" s="1342"/>
      <c r="N191" s="1583"/>
      <c r="O191" s="208" t="str">
        <f t="shared" si="160"/>
        <v/>
      </c>
      <c r="P191" s="785"/>
      <c r="Q191" s="39" t="str">
        <f t="shared" si="161"/>
        <v/>
      </c>
      <c r="R191" s="39">
        <f t="shared" si="174"/>
        <v>0</v>
      </c>
      <c r="S191" s="234">
        <f t="shared" si="175"/>
        <v>0</v>
      </c>
      <c r="T191" s="1755"/>
      <c r="U191" s="1755"/>
      <c r="V191" s="1755"/>
      <c r="W191" s="1345"/>
      <c r="X191" s="1741"/>
      <c r="Y191" s="1742"/>
      <c r="Z191" s="1346"/>
      <c r="AA191" s="1343"/>
      <c r="AB191" s="1141"/>
      <c r="AC191" s="1103" t="str">
        <f>IF(T191="","",VLOOKUP(Z191,Lists!$A$60:$B$111,2,FALSE))</f>
        <v/>
      </c>
      <c r="AD191" s="130" t="str">
        <f t="shared" si="176"/>
        <v/>
      </c>
      <c r="AE191" s="130" t="e">
        <f t="shared" si="177"/>
        <v>#VALUE!</v>
      </c>
      <c r="AF191" s="130">
        <f t="shared" si="178"/>
        <v>1</v>
      </c>
      <c r="AG191" s="234">
        <f t="shared" si="162"/>
        <v>0</v>
      </c>
      <c r="AH191" s="1753" t="str">
        <f>IF(T191="","",(IF(ISNUMBER(SEARCH("exit",T191)),8760,IF(AND(M191="Dusk to Dawn",'Proposed Lighting'!AU191=3),4059,IF(AND(AU191=3,M191="1"),0,IF(AND(AU191=3,M191="1-C"),0,IF(AND(AU191=3,M191="2"),0,IF(AND(AU191=3,M191="2-C"),0,IF(AND(AU191=3,M191="3"),0,IF(AND(AU191=3,M191="3-C"),0,IF(AND(AU191=2,M191="Dusk to Dawn"),0,IF(AND(AU191=2,M191="Dusk to Dawn-C"),0,IF(AND(AU191=2,M191="Dusk to Dawn"),0,IF(AND(AU191=2,M191="E"),0,IF(AND(AU191=2,M191="E-C"),0,EG191)))))))))))))))</f>
        <v/>
      </c>
      <c r="AI191" s="1754"/>
      <c r="AJ191" s="1136"/>
      <c r="AK191" s="1136"/>
      <c r="AL191" s="1748">
        <f t="shared" si="179"/>
        <v>0</v>
      </c>
      <c r="AM191" s="1749"/>
      <c r="AN191" s="1750"/>
      <c r="AO191" s="476">
        <f t="shared" si="163"/>
        <v>0</v>
      </c>
      <c r="AP191" s="476">
        <f t="shared" si="180"/>
        <v>0</v>
      </c>
      <c r="AQ191" s="475">
        <f t="shared" si="164"/>
        <v>0</v>
      </c>
      <c r="AR191" s="475">
        <f t="shared" si="181"/>
        <v>0</v>
      </c>
      <c r="AS191" s="743" t="str">
        <f t="shared" si="233"/>
        <v/>
      </c>
      <c r="AT191" s="736" t="str">
        <f t="shared" si="182"/>
        <v/>
      </c>
      <c r="AU191" s="56">
        <f t="shared" si="183"/>
        <v>1</v>
      </c>
      <c r="AV191" s="476">
        <f t="shared" si="184"/>
        <v>0</v>
      </c>
      <c r="AW191" s="56">
        <f t="shared" si="185"/>
        <v>0</v>
      </c>
      <c r="AX191" s="475">
        <f t="shared" si="165"/>
        <v>0</v>
      </c>
      <c r="AY191" s="1169">
        <f t="shared" si="186"/>
        <v>0</v>
      </c>
      <c r="AZ191" s="1150">
        <f t="shared" si="225"/>
        <v>0</v>
      </c>
      <c r="BA191" s="56">
        <f t="shared" si="166"/>
        <v>0</v>
      </c>
      <c r="BB191" s="420">
        <f t="shared" si="167"/>
        <v>0</v>
      </c>
      <c r="BC191" s="58" t="str">
        <f t="shared" si="168"/>
        <v/>
      </c>
      <c r="BD191" s="660">
        <f t="shared" si="226"/>
        <v>0</v>
      </c>
      <c r="BE191" s="57" t="e">
        <f t="array" ref="BE191">INDEX($EB$11:$ED$1022,MATCH(F191&amp;T191,$EB$11:$EB$1007&amp;$EC$11:$EC$1007,0),3)</f>
        <v>#N/A</v>
      </c>
      <c r="BF191" s="463">
        <f t="shared" si="234"/>
        <v>0</v>
      </c>
      <c r="BG191" s="1445" t="e">
        <f t="array" ref="BG191">INDEX($DO$112:$DQ$123,MATCH(T191&amp;W191,$DO$114:$DO$125&amp;$DP$112:$DP$123,0),3)</f>
        <v>#N/A</v>
      </c>
      <c r="BH191" s="1446">
        <f t="shared" si="187"/>
        <v>0</v>
      </c>
      <c r="BI191" s="465">
        <f t="shared" si="188"/>
        <v>0</v>
      </c>
      <c r="BJ191" s="465">
        <f t="shared" si="189"/>
        <v>0</v>
      </c>
      <c r="BK191" s="466">
        <f t="shared" si="235"/>
        <v>0</v>
      </c>
      <c r="BL191" s="466">
        <f t="shared" si="236"/>
        <v>0</v>
      </c>
      <c r="BM191" s="466">
        <f t="shared" si="190"/>
        <v>0</v>
      </c>
      <c r="BN191" s="466">
        <f t="shared" si="191"/>
        <v>0</v>
      </c>
      <c r="BO191" s="463">
        <f>IF('Data Entry'!$C$74=0,0,IF(ISNA(CJ191),0,IF(AX191=0,0,IF(AND('Data Entry'!$C$74=2,AF191&gt;2,CE191&lt;1),0,IF(AND('Data Entry'!$C$74=2,AF191&gt;1,AU191=2,CJ191&gt;1),0,IF(AND(AF191=5,CT191=0.5,AU191=2,ER191&lt;100),0,IF(AND(AF191=5,CT191=0.5,AU191=3,ER191&lt;100),0,IF(AND('Data Entry'!$C$74=2,AF191=2,AU191=2,AK191&gt;0.01,CB191=2,CE191&lt;1),0,IF(AND('Data Entry'!$C$74=2,AF191=3,AU191=3,AK191&gt;0.01,CB191=3,CE191&lt;1),0,IF(AND('Data Entry'!$C$74=2,AF191=3,AU191=3,AK191&gt;0.01,CB191=3,CE191&gt;0.99),BQ191*0.08,IF(AND('Data Entry'!$C$74=2,AF191=2,AU191=2,AK191&gt;0.01,CB191=2,CE191&gt;0.99),BQ191*0.1,IF(AND(AU191=2,AK191&gt;0.01,CB191=2,CD191&gt;1),BQ191*0.1,IF(AND(AU191=3,AK191&gt;0.01,CB191=3,CD191&gt;1),BQ191*0.08,CJ191*EF191)))))))))))))</f>
        <v>0</v>
      </c>
      <c r="BP191" s="475">
        <f t="shared" si="192"/>
        <v>0</v>
      </c>
      <c r="BQ191" s="1431">
        <f>IF(AU191=1,0,IF(CH191=100,0,IF(AND(AF191=3,AU191=2),0,IF(AND(BH191=0,CT191&gt;0.4),0,IF(AND('Data Entry'!$C$74=2,AF191=1.5),0,IF(AND('Data Entry'!$C$74=2,AF191=1.6),0,IF(AND('Data Entry'!$C$74=2,AF191=4),0,IF(AND('Data Entry'!$C$74=2,AF191=5),0,IF(AND('Data Entry'!$C$74=2,AF191=2.5,CE191&lt;1),0,IF(AND('Data Entry'!$C$74=2,AF191=3,CE191&lt;1),0,IF(AND('Data Entry'!$C$74=1,AF191=2.5,CD191&lt;1),0,IF(AND('Data Entry'!$C$74=1,AF191=3,CD191&lt;1),0,IF(DX191&gt;0.01,DX191,IF(ISERROR(AX191-AY191),"",ROUND(AX191-AY191,2)))))))))))))))</f>
        <v>0</v>
      </c>
      <c r="BR191" s="146">
        <f t="shared" si="193"/>
        <v>0</v>
      </c>
      <c r="BS191" s="475">
        <f t="shared" si="194"/>
        <v>0</v>
      </c>
      <c r="BT191" s="146" t="b">
        <f t="shared" si="195"/>
        <v>0</v>
      </c>
      <c r="BU191" s="463">
        <f>IF(ISNA(AT191),0,IF(AND('Data Entry'!$C$74=2,BC191=27),0,IF(AND('Data Entry'!$C$74=2,BC191=28),0,IF(AND(BC191=27,BT191=27,CM191&gt;0.1),CM191*0.15,IF(AND(BC191=28,BT191=28,CM191&gt;0.1),CM191*0.12,0)))))</f>
        <v>0</v>
      </c>
      <c r="BV191" s="463">
        <f t="shared" si="232"/>
        <v>0</v>
      </c>
      <c r="BW191" s="463">
        <f t="shared" si="196"/>
        <v>0</v>
      </c>
      <c r="BX191" s="463">
        <f t="shared" si="197"/>
        <v>0</v>
      </c>
      <c r="BY191" s="463">
        <f t="shared" si="198"/>
        <v>0</v>
      </c>
      <c r="BZ191" s="463">
        <f t="shared" si="199"/>
        <v>0</v>
      </c>
      <c r="CA191" s="57">
        <f t="shared" si="227"/>
        <v>0</v>
      </c>
      <c r="CB191" s="56">
        <f t="shared" si="200"/>
        <v>1</v>
      </c>
      <c r="CC191" s="756">
        <f>IF(EE191=0,0,IF(EF191=0,0,IF(EE191&gt;AA191,0,IF(AND(AZ191&gt;AW191,AW191&gt;0),0,IF(CU191=0,0,Summary!AC494)))))</f>
        <v>0</v>
      </c>
      <c r="CD191" s="756">
        <f>IF(EE191=0,0,IF(EF191=0,0,IF(EE191&gt;AA191,0,IF(AND(AZ191&gt;AW191,AW191&gt;0),0,IF(CU191=0,0,Summary!AD494)))))</f>
        <v>0</v>
      </c>
      <c r="CE191" s="756">
        <f>IF(EF191=0,0,IF(EE191&gt;AA191,0,IF(CC191=0,0,IF(AND(AZ191&gt;AW191,AW191&gt;0),0,IF(CU191=0,0,Summary!AE494)))))</f>
        <v>0</v>
      </c>
      <c r="CF191" s="475">
        <f t="shared" si="201"/>
        <v>0</v>
      </c>
      <c r="CG191" s="476">
        <f t="shared" si="169"/>
        <v>0</v>
      </c>
      <c r="CH191" s="487">
        <f t="shared" si="202"/>
        <v>0</v>
      </c>
      <c r="CI191" s="756">
        <f t="shared" si="203"/>
        <v>0</v>
      </c>
      <c r="CJ191" s="487">
        <f>IF(CT191&gt;0.4,0,IF(AND(AU191=2,CH191=0,CT191=0.5,ER191=100),35,IF(AND(AU191=3,BB191&gt;75,CH191=0,CT191=0.5,ER191=100),25,IF(CB191&gt;1,0,IF(EF191&gt;EE191,0,IF(AND(AF191&gt;1,CH191=100),0,IF(AND(AF191=1,AY191=0),0,IF(AND(EF191&lt;=EE191,AW191&gt;=AZ191,'Data Entry'!$C$74=1,AU191=2),VLOOKUP(W191,$DO$96:$DP$102,2,FALSE),IF(AND(EF191&lt;=EE191,AW191&gt;=AZ191,AU191=3,'Data Entry'!$C$74=1),VLOOKUP(W191,$DO$127:$DP$134,2,FALSE))))))))))</f>
        <v>0</v>
      </c>
      <c r="CK191" s="716">
        <f t="shared" si="204"/>
        <v>0</v>
      </c>
      <c r="CL191" s="57">
        <f t="shared" si="205"/>
        <v>0</v>
      </c>
      <c r="CM191" s="475">
        <f t="shared" si="231"/>
        <v>0</v>
      </c>
      <c r="CN191" s="660">
        <f>IF(CM191&lt;0.1,0,IF(ISNA(AT191),0,IF(CL191+BC191=1,0,IF(BV191&gt;0.01,0,IF(CL191&gt;0.01,0,IF(CF191=1,0,IF(BC191=0.5,0,IF(AND(CI191=1,AU191=3),0,IF(AND(CI191=5,CL191=0),0,IF(AND(R191=12,BR191=50),0,IF(CK191&gt;0.01,0,IF(AND(AJ191&gt;0.01,AU191=2,BC191=15),CM191*0.1,IF(AND(AJ191&gt;0.01,AU191=3,BC191=15),CM191*0.08,IF(AND(R191=12,BC191=3,AF191&lt;=0),0,IF(AND(BC191=15,BI191=0),0,IF(AND(BC191=15,BJ191=0),0,IF(AND(R191=20,CU191=0),0,IF($X$4=0,0,IF(AND(BC191=250,CL191=0),0,IF(AA191&lt;1,0,IF(AND(ISNUMBER(SEARCH("Area",T191)),AU191=3),0,IF(AND(AQ191&gt;0.01,AR191=0,BK191=0,BL191=0,BM191=0,BN191=0),0,IF(AND(AU191=3,CI191=7,CT191&gt;0.5),0,IF(AND(BC191=44,AU191=3,BY191=0),0,IF(AND(BC191=27,'Data Entry'!$C$74=2),0,IF(AND(BC191=28,'Data Entry'!$C$74=2),0,IF(AND(BY191+BZ191+CA191&gt;0.01,BV191=0,EQ191+ER191+ES191+ET191&lt;100),0,IF(AU191=3,CM191*0.08,IF(AU191=2,CM191*0.1,0)))))))))))))))))))))))))))))</f>
        <v>0</v>
      </c>
      <c r="CO191" s="660">
        <f t="shared" si="206"/>
        <v>0</v>
      </c>
      <c r="CP191" s="475" t="str">
        <f t="shared" si="207"/>
        <v/>
      </c>
      <c r="CQ191" s="161" t="str">
        <f>IF(AH191=0,0,IF(AU191=5,0,Summary!AC194))</f>
        <v/>
      </c>
      <c r="CR191" s="161" t="str">
        <f>IF(BF191=0.5,0,IF(AU191=5,0,Summary!AD194))</f>
        <v/>
      </c>
      <c r="CS191" s="161" t="str">
        <f>IF(AU191=5,0,Summary!AE194)</f>
        <v/>
      </c>
      <c r="CT191" s="161">
        <f t="shared" si="208"/>
        <v>0</v>
      </c>
      <c r="CU191" s="475" t="str">
        <f t="shared" si="209"/>
        <v/>
      </c>
      <c r="CV191" s="307">
        <f>IF('Data Entry'!$C$74=0,0,IF(AA191&lt;1,0,IF(ISERROR(CU191),0,IF(CF191=1,0,IF(AND(R191=12,BR191=50),0,IF(CL191+BO191+BV191+DC191=0,0,IF(BC191=37,0,IF(AND(BC191=40,AJ191=0),0,IF(AND(BC191=37,BO191&gt;0.01,BQ191&gt;0.01),ROUND(BQ191,0),IF(CM191&lt;0,0,ROUND(CM191,0)))))))))))</f>
        <v>0</v>
      </c>
      <c r="CW191" s="700">
        <f t="shared" si="210"/>
        <v>0</v>
      </c>
      <c r="CX191" s="477">
        <f>IF('Data Entry'!$C$74=0,0,IF(CV191&lt;0.01,0,IF(BF191=0.5,0,IF(CF191=1,0,IF(ISNUMBER(SEARCH("false",CL191)),0,IF(AZ191=500,0,CL191))))))</f>
        <v>0</v>
      </c>
      <c r="CY191" s="147" t="e">
        <f t="shared" si="211"/>
        <v>#VALUE!</v>
      </c>
      <c r="CZ191" s="147" t="b">
        <f>IF(CN191+CL191=0,FALSE,IF(AH191=0,0,IF(AND('Data Entry'!$C$74=1,CR191&gt;=1),TRUE,IF(AND('Data Entry'!$C$74=2,CS191&gt;=1),TRUE,FALSE))))</f>
        <v>0</v>
      </c>
      <c r="DA191" s="1751">
        <f>IF('Data Entry'!$C$74=0,0,IFERROR(ROUND(IF(T191="","",IF($X$4=0,0,IF(CF191=1,0,IF(BQ191+CV191=0,0,IF(CF191=1,0,IF(CY191&gt;0.01,CY191,IF(CL191&gt;0.01,CL191,IF(CY191&gt;0.01,CY191,IF(BC191=37,BO191,IF(CZ191=FALSE,0,IF(CZ191=TRUE,DC191+DF191,0))))))))))),2),""))</f>
        <v>0</v>
      </c>
      <c r="DB191" s="1752"/>
      <c r="DC191" s="474">
        <f>IF(CN191&lt;0.01,0,IF(AND(BR191=3,CN191&gt;0.01,CT191&gt;0.6,ER191+ES191+ET191&lt;100),0,IF(AND('Data Entry'!$C$74=1,CN191&gt;0.01,CR191&gt;0.99),MIN(CN191:CO191),IF(AND('Data Entry'!$C$74=2,CN191&gt;0.01,CS191&gt;0.99),MIN(CN191:CO191),0))))</f>
        <v>0</v>
      </c>
      <c r="DD191" s="478">
        <f>IF(CF191=1,"Selection does not match",IF(T191=0,0,IF(AND('Data Entry'!$C$74=0,CP191&gt;1),"Select Oregon or Idaho on Data Entry Tab",IF(AND(AU191=1,AA191&gt;0.9),"Missing Interior or Exterior Selection",IF($X$4=0,"Enter Total Project Cost",IF(AQ191&lt;AR191,"Insufficient kWh savings – no incentive",IF(AND(SUM(CL191+CK191+BV191)&gt;0.01,'Data Entry'!$C$74=2,CJ191&gt;1,BO191=0),"Submit Control as Non-Standard",IF(AND('Data Entry'!$C$74=2,BR191=37,CJ191&gt;1,BO191=0),"Submit Control as Non-Standard",IF(SUM(CL191+CK191+BV191)&gt;0.01,"Standard Incentive",IF(AND('Data Entry'!$C$74=2,CP191=7,CN191=0),"Submit as Non-Standard",IF(DC191&gt;0.9,"Non-Standard Incentive",IF(AND(BY191+BZ191+CA191&gt;0.01,BV191=0,EQ191=0,ER191=0,ES191=0,ET191=0),"Scroll Right &amp; Select Control Strategies",IF(AND(CN191&gt;0.01,CO191=0),"Enter Unit Installed Cost",IF(ISNUMBER(SEARCH("Lighting Controls Only",F191)),"Lighting Controls Only",IF(CL191+DC191=0,"Does not meet incentive criteria",0)))))))))))))))</f>
        <v>0</v>
      </c>
      <c r="DE191" s="337">
        <f t="shared" si="212"/>
        <v>0</v>
      </c>
      <c r="DF191" s="609">
        <f t="shared" si="213"/>
        <v>0</v>
      </c>
      <c r="DG191" s="336" t="str">
        <f t="shared" si="214"/>
        <v/>
      </c>
      <c r="DH191" s="338">
        <f t="shared" si="215"/>
        <v>1</v>
      </c>
      <c r="DI191" s="336" t="e">
        <f t="shared" si="170"/>
        <v>#VALUE!</v>
      </c>
      <c r="DJ191" s="1142">
        <f t="shared" si="171"/>
        <v>0</v>
      </c>
      <c r="DK191" s="331"/>
      <c r="DL191" s="332"/>
      <c r="DM191" s="862" t="s">
        <v>1498</v>
      </c>
      <c r="DN191" s="863">
        <v>4059</v>
      </c>
      <c r="DO191" s="361"/>
      <c r="DP191" s="81"/>
      <c r="DQ191" s="1124" t="s">
        <v>1587</v>
      </c>
      <c r="DR191" s="331"/>
      <c r="DS191" s="1195">
        <f t="shared" si="216"/>
        <v>0</v>
      </c>
      <c r="DT191" s="344" t="b">
        <f t="shared" si="217"/>
        <v>1</v>
      </c>
      <c r="DU191" s="1314" t="str">
        <f t="array" ref="DU191">IF(OR(COUNTIF(F191,"*"&amp;$DK$9:$DK$178&amp;"*")), "Yes", "")</f>
        <v/>
      </c>
      <c r="DV191" s="1314">
        <f t="shared" si="218"/>
        <v>0</v>
      </c>
      <c r="DW191" s="1480">
        <f t="shared" si="219"/>
        <v>0</v>
      </c>
      <c r="DX191" s="1498">
        <f t="shared" si="228"/>
        <v>0</v>
      </c>
      <c r="DY191" s="1484">
        <f t="shared" si="220"/>
        <v>0</v>
      </c>
      <c r="DZ191" s="331"/>
      <c r="EA191" s="392"/>
      <c r="EB191" s="1499" t="s">
        <v>141</v>
      </c>
      <c r="EC191" s="727" t="s">
        <v>1569</v>
      </c>
      <c r="ED191" s="728">
        <v>0.5</v>
      </c>
      <c r="EE191" s="1215"/>
      <c r="EF191" s="1215"/>
      <c r="EG191" s="1184" t="str">
        <f t="shared" si="221"/>
        <v/>
      </c>
      <c r="EH191" s="55"/>
      <c r="EI191" s="55"/>
      <c r="EJ191" s="1185">
        <f t="shared" si="172"/>
        <v>0</v>
      </c>
      <c r="EK191" s="1211"/>
      <c r="EL191" s="1180">
        <f t="shared" si="173"/>
        <v>0</v>
      </c>
      <c r="EM191" s="206"/>
      <c r="EN191" s="1038"/>
      <c r="EO191" s="1038"/>
      <c r="EP191" s="1038"/>
      <c r="EQ191" s="1038">
        <f t="shared" si="222"/>
        <v>0</v>
      </c>
      <c r="ER191" s="1041">
        <f t="shared" si="223"/>
        <v>0</v>
      </c>
      <c r="ES191" s="1042">
        <f t="shared" si="224"/>
        <v>0</v>
      </c>
      <c r="ET191" s="1042">
        <f t="shared" si="229"/>
        <v>0</v>
      </c>
      <c r="EU191" s="1021">
        <f t="shared" si="230"/>
        <v>0</v>
      </c>
      <c r="EV191" s="368"/>
      <c r="EW191" s="368"/>
      <c r="EX191" s="369"/>
      <c r="EY191" s="370"/>
      <c r="EZ191" s="370"/>
      <c r="FA191" s="371"/>
      <c r="FB191" s="372"/>
    </row>
    <row r="192" spans="1:158" ht="34.5" customHeight="1">
      <c r="A192" s="82">
        <v>184</v>
      </c>
      <c r="B192" s="1725"/>
      <c r="C192" s="1726"/>
      <c r="D192" s="1726"/>
      <c r="E192" s="1727"/>
      <c r="F192" s="1732"/>
      <c r="G192" s="1733"/>
      <c r="H192" s="1733"/>
      <c r="I192" s="1734"/>
      <c r="J192" s="1341"/>
      <c r="K192" s="1728"/>
      <c r="L192" s="1728"/>
      <c r="M192" s="1342"/>
      <c r="N192" s="1583"/>
      <c r="O192" s="208" t="str">
        <f t="shared" si="160"/>
        <v/>
      </c>
      <c r="P192" s="785"/>
      <c r="Q192" s="39" t="str">
        <f t="shared" si="161"/>
        <v/>
      </c>
      <c r="R192" s="39">
        <f t="shared" si="174"/>
        <v>0</v>
      </c>
      <c r="S192" s="234">
        <f t="shared" si="175"/>
        <v>0</v>
      </c>
      <c r="T192" s="1755"/>
      <c r="U192" s="1755"/>
      <c r="V192" s="1755"/>
      <c r="W192" s="1345"/>
      <c r="X192" s="1741"/>
      <c r="Y192" s="1742"/>
      <c r="Z192" s="1346"/>
      <c r="AA192" s="1343"/>
      <c r="AB192" s="1141"/>
      <c r="AC192" s="1103" t="str">
        <f>IF(T192="","",VLOOKUP(Z192,Lists!$A$60:$B$111,2,FALSE))</f>
        <v/>
      </c>
      <c r="AD192" s="130" t="str">
        <f t="shared" si="176"/>
        <v/>
      </c>
      <c r="AE192" s="130" t="e">
        <f t="shared" si="177"/>
        <v>#VALUE!</v>
      </c>
      <c r="AF192" s="130">
        <f t="shared" si="178"/>
        <v>1</v>
      </c>
      <c r="AG192" s="234">
        <f t="shared" si="162"/>
        <v>0</v>
      </c>
      <c r="AH192" s="1753" t="str">
        <f>IF(T192="","",(IF(ISNUMBER(SEARCH("exit",T192)),8760,IF(AND(M192="Dusk to Dawn",'Proposed Lighting'!AU192=3),4059,IF(AND(AU192=3,M192="1"),0,IF(AND(AU192=3,M192="1-C"),0,IF(AND(AU192=3,M192="2"),0,IF(AND(AU192=3,M192="2-C"),0,IF(AND(AU192=3,M192="3"),0,IF(AND(AU192=3,M192="3-C"),0,IF(AND(AU192=2,M192="Dusk to Dawn"),0,IF(AND(AU192=2,M192="Dusk to Dawn-C"),0,IF(AND(AU192=2,M192="Dusk to Dawn"),0,IF(AND(AU192=2,M192="E"),0,IF(AND(AU192=2,M192="E-C"),0,EG192)))))))))))))))</f>
        <v/>
      </c>
      <c r="AI192" s="1754"/>
      <c r="AJ192" s="1136"/>
      <c r="AK192" s="1136"/>
      <c r="AL192" s="1748">
        <f t="shared" si="179"/>
        <v>0</v>
      </c>
      <c r="AM192" s="1749"/>
      <c r="AN192" s="1750"/>
      <c r="AO192" s="476">
        <f t="shared" si="163"/>
        <v>0</v>
      </c>
      <c r="AP192" s="476">
        <f t="shared" si="180"/>
        <v>0</v>
      </c>
      <c r="AQ192" s="475">
        <f t="shared" si="164"/>
        <v>0</v>
      </c>
      <c r="AR192" s="475">
        <f t="shared" si="181"/>
        <v>0</v>
      </c>
      <c r="AS192" s="743" t="str">
        <f t="shared" si="233"/>
        <v/>
      </c>
      <c r="AT192" s="736" t="str">
        <f t="shared" si="182"/>
        <v/>
      </c>
      <c r="AU192" s="56">
        <f t="shared" si="183"/>
        <v>1</v>
      </c>
      <c r="AV192" s="476">
        <f t="shared" si="184"/>
        <v>0</v>
      </c>
      <c r="AW192" s="56">
        <f t="shared" si="185"/>
        <v>0</v>
      </c>
      <c r="AX192" s="475">
        <f t="shared" si="165"/>
        <v>0</v>
      </c>
      <c r="AY192" s="1169">
        <f t="shared" si="186"/>
        <v>0</v>
      </c>
      <c r="AZ192" s="1150">
        <f t="shared" si="225"/>
        <v>0</v>
      </c>
      <c r="BA192" s="56">
        <f t="shared" si="166"/>
        <v>0</v>
      </c>
      <c r="BB192" s="420">
        <f t="shared" si="167"/>
        <v>0</v>
      </c>
      <c r="BC192" s="58" t="str">
        <f t="shared" si="168"/>
        <v/>
      </c>
      <c r="BD192" s="660">
        <f t="shared" si="226"/>
        <v>0</v>
      </c>
      <c r="BE192" s="57" t="e">
        <f t="array" ref="BE192">INDEX($EB$11:$ED$1022,MATCH(F192&amp;T192,$EB$11:$EB$1007&amp;$EC$11:$EC$1007,0),3)</f>
        <v>#N/A</v>
      </c>
      <c r="BF192" s="463">
        <f t="shared" si="234"/>
        <v>0</v>
      </c>
      <c r="BG192" s="1445" t="e">
        <f t="array" ref="BG192">INDEX($DO$112:$DQ$123,MATCH(T192&amp;W192,$DO$114:$DO$125&amp;$DP$112:$DP$123,0),3)</f>
        <v>#N/A</v>
      </c>
      <c r="BH192" s="1446">
        <f t="shared" si="187"/>
        <v>0</v>
      </c>
      <c r="BI192" s="465">
        <f t="shared" si="188"/>
        <v>0</v>
      </c>
      <c r="BJ192" s="465">
        <f t="shared" si="189"/>
        <v>0</v>
      </c>
      <c r="BK192" s="466">
        <f t="shared" si="235"/>
        <v>0</v>
      </c>
      <c r="BL192" s="466">
        <f t="shared" si="236"/>
        <v>0</v>
      </c>
      <c r="BM192" s="466">
        <f t="shared" si="190"/>
        <v>0</v>
      </c>
      <c r="BN192" s="466">
        <f t="shared" si="191"/>
        <v>0</v>
      </c>
      <c r="BO192" s="463">
        <f>IF('Data Entry'!$C$74=0,0,IF(ISNA(CJ192),0,IF(AX192=0,0,IF(AND('Data Entry'!$C$74=2,AF192&gt;2,CE192&lt;1),0,IF(AND('Data Entry'!$C$74=2,AF192&gt;1,AU192=2,CJ192&gt;1),0,IF(AND(AF192=5,CT192=0.5,AU192=2,ER192&lt;100),0,IF(AND(AF192=5,CT192=0.5,AU192=3,ER192&lt;100),0,IF(AND('Data Entry'!$C$74=2,AF192=2,AU192=2,AK192&gt;0.01,CB192=2,CE192&lt;1),0,IF(AND('Data Entry'!$C$74=2,AF192=3,AU192=3,AK192&gt;0.01,CB192=3,CE192&lt;1),0,IF(AND('Data Entry'!$C$74=2,AF192=3,AU192=3,AK192&gt;0.01,CB192=3,CE192&gt;0.99),BQ192*0.08,IF(AND('Data Entry'!$C$74=2,AF192=2,AU192=2,AK192&gt;0.01,CB192=2,CE192&gt;0.99),BQ192*0.1,IF(AND(AU192=2,AK192&gt;0.01,CB192=2,CD192&gt;1),BQ192*0.1,IF(AND(AU192=3,AK192&gt;0.01,CB192=3,CD192&gt;1),BQ192*0.08,CJ192*EF192)))))))))))))</f>
        <v>0</v>
      </c>
      <c r="BP192" s="475">
        <f t="shared" si="192"/>
        <v>0</v>
      </c>
      <c r="BQ192" s="1431">
        <f>IF(AU192=1,0,IF(CH192=100,0,IF(AND(AF192=3,AU192=2),0,IF(AND(BH192=0,CT192&gt;0.4),0,IF(AND('Data Entry'!$C$74=2,AF192=1.5),0,IF(AND('Data Entry'!$C$74=2,AF192=1.6),0,IF(AND('Data Entry'!$C$74=2,AF192=4),0,IF(AND('Data Entry'!$C$74=2,AF192=5),0,IF(AND('Data Entry'!$C$74=2,AF192=2.5,CE192&lt;1),0,IF(AND('Data Entry'!$C$74=2,AF192=3,CE192&lt;1),0,IF(AND('Data Entry'!$C$74=1,AF192=2.5,CD192&lt;1),0,IF(AND('Data Entry'!$C$74=1,AF192=3,CD192&lt;1),0,IF(DX192&gt;0.01,DX192,IF(ISERROR(AX192-AY192),"",ROUND(AX192-AY192,2)))))))))))))))</f>
        <v>0</v>
      </c>
      <c r="BR192" s="146">
        <f t="shared" si="193"/>
        <v>0</v>
      </c>
      <c r="BS192" s="475">
        <f t="shared" si="194"/>
        <v>0</v>
      </c>
      <c r="BT192" s="146" t="b">
        <f t="shared" si="195"/>
        <v>0</v>
      </c>
      <c r="BU192" s="463">
        <f>IF(ISNA(AT192),0,IF(AND('Data Entry'!$C$74=2,BC192=27),0,IF(AND('Data Entry'!$C$74=2,BC192=28),0,IF(AND(BC192=27,BT192=27,CM192&gt;0.1),CM192*0.15,IF(AND(BC192=28,BT192=28,CM192&gt;0.1),CM192*0.12,0)))))</f>
        <v>0</v>
      </c>
      <c r="BV192" s="463">
        <f t="shared" si="232"/>
        <v>0</v>
      </c>
      <c r="BW192" s="463">
        <f t="shared" si="196"/>
        <v>0</v>
      </c>
      <c r="BX192" s="463">
        <f t="shared" si="197"/>
        <v>0</v>
      </c>
      <c r="BY192" s="463">
        <f t="shared" si="198"/>
        <v>0</v>
      </c>
      <c r="BZ192" s="463">
        <f t="shared" si="199"/>
        <v>0</v>
      </c>
      <c r="CA192" s="57">
        <f t="shared" si="227"/>
        <v>0</v>
      </c>
      <c r="CB192" s="56">
        <f t="shared" si="200"/>
        <v>1</v>
      </c>
      <c r="CC192" s="756">
        <f>IF(EE192=0,0,IF(EF192=0,0,IF(EE192&gt;AA192,0,IF(AND(AZ192&gt;AW192,AW192&gt;0),0,IF(CU192=0,0,Summary!AC495)))))</f>
        <v>0</v>
      </c>
      <c r="CD192" s="756">
        <f>IF(EE192=0,0,IF(EF192=0,0,IF(EE192&gt;AA192,0,IF(AND(AZ192&gt;AW192,AW192&gt;0),0,IF(CU192=0,0,Summary!AD495)))))</f>
        <v>0</v>
      </c>
      <c r="CE192" s="756">
        <f>IF(EF192=0,0,IF(EE192&gt;AA192,0,IF(CC192=0,0,IF(AND(AZ192&gt;AW192,AW192&gt;0),0,IF(CU192=0,0,Summary!AE495)))))</f>
        <v>0</v>
      </c>
      <c r="CF192" s="475">
        <f t="shared" si="201"/>
        <v>0</v>
      </c>
      <c r="CG192" s="476">
        <f t="shared" si="169"/>
        <v>0</v>
      </c>
      <c r="CH192" s="487">
        <f t="shared" si="202"/>
        <v>0</v>
      </c>
      <c r="CI192" s="756">
        <f t="shared" si="203"/>
        <v>0</v>
      </c>
      <c r="CJ192" s="487">
        <f>IF(CT192&gt;0.4,0,IF(AND(AU192=2,CH192=0,CT192=0.5,ER192=100),35,IF(AND(AU192=3,BB192&gt;75,CH192=0,CT192=0.5,ER192=100),25,IF(CB192&gt;1,0,IF(EF192&gt;EE192,0,IF(AND(AF192&gt;1,CH192=100),0,IF(AND(AF192=1,AY192=0),0,IF(AND(EF192&lt;=EE192,AW192&gt;=AZ192,'Data Entry'!$C$74=1,AU192=2),VLOOKUP(W192,$DO$96:$DP$102,2,FALSE),IF(AND(EF192&lt;=EE192,AW192&gt;=AZ192,AU192=3,'Data Entry'!$C$74=1),VLOOKUP(W192,$DO$127:$DP$134,2,FALSE))))))))))</f>
        <v>0</v>
      </c>
      <c r="CK192" s="716">
        <f t="shared" si="204"/>
        <v>0</v>
      </c>
      <c r="CL192" s="57">
        <f t="shared" si="205"/>
        <v>0</v>
      </c>
      <c r="CM192" s="475">
        <f t="shared" si="231"/>
        <v>0</v>
      </c>
      <c r="CN192" s="660">
        <f>IF(CM192&lt;0.1,0,IF(ISNA(AT192),0,IF(CL192+BC192=1,0,IF(BV192&gt;0.01,0,IF(CL192&gt;0.01,0,IF(CF192=1,0,IF(BC192=0.5,0,IF(AND(CI192=1,AU192=3),0,IF(AND(CI192=5,CL192=0),0,IF(AND(R192=12,BR192=50),0,IF(CK192&gt;0.01,0,IF(AND(AJ192&gt;0.01,AU192=2,BC192=15),CM192*0.1,IF(AND(AJ192&gt;0.01,AU192=3,BC192=15),CM192*0.08,IF(AND(R192=12,BC192=3,AF192&lt;=0),0,IF(AND(BC192=15,BI192=0),0,IF(AND(BC192=15,BJ192=0),0,IF(AND(R192=20,CU192=0),0,IF($X$4=0,0,IF(AND(BC192=250,CL192=0),0,IF(AA192&lt;1,0,IF(AND(ISNUMBER(SEARCH("Area",T192)),AU192=3),0,IF(AND(AQ192&gt;0.01,AR192=0,BK192=0,BL192=0,BM192=0,BN192=0),0,IF(AND(AU192=3,CI192=7,CT192&gt;0.5),0,IF(AND(BC192=44,AU192=3,BY192=0),0,IF(AND(BC192=27,'Data Entry'!$C$74=2),0,IF(AND(BC192=28,'Data Entry'!$C$74=2),0,IF(AND(BY192+BZ192+CA192&gt;0.01,BV192=0,EQ192+ER192+ES192+ET192&lt;100),0,IF(AU192=3,CM192*0.08,IF(AU192=2,CM192*0.1,0)))))))))))))))))))))))))))))</f>
        <v>0</v>
      </c>
      <c r="CO192" s="660">
        <f t="shared" si="206"/>
        <v>0</v>
      </c>
      <c r="CP192" s="475" t="str">
        <f t="shared" si="207"/>
        <v/>
      </c>
      <c r="CQ192" s="161" t="str">
        <f>IF(AH192=0,0,IF(AU192=5,0,Summary!AC195))</f>
        <v/>
      </c>
      <c r="CR192" s="161" t="str">
        <f>IF(BF192=0.5,0,IF(AU192=5,0,Summary!AD195))</f>
        <v/>
      </c>
      <c r="CS192" s="161" t="str">
        <f>IF(AU192=5,0,Summary!AE195)</f>
        <v/>
      </c>
      <c r="CT192" s="161">
        <f t="shared" si="208"/>
        <v>0</v>
      </c>
      <c r="CU192" s="475" t="str">
        <f t="shared" si="209"/>
        <v/>
      </c>
      <c r="CV192" s="307">
        <f>IF('Data Entry'!$C$74=0,0,IF(AA192&lt;1,0,IF(ISERROR(CU192),0,IF(CF192=1,0,IF(AND(R192=12,BR192=50),0,IF(CL192+BO192+BV192+DC192=0,0,IF(BC192=37,0,IF(AND(BC192=40,AJ192=0),0,IF(AND(BC192=37,BO192&gt;0.01,BQ192&gt;0.01),ROUND(BQ192,0),IF(CM192&lt;0,0,ROUND(CM192,0)))))))))))</f>
        <v>0</v>
      </c>
      <c r="CW192" s="700">
        <f t="shared" si="210"/>
        <v>0</v>
      </c>
      <c r="CX192" s="477">
        <f>IF('Data Entry'!$C$74=0,0,IF(CV192&lt;0.01,0,IF(BF192=0.5,0,IF(CF192=1,0,IF(ISNUMBER(SEARCH("false",CL192)),0,IF(AZ192=500,0,CL192))))))</f>
        <v>0</v>
      </c>
      <c r="CY192" s="147" t="e">
        <f t="shared" si="211"/>
        <v>#VALUE!</v>
      </c>
      <c r="CZ192" s="147" t="b">
        <f>IF(CN192+CL192=0,FALSE,IF(AH192=0,0,IF(AND('Data Entry'!$C$74=1,CR192&gt;=1),TRUE,IF(AND('Data Entry'!$C$74=2,CS192&gt;=1),TRUE,FALSE))))</f>
        <v>0</v>
      </c>
      <c r="DA192" s="1751">
        <f>IF('Data Entry'!$C$74=0,0,IFERROR(ROUND(IF(T192="","",IF($X$4=0,0,IF(CF192=1,0,IF(BQ192+CV192=0,0,IF(CF192=1,0,IF(CY192&gt;0.01,CY192,IF(CL192&gt;0.01,CL192,IF(CY192&gt;0.01,CY192,IF(BC192=37,BO192,IF(CZ192=FALSE,0,IF(CZ192=TRUE,DC192+DF192,0))))))))))),2),""))</f>
        <v>0</v>
      </c>
      <c r="DB192" s="1752"/>
      <c r="DC192" s="474">
        <f>IF(CN192&lt;0.01,0,IF(AND(BR192=3,CN192&gt;0.01,CT192&gt;0.6,ER192+ES192+ET192&lt;100),0,IF(AND('Data Entry'!$C$74=1,CN192&gt;0.01,CR192&gt;0.99),MIN(CN192:CO192),IF(AND('Data Entry'!$C$74=2,CN192&gt;0.01,CS192&gt;0.99),MIN(CN192:CO192),0))))</f>
        <v>0</v>
      </c>
      <c r="DD192" s="478">
        <f>IF(CF192=1,"Selection does not match",IF(T192=0,0,IF(AND('Data Entry'!$C$74=0,CP192&gt;1),"Select Oregon or Idaho on Data Entry Tab",IF(AND(AU192=1,AA192&gt;0.9),"Missing Interior or Exterior Selection",IF($X$4=0,"Enter Total Project Cost",IF(AQ192&lt;AR192,"Insufficient kWh savings – no incentive",IF(AND(SUM(CL192+CK192+BV192)&gt;0.01,'Data Entry'!$C$74=2,CJ192&gt;1,BO192=0),"Submit Control as Non-Standard",IF(AND('Data Entry'!$C$74=2,BR192=37,CJ192&gt;1,BO192=0),"Submit Control as Non-Standard",IF(SUM(CL192+CK192+BV192)&gt;0.01,"Standard Incentive",IF(AND('Data Entry'!$C$74=2,CP192=7,CN192=0),"Submit as Non-Standard",IF(DC192&gt;0.9,"Non-Standard Incentive",IF(AND(BY192+BZ192+CA192&gt;0.01,BV192=0,EQ192=0,ER192=0,ES192=0,ET192=0),"Scroll Right &amp; Select Control Strategies",IF(AND(CN192&gt;0.01,CO192=0),"Enter Unit Installed Cost",IF(ISNUMBER(SEARCH("Lighting Controls Only",F192)),"Lighting Controls Only",IF(CL192+DC192=0,"Does not meet incentive criteria",0)))))))))))))))</f>
        <v>0</v>
      </c>
      <c r="DE192" s="337">
        <f t="shared" si="212"/>
        <v>0</v>
      </c>
      <c r="DF192" s="609">
        <f t="shared" si="213"/>
        <v>0</v>
      </c>
      <c r="DG192" s="336" t="str">
        <f t="shared" si="214"/>
        <v/>
      </c>
      <c r="DH192" s="338">
        <f t="shared" si="215"/>
        <v>1</v>
      </c>
      <c r="DI192" s="336" t="e">
        <f t="shared" si="170"/>
        <v>#VALUE!</v>
      </c>
      <c r="DJ192" s="1142">
        <f t="shared" si="171"/>
        <v>0</v>
      </c>
      <c r="DK192" s="331"/>
      <c r="DL192" s="332"/>
      <c r="DM192" s="862" t="s">
        <v>1499</v>
      </c>
      <c r="DN192" s="863">
        <f>DN191*0.9</f>
        <v>3653.1</v>
      </c>
      <c r="DO192" s="330"/>
      <c r="DP192" s="81"/>
      <c r="DQ192" s="409" t="s">
        <v>73</v>
      </c>
      <c r="DR192" s="1193" t="s">
        <v>1210</v>
      </c>
      <c r="DS192" s="1195">
        <f t="shared" si="216"/>
        <v>0</v>
      </c>
      <c r="DT192" s="344" t="b">
        <f t="shared" si="217"/>
        <v>1</v>
      </c>
      <c r="DU192" s="1314" t="str">
        <f t="array" ref="DU192">IF(OR(COUNTIF(F192,"*"&amp;$DK$9:$DK$178&amp;"*")), "Yes", "")</f>
        <v/>
      </c>
      <c r="DV192" s="1314">
        <f t="shared" si="218"/>
        <v>0</v>
      </c>
      <c r="DW192" s="1480">
        <f t="shared" si="219"/>
        <v>0</v>
      </c>
      <c r="DX192" s="1498">
        <f t="shared" si="228"/>
        <v>0</v>
      </c>
      <c r="DY192" s="1484">
        <f t="shared" si="220"/>
        <v>0</v>
      </c>
      <c r="DZ192" s="331"/>
      <c r="EA192" s="392"/>
      <c r="EB192" s="1499" t="s">
        <v>142</v>
      </c>
      <c r="EC192" s="727" t="s">
        <v>1569</v>
      </c>
      <c r="ED192" s="728">
        <v>0.5</v>
      </c>
      <c r="EE192" s="1215"/>
      <c r="EF192" s="1215"/>
      <c r="EG192" s="1184" t="str">
        <f t="shared" si="221"/>
        <v/>
      </c>
      <c r="EH192" s="55"/>
      <c r="EI192" s="55"/>
      <c r="EJ192" s="1185">
        <f t="shared" si="172"/>
        <v>0</v>
      </c>
      <c r="EK192" s="1211"/>
      <c r="EL192" s="1180">
        <f t="shared" si="173"/>
        <v>0</v>
      </c>
      <c r="EM192" s="206"/>
      <c r="EN192" s="1038"/>
      <c r="EO192" s="1038"/>
      <c r="EP192" s="1038"/>
      <c r="EQ192" s="1038">
        <f t="shared" si="222"/>
        <v>0</v>
      </c>
      <c r="ER192" s="1041">
        <f t="shared" si="223"/>
        <v>0</v>
      </c>
      <c r="ES192" s="1042">
        <f t="shared" si="224"/>
        <v>0</v>
      </c>
      <c r="ET192" s="1042">
        <f t="shared" si="229"/>
        <v>0</v>
      </c>
      <c r="EU192" s="1021">
        <f t="shared" si="230"/>
        <v>0</v>
      </c>
      <c r="EV192" s="368"/>
      <c r="EW192" s="368"/>
      <c r="EX192" s="369"/>
      <c r="EY192" s="370"/>
      <c r="EZ192" s="370"/>
      <c r="FA192" s="371"/>
      <c r="FB192" s="372"/>
    </row>
    <row r="193" spans="1:158" ht="34.5" customHeight="1">
      <c r="A193" s="82">
        <v>185</v>
      </c>
      <c r="B193" s="1725"/>
      <c r="C193" s="1726"/>
      <c r="D193" s="1726"/>
      <c r="E193" s="1727"/>
      <c r="F193" s="1732"/>
      <c r="G193" s="1733"/>
      <c r="H193" s="1733"/>
      <c r="I193" s="1734"/>
      <c r="J193" s="1341"/>
      <c r="K193" s="1728"/>
      <c r="L193" s="1728"/>
      <c r="M193" s="1342"/>
      <c r="N193" s="1583"/>
      <c r="O193" s="208" t="str">
        <f t="shared" si="160"/>
        <v/>
      </c>
      <c r="P193" s="785"/>
      <c r="Q193" s="39" t="str">
        <f t="shared" si="161"/>
        <v/>
      </c>
      <c r="R193" s="39">
        <f t="shared" si="174"/>
        <v>0</v>
      </c>
      <c r="S193" s="234">
        <f t="shared" si="175"/>
        <v>0</v>
      </c>
      <c r="T193" s="1755"/>
      <c r="U193" s="1755"/>
      <c r="V193" s="1755"/>
      <c r="W193" s="1345"/>
      <c r="X193" s="1741"/>
      <c r="Y193" s="1742"/>
      <c r="Z193" s="1346"/>
      <c r="AA193" s="1343"/>
      <c r="AB193" s="1141"/>
      <c r="AC193" s="1103" t="str">
        <f>IF(T193="","",VLOOKUP(Z193,Lists!$A$60:$B$111,2,FALSE))</f>
        <v/>
      </c>
      <c r="AD193" s="130" t="str">
        <f t="shared" si="176"/>
        <v/>
      </c>
      <c r="AE193" s="130" t="e">
        <f t="shared" si="177"/>
        <v>#VALUE!</v>
      </c>
      <c r="AF193" s="130">
        <f t="shared" si="178"/>
        <v>1</v>
      </c>
      <c r="AG193" s="234">
        <f t="shared" si="162"/>
        <v>0</v>
      </c>
      <c r="AH193" s="1753" t="str">
        <f>IF(T193="","",(IF(ISNUMBER(SEARCH("exit",T193)),8760,IF(AND(M193="Dusk to Dawn",'Proposed Lighting'!AU193=3),4059,IF(AND(AU193=3,M193="1"),0,IF(AND(AU193=3,M193="1-C"),0,IF(AND(AU193=3,M193="2"),0,IF(AND(AU193=3,M193="2-C"),0,IF(AND(AU193=3,M193="3"),0,IF(AND(AU193=3,M193="3-C"),0,IF(AND(AU193=2,M193="Dusk to Dawn"),0,IF(AND(AU193=2,M193="Dusk to Dawn-C"),0,IF(AND(AU193=2,M193="Dusk to Dawn"),0,IF(AND(AU193=2,M193="E"),0,IF(AND(AU193=2,M193="E-C"),0,EG193)))))))))))))))</f>
        <v/>
      </c>
      <c r="AI193" s="1754"/>
      <c r="AJ193" s="1136"/>
      <c r="AK193" s="1136"/>
      <c r="AL193" s="1748">
        <f t="shared" si="179"/>
        <v>0</v>
      </c>
      <c r="AM193" s="1749"/>
      <c r="AN193" s="1750"/>
      <c r="AO193" s="476">
        <f t="shared" si="163"/>
        <v>0</v>
      </c>
      <c r="AP193" s="476">
        <f t="shared" si="180"/>
        <v>0</v>
      </c>
      <c r="AQ193" s="475">
        <f t="shared" si="164"/>
        <v>0</v>
      </c>
      <c r="AR193" s="475">
        <f t="shared" si="181"/>
        <v>0</v>
      </c>
      <c r="AS193" s="743" t="str">
        <f t="shared" si="233"/>
        <v/>
      </c>
      <c r="AT193" s="736" t="str">
        <f t="shared" si="182"/>
        <v/>
      </c>
      <c r="AU193" s="56">
        <f t="shared" si="183"/>
        <v>1</v>
      </c>
      <c r="AV193" s="476">
        <f t="shared" si="184"/>
        <v>0</v>
      </c>
      <c r="AW193" s="56">
        <f t="shared" si="185"/>
        <v>0</v>
      </c>
      <c r="AX193" s="475">
        <f t="shared" si="165"/>
        <v>0</v>
      </c>
      <c r="AY193" s="1169">
        <f t="shared" si="186"/>
        <v>0</v>
      </c>
      <c r="AZ193" s="1150">
        <f t="shared" si="225"/>
        <v>0</v>
      </c>
      <c r="BA193" s="56">
        <f t="shared" si="166"/>
        <v>0</v>
      </c>
      <c r="BB193" s="420">
        <f t="shared" si="167"/>
        <v>0</v>
      </c>
      <c r="BC193" s="58" t="str">
        <f t="shared" si="168"/>
        <v/>
      </c>
      <c r="BD193" s="660">
        <f t="shared" si="226"/>
        <v>0</v>
      </c>
      <c r="BE193" s="57" t="e">
        <f t="array" ref="BE193">INDEX($EB$11:$ED$1022,MATCH(F193&amp;T193,$EB$11:$EB$1007&amp;$EC$11:$EC$1007,0),3)</f>
        <v>#N/A</v>
      </c>
      <c r="BF193" s="463">
        <f t="shared" si="234"/>
        <v>0</v>
      </c>
      <c r="BG193" s="1445" t="e">
        <f t="array" ref="BG193">INDEX($DO$112:$DQ$123,MATCH(T193&amp;W193,$DO$114:$DO$125&amp;$DP$112:$DP$123,0),3)</f>
        <v>#N/A</v>
      </c>
      <c r="BH193" s="1446">
        <f t="shared" si="187"/>
        <v>0</v>
      </c>
      <c r="BI193" s="465">
        <f t="shared" si="188"/>
        <v>0</v>
      </c>
      <c r="BJ193" s="465">
        <f t="shared" si="189"/>
        <v>0</v>
      </c>
      <c r="BK193" s="466">
        <f t="shared" si="235"/>
        <v>0</v>
      </c>
      <c r="BL193" s="466">
        <f t="shared" si="236"/>
        <v>0</v>
      </c>
      <c r="BM193" s="466">
        <f t="shared" si="190"/>
        <v>0</v>
      </c>
      <c r="BN193" s="466">
        <f t="shared" si="191"/>
        <v>0</v>
      </c>
      <c r="BO193" s="463">
        <f>IF('Data Entry'!$C$74=0,0,IF(ISNA(CJ193),0,IF(AX193=0,0,IF(AND('Data Entry'!$C$74=2,AF193&gt;2,CE193&lt;1),0,IF(AND('Data Entry'!$C$74=2,AF193&gt;1,AU193=2,CJ193&gt;1),0,IF(AND(AF193=5,CT193=0.5,AU193=2,ER193&lt;100),0,IF(AND(AF193=5,CT193=0.5,AU193=3,ER193&lt;100),0,IF(AND('Data Entry'!$C$74=2,AF193=2,AU193=2,AK193&gt;0.01,CB193=2,CE193&lt;1),0,IF(AND('Data Entry'!$C$74=2,AF193=3,AU193=3,AK193&gt;0.01,CB193=3,CE193&lt;1),0,IF(AND('Data Entry'!$C$74=2,AF193=3,AU193=3,AK193&gt;0.01,CB193=3,CE193&gt;0.99),BQ193*0.08,IF(AND('Data Entry'!$C$74=2,AF193=2,AU193=2,AK193&gt;0.01,CB193=2,CE193&gt;0.99),BQ193*0.1,IF(AND(AU193=2,AK193&gt;0.01,CB193=2,CD193&gt;1),BQ193*0.1,IF(AND(AU193=3,AK193&gt;0.01,CB193=3,CD193&gt;1),BQ193*0.08,CJ193*EF193)))))))))))))</f>
        <v>0</v>
      </c>
      <c r="BP193" s="475">
        <f t="shared" si="192"/>
        <v>0</v>
      </c>
      <c r="BQ193" s="1431">
        <f>IF(AU193=1,0,IF(CH193=100,0,IF(AND(AF193=3,AU193=2),0,IF(AND(BH193=0,CT193&gt;0.4),0,IF(AND('Data Entry'!$C$74=2,AF193=1.5),0,IF(AND('Data Entry'!$C$74=2,AF193=1.6),0,IF(AND('Data Entry'!$C$74=2,AF193=4),0,IF(AND('Data Entry'!$C$74=2,AF193=5),0,IF(AND('Data Entry'!$C$74=2,AF193=2.5,CE193&lt;1),0,IF(AND('Data Entry'!$C$74=2,AF193=3,CE193&lt;1),0,IF(AND('Data Entry'!$C$74=1,AF193=2.5,CD193&lt;1),0,IF(AND('Data Entry'!$C$74=1,AF193=3,CD193&lt;1),0,IF(DX193&gt;0.01,DX193,IF(ISERROR(AX193-AY193),"",ROUND(AX193-AY193,2)))))))))))))))</f>
        <v>0</v>
      </c>
      <c r="BR193" s="146">
        <f t="shared" si="193"/>
        <v>0</v>
      </c>
      <c r="BS193" s="475">
        <f t="shared" si="194"/>
        <v>0</v>
      </c>
      <c r="BT193" s="146" t="b">
        <f t="shared" si="195"/>
        <v>0</v>
      </c>
      <c r="BU193" s="463">
        <f>IF(ISNA(AT193),0,IF(AND('Data Entry'!$C$74=2,BC193=27),0,IF(AND('Data Entry'!$C$74=2,BC193=28),0,IF(AND(BC193=27,BT193=27,CM193&gt;0.1),CM193*0.15,IF(AND(BC193=28,BT193=28,CM193&gt;0.1),CM193*0.12,0)))))</f>
        <v>0</v>
      </c>
      <c r="BV193" s="463">
        <f t="shared" si="232"/>
        <v>0</v>
      </c>
      <c r="BW193" s="463">
        <f t="shared" si="196"/>
        <v>0</v>
      </c>
      <c r="BX193" s="463">
        <f t="shared" si="197"/>
        <v>0</v>
      </c>
      <c r="BY193" s="463">
        <f t="shared" si="198"/>
        <v>0</v>
      </c>
      <c r="BZ193" s="463">
        <f t="shared" si="199"/>
        <v>0</v>
      </c>
      <c r="CA193" s="57">
        <f t="shared" si="227"/>
        <v>0</v>
      </c>
      <c r="CB193" s="56">
        <f t="shared" si="200"/>
        <v>1</v>
      </c>
      <c r="CC193" s="756">
        <f>IF(EE193=0,0,IF(EF193=0,0,IF(EE193&gt;AA193,0,IF(AND(AZ193&gt;AW193,AW193&gt;0),0,IF(CU193=0,0,Summary!AC496)))))</f>
        <v>0</v>
      </c>
      <c r="CD193" s="756">
        <f>IF(EE193=0,0,IF(EF193=0,0,IF(EE193&gt;AA193,0,IF(AND(AZ193&gt;AW193,AW193&gt;0),0,IF(CU193=0,0,Summary!AD496)))))</f>
        <v>0</v>
      </c>
      <c r="CE193" s="756">
        <f>IF(EF193=0,0,IF(EE193&gt;AA193,0,IF(CC193=0,0,IF(AND(AZ193&gt;AW193,AW193&gt;0),0,IF(CU193=0,0,Summary!AE496)))))</f>
        <v>0</v>
      </c>
      <c r="CF193" s="475">
        <f t="shared" si="201"/>
        <v>0</v>
      </c>
      <c r="CG193" s="476">
        <f t="shared" si="169"/>
        <v>0</v>
      </c>
      <c r="CH193" s="487">
        <f t="shared" si="202"/>
        <v>0</v>
      </c>
      <c r="CI193" s="756">
        <f t="shared" si="203"/>
        <v>0</v>
      </c>
      <c r="CJ193" s="487">
        <f>IF(CT193&gt;0.4,0,IF(AND(AU193=2,CH193=0,CT193=0.5,ER193=100),35,IF(AND(AU193=3,BB193&gt;75,CH193=0,CT193=0.5,ER193=100),25,IF(CB193&gt;1,0,IF(EF193&gt;EE193,0,IF(AND(AF193&gt;1,CH193=100),0,IF(AND(AF193=1,AY193=0),0,IF(AND(EF193&lt;=EE193,AW193&gt;=AZ193,'Data Entry'!$C$74=1,AU193=2),VLOOKUP(W193,$DO$96:$DP$102,2,FALSE),IF(AND(EF193&lt;=EE193,AW193&gt;=AZ193,AU193=3,'Data Entry'!$C$74=1),VLOOKUP(W193,$DO$127:$DP$134,2,FALSE))))))))))</f>
        <v>0</v>
      </c>
      <c r="CK193" s="716">
        <f t="shared" si="204"/>
        <v>0</v>
      </c>
      <c r="CL193" s="57">
        <f t="shared" si="205"/>
        <v>0</v>
      </c>
      <c r="CM193" s="475">
        <f t="shared" si="231"/>
        <v>0</v>
      </c>
      <c r="CN193" s="660">
        <f>IF(CM193&lt;0.1,0,IF(ISNA(AT193),0,IF(CL193+BC193=1,0,IF(BV193&gt;0.01,0,IF(CL193&gt;0.01,0,IF(CF193=1,0,IF(BC193=0.5,0,IF(AND(CI193=1,AU193=3),0,IF(AND(CI193=5,CL193=0),0,IF(AND(R193=12,BR193=50),0,IF(CK193&gt;0.01,0,IF(AND(AJ193&gt;0.01,AU193=2,BC193=15),CM193*0.1,IF(AND(AJ193&gt;0.01,AU193=3,BC193=15),CM193*0.08,IF(AND(R193=12,BC193=3,AF193&lt;=0),0,IF(AND(BC193=15,BI193=0),0,IF(AND(BC193=15,BJ193=0),0,IF(AND(R193=20,CU193=0),0,IF($X$4=0,0,IF(AND(BC193=250,CL193=0),0,IF(AA193&lt;1,0,IF(AND(ISNUMBER(SEARCH("Area",T193)),AU193=3),0,IF(AND(AQ193&gt;0.01,AR193=0,BK193=0,BL193=0,BM193=0,BN193=0),0,IF(AND(AU193=3,CI193=7,CT193&gt;0.5),0,IF(AND(BC193=44,AU193=3,BY193=0),0,IF(AND(BC193=27,'Data Entry'!$C$74=2),0,IF(AND(BC193=28,'Data Entry'!$C$74=2),0,IF(AND(BY193+BZ193+CA193&gt;0.01,BV193=0,EQ193+ER193+ES193+ET193&lt;100),0,IF(AU193=3,CM193*0.08,IF(AU193=2,CM193*0.1,0)))))))))))))))))))))))))))))</f>
        <v>0</v>
      </c>
      <c r="CO193" s="660">
        <f t="shared" si="206"/>
        <v>0</v>
      </c>
      <c r="CP193" s="475" t="str">
        <f t="shared" si="207"/>
        <v/>
      </c>
      <c r="CQ193" s="161" t="str">
        <f>IF(AH193=0,0,IF(AU193=5,0,Summary!AC196))</f>
        <v/>
      </c>
      <c r="CR193" s="161" t="str">
        <f>IF(BF193=0.5,0,IF(AU193=5,0,Summary!AD196))</f>
        <v/>
      </c>
      <c r="CS193" s="161" t="str">
        <f>IF(AU193=5,0,Summary!AE196)</f>
        <v/>
      </c>
      <c r="CT193" s="161">
        <f t="shared" si="208"/>
        <v>0</v>
      </c>
      <c r="CU193" s="475" t="str">
        <f t="shared" si="209"/>
        <v/>
      </c>
      <c r="CV193" s="307">
        <f>IF('Data Entry'!$C$74=0,0,IF(AA193&lt;1,0,IF(ISERROR(CU193),0,IF(CF193=1,0,IF(AND(R193=12,BR193=50),0,IF(CL193+BO193+BV193+DC193=0,0,IF(BC193=37,0,IF(AND(BC193=40,AJ193=0),0,IF(AND(BC193=37,BO193&gt;0.01,BQ193&gt;0.01),ROUND(BQ193,0),IF(CM193&lt;0,0,ROUND(CM193,0)))))))))))</f>
        <v>0</v>
      </c>
      <c r="CW193" s="700">
        <f t="shared" si="210"/>
        <v>0</v>
      </c>
      <c r="CX193" s="477">
        <f>IF('Data Entry'!$C$74=0,0,IF(CV193&lt;0.01,0,IF(BF193=0.5,0,IF(CF193=1,0,IF(ISNUMBER(SEARCH("false",CL193)),0,IF(AZ193=500,0,CL193))))))</f>
        <v>0</v>
      </c>
      <c r="CY193" s="147" t="e">
        <f t="shared" si="211"/>
        <v>#VALUE!</v>
      </c>
      <c r="CZ193" s="147" t="b">
        <f>IF(CN193+CL193=0,FALSE,IF(AH193=0,0,IF(AND('Data Entry'!$C$74=1,CR193&gt;=1),TRUE,IF(AND('Data Entry'!$C$74=2,CS193&gt;=1),TRUE,FALSE))))</f>
        <v>0</v>
      </c>
      <c r="DA193" s="1751">
        <f>IF('Data Entry'!$C$74=0,0,IFERROR(ROUND(IF(T193="","",IF($X$4=0,0,IF(CF193=1,0,IF(BQ193+CV193=0,0,IF(CF193=1,0,IF(CY193&gt;0.01,CY193,IF(CL193&gt;0.01,CL193,IF(CY193&gt;0.01,CY193,IF(BC193=37,BO193,IF(CZ193=FALSE,0,IF(CZ193=TRUE,DC193+DF193,0))))))))))),2),""))</f>
        <v>0</v>
      </c>
      <c r="DB193" s="1752"/>
      <c r="DC193" s="474">
        <f>IF(CN193&lt;0.01,0,IF(AND(BR193=3,CN193&gt;0.01,CT193&gt;0.6,ER193+ES193+ET193&lt;100),0,IF(AND('Data Entry'!$C$74=1,CN193&gt;0.01,CR193&gt;0.99),MIN(CN193:CO193),IF(AND('Data Entry'!$C$74=2,CN193&gt;0.01,CS193&gt;0.99),MIN(CN193:CO193),0))))</f>
        <v>0</v>
      </c>
      <c r="DD193" s="478">
        <f>IF(CF193=1,"Selection does not match",IF(T193=0,0,IF(AND('Data Entry'!$C$74=0,CP193&gt;1),"Select Oregon or Idaho on Data Entry Tab",IF(AND(AU193=1,AA193&gt;0.9),"Missing Interior or Exterior Selection",IF($X$4=0,"Enter Total Project Cost",IF(AQ193&lt;AR193,"Insufficient kWh savings – no incentive",IF(AND(SUM(CL193+CK193+BV193)&gt;0.01,'Data Entry'!$C$74=2,CJ193&gt;1,BO193=0),"Submit Control as Non-Standard",IF(AND('Data Entry'!$C$74=2,BR193=37,CJ193&gt;1,BO193=0),"Submit Control as Non-Standard",IF(SUM(CL193+CK193+BV193)&gt;0.01,"Standard Incentive",IF(AND('Data Entry'!$C$74=2,CP193=7,CN193=0),"Submit as Non-Standard",IF(DC193&gt;0.9,"Non-Standard Incentive",IF(AND(BY193+BZ193+CA193&gt;0.01,BV193=0,EQ193=0,ER193=0,ES193=0,ET193=0),"Scroll Right &amp; Select Control Strategies",IF(AND(CN193&gt;0.01,CO193=0),"Enter Unit Installed Cost",IF(ISNUMBER(SEARCH("Lighting Controls Only",F193)),"Lighting Controls Only",IF(CL193+DC193=0,"Does not meet incentive criteria",0)))))))))))))))</f>
        <v>0</v>
      </c>
      <c r="DE193" s="337">
        <f t="shared" si="212"/>
        <v>0</v>
      </c>
      <c r="DF193" s="609">
        <f t="shared" si="213"/>
        <v>0</v>
      </c>
      <c r="DG193" s="336" t="str">
        <f t="shared" si="214"/>
        <v/>
      </c>
      <c r="DH193" s="338">
        <f t="shared" si="215"/>
        <v>1</v>
      </c>
      <c r="DI193" s="336" t="e">
        <f t="shared" si="170"/>
        <v>#VALUE!</v>
      </c>
      <c r="DJ193" s="1142">
        <f t="shared" si="171"/>
        <v>0</v>
      </c>
      <c r="DK193" s="361"/>
      <c r="DL193" s="329"/>
      <c r="DM193" s="864" t="s">
        <v>1418</v>
      </c>
      <c r="DN193" s="859"/>
      <c r="DO193" s="361"/>
      <c r="DP193" s="81"/>
      <c r="DQ193" s="411" t="s">
        <v>1092</v>
      </c>
      <c r="DR193" s="610">
        <v>0</v>
      </c>
      <c r="DS193" s="1195">
        <f t="shared" si="216"/>
        <v>0</v>
      </c>
      <c r="DT193" s="344" t="b">
        <f t="shared" si="217"/>
        <v>1</v>
      </c>
      <c r="DU193" s="1314" t="str">
        <f t="array" ref="DU193">IF(OR(COUNTIF(F193,"*"&amp;$DK$9:$DK$178&amp;"*")), "Yes", "")</f>
        <v/>
      </c>
      <c r="DV193" s="1314">
        <f t="shared" si="218"/>
        <v>0</v>
      </c>
      <c r="DW193" s="1480">
        <f t="shared" si="219"/>
        <v>0</v>
      </c>
      <c r="DX193" s="1498">
        <f t="shared" si="228"/>
        <v>0</v>
      </c>
      <c r="DY193" s="1484">
        <f t="shared" si="220"/>
        <v>0</v>
      </c>
      <c r="DZ193" s="331"/>
      <c r="EA193" s="392"/>
      <c r="EB193" s="1499" t="s">
        <v>135</v>
      </c>
      <c r="EC193" s="727" t="s">
        <v>1569</v>
      </c>
      <c r="ED193" s="728">
        <v>0.5</v>
      </c>
      <c r="EE193" s="1215"/>
      <c r="EF193" s="1215"/>
      <c r="EG193" s="1184" t="str">
        <f t="shared" si="221"/>
        <v/>
      </c>
      <c r="EH193" s="55"/>
      <c r="EI193" s="55"/>
      <c r="EJ193" s="1185">
        <f t="shared" si="172"/>
        <v>0</v>
      </c>
      <c r="EK193" s="1211"/>
      <c r="EL193" s="1180">
        <f t="shared" si="173"/>
        <v>0</v>
      </c>
      <c r="EM193" s="206"/>
      <c r="EN193" s="1038"/>
      <c r="EO193" s="1038"/>
      <c r="EP193" s="1038"/>
      <c r="EQ193" s="1038">
        <f t="shared" si="222"/>
        <v>0</v>
      </c>
      <c r="ER193" s="1041">
        <f t="shared" si="223"/>
        <v>0</v>
      </c>
      <c r="ES193" s="1042">
        <f t="shared" si="224"/>
        <v>0</v>
      </c>
      <c r="ET193" s="1042">
        <f t="shared" si="229"/>
        <v>0</v>
      </c>
      <c r="EU193" s="1021">
        <f t="shared" si="230"/>
        <v>0</v>
      </c>
      <c r="EV193" s="368"/>
      <c r="EW193" s="368"/>
      <c r="EX193" s="369"/>
      <c r="EY193" s="370"/>
      <c r="EZ193" s="370"/>
      <c r="FA193" s="371"/>
      <c r="FB193" s="372"/>
    </row>
    <row r="194" spans="1:158" ht="34.5" customHeight="1">
      <c r="A194" s="82">
        <v>186</v>
      </c>
      <c r="B194" s="1725"/>
      <c r="C194" s="1726"/>
      <c r="D194" s="1726"/>
      <c r="E194" s="1727"/>
      <c r="F194" s="1732"/>
      <c r="G194" s="1733"/>
      <c r="H194" s="1733"/>
      <c r="I194" s="1734"/>
      <c r="J194" s="1341"/>
      <c r="K194" s="1728"/>
      <c r="L194" s="1728"/>
      <c r="M194" s="1342"/>
      <c r="N194" s="1583"/>
      <c r="O194" s="208" t="str">
        <f t="shared" si="160"/>
        <v/>
      </c>
      <c r="P194" s="785"/>
      <c r="Q194" s="39" t="str">
        <f t="shared" si="161"/>
        <v/>
      </c>
      <c r="R194" s="39">
        <f t="shared" si="174"/>
        <v>0</v>
      </c>
      <c r="S194" s="234">
        <f t="shared" si="175"/>
        <v>0</v>
      </c>
      <c r="T194" s="1755"/>
      <c r="U194" s="1755"/>
      <c r="V194" s="1755"/>
      <c r="W194" s="1345"/>
      <c r="X194" s="1741"/>
      <c r="Y194" s="1742"/>
      <c r="Z194" s="1346"/>
      <c r="AA194" s="1343"/>
      <c r="AB194" s="1141"/>
      <c r="AC194" s="1103" t="str">
        <f>IF(T194="","",VLOOKUP(Z194,Lists!$A$60:$B$111,2,FALSE))</f>
        <v/>
      </c>
      <c r="AD194" s="130" t="str">
        <f t="shared" si="176"/>
        <v/>
      </c>
      <c r="AE194" s="130" t="e">
        <f t="shared" si="177"/>
        <v>#VALUE!</v>
      </c>
      <c r="AF194" s="130">
        <f t="shared" si="178"/>
        <v>1</v>
      </c>
      <c r="AG194" s="234">
        <f t="shared" si="162"/>
        <v>0</v>
      </c>
      <c r="AH194" s="1753" t="str">
        <f>IF(T194="","",(IF(ISNUMBER(SEARCH("exit",T194)),8760,IF(AND(M194="Dusk to Dawn",'Proposed Lighting'!AU194=3),4059,IF(AND(AU194=3,M194="1"),0,IF(AND(AU194=3,M194="1-C"),0,IF(AND(AU194=3,M194="2"),0,IF(AND(AU194=3,M194="2-C"),0,IF(AND(AU194=3,M194="3"),0,IF(AND(AU194=3,M194="3-C"),0,IF(AND(AU194=2,M194="Dusk to Dawn"),0,IF(AND(AU194=2,M194="Dusk to Dawn-C"),0,IF(AND(AU194=2,M194="Dusk to Dawn"),0,IF(AND(AU194=2,M194="E"),0,IF(AND(AU194=2,M194="E-C"),0,EG194)))))))))))))))</f>
        <v/>
      </c>
      <c r="AI194" s="1754"/>
      <c r="AJ194" s="1136"/>
      <c r="AK194" s="1136"/>
      <c r="AL194" s="1748">
        <f t="shared" si="179"/>
        <v>0</v>
      </c>
      <c r="AM194" s="1749"/>
      <c r="AN194" s="1750"/>
      <c r="AO194" s="476">
        <f t="shared" si="163"/>
        <v>0</v>
      </c>
      <c r="AP194" s="476">
        <f t="shared" si="180"/>
        <v>0</v>
      </c>
      <c r="AQ194" s="475">
        <f t="shared" si="164"/>
        <v>0</v>
      </c>
      <c r="AR194" s="475">
        <f t="shared" si="181"/>
        <v>0</v>
      </c>
      <c r="AS194" s="743" t="str">
        <f t="shared" si="233"/>
        <v/>
      </c>
      <c r="AT194" s="736" t="str">
        <f t="shared" si="182"/>
        <v/>
      </c>
      <c r="AU194" s="56">
        <f t="shared" si="183"/>
        <v>1</v>
      </c>
      <c r="AV194" s="476">
        <f t="shared" si="184"/>
        <v>0</v>
      </c>
      <c r="AW194" s="56">
        <f t="shared" si="185"/>
        <v>0</v>
      </c>
      <c r="AX194" s="475">
        <f t="shared" si="165"/>
        <v>0</v>
      </c>
      <c r="AY194" s="1169">
        <f t="shared" si="186"/>
        <v>0</v>
      </c>
      <c r="AZ194" s="1150">
        <f t="shared" si="225"/>
        <v>0</v>
      </c>
      <c r="BA194" s="56">
        <f t="shared" si="166"/>
        <v>0</v>
      </c>
      <c r="BB194" s="420">
        <f t="shared" si="167"/>
        <v>0</v>
      </c>
      <c r="BC194" s="58" t="str">
        <f t="shared" si="168"/>
        <v/>
      </c>
      <c r="BD194" s="660">
        <f t="shared" si="226"/>
        <v>0</v>
      </c>
      <c r="BE194" s="57" t="e">
        <f t="array" ref="BE194">INDEX($EB$11:$ED$1022,MATCH(F194&amp;T194,$EB$11:$EB$1007&amp;$EC$11:$EC$1007,0),3)</f>
        <v>#N/A</v>
      </c>
      <c r="BF194" s="463">
        <f t="shared" si="234"/>
        <v>0</v>
      </c>
      <c r="BG194" s="1445" t="e">
        <f t="array" ref="BG194">INDEX($DO$112:$DQ$123,MATCH(T194&amp;W194,$DO$114:$DO$125&amp;$DP$112:$DP$123,0),3)</f>
        <v>#N/A</v>
      </c>
      <c r="BH194" s="1446">
        <f t="shared" si="187"/>
        <v>0</v>
      </c>
      <c r="BI194" s="465">
        <f t="shared" si="188"/>
        <v>0</v>
      </c>
      <c r="BJ194" s="465">
        <f t="shared" si="189"/>
        <v>0</v>
      </c>
      <c r="BK194" s="466">
        <f t="shared" si="235"/>
        <v>0</v>
      </c>
      <c r="BL194" s="466">
        <f t="shared" si="236"/>
        <v>0</v>
      </c>
      <c r="BM194" s="466">
        <f t="shared" si="190"/>
        <v>0</v>
      </c>
      <c r="BN194" s="466">
        <f t="shared" si="191"/>
        <v>0</v>
      </c>
      <c r="BO194" s="463">
        <f>IF('Data Entry'!$C$74=0,0,IF(ISNA(CJ194),0,IF(AX194=0,0,IF(AND('Data Entry'!$C$74=2,AF194&gt;2,CE194&lt;1),0,IF(AND('Data Entry'!$C$74=2,AF194&gt;1,AU194=2,CJ194&gt;1),0,IF(AND(AF194=5,CT194=0.5,AU194=2,ER194&lt;100),0,IF(AND(AF194=5,CT194=0.5,AU194=3,ER194&lt;100),0,IF(AND('Data Entry'!$C$74=2,AF194=2,AU194=2,AK194&gt;0.01,CB194=2,CE194&lt;1),0,IF(AND('Data Entry'!$C$74=2,AF194=3,AU194=3,AK194&gt;0.01,CB194=3,CE194&lt;1),0,IF(AND('Data Entry'!$C$74=2,AF194=3,AU194=3,AK194&gt;0.01,CB194=3,CE194&gt;0.99),BQ194*0.08,IF(AND('Data Entry'!$C$74=2,AF194=2,AU194=2,AK194&gt;0.01,CB194=2,CE194&gt;0.99),BQ194*0.1,IF(AND(AU194=2,AK194&gt;0.01,CB194=2,CD194&gt;1),BQ194*0.1,IF(AND(AU194=3,AK194&gt;0.01,CB194=3,CD194&gt;1),BQ194*0.08,CJ194*EF194)))))))))))))</f>
        <v>0</v>
      </c>
      <c r="BP194" s="475">
        <f t="shared" si="192"/>
        <v>0</v>
      </c>
      <c r="BQ194" s="1431">
        <f>IF(AU194=1,0,IF(CH194=100,0,IF(AND(AF194=3,AU194=2),0,IF(AND(BH194=0,CT194&gt;0.4),0,IF(AND('Data Entry'!$C$74=2,AF194=1.5),0,IF(AND('Data Entry'!$C$74=2,AF194=1.6),0,IF(AND('Data Entry'!$C$74=2,AF194=4),0,IF(AND('Data Entry'!$C$74=2,AF194=5),0,IF(AND('Data Entry'!$C$74=2,AF194=2.5,CE194&lt;1),0,IF(AND('Data Entry'!$C$74=2,AF194=3,CE194&lt;1),0,IF(AND('Data Entry'!$C$74=1,AF194=2.5,CD194&lt;1),0,IF(AND('Data Entry'!$C$74=1,AF194=3,CD194&lt;1),0,IF(DX194&gt;0.01,DX194,IF(ISERROR(AX194-AY194),"",ROUND(AX194-AY194,2)))))))))))))))</f>
        <v>0</v>
      </c>
      <c r="BR194" s="146">
        <f t="shared" si="193"/>
        <v>0</v>
      </c>
      <c r="BS194" s="475">
        <f t="shared" si="194"/>
        <v>0</v>
      </c>
      <c r="BT194" s="146" t="b">
        <f t="shared" si="195"/>
        <v>0</v>
      </c>
      <c r="BU194" s="463">
        <f>IF(ISNA(AT194),0,IF(AND('Data Entry'!$C$74=2,BC194=27),0,IF(AND('Data Entry'!$C$74=2,BC194=28),0,IF(AND(BC194=27,BT194=27,CM194&gt;0.1),CM194*0.15,IF(AND(BC194=28,BT194=28,CM194&gt;0.1),CM194*0.12,0)))))</f>
        <v>0</v>
      </c>
      <c r="BV194" s="463">
        <f t="shared" si="232"/>
        <v>0</v>
      </c>
      <c r="BW194" s="463">
        <f t="shared" si="196"/>
        <v>0</v>
      </c>
      <c r="BX194" s="463">
        <f t="shared" si="197"/>
        <v>0</v>
      </c>
      <c r="BY194" s="463">
        <f t="shared" si="198"/>
        <v>0</v>
      </c>
      <c r="BZ194" s="463">
        <f t="shared" si="199"/>
        <v>0</v>
      </c>
      <c r="CA194" s="57">
        <f t="shared" si="227"/>
        <v>0</v>
      </c>
      <c r="CB194" s="56">
        <f t="shared" si="200"/>
        <v>1</v>
      </c>
      <c r="CC194" s="756">
        <f>IF(EE194=0,0,IF(EF194=0,0,IF(EE194&gt;AA194,0,IF(AND(AZ194&gt;AW194,AW194&gt;0),0,IF(CU194=0,0,Summary!AC497)))))</f>
        <v>0</v>
      </c>
      <c r="CD194" s="756">
        <f>IF(EE194=0,0,IF(EF194=0,0,IF(EE194&gt;AA194,0,IF(AND(AZ194&gt;AW194,AW194&gt;0),0,IF(CU194=0,0,Summary!AD497)))))</f>
        <v>0</v>
      </c>
      <c r="CE194" s="756">
        <f>IF(EF194=0,0,IF(EE194&gt;AA194,0,IF(CC194=0,0,IF(AND(AZ194&gt;AW194,AW194&gt;0),0,IF(CU194=0,0,Summary!AE497)))))</f>
        <v>0</v>
      </c>
      <c r="CF194" s="475">
        <f t="shared" si="201"/>
        <v>0</v>
      </c>
      <c r="CG194" s="476">
        <f t="shared" si="169"/>
        <v>0</v>
      </c>
      <c r="CH194" s="487">
        <f t="shared" si="202"/>
        <v>0</v>
      </c>
      <c r="CI194" s="756">
        <f t="shared" si="203"/>
        <v>0</v>
      </c>
      <c r="CJ194" s="487">
        <f>IF(CT194&gt;0.4,0,IF(AND(AU194=2,CH194=0,CT194=0.5,ER194=100),35,IF(AND(AU194=3,BB194&gt;75,CH194=0,CT194=0.5,ER194=100),25,IF(CB194&gt;1,0,IF(EF194&gt;EE194,0,IF(AND(AF194&gt;1,CH194=100),0,IF(AND(AF194=1,AY194=0),0,IF(AND(EF194&lt;=EE194,AW194&gt;=AZ194,'Data Entry'!$C$74=1,AU194=2),VLOOKUP(W194,$DO$96:$DP$102,2,FALSE),IF(AND(EF194&lt;=EE194,AW194&gt;=AZ194,AU194=3,'Data Entry'!$C$74=1),VLOOKUP(W194,$DO$127:$DP$134,2,FALSE))))))))))</f>
        <v>0</v>
      </c>
      <c r="CK194" s="716">
        <f t="shared" si="204"/>
        <v>0</v>
      </c>
      <c r="CL194" s="57">
        <f t="shared" si="205"/>
        <v>0</v>
      </c>
      <c r="CM194" s="475">
        <f t="shared" si="231"/>
        <v>0</v>
      </c>
      <c r="CN194" s="660">
        <f>IF(CM194&lt;0.1,0,IF(ISNA(AT194),0,IF(CL194+BC194=1,0,IF(BV194&gt;0.01,0,IF(CL194&gt;0.01,0,IF(CF194=1,0,IF(BC194=0.5,0,IF(AND(CI194=1,AU194=3),0,IF(AND(CI194=5,CL194=0),0,IF(AND(R194=12,BR194=50),0,IF(CK194&gt;0.01,0,IF(AND(AJ194&gt;0.01,AU194=2,BC194=15),CM194*0.1,IF(AND(AJ194&gt;0.01,AU194=3,BC194=15),CM194*0.08,IF(AND(R194=12,BC194=3,AF194&lt;=0),0,IF(AND(BC194=15,BI194=0),0,IF(AND(BC194=15,BJ194=0),0,IF(AND(R194=20,CU194=0),0,IF($X$4=0,0,IF(AND(BC194=250,CL194=0),0,IF(AA194&lt;1,0,IF(AND(ISNUMBER(SEARCH("Area",T194)),AU194=3),0,IF(AND(AQ194&gt;0.01,AR194=0,BK194=0,BL194=0,BM194=0,BN194=0),0,IF(AND(AU194=3,CI194=7,CT194&gt;0.5),0,IF(AND(BC194=44,AU194=3,BY194=0),0,IF(AND(BC194=27,'Data Entry'!$C$74=2),0,IF(AND(BC194=28,'Data Entry'!$C$74=2),0,IF(AND(BY194+BZ194+CA194&gt;0.01,BV194=0,EQ194+ER194+ES194+ET194&lt;100),0,IF(AU194=3,CM194*0.08,IF(AU194=2,CM194*0.1,0)))))))))))))))))))))))))))))</f>
        <v>0</v>
      </c>
      <c r="CO194" s="660">
        <f t="shared" si="206"/>
        <v>0</v>
      </c>
      <c r="CP194" s="475" t="str">
        <f t="shared" si="207"/>
        <v/>
      </c>
      <c r="CQ194" s="161" t="str">
        <f>IF(AH194=0,0,IF(AU194=5,0,Summary!AC197))</f>
        <v/>
      </c>
      <c r="CR194" s="161" t="str">
        <f>IF(BF194=0.5,0,IF(AU194=5,0,Summary!AD197))</f>
        <v/>
      </c>
      <c r="CS194" s="161" t="str">
        <f>IF(AU194=5,0,Summary!AE197)</f>
        <v/>
      </c>
      <c r="CT194" s="161">
        <f t="shared" si="208"/>
        <v>0</v>
      </c>
      <c r="CU194" s="475" t="str">
        <f t="shared" si="209"/>
        <v/>
      </c>
      <c r="CV194" s="307">
        <f>IF('Data Entry'!$C$74=0,0,IF(AA194&lt;1,0,IF(ISERROR(CU194),0,IF(CF194=1,0,IF(AND(R194=12,BR194=50),0,IF(CL194+BO194+BV194+DC194=0,0,IF(BC194=37,0,IF(AND(BC194=40,AJ194=0),0,IF(AND(BC194=37,BO194&gt;0.01,BQ194&gt;0.01),ROUND(BQ194,0),IF(CM194&lt;0,0,ROUND(CM194,0)))))))))))</f>
        <v>0</v>
      </c>
      <c r="CW194" s="700">
        <f t="shared" si="210"/>
        <v>0</v>
      </c>
      <c r="CX194" s="477">
        <f>IF('Data Entry'!$C$74=0,0,IF(CV194&lt;0.01,0,IF(BF194=0.5,0,IF(CF194=1,0,IF(ISNUMBER(SEARCH("false",CL194)),0,IF(AZ194=500,0,CL194))))))</f>
        <v>0</v>
      </c>
      <c r="CY194" s="147" t="e">
        <f t="shared" si="211"/>
        <v>#VALUE!</v>
      </c>
      <c r="CZ194" s="147" t="b">
        <f>IF(CN194+CL194=0,FALSE,IF(AH194=0,0,IF(AND('Data Entry'!$C$74=1,CR194&gt;=1),TRUE,IF(AND('Data Entry'!$C$74=2,CS194&gt;=1),TRUE,FALSE))))</f>
        <v>0</v>
      </c>
      <c r="DA194" s="1751">
        <f>IF('Data Entry'!$C$74=0,0,IFERROR(ROUND(IF(T194="","",IF($X$4=0,0,IF(CF194=1,0,IF(BQ194+CV194=0,0,IF(CF194=1,0,IF(CY194&gt;0.01,CY194,IF(CL194&gt;0.01,CL194,IF(CY194&gt;0.01,CY194,IF(BC194=37,BO194,IF(CZ194=FALSE,0,IF(CZ194=TRUE,DC194+DF194,0))))))))))),2),""))</f>
        <v>0</v>
      </c>
      <c r="DB194" s="1752"/>
      <c r="DC194" s="474">
        <f>IF(CN194&lt;0.01,0,IF(AND(BR194=3,CN194&gt;0.01,CT194&gt;0.6,ER194+ES194+ET194&lt;100),0,IF(AND('Data Entry'!$C$74=1,CN194&gt;0.01,CR194&gt;0.99),MIN(CN194:CO194),IF(AND('Data Entry'!$C$74=2,CN194&gt;0.01,CS194&gt;0.99),MIN(CN194:CO194),0))))</f>
        <v>0</v>
      </c>
      <c r="DD194" s="478">
        <f>IF(CF194=1,"Selection does not match",IF(T194=0,0,IF(AND('Data Entry'!$C$74=0,CP194&gt;1),"Select Oregon or Idaho on Data Entry Tab",IF(AND(AU194=1,AA194&gt;0.9),"Missing Interior or Exterior Selection",IF($X$4=0,"Enter Total Project Cost",IF(AQ194&lt;AR194,"Insufficient kWh savings – no incentive",IF(AND(SUM(CL194+CK194+BV194)&gt;0.01,'Data Entry'!$C$74=2,CJ194&gt;1,BO194=0),"Submit Control as Non-Standard",IF(AND('Data Entry'!$C$74=2,BR194=37,CJ194&gt;1,BO194=0),"Submit Control as Non-Standard",IF(SUM(CL194+CK194+BV194)&gt;0.01,"Standard Incentive",IF(AND('Data Entry'!$C$74=2,CP194=7,CN194=0),"Submit as Non-Standard",IF(DC194&gt;0.9,"Non-Standard Incentive",IF(AND(BY194+BZ194+CA194&gt;0.01,BV194=0,EQ194=0,ER194=0,ES194=0,ET194=0),"Scroll Right &amp; Select Control Strategies",IF(AND(CN194&gt;0.01,CO194=0),"Enter Unit Installed Cost",IF(ISNUMBER(SEARCH("Lighting Controls Only",F194)),"Lighting Controls Only",IF(CL194+DC194=0,"Does not meet incentive criteria",0)))))))))))))))</f>
        <v>0</v>
      </c>
      <c r="DE194" s="337">
        <f t="shared" si="212"/>
        <v>0</v>
      </c>
      <c r="DF194" s="609">
        <f t="shared" si="213"/>
        <v>0</v>
      </c>
      <c r="DG194" s="336" t="str">
        <f t="shared" si="214"/>
        <v/>
      </c>
      <c r="DH194" s="338">
        <f t="shared" si="215"/>
        <v>1</v>
      </c>
      <c r="DI194" s="336" t="e">
        <f t="shared" si="170"/>
        <v>#VALUE!</v>
      </c>
      <c r="DJ194" s="1142">
        <f t="shared" si="171"/>
        <v>0</v>
      </c>
      <c r="DK194" s="356"/>
      <c r="DL194" s="329"/>
      <c r="DM194" s="1090" t="s">
        <v>1553</v>
      </c>
      <c r="DN194" s="863">
        <f>'Data Entry'!K64</f>
        <v>0</v>
      </c>
      <c r="DO194" s="331"/>
      <c r="DP194" s="332"/>
      <c r="DQ194" s="409" t="s">
        <v>73</v>
      </c>
      <c r="DR194" s="610">
        <v>0</v>
      </c>
      <c r="DS194" s="1195">
        <f t="shared" si="216"/>
        <v>0</v>
      </c>
      <c r="DT194" s="344" t="b">
        <f t="shared" si="217"/>
        <v>1</v>
      </c>
      <c r="DU194" s="1314" t="str">
        <f t="array" ref="DU194">IF(OR(COUNTIF(F194,"*"&amp;$DK$9:$DK$178&amp;"*")), "Yes", "")</f>
        <v/>
      </c>
      <c r="DV194" s="1314">
        <f t="shared" si="218"/>
        <v>0</v>
      </c>
      <c r="DW194" s="1480">
        <f t="shared" si="219"/>
        <v>0</v>
      </c>
      <c r="DX194" s="1498">
        <f t="shared" si="228"/>
        <v>0</v>
      </c>
      <c r="DY194" s="1484">
        <f t="shared" si="220"/>
        <v>0</v>
      </c>
      <c r="DZ194" s="331"/>
      <c r="EA194" s="392"/>
      <c r="EB194" s="1499" t="s">
        <v>136</v>
      </c>
      <c r="EC194" s="727" t="s">
        <v>1569</v>
      </c>
      <c r="ED194" s="728">
        <v>0.5</v>
      </c>
      <c r="EE194" s="1215"/>
      <c r="EF194" s="1215"/>
      <c r="EG194" s="1184" t="str">
        <f t="shared" si="221"/>
        <v/>
      </c>
      <c r="EH194" s="55"/>
      <c r="EI194" s="55"/>
      <c r="EJ194" s="1185">
        <f t="shared" si="172"/>
        <v>0</v>
      </c>
      <c r="EK194" s="1211"/>
      <c r="EL194" s="1180">
        <f t="shared" si="173"/>
        <v>0</v>
      </c>
      <c r="EM194" s="206"/>
      <c r="EN194" s="1038"/>
      <c r="EO194" s="1038"/>
      <c r="EP194" s="1038"/>
      <c r="EQ194" s="1038">
        <f t="shared" si="222"/>
        <v>0</v>
      </c>
      <c r="ER194" s="1041">
        <f t="shared" si="223"/>
        <v>0</v>
      </c>
      <c r="ES194" s="1042">
        <f t="shared" si="224"/>
        <v>0</v>
      </c>
      <c r="ET194" s="1042">
        <f t="shared" si="229"/>
        <v>0</v>
      </c>
      <c r="EU194" s="1021">
        <f t="shared" si="230"/>
        <v>0</v>
      </c>
      <c r="EV194" s="368"/>
      <c r="EW194" s="368"/>
      <c r="EX194" s="369"/>
      <c r="EY194" s="370"/>
      <c r="EZ194" s="370"/>
      <c r="FA194" s="371"/>
      <c r="FB194" s="372"/>
    </row>
    <row r="195" spans="1:158" ht="34.5" customHeight="1">
      <c r="A195" s="82">
        <v>187</v>
      </c>
      <c r="B195" s="1725"/>
      <c r="C195" s="1726"/>
      <c r="D195" s="1726"/>
      <c r="E195" s="1727"/>
      <c r="F195" s="1732"/>
      <c r="G195" s="1733"/>
      <c r="H195" s="1733"/>
      <c r="I195" s="1734"/>
      <c r="J195" s="1341"/>
      <c r="K195" s="1728"/>
      <c r="L195" s="1728"/>
      <c r="M195" s="1342"/>
      <c r="N195" s="1583"/>
      <c r="O195" s="208" t="str">
        <f t="shared" si="160"/>
        <v/>
      </c>
      <c r="P195" s="785"/>
      <c r="Q195" s="39" t="str">
        <f t="shared" si="161"/>
        <v/>
      </c>
      <c r="R195" s="39">
        <f t="shared" si="174"/>
        <v>0</v>
      </c>
      <c r="S195" s="234">
        <f t="shared" si="175"/>
        <v>0</v>
      </c>
      <c r="T195" s="1755"/>
      <c r="U195" s="1755"/>
      <c r="V195" s="1755"/>
      <c r="W195" s="1345"/>
      <c r="X195" s="1741"/>
      <c r="Y195" s="1742"/>
      <c r="Z195" s="1346"/>
      <c r="AA195" s="1343"/>
      <c r="AB195" s="1141"/>
      <c r="AC195" s="1103" t="str">
        <f>IF(T195="","",VLOOKUP(Z195,Lists!$A$60:$B$111,2,FALSE))</f>
        <v/>
      </c>
      <c r="AD195" s="130" t="str">
        <f t="shared" si="176"/>
        <v/>
      </c>
      <c r="AE195" s="130" t="e">
        <f t="shared" si="177"/>
        <v>#VALUE!</v>
      </c>
      <c r="AF195" s="130">
        <f t="shared" si="178"/>
        <v>1</v>
      </c>
      <c r="AG195" s="234">
        <f t="shared" si="162"/>
        <v>0</v>
      </c>
      <c r="AH195" s="1753" t="str">
        <f>IF(T195="","",(IF(ISNUMBER(SEARCH("exit",T195)),8760,IF(AND(M195="Dusk to Dawn",'Proposed Lighting'!AU195=3),4059,IF(AND(AU195=3,M195="1"),0,IF(AND(AU195=3,M195="1-C"),0,IF(AND(AU195=3,M195="2"),0,IF(AND(AU195=3,M195="2-C"),0,IF(AND(AU195=3,M195="3"),0,IF(AND(AU195=3,M195="3-C"),0,IF(AND(AU195=2,M195="Dusk to Dawn"),0,IF(AND(AU195=2,M195="Dusk to Dawn-C"),0,IF(AND(AU195=2,M195="Dusk to Dawn"),0,IF(AND(AU195=2,M195="E"),0,IF(AND(AU195=2,M195="E-C"),0,EG195)))))))))))))))</f>
        <v/>
      </c>
      <c r="AI195" s="1754"/>
      <c r="AJ195" s="1136"/>
      <c r="AK195" s="1136"/>
      <c r="AL195" s="1748">
        <f t="shared" si="179"/>
        <v>0</v>
      </c>
      <c r="AM195" s="1749"/>
      <c r="AN195" s="1750"/>
      <c r="AO195" s="476">
        <f t="shared" si="163"/>
        <v>0</v>
      </c>
      <c r="AP195" s="476">
        <f t="shared" si="180"/>
        <v>0</v>
      </c>
      <c r="AQ195" s="475">
        <f t="shared" si="164"/>
        <v>0</v>
      </c>
      <c r="AR195" s="475">
        <f t="shared" si="181"/>
        <v>0</v>
      </c>
      <c r="AS195" s="743" t="str">
        <f t="shared" si="233"/>
        <v/>
      </c>
      <c r="AT195" s="736" t="str">
        <f t="shared" si="182"/>
        <v/>
      </c>
      <c r="AU195" s="56">
        <f t="shared" si="183"/>
        <v>1</v>
      </c>
      <c r="AV195" s="476">
        <f t="shared" si="184"/>
        <v>0</v>
      </c>
      <c r="AW195" s="56">
        <f t="shared" si="185"/>
        <v>0</v>
      </c>
      <c r="AX195" s="475">
        <f t="shared" si="165"/>
        <v>0</v>
      </c>
      <c r="AY195" s="1169">
        <f t="shared" si="186"/>
        <v>0</v>
      </c>
      <c r="AZ195" s="1150">
        <f t="shared" si="225"/>
        <v>0</v>
      </c>
      <c r="BA195" s="56">
        <f t="shared" si="166"/>
        <v>0</v>
      </c>
      <c r="BB195" s="420">
        <f t="shared" si="167"/>
        <v>0</v>
      </c>
      <c r="BC195" s="58" t="str">
        <f t="shared" si="168"/>
        <v/>
      </c>
      <c r="BD195" s="660">
        <f t="shared" si="226"/>
        <v>0</v>
      </c>
      <c r="BE195" s="57" t="e">
        <f t="array" ref="BE195">INDEX($EB$11:$ED$1022,MATCH(F195&amp;T195,$EB$11:$EB$1007&amp;$EC$11:$EC$1007,0),3)</f>
        <v>#N/A</v>
      </c>
      <c r="BF195" s="463">
        <f t="shared" si="234"/>
        <v>0</v>
      </c>
      <c r="BG195" s="1445" t="e">
        <f t="array" ref="BG195">INDEX($DO$112:$DQ$123,MATCH(T195&amp;W195,$DO$114:$DO$125&amp;$DP$112:$DP$123,0),3)</f>
        <v>#N/A</v>
      </c>
      <c r="BH195" s="1446">
        <f t="shared" si="187"/>
        <v>0</v>
      </c>
      <c r="BI195" s="465">
        <f t="shared" si="188"/>
        <v>0</v>
      </c>
      <c r="BJ195" s="465">
        <f t="shared" si="189"/>
        <v>0</v>
      </c>
      <c r="BK195" s="466">
        <f t="shared" si="235"/>
        <v>0</v>
      </c>
      <c r="BL195" s="466">
        <f t="shared" si="236"/>
        <v>0</v>
      </c>
      <c r="BM195" s="466">
        <f t="shared" si="190"/>
        <v>0</v>
      </c>
      <c r="BN195" s="466">
        <f t="shared" si="191"/>
        <v>0</v>
      </c>
      <c r="BO195" s="463">
        <f>IF('Data Entry'!$C$74=0,0,IF(ISNA(CJ195),0,IF(AX195=0,0,IF(AND('Data Entry'!$C$74=2,AF195&gt;2,CE195&lt;1),0,IF(AND('Data Entry'!$C$74=2,AF195&gt;1,AU195=2,CJ195&gt;1),0,IF(AND(AF195=5,CT195=0.5,AU195=2,ER195&lt;100),0,IF(AND(AF195=5,CT195=0.5,AU195=3,ER195&lt;100),0,IF(AND('Data Entry'!$C$74=2,AF195=2,AU195=2,AK195&gt;0.01,CB195=2,CE195&lt;1),0,IF(AND('Data Entry'!$C$74=2,AF195=3,AU195=3,AK195&gt;0.01,CB195=3,CE195&lt;1),0,IF(AND('Data Entry'!$C$74=2,AF195=3,AU195=3,AK195&gt;0.01,CB195=3,CE195&gt;0.99),BQ195*0.08,IF(AND('Data Entry'!$C$74=2,AF195=2,AU195=2,AK195&gt;0.01,CB195=2,CE195&gt;0.99),BQ195*0.1,IF(AND(AU195=2,AK195&gt;0.01,CB195=2,CD195&gt;1),BQ195*0.1,IF(AND(AU195=3,AK195&gt;0.01,CB195=3,CD195&gt;1),BQ195*0.08,CJ195*EF195)))))))))))))</f>
        <v>0</v>
      </c>
      <c r="BP195" s="475">
        <f t="shared" si="192"/>
        <v>0</v>
      </c>
      <c r="BQ195" s="1431">
        <f>IF(AU195=1,0,IF(CH195=100,0,IF(AND(AF195=3,AU195=2),0,IF(AND(BH195=0,CT195&gt;0.4),0,IF(AND('Data Entry'!$C$74=2,AF195=1.5),0,IF(AND('Data Entry'!$C$74=2,AF195=1.6),0,IF(AND('Data Entry'!$C$74=2,AF195=4),0,IF(AND('Data Entry'!$C$74=2,AF195=5),0,IF(AND('Data Entry'!$C$74=2,AF195=2.5,CE195&lt;1),0,IF(AND('Data Entry'!$C$74=2,AF195=3,CE195&lt;1),0,IF(AND('Data Entry'!$C$74=1,AF195=2.5,CD195&lt;1),0,IF(AND('Data Entry'!$C$74=1,AF195=3,CD195&lt;1),0,IF(DX195&gt;0.01,DX195,IF(ISERROR(AX195-AY195),"",ROUND(AX195-AY195,2)))))))))))))))</f>
        <v>0</v>
      </c>
      <c r="BR195" s="146">
        <f t="shared" si="193"/>
        <v>0</v>
      </c>
      <c r="BS195" s="475">
        <f t="shared" si="194"/>
        <v>0</v>
      </c>
      <c r="BT195" s="146" t="b">
        <f t="shared" si="195"/>
        <v>0</v>
      </c>
      <c r="BU195" s="463">
        <f>IF(ISNA(AT195),0,IF(AND('Data Entry'!$C$74=2,BC195=27),0,IF(AND('Data Entry'!$C$74=2,BC195=28),0,IF(AND(BC195=27,BT195=27,CM195&gt;0.1),CM195*0.15,IF(AND(BC195=28,BT195=28,CM195&gt;0.1),CM195*0.12,0)))))</f>
        <v>0</v>
      </c>
      <c r="BV195" s="463">
        <f t="shared" si="232"/>
        <v>0</v>
      </c>
      <c r="BW195" s="463">
        <f t="shared" si="196"/>
        <v>0</v>
      </c>
      <c r="BX195" s="463">
        <f t="shared" si="197"/>
        <v>0</v>
      </c>
      <c r="BY195" s="463">
        <f t="shared" si="198"/>
        <v>0</v>
      </c>
      <c r="BZ195" s="463">
        <f t="shared" si="199"/>
        <v>0</v>
      </c>
      <c r="CA195" s="57">
        <f t="shared" si="227"/>
        <v>0</v>
      </c>
      <c r="CB195" s="56">
        <f t="shared" si="200"/>
        <v>1</v>
      </c>
      <c r="CC195" s="756">
        <f>IF(EE195=0,0,IF(EF195=0,0,IF(EE195&gt;AA195,0,IF(AND(AZ195&gt;AW195,AW195&gt;0),0,IF(CU195=0,0,Summary!AC498)))))</f>
        <v>0</v>
      </c>
      <c r="CD195" s="756">
        <f>IF(EE195=0,0,IF(EF195=0,0,IF(EE195&gt;AA195,0,IF(AND(AZ195&gt;AW195,AW195&gt;0),0,IF(CU195=0,0,Summary!AD498)))))</f>
        <v>0</v>
      </c>
      <c r="CE195" s="756">
        <f>IF(EF195=0,0,IF(EE195&gt;AA195,0,IF(CC195=0,0,IF(AND(AZ195&gt;AW195,AW195&gt;0),0,IF(CU195=0,0,Summary!AE498)))))</f>
        <v>0</v>
      </c>
      <c r="CF195" s="475">
        <f t="shared" si="201"/>
        <v>0</v>
      </c>
      <c r="CG195" s="476">
        <f t="shared" si="169"/>
        <v>0</v>
      </c>
      <c r="CH195" s="487">
        <f t="shared" si="202"/>
        <v>0</v>
      </c>
      <c r="CI195" s="756">
        <f t="shared" si="203"/>
        <v>0</v>
      </c>
      <c r="CJ195" s="487">
        <f>IF(CT195&gt;0.4,0,IF(AND(AU195=2,CH195=0,CT195=0.5,ER195=100),35,IF(AND(AU195=3,BB195&gt;75,CH195=0,CT195=0.5,ER195=100),25,IF(CB195&gt;1,0,IF(EF195&gt;EE195,0,IF(AND(AF195&gt;1,CH195=100),0,IF(AND(AF195=1,AY195=0),0,IF(AND(EF195&lt;=EE195,AW195&gt;=AZ195,'Data Entry'!$C$74=1,AU195=2),VLOOKUP(W195,$DO$96:$DP$102,2,FALSE),IF(AND(EF195&lt;=EE195,AW195&gt;=AZ195,AU195=3,'Data Entry'!$C$74=1),VLOOKUP(W195,$DO$127:$DP$134,2,FALSE))))))))))</f>
        <v>0</v>
      </c>
      <c r="CK195" s="716">
        <f t="shared" si="204"/>
        <v>0</v>
      </c>
      <c r="CL195" s="57">
        <f t="shared" si="205"/>
        <v>0</v>
      </c>
      <c r="CM195" s="475">
        <f t="shared" si="231"/>
        <v>0</v>
      </c>
      <c r="CN195" s="660">
        <f>IF(CM195&lt;0.1,0,IF(ISNA(AT195),0,IF(CL195+BC195=1,0,IF(BV195&gt;0.01,0,IF(CL195&gt;0.01,0,IF(CF195=1,0,IF(BC195=0.5,0,IF(AND(CI195=1,AU195=3),0,IF(AND(CI195=5,CL195=0),0,IF(AND(R195=12,BR195=50),0,IF(CK195&gt;0.01,0,IF(AND(AJ195&gt;0.01,AU195=2,BC195=15),CM195*0.1,IF(AND(AJ195&gt;0.01,AU195=3,BC195=15),CM195*0.08,IF(AND(R195=12,BC195=3,AF195&lt;=0),0,IF(AND(BC195=15,BI195=0),0,IF(AND(BC195=15,BJ195=0),0,IF(AND(R195=20,CU195=0),0,IF($X$4=0,0,IF(AND(BC195=250,CL195=0),0,IF(AA195&lt;1,0,IF(AND(ISNUMBER(SEARCH("Area",T195)),AU195=3),0,IF(AND(AQ195&gt;0.01,AR195=0,BK195=0,BL195=0,BM195=0,BN195=0),0,IF(AND(AU195=3,CI195=7,CT195&gt;0.5),0,IF(AND(BC195=44,AU195=3,BY195=0),0,IF(AND(BC195=27,'Data Entry'!$C$74=2),0,IF(AND(BC195=28,'Data Entry'!$C$74=2),0,IF(AND(BY195+BZ195+CA195&gt;0.01,BV195=0,EQ195+ER195+ES195+ET195&lt;100),0,IF(AU195=3,CM195*0.08,IF(AU195=2,CM195*0.1,0)))))))))))))))))))))))))))))</f>
        <v>0</v>
      </c>
      <c r="CO195" s="660">
        <f t="shared" si="206"/>
        <v>0</v>
      </c>
      <c r="CP195" s="475" t="str">
        <f t="shared" si="207"/>
        <v/>
      </c>
      <c r="CQ195" s="161" t="str">
        <f>IF(AH195=0,0,IF(AU195=5,0,Summary!AC198))</f>
        <v/>
      </c>
      <c r="CR195" s="161" t="str">
        <f>IF(BF195=0.5,0,IF(AU195=5,0,Summary!AD198))</f>
        <v/>
      </c>
      <c r="CS195" s="161" t="str">
        <f>IF(AU195=5,0,Summary!AE198)</f>
        <v/>
      </c>
      <c r="CT195" s="161">
        <f t="shared" si="208"/>
        <v>0</v>
      </c>
      <c r="CU195" s="475" t="str">
        <f t="shared" si="209"/>
        <v/>
      </c>
      <c r="CV195" s="307">
        <f>IF('Data Entry'!$C$74=0,0,IF(AA195&lt;1,0,IF(ISERROR(CU195),0,IF(CF195=1,0,IF(AND(R195=12,BR195=50),0,IF(CL195+BO195+BV195+DC195=0,0,IF(BC195=37,0,IF(AND(BC195=40,AJ195=0),0,IF(AND(BC195=37,BO195&gt;0.01,BQ195&gt;0.01),ROUND(BQ195,0),IF(CM195&lt;0,0,ROUND(CM195,0)))))))))))</f>
        <v>0</v>
      </c>
      <c r="CW195" s="700">
        <f t="shared" si="210"/>
        <v>0</v>
      </c>
      <c r="CX195" s="477">
        <f>IF('Data Entry'!$C$74=0,0,IF(CV195&lt;0.01,0,IF(BF195=0.5,0,IF(CF195=1,0,IF(ISNUMBER(SEARCH("false",CL195)),0,IF(AZ195=500,0,CL195))))))</f>
        <v>0</v>
      </c>
      <c r="CY195" s="147" t="e">
        <f t="shared" si="211"/>
        <v>#VALUE!</v>
      </c>
      <c r="CZ195" s="147" t="b">
        <f>IF(CN195+CL195=0,FALSE,IF(AH195=0,0,IF(AND('Data Entry'!$C$74=1,CR195&gt;=1),TRUE,IF(AND('Data Entry'!$C$74=2,CS195&gt;=1),TRUE,FALSE))))</f>
        <v>0</v>
      </c>
      <c r="DA195" s="1751">
        <f>IF('Data Entry'!$C$74=0,0,IFERROR(ROUND(IF(T195="","",IF($X$4=0,0,IF(CF195=1,0,IF(BQ195+CV195=0,0,IF(CF195=1,0,IF(CY195&gt;0.01,CY195,IF(CL195&gt;0.01,CL195,IF(CY195&gt;0.01,CY195,IF(BC195=37,BO195,IF(CZ195=FALSE,0,IF(CZ195=TRUE,DC195+DF195,0))))))))))),2),""))</f>
        <v>0</v>
      </c>
      <c r="DB195" s="1752"/>
      <c r="DC195" s="474">
        <f>IF(CN195&lt;0.01,0,IF(AND(BR195=3,CN195&gt;0.01,CT195&gt;0.6,ER195+ES195+ET195&lt;100),0,IF(AND('Data Entry'!$C$74=1,CN195&gt;0.01,CR195&gt;0.99),MIN(CN195:CO195),IF(AND('Data Entry'!$C$74=2,CN195&gt;0.01,CS195&gt;0.99),MIN(CN195:CO195),0))))</f>
        <v>0</v>
      </c>
      <c r="DD195" s="478">
        <f>IF(CF195=1,"Selection does not match",IF(T195=0,0,IF(AND('Data Entry'!$C$74=0,CP195&gt;1),"Select Oregon or Idaho on Data Entry Tab",IF(AND(AU195=1,AA195&gt;0.9),"Missing Interior or Exterior Selection",IF($X$4=0,"Enter Total Project Cost",IF(AQ195&lt;AR195,"Insufficient kWh savings – no incentive",IF(AND(SUM(CL195+CK195+BV195)&gt;0.01,'Data Entry'!$C$74=2,CJ195&gt;1,BO195=0),"Submit Control as Non-Standard",IF(AND('Data Entry'!$C$74=2,BR195=37,CJ195&gt;1,BO195=0),"Submit Control as Non-Standard",IF(SUM(CL195+CK195+BV195)&gt;0.01,"Standard Incentive",IF(AND('Data Entry'!$C$74=2,CP195=7,CN195=0),"Submit as Non-Standard",IF(DC195&gt;0.9,"Non-Standard Incentive",IF(AND(BY195+BZ195+CA195&gt;0.01,BV195=0,EQ195=0,ER195=0,ES195=0,ET195=0),"Scroll Right &amp; Select Control Strategies",IF(AND(CN195&gt;0.01,CO195=0),"Enter Unit Installed Cost",IF(ISNUMBER(SEARCH("Lighting Controls Only",F195)),"Lighting Controls Only",IF(CL195+DC195=0,"Does not meet incentive criteria",0)))))))))))))))</f>
        <v>0</v>
      </c>
      <c r="DE195" s="337">
        <f t="shared" si="212"/>
        <v>0</v>
      </c>
      <c r="DF195" s="609">
        <f t="shared" si="213"/>
        <v>0</v>
      </c>
      <c r="DG195" s="336" t="str">
        <f t="shared" si="214"/>
        <v/>
      </c>
      <c r="DH195" s="338">
        <f t="shared" si="215"/>
        <v>1</v>
      </c>
      <c r="DI195" s="336" t="e">
        <f t="shared" si="170"/>
        <v>#VALUE!</v>
      </c>
      <c r="DJ195" s="1142">
        <f t="shared" si="171"/>
        <v>0</v>
      </c>
      <c r="DK195" s="361"/>
      <c r="DL195" s="329"/>
      <c r="DM195" s="1090" t="s">
        <v>1554</v>
      </c>
      <c r="DN195" s="863">
        <f>'Data Entry'!K64</f>
        <v>0</v>
      </c>
      <c r="DO195" s="331"/>
      <c r="DP195" s="332"/>
      <c r="DQ195" s="1433" t="s">
        <v>1753</v>
      </c>
      <c r="DR195" s="610">
        <v>10</v>
      </c>
      <c r="DS195" s="1195">
        <f t="shared" si="216"/>
        <v>0</v>
      </c>
      <c r="DT195" s="344" t="b">
        <f t="shared" si="217"/>
        <v>1</v>
      </c>
      <c r="DU195" s="1314" t="str">
        <f t="array" ref="DU195">IF(OR(COUNTIF(F195,"*"&amp;$DK$9:$DK$178&amp;"*")), "Yes", "")</f>
        <v/>
      </c>
      <c r="DV195" s="1314">
        <f t="shared" si="218"/>
        <v>0</v>
      </c>
      <c r="DW195" s="1480">
        <f t="shared" si="219"/>
        <v>0</v>
      </c>
      <c r="DX195" s="1498">
        <f t="shared" si="228"/>
        <v>0</v>
      </c>
      <c r="DY195" s="1484">
        <f t="shared" si="220"/>
        <v>0</v>
      </c>
      <c r="DZ195" s="331"/>
      <c r="EA195" s="392"/>
      <c r="EB195" s="1499" t="s">
        <v>189</v>
      </c>
      <c r="EC195" s="727" t="s">
        <v>1569</v>
      </c>
      <c r="ED195" s="728">
        <v>0.5</v>
      </c>
      <c r="EE195" s="1215"/>
      <c r="EF195" s="1215"/>
      <c r="EG195" s="1184" t="str">
        <f t="shared" si="221"/>
        <v/>
      </c>
      <c r="EH195" s="55"/>
      <c r="EI195" s="55"/>
      <c r="EJ195" s="1185">
        <f t="shared" si="172"/>
        <v>0</v>
      </c>
      <c r="EK195" s="1211"/>
      <c r="EL195" s="1180">
        <f t="shared" si="173"/>
        <v>0</v>
      </c>
      <c r="EM195" s="206"/>
      <c r="EN195" s="1038"/>
      <c r="EO195" s="1038"/>
      <c r="EP195" s="1038"/>
      <c r="EQ195" s="1038">
        <f t="shared" si="222"/>
        <v>0</v>
      </c>
      <c r="ER195" s="1041">
        <f t="shared" si="223"/>
        <v>0</v>
      </c>
      <c r="ES195" s="1042">
        <f t="shared" si="224"/>
        <v>0</v>
      </c>
      <c r="ET195" s="1042">
        <f t="shared" si="229"/>
        <v>0</v>
      </c>
      <c r="EU195" s="1021">
        <f t="shared" si="230"/>
        <v>0</v>
      </c>
      <c r="EV195" s="368"/>
      <c r="EW195" s="368"/>
      <c r="EX195" s="369"/>
      <c r="EY195" s="370"/>
      <c r="EZ195" s="370"/>
      <c r="FA195" s="371"/>
      <c r="FB195" s="372"/>
    </row>
    <row r="196" spans="1:158" ht="34.5" customHeight="1">
      <c r="A196" s="82">
        <v>188</v>
      </c>
      <c r="B196" s="1725"/>
      <c r="C196" s="1726"/>
      <c r="D196" s="1726"/>
      <c r="E196" s="1727"/>
      <c r="F196" s="1732"/>
      <c r="G196" s="1733"/>
      <c r="H196" s="1733"/>
      <c r="I196" s="1734"/>
      <c r="J196" s="1341"/>
      <c r="K196" s="1728"/>
      <c r="L196" s="1728"/>
      <c r="M196" s="1342"/>
      <c r="N196" s="1583"/>
      <c r="O196" s="208" t="str">
        <f t="shared" si="160"/>
        <v/>
      </c>
      <c r="P196" s="785"/>
      <c r="Q196" s="39" t="str">
        <f t="shared" si="161"/>
        <v/>
      </c>
      <c r="R196" s="39">
        <f t="shared" si="174"/>
        <v>0</v>
      </c>
      <c r="S196" s="234">
        <f t="shared" si="175"/>
        <v>0</v>
      </c>
      <c r="T196" s="1755"/>
      <c r="U196" s="1755"/>
      <c r="V196" s="1755"/>
      <c r="W196" s="1345"/>
      <c r="X196" s="1741"/>
      <c r="Y196" s="1742"/>
      <c r="Z196" s="1346"/>
      <c r="AA196" s="1343"/>
      <c r="AB196" s="1141"/>
      <c r="AC196" s="1103" t="str">
        <f>IF(T196="","",VLOOKUP(Z196,Lists!$A$60:$B$111,2,FALSE))</f>
        <v/>
      </c>
      <c r="AD196" s="130" t="str">
        <f t="shared" si="176"/>
        <v/>
      </c>
      <c r="AE196" s="130" t="e">
        <f t="shared" si="177"/>
        <v>#VALUE!</v>
      </c>
      <c r="AF196" s="130">
        <f t="shared" si="178"/>
        <v>1</v>
      </c>
      <c r="AG196" s="234">
        <f t="shared" si="162"/>
        <v>0</v>
      </c>
      <c r="AH196" s="1753" t="str">
        <f>IF(T196="","",(IF(ISNUMBER(SEARCH("exit",T196)),8760,IF(AND(M196="Dusk to Dawn",'Proposed Lighting'!AU196=3),4059,IF(AND(AU196=3,M196="1"),0,IF(AND(AU196=3,M196="1-C"),0,IF(AND(AU196=3,M196="2"),0,IF(AND(AU196=3,M196="2-C"),0,IF(AND(AU196=3,M196="3"),0,IF(AND(AU196=3,M196="3-C"),0,IF(AND(AU196=2,M196="Dusk to Dawn"),0,IF(AND(AU196=2,M196="Dusk to Dawn-C"),0,IF(AND(AU196=2,M196="Dusk to Dawn"),0,IF(AND(AU196=2,M196="E"),0,IF(AND(AU196=2,M196="E-C"),0,EG196)))))))))))))))</f>
        <v/>
      </c>
      <c r="AI196" s="1754"/>
      <c r="AJ196" s="1136"/>
      <c r="AK196" s="1136"/>
      <c r="AL196" s="1748">
        <f t="shared" si="179"/>
        <v>0</v>
      </c>
      <c r="AM196" s="1749"/>
      <c r="AN196" s="1750"/>
      <c r="AO196" s="476">
        <f t="shared" si="163"/>
        <v>0</v>
      </c>
      <c r="AP196" s="476">
        <f t="shared" si="180"/>
        <v>0</v>
      </c>
      <c r="AQ196" s="475">
        <f t="shared" si="164"/>
        <v>0</v>
      </c>
      <c r="AR196" s="475">
        <f t="shared" si="181"/>
        <v>0</v>
      </c>
      <c r="AS196" s="743" t="str">
        <f t="shared" si="233"/>
        <v/>
      </c>
      <c r="AT196" s="736" t="str">
        <f t="shared" si="182"/>
        <v/>
      </c>
      <c r="AU196" s="56">
        <f t="shared" si="183"/>
        <v>1</v>
      </c>
      <c r="AV196" s="476">
        <f t="shared" si="184"/>
        <v>0</v>
      </c>
      <c r="AW196" s="56">
        <f t="shared" si="185"/>
        <v>0</v>
      </c>
      <c r="AX196" s="475">
        <f t="shared" si="165"/>
        <v>0</v>
      </c>
      <c r="AY196" s="1169">
        <f t="shared" si="186"/>
        <v>0</v>
      </c>
      <c r="AZ196" s="1150">
        <f t="shared" si="225"/>
        <v>0</v>
      </c>
      <c r="BA196" s="56">
        <f t="shared" si="166"/>
        <v>0</v>
      </c>
      <c r="BB196" s="420">
        <f t="shared" si="167"/>
        <v>0</v>
      </c>
      <c r="BC196" s="58" t="str">
        <f t="shared" si="168"/>
        <v/>
      </c>
      <c r="BD196" s="660">
        <f t="shared" si="226"/>
        <v>0</v>
      </c>
      <c r="BE196" s="57" t="e">
        <f t="array" ref="BE196">INDEX($EB$11:$ED$1022,MATCH(F196&amp;T196,$EB$11:$EB$1007&amp;$EC$11:$EC$1007,0),3)</f>
        <v>#N/A</v>
      </c>
      <c r="BF196" s="463">
        <f t="shared" si="234"/>
        <v>0</v>
      </c>
      <c r="BG196" s="1445" t="e">
        <f t="array" ref="BG196">INDEX($DO$112:$DQ$123,MATCH(T196&amp;W196,$DO$114:$DO$125&amp;$DP$112:$DP$123,0),3)</f>
        <v>#N/A</v>
      </c>
      <c r="BH196" s="1446">
        <f t="shared" si="187"/>
        <v>0</v>
      </c>
      <c r="BI196" s="465">
        <f t="shared" si="188"/>
        <v>0</v>
      </c>
      <c r="BJ196" s="465">
        <f t="shared" si="189"/>
        <v>0</v>
      </c>
      <c r="BK196" s="466">
        <f t="shared" si="235"/>
        <v>0</v>
      </c>
      <c r="BL196" s="466">
        <f t="shared" si="236"/>
        <v>0</v>
      </c>
      <c r="BM196" s="466">
        <f t="shared" si="190"/>
        <v>0</v>
      </c>
      <c r="BN196" s="466">
        <f t="shared" si="191"/>
        <v>0</v>
      </c>
      <c r="BO196" s="463">
        <f>IF('Data Entry'!$C$74=0,0,IF(ISNA(CJ196),0,IF(AX196=0,0,IF(AND('Data Entry'!$C$74=2,AF196&gt;2,CE196&lt;1),0,IF(AND('Data Entry'!$C$74=2,AF196&gt;1,AU196=2,CJ196&gt;1),0,IF(AND(AF196=5,CT196=0.5,AU196=2,ER196&lt;100),0,IF(AND(AF196=5,CT196=0.5,AU196=3,ER196&lt;100),0,IF(AND('Data Entry'!$C$74=2,AF196=2,AU196=2,AK196&gt;0.01,CB196=2,CE196&lt;1),0,IF(AND('Data Entry'!$C$74=2,AF196=3,AU196=3,AK196&gt;0.01,CB196=3,CE196&lt;1),0,IF(AND('Data Entry'!$C$74=2,AF196=3,AU196=3,AK196&gt;0.01,CB196=3,CE196&gt;0.99),BQ196*0.08,IF(AND('Data Entry'!$C$74=2,AF196=2,AU196=2,AK196&gt;0.01,CB196=2,CE196&gt;0.99),BQ196*0.1,IF(AND(AU196=2,AK196&gt;0.01,CB196=2,CD196&gt;1),BQ196*0.1,IF(AND(AU196=3,AK196&gt;0.01,CB196=3,CD196&gt;1),BQ196*0.08,CJ196*EF196)))))))))))))</f>
        <v>0</v>
      </c>
      <c r="BP196" s="475">
        <f t="shared" si="192"/>
        <v>0</v>
      </c>
      <c r="BQ196" s="1431">
        <f>IF(AU196=1,0,IF(CH196=100,0,IF(AND(AF196=3,AU196=2),0,IF(AND(BH196=0,CT196&gt;0.4),0,IF(AND('Data Entry'!$C$74=2,AF196=1.5),0,IF(AND('Data Entry'!$C$74=2,AF196=1.6),0,IF(AND('Data Entry'!$C$74=2,AF196=4),0,IF(AND('Data Entry'!$C$74=2,AF196=5),0,IF(AND('Data Entry'!$C$74=2,AF196=2.5,CE196&lt;1),0,IF(AND('Data Entry'!$C$74=2,AF196=3,CE196&lt;1),0,IF(AND('Data Entry'!$C$74=1,AF196=2.5,CD196&lt;1),0,IF(AND('Data Entry'!$C$74=1,AF196=3,CD196&lt;1),0,IF(DX196&gt;0.01,DX196,IF(ISERROR(AX196-AY196),"",ROUND(AX196-AY196,2)))))))))))))))</f>
        <v>0</v>
      </c>
      <c r="BR196" s="146">
        <f t="shared" si="193"/>
        <v>0</v>
      </c>
      <c r="BS196" s="475">
        <f t="shared" si="194"/>
        <v>0</v>
      </c>
      <c r="BT196" s="146" t="b">
        <f t="shared" si="195"/>
        <v>0</v>
      </c>
      <c r="BU196" s="463">
        <f>IF(ISNA(AT196),0,IF(AND('Data Entry'!$C$74=2,BC196=27),0,IF(AND('Data Entry'!$C$74=2,BC196=28),0,IF(AND(BC196=27,BT196=27,CM196&gt;0.1),CM196*0.15,IF(AND(BC196=28,BT196=28,CM196&gt;0.1),CM196*0.12,0)))))</f>
        <v>0</v>
      </c>
      <c r="BV196" s="463">
        <f t="shared" si="232"/>
        <v>0</v>
      </c>
      <c r="BW196" s="463">
        <f t="shared" si="196"/>
        <v>0</v>
      </c>
      <c r="BX196" s="463">
        <f t="shared" si="197"/>
        <v>0</v>
      </c>
      <c r="BY196" s="463">
        <f t="shared" si="198"/>
        <v>0</v>
      </c>
      <c r="BZ196" s="463">
        <f t="shared" si="199"/>
        <v>0</v>
      </c>
      <c r="CA196" s="57">
        <f t="shared" si="227"/>
        <v>0</v>
      </c>
      <c r="CB196" s="56">
        <f t="shared" si="200"/>
        <v>1</v>
      </c>
      <c r="CC196" s="756">
        <f>IF(EE196=0,0,IF(EF196=0,0,IF(EE196&gt;AA196,0,IF(AND(AZ196&gt;AW196,AW196&gt;0),0,IF(CU196=0,0,Summary!AC499)))))</f>
        <v>0</v>
      </c>
      <c r="CD196" s="756">
        <f>IF(EE196=0,0,IF(EF196=0,0,IF(EE196&gt;AA196,0,IF(AND(AZ196&gt;AW196,AW196&gt;0),0,IF(CU196=0,0,Summary!AD499)))))</f>
        <v>0</v>
      </c>
      <c r="CE196" s="756">
        <f>IF(EF196=0,0,IF(EE196&gt;AA196,0,IF(CC196=0,0,IF(AND(AZ196&gt;AW196,AW196&gt;0),0,IF(CU196=0,0,Summary!AE499)))))</f>
        <v>0</v>
      </c>
      <c r="CF196" s="475">
        <f t="shared" si="201"/>
        <v>0</v>
      </c>
      <c r="CG196" s="476">
        <f t="shared" si="169"/>
        <v>0</v>
      </c>
      <c r="CH196" s="487">
        <f t="shared" si="202"/>
        <v>0</v>
      </c>
      <c r="CI196" s="756">
        <f t="shared" si="203"/>
        <v>0</v>
      </c>
      <c r="CJ196" s="487">
        <f>IF(CT196&gt;0.4,0,IF(AND(AU196=2,CH196=0,CT196=0.5,ER196=100),35,IF(AND(AU196=3,BB196&gt;75,CH196=0,CT196=0.5,ER196=100),25,IF(CB196&gt;1,0,IF(EF196&gt;EE196,0,IF(AND(AF196&gt;1,CH196=100),0,IF(AND(AF196=1,AY196=0),0,IF(AND(EF196&lt;=EE196,AW196&gt;=AZ196,'Data Entry'!$C$74=1,AU196=2),VLOOKUP(W196,$DO$96:$DP$102,2,FALSE),IF(AND(EF196&lt;=EE196,AW196&gt;=AZ196,AU196=3,'Data Entry'!$C$74=1),VLOOKUP(W196,$DO$127:$DP$134,2,FALSE))))))))))</f>
        <v>0</v>
      </c>
      <c r="CK196" s="716">
        <f t="shared" si="204"/>
        <v>0</v>
      </c>
      <c r="CL196" s="57">
        <f t="shared" si="205"/>
        <v>0</v>
      </c>
      <c r="CM196" s="475">
        <f t="shared" si="231"/>
        <v>0</v>
      </c>
      <c r="CN196" s="660">
        <f>IF(CM196&lt;0.1,0,IF(ISNA(AT196),0,IF(CL196+BC196=1,0,IF(BV196&gt;0.01,0,IF(CL196&gt;0.01,0,IF(CF196=1,0,IF(BC196=0.5,0,IF(AND(CI196=1,AU196=3),0,IF(AND(CI196=5,CL196=0),0,IF(AND(R196=12,BR196=50),0,IF(CK196&gt;0.01,0,IF(AND(AJ196&gt;0.01,AU196=2,BC196=15),CM196*0.1,IF(AND(AJ196&gt;0.01,AU196=3,BC196=15),CM196*0.08,IF(AND(R196=12,BC196=3,AF196&lt;=0),0,IF(AND(BC196=15,BI196=0),0,IF(AND(BC196=15,BJ196=0),0,IF(AND(R196=20,CU196=0),0,IF($X$4=0,0,IF(AND(BC196=250,CL196=0),0,IF(AA196&lt;1,0,IF(AND(ISNUMBER(SEARCH("Area",T196)),AU196=3),0,IF(AND(AQ196&gt;0.01,AR196=0,BK196=0,BL196=0,BM196=0,BN196=0),0,IF(AND(AU196=3,CI196=7,CT196&gt;0.5),0,IF(AND(BC196=44,AU196=3,BY196=0),0,IF(AND(BC196=27,'Data Entry'!$C$74=2),0,IF(AND(BC196=28,'Data Entry'!$C$74=2),0,IF(AND(BY196+BZ196+CA196&gt;0.01,BV196=0,EQ196+ER196+ES196+ET196&lt;100),0,IF(AU196=3,CM196*0.08,IF(AU196=2,CM196*0.1,0)))))))))))))))))))))))))))))</f>
        <v>0</v>
      </c>
      <c r="CO196" s="660">
        <f t="shared" si="206"/>
        <v>0</v>
      </c>
      <c r="CP196" s="475" t="str">
        <f t="shared" si="207"/>
        <v/>
      </c>
      <c r="CQ196" s="161" t="str">
        <f>IF(AH196=0,0,IF(AU196=5,0,Summary!AC199))</f>
        <v/>
      </c>
      <c r="CR196" s="161" t="str">
        <f>IF(BF196=0.5,0,IF(AU196=5,0,Summary!AD199))</f>
        <v/>
      </c>
      <c r="CS196" s="161" t="str">
        <f>IF(AU196=5,0,Summary!AE199)</f>
        <v/>
      </c>
      <c r="CT196" s="161">
        <f t="shared" si="208"/>
        <v>0</v>
      </c>
      <c r="CU196" s="475" t="str">
        <f t="shared" si="209"/>
        <v/>
      </c>
      <c r="CV196" s="307">
        <f>IF('Data Entry'!$C$74=0,0,IF(AA196&lt;1,0,IF(ISERROR(CU196),0,IF(CF196=1,0,IF(AND(R196=12,BR196=50),0,IF(CL196+BO196+BV196+DC196=0,0,IF(BC196=37,0,IF(AND(BC196=40,AJ196=0),0,IF(AND(BC196=37,BO196&gt;0.01,BQ196&gt;0.01),ROUND(BQ196,0),IF(CM196&lt;0,0,ROUND(CM196,0)))))))))))</f>
        <v>0</v>
      </c>
      <c r="CW196" s="700">
        <f t="shared" si="210"/>
        <v>0</v>
      </c>
      <c r="CX196" s="477">
        <f>IF('Data Entry'!$C$74=0,0,IF(CV196&lt;0.01,0,IF(BF196=0.5,0,IF(CF196=1,0,IF(ISNUMBER(SEARCH("false",CL196)),0,IF(AZ196=500,0,CL196))))))</f>
        <v>0</v>
      </c>
      <c r="CY196" s="147" t="e">
        <f t="shared" si="211"/>
        <v>#VALUE!</v>
      </c>
      <c r="CZ196" s="147" t="b">
        <f>IF(CN196+CL196=0,FALSE,IF(AH196=0,0,IF(AND('Data Entry'!$C$74=1,CR196&gt;=1),TRUE,IF(AND('Data Entry'!$C$74=2,CS196&gt;=1),TRUE,FALSE))))</f>
        <v>0</v>
      </c>
      <c r="DA196" s="1751">
        <f>IF('Data Entry'!$C$74=0,0,IFERROR(ROUND(IF(T196="","",IF($X$4=0,0,IF(CF196=1,0,IF(BQ196+CV196=0,0,IF(CF196=1,0,IF(CY196&gt;0.01,CY196,IF(CL196&gt;0.01,CL196,IF(CY196&gt;0.01,CY196,IF(BC196=37,BO196,IF(CZ196=FALSE,0,IF(CZ196=TRUE,DC196+DF196,0))))))))))),2),""))</f>
        <v>0</v>
      </c>
      <c r="DB196" s="1752"/>
      <c r="DC196" s="474">
        <f>IF(CN196&lt;0.01,0,IF(AND(BR196=3,CN196&gt;0.01,CT196&gt;0.6,ER196+ES196+ET196&lt;100),0,IF(AND('Data Entry'!$C$74=1,CN196&gt;0.01,CR196&gt;0.99),MIN(CN196:CO196),IF(AND('Data Entry'!$C$74=2,CN196&gt;0.01,CS196&gt;0.99),MIN(CN196:CO196),0))))</f>
        <v>0</v>
      </c>
      <c r="DD196" s="478">
        <f>IF(CF196=1,"Selection does not match",IF(T196=0,0,IF(AND('Data Entry'!$C$74=0,CP196&gt;1),"Select Oregon or Idaho on Data Entry Tab",IF(AND(AU196=1,AA196&gt;0.9),"Missing Interior or Exterior Selection",IF($X$4=0,"Enter Total Project Cost",IF(AQ196&lt;AR196,"Insufficient kWh savings – no incentive",IF(AND(SUM(CL196+CK196+BV196)&gt;0.01,'Data Entry'!$C$74=2,CJ196&gt;1,BO196=0),"Submit Control as Non-Standard",IF(AND('Data Entry'!$C$74=2,BR196=37,CJ196&gt;1,BO196=0),"Submit Control as Non-Standard",IF(SUM(CL196+CK196+BV196)&gt;0.01,"Standard Incentive",IF(AND('Data Entry'!$C$74=2,CP196=7,CN196=0),"Submit as Non-Standard",IF(DC196&gt;0.9,"Non-Standard Incentive",IF(AND(BY196+BZ196+CA196&gt;0.01,BV196=0,EQ196=0,ER196=0,ES196=0,ET196=0),"Scroll Right &amp; Select Control Strategies",IF(AND(CN196&gt;0.01,CO196=0),"Enter Unit Installed Cost",IF(ISNUMBER(SEARCH("Lighting Controls Only",F196)),"Lighting Controls Only",IF(CL196+DC196=0,"Does not meet incentive criteria",0)))))))))))))))</f>
        <v>0</v>
      </c>
      <c r="DE196" s="337">
        <f t="shared" si="212"/>
        <v>0</v>
      </c>
      <c r="DF196" s="609">
        <f t="shared" si="213"/>
        <v>0</v>
      </c>
      <c r="DG196" s="336" t="str">
        <f t="shared" si="214"/>
        <v/>
      </c>
      <c r="DH196" s="338">
        <f t="shared" si="215"/>
        <v>1</v>
      </c>
      <c r="DI196" s="336" t="e">
        <f t="shared" si="170"/>
        <v>#VALUE!</v>
      </c>
      <c r="DJ196" s="1142">
        <f t="shared" si="171"/>
        <v>0</v>
      </c>
      <c r="DK196" s="331"/>
      <c r="DL196" s="332"/>
      <c r="DM196" s="1090" t="s">
        <v>1555</v>
      </c>
      <c r="DN196" s="863">
        <f>'Data Entry'!O64</f>
        <v>0</v>
      </c>
      <c r="DO196" s="331"/>
      <c r="DP196" s="332"/>
      <c r="DQ196" s="409" t="s">
        <v>1283</v>
      </c>
      <c r="DR196" s="610">
        <v>15</v>
      </c>
      <c r="DS196" s="1195">
        <f t="shared" si="216"/>
        <v>0</v>
      </c>
      <c r="DT196" s="344" t="b">
        <f t="shared" si="217"/>
        <v>1</v>
      </c>
      <c r="DU196" s="1314" t="str">
        <f t="array" ref="DU196">IF(OR(COUNTIF(F196,"*"&amp;$DK$9:$DK$178&amp;"*")), "Yes", "")</f>
        <v/>
      </c>
      <c r="DV196" s="1314">
        <f t="shared" si="218"/>
        <v>0</v>
      </c>
      <c r="DW196" s="1480">
        <f t="shared" si="219"/>
        <v>0</v>
      </c>
      <c r="DX196" s="1498">
        <f t="shared" si="228"/>
        <v>0</v>
      </c>
      <c r="DY196" s="1484">
        <f t="shared" si="220"/>
        <v>0</v>
      </c>
      <c r="DZ196" s="331"/>
      <c r="EA196" s="392"/>
      <c r="EB196" s="1499" t="s">
        <v>190</v>
      </c>
      <c r="EC196" s="727" t="s">
        <v>1569</v>
      </c>
      <c r="ED196" s="728">
        <v>0.5</v>
      </c>
      <c r="EE196" s="1215"/>
      <c r="EF196" s="1215"/>
      <c r="EG196" s="1184" t="str">
        <f t="shared" si="221"/>
        <v/>
      </c>
      <c r="EH196" s="55"/>
      <c r="EI196" s="55"/>
      <c r="EJ196" s="1185">
        <f t="shared" si="172"/>
        <v>0</v>
      </c>
      <c r="EK196" s="1211"/>
      <c r="EL196" s="1180">
        <f t="shared" si="173"/>
        <v>0</v>
      </c>
      <c r="EM196" s="206"/>
      <c r="EN196" s="1038"/>
      <c r="EO196" s="1038"/>
      <c r="EP196" s="1038"/>
      <c r="EQ196" s="1038">
        <f t="shared" si="222"/>
        <v>0</v>
      </c>
      <c r="ER196" s="1041">
        <f t="shared" si="223"/>
        <v>0</v>
      </c>
      <c r="ES196" s="1042">
        <f t="shared" si="224"/>
        <v>0</v>
      </c>
      <c r="ET196" s="1042">
        <f t="shared" si="229"/>
        <v>0</v>
      </c>
      <c r="EU196" s="1021">
        <f t="shared" si="230"/>
        <v>0</v>
      </c>
      <c r="EV196" s="368"/>
      <c r="EW196" s="368"/>
      <c r="EX196" s="369"/>
      <c r="EY196" s="370"/>
      <c r="EZ196" s="370"/>
      <c r="FA196" s="371"/>
      <c r="FB196" s="372"/>
    </row>
    <row r="197" spans="1:158" ht="34.5" customHeight="1">
      <c r="A197" s="82">
        <v>189</v>
      </c>
      <c r="B197" s="1725"/>
      <c r="C197" s="1726"/>
      <c r="D197" s="1726"/>
      <c r="E197" s="1727"/>
      <c r="F197" s="1732"/>
      <c r="G197" s="1733"/>
      <c r="H197" s="1733"/>
      <c r="I197" s="1734"/>
      <c r="J197" s="1341"/>
      <c r="K197" s="1728"/>
      <c r="L197" s="1728"/>
      <c r="M197" s="1342"/>
      <c r="N197" s="1583"/>
      <c r="O197" s="208" t="str">
        <f t="shared" si="160"/>
        <v/>
      </c>
      <c r="P197" s="785"/>
      <c r="Q197" s="39" t="str">
        <f t="shared" si="161"/>
        <v/>
      </c>
      <c r="R197" s="39">
        <f t="shared" si="174"/>
        <v>0</v>
      </c>
      <c r="S197" s="234">
        <f t="shared" si="175"/>
        <v>0</v>
      </c>
      <c r="T197" s="1755"/>
      <c r="U197" s="1755"/>
      <c r="V197" s="1755"/>
      <c r="W197" s="1345"/>
      <c r="X197" s="1741"/>
      <c r="Y197" s="1742"/>
      <c r="Z197" s="1346"/>
      <c r="AA197" s="1343"/>
      <c r="AB197" s="1141"/>
      <c r="AC197" s="1103" t="str">
        <f>IF(T197="","",VLOOKUP(Z197,Lists!$A$60:$B$111,2,FALSE))</f>
        <v/>
      </c>
      <c r="AD197" s="130" t="str">
        <f t="shared" si="176"/>
        <v/>
      </c>
      <c r="AE197" s="130" t="e">
        <f t="shared" si="177"/>
        <v>#VALUE!</v>
      </c>
      <c r="AF197" s="130">
        <f t="shared" si="178"/>
        <v>1</v>
      </c>
      <c r="AG197" s="234">
        <f t="shared" si="162"/>
        <v>0</v>
      </c>
      <c r="AH197" s="1753" t="str">
        <f>IF(T197="","",(IF(ISNUMBER(SEARCH("exit",T197)),8760,IF(AND(M197="Dusk to Dawn",'Proposed Lighting'!AU197=3),4059,IF(AND(AU197=3,M197="1"),0,IF(AND(AU197=3,M197="1-C"),0,IF(AND(AU197=3,M197="2"),0,IF(AND(AU197=3,M197="2-C"),0,IF(AND(AU197=3,M197="3"),0,IF(AND(AU197=3,M197="3-C"),0,IF(AND(AU197=2,M197="Dusk to Dawn"),0,IF(AND(AU197=2,M197="Dusk to Dawn-C"),0,IF(AND(AU197=2,M197="Dusk to Dawn"),0,IF(AND(AU197=2,M197="E"),0,IF(AND(AU197=2,M197="E-C"),0,EG197)))))))))))))))</f>
        <v/>
      </c>
      <c r="AI197" s="1754"/>
      <c r="AJ197" s="1136"/>
      <c r="AK197" s="1136"/>
      <c r="AL197" s="1748">
        <f t="shared" si="179"/>
        <v>0</v>
      </c>
      <c r="AM197" s="1749"/>
      <c r="AN197" s="1750"/>
      <c r="AO197" s="476">
        <f t="shared" si="163"/>
        <v>0</v>
      </c>
      <c r="AP197" s="476">
        <f t="shared" si="180"/>
        <v>0</v>
      </c>
      <c r="AQ197" s="475">
        <f t="shared" si="164"/>
        <v>0</v>
      </c>
      <c r="AR197" s="475">
        <f t="shared" si="181"/>
        <v>0</v>
      </c>
      <c r="AS197" s="743" t="str">
        <f t="shared" si="233"/>
        <v/>
      </c>
      <c r="AT197" s="736" t="str">
        <f t="shared" si="182"/>
        <v/>
      </c>
      <c r="AU197" s="56">
        <f t="shared" si="183"/>
        <v>1</v>
      </c>
      <c r="AV197" s="476">
        <f t="shared" si="184"/>
        <v>0</v>
      </c>
      <c r="AW197" s="56">
        <f t="shared" si="185"/>
        <v>0</v>
      </c>
      <c r="AX197" s="475">
        <f t="shared" si="165"/>
        <v>0</v>
      </c>
      <c r="AY197" s="1169">
        <f t="shared" si="186"/>
        <v>0</v>
      </c>
      <c r="AZ197" s="1150">
        <f t="shared" si="225"/>
        <v>0</v>
      </c>
      <c r="BA197" s="56">
        <f t="shared" si="166"/>
        <v>0</v>
      </c>
      <c r="BB197" s="420">
        <f t="shared" si="167"/>
        <v>0</v>
      </c>
      <c r="BC197" s="58" t="str">
        <f t="shared" si="168"/>
        <v/>
      </c>
      <c r="BD197" s="660">
        <f t="shared" si="226"/>
        <v>0</v>
      </c>
      <c r="BE197" s="57" t="e">
        <f t="array" ref="BE197">INDEX($EB$11:$ED$1022,MATCH(F197&amp;T197,$EB$11:$EB$1007&amp;$EC$11:$EC$1007,0),3)</f>
        <v>#N/A</v>
      </c>
      <c r="BF197" s="463">
        <f t="shared" si="234"/>
        <v>0</v>
      </c>
      <c r="BG197" s="1445" t="e">
        <f t="array" ref="BG197">INDEX($DO$112:$DQ$123,MATCH(T197&amp;W197,$DO$114:$DO$125&amp;$DP$112:$DP$123,0),3)</f>
        <v>#N/A</v>
      </c>
      <c r="BH197" s="1446">
        <f t="shared" si="187"/>
        <v>0</v>
      </c>
      <c r="BI197" s="465">
        <f t="shared" si="188"/>
        <v>0</v>
      </c>
      <c r="BJ197" s="465">
        <f t="shared" si="189"/>
        <v>0</v>
      </c>
      <c r="BK197" s="466">
        <f t="shared" si="235"/>
        <v>0</v>
      </c>
      <c r="BL197" s="466">
        <f t="shared" si="236"/>
        <v>0</v>
      </c>
      <c r="BM197" s="466">
        <f t="shared" si="190"/>
        <v>0</v>
      </c>
      <c r="BN197" s="466">
        <f t="shared" si="191"/>
        <v>0</v>
      </c>
      <c r="BO197" s="463">
        <f>IF('Data Entry'!$C$74=0,0,IF(ISNA(CJ197),0,IF(AX197=0,0,IF(AND('Data Entry'!$C$74=2,AF197&gt;2,CE197&lt;1),0,IF(AND('Data Entry'!$C$74=2,AF197&gt;1,AU197=2,CJ197&gt;1),0,IF(AND(AF197=5,CT197=0.5,AU197=2,ER197&lt;100),0,IF(AND(AF197=5,CT197=0.5,AU197=3,ER197&lt;100),0,IF(AND('Data Entry'!$C$74=2,AF197=2,AU197=2,AK197&gt;0.01,CB197=2,CE197&lt;1),0,IF(AND('Data Entry'!$C$74=2,AF197=3,AU197=3,AK197&gt;0.01,CB197=3,CE197&lt;1),0,IF(AND('Data Entry'!$C$74=2,AF197=3,AU197=3,AK197&gt;0.01,CB197=3,CE197&gt;0.99),BQ197*0.08,IF(AND('Data Entry'!$C$74=2,AF197=2,AU197=2,AK197&gt;0.01,CB197=2,CE197&gt;0.99),BQ197*0.1,IF(AND(AU197=2,AK197&gt;0.01,CB197=2,CD197&gt;1),BQ197*0.1,IF(AND(AU197=3,AK197&gt;0.01,CB197=3,CD197&gt;1),BQ197*0.08,CJ197*EF197)))))))))))))</f>
        <v>0</v>
      </c>
      <c r="BP197" s="475">
        <f t="shared" si="192"/>
        <v>0</v>
      </c>
      <c r="BQ197" s="1431">
        <f>IF(AU197=1,0,IF(CH197=100,0,IF(AND(AF197=3,AU197=2),0,IF(AND(BH197=0,CT197&gt;0.4),0,IF(AND('Data Entry'!$C$74=2,AF197=1.5),0,IF(AND('Data Entry'!$C$74=2,AF197=1.6),0,IF(AND('Data Entry'!$C$74=2,AF197=4),0,IF(AND('Data Entry'!$C$74=2,AF197=5),0,IF(AND('Data Entry'!$C$74=2,AF197=2.5,CE197&lt;1),0,IF(AND('Data Entry'!$C$74=2,AF197=3,CE197&lt;1),0,IF(AND('Data Entry'!$C$74=1,AF197=2.5,CD197&lt;1),0,IF(AND('Data Entry'!$C$74=1,AF197=3,CD197&lt;1),0,IF(DX197&gt;0.01,DX197,IF(ISERROR(AX197-AY197),"",ROUND(AX197-AY197,2)))))))))))))))</f>
        <v>0</v>
      </c>
      <c r="BR197" s="146">
        <f t="shared" si="193"/>
        <v>0</v>
      </c>
      <c r="BS197" s="475">
        <f t="shared" si="194"/>
        <v>0</v>
      </c>
      <c r="BT197" s="146" t="b">
        <f t="shared" si="195"/>
        <v>0</v>
      </c>
      <c r="BU197" s="463">
        <f>IF(ISNA(AT197),0,IF(AND('Data Entry'!$C$74=2,BC197=27),0,IF(AND('Data Entry'!$C$74=2,BC197=28),0,IF(AND(BC197=27,BT197=27,CM197&gt;0.1),CM197*0.15,IF(AND(BC197=28,BT197=28,CM197&gt;0.1),CM197*0.12,0)))))</f>
        <v>0</v>
      </c>
      <c r="BV197" s="463">
        <f t="shared" si="232"/>
        <v>0</v>
      </c>
      <c r="BW197" s="463">
        <f t="shared" si="196"/>
        <v>0</v>
      </c>
      <c r="BX197" s="463">
        <f t="shared" si="197"/>
        <v>0</v>
      </c>
      <c r="BY197" s="463">
        <f t="shared" si="198"/>
        <v>0</v>
      </c>
      <c r="BZ197" s="463">
        <f t="shared" si="199"/>
        <v>0</v>
      </c>
      <c r="CA197" s="57">
        <f t="shared" si="227"/>
        <v>0</v>
      </c>
      <c r="CB197" s="56">
        <f t="shared" si="200"/>
        <v>1</v>
      </c>
      <c r="CC197" s="756">
        <f>IF(EE197=0,0,IF(EF197=0,0,IF(EE197&gt;AA197,0,IF(AND(AZ197&gt;AW197,AW197&gt;0),0,IF(CU197=0,0,Summary!AC500)))))</f>
        <v>0</v>
      </c>
      <c r="CD197" s="756">
        <f>IF(EE197=0,0,IF(EF197=0,0,IF(EE197&gt;AA197,0,IF(AND(AZ197&gt;AW197,AW197&gt;0),0,IF(CU197=0,0,Summary!AD500)))))</f>
        <v>0</v>
      </c>
      <c r="CE197" s="756">
        <f>IF(EF197=0,0,IF(EE197&gt;AA197,0,IF(CC197=0,0,IF(AND(AZ197&gt;AW197,AW197&gt;0),0,IF(CU197=0,0,Summary!AE500)))))</f>
        <v>0</v>
      </c>
      <c r="CF197" s="475">
        <f t="shared" si="201"/>
        <v>0</v>
      </c>
      <c r="CG197" s="476">
        <f t="shared" si="169"/>
        <v>0</v>
      </c>
      <c r="CH197" s="487">
        <f t="shared" si="202"/>
        <v>0</v>
      </c>
      <c r="CI197" s="756">
        <f t="shared" si="203"/>
        <v>0</v>
      </c>
      <c r="CJ197" s="487">
        <f>IF(CT197&gt;0.4,0,IF(AND(AU197=2,CH197=0,CT197=0.5,ER197=100),35,IF(AND(AU197=3,BB197&gt;75,CH197=0,CT197=0.5,ER197=100),25,IF(CB197&gt;1,0,IF(EF197&gt;EE197,0,IF(AND(AF197&gt;1,CH197=100),0,IF(AND(AF197=1,AY197=0),0,IF(AND(EF197&lt;=EE197,AW197&gt;=AZ197,'Data Entry'!$C$74=1,AU197=2),VLOOKUP(W197,$DO$96:$DP$102,2,FALSE),IF(AND(EF197&lt;=EE197,AW197&gt;=AZ197,AU197=3,'Data Entry'!$C$74=1),VLOOKUP(W197,$DO$127:$DP$134,2,FALSE))))))))))</f>
        <v>0</v>
      </c>
      <c r="CK197" s="716">
        <f t="shared" si="204"/>
        <v>0</v>
      </c>
      <c r="CL197" s="57">
        <f t="shared" si="205"/>
        <v>0</v>
      </c>
      <c r="CM197" s="475">
        <f t="shared" si="231"/>
        <v>0</v>
      </c>
      <c r="CN197" s="660">
        <f>IF(CM197&lt;0.1,0,IF(ISNA(AT197),0,IF(CL197+BC197=1,0,IF(BV197&gt;0.01,0,IF(CL197&gt;0.01,0,IF(CF197=1,0,IF(BC197=0.5,0,IF(AND(CI197=1,AU197=3),0,IF(AND(CI197=5,CL197=0),0,IF(AND(R197=12,BR197=50),0,IF(CK197&gt;0.01,0,IF(AND(AJ197&gt;0.01,AU197=2,BC197=15),CM197*0.1,IF(AND(AJ197&gt;0.01,AU197=3,BC197=15),CM197*0.08,IF(AND(R197=12,BC197=3,AF197&lt;=0),0,IF(AND(BC197=15,BI197=0),0,IF(AND(BC197=15,BJ197=0),0,IF(AND(R197=20,CU197=0),0,IF($X$4=0,0,IF(AND(BC197=250,CL197=0),0,IF(AA197&lt;1,0,IF(AND(ISNUMBER(SEARCH("Area",T197)),AU197=3),0,IF(AND(AQ197&gt;0.01,AR197=0,BK197=0,BL197=0,BM197=0,BN197=0),0,IF(AND(AU197=3,CI197=7,CT197&gt;0.5),0,IF(AND(BC197=44,AU197=3,BY197=0),0,IF(AND(BC197=27,'Data Entry'!$C$74=2),0,IF(AND(BC197=28,'Data Entry'!$C$74=2),0,IF(AND(BY197+BZ197+CA197&gt;0.01,BV197=0,EQ197+ER197+ES197+ET197&lt;100),0,IF(AU197=3,CM197*0.08,IF(AU197=2,CM197*0.1,0)))))))))))))))))))))))))))))</f>
        <v>0</v>
      </c>
      <c r="CO197" s="660">
        <f t="shared" si="206"/>
        <v>0</v>
      </c>
      <c r="CP197" s="475" t="str">
        <f t="shared" si="207"/>
        <v/>
      </c>
      <c r="CQ197" s="161" t="str">
        <f>IF(AH197=0,0,IF(AU197=5,0,Summary!AC200))</f>
        <v/>
      </c>
      <c r="CR197" s="161" t="str">
        <f>IF(BF197=0.5,0,IF(AU197=5,0,Summary!AD200))</f>
        <v/>
      </c>
      <c r="CS197" s="161" t="str">
        <f>IF(AU197=5,0,Summary!AE200)</f>
        <v/>
      </c>
      <c r="CT197" s="161">
        <f t="shared" si="208"/>
        <v>0</v>
      </c>
      <c r="CU197" s="475" t="str">
        <f t="shared" si="209"/>
        <v/>
      </c>
      <c r="CV197" s="307">
        <f>IF('Data Entry'!$C$74=0,0,IF(AA197&lt;1,0,IF(ISERROR(CU197),0,IF(CF197=1,0,IF(AND(R197=12,BR197=50),0,IF(CL197+BO197+BV197+DC197=0,0,IF(BC197=37,0,IF(AND(BC197=40,AJ197=0),0,IF(AND(BC197=37,BO197&gt;0.01,BQ197&gt;0.01),ROUND(BQ197,0),IF(CM197&lt;0,0,ROUND(CM197,0)))))))))))</f>
        <v>0</v>
      </c>
      <c r="CW197" s="700">
        <f t="shared" si="210"/>
        <v>0</v>
      </c>
      <c r="CX197" s="477">
        <f>IF('Data Entry'!$C$74=0,0,IF(CV197&lt;0.01,0,IF(BF197=0.5,0,IF(CF197=1,0,IF(ISNUMBER(SEARCH("false",CL197)),0,IF(AZ197=500,0,CL197))))))</f>
        <v>0</v>
      </c>
      <c r="CY197" s="147" t="e">
        <f t="shared" si="211"/>
        <v>#VALUE!</v>
      </c>
      <c r="CZ197" s="147" t="b">
        <f>IF(CN197+CL197=0,FALSE,IF(AH197=0,0,IF(AND('Data Entry'!$C$74=1,CR197&gt;=1),TRUE,IF(AND('Data Entry'!$C$74=2,CS197&gt;=1),TRUE,FALSE))))</f>
        <v>0</v>
      </c>
      <c r="DA197" s="1751">
        <f>IF('Data Entry'!$C$74=0,0,IFERROR(ROUND(IF(T197="","",IF($X$4=0,0,IF(CF197=1,0,IF(BQ197+CV197=0,0,IF(CF197=1,0,IF(CY197&gt;0.01,CY197,IF(CL197&gt;0.01,CL197,IF(CY197&gt;0.01,CY197,IF(BC197=37,BO197,IF(CZ197=FALSE,0,IF(CZ197=TRUE,DC197+DF197,0))))))))))),2),""))</f>
        <v>0</v>
      </c>
      <c r="DB197" s="1752"/>
      <c r="DC197" s="474">
        <f>IF(CN197&lt;0.01,0,IF(AND(BR197=3,CN197&gt;0.01,CT197&gt;0.6,ER197+ES197+ET197&lt;100),0,IF(AND('Data Entry'!$C$74=1,CN197&gt;0.01,CR197&gt;0.99),MIN(CN197:CO197),IF(AND('Data Entry'!$C$74=2,CN197&gt;0.01,CS197&gt;0.99),MIN(CN197:CO197),0))))</f>
        <v>0</v>
      </c>
      <c r="DD197" s="478">
        <f>IF(CF197=1,"Selection does not match",IF(T197=0,0,IF(AND('Data Entry'!$C$74=0,CP197&gt;1),"Select Oregon or Idaho on Data Entry Tab",IF(AND(AU197=1,AA197&gt;0.9),"Missing Interior or Exterior Selection",IF($X$4=0,"Enter Total Project Cost",IF(AQ197&lt;AR197,"Insufficient kWh savings – no incentive",IF(AND(SUM(CL197+CK197+BV197)&gt;0.01,'Data Entry'!$C$74=2,CJ197&gt;1,BO197=0),"Submit Control as Non-Standard",IF(AND('Data Entry'!$C$74=2,BR197=37,CJ197&gt;1,BO197=0),"Submit Control as Non-Standard",IF(SUM(CL197+CK197+BV197)&gt;0.01,"Standard Incentive",IF(AND('Data Entry'!$C$74=2,CP197=7,CN197=0),"Submit as Non-Standard",IF(DC197&gt;0.9,"Non-Standard Incentive",IF(AND(BY197+BZ197+CA197&gt;0.01,BV197=0,EQ197=0,ER197=0,ES197=0,ET197=0),"Scroll Right &amp; Select Control Strategies",IF(AND(CN197&gt;0.01,CO197=0),"Enter Unit Installed Cost",IF(ISNUMBER(SEARCH("Lighting Controls Only",F197)),"Lighting Controls Only",IF(CL197+DC197=0,"Does not meet incentive criteria",0)))))))))))))))</f>
        <v>0</v>
      </c>
      <c r="DE197" s="337">
        <f t="shared" si="212"/>
        <v>0</v>
      </c>
      <c r="DF197" s="609">
        <f t="shared" si="213"/>
        <v>0</v>
      </c>
      <c r="DG197" s="336" t="str">
        <f t="shared" si="214"/>
        <v/>
      </c>
      <c r="DH197" s="338">
        <f t="shared" si="215"/>
        <v>1</v>
      </c>
      <c r="DI197" s="336" t="e">
        <f t="shared" si="170"/>
        <v>#VALUE!</v>
      </c>
      <c r="DJ197" s="1142">
        <f t="shared" si="171"/>
        <v>0</v>
      </c>
      <c r="DK197" s="331"/>
      <c r="DL197" s="332"/>
      <c r="DM197" s="1090" t="s">
        <v>1556</v>
      </c>
      <c r="DN197" s="863">
        <f>'Data Entry'!O64</f>
        <v>0</v>
      </c>
      <c r="DO197" s="331"/>
      <c r="DP197" s="332"/>
      <c r="DQ197" s="409" t="s">
        <v>73</v>
      </c>
      <c r="DR197" s="933">
        <v>0</v>
      </c>
      <c r="DS197" s="1195">
        <f t="shared" si="216"/>
        <v>0</v>
      </c>
      <c r="DT197" s="344" t="b">
        <f t="shared" si="217"/>
        <v>1</v>
      </c>
      <c r="DU197" s="1314" t="str">
        <f t="array" ref="DU197">IF(OR(COUNTIF(F197,"*"&amp;$DK$9:$DK$178&amp;"*")), "Yes", "")</f>
        <v/>
      </c>
      <c r="DV197" s="1314">
        <f t="shared" si="218"/>
        <v>0</v>
      </c>
      <c r="DW197" s="1480">
        <f t="shared" si="219"/>
        <v>0</v>
      </c>
      <c r="DX197" s="1498">
        <f t="shared" si="228"/>
        <v>0</v>
      </c>
      <c r="DY197" s="1484">
        <f t="shared" si="220"/>
        <v>0</v>
      </c>
      <c r="DZ197" s="331"/>
      <c r="EA197" s="392"/>
      <c r="EB197" s="1499" t="s">
        <v>137</v>
      </c>
      <c r="EC197" s="727" t="s">
        <v>1569</v>
      </c>
      <c r="ED197" s="728">
        <v>0.5</v>
      </c>
      <c r="EE197" s="1215"/>
      <c r="EF197" s="1215"/>
      <c r="EG197" s="1184" t="str">
        <f t="shared" si="221"/>
        <v/>
      </c>
      <c r="EH197" s="55"/>
      <c r="EI197" s="55"/>
      <c r="EJ197" s="1185">
        <f t="shared" si="172"/>
        <v>0</v>
      </c>
      <c r="EK197" s="1211"/>
      <c r="EL197" s="1180">
        <f t="shared" si="173"/>
        <v>0</v>
      </c>
      <c r="EM197" s="206"/>
      <c r="EN197" s="1038"/>
      <c r="EO197" s="1038"/>
      <c r="EP197" s="1038"/>
      <c r="EQ197" s="1038">
        <f t="shared" si="222"/>
        <v>0</v>
      </c>
      <c r="ER197" s="1041">
        <f t="shared" si="223"/>
        <v>0</v>
      </c>
      <c r="ES197" s="1042">
        <f t="shared" si="224"/>
        <v>0</v>
      </c>
      <c r="ET197" s="1042">
        <f t="shared" si="229"/>
        <v>0</v>
      </c>
      <c r="EU197" s="1021">
        <f t="shared" si="230"/>
        <v>0</v>
      </c>
      <c r="EV197" s="368"/>
      <c r="EW197" s="368"/>
      <c r="EX197" s="369"/>
      <c r="EY197" s="370"/>
      <c r="EZ197" s="370"/>
      <c r="FA197" s="371"/>
      <c r="FB197" s="372"/>
    </row>
    <row r="198" spans="1:158" ht="34.5" customHeight="1">
      <c r="A198" s="82">
        <v>190</v>
      </c>
      <c r="B198" s="1725"/>
      <c r="C198" s="1726"/>
      <c r="D198" s="1726"/>
      <c r="E198" s="1727"/>
      <c r="F198" s="1732"/>
      <c r="G198" s="1733"/>
      <c r="H198" s="1733"/>
      <c r="I198" s="1734"/>
      <c r="J198" s="1341"/>
      <c r="K198" s="1728"/>
      <c r="L198" s="1728"/>
      <c r="M198" s="1342"/>
      <c r="N198" s="1583"/>
      <c r="O198" s="208" t="str">
        <f t="shared" si="160"/>
        <v/>
      </c>
      <c r="P198" s="785"/>
      <c r="Q198" s="39" t="str">
        <f t="shared" si="161"/>
        <v/>
      </c>
      <c r="R198" s="39">
        <f t="shared" si="174"/>
        <v>0</v>
      </c>
      <c r="S198" s="234">
        <f t="shared" si="175"/>
        <v>0</v>
      </c>
      <c r="T198" s="1755"/>
      <c r="U198" s="1755"/>
      <c r="V198" s="1755"/>
      <c r="W198" s="1345"/>
      <c r="X198" s="1741"/>
      <c r="Y198" s="1742"/>
      <c r="Z198" s="1346"/>
      <c r="AA198" s="1343"/>
      <c r="AB198" s="1141"/>
      <c r="AC198" s="1103" t="str">
        <f>IF(T198="","",VLOOKUP(Z198,Lists!$A$60:$B$111,2,FALSE))</f>
        <v/>
      </c>
      <c r="AD198" s="130" t="str">
        <f t="shared" si="176"/>
        <v/>
      </c>
      <c r="AE198" s="130" t="e">
        <f t="shared" si="177"/>
        <v>#VALUE!</v>
      </c>
      <c r="AF198" s="130">
        <f t="shared" si="178"/>
        <v>1</v>
      </c>
      <c r="AG198" s="234">
        <f t="shared" si="162"/>
        <v>0</v>
      </c>
      <c r="AH198" s="1753" t="str">
        <f>IF(T198="","",(IF(ISNUMBER(SEARCH("exit",T198)),8760,IF(AND(M198="Dusk to Dawn",'Proposed Lighting'!AU198=3),4059,IF(AND(AU198=3,M198="1"),0,IF(AND(AU198=3,M198="1-C"),0,IF(AND(AU198=3,M198="2"),0,IF(AND(AU198=3,M198="2-C"),0,IF(AND(AU198=3,M198="3"),0,IF(AND(AU198=3,M198="3-C"),0,IF(AND(AU198=2,M198="Dusk to Dawn"),0,IF(AND(AU198=2,M198="Dusk to Dawn-C"),0,IF(AND(AU198=2,M198="Dusk to Dawn"),0,IF(AND(AU198=2,M198="E"),0,IF(AND(AU198=2,M198="E-C"),0,EG198)))))))))))))))</f>
        <v/>
      </c>
      <c r="AI198" s="1754"/>
      <c r="AJ198" s="1136"/>
      <c r="AK198" s="1136"/>
      <c r="AL198" s="1748">
        <f t="shared" si="179"/>
        <v>0</v>
      </c>
      <c r="AM198" s="1749"/>
      <c r="AN198" s="1750"/>
      <c r="AO198" s="476">
        <f t="shared" si="163"/>
        <v>0</v>
      </c>
      <c r="AP198" s="476">
        <f t="shared" si="180"/>
        <v>0</v>
      </c>
      <c r="AQ198" s="475">
        <f t="shared" si="164"/>
        <v>0</v>
      </c>
      <c r="AR198" s="475">
        <f t="shared" si="181"/>
        <v>0</v>
      </c>
      <c r="AS198" s="743" t="str">
        <f t="shared" si="233"/>
        <v/>
      </c>
      <c r="AT198" s="736" t="str">
        <f t="shared" si="182"/>
        <v/>
      </c>
      <c r="AU198" s="56">
        <f t="shared" si="183"/>
        <v>1</v>
      </c>
      <c r="AV198" s="476">
        <f t="shared" si="184"/>
        <v>0</v>
      </c>
      <c r="AW198" s="56">
        <f t="shared" si="185"/>
        <v>0</v>
      </c>
      <c r="AX198" s="475">
        <f t="shared" si="165"/>
        <v>0</v>
      </c>
      <c r="AY198" s="1169">
        <f t="shared" si="186"/>
        <v>0</v>
      </c>
      <c r="AZ198" s="1150">
        <f t="shared" si="225"/>
        <v>0</v>
      </c>
      <c r="BA198" s="56">
        <f t="shared" si="166"/>
        <v>0</v>
      </c>
      <c r="BB198" s="420">
        <f t="shared" si="167"/>
        <v>0</v>
      </c>
      <c r="BC198" s="58" t="str">
        <f t="shared" si="168"/>
        <v/>
      </c>
      <c r="BD198" s="660">
        <f t="shared" si="226"/>
        <v>0</v>
      </c>
      <c r="BE198" s="57" t="e">
        <f t="array" ref="BE198">INDEX($EB$11:$ED$1022,MATCH(F198&amp;T198,$EB$11:$EB$1007&amp;$EC$11:$EC$1007,0),3)</f>
        <v>#N/A</v>
      </c>
      <c r="BF198" s="463">
        <f t="shared" si="234"/>
        <v>0</v>
      </c>
      <c r="BG198" s="1445" t="e">
        <f t="array" ref="BG198">INDEX($DO$112:$DQ$123,MATCH(T198&amp;W198,$DO$114:$DO$125&amp;$DP$112:$DP$123,0),3)</f>
        <v>#N/A</v>
      </c>
      <c r="BH198" s="1446">
        <f t="shared" si="187"/>
        <v>0</v>
      </c>
      <c r="BI198" s="465">
        <f t="shared" si="188"/>
        <v>0</v>
      </c>
      <c r="BJ198" s="465">
        <f t="shared" si="189"/>
        <v>0</v>
      </c>
      <c r="BK198" s="466">
        <f t="shared" si="235"/>
        <v>0</v>
      </c>
      <c r="BL198" s="466">
        <f t="shared" si="236"/>
        <v>0</v>
      </c>
      <c r="BM198" s="466">
        <f t="shared" si="190"/>
        <v>0</v>
      </c>
      <c r="BN198" s="466">
        <f t="shared" si="191"/>
        <v>0</v>
      </c>
      <c r="BO198" s="463">
        <f>IF('Data Entry'!$C$74=0,0,IF(ISNA(CJ198),0,IF(AX198=0,0,IF(AND('Data Entry'!$C$74=2,AF198&gt;2,CE198&lt;1),0,IF(AND('Data Entry'!$C$74=2,AF198&gt;1,AU198=2,CJ198&gt;1),0,IF(AND(AF198=5,CT198=0.5,AU198=2,ER198&lt;100),0,IF(AND(AF198=5,CT198=0.5,AU198=3,ER198&lt;100),0,IF(AND('Data Entry'!$C$74=2,AF198=2,AU198=2,AK198&gt;0.01,CB198=2,CE198&lt;1),0,IF(AND('Data Entry'!$C$74=2,AF198=3,AU198=3,AK198&gt;0.01,CB198=3,CE198&lt;1),0,IF(AND('Data Entry'!$C$74=2,AF198=3,AU198=3,AK198&gt;0.01,CB198=3,CE198&gt;0.99),BQ198*0.08,IF(AND('Data Entry'!$C$74=2,AF198=2,AU198=2,AK198&gt;0.01,CB198=2,CE198&gt;0.99),BQ198*0.1,IF(AND(AU198=2,AK198&gt;0.01,CB198=2,CD198&gt;1),BQ198*0.1,IF(AND(AU198=3,AK198&gt;0.01,CB198=3,CD198&gt;1),BQ198*0.08,CJ198*EF198)))))))))))))</f>
        <v>0</v>
      </c>
      <c r="BP198" s="475">
        <f t="shared" si="192"/>
        <v>0</v>
      </c>
      <c r="BQ198" s="1431">
        <f>IF(AU198=1,0,IF(CH198=100,0,IF(AND(AF198=3,AU198=2),0,IF(AND(BH198=0,CT198&gt;0.4),0,IF(AND('Data Entry'!$C$74=2,AF198=1.5),0,IF(AND('Data Entry'!$C$74=2,AF198=1.6),0,IF(AND('Data Entry'!$C$74=2,AF198=4),0,IF(AND('Data Entry'!$C$74=2,AF198=5),0,IF(AND('Data Entry'!$C$74=2,AF198=2.5,CE198&lt;1),0,IF(AND('Data Entry'!$C$74=2,AF198=3,CE198&lt;1),0,IF(AND('Data Entry'!$C$74=1,AF198=2.5,CD198&lt;1),0,IF(AND('Data Entry'!$C$74=1,AF198=3,CD198&lt;1),0,IF(DX198&gt;0.01,DX198,IF(ISERROR(AX198-AY198),"",ROUND(AX198-AY198,2)))))))))))))))</f>
        <v>0</v>
      </c>
      <c r="BR198" s="146">
        <f t="shared" si="193"/>
        <v>0</v>
      </c>
      <c r="BS198" s="475">
        <f t="shared" si="194"/>
        <v>0</v>
      </c>
      <c r="BT198" s="146" t="b">
        <f t="shared" si="195"/>
        <v>0</v>
      </c>
      <c r="BU198" s="463">
        <f>IF(ISNA(AT198),0,IF(AND('Data Entry'!$C$74=2,BC198=27),0,IF(AND('Data Entry'!$C$74=2,BC198=28),0,IF(AND(BC198=27,BT198=27,CM198&gt;0.1),CM198*0.15,IF(AND(BC198=28,BT198=28,CM198&gt;0.1),CM198*0.12,0)))))</f>
        <v>0</v>
      </c>
      <c r="BV198" s="463">
        <f t="shared" si="232"/>
        <v>0</v>
      </c>
      <c r="BW198" s="463">
        <f t="shared" si="196"/>
        <v>0</v>
      </c>
      <c r="BX198" s="463">
        <f t="shared" si="197"/>
        <v>0</v>
      </c>
      <c r="BY198" s="463">
        <f t="shared" si="198"/>
        <v>0</v>
      </c>
      <c r="BZ198" s="463">
        <f t="shared" si="199"/>
        <v>0</v>
      </c>
      <c r="CA198" s="57">
        <f t="shared" si="227"/>
        <v>0</v>
      </c>
      <c r="CB198" s="56">
        <f t="shared" si="200"/>
        <v>1</v>
      </c>
      <c r="CC198" s="756">
        <f>IF(EE198=0,0,IF(EF198=0,0,IF(EE198&gt;AA198,0,IF(AND(AZ198&gt;AW198,AW198&gt;0),0,IF(CU198=0,0,Summary!AC501)))))</f>
        <v>0</v>
      </c>
      <c r="CD198" s="756">
        <f>IF(EE198=0,0,IF(EF198=0,0,IF(EE198&gt;AA198,0,IF(AND(AZ198&gt;AW198,AW198&gt;0),0,IF(CU198=0,0,Summary!AD501)))))</f>
        <v>0</v>
      </c>
      <c r="CE198" s="756">
        <f>IF(EF198=0,0,IF(EE198&gt;AA198,0,IF(CC198=0,0,IF(AND(AZ198&gt;AW198,AW198&gt;0),0,IF(CU198=0,0,Summary!AE501)))))</f>
        <v>0</v>
      </c>
      <c r="CF198" s="475">
        <f t="shared" si="201"/>
        <v>0</v>
      </c>
      <c r="CG198" s="476">
        <f t="shared" si="169"/>
        <v>0</v>
      </c>
      <c r="CH198" s="487">
        <f t="shared" si="202"/>
        <v>0</v>
      </c>
      <c r="CI198" s="756">
        <f t="shared" si="203"/>
        <v>0</v>
      </c>
      <c r="CJ198" s="487">
        <f>IF(CT198&gt;0.4,0,IF(AND(AU198=2,CH198=0,CT198=0.5,ER198=100),35,IF(AND(AU198=3,BB198&gt;75,CH198=0,CT198=0.5,ER198=100),25,IF(CB198&gt;1,0,IF(EF198&gt;EE198,0,IF(AND(AF198&gt;1,CH198=100),0,IF(AND(AF198=1,AY198=0),0,IF(AND(EF198&lt;=EE198,AW198&gt;=AZ198,'Data Entry'!$C$74=1,AU198=2),VLOOKUP(W198,$DO$96:$DP$102,2,FALSE),IF(AND(EF198&lt;=EE198,AW198&gt;=AZ198,AU198=3,'Data Entry'!$C$74=1),VLOOKUP(W198,$DO$127:$DP$134,2,FALSE))))))))))</f>
        <v>0</v>
      </c>
      <c r="CK198" s="716">
        <f t="shared" si="204"/>
        <v>0</v>
      </c>
      <c r="CL198" s="57">
        <f t="shared" si="205"/>
        <v>0</v>
      </c>
      <c r="CM198" s="475">
        <f t="shared" si="231"/>
        <v>0</v>
      </c>
      <c r="CN198" s="660">
        <f>IF(CM198&lt;0.1,0,IF(ISNA(AT198),0,IF(CL198+BC198=1,0,IF(BV198&gt;0.01,0,IF(CL198&gt;0.01,0,IF(CF198=1,0,IF(BC198=0.5,0,IF(AND(CI198=1,AU198=3),0,IF(AND(CI198=5,CL198=0),0,IF(AND(R198=12,BR198=50),0,IF(CK198&gt;0.01,0,IF(AND(AJ198&gt;0.01,AU198=2,BC198=15),CM198*0.1,IF(AND(AJ198&gt;0.01,AU198=3,BC198=15),CM198*0.08,IF(AND(R198=12,BC198=3,AF198&lt;=0),0,IF(AND(BC198=15,BI198=0),0,IF(AND(BC198=15,BJ198=0),0,IF(AND(R198=20,CU198=0),0,IF($X$4=0,0,IF(AND(BC198=250,CL198=0),0,IF(AA198&lt;1,0,IF(AND(ISNUMBER(SEARCH("Area",T198)),AU198=3),0,IF(AND(AQ198&gt;0.01,AR198=0,BK198=0,BL198=0,BM198=0,BN198=0),0,IF(AND(AU198=3,CI198=7,CT198&gt;0.5),0,IF(AND(BC198=44,AU198=3,BY198=0),0,IF(AND(BC198=27,'Data Entry'!$C$74=2),0,IF(AND(BC198=28,'Data Entry'!$C$74=2),0,IF(AND(BY198+BZ198+CA198&gt;0.01,BV198=0,EQ198+ER198+ES198+ET198&lt;100),0,IF(AU198=3,CM198*0.08,IF(AU198=2,CM198*0.1,0)))))))))))))))))))))))))))))</f>
        <v>0</v>
      </c>
      <c r="CO198" s="660">
        <f t="shared" si="206"/>
        <v>0</v>
      </c>
      <c r="CP198" s="475" t="str">
        <f t="shared" si="207"/>
        <v/>
      </c>
      <c r="CQ198" s="161" t="str">
        <f>IF(AH198=0,0,IF(AU198=5,0,Summary!AC201))</f>
        <v/>
      </c>
      <c r="CR198" s="161" t="str">
        <f>IF(BF198=0.5,0,IF(AU198=5,0,Summary!AD201))</f>
        <v/>
      </c>
      <c r="CS198" s="161" t="str">
        <f>IF(AU198=5,0,Summary!AE201)</f>
        <v/>
      </c>
      <c r="CT198" s="161">
        <f t="shared" si="208"/>
        <v>0</v>
      </c>
      <c r="CU198" s="475" t="str">
        <f t="shared" si="209"/>
        <v/>
      </c>
      <c r="CV198" s="307">
        <f>IF('Data Entry'!$C$74=0,0,IF(AA198&lt;1,0,IF(ISERROR(CU198),0,IF(CF198=1,0,IF(AND(R198=12,BR198=50),0,IF(CL198+BO198+BV198+DC198=0,0,IF(BC198=37,0,IF(AND(BC198=40,AJ198=0),0,IF(AND(BC198=37,BO198&gt;0.01,BQ198&gt;0.01),ROUND(BQ198,0),IF(CM198&lt;0,0,ROUND(CM198,0)))))))))))</f>
        <v>0</v>
      </c>
      <c r="CW198" s="700">
        <f t="shared" si="210"/>
        <v>0</v>
      </c>
      <c r="CX198" s="477">
        <f>IF('Data Entry'!$C$74=0,0,IF(CV198&lt;0.01,0,IF(BF198=0.5,0,IF(CF198=1,0,IF(ISNUMBER(SEARCH("false",CL198)),0,IF(AZ198=500,0,CL198))))))</f>
        <v>0</v>
      </c>
      <c r="CY198" s="147" t="e">
        <f t="shared" si="211"/>
        <v>#VALUE!</v>
      </c>
      <c r="CZ198" s="147" t="b">
        <f>IF(CN198+CL198=0,FALSE,IF(AH198=0,0,IF(AND('Data Entry'!$C$74=1,CR198&gt;=1),TRUE,IF(AND('Data Entry'!$C$74=2,CS198&gt;=1),TRUE,FALSE))))</f>
        <v>0</v>
      </c>
      <c r="DA198" s="1751">
        <f>IF('Data Entry'!$C$74=0,0,IFERROR(ROUND(IF(T198="","",IF($X$4=0,0,IF(CF198=1,0,IF(BQ198+CV198=0,0,IF(CF198=1,0,IF(CY198&gt;0.01,CY198,IF(CL198&gt;0.01,CL198,IF(CY198&gt;0.01,CY198,IF(BC198=37,BO198,IF(CZ198=FALSE,0,IF(CZ198=TRUE,DC198+DF198,0))))))))))),2),""))</f>
        <v>0</v>
      </c>
      <c r="DB198" s="1752"/>
      <c r="DC198" s="474">
        <f>IF(CN198&lt;0.01,0,IF(AND(BR198=3,CN198&gt;0.01,CT198&gt;0.6,ER198+ES198+ET198&lt;100),0,IF(AND('Data Entry'!$C$74=1,CN198&gt;0.01,CR198&gt;0.99),MIN(CN198:CO198),IF(AND('Data Entry'!$C$74=2,CN198&gt;0.01,CS198&gt;0.99),MIN(CN198:CO198),0))))</f>
        <v>0</v>
      </c>
      <c r="DD198" s="478">
        <f>IF(CF198=1,"Selection does not match",IF(T198=0,0,IF(AND('Data Entry'!$C$74=0,CP198&gt;1),"Select Oregon or Idaho on Data Entry Tab",IF(AND(AU198=1,AA198&gt;0.9),"Missing Interior or Exterior Selection",IF($X$4=0,"Enter Total Project Cost",IF(AQ198&lt;AR198,"Insufficient kWh savings – no incentive",IF(AND(SUM(CL198+CK198+BV198)&gt;0.01,'Data Entry'!$C$74=2,CJ198&gt;1,BO198=0),"Submit Control as Non-Standard",IF(AND('Data Entry'!$C$74=2,BR198=37,CJ198&gt;1,BO198=0),"Submit Control as Non-Standard",IF(SUM(CL198+CK198+BV198)&gt;0.01,"Standard Incentive",IF(AND('Data Entry'!$C$74=2,CP198=7,CN198=0),"Submit as Non-Standard",IF(DC198&gt;0.9,"Non-Standard Incentive",IF(AND(BY198+BZ198+CA198&gt;0.01,BV198=0,EQ198=0,ER198=0,ES198=0,ET198=0),"Scroll Right &amp; Select Control Strategies",IF(AND(CN198&gt;0.01,CO198=0),"Enter Unit Installed Cost",IF(ISNUMBER(SEARCH("Lighting Controls Only",F198)),"Lighting Controls Only",IF(CL198+DC198=0,"Does not meet incentive criteria",0)))))))))))))))</f>
        <v>0</v>
      </c>
      <c r="DE198" s="337">
        <f t="shared" si="212"/>
        <v>0</v>
      </c>
      <c r="DF198" s="609">
        <f t="shared" si="213"/>
        <v>0</v>
      </c>
      <c r="DG198" s="336" t="str">
        <f t="shared" si="214"/>
        <v/>
      </c>
      <c r="DH198" s="338">
        <f t="shared" si="215"/>
        <v>1</v>
      </c>
      <c r="DI198" s="336" t="e">
        <f t="shared" si="170"/>
        <v>#VALUE!</v>
      </c>
      <c r="DJ198" s="1142">
        <f t="shared" si="171"/>
        <v>0</v>
      </c>
      <c r="DK198" s="331"/>
      <c r="DL198" s="332"/>
      <c r="DM198" s="1090" t="s">
        <v>1557</v>
      </c>
      <c r="DN198" s="863">
        <f>'Data Entry'!S64</f>
        <v>0</v>
      </c>
      <c r="DO198" s="331"/>
      <c r="DP198" s="332"/>
      <c r="DQ198" s="1198" t="s">
        <v>1746</v>
      </c>
      <c r="DR198" s="933">
        <v>5</v>
      </c>
      <c r="DS198" s="1195">
        <f t="shared" si="216"/>
        <v>0</v>
      </c>
      <c r="DT198" s="344" t="b">
        <f t="shared" si="217"/>
        <v>1</v>
      </c>
      <c r="DU198" s="1314" t="str">
        <f t="array" ref="DU198">IF(OR(COUNTIF(F198,"*"&amp;$DK$9:$DK$178&amp;"*")), "Yes", "")</f>
        <v/>
      </c>
      <c r="DV198" s="1314">
        <f t="shared" si="218"/>
        <v>0</v>
      </c>
      <c r="DW198" s="1480">
        <f t="shared" si="219"/>
        <v>0</v>
      </c>
      <c r="DX198" s="1498">
        <f t="shared" si="228"/>
        <v>0</v>
      </c>
      <c r="DY198" s="1484">
        <f t="shared" si="220"/>
        <v>0</v>
      </c>
      <c r="DZ198" s="331"/>
      <c r="EA198" s="392"/>
      <c r="EB198" s="1499" t="s">
        <v>138</v>
      </c>
      <c r="EC198" s="727" t="s">
        <v>1569</v>
      </c>
      <c r="ED198" s="728">
        <v>0.5</v>
      </c>
      <c r="EE198" s="1215"/>
      <c r="EF198" s="1215"/>
      <c r="EG198" s="1184" t="str">
        <f t="shared" si="221"/>
        <v/>
      </c>
      <c r="EH198" s="55"/>
      <c r="EI198" s="55"/>
      <c r="EJ198" s="1185">
        <f t="shared" si="172"/>
        <v>0</v>
      </c>
      <c r="EK198" s="1211"/>
      <c r="EL198" s="1180">
        <f t="shared" si="173"/>
        <v>0</v>
      </c>
      <c r="EM198" s="206"/>
      <c r="EN198" s="1038"/>
      <c r="EO198" s="1038"/>
      <c r="EP198" s="1038"/>
      <c r="EQ198" s="1038">
        <f t="shared" si="222"/>
        <v>0</v>
      </c>
      <c r="ER198" s="1041">
        <f t="shared" si="223"/>
        <v>0</v>
      </c>
      <c r="ES198" s="1042">
        <f t="shared" si="224"/>
        <v>0</v>
      </c>
      <c r="ET198" s="1042">
        <f t="shared" si="229"/>
        <v>0</v>
      </c>
      <c r="EU198" s="1021">
        <f t="shared" si="230"/>
        <v>0</v>
      </c>
      <c r="EV198" s="368"/>
      <c r="EW198" s="368"/>
      <c r="EX198" s="369"/>
      <c r="EY198" s="370"/>
      <c r="EZ198" s="370"/>
      <c r="FA198" s="371"/>
      <c r="FB198" s="372"/>
    </row>
    <row r="199" spans="1:158" ht="34.5" customHeight="1">
      <c r="A199" s="82">
        <v>191</v>
      </c>
      <c r="B199" s="1725"/>
      <c r="C199" s="1726"/>
      <c r="D199" s="1726"/>
      <c r="E199" s="1727"/>
      <c r="F199" s="1732"/>
      <c r="G199" s="1733"/>
      <c r="H199" s="1733"/>
      <c r="I199" s="1734"/>
      <c r="J199" s="1341"/>
      <c r="K199" s="1728"/>
      <c r="L199" s="1728"/>
      <c r="M199" s="1342"/>
      <c r="N199" s="1583"/>
      <c r="O199" s="208" t="str">
        <f t="shared" si="160"/>
        <v/>
      </c>
      <c r="P199" s="785"/>
      <c r="Q199" s="39" t="str">
        <f t="shared" si="161"/>
        <v/>
      </c>
      <c r="R199" s="39">
        <f t="shared" si="174"/>
        <v>0</v>
      </c>
      <c r="S199" s="234">
        <f t="shared" si="175"/>
        <v>0</v>
      </c>
      <c r="T199" s="1755"/>
      <c r="U199" s="1755"/>
      <c r="V199" s="1755"/>
      <c r="W199" s="1345"/>
      <c r="X199" s="1741"/>
      <c r="Y199" s="1742"/>
      <c r="Z199" s="1346"/>
      <c r="AA199" s="1343"/>
      <c r="AB199" s="1141"/>
      <c r="AC199" s="1103" t="str">
        <f>IF(T199="","",VLOOKUP(Z199,Lists!$A$60:$B$111,2,FALSE))</f>
        <v/>
      </c>
      <c r="AD199" s="130" t="str">
        <f t="shared" si="176"/>
        <v/>
      </c>
      <c r="AE199" s="130" t="e">
        <f t="shared" si="177"/>
        <v>#VALUE!</v>
      </c>
      <c r="AF199" s="130">
        <f t="shared" si="178"/>
        <v>1</v>
      </c>
      <c r="AG199" s="234">
        <f t="shared" si="162"/>
        <v>0</v>
      </c>
      <c r="AH199" s="1753" t="str">
        <f>IF(T199="","",(IF(ISNUMBER(SEARCH("exit",T199)),8760,IF(AND(M199="Dusk to Dawn",'Proposed Lighting'!AU199=3),4059,IF(AND(AU199=3,M199="1"),0,IF(AND(AU199=3,M199="1-C"),0,IF(AND(AU199=3,M199="2"),0,IF(AND(AU199=3,M199="2-C"),0,IF(AND(AU199=3,M199="3"),0,IF(AND(AU199=3,M199="3-C"),0,IF(AND(AU199=2,M199="Dusk to Dawn"),0,IF(AND(AU199=2,M199="Dusk to Dawn-C"),0,IF(AND(AU199=2,M199="Dusk to Dawn"),0,IF(AND(AU199=2,M199="E"),0,IF(AND(AU199=2,M199="E-C"),0,EG199)))))))))))))))</f>
        <v/>
      </c>
      <c r="AI199" s="1754"/>
      <c r="AJ199" s="1136"/>
      <c r="AK199" s="1136"/>
      <c r="AL199" s="1748">
        <f t="shared" si="179"/>
        <v>0</v>
      </c>
      <c r="AM199" s="1749"/>
      <c r="AN199" s="1750"/>
      <c r="AO199" s="476">
        <f t="shared" si="163"/>
        <v>0</v>
      </c>
      <c r="AP199" s="476">
        <f t="shared" si="180"/>
        <v>0</v>
      </c>
      <c r="AQ199" s="475">
        <f t="shared" si="164"/>
        <v>0</v>
      </c>
      <c r="AR199" s="475">
        <f t="shared" si="181"/>
        <v>0</v>
      </c>
      <c r="AS199" s="743" t="str">
        <f t="shared" si="233"/>
        <v/>
      </c>
      <c r="AT199" s="736" t="str">
        <f t="shared" si="182"/>
        <v/>
      </c>
      <c r="AU199" s="56">
        <f t="shared" si="183"/>
        <v>1</v>
      </c>
      <c r="AV199" s="476">
        <f t="shared" si="184"/>
        <v>0</v>
      </c>
      <c r="AW199" s="56">
        <f t="shared" si="185"/>
        <v>0</v>
      </c>
      <c r="AX199" s="475">
        <f t="shared" si="165"/>
        <v>0</v>
      </c>
      <c r="AY199" s="1169">
        <f t="shared" si="186"/>
        <v>0</v>
      </c>
      <c r="AZ199" s="1150">
        <f t="shared" si="225"/>
        <v>0</v>
      </c>
      <c r="BA199" s="56">
        <f t="shared" si="166"/>
        <v>0</v>
      </c>
      <c r="BB199" s="420">
        <f t="shared" si="167"/>
        <v>0</v>
      </c>
      <c r="BC199" s="58" t="str">
        <f t="shared" si="168"/>
        <v/>
      </c>
      <c r="BD199" s="660">
        <f t="shared" si="226"/>
        <v>0</v>
      </c>
      <c r="BE199" s="57" t="e">
        <f t="array" ref="BE199">INDEX($EB$11:$ED$1022,MATCH(F199&amp;T199,$EB$11:$EB$1007&amp;$EC$11:$EC$1007,0),3)</f>
        <v>#N/A</v>
      </c>
      <c r="BF199" s="463">
        <f t="shared" si="234"/>
        <v>0</v>
      </c>
      <c r="BG199" s="1445" t="e">
        <f t="array" ref="BG199">INDEX($DO$112:$DQ$123,MATCH(T199&amp;W199,$DO$114:$DO$125&amp;$DP$112:$DP$123,0),3)</f>
        <v>#N/A</v>
      </c>
      <c r="BH199" s="1446">
        <f t="shared" si="187"/>
        <v>0</v>
      </c>
      <c r="BI199" s="465">
        <f t="shared" si="188"/>
        <v>0</v>
      </c>
      <c r="BJ199" s="465">
        <f t="shared" si="189"/>
        <v>0</v>
      </c>
      <c r="BK199" s="466">
        <f t="shared" si="235"/>
        <v>0</v>
      </c>
      <c r="BL199" s="466">
        <f t="shared" si="236"/>
        <v>0</v>
      </c>
      <c r="BM199" s="466">
        <f t="shared" si="190"/>
        <v>0</v>
      </c>
      <c r="BN199" s="466">
        <f t="shared" si="191"/>
        <v>0</v>
      </c>
      <c r="BO199" s="463">
        <f>IF('Data Entry'!$C$74=0,0,IF(ISNA(CJ199),0,IF(AX199=0,0,IF(AND('Data Entry'!$C$74=2,AF199&gt;2,CE199&lt;1),0,IF(AND('Data Entry'!$C$74=2,AF199&gt;1,AU199=2,CJ199&gt;1),0,IF(AND(AF199=5,CT199=0.5,AU199=2,ER199&lt;100),0,IF(AND(AF199=5,CT199=0.5,AU199=3,ER199&lt;100),0,IF(AND('Data Entry'!$C$74=2,AF199=2,AU199=2,AK199&gt;0.01,CB199=2,CE199&lt;1),0,IF(AND('Data Entry'!$C$74=2,AF199=3,AU199=3,AK199&gt;0.01,CB199=3,CE199&lt;1),0,IF(AND('Data Entry'!$C$74=2,AF199=3,AU199=3,AK199&gt;0.01,CB199=3,CE199&gt;0.99),BQ199*0.08,IF(AND('Data Entry'!$C$74=2,AF199=2,AU199=2,AK199&gt;0.01,CB199=2,CE199&gt;0.99),BQ199*0.1,IF(AND(AU199=2,AK199&gt;0.01,CB199=2,CD199&gt;1),BQ199*0.1,IF(AND(AU199=3,AK199&gt;0.01,CB199=3,CD199&gt;1),BQ199*0.08,CJ199*EF199)))))))))))))</f>
        <v>0</v>
      </c>
      <c r="BP199" s="475">
        <f t="shared" si="192"/>
        <v>0</v>
      </c>
      <c r="BQ199" s="1431">
        <f>IF(AU199=1,0,IF(CH199=100,0,IF(AND(AF199=3,AU199=2),0,IF(AND(BH199=0,CT199&gt;0.4),0,IF(AND('Data Entry'!$C$74=2,AF199=1.5),0,IF(AND('Data Entry'!$C$74=2,AF199=1.6),0,IF(AND('Data Entry'!$C$74=2,AF199=4),0,IF(AND('Data Entry'!$C$74=2,AF199=5),0,IF(AND('Data Entry'!$C$74=2,AF199=2.5,CE199&lt;1),0,IF(AND('Data Entry'!$C$74=2,AF199=3,CE199&lt;1),0,IF(AND('Data Entry'!$C$74=1,AF199=2.5,CD199&lt;1),0,IF(AND('Data Entry'!$C$74=1,AF199=3,CD199&lt;1),0,IF(DX199&gt;0.01,DX199,IF(ISERROR(AX199-AY199),"",ROUND(AX199-AY199,2)))))))))))))))</f>
        <v>0</v>
      </c>
      <c r="BR199" s="146">
        <f t="shared" si="193"/>
        <v>0</v>
      </c>
      <c r="BS199" s="475">
        <f t="shared" si="194"/>
        <v>0</v>
      </c>
      <c r="BT199" s="146" t="b">
        <f t="shared" si="195"/>
        <v>0</v>
      </c>
      <c r="BU199" s="463">
        <f>IF(ISNA(AT199),0,IF(AND('Data Entry'!$C$74=2,BC199=27),0,IF(AND('Data Entry'!$C$74=2,BC199=28),0,IF(AND(BC199=27,BT199=27,CM199&gt;0.1),CM199*0.15,IF(AND(BC199=28,BT199=28,CM199&gt;0.1),CM199*0.12,0)))))</f>
        <v>0</v>
      </c>
      <c r="BV199" s="463">
        <f t="shared" si="232"/>
        <v>0</v>
      </c>
      <c r="BW199" s="463">
        <f t="shared" si="196"/>
        <v>0</v>
      </c>
      <c r="BX199" s="463">
        <f t="shared" si="197"/>
        <v>0</v>
      </c>
      <c r="BY199" s="463">
        <f t="shared" si="198"/>
        <v>0</v>
      </c>
      <c r="BZ199" s="463">
        <f t="shared" si="199"/>
        <v>0</v>
      </c>
      <c r="CA199" s="57">
        <f t="shared" si="227"/>
        <v>0</v>
      </c>
      <c r="CB199" s="56">
        <f t="shared" si="200"/>
        <v>1</v>
      </c>
      <c r="CC199" s="756">
        <f>IF(EE199=0,0,IF(EF199=0,0,IF(EE199&gt;AA199,0,IF(AND(AZ199&gt;AW199,AW199&gt;0),0,IF(CU199=0,0,Summary!AC502)))))</f>
        <v>0</v>
      </c>
      <c r="CD199" s="756">
        <f>IF(EE199=0,0,IF(EF199=0,0,IF(EE199&gt;AA199,0,IF(AND(AZ199&gt;AW199,AW199&gt;0),0,IF(CU199=0,0,Summary!AD502)))))</f>
        <v>0</v>
      </c>
      <c r="CE199" s="756">
        <f>IF(EF199=0,0,IF(EE199&gt;AA199,0,IF(CC199=0,0,IF(AND(AZ199&gt;AW199,AW199&gt;0),0,IF(CU199=0,0,Summary!AE502)))))</f>
        <v>0</v>
      </c>
      <c r="CF199" s="475">
        <f t="shared" si="201"/>
        <v>0</v>
      </c>
      <c r="CG199" s="476">
        <f t="shared" si="169"/>
        <v>0</v>
      </c>
      <c r="CH199" s="487">
        <f t="shared" si="202"/>
        <v>0</v>
      </c>
      <c r="CI199" s="756">
        <f t="shared" si="203"/>
        <v>0</v>
      </c>
      <c r="CJ199" s="487">
        <f>IF(CT199&gt;0.4,0,IF(AND(AU199=2,CH199=0,CT199=0.5,ER199=100),35,IF(AND(AU199=3,BB199&gt;75,CH199=0,CT199=0.5,ER199=100),25,IF(CB199&gt;1,0,IF(EF199&gt;EE199,0,IF(AND(AF199&gt;1,CH199=100),0,IF(AND(AF199=1,AY199=0),0,IF(AND(EF199&lt;=EE199,AW199&gt;=AZ199,'Data Entry'!$C$74=1,AU199=2),VLOOKUP(W199,$DO$96:$DP$102,2,FALSE),IF(AND(EF199&lt;=EE199,AW199&gt;=AZ199,AU199=3,'Data Entry'!$C$74=1),VLOOKUP(W199,$DO$127:$DP$134,2,FALSE))))))))))</f>
        <v>0</v>
      </c>
      <c r="CK199" s="716">
        <f t="shared" si="204"/>
        <v>0</v>
      </c>
      <c r="CL199" s="57">
        <f t="shared" si="205"/>
        <v>0</v>
      </c>
      <c r="CM199" s="475">
        <f t="shared" si="231"/>
        <v>0</v>
      </c>
      <c r="CN199" s="660">
        <f>IF(CM199&lt;0.1,0,IF(ISNA(AT199),0,IF(CL199+BC199=1,0,IF(BV199&gt;0.01,0,IF(CL199&gt;0.01,0,IF(CF199=1,0,IF(BC199=0.5,0,IF(AND(CI199=1,AU199=3),0,IF(AND(CI199=5,CL199=0),0,IF(AND(R199=12,BR199=50),0,IF(CK199&gt;0.01,0,IF(AND(AJ199&gt;0.01,AU199=2,BC199=15),CM199*0.1,IF(AND(AJ199&gt;0.01,AU199=3,BC199=15),CM199*0.08,IF(AND(R199=12,BC199=3,AF199&lt;=0),0,IF(AND(BC199=15,BI199=0),0,IF(AND(BC199=15,BJ199=0),0,IF(AND(R199=20,CU199=0),0,IF($X$4=0,0,IF(AND(BC199=250,CL199=0),0,IF(AA199&lt;1,0,IF(AND(ISNUMBER(SEARCH("Area",T199)),AU199=3),0,IF(AND(AQ199&gt;0.01,AR199=0,BK199=0,BL199=0,BM199=0,BN199=0),0,IF(AND(AU199=3,CI199=7,CT199&gt;0.5),0,IF(AND(BC199=44,AU199=3,BY199=0),0,IF(AND(BC199=27,'Data Entry'!$C$74=2),0,IF(AND(BC199=28,'Data Entry'!$C$74=2),0,IF(AND(BY199+BZ199+CA199&gt;0.01,BV199=0,EQ199+ER199+ES199+ET199&lt;100),0,IF(AU199=3,CM199*0.08,IF(AU199=2,CM199*0.1,0)))))))))))))))))))))))))))))</f>
        <v>0</v>
      </c>
      <c r="CO199" s="660">
        <f t="shared" si="206"/>
        <v>0</v>
      </c>
      <c r="CP199" s="475" t="str">
        <f t="shared" si="207"/>
        <v/>
      </c>
      <c r="CQ199" s="161" t="str">
        <f>IF(AH199=0,0,IF(AU199=5,0,Summary!AC202))</f>
        <v/>
      </c>
      <c r="CR199" s="161" t="str">
        <f>IF(BF199=0.5,0,IF(AU199=5,0,Summary!AD202))</f>
        <v/>
      </c>
      <c r="CS199" s="161" t="str">
        <f>IF(AU199=5,0,Summary!AE202)</f>
        <v/>
      </c>
      <c r="CT199" s="161">
        <f t="shared" si="208"/>
        <v>0</v>
      </c>
      <c r="CU199" s="475" t="str">
        <f t="shared" si="209"/>
        <v/>
      </c>
      <c r="CV199" s="307">
        <f>IF('Data Entry'!$C$74=0,0,IF(AA199&lt;1,0,IF(ISERROR(CU199),0,IF(CF199=1,0,IF(AND(R199=12,BR199=50),0,IF(CL199+BO199+BV199+DC199=0,0,IF(BC199=37,0,IF(AND(BC199=40,AJ199=0),0,IF(AND(BC199=37,BO199&gt;0.01,BQ199&gt;0.01),ROUND(BQ199,0),IF(CM199&lt;0,0,ROUND(CM199,0)))))))))))</f>
        <v>0</v>
      </c>
      <c r="CW199" s="700">
        <f t="shared" si="210"/>
        <v>0</v>
      </c>
      <c r="CX199" s="477">
        <f>IF('Data Entry'!$C$74=0,0,IF(CV199&lt;0.01,0,IF(BF199=0.5,0,IF(CF199=1,0,IF(ISNUMBER(SEARCH("false",CL199)),0,IF(AZ199=500,0,CL199))))))</f>
        <v>0</v>
      </c>
      <c r="CY199" s="147" t="e">
        <f t="shared" si="211"/>
        <v>#VALUE!</v>
      </c>
      <c r="CZ199" s="147" t="b">
        <f>IF(CN199+CL199=0,FALSE,IF(AH199=0,0,IF(AND('Data Entry'!$C$74=1,CR199&gt;=1),TRUE,IF(AND('Data Entry'!$C$74=2,CS199&gt;=1),TRUE,FALSE))))</f>
        <v>0</v>
      </c>
      <c r="DA199" s="1751">
        <f>IF('Data Entry'!$C$74=0,0,IFERROR(ROUND(IF(T199="","",IF($X$4=0,0,IF(CF199=1,0,IF(BQ199+CV199=0,0,IF(CF199=1,0,IF(CY199&gt;0.01,CY199,IF(CL199&gt;0.01,CL199,IF(CY199&gt;0.01,CY199,IF(BC199=37,BO199,IF(CZ199=FALSE,0,IF(CZ199=TRUE,DC199+DF199,0))))))))))),2),""))</f>
        <v>0</v>
      </c>
      <c r="DB199" s="1752"/>
      <c r="DC199" s="474">
        <f>IF(CN199&lt;0.01,0,IF(AND(BR199=3,CN199&gt;0.01,CT199&gt;0.6,ER199+ES199+ET199&lt;100),0,IF(AND('Data Entry'!$C$74=1,CN199&gt;0.01,CR199&gt;0.99),MIN(CN199:CO199),IF(AND('Data Entry'!$C$74=2,CN199&gt;0.01,CS199&gt;0.99),MIN(CN199:CO199),0))))</f>
        <v>0</v>
      </c>
      <c r="DD199" s="478">
        <f>IF(CF199=1,"Selection does not match",IF(T199=0,0,IF(AND('Data Entry'!$C$74=0,CP199&gt;1),"Select Oregon or Idaho on Data Entry Tab",IF(AND(AU199=1,AA199&gt;0.9),"Missing Interior or Exterior Selection",IF($X$4=0,"Enter Total Project Cost",IF(AQ199&lt;AR199,"Insufficient kWh savings – no incentive",IF(AND(SUM(CL199+CK199+BV199)&gt;0.01,'Data Entry'!$C$74=2,CJ199&gt;1,BO199=0),"Submit Control as Non-Standard",IF(AND('Data Entry'!$C$74=2,BR199=37,CJ199&gt;1,BO199=0),"Submit Control as Non-Standard",IF(SUM(CL199+CK199+BV199)&gt;0.01,"Standard Incentive",IF(AND('Data Entry'!$C$74=2,CP199=7,CN199=0),"Submit as Non-Standard",IF(DC199&gt;0.9,"Non-Standard Incentive",IF(AND(BY199+BZ199+CA199&gt;0.01,BV199=0,EQ199=0,ER199=0,ES199=0,ET199=0),"Scroll Right &amp; Select Control Strategies",IF(AND(CN199&gt;0.01,CO199=0),"Enter Unit Installed Cost",IF(ISNUMBER(SEARCH("Lighting Controls Only",F199)),"Lighting Controls Only",IF(CL199+DC199=0,"Does not meet incentive criteria",0)))))))))))))))</f>
        <v>0</v>
      </c>
      <c r="DE199" s="337">
        <f t="shared" si="212"/>
        <v>0</v>
      </c>
      <c r="DF199" s="609">
        <f t="shared" si="213"/>
        <v>0</v>
      </c>
      <c r="DG199" s="336" t="str">
        <f t="shared" si="214"/>
        <v/>
      </c>
      <c r="DH199" s="338">
        <f t="shared" si="215"/>
        <v>1</v>
      </c>
      <c r="DI199" s="336" t="e">
        <f t="shared" si="170"/>
        <v>#VALUE!</v>
      </c>
      <c r="DJ199" s="1142">
        <f t="shared" si="171"/>
        <v>0</v>
      </c>
      <c r="DK199" s="331"/>
      <c r="DL199" s="329"/>
      <c r="DM199" s="1090" t="s">
        <v>1558</v>
      </c>
      <c r="DN199" s="863">
        <f>'Data Entry'!S64</f>
        <v>0</v>
      </c>
      <c r="DO199" s="331"/>
      <c r="DP199" s="332"/>
      <c r="DQ199" s="1197" t="s">
        <v>1747</v>
      </c>
      <c r="DR199" s="933">
        <v>5</v>
      </c>
      <c r="DS199" s="1195">
        <f t="shared" si="216"/>
        <v>0</v>
      </c>
      <c r="DT199" s="344" t="b">
        <f t="shared" si="217"/>
        <v>1</v>
      </c>
      <c r="DU199" s="1314" t="str">
        <f t="array" ref="DU199">IF(OR(COUNTIF(F199,"*"&amp;$DK$9:$DK$178&amp;"*")), "Yes", "")</f>
        <v/>
      </c>
      <c r="DV199" s="1314">
        <f t="shared" si="218"/>
        <v>0</v>
      </c>
      <c r="DW199" s="1480">
        <f t="shared" si="219"/>
        <v>0</v>
      </c>
      <c r="DX199" s="1498">
        <f t="shared" si="228"/>
        <v>0</v>
      </c>
      <c r="DY199" s="1484">
        <f t="shared" si="220"/>
        <v>0</v>
      </c>
      <c r="DZ199" s="331"/>
      <c r="EA199" s="392"/>
      <c r="EB199" s="1499" t="s">
        <v>139</v>
      </c>
      <c r="EC199" s="727" t="s">
        <v>1569</v>
      </c>
      <c r="ED199" s="728">
        <v>0.5</v>
      </c>
      <c r="EE199" s="1215"/>
      <c r="EF199" s="1215"/>
      <c r="EG199" s="1184" t="str">
        <f t="shared" si="221"/>
        <v/>
      </c>
      <c r="EH199" s="55"/>
      <c r="EI199" s="55"/>
      <c r="EJ199" s="1185">
        <f t="shared" si="172"/>
        <v>0</v>
      </c>
      <c r="EK199" s="1211"/>
      <c r="EL199" s="1180">
        <f t="shared" si="173"/>
        <v>0</v>
      </c>
      <c r="EM199" s="206"/>
      <c r="EN199" s="1038"/>
      <c r="EO199" s="1038"/>
      <c r="EP199" s="1038"/>
      <c r="EQ199" s="1038">
        <f t="shared" si="222"/>
        <v>0</v>
      </c>
      <c r="ER199" s="1041">
        <f t="shared" si="223"/>
        <v>0</v>
      </c>
      <c r="ES199" s="1042">
        <f t="shared" si="224"/>
        <v>0</v>
      </c>
      <c r="ET199" s="1042">
        <f t="shared" si="229"/>
        <v>0</v>
      </c>
      <c r="EU199" s="1021">
        <f t="shared" si="230"/>
        <v>0</v>
      </c>
      <c r="EV199" s="368"/>
      <c r="EW199" s="368"/>
      <c r="EX199" s="369"/>
      <c r="EY199" s="370"/>
      <c r="EZ199" s="370"/>
      <c r="FA199" s="371"/>
      <c r="FB199" s="372"/>
    </row>
    <row r="200" spans="1:158" ht="34.5" customHeight="1">
      <c r="A200" s="82">
        <v>192</v>
      </c>
      <c r="B200" s="1725"/>
      <c r="C200" s="1726"/>
      <c r="D200" s="1726"/>
      <c r="E200" s="1727"/>
      <c r="F200" s="1732"/>
      <c r="G200" s="1733"/>
      <c r="H200" s="1733"/>
      <c r="I200" s="1734"/>
      <c r="J200" s="1341"/>
      <c r="K200" s="1728"/>
      <c r="L200" s="1728"/>
      <c r="M200" s="1342"/>
      <c r="N200" s="1583"/>
      <c r="O200" s="208" t="str">
        <f t="shared" si="160"/>
        <v/>
      </c>
      <c r="P200" s="785"/>
      <c r="Q200" s="39" t="str">
        <f t="shared" si="161"/>
        <v/>
      </c>
      <c r="R200" s="39">
        <f t="shared" si="174"/>
        <v>0</v>
      </c>
      <c r="S200" s="234">
        <f t="shared" si="175"/>
        <v>0</v>
      </c>
      <c r="T200" s="1755"/>
      <c r="U200" s="1755"/>
      <c r="V200" s="1755"/>
      <c r="W200" s="1345"/>
      <c r="X200" s="1741"/>
      <c r="Y200" s="1742"/>
      <c r="Z200" s="1346"/>
      <c r="AA200" s="1343"/>
      <c r="AB200" s="1141"/>
      <c r="AC200" s="1103" t="str">
        <f>IF(T200="","",VLOOKUP(Z200,Lists!$A$60:$B$111,2,FALSE))</f>
        <v/>
      </c>
      <c r="AD200" s="130" t="str">
        <f t="shared" si="176"/>
        <v/>
      </c>
      <c r="AE200" s="130" t="e">
        <f t="shared" si="177"/>
        <v>#VALUE!</v>
      </c>
      <c r="AF200" s="130">
        <f t="shared" si="178"/>
        <v>1</v>
      </c>
      <c r="AG200" s="234">
        <f t="shared" si="162"/>
        <v>0</v>
      </c>
      <c r="AH200" s="1753" t="str">
        <f>IF(T200="","",(IF(ISNUMBER(SEARCH("exit",T200)),8760,IF(AND(M200="Dusk to Dawn",'Proposed Lighting'!AU200=3),4059,IF(AND(AU200=3,M200="1"),0,IF(AND(AU200=3,M200="1-C"),0,IF(AND(AU200=3,M200="2"),0,IF(AND(AU200=3,M200="2-C"),0,IF(AND(AU200=3,M200="3"),0,IF(AND(AU200=3,M200="3-C"),0,IF(AND(AU200=2,M200="Dusk to Dawn"),0,IF(AND(AU200=2,M200="Dusk to Dawn-C"),0,IF(AND(AU200=2,M200="Dusk to Dawn"),0,IF(AND(AU200=2,M200="E"),0,IF(AND(AU200=2,M200="E-C"),0,EG200)))))))))))))))</f>
        <v/>
      </c>
      <c r="AI200" s="1754"/>
      <c r="AJ200" s="1136"/>
      <c r="AK200" s="1136"/>
      <c r="AL200" s="1748">
        <f t="shared" si="179"/>
        <v>0</v>
      </c>
      <c r="AM200" s="1749"/>
      <c r="AN200" s="1750"/>
      <c r="AO200" s="476">
        <f t="shared" si="163"/>
        <v>0</v>
      </c>
      <c r="AP200" s="476">
        <f t="shared" si="180"/>
        <v>0</v>
      </c>
      <c r="AQ200" s="475">
        <f t="shared" si="164"/>
        <v>0</v>
      </c>
      <c r="AR200" s="475">
        <f t="shared" si="181"/>
        <v>0</v>
      </c>
      <c r="AS200" s="743" t="str">
        <f t="shared" si="233"/>
        <v/>
      </c>
      <c r="AT200" s="736" t="str">
        <f t="shared" si="182"/>
        <v/>
      </c>
      <c r="AU200" s="56">
        <f t="shared" si="183"/>
        <v>1</v>
      </c>
      <c r="AV200" s="476">
        <f t="shared" si="184"/>
        <v>0</v>
      </c>
      <c r="AW200" s="56">
        <f t="shared" si="185"/>
        <v>0</v>
      </c>
      <c r="AX200" s="475">
        <f t="shared" si="165"/>
        <v>0</v>
      </c>
      <c r="AY200" s="1169">
        <f t="shared" si="186"/>
        <v>0</v>
      </c>
      <c r="AZ200" s="1150">
        <f t="shared" si="225"/>
        <v>0</v>
      </c>
      <c r="BA200" s="56">
        <f t="shared" si="166"/>
        <v>0</v>
      </c>
      <c r="BB200" s="420">
        <f t="shared" si="167"/>
        <v>0</v>
      </c>
      <c r="BC200" s="58" t="str">
        <f t="shared" si="168"/>
        <v/>
      </c>
      <c r="BD200" s="660">
        <f t="shared" si="226"/>
        <v>0</v>
      </c>
      <c r="BE200" s="57" t="e">
        <f t="array" ref="BE200">INDEX($EB$11:$ED$1022,MATCH(F200&amp;T200,$EB$11:$EB$1007&amp;$EC$11:$EC$1007,0),3)</f>
        <v>#N/A</v>
      </c>
      <c r="BF200" s="463">
        <f t="shared" si="234"/>
        <v>0</v>
      </c>
      <c r="BG200" s="1445" t="e">
        <f t="array" ref="BG200">INDEX($DO$112:$DQ$123,MATCH(T200&amp;W200,$DO$114:$DO$125&amp;$DP$112:$DP$123,0),3)</f>
        <v>#N/A</v>
      </c>
      <c r="BH200" s="1446">
        <f t="shared" si="187"/>
        <v>0</v>
      </c>
      <c r="BI200" s="465">
        <f t="shared" si="188"/>
        <v>0</v>
      </c>
      <c r="BJ200" s="465">
        <f t="shared" si="189"/>
        <v>0</v>
      </c>
      <c r="BK200" s="466">
        <f t="shared" si="235"/>
        <v>0</v>
      </c>
      <c r="BL200" s="466">
        <f t="shared" si="236"/>
        <v>0</v>
      </c>
      <c r="BM200" s="466">
        <f t="shared" si="190"/>
        <v>0</v>
      </c>
      <c r="BN200" s="466">
        <f t="shared" si="191"/>
        <v>0</v>
      </c>
      <c r="BO200" s="463">
        <f>IF('Data Entry'!$C$74=0,0,IF(ISNA(CJ200),0,IF(AX200=0,0,IF(AND('Data Entry'!$C$74=2,AF200&gt;2,CE200&lt;1),0,IF(AND('Data Entry'!$C$74=2,AF200&gt;1,AU200=2,CJ200&gt;1),0,IF(AND(AF200=5,CT200=0.5,AU200=2,ER200&lt;100),0,IF(AND(AF200=5,CT200=0.5,AU200=3,ER200&lt;100),0,IF(AND('Data Entry'!$C$74=2,AF200=2,AU200=2,AK200&gt;0.01,CB200=2,CE200&lt;1),0,IF(AND('Data Entry'!$C$74=2,AF200=3,AU200=3,AK200&gt;0.01,CB200=3,CE200&lt;1),0,IF(AND('Data Entry'!$C$74=2,AF200=3,AU200=3,AK200&gt;0.01,CB200=3,CE200&gt;0.99),BQ200*0.08,IF(AND('Data Entry'!$C$74=2,AF200=2,AU200=2,AK200&gt;0.01,CB200=2,CE200&gt;0.99),BQ200*0.1,IF(AND(AU200=2,AK200&gt;0.01,CB200=2,CD200&gt;1),BQ200*0.1,IF(AND(AU200=3,AK200&gt;0.01,CB200=3,CD200&gt;1),BQ200*0.08,CJ200*EF200)))))))))))))</f>
        <v>0</v>
      </c>
      <c r="BP200" s="475">
        <f t="shared" si="192"/>
        <v>0</v>
      </c>
      <c r="BQ200" s="1431">
        <f>IF(AU200=1,0,IF(CH200=100,0,IF(AND(AF200=3,AU200=2),0,IF(AND(BH200=0,CT200&gt;0.4),0,IF(AND('Data Entry'!$C$74=2,AF200=1.5),0,IF(AND('Data Entry'!$C$74=2,AF200=1.6),0,IF(AND('Data Entry'!$C$74=2,AF200=4),0,IF(AND('Data Entry'!$C$74=2,AF200=5),0,IF(AND('Data Entry'!$C$74=2,AF200=2.5,CE200&lt;1),0,IF(AND('Data Entry'!$C$74=2,AF200=3,CE200&lt;1),0,IF(AND('Data Entry'!$C$74=1,AF200=2.5,CD200&lt;1),0,IF(AND('Data Entry'!$C$74=1,AF200=3,CD200&lt;1),0,IF(DX200&gt;0.01,DX200,IF(ISERROR(AX200-AY200),"",ROUND(AX200-AY200,2)))))))))))))))</f>
        <v>0</v>
      </c>
      <c r="BR200" s="146">
        <f t="shared" si="193"/>
        <v>0</v>
      </c>
      <c r="BS200" s="475">
        <f t="shared" si="194"/>
        <v>0</v>
      </c>
      <c r="BT200" s="146" t="b">
        <f t="shared" si="195"/>
        <v>0</v>
      </c>
      <c r="BU200" s="463">
        <f>IF(ISNA(AT200),0,IF(AND('Data Entry'!$C$74=2,BC200=27),0,IF(AND('Data Entry'!$C$74=2,BC200=28),0,IF(AND(BC200=27,BT200=27,CM200&gt;0.1),CM200*0.15,IF(AND(BC200=28,BT200=28,CM200&gt;0.1),CM200*0.12,0)))))</f>
        <v>0</v>
      </c>
      <c r="BV200" s="463">
        <f t="shared" si="232"/>
        <v>0</v>
      </c>
      <c r="BW200" s="463">
        <f t="shared" si="196"/>
        <v>0</v>
      </c>
      <c r="BX200" s="463">
        <f t="shared" si="197"/>
        <v>0</v>
      </c>
      <c r="BY200" s="463">
        <f t="shared" si="198"/>
        <v>0</v>
      </c>
      <c r="BZ200" s="463">
        <f t="shared" si="199"/>
        <v>0</v>
      </c>
      <c r="CA200" s="57">
        <f t="shared" si="227"/>
        <v>0</v>
      </c>
      <c r="CB200" s="56">
        <f t="shared" si="200"/>
        <v>1</v>
      </c>
      <c r="CC200" s="756">
        <f>IF(EE200=0,0,IF(EF200=0,0,IF(EE200&gt;AA200,0,IF(AND(AZ200&gt;AW200,AW200&gt;0),0,IF(CU200=0,0,Summary!AC503)))))</f>
        <v>0</v>
      </c>
      <c r="CD200" s="756">
        <f>IF(EE200=0,0,IF(EF200=0,0,IF(EE200&gt;AA200,0,IF(AND(AZ200&gt;AW200,AW200&gt;0),0,IF(CU200=0,0,Summary!AD503)))))</f>
        <v>0</v>
      </c>
      <c r="CE200" s="756">
        <f>IF(EF200=0,0,IF(EE200&gt;AA200,0,IF(CC200=0,0,IF(AND(AZ200&gt;AW200,AW200&gt;0),0,IF(CU200=0,0,Summary!AE503)))))</f>
        <v>0</v>
      </c>
      <c r="CF200" s="475">
        <f t="shared" si="201"/>
        <v>0</v>
      </c>
      <c r="CG200" s="476">
        <f t="shared" si="169"/>
        <v>0</v>
      </c>
      <c r="CH200" s="487">
        <f t="shared" si="202"/>
        <v>0</v>
      </c>
      <c r="CI200" s="756">
        <f t="shared" si="203"/>
        <v>0</v>
      </c>
      <c r="CJ200" s="487">
        <f>IF(CT200&gt;0.4,0,IF(AND(AU200=2,CH200=0,CT200=0.5,ER200=100),35,IF(AND(AU200=3,BB200&gt;75,CH200=0,CT200=0.5,ER200=100),25,IF(CB200&gt;1,0,IF(EF200&gt;EE200,0,IF(AND(AF200&gt;1,CH200=100),0,IF(AND(AF200=1,AY200=0),0,IF(AND(EF200&lt;=EE200,AW200&gt;=AZ200,'Data Entry'!$C$74=1,AU200=2),VLOOKUP(W200,$DO$96:$DP$102,2,FALSE),IF(AND(EF200&lt;=EE200,AW200&gt;=AZ200,AU200=3,'Data Entry'!$C$74=1),VLOOKUP(W200,$DO$127:$DP$134,2,FALSE))))))))))</f>
        <v>0</v>
      </c>
      <c r="CK200" s="716">
        <f t="shared" si="204"/>
        <v>0</v>
      </c>
      <c r="CL200" s="57">
        <f t="shared" si="205"/>
        <v>0</v>
      </c>
      <c r="CM200" s="475">
        <f t="shared" si="231"/>
        <v>0</v>
      </c>
      <c r="CN200" s="660">
        <f>IF(CM200&lt;0.1,0,IF(ISNA(AT200),0,IF(CL200+BC200=1,0,IF(BV200&gt;0.01,0,IF(CL200&gt;0.01,0,IF(CF200=1,0,IF(BC200=0.5,0,IF(AND(CI200=1,AU200=3),0,IF(AND(CI200=5,CL200=0),0,IF(AND(R200=12,BR200=50),0,IF(CK200&gt;0.01,0,IF(AND(AJ200&gt;0.01,AU200=2,BC200=15),CM200*0.1,IF(AND(AJ200&gt;0.01,AU200=3,BC200=15),CM200*0.08,IF(AND(R200=12,BC200=3,AF200&lt;=0),0,IF(AND(BC200=15,BI200=0),0,IF(AND(BC200=15,BJ200=0),0,IF(AND(R200=20,CU200=0),0,IF($X$4=0,0,IF(AND(BC200=250,CL200=0),0,IF(AA200&lt;1,0,IF(AND(ISNUMBER(SEARCH("Area",T200)),AU200=3),0,IF(AND(AQ200&gt;0.01,AR200=0,BK200=0,BL200=0,BM200=0,BN200=0),0,IF(AND(AU200=3,CI200=7,CT200&gt;0.5),0,IF(AND(BC200=44,AU200=3,BY200=0),0,IF(AND(BC200=27,'Data Entry'!$C$74=2),0,IF(AND(BC200=28,'Data Entry'!$C$74=2),0,IF(AND(BY200+BZ200+CA200&gt;0.01,BV200=0,EQ200+ER200+ES200+ET200&lt;100),0,IF(AU200=3,CM200*0.08,IF(AU200=2,CM200*0.1,0)))))))))))))))))))))))))))))</f>
        <v>0</v>
      </c>
      <c r="CO200" s="660">
        <f t="shared" si="206"/>
        <v>0</v>
      </c>
      <c r="CP200" s="475" t="str">
        <f t="shared" si="207"/>
        <v/>
      </c>
      <c r="CQ200" s="161" t="str">
        <f>IF(AH200=0,0,IF(AU200=5,0,Summary!AC203))</f>
        <v/>
      </c>
      <c r="CR200" s="161" t="str">
        <f>IF(BF200=0.5,0,IF(AU200=5,0,Summary!AD203))</f>
        <v/>
      </c>
      <c r="CS200" s="161" t="str">
        <f>IF(AU200=5,0,Summary!AE203)</f>
        <v/>
      </c>
      <c r="CT200" s="161">
        <f t="shared" si="208"/>
        <v>0</v>
      </c>
      <c r="CU200" s="475" t="str">
        <f t="shared" si="209"/>
        <v/>
      </c>
      <c r="CV200" s="307">
        <f>IF('Data Entry'!$C$74=0,0,IF(AA200&lt;1,0,IF(ISERROR(CU200),0,IF(CF200=1,0,IF(AND(R200=12,BR200=50),0,IF(CL200+BO200+BV200+DC200=0,0,IF(BC200=37,0,IF(AND(BC200=40,AJ200=0),0,IF(AND(BC200=37,BO200&gt;0.01,BQ200&gt;0.01),ROUND(BQ200,0),IF(CM200&lt;0,0,ROUND(CM200,0)))))))))))</f>
        <v>0</v>
      </c>
      <c r="CW200" s="700">
        <f t="shared" si="210"/>
        <v>0</v>
      </c>
      <c r="CX200" s="477">
        <f>IF('Data Entry'!$C$74=0,0,IF(CV200&lt;0.01,0,IF(BF200=0.5,0,IF(CF200=1,0,IF(ISNUMBER(SEARCH("false",CL200)),0,IF(AZ200=500,0,CL200))))))</f>
        <v>0</v>
      </c>
      <c r="CY200" s="147" t="e">
        <f t="shared" si="211"/>
        <v>#VALUE!</v>
      </c>
      <c r="CZ200" s="147" t="b">
        <f>IF(CN200+CL200=0,FALSE,IF(AH200=0,0,IF(AND('Data Entry'!$C$74=1,CR200&gt;=1),TRUE,IF(AND('Data Entry'!$C$74=2,CS200&gt;=1),TRUE,FALSE))))</f>
        <v>0</v>
      </c>
      <c r="DA200" s="1751">
        <f>IF('Data Entry'!$C$74=0,0,IFERROR(ROUND(IF(T200="","",IF($X$4=0,0,IF(CF200=1,0,IF(BQ200+CV200=0,0,IF(CF200=1,0,IF(CY200&gt;0.01,CY200,IF(CL200&gt;0.01,CL200,IF(CY200&gt;0.01,CY200,IF(BC200=37,BO200,IF(CZ200=FALSE,0,IF(CZ200=TRUE,DC200+DF200,0))))))))))),2),""))</f>
        <v>0</v>
      </c>
      <c r="DB200" s="1752"/>
      <c r="DC200" s="474">
        <f>IF(CN200&lt;0.01,0,IF(AND(BR200=3,CN200&gt;0.01,CT200&gt;0.6,ER200+ES200+ET200&lt;100),0,IF(AND('Data Entry'!$C$74=1,CN200&gt;0.01,CR200&gt;0.99),MIN(CN200:CO200),IF(AND('Data Entry'!$C$74=2,CN200&gt;0.01,CS200&gt;0.99),MIN(CN200:CO200),0))))</f>
        <v>0</v>
      </c>
      <c r="DD200" s="478">
        <f>IF(CF200=1,"Selection does not match",IF(T200=0,0,IF(AND('Data Entry'!$C$74=0,CP200&gt;1),"Select Oregon or Idaho on Data Entry Tab",IF(AND(AU200=1,AA200&gt;0.9),"Missing Interior or Exterior Selection",IF($X$4=0,"Enter Total Project Cost",IF(AQ200&lt;AR200,"Insufficient kWh savings – no incentive",IF(AND(SUM(CL200+CK200+BV200)&gt;0.01,'Data Entry'!$C$74=2,CJ200&gt;1,BO200=0),"Submit Control as Non-Standard",IF(AND('Data Entry'!$C$74=2,BR200=37,CJ200&gt;1,BO200=0),"Submit Control as Non-Standard",IF(SUM(CL200+CK200+BV200)&gt;0.01,"Standard Incentive",IF(AND('Data Entry'!$C$74=2,CP200=7,CN200=0),"Submit as Non-Standard",IF(DC200&gt;0.9,"Non-Standard Incentive",IF(AND(BY200+BZ200+CA200&gt;0.01,BV200=0,EQ200=0,ER200=0,ES200=0,ET200=0),"Scroll Right &amp; Select Control Strategies",IF(AND(CN200&gt;0.01,CO200=0),"Enter Unit Installed Cost",IF(ISNUMBER(SEARCH("Lighting Controls Only",F200)),"Lighting Controls Only",IF(CL200+DC200=0,"Does not meet incentive criteria",0)))))))))))))))</f>
        <v>0</v>
      </c>
      <c r="DE200" s="337">
        <f t="shared" si="212"/>
        <v>0</v>
      </c>
      <c r="DF200" s="609">
        <f t="shared" si="213"/>
        <v>0</v>
      </c>
      <c r="DG200" s="336" t="str">
        <f t="shared" si="214"/>
        <v/>
      </c>
      <c r="DH200" s="338">
        <f t="shared" si="215"/>
        <v>1</v>
      </c>
      <c r="DI200" s="336" t="e">
        <f t="shared" si="170"/>
        <v>#VALUE!</v>
      </c>
      <c r="DJ200" s="1142">
        <f t="shared" si="171"/>
        <v>0</v>
      </c>
      <c r="DK200" s="331"/>
      <c r="DL200" s="329"/>
      <c r="DM200" s="1090" t="s">
        <v>1601</v>
      </c>
      <c r="DN200" s="863">
        <f>'Data Entry'!AB57</f>
        <v>0</v>
      </c>
      <c r="DO200" s="331"/>
      <c r="DP200" s="332"/>
      <c r="DQ200" s="1198" t="s">
        <v>1748</v>
      </c>
      <c r="DR200" s="933">
        <v>5</v>
      </c>
      <c r="DS200" s="1195">
        <f t="shared" si="216"/>
        <v>0</v>
      </c>
      <c r="DT200" s="344" t="b">
        <f t="shared" si="217"/>
        <v>1</v>
      </c>
      <c r="DU200" s="1314" t="str">
        <f t="array" ref="DU200">IF(OR(COUNTIF(F200,"*"&amp;$DK$9:$DK$178&amp;"*")), "Yes", "")</f>
        <v/>
      </c>
      <c r="DV200" s="1314">
        <f t="shared" si="218"/>
        <v>0</v>
      </c>
      <c r="DW200" s="1480">
        <f t="shared" si="219"/>
        <v>0</v>
      </c>
      <c r="DX200" s="1498">
        <f t="shared" si="228"/>
        <v>0</v>
      </c>
      <c r="DY200" s="1484">
        <f t="shared" si="220"/>
        <v>0</v>
      </c>
      <c r="DZ200" s="331"/>
      <c r="EA200" s="392"/>
      <c r="EB200" s="1500" t="s">
        <v>140</v>
      </c>
      <c r="EC200" s="727" t="s">
        <v>1569</v>
      </c>
      <c r="ED200" s="728">
        <v>0.5</v>
      </c>
      <c r="EE200" s="1215"/>
      <c r="EF200" s="1215"/>
      <c r="EG200" s="1184" t="str">
        <f t="shared" si="221"/>
        <v/>
      </c>
      <c r="EH200" s="55"/>
      <c r="EI200" s="55"/>
      <c r="EJ200" s="1185">
        <f t="shared" si="172"/>
        <v>0</v>
      </c>
      <c r="EK200" s="1211"/>
      <c r="EL200" s="1180">
        <f t="shared" si="173"/>
        <v>0</v>
      </c>
      <c r="EM200" s="206"/>
      <c r="EN200" s="1038"/>
      <c r="EO200" s="1038"/>
      <c r="EP200" s="1038"/>
      <c r="EQ200" s="1038">
        <f t="shared" si="222"/>
        <v>0</v>
      </c>
      <c r="ER200" s="1041">
        <f t="shared" si="223"/>
        <v>0</v>
      </c>
      <c r="ES200" s="1042">
        <f t="shared" si="224"/>
        <v>0</v>
      </c>
      <c r="ET200" s="1042">
        <f t="shared" si="229"/>
        <v>0</v>
      </c>
      <c r="EU200" s="1021">
        <f t="shared" si="230"/>
        <v>0</v>
      </c>
      <c r="EV200" s="368"/>
      <c r="EW200" s="368"/>
      <c r="EX200" s="369"/>
      <c r="EY200" s="370"/>
      <c r="EZ200" s="370"/>
      <c r="FA200" s="371"/>
      <c r="FB200" s="372"/>
    </row>
    <row r="201" spans="1:158" ht="34.5" customHeight="1">
      <c r="A201" s="82">
        <v>193</v>
      </c>
      <c r="B201" s="1725"/>
      <c r="C201" s="1726"/>
      <c r="D201" s="1726"/>
      <c r="E201" s="1727"/>
      <c r="F201" s="1732"/>
      <c r="G201" s="1733"/>
      <c r="H201" s="1733"/>
      <c r="I201" s="1734"/>
      <c r="J201" s="1341"/>
      <c r="K201" s="1728"/>
      <c r="L201" s="1728"/>
      <c r="M201" s="1342"/>
      <c r="N201" s="1583"/>
      <c r="O201" s="208" t="str">
        <f t="shared" ref="O201:O264" si="237">IF(F201="","",VLOOKUP(F201,$DK$5:$DL$202,2,FALSE))</f>
        <v/>
      </c>
      <c r="P201" s="785"/>
      <c r="Q201" s="39" t="str">
        <f t="shared" ref="Q201:Q264" si="238">IF(F201="","",VLOOKUP(F201,$DM$9:$DN$177,2,FALSE))</f>
        <v/>
      </c>
      <c r="R201" s="39">
        <f t="shared" si="174"/>
        <v>0</v>
      </c>
      <c r="S201" s="234">
        <f t="shared" si="175"/>
        <v>0</v>
      </c>
      <c r="T201" s="1755"/>
      <c r="U201" s="1755"/>
      <c r="V201" s="1755"/>
      <c r="W201" s="1345"/>
      <c r="X201" s="1741"/>
      <c r="Y201" s="1742"/>
      <c r="Z201" s="1346"/>
      <c r="AA201" s="1343"/>
      <c r="AB201" s="1141"/>
      <c r="AC201" s="1103" t="str">
        <f>IF(T201="","",VLOOKUP(Z201,Lists!$A$60:$B$111,2,FALSE))</f>
        <v/>
      </c>
      <c r="AD201" s="130" t="str">
        <f t="shared" si="176"/>
        <v/>
      </c>
      <c r="AE201" s="130" t="e">
        <f t="shared" si="177"/>
        <v>#VALUE!</v>
      </c>
      <c r="AF201" s="130">
        <f t="shared" si="178"/>
        <v>1</v>
      </c>
      <c r="AG201" s="234">
        <f t="shared" ref="AG201:AG264" si="239">IF(ISNUMBER(SEARCH("controls",F201)),0,AR201)</f>
        <v>0</v>
      </c>
      <c r="AH201" s="1753" t="str">
        <f>IF(T201="","",(IF(ISNUMBER(SEARCH("exit",T201)),8760,IF(AND(M201="Dusk to Dawn",'Proposed Lighting'!AU201=3),4059,IF(AND(AU201=3,M201="1"),0,IF(AND(AU201=3,M201="1-C"),0,IF(AND(AU201=3,M201="2"),0,IF(AND(AU201=3,M201="2-C"),0,IF(AND(AU201=3,M201="3"),0,IF(AND(AU201=3,M201="3-C"),0,IF(AND(AU201=2,M201="Dusk to Dawn"),0,IF(AND(AU201=2,M201="Dusk to Dawn-C"),0,IF(AND(AU201=2,M201="Dusk to Dawn"),0,IF(AND(AU201=2,M201="E"),0,IF(AND(AU201=2,M201="E-C"),0,EG201)))))))))))))))</f>
        <v/>
      </c>
      <c r="AI201" s="1754"/>
      <c r="AJ201" s="1136"/>
      <c r="AK201" s="1136"/>
      <c r="AL201" s="1748">
        <f t="shared" si="179"/>
        <v>0</v>
      </c>
      <c r="AM201" s="1749"/>
      <c r="AN201" s="1750"/>
      <c r="AO201" s="476">
        <f t="shared" ref="AO201:AO264" si="240">IF(ISNUMBER(SEARCH("controls",F201)),0,IF(ISBLANK(F201),0,IF(P201&gt;0.01,P201*N201/1000,O201*N201/1000)))</f>
        <v>0</v>
      </c>
      <c r="AP201" s="476">
        <f t="shared" si="180"/>
        <v>0</v>
      </c>
      <c r="AQ201" s="475">
        <f t="shared" ref="AQ201:AQ264" si="241">IF(ISNUMBER(SEARCH("controls",F201)),0,IF(AU201=1,0,IF(EJ201&gt;0.01,EG201*0.9*N201*AS201/1000,AO201*AH201)))</f>
        <v>0</v>
      </c>
      <c r="AR201" s="475">
        <f t="shared" si="181"/>
        <v>0</v>
      </c>
      <c r="AS201" s="743" t="str">
        <f t="shared" si="233"/>
        <v/>
      </c>
      <c r="AT201" s="736" t="str">
        <f t="shared" si="182"/>
        <v/>
      </c>
      <c r="AU201" s="56">
        <f t="shared" si="183"/>
        <v>1</v>
      </c>
      <c r="AV201" s="476">
        <f t="shared" si="184"/>
        <v>0</v>
      </c>
      <c r="AW201" s="56">
        <f t="shared" si="185"/>
        <v>0</v>
      </c>
      <c r="AX201" s="475">
        <f t="shared" ref="AX201:AX264" si="242">IF(EE201=0,0,IF(AW201=0,0,IF(EF201=0,0,IF(EE201&gt;AA201,0,IF(EJ201&gt;0.01,(EE201*AT201)*EJ201/1000,(EE201*AT201)*CU201/1000)))))</f>
        <v>0</v>
      </c>
      <c r="AY201" s="1169">
        <f t="shared" si="186"/>
        <v>0</v>
      </c>
      <c r="AZ201" s="1150">
        <f t="shared" si="225"/>
        <v>0</v>
      </c>
      <c r="BA201" s="56">
        <f t="shared" ref="BA201:BA264" si="243">IF(AND(AK201&gt;0.01,AF201&gt;1,EF201&gt;0.5),EF201*AK201,IF(AND(BQ201&gt;0,AK201&gt;0),AK201*EF201,0))</f>
        <v>0</v>
      </c>
      <c r="BB201" s="420">
        <f t="shared" ref="BB201:BB264" si="244">IF(AV201=0,0,IF(AND(AV201&gt;0.01,DS201&lt;2),0,IF(AF201&lt;2,0,AC201*EE201/EF201)))</f>
        <v>0</v>
      </c>
      <c r="BC201" s="58" t="str">
        <f t="shared" ref="BC201:BC264" si="245">IF(T201="","",VLOOKUP(T201,$DQ$193:$DR$237,2,FALSE))</f>
        <v/>
      </c>
      <c r="BD201" s="660">
        <f t="shared" si="226"/>
        <v>0</v>
      </c>
      <c r="BE201" s="57" t="e">
        <f t="array" ref="BE201">INDEX($EB$11:$ED$1022,MATCH(F201&amp;T201,$EB$11:$EB$1007&amp;$EC$11:$EC$1007,0),3)</f>
        <v>#N/A</v>
      </c>
      <c r="BF201" s="463">
        <f t="shared" si="234"/>
        <v>0</v>
      </c>
      <c r="BG201" s="1445" t="e">
        <f t="array" ref="BG201">INDEX($DO$112:$DQ$123,MATCH(T201&amp;W201,$DO$114:$DO$125&amp;$DP$112:$DP$123,0),3)</f>
        <v>#N/A</v>
      </c>
      <c r="BH201" s="1446">
        <f t="shared" si="187"/>
        <v>0</v>
      </c>
      <c r="BI201" s="465">
        <f t="shared" si="188"/>
        <v>0</v>
      </c>
      <c r="BJ201" s="465">
        <f t="shared" si="189"/>
        <v>0</v>
      </c>
      <c r="BK201" s="466">
        <f t="shared" si="235"/>
        <v>0</v>
      </c>
      <c r="BL201" s="466">
        <f t="shared" si="236"/>
        <v>0</v>
      </c>
      <c r="BM201" s="466">
        <f t="shared" si="190"/>
        <v>0</v>
      </c>
      <c r="BN201" s="466">
        <f t="shared" si="191"/>
        <v>0</v>
      </c>
      <c r="BO201" s="463">
        <f>IF('Data Entry'!$C$74=0,0,IF(ISNA(CJ201),0,IF(AX201=0,0,IF(AND('Data Entry'!$C$74=2,AF201&gt;2,CE201&lt;1),0,IF(AND('Data Entry'!$C$74=2,AF201&gt;1,AU201=2,CJ201&gt;1),0,IF(AND(AF201=5,CT201=0.5,AU201=2,ER201&lt;100),0,IF(AND(AF201=5,CT201=0.5,AU201=3,ER201&lt;100),0,IF(AND('Data Entry'!$C$74=2,AF201=2,AU201=2,AK201&gt;0.01,CB201=2,CE201&lt;1),0,IF(AND('Data Entry'!$C$74=2,AF201=3,AU201=3,AK201&gt;0.01,CB201=3,CE201&lt;1),0,IF(AND('Data Entry'!$C$74=2,AF201=3,AU201=3,AK201&gt;0.01,CB201=3,CE201&gt;0.99),BQ201*0.08,IF(AND('Data Entry'!$C$74=2,AF201=2,AU201=2,AK201&gt;0.01,CB201=2,CE201&gt;0.99),BQ201*0.1,IF(AND(AU201=2,AK201&gt;0.01,CB201=2,CD201&gt;1),BQ201*0.1,IF(AND(AU201=3,AK201&gt;0.01,CB201=3,CD201&gt;1),BQ201*0.08,CJ201*EF201)))))))))))))</f>
        <v>0</v>
      </c>
      <c r="BP201" s="475">
        <f t="shared" si="192"/>
        <v>0</v>
      </c>
      <c r="BQ201" s="1431">
        <f>IF(AU201=1,0,IF(CH201=100,0,IF(AND(AF201=3,AU201=2),0,IF(AND(BH201=0,CT201&gt;0.4),0,IF(AND('Data Entry'!$C$74=2,AF201=1.5),0,IF(AND('Data Entry'!$C$74=2,AF201=1.6),0,IF(AND('Data Entry'!$C$74=2,AF201=4),0,IF(AND('Data Entry'!$C$74=2,AF201=5),0,IF(AND('Data Entry'!$C$74=2,AF201=2.5,CE201&lt;1),0,IF(AND('Data Entry'!$C$74=2,AF201=3,CE201&lt;1),0,IF(AND('Data Entry'!$C$74=1,AF201=2.5,CD201&lt;1),0,IF(AND('Data Entry'!$C$74=1,AF201=3,CD201&lt;1),0,IF(DX201&gt;0.01,DX201,IF(ISERROR(AX201-AY201),"",ROUND(AX201-AY201,2)))))))))))))))</f>
        <v>0</v>
      </c>
      <c r="BR201" s="146">
        <f t="shared" si="193"/>
        <v>0</v>
      </c>
      <c r="BS201" s="475">
        <f t="shared" si="194"/>
        <v>0</v>
      </c>
      <c r="BT201" s="146" t="b">
        <f t="shared" si="195"/>
        <v>0</v>
      </c>
      <c r="BU201" s="463">
        <f>IF(ISNA(AT201),0,IF(AND('Data Entry'!$C$74=2,BC201=27),0,IF(AND('Data Entry'!$C$74=2,BC201=28),0,IF(AND(BC201=27,BT201=27,CM201&gt;0.1),CM201*0.15,IF(AND(BC201=28,BT201=28,CM201&gt;0.1),CM201*0.12,0)))))</f>
        <v>0</v>
      </c>
      <c r="BV201" s="463">
        <f t="shared" si="232"/>
        <v>0</v>
      </c>
      <c r="BW201" s="463">
        <f t="shared" si="196"/>
        <v>0</v>
      </c>
      <c r="BX201" s="463">
        <f t="shared" si="197"/>
        <v>0</v>
      </c>
      <c r="BY201" s="463">
        <f t="shared" si="198"/>
        <v>0</v>
      </c>
      <c r="BZ201" s="463">
        <f t="shared" si="199"/>
        <v>0</v>
      </c>
      <c r="CA201" s="57">
        <f t="shared" si="227"/>
        <v>0</v>
      </c>
      <c r="CB201" s="56">
        <f t="shared" si="200"/>
        <v>1</v>
      </c>
      <c r="CC201" s="756">
        <f>IF(EE201=0,0,IF(EF201=0,0,IF(EE201&gt;AA201,0,IF(AND(AZ201&gt;AW201,AW201&gt;0),0,IF(CU201=0,0,Summary!AC504)))))</f>
        <v>0</v>
      </c>
      <c r="CD201" s="756">
        <f>IF(EE201=0,0,IF(EF201=0,0,IF(EE201&gt;AA201,0,IF(AND(AZ201&gt;AW201,AW201&gt;0),0,IF(CU201=0,0,Summary!AD504)))))</f>
        <v>0</v>
      </c>
      <c r="CE201" s="756">
        <f>IF(EF201=0,0,IF(EE201&gt;AA201,0,IF(CC201=0,0,IF(AND(AZ201&gt;AW201,AW201&gt;0),0,IF(CU201=0,0,Summary!AE504)))))</f>
        <v>0</v>
      </c>
      <c r="CF201" s="475">
        <f t="shared" si="201"/>
        <v>0</v>
      </c>
      <c r="CG201" s="476">
        <f t="shared" ref="CG201:CG264" si="246">IF(CV201&lt;0,0,IF(DA201=0,0,AR201))</f>
        <v>0</v>
      </c>
      <c r="CH201" s="487">
        <f t="shared" si="202"/>
        <v>0</v>
      </c>
      <c r="CI201" s="756">
        <f t="shared" si="203"/>
        <v>0</v>
      </c>
      <c r="CJ201" s="487">
        <f>IF(CT201&gt;0.4,0,IF(AND(AU201=2,CH201=0,CT201=0.5,ER201=100),35,IF(AND(AU201=3,BB201&gt;75,CH201=0,CT201=0.5,ER201=100),25,IF(CB201&gt;1,0,IF(EF201&gt;EE201,0,IF(AND(AF201&gt;1,CH201=100),0,IF(AND(AF201=1,AY201=0),0,IF(AND(EF201&lt;=EE201,AW201&gt;=AZ201,'Data Entry'!$C$74=1,AU201=2),VLOOKUP(W201,$DO$96:$DP$102,2,FALSE),IF(AND(EF201&lt;=EE201,AW201&gt;=AZ201,AU201=3,'Data Entry'!$C$74=1),VLOOKUP(W201,$DO$127:$DP$134,2,FALSE))))))))))</f>
        <v>0</v>
      </c>
      <c r="CK201" s="716">
        <f t="shared" si="204"/>
        <v>0</v>
      </c>
      <c r="CL201" s="57">
        <f t="shared" si="205"/>
        <v>0</v>
      </c>
      <c r="CM201" s="475">
        <f t="shared" si="231"/>
        <v>0</v>
      </c>
      <c r="CN201" s="660">
        <f>IF(CM201&lt;0.1,0,IF(ISNA(AT201),0,IF(CL201+BC201=1,0,IF(BV201&gt;0.01,0,IF(CL201&gt;0.01,0,IF(CF201=1,0,IF(BC201=0.5,0,IF(AND(CI201=1,AU201=3),0,IF(AND(CI201=5,CL201=0),0,IF(AND(R201=12,BR201=50),0,IF(CK201&gt;0.01,0,IF(AND(AJ201&gt;0.01,AU201=2,BC201=15),CM201*0.1,IF(AND(AJ201&gt;0.01,AU201=3,BC201=15),CM201*0.08,IF(AND(R201=12,BC201=3,AF201&lt;=0),0,IF(AND(BC201=15,BI201=0),0,IF(AND(BC201=15,BJ201=0),0,IF(AND(R201=20,CU201=0),0,IF($X$4=0,0,IF(AND(BC201=250,CL201=0),0,IF(AA201&lt;1,0,IF(AND(ISNUMBER(SEARCH("Area",T201)),AU201=3),0,IF(AND(AQ201&gt;0.01,AR201=0,BK201=0,BL201=0,BM201=0,BN201=0),0,IF(AND(AU201=3,CI201=7,CT201&gt;0.5),0,IF(AND(BC201=44,AU201=3,BY201=0),0,IF(AND(BC201=27,'Data Entry'!$C$74=2),0,IF(AND(BC201=28,'Data Entry'!$C$74=2),0,IF(AND(BY201+BZ201+CA201&gt;0.01,BV201=0,EQ201+ER201+ES201+ET201&lt;100),0,IF(AU201=3,CM201*0.08,IF(AU201=2,CM201*0.1,0)))))))))))))))))))))))))))))</f>
        <v>0</v>
      </c>
      <c r="CO201" s="660">
        <f t="shared" si="206"/>
        <v>0</v>
      </c>
      <c r="CP201" s="475" t="str">
        <f t="shared" si="207"/>
        <v/>
      </c>
      <c r="CQ201" s="161" t="str">
        <f>IF(AH201=0,0,IF(AU201=5,0,Summary!AC204))</f>
        <v/>
      </c>
      <c r="CR201" s="161" t="str">
        <f>IF(BF201=0.5,0,IF(AU201=5,0,Summary!AD204))</f>
        <v/>
      </c>
      <c r="CS201" s="161" t="str">
        <f>IF(AU201=5,0,Summary!AE204)</f>
        <v/>
      </c>
      <c r="CT201" s="161">
        <f t="shared" si="208"/>
        <v>0</v>
      </c>
      <c r="CU201" s="475" t="str">
        <f t="shared" si="209"/>
        <v/>
      </c>
      <c r="CV201" s="307">
        <f>IF('Data Entry'!$C$74=0,0,IF(AA201&lt;1,0,IF(ISERROR(CU201),0,IF(CF201=1,0,IF(AND(R201=12,BR201=50),0,IF(CL201+BO201+BV201+DC201=0,0,IF(BC201=37,0,IF(AND(BC201=40,AJ201=0),0,IF(AND(BC201=37,BO201&gt;0.01,BQ201&gt;0.01),ROUND(BQ201,0),IF(CM201&lt;0,0,ROUND(CM201,0)))))))))))</f>
        <v>0</v>
      </c>
      <c r="CW201" s="700">
        <f t="shared" si="210"/>
        <v>0</v>
      </c>
      <c r="CX201" s="477">
        <f>IF('Data Entry'!$C$74=0,0,IF(CV201&lt;0.01,0,IF(BF201=0.5,0,IF(CF201=1,0,IF(ISNUMBER(SEARCH("false",CL201)),0,IF(AZ201=500,0,CL201))))))</f>
        <v>0</v>
      </c>
      <c r="CY201" s="147" t="e">
        <f t="shared" si="211"/>
        <v>#VALUE!</v>
      </c>
      <c r="CZ201" s="147" t="b">
        <f>IF(CN201+CL201=0,FALSE,IF(AH201=0,0,IF(AND('Data Entry'!$C$74=1,CR201&gt;=1),TRUE,IF(AND('Data Entry'!$C$74=2,CS201&gt;=1),TRUE,FALSE))))</f>
        <v>0</v>
      </c>
      <c r="DA201" s="1751">
        <f>IF('Data Entry'!$C$74=0,0,IFERROR(ROUND(IF(T201="","",IF($X$4=0,0,IF(CF201=1,0,IF(BQ201+CV201=0,0,IF(CF201=1,0,IF(CY201&gt;0.01,CY201,IF(CL201&gt;0.01,CL201,IF(CY201&gt;0.01,CY201,IF(BC201=37,BO201,IF(CZ201=FALSE,0,IF(CZ201=TRUE,DC201+DF201,0))))))))))),2),""))</f>
        <v>0</v>
      </c>
      <c r="DB201" s="1752"/>
      <c r="DC201" s="474">
        <f>IF(CN201&lt;0.01,0,IF(AND(BR201=3,CN201&gt;0.01,CT201&gt;0.6,ER201+ES201+ET201&lt;100),0,IF(AND('Data Entry'!$C$74=1,CN201&gt;0.01,CR201&gt;0.99),MIN(CN201:CO201),IF(AND('Data Entry'!$C$74=2,CN201&gt;0.01,CS201&gt;0.99),MIN(CN201:CO201),0))))</f>
        <v>0</v>
      </c>
      <c r="DD201" s="478">
        <f>IF(CF201=1,"Selection does not match",IF(T201=0,0,IF(AND('Data Entry'!$C$74=0,CP201&gt;1),"Select Oregon or Idaho on Data Entry Tab",IF(AND(AU201=1,AA201&gt;0.9),"Missing Interior or Exterior Selection",IF($X$4=0,"Enter Total Project Cost",IF(AQ201&lt;AR201,"Insufficient kWh savings – no incentive",IF(AND(SUM(CL201+CK201+BV201)&gt;0.01,'Data Entry'!$C$74=2,CJ201&gt;1,BO201=0),"Submit Control as Non-Standard",IF(AND('Data Entry'!$C$74=2,BR201=37,CJ201&gt;1,BO201=0),"Submit Control as Non-Standard",IF(SUM(CL201+CK201+BV201)&gt;0.01,"Standard Incentive",IF(AND('Data Entry'!$C$74=2,CP201=7,CN201=0),"Submit as Non-Standard",IF(DC201&gt;0.9,"Non-Standard Incentive",IF(AND(BY201+BZ201+CA201&gt;0.01,BV201=0,EQ201=0,ER201=0,ES201=0,ET201=0),"Scroll Right &amp; Select Control Strategies",IF(AND(CN201&gt;0.01,CO201=0),"Enter Unit Installed Cost",IF(ISNUMBER(SEARCH("Lighting Controls Only",F201)),"Lighting Controls Only",IF(CL201+DC201=0,"Does not meet incentive criteria",0)))))))))))))))</f>
        <v>0</v>
      </c>
      <c r="DE201" s="337">
        <f t="shared" si="212"/>
        <v>0</v>
      </c>
      <c r="DF201" s="609">
        <f t="shared" si="213"/>
        <v>0</v>
      </c>
      <c r="DG201" s="336" t="str">
        <f t="shared" si="214"/>
        <v/>
      </c>
      <c r="DH201" s="338">
        <f t="shared" si="215"/>
        <v>1</v>
      </c>
      <c r="DI201" s="336" t="e">
        <f t="shared" ref="DI201:DI264" si="247">Q201*N201</f>
        <v>#VALUE!</v>
      </c>
      <c r="DJ201" s="1142">
        <f t="shared" ref="DJ201:DJ264" si="248">IF(DC201&gt;0.01,AL201,0)</f>
        <v>0</v>
      </c>
      <c r="DK201" s="331"/>
      <c r="DL201" s="332"/>
      <c r="DM201" s="1090" t="s">
        <v>1602</v>
      </c>
      <c r="DN201" s="863">
        <f>'Data Entry'!AB57</f>
        <v>0</v>
      </c>
      <c r="DO201" s="361" t="s">
        <v>73</v>
      </c>
      <c r="DP201" s="81"/>
      <c r="DQ201" s="1197" t="s">
        <v>1749</v>
      </c>
      <c r="DR201" s="933">
        <v>5</v>
      </c>
      <c r="DS201" s="1195">
        <f t="shared" si="216"/>
        <v>0</v>
      </c>
      <c r="DT201" s="344" t="b">
        <f t="shared" si="217"/>
        <v>1</v>
      </c>
      <c r="DU201" s="1314" t="str">
        <f t="array" ref="DU201">IF(OR(COUNTIF(F201,"*"&amp;$DK$9:$DK$178&amp;"*")), "Yes", "")</f>
        <v/>
      </c>
      <c r="DV201" s="1314">
        <f t="shared" si="218"/>
        <v>0</v>
      </c>
      <c r="DW201" s="1480">
        <f t="shared" si="219"/>
        <v>0</v>
      </c>
      <c r="DX201" s="1498">
        <f t="shared" si="228"/>
        <v>0</v>
      </c>
      <c r="DY201" s="1484">
        <f t="shared" si="220"/>
        <v>0</v>
      </c>
      <c r="DZ201" s="331"/>
      <c r="EA201" s="392"/>
      <c r="EB201" s="1499" t="s">
        <v>1089</v>
      </c>
      <c r="EC201" s="727" t="s">
        <v>1569</v>
      </c>
      <c r="ED201" s="728">
        <v>0.5</v>
      </c>
      <c r="EE201" s="1215"/>
      <c r="EF201" s="1215"/>
      <c r="EG201" s="1184" t="str">
        <f t="shared" si="221"/>
        <v/>
      </c>
      <c r="EH201" s="55"/>
      <c r="EI201" s="55"/>
      <c r="EJ201" s="1185">
        <f t="shared" ref="EJ201:EJ264" si="249">IF(ISNUMBER(SEARCH("-C",M201)),VLOOKUP(M201,$DM$181:$DN$192,2,FALSE),0)</f>
        <v>0</v>
      </c>
      <c r="EK201" s="1211"/>
      <c r="EL201" s="1180">
        <f t="shared" ref="EL201:EL264" si="250">IF(CV201&lt;0,0,IF(DA201=0,0,IF(DD201="Does not meet incentive criteria",0,AQ201)))</f>
        <v>0</v>
      </c>
      <c r="EM201" s="206"/>
      <c r="EN201" s="1038"/>
      <c r="EO201" s="1038"/>
      <c r="EP201" s="1038"/>
      <c r="EQ201" s="1038">
        <f t="shared" si="222"/>
        <v>0</v>
      </c>
      <c r="ER201" s="1041">
        <f t="shared" si="223"/>
        <v>0</v>
      </c>
      <c r="ES201" s="1042">
        <f t="shared" si="224"/>
        <v>0</v>
      </c>
      <c r="ET201" s="1042">
        <f t="shared" si="229"/>
        <v>0</v>
      </c>
      <c r="EU201" s="1021">
        <f t="shared" si="230"/>
        <v>0</v>
      </c>
      <c r="EV201" s="368"/>
      <c r="EW201" s="368"/>
      <c r="EX201" s="369"/>
      <c r="EY201" s="370"/>
      <c r="EZ201" s="370"/>
      <c r="FA201" s="371"/>
      <c r="FB201" s="372"/>
    </row>
    <row r="202" spans="1:158" ht="34.5" customHeight="1">
      <c r="A202" s="82">
        <v>194</v>
      </c>
      <c r="B202" s="1806"/>
      <c r="C202" s="1807"/>
      <c r="D202" s="1807"/>
      <c r="E202" s="1808"/>
      <c r="F202" s="1809"/>
      <c r="G202" s="1810"/>
      <c r="H202" s="1810"/>
      <c r="I202" s="1811"/>
      <c r="J202" s="1301"/>
      <c r="K202" s="1814"/>
      <c r="L202" s="1814"/>
      <c r="M202" s="1017"/>
      <c r="N202" s="1584"/>
      <c r="O202" s="208" t="str">
        <f t="shared" si="237"/>
        <v/>
      </c>
      <c r="P202" s="785"/>
      <c r="Q202" s="39" t="str">
        <f t="shared" si="238"/>
        <v/>
      </c>
      <c r="R202" s="39">
        <f t="shared" ref="R202:R265" si="251">IF(F202="Other (Provide Description)",1,IF(ISNUMBER(SEARCH("interior",T202)),2,(IF(ISNUMBER(SEARCH("exterior",T202)),3,IF(ISNUMBER(SEARCH("Case",F202)),20,IF(ISNUMBER(SEARCH("Relamp",F202)),250,IF(ISNUMBER(SEARCH("T12",F202)),11,IF(ISNUMBER(SEARCH("T8",F202)),12,IF(ISNUMBER(SEARCH("T5",F202)),12,IF(ISNUMBER(SEARCH("exit",F202)),10,0))))))))))</f>
        <v>0</v>
      </c>
      <c r="S202" s="234">
        <f t="shared" ref="S202:S265" si="252">IF(ISERROR(AO202*AH202),0,AQ202)</f>
        <v>0</v>
      </c>
      <c r="T202" s="1815"/>
      <c r="U202" s="1815"/>
      <c r="V202" s="1815"/>
      <c r="W202" s="1121"/>
      <c r="X202" s="1812"/>
      <c r="Y202" s="1813"/>
      <c r="Z202" s="703"/>
      <c r="AA202" s="1280"/>
      <c r="AB202" s="1141"/>
      <c r="AC202" s="1103" t="str">
        <f>IF(T202="","",VLOOKUP(Z202,Lists!$A$60:$B$111,2,FALSE))</f>
        <v/>
      </c>
      <c r="AD202" s="130" t="str">
        <f t="shared" ref="AD202:AD265" si="253">IF(T202="","",VLOOKUP(T202,$DQ$8:$DR$52,2,FALSE))</f>
        <v/>
      </c>
      <c r="AE202" s="130" t="e">
        <f t="shared" ref="AE202:AE265" si="254">SUM(AA202*AD202)</f>
        <v>#VALUE!</v>
      </c>
      <c r="AF202" s="130">
        <f t="shared" ref="AF202:AF265" si="255">IF(ISNUMBER(SEARCH("wall",W202)),4,IF(ISNUMBER(SEARCH("ceiling",W202)),5,IF(ISNUMBER(SEARCH("Fixture",W202)),1.5,IF(ISNUMBER(SEARCH("Daylight",W202)),1.6,IF(ISNUMBER(SEARCH("equip",W202)),2,IF(AND(W202="Non-Standard Control",AU202=2),2.5,IF(AND(W202="Non-standard Control",AU202=3),3,1)))))))</f>
        <v>1</v>
      </c>
      <c r="AG202" s="234">
        <f t="shared" si="239"/>
        <v>0</v>
      </c>
      <c r="AH202" s="1753" t="str">
        <f>IF(T202="","",(IF(ISNUMBER(SEARCH("exit",T202)),8760,IF(AND(M202="Dusk to Dawn",'Proposed Lighting'!AU202=3),4059,IF(AND(AU202=3,M202="1"),0,IF(AND(AU202=3,M202="1-C"),0,IF(AND(AU202=3,M202="2"),0,IF(AND(AU202=3,M202="2-C"),0,IF(AND(AU202=3,M202="3"),0,IF(AND(AU202=3,M202="3-C"),0,IF(AND(AU202=2,M202="Dusk to Dawn"),0,IF(AND(AU202=2,M202="Dusk to Dawn-C"),0,IF(AND(AU202=2,M202="Dusk to Dawn"),0,IF(AND(AU202=2,M202="E"),0,IF(AND(AU202=2,M202="E-C"),0,EG202)))))))))))))))</f>
        <v/>
      </c>
      <c r="AI202" s="1754"/>
      <c r="AJ202" s="1136"/>
      <c r="AK202" s="1136"/>
      <c r="AL202" s="1748">
        <f t="shared" ref="AL202:AL265" si="256">IFERROR(ROUND(IF(ISNUMBER(SEARCH("Additional",T202)),AA202*AJ202+BA202,IF(N202=0,0,IF(AU202=1,0,SUM(AA202*AJ202+BA202)))),2),"")</f>
        <v>0</v>
      </c>
      <c r="AM202" s="1749"/>
      <c r="AN202" s="1750"/>
      <c r="AO202" s="476">
        <f t="shared" si="240"/>
        <v>0</v>
      </c>
      <c r="AP202" s="476">
        <f t="shared" ref="AP202:AP265" si="257">IF(ISBLANK(T202),0,AT202*AA202/1000)</f>
        <v>0</v>
      </c>
      <c r="AQ202" s="475">
        <f t="shared" si="241"/>
        <v>0</v>
      </c>
      <c r="AR202" s="475">
        <f t="shared" ref="AR202:AR265" si="258">IF(ISNUMBER(SEARCH("controls",F202)),0,IF(ISNA(AP202),0,IF(AU202=1,0,IF(AQ202=0,0,IF(AND(AU202=2,EJ202&gt;0.01),AP202*EJ202,AP202*AH202)))))</f>
        <v>0</v>
      </c>
      <c r="AS202" s="743" t="str">
        <f t="shared" si="233"/>
        <v/>
      </c>
      <c r="AT202" s="736" t="str">
        <f t="shared" ref="AT202:AT265" si="259">IF(ISNUMBER(SEARCH("Permanent",T202)),0,IF(ISBLANK(AC202),0,AC202))</f>
        <v/>
      </c>
      <c r="AU202" s="56">
        <f t="shared" ref="AU202:AU265" si="260">IF(ISNUMBER(SEARCH("interior",K202)),2,(IF(ISNUMBER(SEARCH("exterior",K202)),3,1)))</f>
        <v>1</v>
      </c>
      <c r="AV202" s="476">
        <f t="shared" ref="AV202:AV265" si="261">IF(W202=0,0,IF(AU202=2,VLOOKUP(W202,$DO$56:$DP$66,2,FALSE),IF(AU202=3,VLOOKUP(W202,$DO$68:$DP$78,2,FALSE))))</f>
        <v>0</v>
      </c>
      <c r="AW202" s="56">
        <f t="shared" ref="AW202:AW265" si="262">IF(CT202&gt;0.4,AT202*AA202,IF(EF202=0,0,IF(W202=0,0,IF(AND(AV202&gt;0.01,DS202&lt;2),0,IF(AH202=0,0,SUM(EE202*AT202)/EF202)))))</f>
        <v>0</v>
      </c>
      <c r="AX202" s="475">
        <f t="shared" si="242"/>
        <v>0</v>
      </c>
      <c r="AY202" s="1169">
        <f t="shared" ref="AY202:AY265" si="263">IF(AX202=0,0,IF(W202="","",EE202*AT202*(CU202*(1-AV202)/1000)))</f>
        <v>0</v>
      </c>
      <c r="AZ202" s="1150">
        <f t="shared" si="225"/>
        <v>0</v>
      </c>
      <c r="BA202" s="56">
        <f t="shared" si="243"/>
        <v>0</v>
      </c>
      <c r="BB202" s="420">
        <f t="shared" si="244"/>
        <v>0</v>
      </c>
      <c r="BC202" s="58" t="str">
        <f t="shared" si="245"/>
        <v/>
      </c>
      <c r="BD202" s="660">
        <f t="shared" si="226"/>
        <v>0</v>
      </c>
      <c r="BE202" s="57" t="e">
        <f t="array" ref="BE202">INDEX($EB$11:$ED$1022,MATCH(F202&amp;T202,$EB$11:$EB$1007&amp;$EC$11:$EC$1007,0),3)</f>
        <v>#N/A</v>
      </c>
      <c r="BF202" s="463">
        <f t="shared" si="234"/>
        <v>0</v>
      </c>
      <c r="BG202" s="1445" t="e">
        <f t="array" ref="BG202">INDEX($DO$112:$DQ$123,MATCH(T202&amp;W202,$DO$114:$DO$125&amp;$DP$112:$DP$123,0),3)</f>
        <v>#N/A</v>
      </c>
      <c r="BH202" s="1446">
        <f t="shared" ref="BH202:BH265" si="264">IF(ISNA(BG202),0,BG202)</f>
        <v>0</v>
      </c>
      <c r="BI202" s="465">
        <f t="shared" ref="BI202:BI265" si="265">IF(AND(BC202=15,BR202=500),(N202*AS202-AA202*AT202)*0.26,0)</f>
        <v>0</v>
      </c>
      <c r="BJ202" s="465">
        <f t="shared" ref="BJ202:BJ265" si="266">IF(BC202=10,(N202*AS202-AA202*AT202)*0.12,0)</f>
        <v>0</v>
      </c>
      <c r="BK202" s="466">
        <f t="shared" si="235"/>
        <v>0</v>
      </c>
      <c r="BL202" s="466">
        <f t="shared" si="236"/>
        <v>0</v>
      </c>
      <c r="BM202" s="466">
        <f t="shared" ref="BM202:BM265" si="267">IF(ISNUMBER(SEARCH("removal",T202)),AND(AS202&gt;49,AS202&lt;300,AU202=3)*20,0)</f>
        <v>0</v>
      </c>
      <c r="BN202" s="466">
        <f t="shared" ref="BN202:BN265" si="268">IF(ISNUMBER(SEARCH("removal",T202)),AND(AS202&gt;299,AU202=3)*30,0)</f>
        <v>0</v>
      </c>
      <c r="BO202" s="463">
        <f>IF('Data Entry'!$C$74=0,0,IF(ISNA(CJ202),0,IF(AX202=0,0,IF(AND('Data Entry'!$C$74=2,AF202&gt;2,CE202&lt;1),0,IF(AND('Data Entry'!$C$74=2,AF202&gt;1,AU202=2,CJ202&gt;1),0,IF(AND(AF202=5,CT202=0.5,AU202=2,ER202&lt;100),0,IF(AND(AF202=5,CT202=0.5,AU202=3,ER202&lt;100),0,IF(AND('Data Entry'!$C$74=2,AF202=2,AU202=2,AK202&gt;0.01,CB202=2,CE202&lt;1),0,IF(AND('Data Entry'!$C$74=2,AF202=3,AU202=3,AK202&gt;0.01,CB202=3,CE202&lt;1),0,IF(AND('Data Entry'!$C$74=2,AF202=3,AU202=3,AK202&gt;0.01,CB202=3,CE202&gt;0.99),BQ202*0.08,IF(AND('Data Entry'!$C$74=2,AF202=2,AU202=2,AK202&gt;0.01,CB202=2,CE202&gt;0.99),BQ202*0.1,IF(AND(AU202=2,AK202&gt;0.01,CB202=2,CD202&gt;1),BQ202*0.1,IF(AND(AU202=3,AK202&gt;0.01,CB202=3,CD202&gt;1),BQ202*0.08,CJ202*EF202)))))))))))))</f>
        <v>0</v>
      </c>
      <c r="BP202" s="475">
        <f t="shared" ref="BP202:BP265" si="269">IF(AND(BO202&gt;0.1,CB202=1,EF202&gt;0.5),EF202,0)</f>
        <v>0</v>
      </c>
      <c r="BQ202" s="1431">
        <f>IF(AU202=1,0,IF(CH202=100,0,IF(AND(AF202=3,AU202=2),0,IF(AND(BH202=0,CT202&gt;0.4),0,IF(AND('Data Entry'!$C$74=2,AF202=1.5),0,IF(AND('Data Entry'!$C$74=2,AF202=1.6),0,IF(AND('Data Entry'!$C$74=2,AF202=4),0,IF(AND('Data Entry'!$C$74=2,AF202=5),0,IF(AND('Data Entry'!$C$74=2,AF202=2.5,CE202&lt;1),0,IF(AND('Data Entry'!$C$74=2,AF202=3,CE202&lt;1),0,IF(AND('Data Entry'!$C$74=1,AF202=2.5,CD202&lt;1),0,IF(AND('Data Entry'!$C$74=1,AF202=3,CD202&lt;1),0,IF(DX202&gt;0.01,DX202,IF(ISERROR(AX202-AY202),"",ROUND(AX202-AY202,2)))))))))))))))</f>
        <v>0</v>
      </c>
      <c r="BR202" s="146">
        <f t="shared" ref="BR202:BR265" si="270">IF(ISNUMBER(SEARCH("vapor",F202)),500,IF(ISNUMBER(SEARCH("halide",F202)),500,IF(ISNUMBER(SEARCH("pressure",F202)),500,IF(ISNUMBER(SEARCH("HID",F202)),500,IF(ISNUMBER(SEARCH("LED",F202)),3,IF(ISNUMBER(SEARCH("Only",F202)),37,IF(ISNUMBER(SEARCH("T8",T202)),50,IF(ISNUMBER(SEARCH("other",F202)),1,IF(AND(BA202&gt;0.1,BB202=0),5,IF(ISNA(BB202),0,0))))))))))</f>
        <v>0</v>
      </c>
      <c r="BS202" s="475">
        <f t="shared" ref="BS202:BS265" si="271">IF(N202=0,0,IF(ISNA(AP202),0,IF(AND(AU202=1,AO202&gt;0.01,AP202&gt;0.01),0,N202)))</f>
        <v>0</v>
      </c>
      <c r="BT202" s="146" t="b">
        <f t="shared" ref="BT202:BT265" si="272">IF(R202=20,VLOOKUP(F202,$DM$178:$DN$179,2,FALSE))</f>
        <v>0</v>
      </c>
      <c r="BU202" s="463">
        <f>IF(ISNA(AT202),0,IF(AND('Data Entry'!$C$74=2,BC202=27),0,IF(AND('Data Entry'!$C$74=2,BC202=28),0,IF(AND(BC202=27,BT202=27,CM202&gt;0.1),CM202*0.15,IF(AND(BC202=28,BT202=28,CM202&gt;0.1),CM202*0.12,0)))))</f>
        <v>0</v>
      </c>
      <c r="BV202" s="463">
        <f t="shared" si="232"/>
        <v>0</v>
      </c>
      <c r="BW202" s="463">
        <f t="shared" ref="BW202:BW265" si="273">IF(AND(BC202=20,AU202=2,CM202&gt;0.01),CM202*0.1,IF(AND(BC202=20,AU202=3,CM202&gt;0.01),CM202*0.1,IF(AND(BC202=30,AU202=2,CM202&gt;0.01,CT202=0),CM202*0.14,IF(AND(BC202=30,AU202=3,CM202&gt;0.01,CT202=0),CM202*0.14,0))))</f>
        <v>0</v>
      </c>
      <c r="BX202" s="463">
        <f t="shared" ref="BX202:BX265" si="274">IF(CT202&gt;0.4,0,IF(AND(BC202=21,AU202=2,CM202&gt;0.01),CM202*0.22,IF(AND(BC202=21,AU202=3,CM202&gt;0.01),CM202*0.22,0)))</f>
        <v>0</v>
      </c>
      <c r="BY202" s="463">
        <f t="shared" ref="BY202:BY265" si="275">IF(AND(BH202=44,AU202=3,CM202&gt;0.01),SUM(BQ202+CM202)*0.17,IF(AND(BH202=44,AU202=2,CM202&gt;0.01),SUM(BQ202+CM202)*0.17,IF(AND(BH202=22,AU202=2,CM202&gt;0.01),SUM(BQ202+CM202)*0.25,IF(AND(BH202=22,AU202=3,CM202&gt;0.01),SUM(BQ202+CM202)*0.25,0))))</f>
        <v>0</v>
      </c>
      <c r="BZ202" s="463">
        <f t="shared" ref="BZ202:BZ265" si="276">IF(AND(BH202=46,AU202=3,CM202&gt;0.01),SUM(BQ202+CM202)*0.19,IF(AND(BH202=46,AU202=2,CM202&gt;0.01),SUM(BQ202+CM202)*0.19,IF(AND(BH202=23,AU202=2,CM202&gt;0.01),SUM(BQ202+CM202)*0.27,IF(AND(BH202=23,AU202=3,CM202&gt;0.01),SUM(BQ202+CM202)*0.27,0))))</f>
        <v>0</v>
      </c>
      <c r="CA202" s="57">
        <f t="shared" si="227"/>
        <v>0</v>
      </c>
      <c r="CB202" s="56">
        <f t="shared" ref="CB202:CB265" si="277">IF(AND(W202="Non-standard Control",AU202=2),2,IF(AND(W202="Non-standard Control",AU202=3),3,1))</f>
        <v>1</v>
      </c>
      <c r="CC202" s="756">
        <f>IF(EE202=0,0,IF(EF202=0,0,IF(EE202&gt;AA202,0,IF(AND(AZ202&gt;AW202,AW202&gt;0),0,IF(CU202=0,0,Summary!AC505)))))</f>
        <v>0</v>
      </c>
      <c r="CD202" s="756">
        <f>IF(EE202=0,0,IF(EF202=0,0,IF(EE202&gt;AA202,0,IF(AND(AZ202&gt;AW202,AW202&gt;0),0,IF(CU202=0,0,Summary!AD505)))))</f>
        <v>0</v>
      </c>
      <c r="CE202" s="756">
        <f>IF(EF202=0,0,IF(EE202&gt;AA202,0,IF(CC202=0,0,IF(AND(AZ202&gt;AW202,AW202&gt;0),0,IF(CU202=0,0,Summary!AE505)))))</f>
        <v>0</v>
      </c>
      <c r="CF202" s="475">
        <f t="shared" ref="CF202:CF265" si="278">IF(BF202=0.5,1,IF(AND(R202=2,AU202=3),1,IF(AND(R202=3,AU202=2),1,IF(AND(R202=250,BC202&lt;250),1,IF(F202="**Fluorescent**",1,IF(F202="**HID**",1,IF(F202="**OTHER**",1,IF(F202="**SIGN LIGHTING**",1,IF(F202="**REFRIGERATION CASE LIGHTING**",1,IF(AND(AU202=2,M202="E-C"),1,IF(AND(AU202=3,M202="Sch 1"),1,IF(AND(AU202=3,M202="Sch 1-C"),1,IF(AND(AU202=3,M202="Sch 2"),1,IF(AND(AU202=3,M202="Sch 2-C"),1,IF(AND(AU202=3,M202="Sch 3"),1,IF(AND(AU202=3,M202="Sch 3-C"),1,IF(AND(AU202=2,M202="E"),1,IF(AND(AU202=2,M202="Dusk to Dawn"),1,IF(AND(AU202=2,M202="Dusk to Dawn-C"),1,IF(AND(DY202=1,BC202&lt;37),1,IF(AND(DY202=1,BC202&gt;37),1,0)))))))))))))))))))))</f>
        <v>0</v>
      </c>
      <c r="CG202" s="476">
        <f t="shared" si="246"/>
        <v>0</v>
      </c>
      <c r="CH202" s="487">
        <f t="shared" ref="CH202:CH265" si="279">IF(M202="Sch 1-C",100,IF(M202="Sch 2-C",100,IF(M202="Sch 3-C",100,IF(M202="E-C", 100,IF(M202="Dusk to Dawn-C", 100,IF(M202="Seasonal-C",100,0))))))</f>
        <v>0</v>
      </c>
      <c r="CI202" s="756">
        <f t="shared" ref="CI202:CI265" si="280">IF(ISNUMBER(SEARCH("removal",T202)),5,IF(ISNUMBER(SEARCH("pin-base LED",T202)),5,IF(ISNUMBER(SEARCH("T5",T202)),5,IF(ISNUMBER(SEARCH("LED Tube",T202)),6,IF(ISNUMBER(SEARCH("Exit sign",T202)),5,IF(ISNUMBER(SEARCH("Level 1",T202)),7,IF(ISNUMBER(SEARCH("25 watt",T202)),1,IF(ISNUMBER(SEARCH("28 watt",T202)),1,0))))))))</f>
        <v>0</v>
      </c>
      <c r="CJ202" s="487">
        <f>IF(CT202&gt;0.4,0,IF(AND(AU202=2,CH202=0,CT202=0.5,ER202=100),35,IF(AND(AU202=3,BB202&gt;75,CH202=0,CT202=0.5,ER202=100),25,IF(CB202&gt;1,0,IF(EF202&gt;EE202,0,IF(AND(AF202&gt;1,CH202=100),0,IF(AND(AF202=1,AY202=0),0,IF(AND(EF202&lt;=EE202,AW202&gt;=AZ202,'Data Entry'!$C$74=1,AU202=2),VLOOKUP(W202,$DO$96:$DP$102,2,FALSE),IF(AND(EF202&lt;=EE202,AW202&gt;=AZ202,AU202=3,'Data Entry'!$C$74=1),VLOOKUP(W202,$DO$127:$DP$134,2,FALSE))))))))))</f>
        <v>0</v>
      </c>
      <c r="CK202" s="716">
        <f t="shared" ref="CK202:CK265" si="281">IF(AND(BC202=25,AU202=2,N202&gt;0.1,AA202&gt;0.1),CM202*0.2,IF(AND(BC202=25,AU202=3,N202&gt;0.1,AA202&gt;0.1),CM202*0.2,0))</f>
        <v>0</v>
      </c>
      <c r="CL202" s="57">
        <f t="shared" ref="CL202:CL265" si="282">IF(AU202=1,0,IF(CF202=1,0,IF(ISNA(AT202),0,IF(AND(R202=20,CU202=0),0,IF(AND(AQ202&gt;0.01,AR202=0,AA202=0),0,IF($X$4=0,0,IF(BR202=3,0,IF(AND(AQ202&gt;0.01,AR202=0,BK202=0,BL202=0,BM202=0,BN202=0),0,SUM(BD202+BF202+BK202+BL202+BM202+BN202+CW202)))))))))</f>
        <v>0</v>
      </c>
      <c r="CM202" s="475">
        <f t="shared" si="231"/>
        <v>0</v>
      </c>
      <c r="CN202" s="660">
        <f>IF(CM202&lt;0.1,0,IF(ISNA(AT202),0,IF(CL202+BC202=1,0,IF(BV202&gt;0.01,0,IF(CL202&gt;0.01,0,IF(CF202=1,0,IF(BC202=0.5,0,IF(AND(CI202=1,AU202=3),0,IF(AND(CI202=5,CL202=0),0,IF(AND(R202=12,BR202=50),0,IF(CK202&gt;0.01,0,IF(AND(AJ202&gt;0.01,AU202=2,BC202=15),CM202*0.1,IF(AND(AJ202&gt;0.01,AU202=3,BC202=15),CM202*0.08,IF(AND(R202=12,BC202=3,AF202&lt;=0),0,IF(AND(BC202=15,BI202=0),0,IF(AND(BC202=15,BJ202=0),0,IF(AND(R202=20,CU202=0),0,IF($X$4=0,0,IF(AND(BC202=250,CL202=0),0,IF(AA202&lt;1,0,IF(AND(ISNUMBER(SEARCH("Area",T202)),AU202=3),0,IF(AND(AQ202&gt;0.01,AR202=0,BK202=0,BL202=0,BM202=0,BN202=0),0,IF(AND(AU202=3,CI202=7,CT202&gt;0.5),0,IF(AND(BC202=44,AU202=3,BY202=0),0,IF(AND(BC202=27,'Data Entry'!$C$74=2),0,IF(AND(BC202=28,'Data Entry'!$C$74=2),0,IF(AND(BY202+BZ202+CA202&gt;0.01,BV202=0,EQ202+ER202+ES202+ET202&lt;100),0,IF(AU202=3,CM202*0.08,IF(AU202=2,CM202*0.1,0)))))))))))))))))))))))))))))</f>
        <v>0</v>
      </c>
      <c r="CO202" s="660">
        <f t="shared" ref="CO202:CO265" si="283">IF(CL202&gt;0.1,0,IF(CN202&gt;0.01,SUM(AA202*AJ202)*0.7,0))</f>
        <v>0</v>
      </c>
      <c r="CP202" s="475" t="str">
        <f t="shared" ref="CP202:CP265" si="284">IF(T202="","",VLOOKUP(T202,$EH$9:$EI$27,2,FALSE))</f>
        <v/>
      </c>
      <c r="CQ202" s="161" t="str">
        <f>IF(AH202=0,0,IF(AU202=5,0,Summary!AC205))</f>
        <v/>
      </c>
      <c r="CR202" s="161" t="str">
        <f>IF(BF202=0.5,0,IF(AU202=5,0,Summary!AD205))</f>
        <v/>
      </c>
      <c r="CS202" s="161" t="str">
        <f>IF(AU202=5,0,Summary!AE205)</f>
        <v/>
      </c>
      <c r="CT202" s="161">
        <f t="shared" ref="CT202:CT265" si="285">IF(ISNUMBER(SEARCH("existing",W202)),0,IF(ISNUMBER(SEARCH("Multiple",W202)),0.5,IF(ISNUMBER(SEARCH("Single",W202)),0.6,IF(ISNUMBER(SEARCH("Networked",W202)),2,(IF(ISNUMBER(SEARCH("LLLC",W202)),3,0))))))</f>
        <v>0</v>
      </c>
      <c r="CU202" s="475" t="str">
        <f t="shared" ref="CU202:CU265" si="286">IF(ISERROR(AQ202),0,IF(ISERROR(AR202),0,IF(AH202&gt;0.01,AH202,0)))</f>
        <v/>
      </c>
      <c r="CV202" s="307">
        <f>IF('Data Entry'!$C$74=0,0,IF(AA202&lt;1,0,IF(ISERROR(CU202),0,IF(CF202=1,0,IF(AND(R202=12,BR202=50),0,IF(CL202+BO202+BV202+DC202=0,0,IF(BC202=37,0,IF(AND(BC202=40,AJ202=0),0,IF(AND(BC202=37,BO202&gt;0.01,BQ202&gt;0.01),ROUND(BQ202,0),IF(CM202&lt;0,0,ROUND(CM202,0)))))))))))</f>
        <v>0</v>
      </c>
      <c r="CW202" s="700">
        <f t="shared" ref="CW202:CW265" si="287">IF(CM202=0,0,IF(CI202=5,0,IF(AND(AQ202&gt;0.01,AR202=0,AA202=0),0,IF(BR202=3,0,IF(CI202=6,AD202*1.5,0)))))</f>
        <v>0</v>
      </c>
      <c r="CX202" s="477">
        <f>IF('Data Entry'!$C$74=0,0,IF(CV202&lt;0.01,0,IF(BF202=0.5,0,IF(CF202=1,0,IF(ISNUMBER(SEARCH("false",CL202)),0,IF(AZ202=500,0,CL202))))))</f>
        <v>0</v>
      </c>
      <c r="CY202" s="147" t="e">
        <f t="shared" ref="CY202:CY265" si="288">IF(CM202&lt;0,0,IF(CM202+CU202=0,0,IF(AT202+BK202+BL202+BM202+BN202=0,0,IF(AND(BV202&gt;0.01,CB202&gt;1),BV202+DF202,IF(BV202&gt;0.01,BV202,IF(AND(CI202=6,CW202&gt;0.01,N202*Q202&gt;=AE202),AE202*1.5,IF(AND(CI202=6,CW202&gt;0.01,Q202=0,CM202&gt;0.01),AE202*1.5,IF(AND(CI202=6,CW202&gt;0.01,CM202&gt;0.01,N202*Q202&lt;AE202),N202*Q202*1.5,IF((AND(CX202&gt;0.01,BC202=38)),CX202*N202,IF((AND(CX202&gt;0.01,N202*Q202&gt;AE202)),CX202*AA202,IF((AND(CX202&gt;0.5,AA202&lt;=N202)),CX202*AA202,IF((AND(CX202&gt;0.5,AA202&gt;N202)),CX202*N202,0))))))))))))</f>
        <v>#VALUE!</v>
      </c>
      <c r="CZ202" s="147" t="b">
        <f>IF(CN202+CL202=0,FALSE,IF(AH202=0,0,IF(AND('Data Entry'!$C$74=1,CR202&gt;=1),TRUE,IF(AND('Data Entry'!$C$74=2,CS202&gt;=1),TRUE,FALSE))))</f>
        <v>0</v>
      </c>
      <c r="DA202" s="1751">
        <f>IF('Data Entry'!$C$74=0,0,IFERROR(ROUND(IF(T202="","",IF($X$4=0,0,IF(CF202=1,0,IF(BQ202+CV202=0,0,IF(CF202=1,0,IF(CY202&gt;0.01,CY202,IF(CL202&gt;0.01,CL202,IF(CY202&gt;0.01,CY202,IF(BC202=37,BO202,IF(CZ202=FALSE,0,IF(CZ202=TRUE,DC202+DF202,0))))))))))),2),""))</f>
        <v>0</v>
      </c>
      <c r="DB202" s="1752"/>
      <c r="DC202" s="474">
        <f>IF(CN202&lt;0.01,0,IF(AND(BR202=3,CN202&gt;0.01,CT202&gt;0.6,ER202+ES202+ET202&lt;100),0,IF(AND('Data Entry'!$C$74=1,CN202&gt;0.01,CR202&gt;0.99),MIN(CN202:CO202),IF(AND('Data Entry'!$C$74=2,CN202&gt;0.01,CS202&gt;0.99),MIN(CN202:CO202),0))))</f>
        <v>0</v>
      </c>
      <c r="DD202" s="478">
        <f>IF(CF202=1,"Selection does not match",IF(T202=0,0,IF(AND('Data Entry'!$C$74=0,CP202&gt;1),"Select Oregon or Idaho on Data Entry Tab",IF(AND(AU202=1,AA202&gt;0.9),"Missing Interior or Exterior Selection",IF($X$4=0,"Enter Total Project Cost",IF(AQ202&lt;AR202,"Insufficient kWh savings – no incentive",IF(AND(SUM(CL202+CK202+BV202)&gt;0.01,'Data Entry'!$C$74=2,CJ202&gt;1,BO202=0),"Submit Control as Non-Standard",IF(AND('Data Entry'!$C$74=2,BR202=37,CJ202&gt;1,BO202=0),"Submit Control as Non-Standard",IF(SUM(CL202+CK202+BV202)&gt;0.01,"Standard Incentive",IF(AND('Data Entry'!$C$74=2,CP202=7,CN202=0),"Submit as Non-Standard",IF(DC202&gt;0.9,"Non-Standard Incentive",IF(AND(BY202+BZ202+CA202&gt;0.01,BV202=0,EQ202=0,ER202=0,ES202=0,ET202=0),"Scroll Right &amp; Select Control Strategies",IF(AND(CN202&gt;0.01,CO202=0),"Enter Unit Installed Cost",IF(ISNUMBER(SEARCH("Lighting Controls Only",F202)),"Lighting Controls Only",IF(CL202+DC202=0,"Does not meet incentive criteria",0)))))))))))))))</f>
        <v>0</v>
      </c>
      <c r="DE202" s="337">
        <f t="shared" ref="DE202:DE265" si="289">IF(AND(B202="",O202="enter input watts"),1,IF(AND(B202="",O202="blackout"),1,IF(AND(ISBLANK(B202),CM202&gt;0.01),1,IF(AND(ISBLANK(B202),CM202&lt;0),1,0))))</f>
        <v>0</v>
      </c>
      <c r="DF202" s="609">
        <f t="shared" ref="DF202:DF265" si="290">IF(AND(DC202&gt;0.01,CB202=1,BO202&gt;0.01),BO202,IF(AND(CB202&gt;1,BO202&lt;DW202),BO202,IF(AND(CB202&gt;1,BO202&gt;DW202),DW202,0)))</f>
        <v>0</v>
      </c>
      <c r="DG202" s="336" t="str">
        <f t="shared" ref="DG202:DG265" si="291">IF(T202="","",(IF(ISNUMBER(SEARCH("exit",T202)),0,(IF(ISNUMBER(SEARCH("LED",T202)),1,IF(ISNUMBER(SEARCH("LED",X202)),1,0))))))</f>
        <v/>
      </c>
      <c r="DH202" s="338">
        <f t="shared" ref="DH202:DH265" si="292">IF(AND(AV202&gt;0.01,BB202&gt;1,BQ202=0),0,IF(AND(AQ202=0,AR202=0),1,0))</f>
        <v>1</v>
      </c>
      <c r="DI202" s="336" t="e">
        <f t="shared" si="247"/>
        <v>#VALUE!</v>
      </c>
      <c r="DJ202" s="1142">
        <f t="shared" si="248"/>
        <v>0</v>
      </c>
      <c r="DK202" s="371"/>
      <c r="DL202" s="332"/>
      <c r="DM202" s="1090" t="s">
        <v>1102</v>
      </c>
      <c r="DN202" s="863">
        <f>'Data Entry'!W64</f>
        <v>0</v>
      </c>
      <c r="DQ202" s="1198" t="s">
        <v>1750</v>
      </c>
      <c r="DR202" s="933">
        <v>5</v>
      </c>
      <c r="DS202" s="1195">
        <f t="shared" ref="DS202:DS265" si="293">SUM(EE202:EF202)</f>
        <v>0</v>
      </c>
      <c r="DT202" s="344" t="b">
        <f t="shared" ref="DT202:DT265" si="294">ISBLANK(B202)</f>
        <v>1</v>
      </c>
      <c r="DU202" s="1314" t="str">
        <f t="array" ref="DU202">IF(OR(COUNTIF(F202,"*"&amp;$DK$9:$DK$178&amp;"*")), "Yes", "")</f>
        <v/>
      </c>
      <c r="DV202" s="1314">
        <f t="shared" ref="DV202:DV265" si="295">IF(AND(DT202=TRUE,DU202="Yes"),5,0)</f>
        <v>0</v>
      </c>
      <c r="DW202" s="1480">
        <f t="shared" ref="DW202:DW265" si="296">IF(AND(CB202&gt;1,BA202&gt;0.01),BA202*0.7,0)</f>
        <v>0</v>
      </c>
      <c r="DX202" s="1498">
        <f t="shared" si="228"/>
        <v>0</v>
      </c>
      <c r="DY202" s="1484">
        <f t="shared" ref="DY202:DY265" si="297">IF(ISNUMBER(SEARCH("existing equip",W202)),1,0)</f>
        <v>0</v>
      </c>
      <c r="DZ202" s="331"/>
      <c r="EA202" s="392"/>
      <c r="EB202" s="1499" t="s">
        <v>315</v>
      </c>
      <c r="EC202" s="727" t="s">
        <v>1569</v>
      </c>
      <c r="ED202" s="728">
        <v>0.5</v>
      </c>
      <c r="EE202" s="1215"/>
      <c r="EF202" s="1215"/>
      <c r="EG202" s="1184" t="str">
        <f t="shared" ref="EG202:EG265" si="298">IF(M202="","",VLOOKUP(M202,$DM$194:$DN$207,2,FALSE))</f>
        <v/>
      </c>
      <c r="EH202" s="81"/>
      <c r="EI202" s="81"/>
      <c r="EJ202" s="1185">
        <f t="shared" si="249"/>
        <v>0</v>
      </c>
      <c r="EK202" s="1211"/>
      <c r="EL202" s="1180">
        <f t="shared" si="250"/>
        <v>0</v>
      </c>
      <c r="EM202" s="206"/>
      <c r="EN202" s="1038"/>
      <c r="EO202" s="1038"/>
      <c r="EP202" s="1038"/>
      <c r="EQ202" s="1038">
        <f t="shared" ref="EQ202:EQ265" si="299">IF(AND(AU202=2,CT202=0.6,EM202="Yes"),100,IF(AND(AU202=2,CT202=0.6,EN202="Yes"),100,IF(AND(AU202=3,CT202=0.6,EM202="Yes"),100,0)))</f>
        <v>0</v>
      </c>
      <c r="ER202" s="1041">
        <f t="shared" ref="ER202:ER265" si="300">IF(AND(AF202=5,AU202=2,EM202="Yes",EN202="Yes"),100,IF(AND(AF202=5,AU202=2,EM202="Yes",EO202="Yes"),100,IF(AND(AF202=5,AU202=2,EM202="Yes",EP202="Yes"),100,IF(AND(AF202=5,AU202=2,EM202="Yes",EQ202="Yes"),100,IF(AND(AF202=5,AU202=2,EN202="Yes",EP202="Yes"),100,IF(AND(BR202=3,AU202=2,CT202=1,EM202="Yes",EN202="Yes"),100,IF(AND(BR202=3,AU202=2,CT202=1,EM202="Yes",EO202="Yes"),100,IF(AND(BR202=3,AU202=2,CT202=1,EM202="Yes",EP202="Yes"),100,IF(AND(BR202=3,AU202=2,CT202=1,EM202="Yes",EQ202="Yes"),100,IF(AND(BR202=3,AU202=2,CT202=1,EN202="Yes",EP202="Yes"),100,IF(AND(AU202=2,BZ202&gt;0.01,EM202="Yes",EN202="Yes"),100,IF(AND(AU202=2,BZ202&gt;0.01,EM202="Yes",EO202="Yes"),100,IF(AND(AU202=2,BZ202&gt;0.01,EM202="Yes",EP202="Yes"),100,IF(AND(AU202=2,BZ202&gt;0.01,EM202="Yes",EQ202="Yes"),100,IF(AND(AU202=2,BZ202&gt;0.01,EN202="Yes",EP202="Yes"),100,IF(AND(AU202=2,BZ202&gt;0.01,EN202="Yes",EQ202="Yes"),100,IF(AND(AU202=3,BZ202&gt;0.01,EM202="Yes",EP202="Yes"),100,IF(AND(AF202=5,AU202=3,EM202="Yes",EP202="Yes"),100,IF(AND(AF202=5,AU202=2,CT202=0.5,EM202="Yes",EN202="Yes"),100,0)))))))))))))))))))</f>
        <v>0</v>
      </c>
      <c r="ES202" s="1042">
        <f t="shared" ref="ES202:ES265" si="301">IF(AND(AU202=2,CA202&gt;0.01,CT202=3,EM202="Yes",EN202="Yes"),100,IF(AND(AU202=2,CA202&gt;0.01,CT202=3,EM202="Yes",EO202="Yes"),100,IF(AND(AU202=2,CA202&gt;0.01,CT202=3,EM202="Yes",EP202="Yes"),100,IF(AND(AU202=2,CA202&gt;0.01,CT202=3,EN202="Yes",EP202="Yes"),100,IF(AND(AU202=3,CA202&gt;0.01,CT202=3,EM202="Yes",EO202="Yes"),100,IF(AND(AU202=3,CA202&gt;0.01,CT202=3,EM202="Yes",EP202="Yes"),100,0))))))</f>
        <v>0</v>
      </c>
      <c r="ET202" s="1042">
        <f t="shared" si="229"/>
        <v>0</v>
      </c>
      <c r="EU202" s="1021">
        <f t="shared" si="230"/>
        <v>0</v>
      </c>
      <c r="EV202" s="368"/>
      <c r="EW202" s="368"/>
      <c r="EX202" s="369"/>
      <c r="EY202" s="370"/>
      <c r="EZ202" s="370"/>
      <c r="FA202" s="371"/>
      <c r="FB202" s="372"/>
    </row>
    <row r="203" spans="1:158" ht="34.5" customHeight="1">
      <c r="A203" s="82">
        <v>195</v>
      </c>
      <c r="B203" s="1806"/>
      <c r="C203" s="1807"/>
      <c r="D203" s="1807"/>
      <c r="E203" s="1808"/>
      <c r="F203" s="1809"/>
      <c r="G203" s="1810"/>
      <c r="H203" s="1810"/>
      <c r="I203" s="1811"/>
      <c r="J203" s="1301"/>
      <c r="K203" s="1814"/>
      <c r="L203" s="1814"/>
      <c r="M203" s="1017"/>
      <c r="N203" s="1584"/>
      <c r="O203" s="208" t="str">
        <f t="shared" si="237"/>
        <v/>
      </c>
      <c r="P203" s="785"/>
      <c r="Q203" s="39" t="str">
        <f t="shared" si="238"/>
        <v/>
      </c>
      <c r="R203" s="39">
        <f t="shared" si="251"/>
        <v>0</v>
      </c>
      <c r="S203" s="234">
        <f t="shared" si="252"/>
        <v>0</v>
      </c>
      <c r="T203" s="1815"/>
      <c r="U203" s="1815"/>
      <c r="V203" s="1815"/>
      <c r="W203" s="1121"/>
      <c r="X203" s="1812"/>
      <c r="Y203" s="1813"/>
      <c r="Z203" s="703"/>
      <c r="AA203" s="1280"/>
      <c r="AB203" s="1141"/>
      <c r="AC203" s="1103" t="str">
        <f>IF(T203="","",VLOOKUP(Z203,Lists!$A$60:$B$111,2,FALSE))</f>
        <v/>
      </c>
      <c r="AD203" s="130" t="str">
        <f t="shared" si="253"/>
        <v/>
      </c>
      <c r="AE203" s="130" t="e">
        <f t="shared" si="254"/>
        <v>#VALUE!</v>
      </c>
      <c r="AF203" s="130">
        <f t="shared" si="255"/>
        <v>1</v>
      </c>
      <c r="AG203" s="234">
        <f t="shared" si="239"/>
        <v>0</v>
      </c>
      <c r="AH203" s="1753" t="str">
        <f>IF(T203="","",(IF(ISNUMBER(SEARCH("exit",T203)),8760,IF(AND(M203="Dusk to Dawn",'Proposed Lighting'!AU203=3),4059,IF(AND(AU203=3,M203="1"),0,IF(AND(AU203=3,M203="1-C"),0,IF(AND(AU203=3,M203="2"),0,IF(AND(AU203=3,M203="2-C"),0,IF(AND(AU203=3,M203="3"),0,IF(AND(AU203=3,M203="3-C"),0,IF(AND(AU203=2,M203="Dusk to Dawn"),0,IF(AND(AU203=2,M203="Dusk to Dawn-C"),0,IF(AND(AU203=2,M203="Dusk to Dawn"),0,IF(AND(AU203=2,M203="E"),0,IF(AND(AU203=2,M203="E-C"),0,EG203)))))))))))))))</f>
        <v/>
      </c>
      <c r="AI203" s="1754"/>
      <c r="AJ203" s="1136"/>
      <c r="AK203" s="1136"/>
      <c r="AL203" s="1748">
        <f t="shared" si="256"/>
        <v>0</v>
      </c>
      <c r="AM203" s="1749"/>
      <c r="AN203" s="1750"/>
      <c r="AO203" s="476">
        <f t="shared" si="240"/>
        <v>0</v>
      </c>
      <c r="AP203" s="476">
        <f t="shared" si="257"/>
        <v>0</v>
      </c>
      <c r="AQ203" s="475">
        <f t="shared" si="241"/>
        <v>0</v>
      </c>
      <c r="AR203" s="475">
        <f t="shared" si="258"/>
        <v>0</v>
      </c>
      <c r="AS203" s="743" t="str">
        <f t="shared" si="233"/>
        <v/>
      </c>
      <c r="AT203" s="736" t="str">
        <f t="shared" si="259"/>
        <v/>
      </c>
      <c r="AU203" s="56">
        <f t="shared" si="260"/>
        <v>1</v>
      </c>
      <c r="AV203" s="476">
        <f t="shared" si="261"/>
        <v>0</v>
      </c>
      <c r="AW203" s="56">
        <f t="shared" si="262"/>
        <v>0</v>
      </c>
      <c r="AX203" s="475">
        <f t="shared" si="242"/>
        <v>0</v>
      </c>
      <c r="AY203" s="1169">
        <f t="shared" si="263"/>
        <v>0</v>
      </c>
      <c r="AZ203" s="1150">
        <f t="shared" ref="AZ203:AZ266" si="302">IF(EE203=0,0,IF(EF203=0,0,IF(BC203=22,0,IF(BC203=23,0,IF(BC203=24,0,IF(BC203=44,0,IF(BC203=46,0,IF(BC203=48,0,IF(AF203&lt;2,0,IF(AND(EE203&gt;0,EF203&gt;0,CB203=3),0,IF(AND(AF203=2,AU203=3),75,VLOOKUP(W203,$DO$80:$DP$85,2,FALSE))))))))))))</f>
        <v>0</v>
      </c>
      <c r="BA203" s="56">
        <f t="shared" si="243"/>
        <v>0</v>
      </c>
      <c r="BB203" s="420">
        <f t="shared" si="244"/>
        <v>0</v>
      </c>
      <c r="BC203" s="58" t="str">
        <f t="shared" si="245"/>
        <v/>
      </c>
      <c r="BD203" s="660">
        <f t="shared" ref="BD203:BD266" si="303">IF(AND(R203=10,AT203&lt;5,AU203=2,BC203=1),40,0)</f>
        <v>0</v>
      </c>
      <c r="BE203" s="57" t="e">
        <f t="array" ref="BE203">INDEX($EB$11:$ED$1022,MATCH(F203&amp;T203,$EB$11:$EB$1007&amp;$EC$11:$EC$1007,0),3)</f>
        <v>#N/A</v>
      </c>
      <c r="BF203" s="463">
        <f t="shared" si="234"/>
        <v>0</v>
      </c>
      <c r="BG203" s="1445" t="e">
        <f t="array" ref="BG203">INDEX($DO$112:$DQ$123,MATCH(T203&amp;W203,$DO$114:$DO$125&amp;$DP$112:$DP$123,0),3)</f>
        <v>#N/A</v>
      </c>
      <c r="BH203" s="1446">
        <f t="shared" si="264"/>
        <v>0</v>
      </c>
      <c r="BI203" s="465">
        <f t="shared" si="265"/>
        <v>0</v>
      </c>
      <c r="BJ203" s="465">
        <f t="shared" si="266"/>
        <v>0</v>
      </c>
      <c r="BK203" s="466">
        <f t="shared" si="235"/>
        <v>0</v>
      </c>
      <c r="BL203" s="466">
        <f t="shared" si="236"/>
        <v>0</v>
      </c>
      <c r="BM203" s="466">
        <f t="shared" si="267"/>
        <v>0</v>
      </c>
      <c r="BN203" s="466">
        <f t="shared" si="268"/>
        <v>0</v>
      </c>
      <c r="BO203" s="463">
        <f>IF('Data Entry'!$C$74=0,0,IF(ISNA(CJ203),0,IF(AX203=0,0,IF(AND('Data Entry'!$C$74=2,AF203&gt;2,CE203&lt;1),0,IF(AND('Data Entry'!$C$74=2,AF203&gt;1,AU203=2,CJ203&gt;1),0,IF(AND(AF203=5,CT203=0.5,AU203=2,ER203&lt;100),0,IF(AND(AF203=5,CT203=0.5,AU203=3,ER203&lt;100),0,IF(AND('Data Entry'!$C$74=2,AF203=2,AU203=2,AK203&gt;0.01,CB203=2,CE203&lt;1),0,IF(AND('Data Entry'!$C$74=2,AF203=3,AU203=3,AK203&gt;0.01,CB203=3,CE203&lt;1),0,IF(AND('Data Entry'!$C$74=2,AF203=3,AU203=3,AK203&gt;0.01,CB203=3,CE203&gt;0.99),BQ203*0.08,IF(AND('Data Entry'!$C$74=2,AF203=2,AU203=2,AK203&gt;0.01,CB203=2,CE203&gt;0.99),BQ203*0.1,IF(AND(AU203=2,AK203&gt;0.01,CB203=2,CD203&gt;1),BQ203*0.1,IF(AND(AU203=3,AK203&gt;0.01,CB203=3,CD203&gt;1),BQ203*0.08,CJ203*EF203)))))))))))))</f>
        <v>0</v>
      </c>
      <c r="BP203" s="475">
        <f t="shared" si="269"/>
        <v>0</v>
      </c>
      <c r="BQ203" s="1431">
        <f>IF(AU203=1,0,IF(CH203=100,0,IF(AND(AF203=3,AU203=2),0,IF(AND(BH203=0,CT203&gt;0.4),0,IF(AND('Data Entry'!$C$74=2,AF203=1.5),0,IF(AND('Data Entry'!$C$74=2,AF203=1.6),0,IF(AND('Data Entry'!$C$74=2,AF203=4),0,IF(AND('Data Entry'!$C$74=2,AF203=5),0,IF(AND('Data Entry'!$C$74=2,AF203=2.5,CE203&lt;1),0,IF(AND('Data Entry'!$C$74=2,AF203=3,CE203&lt;1),0,IF(AND('Data Entry'!$C$74=1,AF203=2.5,CD203&lt;1),0,IF(AND('Data Entry'!$C$74=1,AF203=3,CD203&lt;1),0,IF(DX203&gt;0.01,DX203,IF(ISERROR(AX203-AY203),"",ROUND(AX203-AY203,2)))))))))))))))</f>
        <v>0</v>
      </c>
      <c r="BR203" s="146">
        <f t="shared" si="270"/>
        <v>0</v>
      </c>
      <c r="BS203" s="475">
        <f t="shared" si="271"/>
        <v>0</v>
      </c>
      <c r="BT203" s="146" t="b">
        <f t="shared" si="272"/>
        <v>0</v>
      </c>
      <c r="BU203" s="463">
        <f>IF(ISNA(AT203),0,IF(AND('Data Entry'!$C$74=2,BC203=27),0,IF(AND('Data Entry'!$C$74=2,BC203=28),0,IF(AND(BC203=27,BT203=27,CM203&gt;0.1),CM203*0.15,IF(AND(BC203=28,BT203=28,CM203&gt;0.1),CM203*0.12,0)))))</f>
        <v>0</v>
      </c>
      <c r="BV203" s="463">
        <f t="shared" si="232"/>
        <v>0</v>
      </c>
      <c r="BW203" s="463">
        <f t="shared" si="273"/>
        <v>0</v>
      </c>
      <c r="BX203" s="463">
        <f t="shared" si="274"/>
        <v>0</v>
      </c>
      <c r="BY203" s="463">
        <f t="shared" si="275"/>
        <v>0</v>
      </c>
      <c r="BZ203" s="463">
        <f t="shared" si="276"/>
        <v>0</v>
      </c>
      <c r="CA203" s="57">
        <f t="shared" ref="CA203:CA266" si="304">IF(AND(BH203=48,AU203=3,CM203&gt;0.01),SUM(BQ203+CM203)*0.23,IF(AND(BH203=48,AU203=2,CM203&gt;0.01),SUM(BQ203+CM203)*0.23,IF(AND(BH203=49,CM203&gt;0.01),SUM(BQ203+CM203)*0.21,IF(AND(BH203=24,AU203=2,CM203&gt;0.01),SUM(BQ203+CM203)*0.31,IF(AND(BH203=39,CM203&gt;0.01),SUM(BQ203+CM203)*0.29,IF(AND(BH203=29,CM203&gt;0.01),SUM(BQ203+CM203)*0.29,IF(AND(BH203=24,AU203=3,CM203&gt;0.01),SUM(BQ203+CM203)*0.31,0)))))))</f>
        <v>0</v>
      </c>
      <c r="CB203" s="56">
        <f t="shared" si="277"/>
        <v>1</v>
      </c>
      <c r="CC203" s="756">
        <f>IF(EE203=0,0,IF(EF203=0,0,IF(EE203&gt;AA203,0,IF(AND(AZ203&gt;AW203,AW203&gt;0),0,IF(CU203=0,0,Summary!AC506)))))</f>
        <v>0</v>
      </c>
      <c r="CD203" s="756">
        <f>IF(EE203=0,0,IF(EF203=0,0,IF(EE203&gt;AA203,0,IF(AND(AZ203&gt;AW203,AW203&gt;0),0,IF(CU203=0,0,Summary!AD506)))))</f>
        <v>0</v>
      </c>
      <c r="CE203" s="756">
        <f>IF(EF203=0,0,IF(EE203&gt;AA203,0,IF(CC203=0,0,IF(AND(AZ203&gt;AW203,AW203&gt;0),0,IF(CU203=0,0,Summary!AE506)))))</f>
        <v>0</v>
      </c>
      <c r="CF203" s="475">
        <f t="shared" si="278"/>
        <v>0</v>
      </c>
      <c r="CG203" s="476">
        <f t="shared" si="246"/>
        <v>0</v>
      </c>
      <c r="CH203" s="487">
        <f t="shared" si="279"/>
        <v>0</v>
      </c>
      <c r="CI203" s="756">
        <f t="shared" si="280"/>
        <v>0</v>
      </c>
      <c r="CJ203" s="487">
        <f>IF(CT203&gt;0.4,0,IF(AND(AU203=2,CH203=0,CT203=0.5,ER203=100),35,IF(AND(AU203=3,BB203&gt;75,CH203=0,CT203=0.5,ER203=100),25,IF(CB203&gt;1,0,IF(EF203&gt;EE203,0,IF(AND(AF203&gt;1,CH203=100),0,IF(AND(AF203=1,AY203=0),0,IF(AND(EF203&lt;=EE203,AW203&gt;=AZ203,'Data Entry'!$C$74=1,AU203=2),VLOOKUP(W203,$DO$96:$DP$102,2,FALSE),IF(AND(EF203&lt;=EE203,AW203&gt;=AZ203,AU203=3,'Data Entry'!$C$74=1),VLOOKUP(W203,$DO$127:$DP$134,2,FALSE))))))))))</f>
        <v>0</v>
      </c>
      <c r="CK203" s="716">
        <f t="shared" si="281"/>
        <v>0</v>
      </c>
      <c r="CL203" s="57">
        <f t="shared" si="282"/>
        <v>0</v>
      </c>
      <c r="CM203" s="475">
        <f t="shared" si="231"/>
        <v>0</v>
      </c>
      <c r="CN203" s="660">
        <f>IF(CM203&lt;0.1,0,IF(ISNA(AT203),0,IF(CL203+BC203=1,0,IF(BV203&gt;0.01,0,IF(CL203&gt;0.01,0,IF(CF203=1,0,IF(BC203=0.5,0,IF(AND(CI203=1,AU203=3),0,IF(AND(CI203=5,CL203=0),0,IF(AND(R203=12,BR203=50),0,IF(CK203&gt;0.01,0,IF(AND(AJ203&gt;0.01,AU203=2,BC203=15),CM203*0.1,IF(AND(AJ203&gt;0.01,AU203=3,BC203=15),CM203*0.08,IF(AND(R203=12,BC203=3,AF203&lt;=0),0,IF(AND(BC203=15,BI203=0),0,IF(AND(BC203=15,BJ203=0),0,IF(AND(R203=20,CU203=0),0,IF($X$4=0,0,IF(AND(BC203=250,CL203=0),0,IF(AA203&lt;1,0,IF(AND(ISNUMBER(SEARCH("Area",T203)),AU203=3),0,IF(AND(AQ203&gt;0.01,AR203=0,BK203=0,BL203=0,BM203=0,BN203=0),0,IF(AND(AU203=3,CI203=7,CT203&gt;0.5),0,IF(AND(BC203=44,AU203=3,BY203=0),0,IF(AND(BC203=27,'Data Entry'!$C$74=2),0,IF(AND(BC203=28,'Data Entry'!$C$74=2),0,IF(AND(BY203+BZ203+CA203&gt;0.01,BV203=0,EQ203+ER203+ES203+ET203&lt;100),0,IF(AU203=3,CM203*0.08,IF(AU203=2,CM203*0.1,0)))))))))))))))))))))))))))))</f>
        <v>0</v>
      </c>
      <c r="CO203" s="660">
        <f t="shared" si="283"/>
        <v>0</v>
      </c>
      <c r="CP203" s="475" t="str">
        <f t="shared" si="284"/>
        <v/>
      </c>
      <c r="CQ203" s="161" t="str">
        <f>IF(AH203=0,0,IF(AU203=5,0,Summary!AC206))</f>
        <v/>
      </c>
      <c r="CR203" s="161" t="str">
        <f>IF(BF203=0.5,0,IF(AU203=5,0,Summary!AD206))</f>
        <v/>
      </c>
      <c r="CS203" s="161" t="str">
        <f>IF(AU203=5,0,Summary!AE206)</f>
        <v/>
      </c>
      <c r="CT203" s="161">
        <f t="shared" si="285"/>
        <v>0</v>
      </c>
      <c r="CU203" s="475" t="str">
        <f t="shared" si="286"/>
        <v/>
      </c>
      <c r="CV203" s="307">
        <f>IF('Data Entry'!$C$74=0,0,IF(AA203&lt;1,0,IF(ISERROR(CU203),0,IF(CF203=1,0,IF(AND(R203=12,BR203=50),0,IF(CL203+BO203+BV203+DC203=0,0,IF(BC203=37,0,IF(AND(BC203=40,AJ203=0),0,IF(AND(BC203=37,BO203&gt;0.01,BQ203&gt;0.01),ROUND(BQ203,0),IF(CM203&lt;0,0,ROUND(CM203,0)))))))))))</f>
        <v>0</v>
      </c>
      <c r="CW203" s="700">
        <f t="shared" si="287"/>
        <v>0</v>
      </c>
      <c r="CX203" s="477">
        <f>IF('Data Entry'!$C$74=0,0,IF(CV203&lt;0.01,0,IF(BF203=0.5,0,IF(CF203=1,0,IF(ISNUMBER(SEARCH("false",CL203)),0,IF(AZ203=500,0,CL203))))))</f>
        <v>0</v>
      </c>
      <c r="CY203" s="147" t="e">
        <f t="shared" si="288"/>
        <v>#VALUE!</v>
      </c>
      <c r="CZ203" s="147" t="b">
        <f>IF(CN203+CL203=0,FALSE,IF(AH203=0,0,IF(AND('Data Entry'!$C$74=1,CR203&gt;=1),TRUE,IF(AND('Data Entry'!$C$74=2,CS203&gt;=1),TRUE,FALSE))))</f>
        <v>0</v>
      </c>
      <c r="DA203" s="1751">
        <f>IF('Data Entry'!$C$74=0,0,IFERROR(ROUND(IF(T203="","",IF($X$4=0,0,IF(CF203=1,0,IF(BQ203+CV203=0,0,IF(CF203=1,0,IF(CY203&gt;0.01,CY203,IF(CL203&gt;0.01,CL203,IF(CY203&gt;0.01,CY203,IF(BC203=37,BO203,IF(CZ203=FALSE,0,IF(CZ203=TRUE,DC203+DF203,0))))))))))),2),""))</f>
        <v>0</v>
      </c>
      <c r="DB203" s="1752"/>
      <c r="DC203" s="474">
        <f>IF(CN203&lt;0.01,0,IF(AND(BR203=3,CN203&gt;0.01,CT203&gt;0.6,ER203+ES203+ET203&lt;100),0,IF(AND('Data Entry'!$C$74=1,CN203&gt;0.01,CR203&gt;0.99),MIN(CN203:CO203),IF(AND('Data Entry'!$C$74=2,CN203&gt;0.01,CS203&gt;0.99),MIN(CN203:CO203),0))))</f>
        <v>0</v>
      </c>
      <c r="DD203" s="478">
        <f>IF(CF203=1,"Selection does not match",IF(T203=0,0,IF(AND('Data Entry'!$C$74=0,CP203&gt;1),"Select Oregon or Idaho on Data Entry Tab",IF(AND(AU203=1,AA203&gt;0.9),"Missing Interior or Exterior Selection",IF($X$4=0,"Enter Total Project Cost",IF(AQ203&lt;AR203,"Insufficient kWh savings – no incentive",IF(AND(SUM(CL203+CK203+BV203)&gt;0.01,'Data Entry'!$C$74=2,CJ203&gt;1,BO203=0),"Submit Control as Non-Standard",IF(AND('Data Entry'!$C$74=2,BR203=37,CJ203&gt;1,BO203=0),"Submit Control as Non-Standard",IF(SUM(CL203+CK203+BV203)&gt;0.01,"Standard Incentive",IF(AND('Data Entry'!$C$74=2,CP203=7,CN203=0),"Submit as Non-Standard",IF(DC203&gt;0.9,"Non-Standard Incentive",IF(AND(BY203+BZ203+CA203&gt;0.01,BV203=0,EQ203=0,ER203=0,ES203=0,ET203=0),"Scroll Right &amp; Select Control Strategies",IF(AND(CN203&gt;0.01,CO203=0),"Enter Unit Installed Cost",IF(ISNUMBER(SEARCH("Lighting Controls Only",F203)),"Lighting Controls Only",IF(CL203+DC203=0,"Does not meet incentive criteria",0)))))))))))))))</f>
        <v>0</v>
      </c>
      <c r="DE203" s="337">
        <f t="shared" si="289"/>
        <v>0</v>
      </c>
      <c r="DF203" s="609">
        <f t="shared" si="290"/>
        <v>0</v>
      </c>
      <c r="DG203" s="336" t="str">
        <f t="shared" si="291"/>
        <v/>
      </c>
      <c r="DH203" s="338">
        <f t="shared" si="292"/>
        <v>1</v>
      </c>
      <c r="DI203" s="336" t="e">
        <f t="shared" si="247"/>
        <v>#VALUE!</v>
      </c>
      <c r="DJ203" s="1142">
        <f t="shared" si="248"/>
        <v>0</v>
      </c>
      <c r="DK203" s="81"/>
      <c r="DL203" s="81"/>
      <c r="DM203" s="862" t="s">
        <v>1525</v>
      </c>
      <c r="DN203" s="863">
        <f>'Data Entry'!W64</f>
        <v>0</v>
      </c>
      <c r="DO203" s="411" t="s">
        <v>1285</v>
      </c>
      <c r="DP203" s="408"/>
      <c r="DQ203" s="1198" t="s">
        <v>1751</v>
      </c>
      <c r="DR203" s="933">
        <v>5</v>
      </c>
      <c r="DS203" s="1195">
        <f t="shared" si="293"/>
        <v>0</v>
      </c>
      <c r="DT203" s="344" t="b">
        <f t="shared" si="294"/>
        <v>1</v>
      </c>
      <c r="DU203" s="1314" t="str">
        <f t="array" ref="DU203">IF(OR(COUNTIF(F203,"*"&amp;$DK$9:$DK$178&amp;"*")), "Yes", "")</f>
        <v/>
      </c>
      <c r="DV203" s="1314">
        <f t="shared" si="295"/>
        <v>0</v>
      </c>
      <c r="DW203" s="1480">
        <f t="shared" si="296"/>
        <v>0</v>
      </c>
      <c r="DX203" s="1498">
        <f t="shared" ref="DX203:DX266" si="305">IF(BC203=37,0,IF(CT203&gt;0.4,AA203*AT203*(CU203*(1-AV203)/1000),0))</f>
        <v>0</v>
      </c>
      <c r="DY203" s="1484">
        <f t="shared" si="297"/>
        <v>0</v>
      </c>
      <c r="DZ203" s="331"/>
      <c r="EA203" s="392"/>
      <c r="EB203" s="1499" t="s">
        <v>1090</v>
      </c>
      <c r="EC203" s="727" t="s">
        <v>1569</v>
      </c>
      <c r="ED203" s="728">
        <v>0.5</v>
      </c>
      <c r="EE203" s="1215"/>
      <c r="EF203" s="1215"/>
      <c r="EG203" s="1184" t="str">
        <f t="shared" si="298"/>
        <v/>
      </c>
      <c r="EH203" s="81"/>
      <c r="EI203" s="81"/>
      <c r="EJ203" s="1185">
        <f t="shared" si="249"/>
        <v>0</v>
      </c>
      <c r="EK203" s="1211"/>
      <c r="EL203" s="1180">
        <f t="shared" si="250"/>
        <v>0</v>
      </c>
      <c r="EM203" s="206"/>
      <c r="EN203" s="1038"/>
      <c r="EO203" s="1038"/>
      <c r="EP203" s="1038"/>
      <c r="EQ203" s="1038">
        <f t="shared" si="299"/>
        <v>0</v>
      </c>
      <c r="ER203" s="1041">
        <f t="shared" si="300"/>
        <v>0</v>
      </c>
      <c r="ES203" s="1042">
        <f t="shared" si="301"/>
        <v>0</v>
      </c>
      <c r="ET203" s="1042">
        <f t="shared" ref="ET203:ET266" si="306">IF(AND(AU203=2,CA203&gt;0.01,CT203=2,EM203="Yes",EN203="Yes",EP203="Yes"),100,IF(AND(AU203=2,CA203&gt;0.01,CT203=2,EM203="Yes",EO203="Yes",EP203="Yes"),100,IF(AND(AU203=2,CA203&gt;0.01,CT203=2,EM203="Yes",EP203="Yes"),100,IF(AND(AU203=2,CA203&gt;0.01,CT203=2,EN203="Yes",EP203="Yes"),100,IF(AND(AU203=2,CA203&gt;0.01,CT203=2,EM203="Yes",EN203="Yes",EP203="Yes"),100,IF(AND(AU203=2,CA203&gt;0.01,CT203=2,EM203="Yes",EO203="Yes"),100,IF(AND(AU203=3,CA203&gt;0.01,CT203=2,EM203="Yes",EP203="Yes"),100,0)))))))</f>
        <v>0</v>
      </c>
      <c r="EU203" s="1021">
        <f t="shared" ref="EU203:EU266" si="307">IF(AND(BY203+BZ203+CA203&gt;0.01,EQ203+ER203+ES203+ET203&lt;100),"Does not meet program criteria",IF(AND(BB203&lt;AZ203,BO203=0),"Does not meet minimum connected load",0))</f>
        <v>0</v>
      </c>
      <c r="EV203" s="368"/>
      <c r="EW203" s="368"/>
      <c r="EX203" s="369"/>
      <c r="EY203" s="370"/>
      <c r="EZ203" s="370"/>
      <c r="FA203" s="371"/>
      <c r="FB203" s="372"/>
    </row>
    <row r="204" spans="1:158" ht="34.5" customHeight="1">
      <c r="A204" s="82">
        <v>196</v>
      </c>
      <c r="B204" s="1806"/>
      <c r="C204" s="1807"/>
      <c r="D204" s="1807"/>
      <c r="E204" s="1808"/>
      <c r="F204" s="1809"/>
      <c r="G204" s="1810"/>
      <c r="H204" s="1810"/>
      <c r="I204" s="1811"/>
      <c r="J204" s="1301"/>
      <c r="K204" s="1814"/>
      <c r="L204" s="1814"/>
      <c r="M204" s="1017"/>
      <c r="N204" s="1584"/>
      <c r="O204" s="208" t="str">
        <f t="shared" si="237"/>
        <v/>
      </c>
      <c r="P204" s="785"/>
      <c r="Q204" s="39" t="str">
        <f t="shared" si="238"/>
        <v/>
      </c>
      <c r="R204" s="39">
        <f t="shared" si="251"/>
        <v>0</v>
      </c>
      <c r="S204" s="234">
        <f t="shared" si="252"/>
        <v>0</v>
      </c>
      <c r="T204" s="1815"/>
      <c r="U204" s="1815"/>
      <c r="V204" s="1815"/>
      <c r="W204" s="1121"/>
      <c r="X204" s="1812"/>
      <c r="Y204" s="1813"/>
      <c r="Z204" s="703"/>
      <c r="AA204" s="1280"/>
      <c r="AB204" s="1141"/>
      <c r="AC204" s="1103" t="str">
        <f>IF(T204="","",VLOOKUP(Z204,Lists!$A$60:$B$111,2,FALSE))</f>
        <v/>
      </c>
      <c r="AD204" s="130" t="str">
        <f t="shared" si="253"/>
        <v/>
      </c>
      <c r="AE204" s="130" t="e">
        <f t="shared" si="254"/>
        <v>#VALUE!</v>
      </c>
      <c r="AF204" s="130">
        <f t="shared" si="255"/>
        <v>1</v>
      </c>
      <c r="AG204" s="234">
        <f t="shared" si="239"/>
        <v>0</v>
      </c>
      <c r="AH204" s="1753" t="str">
        <f>IF(T204="","",(IF(ISNUMBER(SEARCH("exit",T204)),8760,IF(AND(M204="Dusk to Dawn",'Proposed Lighting'!AU204=3),4059,IF(AND(AU204=3,M204="1"),0,IF(AND(AU204=3,M204="1-C"),0,IF(AND(AU204=3,M204="2"),0,IF(AND(AU204=3,M204="2-C"),0,IF(AND(AU204=3,M204="3"),0,IF(AND(AU204=3,M204="3-C"),0,IF(AND(AU204=2,M204="Dusk to Dawn"),0,IF(AND(AU204=2,M204="Dusk to Dawn-C"),0,IF(AND(AU204=2,M204="Dusk to Dawn"),0,IF(AND(AU204=2,M204="E"),0,IF(AND(AU204=2,M204="E-C"),0,EG204)))))))))))))))</f>
        <v/>
      </c>
      <c r="AI204" s="1754"/>
      <c r="AJ204" s="1136"/>
      <c r="AK204" s="1136"/>
      <c r="AL204" s="1748">
        <f t="shared" si="256"/>
        <v>0</v>
      </c>
      <c r="AM204" s="1749"/>
      <c r="AN204" s="1750"/>
      <c r="AO204" s="476">
        <f t="shared" si="240"/>
        <v>0</v>
      </c>
      <c r="AP204" s="476">
        <f t="shared" si="257"/>
        <v>0</v>
      </c>
      <c r="AQ204" s="475">
        <f t="shared" si="241"/>
        <v>0</v>
      </c>
      <c r="AR204" s="475">
        <f t="shared" si="258"/>
        <v>0</v>
      </c>
      <c r="AS204" s="743" t="str">
        <f t="shared" si="233"/>
        <v/>
      </c>
      <c r="AT204" s="736" t="str">
        <f t="shared" si="259"/>
        <v/>
      </c>
      <c r="AU204" s="56">
        <f t="shared" si="260"/>
        <v>1</v>
      </c>
      <c r="AV204" s="476">
        <f t="shared" si="261"/>
        <v>0</v>
      </c>
      <c r="AW204" s="56">
        <f t="shared" si="262"/>
        <v>0</v>
      </c>
      <c r="AX204" s="475">
        <f t="shared" si="242"/>
        <v>0</v>
      </c>
      <c r="AY204" s="1169">
        <f t="shared" si="263"/>
        <v>0</v>
      </c>
      <c r="AZ204" s="1150">
        <f t="shared" si="302"/>
        <v>0</v>
      </c>
      <c r="BA204" s="56">
        <f t="shared" si="243"/>
        <v>0</v>
      </c>
      <c r="BB204" s="420">
        <f t="shared" si="244"/>
        <v>0</v>
      </c>
      <c r="BC204" s="58" t="str">
        <f t="shared" si="245"/>
        <v/>
      </c>
      <c r="BD204" s="660">
        <f t="shared" si="303"/>
        <v>0</v>
      </c>
      <c r="BE204" s="57" t="e">
        <f t="array" ref="BE204">INDEX($EB$11:$ED$1022,MATCH(F204&amp;T204,$EB$11:$EB$1007&amp;$EC$11:$EC$1007,0),3)</f>
        <v>#N/A</v>
      </c>
      <c r="BF204" s="463">
        <f t="shared" si="234"/>
        <v>0</v>
      </c>
      <c r="BG204" s="1445" t="e">
        <f t="array" ref="BG204">INDEX($DO$112:$DQ$123,MATCH(T204&amp;W204,$DO$114:$DO$125&amp;$DP$112:$DP$123,0),3)</f>
        <v>#N/A</v>
      </c>
      <c r="BH204" s="1446">
        <f t="shared" si="264"/>
        <v>0</v>
      </c>
      <c r="BI204" s="465">
        <f t="shared" si="265"/>
        <v>0</v>
      </c>
      <c r="BJ204" s="465">
        <f t="shared" si="266"/>
        <v>0</v>
      </c>
      <c r="BK204" s="466">
        <f t="shared" si="235"/>
        <v>0</v>
      </c>
      <c r="BL204" s="466">
        <f t="shared" si="236"/>
        <v>0</v>
      </c>
      <c r="BM204" s="466">
        <f t="shared" si="267"/>
        <v>0</v>
      </c>
      <c r="BN204" s="466">
        <f t="shared" si="268"/>
        <v>0</v>
      </c>
      <c r="BO204" s="463">
        <f>IF('Data Entry'!$C$74=0,0,IF(ISNA(CJ204),0,IF(AX204=0,0,IF(AND('Data Entry'!$C$74=2,AF204&gt;2,CE204&lt;1),0,IF(AND('Data Entry'!$C$74=2,AF204&gt;1,AU204=2,CJ204&gt;1),0,IF(AND(AF204=5,CT204=0.5,AU204=2,ER204&lt;100),0,IF(AND(AF204=5,CT204=0.5,AU204=3,ER204&lt;100),0,IF(AND('Data Entry'!$C$74=2,AF204=2,AU204=2,AK204&gt;0.01,CB204=2,CE204&lt;1),0,IF(AND('Data Entry'!$C$74=2,AF204=3,AU204=3,AK204&gt;0.01,CB204=3,CE204&lt;1),0,IF(AND('Data Entry'!$C$74=2,AF204=3,AU204=3,AK204&gt;0.01,CB204=3,CE204&gt;0.99),BQ204*0.08,IF(AND('Data Entry'!$C$74=2,AF204=2,AU204=2,AK204&gt;0.01,CB204=2,CE204&gt;0.99),BQ204*0.1,IF(AND(AU204=2,AK204&gt;0.01,CB204=2,CD204&gt;1),BQ204*0.1,IF(AND(AU204=3,AK204&gt;0.01,CB204=3,CD204&gt;1),BQ204*0.08,CJ204*EF204)))))))))))))</f>
        <v>0</v>
      </c>
      <c r="BP204" s="475">
        <f t="shared" si="269"/>
        <v>0</v>
      </c>
      <c r="BQ204" s="1431">
        <f>IF(AU204=1,0,IF(CH204=100,0,IF(AND(AF204=3,AU204=2),0,IF(AND(BH204=0,CT204&gt;0.4),0,IF(AND('Data Entry'!$C$74=2,AF204=1.5),0,IF(AND('Data Entry'!$C$74=2,AF204=1.6),0,IF(AND('Data Entry'!$C$74=2,AF204=4),0,IF(AND('Data Entry'!$C$74=2,AF204=5),0,IF(AND('Data Entry'!$C$74=2,AF204=2.5,CE204&lt;1),0,IF(AND('Data Entry'!$C$74=2,AF204=3,CE204&lt;1),0,IF(AND('Data Entry'!$C$74=1,AF204=2.5,CD204&lt;1),0,IF(AND('Data Entry'!$C$74=1,AF204=3,CD204&lt;1),0,IF(DX204&gt;0.01,DX204,IF(ISERROR(AX204-AY204),"",ROUND(AX204-AY204,2)))))))))))))))</f>
        <v>0</v>
      </c>
      <c r="BR204" s="146">
        <f t="shared" si="270"/>
        <v>0</v>
      </c>
      <c r="BS204" s="475">
        <f t="shared" si="271"/>
        <v>0</v>
      </c>
      <c r="BT204" s="146" t="b">
        <f t="shared" si="272"/>
        <v>0</v>
      </c>
      <c r="BU204" s="463">
        <f>IF(ISNA(AT204),0,IF(AND('Data Entry'!$C$74=2,BC204=27),0,IF(AND('Data Entry'!$C$74=2,BC204=28),0,IF(AND(BC204=27,BT204=27,CM204&gt;0.1),CM204*0.15,IF(AND(BC204=28,BT204=28,CM204&gt;0.1),CM204*0.12,0)))))</f>
        <v>0</v>
      </c>
      <c r="BV204" s="463">
        <f t="shared" si="232"/>
        <v>0</v>
      </c>
      <c r="BW204" s="463">
        <f t="shared" si="273"/>
        <v>0</v>
      </c>
      <c r="BX204" s="463">
        <f t="shared" si="274"/>
        <v>0</v>
      </c>
      <c r="BY204" s="463">
        <f t="shared" si="275"/>
        <v>0</v>
      </c>
      <c r="BZ204" s="463">
        <f t="shared" si="276"/>
        <v>0</v>
      </c>
      <c r="CA204" s="57">
        <f t="shared" si="304"/>
        <v>0</v>
      </c>
      <c r="CB204" s="56">
        <f t="shared" si="277"/>
        <v>1</v>
      </c>
      <c r="CC204" s="756">
        <f>IF(EE204=0,0,IF(EF204=0,0,IF(EE204&gt;AA204,0,IF(AND(AZ204&gt;AW204,AW204&gt;0),0,IF(CU204=0,0,Summary!AC507)))))</f>
        <v>0</v>
      </c>
      <c r="CD204" s="756">
        <f>IF(EE204=0,0,IF(EF204=0,0,IF(EE204&gt;AA204,0,IF(AND(AZ204&gt;AW204,AW204&gt;0),0,IF(CU204=0,0,Summary!AD507)))))</f>
        <v>0</v>
      </c>
      <c r="CE204" s="756">
        <f>IF(EF204=0,0,IF(EE204&gt;AA204,0,IF(CC204=0,0,IF(AND(AZ204&gt;AW204,AW204&gt;0),0,IF(CU204=0,0,Summary!AE507)))))</f>
        <v>0</v>
      </c>
      <c r="CF204" s="475">
        <f t="shared" si="278"/>
        <v>0</v>
      </c>
      <c r="CG204" s="476">
        <f t="shared" si="246"/>
        <v>0</v>
      </c>
      <c r="CH204" s="487">
        <f t="shared" si="279"/>
        <v>0</v>
      </c>
      <c r="CI204" s="756">
        <f t="shared" si="280"/>
        <v>0</v>
      </c>
      <c r="CJ204" s="487">
        <f>IF(CT204&gt;0.4,0,IF(AND(AU204=2,CH204=0,CT204=0.5,ER204=100),35,IF(AND(AU204=3,BB204&gt;75,CH204=0,CT204=0.5,ER204=100),25,IF(CB204&gt;1,0,IF(EF204&gt;EE204,0,IF(AND(AF204&gt;1,CH204=100),0,IF(AND(AF204=1,AY204=0),0,IF(AND(EF204&lt;=EE204,AW204&gt;=AZ204,'Data Entry'!$C$74=1,AU204=2),VLOOKUP(W204,$DO$96:$DP$102,2,FALSE),IF(AND(EF204&lt;=EE204,AW204&gt;=AZ204,AU204=3,'Data Entry'!$C$74=1),VLOOKUP(W204,$DO$127:$DP$134,2,FALSE))))))))))</f>
        <v>0</v>
      </c>
      <c r="CK204" s="716">
        <f t="shared" si="281"/>
        <v>0</v>
      </c>
      <c r="CL204" s="57">
        <f t="shared" si="282"/>
        <v>0</v>
      </c>
      <c r="CM204" s="475">
        <f t="shared" si="231"/>
        <v>0</v>
      </c>
      <c r="CN204" s="660">
        <f>IF(CM204&lt;0.1,0,IF(ISNA(AT204),0,IF(CL204+BC204=1,0,IF(BV204&gt;0.01,0,IF(CL204&gt;0.01,0,IF(CF204=1,0,IF(BC204=0.5,0,IF(AND(CI204=1,AU204=3),0,IF(AND(CI204=5,CL204=0),0,IF(AND(R204=12,BR204=50),0,IF(CK204&gt;0.01,0,IF(AND(AJ204&gt;0.01,AU204=2,BC204=15),CM204*0.1,IF(AND(AJ204&gt;0.01,AU204=3,BC204=15),CM204*0.08,IF(AND(R204=12,BC204=3,AF204&lt;=0),0,IF(AND(BC204=15,BI204=0),0,IF(AND(BC204=15,BJ204=0),0,IF(AND(R204=20,CU204=0),0,IF($X$4=0,0,IF(AND(BC204=250,CL204=0),0,IF(AA204&lt;1,0,IF(AND(ISNUMBER(SEARCH("Area",T204)),AU204=3),0,IF(AND(AQ204&gt;0.01,AR204=0,BK204=0,BL204=0,BM204=0,BN204=0),0,IF(AND(AU204=3,CI204=7,CT204&gt;0.5),0,IF(AND(BC204=44,AU204=3,BY204=0),0,IF(AND(BC204=27,'Data Entry'!$C$74=2),0,IF(AND(BC204=28,'Data Entry'!$C$74=2),0,IF(AND(BY204+BZ204+CA204&gt;0.01,BV204=0,EQ204+ER204+ES204+ET204&lt;100),0,IF(AU204=3,CM204*0.08,IF(AU204=2,CM204*0.1,0)))))))))))))))))))))))))))))</f>
        <v>0</v>
      </c>
      <c r="CO204" s="660">
        <f t="shared" si="283"/>
        <v>0</v>
      </c>
      <c r="CP204" s="475" t="str">
        <f t="shared" si="284"/>
        <v/>
      </c>
      <c r="CQ204" s="161" t="str">
        <f>IF(AH204=0,0,IF(AU204=5,0,Summary!AC207))</f>
        <v/>
      </c>
      <c r="CR204" s="161" t="str">
        <f>IF(BF204=0.5,0,IF(AU204=5,0,Summary!AD207))</f>
        <v/>
      </c>
      <c r="CS204" s="161" t="str">
        <f>IF(AU204=5,0,Summary!AE207)</f>
        <v/>
      </c>
      <c r="CT204" s="161">
        <f t="shared" si="285"/>
        <v>0</v>
      </c>
      <c r="CU204" s="475" t="str">
        <f t="shared" si="286"/>
        <v/>
      </c>
      <c r="CV204" s="307">
        <f>IF('Data Entry'!$C$74=0,0,IF(AA204&lt;1,0,IF(ISERROR(CU204),0,IF(CF204=1,0,IF(AND(R204=12,BR204=50),0,IF(CL204+BO204+BV204+DC204=0,0,IF(BC204=37,0,IF(AND(BC204=40,AJ204=0),0,IF(AND(BC204=37,BO204&gt;0.01,BQ204&gt;0.01),ROUND(BQ204,0),IF(CM204&lt;0,0,ROUND(CM204,0)))))))))))</f>
        <v>0</v>
      </c>
      <c r="CW204" s="700">
        <f t="shared" si="287"/>
        <v>0</v>
      </c>
      <c r="CX204" s="477">
        <f>IF('Data Entry'!$C$74=0,0,IF(CV204&lt;0.01,0,IF(BF204=0.5,0,IF(CF204=1,0,IF(ISNUMBER(SEARCH("false",CL204)),0,IF(AZ204=500,0,CL204))))))</f>
        <v>0</v>
      </c>
      <c r="CY204" s="147" t="e">
        <f t="shared" si="288"/>
        <v>#VALUE!</v>
      </c>
      <c r="CZ204" s="147" t="b">
        <f>IF(CN204+CL204=0,FALSE,IF(AH204=0,0,IF(AND('Data Entry'!$C$74=1,CR204&gt;=1),TRUE,IF(AND('Data Entry'!$C$74=2,CS204&gt;=1),TRUE,FALSE))))</f>
        <v>0</v>
      </c>
      <c r="DA204" s="1751">
        <f>IF('Data Entry'!$C$74=0,0,IFERROR(ROUND(IF(T204="","",IF($X$4=0,0,IF(CF204=1,0,IF(BQ204+CV204=0,0,IF(CF204=1,0,IF(CY204&gt;0.01,CY204,IF(CL204&gt;0.01,CL204,IF(CY204&gt;0.01,CY204,IF(BC204=37,BO204,IF(CZ204=FALSE,0,IF(CZ204=TRUE,DC204+DF204,0))))))))))),2),""))</f>
        <v>0</v>
      </c>
      <c r="DB204" s="1752"/>
      <c r="DC204" s="474">
        <f>IF(CN204&lt;0.01,0,IF(AND(BR204=3,CN204&gt;0.01,CT204&gt;0.6,ER204+ES204+ET204&lt;100),0,IF(AND('Data Entry'!$C$74=1,CN204&gt;0.01,CR204&gt;0.99),MIN(CN204:CO204),IF(AND('Data Entry'!$C$74=2,CN204&gt;0.01,CS204&gt;0.99),MIN(CN204:CO204),0))))</f>
        <v>0</v>
      </c>
      <c r="DD204" s="478">
        <f>IF(CF204=1,"Selection does not match",IF(T204=0,0,IF(AND('Data Entry'!$C$74=0,CP204&gt;1),"Select Oregon or Idaho on Data Entry Tab",IF(AND(AU204=1,AA204&gt;0.9),"Missing Interior or Exterior Selection",IF($X$4=0,"Enter Total Project Cost",IF(AQ204&lt;AR204,"Insufficient kWh savings – no incentive",IF(AND(SUM(CL204+CK204+BV204)&gt;0.01,'Data Entry'!$C$74=2,CJ204&gt;1,BO204=0),"Submit Control as Non-Standard",IF(AND('Data Entry'!$C$74=2,BR204=37,CJ204&gt;1,BO204=0),"Submit Control as Non-Standard",IF(SUM(CL204+CK204+BV204)&gt;0.01,"Standard Incentive",IF(AND('Data Entry'!$C$74=2,CP204=7,CN204=0),"Submit as Non-Standard",IF(DC204&gt;0.9,"Non-Standard Incentive",IF(AND(BY204+BZ204+CA204&gt;0.01,BV204=0,EQ204=0,ER204=0,ES204=0,ET204=0),"Scroll Right &amp; Select Control Strategies",IF(AND(CN204&gt;0.01,CO204=0),"Enter Unit Installed Cost",IF(ISNUMBER(SEARCH("Lighting Controls Only",F204)),"Lighting Controls Only",IF(CL204+DC204=0,"Does not meet incentive criteria",0)))))))))))))))</f>
        <v>0</v>
      </c>
      <c r="DE204" s="337">
        <f t="shared" si="289"/>
        <v>0</v>
      </c>
      <c r="DF204" s="609">
        <f t="shared" si="290"/>
        <v>0</v>
      </c>
      <c r="DG204" s="336" t="str">
        <f t="shared" si="291"/>
        <v/>
      </c>
      <c r="DH204" s="338">
        <f t="shared" si="292"/>
        <v>1</v>
      </c>
      <c r="DI204" s="336" t="e">
        <f t="shared" si="247"/>
        <v>#VALUE!</v>
      </c>
      <c r="DJ204" s="1142">
        <f t="shared" si="248"/>
        <v>0</v>
      </c>
      <c r="DK204" s="81"/>
      <c r="DL204" s="81"/>
      <c r="DM204" s="862" t="s">
        <v>1498</v>
      </c>
      <c r="DN204" s="863">
        <v>4059</v>
      </c>
      <c r="DO204" s="409" t="s">
        <v>73</v>
      </c>
      <c r="DP204" s="408"/>
      <c r="DQ204" s="376" t="s">
        <v>73</v>
      </c>
      <c r="DR204" s="610">
        <v>0</v>
      </c>
      <c r="DS204" s="1195">
        <f t="shared" si="293"/>
        <v>0</v>
      </c>
      <c r="DT204" s="344" t="b">
        <f t="shared" si="294"/>
        <v>1</v>
      </c>
      <c r="DU204" s="1314" t="str">
        <f t="array" ref="DU204">IF(OR(COUNTIF(F204,"*"&amp;$DK$9:$DK$178&amp;"*")), "Yes", "")</f>
        <v/>
      </c>
      <c r="DV204" s="1314">
        <f t="shared" si="295"/>
        <v>0</v>
      </c>
      <c r="DW204" s="1480">
        <f t="shared" si="296"/>
        <v>0</v>
      </c>
      <c r="DX204" s="1498">
        <f t="shared" si="305"/>
        <v>0</v>
      </c>
      <c r="DY204" s="1484">
        <f t="shared" si="297"/>
        <v>0</v>
      </c>
      <c r="DZ204" s="331"/>
      <c r="EA204" s="392"/>
      <c r="EB204" s="1499" t="s">
        <v>316</v>
      </c>
      <c r="EC204" s="727" t="s">
        <v>1569</v>
      </c>
      <c r="ED204" s="728">
        <v>0.5</v>
      </c>
      <c r="EE204" s="1215"/>
      <c r="EF204" s="1215"/>
      <c r="EG204" s="1184" t="str">
        <f t="shared" si="298"/>
        <v/>
      </c>
      <c r="EH204" s="81"/>
      <c r="EI204" s="81"/>
      <c r="EJ204" s="1185">
        <f t="shared" si="249"/>
        <v>0</v>
      </c>
      <c r="EK204" s="1211"/>
      <c r="EL204" s="1180">
        <f t="shared" si="250"/>
        <v>0</v>
      </c>
      <c r="EM204" s="206"/>
      <c r="EN204" s="1038"/>
      <c r="EO204" s="1038"/>
      <c r="EP204" s="1038"/>
      <c r="EQ204" s="1038">
        <f t="shared" si="299"/>
        <v>0</v>
      </c>
      <c r="ER204" s="1041">
        <f t="shared" si="300"/>
        <v>0</v>
      </c>
      <c r="ES204" s="1042">
        <f t="shared" si="301"/>
        <v>0</v>
      </c>
      <c r="ET204" s="1042">
        <f t="shared" si="306"/>
        <v>0</v>
      </c>
      <c r="EU204" s="1021">
        <f t="shared" si="307"/>
        <v>0</v>
      </c>
      <c r="EV204" s="368"/>
      <c r="EW204" s="368"/>
      <c r="EX204" s="369"/>
      <c r="EY204" s="370"/>
      <c r="EZ204" s="370"/>
      <c r="FA204" s="371"/>
      <c r="FB204" s="372"/>
    </row>
    <row r="205" spans="1:158" ht="34.5" customHeight="1">
      <c r="A205" s="82">
        <v>197</v>
      </c>
      <c r="B205" s="1806"/>
      <c r="C205" s="1807"/>
      <c r="D205" s="1807"/>
      <c r="E205" s="1808"/>
      <c r="F205" s="1809"/>
      <c r="G205" s="1810"/>
      <c r="H205" s="1810"/>
      <c r="I205" s="1811"/>
      <c r="J205" s="1301"/>
      <c r="K205" s="1814"/>
      <c r="L205" s="1814"/>
      <c r="M205" s="1017"/>
      <c r="N205" s="1584"/>
      <c r="O205" s="208" t="str">
        <f t="shared" si="237"/>
        <v/>
      </c>
      <c r="P205" s="785"/>
      <c r="Q205" s="39" t="str">
        <f t="shared" si="238"/>
        <v/>
      </c>
      <c r="R205" s="39">
        <f t="shared" si="251"/>
        <v>0</v>
      </c>
      <c r="S205" s="234">
        <f t="shared" si="252"/>
        <v>0</v>
      </c>
      <c r="T205" s="1815"/>
      <c r="U205" s="1815"/>
      <c r="V205" s="1815"/>
      <c r="W205" s="1121"/>
      <c r="X205" s="1812"/>
      <c r="Y205" s="1813"/>
      <c r="Z205" s="703"/>
      <c r="AA205" s="1280"/>
      <c r="AB205" s="1141"/>
      <c r="AC205" s="1103" t="str">
        <f>IF(T205="","",VLOOKUP(Z205,Lists!$A$60:$B$111,2,FALSE))</f>
        <v/>
      </c>
      <c r="AD205" s="130" t="str">
        <f t="shared" si="253"/>
        <v/>
      </c>
      <c r="AE205" s="130" t="e">
        <f t="shared" si="254"/>
        <v>#VALUE!</v>
      </c>
      <c r="AF205" s="130">
        <f t="shared" si="255"/>
        <v>1</v>
      </c>
      <c r="AG205" s="234">
        <f t="shared" si="239"/>
        <v>0</v>
      </c>
      <c r="AH205" s="1753" t="str">
        <f>IF(T205="","",(IF(ISNUMBER(SEARCH("exit",T205)),8760,IF(AND(M205="Dusk to Dawn",'Proposed Lighting'!AU205=3),4059,IF(AND(AU205=3,M205="1"),0,IF(AND(AU205=3,M205="1-C"),0,IF(AND(AU205=3,M205="2"),0,IF(AND(AU205=3,M205="2-C"),0,IF(AND(AU205=3,M205="3"),0,IF(AND(AU205=3,M205="3-C"),0,IF(AND(AU205=2,M205="Dusk to Dawn"),0,IF(AND(AU205=2,M205="Dusk to Dawn-C"),0,IF(AND(AU205=2,M205="Dusk to Dawn"),0,IF(AND(AU205=2,M205="E"),0,IF(AND(AU205=2,M205="E-C"),0,EG205)))))))))))))))</f>
        <v/>
      </c>
      <c r="AI205" s="1754"/>
      <c r="AJ205" s="1136"/>
      <c r="AK205" s="1136"/>
      <c r="AL205" s="1748">
        <f t="shared" si="256"/>
        <v>0</v>
      </c>
      <c r="AM205" s="1749"/>
      <c r="AN205" s="1750"/>
      <c r="AO205" s="476">
        <f t="shared" si="240"/>
        <v>0</v>
      </c>
      <c r="AP205" s="476">
        <f t="shared" si="257"/>
        <v>0</v>
      </c>
      <c r="AQ205" s="475">
        <f t="shared" si="241"/>
        <v>0</v>
      </c>
      <c r="AR205" s="475">
        <f t="shared" si="258"/>
        <v>0</v>
      </c>
      <c r="AS205" s="743" t="str">
        <f t="shared" si="233"/>
        <v/>
      </c>
      <c r="AT205" s="736" t="str">
        <f t="shared" si="259"/>
        <v/>
      </c>
      <c r="AU205" s="56">
        <f t="shared" si="260"/>
        <v>1</v>
      </c>
      <c r="AV205" s="476">
        <f t="shared" si="261"/>
        <v>0</v>
      </c>
      <c r="AW205" s="56">
        <f t="shared" si="262"/>
        <v>0</v>
      </c>
      <c r="AX205" s="475">
        <f t="shared" si="242"/>
        <v>0</v>
      </c>
      <c r="AY205" s="1169">
        <f t="shared" si="263"/>
        <v>0</v>
      </c>
      <c r="AZ205" s="1150">
        <f t="shared" si="302"/>
        <v>0</v>
      </c>
      <c r="BA205" s="56">
        <f t="shared" si="243"/>
        <v>0</v>
      </c>
      <c r="BB205" s="420">
        <f t="shared" si="244"/>
        <v>0</v>
      </c>
      <c r="BC205" s="58" t="str">
        <f t="shared" si="245"/>
        <v/>
      </c>
      <c r="BD205" s="660">
        <f t="shared" si="303"/>
        <v>0</v>
      </c>
      <c r="BE205" s="57" t="e">
        <f t="array" ref="BE205">INDEX($EB$11:$ED$1022,MATCH(F205&amp;T205,$EB$11:$EB$1007&amp;$EC$11:$EC$1007,0),3)</f>
        <v>#N/A</v>
      </c>
      <c r="BF205" s="463">
        <f t="shared" si="234"/>
        <v>0</v>
      </c>
      <c r="BG205" s="1445" t="e">
        <f t="array" ref="BG205">INDEX($DO$112:$DQ$123,MATCH(T205&amp;W205,$DO$114:$DO$125&amp;$DP$112:$DP$123,0),3)</f>
        <v>#N/A</v>
      </c>
      <c r="BH205" s="1446">
        <f t="shared" si="264"/>
        <v>0</v>
      </c>
      <c r="BI205" s="465">
        <f t="shared" si="265"/>
        <v>0</v>
      </c>
      <c r="BJ205" s="465">
        <f t="shared" si="266"/>
        <v>0</v>
      </c>
      <c r="BK205" s="466">
        <f t="shared" si="235"/>
        <v>0</v>
      </c>
      <c r="BL205" s="466">
        <f t="shared" si="236"/>
        <v>0</v>
      </c>
      <c r="BM205" s="466">
        <f t="shared" si="267"/>
        <v>0</v>
      </c>
      <c r="BN205" s="466">
        <f t="shared" si="268"/>
        <v>0</v>
      </c>
      <c r="BO205" s="463">
        <f>IF('Data Entry'!$C$74=0,0,IF(ISNA(CJ205),0,IF(AX205=0,0,IF(AND('Data Entry'!$C$74=2,AF205&gt;2,CE205&lt;1),0,IF(AND('Data Entry'!$C$74=2,AF205&gt;1,AU205=2,CJ205&gt;1),0,IF(AND(AF205=5,CT205=0.5,AU205=2,ER205&lt;100),0,IF(AND(AF205=5,CT205=0.5,AU205=3,ER205&lt;100),0,IF(AND('Data Entry'!$C$74=2,AF205=2,AU205=2,AK205&gt;0.01,CB205=2,CE205&lt;1),0,IF(AND('Data Entry'!$C$74=2,AF205=3,AU205=3,AK205&gt;0.01,CB205=3,CE205&lt;1),0,IF(AND('Data Entry'!$C$74=2,AF205=3,AU205=3,AK205&gt;0.01,CB205=3,CE205&gt;0.99),BQ205*0.08,IF(AND('Data Entry'!$C$74=2,AF205=2,AU205=2,AK205&gt;0.01,CB205=2,CE205&gt;0.99),BQ205*0.1,IF(AND(AU205=2,AK205&gt;0.01,CB205=2,CD205&gt;1),BQ205*0.1,IF(AND(AU205=3,AK205&gt;0.01,CB205=3,CD205&gt;1),BQ205*0.08,CJ205*EF205)))))))))))))</f>
        <v>0</v>
      </c>
      <c r="BP205" s="475">
        <f t="shared" si="269"/>
        <v>0</v>
      </c>
      <c r="BQ205" s="1431">
        <f>IF(AU205=1,0,IF(CH205=100,0,IF(AND(AF205=3,AU205=2),0,IF(AND(BH205=0,CT205&gt;0.4),0,IF(AND('Data Entry'!$C$74=2,AF205=1.5),0,IF(AND('Data Entry'!$C$74=2,AF205=1.6),0,IF(AND('Data Entry'!$C$74=2,AF205=4),0,IF(AND('Data Entry'!$C$74=2,AF205=5),0,IF(AND('Data Entry'!$C$74=2,AF205=2.5,CE205&lt;1),0,IF(AND('Data Entry'!$C$74=2,AF205=3,CE205&lt;1),0,IF(AND('Data Entry'!$C$74=1,AF205=2.5,CD205&lt;1),0,IF(AND('Data Entry'!$C$74=1,AF205=3,CD205&lt;1),0,IF(DX205&gt;0.01,DX205,IF(ISERROR(AX205-AY205),"",ROUND(AX205-AY205,2)))))))))))))))</f>
        <v>0</v>
      </c>
      <c r="BR205" s="146">
        <f t="shared" si="270"/>
        <v>0</v>
      </c>
      <c r="BS205" s="475">
        <f t="shared" si="271"/>
        <v>0</v>
      </c>
      <c r="BT205" s="146" t="b">
        <f t="shared" si="272"/>
        <v>0</v>
      </c>
      <c r="BU205" s="463">
        <f>IF(ISNA(AT205),0,IF(AND('Data Entry'!$C$74=2,BC205=27),0,IF(AND('Data Entry'!$C$74=2,BC205=28),0,IF(AND(BC205=27,BT205=27,CM205&gt;0.1),CM205*0.15,IF(AND(BC205=28,BT205=28,CM205&gt;0.1),CM205*0.12,0)))))</f>
        <v>0</v>
      </c>
      <c r="BV205" s="463">
        <f t="shared" si="232"/>
        <v>0</v>
      </c>
      <c r="BW205" s="463">
        <f t="shared" si="273"/>
        <v>0</v>
      </c>
      <c r="BX205" s="463">
        <f t="shared" si="274"/>
        <v>0</v>
      </c>
      <c r="BY205" s="463">
        <f t="shared" si="275"/>
        <v>0</v>
      </c>
      <c r="BZ205" s="463">
        <f t="shared" si="276"/>
        <v>0</v>
      </c>
      <c r="CA205" s="57">
        <f t="shared" si="304"/>
        <v>0</v>
      </c>
      <c r="CB205" s="56">
        <f t="shared" si="277"/>
        <v>1</v>
      </c>
      <c r="CC205" s="756">
        <f>IF(EE205=0,0,IF(EF205=0,0,IF(EE205&gt;AA205,0,IF(AND(AZ205&gt;AW205,AW205&gt;0),0,IF(CU205=0,0,Summary!AC508)))))</f>
        <v>0</v>
      </c>
      <c r="CD205" s="756">
        <f>IF(EE205=0,0,IF(EF205=0,0,IF(EE205&gt;AA205,0,IF(AND(AZ205&gt;AW205,AW205&gt;0),0,IF(CU205=0,0,Summary!AD508)))))</f>
        <v>0</v>
      </c>
      <c r="CE205" s="756">
        <f>IF(EF205=0,0,IF(EE205&gt;AA205,0,IF(CC205=0,0,IF(AND(AZ205&gt;AW205,AW205&gt;0),0,IF(CU205=0,0,Summary!AE508)))))</f>
        <v>0</v>
      </c>
      <c r="CF205" s="475">
        <f t="shared" si="278"/>
        <v>0</v>
      </c>
      <c r="CG205" s="476">
        <f t="shared" si="246"/>
        <v>0</v>
      </c>
      <c r="CH205" s="487">
        <f t="shared" si="279"/>
        <v>0</v>
      </c>
      <c r="CI205" s="756">
        <f t="shared" si="280"/>
        <v>0</v>
      </c>
      <c r="CJ205" s="487">
        <f>IF(CT205&gt;0.4,0,IF(AND(AU205=2,CH205=0,CT205=0.5,ER205=100),35,IF(AND(AU205=3,BB205&gt;75,CH205=0,CT205=0.5,ER205=100),25,IF(CB205&gt;1,0,IF(EF205&gt;EE205,0,IF(AND(AF205&gt;1,CH205=100),0,IF(AND(AF205=1,AY205=0),0,IF(AND(EF205&lt;=EE205,AW205&gt;=AZ205,'Data Entry'!$C$74=1,AU205=2),VLOOKUP(W205,$DO$96:$DP$102,2,FALSE),IF(AND(EF205&lt;=EE205,AW205&gt;=AZ205,AU205=3,'Data Entry'!$C$74=1),VLOOKUP(W205,$DO$127:$DP$134,2,FALSE))))))))))</f>
        <v>0</v>
      </c>
      <c r="CK205" s="716">
        <f t="shared" si="281"/>
        <v>0</v>
      </c>
      <c r="CL205" s="57">
        <f t="shared" si="282"/>
        <v>0</v>
      </c>
      <c r="CM205" s="475">
        <f t="shared" si="231"/>
        <v>0</v>
      </c>
      <c r="CN205" s="660">
        <f>IF(CM205&lt;0.1,0,IF(ISNA(AT205),0,IF(CL205+BC205=1,0,IF(BV205&gt;0.01,0,IF(CL205&gt;0.01,0,IF(CF205=1,0,IF(BC205=0.5,0,IF(AND(CI205=1,AU205=3),0,IF(AND(CI205=5,CL205=0),0,IF(AND(R205=12,BR205=50),0,IF(CK205&gt;0.01,0,IF(AND(AJ205&gt;0.01,AU205=2,BC205=15),CM205*0.1,IF(AND(AJ205&gt;0.01,AU205=3,BC205=15),CM205*0.08,IF(AND(R205=12,BC205=3,AF205&lt;=0),0,IF(AND(BC205=15,BI205=0),0,IF(AND(BC205=15,BJ205=0),0,IF(AND(R205=20,CU205=0),0,IF($X$4=0,0,IF(AND(BC205=250,CL205=0),0,IF(AA205&lt;1,0,IF(AND(ISNUMBER(SEARCH("Area",T205)),AU205=3),0,IF(AND(AQ205&gt;0.01,AR205=0,BK205=0,BL205=0,BM205=0,BN205=0),0,IF(AND(AU205=3,CI205=7,CT205&gt;0.5),0,IF(AND(BC205=44,AU205=3,BY205=0),0,IF(AND(BC205=27,'Data Entry'!$C$74=2),0,IF(AND(BC205=28,'Data Entry'!$C$74=2),0,IF(AND(BY205+BZ205+CA205&gt;0.01,BV205=0,EQ205+ER205+ES205+ET205&lt;100),0,IF(AU205=3,CM205*0.08,IF(AU205=2,CM205*0.1,0)))))))))))))))))))))))))))))</f>
        <v>0</v>
      </c>
      <c r="CO205" s="660">
        <f t="shared" si="283"/>
        <v>0</v>
      </c>
      <c r="CP205" s="475" t="str">
        <f t="shared" si="284"/>
        <v/>
      </c>
      <c r="CQ205" s="161" t="str">
        <f>IF(AH205=0,0,IF(AU205=5,0,Summary!AC208))</f>
        <v/>
      </c>
      <c r="CR205" s="161" t="str">
        <f>IF(BF205=0.5,0,IF(AU205=5,0,Summary!AD208))</f>
        <v/>
      </c>
      <c r="CS205" s="161" t="str">
        <f>IF(AU205=5,0,Summary!AE208)</f>
        <v/>
      </c>
      <c r="CT205" s="161">
        <f t="shared" si="285"/>
        <v>0</v>
      </c>
      <c r="CU205" s="475" t="str">
        <f t="shared" si="286"/>
        <v/>
      </c>
      <c r="CV205" s="307">
        <f>IF('Data Entry'!$C$74=0,0,IF(AA205&lt;1,0,IF(ISERROR(CU205),0,IF(CF205=1,0,IF(AND(R205=12,BR205=50),0,IF(CL205+BO205+BV205+DC205=0,0,IF(BC205=37,0,IF(AND(BC205=40,AJ205=0),0,IF(AND(BC205=37,BO205&gt;0.01,BQ205&gt;0.01),ROUND(BQ205,0),IF(CM205&lt;0,0,ROUND(CM205,0)))))))))))</f>
        <v>0</v>
      </c>
      <c r="CW205" s="700">
        <f t="shared" si="287"/>
        <v>0</v>
      </c>
      <c r="CX205" s="477">
        <f>IF('Data Entry'!$C$74=0,0,IF(CV205&lt;0.01,0,IF(BF205=0.5,0,IF(CF205=1,0,IF(ISNUMBER(SEARCH("false",CL205)),0,IF(AZ205=500,0,CL205))))))</f>
        <v>0</v>
      </c>
      <c r="CY205" s="147" t="e">
        <f t="shared" si="288"/>
        <v>#VALUE!</v>
      </c>
      <c r="CZ205" s="147" t="b">
        <f>IF(CN205+CL205=0,FALSE,IF(AH205=0,0,IF(AND('Data Entry'!$C$74=1,CR205&gt;=1),TRUE,IF(AND('Data Entry'!$C$74=2,CS205&gt;=1),TRUE,FALSE))))</f>
        <v>0</v>
      </c>
      <c r="DA205" s="1751">
        <f>IF('Data Entry'!$C$74=0,0,IFERROR(ROUND(IF(T205="","",IF($X$4=0,0,IF(CF205=1,0,IF(BQ205+CV205=0,0,IF(CF205=1,0,IF(CY205&gt;0.01,CY205,IF(CL205&gt;0.01,CL205,IF(CY205&gt;0.01,CY205,IF(BC205=37,BO205,IF(CZ205=FALSE,0,IF(CZ205=TRUE,DC205+DF205,0))))))))))),2),""))</f>
        <v>0</v>
      </c>
      <c r="DB205" s="1752"/>
      <c r="DC205" s="474">
        <f>IF(CN205&lt;0.01,0,IF(AND(BR205=3,CN205&gt;0.01,CT205&gt;0.6,ER205+ES205+ET205&lt;100),0,IF(AND('Data Entry'!$C$74=1,CN205&gt;0.01,CR205&gt;0.99),MIN(CN205:CO205),IF(AND('Data Entry'!$C$74=2,CN205&gt;0.01,CS205&gt;0.99),MIN(CN205:CO205),0))))</f>
        <v>0</v>
      </c>
      <c r="DD205" s="478">
        <f>IF(CF205=1,"Selection does not match",IF(T205=0,0,IF(AND('Data Entry'!$C$74=0,CP205&gt;1),"Select Oregon or Idaho on Data Entry Tab",IF(AND(AU205=1,AA205&gt;0.9),"Missing Interior or Exterior Selection",IF($X$4=0,"Enter Total Project Cost",IF(AQ205&lt;AR205,"Insufficient kWh savings – no incentive",IF(AND(SUM(CL205+CK205+BV205)&gt;0.01,'Data Entry'!$C$74=2,CJ205&gt;1,BO205=0),"Submit Control as Non-Standard",IF(AND('Data Entry'!$C$74=2,BR205=37,CJ205&gt;1,BO205=0),"Submit Control as Non-Standard",IF(SUM(CL205+CK205+BV205)&gt;0.01,"Standard Incentive",IF(AND('Data Entry'!$C$74=2,CP205=7,CN205=0),"Submit as Non-Standard",IF(DC205&gt;0.9,"Non-Standard Incentive",IF(AND(BY205+BZ205+CA205&gt;0.01,BV205=0,EQ205=0,ER205=0,ES205=0,ET205=0),"Scroll Right &amp; Select Control Strategies",IF(AND(CN205&gt;0.01,CO205=0),"Enter Unit Installed Cost",IF(ISNUMBER(SEARCH("Lighting Controls Only",F205)),"Lighting Controls Only",IF(CL205+DC205=0,"Does not meet incentive criteria",0)))))))))))))))</f>
        <v>0</v>
      </c>
      <c r="DE205" s="337">
        <f t="shared" si="289"/>
        <v>0</v>
      </c>
      <c r="DF205" s="609">
        <f t="shared" si="290"/>
        <v>0</v>
      </c>
      <c r="DG205" s="336" t="str">
        <f t="shared" si="291"/>
        <v/>
      </c>
      <c r="DH205" s="338">
        <f t="shared" si="292"/>
        <v>1</v>
      </c>
      <c r="DI205" s="336" t="e">
        <f t="shared" si="247"/>
        <v>#VALUE!</v>
      </c>
      <c r="DJ205" s="1142">
        <f t="shared" si="248"/>
        <v>0</v>
      </c>
      <c r="DM205" s="862" t="s">
        <v>1499</v>
      </c>
      <c r="DN205" s="863">
        <v>4059</v>
      </c>
      <c r="DO205" s="376" t="s">
        <v>1568</v>
      </c>
      <c r="DP205" s="344"/>
      <c r="DQ205" s="1198" t="s">
        <v>1752</v>
      </c>
      <c r="DR205" s="610">
        <v>20</v>
      </c>
      <c r="DS205" s="1195">
        <f t="shared" si="293"/>
        <v>0</v>
      </c>
      <c r="DT205" s="344" t="b">
        <f t="shared" si="294"/>
        <v>1</v>
      </c>
      <c r="DU205" s="1314" t="str">
        <f t="array" ref="DU205">IF(OR(COUNTIF(F205,"*"&amp;$DK$9:$DK$178&amp;"*")), "Yes", "")</f>
        <v/>
      </c>
      <c r="DV205" s="1314">
        <f t="shared" si="295"/>
        <v>0</v>
      </c>
      <c r="DW205" s="1480">
        <f t="shared" si="296"/>
        <v>0</v>
      </c>
      <c r="DX205" s="1498">
        <f t="shared" si="305"/>
        <v>0</v>
      </c>
      <c r="DY205" s="1484">
        <f t="shared" si="297"/>
        <v>0</v>
      </c>
      <c r="DZ205" s="331"/>
      <c r="EA205" s="392"/>
      <c r="EB205" s="1499" t="s">
        <v>1091</v>
      </c>
      <c r="EC205" s="727" t="s">
        <v>1569</v>
      </c>
      <c r="ED205" s="728">
        <v>0.5</v>
      </c>
      <c r="EE205" s="1215"/>
      <c r="EF205" s="1215"/>
      <c r="EG205" s="1184" t="str">
        <f t="shared" si="298"/>
        <v/>
      </c>
      <c r="EH205" s="81"/>
      <c r="EI205" s="81"/>
      <c r="EJ205" s="1185">
        <f t="shared" si="249"/>
        <v>0</v>
      </c>
      <c r="EK205" s="1211"/>
      <c r="EL205" s="1180">
        <f t="shared" si="250"/>
        <v>0</v>
      </c>
      <c r="EM205" s="206"/>
      <c r="EN205" s="1038"/>
      <c r="EO205" s="1038"/>
      <c r="EP205" s="1038"/>
      <c r="EQ205" s="1038">
        <f t="shared" si="299"/>
        <v>0</v>
      </c>
      <c r="ER205" s="1041">
        <f t="shared" si="300"/>
        <v>0</v>
      </c>
      <c r="ES205" s="1042">
        <f t="shared" si="301"/>
        <v>0</v>
      </c>
      <c r="ET205" s="1042">
        <f t="shared" si="306"/>
        <v>0</v>
      </c>
      <c r="EU205" s="1021">
        <f t="shared" si="307"/>
        <v>0</v>
      </c>
      <c r="EV205" s="368"/>
      <c r="EW205" s="368"/>
      <c r="EX205" s="369"/>
      <c r="EY205" s="370"/>
      <c r="EZ205" s="370"/>
      <c r="FA205" s="371"/>
      <c r="FB205" s="372"/>
    </row>
    <row r="206" spans="1:158" ht="34.5" customHeight="1">
      <c r="A206" s="82">
        <v>198</v>
      </c>
      <c r="B206" s="1806"/>
      <c r="C206" s="1807"/>
      <c r="D206" s="1807"/>
      <c r="E206" s="1808"/>
      <c r="F206" s="1809"/>
      <c r="G206" s="1810"/>
      <c r="H206" s="1810"/>
      <c r="I206" s="1811"/>
      <c r="J206" s="1301"/>
      <c r="K206" s="1814"/>
      <c r="L206" s="1814"/>
      <c r="M206" s="1017"/>
      <c r="N206" s="1584"/>
      <c r="O206" s="208" t="str">
        <f t="shared" si="237"/>
        <v/>
      </c>
      <c r="P206" s="785"/>
      <c r="Q206" s="39" t="str">
        <f t="shared" si="238"/>
        <v/>
      </c>
      <c r="R206" s="39">
        <f t="shared" si="251"/>
        <v>0</v>
      </c>
      <c r="S206" s="234">
        <f t="shared" si="252"/>
        <v>0</v>
      </c>
      <c r="T206" s="1815"/>
      <c r="U206" s="1815"/>
      <c r="V206" s="1815"/>
      <c r="W206" s="1121"/>
      <c r="X206" s="1812"/>
      <c r="Y206" s="1813"/>
      <c r="Z206" s="703"/>
      <c r="AA206" s="1280"/>
      <c r="AB206" s="1141"/>
      <c r="AC206" s="1103" t="str">
        <f>IF(T206="","",VLOOKUP(Z206,Lists!$A$60:$B$111,2,FALSE))</f>
        <v/>
      </c>
      <c r="AD206" s="130" t="str">
        <f t="shared" si="253"/>
        <v/>
      </c>
      <c r="AE206" s="130" t="e">
        <f t="shared" si="254"/>
        <v>#VALUE!</v>
      </c>
      <c r="AF206" s="130">
        <f t="shared" si="255"/>
        <v>1</v>
      </c>
      <c r="AG206" s="234">
        <f t="shared" si="239"/>
        <v>0</v>
      </c>
      <c r="AH206" s="1753" t="str">
        <f>IF(T206="","",(IF(ISNUMBER(SEARCH("exit",T206)),8760,IF(AND(M206="Dusk to Dawn",'Proposed Lighting'!AU206=3),4059,IF(AND(AU206=3,M206="1"),0,IF(AND(AU206=3,M206="1-C"),0,IF(AND(AU206=3,M206="2"),0,IF(AND(AU206=3,M206="2-C"),0,IF(AND(AU206=3,M206="3"),0,IF(AND(AU206=3,M206="3-C"),0,IF(AND(AU206=2,M206="Dusk to Dawn"),0,IF(AND(AU206=2,M206="Dusk to Dawn-C"),0,IF(AND(AU206=2,M206="Dusk to Dawn"),0,IF(AND(AU206=2,M206="E"),0,IF(AND(AU206=2,M206="E-C"),0,EG206)))))))))))))))</f>
        <v/>
      </c>
      <c r="AI206" s="1754"/>
      <c r="AJ206" s="1136"/>
      <c r="AK206" s="1136"/>
      <c r="AL206" s="1748">
        <f t="shared" si="256"/>
        <v>0</v>
      </c>
      <c r="AM206" s="1749"/>
      <c r="AN206" s="1750"/>
      <c r="AO206" s="476">
        <f t="shared" si="240"/>
        <v>0</v>
      </c>
      <c r="AP206" s="476">
        <f t="shared" si="257"/>
        <v>0</v>
      </c>
      <c r="AQ206" s="475">
        <f t="shared" si="241"/>
        <v>0</v>
      </c>
      <c r="AR206" s="475">
        <f t="shared" si="258"/>
        <v>0</v>
      </c>
      <c r="AS206" s="743" t="str">
        <f t="shared" si="233"/>
        <v/>
      </c>
      <c r="AT206" s="736" t="str">
        <f t="shared" si="259"/>
        <v/>
      </c>
      <c r="AU206" s="56">
        <f t="shared" si="260"/>
        <v>1</v>
      </c>
      <c r="AV206" s="476">
        <f t="shared" si="261"/>
        <v>0</v>
      </c>
      <c r="AW206" s="56">
        <f t="shared" si="262"/>
        <v>0</v>
      </c>
      <c r="AX206" s="475">
        <f t="shared" si="242"/>
        <v>0</v>
      </c>
      <c r="AY206" s="1169">
        <f t="shared" si="263"/>
        <v>0</v>
      </c>
      <c r="AZ206" s="1150">
        <f t="shared" si="302"/>
        <v>0</v>
      </c>
      <c r="BA206" s="56">
        <f t="shared" si="243"/>
        <v>0</v>
      </c>
      <c r="BB206" s="420">
        <f t="shared" si="244"/>
        <v>0</v>
      </c>
      <c r="BC206" s="58" t="str">
        <f t="shared" si="245"/>
        <v/>
      </c>
      <c r="BD206" s="660">
        <f t="shared" si="303"/>
        <v>0</v>
      </c>
      <c r="BE206" s="57" t="e">
        <f t="array" ref="BE206">INDEX($EB$11:$ED$1022,MATCH(F206&amp;T206,$EB$11:$EB$1007&amp;$EC$11:$EC$1007,0),3)</f>
        <v>#N/A</v>
      </c>
      <c r="BF206" s="463">
        <f t="shared" si="234"/>
        <v>0</v>
      </c>
      <c r="BG206" s="1445" t="e">
        <f t="array" ref="BG206">INDEX($DO$112:$DQ$123,MATCH(T206&amp;W206,$DO$114:$DO$125&amp;$DP$112:$DP$123,0),3)</f>
        <v>#N/A</v>
      </c>
      <c r="BH206" s="1446">
        <f t="shared" si="264"/>
        <v>0</v>
      </c>
      <c r="BI206" s="465">
        <f t="shared" si="265"/>
        <v>0</v>
      </c>
      <c r="BJ206" s="465">
        <f t="shared" si="266"/>
        <v>0</v>
      </c>
      <c r="BK206" s="466">
        <f t="shared" si="235"/>
        <v>0</v>
      </c>
      <c r="BL206" s="466">
        <f t="shared" si="236"/>
        <v>0</v>
      </c>
      <c r="BM206" s="466">
        <f t="shared" si="267"/>
        <v>0</v>
      </c>
      <c r="BN206" s="466">
        <f t="shared" si="268"/>
        <v>0</v>
      </c>
      <c r="BO206" s="463">
        <f>IF('Data Entry'!$C$74=0,0,IF(ISNA(CJ206),0,IF(AX206=0,0,IF(AND('Data Entry'!$C$74=2,AF206&gt;2,CE206&lt;1),0,IF(AND('Data Entry'!$C$74=2,AF206&gt;1,AU206=2,CJ206&gt;1),0,IF(AND(AF206=5,CT206=0.5,AU206=2,ER206&lt;100),0,IF(AND(AF206=5,CT206=0.5,AU206=3,ER206&lt;100),0,IF(AND('Data Entry'!$C$74=2,AF206=2,AU206=2,AK206&gt;0.01,CB206=2,CE206&lt;1),0,IF(AND('Data Entry'!$C$74=2,AF206=3,AU206=3,AK206&gt;0.01,CB206=3,CE206&lt;1),0,IF(AND('Data Entry'!$C$74=2,AF206=3,AU206=3,AK206&gt;0.01,CB206=3,CE206&gt;0.99),BQ206*0.08,IF(AND('Data Entry'!$C$74=2,AF206=2,AU206=2,AK206&gt;0.01,CB206=2,CE206&gt;0.99),BQ206*0.1,IF(AND(AU206=2,AK206&gt;0.01,CB206=2,CD206&gt;1),BQ206*0.1,IF(AND(AU206=3,AK206&gt;0.01,CB206=3,CD206&gt;1),BQ206*0.08,CJ206*EF206)))))))))))))</f>
        <v>0</v>
      </c>
      <c r="BP206" s="475">
        <f t="shared" si="269"/>
        <v>0</v>
      </c>
      <c r="BQ206" s="1431">
        <f>IF(AU206=1,0,IF(CH206=100,0,IF(AND(AF206=3,AU206=2),0,IF(AND(BH206=0,CT206&gt;0.4),0,IF(AND('Data Entry'!$C$74=2,AF206=1.5),0,IF(AND('Data Entry'!$C$74=2,AF206=1.6),0,IF(AND('Data Entry'!$C$74=2,AF206=4),0,IF(AND('Data Entry'!$C$74=2,AF206=5),0,IF(AND('Data Entry'!$C$74=2,AF206=2.5,CE206&lt;1),0,IF(AND('Data Entry'!$C$74=2,AF206=3,CE206&lt;1),0,IF(AND('Data Entry'!$C$74=1,AF206=2.5,CD206&lt;1),0,IF(AND('Data Entry'!$C$74=1,AF206=3,CD206&lt;1),0,IF(DX206&gt;0.01,DX206,IF(ISERROR(AX206-AY206),"",ROUND(AX206-AY206,2)))))))))))))))</f>
        <v>0</v>
      </c>
      <c r="BR206" s="146">
        <f t="shared" si="270"/>
        <v>0</v>
      </c>
      <c r="BS206" s="475">
        <f t="shared" si="271"/>
        <v>0</v>
      </c>
      <c r="BT206" s="146" t="b">
        <f t="shared" si="272"/>
        <v>0</v>
      </c>
      <c r="BU206" s="463">
        <f>IF(ISNA(AT206),0,IF(AND('Data Entry'!$C$74=2,BC206=27),0,IF(AND('Data Entry'!$C$74=2,BC206=28),0,IF(AND(BC206=27,BT206=27,CM206&gt;0.1),CM206*0.15,IF(AND(BC206=28,BT206=28,CM206&gt;0.1),CM206*0.12,0)))))</f>
        <v>0</v>
      </c>
      <c r="BV206" s="463">
        <f t="shared" si="232"/>
        <v>0</v>
      </c>
      <c r="BW206" s="463">
        <f t="shared" si="273"/>
        <v>0</v>
      </c>
      <c r="BX206" s="463">
        <f t="shared" si="274"/>
        <v>0</v>
      </c>
      <c r="BY206" s="463">
        <f t="shared" si="275"/>
        <v>0</v>
      </c>
      <c r="BZ206" s="463">
        <f t="shared" si="276"/>
        <v>0</v>
      </c>
      <c r="CA206" s="57">
        <f t="shared" si="304"/>
        <v>0</v>
      </c>
      <c r="CB206" s="56">
        <f t="shared" si="277"/>
        <v>1</v>
      </c>
      <c r="CC206" s="756">
        <f>IF(EE206=0,0,IF(EF206=0,0,IF(EE206&gt;AA206,0,IF(AND(AZ206&gt;AW206,AW206&gt;0),0,IF(CU206=0,0,Summary!AC509)))))</f>
        <v>0</v>
      </c>
      <c r="CD206" s="756">
        <f>IF(EE206=0,0,IF(EF206=0,0,IF(EE206&gt;AA206,0,IF(AND(AZ206&gt;AW206,AW206&gt;0),0,IF(CU206=0,0,Summary!AD509)))))</f>
        <v>0</v>
      </c>
      <c r="CE206" s="756">
        <f>IF(EF206=0,0,IF(EE206&gt;AA206,0,IF(CC206=0,0,IF(AND(AZ206&gt;AW206,AW206&gt;0),0,IF(CU206=0,0,Summary!AE509)))))</f>
        <v>0</v>
      </c>
      <c r="CF206" s="475">
        <f t="shared" si="278"/>
        <v>0</v>
      </c>
      <c r="CG206" s="476">
        <f t="shared" si="246"/>
        <v>0</v>
      </c>
      <c r="CH206" s="487">
        <f t="shared" si="279"/>
        <v>0</v>
      </c>
      <c r="CI206" s="756">
        <f t="shared" si="280"/>
        <v>0</v>
      </c>
      <c r="CJ206" s="487">
        <f>IF(CT206&gt;0.4,0,IF(AND(AU206=2,CH206=0,CT206=0.5,ER206=100),35,IF(AND(AU206=3,BB206&gt;75,CH206=0,CT206=0.5,ER206=100),25,IF(CB206&gt;1,0,IF(EF206&gt;EE206,0,IF(AND(AF206&gt;1,CH206=100),0,IF(AND(AF206=1,AY206=0),0,IF(AND(EF206&lt;=EE206,AW206&gt;=AZ206,'Data Entry'!$C$74=1,AU206=2),VLOOKUP(W206,$DO$96:$DP$102,2,FALSE),IF(AND(EF206&lt;=EE206,AW206&gt;=AZ206,AU206=3,'Data Entry'!$C$74=1),VLOOKUP(W206,$DO$127:$DP$134,2,FALSE))))))))))</f>
        <v>0</v>
      </c>
      <c r="CK206" s="716">
        <f t="shared" si="281"/>
        <v>0</v>
      </c>
      <c r="CL206" s="57">
        <f t="shared" si="282"/>
        <v>0</v>
      </c>
      <c r="CM206" s="475">
        <f t="shared" ref="CM206:CM269" si="308">IF(AA206&lt;1,0,ROUND(AQ206-AR206,2))</f>
        <v>0</v>
      </c>
      <c r="CN206" s="660">
        <f>IF(CM206&lt;0.1,0,IF(ISNA(AT206),0,IF(CL206+BC206=1,0,IF(BV206&gt;0.01,0,IF(CL206&gt;0.01,0,IF(CF206=1,0,IF(BC206=0.5,0,IF(AND(CI206=1,AU206=3),0,IF(AND(CI206=5,CL206=0),0,IF(AND(R206=12,BR206=50),0,IF(CK206&gt;0.01,0,IF(AND(AJ206&gt;0.01,AU206=2,BC206=15),CM206*0.1,IF(AND(AJ206&gt;0.01,AU206=3,BC206=15),CM206*0.08,IF(AND(R206=12,BC206=3,AF206&lt;=0),0,IF(AND(BC206=15,BI206=0),0,IF(AND(BC206=15,BJ206=0),0,IF(AND(R206=20,CU206=0),0,IF($X$4=0,0,IF(AND(BC206=250,CL206=0),0,IF(AA206&lt;1,0,IF(AND(ISNUMBER(SEARCH("Area",T206)),AU206=3),0,IF(AND(AQ206&gt;0.01,AR206=0,BK206=0,BL206=0,BM206=0,BN206=0),0,IF(AND(AU206=3,CI206=7,CT206&gt;0.5),0,IF(AND(BC206=44,AU206=3,BY206=0),0,IF(AND(BC206=27,'Data Entry'!$C$74=2),0,IF(AND(BC206=28,'Data Entry'!$C$74=2),0,IF(AND(BY206+BZ206+CA206&gt;0.01,BV206=0,EQ206+ER206+ES206+ET206&lt;100),0,IF(AU206=3,CM206*0.08,IF(AU206=2,CM206*0.1,0)))))))))))))))))))))))))))))</f>
        <v>0</v>
      </c>
      <c r="CO206" s="660">
        <f t="shared" si="283"/>
        <v>0</v>
      </c>
      <c r="CP206" s="475" t="str">
        <f t="shared" si="284"/>
        <v/>
      </c>
      <c r="CQ206" s="161" t="str">
        <f>IF(AH206=0,0,IF(AU206=5,0,Summary!AC209))</f>
        <v/>
      </c>
      <c r="CR206" s="161" t="str">
        <f>IF(BF206=0.5,0,IF(AU206=5,0,Summary!AD209))</f>
        <v/>
      </c>
      <c r="CS206" s="161" t="str">
        <f>IF(AU206=5,0,Summary!AE209)</f>
        <v/>
      </c>
      <c r="CT206" s="161">
        <f t="shared" si="285"/>
        <v>0</v>
      </c>
      <c r="CU206" s="475" t="str">
        <f t="shared" si="286"/>
        <v/>
      </c>
      <c r="CV206" s="307">
        <f>IF('Data Entry'!$C$74=0,0,IF(AA206&lt;1,0,IF(ISERROR(CU206),0,IF(CF206=1,0,IF(AND(R206=12,BR206=50),0,IF(CL206+BO206+BV206+DC206=0,0,IF(BC206=37,0,IF(AND(BC206=40,AJ206=0),0,IF(AND(BC206=37,BO206&gt;0.01,BQ206&gt;0.01),ROUND(BQ206,0),IF(CM206&lt;0,0,ROUND(CM206,0)))))))))))</f>
        <v>0</v>
      </c>
      <c r="CW206" s="700">
        <f t="shared" si="287"/>
        <v>0</v>
      </c>
      <c r="CX206" s="477">
        <f>IF('Data Entry'!$C$74=0,0,IF(CV206&lt;0.01,0,IF(BF206=0.5,0,IF(CF206=1,0,IF(ISNUMBER(SEARCH("false",CL206)),0,IF(AZ206=500,0,CL206))))))</f>
        <v>0</v>
      </c>
      <c r="CY206" s="147" t="e">
        <f t="shared" si="288"/>
        <v>#VALUE!</v>
      </c>
      <c r="CZ206" s="147" t="b">
        <f>IF(CN206+CL206=0,FALSE,IF(AH206=0,0,IF(AND('Data Entry'!$C$74=1,CR206&gt;=1),TRUE,IF(AND('Data Entry'!$C$74=2,CS206&gt;=1),TRUE,FALSE))))</f>
        <v>0</v>
      </c>
      <c r="DA206" s="1751">
        <f>IF('Data Entry'!$C$74=0,0,IFERROR(ROUND(IF(T206="","",IF($X$4=0,0,IF(CF206=1,0,IF(BQ206+CV206=0,0,IF(CF206=1,0,IF(CY206&gt;0.01,CY206,IF(CL206&gt;0.01,CL206,IF(CY206&gt;0.01,CY206,IF(BC206=37,BO206,IF(CZ206=FALSE,0,IF(CZ206=TRUE,DC206+DF206,0))))))))))),2),""))</f>
        <v>0</v>
      </c>
      <c r="DB206" s="1752"/>
      <c r="DC206" s="474">
        <f>IF(CN206&lt;0.01,0,IF(AND(BR206=3,CN206&gt;0.01,CT206&gt;0.6,ER206+ES206+ET206&lt;100),0,IF(AND('Data Entry'!$C$74=1,CN206&gt;0.01,CR206&gt;0.99),MIN(CN206:CO206),IF(AND('Data Entry'!$C$74=2,CN206&gt;0.01,CS206&gt;0.99),MIN(CN206:CO206),0))))</f>
        <v>0</v>
      </c>
      <c r="DD206" s="478">
        <f>IF(CF206=1,"Selection does not match",IF(T206=0,0,IF(AND('Data Entry'!$C$74=0,CP206&gt;1),"Select Oregon or Idaho on Data Entry Tab",IF(AND(AU206=1,AA206&gt;0.9),"Missing Interior or Exterior Selection",IF($X$4=0,"Enter Total Project Cost",IF(AQ206&lt;AR206,"Insufficient kWh savings – no incentive",IF(AND(SUM(CL206+CK206+BV206)&gt;0.01,'Data Entry'!$C$74=2,CJ206&gt;1,BO206=0),"Submit Control as Non-Standard",IF(AND('Data Entry'!$C$74=2,BR206=37,CJ206&gt;1,BO206=0),"Submit Control as Non-Standard",IF(SUM(CL206+CK206+BV206)&gt;0.01,"Standard Incentive",IF(AND('Data Entry'!$C$74=2,CP206=7,CN206=0),"Submit as Non-Standard",IF(DC206&gt;0.9,"Non-Standard Incentive",IF(AND(BY206+BZ206+CA206&gt;0.01,BV206=0,EQ206=0,ER206=0,ES206=0,ET206=0),"Scroll Right &amp; Select Control Strategies",IF(AND(CN206&gt;0.01,CO206=0),"Enter Unit Installed Cost",IF(ISNUMBER(SEARCH("Lighting Controls Only",F206)),"Lighting Controls Only",IF(CL206+DC206=0,"Does not meet incentive criteria",0)))))))))))))))</f>
        <v>0</v>
      </c>
      <c r="DE206" s="337">
        <f t="shared" si="289"/>
        <v>0</v>
      </c>
      <c r="DF206" s="609">
        <f t="shared" si="290"/>
        <v>0</v>
      </c>
      <c r="DG206" s="336" t="str">
        <f t="shared" si="291"/>
        <v/>
      </c>
      <c r="DH206" s="338">
        <f t="shared" si="292"/>
        <v>1</v>
      </c>
      <c r="DI206" s="336" t="e">
        <f t="shared" si="247"/>
        <v>#VALUE!</v>
      </c>
      <c r="DJ206" s="1142">
        <f t="shared" si="248"/>
        <v>0</v>
      </c>
      <c r="DM206" s="1330" t="s">
        <v>1601</v>
      </c>
      <c r="DN206" s="1330">
        <f>'Data Entry'!AB57</f>
        <v>0</v>
      </c>
      <c r="DO206" s="376" t="s">
        <v>1569</v>
      </c>
      <c r="DP206" s="344"/>
      <c r="DQ206" s="1433" t="s">
        <v>1745</v>
      </c>
      <c r="DR206" s="610">
        <v>30</v>
      </c>
      <c r="DS206" s="1195">
        <f t="shared" si="293"/>
        <v>0</v>
      </c>
      <c r="DT206" s="344" t="b">
        <f t="shared" si="294"/>
        <v>1</v>
      </c>
      <c r="DU206" s="1314" t="str">
        <f t="array" ref="DU206">IF(OR(COUNTIF(F206,"*"&amp;$DK$9:$DK$178&amp;"*")), "Yes", "")</f>
        <v/>
      </c>
      <c r="DV206" s="1314">
        <f t="shared" si="295"/>
        <v>0</v>
      </c>
      <c r="DW206" s="1480">
        <f t="shared" si="296"/>
        <v>0</v>
      </c>
      <c r="DX206" s="1498">
        <f t="shared" si="305"/>
        <v>0</v>
      </c>
      <c r="DY206" s="1484">
        <f t="shared" si="297"/>
        <v>0</v>
      </c>
      <c r="DZ206" s="331"/>
      <c r="EA206" s="392"/>
      <c r="EB206" s="1499" t="s">
        <v>73</v>
      </c>
      <c r="EC206" s="727" t="s">
        <v>1569</v>
      </c>
      <c r="ED206" s="728">
        <v>0.5</v>
      </c>
      <c r="EE206" s="1215"/>
      <c r="EF206" s="1215"/>
      <c r="EG206" s="1184" t="str">
        <f t="shared" si="298"/>
        <v/>
      </c>
      <c r="EH206" s="81"/>
      <c r="EI206" s="81"/>
      <c r="EJ206" s="1185">
        <f t="shared" si="249"/>
        <v>0</v>
      </c>
      <c r="EK206" s="1211"/>
      <c r="EL206" s="1180">
        <f t="shared" si="250"/>
        <v>0</v>
      </c>
      <c r="EM206" s="206"/>
      <c r="EN206" s="1038"/>
      <c r="EO206" s="1038"/>
      <c r="EP206" s="1038"/>
      <c r="EQ206" s="1038">
        <f t="shared" si="299"/>
        <v>0</v>
      </c>
      <c r="ER206" s="1041">
        <f t="shared" si="300"/>
        <v>0</v>
      </c>
      <c r="ES206" s="1042">
        <f t="shared" si="301"/>
        <v>0</v>
      </c>
      <c r="ET206" s="1042">
        <f t="shared" si="306"/>
        <v>0</v>
      </c>
      <c r="EU206" s="1021">
        <f t="shared" si="307"/>
        <v>0</v>
      </c>
      <c r="EV206" s="368"/>
      <c r="EW206" s="368"/>
      <c r="EX206" s="369"/>
      <c r="EY206" s="370"/>
      <c r="EZ206" s="370"/>
      <c r="FA206" s="371"/>
      <c r="FB206" s="372"/>
    </row>
    <row r="207" spans="1:158" ht="34.5" customHeight="1">
      <c r="A207" s="82">
        <v>199</v>
      </c>
      <c r="B207" s="1806"/>
      <c r="C207" s="1807"/>
      <c r="D207" s="1807"/>
      <c r="E207" s="1808"/>
      <c r="F207" s="1809"/>
      <c r="G207" s="1810"/>
      <c r="H207" s="1810"/>
      <c r="I207" s="1811"/>
      <c r="J207" s="1301"/>
      <c r="K207" s="1814"/>
      <c r="L207" s="1814"/>
      <c r="M207" s="1017"/>
      <c r="N207" s="1584"/>
      <c r="O207" s="208" t="str">
        <f t="shared" si="237"/>
        <v/>
      </c>
      <c r="P207" s="785"/>
      <c r="Q207" s="39" t="str">
        <f t="shared" si="238"/>
        <v/>
      </c>
      <c r="R207" s="39">
        <f t="shared" si="251"/>
        <v>0</v>
      </c>
      <c r="S207" s="234">
        <f t="shared" si="252"/>
        <v>0</v>
      </c>
      <c r="T207" s="1815"/>
      <c r="U207" s="1815"/>
      <c r="V207" s="1815"/>
      <c r="W207" s="1121"/>
      <c r="X207" s="1812"/>
      <c r="Y207" s="1813"/>
      <c r="Z207" s="703"/>
      <c r="AA207" s="1280"/>
      <c r="AB207" s="1141"/>
      <c r="AC207" s="1103" t="str">
        <f>IF(T207="","",VLOOKUP(Z207,Lists!$A$60:$B$111,2,FALSE))</f>
        <v/>
      </c>
      <c r="AD207" s="130" t="str">
        <f t="shared" si="253"/>
        <v/>
      </c>
      <c r="AE207" s="130" t="e">
        <f t="shared" si="254"/>
        <v>#VALUE!</v>
      </c>
      <c r="AF207" s="130">
        <f t="shared" si="255"/>
        <v>1</v>
      </c>
      <c r="AG207" s="234">
        <f t="shared" si="239"/>
        <v>0</v>
      </c>
      <c r="AH207" s="1753" t="str">
        <f>IF(T207="","",(IF(ISNUMBER(SEARCH("exit",T207)),8760,IF(AND(M207="Dusk to Dawn",'Proposed Lighting'!AU207=3),4059,IF(AND(AU207=3,M207="1"),0,IF(AND(AU207=3,M207="1-C"),0,IF(AND(AU207=3,M207="2"),0,IF(AND(AU207=3,M207="2-C"),0,IF(AND(AU207=3,M207="3"),0,IF(AND(AU207=3,M207="3-C"),0,IF(AND(AU207=2,M207="Dusk to Dawn"),0,IF(AND(AU207=2,M207="Dusk to Dawn-C"),0,IF(AND(AU207=2,M207="Dusk to Dawn"),0,IF(AND(AU207=2,M207="E"),0,IF(AND(AU207=2,M207="E-C"),0,EG207)))))))))))))))</f>
        <v/>
      </c>
      <c r="AI207" s="1754"/>
      <c r="AJ207" s="1136"/>
      <c r="AK207" s="1136"/>
      <c r="AL207" s="1748">
        <f t="shared" si="256"/>
        <v>0</v>
      </c>
      <c r="AM207" s="1749"/>
      <c r="AN207" s="1750"/>
      <c r="AO207" s="476">
        <f t="shared" si="240"/>
        <v>0</v>
      </c>
      <c r="AP207" s="476">
        <f t="shared" si="257"/>
        <v>0</v>
      </c>
      <c r="AQ207" s="475">
        <f t="shared" si="241"/>
        <v>0</v>
      </c>
      <c r="AR207" s="475">
        <f t="shared" si="258"/>
        <v>0</v>
      </c>
      <c r="AS207" s="743" t="str">
        <f t="shared" si="233"/>
        <v/>
      </c>
      <c r="AT207" s="736" t="str">
        <f t="shared" si="259"/>
        <v/>
      </c>
      <c r="AU207" s="56">
        <f t="shared" si="260"/>
        <v>1</v>
      </c>
      <c r="AV207" s="476">
        <f t="shared" si="261"/>
        <v>0</v>
      </c>
      <c r="AW207" s="56">
        <f t="shared" si="262"/>
        <v>0</v>
      </c>
      <c r="AX207" s="475">
        <f t="shared" si="242"/>
        <v>0</v>
      </c>
      <c r="AY207" s="1169">
        <f t="shared" si="263"/>
        <v>0</v>
      </c>
      <c r="AZ207" s="1150">
        <f t="shared" si="302"/>
        <v>0</v>
      </c>
      <c r="BA207" s="56">
        <f t="shared" si="243"/>
        <v>0</v>
      </c>
      <c r="BB207" s="420">
        <f t="shared" si="244"/>
        <v>0</v>
      </c>
      <c r="BC207" s="58" t="str">
        <f t="shared" si="245"/>
        <v/>
      </c>
      <c r="BD207" s="660">
        <f t="shared" si="303"/>
        <v>0</v>
      </c>
      <c r="BE207" s="57" t="e">
        <f t="array" ref="BE207">INDEX($EB$11:$ED$1022,MATCH(F207&amp;T207,$EB$11:$EB$1007&amp;$EC$11:$EC$1007,0),3)</f>
        <v>#N/A</v>
      </c>
      <c r="BF207" s="463">
        <f t="shared" si="234"/>
        <v>0</v>
      </c>
      <c r="BG207" s="1445" t="e">
        <f t="array" ref="BG207">INDEX($DO$112:$DQ$123,MATCH(T207&amp;W207,$DO$114:$DO$125&amp;$DP$112:$DP$123,0),3)</f>
        <v>#N/A</v>
      </c>
      <c r="BH207" s="1446">
        <f t="shared" si="264"/>
        <v>0</v>
      </c>
      <c r="BI207" s="465">
        <f t="shared" si="265"/>
        <v>0</v>
      </c>
      <c r="BJ207" s="465">
        <f t="shared" si="266"/>
        <v>0</v>
      </c>
      <c r="BK207" s="466">
        <f t="shared" si="235"/>
        <v>0</v>
      </c>
      <c r="BL207" s="466">
        <f t="shared" si="236"/>
        <v>0</v>
      </c>
      <c r="BM207" s="466">
        <f t="shared" si="267"/>
        <v>0</v>
      </c>
      <c r="BN207" s="466">
        <f t="shared" si="268"/>
        <v>0</v>
      </c>
      <c r="BO207" s="463">
        <f>IF('Data Entry'!$C$74=0,0,IF(ISNA(CJ207),0,IF(AX207=0,0,IF(AND('Data Entry'!$C$74=2,AF207&gt;2,CE207&lt;1),0,IF(AND('Data Entry'!$C$74=2,AF207&gt;1,AU207=2,CJ207&gt;1),0,IF(AND(AF207=5,CT207=0.5,AU207=2,ER207&lt;100),0,IF(AND(AF207=5,CT207=0.5,AU207=3,ER207&lt;100),0,IF(AND('Data Entry'!$C$74=2,AF207=2,AU207=2,AK207&gt;0.01,CB207=2,CE207&lt;1),0,IF(AND('Data Entry'!$C$74=2,AF207=3,AU207=3,AK207&gt;0.01,CB207=3,CE207&lt;1),0,IF(AND('Data Entry'!$C$74=2,AF207=3,AU207=3,AK207&gt;0.01,CB207=3,CE207&gt;0.99),BQ207*0.08,IF(AND('Data Entry'!$C$74=2,AF207=2,AU207=2,AK207&gt;0.01,CB207=2,CE207&gt;0.99),BQ207*0.1,IF(AND(AU207=2,AK207&gt;0.01,CB207=2,CD207&gt;1),BQ207*0.1,IF(AND(AU207=3,AK207&gt;0.01,CB207=3,CD207&gt;1),BQ207*0.08,CJ207*EF207)))))))))))))</f>
        <v>0</v>
      </c>
      <c r="BP207" s="475">
        <f t="shared" si="269"/>
        <v>0</v>
      </c>
      <c r="BQ207" s="1431">
        <f>IF(AU207=1,0,IF(CH207=100,0,IF(AND(AF207=3,AU207=2),0,IF(AND(BH207=0,CT207&gt;0.4),0,IF(AND('Data Entry'!$C$74=2,AF207=1.5),0,IF(AND('Data Entry'!$C$74=2,AF207=1.6),0,IF(AND('Data Entry'!$C$74=2,AF207=4),0,IF(AND('Data Entry'!$C$74=2,AF207=5),0,IF(AND('Data Entry'!$C$74=2,AF207=2.5,CE207&lt;1),0,IF(AND('Data Entry'!$C$74=2,AF207=3,CE207&lt;1),0,IF(AND('Data Entry'!$C$74=1,AF207=2.5,CD207&lt;1),0,IF(AND('Data Entry'!$C$74=1,AF207=3,CD207&lt;1),0,IF(DX207&gt;0.01,DX207,IF(ISERROR(AX207-AY207),"",ROUND(AX207-AY207,2)))))))))))))))</f>
        <v>0</v>
      </c>
      <c r="BR207" s="146">
        <f t="shared" si="270"/>
        <v>0</v>
      </c>
      <c r="BS207" s="475">
        <f t="shared" si="271"/>
        <v>0</v>
      </c>
      <c r="BT207" s="146" t="b">
        <f t="shared" si="272"/>
        <v>0</v>
      </c>
      <c r="BU207" s="463">
        <f>IF(ISNA(AT207),0,IF(AND('Data Entry'!$C$74=2,BC207=27),0,IF(AND('Data Entry'!$C$74=2,BC207=28),0,IF(AND(BC207=27,BT207=27,CM207&gt;0.1),CM207*0.15,IF(AND(BC207=28,BT207=28,CM207&gt;0.1),CM207*0.12,0)))))</f>
        <v>0</v>
      </c>
      <c r="BV207" s="463">
        <f t="shared" si="232"/>
        <v>0</v>
      </c>
      <c r="BW207" s="463">
        <f t="shared" si="273"/>
        <v>0</v>
      </c>
      <c r="BX207" s="463">
        <f t="shared" si="274"/>
        <v>0</v>
      </c>
      <c r="BY207" s="463">
        <f t="shared" si="275"/>
        <v>0</v>
      </c>
      <c r="BZ207" s="463">
        <f t="shared" si="276"/>
        <v>0</v>
      </c>
      <c r="CA207" s="57">
        <f t="shared" si="304"/>
        <v>0</v>
      </c>
      <c r="CB207" s="56">
        <f t="shared" si="277"/>
        <v>1</v>
      </c>
      <c r="CC207" s="756">
        <f>IF(EE207=0,0,IF(EF207=0,0,IF(EE207&gt;AA207,0,IF(AND(AZ207&gt;AW207,AW207&gt;0),0,IF(CU207=0,0,Summary!AC510)))))</f>
        <v>0</v>
      </c>
      <c r="CD207" s="756">
        <f>IF(EE207=0,0,IF(EF207=0,0,IF(EE207&gt;AA207,0,IF(AND(AZ207&gt;AW207,AW207&gt;0),0,IF(CU207=0,0,Summary!AD510)))))</f>
        <v>0</v>
      </c>
      <c r="CE207" s="756">
        <f>IF(EF207=0,0,IF(EE207&gt;AA207,0,IF(CC207=0,0,IF(AND(AZ207&gt;AW207,AW207&gt;0),0,IF(CU207=0,0,Summary!AE510)))))</f>
        <v>0</v>
      </c>
      <c r="CF207" s="475">
        <f t="shared" si="278"/>
        <v>0</v>
      </c>
      <c r="CG207" s="476">
        <f t="shared" si="246"/>
        <v>0</v>
      </c>
      <c r="CH207" s="487">
        <f t="shared" si="279"/>
        <v>0</v>
      </c>
      <c r="CI207" s="756">
        <f t="shared" si="280"/>
        <v>0</v>
      </c>
      <c r="CJ207" s="487">
        <f>IF(CT207&gt;0.4,0,IF(AND(AU207=2,CH207=0,CT207=0.5,ER207=100),35,IF(AND(AU207=3,BB207&gt;75,CH207=0,CT207=0.5,ER207=100),25,IF(CB207&gt;1,0,IF(EF207&gt;EE207,0,IF(AND(AF207&gt;1,CH207=100),0,IF(AND(AF207=1,AY207=0),0,IF(AND(EF207&lt;=EE207,AW207&gt;=AZ207,'Data Entry'!$C$74=1,AU207=2),VLOOKUP(W207,$DO$96:$DP$102,2,FALSE),IF(AND(EF207&lt;=EE207,AW207&gt;=AZ207,AU207=3,'Data Entry'!$C$74=1),VLOOKUP(W207,$DO$127:$DP$134,2,FALSE))))))))))</f>
        <v>0</v>
      </c>
      <c r="CK207" s="716">
        <f t="shared" si="281"/>
        <v>0</v>
      </c>
      <c r="CL207" s="57">
        <f t="shared" si="282"/>
        <v>0</v>
      </c>
      <c r="CM207" s="475">
        <f t="shared" si="308"/>
        <v>0</v>
      </c>
      <c r="CN207" s="660">
        <f>IF(CM207&lt;0.1,0,IF(ISNA(AT207),0,IF(CL207+BC207=1,0,IF(BV207&gt;0.01,0,IF(CL207&gt;0.01,0,IF(CF207=1,0,IF(BC207=0.5,0,IF(AND(CI207=1,AU207=3),0,IF(AND(CI207=5,CL207=0),0,IF(AND(R207=12,BR207=50),0,IF(CK207&gt;0.01,0,IF(AND(AJ207&gt;0.01,AU207=2,BC207=15),CM207*0.1,IF(AND(AJ207&gt;0.01,AU207=3,BC207=15),CM207*0.08,IF(AND(R207=12,BC207=3,AF207&lt;=0),0,IF(AND(BC207=15,BI207=0),0,IF(AND(BC207=15,BJ207=0),0,IF(AND(R207=20,CU207=0),0,IF($X$4=0,0,IF(AND(BC207=250,CL207=0),0,IF(AA207&lt;1,0,IF(AND(ISNUMBER(SEARCH("Area",T207)),AU207=3),0,IF(AND(AQ207&gt;0.01,AR207=0,BK207=0,BL207=0,BM207=0,BN207=0),0,IF(AND(AU207=3,CI207=7,CT207&gt;0.5),0,IF(AND(BC207=44,AU207=3,BY207=0),0,IF(AND(BC207=27,'Data Entry'!$C$74=2),0,IF(AND(BC207=28,'Data Entry'!$C$74=2),0,IF(AND(BY207+BZ207+CA207&gt;0.01,BV207=0,EQ207+ER207+ES207+ET207&lt;100),0,IF(AU207=3,CM207*0.08,IF(AU207=2,CM207*0.1,0)))))))))))))))))))))))))))))</f>
        <v>0</v>
      </c>
      <c r="CO207" s="660">
        <f t="shared" si="283"/>
        <v>0</v>
      </c>
      <c r="CP207" s="475" t="str">
        <f t="shared" si="284"/>
        <v/>
      </c>
      <c r="CQ207" s="161" t="str">
        <f>IF(AH207=0,0,IF(AU207=5,0,Summary!AC210))</f>
        <v/>
      </c>
      <c r="CR207" s="161" t="str">
        <f>IF(BF207=0.5,0,IF(AU207=5,0,Summary!AD210))</f>
        <v/>
      </c>
      <c r="CS207" s="161" t="str">
        <f>IF(AU207=5,0,Summary!AE210)</f>
        <v/>
      </c>
      <c r="CT207" s="161">
        <f t="shared" si="285"/>
        <v>0</v>
      </c>
      <c r="CU207" s="475" t="str">
        <f t="shared" si="286"/>
        <v/>
      </c>
      <c r="CV207" s="307">
        <f>IF('Data Entry'!$C$74=0,0,IF(AA207&lt;1,0,IF(ISERROR(CU207),0,IF(CF207=1,0,IF(AND(R207=12,BR207=50),0,IF(CL207+BO207+BV207+DC207=0,0,IF(BC207=37,0,IF(AND(BC207=40,AJ207=0),0,IF(AND(BC207=37,BO207&gt;0.01,BQ207&gt;0.01),ROUND(BQ207,0),IF(CM207&lt;0,0,ROUND(CM207,0)))))))))))</f>
        <v>0</v>
      </c>
      <c r="CW207" s="700">
        <f t="shared" si="287"/>
        <v>0</v>
      </c>
      <c r="CX207" s="477">
        <f>IF('Data Entry'!$C$74=0,0,IF(CV207&lt;0.01,0,IF(BF207=0.5,0,IF(CF207=1,0,IF(ISNUMBER(SEARCH("false",CL207)),0,IF(AZ207=500,0,CL207))))))</f>
        <v>0</v>
      </c>
      <c r="CY207" s="147" t="e">
        <f t="shared" si="288"/>
        <v>#VALUE!</v>
      </c>
      <c r="CZ207" s="147" t="b">
        <f>IF(CN207+CL207=0,FALSE,IF(AH207=0,0,IF(AND('Data Entry'!$C$74=1,CR207&gt;=1),TRUE,IF(AND('Data Entry'!$C$74=2,CS207&gt;=1),TRUE,FALSE))))</f>
        <v>0</v>
      </c>
      <c r="DA207" s="1751">
        <f>IF('Data Entry'!$C$74=0,0,IFERROR(ROUND(IF(T207="","",IF($X$4=0,0,IF(CF207=1,0,IF(BQ207+CV207=0,0,IF(CF207=1,0,IF(CY207&gt;0.01,CY207,IF(CL207&gt;0.01,CL207,IF(CY207&gt;0.01,CY207,IF(BC207=37,BO207,IF(CZ207=FALSE,0,IF(CZ207=TRUE,DC207+DF207,0))))))))))),2),""))</f>
        <v>0</v>
      </c>
      <c r="DB207" s="1752"/>
      <c r="DC207" s="474">
        <f>IF(CN207&lt;0.01,0,IF(AND(BR207=3,CN207&gt;0.01,CT207&gt;0.6,ER207+ES207+ET207&lt;100),0,IF(AND('Data Entry'!$C$74=1,CN207&gt;0.01,CR207&gt;0.99),MIN(CN207:CO207),IF(AND('Data Entry'!$C$74=2,CN207&gt;0.01,CS207&gt;0.99),MIN(CN207:CO207),0))))</f>
        <v>0</v>
      </c>
      <c r="DD207" s="478">
        <f>IF(CF207=1,"Selection does not match",IF(T207=0,0,IF(AND('Data Entry'!$C$74=0,CP207&gt;1),"Select Oregon or Idaho on Data Entry Tab",IF(AND(AU207=1,AA207&gt;0.9),"Missing Interior or Exterior Selection",IF($X$4=0,"Enter Total Project Cost",IF(AQ207&lt;AR207,"Insufficient kWh savings – no incentive",IF(AND(SUM(CL207+CK207+BV207)&gt;0.01,'Data Entry'!$C$74=2,CJ207&gt;1,BO207=0),"Submit Control as Non-Standard",IF(AND('Data Entry'!$C$74=2,BR207=37,CJ207&gt;1,BO207=0),"Submit Control as Non-Standard",IF(SUM(CL207+CK207+BV207)&gt;0.01,"Standard Incentive",IF(AND('Data Entry'!$C$74=2,CP207=7,CN207=0),"Submit as Non-Standard",IF(DC207&gt;0.9,"Non-Standard Incentive",IF(AND(BY207+BZ207+CA207&gt;0.01,BV207=0,EQ207=0,ER207=0,ES207=0,ET207=0),"Scroll Right &amp; Select Control Strategies",IF(AND(CN207&gt;0.01,CO207=0),"Enter Unit Installed Cost",IF(ISNUMBER(SEARCH("Lighting Controls Only",F207)),"Lighting Controls Only",IF(CL207+DC207=0,"Does not meet incentive criteria",0)))))))))))))))</f>
        <v>0</v>
      </c>
      <c r="DE207" s="337">
        <f t="shared" si="289"/>
        <v>0</v>
      </c>
      <c r="DF207" s="609">
        <f t="shared" si="290"/>
        <v>0</v>
      </c>
      <c r="DG207" s="336" t="str">
        <f t="shared" si="291"/>
        <v/>
      </c>
      <c r="DH207" s="338">
        <f t="shared" si="292"/>
        <v>1</v>
      </c>
      <c r="DI207" s="336" t="e">
        <f t="shared" si="247"/>
        <v>#VALUE!</v>
      </c>
      <c r="DJ207" s="338">
        <f t="shared" si="248"/>
        <v>0</v>
      </c>
      <c r="DM207" s="1330" t="s">
        <v>1602</v>
      </c>
      <c r="DN207" s="1330">
        <f>'Data Entry'!AB57</f>
        <v>0</v>
      </c>
      <c r="DO207" s="409" t="s">
        <v>73</v>
      </c>
      <c r="DP207" s="408"/>
      <c r="DQ207" s="1433" t="s">
        <v>1761</v>
      </c>
      <c r="DR207" s="610">
        <v>21</v>
      </c>
      <c r="DS207" s="1195">
        <f t="shared" si="293"/>
        <v>0</v>
      </c>
      <c r="DT207" s="344" t="b">
        <f t="shared" si="294"/>
        <v>1</v>
      </c>
      <c r="DU207" s="1314" t="str">
        <f t="array" ref="DU207">IF(OR(COUNTIF(F207,"*"&amp;$DK$9:$DK$178&amp;"*")), "Yes", "")</f>
        <v/>
      </c>
      <c r="DV207" s="1314">
        <f t="shared" si="295"/>
        <v>0</v>
      </c>
      <c r="DW207" s="1480">
        <f t="shared" si="296"/>
        <v>0</v>
      </c>
      <c r="DX207" s="1498">
        <f t="shared" si="305"/>
        <v>0</v>
      </c>
      <c r="DY207" s="1484">
        <f t="shared" si="297"/>
        <v>0</v>
      </c>
      <c r="DZ207" s="331"/>
      <c r="EA207" s="392"/>
      <c r="EB207" s="1499" t="s">
        <v>472</v>
      </c>
      <c r="EC207" s="727" t="s">
        <v>1569</v>
      </c>
      <c r="ED207" s="728">
        <v>0.5</v>
      </c>
      <c r="EE207" s="1215"/>
      <c r="EF207" s="1215"/>
      <c r="EG207" s="1184" t="str">
        <f t="shared" si="298"/>
        <v/>
      </c>
      <c r="EH207" s="81"/>
      <c r="EI207" s="81"/>
      <c r="EJ207" s="1185">
        <f t="shared" si="249"/>
        <v>0</v>
      </c>
      <c r="EK207" s="1211"/>
      <c r="EL207" s="1180">
        <f t="shared" si="250"/>
        <v>0</v>
      </c>
      <c r="EM207" s="206"/>
      <c r="EN207" s="1038"/>
      <c r="EO207" s="1038"/>
      <c r="EP207" s="1038"/>
      <c r="EQ207" s="1038">
        <f t="shared" si="299"/>
        <v>0</v>
      </c>
      <c r="ER207" s="1041">
        <f t="shared" si="300"/>
        <v>0</v>
      </c>
      <c r="ES207" s="1042">
        <f t="shared" si="301"/>
        <v>0</v>
      </c>
      <c r="ET207" s="1042">
        <f t="shared" si="306"/>
        <v>0</v>
      </c>
      <c r="EU207" s="1021">
        <f t="shared" si="307"/>
        <v>0</v>
      </c>
      <c r="EV207" s="368"/>
      <c r="EW207" s="368"/>
      <c r="EX207" s="369"/>
      <c r="EY207" s="370"/>
      <c r="EZ207" s="370"/>
      <c r="FA207" s="371"/>
      <c r="FB207" s="372"/>
    </row>
    <row r="208" spans="1:158" ht="34.5" customHeight="1">
      <c r="A208" s="82">
        <v>200</v>
      </c>
      <c r="B208" s="1806"/>
      <c r="C208" s="1807"/>
      <c r="D208" s="1807"/>
      <c r="E208" s="1808"/>
      <c r="F208" s="1809"/>
      <c r="G208" s="1810"/>
      <c r="H208" s="1810"/>
      <c r="I208" s="1811"/>
      <c r="J208" s="1301"/>
      <c r="K208" s="1814"/>
      <c r="L208" s="1814"/>
      <c r="M208" s="1017"/>
      <c r="N208" s="1584"/>
      <c r="O208" s="208" t="str">
        <f t="shared" si="237"/>
        <v/>
      </c>
      <c r="P208" s="785"/>
      <c r="Q208" s="39" t="str">
        <f t="shared" si="238"/>
        <v/>
      </c>
      <c r="R208" s="39">
        <f t="shared" si="251"/>
        <v>0</v>
      </c>
      <c r="S208" s="234">
        <f t="shared" si="252"/>
        <v>0</v>
      </c>
      <c r="T208" s="1815"/>
      <c r="U208" s="1815"/>
      <c r="V208" s="1815"/>
      <c r="W208" s="1121"/>
      <c r="X208" s="1812"/>
      <c r="Y208" s="1813"/>
      <c r="Z208" s="703"/>
      <c r="AA208" s="1280"/>
      <c r="AB208" s="1141"/>
      <c r="AC208" s="1103" t="str">
        <f>IF(T208="","",VLOOKUP(Z208,Lists!$A$60:$B$111,2,FALSE))</f>
        <v/>
      </c>
      <c r="AD208" s="130" t="str">
        <f t="shared" si="253"/>
        <v/>
      </c>
      <c r="AE208" s="130" t="e">
        <f t="shared" si="254"/>
        <v>#VALUE!</v>
      </c>
      <c r="AF208" s="130">
        <f t="shared" si="255"/>
        <v>1</v>
      </c>
      <c r="AG208" s="234">
        <f t="shared" si="239"/>
        <v>0</v>
      </c>
      <c r="AH208" s="1753" t="str">
        <f>IF(T208="","",(IF(ISNUMBER(SEARCH("exit",T208)),8760,IF(AND(M208="Dusk to Dawn",'Proposed Lighting'!AU208=3),4059,IF(AND(AU208=3,M208="1"),0,IF(AND(AU208=3,M208="1-C"),0,IF(AND(AU208=3,M208="2"),0,IF(AND(AU208=3,M208="2-C"),0,IF(AND(AU208=3,M208="3"),0,IF(AND(AU208=3,M208="3-C"),0,IF(AND(AU208=2,M208="Dusk to Dawn"),0,IF(AND(AU208=2,M208="Dusk to Dawn-C"),0,IF(AND(AU208=2,M208="Dusk to Dawn"),0,IF(AND(AU208=2,M208="E"),0,IF(AND(AU208=2,M208="E-C"),0,EG208)))))))))))))))</f>
        <v/>
      </c>
      <c r="AI208" s="1754"/>
      <c r="AJ208" s="1136"/>
      <c r="AK208" s="1136"/>
      <c r="AL208" s="1748">
        <f t="shared" si="256"/>
        <v>0</v>
      </c>
      <c r="AM208" s="1749"/>
      <c r="AN208" s="1750"/>
      <c r="AO208" s="476">
        <f t="shared" si="240"/>
        <v>0</v>
      </c>
      <c r="AP208" s="476">
        <f t="shared" si="257"/>
        <v>0</v>
      </c>
      <c r="AQ208" s="475">
        <f t="shared" si="241"/>
        <v>0</v>
      </c>
      <c r="AR208" s="475">
        <f t="shared" si="258"/>
        <v>0</v>
      </c>
      <c r="AS208" s="743" t="str">
        <f t="shared" si="233"/>
        <v/>
      </c>
      <c r="AT208" s="736" t="str">
        <f t="shared" si="259"/>
        <v/>
      </c>
      <c r="AU208" s="56">
        <f t="shared" si="260"/>
        <v>1</v>
      </c>
      <c r="AV208" s="476">
        <f t="shared" si="261"/>
        <v>0</v>
      </c>
      <c r="AW208" s="56">
        <f t="shared" si="262"/>
        <v>0</v>
      </c>
      <c r="AX208" s="475">
        <f t="shared" si="242"/>
        <v>0</v>
      </c>
      <c r="AY208" s="1169">
        <f t="shared" si="263"/>
        <v>0</v>
      </c>
      <c r="AZ208" s="1150">
        <f t="shared" si="302"/>
        <v>0</v>
      </c>
      <c r="BA208" s="56">
        <f t="shared" si="243"/>
        <v>0</v>
      </c>
      <c r="BB208" s="420">
        <f t="shared" si="244"/>
        <v>0</v>
      </c>
      <c r="BC208" s="58" t="str">
        <f t="shared" si="245"/>
        <v/>
      </c>
      <c r="BD208" s="660">
        <f t="shared" si="303"/>
        <v>0</v>
      </c>
      <c r="BE208" s="57" t="e">
        <f t="array" ref="BE208">INDEX($EB$11:$ED$1022,MATCH(F208&amp;T208,$EB$11:$EB$1007&amp;$EC$11:$EC$1007,0),3)</f>
        <v>#N/A</v>
      </c>
      <c r="BF208" s="463">
        <f t="shared" si="234"/>
        <v>0</v>
      </c>
      <c r="BG208" s="1445" t="e">
        <f t="array" ref="BG208">INDEX($DO$112:$DQ$123,MATCH(T208&amp;W208,$DO$114:$DO$125&amp;$DP$112:$DP$123,0),3)</f>
        <v>#N/A</v>
      </c>
      <c r="BH208" s="1446">
        <f t="shared" si="264"/>
        <v>0</v>
      </c>
      <c r="BI208" s="465">
        <f t="shared" si="265"/>
        <v>0</v>
      </c>
      <c r="BJ208" s="465">
        <f t="shared" si="266"/>
        <v>0</v>
      </c>
      <c r="BK208" s="466">
        <f t="shared" si="235"/>
        <v>0</v>
      </c>
      <c r="BL208" s="466">
        <f t="shared" si="236"/>
        <v>0</v>
      </c>
      <c r="BM208" s="466">
        <f t="shared" si="267"/>
        <v>0</v>
      </c>
      <c r="BN208" s="466">
        <f t="shared" si="268"/>
        <v>0</v>
      </c>
      <c r="BO208" s="463">
        <f>IF('Data Entry'!$C$74=0,0,IF(ISNA(CJ208),0,IF(AX208=0,0,IF(AND('Data Entry'!$C$74=2,AF208&gt;2,CE208&lt;1),0,IF(AND('Data Entry'!$C$74=2,AF208&gt;1,AU208=2,CJ208&gt;1),0,IF(AND(AF208=5,CT208=0.5,AU208=2,ER208&lt;100),0,IF(AND(AF208=5,CT208=0.5,AU208=3,ER208&lt;100),0,IF(AND('Data Entry'!$C$74=2,AF208=2,AU208=2,AK208&gt;0.01,CB208=2,CE208&lt;1),0,IF(AND('Data Entry'!$C$74=2,AF208=3,AU208=3,AK208&gt;0.01,CB208=3,CE208&lt;1),0,IF(AND('Data Entry'!$C$74=2,AF208=3,AU208=3,AK208&gt;0.01,CB208=3,CE208&gt;0.99),BQ208*0.08,IF(AND('Data Entry'!$C$74=2,AF208=2,AU208=2,AK208&gt;0.01,CB208=2,CE208&gt;0.99),BQ208*0.1,IF(AND(AU208=2,AK208&gt;0.01,CB208=2,CD208&gt;1),BQ208*0.1,IF(AND(AU208=3,AK208&gt;0.01,CB208=3,CD208&gt;1),BQ208*0.08,CJ208*EF208)))))))))))))</f>
        <v>0</v>
      </c>
      <c r="BP208" s="475">
        <f t="shared" si="269"/>
        <v>0</v>
      </c>
      <c r="BQ208" s="1431">
        <f>IF(AU208=1,0,IF(CH208=100,0,IF(AND(AF208=3,AU208=2),0,IF(AND(BH208=0,CT208&gt;0.4),0,IF(AND('Data Entry'!$C$74=2,AF208=1.5),0,IF(AND('Data Entry'!$C$74=2,AF208=1.6),0,IF(AND('Data Entry'!$C$74=2,AF208=4),0,IF(AND('Data Entry'!$C$74=2,AF208=5),0,IF(AND('Data Entry'!$C$74=2,AF208=2.5,CE208&lt;1),0,IF(AND('Data Entry'!$C$74=2,AF208=3,CE208&lt;1),0,IF(AND('Data Entry'!$C$74=1,AF208=2.5,CD208&lt;1),0,IF(AND('Data Entry'!$C$74=1,AF208=3,CD208&lt;1),0,IF(DX208&gt;0.01,DX208,IF(ISERROR(AX208-AY208),"",ROUND(AX208-AY208,2)))))))))))))))</f>
        <v>0</v>
      </c>
      <c r="BR208" s="146">
        <f t="shared" si="270"/>
        <v>0</v>
      </c>
      <c r="BS208" s="475">
        <f t="shared" si="271"/>
        <v>0</v>
      </c>
      <c r="BT208" s="146" t="b">
        <f t="shared" si="272"/>
        <v>0</v>
      </c>
      <c r="BU208" s="463">
        <f>IF(ISNA(AT208),0,IF(AND('Data Entry'!$C$74=2,BC208=27),0,IF(AND('Data Entry'!$C$74=2,BC208=28),0,IF(AND(BC208=27,BT208=27,CM208&gt;0.1),CM208*0.15,IF(AND(BC208=28,BT208=28,CM208&gt;0.1),CM208*0.12,0)))))</f>
        <v>0</v>
      </c>
      <c r="BV208" s="463">
        <f t="shared" si="232"/>
        <v>0</v>
      </c>
      <c r="BW208" s="463">
        <f t="shared" si="273"/>
        <v>0</v>
      </c>
      <c r="BX208" s="463">
        <f t="shared" si="274"/>
        <v>0</v>
      </c>
      <c r="BY208" s="463">
        <f t="shared" si="275"/>
        <v>0</v>
      </c>
      <c r="BZ208" s="463">
        <f t="shared" si="276"/>
        <v>0</v>
      </c>
      <c r="CA208" s="57">
        <f t="shared" si="304"/>
        <v>0</v>
      </c>
      <c r="CB208" s="56">
        <f t="shared" si="277"/>
        <v>1</v>
      </c>
      <c r="CC208" s="756">
        <f>IF(EE208=0,0,IF(EF208=0,0,IF(EE208&gt;AA208,0,IF(AND(AZ208&gt;AW208,AW208&gt;0),0,IF(CU208=0,0,Summary!AC511)))))</f>
        <v>0</v>
      </c>
      <c r="CD208" s="756">
        <f>IF(EE208=0,0,IF(EF208=0,0,IF(EE208&gt;AA208,0,IF(AND(AZ208&gt;AW208,AW208&gt;0),0,IF(CU208=0,0,Summary!AD511)))))</f>
        <v>0</v>
      </c>
      <c r="CE208" s="756">
        <f>IF(EF208=0,0,IF(EE208&gt;AA208,0,IF(CC208=0,0,IF(AND(AZ208&gt;AW208,AW208&gt;0),0,IF(CU208=0,0,Summary!AE511)))))</f>
        <v>0</v>
      </c>
      <c r="CF208" s="475">
        <f t="shared" si="278"/>
        <v>0</v>
      </c>
      <c r="CG208" s="476">
        <f t="shared" si="246"/>
        <v>0</v>
      </c>
      <c r="CH208" s="487">
        <f t="shared" si="279"/>
        <v>0</v>
      </c>
      <c r="CI208" s="756">
        <f t="shared" si="280"/>
        <v>0</v>
      </c>
      <c r="CJ208" s="487">
        <f>IF(CT208&gt;0.4,0,IF(AND(AU208=2,CH208=0,CT208=0.5,ER208=100),35,IF(AND(AU208=3,BB208&gt;75,CH208=0,CT208=0.5,ER208=100),25,IF(CB208&gt;1,0,IF(EF208&gt;EE208,0,IF(AND(AF208&gt;1,CH208=100),0,IF(AND(AF208=1,AY208=0),0,IF(AND(EF208&lt;=EE208,AW208&gt;=AZ208,'Data Entry'!$C$74=1,AU208=2),VLOOKUP(W208,$DO$96:$DP$102,2,FALSE),IF(AND(EF208&lt;=EE208,AW208&gt;=AZ208,AU208=3,'Data Entry'!$C$74=1),VLOOKUP(W208,$DO$127:$DP$134,2,FALSE))))))))))</f>
        <v>0</v>
      </c>
      <c r="CK208" s="716">
        <f t="shared" si="281"/>
        <v>0</v>
      </c>
      <c r="CL208" s="57">
        <f t="shared" si="282"/>
        <v>0</v>
      </c>
      <c r="CM208" s="475">
        <f t="shared" si="308"/>
        <v>0</v>
      </c>
      <c r="CN208" s="660">
        <f>IF(CM208&lt;0.1,0,IF(ISNA(AT208),0,IF(CL208+BC208=1,0,IF(BV208&gt;0.01,0,IF(CL208&gt;0.01,0,IF(CF208=1,0,IF(BC208=0.5,0,IF(AND(CI208=1,AU208=3),0,IF(AND(CI208=5,CL208=0),0,IF(AND(R208=12,BR208=50),0,IF(CK208&gt;0.01,0,IF(AND(AJ208&gt;0.01,AU208=2,BC208=15),CM208*0.1,IF(AND(AJ208&gt;0.01,AU208=3,BC208=15),CM208*0.08,IF(AND(R208=12,BC208=3,AF208&lt;=0),0,IF(AND(BC208=15,BI208=0),0,IF(AND(BC208=15,BJ208=0),0,IF(AND(R208=20,CU208=0),0,IF($X$4=0,0,IF(AND(BC208=250,CL208=0),0,IF(AA208&lt;1,0,IF(AND(ISNUMBER(SEARCH("Area",T208)),AU208=3),0,IF(AND(AQ208&gt;0.01,AR208=0,BK208=0,BL208=0,BM208=0,BN208=0),0,IF(AND(AU208=3,CI208=7,CT208&gt;0.5),0,IF(AND(BC208=44,AU208=3,BY208=0),0,IF(AND(BC208=27,'Data Entry'!$C$74=2),0,IF(AND(BC208=28,'Data Entry'!$C$74=2),0,IF(AND(BY208+BZ208+CA208&gt;0.01,BV208=0,EQ208+ER208+ES208+ET208&lt;100),0,IF(AU208=3,CM208*0.08,IF(AU208=2,CM208*0.1,0)))))))))))))))))))))))))))))</f>
        <v>0</v>
      </c>
      <c r="CO208" s="660">
        <f t="shared" si="283"/>
        <v>0</v>
      </c>
      <c r="CP208" s="475" t="str">
        <f t="shared" si="284"/>
        <v/>
      </c>
      <c r="CQ208" s="161" t="str">
        <f>IF(AH208=0,0,IF(AU208=5,0,Summary!AC211))</f>
        <v/>
      </c>
      <c r="CR208" s="161" t="str">
        <f>IF(BF208=0.5,0,IF(AU208=5,0,Summary!AD211))</f>
        <v/>
      </c>
      <c r="CS208" s="161" t="str">
        <f>IF(AU208=5,0,Summary!AE211)</f>
        <v/>
      </c>
      <c r="CT208" s="161">
        <f t="shared" si="285"/>
        <v>0</v>
      </c>
      <c r="CU208" s="475" t="str">
        <f t="shared" si="286"/>
        <v/>
      </c>
      <c r="CV208" s="307">
        <f>IF('Data Entry'!$C$74=0,0,IF(AA208&lt;1,0,IF(ISERROR(CU208),0,IF(CF208=1,0,IF(AND(R208=12,BR208=50),0,IF(CL208+BO208+BV208+DC208=0,0,IF(BC208=37,0,IF(AND(BC208=40,AJ208=0),0,IF(AND(BC208=37,BO208&gt;0.01,BQ208&gt;0.01),ROUND(BQ208,0),IF(CM208&lt;0,0,ROUND(CM208,0)))))))))))</f>
        <v>0</v>
      </c>
      <c r="CW208" s="700">
        <f t="shared" si="287"/>
        <v>0</v>
      </c>
      <c r="CX208" s="477">
        <f>IF('Data Entry'!$C$74=0,0,IF(CV208&lt;0.01,0,IF(BF208=0.5,0,IF(CF208=1,0,IF(ISNUMBER(SEARCH("false",CL208)),0,IF(AZ208=500,0,CL208))))))</f>
        <v>0</v>
      </c>
      <c r="CY208" s="147" t="e">
        <f t="shared" si="288"/>
        <v>#VALUE!</v>
      </c>
      <c r="CZ208" s="147" t="b">
        <f>IF(CN208+CL208=0,FALSE,IF(AH208=0,0,IF(AND('Data Entry'!$C$74=1,CR208&gt;=1),TRUE,IF(AND('Data Entry'!$C$74=2,CS208&gt;=1),TRUE,FALSE))))</f>
        <v>0</v>
      </c>
      <c r="DA208" s="1751">
        <f>IF('Data Entry'!$C$74=0,0,IFERROR(ROUND(IF(T208="","",IF($X$4=0,0,IF(CF208=1,0,IF(BQ208+CV208=0,0,IF(CF208=1,0,IF(CY208&gt;0.01,CY208,IF(CL208&gt;0.01,CL208,IF(CY208&gt;0.01,CY208,IF(BC208=37,BO208,IF(CZ208=FALSE,0,IF(CZ208=TRUE,DC208+DF208,0))))))))))),2),""))</f>
        <v>0</v>
      </c>
      <c r="DB208" s="1752"/>
      <c r="DC208" s="474">
        <f>IF(CN208&lt;0.01,0,IF(AND(BR208=3,CN208&gt;0.01,CT208&gt;0.6,ER208+ES208+ET208&lt;100),0,IF(AND('Data Entry'!$C$74=1,CN208&gt;0.01,CR208&gt;0.99),MIN(CN208:CO208),IF(AND('Data Entry'!$C$74=2,CN208&gt;0.01,CS208&gt;0.99),MIN(CN208:CO208),0))))</f>
        <v>0</v>
      </c>
      <c r="DD208" s="478">
        <f>IF(CF208=1,"Selection does not match",IF(T208=0,0,IF(AND('Data Entry'!$C$74=0,CP208&gt;1),"Select Oregon or Idaho on Data Entry Tab",IF(AND(AU208=1,AA208&gt;0.9),"Missing Interior or Exterior Selection",IF($X$4=0,"Enter Total Project Cost",IF(AQ208&lt;AR208,"Insufficient kWh savings – no incentive",IF(AND(SUM(CL208+CK208+BV208)&gt;0.01,'Data Entry'!$C$74=2,CJ208&gt;1,BO208=0),"Submit Control as Non-Standard",IF(AND('Data Entry'!$C$74=2,BR208=37,CJ208&gt;1,BO208=0),"Submit Control as Non-Standard",IF(SUM(CL208+CK208+BV208)&gt;0.01,"Standard Incentive",IF(AND('Data Entry'!$C$74=2,CP208=7,CN208=0),"Submit as Non-Standard",IF(DC208&gt;0.9,"Non-Standard Incentive",IF(AND(BY208+BZ208+CA208&gt;0.01,BV208=0,EQ208=0,ER208=0,ES208=0,ET208=0),"Scroll Right &amp; Select Control Strategies",IF(AND(CN208&gt;0.01,CO208=0),"Enter Unit Installed Cost",IF(ISNUMBER(SEARCH("Lighting Controls Only",F208)),"Lighting Controls Only",IF(CL208+DC208=0,"Does not meet incentive criteria",0)))))))))))))))</f>
        <v>0</v>
      </c>
      <c r="DE208" s="337">
        <f t="shared" si="289"/>
        <v>0</v>
      </c>
      <c r="DF208" s="609">
        <f t="shared" si="290"/>
        <v>0</v>
      </c>
      <c r="DG208" s="336" t="str">
        <f t="shared" si="291"/>
        <v/>
      </c>
      <c r="DH208" s="338">
        <f t="shared" si="292"/>
        <v>1</v>
      </c>
      <c r="DI208" s="336" t="e">
        <f t="shared" si="247"/>
        <v>#VALUE!</v>
      </c>
      <c r="DJ208" s="338">
        <f t="shared" si="248"/>
        <v>0</v>
      </c>
      <c r="DQ208" s="409" t="s">
        <v>1567</v>
      </c>
      <c r="DR208" s="610">
        <v>21</v>
      </c>
      <c r="DS208" s="1195">
        <f t="shared" si="293"/>
        <v>0</v>
      </c>
      <c r="DT208" s="344" t="b">
        <f t="shared" si="294"/>
        <v>1</v>
      </c>
      <c r="DU208" s="1314" t="str">
        <f t="array" ref="DU208">IF(OR(COUNTIF(F208,"*"&amp;$DK$9:$DK$178&amp;"*")), "Yes", "")</f>
        <v/>
      </c>
      <c r="DV208" s="1314">
        <f t="shared" si="295"/>
        <v>0</v>
      </c>
      <c r="DW208" s="1480">
        <f t="shared" si="296"/>
        <v>0</v>
      </c>
      <c r="DX208" s="1498">
        <f t="shared" si="305"/>
        <v>0</v>
      </c>
      <c r="DY208" s="1484">
        <f t="shared" si="297"/>
        <v>0</v>
      </c>
      <c r="DZ208" s="331"/>
      <c r="EA208" s="392"/>
      <c r="EB208" s="1499" t="s">
        <v>473</v>
      </c>
      <c r="EC208" s="727" t="s">
        <v>1569</v>
      </c>
      <c r="ED208" s="728">
        <v>0.5</v>
      </c>
      <c r="EE208" s="1215"/>
      <c r="EF208" s="1215"/>
      <c r="EG208" s="1184" t="str">
        <f t="shared" si="298"/>
        <v/>
      </c>
      <c r="EH208" s="81"/>
      <c r="EI208" s="81"/>
      <c r="EJ208" s="1185">
        <f t="shared" si="249"/>
        <v>0</v>
      </c>
      <c r="EK208" s="1211"/>
      <c r="EL208" s="1180">
        <f t="shared" si="250"/>
        <v>0</v>
      </c>
      <c r="EM208" s="206"/>
      <c r="EN208" s="1038"/>
      <c r="EO208" s="1038"/>
      <c r="EP208" s="1038"/>
      <c r="EQ208" s="1038">
        <f t="shared" si="299"/>
        <v>0</v>
      </c>
      <c r="ER208" s="1041">
        <f t="shared" si="300"/>
        <v>0</v>
      </c>
      <c r="ES208" s="1042">
        <f t="shared" si="301"/>
        <v>0</v>
      </c>
      <c r="ET208" s="1042">
        <f t="shared" si="306"/>
        <v>0</v>
      </c>
      <c r="EU208" s="1021">
        <f t="shared" si="307"/>
        <v>0</v>
      </c>
      <c r="EV208" s="368"/>
      <c r="EW208" s="368"/>
      <c r="EX208" s="369"/>
      <c r="EY208" s="370"/>
      <c r="EZ208" s="370"/>
      <c r="FA208" s="371"/>
      <c r="FB208" s="372"/>
    </row>
    <row r="209" spans="1:158" ht="34.5" customHeight="1">
      <c r="A209" s="82">
        <v>201</v>
      </c>
      <c r="B209" s="1806"/>
      <c r="C209" s="1807"/>
      <c r="D209" s="1807"/>
      <c r="E209" s="1808"/>
      <c r="F209" s="1809"/>
      <c r="G209" s="1810"/>
      <c r="H209" s="1810"/>
      <c r="I209" s="1811"/>
      <c r="J209" s="1301"/>
      <c r="K209" s="1814"/>
      <c r="L209" s="1814"/>
      <c r="M209" s="1017"/>
      <c r="N209" s="1584"/>
      <c r="O209" s="208" t="str">
        <f t="shared" si="237"/>
        <v/>
      </c>
      <c r="P209" s="785"/>
      <c r="Q209" s="39" t="str">
        <f t="shared" si="238"/>
        <v/>
      </c>
      <c r="R209" s="39">
        <f t="shared" si="251"/>
        <v>0</v>
      </c>
      <c r="S209" s="234">
        <f t="shared" si="252"/>
        <v>0</v>
      </c>
      <c r="T209" s="1815"/>
      <c r="U209" s="1815"/>
      <c r="V209" s="1815"/>
      <c r="W209" s="1121"/>
      <c r="X209" s="1812"/>
      <c r="Y209" s="1813"/>
      <c r="Z209" s="703"/>
      <c r="AA209" s="1280"/>
      <c r="AB209" s="1141"/>
      <c r="AC209" s="1103" t="str">
        <f>IF(T209="","",VLOOKUP(Z209,Lists!$A$60:$B$111,2,FALSE))</f>
        <v/>
      </c>
      <c r="AD209" s="130" t="str">
        <f t="shared" si="253"/>
        <v/>
      </c>
      <c r="AE209" s="130" t="e">
        <f t="shared" si="254"/>
        <v>#VALUE!</v>
      </c>
      <c r="AF209" s="130">
        <f t="shared" si="255"/>
        <v>1</v>
      </c>
      <c r="AG209" s="234">
        <f t="shared" si="239"/>
        <v>0</v>
      </c>
      <c r="AH209" s="1753" t="str">
        <f>IF(T209="","",(IF(ISNUMBER(SEARCH("exit",T209)),8760,IF(AND(M209="Dusk to Dawn",'Proposed Lighting'!AU209=3),4059,IF(AND(AU209=3,M209="1"),0,IF(AND(AU209=3,M209="1-C"),0,IF(AND(AU209=3,M209="2"),0,IF(AND(AU209=3,M209="2-C"),0,IF(AND(AU209=3,M209="3"),0,IF(AND(AU209=3,M209="3-C"),0,IF(AND(AU209=2,M209="Dusk to Dawn"),0,IF(AND(AU209=2,M209="Dusk to Dawn-C"),0,IF(AND(AU209=2,M209="Dusk to Dawn"),0,IF(AND(AU209=2,M209="E"),0,IF(AND(AU209=2,M209="E-C"),0,EG209)))))))))))))))</f>
        <v/>
      </c>
      <c r="AI209" s="1754"/>
      <c r="AJ209" s="1136"/>
      <c r="AK209" s="1136"/>
      <c r="AL209" s="1748">
        <f t="shared" si="256"/>
        <v>0</v>
      </c>
      <c r="AM209" s="1749"/>
      <c r="AN209" s="1750"/>
      <c r="AO209" s="476">
        <f t="shared" si="240"/>
        <v>0</v>
      </c>
      <c r="AP209" s="476">
        <f t="shared" si="257"/>
        <v>0</v>
      </c>
      <c r="AQ209" s="475">
        <f t="shared" si="241"/>
        <v>0</v>
      </c>
      <c r="AR209" s="475">
        <f t="shared" si="258"/>
        <v>0</v>
      </c>
      <c r="AS209" s="743" t="str">
        <f t="shared" si="233"/>
        <v/>
      </c>
      <c r="AT209" s="736" t="str">
        <f t="shared" si="259"/>
        <v/>
      </c>
      <c r="AU209" s="56">
        <f t="shared" si="260"/>
        <v>1</v>
      </c>
      <c r="AV209" s="476">
        <f t="shared" si="261"/>
        <v>0</v>
      </c>
      <c r="AW209" s="56">
        <f t="shared" si="262"/>
        <v>0</v>
      </c>
      <c r="AX209" s="475">
        <f t="shared" si="242"/>
        <v>0</v>
      </c>
      <c r="AY209" s="1169">
        <f t="shared" si="263"/>
        <v>0</v>
      </c>
      <c r="AZ209" s="1150">
        <f t="shared" si="302"/>
        <v>0</v>
      </c>
      <c r="BA209" s="56">
        <f t="shared" si="243"/>
        <v>0</v>
      </c>
      <c r="BB209" s="420">
        <f t="shared" si="244"/>
        <v>0</v>
      </c>
      <c r="BC209" s="58" t="str">
        <f t="shared" si="245"/>
        <v/>
      </c>
      <c r="BD209" s="660">
        <f t="shared" si="303"/>
        <v>0</v>
      </c>
      <c r="BE209" s="57" t="e">
        <f t="array" ref="BE209">INDEX($EB$11:$ED$1022,MATCH(F209&amp;T209,$EB$11:$EB$1007&amp;$EC$11:$EC$1007,0),3)</f>
        <v>#N/A</v>
      </c>
      <c r="BF209" s="463">
        <f t="shared" si="234"/>
        <v>0</v>
      </c>
      <c r="BG209" s="1445" t="e">
        <f t="array" ref="BG209">INDEX($DO$112:$DQ$123,MATCH(T209&amp;W209,$DO$114:$DO$125&amp;$DP$112:$DP$123,0),3)</f>
        <v>#N/A</v>
      </c>
      <c r="BH209" s="1446">
        <f t="shared" si="264"/>
        <v>0</v>
      </c>
      <c r="BI209" s="465">
        <f t="shared" si="265"/>
        <v>0</v>
      </c>
      <c r="BJ209" s="465">
        <f t="shared" si="266"/>
        <v>0</v>
      </c>
      <c r="BK209" s="466">
        <f t="shared" si="235"/>
        <v>0</v>
      </c>
      <c r="BL209" s="466">
        <f t="shared" si="236"/>
        <v>0</v>
      </c>
      <c r="BM209" s="466">
        <f t="shared" si="267"/>
        <v>0</v>
      </c>
      <c r="BN209" s="466">
        <f t="shared" si="268"/>
        <v>0</v>
      </c>
      <c r="BO209" s="463">
        <f>IF('Data Entry'!$C$74=0,0,IF(ISNA(CJ209),0,IF(AX209=0,0,IF(AND('Data Entry'!$C$74=2,AF209&gt;2,CE209&lt;1),0,IF(AND('Data Entry'!$C$74=2,AF209&gt;1,AU209=2,CJ209&gt;1),0,IF(AND(AF209=5,CT209=0.5,AU209=2,ER209&lt;100),0,IF(AND(AF209=5,CT209=0.5,AU209=3,ER209&lt;100),0,IF(AND('Data Entry'!$C$74=2,AF209=2,AU209=2,AK209&gt;0.01,CB209=2,CE209&lt;1),0,IF(AND('Data Entry'!$C$74=2,AF209=3,AU209=3,AK209&gt;0.01,CB209=3,CE209&lt;1),0,IF(AND('Data Entry'!$C$74=2,AF209=3,AU209=3,AK209&gt;0.01,CB209=3,CE209&gt;0.99),BQ209*0.08,IF(AND('Data Entry'!$C$74=2,AF209=2,AU209=2,AK209&gt;0.01,CB209=2,CE209&gt;0.99),BQ209*0.1,IF(AND(AU209=2,AK209&gt;0.01,CB209=2,CD209&gt;1),BQ209*0.1,IF(AND(AU209=3,AK209&gt;0.01,CB209=3,CD209&gt;1),BQ209*0.08,CJ209*EF209)))))))))))))</f>
        <v>0</v>
      </c>
      <c r="BP209" s="475">
        <f t="shared" si="269"/>
        <v>0</v>
      </c>
      <c r="BQ209" s="1431">
        <f>IF(AU209=1,0,IF(CH209=100,0,IF(AND(AF209=3,AU209=2),0,IF(AND(BH209=0,CT209&gt;0.4),0,IF(AND('Data Entry'!$C$74=2,AF209=1.5),0,IF(AND('Data Entry'!$C$74=2,AF209=1.6),0,IF(AND('Data Entry'!$C$74=2,AF209=4),0,IF(AND('Data Entry'!$C$74=2,AF209=5),0,IF(AND('Data Entry'!$C$74=2,AF209=2.5,CE209&lt;1),0,IF(AND('Data Entry'!$C$74=2,AF209=3,CE209&lt;1),0,IF(AND('Data Entry'!$C$74=1,AF209=2.5,CD209&lt;1),0,IF(AND('Data Entry'!$C$74=1,AF209=3,CD209&lt;1),0,IF(DX209&gt;0.01,DX209,IF(ISERROR(AX209-AY209),"",ROUND(AX209-AY209,2)))))))))))))))</f>
        <v>0</v>
      </c>
      <c r="BR209" s="146">
        <f t="shared" si="270"/>
        <v>0</v>
      </c>
      <c r="BS209" s="475">
        <f t="shared" si="271"/>
        <v>0</v>
      </c>
      <c r="BT209" s="146" t="b">
        <f t="shared" si="272"/>
        <v>0</v>
      </c>
      <c r="BU209" s="463">
        <f>IF(ISNA(AT209),0,IF(AND('Data Entry'!$C$74=2,BC209=27),0,IF(AND('Data Entry'!$C$74=2,BC209=28),0,IF(AND(BC209=27,BT209=27,CM209&gt;0.1),CM209*0.15,IF(AND(BC209=28,BT209=28,CM209&gt;0.1),CM209*0.12,0)))))</f>
        <v>0</v>
      </c>
      <c r="BV209" s="463">
        <f t="shared" si="232"/>
        <v>0</v>
      </c>
      <c r="BW209" s="463">
        <f t="shared" si="273"/>
        <v>0</v>
      </c>
      <c r="BX209" s="463">
        <f t="shared" si="274"/>
        <v>0</v>
      </c>
      <c r="BY209" s="463">
        <f t="shared" si="275"/>
        <v>0</v>
      </c>
      <c r="BZ209" s="463">
        <f t="shared" si="276"/>
        <v>0</v>
      </c>
      <c r="CA209" s="57">
        <f t="shared" si="304"/>
        <v>0</v>
      </c>
      <c r="CB209" s="56">
        <f t="shared" si="277"/>
        <v>1</v>
      </c>
      <c r="CC209" s="756">
        <f>IF(EE209=0,0,IF(EF209=0,0,IF(EE209&gt;AA209,0,IF(AND(AZ209&gt;AW209,AW209&gt;0),0,IF(CU209=0,0,Summary!AC512)))))</f>
        <v>0</v>
      </c>
      <c r="CD209" s="756">
        <f>IF(EE209=0,0,IF(EF209=0,0,IF(EE209&gt;AA209,0,IF(AND(AZ209&gt;AW209,AW209&gt;0),0,IF(CU209=0,0,Summary!AD512)))))</f>
        <v>0</v>
      </c>
      <c r="CE209" s="756">
        <f>IF(EF209=0,0,IF(EE209&gt;AA209,0,IF(CC209=0,0,IF(AND(AZ209&gt;AW209,AW209&gt;0),0,IF(CU209=0,0,Summary!AE512)))))</f>
        <v>0</v>
      </c>
      <c r="CF209" s="475">
        <f t="shared" si="278"/>
        <v>0</v>
      </c>
      <c r="CG209" s="476">
        <f t="shared" si="246"/>
        <v>0</v>
      </c>
      <c r="CH209" s="487">
        <f t="shared" si="279"/>
        <v>0</v>
      </c>
      <c r="CI209" s="756">
        <f t="shared" si="280"/>
        <v>0</v>
      </c>
      <c r="CJ209" s="487">
        <f>IF(CT209&gt;0.4,0,IF(AND(AU209=2,CH209=0,CT209=0.5,ER209=100),35,IF(AND(AU209=3,BB209&gt;75,CH209=0,CT209=0.5,ER209=100),25,IF(CB209&gt;1,0,IF(EF209&gt;EE209,0,IF(AND(AF209&gt;1,CH209=100),0,IF(AND(AF209=1,AY209=0),0,IF(AND(EF209&lt;=EE209,AW209&gt;=AZ209,'Data Entry'!$C$74=1,AU209=2),VLOOKUP(W209,$DO$96:$DP$102,2,FALSE),IF(AND(EF209&lt;=EE209,AW209&gt;=AZ209,AU209=3,'Data Entry'!$C$74=1),VLOOKUP(W209,$DO$127:$DP$134,2,FALSE))))))))))</f>
        <v>0</v>
      </c>
      <c r="CK209" s="716">
        <f t="shared" si="281"/>
        <v>0</v>
      </c>
      <c r="CL209" s="57">
        <f t="shared" si="282"/>
        <v>0</v>
      </c>
      <c r="CM209" s="475">
        <f t="shared" si="308"/>
        <v>0</v>
      </c>
      <c r="CN209" s="660">
        <f>IF(CM209&lt;0.1,0,IF(ISNA(AT209),0,IF(CL209+BC209=1,0,IF(BV209&gt;0.01,0,IF(CL209&gt;0.01,0,IF(CF209=1,0,IF(BC209=0.5,0,IF(AND(CI209=1,AU209=3),0,IF(AND(CI209=5,CL209=0),0,IF(AND(R209=12,BR209=50),0,IF(CK209&gt;0.01,0,IF(AND(AJ209&gt;0.01,AU209=2,BC209=15),CM209*0.1,IF(AND(AJ209&gt;0.01,AU209=3,BC209=15),CM209*0.08,IF(AND(R209=12,BC209=3,AF209&lt;=0),0,IF(AND(BC209=15,BI209=0),0,IF(AND(BC209=15,BJ209=0),0,IF(AND(R209=20,CU209=0),0,IF($X$4=0,0,IF(AND(BC209=250,CL209=0),0,IF(AA209&lt;1,0,IF(AND(ISNUMBER(SEARCH("Area",T209)),AU209=3),0,IF(AND(AQ209&gt;0.01,AR209=0,BK209=0,BL209=0,BM209=0,BN209=0),0,IF(AND(AU209=3,CI209=7,CT209&gt;0.5),0,IF(AND(BC209=44,AU209=3,BY209=0),0,IF(AND(BC209=27,'Data Entry'!$C$74=2),0,IF(AND(BC209=28,'Data Entry'!$C$74=2),0,IF(AND(BY209+BZ209+CA209&gt;0.01,BV209=0,EQ209+ER209+ES209+ET209&lt;100),0,IF(AU209=3,CM209*0.08,IF(AU209=2,CM209*0.1,0)))))))))))))))))))))))))))))</f>
        <v>0</v>
      </c>
      <c r="CO209" s="660">
        <f t="shared" si="283"/>
        <v>0</v>
      </c>
      <c r="CP209" s="475" t="str">
        <f t="shared" si="284"/>
        <v/>
      </c>
      <c r="CQ209" s="161" t="str">
        <f>IF(AH209=0,0,IF(AU209=5,0,Summary!AC212))</f>
        <v/>
      </c>
      <c r="CR209" s="161" t="str">
        <f>IF(BF209=0.5,0,IF(AU209=5,0,Summary!AD212))</f>
        <v/>
      </c>
      <c r="CS209" s="161" t="str">
        <f>IF(AU209=5,0,Summary!AE212)</f>
        <v/>
      </c>
      <c r="CT209" s="161">
        <f t="shared" si="285"/>
        <v>0</v>
      </c>
      <c r="CU209" s="475" t="str">
        <f t="shared" si="286"/>
        <v/>
      </c>
      <c r="CV209" s="307">
        <f>IF('Data Entry'!$C$74=0,0,IF(AA209&lt;1,0,IF(ISERROR(CU209),0,IF(CF209=1,0,IF(AND(R209=12,BR209=50),0,IF(CL209+BO209+BV209+DC209=0,0,IF(BC209=37,0,IF(AND(BC209=40,AJ209=0),0,IF(AND(BC209=37,BO209&gt;0.01,BQ209&gt;0.01),ROUND(BQ209,0),IF(CM209&lt;0,0,ROUND(CM209,0)))))))))))</f>
        <v>0</v>
      </c>
      <c r="CW209" s="700">
        <f t="shared" si="287"/>
        <v>0</v>
      </c>
      <c r="CX209" s="477">
        <f>IF('Data Entry'!$C$74=0,0,IF(CV209&lt;0.01,0,IF(BF209=0.5,0,IF(CF209=1,0,IF(ISNUMBER(SEARCH("false",CL209)),0,IF(AZ209=500,0,CL209))))))</f>
        <v>0</v>
      </c>
      <c r="CY209" s="147" t="e">
        <f t="shared" si="288"/>
        <v>#VALUE!</v>
      </c>
      <c r="CZ209" s="147" t="b">
        <f>IF(CN209+CL209=0,FALSE,IF(AH209=0,0,IF(AND('Data Entry'!$C$74=1,CR209&gt;=1),TRUE,IF(AND('Data Entry'!$C$74=2,CS209&gt;=1),TRUE,FALSE))))</f>
        <v>0</v>
      </c>
      <c r="DA209" s="1751">
        <f>IF('Data Entry'!$C$74=0,0,IFERROR(ROUND(IF(T209="","",IF($X$4=0,0,IF(CF209=1,0,IF(BQ209+CV209=0,0,IF(CF209=1,0,IF(CY209&gt;0.01,CY209,IF(CL209&gt;0.01,CL209,IF(CY209&gt;0.01,CY209,IF(BC209=37,BO209,IF(CZ209=FALSE,0,IF(CZ209=TRUE,DC209+DF209,0))))))))))),2),""))</f>
        <v>0</v>
      </c>
      <c r="DB209" s="1752"/>
      <c r="DC209" s="474">
        <f>IF(CN209&lt;0.01,0,IF(AND(BR209=3,CN209&gt;0.01,CT209&gt;0.6,ER209+ES209+ET209&lt;100),0,IF(AND('Data Entry'!$C$74=1,CN209&gt;0.01,CR209&gt;0.99),MIN(CN209:CO209),IF(AND('Data Entry'!$C$74=2,CN209&gt;0.01,CS209&gt;0.99),MIN(CN209:CO209),0))))</f>
        <v>0</v>
      </c>
      <c r="DD209" s="478">
        <f>IF(CF209=1,"Selection does not match",IF(T209=0,0,IF(AND('Data Entry'!$C$74=0,CP209&gt;1),"Select Oregon or Idaho on Data Entry Tab",IF(AND(AU209=1,AA209&gt;0.9),"Missing Interior or Exterior Selection",IF($X$4=0,"Enter Total Project Cost",IF(AQ209&lt;AR209,"Insufficient kWh savings – no incentive",IF(AND(SUM(CL209+CK209+BV209)&gt;0.01,'Data Entry'!$C$74=2,CJ209&gt;1,BO209=0),"Submit Control as Non-Standard",IF(AND('Data Entry'!$C$74=2,BR209=37,CJ209&gt;1,BO209=0),"Submit Control as Non-Standard",IF(SUM(CL209+CK209+BV209)&gt;0.01,"Standard Incentive",IF(AND('Data Entry'!$C$74=2,CP209=7,CN209=0),"Submit as Non-Standard",IF(DC209&gt;0.9,"Non-Standard Incentive",IF(AND(BY209+BZ209+CA209&gt;0.01,BV209=0,EQ209=0,ER209=0,ES209=0,ET209=0),"Scroll Right &amp; Select Control Strategies",IF(AND(CN209&gt;0.01,CO209=0),"Enter Unit Installed Cost",IF(ISNUMBER(SEARCH("Lighting Controls Only",F209)),"Lighting Controls Only",IF(CL209+DC209=0,"Does not meet incentive criteria",0)))))))))))))))</f>
        <v>0</v>
      </c>
      <c r="DE209" s="337">
        <f t="shared" si="289"/>
        <v>0</v>
      </c>
      <c r="DF209" s="609">
        <f t="shared" si="290"/>
        <v>0</v>
      </c>
      <c r="DG209" s="336" t="str">
        <f t="shared" si="291"/>
        <v/>
      </c>
      <c r="DH209" s="338">
        <f t="shared" si="292"/>
        <v>1</v>
      </c>
      <c r="DI209" s="336" t="e">
        <f t="shared" si="247"/>
        <v>#VALUE!</v>
      </c>
      <c r="DJ209" s="338">
        <f t="shared" si="248"/>
        <v>0</v>
      </c>
      <c r="DQ209" s="1454" t="s">
        <v>1593</v>
      </c>
      <c r="DR209" s="1455">
        <v>44</v>
      </c>
      <c r="DS209" s="1195">
        <f t="shared" si="293"/>
        <v>0</v>
      </c>
      <c r="DT209" s="344" t="b">
        <f t="shared" si="294"/>
        <v>1</v>
      </c>
      <c r="DU209" s="1314" t="str">
        <f t="array" ref="DU209">IF(OR(COUNTIF(F209,"*"&amp;$DK$9:$DK$178&amp;"*")), "Yes", "")</f>
        <v/>
      </c>
      <c r="DV209" s="1314">
        <f t="shared" si="295"/>
        <v>0</v>
      </c>
      <c r="DW209" s="1480">
        <f t="shared" si="296"/>
        <v>0</v>
      </c>
      <c r="DX209" s="1498">
        <f t="shared" si="305"/>
        <v>0</v>
      </c>
      <c r="DY209" s="1484">
        <f t="shared" si="297"/>
        <v>0</v>
      </c>
      <c r="DZ209" s="331"/>
      <c r="EA209" s="392"/>
      <c r="EB209" s="1499" t="s">
        <v>474</v>
      </c>
      <c r="EC209" s="727" t="s">
        <v>1569</v>
      </c>
      <c r="ED209" s="728">
        <v>0.5</v>
      </c>
      <c r="EE209" s="1215"/>
      <c r="EF209" s="1215"/>
      <c r="EG209" s="1184" t="str">
        <f t="shared" si="298"/>
        <v/>
      </c>
      <c r="EH209" s="81"/>
      <c r="EI209" s="81"/>
      <c r="EJ209" s="1185">
        <f t="shared" si="249"/>
        <v>0</v>
      </c>
      <c r="EK209" s="1211"/>
      <c r="EL209" s="1180">
        <f t="shared" si="250"/>
        <v>0</v>
      </c>
      <c r="EM209" s="206"/>
      <c r="EN209" s="1038"/>
      <c r="EO209" s="1038"/>
      <c r="EP209" s="1038"/>
      <c r="EQ209" s="1038">
        <f t="shared" si="299"/>
        <v>0</v>
      </c>
      <c r="ER209" s="1041">
        <f t="shared" si="300"/>
        <v>0</v>
      </c>
      <c r="ES209" s="1042">
        <f t="shared" si="301"/>
        <v>0</v>
      </c>
      <c r="ET209" s="1042">
        <f t="shared" si="306"/>
        <v>0</v>
      </c>
      <c r="EU209" s="1021">
        <f t="shared" si="307"/>
        <v>0</v>
      </c>
      <c r="EV209" s="368"/>
      <c r="EW209" s="368"/>
      <c r="EX209" s="369"/>
      <c r="EY209" s="370"/>
      <c r="EZ209" s="370"/>
      <c r="FA209" s="371"/>
      <c r="FB209" s="372"/>
    </row>
    <row r="210" spans="1:158" ht="34.5" customHeight="1">
      <c r="A210" s="82">
        <v>202</v>
      </c>
      <c r="B210" s="1806"/>
      <c r="C210" s="1807"/>
      <c r="D210" s="1807"/>
      <c r="E210" s="1808"/>
      <c r="F210" s="1809"/>
      <c r="G210" s="1810"/>
      <c r="H210" s="1810"/>
      <c r="I210" s="1811"/>
      <c r="J210" s="1301"/>
      <c r="K210" s="1814"/>
      <c r="L210" s="1814"/>
      <c r="M210" s="1017"/>
      <c r="N210" s="1584"/>
      <c r="O210" s="208" t="str">
        <f t="shared" si="237"/>
        <v/>
      </c>
      <c r="P210" s="785"/>
      <c r="Q210" s="39" t="str">
        <f t="shared" si="238"/>
        <v/>
      </c>
      <c r="R210" s="39">
        <f t="shared" si="251"/>
        <v>0</v>
      </c>
      <c r="S210" s="234">
        <f t="shared" si="252"/>
        <v>0</v>
      </c>
      <c r="T210" s="1815"/>
      <c r="U210" s="1815"/>
      <c r="V210" s="1815"/>
      <c r="W210" s="1121"/>
      <c r="X210" s="1812"/>
      <c r="Y210" s="1813"/>
      <c r="Z210" s="703"/>
      <c r="AA210" s="1280"/>
      <c r="AB210" s="1141"/>
      <c r="AC210" s="1103" t="str">
        <f>IF(T210="","",VLOOKUP(Z210,Lists!$A$60:$B$111,2,FALSE))</f>
        <v/>
      </c>
      <c r="AD210" s="130" t="str">
        <f t="shared" si="253"/>
        <v/>
      </c>
      <c r="AE210" s="130" t="e">
        <f t="shared" si="254"/>
        <v>#VALUE!</v>
      </c>
      <c r="AF210" s="130">
        <f t="shared" si="255"/>
        <v>1</v>
      </c>
      <c r="AG210" s="234">
        <f t="shared" si="239"/>
        <v>0</v>
      </c>
      <c r="AH210" s="1753" t="str">
        <f>IF(T210="","",(IF(ISNUMBER(SEARCH("exit",T210)),8760,IF(AND(M210="Dusk to Dawn",'Proposed Lighting'!AU210=3),4059,IF(AND(AU210=3,M210="1"),0,IF(AND(AU210=3,M210="1-C"),0,IF(AND(AU210=3,M210="2"),0,IF(AND(AU210=3,M210="2-C"),0,IF(AND(AU210=3,M210="3"),0,IF(AND(AU210=3,M210="3-C"),0,IF(AND(AU210=2,M210="Dusk to Dawn"),0,IF(AND(AU210=2,M210="Dusk to Dawn-C"),0,IF(AND(AU210=2,M210="Dusk to Dawn"),0,IF(AND(AU210=2,M210="E"),0,IF(AND(AU210=2,M210="E-C"),0,EG210)))))))))))))))</f>
        <v/>
      </c>
      <c r="AI210" s="1754"/>
      <c r="AJ210" s="1136"/>
      <c r="AK210" s="1136"/>
      <c r="AL210" s="1748">
        <f t="shared" si="256"/>
        <v>0</v>
      </c>
      <c r="AM210" s="1749"/>
      <c r="AN210" s="1750"/>
      <c r="AO210" s="476">
        <f t="shared" si="240"/>
        <v>0</v>
      </c>
      <c r="AP210" s="476">
        <f t="shared" si="257"/>
        <v>0</v>
      </c>
      <c r="AQ210" s="475">
        <f t="shared" si="241"/>
        <v>0</v>
      </c>
      <c r="AR210" s="475">
        <f t="shared" si="258"/>
        <v>0</v>
      </c>
      <c r="AS210" s="743" t="str">
        <f t="shared" si="233"/>
        <v/>
      </c>
      <c r="AT210" s="736" t="str">
        <f t="shared" si="259"/>
        <v/>
      </c>
      <c r="AU210" s="56">
        <f t="shared" si="260"/>
        <v>1</v>
      </c>
      <c r="AV210" s="476">
        <f t="shared" si="261"/>
        <v>0</v>
      </c>
      <c r="AW210" s="56">
        <f t="shared" si="262"/>
        <v>0</v>
      </c>
      <c r="AX210" s="475">
        <f t="shared" si="242"/>
        <v>0</v>
      </c>
      <c r="AY210" s="1169">
        <f t="shared" si="263"/>
        <v>0</v>
      </c>
      <c r="AZ210" s="1150">
        <f t="shared" si="302"/>
        <v>0</v>
      </c>
      <c r="BA210" s="56">
        <f t="shared" si="243"/>
        <v>0</v>
      </c>
      <c r="BB210" s="420">
        <f t="shared" si="244"/>
        <v>0</v>
      </c>
      <c r="BC210" s="58" t="str">
        <f t="shared" si="245"/>
        <v/>
      </c>
      <c r="BD210" s="660">
        <f t="shared" si="303"/>
        <v>0</v>
      </c>
      <c r="BE210" s="57" t="e">
        <f t="array" ref="BE210">INDEX($EB$11:$ED$1022,MATCH(F210&amp;T210,$EB$11:$EB$1007&amp;$EC$11:$EC$1007,0),3)</f>
        <v>#N/A</v>
      </c>
      <c r="BF210" s="463">
        <f t="shared" si="234"/>
        <v>0</v>
      </c>
      <c r="BG210" s="1445" t="e">
        <f t="array" ref="BG210">INDEX($DO$112:$DQ$123,MATCH(T210&amp;W210,$DO$114:$DO$125&amp;$DP$112:$DP$123,0),3)</f>
        <v>#N/A</v>
      </c>
      <c r="BH210" s="1446">
        <f t="shared" si="264"/>
        <v>0</v>
      </c>
      <c r="BI210" s="465">
        <f t="shared" si="265"/>
        <v>0</v>
      </c>
      <c r="BJ210" s="465">
        <f t="shared" si="266"/>
        <v>0</v>
      </c>
      <c r="BK210" s="466">
        <f t="shared" si="235"/>
        <v>0</v>
      </c>
      <c r="BL210" s="466">
        <f t="shared" si="236"/>
        <v>0</v>
      </c>
      <c r="BM210" s="466">
        <f t="shared" si="267"/>
        <v>0</v>
      </c>
      <c r="BN210" s="466">
        <f t="shared" si="268"/>
        <v>0</v>
      </c>
      <c r="BO210" s="463">
        <f>IF('Data Entry'!$C$74=0,0,IF(ISNA(CJ210),0,IF(AX210=0,0,IF(AND('Data Entry'!$C$74=2,AF210&gt;2,CE210&lt;1),0,IF(AND('Data Entry'!$C$74=2,AF210&gt;1,AU210=2,CJ210&gt;1),0,IF(AND(AF210=5,CT210=0.5,AU210=2,ER210&lt;100),0,IF(AND(AF210=5,CT210=0.5,AU210=3,ER210&lt;100),0,IF(AND('Data Entry'!$C$74=2,AF210=2,AU210=2,AK210&gt;0.01,CB210=2,CE210&lt;1),0,IF(AND('Data Entry'!$C$74=2,AF210=3,AU210=3,AK210&gt;0.01,CB210=3,CE210&lt;1),0,IF(AND('Data Entry'!$C$74=2,AF210=3,AU210=3,AK210&gt;0.01,CB210=3,CE210&gt;0.99),BQ210*0.08,IF(AND('Data Entry'!$C$74=2,AF210=2,AU210=2,AK210&gt;0.01,CB210=2,CE210&gt;0.99),BQ210*0.1,IF(AND(AU210=2,AK210&gt;0.01,CB210=2,CD210&gt;1),BQ210*0.1,IF(AND(AU210=3,AK210&gt;0.01,CB210=3,CD210&gt;1),BQ210*0.08,CJ210*EF210)))))))))))))</f>
        <v>0</v>
      </c>
      <c r="BP210" s="475">
        <f t="shared" si="269"/>
        <v>0</v>
      </c>
      <c r="BQ210" s="1431">
        <f>IF(AU210=1,0,IF(CH210=100,0,IF(AND(AF210=3,AU210=2),0,IF(AND(BH210=0,CT210&gt;0.4),0,IF(AND('Data Entry'!$C$74=2,AF210=1.5),0,IF(AND('Data Entry'!$C$74=2,AF210=1.6),0,IF(AND('Data Entry'!$C$74=2,AF210=4),0,IF(AND('Data Entry'!$C$74=2,AF210=5),0,IF(AND('Data Entry'!$C$74=2,AF210=2.5,CE210&lt;1),0,IF(AND('Data Entry'!$C$74=2,AF210=3,CE210&lt;1),0,IF(AND('Data Entry'!$C$74=1,AF210=2.5,CD210&lt;1),0,IF(AND('Data Entry'!$C$74=1,AF210=3,CD210&lt;1),0,IF(DX210&gt;0.01,DX210,IF(ISERROR(AX210-AY210),"",ROUND(AX210-AY210,2)))))))))))))))</f>
        <v>0</v>
      </c>
      <c r="BR210" s="146">
        <f t="shared" si="270"/>
        <v>0</v>
      </c>
      <c r="BS210" s="475">
        <f t="shared" si="271"/>
        <v>0</v>
      </c>
      <c r="BT210" s="146" t="b">
        <f t="shared" si="272"/>
        <v>0</v>
      </c>
      <c r="BU210" s="463">
        <f>IF(ISNA(AT210),0,IF(AND('Data Entry'!$C$74=2,BC210=27),0,IF(AND('Data Entry'!$C$74=2,BC210=28),0,IF(AND(BC210=27,BT210=27,CM210&gt;0.1),CM210*0.15,IF(AND(BC210=28,BT210=28,CM210&gt;0.1),CM210*0.12,0)))))</f>
        <v>0</v>
      </c>
      <c r="BV210" s="463">
        <f t="shared" si="232"/>
        <v>0</v>
      </c>
      <c r="BW210" s="463">
        <f t="shared" si="273"/>
        <v>0</v>
      </c>
      <c r="BX210" s="463">
        <f t="shared" si="274"/>
        <v>0</v>
      </c>
      <c r="BY210" s="463">
        <f t="shared" si="275"/>
        <v>0</v>
      </c>
      <c r="BZ210" s="463">
        <f t="shared" si="276"/>
        <v>0</v>
      </c>
      <c r="CA210" s="57">
        <f t="shared" si="304"/>
        <v>0</v>
      </c>
      <c r="CB210" s="56">
        <f t="shared" si="277"/>
        <v>1</v>
      </c>
      <c r="CC210" s="756">
        <f>IF(EE210=0,0,IF(EF210=0,0,IF(EE210&gt;AA210,0,IF(AND(AZ210&gt;AW210,AW210&gt;0),0,IF(CU210=0,0,Summary!AC513)))))</f>
        <v>0</v>
      </c>
      <c r="CD210" s="756">
        <f>IF(EE210=0,0,IF(EF210=0,0,IF(EE210&gt;AA210,0,IF(AND(AZ210&gt;AW210,AW210&gt;0),0,IF(CU210=0,0,Summary!AD513)))))</f>
        <v>0</v>
      </c>
      <c r="CE210" s="756">
        <f>IF(EF210=0,0,IF(EE210&gt;AA210,0,IF(CC210=0,0,IF(AND(AZ210&gt;AW210,AW210&gt;0),0,IF(CU210=0,0,Summary!AE513)))))</f>
        <v>0</v>
      </c>
      <c r="CF210" s="475">
        <f t="shared" si="278"/>
        <v>0</v>
      </c>
      <c r="CG210" s="476">
        <f t="shared" si="246"/>
        <v>0</v>
      </c>
      <c r="CH210" s="487">
        <f t="shared" si="279"/>
        <v>0</v>
      </c>
      <c r="CI210" s="756">
        <f t="shared" si="280"/>
        <v>0</v>
      </c>
      <c r="CJ210" s="487">
        <f>IF(CT210&gt;0.4,0,IF(AND(AU210=2,CH210=0,CT210=0.5,ER210=100),35,IF(AND(AU210=3,BB210&gt;75,CH210=0,CT210=0.5,ER210=100),25,IF(CB210&gt;1,0,IF(EF210&gt;EE210,0,IF(AND(AF210&gt;1,CH210=100),0,IF(AND(AF210=1,AY210=0),0,IF(AND(EF210&lt;=EE210,AW210&gt;=AZ210,'Data Entry'!$C$74=1,AU210=2),VLOOKUP(W210,$DO$96:$DP$102,2,FALSE),IF(AND(EF210&lt;=EE210,AW210&gt;=AZ210,AU210=3,'Data Entry'!$C$74=1),VLOOKUP(W210,$DO$127:$DP$134,2,FALSE))))))))))</f>
        <v>0</v>
      </c>
      <c r="CK210" s="716">
        <f t="shared" si="281"/>
        <v>0</v>
      </c>
      <c r="CL210" s="57">
        <f t="shared" si="282"/>
        <v>0</v>
      </c>
      <c r="CM210" s="475">
        <f t="shared" si="308"/>
        <v>0</v>
      </c>
      <c r="CN210" s="660">
        <f>IF(CM210&lt;0.1,0,IF(ISNA(AT210),0,IF(CL210+BC210=1,0,IF(BV210&gt;0.01,0,IF(CL210&gt;0.01,0,IF(CF210=1,0,IF(BC210=0.5,0,IF(AND(CI210=1,AU210=3),0,IF(AND(CI210=5,CL210=0),0,IF(AND(R210=12,BR210=50),0,IF(CK210&gt;0.01,0,IF(AND(AJ210&gt;0.01,AU210=2,BC210=15),CM210*0.1,IF(AND(AJ210&gt;0.01,AU210=3,BC210=15),CM210*0.08,IF(AND(R210=12,BC210=3,AF210&lt;=0),0,IF(AND(BC210=15,BI210=0),0,IF(AND(BC210=15,BJ210=0),0,IF(AND(R210=20,CU210=0),0,IF($X$4=0,0,IF(AND(BC210=250,CL210=0),0,IF(AA210&lt;1,0,IF(AND(ISNUMBER(SEARCH("Area",T210)),AU210=3),0,IF(AND(AQ210&gt;0.01,AR210=0,BK210=0,BL210=0,BM210=0,BN210=0),0,IF(AND(AU210=3,CI210=7,CT210&gt;0.5),0,IF(AND(BC210=44,AU210=3,BY210=0),0,IF(AND(BC210=27,'Data Entry'!$C$74=2),0,IF(AND(BC210=28,'Data Entry'!$C$74=2),0,IF(AND(BY210+BZ210+CA210&gt;0.01,BV210=0,EQ210+ER210+ES210+ET210&lt;100),0,IF(AU210=3,CM210*0.08,IF(AU210=2,CM210*0.1,0)))))))))))))))))))))))))))))</f>
        <v>0</v>
      </c>
      <c r="CO210" s="660">
        <f t="shared" si="283"/>
        <v>0</v>
      </c>
      <c r="CP210" s="475" t="str">
        <f t="shared" si="284"/>
        <v/>
      </c>
      <c r="CQ210" s="161" t="str">
        <f>IF(AH210=0,0,IF(AU210=5,0,Summary!AC213))</f>
        <v/>
      </c>
      <c r="CR210" s="161" t="str">
        <f>IF(BF210=0.5,0,IF(AU210=5,0,Summary!AD213))</f>
        <v/>
      </c>
      <c r="CS210" s="161" t="str">
        <f>IF(AU210=5,0,Summary!AE213)</f>
        <v/>
      </c>
      <c r="CT210" s="161">
        <f t="shared" si="285"/>
        <v>0</v>
      </c>
      <c r="CU210" s="475" t="str">
        <f t="shared" si="286"/>
        <v/>
      </c>
      <c r="CV210" s="307">
        <f>IF('Data Entry'!$C$74=0,0,IF(AA210&lt;1,0,IF(ISERROR(CU210),0,IF(CF210=1,0,IF(AND(R210=12,BR210=50),0,IF(CL210+BO210+BV210+DC210=0,0,IF(BC210=37,0,IF(AND(BC210=40,AJ210=0),0,IF(AND(BC210=37,BO210&gt;0.01,BQ210&gt;0.01),ROUND(BQ210,0),IF(CM210&lt;0,0,ROUND(CM210,0)))))))))))</f>
        <v>0</v>
      </c>
      <c r="CW210" s="700">
        <f t="shared" si="287"/>
        <v>0</v>
      </c>
      <c r="CX210" s="477">
        <f>IF('Data Entry'!$C$74=0,0,IF(CV210&lt;0.01,0,IF(BF210=0.5,0,IF(CF210=1,0,IF(ISNUMBER(SEARCH("false",CL210)),0,IF(AZ210=500,0,CL210))))))</f>
        <v>0</v>
      </c>
      <c r="CY210" s="147" t="e">
        <f t="shared" si="288"/>
        <v>#VALUE!</v>
      </c>
      <c r="CZ210" s="147" t="b">
        <f>IF(CN210+CL210=0,FALSE,IF(AH210=0,0,IF(AND('Data Entry'!$C$74=1,CR210&gt;=1),TRUE,IF(AND('Data Entry'!$C$74=2,CS210&gt;=1),TRUE,FALSE))))</f>
        <v>0</v>
      </c>
      <c r="DA210" s="1751">
        <f>IF('Data Entry'!$C$74=0,0,IFERROR(ROUND(IF(T210="","",IF($X$4=0,0,IF(CF210=1,0,IF(BQ210+CV210=0,0,IF(CF210=1,0,IF(CY210&gt;0.01,CY210,IF(CL210&gt;0.01,CL210,IF(CY210&gt;0.01,CY210,IF(BC210=37,BO210,IF(CZ210=FALSE,0,IF(CZ210=TRUE,DC210+DF210,0))))))))))),2),""))</f>
        <v>0</v>
      </c>
      <c r="DB210" s="1752"/>
      <c r="DC210" s="474">
        <f>IF(CN210&lt;0.01,0,IF(AND(BR210=3,CN210&gt;0.01,CT210&gt;0.6,ER210+ES210+ET210&lt;100),0,IF(AND('Data Entry'!$C$74=1,CN210&gt;0.01,CR210&gt;0.99),MIN(CN210:CO210),IF(AND('Data Entry'!$C$74=2,CN210&gt;0.01,CS210&gt;0.99),MIN(CN210:CO210),0))))</f>
        <v>0</v>
      </c>
      <c r="DD210" s="478">
        <f>IF(CF210=1,"Selection does not match",IF(T210=0,0,IF(AND('Data Entry'!$C$74=0,CP210&gt;1),"Select Oregon or Idaho on Data Entry Tab",IF(AND(AU210=1,AA210&gt;0.9),"Missing Interior or Exterior Selection",IF($X$4=0,"Enter Total Project Cost",IF(AQ210&lt;AR210,"Insufficient kWh savings – no incentive",IF(AND(SUM(CL210+CK210+BV210)&gt;0.01,'Data Entry'!$C$74=2,CJ210&gt;1,BO210=0),"Submit Control as Non-Standard",IF(AND('Data Entry'!$C$74=2,BR210=37,CJ210&gt;1,BO210=0),"Submit Control as Non-Standard",IF(SUM(CL210+CK210+BV210)&gt;0.01,"Standard Incentive",IF(AND('Data Entry'!$C$74=2,CP210=7,CN210=0),"Submit as Non-Standard",IF(DC210&gt;0.9,"Non-Standard Incentive",IF(AND(BY210+BZ210+CA210&gt;0.01,BV210=0,EQ210=0,ER210=0,ES210=0,ET210=0),"Scroll Right &amp; Select Control Strategies",IF(AND(CN210&gt;0.01,CO210=0),"Enter Unit Installed Cost",IF(ISNUMBER(SEARCH("Lighting Controls Only",F210)),"Lighting Controls Only",IF(CL210+DC210=0,"Does not meet incentive criteria",0)))))))))))))))</f>
        <v>0</v>
      </c>
      <c r="DE210" s="337">
        <f t="shared" si="289"/>
        <v>0</v>
      </c>
      <c r="DF210" s="609">
        <f t="shared" si="290"/>
        <v>0</v>
      </c>
      <c r="DG210" s="336" t="str">
        <f t="shared" si="291"/>
        <v/>
      </c>
      <c r="DH210" s="338">
        <f t="shared" si="292"/>
        <v>1</v>
      </c>
      <c r="DI210" s="336" t="e">
        <f t="shared" si="247"/>
        <v>#VALUE!</v>
      </c>
      <c r="DJ210" s="338">
        <f t="shared" si="248"/>
        <v>0</v>
      </c>
      <c r="DQ210" s="1454" t="s">
        <v>1594</v>
      </c>
      <c r="DR210" s="1455">
        <v>46</v>
      </c>
      <c r="DS210" s="1195">
        <f t="shared" si="293"/>
        <v>0</v>
      </c>
      <c r="DT210" s="344" t="b">
        <f t="shared" si="294"/>
        <v>1</v>
      </c>
      <c r="DU210" s="1314" t="str">
        <f t="array" ref="DU210">IF(OR(COUNTIF(F210,"*"&amp;$DK$9:$DK$178&amp;"*")), "Yes", "")</f>
        <v/>
      </c>
      <c r="DV210" s="1314">
        <f t="shared" si="295"/>
        <v>0</v>
      </c>
      <c r="DW210" s="1480">
        <f t="shared" si="296"/>
        <v>0</v>
      </c>
      <c r="DX210" s="1498">
        <f t="shared" si="305"/>
        <v>0</v>
      </c>
      <c r="DY210" s="1484">
        <f t="shared" si="297"/>
        <v>0</v>
      </c>
      <c r="DZ210" s="331"/>
      <c r="EA210" s="392"/>
      <c r="EB210" s="1499" t="s">
        <v>475</v>
      </c>
      <c r="EC210" s="727" t="s">
        <v>1569</v>
      </c>
      <c r="ED210" s="728">
        <v>0.5</v>
      </c>
      <c r="EE210" s="1215"/>
      <c r="EF210" s="1215"/>
      <c r="EG210" s="1184" t="str">
        <f t="shared" si="298"/>
        <v/>
      </c>
      <c r="EH210" s="81"/>
      <c r="EI210" s="81"/>
      <c r="EJ210" s="1185">
        <f t="shared" si="249"/>
        <v>0</v>
      </c>
      <c r="EK210" s="1211"/>
      <c r="EL210" s="1180">
        <f t="shared" si="250"/>
        <v>0</v>
      </c>
      <c r="EM210" s="206"/>
      <c r="EN210" s="1038"/>
      <c r="EO210" s="1038"/>
      <c r="EP210" s="1038"/>
      <c r="EQ210" s="1038">
        <f t="shared" si="299"/>
        <v>0</v>
      </c>
      <c r="ER210" s="1041">
        <f t="shared" si="300"/>
        <v>0</v>
      </c>
      <c r="ES210" s="1042">
        <f t="shared" si="301"/>
        <v>0</v>
      </c>
      <c r="ET210" s="1042">
        <f t="shared" si="306"/>
        <v>0</v>
      </c>
      <c r="EU210" s="1021">
        <f t="shared" si="307"/>
        <v>0</v>
      </c>
      <c r="EV210" s="368"/>
      <c r="EW210" s="368"/>
      <c r="EX210" s="369"/>
      <c r="EY210" s="370"/>
      <c r="EZ210" s="370"/>
      <c r="FA210" s="371"/>
      <c r="FB210" s="372"/>
    </row>
    <row r="211" spans="1:158" ht="34.5" customHeight="1">
      <c r="A211" s="82">
        <v>203</v>
      </c>
      <c r="B211" s="1806"/>
      <c r="C211" s="1807"/>
      <c r="D211" s="1807"/>
      <c r="E211" s="1808"/>
      <c r="F211" s="1809"/>
      <c r="G211" s="1810"/>
      <c r="H211" s="1810"/>
      <c r="I211" s="1811"/>
      <c r="J211" s="1301"/>
      <c r="K211" s="1814"/>
      <c r="L211" s="1814"/>
      <c r="M211" s="1017"/>
      <c r="N211" s="1584"/>
      <c r="O211" s="208" t="str">
        <f t="shared" si="237"/>
        <v/>
      </c>
      <c r="P211" s="785"/>
      <c r="Q211" s="39" t="str">
        <f t="shared" si="238"/>
        <v/>
      </c>
      <c r="R211" s="39">
        <f t="shared" si="251"/>
        <v>0</v>
      </c>
      <c r="S211" s="234">
        <f t="shared" si="252"/>
        <v>0</v>
      </c>
      <c r="T211" s="1815"/>
      <c r="U211" s="1815"/>
      <c r="V211" s="1815"/>
      <c r="W211" s="1121"/>
      <c r="X211" s="1812"/>
      <c r="Y211" s="1813"/>
      <c r="Z211" s="703"/>
      <c r="AA211" s="1280"/>
      <c r="AB211" s="1141"/>
      <c r="AC211" s="1103" t="str">
        <f>IF(T211="","",VLOOKUP(Z211,Lists!$A$60:$B$111,2,FALSE))</f>
        <v/>
      </c>
      <c r="AD211" s="130" t="str">
        <f t="shared" si="253"/>
        <v/>
      </c>
      <c r="AE211" s="130" t="e">
        <f t="shared" si="254"/>
        <v>#VALUE!</v>
      </c>
      <c r="AF211" s="130">
        <f t="shared" si="255"/>
        <v>1</v>
      </c>
      <c r="AG211" s="234">
        <f t="shared" si="239"/>
        <v>0</v>
      </c>
      <c r="AH211" s="1753" t="str">
        <f>IF(T211="","",(IF(ISNUMBER(SEARCH("exit",T211)),8760,IF(AND(M211="Dusk to Dawn",'Proposed Lighting'!AU211=3),4059,IF(AND(AU211=3,M211="1"),0,IF(AND(AU211=3,M211="1-C"),0,IF(AND(AU211=3,M211="2"),0,IF(AND(AU211=3,M211="2-C"),0,IF(AND(AU211=3,M211="3"),0,IF(AND(AU211=3,M211="3-C"),0,IF(AND(AU211=2,M211="Dusk to Dawn"),0,IF(AND(AU211=2,M211="Dusk to Dawn-C"),0,IF(AND(AU211=2,M211="Dusk to Dawn"),0,IF(AND(AU211=2,M211="E"),0,IF(AND(AU211=2,M211="E-C"),0,EG211)))))))))))))))</f>
        <v/>
      </c>
      <c r="AI211" s="1754"/>
      <c r="AJ211" s="1136"/>
      <c r="AK211" s="1136"/>
      <c r="AL211" s="1748">
        <f t="shared" si="256"/>
        <v>0</v>
      </c>
      <c r="AM211" s="1749"/>
      <c r="AN211" s="1750"/>
      <c r="AO211" s="476">
        <f t="shared" si="240"/>
        <v>0</v>
      </c>
      <c r="AP211" s="476">
        <f t="shared" si="257"/>
        <v>0</v>
      </c>
      <c r="AQ211" s="475">
        <f t="shared" si="241"/>
        <v>0</v>
      </c>
      <c r="AR211" s="475">
        <f t="shared" si="258"/>
        <v>0</v>
      </c>
      <c r="AS211" s="743" t="str">
        <f t="shared" si="233"/>
        <v/>
      </c>
      <c r="AT211" s="736" t="str">
        <f t="shared" si="259"/>
        <v/>
      </c>
      <c r="AU211" s="56">
        <f t="shared" si="260"/>
        <v>1</v>
      </c>
      <c r="AV211" s="476">
        <f t="shared" si="261"/>
        <v>0</v>
      </c>
      <c r="AW211" s="56">
        <f t="shared" si="262"/>
        <v>0</v>
      </c>
      <c r="AX211" s="475">
        <f t="shared" si="242"/>
        <v>0</v>
      </c>
      <c r="AY211" s="1169">
        <f t="shared" si="263"/>
        <v>0</v>
      </c>
      <c r="AZ211" s="1150">
        <f t="shared" si="302"/>
        <v>0</v>
      </c>
      <c r="BA211" s="56">
        <f t="shared" si="243"/>
        <v>0</v>
      </c>
      <c r="BB211" s="420">
        <f t="shared" si="244"/>
        <v>0</v>
      </c>
      <c r="BC211" s="58" t="str">
        <f t="shared" si="245"/>
        <v/>
      </c>
      <c r="BD211" s="660">
        <f t="shared" si="303"/>
        <v>0</v>
      </c>
      <c r="BE211" s="57" t="e">
        <f t="array" ref="BE211">INDEX($EB$11:$ED$1022,MATCH(F211&amp;T211,$EB$11:$EB$1007&amp;$EC$11:$EC$1007,0),3)</f>
        <v>#N/A</v>
      </c>
      <c r="BF211" s="463">
        <f t="shared" si="234"/>
        <v>0</v>
      </c>
      <c r="BG211" s="1445" t="e">
        <f t="array" ref="BG211">INDEX($DO$112:$DQ$123,MATCH(T211&amp;W211,$DO$114:$DO$125&amp;$DP$112:$DP$123,0),3)</f>
        <v>#N/A</v>
      </c>
      <c r="BH211" s="1446">
        <f t="shared" si="264"/>
        <v>0</v>
      </c>
      <c r="BI211" s="465">
        <f t="shared" si="265"/>
        <v>0</v>
      </c>
      <c r="BJ211" s="465">
        <f t="shared" si="266"/>
        <v>0</v>
      </c>
      <c r="BK211" s="466">
        <f t="shared" si="235"/>
        <v>0</v>
      </c>
      <c r="BL211" s="466">
        <f t="shared" si="236"/>
        <v>0</v>
      </c>
      <c r="BM211" s="466">
        <f t="shared" si="267"/>
        <v>0</v>
      </c>
      <c r="BN211" s="466">
        <f t="shared" si="268"/>
        <v>0</v>
      </c>
      <c r="BO211" s="463">
        <f>IF('Data Entry'!$C$74=0,0,IF(ISNA(CJ211),0,IF(AX211=0,0,IF(AND('Data Entry'!$C$74=2,AF211&gt;2,CE211&lt;1),0,IF(AND('Data Entry'!$C$74=2,AF211&gt;1,AU211=2,CJ211&gt;1),0,IF(AND(AF211=5,CT211=0.5,AU211=2,ER211&lt;100),0,IF(AND(AF211=5,CT211=0.5,AU211=3,ER211&lt;100),0,IF(AND('Data Entry'!$C$74=2,AF211=2,AU211=2,AK211&gt;0.01,CB211=2,CE211&lt;1),0,IF(AND('Data Entry'!$C$74=2,AF211=3,AU211=3,AK211&gt;0.01,CB211=3,CE211&lt;1),0,IF(AND('Data Entry'!$C$74=2,AF211=3,AU211=3,AK211&gt;0.01,CB211=3,CE211&gt;0.99),BQ211*0.08,IF(AND('Data Entry'!$C$74=2,AF211=2,AU211=2,AK211&gt;0.01,CB211=2,CE211&gt;0.99),BQ211*0.1,IF(AND(AU211=2,AK211&gt;0.01,CB211=2,CD211&gt;1),BQ211*0.1,IF(AND(AU211=3,AK211&gt;0.01,CB211=3,CD211&gt;1),BQ211*0.08,CJ211*EF211)))))))))))))</f>
        <v>0</v>
      </c>
      <c r="BP211" s="475">
        <f t="shared" si="269"/>
        <v>0</v>
      </c>
      <c r="BQ211" s="1431">
        <f>IF(AU211=1,0,IF(CH211=100,0,IF(AND(AF211=3,AU211=2),0,IF(AND(BH211=0,CT211&gt;0.4),0,IF(AND('Data Entry'!$C$74=2,AF211=1.5),0,IF(AND('Data Entry'!$C$74=2,AF211=1.6),0,IF(AND('Data Entry'!$C$74=2,AF211=4),0,IF(AND('Data Entry'!$C$74=2,AF211=5),0,IF(AND('Data Entry'!$C$74=2,AF211=2.5,CE211&lt;1),0,IF(AND('Data Entry'!$C$74=2,AF211=3,CE211&lt;1),0,IF(AND('Data Entry'!$C$74=1,AF211=2.5,CD211&lt;1),0,IF(AND('Data Entry'!$C$74=1,AF211=3,CD211&lt;1),0,IF(DX211&gt;0.01,DX211,IF(ISERROR(AX211-AY211),"",ROUND(AX211-AY211,2)))))))))))))))</f>
        <v>0</v>
      </c>
      <c r="BR211" s="146">
        <f t="shared" si="270"/>
        <v>0</v>
      </c>
      <c r="BS211" s="475">
        <f t="shared" si="271"/>
        <v>0</v>
      </c>
      <c r="BT211" s="146" t="b">
        <f t="shared" si="272"/>
        <v>0</v>
      </c>
      <c r="BU211" s="463">
        <f>IF(ISNA(AT211),0,IF(AND('Data Entry'!$C$74=2,BC211=27),0,IF(AND('Data Entry'!$C$74=2,BC211=28),0,IF(AND(BC211=27,BT211=27,CM211&gt;0.1),CM211*0.15,IF(AND(BC211=28,BT211=28,CM211&gt;0.1),CM211*0.12,0)))))</f>
        <v>0</v>
      </c>
      <c r="BV211" s="463">
        <f t="shared" si="232"/>
        <v>0</v>
      </c>
      <c r="BW211" s="463">
        <f t="shared" si="273"/>
        <v>0</v>
      </c>
      <c r="BX211" s="463">
        <f t="shared" si="274"/>
        <v>0</v>
      </c>
      <c r="BY211" s="463">
        <f t="shared" si="275"/>
        <v>0</v>
      </c>
      <c r="BZ211" s="463">
        <f t="shared" si="276"/>
        <v>0</v>
      </c>
      <c r="CA211" s="57">
        <f t="shared" si="304"/>
        <v>0</v>
      </c>
      <c r="CB211" s="56">
        <f t="shared" si="277"/>
        <v>1</v>
      </c>
      <c r="CC211" s="756">
        <f>IF(EE211=0,0,IF(EF211=0,0,IF(EE211&gt;AA211,0,IF(AND(AZ211&gt;AW211,AW211&gt;0),0,IF(CU211=0,0,Summary!AC514)))))</f>
        <v>0</v>
      </c>
      <c r="CD211" s="756">
        <f>IF(EE211=0,0,IF(EF211=0,0,IF(EE211&gt;AA211,0,IF(AND(AZ211&gt;AW211,AW211&gt;0),0,IF(CU211=0,0,Summary!AD514)))))</f>
        <v>0</v>
      </c>
      <c r="CE211" s="756">
        <f>IF(EF211=0,0,IF(EE211&gt;AA211,0,IF(CC211=0,0,IF(AND(AZ211&gt;AW211,AW211&gt;0),0,IF(CU211=0,0,Summary!AE514)))))</f>
        <v>0</v>
      </c>
      <c r="CF211" s="475">
        <f t="shared" si="278"/>
        <v>0</v>
      </c>
      <c r="CG211" s="476">
        <f t="shared" si="246"/>
        <v>0</v>
      </c>
      <c r="CH211" s="487">
        <f t="shared" si="279"/>
        <v>0</v>
      </c>
      <c r="CI211" s="756">
        <f t="shared" si="280"/>
        <v>0</v>
      </c>
      <c r="CJ211" s="487">
        <f>IF(CT211&gt;0.4,0,IF(AND(AU211=2,CH211=0,CT211=0.5,ER211=100),35,IF(AND(AU211=3,BB211&gt;75,CH211=0,CT211=0.5,ER211=100),25,IF(CB211&gt;1,0,IF(EF211&gt;EE211,0,IF(AND(AF211&gt;1,CH211=100),0,IF(AND(AF211=1,AY211=0),0,IF(AND(EF211&lt;=EE211,AW211&gt;=AZ211,'Data Entry'!$C$74=1,AU211=2),VLOOKUP(W211,$DO$96:$DP$102,2,FALSE),IF(AND(EF211&lt;=EE211,AW211&gt;=AZ211,AU211=3,'Data Entry'!$C$74=1),VLOOKUP(W211,$DO$127:$DP$134,2,FALSE))))))))))</f>
        <v>0</v>
      </c>
      <c r="CK211" s="716">
        <f t="shared" si="281"/>
        <v>0</v>
      </c>
      <c r="CL211" s="57">
        <f t="shared" si="282"/>
        <v>0</v>
      </c>
      <c r="CM211" s="475">
        <f t="shared" si="308"/>
        <v>0</v>
      </c>
      <c r="CN211" s="660">
        <f>IF(CM211&lt;0.1,0,IF(ISNA(AT211),0,IF(CL211+BC211=1,0,IF(BV211&gt;0.01,0,IF(CL211&gt;0.01,0,IF(CF211=1,0,IF(BC211=0.5,0,IF(AND(CI211=1,AU211=3),0,IF(AND(CI211=5,CL211=0),0,IF(AND(R211=12,BR211=50),0,IF(CK211&gt;0.01,0,IF(AND(AJ211&gt;0.01,AU211=2,BC211=15),CM211*0.1,IF(AND(AJ211&gt;0.01,AU211=3,BC211=15),CM211*0.08,IF(AND(R211=12,BC211=3,AF211&lt;=0),0,IF(AND(BC211=15,BI211=0),0,IF(AND(BC211=15,BJ211=0),0,IF(AND(R211=20,CU211=0),0,IF($X$4=0,0,IF(AND(BC211=250,CL211=0),0,IF(AA211&lt;1,0,IF(AND(ISNUMBER(SEARCH("Area",T211)),AU211=3),0,IF(AND(AQ211&gt;0.01,AR211=0,BK211=0,BL211=0,BM211=0,BN211=0),0,IF(AND(AU211=3,CI211=7,CT211&gt;0.5),0,IF(AND(BC211=44,AU211=3,BY211=0),0,IF(AND(BC211=27,'Data Entry'!$C$74=2),0,IF(AND(BC211=28,'Data Entry'!$C$74=2),0,IF(AND(BY211+BZ211+CA211&gt;0.01,BV211=0,EQ211+ER211+ES211+ET211&lt;100),0,IF(AU211=3,CM211*0.08,IF(AU211=2,CM211*0.1,0)))))))))))))))))))))))))))))</f>
        <v>0</v>
      </c>
      <c r="CO211" s="660">
        <f t="shared" si="283"/>
        <v>0</v>
      </c>
      <c r="CP211" s="475" t="str">
        <f t="shared" si="284"/>
        <v/>
      </c>
      <c r="CQ211" s="161" t="str">
        <f>IF(AH211=0,0,IF(AU211=5,0,Summary!AC214))</f>
        <v/>
      </c>
      <c r="CR211" s="161" t="str">
        <f>IF(BF211=0.5,0,IF(AU211=5,0,Summary!AD214))</f>
        <v/>
      </c>
      <c r="CS211" s="161" t="str">
        <f>IF(AU211=5,0,Summary!AE214)</f>
        <v/>
      </c>
      <c r="CT211" s="161">
        <f t="shared" si="285"/>
        <v>0</v>
      </c>
      <c r="CU211" s="475" t="str">
        <f t="shared" si="286"/>
        <v/>
      </c>
      <c r="CV211" s="307">
        <f>IF('Data Entry'!$C$74=0,0,IF(AA211&lt;1,0,IF(ISERROR(CU211),0,IF(CF211=1,0,IF(AND(R211=12,BR211=50),0,IF(CL211+BO211+BV211+DC211=0,0,IF(BC211=37,0,IF(AND(BC211=40,AJ211=0),0,IF(AND(BC211=37,BO211&gt;0.01,BQ211&gt;0.01),ROUND(BQ211,0),IF(CM211&lt;0,0,ROUND(CM211,0)))))))))))</f>
        <v>0</v>
      </c>
      <c r="CW211" s="700">
        <f t="shared" si="287"/>
        <v>0</v>
      </c>
      <c r="CX211" s="477">
        <f>IF('Data Entry'!$C$74=0,0,IF(CV211&lt;0.01,0,IF(BF211=0.5,0,IF(CF211=1,0,IF(ISNUMBER(SEARCH("false",CL211)),0,IF(AZ211=500,0,CL211))))))</f>
        <v>0</v>
      </c>
      <c r="CY211" s="147" t="e">
        <f t="shared" si="288"/>
        <v>#VALUE!</v>
      </c>
      <c r="CZ211" s="147" t="b">
        <f>IF(CN211+CL211=0,FALSE,IF(AH211=0,0,IF(AND('Data Entry'!$C$74=1,CR211&gt;=1),TRUE,IF(AND('Data Entry'!$C$74=2,CS211&gt;=1),TRUE,FALSE))))</f>
        <v>0</v>
      </c>
      <c r="DA211" s="1751">
        <f>IF('Data Entry'!$C$74=0,0,IFERROR(ROUND(IF(T211="","",IF($X$4=0,0,IF(CF211=1,0,IF(BQ211+CV211=0,0,IF(CF211=1,0,IF(CY211&gt;0.01,CY211,IF(CL211&gt;0.01,CL211,IF(CY211&gt;0.01,CY211,IF(BC211=37,BO211,IF(CZ211=FALSE,0,IF(CZ211=TRUE,DC211+DF211,0))))))))))),2),""))</f>
        <v>0</v>
      </c>
      <c r="DB211" s="1752"/>
      <c r="DC211" s="474">
        <f>IF(CN211&lt;0.01,0,IF(AND(BR211=3,CN211&gt;0.01,CT211&gt;0.6,ER211+ES211+ET211&lt;100),0,IF(AND('Data Entry'!$C$74=1,CN211&gt;0.01,CR211&gt;0.99),MIN(CN211:CO211),IF(AND('Data Entry'!$C$74=2,CN211&gt;0.01,CS211&gt;0.99),MIN(CN211:CO211),0))))</f>
        <v>0</v>
      </c>
      <c r="DD211" s="478">
        <f>IF(CF211=1,"Selection does not match",IF(T211=0,0,IF(AND('Data Entry'!$C$74=0,CP211&gt;1),"Select Oregon or Idaho on Data Entry Tab",IF(AND(AU211=1,AA211&gt;0.9),"Missing Interior or Exterior Selection",IF($X$4=0,"Enter Total Project Cost",IF(AQ211&lt;AR211,"Insufficient kWh savings – no incentive",IF(AND(SUM(CL211+CK211+BV211)&gt;0.01,'Data Entry'!$C$74=2,CJ211&gt;1,BO211=0),"Submit Control as Non-Standard",IF(AND('Data Entry'!$C$74=2,BR211=37,CJ211&gt;1,BO211=0),"Submit Control as Non-Standard",IF(SUM(CL211+CK211+BV211)&gt;0.01,"Standard Incentive",IF(AND('Data Entry'!$C$74=2,CP211=7,CN211=0),"Submit as Non-Standard",IF(DC211&gt;0.9,"Non-Standard Incentive",IF(AND(BY211+BZ211+CA211&gt;0.01,BV211=0,EQ211=0,ER211=0,ES211=0,ET211=0),"Scroll Right &amp; Select Control Strategies",IF(AND(CN211&gt;0.01,CO211=0),"Enter Unit Installed Cost",IF(ISNUMBER(SEARCH("Lighting Controls Only",F211)),"Lighting Controls Only",IF(CL211+DC211=0,"Does not meet incentive criteria",0)))))))))))))))</f>
        <v>0</v>
      </c>
      <c r="DE211" s="337">
        <f t="shared" si="289"/>
        <v>0</v>
      </c>
      <c r="DF211" s="609">
        <f t="shared" si="290"/>
        <v>0</v>
      </c>
      <c r="DG211" s="336" t="str">
        <f t="shared" si="291"/>
        <v/>
      </c>
      <c r="DH211" s="338">
        <f t="shared" si="292"/>
        <v>1</v>
      </c>
      <c r="DI211" s="336" t="e">
        <f t="shared" si="247"/>
        <v>#VALUE!</v>
      </c>
      <c r="DJ211" s="338">
        <f t="shared" si="248"/>
        <v>0</v>
      </c>
      <c r="DQ211" s="1454" t="s">
        <v>1607</v>
      </c>
      <c r="DR211" s="1455">
        <v>48</v>
      </c>
      <c r="DS211" s="1195">
        <f t="shared" si="293"/>
        <v>0</v>
      </c>
      <c r="DT211" s="344" t="b">
        <f t="shared" si="294"/>
        <v>1</v>
      </c>
      <c r="DU211" s="1314" t="str">
        <f t="array" ref="DU211">IF(OR(COUNTIF(F211,"*"&amp;$DK$9:$DK$178&amp;"*")), "Yes", "")</f>
        <v/>
      </c>
      <c r="DV211" s="1314">
        <f t="shared" si="295"/>
        <v>0</v>
      </c>
      <c r="DW211" s="1480">
        <f t="shared" si="296"/>
        <v>0</v>
      </c>
      <c r="DX211" s="1498">
        <f t="shared" si="305"/>
        <v>0</v>
      </c>
      <c r="DY211" s="1484">
        <f t="shared" si="297"/>
        <v>0</v>
      </c>
      <c r="DZ211" s="331"/>
      <c r="EA211" s="392"/>
      <c r="EB211" s="1499" t="s">
        <v>1561</v>
      </c>
      <c r="EC211" s="727" t="s">
        <v>1569</v>
      </c>
      <c r="ED211" s="728">
        <v>0.5</v>
      </c>
      <c r="EE211" s="1215"/>
      <c r="EF211" s="1215"/>
      <c r="EG211" s="1184" t="str">
        <f t="shared" si="298"/>
        <v/>
      </c>
      <c r="EH211" s="81"/>
      <c r="EI211" s="81"/>
      <c r="EJ211" s="1185">
        <f t="shared" si="249"/>
        <v>0</v>
      </c>
      <c r="EK211" s="1211"/>
      <c r="EL211" s="1180">
        <f t="shared" si="250"/>
        <v>0</v>
      </c>
      <c r="EM211" s="206"/>
      <c r="EN211" s="1038"/>
      <c r="EO211" s="1038"/>
      <c r="EP211" s="1038"/>
      <c r="EQ211" s="1038">
        <f t="shared" si="299"/>
        <v>0</v>
      </c>
      <c r="ER211" s="1041">
        <f t="shared" si="300"/>
        <v>0</v>
      </c>
      <c r="ES211" s="1042">
        <f t="shared" si="301"/>
        <v>0</v>
      </c>
      <c r="ET211" s="1042">
        <f t="shared" si="306"/>
        <v>0</v>
      </c>
      <c r="EU211" s="1021">
        <f t="shared" si="307"/>
        <v>0</v>
      </c>
      <c r="EV211" s="368"/>
      <c r="EW211" s="368"/>
      <c r="EX211" s="369"/>
      <c r="EY211" s="370"/>
      <c r="EZ211" s="370"/>
      <c r="FA211" s="371"/>
      <c r="FB211" s="372"/>
    </row>
    <row r="212" spans="1:158" ht="34.5" customHeight="1">
      <c r="A212" s="82">
        <v>204</v>
      </c>
      <c r="B212" s="1806"/>
      <c r="C212" s="1807"/>
      <c r="D212" s="1807"/>
      <c r="E212" s="1808"/>
      <c r="F212" s="1809"/>
      <c r="G212" s="1810"/>
      <c r="H212" s="1810"/>
      <c r="I212" s="1811"/>
      <c r="J212" s="1301"/>
      <c r="K212" s="1814"/>
      <c r="L212" s="1814"/>
      <c r="M212" s="1017"/>
      <c r="N212" s="1584"/>
      <c r="O212" s="208" t="str">
        <f t="shared" si="237"/>
        <v/>
      </c>
      <c r="P212" s="785"/>
      <c r="Q212" s="39" t="str">
        <f t="shared" si="238"/>
        <v/>
      </c>
      <c r="R212" s="39">
        <f t="shared" si="251"/>
        <v>0</v>
      </c>
      <c r="S212" s="234">
        <f t="shared" si="252"/>
        <v>0</v>
      </c>
      <c r="T212" s="1815"/>
      <c r="U212" s="1815"/>
      <c r="V212" s="1815"/>
      <c r="W212" s="1121"/>
      <c r="X212" s="1812"/>
      <c r="Y212" s="1813"/>
      <c r="Z212" s="703"/>
      <c r="AA212" s="1280"/>
      <c r="AB212" s="1141"/>
      <c r="AC212" s="1103" t="str">
        <f>IF(T212="","",VLOOKUP(Z212,Lists!$A$60:$B$111,2,FALSE))</f>
        <v/>
      </c>
      <c r="AD212" s="130" t="str">
        <f t="shared" si="253"/>
        <v/>
      </c>
      <c r="AE212" s="130" t="e">
        <f t="shared" si="254"/>
        <v>#VALUE!</v>
      </c>
      <c r="AF212" s="130">
        <f t="shared" si="255"/>
        <v>1</v>
      </c>
      <c r="AG212" s="234">
        <f t="shared" si="239"/>
        <v>0</v>
      </c>
      <c r="AH212" s="1753" t="str">
        <f>IF(T212="","",(IF(ISNUMBER(SEARCH("exit",T212)),8760,IF(AND(M212="Dusk to Dawn",'Proposed Lighting'!AU212=3),4059,IF(AND(AU212=3,M212="1"),0,IF(AND(AU212=3,M212="1-C"),0,IF(AND(AU212=3,M212="2"),0,IF(AND(AU212=3,M212="2-C"),0,IF(AND(AU212=3,M212="3"),0,IF(AND(AU212=3,M212="3-C"),0,IF(AND(AU212=2,M212="Dusk to Dawn"),0,IF(AND(AU212=2,M212="Dusk to Dawn-C"),0,IF(AND(AU212=2,M212="Dusk to Dawn"),0,IF(AND(AU212=2,M212="E"),0,IF(AND(AU212=2,M212="E-C"),0,EG212)))))))))))))))</f>
        <v/>
      </c>
      <c r="AI212" s="1754"/>
      <c r="AJ212" s="1136"/>
      <c r="AK212" s="1136"/>
      <c r="AL212" s="1748">
        <f t="shared" si="256"/>
        <v>0</v>
      </c>
      <c r="AM212" s="1749"/>
      <c r="AN212" s="1750"/>
      <c r="AO212" s="476">
        <f t="shared" si="240"/>
        <v>0</v>
      </c>
      <c r="AP212" s="476">
        <f t="shared" si="257"/>
        <v>0</v>
      </c>
      <c r="AQ212" s="475">
        <f t="shared" si="241"/>
        <v>0</v>
      </c>
      <c r="AR212" s="475">
        <f t="shared" si="258"/>
        <v>0</v>
      </c>
      <c r="AS212" s="743" t="str">
        <f t="shared" si="233"/>
        <v/>
      </c>
      <c r="AT212" s="736" t="str">
        <f t="shared" si="259"/>
        <v/>
      </c>
      <c r="AU212" s="56">
        <f t="shared" si="260"/>
        <v>1</v>
      </c>
      <c r="AV212" s="476">
        <f t="shared" si="261"/>
        <v>0</v>
      </c>
      <c r="AW212" s="56">
        <f t="shared" si="262"/>
        <v>0</v>
      </c>
      <c r="AX212" s="475">
        <f t="shared" si="242"/>
        <v>0</v>
      </c>
      <c r="AY212" s="1169">
        <f t="shared" si="263"/>
        <v>0</v>
      </c>
      <c r="AZ212" s="1150">
        <f t="shared" si="302"/>
        <v>0</v>
      </c>
      <c r="BA212" s="56">
        <f t="shared" si="243"/>
        <v>0</v>
      </c>
      <c r="BB212" s="420">
        <f t="shared" si="244"/>
        <v>0</v>
      </c>
      <c r="BC212" s="58" t="str">
        <f t="shared" si="245"/>
        <v/>
      </c>
      <c r="BD212" s="660">
        <f t="shared" si="303"/>
        <v>0</v>
      </c>
      <c r="BE212" s="57" t="e">
        <f t="array" ref="BE212">INDEX($EB$11:$ED$1022,MATCH(F212&amp;T212,$EB$11:$EB$1007&amp;$EC$11:$EC$1007,0),3)</f>
        <v>#N/A</v>
      </c>
      <c r="BF212" s="463">
        <f t="shared" si="234"/>
        <v>0</v>
      </c>
      <c r="BG212" s="1445" t="e">
        <f t="array" ref="BG212">INDEX($DO$112:$DQ$123,MATCH(T212&amp;W212,$DO$114:$DO$125&amp;$DP$112:$DP$123,0),3)</f>
        <v>#N/A</v>
      </c>
      <c r="BH212" s="1446">
        <f t="shared" si="264"/>
        <v>0</v>
      </c>
      <c r="BI212" s="465">
        <f t="shared" si="265"/>
        <v>0</v>
      </c>
      <c r="BJ212" s="465">
        <f t="shared" si="266"/>
        <v>0</v>
      </c>
      <c r="BK212" s="466">
        <f t="shared" si="235"/>
        <v>0</v>
      </c>
      <c r="BL212" s="466">
        <f t="shared" si="236"/>
        <v>0</v>
      </c>
      <c r="BM212" s="466">
        <f t="shared" si="267"/>
        <v>0</v>
      </c>
      <c r="BN212" s="466">
        <f t="shared" si="268"/>
        <v>0</v>
      </c>
      <c r="BO212" s="463">
        <f>IF('Data Entry'!$C$74=0,0,IF(ISNA(CJ212),0,IF(AX212=0,0,IF(AND('Data Entry'!$C$74=2,AF212&gt;2,CE212&lt;1),0,IF(AND('Data Entry'!$C$74=2,AF212&gt;1,AU212=2,CJ212&gt;1),0,IF(AND(AF212=5,CT212=0.5,AU212=2,ER212&lt;100),0,IF(AND(AF212=5,CT212=0.5,AU212=3,ER212&lt;100),0,IF(AND('Data Entry'!$C$74=2,AF212=2,AU212=2,AK212&gt;0.01,CB212=2,CE212&lt;1),0,IF(AND('Data Entry'!$C$74=2,AF212=3,AU212=3,AK212&gt;0.01,CB212=3,CE212&lt;1),0,IF(AND('Data Entry'!$C$74=2,AF212=3,AU212=3,AK212&gt;0.01,CB212=3,CE212&gt;0.99),BQ212*0.08,IF(AND('Data Entry'!$C$74=2,AF212=2,AU212=2,AK212&gt;0.01,CB212=2,CE212&gt;0.99),BQ212*0.1,IF(AND(AU212=2,AK212&gt;0.01,CB212=2,CD212&gt;1),BQ212*0.1,IF(AND(AU212=3,AK212&gt;0.01,CB212=3,CD212&gt;1),BQ212*0.08,CJ212*EF212)))))))))))))</f>
        <v>0</v>
      </c>
      <c r="BP212" s="475">
        <f t="shared" si="269"/>
        <v>0</v>
      </c>
      <c r="BQ212" s="1431">
        <f>IF(AU212=1,0,IF(CH212=100,0,IF(AND(AF212=3,AU212=2),0,IF(AND(BH212=0,CT212&gt;0.4),0,IF(AND('Data Entry'!$C$74=2,AF212=1.5),0,IF(AND('Data Entry'!$C$74=2,AF212=1.6),0,IF(AND('Data Entry'!$C$74=2,AF212=4),0,IF(AND('Data Entry'!$C$74=2,AF212=5),0,IF(AND('Data Entry'!$C$74=2,AF212=2.5,CE212&lt;1),0,IF(AND('Data Entry'!$C$74=2,AF212=3,CE212&lt;1),0,IF(AND('Data Entry'!$C$74=1,AF212=2.5,CD212&lt;1),0,IF(AND('Data Entry'!$C$74=1,AF212=3,CD212&lt;1),0,IF(DX212&gt;0.01,DX212,IF(ISERROR(AX212-AY212),"",ROUND(AX212-AY212,2)))))))))))))))</f>
        <v>0</v>
      </c>
      <c r="BR212" s="146">
        <f t="shared" si="270"/>
        <v>0</v>
      </c>
      <c r="BS212" s="475">
        <f t="shared" si="271"/>
        <v>0</v>
      </c>
      <c r="BT212" s="146" t="b">
        <f t="shared" si="272"/>
        <v>0</v>
      </c>
      <c r="BU212" s="463">
        <f>IF(ISNA(AT212),0,IF(AND('Data Entry'!$C$74=2,BC212=27),0,IF(AND('Data Entry'!$C$74=2,BC212=28),0,IF(AND(BC212=27,BT212=27,CM212&gt;0.1),CM212*0.15,IF(AND(BC212=28,BT212=28,CM212&gt;0.1),CM212*0.12,0)))))</f>
        <v>0</v>
      </c>
      <c r="BV212" s="463">
        <f t="shared" si="232"/>
        <v>0</v>
      </c>
      <c r="BW212" s="463">
        <f t="shared" si="273"/>
        <v>0</v>
      </c>
      <c r="BX212" s="463">
        <f t="shared" si="274"/>
        <v>0</v>
      </c>
      <c r="BY212" s="463">
        <f t="shared" si="275"/>
        <v>0</v>
      </c>
      <c r="BZ212" s="463">
        <f t="shared" si="276"/>
        <v>0</v>
      </c>
      <c r="CA212" s="57">
        <f t="shared" si="304"/>
        <v>0</v>
      </c>
      <c r="CB212" s="56">
        <f t="shared" si="277"/>
        <v>1</v>
      </c>
      <c r="CC212" s="756">
        <f>IF(EE212=0,0,IF(EF212=0,0,IF(EE212&gt;AA212,0,IF(AND(AZ212&gt;AW212,AW212&gt;0),0,IF(CU212=0,0,Summary!AC515)))))</f>
        <v>0</v>
      </c>
      <c r="CD212" s="756">
        <f>IF(EE212=0,0,IF(EF212=0,0,IF(EE212&gt;AA212,0,IF(AND(AZ212&gt;AW212,AW212&gt;0),0,IF(CU212=0,0,Summary!AD515)))))</f>
        <v>0</v>
      </c>
      <c r="CE212" s="756">
        <f>IF(EF212=0,0,IF(EE212&gt;AA212,0,IF(CC212=0,0,IF(AND(AZ212&gt;AW212,AW212&gt;0),0,IF(CU212=0,0,Summary!AE515)))))</f>
        <v>0</v>
      </c>
      <c r="CF212" s="475">
        <f t="shared" si="278"/>
        <v>0</v>
      </c>
      <c r="CG212" s="476">
        <f t="shared" si="246"/>
        <v>0</v>
      </c>
      <c r="CH212" s="487">
        <f t="shared" si="279"/>
        <v>0</v>
      </c>
      <c r="CI212" s="756">
        <f t="shared" si="280"/>
        <v>0</v>
      </c>
      <c r="CJ212" s="487">
        <f>IF(CT212&gt;0.4,0,IF(AND(AU212=2,CH212=0,CT212=0.5,ER212=100),35,IF(AND(AU212=3,BB212&gt;75,CH212=0,CT212=0.5,ER212=100),25,IF(CB212&gt;1,0,IF(EF212&gt;EE212,0,IF(AND(AF212&gt;1,CH212=100),0,IF(AND(AF212=1,AY212=0),0,IF(AND(EF212&lt;=EE212,AW212&gt;=AZ212,'Data Entry'!$C$74=1,AU212=2),VLOOKUP(W212,$DO$96:$DP$102,2,FALSE),IF(AND(EF212&lt;=EE212,AW212&gt;=AZ212,AU212=3,'Data Entry'!$C$74=1),VLOOKUP(W212,$DO$127:$DP$134,2,FALSE))))))))))</f>
        <v>0</v>
      </c>
      <c r="CK212" s="716">
        <f t="shared" si="281"/>
        <v>0</v>
      </c>
      <c r="CL212" s="57">
        <f t="shared" si="282"/>
        <v>0</v>
      </c>
      <c r="CM212" s="475">
        <f t="shared" si="308"/>
        <v>0</v>
      </c>
      <c r="CN212" s="660">
        <f>IF(CM212&lt;0.1,0,IF(ISNA(AT212),0,IF(CL212+BC212=1,0,IF(BV212&gt;0.01,0,IF(CL212&gt;0.01,0,IF(CF212=1,0,IF(BC212=0.5,0,IF(AND(CI212=1,AU212=3),0,IF(AND(CI212=5,CL212=0),0,IF(AND(R212=12,BR212=50),0,IF(CK212&gt;0.01,0,IF(AND(AJ212&gt;0.01,AU212=2,BC212=15),CM212*0.1,IF(AND(AJ212&gt;0.01,AU212=3,BC212=15),CM212*0.08,IF(AND(R212=12,BC212=3,AF212&lt;=0),0,IF(AND(BC212=15,BI212=0),0,IF(AND(BC212=15,BJ212=0),0,IF(AND(R212=20,CU212=0),0,IF($X$4=0,0,IF(AND(BC212=250,CL212=0),0,IF(AA212&lt;1,0,IF(AND(ISNUMBER(SEARCH("Area",T212)),AU212=3),0,IF(AND(AQ212&gt;0.01,AR212=0,BK212=0,BL212=0,BM212=0,BN212=0),0,IF(AND(AU212=3,CI212=7,CT212&gt;0.5),0,IF(AND(BC212=44,AU212=3,BY212=0),0,IF(AND(BC212=27,'Data Entry'!$C$74=2),0,IF(AND(BC212=28,'Data Entry'!$C$74=2),0,IF(AND(BY212+BZ212+CA212&gt;0.01,BV212=0,EQ212+ER212+ES212+ET212&lt;100),0,IF(AU212=3,CM212*0.08,IF(AU212=2,CM212*0.1,0)))))))))))))))))))))))))))))</f>
        <v>0</v>
      </c>
      <c r="CO212" s="660">
        <f t="shared" si="283"/>
        <v>0</v>
      </c>
      <c r="CP212" s="475" t="str">
        <f t="shared" si="284"/>
        <v/>
      </c>
      <c r="CQ212" s="161" t="str">
        <f>IF(AH212=0,0,IF(AU212=5,0,Summary!AC215))</f>
        <v/>
      </c>
      <c r="CR212" s="161" t="str">
        <f>IF(BF212=0.5,0,IF(AU212=5,0,Summary!AD215))</f>
        <v/>
      </c>
      <c r="CS212" s="161" t="str">
        <f>IF(AU212=5,0,Summary!AE215)</f>
        <v/>
      </c>
      <c r="CT212" s="161">
        <f t="shared" si="285"/>
        <v>0</v>
      </c>
      <c r="CU212" s="475" t="str">
        <f t="shared" si="286"/>
        <v/>
      </c>
      <c r="CV212" s="307">
        <f>IF('Data Entry'!$C$74=0,0,IF(AA212&lt;1,0,IF(ISERROR(CU212),0,IF(CF212=1,0,IF(AND(R212=12,BR212=50),0,IF(CL212+BO212+BV212+DC212=0,0,IF(BC212=37,0,IF(AND(BC212=40,AJ212=0),0,IF(AND(BC212=37,BO212&gt;0.01,BQ212&gt;0.01),ROUND(BQ212,0),IF(CM212&lt;0,0,ROUND(CM212,0)))))))))))</f>
        <v>0</v>
      </c>
      <c r="CW212" s="700">
        <f t="shared" si="287"/>
        <v>0</v>
      </c>
      <c r="CX212" s="477">
        <f>IF('Data Entry'!$C$74=0,0,IF(CV212&lt;0.01,0,IF(BF212=0.5,0,IF(CF212=1,0,IF(ISNUMBER(SEARCH("false",CL212)),0,IF(AZ212=500,0,CL212))))))</f>
        <v>0</v>
      </c>
      <c r="CY212" s="147" t="e">
        <f t="shared" si="288"/>
        <v>#VALUE!</v>
      </c>
      <c r="CZ212" s="147" t="b">
        <f>IF(CN212+CL212=0,FALSE,IF(AH212=0,0,IF(AND('Data Entry'!$C$74=1,CR212&gt;=1),TRUE,IF(AND('Data Entry'!$C$74=2,CS212&gt;=1),TRUE,FALSE))))</f>
        <v>0</v>
      </c>
      <c r="DA212" s="1751">
        <f>IF('Data Entry'!$C$74=0,0,IFERROR(ROUND(IF(T212="","",IF($X$4=0,0,IF(CF212=1,0,IF(BQ212+CV212=0,0,IF(CF212=1,0,IF(CY212&gt;0.01,CY212,IF(CL212&gt;0.01,CL212,IF(CY212&gt;0.01,CY212,IF(BC212=37,BO212,IF(CZ212=FALSE,0,IF(CZ212=TRUE,DC212+DF212,0))))))))))),2),""))</f>
        <v>0</v>
      </c>
      <c r="DB212" s="1752"/>
      <c r="DC212" s="474">
        <f>IF(CN212&lt;0.01,0,IF(AND(BR212=3,CN212&gt;0.01,CT212&gt;0.6,ER212+ES212+ET212&lt;100),0,IF(AND('Data Entry'!$C$74=1,CN212&gt;0.01,CR212&gt;0.99),MIN(CN212:CO212),IF(AND('Data Entry'!$C$74=2,CN212&gt;0.01,CS212&gt;0.99),MIN(CN212:CO212),0))))</f>
        <v>0</v>
      </c>
      <c r="DD212" s="478">
        <f>IF(CF212=1,"Selection does not match",IF(T212=0,0,IF(AND('Data Entry'!$C$74=0,CP212&gt;1),"Select Oregon or Idaho on Data Entry Tab",IF(AND(AU212=1,AA212&gt;0.9),"Missing Interior or Exterior Selection",IF($X$4=0,"Enter Total Project Cost",IF(AQ212&lt;AR212,"Insufficient kWh savings – no incentive",IF(AND(SUM(CL212+CK212+BV212)&gt;0.01,'Data Entry'!$C$74=2,CJ212&gt;1,BO212=0),"Submit Control as Non-Standard",IF(AND('Data Entry'!$C$74=2,BR212=37,CJ212&gt;1,BO212=0),"Submit Control as Non-Standard",IF(SUM(CL212+CK212+BV212)&gt;0.01,"Standard Incentive",IF(AND('Data Entry'!$C$74=2,CP212=7,CN212=0),"Submit as Non-Standard",IF(DC212&gt;0.9,"Non-Standard Incentive",IF(AND(BY212+BZ212+CA212&gt;0.01,BV212=0,EQ212=0,ER212=0,ES212=0,ET212=0),"Scroll Right &amp; Select Control Strategies",IF(AND(CN212&gt;0.01,CO212=0),"Enter Unit Installed Cost",IF(ISNUMBER(SEARCH("Lighting Controls Only",F212)),"Lighting Controls Only",IF(CL212+DC212=0,"Does not meet incentive criteria",0)))))))))))))))</f>
        <v>0</v>
      </c>
      <c r="DE212" s="337">
        <f t="shared" si="289"/>
        <v>0</v>
      </c>
      <c r="DF212" s="609">
        <f t="shared" si="290"/>
        <v>0</v>
      </c>
      <c r="DG212" s="336" t="str">
        <f t="shared" si="291"/>
        <v/>
      </c>
      <c r="DH212" s="338">
        <f t="shared" si="292"/>
        <v>1</v>
      </c>
      <c r="DI212" s="336" t="e">
        <f t="shared" si="247"/>
        <v>#VALUE!</v>
      </c>
      <c r="DJ212" s="338">
        <f t="shared" si="248"/>
        <v>0</v>
      </c>
      <c r="DQ212" s="1454" t="s">
        <v>1608</v>
      </c>
      <c r="DR212" s="1456">
        <v>49</v>
      </c>
      <c r="DS212" s="1195">
        <f t="shared" si="293"/>
        <v>0</v>
      </c>
      <c r="DT212" s="344" t="b">
        <f t="shared" si="294"/>
        <v>1</v>
      </c>
      <c r="DU212" s="1314" t="str">
        <f t="array" ref="DU212">IF(OR(COUNTIF(F212,"*"&amp;$DK$9:$DK$178&amp;"*")), "Yes", "")</f>
        <v/>
      </c>
      <c r="DV212" s="1314">
        <f t="shared" si="295"/>
        <v>0</v>
      </c>
      <c r="DW212" s="1480">
        <f t="shared" si="296"/>
        <v>0</v>
      </c>
      <c r="DX212" s="1498">
        <f t="shared" si="305"/>
        <v>0</v>
      </c>
      <c r="DY212" s="1484">
        <f t="shared" si="297"/>
        <v>0</v>
      </c>
      <c r="DZ212" s="331"/>
      <c r="EA212" s="392"/>
      <c r="EB212" s="1499" t="s">
        <v>476</v>
      </c>
      <c r="EC212" s="727" t="s">
        <v>1569</v>
      </c>
      <c r="ED212" s="728">
        <v>0.5</v>
      </c>
      <c r="EE212" s="1215"/>
      <c r="EF212" s="1215"/>
      <c r="EG212" s="1184" t="str">
        <f t="shared" si="298"/>
        <v/>
      </c>
      <c r="EH212" s="81"/>
      <c r="EI212" s="81"/>
      <c r="EJ212" s="1185">
        <f t="shared" si="249"/>
        <v>0</v>
      </c>
      <c r="EK212" s="1211"/>
      <c r="EL212" s="1180">
        <f t="shared" si="250"/>
        <v>0</v>
      </c>
      <c r="EM212" s="206"/>
      <c r="EN212" s="1038"/>
      <c r="EO212" s="1038"/>
      <c r="EP212" s="1038"/>
      <c r="EQ212" s="1038">
        <f t="shared" si="299"/>
        <v>0</v>
      </c>
      <c r="ER212" s="1041">
        <f t="shared" si="300"/>
        <v>0</v>
      </c>
      <c r="ES212" s="1042">
        <f t="shared" si="301"/>
        <v>0</v>
      </c>
      <c r="ET212" s="1042">
        <f t="shared" si="306"/>
        <v>0</v>
      </c>
      <c r="EU212" s="1021">
        <f t="shared" si="307"/>
        <v>0</v>
      </c>
      <c r="EV212" s="368"/>
      <c r="EW212" s="368"/>
      <c r="EX212" s="369"/>
      <c r="EY212" s="370"/>
      <c r="EZ212" s="370"/>
      <c r="FA212" s="371"/>
      <c r="FB212" s="372"/>
    </row>
    <row r="213" spans="1:158" ht="34.5" customHeight="1">
      <c r="A213" s="82">
        <v>205</v>
      </c>
      <c r="B213" s="1806"/>
      <c r="C213" s="1807"/>
      <c r="D213" s="1807"/>
      <c r="E213" s="1808"/>
      <c r="F213" s="1809"/>
      <c r="G213" s="1810"/>
      <c r="H213" s="1810"/>
      <c r="I213" s="1811"/>
      <c r="J213" s="1301"/>
      <c r="K213" s="1814"/>
      <c r="L213" s="1814"/>
      <c r="M213" s="1017"/>
      <c r="N213" s="1584"/>
      <c r="O213" s="208" t="str">
        <f t="shared" si="237"/>
        <v/>
      </c>
      <c r="P213" s="785"/>
      <c r="Q213" s="39" t="str">
        <f t="shared" si="238"/>
        <v/>
      </c>
      <c r="R213" s="39">
        <f t="shared" si="251"/>
        <v>0</v>
      </c>
      <c r="S213" s="234">
        <f t="shared" si="252"/>
        <v>0</v>
      </c>
      <c r="T213" s="1815"/>
      <c r="U213" s="1815"/>
      <c r="V213" s="1815"/>
      <c r="W213" s="1121"/>
      <c r="X213" s="1812"/>
      <c r="Y213" s="1813"/>
      <c r="Z213" s="703"/>
      <c r="AA213" s="1280"/>
      <c r="AB213" s="1141"/>
      <c r="AC213" s="1103" t="str">
        <f>IF(T213="","",VLOOKUP(Z213,Lists!$A$60:$B$111,2,FALSE))</f>
        <v/>
      </c>
      <c r="AD213" s="130" t="str">
        <f t="shared" si="253"/>
        <v/>
      </c>
      <c r="AE213" s="130" t="e">
        <f t="shared" si="254"/>
        <v>#VALUE!</v>
      </c>
      <c r="AF213" s="130">
        <f t="shared" si="255"/>
        <v>1</v>
      </c>
      <c r="AG213" s="234">
        <f t="shared" si="239"/>
        <v>0</v>
      </c>
      <c r="AH213" s="1753" t="str">
        <f>IF(T213="","",(IF(ISNUMBER(SEARCH("exit",T213)),8760,IF(AND(M213="Dusk to Dawn",'Proposed Lighting'!AU213=3),4059,IF(AND(AU213=3,M213="1"),0,IF(AND(AU213=3,M213="1-C"),0,IF(AND(AU213=3,M213="2"),0,IF(AND(AU213=3,M213="2-C"),0,IF(AND(AU213=3,M213="3"),0,IF(AND(AU213=3,M213="3-C"),0,IF(AND(AU213=2,M213="Dusk to Dawn"),0,IF(AND(AU213=2,M213="Dusk to Dawn-C"),0,IF(AND(AU213=2,M213="Dusk to Dawn"),0,IF(AND(AU213=2,M213="E"),0,IF(AND(AU213=2,M213="E-C"),0,EG213)))))))))))))))</f>
        <v/>
      </c>
      <c r="AI213" s="1754"/>
      <c r="AJ213" s="1136"/>
      <c r="AK213" s="1136"/>
      <c r="AL213" s="1748">
        <f t="shared" si="256"/>
        <v>0</v>
      </c>
      <c r="AM213" s="1749"/>
      <c r="AN213" s="1750"/>
      <c r="AO213" s="476">
        <f t="shared" si="240"/>
        <v>0</v>
      </c>
      <c r="AP213" s="476">
        <f t="shared" si="257"/>
        <v>0</v>
      </c>
      <c r="AQ213" s="475">
        <f t="shared" si="241"/>
        <v>0</v>
      </c>
      <c r="AR213" s="475">
        <f t="shared" si="258"/>
        <v>0</v>
      </c>
      <c r="AS213" s="743" t="str">
        <f t="shared" si="233"/>
        <v/>
      </c>
      <c r="AT213" s="736" t="str">
        <f t="shared" si="259"/>
        <v/>
      </c>
      <c r="AU213" s="56">
        <f t="shared" si="260"/>
        <v>1</v>
      </c>
      <c r="AV213" s="476">
        <f t="shared" si="261"/>
        <v>0</v>
      </c>
      <c r="AW213" s="56">
        <f t="shared" si="262"/>
        <v>0</v>
      </c>
      <c r="AX213" s="475">
        <f t="shared" si="242"/>
        <v>0</v>
      </c>
      <c r="AY213" s="1169">
        <f t="shared" si="263"/>
        <v>0</v>
      </c>
      <c r="AZ213" s="1150">
        <f t="shared" si="302"/>
        <v>0</v>
      </c>
      <c r="BA213" s="56">
        <f t="shared" si="243"/>
        <v>0</v>
      </c>
      <c r="BB213" s="420">
        <f t="shared" si="244"/>
        <v>0</v>
      </c>
      <c r="BC213" s="58" t="str">
        <f t="shared" si="245"/>
        <v/>
      </c>
      <c r="BD213" s="660">
        <f t="shared" si="303"/>
        <v>0</v>
      </c>
      <c r="BE213" s="57" t="e">
        <f t="array" ref="BE213">INDEX($EB$11:$ED$1022,MATCH(F213&amp;T213,$EB$11:$EB$1007&amp;$EC$11:$EC$1007,0),3)</f>
        <v>#N/A</v>
      </c>
      <c r="BF213" s="463">
        <f t="shared" si="234"/>
        <v>0</v>
      </c>
      <c r="BG213" s="1445" t="e">
        <f t="array" ref="BG213">INDEX($DO$112:$DQ$123,MATCH(T213&amp;W213,$DO$114:$DO$125&amp;$DP$112:$DP$123,0),3)</f>
        <v>#N/A</v>
      </c>
      <c r="BH213" s="1446">
        <f t="shared" si="264"/>
        <v>0</v>
      </c>
      <c r="BI213" s="465">
        <f t="shared" si="265"/>
        <v>0</v>
      </c>
      <c r="BJ213" s="465">
        <f t="shared" si="266"/>
        <v>0</v>
      </c>
      <c r="BK213" s="466">
        <f t="shared" si="235"/>
        <v>0</v>
      </c>
      <c r="BL213" s="466">
        <f t="shared" si="236"/>
        <v>0</v>
      </c>
      <c r="BM213" s="466">
        <f t="shared" si="267"/>
        <v>0</v>
      </c>
      <c r="BN213" s="466">
        <f t="shared" si="268"/>
        <v>0</v>
      </c>
      <c r="BO213" s="463">
        <f>IF('Data Entry'!$C$74=0,0,IF(ISNA(CJ213),0,IF(AX213=0,0,IF(AND('Data Entry'!$C$74=2,AF213&gt;2,CE213&lt;1),0,IF(AND('Data Entry'!$C$74=2,AF213&gt;1,AU213=2,CJ213&gt;1),0,IF(AND(AF213=5,CT213=0.5,AU213=2,ER213&lt;100),0,IF(AND(AF213=5,CT213=0.5,AU213=3,ER213&lt;100),0,IF(AND('Data Entry'!$C$74=2,AF213=2,AU213=2,AK213&gt;0.01,CB213=2,CE213&lt;1),0,IF(AND('Data Entry'!$C$74=2,AF213=3,AU213=3,AK213&gt;0.01,CB213=3,CE213&lt;1),0,IF(AND('Data Entry'!$C$74=2,AF213=3,AU213=3,AK213&gt;0.01,CB213=3,CE213&gt;0.99),BQ213*0.08,IF(AND('Data Entry'!$C$74=2,AF213=2,AU213=2,AK213&gt;0.01,CB213=2,CE213&gt;0.99),BQ213*0.1,IF(AND(AU213=2,AK213&gt;0.01,CB213=2,CD213&gt;1),BQ213*0.1,IF(AND(AU213=3,AK213&gt;0.01,CB213=3,CD213&gt;1),BQ213*0.08,CJ213*EF213)))))))))))))</f>
        <v>0</v>
      </c>
      <c r="BP213" s="475">
        <f t="shared" si="269"/>
        <v>0</v>
      </c>
      <c r="BQ213" s="1431">
        <f>IF(AU213=1,0,IF(CH213=100,0,IF(AND(AF213=3,AU213=2),0,IF(AND(BH213=0,CT213&gt;0.4),0,IF(AND('Data Entry'!$C$74=2,AF213=1.5),0,IF(AND('Data Entry'!$C$74=2,AF213=1.6),0,IF(AND('Data Entry'!$C$74=2,AF213=4),0,IF(AND('Data Entry'!$C$74=2,AF213=5),0,IF(AND('Data Entry'!$C$74=2,AF213=2.5,CE213&lt;1),0,IF(AND('Data Entry'!$C$74=2,AF213=3,CE213&lt;1),0,IF(AND('Data Entry'!$C$74=1,AF213=2.5,CD213&lt;1),0,IF(AND('Data Entry'!$C$74=1,AF213=3,CD213&lt;1),0,IF(DX213&gt;0.01,DX213,IF(ISERROR(AX213-AY213),"",ROUND(AX213-AY213,2)))))))))))))))</f>
        <v>0</v>
      </c>
      <c r="BR213" s="146">
        <f t="shared" si="270"/>
        <v>0</v>
      </c>
      <c r="BS213" s="475">
        <f t="shared" si="271"/>
        <v>0</v>
      </c>
      <c r="BT213" s="146" t="b">
        <f t="shared" si="272"/>
        <v>0</v>
      </c>
      <c r="BU213" s="463">
        <f>IF(ISNA(AT213),0,IF(AND('Data Entry'!$C$74=2,BC213=27),0,IF(AND('Data Entry'!$C$74=2,BC213=28),0,IF(AND(BC213=27,BT213=27,CM213&gt;0.1),CM213*0.15,IF(AND(BC213=28,BT213=28,CM213&gt;0.1),CM213*0.12,0)))))</f>
        <v>0</v>
      </c>
      <c r="BV213" s="463">
        <f t="shared" si="232"/>
        <v>0</v>
      </c>
      <c r="BW213" s="463">
        <f t="shared" si="273"/>
        <v>0</v>
      </c>
      <c r="BX213" s="463">
        <f t="shared" si="274"/>
        <v>0</v>
      </c>
      <c r="BY213" s="463">
        <f t="shared" si="275"/>
        <v>0</v>
      </c>
      <c r="BZ213" s="463">
        <f t="shared" si="276"/>
        <v>0</v>
      </c>
      <c r="CA213" s="57">
        <f t="shared" si="304"/>
        <v>0</v>
      </c>
      <c r="CB213" s="56">
        <f t="shared" si="277"/>
        <v>1</v>
      </c>
      <c r="CC213" s="756">
        <f>IF(EE213=0,0,IF(EF213=0,0,IF(EE213&gt;AA213,0,IF(AND(AZ213&gt;AW213,AW213&gt;0),0,IF(CU213=0,0,Summary!AC516)))))</f>
        <v>0</v>
      </c>
      <c r="CD213" s="756">
        <f>IF(EE213=0,0,IF(EF213=0,0,IF(EE213&gt;AA213,0,IF(AND(AZ213&gt;AW213,AW213&gt;0),0,IF(CU213=0,0,Summary!AD516)))))</f>
        <v>0</v>
      </c>
      <c r="CE213" s="756">
        <f>IF(EF213=0,0,IF(EE213&gt;AA213,0,IF(CC213=0,0,IF(AND(AZ213&gt;AW213,AW213&gt;0),0,IF(CU213=0,0,Summary!AE516)))))</f>
        <v>0</v>
      </c>
      <c r="CF213" s="475">
        <f t="shared" si="278"/>
        <v>0</v>
      </c>
      <c r="CG213" s="476">
        <f t="shared" si="246"/>
        <v>0</v>
      </c>
      <c r="CH213" s="487">
        <f t="shared" si="279"/>
        <v>0</v>
      </c>
      <c r="CI213" s="756">
        <f t="shared" si="280"/>
        <v>0</v>
      </c>
      <c r="CJ213" s="487">
        <f>IF(CT213&gt;0.4,0,IF(AND(AU213=2,CH213=0,CT213=0.5,ER213=100),35,IF(AND(AU213=3,BB213&gt;75,CH213=0,CT213=0.5,ER213=100),25,IF(CB213&gt;1,0,IF(EF213&gt;EE213,0,IF(AND(AF213&gt;1,CH213=100),0,IF(AND(AF213=1,AY213=0),0,IF(AND(EF213&lt;=EE213,AW213&gt;=AZ213,'Data Entry'!$C$74=1,AU213=2),VLOOKUP(W213,$DO$96:$DP$102,2,FALSE),IF(AND(EF213&lt;=EE213,AW213&gt;=AZ213,AU213=3,'Data Entry'!$C$74=1),VLOOKUP(W213,$DO$127:$DP$134,2,FALSE))))))))))</f>
        <v>0</v>
      </c>
      <c r="CK213" s="716">
        <f t="shared" si="281"/>
        <v>0</v>
      </c>
      <c r="CL213" s="57">
        <f t="shared" si="282"/>
        <v>0</v>
      </c>
      <c r="CM213" s="475">
        <f t="shared" si="308"/>
        <v>0</v>
      </c>
      <c r="CN213" s="660">
        <f>IF(CM213&lt;0.1,0,IF(ISNA(AT213),0,IF(CL213+BC213=1,0,IF(BV213&gt;0.01,0,IF(CL213&gt;0.01,0,IF(CF213=1,0,IF(BC213=0.5,0,IF(AND(CI213=1,AU213=3),0,IF(AND(CI213=5,CL213=0),0,IF(AND(R213=12,BR213=50),0,IF(CK213&gt;0.01,0,IF(AND(AJ213&gt;0.01,AU213=2,BC213=15),CM213*0.1,IF(AND(AJ213&gt;0.01,AU213=3,BC213=15),CM213*0.08,IF(AND(R213=12,BC213=3,AF213&lt;=0),0,IF(AND(BC213=15,BI213=0),0,IF(AND(BC213=15,BJ213=0),0,IF(AND(R213=20,CU213=0),0,IF($X$4=0,0,IF(AND(BC213=250,CL213=0),0,IF(AA213&lt;1,0,IF(AND(ISNUMBER(SEARCH("Area",T213)),AU213=3),0,IF(AND(AQ213&gt;0.01,AR213=0,BK213=0,BL213=0,BM213=0,BN213=0),0,IF(AND(AU213=3,CI213=7,CT213&gt;0.5),0,IF(AND(BC213=44,AU213=3,BY213=0),0,IF(AND(BC213=27,'Data Entry'!$C$74=2),0,IF(AND(BC213=28,'Data Entry'!$C$74=2),0,IF(AND(BY213+BZ213+CA213&gt;0.01,BV213=0,EQ213+ER213+ES213+ET213&lt;100),0,IF(AU213=3,CM213*0.08,IF(AU213=2,CM213*0.1,0)))))))))))))))))))))))))))))</f>
        <v>0</v>
      </c>
      <c r="CO213" s="660">
        <f t="shared" si="283"/>
        <v>0</v>
      </c>
      <c r="CP213" s="475" t="str">
        <f t="shared" si="284"/>
        <v/>
      </c>
      <c r="CQ213" s="161" t="str">
        <f>IF(AH213=0,0,IF(AU213=5,0,Summary!AC216))</f>
        <v/>
      </c>
      <c r="CR213" s="161" t="str">
        <f>IF(BF213=0.5,0,IF(AU213=5,0,Summary!AD216))</f>
        <v/>
      </c>
      <c r="CS213" s="161" t="str">
        <f>IF(AU213=5,0,Summary!AE216)</f>
        <v/>
      </c>
      <c r="CT213" s="161">
        <f t="shared" si="285"/>
        <v>0</v>
      </c>
      <c r="CU213" s="475" t="str">
        <f t="shared" si="286"/>
        <v/>
      </c>
      <c r="CV213" s="307">
        <f>IF('Data Entry'!$C$74=0,0,IF(AA213&lt;1,0,IF(ISERROR(CU213),0,IF(CF213=1,0,IF(AND(R213=12,BR213=50),0,IF(CL213+BO213+BV213+DC213=0,0,IF(BC213=37,0,IF(AND(BC213=40,AJ213=0),0,IF(AND(BC213=37,BO213&gt;0.01,BQ213&gt;0.01),ROUND(BQ213,0),IF(CM213&lt;0,0,ROUND(CM213,0)))))))))))</f>
        <v>0</v>
      </c>
      <c r="CW213" s="700">
        <f t="shared" si="287"/>
        <v>0</v>
      </c>
      <c r="CX213" s="477">
        <f>IF('Data Entry'!$C$74=0,0,IF(CV213&lt;0.01,0,IF(BF213=0.5,0,IF(CF213=1,0,IF(ISNUMBER(SEARCH("false",CL213)),0,IF(AZ213=500,0,CL213))))))</f>
        <v>0</v>
      </c>
      <c r="CY213" s="147" t="e">
        <f t="shared" si="288"/>
        <v>#VALUE!</v>
      </c>
      <c r="CZ213" s="147" t="b">
        <f>IF(CN213+CL213=0,FALSE,IF(AH213=0,0,IF(AND('Data Entry'!$C$74=1,CR213&gt;=1),TRUE,IF(AND('Data Entry'!$C$74=2,CS213&gt;=1),TRUE,FALSE))))</f>
        <v>0</v>
      </c>
      <c r="DA213" s="1751">
        <f>IF('Data Entry'!$C$74=0,0,IFERROR(ROUND(IF(T213="","",IF($X$4=0,0,IF(CF213=1,0,IF(BQ213+CV213=0,0,IF(CF213=1,0,IF(CY213&gt;0.01,CY213,IF(CL213&gt;0.01,CL213,IF(CY213&gt;0.01,CY213,IF(BC213=37,BO213,IF(CZ213=FALSE,0,IF(CZ213=TRUE,DC213+DF213,0))))))))))),2),""))</f>
        <v>0</v>
      </c>
      <c r="DB213" s="1752"/>
      <c r="DC213" s="474">
        <f>IF(CN213&lt;0.01,0,IF(AND(BR213=3,CN213&gt;0.01,CT213&gt;0.6,ER213+ES213+ET213&lt;100),0,IF(AND('Data Entry'!$C$74=1,CN213&gt;0.01,CR213&gt;0.99),MIN(CN213:CO213),IF(AND('Data Entry'!$C$74=2,CN213&gt;0.01,CS213&gt;0.99),MIN(CN213:CO213),0))))</f>
        <v>0</v>
      </c>
      <c r="DD213" s="478">
        <f>IF(CF213=1,"Selection does not match",IF(T213=0,0,IF(AND('Data Entry'!$C$74=0,CP213&gt;1),"Select Oregon or Idaho on Data Entry Tab",IF(AND(AU213=1,AA213&gt;0.9),"Missing Interior or Exterior Selection",IF($X$4=0,"Enter Total Project Cost",IF(AQ213&lt;AR213,"Insufficient kWh savings – no incentive",IF(AND(SUM(CL213+CK213+BV213)&gt;0.01,'Data Entry'!$C$74=2,CJ213&gt;1,BO213=0),"Submit Control as Non-Standard",IF(AND('Data Entry'!$C$74=2,BR213=37,CJ213&gt;1,BO213=0),"Submit Control as Non-Standard",IF(SUM(CL213+CK213+BV213)&gt;0.01,"Standard Incentive",IF(AND('Data Entry'!$C$74=2,CP213=7,CN213=0),"Submit as Non-Standard",IF(DC213&gt;0.9,"Non-Standard Incentive",IF(AND(BY213+BZ213+CA213&gt;0.01,BV213=0,EQ213=0,ER213=0,ES213=0,ET213=0),"Scroll Right &amp; Select Control Strategies",IF(AND(CN213&gt;0.01,CO213=0),"Enter Unit Installed Cost",IF(ISNUMBER(SEARCH("Lighting Controls Only",F213)),"Lighting Controls Only",IF(CL213+DC213=0,"Does not meet incentive criteria",0)))))))))))))))</f>
        <v>0</v>
      </c>
      <c r="DE213" s="337">
        <f t="shared" si="289"/>
        <v>0</v>
      </c>
      <c r="DF213" s="609">
        <f t="shared" si="290"/>
        <v>0</v>
      </c>
      <c r="DG213" s="336" t="str">
        <f t="shared" si="291"/>
        <v/>
      </c>
      <c r="DH213" s="338">
        <f t="shared" si="292"/>
        <v>1</v>
      </c>
      <c r="DI213" s="336" t="e">
        <f t="shared" si="247"/>
        <v>#VALUE!</v>
      </c>
      <c r="DJ213" s="338">
        <f t="shared" si="248"/>
        <v>0</v>
      </c>
      <c r="DQ213" s="1454" t="s">
        <v>1595</v>
      </c>
      <c r="DR213" s="1457">
        <v>22</v>
      </c>
      <c r="DS213" s="1195">
        <f t="shared" si="293"/>
        <v>0</v>
      </c>
      <c r="DT213" s="344" t="b">
        <f t="shared" si="294"/>
        <v>1</v>
      </c>
      <c r="DU213" s="1314" t="str">
        <f t="array" ref="DU213">IF(OR(COUNTIF(F213,"*"&amp;$DK$9:$DK$178&amp;"*")), "Yes", "")</f>
        <v/>
      </c>
      <c r="DV213" s="1314">
        <f t="shared" si="295"/>
        <v>0</v>
      </c>
      <c r="DW213" s="1480">
        <f t="shared" si="296"/>
        <v>0</v>
      </c>
      <c r="DX213" s="1498">
        <f t="shared" si="305"/>
        <v>0</v>
      </c>
      <c r="DY213" s="1484">
        <f t="shared" si="297"/>
        <v>0</v>
      </c>
      <c r="DZ213" s="331"/>
      <c r="EA213" s="392"/>
      <c r="EB213" s="1499" t="s">
        <v>1562</v>
      </c>
      <c r="EC213" s="727" t="s">
        <v>1569</v>
      </c>
      <c r="ED213" s="728">
        <v>0.5</v>
      </c>
      <c r="EE213" s="1215"/>
      <c r="EF213" s="1215"/>
      <c r="EG213" s="1184" t="str">
        <f t="shared" si="298"/>
        <v/>
      </c>
      <c r="EH213" s="81"/>
      <c r="EI213" s="81"/>
      <c r="EJ213" s="1185">
        <f t="shared" si="249"/>
        <v>0</v>
      </c>
      <c r="EK213" s="1211"/>
      <c r="EL213" s="1180">
        <f t="shared" si="250"/>
        <v>0</v>
      </c>
      <c r="EM213" s="206"/>
      <c r="EN213" s="1038"/>
      <c r="EO213" s="1038"/>
      <c r="EP213" s="1038"/>
      <c r="EQ213" s="1038">
        <f t="shared" si="299"/>
        <v>0</v>
      </c>
      <c r="ER213" s="1041">
        <f t="shared" si="300"/>
        <v>0</v>
      </c>
      <c r="ES213" s="1042">
        <f t="shared" si="301"/>
        <v>0</v>
      </c>
      <c r="ET213" s="1042">
        <f t="shared" si="306"/>
        <v>0</v>
      </c>
      <c r="EU213" s="1021">
        <f t="shared" si="307"/>
        <v>0</v>
      </c>
      <c r="EV213" s="368"/>
      <c r="EW213" s="368"/>
      <c r="EX213" s="369"/>
      <c r="EY213" s="370"/>
      <c r="EZ213" s="370"/>
      <c r="FA213" s="371"/>
      <c r="FB213" s="372"/>
    </row>
    <row r="214" spans="1:158" ht="34.5" customHeight="1">
      <c r="A214" s="82">
        <v>206</v>
      </c>
      <c r="B214" s="1806"/>
      <c r="C214" s="1807"/>
      <c r="D214" s="1807"/>
      <c r="E214" s="1808"/>
      <c r="F214" s="1809"/>
      <c r="G214" s="1810"/>
      <c r="H214" s="1810"/>
      <c r="I214" s="1811"/>
      <c r="J214" s="1301"/>
      <c r="K214" s="1814"/>
      <c r="L214" s="1814"/>
      <c r="M214" s="1017"/>
      <c r="N214" s="1584"/>
      <c r="O214" s="208" t="str">
        <f t="shared" si="237"/>
        <v/>
      </c>
      <c r="P214" s="785"/>
      <c r="Q214" s="39" t="str">
        <f t="shared" si="238"/>
        <v/>
      </c>
      <c r="R214" s="39">
        <f t="shared" si="251"/>
        <v>0</v>
      </c>
      <c r="S214" s="234">
        <f t="shared" si="252"/>
        <v>0</v>
      </c>
      <c r="T214" s="1815"/>
      <c r="U214" s="1815"/>
      <c r="V214" s="1815"/>
      <c r="W214" s="1121"/>
      <c r="X214" s="1812"/>
      <c r="Y214" s="1813"/>
      <c r="Z214" s="703"/>
      <c r="AA214" s="1280"/>
      <c r="AB214" s="1141"/>
      <c r="AC214" s="1103" t="str">
        <f>IF(T214="","",VLOOKUP(Z214,Lists!$A$60:$B$111,2,FALSE))</f>
        <v/>
      </c>
      <c r="AD214" s="130" t="str">
        <f t="shared" si="253"/>
        <v/>
      </c>
      <c r="AE214" s="130" t="e">
        <f t="shared" si="254"/>
        <v>#VALUE!</v>
      </c>
      <c r="AF214" s="130">
        <f t="shared" si="255"/>
        <v>1</v>
      </c>
      <c r="AG214" s="234">
        <f t="shared" si="239"/>
        <v>0</v>
      </c>
      <c r="AH214" s="1753" t="str">
        <f>IF(T214="","",(IF(ISNUMBER(SEARCH("exit",T214)),8760,IF(AND(M214="Dusk to Dawn",'Proposed Lighting'!AU214=3),4059,IF(AND(AU214=3,M214="1"),0,IF(AND(AU214=3,M214="1-C"),0,IF(AND(AU214=3,M214="2"),0,IF(AND(AU214=3,M214="2-C"),0,IF(AND(AU214=3,M214="3"),0,IF(AND(AU214=3,M214="3-C"),0,IF(AND(AU214=2,M214="Dusk to Dawn"),0,IF(AND(AU214=2,M214="Dusk to Dawn-C"),0,IF(AND(AU214=2,M214="Dusk to Dawn"),0,IF(AND(AU214=2,M214="E"),0,IF(AND(AU214=2,M214="E-C"),0,EG214)))))))))))))))</f>
        <v/>
      </c>
      <c r="AI214" s="1754"/>
      <c r="AJ214" s="1136"/>
      <c r="AK214" s="1136"/>
      <c r="AL214" s="1748">
        <f t="shared" si="256"/>
        <v>0</v>
      </c>
      <c r="AM214" s="1749"/>
      <c r="AN214" s="1750"/>
      <c r="AO214" s="476">
        <f t="shared" si="240"/>
        <v>0</v>
      </c>
      <c r="AP214" s="476">
        <f t="shared" si="257"/>
        <v>0</v>
      </c>
      <c r="AQ214" s="475">
        <f t="shared" si="241"/>
        <v>0</v>
      </c>
      <c r="AR214" s="475">
        <f t="shared" si="258"/>
        <v>0</v>
      </c>
      <c r="AS214" s="743" t="str">
        <f t="shared" si="233"/>
        <v/>
      </c>
      <c r="AT214" s="736" t="str">
        <f t="shared" si="259"/>
        <v/>
      </c>
      <c r="AU214" s="56">
        <f t="shared" si="260"/>
        <v>1</v>
      </c>
      <c r="AV214" s="476">
        <f t="shared" si="261"/>
        <v>0</v>
      </c>
      <c r="AW214" s="56">
        <f t="shared" si="262"/>
        <v>0</v>
      </c>
      <c r="AX214" s="475">
        <f t="shared" si="242"/>
        <v>0</v>
      </c>
      <c r="AY214" s="1169">
        <f t="shared" si="263"/>
        <v>0</v>
      </c>
      <c r="AZ214" s="1150">
        <f t="shared" si="302"/>
        <v>0</v>
      </c>
      <c r="BA214" s="56">
        <f t="shared" si="243"/>
        <v>0</v>
      </c>
      <c r="BB214" s="420">
        <f t="shared" si="244"/>
        <v>0</v>
      </c>
      <c r="BC214" s="58" t="str">
        <f t="shared" si="245"/>
        <v/>
      </c>
      <c r="BD214" s="660">
        <f t="shared" si="303"/>
        <v>0</v>
      </c>
      <c r="BE214" s="57" t="e">
        <f t="array" ref="BE214">INDEX($EB$11:$ED$1022,MATCH(F214&amp;T214,$EB$11:$EB$1007&amp;$EC$11:$EC$1007,0),3)</f>
        <v>#N/A</v>
      </c>
      <c r="BF214" s="463">
        <f t="shared" si="234"/>
        <v>0</v>
      </c>
      <c r="BG214" s="1445" t="e">
        <f t="array" ref="BG214">INDEX($DO$112:$DQ$123,MATCH(T214&amp;W214,$DO$114:$DO$125&amp;$DP$112:$DP$123,0),3)</f>
        <v>#N/A</v>
      </c>
      <c r="BH214" s="1446">
        <f t="shared" si="264"/>
        <v>0</v>
      </c>
      <c r="BI214" s="465">
        <f t="shared" si="265"/>
        <v>0</v>
      </c>
      <c r="BJ214" s="465">
        <f t="shared" si="266"/>
        <v>0</v>
      </c>
      <c r="BK214" s="466">
        <f t="shared" si="235"/>
        <v>0</v>
      </c>
      <c r="BL214" s="466">
        <f t="shared" si="236"/>
        <v>0</v>
      </c>
      <c r="BM214" s="466">
        <f t="shared" si="267"/>
        <v>0</v>
      </c>
      <c r="BN214" s="466">
        <f t="shared" si="268"/>
        <v>0</v>
      </c>
      <c r="BO214" s="463">
        <f>IF('Data Entry'!$C$74=0,0,IF(ISNA(CJ214),0,IF(AX214=0,0,IF(AND('Data Entry'!$C$74=2,AF214&gt;2,CE214&lt;1),0,IF(AND('Data Entry'!$C$74=2,AF214&gt;1,AU214=2,CJ214&gt;1),0,IF(AND(AF214=5,CT214=0.5,AU214=2,ER214&lt;100),0,IF(AND(AF214=5,CT214=0.5,AU214=3,ER214&lt;100),0,IF(AND('Data Entry'!$C$74=2,AF214=2,AU214=2,AK214&gt;0.01,CB214=2,CE214&lt;1),0,IF(AND('Data Entry'!$C$74=2,AF214=3,AU214=3,AK214&gt;0.01,CB214=3,CE214&lt;1),0,IF(AND('Data Entry'!$C$74=2,AF214=3,AU214=3,AK214&gt;0.01,CB214=3,CE214&gt;0.99),BQ214*0.08,IF(AND('Data Entry'!$C$74=2,AF214=2,AU214=2,AK214&gt;0.01,CB214=2,CE214&gt;0.99),BQ214*0.1,IF(AND(AU214=2,AK214&gt;0.01,CB214=2,CD214&gt;1),BQ214*0.1,IF(AND(AU214=3,AK214&gt;0.01,CB214=3,CD214&gt;1),BQ214*0.08,CJ214*EF214)))))))))))))</f>
        <v>0</v>
      </c>
      <c r="BP214" s="475">
        <f t="shared" si="269"/>
        <v>0</v>
      </c>
      <c r="BQ214" s="1431">
        <f>IF(AU214=1,0,IF(CH214=100,0,IF(AND(AF214=3,AU214=2),0,IF(AND(BH214=0,CT214&gt;0.4),0,IF(AND('Data Entry'!$C$74=2,AF214=1.5),0,IF(AND('Data Entry'!$C$74=2,AF214=1.6),0,IF(AND('Data Entry'!$C$74=2,AF214=4),0,IF(AND('Data Entry'!$C$74=2,AF214=5),0,IF(AND('Data Entry'!$C$74=2,AF214=2.5,CE214&lt;1),0,IF(AND('Data Entry'!$C$74=2,AF214=3,CE214&lt;1),0,IF(AND('Data Entry'!$C$74=1,AF214=2.5,CD214&lt;1),0,IF(AND('Data Entry'!$C$74=1,AF214=3,CD214&lt;1),0,IF(DX214&gt;0.01,DX214,IF(ISERROR(AX214-AY214),"",ROUND(AX214-AY214,2)))))))))))))))</f>
        <v>0</v>
      </c>
      <c r="BR214" s="146">
        <f t="shared" si="270"/>
        <v>0</v>
      </c>
      <c r="BS214" s="475">
        <f t="shared" si="271"/>
        <v>0</v>
      </c>
      <c r="BT214" s="146" t="b">
        <f t="shared" si="272"/>
        <v>0</v>
      </c>
      <c r="BU214" s="463">
        <f>IF(ISNA(AT214),0,IF(AND('Data Entry'!$C$74=2,BC214=27),0,IF(AND('Data Entry'!$C$74=2,BC214=28),0,IF(AND(BC214=27,BT214=27,CM214&gt;0.1),CM214*0.15,IF(AND(BC214=28,BT214=28,CM214&gt;0.1),CM214*0.12,0)))))</f>
        <v>0</v>
      </c>
      <c r="BV214" s="463">
        <f t="shared" si="232"/>
        <v>0</v>
      </c>
      <c r="BW214" s="463">
        <f t="shared" si="273"/>
        <v>0</v>
      </c>
      <c r="BX214" s="463">
        <f t="shared" si="274"/>
        <v>0</v>
      </c>
      <c r="BY214" s="463">
        <f t="shared" si="275"/>
        <v>0</v>
      </c>
      <c r="BZ214" s="463">
        <f t="shared" si="276"/>
        <v>0</v>
      </c>
      <c r="CA214" s="57">
        <f t="shared" si="304"/>
        <v>0</v>
      </c>
      <c r="CB214" s="56">
        <f t="shared" si="277"/>
        <v>1</v>
      </c>
      <c r="CC214" s="756">
        <f>IF(EE214=0,0,IF(EF214=0,0,IF(EE214&gt;AA214,0,IF(AND(AZ214&gt;AW214,AW214&gt;0),0,IF(CU214=0,0,Summary!AC517)))))</f>
        <v>0</v>
      </c>
      <c r="CD214" s="756">
        <f>IF(EE214=0,0,IF(EF214=0,0,IF(EE214&gt;AA214,0,IF(AND(AZ214&gt;AW214,AW214&gt;0),0,IF(CU214=0,0,Summary!AD517)))))</f>
        <v>0</v>
      </c>
      <c r="CE214" s="756">
        <f>IF(EF214=0,0,IF(EE214&gt;AA214,0,IF(CC214=0,0,IF(AND(AZ214&gt;AW214,AW214&gt;0),0,IF(CU214=0,0,Summary!AE517)))))</f>
        <v>0</v>
      </c>
      <c r="CF214" s="475">
        <f t="shared" si="278"/>
        <v>0</v>
      </c>
      <c r="CG214" s="476">
        <f t="shared" si="246"/>
        <v>0</v>
      </c>
      <c r="CH214" s="487">
        <f t="shared" si="279"/>
        <v>0</v>
      </c>
      <c r="CI214" s="756">
        <f t="shared" si="280"/>
        <v>0</v>
      </c>
      <c r="CJ214" s="487">
        <f>IF(CT214&gt;0.4,0,IF(AND(AU214=2,CH214=0,CT214=0.5,ER214=100),35,IF(AND(AU214=3,BB214&gt;75,CH214=0,CT214=0.5,ER214=100),25,IF(CB214&gt;1,0,IF(EF214&gt;EE214,0,IF(AND(AF214&gt;1,CH214=100),0,IF(AND(AF214=1,AY214=0),0,IF(AND(EF214&lt;=EE214,AW214&gt;=AZ214,'Data Entry'!$C$74=1,AU214=2),VLOOKUP(W214,$DO$96:$DP$102,2,FALSE),IF(AND(EF214&lt;=EE214,AW214&gt;=AZ214,AU214=3,'Data Entry'!$C$74=1),VLOOKUP(W214,$DO$127:$DP$134,2,FALSE))))))))))</f>
        <v>0</v>
      </c>
      <c r="CK214" s="716">
        <f t="shared" si="281"/>
        <v>0</v>
      </c>
      <c r="CL214" s="57">
        <f t="shared" si="282"/>
        <v>0</v>
      </c>
      <c r="CM214" s="475">
        <f t="shared" si="308"/>
        <v>0</v>
      </c>
      <c r="CN214" s="660">
        <f>IF(CM214&lt;0.1,0,IF(ISNA(AT214),0,IF(CL214+BC214=1,0,IF(BV214&gt;0.01,0,IF(CL214&gt;0.01,0,IF(CF214=1,0,IF(BC214=0.5,0,IF(AND(CI214=1,AU214=3),0,IF(AND(CI214=5,CL214=0),0,IF(AND(R214=12,BR214=50),0,IF(CK214&gt;0.01,0,IF(AND(AJ214&gt;0.01,AU214=2,BC214=15),CM214*0.1,IF(AND(AJ214&gt;0.01,AU214=3,BC214=15),CM214*0.08,IF(AND(R214=12,BC214=3,AF214&lt;=0),0,IF(AND(BC214=15,BI214=0),0,IF(AND(BC214=15,BJ214=0),0,IF(AND(R214=20,CU214=0),0,IF($X$4=0,0,IF(AND(BC214=250,CL214=0),0,IF(AA214&lt;1,0,IF(AND(ISNUMBER(SEARCH("Area",T214)),AU214=3),0,IF(AND(AQ214&gt;0.01,AR214=0,BK214=0,BL214=0,BM214=0,BN214=0),0,IF(AND(AU214=3,CI214=7,CT214&gt;0.5),0,IF(AND(BC214=44,AU214=3,BY214=0),0,IF(AND(BC214=27,'Data Entry'!$C$74=2),0,IF(AND(BC214=28,'Data Entry'!$C$74=2),0,IF(AND(BY214+BZ214+CA214&gt;0.01,BV214=0,EQ214+ER214+ES214+ET214&lt;100),0,IF(AU214=3,CM214*0.08,IF(AU214=2,CM214*0.1,0)))))))))))))))))))))))))))))</f>
        <v>0</v>
      </c>
      <c r="CO214" s="660">
        <f t="shared" si="283"/>
        <v>0</v>
      </c>
      <c r="CP214" s="475" t="str">
        <f t="shared" si="284"/>
        <v/>
      </c>
      <c r="CQ214" s="161" t="str">
        <f>IF(AH214=0,0,IF(AU214=5,0,Summary!AC217))</f>
        <v/>
      </c>
      <c r="CR214" s="161" t="str">
        <f>IF(BF214=0.5,0,IF(AU214=5,0,Summary!AD217))</f>
        <v/>
      </c>
      <c r="CS214" s="161" t="str">
        <f>IF(AU214=5,0,Summary!AE217)</f>
        <v/>
      </c>
      <c r="CT214" s="161">
        <f t="shared" si="285"/>
        <v>0</v>
      </c>
      <c r="CU214" s="475" t="str">
        <f t="shared" si="286"/>
        <v/>
      </c>
      <c r="CV214" s="307">
        <f>IF('Data Entry'!$C$74=0,0,IF(AA214&lt;1,0,IF(ISERROR(CU214),0,IF(CF214=1,0,IF(AND(R214=12,BR214=50),0,IF(CL214+BO214+BV214+DC214=0,0,IF(BC214=37,0,IF(AND(BC214=40,AJ214=0),0,IF(AND(BC214=37,BO214&gt;0.01,BQ214&gt;0.01),ROUND(BQ214,0),IF(CM214&lt;0,0,ROUND(CM214,0)))))))))))</f>
        <v>0</v>
      </c>
      <c r="CW214" s="700">
        <f t="shared" si="287"/>
        <v>0</v>
      </c>
      <c r="CX214" s="477">
        <f>IF('Data Entry'!$C$74=0,0,IF(CV214&lt;0.01,0,IF(BF214=0.5,0,IF(CF214=1,0,IF(ISNUMBER(SEARCH("false",CL214)),0,IF(AZ214=500,0,CL214))))))</f>
        <v>0</v>
      </c>
      <c r="CY214" s="147" t="e">
        <f t="shared" si="288"/>
        <v>#VALUE!</v>
      </c>
      <c r="CZ214" s="147" t="b">
        <f>IF(CN214+CL214=0,FALSE,IF(AH214=0,0,IF(AND('Data Entry'!$C$74=1,CR214&gt;=1),TRUE,IF(AND('Data Entry'!$C$74=2,CS214&gt;=1),TRUE,FALSE))))</f>
        <v>0</v>
      </c>
      <c r="DA214" s="1751">
        <f>IF('Data Entry'!$C$74=0,0,IFERROR(ROUND(IF(T214="","",IF($X$4=0,0,IF(CF214=1,0,IF(BQ214+CV214=0,0,IF(CF214=1,0,IF(CY214&gt;0.01,CY214,IF(CL214&gt;0.01,CL214,IF(CY214&gt;0.01,CY214,IF(BC214=37,BO214,IF(CZ214=FALSE,0,IF(CZ214=TRUE,DC214+DF214,0))))))))))),2),""))</f>
        <v>0</v>
      </c>
      <c r="DB214" s="1752"/>
      <c r="DC214" s="474">
        <f>IF(CN214&lt;0.01,0,IF(AND(BR214=3,CN214&gt;0.01,CT214&gt;0.6,ER214+ES214+ET214&lt;100),0,IF(AND('Data Entry'!$C$74=1,CN214&gt;0.01,CR214&gt;0.99),MIN(CN214:CO214),IF(AND('Data Entry'!$C$74=2,CN214&gt;0.01,CS214&gt;0.99),MIN(CN214:CO214),0))))</f>
        <v>0</v>
      </c>
      <c r="DD214" s="478">
        <f>IF(CF214=1,"Selection does not match",IF(T214=0,0,IF(AND('Data Entry'!$C$74=0,CP214&gt;1),"Select Oregon or Idaho on Data Entry Tab",IF(AND(AU214=1,AA214&gt;0.9),"Missing Interior or Exterior Selection",IF($X$4=0,"Enter Total Project Cost",IF(AQ214&lt;AR214,"Insufficient kWh savings – no incentive",IF(AND(SUM(CL214+CK214+BV214)&gt;0.01,'Data Entry'!$C$74=2,CJ214&gt;1,BO214=0),"Submit Control as Non-Standard",IF(AND('Data Entry'!$C$74=2,BR214=37,CJ214&gt;1,BO214=0),"Submit Control as Non-Standard",IF(SUM(CL214+CK214+BV214)&gt;0.01,"Standard Incentive",IF(AND('Data Entry'!$C$74=2,CP214=7,CN214=0),"Submit as Non-Standard",IF(DC214&gt;0.9,"Non-Standard Incentive",IF(AND(BY214+BZ214+CA214&gt;0.01,BV214=0,EQ214=0,ER214=0,ES214=0,ET214=0),"Scroll Right &amp; Select Control Strategies",IF(AND(CN214&gt;0.01,CO214=0),"Enter Unit Installed Cost",IF(ISNUMBER(SEARCH("Lighting Controls Only",F214)),"Lighting Controls Only",IF(CL214+DC214=0,"Does not meet incentive criteria",0)))))))))))))))</f>
        <v>0</v>
      </c>
      <c r="DE214" s="337">
        <f t="shared" si="289"/>
        <v>0</v>
      </c>
      <c r="DF214" s="609">
        <f t="shared" si="290"/>
        <v>0</v>
      </c>
      <c r="DG214" s="336" t="str">
        <f t="shared" si="291"/>
        <v/>
      </c>
      <c r="DH214" s="338">
        <f t="shared" si="292"/>
        <v>1</v>
      </c>
      <c r="DI214" s="336" t="e">
        <f t="shared" si="247"/>
        <v>#VALUE!</v>
      </c>
      <c r="DJ214" s="338">
        <f t="shared" si="248"/>
        <v>0</v>
      </c>
      <c r="DQ214" s="1454" t="s">
        <v>1596</v>
      </c>
      <c r="DR214" s="1457">
        <v>23</v>
      </c>
      <c r="DS214" s="1195">
        <f t="shared" si="293"/>
        <v>0</v>
      </c>
      <c r="DT214" s="344" t="b">
        <f t="shared" si="294"/>
        <v>1</v>
      </c>
      <c r="DU214" s="1314" t="str">
        <f t="array" ref="DU214">IF(OR(COUNTIF(F214,"*"&amp;$DK$9:$DK$178&amp;"*")), "Yes", "")</f>
        <v/>
      </c>
      <c r="DV214" s="1314">
        <f t="shared" si="295"/>
        <v>0</v>
      </c>
      <c r="DW214" s="1480">
        <f t="shared" si="296"/>
        <v>0</v>
      </c>
      <c r="DX214" s="1498">
        <f t="shared" si="305"/>
        <v>0</v>
      </c>
      <c r="DY214" s="1484">
        <f t="shared" si="297"/>
        <v>0</v>
      </c>
      <c r="DZ214" s="331"/>
      <c r="EA214" s="392"/>
      <c r="EB214" s="1499" t="s">
        <v>477</v>
      </c>
      <c r="EC214" s="727" t="s">
        <v>1569</v>
      </c>
      <c r="ED214" s="728">
        <v>0.5</v>
      </c>
      <c r="EE214" s="1215"/>
      <c r="EF214" s="1215"/>
      <c r="EG214" s="1184" t="str">
        <f t="shared" si="298"/>
        <v/>
      </c>
      <c r="EH214" s="81"/>
      <c r="EI214" s="81"/>
      <c r="EJ214" s="1185">
        <f t="shared" si="249"/>
        <v>0</v>
      </c>
      <c r="EK214" s="1211"/>
      <c r="EL214" s="1180">
        <f t="shared" si="250"/>
        <v>0</v>
      </c>
      <c r="EM214" s="206"/>
      <c r="EN214" s="1038"/>
      <c r="EO214" s="1038"/>
      <c r="EP214" s="1038"/>
      <c r="EQ214" s="1038">
        <f t="shared" si="299"/>
        <v>0</v>
      </c>
      <c r="ER214" s="1041">
        <f t="shared" si="300"/>
        <v>0</v>
      </c>
      <c r="ES214" s="1042">
        <f t="shared" si="301"/>
        <v>0</v>
      </c>
      <c r="ET214" s="1042">
        <f t="shared" si="306"/>
        <v>0</v>
      </c>
      <c r="EU214" s="1021">
        <f t="shared" si="307"/>
        <v>0</v>
      </c>
      <c r="EV214" s="368"/>
      <c r="EW214" s="368"/>
      <c r="EX214" s="369"/>
      <c r="EY214" s="370"/>
      <c r="EZ214" s="370"/>
      <c r="FA214" s="371"/>
      <c r="FB214" s="372"/>
    </row>
    <row r="215" spans="1:158" ht="34.5" customHeight="1">
      <c r="A215" s="82">
        <v>207</v>
      </c>
      <c r="B215" s="1806"/>
      <c r="C215" s="1807"/>
      <c r="D215" s="1807"/>
      <c r="E215" s="1808"/>
      <c r="F215" s="1809"/>
      <c r="G215" s="1810"/>
      <c r="H215" s="1810"/>
      <c r="I215" s="1811"/>
      <c r="J215" s="1301"/>
      <c r="K215" s="1814"/>
      <c r="L215" s="1814"/>
      <c r="M215" s="1017"/>
      <c r="N215" s="1584"/>
      <c r="O215" s="208" t="str">
        <f t="shared" si="237"/>
        <v/>
      </c>
      <c r="P215" s="785"/>
      <c r="Q215" s="39" t="str">
        <f t="shared" si="238"/>
        <v/>
      </c>
      <c r="R215" s="39">
        <f t="shared" si="251"/>
        <v>0</v>
      </c>
      <c r="S215" s="234">
        <f t="shared" si="252"/>
        <v>0</v>
      </c>
      <c r="T215" s="1815"/>
      <c r="U215" s="1815"/>
      <c r="V215" s="1815"/>
      <c r="W215" s="1121"/>
      <c r="X215" s="1812"/>
      <c r="Y215" s="1813"/>
      <c r="Z215" s="703"/>
      <c r="AA215" s="1280"/>
      <c r="AB215" s="1141"/>
      <c r="AC215" s="1103" t="str">
        <f>IF(T215="","",VLOOKUP(Z215,Lists!$A$60:$B$111,2,FALSE))</f>
        <v/>
      </c>
      <c r="AD215" s="130" t="str">
        <f t="shared" si="253"/>
        <v/>
      </c>
      <c r="AE215" s="130" t="e">
        <f t="shared" si="254"/>
        <v>#VALUE!</v>
      </c>
      <c r="AF215" s="130">
        <f t="shared" si="255"/>
        <v>1</v>
      </c>
      <c r="AG215" s="234">
        <f t="shared" si="239"/>
        <v>0</v>
      </c>
      <c r="AH215" s="1753" t="str">
        <f>IF(T215="","",(IF(ISNUMBER(SEARCH("exit",T215)),8760,IF(AND(M215="Dusk to Dawn",'Proposed Lighting'!AU215=3),4059,IF(AND(AU215=3,M215="1"),0,IF(AND(AU215=3,M215="1-C"),0,IF(AND(AU215=3,M215="2"),0,IF(AND(AU215=3,M215="2-C"),0,IF(AND(AU215=3,M215="3"),0,IF(AND(AU215=3,M215="3-C"),0,IF(AND(AU215=2,M215="Dusk to Dawn"),0,IF(AND(AU215=2,M215="Dusk to Dawn-C"),0,IF(AND(AU215=2,M215="Dusk to Dawn"),0,IF(AND(AU215=2,M215="E"),0,IF(AND(AU215=2,M215="E-C"),0,EG215)))))))))))))))</f>
        <v/>
      </c>
      <c r="AI215" s="1754"/>
      <c r="AJ215" s="1136"/>
      <c r="AK215" s="1136"/>
      <c r="AL215" s="1748">
        <f t="shared" si="256"/>
        <v>0</v>
      </c>
      <c r="AM215" s="1749"/>
      <c r="AN215" s="1750"/>
      <c r="AO215" s="476">
        <f t="shared" si="240"/>
        <v>0</v>
      </c>
      <c r="AP215" s="476">
        <f t="shared" si="257"/>
        <v>0</v>
      </c>
      <c r="AQ215" s="475">
        <f t="shared" si="241"/>
        <v>0</v>
      </c>
      <c r="AR215" s="475">
        <f t="shared" si="258"/>
        <v>0</v>
      </c>
      <c r="AS215" s="743" t="str">
        <f t="shared" si="233"/>
        <v/>
      </c>
      <c r="AT215" s="736" t="str">
        <f t="shared" si="259"/>
        <v/>
      </c>
      <c r="AU215" s="56">
        <f t="shared" si="260"/>
        <v>1</v>
      </c>
      <c r="AV215" s="476">
        <f t="shared" si="261"/>
        <v>0</v>
      </c>
      <c r="AW215" s="56">
        <f t="shared" si="262"/>
        <v>0</v>
      </c>
      <c r="AX215" s="475">
        <f t="shared" si="242"/>
        <v>0</v>
      </c>
      <c r="AY215" s="1169">
        <f t="shared" si="263"/>
        <v>0</v>
      </c>
      <c r="AZ215" s="1150">
        <f t="shared" si="302"/>
        <v>0</v>
      </c>
      <c r="BA215" s="56">
        <f t="shared" si="243"/>
        <v>0</v>
      </c>
      <c r="BB215" s="420">
        <f t="shared" si="244"/>
        <v>0</v>
      </c>
      <c r="BC215" s="58" t="str">
        <f t="shared" si="245"/>
        <v/>
      </c>
      <c r="BD215" s="660">
        <f t="shared" si="303"/>
        <v>0</v>
      </c>
      <c r="BE215" s="57" t="e">
        <f t="array" ref="BE215">INDEX($EB$11:$ED$1022,MATCH(F215&amp;T215,$EB$11:$EB$1007&amp;$EC$11:$EC$1007,0),3)</f>
        <v>#N/A</v>
      </c>
      <c r="BF215" s="463">
        <f t="shared" si="234"/>
        <v>0</v>
      </c>
      <c r="BG215" s="1445" t="e">
        <f t="array" ref="BG215">INDEX($DO$112:$DQ$123,MATCH(T215&amp;W215,$DO$114:$DO$125&amp;$DP$112:$DP$123,0),3)</f>
        <v>#N/A</v>
      </c>
      <c r="BH215" s="1446">
        <f t="shared" si="264"/>
        <v>0</v>
      </c>
      <c r="BI215" s="465">
        <f t="shared" si="265"/>
        <v>0</v>
      </c>
      <c r="BJ215" s="465">
        <f t="shared" si="266"/>
        <v>0</v>
      </c>
      <c r="BK215" s="466">
        <f t="shared" si="235"/>
        <v>0</v>
      </c>
      <c r="BL215" s="466">
        <f t="shared" si="236"/>
        <v>0</v>
      </c>
      <c r="BM215" s="466">
        <f t="shared" si="267"/>
        <v>0</v>
      </c>
      <c r="BN215" s="466">
        <f t="shared" si="268"/>
        <v>0</v>
      </c>
      <c r="BO215" s="463">
        <f>IF('Data Entry'!$C$74=0,0,IF(ISNA(CJ215),0,IF(AX215=0,0,IF(AND('Data Entry'!$C$74=2,AF215&gt;2,CE215&lt;1),0,IF(AND('Data Entry'!$C$74=2,AF215&gt;1,AU215=2,CJ215&gt;1),0,IF(AND(AF215=5,CT215=0.5,AU215=2,ER215&lt;100),0,IF(AND(AF215=5,CT215=0.5,AU215=3,ER215&lt;100),0,IF(AND('Data Entry'!$C$74=2,AF215=2,AU215=2,AK215&gt;0.01,CB215=2,CE215&lt;1),0,IF(AND('Data Entry'!$C$74=2,AF215=3,AU215=3,AK215&gt;0.01,CB215=3,CE215&lt;1),0,IF(AND('Data Entry'!$C$74=2,AF215=3,AU215=3,AK215&gt;0.01,CB215=3,CE215&gt;0.99),BQ215*0.08,IF(AND('Data Entry'!$C$74=2,AF215=2,AU215=2,AK215&gt;0.01,CB215=2,CE215&gt;0.99),BQ215*0.1,IF(AND(AU215=2,AK215&gt;0.01,CB215=2,CD215&gt;1),BQ215*0.1,IF(AND(AU215=3,AK215&gt;0.01,CB215=3,CD215&gt;1),BQ215*0.08,CJ215*EF215)))))))))))))</f>
        <v>0</v>
      </c>
      <c r="BP215" s="475">
        <f t="shared" si="269"/>
        <v>0</v>
      </c>
      <c r="BQ215" s="1431">
        <f>IF(AU215=1,0,IF(CH215=100,0,IF(AND(AF215=3,AU215=2),0,IF(AND(BH215=0,CT215&gt;0.4),0,IF(AND('Data Entry'!$C$74=2,AF215=1.5),0,IF(AND('Data Entry'!$C$74=2,AF215=1.6),0,IF(AND('Data Entry'!$C$74=2,AF215=4),0,IF(AND('Data Entry'!$C$74=2,AF215=5),0,IF(AND('Data Entry'!$C$74=2,AF215=2.5,CE215&lt;1),0,IF(AND('Data Entry'!$C$74=2,AF215=3,CE215&lt;1),0,IF(AND('Data Entry'!$C$74=1,AF215=2.5,CD215&lt;1),0,IF(AND('Data Entry'!$C$74=1,AF215=3,CD215&lt;1),0,IF(DX215&gt;0.01,DX215,IF(ISERROR(AX215-AY215),"",ROUND(AX215-AY215,2)))))))))))))))</f>
        <v>0</v>
      </c>
      <c r="BR215" s="146">
        <f t="shared" si="270"/>
        <v>0</v>
      </c>
      <c r="BS215" s="475">
        <f t="shared" si="271"/>
        <v>0</v>
      </c>
      <c r="BT215" s="146" t="b">
        <f t="shared" si="272"/>
        <v>0</v>
      </c>
      <c r="BU215" s="463">
        <f>IF(ISNA(AT215),0,IF(AND('Data Entry'!$C$74=2,BC215=27),0,IF(AND('Data Entry'!$C$74=2,BC215=28),0,IF(AND(BC215=27,BT215=27,CM215&gt;0.1),CM215*0.15,IF(AND(BC215=28,BT215=28,CM215&gt;0.1),CM215*0.12,0)))))</f>
        <v>0</v>
      </c>
      <c r="BV215" s="463">
        <f t="shared" si="232"/>
        <v>0</v>
      </c>
      <c r="BW215" s="463">
        <f t="shared" si="273"/>
        <v>0</v>
      </c>
      <c r="BX215" s="463">
        <f t="shared" si="274"/>
        <v>0</v>
      </c>
      <c r="BY215" s="463">
        <f t="shared" si="275"/>
        <v>0</v>
      </c>
      <c r="BZ215" s="463">
        <f t="shared" si="276"/>
        <v>0</v>
      </c>
      <c r="CA215" s="57">
        <f t="shared" si="304"/>
        <v>0</v>
      </c>
      <c r="CB215" s="56">
        <f t="shared" si="277"/>
        <v>1</v>
      </c>
      <c r="CC215" s="756">
        <f>IF(EE215=0,0,IF(EF215=0,0,IF(EE215&gt;AA215,0,IF(AND(AZ215&gt;AW215,AW215&gt;0),0,IF(CU215=0,0,Summary!AC518)))))</f>
        <v>0</v>
      </c>
      <c r="CD215" s="756">
        <f>IF(EE215=0,0,IF(EF215=0,0,IF(EE215&gt;AA215,0,IF(AND(AZ215&gt;AW215,AW215&gt;0),0,IF(CU215=0,0,Summary!AD518)))))</f>
        <v>0</v>
      </c>
      <c r="CE215" s="756">
        <f>IF(EF215=0,0,IF(EE215&gt;AA215,0,IF(CC215=0,0,IF(AND(AZ215&gt;AW215,AW215&gt;0),0,IF(CU215=0,0,Summary!AE518)))))</f>
        <v>0</v>
      </c>
      <c r="CF215" s="475">
        <f t="shared" si="278"/>
        <v>0</v>
      </c>
      <c r="CG215" s="476">
        <f t="shared" si="246"/>
        <v>0</v>
      </c>
      <c r="CH215" s="487">
        <f t="shared" si="279"/>
        <v>0</v>
      </c>
      <c r="CI215" s="756">
        <f t="shared" si="280"/>
        <v>0</v>
      </c>
      <c r="CJ215" s="487">
        <f>IF(CT215&gt;0.4,0,IF(AND(AU215=2,CH215=0,CT215=0.5,ER215=100),35,IF(AND(AU215=3,BB215&gt;75,CH215=0,CT215=0.5,ER215=100),25,IF(CB215&gt;1,0,IF(EF215&gt;EE215,0,IF(AND(AF215&gt;1,CH215=100),0,IF(AND(AF215=1,AY215=0),0,IF(AND(EF215&lt;=EE215,AW215&gt;=AZ215,'Data Entry'!$C$74=1,AU215=2),VLOOKUP(W215,$DO$96:$DP$102,2,FALSE),IF(AND(EF215&lt;=EE215,AW215&gt;=AZ215,AU215=3,'Data Entry'!$C$74=1),VLOOKUP(W215,$DO$127:$DP$134,2,FALSE))))))))))</f>
        <v>0</v>
      </c>
      <c r="CK215" s="716">
        <f t="shared" si="281"/>
        <v>0</v>
      </c>
      <c r="CL215" s="57">
        <f t="shared" si="282"/>
        <v>0</v>
      </c>
      <c r="CM215" s="475">
        <f t="shared" si="308"/>
        <v>0</v>
      </c>
      <c r="CN215" s="660">
        <f>IF(CM215&lt;0.1,0,IF(ISNA(AT215),0,IF(CL215+BC215=1,0,IF(BV215&gt;0.01,0,IF(CL215&gt;0.01,0,IF(CF215=1,0,IF(BC215=0.5,0,IF(AND(CI215=1,AU215=3),0,IF(AND(CI215=5,CL215=0),0,IF(AND(R215=12,BR215=50),0,IF(CK215&gt;0.01,0,IF(AND(AJ215&gt;0.01,AU215=2,BC215=15),CM215*0.1,IF(AND(AJ215&gt;0.01,AU215=3,BC215=15),CM215*0.08,IF(AND(R215=12,BC215=3,AF215&lt;=0),0,IF(AND(BC215=15,BI215=0),0,IF(AND(BC215=15,BJ215=0),0,IF(AND(R215=20,CU215=0),0,IF($X$4=0,0,IF(AND(BC215=250,CL215=0),0,IF(AA215&lt;1,0,IF(AND(ISNUMBER(SEARCH("Area",T215)),AU215=3),0,IF(AND(AQ215&gt;0.01,AR215=0,BK215=0,BL215=0,BM215=0,BN215=0),0,IF(AND(AU215=3,CI215=7,CT215&gt;0.5),0,IF(AND(BC215=44,AU215=3,BY215=0),0,IF(AND(BC215=27,'Data Entry'!$C$74=2),0,IF(AND(BC215=28,'Data Entry'!$C$74=2),0,IF(AND(BY215+BZ215+CA215&gt;0.01,BV215=0,EQ215+ER215+ES215+ET215&lt;100),0,IF(AU215=3,CM215*0.08,IF(AU215=2,CM215*0.1,0)))))))))))))))))))))))))))))</f>
        <v>0</v>
      </c>
      <c r="CO215" s="660">
        <f t="shared" si="283"/>
        <v>0</v>
      </c>
      <c r="CP215" s="475" t="str">
        <f t="shared" si="284"/>
        <v/>
      </c>
      <c r="CQ215" s="161" t="str">
        <f>IF(AH215=0,0,IF(AU215=5,0,Summary!AC218))</f>
        <v/>
      </c>
      <c r="CR215" s="161" t="str">
        <f>IF(BF215=0.5,0,IF(AU215=5,0,Summary!AD218))</f>
        <v/>
      </c>
      <c r="CS215" s="161" t="str">
        <f>IF(AU215=5,0,Summary!AE218)</f>
        <v/>
      </c>
      <c r="CT215" s="161">
        <f t="shared" si="285"/>
        <v>0</v>
      </c>
      <c r="CU215" s="475" t="str">
        <f t="shared" si="286"/>
        <v/>
      </c>
      <c r="CV215" s="307">
        <f>IF('Data Entry'!$C$74=0,0,IF(AA215&lt;1,0,IF(ISERROR(CU215),0,IF(CF215=1,0,IF(AND(R215=12,BR215=50),0,IF(CL215+BO215+BV215+DC215=0,0,IF(BC215=37,0,IF(AND(BC215=40,AJ215=0),0,IF(AND(BC215=37,BO215&gt;0.01,BQ215&gt;0.01),ROUND(BQ215,0),IF(CM215&lt;0,0,ROUND(CM215,0)))))))))))</f>
        <v>0</v>
      </c>
      <c r="CW215" s="700">
        <f t="shared" si="287"/>
        <v>0</v>
      </c>
      <c r="CX215" s="477">
        <f>IF('Data Entry'!$C$74=0,0,IF(CV215&lt;0.01,0,IF(BF215=0.5,0,IF(CF215=1,0,IF(ISNUMBER(SEARCH("false",CL215)),0,IF(AZ215=500,0,CL215))))))</f>
        <v>0</v>
      </c>
      <c r="CY215" s="147" t="e">
        <f t="shared" si="288"/>
        <v>#VALUE!</v>
      </c>
      <c r="CZ215" s="147" t="b">
        <f>IF(CN215+CL215=0,FALSE,IF(AH215=0,0,IF(AND('Data Entry'!$C$74=1,CR215&gt;=1),TRUE,IF(AND('Data Entry'!$C$74=2,CS215&gt;=1),TRUE,FALSE))))</f>
        <v>0</v>
      </c>
      <c r="DA215" s="1751">
        <f>IF('Data Entry'!$C$74=0,0,IFERROR(ROUND(IF(T215="","",IF($X$4=0,0,IF(CF215=1,0,IF(BQ215+CV215=0,0,IF(CF215=1,0,IF(CY215&gt;0.01,CY215,IF(CL215&gt;0.01,CL215,IF(CY215&gt;0.01,CY215,IF(BC215=37,BO215,IF(CZ215=FALSE,0,IF(CZ215=TRUE,DC215+DF215,0))))))))))),2),""))</f>
        <v>0</v>
      </c>
      <c r="DB215" s="1752"/>
      <c r="DC215" s="474">
        <f>IF(CN215&lt;0.01,0,IF(AND(BR215=3,CN215&gt;0.01,CT215&gt;0.6,ER215+ES215+ET215&lt;100),0,IF(AND('Data Entry'!$C$74=1,CN215&gt;0.01,CR215&gt;0.99),MIN(CN215:CO215),IF(AND('Data Entry'!$C$74=2,CN215&gt;0.01,CS215&gt;0.99),MIN(CN215:CO215),0))))</f>
        <v>0</v>
      </c>
      <c r="DD215" s="478">
        <f>IF(CF215=1,"Selection does not match",IF(T215=0,0,IF(AND('Data Entry'!$C$74=0,CP215&gt;1),"Select Oregon or Idaho on Data Entry Tab",IF(AND(AU215=1,AA215&gt;0.9),"Missing Interior or Exterior Selection",IF($X$4=0,"Enter Total Project Cost",IF(AQ215&lt;AR215,"Insufficient kWh savings – no incentive",IF(AND(SUM(CL215+CK215+BV215)&gt;0.01,'Data Entry'!$C$74=2,CJ215&gt;1,BO215=0),"Submit Control as Non-Standard",IF(AND('Data Entry'!$C$74=2,BR215=37,CJ215&gt;1,BO215=0),"Submit Control as Non-Standard",IF(SUM(CL215+CK215+BV215)&gt;0.01,"Standard Incentive",IF(AND('Data Entry'!$C$74=2,CP215=7,CN215=0),"Submit as Non-Standard",IF(DC215&gt;0.9,"Non-Standard Incentive",IF(AND(BY215+BZ215+CA215&gt;0.01,BV215=0,EQ215=0,ER215=0,ES215=0,ET215=0),"Scroll Right &amp; Select Control Strategies",IF(AND(CN215&gt;0.01,CO215=0),"Enter Unit Installed Cost",IF(ISNUMBER(SEARCH("Lighting Controls Only",F215)),"Lighting Controls Only",IF(CL215+DC215=0,"Does not meet incentive criteria",0)))))))))))))))</f>
        <v>0</v>
      </c>
      <c r="DE215" s="337">
        <f t="shared" si="289"/>
        <v>0</v>
      </c>
      <c r="DF215" s="609">
        <f t="shared" si="290"/>
        <v>0</v>
      </c>
      <c r="DG215" s="336" t="str">
        <f t="shared" si="291"/>
        <v/>
      </c>
      <c r="DH215" s="338">
        <f t="shared" si="292"/>
        <v>1</v>
      </c>
      <c r="DI215" s="336" t="e">
        <f t="shared" si="247"/>
        <v>#VALUE!</v>
      </c>
      <c r="DJ215" s="338">
        <f t="shared" si="248"/>
        <v>0</v>
      </c>
      <c r="DQ215" s="1458" t="s">
        <v>1603</v>
      </c>
      <c r="DR215" s="1457">
        <v>24</v>
      </c>
      <c r="DS215" s="1195">
        <f t="shared" si="293"/>
        <v>0</v>
      </c>
      <c r="DT215" s="344" t="b">
        <f t="shared" si="294"/>
        <v>1</v>
      </c>
      <c r="DU215" s="1314" t="str">
        <f t="array" ref="DU215">IF(OR(COUNTIF(F215,"*"&amp;$DK$9:$DK$178&amp;"*")), "Yes", "")</f>
        <v/>
      </c>
      <c r="DV215" s="1314">
        <f t="shared" si="295"/>
        <v>0</v>
      </c>
      <c r="DW215" s="1480">
        <f t="shared" si="296"/>
        <v>0</v>
      </c>
      <c r="DX215" s="1498">
        <f t="shared" si="305"/>
        <v>0</v>
      </c>
      <c r="DY215" s="1484">
        <f t="shared" si="297"/>
        <v>0</v>
      </c>
      <c r="DZ215" s="331"/>
      <c r="EA215" s="392"/>
      <c r="EB215" s="1499" t="s">
        <v>1562</v>
      </c>
      <c r="EC215" s="727" t="s">
        <v>1569</v>
      </c>
      <c r="ED215" s="728">
        <v>0.5</v>
      </c>
      <c r="EE215" s="1215"/>
      <c r="EF215" s="1215"/>
      <c r="EG215" s="1184" t="str">
        <f t="shared" si="298"/>
        <v/>
      </c>
      <c r="EH215" s="81"/>
      <c r="EI215" s="81"/>
      <c r="EJ215" s="1185">
        <f t="shared" si="249"/>
        <v>0</v>
      </c>
      <c r="EK215" s="1211"/>
      <c r="EL215" s="1180">
        <f t="shared" si="250"/>
        <v>0</v>
      </c>
      <c r="EM215" s="206"/>
      <c r="EN215" s="1038"/>
      <c r="EO215" s="1038"/>
      <c r="EP215" s="1038"/>
      <c r="EQ215" s="1038">
        <f t="shared" si="299"/>
        <v>0</v>
      </c>
      <c r="ER215" s="1041">
        <f t="shared" si="300"/>
        <v>0</v>
      </c>
      <c r="ES215" s="1042">
        <f t="shared" si="301"/>
        <v>0</v>
      </c>
      <c r="ET215" s="1042">
        <f t="shared" si="306"/>
        <v>0</v>
      </c>
      <c r="EU215" s="1021">
        <f t="shared" si="307"/>
        <v>0</v>
      </c>
      <c r="EV215" s="368"/>
      <c r="EW215" s="368"/>
      <c r="EX215" s="369"/>
      <c r="EY215" s="370"/>
      <c r="EZ215" s="370"/>
      <c r="FA215" s="371"/>
      <c r="FB215" s="372"/>
    </row>
    <row r="216" spans="1:158" ht="34.5" customHeight="1">
      <c r="A216" s="82">
        <v>208</v>
      </c>
      <c r="B216" s="1806"/>
      <c r="C216" s="1807"/>
      <c r="D216" s="1807"/>
      <c r="E216" s="1808"/>
      <c r="F216" s="1809"/>
      <c r="G216" s="1810"/>
      <c r="H216" s="1810"/>
      <c r="I216" s="1811"/>
      <c r="J216" s="1301"/>
      <c r="K216" s="1814"/>
      <c r="L216" s="1814"/>
      <c r="M216" s="1017"/>
      <c r="N216" s="1584"/>
      <c r="O216" s="208" t="str">
        <f t="shared" si="237"/>
        <v/>
      </c>
      <c r="P216" s="785"/>
      <c r="Q216" s="39" t="str">
        <f t="shared" si="238"/>
        <v/>
      </c>
      <c r="R216" s="39">
        <f t="shared" si="251"/>
        <v>0</v>
      </c>
      <c r="S216" s="234">
        <f t="shared" si="252"/>
        <v>0</v>
      </c>
      <c r="T216" s="1815"/>
      <c r="U216" s="1815"/>
      <c r="V216" s="1815"/>
      <c r="W216" s="1121"/>
      <c r="X216" s="1812"/>
      <c r="Y216" s="1813"/>
      <c r="Z216" s="703"/>
      <c r="AA216" s="1280"/>
      <c r="AB216" s="1141"/>
      <c r="AC216" s="1103" t="str">
        <f>IF(T216="","",VLOOKUP(Z216,Lists!$A$60:$B$111,2,FALSE))</f>
        <v/>
      </c>
      <c r="AD216" s="130" t="str">
        <f t="shared" si="253"/>
        <v/>
      </c>
      <c r="AE216" s="130" t="e">
        <f t="shared" si="254"/>
        <v>#VALUE!</v>
      </c>
      <c r="AF216" s="130">
        <f t="shared" si="255"/>
        <v>1</v>
      </c>
      <c r="AG216" s="234">
        <f t="shared" si="239"/>
        <v>0</v>
      </c>
      <c r="AH216" s="1753" t="str">
        <f>IF(T216="","",(IF(ISNUMBER(SEARCH("exit",T216)),8760,IF(AND(M216="Dusk to Dawn",'Proposed Lighting'!AU216=3),4059,IF(AND(AU216=3,M216="1"),0,IF(AND(AU216=3,M216="1-C"),0,IF(AND(AU216=3,M216="2"),0,IF(AND(AU216=3,M216="2-C"),0,IF(AND(AU216=3,M216="3"),0,IF(AND(AU216=3,M216="3-C"),0,IF(AND(AU216=2,M216="Dusk to Dawn"),0,IF(AND(AU216=2,M216="Dusk to Dawn-C"),0,IF(AND(AU216=2,M216="Dusk to Dawn"),0,IF(AND(AU216=2,M216="E"),0,IF(AND(AU216=2,M216="E-C"),0,EG216)))))))))))))))</f>
        <v/>
      </c>
      <c r="AI216" s="1754"/>
      <c r="AJ216" s="1136"/>
      <c r="AK216" s="1136"/>
      <c r="AL216" s="1748">
        <f t="shared" si="256"/>
        <v>0</v>
      </c>
      <c r="AM216" s="1749"/>
      <c r="AN216" s="1750"/>
      <c r="AO216" s="476">
        <f t="shared" si="240"/>
        <v>0</v>
      </c>
      <c r="AP216" s="476">
        <f t="shared" si="257"/>
        <v>0</v>
      </c>
      <c r="AQ216" s="475">
        <f t="shared" si="241"/>
        <v>0</v>
      </c>
      <c r="AR216" s="475">
        <f t="shared" si="258"/>
        <v>0</v>
      </c>
      <c r="AS216" s="743" t="str">
        <f t="shared" si="233"/>
        <v/>
      </c>
      <c r="AT216" s="736" t="str">
        <f t="shared" si="259"/>
        <v/>
      </c>
      <c r="AU216" s="56">
        <f t="shared" si="260"/>
        <v>1</v>
      </c>
      <c r="AV216" s="476">
        <f t="shared" si="261"/>
        <v>0</v>
      </c>
      <c r="AW216" s="56">
        <f t="shared" si="262"/>
        <v>0</v>
      </c>
      <c r="AX216" s="475">
        <f t="shared" si="242"/>
        <v>0</v>
      </c>
      <c r="AY216" s="1169">
        <f t="shared" si="263"/>
        <v>0</v>
      </c>
      <c r="AZ216" s="1150">
        <f t="shared" si="302"/>
        <v>0</v>
      </c>
      <c r="BA216" s="56">
        <f t="shared" si="243"/>
        <v>0</v>
      </c>
      <c r="BB216" s="420">
        <f t="shared" si="244"/>
        <v>0</v>
      </c>
      <c r="BC216" s="58" t="str">
        <f t="shared" si="245"/>
        <v/>
      </c>
      <c r="BD216" s="660">
        <f t="shared" si="303"/>
        <v>0</v>
      </c>
      <c r="BE216" s="57" t="e">
        <f t="array" ref="BE216">INDEX($EB$11:$ED$1022,MATCH(F216&amp;T216,$EB$11:$EB$1007&amp;$EC$11:$EC$1007,0),3)</f>
        <v>#N/A</v>
      </c>
      <c r="BF216" s="463">
        <f t="shared" si="234"/>
        <v>0</v>
      </c>
      <c r="BG216" s="1445" t="e">
        <f t="array" ref="BG216">INDEX($DO$112:$DQ$123,MATCH(T216&amp;W216,$DO$114:$DO$125&amp;$DP$112:$DP$123,0),3)</f>
        <v>#N/A</v>
      </c>
      <c r="BH216" s="1446">
        <f t="shared" si="264"/>
        <v>0</v>
      </c>
      <c r="BI216" s="465">
        <f t="shared" si="265"/>
        <v>0</v>
      </c>
      <c r="BJ216" s="465">
        <f t="shared" si="266"/>
        <v>0</v>
      </c>
      <c r="BK216" s="466">
        <f t="shared" si="235"/>
        <v>0</v>
      </c>
      <c r="BL216" s="466">
        <f t="shared" si="236"/>
        <v>0</v>
      </c>
      <c r="BM216" s="466">
        <f t="shared" si="267"/>
        <v>0</v>
      </c>
      <c r="BN216" s="466">
        <f t="shared" si="268"/>
        <v>0</v>
      </c>
      <c r="BO216" s="463">
        <f>IF('Data Entry'!$C$74=0,0,IF(ISNA(CJ216),0,IF(AX216=0,0,IF(AND('Data Entry'!$C$74=2,AF216&gt;2,CE216&lt;1),0,IF(AND('Data Entry'!$C$74=2,AF216&gt;1,AU216=2,CJ216&gt;1),0,IF(AND(AF216=5,CT216=0.5,AU216=2,ER216&lt;100),0,IF(AND(AF216=5,CT216=0.5,AU216=3,ER216&lt;100),0,IF(AND('Data Entry'!$C$74=2,AF216=2,AU216=2,AK216&gt;0.01,CB216=2,CE216&lt;1),0,IF(AND('Data Entry'!$C$74=2,AF216=3,AU216=3,AK216&gt;0.01,CB216=3,CE216&lt;1),0,IF(AND('Data Entry'!$C$74=2,AF216=3,AU216=3,AK216&gt;0.01,CB216=3,CE216&gt;0.99),BQ216*0.08,IF(AND('Data Entry'!$C$74=2,AF216=2,AU216=2,AK216&gt;0.01,CB216=2,CE216&gt;0.99),BQ216*0.1,IF(AND(AU216=2,AK216&gt;0.01,CB216=2,CD216&gt;1),BQ216*0.1,IF(AND(AU216=3,AK216&gt;0.01,CB216=3,CD216&gt;1),BQ216*0.08,CJ216*EF216)))))))))))))</f>
        <v>0</v>
      </c>
      <c r="BP216" s="475">
        <f t="shared" si="269"/>
        <v>0</v>
      </c>
      <c r="BQ216" s="1431">
        <f>IF(AU216=1,0,IF(CH216=100,0,IF(AND(AF216=3,AU216=2),0,IF(AND(BH216=0,CT216&gt;0.4),0,IF(AND('Data Entry'!$C$74=2,AF216=1.5),0,IF(AND('Data Entry'!$C$74=2,AF216=1.6),0,IF(AND('Data Entry'!$C$74=2,AF216=4),0,IF(AND('Data Entry'!$C$74=2,AF216=5),0,IF(AND('Data Entry'!$C$74=2,AF216=2.5,CE216&lt;1),0,IF(AND('Data Entry'!$C$74=2,AF216=3,CE216&lt;1),0,IF(AND('Data Entry'!$C$74=1,AF216=2.5,CD216&lt;1),0,IF(AND('Data Entry'!$C$74=1,AF216=3,CD216&lt;1),0,IF(DX216&gt;0.01,DX216,IF(ISERROR(AX216-AY216),"",ROUND(AX216-AY216,2)))))))))))))))</f>
        <v>0</v>
      </c>
      <c r="BR216" s="146">
        <f t="shared" si="270"/>
        <v>0</v>
      </c>
      <c r="BS216" s="475">
        <f t="shared" si="271"/>
        <v>0</v>
      </c>
      <c r="BT216" s="146" t="b">
        <f t="shared" si="272"/>
        <v>0</v>
      </c>
      <c r="BU216" s="463">
        <f>IF(ISNA(AT216),0,IF(AND('Data Entry'!$C$74=2,BC216=27),0,IF(AND('Data Entry'!$C$74=2,BC216=28),0,IF(AND(BC216=27,BT216=27,CM216&gt;0.1),CM216*0.15,IF(AND(BC216=28,BT216=28,CM216&gt;0.1),CM216*0.12,0)))))</f>
        <v>0</v>
      </c>
      <c r="BV216" s="463">
        <f t="shared" si="232"/>
        <v>0</v>
      </c>
      <c r="BW216" s="463">
        <f t="shared" si="273"/>
        <v>0</v>
      </c>
      <c r="BX216" s="463">
        <f t="shared" si="274"/>
        <v>0</v>
      </c>
      <c r="BY216" s="463">
        <f t="shared" si="275"/>
        <v>0</v>
      </c>
      <c r="BZ216" s="463">
        <f t="shared" si="276"/>
        <v>0</v>
      </c>
      <c r="CA216" s="57">
        <f t="shared" si="304"/>
        <v>0</v>
      </c>
      <c r="CB216" s="56">
        <f t="shared" si="277"/>
        <v>1</v>
      </c>
      <c r="CC216" s="756">
        <f>IF(EE216=0,0,IF(EF216=0,0,IF(EE216&gt;AA216,0,IF(AND(AZ216&gt;AW216,AW216&gt;0),0,IF(CU216=0,0,Summary!AC519)))))</f>
        <v>0</v>
      </c>
      <c r="CD216" s="756">
        <f>IF(EE216=0,0,IF(EF216=0,0,IF(EE216&gt;AA216,0,IF(AND(AZ216&gt;AW216,AW216&gt;0),0,IF(CU216=0,0,Summary!AD519)))))</f>
        <v>0</v>
      </c>
      <c r="CE216" s="756">
        <f>IF(EF216=0,0,IF(EE216&gt;AA216,0,IF(CC216=0,0,IF(AND(AZ216&gt;AW216,AW216&gt;0),0,IF(CU216=0,0,Summary!AE519)))))</f>
        <v>0</v>
      </c>
      <c r="CF216" s="475">
        <f t="shared" si="278"/>
        <v>0</v>
      </c>
      <c r="CG216" s="476">
        <f t="shared" si="246"/>
        <v>0</v>
      </c>
      <c r="CH216" s="487">
        <f t="shared" si="279"/>
        <v>0</v>
      </c>
      <c r="CI216" s="756">
        <f t="shared" si="280"/>
        <v>0</v>
      </c>
      <c r="CJ216" s="487">
        <f>IF(CT216&gt;0.4,0,IF(AND(AU216=2,CH216=0,CT216=0.5,ER216=100),35,IF(AND(AU216=3,BB216&gt;75,CH216=0,CT216=0.5,ER216=100),25,IF(CB216&gt;1,0,IF(EF216&gt;EE216,0,IF(AND(AF216&gt;1,CH216=100),0,IF(AND(AF216=1,AY216=0),0,IF(AND(EF216&lt;=EE216,AW216&gt;=AZ216,'Data Entry'!$C$74=1,AU216=2),VLOOKUP(W216,$DO$96:$DP$102,2,FALSE),IF(AND(EF216&lt;=EE216,AW216&gt;=AZ216,AU216=3,'Data Entry'!$C$74=1),VLOOKUP(W216,$DO$127:$DP$134,2,FALSE))))))))))</f>
        <v>0</v>
      </c>
      <c r="CK216" s="716">
        <f t="shared" si="281"/>
        <v>0</v>
      </c>
      <c r="CL216" s="57">
        <f t="shared" si="282"/>
        <v>0</v>
      </c>
      <c r="CM216" s="475">
        <f t="shared" si="308"/>
        <v>0</v>
      </c>
      <c r="CN216" s="660">
        <f>IF(CM216&lt;0.1,0,IF(ISNA(AT216),0,IF(CL216+BC216=1,0,IF(BV216&gt;0.01,0,IF(CL216&gt;0.01,0,IF(CF216=1,0,IF(BC216=0.5,0,IF(AND(CI216=1,AU216=3),0,IF(AND(CI216=5,CL216=0),0,IF(AND(R216=12,BR216=50),0,IF(CK216&gt;0.01,0,IF(AND(AJ216&gt;0.01,AU216=2,BC216=15),CM216*0.1,IF(AND(AJ216&gt;0.01,AU216=3,BC216=15),CM216*0.08,IF(AND(R216=12,BC216=3,AF216&lt;=0),0,IF(AND(BC216=15,BI216=0),0,IF(AND(BC216=15,BJ216=0),0,IF(AND(R216=20,CU216=0),0,IF($X$4=0,0,IF(AND(BC216=250,CL216=0),0,IF(AA216&lt;1,0,IF(AND(ISNUMBER(SEARCH("Area",T216)),AU216=3),0,IF(AND(AQ216&gt;0.01,AR216=0,BK216=0,BL216=0,BM216=0,BN216=0),0,IF(AND(AU216=3,CI216=7,CT216&gt;0.5),0,IF(AND(BC216=44,AU216=3,BY216=0),0,IF(AND(BC216=27,'Data Entry'!$C$74=2),0,IF(AND(BC216=28,'Data Entry'!$C$74=2),0,IF(AND(BY216+BZ216+CA216&gt;0.01,BV216=0,EQ216+ER216+ES216+ET216&lt;100),0,IF(AU216=3,CM216*0.08,IF(AU216=2,CM216*0.1,0)))))))))))))))))))))))))))))</f>
        <v>0</v>
      </c>
      <c r="CO216" s="660">
        <f t="shared" si="283"/>
        <v>0</v>
      </c>
      <c r="CP216" s="475" t="str">
        <f t="shared" si="284"/>
        <v/>
      </c>
      <c r="CQ216" s="161" t="str">
        <f>IF(AH216=0,0,IF(AU216=5,0,Summary!AC219))</f>
        <v/>
      </c>
      <c r="CR216" s="161" t="str">
        <f>IF(BF216=0.5,0,IF(AU216=5,0,Summary!AD219))</f>
        <v/>
      </c>
      <c r="CS216" s="161" t="str">
        <f>IF(AU216=5,0,Summary!AE219)</f>
        <v/>
      </c>
      <c r="CT216" s="161">
        <f t="shared" si="285"/>
        <v>0</v>
      </c>
      <c r="CU216" s="475" t="str">
        <f t="shared" si="286"/>
        <v/>
      </c>
      <c r="CV216" s="307">
        <f>IF('Data Entry'!$C$74=0,0,IF(AA216&lt;1,0,IF(ISERROR(CU216),0,IF(CF216=1,0,IF(AND(R216=12,BR216=50),0,IF(CL216+BO216+BV216+DC216=0,0,IF(BC216=37,0,IF(AND(BC216=40,AJ216=0),0,IF(AND(BC216=37,BO216&gt;0.01,BQ216&gt;0.01),ROUND(BQ216,0),IF(CM216&lt;0,0,ROUND(CM216,0)))))))))))</f>
        <v>0</v>
      </c>
      <c r="CW216" s="700">
        <f t="shared" si="287"/>
        <v>0</v>
      </c>
      <c r="CX216" s="477">
        <f>IF('Data Entry'!$C$74=0,0,IF(CV216&lt;0.01,0,IF(BF216=0.5,0,IF(CF216=1,0,IF(ISNUMBER(SEARCH("false",CL216)),0,IF(AZ216=500,0,CL216))))))</f>
        <v>0</v>
      </c>
      <c r="CY216" s="147" t="e">
        <f t="shared" si="288"/>
        <v>#VALUE!</v>
      </c>
      <c r="CZ216" s="147" t="b">
        <f>IF(CN216+CL216=0,FALSE,IF(AH216=0,0,IF(AND('Data Entry'!$C$74=1,CR216&gt;=1),TRUE,IF(AND('Data Entry'!$C$74=2,CS216&gt;=1),TRUE,FALSE))))</f>
        <v>0</v>
      </c>
      <c r="DA216" s="1751">
        <f>IF('Data Entry'!$C$74=0,0,IFERROR(ROUND(IF(T216="","",IF($X$4=0,0,IF(CF216=1,0,IF(BQ216+CV216=0,0,IF(CF216=1,0,IF(CY216&gt;0.01,CY216,IF(CL216&gt;0.01,CL216,IF(CY216&gt;0.01,CY216,IF(BC216=37,BO216,IF(CZ216=FALSE,0,IF(CZ216=TRUE,DC216+DF216,0))))))))))),2),""))</f>
        <v>0</v>
      </c>
      <c r="DB216" s="1752"/>
      <c r="DC216" s="474">
        <f>IF(CN216&lt;0.01,0,IF(AND(BR216=3,CN216&gt;0.01,CT216&gt;0.6,ER216+ES216+ET216&lt;100),0,IF(AND('Data Entry'!$C$74=1,CN216&gt;0.01,CR216&gt;0.99),MIN(CN216:CO216),IF(AND('Data Entry'!$C$74=2,CN216&gt;0.01,CS216&gt;0.99),MIN(CN216:CO216),0))))</f>
        <v>0</v>
      </c>
      <c r="DD216" s="478">
        <f>IF(CF216=1,"Selection does not match",IF(T216=0,0,IF(AND('Data Entry'!$C$74=0,CP216&gt;1),"Select Oregon or Idaho on Data Entry Tab",IF(AND(AU216=1,AA216&gt;0.9),"Missing Interior or Exterior Selection",IF($X$4=0,"Enter Total Project Cost",IF(AQ216&lt;AR216,"Insufficient kWh savings – no incentive",IF(AND(SUM(CL216+CK216+BV216)&gt;0.01,'Data Entry'!$C$74=2,CJ216&gt;1,BO216=0),"Submit Control as Non-Standard",IF(AND('Data Entry'!$C$74=2,BR216=37,CJ216&gt;1,BO216=0),"Submit Control as Non-Standard",IF(SUM(CL216+CK216+BV216)&gt;0.01,"Standard Incentive",IF(AND('Data Entry'!$C$74=2,CP216=7,CN216=0),"Submit as Non-Standard",IF(DC216&gt;0.9,"Non-Standard Incentive",IF(AND(BY216+BZ216+CA216&gt;0.01,BV216=0,EQ216=0,ER216=0,ES216=0,ET216=0),"Scroll Right &amp; Select Control Strategies",IF(AND(CN216&gt;0.01,CO216=0),"Enter Unit Installed Cost",IF(ISNUMBER(SEARCH("Lighting Controls Only",F216)),"Lighting Controls Only",IF(CL216+DC216=0,"Does not meet incentive criteria",0)))))))))))))))</f>
        <v>0</v>
      </c>
      <c r="DE216" s="337">
        <f t="shared" si="289"/>
        <v>0</v>
      </c>
      <c r="DF216" s="609">
        <f t="shared" si="290"/>
        <v>0</v>
      </c>
      <c r="DG216" s="336" t="str">
        <f t="shared" si="291"/>
        <v/>
      </c>
      <c r="DH216" s="338">
        <f t="shared" si="292"/>
        <v>1</v>
      </c>
      <c r="DI216" s="336" t="e">
        <f t="shared" si="247"/>
        <v>#VALUE!</v>
      </c>
      <c r="DJ216" s="338">
        <f t="shared" si="248"/>
        <v>0</v>
      </c>
      <c r="DO216" s="331"/>
      <c r="DQ216" s="1454" t="s">
        <v>1604</v>
      </c>
      <c r="DR216" s="1457">
        <v>39</v>
      </c>
      <c r="DS216" s="1195">
        <f t="shared" si="293"/>
        <v>0</v>
      </c>
      <c r="DT216" s="344" t="b">
        <f t="shared" si="294"/>
        <v>1</v>
      </c>
      <c r="DU216" s="1314" t="str">
        <f t="array" ref="DU216">IF(OR(COUNTIF(F216,"*"&amp;$DK$9:$DK$178&amp;"*")), "Yes", "")</f>
        <v/>
      </c>
      <c r="DV216" s="1314">
        <f t="shared" si="295"/>
        <v>0</v>
      </c>
      <c r="DW216" s="1480">
        <f t="shared" si="296"/>
        <v>0</v>
      </c>
      <c r="DX216" s="1498">
        <f t="shared" si="305"/>
        <v>0</v>
      </c>
      <c r="DY216" s="1484">
        <f t="shared" si="297"/>
        <v>0</v>
      </c>
      <c r="DZ216" s="331"/>
      <c r="EA216" s="392"/>
      <c r="EB216" s="1499" t="s">
        <v>73</v>
      </c>
      <c r="EC216" s="727" t="s">
        <v>1569</v>
      </c>
      <c r="ED216" s="728">
        <v>0.5</v>
      </c>
      <c r="EE216" s="1215"/>
      <c r="EF216" s="1215"/>
      <c r="EG216" s="1184" t="str">
        <f t="shared" si="298"/>
        <v/>
      </c>
      <c r="EH216" s="81"/>
      <c r="EI216" s="81"/>
      <c r="EJ216" s="1185">
        <f t="shared" si="249"/>
        <v>0</v>
      </c>
      <c r="EK216" s="1211"/>
      <c r="EL216" s="1180">
        <f t="shared" si="250"/>
        <v>0</v>
      </c>
      <c r="EM216" s="206"/>
      <c r="EN216" s="1038"/>
      <c r="EO216" s="1038"/>
      <c r="EP216" s="1038"/>
      <c r="EQ216" s="1038">
        <f t="shared" si="299"/>
        <v>0</v>
      </c>
      <c r="ER216" s="1041">
        <f t="shared" si="300"/>
        <v>0</v>
      </c>
      <c r="ES216" s="1042">
        <f t="shared" si="301"/>
        <v>0</v>
      </c>
      <c r="ET216" s="1042">
        <f t="shared" si="306"/>
        <v>0</v>
      </c>
      <c r="EU216" s="1021">
        <f t="shared" si="307"/>
        <v>0</v>
      </c>
      <c r="EV216" s="368"/>
      <c r="EW216" s="368"/>
      <c r="EX216" s="369"/>
      <c r="EY216" s="370"/>
      <c r="EZ216" s="370"/>
      <c r="FA216" s="371"/>
      <c r="FB216" s="372"/>
    </row>
    <row r="217" spans="1:158" ht="34.5" customHeight="1">
      <c r="A217" s="82">
        <v>209</v>
      </c>
      <c r="B217" s="1806"/>
      <c r="C217" s="1807"/>
      <c r="D217" s="1807"/>
      <c r="E217" s="1808"/>
      <c r="F217" s="1809"/>
      <c r="G217" s="1810"/>
      <c r="H217" s="1810"/>
      <c r="I217" s="1811"/>
      <c r="J217" s="1301"/>
      <c r="K217" s="1814"/>
      <c r="L217" s="1814"/>
      <c r="M217" s="1017"/>
      <c r="N217" s="1584"/>
      <c r="O217" s="208" t="str">
        <f t="shared" si="237"/>
        <v/>
      </c>
      <c r="P217" s="785"/>
      <c r="Q217" s="39" t="str">
        <f t="shared" si="238"/>
        <v/>
      </c>
      <c r="R217" s="39">
        <f t="shared" si="251"/>
        <v>0</v>
      </c>
      <c r="S217" s="234">
        <f t="shared" si="252"/>
        <v>0</v>
      </c>
      <c r="T217" s="1815"/>
      <c r="U217" s="1815"/>
      <c r="V217" s="1815"/>
      <c r="W217" s="1121"/>
      <c r="X217" s="1812"/>
      <c r="Y217" s="1813"/>
      <c r="Z217" s="703"/>
      <c r="AA217" s="1280"/>
      <c r="AB217" s="1141"/>
      <c r="AC217" s="1103" t="str">
        <f>IF(T217="","",VLOOKUP(Z217,Lists!$A$60:$B$111,2,FALSE))</f>
        <v/>
      </c>
      <c r="AD217" s="130" t="str">
        <f t="shared" si="253"/>
        <v/>
      </c>
      <c r="AE217" s="130" t="e">
        <f t="shared" si="254"/>
        <v>#VALUE!</v>
      </c>
      <c r="AF217" s="130">
        <f t="shared" si="255"/>
        <v>1</v>
      </c>
      <c r="AG217" s="234">
        <f t="shared" si="239"/>
        <v>0</v>
      </c>
      <c r="AH217" s="1753" t="str">
        <f>IF(T217="","",(IF(ISNUMBER(SEARCH("exit",T217)),8760,IF(AND(M217="Dusk to Dawn",'Proposed Lighting'!AU217=3),4059,IF(AND(AU217=3,M217="1"),0,IF(AND(AU217=3,M217="1-C"),0,IF(AND(AU217=3,M217="2"),0,IF(AND(AU217=3,M217="2-C"),0,IF(AND(AU217=3,M217="3"),0,IF(AND(AU217=3,M217="3-C"),0,IF(AND(AU217=2,M217="Dusk to Dawn"),0,IF(AND(AU217=2,M217="Dusk to Dawn-C"),0,IF(AND(AU217=2,M217="Dusk to Dawn"),0,IF(AND(AU217=2,M217="E"),0,IF(AND(AU217=2,M217="E-C"),0,EG217)))))))))))))))</f>
        <v/>
      </c>
      <c r="AI217" s="1754"/>
      <c r="AJ217" s="1136"/>
      <c r="AK217" s="1136"/>
      <c r="AL217" s="1748">
        <f t="shared" si="256"/>
        <v>0</v>
      </c>
      <c r="AM217" s="1749"/>
      <c r="AN217" s="1750"/>
      <c r="AO217" s="476">
        <f t="shared" si="240"/>
        <v>0</v>
      </c>
      <c r="AP217" s="476">
        <f t="shared" si="257"/>
        <v>0</v>
      </c>
      <c r="AQ217" s="475">
        <f t="shared" si="241"/>
        <v>0</v>
      </c>
      <c r="AR217" s="475">
        <f t="shared" si="258"/>
        <v>0</v>
      </c>
      <c r="AS217" s="743" t="str">
        <f t="shared" si="233"/>
        <v/>
      </c>
      <c r="AT217" s="736" t="str">
        <f t="shared" si="259"/>
        <v/>
      </c>
      <c r="AU217" s="56">
        <f t="shared" si="260"/>
        <v>1</v>
      </c>
      <c r="AV217" s="476">
        <f t="shared" si="261"/>
        <v>0</v>
      </c>
      <c r="AW217" s="56">
        <f t="shared" si="262"/>
        <v>0</v>
      </c>
      <c r="AX217" s="475">
        <f t="shared" si="242"/>
        <v>0</v>
      </c>
      <c r="AY217" s="1169">
        <f t="shared" si="263"/>
        <v>0</v>
      </c>
      <c r="AZ217" s="1150">
        <f t="shared" si="302"/>
        <v>0</v>
      </c>
      <c r="BA217" s="56">
        <f t="shared" si="243"/>
        <v>0</v>
      </c>
      <c r="BB217" s="420">
        <f t="shared" si="244"/>
        <v>0</v>
      </c>
      <c r="BC217" s="58" t="str">
        <f t="shared" si="245"/>
        <v/>
      </c>
      <c r="BD217" s="660">
        <f t="shared" si="303"/>
        <v>0</v>
      </c>
      <c r="BE217" s="57" t="e">
        <f t="array" ref="BE217">INDEX($EB$11:$ED$1022,MATCH(F217&amp;T217,$EB$11:$EB$1007&amp;$EC$11:$EC$1007,0),3)</f>
        <v>#N/A</v>
      </c>
      <c r="BF217" s="463">
        <f t="shared" si="234"/>
        <v>0</v>
      </c>
      <c r="BG217" s="1445" t="e">
        <f t="array" ref="BG217">INDEX($DO$112:$DQ$123,MATCH(T217&amp;W217,$DO$114:$DO$125&amp;$DP$112:$DP$123,0),3)</f>
        <v>#N/A</v>
      </c>
      <c r="BH217" s="1446">
        <f t="shared" si="264"/>
        <v>0</v>
      </c>
      <c r="BI217" s="465">
        <f t="shared" si="265"/>
        <v>0</v>
      </c>
      <c r="BJ217" s="465">
        <f t="shared" si="266"/>
        <v>0</v>
      </c>
      <c r="BK217" s="466">
        <f t="shared" si="235"/>
        <v>0</v>
      </c>
      <c r="BL217" s="466">
        <f t="shared" si="236"/>
        <v>0</v>
      </c>
      <c r="BM217" s="466">
        <f t="shared" si="267"/>
        <v>0</v>
      </c>
      <c r="BN217" s="466">
        <f t="shared" si="268"/>
        <v>0</v>
      </c>
      <c r="BO217" s="463">
        <f>IF('Data Entry'!$C$74=0,0,IF(ISNA(CJ217),0,IF(AX217=0,0,IF(AND('Data Entry'!$C$74=2,AF217&gt;2,CE217&lt;1),0,IF(AND('Data Entry'!$C$74=2,AF217&gt;1,AU217=2,CJ217&gt;1),0,IF(AND(AF217=5,CT217=0.5,AU217=2,ER217&lt;100),0,IF(AND(AF217=5,CT217=0.5,AU217=3,ER217&lt;100),0,IF(AND('Data Entry'!$C$74=2,AF217=2,AU217=2,AK217&gt;0.01,CB217=2,CE217&lt;1),0,IF(AND('Data Entry'!$C$74=2,AF217=3,AU217=3,AK217&gt;0.01,CB217=3,CE217&lt;1),0,IF(AND('Data Entry'!$C$74=2,AF217=3,AU217=3,AK217&gt;0.01,CB217=3,CE217&gt;0.99),BQ217*0.08,IF(AND('Data Entry'!$C$74=2,AF217=2,AU217=2,AK217&gt;0.01,CB217=2,CE217&gt;0.99),BQ217*0.1,IF(AND(AU217=2,AK217&gt;0.01,CB217=2,CD217&gt;1),BQ217*0.1,IF(AND(AU217=3,AK217&gt;0.01,CB217=3,CD217&gt;1),BQ217*0.08,CJ217*EF217)))))))))))))</f>
        <v>0</v>
      </c>
      <c r="BP217" s="475">
        <f t="shared" si="269"/>
        <v>0</v>
      </c>
      <c r="BQ217" s="1431">
        <f>IF(AU217=1,0,IF(CH217=100,0,IF(AND(AF217=3,AU217=2),0,IF(AND(BH217=0,CT217&gt;0.4),0,IF(AND('Data Entry'!$C$74=2,AF217=1.5),0,IF(AND('Data Entry'!$C$74=2,AF217=1.6),0,IF(AND('Data Entry'!$C$74=2,AF217=4),0,IF(AND('Data Entry'!$C$74=2,AF217=5),0,IF(AND('Data Entry'!$C$74=2,AF217=2.5,CE217&lt;1),0,IF(AND('Data Entry'!$C$74=2,AF217=3,CE217&lt;1),0,IF(AND('Data Entry'!$C$74=1,AF217=2.5,CD217&lt;1),0,IF(AND('Data Entry'!$C$74=1,AF217=3,CD217&lt;1),0,IF(DX217&gt;0.01,DX217,IF(ISERROR(AX217-AY217),"",ROUND(AX217-AY217,2)))))))))))))))</f>
        <v>0</v>
      </c>
      <c r="BR217" s="146">
        <f t="shared" si="270"/>
        <v>0</v>
      </c>
      <c r="BS217" s="475">
        <f t="shared" si="271"/>
        <v>0</v>
      </c>
      <c r="BT217" s="146" t="b">
        <f t="shared" si="272"/>
        <v>0</v>
      </c>
      <c r="BU217" s="463">
        <f>IF(ISNA(AT217),0,IF(AND('Data Entry'!$C$74=2,BC217=27),0,IF(AND('Data Entry'!$C$74=2,BC217=28),0,IF(AND(BC217=27,BT217=27,CM217&gt;0.1),CM217*0.15,IF(AND(BC217=28,BT217=28,CM217&gt;0.1),CM217*0.12,0)))))</f>
        <v>0</v>
      </c>
      <c r="BV217" s="463">
        <f t="shared" ref="BV217:BV280" si="309">IF($X$4=0,0,IF(AND(CM217&lt;0.01,BQ217&lt;0.01),0,IF(ISNA(AT217),0,IF(BR217=3,0,IF(AND(BY217+BZ217+CA217&gt;0.01,EQ217+ER217+ES217+ET217&lt;100),0,IF(AA217&lt;1,0,IF(CB217=1,SUM(BI217+BJ217+BO217+BU217+BW217+BX217+BY217+BZ217+CA217+CK217),SUM(BI217+BJ217+BU217+BW217+BX217+BY217+BZ217+CA217+CK217))))))))</f>
        <v>0</v>
      </c>
      <c r="BW217" s="463">
        <f t="shared" si="273"/>
        <v>0</v>
      </c>
      <c r="BX217" s="463">
        <f t="shared" si="274"/>
        <v>0</v>
      </c>
      <c r="BY217" s="463">
        <f t="shared" si="275"/>
        <v>0</v>
      </c>
      <c r="BZ217" s="463">
        <f t="shared" si="276"/>
        <v>0</v>
      </c>
      <c r="CA217" s="57">
        <f t="shared" si="304"/>
        <v>0</v>
      </c>
      <c r="CB217" s="56">
        <f t="shared" si="277"/>
        <v>1</v>
      </c>
      <c r="CC217" s="756">
        <f>IF(EE217=0,0,IF(EF217=0,0,IF(EE217&gt;AA217,0,IF(AND(AZ217&gt;AW217,AW217&gt;0),0,IF(CU217=0,0,Summary!AC520)))))</f>
        <v>0</v>
      </c>
      <c r="CD217" s="756">
        <f>IF(EE217=0,0,IF(EF217=0,0,IF(EE217&gt;AA217,0,IF(AND(AZ217&gt;AW217,AW217&gt;0),0,IF(CU217=0,0,Summary!AD520)))))</f>
        <v>0</v>
      </c>
      <c r="CE217" s="756">
        <f>IF(EF217=0,0,IF(EE217&gt;AA217,0,IF(CC217=0,0,IF(AND(AZ217&gt;AW217,AW217&gt;0),0,IF(CU217=0,0,Summary!AE520)))))</f>
        <v>0</v>
      </c>
      <c r="CF217" s="475">
        <f t="shared" si="278"/>
        <v>0</v>
      </c>
      <c r="CG217" s="476">
        <f t="shared" si="246"/>
        <v>0</v>
      </c>
      <c r="CH217" s="487">
        <f t="shared" si="279"/>
        <v>0</v>
      </c>
      <c r="CI217" s="756">
        <f t="shared" si="280"/>
        <v>0</v>
      </c>
      <c r="CJ217" s="487">
        <f>IF(CT217&gt;0.4,0,IF(AND(AU217=2,CH217=0,CT217=0.5,ER217=100),35,IF(AND(AU217=3,BB217&gt;75,CH217=0,CT217=0.5,ER217=100),25,IF(CB217&gt;1,0,IF(EF217&gt;EE217,0,IF(AND(AF217&gt;1,CH217=100),0,IF(AND(AF217=1,AY217=0),0,IF(AND(EF217&lt;=EE217,AW217&gt;=AZ217,'Data Entry'!$C$74=1,AU217=2),VLOOKUP(W217,$DO$96:$DP$102,2,FALSE),IF(AND(EF217&lt;=EE217,AW217&gt;=AZ217,AU217=3,'Data Entry'!$C$74=1),VLOOKUP(W217,$DO$127:$DP$134,2,FALSE))))))))))</f>
        <v>0</v>
      </c>
      <c r="CK217" s="716">
        <f t="shared" si="281"/>
        <v>0</v>
      </c>
      <c r="CL217" s="57">
        <f t="shared" si="282"/>
        <v>0</v>
      </c>
      <c r="CM217" s="475">
        <f t="shared" si="308"/>
        <v>0</v>
      </c>
      <c r="CN217" s="660">
        <f>IF(CM217&lt;0.1,0,IF(ISNA(AT217),0,IF(CL217+BC217=1,0,IF(BV217&gt;0.01,0,IF(CL217&gt;0.01,0,IF(CF217=1,0,IF(BC217=0.5,0,IF(AND(CI217=1,AU217=3),0,IF(AND(CI217=5,CL217=0),0,IF(AND(R217=12,BR217=50),0,IF(CK217&gt;0.01,0,IF(AND(AJ217&gt;0.01,AU217=2,BC217=15),CM217*0.1,IF(AND(AJ217&gt;0.01,AU217=3,BC217=15),CM217*0.08,IF(AND(R217=12,BC217=3,AF217&lt;=0),0,IF(AND(BC217=15,BI217=0),0,IF(AND(BC217=15,BJ217=0),0,IF(AND(R217=20,CU217=0),0,IF($X$4=0,0,IF(AND(BC217=250,CL217=0),0,IF(AA217&lt;1,0,IF(AND(ISNUMBER(SEARCH("Area",T217)),AU217=3),0,IF(AND(AQ217&gt;0.01,AR217=0,BK217=0,BL217=0,BM217=0,BN217=0),0,IF(AND(AU217=3,CI217=7,CT217&gt;0.5),0,IF(AND(BC217=44,AU217=3,BY217=0),0,IF(AND(BC217=27,'Data Entry'!$C$74=2),0,IF(AND(BC217=28,'Data Entry'!$C$74=2),0,IF(AND(BY217+BZ217+CA217&gt;0.01,BV217=0,EQ217+ER217+ES217+ET217&lt;100),0,IF(AU217=3,CM217*0.08,IF(AU217=2,CM217*0.1,0)))))))))))))))))))))))))))))</f>
        <v>0</v>
      </c>
      <c r="CO217" s="660">
        <f t="shared" si="283"/>
        <v>0</v>
      </c>
      <c r="CP217" s="475" t="str">
        <f t="shared" si="284"/>
        <v/>
      </c>
      <c r="CQ217" s="161" t="str">
        <f>IF(AH217=0,0,IF(AU217=5,0,Summary!AC220))</f>
        <v/>
      </c>
      <c r="CR217" s="161" t="str">
        <f>IF(BF217=0.5,0,IF(AU217=5,0,Summary!AD220))</f>
        <v/>
      </c>
      <c r="CS217" s="161" t="str">
        <f>IF(AU217=5,0,Summary!AE220)</f>
        <v/>
      </c>
      <c r="CT217" s="161">
        <f t="shared" si="285"/>
        <v>0</v>
      </c>
      <c r="CU217" s="475" t="str">
        <f t="shared" si="286"/>
        <v/>
      </c>
      <c r="CV217" s="307">
        <f>IF('Data Entry'!$C$74=0,0,IF(AA217&lt;1,0,IF(ISERROR(CU217),0,IF(CF217=1,0,IF(AND(R217=12,BR217=50),0,IF(CL217+BO217+BV217+DC217=0,0,IF(BC217=37,0,IF(AND(BC217=40,AJ217=0),0,IF(AND(BC217=37,BO217&gt;0.01,BQ217&gt;0.01),ROUND(BQ217,0),IF(CM217&lt;0,0,ROUND(CM217,0)))))))))))</f>
        <v>0</v>
      </c>
      <c r="CW217" s="700">
        <f t="shared" si="287"/>
        <v>0</v>
      </c>
      <c r="CX217" s="477">
        <f>IF('Data Entry'!$C$74=0,0,IF(CV217&lt;0.01,0,IF(BF217=0.5,0,IF(CF217=1,0,IF(ISNUMBER(SEARCH("false",CL217)),0,IF(AZ217=500,0,CL217))))))</f>
        <v>0</v>
      </c>
      <c r="CY217" s="147" t="e">
        <f t="shared" si="288"/>
        <v>#VALUE!</v>
      </c>
      <c r="CZ217" s="147" t="b">
        <f>IF(CN217+CL217=0,FALSE,IF(AH217=0,0,IF(AND('Data Entry'!$C$74=1,CR217&gt;=1),TRUE,IF(AND('Data Entry'!$C$74=2,CS217&gt;=1),TRUE,FALSE))))</f>
        <v>0</v>
      </c>
      <c r="DA217" s="1751">
        <f>IF('Data Entry'!$C$74=0,0,IFERROR(ROUND(IF(T217="","",IF($X$4=0,0,IF(CF217=1,0,IF(BQ217+CV217=0,0,IF(CF217=1,0,IF(CY217&gt;0.01,CY217,IF(CL217&gt;0.01,CL217,IF(CY217&gt;0.01,CY217,IF(BC217=37,BO217,IF(CZ217=FALSE,0,IF(CZ217=TRUE,DC217+DF217,0))))))))))),2),""))</f>
        <v>0</v>
      </c>
      <c r="DB217" s="1752"/>
      <c r="DC217" s="474">
        <f>IF(CN217&lt;0.01,0,IF(AND(BR217=3,CN217&gt;0.01,CT217&gt;0.6,ER217+ES217+ET217&lt;100),0,IF(AND('Data Entry'!$C$74=1,CN217&gt;0.01,CR217&gt;0.99),MIN(CN217:CO217),IF(AND('Data Entry'!$C$74=2,CN217&gt;0.01,CS217&gt;0.99),MIN(CN217:CO217),0))))</f>
        <v>0</v>
      </c>
      <c r="DD217" s="478">
        <f>IF(CF217=1,"Selection does not match",IF(T217=0,0,IF(AND('Data Entry'!$C$74=0,CP217&gt;1),"Select Oregon or Idaho on Data Entry Tab",IF(AND(AU217=1,AA217&gt;0.9),"Missing Interior or Exterior Selection",IF($X$4=0,"Enter Total Project Cost",IF(AQ217&lt;AR217,"Insufficient kWh savings – no incentive",IF(AND(SUM(CL217+CK217+BV217)&gt;0.01,'Data Entry'!$C$74=2,CJ217&gt;1,BO217=0),"Submit Control as Non-Standard",IF(AND('Data Entry'!$C$74=2,BR217=37,CJ217&gt;1,BO217=0),"Submit Control as Non-Standard",IF(SUM(CL217+CK217+BV217)&gt;0.01,"Standard Incentive",IF(AND('Data Entry'!$C$74=2,CP217=7,CN217=0),"Submit as Non-Standard",IF(DC217&gt;0.9,"Non-Standard Incentive",IF(AND(BY217+BZ217+CA217&gt;0.01,BV217=0,EQ217=0,ER217=0,ES217=0,ET217=0),"Scroll Right &amp; Select Control Strategies",IF(AND(CN217&gt;0.01,CO217=0),"Enter Unit Installed Cost",IF(ISNUMBER(SEARCH("Lighting Controls Only",F217)),"Lighting Controls Only",IF(CL217+DC217=0,"Does not meet incentive criteria",0)))))))))))))))</f>
        <v>0</v>
      </c>
      <c r="DE217" s="337">
        <f t="shared" si="289"/>
        <v>0</v>
      </c>
      <c r="DF217" s="609">
        <f t="shared" si="290"/>
        <v>0</v>
      </c>
      <c r="DG217" s="336" t="str">
        <f t="shared" si="291"/>
        <v/>
      </c>
      <c r="DH217" s="338">
        <f t="shared" si="292"/>
        <v>1</v>
      </c>
      <c r="DI217" s="336" t="e">
        <f t="shared" si="247"/>
        <v>#VALUE!</v>
      </c>
      <c r="DJ217" s="338">
        <f t="shared" si="248"/>
        <v>0</v>
      </c>
      <c r="DO217" s="331"/>
      <c r="DQ217" s="1458" t="s">
        <v>1597</v>
      </c>
      <c r="DR217" s="1457">
        <v>22</v>
      </c>
      <c r="DS217" s="1195">
        <f t="shared" si="293"/>
        <v>0</v>
      </c>
      <c r="DT217" s="344" t="b">
        <f t="shared" si="294"/>
        <v>1</v>
      </c>
      <c r="DU217" s="1314" t="str">
        <f t="array" ref="DU217">IF(OR(COUNTIF(F217,"*"&amp;$DK$9:$DK$178&amp;"*")), "Yes", "")</f>
        <v/>
      </c>
      <c r="DV217" s="1314">
        <f t="shared" si="295"/>
        <v>0</v>
      </c>
      <c r="DW217" s="1480">
        <f t="shared" si="296"/>
        <v>0</v>
      </c>
      <c r="DX217" s="1498">
        <f t="shared" si="305"/>
        <v>0</v>
      </c>
      <c r="DY217" s="1484">
        <f t="shared" si="297"/>
        <v>0</v>
      </c>
      <c r="DZ217" s="331"/>
      <c r="EA217" s="392"/>
      <c r="EB217" s="1499" t="s">
        <v>143</v>
      </c>
      <c r="EC217" s="727" t="s">
        <v>1569</v>
      </c>
      <c r="ED217" s="728">
        <v>0.5</v>
      </c>
      <c r="EE217" s="1215"/>
      <c r="EF217" s="1215"/>
      <c r="EG217" s="1184" t="str">
        <f t="shared" si="298"/>
        <v/>
      </c>
      <c r="EH217" s="81"/>
      <c r="EI217" s="81"/>
      <c r="EJ217" s="1185">
        <f t="shared" si="249"/>
        <v>0</v>
      </c>
      <c r="EK217" s="1211"/>
      <c r="EL217" s="1180">
        <f t="shared" si="250"/>
        <v>0</v>
      </c>
      <c r="EM217" s="206"/>
      <c r="EN217" s="1038"/>
      <c r="EO217" s="1038"/>
      <c r="EP217" s="1038"/>
      <c r="EQ217" s="1038">
        <f t="shared" si="299"/>
        <v>0</v>
      </c>
      <c r="ER217" s="1041">
        <f t="shared" si="300"/>
        <v>0</v>
      </c>
      <c r="ES217" s="1042">
        <f t="shared" si="301"/>
        <v>0</v>
      </c>
      <c r="ET217" s="1042">
        <f t="shared" si="306"/>
        <v>0</v>
      </c>
      <c r="EU217" s="1021">
        <f t="shared" si="307"/>
        <v>0</v>
      </c>
      <c r="EV217" s="368"/>
      <c r="EW217" s="368"/>
      <c r="EX217" s="369"/>
      <c r="EY217" s="370"/>
      <c r="EZ217" s="370"/>
      <c r="FA217" s="371"/>
      <c r="FB217" s="372"/>
    </row>
    <row r="218" spans="1:158" ht="34.5" customHeight="1">
      <c r="A218" s="82">
        <v>210</v>
      </c>
      <c r="B218" s="1806"/>
      <c r="C218" s="1807"/>
      <c r="D218" s="1807"/>
      <c r="E218" s="1808"/>
      <c r="F218" s="1809"/>
      <c r="G218" s="1810"/>
      <c r="H218" s="1810"/>
      <c r="I218" s="1811"/>
      <c r="J218" s="1301"/>
      <c r="K218" s="1814"/>
      <c r="L218" s="1814"/>
      <c r="M218" s="1017"/>
      <c r="N218" s="1584"/>
      <c r="O218" s="208" t="str">
        <f t="shared" si="237"/>
        <v/>
      </c>
      <c r="P218" s="785"/>
      <c r="Q218" s="39" t="str">
        <f t="shared" si="238"/>
        <v/>
      </c>
      <c r="R218" s="39">
        <f t="shared" si="251"/>
        <v>0</v>
      </c>
      <c r="S218" s="234">
        <f t="shared" si="252"/>
        <v>0</v>
      </c>
      <c r="T218" s="1815"/>
      <c r="U218" s="1815"/>
      <c r="V218" s="1815"/>
      <c r="W218" s="1121"/>
      <c r="X218" s="1812"/>
      <c r="Y218" s="1813"/>
      <c r="Z218" s="703"/>
      <c r="AA218" s="1280"/>
      <c r="AB218" s="1141"/>
      <c r="AC218" s="1103" t="str">
        <f>IF(T218="","",VLOOKUP(Z218,Lists!$A$60:$B$111,2,FALSE))</f>
        <v/>
      </c>
      <c r="AD218" s="130" t="str">
        <f t="shared" si="253"/>
        <v/>
      </c>
      <c r="AE218" s="130" t="e">
        <f t="shared" si="254"/>
        <v>#VALUE!</v>
      </c>
      <c r="AF218" s="130">
        <f t="shared" si="255"/>
        <v>1</v>
      </c>
      <c r="AG218" s="234">
        <f t="shared" si="239"/>
        <v>0</v>
      </c>
      <c r="AH218" s="1753" t="str">
        <f>IF(T218="","",(IF(ISNUMBER(SEARCH("exit",T218)),8760,IF(AND(M218="Dusk to Dawn",'Proposed Lighting'!AU218=3),4059,IF(AND(AU218=3,M218="1"),0,IF(AND(AU218=3,M218="1-C"),0,IF(AND(AU218=3,M218="2"),0,IF(AND(AU218=3,M218="2-C"),0,IF(AND(AU218=3,M218="3"),0,IF(AND(AU218=3,M218="3-C"),0,IF(AND(AU218=2,M218="Dusk to Dawn"),0,IF(AND(AU218=2,M218="Dusk to Dawn-C"),0,IF(AND(AU218=2,M218="Dusk to Dawn"),0,IF(AND(AU218=2,M218="E"),0,IF(AND(AU218=2,M218="E-C"),0,EG218)))))))))))))))</f>
        <v/>
      </c>
      <c r="AI218" s="1754"/>
      <c r="AJ218" s="1136"/>
      <c r="AK218" s="1136"/>
      <c r="AL218" s="1748">
        <f t="shared" si="256"/>
        <v>0</v>
      </c>
      <c r="AM218" s="1749"/>
      <c r="AN218" s="1750"/>
      <c r="AO218" s="476">
        <f t="shared" si="240"/>
        <v>0</v>
      </c>
      <c r="AP218" s="476">
        <f t="shared" si="257"/>
        <v>0</v>
      </c>
      <c r="AQ218" s="475">
        <f t="shared" si="241"/>
        <v>0</v>
      </c>
      <c r="AR218" s="475">
        <f t="shared" si="258"/>
        <v>0</v>
      </c>
      <c r="AS218" s="743" t="str">
        <f t="shared" si="233"/>
        <v/>
      </c>
      <c r="AT218" s="736" t="str">
        <f t="shared" si="259"/>
        <v/>
      </c>
      <c r="AU218" s="56">
        <f t="shared" si="260"/>
        <v>1</v>
      </c>
      <c r="AV218" s="476">
        <f t="shared" si="261"/>
        <v>0</v>
      </c>
      <c r="AW218" s="56">
        <f t="shared" si="262"/>
        <v>0</v>
      </c>
      <c r="AX218" s="475">
        <f t="shared" si="242"/>
        <v>0</v>
      </c>
      <c r="AY218" s="1169">
        <f t="shared" si="263"/>
        <v>0</v>
      </c>
      <c r="AZ218" s="1150">
        <f t="shared" si="302"/>
        <v>0</v>
      </c>
      <c r="BA218" s="56">
        <f t="shared" si="243"/>
        <v>0</v>
      </c>
      <c r="BB218" s="420">
        <f t="shared" si="244"/>
        <v>0</v>
      </c>
      <c r="BC218" s="58" t="str">
        <f t="shared" si="245"/>
        <v/>
      </c>
      <c r="BD218" s="660">
        <f t="shared" si="303"/>
        <v>0</v>
      </c>
      <c r="BE218" s="57" t="e">
        <f t="array" ref="BE218">INDEX($EB$11:$ED$1022,MATCH(F218&amp;T218,$EB$11:$EB$1007&amp;$EC$11:$EC$1007,0),3)</f>
        <v>#N/A</v>
      </c>
      <c r="BF218" s="463">
        <f t="shared" si="234"/>
        <v>0</v>
      </c>
      <c r="BG218" s="1445" t="e">
        <f t="array" ref="BG218">INDEX($DO$112:$DQ$123,MATCH(T218&amp;W218,$DO$114:$DO$125&amp;$DP$112:$DP$123,0),3)</f>
        <v>#N/A</v>
      </c>
      <c r="BH218" s="1446">
        <f t="shared" si="264"/>
        <v>0</v>
      </c>
      <c r="BI218" s="465">
        <f t="shared" si="265"/>
        <v>0</v>
      </c>
      <c r="BJ218" s="465">
        <f t="shared" si="266"/>
        <v>0</v>
      </c>
      <c r="BK218" s="466">
        <f t="shared" si="235"/>
        <v>0</v>
      </c>
      <c r="BL218" s="466">
        <f t="shared" si="236"/>
        <v>0</v>
      </c>
      <c r="BM218" s="466">
        <f t="shared" si="267"/>
        <v>0</v>
      </c>
      <c r="BN218" s="466">
        <f t="shared" si="268"/>
        <v>0</v>
      </c>
      <c r="BO218" s="463">
        <f>IF('Data Entry'!$C$74=0,0,IF(ISNA(CJ218),0,IF(AX218=0,0,IF(AND('Data Entry'!$C$74=2,AF218&gt;2,CE218&lt;1),0,IF(AND('Data Entry'!$C$74=2,AF218&gt;1,AU218=2,CJ218&gt;1),0,IF(AND(AF218=5,CT218=0.5,AU218=2,ER218&lt;100),0,IF(AND(AF218=5,CT218=0.5,AU218=3,ER218&lt;100),0,IF(AND('Data Entry'!$C$74=2,AF218=2,AU218=2,AK218&gt;0.01,CB218=2,CE218&lt;1),0,IF(AND('Data Entry'!$C$74=2,AF218=3,AU218=3,AK218&gt;0.01,CB218=3,CE218&lt;1),0,IF(AND('Data Entry'!$C$74=2,AF218=3,AU218=3,AK218&gt;0.01,CB218=3,CE218&gt;0.99),BQ218*0.08,IF(AND('Data Entry'!$C$74=2,AF218=2,AU218=2,AK218&gt;0.01,CB218=2,CE218&gt;0.99),BQ218*0.1,IF(AND(AU218=2,AK218&gt;0.01,CB218=2,CD218&gt;1),BQ218*0.1,IF(AND(AU218=3,AK218&gt;0.01,CB218=3,CD218&gt;1),BQ218*0.08,CJ218*EF218)))))))))))))</f>
        <v>0</v>
      </c>
      <c r="BP218" s="475">
        <f t="shared" si="269"/>
        <v>0</v>
      </c>
      <c r="BQ218" s="1431">
        <f>IF(AU218=1,0,IF(CH218=100,0,IF(AND(AF218=3,AU218=2),0,IF(AND(BH218=0,CT218&gt;0.4),0,IF(AND('Data Entry'!$C$74=2,AF218=1.5),0,IF(AND('Data Entry'!$C$74=2,AF218=1.6),0,IF(AND('Data Entry'!$C$74=2,AF218=4),0,IF(AND('Data Entry'!$C$74=2,AF218=5),0,IF(AND('Data Entry'!$C$74=2,AF218=2.5,CE218&lt;1),0,IF(AND('Data Entry'!$C$74=2,AF218=3,CE218&lt;1),0,IF(AND('Data Entry'!$C$74=1,AF218=2.5,CD218&lt;1),0,IF(AND('Data Entry'!$C$74=1,AF218=3,CD218&lt;1),0,IF(DX218&gt;0.01,DX218,IF(ISERROR(AX218-AY218),"",ROUND(AX218-AY218,2)))))))))))))))</f>
        <v>0</v>
      </c>
      <c r="BR218" s="146">
        <f t="shared" si="270"/>
        <v>0</v>
      </c>
      <c r="BS218" s="475">
        <f t="shared" si="271"/>
        <v>0</v>
      </c>
      <c r="BT218" s="146" t="b">
        <f t="shared" si="272"/>
        <v>0</v>
      </c>
      <c r="BU218" s="463">
        <f>IF(ISNA(AT218),0,IF(AND('Data Entry'!$C$74=2,BC218=27),0,IF(AND('Data Entry'!$C$74=2,BC218=28),0,IF(AND(BC218=27,BT218=27,CM218&gt;0.1),CM218*0.15,IF(AND(BC218=28,BT218=28,CM218&gt;0.1),CM218*0.12,0)))))</f>
        <v>0</v>
      </c>
      <c r="BV218" s="463">
        <f t="shared" si="309"/>
        <v>0</v>
      </c>
      <c r="BW218" s="463">
        <f t="shared" si="273"/>
        <v>0</v>
      </c>
      <c r="BX218" s="463">
        <f t="shared" si="274"/>
        <v>0</v>
      </c>
      <c r="BY218" s="463">
        <f t="shared" si="275"/>
        <v>0</v>
      </c>
      <c r="BZ218" s="463">
        <f t="shared" si="276"/>
        <v>0</v>
      </c>
      <c r="CA218" s="57">
        <f t="shared" si="304"/>
        <v>0</v>
      </c>
      <c r="CB218" s="56">
        <f t="shared" si="277"/>
        <v>1</v>
      </c>
      <c r="CC218" s="756">
        <f>IF(EE218=0,0,IF(EF218=0,0,IF(EE218&gt;AA218,0,IF(AND(AZ218&gt;AW218,AW218&gt;0),0,IF(CU218=0,0,Summary!AC521)))))</f>
        <v>0</v>
      </c>
      <c r="CD218" s="756">
        <f>IF(EE218=0,0,IF(EF218=0,0,IF(EE218&gt;AA218,0,IF(AND(AZ218&gt;AW218,AW218&gt;0),0,IF(CU218=0,0,Summary!AD521)))))</f>
        <v>0</v>
      </c>
      <c r="CE218" s="756">
        <f>IF(EF218=0,0,IF(EE218&gt;AA218,0,IF(CC218=0,0,IF(AND(AZ218&gt;AW218,AW218&gt;0),0,IF(CU218=0,0,Summary!AE521)))))</f>
        <v>0</v>
      </c>
      <c r="CF218" s="475">
        <f t="shared" si="278"/>
        <v>0</v>
      </c>
      <c r="CG218" s="476">
        <f t="shared" si="246"/>
        <v>0</v>
      </c>
      <c r="CH218" s="487">
        <f t="shared" si="279"/>
        <v>0</v>
      </c>
      <c r="CI218" s="756">
        <f t="shared" si="280"/>
        <v>0</v>
      </c>
      <c r="CJ218" s="487">
        <f>IF(CT218&gt;0.4,0,IF(AND(AU218=2,CH218=0,CT218=0.5,ER218=100),35,IF(AND(AU218=3,BB218&gt;75,CH218=0,CT218=0.5,ER218=100),25,IF(CB218&gt;1,0,IF(EF218&gt;EE218,0,IF(AND(AF218&gt;1,CH218=100),0,IF(AND(AF218=1,AY218=0),0,IF(AND(EF218&lt;=EE218,AW218&gt;=AZ218,'Data Entry'!$C$74=1,AU218=2),VLOOKUP(W218,$DO$96:$DP$102,2,FALSE),IF(AND(EF218&lt;=EE218,AW218&gt;=AZ218,AU218=3,'Data Entry'!$C$74=1),VLOOKUP(W218,$DO$127:$DP$134,2,FALSE))))))))))</f>
        <v>0</v>
      </c>
      <c r="CK218" s="716">
        <f t="shared" si="281"/>
        <v>0</v>
      </c>
      <c r="CL218" s="57">
        <f t="shared" si="282"/>
        <v>0</v>
      </c>
      <c r="CM218" s="475">
        <f t="shared" si="308"/>
        <v>0</v>
      </c>
      <c r="CN218" s="660">
        <f>IF(CM218&lt;0.1,0,IF(ISNA(AT218),0,IF(CL218+BC218=1,0,IF(BV218&gt;0.01,0,IF(CL218&gt;0.01,0,IF(CF218=1,0,IF(BC218=0.5,0,IF(AND(CI218=1,AU218=3),0,IF(AND(CI218=5,CL218=0),0,IF(AND(R218=12,BR218=50),0,IF(CK218&gt;0.01,0,IF(AND(AJ218&gt;0.01,AU218=2,BC218=15),CM218*0.1,IF(AND(AJ218&gt;0.01,AU218=3,BC218=15),CM218*0.08,IF(AND(R218=12,BC218=3,AF218&lt;=0),0,IF(AND(BC218=15,BI218=0),0,IF(AND(BC218=15,BJ218=0),0,IF(AND(R218=20,CU218=0),0,IF($X$4=0,0,IF(AND(BC218=250,CL218=0),0,IF(AA218&lt;1,0,IF(AND(ISNUMBER(SEARCH("Area",T218)),AU218=3),0,IF(AND(AQ218&gt;0.01,AR218=0,BK218=0,BL218=0,BM218=0,BN218=0),0,IF(AND(AU218=3,CI218=7,CT218&gt;0.5),0,IF(AND(BC218=44,AU218=3,BY218=0),0,IF(AND(BC218=27,'Data Entry'!$C$74=2),0,IF(AND(BC218=28,'Data Entry'!$C$74=2),0,IF(AND(BY218+BZ218+CA218&gt;0.01,BV218=0,EQ218+ER218+ES218+ET218&lt;100),0,IF(AU218=3,CM218*0.08,IF(AU218=2,CM218*0.1,0)))))))))))))))))))))))))))))</f>
        <v>0</v>
      </c>
      <c r="CO218" s="660">
        <f t="shared" si="283"/>
        <v>0</v>
      </c>
      <c r="CP218" s="475" t="str">
        <f t="shared" si="284"/>
        <v/>
      </c>
      <c r="CQ218" s="161" t="str">
        <f>IF(AH218=0,0,IF(AU218=5,0,Summary!AC221))</f>
        <v/>
      </c>
      <c r="CR218" s="161" t="str">
        <f>IF(BF218=0.5,0,IF(AU218=5,0,Summary!AD221))</f>
        <v/>
      </c>
      <c r="CS218" s="161" t="str">
        <f>IF(AU218=5,0,Summary!AE221)</f>
        <v/>
      </c>
      <c r="CT218" s="161">
        <f t="shared" si="285"/>
        <v>0</v>
      </c>
      <c r="CU218" s="475" t="str">
        <f t="shared" si="286"/>
        <v/>
      </c>
      <c r="CV218" s="307">
        <f>IF('Data Entry'!$C$74=0,0,IF(AA218&lt;1,0,IF(ISERROR(CU218),0,IF(CF218=1,0,IF(AND(R218=12,BR218=50),0,IF(CL218+BO218+BV218+DC218=0,0,IF(BC218=37,0,IF(AND(BC218=40,AJ218=0),0,IF(AND(BC218=37,BO218&gt;0.01,BQ218&gt;0.01),ROUND(BQ218,0),IF(CM218&lt;0,0,ROUND(CM218,0)))))))))))</f>
        <v>0</v>
      </c>
      <c r="CW218" s="700">
        <f t="shared" si="287"/>
        <v>0</v>
      </c>
      <c r="CX218" s="477">
        <f>IF('Data Entry'!$C$74=0,0,IF(CV218&lt;0.01,0,IF(BF218=0.5,0,IF(CF218=1,0,IF(ISNUMBER(SEARCH("false",CL218)),0,IF(AZ218=500,0,CL218))))))</f>
        <v>0</v>
      </c>
      <c r="CY218" s="147" t="e">
        <f t="shared" si="288"/>
        <v>#VALUE!</v>
      </c>
      <c r="CZ218" s="147" t="b">
        <f>IF(CN218+CL218=0,FALSE,IF(AH218=0,0,IF(AND('Data Entry'!$C$74=1,CR218&gt;=1),TRUE,IF(AND('Data Entry'!$C$74=2,CS218&gt;=1),TRUE,FALSE))))</f>
        <v>0</v>
      </c>
      <c r="DA218" s="1751">
        <f>IF('Data Entry'!$C$74=0,0,IFERROR(ROUND(IF(T218="","",IF($X$4=0,0,IF(CF218=1,0,IF(BQ218+CV218=0,0,IF(CF218=1,0,IF(CY218&gt;0.01,CY218,IF(CL218&gt;0.01,CL218,IF(CY218&gt;0.01,CY218,IF(BC218=37,BO218,IF(CZ218=FALSE,0,IF(CZ218=TRUE,DC218+DF218,0))))))))))),2),""))</f>
        <v>0</v>
      </c>
      <c r="DB218" s="1752"/>
      <c r="DC218" s="474">
        <f>IF(CN218&lt;0.01,0,IF(AND(BR218=3,CN218&gt;0.01,CT218&gt;0.6,ER218+ES218+ET218&lt;100),0,IF(AND('Data Entry'!$C$74=1,CN218&gt;0.01,CR218&gt;0.99),MIN(CN218:CO218),IF(AND('Data Entry'!$C$74=2,CN218&gt;0.01,CS218&gt;0.99),MIN(CN218:CO218),0))))</f>
        <v>0</v>
      </c>
      <c r="DD218" s="478">
        <f>IF(CF218=1,"Selection does not match",IF(T218=0,0,IF(AND('Data Entry'!$C$74=0,CP218&gt;1),"Select Oregon or Idaho on Data Entry Tab",IF(AND(AU218=1,AA218&gt;0.9),"Missing Interior or Exterior Selection",IF($X$4=0,"Enter Total Project Cost",IF(AQ218&lt;AR218,"Insufficient kWh savings – no incentive",IF(AND(SUM(CL218+CK218+BV218)&gt;0.01,'Data Entry'!$C$74=2,CJ218&gt;1,BO218=0),"Submit Control as Non-Standard",IF(AND('Data Entry'!$C$74=2,BR218=37,CJ218&gt;1,BO218=0),"Submit Control as Non-Standard",IF(SUM(CL218+CK218+BV218)&gt;0.01,"Standard Incentive",IF(AND('Data Entry'!$C$74=2,CP218=7,CN218=0),"Submit as Non-Standard",IF(DC218&gt;0.9,"Non-Standard Incentive",IF(AND(BY218+BZ218+CA218&gt;0.01,BV218=0,EQ218=0,ER218=0,ES218=0,ET218=0),"Scroll Right &amp; Select Control Strategies",IF(AND(CN218&gt;0.01,CO218=0),"Enter Unit Installed Cost",IF(ISNUMBER(SEARCH("Lighting Controls Only",F218)),"Lighting Controls Only",IF(CL218+DC218=0,"Does not meet incentive criteria",0)))))))))))))))</f>
        <v>0</v>
      </c>
      <c r="DE218" s="337">
        <f t="shared" si="289"/>
        <v>0</v>
      </c>
      <c r="DF218" s="609">
        <f t="shared" si="290"/>
        <v>0</v>
      </c>
      <c r="DG218" s="336" t="str">
        <f t="shared" si="291"/>
        <v/>
      </c>
      <c r="DH218" s="338">
        <f t="shared" si="292"/>
        <v>1</v>
      </c>
      <c r="DI218" s="336" t="e">
        <f t="shared" si="247"/>
        <v>#VALUE!</v>
      </c>
      <c r="DJ218" s="338">
        <f t="shared" si="248"/>
        <v>0</v>
      </c>
      <c r="DO218" s="361"/>
      <c r="DQ218" s="1459" t="s">
        <v>1598</v>
      </c>
      <c r="DR218" s="1457">
        <v>23</v>
      </c>
      <c r="DS218" s="1195">
        <f t="shared" si="293"/>
        <v>0</v>
      </c>
      <c r="DT218" s="344" t="b">
        <f t="shared" si="294"/>
        <v>1</v>
      </c>
      <c r="DU218" s="1314" t="str">
        <f t="array" ref="DU218">IF(OR(COUNTIF(F218,"*"&amp;$DK$9:$DK$178&amp;"*")), "Yes", "")</f>
        <v/>
      </c>
      <c r="DV218" s="1314">
        <f t="shared" si="295"/>
        <v>0</v>
      </c>
      <c r="DW218" s="1480">
        <f t="shared" si="296"/>
        <v>0</v>
      </c>
      <c r="DX218" s="1498">
        <f t="shared" si="305"/>
        <v>0</v>
      </c>
      <c r="DY218" s="1484">
        <f t="shared" si="297"/>
        <v>0</v>
      </c>
      <c r="DZ218" s="331"/>
      <c r="EA218" s="392"/>
      <c r="EB218" s="1499" t="s">
        <v>144</v>
      </c>
      <c r="EC218" s="727" t="s">
        <v>1569</v>
      </c>
      <c r="ED218" s="728">
        <v>0.5</v>
      </c>
      <c r="EE218" s="1215"/>
      <c r="EF218" s="1215"/>
      <c r="EG218" s="1184" t="str">
        <f t="shared" si="298"/>
        <v/>
      </c>
      <c r="EH218" s="81"/>
      <c r="EI218" s="81"/>
      <c r="EJ218" s="1185">
        <f t="shared" si="249"/>
        <v>0</v>
      </c>
      <c r="EK218" s="1211"/>
      <c r="EL218" s="1180">
        <f t="shared" si="250"/>
        <v>0</v>
      </c>
      <c r="EM218" s="206"/>
      <c r="EN218" s="1038"/>
      <c r="EO218" s="1038"/>
      <c r="EP218" s="1038"/>
      <c r="EQ218" s="1038">
        <f t="shared" si="299"/>
        <v>0</v>
      </c>
      <c r="ER218" s="1041">
        <f t="shared" si="300"/>
        <v>0</v>
      </c>
      <c r="ES218" s="1042">
        <f t="shared" si="301"/>
        <v>0</v>
      </c>
      <c r="ET218" s="1042">
        <f t="shared" si="306"/>
        <v>0</v>
      </c>
      <c r="EU218" s="1021">
        <f t="shared" si="307"/>
        <v>0</v>
      </c>
      <c r="EV218" s="368"/>
      <c r="EW218" s="368"/>
      <c r="EX218" s="369"/>
      <c r="EY218" s="370"/>
      <c r="EZ218" s="370"/>
      <c r="FA218" s="371"/>
      <c r="FB218" s="372"/>
    </row>
    <row r="219" spans="1:158" ht="34.5" customHeight="1">
      <c r="A219" s="82">
        <v>211</v>
      </c>
      <c r="B219" s="1806"/>
      <c r="C219" s="1807"/>
      <c r="D219" s="1807"/>
      <c r="E219" s="1808"/>
      <c r="F219" s="1809"/>
      <c r="G219" s="1810"/>
      <c r="H219" s="1810"/>
      <c r="I219" s="1811"/>
      <c r="J219" s="1301"/>
      <c r="K219" s="1814"/>
      <c r="L219" s="1814"/>
      <c r="M219" s="1017"/>
      <c r="N219" s="1584"/>
      <c r="O219" s="208" t="str">
        <f t="shared" si="237"/>
        <v/>
      </c>
      <c r="P219" s="785"/>
      <c r="Q219" s="39" t="str">
        <f t="shared" si="238"/>
        <v/>
      </c>
      <c r="R219" s="39">
        <f t="shared" si="251"/>
        <v>0</v>
      </c>
      <c r="S219" s="234">
        <f t="shared" si="252"/>
        <v>0</v>
      </c>
      <c r="T219" s="1815"/>
      <c r="U219" s="1815"/>
      <c r="V219" s="1815"/>
      <c r="W219" s="1121"/>
      <c r="X219" s="1812"/>
      <c r="Y219" s="1813"/>
      <c r="Z219" s="703"/>
      <c r="AA219" s="1280"/>
      <c r="AB219" s="1141"/>
      <c r="AC219" s="1103" t="str">
        <f>IF(T219="","",VLOOKUP(Z219,Lists!$A$60:$B$111,2,FALSE))</f>
        <v/>
      </c>
      <c r="AD219" s="130" t="str">
        <f t="shared" si="253"/>
        <v/>
      </c>
      <c r="AE219" s="130" t="e">
        <f t="shared" si="254"/>
        <v>#VALUE!</v>
      </c>
      <c r="AF219" s="130">
        <f t="shared" si="255"/>
        <v>1</v>
      </c>
      <c r="AG219" s="234">
        <f t="shared" si="239"/>
        <v>0</v>
      </c>
      <c r="AH219" s="1753" t="str">
        <f>IF(T219="","",(IF(ISNUMBER(SEARCH("exit",T219)),8760,IF(AND(M219="Dusk to Dawn",'Proposed Lighting'!AU219=3),4059,IF(AND(AU219=3,M219="1"),0,IF(AND(AU219=3,M219="1-C"),0,IF(AND(AU219=3,M219="2"),0,IF(AND(AU219=3,M219="2-C"),0,IF(AND(AU219=3,M219="3"),0,IF(AND(AU219=3,M219="3-C"),0,IF(AND(AU219=2,M219="Dusk to Dawn"),0,IF(AND(AU219=2,M219="Dusk to Dawn-C"),0,IF(AND(AU219=2,M219="Dusk to Dawn"),0,IF(AND(AU219=2,M219="E"),0,IF(AND(AU219=2,M219="E-C"),0,EG219)))))))))))))))</f>
        <v/>
      </c>
      <c r="AI219" s="1754"/>
      <c r="AJ219" s="1136"/>
      <c r="AK219" s="1136"/>
      <c r="AL219" s="1748">
        <f t="shared" si="256"/>
        <v>0</v>
      </c>
      <c r="AM219" s="1749"/>
      <c r="AN219" s="1750"/>
      <c r="AO219" s="476">
        <f t="shared" si="240"/>
        <v>0</v>
      </c>
      <c r="AP219" s="476">
        <f t="shared" si="257"/>
        <v>0</v>
      </c>
      <c r="AQ219" s="475">
        <f t="shared" si="241"/>
        <v>0</v>
      </c>
      <c r="AR219" s="475">
        <f t="shared" si="258"/>
        <v>0</v>
      </c>
      <c r="AS219" s="743" t="str">
        <f t="shared" si="233"/>
        <v/>
      </c>
      <c r="AT219" s="736" t="str">
        <f t="shared" si="259"/>
        <v/>
      </c>
      <c r="AU219" s="56">
        <f t="shared" si="260"/>
        <v>1</v>
      </c>
      <c r="AV219" s="476">
        <f t="shared" si="261"/>
        <v>0</v>
      </c>
      <c r="AW219" s="56">
        <f t="shared" si="262"/>
        <v>0</v>
      </c>
      <c r="AX219" s="475">
        <f t="shared" si="242"/>
        <v>0</v>
      </c>
      <c r="AY219" s="1169">
        <f t="shared" si="263"/>
        <v>0</v>
      </c>
      <c r="AZ219" s="1150">
        <f t="shared" si="302"/>
        <v>0</v>
      </c>
      <c r="BA219" s="56">
        <f t="shared" si="243"/>
        <v>0</v>
      </c>
      <c r="BB219" s="420">
        <f t="shared" si="244"/>
        <v>0</v>
      </c>
      <c r="BC219" s="58" t="str">
        <f t="shared" si="245"/>
        <v/>
      </c>
      <c r="BD219" s="660">
        <f t="shared" si="303"/>
        <v>0</v>
      </c>
      <c r="BE219" s="57" t="e">
        <f t="array" ref="BE219">INDEX($EB$11:$ED$1022,MATCH(F219&amp;T219,$EB$11:$EB$1007&amp;$EC$11:$EC$1007,0),3)</f>
        <v>#N/A</v>
      </c>
      <c r="BF219" s="463">
        <f t="shared" si="234"/>
        <v>0</v>
      </c>
      <c r="BG219" s="1445" t="e">
        <f t="array" ref="BG219">INDEX($DO$112:$DQ$123,MATCH(T219&amp;W219,$DO$114:$DO$125&amp;$DP$112:$DP$123,0),3)</f>
        <v>#N/A</v>
      </c>
      <c r="BH219" s="1446">
        <f t="shared" si="264"/>
        <v>0</v>
      </c>
      <c r="BI219" s="465">
        <f t="shared" si="265"/>
        <v>0</v>
      </c>
      <c r="BJ219" s="465">
        <f t="shared" si="266"/>
        <v>0</v>
      </c>
      <c r="BK219" s="466">
        <f t="shared" si="235"/>
        <v>0</v>
      </c>
      <c r="BL219" s="466">
        <f t="shared" si="236"/>
        <v>0</v>
      </c>
      <c r="BM219" s="466">
        <f t="shared" si="267"/>
        <v>0</v>
      </c>
      <c r="BN219" s="466">
        <f t="shared" si="268"/>
        <v>0</v>
      </c>
      <c r="BO219" s="463">
        <f>IF('Data Entry'!$C$74=0,0,IF(ISNA(CJ219),0,IF(AX219=0,0,IF(AND('Data Entry'!$C$74=2,AF219&gt;2,CE219&lt;1),0,IF(AND('Data Entry'!$C$74=2,AF219&gt;1,AU219=2,CJ219&gt;1),0,IF(AND(AF219=5,CT219=0.5,AU219=2,ER219&lt;100),0,IF(AND(AF219=5,CT219=0.5,AU219=3,ER219&lt;100),0,IF(AND('Data Entry'!$C$74=2,AF219=2,AU219=2,AK219&gt;0.01,CB219=2,CE219&lt;1),0,IF(AND('Data Entry'!$C$74=2,AF219=3,AU219=3,AK219&gt;0.01,CB219=3,CE219&lt;1),0,IF(AND('Data Entry'!$C$74=2,AF219=3,AU219=3,AK219&gt;0.01,CB219=3,CE219&gt;0.99),BQ219*0.08,IF(AND('Data Entry'!$C$74=2,AF219=2,AU219=2,AK219&gt;0.01,CB219=2,CE219&gt;0.99),BQ219*0.1,IF(AND(AU219=2,AK219&gt;0.01,CB219=2,CD219&gt;1),BQ219*0.1,IF(AND(AU219=3,AK219&gt;0.01,CB219=3,CD219&gt;1),BQ219*0.08,CJ219*EF219)))))))))))))</f>
        <v>0</v>
      </c>
      <c r="BP219" s="475">
        <f t="shared" si="269"/>
        <v>0</v>
      </c>
      <c r="BQ219" s="1431">
        <f>IF(AU219=1,0,IF(CH219=100,0,IF(AND(AF219=3,AU219=2),0,IF(AND(BH219=0,CT219&gt;0.4),0,IF(AND('Data Entry'!$C$74=2,AF219=1.5),0,IF(AND('Data Entry'!$C$74=2,AF219=1.6),0,IF(AND('Data Entry'!$C$74=2,AF219=4),0,IF(AND('Data Entry'!$C$74=2,AF219=5),0,IF(AND('Data Entry'!$C$74=2,AF219=2.5,CE219&lt;1),0,IF(AND('Data Entry'!$C$74=2,AF219=3,CE219&lt;1),0,IF(AND('Data Entry'!$C$74=1,AF219=2.5,CD219&lt;1),0,IF(AND('Data Entry'!$C$74=1,AF219=3,CD219&lt;1),0,IF(DX219&gt;0.01,DX219,IF(ISERROR(AX219-AY219),"",ROUND(AX219-AY219,2)))))))))))))))</f>
        <v>0</v>
      </c>
      <c r="BR219" s="146">
        <f t="shared" si="270"/>
        <v>0</v>
      </c>
      <c r="BS219" s="475">
        <f t="shared" si="271"/>
        <v>0</v>
      </c>
      <c r="BT219" s="146" t="b">
        <f t="shared" si="272"/>
        <v>0</v>
      </c>
      <c r="BU219" s="463">
        <f>IF(ISNA(AT219),0,IF(AND('Data Entry'!$C$74=2,BC219=27),0,IF(AND('Data Entry'!$C$74=2,BC219=28),0,IF(AND(BC219=27,BT219=27,CM219&gt;0.1),CM219*0.15,IF(AND(BC219=28,BT219=28,CM219&gt;0.1),CM219*0.12,0)))))</f>
        <v>0</v>
      </c>
      <c r="BV219" s="463">
        <f t="shared" si="309"/>
        <v>0</v>
      </c>
      <c r="BW219" s="463">
        <f t="shared" si="273"/>
        <v>0</v>
      </c>
      <c r="BX219" s="463">
        <f t="shared" si="274"/>
        <v>0</v>
      </c>
      <c r="BY219" s="463">
        <f t="shared" si="275"/>
        <v>0</v>
      </c>
      <c r="BZ219" s="463">
        <f t="shared" si="276"/>
        <v>0</v>
      </c>
      <c r="CA219" s="57">
        <f t="shared" si="304"/>
        <v>0</v>
      </c>
      <c r="CB219" s="56">
        <f t="shared" si="277"/>
        <v>1</v>
      </c>
      <c r="CC219" s="756">
        <f>IF(EE219=0,0,IF(EF219=0,0,IF(EE219&gt;AA219,0,IF(AND(AZ219&gt;AW219,AW219&gt;0),0,IF(CU219=0,0,Summary!AC522)))))</f>
        <v>0</v>
      </c>
      <c r="CD219" s="756">
        <f>IF(EE219=0,0,IF(EF219=0,0,IF(EE219&gt;AA219,0,IF(AND(AZ219&gt;AW219,AW219&gt;0),0,IF(CU219=0,0,Summary!AD522)))))</f>
        <v>0</v>
      </c>
      <c r="CE219" s="756">
        <f>IF(EF219=0,0,IF(EE219&gt;AA219,0,IF(CC219=0,0,IF(AND(AZ219&gt;AW219,AW219&gt;0),0,IF(CU219=0,0,Summary!AE522)))))</f>
        <v>0</v>
      </c>
      <c r="CF219" s="475">
        <f t="shared" si="278"/>
        <v>0</v>
      </c>
      <c r="CG219" s="476">
        <f t="shared" si="246"/>
        <v>0</v>
      </c>
      <c r="CH219" s="487">
        <f t="shared" si="279"/>
        <v>0</v>
      </c>
      <c r="CI219" s="756">
        <f t="shared" si="280"/>
        <v>0</v>
      </c>
      <c r="CJ219" s="487">
        <f>IF(CT219&gt;0.4,0,IF(AND(AU219=2,CH219=0,CT219=0.5,ER219=100),35,IF(AND(AU219=3,BB219&gt;75,CH219=0,CT219=0.5,ER219=100),25,IF(CB219&gt;1,0,IF(EF219&gt;EE219,0,IF(AND(AF219&gt;1,CH219=100),0,IF(AND(AF219=1,AY219=0),0,IF(AND(EF219&lt;=EE219,AW219&gt;=AZ219,'Data Entry'!$C$74=1,AU219=2),VLOOKUP(W219,$DO$96:$DP$102,2,FALSE),IF(AND(EF219&lt;=EE219,AW219&gt;=AZ219,AU219=3,'Data Entry'!$C$74=1),VLOOKUP(W219,$DO$127:$DP$134,2,FALSE))))))))))</f>
        <v>0</v>
      </c>
      <c r="CK219" s="716">
        <f t="shared" si="281"/>
        <v>0</v>
      </c>
      <c r="CL219" s="57">
        <f t="shared" si="282"/>
        <v>0</v>
      </c>
      <c r="CM219" s="475">
        <f t="shared" si="308"/>
        <v>0</v>
      </c>
      <c r="CN219" s="660">
        <f>IF(CM219&lt;0.1,0,IF(ISNA(AT219),0,IF(CL219+BC219=1,0,IF(BV219&gt;0.01,0,IF(CL219&gt;0.01,0,IF(CF219=1,0,IF(BC219=0.5,0,IF(AND(CI219=1,AU219=3),0,IF(AND(CI219=5,CL219=0),0,IF(AND(R219=12,BR219=50),0,IF(CK219&gt;0.01,0,IF(AND(AJ219&gt;0.01,AU219=2,BC219=15),CM219*0.1,IF(AND(AJ219&gt;0.01,AU219=3,BC219=15),CM219*0.08,IF(AND(R219=12,BC219=3,AF219&lt;=0),0,IF(AND(BC219=15,BI219=0),0,IF(AND(BC219=15,BJ219=0),0,IF(AND(R219=20,CU219=0),0,IF($X$4=0,0,IF(AND(BC219=250,CL219=0),0,IF(AA219&lt;1,0,IF(AND(ISNUMBER(SEARCH("Area",T219)),AU219=3),0,IF(AND(AQ219&gt;0.01,AR219=0,BK219=0,BL219=0,BM219=0,BN219=0),0,IF(AND(AU219=3,CI219=7,CT219&gt;0.5),0,IF(AND(BC219=44,AU219=3,BY219=0),0,IF(AND(BC219=27,'Data Entry'!$C$74=2),0,IF(AND(BC219=28,'Data Entry'!$C$74=2),0,IF(AND(BY219+BZ219+CA219&gt;0.01,BV219=0,EQ219+ER219+ES219+ET219&lt;100),0,IF(AU219=3,CM219*0.08,IF(AU219=2,CM219*0.1,0)))))))))))))))))))))))))))))</f>
        <v>0</v>
      </c>
      <c r="CO219" s="660">
        <f t="shared" si="283"/>
        <v>0</v>
      </c>
      <c r="CP219" s="475" t="str">
        <f t="shared" si="284"/>
        <v/>
      </c>
      <c r="CQ219" s="161" t="str">
        <f>IF(AH219=0,0,IF(AU219=5,0,Summary!AC222))</f>
        <v/>
      </c>
      <c r="CR219" s="161" t="str">
        <f>IF(BF219=0.5,0,IF(AU219=5,0,Summary!AD222))</f>
        <v/>
      </c>
      <c r="CS219" s="161" t="str">
        <f>IF(AU219=5,0,Summary!AE222)</f>
        <v/>
      </c>
      <c r="CT219" s="161">
        <f t="shared" si="285"/>
        <v>0</v>
      </c>
      <c r="CU219" s="475" t="str">
        <f t="shared" si="286"/>
        <v/>
      </c>
      <c r="CV219" s="307">
        <f>IF('Data Entry'!$C$74=0,0,IF(AA219&lt;1,0,IF(ISERROR(CU219),0,IF(CF219=1,0,IF(AND(R219=12,BR219=50),0,IF(CL219+BO219+BV219+DC219=0,0,IF(BC219=37,0,IF(AND(BC219=40,AJ219=0),0,IF(AND(BC219=37,BO219&gt;0.01,BQ219&gt;0.01),ROUND(BQ219,0),IF(CM219&lt;0,0,ROUND(CM219,0)))))))))))</f>
        <v>0</v>
      </c>
      <c r="CW219" s="700">
        <f t="shared" si="287"/>
        <v>0</v>
      </c>
      <c r="CX219" s="477">
        <f>IF('Data Entry'!$C$74=0,0,IF(CV219&lt;0.01,0,IF(BF219=0.5,0,IF(CF219=1,0,IF(ISNUMBER(SEARCH("false",CL219)),0,IF(AZ219=500,0,CL219))))))</f>
        <v>0</v>
      </c>
      <c r="CY219" s="147" t="e">
        <f t="shared" si="288"/>
        <v>#VALUE!</v>
      </c>
      <c r="CZ219" s="147" t="b">
        <f>IF(CN219+CL219=0,FALSE,IF(AH219=0,0,IF(AND('Data Entry'!$C$74=1,CR219&gt;=1),TRUE,IF(AND('Data Entry'!$C$74=2,CS219&gt;=1),TRUE,FALSE))))</f>
        <v>0</v>
      </c>
      <c r="DA219" s="1751">
        <f>IF('Data Entry'!$C$74=0,0,IFERROR(ROUND(IF(T219="","",IF($X$4=0,0,IF(CF219=1,0,IF(BQ219+CV219=0,0,IF(CF219=1,0,IF(CY219&gt;0.01,CY219,IF(CL219&gt;0.01,CL219,IF(CY219&gt;0.01,CY219,IF(BC219=37,BO219,IF(CZ219=FALSE,0,IF(CZ219=TRUE,DC219+DF219,0))))))))))),2),""))</f>
        <v>0</v>
      </c>
      <c r="DB219" s="1752"/>
      <c r="DC219" s="474">
        <f>IF(CN219&lt;0.01,0,IF(AND(BR219=3,CN219&gt;0.01,CT219&gt;0.6,ER219+ES219+ET219&lt;100),0,IF(AND('Data Entry'!$C$74=1,CN219&gt;0.01,CR219&gt;0.99),MIN(CN219:CO219),IF(AND('Data Entry'!$C$74=2,CN219&gt;0.01,CS219&gt;0.99),MIN(CN219:CO219),0))))</f>
        <v>0</v>
      </c>
      <c r="DD219" s="478">
        <f>IF(CF219=1,"Selection does not match",IF(T219=0,0,IF(AND('Data Entry'!$C$74=0,CP219&gt;1),"Select Oregon or Idaho on Data Entry Tab",IF(AND(AU219=1,AA219&gt;0.9),"Missing Interior or Exterior Selection",IF($X$4=0,"Enter Total Project Cost",IF(AQ219&lt;AR219,"Insufficient kWh savings – no incentive",IF(AND(SUM(CL219+CK219+BV219)&gt;0.01,'Data Entry'!$C$74=2,CJ219&gt;1,BO219=0),"Submit Control as Non-Standard",IF(AND('Data Entry'!$C$74=2,BR219=37,CJ219&gt;1,BO219=0),"Submit Control as Non-Standard",IF(SUM(CL219+CK219+BV219)&gt;0.01,"Standard Incentive",IF(AND('Data Entry'!$C$74=2,CP219=7,CN219=0),"Submit as Non-Standard",IF(DC219&gt;0.9,"Non-Standard Incentive",IF(AND(BY219+BZ219+CA219&gt;0.01,BV219=0,EQ219=0,ER219=0,ES219=0,ET219=0),"Scroll Right &amp; Select Control Strategies",IF(AND(CN219&gt;0.01,CO219=0),"Enter Unit Installed Cost",IF(ISNUMBER(SEARCH("Lighting Controls Only",F219)),"Lighting Controls Only",IF(CL219+DC219=0,"Does not meet incentive criteria",0)))))))))))))))</f>
        <v>0</v>
      </c>
      <c r="DE219" s="337">
        <f t="shared" si="289"/>
        <v>0</v>
      </c>
      <c r="DF219" s="609">
        <f t="shared" si="290"/>
        <v>0</v>
      </c>
      <c r="DG219" s="336" t="str">
        <f t="shared" si="291"/>
        <v/>
      </c>
      <c r="DH219" s="338">
        <f t="shared" si="292"/>
        <v>1</v>
      </c>
      <c r="DI219" s="336" t="e">
        <f t="shared" si="247"/>
        <v>#VALUE!</v>
      </c>
      <c r="DJ219" s="338">
        <f t="shared" si="248"/>
        <v>0</v>
      </c>
      <c r="DO219" s="331"/>
      <c r="DQ219" s="1454" t="s">
        <v>1599</v>
      </c>
      <c r="DR219" s="1457">
        <v>24</v>
      </c>
      <c r="DS219" s="1195">
        <f t="shared" si="293"/>
        <v>0</v>
      </c>
      <c r="DT219" s="344" t="b">
        <f t="shared" si="294"/>
        <v>1</v>
      </c>
      <c r="DU219" s="1314" t="str">
        <f t="array" ref="DU219">IF(OR(COUNTIF(F219,"*"&amp;$DK$9:$DK$178&amp;"*")), "Yes", "")</f>
        <v/>
      </c>
      <c r="DV219" s="1314">
        <f t="shared" si="295"/>
        <v>0</v>
      </c>
      <c r="DW219" s="1480">
        <f t="shared" si="296"/>
        <v>0</v>
      </c>
      <c r="DX219" s="1498">
        <f t="shared" si="305"/>
        <v>0</v>
      </c>
      <c r="DY219" s="1484">
        <f t="shared" si="297"/>
        <v>0</v>
      </c>
      <c r="DZ219" s="331"/>
      <c r="EA219" s="392"/>
      <c r="EB219" s="1499" t="s">
        <v>145</v>
      </c>
      <c r="EC219" s="727" t="s">
        <v>1569</v>
      </c>
      <c r="ED219" s="728">
        <v>0.5</v>
      </c>
      <c r="EE219" s="1215"/>
      <c r="EF219" s="1215"/>
      <c r="EG219" s="1184" t="str">
        <f t="shared" si="298"/>
        <v/>
      </c>
      <c r="EH219" s="81"/>
      <c r="EI219" s="81"/>
      <c r="EJ219" s="1185">
        <f t="shared" si="249"/>
        <v>0</v>
      </c>
      <c r="EK219" s="1211"/>
      <c r="EL219" s="1180">
        <f t="shared" si="250"/>
        <v>0</v>
      </c>
      <c r="EM219" s="206"/>
      <c r="EN219" s="1038"/>
      <c r="EO219" s="1038"/>
      <c r="EP219" s="1038"/>
      <c r="EQ219" s="1038">
        <f t="shared" si="299"/>
        <v>0</v>
      </c>
      <c r="ER219" s="1041">
        <f t="shared" si="300"/>
        <v>0</v>
      </c>
      <c r="ES219" s="1042">
        <f t="shared" si="301"/>
        <v>0</v>
      </c>
      <c r="ET219" s="1042">
        <f t="shared" si="306"/>
        <v>0</v>
      </c>
      <c r="EU219" s="1021">
        <f t="shared" si="307"/>
        <v>0</v>
      </c>
      <c r="EV219" s="368"/>
      <c r="EW219" s="368"/>
      <c r="EX219" s="369"/>
      <c r="EY219" s="370"/>
      <c r="EZ219" s="370"/>
      <c r="FA219" s="371"/>
      <c r="FB219" s="372"/>
    </row>
    <row r="220" spans="1:158" ht="34.5" customHeight="1">
      <c r="A220" s="82">
        <v>212</v>
      </c>
      <c r="B220" s="1806"/>
      <c r="C220" s="1807"/>
      <c r="D220" s="1807"/>
      <c r="E220" s="1808"/>
      <c r="F220" s="1809"/>
      <c r="G220" s="1810"/>
      <c r="H220" s="1810"/>
      <c r="I220" s="1811"/>
      <c r="J220" s="1301"/>
      <c r="K220" s="1814"/>
      <c r="L220" s="1814"/>
      <c r="M220" s="1017"/>
      <c r="N220" s="1584"/>
      <c r="O220" s="208" t="str">
        <f t="shared" si="237"/>
        <v/>
      </c>
      <c r="P220" s="785"/>
      <c r="Q220" s="39" t="str">
        <f t="shared" si="238"/>
        <v/>
      </c>
      <c r="R220" s="39">
        <f t="shared" si="251"/>
        <v>0</v>
      </c>
      <c r="S220" s="234">
        <f t="shared" si="252"/>
        <v>0</v>
      </c>
      <c r="T220" s="1815"/>
      <c r="U220" s="1815"/>
      <c r="V220" s="1815"/>
      <c r="W220" s="1121"/>
      <c r="X220" s="1812"/>
      <c r="Y220" s="1813"/>
      <c r="Z220" s="703"/>
      <c r="AA220" s="1280"/>
      <c r="AB220" s="1141"/>
      <c r="AC220" s="1103" t="str">
        <f>IF(T220="","",VLOOKUP(Z220,Lists!$A$60:$B$111,2,FALSE))</f>
        <v/>
      </c>
      <c r="AD220" s="130" t="str">
        <f t="shared" si="253"/>
        <v/>
      </c>
      <c r="AE220" s="130" t="e">
        <f t="shared" si="254"/>
        <v>#VALUE!</v>
      </c>
      <c r="AF220" s="130">
        <f t="shared" si="255"/>
        <v>1</v>
      </c>
      <c r="AG220" s="234">
        <f t="shared" si="239"/>
        <v>0</v>
      </c>
      <c r="AH220" s="1753" t="str">
        <f>IF(T220="","",(IF(ISNUMBER(SEARCH("exit",T220)),8760,IF(AND(M220="Dusk to Dawn",'Proposed Lighting'!AU220=3),4059,IF(AND(AU220=3,M220="1"),0,IF(AND(AU220=3,M220="1-C"),0,IF(AND(AU220=3,M220="2"),0,IF(AND(AU220=3,M220="2-C"),0,IF(AND(AU220=3,M220="3"),0,IF(AND(AU220=3,M220="3-C"),0,IF(AND(AU220=2,M220="Dusk to Dawn"),0,IF(AND(AU220=2,M220="Dusk to Dawn-C"),0,IF(AND(AU220=2,M220="Dusk to Dawn"),0,IF(AND(AU220=2,M220="E"),0,IF(AND(AU220=2,M220="E-C"),0,EG220)))))))))))))))</f>
        <v/>
      </c>
      <c r="AI220" s="1754"/>
      <c r="AJ220" s="1136"/>
      <c r="AK220" s="1136"/>
      <c r="AL220" s="1748">
        <f t="shared" si="256"/>
        <v>0</v>
      </c>
      <c r="AM220" s="1749"/>
      <c r="AN220" s="1750"/>
      <c r="AO220" s="476">
        <f t="shared" si="240"/>
        <v>0</v>
      </c>
      <c r="AP220" s="476">
        <f t="shared" si="257"/>
        <v>0</v>
      </c>
      <c r="AQ220" s="475">
        <f t="shared" si="241"/>
        <v>0</v>
      </c>
      <c r="AR220" s="475">
        <f t="shared" si="258"/>
        <v>0</v>
      </c>
      <c r="AS220" s="743" t="str">
        <f t="shared" si="233"/>
        <v/>
      </c>
      <c r="AT220" s="736" t="str">
        <f t="shared" si="259"/>
        <v/>
      </c>
      <c r="AU220" s="56">
        <f t="shared" si="260"/>
        <v>1</v>
      </c>
      <c r="AV220" s="476">
        <f t="shared" si="261"/>
        <v>0</v>
      </c>
      <c r="AW220" s="56">
        <f t="shared" si="262"/>
        <v>0</v>
      </c>
      <c r="AX220" s="475">
        <f t="shared" si="242"/>
        <v>0</v>
      </c>
      <c r="AY220" s="1169">
        <f t="shared" si="263"/>
        <v>0</v>
      </c>
      <c r="AZ220" s="1150">
        <f t="shared" si="302"/>
        <v>0</v>
      </c>
      <c r="BA220" s="56">
        <f t="shared" si="243"/>
        <v>0</v>
      </c>
      <c r="BB220" s="420">
        <f t="shared" si="244"/>
        <v>0</v>
      </c>
      <c r="BC220" s="58" t="str">
        <f t="shared" si="245"/>
        <v/>
      </c>
      <c r="BD220" s="660">
        <f t="shared" si="303"/>
        <v>0</v>
      </c>
      <c r="BE220" s="57" t="e">
        <f t="array" ref="BE220">INDEX($EB$11:$ED$1022,MATCH(F220&amp;T220,$EB$11:$EB$1007&amp;$EC$11:$EC$1007,0),3)</f>
        <v>#N/A</v>
      </c>
      <c r="BF220" s="463">
        <f t="shared" si="234"/>
        <v>0</v>
      </c>
      <c r="BG220" s="1445" t="e">
        <f t="array" ref="BG220">INDEX($DO$112:$DQ$123,MATCH(T220&amp;W220,$DO$114:$DO$125&amp;$DP$112:$DP$123,0),3)</f>
        <v>#N/A</v>
      </c>
      <c r="BH220" s="1446">
        <f t="shared" si="264"/>
        <v>0</v>
      </c>
      <c r="BI220" s="465">
        <f t="shared" si="265"/>
        <v>0</v>
      </c>
      <c r="BJ220" s="465">
        <f t="shared" si="266"/>
        <v>0</v>
      </c>
      <c r="BK220" s="466">
        <f t="shared" si="235"/>
        <v>0</v>
      </c>
      <c r="BL220" s="466">
        <f t="shared" si="236"/>
        <v>0</v>
      </c>
      <c r="BM220" s="466">
        <f t="shared" si="267"/>
        <v>0</v>
      </c>
      <c r="BN220" s="466">
        <f t="shared" si="268"/>
        <v>0</v>
      </c>
      <c r="BO220" s="463">
        <f>IF('Data Entry'!$C$74=0,0,IF(ISNA(CJ220),0,IF(AX220=0,0,IF(AND('Data Entry'!$C$74=2,AF220&gt;2,CE220&lt;1),0,IF(AND('Data Entry'!$C$74=2,AF220&gt;1,AU220=2,CJ220&gt;1),0,IF(AND(AF220=5,CT220=0.5,AU220=2,ER220&lt;100),0,IF(AND(AF220=5,CT220=0.5,AU220=3,ER220&lt;100),0,IF(AND('Data Entry'!$C$74=2,AF220=2,AU220=2,AK220&gt;0.01,CB220=2,CE220&lt;1),0,IF(AND('Data Entry'!$C$74=2,AF220=3,AU220=3,AK220&gt;0.01,CB220=3,CE220&lt;1),0,IF(AND('Data Entry'!$C$74=2,AF220=3,AU220=3,AK220&gt;0.01,CB220=3,CE220&gt;0.99),BQ220*0.08,IF(AND('Data Entry'!$C$74=2,AF220=2,AU220=2,AK220&gt;0.01,CB220=2,CE220&gt;0.99),BQ220*0.1,IF(AND(AU220=2,AK220&gt;0.01,CB220=2,CD220&gt;1),BQ220*0.1,IF(AND(AU220=3,AK220&gt;0.01,CB220=3,CD220&gt;1),BQ220*0.08,CJ220*EF220)))))))))))))</f>
        <v>0</v>
      </c>
      <c r="BP220" s="475">
        <f t="shared" si="269"/>
        <v>0</v>
      </c>
      <c r="BQ220" s="1431">
        <f>IF(AU220=1,0,IF(CH220=100,0,IF(AND(AF220=3,AU220=2),0,IF(AND(BH220=0,CT220&gt;0.4),0,IF(AND('Data Entry'!$C$74=2,AF220=1.5),0,IF(AND('Data Entry'!$C$74=2,AF220=1.6),0,IF(AND('Data Entry'!$C$74=2,AF220=4),0,IF(AND('Data Entry'!$C$74=2,AF220=5),0,IF(AND('Data Entry'!$C$74=2,AF220=2.5,CE220&lt;1),0,IF(AND('Data Entry'!$C$74=2,AF220=3,CE220&lt;1),0,IF(AND('Data Entry'!$C$74=1,AF220=2.5,CD220&lt;1),0,IF(AND('Data Entry'!$C$74=1,AF220=3,CD220&lt;1),0,IF(DX220&gt;0.01,DX220,IF(ISERROR(AX220-AY220),"",ROUND(AX220-AY220,2)))))))))))))))</f>
        <v>0</v>
      </c>
      <c r="BR220" s="146">
        <f t="shared" si="270"/>
        <v>0</v>
      </c>
      <c r="BS220" s="475">
        <f t="shared" si="271"/>
        <v>0</v>
      </c>
      <c r="BT220" s="146" t="b">
        <f t="shared" si="272"/>
        <v>0</v>
      </c>
      <c r="BU220" s="463">
        <f>IF(ISNA(AT220),0,IF(AND('Data Entry'!$C$74=2,BC220=27),0,IF(AND('Data Entry'!$C$74=2,BC220=28),0,IF(AND(BC220=27,BT220=27,CM220&gt;0.1),CM220*0.15,IF(AND(BC220=28,BT220=28,CM220&gt;0.1),CM220*0.12,0)))))</f>
        <v>0</v>
      </c>
      <c r="BV220" s="463">
        <f t="shared" si="309"/>
        <v>0</v>
      </c>
      <c r="BW220" s="463">
        <f t="shared" si="273"/>
        <v>0</v>
      </c>
      <c r="BX220" s="463">
        <f t="shared" si="274"/>
        <v>0</v>
      </c>
      <c r="BY220" s="463">
        <f t="shared" si="275"/>
        <v>0</v>
      </c>
      <c r="BZ220" s="463">
        <f t="shared" si="276"/>
        <v>0</v>
      </c>
      <c r="CA220" s="57">
        <f t="shared" si="304"/>
        <v>0</v>
      </c>
      <c r="CB220" s="56">
        <f t="shared" si="277"/>
        <v>1</v>
      </c>
      <c r="CC220" s="756">
        <f>IF(EE220=0,0,IF(EF220=0,0,IF(EE220&gt;AA220,0,IF(AND(AZ220&gt;AW220,AW220&gt;0),0,IF(CU220=0,0,Summary!AC523)))))</f>
        <v>0</v>
      </c>
      <c r="CD220" s="756">
        <f>IF(EE220=0,0,IF(EF220=0,0,IF(EE220&gt;AA220,0,IF(AND(AZ220&gt;AW220,AW220&gt;0),0,IF(CU220=0,0,Summary!AD523)))))</f>
        <v>0</v>
      </c>
      <c r="CE220" s="756">
        <f>IF(EF220=0,0,IF(EE220&gt;AA220,0,IF(CC220=0,0,IF(AND(AZ220&gt;AW220,AW220&gt;0),0,IF(CU220=0,0,Summary!AE523)))))</f>
        <v>0</v>
      </c>
      <c r="CF220" s="475">
        <f t="shared" si="278"/>
        <v>0</v>
      </c>
      <c r="CG220" s="476">
        <f t="shared" si="246"/>
        <v>0</v>
      </c>
      <c r="CH220" s="487">
        <f t="shared" si="279"/>
        <v>0</v>
      </c>
      <c r="CI220" s="756">
        <f t="shared" si="280"/>
        <v>0</v>
      </c>
      <c r="CJ220" s="487">
        <f>IF(CT220&gt;0.4,0,IF(AND(AU220=2,CH220=0,CT220=0.5,ER220=100),35,IF(AND(AU220=3,BB220&gt;75,CH220=0,CT220=0.5,ER220=100),25,IF(CB220&gt;1,0,IF(EF220&gt;EE220,0,IF(AND(AF220&gt;1,CH220=100),0,IF(AND(AF220=1,AY220=0),0,IF(AND(EF220&lt;=EE220,AW220&gt;=AZ220,'Data Entry'!$C$74=1,AU220=2),VLOOKUP(W220,$DO$96:$DP$102,2,FALSE),IF(AND(EF220&lt;=EE220,AW220&gt;=AZ220,AU220=3,'Data Entry'!$C$74=1),VLOOKUP(W220,$DO$127:$DP$134,2,FALSE))))))))))</f>
        <v>0</v>
      </c>
      <c r="CK220" s="716">
        <f t="shared" si="281"/>
        <v>0</v>
      </c>
      <c r="CL220" s="57">
        <f t="shared" si="282"/>
        <v>0</v>
      </c>
      <c r="CM220" s="475">
        <f t="shared" si="308"/>
        <v>0</v>
      </c>
      <c r="CN220" s="660">
        <f>IF(CM220&lt;0.1,0,IF(ISNA(AT220),0,IF(CL220+BC220=1,0,IF(BV220&gt;0.01,0,IF(CL220&gt;0.01,0,IF(CF220=1,0,IF(BC220=0.5,0,IF(AND(CI220=1,AU220=3),0,IF(AND(CI220=5,CL220=0),0,IF(AND(R220=12,BR220=50),0,IF(CK220&gt;0.01,0,IF(AND(AJ220&gt;0.01,AU220=2,BC220=15),CM220*0.1,IF(AND(AJ220&gt;0.01,AU220=3,BC220=15),CM220*0.08,IF(AND(R220=12,BC220=3,AF220&lt;=0),0,IF(AND(BC220=15,BI220=0),0,IF(AND(BC220=15,BJ220=0),0,IF(AND(R220=20,CU220=0),0,IF($X$4=0,0,IF(AND(BC220=250,CL220=0),0,IF(AA220&lt;1,0,IF(AND(ISNUMBER(SEARCH("Area",T220)),AU220=3),0,IF(AND(AQ220&gt;0.01,AR220=0,BK220=0,BL220=0,BM220=0,BN220=0),0,IF(AND(AU220=3,CI220=7,CT220&gt;0.5),0,IF(AND(BC220=44,AU220=3,BY220=0),0,IF(AND(BC220=27,'Data Entry'!$C$74=2),0,IF(AND(BC220=28,'Data Entry'!$C$74=2),0,IF(AND(BY220+BZ220+CA220&gt;0.01,BV220=0,EQ220+ER220+ES220+ET220&lt;100),0,IF(AU220=3,CM220*0.08,IF(AU220=2,CM220*0.1,0)))))))))))))))))))))))))))))</f>
        <v>0</v>
      </c>
      <c r="CO220" s="660">
        <f t="shared" si="283"/>
        <v>0</v>
      </c>
      <c r="CP220" s="475" t="str">
        <f t="shared" si="284"/>
        <v/>
      </c>
      <c r="CQ220" s="161" t="str">
        <f>IF(AH220=0,0,IF(AU220=5,0,Summary!AC223))</f>
        <v/>
      </c>
      <c r="CR220" s="161" t="str">
        <f>IF(BF220=0.5,0,IF(AU220=5,0,Summary!AD223))</f>
        <v/>
      </c>
      <c r="CS220" s="161" t="str">
        <f>IF(AU220=5,0,Summary!AE223)</f>
        <v/>
      </c>
      <c r="CT220" s="161">
        <f t="shared" si="285"/>
        <v>0</v>
      </c>
      <c r="CU220" s="475" t="str">
        <f t="shared" si="286"/>
        <v/>
      </c>
      <c r="CV220" s="307">
        <f>IF('Data Entry'!$C$74=0,0,IF(AA220&lt;1,0,IF(ISERROR(CU220),0,IF(CF220=1,0,IF(AND(R220=12,BR220=50),0,IF(CL220+BO220+BV220+DC220=0,0,IF(BC220=37,0,IF(AND(BC220=40,AJ220=0),0,IF(AND(BC220=37,BO220&gt;0.01,BQ220&gt;0.01),ROUND(BQ220,0),IF(CM220&lt;0,0,ROUND(CM220,0)))))))))))</f>
        <v>0</v>
      </c>
      <c r="CW220" s="700">
        <f t="shared" si="287"/>
        <v>0</v>
      </c>
      <c r="CX220" s="477">
        <f>IF('Data Entry'!$C$74=0,0,IF(CV220&lt;0.01,0,IF(BF220=0.5,0,IF(CF220=1,0,IF(ISNUMBER(SEARCH("false",CL220)),0,IF(AZ220=500,0,CL220))))))</f>
        <v>0</v>
      </c>
      <c r="CY220" s="147" t="e">
        <f t="shared" si="288"/>
        <v>#VALUE!</v>
      </c>
      <c r="CZ220" s="147" t="b">
        <f>IF(CN220+CL220=0,FALSE,IF(AH220=0,0,IF(AND('Data Entry'!$C$74=1,CR220&gt;=1),TRUE,IF(AND('Data Entry'!$C$74=2,CS220&gt;=1),TRUE,FALSE))))</f>
        <v>0</v>
      </c>
      <c r="DA220" s="1751">
        <f>IF('Data Entry'!$C$74=0,0,IFERROR(ROUND(IF(T220="","",IF($X$4=0,0,IF(CF220=1,0,IF(BQ220+CV220=0,0,IF(CF220=1,0,IF(CY220&gt;0.01,CY220,IF(CL220&gt;0.01,CL220,IF(CY220&gt;0.01,CY220,IF(BC220=37,BO220,IF(CZ220=FALSE,0,IF(CZ220=TRUE,DC220+DF220,0))))))))))),2),""))</f>
        <v>0</v>
      </c>
      <c r="DB220" s="1752"/>
      <c r="DC220" s="474">
        <f>IF(CN220&lt;0.01,0,IF(AND(BR220=3,CN220&gt;0.01,CT220&gt;0.6,ER220+ES220+ET220&lt;100),0,IF(AND('Data Entry'!$C$74=1,CN220&gt;0.01,CR220&gt;0.99),MIN(CN220:CO220),IF(AND('Data Entry'!$C$74=2,CN220&gt;0.01,CS220&gt;0.99),MIN(CN220:CO220),0))))</f>
        <v>0</v>
      </c>
      <c r="DD220" s="478">
        <f>IF(CF220=1,"Selection does not match",IF(T220=0,0,IF(AND('Data Entry'!$C$74=0,CP220&gt;1),"Select Oregon or Idaho on Data Entry Tab",IF(AND(AU220=1,AA220&gt;0.9),"Missing Interior or Exterior Selection",IF($X$4=0,"Enter Total Project Cost",IF(AQ220&lt;AR220,"Insufficient kWh savings – no incentive",IF(AND(SUM(CL220+CK220+BV220)&gt;0.01,'Data Entry'!$C$74=2,CJ220&gt;1,BO220=0),"Submit Control as Non-Standard",IF(AND('Data Entry'!$C$74=2,BR220=37,CJ220&gt;1,BO220=0),"Submit Control as Non-Standard",IF(SUM(CL220+CK220+BV220)&gt;0.01,"Standard Incentive",IF(AND('Data Entry'!$C$74=2,CP220=7,CN220=0),"Submit as Non-Standard",IF(DC220&gt;0.9,"Non-Standard Incentive",IF(AND(BY220+BZ220+CA220&gt;0.01,BV220=0,EQ220=0,ER220=0,ES220=0,ET220=0),"Scroll Right &amp; Select Control Strategies",IF(AND(CN220&gt;0.01,CO220=0),"Enter Unit Installed Cost",IF(ISNUMBER(SEARCH("Lighting Controls Only",F220)),"Lighting Controls Only",IF(CL220+DC220=0,"Does not meet incentive criteria",0)))))))))))))))</f>
        <v>0</v>
      </c>
      <c r="DE220" s="337">
        <f t="shared" si="289"/>
        <v>0</v>
      </c>
      <c r="DF220" s="609">
        <f t="shared" si="290"/>
        <v>0</v>
      </c>
      <c r="DG220" s="336" t="str">
        <f t="shared" si="291"/>
        <v/>
      </c>
      <c r="DH220" s="338">
        <f t="shared" si="292"/>
        <v>1</v>
      </c>
      <c r="DI220" s="336" t="e">
        <f t="shared" si="247"/>
        <v>#VALUE!</v>
      </c>
      <c r="DJ220" s="338">
        <f t="shared" si="248"/>
        <v>0</v>
      </c>
      <c r="DO220" s="331"/>
      <c r="DQ220" s="1458" t="s">
        <v>1600</v>
      </c>
      <c r="DR220" s="1457">
        <v>29</v>
      </c>
      <c r="DS220" s="1195">
        <f t="shared" si="293"/>
        <v>0</v>
      </c>
      <c r="DT220" s="344" t="b">
        <f t="shared" si="294"/>
        <v>1</v>
      </c>
      <c r="DU220" s="1314" t="str">
        <f t="array" ref="DU220">IF(OR(COUNTIF(F220,"*"&amp;$DK$9:$DK$178&amp;"*")), "Yes", "")</f>
        <v/>
      </c>
      <c r="DV220" s="1314">
        <f t="shared" si="295"/>
        <v>0</v>
      </c>
      <c r="DW220" s="1480">
        <f t="shared" si="296"/>
        <v>0</v>
      </c>
      <c r="DX220" s="1498">
        <f t="shared" si="305"/>
        <v>0</v>
      </c>
      <c r="DY220" s="1484">
        <f t="shared" si="297"/>
        <v>0</v>
      </c>
      <c r="DZ220" s="331"/>
      <c r="EA220" s="392"/>
      <c r="EB220" s="1499" t="s">
        <v>146</v>
      </c>
      <c r="EC220" s="727" t="s">
        <v>1569</v>
      </c>
      <c r="ED220" s="728">
        <v>0.5</v>
      </c>
      <c r="EE220" s="1215"/>
      <c r="EF220" s="1215"/>
      <c r="EG220" s="1184" t="str">
        <f t="shared" si="298"/>
        <v/>
      </c>
      <c r="EH220" s="81"/>
      <c r="EI220" s="81"/>
      <c r="EJ220" s="1185">
        <f t="shared" si="249"/>
        <v>0</v>
      </c>
      <c r="EK220" s="1211"/>
      <c r="EL220" s="1180">
        <f t="shared" si="250"/>
        <v>0</v>
      </c>
      <c r="EM220" s="206"/>
      <c r="EN220" s="1038"/>
      <c r="EO220" s="1038"/>
      <c r="EP220" s="1038"/>
      <c r="EQ220" s="1038">
        <f t="shared" si="299"/>
        <v>0</v>
      </c>
      <c r="ER220" s="1041">
        <f t="shared" si="300"/>
        <v>0</v>
      </c>
      <c r="ES220" s="1042">
        <f t="shared" si="301"/>
        <v>0</v>
      </c>
      <c r="ET220" s="1042">
        <f t="shared" si="306"/>
        <v>0</v>
      </c>
      <c r="EU220" s="1021">
        <f t="shared" si="307"/>
        <v>0</v>
      </c>
      <c r="EV220" s="368"/>
      <c r="EW220" s="368"/>
      <c r="EX220" s="369"/>
      <c r="EY220" s="370"/>
      <c r="EZ220" s="370"/>
      <c r="FA220" s="371"/>
      <c r="FB220" s="372"/>
    </row>
    <row r="221" spans="1:158" ht="34.5" customHeight="1">
      <c r="A221" s="82">
        <v>213</v>
      </c>
      <c r="B221" s="1806"/>
      <c r="C221" s="1807"/>
      <c r="D221" s="1807"/>
      <c r="E221" s="1808"/>
      <c r="F221" s="1809"/>
      <c r="G221" s="1810"/>
      <c r="H221" s="1810"/>
      <c r="I221" s="1811"/>
      <c r="J221" s="1301"/>
      <c r="K221" s="1814"/>
      <c r="L221" s="1814"/>
      <c r="M221" s="1017"/>
      <c r="N221" s="1584"/>
      <c r="O221" s="208" t="str">
        <f t="shared" si="237"/>
        <v/>
      </c>
      <c r="P221" s="785"/>
      <c r="Q221" s="39" t="str">
        <f t="shared" si="238"/>
        <v/>
      </c>
      <c r="R221" s="39">
        <f t="shared" si="251"/>
        <v>0</v>
      </c>
      <c r="S221" s="234">
        <f t="shared" si="252"/>
        <v>0</v>
      </c>
      <c r="T221" s="1815"/>
      <c r="U221" s="1815"/>
      <c r="V221" s="1815"/>
      <c r="W221" s="1121"/>
      <c r="X221" s="1812"/>
      <c r="Y221" s="1813"/>
      <c r="Z221" s="703"/>
      <c r="AA221" s="1280"/>
      <c r="AB221" s="1141"/>
      <c r="AC221" s="1103" t="str">
        <f>IF(T221="","",VLOOKUP(Z221,Lists!$A$60:$B$111,2,FALSE))</f>
        <v/>
      </c>
      <c r="AD221" s="130" t="str">
        <f t="shared" si="253"/>
        <v/>
      </c>
      <c r="AE221" s="130" t="e">
        <f t="shared" si="254"/>
        <v>#VALUE!</v>
      </c>
      <c r="AF221" s="130">
        <f t="shared" si="255"/>
        <v>1</v>
      </c>
      <c r="AG221" s="234">
        <f t="shared" si="239"/>
        <v>0</v>
      </c>
      <c r="AH221" s="1753" t="str">
        <f>IF(T221="","",(IF(ISNUMBER(SEARCH("exit",T221)),8760,IF(AND(M221="Dusk to Dawn",'Proposed Lighting'!AU221=3),4059,IF(AND(AU221=3,M221="1"),0,IF(AND(AU221=3,M221="1-C"),0,IF(AND(AU221=3,M221="2"),0,IF(AND(AU221=3,M221="2-C"),0,IF(AND(AU221=3,M221="3"),0,IF(AND(AU221=3,M221="3-C"),0,IF(AND(AU221=2,M221="Dusk to Dawn"),0,IF(AND(AU221=2,M221="Dusk to Dawn-C"),0,IF(AND(AU221=2,M221="Dusk to Dawn"),0,IF(AND(AU221=2,M221="E"),0,IF(AND(AU221=2,M221="E-C"),0,EG221)))))))))))))))</f>
        <v/>
      </c>
      <c r="AI221" s="1754"/>
      <c r="AJ221" s="1136"/>
      <c r="AK221" s="1136"/>
      <c r="AL221" s="1748">
        <f t="shared" si="256"/>
        <v>0</v>
      </c>
      <c r="AM221" s="1749"/>
      <c r="AN221" s="1750"/>
      <c r="AO221" s="476">
        <f t="shared" si="240"/>
        <v>0</v>
      </c>
      <c r="AP221" s="476">
        <f t="shared" si="257"/>
        <v>0</v>
      </c>
      <c r="AQ221" s="475">
        <f t="shared" si="241"/>
        <v>0</v>
      </c>
      <c r="AR221" s="475">
        <f t="shared" si="258"/>
        <v>0</v>
      </c>
      <c r="AS221" s="743" t="str">
        <f t="shared" si="233"/>
        <v/>
      </c>
      <c r="AT221" s="736" t="str">
        <f t="shared" si="259"/>
        <v/>
      </c>
      <c r="AU221" s="56">
        <f t="shared" si="260"/>
        <v>1</v>
      </c>
      <c r="AV221" s="476">
        <f t="shared" si="261"/>
        <v>0</v>
      </c>
      <c r="AW221" s="56">
        <f t="shared" si="262"/>
        <v>0</v>
      </c>
      <c r="AX221" s="475">
        <f t="shared" si="242"/>
        <v>0</v>
      </c>
      <c r="AY221" s="1169">
        <f t="shared" si="263"/>
        <v>0</v>
      </c>
      <c r="AZ221" s="1150">
        <f t="shared" si="302"/>
        <v>0</v>
      </c>
      <c r="BA221" s="56">
        <f t="shared" si="243"/>
        <v>0</v>
      </c>
      <c r="BB221" s="420">
        <f t="shared" si="244"/>
        <v>0</v>
      </c>
      <c r="BC221" s="58" t="str">
        <f t="shared" si="245"/>
        <v/>
      </c>
      <c r="BD221" s="660">
        <f t="shared" si="303"/>
        <v>0</v>
      </c>
      <c r="BE221" s="57" t="e">
        <f t="array" ref="BE221">INDEX($EB$11:$ED$1022,MATCH(F221&amp;T221,$EB$11:$EB$1007&amp;$EC$11:$EC$1007,0),3)</f>
        <v>#N/A</v>
      </c>
      <c r="BF221" s="463">
        <f t="shared" si="234"/>
        <v>0</v>
      </c>
      <c r="BG221" s="1445" t="e">
        <f t="array" ref="BG221">INDEX($DO$112:$DQ$123,MATCH(T221&amp;W221,$DO$114:$DO$125&amp;$DP$112:$DP$123,0),3)</f>
        <v>#N/A</v>
      </c>
      <c r="BH221" s="1446">
        <f t="shared" si="264"/>
        <v>0</v>
      </c>
      <c r="BI221" s="465">
        <f t="shared" si="265"/>
        <v>0</v>
      </c>
      <c r="BJ221" s="465">
        <f t="shared" si="266"/>
        <v>0</v>
      </c>
      <c r="BK221" s="466">
        <f t="shared" si="235"/>
        <v>0</v>
      </c>
      <c r="BL221" s="466">
        <f t="shared" si="236"/>
        <v>0</v>
      </c>
      <c r="BM221" s="466">
        <f t="shared" si="267"/>
        <v>0</v>
      </c>
      <c r="BN221" s="466">
        <f t="shared" si="268"/>
        <v>0</v>
      </c>
      <c r="BO221" s="463">
        <f>IF('Data Entry'!$C$74=0,0,IF(ISNA(CJ221),0,IF(AX221=0,0,IF(AND('Data Entry'!$C$74=2,AF221&gt;2,CE221&lt;1),0,IF(AND('Data Entry'!$C$74=2,AF221&gt;1,AU221=2,CJ221&gt;1),0,IF(AND(AF221=5,CT221=0.5,AU221=2,ER221&lt;100),0,IF(AND(AF221=5,CT221=0.5,AU221=3,ER221&lt;100),0,IF(AND('Data Entry'!$C$74=2,AF221=2,AU221=2,AK221&gt;0.01,CB221=2,CE221&lt;1),0,IF(AND('Data Entry'!$C$74=2,AF221=3,AU221=3,AK221&gt;0.01,CB221=3,CE221&lt;1),0,IF(AND('Data Entry'!$C$74=2,AF221=3,AU221=3,AK221&gt;0.01,CB221=3,CE221&gt;0.99),BQ221*0.08,IF(AND('Data Entry'!$C$74=2,AF221=2,AU221=2,AK221&gt;0.01,CB221=2,CE221&gt;0.99),BQ221*0.1,IF(AND(AU221=2,AK221&gt;0.01,CB221=2,CD221&gt;1),BQ221*0.1,IF(AND(AU221=3,AK221&gt;0.01,CB221=3,CD221&gt;1),BQ221*0.08,CJ221*EF221)))))))))))))</f>
        <v>0</v>
      </c>
      <c r="BP221" s="475">
        <f t="shared" si="269"/>
        <v>0</v>
      </c>
      <c r="BQ221" s="1431">
        <f>IF(AU221=1,0,IF(CH221=100,0,IF(AND(AF221=3,AU221=2),0,IF(AND(BH221=0,CT221&gt;0.4),0,IF(AND('Data Entry'!$C$74=2,AF221=1.5),0,IF(AND('Data Entry'!$C$74=2,AF221=1.6),0,IF(AND('Data Entry'!$C$74=2,AF221=4),0,IF(AND('Data Entry'!$C$74=2,AF221=5),0,IF(AND('Data Entry'!$C$74=2,AF221=2.5,CE221&lt;1),0,IF(AND('Data Entry'!$C$74=2,AF221=3,CE221&lt;1),0,IF(AND('Data Entry'!$C$74=1,AF221=2.5,CD221&lt;1),0,IF(AND('Data Entry'!$C$74=1,AF221=3,CD221&lt;1),0,IF(DX221&gt;0.01,DX221,IF(ISERROR(AX221-AY221),"",ROUND(AX221-AY221,2)))))))))))))))</f>
        <v>0</v>
      </c>
      <c r="BR221" s="146">
        <f t="shared" si="270"/>
        <v>0</v>
      </c>
      <c r="BS221" s="475">
        <f t="shared" si="271"/>
        <v>0</v>
      </c>
      <c r="BT221" s="146" t="b">
        <f t="shared" si="272"/>
        <v>0</v>
      </c>
      <c r="BU221" s="463">
        <f>IF(ISNA(AT221),0,IF(AND('Data Entry'!$C$74=2,BC221=27),0,IF(AND('Data Entry'!$C$74=2,BC221=28),0,IF(AND(BC221=27,BT221=27,CM221&gt;0.1),CM221*0.15,IF(AND(BC221=28,BT221=28,CM221&gt;0.1),CM221*0.12,0)))))</f>
        <v>0</v>
      </c>
      <c r="BV221" s="463">
        <f t="shared" si="309"/>
        <v>0</v>
      </c>
      <c r="BW221" s="463">
        <f t="shared" si="273"/>
        <v>0</v>
      </c>
      <c r="BX221" s="463">
        <f t="shared" si="274"/>
        <v>0</v>
      </c>
      <c r="BY221" s="463">
        <f t="shared" si="275"/>
        <v>0</v>
      </c>
      <c r="BZ221" s="463">
        <f t="shared" si="276"/>
        <v>0</v>
      </c>
      <c r="CA221" s="57">
        <f t="shared" si="304"/>
        <v>0</v>
      </c>
      <c r="CB221" s="56">
        <f t="shared" si="277"/>
        <v>1</v>
      </c>
      <c r="CC221" s="756">
        <f>IF(EE221=0,0,IF(EF221=0,0,IF(EE221&gt;AA221,0,IF(AND(AZ221&gt;AW221,AW221&gt;0),0,IF(CU221=0,0,Summary!AC524)))))</f>
        <v>0</v>
      </c>
      <c r="CD221" s="756">
        <f>IF(EE221=0,0,IF(EF221=0,0,IF(EE221&gt;AA221,0,IF(AND(AZ221&gt;AW221,AW221&gt;0),0,IF(CU221=0,0,Summary!AD524)))))</f>
        <v>0</v>
      </c>
      <c r="CE221" s="756">
        <f>IF(EF221=0,0,IF(EE221&gt;AA221,0,IF(CC221=0,0,IF(AND(AZ221&gt;AW221,AW221&gt;0),0,IF(CU221=0,0,Summary!AE524)))))</f>
        <v>0</v>
      </c>
      <c r="CF221" s="475">
        <f t="shared" si="278"/>
        <v>0</v>
      </c>
      <c r="CG221" s="476">
        <f t="shared" si="246"/>
        <v>0</v>
      </c>
      <c r="CH221" s="487">
        <f t="shared" si="279"/>
        <v>0</v>
      </c>
      <c r="CI221" s="756">
        <f t="shared" si="280"/>
        <v>0</v>
      </c>
      <c r="CJ221" s="487">
        <f>IF(CT221&gt;0.4,0,IF(AND(AU221=2,CH221=0,CT221=0.5,ER221=100),35,IF(AND(AU221=3,BB221&gt;75,CH221=0,CT221=0.5,ER221=100),25,IF(CB221&gt;1,0,IF(EF221&gt;EE221,0,IF(AND(AF221&gt;1,CH221=100),0,IF(AND(AF221=1,AY221=0),0,IF(AND(EF221&lt;=EE221,AW221&gt;=AZ221,'Data Entry'!$C$74=1,AU221=2),VLOOKUP(W221,$DO$96:$DP$102,2,FALSE),IF(AND(EF221&lt;=EE221,AW221&gt;=AZ221,AU221=3,'Data Entry'!$C$74=1),VLOOKUP(W221,$DO$127:$DP$134,2,FALSE))))))))))</f>
        <v>0</v>
      </c>
      <c r="CK221" s="716">
        <f t="shared" si="281"/>
        <v>0</v>
      </c>
      <c r="CL221" s="57">
        <f t="shared" si="282"/>
        <v>0</v>
      </c>
      <c r="CM221" s="475">
        <f t="shared" si="308"/>
        <v>0</v>
      </c>
      <c r="CN221" s="660">
        <f>IF(CM221&lt;0.1,0,IF(ISNA(AT221),0,IF(CL221+BC221=1,0,IF(BV221&gt;0.01,0,IF(CL221&gt;0.01,0,IF(CF221=1,0,IF(BC221=0.5,0,IF(AND(CI221=1,AU221=3),0,IF(AND(CI221=5,CL221=0),0,IF(AND(R221=12,BR221=50),0,IF(CK221&gt;0.01,0,IF(AND(AJ221&gt;0.01,AU221=2,BC221=15),CM221*0.1,IF(AND(AJ221&gt;0.01,AU221=3,BC221=15),CM221*0.08,IF(AND(R221=12,BC221=3,AF221&lt;=0),0,IF(AND(BC221=15,BI221=0),0,IF(AND(BC221=15,BJ221=0),0,IF(AND(R221=20,CU221=0),0,IF($X$4=0,0,IF(AND(BC221=250,CL221=0),0,IF(AA221&lt;1,0,IF(AND(ISNUMBER(SEARCH("Area",T221)),AU221=3),0,IF(AND(AQ221&gt;0.01,AR221=0,BK221=0,BL221=0,BM221=0,BN221=0),0,IF(AND(AU221=3,CI221=7,CT221&gt;0.5),0,IF(AND(BC221=44,AU221=3,BY221=0),0,IF(AND(BC221=27,'Data Entry'!$C$74=2),0,IF(AND(BC221=28,'Data Entry'!$C$74=2),0,IF(AND(BY221+BZ221+CA221&gt;0.01,BV221=0,EQ221+ER221+ES221+ET221&lt;100),0,IF(AU221=3,CM221*0.08,IF(AU221=2,CM221*0.1,0)))))))))))))))))))))))))))))</f>
        <v>0</v>
      </c>
      <c r="CO221" s="660">
        <f t="shared" si="283"/>
        <v>0</v>
      </c>
      <c r="CP221" s="475" t="str">
        <f t="shared" si="284"/>
        <v/>
      </c>
      <c r="CQ221" s="161" t="str">
        <f>IF(AH221=0,0,IF(AU221=5,0,Summary!AC224))</f>
        <v/>
      </c>
      <c r="CR221" s="161" t="str">
        <f>IF(BF221=0.5,0,IF(AU221=5,0,Summary!AD224))</f>
        <v/>
      </c>
      <c r="CS221" s="161" t="str">
        <f>IF(AU221=5,0,Summary!AE224)</f>
        <v/>
      </c>
      <c r="CT221" s="161">
        <f t="shared" si="285"/>
        <v>0</v>
      </c>
      <c r="CU221" s="475" t="str">
        <f t="shared" si="286"/>
        <v/>
      </c>
      <c r="CV221" s="307">
        <f>IF('Data Entry'!$C$74=0,0,IF(AA221&lt;1,0,IF(ISERROR(CU221),0,IF(CF221=1,0,IF(AND(R221=12,BR221=50),0,IF(CL221+BO221+BV221+DC221=0,0,IF(BC221=37,0,IF(AND(BC221=40,AJ221=0),0,IF(AND(BC221=37,BO221&gt;0.01,BQ221&gt;0.01),ROUND(BQ221,0),IF(CM221&lt;0,0,ROUND(CM221,0)))))))))))</f>
        <v>0</v>
      </c>
      <c r="CW221" s="700">
        <f t="shared" si="287"/>
        <v>0</v>
      </c>
      <c r="CX221" s="477">
        <f>IF('Data Entry'!$C$74=0,0,IF(CV221&lt;0.01,0,IF(BF221=0.5,0,IF(CF221=1,0,IF(ISNUMBER(SEARCH("false",CL221)),0,IF(AZ221=500,0,CL221))))))</f>
        <v>0</v>
      </c>
      <c r="CY221" s="147" t="e">
        <f t="shared" si="288"/>
        <v>#VALUE!</v>
      </c>
      <c r="CZ221" s="147" t="b">
        <f>IF(CN221+CL221=0,FALSE,IF(AH221=0,0,IF(AND('Data Entry'!$C$74=1,CR221&gt;=1),TRUE,IF(AND('Data Entry'!$C$74=2,CS221&gt;=1),TRUE,FALSE))))</f>
        <v>0</v>
      </c>
      <c r="DA221" s="1751">
        <f>IF('Data Entry'!$C$74=0,0,IFERROR(ROUND(IF(T221="","",IF($X$4=0,0,IF(CF221=1,0,IF(BQ221+CV221=0,0,IF(CF221=1,0,IF(CY221&gt;0.01,CY221,IF(CL221&gt;0.01,CL221,IF(CY221&gt;0.01,CY221,IF(BC221=37,BO221,IF(CZ221=FALSE,0,IF(CZ221=TRUE,DC221+DF221,0))))))))))),2),""))</f>
        <v>0</v>
      </c>
      <c r="DB221" s="1752"/>
      <c r="DC221" s="474">
        <f>IF(CN221&lt;0.01,0,IF(AND(BR221=3,CN221&gt;0.01,CT221&gt;0.6,ER221+ES221+ET221&lt;100),0,IF(AND('Data Entry'!$C$74=1,CN221&gt;0.01,CR221&gt;0.99),MIN(CN221:CO221),IF(AND('Data Entry'!$C$74=2,CN221&gt;0.01,CS221&gt;0.99),MIN(CN221:CO221),0))))</f>
        <v>0</v>
      </c>
      <c r="DD221" s="478">
        <f>IF(CF221=1,"Selection does not match",IF(T221=0,0,IF(AND('Data Entry'!$C$74=0,CP221&gt;1),"Select Oregon or Idaho on Data Entry Tab",IF(AND(AU221=1,AA221&gt;0.9),"Missing Interior or Exterior Selection",IF($X$4=0,"Enter Total Project Cost",IF(AQ221&lt;AR221,"Insufficient kWh savings – no incentive",IF(AND(SUM(CL221+CK221+BV221)&gt;0.01,'Data Entry'!$C$74=2,CJ221&gt;1,BO221=0),"Submit Control as Non-Standard",IF(AND('Data Entry'!$C$74=2,BR221=37,CJ221&gt;1,BO221=0),"Submit Control as Non-Standard",IF(SUM(CL221+CK221+BV221)&gt;0.01,"Standard Incentive",IF(AND('Data Entry'!$C$74=2,CP221=7,CN221=0),"Submit as Non-Standard",IF(DC221&gt;0.9,"Non-Standard Incentive",IF(AND(BY221+BZ221+CA221&gt;0.01,BV221=0,EQ221=0,ER221=0,ES221=0,ET221=0),"Scroll Right &amp; Select Control Strategies",IF(AND(CN221&gt;0.01,CO221=0),"Enter Unit Installed Cost",IF(ISNUMBER(SEARCH("Lighting Controls Only",F221)),"Lighting Controls Only",IF(CL221+DC221=0,"Does not meet incentive criteria",0)))))))))))))))</f>
        <v>0</v>
      </c>
      <c r="DE221" s="337">
        <f t="shared" si="289"/>
        <v>0</v>
      </c>
      <c r="DF221" s="609">
        <f t="shared" si="290"/>
        <v>0</v>
      </c>
      <c r="DG221" s="336" t="str">
        <f t="shared" si="291"/>
        <v/>
      </c>
      <c r="DH221" s="338">
        <f t="shared" si="292"/>
        <v>1</v>
      </c>
      <c r="DI221" s="336" t="e">
        <f t="shared" si="247"/>
        <v>#VALUE!</v>
      </c>
      <c r="DJ221" s="338">
        <f t="shared" si="248"/>
        <v>0</v>
      </c>
      <c r="DO221" s="331"/>
      <c r="DQ221" s="411" t="s">
        <v>73</v>
      </c>
      <c r="DR221" s="704">
        <v>0</v>
      </c>
      <c r="DS221" s="1195">
        <f t="shared" si="293"/>
        <v>0</v>
      </c>
      <c r="DT221" s="344" t="b">
        <f t="shared" si="294"/>
        <v>1</v>
      </c>
      <c r="DU221" s="1314" t="str">
        <f t="array" ref="DU221">IF(OR(COUNTIF(F221,"*"&amp;$DK$9:$DK$178&amp;"*")), "Yes", "")</f>
        <v/>
      </c>
      <c r="DV221" s="1314">
        <f t="shared" si="295"/>
        <v>0</v>
      </c>
      <c r="DW221" s="1480">
        <f t="shared" si="296"/>
        <v>0</v>
      </c>
      <c r="DX221" s="1498">
        <f t="shared" si="305"/>
        <v>0</v>
      </c>
      <c r="DY221" s="1484">
        <f t="shared" si="297"/>
        <v>0</v>
      </c>
      <c r="DZ221" s="331"/>
      <c r="EA221" s="392"/>
      <c r="EB221" s="1499" t="s">
        <v>1563</v>
      </c>
      <c r="EC221" s="727" t="s">
        <v>1569</v>
      </c>
      <c r="ED221" s="728">
        <v>0.5</v>
      </c>
      <c r="EE221" s="1215"/>
      <c r="EF221" s="1215"/>
      <c r="EG221" s="1184" t="str">
        <f t="shared" si="298"/>
        <v/>
      </c>
      <c r="EH221" s="81"/>
      <c r="EI221" s="81"/>
      <c r="EJ221" s="1185">
        <f t="shared" si="249"/>
        <v>0</v>
      </c>
      <c r="EK221" s="1211"/>
      <c r="EL221" s="1180">
        <f t="shared" si="250"/>
        <v>0</v>
      </c>
      <c r="EM221" s="206"/>
      <c r="EN221" s="1038"/>
      <c r="EO221" s="1038"/>
      <c r="EP221" s="1038"/>
      <c r="EQ221" s="1038">
        <f t="shared" si="299"/>
        <v>0</v>
      </c>
      <c r="ER221" s="1041">
        <f t="shared" si="300"/>
        <v>0</v>
      </c>
      <c r="ES221" s="1042">
        <f t="shared" si="301"/>
        <v>0</v>
      </c>
      <c r="ET221" s="1042">
        <f t="shared" si="306"/>
        <v>0</v>
      </c>
      <c r="EU221" s="1021">
        <f t="shared" si="307"/>
        <v>0</v>
      </c>
      <c r="EV221" s="368"/>
      <c r="EW221" s="368"/>
      <c r="EX221" s="369"/>
      <c r="EY221" s="370"/>
      <c r="EZ221" s="370"/>
      <c r="FA221" s="371"/>
      <c r="FB221" s="372"/>
    </row>
    <row r="222" spans="1:158" ht="34.5" customHeight="1">
      <c r="A222" s="82">
        <v>214</v>
      </c>
      <c r="B222" s="1806"/>
      <c r="C222" s="1807"/>
      <c r="D222" s="1807"/>
      <c r="E222" s="1808"/>
      <c r="F222" s="1809"/>
      <c r="G222" s="1810"/>
      <c r="H222" s="1810"/>
      <c r="I222" s="1811"/>
      <c r="J222" s="1301"/>
      <c r="K222" s="1814"/>
      <c r="L222" s="1814"/>
      <c r="M222" s="1017"/>
      <c r="N222" s="1584"/>
      <c r="O222" s="208" t="str">
        <f t="shared" si="237"/>
        <v/>
      </c>
      <c r="P222" s="785"/>
      <c r="Q222" s="39" t="str">
        <f t="shared" si="238"/>
        <v/>
      </c>
      <c r="R222" s="39">
        <f t="shared" si="251"/>
        <v>0</v>
      </c>
      <c r="S222" s="234">
        <f t="shared" si="252"/>
        <v>0</v>
      </c>
      <c r="T222" s="1815"/>
      <c r="U222" s="1815"/>
      <c r="V222" s="1815"/>
      <c r="W222" s="1121"/>
      <c r="X222" s="1812"/>
      <c r="Y222" s="1813"/>
      <c r="Z222" s="703"/>
      <c r="AA222" s="1280"/>
      <c r="AB222" s="1141"/>
      <c r="AC222" s="1103" t="str">
        <f>IF(T222="","",VLOOKUP(Z222,Lists!$A$60:$B$111,2,FALSE))</f>
        <v/>
      </c>
      <c r="AD222" s="130" t="str">
        <f t="shared" si="253"/>
        <v/>
      </c>
      <c r="AE222" s="130" t="e">
        <f t="shared" si="254"/>
        <v>#VALUE!</v>
      </c>
      <c r="AF222" s="130">
        <f t="shared" si="255"/>
        <v>1</v>
      </c>
      <c r="AG222" s="234">
        <f t="shared" si="239"/>
        <v>0</v>
      </c>
      <c r="AH222" s="1753" t="str">
        <f>IF(T222="","",(IF(ISNUMBER(SEARCH("exit",T222)),8760,IF(AND(M222="Dusk to Dawn",'Proposed Lighting'!AU222=3),4059,IF(AND(AU222=3,M222="1"),0,IF(AND(AU222=3,M222="1-C"),0,IF(AND(AU222=3,M222="2"),0,IF(AND(AU222=3,M222="2-C"),0,IF(AND(AU222=3,M222="3"),0,IF(AND(AU222=3,M222="3-C"),0,IF(AND(AU222=2,M222="Dusk to Dawn"),0,IF(AND(AU222=2,M222="Dusk to Dawn-C"),0,IF(AND(AU222=2,M222="Dusk to Dawn"),0,IF(AND(AU222=2,M222="E"),0,IF(AND(AU222=2,M222="E-C"),0,EG222)))))))))))))))</f>
        <v/>
      </c>
      <c r="AI222" s="1754"/>
      <c r="AJ222" s="1136"/>
      <c r="AK222" s="1136"/>
      <c r="AL222" s="1748">
        <f t="shared" si="256"/>
        <v>0</v>
      </c>
      <c r="AM222" s="1749"/>
      <c r="AN222" s="1750"/>
      <c r="AO222" s="476">
        <f t="shared" si="240"/>
        <v>0</v>
      </c>
      <c r="AP222" s="476">
        <f t="shared" si="257"/>
        <v>0</v>
      </c>
      <c r="AQ222" s="475">
        <f t="shared" si="241"/>
        <v>0</v>
      </c>
      <c r="AR222" s="475">
        <f t="shared" si="258"/>
        <v>0</v>
      </c>
      <c r="AS222" s="743" t="str">
        <f t="shared" si="233"/>
        <v/>
      </c>
      <c r="AT222" s="736" t="str">
        <f t="shared" si="259"/>
        <v/>
      </c>
      <c r="AU222" s="56">
        <f t="shared" si="260"/>
        <v>1</v>
      </c>
      <c r="AV222" s="476">
        <f t="shared" si="261"/>
        <v>0</v>
      </c>
      <c r="AW222" s="56">
        <f t="shared" si="262"/>
        <v>0</v>
      </c>
      <c r="AX222" s="475">
        <f t="shared" si="242"/>
        <v>0</v>
      </c>
      <c r="AY222" s="1169">
        <f t="shared" si="263"/>
        <v>0</v>
      </c>
      <c r="AZ222" s="1150">
        <f t="shared" si="302"/>
        <v>0</v>
      </c>
      <c r="BA222" s="56">
        <f t="shared" si="243"/>
        <v>0</v>
      </c>
      <c r="BB222" s="420">
        <f t="shared" si="244"/>
        <v>0</v>
      </c>
      <c r="BC222" s="58" t="str">
        <f t="shared" si="245"/>
        <v/>
      </c>
      <c r="BD222" s="660">
        <f t="shared" si="303"/>
        <v>0</v>
      </c>
      <c r="BE222" s="57" t="e">
        <f t="array" ref="BE222">INDEX($EB$11:$ED$1022,MATCH(F222&amp;T222,$EB$11:$EB$1007&amp;$EC$11:$EC$1007,0),3)</f>
        <v>#N/A</v>
      </c>
      <c r="BF222" s="463">
        <f t="shared" si="234"/>
        <v>0</v>
      </c>
      <c r="BG222" s="1445" t="e">
        <f t="array" ref="BG222">INDEX($DO$112:$DQ$123,MATCH(T222&amp;W222,$DO$114:$DO$125&amp;$DP$112:$DP$123,0),3)</f>
        <v>#N/A</v>
      </c>
      <c r="BH222" s="1446">
        <f t="shared" si="264"/>
        <v>0</v>
      </c>
      <c r="BI222" s="465">
        <f t="shared" si="265"/>
        <v>0</v>
      </c>
      <c r="BJ222" s="465">
        <f t="shared" si="266"/>
        <v>0</v>
      </c>
      <c r="BK222" s="466">
        <f t="shared" si="235"/>
        <v>0</v>
      </c>
      <c r="BL222" s="466">
        <f t="shared" si="236"/>
        <v>0</v>
      </c>
      <c r="BM222" s="466">
        <f t="shared" si="267"/>
        <v>0</v>
      </c>
      <c r="BN222" s="466">
        <f t="shared" si="268"/>
        <v>0</v>
      </c>
      <c r="BO222" s="463">
        <f>IF('Data Entry'!$C$74=0,0,IF(ISNA(CJ222),0,IF(AX222=0,0,IF(AND('Data Entry'!$C$74=2,AF222&gt;2,CE222&lt;1),0,IF(AND('Data Entry'!$C$74=2,AF222&gt;1,AU222=2,CJ222&gt;1),0,IF(AND(AF222=5,CT222=0.5,AU222=2,ER222&lt;100),0,IF(AND(AF222=5,CT222=0.5,AU222=3,ER222&lt;100),0,IF(AND('Data Entry'!$C$74=2,AF222=2,AU222=2,AK222&gt;0.01,CB222=2,CE222&lt;1),0,IF(AND('Data Entry'!$C$74=2,AF222=3,AU222=3,AK222&gt;0.01,CB222=3,CE222&lt;1),0,IF(AND('Data Entry'!$C$74=2,AF222=3,AU222=3,AK222&gt;0.01,CB222=3,CE222&gt;0.99),BQ222*0.08,IF(AND('Data Entry'!$C$74=2,AF222=2,AU222=2,AK222&gt;0.01,CB222=2,CE222&gt;0.99),BQ222*0.1,IF(AND(AU222=2,AK222&gt;0.01,CB222=2,CD222&gt;1),BQ222*0.1,IF(AND(AU222=3,AK222&gt;0.01,CB222=3,CD222&gt;1),BQ222*0.08,CJ222*EF222)))))))))))))</f>
        <v>0</v>
      </c>
      <c r="BP222" s="475">
        <f t="shared" si="269"/>
        <v>0</v>
      </c>
      <c r="BQ222" s="1431">
        <f>IF(AU222=1,0,IF(CH222=100,0,IF(AND(AF222=3,AU222=2),0,IF(AND(BH222=0,CT222&gt;0.4),0,IF(AND('Data Entry'!$C$74=2,AF222=1.5),0,IF(AND('Data Entry'!$C$74=2,AF222=1.6),0,IF(AND('Data Entry'!$C$74=2,AF222=4),0,IF(AND('Data Entry'!$C$74=2,AF222=5),0,IF(AND('Data Entry'!$C$74=2,AF222=2.5,CE222&lt;1),0,IF(AND('Data Entry'!$C$74=2,AF222=3,CE222&lt;1),0,IF(AND('Data Entry'!$C$74=1,AF222=2.5,CD222&lt;1),0,IF(AND('Data Entry'!$C$74=1,AF222=3,CD222&lt;1),0,IF(DX222&gt;0.01,DX222,IF(ISERROR(AX222-AY222),"",ROUND(AX222-AY222,2)))))))))))))))</f>
        <v>0</v>
      </c>
      <c r="BR222" s="146">
        <f t="shared" si="270"/>
        <v>0</v>
      </c>
      <c r="BS222" s="475">
        <f t="shared" si="271"/>
        <v>0</v>
      </c>
      <c r="BT222" s="146" t="b">
        <f t="shared" si="272"/>
        <v>0</v>
      </c>
      <c r="BU222" s="463">
        <f>IF(ISNA(AT222),0,IF(AND('Data Entry'!$C$74=2,BC222=27),0,IF(AND('Data Entry'!$C$74=2,BC222=28),0,IF(AND(BC222=27,BT222=27,CM222&gt;0.1),CM222*0.15,IF(AND(BC222=28,BT222=28,CM222&gt;0.1),CM222*0.12,0)))))</f>
        <v>0</v>
      </c>
      <c r="BV222" s="463">
        <f t="shared" si="309"/>
        <v>0</v>
      </c>
      <c r="BW222" s="463">
        <f t="shared" si="273"/>
        <v>0</v>
      </c>
      <c r="BX222" s="463">
        <f t="shared" si="274"/>
        <v>0</v>
      </c>
      <c r="BY222" s="463">
        <f t="shared" si="275"/>
        <v>0</v>
      </c>
      <c r="BZ222" s="463">
        <f t="shared" si="276"/>
        <v>0</v>
      </c>
      <c r="CA222" s="57">
        <f t="shared" si="304"/>
        <v>0</v>
      </c>
      <c r="CB222" s="56">
        <f t="shared" si="277"/>
        <v>1</v>
      </c>
      <c r="CC222" s="756">
        <f>IF(EE222=0,0,IF(EF222=0,0,IF(EE222&gt;AA222,0,IF(AND(AZ222&gt;AW222,AW222&gt;0),0,IF(CU222=0,0,Summary!AC525)))))</f>
        <v>0</v>
      </c>
      <c r="CD222" s="756">
        <f>IF(EE222=0,0,IF(EF222=0,0,IF(EE222&gt;AA222,0,IF(AND(AZ222&gt;AW222,AW222&gt;0),0,IF(CU222=0,0,Summary!AD525)))))</f>
        <v>0</v>
      </c>
      <c r="CE222" s="756">
        <f>IF(EF222=0,0,IF(EE222&gt;AA222,0,IF(CC222=0,0,IF(AND(AZ222&gt;AW222,AW222&gt;0),0,IF(CU222=0,0,Summary!AE525)))))</f>
        <v>0</v>
      </c>
      <c r="CF222" s="475">
        <f t="shared" si="278"/>
        <v>0</v>
      </c>
      <c r="CG222" s="476">
        <f t="shared" si="246"/>
        <v>0</v>
      </c>
      <c r="CH222" s="487">
        <f t="shared" si="279"/>
        <v>0</v>
      </c>
      <c r="CI222" s="756">
        <f t="shared" si="280"/>
        <v>0</v>
      </c>
      <c r="CJ222" s="487">
        <f>IF(CT222&gt;0.4,0,IF(AND(AU222=2,CH222=0,CT222=0.5,ER222=100),35,IF(AND(AU222=3,BB222&gt;75,CH222=0,CT222=0.5,ER222=100),25,IF(CB222&gt;1,0,IF(EF222&gt;EE222,0,IF(AND(AF222&gt;1,CH222=100),0,IF(AND(AF222=1,AY222=0),0,IF(AND(EF222&lt;=EE222,AW222&gt;=AZ222,'Data Entry'!$C$74=1,AU222=2),VLOOKUP(W222,$DO$96:$DP$102,2,FALSE),IF(AND(EF222&lt;=EE222,AW222&gt;=AZ222,AU222=3,'Data Entry'!$C$74=1),VLOOKUP(W222,$DO$127:$DP$134,2,FALSE))))))))))</f>
        <v>0</v>
      </c>
      <c r="CK222" s="716">
        <f t="shared" si="281"/>
        <v>0</v>
      </c>
      <c r="CL222" s="57">
        <f t="shared" si="282"/>
        <v>0</v>
      </c>
      <c r="CM222" s="475">
        <f t="shared" si="308"/>
        <v>0</v>
      </c>
      <c r="CN222" s="660">
        <f>IF(CM222&lt;0.1,0,IF(ISNA(AT222),0,IF(CL222+BC222=1,0,IF(BV222&gt;0.01,0,IF(CL222&gt;0.01,0,IF(CF222=1,0,IF(BC222=0.5,0,IF(AND(CI222=1,AU222=3),0,IF(AND(CI222=5,CL222=0),0,IF(AND(R222=12,BR222=50),0,IF(CK222&gt;0.01,0,IF(AND(AJ222&gt;0.01,AU222=2,BC222=15),CM222*0.1,IF(AND(AJ222&gt;0.01,AU222=3,BC222=15),CM222*0.08,IF(AND(R222=12,BC222=3,AF222&lt;=0),0,IF(AND(BC222=15,BI222=0),0,IF(AND(BC222=15,BJ222=0),0,IF(AND(R222=20,CU222=0),0,IF($X$4=0,0,IF(AND(BC222=250,CL222=0),0,IF(AA222&lt;1,0,IF(AND(ISNUMBER(SEARCH("Area",T222)),AU222=3),0,IF(AND(AQ222&gt;0.01,AR222=0,BK222=0,BL222=0,BM222=0,BN222=0),0,IF(AND(AU222=3,CI222=7,CT222&gt;0.5),0,IF(AND(BC222=44,AU222=3,BY222=0),0,IF(AND(BC222=27,'Data Entry'!$C$74=2),0,IF(AND(BC222=28,'Data Entry'!$C$74=2),0,IF(AND(BY222+BZ222+CA222&gt;0.01,BV222=0,EQ222+ER222+ES222+ET222&lt;100),0,IF(AU222=3,CM222*0.08,IF(AU222=2,CM222*0.1,0)))))))))))))))))))))))))))))</f>
        <v>0</v>
      </c>
      <c r="CO222" s="660">
        <f t="shared" si="283"/>
        <v>0</v>
      </c>
      <c r="CP222" s="475" t="str">
        <f t="shared" si="284"/>
        <v/>
      </c>
      <c r="CQ222" s="161" t="str">
        <f>IF(AH222=0,0,IF(AU222=5,0,Summary!AC225))</f>
        <v/>
      </c>
      <c r="CR222" s="161" t="str">
        <f>IF(BF222=0.5,0,IF(AU222=5,0,Summary!AD225))</f>
        <v/>
      </c>
      <c r="CS222" s="161" t="str">
        <f>IF(AU222=5,0,Summary!AE225)</f>
        <v/>
      </c>
      <c r="CT222" s="161">
        <f t="shared" si="285"/>
        <v>0</v>
      </c>
      <c r="CU222" s="475" t="str">
        <f t="shared" si="286"/>
        <v/>
      </c>
      <c r="CV222" s="307">
        <f>IF('Data Entry'!$C$74=0,0,IF(AA222&lt;1,0,IF(ISERROR(CU222),0,IF(CF222=1,0,IF(AND(R222=12,BR222=50),0,IF(CL222+BO222+BV222+DC222=0,0,IF(BC222=37,0,IF(AND(BC222=40,AJ222=0),0,IF(AND(BC222=37,BO222&gt;0.01,BQ222&gt;0.01),ROUND(BQ222,0),IF(CM222&lt;0,0,ROUND(CM222,0)))))))))))</f>
        <v>0</v>
      </c>
      <c r="CW222" s="700">
        <f t="shared" si="287"/>
        <v>0</v>
      </c>
      <c r="CX222" s="477">
        <f>IF('Data Entry'!$C$74=0,0,IF(CV222&lt;0.01,0,IF(BF222=0.5,0,IF(CF222=1,0,IF(ISNUMBER(SEARCH("false",CL222)),0,IF(AZ222=500,0,CL222))))))</f>
        <v>0</v>
      </c>
      <c r="CY222" s="147" t="e">
        <f t="shared" si="288"/>
        <v>#VALUE!</v>
      </c>
      <c r="CZ222" s="147" t="b">
        <f>IF(CN222+CL222=0,FALSE,IF(AH222=0,0,IF(AND('Data Entry'!$C$74=1,CR222&gt;=1),TRUE,IF(AND('Data Entry'!$C$74=2,CS222&gt;=1),TRUE,FALSE))))</f>
        <v>0</v>
      </c>
      <c r="DA222" s="1751">
        <f>IF('Data Entry'!$C$74=0,0,IFERROR(ROUND(IF(T222="","",IF($X$4=0,0,IF(CF222=1,0,IF(BQ222+CV222=0,0,IF(CF222=1,0,IF(CY222&gt;0.01,CY222,IF(CL222&gt;0.01,CL222,IF(CY222&gt;0.01,CY222,IF(BC222=37,BO222,IF(CZ222=FALSE,0,IF(CZ222=TRUE,DC222+DF222,0))))))))))),2),""))</f>
        <v>0</v>
      </c>
      <c r="DB222" s="1752"/>
      <c r="DC222" s="474">
        <f>IF(CN222&lt;0.01,0,IF(AND(BR222=3,CN222&gt;0.01,CT222&gt;0.6,ER222+ES222+ET222&lt;100),0,IF(AND('Data Entry'!$C$74=1,CN222&gt;0.01,CR222&gt;0.99),MIN(CN222:CO222),IF(AND('Data Entry'!$C$74=2,CN222&gt;0.01,CS222&gt;0.99),MIN(CN222:CO222),0))))</f>
        <v>0</v>
      </c>
      <c r="DD222" s="478">
        <f>IF(CF222=1,"Selection does not match",IF(T222=0,0,IF(AND('Data Entry'!$C$74=0,CP222&gt;1),"Select Oregon or Idaho on Data Entry Tab",IF(AND(AU222=1,AA222&gt;0.9),"Missing Interior or Exterior Selection",IF($X$4=0,"Enter Total Project Cost",IF(AQ222&lt;AR222,"Insufficient kWh savings – no incentive",IF(AND(SUM(CL222+CK222+BV222)&gt;0.01,'Data Entry'!$C$74=2,CJ222&gt;1,BO222=0),"Submit Control as Non-Standard",IF(AND('Data Entry'!$C$74=2,BR222=37,CJ222&gt;1,BO222=0),"Submit Control as Non-Standard",IF(SUM(CL222+CK222+BV222)&gt;0.01,"Standard Incentive",IF(AND('Data Entry'!$C$74=2,CP222=7,CN222=0),"Submit as Non-Standard",IF(DC222&gt;0.9,"Non-Standard Incentive",IF(AND(BY222+BZ222+CA222&gt;0.01,BV222=0,EQ222=0,ER222=0,ES222=0,ET222=0),"Scroll Right &amp; Select Control Strategies",IF(AND(CN222&gt;0.01,CO222=0),"Enter Unit Installed Cost",IF(ISNUMBER(SEARCH("Lighting Controls Only",F222)),"Lighting Controls Only",IF(CL222+DC222=0,"Does not meet incentive criteria",0)))))))))))))))</f>
        <v>0</v>
      </c>
      <c r="DE222" s="337">
        <f t="shared" si="289"/>
        <v>0</v>
      </c>
      <c r="DF222" s="609">
        <f t="shared" si="290"/>
        <v>0</v>
      </c>
      <c r="DG222" s="336" t="str">
        <f t="shared" si="291"/>
        <v/>
      </c>
      <c r="DH222" s="338">
        <f t="shared" si="292"/>
        <v>1</v>
      </c>
      <c r="DI222" s="336" t="e">
        <f t="shared" si="247"/>
        <v>#VALUE!</v>
      </c>
      <c r="DJ222" s="338">
        <f t="shared" si="248"/>
        <v>0</v>
      </c>
      <c r="DO222" s="331"/>
      <c r="DQ222" s="376" t="s">
        <v>1269</v>
      </c>
      <c r="DR222" s="704">
        <v>25</v>
      </c>
      <c r="DS222" s="1195">
        <f t="shared" si="293"/>
        <v>0</v>
      </c>
      <c r="DT222" s="344" t="b">
        <f t="shared" si="294"/>
        <v>1</v>
      </c>
      <c r="DU222" s="1314" t="str">
        <f t="array" ref="DU222">IF(OR(COUNTIF(F222,"*"&amp;$DK$9:$DK$178&amp;"*")), "Yes", "")</f>
        <v/>
      </c>
      <c r="DV222" s="1314">
        <f t="shared" si="295"/>
        <v>0</v>
      </c>
      <c r="DW222" s="1480">
        <f t="shared" si="296"/>
        <v>0</v>
      </c>
      <c r="DX222" s="1498">
        <f t="shared" si="305"/>
        <v>0</v>
      </c>
      <c r="DY222" s="1484">
        <f t="shared" si="297"/>
        <v>0</v>
      </c>
      <c r="DZ222" s="331"/>
      <c r="EA222" s="392"/>
      <c r="EB222" s="1499" t="s">
        <v>147</v>
      </c>
      <c r="EC222" s="727" t="s">
        <v>1569</v>
      </c>
      <c r="ED222" s="728">
        <v>0.5</v>
      </c>
      <c r="EE222" s="1215"/>
      <c r="EF222" s="1215"/>
      <c r="EG222" s="1184" t="str">
        <f t="shared" si="298"/>
        <v/>
      </c>
      <c r="EH222" s="81"/>
      <c r="EI222" s="81"/>
      <c r="EJ222" s="1185">
        <f t="shared" si="249"/>
        <v>0</v>
      </c>
      <c r="EK222" s="1211"/>
      <c r="EL222" s="1180">
        <f t="shared" si="250"/>
        <v>0</v>
      </c>
      <c r="EM222" s="206"/>
      <c r="EN222" s="1038"/>
      <c r="EO222" s="1038"/>
      <c r="EP222" s="1038"/>
      <c r="EQ222" s="1038">
        <f t="shared" si="299"/>
        <v>0</v>
      </c>
      <c r="ER222" s="1041">
        <f t="shared" si="300"/>
        <v>0</v>
      </c>
      <c r="ES222" s="1042">
        <f t="shared" si="301"/>
        <v>0</v>
      </c>
      <c r="ET222" s="1042">
        <f t="shared" si="306"/>
        <v>0</v>
      </c>
      <c r="EU222" s="1021">
        <f t="shared" si="307"/>
        <v>0</v>
      </c>
      <c r="EV222" s="368"/>
      <c r="EW222" s="368"/>
      <c r="EX222" s="369"/>
      <c r="EY222" s="370"/>
      <c r="EZ222" s="370"/>
      <c r="FA222" s="371"/>
      <c r="FB222" s="372"/>
    </row>
    <row r="223" spans="1:158" ht="34.5" customHeight="1">
      <c r="A223" s="82">
        <v>215</v>
      </c>
      <c r="B223" s="1806"/>
      <c r="C223" s="1807"/>
      <c r="D223" s="1807"/>
      <c r="E223" s="1808"/>
      <c r="F223" s="1809"/>
      <c r="G223" s="1810"/>
      <c r="H223" s="1810"/>
      <c r="I223" s="1811"/>
      <c r="J223" s="1301"/>
      <c r="K223" s="1814"/>
      <c r="L223" s="1814"/>
      <c r="M223" s="1017"/>
      <c r="N223" s="1584"/>
      <c r="O223" s="208" t="str">
        <f t="shared" si="237"/>
        <v/>
      </c>
      <c r="P223" s="785"/>
      <c r="Q223" s="39" t="str">
        <f t="shared" si="238"/>
        <v/>
      </c>
      <c r="R223" s="39">
        <f t="shared" si="251"/>
        <v>0</v>
      </c>
      <c r="S223" s="234">
        <f t="shared" si="252"/>
        <v>0</v>
      </c>
      <c r="T223" s="1815"/>
      <c r="U223" s="1815"/>
      <c r="V223" s="1815"/>
      <c r="W223" s="1121"/>
      <c r="X223" s="1812"/>
      <c r="Y223" s="1813"/>
      <c r="Z223" s="703"/>
      <c r="AA223" s="1280"/>
      <c r="AB223" s="1141"/>
      <c r="AC223" s="1103" t="str">
        <f>IF(T223="","",VLOOKUP(Z223,Lists!$A$60:$B$111,2,FALSE))</f>
        <v/>
      </c>
      <c r="AD223" s="130" t="str">
        <f t="shared" si="253"/>
        <v/>
      </c>
      <c r="AE223" s="130" t="e">
        <f t="shared" si="254"/>
        <v>#VALUE!</v>
      </c>
      <c r="AF223" s="130">
        <f t="shared" si="255"/>
        <v>1</v>
      </c>
      <c r="AG223" s="234">
        <f t="shared" si="239"/>
        <v>0</v>
      </c>
      <c r="AH223" s="1753" t="str">
        <f>IF(T223="","",(IF(ISNUMBER(SEARCH("exit",T223)),8760,IF(AND(M223="Dusk to Dawn",'Proposed Lighting'!AU223=3),4059,IF(AND(AU223=3,M223="1"),0,IF(AND(AU223=3,M223="1-C"),0,IF(AND(AU223=3,M223="2"),0,IF(AND(AU223=3,M223="2-C"),0,IF(AND(AU223=3,M223="3"),0,IF(AND(AU223=3,M223="3-C"),0,IF(AND(AU223=2,M223="Dusk to Dawn"),0,IF(AND(AU223=2,M223="Dusk to Dawn-C"),0,IF(AND(AU223=2,M223="Dusk to Dawn"),0,IF(AND(AU223=2,M223="E"),0,IF(AND(AU223=2,M223="E-C"),0,EG223)))))))))))))))</f>
        <v/>
      </c>
      <c r="AI223" s="1754"/>
      <c r="AJ223" s="1136"/>
      <c r="AK223" s="1136"/>
      <c r="AL223" s="1748">
        <f t="shared" si="256"/>
        <v>0</v>
      </c>
      <c r="AM223" s="1749"/>
      <c r="AN223" s="1750"/>
      <c r="AO223" s="476">
        <f t="shared" si="240"/>
        <v>0</v>
      </c>
      <c r="AP223" s="476">
        <f t="shared" si="257"/>
        <v>0</v>
      </c>
      <c r="AQ223" s="475">
        <f t="shared" si="241"/>
        <v>0</v>
      </c>
      <c r="AR223" s="475">
        <f t="shared" si="258"/>
        <v>0</v>
      </c>
      <c r="AS223" s="743" t="str">
        <f t="shared" si="233"/>
        <v/>
      </c>
      <c r="AT223" s="736" t="str">
        <f t="shared" si="259"/>
        <v/>
      </c>
      <c r="AU223" s="56">
        <f t="shared" si="260"/>
        <v>1</v>
      </c>
      <c r="AV223" s="476">
        <f t="shared" si="261"/>
        <v>0</v>
      </c>
      <c r="AW223" s="56">
        <f t="shared" si="262"/>
        <v>0</v>
      </c>
      <c r="AX223" s="475">
        <f t="shared" si="242"/>
        <v>0</v>
      </c>
      <c r="AY223" s="1169">
        <f t="shared" si="263"/>
        <v>0</v>
      </c>
      <c r="AZ223" s="1150">
        <f t="shared" si="302"/>
        <v>0</v>
      </c>
      <c r="BA223" s="56">
        <f t="shared" si="243"/>
        <v>0</v>
      </c>
      <c r="BB223" s="420">
        <f t="shared" si="244"/>
        <v>0</v>
      </c>
      <c r="BC223" s="58" t="str">
        <f t="shared" si="245"/>
        <v/>
      </c>
      <c r="BD223" s="660">
        <f t="shared" si="303"/>
        <v>0</v>
      </c>
      <c r="BE223" s="57" t="e">
        <f t="array" ref="BE223">INDEX($EB$11:$ED$1022,MATCH(F223&amp;T223,$EB$11:$EB$1007&amp;$EC$11:$EC$1007,0),3)</f>
        <v>#N/A</v>
      </c>
      <c r="BF223" s="463">
        <f t="shared" si="234"/>
        <v>0</v>
      </c>
      <c r="BG223" s="1445" t="e">
        <f t="array" ref="BG223">INDEX($DO$112:$DQ$123,MATCH(T223&amp;W223,$DO$114:$DO$125&amp;$DP$112:$DP$123,0),3)</f>
        <v>#N/A</v>
      </c>
      <c r="BH223" s="1446">
        <f t="shared" si="264"/>
        <v>0</v>
      </c>
      <c r="BI223" s="465">
        <f t="shared" si="265"/>
        <v>0</v>
      </c>
      <c r="BJ223" s="465">
        <f t="shared" si="266"/>
        <v>0</v>
      </c>
      <c r="BK223" s="466">
        <f t="shared" si="235"/>
        <v>0</v>
      </c>
      <c r="BL223" s="466">
        <f t="shared" si="236"/>
        <v>0</v>
      </c>
      <c r="BM223" s="466">
        <f t="shared" si="267"/>
        <v>0</v>
      </c>
      <c r="BN223" s="466">
        <f t="shared" si="268"/>
        <v>0</v>
      </c>
      <c r="BO223" s="463">
        <f>IF('Data Entry'!$C$74=0,0,IF(ISNA(CJ223),0,IF(AX223=0,0,IF(AND('Data Entry'!$C$74=2,AF223&gt;2,CE223&lt;1),0,IF(AND('Data Entry'!$C$74=2,AF223&gt;1,AU223=2,CJ223&gt;1),0,IF(AND(AF223=5,CT223=0.5,AU223=2,ER223&lt;100),0,IF(AND(AF223=5,CT223=0.5,AU223=3,ER223&lt;100),0,IF(AND('Data Entry'!$C$74=2,AF223=2,AU223=2,AK223&gt;0.01,CB223=2,CE223&lt;1),0,IF(AND('Data Entry'!$C$74=2,AF223=3,AU223=3,AK223&gt;0.01,CB223=3,CE223&lt;1),0,IF(AND('Data Entry'!$C$74=2,AF223=3,AU223=3,AK223&gt;0.01,CB223=3,CE223&gt;0.99),BQ223*0.08,IF(AND('Data Entry'!$C$74=2,AF223=2,AU223=2,AK223&gt;0.01,CB223=2,CE223&gt;0.99),BQ223*0.1,IF(AND(AU223=2,AK223&gt;0.01,CB223=2,CD223&gt;1),BQ223*0.1,IF(AND(AU223=3,AK223&gt;0.01,CB223=3,CD223&gt;1),BQ223*0.08,CJ223*EF223)))))))))))))</f>
        <v>0</v>
      </c>
      <c r="BP223" s="475">
        <f t="shared" si="269"/>
        <v>0</v>
      </c>
      <c r="BQ223" s="1431">
        <f>IF(AU223=1,0,IF(CH223=100,0,IF(AND(AF223=3,AU223=2),0,IF(AND(BH223=0,CT223&gt;0.4),0,IF(AND('Data Entry'!$C$74=2,AF223=1.5),0,IF(AND('Data Entry'!$C$74=2,AF223=1.6),0,IF(AND('Data Entry'!$C$74=2,AF223=4),0,IF(AND('Data Entry'!$C$74=2,AF223=5),0,IF(AND('Data Entry'!$C$74=2,AF223=2.5,CE223&lt;1),0,IF(AND('Data Entry'!$C$74=2,AF223=3,CE223&lt;1),0,IF(AND('Data Entry'!$C$74=1,AF223=2.5,CD223&lt;1),0,IF(AND('Data Entry'!$C$74=1,AF223=3,CD223&lt;1),0,IF(DX223&gt;0.01,DX223,IF(ISERROR(AX223-AY223),"",ROUND(AX223-AY223,2)))))))))))))))</f>
        <v>0</v>
      </c>
      <c r="BR223" s="146">
        <f t="shared" si="270"/>
        <v>0</v>
      </c>
      <c r="BS223" s="475">
        <f t="shared" si="271"/>
        <v>0</v>
      </c>
      <c r="BT223" s="146" t="b">
        <f t="shared" si="272"/>
        <v>0</v>
      </c>
      <c r="BU223" s="463">
        <f>IF(ISNA(AT223),0,IF(AND('Data Entry'!$C$74=2,BC223=27),0,IF(AND('Data Entry'!$C$74=2,BC223=28),0,IF(AND(BC223=27,BT223=27,CM223&gt;0.1),CM223*0.15,IF(AND(BC223=28,BT223=28,CM223&gt;0.1),CM223*0.12,0)))))</f>
        <v>0</v>
      </c>
      <c r="BV223" s="463">
        <f t="shared" si="309"/>
        <v>0</v>
      </c>
      <c r="BW223" s="463">
        <f t="shared" si="273"/>
        <v>0</v>
      </c>
      <c r="BX223" s="463">
        <f t="shared" si="274"/>
        <v>0</v>
      </c>
      <c r="BY223" s="463">
        <f t="shared" si="275"/>
        <v>0</v>
      </c>
      <c r="BZ223" s="463">
        <f t="shared" si="276"/>
        <v>0</v>
      </c>
      <c r="CA223" s="57">
        <f t="shared" si="304"/>
        <v>0</v>
      </c>
      <c r="CB223" s="56">
        <f t="shared" si="277"/>
        <v>1</v>
      </c>
      <c r="CC223" s="756">
        <f>IF(EE223=0,0,IF(EF223=0,0,IF(EE223&gt;AA223,0,IF(AND(AZ223&gt;AW223,AW223&gt;0),0,IF(CU223=0,0,Summary!AC526)))))</f>
        <v>0</v>
      </c>
      <c r="CD223" s="756">
        <f>IF(EE223=0,0,IF(EF223=0,0,IF(EE223&gt;AA223,0,IF(AND(AZ223&gt;AW223,AW223&gt;0),0,IF(CU223=0,0,Summary!AD526)))))</f>
        <v>0</v>
      </c>
      <c r="CE223" s="756">
        <f>IF(EF223=0,0,IF(EE223&gt;AA223,0,IF(CC223=0,0,IF(AND(AZ223&gt;AW223,AW223&gt;0),0,IF(CU223=0,0,Summary!AE526)))))</f>
        <v>0</v>
      </c>
      <c r="CF223" s="475">
        <f t="shared" si="278"/>
        <v>0</v>
      </c>
      <c r="CG223" s="476">
        <f t="shared" si="246"/>
        <v>0</v>
      </c>
      <c r="CH223" s="487">
        <f t="shared" si="279"/>
        <v>0</v>
      </c>
      <c r="CI223" s="756">
        <f t="shared" si="280"/>
        <v>0</v>
      </c>
      <c r="CJ223" s="487">
        <f>IF(CT223&gt;0.4,0,IF(AND(AU223=2,CH223=0,CT223=0.5,ER223=100),35,IF(AND(AU223=3,BB223&gt;75,CH223=0,CT223=0.5,ER223=100),25,IF(CB223&gt;1,0,IF(EF223&gt;EE223,0,IF(AND(AF223&gt;1,CH223=100),0,IF(AND(AF223=1,AY223=0),0,IF(AND(EF223&lt;=EE223,AW223&gt;=AZ223,'Data Entry'!$C$74=1,AU223=2),VLOOKUP(W223,$DO$96:$DP$102,2,FALSE),IF(AND(EF223&lt;=EE223,AW223&gt;=AZ223,AU223=3,'Data Entry'!$C$74=1),VLOOKUP(W223,$DO$127:$DP$134,2,FALSE))))))))))</f>
        <v>0</v>
      </c>
      <c r="CK223" s="716">
        <f t="shared" si="281"/>
        <v>0</v>
      </c>
      <c r="CL223" s="57">
        <f t="shared" si="282"/>
        <v>0</v>
      </c>
      <c r="CM223" s="475">
        <f t="shared" si="308"/>
        <v>0</v>
      </c>
      <c r="CN223" s="660">
        <f>IF(CM223&lt;0.1,0,IF(ISNA(AT223),0,IF(CL223+BC223=1,0,IF(BV223&gt;0.01,0,IF(CL223&gt;0.01,0,IF(CF223=1,0,IF(BC223=0.5,0,IF(AND(CI223=1,AU223=3),0,IF(AND(CI223=5,CL223=0),0,IF(AND(R223=12,BR223=50),0,IF(CK223&gt;0.01,0,IF(AND(AJ223&gt;0.01,AU223=2,BC223=15),CM223*0.1,IF(AND(AJ223&gt;0.01,AU223=3,BC223=15),CM223*0.08,IF(AND(R223=12,BC223=3,AF223&lt;=0),0,IF(AND(BC223=15,BI223=0),0,IF(AND(BC223=15,BJ223=0),0,IF(AND(R223=20,CU223=0),0,IF($X$4=0,0,IF(AND(BC223=250,CL223=0),0,IF(AA223&lt;1,0,IF(AND(ISNUMBER(SEARCH("Area",T223)),AU223=3),0,IF(AND(AQ223&gt;0.01,AR223=0,BK223=0,BL223=0,BM223=0,BN223=0),0,IF(AND(AU223=3,CI223=7,CT223&gt;0.5),0,IF(AND(BC223=44,AU223=3,BY223=0),0,IF(AND(BC223=27,'Data Entry'!$C$74=2),0,IF(AND(BC223=28,'Data Entry'!$C$74=2),0,IF(AND(BY223+BZ223+CA223&gt;0.01,BV223=0,EQ223+ER223+ES223+ET223&lt;100),0,IF(AU223=3,CM223*0.08,IF(AU223=2,CM223*0.1,0)))))))))))))))))))))))))))))</f>
        <v>0</v>
      </c>
      <c r="CO223" s="660">
        <f t="shared" si="283"/>
        <v>0</v>
      </c>
      <c r="CP223" s="475" t="str">
        <f t="shared" si="284"/>
        <v/>
      </c>
      <c r="CQ223" s="161" t="str">
        <f>IF(AH223=0,0,IF(AU223=5,0,Summary!AC226))</f>
        <v/>
      </c>
      <c r="CR223" s="161" t="str">
        <f>IF(BF223=0.5,0,IF(AU223=5,0,Summary!AD226))</f>
        <v/>
      </c>
      <c r="CS223" s="161" t="str">
        <f>IF(AU223=5,0,Summary!AE226)</f>
        <v/>
      </c>
      <c r="CT223" s="161">
        <f t="shared" si="285"/>
        <v>0</v>
      </c>
      <c r="CU223" s="475" t="str">
        <f t="shared" si="286"/>
        <v/>
      </c>
      <c r="CV223" s="307">
        <f>IF('Data Entry'!$C$74=0,0,IF(AA223&lt;1,0,IF(ISERROR(CU223),0,IF(CF223=1,0,IF(AND(R223=12,BR223=50),0,IF(CL223+BO223+BV223+DC223=0,0,IF(BC223=37,0,IF(AND(BC223=40,AJ223=0),0,IF(AND(BC223=37,BO223&gt;0.01,BQ223&gt;0.01),ROUND(BQ223,0),IF(CM223&lt;0,0,ROUND(CM223,0)))))))))))</f>
        <v>0</v>
      </c>
      <c r="CW223" s="700">
        <f t="shared" si="287"/>
        <v>0</v>
      </c>
      <c r="CX223" s="477">
        <f>IF('Data Entry'!$C$74=0,0,IF(CV223&lt;0.01,0,IF(BF223=0.5,0,IF(CF223=1,0,IF(ISNUMBER(SEARCH("false",CL223)),0,IF(AZ223=500,0,CL223))))))</f>
        <v>0</v>
      </c>
      <c r="CY223" s="147" t="e">
        <f t="shared" si="288"/>
        <v>#VALUE!</v>
      </c>
      <c r="CZ223" s="147" t="b">
        <f>IF(CN223+CL223=0,FALSE,IF(AH223=0,0,IF(AND('Data Entry'!$C$74=1,CR223&gt;=1),TRUE,IF(AND('Data Entry'!$C$74=2,CS223&gt;=1),TRUE,FALSE))))</f>
        <v>0</v>
      </c>
      <c r="DA223" s="1751">
        <f>IF('Data Entry'!$C$74=0,0,IFERROR(ROUND(IF(T223="","",IF($X$4=0,0,IF(CF223=1,0,IF(BQ223+CV223=0,0,IF(CF223=1,0,IF(CY223&gt;0.01,CY223,IF(CL223&gt;0.01,CL223,IF(CY223&gt;0.01,CY223,IF(BC223=37,BO223,IF(CZ223=FALSE,0,IF(CZ223=TRUE,DC223+DF223,0))))))))))),2),""))</f>
        <v>0</v>
      </c>
      <c r="DB223" s="1752"/>
      <c r="DC223" s="474">
        <f>IF(CN223&lt;0.01,0,IF(AND(BR223=3,CN223&gt;0.01,CT223&gt;0.6,ER223+ES223+ET223&lt;100),0,IF(AND('Data Entry'!$C$74=1,CN223&gt;0.01,CR223&gt;0.99),MIN(CN223:CO223),IF(AND('Data Entry'!$C$74=2,CN223&gt;0.01,CS223&gt;0.99),MIN(CN223:CO223),0))))</f>
        <v>0</v>
      </c>
      <c r="DD223" s="478">
        <f>IF(CF223=1,"Selection does not match",IF(T223=0,0,IF(AND('Data Entry'!$C$74=0,CP223&gt;1),"Select Oregon or Idaho on Data Entry Tab",IF(AND(AU223=1,AA223&gt;0.9),"Missing Interior or Exterior Selection",IF($X$4=0,"Enter Total Project Cost",IF(AQ223&lt;AR223,"Insufficient kWh savings – no incentive",IF(AND(SUM(CL223+CK223+BV223)&gt;0.01,'Data Entry'!$C$74=2,CJ223&gt;1,BO223=0),"Submit Control as Non-Standard",IF(AND('Data Entry'!$C$74=2,BR223=37,CJ223&gt;1,BO223=0),"Submit Control as Non-Standard",IF(SUM(CL223+CK223+BV223)&gt;0.01,"Standard Incentive",IF(AND('Data Entry'!$C$74=2,CP223=7,CN223=0),"Submit as Non-Standard",IF(DC223&gt;0.9,"Non-Standard Incentive",IF(AND(BY223+BZ223+CA223&gt;0.01,BV223=0,EQ223=0,ER223=0,ES223=0,ET223=0),"Scroll Right &amp; Select Control Strategies",IF(AND(CN223&gt;0.01,CO223=0),"Enter Unit Installed Cost",IF(ISNUMBER(SEARCH("Lighting Controls Only",F223)),"Lighting Controls Only",IF(CL223+DC223=0,"Does not meet incentive criteria",0)))))))))))))))</f>
        <v>0</v>
      </c>
      <c r="DE223" s="337">
        <f t="shared" si="289"/>
        <v>0</v>
      </c>
      <c r="DF223" s="609">
        <f t="shared" si="290"/>
        <v>0</v>
      </c>
      <c r="DG223" s="336" t="str">
        <f t="shared" si="291"/>
        <v/>
      </c>
      <c r="DH223" s="338">
        <f t="shared" si="292"/>
        <v>1</v>
      </c>
      <c r="DI223" s="336" t="e">
        <f t="shared" si="247"/>
        <v>#VALUE!</v>
      </c>
      <c r="DJ223" s="338">
        <f t="shared" si="248"/>
        <v>0</v>
      </c>
      <c r="DO223" s="331"/>
      <c r="DQ223" s="1433" t="s">
        <v>1756</v>
      </c>
      <c r="DR223" s="704">
        <v>1</v>
      </c>
      <c r="DS223" s="1195">
        <f t="shared" si="293"/>
        <v>0</v>
      </c>
      <c r="DT223" s="344" t="b">
        <f t="shared" si="294"/>
        <v>1</v>
      </c>
      <c r="DU223" s="1314" t="str">
        <f t="array" ref="DU223">IF(OR(COUNTIF(F223,"*"&amp;$DK$9:$DK$178&amp;"*")), "Yes", "")</f>
        <v/>
      </c>
      <c r="DV223" s="1314">
        <f t="shared" si="295"/>
        <v>0</v>
      </c>
      <c r="DW223" s="1480">
        <f t="shared" si="296"/>
        <v>0</v>
      </c>
      <c r="DX223" s="1498">
        <f t="shared" si="305"/>
        <v>0</v>
      </c>
      <c r="DY223" s="1484">
        <f t="shared" si="297"/>
        <v>0</v>
      </c>
      <c r="DZ223" s="331"/>
      <c r="EA223" s="392"/>
      <c r="EB223" s="1499" t="s">
        <v>148</v>
      </c>
      <c r="EC223" s="727" t="s">
        <v>1569</v>
      </c>
      <c r="ED223" s="728">
        <v>0.5</v>
      </c>
      <c r="EE223" s="1215"/>
      <c r="EF223" s="1215"/>
      <c r="EG223" s="1184" t="str">
        <f t="shared" si="298"/>
        <v/>
      </c>
      <c r="EH223" s="81"/>
      <c r="EI223" s="81"/>
      <c r="EJ223" s="1185">
        <f t="shared" si="249"/>
        <v>0</v>
      </c>
      <c r="EK223" s="1211"/>
      <c r="EL223" s="1180">
        <f t="shared" si="250"/>
        <v>0</v>
      </c>
      <c r="EM223" s="206"/>
      <c r="EN223" s="1038"/>
      <c r="EO223" s="1038"/>
      <c r="EP223" s="1038"/>
      <c r="EQ223" s="1038">
        <f t="shared" si="299"/>
        <v>0</v>
      </c>
      <c r="ER223" s="1041">
        <f t="shared" si="300"/>
        <v>0</v>
      </c>
      <c r="ES223" s="1042">
        <f t="shared" si="301"/>
        <v>0</v>
      </c>
      <c r="ET223" s="1042">
        <f t="shared" si="306"/>
        <v>0</v>
      </c>
      <c r="EU223" s="1021">
        <f t="shared" si="307"/>
        <v>0</v>
      </c>
      <c r="EV223" s="368"/>
      <c r="EW223" s="368"/>
      <c r="EX223" s="369"/>
      <c r="EY223" s="370"/>
      <c r="EZ223" s="370"/>
      <c r="FA223" s="371"/>
      <c r="FB223" s="372"/>
    </row>
    <row r="224" spans="1:158" ht="34.5" customHeight="1">
      <c r="A224" s="82">
        <v>216</v>
      </c>
      <c r="B224" s="1806"/>
      <c r="C224" s="1807"/>
      <c r="D224" s="1807"/>
      <c r="E224" s="1808"/>
      <c r="F224" s="1809"/>
      <c r="G224" s="1810"/>
      <c r="H224" s="1810"/>
      <c r="I224" s="1811"/>
      <c r="J224" s="1301"/>
      <c r="K224" s="1814"/>
      <c r="L224" s="1814"/>
      <c r="M224" s="1017"/>
      <c r="N224" s="1584"/>
      <c r="O224" s="208" t="str">
        <f t="shared" si="237"/>
        <v/>
      </c>
      <c r="P224" s="785"/>
      <c r="Q224" s="39" t="str">
        <f t="shared" si="238"/>
        <v/>
      </c>
      <c r="R224" s="39">
        <f t="shared" si="251"/>
        <v>0</v>
      </c>
      <c r="S224" s="234">
        <f t="shared" si="252"/>
        <v>0</v>
      </c>
      <c r="T224" s="1815"/>
      <c r="U224" s="1815"/>
      <c r="V224" s="1815"/>
      <c r="W224" s="1121"/>
      <c r="X224" s="1812"/>
      <c r="Y224" s="1813"/>
      <c r="Z224" s="703"/>
      <c r="AA224" s="1280"/>
      <c r="AB224" s="1141"/>
      <c r="AC224" s="1103" t="str">
        <f>IF(T224="","",VLOOKUP(Z224,Lists!$A$60:$B$111,2,FALSE))</f>
        <v/>
      </c>
      <c r="AD224" s="130" t="str">
        <f t="shared" si="253"/>
        <v/>
      </c>
      <c r="AE224" s="130" t="e">
        <f t="shared" si="254"/>
        <v>#VALUE!</v>
      </c>
      <c r="AF224" s="130">
        <f t="shared" si="255"/>
        <v>1</v>
      </c>
      <c r="AG224" s="234">
        <f t="shared" si="239"/>
        <v>0</v>
      </c>
      <c r="AH224" s="1753" t="str">
        <f>IF(T224="","",(IF(ISNUMBER(SEARCH("exit",T224)),8760,IF(AND(M224="Dusk to Dawn",'Proposed Lighting'!AU224=3),4059,IF(AND(AU224=3,M224="1"),0,IF(AND(AU224=3,M224="1-C"),0,IF(AND(AU224=3,M224="2"),0,IF(AND(AU224=3,M224="2-C"),0,IF(AND(AU224=3,M224="3"),0,IF(AND(AU224=3,M224="3-C"),0,IF(AND(AU224=2,M224="Dusk to Dawn"),0,IF(AND(AU224=2,M224="Dusk to Dawn-C"),0,IF(AND(AU224=2,M224="Dusk to Dawn"),0,IF(AND(AU224=2,M224="E"),0,IF(AND(AU224=2,M224="E-C"),0,EG224)))))))))))))))</f>
        <v/>
      </c>
      <c r="AI224" s="1754"/>
      <c r="AJ224" s="1136"/>
      <c r="AK224" s="1136"/>
      <c r="AL224" s="1748">
        <f t="shared" si="256"/>
        <v>0</v>
      </c>
      <c r="AM224" s="1749"/>
      <c r="AN224" s="1750"/>
      <c r="AO224" s="476">
        <f t="shared" si="240"/>
        <v>0</v>
      </c>
      <c r="AP224" s="476">
        <f t="shared" si="257"/>
        <v>0</v>
      </c>
      <c r="AQ224" s="475">
        <f t="shared" si="241"/>
        <v>0</v>
      </c>
      <c r="AR224" s="475">
        <f t="shared" si="258"/>
        <v>0</v>
      </c>
      <c r="AS224" s="743" t="str">
        <f t="shared" si="233"/>
        <v/>
      </c>
      <c r="AT224" s="736" t="str">
        <f t="shared" si="259"/>
        <v/>
      </c>
      <c r="AU224" s="56">
        <f t="shared" si="260"/>
        <v>1</v>
      </c>
      <c r="AV224" s="476">
        <f t="shared" si="261"/>
        <v>0</v>
      </c>
      <c r="AW224" s="56">
        <f t="shared" si="262"/>
        <v>0</v>
      </c>
      <c r="AX224" s="475">
        <f t="shared" si="242"/>
        <v>0</v>
      </c>
      <c r="AY224" s="1169">
        <f t="shared" si="263"/>
        <v>0</v>
      </c>
      <c r="AZ224" s="1150">
        <f t="shared" si="302"/>
        <v>0</v>
      </c>
      <c r="BA224" s="56">
        <f t="shared" si="243"/>
        <v>0</v>
      </c>
      <c r="BB224" s="420">
        <f t="shared" si="244"/>
        <v>0</v>
      </c>
      <c r="BC224" s="58" t="str">
        <f t="shared" si="245"/>
        <v/>
      </c>
      <c r="BD224" s="660">
        <f t="shared" si="303"/>
        <v>0</v>
      </c>
      <c r="BE224" s="57" t="e">
        <f t="array" ref="BE224">INDEX($EB$11:$ED$1022,MATCH(F224&amp;T224,$EB$11:$EB$1007&amp;$EC$11:$EC$1007,0),3)</f>
        <v>#N/A</v>
      </c>
      <c r="BF224" s="463">
        <f t="shared" si="234"/>
        <v>0</v>
      </c>
      <c r="BG224" s="1445" t="e">
        <f t="array" ref="BG224">INDEX($DO$112:$DQ$123,MATCH(T224&amp;W224,$DO$114:$DO$125&amp;$DP$112:$DP$123,0),3)</f>
        <v>#N/A</v>
      </c>
      <c r="BH224" s="1446">
        <f t="shared" si="264"/>
        <v>0</v>
      </c>
      <c r="BI224" s="465">
        <f t="shared" si="265"/>
        <v>0</v>
      </c>
      <c r="BJ224" s="465">
        <f t="shared" si="266"/>
        <v>0</v>
      </c>
      <c r="BK224" s="466">
        <f t="shared" si="235"/>
        <v>0</v>
      </c>
      <c r="BL224" s="466">
        <f t="shared" si="236"/>
        <v>0</v>
      </c>
      <c r="BM224" s="466">
        <f t="shared" si="267"/>
        <v>0</v>
      </c>
      <c r="BN224" s="466">
        <f t="shared" si="268"/>
        <v>0</v>
      </c>
      <c r="BO224" s="463">
        <f>IF('Data Entry'!$C$74=0,0,IF(ISNA(CJ224),0,IF(AX224=0,0,IF(AND('Data Entry'!$C$74=2,AF224&gt;2,CE224&lt;1),0,IF(AND('Data Entry'!$C$74=2,AF224&gt;1,AU224=2,CJ224&gt;1),0,IF(AND(AF224=5,CT224=0.5,AU224=2,ER224&lt;100),0,IF(AND(AF224=5,CT224=0.5,AU224=3,ER224&lt;100),0,IF(AND('Data Entry'!$C$74=2,AF224=2,AU224=2,AK224&gt;0.01,CB224=2,CE224&lt;1),0,IF(AND('Data Entry'!$C$74=2,AF224=3,AU224=3,AK224&gt;0.01,CB224=3,CE224&lt;1),0,IF(AND('Data Entry'!$C$74=2,AF224=3,AU224=3,AK224&gt;0.01,CB224=3,CE224&gt;0.99),BQ224*0.08,IF(AND('Data Entry'!$C$74=2,AF224=2,AU224=2,AK224&gt;0.01,CB224=2,CE224&gt;0.99),BQ224*0.1,IF(AND(AU224=2,AK224&gt;0.01,CB224=2,CD224&gt;1),BQ224*0.1,IF(AND(AU224=3,AK224&gt;0.01,CB224=3,CD224&gt;1),BQ224*0.08,CJ224*EF224)))))))))))))</f>
        <v>0</v>
      </c>
      <c r="BP224" s="475">
        <f t="shared" si="269"/>
        <v>0</v>
      </c>
      <c r="BQ224" s="1431">
        <f>IF(AU224=1,0,IF(CH224=100,0,IF(AND(AF224=3,AU224=2),0,IF(AND(BH224=0,CT224&gt;0.4),0,IF(AND('Data Entry'!$C$74=2,AF224=1.5),0,IF(AND('Data Entry'!$C$74=2,AF224=1.6),0,IF(AND('Data Entry'!$C$74=2,AF224=4),0,IF(AND('Data Entry'!$C$74=2,AF224=5),0,IF(AND('Data Entry'!$C$74=2,AF224=2.5,CE224&lt;1),0,IF(AND('Data Entry'!$C$74=2,AF224=3,CE224&lt;1),0,IF(AND('Data Entry'!$C$74=1,AF224=2.5,CD224&lt;1),0,IF(AND('Data Entry'!$C$74=1,AF224=3,CD224&lt;1),0,IF(DX224&gt;0.01,DX224,IF(ISERROR(AX224-AY224),"",ROUND(AX224-AY224,2)))))))))))))))</f>
        <v>0</v>
      </c>
      <c r="BR224" s="146">
        <f t="shared" si="270"/>
        <v>0</v>
      </c>
      <c r="BS224" s="475">
        <f t="shared" si="271"/>
        <v>0</v>
      </c>
      <c r="BT224" s="146" t="b">
        <f t="shared" si="272"/>
        <v>0</v>
      </c>
      <c r="BU224" s="463">
        <f>IF(ISNA(AT224),0,IF(AND('Data Entry'!$C$74=2,BC224=27),0,IF(AND('Data Entry'!$C$74=2,BC224=28),0,IF(AND(BC224=27,BT224=27,CM224&gt;0.1),CM224*0.15,IF(AND(BC224=28,BT224=28,CM224&gt;0.1),CM224*0.12,0)))))</f>
        <v>0</v>
      </c>
      <c r="BV224" s="463">
        <f t="shared" si="309"/>
        <v>0</v>
      </c>
      <c r="BW224" s="463">
        <f t="shared" si="273"/>
        <v>0</v>
      </c>
      <c r="BX224" s="463">
        <f t="shared" si="274"/>
        <v>0</v>
      </c>
      <c r="BY224" s="463">
        <f t="shared" si="275"/>
        <v>0</v>
      </c>
      <c r="BZ224" s="463">
        <f t="shared" si="276"/>
        <v>0</v>
      </c>
      <c r="CA224" s="57">
        <f t="shared" si="304"/>
        <v>0</v>
      </c>
      <c r="CB224" s="56">
        <f t="shared" si="277"/>
        <v>1</v>
      </c>
      <c r="CC224" s="756">
        <f>IF(EE224=0,0,IF(EF224=0,0,IF(EE224&gt;AA224,0,IF(AND(AZ224&gt;AW224,AW224&gt;0),0,IF(CU224=0,0,Summary!AC527)))))</f>
        <v>0</v>
      </c>
      <c r="CD224" s="756">
        <f>IF(EE224=0,0,IF(EF224=0,0,IF(EE224&gt;AA224,0,IF(AND(AZ224&gt;AW224,AW224&gt;0),0,IF(CU224=0,0,Summary!AD527)))))</f>
        <v>0</v>
      </c>
      <c r="CE224" s="756">
        <f>IF(EF224=0,0,IF(EE224&gt;AA224,0,IF(CC224=0,0,IF(AND(AZ224&gt;AW224,AW224&gt;0),0,IF(CU224=0,0,Summary!AE527)))))</f>
        <v>0</v>
      </c>
      <c r="CF224" s="475">
        <f t="shared" si="278"/>
        <v>0</v>
      </c>
      <c r="CG224" s="476">
        <f t="shared" si="246"/>
        <v>0</v>
      </c>
      <c r="CH224" s="487">
        <f t="shared" si="279"/>
        <v>0</v>
      </c>
      <c r="CI224" s="756">
        <f t="shared" si="280"/>
        <v>0</v>
      </c>
      <c r="CJ224" s="487">
        <f>IF(CT224&gt;0.4,0,IF(AND(AU224=2,CH224=0,CT224=0.5,ER224=100),35,IF(AND(AU224=3,BB224&gt;75,CH224=0,CT224=0.5,ER224=100),25,IF(CB224&gt;1,0,IF(EF224&gt;EE224,0,IF(AND(AF224&gt;1,CH224=100),0,IF(AND(AF224=1,AY224=0),0,IF(AND(EF224&lt;=EE224,AW224&gt;=AZ224,'Data Entry'!$C$74=1,AU224=2),VLOOKUP(W224,$DO$96:$DP$102,2,FALSE),IF(AND(EF224&lt;=EE224,AW224&gt;=AZ224,AU224=3,'Data Entry'!$C$74=1),VLOOKUP(W224,$DO$127:$DP$134,2,FALSE))))))))))</f>
        <v>0</v>
      </c>
      <c r="CK224" s="716">
        <f t="shared" si="281"/>
        <v>0</v>
      </c>
      <c r="CL224" s="57">
        <f t="shared" si="282"/>
        <v>0</v>
      </c>
      <c r="CM224" s="475">
        <f t="shared" si="308"/>
        <v>0</v>
      </c>
      <c r="CN224" s="660">
        <f>IF(CM224&lt;0.1,0,IF(ISNA(AT224),0,IF(CL224+BC224=1,0,IF(BV224&gt;0.01,0,IF(CL224&gt;0.01,0,IF(CF224=1,0,IF(BC224=0.5,0,IF(AND(CI224=1,AU224=3),0,IF(AND(CI224=5,CL224=0),0,IF(AND(R224=12,BR224=50),0,IF(CK224&gt;0.01,0,IF(AND(AJ224&gt;0.01,AU224=2,BC224=15),CM224*0.1,IF(AND(AJ224&gt;0.01,AU224=3,BC224=15),CM224*0.08,IF(AND(R224=12,BC224=3,AF224&lt;=0),0,IF(AND(BC224=15,BI224=0),0,IF(AND(BC224=15,BJ224=0),0,IF(AND(R224=20,CU224=0),0,IF($X$4=0,0,IF(AND(BC224=250,CL224=0),0,IF(AA224&lt;1,0,IF(AND(ISNUMBER(SEARCH("Area",T224)),AU224=3),0,IF(AND(AQ224&gt;0.01,AR224=0,BK224=0,BL224=0,BM224=0,BN224=0),0,IF(AND(AU224=3,CI224=7,CT224&gt;0.5),0,IF(AND(BC224=44,AU224=3,BY224=0),0,IF(AND(BC224=27,'Data Entry'!$C$74=2),0,IF(AND(BC224=28,'Data Entry'!$C$74=2),0,IF(AND(BY224+BZ224+CA224&gt;0.01,BV224=0,EQ224+ER224+ES224+ET224&lt;100),0,IF(AU224=3,CM224*0.08,IF(AU224=2,CM224*0.1,0)))))))))))))))))))))))))))))</f>
        <v>0</v>
      </c>
      <c r="CO224" s="660">
        <f t="shared" si="283"/>
        <v>0</v>
      </c>
      <c r="CP224" s="475" t="str">
        <f t="shared" si="284"/>
        <v/>
      </c>
      <c r="CQ224" s="161" t="str">
        <f>IF(AH224=0,0,IF(AU224=5,0,Summary!AC227))</f>
        <v/>
      </c>
      <c r="CR224" s="161" t="str">
        <f>IF(BF224=0.5,0,IF(AU224=5,0,Summary!AD227))</f>
        <v/>
      </c>
      <c r="CS224" s="161" t="str">
        <f>IF(AU224=5,0,Summary!AE227)</f>
        <v/>
      </c>
      <c r="CT224" s="161">
        <f t="shared" si="285"/>
        <v>0</v>
      </c>
      <c r="CU224" s="475" t="str">
        <f t="shared" si="286"/>
        <v/>
      </c>
      <c r="CV224" s="307">
        <f>IF('Data Entry'!$C$74=0,0,IF(AA224&lt;1,0,IF(ISERROR(CU224),0,IF(CF224=1,0,IF(AND(R224=12,BR224=50),0,IF(CL224+BO224+BV224+DC224=0,0,IF(BC224=37,0,IF(AND(BC224=40,AJ224=0),0,IF(AND(BC224=37,BO224&gt;0.01,BQ224&gt;0.01),ROUND(BQ224,0),IF(CM224&lt;0,0,ROUND(CM224,0)))))))))))</f>
        <v>0</v>
      </c>
      <c r="CW224" s="700">
        <f t="shared" si="287"/>
        <v>0</v>
      </c>
      <c r="CX224" s="477">
        <f>IF('Data Entry'!$C$74=0,0,IF(CV224&lt;0.01,0,IF(BF224=0.5,0,IF(CF224=1,0,IF(ISNUMBER(SEARCH("false",CL224)),0,IF(AZ224=500,0,CL224))))))</f>
        <v>0</v>
      </c>
      <c r="CY224" s="147" t="e">
        <f t="shared" si="288"/>
        <v>#VALUE!</v>
      </c>
      <c r="CZ224" s="147" t="b">
        <f>IF(CN224+CL224=0,FALSE,IF(AH224=0,0,IF(AND('Data Entry'!$C$74=1,CR224&gt;=1),TRUE,IF(AND('Data Entry'!$C$74=2,CS224&gt;=1),TRUE,FALSE))))</f>
        <v>0</v>
      </c>
      <c r="DA224" s="1751">
        <f>IF('Data Entry'!$C$74=0,0,IFERROR(ROUND(IF(T224="","",IF($X$4=0,0,IF(CF224=1,0,IF(BQ224+CV224=0,0,IF(CF224=1,0,IF(CY224&gt;0.01,CY224,IF(CL224&gt;0.01,CL224,IF(CY224&gt;0.01,CY224,IF(BC224=37,BO224,IF(CZ224=FALSE,0,IF(CZ224=TRUE,DC224+DF224,0))))))))))),2),""))</f>
        <v>0</v>
      </c>
      <c r="DB224" s="1752"/>
      <c r="DC224" s="474">
        <f>IF(CN224&lt;0.01,0,IF(AND(BR224=3,CN224&gt;0.01,CT224&gt;0.6,ER224+ES224+ET224&lt;100),0,IF(AND('Data Entry'!$C$74=1,CN224&gt;0.01,CR224&gt;0.99),MIN(CN224:CO224),IF(AND('Data Entry'!$C$74=2,CN224&gt;0.01,CS224&gt;0.99),MIN(CN224:CO224),0))))</f>
        <v>0</v>
      </c>
      <c r="DD224" s="478">
        <f>IF(CF224=1,"Selection does not match",IF(T224=0,0,IF(AND('Data Entry'!$C$74=0,CP224&gt;1),"Select Oregon or Idaho on Data Entry Tab",IF(AND(AU224=1,AA224&gt;0.9),"Missing Interior or Exterior Selection",IF($X$4=0,"Enter Total Project Cost",IF(AQ224&lt;AR224,"Insufficient kWh savings – no incentive",IF(AND(SUM(CL224+CK224+BV224)&gt;0.01,'Data Entry'!$C$74=2,CJ224&gt;1,BO224=0),"Submit Control as Non-Standard",IF(AND('Data Entry'!$C$74=2,BR224=37,CJ224&gt;1,BO224=0),"Submit Control as Non-Standard",IF(SUM(CL224+CK224+BV224)&gt;0.01,"Standard Incentive",IF(AND('Data Entry'!$C$74=2,CP224=7,CN224=0),"Submit as Non-Standard",IF(DC224&gt;0.9,"Non-Standard Incentive",IF(AND(BY224+BZ224+CA224&gt;0.01,BV224=0,EQ224=0,ER224=0,ES224=0,ET224=0),"Scroll Right &amp; Select Control Strategies",IF(AND(CN224&gt;0.01,CO224=0),"Enter Unit Installed Cost",IF(ISNUMBER(SEARCH("Lighting Controls Only",F224)),"Lighting Controls Only",IF(CL224+DC224=0,"Does not meet incentive criteria",0)))))))))))))))</f>
        <v>0</v>
      </c>
      <c r="DE224" s="337">
        <f t="shared" si="289"/>
        <v>0</v>
      </c>
      <c r="DF224" s="609">
        <f t="shared" si="290"/>
        <v>0</v>
      </c>
      <c r="DG224" s="336" t="str">
        <f t="shared" si="291"/>
        <v/>
      </c>
      <c r="DH224" s="338">
        <f t="shared" si="292"/>
        <v>1</v>
      </c>
      <c r="DI224" s="336" t="e">
        <f t="shared" si="247"/>
        <v>#VALUE!</v>
      </c>
      <c r="DJ224" s="338">
        <f t="shared" si="248"/>
        <v>0</v>
      </c>
      <c r="DO224" s="331"/>
      <c r="DQ224" s="409" t="s">
        <v>73</v>
      </c>
      <c r="DR224" s="704">
        <v>0</v>
      </c>
      <c r="DS224" s="1195">
        <f t="shared" si="293"/>
        <v>0</v>
      </c>
      <c r="DT224" s="344" t="b">
        <f t="shared" si="294"/>
        <v>1</v>
      </c>
      <c r="DU224" s="1314" t="str">
        <f t="array" ref="DU224">IF(OR(COUNTIF(F224,"*"&amp;$DK$9:$DK$178&amp;"*")), "Yes", "")</f>
        <v/>
      </c>
      <c r="DV224" s="1314">
        <f t="shared" si="295"/>
        <v>0</v>
      </c>
      <c r="DW224" s="1480">
        <f t="shared" si="296"/>
        <v>0</v>
      </c>
      <c r="DX224" s="1498">
        <f t="shared" si="305"/>
        <v>0</v>
      </c>
      <c r="DY224" s="1484">
        <f t="shared" si="297"/>
        <v>0</v>
      </c>
      <c r="DZ224" s="331"/>
      <c r="EA224" s="392"/>
      <c r="EB224" s="1499" t="s">
        <v>149</v>
      </c>
      <c r="EC224" s="727" t="s">
        <v>1569</v>
      </c>
      <c r="ED224" s="728">
        <v>0.5</v>
      </c>
      <c r="EE224" s="1215"/>
      <c r="EF224" s="1215"/>
      <c r="EG224" s="1184" t="str">
        <f t="shared" si="298"/>
        <v/>
      </c>
      <c r="EH224" s="81"/>
      <c r="EI224" s="81"/>
      <c r="EJ224" s="1185">
        <f t="shared" si="249"/>
        <v>0</v>
      </c>
      <c r="EK224" s="1211"/>
      <c r="EL224" s="1180">
        <f t="shared" si="250"/>
        <v>0</v>
      </c>
      <c r="EM224" s="206"/>
      <c r="EN224" s="1038"/>
      <c r="EO224" s="1038"/>
      <c r="EP224" s="1038"/>
      <c r="EQ224" s="1038">
        <f t="shared" si="299"/>
        <v>0</v>
      </c>
      <c r="ER224" s="1041">
        <f t="shared" si="300"/>
        <v>0</v>
      </c>
      <c r="ES224" s="1042">
        <f t="shared" si="301"/>
        <v>0</v>
      </c>
      <c r="ET224" s="1042">
        <f t="shared" si="306"/>
        <v>0</v>
      </c>
      <c r="EU224" s="1021">
        <f t="shared" si="307"/>
        <v>0</v>
      </c>
      <c r="EV224" s="368"/>
      <c r="EW224" s="368"/>
      <c r="EX224" s="369"/>
      <c r="EY224" s="370"/>
      <c r="EZ224" s="370"/>
      <c r="FA224" s="371"/>
      <c r="FB224" s="372"/>
    </row>
    <row r="225" spans="1:158" ht="34.5" customHeight="1">
      <c r="A225" s="82">
        <v>217</v>
      </c>
      <c r="B225" s="1806"/>
      <c r="C225" s="1807"/>
      <c r="D225" s="1807"/>
      <c r="E225" s="1808"/>
      <c r="F225" s="1809"/>
      <c r="G225" s="1810"/>
      <c r="H225" s="1810"/>
      <c r="I225" s="1811"/>
      <c r="J225" s="1301"/>
      <c r="K225" s="1814"/>
      <c r="L225" s="1814"/>
      <c r="M225" s="1017"/>
      <c r="N225" s="1584"/>
      <c r="O225" s="208" t="str">
        <f t="shared" si="237"/>
        <v/>
      </c>
      <c r="P225" s="785"/>
      <c r="Q225" s="39" t="str">
        <f t="shared" si="238"/>
        <v/>
      </c>
      <c r="R225" s="39">
        <f t="shared" si="251"/>
        <v>0</v>
      </c>
      <c r="S225" s="234">
        <f t="shared" si="252"/>
        <v>0</v>
      </c>
      <c r="T225" s="1815"/>
      <c r="U225" s="1815"/>
      <c r="V225" s="1815"/>
      <c r="W225" s="1121"/>
      <c r="X225" s="1812"/>
      <c r="Y225" s="1813"/>
      <c r="Z225" s="703"/>
      <c r="AA225" s="1280"/>
      <c r="AB225" s="1141"/>
      <c r="AC225" s="1103" t="str">
        <f>IF(T225="","",VLOOKUP(Z225,Lists!$A$60:$B$111,2,FALSE))</f>
        <v/>
      </c>
      <c r="AD225" s="130" t="str">
        <f t="shared" si="253"/>
        <v/>
      </c>
      <c r="AE225" s="130" t="e">
        <f t="shared" si="254"/>
        <v>#VALUE!</v>
      </c>
      <c r="AF225" s="130">
        <f t="shared" si="255"/>
        <v>1</v>
      </c>
      <c r="AG225" s="234">
        <f t="shared" si="239"/>
        <v>0</v>
      </c>
      <c r="AH225" s="1753" t="str">
        <f>IF(T225="","",(IF(ISNUMBER(SEARCH("exit",T225)),8760,IF(AND(M225="Dusk to Dawn",'Proposed Lighting'!AU225=3),4059,IF(AND(AU225=3,M225="1"),0,IF(AND(AU225=3,M225="1-C"),0,IF(AND(AU225=3,M225="2"),0,IF(AND(AU225=3,M225="2-C"),0,IF(AND(AU225=3,M225="3"),0,IF(AND(AU225=3,M225="3-C"),0,IF(AND(AU225=2,M225="Dusk to Dawn"),0,IF(AND(AU225=2,M225="Dusk to Dawn-C"),0,IF(AND(AU225=2,M225="Dusk to Dawn"),0,IF(AND(AU225=2,M225="E"),0,IF(AND(AU225=2,M225="E-C"),0,EG225)))))))))))))))</f>
        <v/>
      </c>
      <c r="AI225" s="1754"/>
      <c r="AJ225" s="1136"/>
      <c r="AK225" s="1136"/>
      <c r="AL225" s="1748">
        <f t="shared" si="256"/>
        <v>0</v>
      </c>
      <c r="AM225" s="1749"/>
      <c r="AN225" s="1750"/>
      <c r="AO225" s="476">
        <f t="shared" si="240"/>
        <v>0</v>
      </c>
      <c r="AP225" s="476">
        <f t="shared" si="257"/>
        <v>0</v>
      </c>
      <c r="AQ225" s="475">
        <f t="shared" si="241"/>
        <v>0</v>
      </c>
      <c r="AR225" s="475">
        <f t="shared" si="258"/>
        <v>0</v>
      </c>
      <c r="AS225" s="743" t="str">
        <f t="shared" ref="AS225:AS288" si="310">IF(P225&gt;0.02,P225,O225)</f>
        <v/>
      </c>
      <c r="AT225" s="736" t="str">
        <f t="shared" si="259"/>
        <v/>
      </c>
      <c r="AU225" s="56">
        <f t="shared" si="260"/>
        <v>1</v>
      </c>
      <c r="AV225" s="476">
        <f t="shared" si="261"/>
        <v>0</v>
      </c>
      <c r="AW225" s="56">
        <f t="shared" si="262"/>
        <v>0</v>
      </c>
      <c r="AX225" s="475">
        <f t="shared" si="242"/>
        <v>0</v>
      </c>
      <c r="AY225" s="1169">
        <f t="shared" si="263"/>
        <v>0</v>
      </c>
      <c r="AZ225" s="1150">
        <f t="shared" si="302"/>
        <v>0</v>
      </c>
      <c r="BA225" s="56">
        <f t="shared" si="243"/>
        <v>0</v>
      </c>
      <c r="BB225" s="420">
        <f t="shared" si="244"/>
        <v>0</v>
      </c>
      <c r="BC225" s="58" t="str">
        <f t="shared" si="245"/>
        <v/>
      </c>
      <c r="BD225" s="660">
        <f t="shared" si="303"/>
        <v>0</v>
      </c>
      <c r="BE225" s="57" t="e">
        <f t="array" ref="BE225">INDEX($EB$11:$ED$1022,MATCH(F225&amp;T225,$EB$11:$EB$1007&amp;$EC$11:$EC$1007,0),3)</f>
        <v>#N/A</v>
      </c>
      <c r="BF225" s="463">
        <f t="shared" si="234"/>
        <v>0</v>
      </c>
      <c r="BG225" s="1445" t="e">
        <f t="array" ref="BG225">INDEX($DO$112:$DQ$123,MATCH(T225&amp;W225,$DO$114:$DO$125&amp;$DP$112:$DP$123,0),3)</f>
        <v>#N/A</v>
      </c>
      <c r="BH225" s="1446">
        <f t="shared" si="264"/>
        <v>0</v>
      </c>
      <c r="BI225" s="465">
        <f t="shared" si="265"/>
        <v>0</v>
      </c>
      <c r="BJ225" s="465">
        <f t="shared" si="266"/>
        <v>0</v>
      </c>
      <c r="BK225" s="466">
        <f t="shared" si="235"/>
        <v>0</v>
      </c>
      <c r="BL225" s="466">
        <f t="shared" si="236"/>
        <v>0</v>
      </c>
      <c r="BM225" s="466">
        <f t="shared" si="267"/>
        <v>0</v>
      </c>
      <c r="BN225" s="466">
        <f t="shared" si="268"/>
        <v>0</v>
      </c>
      <c r="BO225" s="463">
        <f>IF('Data Entry'!$C$74=0,0,IF(ISNA(CJ225),0,IF(AX225=0,0,IF(AND('Data Entry'!$C$74=2,AF225&gt;2,CE225&lt;1),0,IF(AND('Data Entry'!$C$74=2,AF225&gt;1,AU225=2,CJ225&gt;1),0,IF(AND(AF225=5,CT225=0.5,AU225=2,ER225&lt;100),0,IF(AND(AF225=5,CT225=0.5,AU225=3,ER225&lt;100),0,IF(AND('Data Entry'!$C$74=2,AF225=2,AU225=2,AK225&gt;0.01,CB225=2,CE225&lt;1),0,IF(AND('Data Entry'!$C$74=2,AF225=3,AU225=3,AK225&gt;0.01,CB225=3,CE225&lt;1),0,IF(AND('Data Entry'!$C$74=2,AF225=3,AU225=3,AK225&gt;0.01,CB225=3,CE225&gt;0.99),BQ225*0.08,IF(AND('Data Entry'!$C$74=2,AF225=2,AU225=2,AK225&gt;0.01,CB225=2,CE225&gt;0.99),BQ225*0.1,IF(AND(AU225=2,AK225&gt;0.01,CB225=2,CD225&gt;1),BQ225*0.1,IF(AND(AU225=3,AK225&gt;0.01,CB225=3,CD225&gt;1),BQ225*0.08,CJ225*EF225)))))))))))))</f>
        <v>0</v>
      </c>
      <c r="BP225" s="475">
        <f t="shared" si="269"/>
        <v>0</v>
      </c>
      <c r="BQ225" s="1431">
        <f>IF(AU225=1,0,IF(CH225=100,0,IF(AND(AF225=3,AU225=2),0,IF(AND(BH225=0,CT225&gt;0.4),0,IF(AND('Data Entry'!$C$74=2,AF225=1.5),0,IF(AND('Data Entry'!$C$74=2,AF225=1.6),0,IF(AND('Data Entry'!$C$74=2,AF225=4),0,IF(AND('Data Entry'!$C$74=2,AF225=5),0,IF(AND('Data Entry'!$C$74=2,AF225=2.5,CE225&lt;1),0,IF(AND('Data Entry'!$C$74=2,AF225=3,CE225&lt;1),0,IF(AND('Data Entry'!$C$74=1,AF225=2.5,CD225&lt;1),0,IF(AND('Data Entry'!$C$74=1,AF225=3,CD225&lt;1),0,IF(DX225&gt;0.01,DX225,IF(ISERROR(AX225-AY225),"",ROUND(AX225-AY225,2)))))))))))))))</f>
        <v>0</v>
      </c>
      <c r="BR225" s="146">
        <f t="shared" si="270"/>
        <v>0</v>
      </c>
      <c r="BS225" s="475">
        <f t="shared" si="271"/>
        <v>0</v>
      </c>
      <c r="BT225" s="146" t="b">
        <f t="shared" si="272"/>
        <v>0</v>
      </c>
      <c r="BU225" s="463">
        <f>IF(ISNA(AT225),0,IF(AND('Data Entry'!$C$74=2,BC225=27),0,IF(AND('Data Entry'!$C$74=2,BC225=28),0,IF(AND(BC225=27,BT225=27,CM225&gt;0.1),CM225*0.15,IF(AND(BC225=28,BT225=28,CM225&gt;0.1),CM225*0.12,0)))))</f>
        <v>0</v>
      </c>
      <c r="BV225" s="463">
        <f t="shared" si="309"/>
        <v>0</v>
      </c>
      <c r="BW225" s="463">
        <f t="shared" si="273"/>
        <v>0</v>
      </c>
      <c r="BX225" s="463">
        <f t="shared" si="274"/>
        <v>0</v>
      </c>
      <c r="BY225" s="463">
        <f t="shared" si="275"/>
        <v>0</v>
      </c>
      <c r="BZ225" s="463">
        <f t="shared" si="276"/>
        <v>0</v>
      </c>
      <c r="CA225" s="57">
        <f t="shared" si="304"/>
        <v>0</v>
      </c>
      <c r="CB225" s="56">
        <f t="shared" si="277"/>
        <v>1</v>
      </c>
      <c r="CC225" s="756">
        <f>IF(EE225=0,0,IF(EF225=0,0,IF(EE225&gt;AA225,0,IF(AND(AZ225&gt;AW225,AW225&gt;0),0,IF(CU225=0,0,Summary!AC528)))))</f>
        <v>0</v>
      </c>
      <c r="CD225" s="756">
        <f>IF(EE225=0,0,IF(EF225=0,0,IF(EE225&gt;AA225,0,IF(AND(AZ225&gt;AW225,AW225&gt;0),0,IF(CU225=0,0,Summary!AD528)))))</f>
        <v>0</v>
      </c>
      <c r="CE225" s="756">
        <f>IF(EF225=0,0,IF(EE225&gt;AA225,0,IF(CC225=0,0,IF(AND(AZ225&gt;AW225,AW225&gt;0),0,IF(CU225=0,0,Summary!AE528)))))</f>
        <v>0</v>
      </c>
      <c r="CF225" s="475">
        <f t="shared" si="278"/>
        <v>0</v>
      </c>
      <c r="CG225" s="476">
        <f t="shared" si="246"/>
        <v>0</v>
      </c>
      <c r="CH225" s="487">
        <f t="shared" si="279"/>
        <v>0</v>
      </c>
      <c r="CI225" s="756">
        <f t="shared" si="280"/>
        <v>0</v>
      </c>
      <c r="CJ225" s="487">
        <f>IF(CT225&gt;0.4,0,IF(AND(AU225=2,CH225=0,CT225=0.5,ER225=100),35,IF(AND(AU225=3,BB225&gt;75,CH225=0,CT225=0.5,ER225=100),25,IF(CB225&gt;1,0,IF(EF225&gt;EE225,0,IF(AND(AF225&gt;1,CH225=100),0,IF(AND(AF225=1,AY225=0),0,IF(AND(EF225&lt;=EE225,AW225&gt;=AZ225,'Data Entry'!$C$74=1,AU225=2),VLOOKUP(W225,$DO$96:$DP$102,2,FALSE),IF(AND(EF225&lt;=EE225,AW225&gt;=AZ225,AU225=3,'Data Entry'!$C$74=1),VLOOKUP(W225,$DO$127:$DP$134,2,FALSE))))))))))</f>
        <v>0</v>
      </c>
      <c r="CK225" s="716">
        <f t="shared" si="281"/>
        <v>0</v>
      </c>
      <c r="CL225" s="57">
        <f t="shared" si="282"/>
        <v>0</v>
      </c>
      <c r="CM225" s="475">
        <f t="shared" si="308"/>
        <v>0</v>
      </c>
      <c r="CN225" s="660">
        <f>IF(CM225&lt;0.1,0,IF(ISNA(AT225),0,IF(CL225+BC225=1,0,IF(BV225&gt;0.01,0,IF(CL225&gt;0.01,0,IF(CF225=1,0,IF(BC225=0.5,0,IF(AND(CI225=1,AU225=3),0,IF(AND(CI225=5,CL225=0),0,IF(AND(R225=12,BR225=50),0,IF(CK225&gt;0.01,0,IF(AND(AJ225&gt;0.01,AU225=2,BC225=15),CM225*0.1,IF(AND(AJ225&gt;0.01,AU225=3,BC225=15),CM225*0.08,IF(AND(R225=12,BC225=3,AF225&lt;=0),0,IF(AND(BC225=15,BI225=0),0,IF(AND(BC225=15,BJ225=0),0,IF(AND(R225=20,CU225=0),0,IF($X$4=0,0,IF(AND(BC225=250,CL225=0),0,IF(AA225&lt;1,0,IF(AND(ISNUMBER(SEARCH("Area",T225)),AU225=3),0,IF(AND(AQ225&gt;0.01,AR225=0,BK225=0,BL225=0,BM225=0,BN225=0),0,IF(AND(AU225=3,CI225=7,CT225&gt;0.5),0,IF(AND(BC225=44,AU225=3,BY225=0),0,IF(AND(BC225=27,'Data Entry'!$C$74=2),0,IF(AND(BC225=28,'Data Entry'!$C$74=2),0,IF(AND(BY225+BZ225+CA225&gt;0.01,BV225=0,EQ225+ER225+ES225+ET225&lt;100),0,IF(AU225=3,CM225*0.08,IF(AU225=2,CM225*0.1,0)))))))))))))))))))))))))))))</f>
        <v>0</v>
      </c>
      <c r="CO225" s="660">
        <f t="shared" si="283"/>
        <v>0</v>
      </c>
      <c r="CP225" s="475" t="str">
        <f t="shared" si="284"/>
        <v/>
      </c>
      <c r="CQ225" s="161" t="str">
        <f>IF(AH225=0,0,IF(AU225=5,0,Summary!AC228))</f>
        <v/>
      </c>
      <c r="CR225" s="161" t="str">
        <f>IF(BF225=0.5,0,IF(AU225=5,0,Summary!AD228))</f>
        <v/>
      </c>
      <c r="CS225" s="161" t="str">
        <f>IF(AU225=5,0,Summary!AE228)</f>
        <v/>
      </c>
      <c r="CT225" s="161">
        <f t="shared" si="285"/>
        <v>0</v>
      </c>
      <c r="CU225" s="475" t="str">
        <f t="shared" si="286"/>
        <v/>
      </c>
      <c r="CV225" s="307">
        <f>IF('Data Entry'!$C$74=0,0,IF(AA225&lt;1,0,IF(ISERROR(CU225),0,IF(CF225=1,0,IF(AND(R225=12,BR225=50),0,IF(CL225+BO225+BV225+DC225=0,0,IF(BC225=37,0,IF(AND(BC225=40,AJ225=0),0,IF(AND(BC225=37,BO225&gt;0.01,BQ225&gt;0.01),ROUND(BQ225,0),IF(CM225&lt;0,0,ROUND(CM225,0)))))))))))</f>
        <v>0</v>
      </c>
      <c r="CW225" s="700">
        <f t="shared" si="287"/>
        <v>0</v>
      </c>
      <c r="CX225" s="477">
        <f>IF('Data Entry'!$C$74=0,0,IF(CV225&lt;0.01,0,IF(BF225=0.5,0,IF(CF225=1,0,IF(ISNUMBER(SEARCH("false",CL225)),0,IF(AZ225=500,0,CL225))))))</f>
        <v>0</v>
      </c>
      <c r="CY225" s="147" t="e">
        <f t="shared" si="288"/>
        <v>#VALUE!</v>
      </c>
      <c r="CZ225" s="147" t="b">
        <f>IF(CN225+CL225=0,FALSE,IF(AH225=0,0,IF(AND('Data Entry'!$C$74=1,CR225&gt;=1),TRUE,IF(AND('Data Entry'!$C$74=2,CS225&gt;=1),TRUE,FALSE))))</f>
        <v>0</v>
      </c>
      <c r="DA225" s="1751">
        <f>IF('Data Entry'!$C$74=0,0,IFERROR(ROUND(IF(T225="","",IF($X$4=0,0,IF(CF225=1,0,IF(BQ225+CV225=0,0,IF(CF225=1,0,IF(CY225&gt;0.01,CY225,IF(CL225&gt;0.01,CL225,IF(CY225&gt;0.01,CY225,IF(BC225=37,BO225,IF(CZ225=FALSE,0,IF(CZ225=TRUE,DC225+DF225,0))))))))))),2),""))</f>
        <v>0</v>
      </c>
      <c r="DB225" s="1752"/>
      <c r="DC225" s="474">
        <f>IF(CN225&lt;0.01,0,IF(AND(BR225=3,CN225&gt;0.01,CT225&gt;0.6,ER225+ES225+ET225&lt;100),0,IF(AND('Data Entry'!$C$74=1,CN225&gt;0.01,CR225&gt;0.99),MIN(CN225:CO225),IF(AND('Data Entry'!$C$74=2,CN225&gt;0.01,CS225&gt;0.99),MIN(CN225:CO225),0))))</f>
        <v>0</v>
      </c>
      <c r="DD225" s="478">
        <f>IF(CF225=1,"Selection does not match",IF(T225=0,0,IF(AND('Data Entry'!$C$74=0,CP225&gt;1),"Select Oregon or Idaho on Data Entry Tab",IF(AND(AU225=1,AA225&gt;0.9),"Missing Interior or Exterior Selection",IF($X$4=0,"Enter Total Project Cost",IF(AQ225&lt;AR225,"Insufficient kWh savings – no incentive",IF(AND(SUM(CL225+CK225+BV225)&gt;0.01,'Data Entry'!$C$74=2,CJ225&gt;1,BO225=0),"Submit Control as Non-Standard",IF(AND('Data Entry'!$C$74=2,BR225=37,CJ225&gt;1,BO225=0),"Submit Control as Non-Standard",IF(SUM(CL225+CK225+BV225)&gt;0.01,"Standard Incentive",IF(AND('Data Entry'!$C$74=2,CP225=7,CN225=0),"Submit as Non-Standard",IF(DC225&gt;0.9,"Non-Standard Incentive",IF(AND(BY225+BZ225+CA225&gt;0.01,BV225=0,EQ225=0,ER225=0,ES225=0,ET225=0),"Scroll Right &amp; Select Control Strategies",IF(AND(CN225&gt;0.01,CO225=0),"Enter Unit Installed Cost",IF(ISNUMBER(SEARCH("Lighting Controls Only",F225)),"Lighting Controls Only",IF(CL225+DC225=0,"Does not meet incentive criteria",0)))))))))))))))</f>
        <v>0</v>
      </c>
      <c r="DE225" s="337">
        <f t="shared" si="289"/>
        <v>0</v>
      </c>
      <c r="DF225" s="609">
        <f t="shared" si="290"/>
        <v>0</v>
      </c>
      <c r="DG225" s="336" t="str">
        <f t="shared" si="291"/>
        <v/>
      </c>
      <c r="DH225" s="338">
        <f t="shared" si="292"/>
        <v>1</v>
      </c>
      <c r="DI225" s="336" t="e">
        <f t="shared" si="247"/>
        <v>#VALUE!</v>
      </c>
      <c r="DJ225" s="338">
        <f t="shared" si="248"/>
        <v>0</v>
      </c>
      <c r="DO225" s="331"/>
      <c r="DQ225" s="376" t="s">
        <v>1285</v>
      </c>
      <c r="DR225" s="704">
        <v>100</v>
      </c>
      <c r="DS225" s="1195">
        <f t="shared" si="293"/>
        <v>0</v>
      </c>
      <c r="DT225" s="344" t="b">
        <f t="shared" si="294"/>
        <v>1</v>
      </c>
      <c r="DU225" s="1314" t="str">
        <f t="array" ref="DU225">IF(OR(COUNTIF(F225,"*"&amp;$DK$9:$DK$178&amp;"*")), "Yes", "")</f>
        <v/>
      </c>
      <c r="DV225" s="1314">
        <f t="shared" si="295"/>
        <v>0</v>
      </c>
      <c r="DW225" s="1480">
        <f t="shared" si="296"/>
        <v>0</v>
      </c>
      <c r="DX225" s="1498">
        <f t="shared" si="305"/>
        <v>0</v>
      </c>
      <c r="DY225" s="1484">
        <f t="shared" si="297"/>
        <v>0</v>
      </c>
      <c r="DZ225" s="331"/>
      <c r="EA225" s="392"/>
      <c r="EB225" s="1499" t="s">
        <v>73</v>
      </c>
      <c r="EC225" s="727" t="s">
        <v>1569</v>
      </c>
      <c r="ED225" s="728">
        <v>0.5</v>
      </c>
      <c r="EE225" s="1215"/>
      <c r="EF225" s="1215"/>
      <c r="EG225" s="1184" t="str">
        <f t="shared" si="298"/>
        <v/>
      </c>
      <c r="EH225" s="81"/>
      <c r="EI225" s="81"/>
      <c r="EJ225" s="1185">
        <f t="shared" si="249"/>
        <v>0</v>
      </c>
      <c r="EK225" s="1211"/>
      <c r="EL225" s="1180">
        <f t="shared" si="250"/>
        <v>0</v>
      </c>
      <c r="EM225" s="206"/>
      <c r="EN225" s="1038"/>
      <c r="EO225" s="1038"/>
      <c r="EP225" s="1038"/>
      <c r="EQ225" s="1038">
        <f t="shared" si="299"/>
        <v>0</v>
      </c>
      <c r="ER225" s="1041">
        <f t="shared" si="300"/>
        <v>0</v>
      </c>
      <c r="ES225" s="1042">
        <f t="shared" si="301"/>
        <v>0</v>
      </c>
      <c r="ET225" s="1042">
        <f t="shared" si="306"/>
        <v>0</v>
      </c>
      <c r="EU225" s="1021">
        <f t="shared" si="307"/>
        <v>0</v>
      </c>
      <c r="EV225" s="368"/>
      <c r="EW225" s="368"/>
      <c r="EX225" s="369"/>
      <c r="EY225" s="370"/>
      <c r="EZ225" s="370"/>
      <c r="FA225" s="371"/>
      <c r="FB225" s="372"/>
    </row>
    <row r="226" spans="1:158" ht="34.5" customHeight="1">
      <c r="A226" s="82">
        <v>218</v>
      </c>
      <c r="B226" s="1806"/>
      <c r="C226" s="1807"/>
      <c r="D226" s="1807"/>
      <c r="E226" s="1808"/>
      <c r="F226" s="1809"/>
      <c r="G226" s="1810"/>
      <c r="H226" s="1810"/>
      <c r="I226" s="1811"/>
      <c r="J226" s="1301"/>
      <c r="K226" s="1814"/>
      <c r="L226" s="1814"/>
      <c r="M226" s="1017"/>
      <c r="N226" s="1584"/>
      <c r="O226" s="208" t="str">
        <f t="shared" si="237"/>
        <v/>
      </c>
      <c r="P226" s="785"/>
      <c r="Q226" s="39" t="str">
        <f t="shared" si="238"/>
        <v/>
      </c>
      <c r="R226" s="39">
        <f t="shared" si="251"/>
        <v>0</v>
      </c>
      <c r="S226" s="234">
        <f t="shared" si="252"/>
        <v>0</v>
      </c>
      <c r="T226" s="1815"/>
      <c r="U226" s="1815"/>
      <c r="V226" s="1815"/>
      <c r="W226" s="1121"/>
      <c r="X226" s="1812"/>
      <c r="Y226" s="1813"/>
      <c r="Z226" s="703"/>
      <c r="AA226" s="1280"/>
      <c r="AB226" s="1141"/>
      <c r="AC226" s="1103" t="str">
        <f>IF(T226="","",VLOOKUP(Z226,Lists!$A$60:$B$111,2,FALSE))</f>
        <v/>
      </c>
      <c r="AD226" s="130" t="str">
        <f t="shared" si="253"/>
        <v/>
      </c>
      <c r="AE226" s="130" t="e">
        <f t="shared" si="254"/>
        <v>#VALUE!</v>
      </c>
      <c r="AF226" s="130">
        <f t="shared" si="255"/>
        <v>1</v>
      </c>
      <c r="AG226" s="234">
        <f t="shared" si="239"/>
        <v>0</v>
      </c>
      <c r="AH226" s="1753" t="str">
        <f>IF(T226="","",(IF(ISNUMBER(SEARCH("exit",T226)),8760,IF(AND(M226="Dusk to Dawn",'Proposed Lighting'!AU226=3),4059,IF(AND(AU226=3,M226="1"),0,IF(AND(AU226=3,M226="1-C"),0,IF(AND(AU226=3,M226="2"),0,IF(AND(AU226=3,M226="2-C"),0,IF(AND(AU226=3,M226="3"),0,IF(AND(AU226=3,M226="3-C"),0,IF(AND(AU226=2,M226="Dusk to Dawn"),0,IF(AND(AU226=2,M226="Dusk to Dawn-C"),0,IF(AND(AU226=2,M226="Dusk to Dawn"),0,IF(AND(AU226=2,M226="E"),0,IF(AND(AU226=2,M226="E-C"),0,EG226)))))))))))))))</f>
        <v/>
      </c>
      <c r="AI226" s="1754"/>
      <c r="AJ226" s="1136"/>
      <c r="AK226" s="1136"/>
      <c r="AL226" s="1748">
        <f t="shared" si="256"/>
        <v>0</v>
      </c>
      <c r="AM226" s="1749"/>
      <c r="AN226" s="1750"/>
      <c r="AO226" s="476">
        <f t="shared" si="240"/>
        <v>0</v>
      </c>
      <c r="AP226" s="476">
        <f t="shared" si="257"/>
        <v>0</v>
      </c>
      <c r="AQ226" s="475">
        <f t="shared" si="241"/>
        <v>0</v>
      </c>
      <c r="AR226" s="475">
        <f t="shared" si="258"/>
        <v>0</v>
      </c>
      <c r="AS226" s="743" t="str">
        <f t="shared" si="310"/>
        <v/>
      </c>
      <c r="AT226" s="736" t="str">
        <f t="shared" si="259"/>
        <v/>
      </c>
      <c r="AU226" s="56">
        <f t="shared" si="260"/>
        <v>1</v>
      </c>
      <c r="AV226" s="476">
        <f t="shared" si="261"/>
        <v>0</v>
      </c>
      <c r="AW226" s="56">
        <f t="shared" si="262"/>
        <v>0</v>
      </c>
      <c r="AX226" s="475">
        <f t="shared" si="242"/>
        <v>0</v>
      </c>
      <c r="AY226" s="1169">
        <f t="shared" si="263"/>
        <v>0</v>
      </c>
      <c r="AZ226" s="1150">
        <f t="shared" si="302"/>
        <v>0</v>
      </c>
      <c r="BA226" s="56">
        <f t="shared" si="243"/>
        <v>0</v>
      </c>
      <c r="BB226" s="420">
        <f t="shared" si="244"/>
        <v>0</v>
      </c>
      <c r="BC226" s="58" t="str">
        <f t="shared" si="245"/>
        <v/>
      </c>
      <c r="BD226" s="660">
        <f t="shared" si="303"/>
        <v>0</v>
      </c>
      <c r="BE226" s="57" t="e">
        <f t="array" ref="BE226">INDEX($EB$11:$ED$1022,MATCH(F226&amp;T226,$EB$11:$EB$1007&amp;$EC$11:$EC$1007,0),3)</f>
        <v>#N/A</v>
      </c>
      <c r="BF226" s="463">
        <f t="shared" si="234"/>
        <v>0</v>
      </c>
      <c r="BG226" s="1445" t="e">
        <f t="array" ref="BG226">INDEX($DO$112:$DQ$123,MATCH(T226&amp;W226,$DO$114:$DO$125&amp;$DP$112:$DP$123,0),3)</f>
        <v>#N/A</v>
      </c>
      <c r="BH226" s="1446">
        <f t="shared" si="264"/>
        <v>0</v>
      </c>
      <c r="BI226" s="465">
        <f t="shared" si="265"/>
        <v>0</v>
      </c>
      <c r="BJ226" s="465">
        <f t="shared" si="266"/>
        <v>0</v>
      </c>
      <c r="BK226" s="466">
        <f t="shared" si="235"/>
        <v>0</v>
      </c>
      <c r="BL226" s="466">
        <f t="shared" si="236"/>
        <v>0</v>
      </c>
      <c r="BM226" s="466">
        <f t="shared" si="267"/>
        <v>0</v>
      </c>
      <c r="BN226" s="466">
        <f t="shared" si="268"/>
        <v>0</v>
      </c>
      <c r="BO226" s="463">
        <f>IF('Data Entry'!$C$74=0,0,IF(ISNA(CJ226),0,IF(AX226=0,0,IF(AND('Data Entry'!$C$74=2,AF226&gt;2,CE226&lt;1),0,IF(AND('Data Entry'!$C$74=2,AF226&gt;1,AU226=2,CJ226&gt;1),0,IF(AND(AF226=5,CT226=0.5,AU226=2,ER226&lt;100),0,IF(AND(AF226=5,CT226=0.5,AU226=3,ER226&lt;100),0,IF(AND('Data Entry'!$C$74=2,AF226=2,AU226=2,AK226&gt;0.01,CB226=2,CE226&lt;1),0,IF(AND('Data Entry'!$C$74=2,AF226=3,AU226=3,AK226&gt;0.01,CB226=3,CE226&lt;1),0,IF(AND('Data Entry'!$C$74=2,AF226=3,AU226=3,AK226&gt;0.01,CB226=3,CE226&gt;0.99),BQ226*0.08,IF(AND('Data Entry'!$C$74=2,AF226=2,AU226=2,AK226&gt;0.01,CB226=2,CE226&gt;0.99),BQ226*0.1,IF(AND(AU226=2,AK226&gt;0.01,CB226=2,CD226&gt;1),BQ226*0.1,IF(AND(AU226=3,AK226&gt;0.01,CB226=3,CD226&gt;1),BQ226*0.08,CJ226*EF226)))))))))))))</f>
        <v>0</v>
      </c>
      <c r="BP226" s="475">
        <f t="shared" si="269"/>
        <v>0</v>
      </c>
      <c r="BQ226" s="1431">
        <f>IF(AU226=1,0,IF(CH226=100,0,IF(AND(AF226=3,AU226=2),0,IF(AND(BH226=0,CT226&gt;0.4),0,IF(AND('Data Entry'!$C$74=2,AF226=1.5),0,IF(AND('Data Entry'!$C$74=2,AF226=1.6),0,IF(AND('Data Entry'!$C$74=2,AF226=4),0,IF(AND('Data Entry'!$C$74=2,AF226=5),0,IF(AND('Data Entry'!$C$74=2,AF226=2.5,CE226&lt;1),0,IF(AND('Data Entry'!$C$74=2,AF226=3,CE226&lt;1),0,IF(AND('Data Entry'!$C$74=1,AF226=2.5,CD226&lt;1),0,IF(AND('Data Entry'!$C$74=1,AF226=3,CD226&lt;1),0,IF(DX226&gt;0.01,DX226,IF(ISERROR(AX226-AY226),"",ROUND(AX226-AY226,2)))))))))))))))</f>
        <v>0</v>
      </c>
      <c r="BR226" s="146">
        <f t="shared" si="270"/>
        <v>0</v>
      </c>
      <c r="BS226" s="475">
        <f t="shared" si="271"/>
        <v>0</v>
      </c>
      <c r="BT226" s="146" t="b">
        <f t="shared" si="272"/>
        <v>0</v>
      </c>
      <c r="BU226" s="463">
        <f>IF(ISNA(AT226),0,IF(AND('Data Entry'!$C$74=2,BC226=27),0,IF(AND('Data Entry'!$C$74=2,BC226=28),0,IF(AND(BC226=27,BT226=27,CM226&gt;0.1),CM226*0.15,IF(AND(BC226=28,BT226=28,CM226&gt;0.1),CM226*0.12,0)))))</f>
        <v>0</v>
      </c>
      <c r="BV226" s="463">
        <f t="shared" si="309"/>
        <v>0</v>
      </c>
      <c r="BW226" s="463">
        <f t="shared" si="273"/>
        <v>0</v>
      </c>
      <c r="BX226" s="463">
        <f t="shared" si="274"/>
        <v>0</v>
      </c>
      <c r="BY226" s="463">
        <f t="shared" si="275"/>
        <v>0</v>
      </c>
      <c r="BZ226" s="463">
        <f t="shared" si="276"/>
        <v>0</v>
      </c>
      <c r="CA226" s="57">
        <f t="shared" si="304"/>
        <v>0</v>
      </c>
      <c r="CB226" s="56">
        <f t="shared" si="277"/>
        <v>1</v>
      </c>
      <c r="CC226" s="756">
        <f>IF(EE226=0,0,IF(EF226=0,0,IF(EE226&gt;AA226,0,IF(AND(AZ226&gt;AW226,AW226&gt;0),0,IF(CU226=0,0,Summary!AC529)))))</f>
        <v>0</v>
      </c>
      <c r="CD226" s="756">
        <f>IF(EE226=0,0,IF(EF226=0,0,IF(EE226&gt;AA226,0,IF(AND(AZ226&gt;AW226,AW226&gt;0),0,IF(CU226=0,0,Summary!AD529)))))</f>
        <v>0</v>
      </c>
      <c r="CE226" s="756">
        <f>IF(EF226=0,0,IF(EE226&gt;AA226,0,IF(CC226=0,0,IF(AND(AZ226&gt;AW226,AW226&gt;0),0,IF(CU226=0,0,Summary!AE529)))))</f>
        <v>0</v>
      </c>
      <c r="CF226" s="475">
        <f t="shared" si="278"/>
        <v>0</v>
      </c>
      <c r="CG226" s="476">
        <f t="shared" si="246"/>
        <v>0</v>
      </c>
      <c r="CH226" s="487">
        <f t="shared" si="279"/>
        <v>0</v>
      </c>
      <c r="CI226" s="756">
        <f t="shared" si="280"/>
        <v>0</v>
      </c>
      <c r="CJ226" s="487">
        <f>IF(CT226&gt;0.4,0,IF(AND(AU226=2,CH226=0,CT226=0.5,ER226=100),35,IF(AND(AU226=3,BB226&gt;75,CH226=0,CT226=0.5,ER226=100),25,IF(CB226&gt;1,0,IF(EF226&gt;EE226,0,IF(AND(AF226&gt;1,CH226=100),0,IF(AND(AF226=1,AY226=0),0,IF(AND(EF226&lt;=EE226,AW226&gt;=AZ226,'Data Entry'!$C$74=1,AU226=2),VLOOKUP(W226,$DO$96:$DP$102,2,FALSE),IF(AND(EF226&lt;=EE226,AW226&gt;=AZ226,AU226=3,'Data Entry'!$C$74=1),VLOOKUP(W226,$DO$127:$DP$134,2,FALSE))))))))))</f>
        <v>0</v>
      </c>
      <c r="CK226" s="716">
        <f t="shared" si="281"/>
        <v>0</v>
      </c>
      <c r="CL226" s="57">
        <f t="shared" si="282"/>
        <v>0</v>
      </c>
      <c r="CM226" s="475">
        <f t="shared" si="308"/>
        <v>0</v>
      </c>
      <c r="CN226" s="660">
        <f>IF(CM226&lt;0.1,0,IF(ISNA(AT226),0,IF(CL226+BC226=1,0,IF(BV226&gt;0.01,0,IF(CL226&gt;0.01,0,IF(CF226=1,0,IF(BC226=0.5,0,IF(AND(CI226=1,AU226=3),0,IF(AND(CI226=5,CL226=0),0,IF(AND(R226=12,BR226=50),0,IF(CK226&gt;0.01,0,IF(AND(AJ226&gt;0.01,AU226=2,BC226=15),CM226*0.1,IF(AND(AJ226&gt;0.01,AU226=3,BC226=15),CM226*0.08,IF(AND(R226=12,BC226=3,AF226&lt;=0),0,IF(AND(BC226=15,BI226=0),0,IF(AND(BC226=15,BJ226=0),0,IF(AND(R226=20,CU226=0),0,IF($X$4=0,0,IF(AND(BC226=250,CL226=0),0,IF(AA226&lt;1,0,IF(AND(ISNUMBER(SEARCH("Area",T226)),AU226=3),0,IF(AND(AQ226&gt;0.01,AR226=0,BK226=0,BL226=0,BM226=0,BN226=0),0,IF(AND(AU226=3,CI226=7,CT226&gt;0.5),0,IF(AND(BC226=44,AU226=3,BY226=0),0,IF(AND(BC226=27,'Data Entry'!$C$74=2),0,IF(AND(BC226=28,'Data Entry'!$C$74=2),0,IF(AND(BY226+BZ226+CA226&gt;0.01,BV226=0,EQ226+ER226+ES226+ET226&lt;100),0,IF(AU226=3,CM226*0.08,IF(AU226=2,CM226*0.1,0)))))))))))))))))))))))))))))</f>
        <v>0</v>
      </c>
      <c r="CO226" s="660">
        <f t="shared" si="283"/>
        <v>0</v>
      </c>
      <c r="CP226" s="475" t="str">
        <f t="shared" si="284"/>
        <v/>
      </c>
      <c r="CQ226" s="161" t="str">
        <f>IF(AH226=0,0,IF(AU226=5,0,Summary!AC229))</f>
        <v/>
      </c>
      <c r="CR226" s="161" t="str">
        <f>IF(BF226=0.5,0,IF(AU226=5,0,Summary!AD229))</f>
        <v/>
      </c>
      <c r="CS226" s="161" t="str">
        <f>IF(AU226=5,0,Summary!AE229)</f>
        <v/>
      </c>
      <c r="CT226" s="161">
        <f t="shared" si="285"/>
        <v>0</v>
      </c>
      <c r="CU226" s="475" t="str">
        <f t="shared" si="286"/>
        <v/>
      </c>
      <c r="CV226" s="307">
        <f>IF('Data Entry'!$C$74=0,0,IF(AA226&lt;1,0,IF(ISERROR(CU226),0,IF(CF226=1,0,IF(AND(R226=12,BR226=50),0,IF(CL226+BO226+BV226+DC226=0,0,IF(BC226=37,0,IF(AND(BC226=40,AJ226=0),0,IF(AND(BC226=37,BO226&gt;0.01,BQ226&gt;0.01),ROUND(BQ226,0),IF(CM226&lt;0,0,ROUND(CM226,0)))))))))))</f>
        <v>0</v>
      </c>
      <c r="CW226" s="700">
        <f t="shared" si="287"/>
        <v>0</v>
      </c>
      <c r="CX226" s="477">
        <f>IF('Data Entry'!$C$74=0,0,IF(CV226&lt;0.01,0,IF(BF226=0.5,0,IF(CF226=1,0,IF(ISNUMBER(SEARCH("false",CL226)),0,IF(AZ226=500,0,CL226))))))</f>
        <v>0</v>
      </c>
      <c r="CY226" s="147" t="e">
        <f t="shared" si="288"/>
        <v>#VALUE!</v>
      </c>
      <c r="CZ226" s="147" t="b">
        <f>IF(CN226+CL226=0,FALSE,IF(AH226=0,0,IF(AND('Data Entry'!$C$74=1,CR226&gt;=1),TRUE,IF(AND('Data Entry'!$C$74=2,CS226&gt;=1),TRUE,FALSE))))</f>
        <v>0</v>
      </c>
      <c r="DA226" s="1751">
        <f>IF('Data Entry'!$C$74=0,0,IFERROR(ROUND(IF(T226="","",IF($X$4=0,0,IF(CF226=1,0,IF(BQ226+CV226=0,0,IF(CF226=1,0,IF(CY226&gt;0.01,CY226,IF(CL226&gt;0.01,CL226,IF(CY226&gt;0.01,CY226,IF(BC226=37,BO226,IF(CZ226=FALSE,0,IF(CZ226=TRUE,DC226+DF226,0))))))))))),2),""))</f>
        <v>0</v>
      </c>
      <c r="DB226" s="1752"/>
      <c r="DC226" s="474">
        <f>IF(CN226&lt;0.01,0,IF(AND(BR226=3,CN226&gt;0.01,CT226&gt;0.6,ER226+ES226+ET226&lt;100),0,IF(AND('Data Entry'!$C$74=1,CN226&gt;0.01,CR226&gt;0.99),MIN(CN226:CO226),IF(AND('Data Entry'!$C$74=2,CN226&gt;0.01,CS226&gt;0.99),MIN(CN226:CO226),0))))</f>
        <v>0</v>
      </c>
      <c r="DD226" s="478">
        <f>IF(CF226=1,"Selection does not match",IF(T226=0,0,IF(AND('Data Entry'!$C$74=0,CP226&gt;1),"Select Oregon or Idaho on Data Entry Tab",IF(AND(AU226=1,AA226&gt;0.9),"Missing Interior or Exterior Selection",IF($X$4=0,"Enter Total Project Cost",IF(AQ226&lt;AR226,"Insufficient kWh savings – no incentive",IF(AND(SUM(CL226+CK226+BV226)&gt;0.01,'Data Entry'!$C$74=2,CJ226&gt;1,BO226=0),"Submit Control as Non-Standard",IF(AND('Data Entry'!$C$74=2,BR226=37,CJ226&gt;1,BO226=0),"Submit Control as Non-Standard",IF(SUM(CL226+CK226+BV226)&gt;0.01,"Standard Incentive",IF(AND('Data Entry'!$C$74=2,CP226=7,CN226=0),"Submit as Non-Standard",IF(DC226&gt;0.9,"Non-Standard Incentive",IF(AND(BY226+BZ226+CA226&gt;0.01,BV226=0,EQ226=0,ER226=0,ES226=0,ET226=0),"Scroll Right &amp; Select Control Strategies",IF(AND(CN226&gt;0.01,CO226=0),"Enter Unit Installed Cost",IF(ISNUMBER(SEARCH("Lighting Controls Only",F226)),"Lighting Controls Only",IF(CL226+DC226=0,"Does not meet incentive criteria",0)))))))))))))))</f>
        <v>0</v>
      </c>
      <c r="DE226" s="337">
        <f t="shared" si="289"/>
        <v>0</v>
      </c>
      <c r="DF226" s="609">
        <f t="shared" si="290"/>
        <v>0</v>
      </c>
      <c r="DG226" s="336" t="str">
        <f t="shared" si="291"/>
        <v/>
      </c>
      <c r="DH226" s="338">
        <f t="shared" si="292"/>
        <v>1</v>
      </c>
      <c r="DI226" s="336" t="e">
        <f t="shared" si="247"/>
        <v>#VALUE!</v>
      </c>
      <c r="DJ226" s="338">
        <f t="shared" si="248"/>
        <v>0</v>
      </c>
      <c r="DO226" s="361"/>
      <c r="DQ226" s="376" t="s">
        <v>73</v>
      </c>
      <c r="DR226" s="704">
        <v>0</v>
      </c>
      <c r="DS226" s="1195">
        <f t="shared" si="293"/>
        <v>0</v>
      </c>
      <c r="DT226" s="344" t="b">
        <f t="shared" si="294"/>
        <v>1</v>
      </c>
      <c r="DU226" s="1314" t="str">
        <f t="array" ref="DU226">IF(OR(COUNTIF(F226,"*"&amp;$DK$9:$DK$178&amp;"*")), "Yes", "")</f>
        <v/>
      </c>
      <c r="DV226" s="1314">
        <f t="shared" si="295"/>
        <v>0</v>
      </c>
      <c r="DW226" s="1480">
        <f t="shared" si="296"/>
        <v>0</v>
      </c>
      <c r="DX226" s="1498">
        <f t="shared" si="305"/>
        <v>0</v>
      </c>
      <c r="DY226" s="1484">
        <f t="shared" si="297"/>
        <v>0</v>
      </c>
      <c r="DZ226" s="331"/>
      <c r="EA226" s="392"/>
      <c r="EB226" s="1499" t="s">
        <v>150</v>
      </c>
      <c r="EC226" s="727" t="s">
        <v>1569</v>
      </c>
      <c r="ED226" s="728">
        <v>0.5</v>
      </c>
      <c r="EE226" s="1215"/>
      <c r="EF226" s="1215"/>
      <c r="EG226" s="1184" t="str">
        <f t="shared" si="298"/>
        <v/>
      </c>
      <c r="EH226" s="81"/>
      <c r="EI226" s="81"/>
      <c r="EJ226" s="1185">
        <f t="shared" si="249"/>
        <v>0</v>
      </c>
      <c r="EK226" s="1211"/>
      <c r="EL226" s="1180">
        <f t="shared" si="250"/>
        <v>0</v>
      </c>
      <c r="EM226" s="206"/>
      <c r="EN226" s="1038"/>
      <c r="EO226" s="1038"/>
      <c r="EP226" s="1038"/>
      <c r="EQ226" s="1038">
        <f t="shared" si="299"/>
        <v>0</v>
      </c>
      <c r="ER226" s="1041">
        <f t="shared" si="300"/>
        <v>0</v>
      </c>
      <c r="ES226" s="1042">
        <f t="shared" si="301"/>
        <v>0</v>
      </c>
      <c r="ET226" s="1042">
        <f t="shared" si="306"/>
        <v>0</v>
      </c>
      <c r="EU226" s="1021">
        <f t="shared" si="307"/>
        <v>0</v>
      </c>
      <c r="EV226" s="368"/>
      <c r="EW226" s="368"/>
      <c r="EX226" s="369"/>
      <c r="EY226" s="370"/>
      <c r="EZ226" s="370"/>
      <c r="FA226" s="371"/>
      <c r="FB226" s="372"/>
    </row>
    <row r="227" spans="1:158" ht="34.5" customHeight="1">
      <c r="A227" s="82">
        <v>219</v>
      </c>
      <c r="B227" s="1806"/>
      <c r="C227" s="1807"/>
      <c r="D227" s="1807"/>
      <c r="E227" s="1808"/>
      <c r="F227" s="1809"/>
      <c r="G227" s="1810"/>
      <c r="H227" s="1810"/>
      <c r="I227" s="1811"/>
      <c r="J227" s="1301"/>
      <c r="K227" s="1814"/>
      <c r="L227" s="1814"/>
      <c r="M227" s="1017"/>
      <c r="N227" s="1584"/>
      <c r="O227" s="208" t="str">
        <f t="shared" si="237"/>
        <v/>
      </c>
      <c r="P227" s="785"/>
      <c r="Q227" s="39" t="str">
        <f t="shared" si="238"/>
        <v/>
      </c>
      <c r="R227" s="39">
        <f t="shared" si="251"/>
        <v>0</v>
      </c>
      <c r="S227" s="234">
        <f t="shared" si="252"/>
        <v>0</v>
      </c>
      <c r="T227" s="1815"/>
      <c r="U227" s="1815"/>
      <c r="V227" s="1815"/>
      <c r="W227" s="1121"/>
      <c r="X227" s="1812"/>
      <c r="Y227" s="1813"/>
      <c r="Z227" s="703"/>
      <c r="AA227" s="1280"/>
      <c r="AB227" s="1141"/>
      <c r="AC227" s="1103" t="str">
        <f>IF(T227="","",VLOOKUP(Z227,Lists!$A$60:$B$111,2,FALSE))</f>
        <v/>
      </c>
      <c r="AD227" s="130" t="str">
        <f t="shared" si="253"/>
        <v/>
      </c>
      <c r="AE227" s="130" t="e">
        <f t="shared" si="254"/>
        <v>#VALUE!</v>
      </c>
      <c r="AF227" s="130">
        <f t="shared" si="255"/>
        <v>1</v>
      </c>
      <c r="AG227" s="234">
        <f t="shared" si="239"/>
        <v>0</v>
      </c>
      <c r="AH227" s="1753" t="str">
        <f>IF(T227="","",(IF(ISNUMBER(SEARCH("exit",T227)),8760,IF(AND(M227="Dusk to Dawn",'Proposed Lighting'!AU227=3),4059,IF(AND(AU227=3,M227="1"),0,IF(AND(AU227=3,M227="1-C"),0,IF(AND(AU227=3,M227="2"),0,IF(AND(AU227=3,M227="2-C"),0,IF(AND(AU227=3,M227="3"),0,IF(AND(AU227=3,M227="3-C"),0,IF(AND(AU227=2,M227="Dusk to Dawn"),0,IF(AND(AU227=2,M227="Dusk to Dawn-C"),0,IF(AND(AU227=2,M227="Dusk to Dawn"),0,IF(AND(AU227=2,M227="E"),0,IF(AND(AU227=2,M227="E-C"),0,EG227)))))))))))))))</f>
        <v/>
      </c>
      <c r="AI227" s="1754"/>
      <c r="AJ227" s="1136"/>
      <c r="AK227" s="1136"/>
      <c r="AL227" s="1748">
        <f t="shared" si="256"/>
        <v>0</v>
      </c>
      <c r="AM227" s="1749"/>
      <c r="AN227" s="1750"/>
      <c r="AO227" s="476">
        <f t="shared" si="240"/>
        <v>0</v>
      </c>
      <c r="AP227" s="476">
        <f t="shared" si="257"/>
        <v>0</v>
      </c>
      <c r="AQ227" s="475">
        <f t="shared" si="241"/>
        <v>0</v>
      </c>
      <c r="AR227" s="475">
        <f t="shared" si="258"/>
        <v>0</v>
      </c>
      <c r="AS227" s="743" t="str">
        <f t="shared" si="310"/>
        <v/>
      </c>
      <c r="AT227" s="736" t="str">
        <f t="shared" si="259"/>
        <v/>
      </c>
      <c r="AU227" s="56">
        <f t="shared" si="260"/>
        <v>1</v>
      </c>
      <c r="AV227" s="476">
        <f t="shared" si="261"/>
        <v>0</v>
      </c>
      <c r="AW227" s="56">
        <f t="shared" si="262"/>
        <v>0</v>
      </c>
      <c r="AX227" s="475">
        <f t="shared" si="242"/>
        <v>0</v>
      </c>
      <c r="AY227" s="1169">
        <f t="shared" si="263"/>
        <v>0</v>
      </c>
      <c r="AZ227" s="1150">
        <f t="shared" si="302"/>
        <v>0</v>
      </c>
      <c r="BA227" s="56">
        <f t="shared" si="243"/>
        <v>0</v>
      </c>
      <c r="BB227" s="420">
        <f t="shared" si="244"/>
        <v>0</v>
      </c>
      <c r="BC227" s="58" t="str">
        <f t="shared" si="245"/>
        <v/>
      </c>
      <c r="BD227" s="660">
        <f t="shared" si="303"/>
        <v>0</v>
      </c>
      <c r="BE227" s="57" t="e">
        <f t="array" ref="BE227">INDEX($EB$11:$ED$1022,MATCH(F227&amp;T227,$EB$11:$EB$1007&amp;$EC$11:$EC$1007,0),3)</f>
        <v>#N/A</v>
      </c>
      <c r="BF227" s="463">
        <f t="shared" si="234"/>
        <v>0</v>
      </c>
      <c r="BG227" s="1445" t="e">
        <f t="array" ref="BG227">INDEX($DO$112:$DQ$123,MATCH(T227&amp;W227,$DO$114:$DO$125&amp;$DP$112:$DP$123,0),3)</f>
        <v>#N/A</v>
      </c>
      <c r="BH227" s="1446">
        <f t="shared" si="264"/>
        <v>0</v>
      </c>
      <c r="BI227" s="465">
        <f t="shared" si="265"/>
        <v>0</v>
      </c>
      <c r="BJ227" s="465">
        <f t="shared" si="266"/>
        <v>0</v>
      </c>
      <c r="BK227" s="466">
        <f t="shared" si="235"/>
        <v>0</v>
      </c>
      <c r="BL227" s="466">
        <f t="shared" si="236"/>
        <v>0</v>
      </c>
      <c r="BM227" s="466">
        <f t="shared" si="267"/>
        <v>0</v>
      </c>
      <c r="BN227" s="466">
        <f t="shared" si="268"/>
        <v>0</v>
      </c>
      <c r="BO227" s="463">
        <f>IF('Data Entry'!$C$74=0,0,IF(ISNA(CJ227),0,IF(AX227=0,0,IF(AND('Data Entry'!$C$74=2,AF227&gt;2,CE227&lt;1),0,IF(AND('Data Entry'!$C$74=2,AF227&gt;1,AU227=2,CJ227&gt;1),0,IF(AND(AF227=5,CT227=0.5,AU227=2,ER227&lt;100),0,IF(AND(AF227=5,CT227=0.5,AU227=3,ER227&lt;100),0,IF(AND('Data Entry'!$C$74=2,AF227=2,AU227=2,AK227&gt;0.01,CB227=2,CE227&lt;1),0,IF(AND('Data Entry'!$C$74=2,AF227=3,AU227=3,AK227&gt;0.01,CB227=3,CE227&lt;1),0,IF(AND('Data Entry'!$C$74=2,AF227=3,AU227=3,AK227&gt;0.01,CB227=3,CE227&gt;0.99),BQ227*0.08,IF(AND('Data Entry'!$C$74=2,AF227=2,AU227=2,AK227&gt;0.01,CB227=2,CE227&gt;0.99),BQ227*0.1,IF(AND(AU227=2,AK227&gt;0.01,CB227=2,CD227&gt;1),BQ227*0.1,IF(AND(AU227=3,AK227&gt;0.01,CB227=3,CD227&gt;1),BQ227*0.08,CJ227*EF227)))))))))))))</f>
        <v>0</v>
      </c>
      <c r="BP227" s="475">
        <f t="shared" si="269"/>
        <v>0</v>
      </c>
      <c r="BQ227" s="1431">
        <f>IF(AU227=1,0,IF(CH227=100,0,IF(AND(AF227=3,AU227=2),0,IF(AND(BH227=0,CT227&gt;0.4),0,IF(AND('Data Entry'!$C$74=2,AF227=1.5),0,IF(AND('Data Entry'!$C$74=2,AF227=1.6),0,IF(AND('Data Entry'!$C$74=2,AF227=4),0,IF(AND('Data Entry'!$C$74=2,AF227=5),0,IF(AND('Data Entry'!$C$74=2,AF227=2.5,CE227&lt;1),0,IF(AND('Data Entry'!$C$74=2,AF227=3,CE227&lt;1),0,IF(AND('Data Entry'!$C$74=1,AF227=2.5,CD227&lt;1),0,IF(AND('Data Entry'!$C$74=1,AF227=3,CD227&lt;1),0,IF(DX227&gt;0.01,DX227,IF(ISERROR(AX227-AY227),"",ROUND(AX227-AY227,2)))))))))))))))</f>
        <v>0</v>
      </c>
      <c r="BR227" s="146">
        <f t="shared" si="270"/>
        <v>0</v>
      </c>
      <c r="BS227" s="475">
        <f t="shared" si="271"/>
        <v>0</v>
      </c>
      <c r="BT227" s="146" t="b">
        <f t="shared" si="272"/>
        <v>0</v>
      </c>
      <c r="BU227" s="463">
        <f>IF(ISNA(AT227),0,IF(AND('Data Entry'!$C$74=2,BC227=27),0,IF(AND('Data Entry'!$C$74=2,BC227=28),0,IF(AND(BC227=27,BT227=27,CM227&gt;0.1),CM227*0.15,IF(AND(BC227=28,BT227=28,CM227&gt;0.1),CM227*0.12,0)))))</f>
        <v>0</v>
      </c>
      <c r="BV227" s="463">
        <f t="shared" si="309"/>
        <v>0</v>
      </c>
      <c r="BW227" s="463">
        <f t="shared" si="273"/>
        <v>0</v>
      </c>
      <c r="BX227" s="463">
        <f t="shared" si="274"/>
        <v>0</v>
      </c>
      <c r="BY227" s="463">
        <f t="shared" si="275"/>
        <v>0</v>
      </c>
      <c r="BZ227" s="463">
        <f t="shared" si="276"/>
        <v>0</v>
      </c>
      <c r="CA227" s="57">
        <f t="shared" si="304"/>
        <v>0</v>
      </c>
      <c r="CB227" s="56">
        <f t="shared" si="277"/>
        <v>1</v>
      </c>
      <c r="CC227" s="756">
        <f>IF(EE227=0,0,IF(EF227=0,0,IF(EE227&gt;AA227,0,IF(AND(AZ227&gt;AW227,AW227&gt;0),0,IF(CU227=0,0,Summary!AC530)))))</f>
        <v>0</v>
      </c>
      <c r="CD227" s="756">
        <f>IF(EE227=0,0,IF(EF227=0,0,IF(EE227&gt;AA227,0,IF(AND(AZ227&gt;AW227,AW227&gt;0),0,IF(CU227=0,0,Summary!AD530)))))</f>
        <v>0</v>
      </c>
      <c r="CE227" s="756">
        <f>IF(EF227=0,0,IF(EE227&gt;AA227,0,IF(CC227=0,0,IF(AND(AZ227&gt;AW227,AW227&gt;0),0,IF(CU227=0,0,Summary!AE530)))))</f>
        <v>0</v>
      </c>
      <c r="CF227" s="475">
        <f t="shared" si="278"/>
        <v>0</v>
      </c>
      <c r="CG227" s="476">
        <f t="shared" si="246"/>
        <v>0</v>
      </c>
      <c r="CH227" s="487">
        <f t="shared" si="279"/>
        <v>0</v>
      </c>
      <c r="CI227" s="756">
        <f t="shared" si="280"/>
        <v>0</v>
      </c>
      <c r="CJ227" s="487">
        <f>IF(CT227&gt;0.4,0,IF(AND(AU227=2,CH227=0,CT227=0.5,ER227=100),35,IF(AND(AU227=3,BB227&gt;75,CH227=0,CT227=0.5,ER227=100),25,IF(CB227&gt;1,0,IF(EF227&gt;EE227,0,IF(AND(AF227&gt;1,CH227=100),0,IF(AND(AF227=1,AY227=0),0,IF(AND(EF227&lt;=EE227,AW227&gt;=AZ227,'Data Entry'!$C$74=1,AU227=2),VLOOKUP(W227,$DO$96:$DP$102,2,FALSE),IF(AND(EF227&lt;=EE227,AW227&gt;=AZ227,AU227=3,'Data Entry'!$C$74=1),VLOOKUP(W227,$DO$127:$DP$134,2,FALSE))))))))))</f>
        <v>0</v>
      </c>
      <c r="CK227" s="716">
        <f t="shared" si="281"/>
        <v>0</v>
      </c>
      <c r="CL227" s="57">
        <f t="shared" si="282"/>
        <v>0</v>
      </c>
      <c r="CM227" s="475">
        <f t="shared" si="308"/>
        <v>0</v>
      </c>
      <c r="CN227" s="660">
        <f>IF(CM227&lt;0.1,0,IF(ISNA(AT227),0,IF(CL227+BC227=1,0,IF(BV227&gt;0.01,0,IF(CL227&gt;0.01,0,IF(CF227=1,0,IF(BC227=0.5,0,IF(AND(CI227=1,AU227=3),0,IF(AND(CI227=5,CL227=0),0,IF(AND(R227=12,BR227=50),0,IF(CK227&gt;0.01,0,IF(AND(AJ227&gt;0.01,AU227=2,BC227=15),CM227*0.1,IF(AND(AJ227&gt;0.01,AU227=3,BC227=15),CM227*0.08,IF(AND(R227=12,BC227=3,AF227&lt;=0),0,IF(AND(BC227=15,BI227=0),0,IF(AND(BC227=15,BJ227=0),0,IF(AND(R227=20,CU227=0),0,IF($X$4=0,0,IF(AND(BC227=250,CL227=0),0,IF(AA227&lt;1,0,IF(AND(ISNUMBER(SEARCH("Area",T227)),AU227=3),0,IF(AND(AQ227&gt;0.01,AR227=0,BK227=0,BL227=0,BM227=0,BN227=0),0,IF(AND(AU227=3,CI227=7,CT227&gt;0.5),0,IF(AND(BC227=44,AU227=3,BY227=0),0,IF(AND(BC227=27,'Data Entry'!$C$74=2),0,IF(AND(BC227=28,'Data Entry'!$C$74=2),0,IF(AND(BY227+BZ227+CA227&gt;0.01,BV227=0,EQ227+ER227+ES227+ET227&lt;100),0,IF(AU227=3,CM227*0.08,IF(AU227=2,CM227*0.1,0)))))))))))))))))))))))))))))</f>
        <v>0</v>
      </c>
      <c r="CO227" s="660">
        <f t="shared" si="283"/>
        <v>0</v>
      </c>
      <c r="CP227" s="475" t="str">
        <f t="shared" si="284"/>
        <v/>
      </c>
      <c r="CQ227" s="161" t="str">
        <f>IF(AH227=0,0,IF(AU227=5,0,Summary!AC230))</f>
        <v/>
      </c>
      <c r="CR227" s="161" t="str">
        <f>IF(BF227=0.5,0,IF(AU227=5,0,Summary!AD230))</f>
        <v/>
      </c>
      <c r="CS227" s="161" t="str">
        <f>IF(AU227=5,0,Summary!AE230)</f>
        <v/>
      </c>
      <c r="CT227" s="161">
        <f t="shared" si="285"/>
        <v>0</v>
      </c>
      <c r="CU227" s="475" t="str">
        <f t="shared" si="286"/>
        <v/>
      </c>
      <c r="CV227" s="307">
        <f>IF('Data Entry'!$C$74=0,0,IF(AA227&lt;1,0,IF(ISERROR(CU227),0,IF(CF227=1,0,IF(AND(R227=12,BR227=50),0,IF(CL227+BO227+BV227+DC227=0,0,IF(BC227=37,0,IF(AND(BC227=40,AJ227=0),0,IF(AND(BC227=37,BO227&gt;0.01,BQ227&gt;0.01),ROUND(BQ227,0),IF(CM227&lt;0,0,ROUND(CM227,0)))))))))))</f>
        <v>0</v>
      </c>
      <c r="CW227" s="700">
        <f t="shared" si="287"/>
        <v>0</v>
      </c>
      <c r="CX227" s="477">
        <f>IF('Data Entry'!$C$74=0,0,IF(CV227&lt;0.01,0,IF(BF227=0.5,0,IF(CF227=1,0,IF(ISNUMBER(SEARCH("false",CL227)),0,IF(AZ227=500,0,CL227))))))</f>
        <v>0</v>
      </c>
      <c r="CY227" s="147" t="e">
        <f t="shared" si="288"/>
        <v>#VALUE!</v>
      </c>
      <c r="CZ227" s="147" t="b">
        <f>IF(CN227+CL227=0,FALSE,IF(AH227=0,0,IF(AND('Data Entry'!$C$74=1,CR227&gt;=1),TRUE,IF(AND('Data Entry'!$C$74=2,CS227&gt;=1),TRUE,FALSE))))</f>
        <v>0</v>
      </c>
      <c r="DA227" s="1751">
        <f>IF('Data Entry'!$C$74=0,0,IFERROR(ROUND(IF(T227="","",IF($X$4=0,0,IF(CF227=1,0,IF(BQ227+CV227=0,0,IF(CF227=1,0,IF(CY227&gt;0.01,CY227,IF(CL227&gt;0.01,CL227,IF(CY227&gt;0.01,CY227,IF(BC227=37,BO227,IF(CZ227=FALSE,0,IF(CZ227=TRUE,DC227+DF227,0))))))))))),2),""))</f>
        <v>0</v>
      </c>
      <c r="DB227" s="1752"/>
      <c r="DC227" s="474">
        <f>IF(CN227&lt;0.01,0,IF(AND(BR227=3,CN227&gt;0.01,CT227&gt;0.6,ER227+ES227+ET227&lt;100),0,IF(AND('Data Entry'!$C$74=1,CN227&gt;0.01,CR227&gt;0.99),MIN(CN227:CO227),IF(AND('Data Entry'!$C$74=2,CN227&gt;0.01,CS227&gt;0.99),MIN(CN227:CO227),0))))</f>
        <v>0</v>
      </c>
      <c r="DD227" s="478">
        <f>IF(CF227=1,"Selection does not match",IF(T227=0,0,IF(AND('Data Entry'!$C$74=0,CP227&gt;1),"Select Oregon or Idaho on Data Entry Tab",IF(AND(AU227=1,AA227&gt;0.9),"Missing Interior or Exterior Selection",IF($X$4=0,"Enter Total Project Cost",IF(AQ227&lt;AR227,"Insufficient kWh savings – no incentive",IF(AND(SUM(CL227+CK227+BV227)&gt;0.01,'Data Entry'!$C$74=2,CJ227&gt;1,BO227=0),"Submit Control as Non-Standard",IF(AND('Data Entry'!$C$74=2,BR227=37,CJ227&gt;1,BO227=0),"Submit Control as Non-Standard",IF(SUM(CL227+CK227+BV227)&gt;0.01,"Standard Incentive",IF(AND('Data Entry'!$C$74=2,CP227=7,CN227=0),"Submit as Non-Standard",IF(DC227&gt;0.9,"Non-Standard Incentive",IF(AND(BY227+BZ227+CA227&gt;0.01,BV227=0,EQ227=0,ER227=0,ES227=0,ET227=0),"Scroll Right &amp; Select Control Strategies",IF(AND(CN227&gt;0.01,CO227=0),"Enter Unit Installed Cost",IF(ISNUMBER(SEARCH("Lighting Controls Only",F227)),"Lighting Controls Only",IF(CL227+DC227=0,"Does not meet incentive criteria",0)))))))))))))))</f>
        <v>0</v>
      </c>
      <c r="DE227" s="337">
        <f t="shared" si="289"/>
        <v>0</v>
      </c>
      <c r="DF227" s="609">
        <f t="shared" si="290"/>
        <v>0</v>
      </c>
      <c r="DG227" s="336" t="str">
        <f t="shared" si="291"/>
        <v/>
      </c>
      <c r="DH227" s="338">
        <f t="shared" si="292"/>
        <v>1</v>
      </c>
      <c r="DI227" s="336" t="e">
        <f t="shared" si="247"/>
        <v>#VALUE!</v>
      </c>
      <c r="DJ227" s="338">
        <f t="shared" si="248"/>
        <v>0</v>
      </c>
      <c r="DO227" s="331"/>
      <c r="DQ227" s="1433" t="s">
        <v>1757</v>
      </c>
      <c r="DR227" s="704">
        <v>27</v>
      </c>
      <c r="DS227" s="1195">
        <f t="shared" si="293"/>
        <v>0</v>
      </c>
      <c r="DT227" s="344" t="b">
        <f t="shared" si="294"/>
        <v>1</v>
      </c>
      <c r="DU227" s="1314" t="str">
        <f t="array" ref="DU227">IF(OR(COUNTIF(F227,"*"&amp;$DK$9:$DK$178&amp;"*")), "Yes", "")</f>
        <v/>
      </c>
      <c r="DV227" s="1314">
        <f t="shared" si="295"/>
        <v>0</v>
      </c>
      <c r="DW227" s="1480">
        <f t="shared" si="296"/>
        <v>0</v>
      </c>
      <c r="DX227" s="1498">
        <f t="shared" si="305"/>
        <v>0</v>
      </c>
      <c r="DY227" s="1484">
        <f t="shared" si="297"/>
        <v>0</v>
      </c>
      <c r="DZ227" s="331"/>
      <c r="EA227" s="392"/>
      <c r="EB227" s="1499" t="s">
        <v>151</v>
      </c>
      <c r="EC227" s="727" t="s">
        <v>1569</v>
      </c>
      <c r="ED227" s="728">
        <v>0.5</v>
      </c>
      <c r="EE227" s="1215"/>
      <c r="EF227" s="1215"/>
      <c r="EG227" s="1184" t="str">
        <f t="shared" si="298"/>
        <v/>
      </c>
      <c r="EH227" s="81"/>
      <c r="EI227" s="81"/>
      <c r="EJ227" s="1185">
        <f t="shared" si="249"/>
        <v>0</v>
      </c>
      <c r="EK227" s="1211"/>
      <c r="EL227" s="1180">
        <f t="shared" si="250"/>
        <v>0</v>
      </c>
      <c r="EM227" s="206"/>
      <c r="EN227" s="1038"/>
      <c r="EO227" s="1038"/>
      <c r="EP227" s="1038"/>
      <c r="EQ227" s="1038">
        <f t="shared" si="299"/>
        <v>0</v>
      </c>
      <c r="ER227" s="1041">
        <f t="shared" si="300"/>
        <v>0</v>
      </c>
      <c r="ES227" s="1042">
        <f t="shared" si="301"/>
        <v>0</v>
      </c>
      <c r="ET227" s="1042">
        <f t="shared" si="306"/>
        <v>0</v>
      </c>
      <c r="EU227" s="1021">
        <f t="shared" si="307"/>
        <v>0</v>
      </c>
      <c r="EV227" s="368"/>
      <c r="EW227" s="368"/>
      <c r="EX227" s="369"/>
      <c r="EY227" s="370"/>
      <c r="EZ227" s="370"/>
      <c r="FA227" s="371"/>
      <c r="FB227" s="372"/>
    </row>
    <row r="228" spans="1:158" ht="34.5" customHeight="1">
      <c r="A228" s="82">
        <v>220</v>
      </c>
      <c r="B228" s="1806"/>
      <c r="C228" s="1807"/>
      <c r="D228" s="1807"/>
      <c r="E228" s="1808"/>
      <c r="F228" s="1809"/>
      <c r="G228" s="1810"/>
      <c r="H228" s="1810"/>
      <c r="I228" s="1811"/>
      <c r="J228" s="1301"/>
      <c r="K228" s="1814"/>
      <c r="L228" s="1814"/>
      <c r="M228" s="1017"/>
      <c r="N228" s="1584"/>
      <c r="O228" s="208" t="str">
        <f t="shared" si="237"/>
        <v/>
      </c>
      <c r="P228" s="785"/>
      <c r="Q228" s="39" t="str">
        <f t="shared" si="238"/>
        <v/>
      </c>
      <c r="R228" s="39">
        <f t="shared" si="251"/>
        <v>0</v>
      </c>
      <c r="S228" s="234">
        <f t="shared" si="252"/>
        <v>0</v>
      </c>
      <c r="T228" s="1815"/>
      <c r="U228" s="1815"/>
      <c r="V228" s="1815"/>
      <c r="W228" s="1121"/>
      <c r="X228" s="1812"/>
      <c r="Y228" s="1813"/>
      <c r="Z228" s="703"/>
      <c r="AA228" s="1280"/>
      <c r="AB228" s="1141"/>
      <c r="AC228" s="1103" t="str">
        <f>IF(T228="","",VLOOKUP(Z228,Lists!$A$60:$B$111,2,FALSE))</f>
        <v/>
      </c>
      <c r="AD228" s="130" t="str">
        <f t="shared" si="253"/>
        <v/>
      </c>
      <c r="AE228" s="130" t="e">
        <f t="shared" si="254"/>
        <v>#VALUE!</v>
      </c>
      <c r="AF228" s="130">
        <f t="shared" si="255"/>
        <v>1</v>
      </c>
      <c r="AG228" s="234">
        <f t="shared" si="239"/>
        <v>0</v>
      </c>
      <c r="AH228" s="1753" t="str">
        <f>IF(T228="","",(IF(ISNUMBER(SEARCH("exit",T228)),8760,IF(AND(M228="Dusk to Dawn",'Proposed Lighting'!AU228=3),4059,IF(AND(AU228=3,M228="1"),0,IF(AND(AU228=3,M228="1-C"),0,IF(AND(AU228=3,M228="2"),0,IF(AND(AU228=3,M228="2-C"),0,IF(AND(AU228=3,M228="3"),0,IF(AND(AU228=3,M228="3-C"),0,IF(AND(AU228=2,M228="Dusk to Dawn"),0,IF(AND(AU228=2,M228="Dusk to Dawn-C"),0,IF(AND(AU228=2,M228="Dusk to Dawn"),0,IF(AND(AU228=2,M228="E"),0,IF(AND(AU228=2,M228="E-C"),0,EG228)))))))))))))))</f>
        <v/>
      </c>
      <c r="AI228" s="1754"/>
      <c r="AJ228" s="1136"/>
      <c r="AK228" s="1136"/>
      <c r="AL228" s="1748">
        <f t="shared" si="256"/>
        <v>0</v>
      </c>
      <c r="AM228" s="1749"/>
      <c r="AN228" s="1750"/>
      <c r="AO228" s="476">
        <f t="shared" si="240"/>
        <v>0</v>
      </c>
      <c r="AP228" s="476">
        <f t="shared" si="257"/>
        <v>0</v>
      </c>
      <c r="AQ228" s="475">
        <f t="shared" si="241"/>
        <v>0</v>
      </c>
      <c r="AR228" s="475">
        <f t="shared" si="258"/>
        <v>0</v>
      </c>
      <c r="AS228" s="743" t="str">
        <f t="shared" si="310"/>
        <v/>
      </c>
      <c r="AT228" s="736" t="str">
        <f t="shared" si="259"/>
        <v/>
      </c>
      <c r="AU228" s="56">
        <f t="shared" si="260"/>
        <v>1</v>
      </c>
      <c r="AV228" s="476">
        <f t="shared" si="261"/>
        <v>0</v>
      </c>
      <c r="AW228" s="56">
        <f t="shared" si="262"/>
        <v>0</v>
      </c>
      <c r="AX228" s="475">
        <f t="shared" si="242"/>
        <v>0</v>
      </c>
      <c r="AY228" s="1169">
        <f t="shared" si="263"/>
        <v>0</v>
      </c>
      <c r="AZ228" s="1150">
        <f t="shared" si="302"/>
        <v>0</v>
      </c>
      <c r="BA228" s="56">
        <f t="shared" si="243"/>
        <v>0</v>
      </c>
      <c r="BB228" s="420">
        <f t="shared" si="244"/>
        <v>0</v>
      </c>
      <c r="BC228" s="58" t="str">
        <f t="shared" si="245"/>
        <v/>
      </c>
      <c r="BD228" s="660">
        <f t="shared" si="303"/>
        <v>0</v>
      </c>
      <c r="BE228" s="57" t="e">
        <f t="array" ref="BE228">INDEX($EB$11:$ED$1022,MATCH(F228&amp;T228,$EB$11:$EB$1007&amp;$EC$11:$EC$1007,0),3)</f>
        <v>#N/A</v>
      </c>
      <c r="BF228" s="463">
        <f t="shared" si="234"/>
        <v>0</v>
      </c>
      <c r="BG228" s="1445" t="e">
        <f t="array" ref="BG228">INDEX($DO$112:$DQ$123,MATCH(T228&amp;W228,$DO$114:$DO$125&amp;$DP$112:$DP$123,0),3)</f>
        <v>#N/A</v>
      </c>
      <c r="BH228" s="1446">
        <f t="shared" si="264"/>
        <v>0</v>
      </c>
      <c r="BI228" s="465">
        <f t="shared" si="265"/>
        <v>0</v>
      </c>
      <c r="BJ228" s="465">
        <f t="shared" si="266"/>
        <v>0</v>
      </c>
      <c r="BK228" s="466">
        <f t="shared" si="235"/>
        <v>0</v>
      </c>
      <c r="BL228" s="466">
        <f t="shared" si="236"/>
        <v>0</v>
      </c>
      <c r="BM228" s="466">
        <f t="shared" si="267"/>
        <v>0</v>
      </c>
      <c r="BN228" s="466">
        <f t="shared" si="268"/>
        <v>0</v>
      </c>
      <c r="BO228" s="463">
        <f>IF('Data Entry'!$C$74=0,0,IF(ISNA(CJ228),0,IF(AX228=0,0,IF(AND('Data Entry'!$C$74=2,AF228&gt;2,CE228&lt;1),0,IF(AND('Data Entry'!$C$74=2,AF228&gt;1,AU228=2,CJ228&gt;1),0,IF(AND(AF228=5,CT228=0.5,AU228=2,ER228&lt;100),0,IF(AND(AF228=5,CT228=0.5,AU228=3,ER228&lt;100),0,IF(AND('Data Entry'!$C$74=2,AF228=2,AU228=2,AK228&gt;0.01,CB228=2,CE228&lt;1),0,IF(AND('Data Entry'!$C$74=2,AF228=3,AU228=3,AK228&gt;0.01,CB228=3,CE228&lt;1),0,IF(AND('Data Entry'!$C$74=2,AF228=3,AU228=3,AK228&gt;0.01,CB228=3,CE228&gt;0.99),BQ228*0.08,IF(AND('Data Entry'!$C$74=2,AF228=2,AU228=2,AK228&gt;0.01,CB228=2,CE228&gt;0.99),BQ228*0.1,IF(AND(AU228=2,AK228&gt;0.01,CB228=2,CD228&gt;1),BQ228*0.1,IF(AND(AU228=3,AK228&gt;0.01,CB228=3,CD228&gt;1),BQ228*0.08,CJ228*EF228)))))))))))))</f>
        <v>0</v>
      </c>
      <c r="BP228" s="475">
        <f t="shared" si="269"/>
        <v>0</v>
      </c>
      <c r="BQ228" s="1431">
        <f>IF(AU228=1,0,IF(CH228=100,0,IF(AND(AF228=3,AU228=2),0,IF(AND(BH228=0,CT228&gt;0.4),0,IF(AND('Data Entry'!$C$74=2,AF228=1.5),0,IF(AND('Data Entry'!$C$74=2,AF228=1.6),0,IF(AND('Data Entry'!$C$74=2,AF228=4),0,IF(AND('Data Entry'!$C$74=2,AF228=5),0,IF(AND('Data Entry'!$C$74=2,AF228=2.5,CE228&lt;1),0,IF(AND('Data Entry'!$C$74=2,AF228=3,CE228&lt;1),0,IF(AND('Data Entry'!$C$74=1,AF228=2.5,CD228&lt;1),0,IF(AND('Data Entry'!$C$74=1,AF228=3,CD228&lt;1),0,IF(DX228&gt;0.01,DX228,IF(ISERROR(AX228-AY228),"",ROUND(AX228-AY228,2)))))))))))))))</f>
        <v>0</v>
      </c>
      <c r="BR228" s="146">
        <f t="shared" si="270"/>
        <v>0</v>
      </c>
      <c r="BS228" s="475">
        <f t="shared" si="271"/>
        <v>0</v>
      </c>
      <c r="BT228" s="146" t="b">
        <f t="shared" si="272"/>
        <v>0</v>
      </c>
      <c r="BU228" s="463">
        <f>IF(ISNA(AT228),0,IF(AND('Data Entry'!$C$74=2,BC228=27),0,IF(AND('Data Entry'!$C$74=2,BC228=28),0,IF(AND(BC228=27,BT228=27,CM228&gt;0.1),CM228*0.15,IF(AND(BC228=28,BT228=28,CM228&gt;0.1),CM228*0.12,0)))))</f>
        <v>0</v>
      </c>
      <c r="BV228" s="463">
        <f t="shared" si="309"/>
        <v>0</v>
      </c>
      <c r="BW228" s="463">
        <f t="shared" si="273"/>
        <v>0</v>
      </c>
      <c r="BX228" s="463">
        <f t="shared" si="274"/>
        <v>0</v>
      </c>
      <c r="BY228" s="463">
        <f t="shared" si="275"/>
        <v>0</v>
      </c>
      <c r="BZ228" s="463">
        <f t="shared" si="276"/>
        <v>0</v>
      </c>
      <c r="CA228" s="57">
        <f t="shared" si="304"/>
        <v>0</v>
      </c>
      <c r="CB228" s="56">
        <f t="shared" si="277"/>
        <v>1</v>
      </c>
      <c r="CC228" s="756">
        <f>IF(EE228=0,0,IF(EF228=0,0,IF(EE228&gt;AA228,0,IF(AND(AZ228&gt;AW228,AW228&gt;0),0,IF(CU228=0,0,Summary!AC531)))))</f>
        <v>0</v>
      </c>
      <c r="CD228" s="756">
        <f>IF(EE228=0,0,IF(EF228=0,0,IF(EE228&gt;AA228,0,IF(AND(AZ228&gt;AW228,AW228&gt;0),0,IF(CU228=0,0,Summary!AD531)))))</f>
        <v>0</v>
      </c>
      <c r="CE228" s="756">
        <f>IF(EF228=0,0,IF(EE228&gt;AA228,0,IF(CC228=0,0,IF(AND(AZ228&gt;AW228,AW228&gt;0),0,IF(CU228=0,0,Summary!AE531)))))</f>
        <v>0</v>
      </c>
      <c r="CF228" s="475">
        <f t="shared" si="278"/>
        <v>0</v>
      </c>
      <c r="CG228" s="476">
        <f t="shared" si="246"/>
        <v>0</v>
      </c>
      <c r="CH228" s="487">
        <f t="shared" si="279"/>
        <v>0</v>
      </c>
      <c r="CI228" s="756">
        <f t="shared" si="280"/>
        <v>0</v>
      </c>
      <c r="CJ228" s="487">
        <f>IF(CT228&gt;0.4,0,IF(AND(AU228=2,CH228=0,CT228=0.5,ER228=100),35,IF(AND(AU228=3,BB228&gt;75,CH228=0,CT228=0.5,ER228=100),25,IF(CB228&gt;1,0,IF(EF228&gt;EE228,0,IF(AND(AF228&gt;1,CH228=100),0,IF(AND(AF228=1,AY228=0),0,IF(AND(EF228&lt;=EE228,AW228&gt;=AZ228,'Data Entry'!$C$74=1,AU228=2),VLOOKUP(W228,$DO$96:$DP$102,2,FALSE),IF(AND(EF228&lt;=EE228,AW228&gt;=AZ228,AU228=3,'Data Entry'!$C$74=1),VLOOKUP(W228,$DO$127:$DP$134,2,FALSE))))))))))</f>
        <v>0</v>
      </c>
      <c r="CK228" s="716">
        <f t="shared" si="281"/>
        <v>0</v>
      </c>
      <c r="CL228" s="57">
        <f t="shared" si="282"/>
        <v>0</v>
      </c>
      <c r="CM228" s="475">
        <f t="shared" si="308"/>
        <v>0</v>
      </c>
      <c r="CN228" s="660">
        <f>IF(CM228&lt;0.1,0,IF(ISNA(AT228),0,IF(CL228+BC228=1,0,IF(BV228&gt;0.01,0,IF(CL228&gt;0.01,0,IF(CF228=1,0,IF(BC228=0.5,0,IF(AND(CI228=1,AU228=3),0,IF(AND(CI228=5,CL228=0),0,IF(AND(R228=12,BR228=50),0,IF(CK228&gt;0.01,0,IF(AND(AJ228&gt;0.01,AU228=2,BC228=15),CM228*0.1,IF(AND(AJ228&gt;0.01,AU228=3,BC228=15),CM228*0.08,IF(AND(R228=12,BC228=3,AF228&lt;=0),0,IF(AND(BC228=15,BI228=0),0,IF(AND(BC228=15,BJ228=0),0,IF(AND(R228=20,CU228=0),0,IF($X$4=0,0,IF(AND(BC228=250,CL228=0),0,IF(AA228&lt;1,0,IF(AND(ISNUMBER(SEARCH("Area",T228)),AU228=3),0,IF(AND(AQ228&gt;0.01,AR228=0,BK228=0,BL228=0,BM228=0,BN228=0),0,IF(AND(AU228=3,CI228=7,CT228&gt;0.5),0,IF(AND(BC228=44,AU228=3,BY228=0),0,IF(AND(BC228=27,'Data Entry'!$C$74=2),0,IF(AND(BC228=28,'Data Entry'!$C$74=2),0,IF(AND(BY228+BZ228+CA228&gt;0.01,BV228=0,EQ228+ER228+ES228+ET228&lt;100),0,IF(AU228=3,CM228*0.08,IF(AU228=2,CM228*0.1,0)))))))))))))))))))))))))))))</f>
        <v>0</v>
      </c>
      <c r="CO228" s="660">
        <f t="shared" si="283"/>
        <v>0</v>
      </c>
      <c r="CP228" s="475" t="str">
        <f t="shared" si="284"/>
        <v/>
      </c>
      <c r="CQ228" s="161" t="str">
        <f>IF(AH228=0,0,IF(AU228=5,0,Summary!AC231))</f>
        <v/>
      </c>
      <c r="CR228" s="161" t="str">
        <f>IF(BF228=0.5,0,IF(AU228=5,0,Summary!AD231))</f>
        <v/>
      </c>
      <c r="CS228" s="161" t="str">
        <f>IF(AU228=5,0,Summary!AE231)</f>
        <v/>
      </c>
      <c r="CT228" s="161">
        <f t="shared" si="285"/>
        <v>0</v>
      </c>
      <c r="CU228" s="475" t="str">
        <f t="shared" si="286"/>
        <v/>
      </c>
      <c r="CV228" s="307">
        <f>IF('Data Entry'!$C$74=0,0,IF(AA228&lt;1,0,IF(ISERROR(CU228),0,IF(CF228=1,0,IF(AND(R228=12,BR228=50),0,IF(CL228+BO228+BV228+DC228=0,0,IF(BC228=37,0,IF(AND(BC228=40,AJ228=0),0,IF(AND(BC228=37,BO228&gt;0.01,BQ228&gt;0.01),ROUND(BQ228,0),IF(CM228&lt;0,0,ROUND(CM228,0)))))))))))</f>
        <v>0</v>
      </c>
      <c r="CW228" s="700">
        <f t="shared" si="287"/>
        <v>0</v>
      </c>
      <c r="CX228" s="477">
        <f>IF('Data Entry'!$C$74=0,0,IF(CV228&lt;0.01,0,IF(BF228=0.5,0,IF(CF228=1,0,IF(ISNUMBER(SEARCH("false",CL228)),0,IF(AZ228=500,0,CL228))))))</f>
        <v>0</v>
      </c>
      <c r="CY228" s="147" t="e">
        <f t="shared" si="288"/>
        <v>#VALUE!</v>
      </c>
      <c r="CZ228" s="147" t="b">
        <f>IF(CN228+CL228=0,FALSE,IF(AH228=0,0,IF(AND('Data Entry'!$C$74=1,CR228&gt;=1),TRUE,IF(AND('Data Entry'!$C$74=2,CS228&gt;=1),TRUE,FALSE))))</f>
        <v>0</v>
      </c>
      <c r="DA228" s="1751">
        <f>IF('Data Entry'!$C$74=0,0,IFERROR(ROUND(IF(T228="","",IF($X$4=0,0,IF(CF228=1,0,IF(BQ228+CV228=0,0,IF(CF228=1,0,IF(CY228&gt;0.01,CY228,IF(CL228&gt;0.01,CL228,IF(CY228&gt;0.01,CY228,IF(BC228=37,BO228,IF(CZ228=FALSE,0,IF(CZ228=TRUE,DC228+DF228,0))))))))))),2),""))</f>
        <v>0</v>
      </c>
      <c r="DB228" s="1752"/>
      <c r="DC228" s="474">
        <f>IF(CN228&lt;0.01,0,IF(AND(BR228=3,CN228&gt;0.01,CT228&gt;0.6,ER228+ES228+ET228&lt;100),0,IF(AND('Data Entry'!$C$74=1,CN228&gt;0.01,CR228&gt;0.99),MIN(CN228:CO228),IF(AND('Data Entry'!$C$74=2,CN228&gt;0.01,CS228&gt;0.99),MIN(CN228:CO228),0))))</f>
        <v>0</v>
      </c>
      <c r="DD228" s="478">
        <f>IF(CF228=1,"Selection does not match",IF(T228=0,0,IF(AND('Data Entry'!$C$74=0,CP228&gt;1),"Select Oregon or Idaho on Data Entry Tab",IF(AND(AU228=1,AA228&gt;0.9),"Missing Interior or Exterior Selection",IF($X$4=0,"Enter Total Project Cost",IF(AQ228&lt;AR228,"Insufficient kWh savings – no incentive",IF(AND(SUM(CL228+CK228+BV228)&gt;0.01,'Data Entry'!$C$74=2,CJ228&gt;1,BO228=0),"Submit Control as Non-Standard",IF(AND('Data Entry'!$C$74=2,BR228=37,CJ228&gt;1,BO228=0),"Submit Control as Non-Standard",IF(SUM(CL228+CK228+BV228)&gt;0.01,"Standard Incentive",IF(AND('Data Entry'!$C$74=2,CP228=7,CN228=0),"Submit as Non-Standard",IF(DC228&gt;0.9,"Non-Standard Incentive",IF(AND(BY228+BZ228+CA228&gt;0.01,BV228=0,EQ228=0,ER228=0,ES228=0,ET228=0),"Scroll Right &amp; Select Control Strategies",IF(AND(CN228&gt;0.01,CO228=0),"Enter Unit Installed Cost",IF(ISNUMBER(SEARCH("Lighting Controls Only",F228)),"Lighting Controls Only",IF(CL228+DC228=0,"Does not meet incentive criteria",0)))))))))))))))</f>
        <v>0</v>
      </c>
      <c r="DE228" s="337">
        <f t="shared" si="289"/>
        <v>0</v>
      </c>
      <c r="DF228" s="609">
        <f t="shared" si="290"/>
        <v>0</v>
      </c>
      <c r="DG228" s="336" t="str">
        <f t="shared" si="291"/>
        <v/>
      </c>
      <c r="DH228" s="338">
        <f t="shared" si="292"/>
        <v>1</v>
      </c>
      <c r="DI228" s="336" t="e">
        <f t="shared" si="247"/>
        <v>#VALUE!</v>
      </c>
      <c r="DJ228" s="338">
        <f t="shared" si="248"/>
        <v>0</v>
      </c>
      <c r="DO228" s="361"/>
      <c r="DQ228" s="1433" t="s">
        <v>1758</v>
      </c>
      <c r="DR228" s="704">
        <v>28</v>
      </c>
      <c r="DS228" s="1195">
        <f t="shared" si="293"/>
        <v>0</v>
      </c>
      <c r="DT228" s="344" t="b">
        <f t="shared" si="294"/>
        <v>1</v>
      </c>
      <c r="DU228" s="1314" t="str">
        <f t="array" ref="DU228">IF(OR(COUNTIF(F228,"*"&amp;$DK$9:$DK$178&amp;"*")), "Yes", "")</f>
        <v/>
      </c>
      <c r="DV228" s="1314">
        <f t="shared" si="295"/>
        <v>0</v>
      </c>
      <c r="DW228" s="1480">
        <f t="shared" si="296"/>
        <v>0</v>
      </c>
      <c r="DX228" s="1498">
        <f t="shared" si="305"/>
        <v>0</v>
      </c>
      <c r="DY228" s="1484">
        <f t="shared" si="297"/>
        <v>0</v>
      </c>
      <c r="DZ228" s="331"/>
      <c r="EA228" s="392"/>
      <c r="EB228" s="1499" t="s">
        <v>152</v>
      </c>
      <c r="EC228" s="727" t="s">
        <v>1569</v>
      </c>
      <c r="ED228" s="728">
        <v>0.5</v>
      </c>
      <c r="EE228" s="1215"/>
      <c r="EF228" s="1215"/>
      <c r="EG228" s="1184" t="str">
        <f t="shared" si="298"/>
        <v/>
      </c>
      <c r="EH228" s="81"/>
      <c r="EI228" s="81"/>
      <c r="EJ228" s="1185">
        <f t="shared" si="249"/>
        <v>0</v>
      </c>
      <c r="EK228" s="1211"/>
      <c r="EL228" s="1180">
        <f t="shared" si="250"/>
        <v>0</v>
      </c>
      <c r="EM228" s="206"/>
      <c r="EN228" s="1038"/>
      <c r="EO228" s="1038"/>
      <c r="EP228" s="1038"/>
      <c r="EQ228" s="1038">
        <f t="shared" si="299"/>
        <v>0</v>
      </c>
      <c r="ER228" s="1041">
        <f t="shared" si="300"/>
        <v>0</v>
      </c>
      <c r="ES228" s="1042">
        <f t="shared" si="301"/>
        <v>0</v>
      </c>
      <c r="ET228" s="1042">
        <f t="shared" si="306"/>
        <v>0</v>
      </c>
      <c r="EU228" s="1021">
        <f t="shared" si="307"/>
        <v>0</v>
      </c>
      <c r="EV228" s="368"/>
      <c r="EW228" s="368"/>
      <c r="EX228" s="369"/>
      <c r="EY228" s="370"/>
      <c r="EZ228" s="370"/>
      <c r="FA228" s="371"/>
      <c r="FB228" s="372"/>
    </row>
    <row r="229" spans="1:158" ht="34.5" customHeight="1">
      <c r="A229" s="82">
        <v>221</v>
      </c>
      <c r="B229" s="1806"/>
      <c r="C229" s="1807"/>
      <c r="D229" s="1807"/>
      <c r="E229" s="1808"/>
      <c r="F229" s="1809"/>
      <c r="G229" s="1810"/>
      <c r="H229" s="1810"/>
      <c r="I229" s="1811"/>
      <c r="J229" s="1301"/>
      <c r="K229" s="1814"/>
      <c r="L229" s="1814"/>
      <c r="M229" s="1017"/>
      <c r="N229" s="1584"/>
      <c r="O229" s="208" t="str">
        <f t="shared" si="237"/>
        <v/>
      </c>
      <c r="P229" s="785"/>
      <c r="Q229" s="39" t="str">
        <f t="shared" si="238"/>
        <v/>
      </c>
      <c r="R229" s="39">
        <f t="shared" si="251"/>
        <v>0</v>
      </c>
      <c r="S229" s="234">
        <f t="shared" si="252"/>
        <v>0</v>
      </c>
      <c r="T229" s="1815"/>
      <c r="U229" s="1815"/>
      <c r="V229" s="1815"/>
      <c r="W229" s="1121"/>
      <c r="X229" s="1812"/>
      <c r="Y229" s="1813"/>
      <c r="Z229" s="703"/>
      <c r="AA229" s="1280"/>
      <c r="AB229" s="1141"/>
      <c r="AC229" s="1103" t="str">
        <f>IF(T229="","",VLOOKUP(Z229,Lists!$A$60:$B$111,2,FALSE))</f>
        <v/>
      </c>
      <c r="AD229" s="130" t="str">
        <f t="shared" si="253"/>
        <v/>
      </c>
      <c r="AE229" s="130" t="e">
        <f t="shared" si="254"/>
        <v>#VALUE!</v>
      </c>
      <c r="AF229" s="130">
        <f t="shared" si="255"/>
        <v>1</v>
      </c>
      <c r="AG229" s="234">
        <f t="shared" si="239"/>
        <v>0</v>
      </c>
      <c r="AH229" s="1753" t="str">
        <f>IF(T229="","",(IF(ISNUMBER(SEARCH("exit",T229)),8760,IF(AND(M229="Dusk to Dawn",'Proposed Lighting'!AU229=3),4059,IF(AND(AU229=3,M229="1"),0,IF(AND(AU229=3,M229="1-C"),0,IF(AND(AU229=3,M229="2"),0,IF(AND(AU229=3,M229="2-C"),0,IF(AND(AU229=3,M229="3"),0,IF(AND(AU229=3,M229="3-C"),0,IF(AND(AU229=2,M229="Dusk to Dawn"),0,IF(AND(AU229=2,M229="Dusk to Dawn-C"),0,IF(AND(AU229=2,M229="Dusk to Dawn"),0,IF(AND(AU229=2,M229="E"),0,IF(AND(AU229=2,M229="E-C"),0,EG229)))))))))))))))</f>
        <v/>
      </c>
      <c r="AI229" s="1754"/>
      <c r="AJ229" s="1136"/>
      <c r="AK229" s="1136"/>
      <c r="AL229" s="1748">
        <f t="shared" si="256"/>
        <v>0</v>
      </c>
      <c r="AM229" s="1749"/>
      <c r="AN229" s="1750"/>
      <c r="AO229" s="476">
        <f t="shared" si="240"/>
        <v>0</v>
      </c>
      <c r="AP229" s="476">
        <f t="shared" si="257"/>
        <v>0</v>
      </c>
      <c r="AQ229" s="475">
        <f t="shared" si="241"/>
        <v>0</v>
      </c>
      <c r="AR229" s="475">
        <f t="shared" si="258"/>
        <v>0</v>
      </c>
      <c r="AS229" s="743" t="str">
        <f t="shared" si="310"/>
        <v/>
      </c>
      <c r="AT229" s="736" t="str">
        <f t="shared" si="259"/>
        <v/>
      </c>
      <c r="AU229" s="56">
        <f t="shared" si="260"/>
        <v>1</v>
      </c>
      <c r="AV229" s="476">
        <f t="shared" si="261"/>
        <v>0</v>
      </c>
      <c r="AW229" s="56">
        <f t="shared" si="262"/>
        <v>0</v>
      </c>
      <c r="AX229" s="475">
        <f t="shared" si="242"/>
        <v>0</v>
      </c>
      <c r="AY229" s="1169">
        <f t="shared" si="263"/>
        <v>0</v>
      </c>
      <c r="AZ229" s="1150">
        <f t="shared" si="302"/>
        <v>0</v>
      </c>
      <c r="BA229" s="56">
        <f t="shared" si="243"/>
        <v>0</v>
      </c>
      <c r="BB229" s="420">
        <f t="shared" si="244"/>
        <v>0</v>
      </c>
      <c r="BC229" s="58" t="str">
        <f t="shared" si="245"/>
        <v/>
      </c>
      <c r="BD229" s="660">
        <f t="shared" si="303"/>
        <v>0</v>
      </c>
      <c r="BE229" s="57" t="e">
        <f t="array" ref="BE229">INDEX($EB$11:$ED$1022,MATCH(F229&amp;T229,$EB$11:$EB$1007&amp;$EC$11:$EC$1007,0),3)</f>
        <v>#N/A</v>
      </c>
      <c r="BF229" s="463">
        <f t="shared" si="234"/>
        <v>0</v>
      </c>
      <c r="BG229" s="1445" t="e">
        <f t="array" ref="BG229">INDEX($DO$112:$DQ$123,MATCH(T229&amp;W229,$DO$114:$DO$125&amp;$DP$112:$DP$123,0),3)</f>
        <v>#N/A</v>
      </c>
      <c r="BH229" s="1446">
        <f t="shared" si="264"/>
        <v>0</v>
      </c>
      <c r="BI229" s="465">
        <f t="shared" si="265"/>
        <v>0</v>
      </c>
      <c r="BJ229" s="465">
        <f t="shared" si="266"/>
        <v>0</v>
      </c>
      <c r="BK229" s="466">
        <f t="shared" si="235"/>
        <v>0</v>
      </c>
      <c r="BL229" s="466">
        <f t="shared" si="236"/>
        <v>0</v>
      </c>
      <c r="BM229" s="466">
        <f t="shared" si="267"/>
        <v>0</v>
      </c>
      <c r="BN229" s="466">
        <f t="shared" si="268"/>
        <v>0</v>
      </c>
      <c r="BO229" s="463">
        <f>IF('Data Entry'!$C$74=0,0,IF(ISNA(CJ229),0,IF(AX229=0,0,IF(AND('Data Entry'!$C$74=2,AF229&gt;2,CE229&lt;1),0,IF(AND('Data Entry'!$C$74=2,AF229&gt;1,AU229=2,CJ229&gt;1),0,IF(AND(AF229=5,CT229=0.5,AU229=2,ER229&lt;100),0,IF(AND(AF229=5,CT229=0.5,AU229=3,ER229&lt;100),0,IF(AND('Data Entry'!$C$74=2,AF229=2,AU229=2,AK229&gt;0.01,CB229=2,CE229&lt;1),0,IF(AND('Data Entry'!$C$74=2,AF229=3,AU229=3,AK229&gt;0.01,CB229=3,CE229&lt;1),0,IF(AND('Data Entry'!$C$74=2,AF229=3,AU229=3,AK229&gt;0.01,CB229=3,CE229&gt;0.99),BQ229*0.08,IF(AND('Data Entry'!$C$74=2,AF229=2,AU229=2,AK229&gt;0.01,CB229=2,CE229&gt;0.99),BQ229*0.1,IF(AND(AU229=2,AK229&gt;0.01,CB229=2,CD229&gt;1),BQ229*0.1,IF(AND(AU229=3,AK229&gt;0.01,CB229=3,CD229&gt;1),BQ229*0.08,CJ229*EF229)))))))))))))</f>
        <v>0</v>
      </c>
      <c r="BP229" s="475">
        <f t="shared" si="269"/>
        <v>0</v>
      </c>
      <c r="BQ229" s="1431">
        <f>IF(AU229=1,0,IF(CH229=100,0,IF(AND(AF229=3,AU229=2),0,IF(AND(BH229=0,CT229&gt;0.4),0,IF(AND('Data Entry'!$C$74=2,AF229=1.5),0,IF(AND('Data Entry'!$C$74=2,AF229=1.6),0,IF(AND('Data Entry'!$C$74=2,AF229=4),0,IF(AND('Data Entry'!$C$74=2,AF229=5),0,IF(AND('Data Entry'!$C$74=2,AF229=2.5,CE229&lt;1),0,IF(AND('Data Entry'!$C$74=2,AF229=3,CE229&lt;1),0,IF(AND('Data Entry'!$C$74=1,AF229=2.5,CD229&lt;1),0,IF(AND('Data Entry'!$C$74=1,AF229=3,CD229&lt;1),0,IF(DX229&gt;0.01,DX229,IF(ISERROR(AX229-AY229),"",ROUND(AX229-AY229,2)))))))))))))))</f>
        <v>0</v>
      </c>
      <c r="BR229" s="146">
        <f t="shared" si="270"/>
        <v>0</v>
      </c>
      <c r="BS229" s="475">
        <f t="shared" si="271"/>
        <v>0</v>
      </c>
      <c r="BT229" s="146" t="b">
        <f t="shared" si="272"/>
        <v>0</v>
      </c>
      <c r="BU229" s="463">
        <f>IF(ISNA(AT229),0,IF(AND('Data Entry'!$C$74=2,BC229=27),0,IF(AND('Data Entry'!$C$74=2,BC229=28),0,IF(AND(BC229=27,BT229=27,CM229&gt;0.1),CM229*0.15,IF(AND(BC229=28,BT229=28,CM229&gt;0.1),CM229*0.12,0)))))</f>
        <v>0</v>
      </c>
      <c r="BV229" s="463">
        <f t="shared" si="309"/>
        <v>0</v>
      </c>
      <c r="BW229" s="463">
        <f t="shared" si="273"/>
        <v>0</v>
      </c>
      <c r="BX229" s="463">
        <f t="shared" si="274"/>
        <v>0</v>
      </c>
      <c r="BY229" s="463">
        <f t="shared" si="275"/>
        <v>0</v>
      </c>
      <c r="BZ229" s="463">
        <f t="shared" si="276"/>
        <v>0</v>
      </c>
      <c r="CA229" s="57">
        <f t="shared" si="304"/>
        <v>0</v>
      </c>
      <c r="CB229" s="56">
        <f t="shared" si="277"/>
        <v>1</v>
      </c>
      <c r="CC229" s="756">
        <f>IF(EE229=0,0,IF(EF229=0,0,IF(EE229&gt;AA229,0,IF(AND(AZ229&gt;AW229,AW229&gt;0),0,IF(CU229=0,0,Summary!AC532)))))</f>
        <v>0</v>
      </c>
      <c r="CD229" s="756">
        <f>IF(EE229=0,0,IF(EF229=0,0,IF(EE229&gt;AA229,0,IF(AND(AZ229&gt;AW229,AW229&gt;0),0,IF(CU229=0,0,Summary!AD532)))))</f>
        <v>0</v>
      </c>
      <c r="CE229" s="756">
        <f>IF(EF229=0,0,IF(EE229&gt;AA229,0,IF(CC229=0,0,IF(AND(AZ229&gt;AW229,AW229&gt;0),0,IF(CU229=0,0,Summary!AE532)))))</f>
        <v>0</v>
      </c>
      <c r="CF229" s="475">
        <f t="shared" si="278"/>
        <v>0</v>
      </c>
      <c r="CG229" s="476">
        <f t="shared" si="246"/>
        <v>0</v>
      </c>
      <c r="CH229" s="487">
        <f t="shared" si="279"/>
        <v>0</v>
      </c>
      <c r="CI229" s="756">
        <f t="shared" si="280"/>
        <v>0</v>
      </c>
      <c r="CJ229" s="487">
        <f>IF(CT229&gt;0.4,0,IF(AND(AU229=2,CH229=0,CT229=0.5,ER229=100),35,IF(AND(AU229=3,BB229&gt;75,CH229=0,CT229=0.5,ER229=100),25,IF(CB229&gt;1,0,IF(EF229&gt;EE229,0,IF(AND(AF229&gt;1,CH229=100),0,IF(AND(AF229=1,AY229=0),0,IF(AND(EF229&lt;=EE229,AW229&gt;=AZ229,'Data Entry'!$C$74=1,AU229=2),VLOOKUP(W229,$DO$96:$DP$102,2,FALSE),IF(AND(EF229&lt;=EE229,AW229&gt;=AZ229,AU229=3,'Data Entry'!$C$74=1),VLOOKUP(W229,$DO$127:$DP$134,2,FALSE))))))))))</f>
        <v>0</v>
      </c>
      <c r="CK229" s="716">
        <f t="shared" si="281"/>
        <v>0</v>
      </c>
      <c r="CL229" s="57">
        <f t="shared" si="282"/>
        <v>0</v>
      </c>
      <c r="CM229" s="475">
        <f t="shared" si="308"/>
        <v>0</v>
      </c>
      <c r="CN229" s="660">
        <f>IF(CM229&lt;0.1,0,IF(ISNA(AT229),0,IF(CL229+BC229=1,0,IF(BV229&gt;0.01,0,IF(CL229&gt;0.01,0,IF(CF229=1,0,IF(BC229=0.5,0,IF(AND(CI229=1,AU229=3),0,IF(AND(CI229=5,CL229=0),0,IF(AND(R229=12,BR229=50),0,IF(CK229&gt;0.01,0,IF(AND(AJ229&gt;0.01,AU229=2,BC229=15),CM229*0.1,IF(AND(AJ229&gt;0.01,AU229=3,BC229=15),CM229*0.08,IF(AND(R229=12,BC229=3,AF229&lt;=0),0,IF(AND(BC229=15,BI229=0),0,IF(AND(BC229=15,BJ229=0),0,IF(AND(R229=20,CU229=0),0,IF($X$4=0,0,IF(AND(BC229=250,CL229=0),0,IF(AA229&lt;1,0,IF(AND(ISNUMBER(SEARCH("Area",T229)),AU229=3),0,IF(AND(AQ229&gt;0.01,AR229=0,BK229=0,BL229=0,BM229=0,BN229=0),0,IF(AND(AU229=3,CI229=7,CT229&gt;0.5),0,IF(AND(BC229=44,AU229=3,BY229=0),0,IF(AND(BC229=27,'Data Entry'!$C$74=2),0,IF(AND(BC229=28,'Data Entry'!$C$74=2),0,IF(AND(BY229+BZ229+CA229&gt;0.01,BV229=0,EQ229+ER229+ES229+ET229&lt;100),0,IF(AU229=3,CM229*0.08,IF(AU229=2,CM229*0.1,0)))))))))))))))))))))))))))))</f>
        <v>0</v>
      </c>
      <c r="CO229" s="660">
        <f t="shared" si="283"/>
        <v>0</v>
      </c>
      <c r="CP229" s="475" t="str">
        <f t="shared" si="284"/>
        <v/>
      </c>
      <c r="CQ229" s="161" t="str">
        <f>IF(AH229=0,0,IF(AU229=5,0,Summary!AC232))</f>
        <v/>
      </c>
      <c r="CR229" s="161" t="str">
        <f>IF(BF229=0.5,0,IF(AU229=5,0,Summary!AD232))</f>
        <v/>
      </c>
      <c r="CS229" s="161" t="str">
        <f>IF(AU229=5,0,Summary!AE232)</f>
        <v/>
      </c>
      <c r="CT229" s="161">
        <f t="shared" si="285"/>
        <v>0</v>
      </c>
      <c r="CU229" s="475" t="str">
        <f t="shared" si="286"/>
        <v/>
      </c>
      <c r="CV229" s="307">
        <f>IF('Data Entry'!$C$74=0,0,IF(AA229&lt;1,0,IF(ISERROR(CU229),0,IF(CF229=1,0,IF(AND(R229=12,BR229=50),0,IF(CL229+BO229+BV229+DC229=0,0,IF(BC229=37,0,IF(AND(BC229=40,AJ229=0),0,IF(AND(BC229=37,BO229&gt;0.01,BQ229&gt;0.01),ROUND(BQ229,0),IF(CM229&lt;0,0,ROUND(CM229,0)))))))))))</f>
        <v>0</v>
      </c>
      <c r="CW229" s="700">
        <f t="shared" si="287"/>
        <v>0</v>
      </c>
      <c r="CX229" s="477">
        <f>IF('Data Entry'!$C$74=0,0,IF(CV229&lt;0.01,0,IF(BF229=0.5,0,IF(CF229=1,0,IF(ISNUMBER(SEARCH("false",CL229)),0,IF(AZ229=500,0,CL229))))))</f>
        <v>0</v>
      </c>
      <c r="CY229" s="147" t="e">
        <f t="shared" si="288"/>
        <v>#VALUE!</v>
      </c>
      <c r="CZ229" s="147" t="b">
        <f>IF(CN229+CL229=0,FALSE,IF(AH229=0,0,IF(AND('Data Entry'!$C$74=1,CR229&gt;=1),TRUE,IF(AND('Data Entry'!$C$74=2,CS229&gt;=1),TRUE,FALSE))))</f>
        <v>0</v>
      </c>
      <c r="DA229" s="1751">
        <f>IF('Data Entry'!$C$74=0,0,IFERROR(ROUND(IF(T229="","",IF($X$4=0,0,IF(CF229=1,0,IF(BQ229+CV229=0,0,IF(CF229=1,0,IF(CY229&gt;0.01,CY229,IF(CL229&gt;0.01,CL229,IF(CY229&gt;0.01,CY229,IF(BC229=37,BO229,IF(CZ229=FALSE,0,IF(CZ229=TRUE,DC229+DF229,0))))))))))),2),""))</f>
        <v>0</v>
      </c>
      <c r="DB229" s="1752"/>
      <c r="DC229" s="474">
        <f>IF(CN229&lt;0.01,0,IF(AND(BR229=3,CN229&gt;0.01,CT229&gt;0.6,ER229+ES229+ET229&lt;100),0,IF(AND('Data Entry'!$C$74=1,CN229&gt;0.01,CR229&gt;0.99),MIN(CN229:CO229),IF(AND('Data Entry'!$C$74=2,CN229&gt;0.01,CS229&gt;0.99),MIN(CN229:CO229),0))))</f>
        <v>0</v>
      </c>
      <c r="DD229" s="478">
        <f>IF(CF229=1,"Selection does not match",IF(T229=0,0,IF(AND('Data Entry'!$C$74=0,CP229&gt;1),"Select Oregon or Idaho on Data Entry Tab",IF(AND(AU229=1,AA229&gt;0.9),"Missing Interior or Exterior Selection",IF($X$4=0,"Enter Total Project Cost",IF(AQ229&lt;AR229,"Insufficient kWh savings – no incentive",IF(AND(SUM(CL229+CK229+BV229)&gt;0.01,'Data Entry'!$C$74=2,CJ229&gt;1,BO229=0),"Submit Control as Non-Standard",IF(AND('Data Entry'!$C$74=2,BR229=37,CJ229&gt;1,BO229=0),"Submit Control as Non-Standard",IF(SUM(CL229+CK229+BV229)&gt;0.01,"Standard Incentive",IF(AND('Data Entry'!$C$74=2,CP229=7,CN229=0),"Submit as Non-Standard",IF(DC229&gt;0.9,"Non-Standard Incentive",IF(AND(BY229+BZ229+CA229&gt;0.01,BV229=0,EQ229=0,ER229=0,ES229=0,ET229=0),"Scroll Right &amp; Select Control Strategies",IF(AND(CN229&gt;0.01,CO229=0),"Enter Unit Installed Cost",IF(ISNUMBER(SEARCH("Lighting Controls Only",F229)),"Lighting Controls Only",IF(CL229+DC229=0,"Does not meet incentive criteria",0)))))))))))))))</f>
        <v>0</v>
      </c>
      <c r="DE229" s="337">
        <f t="shared" si="289"/>
        <v>0</v>
      </c>
      <c r="DF229" s="609">
        <f t="shared" si="290"/>
        <v>0</v>
      </c>
      <c r="DG229" s="336" t="str">
        <f t="shared" si="291"/>
        <v/>
      </c>
      <c r="DH229" s="338">
        <f t="shared" si="292"/>
        <v>1</v>
      </c>
      <c r="DI229" s="336" t="e">
        <f t="shared" si="247"/>
        <v>#VALUE!</v>
      </c>
      <c r="DJ229" s="338">
        <f t="shared" si="248"/>
        <v>0</v>
      </c>
      <c r="DO229" s="72"/>
      <c r="DQ229" s="376" t="s">
        <v>73</v>
      </c>
      <c r="DR229" s="704">
        <v>0</v>
      </c>
      <c r="DS229" s="1195">
        <f t="shared" si="293"/>
        <v>0</v>
      </c>
      <c r="DT229" s="344" t="b">
        <f t="shared" si="294"/>
        <v>1</v>
      </c>
      <c r="DU229" s="1314" t="str">
        <f t="array" ref="DU229">IF(OR(COUNTIF(F229,"*"&amp;$DK$9:$DK$178&amp;"*")), "Yes", "")</f>
        <v/>
      </c>
      <c r="DV229" s="1314">
        <f t="shared" si="295"/>
        <v>0</v>
      </c>
      <c r="DW229" s="1480">
        <f t="shared" si="296"/>
        <v>0</v>
      </c>
      <c r="DX229" s="1498">
        <f t="shared" si="305"/>
        <v>0</v>
      </c>
      <c r="DY229" s="1484">
        <f t="shared" si="297"/>
        <v>0</v>
      </c>
      <c r="DZ229" s="331"/>
      <c r="EA229" s="392"/>
      <c r="EB229" s="1499" t="s">
        <v>153</v>
      </c>
      <c r="EC229" s="727" t="s">
        <v>1569</v>
      </c>
      <c r="ED229" s="728">
        <v>0.5</v>
      </c>
      <c r="EE229" s="1215"/>
      <c r="EF229" s="1215"/>
      <c r="EG229" s="1184" t="str">
        <f t="shared" si="298"/>
        <v/>
      </c>
      <c r="EH229" s="81"/>
      <c r="EI229" s="81"/>
      <c r="EJ229" s="1185">
        <f t="shared" si="249"/>
        <v>0</v>
      </c>
      <c r="EK229" s="1211"/>
      <c r="EL229" s="1180">
        <f t="shared" si="250"/>
        <v>0</v>
      </c>
      <c r="EM229" s="206"/>
      <c r="EN229" s="1038"/>
      <c r="EO229" s="1038"/>
      <c r="EP229" s="1038"/>
      <c r="EQ229" s="1038">
        <f t="shared" si="299"/>
        <v>0</v>
      </c>
      <c r="ER229" s="1041">
        <f t="shared" si="300"/>
        <v>0</v>
      </c>
      <c r="ES229" s="1042">
        <f t="shared" si="301"/>
        <v>0</v>
      </c>
      <c r="ET229" s="1042">
        <f t="shared" si="306"/>
        <v>0</v>
      </c>
      <c r="EU229" s="1021">
        <f t="shared" si="307"/>
        <v>0</v>
      </c>
      <c r="EV229" s="368"/>
      <c r="EW229" s="368"/>
      <c r="EX229" s="369"/>
      <c r="EY229" s="370"/>
      <c r="EZ229" s="370"/>
      <c r="FA229" s="371"/>
      <c r="FB229" s="372"/>
    </row>
    <row r="230" spans="1:158" ht="34.5" customHeight="1">
      <c r="A230" s="82">
        <v>222</v>
      </c>
      <c r="B230" s="1806"/>
      <c r="C230" s="1807"/>
      <c r="D230" s="1807"/>
      <c r="E230" s="1808"/>
      <c r="F230" s="1809"/>
      <c r="G230" s="1810"/>
      <c r="H230" s="1810"/>
      <c r="I230" s="1811"/>
      <c r="J230" s="1301"/>
      <c r="K230" s="1814"/>
      <c r="L230" s="1814"/>
      <c r="M230" s="1017"/>
      <c r="N230" s="1584"/>
      <c r="O230" s="208" t="str">
        <f t="shared" si="237"/>
        <v/>
      </c>
      <c r="P230" s="785"/>
      <c r="Q230" s="39" t="str">
        <f t="shared" si="238"/>
        <v/>
      </c>
      <c r="R230" s="39">
        <f t="shared" si="251"/>
        <v>0</v>
      </c>
      <c r="S230" s="234">
        <f t="shared" si="252"/>
        <v>0</v>
      </c>
      <c r="T230" s="1815"/>
      <c r="U230" s="1815"/>
      <c r="V230" s="1815"/>
      <c r="W230" s="1121"/>
      <c r="X230" s="1812"/>
      <c r="Y230" s="1813"/>
      <c r="Z230" s="703"/>
      <c r="AA230" s="1280"/>
      <c r="AB230" s="1141"/>
      <c r="AC230" s="1103" t="str">
        <f>IF(T230="","",VLOOKUP(Z230,Lists!$A$60:$B$111,2,FALSE))</f>
        <v/>
      </c>
      <c r="AD230" s="130" t="str">
        <f t="shared" si="253"/>
        <v/>
      </c>
      <c r="AE230" s="130" t="e">
        <f t="shared" si="254"/>
        <v>#VALUE!</v>
      </c>
      <c r="AF230" s="130">
        <f t="shared" si="255"/>
        <v>1</v>
      </c>
      <c r="AG230" s="234">
        <f t="shared" si="239"/>
        <v>0</v>
      </c>
      <c r="AH230" s="1753" t="str">
        <f>IF(T230="","",(IF(ISNUMBER(SEARCH("exit",T230)),8760,IF(AND(M230="Dusk to Dawn",'Proposed Lighting'!AU230=3),4059,IF(AND(AU230=3,M230="1"),0,IF(AND(AU230=3,M230="1-C"),0,IF(AND(AU230=3,M230="2"),0,IF(AND(AU230=3,M230="2-C"),0,IF(AND(AU230=3,M230="3"),0,IF(AND(AU230=3,M230="3-C"),0,IF(AND(AU230=2,M230="Dusk to Dawn"),0,IF(AND(AU230=2,M230="Dusk to Dawn-C"),0,IF(AND(AU230=2,M230="Dusk to Dawn"),0,IF(AND(AU230=2,M230="E"),0,IF(AND(AU230=2,M230="E-C"),0,EG230)))))))))))))))</f>
        <v/>
      </c>
      <c r="AI230" s="1754"/>
      <c r="AJ230" s="1136"/>
      <c r="AK230" s="1136"/>
      <c r="AL230" s="1748">
        <f t="shared" si="256"/>
        <v>0</v>
      </c>
      <c r="AM230" s="1749"/>
      <c r="AN230" s="1750"/>
      <c r="AO230" s="476">
        <f t="shared" si="240"/>
        <v>0</v>
      </c>
      <c r="AP230" s="476">
        <f t="shared" si="257"/>
        <v>0</v>
      </c>
      <c r="AQ230" s="475">
        <f t="shared" si="241"/>
        <v>0</v>
      </c>
      <c r="AR230" s="475">
        <f t="shared" si="258"/>
        <v>0</v>
      </c>
      <c r="AS230" s="743" t="str">
        <f t="shared" si="310"/>
        <v/>
      </c>
      <c r="AT230" s="736" t="str">
        <f t="shared" si="259"/>
        <v/>
      </c>
      <c r="AU230" s="56">
        <f t="shared" si="260"/>
        <v>1</v>
      </c>
      <c r="AV230" s="476">
        <f t="shared" si="261"/>
        <v>0</v>
      </c>
      <c r="AW230" s="56">
        <f t="shared" si="262"/>
        <v>0</v>
      </c>
      <c r="AX230" s="475">
        <f t="shared" si="242"/>
        <v>0</v>
      </c>
      <c r="AY230" s="1169">
        <f t="shared" si="263"/>
        <v>0</v>
      </c>
      <c r="AZ230" s="1150">
        <f t="shared" si="302"/>
        <v>0</v>
      </c>
      <c r="BA230" s="56">
        <f t="shared" si="243"/>
        <v>0</v>
      </c>
      <c r="BB230" s="420">
        <f t="shared" si="244"/>
        <v>0</v>
      </c>
      <c r="BC230" s="58" t="str">
        <f t="shared" si="245"/>
        <v/>
      </c>
      <c r="BD230" s="660">
        <f t="shared" si="303"/>
        <v>0</v>
      </c>
      <c r="BE230" s="57" t="e">
        <f t="array" ref="BE230">INDEX($EB$11:$ED$1022,MATCH(F230&amp;T230,$EB$11:$EB$1007&amp;$EC$11:$EC$1007,0),3)</f>
        <v>#N/A</v>
      </c>
      <c r="BF230" s="463">
        <f t="shared" si="234"/>
        <v>0</v>
      </c>
      <c r="BG230" s="1445" t="e">
        <f t="array" ref="BG230">INDEX($DO$112:$DQ$123,MATCH(T230&amp;W230,$DO$114:$DO$125&amp;$DP$112:$DP$123,0),3)</f>
        <v>#N/A</v>
      </c>
      <c r="BH230" s="1446">
        <f t="shared" si="264"/>
        <v>0</v>
      </c>
      <c r="BI230" s="465">
        <f t="shared" si="265"/>
        <v>0</v>
      </c>
      <c r="BJ230" s="465">
        <f t="shared" si="266"/>
        <v>0</v>
      </c>
      <c r="BK230" s="466">
        <f t="shared" si="235"/>
        <v>0</v>
      </c>
      <c r="BL230" s="466">
        <f t="shared" si="236"/>
        <v>0</v>
      </c>
      <c r="BM230" s="466">
        <f t="shared" si="267"/>
        <v>0</v>
      </c>
      <c r="BN230" s="466">
        <f t="shared" si="268"/>
        <v>0</v>
      </c>
      <c r="BO230" s="463">
        <f>IF('Data Entry'!$C$74=0,0,IF(ISNA(CJ230),0,IF(AX230=0,0,IF(AND('Data Entry'!$C$74=2,AF230&gt;2,CE230&lt;1),0,IF(AND('Data Entry'!$C$74=2,AF230&gt;1,AU230=2,CJ230&gt;1),0,IF(AND(AF230=5,CT230=0.5,AU230=2,ER230&lt;100),0,IF(AND(AF230=5,CT230=0.5,AU230=3,ER230&lt;100),0,IF(AND('Data Entry'!$C$74=2,AF230=2,AU230=2,AK230&gt;0.01,CB230=2,CE230&lt;1),0,IF(AND('Data Entry'!$C$74=2,AF230=3,AU230=3,AK230&gt;0.01,CB230=3,CE230&lt;1),0,IF(AND('Data Entry'!$C$74=2,AF230=3,AU230=3,AK230&gt;0.01,CB230=3,CE230&gt;0.99),BQ230*0.08,IF(AND('Data Entry'!$C$74=2,AF230=2,AU230=2,AK230&gt;0.01,CB230=2,CE230&gt;0.99),BQ230*0.1,IF(AND(AU230=2,AK230&gt;0.01,CB230=2,CD230&gt;1),BQ230*0.1,IF(AND(AU230=3,AK230&gt;0.01,CB230=3,CD230&gt;1),BQ230*0.08,CJ230*EF230)))))))))))))</f>
        <v>0</v>
      </c>
      <c r="BP230" s="475">
        <f t="shared" si="269"/>
        <v>0</v>
      </c>
      <c r="BQ230" s="1431">
        <f>IF(AU230=1,0,IF(CH230=100,0,IF(AND(AF230=3,AU230=2),0,IF(AND(BH230=0,CT230&gt;0.4),0,IF(AND('Data Entry'!$C$74=2,AF230=1.5),0,IF(AND('Data Entry'!$C$74=2,AF230=1.6),0,IF(AND('Data Entry'!$C$74=2,AF230=4),0,IF(AND('Data Entry'!$C$74=2,AF230=5),0,IF(AND('Data Entry'!$C$74=2,AF230=2.5,CE230&lt;1),0,IF(AND('Data Entry'!$C$74=2,AF230=3,CE230&lt;1),0,IF(AND('Data Entry'!$C$74=1,AF230=2.5,CD230&lt;1),0,IF(AND('Data Entry'!$C$74=1,AF230=3,CD230&lt;1),0,IF(DX230&gt;0.01,DX230,IF(ISERROR(AX230-AY230),"",ROUND(AX230-AY230,2)))))))))))))))</f>
        <v>0</v>
      </c>
      <c r="BR230" s="146">
        <f t="shared" si="270"/>
        <v>0</v>
      </c>
      <c r="BS230" s="475">
        <f t="shared" si="271"/>
        <v>0</v>
      </c>
      <c r="BT230" s="146" t="b">
        <f t="shared" si="272"/>
        <v>0</v>
      </c>
      <c r="BU230" s="463">
        <f>IF(ISNA(AT230),0,IF(AND('Data Entry'!$C$74=2,BC230=27),0,IF(AND('Data Entry'!$C$74=2,BC230=28),0,IF(AND(BC230=27,BT230=27,CM230&gt;0.1),CM230*0.15,IF(AND(BC230=28,BT230=28,CM230&gt;0.1),CM230*0.12,0)))))</f>
        <v>0</v>
      </c>
      <c r="BV230" s="463">
        <f t="shared" si="309"/>
        <v>0</v>
      </c>
      <c r="BW230" s="463">
        <f t="shared" si="273"/>
        <v>0</v>
      </c>
      <c r="BX230" s="463">
        <f t="shared" si="274"/>
        <v>0</v>
      </c>
      <c r="BY230" s="463">
        <f t="shared" si="275"/>
        <v>0</v>
      </c>
      <c r="BZ230" s="463">
        <f t="shared" si="276"/>
        <v>0</v>
      </c>
      <c r="CA230" s="57">
        <f t="shared" si="304"/>
        <v>0</v>
      </c>
      <c r="CB230" s="56">
        <f t="shared" si="277"/>
        <v>1</v>
      </c>
      <c r="CC230" s="756">
        <f>IF(EE230=0,0,IF(EF230=0,0,IF(EE230&gt;AA230,0,IF(AND(AZ230&gt;AW230,AW230&gt;0),0,IF(CU230=0,0,Summary!AC533)))))</f>
        <v>0</v>
      </c>
      <c r="CD230" s="756">
        <f>IF(EE230=0,0,IF(EF230=0,0,IF(EE230&gt;AA230,0,IF(AND(AZ230&gt;AW230,AW230&gt;0),0,IF(CU230=0,0,Summary!AD533)))))</f>
        <v>0</v>
      </c>
      <c r="CE230" s="756">
        <f>IF(EF230=0,0,IF(EE230&gt;AA230,0,IF(CC230=0,0,IF(AND(AZ230&gt;AW230,AW230&gt;0),0,IF(CU230=0,0,Summary!AE533)))))</f>
        <v>0</v>
      </c>
      <c r="CF230" s="475">
        <f t="shared" si="278"/>
        <v>0</v>
      </c>
      <c r="CG230" s="476">
        <f t="shared" si="246"/>
        <v>0</v>
      </c>
      <c r="CH230" s="487">
        <f t="shared" si="279"/>
        <v>0</v>
      </c>
      <c r="CI230" s="756">
        <f t="shared" si="280"/>
        <v>0</v>
      </c>
      <c r="CJ230" s="487">
        <f>IF(CT230&gt;0.4,0,IF(AND(AU230=2,CH230=0,CT230=0.5,ER230=100),35,IF(AND(AU230=3,BB230&gt;75,CH230=0,CT230=0.5,ER230=100),25,IF(CB230&gt;1,0,IF(EF230&gt;EE230,0,IF(AND(AF230&gt;1,CH230=100),0,IF(AND(AF230=1,AY230=0),0,IF(AND(EF230&lt;=EE230,AW230&gt;=AZ230,'Data Entry'!$C$74=1,AU230=2),VLOOKUP(W230,$DO$96:$DP$102,2,FALSE),IF(AND(EF230&lt;=EE230,AW230&gt;=AZ230,AU230=3,'Data Entry'!$C$74=1),VLOOKUP(W230,$DO$127:$DP$134,2,FALSE))))))))))</f>
        <v>0</v>
      </c>
      <c r="CK230" s="716">
        <f t="shared" si="281"/>
        <v>0</v>
      </c>
      <c r="CL230" s="57">
        <f t="shared" si="282"/>
        <v>0</v>
      </c>
      <c r="CM230" s="475">
        <f t="shared" si="308"/>
        <v>0</v>
      </c>
      <c r="CN230" s="660">
        <f>IF(CM230&lt;0.1,0,IF(ISNA(AT230),0,IF(CL230+BC230=1,0,IF(BV230&gt;0.01,0,IF(CL230&gt;0.01,0,IF(CF230=1,0,IF(BC230=0.5,0,IF(AND(CI230=1,AU230=3),0,IF(AND(CI230=5,CL230=0),0,IF(AND(R230=12,BR230=50),0,IF(CK230&gt;0.01,0,IF(AND(AJ230&gt;0.01,AU230=2,BC230=15),CM230*0.1,IF(AND(AJ230&gt;0.01,AU230=3,BC230=15),CM230*0.08,IF(AND(R230=12,BC230=3,AF230&lt;=0),0,IF(AND(BC230=15,BI230=0),0,IF(AND(BC230=15,BJ230=0),0,IF(AND(R230=20,CU230=0),0,IF($X$4=0,0,IF(AND(BC230=250,CL230=0),0,IF(AA230&lt;1,0,IF(AND(ISNUMBER(SEARCH("Area",T230)),AU230=3),0,IF(AND(AQ230&gt;0.01,AR230=0,BK230=0,BL230=0,BM230=0,BN230=0),0,IF(AND(AU230=3,CI230=7,CT230&gt;0.5),0,IF(AND(BC230=44,AU230=3,BY230=0),0,IF(AND(BC230=27,'Data Entry'!$C$74=2),0,IF(AND(BC230=28,'Data Entry'!$C$74=2),0,IF(AND(BY230+BZ230+CA230&gt;0.01,BV230=0,EQ230+ER230+ES230+ET230&lt;100),0,IF(AU230=3,CM230*0.08,IF(AU230=2,CM230*0.1,0)))))))))))))))))))))))))))))</f>
        <v>0</v>
      </c>
      <c r="CO230" s="660">
        <f t="shared" si="283"/>
        <v>0</v>
      </c>
      <c r="CP230" s="475" t="str">
        <f t="shared" si="284"/>
        <v/>
      </c>
      <c r="CQ230" s="161" t="str">
        <f>IF(AH230=0,0,IF(AU230=5,0,Summary!AC233))</f>
        <v/>
      </c>
      <c r="CR230" s="161" t="str">
        <f>IF(BF230=0.5,0,IF(AU230=5,0,Summary!AD233))</f>
        <v/>
      </c>
      <c r="CS230" s="161" t="str">
        <f>IF(AU230=5,0,Summary!AE233)</f>
        <v/>
      </c>
      <c r="CT230" s="161">
        <f t="shared" si="285"/>
        <v>0</v>
      </c>
      <c r="CU230" s="475" t="str">
        <f t="shared" si="286"/>
        <v/>
      </c>
      <c r="CV230" s="307">
        <f>IF('Data Entry'!$C$74=0,0,IF(AA230&lt;1,0,IF(ISERROR(CU230),0,IF(CF230=1,0,IF(AND(R230=12,BR230=50),0,IF(CL230+BO230+BV230+DC230=0,0,IF(BC230=37,0,IF(AND(BC230=40,AJ230=0),0,IF(AND(BC230=37,BO230&gt;0.01,BQ230&gt;0.01),ROUND(BQ230,0),IF(CM230&lt;0,0,ROUND(CM230,0)))))))))))</f>
        <v>0</v>
      </c>
      <c r="CW230" s="700">
        <f t="shared" si="287"/>
        <v>0</v>
      </c>
      <c r="CX230" s="477">
        <f>IF('Data Entry'!$C$74=0,0,IF(CV230&lt;0.01,0,IF(BF230=0.5,0,IF(CF230=1,0,IF(ISNUMBER(SEARCH("false",CL230)),0,IF(AZ230=500,0,CL230))))))</f>
        <v>0</v>
      </c>
      <c r="CY230" s="147" t="e">
        <f t="shared" si="288"/>
        <v>#VALUE!</v>
      </c>
      <c r="CZ230" s="147" t="b">
        <f>IF(CN230+CL230=0,FALSE,IF(AH230=0,0,IF(AND('Data Entry'!$C$74=1,CR230&gt;=1),TRUE,IF(AND('Data Entry'!$C$74=2,CS230&gt;=1),TRUE,FALSE))))</f>
        <v>0</v>
      </c>
      <c r="DA230" s="1751">
        <f>IF('Data Entry'!$C$74=0,0,IFERROR(ROUND(IF(T230="","",IF($X$4=0,0,IF(CF230=1,0,IF(BQ230+CV230=0,0,IF(CF230=1,0,IF(CY230&gt;0.01,CY230,IF(CL230&gt;0.01,CL230,IF(CY230&gt;0.01,CY230,IF(BC230=37,BO230,IF(CZ230=FALSE,0,IF(CZ230=TRUE,DC230+DF230,0))))))))))),2),""))</f>
        <v>0</v>
      </c>
      <c r="DB230" s="1752"/>
      <c r="DC230" s="474">
        <f>IF(CN230&lt;0.01,0,IF(AND(BR230=3,CN230&gt;0.01,CT230&gt;0.6,ER230+ES230+ET230&lt;100),0,IF(AND('Data Entry'!$C$74=1,CN230&gt;0.01,CR230&gt;0.99),MIN(CN230:CO230),IF(AND('Data Entry'!$C$74=2,CN230&gt;0.01,CS230&gt;0.99),MIN(CN230:CO230),0))))</f>
        <v>0</v>
      </c>
      <c r="DD230" s="478">
        <f>IF(CF230=1,"Selection does not match",IF(T230=0,0,IF(AND('Data Entry'!$C$74=0,CP230&gt;1),"Select Oregon or Idaho on Data Entry Tab",IF(AND(AU230=1,AA230&gt;0.9),"Missing Interior or Exterior Selection",IF($X$4=0,"Enter Total Project Cost",IF(AQ230&lt;AR230,"Insufficient kWh savings – no incentive",IF(AND(SUM(CL230+CK230+BV230)&gt;0.01,'Data Entry'!$C$74=2,CJ230&gt;1,BO230=0),"Submit Control as Non-Standard",IF(AND('Data Entry'!$C$74=2,BR230=37,CJ230&gt;1,BO230=0),"Submit Control as Non-Standard",IF(SUM(CL230+CK230+BV230)&gt;0.01,"Standard Incentive",IF(AND('Data Entry'!$C$74=2,CP230=7,CN230=0),"Submit as Non-Standard",IF(DC230&gt;0.9,"Non-Standard Incentive",IF(AND(BY230+BZ230+CA230&gt;0.01,BV230=0,EQ230=0,ER230=0,ES230=0,ET230=0),"Scroll Right &amp; Select Control Strategies",IF(AND(CN230&gt;0.01,CO230=0),"Enter Unit Installed Cost",IF(ISNUMBER(SEARCH("Lighting Controls Only",F230)),"Lighting Controls Only",IF(CL230+DC230=0,"Does not meet incentive criteria",0)))))))))))))))</f>
        <v>0</v>
      </c>
      <c r="DE230" s="337">
        <f t="shared" si="289"/>
        <v>0</v>
      </c>
      <c r="DF230" s="609">
        <f t="shared" si="290"/>
        <v>0</v>
      </c>
      <c r="DG230" s="336" t="str">
        <f t="shared" si="291"/>
        <v/>
      </c>
      <c r="DH230" s="338">
        <f t="shared" si="292"/>
        <v>1</v>
      </c>
      <c r="DI230" s="336" t="e">
        <f t="shared" si="247"/>
        <v>#VALUE!</v>
      </c>
      <c r="DJ230" s="338">
        <f t="shared" si="248"/>
        <v>0</v>
      </c>
      <c r="DO230" s="331"/>
      <c r="DQ230" s="376" t="s">
        <v>1566</v>
      </c>
      <c r="DR230" s="704">
        <v>0</v>
      </c>
      <c r="DS230" s="1195">
        <f t="shared" si="293"/>
        <v>0</v>
      </c>
      <c r="DT230" s="344" t="b">
        <f t="shared" si="294"/>
        <v>1</v>
      </c>
      <c r="DU230" s="1314" t="str">
        <f t="array" ref="DU230">IF(OR(COUNTIF(F230,"*"&amp;$DK$9:$DK$178&amp;"*")), "Yes", "")</f>
        <v/>
      </c>
      <c r="DV230" s="1314">
        <f t="shared" si="295"/>
        <v>0</v>
      </c>
      <c r="DW230" s="1480">
        <f t="shared" si="296"/>
        <v>0</v>
      </c>
      <c r="DX230" s="1498">
        <f t="shared" si="305"/>
        <v>0</v>
      </c>
      <c r="DY230" s="1484">
        <f t="shared" si="297"/>
        <v>0</v>
      </c>
      <c r="DZ230" s="331"/>
      <c r="EA230" s="392"/>
      <c r="EB230" s="1499" t="s">
        <v>154</v>
      </c>
      <c r="EC230" s="727" t="s">
        <v>1569</v>
      </c>
      <c r="ED230" s="728">
        <v>0.5</v>
      </c>
      <c r="EE230" s="1215"/>
      <c r="EF230" s="1215"/>
      <c r="EG230" s="1184" t="str">
        <f t="shared" si="298"/>
        <v/>
      </c>
      <c r="EH230" s="81"/>
      <c r="EI230" s="81"/>
      <c r="EJ230" s="1185">
        <f t="shared" si="249"/>
        <v>0</v>
      </c>
      <c r="EK230" s="1211"/>
      <c r="EL230" s="1180">
        <f t="shared" si="250"/>
        <v>0</v>
      </c>
      <c r="EM230" s="206"/>
      <c r="EN230" s="1038"/>
      <c r="EO230" s="1038"/>
      <c r="EP230" s="1038"/>
      <c r="EQ230" s="1038">
        <f t="shared" si="299"/>
        <v>0</v>
      </c>
      <c r="ER230" s="1041">
        <f t="shared" si="300"/>
        <v>0</v>
      </c>
      <c r="ES230" s="1042">
        <f t="shared" si="301"/>
        <v>0</v>
      </c>
      <c r="ET230" s="1042">
        <f t="shared" si="306"/>
        <v>0</v>
      </c>
      <c r="EU230" s="1021">
        <f t="shared" si="307"/>
        <v>0</v>
      </c>
      <c r="EV230" s="368"/>
      <c r="EW230" s="368"/>
      <c r="EX230" s="369"/>
      <c r="EY230" s="370"/>
      <c r="EZ230" s="370"/>
      <c r="FA230" s="371"/>
      <c r="FB230" s="372"/>
    </row>
    <row r="231" spans="1:158" ht="34.5" customHeight="1">
      <c r="A231" s="82">
        <v>223</v>
      </c>
      <c r="B231" s="1806"/>
      <c r="C231" s="1807"/>
      <c r="D231" s="1807"/>
      <c r="E231" s="1808"/>
      <c r="F231" s="1809"/>
      <c r="G231" s="1810"/>
      <c r="H231" s="1810"/>
      <c r="I231" s="1811"/>
      <c r="J231" s="1301"/>
      <c r="K231" s="1814"/>
      <c r="L231" s="1814"/>
      <c r="M231" s="1017"/>
      <c r="N231" s="1584"/>
      <c r="O231" s="208" t="str">
        <f t="shared" si="237"/>
        <v/>
      </c>
      <c r="P231" s="785"/>
      <c r="Q231" s="39" t="str">
        <f t="shared" si="238"/>
        <v/>
      </c>
      <c r="R231" s="39">
        <f t="shared" si="251"/>
        <v>0</v>
      </c>
      <c r="S231" s="234">
        <f t="shared" si="252"/>
        <v>0</v>
      </c>
      <c r="T231" s="1815"/>
      <c r="U231" s="1815"/>
      <c r="V231" s="1815"/>
      <c r="W231" s="1121"/>
      <c r="X231" s="1812"/>
      <c r="Y231" s="1813"/>
      <c r="Z231" s="703"/>
      <c r="AA231" s="1280"/>
      <c r="AB231" s="1141"/>
      <c r="AC231" s="1103" t="str">
        <f>IF(T231="","",VLOOKUP(Z231,Lists!$A$60:$B$111,2,FALSE))</f>
        <v/>
      </c>
      <c r="AD231" s="130" t="str">
        <f t="shared" si="253"/>
        <v/>
      </c>
      <c r="AE231" s="130" t="e">
        <f t="shared" si="254"/>
        <v>#VALUE!</v>
      </c>
      <c r="AF231" s="130">
        <f t="shared" si="255"/>
        <v>1</v>
      </c>
      <c r="AG231" s="234">
        <f t="shared" si="239"/>
        <v>0</v>
      </c>
      <c r="AH231" s="1753" t="str">
        <f>IF(T231="","",(IF(ISNUMBER(SEARCH("exit",T231)),8760,IF(AND(M231="Dusk to Dawn",'Proposed Lighting'!AU231=3),4059,IF(AND(AU231=3,M231="1"),0,IF(AND(AU231=3,M231="1-C"),0,IF(AND(AU231=3,M231="2"),0,IF(AND(AU231=3,M231="2-C"),0,IF(AND(AU231=3,M231="3"),0,IF(AND(AU231=3,M231="3-C"),0,IF(AND(AU231=2,M231="Dusk to Dawn"),0,IF(AND(AU231=2,M231="Dusk to Dawn-C"),0,IF(AND(AU231=2,M231="Dusk to Dawn"),0,IF(AND(AU231=2,M231="E"),0,IF(AND(AU231=2,M231="E-C"),0,EG231)))))))))))))))</f>
        <v/>
      </c>
      <c r="AI231" s="1754"/>
      <c r="AJ231" s="1136"/>
      <c r="AK231" s="1136"/>
      <c r="AL231" s="1748">
        <f t="shared" si="256"/>
        <v>0</v>
      </c>
      <c r="AM231" s="1749"/>
      <c r="AN231" s="1750"/>
      <c r="AO231" s="476">
        <f t="shared" si="240"/>
        <v>0</v>
      </c>
      <c r="AP231" s="476">
        <f t="shared" si="257"/>
        <v>0</v>
      </c>
      <c r="AQ231" s="475">
        <f t="shared" si="241"/>
        <v>0</v>
      </c>
      <c r="AR231" s="475">
        <f t="shared" si="258"/>
        <v>0</v>
      </c>
      <c r="AS231" s="743" t="str">
        <f t="shared" si="310"/>
        <v/>
      </c>
      <c r="AT231" s="736" t="str">
        <f t="shared" si="259"/>
        <v/>
      </c>
      <c r="AU231" s="56">
        <f t="shared" si="260"/>
        <v>1</v>
      </c>
      <c r="AV231" s="476">
        <f t="shared" si="261"/>
        <v>0</v>
      </c>
      <c r="AW231" s="56">
        <f t="shared" si="262"/>
        <v>0</v>
      </c>
      <c r="AX231" s="475">
        <f t="shared" si="242"/>
        <v>0</v>
      </c>
      <c r="AY231" s="1169">
        <f t="shared" si="263"/>
        <v>0</v>
      </c>
      <c r="AZ231" s="1150">
        <f t="shared" si="302"/>
        <v>0</v>
      </c>
      <c r="BA231" s="56">
        <f t="shared" si="243"/>
        <v>0</v>
      </c>
      <c r="BB231" s="420">
        <f t="shared" si="244"/>
        <v>0</v>
      </c>
      <c r="BC231" s="58" t="str">
        <f t="shared" si="245"/>
        <v/>
      </c>
      <c r="BD231" s="660">
        <f t="shared" si="303"/>
        <v>0</v>
      </c>
      <c r="BE231" s="57" t="e">
        <f t="array" ref="BE231">INDEX($EB$11:$ED$1022,MATCH(F231&amp;T231,$EB$11:$EB$1007&amp;$EC$11:$EC$1007,0),3)</f>
        <v>#N/A</v>
      </c>
      <c r="BF231" s="463">
        <f t="shared" si="234"/>
        <v>0</v>
      </c>
      <c r="BG231" s="1445" t="e">
        <f t="array" ref="BG231">INDEX($DO$112:$DQ$123,MATCH(T231&amp;W231,$DO$114:$DO$125&amp;$DP$112:$DP$123,0),3)</f>
        <v>#N/A</v>
      </c>
      <c r="BH231" s="1446">
        <f t="shared" si="264"/>
        <v>0</v>
      </c>
      <c r="BI231" s="465">
        <f t="shared" si="265"/>
        <v>0</v>
      </c>
      <c r="BJ231" s="465">
        <f t="shared" si="266"/>
        <v>0</v>
      </c>
      <c r="BK231" s="466">
        <f t="shared" si="235"/>
        <v>0</v>
      </c>
      <c r="BL231" s="466">
        <f t="shared" si="236"/>
        <v>0</v>
      </c>
      <c r="BM231" s="466">
        <f t="shared" si="267"/>
        <v>0</v>
      </c>
      <c r="BN231" s="466">
        <f t="shared" si="268"/>
        <v>0</v>
      </c>
      <c r="BO231" s="463">
        <f>IF('Data Entry'!$C$74=0,0,IF(ISNA(CJ231),0,IF(AX231=0,0,IF(AND('Data Entry'!$C$74=2,AF231&gt;2,CE231&lt;1),0,IF(AND('Data Entry'!$C$74=2,AF231&gt;1,AU231=2,CJ231&gt;1),0,IF(AND(AF231=5,CT231=0.5,AU231=2,ER231&lt;100),0,IF(AND(AF231=5,CT231=0.5,AU231=3,ER231&lt;100),0,IF(AND('Data Entry'!$C$74=2,AF231=2,AU231=2,AK231&gt;0.01,CB231=2,CE231&lt;1),0,IF(AND('Data Entry'!$C$74=2,AF231=3,AU231=3,AK231&gt;0.01,CB231=3,CE231&lt;1),0,IF(AND('Data Entry'!$C$74=2,AF231=3,AU231=3,AK231&gt;0.01,CB231=3,CE231&gt;0.99),BQ231*0.08,IF(AND('Data Entry'!$C$74=2,AF231=2,AU231=2,AK231&gt;0.01,CB231=2,CE231&gt;0.99),BQ231*0.1,IF(AND(AU231=2,AK231&gt;0.01,CB231=2,CD231&gt;1),BQ231*0.1,IF(AND(AU231=3,AK231&gt;0.01,CB231=3,CD231&gt;1),BQ231*0.08,CJ231*EF231)))))))))))))</f>
        <v>0</v>
      </c>
      <c r="BP231" s="475">
        <f t="shared" si="269"/>
        <v>0</v>
      </c>
      <c r="BQ231" s="1431">
        <f>IF(AU231=1,0,IF(CH231=100,0,IF(AND(AF231=3,AU231=2),0,IF(AND(BH231=0,CT231&gt;0.4),0,IF(AND('Data Entry'!$C$74=2,AF231=1.5),0,IF(AND('Data Entry'!$C$74=2,AF231=1.6),0,IF(AND('Data Entry'!$C$74=2,AF231=4),0,IF(AND('Data Entry'!$C$74=2,AF231=5),0,IF(AND('Data Entry'!$C$74=2,AF231=2.5,CE231&lt;1),0,IF(AND('Data Entry'!$C$74=2,AF231=3,CE231&lt;1),0,IF(AND('Data Entry'!$C$74=1,AF231=2.5,CD231&lt;1),0,IF(AND('Data Entry'!$C$74=1,AF231=3,CD231&lt;1),0,IF(DX231&gt;0.01,DX231,IF(ISERROR(AX231-AY231),"",ROUND(AX231-AY231,2)))))))))))))))</f>
        <v>0</v>
      </c>
      <c r="BR231" s="146">
        <f t="shared" si="270"/>
        <v>0</v>
      </c>
      <c r="BS231" s="475">
        <f t="shared" si="271"/>
        <v>0</v>
      </c>
      <c r="BT231" s="146" t="b">
        <f t="shared" si="272"/>
        <v>0</v>
      </c>
      <c r="BU231" s="463">
        <f>IF(ISNA(AT231),0,IF(AND('Data Entry'!$C$74=2,BC231=27),0,IF(AND('Data Entry'!$C$74=2,BC231=28),0,IF(AND(BC231=27,BT231=27,CM231&gt;0.1),CM231*0.15,IF(AND(BC231=28,BT231=28,CM231&gt;0.1),CM231*0.12,0)))))</f>
        <v>0</v>
      </c>
      <c r="BV231" s="463">
        <f t="shared" si="309"/>
        <v>0</v>
      </c>
      <c r="BW231" s="463">
        <f t="shared" si="273"/>
        <v>0</v>
      </c>
      <c r="BX231" s="463">
        <f t="shared" si="274"/>
        <v>0</v>
      </c>
      <c r="BY231" s="463">
        <f t="shared" si="275"/>
        <v>0</v>
      </c>
      <c r="BZ231" s="463">
        <f t="shared" si="276"/>
        <v>0</v>
      </c>
      <c r="CA231" s="57">
        <f t="shared" si="304"/>
        <v>0</v>
      </c>
      <c r="CB231" s="56">
        <f t="shared" si="277"/>
        <v>1</v>
      </c>
      <c r="CC231" s="756">
        <f>IF(EE231=0,0,IF(EF231=0,0,IF(EE231&gt;AA231,0,IF(AND(AZ231&gt;AW231,AW231&gt;0),0,IF(CU231=0,0,Summary!AC534)))))</f>
        <v>0</v>
      </c>
      <c r="CD231" s="756">
        <f>IF(EE231=0,0,IF(EF231=0,0,IF(EE231&gt;AA231,0,IF(AND(AZ231&gt;AW231,AW231&gt;0),0,IF(CU231=0,0,Summary!AD534)))))</f>
        <v>0</v>
      </c>
      <c r="CE231" s="756">
        <f>IF(EF231=0,0,IF(EE231&gt;AA231,0,IF(CC231=0,0,IF(AND(AZ231&gt;AW231,AW231&gt;0),0,IF(CU231=0,0,Summary!AE534)))))</f>
        <v>0</v>
      </c>
      <c r="CF231" s="475">
        <f t="shared" si="278"/>
        <v>0</v>
      </c>
      <c r="CG231" s="476">
        <f t="shared" si="246"/>
        <v>0</v>
      </c>
      <c r="CH231" s="487">
        <f t="shared" si="279"/>
        <v>0</v>
      </c>
      <c r="CI231" s="756">
        <f t="shared" si="280"/>
        <v>0</v>
      </c>
      <c r="CJ231" s="487">
        <f>IF(CT231&gt;0.4,0,IF(AND(AU231=2,CH231=0,CT231=0.5,ER231=100),35,IF(AND(AU231=3,BB231&gt;75,CH231=0,CT231=0.5,ER231=100),25,IF(CB231&gt;1,0,IF(EF231&gt;EE231,0,IF(AND(AF231&gt;1,CH231=100),0,IF(AND(AF231=1,AY231=0),0,IF(AND(EF231&lt;=EE231,AW231&gt;=AZ231,'Data Entry'!$C$74=1,AU231=2),VLOOKUP(W231,$DO$96:$DP$102,2,FALSE),IF(AND(EF231&lt;=EE231,AW231&gt;=AZ231,AU231=3,'Data Entry'!$C$74=1),VLOOKUP(W231,$DO$127:$DP$134,2,FALSE))))))))))</f>
        <v>0</v>
      </c>
      <c r="CK231" s="716">
        <f t="shared" si="281"/>
        <v>0</v>
      </c>
      <c r="CL231" s="57">
        <f t="shared" si="282"/>
        <v>0</v>
      </c>
      <c r="CM231" s="475">
        <f t="shared" si="308"/>
        <v>0</v>
      </c>
      <c r="CN231" s="660">
        <f>IF(CM231&lt;0.1,0,IF(ISNA(AT231),0,IF(CL231+BC231=1,0,IF(BV231&gt;0.01,0,IF(CL231&gt;0.01,0,IF(CF231=1,0,IF(BC231=0.5,0,IF(AND(CI231=1,AU231=3),0,IF(AND(CI231=5,CL231=0),0,IF(AND(R231=12,BR231=50),0,IF(CK231&gt;0.01,0,IF(AND(AJ231&gt;0.01,AU231=2,BC231=15),CM231*0.1,IF(AND(AJ231&gt;0.01,AU231=3,BC231=15),CM231*0.08,IF(AND(R231=12,BC231=3,AF231&lt;=0),0,IF(AND(BC231=15,BI231=0),0,IF(AND(BC231=15,BJ231=0),0,IF(AND(R231=20,CU231=0),0,IF($X$4=0,0,IF(AND(BC231=250,CL231=0),0,IF(AA231&lt;1,0,IF(AND(ISNUMBER(SEARCH("Area",T231)),AU231=3),0,IF(AND(AQ231&gt;0.01,AR231=0,BK231=0,BL231=0,BM231=0,BN231=0),0,IF(AND(AU231=3,CI231=7,CT231&gt;0.5),0,IF(AND(BC231=44,AU231=3,BY231=0),0,IF(AND(BC231=27,'Data Entry'!$C$74=2),0,IF(AND(BC231=28,'Data Entry'!$C$74=2),0,IF(AND(BY231+BZ231+CA231&gt;0.01,BV231=0,EQ231+ER231+ES231+ET231&lt;100),0,IF(AU231=3,CM231*0.08,IF(AU231=2,CM231*0.1,0)))))))))))))))))))))))))))))</f>
        <v>0</v>
      </c>
      <c r="CO231" s="660">
        <f t="shared" si="283"/>
        <v>0</v>
      </c>
      <c r="CP231" s="475" t="str">
        <f t="shared" si="284"/>
        <v/>
      </c>
      <c r="CQ231" s="161" t="str">
        <f>IF(AH231=0,0,IF(AU231=5,0,Summary!AC234))</f>
        <v/>
      </c>
      <c r="CR231" s="161" t="str">
        <f>IF(BF231=0.5,0,IF(AU231=5,0,Summary!AD234))</f>
        <v/>
      </c>
      <c r="CS231" s="161" t="str">
        <f>IF(AU231=5,0,Summary!AE234)</f>
        <v/>
      </c>
      <c r="CT231" s="161">
        <f t="shared" si="285"/>
        <v>0</v>
      </c>
      <c r="CU231" s="475" t="str">
        <f t="shared" si="286"/>
        <v/>
      </c>
      <c r="CV231" s="307">
        <f>IF('Data Entry'!$C$74=0,0,IF(AA231&lt;1,0,IF(ISERROR(CU231),0,IF(CF231=1,0,IF(AND(R231=12,BR231=50),0,IF(CL231+BO231+BV231+DC231=0,0,IF(BC231=37,0,IF(AND(BC231=40,AJ231=0),0,IF(AND(BC231=37,BO231&gt;0.01,BQ231&gt;0.01),ROUND(BQ231,0),IF(CM231&lt;0,0,ROUND(CM231,0)))))))))))</f>
        <v>0</v>
      </c>
      <c r="CW231" s="700">
        <f t="shared" si="287"/>
        <v>0</v>
      </c>
      <c r="CX231" s="477">
        <f>IF('Data Entry'!$C$74=0,0,IF(CV231&lt;0.01,0,IF(BF231=0.5,0,IF(CF231=1,0,IF(ISNUMBER(SEARCH("false",CL231)),0,IF(AZ231=500,0,CL231))))))</f>
        <v>0</v>
      </c>
      <c r="CY231" s="147" t="e">
        <f t="shared" si="288"/>
        <v>#VALUE!</v>
      </c>
      <c r="CZ231" s="147" t="b">
        <f>IF(CN231+CL231=0,FALSE,IF(AH231=0,0,IF(AND('Data Entry'!$C$74=1,CR231&gt;=1),TRUE,IF(AND('Data Entry'!$C$74=2,CS231&gt;=1),TRUE,FALSE))))</f>
        <v>0</v>
      </c>
      <c r="DA231" s="1751">
        <f>IF('Data Entry'!$C$74=0,0,IFERROR(ROUND(IF(T231="","",IF($X$4=0,0,IF(CF231=1,0,IF(BQ231+CV231=0,0,IF(CF231=1,0,IF(CY231&gt;0.01,CY231,IF(CL231&gt;0.01,CL231,IF(CY231&gt;0.01,CY231,IF(BC231=37,BO231,IF(CZ231=FALSE,0,IF(CZ231=TRUE,DC231+DF231,0))))))))))),2),""))</f>
        <v>0</v>
      </c>
      <c r="DB231" s="1752"/>
      <c r="DC231" s="474">
        <f>IF(CN231&lt;0.01,0,IF(AND(BR231=3,CN231&gt;0.01,CT231&gt;0.6,ER231+ES231+ET231&lt;100),0,IF(AND('Data Entry'!$C$74=1,CN231&gt;0.01,CR231&gt;0.99),MIN(CN231:CO231),IF(AND('Data Entry'!$C$74=2,CN231&gt;0.01,CS231&gt;0.99),MIN(CN231:CO231),0))))</f>
        <v>0</v>
      </c>
      <c r="DD231" s="478">
        <f>IF(CF231=1,"Selection does not match",IF(T231=0,0,IF(AND('Data Entry'!$C$74=0,CP231&gt;1),"Select Oregon or Idaho on Data Entry Tab",IF(AND(AU231=1,AA231&gt;0.9),"Missing Interior or Exterior Selection",IF($X$4=0,"Enter Total Project Cost",IF(AQ231&lt;AR231,"Insufficient kWh savings – no incentive",IF(AND(SUM(CL231+CK231+BV231)&gt;0.01,'Data Entry'!$C$74=2,CJ231&gt;1,BO231=0),"Submit Control as Non-Standard",IF(AND('Data Entry'!$C$74=2,BR231=37,CJ231&gt;1,BO231=0),"Submit Control as Non-Standard",IF(SUM(CL231+CK231+BV231)&gt;0.01,"Standard Incentive",IF(AND('Data Entry'!$C$74=2,CP231=7,CN231=0),"Submit as Non-Standard",IF(DC231&gt;0.9,"Non-Standard Incentive",IF(AND(BY231+BZ231+CA231&gt;0.01,BV231=0,EQ231=0,ER231=0,ES231=0,ET231=0),"Scroll Right &amp; Select Control Strategies",IF(AND(CN231&gt;0.01,CO231=0),"Enter Unit Installed Cost",IF(ISNUMBER(SEARCH("Lighting Controls Only",F231)),"Lighting Controls Only",IF(CL231+DC231=0,"Does not meet incentive criteria",0)))))))))))))))</f>
        <v>0</v>
      </c>
      <c r="DE231" s="337">
        <f t="shared" si="289"/>
        <v>0</v>
      </c>
      <c r="DF231" s="609">
        <f t="shared" si="290"/>
        <v>0</v>
      </c>
      <c r="DG231" s="336" t="str">
        <f t="shared" si="291"/>
        <v/>
      </c>
      <c r="DH231" s="338">
        <f t="shared" si="292"/>
        <v>1</v>
      </c>
      <c r="DI231" s="336" t="e">
        <f t="shared" si="247"/>
        <v>#VALUE!</v>
      </c>
      <c r="DJ231" s="338">
        <f t="shared" si="248"/>
        <v>0</v>
      </c>
      <c r="DO231" s="361"/>
      <c r="DQ231" s="409" t="s">
        <v>73</v>
      </c>
      <c r="DR231" s="704">
        <v>0</v>
      </c>
      <c r="DS231" s="1195">
        <f t="shared" si="293"/>
        <v>0</v>
      </c>
      <c r="DT231" s="344" t="b">
        <f t="shared" si="294"/>
        <v>1</v>
      </c>
      <c r="DU231" s="1314" t="str">
        <f t="array" ref="DU231">IF(OR(COUNTIF(F231,"*"&amp;$DK$9:$DK$178&amp;"*")), "Yes", "")</f>
        <v/>
      </c>
      <c r="DV231" s="1314">
        <f t="shared" si="295"/>
        <v>0</v>
      </c>
      <c r="DW231" s="1480">
        <f t="shared" si="296"/>
        <v>0</v>
      </c>
      <c r="DX231" s="1498">
        <f t="shared" si="305"/>
        <v>0</v>
      </c>
      <c r="DY231" s="1484">
        <f t="shared" si="297"/>
        <v>0</v>
      </c>
      <c r="DZ231" s="331"/>
      <c r="EA231" s="392"/>
      <c r="EB231" s="1499" t="s">
        <v>155</v>
      </c>
      <c r="EC231" s="727" t="s">
        <v>1569</v>
      </c>
      <c r="ED231" s="728">
        <v>0.5</v>
      </c>
      <c r="EE231" s="1215"/>
      <c r="EF231" s="1215"/>
      <c r="EG231" s="1184" t="str">
        <f t="shared" si="298"/>
        <v/>
      </c>
      <c r="EH231" s="81"/>
      <c r="EI231" s="81"/>
      <c r="EJ231" s="1185">
        <f t="shared" si="249"/>
        <v>0</v>
      </c>
      <c r="EK231" s="1211"/>
      <c r="EL231" s="1180">
        <f t="shared" si="250"/>
        <v>0</v>
      </c>
      <c r="EM231" s="206"/>
      <c r="EN231" s="1038"/>
      <c r="EO231" s="1038"/>
      <c r="EP231" s="1038"/>
      <c r="EQ231" s="1038">
        <f t="shared" si="299"/>
        <v>0</v>
      </c>
      <c r="ER231" s="1041">
        <f t="shared" si="300"/>
        <v>0</v>
      </c>
      <c r="ES231" s="1042">
        <f t="shared" si="301"/>
        <v>0</v>
      </c>
      <c r="ET231" s="1042">
        <f t="shared" si="306"/>
        <v>0</v>
      </c>
      <c r="EU231" s="1021">
        <f t="shared" si="307"/>
        <v>0</v>
      </c>
      <c r="EV231" s="368"/>
      <c r="EW231" s="368"/>
      <c r="EX231" s="369"/>
      <c r="EY231" s="370"/>
      <c r="EZ231" s="370"/>
      <c r="FA231" s="371"/>
      <c r="FB231" s="372"/>
    </row>
    <row r="232" spans="1:158" ht="34.5" customHeight="1">
      <c r="A232" s="82">
        <v>224</v>
      </c>
      <c r="B232" s="1806"/>
      <c r="C232" s="1807"/>
      <c r="D232" s="1807"/>
      <c r="E232" s="1808"/>
      <c r="F232" s="1809"/>
      <c r="G232" s="1810"/>
      <c r="H232" s="1810"/>
      <c r="I232" s="1811"/>
      <c r="J232" s="1301"/>
      <c r="K232" s="1814"/>
      <c r="L232" s="1814"/>
      <c r="M232" s="1017"/>
      <c r="N232" s="1584"/>
      <c r="O232" s="208" t="str">
        <f t="shared" si="237"/>
        <v/>
      </c>
      <c r="P232" s="785"/>
      <c r="Q232" s="39" t="str">
        <f t="shared" si="238"/>
        <v/>
      </c>
      <c r="R232" s="39">
        <f t="shared" si="251"/>
        <v>0</v>
      </c>
      <c r="S232" s="234">
        <f t="shared" si="252"/>
        <v>0</v>
      </c>
      <c r="T232" s="1815"/>
      <c r="U232" s="1815"/>
      <c r="V232" s="1815"/>
      <c r="W232" s="1121"/>
      <c r="X232" s="1812"/>
      <c r="Y232" s="1813"/>
      <c r="Z232" s="703"/>
      <c r="AA232" s="1280"/>
      <c r="AB232" s="1141"/>
      <c r="AC232" s="1103" t="str">
        <f>IF(T232="","",VLOOKUP(Z232,Lists!$A$60:$B$111,2,FALSE))</f>
        <v/>
      </c>
      <c r="AD232" s="130" t="str">
        <f t="shared" si="253"/>
        <v/>
      </c>
      <c r="AE232" s="130" t="e">
        <f t="shared" si="254"/>
        <v>#VALUE!</v>
      </c>
      <c r="AF232" s="130">
        <f t="shared" si="255"/>
        <v>1</v>
      </c>
      <c r="AG232" s="234">
        <f t="shared" si="239"/>
        <v>0</v>
      </c>
      <c r="AH232" s="1753" t="str">
        <f>IF(T232="","",(IF(ISNUMBER(SEARCH("exit",T232)),8760,IF(AND(M232="Dusk to Dawn",'Proposed Lighting'!AU232=3),4059,IF(AND(AU232=3,M232="1"),0,IF(AND(AU232=3,M232="1-C"),0,IF(AND(AU232=3,M232="2"),0,IF(AND(AU232=3,M232="2-C"),0,IF(AND(AU232=3,M232="3"),0,IF(AND(AU232=3,M232="3-C"),0,IF(AND(AU232=2,M232="Dusk to Dawn"),0,IF(AND(AU232=2,M232="Dusk to Dawn-C"),0,IF(AND(AU232=2,M232="Dusk to Dawn"),0,IF(AND(AU232=2,M232="E"),0,IF(AND(AU232=2,M232="E-C"),0,EG232)))))))))))))))</f>
        <v/>
      </c>
      <c r="AI232" s="1754"/>
      <c r="AJ232" s="1136"/>
      <c r="AK232" s="1136"/>
      <c r="AL232" s="1748">
        <f t="shared" si="256"/>
        <v>0</v>
      </c>
      <c r="AM232" s="1749"/>
      <c r="AN232" s="1750"/>
      <c r="AO232" s="476">
        <f t="shared" si="240"/>
        <v>0</v>
      </c>
      <c r="AP232" s="476">
        <f t="shared" si="257"/>
        <v>0</v>
      </c>
      <c r="AQ232" s="475">
        <f t="shared" si="241"/>
        <v>0</v>
      </c>
      <c r="AR232" s="475">
        <f t="shared" si="258"/>
        <v>0</v>
      </c>
      <c r="AS232" s="743" t="str">
        <f t="shared" si="310"/>
        <v/>
      </c>
      <c r="AT232" s="736" t="str">
        <f t="shared" si="259"/>
        <v/>
      </c>
      <c r="AU232" s="56">
        <f t="shared" si="260"/>
        <v>1</v>
      </c>
      <c r="AV232" s="476">
        <f t="shared" si="261"/>
        <v>0</v>
      </c>
      <c r="AW232" s="56">
        <f t="shared" si="262"/>
        <v>0</v>
      </c>
      <c r="AX232" s="475">
        <f t="shared" si="242"/>
        <v>0</v>
      </c>
      <c r="AY232" s="1169">
        <f t="shared" si="263"/>
        <v>0</v>
      </c>
      <c r="AZ232" s="1150">
        <f t="shared" si="302"/>
        <v>0</v>
      </c>
      <c r="BA232" s="56">
        <f t="shared" si="243"/>
        <v>0</v>
      </c>
      <c r="BB232" s="420">
        <f t="shared" si="244"/>
        <v>0</v>
      </c>
      <c r="BC232" s="58" t="str">
        <f t="shared" si="245"/>
        <v/>
      </c>
      <c r="BD232" s="660">
        <f t="shared" si="303"/>
        <v>0</v>
      </c>
      <c r="BE232" s="57" t="e">
        <f t="array" ref="BE232">INDEX($EB$11:$ED$1022,MATCH(F232&amp;T232,$EB$11:$EB$1007&amp;$EC$11:$EC$1007,0),3)</f>
        <v>#N/A</v>
      </c>
      <c r="BF232" s="463">
        <f t="shared" si="234"/>
        <v>0</v>
      </c>
      <c r="BG232" s="1445" t="e">
        <f t="array" ref="BG232">INDEX($DO$112:$DQ$123,MATCH(T232&amp;W232,$DO$114:$DO$125&amp;$DP$112:$DP$123,0),3)</f>
        <v>#N/A</v>
      </c>
      <c r="BH232" s="1446">
        <f t="shared" si="264"/>
        <v>0</v>
      </c>
      <c r="BI232" s="465">
        <f t="shared" si="265"/>
        <v>0</v>
      </c>
      <c r="BJ232" s="465">
        <f t="shared" si="266"/>
        <v>0</v>
      </c>
      <c r="BK232" s="466">
        <f t="shared" si="235"/>
        <v>0</v>
      </c>
      <c r="BL232" s="466">
        <f t="shared" si="236"/>
        <v>0</v>
      </c>
      <c r="BM232" s="466">
        <f t="shared" si="267"/>
        <v>0</v>
      </c>
      <c r="BN232" s="466">
        <f t="shared" si="268"/>
        <v>0</v>
      </c>
      <c r="BO232" s="463">
        <f>IF('Data Entry'!$C$74=0,0,IF(ISNA(CJ232),0,IF(AX232=0,0,IF(AND('Data Entry'!$C$74=2,AF232&gt;2,CE232&lt;1),0,IF(AND('Data Entry'!$C$74=2,AF232&gt;1,AU232=2,CJ232&gt;1),0,IF(AND(AF232=5,CT232=0.5,AU232=2,ER232&lt;100),0,IF(AND(AF232=5,CT232=0.5,AU232=3,ER232&lt;100),0,IF(AND('Data Entry'!$C$74=2,AF232=2,AU232=2,AK232&gt;0.01,CB232=2,CE232&lt;1),0,IF(AND('Data Entry'!$C$74=2,AF232=3,AU232=3,AK232&gt;0.01,CB232=3,CE232&lt;1),0,IF(AND('Data Entry'!$C$74=2,AF232=3,AU232=3,AK232&gt;0.01,CB232=3,CE232&gt;0.99),BQ232*0.08,IF(AND('Data Entry'!$C$74=2,AF232=2,AU232=2,AK232&gt;0.01,CB232=2,CE232&gt;0.99),BQ232*0.1,IF(AND(AU232=2,AK232&gt;0.01,CB232=2,CD232&gt;1),BQ232*0.1,IF(AND(AU232=3,AK232&gt;0.01,CB232=3,CD232&gt;1),BQ232*0.08,CJ232*EF232)))))))))))))</f>
        <v>0</v>
      </c>
      <c r="BP232" s="475">
        <f t="shared" si="269"/>
        <v>0</v>
      </c>
      <c r="BQ232" s="1431">
        <f>IF(AU232=1,0,IF(CH232=100,0,IF(AND(AF232=3,AU232=2),0,IF(AND(BH232=0,CT232&gt;0.4),0,IF(AND('Data Entry'!$C$74=2,AF232=1.5),0,IF(AND('Data Entry'!$C$74=2,AF232=1.6),0,IF(AND('Data Entry'!$C$74=2,AF232=4),0,IF(AND('Data Entry'!$C$74=2,AF232=5),0,IF(AND('Data Entry'!$C$74=2,AF232=2.5,CE232&lt;1),0,IF(AND('Data Entry'!$C$74=2,AF232=3,CE232&lt;1),0,IF(AND('Data Entry'!$C$74=1,AF232=2.5,CD232&lt;1),0,IF(AND('Data Entry'!$C$74=1,AF232=3,CD232&lt;1),0,IF(DX232&gt;0.01,DX232,IF(ISERROR(AX232-AY232),"",ROUND(AX232-AY232,2)))))))))))))))</f>
        <v>0</v>
      </c>
      <c r="BR232" s="146">
        <f t="shared" si="270"/>
        <v>0</v>
      </c>
      <c r="BS232" s="475">
        <f t="shared" si="271"/>
        <v>0</v>
      </c>
      <c r="BT232" s="146" t="b">
        <f t="shared" si="272"/>
        <v>0</v>
      </c>
      <c r="BU232" s="463">
        <f>IF(ISNA(AT232),0,IF(AND('Data Entry'!$C$74=2,BC232=27),0,IF(AND('Data Entry'!$C$74=2,BC232=28),0,IF(AND(BC232=27,BT232=27,CM232&gt;0.1),CM232*0.15,IF(AND(BC232=28,BT232=28,CM232&gt;0.1),CM232*0.12,0)))))</f>
        <v>0</v>
      </c>
      <c r="BV232" s="463">
        <f t="shared" si="309"/>
        <v>0</v>
      </c>
      <c r="BW232" s="463">
        <f t="shared" si="273"/>
        <v>0</v>
      </c>
      <c r="BX232" s="463">
        <f t="shared" si="274"/>
        <v>0</v>
      </c>
      <c r="BY232" s="463">
        <f t="shared" si="275"/>
        <v>0</v>
      </c>
      <c r="BZ232" s="463">
        <f t="shared" si="276"/>
        <v>0</v>
      </c>
      <c r="CA232" s="57">
        <f t="shared" si="304"/>
        <v>0</v>
      </c>
      <c r="CB232" s="56">
        <f t="shared" si="277"/>
        <v>1</v>
      </c>
      <c r="CC232" s="756">
        <f>IF(EE232=0,0,IF(EF232=0,0,IF(EE232&gt;AA232,0,IF(AND(AZ232&gt;AW232,AW232&gt;0),0,IF(CU232=0,0,Summary!AC535)))))</f>
        <v>0</v>
      </c>
      <c r="CD232" s="756">
        <f>IF(EE232=0,0,IF(EF232=0,0,IF(EE232&gt;AA232,0,IF(AND(AZ232&gt;AW232,AW232&gt;0),0,IF(CU232=0,0,Summary!AD535)))))</f>
        <v>0</v>
      </c>
      <c r="CE232" s="756">
        <f>IF(EF232=0,0,IF(EE232&gt;AA232,0,IF(CC232=0,0,IF(AND(AZ232&gt;AW232,AW232&gt;0),0,IF(CU232=0,0,Summary!AE535)))))</f>
        <v>0</v>
      </c>
      <c r="CF232" s="475">
        <f t="shared" si="278"/>
        <v>0</v>
      </c>
      <c r="CG232" s="476">
        <f t="shared" si="246"/>
        <v>0</v>
      </c>
      <c r="CH232" s="487">
        <f t="shared" si="279"/>
        <v>0</v>
      </c>
      <c r="CI232" s="756">
        <f t="shared" si="280"/>
        <v>0</v>
      </c>
      <c r="CJ232" s="487">
        <f>IF(CT232&gt;0.4,0,IF(AND(AU232=2,CH232=0,CT232=0.5,ER232=100),35,IF(AND(AU232=3,BB232&gt;75,CH232=0,CT232=0.5,ER232=100),25,IF(CB232&gt;1,0,IF(EF232&gt;EE232,0,IF(AND(AF232&gt;1,CH232=100),0,IF(AND(AF232=1,AY232=0),0,IF(AND(EF232&lt;=EE232,AW232&gt;=AZ232,'Data Entry'!$C$74=1,AU232=2),VLOOKUP(W232,$DO$96:$DP$102,2,FALSE),IF(AND(EF232&lt;=EE232,AW232&gt;=AZ232,AU232=3,'Data Entry'!$C$74=1),VLOOKUP(W232,$DO$127:$DP$134,2,FALSE))))))))))</f>
        <v>0</v>
      </c>
      <c r="CK232" s="716">
        <f t="shared" si="281"/>
        <v>0</v>
      </c>
      <c r="CL232" s="57">
        <f t="shared" si="282"/>
        <v>0</v>
      </c>
      <c r="CM232" s="475">
        <f t="shared" si="308"/>
        <v>0</v>
      </c>
      <c r="CN232" s="660">
        <f>IF(CM232&lt;0.1,0,IF(ISNA(AT232),0,IF(CL232+BC232=1,0,IF(BV232&gt;0.01,0,IF(CL232&gt;0.01,0,IF(CF232=1,0,IF(BC232=0.5,0,IF(AND(CI232=1,AU232=3),0,IF(AND(CI232=5,CL232=0),0,IF(AND(R232=12,BR232=50),0,IF(CK232&gt;0.01,0,IF(AND(AJ232&gt;0.01,AU232=2,BC232=15),CM232*0.1,IF(AND(AJ232&gt;0.01,AU232=3,BC232=15),CM232*0.08,IF(AND(R232=12,BC232=3,AF232&lt;=0),0,IF(AND(BC232=15,BI232=0),0,IF(AND(BC232=15,BJ232=0),0,IF(AND(R232=20,CU232=0),0,IF($X$4=0,0,IF(AND(BC232=250,CL232=0),0,IF(AA232&lt;1,0,IF(AND(ISNUMBER(SEARCH("Area",T232)),AU232=3),0,IF(AND(AQ232&gt;0.01,AR232=0,BK232=0,BL232=0,BM232=0,BN232=0),0,IF(AND(AU232=3,CI232=7,CT232&gt;0.5),0,IF(AND(BC232=44,AU232=3,BY232=0),0,IF(AND(BC232=27,'Data Entry'!$C$74=2),0,IF(AND(BC232=28,'Data Entry'!$C$74=2),0,IF(AND(BY232+BZ232+CA232&gt;0.01,BV232=0,EQ232+ER232+ES232+ET232&lt;100),0,IF(AU232=3,CM232*0.08,IF(AU232=2,CM232*0.1,0)))))))))))))))))))))))))))))</f>
        <v>0</v>
      </c>
      <c r="CO232" s="660">
        <f t="shared" si="283"/>
        <v>0</v>
      </c>
      <c r="CP232" s="475" t="str">
        <f t="shared" si="284"/>
        <v/>
      </c>
      <c r="CQ232" s="161" t="str">
        <f>IF(AH232=0,0,IF(AU232=5,0,Summary!AC235))</f>
        <v/>
      </c>
      <c r="CR232" s="161" t="str">
        <f>IF(BF232=0.5,0,IF(AU232=5,0,Summary!AD235))</f>
        <v/>
      </c>
      <c r="CS232" s="161" t="str">
        <f>IF(AU232=5,0,Summary!AE235)</f>
        <v/>
      </c>
      <c r="CT232" s="161">
        <f t="shared" si="285"/>
        <v>0</v>
      </c>
      <c r="CU232" s="475" t="str">
        <f t="shared" si="286"/>
        <v/>
      </c>
      <c r="CV232" s="307">
        <f>IF('Data Entry'!$C$74=0,0,IF(AA232&lt;1,0,IF(ISERROR(CU232),0,IF(CF232=1,0,IF(AND(R232=12,BR232=50),0,IF(CL232+BO232+BV232+DC232=0,0,IF(BC232=37,0,IF(AND(BC232=40,AJ232=0),0,IF(AND(BC232=37,BO232&gt;0.01,BQ232&gt;0.01),ROUND(BQ232,0),IF(CM232&lt;0,0,ROUND(CM232,0)))))))))))</f>
        <v>0</v>
      </c>
      <c r="CW232" s="700">
        <f t="shared" si="287"/>
        <v>0</v>
      </c>
      <c r="CX232" s="477">
        <f>IF('Data Entry'!$C$74=0,0,IF(CV232&lt;0.01,0,IF(BF232=0.5,0,IF(CF232=1,0,IF(ISNUMBER(SEARCH("false",CL232)),0,IF(AZ232=500,0,CL232))))))</f>
        <v>0</v>
      </c>
      <c r="CY232" s="147" t="e">
        <f t="shared" si="288"/>
        <v>#VALUE!</v>
      </c>
      <c r="CZ232" s="147" t="b">
        <f>IF(CN232+CL232=0,FALSE,IF(AH232=0,0,IF(AND('Data Entry'!$C$74=1,CR232&gt;=1),TRUE,IF(AND('Data Entry'!$C$74=2,CS232&gt;=1),TRUE,FALSE))))</f>
        <v>0</v>
      </c>
      <c r="DA232" s="1751">
        <f>IF('Data Entry'!$C$74=0,0,IFERROR(ROUND(IF(T232="","",IF($X$4=0,0,IF(CF232=1,0,IF(BQ232+CV232=0,0,IF(CF232=1,0,IF(CY232&gt;0.01,CY232,IF(CL232&gt;0.01,CL232,IF(CY232&gt;0.01,CY232,IF(BC232=37,BO232,IF(CZ232=FALSE,0,IF(CZ232=TRUE,DC232+DF232,0))))))))))),2),""))</f>
        <v>0</v>
      </c>
      <c r="DB232" s="1752"/>
      <c r="DC232" s="474">
        <f>IF(CN232&lt;0.01,0,IF(AND(BR232=3,CN232&gt;0.01,CT232&gt;0.6,ER232+ES232+ET232&lt;100),0,IF(AND('Data Entry'!$C$74=1,CN232&gt;0.01,CR232&gt;0.99),MIN(CN232:CO232),IF(AND('Data Entry'!$C$74=2,CN232&gt;0.01,CS232&gt;0.99),MIN(CN232:CO232),0))))</f>
        <v>0</v>
      </c>
      <c r="DD232" s="478">
        <f>IF(CF232=1,"Selection does not match",IF(T232=0,0,IF(AND('Data Entry'!$C$74=0,CP232&gt;1),"Select Oregon or Idaho on Data Entry Tab",IF(AND(AU232=1,AA232&gt;0.9),"Missing Interior or Exterior Selection",IF($X$4=0,"Enter Total Project Cost",IF(AQ232&lt;AR232,"Insufficient kWh savings – no incentive",IF(AND(SUM(CL232+CK232+BV232)&gt;0.01,'Data Entry'!$C$74=2,CJ232&gt;1,BO232=0),"Submit Control as Non-Standard",IF(AND('Data Entry'!$C$74=2,BR232=37,CJ232&gt;1,BO232=0),"Submit Control as Non-Standard",IF(SUM(CL232+CK232+BV232)&gt;0.01,"Standard Incentive",IF(AND('Data Entry'!$C$74=2,CP232=7,CN232=0),"Submit as Non-Standard",IF(DC232&gt;0.9,"Non-Standard Incentive",IF(AND(BY232+BZ232+CA232&gt;0.01,BV232=0,EQ232=0,ER232=0,ES232=0,ET232=0),"Scroll Right &amp; Select Control Strategies",IF(AND(CN232&gt;0.01,CO232=0),"Enter Unit Installed Cost",IF(ISNUMBER(SEARCH("Lighting Controls Only",F232)),"Lighting Controls Only",IF(CL232+DC232=0,"Does not meet incentive criteria",0)))))))))))))))</f>
        <v>0</v>
      </c>
      <c r="DE232" s="337">
        <f t="shared" si="289"/>
        <v>0</v>
      </c>
      <c r="DF232" s="609">
        <f t="shared" si="290"/>
        <v>0</v>
      </c>
      <c r="DG232" s="336" t="str">
        <f t="shared" si="291"/>
        <v/>
      </c>
      <c r="DH232" s="338">
        <f t="shared" si="292"/>
        <v>1</v>
      </c>
      <c r="DI232" s="336" t="e">
        <f t="shared" si="247"/>
        <v>#VALUE!</v>
      </c>
      <c r="DJ232" s="338">
        <f t="shared" si="248"/>
        <v>0</v>
      </c>
      <c r="DQ232" s="411" t="s">
        <v>1209</v>
      </c>
      <c r="DR232" s="704">
        <v>37</v>
      </c>
      <c r="DS232" s="1195">
        <f t="shared" si="293"/>
        <v>0</v>
      </c>
      <c r="DT232" s="344" t="b">
        <f t="shared" si="294"/>
        <v>1</v>
      </c>
      <c r="DU232" s="1314" t="str">
        <f t="array" ref="DU232">IF(OR(COUNTIF(F232,"*"&amp;$DK$9:$DK$178&amp;"*")), "Yes", "")</f>
        <v/>
      </c>
      <c r="DV232" s="1314">
        <f t="shared" si="295"/>
        <v>0</v>
      </c>
      <c r="DW232" s="1480">
        <f t="shared" si="296"/>
        <v>0</v>
      </c>
      <c r="DX232" s="1498">
        <f t="shared" si="305"/>
        <v>0</v>
      </c>
      <c r="DY232" s="1484">
        <f t="shared" si="297"/>
        <v>0</v>
      </c>
      <c r="DZ232" s="331"/>
      <c r="EA232" s="392"/>
      <c r="EB232" s="1499" t="s">
        <v>156</v>
      </c>
      <c r="EC232" s="727" t="s">
        <v>1569</v>
      </c>
      <c r="ED232" s="728">
        <v>0.5</v>
      </c>
      <c r="EE232" s="1215"/>
      <c r="EF232" s="1215"/>
      <c r="EG232" s="1184" t="str">
        <f t="shared" si="298"/>
        <v/>
      </c>
      <c r="EH232" s="81"/>
      <c r="EI232" s="81"/>
      <c r="EJ232" s="1185">
        <f t="shared" si="249"/>
        <v>0</v>
      </c>
      <c r="EK232" s="1211"/>
      <c r="EL232" s="1180">
        <f t="shared" si="250"/>
        <v>0</v>
      </c>
      <c r="EM232" s="206"/>
      <c r="EN232" s="1038"/>
      <c r="EO232" s="1038"/>
      <c r="EP232" s="1038"/>
      <c r="EQ232" s="1038">
        <f t="shared" si="299"/>
        <v>0</v>
      </c>
      <c r="ER232" s="1041">
        <f t="shared" si="300"/>
        <v>0</v>
      </c>
      <c r="ES232" s="1042">
        <f t="shared" si="301"/>
        <v>0</v>
      </c>
      <c r="ET232" s="1042">
        <f t="shared" si="306"/>
        <v>0</v>
      </c>
      <c r="EU232" s="1021">
        <f t="shared" si="307"/>
        <v>0</v>
      </c>
      <c r="EV232" s="368"/>
      <c r="EW232" s="368"/>
      <c r="EX232" s="369"/>
      <c r="EY232" s="370"/>
      <c r="EZ232" s="370"/>
      <c r="FA232" s="371"/>
      <c r="FB232" s="372"/>
    </row>
    <row r="233" spans="1:158" ht="34.5" customHeight="1">
      <c r="A233" s="82">
        <v>225</v>
      </c>
      <c r="B233" s="1806"/>
      <c r="C233" s="1807"/>
      <c r="D233" s="1807"/>
      <c r="E233" s="1808"/>
      <c r="F233" s="1809"/>
      <c r="G233" s="1810"/>
      <c r="H233" s="1810"/>
      <c r="I233" s="1811"/>
      <c r="J233" s="1301"/>
      <c r="K233" s="1814"/>
      <c r="L233" s="1814"/>
      <c r="M233" s="1017"/>
      <c r="N233" s="1584"/>
      <c r="O233" s="208" t="str">
        <f t="shared" si="237"/>
        <v/>
      </c>
      <c r="P233" s="785"/>
      <c r="Q233" s="39" t="str">
        <f t="shared" si="238"/>
        <v/>
      </c>
      <c r="R233" s="39">
        <f t="shared" si="251"/>
        <v>0</v>
      </c>
      <c r="S233" s="234">
        <f t="shared" si="252"/>
        <v>0</v>
      </c>
      <c r="T233" s="1815"/>
      <c r="U233" s="1815"/>
      <c r="V233" s="1815"/>
      <c r="W233" s="1121"/>
      <c r="X233" s="1812"/>
      <c r="Y233" s="1813"/>
      <c r="Z233" s="703"/>
      <c r="AA233" s="1280"/>
      <c r="AB233" s="1141"/>
      <c r="AC233" s="1103" t="str">
        <f>IF(T233="","",VLOOKUP(Z233,Lists!$A$60:$B$111,2,FALSE))</f>
        <v/>
      </c>
      <c r="AD233" s="130" t="str">
        <f t="shared" si="253"/>
        <v/>
      </c>
      <c r="AE233" s="130" t="e">
        <f t="shared" si="254"/>
        <v>#VALUE!</v>
      </c>
      <c r="AF233" s="130">
        <f t="shared" si="255"/>
        <v>1</v>
      </c>
      <c r="AG233" s="234">
        <f t="shared" si="239"/>
        <v>0</v>
      </c>
      <c r="AH233" s="1753" t="str">
        <f>IF(T233="","",(IF(ISNUMBER(SEARCH("exit",T233)),8760,IF(AND(M233="Dusk to Dawn",'Proposed Lighting'!AU233=3),4059,IF(AND(AU233=3,M233="1"),0,IF(AND(AU233=3,M233="1-C"),0,IF(AND(AU233=3,M233="2"),0,IF(AND(AU233=3,M233="2-C"),0,IF(AND(AU233=3,M233="3"),0,IF(AND(AU233=3,M233="3-C"),0,IF(AND(AU233=2,M233="Dusk to Dawn"),0,IF(AND(AU233=2,M233="Dusk to Dawn-C"),0,IF(AND(AU233=2,M233="Dusk to Dawn"),0,IF(AND(AU233=2,M233="E"),0,IF(AND(AU233=2,M233="E-C"),0,EG233)))))))))))))))</f>
        <v/>
      </c>
      <c r="AI233" s="1754"/>
      <c r="AJ233" s="1136"/>
      <c r="AK233" s="1136"/>
      <c r="AL233" s="1748">
        <f t="shared" si="256"/>
        <v>0</v>
      </c>
      <c r="AM233" s="1749"/>
      <c r="AN233" s="1750"/>
      <c r="AO233" s="476">
        <f t="shared" si="240"/>
        <v>0</v>
      </c>
      <c r="AP233" s="476">
        <f t="shared" si="257"/>
        <v>0</v>
      </c>
      <c r="AQ233" s="475">
        <f t="shared" si="241"/>
        <v>0</v>
      </c>
      <c r="AR233" s="475">
        <f t="shared" si="258"/>
        <v>0</v>
      </c>
      <c r="AS233" s="743" t="str">
        <f t="shared" si="310"/>
        <v/>
      </c>
      <c r="AT233" s="736" t="str">
        <f t="shared" si="259"/>
        <v/>
      </c>
      <c r="AU233" s="56">
        <f t="shared" si="260"/>
        <v>1</v>
      </c>
      <c r="AV233" s="476">
        <f t="shared" si="261"/>
        <v>0</v>
      </c>
      <c r="AW233" s="56">
        <f t="shared" si="262"/>
        <v>0</v>
      </c>
      <c r="AX233" s="475">
        <f t="shared" si="242"/>
        <v>0</v>
      </c>
      <c r="AY233" s="1169">
        <f t="shared" si="263"/>
        <v>0</v>
      </c>
      <c r="AZ233" s="1150">
        <f t="shared" si="302"/>
        <v>0</v>
      </c>
      <c r="BA233" s="56">
        <f t="shared" si="243"/>
        <v>0</v>
      </c>
      <c r="BB233" s="420">
        <f t="shared" si="244"/>
        <v>0</v>
      </c>
      <c r="BC233" s="58" t="str">
        <f t="shared" si="245"/>
        <v/>
      </c>
      <c r="BD233" s="660">
        <f t="shared" si="303"/>
        <v>0</v>
      </c>
      <c r="BE233" s="57" t="e">
        <f t="array" ref="BE233">INDEX($EB$11:$ED$1022,MATCH(F233&amp;T233,$EB$11:$EB$1007&amp;$EC$11:$EC$1007,0),3)</f>
        <v>#N/A</v>
      </c>
      <c r="BF233" s="463">
        <f t="shared" si="234"/>
        <v>0</v>
      </c>
      <c r="BG233" s="1445" t="e">
        <f t="array" ref="BG233">INDEX($DO$112:$DQ$123,MATCH(T233&amp;W233,$DO$114:$DO$125&amp;$DP$112:$DP$123,0),3)</f>
        <v>#N/A</v>
      </c>
      <c r="BH233" s="1446">
        <f t="shared" si="264"/>
        <v>0</v>
      </c>
      <c r="BI233" s="465">
        <f t="shared" si="265"/>
        <v>0</v>
      </c>
      <c r="BJ233" s="465">
        <f t="shared" si="266"/>
        <v>0</v>
      </c>
      <c r="BK233" s="466">
        <f t="shared" si="235"/>
        <v>0</v>
      </c>
      <c r="BL233" s="466">
        <f t="shared" si="236"/>
        <v>0</v>
      </c>
      <c r="BM233" s="466">
        <f t="shared" si="267"/>
        <v>0</v>
      </c>
      <c r="BN233" s="466">
        <f t="shared" si="268"/>
        <v>0</v>
      </c>
      <c r="BO233" s="463">
        <f>IF('Data Entry'!$C$74=0,0,IF(ISNA(CJ233),0,IF(AX233=0,0,IF(AND('Data Entry'!$C$74=2,AF233&gt;2,CE233&lt;1),0,IF(AND('Data Entry'!$C$74=2,AF233&gt;1,AU233=2,CJ233&gt;1),0,IF(AND(AF233=5,CT233=0.5,AU233=2,ER233&lt;100),0,IF(AND(AF233=5,CT233=0.5,AU233=3,ER233&lt;100),0,IF(AND('Data Entry'!$C$74=2,AF233=2,AU233=2,AK233&gt;0.01,CB233=2,CE233&lt;1),0,IF(AND('Data Entry'!$C$74=2,AF233=3,AU233=3,AK233&gt;0.01,CB233=3,CE233&lt;1),0,IF(AND('Data Entry'!$C$74=2,AF233=3,AU233=3,AK233&gt;0.01,CB233=3,CE233&gt;0.99),BQ233*0.08,IF(AND('Data Entry'!$C$74=2,AF233=2,AU233=2,AK233&gt;0.01,CB233=2,CE233&gt;0.99),BQ233*0.1,IF(AND(AU233=2,AK233&gt;0.01,CB233=2,CD233&gt;1),BQ233*0.1,IF(AND(AU233=3,AK233&gt;0.01,CB233=3,CD233&gt;1),BQ233*0.08,CJ233*EF233)))))))))))))</f>
        <v>0</v>
      </c>
      <c r="BP233" s="475">
        <f t="shared" si="269"/>
        <v>0</v>
      </c>
      <c r="BQ233" s="1431">
        <f>IF(AU233=1,0,IF(CH233=100,0,IF(AND(AF233=3,AU233=2),0,IF(AND(BH233=0,CT233&gt;0.4),0,IF(AND('Data Entry'!$C$74=2,AF233=1.5),0,IF(AND('Data Entry'!$C$74=2,AF233=1.6),0,IF(AND('Data Entry'!$C$74=2,AF233=4),0,IF(AND('Data Entry'!$C$74=2,AF233=5),0,IF(AND('Data Entry'!$C$74=2,AF233=2.5,CE233&lt;1),0,IF(AND('Data Entry'!$C$74=2,AF233=3,CE233&lt;1),0,IF(AND('Data Entry'!$C$74=1,AF233=2.5,CD233&lt;1),0,IF(AND('Data Entry'!$C$74=1,AF233=3,CD233&lt;1),0,IF(DX233&gt;0.01,DX233,IF(ISERROR(AX233-AY233),"",ROUND(AX233-AY233,2)))))))))))))))</f>
        <v>0</v>
      </c>
      <c r="BR233" s="146">
        <f t="shared" si="270"/>
        <v>0</v>
      </c>
      <c r="BS233" s="475">
        <f t="shared" si="271"/>
        <v>0</v>
      </c>
      <c r="BT233" s="146" t="b">
        <f t="shared" si="272"/>
        <v>0</v>
      </c>
      <c r="BU233" s="463">
        <f>IF(ISNA(AT233),0,IF(AND('Data Entry'!$C$74=2,BC233=27),0,IF(AND('Data Entry'!$C$74=2,BC233=28),0,IF(AND(BC233=27,BT233=27,CM233&gt;0.1),CM233*0.15,IF(AND(BC233=28,BT233=28,CM233&gt;0.1),CM233*0.12,0)))))</f>
        <v>0</v>
      </c>
      <c r="BV233" s="463">
        <f t="shared" si="309"/>
        <v>0</v>
      </c>
      <c r="BW233" s="463">
        <f t="shared" si="273"/>
        <v>0</v>
      </c>
      <c r="BX233" s="463">
        <f t="shared" si="274"/>
        <v>0</v>
      </c>
      <c r="BY233" s="463">
        <f t="shared" si="275"/>
        <v>0</v>
      </c>
      <c r="BZ233" s="463">
        <f t="shared" si="276"/>
        <v>0</v>
      </c>
      <c r="CA233" s="57">
        <f t="shared" si="304"/>
        <v>0</v>
      </c>
      <c r="CB233" s="56">
        <f t="shared" si="277"/>
        <v>1</v>
      </c>
      <c r="CC233" s="756">
        <f>IF(EE233=0,0,IF(EF233=0,0,IF(EE233&gt;AA233,0,IF(AND(AZ233&gt;AW233,AW233&gt;0),0,IF(CU233=0,0,Summary!AC536)))))</f>
        <v>0</v>
      </c>
      <c r="CD233" s="756">
        <f>IF(EE233=0,0,IF(EF233=0,0,IF(EE233&gt;AA233,0,IF(AND(AZ233&gt;AW233,AW233&gt;0),0,IF(CU233=0,0,Summary!AD536)))))</f>
        <v>0</v>
      </c>
      <c r="CE233" s="756">
        <f>IF(EF233=0,0,IF(EE233&gt;AA233,0,IF(CC233=0,0,IF(AND(AZ233&gt;AW233,AW233&gt;0),0,IF(CU233=0,0,Summary!AE536)))))</f>
        <v>0</v>
      </c>
      <c r="CF233" s="475">
        <f t="shared" si="278"/>
        <v>0</v>
      </c>
      <c r="CG233" s="476">
        <f t="shared" si="246"/>
        <v>0</v>
      </c>
      <c r="CH233" s="487">
        <f t="shared" si="279"/>
        <v>0</v>
      </c>
      <c r="CI233" s="756">
        <f t="shared" si="280"/>
        <v>0</v>
      </c>
      <c r="CJ233" s="487">
        <f>IF(CT233&gt;0.4,0,IF(AND(AU233=2,CH233=0,CT233=0.5,ER233=100),35,IF(AND(AU233=3,BB233&gt;75,CH233=0,CT233=0.5,ER233=100),25,IF(CB233&gt;1,0,IF(EF233&gt;EE233,0,IF(AND(AF233&gt;1,CH233=100),0,IF(AND(AF233=1,AY233=0),0,IF(AND(EF233&lt;=EE233,AW233&gt;=AZ233,'Data Entry'!$C$74=1,AU233=2),VLOOKUP(W233,$DO$96:$DP$102,2,FALSE),IF(AND(EF233&lt;=EE233,AW233&gt;=AZ233,AU233=3,'Data Entry'!$C$74=1),VLOOKUP(W233,$DO$127:$DP$134,2,FALSE))))))))))</f>
        <v>0</v>
      </c>
      <c r="CK233" s="716">
        <f t="shared" si="281"/>
        <v>0</v>
      </c>
      <c r="CL233" s="57">
        <f t="shared" si="282"/>
        <v>0</v>
      </c>
      <c r="CM233" s="475">
        <f t="shared" si="308"/>
        <v>0</v>
      </c>
      <c r="CN233" s="660">
        <f>IF(CM233&lt;0.1,0,IF(ISNA(AT233),0,IF(CL233+BC233=1,0,IF(BV233&gt;0.01,0,IF(CL233&gt;0.01,0,IF(CF233=1,0,IF(BC233=0.5,0,IF(AND(CI233=1,AU233=3),0,IF(AND(CI233=5,CL233=0),0,IF(AND(R233=12,BR233=50),0,IF(CK233&gt;0.01,0,IF(AND(AJ233&gt;0.01,AU233=2,BC233=15),CM233*0.1,IF(AND(AJ233&gt;0.01,AU233=3,BC233=15),CM233*0.08,IF(AND(R233=12,BC233=3,AF233&lt;=0),0,IF(AND(BC233=15,BI233=0),0,IF(AND(BC233=15,BJ233=0),0,IF(AND(R233=20,CU233=0),0,IF($X$4=0,0,IF(AND(BC233=250,CL233=0),0,IF(AA233&lt;1,0,IF(AND(ISNUMBER(SEARCH("Area",T233)),AU233=3),0,IF(AND(AQ233&gt;0.01,AR233=0,BK233=0,BL233=0,BM233=0,BN233=0),0,IF(AND(AU233=3,CI233=7,CT233&gt;0.5),0,IF(AND(BC233=44,AU233=3,BY233=0),0,IF(AND(BC233=27,'Data Entry'!$C$74=2),0,IF(AND(BC233=28,'Data Entry'!$C$74=2),0,IF(AND(BY233+BZ233+CA233&gt;0.01,BV233=0,EQ233+ER233+ES233+ET233&lt;100),0,IF(AU233=3,CM233*0.08,IF(AU233=2,CM233*0.1,0)))))))))))))))))))))))))))))</f>
        <v>0</v>
      </c>
      <c r="CO233" s="660">
        <f t="shared" si="283"/>
        <v>0</v>
      </c>
      <c r="CP233" s="475" t="str">
        <f t="shared" si="284"/>
        <v/>
      </c>
      <c r="CQ233" s="161" t="str">
        <f>IF(AH233=0,0,IF(AU233=5,0,Summary!AC236))</f>
        <v/>
      </c>
      <c r="CR233" s="161" t="str">
        <f>IF(BF233=0.5,0,IF(AU233=5,0,Summary!AD236))</f>
        <v/>
      </c>
      <c r="CS233" s="161" t="str">
        <f>IF(AU233=5,0,Summary!AE236)</f>
        <v/>
      </c>
      <c r="CT233" s="161">
        <f t="shared" si="285"/>
        <v>0</v>
      </c>
      <c r="CU233" s="475" t="str">
        <f t="shared" si="286"/>
        <v/>
      </c>
      <c r="CV233" s="307">
        <f>IF('Data Entry'!$C$74=0,0,IF(AA233&lt;1,0,IF(ISERROR(CU233),0,IF(CF233=1,0,IF(AND(R233=12,BR233=50),0,IF(CL233+BO233+BV233+DC233=0,0,IF(BC233=37,0,IF(AND(BC233=40,AJ233=0),0,IF(AND(BC233=37,BO233&gt;0.01,BQ233&gt;0.01),ROUND(BQ233,0),IF(CM233&lt;0,0,ROUND(CM233,0)))))))))))</f>
        <v>0</v>
      </c>
      <c r="CW233" s="700">
        <f t="shared" si="287"/>
        <v>0</v>
      </c>
      <c r="CX233" s="477">
        <f>IF('Data Entry'!$C$74=0,0,IF(CV233&lt;0.01,0,IF(BF233=0.5,0,IF(CF233=1,0,IF(ISNUMBER(SEARCH("false",CL233)),0,IF(AZ233=500,0,CL233))))))</f>
        <v>0</v>
      </c>
      <c r="CY233" s="147" t="e">
        <f t="shared" si="288"/>
        <v>#VALUE!</v>
      </c>
      <c r="CZ233" s="147" t="b">
        <f>IF(CN233+CL233=0,FALSE,IF(AH233=0,0,IF(AND('Data Entry'!$C$74=1,CR233&gt;=1),TRUE,IF(AND('Data Entry'!$C$74=2,CS233&gt;=1),TRUE,FALSE))))</f>
        <v>0</v>
      </c>
      <c r="DA233" s="1751">
        <f>IF('Data Entry'!$C$74=0,0,IFERROR(ROUND(IF(T233="","",IF($X$4=0,0,IF(CF233=1,0,IF(BQ233+CV233=0,0,IF(CF233=1,0,IF(CY233&gt;0.01,CY233,IF(CL233&gt;0.01,CL233,IF(CY233&gt;0.01,CY233,IF(BC233=37,BO233,IF(CZ233=FALSE,0,IF(CZ233=TRUE,DC233+DF233,0))))))))))),2),""))</f>
        <v>0</v>
      </c>
      <c r="DB233" s="1752"/>
      <c r="DC233" s="474">
        <f>IF(CN233&lt;0.01,0,IF(AND(BR233=3,CN233&gt;0.01,CT233&gt;0.6,ER233+ES233+ET233&lt;100),0,IF(AND('Data Entry'!$C$74=1,CN233&gt;0.01,CR233&gt;0.99),MIN(CN233:CO233),IF(AND('Data Entry'!$C$74=2,CN233&gt;0.01,CS233&gt;0.99),MIN(CN233:CO233),0))))</f>
        <v>0</v>
      </c>
      <c r="DD233" s="478">
        <f>IF(CF233=1,"Selection does not match",IF(T233=0,0,IF(AND('Data Entry'!$C$74=0,CP233&gt;1),"Select Oregon or Idaho on Data Entry Tab",IF(AND(AU233=1,AA233&gt;0.9),"Missing Interior or Exterior Selection",IF($X$4=0,"Enter Total Project Cost",IF(AQ233&lt;AR233,"Insufficient kWh savings – no incentive",IF(AND(SUM(CL233+CK233+BV233)&gt;0.01,'Data Entry'!$C$74=2,CJ233&gt;1,BO233=0),"Submit Control as Non-Standard",IF(AND('Data Entry'!$C$74=2,BR233=37,CJ233&gt;1,BO233=0),"Submit Control as Non-Standard",IF(SUM(CL233+CK233+BV233)&gt;0.01,"Standard Incentive",IF(AND('Data Entry'!$C$74=2,CP233=7,CN233=0),"Submit as Non-Standard",IF(DC233&gt;0.9,"Non-Standard Incentive",IF(AND(BY233+BZ233+CA233&gt;0.01,BV233=0,EQ233=0,ER233=0,ES233=0,ET233=0),"Scroll Right &amp; Select Control Strategies",IF(AND(CN233&gt;0.01,CO233=0),"Enter Unit Installed Cost",IF(ISNUMBER(SEARCH("Lighting Controls Only",F233)),"Lighting Controls Only",IF(CL233+DC233=0,"Does not meet incentive criteria",0)))))))))))))))</f>
        <v>0</v>
      </c>
      <c r="DE233" s="337">
        <f t="shared" si="289"/>
        <v>0</v>
      </c>
      <c r="DF233" s="609">
        <f t="shared" si="290"/>
        <v>0</v>
      </c>
      <c r="DG233" s="336" t="str">
        <f t="shared" si="291"/>
        <v/>
      </c>
      <c r="DH233" s="338">
        <f t="shared" si="292"/>
        <v>1</v>
      </c>
      <c r="DI233" s="336" t="e">
        <f t="shared" si="247"/>
        <v>#VALUE!</v>
      </c>
      <c r="DJ233" s="338">
        <f t="shared" si="248"/>
        <v>0</v>
      </c>
      <c r="DQ233" s="409" t="s">
        <v>455</v>
      </c>
      <c r="DR233" s="704">
        <v>38</v>
      </c>
      <c r="DS233" s="1195">
        <f t="shared" si="293"/>
        <v>0</v>
      </c>
      <c r="DT233" s="344" t="b">
        <f t="shared" si="294"/>
        <v>1</v>
      </c>
      <c r="DU233" s="1314" t="str">
        <f t="array" ref="DU233">IF(OR(COUNTIF(F233,"*"&amp;$DK$9:$DK$178&amp;"*")), "Yes", "")</f>
        <v/>
      </c>
      <c r="DV233" s="1314">
        <f t="shared" si="295"/>
        <v>0</v>
      </c>
      <c r="DW233" s="1480">
        <f t="shared" si="296"/>
        <v>0</v>
      </c>
      <c r="DX233" s="1498">
        <f t="shared" si="305"/>
        <v>0</v>
      </c>
      <c r="DY233" s="1484">
        <f t="shared" si="297"/>
        <v>0</v>
      </c>
      <c r="DZ233" s="331"/>
      <c r="EA233" s="392"/>
      <c r="EB233" s="1499" t="s">
        <v>73</v>
      </c>
      <c r="EC233" s="727" t="s">
        <v>1569</v>
      </c>
      <c r="ED233" s="728">
        <v>0.5</v>
      </c>
      <c r="EE233" s="1215"/>
      <c r="EF233" s="1215"/>
      <c r="EG233" s="1184" t="str">
        <f t="shared" si="298"/>
        <v/>
      </c>
      <c r="EH233" s="81"/>
      <c r="EI233" s="81"/>
      <c r="EJ233" s="1185">
        <f t="shared" si="249"/>
        <v>0</v>
      </c>
      <c r="EK233" s="1211"/>
      <c r="EL233" s="1180">
        <f t="shared" si="250"/>
        <v>0</v>
      </c>
      <c r="EM233" s="206"/>
      <c r="EN233" s="1038"/>
      <c r="EO233" s="1038"/>
      <c r="EP233" s="1038"/>
      <c r="EQ233" s="1038">
        <f t="shared" si="299"/>
        <v>0</v>
      </c>
      <c r="ER233" s="1041">
        <f t="shared" si="300"/>
        <v>0</v>
      </c>
      <c r="ES233" s="1042">
        <f t="shared" si="301"/>
        <v>0</v>
      </c>
      <c r="ET233" s="1042">
        <f t="shared" si="306"/>
        <v>0</v>
      </c>
      <c r="EU233" s="1021">
        <f t="shared" si="307"/>
        <v>0</v>
      </c>
      <c r="EV233" s="368"/>
      <c r="EW233" s="368"/>
      <c r="EX233" s="369"/>
      <c r="EY233" s="370"/>
      <c r="EZ233" s="370"/>
      <c r="FA233" s="371"/>
      <c r="FB233" s="372"/>
    </row>
    <row r="234" spans="1:158" ht="34.5" customHeight="1">
      <c r="A234" s="82">
        <v>226</v>
      </c>
      <c r="B234" s="1806"/>
      <c r="C234" s="1807"/>
      <c r="D234" s="1807"/>
      <c r="E234" s="1808"/>
      <c r="F234" s="1809"/>
      <c r="G234" s="1810"/>
      <c r="H234" s="1810"/>
      <c r="I234" s="1811"/>
      <c r="J234" s="1301"/>
      <c r="K234" s="1814"/>
      <c r="L234" s="1814"/>
      <c r="M234" s="1017"/>
      <c r="N234" s="1584"/>
      <c r="O234" s="208" t="str">
        <f t="shared" si="237"/>
        <v/>
      </c>
      <c r="P234" s="785"/>
      <c r="Q234" s="39" t="str">
        <f t="shared" si="238"/>
        <v/>
      </c>
      <c r="R234" s="39">
        <f t="shared" si="251"/>
        <v>0</v>
      </c>
      <c r="S234" s="234">
        <f t="shared" si="252"/>
        <v>0</v>
      </c>
      <c r="T234" s="1815"/>
      <c r="U234" s="1815"/>
      <c r="V234" s="1815"/>
      <c r="W234" s="1121"/>
      <c r="X234" s="1812"/>
      <c r="Y234" s="1813"/>
      <c r="Z234" s="703"/>
      <c r="AA234" s="1280"/>
      <c r="AB234" s="1141"/>
      <c r="AC234" s="1103" t="str">
        <f>IF(T234="","",VLOOKUP(Z234,Lists!$A$60:$B$111,2,FALSE))</f>
        <v/>
      </c>
      <c r="AD234" s="130" t="str">
        <f t="shared" si="253"/>
        <v/>
      </c>
      <c r="AE234" s="130" t="e">
        <f t="shared" si="254"/>
        <v>#VALUE!</v>
      </c>
      <c r="AF234" s="130">
        <f t="shared" si="255"/>
        <v>1</v>
      </c>
      <c r="AG234" s="234">
        <f t="shared" si="239"/>
        <v>0</v>
      </c>
      <c r="AH234" s="1753" t="str">
        <f>IF(T234="","",(IF(ISNUMBER(SEARCH("exit",T234)),8760,IF(AND(M234="Dusk to Dawn",'Proposed Lighting'!AU234=3),4059,IF(AND(AU234=3,M234="1"),0,IF(AND(AU234=3,M234="1-C"),0,IF(AND(AU234=3,M234="2"),0,IF(AND(AU234=3,M234="2-C"),0,IF(AND(AU234=3,M234="3"),0,IF(AND(AU234=3,M234="3-C"),0,IF(AND(AU234=2,M234="Dusk to Dawn"),0,IF(AND(AU234=2,M234="Dusk to Dawn-C"),0,IF(AND(AU234=2,M234="Dusk to Dawn"),0,IF(AND(AU234=2,M234="E"),0,IF(AND(AU234=2,M234="E-C"),0,EG234)))))))))))))))</f>
        <v/>
      </c>
      <c r="AI234" s="1754"/>
      <c r="AJ234" s="1136"/>
      <c r="AK234" s="1136"/>
      <c r="AL234" s="1748">
        <f t="shared" si="256"/>
        <v>0</v>
      </c>
      <c r="AM234" s="1749"/>
      <c r="AN234" s="1750"/>
      <c r="AO234" s="476">
        <f t="shared" si="240"/>
        <v>0</v>
      </c>
      <c r="AP234" s="476">
        <f t="shared" si="257"/>
        <v>0</v>
      </c>
      <c r="AQ234" s="475">
        <f t="shared" si="241"/>
        <v>0</v>
      </c>
      <c r="AR234" s="475">
        <f t="shared" si="258"/>
        <v>0</v>
      </c>
      <c r="AS234" s="743" t="str">
        <f t="shared" si="310"/>
        <v/>
      </c>
      <c r="AT234" s="736" t="str">
        <f t="shared" si="259"/>
        <v/>
      </c>
      <c r="AU234" s="56">
        <f t="shared" si="260"/>
        <v>1</v>
      </c>
      <c r="AV234" s="476">
        <f t="shared" si="261"/>
        <v>0</v>
      </c>
      <c r="AW234" s="56">
        <f t="shared" si="262"/>
        <v>0</v>
      </c>
      <c r="AX234" s="475">
        <f t="shared" si="242"/>
        <v>0</v>
      </c>
      <c r="AY234" s="1169">
        <f t="shared" si="263"/>
        <v>0</v>
      </c>
      <c r="AZ234" s="1150">
        <f t="shared" si="302"/>
        <v>0</v>
      </c>
      <c r="BA234" s="56">
        <f t="shared" si="243"/>
        <v>0</v>
      </c>
      <c r="BB234" s="420">
        <f t="shared" si="244"/>
        <v>0</v>
      </c>
      <c r="BC234" s="58" t="str">
        <f t="shared" si="245"/>
        <v/>
      </c>
      <c r="BD234" s="660">
        <f t="shared" si="303"/>
        <v>0</v>
      </c>
      <c r="BE234" s="57" t="e">
        <f t="array" ref="BE234">INDEX($EB$11:$ED$1022,MATCH(F234&amp;T234,$EB$11:$EB$1007&amp;$EC$11:$EC$1007,0),3)</f>
        <v>#N/A</v>
      </c>
      <c r="BF234" s="463">
        <f t="shared" si="234"/>
        <v>0</v>
      </c>
      <c r="BG234" s="1445" t="e">
        <f t="array" ref="BG234">INDEX($DO$112:$DQ$123,MATCH(T234&amp;W234,$DO$114:$DO$125&amp;$DP$112:$DP$123,0),3)</f>
        <v>#N/A</v>
      </c>
      <c r="BH234" s="1446">
        <f t="shared" si="264"/>
        <v>0</v>
      </c>
      <c r="BI234" s="465">
        <f t="shared" si="265"/>
        <v>0</v>
      </c>
      <c r="BJ234" s="465">
        <f t="shared" si="266"/>
        <v>0</v>
      </c>
      <c r="BK234" s="466">
        <f t="shared" si="235"/>
        <v>0</v>
      </c>
      <c r="BL234" s="466">
        <f t="shared" si="236"/>
        <v>0</v>
      </c>
      <c r="BM234" s="466">
        <f t="shared" si="267"/>
        <v>0</v>
      </c>
      <c r="BN234" s="466">
        <f t="shared" si="268"/>
        <v>0</v>
      </c>
      <c r="BO234" s="463">
        <f>IF('Data Entry'!$C$74=0,0,IF(ISNA(CJ234),0,IF(AX234=0,0,IF(AND('Data Entry'!$C$74=2,AF234&gt;2,CE234&lt;1),0,IF(AND('Data Entry'!$C$74=2,AF234&gt;1,AU234=2,CJ234&gt;1),0,IF(AND(AF234=5,CT234=0.5,AU234=2,ER234&lt;100),0,IF(AND(AF234=5,CT234=0.5,AU234=3,ER234&lt;100),0,IF(AND('Data Entry'!$C$74=2,AF234=2,AU234=2,AK234&gt;0.01,CB234=2,CE234&lt;1),0,IF(AND('Data Entry'!$C$74=2,AF234=3,AU234=3,AK234&gt;0.01,CB234=3,CE234&lt;1),0,IF(AND('Data Entry'!$C$74=2,AF234=3,AU234=3,AK234&gt;0.01,CB234=3,CE234&gt;0.99),BQ234*0.08,IF(AND('Data Entry'!$C$74=2,AF234=2,AU234=2,AK234&gt;0.01,CB234=2,CE234&gt;0.99),BQ234*0.1,IF(AND(AU234=2,AK234&gt;0.01,CB234=2,CD234&gt;1),BQ234*0.1,IF(AND(AU234=3,AK234&gt;0.01,CB234=3,CD234&gt;1),BQ234*0.08,CJ234*EF234)))))))))))))</f>
        <v>0</v>
      </c>
      <c r="BP234" s="475">
        <f t="shared" si="269"/>
        <v>0</v>
      </c>
      <c r="BQ234" s="1431">
        <f>IF(AU234=1,0,IF(CH234=100,0,IF(AND(AF234=3,AU234=2),0,IF(AND(BH234=0,CT234&gt;0.4),0,IF(AND('Data Entry'!$C$74=2,AF234=1.5),0,IF(AND('Data Entry'!$C$74=2,AF234=1.6),0,IF(AND('Data Entry'!$C$74=2,AF234=4),0,IF(AND('Data Entry'!$C$74=2,AF234=5),0,IF(AND('Data Entry'!$C$74=2,AF234=2.5,CE234&lt;1),0,IF(AND('Data Entry'!$C$74=2,AF234=3,CE234&lt;1),0,IF(AND('Data Entry'!$C$74=1,AF234=2.5,CD234&lt;1),0,IF(AND('Data Entry'!$C$74=1,AF234=3,CD234&lt;1),0,IF(DX234&gt;0.01,DX234,IF(ISERROR(AX234-AY234),"",ROUND(AX234-AY234,2)))))))))))))))</f>
        <v>0</v>
      </c>
      <c r="BR234" s="146">
        <f t="shared" si="270"/>
        <v>0</v>
      </c>
      <c r="BS234" s="475">
        <f t="shared" si="271"/>
        <v>0</v>
      </c>
      <c r="BT234" s="146" t="b">
        <f t="shared" si="272"/>
        <v>0</v>
      </c>
      <c r="BU234" s="463">
        <f>IF(ISNA(AT234),0,IF(AND('Data Entry'!$C$74=2,BC234=27),0,IF(AND('Data Entry'!$C$74=2,BC234=28),0,IF(AND(BC234=27,BT234=27,CM234&gt;0.1),CM234*0.15,IF(AND(BC234=28,BT234=28,CM234&gt;0.1),CM234*0.12,0)))))</f>
        <v>0</v>
      </c>
      <c r="BV234" s="463">
        <f t="shared" si="309"/>
        <v>0</v>
      </c>
      <c r="BW234" s="463">
        <f t="shared" si="273"/>
        <v>0</v>
      </c>
      <c r="BX234" s="463">
        <f t="shared" si="274"/>
        <v>0</v>
      </c>
      <c r="BY234" s="463">
        <f t="shared" si="275"/>
        <v>0</v>
      </c>
      <c r="BZ234" s="463">
        <f t="shared" si="276"/>
        <v>0</v>
      </c>
      <c r="CA234" s="57">
        <f t="shared" si="304"/>
        <v>0</v>
      </c>
      <c r="CB234" s="56">
        <f t="shared" si="277"/>
        <v>1</v>
      </c>
      <c r="CC234" s="756">
        <f>IF(EE234=0,0,IF(EF234=0,0,IF(EE234&gt;AA234,0,IF(AND(AZ234&gt;AW234,AW234&gt;0),0,IF(CU234=0,0,Summary!AC537)))))</f>
        <v>0</v>
      </c>
      <c r="CD234" s="756">
        <f>IF(EE234=0,0,IF(EF234=0,0,IF(EE234&gt;AA234,0,IF(AND(AZ234&gt;AW234,AW234&gt;0),0,IF(CU234=0,0,Summary!AD537)))))</f>
        <v>0</v>
      </c>
      <c r="CE234" s="756">
        <f>IF(EF234=0,0,IF(EE234&gt;AA234,0,IF(CC234=0,0,IF(AND(AZ234&gt;AW234,AW234&gt;0),0,IF(CU234=0,0,Summary!AE537)))))</f>
        <v>0</v>
      </c>
      <c r="CF234" s="475">
        <f t="shared" si="278"/>
        <v>0</v>
      </c>
      <c r="CG234" s="476">
        <f t="shared" si="246"/>
        <v>0</v>
      </c>
      <c r="CH234" s="487">
        <f t="shared" si="279"/>
        <v>0</v>
      </c>
      <c r="CI234" s="756">
        <f t="shared" si="280"/>
        <v>0</v>
      </c>
      <c r="CJ234" s="487">
        <f>IF(CT234&gt;0.4,0,IF(AND(AU234=2,CH234=0,CT234=0.5,ER234=100),35,IF(AND(AU234=3,BB234&gt;75,CH234=0,CT234=0.5,ER234=100),25,IF(CB234&gt;1,0,IF(EF234&gt;EE234,0,IF(AND(AF234&gt;1,CH234=100),0,IF(AND(AF234=1,AY234=0),0,IF(AND(EF234&lt;=EE234,AW234&gt;=AZ234,'Data Entry'!$C$74=1,AU234=2),VLOOKUP(W234,$DO$96:$DP$102,2,FALSE),IF(AND(EF234&lt;=EE234,AW234&gt;=AZ234,AU234=3,'Data Entry'!$C$74=1),VLOOKUP(W234,$DO$127:$DP$134,2,FALSE))))))))))</f>
        <v>0</v>
      </c>
      <c r="CK234" s="716">
        <f t="shared" si="281"/>
        <v>0</v>
      </c>
      <c r="CL234" s="57">
        <f t="shared" si="282"/>
        <v>0</v>
      </c>
      <c r="CM234" s="475">
        <f t="shared" si="308"/>
        <v>0</v>
      </c>
      <c r="CN234" s="660">
        <f>IF(CM234&lt;0.1,0,IF(ISNA(AT234),0,IF(CL234+BC234=1,0,IF(BV234&gt;0.01,0,IF(CL234&gt;0.01,0,IF(CF234=1,0,IF(BC234=0.5,0,IF(AND(CI234=1,AU234=3),0,IF(AND(CI234=5,CL234=0),0,IF(AND(R234=12,BR234=50),0,IF(CK234&gt;0.01,0,IF(AND(AJ234&gt;0.01,AU234=2,BC234=15),CM234*0.1,IF(AND(AJ234&gt;0.01,AU234=3,BC234=15),CM234*0.08,IF(AND(R234=12,BC234=3,AF234&lt;=0),0,IF(AND(BC234=15,BI234=0),0,IF(AND(BC234=15,BJ234=0),0,IF(AND(R234=20,CU234=0),0,IF($X$4=0,0,IF(AND(BC234=250,CL234=0),0,IF(AA234&lt;1,0,IF(AND(ISNUMBER(SEARCH("Area",T234)),AU234=3),0,IF(AND(AQ234&gt;0.01,AR234=0,BK234=0,BL234=0,BM234=0,BN234=0),0,IF(AND(AU234=3,CI234=7,CT234&gt;0.5),0,IF(AND(BC234=44,AU234=3,BY234=0),0,IF(AND(BC234=27,'Data Entry'!$C$74=2),0,IF(AND(BC234=28,'Data Entry'!$C$74=2),0,IF(AND(BY234+BZ234+CA234&gt;0.01,BV234=0,EQ234+ER234+ES234+ET234&lt;100),0,IF(AU234=3,CM234*0.08,IF(AU234=2,CM234*0.1,0)))))))))))))))))))))))))))))</f>
        <v>0</v>
      </c>
      <c r="CO234" s="660">
        <f t="shared" si="283"/>
        <v>0</v>
      </c>
      <c r="CP234" s="475" t="str">
        <f t="shared" si="284"/>
        <v/>
      </c>
      <c r="CQ234" s="161" t="str">
        <f>IF(AH234=0,0,IF(AU234=5,0,Summary!AC237))</f>
        <v/>
      </c>
      <c r="CR234" s="161" t="str">
        <f>IF(BF234=0.5,0,IF(AU234=5,0,Summary!AD237))</f>
        <v/>
      </c>
      <c r="CS234" s="161" t="str">
        <f>IF(AU234=5,0,Summary!AE237)</f>
        <v/>
      </c>
      <c r="CT234" s="161">
        <f t="shared" si="285"/>
        <v>0</v>
      </c>
      <c r="CU234" s="475" t="str">
        <f t="shared" si="286"/>
        <v/>
      </c>
      <c r="CV234" s="307">
        <f>IF('Data Entry'!$C$74=0,0,IF(AA234&lt;1,0,IF(ISERROR(CU234),0,IF(CF234=1,0,IF(AND(R234=12,BR234=50),0,IF(CL234+BO234+BV234+DC234=0,0,IF(BC234=37,0,IF(AND(BC234=40,AJ234=0),0,IF(AND(BC234=37,BO234&gt;0.01,BQ234&gt;0.01),ROUND(BQ234,0),IF(CM234&lt;0,0,ROUND(CM234,0)))))))))))</f>
        <v>0</v>
      </c>
      <c r="CW234" s="700">
        <f t="shared" si="287"/>
        <v>0</v>
      </c>
      <c r="CX234" s="477">
        <f>IF('Data Entry'!$C$74=0,0,IF(CV234&lt;0.01,0,IF(BF234=0.5,0,IF(CF234=1,0,IF(ISNUMBER(SEARCH("false",CL234)),0,IF(AZ234=500,0,CL234))))))</f>
        <v>0</v>
      </c>
      <c r="CY234" s="147" t="e">
        <f t="shared" si="288"/>
        <v>#VALUE!</v>
      </c>
      <c r="CZ234" s="147" t="b">
        <f>IF(CN234+CL234=0,FALSE,IF(AH234=0,0,IF(AND('Data Entry'!$C$74=1,CR234&gt;=1),TRUE,IF(AND('Data Entry'!$C$74=2,CS234&gt;=1),TRUE,FALSE))))</f>
        <v>0</v>
      </c>
      <c r="DA234" s="1751">
        <f>IF('Data Entry'!$C$74=0,0,IFERROR(ROUND(IF(T234="","",IF($X$4=0,0,IF(CF234=1,0,IF(BQ234+CV234=0,0,IF(CF234=1,0,IF(CY234&gt;0.01,CY234,IF(CL234&gt;0.01,CL234,IF(CY234&gt;0.01,CY234,IF(BC234=37,BO234,IF(CZ234=FALSE,0,IF(CZ234=TRUE,DC234+DF234,0))))))))))),2),""))</f>
        <v>0</v>
      </c>
      <c r="DB234" s="1752"/>
      <c r="DC234" s="474">
        <f>IF(CN234&lt;0.01,0,IF(AND(BR234=3,CN234&gt;0.01,CT234&gt;0.6,ER234+ES234+ET234&lt;100),0,IF(AND('Data Entry'!$C$74=1,CN234&gt;0.01,CR234&gt;0.99),MIN(CN234:CO234),IF(AND('Data Entry'!$C$74=2,CN234&gt;0.01,CS234&gt;0.99),MIN(CN234:CO234),0))))</f>
        <v>0</v>
      </c>
      <c r="DD234" s="478">
        <f>IF(CF234=1,"Selection does not match",IF(T234=0,0,IF(AND('Data Entry'!$C$74=0,CP234&gt;1),"Select Oregon or Idaho on Data Entry Tab",IF(AND(AU234=1,AA234&gt;0.9),"Missing Interior or Exterior Selection",IF($X$4=0,"Enter Total Project Cost",IF(AQ234&lt;AR234,"Insufficient kWh savings – no incentive",IF(AND(SUM(CL234+CK234+BV234)&gt;0.01,'Data Entry'!$C$74=2,CJ234&gt;1,BO234=0),"Submit Control as Non-Standard",IF(AND('Data Entry'!$C$74=2,BR234=37,CJ234&gt;1,BO234=0),"Submit Control as Non-Standard",IF(SUM(CL234+CK234+BV234)&gt;0.01,"Standard Incentive",IF(AND('Data Entry'!$C$74=2,CP234=7,CN234=0),"Submit as Non-Standard",IF(DC234&gt;0.9,"Non-Standard Incentive",IF(AND(BY234+BZ234+CA234&gt;0.01,BV234=0,EQ234=0,ER234=0,ES234=0,ET234=0),"Scroll Right &amp; Select Control Strategies",IF(AND(CN234&gt;0.01,CO234=0),"Enter Unit Installed Cost",IF(ISNUMBER(SEARCH("Lighting Controls Only",F234)),"Lighting Controls Only",IF(CL234+DC234=0,"Does not meet incentive criteria",0)))))))))))))))</f>
        <v>0</v>
      </c>
      <c r="DE234" s="337">
        <f t="shared" si="289"/>
        <v>0</v>
      </c>
      <c r="DF234" s="609">
        <f t="shared" si="290"/>
        <v>0</v>
      </c>
      <c r="DG234" s="336" t="str">
        <f t="shared" si="291"/>
        <v/>
      </c>
      <c r="DH234" s="338">
        <f t="shared" si="292"/>
        <v>1</v>
      </c>
      <c r="DI234" s="336" t="e">
        <f t="shared" si="247"/>
        <v>#VALUE!</v>
      </c>
      <c r="DJ234" s="338">
        <f t="shared" si="248"/>
        <v>0</v>
      </c>
      <c r="DQ234" s="861" t="s">
        <v>73</v>
      </c>
      <c r="DR234" s="704">
        <v>0</v>
      </c>
      <c r="DS234" s="1195">
        <f t="shared" si="293"/>
        <v>0</v>
      </c>
      <c r="DT234" s="344" t="b">
        <f t="shared" si="294"/>
        <v>1</v>
      </c>
      <c r="DU234" s="1314" t="str">
        <f t="array" ref="DU234">IF(OR(COUNTIF(F234,"*"&amp;$DK$9:$DK$178&amp;"*")), "Yes", "")</f>
        <v/>
      </c>
      <c r="DV234" s="1314">
        <f t="shared" si="295"/>
        <v>0</v>
      </c>
      <c r="DW234" s="1480">
        <f t="shared" si="296"/>
        <v>0</v>
      </c>
      <c r="DX234" s="1498">
        <f t="shared" si="305"/>
        <v>0</v>
      </c>
      <c r="DY234" s="1484">
        <f t="shared" si="297"/>
        <v>0</v>
      </c>
      <c r="DZ234" s="331"/>
      <c r="EA234" s="392"/>
      <c r="EB234" s="1499" t="s">
        <v>157</v>
      </c>
      <c r="EC234" s="727" t="s">
        <v>1569</v>
      </c>
      <c r="ED234" s="728">
        <v>0.5</v>
      </c>
      <c r="EE234" s="1215"/>
      <c r="EF234" s="1215"/>
      <c r="EG234" s="1184" t="str">
        <f t="shared" si="298"/>
        <v/>
      </c>
      <c r="EH234" s="81"/>
      <c r="EI234" s="81"/>
      <c r="EJ234" s="1185">
        <f t="shared" si="249"/>
        <v>0</v>
      </c>
      <c r="EK234" s="1211"/>
      <c r="EL234" s="1180">
        <f t="shared" si="250"/>
        <v>0</v>
      </c>
      <c r="EM234" s="206"/>
      <c r="EN234" s="1038"/>
      <c r="EO234" s="1038"/>
      <c r="EP234" s="1038"/>
      <c r="EQ234" s="1038">
        <f t="shared" si="299"/>
        <v>0</v>
      </c>
      <c r="ER234" s="1041">
        <f t="shared" si="300"/>
        <v>0</v>
      </c>
      <c r="ES234" s="1042">
        <f t="shared" si="301"/>
        <v>0</v>
      </c>
      <c r="ET234" s="1042">
        <f t="shared" si="306"/>
        <v>0</v>
      </c>
      <c r="EU234" s="1021">
        <f t="shared" si="307"/>
        <v>0</v>
      </c>
      <c r="EV234" s="368"/>
      <c r="EW234" s="368"/>
      <c r="EX234" s="369"/>
      <c r="EY234" s="370"/>
      <c r="EZ234" s="370"/>
      <c r="FA234" s="371"/>
      <c r="FB234" s="372"/>
    </row>
    <row r="235" spans="1:158" ht="34.5" customHeight="1">
      <c r="A235" s="82">
        <v>227</v>
      </c>
      <c r="B235" s="1806"/>
      <c r="C235" s="1807"/>
      <c r="D235" s="1807"/>
      <c r="E235" s="1808"/>
      <c r="F235" s="1809"/>
      <c r="G235" s="1810"/>
      <c r="H235" s="1810"/>
      <c r="I235" s="1811"/>
      <c r="J235" s="1301"/>
      <c r="K235" s="1814"/>
      <c r="L235" s="1814"/>
      <c r="M235" s="1017"/>
      <c r="N235" s="1584"/>
      <c r="O235" s="208" t="str">
        <f t="shared" si="237"/>
        <v/>
      </c>
      <c r="P235" s="785"/>
      <c r="Q235" s="39" t="str">
        <f t="shared" si="238"/>
        <v/>
      </c>
      <c r="R235" s="39">
        <f t="shared" si="251"/>
        <v>0</v>
      </c>
      <c r="S235" s="234">
        <f t="shared" si="252"/>
        <v>0</v>
      </c>
      <c r="T235" s="1815"/>
      <c r="U235" s="1815"/>
      <c r="V235" s="1815"/>
      <c r="W235" s="1121"/>
      <c r="X235" s="1812"/>
      <c r="Y235" s="1813"/>
      <c r="Z235" s="703"/>
      <c r="AA235" s="1280"/>
      <c r="AB235" s="1141"/>
      <c r="AC235" s="1103" t="str">
        <f>IF(T235="","",VLOOKUP(Z235,Lists!$A$60:$B$111,2,FALSE))</f>
        <v/>
      </c>
      <c r="AD235" s="130" t="str">
        <f t="shared" si="253"/>
        <v/>
      </c>
      <c r="AE235" s="130" t="e">
        <f t="shared" si="254"/>
        <v>#VALUE!</v>
      </c>
      <c r="AF235" s="130">
        <f t="shared" si="255"/>
        <v>1</v>
      </c>
      <c r="AG235" s="234">
        <f t="shared" si="239"/>
        <v>0</v>
      </c>
      <c r="AH235" s="1753" t="str">
        <f>IF(T235="","",(IF(ISNUMBER(SEARCH("exit",T235)),8760,IF(AND(M235="Dusk to Dawn",'Proposed Lighting'!AU235=3),4059,IF(AND(AU235=3,M235="1"),0,IF(AND(AU235=3,M235="1-C"),0,IF(AND(AU235=3,M235="2"),0,IF(AND(AU235=3,M235="2-C"),0,IF(AND(AU235=3,M235="3"),0,IF(AND(AU235=3,M235="3-C"),0,IF(AND(AU235=2,M235="Dusk to Dawn"),0,IF(AND(AU235=2,M235="Dusk to Dawn-C"),0,IF(AND(AU235=2,M235="Dusk to Dawn"),0,IF(AND(AU235=2,M235="E"),0,IF(AND(AU235=2,M235="E-C"),0,EG235)))))))))))))))</f>
        <v/>
      </c>
      <c r="AI235" s="1754"/>
      <c r="AJ235" s="1136"/>
      <c r="AK235" s="1136"/>
      <c r="AL235" s="1748">
        <f t="shared" si="256"/>
        <v>0</v>
      </c>
      <c r="AM235" s="1749"/>
      <c r="AN235" s="1750"/>
      <c r="AO235" s="476">
        <f t="shared" si="240"/>
        <v>0</v>
      </c>
      <c r="AP235" s="476">
        <f t="shared" si="257"/>
        <v>0</v>
      </c>
      <c r="AQ235" s="475">
        <f t="shared" si="241"/>
        <v>0</v>
      </c>
      <c r="AR235" s="475">
        <f t="shared" si="258"/>
        <v>0</v>
      </c>
      <c r="AS235" s="743" t="str">
        <f t="shared" si="310"/>
        <v/>
      </c>
      <c r="AT235" s="736" t="str">
        <f t="shared" si="259"/>
        <v/>
      </c>
      <c r="AU235" s="56">
        <f t="shared" si="260"/>
        <v>1</v>
      </c>
      <c r="AV235" s="476">
        <f t="shared" si="261"/>
        <v>0</v>
      </c>
      <c r="AW235" s="56">
        <f t="shared" si="262"/>
        <v>0</v>
      </c>
      <c r="AX235" s="475">
        <f t="shared" si="242"/>
        <v>0</v>
      </c>
      <c r="AY235" s="1169">
        <f t="shared" si="263"/>
        <v>0</v>
      </c>
      <c r="AZ235" s="1150">
        <f t="shared" si="302"/>
        <v>0</v>
      </c>
      <c r="BA235" s="56">
        <f t="shared" si="243"/>
        <v>0</v>
      </c>
      <c r="BB235" s="420">
        <f t="shared" si="244"/>
        <v>0</v>
      </c>
      <c r="BC235" s="58" t="str">
        <f t="shared" si="245"/>
        <v/>
      </c>
      <c r="BD235" s="660">
        <f t="shared" si="303"/>
        <v>0</v>
      </c>
      <c r="BE235" s="57" t="e">
        <f t="array" ref="BE235">INDEX($EB$11:$ED$1022,MATCH(F235&amp;T235,$EB$11:$EB$1007&amp;$EC$11:$EC$1007,0),3)</f>
        <v>#N/A</v>
      </c>
      <c r="BF235" s="463">
        <f t="shared" ref="BF235:BF298" si="311">IF(ISNA(BE235),0,BE235)</f>
        <v>0</v>
      </c>
      <c r="BG235" s="1445" t="e">
        <f t="array" ref="BG235">INDEX($DO$112:$DQ$123,MATCH(T235&amp;W235,$DO$114:$DO$125&amp;$DP$112:$DP$123,0),3)</f>
        <v>#N/A</v>
      </c>
      <c r="BH235" s="1446">
        <f t="shared" si="264"/>
        <v>0</v>
      </c>
      <c r="BI235" s="465">
        <f t="shared" si="265"/>
        <v>0</v>
      </c>
      <c r="BJ235" s="465">
        <f t="shared" si="266"/>
        <v>0</v>
      </c>
      <c r="BK235" s="466">
        <f t="shared" ref="BK235:BK298" si="312">IF(ISNUMBER(SEARCH("removal",T235)),AND(AS235&gt;49,AS235&lt;300,AU235=2)*20,0)</f>
        <v>0</v>
      </c>
      <c r="BL235" s="466">
        <f t="shared" ref="BL235:BL298" si="313">IF(ISNUMBER(SEARCH("removal",T235)),AND(AS235&gt;299,AU235=2)*30,0)</f>
        <v>0</v>
      </c>
      <c r="BM235" s="466">
        <f t="shared" si="267"/>
        <v>0</v>
      </c>
      <c r="BN235" s="466">
        <f t="shared" si="268"/>
        <v>0</v>
      </c>
      <c r="BO235" s="463">
        <f>IF('Data Entry'!$C$74=0,0,IF(ISNA(CJ235),0,IF(AX235=0,0,IF(AND('Data Entry'!$C$74=2,AF235&gt;2,CE235&lt;1),0,IF(AND('Data Entry'!$C$74=2,AF235&gt;1,AU235=2,CJ235&gt;1),0,IF(AND(AF235=5,CT235=0.5,AU235=2,ER235&lt;100),0,IF(AND(AF235=5,CT235=0.5,AU235=3,ER235&lt;100),0,IF(AND('Data Entry'!$C$74=2,AF235=2,AU235=2,AK235&gt;0.01,CB235=2,CE235&lt;1),0,IF(AND('Data Entry'!$C$74=2,AF235=3,AU235=3,AK235&gt;0.01,CB235=3,CE235&lt;1),0,IF(AND('Data Entry'!$C$74=2,AF235=3,AU235=3,AK235&gt;0.01,CB235=3,CE235&gt;0.99),BQ235*0.08,IF(AND('Data Entry'!$C$74=2,AF235=2,AU235=2,AK235&gt;0.01,CB235=2,CE235&gt;0.99),BQ235*0.1,IF(AND(AU235=2,AK235&gt;0.01,CB235=2,CD235&gt;1),BQ235*0.1,IF(AND(AU235=3,AK235&gt;0.01,CB235=3,CD235&gt;1),BQ235*0.08,CJ235*EF235)))))))))))))</f>
        <v>0</v>
      </c>
      <c r="BP235" s="475">
        <f t="shared" si="269"/>
        <v>0</v>
      </c>
      <c r="BQ235" s="1431">
        <f>IF(AU235=1,0,IF(CH235=100,0,IF(AND(AF235=3,AU235=2),0,IF(AND(BH235=0,CT235&gt;0.4),0,IF(AND('Data Entry'!$C$74=2,AF235=1.5),0,IF(AND('Data Entry'!$C$74=2,AF235=1.6),0,IF(AND('Data Entry'!$C$74=2,AF235=4),0,IF(AND('Data Entry'!$C$74=2,AF235=5),0,IF(AND('Data Entry'!$C$74=2,AF235=2.5,CE235&lt;1),0,IF(AND('Data Entry'!$C$74=2,AF235=3,CE235&lt;1),0,IF(AND('Data Entry'!$C$74=1,AF235=2.5,CD235&lt;1),0,IF(AND('Data Entry'!$C$74=1,AF235=3,CD235&lt;1),0,IF(DX235&gt;0.01,DX235,IF(ISERROR(AX235-AY235),"",ROUND(AX235-AY235,2)))))))))))))))</f>
        <v>0</v>
      </c>
      <c r="BR235" s="146">
        <f t="shared" si="270"/>
        <v>0</v>
      </c>
      <c r="BS235" s="475">
        <f t="shared" si="271"/>
        <v>0</v>
      </c>
      <c r="BT235" s="146" t="b">
        <f t="shared" si="272"/>
        <v>0</v>
      </c>
      <c r="BU235" s="463">
        <f>IF(ISNA(AT235),0,IF(AND('Data Entry'!$C$74=2,BC235=27),0,IF(AND('Data Entry'!$C$74=2,BC235=28),0,IF(AND(BC235=27,BT235=27,CM235&gt;0.1),CM235*0.15,IF(AND(BC235=28,BT235=28,CM235&gt;0.1),CM235*0.12,0)))))</f>
        <v>0</v>
      </c>
      <c r="BV235" s="463">
        <f t="shared" si="309"/>
        <v>0</v>
      </c>
      <c r="BW235" s="463">
        <f t="shared" si="273"/>
        <v>0</v>
      </c>
      <c r="BX235" s="463">
        <f t="shared" si="274"/>
        <v>0</v>
      </c>
      <c r="BY235" s="463">
        <f t="shared" si="275"/>
        <v>0</v>
      </c>
      <c r="BZ235" s="463">
        <f t="shared" si="276"/>
        <v>0</v>
      </c>
      <c r="CA235" s="57">
        <f t="shared" si="304"/>
        <v>0</v>
      </c>
      <c r="CB235" s="56">
        <f t="shared" si="277"/>
        <v>1</v>
      </c>
      <c r="CC235" s="756">
        <f>IF(EE235=0,0,IF(EF235=0,0,IF(EE235&gt;AA235,0,IF(AND(AZ235&gt;AW235,AW235&gt;0),0,IF(CU235=0,0,Summary!AC538)))))</f>
        <v>0</v>
      </c>
      <c r="CD235" s="756">
        <f>IF(EE235=0,0,IF(EF235=0,0,IF(EE235&gt;AA235,0,IF(AND(AZ235&gt;AW235,AW235&gt;0),0,IF(CU235=0,0,Summary!AD538)))))</f>
        <v>0</v>
      </c>
      <c r="CE235" s="756">
        <f>IF(EF235=0,0,IF(EE235&gt;AA235,0,IF(CC235=0,0,IF(AND(AZ235&gt;AW235,AW235&gt;0),0,IF(CU235=0,0,Summary!AE538)))))</f>
        <v>0</v>
      </c>
      <c r="CF235" s="475">
        <f t="shared" si="278"/>
        <v>0</v>
      </c>
      <c r="CG235" s="476">
        <f t="shared" si="246"/>
        <v>0</v>
      </c>
      <c r="CH235" s="487">
        <f t="shared" si="279"/>
        <v>0</v>
      </c>
      <c r="CI235" s="756">
        <f t="shared" si="280"/>
        <v>0</v>
      </c>
      <c r="CJ235" s="487">
        <f>IF(CT235&gt;0.4,0,IF(AND(AU235=2,CH235=0,CT235=0.5,ER235=100),35,IF(AND(AU235=3,BB235&gt;75,CH235=0,CT235=0.5,ER235=100),25,IF(CB235&gt;1,0,IF(EF235&gt;EE235,0,IF(AND(AF235&gt;1,CH235=100),0,IF(AND(AF235=1,AY235=0),0,IF(AND(EF235&lt;=EE235,AW235&gt;=AZ235,'Data Entry'!$C$74=1,AU235=2),VLOOKUP(W235,$DO$96:$DP$102,2,FALSE),IF(AND(EF235&lt;=EE235,AW235&gt;=AZ235,AU235=3,'Data Entry'!$C$74=1),VLOOKUP(W235,$DO$127:$DP$134,2,FALSE))))))))))</f>
        <v>0</v>
      </c>
      <c r="CK235" s="716">
        <f t="shared" si="281"/>
        <v>0</v>
      </c>
      <c r="CL235" s="57">
        <f t="shared" si="282"/>
        <v>0</v>
      </c>
      <c r="CM235" s="475">
        <f t="shared" si="308"/>
        <v>0</v>
      </c>
      <c r="CN235" s="660">
        <f>IF(CM235&lt;0.1,0,IF(ISNA(AT235),0,IF(CL235+BC235=1,0,IF(BV235&gt;0.01,0,IF(CL235&gt;0.01,0,IF(CF235=1,0,IF(BC235=0.5,0,IF(AND(CI235=1,AU235=3),0,IF(AND(CI235=5,CL235=0),0,IF(AND(R235=12,BR235=50),0,IF(CK235&gt;0.01,0,IF(AND(AJ235&gt;0.01,AU235=2,BC235=15),CM235*0.1,IF(AND(AJ235&gt;0.01,AU235=3,BC235=15),CM235*0.08,IF(AND(R235=12,BC235=3,AF235&lt;=0),0,IF(AND(BC235=15,BI235=0),0,IF(AND(BC235=15,BJ235=0),0,IF(AND(R235=20,CU235=0),0,IF($X$4=0,0,IF(AND(BC235=250,CL235=0),0,IF(AA235&lt;1,0,IF(AND(ISNUMBER(SEARCH("Area",T235)),AU235=3),0,IF(AND(AQ235&gt;0.01,AR235=0,BK235=0,BL235=0,BM235=0,BN235=0),0,IF(AND(AU235=3,CI235=7,CT235&gt;0.5),0,IF(AND(BC235=44,AU235=3,BY235=0),0,IF(AND(BC235=27,'Data Entry'!$C$74=2),0,IF(AND(BC235=28,'Data Entry'!$C$74=2),0,IF(AND(BY235+BZ235+CA235&gt;0.01,BV235=0,EQ235+ER235+ES235+ET235&lt;100),0,IF(AU235=3,CM235*0.08,IF(AU235=2,CM235*0.1,0)))))))))))))))))))))))))))))</f>
        <v>0</v>
      </c>
      <c r="CO235" s="660">
        <f t="shared" si="283"/>
        <v>0</v>
      </c>
      <c r="CP235" s="475" t="str">
        <f t="shared" si="284"/>
        <v/>
      </c>
      <c r="CQ235" s="161" t="str">
        <f>IF(AH235=0,0,IF(AU235=5,0,Summary!AC238))</f>
        <v/>
      </c>
      <c r="CR235" s="161" t="str">
        <f>IF(BF235=0.5,0,IF(AU235=5,0,Summary!AD238))</f>
        <v/>
      </c>
      <c r="CS235" s="161" t="str">
        <f>IF(AU235=5,0,Summary!AE238)</f>
        <v/>
      </c>
      <c r="CT235" s="161">
        <f t="shared" si="285"/>
        <v>0</v>
      </c>
      <c r="CU235" s="475" t="str">
        <f t="shared" si="286"/>
        <v/>
      </c>
      <c r="CV235" s="307">
        <f>IF('Data Entry'!$C$74=0,0,IF(AA235&lt;1,0,IF(ISERROR(CU235),0,IF(CF235=1,0,IF(AND(R235=12,BR235=50),0,IF(CL235+BO235+BV235+DC235=0,0,IF(BC235=37,0,IF(AND(BC235=40,AJ235=0),0,IF(AND(BC235=37,BO235&gt;0.01,BQ235&gt;0.01),ROUND(BQ235,0),IF(CM235&lt;0,0,ROUND(CM235,0)))))))))))</f>
        <v>0</v>
      </c>
      <c r="CW235" s="700">
        <f t="shared" si="287"/>
        <v>0</v>
      </c>
      <c r="CX235" s="477">
        <f>IF('Data Entry'!$C$74=0,0,IF(CV235&lt;0.01,0,IF(BF235=0.5,0,IF(CF235=1,0,IF(ISNUMBER(SEARCH("false",CL235)),0,IF(AZ235=500,0,CL235))))))</f>
        <v>0</v>
      </c>
      <c r="CY235" s="147" t="e">
        <f t="shared" si="288"/>
        <v>#VALUE!</v>
      </c>
      <c r="CZ235" s="147" t="b">
        <f>IF(CN235+CL235=0,FALSE,IF(AH235=0,0,IF(AND('Data Entry'!$C$74=1,CR235&gt;=1),TRUE,IF(AND('Data Entry'!$C$74=2,CS235&gt;=1),TRUE,FALSE))))</f>
        <v>0</v>
      </c>
      <c r="DA235" s="1751">
        <f>IF('Data Entry'!$C$74=0,0,IFERROR(ROUND(IF(T235="","",IF($X$4=0,0,IF(CF235=1,0,IF(BQ235+CV235=0,0,IF(CF235=1,0,IF(CY235&gt;0.01,CY235,IF(CL235&gt;0.01,CL235,IF(CY235&gt;0.01,CY235,IF(BC235=37,BO235,IF(CZ235=FALSE,0,IF(CZ235=TRUE,DC235+DF235,0))))))))))),2),""))</f>
        <v>0</v>
      </c>
      <c r="DB235" s="1752"/>
      <c r="DC235" s="474">
        <f>IF(CN235&lt;0.01,0,IF(AND(BR235=3,CN235&gt;0.01,CT235&gt;0.6,ER235+ES235+ET235&lt;100),0,IF(AND('Data Entry'!$C$74=1,CN235&gt;0.01,CR235&gt;0.99),MIN(CN235:CO235),IF(AND('Data Entry'!$C$74=2,CN235&gt;0.01,CS235&gt;0.99),MIN(CN235:CO235),0))))</f>
        <v>0</v>
      </c>
      <c r="DD235" s="478">
        <f>IF(CF235=1,"Selection does not match",IF(T235=0,0,IF(AND('Data Entry'!$C$74=0,CP235&gt;1),"Select Oregon or Idaho on Data Entry Tab",IF(AND(AU235=1,AA235&gt;0.9),"Missing Interior or Exterior Selection",IF($X$4=0,"Enter Total Project Cost",IF(AQ235&lt;AR235,"Insufficient kWh savings – no incentive",IF(AND(SUM(CL235+CK235+BV235)&gt;0.01,'Data Entry'!$C$74=2,CJ235&gt;1,BO235=0),"Submit Control as Non-Standard",IF(AND('Data Entry'!$C$74=2,BR235=37,CJ235&gt;1,BO235=0),"Submit Control as Non-Standard",IF(SUM(CL235+CK235+BV235)&gt;0.01,"Standard Incentive",IF(AND('Data Entry'!$C$74=2,CP235=7,CN235=0),"Submit as Non-Standard",IF(DC235&gt;0.9,"Non-Standard Incentive",IF(AND(BY235+BZ235+CA235&gt;0.01,BV235=0,EQ235=0,ER235=0,ES235=0,ET235=0),"Scroll Right &amp; Select Control Strategies",IF(AND(CN235&gt;0.01,CO235=0),"Enter Unit Installed Cost",IF(ISNUMBER(SEARCH("Lighting Controls Only",F235)),"Lighting Controls Only",IF(CL235+DC235=0,"Does not meet incentive criteria",0)))))))))))))))</f>
        <v>0</v>
      </c>
      <c r="DE235" s="337">
        <f t="shared" si="289"/>
        <v>0</v>
      </c>
      <c r="DF235" s="609">
        <f t="shared" si="290"/>
        <v>0</v>
      </c>
      <c r="DG235" s="336" t="str">
        <f t="shared" si="291"/>
        <v/>
      </c>
      <c r="DH235" s="338">
        <f t="shared" si="292"/>
        <v>1</v>
      </c>
      <c r="DI235" s="336" t="e">
        <f t="shared" si="247"/>
        <v>#VALUE!</v>
      </c>
      <c r="DJ235" s="338">
        <f t="shared" si="248"/>
        <v>0</v>
      </c>
      <c r="DQ235" s="376" t="s">
        <v>1656</v>
      </c>
      <c r="DR235" s="704">
        <v>40</v>
      </c>
      <c r="DS235" s="1195">
        <f t="shared" si="293"/>
        <v>0</v>
      </c>
      <c r="DT235" s="344" t="b">
        <f t="shared" si="294"/>
        <v>1</v>
      </c>
      <c r="DU235" s="1314" t="str">
        <f t="array" ref="DU235">IF(OR(COUNTIF(F235,"*"&amp;$DK$9:$DK$178&amp;"*")), "Yes", "")</f>
        <v/>
      </c>
      <c r="DV235" s="1314">
        <f t="shared" si="295"/>
        <v>0</v>
      </c>
      <c r="DW235" s="1480">
        <f t="shared" si="296"/>
        <v>0</v>
      </c>
      <c r="DX235" s="1498">
        <f t="shared" si="305"/>
        <v>0</v>
      </c>
      <c r="DY235" s="1484">
        <f t="shared" si="297"/>
        <v>0</v>
      </c>
      <c r="DZ235" s="331"/>
      <c r="EA235" s="392"/>
      <c r="EB235" s="1499" t="s">
        <v>158</v>
      </c>
      <c r="EC235" s="727" t="s">
        <v>1569</v>
      </c>
      <c r="ED235" s="728">
        <v>0.5</v>
      </c>
      <c r="EE235" s="1215"/>
      <c r="EF235" s="1215"/>
      <c r="EG235" s="1184" t="str">
        <f t="shared" si="298"/>
        <v/>
      </c>
      <c r="EH235" s="81"/>
      <c r="EI235" s="81"/>
      <c r="EJ235" s="1185">
        <f t="shared" si="249"/>
        <v>0</v>
      </c>
      <c r="EK235" s="1211"/>
      <c r="EL235" s="1180">
        <f t="shared" si="250"/>
        <v>0</v>
      </c>
      <c r="EM235" s="206"/>
      <c r="EN235" s="1038"/>
      <c r="EO235" s="1038"/>
      <c r="EP235" s="1038"/>
      <c r="EQ235" s="1038">
        <f t="shared" si="299"/>
        <v>0</v>
      </c>
      <c r="ER235" s="1041">
        <f t="shared" si="300"/>
        <v>0</v>
      </c>
      <c r="ES235" s="1042">
        <f t="shared" si="301"/>
        <v>0</v>
      </c>
      <c r="ET235" s="1042">
        <f t="shared" si="306"/>
        <v>0</v>
      </c>
      <c r="EU235" s="1021">
        <f t="shared" si="307"/>
        <v>0</v>
      </c>
      <c r="EV235" s="368"/>
      <c r="EW235" s="368"/>
      <c r="EX235" s="369"/>
      <c r="EY235" s="370"/>
      <c r="EZ235" s="370"/>
      <c r="FA235" s="371"/>
      <c r="FB235" s="372"/>
    </row>
    <row r="236" spans="1:158" ht="34.5" customHeight="1">
      <c r="A236" s="82">
        <v>228</v>
      </c>
      <c r="B236" s="1806"/>
      <c r="C236" s="1807"/>
      <c r="D236" s="1807"/>
      <c r="E236" s="1808"/>
      <c r="F236" s="1809"/>
      <c r="G236" s="1810"/>
      <c r="H236" s="1810"/>
      <c r="I236" s="1811"/>
      <c r="J236" s="1301"/>
      <c r="K236" s="1814"/>
      <c r="L236" s="1814"/>
      <c r="M236" s="1017"/>
      <c r="N236" s="1584"/>
      <c r="O236" s="208" t="str">
        <f t="shared" si="237"/>
        <v/>
      </c>
      <c r="P236" s="785"/>
      <c r="Q236" s="39" t="str">
        <f t="shared" si="238"/>
        <v/>
      </c>
      <c r="R236" s="39">
        <f t="shared" si="251"/>
        <v>0</v>
      </c>
      <c r="S236" s="234">
        <f t="shared" si="252"/>
        <v>0</v>
      </c>
      <c r="T236" s="1815"/>
      <c r="U236" s="1815"/>
      <c r="V236" s="1815"/>
      <c r="W236" s="1121"/>
      <c r="X236" s="1812"/>
      <c r="Y236" s="1813"/>
      <c r="Z236" s="703"/>
      <c r="AA236" s="1280"/>
      <c r="AB236" s="1141"/>
      <c r="AC236" s="1103" t="str">
        <f>IF(T236="","",VLOOKUP(Z236,Lists!$A$60:$B$111,2,FALSE))</f>
        <v/>
      </c>
      <c r="AD236" s="130" t="str">
        <f t="shared" si="253"/>
        <v/>
      </c>
      <c r="AE236" s="130" t="e">
        <f t="shared" si="254"/>
        <v>#VALUE!</v>
      </c>
      <c r="AF236" s="130">
        <f t="shared" si="255"/>
        <v>1</v>
      </c>
      <c r="AG236" s="234">
        <f t="shared" si="239"/>
        <v>0</v>
      </c>
      <c r="AH236" s="1753" t="str">
        <f>IF(T236="","",(IF(ISNUMBER(SEARCH("exit",T236)),8760,IF(AND(M236="Dusk to Dawn",'Proposed Lighting'!AU236=3),4059,IF(AND(AU236=3,M236="1"),0,IF(AND(AU236=3,M236="1-C"),0,IF(AND(AU236=3,M236="2"),0,IF(AND(AU236=3,M236="2-C"),0,IF(AND(AU236=3,M236="3"),0,IF(AND(AU236=3,M236="3-C"),0,IF(AND(AU236=2,M236="Dusk to Dawn"),0,IF(AND(AU236=2,M236="Dusk to Dawn-C"),0,IF(AND(AU236=2,M236="Dusk to Dawn"),0,IF(AND(AU236=2,M236="E"),0,IF(AND(AU236=2,M236="E-C"),0,EG236)))))))))))))))</f>
        <v/>
      </c>
      <c r="AI236" s="1754"/>
      <c r="AJ236" s="1136"/>
      <c r="AK236" s="1136"/>
      <c r="AL236" s="1748">
        <f t="shared" si="256"/>
        <v>0</v>
      </c>
      <c r="AM236" s="1749"/>
      <c r="AN236" s="1750"/>
      <c r="AO236" s="476">
        <f t="shared" si="240"/>
        <v>0</v>
      </c>
      <c r="AP236" s="476">
        <f t="shared" si="257"/>
        <v>0</v>
      </c>
      <c r="AQ236" s="475">
        <f t="shared" si="241"/>
        <v>0</v>
      </c>
      <c r="AR236" s="475">
        <f t="shared" si="258"/>
        <v>0</v>
      </c>
      <c r="AS236" s="743" t="str">
        <f t="shared" si="310"/>
        <v/>
      </c>
      <c r="AT236" s="736" t="str">
        <f t="shared" si="259"/>
        <v/>
      </c>
      <c r="AU236" s="56">
        <f t="shared" si="260"/>
        <v>1</v>
      </c>
      <c r="AV236" s="476">
        <f t="shared" si="261"/>
        <v>0</v>
      </c>
      <c r="AW236" s="56">
        <f t="shared" si="262"/>
        <v>0</v>
      </c>
      <c r="AX236" s="475">
        <f t="shared" si="242"/>
        <v>0</v>
      </c>
      <c r="AY236" s="1169">
        <f t="shared" si="263"/>
        <v>0</v>
      </c>
      <c r="AZ236" s="1150">
        <f t="shared" si="302"/>
        <v>0</v>
      </c>
      <c r="BA236" s="56">
        <f t="shared" si="243"/>
        <v>0</v>
      </c>
      <c r="BB236" s="420">
        <f t="shared" si="244"/>
        <v>0</v>
      </c>
      <c r="BC236" s="58" t="str">
        <f t="shared" si="245"/>
        <v/>
      </c>
      <c r="BD236" s="660">
        <f t="shared" si="303"/>
        <v>0</v>
      </c>
      <c r="BE236" s="57" t="e">
        <f t="array" ref="BE236">INDEX($EB$11:$ED$1022,MATCH(F236&amp;T236,$EB$11:$EB$1007&amp;$EC$11:$EC$1007,0),3)</f>
        <v>#N/A</v>
      </c>
      <c r="BF236" s="463">
        <f t="shared" si="311"/>
        <v>0</v>
      </c>
      <c r="BG236" s="1445" t="e">
        <f t="array" ref="BG236">INDEX($DO$112:$DQ$123,MATCH(T236&amp;W236,$DO$114:$DO$125&amp;$DP$112:$DP$123,0),3)</f>
        <v>#N/A</v>
      </c>
      <c r="BH236" s="1446">
        <f t="shared" si="264"/>
        <v>0</v>
      </c>
      <c r="BI236" s="465">
        <f t="shared" si="265"/>
        <v>0</v>
      </c>
      <c r="BJ236" s="465">
        <f t="shared" si="266"/>
        <v>0</v>
      </c>
      <c r="BK236" s="466">
        <f t="shared" si="312"/>
        <v>0</v>
      </c>
      <c r="BL236" s="466">
        <f t="shared" si="313"/>
        <v>0</v>
      </c>
      <c r="BM236" s="466">
        <f t="shared" si="267"/>
        <v>0</v>
      </c>
      <c r="BN236" s="466">
        <f t="shared" si="268"/>
        <v>0</v>
      </c>
      <c r="BO236" s="463">
        <f>IF('Data Entry'!$C$74=0,0,IF(ISNA(CJ236),0,IF(AX236=0,0,IF(AND('Data Entry'!$C$74=2,AF236&gt;2,CE236&lt;1),0,IF(AND('Data Entry'!$C$74=2,AF236&gt;1,AU236=2,CJ236&gt;1),0,IF(AND(AF236=5,CT236=0.5,AU236=2,ER236&lt;100),0,IF(AND(AF236=5,CT236=0.5,AU236=3,ER236&lt;100),0,IF(AND('Data Entry'!$C$74=2,AF236=2,AU236=2,AK236&gt;0.01,CB236=2,CE236&lt;1),0,IF(AND('Data Entry'!$C$74=2,AF236=3,AU236=3,AK236&gt;0.01,CB236=3,CE236&lt;1),0,IF(AND('Data Entry'!$C$74=2,AF236=3,AU236=3,AK236&gt;0.01,CB236=3,CE236&gt;0.99),BQ236*0.08,IF(AND('Data Entry'!$C$74=2,AF236=2,AU236=2,AK236&gt;0.01,CB236=2,CE236&gt;0.99),BQ236*0.1,IF(AND(AU236=2,AK236&gt;0.01,CB236=2,CD236&gt;1),BQ236*0.1,IF(AND(AU236=3,AK236&gt;0.01,CB236=3,CD236&gt;1),BQ236*0.08,CJ236*EF236)))))))))))))</f>
        <v>0</v>
      </c>
      <c r="BP236" s="475">
        <f t="shared" si="269"/>
        <v>0</v>
      </c>
      <c r="BQ236" s="1431">
        <f>IF(AU236=1,0,IF(CH236=100,0,IF(AND(AF236=3,AU236=2),0,IF(AND(BH236=0,CT236&gt;0.4),0,IF(AND('Data Entry'!$C$74=2,AF236=1.5),0,IF(AND('Data Entry'!$C$74=2,AF236=1.6),0,IF(AND('Data Entry'!$C$74=2,AF236=4),0,IF(AND('Data Entry'!$C$74=2,AF236=5),0,IF(AND('Data Entry'!$C$74=2,AF236=2.5,CE236&lt;1),0,IF(AND('Data Entry'!$C$74=2,AF236=3,CE236&lt;1),0,IF(AND('Data Entry'!$C$74=1,AF236=2.5,CD236&lt;1),0,IF(AND('Data Entry'!$C$74=1,AF236=3,CD236&lt;1),0,IF(DX236&gt;0.01,DX236,IF(ISERROR(AX236-AY236),"",ROUND(AX236-AY236,2)))))))))))))))</f>
        <v>0</v>
      </c>
      <c r="BR236" s="146">
        <f t="shared" si="270"/>
        <v>0</v>
      </c>
      <c r="BS236" s="475">
        <f t="shared" si="271"/>
        <v>0</v>
      </c>
      <c r="BT236" s="146" t="b">
        <f t="shared" si="272"/>
        <v>0</v>
      </c>
      <c r="BU236" s="463">
        <f>IF(ISNA(AT236),0,IF(AND('Data Entry'!$C$74=2,BC236=27),0,IF(AND('Data Entry'!$C$74=2,BC236=28),0,IF(AND(BC236=27,BT236=27,CM236&gt;0.1),CM236*0.15,IF(AND(BC236=28,BT236=28,CM236&gt;0.1),CM236*0.12,0)))))</f>
        <v>0</v>
      </c>
      <c r="BV236" s="463">
        <f t="shared" si="309"/>
        <v>0</v>
      </c>
      <c r="BW236" s="463">
        <f t="shared" si="273"/>
        <v>0</v>
      </c>
      <c r="BX236" s="463">
        <f t="shared" si="274"/>
        <v>0</v>
      </c>
      <c r="BY236" s="463">
        <f t="shared" si="275"/>
        <v>0</v>
      </c>
      <c r="BZ236" s="463">
        <f t="shared" si="276"/>
        <v>0</v>
      </c>
      <c r="CA236" s="57">
        <f t="shared" si="304"/>
        <v>0</v>
      </c>
      <c r="CB236" s="56">
        <f t="shared" si="277"/>
        <v>1</v>
      </c>
      <c r="CC236" s="756">
        <f>IF(EE236=0,0,IF(EF236=0,0,IF(EE236&gt;AA236,0,IF(AND(AZ236&gt;AW236,AW236&gt;0),0,IF(CU236=0,0,Summary!AC539)))))</f>
        <v>0</v>
      </c>
      <c r="CD236" s="756">
        <f>IF(EE236=0,0,IF(EF236=0,0,IF(EE236&gt;AA236,0,IF(AND(AZ236&gt;AW236,AW236&gt;0),0,IF(CU236=0,0,Summary!AD539)))))</f>
        <v>0</v>
      </c>
      <c r="CE236" s="756">
        <f>IF(EF236=0,0,IF(EE236&gt;AA236,0,IF(CC236=0,0,IF(AND(AZ236&gt;AW236,AW236&gt;0),0,IF(CU236=0,0,Summary!AE539)))))</f>
        <v>0</v>
      </c>
      <c r="CF236" s="475">
        <f t="shared" si="278"/>
        <v>0</v>
      </c>
      <c r="CG236" s="476">
        <f t="shared" si="246"/>
        <v>0</v>
      </c>
      <c r="CH236" s="487">
        <f t="shared" si="279"/>
        <v>0</v>
      </c>
      <c r="CI236" s="756">
        <f t="shared" si="280"/>
        <v>0</v>
      </c>
      <c r="CJ236" s="487">
        <f>IF(CT236&gt;0.4,0,IF(AND(AU236=2,CH236=0,CT236=0.5,ER236=100),35,IF(AND(AU236=3,BB236&gt;75,CH236=0,CT236=0.5,ER236=100),25,IF(CB236&gt;1,0,IF(EF236&gt;EE236,0,IF(AND(AF236&gt;1,CH236=100),0,IF(AND(AF236=1,AY236=0),0,IF(AND(EF236&lt;=EE236,AW236&gt;=AZ236,'Data Entry'!$C$74=1,AU236=2),VLOOKUP(W236,$DO$96:$DP$102,2,FALSE),IF(AND(EF236&lt;=EE236,AW236&gt;=AZ236,AU236=3,'Data Entry'!$C$74=1),VLOOKUP(W236,$DO$127:$DP$134,2,FALSE))))))))))</f>
        <v>0</v>
      </c>
      <c r="CK236" s="716">
        <f t="shared" si="281"/>
        <v>0</v>
      </c>
      <c r="CL236" s="57">
        <f t="shared" si="282"/>
        <v>0</v>
      </c>
      <c r="CM236" s="475">
        <f t="shared" si="308"/>
        <v>0</v>
      </c>
      <c r="CN236" s="660">
        <f>IF(CM236&lt;0.1,0,IF(ISNA(AT236),0,IF(CL236+BC236=1,0,IF(BV236&gt;0.01,0,IF(CL236&gt;0.01,0,IF(CF236=1,0,IF(BC236=0.5,0,IF(AND(CI236=1,AU236=3),0,IF(AND(CI236=5,CL236=0),0,IF(AND(R236=12,BR236=50),0,IF(CK236&gt;0.01,0,IF(AND(AJ236&gt;0.01,AU236=2,BC236=15),CM236*0.1,IF(AND(AJ236&gt;0.01,AU236=3,BC236=15),CM236*0.08,IF(AND(R236=12,BC236=3,AF236&lt;=0),0,IF(AND(BC236=15,BI236=0),0,IF(AND(BC236=15,BJ236=0),0,IF(AND(R236=20,CU236=0),0,IF($X$4=0,0,IF(AND(BC236=250,CL236=0),0,IF(AA236&lt;1,0,IF(AND(ISNUMBER(SEARCH("Area",T236)),AU236=3),0,IF(AND(AQ236&gt;0.01,AR236=0,BK236=0,BL236=0,BM236=0,BN236=0),0,IF(AND(AU236=3,CI236=7,CT236&gt;0.5),0,IF(AND(BC236=44,AU236=3,BY236=0),0,IF(AND(BC236=27,'Data Entry'!$C$74=2),0,IF(AND(BC236=28,'Data Entry'!$C$74=2),0,IF(AND(BY236+BZ236+CA236&gt;0.01,BV236=0,EQ236+ER236+ES236+ET236&lt;100),0,IF(AU236=3,CM236*0.08,IF(AU236=2,CM236*0.1,0)))))))))))))))))))))))))))))</f>
        <v>0</v>
      </c>
      <c r="CO236" s="660">
        <f t="shared" si="283"/>
        <v>0</v>
      </c>
      <c r="CP236" s="475" t="str">
        <f t="shared" si="284"/>
        <v/>
      </c>
      <c r="CQ236" s="161" t="str">
        <f>IF(AH236=0,0,IF(AU236=5,0,Summary!AC239))</f>
        <v/>
      </c>
      <c r="CR236" s="161" t="str">
        <f>IF(BF236=0.5,0,IF(AU236=5,0,Summary!AD239))</f>
        <v/>
      </c>
      <c r="CS236" s="161" t="str">
        <f>IF(AU236=5,0,Summary!AE239)</f>
        <v/>
      </c>
      <c r="CT236" s="161">
        <f t="shared" si="285"/>
        <v>0</v>
      </c>
      <c r="CU236" s="475" t="str">
        <f t="shared" si="286"/>
        <v/>
      </c>
      <c r="CV236" s="307">
        <f>IF('Data Entry'!$C$74=0,0,IF(AA236&lt;1,0,IF(ISERROR(CU236),0,IF(CF236=1,0,IF(AND(R236=12,BR236=50),0,IF(CL236+BO236+BV236+DC236=0,0,IF(BC236=37,0,IF(AND(BC236=40,AJ236=0),0,IF(AND(BC236=37,BO236&gt;0.01,BQ236&gt;0.01),ROUND(BQ236,0),IF(CM236&lt;0,0,ROUND(CM236,0)))))))))))</f>
        <v>0</v>
      </c>
      <c r="CW236" s="700">
        <f t="shared" si="287"/>
        <v>0</v>
      </c>
      <c r="CX236" s="477">
        <f>IF('Data Entry'!$C$74=0,0,IF(CV236&lt;0.01,0,IF(BF236=0.5,0,IF(CF236=1,0,IF(ISNUMBER(SEARCH("false",CL236)),0,IF(AZ236=500,0,CL236))))))</f>
        <v>0</v>
      </c>
      <c r="CY236" s="147" t="e">
        <f t="shared" si="288"/>
        <v>#VALUE!</v>
      </c>
      <c r="CZ236" s="147" t="b">
        <f>IF(CN236+CL236=0,FALSE,IF(AH236=0,0,IF(AND('Data Entry'!$C$74=1,CR236&gt;=1),TRUE,IF(AND('Data Entry'!$C$74=2,CS236&gt;=1),TRUE,FALSE))))</f>
        <v>0</v>
      </c>
      <c r="DA236" s="1751">
        <f>IF('Data Entry'!$C$74=0,0,IFERROR(ROUND(IF(T236="","",IF($X$4=0,0,IF(CF236=1,0,IF(BQ236+CV236=0,0,IF(CF236=1,0,IF(CY236&gt;0.01,CY236,IF(CL236&gt;0.01,CL236,IF(CY236&gt;0.01,CY236,IF(BC236=37,BO236,IF(CZ236=FALSE,0,IF(CZ236=TRUE,DC236+DF236,0))))))))))),2),""))</f>
        <v>0</v>
      </c>
      <c r="DB236" s="1752"/>
      <c r="DC236" s="474">
        <f>IF(CN236&lt;0.01,0,IF(AND(BR236=3,CN236&gt;0.01,CT236&gt;0.6,ER236+ES236+ET236&lt;100),0,IF(AND('Data Entry'!$C$74=1,CN236&gt;0.01,CR236&gt;0.99),MIN(CN236:CO236),IF(AND('Data Entry'!$C$74=2,CN236&gt;0.01,CS236&gt;0.99),MIN(CN236:CO236),0))))</f>
        <v>0</v>
      </c>
      <c r="DD236" s="478">
        <f>IF(CF236=1,"Selection does not match",IF(T236=0,0,IF(AND('Data Entry'!$C$74=0,CP236&gt;1),"Select Oregon or Idaho on Data Entry Tab",IF(AND(AU236=1,AA236&gt;0.9),"Missing Interior or Exterior Selection",IF($X$4=0,"Enter Total Project Cost",IF(AQ236&lt;AR236,"Insufficient kWh savings – no incentive",IF(AND(SUM(CL236+CK236+BV236)&gt;0.01,'Data Entry'!$C$74=2,CJ236&gt;1,BO236=0),"Submit Control as Non-Standard",IF(AND('Data Entry'!$C$74=2,BR236=37,CJ236&gt;1,BO236=0),"Submit Control as Non-Standard",IF(SUM(CL236+CK236+BV236)&gt;0.01,"Standard Incentive",IF(AND('Data Entry'!$C$74=2,CP236=7,CN236=0),"Submit as Non-Standard",IF(DC236&gt;0.9,"Non-Standard Incentive",IF(AND(BY236+BZ236+CA236&gt;0.01,BV236=0,EQ236=0,ER236=0,ES236=0,ET236=0),"Scroll Right &amp; Select Control Strategies",IF(AND(CN236&gt;0.01,CO236=0),"Enter Unit Installed Cost",IF(ISNUMBER(SEARCH("Lighting Controls Only",F236)),"Lighting Controls Only",IF(CL236+DC236=0,"Does not meet incentive criteria",0)))))))))))))))</f>
        <v>0</v>
      </c>
      <c r="DE236" s="337">
        <f t="shared" si="289"/>
        <v>0</v>
      </c>
      <c r="DF236" s="609">
        <f t="shared" si="290"/>
        <v>0</v>
      </c>
      <c r="DG236" s="336" t="str">
        <f t="shared" si="291"/>
        <v/>
      </c>
      <c r="DH236" s="338">
        <f t="shared" si="292"/>
        <v>1</v>
      </c>
      <c r="DI236" s="336" t="e">
        <f t="shared" si="247"/>
        <v>#VALUE!</v>
      </c>
      <c r="DJ236" s="338">
        <f t="shared" si="248"/>
        <v>0</v>
      </c>
      <c r="DQ236" s="409" t="s">
        <v>1656</v>
      </c>
      <c r="DR236" s="704">
        <v>41</v>
      </c>
      <c r="DS236" s="1195">
        <f t="shared" si="293"/>
        <v>0</v>
      </c>
      <c r="DT236" s="344" t="b">
        <f t="shared" si="294"/>
        <v>1</v>
      </c>
      <c r="DU236" s="1314" t="str">
        <f t="array" ref="DU236">IF(OR(COUNTIF(F236,"*"&amp;$DK$9:$DK$178&amp;"*")), "Yes", "")</f>
        <v/>
      </c>
      <c r="DV236" s="1314">
        <f t="shared" si="295"/>
        <v>0</v>
      </c>
      <c r="DW236" s="1480">
        <f t="shared" si="296"/>
        <v>0</v>
      </c>
      <c r="DX236" s="1498">
        <f t="shared" si="305"/>
        <v>0</v>
      </c>
      <c r="DY236" s="1484">
        <f t="shared" si="297"/>
        <v>0</v>
      </c>
      <c r="DZ236" s="331"/>
      <c r="EA236" s="392"/>
      <c r="EB236" s="1499" t="s">
        <v>159</v>
      </c>
      <c r="EC236" s="727" t="s">
        <v>1569</v>
      </c>
      <c r="ED236" s="728">
        <v>0.5</v>
      </c>
      <c r="EE236" s="1215"/>
      <c r="EF236" s="1215"/>
      <c r="EG236" s="1184" t="str">
        <f t="shared" si="298"/>
        <v/>
      </c>
      <c r="EH236" s="81"/>
      <c r="EI236" s="81"/>
      <c r="EJ236" s="1185">
        <f t="shared" si="249"/>
        <v>0</v>
      </c>
      <c r="EK236" s="1211"/>
      <c r="EL236" s="1180">
        <f t="shared" si="250"/>
        <v>0</v>
      </c>
      <c r="EM236" s="206"/>
      <c r="EN236" s="1038"/>
      <c r="EO236" s="1038"/>
      <c r="EP236" s="1038"/>
      <c r="EQ236" s="1038">
        <f t="shared" si="299"/>
        <v>0</v>
      </c>
      <c r="ER236" s="1041">
        <f t="shared" si="300"/>
        <v>0</v>
      </c>
      <c r="ES236" s="1042">
        <f t="shared" si="301"/>
        <v>0</v>
      </c>
      <c r="ET236" s="1042">
        <f t="shared" si="306"/>
        <v>0</v>
      </c>
      <c r="EU236" s="1021">
        <f t="shared" si="307"/>
        <v>0</v>
      </c>
      <c r="EV236" s="368"/>
      <c r="EW236" s="368"/>
      <c r="EX236" s="369"/>
      <c r="EY236" s="370"/>
      <c r="EZ236" s="370"/>
      <c r="FA236" s="371"/>
      <c r="FB236" s="372"/>
    </row>
    <row r="237" spans="1:158" ht="34.5" customHeight="1">
      <c r="A237" s="82">
        <v>229</v>
      </c>
      <c r="B237" s="1806"/>
      <c r="C237" s="1807"/>
      <c r="D237" s="1807"/>
      <c r="E237" s="1808"/>
      <c r="F237" s="1809"/>
      <c r="G237" s="1810"/>
      <c r="H237" s="1810"/>
      <c r="I237" s="1811"/>
      <c r="J237" s="1301"/>
      <c r="K237" s="1814"/>
      <c r="L237" s="1814"/>
      <c r="M237" s="1017"/>
      <c r="N237" s="1584"/>
      <c r="O237" s="208" t="str">
        <f t="shared" si="237"/>
        <v/>
      </c>
      <c r="P237" s="785"/>
      <c r="Q237" s="39" t="str">
        <f t="shared" si="238"/>
        <v/>
      </c>
      <c r="R237" s="39">
        <f t="shared" si="251"/>
        <v>0</v>
      </c>
      <c r="S237" s="234">
        <f t="shared" si="252"/>
        <v>0</v>
      </c>
      <c r="T237" s="1815"/>
      <c r="U237" s="1815"/>
      <c r="V237" s="1815"/>
      <c r="W237" s="1121"/>
      <c r="X237" s="1812"/>
      <c r="Y237" s="1813"/>
      <c r="Z237" s="703"/>
      <c r="AA237" s="1280"/>
      <c r="AB237" s="1141"/>
      <c r="AC237" s="1103" t="str">
        <f>IF(T237="","",VLOOKUP(Z237,Lists!$A$60:$B$111,2,FALSE))</f>
        <v/>
      </c>
      <c r="AD237" s="130" t="str">
        <f t="shared" si="253"/>
        <v/>
      </c>
      <c r="AE237" s="130" t="e">
        <f t="shared" si="254"/>
        <v>#VALUE!</v>
      </c>
      <c r="AF237" s="130">
        <f t="shared" si="255"/>
        <v>1</v>
      </c>
      <c r="AG237" s="234">
        <f t="shared" si="239"/>
        <v>0</v>
      </c>
      <c r="AH237" s="1753" t="str">
        <f>IF(T237="","",(IF(ISNUMBER(SEARCH("exit",T237)),8760,IF(AND(M237="Dusk to Dawn",'Proposed Lighting'!AU237=3),4059,IF(AND(AU237=3,M237="1"),0,IF(AND(AU237=3,M237="1-C"),0,IF(AND(AU237=3,M237="2"),0,IF(AND(AU237=3,M237="2-C"),0,IF(AND(AU237=3,M237="3"),0,IF(AND(AU237=3,M237="3-C"),0,IF(AND(AU237=2,M237="Dusk to Dawn"),0,IF(AND(AU237=2,M237="Dusk to Dawn-C"),0,IF(AND(AU237=2,M237="Dusk to Dawn"),0,IF(AND(AU237=2,M237="E"),0,IF(AND(AU237=2,M237="E-C"),0,EG237)))))))))))))))</f>
        <v/>
      </c>
      <c r="AI237" s="1754"/>
      <c r="AJ237" s="1136"/>
      <c r="AK237" s="1136"/>
      <c r="AL237" s="1748">
        <f t="shared" si="256"/>
        <v>0</v>
      </c>
      <c r="AM237" s="1749"/>
      <c r="AN237" s="1750"/>
      <c r="AO237" s="476">
        <f t="shared" si="240"/>
        <v>0</v>
      </c>
      <c r="AP237" s="476">
        <f t="shared" si="257"/>
        <v>0</v>
      </c>
      <c r="AQ237" s="475">
        <f t="shared" si="241"/>
        <v>0</v>
      </c>
      <c r="AR237" s="475">
        <f t="shared" si="258"/>
        <v>0</v>
      </c>
      <c r="AS237" s="743" t="str">
        <f t="shared" si="310"/>
        <v/>
      </c>
      <c r="AT237" s="736" t="str">
        <f t="shared" si="259"/>
        <v/>
      </c>
      <c r="AU237" s="56">
        <f t="shared" si="260"/>
        <v>1</v>
      </c>
      <c r="AV237" s="476">
        <f t="shared" si="261"/>
        <v>0</v>
      </c>
      <c r="AW237" s="56">
        <f t="shared" si="262"/>
        <v>0</v>
      </c>
      <c r="AX237" s="475">
        <f t="shared" si="242"/>
        <v>0</v>
      </c>
      <c r="AY237" s="1169">
        <f t="shared" si="263"/>
        <v>0</v>
      </c>
      <c r="AZ237" s="1150">
        <f t="shared" si="302"/>
        <v>0</v>
      </c>
      <c r="BA237" s="56">
        <f t="shared" si="243"/>
        <v>0</v>
      </c>
      <c r="BB237" s="420">
        <f t="shared" si="244"/>
        <v>0</v>
      </c>
      <c r="BC237" s="58" t="str">
        <f t="shared" si="245"/>
        <v/>
      </c>
      <c r="BD237" s="660">
        <f t="shared" si="303"/>
        <v>0</v>
      </c>
      <c r="BE237" s="57" t="e">
        <f t="array" ref="BE237">INDEX($EB$11:$ED$1022,MATCH(F237&amp;T237,$EB$11:$EB$1007&amp;$EC$11:$EC$1007,0),3)</f>
        <v>#N/A</v>
      </c>
      <c r="BF237" s="463">
        <f t="shared" si="311"/>
        <v>0</v>
      </c>
      <c r="BG237" s="1445" t="e">
        <f t="array" ref="BG237">INDEX($DO$112:$DQ$123,MATCH(T237&amp;W237,$DO$114:$DO$125&amp;$DP$112:$DP$123,0),3)</f>
        <v>#N/A</v>
      </c>
      <c r="BH237" s="1446">
        <f t="shared" si="264"/>
        <v>0</v>
      </c>
      <c r="BI237" s="465">
        <f t="shared" si="265"/>
        <v>0</v>
      </c>
      <c r="BJ237" s="465">
        <f t="shared" si="266"/>
        <v>0</v>
      </c>
      <c r="BK237" s="466">
        <f t="shared" si="312"/>
        <v>0</v>
      </c>
      <c r="BL237" s="466">
        <f t="shared" si="313"/>
        <v>0</v>
      </c>
      <c r="BM237" s="466">
        <f t="shared" si="267"/>
        <v>0</v>
      </c>
      <c r="BN237" s="466">
        <f t="shared" si="268"/>
        <v>0</v>
      </c>
      <c r="BO237" s="463">
        <f>IF('Data Entry'!$C$74=0,0,IF(ISNA(CJ237),0,IF(AX237=0,0,IF(AND('Data Entry'!$C$74=2,AF237&gt;2,CE237&lt;1),0,IF(AND('Data Entry'!$C$74=2,AF237&gt;1,AU237=2,CJ237&gt;1),0,IF(AND(AF237=5,CT237=0.5,AU237=2,ER237&lt;100),0,IF(AND(AF237=5,CT237=0.5,AU237=3,ER237&lt;100),0,IF(AND('Data Entry'!$C$74=2,AF237=2,AU237=2,AK237&gt;0.01,CB237=2,CE237&lt;1),0,IF(AND('Data Entry'!$C$74=2,AF237=3,AU237=3,AK237&gt;0.01,CB237=3,CE237&lt;1),0,IF(AND('Data Entry'!$C$74=2,AF237=3,AU237=3,AK237&gt;0.01,CB237=3,CE237&gt;0.99),BQ237*0.08,IF(AND('Data Entry'!$C$74=2,AF237=2,AU237=2,AK237&gt;0.01,CB237=2,CE237&gt;0.99),BQ237*0.1,IF(AND(AU237=2,AK237&gt;0.01,CB237=2,CD237&gt;1),BQ237*0.1,IF(AND(AU237=3,AK237&gt;0.01,CB237=3,CD237&gt;1),BQ237*0.08,CJ237*EF237)))))))))))))</f>
        <v>0</v>
      </c>
      <c r="BP237" s="475">
        <f t="shared" si="269"/>
        <v>0</v>
      </c>
      <c r="BQ237" s="1431">
        <f>IF(AU237=1,0,IF(CH237=100,0,IF(AND(AF237=3,AU237=2),0,IF(AND(BH237=0,CT237&gt;0.4),0,IF(AND('Data Entry'!$C$74=2,AF237=1.5),0,IF(AND('Data Entry'!$C$74=2,AF237=1.6),0,IF(AND('Data Entry'!$C$74=2,AF237=4),0,IF(AND('Data Entry'!$C$74=2,AF237=5),0,IF(AND('Data Entry'!$C$74=2,AF237=2.5,CE237&lt;1),0,IF(AND('Data Entry'!$C$74=2,AF237=3,CE237&lt;1),0,IF(AND('Data Entry'!$C$74=1,AF237=2.5,CD237&lt;1),0,IF(AND('Data Entry'!$C$74=1,AF237=3,CD237&lt;1),0,IF(DX237&gt;0.01,DX237,IF(ISERROR(AX237-AY237),"",ROUND(AX237-AY237,2)))))))))))))))</f>
        <v>0</v>
      </c>
      <c r="BR237" s="146">
        <f t="shared" si="270"/>
        <v>0</v>
      </c>
      <c r="BS237" s="475">
        <f t="shared" si="271"/>
        <v>0</v>
      </c>
      <c r="BT237" s="146" t="b">
        <f t="shared" si="272"/>
        <v>0</v>
      </c>
      <c r="BU237" s="463">
        <f>IF(ISNA(AT237),0,IF(AND('Data Entry'!$C$74=2,BC237=27),0,IF(AND('Data Entry'!$C$74=2,BC237=28),0,IF(AND(BC237=27,BT237=27,CM237&gt;0.1),CM237*0.15,IF(AND(BC237=28,BT237=28,CM237&gt;0.1),CM237*0.12,0)))))</f>
        <v>0</v>
      </c>
      <c r="BV237" s="463">
        <f t="shared" si="309"/>
        <v>0</v>
      </c>
      <c r="BW237" s="463">
        <f t="shared" si="273"/>
        <v>0</v>
      </c>
      <c r="BX237" s="463">
        <f t="shared" si="274"/>
        <v>0</v>
      </c>
      <c r="BY237" s="463">
        <f t="shared" si="275"/>
        <v>0</v>
      </c>
      <c r="BZ237" s="463">
        <f t="shared" si="276"/>
        <v>0</v>
      </c>
      <c r="CA237" s="57">
        <f t="shared" si="304"/>
        <v>0</v>
      </c>
      <c r="CB237" s="56">
        <f t="shared" si="277"/>
        <v>1</v>
      </c>
      <c r="CC237" s="756">
        <f>IF(EE237=0,0,IF(EF237=0,0,IF(EE237&gt;AA237,0,IF(AND(AZ237&gt;AW237,AW237&gt;0),0,IF(CU237=0,0,Summary!AC540)))))</f>
        <v>0</v>
      </c>
      <c r="CD237" s="756">
        <f>IF(EE237=0,0,IF(EF237=0,0,IF(EE237&gt;AA237,0,IF(AND(AZ237&gt;AW237,AW237&gt;0),0,IF(CU237=0,0,Summary!AD540)))))</f>
        <v>0</v>
      </c>
      <c r="CE237" s="756">
        <f>IF(EF237=0,0,IF(EE237&gt;AA237,0,IF(CC237=0,0,IF(AND(AZ237&gt;AW237,AW237&gt;0),0,IF(CU237=0,0,Summary!AE540)))))</f>
        <v>0</v>
      </c>
      <c r="CF237" s="475">
        <f t="shared" si="278"/>
        <v>0</v>
      </c>
      <c r="CG237" s="476">
        <f t="shared" si="246"/>
        <v>0</v>
      </c>
      <c r="CH237" s="487">
        <f t="shared" si="279"/>
        <v>0</v>
      </c>
      <c r="CI237" s="756">
        <f t="shared" si="280"/>
        <v>0</v>
      </c>
      <c r="CJ237" s="487">
        <f>IF(CT237&gt;0.4,0,IF(AND(AU237=2,CH237=0,CT237=0.5,ER237=100),35,IF(AND(AU237=3,BB237&gt;75,CH237=0,CT237=0.5,ER237=100),25,IF(CB237&gt;1,0,IF(EF237&gt;EE237,0,IF(AND(AF237&gt;1,CH237=100),0,IF(AND(AF237=1,AY237=0),0,IF(AND(EF237&lt;=EE237,AW237&gt;=AZ237,'Data Entry'!$C$74=1,AU237=2),VLOOKUP(W237,$DO$96:$DP$102,2,FALSE),IF(AND(EF237&lt;=EE237,AW237&gt;=AZ237,AU237=3,'Data Entry'!$C$74=1),VLOOKUP(W237,$DO$127:$DP$134,2,FALSE))))))))))</f>
        <v>0</v>
      </c>
      <c r="CK237" s="716">
        <f t="shared" si="281"/>
        <v>0</v>
      </c>
      <c r="CL237" s="57">
        <f t="shared" si="282"/>
        <v>0</v>
      </c>
      <c r="CM237" s="475">
        <f t="shared" si="308"/>
        <v>0</v>
      </c>
      <c r="CN237" s="660">
        <f>IF(CM237&lt;0.1,0,IF(ISNA(AT237),0,IF(CL237+BC237=1,0,IF(BV237&gt;0.01,0,IF(CL237&gt;0.01,0,IF(CF237=1,0,IF(BC237=0.5,0,IF(AND(CI237=1,AU237=3),0,IF(AND(CI237=5,CL237=0),0,IF(AND(R237=12,BR237=50),0,IF(CK237&gt;0.01,0,IF(AND(AJ237&gt;0.01,AU237=2,BC237=15),CM237*0.1,IF(AND(AJ237&gt;0.01,AU237=3,BC237=15),CM237*0.08,IF(AND(R237=12,BC237=3,AF237&lt;=0),0,IF(AND(BC237=15,BI237=0),0,IF(AND(BC237=15,BJ237=0),0,IF(AND(R237=20,CU237=0),0,IF($X$4=0,0,IF(AND(BC237=250,CL237=0),0,IF(AA237&lt;1,0,IF(AND(ISNUMBER(SEARCH("Area",T237)),AU237=3),0,IF(AND(AQ237&gt;0.01,AR237=0,BK237=0,BL237=0,BM237=0,BN237=0),0,IF(AND(AU237=3,CI237=7,CT237&gt;0.5),0,IF(AND(BC237=44,AU237=3,BY237=0),0,IF(AND(BC237=27,'Data Entry'!$C$74=2),0,IF(AND(BC237=28,'Data Entry'!$C$74=2),0,IF(AND(BY237+BZ237+CA237&gt;0.01,BV237=0,EQ237+ER237+ES237+ET237&lt;100),0,IF(AU237=3,CM237*0.08,IF(AU237=2,CM237*0.1,0)))))))))))))))))))))))))))))</f>
        <v>0</v>
      </c>
      <c r="CO237" s="660">
        <f t="shared" si="283"/>
        <v>0</v>
      </c>
      <c r="CP237" s="475" t="str">
        <f t="shared" si="284"/>
        <v/>
      </c>
      <c r="CQ237" s="161" t="str">
        <f>IF(AH237=0,0,IF(AU237=5,0,Summary!AC240))</f>
        <v/>
      </c>
      <c r="CR237" s="161" t="str">
        <f>IF(BF237=0.5,0,IF(AU237=5,0,Summary!AD240))</f>
        <v/>
      </c>
      <c r="CS237" s="161" t="str">
        <f>IF(AU237=5,0,Summary!AE240)</f>
        <v/>
      </c>
      <c r="CT237" s="161">
        <f t="shared" si="285"/>
        <v>0</v>
      </c>
      <c r="CU237" s="475" t="str">
        <f t="shared" si="286"/>
        <v/>
      </c>
      <c r="CV237" s="307">
        <f>IF('Data Entry'!$C$74=0,0,IF(AA237&lt;1,0,IF(ISERROR(CU237),0,IF(CF237=1,0,IF(AND(R237=12,BR237=50),0,IF(CL237+BO237+BV237+DC237=0,0,IF(BC237=37,0,IF(AND(BC237=40,AJ237=0),0,IF(AND(BC237=37,BO237&gt;0.01,BQ237&gt;0.01),ROUND(BQ237,0),IF(CM237&lt;0,0,ROUND(CM237,0)))))))))))</f>
        <v>0</v>
      </c>
      <c r="CW237" s="700">
        <f t="shared" si="287"/>
        <v>0</v>
      </c>
      <c r="CX237" s="477">
        <f>IF('Data Entry'!$C$74=0,0,IF(CV237&lt;0.01,0,IF(BF237=0.5,0,IF(CF237=1,0,IF(ISNUMBER(SEARCH("false",CL237)),0,IF(AZ237=500,0,CL237))))))</f>
        <v>0</v>
      </c>
      <c r="CY237" s="147" t="e">
        <f t="shared" si="288"/>
        <v>#VALUE!</v>
      </c>
      <c r="CZ237" s="147" t="b">
        <f>IF(CN237+CL237=0,FALSE,IF(AH237=0,0,IF(AND('Data Entry'!$C$74=1,CR237&gt;=1),TRUE,IF(AND('Data Entry'!$C$74=2,CS237&gt;=1),TRUE,FALSE))))</f>
        <v>0</v>
      </c>
      <c r="DA237" s="1751">
        <f>IF('Data Entry'!$C$74=0,0,IFERROR(ROUND(IF(T237="","",IF($X$4=0,0,IF(CF237=1,0,IF(BQ237+CV237=0,0,IF(CF237=1,0,IF(CY237&gt;0.01,CY237,IF(CL237&gt;0.01,CL237,IF(CY237&gt;0.01,CY237,IF(BC237=37,BO237,IF(CZ237=FALSE,0,IF(CZ237=TRUE,DC237+DF237,0))))))))))),2),""))</f>
        <v>0</v>
      </c>
      <c r="DB237" s="1752"/>
      <c r="DC237" s="474">
        <f>IF(CN237&lt;0.01,0,IF(AND(BR237=3,CN237&gt;0.01,CT237&gt;0.6,ER237+ES237+ET237&lt;100),0,IF(AND('Data Entry'!$C$74=1,CN237&gt;0.01,CR237&gt;0.99),MIN(CN237:CO237),IF(AND('Data Entry'!$C$74=2,CN237&gt;0.01,CS237&gt;0.99),MIN(CN237:CO237),0))))</f>
        <v>0</v>
      </c>
      <c r="DD237" s="478">
        <f>IF(CF237=1,"Selection does not match",IF(T237=0,0,IF(AND('Data Entry'!$C$74=0,CP237&gt;1),"Select Oregon or Idaho on Data Entry Tab",IF(AND(AU237=1,AA237&gt;0.9),"Missing Interior or Exterior Selection",IF($X$4=0,"Enter Total Project Cost",IF(AQ237&lt;AR237,"Insufficient kWh savings – no incentive",IF(AND(SUM(CL237+CK237+BV237)&gt;0.01,'Data Entry'!$C$74=2,CJ237&gt;1,BO237=0),"Submit Control as Non-Standard",IF(AND('Data Entry'!$C$74=2,BR237=37,CJ237&gt;1,BO237=0),"Submit Control as Non-Standard",IF(SUM(CL237+CK237+BV237)&gt;0.01,"Standard Incentive",IF(AND('Data Entry'!$C$74=2,CP237=7,CN237=0),"Submit as Non-Standard",IF(DC237&gt;0.9,"Non-Standard Incentive",IF(AND(BY237+BZ237+CA237&gt;0.01,BV237=0,EQ237=0,ER237=0,ES237=0,ET237=0),"Scroll Right &amp; Select Control Strategies",IF(AND(CN237&gt;0.01,CO237=0),"Enter Unit Installed Cost",IF(ISNUMBER(SEARCH("Lighting Controls Only",F237)),"Lighting Controls Only",IF(CL237+DC237=0,"Does not meet incentive criteria",0)))))))))))))))</f>
        <v>0</v>
      </c>
      <c r="DE237" s="337">
        <f t="shared" si="289"/>
        <v>0</v>
      </c>
      <c r="DF237" s="609">
        <f t="shared" si="290"/>
        <v>0</v>
      </c>
      <c r="DG237" s="336" t="str">
        <f t="shared" si="291"/>
        <v/>
      </c>
      <c r="DH237" s="338">
        <f t="shared" si="292"/>
        <v>1</v>
      </c>
      <c r="DI237" s="336" t="e">
        <f t="shared" si="247"/>
        <v>#VALUE!</v>
      </c>
      <c r="DJ237" s="338">
        <f t="shared" si="248"/>
        <v>0</v>
      </c>
      <c r="DQ237" s="81"/>
      <c r="DR237" s="81"/>
      <c r="DS237" s="1195">
        <f t="shared" si="293"/>
        <v>0</v>
      </c>
      <c r="DT237" s="344" t="b">
        <f t="shared" si="294"/>
        <v>1</v>
      </c>
      <c r="DU237" s="1314" t="str">
        <f t="array" ref="DU237">IF(OR(COUNTIF(F237,"*"&amp;$DK$9:$DK$178&amp;"*")), "Yes", "")</f>
        <v/>
      </c>
      <c r="DV237" s="1314">
        <f t="shared" si="295"/>
        <v>0</v>
      </c>
      <c r="DW237" s="1480">
        <f t="shared" si="296"/>
        <v>0</v>
      </c>
      <c r="DX237" s="1498">
        <f t="shared" si="305"/>
        <v>0</v>
      </c>
      <c r="DY237" s="1484">
        <f t="shared" si="297"/>
        <v>0</v>
      </c>
      <c r="DZ237" s="331"/>
      <c r="EA237" s="392"/>
      <c r="EB237" s="1499" t="s">
        <v>160</v>
      </c>
      <c r="EC237" s="727" t="s">
        <v>1569</v>
      </c>
      <c r="ED237" s="728">
        <v>0.5</v>
      </c>
      <c r="EE237" s="1215"/>
      <c r="EF237" s="1215"/>
      <c r="EG237" s="1184" t="str">
        <f t="shared" si="298"/>
        <v/>
      </c>
      <c r="EH237" s="81"/>
      <c r="EI237" s="81"/>
      <c r="EJ237" s="1185">
        <f t="shared" si="249"/>
        <v>0</v>
      </c>
      <c r="EK237" s="1211"/>
      <c r="EL237" s="1180">
        <f t="shared" si="250"/>
        <v>0</v>
      </c>
      <c r="EM237" s="206"/>
      <c r="EN237" s="1038"/>
      <c r="EO237" s="1038"/>
      <c r="EP237" s="1038"/>
      <c r="EQ237" s="1038">
        <f t="shared" si="299"/>
        <v>0</v>
      </c>
      <c r="ER237" s="1041">
        <f t="shared" si="300"/>
        <v>0</v>
      </c>
      <c r="ES237" s="1042">
        <f t="shared" si="301"/>
        <v>0</v>
      </c>
      <c r="ET237" s="1042">
        <f t="shared" si="306"/>
        <v>0</v>
      </c>
      <c r="EU237" s="1021">
        <f t="shared" si="307"/>
        <v>0</v>
      </c>
      <c r="EV237" s="368"/>
      <c r="EW237" s="368"/>
      <c r="EX237" s="369"/>
      <c r="EY237" s="370"/>
      <c r="EZ237" s="370"/>
      <c r="FA237" s="371"/>
      <c r="FB237" s="372"/>
    </row>
    <row r="238" spans="1:158" ht="34.5" customHeight="1">
      <c r="A238" s="82">
        <v>230</v>
      </c>
      <c r="B238" s="1806"/>
      <c r="C238" s="1807"/>
      <c r="D238" s="1807"/>
      <c r="E238" s="1808"/>
      <c r="F238" s="1809"/>
      <c r="G238" s="1810"/>
      <c r="H238" s="1810"/>
      <c r="I238" s="1811"/>
      <c r="J238" s="1301"/>
      <c r="K238" s="1814"/>
      <c r="L238" s="1814"/>
      <c r="M238" s="1017"/>
      <c r="N238" s="1584"/>
      <c r="O238" s="208" t="str">
        <f t="shared" si="237"/>
        <v/>
      </c>
      <c r="P238" s="785"/>
      <c r="Q238" s="39" t="str">
        <f t="shared" si="238"/>
        <v/>
      </c>
      <c r="R238" s="39">
        <f t="shared" si="251"/>
        <v>0</v>
      </c>
      <c r="S238" s="234">
        <f t="shared" si="252"/>
        <v>0</v>
      </c>
      <c r="T238" s="1815"/>
      <c r="U238" s="1815"/>
      <c r="V238" s="1815"/>
      <c r="W238" s="1121"/>
      <c r="X238" s="1812"/>
      <c r="Y238" s="1813"/>
      <c r="Z238" s="703"/>
      <c r="AA238" s="1280"/>
      <c r="AB238" s="1141"/>
      <c r="AC238" s="1103" t="str">
        <f>IF(T238="","",VLOOKUP(Z238,Lists!$A$60:$B$111,2,FALSE))</f>
        <v/>
      </c>
      <c r="AD238" s="130" t="str">
        <f t="shared" si="253"/>
        <v/>
      </c>
      <c r="AE238" s="130" t="e">
        <f t="shared" si="254"/>
        <v>#VALUE!</v>
      </c>
      <c r="AF238" s="130">
        <f t="shared" si="255"/>
        <v>1</v>
      </c>
      <c r="AG238" s="234">
        <f t="shared" si="239"/>
        <v>0</v>
      </c>
      <c r="AH238" s="1753" t="str">
        <f>IF(T238="","",(IF(ISNUMBER(SEARCH("exit",T238)),8760,IF(AND(M238="Dusk to Dawn",'Proposed Lighting'!AU238=3),4059,IF(AND(AU238=3,M238="1"),0,IF(AND(AU238=3,M238="1-C"),0,IF(AND(AU238=3,M238="2"),0,IF(AND(AU238=3,M238="2-C"),0,IF(AND(AU238=3,M238="3"),0,IF(AND(AU238=3,M238="3-C"),0,IF(AND(AU238=2,M238="Dusk to Dawn"),0,IF(AND(AU238=2,M238="Dusk to Dawn-C"),0,IF(AND(AU238=2,M238="Dusk to Dawn"),0,IF(AND(AU238=2,M238="E"),0,IF(AND(AU238=2,M238="E-C"),0,EG238)))))))))))))))</f>
        <v/>
      </c>
      <c r="AI238" s="1754"/>
      <c r="AJ238" s="1136"/>
      <c r="AK238" s="1136"/>
      <c r="AL238" s="1748">
        <f t="shared" si="256"/>
        <v>0</v>
      </c>
      <c r="AM238" s="1749"/>
      <c r="AN238" s="1750"/>
      <c r="AO238" s="476">
        <f t="shared" si="240"/>
        <v>0</v>
      </c>
      <c r="AP238" s="476">
        <f t="shared" si="257"/>
        <v>0</v>
      </c>
      <c r="AQ238" s="475">
        <f t="shared" si="241"/>
        <v>0</v>
      </c>
      <c r="AR238" s="475">
        <f t="shared" si="258"/>
        <v>0</v>
      </c>
      <c r="AS238" s="743" t="str">
        <f t="shared" si="310"/>
        <v/>
      </c>
      <c r="AT238" s="736" t="str">
        <f t="shared" si="259"/>
        <v/>
      </c>
      <c r="AU238" s="56">
        <f t="shared" si="260"/>
        <v>1</v>
      </c>
      <c r="AV238" s="476">
        <f t="shared" si="261"/>
        <v>0</v>
      </c>
      <c r="AW238" s="56">
        <f t="shared" si="262"/>
        <v>0</v>
      </c>
      <c r="AX238" s="475">
        <f t="shared" si="242"/>
        <v>0</v>
      </c>
      <c r="AY238" s="1169">
        <f t="shared" si="263"/>
        <v>0</v>
      </c>
      <c r="AZ238" s="1150">
        <f t="shared" si="302"/>
        <v>0</v>
      </c>
      <c r="BA238" s="56">
        <f t="shared" si="243"/>
        <v>0</v>
      </c>
      <c r="BB238" s="420">
        <f t="shared" si="244"/>
        <v>0</v>
      </c>
      <c r="BC238" s="58" t="str">
        <f t="shared" si="245"/>
        <v/>
      </c>
      <c r="BD238" s="660">
        <f t="shared" si="303"/>
        <v>0</v>
      </c>
      <c r="BE238" s="57" t="e">
        <f t="array" ref="BE238">INDEX($EB$11:$ED$1022,MATCH(F238&amp;T238,$EB$11:$EB$1007&amp;$EC$11:$EC$1007,0),3)</f>
        <v>#N/A</v>
      </c>
      <c r="BF238" s="463">
        <f t="shared" si="311"/>
        <v>0</v>
      </c>
      <c r="BG238" s="1445" t="e">
        <f t="array" ref="BG238">INDEX($DO$112:$DQ$123,MATCH(T238&amp;W238,$DO$114:$DO$125&amp;$DP$112:$DP$123,0),3)</f>
        <v>#N/A</v>
      </c>
      <c r="BH238" s="1446">
        <f t="shared" si="264"/>
        <v>0</v>
      </c>
      <c r="BI238" s="465">
        <f t="shared" si="265"/>
        <v>0</v>
      </c>
      <c r="BJ238" s="465">
        <f t="shared" si="266"/>
        <v>0</v>
      </c>
      <c r="BK238" s="466">
        <f t="shared" si="312"/>
        <v>0</v>
      </c>
      <c r="BL238" s="466">
        <f t="shared" si="313"/>
        <v>0</v>
      </c>
      <c r="BM238" s="466">
        <f t="shared" si="267"/>
        <v>0</v>
      </c>
      <c r="BN238" s="466">
        <f t="shared" si="268"/>
        <v>0</v>
      </c>
      <c r="BO238" s="463">
        <f>IF('Data Entry'!$C$74=0,0,IF(ISNA(CJ238),0,IF(AX238=0,0,IF(AND('Data Entry'!$C$74=2,AF238&gt;2,CE238&lt;1),0,IF(AND('Data Entry'!$C$74=2,AF238&gt;1,AU238=2,CJ238&gt;1),0,IF(AND(AF238=5,CT238=0.5,AU238=2,ER238&lt;100),0,IF(AND(AF238=5,CT238=0.5,AU238=3,ER238&lt;100),0,IF(AND('Data Entry'!$C$74=2,AF238=2,AU238=2,AK238&gt;0.01,CB238=2,CE238&lt;1),0,IF(AND('Data Entry'!$C$74=2,AF238=3,AU238=3,AK238&gt;0.01,CB238=3,CE238&lt;1),0,IF(AND('Data Entry'!$C$74=2,AF238=3,AU238=3,AK238&gt;0.01,CB238=3,CE238&gt;0.99),BQ238*0.08,IF(AND('Data Entry'!$C$74=2,AF238=2,AU238=2,AK238&gt;0.01,CB238=2,CE238&gt;0.99),BQ238*0.1,IF(AND(AU238=2,AK238&gt;0.01,CB238=2,CD238&gt;1),BQ238*0.1,IF(AND(AU238=3,AK238&gt;0.01,CB238=3,CD238&gt;1),BQ238*0.08,CJ238*EF238)))))))))))))</f>
        <v>0</v>
      </c>
      <c r="BP238" s="475">
        <f t="shared" si="269"/>
        <v>0</v>
      </c>
      <c r="BQ238" s="1431">
        <f>IF(AU238=1,0,IF(CH238=100,0,IF(AND(AF238=3,AU238=2),0,IF(AND(BH238=0,CT238&gt;0.4),0,IF(AND('Data Entry'!$C$74=2,AF238=1.5),0,IF(AND('Data Entry'!$C$74=2,AF238=1.6),0,IF(AND('Data Entry'!$C$74=2,AF238=4),0,IF(AND('Data Entry'!$C$74=2,AF238=5),0,IF(AND('Data Entry'!$C$74=2,AF238=2.5,CE238&lt;1),0,IF(AND('Data Entry'!$C$74=2,AF238=3,CE238&lt;1),0,IF(AND('Data Entry'!$C$74=1,AF238=2.5,CD238&lt;1),0,IF(AND('Data Entry'!$C$74=1,AF238=3,CD238&lt;1),0,IF(DX238&gt;0.01,DX238,IF(ISERROR(AX238-AY238),"",ROUND(AX238-AY238,2)))))))))))))))</f>
        <v>0</v>
      </c>
      <c r="BR238" s="146">
        <f t="shared" si="270"/>
        <v>0</v>
      </c>
      <c r="BS238" s="475">
        <f t="shared" si="271"/>
        <v>0</v>
      </c>
      <c r="BT238" s="146" t="b">
        <f t="shared" si="272"/>
        <v>0</v>
      </c>
      <c r="BU238" s="463">
        <f>IF(ISNA(AT238),0,IF(AND('Data Entry'!$C$74=2,BC238=27),0,IF(AND('Data Entry'!$C$74=2,BC238=28),0,IF(AND(BC238=27,BT238=27,CM238&gt;0.1),CM238*0.15,IF(AND(BC238=28,BT238=28,CM238&gt;0.1),CM238*0.12,0)))))</f>
        <v>0</v>
      </c>
      <c r="BV238" s="463">
        <f t="shared" si="309"/>
        <v>0</v>
      </c>
      <c r="BW238" s="463">
        <f t="shared" si="273"/>
        <v>0</v>
      </c>
      <c r="BX238" s="463">
        <f t="shared" si="274"/>
        <v>0</v>
      </c>
      <c r="BY238" s="463">
        <f t="shared" si="275"/>
        <v>0</v>
      </c>
      <c r="BZ238" s="463">
        <f t="shared" si="276"/>
        <v>0</v>
      </c>
      <c r="CA238" s="57">
        <f t="shared" si="304"/>
        <v>0</v>
      </c>
      <c r="CB238" s="56">
        <f t="shared" si="277"/>
        <v>1</v>
      </c>
      <c r="CC238" s="756">
        <f>IF(EE238=0,0,IF(EF238=0,0,IF(EE238&gt;AA238,0,IF(AND(AZ238&gt;AW238,AW238&gt;0),0,IF(CU238=0,0,Summary!AC541)))))</f>
        <v>0</v>
      </c>
      <c r="CD238" s="756">
        <f>IF(EE238=0,0,IF(EF238=0,0,IF(EE238&gt;AA238,0,IF(AND(AZ238&gt;AW238,AW238&gt;0),0,IF(CU238=0,0,Summary!AD541)))))</f>
        <v>0</v>
      </c>
      <c r="CE238" s="756">
        <f>IF(EF238=0,0,IF(EE238&gt;AA238,0,IF(CC238=0,0,IF(AND(AZ238&gt;AW238,AW238&gt;0),0,IF(CU238=0,0,Summary!AE541)))))</f>
        <v>0</v>
      </c>
      <c r="CF238" s="475">
        <f t="shared" si="278"/>
        <v>0</v>
      </c>
      <c r="CG238" s="476">
        <f t="shared" si="246"/>
        <v>0</v>
      </c>
      <c r="CH238" s="487">
        <f t="shared" si="279"/>
        <v>0</v>
      </c>
      <c r="CI238" s="756">
        <f t="shared" si="280"/>
        <v>0</v>
      </c>
      <c r="CJ238" s="487">
        <f>IF(CT238&gt;0.4,0,IF(AND(AU238=2,CH238=0,CT238=0.5,ER238=100),35,IF(AND(AU238=3,BB238&gt;75,CH238=0,CT238=0.5,ER238=100),25,IF(CB238&gt;1,0,IF(EF238&gt;EE238,0,IF(AND(AF238&gt;1,CH238=100),0,IF(AND(AF238=1,AY238=0),0,IF(AND(EF238&lt;=EE238,AW238&gt;=AZ238,'Data Entry'!$C$74=1,AU238=2),VLOOKUP(W238,$DO$96:$DP$102,2,FALSE),IF(AND(EF238&lt;=EE238,AW238&gt;=AZ238,AU238=3,'Data Entry'!$C$74=1),VLOOKUP(W238,$DO$127:$DP$134,2,FALSE))))))))))</f>
        <v>0</v>
      </c>
      <c r="CK238" s="716">
        <f t="shared" si="281"/>
        <v>0</v>
      </c>
      <c r="CL238" s="57">
        <f t="shared" si="282"/>
        <v>0</v>
      </c>
      <c r="CM238" s="475">
        <f t="shared" si="308"/>
        <v>0</v>
      </c>
      <c r="CN238" s="660">
        <f>IF(CM238&lt;0.1,0,IF(ISNA(AT238),0,IF(CL238+BC238=1,0,IF(BV238&gt;0.01,0,IF(CL238&gt;0.01,0,IF(CF238=1,0,IF(BC238=0.5,0,IF(AND(CI238=1,AU238=3),0,IF(AND(CI238=5,CL238=0),0,IF(AND(R238=12,BR238=50),0,IF(CK238&gt;0.01,0,IF(AND(AJ238&gt;0.01,AU238=2,BC238=15),CM238*0.1,IF(AND(AJ238&gt;0.01,AU238=3,BC238=15),CM238*0.08,IF(AND(R238=12,BC238=3,AF238&lt;=0),0,IF(AND(BC238=15,BI238=0),0,IF(AND(BC238=15,BJ238=0),0,IF(AND(R238=20,CU238=0),0,IF($X$4=0,0,IF(AND(BC238=250,CL238=0),0,IF(AA238&lt;1,0,IF(AND(ISNUMBER(SEARCH("Area",T238)),AU238=3),0,IF(AND(AQ238&gt;0.01,AR238=0,BK238=0,BL238=0,BM238=0,BN238=0),0,IF(AND(AU238=3,CI238=7,CT238&gt;0.5),0,IF(AND(BC238=44,AU238=3,BY238=0),0,IF(AND(BC238=27,'Data Entry'!$C$74=2),0,IF(AND(BC238=28,'Data Entry'!$C$74=2),0,IF(AND(BY238+BZ238+CA238&gt;0.01,BV238=0,EQ238+ER238+ES238+ET238&lt;100),0,IF(AU238=3,CM238*0.08,IF(AU238=2,CM238*0.1,0)))))))))))))))))))))))))))))</f>
        <v>0</v>
      </c>
      <c r="CO238" s="660">
        <f t="shared" si="283"/>
        <v>0</v>
      </c>
      <c r="CP238" s="475" t="str">
        <f t="shared" si="284"/>
        <v/>
      </c>
      <c r="CQ238" s="161" t="str">
        <f>IF(AH238=0,0,IF(AU238=5,0,Summary!AC241))</f>
        <v/>
      </c>
      <c r="CR238" s="161" t="str">
        <f>IF(BF238=0.5,0,IF(AU238=5,0,Summary!AD241))</f>
        <v/>
      </c>
      <c r="CS238" s="161" t="str">
        <f>IF(AU238=5,0,Summary!AE241)</f>
        <v/>
      </c>
      <c r="CT238" s="161">
        <f t="shared" si="285"/>
        <v>0</v>
      </c>
      <c r="CU238" s="475" t="str">
        <f t="shared" si="286"/>
        <v/>
      </c>
      <c r="CV238" s="307">
        <f>IF('Data Entry'!$C$74=0,0,IF(AA238&lt;1,0,IF(ISERROR(CU238),0,IF(CF238=1,0,IF(AND(R238=12,BR238=50),0,IF(CL238+BO238+BV238+DC238=0,0,IF(BC238=37,0,IF(AND(BC238=40,AJ238=0),0,IF(AND(BC238=37,BO238&gt;0.01,BQ238&gt;0.01),ROUND(BQ238,0),IF(CM238&lt;0,0,ROUND(CM238,0)))))))))))</f>
        <v>0</v>
      </c>
      <c r="CW238" s="700">
        <f t="shared" si="287"/>
        <v>0</v>
      </c>
      <c r="CX238" s="477">
        <f>IF('Data Entry'!$C$74=0,0,IF(CV238&lt;0.01,0,IF(BF238=0.5,0,IF(CF238=1,0,IF(ISNUMBER(SEARCH("false",CL238)),0,IF(AZ238=500,0,CL238))))))</f>
        <v>0</v>
      </c>
      <c r="CY238" s="147" t="e">
        <f t="shared" si="288"/>
        <v>#VALUE!</v>
      </c>
      <c r="CZ238" s="147" t="b">
        <f>IF(CN238+CL238=0,FALSE,IF(AH238=0,0,IF(AND('Data Entry'!$C$74=1,CR238&gt;=1),TRUE,IF(AND('Data Entry'!$C$74=2,CS238&gt;=1),TRUE,FALSE))))</f>
        <v>0</v>
      </c>
      <c r="DA238" s="1751">
        <f>IF('Data Entry'!$C$74=0,0,IFERROR(ROUND(IF(T238="","",IF($X$4=0,0,IF(CF238=1,0,IF(BQ238+CV238=0,0,IF(CF238=1,0,IF(CY238&gt;0.01,CY238,IF(CL238&gt;0.01,CL238,IF(CY238&gt;0.01,CY238,IF(BC238=37,BO238,IF(CZ238=FALSE,0,IF(CZ238=TRUE,DC238+DF238,0))))))))))),2),""))</f>
        <v>0</v>
      </c>
      <c r="DB238" s="1752"/>
      <c r="DC238" s="474">
        <f>IF(CN238&lt;0.01,0,IF(AND(BR238=3,CN238&gt;0.01,CT238&gt;0.6,ER238+ES238+ET238&lt;100),0,IF(AND('Data Entry'!$C$74=1,CN238&gt;0.01,CR238&gt;0.99),MIN(CN238:CO238),IF(AND('Data Entry'!$C$74=2,CN238&gt;0.01,CS238&gt;0.99),MIN(CN238:CO238),0))))</f>
        <v>0</v>
      </c>
      <c r="DD238" s="478">
        <f>IF(CF238=1,"Selection does not match",IF(T238=0,0,IF(AND('Data Entry'!$C$74=0,CP238&gt;1),"Select Oregon or Idaho on Data Entry Tab",IF(AND(AU238=1,AA238&gt;0.9),"Missing Interior or Exterior Selection",IF($X$4=0,"Enter Total Project Cost",IF(AQ238&lt;AR238,"Insufficient kWh savings – no incentive",IF(AND(SUM(CL238+CK238+BV238)&gt;0.01,'Data Entry'!$C$74=2,CJ238&gt;1,BO238=0),"Submit Control as Non-Standard",IF(AND('Data Entry'!$C$74=2,BR238=37,CJ238&gt;1,BO238=0),"Submit Control as Non-Standard",IF(SUM(CL238+CK238+BV238)&gt;0.01,"Standard Incentive",IF(AND('Data Entry'!$C$74=2,CP238=7,CN238=0),"Submit as Non-Standard",IF(DC238&gt;0.9,"Non-Standard Incentive",IF(AND(BY238+BZ238+CA238&gt;0.01,BV238=0,EQ238=0,ER238=0,ES238=0,ET238=0),"Scroll Right &amp; Select Control Strategies",IF(AND(CN238&gt;0.01,CO238=0),"Enter Unit Installed Cost",IF(ISNUMBER(SEARCH("Lighting Controls Only",F238)),"Lighting Controls Only",IF(CL238+DC238=0,"Does not meet incentive criteria",0)))))))))))))))</f>
        <v>0</v>
      </c>
      <c r="DE238" s="337">
        <f t="shared" si="289"/>
        <v>0</v>
      </c>
      <c r="DF238" s="609">
        <f t="shared" si="290"/>
        <v>0</v>
      </c>
      <c r="DG238" s="336" t="str">
        <f t="shared" si="291"/>
        <v/>
      </c>
      <c r="DH238" s="338">
        <f t="shared" si="292"/>
        <v>1</v>
      </c>
      <c r="DI238" s="336" t="e">
        <f t="shared" si="247"/>
        <v>#VALUE!</v>
      </c>
      <c r="DJ238" s="338">
        <f t="shared" si="248"/>
        <v>0</v>
      </c>
      <c r="DQ238" s="81"/>
      <c r="DR238" s="81"/>
      <c r="DS238" s="1195">
        <f t="shared" si="293"/>
        <v>0</v>
      </c>
      <c r="DT238" s="344" t="b">
        <f t="shared" si="294"/>
        <v>1</v>
      </c>
      <c r="DU238" s="1314" t="str">
        <f t="array" ref="DU238">IF(OR(COUNTIF(F238,"*"&amp;$DK$9:$DK$178&amp;"*")), "Yes", "")</f>
        <v/>
      </c>
      <c r="DV238" s="1314">
        <f t="shared" si="295"/>
        <v>0</v>
      </c>
      <c r="DW238" s="1480">
        <f t="shared" si="296"/>
        <v>0</v>
      </c>
      <c r="DX238" s="1498">
        <f t="shared" si="305"/>
        <v>0</v>
      </c>
      <c r="DY238" s="1484">
        <f t="shared" si="297"/>
        <v>0</v>
      </c>
      <c r="DZ238" s="331"/>
      <c r="EA238" s="392"/>
      <c r="EB238" s="1499" t="s">
        <v>161</v>
      </c>
      <c r="EC238" s="727" t="s">
        <v>1569</v>
      </c>
      <c r="ED238" s="728">
        <v>0.5</v>
      </c>
      <c r="EE238" s="1215"/>
      <c r="EF238" s="1215"/>
      <c r="EG238" s="1184" t="str">
        <f t="shared" si="298"/>
        <v/>
      </c>
      <c r="EH238" s="81"/>
      <c r="EI238" s="81"/>
      <c r="EJ238" s="1185">
        <f t="shared" si="249"/>
        <v>0</v>
      </c>
      <c r="EK238" s="1211"/>
      <c r="EL238" s="1180">
        <f t="shared" si="250"/>
        <v>0</v>
      </c>
      <c r="EM238" s="206"/>
      <c r="EN238" s="1038"/>
      <c r="EO238" s="1038"/>
      <c r="EP238" s="1038"/>
      <c r="EQ238" s="1038">
        <f t="shared" si="299"/>
        <v>0</v>
      </c>
      <c r="ER238" s="1041">
        <f t="shared" si="300"/>
        <v>0</v>
      </c>
      <c r="ES238" s="1042">
        <f t="shared" si="301"/>
        <v>0</v>
      </c>
      <c r="ET238" s="1042">
        <f t="shared" si="306"/>
        <v>0</v>
      </c>
      <c r="EU238" s="1021">
        <f t="shared" si="307"/>
        <v>0</v>
      </c>
      <c r="EV238" s="368"/>
      <c r="EW238" s="368"/>
      <c r="EX238" s="369"/>
      <c r="EY238" s="370"/>
      <c r="EZ238" s="370"/>
      <c r="FA238" s="371"/>
      <c r="FB238" s="372"/>
    </row>
    <row r="239" spans="1:158" ht="34.5" customHeight="1">
      <c r="A239" s="82">
        <v>231</v>
      </c>
      <c r="B239" s="1806"/>
      <c r="C239" s="1807"/>
      <c r="D239" s="1807"/>
      <c r="E239" s="1808"/>
      <c r="F239" s="1809"/>
      <c r="G239" s="1810"/>
      <c r="H239" s="1810"/>
      <c r="I239" s="1811"/>
      <c r="J239" s="1301"/>
      <c r="K239" s="1814"/>
      <c r="L239" s="1814"/>
      <c r="M239" s="1017"/>
      <c r="N239" s="1584"/>
      <c r="O239" s="208" t="str">
        <f t="shared" si="237"/>
        <v/>
      </c>
      <c r="P239" s="785"/>
      <c r="Q239" s="39" t="str">
        <f t="shared" si="238"/>
        <v/>
      </c>
      <c r="R239" s="39">
        <f t="shared" si="251"/>
        <v>0</v>
      </c>
      <c r="S239" s="234">
        <f t="shared" si="252"/>
        <v>0</v>
      </c>
      <c r="T239" s="1815"/>
      <c r="U239" s="1815"/>
      <c r="V239" s="1815"/>
      <c r="W239" s="1121"/>
      <c r="X239" s="1812"/>
      <c r="Y239" s="1813"/>
      <c r="Z239" s="703"/>
      <c r="AA239" s="1280"/>
      <c r="AB239" s="1141"/>
      <c r="AC239" s="1103" t="str">
        <f>IF(T239="","",VLOOKUP(Z239,Lists!$A$60:$B$111,2,FALSE))</f>
        <v/>
      </c>
      <c r="AD239" s="130" t="str">
        <f t="shared" si="253"/>
        <v/>
      </c>
      <c r="AE239" s="130" t="e">
        <f t="shared" si="254"/>
        <v>#VALUE!</v>
      </c>
      <c r="AF239" s="130">
        <f t="shared" si="255"/>
        <v>1</v>
      </c>
      <c r="AG239" s="234">
        <f t="shared" si="239"/>
        <v>0</v>
      </c>
      <c r="AH239" s="1753" t="str">
        <f>IF(T239="","",(IF(ISNUMBER(SEARCH("exit",T239)),8760,IF(AND(M239="Dusk to Dawn",'Proposed Lighting'!AU239=3),4059,IF(AND(AU239=3,M239="1"),0,IF(AND(AU239=3,M239="1-C"),0,IF(AND(AU239=3,M239="2"),0,IF(AND(AU239=3,M239="2-C"),0,IF(AND(AU239=3,M239="3"),0,IF(AND(AU239=3,M239="3-C"),0,IF(AND(AU239=2,M239="Dusk to Dawn"),0,IF(AND(AU239=2,M239="Dusk to Dawn-C"),0,IF(AND(AU239=2,M239="Dusk to Dawn"),0,IF(AND(AU239=2,M239="E"),0,IF(AND(AU239=2,M239="E-C"),0,EG239)))))))))))))))</f>
        <v/>
      </c>
      <c r="AI239" s="1754"/>
      <c r="AJ239" s="1136"/>
      <c r="AK239" s="1136"/>
      <c r="AL239" s="1748">
        <f t="shared" si="256"/>
        <v>0</v>
      </c>
      <c r="AM239" s="1749"/>
      <c r="AN239" s="1750"/>
      <c r="AO239" s="476">
        <f t="shared" si="240"/>
        <v>0</v>
      </c>
      <c r="AP239" s="476">
        <f t="shared" si="257"/>
        <v>0</v>
      </c>
      <c r="AQ239" s="475">
        <f t="shared" si="241"/>
        <v>0</v>
      </c>
      <c r="AR239" s="475">
        <f t="shared" si="258"/>
        <v>0</v>
      </c>
      <c r="AS239" s="743" t="str">
        <f t="shared" si="310"/>
        <v/>
      </c>
      <c r="AT239" s="736" t="str">
        <f t="shared" si="259"/>
        <v/>
      </c>
      <c r="AU239" s="56">
        <f t="shared" si="260"/>
        <v>1</v>
      </c>
      <c r="AV239" s="476">
        <f t="shared" si="261"/>
        <v>0</v>
      </c>
      <c r="AW239" s="56">
        <f t="shared" si="262"/>
        <v>0</v>
      </c>
      <c r="AX239" s="475">
        <f t="shared" si="242"/>
        <v>0</v>
      </c>
      <c r="AY239" s="1169">
        <f t="shared" si="263"/>
        <v>0</v>
      </c>
      <c r="AZ239" s="1150">
        <f t="shared" si="302"/>
        <v>0</v>
      </c>
      <c r="BA239" s="56">
        <f t="shared" si="243"/>
        <v>0</v>
      </c>
      <c r="BB239" s="420">
        <f t="shared" si="244"/>
        <v>0</v>
      </c>
      <c r="BC239" s="58" t="str">
        <f t="shared" si="245"/>
        <v/>
      </c>
      <c r="BD239" s="660">
        <f t="shared" si="303"/>
        <v>0</v>
      </c>
      <c r="BE239" s="57" t="e">
        <f t="array" ref="BE239">INDEX($EB$11:$ED$1022,MATCH(F239&amp;T239,$EB$11:$EB$1007&amp;$EC$11:$EC$1007,0),3)</f>
        <v>#N/A</v>
      </c>
      <c r="BF239" s="463">
        <f t="shared" si="311"/>
        <v>0</v>
      </c>
      <c r="BG239" s="1445" t="e">
        <f t="array" ref="BG239">INDEX($DO$112:$DQ$123,MATCH(T239&amp;W239,$DO$114:$DO$125&amp;$DP$112:$DP$123,0),3)</f>
        <v>#N/A</v>
      </c>
      <c r="BH239" s="1446">
        <f t="shared" si="264"/>
        <v>0</v>
      </c>
      <c r="BI239" s="465">
        <f t="shared" si="265"/>
        <v>0</v>
      </c>
      <c r="BJ239" s="465">
        <f t="shared" si="266"/>
        <v>0</v>
      </c>
      <c r="BK239" s="466">
        <f t="shared" si="312"/>
        <v>0</v>
      </c>
      <c r="BL239" s="466">
        <f t="shared" si="313"/>
        <v>0</v>
      </c>
      <c r="BM239" s="466">
        <f t="shared" si="267"/>
        <v>0</v>
      </c>
      <c r="BN239" s="466">
        <f t="shared" si="268"/>
        <v>0</v>
      </c>
      <c r="BO239" s="463">
        <f>IF('Data Entry'!$C$74=0,0,IF(ISNA(CJ239),0,IF(AX239=0,0,IF(AND('Data Entry'!$C$74=2,AF239&gt;2,CE239&lt;1),0,IF(AND('Data Entry'!$C$74=2,AF239&gt;1,AU239=2,CJ239&gt;1),0,IF(AND(AF239=5,CT239=0.5,AU239=2,ER239&lt;100),0,IF(AND(AF239=5,CT239=0.5,AU239=3,ER239&lt;100),0,IF(AND('Data Entry'!$C$74=2,AF239=2,AU239=2,AK239&gt;0.01,CB239=2,CE239&lt;1),0,IF(AND('Data Entry'!$C$74=2,AF239=3,AU239=3,AK239&gt;0.01,CB239=3,CE239&lt;1),0,IF(AND('Data Entry'!$C$74=2,AF239=3,AU239=3,AK239&gt;0.01,CB239=3,CE239&gt;0.99),BQ239*0.08,IF(AND('Data Entry'!$C$74=2,AF239=2,AU239=2,AK239&gt;0.01,CB239=2,CE239&gt;0.99),BQ239*0.1,IF(AND(AU239=2,AK239&gt;0.01,CB239=2,CD239&gt;1),BQ239*0.1,IF(AND(AU239=3,AK239&gt;0.01,CB239=3,CD239&gt;1),BQ239*0.08,CJ239*EF239)))))))))))))</f>
        <v>0</v>
      </c>
      <c r="BP239" s="475">
        <f t="shared" si="269"/>
        <v>0</v>
      </c>
      <c r="BQ239" s="1431">
        <f>IF(AU239=1,0,IF(CH239=100,0,IF(AND(AF239=3,AU239=2),0,IF(AND(BH239=0,CT239&gt;0.4),0,IF(AND('Data Entry'!$C$74=2,AF239=1.5),0,IF(AND('Data Entry'!$C$74=2,AF239=1.6),0,IF(AND('Data Entry'!$C$74=2,AF239=4),0,IF(AND('Data Entry'!$C$74=2,AF239=5),0,IF(AND('Data Entry'!$C$74=2,AF239=2.5,CE239&lt;1),0,IF(AND('Data Entry'!$C$74=2,AF239=3,CE239&lt;1),0,IF(AND('Data Entry'!$C$74=1,AF239=2.5,CD239&lt;1),0,IF(AND('Data Entry'!$C$74=1,AF239=3,CD239&lt;1),0,IF(DX239&gt;0.01,DX239,IF(ISERROR(AX239-AY239),"",ROUND(AX239-AY239,2)))))))))))))))</f>
        <v>0</v>
      </c>
      <c r="BR239" s="146">
        <f t="shared" si="270"/>
        <v>0</v>
      </c>
      <c r="BS239" s="475">
        <f t="shared" si="271"/>
        <v>0</v>
      </c>
      <c r="BT239" s="146" t="b">
        <f t="shared" si="272"/>
        <v>0</v>
      </c>
      <c r="BU239" s="463">
        <f>IF(ISNA(AT239),0,IF(AND('Data Entry'!$C$74=2,BC239=27),0,IF(AND('Data Entry'!$C$74=2,BC239=28),0,IF(AND(BC239=27,BT239=27,CM239&gt;0.1),CM239*0.15,IF(AND(BC239=28,BT239=28,CM239&gt;0.1),CM239*0.12,0)))))</f>
        <v>0</v>
      </c>
      <c r="BV239" s="463">
        <f t="shared" si="309"/>
        <v>0</v>
      </c>
      <c r="BW239" s="463">
        <f t="shared" si="273"/>
        <v>0</v>
      </c>
      <c r="BX239" s="463">
        <f t="shared" si="274"/>
        <v>0</v>
      </c>
      <c r="BY239" s="463">
        <f t="shared" si="275"/>
        <v>0</v>
      </c>
      <c r="BZ239" s="463">
        <f t="shared" si="276"/>
        <v>0</v>
      </c>
      <c r="CA239" s="57">
        <f t="shared" si="304"/>
        <v>0</v>
      </c>
      <c r="CB239" s="56">
        <f t="shared" si="277"/>
        <v>1</v>
      </c>
      <c r="CC239" s="756">
        <f>IF(EE239=0,0,IF(EF239=0,0,IF(EE239&gt;AA239,0,IF(AND(AZ239&gt;AW239,AW239&gt;0),0,IF(CU239=0,0,Summary!AC542)))))</f>
        <v>0</v>
      </c>
      <c r="CD239" s="756">
        <f>IF(EE239=0,0,IF(EF239=0,0,IF(EE239&gt;AA239,0,IF(AND(AZ239&gt;AW239,AW239&gt;0),0,IF(CU239=0,0,Summary!AD542)))))</f>
        <v>0</v>
      </c>
      <c r="CE239" s="756">
        <f>IF(EF239=0,0,IF(EE239&gt;AA239,0,IF(CC239=0,0,IF(AND(AZ239&gt;AW239,AW239&gt;0),0,IF(CU239=0,0,Summary!AE542)))))</f>
        <v>0</v>
      </c>
      <c r="CF239" s="475">
        <f t="shared" si="278"/>
        <v>0</v>
      </c>
      <c r="CG239" s="476">
        <f t="shared" si="246"/>
        <v>0</v>
      </c>
      <c r="CH239" s="487">
        <f t="shared" si="279"/>
        <v>0</v>
      </c>
      <c r="CI239" s="756">
        <f t="shared" si="280"/>
        <v>0</v>
      </c>
      <c r="CJ239" s="487">
        <f>IF(CT239&gt;0.4,0,IF(AND(AU239=2,CH239=0,CT239=0.5,ER239=100),35,IF(AND(AU239=3,BB239&gt;75,CH239=0,CT239=0.5,ER239=100),25,IF(CB239&gt;1,0,IF(EF239&gt;EE239,0,IF(AND(AF239&gt;1,CH239=100),0,IF(AND(AF239=1,AY239=0),0,IF(AND(EF239&lt;=EE239,AW239&gt;=AZ239,'Data Entry'!$C$74=1,AU239=2),VLOOKUP(W239,$DO$96:$DP$102,2,FALSE),IF(AND(EF239&lt;=EE239,AW239&gt;=AZ239,AU239=3,'Data Entry'!$C$74=1),VLOOKUP(W239,$DO$127:$DP$134,2,FALSE))))))))))</f>
        <v>0</v>
      </c>
      <c r="CK239" s="716">
        <f t="shared" si="281"/>
        <v>0</v>
      </c>
      <c r="CL239" s="57">
        <f t="shared" si="282"/>
        <v>0</v>
      </c>
      <c r="CM239" s="475">
        <f t="shared" si="308"/>
        <v>0</v>
      </c>
      <c r="CN239" s="660">
        <f>IF(CM239&lt;0.1,0,IF(ISNA(AT239),0,IF(CL239+BC239=1,0,IF(BV239&gt;0.01,0,IF(CL239&gt;0.01,0,IF(CF239=1,0,IF(BC239=0.5,0,IF(AND(CI239=1,AU239=3),0,IF(AND(CI239=5,CL239=0),0,IF(AND(R239=12,BR239=50),0,IF(CK239&gt;0.01,0,IF(AND(AJ239&gt;0.01,AU239=2,BC239=15),CM239*0.1,IF(AND(AJ239&gt;0.01,AU239=3,BC239=15),CM239*0.08,IF(AND(R239=12,BC239=3,AF239&lt;=0),0,IF(AND(BC239=15,BI239=0),0,IF(AND(BC239=15,BJ239=0),0,IF(AND(R239=20,CU239=0),0,IF($X$4=0,0,IF(AND(BC239=250,CL239=0),0,IF(AA239&lt;1,0,IF(AND(ISNUMBER(SEARCH("Area",T239)),AU239=3),0,IF(AND(AQ239&gt;0.01,AR239=0,BK239=0,BL239=0,BM239=0,BN239=0),0,IF(AND(AU239=3,CI239=7,CT239&gt;0.5),0,IF(AND(BC239=44,AU239=3,BY239=0),0,IF(AND(BC239=27,'Data Entry'!$C$74=2),0,IF(AND(BC239=28,'Data Entry'!$C$74=2),0,IF(AND(BY239+BZ239+CA239&gt;0.01,BV239=0,EQ239+ER239+ES239+ET239&lt;100),0,IF(AU239=3,CM239*0.08,IF(AU239=2,CM239*0.1,0)))))))))))))))))))))))))))))</f>
        <v>0</v>
      </c>
      <c r="CO239" s="660">
        <f t="shared" si="283"/>
        <v>0</v>
      </c>
      <c r="CP239" s="475" t="str">
        <f t="shared" si="284"/>
        <v/>
      </c>
      <c r="CQ239" s="161" t="str">
        <f>IF(AH239=0,0,IF(AU239=5,0,Summary!AC242))</f>
        <v/>
      </c>
      <c r="CR239" s="161" t="str">
        <f>IF(BF239=0.5,0,IF(AU239=5,0,Summary!AD242))</f>
        <v/>
      </c>
      <c r="CS239" s="161" t="str">
        <f>IF(AU239=5,0,Summary!AE242)</f>
        <v/>
      </c>
      <c r="CT239" s="161">
        <f t="shared" si="285"/>
        <v>0</v>
      </c>
      <c r="CU239" s="475" t="str">
        <f t="shared" si="286"/>
        <v/>
      </c>
      <c r="CV239" s="307">
        <f>IF('Data Entry'!$C$74=0,0,IF(AA239&lt;1,0,IF(ISERROR(CU239),0,IF(CF239=1,0,IF(AND(R239=12,BR239=50),0,IF(CL239+BO239+BV239+DC239=0,0,IF(BC239=37,0,IF(AND(BC239=40,AJ239=0),0,IF(AND(BC239=37,BO239&gt;0.01,BQ239&gt;0.01),ROUND(BQ239,0),IF(CM239&lt;0,0,ROUND(CM239,0)))))))))))</f>
        <v>0</v>
      </c>
      <c r="CW239" s="700">
        <f t="shared" si="287"/>
        <v>0</v>
      </c>
      <c r="CX239" s="477">
        <f>IF('Data Entry'!$C$74=0,0,IF(CV239&lt;0.01,0,IF(BF239=0.5,0,IF(CF239=1,0,IF(ISNUMBER(SEARCH("false",CL239)),0,IF(AZ239=500,0,CL239))))))</f>
        <v>0</v>
      </c>
      <c r="CY239" s="147" t="e">
        <f t="shared" si="288"/>
        <v>#VALUE!</v>
      </c>
      <c r="CZ239" s="147" t="b">
        <f>IF(CN239+CL239=0,FALSE,IF(AH239=0,0,IF(AND('Data Entry'!$C$74=1,CR239&gt;=1),TRUE,IF(AND('Data Entry'!$C$74=2,CS239&gt;=1),TRUE,FALSE))))</f>
        <v>0</v>
      </c>
      <c r="DA239" s="1751">
        <f>IF('Data Entry'!$C$74=0,0,IFERROR(ROUND(IF(T239="","",IF($X$4=0,0,IF(CF239=1,0,IF(BQ239+CV239=0,0,IF(CF239=1,0,IF(CY239&gt;0.01,CY239,IF(CL239&gt;0.01,CL239,IF(CY239&gt;0.01,CY239,IF(BC239=37,BO239,IF(CZ239=FALSE,0,IF(CZ239=TRUE,DC239+DF239,0))))))))))),2),""))</f>
        <v>0</v>
      </c>
      <c r="DB239" s="1752"/>
      <c r="DC239" s="474">
        <f>IF(CN239&lt;0.01,0,IF(AND(BR239=3,CN239&gt;0.01,CT239&gt;0.6,ER239+ES239+ET239&lt;100),0,IF(AND('Data Entry'!$C$74=1,CN239&gt;0.01,CR239&gt;0.99),MIN(CN239:CO239),IF(AND('Data Entry'!$C$74=2,CN239&gt;0.01,CS239&gt;0.99),MIN(CN239:CO239),0))))</f>
        <v>0</v>
      </c>
      <c r="DD239" s="478">
        <f>IF(CF239=1,"Selection does not match",IF(T239=0,0,IF(AND('Data Entry'!$C$74=0,CP239&gt;1),"Select Oregon or Idaho on Data Entry Tab",IF(AND(AU239=1,AA239&gt;0.9),"Missing Interior or Exterior Selection",IF($X$4=0,"Enter Total Project Cost",IF(AQ239&lt;AR239,"Insufficient kWh savings – no incentive",IF(AND(SUM(CL239+CK239+BV239)&gt;0.01,'Data Entry'!$C$74=2,CJ239&gt;1,BO239=0),"Submit Control as Non-Standard",IF(AND('Data Entry'!$C$74=2,BR239=37,CJ239&gt;1,BO239=0),"Submit Control as Non-Standard",IF(SUM(CL239+CK239+BV239)&gt;0.01,"Standard Incentive",IF(AND('Data Entry'!$C$74=2,CP239=7,CN239=0),"Submit as Non-Standard",IF(DC239&gt;0.9,"Non-Standard Incentive",IF(AND(BY239+BZ239+CA239&gt;0.01,BV239=0,EQ239=0,ER239=0,ES239=0,ET239=0),"Scroll Right &amp; Select Control Strategies",IF(AND(CN239&gt;0.01,CO239=0),"Enter Unit Installed Cost",IF(ISNUMBER(SEARCH("Lighting Controls Only",F239)),"Lighting Controls Only",IF(CL239+DC239=0,"Does not meet incentive criteria",0)))))))))))))))</f>
        <v>0</v>
      </c>
      <c r="DE239" s="337">
        <f t="shared" si="289"/>
        <v>0</v>
      </c>
      <c r="DF239" s="609">
        <f t="shared" si="290"/>
        <v>0</v>
      </c>
      <c r="DG239" s="336" t="str">
        <f t="shared" si="291"/>
        <v/>
      </c>
      <c r="DH239" s="338">
        <f t="shared" si="292"/>
        <v>1</v>
      </c>
      <c r="DI239" s="336" t="e">
        <f t="shared" si="247"/>
        <v>#VALUE!</v>
      </c>
      <c r="DJ239" s="338">
        <f t="shared" si="248"/>
        <v>0</v>
      </c>
      <c r="DQ239" s="81"/>
      <c r="DR239" s="81"/>
      <c r="DS239" s="1195">
        <f t="shared" si="293"/>
        <v>0</v>
      </c>
      <c r="DT239" s="344" t="b">
        <f t="shared" si="294"/>
        <v>1</v>
      </c>
      <c r="DU239" s="1314" t="str">
        <f t="array" ref="DU239">IF(OR(COUNTIF(F239,"*"&amp;$DK$9:$DK$178&amp;"*")), "Yes", "")</f>
        <v/>
      </c>
      <c r="DV239" s="1314">
        <f t="shared" si="295"/>
        <v>0</v>
      </c>
      <c r="DW239" s="1480">
        <f t="shared" si="296"/>
        <v>0</v>
      </c>
      <c r="DX239" s="1498">
        <f t="shared" si="305"/>
        <v>0</v>
      </c>
      <c r="DY239" s="1484">
        <f t="shared" si="297"/>
        <v>0</v>
      </c>
      <c r="DZ239" s="331"/>
      <c r="EA239" s="392"/>
      <c r="EB239" s="1499" t="s">
        <v>162</v>
      </c>
      <c r="EC239" s="727" t="s">
        <v>1569</v>
      </c>
      <c r="ED239" s="728">
        <v>0.5</v>
      </c>
      <c r="EE239" s="1215"/>
      <c r="EF239" s="1215"/>
      <c r="EG239" s="1184" t="str">
        <f t="shared" si="298"/>
        <v/>
      </c>
      <c r="EH239" s="81"/>
      <c r="EI239" s="81"/>
      <c r="EJ239" s="1185">
        <f t="shared" si="249"/>
        <v>0</v>
      </c>
      <c r="EK239" s="1211"/>
      <c r="EL239" s="1180">
        <f t="shared" si="250"/>
        <v>0</v>
      </c>
      <c r="EM239" s="206"/>
      <c r="EN239" s="1038"/>
      <c r="EO239" s="1038"/>
      <c r="EP239" s="1038"/>
      <c r="EQ239" s="1038">
        <f t="shared" si="299"/>
        <v>0</v>
      </c>
      <c r="ER239" s="1041">
        <f t="shared" si="300"/>
        <v>0</v>
      </c>
      <c r="ES239" s="1042">
        <f t="shared" si="301"/>
        <v>0</v>
      </c>
      <c r="ET239" s="1042">
        <f t="shared" si="306"/>
        <v>0</v>
      </c>
      <c r="EU239" s="1021">
        <f t="shared" si="307"/>
        <v>0</v>
      </c>
      <c r="EV239" s="368"/>
      <c r="EW239" s="368"/>
      <c r="EX239" s="369"/>
      <c r="EY239" s="370"/>
      <c r="EZ239" s="370"/>
      <c r="FA239" s="371"/>
      <c r="FB239" s="372"/>
    </row>
    <row r="240" spans="1:158" ht="34.5" customHeight="1">
      <c r="A240" s="82">
        <v>232</v>
      </c>
      <c r="B240" s="1806"/>
      <c r="C240" s="1807"/>
      <c r="D240" s="1807"/>
      <c r="E240" s="1808"/>
      <c r="F240" s="1809"/>
      <c r="G240" s="1810"/>
      <c r="H240" s="1810"/>
      <c r="I240" s="1811"/>
      <c r="J240" s="1301"/>
      <c r="K240" s="1814"/>
      <c r="L240" s="1814"/>
      <c r="M240" s="1017"/>
      <c r="N240" s="1584"/>
      <c r="O240" s="208" t="str">
        <f t="shared" si="237"/>
        <v/>
      </c>
      <c r="P240" s="785"/>
      <c r="Q240" s="39" t="str">
        <f t="shared" si="238"/>
        <v/>
      </c>
      <c r="R240" s="39">
        <f t="shared" si="251"/>
        <v>0</v>
      </c>
      <c r="S240" s="234">
        <f t="shared" si="252"/>
        <v>0</v>
      </c>
      <c r="T240" s="1815"/>
      <c r="U240" s="1815"/>
      <c r="V240" s="1815"/>
      <c r="W240" s="1121"/>
      <c r="X240" s="1812"/>
      <c r="Y240" s="1813"/>
      <c r="Z240" s="703"/>
      <c r="AA240" s="1280"/>
      <c r="AB240" s="1141"/>
      <c r="AC240" s="1103" t="str">
        <f>IF(T240="","",VLOOKUP(Z240,Lists!$A$60:$B$111,2,FALSE))</f>
        <v/>
      </c>
      <c r="AD240" s="130" t="str">
        <f t="shared" si="253"/>
        <v/>
      </c>
      <c r="AE240" s="130" t="e">
        <f t="shared" si="254"/>
        <v>#VALUE!</v>
      </c>
      <c r="AF240" s="130">
        <f t="shared" si="255"/>
        <v>1</v>
      </c>
      <c r="AG240" s="234">
        <f t="shared" si="239"/>
        <v>0</v>
      </c>
      <c r="AH240" s="1753" t="str">
        <f>IF(T240="","",(IF(ISNUMBER(SEARCH("exit",T240)),8760,IF(AND(M240="Dusk to Dawn",'Proposed Lighting'!AU240=3),4059,IF(AND(AU240=3,M240="1"),0,IF(AND(AU240=3,M240="1-C"),0,IF(AND(AU240=3,M240="2"),0,IF(AND(AU240=3,M240="2-C"),0,IF(AND(AU240=3,M240="3"),0,IF(AND(AU240=3,M240="3-C"),0,IF(AND(AU240=2,M240="Dusk to Dawn"),0,IF(AND(AU240=2,M240="Dusk to Dawn-C"),0,IF(AND(AU240=2,M240="Dusk to Dawn"),0,IF(AND(AU240=2,M240="E"),0,IF(AND(AU240=2,M240="E-C"),0,EG240)))))))))))))))</f>
        <v/>
      </c>
      <c r="AI240" s="1754"/>
      <c r="AJ240" s="1136"/>
      <c r="AK240" s="1136"/>
      <c r="AL240" s="1748">
        <f t="shared" si="256"/>
        <v>0</v>
      </c>
      <c r="AM240" s="1749"/>
      <c r="AN240" s="1750"/>
      <c r="AO240" s="476">
        <f t="shared" si="240"/>
        <v>0</v>
      </c>
      <c r="AP240" s="476">
        <f t="shared" si="257"/>
        <v>0</v>
      </c>
      <c r="AQ240" s="475">
        <f t="shared" si="241"/>
        <v>0</v>
      </c>
      <c r="AR240" s="475">
        <f t="shared" si="258"/>
        <v>0</v>
      </c>
      <c r="AS240" s="743" t="str">
        <f t="shared" si="310"/>
        <v/>
      </c>
      <c r="AT240" s="736" t="str">
        <f t="shared" si="259"/>
        <v/>
      </c>
      <c r="AU240" s="56">
        <f t="shared" si="260"/>
        <v>1</v>
      </c>
      <c r="AV240" s="476">
        <f t="shared" si="261"/>
        <v>0</v>
      </c>
      <c r="AW240" s="56">
        <f t="shared" si="262"/>
        <v>0</v>
      </c>
      <c r="AX240" s="475">
        <f t="shared" si="242"/>
        <v>0</v>
      </c>
      <c r="AY240" s="1169">
        <f t="shared" si="263"/>
        <v>0</v>
      </c>
      <c r="AZ240" s="1150">
        <f t="shared" si="302"/>
        <v>0</v>
      </c>
      <c r="BA240" s="56">
        <f t="shared" si="243"/>
        <v>0</v>
      </c>
      <c r="BB240" s="420">
        <f t="shared" si="244"/>
        <v>0</v>
      </c>
      <c r="BC240" s="58" t="str">
        <f t="shared" si="245"/>
        <v/>
      </c>
      <c r="BD240" s="660">
        <f t="shared" si="303"/>
        <v>0</v>
      </c>
      <c r="BE240" s="57" t="e">
        <f t="array" ref="BE240">INDEX($EB$11:$ED$1022,MATCH(F240&amp;T240,$EB$11:$EB$1007&amp;$EC$11:$EC$1007,0),3)</f>
        <v>#N/A</v>
      </c>
      <c r="BF240" s="463">
        <f t="shared" si="311"/>
        <v>0</v>
      </c>
      <c r="BG240" s="1445" t="e">
        <f t="array" ref="BG240">INDEX($DO$112:$DQ$123,MATCH(T240&amp;W240,$DO$114:$DO$125&amp;$DP$112:$DP$123,0),3)</f>
        <v>#N/A</v>
      </c>
      <c r="BH240" s="1446">
        <f t="shared" si="264"/>
        <v>0</v>
      </c>
      <c r="BI240" s="465">
        <f t="shared" si="265"/>
        <v>0</v>
      </c>
      <c r="BJ240" s="465">
        <f t="shared" si="266"/>
        <v>0</v>
      </c>
      <c r="BK240" s="466">
        <f t="shared" si="312"/>
        <v>0</v>
      </c>
      <c r="BL240" s="466">
        <f t="shared" si="313"/>
        <v>0</v>
      </c>
      <c r="BM240" s="466">
        <f t="shared" si="267"/>
        <v>0</v>
      </c>
      <c r="BN240" s="466">
        <f t="shared" si="268"/>
        <v>0</v>
      </c>
      <c r="BO240" s="463">
        <f>IF('Data Entry'!$C$74=0,0,IF(ISNA(CJ240),0,IF(AX240=0,0,IF(AND('Data Entry'!$C$74=2,AF240&gt;2,CE240&lt;1),0,IF(AND('Data Entry'!$C$74=2,AF240&gt;1,AU240=2,CJ240&gt;1),0,IF(AND(AF240=5,CT240=0.5,AU240=2,ER240&lt;100),0,IF(AND(AF240=5,CT240=0.5,AU240=3,ER240&lt;100),0,IF(AND('Data Entry'!$C$74=2,AF240=2,AU240=2,AK240&gt;0.01,CB240=2,CE240&lt;1),0,IF(AND('Data Entry'!$C$74=2,AF240=3,AU240=3,AK240&gt;0.01,CB240=3,CE240&lt;1),0,IF(AND('Data Entry'!$C$74=2,AF240=3,AU240=3,AK240&gt;0.01,CB240=3,CE240&gt;0.99),BQ240*0.08,IF(AND('Data Entry'!$C$74=2,AF240=2,AU240=2,AK240&gt;0.01,CB240=2,CE240&gt;0.99),BQ240*0.1,IF(AND(AU240=2,AK240&gt;0.01,CB240=2,CD240&gt;1),BQ240*0.1,IF(AND(AU240=3,AK240&gt;0.01,CB240=3,CD240&gt;1),BQ240*0.08,CJ240*EF240)))))))))))))</f>
        <v>0</v>
      </c>
      <c r="BP240" s="475">
        <f t="shared" si="269"/>
        <v>0</v>
      </c>
      <c r="BQ240" s="1431">
        <f>IF(AU240=1,0,IF(CH240=100,0,IF(AND(AF240=3,AU240=2),0,IF(AND(BH240=0,CT240&gt;0.4),0,IF(AND('Data Entry'!$C$74=2,AF240=1.5),0,IF(AND('Data Entry'!$C$74=2,AF240=1.6),0,IF(AND('Data Entry'!$C$74=2,AF240=4),0,IF(AND('Data Entry'!$C$74=2,AF240=5),0,IF(AND('Data Entry'!$C$74=2,AF240=2.5,CE240&lt;1),0,IF(AND('Data Entry'!$C$74=2,AF240=3,CE240&lt;1),0,IF(AND('Data Entry'!$C$74=1,AF240=2.5,CD240&lt;1),0,IF(AND('Data Entry'!$C$74=1,AF240=3,CD240&lt;1),0,IF(DX240&gt;0.01,DX240,IF(ISERROR(AX240-AY240),"",ROUND(AX240-AY240,2)))))))))))))))</f>
        <v>0</v>
      </c>
      <c r="BR240" s="146">
        <f t="shared" si="270"/>
        <v>0</v>
      </c>
      <c r="BS240" s="475">
        <f t="shared" si="271"/>
        <v>0</v>
      </c>
      <c r="BT240" s="146" t="b">
        <f t="shared" si="272"/>
        <v>0</v>
      </c>
      <c r="BU240" s="463">
        <f>IF(ISNA(AT240),0,IF(AND('Data Entry'!$C$74=2,BC240=27),0,IF(AND('Data Entry'!$C$74=2,BC240=28),0,IF(AND(BC240=27,BT240=27,CM240&gt;0.1),CM240*0.15,IF(AND(BC240=28,BT240=28,CM240&gt;0.1),CM240*0.12,0)))))</f>
        <v>0</v>
      </c>
      <c r="BV240" s="463">
        <f t="shared" si="309"/>
        <v>0</v>
      </c>
      <c r="BW240" s="463">
        <f t="shared" si="273"/>
        <v>0</v>
      </c>
      <c r="BX240" s="463">
        <f t="shared" si="274"/>
        <v>0</v>
      </c>
      <c r="BY240" s="463">
        <f t="shared" si="275"/>
        <v>0</v>
      </c>
      <c r="BZ240" s="463">
        <f t="shared" si="276"/>
        <v>0</v>
      </c>
      <c r="CA240" s="57">
        <f t="shared" si="304"/>
        <v>0</v>
      </c>
      <c r="CB240" s="56">
        <f t="shared" si="277"/>
        <v>1</v>
      </c>
      <c r="CC240" s="756">
        <f>IF(EE240=0,0,IF(EF240=0,0,IF(EE240&gt;AA240,0,IF(AND(AZ240&gt;AW240,AW240&gt;0),0,IF(CU240=0,0,Summary!AC543)))))</f>
        <v>0</v>
      </c>
      <c r="CD240" s="756">
        <f>IF(EE240=0,0,IF(EF240=0,0,IF(EE240&gt;AA240,0,IF(AND(AZ240&gt;AW240,AW240&gt;0),0,IF(CU240=0,0,Summary!AD543)))))</f>
        <v>0</v>
      </c>
      <c r="CE240" s="756">
        <f>IF(EF240=0,0,IF(EE240&gt;AA240,0,IF(CC240=0,0,IF(AND(AZ240&gt;AW240,AW240&gt;0),0,IF(CU240=0,0,Summary!AE543)))))</f>
        <v>0</v>
      </c>
      <c r="CF240" s="475">
        <f t="shared" si="278"/>
        <v>0</v>
      </c>
      <c r="CG240" s="476">
        <f t="shared" si="246"/>
        <v>0</v>
      </c>
      <c r="CH240" s="487">
        <f t="shared" si="279"/>
        <v>0</v>
      </c>
      <c r="CI240" s="756">
        <f t="shared" si="280"/>
        <v>0</v>
      </c>
      <c r="CJ240" s="487">
        <f>IF(CT240&gt;0.4,0,IF(AND(AU240=2,CH240=0,CT240=0.5,ER240=100),35,IF(AND(AU240=3,BB240&gt;75,CH240=0,CT240=0.5,ER240=100),25,IF(CB240&gt;1,0,IF(EF240&gt;EE240,0,IF(AND(AF240&gt;1,CH240=100),0,IF(AND(AF240=1,AY240=0),0,IF(AND(EF240&lt;=EE240,AW240&gt;=AZ240,'Data Entry'!$C$74=1,AU240=2),VLOOKUP(W240,$DO$96:$DP$102,2,FALSE),IF(AND(EF240&lt;=EE240,AW240&gt;=AZ240,AU240=3,'Data Entry'!$C$74=1),VLOOKUP(W240,$DO$127:$DP$134,2,FALSE))))))))))</f>
        <v>0</v>
      </c>
      <c r="CK240" s="716">
        <f t="shared" si="281"/>
        <v>0</v>
      </c>
      <c r="CL240" s="57">
        <f t="shared" si="282"/>
        <v>0</v>
      </c>
      <c r="CM240" s="475">
        <f t="shared" si="308"/>
        <v>0</v>
      </c>
      <c r="CN240" s="660">
        <f>IF(CM240&lt;0.1,0,IF(ISNA(AT240),0,IF(CL240+BC240=1,0,IF(BV240&gt;0.01,0,IF(CL240&gt;0.01,0,IF(CF240=1,0,IF(BC240=0.5,0,IF(AND(CI240=1,AU240=3),0,IF(AND(CI240=5,CL240=0),0,IF(AND(R240=12,BR240=50),0,IF(CK240&gt;0.01,0,IF(AND(AJ240&gt;0.01,AU240=2,BC240=15),CM240*0.1,IF(AND(AJ240&gt;0.01,AU240=3,BC240=15),CM240*0.08,IF(AND(R240=12,BC240=3,AF240&lt;=0),0,IF(AND(BC240=15,BI240=0),0,IF(AND(BC240=15,BJ240=0),0,IF(AND(R240=20,CU240=0),0,IF($X$4=0,0,IF(AND(BC240=250,CL240=0),0,IF(AA240&lt;1,0,IF(AND(ISNUMBER(SEARCH("Area",T240)),AU240=3),0,IF(AND(AQ240&gt;0.01,AR240=0,BK240=0,BL240=0,BM240=0,BN240=0),0,IF(AND(AU240=3,CI240=7,CT240&gt;0.5),0,IF(AND(BC240=44,AU240=3,BY240=0),0,IF(AND(BC240=27,'Data Entry'!$C$74=2),0,IF(AND(BC240=28,'Data Entry'!$C$74=2),0,IF(AND(BY240+BZ240+CA240&gt;0.01,BV240=0,EQ240+ER240+ES240+ET240&lt;100),0,IF(AU240=3,CM240*0.08,IF(AU240=2,CM240*0.1,0)))))))))))))))))))))))))))))</f>
        <v>0</v>
      </c>
      <c r="CO240" s="660">
        <f t="shared" si="283"/>
        <v>0</v>
      </c>
      <c r="CP240" s="475" t="str">
        <f t="shared" si="284"/>
        <v/>
      </c>
      <c r="CQ240" s="161" t="str">
        <f>IF(AH240=0,0,IF(AU240=5,0,Summary!AC243))</f>
        <v/>
      </c>
      <c r="CR240" s="161" t="str">
        <f>IF(BF240=0.5,0,IF(AU240=5,0,Summary!AD243))</f>
        <v/>
      </c>
      <c r="CS240" s="161" t="str">
        <f>IF(AU240=5,0,Summary!AE243)</f>
        <v/>
      </c>
      <c r="CT240" s="161">
        <f t="shared" si="285"/>
        <v>0</v>
      </c>
      <c r="CU240" s="475" t="str">
        <f t="shared" si="286"/>
        <v/>
      </c>
      <c r="CV240" s="307">
        <f>IF('Data Entry'!$C$74=0,0,IF(AA240&lt;1,0,IF(ISERROR(CU240),0,IF(CF240=1,0,IF(AND(R240=12,BR240=50),0,IF(CL240+BO240+BV240+DC240=0,0,IF(BC240=37,0,IF(AND(BC240=40,AJ240=0),0,IF(AND(BC240=37,BO240&gt;0.01,BQ240&gt;0.01),ROUND(BQ240,0),IF(CM240&lt;0,0,ROUND(CM240,0)))))))))))</f>
        <v>0</v>
      </c>
      <c r="CW240" s="700">
        <f t="shared" si="287"/>
        <v>0</v>
      </c>
      <c r="CX240" s="477">
        <f>IF('Data Entry'!$C$74=0,0,IF(CV240&lt;0.01,0,IF(BF240=0.5,0,IF(CF240=1,0,IF(ISNUMBER(SEARCH("false",CL240)),0,IF(AZ240=500,0,CL240))))))</f>
        <v>0</v>
      </c>
      <c r="CY240" s="147" t="e">
        <f t="shared" si="288"/>
        <v>#VALUE!</v>
      </c>
      <c r="CZ240" s="147" t="b">
        <f>IF(CN240+CL240=0,FALSE,IF(AH240=0,0,IF(AND('Data Entry'!$C$74=1,CR240&gt;=1),TRUE,IF(AND('Data Entry'!$C$74=2,CS240&gt;=1),TRUE,FALSE))))</f>
        <v>0</v>
      </c>
      <c r="DA240" s="1751">
        <f>IF('Data Entry'!$C$74=0,0,IFERROR(ROUND(IF(T240="","",IF($X$4=0,0,IF(CF240=1,0,IF(BQ240+CV240=0,0,IF(CF240=1,0,IF(CY240&gt;0.01,CY240,IF(CL240&gt;0.01,CL240,IF(CY240&gt;0.01,CY240,IF(BC240=37,BO240,IF(CZ240=FALSE,0,IF(CZ240=TRUE,DC240+DF240,0))))))))))),2),""))</f>
        <v>0</v>
      </c>
      <c r="DB240" s="1752"/>
      <c r="DC240" s="474">
        <f>IF(CN240&lt;0.01,0,IF(AND(BR240=3,CN240&gt;0.01,CT240&gt;0.6,ER240+ES240+ET240&lt;100),0,IF(AND('Data Entry'!$C$74=1,CN240&gt;0.01,CR240&gt;0.99),MIN(CN240:CO240),IF(AND('Data Entry'!$C$74=2,CN240&gt;0.01,CS240&gt;0.99),MIN(CN240:CO240),0))))</f>
        <v>0</v>
      </c>
      <c r="DD240" s="478">
        <f>IF(CF240=1,"Selection does not match",IF(T240=0,0,IF(AND('Data Entry'!$C$74=0,CP240&gt;1),"Select Oregon or Idaho on Data Entry Tab",IF(AND(AU240=1,AA240&gt;0.9),"Missing Interior or Exterior Selection",IF($X$4=0,"Enter Total Project Cost",IF(AQ240&lt;AR240,"Insufficient kWh savings – no incentive",IF(AND(SUM(CL240+CK240+BV240)&gt;0.01,'Data Entry'!$C$74=2,CJ240&gt;1,BO240=0),"Submit Control as Non-Standard",IF(AND('Data Entry'!$C$74=2,BR240=37,CJ240&gt;1,BO240=0),"Submit Control as Non-Standard",IF(SUM(CL240+CK240+BV240)&gt;0.01,"Standard Incentive",IF(AND('Data Entry'!$C$74=2,CP240=7,CN240=0),"Submit as Non-Standard",IF(DC240&gt;0.9,"Non-Standard Incentive",IF(AND(BY240+BZ240+CA240&gt;0.01,BV240=0,EQ240=0,ER240=0,ES240=0,ET240=0),"Scroll Right &amp; Select Control Strategies",IF(AND(CN240&gt;0.01,CO240=0),"Enter Unit Installed Cost",IF(ISNUMBER(SEARCH("Lighting Controls Only",F240)),"Lighting Controls Only",IF(CL240+DC240=0,"Does not meet incentive criteria",0)))))))))))))))</f>
        <v>0</v>
      </c>
      <c r="DE240" s="337">
        <f t="shared" si="289"/>
        <v>0</v>
      </c>
      <c r="DF240" s="609">
        <f t="shared" si="290"/>
        <v>0</v>
      </c>
      <c r="DG240" s="336" t="str">
        <f t="shared" si="291"/>
        <v/>
      </c>
      <c r="DH240" s="338">
        <f t="shared" si="292"/>
        <v>1</v>
      </c>
      <c r="DI240" s="336" t="e">
        <f t="shared" si="247"/>
        <v>#VALUE!</v>
      </c>
      <c r="DJ240" s="338">
        <f t="shared" si="248"/>
        <v>0</v>
      </c>
      <c r="DO240" s="81"/>
      <c r="DP240" s="81"/>
      <c r="DQ240" s="81"/>
      <c r="DR240" s="81"/>
      <c r="DS240" s="1195">
        <f t="shared" si="293"/>
        <v>0</v>
      </c>
      <c r="DT240" s="344" t="b">
        <f t="shared" si="294"/>
        <v>1</v>
      </c>
      <c r="DU240" s="1314" t="str">
        <f t="array" ref="DU240">IF(OR(COUNTIF(F240,"*"&amp;$DK$9:$DK$178&amp;"*")), "Yes", "")</f>
        <v/>
      </c>
      <c r="DV240" s="1314">
        <f t="shared" si="295"/>
        <v>0</v>
      </c>
      <c r="DW240" s="1480">
        <f t="shared" si="296"/>
        <v>0</v>
      </c>
      <c r="DX240" s="1498">
        <f t="shared" si="305"/>
        <v>0</v>
      </c>
      <c r="DY240" s="1484">
        <f t="shared" si="297"/>
        <v>0</v>
      </c>
      <c r="DZ240" s="331"/>
      <c r="EA240" s="392"/>
      <c r="EB240" s="1499" t="s">
        <v>163</v>
      </c>
      <c r="EC240" s="727" t="s">
        <v>1569</v>
      </c>
      <c r="ED240" s="728">
        <v>0.5</v>
      </c>
      <c r="EE240" s="1215"/>
      <c r="EF240" s="1215"/>
      <c r="EG240" s="1184" t="str">
        <f t="shared" si="298"/>
        <v/>
      </c>
      <c r="EH240" s="81"/>
      <c r="EI240" s="81"/>
      <c r="EJ240" s="1185">
        <f t="shared" si="249"/>
        <v>0</v>
      </c>
      <c r="EK240" s="1211"/>
      <c r="EL240" s="1180">
        <f t="shared" si="250"/>
        <v>0</v>
      </c>
      <c r="EM240" s="206"/>
      <c r="EN240" s="1038"/>
      <c r="EO240" s="1038"/>
      <c r="EP240" s="1038"/>
      <c r="EQ240" s="1038">
        <f t="shared" si="299"/>
        <v>0</v>
      </c>
      <c r="ER240" s="1041">
        <f t="shared" si="300"/>
        <v>0</v>
      </c>
      <c r="ES240" s="1042">
        <f t="shared" si="301"/>
        <v>0</v>
      </c>
      <c r="ET240" s="1042">
        <f t="shared" si="306"/>
        <v>0</v>
      </c>
      <c r="EU240" s="1021">
        <f t="shared" si="307"/>
        <v>0</v>
      </c>
      <c r="EV240" s="368"/>
      <c r="EW240" s="368"/>
      <c r="EX240" s="369"/>
      <c r="EY240" s="370"/>
      <c r="EZ240" s="370"/>
      <c r="FA240" s="371"/>
      <c r="FB240" s="372"/>
    </row>
    <row r="241" spans="1:158" ht="34.5" customHeight="1">
      <c r="A241" s="82">
        <v>233</v>
      </c>
      <c r="B241" s="1806"/>
      <c r="C241" s="1807"/>
      <c r="D241" s="1807"/>
      <c r="E241" s="1808"/>
      <c r="F241" s="1809"/>
      <c r="G241" s="1810"/>
      <c r="H241" s="1810"/>
      <c r="I241" s="1811"/>
      <c r="J241" s="1301"/>
      <c r="K241" s="1814"/>
      <c r="L241" s="1814"/>
      <c r="M241" s="1017"/>
      <c r="N241" s="1584"/>
      <c r="O241" s="208" t="str">
        <f t="shared" si="237"/>
        <v/>
      </c>
      <c r="P241" s="785"/>
      <c r="Q241" s="39" t="str">
        <f t="shared" si="238"/>
        <v/>
      </c>
      <c r="R241" s="39">
        <f t="shared" si="251"/>
        <v>0</v>
      </c>
      <c r="S241" s="234">
        <f t="shared" si="252"/>
        <v>0</v>
      </c>
      <c r="T241" s="1815"/>
      <c r="U241" s="1815"/>
      <c r="V241" s="1815"/>
      <c r="W241" s="1121"/>
      <c r="X241" s="1812"/>
      <c r="Y241" s="1813"/>
      <c r="Z241" s="703"/>
      <c r="AA241" s="1280"/>
      <c r="AB241" s="1141"/>
      <c r="AC241" s="1103" t="str">
        <f>IF(T241="","",VLOOKUP(Z241,Lists!$A$60:$B$111,2,FALSE))</f>
        <v/>
      </c>
      <c r="AD241" s="130" t="str">
        <f t="shared" si="253"/>
        <v/>
      </c>
      <c r="AE241" s="130" t="e">
        <f t="shared" si="254"/>
        <v>#VALUE!</v>
      </c>
      <c r="AF241" s="130">
        <f t="shared" si="255"/>
        <v>1</v>
      </c>
      <c r="AG241" s="234">
        <f t="shared" si="239"/>
        <v>0</v>
      </c>
      <c r="AH241" s="1753" t="str">
        <f>IF(T241="","",(IF(ISNUMBER(SEARCH("exit",T241)),8760,IF(AND(M241="Dusk to Dawn",'Proposed Lighting'!AU241=3),4059,IF(AND(AU241=3,M241="1"),0,IF(AND(AU241=3,M241="1-C"),0,IF(AND(AU241=3,M241="2"),0,IF(AND(AU241=3,M241="2-C"),0,IF(AND(AU241=3,M241="3"),0,IF(AND(AU241=3,M241="3-C"),0,IF(AND(AU241=2,M241="Dusk to Dawn"),0,IF(AND(AU241=2,M241="Dusk to Dawn-C"),0,IF(AND(AU241=2,M241="Dusk to Dawn"),0,IF(AND(AU241=2,M241="E"),0,IF(AND(AU241=2,M241="E-C"),0,EG241)))))))))))))))</f>
        <v/>
      </c>
      <c r="AI241" s="1754"/>
      <c r="AJ241" s="1136"/>
      <c r="AK241" s="1136"/>
      <c r="AL241" s="1748">
        <f t="shared" si="256"/>
        <v>0</v>
      </c>
      <c r="AM241" s="1749"/>
      <c r="AN241" s="1750"/>
      <c r="AO241" s="476">
        <f t="shared" si="240"/>
        <v>0</v>
      </c>
      <c r="AP241" s="476">
        <f t="shared" si="257"/>
        <v>0</v>
      </c>
      <c r="AQ241" s="475">
        <f t="shared" si="241"/>
        <v>0</v>
      </c>
      <c r="AR241" s="475">
        <f t="shared" si="258"/>
        <v>0</v>
      </c>
      <c r="AS241" s="743" t="str">
        <f t="shared" si="310"/>
        <v/>
      </c>
      <c r="AT241" s="736" t="str">
        <f t="shared" si="259"/>
        <v/>
      </c>
      <c r="AU241" s="56">
        <f t="shared" si="260"/>
        <v>1</v>
      </c>
      <c r="AV241" s="476">
        <f t="shared" si="261"/>
        <v>0</v>
      </c>
      <c r="AW241" s="56">
        <f t="shared" si="262"/>
        <v>0</v>
      </c>
      <c r="AX241" s="475">
        <f t="shared" si="242"/>
        <v>0</v>
      </c>
      <c r="AY241" s="1169">
        <f t="shared" si="263"/>
        <v>0</v>
      </c>
      <c r="AZ241" s="1150">
        <f t="shared" si="302"/>
        <v>0</v>
      </c>
      <c r="BA241" s="56">
        <f t="shared" si="243"/>
        <v>0</v>
      </c>
      <c r="BB241" s="420">
        <f t="shared" si="244"/>
        <v>0</v>
      </c>
      <c r="BC241" s="58" t="str">
        <f t="shared" si="245"/>
        <v/>
      </c>
      <c r="BD241" s="660">
        <f t="shared" si="303"/>
        <v>0</v>
      </c>
      <c r="BE241" s="57" t="e">
        <f t="array" ref="BE241">INDEX($EB$11:$ED$1022,MATCH(F241&amp;T241,$EB$11:$EB$1007&amp;$EC$11:$EC$1007,0),3)</f>
        <v>#N/A</v>
      </c>
      <c r="BF241" s="463">
        <f t="shared" si="311"/>
        <v>0</v>
      </c>
      <c r="BG241" s="1445" t="e">
        <f t="array" ref="BG241">INDEX($DO$112:$DQ$123,MATCH(T241&amp;W241,$DO$114:$DO$125&amp;$DP$112:$DP$123,0),3)</f>
        <v>#N/A</v>
      </c>
      <c r="BH241" s="1446">
        <f t="shared" si="264"/>
        <v>0</v>
      </c>
      <c r="BI241" s="465">
        <f t="shared" si="265"/>
        <v>0</v>
      </c>
      <c r="BJ241" s="465">
        <f t="shared" si="266"/>
        <v>0</v>
      </c>
      <c r="BK241" s="466">
        <f t="shared" si="312"/>
        <v>0</v>
      </c>
      <c r="BL241" s="466">
        <f t="shared" si="313"/>
        <v>0</v>
      </c>
      <c r="BM241" s="466">
        <f t="shared" si="267"/>
        <v>0</v>
      </c>
      <c r="BN241" s="466">
        <f t="shared" si="268"/>
        <v>0</v>
      </c>
      <c r="BO241" s="463">
        <f>IF('Data Entry'!$C$74=0,0,IF(ISNA(CJ241),0,IF(AX241=0,0,IF(AND('Data Entry'!$C$74=2,AF241&gt;2,CE241&lt;1),0,IF(AND('Data Entry'!$C$74=2,AF241&gt;1,AU241=2,CJ241&gt;1),0,IF(AND(AF241=5,CT241=0.5,AU241=2,ER241&lt;100),0,IF(AND(AF241=5,CT241=0.5,AU241=3,ER241&lt;100),0,IF(AND('Data Entry'!$C$74=2,AF241=2,AU241=2,AK241&gt;0.01,CB241=2,CE241&lt;1),0,IF(AND('Data Entry'!$C$74=2,AF241=3,AU241=3,AK241&gt;0.01,CB241=3,CE241&lt;1),0,IF(AND('Data Entry'!$C$74=2,AF241=3,AU241=3,AK241&gt;0.01,CB241=3,CE241&gt;0.99),BQ241*0.08,IF(AND('Data Entry'!$C$74=2,AF241=2,AU241=2,AK241&gt;0.01,CB241=2,CE241&gt;0.99),BQ241*0.1,IF(AND(AU241=2,AK241&gt;0.01,CB241=2,CD241&gt;1),BQ241*0.1,IF(AND(AU241=3,AK241&gt;0.01,CB241=3,CD241&gt;1),BQ241*0.08,CJ241*EF241)))))))))))))</f>
        <v>0</v>
      </c>
      <c r="BP241" s="475">
        <f t="shared" si="269"/>
        <v>0</v>
      </c>
      <c r="BQ241" s="1431">
        <f>IF(AU241=1,0,IF(CH241=100,0,IF(AND(AF241=3,AU241=2),0,IF(AND(BH241=0,CT241&gt;0.4),0,IF(AND('Data Entry'!$C$74=2,AF241=1.5),0,IF(AND('Data Entry'!$C$74=2,AF241=1.6),0,IF(AND('Data Entry'!$C$74=2,AF241=4),0,IF(AND('Data Entry'!$C$74=2,AF241=5),0,IF(AND('Data Entry'!$C$74=2,AF241=2.5,CE241&lt;1),0,IF(AND('Data Entry'!$C$74=2,AF241=3,CE241&lt;1),0,IF(AND('Data Entry'!$C$74=1,AF241=2.5,CD241&lt;1),0,IF(AND('Data Entry'!$C$74=1,AF241=3,CD241&lt;1),0,IF(DX241&gt;0.01,DX241,IF(ISERROR(AX241-AY241),"",ROUND(AX241-AY241,2)))))))))))))))</f>
        <v>0</v>
      </c>
      <c r="BR241" s="146">
        <f t="shared" si="270"/>
        <v>0</v>
      </c>
      <c r="BS241" s="475">
        <f t="shared" si="271"/>
        <v>0</v>
      </c>
      <c r="BT241" s="146" t="b">
        <f t="shared" si="272"/>
        <v>0</v>
      </c>
      <c r="BU241" s="463">
        <f>IF(ISNA(AT241),0,IF(AND('Data Entry'!$C$74=2,BC241=27),0,IF(AND('Data Entry'!$C$74=2,BC241=28),0,IF(AND(BC241=27,BT241=27,CM241&gt;0.1),CM241*0.15,IF(AND(BC241=28,BT241=28,CM241&gt;0.1),CM241*0.12,0)))))</f>
        <v>0</v>
      </c>
      <c r="BV241" s="463">
        <f t="shared" si="309"/>
        <v>0</v>
      </c>
      <c r="BW241" s="463">
        <f t="shared" si="273"/>
        <v>0</v>
      </c>
      <c r="BX241" s="463">
        <f t="shared" si="274"/>
        <v>0</v>
      </c>
      <c r="BY241" s="463">
        <f t="shared" si="275"/>
        <v>0</v>
      </c>
      <c r="BZ241" s="463">
        <f t="shared" si="276"/>
        <v>0</v>
      </c>
      <c r="CA241" s="57">
        <f t="shared" si="304"/>
        <v>0</v>
      </c>
      <c r="CB241" s="56">
        <f t="shared" si="277"/>
        <v>1</v>
      </c>
      <c r="CC241" s="756">
        <f>IF(EE241=0,0,IF(EF241=0,0,IF(EE241&gt;AA241,0,IF(AND(AZ241&gt;AW241,AW241&gt;0),0,IF(CU241=0,0,Summary!AC544)))))</f>
        <v>0</v>
      </c>
      <c r="CD241" s="756">
        <f>IF(EE241=0,0,IF(EF241=0,0,IF(EE241&gt;AA241,0,IF(AND(AZ241&gt;AW241,AW241&gt;0),0,IF(CU241=0,0,Summary!AD544)))))</f>
        <v>0</v>
      </c>
      <c r="CE241" s="756">
        <f>IF(EF241=0,0,IF(EE241&gt;AA241,0,IF(CC241=0,0,IF(AND(AZ241&gt;AW241,AW241&gt;0),0,IF(CU241=0,0,Summary!AE544)))))</f>
        <v>0</v>
      </c>
      <c r="CF241" s="475">
        <f t="shared" si="278"/>
        <v>0</v>
      </c>
      <c r="CG241" s="476">
        <f t="shared" si="246"/>
        <v>0</v>
      </c>
      <c r="CH241" s="487">
        <f t="shared" si="279"/>
        <v>0</v>
      </c>
      <c r="CI241" s="756">
        <f t="shared" si="280"/>
        <v>0</v>
      </c>
      <c r="CJ241" s="487">
        <f>IF(CT241&gt;0.4,0,IF(AND(AU241=2,CH241=0,CT241=0.5,ER241=100),35,IF(AND(AU241=3,BB241&gt;75,CH241=0,CT241=0.5,ER241=100),25,IF(CB241&gt;1,0,IF(EF241&gt;EE241,0,IF(AND(AF241&gt;1,CH241=100),0,IF(AND(AF241=1,AY241=0),0,IF(AND(EF241&lt;=EE241,AW241&gt;=AZ241,'Data Entry'!$C$74=1,AU241=2),VLOOKUP(W241,$DO$96:$DP$102,2,FALSE),IF(AND(EF241&lt;=EE241,AW241&gt;=AZ241,AU241=3,'Data Entry'!$C$74=1),VLOOKUP(W241,$DO$127:$DP$134,2,FALSE))))))))))</f>
        <v>0</v>
      </c>
      <c r="CK241" s="716">
        <f t="shared" si="281"/>
        <v>0</v>
      </c>
      <c r="CL241" s="57">
        <f t="shared" si="282"/>
        <v>0</v>
      </c>
      <c r="CM241" s="475">
        <f t="shared" si="308"/>
        <v>0</v>
      </c>
      <c r="CN241" s="660">
        <f>IF(CM241&lt;0.1,0,IF(ISNA(AT241),0,IF(CL241+BC241=1,0,IF(BV241&gt;0.01,0,IF(CL241&gt;0.01,0,IF(CF241=1,0,IF(BC241=0.5,0,IF(AND(CI241=1,AU241=3),0,IF(AND(CI241=5,CL241=0),0,IF(AND(R241=12,BR241=50),0,IF(CK241&gt;0.01,0,IF(AND(AJ241&gt;0.01,AU241=2,BC241=15),CM241*0.1,IF(AND(AJ241&gt;0.01,AU241=3,BC241=15),CM241*0.08,IF(AND(R241=12,BC241=3,AF241&lt;=0),0,IF(AND(BC241=15,BI241=0),0,IF(AND(BC241=15,BJ241=0),0,IF(AND(R241=20,CU241=0),0,IF($X$4=0,0,IF(AND(BC241=250,CL241=0),0,IF(AA241&lt;1,0,IF(AND(ISNUMBER(SEARCH("Area",T241)),AU241=3),0,IF(AND(AQ241&gt;0.01,AR241=0,BK241=0,BL241=0,BM241=0,BN241=0),0,IF(AND(AU241=3,CI241=7,CT241&gt;0.5),0,IF(AND(BC241=44,AU241=3,BY241=0),0,IF(AND(BC241=27,'Data Entry'!$C$74=2),0,IF(AND(BC241=28,'Data Entry'!$C$74=2),0,IF(AND(BY241+BZ241+CA241&gt;0.01,BV241=0,EQ241+ER241+ES241+ET241&lt;100),0,IF(AU241=3,CM241*0.08,IF(AU241=2,CM241*0.1,0)))))))))))))))))))))))))))))</f>
        <v>0</v>
      </c>
      <c r="CO241" s="660">
        <f t="shared" si="283"/>
        <v>0</v>
      </c>
      <c r="CP241" s="475" t="str">
        <f t="shared" si="284"/>
        <v/>
      </c>
      <c r="CQ241" s="161" t="str">
        <f>IF(AH241=0,0,IF(AU241=5,0,Summary!AC244))</f>
        <v/>
      </c>
      <c r="CR241" s="161" t="str">
        <f>IF(BF241=0.5,0,IF(AU241=5,0,Summary!AD244))</f>
        <v/>
      </c>
      <c r="CS241" s="161" t="str">
        <f>IF(AU241=5,0,Summary!AE244)</f>
        <v/>
      </c>
      <c r="CT241" s="161">
        <f t="shared" si="285"/>
        <v>0</v>
      </c>
      <c r="CU241" s="475" t="str">
        <f t="shared" si="286"/>
        <v/>
      </c>
      <c r="CV241" s="307">
        <f>IF('Data Entry'!$C$74=0,0,IF(AA241&lt;1,0,IF(ISERROR(CU241),0,IF(CF241=1,0,IF(AND(R241=12,BR241=50),0,IF(CL241+BO241+BV241+DC241=0,0,IF(BC241=37,0,IF(AND(BC241=40,AJ241=0),0,IF(AND(BC241=37,BO241&gt;0.01,BQ241&gt;0.01),ROUND(BQ241,0),IF(CM241&lt;0,0,ROUND(CM241,0)))))))))))</f>
        <v>0</v>
      </c>
      <c r="CW241" s="700">
        <f t="shared" si="287"/>
        <v>0</v>
      </c>
      <c r="CX241" s="477">
        <f>IF('Data Entry'!$C$74=0,0,IF(CV241&lt;0.01,0,IF(BF241=0.5,0,IF(CF241=1,0,IF(ISNUMBER(SEARCH("false",CL241)),0,IF(AZ241=500,0,CL241))))))</f>
        <v>0</v>
      </c>
      <c r="CY241" s="147" t="e">
        <f t="shared" si="288"/>
        <v>#VALUE!</v>
      </c>
      <c r="CZ241" s="147" t="b">
        <f>IF(CN241+CL241=0,FALSE,IF(AH241=0,0,IF(AND('Data Entry'!$C$74=1,CR241&gt;=1),TRUE,IF(AND('Data Entry'!$C$74=2,CS241&gt;=1),TRUE,FALSE))))</f>
        <v>0</v>
      </c>
      <c r="DA241" s="1751">
        <f>IF('Data Entry'!$C$74=0,0,IFERROR(ROUND(IF(T241="","",IF($X$4=0,0,IF(CF241=1,0,IF(BQ241+CV241=0,0,IF(CF241=1,0,IF(CY241&gt;0.01,CY241,IF(CL241&gt;0.01,CL241,IF(CY241&gt;0.01,CY241,IF(BC241=37,BO241,IF(CZ241=FALSE,0,IF(CZ241=TRUE,DC241+DF241,0))))))))))),2),""))</f>
        <v>0</v>
      </c>
      <c r="DB241" s="1752"/>
      <c r="DC241" s="474">
        <f>IF(CN241&lt;0.01,0,IF(AND(BR241=3,CN241&gt;0.01,CT241&gt;0.6,ER241+ES241+ET241&lt;100),0,IF(AND('Data Entry'!$C$74=1,CN241&gt;0.01,CR241&gt;0.99),MIN(CN241:CO241),IF(AND('Data Entry'!$C$74=2,CN241&gt;0.01,CS241&gt;0.99),MIN(CN241:CO241),0))))</f>
        <v>0</v>
      </c>
      <c r="DD241" s="478">
        <f>IF(CF241=1,"Selection does not match",IF(T241=0,0,IF(AND('Data Entry'!$C$74=0,CP241&gt;1),"Select Oregon or Idaho on Data Entry Tab",IF(AND(AU241=1,AA241&gt;0.9),"Missing Interior or Exterior Selection",IF($X$4=0,"Enter Total Project Cost",IF(AQ241&lt;AR241,"Insufficient kWh savings – no incentive",IF(AND(SUM(CL241+CK241+BV241)&gt;0.01,'Data Entry'!$C$74=2,CJ241&gt;1,BO241=0),"Submit Control as Non-Standard",IF(AND('Data Entry'!$C$74=2,BR241=37,CJ241&gt;1,BO241=0),"Submit Control as Non-Standard",IF(SUM(CL241+CK241+BV241)&gt;0.01,"Standard Incentive",IF(AND('Data Entry'!$C$74=2,CP241=7,CN241=0),"Submit as Non-Standard",IF(DC241&gt;0.9,"Non-Standard Incentive",IF(AND(BY241+BZ241+CA241&gt;0.01,BV241=0,EQ241=0,ER241=0,ES241=0,ET241=0),"Scroll Right &amp; Select Control Strategies",IF(AND(CN241&gt;0.01,CO241=0),"Enter Unit Installed Cost",IF(ISNUMBER(SEARCH("Lighting Controls Only",F241)),"Lighting Controls Only",IF(CL241+DC241=0,"Does not meet incentive criteria",0)))))))))))))))</f>
        <v>0</v>
      </c>
      <c r="DE241" s="337">
        <f t="shared" si="289"/>
        <v>0</v>
      </c>
      <c r="DF241" s="609">
        <f t="shared" si="290"/>
        <v>0</v>
      </c>
      <c r="DG241" s="336" t="str">
        <f t="shared" si="291"/>
        <v/>
      </c>
      <c r="DH241" s="338">
        <f t="shared" si="292"/>
        <v>1</v>
      </c>
      <c r="DI241" s="336" t="e">
        <f t="shared" si="247"/>
        <v>#VALUE!</v>
      </c>
      <c r="DJ241" s="338">
        <f t="shared" si="248"/>
        <v>0</v>
      </c>
      <c r="DO241" s="81"/>
      <c r="DP241" s="81"/>
      <c r="DQ241" s="81"/>
      <c r="DR241" s="81"/>
      <c r="DS241" s="1195">
        <f t="shared" si="293"/>
        <v>0</v>
      </c>
      <c r="DT241" s="344" t="b">
        <f t="shared" si="294"/>
        <v>1</v>
      </c>
      <c r="DU241" s="1314" t="str">
        <f t="array" ref="DU241">IF(OR(COUNTIF(F241,"*"&amp;$DK$9:$DK$178&amp;"*")), "Yes", "")</f>
        <v/>
      </c>
      <c r="DV241" s="1314">
        <f t="shared" si="295"/>
        <v>0</v>
      </c>
      <c r="DW241" s="1480">
        <f t="shared" si="296"/>
        <v>0</v>
      </c>
      <c r="DX241" s="1498">
        <f t="shared" si="305"/>
        <v>0</v>
      </c>
      <c r="DY241" s="1484">
        <f t="shared" si="297"/>
        <v>0</v>
      </c>
      <c r="DZ241" s="331"/>
      <c r="EA241" s="392"/>
      <c r="EB241" s="1499" t="s">
        <v>164</v>
      </c>
      <c r="EC241" s="727" t="s">
        <v>1569</v>
      </c>
      <c r="ED241" s="728">
        <v>0.5</v>
      </c>
      <c r="EE241" s="1215"/>
      <c r="EF241" s="1215"/>
      <c r="EG241" s="1184" t="str">
        <f t="shared" si="298"/>
        <v/>
      </c>
      <c r="EH241" s="81"/>
      <c r="EI241" s="81"/>
      <c r="EJ241" s="1185">
        <f t="shared" si="249"/>
        <v>0</v>
      </c>
      <c r="EK241" s="1211"/>
      <c r="EL241" s="1180">
        <f t="shared" si="250"/>
        <v>0</v>
      </c>
      <c r="EM241" s="206"/>
      <c r="EN241" s="1038"/>
      <c r="EO241" s="1038"/>
      <c r="EP241" s="1038"/>
      <c r="EQ241" s="1038">
        <f t="shared" si="299"/>
        <v>0</v>
      </c>
      <c r="ER241" s="1041">
        <f t="shared" si="300"/>
        <v>0</v>
      </c>
      <c r="ES241" s="1042">
        <f t="shared" si="301"/>
        <v>0</v>
      </c>
      <c r="ET241" s="1042">
        <f t="shared" si="306"/>
        <v>0</v>
      </c>
      <c r="EU241" s="1021">
        <f t="shared" si="307"/>
        <v>0</v>
      </c>
      <c r="EV241" s="368"/>
      <c r="EW241" s="368"/>
      <c r="EX241" s="369"/>
      <c r="EY241" s="370"/>
      <c r="EZ241" s="370"/>
      <c r="FA241" s="371"/>
      <c r="FB241" s="372"/>
    </row>
    <row r="242" spans="1:158" ht="34.5" customHeight="1">
      <c r="A242" s="82">
        <v>234</v>
      </c>
      <c r="B242" s="1806"/>
      <c r="C242" s="1807"/>
      <c r="D242" s="1807"/>
      <c r="E242" s="1808"/>
      <c r="F242" s="1809"/>
      <c r="G242" s="1810"/>
      <c r="H242" s="1810"/>
      <c r="I242" s="1811"/>
      <c r="J242" s="1301"/>
      <c r="K242" s="1814"/>
      <c r="L242" s="1814"/>
      <c r="M242" s="1017"/>
      <c r="N242" s="1584"/>
      <c r="O242" s="208" t="str">
        <f t="shared" si="237"/>
        <v/>
      </c>
      <c r="P242" s="785"/>
      <c r="Q242" s="39" t="str">
        <f t="shared" si="238"/>
        <v/>
      </c>
      <c r="R242" s="39">
        <f t="shared" si="251"/>
        <v>0</v>
      </c>
      <c r="S242" s="234">
        <f t="shared" si="252"/>
        <v>0</v>
      </c>
      <c r="T242" s="1815"/>
      <c r="U242" s="1815"/>
      <c r="V242" s="1815"/>
      <c r="W242" s="1121"/>
      <c r="X242" s="1812"/>
      <c r="Y242" s="1813"/>
      <c r="Z242" s="703"/>
      <c r="AA242" s="1280"/>
      <c r="AB242" s="1141"/>
      <c r="AC242" s="1103" t="str">
        <f>IF(T242="","",VLOOKUP(Z242,Lists!$A$60:$B$111,2,FALSE))</f>
        <v/>
      </c>
      <c r="AD242" s="130" t="str">
        <f t="shared" si="253"/>
        <v/>
      </c>
      <c r="AE242" s="130" t="e">
        <f t="shared" si="254"/>
        <v>#VALUE!</v>
      </c>
      <c r="AF242" s="130">
        <f t="shared" si="255"/>
        <v>1</v>
      </c>
      <c r="AG242" s="234">
        <f t="shared" si="239"/>
        <v>0</v>
      </c>
      <c r="AH242" s="1753" t="str">
        <f>IF(T242="","",(IF(ISNUMBER(SEARCH("exit",T242)),8760,IF(AND(M242="Dusk to Dawn",'Proposed Lighting'!AU242=3),4059,IF(AND(AU242=3,M242="1"),0,IF(AND(AU242=3,M242="1-C"),0,IF(AND(AU242=3,M242="2"),0,IF(AND(AU242=3,M242="2-C"),0,IF(AND(AU242=3,M242="3"),0,IF(AND(AU242=3,M242="3-C"),0,IF(AND(AU242=2,M242="Dusk to Dawn"),0,IF(AND(AU242=2,M242="Dusk to Dawn-C"),0,IF(AND(AU242=2,M242="Dusk to Dawn"),0,IF(AND(AU242=2,M242="E"),0,IF(AND(AU242=2,M242="E-C"),0,EG242)))))))))))))))</f>
        <v/>
      </c>
      <c r="AI242" s="1754"/>
      <c r="AJ242" s="1136"/>
      <c r="AK242" s="1136"/>
      <c r="AL242" s="1748">
        <f t="shared" si="256"/>
        <v>0</v>
      </c>
      <c r="AM242" s="1749"/>
      <c r="AN242" s="1750"/>
      <c r="AO242" s="476">
        <f t="shared" si="240"/>
        <v>0</v>
      </c>
      <c r="AP242" s="476">
        <f t="shared" si="257"/>
        <v>0</v>
      </c>
      <c r="AQ242" s="475">
        <f t="shared" si="241"/>
        <v>0</v>
      </c>
      <c r="AR242" s="475">
        <f t="shared" si="258"/>
        <v>0</v>
      </c>
      <c r="AS242" s="743" t="str">
        <f t="shared" si="310"/>
        <v/>
      </c>
      <c r="AT242" s="736" t="str">
        <f t="shared" si="259"/>
        <v/>
      </c>
      <c r="AU242" s="56">
        <f t="shared" si="260"/>
        <v>1</v>
      </c>
      <c r="AV242" s="476">
        <f t="shared" si="261"/>
        <v>0</v>
      </c>
      <c r="AW242" s="56">
        <f t="shared" si="262"/>
        <v>0</v>
      </c>
      <c r="AX242" s="475">
        <f t="shared" si="242"/>
        <v>0</v>
      </c>
      <c r="AY242" s="1169">
        <f t="shared" si="263"/>
        <v>0</v>
      </c>
      <c r="AZ242" s="1150">
        <f t="shared" si="302"/>
        <v>0</v>
      </c>
      <c r="BA242" s="56">
        <f t="shared" si="243"/>
        <v>0</v>
      </c>
      <c r="BB242" s="420">
        <f t="shared" si="244"/>
        <v>0</v>
      </c>
      <c r="BC242" s="58" t="str">
        <f t="shared" si="245"/>
        <v/>
      </c>
      <c r="BD242" s="660">
        <f t="shared" si="303"/>
        <v>0</v>
      </c>
      <c r="BE242" s="57" t="e">
        <f t="array" ref="BE242">INDEX($EB$11:$ED$1022,MATCH(F242&amp;T242,$EB$11:$EB$1007&amp;$EC$11:$EC$1007,0),3)</f>
        <v>#N/A</v>
      </c>
      <c r="BF242" s="463">
        <f t="shared" si="311"/>
        <v>0</v>
      </c>
      <c r="BG242" s="1445" t="e">
        <f t="array" ref="BG242">INDEX($DO$112:$DQ$123,MATCH(T242&amp;W242,$DO$114:$DO$125&amp;$DP$112:$DP$123,0),3)</f>
        <v>#N/A</v>
      </c>
      <c r="BH242" s="1446">
        <f t="shared" si="264"/>
        <v>0</v>
      </c>
      <c r="BI242" s="465">
        <f t="shared" si="265"/>
        <v>0</v>
      </c>
      <c r="BJ242" s="465">
        <f t="shared" si="266"/>
        <v>0</v>
      </c>
      <c r="BK242" s="466">
        <f t="shared" si="312"/>
        <v>0</v>
      </c>
      <c r="BL242" s="466">
        <f t="shared" si="313"/>
        <v>0</v>
      </c>
      <c r="BM242" s="466">
        <f t="shared" si="267"/>
        <v>0</v>
      </c>
      <c r="BN242" s="466">
        <f t="shared" si="268"/>
        <v>0</v>
      </c>
      <c r="BO242" s="463">
        <f>IF('Data Entry'!$C$74=0,0,IF(ISNA(CJ242),0,IF(AX242=0,0,IF(AND('Data Entry'!$C$74=2,AF242&gt;2,CE242&lt;1),0,IF(AND('Data Entry'!$C$74=2,AF242&gt;1,AU242=2,CJ242&gt;1),0,IF(AND(AF242=5,CT242=0.5,AU242=2,ER242&lt;100),0,IF(AND(AF242=5,CT242=0.5,AU242=3,ER242&lt;100),0,IF(AND('Data Entry'!$C$74=2,AF242=2,AU242=2,AK242&gt;0.01,CB242=2,CE242&lt;1),0,IF(AND('Data Entry'!$C$74=2,AF242=3,AU242=3,AK242&gt;0.01,CB242=3,CE242&lt;1),0,IF(AND('Data Entry'!$C$74=2,AF242=3,AU242=3,AK242&gt;0.01,CB242=3,CE242&gt;0.99),BQ242*0.08,IF(AND('Data Entry'!$C$74=2,AF242=2,AU242=2,AK242&gt;0.01,CB242=2,CE242&gt;0.99),BQ242*0.1,IF(AND(AU242=2,AK242&gt;0.01,CB242=2,CD242&gt;1),BQ242*0.1,IF(AND(AU242=3,AK242&gt;0.01,CB242=3,CD242&gt;1),BQ242*0.08,CJ242*EF242)))))))))))))</f>
        <v>0</v>
      </c>
      <c r="BP242" s="475">
        <f t="shared" si="269"/>
        <v>0</v>
      </c>
      <c r="BQ242" s="1431">
        <f>IF(AU242=1,0,IF(CH242=100,0,IF(AND(AF242=3,AU242=2),0,IF(AND(BH242=0,CT242&gt;0.4),0,IF(AND('Data Entry'!$C$74=2,AF242=1.5),0,IF(AND('Data Entry'!$C$74=2,AF242=1.6),0,IF(AND('Data Entry'!$C$74=2,AF242=4),0,IF(AND('Data Entry'!$C$74=2,AF242=5),0,IF(AND('Data Entry'!$C$74=2,AF242=2.5,CE242&lt;1),0,IF(AND('Data Entry'!$C$74=2,AF242=3,CE242&lt;1),0,IF(AND('Data Entry'!$C$74=1,AF242=2.5,CD242&lt;1),0,IF(AND('Data Entry'!$C$74=1,AF242=3,CD242&lt;1),0,IF(DX242&gt;0.01,DX242,IF(ISERROR(AX242-AY242),"",ROUND(AX242-AY242,2)))))))))))))))</f>
        <v>0</v>
      </c>
      <c r="BR242" s="146">
        <f t="shared" si="270"/>
        <v>0</v>
      </c>
      <c r="BS242" s="475">
        <f t="shared" si="271"/>
        <v>0</v>
      </c>
      <c r="BT242" s="146" t="b">
        <f t="shared" si="272"/>
        <v>0</v>
      </c>
      <c r="BU242" s="463">
        <f>IF(ISNA(AT242),0,IF(AND('Data Entry'!$C$74=2,BC242=27),0,IF(AND('Data Entry'!$C$74=2,BC242=28),0,IF(AND(BC242=27,BT242=27,CM242&gt;0.1),CM242*0.15,IF(AND(BC242=28,BT242=28,CM242&gt;0.1),CM242*0.12,0)))))</f>
        <v>0</v>
      </c>
      <c r="BV242" s="463">
        <f t="shared" si="309"/>
        <v>0</v>
      </c>
      <c r="BW242" s="463">
        <f t="shared" si="273"/>
        <v>0</v>
      </c>
      <c r="BX242" s="463">
        <f t="shared" si="274"/>
        <v>0</v>
      </c>
      <c r="BY242" s="463">
        <f t="shared" si="275"/>
        <v>0</v>
      </c>
      <c r="BZ242" s="463">
        <f t="shared" si="276"/>
        <v>0</v>
      </c>
      <c r="CA242" s="57">
        <f t="shared" si="304"/>
        <v>0</v>
      </c>
      <c r="CB242" s="56">
        <f t="shared" si="277"/>
        <v>1</v>
      </c>
      <c r="CC242" s="756">
        <f>IF(EE242=0,0,IF(EF242=0,0,IF(EE242&gt;AA242,0,IF(AND(AZ242&gt;AW242,AW242&gt;0),0,IF(CU242=0,0,Summary!AC545)))))</f>
        <v>0</v>
      </c>
      <c r="CD242" s="756">
        <f>IF(EE242=0,0,IF(EF242=0,0,IF(EE242&gt;AA242,0,IF(AND(AZ242&gt;AW242,AW242&gt;0),0,IF(CU242=0,0,Summary!AD545)))))</f>
        <v>0</v>
      </c>
      <c r="CE242" s="756">
        <f>IF(EF242=0,0,IF(EE242&gt;AA242,0,IF(CC242=0,0,IF(AND(AZ242&gt;AW242,AW242&gt;0),0,IF(CU242=0,0,Summary!AE545)))))</f>
        <v>0</v>
      </c>
      <c r="CF242" s="475">
        <f t="shared" si="278"/>
        <v>0</v>
      </c>
      <c r="CG242" s="476">
        <f t="shared" si="246"/>
        <v>0</v>
      </c>
      <c r="CH242" s="487">
        <f t="shared" si="279"/>
        <v>0</v>
      </c>
      <c r="CI242" s="756">
        <f t="shared" si="280"/>
        <v>0</v>
      </c>
      <c r="CJ242" s="487">
        <f>IF(CT242&gt;0.4,0,IF(AND(AU242=2,CH242=0,CT242=0.5,ER242=100),35,IF(AND(AU242=3,BB242&gt;75,CH242=0,CT242=0.5,ER242=100),25,IF(CB242&gt;1,0,IF(EF242&gt;EE242,0,IF(AND(AF242&gt;1,CH242=100),0,IF(AND(AF242=1,AY242=0),0,IF(AND(EF242&lt;=EE242,AW242&gt;=AZ242,'Data Entry'!$C$74=1,AU242=2),VLOOKUP(W242,$DO$96:$DP$102,2,FALSE),IF(AND(EF242&lt;=EE242,AW242&gt;=AZ242,AU242=3,'Data Entry'!$C$74=1),VLOOKUP(W242,$DO$127:$DP$134,2,FALSE))))))))))</f>
        <v>0</v>
      </c>
      <c r="CK242" s="716">
        <f t="shared" si="281"/>
        <v>0</v>
      </c>
      <c r="CL242" s="57">
        <f t="shared" si="282"/>
        <v>0</v>
      </c>
      <c r="CM242" s="475">
        <f t="shared" si="308"/>
        <v>0</v>
      </c>
      <c r="CN242" s="660">
        <f>IF(CM242&lt;0.1,0,IF(ISNA(AT242),0,IF(CL242+BC242=1,0,IF(BV242&gt;0.01,0,IF(CL242&gt;0.01,0,IF(CF242=1,0,IF(BC242=0.5,0,IF(AND(CI242=1,AU242=3),0,IF(AND(CI242=5,CL242=0),0,IF(AND(R242=12,BR242=50),0,IF(CK242&gt;0.01,0,IF(AND(AJ242&gt;0.01,AU242=2,BC242=15),CM242*0.1,IF(AND(AJ242&gt;0.01,AU242=3,BC242=15),CM242*0.08,IF(AND(R242=12,BC242=3,AF242&lt;=0),0,IF(AND(BC242=15,BI242=0),0,IF(AND(BC242=15,BJ242=0),0,IF(AND(R242=20,CU242=0),0,IF($X$4=0,0,IF(AND(BC242=250,CL242=0),0,IF(AA242&lt;1,0,IF(AND(ISNUMBER(SEARCH("Area",T242)),AU242=3),0,IF(AND(AQ242&gt;0.01,AR242=0,BK242=0,BL242=0,BM242=0,BN242=0),0,IF(AND(AU242=3,CI242=7,CT242&gt;0.5),0,IF(AND(BC242=44,AU242=3,BY242=0),0,IF(AND(BC242=27,'Data Entry'!$C$74=2),0,IF(AND(BC242=28,'Data Entry'!$C$74=2),0,IF(AND(BY242+BZ242+CA242&gt;0.01,BV242=0,EQ242+ER242+ES242+ET242&lt;100),0,IF(AU242=3,CM242*0.08,IF(AU242=2,CM242*0.1,0)))))))))))))))))))))))))))))</f>
        <v>0</v>
      </c>
      <c r="CO242" s="660">
        <f t="shared" si="283"/>
        <v>0</v>
      </c>
      <c r="CP242" s="475" t="str">
        <f t="shared" si="284"/>
        <v/>
      </c>
      <c r="CQ242" s="161" t="str">
        <f>IF(AH242=0,0,IF(AU242=5,0,Summary!AC245))</f>
        <v/>
      </c>
      <c r="CR242" s="161" t="str">
        <f>IF(BF242=0.5,0,IF(AU242=5,0,Summary!AD245))</f>
        <v/>
      </c>
      <c r="CS242" s="161" t="str">
        <f>IF(AU242=5,0,Summary!AE245)</f>
        <v/>
      </c>
      <c r="CT242" s="161">
        <f t="shared" si="285"/>
        <v>0</v>
      </c>
      <c r="CU242" s="475" t="str">
        <f t="shared" si="286"/>
        <v/>
      </c>
      <c r="CV242" s="307">
        <f>IF('Data Entry'!$C$74=0,0,IF(AA242&lt;1,0,IF(ISERROR(CU242),0,IF(CF242=1,0,IF(AND(R242=12,BR242=50),0,IF(CL242+BO242+BV242+DC242=0,0,IF(BC242=37,0,IF(AND(BC242=40,AJ242=0),0,IF(AND(BC242=37,BO242&gt;0.01,BQ242&gt;0.01),ROUND(BQ242,0),IF(CM242&lt;0,0,ROUND(CM242,0)))))))))))</f>
        <v>0</v>
      </c>
      <c r="CW242" s="700">
        <f t="shared" si="287"/>
        <v>0</v>
      </c>
      <c r="CX242" s="477">
        <f>IF('Data Entry'!$C$74=0,0,IF(CV242&lt;0.01,0,IF(BF242=0.5,0,IF(CF242=1,0,IF(ISNUMBER(SEARCH("false",CL242)),0,IF(AZ242=500,0,CL242))))))</f>
        <v>0</v>
      </c>
      <c r="CY242" s="147" t="e">
        <f t="shared" si="288"/>
        <v>#VALUE!</v>
      </c>
      <c r="CZ242" s="147" t="b">
        <f>IF(CN242+CL242=0,FALSE,IF(AH242=0,0,IF(AND('Data Entry'!$C$74=1,CR242&gt;=1),TRUE,IF(AND('Data Entry'!$C$74=2,CS242&gt;=1),TRUE,FALSE))))</f>
        <v>0</v>
      </c>
      <c r="DA242" s="1751">
        <f>IF('Data Entry'!$C$74=0,0,IFERROR(ROUND(IF(T242="","",IF($X$4=0,0,IF(CF242=1,0,IF(BQ242+CV242=0,0,IF(CF242=1,0,IF(CY242&gt;0.01,CY242,IF(CL242&gt;0.01,CL242,IF(CY242&gt;0.01,CY242,IF(BC242=37,BO242,IF(CZ242=FALSE,0,IF(CZ242=TRUE,DC242+DF242,0))))))))))),2),""))</f>
        <v>0</v>
      </c>
      <c r="DB242" s="1752"/>
      <c r="DC242" s="474">
        <f>IF(CN242&lt;0.01,0,IF(AND(BR242=3,CN242&gt;0.01,CT242&gt;0.6,ER242+ES242+ET242&lt;100),0,IF(AND('Data Entry'!$C$74=1,CN242&gt;0.01,CR242&gt;0.99),MIN(CN242:CO242),IF(AND('Data Entry'!$C$74=2,CN242&gt;0.01,CS242&gt;0.99),MIN(CN242:CO242),0))))</f>
        <v>0</v>
      </c>
      <c r="DD242" s="478">
        <f>IF(CF242=1,"Selection does not match",IF(T242=0,0,IF(AND('Data Entry'!$C$74=0,CP242&gt;1),"Select Oregon or Idaho on Data Entry Tab",IF(AND(AU242=1,AA242&gt;0.9),"Missing Interior or Exterior Selection",IF($X$4=0,"Enter Total Project Cost",IF(AQ242&lt;AR242,"Insufficient kWh savings – no incentive",IF(AND(SUM(CL242+CK242+BV242)&gt;0.01,'Data Entry'!$C$74=2,CJ242&gt;1,BO242=0),"Submit Control as Non-Standard",IF(AND('Data Entry'!$C$74=2,BR242=37,CJ242&gt;1,BO242=0),"Submit Control as Non-Standard",IF(SUM(CL242+CK242+BV242)&gt;0.01,"Standard Incentive",IF(AND('Data Entry'!$C$74=2,CP242=7,CN242=0),"Submit as Non-Standard",IF(DC242&gt;0.9,"Non-Standard Incentive",IF(AND(BY242+BZ242+CA242&gt;0.01,BV242=0,EQ242=0,ER242=0,ES242=0,ET242=0),"Scroll Right &amp; Select Control Strategies",IF(AND(CN242&gt;0.01,CO242=0),"Enter Unit Installed Cost",IF(ISNUMBER(SEARCH("Lighting Controls Only",F242)),"Lighting Controls Only",IF(CL242+DC242=0,"Does not meet incentive criteria",0)))))))))))))))</f>
        <v>0</v>
      </c>
      <c r="DE242" s="337">
        <f t="shared" si="289"/>
        <v>0</v>
      </c>
      <c r="DF242" s="609">
        <f t="shared" si="290"/>
        <v>0</v>
      </c>
      <c r="DG242" s="336" t="str">
        <f t="shared" si="291"/>
        <v/>
      </c>
      <c r="DH242" s="338">
        <f t="shared" si="292"/>
        <v>1</v>
      </c>
      <c r="DI242" s="336" t="e">
        <f t="shared" si="247"/>
        <v>#VALUE!</v>
      </c>
      <c r="DJ242" s="338">
        <f t="shared" si="248"/>
        <v>0</v>
      </c>
      <c r="DO242" s="81"/>
      <c r="DP242" s="81"/>
      <c r="DQ242" s="81"/>
      <c r="DR242" s="81"/>
      <c r="DS242" s="1195">
        <f t="shared" si="293"/>
        <v>0</v>
      </c>
      <c r="DT242" s="344" t="b">
        <f t="shared" si="294"/>
        <v>1</v>
      </c>
      <c r="DU242" s="1314" t="str">
        <f t="array" ref="DU242">IF(OR(COUNTIF(F242,"*"&amp;$DK$9:$DK$178&amp;"*")), "Yes", "")</f>
        <v/>
      </c>
      <c r="DV242" s="1314">
        <f t="shared" si="295"/>
        <v>0</v>
      </c>
      <c r="DW242" s="1480">
        <f t="shared" si="296"/>
        <v>0</v>
      </c>
      <c r="DX242" s="1498">
        <f t="shared" si="305"/>
        <v>0</v>
      </c>
      <c r="DY242" s="1484">
        <f t="shared" si="297"/>
        <v>0</v>
      </c>
      <c r="DZ242" s="331"/>
      <c r="EA242" s="392"/>
      <c r="EB242" s="1499" t="s">
        <v>73</v>
      </c>
      <c r="EC242" s="727" t="s">
        <v>1569</v>
      </c>
      <c r="ED242" s="728">
        <v>0.5</v>
      </c>
      <c r="EE242" s="1215"/>
      <c r="EF242" s="1215"/>
      <c r="EG242" s="1184" t="str">
        <f t="shared" si="298"/>
        <v/>
      </c>
      <c r="EH242" s="81"/>
      <c r="EI242" s="81"/>
      <c r="EJ242" s="1185">
        <f t="shared" si="249"/>
        <v>0</v>
      </c>
      <c r="EK242" s="1211"/>
      <c r="EL242" s="1180">
        <f t="shared" si="250"/>
        <v>0</v>
      </c>
      <c r="EM242" s="206"/>
      <c r="EN242" s="1038"/>
      <c r="EO242" s="1038"/>
      <c r="EP242" s="1038"/>
      <c r="EQ242" s="1038">
        <f t="shared" si="299"/>
        <v>0</v>
      </c>
      <c r="ER242" s="1041">
        <f t="shared" si="300"/>
        <v>0</v>
      </c>
      <c r="ES242" s="1042">
        <f t="shared" si="301"/>
        <v>0</v>
      </c>
      <c r="ET242" s="1042">
        <f t="shared" si="306"/>
        <v>0</v>
      </c>
      <c r="EU242" s="1021">
        <f t="shared" si="307"/>
        <v>0</v>
      </c>
      <c r="EV242" s="368"/>
      <c r="EW242" s="368"/>
      <c r="EX242" s="369"/>
      <c r="EY242" s="370"/>
      <c r="EZ242" s="370"/>
      <c r="FA242" s="371"/>
      <c r="FB242" s="372"/>
    </row>
    <row r="243" spans="1:158" ht="34.5" customHeight="1">
      <c r="A243" s="82">
        <v>235</v>
      </c>
      <c r="B243" s="1806"/>
      <c r="C243" s="1807"/>
      <c r="D243" s="1807"/>
      <c r="E243" s="1808"/>
      <c r="F243" s="1809"/>
      <c r="G243" s="1810"/>
      <c r="H243" s="1810"/>
      <c r="I243" s="1811"/>
      <c r="J243" s="1301"/>
      <c r="K243" s="1814"/>
      <c r="L243" s="1814"/>
      <c r="M243" s="1017"/>
      <c r="N243" s="1584"/>
      <c r="O243" s="208" t="str">
        <f t="shared" si="237"/>
        <v/>
      </c>
      <c r="P243" s="785"/>
      <c r="Q243" s="39" t="str">
        <f t="shared" si="238"/>
        <v/>
      </c>
      <c r="R243" s="39">
        <f t="shared" si="251"/>
        <v>0</v>
      </c>
      <c r="S243" s="234">
        <f t="shared" si="252"/>
        <v>0</v>
      </c>
      <c r="T243" s="1815"/>
      <c r="U243" s="1815"/>
      <c r="V243" s="1815"/>
      <c r="W243" s="1121"/>
      <c r="X243" s="1812"/>
      <c r="Y243" s="1813"/>
      <c r="Z243" s="703"/>
      <c r="AA243" s="1280"/>
      <c r="AB243" s="1141"/>
      <c r="AC243" s="1103" t="str">
        <f>IF(T243="","",VLOOKUP(Z243,Lists!$A$60:$B$111,2,FALSE))</f>
        <v/>
      </c>
      <c r="AD243" s="130" t="str">
        <f t="shared" si="253"/>
        <v/>
      </c>
      <c r="AE243" s="130" t="e">
        <f t="shared" si="254"/>
        <v>#VALUE!</v>
      </c>
      <c r="AF243" s="130">
        <f t="shared" si="255"/>
        <v>1</v>
      </c>
      <c r="AG243" s="234">
        <f t="shared" si="239"/>
        <v>0</v>
      </c>
      <c r="AH243" s="1753" t="str">
        <f>IF(T243="","",(IF(ISNUMBER(SEARCH("exit",T243)),8760,IF(AND(M243="Dusk to Dawn",'Proposed Lighting'!AU243=3),4059,IF(AND(AU243=3,M243="1"),0,IF(AND(AU243=3,M243="1-C"),0,IF(AND(AU243=3,M243="2"),0,IF(AND(AU243=3,M243="2-C"),0,IF(AND(AU243=3,M243="3"),0,IF(AND(AU243=3,M243="3-C"),0,IF(AND(AU243=2,M243="Dusk to Dawn"),0,IF(AND(AU243=2,M243="Dusk to Dawn-C"),0,IF(AND(AU243=2,M243="Dusk to Dawn"),0,IF(AND(AU243=2,M243="E"),0,IF(AND(AU243=2,M243="E-C"),0,EG243)))))))))))))))</f>
        <v/>
      </c>
      <c r="AI243" s="1754"/>
      <c r="AJ243" s="1136"/>
      <c r="AK243" s="1136"/>
      <c r="AL243" s="1748">
        <f t="shared" si="256"/>
        <v>0</v>
      </c>
      <c r="AM243" s="1749"/>
      <c r="AN243" s="1750"/>
      <c r="AO243" s="476">
        <f t="shared" si="240"/>
        <v>0</v>
      </c>
      <c r="AP243" s="476">
        <f t="shared" si="257"/>
        <v>0</v>
      </c>
      <c r="AQ243" s="475">
        <f t="shared" si="241"/>
        <v>0</v>
      </c>
      <c r="AR243" s="475">
        <f t="shared" si="258"/>
        <v>0</v>
      </c>
      <c r="AS243" s="743" t="str">
        <f t="shared" si="310"/>
        <v/>
      </c>
      <c r="AT243" s="736" t="str">
        <f t="shared" si="259"/>
        <v/>
      </c>
      <c r="AU243" s="56">
        <f t="shared" si="260"/>
        <v>1</v>
      </c>
      <c r="AV243" s="476">
        <f t="shared" si="261"/>
        <v>0</v>
      </c>
      <c r="AW243" s="56">
        <f t="shared" si="262"/>
        <v>0</v>
      </c>
      <c r="AX243" s="475">
        <f t="shared" si="242"/>
        <v>0</v>
      </c>
      <c r="AY243" s="1169">
        <f t="shared" si="263"/>
        <v>0</v>
      </c>
      <c r="AZ243" s="1150">
        <f t="shared" si="302"/>
        <v>0</v>
      </c>
      <c r="BA243" s="56">
        <f t="shared" si="243"/>
        <v>0</v>
      </c>
      <c r="BB243" s="420">
        <f t="shared" si="244"/>
        <v>0</v>
      </c>
      <c r="BC243" s="58" t="str">
        <f t="shared" si="245"/>
        <v/>
      </c>
      <c r="BD243" s="660">
        <f t="shared" si="303"/>
        <v>0</v>
      </c>
      <c r="BE243" s="57" t="e">
        <f t="array" ref="BE243">INDEX($EB$11:$ED$1022,MATCH(F243&amp;T243,$EB$11:$EB$1007&amp;$EC$11:$EC$1007,0),3)</f>
        <v>#N/A</v>
      </c>
      <c r="BF243" s="463">
        <f t="shared" si="311"/>
        <v>0</v>
      </c>
      <c r="BG243" s="1445" t="e">
        <f t="array" ref="BG243">INDEX($DO$112:$DQ$123,MATCH(T243&amp;W243,$DO$114:$DO$125&amp;$DP$112:$DP$123,0),3)</f>
        <v>#N/A</v>
      </c>
      <c r="BH243" s="1446">
        <f t="shared" si="264"/>
        <v>0</v>
      </c>
      <c r="BI243" s="465">
        <f t="shared" si="265"/>
        <v>0</v>
      </c>
      <c r="BJ243" s="465">
        <f t="shared" si="266"/>
        <v>0</v>
      </c>
      <c r="BK243" s="466">
        <f t="shared" si="312"/>
        <v>0</v>
      </c>
      <c r="BL243" s="466">
        <f t="shared" si="313"/>
        <v>0</v>
      </c>
      <c r="BM243" s="466">
        <f t="shared" si="267"/>
        <v>0</v>
      </c>
      <c r="BN243" s="466">
        <f t="shared" si="268"/>
        <v>0</v>
      </c>
      <c r="BO243" s="463">
        <f>IF('Data Entry'!$C$74=0,0,IF(ISNA(CJ243),0,IF(AX243=0,0,IF(AND('Data Entry'!$C$74=2,AF243&gt;2,CE243&lt;1),0,IF(AND('Data Entry'!$C$74=2,AF243&gt;1,AU243=2,CJ243&gt;1),0,IF(AND(AF243=5,CT243=0.5,AU243=2,ER243&lt;100),0,IF(AND(AF243=5,CT243=0.5,AU243=3,ER243&lt;100),0,IF(AND('Data Entry'!$C$74=2,AF243=2,AU243=2,AK243&gt;0.01,CB243=2,CE243&lt;1),0,IF(AND('Data Entry'!$C$74=2,AF243=3,AU243=3,AK243&gt;0.01,CB243=3,CE243&lt;1),0,IF(AND('Data Entry'!$C$74=2,AF243=3,AU243=3,AK243&gt;0.01,CB243=3,CE243&gt;0.99),BQ243*0.08,IF(AND('Data Entry'!$C$74=2,AF243=2,AU243=2,AK243&gt;0.01,CB243=2,CE243&gt;0.99),BQ243*0.1,IF(AND(AU243=2,AK243&gt;0.01,CB243=2,CD243&gt;1),BQ243*0.1,IF(AND(AU243=3,AK243&gt;0.01,CB243=3,CD243&gt;1),BQ243*0.08,CJ243*EF243)))))))))))))</f>
        <v>0</v>
      </c>
      <c r="BP243" s="475">
        <f t="shared" si="269"/>
        <v>0</v>
      </c>
      <c r="BQ243" s="1431">
        <f>IF(AU243=1,0,IF(CH243=100,0,IF(AND(AF243=3,AU243=2),0,IF(AND(BH243=0,CT243&gt;0.4),0,IF(AND('Data Entry'!$C$74=2,AF243=1.5),0,IF(AND('Data Entry'!$C$74=2,AF243=1.6),0,IF(AND('Data Entry'!$C$74=2,AF243=4),0,IF(AND('Data Entry'!$C$74=2,AF243=5),0,IF(AND('Data Entry'!$C$74=2,AF243=2.5,CE243&lt;1),0,IF(AND('Data Entry'!$C$74=2,AF243=3,CE243&lt;1),0,IF(AND('Data Entry'!$C$74=1,AF243=2.5,CD243&lt;1),0,IF(AND('Data Entry'!$C$74=1,AF243=3,CD243&lt;1),0,IF(DX243&gt;0.01,DX243,IF(ISERROR(AX243-AY243),"",ROUND(AX243-AY243,2)))))))))))))))</f>
        <v>0</v>
      </c>
      <c r="BR243" s="146">
        <f t="shared" si="270"/>
        <v>0</v>
      </c>
      <c r="BS243" s="475">
        <f t="shared" si="271"/>
        <v>0</v>
      </c>
      <c r="BT243" s="146" t="b">
        <f t="shared" si="272"/>
        <v>0</v>
      </c>
      <c r="BU243" s="463">
        <f>IF(ISNA(AT243),0,IF(AND('Data Entry'!$C$74=2,BC243=27),0,IF(AND('Data Entry'!$C$74=2,BC243=28),0,IF(AND(BC243=27,BT243=27,CM243&gt;0.1),CM243*0.15,IF(AND(BC243=28,BT243=28,CM243&gt;0.1),CM243*0.12,0)))))</f>
        <v>0</v>
      </c>
      <c r="BV243" s="463">
        <f t="shared" si="309"/>
        <v>0</v>
      </c>
      <c r="BW243" s="463">
        <f t="shared" si="273"/>
        <v>0</v>
      </c>
      <c r="BX243" s="463">
        <f t="shared" si="274"/>
        <v>0</v>
      </c>
      <c r="BY243" s="463">
        <f t="shared" si="275"/>
        <v>0</v>
      </c>
      <c r="BZ243" s="463">
        <f t="shared" si="276"/>
        <v>0</v>
      </c>
      <c r="CA243" s="57">
        <f t="shared" si="304"/>
        <v>0</v>
      </c>
      <c r="CB243" s="56">
        <f t="shared" si="277"/>
        <v>1</v>
      </c>
      <c r="CC243" s="756">
        <f>IF(EE243=0,0,IF(EF243=0,0,IF(EE243&gt;AA243,0,IF(AND(AZ243&gt;AW243,AW243&gt;0),0,IF(CU243=0,0,Summary!AC546)))))</f>
        <v>0</v>
      </c>
      <c r="CD243" s="756">
        <f>IF(EE243=0,0,IF(EF243=0,0,IF(EE243&gt;AA243,0,IF(AND(AZ243&gt;AW243,AW243&gt;0),0,IF(CU243=0,0,Summary!AD546)))))</f>
        <v>0</v>
      </c>
      <c r="CE243" s="756">
        <f>IF(EF243=0,0,IF(EE243&gt;AA243,0,IF(CC243=0,0,IF(AND(AZ243&gt;AW243,AW243&gt;0),0,IF(CU243=0,0,Summary!AE546)))))</f>
        <v>0</v>
      </c>
      <c r="CF243" s="475">
        <f t="shared" si="278"/>
        <v>0</v>
      </c>
      <c r="CG243" s="476">
        <f t="shared" si="246"/>
        <v>0</v>
      </c>
      <c r="CH243" s="487">
        <f t="shared" si="279"/>
        <v>0</v>
      </c>
      <c r="CI243" s="756">
        <f t="shared" si="280"/>
        <v>0</v>
      </c>
      <c r="CJ243" s="487">
        <f>IF(CT243&gt;0.4,0,IF(AND(AU243=2,CH243=0,CT243=0.5,ER243=100),35,IF(AND(AU243=3,BB243&gt;75,CH243=0,CT243=0.5,ER243=100),25,IF(CB243&gt;1,0,IF(EF243&gt;EE243,0,IF(AND(AF243&gt;1,CH243=100),0,IF(AND(AF243=1,AY243=0),0,IF(AND(EF243&lt;=EE243,AW243&gt;=AZ243,'Data Entry'!$C$74=1,AU243=2),VLOOKUP(W243,$DO$96:$DP$102,2,FALSE),IF(AND(EF243&lt;=EE243,AW243&gt;=AZ243,AU243=3,'Data Entry'!$C$74=1),VLOOKUP(W243,$DO$127:$DP$134,2,FALSE))))))))))</f>
        <v>0</v>
      </c>
      <c r="CK243" s="716">
        <f t="shared" si="281"/>
        <v>0</v>
      </c>
      <c r="CL243" s="57">
        <f t="shared" si="282"/>
        <v>0</v>
      </c>
      <c r="CM243" s="475">
        <f t="shared" si="308"/>
        <v>0</v>
      </c>
      <c r="CN243" s="660">
        <f>IF(CM243&lt;0.1,0,IF(ISNA(AT243),0,IF(CL243+BC243=1,0,IF(BV243&gt;0.01,0,IF(CL243&gt;0.01,0,IF(CF243=1,0,IF(BC243=0.5,0,IF(AND(CI243=1,AU243=3),0,IF(AND(CI243=5,CL243=0),0,IF(AND(R243=12,BR243=50),0,IF(CK243&gt;0.01,0,IF(AND(AJ243&gt;0.01,AU243=2,BC243=15),CM243*0.1,IF(AND(AJ243&gt;0.01,AU243=3,BC243=15),CM243*0.08,IF(AND(R243=12,BC243=3,AF243&lt;=0),0,IF(AND(BC243=15,BI243=0),0,IF(AND(BC243=15,BJ243=0),0,IF(AND(R243=20,CU243=0),0,IF($X$4=0,0,IF(AND(BC243=250,CL243=0),0,IF(AA243&lt;1,0,IF(AND(ISNUMBER(SEARCH("Area",T243)),AU243=3),0,IF(AND(AQ243&gt;0.01,AR243=0,BK243=0,BL243=0,BM243=0,BN243=0),0,IF(AND(AU243=3,CI243=7,CT243&gt;0.5),0,IF(AND(BC243=44,AU243=3,BY243=0),0,IF(AND(BC243=27,'Data Entry'!$C$74=2),0,IF(AND(BC243=28,'Data Entry'!$C$74=2),0,IF(AND(BY243+BZ243+CA243&gt;0.01,BV243=0,EQ243+ER243+ES243+ET243&lt;100),0,IF(AU243=3,CM243*0.08,IF(AU243=2,CM243*0.1,0)))))))))))))))))))))))))))))</f>
        <v>0</v>
      </c>
      <c r="CO243" s="660">
        <f t="shared" si="283"/>
        <v>0</v>
      </c>
      <c r="CP243" s="475" t="str">
        <f t="shared" si="284"/>
        <v/>
      </c>
      <c r="CQ243" s="161" t="str">
        <f>IF(AH243=0,0,IF(AU243=5,0,Summary!AC246))</f>
        <v/>
      </c>
      <c r="CR243" s="161" t="str">
        <f>IF(BF243=0.5,0,IF(AU243=5,0,Summary!AD246))</f>
        <v/>
      </c>
      <c r="CS243" s="161" t="str">
        <f>IF(AU243=5,0,Summary!AE246)</f>
        <v/>
      </c>
      <c r="CT243" s="161">
        <f t="shared" si="285"/>
        <v>0</v>
      </c>
      <c r="CU243" s="475" t="str">
        <f t="shared" si="286"/>
        <v/>
      </c>
      <c r="CV243" s="307">
        <f>IF('Data Entry'!$C$74=0,0,IF(AA243&lt;1,0,IF(ISERROR(CU243),0,IF(CF243=1,0,IF(AND(R243=12,BR243=50),0,IF(CL243+BO243+BV243+DC243=0,0,IF(BC243=37,0,IF(AND(BC243=40,AJ243=0),0,IF(AND(BC243=37,BO243&gt;0.01,BQ243&gt;0.01),ROUND(BQ243,0),IF(CM243&lt;0,0,ROUND(CM243,0)))))))))))</f>
        <v>0</v>
      </c>
      <c r="CW243" s="700">
        <f t="shared" si="287"/>
        <v>0</v>
      </c>
      <c r="CX243" s="477">
        <f>IF('Data Entry'!$C$74=0,0,IF(CV243&lt;0.01,0,IF(BF243=0.5,0,IF(CF243=1,0,IF(ISNUMBER(SEARCH("false",CL243)),0,IF(AZ243=500,0,CL243))))))</f>
        <v>0</v>
      </c>
      <c r="CY243" s="147" t="e">
        <f t="shared" si="288"/>
        <v>#VALUE!</v>
      </c>
      <c r="CZ243" s="147" t="b">
        <f>IF(CN243+CL243=0,FALSE,IF(AH243=0,0,IF(AND('Data Entry'!$C$74=1,CR243&gt;=1),TRUE,IF(AND('Data Entry'!$C$74=2,CS243&gt;=1),TRUE,FALSE))))</f>
        <v>0</v>
      </c>
      <c r="DA243" s="1751">
        <f>IF('Data Entry'!$C$74=0,0,IFERROR(ROUND(IF(T243="","",IF($X$4=0,0,IF(CF243=1,0,IF(BQ243+CV243=0,0,IF(CF243=1,0,IF(CY243&gt;0.01,CY243,IF(CL243&gt;0.01,CL243,IF(CY243&gt;0.01,CY243,IF(BC243=37,BO243,IF(CZ243=FALSE,0,IF(CZ243=TRUE,DC243+DF243,0))))))))))),2),""))</f>
        <v>0</v>
      </c>
      <c r="DB243" s="1752"/>
      <c r="DC243" s="474">
        <f>IF(CN243&lt;0.01,0,IF(AND(BR243=3,CN243&gt;0.01,CT243&gt;0.6,ER243+ES243+ET243&lt;100),0,IF(AND('Data Entry'!$C$74=1,CN243&gt;0.01,CR243&gt;0.99),MIN(CN243:CO243),IF(AND('Data Entry'!$C$74=2,CN243&gt;0.01,CS243&gt;0.99),MIN(CN243:CO243),0))))</f>
        <v>0</v>
      </c>
      <c r="DD243" s="478">
        <f>IF(CF243=1,"Selection does not match",IF(T243=0,0,IF(AND('Data Entry'!$C$74=0,CP243&gt;1),"Select Oregon or Idaho on Data Entry Tab",IF(AND(AU243=1,AA243&gt;0.9),"Missing Interior or Exterior Selection",IF($X$4=0,"Enter Total Project Cost",IF(AQ243&lt;AR243,"Insufficient kWh savings – no incentive",IF(AND(SUM(CL243+CK243+BV243)&gt;0.01,'Data Entry'!$C$74=2,CJ243&gt;1,BO243=0),"Submit Control as Non-Standard",IF(AND('Data Entry'!$C$74=2,BR243=37,CJ243&gt;1,BO243=0),"Submit Control as Non-Standard",IF(SUM(CL243+CK243+BV243)&gt;0.01,"Standard Incentive",IF(AND('Data Entry'!$C$74=2,CP243=7,CN243=0),"Submit as Non-Standard",IF(DC243&gt;0.9,"Non-Standard Incentive",IF(AND(BY243+BZ243+CA243&gt;0.01,BV243=0,EQ243=0,ER243=0,ES243=0,ET243=0),"Scroll Right &amp; Select Control Strategies",IF(AND(CN243&gt;0.01,CO243=0),"Enter Unit Installed Cost",IF(ISNUMBER(SEARCH("Lighting Controls Only",F243)),"Lighting Controls Only",IF(CL243+DC243=0,"Does not meet incentive criteria",0)))))))))))))))</f>
        <v>0</v>
      </c>
      <c r="DE243" s="337">
        <f t="shared" si="289"/>
        <v>0</v>
      </c>
      <c r="DF243" s="609">
        <f t="shared" si="290"/>
        <v>0</v>
      </c>
      <c r="DG243" s="336" t="str">
        <f t="shared" si="291"/>
        <v/>
      </c>
      <c r="DH243" s="338">
        <f t="shared" si="292"/>
        <v>1</v>
      </c>
      <c r="DI243" s="336" t="e">
        <f t="shared" si="247"/>
        <v>#VALUE!</v>
      </c>
      <c r="DJ243" s="338">
        <f t="shared" si="248"/>
        <v>0</v>
      </c>
      <c r="DO243" s="81"/>
      <c r="DP243" s="81"/>
      <c r="DQ243" s="81"/>
      <c r="DR243" s="81"/>
      <c r="DS243" s="1195">
        <f t="shared" si="293"/>
        <v>0</v>
      </c>
      <c r="DT243" s="344" t="b">
        <f t="shared" si="294"/>
        <v>1</v>
      </c>
      <c r="DU243" s="1314" t="str">
        <f t="array" ref="DU243">IF(OR(COUNTIF(F243,"*"&amp;$DK$9:$DK$178&amp;"*")), "Yes", "")</f>
        <v/>
      </c>
      <c r="DV243" s="1314">
        <f t="shared" si="295"/>
        <v>0</v>
      </c>
      <c r="DW243" s="1480">
        <f t="shared" si="296"/>
        <v>0</v>
      </c>
      <c r="DX243" s="1498">
        <f t="shared" si="305"/>
        <v>0</v>
      </c>
      <c r="DY243" s="1484">
        <f t="shared" si="297"/>
        <v>0</v>
      </c>
      <c r="DZ243" s="331"/>
      <c r="EA243" s="392"/>
      <c r="EB243" s="1499" t="s">
        <v>104</v>
      </c>
      <c r="EC243" s="727" t="s">
        <v>1569</v>
      </c>
      <c r="ED243" s="728">
        <v>0.5</v>
      </c>
      <c r="EE243" s="1215"/>
      <c r="EF243" s="1215"/>
      <c r="EG243" s="1184" t="str">
        <f t="shared" si="298"/>
        <v/>
      </c>
      <c r="EH243" s="81"/>
      <c r="EI243" s="81"/>
      <c r="EJ243" s="1185">
        <f t="shared" si="249"/>
        <v>0</v>
      </c>
      <c r="EK243" s="1211"/>
      <c r="EL243" s="1180">
        <f t="shared" si="250"/>
        <v>0</v>
      </c>
      <c r="EM243" s="206"/>
      <c r="EN243" s="1038"/>
      <c r="EO243" s="1038"/>
      <c r="EP243" s="1038"/>
      <c r="EQ243" s="1038">
        <f t="shared" si="299"/>
        <v>0</v>
      </c>
      <c r="ER243" s="1041">
        <f t="shared" si="300"/>
        <v>0</v>
      </c>
      <c r="ES243" s="1042">
        <f t="shared" si="301"/>
        <v>0</v>
      </c>
      <c r="ET243" s="1042">
        <f t="shared" si="306"/>
        <v>0</v>
      </c>
      <c r="EU243" s="1021">
        <f t="shared" si="307"/>
        <v>0</v>
      </c>
      <c r="EV243" s="368"/>
      <c r="EW243" s="368"/>
      <c r="EX243" s="369"/>
      <c r="EY243" s="370"/>
      <c r="EZ243" s="370"/>
      <c r="FA243" s="371"/>
      <c r="FB243" s="372"/>
    </row>
    <row r="244" spans="1:158" ht="34.5" customHeight="1">
      <c r="A244" s="82">
        <v>236</v>
      </c>
      <c r="B244" s="1806"/>
      <c r="C244" s="1807"/>
      <c r="D244" s="1807"/>
      <c r="E244" s="1808"/>
      <c r="F244" s="1809"/>
      <c r="G244" s="1810"/>
      <c r="H244" s="1810"/>
      <c r="I244" s="1811"/>
      <c r="J244" s="1301"/>
      <c r="K244" s="1814"/>
      <c r="L244" s="1814"/>
      <c r="M244" s="1017"/>
      <c r="N244" s="1584"/>
      <c r="O244" s="208" t="str">
        <f t="shared" si="237"/>
        <v/>
      </c>
      <c r="P244" s="785"/>
      <c r="Q244" s="39" t="str">
        <f t="shared" si="238"/>
        <v/>
      </c>
      <c r="R244" s="39">
        <f t="shared" si="251"/>
        <v>0</v>
      </c>
      <c r="S244" s="234">
        <f t="shared" si="252"/>
        <v>0</v>
      </c>
      <c r="T244" s="1815"/>
      <c r="U244" s="1815"/>
      <c r="V244" s="1815"/>
      <c r="W244" s="1121"/>
      <c r="X244" s="1812"/>
      <c r="Y244" s="1813"/>
      <c r="Z244" s="703"/>
      <c r="AA244" s="1280"/>
      <c r="AB244" s="1141"/>
      <c r="AC244" s="1103" t="str">
        <f>IF(T244="","",VLOOKUP(Z244,Lists!$A$60:$B$111,2,FALSE))</f>
        <v/>
      </c>
      <c r="AD244" s="130" t="str">
        <f t="shared" si="253"/>
        <v/>
      </c>
      <c r="AE244" s="130" t="e">
        <f t="shared" si="254"/>
        <v>#VALUE!</v>
      </c>
      <c r="AF244" s="130">
        <f t="shared" si="255"/>
        <v>1</v>
      </c>
      <c r="AG244" s="234">
        <f t="shared" si="239"/>
        <v>0</v>
      </c>
      <c r="AH244" s="1753" t="str">
        <f>IF(T244="","",(IF(ISNUMBER(SEARCH("exit",T244)),8760,IF(AND(M244="Dusk to Dawn",'Proposed Lighting'!AU244=3),4059,IF(AND(AU244=3,M244="1"),0,IF(AND(AU244=3,M244="1-C"),0,IF(AND(AU244=3,M244="2"),0,IF(AND(AU244=3,M244="2-C"),0,IF(AND(AU244=3,M244="3"),0,IF(AND(AU244=3,M244="3-C"),0,IF(AND(AU244=2,M244="Dusk to Dawn"),0,IF(AND(AU244=2,M244="Dusk to Dawn-C"),0,IF(AND(AU244=2,M244="Dusk to Dawn"),0,IF(AND(AU244=2,M244="E"),0,IF(AND(AU244=2,M244="E-C"),0,EG244)))))))))))))))</f>
        <v/>
      </c>
      <c r="AI244" s="1754"/>
      <c r="AJ244" s="1136"/>
      <c r="AK244" s="1136"/>
      <c r="AL244" s="1748">
        <f t="shared" si="256"/>
        <v>0</v>
      </c>
      <c r="AM244" s="1749"/>
      <c r="AN244" s="1750"/>
      <c r="AO244" s="476">
        <f t="shared" si="240"/>
        <v>0</v>
      </c>
      <c r="AP244" s="476">
        <f t="shared" si="257"/>
        <v>0</v>
      </c>
      <c r="AQ244" s="475">
        <f t="shared" si="241"/>
        <v>0</v>
      </c>
      <c r="AR244" s="475">
        <f t="shared" si="258"/>
        <v>0</v>
      </c>
      <c r="AS244" s="743" t="str">
        <f t="shared" si="310"/>
        <v/>
      </c>
      <c r="AT244" s="736" t="str">
        <f t="shared" si="259"/>
        <v/>
      </c>
      <c r="AU244" s="56">
        <f t="shared" si="260"/>
        <v>1</v>
      </c>
      <c r="AV244" s="476">
        <f t="shared" si="261"/>
        <v>0</v>
      </c>
      <c r="AW244" s="56">
        <f t="shared" si="262"/>
        <v>0</v>
      </c>
      <c r="AX244" s="475">
        <f t="shared" si="242"/>
        <v>0</v>
      </c>
      <c r="AY244" s="1169">
        <f t="shared" si="263"/>
        <v>0</v>
      </c>
      <c r="AZ244" s="1150">
        <f t="shared" si="302"/>
        <v>0</v>
      </c>
      <c r="BA244" s="56">
        <f t="shared" si="243"/>
        <v>0</v>
      </c>
      <c r="BB244" s="420">
        <f t="shared" si="244"/>
        <v>0</v>
      </c>
      <c r="BC244" s="58" t="str">
        <f t="shared" si="245"/>
        <v/>
      </c>
      <c r="BD244" s="660">
        <f t="shared" si="303"/>
        <v>0</v>
      </c>
      <c r="BE244" s="57" t="e">
        <f t="array" ref="BE244">INDEX($EB$11:$ED$1022,MATCH(F244&amp;T244,$EB$11:$EB$1007&amp;$EC$11:$EC$1007,0),3)</f>
        <v>#N/A</v>
      </c>
      <c r="BF244" s="463">
        <f t="shared" si="311"/>
        <v>0</v>
      </c>
      <c r="BG244" s="1445" t="e">
        <f t="array" ref="BG244">INDEX($DO$112:$DQ$123,MATCH(T244&amp;W244,$DO$114:$DO$125&amp;$DP$112:$DP$123,0),3)</f>
        <v>#N/A</v>
      </c>
      <c r="BH244" s="1446">
        <f t="shared" si="264"/>
        <v>0</v>
      </c>
      <c r="BI244" s="465">
        <f t="shared" si="265"/>
        <v>0</v>
      </c>
      <c r="BJ244" s="465">
        <f t="shared" si="266"/>
        <v>0</v>
      </c>
      <c r="BK244" s="466">
        <f t="shared" si="312"/>
        <v>0</v>
      </c>
      <c r="BL244" s="466">
        <f t="shared" si="313"/>
        <v>0</v>
      </c>
      <c r="BM244" s="466">
        <f t="shared" si="267"/>
        <v>0</v>
      </c>
      <c r="BN244" s="466">
        <f t="shared" si="268"/>
        <v>0</v>
      </c>
      <c r="BO244" s="463">
        <f>IF('Data Entry'!$C$74=0,0,IF(ISNA(CJ244),0,IF(AX244=0,0,IF(AND('Data Entry'!$C$74=2,AF244&gt;2,CE244&lt;1),0,IF(AND('Data Entry'!$C$74=2,AF244&gt;1,AU244=2,CJ244&gt;1),0,IF(AND(AF244=5,CT244=0.5,AU244=2,ER244&lt;100),0,IF(AND(AF244=5,CT244=0.5,AU244=3,ER244&lt;100),0,IF(AND('Data Entry'!$C$74=2,AF244=2,AU244=2,AK244&gt;0.01,CB244=2,CE244&lt;1),0,IF(AND('Data Entry'!$C$74=2,AF244=3,AU244=3,AK244&gt;0.01,CB244=3,CE244&lt;1),0,IF(AND('Data Entry'!$C$74=2,AF244=3,AU244=3,AK244&gt;0.01,CB244=3,CE244&gt;0.99),BQ244*0.08,IF(AND('Data Entry'!$C$74=2,AF244=2,AU244=2,AK244&gt;0.01,CB244=2,CE244&gt;0.99),BQ244*0.1,IF(AND(AU244=2,AK244&gt;0.01,CB244=2,CD244&gt;1),BQ244*0.1,IF(AND(AU244=3,AK244&gt;0.01,CB244=3,CD244&gt;1),BQ244*0.08,CJ244*EF244)))))))))))))</f>
        <v>0</v>
      </c>
      <c r="BP244" s="475">
        <f t="shared" si="269"/>
        <v>0</v>
      </c>
      <c r="BQ244" s="1431">
        <f>IF(AU244=1,0,IF(CH244=100,0,IF(AND(AF244=3,AU244=2),0,IF(AND(BH244=0,CT244&gt;0.4),0,IF(AND('Data Entry'!$C$74=2,AF244=1.5),0,IF(AND('Data Entry'!$C$74=2,AF244=1.6),0,IF(AND('Data Entry'!$C$74=2,AF244=4),0,IF(AND('Data Entry'!$C$74=2,AF244=5),0,IF(AND('Data Entry'!$C$74=2,AF244=2.5,CE244&lt;1),0,IF(AND('Data Entry'!$C$74=2,AF244=3,CE244&lt;1),0,IF(AND('Data Entry'!$C$74=1,AF244=2.5,CD244&lt;1),0,IF(AND('Data Entry'!$C$74=1,AF244=3,CD244&lt;1),0,IF(DX244&gt;0.01,DX244,IF(ISERROR(AX244-AY244),"",ROUND(AX244-AY244,2)))))))))))))))</f>
        <v>0</v>
      </c>
      <c r="BR244" s="146">
        <f t="shared" si="270"/>
        <v>0</v>
      </c>
      <c r="BS244" s="475">
        <f t="shared" si="271"/>
        <v>0</v>
      </c>
      <c r="BT244" s="146" t="b">
        <f t="shared" si="272"/>
        <v>0</v>
      </c>
      <c r="BU244" s="463">
        <f>IF(ISNA(AT244),0,IF(AND('Data Entry'!$C$74=2,BC244=27),0,IF(AND('Data Entry'!$C$74=2,BC244=28),0,IF(AND(BC244=27,BT244=27,CM244&gt;0.1),CM244*0.15,IF(AND(BC244=28,BT244=28,CM244&gt;0.1),CM244*0.12,0)))))</f>
        <v>0</v>
      </c>
      <c r="BV244" s="463">
        <f t="shared" si="309"/>
        <v>0</v>
      </c>
      <c r="BW244" s="463">
        <f t="shared" si="273"/>
        <v>0</v>
      </c>
      <c r="BX244" s="463">
        <f t="shared" si="274"/>
        <v>0</v>
      </c>
      <c r="BY244" s="463">
        <f t="shared" si="275"/>
        <v>0</v>
      </c>
      <c r="BZ244" s="463">
        <f t="shared" si="276"/>
        <v>0</v>
      </c>
      <c r="CA244" s="57">
        <f t="shared" si="304"/>
        <v>0</v>
      </c>
      <c r="CB244" s="56">
        <f t="shared" si="277"/>
        <v>1</v>
      </c>
      <c r="CC244" s="756">
        <f>IF(EE244=0,0,IF(EF244=0,0,IF(EE244&gt;AA244,0,IF(AND(AZ244&gt;AW244,AW244&gt;0),0,IF(CU244=0,0,Summary!AC547)))))</f>
        <v>0</v>
      </c>
      <c r="CD244" s="756">
        <f>IF(EE244=0,0,IF(EF244=0,0,IF(EE244&gt;AA244,0,IF(AND(AZ244&gt;AW244,AW244&gt;0),0,IF(CU244=0,0,Summary!AD547)))))</f>
        <v>0</v>
      </c>
      <c r="CE244" s="756">
        <f>IF(EF244=0,0,IF(EE244&gt;AA244,0,IF(CC244=0,0,IF(AND(AZ244&gt;AW244,AW244&gt;0),0,IF(CU244=0,0,Summary!AE547)))))</f>
        <v>0</v>
      </c>
      <c r="CF244" s="475">
        <f t="shared" si="278"/>
        <v>0</v>
      </c>
      <c r="CG244" s="476">
        <f t="shared" si="246"/>
        <v>0</v>
      </c>
      <c r="CH244" s="487">
        <f t="shared" si="279"/>
        <v>0</v>
      </c>
      <c r="CI244" s="756">
        <f t="shared" si="280"/>
        <v>0</v>
      </c>
      <c r="CJ244" s="487">
        <f>IF(CT244&gt;0.4,0,IF(AND(AU244=2,CH244=0,CT244=0.5,ER244=100),35,IF(AND(AU244=3,BB244&gt;75,CH244=0,CT244=0.5,ER244=100),25,IF(CB244&gt;1,0,IF(EF244&gt;EE244,0,IF(AND(AF244&gt;1,CH244=100),0,IF(AND(AF244=1,AY244=0),0,IF(AND(EF244&lt;=EE244,AW244&gt;=AZ244,'Data Entry'!$C$74=1,AU244=2),VLOOKUP(W244,$DO$96:$DP$102,2,FALSE),IF(AND(EF244&lt;=EE244,AW244&gt;=AZ244,AU244=3,'Data Entry'!$C$74=1),VLOOKUP(W244,$DO$127:$DP$134,2,FALSE))))))))))</f>
        <v>0</v>
      </c>
      <c r="CK244" s="716">
        <f t="shared" si="281"/>
        <v>0</v>
      </c>
      <c r="CL244" s="57">
        <f t="shared" si="282"/>
        <v>0</v>
      </c>
      <c r="CM244" s="475">
        <f t="shared" si="308"/>
        <v>0</v>
      </c>
      <c r="CN244" s="660">
        <f>IF(CM244&lt;0.1,0,IF(ISNA(AT244),0,IF(CL244+BC244=1,0,IF(BV244&gt;0.01,0,IF(CL244&gt;0.01,0,IF(CF244=1,0,IF(BC244=0.5,0,IF(AND(CI244=1,AU244=3),0,IF(AND(CI244=5,CL244=0),0,IF(AND(R244=12,BR244=50),0,IF(CK244&gt;0.01,0,IF(AND(AJ244&gt;0.01,AU244=2,BC244=15),CM244*0.1,IF(AND(AJ244&gt;0.01,AU244=3,BC244=15),CM244*0.08,IF(AND(R244=12,BC244=3,AF244&lt;=0),0,IF(AND(BC244=15,BI244=0),0,IF(AND(BC244=15,BJ244=0),0,IF(AND(R244=20,CU244=0),0,IF($X$4=0,0,IF(AND(BC244=250,CL244=0),0,IF(AA244&lt;1,0,IF(AND(ISNUMBER(SEARCH("Area",T244)),AU244=3),0,IF(AND(AQ244&gt;0.01,AR244=0,BK244=0,BL244=0,BM244=0,BN244=0),0,IF(AND(AU244=3,CI244=7,CT244&gt;0.5),0,IF(AND(BC244=44,AU244=3,BY244=0),0,IF(AND(BC244=27,'Data Entry'!$C$74=2),0,IF(AND(BC244=28,'Data Entry'!$C$74=2),0,IF(AND(BY244+BZ244+CA244&gt;0.01,BV244=0,EQ244+ER244+ES244+ET244&lt;100),0,IF(AU244=3,CM244*0.08,IF(AU244=2,CM244*0.1,0)))))))))))))))))))))))))))))</f>
        <v>0</v>
      </c>
      <c r="CO244" s="660">
        <f t="shared" si="283"/>
        <v>0</v>
      </c>
      <c r="CP244" s="475" t="str">
        <f t="shared" si="284"/>
        <v/>
      </c>
      <c r="CQ244" s="161" t="str">
        <f>IF(AH244=0,0,IF(AU244=5,0,Summary!AC247))</f>
        <v/>
      </c>
      <c r="CR244" s="161" t="str">
        <f>IF(BF244=0.5,0,IF(AU244=5,0,Summary!AD247))</f>
        <v/>
      </c>
      <c r="CS244" s="161" t="str">
        <f>IF(AU244=5,0,Summary!AE247)</f>
        <v/>
      </c>
      <c r="CT244" s="161">
        <f t="shared" si="285"/>
        <v>0</v>
      </c>
      <c r="CU244" s="475" t="str">
        <f t="shared" si="286"/>
        <v/>
      </c>
      <c r="CV244" s="307">
        <f>IF('Data Entry'!$C$74=0,0,IF(AA244&lt;1,0,IF(ISERROR(CU244),0,IF(CF244=1,0,IF(AND(R244=12,BR244=50),0,IF(CL244+BO244+BV244+DC244=0,0,IF(BC244=37,0,IF(AND(BC244=40,AJ244=0),0,IF(AND(BC244=37,BO244&gt;0.01,BQ244&gt;0.01),ROUND(BQ244,0),IF(CM244&lt;0,0,ROUND(CM244,0)))))))))))</f>
        <v>0</v>
      </c>
      <c r="CW244" s="700">
        <f t="shared" si="287"/>
        <v>0</v>
      </c>
      <c r="CX244" s="477">
        <f>IF('Data Entry'!$C$74=0,0,IF(CV244&lt;0.01,0,IF(BF244=0.5,0,IF(CF244=1,0,IF(ISNUMBER(SEARCH("false",CL244)),0,IF(AZ244=500,0,CL244))))))</f>
        <v>0</v>
      </c>
      <c r="CY244" s="147" t="e">
        <f t="shared" si="288"/>
        <v>#VALUE!</v>
      </c>
      <c r="CZ244" s="147" t="b">
        <f>IF(CN244+CL244=0,FALSE,IF(AH244=0,0,IF(AND('Data Entry'!$C$74=1,CR244&gt;=1),TRUE,IF(AND('Data Entry'!$C$74=2,CS244&gt;=1),TRUE,FALSE))))</f>
        <v>0</v>
      </c>
      <c r="DA244" s="1751">
        <f>IF('Data Entry'!$C$74=0,0,IFERROR(ROUND(IF(T244="","",IF($X$4=0,0,IF(CF244=1,0,IF(BQ244+CV244=0,0,IF(CF244=1,0,IF(CY244&gt;0.01,CY244,IF(CL244&gt;0.01,CL244,IF(CY244&gt;0.01,CY244,IF(BC244=37,BO244,IF(CZ244=FALSE,0,IF(CZ244=TRUE,DC244+DF244,0))))))))))),2),""))</f>
        <v>0</v>
      </c>
      <c r="DB244" s="1752"/>
      <c r="DC244" s="474">
        <f>IF(CN244&lt;0.01,0,IF(AND(BR244=3,CN244&gt;0.01,CT244&gt;0.6,ER244+ES244+ET244&lt;100),0,IF(AND('Data Entry'!$C$74=1,CN244&gt;0.01,CR244&gt;0.99),MIN(CN244:CO244),IF(AND('Data Entry'!$C$74=2,CN244&gt;0.01,CS244&gt;0.99),MIN(CN244:CO244),0))))</f>
        <v>0</v>
      </c>
      <c r="DD244" s="478">
        <f>IF(CF244=1,"Selection does not match",IF(T244=0,0,IF(AND('Data Entry'!$C$74=0,CP244&gt;1),"Select Oregon or Idaho on Data Entry Tab",IF(AND(AU244=1,AA244&gt;0.9),"Missing Interior or Exterior Selection",IF($X$4=0,"Enter Total Project Cost",IF(AQ244&lt;AR244,"Insufficient kWh savings – no incentive",IF(AND(SUM(CL244+CK244+BV244)&gt;0.01,'Data Entry'!$C$74=2,CJ244&gt;1,BO244=0),"Submit Control as Non-Standard",IF(AND('Data Entry'!$C$74=2,BR244=37,CJ244&gt;1,BO244=0),"Submit Control as Non-Standard",IF(SUM(CL244+CK244+BV244)&gt;0.01,"Standard Incentive",IF(AND('Data Entry'!$C$74=2,CP244=7,CN244=0),"Submit as Non-Standard",IF(DC244&gt;0.9,"Non-Standard Incentive",IF(AND(BY244+BZ244+CA244&gt;0.01,BV244=0,EQ244=0,ER244=0,ES244=0,ET244=0),"Scroll Right &amp; Select Control Strategies",IF(AND(CN244&gt;0.01,CO244=0),"Enter Unit Installed Cost",IF(ISNUMBER(SEARCH("Lighting Controls Only",F244)),"Lighting Controls Only",IF(CL244+DC244=0,"Does not meet incentive criteria",0)))))))))))))))</f>
        <v>0</v>
      </c>
      <c r="DE244" s="337">
        <f t="shared" si="289"/>
        <v>0</v>
      </c>
      <c r="DF244" s="609">
        <f t="shared" si="290"/>
        <v>0</v>
      </c>
      <c r="DG244" s="336" t="str">
        <f t="shared" si="291"/>
        <v/>
      </c>
      <c r="DH244" s="338">
        <f t="shared" si="292"/>
        <v>1</v>
      </c>
      <c r="DI244" s="336" t="e">
        <f t="shared" si="247"/>
        <v>#VALUE!</v>
      </c>
      <c r="DJ244" s="338">
        <f t="shared" si="248"/>
        <v>0</v>
      </c>
      <c r="DO244" s="81"/>
      <c r="DP244" s="81"/>
      <c r="DQ244" s="81"/>
      <c r="DR244" s="81"/>
      <c r="DS244" s="1195">
        <f t="shared" si="293"/>
        <v>0</v>
      </c>
      <c r="DT244" s="344" t="b">
        <f t="shared" si="294"/>
        <v>1</v>
      </c>
      <c r="DU244" s="1314" t="str">
        <f t="array" ref="DU244">IF(OR(COUNTIF(F244,"*"&amp;$DK$9:$DK$178&amp;"*")), "Yes", "")</f>
        <v/>
      </c>
      <c r="DV244" s="1314">
        <f t="shared" si="295"/>
        <v>0</v>
      </c>
      <c r="DW244" s="1480">
        <f t="shared" si="296"/>
        <v>0</v>
      </c>
      <c r="DX244" s="1498">
        <f t="shared" si="305"/>
        <v>0</v>
      </c>
      <c r="DY244" s="1484">
        <f t="shared" si="297"/>
        <v>0</v>
      </c>
      <c r="DZ244" s="331"/>
      <c r="EA244" s="392"/>
      <c r="EB244" s="1499" t="s">
        <v>105</v>
      </c>
      <c r="EC244" s="727" t="s">
        <v>1569</v>
      </c>
      <c r="ED244" s="728">
        <v>0.5</v>
      </c>
      <c r="EE244" s="1215"/>
      <c r="EF244" s="1215"/>
      <c r="EG244" s="1184" t="str">
        <f t="shared" si="298"/>
        <v/>
      </c>
      <c r="EH244" s="81"/>
      <c r="EI244" s="81"/>
      <c r="EJ244" s="1185">
        <f t="shared" si="249"/>
        <v>0</v>
      </c>
      <c r="EK244" s="1211"/>
      <c r="EL244" s="1180">
        <f t="shared" si="250"/>
        <v>0</v>
      </c>
      <c r="EM244" s="206"/>
      <c r="EN244" s="1038"/>
      <c r="EO244" s="1038"/>
      <c r="EP244" s="1038"/>
      <c r="EQ244" s="1038">
        <f t="shared" si="299"/>
        <v>0</v>
      </c>
      <c r="ER244" s="1041">
        <f t="shared" si="300"/>
        <v>0</v>
      </c>
      <c r="ES244" s="1042">
        <f t="shared" si="301"/>
        <v>0</v>
      </c>
      <c r="ET244" s="1042">
        <f t="shared" si="306"/>
        <v>0</v>
      </c>
      <c r="EU244" s="1021">
        <f t="shared" si="307"/>
        <v>0</v>
      </c>
      <c r="EV244" s="368"/>
      <c r="EW244" s="368"/>
      <c r="EX244" s="369"/>
      <c r="EY244" s="370"/>
      <c r="EZ244" s="370"/>
      <c r="FA244" s="371"/>
      <c r="FB244" s="372"/>
    </row>
    <row r="245" spans="1:158" ht="34.5" customHeight="1">
      <c r="A245" s="82">
        <v>237</v>
      </c>
      <c r="B245" s="1806"/>
      <c r="C245" s="1807"/>
      <c r="D245" s="1807"/>
      <c r="E245" s="1808"/>
      <c r="F245" s="1809"/>
      <c r="G245" s="1810"/>
      <c r="H245" s="1810"/>
      <c r="I245" s="1811"/>
      <c r="J245" s="1301"/>
      <c r="K245" s="1814"/>
      <c r="L245" s="1814"/>
      <c r="M245" s="1017"/>
      <c r="N245" s="1584"/>
      <c r="O245" s="208" t="str">
        <f t="shared" si="237"/>
        <v/>
      </c>
      <c r="P245" s="785"/>
      <c r="Q245" s="39" t="str">
        <f t="shared" si="238"/>
        <v/>
      </c>
      <c r="R245" s="39">
        <f t="shared" si="251"/>
        <v>0</v>
      </c>
      <c r="S245" s="234">
        <f t="shared" si="252"/>
        <v>0</v>
      </c>
      <c r="T245" s="1815"/>
      <c r="U245" s="1815"/>
      <c r="V245" s="1815"/>
      <c r="W245" s="1121"/>
      <c r="X245" s="1812"/>
      <c r="Y245" s="1813"/>
      <c r="Z245" s="703"/>
      <c r="AA245" s="1280"/>
      <c r="AB245" s="1141"/>
      <c r="AC245" s="1103" t="str">
        <f>IF(T245="","",VLOOKUP(Z245,Lists!$A$60:$B$111,2,FALSE))</f>
        <v/>
      </c>
      <c r="AD245" s="130" t="str">
        <f t="shared" si="253"/>
        <v/>
      </c>
      <c r="AE245" s="130" t="e">
        <f t="shared" si="254"/>
        <v>#VALUE!</v>
      </c>
      <c r="AF245" s="130">
        <f t="shared" si="255"/>
        <v>1</v>
      </c>
      <c r="AG245" s="234">
        <f t="shared" si="239"/>
        <v>0</v>
      </c>
      <c r="AH245" s="1753" t="str">
        <f>IF(T245="","",(IF(ISNUMBER(SEARCH("exit",T245)),8760,IF(AND(M245="Dusk to Dawn",'Proposed Lighting'!AU245=3),4059,IF(AND(AU245=3,M245="1"),0,IF(AND(AU245=3,M245="1-C"),0,IF(AND(AU245=3,M245="2"),0,IF(AND(AU245=3,M245="2-C"),0,IF(AND(AU245=3,M245="3"),0,IF(AND(AU245=3,M245="3-C"),0,IF(AND(AU245=2,M245="Dusk to Dawn"),0,IF(AND(AU245=2,M245="Dusk to Dawn-C"),0,IF(AND(AU245=2,M245="Dusk to Dawn"),0,IF(AND(AU245=2,M245="E"),0,IF(AND(AU245=2,M245="E-C"),0,EG245)))))))))))))))</f>
        <v/>
      </c>
      <c r="AI245" s="1754"/>
      <c r="AJ245" s="1136"/>
      <c r="AK245" s="1136"/>
      <c r="AL245" s="1748">
        <f t="shared" si="256"/>
        <v>0</v>
      </c>
      <c r="AM245" s="1749"/>
      <c r="AN245" s="1750"/>
      <c r="AO245" s="476">
        <f t="shared" si="240"/>
        <v>0</v>
      </c>
      <c r="AP245" s="476">
        <f t="shared" si="257"/>
        <v>0</v>
      </c>
      <c r="AQ245" s="475">
        <f t="shared" si="241"/>
        <v>0</v>
      </c>
      <c r="AR245" s="475">
        <f t="shared" si="258"/>
        <v>0</v>
      </c>
      <c r="AS245" s="743" t="str">
        <f t="shared" si="310"/>
        <v/>
      </c>
      <c r="AT245" s="736" t="str">
        <f t="shared" si="259"/>
        <v/>
      </c>
      <c r="AU245" s="56">
        <f t="shared" si="260"/>
        <v>1</v>
      </c>
      <c r="AV245" s="476">
        <f t="shared" si="261"/>
        <v>0</v>
      </c>
      <c r="AW245" s="56">
        <f t="shared" si="262"/>
        <v>0</v>
      </c>
      <c r="AX245" s="475">
        <f t="shared" si="242"/>
        <v>0</v>
      </c>
      <c r="AY245" s="1169">
        <f t="shared" si="263"/>
        <v>0</v>
      </c>
      <c r="AZ245" s="1150">
        <f t="shared" si="302"/>
        <v>0</v>
      </c>
      <c r="BA245" s="56">
        <f t="shared" si="243"/>
        <v>0</v>
      </c>
      <c r="BB245" s="420">
        <f t="shared" si="244"/>
        <v>0</v>
      </c>
      <c r="BC245" s="58" t="str">
        <f t="shared" si="245"/>
        <v/>
      </c>
      <c r="BD245" s="660">
        <f t="shared" si="303"/>
        <v>0</v>
      </c>
      <c r="BE245" s="57" t="e">
        <f t="array" ref="BE245">INDEX($EB$11:$ED$1022,MATCH(F245&amp;T245,$EB$11:$EB$1007&amp;$EC$11:$EC$1007,0),3)</f>
        <v>#N/A</v>
      </c>
      <c r="BF245" s="463">
        <f t="shared" si="311"/>
        <v>0</v>
      </c>
      <c r="BG245" s="1445" t="e">
        <f t="array" ref="BG245">INDEX($DO$112:$DQ$123,MATCH(T245&amp;W245,$DO$114:$DO$125&amp;$DP$112:$DP$123,0),3)</f>
        <v>#N/A</v>
      </c>
      <c r="BH245" s="1446">
        <f t="shared" si="264"/>
        <v>0</v>
      </c>
      <c r="BI245" s="465">
        <f t="shared" si="265"/>
        <v>0</v>
      </c>
      <c r="BJ245" s="465">
        <f t="shared" si="266"/>
        <v>0</v>
      </c>
      <c r="BK245" s="466">
        <f t="shared" si="312"/>
        <v>0</v>
      </c>
      <c r="BL245" s="466">
        <f t="shared" si="313"/>
        <v>0</v>
      </c>
      <c r="BM245" s="466">
        <f t="shared" si="267"/>
        <v>0</v>
      </c>
      <c r="BN245" s="466">
        <f t="shared" si="268"/>
        <v>0</v>
      </c>
      <c r="BO245" s="463">
        <f>IF('Data Entry'!$C$74=0,0,IF(ISNA(CJ245),0,IF(AX245=0,0,IF(AND('Data Entry'!$C$74=2,AF245&gt;2,CE245&lt;1),0,IF(AND('Data Entry'!$C$74=2,AF245&gt;1,AU245=2,CJ245&gt;1),0,IF(AND(AF245=5,CT245=0.5,AU245=2,ER245&lt;100),0,IF(AND(AF245=5,CT245=0.5,AU245=3,ER245&lt;100),0,IF(AND('Data Entry'!$C$74=2,AF245=2,AU245=2,AK245&gt;0.01,CB245=2,CE245&lt;1),0,IF(AND('Data Entry'!$C$74=2,AF245=3,AU245=3,AK245&gt;0.01,CB245=3,CE245&lt;1),0,IF(AND('Data Entry'!$C$74=2,AF245=3,AU245=3,AK245&gt;0.01,CB245=3,CE245&gt;0.99),BQ245*0.08,IF(AND('Data Entry'!$C$74=2,AF245=2,AU245=2,AK245&gt;0.01,CB245=2,CE245&gt;0.99),BQ245*0.1,IF(AND(AU245=2,AK245&gt;0.01,CB245=2,CD245&gt;1),BQ245*0.1,IF(AND(AU245=3,AK245&gt;0.01,CB245=3,CD245&gt;1),BQ245*0.08,CJ245*EF245)))))))))))))</f>
        <v>0</v>
      </c>
      <c r="BP245" s="475">
        <f t="shared" si="269"/>
        <v>0</v>
      </c>
      <c r="BQ245" s="1431">
        <f>IF(AU245=1,0,IF(CH245=100,0,IF(AND(AF245=3,AU245=2),0,IF(AND(BH245=0,CT245&gt;0.4),0,IF(AND('Data Entry'!$C$74=2,AF245=1.5),0,IF(AND('Data Entry'!$C$74=2,AF245=1.6),0,IF(AND('Data Entry'!$C$74=2,AF245=4),0,IF(AND('Data Entry'!$C$74=2,AF245=5),0,IF(AND('Data Entry'!$C$74=2,AF245=2.5,CE245&lt;1),0,IF(AND('Data Entry'!$C$74=2,AF245=3,CE245&lt;1),0,IF(AND('Data Entry'!$C$74=1,AF245=2.5,CD245&lt;1),0,IF(AND('Data Entry'!$C$74=1,AF245=3,CD245&lt;1),0,IF(DX245&gt;0.01,DX245,IF(ISERROR(AX245-AY245),"",ROUND(AX245-AY245,2)))))))))))))))</f>
        <v>0</v>
      </c>
      <c r="BR245" s="146">
        <f t="shared" si="270"/>
        <v>0</v>
      </c>
      <c r="BS245" s="475">
        <f t="shared" si="271"/>
        <v>0</v>
      </c>
      <c r="BT245" s="146" t="b">
        <f t="shared" si="272"/>
        <v>0</v>
      </c>
      <c r="BU245" s="463">
        <f>IF(ISNA(AT245),0,IF(AND('Data Entry'!$C$74=2,BC245=27),0,IF(AND('Data Entry'!$C$74=2,BC245=28),0,IF(AND(BC245=27,BT245=27,CM245&gt;0.1),CM245*0.15,IF(AND(BC245=28,BT245=28,CM245&gt;0.1),CM245*0.12,0)))))</f>
        <v>0</v>
      </c>
      <c r="BV245" s="463">
        <f t="shared" si="309"/>
        <v>0</v>
      </c>
      <c r="BW245" s="463">
        <f t="shared" si="273"/>
        <v>0</v>
      </c>
      <c r="BX245" s="463">
        <f t="shared" si="274"/>
        <v>0</v>
      </c>
      <c r="BY245" s="463">
        <f t="shared" si="275"/>
        <v>0</v>
      </c>
      <c r="BZ245" s="463">
        <f t="shared" si="276"/>
        <v>0</v>
      </c>
      <c r="CA245" s="57">
        <f t="shared" si="304"/>
        <v>0</v>
      </c>
      <c r="CB245" s="56">
        <f t="shared" si="277"/>
        <v>1</v>
      </c>
      <c r="CC245" s="756">
        <f>IF(EE245=0,0,IF(EF245=0,0,IF(EE245&gt;AA245,0,IF(AND(AZ245&gt;AW245,AW245&gt;0),0,IF(CU245=0,0,Summary!AC548)))))</f>
        <v>0</v>
      </c>
      <c r="CD245" s="756">
        <f>IF(EE245=0,0,IF(EF245=0,0,IF(EE245&gt;AA245,0,IF(AND(AZ245&gt;AW245,AW245&gt;0),0,IF(CU245=0,0,Summary!AD548)))))</f>
        <v>0</v>
      </c>
      <c r="CE245" s="756">
        <f>IF(EF245=0,0,IF(EE245&gt;AA245,0,IF(CC245=0,0,IF(AND(AZ245&gt;AW245,AW245&gt;0),0,IF(CU245=0,0,Summary!AE548)))))</f>
        <v>0</v>
      </c>
      <c r="CF245" s="475">
        <f t="shared" si="278"/>
        <v>0</v>
      </c>
      <c r="CG245" s="476">
        <f t="shared" si="246"/>
        <v>0</v>
      </c>
      <c r="CH245" s="487">
        <f t="shared" si="279"/>
        <v>0</v>
      </c>
      <c r="CI245" s="756">
        <f t="shared" si="280"/>
        <v>0</v>
      </c>
      <c r="CJ245" s="487">
        <f>IF(CT245&gt;0.4,0,IF(AND(AU245=2,CH245=0,CT245=0.5,ER245=100),35,IF(AND(AU245=3,BB245&gt;75,CH245=0,CT245=0.5,ER245=100),25,IF(CB245&gt;1,0,IF(EF245&gt;EE245,0,IF(AND(AF245&gt;1,CH245=100),0,IF(AND(AF245=1,AY245=0),0,IF(AND(EF245&lt;=EE245,AW245&gt;=AZ245,'Data Entry'!$C$74=1,AU245=2),VLOOKUP(W245,$DO$96:$DP$102,2,FALSE),IF(AND(EF245&lt;=EE245,AW245&gt;=AZ245,AU245=3,'Data Entry'!$C$74=1),VLOOKUP(W245,$DO$127:$DP$134,2,FALSE))))))))))</f>
        <v>0</v>
      </c>
      <c r="CK245" s="716">
        <f t="shared" si="281"/>
        <v>0</v>
      </c>
      <c r="CL245" s="57">
        <f t="shared" si="282"/>
        <v>0</v>
      </c>
      <c r="CM245" s="475">
        <f t="shared" si="308"/>
        <v>0</v>
      </c>
      <c r="CN245" s="660">
        <f>IF(CM245&lt;0.1,0,IF(ISNA(AT245),0,IF(CL245+BC245=1,0,IF(BV245&gt;0.01,0,IF(CL245&gt;0.01,0,IF(CF245=1,0,IF(BC245=0.5,0,IF(AND(CI245=1,AU245=3),0,IF(AND(CI245=5,CL245=0),0,IF(AND(R245=12,BR245=50),0,IF(CK245&gt;0.01,0,IF(AND(AJ245&gt;0.01,AU245=2,BC245=15),CM245*0.1,IF(AND(AJ245&gt;0.01,AU245=3,BC245=15),CM245*0.08,IF(AND(R245=12,BC245=3,AF245&lt;=0),0,IF(AND(BC245=15,BI245=0),0,IF(AND(BC245=15,BJ245=0),0,IF(AND(R245=20,CU245=0),0,IF($X$4=0,0,IF(AND(BC245=250,CL245=0),0,IF(AA245&lt;1,0,IF(AND(ISNUMBER(SEARCH("Area",T245)),AU245=3),0,IF(AND(AQ245&gt;0.01,AR245=0,BK245=0,BL245=0,BM245=0,BN245=0),0,IF(AND(AU245=3,CI245=7,CT245&gt;0.5),0,IF(AND(BC245=44,AU245=3,BY245=0),0,IF(AND(BC245=27,'Data Entry'!$C$74=2),0,IF(AND(BC245=28,'Data Entry'!$C$74=2),0,IF(AND(BY245+BZ245+CA245&gt;0.01,BV245=0,EQ245+ER245+ES245+ET245&lt;100),0,IF(AU245=3,CM245*0.08,IF(AU245=2,CM245*0.1,0)))))))))))))))))))))))))))))</f>
        <v>0</v>
      </c>
      <c r="CO245" s="660">
        <f t="shared" si="283"/>
        <v>0</v>
      </c>
      <c r="CP245" s="475" t="str">
        <f t="shared" si="284"/>
        <v/>
      </c>
      <c r="CQ245" s="161" t="str">
        <f>IF(AH245=0,0,IF(AU245=5,0,Summary!AC248))</f>
        <v/>
      </c>
      <c r="CR245" s="161" t="str">
        <f>IF(BF245=0.5,0,IF(AU245=5,0,Summary!AD248))</f>
        <v/>
      </c>
      <c r="CS245" s="161" t="str">
        <f>IF(AU245=5,0,Summary!AE248)</f>
        <v/>
      </c>
      <c r="CT245" s="161">
        <f t="shared" si="285"/>
        <v>0</v>
      </c>
      <c r="CU245" s="475" t="str">
        <f t="shared" si="286"/>
        <v/>
      </c>
      <c r="CV245" s="307">
        <f>IF('Data Entry'!$C$74=0,0,IF(AA245&lt;1,0,IF(ISERROR(CU245),0,IF(CF245=1,0,IF(AND(R245=12,BR245=50),0,IF(CL245+BO245+BV245+DC245=0,0,IF(BC245=37,0,IF(AND(BC245=40,AJ245=0),0,IF(AND(BC245=37,BO245&gt;0.01,BQ245&gt;0.01),ROUND(BQ245,0),IF(CM245&lt;0,0,ROUND(CM245,0)))))))))))</f>
        <v>0</v>
      </c>
      <c r="CW245" s="700">
        <f t="shared" si="287"/>
        <v>0</v>
      </c>
      <c r="CX245" s="477">
        <f>IF('Data Entry'!$C$74=0,0,IF(CV245&lt;0.01,0,IF(BF245=0.5,0,IF(CF245=1,0,IF(ISNUMBER(SEARCH("false",CL245)),0,IF(AZ245=500,0,CL245))))))</f>
        <v>0</v>
      </c>
      <c r="CY245" s="147" t="e">
        <f t="shared" si="288"/>
        <v>#VALUE!</v>
      </c>
      <c r="CZ245" s="147" t="b">
        <f>IF(CN245+CL245=0,FALSE,IF(AH245=0,0,IF(AND('Data Entry'!$C$74=1,CR245&gt;=1),TRUE,IF(AND('Data Entry'!$C$74=2,CS245&gt;=1),TRUE,FALSE))))</f>
        <v>0</v>
      </c>
      <c r="DA245" s="1751">
        <f>IF('Data Entry'!$C$74=0,0,IFERROR(ROUND(IF(T245="","",IF($X$4=0,0,IF(CF245=1,0,IF(BQ245+CV245=0,0,IF(CF245=1,0,IF(CY245&gt;0.01,CY245,IF(CL245&gt;0.01,CL245,IF(CY245&gt;0.01,CY245,IF(BC245=37,BO245,IF(CZ245=FALSE,0,IF(CZ245=TRUE,DC245+DF245,0))))))))))),2),""))</f>
        <v>0</v>
      </c>
      <c r="DB245" s="1752"/>
      <c r="DC245" s="474">
        <f>IF(CN245&lt;0.01,0,IF(AND(BR245=3,CN245&gt;0.01,CT245&gt;0.6,ER245+ES245+ET245&lt;100),0,IF(AND('Data Entry'!$C$74=1,CN245&gt;0.01,CR245&gt;0.99),MIN(CN245:CO245),IF(AND('Data Entry'!$C$74=2,CN245&gt;0.01,CS245&gt;0.99),MIN(CN245:CO245),0))))</f>
        <v>0</v>
      </c>
      <c r="DD245" s="478">
        <f>IF(CF245=1,"Selection does not match",IF(T245=0,0,IF(AND('Data Entry'!$C$74=0,CP245&gt;1),"Select Oregon or Idaho on Data Entry Tab",IF(AND(AU245=1,AA245&gt;0.9),"Missing Interior or Exterior Selection",IF($X$4=0,"Enter Total Project Cost",IF(AQ245&lt;AR245,"Insufficient kWh savings – no incentive",IF(AND(SUM(CL245+CK245+BV245)&gt;0.01,'Data Entry'!$C$74=2,CJ245&gt;1,BO245=0),"Submit Control as Non-Standard",IF(AND('Data Entry'!$C$74=2,BR245=37,CJ245&gt;1,BO245=0),"Submit Control as Non-Standard",IF(SUM(CL245+CK245+BV245)&gt;0.01,"Standard Incentive",IF(AND('Data Entry'!$C$74=2,CP245=7,CN245=0),"Submit as Non-Standard",IF(DC245&gt;0.9,"Non-Standard Incentive",IF(AND(BY245+BZ245+CA245&gt;0.01,BV245=0,EQ245=0,ER245=0,ES245=0,ET245=0),"Scroll Right &amp; Select Control Strategies",IF(AND(CN245&gt;0.01,CO245=0),"Enter Unit Installed Cost",IF(ISNUMBER(SEARCH("Lighting Controls Only",F245)),"Lighting Controls Only",IF(CL245+DC245=0,"Does not meet incentive criteria",0)))))))))))))))</f>
        <v>0</v>
      </c>
      <c r="DE245" s="337">
        <f t="shared" si="289"/>
        <v>0</v>
      </c>
      <c r="DF245" s="609">
        <f t="shared" si="290"/>
        <v>0</v>
      </c>
      <c r="DG245" s="336" t="str">
        <f t="shared" si="291"/>
        <v/>
      </c>
      <c r="DH245" s="338">
        <f t="shared" si="292"/>
        <v>1</v>
      </c>
      <c r="DI245" s="336" t="e">
        <f t="shared" si="247"/>
        <v>#VALUE!</v>
      </c>
      <c r="DJ245" s="338">
        <f t="shared" si="248"/>
        <v>0</v>
      </c>
      <c r="DO245" s="81"/>
      <c r="DP245" s="81"/>
      <c r="DQ245" s="81"/>
      <c r="DR245" s="81"/>
      <c r="DS245" s="1195">
        <f t="shared" si="293"/>
        <v>0</v>
      </c>
      <c r="DT245" s="344" t="b">
        <f t="shared" si="294"/>
        <v>1</v>
      </c>
      <c r="DU245" s="1314" t="str">
        <f t="array" ref="DU245">IF(OR(COUNTIF(F245,"*"&amp;$DK$9:$DK$178&amp;"*")), "Yes", "")</f>
        <v/>
      </c>
      <c r="DV245" s="1314">
        <f t="shared" si="295"/>
        <v>0</v>
      </c>
      <c r="DW245" s="1480">
        <f t="shared" si="296"/>
        <v>0</v>
      </c>
      <c r="DX245" s="1498">
        <f t="shared" si="305"/>
        <v>0</v>
      </c>
      <c r="DY245" s="1484">
        <f t="shared" si="297"/>
        <v>0</v>
      </c>
      <c r="DZ245" s="331"/>
      <c r="EA245" s="392"/>
      <c r="EB245" s="1499" t="s">
        <v>183</v>
      </c>
      <c r="EC245" s="727" t="s">
        <v>1569</v>
      </c>
      <c r="ED245" s="728">
        <v>0.5</v>
      </c>
      <c r="EE245" s="1215"/>
      <c r="EF245" s="1215"/>
      <c r="EG245" s="1184" t="str">
        <f t="shared" si="298"/>
        <v/>
      </c>
      <c r="EH245" s="81"/>
      <c r="EI245" s="81"/>
      <c r="EJ245" s="1185">
        <f t="shared" si="249"/>
        <v>0</v>
      </c>
      <c r="EK245" s="1211"/>
      <c r="EL245" s="1180">
        <f t="shared" si="250"/>
        <v>0</v>
      </c>
      <c r="EM245" s="206"/>
      <c r="EN245" s="1038"/>
      <c r="EO245" s="1038"/>
      <c r="EP245" s="1038"/>
      <c r="EQ245" s="1038">
        <f t="shared" si="299"/>
        <v>0</v>
      </c>
      <c r="ER245" s="1041">
        <f t="shared" si="300"/>
        <v>0</v>
      </c>
      <c r="ES245" s="1042">
        <f t="shared" si="301"/>
        <v>0</v>
      </c>
      <c r="ET245" s="1042">
        <f t="shared" si="306"/>
        <v>0</v>
      </c>
      <c r="EU245" s="1021">
        <f t="shared" si="307"/>
        <v>0</v>
      </c>
      <c r="EV245" s="368"/>
      <c r="EW245" s="368"/>
      <c r="EX245" s="369"/>
      <c r="EY245" s="370"/>
      <c r="EZ245" s="370"/>
      <c r="FA245" s="371"/>
      <c r="FB245" s="372"/>
    </row>
    <row r="246" spans="1:158" ht="34.5" customHeight="1">
      <c r="A246" s="82">
        <v>238</v>
      </c>
      <c r="B246" s="1806"/>
      <c r="C246" s="1807"/>
      <c r="D246" s="1807"/>
      <c r="E246" s="1808"/>
      <c r="F246" s="1809"/>
      <c r="G246" s="1810"/>
      <c r="H246" s="1810"/>
      <c r="I246" s="1811"/>
      <c r="J246" s="1301"/>
      <c r="K246" s="1814"/>
      <c r="L246" s="1814"/>
      <c r="M246" s="1017"/>
      <c r="N246" s="1584"/>
      <c r="O246" s="208" t="str">
        <f t="shared" si="237"/>
        <v/>
      </c>
      <c r="P246" s="785"/>
      <c r="Q246" s="39" t="str">
        <f t="shared" si="238"/>
        <v/>
      </c>
      <c r="R246" s="39">
        <f t="shared" si="251"/>
        <v>0</v>
      </c>
      <c r="S246" s="234">
        <f t="shared" si="252"/>
        <v>0</v>
      </c>
      <c r="T246" s="1815"/>
      <c r="U246" s="1815"/>
      <c r="V246" s="1815"/>
      <c r="W246" s="1121"/>
      <c r="X246" s="1812"/>
      <c r="Y246" s="1813"/>
      <c r="Z246" s="703"/>
      <c r="AA246" s="1280"/>
      <c r="AB246" s="1141"/>
      <c r="AC246" s="1103" t="str">
        <f>IF(T246="","",VLOOKUP(Z246,Lists!$A$60:$B$111,2,FALSE))</f>
        <v/>
      </c>
      <c r="AD246" s="130" t="str">
        <f t="shared" si="253"/>
        <v/>
      </c>
      <c r="AE246" s="130" t="e">
        <f t="shared" si="254"/>
        <v>#VALUE!</v>
      </c>
      <c r="AF246" s="130">
        <f t="shared" si="255"/>
        <v>1</v>
      </c>
      <c r="AG246" s="234">
        <f t="shared" si="239"/>
        <v>0</v>
      </c>
      <c r="AH246" s="1753" t="str">
        <f>IF(T246="","",(IF(ISNUMBER(SEARCH("exit",T246)),8760,IF(AND(M246="Dusk to Dawn",'Proposed Lighting'!AU246=3),4059,IF(AND(AU246=3,M246="1"),0,IF(AND(AU246=3,M246="1-C"),0,IF(AND(AU246=3,M246="2"),0,IF(AND(AU246=3,M246="2-C"),0,IF(AND(AU246=3,M246="3"),0,IF(AND(AU246=3,M246="3-C"),0,IF(AND(AU246=2,M246="Dusk to Dawn"),0,IF(AND(AU246=2,M246="Dusk to Dawn-C"),0,IF(AND(AU246=2,M246="Dusk to Dawn"),0,IF(AND(AU246=2,M246="E"),0,IF(AND(AU246=2,M246="E-C"),0,EG246)))))))))))))))</f>
        <v/>
      </c>
      <c r="AI246" s="1754"/>
      <c r="AJ246" s="1136"/>
      <c r="AK246" s="1136"/>
      <c r="AL246" s="1748">
        <f t="shared" si="256"/>
        <v>0</v>
      </c>
      <c r="AM246" s="1749"/>
      <c r="AN246" s="1750"/>
      <c r="AO246" s="476">
        <f t="shared" si="240"/>
        <v>0</v>
      </c>
      <c r="AP246" s="476">
        <f t="shared" si="257"/>
        <v>0</v>
      </c>
      <c r="AQ246" s="475">
        <f t="shared" si="241"/>
        <v>0</v>
      </c>
      <c r="AR246" s="475">
        <f t="shared" si="258"/>
        <v>0</v>
      </c>
      <c r="AS246" s="743" t="str">
        <f t="shared" si="310"/>
        <v/>
      </c>
      <c r="AT246" s="736" t="str">
        <f t="shared" si="259"/>
        <v/>
      </c>
      <c r="AU246" s="56">
        <f t="shared" si="260"/>
        <v>1</v>
      </c>
      <c r="AV246" s="476">
        <f t="shared" si="261"/>
        <v>0</v>
      </c>
      <c r="AW246" s="56">
        <f t="shared" si="262"/>
        <v>0</v>
      </c>
      <c r="AX246" s="475">
        <f t="shared" si="242"/>
        <v>0</v>
      </c>
      <c r="AY246" s="1169">
        <f t="shared" si="263"/>
        <v>0</v>
      </c>
      <c r="AZ246" s="1150">
        <f t="shared" si="302"/>
        <v>0</v>
      </c>
      <c r="BA246" s="56">
        <f t="shared" si="243"/>
        <v>0</v>
      </c>
      <c r="BB246" s="420">
        <f t="shared" si="244"/>
        <v>0</v>
      </c>
      <c r="BC246" s="58" t="str">
        <f t="shared" si="245"/>
        <v/>
      </c>
      <c r="BD246" s="660">
        <f t="shared" si="303"/>
        <v>0</v>
      </c>
      <c r="BE246" s="57" t="e">
        <f t="array" ref="BE246">INDEX($EB$11:$ED$1022,MATCH(F246&amp;T246,$EB$11:$EB$1007&amp;$EC$11:$EC$1007,0),3)</f>
        <v>#N/A</v>
      </c>
      <c r="BF246" s="463">
        <f t="shared" si="311"/>
        <v>0</v>
      </c>
      <c r="BG246" s="1445" t="e">
        <f t="array" ref="BG246">INDEX($DO$112:$DQ$123,MATCH(T246&amp;W246,$DO$114:$DO$125&amp;$DP$112:$DP$123,0),3)</f>
        <v>#N/A</v>
      </c>
      <c r="BH246" s="1446">
        <f t="shared" si="264"/>
        <v>0</v>
      </c>
      <c r="BI246" s="465">
        <f t="shared" si="265"/>
        <v>0</v>
      </c>
      <c r="BJ246" s="465">
        <f t="shared" si="266"/>
        <v>0</v>
      </c>
      <c r="BK246" s="466">
        <f t="shared" si="312"/>
        <v>0</v>
      </c>
      <c r="BL246" s="466">
        <f t="shared" si="313"/>
        <v>0</v>
      </c>
      <c r="BM246" s="466">
        <f t="shared" si="267"/>
        <v>0</v>
      </c>
      <c r="BN246" s="466">
        <f t="shared" si="268"/>
        <v>0</v>
      </c>
      <c r="BO246" s="463">
        <f>IF('Data Entry'!$C$74=0,0,IF(ISNA(CJ246),0,IF(AX246=0,0,IF(AND('Data Entry'!$C$74=2,AF246&gt;2,CE246&lt;1),0,IF(AND('Data Entry'!$C$74=2,AF246&gt;1,AU246=2,CJ246&gt;1),0,IF(AND(AF246=5,CT246=0.5,AU246=2,ER246&lt;100),0,IF(AND(AF246=5,CT246=0.5,AU246=3,ER246&lt;100),0,IF(AND('Data Entry'!$C$74=2,AF246=2,AU246=2,AK246&gt;0.01,CB246=2,CE246&lt;1),0,IF(AND('Data Entry'!$C$74=2,AF246=3,AU246=3,AK246&gt;0.01,CB246=3,CE246&lt;1),0,IF(AND('Data Entry'!$C$74=2,AF246=3,AU246=3,AK246&gt;0.01,CB246=3,CE246&gt;0.99),BQ246*0.08,IF(AND('Data Entry'!$C$74=2,AF246=2,AU246=2,AK246&gt;0.01,CB246=2,CE246&gt;0.99),BQ246*0.1,IF(AND(AU246=2,AK246&gt;0.01,CB246=2,CD246&gt;1),BQ246*0.1,IF(AND(AU246=3,AK246&gt;0.01,CB246=3,CD246&gt;1),BQ246*0.08,CJ246*EF246)))))))))))))</f>
        <v>0</v>
      </c>
      <c r="BP246" s="475">
        <f t="shared" si="269"/>
        <v>0</v>
      </c>
      <c r="BQ246" s="1431">
        <f>IF(AU246=1,0,IF(CH246=100,0,IF(AND(AF246=3,AU246=2),0,IF(AND(BH246=0,CT246&gt;0.4),0,IF(AND('Data Entry'!$C$74=2,AF246=1.5),0,IF(AND('Data Entry'!$C$74=2,AF246=1.6),0,IF(AND('Data Entry'!$C$74=2,AF246=4),0,IF(AND('Data Entry'!$C$74=2,AF246=5),0,IF(AND('Data Entry'!$C$74=2,AF246=2.5,CE246&lt;1),0,IF(AND('Data Entry'!$C$74=2,AF246=3,CE246&lt;1),0,IF(AND('Data Entry'!$C$74=1,AF246=2.5,CD246&lt;1),0,IF(AND('Data Entry'!$C$74=1,AF246=3,CD246&lt;1),0,IF(DX246&gt;0.01,DX246,IF(ISERROR(AX246-AY246),"",ROUND(AX246-AY246,2)))))))))))))))</f>
        <v>0</v>
      </c>
      <c r="BR246" s="146">
        <f t="shared" si="270"/>
        <v>0</v>
      </c>
      <c r="BS246" s="475">
        <f t="shared" si="271"/>
        <v>0</v>
      </c>
      <c r="BT246" s="146" t="b">
        <f t="shared" si="272"/>
        <v>0</v>
      </c>
      <c r="BU246" s="463">
        <f>IF(ISNA(AT246),0,IF(AND('Data Entry'!$C$74=2,BC246=27),0,IF(AND('Data Entry'!$C$74=2,BC246=28),0,IF(AND(BC246=27,BT246=27,CM246&gt;0.1),CM246*0.15,IF(AND(BC246=28,BT246=28,CM246&gt;0.1),CM246*0.12,0)))))</f>
        <v>0</v>
      </c>
      <c r="BV246" s="463">
        <f t="shared" si="309"/>
        <v>0</v>
      </c>
      <c r="BW246" s="463">
        <f t="shared" si="273"/>
        <v>0</v>
      </c>
      <c r="BX246" s="463">
        <f t="shared" si="274"/>
        <v>0</v>
      </c>
      <c r="BY246" s="463">
        <f t="shared" si="275"/>
        <v>0</v>
      </c>
      <c r="BZ246" s="463">
        <f t="shared" si="276"/>
        <v>0</v>
      </c>
      <c r="CA246" s="57">
        <f t="shared" si="304"/>
        <v>0</v>
      </c>
      <c r="CB246" s="56">
        <f t="shared" si="277"/>
        <v>1</v>
      </c>
      <c r="CC246" s="756">
        <f>IF(EE246=0,0,IF(EF246=0,0,IF(EE246&gt;AA246,0,IF(AND(AZ246&gt;AW246,AW246&gt;0),0,IF(CU246=0,0,Summary!AC549)))))</f>
        <v>0</v>
      </c>
      <c r="CD246" s="756">
        <f>IF(EE246=0,0,IF(EF246=0,0,IF(EE246&gt;AA246,0,IF(AND(AZ246&gt;AW246,AW246&gt;0),0,IF(CU246=0,0,Summary!AD549)))))</f>
        <v>0</v>
      </c>
      <c r="CE246" s="756">
        <f>IF(EF246=0,0,IF(EE246&gt;AA246,0,IF(CC246=0,0,IF(AND(AZ246&gt;AW246,AW246&gt;0),0,IF(CU246=0,0,Summary!AE549)))))</f>
        <v>0</v>
      </c>
      <c r="CF246" s="475">
        <f t="shared" si="278"/>
        <v>0</v>
      </c>
      <c r="CG246" s="476">
        <f t="shared" si="246"/>
        <v>0</v>
      </c>
      <c r="CH246" s="487">
        <f t="shared" si="279"/>
        <v>0</v>
      </c>
      <c r="CI246" s="756">
        <f t="shared" si="280"/>
        <v>0</v>
      </c>
      <c r="CJ246" s="487">
        <f>IF(CT246&gt;0.4,0,IF(AND(AU246=2,CH246=0,CT246=0.5,ER246=100),35,IF(AND(AU246=3,BB246&gt;75,CH246=0,CT246=0.5,ER246=100),25,IF(CB246&gt;1,0,IF(EF246&gt;EE246,0,IF(AND(AF246&gt;1,CH246=100),0,IF(AND(AF246=1,AY246=0),0,IF(AND(EF246&lt;=EE246,AW246&gt;=AZ246,'Data Entry'!$C$74=1,AU246=2),VLOOKUP(W246,$DO$96:$DP$102,2,FALSE),IF(AND(EF246&lt;=EE246,AW246&gt;=AZ246,AU246=3,'Data Entry'!$C$74=1),VLOOKUP(W246,$DO$127:$DP$134,2,FALSE))))))))))</f>
        <v>0</v>
      </c>
      <c r="CK246" s="716">
        <f t="shared" si="281"/>
        <v>0</v>
      </c>
      <c r="CL246" s="57">
        <f t="shared" si="282"/>
        <v>0</v>
      </c>
      <c r="CM246" s="475">
        <f t="shared" si="308"/>
        <v>0</v>
      </c>
      <c r="CN246" s="660">
        <f>IF(CM246&lt;0.1,0,IF(ISNA(AT246),0,IF(CL246+BC246=1,0,IF(BV246&gt;0.01,0,IF(CL246&gt;0.01,0,IF(CF246=1,0,IF(BC246=0.5,0,IF(AND(CI246=1,AU246=3),0,IF(AND(CI246=5,CL246=0),0,IF(AND(R246=12,BR246=50),0,IF(CK246&gt;0.01,0,IF(AND(AJ246&gt;0.01,AU246=2,BC246=15),CM246*0.1,IF(AND(AJ246&gt;0.01,AU246=3,BC246=15),CM246*0.08,IF(AND(R246=12,BC246=3,AF246&lt;=0),0,IF(AND(BC246=15,BI246=0),0,IF(AND(BC246=15,BJ246=0),0,IF(AND(R246=20,CU246=0),0,IF($X$4=0,0,IF(AND(BC246=250,CL246=0),0,IF(AA246&lt;1,0,IF(AND(ISNUMBER(SEARCH("Area",T246)),AU246=3),0,IF(AND(AQ246&gt;0.01,AR246=0,BK246=0,BL246=0,BM246=0,BN246=0),0,IF(AND(AU246=3,CI246=7,CT246&gt;0.5),0,IF(AND(BC246=44,AU246=3,BY246=0),0,IF(AND(BC246=27,'Data Entry'!$C$74=2),0,IF(AND(BC246=28,'Data Entry'!$C$74=2),0,IF(AND(BY246+BZ246+CA246&gt;0.01,BV246=0,EQ246+ER246+ES246+ET246&lt;100),0,IF(AU246=3,CM246*0.08,IF(AU246=2,CM246*0.1,0)))))))))))))))))))))))))))))</f>
        <v>0</v>
      </c>
      <c r="CO246" s="660">
        <f t="shared" si="283"/>
        <v>0</v>
      </c>
      <c r="CP246" s="475" t="str">
        <f t="shared" si="284"/>
        <v/>
      </c>
      <c r="CQ246" s="161" t="str">
        <f>IF(AH246=0,0,IF(AU246=5,0,Summary!AC249))</f>
        <v/>
      </c>
      <c r="CR246" s="161" t="str">
        <f>IF(BF246=0.5,0,IF(AU246=5,0,Summary!AD249))</f>
        <v/>
      </c>
      <c r="CS246" s="161" t="str">
        <f>IF(AU246=5,0,Summary!AE249)</f>
        <v/>
      </c>
      <c r="CT246" s="161">
        <f t="shared" si="285"/>
        <v>0</v>
      </c>
      <c r="CU246" s="475" t="str">
        <f t="shared" si="286"/>
        <v/>
      </c>
      <c r="CV246" s="307">
        <f>IF('Data Entry'!$C$74=0,0,IF(AA246&lt;1,0,IF(ISERROR(CU246),0,IF(CF246=1,0,IF(AND(R246=12,BR246=50),0,IF(CL246+BO246+BV246+DC246=0,0,IF(BC246=37,0,IF(AND(BC246=40,AJ246=0),0,IF(AND(BC246=37,BO246&gt;0.01,BQ246&gt;0.01),ROUND(BQ246,0),IF(CM246&lt;0,0,ROUND(CM246,0)))))))))))</f>
        <v>0</v>
      </c>
      <c r="CW246" s="700">
        <f t="shared" si="287"/>
        <v>0</v>
      </c>
      <c r="CX246" s="477">
        <f>IF('Data Entry'!$C$74=0,0,IF(CV246&lt;0.01,0,IF(BF246=0.5,0,IF(CF246=1,0,IF(ISNUMBER(SEARCH("false",CL246)),0,IF(AZ246=500,0,CL246))))))</f>
        <v>0</v>
      </c>
      <c r="CY246" s="147" t="e">
        <f t="shared" si="288"/>
        <v>#VALUE!</v>
      </c>
      <c r="CZ246" s="147" t="b">
        <f>IF(CN246+CL246=0,FALSE,IF(AH246=0,0,IF(AND('Data Entry'!$C$74=1,CR246&gt;=1),TRUE,IF(AND('Data Entry'!$C$74=2,CS246&gt;=1),TRUE,FALSE))))</f>
        <v>0</v>
      </c>
      <c r="DA246" s="1751">
        <f>IF('Data Entry'!$C$74=0,0,IFERROR(ROUND(IF(T246="","",IF($X$4=0,0,IF(CF246=1,0,IF(BQ246+CV246=0,0,IF(CF246=1,0,IF(CY246&gt;0.01,CY246,IF(CL246&gt;0.01,CL246,IF(CY246&gt;0.01,CY246,IF(BC246=37,BO246,IF(CZ246=FALSE,0,IF(CZ246=TRUE,DC246+DF246,0))))))))))),2),""))</f>
        <v>0</v>
      </c>
      <c r="DB246" s="1752"/>
      <c r="DC246" s="474">
        <f>IF(CN246&lt;0.01,0,IF(AND(BR246=3,CN246&gt;0.01,CT246&gt;0.6,ER246+ES246+ET246&lt;100),0,IF(AND('Data Entry'!$C$74=1,CN246&gt;0.01,CR246&gt;0.99),MIN(CN246:CO246),IF(AND('Data Entry'!$C$74=2,CN246&gt;0.01,CS246&gt;0.99),MIN(CN246:CO246),0))))</f>
        <v>0</v>
      </c>
      <c r="DD246" s="478">
        <f>IF(CF246=1,"Selection does not match",IF(T246=0,0,IF(AND('Data Entry'!$C$74=0,CP246&gt;1),"Select Oregon or Idaho on Data Entry Tab",IF(AND(AU246=1,AA246&gt;0.9),"Missing Interior or Exterior Selection",IF($X$4=0,"Enter Total Project Cost",IF(AQ246&lt;AR246,"Insufficient kWh savings – no incentive",IF(AND(SUM(CL246+CK246+BV246)&gt;0.01,'Data Entry'!$C$74=2,CJ246&gt;1,BO246=0),"Submit Control as Non-Standard",IF(AND('Data Entry'!$C$74=2,BR246=37,CJ246&gt;1,BO246=0),"Submit Control as Non-Standard",IF(SUM(CL246+CK246+BV246)&gt;0.01,"Standard Incentive",IF(AND('Data Entry'!$C$74=2,CP246=7,CN246=0),"Submit as Non-Standard",IF(DC246&gt;0.9,"Non-Standard Incentive",IF(AND(BY246+BZ246+CA246&gt;0.01,BV246=0,EQ246=0,ER246=0,ES246=0,ET246=0),"Scroll Right &amp; Select Control Strategies",IF(AND(CN246&gt;0.01,CO246=0),"Enter Unit Installed Cost",IF(ISNUMBER(SEARCH("Lighting Controls Only",F246)),"Lighting Controls Only",IF(CL246+DC246=0,"Does not meet incentive criteria",0)))))))))))))))</f>
        <v>0</v>
      </c>
      <c r="DE246" s="337">
        <f t="shared" si="289"/>
        <v>0</v>
      </c>
      <c r="DF246" s="609">
        <f t="shared" si="290"/>
        <v>0</v>
      </c>
      <c r="DG246" s="336" t="str">
        <f t="shared" si="291"/>
        <v/>
      </c>
      <c r="DH246" s="338">
        <f t="shared" si="292"/>
        <v>1</v>
      </c>
      <c r="DI246" s="336" t="e">
        <f t="shared" si="247"/>
        <v>#VALUE!</v>
      </c>
      <c r="DJ246" s="338">
        <f t="shared" si="248"/>
        <v>0</v>
      </c>
      <c r="DO246" s="81"/>
      <c r="DP246" s="81"/>
      <c r="DQ246" s="81"/>
      <c r="DR246" s="81"/>
      <c r="DS246" s="1195">
        <f t="shared" si="293"/>
        <v>0</v>
      </c>
      <c r="DT246" s="344" t="b">
        <f t="shared" si="294"/>
        <v>1</v>
      </c>
      <c r="DU246" s="1314" t="str">
        <f t="array" ref="DU246">IF(OR(COUNTIF(F246,"*"&amp;$DK$9:$DK$178&amp;"*")), "Yes", "")</f>
        <v/>
      </c>
      <c r="DV246" s="1314">
        <f t="shared" si="295"/>
        <v>0</v>
      </c>
      <c r="DW246" s="1480">
        <f t="shared" si="296"/>
        <v>0</v>
      </c>
      <c r="DX246" s="1498">
        <f t="shared" si="305"/>
        <v>0</v>
      </c>
      <c r="DY246" s="1484">
        <f t="shared" si="297"/>
        <v>0</v>
      </c>
      <c r="DZ246" s="331"/>
      <c r="EA246" s="392"/>
      <c r="EB246" s="1499" t="s">
        <v>184</v>
      </c>
      <c r="EC246" s="727" t="s">
        <v>1569</v>
      </c>
      <c r="ED246" s="728">
        <v>0.5</v>
      </c>
      <c r="EE246" s="1215"/>
      <c r="EF246" s="1215"/>
      <c r="EG246" s="1184" t="str">
        <f t="shared" si="298"/>
        <v/>
      </c>
      <c r="EH246" s="81"/>
      <c r="EI246" s="81"/>
      <c r="EJ246" s="1185">
        <f t="shared" si="249"/>
        <v>0</v>
      </c>
      <c r="EK246" s="1211"/>
      <c r="EL246" s="1180">
        <f t="shared" si="250"/>
        <v>0</v>
      </c>
      <c r="EM246" s="206"/>
      <c r="EN246" s="1038"/>
      <c r="EO246" s="1038"/>
      <c r="EP246" s="1038"/>
      <c r="EQ246" s="1038">
        <f t="shared" si="299"/>
        <v>0</v>
      </c>
      <c r="ER246" s="1041">
        <f t="shared" si="300"/>
        <v>0</v>
      </c>
      <c r="ES246" s="1042">
        <f t="shared" si="301"/>
        <v>0</v>
      </c>
      <c r="ET246" s="1042">
        <f t="shared" si="306"/>
        <v>0</v>
      </c>
      <c r="EU246" s="1021">
        <f t="shared" si="307"/>
        <v>0</v>
      </c>
      <c r="EV246" s="368"/>
      <c r="EW246" s="368"/>
      <c r="EX246" s="369"/>
      <c r="EY246" s="370"/>
      <c r="EZ246" s="370"/>
      <c r="FA246" s="371"/>
      <c r="FB246" s="372"/>
    </row>
    <row r="247" spans="1:158" ht="34.5" customHeight="1">
      <c r="A247" s="82">
        <v>239</v>
      </c>
      <c r="B247" s="1806"/>
      <c r="C247" s="1807"/>
      <c r="D247" s="1807"/>
      <c r="E247" s="1808"/>
      <c r="F247" s="1809"/>
      <c r="G247" s="1810"/>
      <c r="H247" s="1810"/>
      <c r="I247" s="1811"/>
      <c r="J247" s="1301"/>
      <c r="K247" s="1814"/>
      <c r="L247" s="1814"/>
      <c r="M247" s="1017"/>
      <c r="N247" s="1584"/>
      <c r="O247" s="208" t="str">
        <f t="shared" si="237"/>
        <v/>
      </c>
      <c r="P247" s="785"/>
      <c r="Q247" s="39" t="str">
        <f t="shared" si="238"/>
        <v/>
      </c>
      <c r="R247" s="39">
        <f t="shared" si="251"/>
        <v>0</v>
      </c>
      <c r="S247" s="234">
        <f t="shared" si="252"/>
        <v>0</v>
      </c>
      <c r="T247" s="1815"/>
      <c r="U247" s="1815"/>
      <c r="V247" s="1815"/>
      <c r="W247" s="1121"/>
      <c r="X247" s="1812"/>
      <c r="Y247" s="1813"/>
      <c r="Z247" s="703"/>
      <c r="AA247" s="1280"/>
      <c r="AB247" s="1141"/>
      <c r="AC247" s="1103" t="str">
        <f>IF(T247="","",VLOOKUP(Z247,Lists!$A$60:$B$111,2,FALSE))</f>
        <v/>
      </c>
      <c r="AD247" s="130" t="str">
        <f t="shared" si="253"/>
        <v/>
      </c>
      <c r="AE247" s="130" t="e">
        <f t="shared" si="254"/>
        <v>#VALUE!</v>
      </c>
      <c r="AF247" s="130">
        <f t="shared" si="255"/>
        <v>1</v>
      </c>
      <c r="AG247" s="234">
        <f t="shared" si="239"/>
        <v>0</v>
      </c>
      <c r="AH247" s="1753" t="str">
        <f>IF(T247="","",(IF(ISNUMBER(SEARCH("exit",T247)),8760,IF(AND(M247="Dusk to Dawn",'Proposed Lighting'!AU247=3),4059,IF(AND(AU247=3,M247="1"),0,IF(AND(AU247=3,M247="1-C"),0,IF(AND(AU247=3,M247="2"),0,IF(AND(AU247=3,M247="2-C"),0,IF(AND(AU247=3,M247="3"),0,IF(AND(AU247=3,M247="3-C"),0,IF(AND(AU247=2,M247="Dusk to Dawn"),0,IF(AND(AU247=2,M247="Dusk to Dawn-C"),0,IF(AND(AU247=2,M247="Dusk to Dawn"),0,IF(AND(AU247=2,M247="E"),0,IF(AND(AU247=2,M247="E-C"),0,EG247)))))))))))))))</f>
        <v/>
      </c>
      <c r="AI247" s="1754"/>
      <c r="AJ247" s="1136"/>
      <c r="AK247" s="1136"/>
      <c r="AL247" s="1748">
        <f t="shared" si="256"/>
        <v>0</v>
      </c>
      <c r="AM247" s="1749"/>
      <c r="AN247" s="1750"/>
      <c r="AO247" s="476">
        <f t="shared" si="240"/>
        <v>0</v>
      </c>
      <c r="AP247" s="476">
        <f t="shared" si="257"/>
        <v>0</v>
      </c>
      <c r="AQ247" s="475">
        <f t="shared" si="241"/>
        <v>0</v>
      </c>
      <c r="AR247" s="475">
        <f t="shared" si="258"/>
        <v>0</v>
      </c>
      <c r="AS247" s="743" t="str">
        <f t="shared" si="310"/>
        <v/>
      </c>
      <c r="AT247" s="736" t="str">
        <f t="shared" si="259"/>
        <v/>
      </c>
      <c r="AU247" s="56">
        <f t="shared" si="260"/>
        <v>1</v>
      </c>
      <c r="AV247" s="476">
        <f t="shared" si="261"/>
        <v>0</v>
      </c>
      <c r="AW247" s="56">
        <f t="shared" si="262"/>
        <v>0</v>
      </c>
      <c r="AX247" s="475">
        <f t="shared" si="242"/>
        <v>0</v>
      </c>
      <c r="AY247" s="1169">
        <f t="shared" si="263"/>
        <v>0</v>
      </c>
      <c r="AZ247" s="1150">
        <f t="shared" si="302"/>
        <v>0</v>
      </c>
      <c r="BA247" s="56">
        <f t="shared" si="243"/>
        <v>0</v>
      </c>
      <c r="BB247" s="420">
        <f t="shared" si="244"/>
        <v>0</v>
      </c>
      <c r="BC247" s="58" t="str">
        <f t="shared" si="245"/>
        <v/>
      </c>
      <c r="BD247" s="660">
        <f t="shared" si="303"/>
        <v>0</v>
      </c>
      <c r="BE247" s="57" t="e">
        <f t="array" ref="BE247">INDEX($EB$11:$ED$1022,MATCH(F247&amp;T247,$EB$11:$EB$1007&amp;$EC$11:$EC$1007,0),3)</f>
        <v>#N/A</v>
      </c>
      <c r="BF247" s="463">
        <f t="shared" si="311"/>
        <v>0</v>
      </c>
      <c r="BG247" s="1445" t="e">
        <f t="array" ref="BG247">INDEX($DO$112:$DQ$123,MATCH(T247&amp;W247,$DO$114:$DO$125&amp;$DP$112:$DP$123,0),3)</f>
        <v>#N/A</v>
      </c>
      <c r="BH247" s="1446">
        <f t="shared" si="264"/>
        <v>0</v>
      </c>
      <c r="BI247" s="465">
        <f t="shared" si="265"/>
        <v>0</v>
      </c>
      <c r="BJ247" s="465">
        <f t="shared" si="266"/>
        <v>0</v>
      </c>
      <c r="BK247" s="466">
        <f t="shared" si="312"/>
        <v>0</v>
      </c>
      <c r="BL247" s="466">
        <f t="shared" si="313"/>
        <v>0</v>
      </c>
      <c r="BM247" s="466">
        <f t="shared" si="267"/>
        <v>0</v>
      </c>
      <c r="BN247" s="466">
        <f t="shared" si="268"/>
        <v>0</v>
      </c>
      <c r="BO247" s="463">
        <f>IF('Data Entry'!$C$74=0,0,IF(ISNA(CJ247),0,IF(AX247=0,0,IF(AND('Data Entry'!$C$74=2,AF247&gt;2,CE247&lt;1),0,IF(AND('Data Entry'!$C$74=2,AF247&gt;1,AU247=2,CJ247&gt;1),0,IF(AND(AF247=5,CT247=0.5,AU247=2,ER247&lt;100),0,IF(AND(AF247=5,CT247=0.5,AU247=3,ER247&lt;100),0,IF(AND('Data Entry'!$C$74=2,AF247=2,AU247=2,AK247&gt;0.01,CB247=2,CE247&lt;1),0,IF(AND('Data Entry'!$C$74=2,AF247=3,AU247=3,AK247&gt;0.01,CB247=3,CE247&lt;1),0,IF(AND('Data Entry'!$C$74=2,AF247=3,AU247=3,AK247&gt;0.01,CB247=3,CE247&gt;0.99),BQ247*0.08,IF(AND('Data Entry'!$C$74=2,AF247=2,AU247=2,AK247&gt;0.01,CB247=2,CE247&gt;0.99),BQ247*0.1,IF(AND(AU247=2,AK247&gt;0.01,CB247=2,CD247&gt;1),BQ247*0.1,IF(AND(AU247=3,AK247&gt;0.01,CB247=3,CD247&gt;1),BQ247*0.08,CJ247*EF247)))))))))))))</f>
        <v>0</v>
      </c>
      <c r="BP247" s="475">
        <f t="shared" si="269"/>
        <v>0</v>
      </c>
      <c r="BQ247" s="1431">
        <f>IF(AU247=1,0,IF(CH247=100,0,IF(AND(AF247=3,AU247=2),0,IF(AND(BH247=0,CT247&gt;0.4),0,IF(AND('Data Entry'!$C$74=2,AF247=1.5),0,IF(AND('Data Entry'!$C$74=2,AF247=1.6),0,IF(AND('Data Entry'!$C$74=2,AF247=4),0,IF(AND('Data Entry'!$C$74=2,AF247=5),0,IF(AND('Data Entry'!$C$74=2,AF247=2.5,CE247&lt;1),0,IF(AND('Data Entry'!$C$74=2,AF247=3,CE247&lt;1),0,IF(AND('Data Entry'!$C$74=1,AF247=2.5,CD247&lt;1),0,IF(AND('Data Entry'!$C$74=1,AF247=3,CD247&lt;1),0,IF(DX247&gt;0.01,DX247,IF(ISERROR(AX247-AY247),"",ROUND(AX247-AY247,2)))))))))))))))</f>
        <v>0</v>
      </c>
      <c r="BR247" s="146">
        <f t="shared" si="270"/>
        <v>0</v>
      </c>
      <c r="BS247" s="475">
        <f t="shared" si="271"/>
        <v>0</v>
      </c>
      <c r="BT247" s="146" t="b">
        <f t="shared" si="272"/>
        <v>0</v>
      </c>
      <c r="BU247" s="463">
        <f>IF(ISNA(AT247),0,IF(AND('Data Entry'!$C$74=2,BC247=27),0,IF(AND('Data Entry'!$C$74=2,BC247=28),0,IF(AND(BC247=27,BT247=27,CM247&gt;0.1),CM247*0.15,IF(AND(BC247=28,BT247=28,CM247&gt;0.1),CM247*0.12,0)))))</f>
        <v>0</v>
      </c>
      <c r="BV247" s="463">
        <f t="shared" si="309"/>
        <v>0</v>
      </c>
      <c r="BW247" s="463">
        <f t="shared" si="273"/>
        <v>0</v>
      </c>
      <c r="BX247" s="463">
        <f t="shared" si="274"/>
        <v>0</v>
      </c>
      <c r="BY247" s="463">
        <f t="shared" si="275"/>
        <v>0</v>
      </c>
      <c r="BZ247" s="463">
        <f t="shared" si="276"/>
        <v>0</v>
      </c>
      <c r="CA247" s="57">
        <f t="shared" si="304"/>
        <v>0</v>
      </c>
      <c r="CB247" s="56">
        <f t="shared" si="277"/>
        <v>1</v>
      </c>
      <c r="CC247" s="756">
        <f>IF(EE247=0,0,IF(EF247=0,0,IF(EE247&gt;AA247,0,IF(AND(AZ247&gt;AW247,AW247&gt;0),0,IF(CU247=0,0,Summary!AC550)))))</f>
        <v>0</v>
      </c>
      <c r="CD247" s="756">
        <f>IF(EE247=0,0,IF(EF247=0,0,IF(EE247&gt;AA247,0,IF(AND(AZ247&gt;AW247,AW247&gt;0),0,IF(CU247=0,0,Summary!AD550)))))</f>
        <v>0</v>
      </c>
      <c r="CE247" s="756">
        <f>IF(EF247=0,0,IF(EE247&gt;AA247,0,IF(CC247=0,0,IF(AND(AZ247&gt;AW247,AW247&gt;0),0,IF(CU247=0,0,Summary!AE550)))))</f>
        <v>0</v>
      </c>
      <c r="CF247" s="475">
        <f t="shared" si="278"/>
        <v>0</v>
      </c>
      <c r="CG247" s="476">
        <f t="shared" si="246"/>
        <v>0</v>
      </c>
      <c r="CH247" s="487">
        <f t="shared" si="279"/>
        <v>0</v>
      </c>
      <c r="CI247" s="756">
        <f t="shared" si="280"/>
        <v>0</v>
      </c>
      <c r="CJ247" s="487">
        <f>IF(CT247&gt;0.4,0,IF(AND(AU247=2,CH247=0,CT247=0.5,ER247=100),35,IF(AND(AU247=3,BB247&gt;75,CH247=0,CT247=0.5,ER247=100),25,IF(CB247&gt;1,0,IF(EF247&gt;EE247,0,IF(AND(AF247&gt;1,CH247=100),0,IF(AND(AF247=1,AY247=0),0,IF(AND(EF247&lt;=EE247,AW247&gt;=AZ247,'Data Entry'!$C$74=1,AU247=2),VLOOKUP(W247,$DO$96:$DP$102,2,FALSE),IF(AND(EF247&lt;=EE247,AW247&gt;=AZ247,AU247=3,'Data Entry'!$C$74=1),VLOOKUP(W247,$DO$127:$DP$134,2,FALSE))))))))))</f>
        <v>0</v>
      </c>
      <c r="CK247" s="716">
        <f t="shared" si="281"/>
        <v>0</v>
      </c>
      <c r="CL247" s="57">
        <f t="shared" si="282"/>
        <v>0</v>
      </c>
      <c r="CM247" s="475">
        <f t="shared" si="308"/>
        <v>0</v>
      </c>
      <c r="CN247" s="660">
        <f>IF(CM247&lt;0.1,0,IF(ISNA(AT247),0,IF(CL247+BC247=1,0,IF(BV247&gt;0.01,0,IF(CL247&gt;0.01,0,IF(CF247=1,0,IF(BC247=0.5,0,IF(AND(CI247=1,AU247=3),0,IF(AND(CI247=5,CL247=0),0,IF(AND(R247=12,BR247=50),0,IF(CK247&gt;0.01,0,IF(AND(AJ247&gt;0.01,AU247=2,BC247=15),CM247*0.1,IF(AND(AJ247&gt;0.01,AU247=3,BC247=15),CM247*0.08,IF(AND(R247=12,BC247=3,AF247&lt;=0),0,IF(AND(BC247=15,BI247=0),0,IF(AND(BC247=15,BJ247=0),0,IF(AND(R247=20,CU247=0),0,IF($X$4=0,0,IF(AND(BC247=250,CL247=0),0,IF(AA247&lt;1,0,IF(AND(ISNUMBER(SEARCH("Area",T247)),AU247=3),0,IF(AND(AQ247&gt;0.01,AR247=0,BK247=0,BL247=0,BM247=0,BN247=0),0,IF(AND(AU247=3,CI247=7,CT247&gt;0.5),0,IF(AND(BC247=44,AU247=3,BY247=0),0,IF(AND(BC247=27,'Data Entry'!$C$74=2),0,IF(AND(BC247=28,'Data Entry'!$C$74=2),0,IF(AND(BY247+BZ247+CA247&gt;0.01,BV247=0,EQ247+ER247+ES247+ET247&lt;100),0,IF(AU247=3,CM247*0.08,IF(AU247=2,CM247*0.1,0)))))))))))))))))))))))))))))</f>
        <v>0</v>
      </c>
      <c r="CO247" s="660">
        <f t="shared" si="283"/>
        <v>0</v>
      </c>
      <c r="CP247" s="475" t="str">
        <f t="shared" si="284"/>
        <v/>
      </c>
      <c r="CQ247" s="161" t="str">
        <f>IF(AH247=0,0,IF(AU247=5,0,Summary!AC250))</f>
        <v/>
      </c>
      <c r="CR247" s="161" t="str">
        <f>IF(BF247=0.5,0,IF(AU247=5,0,Summary!AD250))</f>
        <v/>
      </c>
      <c r="CS247" s="161" t="str">
        <f>IF(AU247=5,0,Summary!AE250)</f>
        <v/>
      </c>
      <c r="CT247" s="161">
        <f t="shared" si="285"/>
        <v>0</v>
      </c>
      <c r="CU247" s="475" t="str">
        <f t="shared" si="286"/>
        <v/>
      </c>
      <c r="CV247" s="307">
        <f>IF('Data Entry'!$C$74=0,0,IF(AA247&lt;1,0,IF(ISERROR(CU247),0,IF(CF247=1,0,IF(AND(R247=12,BR247=50),0,IF(CL247+BO247+BV247+DC247=0,0,IF(BC247=37,0,IF(AND(BC247=40,AJ247=0),0,IF(AND(BC247=37,BO247&gt;0.01,BQ247&gt;0.01),ROUND(BQ247,0),IF(CM247&lt;0,0,ROUND(CM247,0)))))))))))</f>
        <v>0</v>
      </c>
      <c r="CW247" s="700">
        <f t="shared" si="287"/>
        <v>0</v>
      </c>
      <c r="CX247" s="477">
        <f>IF('Data Entry'!$C$74=0,0,IF(CV247&lt;0.01,0,IF(BF247=0.5,0,IF(CF247=1,0,IF(ISNUMBER(SEARCH("false",CL247)),0,IF(AZ247=500,0,CL247))))))</f>
        <v>0</v>
      </c>
      <c r="CY247" s="147" t="e">
        <f t="shared" si="288"/>
        <v>#VALUE!</v>
      </c>
      <c r="CZ247" s="147" t="b">
        <f>IF(CN247+CL247=0,FALSE,IF(AH247=0,0,IF(AND('Data Entry'!$C$74=1,CR247&gt;=1),TRUE,IF(AND('Data Entry'!$C$74=2,CS247&gt;=1),TRUE,FALSE))))</f>
        <v>0</v>
      </c>
      <c r="DA247" s="1751">
        <f>IF('Data Entry'!$C$74=0,0,IFERROR(ROUND(IF(T247="","",IF($X$4=0,0,IF(CF247=1,0,IF(BQ247+CV247=0,0,IF(CF247=1,0,IF(CY247&gt;0.01,CY247,IF(CL247&gt;0.01,CL247,IF(CY247&gt;0.01,CY247,IF(BC247=37,BO247,IF(CZ247=FALSE,0,IF(CZ247=TRUE,DC247+DF247,0))))))))))),2),""))</f>
        <v>0</v>
      </c>
      <c r="DB247" s="1752"/>
      <c r="DC247" s="474">
        <f>IF(CN247&lt;0.01,0,IF(AND(BR247=3,CN247&gt;0.01,CT247&gt;0.6,ER247+ES247+ET247&lt;100),0,IF(AND('Data Entry'!$C$74=1,CN247&gt;0.01,CR247&gt;0.99),MIN(CN247:CO247),IF(AND('Data Entry'!$C$74=2,CN247&gt;0.01,CS247&gt;0.99),MIN(CN247:CO247),0))))</f>
        <v>0</v>
      </c>
      <c r="DD247" s="478">
        <f>IF(CF247=1,"Selection does not match",IF(T247=0,0,IF(AND('Data Entry'!$C$74=0,CP247&gt;1),"Select Oregon or Idaho on Data Entry Tab",IF(AND(AU247=1,AA247&gt;0.9),"Missing Interior or Exterior Selection",IF($X$4=0,"Enter Total Project Cost",IF(AQ247&lt;AR247,"Insufficient kWh savings – no incentive",IF(AND(SUM(CL247+CK247+BV247)&gt;0.01,'Data Entry'!$C$74=2,CJ247&gt;1,BO247=0),"Submit Control as Non-Standard",IF(AND('Data Entry'!$C$74=2,BR247=37,CJ247&gt;1,BO247=0),"Submit Control as Non-Standard",IF(SUM(CL247+CK247+BV247)&gt;0.01,"Standard Incentive",IF(AND('Data Entry'!$C$74=2,CP247=7,CN247=0),"Submit as Non-Standard",IF(DC247&gt;0.9,"Non-Standard Incentive",IF(AND(BY247+BZ247+CA247&gt;0.01,BV247=0,EQ247=0,ER247=0,ES247=0,ET247=0),"Scroll Right &amp; Select Control Strategies",IF(AND(CN247&gt;0.01,CO247=0),"Enter Unit Installed Cost",IF(ISNUMBER(SEARCH("Lighting Controls Only",F247)),"Lighting Controls Only",IF(CL247+DC247=0,"Does not meet incentive criteria",0)))))))))))))))</f>
        <v>0</v>
      </c>
      <c r="DE247" s="337">
        <f t="shared" si="289"/>
        <v>0</v>
      </c>
      <c r="DF247" s="609">
        <f t="shared" si="290"/>
        <v>0</v>
      </c>
      <c r="DG247" s="336" t="str">
        <f t="shared" si="291"/>
        <v/>
      </c>
      <c r="DH247" s="338">
        <f t="shared" si="292"/>
        <v>1</v>
      </c>
      <c r="DI247" s="336" t="e">
        <f t="shared" si="247"/>
        <v>#VALUE!</v>
      </c>
      <c r="DJ247" s="338">
        <f t="shared" si="248"/>
        <v>0</v>
      </c>
      <c r="DO247" s="81"/>
      <c r="DP247" s="81"/>
      <c r="DQ247" s="81"/>
      <c r="DR247" s="81"/>
      <c r="DS247" s="1195">
        <f t="shared" si="293"/>
        <v>0</v>
      </c>
      <c r="DT247" s="344" t="b">
        <f t="shared" si="294"/>
        <v>1</v>
      </c>
      <c r="DU247" s="1314" t="str">
        <f t="array" ref="DU247">IF(OR(COUNTIF(F247,"*"&amp;$DK$9:$DK$178&amp;"*")), "Yes", "")</f>
        <v/>
      </c>
      <c r="DV247" s="1314">
        <f t="shared" si="295"/>
        <v>0</v>
      </c>
      <c r="DW247" s="1480">
        <f t="shared" si="296"/>
        <v>0</v>
      </c>
      <c r="DX247" s="1498">
        <f t="shared" si="305"/>
        <v>0</v>
      </c>
      <c r="DY247" s="1484">
        <f t="shared" si="297"/>
        <v>0</v>
      </c>
      <c r="DZ247" s="331"/>
      <c r="EA247" s="392"/>
      <c r="EB247" s="1499" t="s">
        <v>106</v>
      </c>
      <c r="EC247" s="727" t="s">
        <v>1569</v>
      </c>
      <c r="ED247" s="728">
        <v>0.5</v>
      </c>
      <c r="EE247" s="1215"/>
      <c r="EF247" s="1215"/>
      <c r="EG247" s="1184" t="str">
        <f t="shared" si="298"/>
        <v/>
      </c>
      <c r="EH247" s="81"/>
      <c r="EI247" s="81"/>
      <c r="EJ247" s="1185">
        <f t="shared" si="249"/>
        <v>0</v>
      </c>
      <c r="EK247" s="1211"/>
      <c r="EL247" s="1180">
        <f t="shared" si="250"/>
        <v>0</v>
      </c>
      <c r="EM247" s="206"/>
      <c r="EN247" s="1038"/>
      <c r="EO247" s="1038"/>
      <c r="EP247" s="1038"/>
      <c r="EQ247" s="1038">
        <f t="shared" si="299"/>
        <v>0</v>
      </c>
      <c r="ER247" s="1041">
        <f t="shared" si="300"/>
        <v>0</v>
      </c>
      <c r="ES247" s="1042">
        <f t="shared" si="301"/>
        <v>0</v>
      </c>
      <c r="ET247" s="1042">
        <f t="shared" si="306"/>
        <v>0</v>
      </c>
      <c r="EU247" s="1021">
        <f t="shared" si="307"/>
        <v>0</v>
      </c>
      <c r="EV247" s="368"/>
      <c r="EW247" s="368"/>
      <c r="EX247" s="369"/>
      <c r="EY247" s="370"/>
      <c r="EZ247" s="370"/>
      <c r="FA247" s="371"/>
      <c r="FB247" s="372"/>
    </row>
    <row r="248" spans="1:158" ht="34.5" customHeight="1">
      <c r="A248" s="82">
        <v>240</v>
      </c>
      <c r="B248" s="1806"/>
      <c r="C248" s="1807"/>
      <c r="D248" s="1807"/>
      <c r="E248" s="1808"/>
      <c r="F248" s="1809"/>
      <c r="G248" s="1810"/>
      <c r="H248" s="1810"/>
      <c r="I248" s="1811"/>
      <c r="J248" s="1301"/>
      <c r="K248" s="1814"/>
      <c r="L248" s="1814"/>
      <c r="M248" s="1017"/>
      <c r="N248" s="1584"/>
      <c r="O248" s="208" t="str">
        <f t="shared" si="237"/>
        <v/>
      </c>
      <c r="P248" s="785"/>
      <c r="Q248" s="39" t="str">
        <f t="shared" si="238"/>
        <v/>
      </c>
      <c r="R248" s="39">
        <f t="shared" si="251"/>
        <v>0</v>
      </c>
      <c r="S248" s="234">
        <f t="shared" si="252"/>
        <v>0</v>
      </c>
      <c r="T248" s="1815"/>
      <c r="U248" s="1815"/>
      <c r="V248" s="1815"/>
      <c r="W248" s="1121"/>
      <c r="X248" s="1812"/>
      <c r="Y248" s="1813"/>
      <c r="Z248" s="703"/>
      <c r="AA248" s="1280"/>
      <c r="AB248" s="1141"/>
      <c r="AC248" s="1103" t="str">
        <f>IF(T248="","",VLOOKUP(Z248,Lists!$A$60:$B$111,2,FALSE))</f>
        <v/>
      </c>
      <c r="AD248" s="130" t="str">
        <f t="shared" si="253"/>
        <v/>
      </c>
      <c r="AE248" s="130" t="e">
        <f t="shared" si="254"/>
        <v>#VALUE!</v>
      </c>
      <c r="AF248" s="130">
        <f t="shared" si="255"/>
        <v>1</v>
      </c>
      <c r="AG248" s="234">
        <f t="shared" si="239"/>
        <v>0</v>
      </c>
      <c r="AH248" s="1753" t="str">
        <f>IF(T248="","",(IF(ISNUMBER(SEARCH("exit",T248)),8760,IF(AND(M248="Dusk to Dawn",'Proposed Lighting'!AU248=3),4059,IF(AND(AU248=3,M248="1"),0,IF(AND(AU248=3,M248="1-C"),0,IF(AND(AU248=3,M248="2"),0,IF(AND(AU248=3,M248="2-C"),0,IF(AND(AU248=3,M248="3"),0,IF(AND(AU248=3,M248="3-C"),0,IF(AND(AU248=2,M248="Dusk to Dawn"),0,IF(AND(AU248=2,M248="Dusk to Dawn-C"),0,IF(AND(AU248=2,M248="Dusk to Dawn"),0,IF(AND(AU248=2,M248="E"),0,IF(AND(AU248=2,M248="E-C"),0,EG248)))))))))))))))</f>
        <v/>
      </c>
      <c r="AI248" s="1754"/>
      <c r="AJ248" s="1136"/>
      <c r="AK248" s="1136"/>
      <c r="AL248" s="1748">
        <f t="shared" si="256"/>
        <v>0</v>
      </c>
      <c r="AM248" s="1749"/>
      <c r="AN248" s="1750"/>
      <c r="AO248" s="476">
        <f t="shared" si="240"/>
        <v>0</v>
      </c>
      <c r="AP248" s="476">
        <f t="shared" si="257"/>
        <v>0</v>
      </c>
      <c r="AQ248" s="475">
        <f t="shared" si="241"/>
        <v>0</v>
      </c>
      <c r="AR248" s="475">
        <f t="shared" si="258"/>
        <v>0</v>
      </c>
      <c r="AS248" s="743" t="str">
        <f t="shared" si="310"/>
        <v/>
      </c>
      <c r="AT248" s="736" t="str">
        <f t="shared" si="259"/>
        <v/>
      </c>
      <c r="AU248" s="56">
        <f t="shared" si="260"/>
        <v>1</v>
      </c>
      <c r="AV248" s="476">
        <f t="shared" si="261"/>
        <v>0</v>
      </c>
      <c r="AW248" s="56">
        <f t="shared" si="262"/>
        <v>0</v>
      </c>
      <c r="AX248" s="475">
        <f t="shared" si="242"/>
        <v>0</v>
      </c>
      <c r="AY248" s="1169">
        <f t="shared" si="263"/>
        <v>0</v>
      </c>
      <c r="AZ248" s="1150">
        <f t="shared" si="302"/>
        <v>0</v>
      </c>
      <c r="BA248" s="56">
        <f t="shared" si="243"/>
        <v>0</v>
      </c>
      <c r="BB248" s="420">
        <f t="shared" si="244"/>
        <v>0</v>
      </c>
      <c r="BC248" s="58" t="str">
        <f t="shared" si="245"/>
        <v/>
      </c>
      <c r="BD248" s="660">
        <f t="shared" si="303"/>
        <v>0</v>
      </c>
      <c r="BE248" s="57" t="e">
        <f t="array" ref="BE248">INDEX($EB$11:$ED$1022,MATCH(F248&amp;T248,$EB$11:$EB$1007&amp;$EC$11:$EC$1007,0),3)</f>
        <v>#N/A</v>
      </c>
      <c r="BF248" s="463">
        <f t="shared" si="311"/>
        <v>0</v>
      </c>
      <c r="BG248" s="1445" t="e">
        <f t="array" ref="BG248">INDEX($DO$112:$DQ$123,MATCH(T248&amp;W248,$DO$114:$DO$125&amp;$DP$112:$DP$123,0),3)</f>
        <v>#N/A</v>
      </c>
      <c r="BH248" s="1446">
        <f t="shared" si="264"/>
        <v>0</v>
      </c>
      <c r="BI248" s="465">
        <f t="shared" si="265"/>
        <v>0</v>
      </c>
      <c r="BJ248" s="465">
        <f t="shared" si="266"/>
        <v>0</v>
      </c>
      <c r="BK248" s="466">
        <f t="shared" si="312"/>
        <v>0</v>
      </c>
      <c r="BL248" s="466">
        <f t="shared" si="313"/>
        <v>0</v>
      </c>
      <c r="BM248" s="466">
        <f t="shared" si="267"/>
        <v>0</v>
      </c>
      <c r="BN248" s="466">
        <f t="shared" si="268"/>
        <v>0</v>
      </c>
      <c r="BO248" s="463">
        <f>IF('Data Entry'!$C$74=0,0,IF(ISNA(CJ248),0,IF(AX248=0,0,IF(AND('Data Entry'!$C$74=2,AF248&gt;2,CE248&lt;1),0,IF(AND('Data Entry'!$C$74=2,AF248&gt;1,AU248=2,CJ248&gt;1),0,IF(AND(AF248=5,CT248=0.5,AU248=2,ER248&lt;100),0,IF(AND(AF248=5,CT248=0.5,AU248=3,ER248&lt;100),0,IF(AND('Data Entry'!$C$74=2,AF248=2,AU248=2,AK248&gt;0.01,CB248=2,CE248&lt;1),0,IF(AND('Data Entry'!$C$74=2,AF248=3,AU248=3,AK248&gt;0.01,CB248=3,CE248&lt;1),0,IF(AND('Data Entry'!$C$74=2,AF248=3,AU248=3,AK248&gt;0.01,CB248=3,CE248&gt;0.99),BQ248*0.08,IF(AND('Data Entry'!$C$74=2,AF248=2,AU248=2,AK248&gt;0.01,CB248=2,CE248&gt;0.99),BQ248*0.1,IF(AND(AU248=2,AK248&gt;0.01,CB248=2,CD248&gt;1),BQ248*0.1,IF(AND(AU248=3,AK248&gt;0.01,CB248=3,CD248&gt;1),BQ248*0.08,CJ248*EF248)))))))))))))</f>
        <v>0</v>
      </c>
      <c r="BP248" s="475">
        <f t="shared" si="269"/>
        <v>0</v>
      </c>
      <c r="BQ248" s="1431">
        <f>IF(AU248=1,0,IF(CH248=100,0,IF(AND(AF248=3,AU248=2),0,IF(AND(BH248=0,CT248&gt;0.4),0,IF(AND('Data Entry'!$C$74=2,AF248=1.5),0,IF(AND('Data Entry'!$C$74=2,AF248=1.6),0,IF(AND('Data Entry'!$C$74=2,AF248=4),0,IF(AND('Data Entry'!$C$74=2,AF248=5),0,IF(AND('Data Entry'!$C$74=2,AF248=2.5,CE248&lt;1),0,IF(AND('Data Entry'!$C$74=2,AF248=3,CE248&lt;1),0,IF(AND('Data Entry'!$C$74=1,AF248=2.5,CD248&lt;1),0,IF(AND('Data Entry'!$C$74=1,AF248=3,CD248&lt;1),0,IF(DX248&gt;0.01,DX248,IF(ISERROR(AX248-AY248),"",ROUND(AX248-AY248,2)))))))))))))))</f>
        <v>0</v>
      </c>
      <c r="BR248" s="146">
        <f t="shared" si="270"/>
        <v>0</v>
      </c>
      <c r="BS248" s="475">
        <f t="shared" si="271"/>
        <v>0</v>
      </c>
      <c r="BT248" s="146" t="b">
        <f t="shared" si="272"/>
        <v>0</v>
      </c>
      <c r="BU248" s="463">
        <f>IF(ISNA(AT248),0,IF(AND('Data Entry'!$C$74=2,BC248=27),0,IF(AND('Data Entry'!$C$74=2,BC248=28),0,IF(AND(BC248=27,BT248=27,CM248&gt;0.1),CM248*0.15,IF(AND(BC248=28,BT248=28,CM248&gt;0.1),CM248*0.12,0)))))</f>
        <v>0</v>
      </c>
      <c r="BV248" s="463">
        <f t="shared" si="309"/>
        <v>0</v>
      </c>
      <c r="BW248" s="463">
        <f t="shared" si="273"/>
        <v>0</v>
      </c>
      <c r="BX248" s="463">
        <f t="shared" si="274"/>
        <v>0</v>
      </c>
      <c r="BY248" s="463">
        <f t="shared" si="275"/>
        <v>0</v>
      </c>
      <c r="BZ248" s="463">
        <f t="shared" si="276"/>
        <v>0</v>
      </c>
      <c r="CA248" s="57">
        <f t="shared" si="304"/>
        <v>0</v>
      </c>
      <c r="CB248" s="56">
        <f t="shared" si="277"/>
        <v>1</v>
      </c>
      <c r="CC248" s="756">
        <f>IF(EE248=0,0,IF(EF248=0,0,IF(EE248&gt;AA248,0,IF(AND(AZ248&gt;AW248,AW248&gt;0),0,IF(CU248=0,0,Summary!AC551)))))</f>
        <v>0</v>
      </c>
      <c r="CD248" s="756">
        <f>IF(EE248=0,0,IF(EF248=0,0,IF(EE248&gt;AA248,0,IF(AND(AZ248&gt;AW248,AW248&gt;0),0,IF(CU248=0,0,Summary!AD551)))))</f>
        <v>0</v>
      </c>
      <c r="CE248" s="756">
        <f>IF(EF248=0,0,IF(EE248&gt;AA248,0,IF(CC248=0,0,IF(AND(AZ248&gt;AW248,AW248&gt;0),0,IF(CU248=0,0,Summary!AE551)))))</f>
        <v>0</v>
      </c>
      <c r="CF248" s="475">
        <f t="shared" si="278"/>
        <v>0</v>
      </c>
      <c r="CG248" s="476">
        <f t="shared" si="246"/>
        <v>0</v>
      </c>
      <c r="CH248" s="487">
        <f t="shared" si="279"/>
        <v>0</v>
      </c>
      <c r="CI248" s="756">
        <f t="shared" si="280"/>
        <v>0</v>
      </c>
      <c r="CJ248" s="487">
        <f>IF(CT248&gt;0.4,0,IF(AND(AU248=2,CH248=0,CT248=0.5,ER248=100),35,IF(AND(AU248=3,BB248&gt;75,CH248=0,CT248=0.5,ER248=100),25,IF(CB248&gt;1,0,IF(EF248&gt;EE248,0,IF(AND(AF248&gt;1,CH248=100),0,IF(AND(AF248=1,AY248=0),0,IF(AND(EF248&lt;=EE248,AW248&gt;=AZ248,'Data Entry'!$C$74=1,AU248=2),VLOOKUP(W248,$DO$96:$DP$102,2,FALSE),IF(AND(EF248&lt;=EE248,AW248&gt;=AZ248,AU248=3,'Data Entry'!$C$74=1),VLOOKUP(W248,$DO$127:$DP$134,2,FALSE))))))))))</f>
        <v>0</v>
      </c>
      <c r="CK248" s="716">
        <f t="shared" si="281"/>
        <v>0</v>
      </c>
      <c r="CL248" s="57">
        <f t="shared" si="282"/>
        <v>0</v>
      </c>
      <c r="CM248" s="475">
        <f t="shared" si="308"/>
        <v>0</v>
      </c>
      <c r="CN248" s="660">
        <f>IF(CM248&lt;0.1,0,IF(ISNA(AT248),0,IF(CL248+BC248=1,0,IF(BV248&gt;0.01,0,IF(CL248&gt;0.01,0,IF(CF248=1,0,IF(BC248=0.5,0,IF(AND(CI248=1,AU248=3),0,IF(AND(CI248=5,CL248=0),0,IF(AND(R248=12,BR248=50),0,IF(CK248&gt;0.01,0,IF(AND(AJ248&gt;0.01,AU248=2,BC248=15),CM248*0.1,IF(AND(AJ248&gt;0.01,AU248=3,BC248=15),CM248*0.08,IF(AND(R248=12,BC248=3,AF248&lt;=0),0,IF(AND(BC248=15,BI248=0),0,IF(AND(BC248=15,BJ248=0),0,IF(AND(R248=20,CU248=0),0,IF($X$4=0,0,IF(AND(BC248=250,CL248=0),0,IF(AA248&lt;1,0,IF(AND(ISNUMBER(SEARCH("Area",T248)),AU248=3),0,IF(AND(AQ248&gt;0.01,AR248=0,BK248=0,BL248=0,BM248=0,BN248=0),0,IF(AND(AU248=3,CI248=7,CT248&gt;0.5),0,IF(AND(BC248=44,AU248=3,BY248=0),0,IF(AND(BC248=27,'Data Entry'!$C$74=2),0,IF(AND(BC248=28,'Data Entry'!$C$74=2),0,IF(AND(BY248+BZ248+CA248&gt;0.01,BV248=0,EQ248+ER248+ES248+ET248&lt;100),0,IF(AU248=3,CM248*0.08,IF(AU248=2,CM248*0.1,0)))))))))))))))))))))))))))))</f>
        <v>0</v>
      </c>
      <c r="CO248" s="660">
        <f t="shared" si="283"/>
        <v>0</v>
      </c>
      <c r="CP248" s="475" t="str">
        <f t="shared" si="284"/>
        <v/>
      </c>
      <c r="CQ248" s="161" t="str">
        <f>IF(AH248=0,0,IF(AU248=5,0,Summary!AC251))</f>
        <v/>
      </c>
      <c r="CR248" s="161" t="str">
        <f>IF(BF248=0.5,0,IF(AU248=5,0,Summary!AD251))</f>
        <v/>
      </c>
      <c r="CS248" s="161" t="str">
        <f>IF(AU248=5,0,Summary!AE251)</f>
        <v/>
      </c>
      <c r="CT248" s="161">
        <f t="shared" si="285"/>
        <v>0</v>
      </c>
      <c r="CU248" s="475" t="str">
        <f t="shared" si="286"/>
        <v/>
      </c>
      <c r="CV248" s="307">
        <f>IF('Data Entry'!$C$74=0,0,IF(AA248&lt;1,0,IF(ISERROR(CU248),0,IF(CF248=1,0,IF(AND(R248=12,BR248=50),0,IF(CL248+BO248+BV248+DC248=0,0,IF(BC248=37,0,IF(AND(BC248=40,AJ248=0),0,IF(AND(BC248=37,BO248&gt;0.01,BQ248&gt;0.01),ROUND(BQ248,0),IF(CM248&lt;0,0,ROUND(CM248,0)))))))))))</f>
        <v>0</v>
      </c>
      <c r="CW248" s="700">
        <f t="shared" si="287"/>
        <v>0</v>
      </c>
      <c r="CX248" s="477">
        <f>IF('Data Entry'!$C$74=0,0,IF(CV248&lt;0.01,0,IF(BF248=0.5,0,IF(CF248=1,0,IF(ISNUMBER(SEARCH("false",CL248)),0,IF(AZ248=500,0,CL248))))))</f>
        <v>0</v>
      </c>
      <c r="CY248" s="147" t="e">
        <f t="shared" si="288"/>
        <v>#VALUE!</v>
      </c>
      <c r="CZ248" s="147" t="b">
        <f>IF(CN248+CL248=0,FALSE,IF(AH248=0,0,IF(AND('Data Entry'!$C$74=1,CR248&gt;=1),TRUE,IF(AND('Data Entry'!$C$74=2,CS248&gt;=1),TRUE,FALSE))))</f>
        <v>0</v>
      </c>
      <c r="DA248" s="1751">
        <f>IF('Data Entry'!$C$74=0,0,IFERROR(ROUND(IF(T248="","",IF($X$4=0,0,IF(CF248=1,0,IF(BQ248+CV248=0,0,IF(CF248=1,0,IF(CY248&gt;0.01,CY248,IF(CL248&gt;0.01,CL248,IF(CY248&gt;0.01,CY248,IF(BC248=37,BO248,IF(CZ248=FALSE,0,IF(CZ248=TRUE,DC248+DF248,0))))))))))),2),""))</f>
        <v>0</v>
      </c>
      <c r="DB248" s="1752"/>
      <c r="DC248" s="474">
        <f>IF(CN248&lt;0.01,0,IF(AND(BR248=3,CN248&gt;0.01,CT248&gt;0.6,ER248+ES248+ET248&lt;100),0,IF(AND('Data Entry'!$C$74=1,CN248&gt;0.01,CR248&gt;0.99),MIN(CN248:CO248),IF(AND('Data Entry'!$C$74=2,CN248&gt;0.01,CS248&gt;0.99),MIN(CN248:CO248),0))))</f>
        <v>0</v>
      </c>
      <c r="DD248" s="478">
        <f>IF(CF248=1,"Selection does not match",IF(T248=0,0,IF(AND('Data Entry'!$C$74=0,CP248&gt;1),"Select Oregon or Idaho on Data Entry Tab",IF(AND(AU248=1,AA248&gt;0.9),"Missing Interior or Exterior Selection",IF($X$4=0,"Enter Total Project Cost",IF(AQ248&lt;AR248,"Insufficient kWh savings – no incentive",IF(AND(SUM(CL248+CK248+BV248)&gt;0.01,'Data Entry'!$C$74=2,CJ248&gt;1,BO248=0),"Submit Control as Non-Standard",IF(AND('Data Entry'!$C$74=2,BR248=37,CJ248&gt;1,BO248=0),"Submit Control as Non-Standard",IF(SUM(CL248+CK248+BV248)&gt;0.01,"Standard Incentive",IF(AND('Data Entry'!$C$74=2,CP248=7,CN248=0),"Submit as Non-Standard",IF(DC248&gt;0.9,"Non-Standard Incentive",IF(AND(BY248+BZ248+CA248&gt;0.01,BV248=0,EQ248=0,ER248=0,ES248=0,ET248=0),"Scroll Right &amp; Select Control Strategies",IF(AND(CN248&gt;0.01,CO248=0),"Enter Unit Installed Cost",IF(ISNUMBER(SEARCH("Lighting Controls Only",F248)),"Lighting Controls Only",IF(CL248+DC248=0,"Does not meet incentive criteria",0)))))))))))))))</f>
        <v>0</v>
      </c>
      <c r="DE248" s="337">
        <f t="shared" si="289"/>
        <v>0</v>
      </c>
      <c r="DF248" s="609">
        <f t="shared" si="290"/>
        <v>0</v>
      </c>
      <c r="DG248" s="336" t="str">
        <f t="shared" si="291"/>
        <v/>
      </c>
      <c r="DH248" s="338">
        <f t="shared" si="292"/>
        <v>1</v>
      </c>
      <c r="DI248" s="336" t="e">
        <f t="shared" si="247"/>
        <v>#VALUE!</v>
      </c>
      <c r="DJ248" s="338">
        <f t="shared" si="248"/>
        <v>0</v>
      </c>
      <c r="DO248" s="81"/>
      <c r="DP248" s="81"/>
      <c r="DQ248" s="81"/>
      <c r="DR248" s="81"/>
      <c r="DS248" s="1195">
        <f t="shared" si="293"/>
        <v>0</v>
      </c>
      <c r="DT248" s="344" t="b">
        <f t="shared" si="294"/>
        <v>1</v>
      </c>
      <c r="DU248" s="1314" t="str">
        <f t="array" ref="DU248">IF(OR(COUNTIF(F248,"*"&amp;$DK$9:$DK$178&amp;"*")), "Yes", "")</f>
        <v/>
      </c>
      <c r="DV248" s="1314">
        <f t="shared" si="295"/>
        <v>0</v>
      </c>
      <c r="DW248" s="1480">
        <f t="shared" si="296"/>
        <v>0</v>
      </c>
      <c r="DX248" s="1498">
        <f t="shared" si="305"/>
        <v>0</v>
      </c>
      <c r="DY248" s="1484">
        <f t="shared" si="297"/>
        <v>0</v>
      </c>
      <c r="DZ248" s="331"/>
      <c r="EA248" s="392"/>
      <c r="EB248" s="1499" t="s">
        <v>107</v>
      </c>
      <c r="EC248" s="727" t="s">
        <v>1569</v>
      </c>
      <c r="ED248" s="728">
        <v>0.5</v>
      </c>
      <c r="EE248" s="1215"/>
      <c r="EF248" s="1215"/>
      <c r="EG248" s="1184" t="str">
        <f t="shared" si="298"/>
        <v/>
      </c>
      <c r="EH248" s="81"/>
      <c r="EI248" s="81"/>
      <c r="EJ248" s="1185">
        <f t="shared" si="249"/>
        <v>0</v>
      </c>
      <c r="EK248" s="1211"/>
      <c r="EL248" s="1180">
        <f t="shared" si="250"/>
        <v>0</v>
      </c>
      <c r="EM248" s="206"/>
      <c r="EN248" s="1038"/>
      <c r="EO248" s="1038"/>
      <c r="EP248" s="1038"/>
      <c r="EQ248" s="1038">
        <f t="shared" si="299"/>
        <v>0</v>
      </c>
      <c r="ER248" s="1041">
        <f t="shared" si="300"/>
        <v>0</v>
      </c>
      <c r="ES248" s="1042">
        <f t="shared" si="301"/>
        <v>0</v>
      </c>
      <c r="ET248" s="1042">
        <f t="shared" si="306"/>
        <v>0</v>
      </c>
      <c r="EU248" s="1021">
        <f t="shared" si="307"/>
        <v>0</v>
      </c>
      <c r="EV248" s="368"/>
      <c r="EW248" s="368"/>
      <c r="EX248" s="369"/>
      <c r="EY248" s="370"/>
      <c r="EZ248" s="370"/>
      <c r="FA248" s="371"/>
      <c r="FB248" s="372"/>
    </row>
    <row r="249" spans="1:158" ht="34.5" customHeight="1">
      <c r="A249" s="82">
        <v>241</v>
      </c>
      <c r="B249" s="1806"/>
      <c r="C249" s="1807"/>
      <c r="D249" s="1807"/>
      <c r="E249" s="1808"/>
      <c r="F249" s="1809"/>
      <c r="G249" s="1810"/>
      <c r="H249" s="1810"/>
      <c r="I249" s="1811"/>
      <c r="J249" s="1301"/>
      <c r="K249" s="1814"/>
      <c r="L249" s="1814"/>
      <c r="M249" s="1017"/>
      <c r="N249" s="1584"/>
      <c r="O249" s="208" t="str">
        <f t="shared" si="237"/>
        <v/>
      </c>
      <c r="P249" s="785"/>
      <c r="Q249" s="39" t="str">
        <f t="shared" si="238"/>
        <v/>
      </c>
      <c r="R249" s="39">
        <f t="shared" si="251"/>
        <v>0</v>
      </c>
      <c r="S249" s="234">
        <f t="shared" si="252"/>
        <v>0</v>
      </c>
      <c r="T249" s="1815"/>
      <c r="U249" s="1815"/>
      <c r="V249" s="1815"/>
      <c r="W249" s="1121"/>
      <c r="X249" s="1812"/>
      <c r="Y249" s="1813"/>
      <c r="Z249" s="703"/>
      <c r="AA249" s="1280"/>
      <c r="AB249" s="1141"/>
      <c r="AC249" s="1103" t="str">
        <f>IF(T249="","",VLOOKUP(Z249,Lists!$A$60:$B$111,2,FALSE))</f>
        <v/>
      </c>
      <c r="AD249" s="130" t="str">
        <f t="shared" si="253"/>
        <v/>
      </c>
      <c r="AE249" s="130" t="e">
        <f t="shared" si="254"/>
        <v>#VALUE!</v>
      </c>
      <c r="AF249" s="130">
        <f t="shared" si="255"/>
        <v>1</v>
      </c>
      <c r="AG249" s="234">
        <f t="shared" si="239"/>
        <v>0</v>
      </c>
      <c r="AH249" s="1753" t="str">
        <f>IF(T249="","",(IF(ISNUMBER(SEARCH("exit",T249)),8760,IF(AND(M249="Dusk to Dawn",'Proposed Lighting'!AU249=3),4059,IF(AND(AU249=3,M249="1"),0,IF(AND(AU249=3,M249="1-C"),0,IF(AND(AU249=3,M249="2"),0,IF(AND(AU249=3,M249="2-C"),0,IF(AND(AU249=3,M249="3"),0,IF(AND(AU249=3,M249="3-C"),0,IF(AND(AU249=2,M249="Dusk to Dawn"),0,IF(AND(AU249=2,M249="Dusk to Dawn-C"),0,IF(AND(AU249=2,M249="Dusk to Dawn"),0,IF(AND(AU249=2,M249="E"),0,IF(AND(AU249=2,M249="E-C"),0,EG249)))))))))))))))</f>
        <v/>
      </c>
      <c r="AI249" s="1754"/>
      <c r="AJ249" s="1136"/>
      <c r="AK249" s="1136"/>
      <c r="AL249" s="1748">
        <f t="shared" si="256"/>
        <v>0</v>
      </c>
      <c r="AM249" s="1749"/>
      <c r="AN249" s="1750"/>
      <c r="AO249" s="476">
        <f t="shared" si="240"/>
        <v>0</v>
      </c>
      <c r="AP249" s="476">
        <f t="shared" si="257"/>
        <v>0</v>
      </c>
      <c r="AQ249" s="475">
        <f t="shared" si="241"/>
        <v>0</v>
      </c>
      <c r="AR249" s="475">
        <f t="shared" si="258"/>
        <v>0</v>
      </c>
      <c r="AS249" s="743" t="str">
        <f t="shared" si="310"/>
        <v/>
      </c>
      <c r="AT249" s="736" t="str">
        <f t="shared" si="259"/>
        <v/>
      </c>
      <c r="AU249" s="56">
        <f t="shared" si="260"/>
        <v>1</v>
      </c>
      <c r="AV249" s="476">
        <f t="shared" si="261"/>
        <v>0</v>
      </c>
      <c r="AW249" s="56">
        <f t="shared" si="262"/>
        <v>0</v>
      </c>
      <c r="AX249" s="475">
        <f t="shared" si="242"/>
        <v>0</v>
      </c>
      <c r="AY249" s="1169">
        <f t="shared" si="263"/>
        <v>0</v>
      </c>
      <c r="AZ249" s="1150">
        <f t="shared" si="302"/>
        <v>0</v>
      </c>
      <c r="BA249" s="56">
        <f t="shared" si="243"/>
        <v>0</v>
      </c>
      <c r="BB249" s="420">
        <f t="shared" si="244"/>
        <v>0</v>
      </c>
      <c r="BC249" s="58" t="str">
        <f t="shared" si="245"/>
        <v/>
      </c>
      <c r="BD249" s="660">
        <f t="shared" si="303"/>
        <v>0</v>
      </c>
      <c r="BE249" s="57" t="e">
        <f t="array" ref="BE249">INDEX($EB$11:$ED$1022,MATCH(F249&amp;T249,$EB$11:$EB$1007&amp;$EC$11:$EC$1007,0),3)</f>
        <v>#N/A</v>
      </c>
      <c r="BF249" s="463">
        <f t="shared" si="311"/>
        <v>0</v>
      </c>
      <c r="BG249" s="1445" t="e">
        <f t="array" ref="BG249">INDEX($DO$112:$DQ$123,MATCH(T249&amp;W249,$DO$114:$DO$125&amp;$DP$112:$DP$123,0),3)</f>
        <v>#N/A</v>
      </c>
      <c r="BH249" s="1446">
        <f t="shared" si="264"/>
        <v>0</v>
      </c>
      <c r="BI249" s="465">
        <f t="shared" si="265"/>
        <v>0</v>
      </c>
      <c r="BJ249" s="465">
        <f t="shared" si="266"/>
        <v>0</v>
      </c>
      <c r="BK249" s="466">
        <f t="shared" si="312"/>
        <v>0</v>
      </c>
      <c r="BL249" s="466">
        <f t="shared" si="313"/>
        <v>0</v>
      </c>
      <c r="BM249" s="466">
        <f t="shared" si="267"/>
        <v>0</v>
      </c>
      <c r="BN249" s="466">
        <f t="shared" si="268"/>
        <v>0</v>
      </c>
      <c r="BO249" s="463">
        <f>IF('Data Entry'!$C$74=0,0,IF(ISNA(CJ249),0,IF(AX249=0,0,IF(AND('Data Entry'!$C$74=2,AF249&gt;2,CE249&lt;1),0,IF(AND('Data Entry'!$C$74=2,AF249&gt;1,AU249=2,CJ249&gt;1),0,IF(AND(AF249=5,CT249=0.5,AU249=2,ER249&lt;100),0,IF(AND(AF249=5,CT249=0.5,AU249=3,ER249&lt;100),0,IF(AND('Data Entry'!$C$74=2,AF249=2,AU249=2,AK249&gt;0.01,CB249=2,CE249&lt;1),0,IF(AND('Data Entry'!$C$74=2,AF249=3,AU249=3,AK249&gt;0.01,CB249=3,CE249&lt;1),0,IF(AND('Data Entry'!$C$74=2,AF249=3,AU249=3,AK249&gt;0.01,CB249=3,CE249&gt;0.99),BQ249*0.08,IF(AND('Data Entry'!$C$74=2,AF249=2,AU249=2,AK249&gt;0.01,CB249=2,CE249&gt;0.99),BQ249*0.1,IF(AND(AU249=2,AK249&gt;0.01,CB249=2,CD249&gt;1),BQ249*0.1,IF(AND(AU249=3,AK249&gt;0.01,CB249=3,CD249&gt;1),BQ249*0.08,CJ249*EF249)))))))))))))</f>
        <v>0</v>
      </c>
      <c r="BP249" s="475">
        <f t="shared" si="269"/>
        <v>0</v>
      </c>
      <c r="BQ249" s="1431">
        <f>IF(AU249=1,0,IF(CH249=100,0,IF(AND(AF249=3,AU249=2),0,IF(AND(BH249=0,CT249&gt;0.4),0,IF(AND('Data Entry'!$C$74=2,AF249=1.5),0,IF(AND('Data Entry'!$C$74=2,AF249=1.6),0,IF(AND('Data Entry'!$C$74=2,AF249=4),0,IF(AND('Data Entry'!$C$74=2,AF249=5),0,IF(AND('Data Entry'!$C$74=2,AF249=2.5,CE249&lt;1),0,IF(AND('Data Entry'!$C$74=2,AF249=3,CE249&lt;1),0,IF(AND('Data Entry'!$C$74=1,AF249=2.5,CD249&lt;1),0,IF(AND('Data Entry'!$C$74=1,AF249=3,CD249&lt;1),0,IF(DX249&gt;0.01,DX249,IF(ISERROR(AX249-AY249),"",ROUND(AX249-AY249,2)))))))))))))))</f>
        <v>0</v>
      </c>
      <c r="BR249" s="146">
        <f t="shared" si="270"/>
        <v>0</v>
      </c>
      <c r="BS249" s="475">
        <f t="shared" si="271"/>
        <v>0</v>
      </c>
      <c r="BT249" s="146" t="b">
        <f t="shared" si="272"/>
        <v>0</v>
      </c>
      <c r="BU249" s="463">
        <f>IF(ISNA(AT249),0,IF(AND('Data Entry'!$C$74=2,BC249=27),0,IF(AND('Data Entry'!$C$74=2,BC249=28),0,IF(AND(BC249=27,BT249=27,CM249&gt;0.1),CM249*0.15,IF(AND(BC249=28,BT249=28,CM249&gt;0.1),CM249*0.12,0)))))</f>
        <v>0</v>
      </c>
      <c r="BV249" s="463">
        <f t="shared" si="309"/>
        <v>0</v>
      </c>
      <c r="BW249" s="463">
        <f t="shared" si="273"/>
        <v>0</v>
      </c>
      <c r="BX249" s="463">
        <f t="shared" si="274"/>
        <v>0</v>
      </c>
      <c r="BY249" s="463">
        <f t="shared" si="275"/>
        <v>0</v>
      </c>
      <c r="BZ249" s="463">
        <f t="shared" si="276"/>
        <v>0</v>
      </c>
      <c r="CA249" s="57">
        <f t="shared" si="304"/>
        <v>0</v>
      </c>
      <c r="CB249" s="56">
        <f t="shared" si="277"/>
        <v>1</v>
      </c>
      <c r="CC249" s="756">
        <f>IF(EE249=0,0,IF(EF249=0,0,IF(EE249&gt;AA249,0,IF(AND(AZ249&gt;AW249,AW249&gt;0),0,IF(CU249=0,0,Summary!AC552)))))</f>
        <v>0</v>
      </c>
      <c r="CD249" s="756">
        <f>IF(EE249=0,0,IF(EF249=0,0,IF(EE249&gt;AA249,0,IF(AND(AZ249&gt;AW249,AW249&gt;0),0,IF(CU249=0,0,Summary!AD552)))))</f>
        <v>0</v>
      </c>
      <c r="CE249" s="756">
        <f>IF(EF249=0,0,IF(EE249&gt;AA249,0,IF(CC249=0,0,IF(AND(AZ249&gt;AW249,AW249&gt;0),0,IF(CU249=0,0,Summary!AE552)))))</f>
        <v>0</v>
      </c>
      <c r="CF249" s="475">
        <f t="shared" si="278"/>
        <v>0</v>
      </c>
      <c r="CG249" s="476">
        <f t="shared" si="246"/>
        <v>0</v>
      </c>
      <c r="CH249" s="487">
        <f t="shared" si="279"/>
        <v>0</v>
      </c>
      <c r="CI249" s="756">
        <f t="shared" si="280"/>
        <v>0</v>
      </c>
      <c r="CJ249" s="487">
        <f>IF(CT249&gt;0.4,0,IF(AND(AU249=2,CH249=0,CT249=0.5,ER249=100),35,IF(AND(AU249=3,BB249&gt;75,CH249=0,CT249=0.5,ER249=100),25,IF(CB249&gt;1,0,IF(EF249&gt;EE249,0,IF(AND(AF249&gt;1,CH249=100),0,IF(AND(AF249=1,AY249=0),0,IF(AND(EF249&lt;=EE249,AW249&gt;=AZ249,'Data Entry'!$C$74=1,AU249=2),VLOOKUP(W249,$DO$96:$DP$102,2,FALSE),IF(AND(EF249&lt;=EE249,AW249&gt;=AZ249,AU249=3,'Data Entry'!$C$74=1),VLOOKUP(W249,$DO$127:$DP$134,2,FALSE))))))))))</f>
        <v>0</v>
      </c>
      <c r="CK249" s="716">
        <f t="shared" si="281"/>
        <v>0</v>
      </c>
      <c r="CL249" s="57">
        <f t="shared" si="282"/>
        <v>0</v>
      </c>
      <c r="CM249" s="475">
        <f t="shared" si="308"/>
        <v>0</v>
      </c>
      <c r="CN249" s="660">
        <f>IF(CM249&lt;0.1,0,IF(ISNA(AT249),0,IF(CL249+BC249=1,0,IF(BV249&gt;0.01,0,IF(CL249&gt;0.01,0,IF(CF249=1,0,IF(BC249=0.5,0,IF(AND(CI249=1,AU249=3),0,IF(AND(CI249=5,CL249=0),0,IF(AND(R249=12,BR249=50),0,IF(CK249&gt;0.01,0,IF(AND(AJ249&gt;0.01,AU249=2,BC249=15),CM249*0.1,IF(AND(AJ249&gt;0.01,AU249=3,BC249=15),CM249*0.08,IF(AND(R249=12,BC249=3,AF249&lt;=0),0,IF(AND(BC249=15,BI249=0),0,IF(AND(BC249=15,BJ249=0),0,IF(AND(R249=20,CU249=0),0,IF($X$4=0,0,IF(AND(BC249=250,CL249=0),0,IF(AA249&lt;1,0,IF(AND(ISNUMBER(SEARCH("Area",T249)),AU249=3),0,IF(AND(AQ249&gt;0.01,AR249=0,BK249=0,BL249=0,BM249=0,BN249=0),0,IF(AND(AU249=3,CI249=7,CT249&gt;0.5),0,IF(AND(BC249=44,AU249=3,BY249=0),0,IF(AND(BC249=27,'Data Entry'!$C$74=2),0,IF(AND(BC249=28,'Data Entry'!$C$74=2),0,IF(AND(BY249+BZ249+CA249&gt;0.01,BV249=0,EQ249+ER249+ES249+ET249&lt;100),0,IF(AU249=3,CM249*0.08,IF(AU249=2,CM249*0.1,0)))))))))))))))))))))))))))))</f>
        <v>0</v>
      </c>
      <c r="CO249" s="660">
        <f t="shared" si="283"/>
        <v>0</v>
      </c>
      <c r="CP249" s="475" t="str">
        <f t="shared" si="284"/>
        <v/>
      </c>
      <c r="CQ249" s="161" t="str">
        <f>IF(AH249=0,0,IF(AU249=5,0,Summary!AC252))</f>
        <v/>
      </c>
      <c r="CR249" s="161" t="str">
        <f>IF(BF249=0.5,0,IF(AU249=5,0,Summary!AD252))</f>
        <v/>
      </c>
      <c r="CS249" s="161" t="str">
        <f>IF(AU249=5,0,Summary!AE252)</f>
        <v/>
      </c>
      <c r="CT249" s="161">
        <f t="shared" si="285"/>
        <v>0</v>
      </c>
      <c r="CU249" s="475" t="str">
        <f t="shared" si="286"/>
        <v/>
      </c>
      <c r="CV249" s="307">
        <f>IF('Data Entry'!$C$74=0,0,IF(AA249&lt;1,0,IF(ISERROR(CU249),0,IF(CF249=1,0,IF(AND(R249=12,BR249=50),0,IF(CL249+BO249+BV249+DC249=0,0,IF(BC249=37,0,IF(AND(BC249=40,AJ249=0),0,IF(AND(BC249=37,BO249&gt;0.01,BQ249&gt;0.01),ROUND(BQ249,0),IF(CM249&lt;0,0,ROUND(CM249,0)))))))))))</f>
        <v>0</v>
      </c>
      <c r="CW249" s="700">
        <f t="shared" si="287"/>
        <v>0</v>
      </c>
      <c r="CX249" s="477">
        <f>IF('Data Entry'!$C$74=0,0,IF(CV249&lt;0.01,0,IF(BF249=0.5,0,IF(CF249=1,0,IF(ISNUMBER(SEARCH("false",CL249)),0,IF(AZ249=500,0,CL249))))))</f>
        <v>0</v>
      </c>
      <c r="CY249" s="147" t="e">
        <f t="shared" si="288"/>
        <v>#VALUE!</v>
      </c>
      <c r="CZ249" s="147" t="b">
        <f>IF(CN249+CL249=0,FALSE,IF(AH249=0,0,IF(AND('Data Entry'!$C$74=1,CR249&gt;=1),TRUE,IF(AND('Data Entry'!$C$74=2,CS249&gt;=1),TRUE,FALSE))))</f>
        <v>0</v>
      </c>
      <c r="DA249" s="1751">
        <f>IF('Data Entry'!$C$74=0,0,IFERROR(ROUND(IF(T249="","",IF($X$4=0,0,IF(CF249=1,0,IF(BQ249+CV249=0,0,IF(CF249=1,0,IF(CY249&gt;0.01,CY249,IF(CL249&gt;0.01,CL249,IF(CY249&gt;0.01,CY249,IF(BC249=37,BO249,IF(CZ249=FALSE,0,IF(CZ249=TRUE,DC249+DF249,0))))))))))),2),""))</f>
        <v>0</v>
      </c>
      <c r="DB249" s="1752"/>
      <c r="DC249" s="474">
        <f>IF(CN249&lt;0.01,0,IF(AND(BR249=3,CN249&gt;0.01,CT249&gt;0.6,ER249+ES249+ET249&lt;100),0,IF(AND('Data Entry'!$C$74=1,CN249&gt;0.01,CR249&gt;0.99),MIN(CN249:CO249),IF(AND('Data Entry'!$C$74=2,CN249&gt;0.01,CS249&gt;0.99),MIN(CN249:CO249),0))))</f>
        <v>0</v>
      </c>
      <c r="DD249" s="478">
        <f>IF(CF249=1,"Selection does not match",IF(T249=0,0,IF(AND('Data Entry'!$C$74=0,CP249&gt;1),"Select Oregon or Idaho on Data Entry Tab",IF(AND(AU249=1,AA249&gt;0.9),"Missing Interior or Exterior Selection",IF($X$4=0,"Enter Total Project Cost",IF(AQ249&lt;AR249,"Insufficient kWh savings – no incentive",IF(AND(SUM(CL249+CK249+BV249)&gt;0.01,'Data Entry'!$C$74=2,CJ249&gt;1,BO249=0),"Submit Control as Non-Standard",IF(AND('Data Entry'!$C$74=2,BR249=37,CJ249&gt;1,BO249=0),"Submit Control as Non-Standard",IF(SUM(CL249+CK249+BV249)&gt;0.01,"Standard Incentive",IF(AND('Data Entry'!$C$74=2,CP249=7,CN249=0),"Submit as Non-Standard",IF(DC249&gt;0.9,"Non-Standard Incentive",IF(AND(BY249+BZ249+CA249&gt;0.01,BV249=0,EQ249=0,ER249=0,ES249=0,ET249=0),"Scroll Right &amp; Select Control Strategies",IF(AND(CN249&gt;0.01,CO249=0),"Enter Unit Installed Cost",IF(ISNUMBER(SEARCH("Lighting Controls Only",F249)),"Lighting Controls Only",IF(CL249+DC249=0,"Does not meet incentive criteria",0)))))))))))))))</f>
        <v>0</v>
      </c>
      <c r="DE249" s="337">
        <f t="shared" si="289"/>
        <v>0</v>
      </c>
      <c r="DF249" s="609">
        <f t="shared" si="290"/>
        <v>0</v>
      </c>
      <c r="DG249" s="336" t="str">
        <f t="shared" si="291"/>
        <v/>
      </c>
      <c r="DH249" s="338">
        <f t="shared" si="292"/>
        <v>1</v>
      </c>
      <c r="DI249" s="336" t="e">
        <f t="shared" si="247"/>
        <v>#VALUE!</v>
      </c>
      <c r="DJ249" s="338">
        <f t="shared" si="248"/>
        <v>0</v>
      </c>
      <c r="DO249" s="81"/>
      <c r="DP249" s="81"/>
      <c r="DQ249" s="81"/>
      <c r="DR249" s="81"/>
      <c r="DS249" s="1195">
        <f t="shared" si="293"/>
        <v>0</v>
      </c>
      <c r="DT249" s="344" t="b">
        <f t="shared" si="294"/>
        <v>1</v>
      </c>
      <c r="DU249" s="1314" t="str">
        <f t="array" ref="DU249">IF(OR(COUNTIF(F249,"*"&amp;$DK$9:$DK$178&amp;"*")), "Yes", "")</f>
        <v/>
      </c>
      <c r="DV249" s="1314">
        <f t="shared" si="295"/>
        <v>0</v>
      </c>
      <c r="DW249" s="1480">
        <f t="shared" si="296"/>
        <v>0</v>
      </c>
      <c r="DX249" s="1498">
        <f t="shared" si="305"/>
        <v>0</v>
      </c>
      <c r="DY249" s="1484">
        <f t="shared" si="297"/>
        <v>0</v>
      </c>
      <c r="DZ249" s="331"/>
      <c r="EA249" s="392"/>
      <c r="EB249" s="1499" t="s">
        <v>185</v>
      </c>
      <c r="EC249" s="727" t="s">
        <v>1569</v>
      </c>
      <c r="ED249" s="728">
        <v>0.5</v>
      </c>
      <c r="EE249" s="1215"/>
      <c r="EF249" s="1215"/>
      <c r="EG249" s="1184" t="str">
        <f t="shared" si="298"/>
        <v/>
      </c>
      <c r="EH249" s="81"/>
      <c r="EI249" s="81"/>
      <c r="EJ249" s="1185">
        <f t="shared" si="249"/>
        <v>0</v>
      </c>
      <c r="EK249" s="1211"/>
      <c r="EL249" s="1180">
        <f t="shared" si="250"/>
        <v>0</v>
      </c>
      <c r="EM249" s="206"/>
      <c r="EN249" s="1038"/>
      <c r="EO249" s="1038"/>
      <c r="EP249" s="1038"/>
      <c r="EQ249" s="1038">
        <f t="shared" si="299"/>
        <v>0</v>
      </c>
      <c r="ER249" s="1041">
        <f t="shared" si="300"/>
        <v>0</v>
      </c>
      <c r="ES249" s="1042">
        <f t="shared" si="301"/>
        <v>0</v>
      </c>
      <c r="ET249" s="1042">
        <f t="shared" si="306"/>
        <v>0</v>
      </c>
      <c r="EU249" s="1021">
        <f t="shared" si="307"/>
        <v>0</v>
      </c>
      <c r="EV249" s="368"/>
      <c r="EW249" s="368"/>
      <c r="EX249" s="369"/>
      <c r="EY249" s="370"/>
      <c r="EZ249" s="370"/>
      <c r="FA249" s="371"/>
      <c r="FB249" s="372"/>
    </row>
    <row r="250" spans="1:158" ht="34.5" customHeight="1">
      <c r="A250" s="82">
        <v>242</v>
      </c>
      <c r="B250" s="1806"/>
      <c r="C250" s="1807"/>
      <c r="D250" s="1807"/>
      <c r="E250" s="1808"/>
      <c r="F250" s="1809"/>
      <c r="G250" s="1810"/>
      <c r="H250" s="1810"/>
      <c r="I250" s="1811"/>
      <c r="J250" s="1301"/>
      <c r="K250" s="1814"/>
      <c r="L250" s="1814"/>
      <c r="M250" s="1017"/>
      <c r="N250" s="1584"/>
      <c r="O250" s="208" t="str">
        <f t="shared" si="237"/>
        <v/>
      </c>
      <c r="P250" s="785"/>
      <c r="Q250" s="39" t="str">
        <f t="shared" si="238"/>
        <v/>
      </c>
      <c r="R250" s="39">
        <f t="shared" si="251"/>
        <v>0</v>
      </c>
      <c r="S250" s="234">
        <f t="shared" si="252"/>
        <v>0</v>
      </c>
      <c r="T250" s="1815"/>
      <c r="U250" s="1815"/>
      <c r="V250" s="1815"/>
      <c r="W250" s="1121"/>
      <c r="X250" s="1812"/>
      <c r="Y250" s="1813"/>
      <c r="Z250" s="703"/>
      <c r="AA250" s="1280"/>
      <c r="AB250" s="1141"/>
      <c r="AC250" s="1103" t="str">
        <f>IF(T250="","",VLOOKUP(Z250,Lists!$A$60:$B$111,2,FALSE))</f>
        <v/>
      </c>
      <c r="AD250" s="130" t="str">
        <f t="shared" si="253"/>
        <v/>
      </c>
      <c r="AE250" s="130" t="e">
        <f t="shared" si="254"/>
        <v>#VALUE!</v>
      </c>
      <c r="AF250" s="130">
        <f t="shared" si="255"/>
        <v>1</v>
      </c>
      <c r="AG250" s="234">
        <f t="shared" si="239"/>
        <v>0</v>
      </c>
      <c r="AH250" s="1753" t="str">
        <f>IF(T250="","",(IF(ISNUMBER(SEARCH("exit",T250)),8760,IF(AND(M250="Dusk to Dawn",'Proposed Lighting'!AU250=3),4059,IF(AND(AU250=3,M250="1"),0,IF(AND(AU250=3,M250="1-C"),0,IF(AND(AU250=3,M250="2"),0,IF(AND(AU250=3,M250="2-C"),0,IF(AND(AU250=3,M250="3"),0,IF(AND(AU250=3,M250="3-C"),0,IF(AND(AU250=2,M250="Dusk to Dawn"),0,IF(AND(AU250=2,M250="Dusk to Dawn-C"),0,IF(AND(AU250=2,M250="Dusk to Dawn"),0,IF(AND(AU250=2,M250="E"),0,IF(AND(AU250=2,M250="E-C"),0,EG250)))))))))))))))</f>
        <v/>
      </c>
      <c r="AI250" s="1754"/>
      <c r="AJ250" s="1136"/>
      <c r="AK250" s="1136"/>
      <c r="AL250" s="1748">
        <f t="shared" si="256"/>
        <v>0</v>
      </c>
      <c r="AM250" s="1749"/>
      <c r="AN250" s="1750"/>
      <c r="AO250" s="476">
        <f t="shared" si="240"/>
        <v>0</v>
      </c>
      <c r="AP250" s="476">
        <f t="shared" si="257"/>
        <v>0</v>
      </c>
      <c r="AQ250" s="475">
        <f t="shared" si="241"/>
        <v>0</v>
      </c>
      <c r="AR250" s="475">
        <f t="shared" si="258"/>
        <v>0</v>
      </c>
      <c r="AS250" s="743" t="str">
        <f t="shared" si="310"/>
        <v/>
      </c>
      <c r="AT250" s="736" t="str">
        <f t="shared" si="259"/>
        <v/>
      </c>
      <c r="AU250" s="56">
        <f t="shared" si="260"/>
        <v>1</v>
      </c>
      <c r="AV250" s="476">
        <f t="shared" si="261"/>
        <v>0</v>
      </c>
      <c r="AW250" s="56">
        <f t="shared" si="262"/>
        <v>0</v>
      </c>
      <c r="AX250" s="475">
        <f t="shared" si="242"/>
        <v>0</v>
      </c>
      <c r="AY250" s="1169">
        <f t="shared" si="263"/>
        <v>0</v>
      </c>
      <c r="AZ250" s="1150">
        <f t="shared" si="302"/>
        <v>0</v>
      </c>
      <c r="BA250" s="56">
        <f t="shared" si="243"/>
        <v>0</v>
      </c>
      <c r="BB250" s="420">
        <f t="shared" si="244"/>
        <v>0</v>
      </c>
      <c r="BC250" s="58" t="str">
        <f t="shared" si="245"/>
        <v/>
      </c>
      <c r="BD250" s="660">
        <f t="shared" si="303"/>
        <v>0</v>
      </c>
      <c r="BE250" s="57" t="e">
        <f t="array" ref="BE250">INDEX($EB$11:$ED$1022,MATCH(F250&amp;T250,$EB$11:$EB$1007&amp;$EC$11:$EC$1007,0),3)</f>
        <v>#N/A</v>
      </c>
      <c r="BF250" s="463">
        <f t="shared" si="311"/>
        <v>0</v>
      </c>
      <c r="BG250" s="1445" t="e">
        <f t="array" ref="BG250">INDEX($DO$112:$DQ$123,MATCH(T250&amp;W250,$DO$114:$DO$125&amp;$DP$112:$DP$123,0),3)</f>
        <v>#N/A</v>
      </c>
      <c r="BH250" s="1446">
        <f t="shared" si="264"/>
        <v>0</v>
      </c>
      <c r="BI250" s="465">
        <f t="shared" si="265"/>
        <v>0</v>
      </c>
      <c r="BJ250" s="465">
        <f t="shared" si="266"/>
        <v>0</v>
      </c>
      <c r="BK250" s="466">
        <f t="shared" si="312"/>
        <v>0</v>
      </c>
      <c r="BL250" s="466">
        <f t="shared" si="313"/>
        <v>0</v>
      </c>
      <c r="BM250" s="466">
        <f t="shared" si="267"/>
        <v>0</v>
      </c>
      <c r="BN250" s="466">
        <f t="shared" si="268"/>
        <v>0</v>
      </c>
      <c r="BO250" s="463">
        <f>IF('Data Entry'!$C$74=0,0,IF(ISNA(CJ250),0,IF(AX250=0,0,IF(AND('Data Entry'!$C$74=2,AF250&gt;2,CE250&lt;1),0,IF(AND('Data Entry'!$C$74=2,AF250&gt;1,AU250=2,CJ250&gt;1),0,IF(AND(AF250=5,CT250=0.5,AU250=2,ER250&lt;100),0,IF(AND(AF250=5,CT250=0.5,AU250=3,ER250&lt;100),0,IF(AND('Data Entry'!$C$74=2,AF250=2,AU250=2,AK250&gt;0.01,CB250=2,CE250&lt;1),0,IF(AND('Data Entry'!$C$74=2,AF250=3,AU250=3,AK250&gt;0.01,CB250=3,CE250&lt;1),0,IF(AND('Data Entry'!$C$74=2,AF250=3,AU250=3,AK250&gt;0.01,CB250=3,CE250&gt;0.99),BQ250*0.08,IF(AND('Data Entry'!$C$74=2,AF250=2,AU250=2,AK250&gt;0.01,CB250=2,CE250&gt;0.99),BQ250*0.1,IF(AND(AU250=2,AK250&gt;0.01,CB250=2,CD250&gt;1),BQ250*0.1,IF(AND(AU250=3,AK250&gt;0.01,CB250=3,CD250&gt;1),BQ250*0.08,CJ250*EF250)))))))))))))</f>
        <v>0</v>
      </c>
      <c r="BP250" s="475">
        <f t="shared" si="269"/>
        <v>0</v>
      </c>
      <c r="BQ250" s="1431">
        <f>IF(AU250=1,0,IF(CH250=100,0,IF(AND(AF250=3,AU250=2),0,IF(AND(BH250=0,CT250&gt;0.4),0,IF(AND('Data Entry'!$C$74=2,AF250=1.5),0,IF(AND('Data Entry'!$C$74=2,AF250=1.6),0,IF(AND('Data Entry'!$C$74=2,AF250=4),0,IF(AND('Data Entry'!$C$74=2,AF250=5),0,IF(AND('Data Entry'!$C$74=2,AF250=2.5,CE250&lt;1),0,IF(AND('Data Entry'!$C$74=2,AF250=3,CE250&lt;1),0,IF(AND('Data Entry'!$C$74=1,AF250=2.5,CD250&lt;1),0,IF(AND('Data Entry'!$C$74=1,AF250=3,CD250&lt;1),0,IF(DX250&gt;0.01,DX250,IF(ISERROR(AX250-AY250),"",ROUND(AX250-AY250,2)))))))))))))))</f>
        <v>0</v>
      </c>
      <c r="BR250" s="146">
        <f t="shared" si="270"/>
        <v>0</v>
      </c>
      <c r="BS250" s="475">
        <f t="shared" si="271"/>
        <v>0</v>
      </c>
      <c r="BT250" s="146" t="b">
        <f t="shared" si="272"/>
        <v>0</v>
      </c>
      <c r="BU250" s="463">
        <f>IF(ISNA(AT250),0,IF(AND('Data Entry'!$C$74=2,BC250=27),0,IF(AND('Data Entry'!$C$74=2,BC250=28),0,IF(AND(BC250=27,BT250=27,CM250&gt;0.1),CM250*0.15,IF(AND(BC250=28,BT250=28,CM250&gt;0.1),CM250*0.12,0)))))</f>
        <v>0</v>
      </c>
      <c r="BV250" s="463">
        <f t="shared" si="309"/>
        <v>0</v>
      </c>
      <c r="BW250" s="463">
        <f t="shared" si="273"/>
        <v>0</v>
      </c>
      <c r="BX250" s="463">
        <f t="shared" si="274"/>
        <v>0</v>
      </c>
      <c r="BY250" s="463">
        <f t="shared" si="275"/>
        <v>0</v>
      </c>
      <c r="BZ250" s="463">
        <f t="shared" si="276"/>
        <v>0</v>
      </c>
      <c r="CA250" s="57">
        <f t="shared" si="304"/>
        <v>0</v>
      </c>
      <c r="CB250" s="56">
        <f t="shared" si="277"/>
        <v>1</v>
      </c>
      <c r="CC250" s="756">
        <f>IF(EE250=0,0,IF(EF250=0,0,IF(EE250&gt;AA250,0,IF(AND(AZ250&gt;AW250,AW250&gt;0),0,IF(CU250=0,0,Summary!AC553)))))</f>
        <v>0</v>
      </c>
      <c r="CD250" s="756">
        <f>IF(EE250=0,0,IF(EF250=0,0,IF(EE250&gt;AA250,0,IF(AND(AZ250&gt;AW250,AW250&gt;0),0,IF(CU250=0,0,Summary!AD553)))))</f>
        <v>0</v>
      </c>
      <c r="CE250" s="756">
        <f>IF(EF250=0,0,IF(EE250&gt;AA250,0,IF(CC250=0,0,IF(AND(AZ250&gt;AW250,AW250&gt;0),0,IF(CU250=0,0,Summary!AE553)))))</f>
        <v>0</v>
      </c>
      <c r="CF250" s="475">
        <f t="shared" si="278"/>
        <v>0</v>
      </c>
      <c r="CG250" s="476">
        <f t="shared" si="246"/>
        <v>0</v>
      </c>
      <c r="CH250" s="487">
        <f t="shared" si="279"/>
        <v>0</v>
      </c>
      <c r="CI250" s="756">
        <f t="shared" si="280"/>
        <v>0</v>
      </c>
      <c r="CJ250" s="487">
        <f>IF(CT250&gt;0.4,0,IF(AND(AU250=2,CH250=0,CT250=0.5,ER250=100),35,IF(AND(AU250=3,BB250&gt;75,CH250=0,CT250=0.5,ER250=100),25,IF(CB250&gt;1,0,IF(EF250&gt;EE250,0,IF(AND(AF250&gt;1,CH250=100),0,IF(AND(AF250=1,AY250=0),0,IF(AND(EF250&lt;=EE250,AW250&gt;=AZ250,'Data Entry'!$C$74=1,AU250=2),VLOOKUP(W250,$DO$96:$DP$102,2,FALSE),IF(AND(EF250&lt;=EE250,AW250&gt;=AZ250,AU250=3,'Data Entry'!$C$74=1),VLOOKUP(W250,$DO$127:$DP$134,2,FALSE))))))))))</f>
        <v>0</v>
      </c>
      <c r="CK250" s="716">
        <f t="shared" si="281"/>
        <v>0</v>
      </c>
      <c r="CL250" s="57">
        <f t="shared" si="282"/>
        <v>0</v>
      </c>
      <c r="CM250" s="475">
        <f t="shared" si="308"/>
        <v>0</v>
      </c>
      <c r="CN250" s="660">
        <f>IF(CM250&lt;0.1,0,IF(ISNA(AT250),0,IF(CL250+BC250=1,0,IF(BV250&gt;0.01,0,IF(CL250&gt;0.01,0,IF(CF250=1,0,IF(BC250=0.5,0,IF(AND(CI250=1,AU250=3),0,IF(AND(CI250=5,CL250=0),0,IF(AND(R250=12,BR250=50),0,IF(CK250&gt;0.01,0,IF(AND(AJ250&gt;0.01,AU250=2,BC250=15),CM250*0.1,IF(AND(AJ250&gt;0.01,AU250=3,BC250=15),CM250*0.08,IF(AND(R250=12,BC250=3,AF250&lt;=0),0,IF(AND(BC250=15,BI250=0),0,IF(AND(BC250=15,BJ250=0),0,IF(AND(R250=20,CU250=0),0,IF($X$4=0,0,IF(AND(BC250=250,CL250=0),0,IF(AA250&lt;1,0,IF(AND(ISNUMBER(SEARCH("Area",T250)),AU250=3),0,IF(AND(AQ250&gt;0.01,AR250=0,BK250=0,BL250=0,BM250=0,BN250=0),0,IF(AND(AU250=3,CI250=7,CT250&gt;0.5),0,IF(AND(BC250=44,AU250=3,BY250=0),0,IF(AND(BC250=27,'Data Entry'!$C$74=2),0,IF(AND(BC250=28,'Data Entry'!$C$74=2),0,IF(AND(BY250+BZ250+CA250&gt;0.01,BV250=0,EQ250+ER250+ES250+ET250&lt;100),0,IF(AU250=3,CM250*0.08,IF(AU250=2,CM250*0.1,0)))))))))))))))))))))))))))))</f>
        <v>0</v>
      </c>
      <c r="CO250" s="660">
        <f t="shared" si="283"/>
        <v>0</v>
      </c>
      <c r="CP250" s="475" t="str">
        <f t="shared" si="284"/>
        <v/>
      </c>
      <c r="CQ250" s="161" t="str">
        <f>IF(AH250=0,0,IF(AU250=5,0,Summary!AC253))</f>
        <v/>
      </c>
      <c r="CR250" s="161" t="str">
        <f>IF(BF250=0.5,0,IF(AU250=5,0,Summary!AD253))</f>
        <v/>
      </c>
      <c r="CS250" s="161" t="str">
        <f>IF(AU250=5,0,Summary!AE253)</f>
        <v/>
      </c>
      <c r="CT250" s="161">
        <f t="shared" si="285"/>
        <v>0</v>
      </c>
      <c r="CU250" s="475" t="str">
        <f t="shared" si="286"/>
        <v/>
      </c>
      <c r="CV250" s="307">
        <f>IF('Data Entry'!$C$74=0,0,IF(AA250&lt;1,0,IF(ISERROR(CU250),0,IF(CF250=1,0,IF(AND(R250=12,BR250=50),0,IF(CL250+BO250+BV250+DC250=0,0,IF(BC250=37,0,IF(AND(BC250=40,AJ250=0),0,IF(AND(BC250=37,BO250&gt;0.01,BQ250&gt;0.01),ROUND(BQ250,0),IF(CM250&lt;0,0,ROUND(CM250,0)))))))))))</f>
        <v>0</v>
      </c>
      <c r="CW250" s="700">
        <f t="shared" si="287"/>
        <v>0</v>
      </c>
      <c r="CX250" s="477">
        <f>IF('Data Entry'!$C$74=0,0,IF(CV250&lt;0.01,0,IF(BF250=0.5,0,IF(CF250=1,0,IF(ISNUMBER(SEARCH("false",CL250)),0,IF(AZ250=500,0,CL250))))))</f>
        <v>0</v>
      </c>
      <c r="CY250" s="147" t="e">
        <f t="shared" si="288"/>
        <v>#VALUE!</v>
      </c>
      <c r="CZ250" s="147" t="b">
        <f>IF(CN250+CL250=0,FALSE,IF(AH250=0,0,IF(AND('Data Entry'!$C$74=1,CR250&gt;=1),TRUE,IF(AND('Data Entry'!$C$74=2,CS250&gt;=1),TRUE,FALSE))))</f>
        <v>0</v>
      </c>
      <c r="DA250" s="1751">
        <f>IF('Data Entry'!$C$74=0,0,IFERROR(ROUND(IF(T250="","",IF($X$4=0,0,IF(CF250=1,0,IF(BQ250+CV250=0,0,IF(CF250=1,0,IF(CY250&gt;0.01,CY250,IF(CL250&gt;0.01,CL250,IF(CY250&gt;0.01,CY250,IF(BC250=37,BO250,IF(CZ250=FALSE,0,IF(CZ250=TRUE,DC250+DF250,0))))))))))),2),""))</f>
        <v>0</v>
      </c>
      <c r="DB250" s="1752"/>
      <c r="DC250" s="474">
        <f>IF(CN250&lt;0.01,0,IF(AND(BR250=3,CN250&gt;0.01,CT250&gt;0.6,ER250+ES250+ET250&lt;100),0,IF(AND('Data Entry'!$C$74=1,CN250&gt;0.01,CR250&gt;0.99),MIN(CN250:CO250),IF(AND('Data Entry'!$C$74=2,CN250&gt;0.01,CS250&gt;0.99),MIN(CN250:CO250),0))))</f>
        <v>0</v>
      </c>
      <c r="DD250" s="478">
        <f>IF(CF250=1,"Selection does not match",IF(T250=0,0,IF(AND('Data Entry'!$C$74=0,CP250&gt;1),"Select Oregon or Idaho on Data Entry Tab",IF(AND(AU250=1,AA250&gt;0.9),"Missing Interior or Exterior Selection",IF($X$4=0,"Enter Total Project Cost",IF(AQ250&lt;AR250,"Insufficient kWh savings – no incentive",IF(AND(SUM(CL250+CK250+BV250)&gt;0.01,'Data Entry'!$C$74=2,CJ250&gt;1,BO250=0),"Submit Control as Non-Standard",IF(AND('Data Entry'!$C$74=2,BR250=37,CJ250&gt;1,BO250=0),"Submit Control as Non-Standard",IF(SUM(CL250+CK250+BV250)&gt;0.01,"Standard Incentive",IF(AND('Data Entry'!$C$74=2,CP250=7,CN250=0),"Submit as Non-Standard",IF(DC250&gt;0.9,"Non-Standard Incentive",IF(AND(BY250+BZ250+CA250&gt;0.01,BV250=0,EQ250=0,ER250=0,ES250=0,ET250=0),"Scroll Right &amp; Select Control Strategies",IF(AND(CN250&gt;0.01,CO250=0),"Enter Unit Installed Cost",IF(ISNUMBER(SEARCH("Lighting Controls Only",F250)),"Lighting Controls Only",IF(CL250+DC250=0,"Does not meet incentive criteria",0)))))))))))))))</f>
        <v>0</v>
      </c>
      <c r="DE250" s="337">
        <f t="shared" si="289"/>
        <v>0</v>
      </c>
      <c r="DF250" s="609">
        <f t="shared" si="290"/>
        <v>0</v>
      </c>
      <c r="DG250" s="336" t="str">
        <f t="shared" si="291"/>
        <v/>
      </c>
      <c r="DH250" s="338">
        <f t="shared" si="292"/>
        <v>1</v>
      </c>
      <c r="DI250" s="336" t="e">
        <f t="shared" si="247"/>
        <v>#VALUE!</v>
      </c>
      <c r="DJ250" s="338">
        <f t="shared" si="248"/>
        <v>0</v>
      </c>
      <c r="DO250" s="81"/>
      <c r="DP250" s="81"/>
      <c r="DQ250" s="81"/>
      <c r="DR250" s="81"/>
      <c r="DS250" s="1195">
        <f t="shared" si="293"/>
        <v>0</v>
      </c>
      <c r="DT250" s="344" t="b">
        <f t="shared" si="294"/>
        <v>1</v>
      </c>
      <c r="DU250" s="1314" t="str">
        <f t="array" ref="DU250">IF(OR(COUNTIF(F250,"*"&amp;$DK$9:$DK$178&amp;"*")), "Yes", "")</f>
        <v/>
      </c>
      <c r="DV250" s="1314">
        <f t="shared" si="295"/>
        <v>0</v>
      </c>
      <c r="DW250" s="1480">
        <f t="shared" si="296"/>
        <v>0</v>
      </c>
      <c r="DX250" s="1498">
        <f t="shared" si="305"/>
        <v>0</v>
      </c>
      <c r="DY250" s="1484">
        <f t="shared" si="297"/>
        <v>0</v>
      </c>
      <c r="DZ250" s="331"/>
      <c r="EA250" s="392"/>
      <c r="EB250" s="1499" t="s">
        <v>186</v>
      </c>
      <c r="EC250" s="727" t="s">
        <v>1569</v>
      </c>
      <c r="ED250" s="728">
        <v>0.5</v>
      </c>
      <c r="EE250" s="1215"/>
      <c r="EF250" s="1215"/>
      <c r="EG250" s="1184" t="str">
        <f t="shared" si="298"/>
        <v/>
      </c>
      <c r="EH250" s="81"/>
      <c r="EI250" s="81"/>
      <c r="EJ250" s="1185">
        <f t="shared" si="249"/>
        <v>0</v>
      </c>
      <c r="EK250" s="1211"/>
      <c r="EL250" s="1180">
        <f t="shared" si="250"/>
        <v>0</v>
      </c>
      <c r="EM250" s="206"/>
      <c r="EN250" s="1038"/>
      <c r="EO250" s="1038"/>
      <c r="EP250" s="1038"/>
      <c r="EQ250" s="1038">
        <f t="shared" si="299"/>
        <v>0</v>
      </c>
      <c r="ER250" s="1041">
        <f t="shared" si="300"/>
        <v>0</v>
      </c>
      <c r="ES250" s="1042">
        <f t="shared" si="301"/>
        <v>0</v>
      </c>
      <c r="ET250" s="1042">
        <f t="shared" si="306"/>
        <v>0</v>
      </c>
      <c r="EU250" s="1021">
        <f t="shared" si="307"/>
        <v>0</v>
      </c>
      <c r="EV250" s="368"/>
      <c r="EW250" s="368"/>
      <c r="EX250" s="369"/>
      <c r="EY250" s="370"/>
      <c r="EZ250" s="370"/>
      <c r="FA250" s="371"/>
      <c r="FB250" s="372"/>
    </row>
    <row r="251" spans="1:158" ht="34.5" customHeight="1">
      <c r="A251" s="82">
        <v>243</v>
      </c>
      <c r="B251" s="1806"/>
      <c r="C251" s="1807"/>
      <c r="D251" s="1807"/>
      <c r="E251" s="1808"/>
      <c r="F251" s="1809"/>
      <c r="G251" s="1810"/>
      <c r="H251" s="1810"/>
      <c r="I251" s="1811"/>
      <c r="J251" s="1301"/>
      <c r="K251" s="1814"/>
      <c r="L251" s="1814"/>
      <c r="M251" s="1017"/>
      <c r="N251" s="1584"/>
      <c r="O251" s="208" t="str">
        <f t="shared" si="237"/>
        <v/>
      </c>
      <c r="P251" s="785"/>
      <c r="Q251" s="39" t="str">
        <f t="shared" si="238"/>
        <v/>
      </c>
      <c r="R251" s="39">
        <f t="shared" si="251"/>
        <v>0</v>
      </c>
      <c r="S251" s="234">
        <f t="shared" si="252"/>
        <v>0</v>
      </c>
      <c r="T251" s="1815"/>
      <c r="U251" s="1815"/>
      <c r="V251" s="1815"/>
      <c r="W251" s="1121"/>
      <c r="X251" s="1812"/>
      <c r="Y251" s="1813"/>
      <c r="Z251" s="703"/>
      <c r="AA251" s="1280"/>
      <c r="AB251" s="1141"/>
      <c r="AC251" s="1103" t="str">
        <f>IF(T251="","",VLOOKUP(Z251,Lists!$A$60:$B$111,2,FALSE))</f>
        <v/>
      </c>
      <c r="AD251" s="130" t="str">
        <f t="shared" si="253"/>
        <v/>
      </c>
      <c r="AE251" s="130" t="e">
        <f t="shared" si="254"/>
        <v>#VALUE!</v>
      </c>
      <c r="AF251" s="130">
        <f t="shared" si="255"/>
        <v>1</v>
      </c>
      <c r="AG251" s="234">
        <f t="shared" si="239"/>
        <v>0</v>
      </c>
      <c r="AH251" s="1753" t="str">
        <f>IF(T251="","",(IF(ISNUMBER(SEARCH("exit",T251)),8760,IF(AND(M251="Dusk to Dawn",'Proposed Lighting'!AU251=3),4059,IF(AND(AU251=3,M251="1"),0,IF(AND(AU251=3,M251="1-C"),0,IF(AND(AU251=3,M251="2"),0,IF(AND(AU251=3,M251="2-C"),0,IF(AND(AU251=3,M251="3"),0,IF(AND(AU251=3,M251="3-C"),0,IF(AND(AU251=2,M251="Dusk to Dawn"),0,IF(AND(AU251=2,M251="Dusk to Dawn-C"),0,IF(AND(AU251=2,M251="Dusk to Dawn"),0,IF(AND(AU251=2,M251="E"),0,IF(AND(AU251=2,M251="E-C"),0,EG251)))))))))))))))</f>
        <v/>
      </c>
      <c r="AI251" s="1754"/>
      <c r="AJ251" s="1136"/>
      <c r="AK251" s="1136"/>
      <c r="AL251" s="1748">
        <f t="shared" si="256"/>
        <v>0</v>
      </c>
      <c r="AM251" s="1749"/>
      <c r="AN251" s="1750"/>
      <c r="AO251" s="476">
        <f t="shared" si="240"/>
        <v>0</v>
      </c>
      <c r="AP251" s="476">
        <f t="shared" si="257"/>
        <v>0</v>
      </c>
      <c r="AQ251" s="475">
        <f t="shared" si="241"/>
        <v>0</v>
      </c>
      <c r="AR251" s="475">
        <f t="shared" si="258"/>
        <v>0</v>
      </c>
      <c r="AS251" s="743" t="str">
        <f t="shared" si="310"/>
        <v/>
      </c>
      <c r="AT251" s="736" t="str">
        <f t="shared" si="259"/>
        <v/>
      </c>
      <c r="AU251" s="56">
        <f t="shared" si="260"/>
        <v>1</v>
      </c>
      <c r="AV251" s="476">
        <f t="shared" si="261"/>
        <v>0</v>
      </c>
      <c r="AW251" s="56">
        <f t="shared" si="262"/>
        <v>0</v>
      </c>
      <c r="AX251" s="475">
        <f t="shared" si="242"/>
        <v>0</v>
      </c>
      <c r="AY251" s="1169">
        <f t="shared" si="263"/>
        <v>0</v>
      </c>
      <c r="AZ251" s="1150">
        <f t="shared" si="302"/>
        <v>0</v>
      </c>
      <c r="BA251" s="56">
        <f t="shared" si="243"/>
        <v>0</v>
      </c>
      <c r="BB251" s="420">
        <f t="shared" si="244"/>
        <v>0</v>
      </c>
      <c r="BC251" s="58" t="str">
        <f t="shared" si="245"/>
        <v/>
      </c>
      <c r="BD251" s="660">
        <f t="shared" si="303"/>
        <v>0</v>
      </c>
      <c r="BE251" s="57" t="e">
        <f t="array" ref="BE251">INDEX($EB$11:$ED$1022,MATCH(F251&amp;T251,$EB$11:$EB$1007&amp;$EC$11:$EC$1007,0),3)</f>
        <v>#N/A</v>
      </c>
      <c r="BF251" s="463">
        <f t="shared" si="311"/>
        <v>0</v>
      </c>
      <c r="BG251" s="1445" t="e">
        <f t="array" ref="BG251">INDEX($DO$112:$DQ$123,MATCH(T251&amp;W251,$DO$114:$DO$125&amp;$DP$112:$DP$123,0),3)</f>
        <v>#N/A</v>
      </c>
      <c r="BH251" s="1446">
        <f t="shared" si="264"/>
        <v>0</v>
      </c>
      <c r="BI251" s="465">
        <f t="shared" si="265"/>
        <v>0</v>
      </c>
      <c r="BJ251" s="465">
        <f t="shared" si="266"/>
        <v>0</v>
      </c>
      <c r="BK251" s="466">
        <f t="shared" si="312"/>
        <v>0</v>
      </c>
      <c r="BL251" s="466">
        <f t="shared" si="313"/>
        <v>0</v>
      </c>
      <c r="BM251" s="466">
        <f t="shared" si="267"/>
        <v>0</v>
      </c>
      <c r="BN251" s="466">
        <f t="shared" si="268"/>
        <v>0</v>
      </c>
      <c r="BO251" s="463">
        <f>IF('Data Entry'!$C$74=0,0,IF(ISNA(CJ251),0,IF(AX251=0,0,IF(AND('Data Entry'!$C$74=2,AF251&gt;2,CE251&lt;1),0,IF(AND('Data Entry'!$C$74=2,AF251&gt;1,AU251=2,CJ251&gt;1),0,IF(AND(AF251=5,CT251=0.5,AU251=2,ER251&lt;100),0,IF(AND(AF251=5,CT251=0.5,AU251=3,ER251&lt;100),0,IF(AND('Data Entry'!$C$74=2,AF251=2,AU251=2,AK251&gt;0.01,CB251=2,CE251&lt;1),0,IF(AND('Data Entry'!$C$74=2,AF251=3,AU251=3,AK251&gt;0.01,CB251=3,CE251&lt;1),0,IF(AND('Data Entry'!$C$74=2,AF251=3,AU251=3,AK251&gt;0.01,CB251=3,CE251&gt;0.99),BQ251*0.08,IF(AND('Data Entry'!$C$74=2,AF251=2,AU251=2,AK251&gt;0.01,CB251=2,CE251&gt;0.99),BQ251*0.1,IF(AND(AU251=2,AK251&gt;0.01,CB251=2,CD251&gt;1),BQ251*0.1,IF(AND(AU251=3,AK251&gt;0.01,CB251=3,CD251&gt;1),BQ251*0.08,CJ251*EF251)))))))))))))</f>
        <v>0</v>
      </c>
      <c r="BP251" s="475">
        <f t="shared" si="269"/>
        <v>0</v>
      </c>
      <c r="BQ251" s="1431">
        <f>IF(AU251=1,0,IF(CH251=100,0,IF(AND(AF251=3,AU251=2),0,IF(AND(BH251=0,CT251&gt;0.4),0,IF(AND('Data Entry'!$C$74=2,AF251=1.5),0,IF(AND('Data Entry'!$C$74=2,AF251=1.6),0,IF(AND('Data Entry'!$C$74=2,AF251=4),0,IF(AND('Data Entry'!$C$74=2,AF251=5),0,IF(AND('Data Entry'!$C$74=2,AF251=2.5,CE251&lt;1),0,IF(AND('Data Entry'!$C$74=2,AF251=3,CE251&lt;1),0,IF(AND('Data Entry'!$C$74=1,AF251=2.5,CD251&lt;1),0,IF(AND('Data Entry'!$C$74=1,AF251=3,CD251&lt;1),0,IF(DX251&gt;0.01,DX251,IF(ISERROR(AX251-AY251),"",ROUND(AX251-AY251,2)))))))))))))))</f>
        <v>0</v>
      </c>
      <c r="BR251" s="146">
        <f t="shared" si="270"/>
        <v>0</v>
      </c>
      <c r="BS251" s="475">
        <f t="shared" si="271"/>
        <v>0</v>
      </c>
      <c r="BT251" s="146" t="b">
        <f t="shared" si="272"/>
        <v>0</v>
      </c>
      <c r="BU251" s="463">
        <f>IF(ISNA(AT251),0,IF(AND('Data Entry'!$C$74=2,BC251=27),0,IF(AND('Data Entry'!$C$74=2,BC251=28),0,IF(AND(BC251=27,BT251=27,CM251&gt;0.1),CM251*0.15,IF(AND(BC251=28,BT251=28,CM251&gt;0.1),CM251*0.12,0)))))</f>
        <v>0</v>
      </c>
      <c r="BV251" s="463">
        <f t="shared" si="309"/>
        <v>0</v>
      </c>
      <c r="BW251" s="463">
        <f t="shared" si="273"/>
        <v>0</v>
      </c>
      <c r="BX251" s="463">
        <f t="shared" si="274"/>
        <v>0</v>
      </c>
      <c r="BY251" s="463">
        <f t="shared" si="275"/>
        <v>0</v>
      </c>
      <c r="BZ251" s="463">
        <f t="shared" si="276"/>
        <v>0</v>
      </c>
      <c r="CA251" s="57">
        <f t="shared" si="304"/>
        <v>0</v>
      </c>
      <c r="CB251" s="56">
        <f t="shared" si="277"/>
        <v>1</v>
      </c>
      <c r="CC251" s="756">
        <f>IF(EE251=0,0,IF(EF251=0,0,IF(EE251&gt;AA251,0,IF(AND(AZ251&gt;AW251,AW251&gt;0),0,IF(CU251=0,0,Summary!AC554)))))</f>
        <v>0</v>
      </c>
      <c r="CD251" s="756">
        <f>IF(EE251=0,0,IF(EF251=0,0,IF(EE251&gt;AA251,0,IF(AND(AZ251&gt;AW251,AW251&gt;0),0,IF(CU251=0,0,Summary!AD554)))))</f>
        <v>0</v>
      </c>
      <c r="CE251" s="756">
        <f>IF(EF251=0,0,IF(EE251&gt;AA251,0,IF(CC251=0,0,IF(AND(AZ251&gt;AW251,AW251&gt;0),0,IF(CU251=0,0,Summary!AE554)))))</f>
        <v>0</v>
      </c>
      <c r="CF251" s="475">
        <f t="shared" si="278"/>
        <v>0</v>
      </c>
      <c r="CG251" s="476">
        <f t="shared" si="246"/>
        <v>0</v>
      </c>
      <c r="CH251" s="487">
        <f t="shared" si="279"/>
        <v>0</v>
      </c>
      <c r="CI251" s="756">
        <f t="shared" si="280"/>
        <v>0</v>
      </c>
      <c r="CJ251" s="487">
        <f>IF(CT251&gt;0.4,0,IF(AND(AU251=2,CH251=0,CT251=0.5,ER251=100),35,IF(AND(AU251=3,BB251&gt;75,CH251=0,CT251=0.5,ER251=100),25,IF(CB251&gt;1,0,IF(EF251&gt;EE251,0,IF(AND(AF251&gt;1,CH251=100),0,IF(AND(AF251=1,AY251=0),0,IF(AND(EF251&lt;=EE251,AW251&gt;=AZ251,'Data Entry'!$C$74=1,AU251=2),VLOOKUP(W251,$DO$96:$DP$102,2,FALSE),IF(AND(EF251&lt;=EE251,AW251&gt;=AZ251,AU251=3,'Data Entry'!$C$74=1),VLOOKUP(W251,$DO$127:$DP$134,2,FALSE))))))))))</f>
        <v>0</v>
      </c>
      <c r="CK251" s="716">
        <f t="shared" si="281"/>
        <v>0</v>
      </c>
      <c r="CL251" s="57">
        <f t="shared" si="282"/>
        <v>0</v>
      </c>
      <c r="CM251" s="475">
        <f t="shared" si="308"/>
        <v>0</v>
      </c>
      <c r="CN251" s="660">
        <f>IF(CM251&lt;0.1,0,IF(ISNA(AT251),0,IF(CL251+BC251=1,0,IF(BV251&gt;0.01,0,IF(CL251&gt;0.01,0,IF(CF251=1,0,IF(BC251=0.5,0,IF(AND(CI251=1,AU251=3),0,IF(AND(CI251=5,CL251=0),0,IF(AND(R251=12,BR251=50),0,IF(CK251&gt;0.01,0,IF(AND(AJ251&gt;0.01,AU251=2,BC251=15),CM251*0.1,IF(AND(AJ251&gt;0.01,AU251=3,BC251=15),CM251*0.08,IF(AND(R251=12,BC251=3,AF251&lt;=0),0,IF(AND(BC251=15,BI251=0),0,IF(AND(BC251=15,BJ251=0),0,IF(AND(R251=20,CU251=0),0,IF($X$4=0,0,IF(AND(BC251=250,CL251=0),0,IF(AA251&lt;1,0,IF(AND(ISNUMBER(SEARCH("Area",T251)),AU251=3),0,IF(AND(AQ251&gt;0.01,AR251=0,BK251=0,BL251=0,BM251=0,BN251=0),0,IF(AND(AU251=3,CI251=7,CT251&gt;0.5),0,IF(AND(BC251=44,AU251=3,BY251=0),0,IF(AND(BC251=27,'Data Entry'!$C$74=2),0,IF(AND(BC251=28,'Data Entry'!$C$74=2),0,IF(AND(BY251+BZ251+CA251&gt;0.01,BV251=0,EQ251+ER251+ES251+ET251&lt;100),0,IF(AU251=3,CM251*0.08,IF(AU251=2,CM251*0.1,0)))))))))))))))))))))))))))))</f>
        <v>0</v>
      </c>
      <c r="CO251" s="660">
        <f t="shared" si="283"/>
        <v>0</v>
      </c>
      <c r="CP251" s="475" t="str">
        <f t="shared" si="284"/>
        <v/>
      </c>
      <c r="CQ251" s="161" t="str">
        <f>IF(AH251=0,0,IF(AU251=5,0,Summary!AC254))</f>
        <v/>
      </c>
      <c r="CR251" s="161" t="str">
        <f>IF(BF251=0.5,0,IF(AU251=5,0,Summary!AD254))</f>
        <v/>
      </c>
      <c r="CS251" s="161" t="str">
        <f>IF(AU251=5,0,Summary!AE254)</f>
        <v/>
      </c>
      <c r="CT251" s="161">
        <f t="shared" si="285"/>
        <v>0</v>
      </c>
      <c r="CU251" s="475" t="str">
        <f t="shared" si="286"/>
        <v/>
      </c>
      <c r="CV251" s="307">
        <f>IF('Data Entry'!$C$74=0,0,IF(AA251&lt;1,0,IF(ISERROR(CU251),0,IF(CF251=1,0,IF(AND(R251=12,BR251=50),0,IF(CL251+BO251+BV251+DC251=0,0,IF(BC251=37,0,IF(AND(BC251=40,AJ251=0),0,IF(AND(BC251=37,BO251&gt;0.01,BQ251&gt;0.01),ROUND(BQ251,0),IF(CM251&lt;0,0,ROUND(CM251,0)))))))))))</f>
        <v>0</v>
      </c>
      <c r="CW251" s="700">
        <f t="shared" si="287"/>
        <v>0</v>
      </c>
      <c r="CX251" s="477">
        <f>IF('Data Entry'!$C$74=0,0,IF(CV251&lt;0.01,0,IF(BF251=0.5,0,IF(CF251=1,0,IF(ISNUMBER(SEARCH("false",CL251)),0,IF(AZ251=500,0,CL251))))))</f>
        <v>0</v>
      </c>
      <c r="CY251" s="147" t="e">
        <f t="shared" si="288"/>
        <v>#VALUE!</v>
      </c>
      <c r="CZ251" s="147" t="b">
        <f>IF(CN251+CL251=0,FALSE,IF(AH251=0,0,IF(AND('Data Entry'!$C$74=1,CR251&gt;=1),TRUE,IF(AND('Data Entry'!$C$74=2,CS251&gt;=1),TRUE,FALSE))))</f>
        <v>0</v>
      </c>
      <c r="DA251" s="1751">
        <f>IF('Data Entry'!$C$74=0,0,IFERROR(ROUND(IF(T251="","",IF($X$4=0,0,IF(CF251=1,0,IF(BQ251+CV251=0,0,IF(CF251=1,0,IF(CY251&gt;0.01,CY251,IF(CL251&gt;0.01,CL251,IF(CY251&gt;0.01,CY251,IF(BC251=37,BO251,IF(CZ251=FALSE,0,IF(CZ251=TRUE,DC251+DF251,0))))))))))),2),""))</f>
        <v>0</v>
      </c>
      <c r="DB251" s="1752"/>
      <c r="DC251" s="474">
        <f>IF(CN251&lt;0.01,0,IF(AND(BR251=3,CN251&gt;0.01,CT251&gt;0.6,ER251+ES251+ET251&lt;100),0,IF(AND('Data Entry'!$C$74=1,CN251&gt;0.01,CR251&gt;0.99),MIN(CN251:CO251),IF(AND('Data Entry'!$C$74=2,CN251&gt;0.01,CS251&gt;0.99),MIN(CN251:CO251),0))))</f>
        <v>0</v>
      </c>
      <c r="DD251" s="478">
        <f>IF(CF251=1,"Selection does not match",IF(T251=0,0,IF(AND('Data Entry'!$C$74=0,CP251&gt;1),"Select Oregon or Idaho on Data Entry Tab",IF(AND(AU251=1,AA251&gt;0.9),"Missing Interior or Exterior Selection",IF($X$4=0,"Enter Total Project Cost",IF(AQ251&lt;AR251,"Insufficient kWh savings – no incentive",IF(AND(SUM(CL251+CK251+BV251)&gt;0.01,'Data Entry'!$C$74=2,CJ251&gt;1,BO251=0),"Submit Control as Non-Standard",IF(AND('Data Entry'!$C$74=2,BR251=37,CJ251&gt;1,BO251=0),"Submit Control as Non-Standard",IF(SUM(CL251+CK251+BV251)&gt;0.01,"Standard Incentive",IF(AND('Data Entry'!$C$74=2,CP251=7,CN251=0),"Submit as Non-Standard",IF(DC251&gt;0.9,"Non-Standard Incentive",IF(AND(BY251+BZ251+CA251&gt;0.01,BV251=0,EQ251=0,ER251=0,ES251=0,ET251=0),"Scroll Right &amp; Select Control Strategies",IF(AND(CN251&gt;0.01,CO251=0),"Enter Unit Installed Cost",IF(ISNUMBER(SEARCH("Lighting Controls Only",F251)),"Lighting Controls Only",IF(CL251+DC251=0,"Does not meet incentive criteria",0)))))))))))))))</f>
        <v>0</v>
      </c>
      <c r="DE251" s="337">
        <f t="shared" si="289"/>
        <v>0</v>
      </c>
      <c r="DF251" s="609">
        <f t="shared" si="290"/>
        <v>0</v>
      </c>
      <c r="DG251" s="336" t="str">
        <f t="shared" si="291"/>
        <v/>
      </c>
      <c r="DH251" s="338">
        <f t="shared" si="292"/>
        <v>1</v>
      </c>
      <c r="DI251" s="336" t="e">
        <f t="shared" si="247"/>
        <v>#VALUE!</v>
      </c>
      <c r="DJ251" s="338">
        <f t="shared" si="248"/>
        <v>0</v>
      </c>
      <c r="DO251" s="81"/>
      <c r="DP251" s="81"/>
      <c r="DQ251" s="81"/>
      <c r="DR251" s="81"/>
      <c r="DS251" s="1195">
        <f t="shared" si="293"/>
        <v>0</v>
      </c>
      <c r="DT251" s="344" t="b">
        <f t="shared" si="294"/>
        <v>1</v>
      </c>
      <c r="DU251" s="1314" t="str">
        <f t="array" ref="DU251">IF(OR(COUNTIF(F251,"*"&amp;$DK$9:$DK$178&amp;"*")), "Yes", "")</f>
        <v/>
      </c>
      <c r="DV251" s="1314">
        <f t="shared" si="295"/>
        <v>0</v>
      </c>
      <c r="DW251" s="1480">
        <f t="shared" si="296"/>
        <v>0</v>
      </c>
      <c r="DX251" s="1498">
        <f t="shared" si="305"/>
        <v>0</v>
      </c>
      <c r="DY251" s="1484">
        <f t="shared" si="297"/>
        <v>0</v>
      </c>
      <c r="DZ251" s="331"/>
      <c r="EA251" s="392"/>
      <c r="EB251" s="1499" t="s">
        <v>108</v>
      </c>
      <c r="EC251" s="727" t="s">
        <v>1569</v>
      </c>
      <c r="ED251" s="728">
        <v>0.5</v>
      </c>
      <c r="EE251" s="1215"/>
      <c r="EF251" s="1215"/>
      <c r="EG251" s="1184" t="str">
        <f t="shared" si="298"/>
        <v/>
      </c>
      <c r="EH251" s="377"/>
      <c r="EI251" s="377"/>
      <c r="EJ251" s="1185">
        <f t="shared" si="249"/>
        <v>0</v>
      </c>
      <c r="EK251" s="1211"/>
      <c r="EL251" s="1180">
        <f t="shared" si="250"/>
        <v>0</v>
      </c>
      <c r="EM251" s="206"/>
      <c r="EN251" s="1038"/>
      <c r="EO251" s="1038"/>
      <c r="EP251" s="1038"/>
      <c r="EQ251" s="1038">
        <f t="shared" si="299"/>
        <v>0</v>
      </c>
      <c r="ER251" s="1041">
        <f t="shared" si="300"/>
        <v>0</v>
      </c>
      <c r="ES251" s="1042">
        <f t="shared" si="301"/>
        <v>0</v>
      </c>
      <c r="ET251" s="1042">
        <f t="shared" si="306"/>
        <v>0</v>
      </c>
      <c r="EU251" s="1021">
        <f t="shared" si="307"/>
        <v>0</v>
      </c>
      <c r="EV251" s="368"/>
      <c r="EW251" s="368"/>
      <c r="EX251" s="369"/>
      <c r="EY251" s="370"/>
      <c r="EZ251" s="370"/>
      <c r="FA251" s="371"/>
      <c r="FB251" s="372"/>
    </row>
    <row r="252" spans="1:158" ht="34.5" customHeight="1">
      <c r="A252" s="82">
        <v>244</v>
      </c>
      <c r="B252" s="1806"/>
      <c r="C252" s="1807"/>
      <c r="D252" s="1807"/>
      <c r="E252" s="1808"/>
      <c r="F252" s="1809"/>
      <c r="G252" s="1810"/>
      <c r="H252" s="1810"/>
      <c r="I252" s="1811"/>
      <c r="J252" s="1301"/>
      <c r="K252" s="1814"/>
      <c r="L252" s="1814"/>
      <c r="M252" s="1017"/>
      <c r="N252" s="1584"/>
      <c r="O252" s="208" t="str">
        <f t="shared" si="237"/>
        <v/>
      </c>
      <c r="P252" s="785"/>
      <c r="Q252" s="39" t="str">
        <f t="shared" si="238"/>
        <v/>
      </c>
      <c r="R252" s="39">
        <f t="shared" si="251"/>
        <v>0</v>
      </c>
      <c r="S252" s="234">
        <f t="shared" si="252"/>
        <v>0</v>
      </c>
      <c r="T252" s="1815"/>
      <c r="U252" s="1815"/>
      <c r="V252" s="1815"/>
      <c r="W252" s="1121"/>
      <c r="X252" s="1812"/>
      <c r="Y252" s="1813"/>
      <c r="Z252" s="703"/>
      <c r="AA252" s="1280"/>
      <c r="AB252" s="1141"/>
      <c r="AC252" s="1103" t="str">
        <f>IF(T252="","",VLOOKUP(Z252,Lists!$A$60:$B$111,2,FALSE))</f>
        <v/>
      </c>
      <c r="AD252" s="130" t="str">
        <f t="shared" si="253"/>
        <v/>
      </c>
      <c r="AE252" s="130" t="e">
        <f t="shared" si="254"/>
        <v>#VALUE!</v>
      </c>
      <c r="AF252" s="130">
        <f t="shared" si="255"/>
        <v>1</v>
      </c>
      <c r="AG252" s="234">
        <f t="shared" si="239"/>
        <v>0</v>
      </c>
      <c r="AH252" s="1753" t="str">
        <f>IF(T252="","",(IF(ISNUMBER(SEARCH("exit",T252)),8760,IF(AND(M252="Dusk to Dawn",'Proposed Lighting'!AU252=3),4059,IF(AND(AU252=3,M252="1"),0,IF(AND(AU252=3,M252="1-C"),0,IF(AND(AU252=3,M252="2"),0,IF(AND(AU252=3,M252="2-C"),0,IF(AND(AU252=3,M252="3"),0,IF(AND(AU252=3,M252="3-C"),0,IF(AND(AU252=2,M252="Dusk to Dawn"),0,IF(AND(AU252=2,M252="Dusk to Dawn-C"),0,IF(AND(AU252=2,M252="Dusk to Dawn"),0,IF(AND(AU252=2,M252="E"),0,IF(AND(AU252=2,M252="E-C"),0,EG252)))))))))))))))</f>
        <v/>
      </c>
      <c r="AI252" s="1754"/>
      <c r="AJ252" s="1136"/>
      <c r="AK252" s="1136"/>
      <c r="AL252" s="1748">
        <f t="shared" si="256"/>
        <v>0</v>
      </c>
      <c r="AM252" s="1749"/>
      <c r="AN252" s="1750"/>
      <c r="AO252" s="476">
        <f t="shared" si="240"/>
        <v>0</v>
      </c>
      <c r="AP252" s="476">
        <f t="shared" si="257"/>
        <v>0</v>
      </c>
      <c r="AQ252" s="475">
        <f t="shared" si="241"/>
        <v>0</v>
      </c>
      <c r="AR252" s="475">
        <f t="shared" si="258"/>
        <v>0</v>
      </c>
      <c r="AS252" s="743" t="str">
        <f t="shared" si="310"/>
        <v/>
      </c>
      <c r="AT252" s="736" t="str">
        <f t="shared" si="259"/>
        <v/>
      </c>
      <c r="AU252" s="56">
        <f t="shared" si="260"/>
        <v>1</v>
      </c>
      <c r="AV252" s="476">
        <f t="shared" si="261"/>
        <v>0</v>
      </c>
      <c r="AW252" s="56">
        <f t="shared" si="262"/>
        <v>0</v>
      </c>
      <c r="AX252" s="475">
        <f t="shared" si="242"/>
        <v>0</v>
      </c>
      <c r="AY252" s="1169">
        <f t="shared" si="263"/>
        <v>0</v>
      </c>
      <c r="AZ252" s="1150">
        <f t="shared" si="302"/>
        <v>0</v>
      </c>
      <c r="BA252" s="56">
        <f t="shared" si="243"/>
        <v>0</v>
      </c>
      <c r="BB252" s="420">
        <f t="shared" si="244"/>
        <v>0</v>
      </c>
      <c r="BC252" s="58" t="str">
        <f t="shared" si="245"/>
        <v/>
      </c>
      <c r="BD252" s="660">
        <f t="shared" si="303"/>
        <v>0</v>
      </c>
      <c r="BE252" s="57" t="e">
        <f t="array" ref="BE252">INDEX($EB$11:$ED$1022,MATCH(F252&amp;T252,$EB$11:$EB$1007&amp;$EC$11:$EC$1007,0),3)</f>
        <v>#N/A</v>
      </c>
      <c r="BF252" s="463">
        <f t="shared" si="311"/>
        <v>0</v>
      </c>
      <c r="BG252" s="1445" t="e">
        <f t="array" ref="BG252">INDEX($DO$112:$DQ$123,MATCH(T252&amp;W252,$DO$114:$DO$125&amp;$DP$112:$DP$123,0),3)</f>
        <v>#N/A</v>
      </c>
      <c r="BH252" s="1446">
        <f t="shared" si="264"/>
        <v>0</v>
      </c>
      <c r="BI252" s="465">
        <f t="shared" si="265"/>
        <v>0</v>
      </c>
      <c r="BJ252" s="465">
        <f t="shared" si="266"/>
        <v>0</v>
      </c>
      <c r="BK252" s="466">
        <f t="shared" si="312"/>
        <v>0</v>
      </c>
      <c r="BL252" s="466">
        <f t="shared" si="313"/>
        <v>0</v>
      </c>
      <c r="BM252" s="466">
        <f t="shared" si="267"/>
        <v>0</v>
      </c>
      <c r="BN252" s="466">
        <f t="shared" si="268"/>
        <v>0</v>
      </c>
      <c r="BO252" s="463">
        <f>IF('Data Entry'!$C$74=0,0,IF(ISNA(CJ252),0,IF(AX252=0,0,IF(AND('Data Entry'!$C$74=2,AF252&gt;2,CE252&lt;1),0,IF(AND('Data Entry'!$C$74=2,AF252&gt;1,AU252=2,CJ252&gt;1),0,IF(AND(AF252=5,CT252=0.5,AU252=2,ER252&lt;100),0,IF(AND(AF252=5,CT252=0.5,AU252=3,ER252&lt;100),0,IF(AND('Data Entry'!$C$74=2,AF252=2,AU252=2,AK252&gt;0.01,CB252=2,CE252&lt;1),0,IF(AND('Data Entry'!$C$74=2,AF252=3,AU252=3,AK252&gt;0.01,CB252=3,CE252&lt;1),0,IF(AND('Data Entry'!$C$74=2,AF252=3,AU252=3,AK252&gt;0.01,CB252=3,CE252&gt;0.99),BQ252*0.08,IF(AND('Data Entry'!$C$74=2,AF252=2,AU252=2,AK252&gt;0.01,CB252=2,CE252&gt;0.99),BQ252*0.1,IF(AND(AU252=2,AK252&gt;0.01,CB252=2,CD252&gt;1),BQ252*0.1,IF(AND(AU252=3,AK252&gt;0.01,CB252=3,CD252&gt;1),BQ252*0.08,CJ252*EF252)))))))))))))</f>
        <v>0</v>
      </c>
      <c r="BP252" s="475">
        <f t="shared" si="269"/>
        <v>0</v>
      </c>
      <c r="BQ252" s="1431">
        <f>IF(AU252=1,0,IF(CH252=100,0,IF(AND(AF252=3,AU252=2),0,IF(AND(BH252=0,CT252&gt;0.4),0,IF(AND('Data Entry'!$C$74=2,AF252=1.5),0,IF(AND('Data Entry'!$C$74=2,AF252=1.6),0,IF(AND('Data Entry'!$C$74=2,AF252=4),0,IF(AND('Data Entry'!$C$74=2,AF252=5),0,IF(AND('Data Entry'!$C$74=2,AF252=2.5,CE252&lt;1),0,IF(AND('Data Entry'!$C$74=2,AF252=3,CE252&lt;1),0,IF(AND('Data Entry'!$C$74=1,AF252=2.5,CD252&lt;1),0,IF(AND('Data Entry'!$C$74=1,AF252=3,CD252&lt;1),0,IF(DX252&gt;0.01,DX252,IF(ISERROR(AX252-AY252),"",ROUND(AX252-AY252,2)))))))))))))))</f>
        <v>0</v>
      </c>
      <c r="BR252" s="146">
        <f t="shared" si="270"/>
        <v>0</v>
      </c>
      <c r="BS252" s="475">
        <f t="shared" si="271"/>
        <v>0</v>
      </c>
      <c r="BT252" s="146" t="b">
        <f t="shared" si="272"/>
        <v>0</v>
      </c>
      <c r="BU252" s="463">
        <f>IF(ISNA(AT252),0,IF(AND('Data Entry'!$C$74=2,BC252=27),0,IF(AND('Data Entry'!$C$74=2,BC252=28),0,IF(AND(BC252=27,BT252=27,CM252&gt;0.1),CM252*0.15,IF(AND(BC252=28,BT252=28,CM252&gt;0.1),CM252*0.12,0)))))</f>
        <v>0</v>
      </c>
      <c r="BV252" s="463">
        <f t="shared" si="309"/>
        <v>0</v>
      </c>
      <c r="BW252" s="463">
        <f t="shared" si="273"/>
        <v>0</v>
      </c>
      <c r="BX252" s="463">
        <f t="shared" si="274"/>
        <v>0</v>
      </c>
      <c r="BY252" s="463">
        <f t="shared" si="275"/>
        <v>0</v>
      </c>
      <c r="BZ252" s="463">
        <f t="shared" si="276"/>
        <v>0</v>
      </c>
      <c r="CA252" s="57">
        <f t="shared" si="304"/>
        <v>0</v>
      </c>
      <c r="CB252" s="56">
        <f t="shared" si="277"/>
        <v>1</v>
      </c>
      <c r="CC252" s="756">
        <f>IF(EE252=0,0,IF(EF252=0,0,IF(EE252&gt;AA252,0,IF(AND(AZ252&gt;AW252,AW252&gt;0),0,IF(CU252=0,0,Summary!AC555)))))</f>
        <v>0</v>
      </c>
      <c r="CD252" s="756">
        <f>IF(EE252=0,0,IF(EF252=0,0,IF(EE252&gt;AA252,0,IF(AND(AZ252&gt;AW252,AW252&gt;0),0,IF(CU252=0,0,Summary!AD555)))))</f>
        <v>0</v>
      </c>
      <c r="CE252" s="756">
        <f>IF(EF252=0,0,IF(EE252&gt;AA252,0,IF(CC252=0,0,IF(AND(AZ252&gt;AW252,AW252&gt;0),0,IF(CU252=0,0,Summary!AE555)))))</f>
        <v>0</v>
      </c>
      <c r="CF252" s="475">
        <f t="shared" si="278"/>
        <v>0</v>
      </c>
      <c r="CG252" s="476">
        <f t="shared" si="246"/>
        <v>0</v>
      </c>
      <c r="CH252" s="487">
        <f t="shared" si="279"/>
        <v>0</v>
      </c>
      <c r="CI252" s="756">
        <f t="shared" si="280"/>
        <v>0</v>
      </c>
      <c r="CJ252" s="487">
        <f>IF(CT252&gt;0.4,0,IF(AND(AU252=2,CH252=0,CT252=0.5,ER252=100),35,IF(AND(AU252=3,BB252&gt;75,CH252=0,CT252=0.5,ER252=100),25,IF(CB252&gt;1,0,IF(EF252&gt;EE252,0,IF(AND(AF252&gt;1,CH252=100),0,IF(AND(AF252=1,AY252=0),0,IF(AND(EF252&lt;=EE252,AW252&gt;=AZ252,'Data Entry'!$C$74=1,AU252=2),VLOOKUP(W252,$DO$96:$DP$102,2,FALSE),IF(AND(EF252&lt;=EE252,AW252&gt;=AZ252,AU252=3,'Data Entry'!$C$74=1),VLOOKUP(W252,$DO$127:$DP$134,2,FALSE))))))))))</f>
        <v>0</v>
      </c>
      <c r="CK252" s="716">
        <f t="shared" si="281"/>
        <v>0</v>
      </c>
      <c r="CL252" s="57">
        <f t="shared" si="282"/>
        <v>0</v>
      </c>
      <c r="CM252" s="475">
        <f t="shared" si="308"/>
        <v>0</v>
      </c>
      <c r="CN252" s="660">
        <f>IF(CM252&lt;0.1,0,IF(ISNA(AT252),0,IF(CL252+BC252=1,0,IF(BV252&gt;0.01,0,IF(CL252&gt;0.01,0,IF(CF252=1,0,IF(BC252=0.5,0,IF(AND(CI252=1,AU252=3),0,IF(AND(CI252=5,CL252=0),0,IF(AND(R252=12,BR252=50),0,IF(CK252&gt;0.01,0,IF(AND(AJ252&gt;0.01,AU252=2,BC252=15),CM252*0.1,IF(AND(AJ252&gt;0.01,AU252=3,BC252=15),CM252*0.08,IF(AND(R252=12,BC252=3,AF252&lt;=0),0,IF(AND(BC252=15,BI252=0),0,IF(AND(BC252=15,BJ252=0),0,IF(AND(R252=20,CU252=0),0,IF($X$4=0,0,IF(AND(BC252=250,CL252=0),0,IF(AA252&lt;1,0,IF(AND(ISNUMBER(SEARCH("Area",T252)),AU252=3),0,IF(AND(AQ252&gt;0.01,AR252=0,BK252=0,BL252=0,BM252=0,BN252=0),0,IF(AND(AU252=3,CI252=7,CT252&gt;0.5),0,IF(AND(BC252=44,AU252=3,BY252=0),0,IF(AND(BC252=27,'Data Entry'!$C$74=2),0,IF(AND(BC252=28,'Data Entry'!$C$74=2),0,IF(AND(BY252+BZ252+CA252&gt;0.01,BV252=0,EQ252+ER252+ES252+ET252&lt;100),0,IF(AU252=3,CM252*0.08,IF(AU252=2,CM252*0.1,0)))))))))))))))))))))))))))))</f>
        <v>0</v>
      </c>
      <c r="CO252" s="660">
        <f t="shared" si="283"/>
        <v>0</v>
      </c>
      <c r="CP252" s="475" t="str">
        <f t="shared" si="284"/>
        <v/>
      </c>
      <c r="CQ252" s="161" t="str">
        <f>IF(AH252=0,0,IF(AU252=5,0,Summary!AC255))</f>
        <v/>
      </c>
      <c r="CR252" s="161" t="str">
        <f>IF(BF252=0.5,0,IF(AU252=5,0,Summary!AD255))</f>
        <v/>
      </c>
      <c r="CS252" s="161" t="str">
        <f>IF(AU252=5,0,Summary!AE255)</f>
        <v/>
      </c>
      <c r="CT252" s="161">
        <f t="shared" si="285"/>
        <v>0</v>
      </c>
      <c r="CU252" s="475" t="str">
        <f t="shared" si="286"/>
        <v/>
      </c>
      <c r="CV252" s="307">
        <f>IF('Data Entry'!$C$74=0,0,IF(AA252&lt;1,0,IF(ISERROR(CU252),0,IF(CF252=1,0,IF(AND(R252=12,BR252=50),0,IF(CL252+BO252+BV252+DC252=0,0,IF(BC252=37,0,IF(AND(BC252=40,AJ252=0),0,IF(AND(BC252=37,BO252&gt;0.01,BQ252&gt;0.01),ROUND(BQ252,0),IF(CM252&lt;0,0,ROUND(CM252,0)))))))))))</f>
        <v>0</v>
      </c>
      <c r="CW252" s="700">
        <f t="shared" si="287"/>
        <v>0</v>
      </c>
      <c r="CX252" s="477">
        <f>IF('Data Entry'!$C$74=0,0,IF(CV252&lt;0.01,0,IF(BF252=0.5,0,IF(CF252=1,0,IF(ISNUMBER(SEARCH("false",CL252)),0,IF(AZ252=500,0,CL252))))))</f>
        <v>0</v>
      </c>
      <c r="CY252" s="147" t="e">
        <f t="shared" si="288"/>
        <v>#VALUE!</v>
      </c>
      <c r="CZ252" s="147" t="b">
        <f>IF(CN252+CL252=0,FALSE,IF(AH252=0,0,IF(AND('Data Entry'!$C$74=1,CR252&gt;=1),TRUE,IF(AND('Data Entry'!$C$74=2,CS252&gt;=1),TRUE,FALSE))))</f>
        <v>0</v>
      </c>
      <c r="DA252" s="1751">
        <f>IF('Data Entry'!$C$74=0,0,IFERROR(ROUND(IF(T252="","",IF($X$4=0,0,IF(CF252=1,0,IF(BQ252+CV252=0,0,IF(CF252=1,0,IF(CY252&gt;0.01,CY252,IF(CL252&gt;0.01,CL252,IF(CY252&gt;0.01,CY252,IF(BC252=37,BO252,IF(CZ252=FALSE,0,IF(CZ252=TRUE,DC252+DF252,0))))))))))),2),""))</f>
        <v>0</v>
      </c>
      <c r="DB252" s="1752"/>
      <c r="DC252" s="474">
        <f>IF(CN252&lt;0.01,0,IF(AND(BR252=3,CN252&gt;0.01,CT252&gt;0.6,ER252+ES252+ET252&lt;100),0,IF(AND('Data Entry'!$C$74=1,CN252&gt;0.01,CR252&gt;0.99),MIN(CN252:CO252),IF(AND('Data Entry'!$C$74=2,CN252&gt;0.01,CS252&gt;0.99),MIN(CN252:CO252),0))))</f>
        <v>0</v>
      </c>
      <c r="DD252" s="478">
        <f>IF(CF252=1,"Selection does not match",IF(T252=0,0,IF(AND('Data Entry'!$C$74=0,CP252&gt;1),"Select Oregon or Idaho on Data Entry Tab",IF(AND(AU252=1,AA252&gt;0.9),"Missing Interior or Exterior Selection",IF($X$4=0,"Enter Total Project Cost",IF(AQ252&lt;AR252,"Insufficient kWh savings – no incentive",IF(AND(SUM(CL252+CK252+BV252)&gt;0.01,'Data Entry'!$C$74=2,CJ252&gt;1,BO252=0),"Submit Control as Non-Standard",IF(AND('Data Entry'!$C$74=2,BR252=37,CJ252&gt;1,BO252=0),"Submit Control as Non-Standard",IF(SUM(CL252+CK252+BV252)&gt;0.01,"Standard Incentive",IF(AND('Data Entry'!$C$74=2,CP252=7,CN252=0),"Submit as Non-Standard",IF(DC252&gt;0.9,"Non-Standard Incentive",IF(AND(BY252+BZ252+CA252&gt;0.01,BV252=0,EQ252=0,ER252=0,ES252=0,ET252=0),"Scroll Right &amp; Select Control Strategies",IF(AND(CN252&gt;0.01,CO252=0),"Enter Unit Installed Cost",IF(ISNUMBER(SEARCH("Lighting Controls Only",F252)),"Lighting Controls Only",IF(CL252+DC252=0,"Does not meet incentive criteria",0)))))))))))))))</f>
        <v>0</v>
      </c>
      <c r="DE252" s="337">
        <f t="shared" si="289"/>
        <v>0</v>
      </c>
      <c r="DF252" s="609">
        <f t="shared" si="290"/>
        <v>0</v>
      </c>
      <c r="DG252" s="336" t="str">
        <f t="shared" si="291"/>
        <v/>
      </c>
      <c r="DH252" s="338">
        <f t="shared" si="292"/>
        <v>1</v>
      </c>
      <c r="DI252" s="336" t="e">
        <f t="shared" si="247"/>
        <v>#VALUE!</v>
      </c>
      <c r="DJ252" s="338">
        <f t="shared" si="248"/>
        <v>0</v>
      </c>
      <c r="DO252" s="81"/>
      <c r="DP252" s="81"/>
      <c r="DQ252" s="81"/>
      <c r="DR252" s="81"/>
      <c r="DS252" s="1195">
        <f t="shared" si="293"/>
        <v>0</v>
      </c>
      <c r="DT252" s="344" t="b">
        <f t="shared" si="294"/>
        <v>1</v>
      </c>
      <c r="DU252" s="1314" t="str">
        <f t="array" ref="DU252">IF(OR(COUNTIF(F252,"*"&amp;$DK$9:$DK$178&amp;"*")), "Yes", "")</f>
        <v/>
      </c>
      <c r="DV252" s="1314">
        <f t="shared" si="295"/>
        <v>0</v>
      </c>
      <c r="DW252" s="1480">
        <f t="shared" si="296"/>
        <v>0</v>
      </c>
      <c r="DX252" s="1498">
        <f t="shared" si="305"/>
        <v>0</v>
      </c>
      <c r="DY252" s="1484">
        <f t="shared" si="297"/>
        <v>0</v>
      </c>
      <c r="DZ252" s="331"/>
      <c r="EA252" s="392"/>
      <c r="EB252" s="1499" t="s">
        <v>109</v>
      </c>
      <c r="EC252" s="727" t="s">
        <v>1569</v>
      </c>
      <c r="ED252" s="728">
        <v>0.5</v>
      </c>
      <c r="EE252" s="1215"/>
      <c r="EF252" s="1215"/>
      <c r="EG252" s="1184" t="str">
        <f t="shared" si="298"/>
        <v/>
      </c>
      <c r="EH252" s="377"/>
      <c r="EI252" s="377"/>
      <c r="EJ252" s="1185">
        <f t="shared" si="249"/>
        <v>0</v>
      </c>
      <c r="EK252" s="1211"/>
      <c r="EL252" s="1180">
        <f t="shared" si="250"/>
        <v>0</v>
      </c>
      <c r="EM252" s="206"/>
      <c r="EN252" s="1038"/>
      <c r="EO252" s="1038"/>
      <c r="EP252" s="1038"/>
      <c r="EQ252" s="1038">
        <f t="shared" si="299"/>
        <v>0</v>
      </c>
      <c r="ER252" s="1041">
        <f t="shared" si="300"/>
        <v>0</v>
      </c>
      <c r="ES252" s="1042">
        <f t="shared" si="301"/>
        <v>0</v>
      </c>
      <c r="ET252" s="1042">
        <f t="shared" si="306"/>
        <v>0</v>
      </c>
      <c r="EU252" s="1021">
        <f t="shared" si="307"/>
        <v>0</v>
      </c>
      <c r="EV252" s="368"/>
      <c r="EW252" s="368"/>
      <c r="EX252" s="369"/>
      <c r="EY252" s="370"/>
      <c r="EZ252" s="370"/>
      <c r="FA252" s="371"/>
      <c r="FB252" s="372"/>
    </row>
    <row r="253" spans="1:158" ht="34.5" customHeight="1">
      <c r="A253" s="82">
        <v>245</v>
      </c>
      <c r="B253" s="1806"/>
      <c r="C253" s="1807"/>
      <c r="D253" s="1807"/>
      <c r="E253" s="1808"/>
      <c r="F253" s="1809"/>
      <c r="G253" s="1810"/>
      <c r="H253" s="1810"/>
      <c r="I253" s="1811"/>
      <c r="J253" s="1301"/>
      <c r="K253" s="1814"/>
      <c r="L253" s="1814"/>
      <c r="M253" s="1017"/>
      <c r="N253" s="1584"/>
      <c r="O253" s="208" t="str">
        <f t="shared" si="237"/>
        <v/>
      </c>
      <c r="P253" s="785"/>
      <c r="Q253" s="39" t="str">
        <f t="shared" si="238"/>
        <v/>
      </c>
      <c r="R253" s="39">
        <f t="shared" si="251"/>
        <v>0</v>
      </c>
      <c r="S253" s="234">
        <f t="shared" si="252"/>
        <v>0</v>
      </c>
      <c r="T253" s="1815"/>
      <c r="U253" s="1815"/>
      <c r="V253" s="1815"/>
      <c r="W253" s="1121"/>
      <c r="X253" s="1812"/>
      <c r="Y253" s="1813"/>
      <c r="Z253" s="703"/>
      <c r="AA253" s="1280"/>
      <c r="AB253" s="1141"/>
      <c r="AC253" s="1103" t="str">
        <f>IF(T253="","",VLOOKUP(Z253,Lists!$A$60:$B$111,2,FALSE))</f>
        <v/>
      </c>
      <c r="AD253" s="130" t="str">
        <f t="shared" si="253"/>
        <v/>
      </c>
      <c r="AE253" s="130" t="e">
        <f t="shared" si="254"/>
        <v>#VALUE!</v>
      </c>
      <c r="AF253" s="130">
        <f t="shared" si="255"/>
        <v>1</v>
      </c>
      <c r="AG253" s="234">
        <f t="shared" si="239"/>
        <v>0</v>
      </c>
      <c r="AH253" s="1753" t="str">
        <f>IF(T253="","",(IF(ISNUMBER(SEARCH("exit",T253)),8760,IF(AND(M253="Dusk to Dawn",'Proposed Lighting'!AU253=3),4059,IF(AND(AU253=3,M253="1"),0,IF(AND(AU253=3,M253="1-C"),0,IF(AND(AU253=3,M253="2"),0,IF(AND(AU253=3,M253="2-C"),0,IF(AND(AU253=3,M253="3"),0,IF(AND(AU253=3,M253="3-C"),0,IF(AND(AU253=2,M253="Dusk to Dawn"),0,IF(AND(AU253=2,M253="Dusk to Dawn-C"),0,IF(AND(AU253=2,M253="Dusk to Dawn"),0,IF(AND(AU253=2,M253="E"),0,IF(AND(AU253=2,M253="E-C"),0,EG253)))))))))))))))</f>
        <v/>
      </c>
      <c r="AI253" s="1754"/>
      <c r="AJ253" s="1136"/>
      <c r="AK253" s="1136"/>
      <c r="AL253" s="1748">
        <f t="shared" si="256"/>
        <v>0</v>
      </c>
      <c r="AM253" s="1749"/>
      <c r="AN253" s="1750"/>
      <c r="AO253" s="476">
        <f t="shared" si="240"/>
        <v>0</v>
      </c>
      <c r="AP253" s="476">
        <f t="shared" si="257"/>
        <v>0</v>
      </c>
      <c r="AQ253" s="475">
        <f t="shared" si="241"/>
        <v>0</v>
      </c>
      <c r="AR253" s="475">
        <f t="shared" si="258"/>
        <v>0</v>
      </c>
      <c r="AS253" s="743" t="str">
        <f t="shared" si="310"/>
        <v/>
      </c>
      <c r="AT253" s="736" t="str">
        <f t="shared" si="259"/>
        <v/>
      </c>
      <c r="AU253" s="56">
        <f t="shared" si="260"/>
        <v>1</v>
      </c>
      <c r="AV253" s="476">
        <f t="shared" si="261"/>
        <v>0</v>
      </c>
      <c r="AW253" s="56">
        <f t="shared" si="262"/>
        <v>0</v>
      </c>
      <c r="AX253" s="475">
        <f t="shared" si="242"/>
        <v>0</v>
      </c>
      <c r="AY253" s="1169">
        <f t="shared" si="263"/>
        <v>0</v>
      </c>
      <c r="AZ253" s="1150">
        <f t="shared" si="302"/>
        <v>0</v>
      </c>
      <c r="BA253" s="56">
        <f t="shared" si="243"/>
        <v>0</v>
      </c>
      <c r="BB253" s="420">
        <f t="shared" si="244"/>
        <v>0</v>
      </c>
      <c r="BC253" s="58" t="str">
        <f t="shared" si="245"/>
        <v/>
      </c>
      <c r="BD253" s="660">
        <f t="shared" si="303"/>
        <v>0</v>
      </c>
      <c r="BE253" s="57" t="e">
        <f t="array" ref="BE253">INDEX($EB$11:$ED$1022,MATCH(F253&amp;T253,$EB$11:$EB$1007&amp;$EC$11:$EC$1007,0),3)</f>
        <v>#N/A</v>
      </c>
      <c r="BF253" s="463">
        <f t="shared" si="311"/>
        <v>0</v>
      </c>
      <c r="BG253" s="1445" t="e">
        <f t="array" ref="BG253">INDEX($DO$112:$DQ$123,MATCH(T253&amp;W253,$DO$114:$DO$125&amp;$DP$112:$DP$123,0),3)</f>
        <v>#N/A</v>
      </c>
      <c r="BH253" s="1446">
        <f t="shared" si="264"/>
        <v>0</v>
      </c>
      <c r="BI253" s="465">
        <f t="shared" si="265"/>
        <v>0</v>
      </c>
      <c r="BJ253" s="465">
        <f t="shared" si="266"/>
        <v>0</v>
      </c>
      <c r="BK253" s="466">
        <f t="shared" si="312"/>
        <v>0</v>
      </c>
      <c r="BL253" s="466">
        <f t="shared" si="313"/>
        <v>0</v>
      </c>
      <c r="BM253" s="466">
        <f t="shared" si="267"/>
        <v>0</v>
      </c>
      <c r="BN253" s="466">
        <f t="shared" si="268"/>
        <v>0</v>
      </c>
      <c r="BO253" s="463">
        <f>IF('Data Entry'!$C$74=0,0,IF(ISNA(CJ253),0,IF(AX253=0,0,IF(AND('Data Entry'!$C$74=2,AF253&gt;2,CE253&lt;1),0,IF(AND('Data Entry'!$C$74=2,AF253&gt;1,AU253=2,CJ253&gt;1),0,IF(AND(AF253=5,CT253=0.5,AU253=2,ER253&lt;100),0,IF(AND(AF253=5,CT253=0.5,AU253=3,ER253&lt;100),0,IF(AND('Data Entry'!$C$74=2,AF253=2,AU253=2,AK253&gt;0.01,CB253=2,CE253&lt;1),0,IF(AND('Data Entry'!$C$74=2,AF253=3,AU253=3,AK253&gt;0.01,CB253=3,CE253&lt;1),0,IF(AND('Data Entry'!$C$74=2,AF253=3,AU253=3,AK253&gt;0.01,CB253=3,CE253&gt;0.99),BQ253*0.08,IF(AND('Data Entry'!$C$74=2,AF253=2,AU253=2,AK253&gt;0.01,CB253=2,CE253&gt;0.99),BQ253*0.1,IF(AND(AU253=2,AK253&gt;0.01,CB253=2,CD253&gt;1),BQ253*0.1,IF(AND(AU253=3,AK253&gt;0.01,CB253=3,CD253&gt;1),BQ253*0.08,CJ253*EF253)))))))))))))</f>
        <v>0</v>
      </c>
      <c r="BP253" s="475">
        <f t="shared" si="269"/>
        <v>0</v>
      </c>
      <c r="BQ253" s="1431">
        <f>IF(AU253=1,0,IF(CH253=100,0,IF(AND(AF253=3,AU253=2),0,IF(AND(BH253=0,CT253&gt;0.4),0,IF(AND('Data Entry'!$C$74=2,AF253=1.5),0,IF(AND('Data Entry'!$C$74=2,AF253=1.6),0,IF(AND('Data Entry'!$C$74=2,AF253=4),0,IF(AND('Data Entry'!$C$74=2,AF253=5),0,IF(AND('Data Entry'!$C$74=2,AF253=2.5,CE253&lt;1),0,IF(AND('Data Entry'!$C$74=2,AF253=3,CE253&lt;1),0,IF(AND('Data Entry'!$C$74=1,AF253=2.5,CD253&lt;1),0,IF(AND('Data Entry'!$C$74=1,AF253=3,CD253&lt;1),0,IF(DX253&gt;0.01,DX253,IF(ISERROR(AX253-AY253),"",ROUND(AX253-AY253,2)))))))))))))))</f>
        <v>0</v>
      </c>
      <c r="BR253" s="146">
        <f t="shared" si="270"/>
        <v>0</v>
      </c>
      <c r="BS253" s="475">
        <f t="shared" si="271"/>
        <v>0</v>
      </c>
      <c r="BT253" s="146" t="b">
        <f t="shared" si="272"/>
        <v>0</v>
      </c>
      <c r="BU253" s="463">
        <f>IF(ISNA(AT253),0,IF(AND('Data Entry'!$C$74=2,BC253=27),0,IF(AND('Data Entry'!$C$74=2,BC253=28),0,IF(AND(BC253=27,BT253=27,CM253&gt;0.1),CM253*0.15,IF(AND(BC253=28,BT253=28,CM253&gt;0.1),CM253*0.12,0)))))</f>
        <v>0</v>
      </c>
      <c r="BV253" s="463">
        <f t="shared" si="309"/>
        <v>0</v>
      </c>
      <c r="BW253" s="463">
        <f t="shared" si="273"/>
        <v>0</v>
      </c>
      <c r="BX253" s="463">
        <f t="shared" si="274"/>
        <v>0</v>
      </c>
      <c r="BY253" s="463">
        <f t="shared" si="275"/>
        <v>0</v>
      </c>
      <c r="BZ253" s="463">
        <f t="shared" si="276"/>
        <v>0</v>
      </c>
      <c r="CA253" s="57">
        <f t="shared" si="304"/>
        <v>0</v>
      </c>
      <c r="CB253" s="56">
        <f t="shared" si="277"/>
        <v>1</v>
      </c>
      <c r="CC253" s="756">
        <f>IF(EE253=0,0,IF(EF253=0,0,IF(EE253&gt;AA253,0,IF(AND(AZ253&gt;AW253,AW253&gt;0),0,IF(CU253=0,0,Summary!AC556)))))</f>
        <v>0</v>
      </c>
      <c r="CD253" s="756">
        <f>IF(EE253=0,0,IF(EF253=0,0,IF(EE253&gt;AA253,0,IF(AND(AZ253&gt;AW253,AW253&gt;0),0,IF(CU253=0,0,Summary!AD556)))))</f>
        <v>0</v>
      </c>
      <c r="CE253" s="756">
        <f>IF(EF253=0,0,IF(EE253&gt;AA253,0,IF(CC253=0,0,IF(AND(AZ253&gt;AW253,AW253&gt;0),0,IF(CU253=0,0,Summary!AE556)))))</f>
        <v>0</v>
      </c>
      <c r="CF253" s="475">
        <f t="shared" si="278"/>
        <v>0</v>
      </c>
      <c r="CG253" s="476">
        <f t="shared" si="246"/>
        <v>0</v>
      </c>
      <c r="CH253" s="487">
        <f t="shared" si="279"/>
        <v>0</v>
      </c>
      <c r="CI253" s="756">
        <f t="shared" si="280"/>
        <v>0</v>
      </c>
      <c r="CJ253" s="487">
        <f>IF(CT253&gt;0.4,0,IF(AND(AU253=2,CH253=0,CT253=0.5,ER253=100),35,IF(AND(AU253=3,BB253&gt;75,CH253=0,CT253=0.5,ER253=100),25,IF(CB253&gt;1,0,IF(EF253&gt;EE253,0,IF(AND(AF253&gt;1,CH253=100),0,IF(AND(AF253=1,AY253=0),0,IF(AND(EF253&lt;=EE253,AW253&gt;=AZ253,'Data Entry'!$C$74=1,AU253=2),VLOOKUP(W253,$DO$96:$DP$102,2,FALSE),IF(AND(EF253&lt;=EE253,AW253&gt;=AZ253,AU253=3,'Data Entry'!$C$74=1),VLOOKUP(W253,$DO$127:$DP$134,2,FALSE))))))))))</f>
        <v>0</v>
      </c>
      <c r="CK253" s="716">
        <f t="shared" si="281"/>
        <v>0</v>
      </c>
      <c r="CL253" s="57">
        <f t="shared" si="282"/>
        <v>0</v>
      </c>
      <c r="CM253" s="475">
        <f t="shared" si="308"/>
        <v>0</v>
      </c>
      <c r="CN253" s="660">
        <f>IF(CM253&lt;0.1,0,IF(ISNA(AT253),0,IF(CL253+BC253=1,0,IF(BV253&gt;0.01,0,IF(CL253&gt;0.01,0,IF(CF253=1,0,IF(BC253=0.5,0,IF(AND(CI253=1,AU253=3),0,IF(AND(CI253=5,CL253=0),0,IF(AND(R253=12,BR253=50),0,IF(CK253&gt;0.01,0,IF(AND(AJ253&gt;0.01,AU253=2,BC253=15),CM253*0.1,IF(AND(AJ253&gt;0.01,AU253=3,BC253=15),CM253*0.08,IF(AND(R253=12,BC253=3,AF253&lt;=0),0,IF(AND(BC253=15,BI253=0),0,IF(AND(BC253=15,BJ253=0),0,IF(AND(R253=20,CU253=0),0,IF($X$4=0,0,IF(AND(BC253=250,CL253=0),0,IF(AA253&lt;1,0,IF(AND(ISNUMBER(SEARCH("Area",T253)),AU253=3),0,IF(AND(AQ253&gt;0.01,AR253=0,BK253=0,BL253=0,BM253=0,BN253=0),0,IF(AND(AU253=3,CI253=7,CT253&gt;0.5),0,IF(AND(BC253=44,AU253=3,BY253=0),0,IF(AND(BC253=27,'Data Entry'!$C$74=2),0,IF(AND(BC253=28,'Data Entry'!$C$74=2),0,IF(AND(BY253+BZ253+CA253&gt;0.01,BV253=0,EQ253+ER253+ES253+ET253&lt;100),0,IF(AU253=3,CM253*0.08,IF(AU253=2,CM253*0.1,0)))))))))))))))))))))))))))))</f>
        <v>0</v>
      </c>
      <c r="CO253" s="660">
        <f t="shared" si="283"/>
        <v>0</v>
      </c>
      <c r="CP253" s="475" t="str">
        <f t="shared" si="284"/>
        <v/>
      </c>
      <c r="CQ253" s="161" t="str">
        <f>IF(AH253=0,0,IF(AU253=5,0,Summary!AC256))</f>
        <v/>
      </c>
      <c r="CR253" s="161" t="str">
        <f>IF(BF253=0.5,0,IF(AU253=5,0,Summary!AD256))</f>
        <v/>
      </c>
      <c r="CS253" s="161" t="str">
        <f>IF(AU253=5,0,Summary!AE256)</f>
        <v/>
      </c>
      <c r="CT253" s="161">
        <f t="shared" si="285"/>
        <v>0</v>
      </c>
      <c r="CU253" s="475" t="str">
        <f t="shared" si="286"/>
        <v/>
      </c>
      <c r="CV253" s="307">
        <f>IF('Data Entry'!$C$74=0,0,IF(AA253&lt;1,0,IF(ISERROR(CU253),0,IF(CF253=1,0,IF(AND(R253=12,BR253=50),0,IF(CL253+BO253+BV253+DC253=0,0,IF(BC253=37,0,IF(AND(BC253=40,AJ253=0),0,IF(AND(BC253=37,BO253&gt;0.01,BQ253&gt;0.01),ROUND(BQ253,0),IF(CM253&lt;0,0,ROUND(CM253,0)))))))))))</f>
        <v>0</v>
      </c>
      <c r="CW253" s="700">
        <f t="shared" si="287"/>
        <v>0</v>
      </c>
      <c r="CX253" s="477">
        <f>IF('Data Entry'!$C$74=0,0,IF(CV253&lt;0.01,0,IF(BF253=0.5,0,IF(CF253=1,0,IF(ISNUMBER(SEARCH("false",CL253)),0,IF(AZ253=500,0,CL253))))))</f>
        <v>0</v>
      </c>
      <c r="CY253" s="147" t="e">
        <f t="shared" si="288"/>
        <v>#VALUE!</v>
      </c>
      <c r="CZ253" s="147" t="b">
        <f>IF(CN253+CL253=0,FALSE,IF(AH253=0,0,IF(AND('Data Entry'!$C$74=1,CR253&gt;=1),TRUE,IF(AND('Data Entry'!$C$74=2,CS253&gt;=1),TRUE,FALSE))))</f>
        <v>0</v>
      </c>
      <c r="DA253" s="1751">
        <f>IF('Data Entry'!$C$74=0,0,IFERROR(ROUND(IF(T253="","",IF($X$4=0,0,IF(CF253=1,0,IF(BQ253+CV253=0,0,IF(CF253=1,0,IF(CY253&gt;0.01,CY253,IF(CL253&gt;0.01,CL253,IF(CY253&gt;0.01,CY253,IF(BC253=37,BO253,IF(CZ253=FALSE,0,IF(CZ253=TRUE,DC253+DF253,0))))))))))),2),""))</f>
        <v>0</v>
      </c>
      <c r="DB253" s="1752"/>
      <c r="DC253" s="474">
        <f>IF(CN253&lt;0.01,0,IF(AND(BR253=3,CN253&gt;0.01,CT253&gt;0.6,ER253+ES253+ET253&lt;100),0,IF(AND('Data Entry'!$C$74=1,CN253&gt;0.01,CR253&gt;0.99),MIN(CN253:CO253),IF(AND('Data Entry'!$C$74=2,CN253&gt;0.01,CS253&gt;0.99),MIN(CN253:CO253),0))))</f>
        <v>0</v>
      </c>
      <c r="DD253" s="478">
        <f>IF(CF253=1,"Selection does not match",IF(T253=0,0,IF(AND('Data Entry'!$C$74=0,CP253&gt;1),"Select Oregon or Idaho on Data Entry Tab",IF(AND(AU253=1,AA253&gt;0.9),"Missing Interior or Exterior Selection",IF($X$4=0,"Enter Total Project Cost",IF(AQ253&lt;AR253,"Insufficient kWh savings – no incentive",IF(AND(SUM(CL253+CK253+BV253)&gt;0.01,'Data Entry'!$C$74=2,CJ253&gt;1,BO253=0),"Submit Control as Non-Standard",IF(AND('Data Entry'!$C$74=2,BR253=37,CJ253&gt;1,BO253=0),"Submit Control as Non-Standard",IF(SUM(CL253+CK253+BV253)&gt;0.01,"Standard Incentive",IF(AND('Data Entry'!$C$74=2,CP253=7,CN253=0),"Submit as Non-Standard",IF(DC253&gt;0.9,"Non-Standard Incentive",IF(AND(BY253+BZ253+CA253&gt;0.01,BV253=0,EQ253=0,ER253=0,ES253=0,ET253=0),"Scroll Right &amp; Select Control Strategies",IF(AND(CN253&gt;0.01,CO253=0),"Enter Unit Installed Cost",IF(ISNUMBER(SEARCH("Lighting Controls Only",F253)),"Lighting Controls Only",IF(CL253+DC253=0,"Does not meet incentive criteria",0)))))))))))))))</f>
        <v>0</v>
      </c>
      <c r="DE253" s="337">
        <f t="shared" si="289"/>
        <v>0</v>
      </c>
      <c r="DF253" s="609">
        <f t="shared" si="290"/>
        <v>0</v>
      </c>
      <c r="DG253" s="336" t="str">
        <f t="shared" si="291"/>
        <v/>
      </c>
      <c r="DH253" s="338">
        <f t="shared" si="292"/>
        <v>1</v>
      </c>
      <c r="DI253" s="336" t="e">
        <f t="shared" si="247"/>
        <v>#VALUE!</v>
      </c>
      <c r="DJ253" s="338">
        <f t="shared" si="248"/>
        <v>0</v>
      </c>
      <c r="DO253" s="81"/>
      <c r="DP253" s="81"/>
      <c r="DQ253" s="81"/>
      <c r="DR253" s="81"/>
      <c r="DS253" s="1195">
        <f t="shared" si="293"/>
        <v>0</v>
      </c>
      <c r="DT253" s="344" t="b">
        <f t="shared" si="294"/>
        <v>1</v>
      </c>
      <c r="DU253" s="1314" t="str">
        <f t="array" ref="DU253">IF(OR(COUNTIF(F253,"*"&amp;$DK$9:$DK$178&amp;"*")), "Yes", "")</f>
        <v/>
      </c>
      <c r="DV253" s="1314">
        <f t="shared" si="295"/>
        <v>0</v>
      </c>
      <c r="DW253" s="1480">
        <f t="shared" si="296"/>
        <v>0</v>
      </c>
      <c r="DX253" s="1498">
        <f t="shared" si="305"/>
        <v>0</v>
      </c>
      <c r="DY253" s="1484">
        <f t="shared" si="297"/>
        <v>0</v>
      </c>
      <c r="DZ253" s="331"/>
      <c r="EA253" s="392"/>
      <c r="EB253" s="1499" t="s">
        <v>110</v>
      </c>
      <c r="EC253" s="727" t="s">
        <v>1569</v>
      </c>
      <c r="ED253" s="728">
        <v>0.5</v>
      </c>
      <c r="EE253" s="1215"/>
      <c r="EF253" s="1215"/>
      <c r="EG253" s="1184" t="str">
        <f t="shared" si="298"/>
        <v/>
      </c>
      <c r="EJ253" s="1185">
        <f t="shared" si="249"/>
        <v>0</v>
      </c>
      <c r="EK253" s="1211"/>
      <c r="EL253" s="1180">
        <f t="shared" si="250"/>
        <v>0</v>
      </c>
      <c r="EM253" s="206"/>
      <c r="EN253" s="1038"/>
      <c r="EO253" s="1038"/>
      <c r="EP253" s="1038"/>
      <c r="EQ253" s="1038">
        <f t="shared" si="299"/>
        <v>0</v>
      </c>
      <c r="ER253" s="1041">
        <f t="shared" si="300"/>
        <v>0</v>
      </c>
      <c r="ES253" s="1042">
        <f t="shared" si="301"/>
        <v>0</v>
      </c>
      <c r="ET253" s="1042">
        <f t="shared" si="306"/>
        <v>0</v>
      </c>
      <c r="EU253" s="1021">
        <f t="shared" si="307"/>
        <v>0</v>
      </c>
      <c r="EV253" s="368"/>
      <c r="EW253" s="368"/>
      <c r="EX253" s="369"/>
      <c r="EY253" s="370"/>
      <c r="EZ253" s="370"/>
      <c r="FA253" s="371"/>
      <c r="FB253" s="372"/>
    </row>
    <row r="254" spans="1:158" ht="34.5" customHeight="1">
      <c r="A254" s="82">
        <v>246</v>
      </c>
      <c r="B254" s="1806"/>
      <c r="C254" s="1807"/>
      <c r="D254" s="1807"/>
      <c r="E254" s="1808"/>
      <c r="F254" s="1809"/>
      <c r="G254" s="1810"/>
      <c r="H254" s="1810"/>
      <c r="I254" s="1811"/>
      <c r="J254" s="1301"/>
      <c r="K254" s="1814"/>
      <c r="L254" s="1814"/>
      <c r="M254" s="1017"/>
      <c r="N254" s="1584"/>
      <c r="O254" s="208" t="str">
        <f t="shared" si="237"/>
        <v/>
      </c>
      <c r="P254" s="785"/>
      <c r="Q254" s="39" t="str">
        <f t="shared" si="238"/>
        <v/>
      </c>
      <c r="R254" s="39">
        <f t="shared" si="251"/>
        <v>0</v>
      </c>
      <c r="S254" s="234">
        <f t="shared" si="252"/>
        <v>0</v>
      </c>
      <c r="T254" s="1815"/>
      <c r="U254" s="1815"/>
      <c r="V254" s="1815"/>
      <c r="W254" s="1121"/>
      <c r="X254" s="1812"/>
      <c r="Y254" s="1813"/>
      <c r="Z254" s="703"/>
      <c r="AA254" s="1280"/>
      <c r="AB254" s="1141"/>
      <c r="AC254" s="1103" t="str">
        <f>IF(T254="","",VLOOKUP(Z254,Lists!$A$60:$B$111,2,FALSE))</f>
        <v/>
      </c>
      <c r="AD254" s="130" t="str">
        <f t="shared" si="253"/>
        <v/>
      </c>
      <c r="AE254" s="130" t="e">
        <f t="shared" si="254"/>
        <v>#VALUE!</v>
      </c>
      <c r="AF254" s="130">
        <f t="shared" si="255"/>
        <v>1</v>
      </c>
      <c r="AG254" s="234">
        <f t="shared" si="239"/>
        <v>0</v>
      </c>
      <c r="AH254" s="1753" t="str">
        <f>IF(T254="","",(IF(ISNUMBER(SEARCH("exit",T254)),8760,IF(AND(M254="Dusk to Dawn",'Proposed Lighting'!AU254=3),4059,IF(AND(AU254=3,M254="1"),0,IF(AND(AU254=3,M254="1-C"),0,IF(AND(AU254=3,M254="2"),0,IF(AND(AU254=3,M254="2-C"),0,IF(AND(AU254=3,M254="3"),0,IF(AND(AU254=3,M254="3-C"),0,IF(AND(AU254=2,M254="Dusk to Dawn"),0,IF(AND(AU254=2,M254="Dusk to Dawn-C"),0,IF(AND(AU254=2,M254="Dusk to Dawn"),0,IF(AND(AU254=2,M254="E"),0,IF(AND(AU254=2,M254="E-C"),0,EG254)))))))))))))))</f>
        <v/>
      </c>
      <c r="AI254" s="1754"/>
      <c r="AJ254" s="1136"/>
      <c r="AK254" s="1136"/>
      <c r="AL254" s="1748">
        <f t="shared" si="256"/>
        <v>0</v>
      </c>
      <c r="AM254" s="1749"/>
      <c r="AN254" s="1750"/>
      <c r="AO254" s="476">
        <f t="shared" si="240"/>
        <v>0</v>
      </c>
      <c r="AP254" s="476">
        <f t="shared" si="257"/>
        <v>0</v>
      </c>
      <c r="AQ254" s="475">
        <f t="shared" si="241"/>
        <v>0</v>
      </c>
      <c r="AR254" s="475">
        <f t="shared" si="258"/>
        <v>0</v>
      </c>
      <c r="AS254" s="743" t="str">
        <f t="shared" si="310"/>
        <v/>
      </c>
      <c r="AT254" s="736" t="str">
        <f t="shared" si="259"/>
        <v/>
      </c>
      <c r="AU254" s="56">
        <f t="shared" si="260"/>
        <v>1</v>
      </c>
      <c r="AV254" s="476">
        <f t="shared" si="261"/>
        <v>0</v>
      </c>
      <c r="AW254" s="56">
        <f t="shared" si="262"/>
        <v>0</v>
      </c>
      <c r="AX254" s="475">
        <f t="shared" si="242"/>
        <v>0</v>
      </c>
      <c r="AY254" s="1169">
        <f t="shared" si="263"/>
        <v>0</v>
      </c>
      <c r="AZ254" s="1150">
        <f t="shared" si="302"/>
        <v>0</v>
      </c>
      <c r="BA254" s="56">
        <f t="shared" si="243"/>
        <v>0</v>
      </c>
      <c r="BB254" s="420">
        <f t="shared" si="244"/>
        <v>0</v>
      </c>
      <c r="BC254" s="58" t="str">
        <f t="shared" si="245"/>
        <v/>
      </c>
      <c r="BD254" s="660">
        <f t="shared" si="303"/>
        <v>0</v>
      </c>
      <c r="BE254" s="57" t="e">
        <f t="array" ref="BE254">INDEX($EB$11:$ED$1022,MATCH(F254&amp;T254,$EB$11:$EB$1007&amp;$EC$11:$EC$1007,0),3)</f>
        <v>#N/A</v>
      </c>
      <c r="BF254" s="463">
        <f t="shared" si="311"/>
        <v>0</v>
      </c>
      <c r="BG254" s="1445" t="e">
        <f t="array" ref="BG254">INDEX($DO$112:$DQ$123,MATCH(T254&amp;W254,$DO$114:$DO$125&amp;$DP$112:$DP$123,0),3)</f>
        <v>#N/A</v>
      </c>
      <c r="BH254" s="1446">
        <f t="shared" si="264"/>
        <v>0</v>
      </c>
      <c r="BI254" s="465">
        <f t="shared" si="265"/>
        <v>0</v>
      </c>
      <c r="BJ254" s="465">
        <f t="shared" si="266"/>
        <v>0</v>
      </c>
      <c r="BK254" s="466">
        <f t="shared" si="312"/>
        <v>0</v>
      </c>
      <c r="BL254" s="466">
        <f t="shared" si="313"/>
        <v>0</v>
      </c>
      <c r="BM254" s="466">
        <f t="shared" si="267"/>
        <v>0</v>
      </c>
      <c r="BN254" s="466">
        <f t="shared" si="268"/>
        <v>0</v>
      </c>
      <c r="BO254" s="463">
        <f>IF('Data Entry'!$C$74=0,0,IF(ISNA(CJ254),0,IF(AX254=0,0,IF(AND('Data Entry'!$C$74=2,AF254&gt;2,CE254&lt;1),0,IF(AND('Data Entry'!$C$74=2,AF254&gt;1,AU254=2,CJ254&gt;1),0,IF(AND(AF254=5,CT254=0.5,AU254=2,ER254&lt;100),0,IF(AND(AF254=5,CT254=0.5,AU254=3,ER254&lt;100),0,IF(AND('Data Entry'!$C$74=2,AF254=2,AU254=2,AK254&gt;0.01,CB254=2,CE254&lt;1),0,IF(AND('Data Entry'!$C$74=2,AF254=3,AU254=3,AK254&gt;0.01,CB254=3,CE254&lt;1),0,IF(AND('Data Entry'!$C$74=2,AF254=3,AU254=3,AK254&gt;0.01,CB254=3,CE254&gt;0.99),BQ254*0.08,IF(AND('Data Entry'!$C$74=2,AF254=2,AU254=2,AK254&gt;0.01,CB254=2,CE254&gt;0.99),BQ254*0.1,IF(AND(AU254=2,AK254&gt;0.01,CB254=2,CD254&gt;1),BQ254*0.1,IF(AND(AU254=3,AK254&gt;0.01,CB254=3,CD254&gt;1),BQ254*0.08,CJ254*EF254)))))))))))))</f>
        <v>0</v>
      </c>
      <c r="BP254" s="475">
        <f t="shared" si="269"/>
        <v>0</v>
      </c>
      <c r="BQ254" s="1431">
        <f>IF(AU254=1,0,IF(CH254=100,0,IF(AND(AF254=3,AU254=2),0,IF(AND(BH254=0,CT254&gt;0.4),0,IF(AND('Data Entry'!$C$74=2,AF254=1.5),0,IF(AND('Data Entry'!$C$74=2,AF254=1.6),0,IF(AND('Data Entry'!$C$74=2,AF254=4),0,IF(AND('Data Entry'!$C$74=2,AF254=5),0,IF(AND('Data Entry'!$C$74=2,AF254=2.5,CE254&lt;1),0,IF(AND('Data Entry'!$C$74=2,AF254=3,CE254&lt;1),0,IF(AND('Data Entry'!$C$74=1,AF254=2.5,CD254&lt;1),0,IF(AND('Data Entry'!$C$74=1,AF254=3,CD254&lt;1),0,IF(DX254&gt;0.01,DX254,IF(ISERROR(AX254-AY254),"",ROUND(AX254-AY254,2)))))))))))))))</f>
        <v>0</v>
      </c>
      <c r="BR254" s="146">
        <f t="shared" si="270"/>
        <v>0</v>
      </c>
      <c r="BS254" s="475">
        <f t="shared" si="271"/>
        <v>0</v>
      </c>
      <c r="BT254" s="146" t="b">
        <f t="shared" si="272"/>
        <v>0</v>
      </c>
      <c r="BU254" s="463">
        <f>IF(ISNA(AT254),0,IF(AND('Data Entry'!$C$74=2,BC254=27),0,IF(AND('Data Entry'!$C$74=2,BC254=28),0,IF(AND(BC254=27,BT254=27,CM254&gt;0.1),CM254*0.15,IF(AND(BC254=28,BT254=28,CM254&gt;0.1),CM254*0.12,0)))))</f>
        <v>0</v>
      </c>
      <c r="BV254" s="463">
        <f t="shared" si="309"/>
        <v>0</v>
      </c>
      <c r="BW254" s="463">
        <f t="shared" si="273"/>
        <v>0</v>
      </c>
      <c r="BX254" s="463">
        <f t="shared" si="274"/>
        <v>0</v>
      </c>
      <c r="BY254" s="463">
        <f t="shared" si="275"/>
        <v>0</v>
      </c>
      <c r="BZ254" s="463">
        <f t="shared" si="276"/>
        <v>0</v>
      </c>
      <c r="CA254" s="57">
        <f t="shared" si="304"/>
        <v>0</v>
      </c>
      <c r="CB254" s="56">
        <f t="shared" si="277"/>
        <v>1</v>
      </c>
      <c r="CC254" s="756">
        <f>IF(EE254=0,0,IF(EF254=0,0,IF(EE254&gt;AA254,0,IF(AND(AZ254&gt;AW254,AW254&gt;0),0,IF(CU254=0,0,Summary!AC557)))))</f>
        <v>0</v>
      </c>
      <c r="CD254" s="756">
        <f>IF(EE254=0,0,IF(EF254=0,0,IF(EE254&gt;AA254,0,IF(AND(AZ254&gt;AW254,AW254&gt;0),0,IF(CU254=0,0,Summary!AD557)))))</f>
        <v>0</v>
      </c>
      <c r="CE254" s="756">
        <f>IF(EF254=0,0,IF(EE254&gt;AA254,0,IF(CC254=0,0,IF(AND(AZ254&gt;AW254,AW254&gt;0),0,IF(CU254=0,0,Summary!AE557)))))</f>
        <v>0</v>
      </c>
      <c r="CF254" s="475">
        <f t="shared" si="278"/>
        <v>0</v>
      </c>
      <c r="CG254" s="476">
        <f t="shared" si="246"/>
        <v>0</v>
      </c>
      <c r="CH254" s="487">
        <f t="shared" si="279"/>
        <v>0</v>
      </c>
      <c r="CI254" s="756">
        <f t="shared" si="280"/>
        <v>0</v>
      </c>
      <c r="CJ254" s="487">
        <f>IF(CT254&gt;0.4,0,IF(AND(AU254=2,CH254=0,CT254=0.5,ER254=100),35,IF(AND(AU254=3,BB254&gt;75,CH254=0,CT254=0.5,ER254=100),25,IF(CB254&gt;1,0,IF(EF254&gt;EE254,0,IF(AND(AF254&gt;1,CH254=100),0,IF(AND(AF254=1,AY254=0),0,IF(AND(EF254&lt;=EE254,AW254&gt;=AZ254,'Data Entry'!$C$74=1,AU254=2),VLOOKUP(W254,$DO$96:$DP$102,2,FALSE),IF(AND(EF254&lt;=EE254,AW254&gt;=AZ254,AU254=3,'Data Entry'!$C$74=1),VLOOKUP(W254,$DO$127:$DP$134,2,FALSE))))))))))</f>
        <v>0</v>
      </c>
      <c r="CK254" s="716">
        <f t="shared" si="281"/>
        <v>0</v>
      </c>
      <c r="CL254" s="57">
        <f t="shared" si="282"/>
        <v>0</v>
      </c>
      <c r="CM254" s="475">
        <f t="shared" si="308"/>
        <v>0</v>
      </c>
      <c r="CN254" s="660">
        <f>IF(CM254&lt;0.1,0,IF(ISNA(AT254),0,IF(CL254+BC254=1,0,IF(BV254&gt;0.01,0,IF(CL254&gt;0.01,0,IF(CF254=1,0,IF(BC254=0.5,0,IF(AND(CI254=1,AU254=3),0,IF(AND(CI254=5,CL254=0),0,IF(AND(R254=12,BR254=50),0,IF(CK254&gt;0.01,0,IF(AND(AJ254&gt;0.01,AU254=2,BC254=15),CM254*0.1,IF(AND(AJ254&gt;0.01,AU254=3,BC254=15),CM254*0.08,IF(AND(R254=12,BC254=3,AF254&lt;=0),0,IF(AND(BC254=15,BI254=0),0,IF(AND(BC254=15,BJ254=0),0,IF(AND(R254=20,CU254=0),0,IF($X$4=0,0,IF(AND(BC254=250,CL254=0),0,IF(AA254&lt;1,0,IF(AND(ISNUMBER(SEARCH("Area",T254)),AU254=3),0,IF(AND(AQ254&gt;0.01,AR254=0,BK254=0,BL254=0,BM254=0,BN254=0),0,IF(AND(AU254=3,CI254=7,CT254&gt;0.5),0,IF(AND(BC254=44,AU254=3,BY254=0),0,IF(AND(BC254=27,'Data Entry'!$C$74=2),0,IF(AND(BC254=28,'Data Entry'!$C$74=2),0,IF(AND(BY254+BZ254+CA254&gt;0.01,BV254=0,EQ254+ER254+ES254+ET254&lt;100),0,IF(AU254=3,CM254*0.08,IF(AU254=2,CM254*0.1,0)))))))))))))))))))))))))))))</f>
        <v>0</v>
      </c>
      <c r="CO254" s="660">
        <f t="shared" si="283"/>
        <v>0</v>
      </c>
      <c r="CP254" s="475" t="str">
        <f t="shared" si="284"/>
        <v/>
      </c>
      <c r="CQ254" s="161" t="str">
        <f>IF(AH254=0,0,IF(AU254=5,0,Summary!AC257))</f>
        <v/>
      </c>
      <c r="CR254" s="161" t="str">
        <f>IF(BF254=0.5,0,IF(AU254=5,0,Summary!AD257))</f>
        <v/>
      </c>
      <c r="CS254" s="161" t="str">
        <f>IF(AU254=5,0,Summary!AE257)</f>
        <v/>
      </c>
      <c r="CT254" s="161">
        <f t="shared" si="285"/>
        <v>0</v>
      </c>
      <c r="CU254" s="475" t="str">
        <f t="shared" si="286"/>
        <v/>
      </c>
      <c r="CV254" s="307">
        <f>IF('Data Entry'!$C$74=0,0,IF(AA254&lt;1,0,IF(ISERROR(CU254),0,IF(CF254=1,0,IF(AND(R254=12,BR254=50),0,IF(CL254+BO254+BV254+DC254=0,0,IF(BC254=37,0,IF(AND(BC254=40,AJ254=0),0,IF(AND(BC254=37,BO254&gt;0.01,BQ254&gt;0.01),ROUND(BQ254,0),IF(CM254&lt;0,0,ROUND(CM254,0)))))))))))</f>
        <v>0</v>
      </c>
      <c r="CW254" s="700">
        <f t="shared" si="287"/>
        <v>0</v>
      </c>
      <c r="CX254" s="477">
        <f>IF('Data Entry'!$C$74=0,0,IF(CV254&lt;0.01,0,IF(BF254=0.5,0,IF(CF254=1,0,IF(ISNUMBER(SEARCH("false",CL254)),0,IF(AZ254=500,0,CL254))))))</f>
        <v>0</v>
      </c>
      <c r="CY254" s="147" t="e">
        <f t="shared" si="288"/>
        <v>#VALUE!</v>
      </c>
      <c r="CZ254" s="147" t="b">
        <f>IF(CN254+CL254=0,FALSE,IF(AH254=0,0,IF(AND('Data Entry'!$C$74=1,CR254&gt;=1),TRUE,IF(AND('Data Entry'!$C$74=2,CS254&gt;=1),TRUE,FALSE))))</f>
        <v>0</v>
      </c>
      <c r="DA254" s="1751">
        <f>IF('Data Entry'!$C$74=0,0,IFERROR(ROUND(IF(T254="","",IF($X$4=0,0,IF(CF254=1,0,IF(BQ254+CV254=0,0,IF(CF254=1,0,IF(CY254&gt;0.01,CY254,IF(CL254&gt;0.01,CL254,IF(CY254&gt;0.01,CY254,IF(BC254=37,BO254,IF(CZ254=FALSE,0,IF(CZ254=TRUE,DC254+DF254,0))))))))))),2),""))</f>
        <v>0</v>
      </c>
      <c r="DB254" s="1752"/>
      <c r="DC254" s="474">
        <f>IF(CN254&lt;0.01,0,IF(AND(BR254=3,CN254&gt;0.01,CT254&gt;0.6,ER254+ES254+ET254&lt;100),0,IF(AND('Data Entry'!$C$74=1,CN254&gt;0.01,CR254&gt;0.99),MIN(CN254:CO254),IF(AND('Data Entry'!$C$74=2,CN254&gt;0.01,CS254&gt;0.99),MIN(CN254:CO254),0))))</f>
        <v>0</v>
      </c>
      <c r="DD254" s="478">
        <f>IF(CF254=1,"Selection does not match",IF(T254=0,0,IF(AND('Data Entry'!$C$74=0,CP254&gt;1),"Select Oregon or Idaho on Data Entry Tab",IF(AND(AU254=1,AA254&gt;0.9),"Missing Interior or Exterior Selection",IF($X$4=0,"Enter Total Project Cost",IF(AQ254&lt;AR254,"Insufficient kWh savings – no incentive",IF(AND(SUM(CL254+CK254+BV254)&gt;0.01,'Data Entry'!$C$74=2,CJ254&gt;1,BO254=0),"Submit Control as Non-Standard",IF(AND('Data Entry'!$C$74=2,BR254=37,CJ254&gt;1,BO254=0),"Submit Control as Non-Standard",IF(SUM(CL254+CK254+BV254)&gt;0.01,"Standard Incentive",IF(AND('Data Entry'!$C$74=2,CP254=7,CN254=0),"Submit as Non-Standard",IF(DC254&gt;0.9,"Non-Standard Incentive",IF(AND(BY254+BZ254+CA254&gt;0.01,BV254=0,EQ254=0,ER254=0,ES254=0,ET254=0),"Scroll Right &amp; Select Control Strategies",IF(AND(CN254&gt;0.01,CO254=0),"Enter Unit Installed Cost",IF(ISNUMBER(SEARCH("Lighting Controls Only",F254)),"Lighting Controls Only",IF(CL254+DC254=0,"Does not meet incentive criteria",0)))))))))))))))</f>
        <v>0</v>
      </c>
      <c r="DE254" s="337">
        <f t="shared" si="289"/>
        <v>0</v>
      </c>
      <c r="DF254" s="609">
        <f t="shared" si="290"/>
        <v>0</v>
      </c>
      <c r="DG254" s="336" t="str">
        <f t="shared" si="291"/>
        <v/>
      </c>
      <c r="DH254" s="338">
        <f t="shared" si="292"/>
        <v>1</v>
      </c>
      <c r="DI254" s="336" t="e">
        <f t="shared" si="247"/>
        <v>#VALUE!</v>
      </c>
      <c r="DJ254" s="338">
        <f t="shared" si="248"/>
        <v>0</v>
      </c>
      <c r="DO254" s="81"/>
      <c r="DP254" s="81"/>
      <c r="DQ254" s="81"/>
      <c r="DR254" s="81"/>
      <c r="DS254" s="1195">
        <f t="shared" si="293"/>
        <v>0</v>
      </c>
      <c r="DT254" s="344" t="b">
        <f t="shared" si="294"/>
        <v>1</v>
      </c>
      <c r="DU254" s="1314" t="str">
        <f t="array" ref="DU254">IF(OR(COUNTIF(F254,"*"&amp;$DK$9:$DK$178&amp;"*")), "Yes", "")</f>
        <v/>
      </c>
      <c r="DV254" s="1314">
        <f t="shared" si="295"/>
        <v>0</v>
      </c>
      <c r="DW254" s="1480">
        <f t="shared" si="296"/>
        <v>0</v>
      </c>
      <c r="DX254" s="1498">
        <f t="shared" si="305"/>
        <v>0</v>
      </c>
      <c r="DY254" s="1484">
        <f t="shared" si="297"/>
        <v>0</v>
      </c>
      <c r="DZ254" s="331"/>
      <c r="EA254" s="392"/>
      <c r="EB254" s="1499" t="s">
        <v>111</v>
      </c>
      <c r="EC254" s="727" t="s">
        <v>1569</v>
      </c>
      <c r="ED254" s="728">
        <v>0.5</v>
      </c>
      <c r="EE254" s="1215"/>
      <c r="EF254" s="1215"/>
      <c r="EG254" s="1184" t="str">
        <f t="shared" si="298"/>
        <v/>
      </c>
      <c r="EJ254" s="1185">
        <f t="shared" si="249"/>
        <v>0</v>
      </c>
      <c r="EK254" s="1211"/>
      <c r="EL254" s="1180">
        <f t="shared" si="250"/>
        <v>0</v>
      </c>
      <c r="EM254" s="206"/>
      <c r="EN254" s="1038"/>
      <c r="EO254" s="1038"/>
      <c r="EP254" s="1038"/>
      <c r="EQ254" s="1038">
        <f t="shared" si="299"/>
        <v>0</v>
      </c>
      <c r="ER254" s="1041">
        <f t="shared" si="300"/>
        <v>0</v>
      </c>
      <c r="ES254" s="1042">
        <f t="shared" si="301"/>
        <v>0</v>
      </c>
      <c r="ET254" s="1042">
        <f t="shared" si="306"/>
        <v>0</v>
      </c>
      <c r="EU254" s="1021">
        <f t="shared" si="307"/>
        <v>0</v>
      </c>
      <c r="EV254" s="368"/>
      <c r="EW254" s="368"/>
      <c r="EX254" s="369"/>
      <c r="EY254" s="370"/>
      <c r="EZ254" s="370"/>
      <c r="FA254" s="371"/>
      <c r="FB254" s="372"/>
    </row>
    <row r="255" spans="1:158" ht="34.5" customHeight="1">
      <c r="A255" s="82">
        <v>247</v>
      </c>
      <c r="B255" s="1806"/>
      <c r="C255" s="1807"/>
      <c r="D255" s="1807"/>
      <c r="E255" s="1808"/>
      <c r="F255" s="1809"/>
      <c r="G255" s="1810"/>
      <c r="H255" s="1810"/>
      <c r="I255" s="1811"/>
      <c r="J255" s="1301"/>
      <c r="K255" s="1814"/>
      <c r="L255" s="1814"/>
      <c r="M255" s="1017"/>
      <c r="N255" s="1584"/>
      <c r="O255" s="208" t="str">
        <f t="shared" si="237"/>
        <v/>
      </c>
      <c r="P255" s="785"/>
      <c r="Q255" s="39" t="str">
        <f t="shared" si="238"/>
        <v/>
      </c>
      <c r="R255" s="39">
        <f t="shared" si="251"/>
        <v>0</v>
      </c>
      <c r="S255" s="234">
        <f t="shared" si="252"/>
        <v>0</v>
      </c>
      <c r="T255" s="1815"/>
      <c r="U255" s="1815"/>
      <c r="V255" s="1815"/>
      <c r="W255" s="1121"/>
      <c r="X255" s="1812"/>
      <c r="Y255" s="1813"/>
      <c r="Z255" s="703"/>
      <c r="AA255" s="1280"/>
      <c r="AB255" s="1141"/>
      <c r="AC255" s="1103" t="str">
        <f>IF(T255="","",VLOOKUP(Z255,Lists!$A$60:$B$111,2,FALSE))</f>
        <v/>
      </c>
      <c r="AD255" s="130" t="str">
        <f t="shared" si="253"/>
        <v/>
      </c>
      <c r="AE255" s="130" t="e">
        <f t="shared" si="254"/>
        <v>#VALUE!</v>
      </c>
      <c r="AF255" s="130">
        <f t="shared" si="255"/>
        <v>1</v>
      </c>
      <c r="AG255" s="234">
        <f t="shared" si="239"/>
        <v>0</v>
      </c>
      <c r="AH255" s="1753" t="str">
        <f>IF(T255="","",(IF(ISNUMBER(SEARCH("exit",T255)),8760,IF(AND(M255="Dusk to Dawn",'Proposed Lighting'!AU255=3),4059,IF(AND(AU255=3,M255="1"),0,IF(AND(AU255=3,M255="1-C"),0,IF(AND(AU255=3,M255="2"),0,IF(AND(AU255=3,M255="2-C"),0,IF(AND(AU255=3,M255="3"),0,IF(AND(AU255=3,M255="3-C"),0,IF(AND(AU255=2,M255="Dusk to Dawn"),0,IF(AND(AU255=2,M255="Dusk to Dawn-C"),0,IF(AND(AU255=2,M255="Dusk to Dawn"),0,IF(AND(AU255=2,M255="E"),0,IF(AND(AU255=2,M255="E-C"),0,EG255)))))))))))))))</f>
        <v/>
      </c>
      <c r="AI255" s="1754"/>
      <c r="AJ255" s="1136"/>
      <c r="AK255" s="1136"/>
      <c r="AL255" s="1748">
        <f t="shared" si="256"/>
        <v>0</v>
      </c>
      <c r="AM255" s="1749"/>
      <c r="AN255" s="1750"/>
      <c r="AO255" s="476">
        <f t="shared" si="240"/>
        <v>0</v>
      </c>
      <c r="AP255" s="476">
        <f t="shared" si="257"/>
        <v>0</v>
      </c>
      <c r="AQ255" s="475">
        <f t="shared" si="241"/>
        <v>0</v>
      </c>
      <c r="AR255" s="475">
        <f t="shared" si="258"/>
        <v>0</v>
      </c>
      <c r="AS255" s="743" t="str">
        <f t="shared" si="310"/>
        <v/>
      </c>
      <c r="AT255" s="736" t="str">
        <f t="shared" si="259"/>
        <v/>
      </c>
      <c r="AU255" s="56">
        <f t="shared" si="260"/>
        <v>1</v>
      </c>
      <c r="AV255" s="476">
        <f t="shared" si="261"/>
        <v>0</v>
      </c>
      <c r="AW255" s="56">
        <f t="shared" si="262"/>
        <v>0</v>
      </c>
      <c r="AX255" s="475">
        <f t="shared" si="242"/>
        <v>0</v>
      </c>
      <c r="AY255" s="1169">
        <f t="shared" si="263"/>
        <v>0</v>
      </c>
      <c r="AZ255" s="1150">
        <f t="shared" si="302"/>
        <v>0</v>
      </c>
      <c r="BA255" s="56">
        <f t="shared" si="243"/>
        <v>0</v>
      </c>
      <c r="BB255" s="420">
        <f t="shared" si="244"/>
        <v>0</v>
      </c>
      <c r="BC255" s="58" t="str">
        <f t="shared" si="245"/>
        <v/>
      </c>
      <c r="BD255" s="660">
        <f t="shared" si="303"/>
        <v>0</v>
      </c>
      <c r="BE255" s="57" t="e">
        <f t="array" ref="BE255">INDEX($EB$11:$ED$1022,MATCH(F255&amp;T255,$EB$11:$EB$1007&amp;$EC$11:$EC$1007,0),3)</f>
        <v>#N/A</v>
      </c>
      <c r="BF255" s="463">
        <f t="shared" si="311"/>
        <v>0</v>
      </c>
      <c r="BG255" s="1445" t="e">
        <f t="array" ref="BG255">INDEX($DO$112:$DQ$123,MATCH(T255&amp;W255,$DO$114:$DO$125&amp;$DP$112:$DP$123,0),3)</f>
        <v>#N/A</v>
      </c>
      <c r="BH255" s="1446">
        <f t="shared" si="264"/>
        <v>0</v>
      </c>
      <c r="BI255" s="465">
        <f t="shared" si="265"/>
        <v>0</v>
      </c>
      <c r="BJ255" s="465">
        <f t="shared" si="266"/>
        <v>0</v>
      </c>
      <c r="BK255" s="466">
        <f t="shared" si="312"/>
        <v>0</v>
      </c>
      <c r="BL255" s="466">
        <f t="shared" si="313"/>
        <v>0</v>
      </c>
      <c r="BM255" s="466">
        <f t="shared" si="267"/>
        <v>0</v>
      </c>
      <c r="BN255" s="466">
        <f t="shared" si="268"/>
        <v>0</v>
      </c>
      <c r="BO255" s="463">
        <f>IF('Data Entry'!$C$74=0,0,IF(ISNA(CJ255),0,IF(AX255=0,0,IF(AND('Data Entry'!$C$74=2,AF255&gt;2,CE255&lt;1),0,IF(AND('Data Entry'!$C$74=2,AF255&gt;1,AU255=2,CJ255&gt;1),0,IF(AND(AF255=5,CT255=0.5,AU255=2,ER255&lt;100),0,IF(AND(AF255=5,CT255=0.5,AU255=3,ER255&lt;100),0,IF(AND('Data Entry'!$C$74=2,AF255=2,AU255=2,AK255&gt;0.01,CB255=2,CE255&lt;1),0,IF(AND('Data Entry'!$C$74=2,AF255=3,AU255=3,AK255&gt;0.01,CB255=3,CE255&lt;1),0,IF(AND('Data Entry'!$C$74=2,AF255=3,AU255=3,AK255&gt;0.01,CB255=3,CE255&gt;0.99),BQ255*0.08,IF(AND('Data Entry'!$C$74=2,AF255=2,AU255=2,AK255&gt;0.01,CB255=2,CE255&gt;0.99),BQ255*0.1,IF(AND(AU255=2,AK255&gt;0.01,CB255=2,CD255&gt;1),BQ255*0.1,IF(AND(AU255=3,AK255&gt;0.01,CB255=3,CD255&gt;1),BQ255*0.08,CJ255*EF255)))))))))))))</f>
        <v>0</v>
      </c>
      <c r="BP255" s="475">
        <f t="shared" si="269"/>
        <v>0</v>
      </c>
      <c r="BQ255" s="1431">
        <f>IF(AU255=1,0,IF(CH255=100,0,IF(AND(AF255=3,AU255=2),0,IF(AND(BH255=0,CT255&gt;0.4),0,IF(AND('Data Entry'!$C$74=2,AF255=1.5),0,IF(AND('Data Entry'!$C$74=2,AF255=1.6),0,IF(AND('Data Entry'!$C$74=2,AF255=4),0,IF(AND('Data Entry'!$C$74=2,AF255=5),0,IF(AND('Data Entry'!$C$74=2,AF255=2.5,CE255&lt;1),0,IF(AND('Data Entry'!$C$74=2,AF255=3,CE255&lt;1),0,IF(AND('Data Entry'!$C$74=1,AF255=2.5,CD255&lt;1),0,IF(AND('Data Entry'!$C$74=1,AF255=3,CD255&lt;1),0,IF(DX255&gt;0.01,DX255,IF(ISERROR(AX255-AY255),"",ROUND(AX255-AY255,2)))))))))))))))</f>
        <v>0</v>
      </c>
      <c r="BR255" s="146">
        <f t="shared" si="270"/>
        <v>0</v>
      </c>
      <c r="BS255" s="475">
        <f t="shared" si="271"/>
        <v>0</v>
      </c>
      <c r="BT255" s="146" t="b">
        <f t="shared" si="272"/>
        <v>0</v>
      </c>
      <c r="BU255" s="463">
        <f>IF(ISNA(AT255),0,IF(AND('Data Entry'!$C$74=2,BC255=27),0,IF(AND('Data Entry'!$C$74=2,BC255=28),0,IF(AND(BC255=27,BT255=27,CM255&gt;0.1),CM255*0.15,IF(AND(BC255=28,BT255=28,CM255&gt;0.1),CM255*0.12,0)))))</f>
        <v>0</v>
      </c>
      <c r="BV255" s="463">
        <f t="shared" si="309"/>
        <v>0</v>
      </c>
      <c r="BW255" s="463">
        <f t="shared" si="273"/>
        <v>0</v>
      </c>
      <c r="BX255" s="463">
        <f t="shared" si="274"/>
        <v>0</v>
      </c>
      <c r="BY255" s="463">
        <f t="shared" si="275"/>
        <v>0</v>
      </c>
      <c r="BZ255" s="463">
        <f t="shared" si="276"/>
        <v>0</v>
      </c>
      <c r="CA255" s="57">
        <f t="shared" si="304"/>
        <v>0</v>
      </c>
      <c r="CB255" s="56">
        <f t="shared" si="277"/>
        <v>1</v>
      </c>
      <c r="CC255" s="756">
        <f>IF(EE255=0,0,IF(EF255=0,0,IF(EE255&gt;AA255,0,IF(AND(AZ255&gt;AW255,AW255&gt;0),0,IF(CU255=0,0,Summary!AC558)))))</f>
        <v>0</v>
      </c>
      <c r="CD255" s="756">
        <f>IF(EE255=0,0,IF(EF255=0,0,IF(EE255&gt;AA255,0,IF(AND(AZ255&gt;AW255,AW255&gt;0),0,IF(CU255=0,0,Summary!AD558)))))</f>
        <v>0</v>
      </c>
      <c r="CE255" s="756">
        <f>IF(EF255=0,0,IF(EE255&gt;AA255,0,IF(CC255=0,0,IF(AND(AZ255&gt;AW255,AW255&gt;0),0,IF(CU255=0,0,Summary!AE558)))))</f>
        <v>0</v>
      </c>
      <c r="CF255" s="475">
        <f t="shared" si="278"/>
        <v>0</v>
      </c>
      <c r="CG255" s="476">
        <f t="shared" si="246"/>
        <v>0</v>
      </c>
      <c r="CH255" s="487">
        <f t="shared" si="279"/>
        <v>0</v>
      </c>
      <c r="CI255" s="756">
        <f t="shared" si="280"/>
        <v>0</v>
      </c>
      <c r="CJ255" s="487">
        <f>IF(CT255&gt;0.4,0,IF(AND(AU255=2,CH255=0,CT255=0.5,ER255=100),35,IF(AND(AU255=3,BB255&gt;75,CH255=0,CT255=0.5,ER255=100),25,IF(CB255&gt;1,0,IF(EF255&gt;EE255,0,IF(AND(AF255&gt;1,CH255=100),0,IF(AND(AF255=1,AY255=0),0,IF(AND(EF255&lt;=EE255,AW255&gt;=AZ255,'Data Entry'!$C$74=1,AU255=2),VLOOKUP(W255,$DO$96:$DP$102,2,FALSE),IF(AND(EF255&lt;=EE255,AW255&gt;=AZ255,AU255=3,'Data Entry'!$C$74=1),VLOOKUP(W255,$DO$127:$DP$134,2,FALSE))))))))))</f>
        <v>0</v>
      </c>
      <c r="CK255" s="716">
        <f t="shared" si="281"/>
        <v>0</v>
      </c>
      <c r="CL255" s="57">
        <f t="shared" si="282"/>
        <v>0</v>
      </c>
      <c r="CM255" s="475">
        <f t="shared" si="308"/>
        <v>0</v>
      </c>
      <c r="CN255" s="660">
        <f>IF(CM255&lt;0.1,0,IF(ISNA(AT255),0,IF(CL255+BC255=1,0,IF(BV255&gt;0.01,0,IF(CL255&gt;0.01,0,IF(CF255=1,0,IF(BC255=0.5,0,IF(AND(CI255=1,AU255=3),0,IF(AND(CI255=5,CL255=0),0,IF(AND(R255=12,BR255=50),0,IF(CK255&gt;0.01,0,IF(AND(AJ255&gt;0.01,AU255=2,BC255=15),CM255*0.1,IF(AND(AJ255&gt;0.01,AU255=3,BC255=15),CM255*0.08,IF(AND(R255=12,BC255=3,AF255&lt;=0),0,IF(AND(BC255=15,BI255=0),0,IF(AND(BC255=15,BJ255=0),0,IF(AND(R255=20,CU255=0),0,IF($X$4=0,0,IF(AND(BC255=250,CL255=0),0,IF(AA255&lt;1,0,IF(AND(ISNUMBER(SEARCH("Area",T255)),AU255=3),0,IF(AND(AQ255&gt;0.01,AR255=0,BK255=0,BL255=0,BM255=0,BN255=0),0,IF(AND(AU255=3,CI255=7,CT255&gt;0.5),0,IF(AND(BC255=44,AU255=3,BY255=0),0,IF(AND(BC255=27,'Data Entry'!$C$74=2),0,IF(AND(BC255=28,'Data Entry'!$C$74=2),0,IF(AND(BY255+BZ255+CA255&gt;0.01,BV255=0,EQ255+ER255+ES255+ET255&lt;100),0,IF(AU255=3,CM255*0.08,IF(AU255=2,CM255*0.1,0)))))))))))))))))))))))))))))</f>
        <v>0</v>
      </c>
      <c r="CO255" s="660">
        <f t="shared" si="283"/>
        <v>0</v>
      </c>
      <c r="CP255" s="475" t="str">
        <f t="shared" si="284"/>
        <v/>
      </c>
      <c r="CQ255" s="161" t="str">
        <f>IF(AH255=0,0,IF(AU255=5,0,Summary!AC258))</f>
        <v/>
      </c>
      <c r="CR255" s="161" t="str">
        <f>IF(BF255=0.5,0,IF(AU255=5,0,Summary!AD258))</f>
        <v/>
      </c>
      <c r="CS255" s="161" t="str">
        <f>IF(AU255=5,0,Summary!AE258)</f>
        <v/>
      </c>
      <c r="CT255" s="161">
        <f t="shared" si="285"/>
        <v>0</v>
      </c>
      <c r="CU255" s="475" t="str">
        <f t="shared" si="286"/>
        <v/>
      </c>
      <c r="CV255" s="307">
        <f>IF('Data Entry'!$C$74=0,0,IF(AA255&lt;1,0,IF(ISERROR(CU255),0,IF(CF255=1,0,IF(AND(R255=12,BR255=50),0,IF(CL255+BO255+BV255+DC255=0,0,IF(BC255=37,0,IF(AND(BC255=40,AJ255=0),0,IF(AND(BC255=37,BO255&gt;0.01,BQ255&gt;0.01),ROUND(BQ255,0),IF(CM255&lt;0,0,ROUND(CM255,0)))))))))))</f>
        <v>0</v>
      </c>
      <c r="CW255" s="700">
        <f t="shared" si="287"/>
        <v>0</v>
      </c>
      <c r="CX255" s="477">
        <f>IF('Data Entry'!$C$74=0,0,IF(CV255&lt;0.01,0,IF(BF255=0.5,0,IF(CF255=1,0,IF(ISNUMBER(SEARCH("false",CL255)),0,IF(AZ255=500,0,CL255))))))</f>
        <v>0</v>
      </c>
      <c r="CY255" s="147" t="e">
        <f t="shared" si="288"/>
        <v>#VALUE!</v>
      </c>
      <c r="CZ255" s="147" t="b">
        <f>IF(CN255+CL255=0,FALSE,IF(AH255=0,0,IF(AND('Data Entry'!$C$74=1,CR255&gt;=1),TRUE,IF(AND('Data Entry'!$C$74=2,CS255&gt;=1),TRUE,FALSE))))</f>
        <v>0</v>
      </c>
      <c r="DA255" s="1751">
        <f>IF('Data Entry'!$C$74=0,0,IFERROR(ROUND(IF(T255="","",IF($X$4=0,0,IF(CF255=1,0,IF(BQ255+CV255=0,0,IF(CF255=1,0,IF(CY255&gt;0.01,CY255,IF(CL255&gt;0.01,CL255,IF(CY255&gt;0.01,CY255,IF(BC255=37,BO255,IF(CZ255=FALSE,0,IF(CZ255=TRUE,DC255+DF255,0))))))))))),2),""))</f>
        <v>0</v>
      </c>
      <c r="DB255" s="1752"/>
      <c r="DC255" s="474">
        <f>IF(CN255&lt;0.01,0,IF(AND(BR255=3,CN255&gt;0.01,CT255&gt;0.6,ER255+ES255+ET255&lt;100),0,IF(AND('Data Entry'!$C$74=1,CN255&gt;0.01,CR255&gt;0.99),MIN(CN255:CO255),IF(AND('Data Entry'!$C$74=2,CN255&gt;0.01,CS255&gt;0.99),MIN(CN255:CO255),0))))</f>
        <v>0</v>
      </c>
      <c r="DD255" s="478">
        <f>IF(CF255=1,"Selection does not match",IF(T255=0,0,IF(AND('Data Entry'!$C$74=0,CP255&gt;1),"Select Oregon or Idaho on Data Entry Tab",IF(AND(AU255=1,AA255&gt;0.9),"Missing Interior or Exterior Selection",IF($X$4=0,"Enter Total Project Cost",IF(AQ255&lt;AR255,"Insufficient kWh savings – no incentive",IF(AND(SUM(CL255+CK255+BV255)&gt;0.01,'Data Entry'!$C$74=2,CJ255&gt;1,BO255=0),"Submit Control as Non-Standard",IF(AND('Data Entry'!$C$74=2,BR255=37,CJ255&gt;1,BO255=0),"Submit Control as Non-Standard",IF(SUM(CL255+CK255+BV255)&gt;0.01,"Standard Incentive",IF(AND('Data Entry'!$C$74=2,CP255=7,CN255=0),"Submit as Non-Standard",IF(DC255&gt;0.9,"Non-Standard Incentive",IF(AND(BY255+BZ255+CA255&gt;0.01,BV255=0,EQ255=0,ER255=0,ES255=0,ET255=0),"Scroll Right &amp; Select Control Strategies",IF(AND(CN255&gt;0.01,CO255=0),"Enter Unit Installed Cost",IF(ISNUMBER(SEARCH("Lighting Controls Only",F255)),"Lighting Controls Only",IF(CL255+DC255=0,"Does not meet incentive criteria",0)))))))))))))))</f>
        <v>0</v>
      </c>
      <c r="DE255" s="337">
        <f t="shared" si="289"/>
        <v>0</v>
      </c>
      <c r="DF255" s="609">
        <f t="shared" si="290"/>
        <v>0</v>
      </c>
      <c r="DG255" s="336" t="str">
        <f t="shared" si="291"/>
        <v/>
      </c>
      <c r="DH255" s="338">
        <f t="shared" si="292"/>
        <v>1</v>
      </c>
      <c r="DI255" s="336" t="e">
        <f t="shared" si="247"/>
        <v>#VALUE!</v>
      </c>
      <c r="DJ255" s="338">
        <f t="shared" si="248"/>
        <v>0</v>
      </c>
      <c r="DO255" s="81"/>
      <c r="DP255" s="81"/>
      <c r="DQ255" s="81"/>
      <c r="DR255" s="81"/>
      <c r="DS255" s="1195">
        <f t="shared" si="293"/>
        <v>0</v>
      </c>
      <c r="DT255" s="344" t="b">
        <f t="shared" si="294"/>
        <v>1</v>
      </c>
      <c r="DU255" s="1314" t="str">
        <f t="array" ref="DU255">IF(OR(COUNTIF(F255,"*"&amp;$DK$9:$DK$178&amp;"*")), "Yes", "")</f>
        <v/>
      </c>
      <c r="DV255" s="1314">
        <f t="shared" si="295"/>
        <v>0</v>
      </c>
      <c r="DW255" s="1480">
        <f t="shared" si="296"/>
        <v>0</v>
      </c>
      <c r="DX255" s="1498">
        <f t="shared" si="305"/>
        <v>0</v>
      </c>
      <c r="DY255" s="1484">
        <f t="shared" si="297"/>
        <v>0</v>
      </c>
      <c r="DZ255" s="331"/>
      <c r="EA255" s="392"/>
      <c r="EB255" s="1499" t="s">
        <v>112</v>
      </c>
      <c r="EC255" s="727" t="s">
        <v>1569</v>
      </c>
      <c r="ED255" s="728">
        <v>0.5</v>
      </c>
      <c r="EE255" s="1215"/>
      <c r="EF255" s="1215"/>
      <c r="EG255" s="1184" t="str">
        <f t="shared" si="298"/>
        <v/>
      </c>
      <c r="EJ255" s="1185">
        <f t="shared" si="249"/>
        <v>0</v>
      </c>
      <c r="EK255" s="1211"/>
      <c r="EL255" s="1180">
        <f t="shared" si="250"/>
        <v>0</v>
      </c>
      <c r="EM255" s="206"/>
      <c r="EN255" s="1038"/>
      <c r="EO255" s="1038"/>
      <c r="EP255" s="1038"/>
      <c r="EQ255" s="1038">
        <f t="shared" si="299"/>
        <v>0</v>
      </c>
      <c r="ER255" s="1041">
        <f t="shared" si="300"/>
        <v>0</v>
      </c>
      <c r="ES255" s="1042">
        <f t="shared" si="301"/>
        <v>0</v>
      </c>
      <c r="ET255" s="1042">
        <f t="shared" si="306"/>
        <v>0</v>
      </c>
      <c r="EU255" s="1021">
        <f t="shared" si="307"/>
        <v>0</v>
      </c>
      <c r="EV255" s="368"/>
      <c r="EW255" s="368"/>
      <c r="EX255" s="369"/>
      <c r="EY255" s="370"/>
      <c r="EZ255" s="370"/>
      <c r="FA255" s="371"/>
      <c r="FB255" s="372"/>
    </row>
    <row r="256" spans="1:158" ht="34.5" customHeight="1">
      <c r="A256" s="82">
        <v>248</v>
      </c>
      <c r="B256" s="1806"/>
      <c r="C256" s="1807"/>
      <c r="D256" s="1807"/>
      <c r="E256" s="1808"/>
      <c r="F256" s="1809"/>
      <c r="G256" s="1810"/>
      <c r="H256" s="1810"/>
      <c r="I256" s="1811"/>
      <c r="J256" s="1301"/>
      <c r="K256" s="1814"/>
      <c r="L256" s="1814"/>
      <c r="M256" s="1017"/>
      <c r="N256" s="1584"/>
      <c r="O256" s="208" t="str">
        <f t="shared" si="237"/>
        <v/>
      </c>
      <c r="P256" s="785"/>
      <c r="Q256" s="39" t="str">
        <f t="shared" si="238"/>
        <v/>
      </c>
      <c r="R256" s="39">
        <f t="shared" si="251"/>
        <v>0</v>
      </c>
      <c r="S256" s="234">
        <f t="shared" si="252"/>
        <v>0</v>
      </c>
      <c r="T256" s="1815"/>
      <c r="U256" s="1815"/>
      <c r="V256" s="1815"/>
      <c r="W256" s="1121"/>
      <c r="X256" s="1812"/>
      <c r="Y256" s="1813"/>
      <c r="Z256" s="703"/>
      <c r="AA256" s="1280"/>
      <c r="AB256" s="1141"/>
      <c r="AC256" s="1103" t="str">
        <f>IF(T256="","",VLOOKUP(Z256,Lists!$A$60:$B$111,2,FALSE))</f>
        <v/>
      </c>
      <c r="AD256" s="130" t="str">
        <f t="shared" si="253"/>
        <v/>
      </c>
      <c r="AE256" s="130" t="e">
        <f t="shared" si="254"/>
        <v>#VALUE!</v>
      </c>
      <c r="AF256" s="130">
        <f t="shared" si="255"/>
        <v>1</v>
      </c>
      <c r="AG256" s="234">
        <f t="shared" si="239"/>
        <v>0</v>
      </c>
      <c r="AH256" s="1753" t="str">
        <f>IF(T256="","",(IF(ISNUMBER(SEARCH("exit",T256)),8760,IF(AND(M256="Dusk to Dawn",'Proposed Lighting'!AU256=3),4059,IF(AND(AU256=3,M256="1"),0,IF(AND(AU256=3,M256="1-C"),0,IF(AND(AU256=3,M256="2"),0,IF(AND(AU256=3,M256="2-C"),0,IF(AND(AU256=3,M256="3"),0,IF(AND(AU256=3,M256="3-C"),0,IF(AND(AU256=2,M256="Dusk to Dawn"),0,IF(AND(AU256=2,M256="Dusk to Dawn-C"),0,IF(AND(AU256=2,M256="Dusk to Dawn"),0,IF(AND(AU256=2,M256="E"),0,IF(AND(AU256=2,M256="E-C"),0,EG256)))))))))))))))</f>
        <v/>
      </c>
      <c r="AI256" s="1754"/>
      <c r="AJ256" s="1136"/>
      <c r="AK256" s="1136"/>
      <c r="AL256" s="1748">
        <f t="shared" si="256"/>
        <v>0</v>
      </c>
      <c r="AM256" s="1749"/>
      <c r="AN256" s="1750"/>
      <c r="AO256" s="476">
        <f t="shared" si="240"/>
        <v>0</v>
      </c>
      <c r="AP256" s="476">
        <f t="shared" si="257"/>
        <v>0</v>
      </c>
      <c r="AQ256" s="475">
        <f t="shared" si="241"/>
        <v>0</v>
      </c>
      <c r="AR256" s="475">
        <f t="shared" si="258"/>
        <v>0</v>
      </c>
      <c r="AS256" s="743" t="str">
        <f t="shared" si="310"/>
        <v/>
      </c>
      <c r="AT256" s="736" t="str">
        <f t="shared" si="259"/>
        <v/>
      </c>
      <c r="AU256" s="56">
        <f t="shared" si="260"/>
        <v>1</v>
      </c>
      <c r="AV256" s="476">
        <f t="shared" si="261"/>
        <v>0</v>
      </c>
      <c r="AW256" s="56">
        <f t="shared" si="262"/>
        <v>0</v>
      </c>
      <c r="AX256" s="475">
        <f t="shared" si="242"/>
        <v>0</v>
      </c>
      <c r="AY256" s="1169">
        <f t="shared" si="263"/>
        <v>0</v>
      </c>
      <c r="AZ256" s="1150">
        <f t="shared" si="302"/>
        <v>0</v>
      </c>
      <c r="BA256" s="56">
        <f t="shared" si="243"/>
        <v>0</v>
      </c>
      <c r="BB256" s="420">
        <f t="shared" si="244"/>
        <v>0</v>
      </c>
      <c r="BC256" s="58" t="str">
        <f t="shared" si="245"/>
        <v/>
      </c>
      <c r="BD256" s="660">
        <f t="shared" si="303"/>
        <v>0</v>
      </c>
      <c r="BE256" s="57" t="e">
        <f t="array" ref="BE256">INDEX($EB$11:$ED$1022,MATCH(F256&amp;T256,$EB$11:$EB$1007&amp;$EC$11:$EC$1007,0),3)</f>
        <v>#N/A</v>
      </c>
      <c r="BF256" s="463">
        <f t="shared" si="311"/>
        <v>0</v>
      </c>
      <c r="BG256" s="1445" t="e">
        <f t="array" ref="BG256">INDEX($DO$112:$DQ$123,MATCH(T256&amp;W256,$DO$114:$DO$125&amp;$DP$112:$DP$123,0),3)</f>
        <v>#N/A</v>
      </c>
      <c r="BH256" s="1446">
        <f t="shared" si="264"/>
        <v>0</v>
      </c>
      <c r="BI256" s="465">
        <f t="shared" si="265"/>
        <v>0</v>
      </c>
      <c r="BJ256" s="465">
        <f t="shared" si="266"/>
        <v>0</v>
      </c>
      <c r="BK256" s="466">
        <f t="shared" si="312"/>
        <v>0</v>
      </c>
      <c r="BL256" s="466">
        <f t="shared" si="313"/>
        <v>0</v>
      </c>
      <c r="BM256" s="466">
        <f t="shared" si="267"/>
        <v>0</v>
      </c>
      <c r="BN256" s="466">
        <f t="shared" si="268"/>
        <v>0</v>
      </c>
      <c r="BO256" s="463">
        <f>IF('Data Entry'!$C$74=0,0,IF(ISNA(CJ256),0,IF(AX256=0,0,IF(AND('Data Entry'!$C$74=2,AF256&gt;2,CE256&lt;1),0,IF(AND('Data Entry'!$C$74=2,AF256&gt;1,AU256=2,CJ256&gt;1),0,IF(AND(AF256=5,CT256=0.5,AU256=2,ER256&lt;100),0,IF(AND(AF256=5,CT256=0.5,AU256=3,ER256&lt;100),0,IF(AND('Data Entry'!$C$74=2,AF256=2,AU256=2,AK256&gt;0.01,CB256=2,CE256&lt;1),0,IF(AND('Data Entry'!$C$74=2,AF256=3,AU256=3,AK256&gt;0.01,CB256=3,CE256&lt;1),0,IF(AND('Data Entry'!$C$74=2,AF256=3,AU256=3,AK256&gt;0.01,CB256=3,CE256&gt;0.99),BQ256*0.08,IF(AND('Data Entry'!$C$74=2,AF256=2,AU256=2,AK256&gt;0.01,CB256=2,CE256&gt;0.99),BQ256*0.1,IF(AND(AU256=2,AK256&gt;0.01,CB256=2,CD256&gt;1),BQ256*0.1,IF(AND(AU256=3,AK256&gt;0.01,CB256=3,CD256&gt;1),BQ256*0.08,CJ256*EF256)))))))))))))</f>
        <v>0</v>
      </c>
      <c r="BP256" s="475">
        <f t="shared" si="269"/>
        <v>0</v>
      </c>
      <c r="BQ256" s="1431">
        <f>IF(AU256=1,0,IF(CH256=100,0,IF(AND(AF256=3,AU256=2),0,IF(AND(BH256=0,CT256&gt;0.4),0,IF(AND('Data Entry'!$C$74=2,AF256=1.5),0,IF(AND('Data Entry'!$C$74=2,AF256=1.6),0,IF(AND('Data Entry'!$C$74=2,AF256=4),0,IF(AND('Data Entry'!$C$74=2,AF256=5),0,IF(AND('Data Entry'!$C$74=2,AF256=2.5,CE256&lt;1),0,IF(AND('Data Entry'!$C$74=2,AF256=3,CE256&lt;1),0,IF(AND('Data Entry'!$C$74=1,AF256=2.5,CD256&lt;1),0,IF(AND('Data Entry'!$C$74=1,AF256=3,CD256&lt;1),0,IF(DX256&gt;0.01,DX256,IF(ISERROR(AX256-AY256),"",ROUND(AX256-AY256,2)))))))))))))))</f>
        <v>0</v>
      </c>
      <c r="BR256" s="146">
        <f t="shared" si="270"/>
        <v>0</v>
      </c>
      <c r="BS256" s="475">
        <f t="shared" si="271"/>
        <v>0</v>
      </c>
      <c r="BT256" s="146" t="b">
        <f t="shared" si="272"/>
        <v>0</v>
      </c>
      <c r="BU256" s="463">
        <f>IF(ISNA(AT256),0,IF(AND('Data Entry'!$C$74=2,BC256=27),0,IF(AND('Data Entry'!$C$74=2,BC256=28),0,IF(AND(BC256=27,BT256=27,CM256&gt;0.1),CM256*0.15,IF(AND(BC256=28,BT256=28,CM256&gt;0.1),CM256*0.12,0)))))</f>
        <v>0</v>
      </c>
      <c r="BV256" s="463">
        <f t="shared" si="309"/>
        <v>0</v>
      </c>
      <c r="BW256" s="463">
        <f t="shared" si="273"/>
        <v>0</v>
      </c>
      <c r="BX256" s="463">
        <f t="shared" si="274"/>
        <v>0</v>
      </c>
      <c r="BY256" s="463">
        <f t="shared" si="275"/>
        <v>0</v>
      </c>
      <c r="BZ256" s="463">
        <f t="shared" si="276"/>
        <v>0</v>
      </c>
      <c r="CA256" s="57">
        <f t="shared" si="304"/>
        <v>0</v>
      </c>
      <c r="CB256" s="56">
        <f t="shared" si="277"/>
        <v>1</v>
      </c>
      <c r="CC256" s="756">
        <f>IF(EE256=0,0,IF(EF256=0,0,IF(EE256&gt;AA256,0,IF(AND(AZ256&gt;AW256,AW256&gt;0),0,IF(CU256=0,0,Summary!AC559)))))</f>
        <v>0</v>
      </c>
      <c r="CD256" s="756">
        <f>IF(EE256=0,0,IF(EF256=0,0,IF(EE256&gt;AA256,0,IF(AND(AZ256&gt;AW256,AW256&gt;0),0,IF(CU256=0,0,Summary!AD559)))))</f>
        <v>0</v>
      </c>
      <c r="CE256" s="756">
        <f>IF(EF256=0,0,IF(EE256&gt;AA256,0,IF(CC256=0,0,IF(AND(AZ256&gt;AW256,AW256&gt;0),0,IF(CU256=0,0,Summary!AE559)))))</f>
        <v>0</v>
      </c>
      <c r="CF256" s="475">
        <f t="shared" si="278"/>
        <v>0</v>
      </c>
      <c r="CG256" s="476">
        <f t="shared" si="246"/>
        <v>0</v>
      </c>
      <c r="CH256" s="487">
        <f t="shared" si="279"/>
        <v>0</v>
      </c>
      <c r="CI256" s="756">
        <f t="shared" si="280"/>
        <v>0</v>
      </c>
      <c r="CJ256" s="487">
        <f>IF(CT256&gt;0.4,0,IF(AND(AU256=2,CH256=0,CT256=0.5,ER256=100),35,IF(AND(AU256=3,BB256&gt;75,CH256=0,CT256=0.5,ER256=100),25,IF(CB256&gt;1,0,IF(EF256&gt;EE256,0,IF(AND(AF256&gt;1,CH256=100),0,IF(AND(AF256=1,AY256=0),0,IF(AND(EF256&lt;=EE256,AW256&gt;=AZ256,'Data Entry'!$C$74=1,AU256=2),VLOOKUP(W256,$DO$96:$DP$102,2,FALSE),IF(AND(EF256&lt;=EE256,AW256&gt;=AZ256,AU256=3,'Data Entry'!$C$74=1),VLOOKUP(W256,$DO$127:$DP$134,2,FALSE))))))))))</f>
        <v>0</v>
      </c>
      <c r="CK256" s="716">
        <f t="shared" si="281"/>
        <v>0</v>
      </c>
      <c r="CL256" s="57">
        <f t="shared" si="282"/>
        <v>0</v>
      </c>
      <c r="CM256" s="475">
        <f t="shared" si="308"/>
        <v>0</v>
      </c>
      <c r="CN256" s="660">
        <f>IF(CM256&lt;0.1,0,IF(ISNA(AT256),0,IF(CL256+BC256=1,0,IF(BV256&gt;0.01,0,IF(CL256&gt;0.01,0,IF(CF256=1,0,IF(BC256=0.5,0,IF(AND(CI256=1,AU256=3),0,IF(AND(CI256=5,CL256=0),0,IF(AND(R256=12,BR256=50),0,IF(CK256&gt;0.01,0,IF(AND(AJ256&gt;0.01,AU256=2,BC256=15),CM256*0.1,IF(AND(AJ256&gt;0.01,AU256=3,BC256=15),CM256*0.08,IF(AND(R256=12,BC256=3,AF256&lt;=0),0,IF(AND(BC256=15,BI256=0),0,IF(AND(BC256=15,BJ256=0),0,IF(AND(R256=20,CU256=0),0,IF($X$4=0,0,IF(AND(BC256=250,CL256=0),0,IF(AA256&lt;1,0,IF(AND(ISNUMBER(SEARCH("Area",T256)),AU256=3),0,IF(AND(AQ256&gt;0.01,AR256=0,BK256=0,BL256=0,BM256=0,BN256=0),0,IF(AND(AU256=3,CI256=7,CT256&gt;0.5),0,IF(AND(BC256=44,AU256=3,BY256=0),0,IF(AND(BC256=27,'Data Entry'!$C$74=2),0,IF(AND(BC256=28,'Data Entry'!$C$74=2),0,IF(AND(BY256+BZ256+CA256&gt;0.01,BV256=0,EQ256+ER256+ES256+ET256&lt;100),0,IF(AU256=3,CM256*0.08,IF(AU256=2,CM256*0.1,0)))))))))))))))))))))))))))))</f>
        <v>0</v>
      </c>
      <c r="CO256" s="660">
        <f t="shared" si="283"/>
        <v>0</v>
      </c>
      <c r="CP256" s="475" t="str">
        <f t="shared" si="284"/>
        <v/>
      </c>
      <c r="CQ256" s="161" t="str">
        <f>IF(AH256=0,0,IF(AU256=5,0,Summary!AC259))</f>
        <v/>
      </c>
      <c r="CR256" s="161" t="str">
        <f>IF(BF256=0.5,0,IF(AU256=5,0,Summary!AD259))</f>
        <v/>
      </c>
      <c r="CS256" s="161" t="str">
        <f>IF(AU256=5,0,Summary!AE259)</f>
        <v/>
      </c>
      <c r="CT256" s="161">
        <f t="shared" si="285"/>
        <v>0</v>
      </c>
      <c r="CU256" s="475" t="str">
        <f t="shared" si="286"/>
        <v/>
      </c>
      <c r="CV256" s="307">
        <f>IF('Data Entry'!$C$74=0,0,IF(AA256&lt;1,0,IF(ISERROR(CU256),0,IF(CF256=1,0,IF(AND(R256=12,BR256=50),0,IF(CL256+BO256+BV256+DC256=0,0,IF(BC256=37,0,IF(AND(BC256=40,AJ256=0),0,IF(AND(BC256=37,BO256&gt;0.01,BQ256&gt;0.01),ROUND(BQ256,0),IF(CM256&lt;0,0,ROUND(CM256,0)))))))))))</f>
        <v>0</v>
      </c>
      <c r="CW256" s="700">
        <f t="shared" si="287"/>
        <v>0</v>
      </c>
      <c r="CX256" s="477">
        <f>IF('Data Entry'!$C$74=0,0,IF(CV256&lt;0.01,0,IF(BF256=0.5,0,IF(CF256=1,0,IF(ISNUMBER(SEARCH("false",CL256)),0,IF(AZ256=500,0,CL256))))))</f>
        <v>0</v>
      </c>
      <c r="CY256" s="147" t="e">
        <f t="shared" si="288"/>
        <v>#VALUE!</v>
      </c>
      <c r="CZ256" s="147" t="b">
        <f>IF(CN256+CL256=0,FALSE,IF(AH256=0,0,IF(AND('Data Entry'!$C$74=1,CR256&gt;=1),TRUE,IF(AND('Data Entry'!$C$74=2,CS256&gt;=1),TRUE,FALSE))))</f>
        <v>0</v>
      </c>
      <c r="DA256" s="1751">
        <f>IF('Data Entry'!$C$74=0,0,IFERROR(ROUND(IF(T256="","",IF($X$4=0,0,IF(CF256=1,0,IF(BQ256+CV256=0,0,IF(CF256=1,0,IF(CY256&gt;0.01,CY256,IF(CL256&gt;0.01,CL256,IF(CY256&gt;0.01,CY256,IF(BC256=37,BO256,IF(CZ256=FALSE,0,IF(CZ256=TRUE,DC256+DF256,0))))))))))),2),""))</f>
        <v>0</v>
      </c>
      <c r="DB256" s="1752"/>
      <c r="DC256" s="474">
        <f>IF(CN256&lt;0.01,0,IF(AND(BR256=3,CN256&gt;0.01,CT256&gt;0.6,ER256+ES256+ET256&lt;100),0,IF(AND('Data Entry'!$C$74=1,CN256&gt;0.01,CR256&gt;0.99),MIN(CN256:CO256),IF(AND('Data Entry'!$C$74=2,CN256&gt;0.01,CS256&gt;0.99),MIN(CN256:CO256),0))))</f>
        <v>0</v>
      </c>
      <c r="DD256" s="478">
        <f>IF(CF256=1,"Selection does not match",IF(T256=0,0,IF(AND('Data Entry'!$C$74=0,CP256&gt;1),"Select Oregon or Idaho on Data Entry Tab",IF(AND(AU256=1,AA256&gt;0.9),"Missing Interior or Exterior Selection",IF($X$4=0,"Enter Total Project Cost",IF(AQ256&lt;AR256,"Insufficient kWh savings – no incentive",IF(AND(SUM(CL256+CK256+BV256)&gt;0.01,'Data Entry'!$C$74=2,CJ256&gt;1,BO256=0),"Submit Control as Non-Standard",IF(AND('Data Entry'!$C$74=2,BR256=37,CJ256&gt;1,BO256=0),"Submit Control as Non-Standard",IF(SUM(CL256+CK256+BV256)&gt;0.01,"Standard Incentive",IF(AND('Data Entry'!$C$74=2,CP256=7,CN256=0),"Submit as Non-Standard",IF(DC256&gt;0.9,"Non-Standard Incentive",IF(AND(BY256+BZ256+CA256&gt;0.01,BV256=0,EQ256=0,ER256=0,ES256=0,ET256=0),"Scroll Right &amp; Select Control Strategies",IF(AND(CN256&gt;0.01,CO256=0),"Enter Unit Installed Cost",IF(ISNUMBER(SEARCH("Lighting Controls Only",F256)),"Lighting Controls Only",IF(CL256+DC256=0,"Does not meet incentive criteria",0)))))))))))))))</f>
        <v>0</v>
      </c>
      <c r="DE256" s="337">
        <f t="shared" si="289"/>
        <v>0</v>
      </c>
      <c r="DF256" s="609">
        <f t="shared" si="290"/>
        <v>0</v>
      </c>
      <c r="DG256" s="336" t="str">
        <f t="shared" si="291"/>
        <v/>
      </c>
      <c r="DH256" s="338">
        <f t="shared" si="292"/>
        <v>1</v>
      </c>
      <c r="DI256" s="336" t="e">
        <f t="shared" si="247"/>
        <v>#VALUE!</v>
      </c>
      <c r="DJ256" s="338">
        <f t="shared" si="248"/>
        <v>0</v>
      </c>
      <c r="DO256" s="81"/>
      <c r="DP256" s="81"/>
      <c r="DQ256" s="81"/>
      <c r="DR256" s="81"/>
      <c r="DS256" s="1195">
        <f t="shared" si="293"/>
        <v>0</v>
      </c>
      <c r="DT256" s="344" t="b">
        <f t="shared" si="294"/>
        <v>1</v>
      </c>
      <c r="DU256" s="1314" t="str">
        <f t="array" ref="DU256">IF(OR(COUNTIF(F256,"*"&amp;$DK$9:$DK$178&amp;"*")), "Yes", "")</f>
        <v/>
      </c>
      <c r="DV256" s="1314">
        <f t="shared" si="295"/>
        <v>0</v>
      </c>
      <c r="DW256" s="1480">
        <f t="shared" si="296"/>
        <v>0</v>
      </c>
      <c r="DX256" s="1498">
        <f t="shared" si="305"/>
        <v>0</v>
      </c>
      <c r="DY256" s="1484">
        <f t="shared" si="297"/>
        <v>0</v>
      </c>
      <c r="DZ256" s="331"/>
      <c r="EA256" s="392"/>
      <c r="EB256" s="1499" t="s">
        <v>113</v>
      </c>
      <c r="EC256" s="727" t="s">
        <v>1569</v>
      </c>
      <c r="ED256" s="728">
        <v>0.5</v>
      </c>
      <c r="EE256" s="1215"/>
      <c r="EF256" s="1215"/>
      <c r="EG256" s="1184" t="str">
        <f t="shared" si="298"/>
        <v/>
      </c>
      <c r="EJ256" s="1185">
        <f t="shared" si="249"/>
        <v>0</v>
      </c>
      <c r="EK256" s="1211"/>
      <c r="EL256" s="1180">
        <f t="shared" si="250"/>
        <v>0</v>
      </c>
      <c r="EM256" s="206"/>
      <c r="EN256" s="1038"/>
      <c r="EO256" s="1038"/>
      <c r="EP256" s="1038"/>
      <c r="EQ256" s="1038">
        <f t="shared" si="299"/>
        <v>0</v>
      </c>
      <c r="ER256" s="1041">
        <f t="shared" si="300"/>
        <v>0</v>
      </c>
      <c r="ES256" s="1042">
        <f t="shared" si="301"/>
        <v>0</v>
      </c>
      <c r="ET256" s="1042">
        <f t="shared" si="306"/>
        <v>0</v>
      </c>
      <c r="EU256" s="1021">
        <f t="shared" si="307"/>
        <v>0</v>
      </c>
      <c r="EV256" s="368"/>
      <c r="EW256" s="368"/>
      <c r="EX256" s="369"/>
      <c r="EY256" s="370"/>
      <c r="EZ256" s="370"/>
      <c r="FA256" s="371"/>
      <c r="FB256" s="372"/>
    </row>
    <row r="257" spans="1:158" ht="34.5" customHeight="1">
      <c r="A257" s="82">
        <v>249</v>
      </c>
      <c r="B257" s="1806"/>
      <c r="C257" s="1807"/>
      <c r="D257" s="1807"/>
      <c r="E257" s="1808"/>
      <c r="F257" s="1809"/>
      <c r="G257" s="1810"/>
      <c r="H257" s="1810"/>
      <c r="I257" s="1811"/>
      <c r="J257" s="1301"/>
      <c r="K257" s="1814"/>
      <c r="L257" s="1814"/>
      <c r="M257" s="1017"/>
      <c r="N257" s="1584"/>
      <c r="O257" s="208" t="str">
        <f t="shared" si="237"/>
        <v/>
      </c>
      <c r="P257" s="785"/>
      <c r="Q257" s="39" t="str">
        <f t="shared" si="238"/>
        <v/>
      </c>
      <c r="R257" s="39">
        <f t="shared" si="251"/>
        <v>0</v>
      </c>
      <c r="S257" s="234">
        <f t="shared" si="252"/>
        <v>0</v>
      </c>
      <c r="T257" s="1815"/>
      <c r="U257" s="1815"/>
      <c r="V257" s="1815"/>
      <c r="W257" s="1121"/>
      <c r="X257" s="1812"/>
      <c r="Y257" s="1813"/>
      <c r="Z257" s="703"/>
      <c r="AA257" s="1280"/>
      <c r="AB257" s="1141"/>
      <c r="AC257" s="1103" t="str">
        <f>IF(T257="","",VLOOKUP(Z257,Lists!$A$60:$B$111,2,FALSE))</f>
        <v/>
      </c>
      <c r="AD257" s="130" t="str">
        <f t="shared" si="253"/>
        <v/>
      </c>
      <c r="AE257" s="130" t="e">
        <f t="shared" si="254"/>
        <v>#VALUE!</v>
      </c>
      <c r="AF257" s="130">
        <f t="shared" si="255"/>
        <v>1</v>
      </c>
      <c r="AG257" s="234">
        <f t="shared" si="239"/>
        <v>0</v>
      </c>
      <c r="AH257" s="1753" t="str">
        <f>IF(T257="","",(IF(ISNUMBER(SEARCH("exit",T257)),8760,IF(AND(M257="Dusk to Dawn",'Proposed Lighting'!AU257=3),4059,IF(AND(AU257=3,M257="1"),0,IF(AND(AU257=3,M257="1-C"),0,IF(AND(AU257=3,M257="2"),0,IF(AND(AU257=3,M257="2-C"),0,IF(AND(AU257=3,M257="3"),0,IF(AND(AU257=3,M257="3-C"),0,IF(AND(AU257=2,M257="Dusk to Dawn"),0,IF(AND(AU257=2,M257="Dusk to Dawn-C"),0,IF(AND(AU257=2,M257="Dusk to Dawn"),0,IF(AND(AU257=2,M257="E"),0,IF(AND(AU257=2,M257="E-C"),0,EG257)))))))))))))))</f>
        <v/>
      </c>
      <c r="AI257" s="1754"/>
      <c r="AJ257" s="1136"/>
      <c r="AK257" s="1136"/>
      <c r="AL257" s="1748">
        <f t="shared" si="256"/>
        <v>0</v>
      </c>
      <c r="AM257" s="1749"/>
      <c r="AN257" s="1750"/>
      <c r="AO257" s="476">
        <f t="shared" si="240"/>
        <v>0</v>
      </c>
      <c r="AP257" s="476">
        <f t="shared" si="257"/>
        <v>0</v>
      </c>
      <c r="AQ257" s="475">
        <f t="shared" si="241"/>
        <v>0</v>
      </c>
      <c r="AR257" s="475">
        <f t="shared" si="258"/>
        <v>0</v>
      </c>
      <c r="AS257" s="743" t="str">
        <f t="shared" si="310"/>
        <v/>
      </c>
      <c r="AT257" s="736" t="str">
        <f t="shared" si="259"/>
        <v/>
      </c>
      <c r="AU257" s="56">
        <f t="shared" si="260"/>
        <v>1</v>
      </c>
      <c r="AV257" s="476">
        <f t="shared" si="261"/>
        <v>0</v>
      </c>
      <c r="AW257" s="56">
        <f t="shared" si="262"/>
        <v>0</v>
      </c>
      <c r="AX257" s="475">
        <f t="shared" si="242"/>
        <v>0</v>
      </c>
      <c r="AY257" s="1169">
        <f t="shared" si="263"/>
        <v>0</v>
      </c>
      <c r="AZ257" s="1150">
        <f t="shared" si="302"/>
        <v>0</v>
      </c>
      <c r="BA257" s="56">
        <f t="shared" si="243"/>
        <v>0</v>
      </c>
      <c r="BB257" s="420">
        <f t="shared" si="244"/>
        <v>0</v>
      </c>
      <c r="BC257" s="58" t="str">
        <f t="shared" si="245"/>
        <v/>
      </c>
      <c r="BD257" s="660">
        <f t="shared" si="303"/>
        <v>0</v>
      </c>
      <c r="BE257" s="57" t="e">
        <f t="array" ref="BE257">INDEX($EB$11:$ED$1022,MATCH(F257&amp;T257,$EB$11:$EB$1007&amp;$EC$11:$EC$1007,0),3)</f>
        <v>#N/A</v>
      </c>
      <c r="BF257" s="463">
        <f t="shared" si="311"/>
        <v>0</v>
      </c>
      <c r="BG257" s="1445" t="e">
        <f t="array" ref="BG257">INDEX($DO$112:$DQ$123,MATCH(T257&amp;W257,$DO$114:$DO$125&amp;$DP$112:$DP$123,0),3)</f>
        <v>#N/A</v>
      </c>
      <c r="BH257" s="1446">
        <f t="shared" si="264"/>
        <v>0</v>
      </c>
      <c r="BI257" s="465">
        <f t="shared" si="265"/>
        <v>0</v>
      </c>
      <c r="BJ257" s="465">
        <f t="shared" si="266"/>
        <v>0</v>
      </c>
      <c r="BK257" s="466">
        <f t="shared" si="312"/>
        <v>0</v>
      </c>
      <c r="BL257" s="466">
        <f t="shared" si="313"/>
        <v>0</v>
      </c>
      <c r="BM257" s="466">
        <f t="shared" si="267"/>
        <v>0</v>
      </c>
      <c r="BN257" s="466">
        <f t="shared" si="268"/>
        <v>0</v>
      </c>
      <c r="BO257" s="463">
        <f>IF('Data Entry'!$C$74=0,0,IF(ISNA(CJ257),0,IF(AX257=0,0,IF(AND('Data Entry'!$C$74=2,AF257&gt;2,CE257&lt;1),0,IF(AND('Data Entry'!$C$74=2,AF257&gt;1,AU257=2,CJ257&gt;1),0,IF(AND(AF257=5,CT257=0.5,AU257=2,ER257&lt;100),0,IF(AND(AF257=5,CT257=0.5,AU257=3,ER257&lt;100),0,IF(AND('Data Entry'!$C$74=2,AF257=2,AU257=2,AK257&gt;0.01,CB257=2,CE257&lt;1),0,IF(AND('Data Entry'!$C$74=2,AF257=3,AU257=3,AK257&gt;0.01,CB257=3,CE257&lt;1),0,IF(AND('Data Entry'!$C$74=2,AF257=3,AU257=3,AK257&gt;0.01,CB257=3,CE257&gt;0.99),BQ257*0.08,IF(AND('Data Entry'!$C$74=2,AF257=2,AU257=2,AK257&gt;0.01,CB257=2,CE257&gt;0.99),BQ257*0.1,IF(AND(AU257=2,AK257&gt;0.01,CB257=2,CD257&gt;1),BQ257*0.1,IF(AND(AU257=3,AK257&gt;0.01,CB257=3,CD257&gt;1),BQ257*0.08,CJ257*EF257)))))))))))))</f>
        <v>0</v>
      </c>
      <c r="BP257" s="475">
        <f t="shared" si="269"/>
        <v>0</v>
      </c>
      <c r="BQ257" s="1431">
        <f>IF(AU257=1,0,IF(CH257=100,0,IF(AND(AF257=3,AU257=2),0,IF(AND(BH257=0,CT257&gt;0.4),0,IF(AND('Data Entry'!$C$74=2,AF257=1.5),0,IF(AND('Data Entry'!$C$74=2,AF257=1.6),0,IF(AND('Data Entry'!$C$74=2,AF257=4),0,IF(AND('Data Entry'!$C$74=2,AF257=5),0,IF(AND('Data Entry'!$C$74=2,AF257=2.5,CE257&lt;1),0,IF(AND('Data Entry'!$C$74=2,AF257=3,CE257&lt;1),0,IF(AND('Data Entry'!$C$74=1,AF257=2.5,CD257&lt;1),0,IF(AND('Data Entry'!$C$74=1,AF257=3,CD257&lt;1),0,IF(DX257&gt;0.01,DX257,IF(ISERROR(AX257-AY257),"",ROUND(AX257-AY257,2)))))))))))))))</f>
        <v>0</v>
      </c>
      <c r="BR257" s="146">
        <f t="shared" si="270"/>
        <v>0</v>
      </c>
      <c r="BS257" s="475">
        <f t="shared" si="271"/>
        <v>0</v>
      </c>
      <c r="BT257" s="146" t="b">
        <f t="shared" si="272"/>
        <v>0</v>
      </c>
      <c r="BU257" s="463">
        <f>IF(ISNA(AT257),0,IF(AND('Data Entry'!$C$74=2,BC257=27),0,IF(AND('Data Entry'!$C$74=2,BC257=28),0,IF(AND(BC257=27,BT257=27,CM257&gt;0.1),CM257*0.15,IF(AND(BC257=28,BT257=28,CM257&gt;0.1),CM257*0.12,0)))))</f>
        <v>0</v>
      </c>
      <c r="BV257" s="463">
        <f t="shared" si="309"/>
        <v>0</v>
      </c>
      <c r="BW257" s="463">
        <f t="shared" si="273"/>
        <v>0</v>
      </c>
      <c r="BX257" s="463">
        <f t="shared" si="274"/>
        <v>0</v>
      </c>
      <c r="BY257" s="463">
        <f t="shared" si="275"/>
        <v>0</v>
      </c>
      <c r="BZ257" s="463">
        <f t="shared" si="276"/>
        <v>0</v>
      </c>
      <c r="CA257" s="57">
        <f t="shared" si="304"/>
        <v>0</v>
      </c>
      <c r="CB257" s="56">
        <f t="shared" si="277"/>
        <v>1</v>
      </c>
      <c r="CC257" s="756">
        <f>IF(EE257=0,0,IF(EF257=0,0,IF(EE257&gt;AA257,0,IF(AND(AZ257&gt;AW257,AW257&gt;0),0,IF(CU257=0,0,Summary!AC560)))))</f>
        <v>0</v>
      </c>
      <c r="CD257" s="756">
        <f>IF(EE257=0,0,IF(EF257=0,0,IF(EE257&gt;AA257,0,IF(AND(AZ257&gt;AW257,AW257&gt;0),0,IF(CU257=0,0,Summary!AD560)))))</f>
        <v>0</v>
      </c>
      <c r="CE257" s="756">
        <f>IF(EF257=0,0,IF(EE257&gt;AA257,0,IF(CC257=0,0,IF(AND(AZ257&gt;AW257,AW257&gt;0),0,IF(CU257=0,0,Summary!AE560)))))</f>
        <v>0</v>
      </c>
      <c r="CF257" s="475">
        <f t="shared" si="278"/>
        <v>0</v>
      </c>
      <c r="CG257" s="476">
        <f t="shared" si="246"/>
        <v>0</v>
      </c>
      <c r="CH257" s="487">
        <f t="shared" si="279"/>
        <v>0</v>
      </c>
      <c r="CI257" s="756">
        <f t="shared" si="280"/>
        <v>0</v>
      </c>
      <c r="CJ257" s="487">
        <f>IF(CT257&gt;0.4,0,IF(AND(AU257=2,CH257=0,CT257=0.5,ER257=100),35,IF(AND(AU257=3,BB257&gt;75,CH257=0,CT257=0.5,ER257=100),25,IF(CB257&gt;1,0,IF(EF257&gt;EE257,0,IF(AND(AF257&gt;1,CH257=100),0,IF(AND(AF257=1,AY257=0),0,IF(AND(EF257&lt;=EE257,AW257&gt;=AZ257,'Data Entry'!$C$74=1,AU257=2),VLOOKUP(W257,$DO$96:$DP$102,2,FALSE),IF(AND(EF257&lt;=EE257,AW257&gt;=AZ257,AU257=3,'Data Entry'!$C$74=1),VLOOKUP(W257,$DO$127:$DP$134,2,FALSE))))))))))</f>
        <v>0</v>
      </c>
      <c r="CK257" s="716">
        <f t="shared" si="281"/>
        <v>0</v>
      </c>
      <c r="CL257" s="57">
        <f t="shared" si="282"/>
        <v>0</v>
      </c>
      <c r="CM257" s="475">
        <f t="shared" si="308"/>
        <v>0</v>
      </c>
      <c r="CN257" s="660">
        <f>IF(CM257&lt;0.1,0,IF(ISNA(AT257),0,IF(CL257+BC257=1,0,IF(BV257&gt;0.01,0,IF(CL257&gt;0.01,0,IF(CF257=1,0,IF(BC257=0.5,0,IF(AND(CI257=1,AU257=3),0,IF(AND(CI257=5,CL257=0),0,IF(AND(R257=12,BR257=50),0,IF(CK257&gt;0.01,0,IF(AND(AJ257&gt;0.01,AU257=2,BC257=15),CM257*0.1,IF(AND(AJ257&gt;0.01,AU257=3,BC257=15),CM257*0.08,IF(AND(R257=12,BC257=3,AF257&lt;=0),0,IF(AND(BC257=15,BI257=0),0,IF(AND(BC257=15,BJ257=0),0,IF(AND(R257=20,CU257=0),0,IF($X$4=0,0,IF(AND(BC257=250,CL257=0),0,IF(AA257&lt;1,0,IF(AND(ISNUMBER(SEARCH("Area",T257)),AU257=3),0,IF(AND(AQ257&gt;0.01,AR257=0,BK257=0,BL257=0,BM257=0,BN257=0),0,IF(AND(AU257=3,CI257=7,CT257&gt;0.5),0,IF(AND(BC257=44,AU257=3,BY257=0),0,IF(AND(BC257=27,'Data Entry'!$C$74=2),0,IF(AND(BC257=28,'Data Entry'!$C$74=2),0,IF(AND(BY257+BZ257+CA257&gt;0.01,BV257=0,EQ257+ER257+ES257+ET257&lt;100),0,IF(AU257=3,CM257*0.08,IF(AU257=2,CM257*0.1,0)))))))))))))))))))))))))))))</f>
        <v>0</v>
      </c>
      <c r="CO257" s="660">
        <f t="shared" si="283"/>
        <v>0</v>
      </c>
      <c r="CP257" s="475" t="str">
        <f t="shared" si="284"/>
        <v/>
      </c>
      <c r="CQ257" s="161" t="str">
        <f>IF(AH257=0,0,IF(AU257=5,0,Summary!AC260))</f>
        <v/>
      </c>
      <c r="CR257" s="161" t="str">
        <f>IF(BF257=0.5,0,IF(AU257=5,0,Summary!AD260))</f>
        <v/>
      </c>
      <c r="CS257" s="161" t="str">
        <f>IF(AU257=5,0,Summary!AE260)</f>
        <v/>
      </c>
      <c r="CT257" s="161">
        <f t="shared" si="285"/>
        <v>0</v>
      </c>
      <c r="CU257" s="475" t="str">
        <f t="shared" si="286"/>
        <v/>
      </c>
      <c r="CV257" s="307">
        <f>IF('Data Entry'!$C$74=0,0,IF(AA257&lt;1,0,IF(ISERROR(CU257),0,IF(CF257=1,0,IF(AND(R257=12,BR257=50),0,IF(CL257+BO257+BV257+DC257=0,0,IF(BC257=37,0,IF(AND(BC257=40,AJ257=0),0,IF(AND(BC257=37,BO257&gt;0.01,BQ257&gt;0.01),ROUND(BQ257,0),IF(CM257&lt;0,0,ROUND(CM257,0)))))))))))</f>
        <v>0</v>
      </c>
      <c r="CW257" s="700">
        <f t="shared" si="287"/>
        <v>0</v>
      </c>
      <c r="CX257" s="477">
        <f>IF('Data Entry'!$C$74=0,0,IF(CV257&lt;0.01,0,IF(BF257=0.5,0,IF(CF257=1,0,IF(ISNUMBER(SEARCH("false",CL257)),0,IF(AZ257=500,0,CL257))))))</f>
        <v>0</v>
      </c>
      <c r="CY257" s="147" t="e">
        <f t="shared" si="288"/>
        <v>#VALUE!</v>
      </c>
      <c r="CZ257" s="147" t="b">
        <f>IF(CN257+CL257=0,FALSE,IF(AH257=0,0,IF(AND('Data Entry'!$C$74=1,CR257&gt;=1),TRUE,IF(AND('Data Entry'!$C$74=2,CS257&gt;=1),TRUE,FALSE))))</f>
        <v>0</v>
      </c>
      <c r="DA257" s="1751">
        <f>IF('Data Entry'!$C$74=0,0,IFERROR(ROUND(IF(T257="","",IF($X$4=0,0,IF(CF257=1,0,IF(BQ257+CV257=0,0,IF(CF257=1,0,IF(CY257&gt;0.01,CY257,IF(CL257&gt;0.01,CL257,IF(CY257&gt;0.01,CY257,IF(BC257=37,BO257,IF(CZ257=FALSE,0,IF(CZ257=TRUE,DC257+DF257,0))))))))))),2),""))</f>
        <v>0</v>
      </c>
      <c r="DB257" s="1752"/>
      <c r="DC257" s="474">
        <f>IF(CN257&lt;0.01,0,IF(AND(BR257=3,CN257&gt;0.01,CT257&gt;0.6,ER257+ES257+ET257&lt;100),0,IF(AND('Data Entry'!$C$74=1,CN257&gt;0.01,CR257&gt;0.99),MIN(CN257:CO257),IF(AND('Data Entry'!$C$74=2,CN257&gt;0.01,CS257&gt;0.99),MIN(CN257:CO257),0))))</f>
        <v>0</v>
      </c>
      <c r="DD257" s="478">
        <f>IF(CF257=1,"Selection does not match",IF(T257=0,0,IF(AND('Data Entry'!$C$74=0,CP257&gt;1),"Select Oregon or Idaho on Data Entry Tab",IF(AND(AU257=1,AA257&gt;0.9),"Missing Interior or Exterior Selection",IF($X$4=0,"Enter Total Project Cost",IF(AQ257&lt;AR257,"Insufficient kWh savings – no incentive",IF(AND(SUM(CL257+CK257+BV257)&gt;0.01,'Data Entry'!$C$74=2,CJ257&gt;1,BO257=0),"Submit Control as Non-Standard",IF(AND('Data Entry'!$C$74=2,BR257=37,CJ257&gt;1,BO257=0),"Submit Control as Non-Standard",IF(SUM(CL257+CK257+BV257)&gt;0.01,"Standard Incentive",IF(AND('Data Entry'!$C$74=2,CP257=7,CN257=0),"Submit as Non-Standard",IF(DC257&gt;0.9,"Non-Standard Incentive",IF(AND(BY257+BZ257+CA257&gt;0.01,BV257=0,EQ257=0,ER257=0,ES257=0,ET257=0),"Scroll Right &amp; Select Control Strategies",IF(AND(CN257&gt;0.01,CO257=0),"Enter Unit Installed Cost",IF(ISNUMBER(SEARCH("Lighting Controls Only",F257)),"Lighting Controls Only",IF(CL257+DC257=0,"Does not meet incentive criteria",0)))))))))))))))</f>
        <v>0</v>
      </c>
      <c r="DE257" s="337">
        <f t="shared" si="289"/>
        <v>0</v>
      </c>
      <c r="DF257" s="609">
        <f t="shared" si="290"/>
        <v>0</v>
      </c>
      <c r="DG257" s="336" t="str">
        <f t="shared" si="291"/>
        <v/>
      </c>
      <c r="DH257" s="338">
        <f t="shared" si="292"/>
        <v>1</v>
      </c>
      <c r="DI257" s="336" t="e">
        <f t="shared" si="247"/>
        <v>#VALUE!</v>
      </c>
      <c r="DJ257" s="338">
        <f t="shared" si="248"/>
        <v>0</v>
      </c>
      <c r="DO257" s="81"/>
      <c r="DP257" s="81"/>
      <c r="DQ257" s="81"/>
      <c r="DR257" s="81"/>
      <c r="DS257" s="1195">
        <f t="shared" si="293"/>
        <v>0</v>
      </c>
      <c r="DT257" s="344" t="b">
        <f t="shared" si="294"/>
        <v>1</v>
      </c>
      <c r="DU257" s="1314" t="str">
        <f t="array" ref="DU257">IF(OR(COUNTIF(F257,"*"&amp;$DK$9:$DK$178&amp;"*")), "Yes", "")</f>
        <v/>
      </c>
      <c r="DV257" s="1314">
        <f t="shared" si="295"/>
        <v>0</v>
      </c>
      <c r="DW257" s="1480">
        <f t="shared" si="296"/>
        <v>0</v>
      </c>
      <c r="DX257" s="1498">
        <f t="shared" si="305"/>
        <v>0</v>
      </c>
      <c r="DY257" s="1484">
        <f t="shared" si="297"/>
        <v>0</v>
      </c>
      <c r="DZ257" s="331"/>
      <c r="EA257" s="392"/>
      <c r="EB257" s="1499" t="s">
        <v>1290</v>
      </c>
      <c r="EC257" s="727" t="s">
        <v>1569</v>
      </c>
      <c r="ED257" s="728">
        <v>0.5</v>
      </c>
      <c r="EE257" s="1215"/>
      <c r="EF257" s="1215"/>
      <c r="EG257" s="1184" t="str">
        <f t="shared" si="298"/>
        <v/>
      </c>
      <c r="EJ257" s="1185">
        <f t="shared" si="249"/>
        <v>0</v>
      </c>
      <c r="EK257" s="1211"/>
      <c r="EL257" s="1180">
        <f t="shared" si="250"/>
        <v>0</v>
      </c>
      <c r="EM257" s="206"/>
      <c r="EN257" s="1038"/>
      <c r="EO257" s="1038"/>
      <c r="EP257" s="1038"/>
      <c r="EQ257" s="1038">
        <f t="shared" si="299"/>
        <v>0</v>
      </c>
      <c r="ER257" s="1041">
        <f t="shared" si="300"/>
        <v>0</v>
      </c>
      <c r="ES257" s="1042">
        <f t="shared" si="301"/>
        <v>0</v>
      </c>
      <c r="ET257" s="1042">
        <f t="shared" si="306"/>
        <v>0</v>
      </c>
      <c r="EU257" s="1021">
        <f t="shared" si="307"/>
        <v>0</v>
      </c>
      <c r="EV257" s="368"/>
      <c r="EW257" s="368"/>
      <c r="EX257" s="369"/>
      <c r="EY257" s="370"/>
      <c r="EZ257" s="370"/>
      <c r="FA257" s="371"/>
      <c r="FB257" s="372"/>
    </row>
    <row r="258" spans="1:158" ht="34.5" customHeight="1">
      <c r="A258" s="82">
        <v>250</v>
      </c>
      <c r="B258" s="1806"/>
      <c r="C258" s="1807"/>
      <c r="D258" s="1807"/>
      <c r="E258" s="1808"/>
      <c r="F258" s="1809"/>
      <c r="G258" s="1810"/>
      <c r="H258" s="1810"/>
      <c r="I258" s="1811"/>
      <c r="J258" s="1301"/>
      <c r="K258" s="1814"/>
      <c r="L258" s="1814"/>
      <c r="M258" s="1017"/>
      <c r="N258" s="1584"/>
      <c r="O258" s="208" t="str">
        <f t="shared" si="237"/>
        <v/>
      </c>
      <c r="P258" s="785"/>
      <c r="Q258" s="39" t="str">
        <f t="shared" si="238"/>
        <v/>
      </c>
      <c r="R258" s="39">
        <f t="shared" si="251"/>
        <v>0</v>
      </c>
      <c r="S258" s="234">
        <f t="shared" si="252"/>
        <v>0</v>
      </c>
      <c r="T258" s="1815"/>
      <c r="U258" s="1815"/>
      <c r="V258" s="1815"/>
      <c r="W258" s="1121"/>
      <c r="X258" s="1812"/>
      <c r="Y258" s="1813"/>
      <c r="Z258" s="703"/>
      <c r="AA258" s="1280"/>
      <c r="AB258" s="1141"/>
      <c r="AC258" s="1103" t="str">
        <f>IF(T258="","",VLOOKUP(Z258,Lists!$A$60:$B$111,2,FALSE))</f>
        <v/>
      </c>
      <c r="AD258" s="130" t="str">
        <f t="shared" si="253"/>
        <v/>
      </c>
      <c r="AE258" s="130" t="e">
        <f t="shared" si="254"/>
        <v>#VALUE!</v>
      </c>
      <c r="AF258" s="130">
        <f t="shared" si="255"/>
        <v>1</v>
      </c>
      <c r="AG258" s="234">
        <f t="shared" si="239"/>
        <v>0</v>
      </c>
      <c r="AH258" s="1753" t="str">
        <f>IF(T258="","",(IF(ISNUMBER(SEARCH("exit",T258)),8760,IF(AND(M258="Dusk to Dawn",'Proposed Lighting'!AU258=3),4059,IF(AND(AU258=3,M258="1"),0,IF(AND(AU258=3,M258="1-C"),0,IF(AND(AU258=3,M258="2"),0,IF(AND(AU258=3,M258="2-C"),0,IF(AND(AU258=3,M258="3"),0,IF(AND(AU258=3,M258="3-C"),0,IF(AND(AU258=2,M258="Dusk to Dawn"),0,IF(AND(AU258=2,M258="Dusk to Dawn-C"),0,IF(AND(AU258=2,M258="Dusk to Dawn"),0,IF(AND(AU258=2,M258="E"),0,IF(AND(AU258=2,M258="E-C"),0,EG258)))))))))))))))</f>
        <v/>
      </c>
      <c r="AI258" s="1754"/>
      <c r="AJ258" s="1136"/>
      <c r="AK258" s="1136"/>
      <c r="AL258" s="1748">
        <f t="shared" si="256"/>
        <v>0</v>
      </c>
      <c r="AM258" s="1749"/>
      <c r="AN258" s="1750"/>
      <c r="AO258" s="476">
        <f t="shared" si="240"/>
        <v>0</v>
      </c>
      <c r="AP258" s="476">
        <f t="shared" si="257"/>
        <v>0</v>
      </c>
      <c r="AQ258" s="475">
        <f t="shared" si="241"/>
        <v>0</v>
      </c>
      <c r="AR258" s="475">
        <f t="shared" si="258"/>
        <v>0</v>
      </c>
      <c r="AS258" s="743" t="str">
        <f t="shared" si="310"/>
        <v/>
      </c>
      <c r="AT258" s="736" t="str">
        <f t="shared" si="259"/>
        <v/>
      </c>
      <c r="AU258" s="56">
        <f t="shared" si="260"/>
        <v>1</v>
      </c>
      <c r="AV258" s="476">
        <f t="shared" si="261"/>
        <v>0</v>
      </c>
      <c r="AW258" s="56">
        <f t="shared" si="262"/>
        <v>0</v>
      </c>
      <c r="AX258" s="475">
        <f t="shared" si="242"/>
        <v>0</v>
      </c>
      <c r="AY258" s="1169">
        <f t="shared" si="263"/>
        <v>0</v>
      </c>
      <c r="AZ258" s="1150">
        <f t="shared" si="302"/>
        <v>0</v>
      </c>
      <c r="BA258" s="56">
        <f t="shared" si="243"/>
        <v>0</v>
      </c>
      <c r="BB258" s="420">
        <f t="shared" si="244"/>
        <v>0</v>
      </c>
      <c r="BC258" s="58" t="str">
        <f t="shared" si="245"/>
        <v/>
      </c>
      <c r="BD258" s="660">
        <f t="shared" si="303"/>
        <v>0</v>
      </c>
      <c r="BE258" s="57" t="e">
        <f t="array" ref="BE258">INDEX($EB$11:$ED$1022,MATCH(F258&amp;T258,$EB$11:$EB$1007&amp;$EC$11:$EC$1007,0),3)</f>
        <v>#N/A</v>
      </c>
      <c r="BF258" s="463">
        <f t="shared" si="311"/>
        <v>0</v>
      </c>
      <c r="BG258" s="1445" t="e">
        <f t="array" ref="BG258">INDEX($DO$112:$DQ$123,MATCH(T258&amp;W258,$DO$114:$DO$125&amp;$DP$112:$DP$123,0),3)</f>
        <v>#N/A</v>
      </c>
      <c r="BH258" s="1446">
        <f t="shared" si="264"/>
        <v>0</v>
      </c>
      <c r="BI258" s="465">
        <f t="shared" si="265"/>
        <v>0</v>
      </c>
      <c r="BJ258" s="465">
        <f t="shared" si="266"/>
        <v>0</v>
      </c>
      <c r="BK258" s="466">
        <f t="shared" si="312"/>
        <v>0</v>
      </c>
      <c r="BL258" s="466">
        <f t="shared" si="313"/>
        <v>0</v>
      </c>
      <c r="BM258" s="466">
        <f t="shared" si="267"/>
        <v>0</v>
      </c>
      <c r="BN258" s="466">
        <f t="shared" si="268"/>
        <v>0</v>
      </c>
      <c r="BO258" s="463">
        <f>IF('Data Entry'!$C$74=0,0,IF(ISNA(CJ258),0,IF(AX258=0,0,IF(AND('Data Entry'!$C$74=2,AF258&gt;2,CE258&lt;1),0,IF(AND('Data Entry'!$C$74=2,AF258&gt;1,AU258=2,CJ258&gt;1),0,IF(AND(AF258=5,CT258=0.5,AU258=2,ER258&lt;100),0,IF(AND(AF258=5,CT258=0.5,AU258=3,ER258&lt;100),0,IF(AND('Data Entry'!$C$74=2,AF258=2,AU258=2,AK258&gt;0.01,CB258=2,CE258&lt;1),0,IF(AND('Data Entry'!$C$74=2,AF258=3,AU258=3,AK258&gt;0.01,CB258=3,CE258&lt;1),0,IF(AND('Data Entry'!$C$74=2,AF258=3,AU258=3,AK258&gt;0.01,CB258=3,CE258&gt;0.99),BQ258*0.08,IF(AND('Data Entry'!$C$74=2,AF258=2,AU258=2,AK258&gt;0.01,CB258=2,CE258&gt;0.99),BQ258*0.1,IF(AND(AU258=2,AK258&gt;0.01,CB258=2,CD258&gt;1),BQ258*0.1,IF(AND(AU258=3,AK258&gt;0.01,CB258=3,CD258&gt;1),BQ258*0.08,CJ258*EF258)))))))))))))</f>
        <v>0</v>
      </c>
      <c r="BP258" s="475">
        <f t="shared" si="269"/>
        <v>0</v>
      </c>
      <c r="BQ258" s="1431">
        <f>IF(AU258=1,0,IF(CH258=100,0,IF(AND(AF258=3,AU258=2),0,IF(AND(BH258=0,CT258&gt;0.4),0,IF(AND('Data Entry'!$C$74=2,AF258=1.5),0,IF(AND('Data Entry'!$C$74=2,AF258=1.6),0,IF(AND('Data Entry'!$C$74=2,AF258=4),0,IF(AND('Data Entry'!$C$74=2,AF258=5),0,IF(AND('Data Entry'!$C$74=2,AF258=2.5,CE258&lt;1),0,IF(AND('Data Entry'!$C$74=2,AF258=3,CE258&lt;1),0,IF(AND('Data Entry'!$C$74=1,AF258=2.5,CD258&lt;1),0,IF(AND('Data Entry'!$C$74=1,AF258=3,CD258&lt;1),0,IF(DX258&gt;0.01,DX258,IF(ISERROR(AX258-AY258),"",ROUND(AX258-AY258,2)))))))))))))))</f>
        <v>0</v>
      </c>
      <c r="BR258" s="146">
        <f t="shared" si="270"/>
        <v>0</v>
      </c>
      <c r="BS258" s="475">
        <f t="shared" si="271"/>
        <v>0</v>
      </c>
      <c r="BT258" s="146" t="b">
        <f t="shared" si="272"/>
        <v>0</v>
      </c>
      <c r="BU258" s="463">
        <f>IF(ISNA(AT258),0,IF(AND('Data Entry'!$C$74=2,BC258=27),0,IF(AND('Data Entry'!$C$74=2,BC258=28),0,IF(AND(BC258=27,BT258=27,CM258&gt;0.1),CM258*0.15,IF(AND(BC258=28,BT258=28,CM258&gt;0.1),CM258*0.12,0)))))</f>
        <v>0</v>
      </c>
      <c r="BV258" s="463">
        <f t="shared" si="309"/>
        <v>0</v>
      </c>
      <c r="BW258" s="463">
        <f t="shared" si="273"/>
        <v>0</v>
      </c>
      <c r="BX258" s="463">
        <f t="shared" si="274"/>
        <v>0</v>
      </c>
      <c r="BY258" s="463">
        <f t="shared" si="275"/>
        <v>0</v>
      </c>
      <c r="BZ258" s="463">
        <f t="shared" si="276"/>
        <v>0</v>
      </c>
      <c r="CA258" s="57">
        <f t="shared" si="304"/>
        <v>0</v>
      </c>
      <c r="CB258" s="56">
        <f t="shared" si="277"/>
        <v>1</v>
      </c>
      <c r="CC258" s="756">
        <f>IF(EE258=0,0,IF(EF258=0,0,IF(EE258&gt;AA258,0,IF(AND(AZ258&gt;AW258,AW258&gt;0),0,IF(CU258=0,0,Summary!AC561)))))</f>
        <v>0</v>
      </c>
      <c r="CD258" s="756">
        <f>IF(EE258=0,0,IF(EF258=0,0,IF(EE258&gt;AA258,0,IF(AND(AZ258&gt;AW258,AW258&gt;0),0,IF(CU258=0,0,Summary!AD561)))))</f>
        <v>0</v>
      </c>
      <c r="CE258" s="756">
        <f>IF(EF258=0,0,IF(EE258&gt;AA258,0,IF(CC258=0,0,IF(AND(AZ258&gt;AW258,AW258&gt;0),0,IF(CU258=0,0,Summary!AE561)))))</f>
        <v>0</v>
      </c>
      <c r="CF258" s="475">
        <f t="shared" si="278"/>
        <v>0</v>
      </c>
      <c r="CG258" s="476">
        <f t="shared" si="246"/>
        <v>0</v>
      </c>
      <c r="CH258" s="487">
        <f t="shared" si="279"/>
        <v>0</v>
      </c>
      <c r="CI258" s="756">
        <f t="shared" si="280"/>
        <v>0</v>
      </c>
      <c r="CJ258" s="487">
        <f>IF(CT258&gt;0.4,0,IF(AND(AU258=2,CH258=0,CT258=0.5,ER258=100),35,IF(AND(AU258=3,BB258&gt;75,CH258=0,CT258=0.5,ER258=100),25,IF(CB258&gt;1,0,IF(EF258&gt;EE258,0,IF(AND(AF258&gt;1,CH258=100),0,IF(AND(AF258=1,AY258=0),0,IF(AND(EF258&lt;=EE258,AW258&gt;=AZ258,'Data Entry'!$C$74=1,AU258=2),VLOOKUP(W258,$DO$96:$DP$102,2,FALSE),IF(AND(EF258&lt;=EE258,AW258&gt;=AZ258,AU258=3,'Data Entry'!$C$74=1),VLOOKUP(W258,$DO$127:$DP$134,2,FALSE))))))))))</f>
        <v>0</v>
      </c>
      <c r="CK258" s="716">
        <f t="shared" si="281"/>
        <v>0</v>
      </c>
      <c r="CL258" s="57">
        <f t="shared" si="282"/>
        <v>0</v>
      </c>
      <c r="CM258" s="475">
        <f t="shared" si="308"/>
        <v>0</v>
      </c>
      <c r="CN258" s="660">
        <f>IF(CM258&lt;0.1,0,IF(ISNA(AT258),0,IF(CL258+BC258=1,0,IF(BV258&gt;0.01,0,IF(CL258&gt;0.01,0,IF(CF258=1,0,IF(BC258=0.5,0,IF(AND(CI258=1,AU258=3),0,IF(AND(CI258=5,CL258=0),0,IF(AND(R258=12,BR258=50),0,IF(CK258&gt;0.01,0,IF(AND(AJ258&gt;0.01,AU258=2,BC258=15),CM258*0.1,IF(AND(AJ258&gt;0.01,AU258=3,BC258=15),CM258*0.08,IF(AND(R258=12,BC258=3,AF258&lt;=0),0,IF(AND(BC258=15,BI258=0),0,IF(AND(BC258=15,BJ258=0),0,IF(AND(R258=20,CU258=0),0,IF($X$4=0,0,IF(AND(BC258=250,CL258=0),0,IF(AA258&lt;1,0,IF(AND(ISNUMBER(SEARCH("Area",T258)),AU258=3),0,IF(AND(AQ258&gt;0.01,AR258=0,BK258=0,BL258=0,BM258=0,BN258=0),0,IF(AND(AU258=3,CI258=7,CT258&gt;0.5),0,IF(AND(BC258=44,AU258=3,BY258=0),0,IF(AND(BC258=27,'Data Entry'!$C$74=2),0,IF(AND(BC258=28,'Data Entry'!$C$74=2),0,IF(AND(BY258+BZ258+CA258&gt;0.01,BV258=0,EQ258+ER258+ES258+ET258&lt;100),0,IF(AU258=3,CM258*0.08,IF(AU258=2,CM258*0.1,0)))))))))))))))))))))))))))))</f>
        <v>0</v>
      </c>
      <c r="CO258" s="660">
        <f t="shared" si="283"/>
        <v>0</v>
      </c>
      <c r="CP258" s="475" t="str">
        <f t="shared" si="284"/>
        <v/>
      </c>
      <c r="CQ258" s="161" t="str">
        <f>IF(AH258=0,0,IF(AU258=5,0,Summary!AC261))</f>
        <v/>
      </c>
      <c r="CR258" s="161" t="str">
        <f>IF(BF258=0.5,0,IF(AU258=5,0,Summary!AD261))</f>
        <v/>
      </c>
      <c r="CS258" s="161" t="str">
        <f>IF(AU258=5,0,Summary!AE261)</f>
        <v/>
      </c>
      <c r="CT258" s="161">
        <f t="shared" si="285"/>
        <v>0</v>
      </c>
      <c r="CU258" s="475" t="str">
        <f t="shared" si="286"/>
        <v/>
      </c>
      <c r="CV258" s="307">
        <f>IF('Data Entry'!$C$74=0,0,IF(AA258&lt;1,0,IF(ISERROR(CU258),0,IF(CF258=1,0,IF(AND(R258=12,BR258=50),0,IF(CL258+BO258+BV258+DC258=0,0,IF(BC258=37,0,IF(AND(BC258=40,AJ258=0),0,IF(AND(BC258=37,BO258&gt;0.01,BQ258&gt;0.01),ROUND(BQ258,0),IF(CM258&lt;0,0,ROUND(CM258,0)))))))))))</f>
        <v>0</v>
      </c>
      <c r="CW258" s="700">
        <f t="shared" si="287"/>
        <v>0</v>
      </c>
      <c r="CX258" s="477">
        <f>IF('Data Entry'!$C$74=0,0,IF(CV258&lt;0.01,0,IF(BF258=0.5,0,IF(CF258=1,0,IF(ISNUMBER(SEARCH("false",CL258)),0,IF(AZ258=500,0,CL258))))))</f>
        <v>0</v>
      </c>
      <c r="CY258" s="147" t="e">
        <f t="shared" si="288"/>
        <v>#VALUE!</v>
      </c>
      <c r="CZ258" s="147" t="b">
        <f>IF(CN258+CL258=0,FALSE,IF(AH258=0,0,IF(AND('Data Entry'!$C$74=1,CR258&gt;=1),TRUE,IF(AND('Data Entry'!$C$74=2,CS258&gt;=1),TRUE,FALSE))))</f>
        <v>0</v>
      </c>
      <c r="DA258" s="1751">
        <f>IF('Data Entry'!$C$74=0,0,IFERROR(ROUND(IF(T258="","",IF($X$4=0,0,IF(CF258=1,0,IF(BQ258+CV258=0,0,IF(CF258=1,0,IF(CY258&gt;0.01,CY258,IF(CL258&gt;0.01,CL258,IF(CY258&gt;0.01,CY258,IF(BC258=37,BO258,IF(CZ258=FALSE,0,IF(CZ258=TRUE,DC258+DF258,0))))))))))),2),""))</f>
        <v>0</v>
      </c>
      <c r="DB258" s="1752"/>
      <c r="DC258" s="474">
        <f>IF(CN258&lt;0.01,0,IF(AND(BR258=3,CN258&gt;0.01,CT258&gt;0.6,ER258+ES258+ET258&lt;100),0,IF(AND('Data Entry'!$C$74=1,CN258&gt;0.01,CR258&gt;0.99),MIN(CN258:CO258),IF(AND('Data Entry'!$C$74=2,CN258&gt;0.01,CS258&gt;0.99),MIN(CN258:CO258),0))))</f>
        <v>0</v>
      </c>
      <c r="DD258" s="478">
        <f>IF(CF258=1,"Selection does not match",IF(T258=0,0,IF(AND('Data Entry'!$C$74=0,CP258&gt;1),"Select Oregon or Idaho on Data Entry Tab",IF(AND(AU258=1,AA258&gt;0.9),"Missing Interior or Exterior Selection",IF($X$4=0,"Enter Total Project Cost",IF(AQ258&lt;AR258,"Insufficient kWh savings – no incentive",IF(AND(SUM(CL258+CK258+BV258)&gt;0.01,'Data Entry'!$C$74=2,CJ258&gt;1,BO258=0),"Submit Control as Non-Standard",IF(AND('Data Entry'!$C$74=2,BR258=37,CJ258&gt;1,BO258=0),"Submit Control as Non-Standard",IF(SUM(CL258+CK258+BV258)&gt;0.01,"Standard Incentive",IF(AND('Data Entry'!$C$74=2,CP258=7,CN258=0),"Submit as Non-Standard",IF(DC258&gt;0.9,"Non-Standard Incentive",IF(AND(BY258+BZ258+CA258&gt;0.01,BV258=0,EQ258=0,ER258=0,ES258=0,ET258=0),"Scroll Right &amp; Select Control Strategies",IF(AND(CN258&gt;0.01,CO258=0),"Enter Unit Installed Cost",IF(ISNUMBER(SEARCH("Lighting Controls Only",F258)),"Lighting Controls Only",IF(CL258+DC258=0,"Does not meet incentive criteria",0)))))))))))))))</f>
        <v>0</v>
      </c>
      <c r="DE258" s="337">
        <f t="shared" si="289"/>
        <v>0</v>
      </c>
      <c r="DF258" s="609">
        <f t="shared" si="290"/>
        <v>0</v>
      </c>
      <c r="DG258" s="336" t="str">
        <f t="shared" si="291"/>
        <v/>
      </c>
      <c r="DH258" s="338">
        <f t="shared" si="292"/>
        <v>1</v>
      </c>
      <c r="DI258" s="336" t="e">
        <f t="shared" si="247"/>
        <v>#VALUE!</v>
      </c>
      <c r="DJ258" s="338">
        <f t="shared" si="248"/>
        <v>0</v>
      </c>
      <c r="DO258" s="81"/>
      <c r="DP258" s="81"/>
      <c r="DQ258" s="81"/>
      <c r="DR258" s="81"/>
      <c r="DS258" s="1195">
        <f t="shared" si="293"/>
        <v>0</v>
      </c>
      <c r="DT258" s="344" t="b">
        <f t="shared" si="294"/>
        <v>1</v>
      </c>
      <c r="DU258" s="1314" t="str">
        <f t="array" ref="DU258">IF(OR(COUNTIF(F258,"*"&amp;$DK$9:$DK$178&amp;"*")), "Yes", "")</f>
        <v/>
      </c>
      <c r="DV258" s="1314">
        <f t="shared" si="295"/>
        <v>0</v>
      </c>
      <c r="DW258" s="1480">
        <f t="shared" si="296"/>
        <v>0</v>
      </c>
      <c r="DX258" s="1498">
        <f t="shared" si="305"/>
        <v>0</v>
      </c>
      <c r="DY258" s="1484">
        <f t="shared" si="297"/>
        <v>0</v>
      </c>
      <c r="DZ258" s="331"/>
      <c r="EA258" s="392"/>
      <c r="EB258" s="1499" t="s">
        <v>1291</v>
      </c>
      <c r="EC258" s="727" t="s">
        <v>1569</v>
      </c>
      <c r="ED258" s="728">
        <v>0.5</v>
      </c>
      <c r="EE258" s="1215"/>
      <c r="EF258" s="1215"/>
      <c r="EG258" s="1184" t="str">
        <f t="shared" si="298"/>
        <v/>
      </c>
      <c r="EJ258" s="1185">
        <f t="shared" si="249"/>
        <v>0</v>
      </c>
      <c r="EK258" s="1211"/>
      <c r="EL258" s="1180">
        <f t="shared" si="250"/>
        <v>0</v>
      </c>
      <c r="EM258" s="206"/>
      <c r="EN258" s="1038"/>
      <c r="EO258" s="1038"/>
      <c r="EP258" s="1038"/>
      <c r="EQ258" s="1038">
        <f t="shared" si="299"/>
        <v>0</v>
      </c>
      <c r="ER258" s="1041">
        <f t="shared" si="300"/>
        <v>0</v>
      </c>
      <c r="ES258" s="1042">
        <f t="shared" si="301"/>
        <v>0</v>
      </c>
      <c r="ET258" s="1042">
        <f t="shared" si="306"/>
        <v>0</v>
      </c>
      <c r="EU258" s="1021">
        <f t="shared" si="307"/>
        <v>0</v>
      </c>
      <c r="EV258" s="368"/>
      <c r="EW258" s="368"/>
      <c r="EX258" s="369"/>
      <c r="EY258" s="370"/>
      <c r="EZ258" s="370"/>
      <c r="FA258" s="371"/>
      <c r="FB258" s="372"/>
    </row>
    <row r="259" spans="1:158" ht="34.5" customHeight="1">
      <c r="A259" s="82">
        <v>251</v>
      </c>
      <c r="B259" s="1806"/>
      <c r="C259" s="1807"/>
      <c r="D259" s="1807"/>
      <c r="E259" s="1808"/>
      <c r="F259" s="1809"/>
      <c r="G259" s="1810"/>
      <c r="H259" s="1810"/>
      <c r="I259" s="1811"/>
      <c r="J259" s="1301"/>
      <c r="K259" s="1814"/>
      <c r="L259" s="1814"/>
      <c r="M259" s="1017"/>
      <c r="N259" s="1584"/>
      <c r="O259" s="208" t="str">
        <f t="shared" si="237"/>
        <v/>
      </c>
      <c r="P259" s="785"/>
      <c r="Q259" s="39" t="str">
        <f t="shared" si="238"/>
        <v/>
      </c>
      <c r="R259" s="39">
        <f t="shared" si="251"/>
        <v>0</v>
      </c>
      <c r="S259" s="234">
        <f t="shared" si="252"/>
        <v>0</v>
      </c>
      <c r="T259" s="1815"/>
      <c r="U259" s="1815"/>
      <c r="V259" s="1815"/>
      <c r="W259" s="1121"/>
      <c r="X259" s="1812"/>
      <c r="Y259" s="1813"/>
      <c r="Z259" s="703"/>
      <c r="AA259" s="1280"/>
      <c r="AB259" s="1141"/>
      <c r="AC259" s="1103" t="str">
        <f>IF(T259="","",VLOOKUP(Z259,Lists!$A$60:$B$111,2,FALSE))</f>
        <v/>
      </c>
      <c r="AD259" s="130" t="str">
        <f t="shared" si="253"/>
        <v/>
      </c>
      <c r="AE259" s="130" t="e">
        <f t="shared" si="254"/>
        <v>#VALUE!</v>
      </c>
      <c r="AF259" s="130">
        <f t="shared" si="255"/>
        <v>1</v>
      </c>
      <c r="AG259" s="234">
        <f t="shared" si="239"/>
        <v>0</v>
      </c>
      <c r="AH259" s="1753" t="str">
        <f>IF(T259="","",(IF(ISNUMBER(SEARCH("exit",T259)),8760,IF(AND(M259="Dusk to Dawn",'Proposed Lighting'!AU259=3),4059,IF(AND(AU259=3,M259="1"),0,IF(AND(AU259=3,M259="1-C"),0,IF(AND(AU259=3,M259="2"),0,IF(AND(AU259=3,M259="2-C"),0,IF(AND(AU259=3,M259="3"),0,IF(AND(AU259=3,M259="3-C"),0,IF(AND(AU259=2,M259="Dusk to Dawn"),0,IF(AND(AU259=2,M259="Dusk to Dawn-C"),0,IF(AND(AU259=2,M259="Dusk to Dawn"),0,IF(AND(AU259=2,M259="E"),0,IF(AND(AU259=2,M259="E-C"),0,EG259)))))))))))))))</f>
        <v/>
      </c>
      <c r="AI259" s="1754"/>
      <c r="AJ259" s="1136"/>
      <c r="AK259" s="1136"/>
      <c r="AL259" s="1748">
        <f t="shared" si="256"/>
        <v>0</v>
      </c>
      <c r="AM259" s="1749"/>
      <c r="AN259" s="1750"/>
      <c r="AO259" s="476">
        <f t="shared" si="240"/>
        <v>0</v>
      </c>
      <c r="AP259" s="476">
        <f t="shared" si="257"/>
        <v>0</v>
      </c>
      <c r="AQ259" s="475">
        <f t="shared" si="241"/>
        <v>0</v>
      </c>
      <c r="AR259" s="475">
        <f t="shared" si="258"/>
        <v>0</v>
      </c>
      <c r="AS259" s="743" t="str">
        <f t="shared" si="310"/>
        <v/>
      </c>
      <c r="AT259" s="736" t="str">
        <f t="shared" si="259"/>
        <v/>
      </c>
      <c r="AU259" s="56">
        <f t="shared" si="260"/>
        <v>1</v>
      </c>
      <c r="AV259" s="476">
        <f t="shared" si="261"/>
        <v>0</v>
      </c>
      <c r="AW259" s="56">
        <f t="shared" si="262"/>
        <v>0</v>
      </c>
      <c r="AX259" s="475">
        <f t="shared" si="242"/>
        <v>0</v>
      </c>
      <c r="AY259" s="1169">
        <f t="shared" si="263"/>
        <v>0</v>
      </c>
      <c r="AZ259" s="1150">
        <f t="shared" si="302"/>
        <v>0</v>
      </c>
      <c r="BA259" s="56">
        <f t="shared" si="243"/>
        <v>0</v>
      </c>
      <c r="BB259" s="420">
        <f t="shared" si="244"/>
        <v>0</v>
      </c>
      <c r="BC259" s="58" t="str">
        <f t="shared" si="245"/>
        <v/>
      </c>
      <c r="BD259" s="660">
        <f t="shared" si="303"/>
        <v>0</v>
      </c>
      <c r="BE259" s="57" t="e">
        <f t="array" ref="BE259">INDEX($EB$11:$ED$1022,MATCH(F259&amp;T259,$EB$11:$EB$1007&amp;$EC$11:$EC$1007,0),3)</f>
        <v>#N/A</v>
      </c>
      <c r="BF259" s="463">
        <f t="shared" si="311"/>
        <v>0</v>
      </c>
      <c r="BG259" s="1445" t="e">
        <f t="array" ref="BG259">INDEX($DO$112:$DQ$123,MATCH(T259&amp;W259,$DO$114:$DO$125&amp;$DP$112:$DP$123,0),3)</f>
        <v>#N/A</v>
      </c>
      <c r="BH259" s="1446">
        <f t="shared" si="264"/>
        <v>0</v>
      </c>
      <c r="BI259" s="465">
        <f t="shared" si="265"/>
        <v>0</v>
      </c>
      <c r="BJ259" s="465">
        <f t="shared" si="266"/>
        <v>0</v>
      </c>
      <c r="BK259" s="466">
        <f t="shared" si="312"/>
        <v>0</v>
      </c>
      <c r="BL259" s="466">
        <f t="shared" si="313"/>
        <v>0</v>
      </c>
      <c r="BM259" s="466">
        <f t="shared" si="267"/>
        <v>0</v>
      </c>
      <c r="BN259" s="466">
        <f t="shared" si="268"/>
        <v>0</v>
      </c>
      <c r="BO259" s="463">
        <f>IF('Data Entry'!$C$74=0,0,IF(ISNA(CJ259),0,IF(AX259=0,0,IF(AND('Data Entry'!$C$74=2,AF259&gt;2,CE259&lt;1),0,IF(AND('Data Entry'!$C$74=2,AF259&gt;1,AU259=2,CJ259&gt;1),0,IF(AND(AF259=5,CT259=0.5,AU259=2,ER259&lt;100),0,IF(AND(AF259=5,CT259=0.5,AU259=3,ER259&lt;100),0,IF(AND('Data Entry'!$C$74=2,AF259=2,AU259=2,AK259&gt;0.01,CB259=2,CE259&lt;1),0,IF(AND('Data Entry'!$C$74=2,AF259=3,AU259=3,AK259&gt;0.01,CB259=3,CE259&lt;1),0,IF(AND('Data Entry'!$C$74=2,AF259=3,AU259=3,AK259&gt;0.01,CB259=3,CE259&gt;0.99),BQ259*0.08,IF(AND('Data Entry'!$C$74=2,AF259=2,AU259=2,AK259&gt;0.01,CB259=2,CE259&gt;0.99),BQ259*0.1,IF(AND(AU259=2,AK259&gt;0.01,CB259=2,CD259&gt;1),BQ259*0.1,IF(AND(AU259=3,AK259&gt;0.01,CB259=3,CD259&gt;1),BQ259*0.08,CJ259*EF259)))))))))))))</f>
        <v>0</v>
      </c>
      <c r="BP259" s="475">
        <f t="shared" si="269"/>
        <v>0</v>
      </c>
      <c r="BQ259" s="1431">
        <f>IF(AU259=1,0,IF(CH259=100,0,IF(AND(AF259=3,AU259=2),0,IF(AND(BH259=0,CT259&gt;0.4),0,IF(AND('Data Entry'!$C$74=2,AF259=1.5),0,IF(AND('Data Entry'!$C$74=2,AF259=1.6),0,IF(AND('Data Entry'!$C$74=2,AF259=4),0,IF(AND('Data Entry'!$C$74=2,AF259=5),0,IF(AND('Data Entry'!$C$74=2,AF259=2.5,CE259&lt;1),0,IF(AND('Data Entry'!$C$74=2,AF259=3,CE259&lt;1),0,IF(AND('Data Entry'!$C$74=1,AF259=2.5,CD259&lt;1),0,IF(AND('Data Entry'!$C$74=1,AF259=3,CD259&lt;1),0,IF(DX259&gt;0.01,DX259,IF(ISERROR(AX259-AY259),"",ROUND(AX259-AY259,2)))))))))))))))</f>
        <v>0</v>
      </c>
      <c r="BR259" s="146">
        <f t="shared" si="270"/>
        <v>0</v>
      </c>
      <c r="BS259" s="475">
        <f t="shared" si="271"/>
        <v>0</v>
      </c>
      <c r="BT259" s="146" t="b">
        <f t="shared" si="272"/>
        <v>0</v>
      </c>
      <c r="BU259" s="463">
        <f>IF(ISNA(AT259),0,IF(AND('Data Entry'!$C$74=2,BC259=27),0,IF(AND('Data Entry'!$C$74=2,BC259=28),0,IF(AND(BC259=27,BT259=27,CM259&gt;0.1),CM259*0.15,IF(AND(BC259=28,BT259=28,CM259&gt;0.1),CM259*0.12,0)))))</f>
        <v>0</v>
      </c>
      <c r="BV259" s="463">
        <f t="shared" si="309"/>
        <v>0</v>
      </c>
      <c r="BW259" s="463">
        <f t="shared" si="273"/>
        <v>0</v>
      </c>
      <c r="BX259" s="463">
        <f t="shared" si="274"/>
        <v>0</v>
      </c>
      <c r="BY259" s="463">
        <f t="shared" si="275"/>
        <v>0</v>
      </c>
      <c r="BZ259" s="463">
        <f t="shared" si="276"/>
        <v>0</v>
      </c>
      <c r="CA259" s="57">
        <f t="shared" si="304"/>
        <v>0</v>
      </c>
      <c r="CB259" s="56">
        <f t="shared" si="277"/>
        <v>1</v>
      </c>
      <c r="CC259" s="756">
        <f>IF(EE259=0,0,IF(EF259=0,0,IF(EE259&gt;AA259,0,IF(AND(AZ259&gt;AW259,AW259&gt;0),0,IF(CU259=0,0,Summary!AC562)))))</f>
        <v>0</v>
      </c>
      <c r="CD259" s="756">
        <f>IF(EE259=0,0,IF(EF259=0,0,IF(EE259&gt;AA259,0,IF(AND(AZ259&gt;AW259,AW259&gt;0),0,IF(CU259=0,0,Summary!AD562)))))</f>
        <v>0</v>
      </c>
      <c r="CE259" s="756">
        <f>IF(EF259=0,0,IF(EE259&gt;AA259,0,IF(CC259=0,0,IF(AND(AZ259&gt;AW259,AW259&gt;0),0,IF(CU259=0,0,Summary!AE562)))))</f>
        <v>0</v>
      </c>
      <c r="CF259" s="475">
        <f t="shared" si="278"/>
        <v>0</v>
      </c>
      <c r="CG259" s="476">
        <f t="shared" si="246"/>
        <v>0</v>
      </c>
      <c r="CH259" s="487">
        <f t="shared" si="279"/>
        <v>0</v>
      </c>
      <c r="CI259" s="756">
        <f t="shared" si="280"/>
        <v>0</v>
      </c>
      <c r="CJ259" s="487">
        <f>IF(CT259&gt;0.4,0,IF(AND(AU259=2,CH259=0,CT259=0.5,ER259=100),35,IF(AND(AU259=3,BB259&gt;75,CH259=0,CT259=0.5,ER259=100),25,IF(CB259&gt;1,0,IF(EF259&gt;EE259,0,IF(AND(AF259&gt;1,CH259=100),0,IF(AND(AF259=1,AY259=0),0,IF(AND(EF259&lt;=EE259,AW259&gt;=AZ259,'Data Entry'!$C$74=1,AU259=2),VLOOKUP(W259,$DO$96:$DP$102,2,FALSE),IF(AND(EF259&lt;=EE259,AW259&gt;=AZ259,AU259=3,'Data Entry'!$C$74=1),VLOOKUP(W259,$DO$127:$DP$134,2,FALSE))))))))))</f>
        <v>0</v>
      </c>
      <c r="CK259" s="716">
        <f t="shared" si="281"/>
        <v>0</v>
      </c>
      <c r="CL259" s="57">
        <f t="shared" si="282"/>
        <v>0</v>
      </c>
      <c r="CM259" s="475">
        <f t="shared" si="308"/>
        <v>0</v>
      </c>
      <c r="CN259" s="660">
        <f>IF(CM259&lt;0.1,0,IF(ISNA(AT259),0,IF(CL259+BC259=1,0,IF(BV259&gt;0.01,0,IF(CL259&gt;0.01,0,IF(CF259=1,0,IF(BC259=0.5,0,IF(AND(CI259=1,AU259=3),0,IF(AND(CI259=5,CL259=0),0,IF(AND(R259=12,BR259=50),0,IF(CK259&gt;0.01,0,IF(AND(AJ259&gt;0.01,AU259=2,BC259=15),CM259*0.1,IF(AND(AJ259&gt;0.01,AU259=3,BC259=15),CM259*0.08,IF(AND(R259=12,BC259=3,AF259&lt;=0),0,IF(AND(BC259=15,BI259=0),0,IF(AND(BC259=15,BJ259=0),0,IF(AND(R259=20,CU259=0),0,IF($X$4=0,0,IF(AND(BC259=250,CL259=0),0,IF(AA259&lt;1,0,IF(AND(ISNUMBER(SEARCH("Area",T259)),AU259=3),0,IF(AND(AQ259&gt;0.01,AR259=0,BK259=0,BL259=0,BM259=0,BN259=0),0,IF(AND(AU259=3,CI259=7,CT259&gt;0.5),0,IF(AND(BC259=44,AU259=3,BY259=0),0,IF(AND(BC259=27,'Data Entry'!$C$74=2),0,IF(AND(BC259=28,'Data Entry'!$C$74=2),0,IF(AND(BY259+BZ259+CA259&gt;0.01,BV259=0,EQ259+ER259+ES259+ET259&lt;100),0,IF(AU259=3,CM259*0.08,IF(AU259=2,CM259*0.1,0)))))))))))))))))))))))))))))</f>
        <v>0</v>
      </c>
      <c r="CO259" s="660">
        <f t="shared" si="283"/>
        <v>0</v>
      </c>
      <c r="CP259" s="475" t="str">
        <f t="shared" si="284"/>
        <v/>
      </c>
      <c r="CQ259" s="161" t="str">
        <f>IF(AH259=0,0,IF(AU259=5,0,Summary!AC262))</f>
        <v/>
      </c>
      <c r="CR259" s="161" t="str">
        <f>IF(BF259=0.5,0,IF(AU259=5,0,Summary!AD262))</f>
        <v/>
      </c>
      <c r="CS259" s="161" t="str">
        <f>IF(AU259=5,0,Summary!AE262)</f>
        <v/>
      </c>
      <c r="CT259" s="161">
        <f t="shared" si="285"/>
        <v>0</v>
      </c>
      <c r="CU259" s="475" t="str">
        <f t="shared" si="286"/>
        <v/>
      </c>
      <c r="CV259" s="307">
        <f>IF('Data Entry'!$C$74=0,0,IF(AA259&lt;1,0,IF(ISERROR(CU259),0,IF(CF259=1,0,IF(AND(R259=12,BR259=50),0,IF(CL259+BO259+BV259+DC259=0,0,IF(BC259=37,0,IF(AND(BC259=40,AJ259=0),0,IF(AND(BC259=37,BO259&gt;0.01,BQ259&gt;0.01),ROUND(BQ259,0),IF(CM259&lt;0,0,ROUND(CM259,0)))))))))))</f>
        <v>0</v>
      </c>
      <c r="CW259" s="700">
        <f t="shared" si="287"/>
        <v>0</v>
      </c>
      <c r="CX259" s="477">
        <f>IF('Data Entry'!$C$74=0,0,IF(CV259&lt;0.01,0,IF(BF259=0.5,0,IF(CF259=1,0,IF(ISNUMBER(SEARCH("false",CL259)),0,IF(AZ259=500,0,CL259))))))</f>
        <v>0</v>
      </c>
      <c r="CY259" s="147" t="e">
        <f t="shared" si="288"/>
        <v>#VALUE!</v>
      </c>
      <c r="CZ259" s="147" t="b">
        <f>IF(CN259+CL259=0,FALSE,IF(AH259=0,0,IF(AND('Data Entry'!$C$74=1,CR259&gt;=1),TRUE,IF(AND('Data Entry'!$C$74=2,CS259&gt;=1),TRUE,FALSE))))</f>
        <v>0</v>
      </c>
      <c r="DA259" s="1751">
        <f>IF('Data Entry'!$C$74=0,0,IFERROR(ROUND(IF(T259="","",IF($X$4=0,0,IF(CF259=1,0,IF(BQ259+CV259=0,0,IF(CF259=1,0,IF(CY259&gt;0.01,CY259,IF(CL259&gt;0.01,CL259,IF(CY259&gt;0.01,CY259,IF(BC259=37,BO259,IF(CZ259=FALSE,0,IF(CZ259=TRUE,DC259+DF259,0))))))))))),2),""))</f>
        <v>0</v>
      </c>
      <c r="DB259" s="1752"/>
      <c r="DC259" s="474">
        <f>IF(CN259&lt;0.01,0,IF(AND(BR259=3,CN259&gt;0.01,CT259&gt;0.6,ER259+ES259+ET259&lt;100),0,IF(AND('Data Entry'!$C$74=1,CN259&gt;0.01,CR259&gt;0.99),MIN(CN259:CO259),IF(AND('Data Entry'!$C$74=2,CN259&gt;0.01,CS259&gt;0.99),MIN(CN259:CO259),0))))</f>
        <v>0</v>
      </c>
      <c r="DD259" s="478">
        <f>IF(CF259=1,"Selection does not match",IF(T259=0,0,IF(AND('Data Entry'!$C$74=0,CP259&gt;1),"Select Oregon or Idaho on Data Entry Tab",IF(AND(AU259=1,AA259&gt;0.9),"Missing Interior or Exterior Selection",IF($X$4=0,"Enter Total Project Cost",IF(AQ259&lt;AR259,"Insufficient kWh savings – no incentive",IF(AND(SUM(CL259+CK259+BV259)&gt;0.01,'Data Entry'!$C$74=2,CJ259&gt;1,BO259=0),"Submit Control as Non-Standard",IF(AND('Data Entry'!$C$74=2,BR259=37,CJ259&gt;1,BO259=0),"Submit Control as Non-Standard",IF(SUM(CL259+CK259+BV259)&gt;0.01,"Standard Incentive",IF(AND('Data Entry'!$C$74=2,CP259=7,CN259=0),"Submit as Non-Standard",IF(DC259&gt;0.9,"Non-Standard Incentive",IF(AND(BY259+BZ259+CA259&gt;0.01,BV259=0,EQ259=0,ER259=0,ES259=0,ET259=0),"Scroll Right &amp; Select Control Strategies",IF(AND(CN259&gt;0.01,CO259=0),"Enter Unit Installed Cost",IF(ISNUMBER(SEARCH("Lighting Controls Only",F259)),"Lighting Controls Only",IF(CL259+DC259=0,"Does not meet incentive criteria",0)))))))))))))))</f>
        <v>0</v>
      </c>
      <c r="DE259" s="337">
        <f t="shared" si="289"/>
        <v>0</v>
      </c>
      <c r="DF259" s="609">
        <f t="shared" si="290"/>
        <v>0</v>
      </c>
      <c r="DG259" s="336" t="str">
        <f t="shared" si="291"/>
        <v/>
      </c>
      <c r="DH259" s="338">
        <f t="shared" si="292"/>
        <v>1</v>
      </c>
      <c r="DI259" s="336" t="e">
        <f t="shared" si="247"/>
        <v>#VALUE!</v>
      </c>
      <c r="DJ259" s="338">
        <f t="shared" si="248"/>
        <v>0</v>
      </c>
      <c r="DO259" s="81"/>
      <c r="DP259" s="81"/>
      <c r="DQ259" s="81"/>
      <c r="DR259" s="81"/>
      <c r="DS259" s="1195">
        <f t="shared" si="293"/>
        <v>0</v>
      </c>
      <c r="DT259" s="344" t="b">
        <f t="shared" si="294"/>
        <v>1</v>
      </c>
      <c r="DU259" s="1314" t="str">
        <f t="array" ref="DU259">IF(OR(COUNTIF(F259,"*"&amp;$DK$9:$DK$178&amp;"*")), "Yes", "")</f>
        <v/>
      </c>
      <c r="DV259" s="1314">
        <f t="shared" si="295"/>
        <v>0</v>
      </c>
      <c r="DW259" s="1480">
        <f t="shared" si="296"/>
        <v>0</v>
      </c>
      <c r="DX259" s="1498">
        <f t="shared" si="305"/>
        <v>0</v>
      </c>
      <c r="DY259" s="1484">
        <f t="shared" si="297"/>
        <v>0</v>
      </c>
      <c r="DZ259" s="331"/>
      <c r="EA259" s="392"/>
      <c r="EB259" s="1499" t="s">
        <v>1292</v>
      </c>
      <c r="EC259" s="727" t="s">
        <v>1569</v>
      </c>
      <c r="ED259" s="728">
        <v>0.5</v>
      </c>
      <c r="EE259" s="1215"/>
      <c r="EF259" s="1215"/>
      <c r="EG259" s="1184" t="str">
        <f t="shared" si="298"/>
        <v/>
      </c>
      <c r="EJ259" s="1185">
        <f t="shared" si="249"/>
        <v>0</v>
      </c>
      <c r="EK259" s="1211"/>
      <c r="EL259" s="1180">
        <f t="shared" si="250"/>
        <v>0</v>
      </c>
      <c r="EM259" s="206"/>
      <c r="EN259" s="1038"/>
      <c r="EO259" s="1038"/>
      <c r="EP259" s="1038"/>
      <c r="EQ259" s="1038">
        <f t="shared" si="299"/>
        <v>0</v>
      </c>
      <c r="ER259" s="1041">
        <f t="shared" si="300"/>
        <v>0</v>
      </c>
      <c r="ES259" s="1042">
        <f t="shared" si="301"/>
        <v>0</v>
      </c>
      <c r="ET259" s="1042">
        <f t="shared" si="306"/>
        <v>0</v>
      </c>
      <c r="EU259" s="1021">
        <f t="shared" si="307"/>
        <v>0</v>
      </c>
      <c r="EV259" s="368"/>
      <c r="EW259" s="368"/>
      <c r="EX259" s="369"/>
      <c r="EY259" s="370"/>
      <c r="EZ259" s="370"/>
      <c r="FA259" s="371"/>
      <c r="FB259" s="372"/>
    </row>
    <row r="260" spans="1:158" ht="34.5" customHeight="1">
      <c r="A260" s="82">
        <v>252</v>
      </c>
      <c r="B260" s="1806"/>
      <c r="C260" s="1807"/>
      <c r="D260" s="1807"/>
      <c r="E260" s="1808"/>
      <c r="F260" s="1809"/>
      <c r="G260" s="1810"/>
      <c r="H260" s="1810"/>
      <c r="I260" s="1811"/>
      <c r="J260" s="1301"/>
      <c r="K260" s="1814"/>
      <c r="L260" s="1814"/>
      <c r="M260" s="1017"/>
      <c r="N260" s="1584"/>
      <c r="O260" s="208" t="str">
        <f t="shared" si="237"/>
        <v/>
      </c>
      <c r="P260" s="785"/>
      <c r="Q260" s="39" t="str">
        <f t="shared" si="238"/>
        <v/>
      </c>
      <c r="R260" s="39">
        <f t="shared" si="251"/>
        <v>0</v>
      </c>
      <c r="S260" s="234">
        <f t="shared" si="252"/>
        <v>0</v>
      </c>
      <c r="T260" s="1815"/>
      <c r="U260" s="1815"/>
      <c r="V260" s="1815"/>
      <c r="W260" s="1121"/>
      <c r="X260" s="1812"/>
      <c r="Y260" s="1813"/>
      <c r="Z260" s="703"/>
      <c r="AA260" s="1280"/>
      <c r="AB260" s="1141"/>
      <c r="AC260" s="1103" t="str">
        <f>IF(T260="","",VLOOKUP(Z260,Lists!$A$60:$B$111,2,FALSE))</f>
        <v/>
      </c>
      <c r="AD260" s="130" t="str">
        <f t="shared" si="253"/>
        <v/>
      </c>
      <c r="AE260" s="130" t="e">
        <f t="shared" si="254"/>
        <v>#VALUE!</v>
      </c>
      <c r="AF260" s="130">
        <f t="shared" si="255"/>
        <v>1</v>
      </c>
      <c r="AG260" s="234">
        <f t="shared" si="239"/>
        <v>0</v>
      </c>
      <c r="AH260" s="1753" t="str">
        <f>IF(T260="","",(IF(ISNUMBER(SEARCH("exit",T260)),8760,IF(AND(M260="Dusk to Dawn",'Proposed Lighting'!AU260=3),4059,IF(AND(AU260=3,M260="1"),0,IF(AND(AU260=3,M260="1-C"),0,IF(AND(AU260=3,M260="2"),0,IF(AND(AU260=3,M260="2-C"),0,IF(AND(AU260=3,M260="3"),0,IF(AND(AU260=3,M260="3-C"),0,IF(AND(AU260=2,M260="Dusk to Dawn"),0,IF(AND(AU260=2,M260="Dusk to Dawn-C"),0,IF(AND(AU260=2,M260="Dusk to Dawn"),0,IF(AND(AU260=2,M260="E"),0,IF(AND(AU260=2,M260="E-C"),0,EG260)))))))))))))))</f>
        <v/>
      </c>
      <c r="AI260" s="1754"/>
      <c r="AJ260" s="1136"/>
      <c r="AK260" s="1136"/>
      <c r="AL260" s="1748">
        <f t="shared" si="256"/>
        <v>0</v>
      </c>
      <c r="AM260" s="1749"/>
      <c r="AN260" s="1750"/>
      <c r="AO260" s="476">
        <f t="shared" si="240"/>
        <v>0</v>
      </c>
      <c r="AP260" s="476">
        <f t="shared" si="257"/>
        <v>0</v>
      </c>
      <c r="AQ260" s="475">
        <f t="shared" si="241"/>
        <v>0</v>
      </c>
      <c r="AR260" s="475">
        <f t="shared" si="258"/>
        <v>0</v>
      </c>
      <c r="AS260" s="743" t="str">
        <f t="shared" si="310"/>
        <v/>
      </c>
      <c r="AT260" s="736" t="str">
        <f t="shared" si="259"/>
        <v/>
      </c>
      <c r="AU260" s="56">
        <f t="shared" si="260"/>
        <v>1</v>
      </c>
      <c r="AV260" s="476">
        <f t="shared" si="261"/>
        <v>0</v>
      </c>
      <c r="AW260" s="56">
        <f t="shared" si="262"/>
        <v>0</v>
      </c>
      <c r="AX260" s="475">
        <f t="shared" si="242"/>
        <v>0</v>
      </c>
      <c r="AY260" s="1169">
        <f t="shared" si="263"/>
        <v>0</v>
      </c>
      <c r="AZ260" s="1150">
        <f t="shared" si="302"/>
        <v>0</v>
      </c>
      <c r="BA260" s="56">
        <f t="shared" si="243"/>
        <v>0</v>
      </c>
      <c r="BB260" s="420">
        <f t="shared" si="244"/>
        <v>0</v>
      </c>
      <c r="BC260" s="58" t="str">
        <f t="shared" si="245"/>
        <v/>
      </c>
      <c r="BD260" s="660">
        <f t="shared" si="303"/>
        <v>0</v>
      </c>
      <c r="BE260" s="57" t="e">
        <f t="array" ref="BE260">INDEX($EB$11:$ED$1022,MATCH(F260&amp;T260,$EB$11:$EB$1007&amp;$EC$11:$EC$1007,0),3)</f>
        <v>#N/A</v>
      </c>
      <c r="BF260" s="463">
        <f t="shared" si="311"/>
        <v>0</v>
      </c>
      <c r="BG260" s="1445" t="e">
        <f t="array" ref="BG260">INDEX($DO$112:$DQ$123,MATCH(T260&amp;W260,$DO$114:$DO$125&amp;$DP$112:$DP$123,0),3)</f>
        <v>#N/A</v>
      </c>
      <c r="BH260" s="1446">
        <f t="shared" si="264"/>
        <v>0</v>
      </c>
      <c r="BI260" s="465">
        <f t="shared" si="265"/>
        <v>0</v>
      </c>
      <c r="BJ260" s="465">
        <f t="shared" si="266"/>
        <v>0</v>
      </c>
      <c r="BK260" s="466">
        <f t="shared" si="312"/>
        <v>0</v>
      </c>
      <c r="BL260" s="466">
        <f t="shared" si="313"/>
        <v>0</v>
      </c>
      <c r="BM260" s="466">
        <f t="shared" si="267"/>
        <v>0</v>
      </c>
      <c r="BN260" s="466">
        <f t="shared" si="268"/>
        <v>0</v>
      </c>
      <c r="BO260" s="463">
        <f>IF('Data Entry'!$C$74=0,0,IF(ISNA(CJ260),0,IF(AX260=0,0,IF(AND('Data Entry'!$C$74=2,AF260&gt;2,CE260&lt;1),0,IF(AND('Data Entry'!$C$74=2,AF260&gt;1,AU260=2,CJ260&gt;1),0,IF(AND(AF260=5,CT260=0.5,AU260=2,ER260&lt;100),0,IF(AND(AF260=5,CT260=0.5,AU260=3,ER260&lt;100),0,IF(AND('Data Entry'!$C$74=2,AF260=2,AU260=2,AK260&gt;0.01,CB260=2,CE260&lt;1),0,IF(AND('Data Entry'!$C$74=2,AF260=3,AU260=3,AK260&gt;0.01,CB260=3,CE260&lt;1),0,IF(AND('Data Entry'!$C$74=2,AF260=3,AU260=3,AK260&gt;0.01,CB260=3,CE260&gt;0.99),BQ260*0.08,IF(AND('Data Entry'!$C$74=2,AF260=2,AU260=2,AK260&gt;0.01,CB260=2,CE260&gt;0.99),BQ260*0.1,IF(AND(AU260=2,AK260&gt;0.01,CB260=2,CD260&gt;1),BQ260*0.1,IF(AND(AU260=3,AK260&gt;0.01,CB260=3,CD260&gt;1),BQ260*0.08,CJ260*EF260)))))))))))))</f>
        <v>0</v>
      </c>
      <c r="BP260" s="475">
        <f t="shared" si="269"/>
        <v>0</v>
      </c>
      <c r="BQ260" s="1431">
        <f>IF(AU260=1,0,IF(CH260=100,0,IF(AND(AF260=3,AU260=2),0,IF(AND(BH260=0,CT260&gt;0.4),0,IF(AND('Data Entry'!$C$74=2,AF260=1.5),0,IF(AND('Data Entry'!$C$74=2,AF260=1.6),0,IF(AND('Data Entry'!$C$74=2,AF260=4),0,IF(AND('Data Entry'!$C$74=2,AF260=5),0,IF(AND('Data Entry'!$C$74=2,AF260=2.5,CE260&lt;1),0,IF(AND('Data Entry'!$C$74=2,AF260=3,CE260&lt;1),0,IF(AND('Data Entry'!$C$74=1,AF260=2.5,CD260&lt;1),0,IF(AND('Data Entry'!$C$74=1,AF260=3,CD260&lt;1),0,IF(DX260&gt;0.01,DX260,IF(ISERROR(AX260-AY260),"",ROUND(AX260-AY260,2)))))))))))))))</f>
        <v>0</v>
      </c>
      <c r="BR260" s="146">
        <f t="shared" si="270"/>
        <v>0</v>
      </c>
      <c r="BS260" s="475">
        <f t="shared" si="271"/>
        <v>0</v>
      </c>
      <c r="BT260" s="146" t="b">
        <f t="shared" si="272"/>
        <v>0</v>
      </c>
      <c r="BU260" s="463">
        <f>IF(ISNA(AT260),0,IF(AND('Data Entry'!$C$74=2,BC260=27),0,IF(AND('Data Entry'!$C$74=2,BC260=28),0,IF(AND(BC260=27,BT260=27,CM260&gt;0.1),CM260*0.15,IF(AND(BC260=28,BT260=28,CM260&gt;0.1),CM260*0.12,0)))))</f>
        <v>0</v>
      </c>
      <c r="BV260" s="463">
        <f t="shared" si="309"/>
        <v>0</v>
      </c>
      <c r="BW260" s="463">
        <f t="shared" si="273"/>
        <v>0</v>
      </c>
      <c r="BX260" s="463">
        <f t="shared" si="274"/>
        <v>0</v>
      </c>
      <c r="BY260" s="463">
        <f t="shared" si="275"/>
        <v>0</v>
      </c>
      <c r="BZ260" s="463">
        <f t="shared" si="276"/>
        <v>0</v>
      </c>
      <c r="CA260" s="57">
        <f t="shared" si="304"/>
        <v>0</v>
      </c>
      <c r="CB260" s="56">
        <f t="shared" si="277"/>
        <v>1</v>
      </c>
      <c r="CC260" s="756">
        <f>IF(EE260=0,0,IF(EF260=0,0,IF(EE260&gt;AA260,0,IF(AND(AZ260&gt;AW260,AW260&gt;0),0,IF(CU260=0,0,Summary!AC563)))))</f>
        <v>0</v>
      </c>
      <c r="CD260" s="756">
        <f>IF(EE260=0,0,IF(EF260=0,0,IF(EE260&gt;AA260,0,IF(AND(AZ260&gt;AW260,AW260&gt;0),0,IF(CU260=0,0,Summary!AD563)))))</f>
        <v>0</v>
      </c>
      <c r="CE260" s="756">
        <f>IF(EF260=0,0,IF(EE260&gt;AA260,0,IF(CC260=0,0,IF(AND(AZ260&gt;AW260,AW260&gt;0),0,IF(CU260=0,0,Summary!AE563)))))</f>
        <v>0</v>
      </c>
      <c r="CF260" s="475">
        <f t="shared" si="278"/>
        <v>0</v>
      </c>
      <c r="CG260" s="476">
        <f t="shared" si="246"/>
        <v>0</v>
      </c>
      <c r="CH260" s="487">
        <f t="shared" si="279"/>
        <v>0</v>
      </c>
      <c r="CI260" s="756">
        <f t="shared" si="280"/>
        <v>0</v>
      </c>
      <c r="CJ260" s="487">
        <f>IF(CT260&gt;0.4,0,IF(AND(AU260=2,CH260=0,CT260=0.5,ER260=100),35,IF(AND(AU260=3,BB260&gt;75,CH260=0,CT260=0.5,ER260=100),25,IF(CB260&gt;1,0,IF(EF260&gt;EE260,0,IF(AND(AF260&gt;1,CH260=100),0,IF(AND(AF260=1,AY260=0),0,IF(AND(EF260&lt;=EE260,AW260&gt;=AZ260,'Data Entry'!$C$74=1,AU260=2),VLOOKUP(W260,$DO$96:$DP$102,2,FALSE),IF(AND(EF260&lt;=EE260,AW260&gt;=AZ260,AU260=3,'Data Entry'!$C$74=1),VLOOKUP(W260,$DO$127:$DP$134,2,FALSE))))))))))</f>
        <v>0</v>
      </c>
      <c r="CK260" s="716">
        <f t="shared" si="281"/>
        <v>0</v>
      </c>
      <c r="CL260" s="57">
        <f t="shared" si="282"/>
        <v>0</v>
      </c>
      <c r="CM260" s="475">
        <f t="shared" si="308"/>
        <v>0</v>
      </c>
      <c r="CN260" s="660">
        <f>IF(CM260&lt;0.1,0,IF(ISNA(AT260),0,IF(CL260+BC260=1,0,IF(BV260&gt;0.01,0,IF(CL260&gt;0.01,0,IF(CF260=1,0,IF(BC260=0.5,0,IF(AND(CI260=1,AU260=3),0,IF(AND(CI260=5,CL260=0),0,IF(AND(R260=12,BR260=50),0,IF(CK260&gt;0.01,0,IF(AND(AJ260&gt;0.01,AU260=2,BC260=15),CM260*0.1,IF(AND(AJ260&gt;0.01,AU260=3,BC260=15),CM260*0.08,IF(AND(R260=12,BC260=3,AF260&lt;=0),0,IF(AND(BC260=15,BI260=0),0,IF(AND(BC260=15,BJ260=0),0,IF(AND(R260=20,CU260=0),0,IF($X$4=0,0,IF(AND(BC260=250,CL260=0),0,IF(AA260&lt;1,0,IF(AND(ISNUMBER(SEARCH("Area",T260)),AU260=3),0,IF(AND(AQ260&gt;0.01,AR260=0,BK260=0,BL260=0,BM260=0,BN260=0),0,IF(AND(AU260=3,CI260=7,CT260&gt;0.5),0,IF(AND(BC260=44,AU260=3,BY260=0),0,IF(AND(BC260=27,'Data Entry'!$C$74=2),0,IF(AND(BC260=28,'Data Entry'!$C$74=2),0,IF(AND(BY260+BZ260+CA260&gt;0.01,BV260=0,EQ260+ER260+ES260+ET260&lt;100),0,IF(AU260=3,CM260*0.08,IF(AU260=2,CM260*0.1,0)))))))))))))))))))))))))))))</f>
        <v>0</v>
      </c>
      <c r="CO260" s="660">
        <f t="shared" si="283"/>
        <v>0</v>
      </c>
      <c r="CP260" s="475" t="str">
        <f t="shared" si="284"/>
        <v/>
      </c>
      <c r="CQ260" s="161" t="str">
        <f>IF(AH260=0,0,IF(AU260=5,0,Summary!AC263))</f>
        <v/>
      </c>
      <c r="CR260" s="161" t="str">
        <f>IF(BF260=0.5,0,IF(AU260=5,0,Summary!AD263))</f>
        <v/>
      </c>
      <c r="CS260" s="161" t="str">
        <f>IF(AU260=5,0,Summary!AE263)</f>
        <v/>
      </c>
      <c r="CT260" s="161">
        <f t="shared" si="285"/>
        <v>0</v>
      </c>
      <c r="CU260" s="475" t="str">
        <f t="shared" si="286"/>
        <v/>
      </c>
      <c r="CV260" s="307">
        <f>IF('Data Entry'!$C$74=0,0,IF(AA260&lt;1,0,IF(ISERROR(CU260),0,IF(CF260=1,0,IF(AND(R260=12,BR260=50),0,IF(CL260+BO260+BV260+DC260=0,0,IF(BC260=37,0,IF(AND(BC260=40,AJ260=0),0,IF(AND(BC260=37,BO260&gt;0.01,BQ260&gt;0.01),ROUND(BQ260,0),IF(CM260&lt;0,0,ROUND(CM260,0)))))))))))</f>
        <v>0</v>
      </c>
      <c r="CW260" s="700">
        <f t="shared" si="287"/>
        <v>0</v>
      </c>
      <c r="CX260" s="477">
        <f>IF('Data Entry'!$C$74=0,0,IF(CV260&lt;0.01,0,IF(BF260=0.5,0,IF(CF260=1,0,IF(ISNUMBER(SEARCH("false",CL260)),0,IF(AZ260=500,0,CL260))))))</f>
        <v>0</v>
      </c>
      <c r="CY260" s="147" t="e">
        <f t="shared" si="288"/>
        <v>#VALUE!</v>
      </c>
      <c r="CZ260" s="147" t="b">
        <f>IF(CN260+CL260=0,FALSE,IF(AH260=0,0,IF(AND('Data Entry'!$C$74=1,CR260&gt;=1),TRUE,IF(AND('Data Entry'!$C$74=2,CS260&gt;=1),TRUE,FALSE))))</f>
        <v>0</v>
      </c>
      <c r="DA260" s="1751">
        <f>IF('Data Entry'!$C$74=0,0,IFERROR(ROUND(IF(T260="","",IF($X$4=0,0,IF(CF260=1,0,IF(BQ260+CV260=0,0,IF(CF260=1,0,IF(CY260&gt;0.01,CY260,IF(CL260&gt;0.01,CL260,IF(CY260&gt;0.01,CY260,IF(BC260=37,BO260,IF(CZ260=FALSE,0,IF(CZ260=TRUE,DC260+DF260,0))))))))))),2),""))</f>
        <v>0</v>
      </c>
      <c r="DB260" s="1752"/>
      <c r="DC260" s="474">
        <f>IF(CN260&lt;0.01,0,IF(AND(BR260=3,CN260&gt;0.01,CT260&gt;0.6,ER260+ES260+ET260&lt;100),0,IF(AND('Data Entry'!$C$74=1,CN260&gt;0.01,CR260&gt;0.99),MIN(CN260:CO260),IF(AND('Data Entry'!$C$74=2,CN260&gt;0.01,CS260&gt;0.99),MIN(CN260:CO260),0))))</f>
        <v>0</v>
      </c>
      <c r="DD260" s="478">
        <f>IF(CF260=1,"Selection does not match",IF(T260=0,0,IF(AND('Data Entry'!$C$74=0,CP260&gt;1),"Select Oregon or Idaho on Data Entry Tab",IF(AND(AU260=1,AA260&gt;0.9),"Missing Interior or Exterior Selection",IF($X$4=0,"Enter Total Project Cost",IF(AQ260&lt;AR260,"Insufficient kWh savings – no incentive",IF(AND(SUM(CL260+CK260+BV260)&gt;0.01,'Data Entry'!$C$74=2,CJ260&gt;1,BO260=0),"Submit Control as Non-Standard",IF(AND('Data Entry'!$C$74=2,BR260=37,CJ260&gt;1,BO260=0),"Submit Control as Non-Standard",IF(SUM(CL260+CK260+BV260)&gt;0.01,"Standard Incentive",IF(AND('Data Entry'!$C$74=2,CP260=7,CN260=0),"Submit as Non-Standard",IF(DC260&gt;0.9,"Non-Standard Incentive",IF(AND(BY260+BZ260+CA260&gt;0.01,BV260=0,EQ260=0,ER260=0,ES260=0,ET260=0),"Scroll Right &amp; Select Control Strategies",IF(AND(CN260&gt;0.01,CO260=0),"Enter Unit Installed Cost",IF(ISNUMBER(SEARCH("Lighting Controls Only",F260)),"Lighting Controls Only",IF(CL260+DC260=0,"Does not meet incentive criteria",0)))))))))))))))</f>
        <v>0</v>
      </c>
      <c r="DE260" s="337">
        <f t="shared" si="289"/>
        <v>0</v>
      </c>
      <c r="DF260" s="609">
        <f t="shared" si="290"/>
        <v>0</v>
      </c>
      <c r="DG260" s="336" t="str">
        <f t="shared" si="291"/>
        <v/>
      </c>
      <c r="DH260" s="338">
        <f t="shared" si="292"/>
        <v>1</v>
      </c>
      <c r="DI260" s="336" t="e">
        <f t="shared" si="247"/>
        <v>#VALUE!</v>
      </c>
      <c r="DJ260" s="338">
        <f t="shared" si="248"/>
        <v>0</v>
      </c>
      <c r="DO260" s="81"/>
      <c r="DP260" s="81"/>
      <c r="DQ260" s="81"/>
      <c r="DR260" s="81"/>
      <c r="DS260" s="1195">
        <f t="shared" si="293"/>
        <v>0</v>
      </c>
      <c r="DT260" s="344" t="b">
        <f t="shared" si="294"/>
        <v>1</v>
      </c>
      <c r="DU260" s="1314" t="str">
        <f t="array" ref="DU260">IF(OR(COUNTIF(F260,"*"&amp;$DK$9:$DK$178&amp;"*")), "Yes", "")</f>
        <v/>
      </c>
      <c r="DV260" s="1314">
        <f t="shared" si="295"/>
        <v>0</v>
      </c>
      <c r="DW260" s="1480">
        <f t="shared" si="296"/>
        <v>0</v>
      </c>
      <c r="DX260" s="1498">
        <f t="shared" si="305"/>
        <v>0</v>
      </c>
      <c r="DY260" s="1484">
        <f t="shared" si="297"/>
        <v>0</v>
      </c>
      <c r="DZ260" s="331"/>
      <c r="EA260" s="392"/>
      <c r="EB260" s="1499" t="s">
        <v>1293</v>
      </c>
      <c r="EC260" s="727" t="s">
        <v>1569</v>
      </c>
      <c r="ED260" s="728">
        <v>0.5</v>
      </c>
      <c r="EE260" s="1215"/>
      <c r="EF260" s="1215"/>
      <c r="EG260" s="1184" t="str">
        <f t="shared" si="298"/>
        <v/>
      </c>
      <c r="EJ260" s="1185">
        <f t="shared" si="249"/>
        <v>0</v>
      </c>
      <c r="EK260" s="1211"/>
      <c r="EL260" s="1180">
        <f t="shared" si="250"/>
        <v>0</v>
      </c>
      <c r="EM260" s="206"/>
      <c r="EN260" s="1038"/>
      <c r="EO260" s="1038"/>
      <c r="EP260" s="1038"/>
      <c r="EQ260" s="1038">
        <f t="shared" si="299"/>
        <v>0</v>
      </c>
      <c r="ER260" s="1041">
        <f t="shared" si="300"/>
        <v>0</v>
      </c>
      <c r="ES260" s="1042">
        <f t="shared" si="301"/>
        <v>0</v>
      </c>
      <c r="ET260" s="1042">
        <f t="shared" si="306"/>
        <v>0</v>
      </c>
      <c r="EU260" s="1021">
        <f t="shared" si="307"/>
        <v>0</v>
      </c>
      <c r="EV260" s="368"/>
      <c r="EW260" s="368"/>
      <c r="EX260" s="369"/>
      <c r="EY260" s="370"/>
      <c r="EZ260" s="370"/>
      <c r="FA260" s="371"/>
      <c r="FB260" s="372"/>
    </row>
    <row r="261" spans="1:158" ht="34.5" customHeight="1">
      <c r="A261" s="82">
        <v>253</v>
      </c>
      <c r="B261" s="1806"/>
      <c r="C261" s="1807"/>
      <c r="D261" s="1807"/>
      <c r="E261" s="1808"/>
      <c r="F261" s="1809"/>
      <c r="G261" s="1810"/>
      <c r="H261" s="1810"/>
      <c r="I261" s="1811"/>
      <c r="J261" s="1301"/>
      <c r="K261" s="1814"/>
      <c r="L261" s="1814"/>
      <c r="M261" s="1017"/>
      <c r="N261" s="1584"/>
      <c r="O261" s="208" t="str">
        <f t="shared" si="237"/>
        <v/>
      </c>
      <c r="P261" s="785"/>
      <c r="Q261" s="39" t="str">
        <f t="shared" si="238"/>
        <v/>
      </c>
      <c r="R261" s="39">
        <f t="shared" si="251"/>
        <v>0</v>
      </c>
      <c r="S261" s="234">
        <f t="shared" si="252"/>
        <v>0</v>
      </c>
      <c r="T261" s="1815"/>
      <c r="U261" s="1815"/>
      <c r="V261" s="1815"/>
      <c r="W261" s="1121"/>
      <c r="X261" s="1812"/>
      <c r="Y261" s="1813"/>
      <c r="Z261" s="703"/>
      <c r="AA261" s="1280"/>
      <c r="AB261" s="1141"/>
      <c r="AC261" s="1103" t="str">
        <f>IF(T261="","",VLOOKUP(Z261,Lists!$A$60:$B$111,2,FALSE))</f>
        <v/>
      </c>
      <c r="AD261" s="130" t="str">
        <f t="shared" si="253"/>
        <v/>
      </c>
      <c r="AE261" s="130" t="e">
        <f t="shared" si="254"/>
        <v>#VALUE!</v>
      </c>
      <c r="AF261" s="130">
        <f t="shared" si="255"/>
        <v>1</v>
      </c>
      <c r="AG261" s="234">
        <f t="shared" si="239"/>
        <v>0</v>
      </c>
      <c r="AH261" s="1753" t="str">
        <f>IF(T261="","",(IF(ISNUMBER(SEARCH("exit",T261)),8760,IF(AND(M261="Dusk to Dawn",'Proposed Lighting'!AU261=3),4059,IF(AND(AU261=3,M261="1"),0,IF(AND(AU261=3,M261="1-C"),0,IF(AND(AU261=3,M261="2"),0,IF(AND(AU261=3,M261="2-C"),0,IF(AND(AU261=3,M261="3"),0,IF(AND(AU261=3,M261="3-C"),0,IF(AND(AU261=2,M261="Dusk to Dawn"),0,IF(AND(AU261=2,M261="Dusk to Dawn-C"),0,IF(AND(AU261=2,M261="Dusk to Dawn"),0,IF(AND(AU261=2,M261="E"),0,IF(AND(AU261=2,M261="E-C"),0,EG261)))))))))))))))</f>
        <v/>
      </c>
      <c r="AI261" s="1754"/>
      <c r="AJ261" s="1136"/>
      <c r="AK261" s="1136"/>
      <c r="AL261" s="1748">
        <f t="shared" si="256"/>
        <v>0</v>
      </c>
      <c r="AM261" s="1749"/>
      <c r="AN261" s="1750"/>
      <c r="AO261" s="476">
        <f t="shared" si="240"/>
        <v>0</v>
      </c>
      <c r="AP261" s="476">
        <f t="shared" si="257"/>
        <v>0</v>
      </c>
      <c r="AQ261" s="475">
        <f t="shared" si="241"/>
        <v>0</v>
      </c>
      <c r="AR261" s="475">
        <f t="shared" si="258"/>
        <v>0</v>
      </c>
      <c r="AS261" s="743" t="str">
        <f t="shared" si="310"/>
        <v/>
      </c>
      <c r="AT261" s="736" t="str">
        <f t="shared" si="259"/>
        <v/>
      </c>
      <c r="AU261" s="56">
        <f t="shared" si="260"/>
        <v>1</v>
      </c>
      <c r="AV261" s="476">
        <f t="shared" si="261"/>
        <v>0</v>
      </c>
      <c r="AW261" s="56">
        <f t="shared" si="262"/>
        <v>0</v>
      </c>
      <c r="AX261" s="475">
        <f t="shared" si="242"/>
        <v>0</v>
      </c>
      <c r="AY261" s="1169">
        <f t="shared" si="263"/>
        <v>0</v>
      </c>
      <c r="AZ261" s="1150">
        <f t="shared" si="302"/>
        <v>0</v>
      </c>
      <c r="BA261" s="56">
        <f t="shared" si="243"/>
        <v>0</v>
      </c>
      <c r="BB261" s="420">
        <f t="shared" si="244"/>
        <v>0</v>
      </c>
      <c r="BC261" s="58" t="str">
        <f t="shared" si="245"/>
        <v/>
      </c>
      <c r="BD261" s="660">
        <f t="shared" si="303"/>
        <v>0</v>
      </c>
      <c r="BE261" s="57" t="e">
        <f t="array" ref="BE261">INDEX($EB$11:$ED$1022,MATCH(F261&amp;T261,$EB$11:$EB$1007&amp;$EC$11:$EC$1007,0),3)</f>
        <v>#N/A</v>
      </c>
      <c r="BF261" s="463">
        <f t="shared" si="311"/>
        <v>0</v>
      </c>
      <c r="BG261" s="1445" t="e">
        <f t="array" ref="BG261">INDEX($DO$112:$DQ$123,MATCH(T261&amp;W261,$DO$114:$DO$125&amp;$DP$112:$DP$123,0),3)</f>
        <v>#N/A</v>
      </c>
      <c r="BH261" s="1446">
        <f t="shared" si="264"/>
        <v>0</v>
      </c>
      <c r="BI261" s="465">
        <f t="shared" si="265"/>
        <v>0</v>
      </c>
      <c r="BJ261" s="465">
        <f t="shared" si="266"/>
        <v>0</v>
      </c>
      <c r="BK261" s="466">
        <f t="shared" si="312"/>
        <v>0</v>
      </c>
      <c r="BL261" s="466">
        <f t="shared" si="313"/>
        <v>0</v>
      </c>
      <c r="BM261" s="466">
        <f t="shared" si="267"/>
        <v>0</v>
      </c>
      <c r="BN261" s="466">
        <f t="shared" si="268"/>
        <v>0</v>
      </c>
      <c r="BO261" s="463">
        <f>IF('Data Entry'!$C$74=0,0,IF(ISNA(CJ261),0,IF(AX261=0,0,IF(AND('Data Entry'!$C$74=2,AF261&gt;2,CE261&lt;1),0,IF(AND('Data Entry'!$C$74=2,AF261&gt;1,AU261=2,CJ261&gt;1),0,IF(AND(AF261=5,CT261=0.5,AU261=2,ER261&lt;100),0,IF(AND(AF261=5,CT261=0.5,AU261=3,ER261&lt;100),0,IF(AND('Data Entry'!$C$74=2,AF261=2,AU261=2,AK261&gt;0.01,CB261=2,CE261&lt;1),0,IF(AND('Data Entry'!$C$74=2,AF261=3,AU261=3,AK261&gt;0.01,CB261=3,CE261&lt;1),0,IF(AND('Data Entry'!$C$74=2,AF261=3,AU261=3,AK261&gt;0.01,CB261=3,CE261&gt;0.99),BQ261*0.08,IF(AND('Data Entry'!$C$74=2,AF261=2,AU261=2,AK261&gt;0.01,CB261=2,CE261&gt;0.99),BQ261*0.1,IF(AND(AU261=2,AK261&gt;0.01,CB261=2,CD261&gt;1),BQ261*0.1,IF(AND(AU261=3,AK261&gt;0.01,CB261=3,CD261&gt;1),BQ261*0.08,CJ261*EF261)))))))))))))</f>
        <v>0</v>
      </c>
      <c r="BP261" s="475">
        <f t="shared" si="269"/>
        <v>0</v>
      </c>
      <c r="BQ261" s="1431">
        <f>IF(AU261=1,0,IF(CH261=100,0,IF(AND(AF261=3,AU261=2),0,IF(AND(BH261=0,CT261&gt;0.4),0,IF(AND('Data Entry'!$C$74=2,AF261=1.5),0,IF(AND('Data Entry'!$C$74=2,AF261=1.6),0,IF(AND('Data Entry'!$C$74=2,AF261=4),0,IF(AND('Data Entry'!$C$74=2,AF261=5),0,IF(AND('Data Entry'!$C$74=2,AF261=2.5,CE261&lt;1),0,IF(AND('Data Entry'!$C$74=2,AF261=3,CE261&lt;1),0,IF(AND('Data Entry'!$C$74=1,AF261=2.5,CD261&lt;1),0,IF(AND('Data Entry'!$C$74=1,AF261=3,CD261&lt;1),0,IF(DX261&gt;0.01,DX261,IF(ISERROR(AX261-AY261),"",ROUND(AX261-AY261,2)))))))))))))))</f>
        <v>0</v>
      </c>
      <c r="BR261" s="146">
        <f t="shared" si="270"/>
        <v>0</v>
      </c>
      <c r="BS261" s="475">
        <f t="shared" si="271"/>
        <v>0</v>
      </c>
      <c r="BT261" s="146" t="b">
        <f t="shared" si="272"/>
        <v>0</v>
      </c>
      <c r="BU261" s="463">
        <f>IF(ISNA(AT261),0,IF(AND('Data Entry'!$C$74=2,BC261=27),0,IF(AND('Data Entry'!$C$74=2,BC261=28),0,IF(AND(BC261=27,BT261=27,CM261&gt;0.1),CM261*0.15,IF(AND(BC261=28,BT261=28,CM261&gt;0.1),CM261*0.12,0)))))</f>
        <v>0</v>
      </c>
      <c r="BV261" s="463">
        <f t="shared" si="309"/>
        <v>0</v>
      </c>
      <c r="BW261" s="463">
        <f t="shared" si="273"/>
        <v>0</v>
      </c>
      <c r="BX261" s="463">
        <f t="shared" si="274"/>
        <v>0</v>
      </c>
      <c r="BY261" s="463">
        <f t="shared" si="275"/>
        <v>0</v>
      </c>
      <c r="BZ261" s="463">
        <f t="shared" si="276"/>
        <v>0</v>
      </c>
      <c r="CA261" s="57">
        <f t="shared" si="304"/>
        <v>0</v>
      </c>
      <c r="CB261" s="56">
        <f t="shared" si="277"/>
        <v>1</v>
      </c>
      <c r="CC261" s="756">
        <f>IF(EE261=0,0,IF(EF261=0,0,IF(EE261&gt;AA261,0,IF(AND(AZ261&gt;AW261,AW261&gt;0),0,IF(CU261=0,0,Summary!AC564)))))</f>
        <v>0</v>
      </c>
      <c r="CD261" s="756">
        <f>IF(EE261=0,0,IF(EF261=0,0,IF(EE261&gt;AA261,0,IF(AND(AZ261&gt;AW261,AW261&gt;0),0,IF(CU261=0,0,Summary!AD564)))))</f>
        <v>0</v>
      </c>
      <c r="CE261" s="756">
        <f>IF(EF261=0,0,IF(EE261&gt;AA261,0,IF(CC261=0,0,IF(AND(AZ261&gt;AW261,AW261&gt;0),0,IF(CU261=0,0,Summary!AE564)))))</f>
        <v>0</v>
      </c>
      <c r="CF261" s="475">
        <f t="shared" si="278"/>
        <v>0</v>
      </c>
      <c r="CG261" s="476">
        <f t="shared" si="246"/>
        <v>0</v>
      </c>
      <c r="CH261" s="487">
        <f t="shared" si="279"/>
        <v>0</v>
      </c>
      <c r="CI261" s="756">
        <f t="shared" si="280"/>
        <v>0</v>
      </c>
      <c r="CJ261" s="487">
        <f>IF(CT261&gt;0.4,0,IF(AND(AU261=2,CH261=0,CT261=0.5,ER261=100),35,IF(AND(AU261=3,BB261&gt;75,CH261=0,CT261=0.5,ER261=100),25,IF(CB261&gt;1,0,IF(EF261&gt;EE261,0,IF(AND(AF261&gt;1,CH261=100),0,IF(AND(AF261=1,AY261=0),0,IF(AND(EF261&lt;=EE261,AW261&gt;=AZ261,'Data Entry'!$C$74=1,AU261=2),VLOOKUP(W261,$DO$96:$DP$102,2,FALSE),IF(AND(EF261&lt;=EE261,AW261&gt;=AZ261,AU261=3,'Data Entry'!$C$74=1),VLOOKUP(W261,$DO$127:$DP$134,2,FALSE))))))))))</f>
        <v>0</v>
      </c>
      <c r="CK261" s="716">
        <f t="shared" si="281"/>
        <v>0</v>
      </c>
      <c r="CL261" s="57">
        <f t="shared" si="282"/>
        <v>0</v>
      </c>
      <c r="CM261" s="475">
        <f t="shared" si="308"/>
        <v>0</v>
      </c>
      <c r="CN261" s="660">
        <f>IF(CM261&lt;0.1,0,IF(ISNA(AT261),0,IF(CL261+BC261=1,0,IF(BV261&gt;0.01,0,IF(CL261&gt;0.01,0,IF(CF261=1,0,IF(BC261=0.5,0,IF(AND(CI261=1,AU261=3),0,IF(AND(CI261=5,CL261=0),0,IF(AND(R261=12,BR261=50),0,IF(CK261&gt;0.01,0,IF(AND(AJ261&gt;0.01,AU261=2,BC261=15),CM261*0.1,IF(AND(AJ261&gt;0.01,AU261=3,BC261=15),CM261*0.08,IF(AND(R261=12,BC261=3,AF261&lt;=0),0,IF(AND(BC261=15,BI261=0),0,IF(AND(BC261=15,BJ261=0),0,IF(AND(R261=20,CU261=0),0,IF($X$4=0,0,IF(AND(BC261=250,CL261=0),0,IF(AA261&lt;1,0,IF(AND(ISNUMBER(SEARCH("Area",T261)),AU261=3),0,IF(AND(AQ261&gt;0.01,AR261=0,BK261=0,BL261=0,BM261=0,BN261=0),0,IF(AND(AU261=3,CI261=7,CT261&gt;0.5),0,IF(AND(BC261=44,AU261=3,BY261=0),0,IF(AND(BC261=27,'Data Entry'!$C$74=2),0,IF(AND(BC261=28,'Data Entry'!$C$74=2),0,IF(AND(BY261+BZ261+CA261&gt;0.01,BV261=0,EQ261+ER261+ES261+ET261&lt;100),0,IF(AU261=3,CM261*0.08,IF(AU261=2,CM261*0.1,0)))))))))))))))))))))))))))))</f>
        <v>0</v>
      </c>
      <c r="CO261" s="660">
        <f t="shared" si="283"/>
        <v>0</v>
      </c>
      <c r="CP261" s="475" t="str">
        <f t="shared" si="284"/>
        <v/>
      </c>
      <c r="CQ261" s="161" t="str">
        <f>IF(AH261=0,0,IF(AU261=5,0,Summary!AC264))</f>
        <v/>
      </c>
      <c r="CR261" s="161" t="str">
        <f>IF(BF261=0.5,0,IF(AU261=5,0,Summary!AD264))</f>
        <v/>
      </c>
      <c r="CS261" s="161" t="str">
        <f>IF(AU261=5,0,Summary!AE264)</f>
        <v/>
      </c>
      <c r="CT261" s="161">
        <f t="shared" si="285"/>
        <v>0</v>
      </c>
      <c r="CU261" s="475" t="str">
        <f t="shared" si="286"/>
        <v/>
      </c>
      <c r="CV261" s="307">
        <f>IF('Data Entry'!$C$74=0,0,IF(AA261&lt;1,0,IF(ISERROR(CU261),0,IF(CF261=1,0,IF(AND(R261=12,BR261=50),0,IF(CL261+BO261+BV261+DC261=0,0,IF(BC261=37,0,IF(AND(BC261=40,AJ261=0),0,IF(AND(BC261=37,BO261&gt;0.01,BQ261&gt;0.01),ROUND(BQ261,0),IF(CM261&lt;0,0,ROUND(CM261,0)))))))))))</f>
        <v>0</v>
      </c>
      <c r="CW261" s="700">
        <f t="shared" si="287"/>
        <v>0</v>
      </c>
      <c r="CX261" s="477">
        <f>IF('Data Entry'!$C$74=0,0,IF(CV261&lt;0.01,0,IF(BF261=0.5,0,IF(CF261=1,0,IF(ISNUMBER(SEARCH("false",CL261)),0,IF(AZ261=500,0,CL261))))))</f>
        <v>0</v>
      </c>
      <c r="CY261" s="147" t="e">
        <f t="shared" si="288"/>
        <v>#VALUE!</v>
      </c>
      <c r="CZ261" s="147" t="b">
        <f>IF(CN261+CL261=0,FALSE,IF(AH261=0,0,IF(AND('Data Entry'!$C$74=1,CR261&gt;=1),TRUE,IF(AND('Data Entry'!$C$74=2,CS261&gt;=1),TRUE,FALSE))))</f>
        <v>0</v>
      </c>
      <c r="DA261" s="1751">
        <f>IF('Data Entry'!$C$74=0,0,IFERROR(ROUND(IF(T261="","",IF($X$4=0,0,IF(CF261=1,0,IF(BQ261+CV261=0,0,IF(CF261=1,0,IF(CY261&gt;0.01,CY261,IF(CL261&gt;0.01,CL261,IF(CY261&gt;0.01,CY261,IF(BC261=37,BO261,IF(CZ261=FALSE,0,IF(CZ261=TRUE,DC261+DF261,0))))))))))),2),""))</f>
        <v>0</v>
      </c>
      <c r="DB261" s="1752"/>
      <c r="DC261" s="474">
        <f>IF(CN261&lt;0.01,0,IF(AND(BR261=3,CN261&gt;0.01,CT261&gt;0.6,ER261+ES261+ET261&lt;100),0,IF(AND('Data Entry'!$C$74=1,CN261&gt;0.01,CR261&gt;0.99),MIN(CN261:CO261),IF(AND('Data Entry'!$C$74=2,CN261&gt;0.01,CS261&gt;0.99),MIN(CN261:CO261),0))))</f>
        <v>0</v>
      </c>
      <c r="DD261" s="478">
        <f>IF(CF261=1,"Selection does not match",IF(T261=0,0,IF(AND('Data Entry'!$C$74=0,CP261&gt;1),"Select Oregon or Idaho on Data Entry Tab",IF(AND(AU261=1,AA261&gt;0.9),"Missing Interior or Exterior Selection",IF($X$4=0,"Enter Total Project Cost",IF(AQ261&lt;AR261,"Insufficient kWh savings – no incentive",IF(AND(SUM(CL261+CK261+BV261)&gt;0.01,'Data Entry'!$C$74=2,CJ261&gt;1,BO261=0),"Submit Control as Non-Standard",IF(AND('Data Entry'!$C$74=2,BR261=37,CJ261&gt;1,BO261=0),"Submit Control as Non-Standard",IF(SUM(CL261+CK261+BV261)&gt;0.01,"Standard Incentive",IF(AND('Data Entry'!$C$74=2,CP261=7,CN261=0),"Submit as Non-Standard",IF(DC261&gt;0.9,"Non-Standard Incentive",IF(AND(BY261+BZ261+CA261&gt;0.01,BV261=0,EQ261=0,ER261=0,ES261=0,ET261=0),"Scroll Right &amp; Select Control Strategies",IF(AND(CN261&gt;0.01,CO261=0),"Enter Unit Installed Cost",IF(ISNUMBER(SEARCH("Lighting Controls Only",F261)),"Lighting Controls Only",IF(CL261+DC261=0,"Does not meet incentive criteria",0)))))))))))))))</f>
        <v>0</v>
      </c>
      <c r="DE261" s="337">
        <f t="shared" si="289"/>
        <v>0</v>
      </c>
      <c r="DF261" s="609">
        <f t="shared" si="290"/>
        <v>0</v>
      </c>
      <c r="DG261" s="336" t="str">
        <f t="shared" si="291"/>
        <v/>
      </c>
      <c r="DH261" s="338">
        <f t="shared" si="292"/>
        <v>1</v>
      </c>
      <c r="DI261" s="336" t="e">
        <f t="shared" si="247"/>
        <v>#VALUE!</v>
      </c>
      <c r="DJ261" s="338">
        <f t="shared" si="248"/>
        <v>0</v>
      </c>
      <c r="DO261" s="81"/>
      <c r="DP261" s="81"/>
      <c r="DQ261" s="81"/>
      <c r="DR261" s="81"/>
      <c r="DS261" s="1195">
        <f t="shared" si="293"/>
        <v>0</v>
      </c>
      <c r="DT261" s="344" t="b">
        <f t="shared" si="294"/>
        <v>1</v>
      </c>
      <c r="DU261" s="1314" t="str">
        <f t="array" ref="DU261">IF(OR(COUNTIF(F261,"*"&amp;$DK$9:$DK$178&amp;"*")), "Yes", "")</f>
        <v/>
      </c>
      <c r="DV261" s="1314">
        <f t="shared" si="295"/>
        <v>0</v>
      </c>
      <c r="DW261" s="1480">
        <f t="shared" si="296"/>
        <v>0</v>
      </c>
      <c r="DX261" s="1498">
        <f t="shared" si="305"/>
        <v>0</v>
      </c>
      <c r="DY261" s="1484">
        <f t="shared" si="297"/>
        <v>0</v>
      </c>
      <c r="DZ261" s="331"/>
      <c r="EA261" s="392"/>
      <c r="EB261" s="1499" t="s">
        <v>73</v>
      </c>
      <c r="EC261" s="727" t="s">
        <v>1569</v>
      </c>
      <c r="ED261" s="728">
        <v>0.5</v>
      </c>
      <c r="EE261" s="1215"/>
      <c r="EF261" s="1215"/>
      <c r="EG261" s="1184" t="str">
        <f t="shared" si="298"/>
        <v/>
      </c>
      <c r="EJ261" s="1185">
        <f t="shared" si="249"/>
        <v>0</v>
      </c>
      <c r="EK261" s="1211"/>
      <c r="EL261" s="1180">
        <f t="shared" si="250"/>
        <v>0</v>
      </c>
      <c r="EM261" s="206"/>
      <c r="EN261" s="1038"/>
      <c r="EO261" s="1038"/>
      <c r="EP261" s="1038"/>
      <c r="EQ261" s="1038">
        <f t="shared" si="299"/>
        <v>0</v>
      </c>
      <c r="ER261" s="1041">
        <f t="shared" si="300"/>
        <v>0</v>
      </c>
      <c r="ES261" s="1042">
        <f t="shared" si="301"/>
        <v>0</v>
      </c>
      <c r="ET261" s="1042">
        <f t="shared" si="306"/>
        <v>0</v>
      </c>
      <c r="EU261" s="1021">
        <f t="shared" si="307"/>
        <v>0</v>
      </c>
      <c r="EV261" s="368"/>
      <c r="EW261" s="368"/>
      <c r="EX261" s="369"/>
      <c r="EY261" s="370"/>
      <c r="EZ261" s="370"/>
      <c r="FA261" s="371"/>
      <c r="FB261" s="372"/>
    </row>
    <row r="262" spans="1:158" ht="34.5" customHeight="1">
      <c r="A262" s="82">
        <v>254</v>
      </c>
      <c r="B262" s="1806"/>
      <c r="C262" s="1807"/>
      <c r="D262" s="1807"/>
      <c r="E262" s="1808"/>
      <c r="F262" s="1809"/>
      <c r="G262" s="1810"/>
      <c r="H262" s="1810"/>
      <c r="I262" s="1811"/>
      <c r="J262" s="1301"/>
      <c r="K262" s="1814"/>
      <c r="L262" s="1814"/>
      <c r="M262" s="1017"/>
      <c r="N262" s="1584"/>
      <c r="O262" s="208" t="str">
        <f t="shared" si="237"/>
        <v/>
      </c>
      <c r="P262" s="785"/>
      <c r="Q262" s="39" t="str">
        <f t="shared" si="238"/>
        <v/>
      </c>
      <c r="R262" s="39">
        <f t="shared" si="251"/>
        <v>0</v>
      </c>
      <c r="S262" s="234">
        <f t="shared" si="252"/>
        <v>0</v>
      </c>
      <c r="T262" s="1815"/>
      <c r="U262" s="1815"/>
      <c r="V262" s="1815"/>
      <c r="W262" s="1121"/>
      <c r="X262" s="1812"/>
      <c r="Y262" s="1813"/>
      <c r="Z262" s="703"/>
      <c r="AA262" s="1280"/>
      <c r="AB262" s="1141"/>
      <c r="AC262" s="1103" t="str">
        <f>IF(T262="","",VLOOKUP(Z262,Lists!$A$60:$B$111,2,FALSE))</f>
        <v/>
      </c>
      <c r="AD262" s="130" t="str">
        <f t="shared" si="253"/>
        <v/>
      </c>
      <c r="AE262" s="130" t="e">
        <f t="shared" si="254"/>
        <v>#VALUE!</v>
      </c>
      <c r="AF262" s="130">
        <f t="shared" si="255"/>
        <v>1</v>
      </c>
      <c r="AG262" s="234">
        <f t="shared" si="239"/>
        <v>0</v>
      </c>
      <c r="AH262" s="1753" t="str">
        <f>IF(T262="","",(IF(ISNUMBER(SEARCH("exit",T262)),8760,IF(AND(M262="Dusk to Dawn",'Proposed Lighting'!AU262=3),4059,IF(AND(AU262=3,M262="1"),0,IF(AND(AU262=3,M262="1-C"),0,IF(AND(AU262=3,M262="2"),0,IF(AND(AU262=3,M262="2-C"),0,IF(AND(AU262=3,M262="3"),0,IF(AND(AU262=3,M262="3-C"),0,IF(AND(AU262=2,M262="Dusk to Dawn"),0,IF(AND(AU262=2,M262="Dusk to Dawn-C"),0,IF(AND(AU262=2,M262="Dusk to Dawn"),0,IF(AND(AU262=2,M262="E"),0,IF(AND(AU262=2,M262="E-C"),0,EG262)))))))))))))))</f>
        <v/>
      </c>
      <c r="AI262" s="1754"/>
      <c r="AJ262" s="1136"/>
      <c r="AK262" s="1136"/>
      <c r="AL262" s="1748">
        <f t="shared" si="256"/>
        <v>0</v>
      </c>
      <c r="AM262" s="1749"/>
      <c r="AN262" s="1750"/>
      <c r="AO262" s="476">
        <f t="shared" si="240"/>
        <v>0</v>
      </c>
      <c r="AP262" s="476">
        <f t="shared" si="257"/>
        <v>0</v>
      </c>
      <c r="AQ262" s="475">
        <f t="shared" si="241"/>
        <v>0</v>
      </c>
      <c r="AR262" s="475">
        <f t="shared" si="258"/>
        <v>0</v>
      </c>
      <c r="AS262" s="743" t="str">
        <f t="shared" si="310"/>
        <v/>
      </c>
      <c r="AT262" s="736" t="str">
        <f t="shared" si="259"/>
        <v/>
      </c>
      <c r="AU262" s="56">
        <f t="shared" si="260"/>
        <v>1</v>
      </c>
      <c r="AV262" s="476">
        <f t="shared" si="261"/>
        <v>0</v>
      </c>
      <c r="AW262" s="56">
        <f t="shared" si="262"/>
        <v>0</v>
      </c>
      <c r="AX262" s="475">
        <f t="shared" si="242"/>
        <v>0</v>
      </c>
      <c r="AY262" s="1169">
        <f t="shared" si="263"/>
        <v>0</v>
      </c>
      <c r="AZ262" s="1150">
        <f t="shared" si="302"/>
        <v>0</v>
      </c>
      <c r="BA262" s="56">
        <f t="shared" si="243"/>
        <v>0</v>
      </c>
      <c r="BB262" s="420">
        <f t="shared" si="244"/>
        <v>0</v>
      </c>
      <c r="BC262" s="58" t="str">
        <f t="shared" si="245"/>
        <v/>
      </c>
      <c r="BD262" s="660">
        <f t="shared" si="303"/>
        <v>0</v>
      </c>
      <c r="BE262" s="57" t="e">
        <f t="array" ref="BE262">INDEX($EB$11:$ED$1022,MATCH(F262&amp;T262,$EB$11:$EB$1007&amp;$EC$11:$EC$1007,0),3)</f>
        <v>#N/A</v>
      </c>
      <c r="BF262" s="463">
        <f t="shared" si="311"/>
        <v>0</v>
      </c>
      <c r="BG262" s="1445" t="e">
        <f t="array" ref="BG262">INDEX($DO$112:$DQ$123,MATCH(T262&amp;W262,$DO$114:$DO$125&amp;$DP$112:$DP$123,0),3)</f>
        <v>#N/A</v>
      </c>
      <c r="BH262" s="1446">
        <f t="shared" si="264"/>
        <v>0</v>
      </c>
      <c r="BI262" s="465">
        <f t="shared" si="265"/>
        <v>0</v>
      </c>
      <c r="BJ262" s="465">
        <f t="shared" si="266"/>
        <v>0</v>
      </c>
      <c r="BK262" s="466">
        <f t="shared" si="312"/>
        <v>0</v>
      </c>
      <c r="BL262" s="466">
        <f t="shared" si="313"/>
        <v>0</v>
      </c>
      <c r="BM262" s="466">
        <f t="shared" si="267"/>
        <v>0</v>
      </c>
      <c r="BN262" s="466">
        <f t="shared" si="268"/>
        <v>0</v>
      </c>
      <c r="BO262" s="463">
        <f>IF('Data Entry'!$C$74=0,0,IF(ISNA(CJ262),0,IF(AX262=0,0,IF(AND('Data Entry'!$C$74=2,AF262&gt;2,CE262&lt;1),0,IF(AND('Data Entry'!$C$74=2,AF262&gt;1,AU262=2,CJ262&gt;1),0,IF(AND(AF262=5,CT262=0.5,AU262=2,ER262&lt;100),0,IF(AND(AF262=5,CT262=0.5,AU262=3,ER262&lt;100),0,IF(AND('Data Entry'!$C$74=2,AF262=2,AU262=2,AK262&gt;0.01,CB262=2,CE262&lt;1),0,IF(AND('Data Entry'!$C$74=2,AF262=3,AU262=3,AK262&gt;0.01,CB262=3,CE262&lt;1),0,IF(AND('Data Entry'!$C$74=2,AF262=3,AU262=3,AK262&gt;0.01,CB262=3,CE262&gt;0.99),BQ262*0.08,IF(AND('Data Entry'!$C$74=2,AF262=2,AU262=2,AK262&gt;0.01,CB262=2,CE262&gt;0.99),BQ262*0.1,IF(AND(AU262=2,AK262&gt;0.01,CB262=2,CD262&gt;1),BQ262*0.1,IF(AND(AU262=3,AK262&gt;0.01,CB262=3,CD262&gt;1),BQ262*0.08,CJ262*EF262)))))))))))))</f>
        <v>0</v>
      </c>
      <c r="BP262" s="475">
        <f t="shared" si="269"/>
        <v>0</v>
      </c>
      <c r="BQ262" s="1431">
        <f>IF(AU262=1,0,IF(CH262=100,0,IF(AND(AF262=3,AU262=2),0,IF(AND(BH262=0,CT262&gt;0.4),0,IF(AND('Data Entry'!$C$74=2,AF262=1.5),0,IF(AND('Data Entry'!$C$74=2,AF262=1.6),0,IF(AND('Data Entry'!$C$74=2,AF262=4),0,IF(AND('Data Entry'!$C$74=2,AF262=5),0,IF(AND('Data Entry'!$C$74=2,AF262=2.5,CE262&lt;1),0,IF(AND('Data Entry'!$C$74=2,AF262=3,CE262&lt;1),0,IF(AND('Data Entry'!$C$74=1,AF262=2.5,CD262&lt;1),0,IF(AND('Data Entry'!$C$74=1,AF262=3,CD262&lt;1),0,IF(DX262&gt;0.01,DX262,IF(ISERROR(AX262-AY262),"",ROUND(AX262-AY262,2)))))))))))))))</f>
        <v>0</v>
      </c>
      <c r="BR262" s="146">
        <f t="shared" si="270"/>
        <v>0</v>
      </c>
      <c r="BS262" s="475">
        <f t="shared" si="271"/>
        <v>0</v>
      </c>
      <c r="BT262" s="146" t="b">
        <f t="shared" si="272"/>
        <v>0</v>
      </c>
      <c r="BU262" s="463">
        <f>IF(ISNA(AT262),0,IF(AND('Data Entry'!$C$74=2,BC262=27),0,IF(AND('Data Entry'!$C$74=2,BC262=28),0,IF(AND(BC262=27,BT262=27,CM262&gt;0.1),CM262*0.15,IF(AND(BC262=28,BT262=28,CM262&gt;0.1),CM262*0.12,0)))))</f>
        <v>0</v>
      </c>
      <c r="BV262" s="463">
        <f t="shared" si="309"/>
        <v>0</v>
      </c>
      <c r="BW262" s="463">
        <f t="shared" si="273"/>
        <v>0</v>
      </c>
      <c r="BX262" s="463">
        <f t="shared" si="274"/>
        <v>0</v>
      </c>
      <c r="BY262" s="463">
        <f t="shared" si="275"/>
        <v>0</v>
      </c>
      <c r="BZ262" s="463">
        <f t="shared" si="276"/>
        <v>0</v>
      </c>
      <c r="CA262" s="57">
        <f t="shared" si="304"/>
        <v>0</v>
      </c>
      <c r="CB262" s="56">
        <f t="shared" si="277"/>
        <v>1</v>
      </c>
      <c r="CC262" s="756">
        <f>IF(EE262=0,0,IF(EF262=0,0,IF(EE262&gt;AA262,0,IF(AND(AZ262&gt;AW262,AW262&gt;0),0,IF(CU262=0,0,Summary!AC565)))))</f>
        <v>0</v>
      </c>
      <c r="CD262" s="756">
        <f>IF(EE262=0,0,IF(EF262=0,0,IF(EE262&gt;AA262,0,IF(AND(AZ262&gt;AW262,AW262&gt;0),0,IF(CU262=0,0,Summary!AD565)))))</f>
        <v>0</v>
      </c>
      <c r="CE262" s="756">
        <f>IF(EF262=0,0,IF(EE262&gt;AA262,0,IF(CC262=0,0,IF(AND(AZ262&gt;AW262,AW262&gt;0),0,IF(CU262=0,0,Summary!AE565)))))</f>
        <v>0</v>
      </c>
      <c r="CF262" s="475">
        <f t="shared" si="278"/>
        <v>0</v>
      </c>
      <c r="CG262" s="476">
        <f t="shared" si="246"/>
        <v>0</v>
      </c>
      <c r="CH262" s="487">
        <f t="shared" si="279"/>
        <v>0</v>
      </c>
      <c r="CI262" s="756">
        <f t="shared" si="280"/>
        <v>0</v>
      </c>
      <c r="CJ262" s="487">
        <f>IF(CT262&gt;0.4,0,IF(AND(AU262=2,CH262=0,CT262=0.5,ER262=100),35,IF(AND(AU262=3,BB262&gt;75,CH262=0,CT262=0.5,ER262=100),25,IF(CB262&gt;1,0,IF(EF262&gt;EE262,0,IF(AND(AF262&gt;1,CH262=100),0,IF(AND(AF262=1,AY262=0),0,IF(AND(EF262&lt;=EE262,AW262&gt;=AZ262,'Data Entry'!$C$74=1,AU262=2),VLOOKUP(W262,$DO$96:$DP$102,2,FALSE),IF(AND(EF262&lt;=EE262,AW262&gt;=AZ262,AU262=3,'Data Entry'!$C$74=1),VLOOKUP(W262,$DO$127:$DP$134,2,FALSE))))))))))</f>
        <v>0</v>
      </c>
      <c r="CK262" s="716">
        <f t="shared" si="281"/>
        <v>0</v>
      </c>
      <c r="CL262" s="57">
        <f t="shared" si="282"/>
        <v>0</v>
      </c>
      <c r="CM262" s="475">
        <f t="shared" si="308"/>
        <v>0</v>
      </c>
      <c r="CN262" s="660">
        <f>IF(CM262&lt;0.1,0,IF(ISNA(AT262),0,IF(CL262+BC262=1,0,IF(BV262&gt;0.01,0,IF(CL262&gt;0.01,0,IF(CF262=1,0,IF(BC262=0.5,0,IF(AND(CI262=1,AU262=3),0,IF(AND(CI262=5,CL262=0),0,IF(AND(R262=12,BR262=50),0,IF(CK262&gt;0.01,0,IF(AND(AJ262&gt;0.01,AU262=2,BC262=15),CM262*0.1,IF(AND(AJ262&gt;0.01,AU262=3,BC262=15),CM262*0.08,IF(AND(R262=12,BC262=3,AF262&lt;=0),0,IF(AND(BC262=15,BI262=0),0,IF(AND(BC262=15,BJ262=0),0,IF(AND(R262=20,CU262=0),0,IF($X$4=0,0,IF(AND(BC262=250,CL262=0),0,IF(AA262&lt;1,0,IF(AND(ISNUMBER(SEARCH("Area",T262)),AU262=3),0,IF(AND(AQ262&gt;0.01,AR262=0,BK262=0,BL262=0,BM262=0,BN262=0),0,IF(AND(AU262=3,CI262=7,CT262&gt;0.5),0,IF(AND(BC262=44,AU262=3,BY262=0),0,IF(AND(BC262=27,'Data Entry'!$C$74=2),0,IF(AND(BC262=28,'Data Entry'!$C$74=2),0,IF(AND(BY262+BZ262+CA262&gt;0.01,BV262=0,EQ262+ER262+ES262+ET262&lt;100),0,IF(AU262=3,CM262*0.08,IF(AU262=2,CM262*0.1,0)))))))))))))))))))))))))))))</f>
        <v>0</v>
      </c>
      <c r="CO262" s="660">
        <f t="shared" si="283"/>
        <v>0</v>
      </c>
      <c r="CP262" s="475" t="str">
        <f t="shared" si="284"/>
        <v/>
      </c>
      <c r="CQ262" s="161" t="str">
        <f>IF(AH262=0,0,IF(AU262=5,0,Summary!AC265))</f>
        <v/>
      </c>
      <c r="CR262" s="161" t="str">
        <f>IF(BF262=0.5,0,IF(AU262=5,0,Summary!AD265))</f>
        <v/>
      </c>
      <c r="CS262" s="161" t="str">
        <f>IF(AU262=5,0,Summary!AE265)</f>
        <v/>
      </c>
      <c r="CT262" s="161">
        <f t="shared" si="285"/>
        <v>0</v>
      </c>
      <c r="CU262" s="475" t="str">
        <f t="shared" si="286"/>
        <v/>
      </c>
      <c r="CV262" s="307">
        <f>IF('Data Entry'!$C$74=0,0,IF(AA262&lt;1,0,IF(ISERROR(CU262),0,IF(CF262=1,0,IF(AND(R262=12,BR262=50),0,IF(CL262+BO262+BV262+DC262=0,0,IF(BC262=37,0,IF(AND(BC262=40,AJ262=0),0,IF(AND(BC262=37,BO262&gt;0.01,BQ262&gt;0.01),ROUND(BQ262,0),IF(CM262&lt;0,0,ROUND(CM262,0)))))))))))</f>
        <v>0</v>
      </c>
      <c r="CW262" s="700">
        <f t="shared" si="287"/>
        <v>0</v>
      </c>
      <c r="CX262" s="477">
        <f>IF('Data Entry'!$C$74=0,0,IF(CV262&lt;0.01,0,IF(BF262=0.5,0,IF(CF262=1,0,IF(ISNUMBER(SEARCH("false",CL262)),0,IF(AZ262=500,0,CL262))))))</f>
        <v>0</v>
      </c>
      <c r="CY262" s="147" t="e">
        <f t="shared" si="288"/>
        <v>#VALUE!</v>
      </c>
      <c r="CZ262" s="147" t="b">
        <f>IF(CN262+CL262=0,FALSE,IF(AH262=0,0,IF(AND('Data Entry'!$C$74=1,CR262&gt;=1),TRUE,IF(AND('Data Entry'!$C$74=2,CS262&gt;=1),TRUE,FALSE))))</f>
        <v>0</v>
      </c>
      <c r="DA262" s="1751">
        <f>IF('Data Entry'!$C$74=0,0,IFERROR(ROUND(IF(T262="","",IF($X$4=0,0,IF(CF262=1,0,IF(BQ262+CV262=0,0,IF(CF262=1,0,IF(CY262&gt;0.01,CY262,IF(CL262&gt;0.01,CL262,IF(CY262&gt;0.01,CY262,IF(BC262=37,BO262,IF(CZ262=FALSE,0,IF(CZ262=TRUE,DC262+DF262,0))))))))))),2),""))</f>
        <v>0</v>
      </c>
      <c r="DB262" s="1752"/>
      <c r="DC262" s="474">
        <f>IF(CN262&lt;0.01,0,IF(AND(BR262=3,CN262&gt;0.01,CT262&gt;0.6,ER262+ES262+ET262&lt;100),0,IF(AND('Data Entry'!$C$74=1,CN262&gt;0.01,CR262&gt;0.99),MIN(CN262:CO262),IF(AND('Data Entry'!$C$74=2,CN262&gt;0.01,CS262&gt;0.99),MIN(CN262:CO262),0))))</f>
        <v>0</v>
      </c>
      <c r="DD262" s="478">
        <f>IF(CF262=1,"Selection does not match",IF(T262=0,0,IF(AND('Data Entry'!$C$74=0,CP262&gt;1),"Select Oregon or Idaho on Data Entry Tab",IF(AND(AU262=1,AA262&gt;0.9),"Missing Interior or Exterior Selection",IF($X$4=0,"Enter Total Project Cost",IF(AQ262&lt;AR262,"Insufficient kWh savings – no incentive",IF(AND(SUM(CL262+CK262+BV262)&gt;0.01,'Data Entry'!$C$74=2,CJ262&gt;1,BO262=0),"Submit Control as Non-Standard",IF(AND('Data Entry'!$C$74=2,BR262=37,CJ262&gt;1,BO262=0),"Submit Control as Non-Standard",IF(SUM(CL262+CK262+BV262)&gt;0.01,"Standard Incentive",IF(AND('Data Entry'!$C$74=2,CP262=7,CN262=0),"Submit as Non-Standard",IF(DC262&gt;0.9,"Non-Standard Incentive",IF(AND(BY262+BZ262+CA262&gt;0.01,BV262=0,EQ262=0,ER262=0,ES262=0,ET262=0),"Scroll Right &amp; Select Control Strategies",IF(AND(CN262&gt;0.01,CO262=0),"Enter Unit Installed Cost",IF(ISNUMBER(SEARCH("Lighting Controls Only",F262)),"Lighting Controls Only",IF(CL262+DC262=0,"Does not meet incentive criteria",0)))))))))))))))</f>
        <v>0</v>
      </c>
      <c r="DE262" s="337">
        <f t="shared" si="289"/>
        <v>0</v>
      </c>
      <c r="DF262" s="609">
        <f t="shared" si="290"/>
        <v>0</v>
      </c>
      <c r="DG262" s="336" t="str">
        <f t="shared" si="291"/>
        <v/>
      </c>
      <c r="DH262" s="338">
        <f t="shared" si="292"/>
        <v>1</v>
      </c>
      <c r="DI262" s="336" t="e">
        <f t="shared" si="247"/>
        <v>#VALUE!</v>
      </c>
      <c r="DJ262" s="338">
        <f t="shared" si="248"/>
        <v>0</v>
      </c>
      <c r="DO262" s="81"/>
      <c r="DP262" s="81"/>
      <c r="DQ262" s="81"/>
      <c r="DR262" s="81"/>
      <c r="DS262" s="1195">
        <f t="shared" si="293"/>
        <v>0</v>
      </c>
      <c r="DT262" s="344" t="b">
        <f t="shared" si="294"/>
        <v>1</v>
      </c>
      <c r="DU262" s="1314" t="str">
        <f t="array" ref="DU262">IF(OR(COUNTIF(F262,"*"&amp;$DK$9:$DK$178&amp;"*")), "Yes", "")</f>
        <v/>
      </c>
      <c r="DV262" s="1314">
        <f t="shared" si="295"/>
        <v>0</v>
      </c>
      <c r="DW262" s="1480">
        <f t="shared" si="296"/>
        <v>0</v>
      </c>
      <c r="DX262" s="1498">
        <f t="shared" si="305"/>
        <v>0</v>
      </c>
      <c r="DY262" s="1484">
        <f t="shared" si="297"/>
        <v>0</v>
      </c>
      <c r="DZ262" s="331"/>
      <c r="EA262" s="392"/>
      <c r="EB262" s="1499" t="s">
        <v>126</v>
      </c>
      <c r="EC262" s="727" t="s">
        <v>1569</v>
      </c>
      <c r="ED262" s="728">
        <v>0.5</v>
      </c>
      <c r="EE262" s="1215"/>
      <c r="EF262" s="1215"/>
      <c r="EG262" s="1184" t="str">
        <f t="shared" si="298"/>
        <v/>
      </c>
      <c r="EJ262" s="1185">
        <f t="shared" si="249"/>
        <v>0</v>
      </c>
      <c r="EK262" s="1211"/>
      <c r="EL262" s="1180">
        <f t="shared" si="250"/>
        <v>0</v>
      </c>
      <c r="EM262" s="206"/>
      <c r="EN262" s="1038"/>
      <c r="EO262" s="1038"/>
      <c r="EP262" s="1038"/>
      <c r="EQ262" s="1038">
        <f t="shared" si="299"/>
        <v>0</v>
      </c>
      <c r="ER262" s="1041">
        <f t="shared" si="300"/>
        <v>0</v>
      </c>
      <c r="ES262" s="1042">
        <f t="shared" si="301"/>
        <v>0</v>
      </c>
      <c r="ET262" s="1042">
        <f t="shared" si="306"/>
        <v>0</v>
      </c>
      <c r="EU262" s="1021">
        <f t="shared" si="307"/>
        <v>0</v>
      </c>
      <c r="EV262" s="368"/>
      <c r="EW262" s="368"/>
      <c r="EX262" s="369"/>
      <c r="EY262" s="370"/>
      <c r="EZ262" s="370"/>
      <c r="FA262" s="371"/>
      <c r="FB262" s="372"/>
    </row>
    <row r="263" spans="1:158" ht="34.5" customHeight="1">
      <c r="A263" s="82">
        <v>255</v>
      </c>
      <c r="B263" s="1806"/>
      <c r="C263" s="1807"/>
      <c r="D263" s="1807"/>
      <c r="E263" s="1808"/>
      <c r="F263" s="1809"/>
      <c r="G263" s="1810"/>
      <c r="H263" s="1810"/>
      <c r="I263" s="1811"/>
      <c r="J263" s="1301"/>
      <c r="K263" s="1814"/>
      <c r="L263" s="1814"/>
      <c r="M263" s="1017"/>
      <c r="N263" s="1584"/>
      <c r="O263" s="208" t="str">
        <f t="shared" si="237"/>
        <v/>
      </c>
      <c r="P263" s="785"/>
      <c r="Q263" s="39" t="str">
        <f t="shared" si="238"/>
        <v/>
      </c>
      <c r="R263" s="39">
        <f t="shared" si="251"/>
        <v>0</v>
      </c>
      <c r="S263" s="234">
        <f t="shared" si="252"/>
        <v>0</v>
      </c>
      <c r="T263" s="1815"/>
      <c r="U263" s="1815"/>
      <c r="V263" s="1815"/>
      <c r="W263" s="1121"/>
      <c r="X263" s="1812"/>
      <c r="Y263" s="1813"/>
      <c r="Z263" s="703"/>
      <c r="AA263" s="1280"/>
      <c r="AB263" s="1141"/>
      <c r="AC263" s="1103" t="str">
        <f>IF(T263="","",VLOOKUP(Z263,Lists!$A$60:$B$111,2,FALSE))</f>
        <v/>
      </c>
      <c r="AD263" s="130" t="str">
        <f t="shared" si="253"/>
        <v/>
      </c>
      <c r="AE263" s="130" t="e">
        <f t="shared" si="254"/>
        <v>#VALUE!</v>
      </c>
      <c r="AF263" s="130">
        <f t="shared" si="255"/>
        <v>1</v>
      </c>
      <c r="AG263" s="234">
        <f t="shared" si="239"/>
        <v>0</v>
      </c>
      <c r="AH263" s="1753" t="str">
        <f>IF(T263="","",(IF(ISNUMBER(SEARCH("exit",T263)),8760,IF(AND(M263="Dusk to Dawn",'Proposed Lighting'!AU263=3),4059,IF(AND(AU263=3,M263="1"),0,IF(AND(AU263=3,M263="1-C"),0,IF(AND(AU263=3,M263="2"),0,IF(AND(AU263=3,M263="2-C"),0,IF(AND(AU263=3,M263="3"),0,IF(AND(AU263=3,M263="3-C"),0,IF(AND(AU263=2,M263="Dusk to Dawn"),0,IF(AND(AU263=2,M263="Dusk to Dawn-C"),0,IF(AND(AU263=2,M263="Dusk to Dawn"),0,IF(AND(AU263=2,M263="E"),0,IF(AND(AU263=2,M263="E-C"),0,EG263)))))))))))))))</f>
        <v/>
      </c>
      <c r="AI263" s="1754"/>
      <c r="AJ263" s="1136"/>
      <c r="AK263" s="1136"/>
      <c r="AL263" s="1748">
        <f t="shared" si="256"/>
        <v>0</v>
      </c>
      <c r="AM263" s="1749"/>
      <c r="AN263" s="1750"/>
      <c r="AO263" s="476">
        <f t="shared" si="240"/>
        <v>0</v>
      </c>
      <c r="AP263" s="476">
        <f t="shared" si="257"/>
        <v>0</v>
      </c>
      <c r="AQ263" s="475">
        <f t="shared" si="241"/>
        <v>0</v>
      </c>
      <c r="AR263" s="475">
        <f t="shared" si="258"/>
        <v>0</v>
      </c>
      <c r="AS263" s="743" t="str">
        <f t="shared" si="310"/>
        <v/>
      </c>
      <c r="AT263" s="736" t="str">
        <f t="shared" si="259"/>
        <v/>
      </c>
      <c r="AU263" s="56">
        <f t="shared" si="260"/>
        <v>1</v>
      </c>
      <c r="AV263" s="476">
        <f t="shared" si="261"/>
        <v>0</v>
      </c>
      <c r="AW263" s="56">
        <f t="shared" si="262"/>
        <v>0</v>
      </c>
      <c r="AX263" s="475">
        <f t="shared" si="242"/>
        <v>0</v>
      </c>
      <c r="AY263" s="1169">
        <f t="shared" si="263"/>
        <v>0</v>
      </c>
      <c r="AZ263" s="1150">
        <f t="shared" si="302"/>
        <v>0</v>
      </c>
      <c r="BA263" s="56">
        <f t="shared" si="243"/>
        <v>0</v>
      </c>
      <c r="BB263" s="420">
        <f t="shared" si="244"/>
        <v>0</v>
      </c>
      <c r="BC263" s="58" t="str">
        <f t="shared" si="245"/>
        <v/>
      </c>
      <c r="BD263" s="660">
        <f t="shared" si="303"/>
        <v>0</v>
      </c>
      <c r="BE263" s="57" t="e">
        <f t="array" ref="BE263">INDEX($EB$11:$ED$1022,MATCH(F263&amp;T263,$EB$11:$EB$1007&amp;$EC$11:$EC$1007,0),3)</f>
        <v>#N/A</v>
      </c>
      <c r="BF263" s="463">
        <f t="shared" si="311"/>
        <v>0</v>
      </c>
      <c r="BG263" s="1445" t="e">
        <f t="array" ref="BG263">INDEX($DO$112:$DQ$123,MATCH(T263&amp;W263,$DO$114:$DO$125&amp;$DP$112:$DP$123,0),3)</f>
        <v>#N/A</v>
      </c>
      <c r="BH263" s="1446">
        <f t="shared" si="264"/>
        <v>0</v>
      </c>
      <c r="BI263" s="465">
        <f t="shared" si="265"/>
        <v>0</v>
      </c>
      <c r="BJ263" s="465">
        <f t="shared" si="266"/>
        <v>0</v>
      </c>
      <c r="BK263" s="466">
        <f t="shared" si="312"/>
        <v>0</v>
      </c>
      <c r="BL263" s="466">
        <f t="shared" si="313"/>
        <v>0</v>
      </c>
      <c r="BM263" s="466">
        <f t="shared" si="267"/>
        <v>0</v>
      </c>
      <c r="BN263" s="466">
        <f t="shared" si="268"/>
        <v>0</v>
      </c>
      <c r="BO263" s="463">
        <f>IF('Data Entry'!$C$74=0,0,IF(ISNA(CJ263),0,IF(AX263=0,0,IF(AND('Data Entry'!$C$74=2,AF263&gt;2,CE263&lt;1),0,IF(AND('Data Entry'!$C$74=2,AF263&gt;1,AU263=2,CJ263&gt;1),0,IF(AND(AF263=5,CT263=0.5,AU263=2,ER263&lt;100),0,IF(AND(AF263=5,CT263=0.5,AU263=3,ER263&lt;100),0,IF(AND('Data Entry'!$C$74=2,AF263=2,AU263=2,AK263&gt;0.01,CB263=2,CE263&lt;1),0,IF(AND('Data Entry'!$C$74=2,AF263=3,AU263=3,AK263&gt;0.01,CB263=3,CE263&lt;1),0,IF(AND('Data Entry'!$C$74=2,AF263=3,AU263=3,AK263&gt;0.01,CB263=3,CE263&gt;0.99),BQ263*0.08,IF(AND('Data Entry'!$C$74=2,AF263=2,AU263=2,AK263&gt;0.01,CB263=2,CE263&gt;0.99),BQ263*0.1,IF(AND(AU263=2,AK263&gt;0.01,CB263=2,CD263&gt;1),BQ263*0.1,IF(AND(AU263=3,AK263&gt;0.01,CB263=3,CD263&gt;1),BQ263*0.08,CJ263*EF263)))))))))))))</f>
        <v>0</v>
      </c>
      <c r="BP263" s="475">
        <f t="shared" si="269"/>
        <v>0</v>
      </c>
      <c r="BQ263" s="1431">
        <f>IF(AU263=1,0,IF(CH263=100,0,IF(AND(AF263=3,AU263=2),0,IF(AND(BH263=0,CT263&gt;0.4),0,IF(AND('Data Entry'!$C$74=2,AF263=1.5),0,IF(AND('Data Entry'!$C$74=2,AF263=1.6),0,IF(AND('Data Entry'!$C$74=2,AF263=4),0,IF(AND('Data Entry'!$C$74=2,AF263=5),0,IF(AND('Data Entry'!$C$74=2,AF263=2.5,CE263&lt;1),0,IF(AND('Data Entry'!$C$74=2,AF263=3,CE263&lt;1),0,IF(AND('Data Entry'!$C$74=1,AF263=2.5,CD263&lt;1),0,IF(AND('Data Entry'!$C$74=1,AF263=3,CD263&lt;1),0,IF(DX263&gt;0.01,DX263,IF(ISERROR(AX263-AY263),"",ROUND(AX263-AY263,2)))))))))))))))</f>
        <v>0</v>
      </c>
      <c r="BR263" s="146">
        <f t="shared" si="270"/>
        <v>0</v>
      </c>
      <c r="BS263" s="475">
        <f t="shared" si="271"/>
        <v>0</v>
      </c>
      <c r="BT263" s="146" t="b">
        <f t="shared" si="272"/>
        <v>0</v>
      </c>
      <c r="BU263" s="463">
        <f>IF(ISNA(AT263),0,IF(AND('Data Entry'!$C$74=2,BC263=27),0,IF(AND('Data Entry'!$C$74=2,BC263=28),0,IF(AND(BC263=27,BT263=27,CM263&gt;0.1),CM263*0.15,IF(AND(BC263=28,BT263=28,CM263&gt;0.1),CM263*0.12,0)))))</f>
        <v>0</v>
      </c>
      <c r="BV263" s="463">
        <f t="shared" si="309"/>
        <v>0</v>
      </c>
      <c r="BW263" s="463">
        <f t="shared" si="273"/>
        <v>0</v>
      </c>
      <c r="BX263" s="463">
        <f t="shared" si="274"/>
        <v>0</v>
      </c>
      <c r="BY263" s="463">
        <f t="shared" si="275"/>
        <v>0</v>
      </c>
      <c r="BZ263" s="463">
        <f t="shared" si="276"/>
        <v>0</v>
      </c>
      <c r="CA263" s="57">
        <f t="shared" si="304"/>
        <v>0</v>
      </c>
      <c r="CB263" s="56">
        <f t="shared" si="277"/>
        <v>1</v>
      </c>
      <c r="CC263" s="756">
        <f>IF(EE263=0,0,IF(EF263=0,0,IF(EE263&gt;AA263,0,IF(AND(AZ263&gt;AW263,AW263&gt;0),0,IF(CU263=0,0,Summary!AC566)))))</f>
        <v>0</v>
      </c>
      <c r="CD263" s="756">
        <f>IF(EE263=0,0,IF(EF263=0,0,IF(EE263&gt;AA263,0,IF(AND(AZ263&gt;AW263,AW263&gt;0),0,IF(CU263=0,0,Summary!AD566)))))</f>
        <v>0</v>
      </c>
      <c r="CE263" s="756">
        <f>IF(EF263=0,0,IF(EE263&gt;AA263,0,IF(CC263=0,0,IF(AND(AZ263&gt;AW263,AW263&gt;0),0,IF(CU263=0,0,Summary!AE566)))))</f>
        <v>0</v>
      </c>
      <c r="CF263" s="475">
        <f t="shared" si="278"/>
        <v>0</v>
      </c>
      <c r="CG263" s="476">
        <f t="shared" si="246"/>
        <v>0</v>
      </c>
      <c r="CH263" s="487">
        <f t="shared" si="279"/>
        <v>0</v>
      </c>
      <c r="CI263" s="756">
        <f t="shared" si="280"/>
        <v>0</v>
      </c>
      <c r="CJ263" s="487">
        <f>IF(CT263&gt;0.4,0,IF(AND(AU263=2,CH263=0,CT263=0.5,ER263=100),35,IF(AND(AU263=3,BB263&gt;75,CH263=0,CT263=0.5,ER263=100),25,IF(CB263&gt;1,0,IF(EF263&gt;EE263,0,IF(AND(AF263&gt;1,CH263=100),0,IF(AND(AF263=1,AY263=0),0,IF(AND(EF263&lt;=EE263,AW263&gt;=AZ263,'Data Entry'!$C$74=1,AU263=2),VLOOKUP(W263,$DO$96:$DP$102,2,FALSE),IF(AND(EF263&lt;=EE263,AW263&gt;=AZ263,AU263=3,'Data Entry'!$C$74=1),VLOOKUP(W263,$DO$127:$DP$134,2,FALSE))))))))))</f>
        <v>0</v>
      </c>
      <c r="CK263" s="716">
        <f t="shared" si="281"/>
        <v>0</v>
      </c>
      <c r="CL263" s="57">
        <f t="shared" si="282"/>
        <v>0</v>
      </c>
      <c r="CM263" s="475">
        <f t="shared" si="308"/>
        <v>0</v>
      </c>
      <c r="CN263" s="660">
        <f>IF(CM263&lt;0.1,0,IF(ISNA(AT263),0,IF(CL263+BC263=1,0,IF(BV263&gt;0.01,0,IF(CL263&gt;0.01,0,IF(CF263=1,0,IF(BC263=0.5,0,IF(AND(CI263=1,AU263=3),0,IF(AND(CI263=5,CL263=0),0,IF(AND(R263=12,BR263=50),0,IF(CK263&gt;0.01,0,IF(AND(AJ263&gt;0.01,AU263=2,BC263=15),CM263*0.1,IF(AND(AJ263&gt;0.01,AU263=3,BC263=15),CM263*0.08,IF(AND(R263=12,BC263=3,AF263&lt;=0),0,IF(AND(BC263=15,BI263=0),0,IF(AND(BC263=15,BJ263=0),0,IF(AND(R263=20,CU263=0),0,IF($X$4=0,0,IF(AND(BC263=250,CL263=0),0,IF(AA263&lt;1,0,IF(AND(ISNUMBER(SEARCH("Area",T263)),AU263=3),0,IF(AND(AQ263&gt;0.01,AR263=0,BK263=0,BL263=0,BM263=0,BN263=0),0,IF(AND(AU263=3,CI263=7,CT263&gt;0.5),0,IF(AND(BC263=44,AU263=3,BY263=0),0,IF(AND(BC263=27,'Data Entry'!$C$74=2),0,IF(AND(BC263=28,'Data Entry'!$C$74=2),0,IF(AND(BY263+BZ263+CA263&gt;0.01,BV263=0,EQ263+ER263+ES263+ET263&lt;100),0,IF(AU263=3,CM263*0.08,IF(AU263=2,CM263*0.1,0)))))))))))))))))))))))))))))</f>
        <v>0</v>
      </c>
      <c r="CO263" s="660">
        <f t="shared" si="283"/>
        <v>0</v>
      </c>
      <c r="CP263" s="475" t="str">
        <f t="shared" si="284"/>
        <v/>
      </c>
      <c r="CQ263" s="161" t="str">
        <f>IF(AH263=0,0,IF(AU263=5,0,Summary!AC266))</f>
        <v/>
      </c>
      <c r="CR263" s="161" t="str">
        <f>IF(BF263=0.5,0,IF(AU263=5,0,Summary!AD266))</f>
        <v/>
      </c>
      <c r="CS263" s="161" t="str">
        <f>IF(AU263=5,0,Summary!AE266)</f>
        <v/>
      </c>
      <c r="CT263" s="161">
        <f t="shared" si="285"/>
        <v>0</v>
      </c>
      <c r="CU263" s="475" t="str">
        <f t="shared" si="286"/>
        <v/>
      </c>
      <c r="CV263" s="307">
        <f>IF('Data Entry'!$C$74=0,0,IF(AA263&lt;1,0,IF(ISERROR(CU263),0,IF(CF263=1,0,IF(AND(R263=12,BR263=50),0,IF(CL263+BO263+BV263+DC263=0,0,IF(BC263=37,0,IF(AND(BC263=40,AJ263=0),0,IF(AND(BC263=37,BO263&gt;0.01,BQ263&gt;0.01),ROUND(BQ263,0),IF(CM263&lt;0,0,ROUND(CM263,0)))))))))))</f>
        <v>0</v>
      </c>
      <c r="CW263" s="700">
        <f t="shared" si="287"/>
        <v>0</v>
      </c>
      <c r="CX263" s="477">
        <f>IF('Data Entry'!$C$74=0,0,IF(CV263&lt;0.01,0,IF(BF263=0.5,0,IF(CF263=1,0,IF(ISNUMBER(SEARCH("false",CL263)),0,IF(AZ263=500,0,CL263))))))</f>
        <v>0</v>
      </c>
      <c r="CY263" s="147" t="e">
        <f t="shared" si="288"/>
        <v>#VALUE!</v>
      </c>
      <c r="CZ263" s="147" t="b">
        <f>IF(CN263+CL263=0,FALSE,IF(AH263=0,0,IF(AND('Data Entry'!$C$74=1,CR263&gt;=1),TRUE,IF(AND('Data Entry'!$C$74=2,CS263&gt;=1),TRUE,FALSE))))</f>
        <v>0</v>
      </c>
      <c r="DA263" s="1751">
        <f>IF('Data Entry'!$C$74=0,0,IFERROR(ROUND(IF(T263="","",IF($X$4=0,0,IF(CF263=1,0,IF(BQ263+CV263=0,0,IF(CF263=1,0,IF(CY263&gt;0.01,CY263,IF(CL263&gt;0.01,CL263,IF(CY263&gt;0.01,CY263,IF(BC263=37,BO263,IF(CZ263=FALSE,0,IF(CZ263=TRUE,DC263+DF263,0))))))))))),2),""))</f>
        <v>0</v>
      </c>
      <c r="DB263" s="1752"/>
      <c r="DC263" s="474">
        <f>IF(CN263&lt;0.01,0,IF(AND(BR263=3,CN263&gt;0.01,CT263&gt;0.6,ER263+ES263+ET263&lt;100),0,IF(AND('Data Entry'!$C$74=1,CN263&gt;0.01,CR263&gt;0.99),MIN(CN263:CO263),IF(AND('Data Entry'!$C$74=2,CN263&gt;0.01,CS263&gt;0.99),MIN(CN263:CO263),0))))</f>
        <v>0</v>
      </c>
      <c r="DD263" s="478">
        <f>IF(CF263=1,"Selection does not match",IF(T263=0,0,IF(AND('Data Entry'!$C$74=0,CP263&gt;1),"Select Oregon or Idaho on Data Entry Tab",IF(AND(AU263=1,AA263&gt;0.9),"Missing Interior or Exterior Selection",IF($X$4=0,"Enter Total Project Cost",IF(AQ263&lt;AR263,"Insufficient kWh savings – no incentive",IF(AND(SUM(CL263+CK263+BV263)&gt;0.01,'Data Entry'!$C$74=2,CJ263&gt;1,BO263=0),"Submit Control as Non-Standard",IF(AND('Data Entry'!$C$74=2,BR263=37,CJ263&gt;1,BO263=0),"Submit Control as Non-Standard",IF(SUM(CL263+CK263+BV263)&gt;0.01,"Standard Incentive",IF(AND('Data Entry'!$C$74=2,CP263=7,CN263=0),"Submit as Non-Standard",IF(DC263&gt;0.9,"Non-Standard Incentive",IF(AND(BY263+BZ263+CA263&gt;0.01,BV263=0,EQ263=0,ER263=0,ES263=0,ET263=0),"Scroll Right &amp; Select Control Strategies",IF(AND(CN263&gt;0.01,CO263=0),"Enter Unit Installed Cost",IF(ISNUMBER(SEARCH("Lighting Controls Only",F263)),"Lighting Controls Only",IF(CL263+DC263=0,"Does not meet incentive criteria",0)))))))))))))))</f>
        <v>0</v>
      </c>
      <c r="DE263" s="337">
        <f t="shared" si="289"/>
        <v>0</v>
      </c>
      <c r="DF263" s="609">
        <f t="shared" si="290"/>
        <v>0</v>
      </c>
      <c r="DG263" s="336" t="str">
        <f t="shared" si="291"/>
        <v/>
      </c>
      <c r="DH263" s="338">
        <f t="shared" si="292"/>
        <v>1</v>
      </c>
      <c r="DI263" s="336" t="e">
        <f t="shared" si="247"/>
        <v>#VALUE!</v>
      </c>
      <c r="DJ263" s="338">
        <f t="shared" si="248"/>
        <v>0</v>
      </c>
      <c r="DO263" s="81"/>
      <c r="DP263" s="81"/>
      <c r="DQ263" s="81"/>
      <c r="DR263" s="81"/>
      <c r="DS263" s="1195">
        <f t="shared" si="293"/>
        <v>0</v>
      </c>
      <c r="DT263" s="344" t="b">
        <f t="shared" si="294"/>
        <v>1</v>
      </c>
      <c r="DU263" s="1314" t="str">
        <f t="array" ref="DU263">IF(OR(COUNTIF(F263,"*"&amp;$DK$9:$DK$178&amp;"*")), "Yes", "")</f>
        <v/>
      </c>
      <c r="DV263" s="1314">
        <f t="shared" si="295"/>
        <v>0</v>
      </c>
      <c r="DW263" s="1480">
        <f t="shared" si="296"/>
        <v>0</v>
      </c>
      <c r="DX263" s="1498">
        <f t="shared" si="305"/>
        <v>0</v>
      </c>
      <c r="DY263" s="1484">
        <f t="shared" si="297"/>
        <v>0</v>
      </c>
      <c r="DZ263" s="331"/>
      <c r="EA263" s="392"/>
      <c r="EB263" s="1499" t="s">
        <v>127</v>
      </c>
      <c r="EC263" s="727" t="s">
        <v>1569</v>
      </c>
      <c r="ED263" s="728">
        <v>0.5</v>
      </c>
      <c r="EE263" s="1215"/>
      <c r="EF263" s="1215"/>
      <c r="EG263" s="1184" t="str">
        <f t="shared" si="298"/>
        <v/>
      </c>
      <c r="EJ263" s="1185">
        <f t="shared" si="249"/>
        <v>0</v>
      </c>
      <c r="EK263" s="1211"/>
      <c r="EL263" s="1180">
        <f t="shared" si="250"/>
        <v>0</v>
      </c>
      <c r="EM263" s="206"/>
      <c r="EN263" s="1038"/>
      <c r="EO263" s="1038"/>
      <c r="EP263" s="1038"/>
      <c r="EQ263" s="1038">
        <f t="shared" si="299"/>
        <v>0</v>
      </c>
      <c r="ER263" s="1041">
        <f t="shared" si="300"/>
        <v>0</v>
      </c>
      <c r="ES263" s="1042">
        <f t="shared" si="301"/>
        <v>0</v>
      </c>
      <c r="ET263" s="1042">
        <f t="shared" si="306"/>
        <v>0</v>
      </c>
      <c r="EU263" s="1021">
        <f t="shared" si="307"/>
        <v>0</v>
      </c>
      <c r="EV263" s="368"/>
      <c r="EW263" s="368"/>
      <c r="EX263" s="369"/>
      <c r="EY263" s="370"/>
      <c r="EZ263" s="370"/>
      <c r="FA263" s="371"/>
      <c r="FB263" s="372"/>
    </row>
    <row r="264" spans="1:158" ht="34.5" customHeight="1">
      <c r="A264" s="82">
        <v>256</v>
      </c>
      <c r="B264" s="1806"/>
      <c r="C264" s="1807"/>
      <c r="D264" s="1807"/>
      <c r="E264" s="1808"/>
      <c r="F264" s="1809"/>
      <c r="G264" s="1810"/>
      <c r="H264" s="1810"/>
      <c r="I264" s="1811"/>
      <c r="J264" s="1301"/>
      <c r="K264" s="1814"/>
      <c r="L264" s="1814"/>
      <c r="M264" s="1017"/>
      <c r="N264" s="1584"/>
      <c r="O264" s="208" t="str">
        <f t="shared" si="237"/>
        <v/>
      </c>
      <c r="P264" s="785"/>
      <c r="Q264" s="39" t="str">
        <f t="shared" si="238"/>
        <v/>
      </c>
      <c r="R264" s="39">
        <f t="shared" si="251"/>
        <v>0</v>
      </c>
      <c r="S264" s="234">
        <f t="shared" si="252"/>
        <v>0</v>
      </c>
      <c r="T264" s="1815"/>
      <c r="U264" s="1815"/>
      <c r="V264" s="1815"/>
      <c r="W264" s="1121"/>
      <c r="X264" s="1812"/>
      <c r="Y264" s="1813"/>
      <c r="Z264" s="703"/>
      <c r="AA264" s="1280"/>
      <c r="AB264" s="1141"/>
      <c r="AC264" s="1103" t="str">
        <f>IF(T264="","",VLOOKUP(Z264,Lists!$A$60:$B$111,2,FALSE))</f>
        <v/>
      </c>
      <c r="AD264" s="130" t="str">
        <f t="shared" si="253"/>
        <v/>
      </c>
      <c r="AE264" s="130" t="e">
        <f t="shared" si="254"/>
        <v>#VALUE!</v>
      </c>
      <c r="AF264" s="130">
        <f t="shared" si="255"/>
        <v>1</v>
      </c>
      <c r="AG264" s="234">
        <f t="shared" si="239"/>
        <v>0</v>
      </c>
      <c r="AH264" s="1753" t="str">
        <f>IF(T264="","",(IF(ISNUMBER(SEARCH("exit",T264)),8760,IF(AND(M264="Dusk to Dawn",'Proposed Lighting'!AU264=3),4059,IF(AND(AU264=3,M264="1"),0,IF(AND(AU264=3,M264="1-C"),0,IF(AND(AU264=3,M264="2"),0,IF(AND(AU264=3,M264="2-C"),0,IF(AND(AU264=3,M264="3"),0,IF(AND(AU264=3,M264="3-C"),0,IF(AND(AU264=2,M264="Dusk to Dawn"),0,IF(AND(AU264=2,M264="Dusk to Dawn-C"),0,IF(AND(AU264=2,M264="Dusk to Dawn"),0,IF(AND(AU264=2,M264="E"),0,IF(AND(AU264=2,M264="E-C"),0,EG264)))))))))))))))</f>
        <v/>
      </c>
      <c r="AI264" s="1754"/>
      <c r="AJ264" s="1136"/>
      <c r="AK264" s="1136"/>
      <c r="AL264" s="1748">
        <f t="shared" si="256"/>
        <v>0</v>
      </c>
      <c r="AM264" s="1749"/>
      <c r="AN264" s="1750"/>
      <c r="AO264" s="476">
        <f t="shared" si="240"/>
        <v>0</v>
      </c>
      <c r="AP264" s="476">
        <f t="shared" si="257"/>
        <v>0</v>
      </c>
      <c r="AQ264" s="475">
        <f t="shared" si="241"/>
        <v>0</v>
      </c>
      <c r="AR264" s="475">
        <f t="shared" si="258"/>
        <v>0</v>
      </c>
      <c r="AS264" s="743" t="str">
        <f t="shared" si="310"/>
        <v/>
      </c>
      <c r="AT264" s="736" t="str">
        <f t="shared" si="259"/>
        <v/>
      </c>
      <c r="AU264" s="56">
        <f t="shared" si="260"/>
        <v>1</v>
      </c>
      <c r="AV264" s="476">
        <f t="shared" si="261"/>
        <v>0</v>
      </c>
      <c r="AW264" s="56">
        <f t="shared" si="262"/>
        <v>0</v>
      </c>
      <c r="AX264" s="475">
        <f t="shared" si="242"/>
        <v>0</v>
      </c>
      <c r="AY264" s="1169">
        <f t="shared" si="263"/>
        <v>0</v>
      </c>
      <c r="AZ264" s="1150">
        <f t="shared" si="302"/>
        <v>0</v>
      </c>
      <c r="BA264" s="56">
        <f t="shared" si="243"/>
        <v>0</v>
      </c>
      <c r="BB264" s="420">
        <f t="shared" si="244"/>
        <v>0</v>
      </c>
      <c r="BC264" s="58" t="str">
        <f t="shared" si="245"/>
        <v/>
      </c>
      <c r="BD264" s="660">
        <f t="shared" si="303"/>
        <v>0</v>
      </c>
      <c r="BE264" s="57" t="e">
        <f t="array" ref="BE264">INDEX($EB$11:$ED$1022,MATCH(F264&amp;T264,$EB$11:$EB$1007&amp;$EC$11:$EC$1007,0),3)</f>
        <v>#N/A</v>
      </c>
      <c r="BF264" s="463">
        <f t="shared" si="311"/>
        <v>0</v>
      </c>
      <c r="BG264" s="1445" t="e">
        <f t="array" ref="BG264">INDEX($DO$112:$DQ$123,MATCH(T264&amp;W264,$DO$114:$DO$125&amp;$DP$112:$DP$123,0),3)</f>
        <v>#N/A</v>
      </c>
      <c r="BH264" s="1446">
        <f t="shared" si="264"/>
        <v>0</v>
      </c>
      <c r="BI264" s="465">
        <f t="shared" si="265"/>
        <v>0</v>
      </c>
      <c r="BJ264" s="465">
        <f t="shared" si="266"/>
        <v>0</v>
      </c>
      <c r="BK264" s="466">
        <f t="shared" si="312"/>
        <v>0</v>
      </c>
      <c r="BL264" s="466">
        <f t="shared" si="313"/>
        <v>0</v>
      </c>
      <c r="BM264" s="466">
        <f t="shared" si="267"/>
        <v>0</v>
      </c>
      <c r="BN264" s="466">
        <f t="shared" si="268"/>
        <v>0</v>
      </c>
      <c r="BO264" s="463">
        <f>IF('Data Entry'!$C$74=0,0,IF(ISNA(CJ264),0,IF(AX264=0,0,IF(AND('Data Entry'!$C$74=2,AF264&gt;2,CE264&lt;1),0,IF(AND('Data Entry'!$C$74=2,AF264&gt;1,AU264=2,CJ264&gt;1),0,IF(AND(AF264=5,CT264=0.5,AU264=2,ER264&lt;100),0,IF(AND(AF264=5,CT264=0.5,AU264=3,ER264&lt;100),0,IF(AND('Data Entry'!$C$74=2,AF264=2,AU264=2,AK264&gt;0.01,CB264=2,CE264&lt;1),0,IF(AND('Data Entry'!$C$74=2,AF264=3,AU264=3,AK264&gt;0.01,CB264=3,CE264&lt;1),0,IF(AND('Data Entry'!$C$74=2,AF264=3,AU264=3,AK264&gt;0.01,CB264=3,CE264&gt;0.99),BQ264*0.08,IF(AND('Data Entry'!$C$74=2,AF264=2,AU264=2,AK264&gt;0.01,CB264=2,CE264&gt;0.99),BQ264*0.1,IF(AND(AU264=2,AK264&gt;0.01,CB264=2,CD264&gt;1),BQ264*0.1,IF(AND(AU264=3,AK264&gt;0.01,CB264=3,CD264&gt;1),BQ264*0.08,CJ264*EF264)))))))))))))</f>
        <v>0</v>
      </c>
      <c r="BP264" s="475">
        <f t="shared" si="269"/>
        <v>0</v>
      </c>
      <c r="BQ264" s="1431">
        <f>IF(AU264=1,0,IF(CH264=100,0,IF(AND(AF264=3,AU264=2),0,IF(AND(BH264=0,CT264&gt;0.4),0,IF(AND('Data Entry'!$C$74=2,AF264=1.5),0,IF(AND('Data Entry'!$C$74=2,AF264=1.6),0,IF(AND('Data Entry'!$C$74=2,AF264=4),0,IF(AND('Data Entry'!$C$74=2,AF264=5),0,IF(AND('Data Entry'!$C$74=2,AF264=2.5,CE264&lt;1),0,IF(AND('Data Entry'!$C$74=2,AF264=3,CE264&lt;1),0,IF(AND('Data Entry'!$C$74=1,AF264=2.5,CD264&lt;1),0,IF(AND('Data Entry'!$C$74=1,AF264=3,CD264&lt;1),0,IF(DX264&gt;0.01,DX264,IF(ISERROR(AX264-AY264),"",ROUND(AX264-AY264,2)))))))))))))))</f>
        <v>0</v>
      </c>
      <c r="BR264" s="146">
        <f t="shared" si="270"/>
        <v>0</v>
      </c>
      <c r="BS264" s="475">
        <f t="shared" si="271"/>
        <v>0</v>
      </c>
      <c r="BT264" s="146" t="b">
        <f t="shared" si="272"/>
        <v>0</v>
      </c>
      <c r="BU264" s="463">
        <f>IF(ISNA(AT264),0,IF(AND('Data Entry'!$C$74=2,BC264=27),0,IF(AND('Data Entry'!$C$74=2,BC264=28),0,IF(AND(BC264=27,BT264=27,CM264&gt;0.1),CM264*0.15,IF(AND(BC264=28,BT264=28,CM264&gt;0.1),CM264*0.12,0)))))</f>
        <v>0</v>
      </c>
      <c r="BV264" s="463">
        <f t="shared" si="309"/>
        <v>0</v>
      </c>
      <c r="BW264" s="463">
        <f t="shared" si="273"/>
        <v>0</v>
      </c>
      <c r="BX264" s="463">
        <f t="shared" si="274"/>
        <v>0</v>
      </c>
      <c r="BY264" s="463">
        <f t="shared" si="275"/>
        <v>0</v>
      </c>
      <c r="BZ264" s="463">
        <f t="shared" si="276"/>
        <v>0</v>
      </c>
      <c r="CA264" s="57">
        <f t="shared" si="304"/>
        <v>0</v>
      </c>
      <c r="CB264" s="56">
        <f t="shared" si="277"/>
        <v>1</v>
      </c>
      <c r="CC264" s="756">
        <f>IF(EE264=0,0,IF(EF264=0,0,IF(EE264&gt;AA264,0,IF(AND(AZ264&gt;AW264,AW264&gt;0),0,IF(CU264=0,0,Summary!AC567)))))</f>
        <v>0</v>
      </c>
      <c r="CD264" s="756">
        <f>IF(EE264=0,0,IF(EF264=0,0,IF(EE264&gt;AA264,0,IF(AND(AZ264&gt;AW264,AW264&gt;0),0,IF(CU264=0,0,Summary!AD567)))))</f>
        <v>0</v>
      </c>
      <c r="CE264" s="756">
        <f>IF(EF264=0,0,IF(EE264&gt;AA264,0,IF(CC264=0,0,IF(AND(AZ264&gt;AW264,AW264&gt;0),0,IF(CU264=0,0,Summary!AE567)))))</f>
        <v>0</v>
      </c>
      <c r="CF264" s="475">
        <f t="shared" si="278"/>
        <v>0</v>
      </c>
      <c r="CG264" s="476">
        <f t="shared" si="246"/>
        <v>0</v>
      </c>
      <c r="CH264" s="487">
        <f t="shared" si="279"/>
        <v>0</v>
      </c>
      <c r="CI264" s="756">
        <f t="shared" si="280"/>
        <v>0</v>
      </c>
      <c r="CJ264" s="487">
        <f>IF(CT264&gt;0.4,0,IF(AND(AU264=2,CH264=0,CT264=0.5,ER264=100),35,IF(AND(AU264=3,BB264&gt;75,CH264=0,CT264=0.5,ER264=100),25,IF(CB264&gt;1,0,IF(EF264&gt;EE264,0,IF(AND(AF264&gt;1,CH264=100),0,IF(AND(AF264=1,AY264=0),0,IF(AND(EF264&lt;=EE264,AW264&gt;=AZ264,'Data Entry'!$C$74=1,AU264=2),VLOOKUP(W264,$DO$96:$DP$102,2,FALSE),IF(AND(EF264&lt;=EE264,AW264&gt;=AZ264,AU264=3,'Data Entry'!$C$74=1),VLOOKUP(W264,$DO$127:$DP$134,2,FALSE))))))))))</f>
        <v>0</v>
      </c>
      <c r="CK264" s="716">
        <f t="shared" si="281"/>
        <v>0</v>
      </c>
      <c r="CL264" s="57">
        <f t="shared" si="282"/>
        <v>0</v>
      </c>
      <c r="CM264" s="475">
        <f t="shared" si="308"/>
        <v>0</v>
      </c>
      <c r="CN264" s="660">
        <f>IF(CM264&lt;0.1,0,IF(ISNA(AT264),0,IF(CL264+BC264=1,0,IF(BV264&gt;0.01,0,IF(CL264&gt;0.01,0,IF(CF264=1,0,IF(BC264=0.5,0,IF(AND(CI264=1,AU264=3),0,IF(AND(CI264=5,CL264=0),0,IF(AND(R264=12,BR264=50),0,IF(CK264&gt;0.01,0,IF(AND(AJ264&gt;0.01,AU264=2,BC264=15),CM264*0.1,IF(AND(AJ264&gt;0.01,AU264=3,BC264=15),CM264*0.08,IF(AND(R264=12,BC264=3,AF264&lt;=0),0,IF(AND(BC264=15,BI264=0),0,IF(AND(BC264=15,BJ264=0),0,IF(AND(R264=20,CU264=0),0,IF($X$4=0,0,IF(AND(BC264=250,CL264=0),0,IF(AA264&lt;1,0,IF(AND(ISNUMBER(SEARCH("Area",T264)),AU264=3),0,IF(AND(AQ264&gt;0.01,AR264=0,BK264=0,BL264=0,BM264=0,BN264=0),0,IF(AND(AU264=3,CI264=7,CT264&gt;0.5),0,IF(AND(BC264=44,AU264=3,BY264=0),0,IF(AND(BC264=27,'Data Entry'!$C$74=2),0,IF(AND(BC264=28,'Data Entry'!$C$74=2),0,IF(AND(BY264+BZ264+CA264&gt;0.01,BV264=0,EQ264+ER264+ES264+ET264&lt;100),0,IF(AU264=3,CM264*0.08,IF(AU264=2,CM264*0.1,0)))))))))))))))))))))))))))))</f>
        <v>0</v>
      </c>
      <c r="CO264" s="660">
        <f t="shared" si="283"/>
        <v>0</v>
      </c>
      <c r="CP264" s="475" t="str">
        <f t="shared" si="284"/>
        <v/>
      </c>
      <c r="CQ264" s="161" t="str">
        <f>IF(AH264=0,0,IF(AU264=5,0,Summary!AC267))</f>
        <v/>
      </c>
      <c r="CR264" s="161" t="str">
        <f>IF(BF264=0.5,0,IF(AU264=5,0,Summary!AD267))</f>
        <v/>
      </c>
      <c r="CS264" s="161" t="str">
        <f>IF(AU264=5,0,Summary!AE267)</f>
        <v/>
      </c>
      <c r="CT264" s="161">
        <f t="shared" si="285"/>
        <v>0</v>
      </c>
      <c r="CU264" s="475" t="str">
        <f t="shared" si="286"/>
        <v/>
      </c>
      <c r="CV264" s="307">
        <f>IF('Data Entry'!$C$74=0,0,IF(AA264&lt;1,0,IF(ISERROR(CU264),0,IF(CF264=1,0,IF(AND(R264=12,BR264=50),0,IF(CL264+BO264+BV264+DC264=0,0,IF(BC264=37,0,IF(AND(BC264=40,AJ264=0),0,IF(AND(BC264=37,BO264&gt;0.01,BQ264&gt;0.01),ROUND(BQ264,0),IF(CM264&lt;0,0,ROUND(CM264,0)))))))))))</f>
        <v>0</v>
      </c>
      <c r="CW264" s="700">
        <f t="shared" si="287"/>
        <v>0</v>
      </c>
      <c r="CX264" s="477">
        <f>IF('Data Entry'!$C$74=0,0,IF(CV264&lt;0.01,0,IF(BF264=0.5,0,IF(CF264=1,0,IF(ISNUMBER(SEARCH("false",CL264)),0,IF(AZ264=500,0,CL264))))))</f>
        <v>0</v>
      </c>
      <c r="CY264" s="147" t="e">
        <f t="shared" si="288"/>
        <v>#VALUE!</v>
      </c>
      <c r="CZ264" s="147" t="b">
        <f>IF(CN264+CL264=0,FALSE,IF(AH264=0,0,IF(AND('Data Entry'!$C$74=1,CR264&gt;=1),TRUE,IF(AND('Data Entry'!$C$74=2,CS264&gt;=1),TRUE,FALSE))))</f>
        <v>0</v>
      </c>
      <c r="DA264" s="1751">
        <f>IF('Data Entry'!$C$74=0,0,IFERROR(ROUND(IF(T264="","",IF($X$4=0,0,IF(CF264=1,0,IF(BQ264+CV264=0,0,IF(CF264=1,0,IF(CY264&gt;0.01,CY264,IF(CL264&gt;0.01,CL264,IF(CY264&gt;0.01,CY264,IF(BC264=37,BO264,IF(CZ264=FALSE,0,IF(CZ264=TRUE,DC264+DF264,0))))))))))),2),""))</f>
        <v>0</v>
      </c>
      <c r="DB264" s="1752"/>
      <c r="DC264" s="474">
        <f>IF(CN264&lt;0.01,0,IF(AND(BR264=3,CN264&gt;0.01,CT264&gt;0.6,ER264+ES264+ET264&lt;100),0,IF(AND('Data Entry'!$C$74=1,CN264&gt;0.01,CR264&gt;0.99),MIN(CN264:CO264),IF(AND('Data Entry'!$C$74=2,CN264&gt;0.01,CS264&gt;0.99),MIN(CN264:CO264),0))))</f>
        <v>0</v>
      </c>
      <c r="DD264" s="478">
        <f>IF(CF264=1,"Selection does not match",IF(T264=0,0,IF(AND('Data Entry'!$C$74=0,CP264&gt;1),"Select Oregon or Idaho on Data Entry Tab",IF(AND(AU264=1,AA264&gt;0.9),"Missing Interior or Exterior Selection",IF($X$4=0,"Enter Total Project Cost",IF(AQ264&lt;AR264,"Insufficient kWh savings – no incentive",IF(AND(SUM(CL264+CK264+BV264)&gt;0.01,'Data Entry'!$C$74=2,CJ264&gt;1,BO264=0),"Submit Control as Non-Standard",IF(AND('Data Entry'!$C$74=2,BR264=37,CJ264&gt;1,BO264=0),"Submit Control as Non-Standard",IF(SUM(CL264+CK264+BV264)&gt;0.01,"Standard Incentive",IF(AND('Data Entry'!$C$74=2,CP264=7,CN264=0),"Submit as Non-Standard",IF(DC264&gt;0.9,"Non-Standard Incentive",IF(AND(BY264+BZ264+CA264&gt;0.01,BV264=0,EQ264=0,ER264=0,ES264=0,ET264=0),"Scroll Right &amp; Select Control Strategies",IF(AND(CN264&gt;0.01,CO264=0),"Enter Unit Installed Cost",IF(ISNUMBER(SEARCH("Lighting Controls Only",F264)),"Lighting Controls Only",IF(CL264+DC264=0,"Does not meet incentive criteria",0)))))))))))))))</f>
        <v>0</v>
      </c>
      <c r="DE264" s="337">
        <f t="shared" si="289"/>
        <v>0</v>
      </c>
      <c r="DF264" s="609">
        <f t="shared" si="290"/>
        <v>0</v>
      </c>
      <c r="DG264" s="336" t="str">
        <f t="shared" si="291"/>
        <v/>
      </c>
      <c r="DH264" s="338">
        <f t="shared" si="292"/>
        <v>1</v>
      </c>
      <c r="DI264" s="336" t="e">
        <f t="shared" si="247"/>
        <v>#VALUE!</v>
      </c>
      <c r="DJ264" s="338">
        <f t="shared" si="248"/>
        <v>0</v>
      </c>
      <c r="DO264" s="81"/>
      <c r="DP264" s="81"/>
      <c r="DQ264" s="81"/>
      <c r="DR264" s="81"/>
      <c r="DS264" s="1195">
        <f t="shared" si="293"/>
        <v>0</v>
      </c>
      <c r="DT264" s="344" t="b">
        <f t="shared" si="294"/>
        <v>1</v>
      </c>
      <c r="DU264" s="1314" t="str">
        <f t="array" ref="DU264">IF(OR(COUNTIF(F264,"*"&amp;$DK$9:$DK$178&amp;"*")), "Yes", "")</f>
        <v/>
      </c>
      <c r="DV264" s="1314">
        <f t="shared" si="295"/>
        <v>0</v>
      </c>
      <c r="DW264" s="1480">
        <f t="shared" si="296"/>
        <v>0</v>
      </c>
      <c r="DX264" s="1498">
        <f t="shared" si="305"/>
        <v>0</v>
      </c>
      <c r="DY264" s="1484">
        <f t="shared" si="297"/>
        <v>0</v>
      </c>
      <c r="DZ264" s="331"/>
      <c r="EA264" s="392"/>
      <c r="EB264" s="1499" t="s">
        <v>128</v>
      </c>
      <c r="EC264" s="727" t="s">
        <v>1569</v>
      </c>
      <c r="ED264" s="728">
        <v>0.5</v>
      </c>
      <c r="EE264" s="1215"/>
      <c r="EF264" s="1215"/>
      <c r="EG264" s="1184" t="str">
        <f t="shared" si="298"/>
        <v/>
      </c>
      <c r="EJ264" s="1185">
        <f t="shared" si="249"/>
        <v>0</v>
      </c>
      <c r="EK264" s="1211"/>
      <c r="EL264" s="1180">
        <f t="shared" si="250"/>
        <v>0</v>
      </c>
      <c r="EM264" s="206"/>
      <c r="EN264" s="1038"/>
      <c r="EO264" s="1038"/>
      <c r="EP264" s="1038"/>
      <c r="EQ264" s="1038">
        <f t="shared" si="299"/>
        <v>0</v>
      </c>
      <c r="ER264" s="1041">
        <f t="shared" si="300"/>
        <v>0</v>
      </c>
      <c r="ES264" s="1042">
        <f t="shared" si="301"/>
        <v>0</v>
      </c>
      <c r="ET264" s="1042">
        <f t="shared" si="306"/>
        <v>0</v>
      </c>
      <c r="EU264" s="1021">
        <f t="shared" si="307"/>
        <v>0</v>
      </c>
      <c r="EV264" s="368"/>
      <c r="EW264" s="368"/>
      <c r="EX264" s="369"/>
      <c r="EY264" s="370"/>
      <c r="EZ264" s="370"/>
      <c r="FA264" s="371"/>
      <c r="FB264" s="372"/>
    </row>
    <row r="265" spans="1:158" ht="34.5" customHeight="1">
      <c r="A265" s="82">
        <v>257</v>
      </c>
      <c r="B265" s="1806"/>
      <c r="C265" s="1807"/>
      <c r="D265" s="1807"/>
      <c r="E265" s="1808"/>
      <c r="F265" s="1809"/>
      <c r="G265" s="1810"/>
      <c r="H265" s="1810"/>
      <c r="I265" s="1811"/>
      <c r="J265" s="1301"/>
      <c r="K265" s="1814"/>
      <c r="L265" s="1814"/>
      <c r="M265" s="1017"/>
      <c r="N265" s="1584"/>
      <c r="O265" s="208" t="str">
        <f t="shared" ref="O265:O308" si="314">IF(F265="","",VLOOKUP(F265,$DK$5:$DL$202,2,FALSE))</f>
        <v/>
      </c>
      <c r="P265" s="785"/>
      <c r="Q265" s="39" t="str">
        <f t="shared" ref="Q265:Q308" si="315">IF(F265="","",VLOOKUP(F265,$DM$9:$DN$177,2,FALSE))</f>
        <v/>
      </c>
      <c r="R265" s="39">
        <f t="shared" si="251"/>
        <v>0</v>
      </c>
      <c r="S265" s="234">
        <f t="shared" si="252"/>
        <v>0</v>
      </c>
      <c r="T265" s="1815"/>
      <c r="U265" s="1815"/>
      <c r="V265" s="1815"/>
      <c r="W265" s="1121"/>
      <c r="X265" s="1812"/>
      <c r="Y265" s="1813"/>
      <c r="Z265" s="703"/>
      <c r="AA265" s="1280"/>
      <c r="AB265" s="1141"/>
      <c r="AC265" s="1103" t="str">
        <f>IF(T265="","",VLOOKUP(Z265,Lists!$A$60:$B$111,2,FALSE))</f>
        <v/>
      </c>
      <c r="AD265" s="130" t="str">
        <f t="shared" si="253"/>
        <v/>
      </c>
      <c r="AE265" s="130" t="e">
        <f t="shared" si="254"/>
        <v>#VALUE!</v>
      </c>
      <c r="AF265" s="130">
        <f t="shared" si="255"/>
        <v>1</v>
      </c>
      <c r="AG265" s="234">
        <f t="shared" ref="AG265:AG308" si="316">IF(ISNUMBER(SEARCH("controls",F265)),0,AR265)</f>
        <v>0</v>
      </c>
      <c r="AH265" s="1753" t="str">
        <f>IF(T265="","",(IF(ISNUMBER(SEARCH("exit",T265)),8760,IF(AND(M265="Dusk to Dawn",'Proposed Lighting'!AU265=3),4059,IF(AND(AU265=3,M265="1"),0,IF(AND(AU265=3,M265="1-C"),0,IF(AND(AU265=3,M265="2"),0,IF(AND(AU265=3,M265="2-C"),0,IF(AND(AU265=3,M265="3"),0,IF(AND(AU265=3,M265="3-C"),0,IF(AND(AU265=2,M265="Dusk to Dawn"),0,IF(AND(AU265=2,M265="Dusk to Dawn-C"),0,IF(AND(AU265=2,M265="Dusk to Dawn"),0,IF(AND(AU265=2,M265="E"),0,IF(AND(AU265=2,M265="E-C"),0,EG265)))))))))))))))</f>
        <v/>
      </c>
      <c r="AI265" s="1754"/>
      <c r="AJ265" s="1136"/>
      <c r="AK265" s="1136"/>
      <c r="AL265" s="1748">
        <f t="shared" si="256"/>
        <v>0</v>
      </c>
      <c r="AM265" s="1749"/>
      <c r="AN265" s="1750"/>
      <c r="AO265" s="476">
        <f t="shared" ref="AO265:AO308" si="317">IF(ISNUMBER(SEARCH("controls",F265)),0,IF(ISBLANK(F265),0,IF(P265&gt;0.01,P265*N265/1000,O265*N265/1000)))</f>
        <v>0</v>
      </c>
      <c r="AP265" s="476">
        <f t="shared" si="257"/>
        <v>0</v>
      </c>
      <c r="AQ265" s="475">
        <f t="shared" ref="AQ265:AQ308" si="318">IF(ISNUMBER(SEARCH("controls",F265)),0,IF(AU265=1,0,IF(EJ265&gt;0.01,EG265*0.9*N265*AS265/1000,AO265*AH265)))</f>
        <v>0</v>
      </c>
      <c r="AR265" s="475">
        <f t="shared" si="258"/>
        <v>0</v>
      </c>
      <c r="AS265" s="743" t="str">
        <f t="shared" si="310"/>
        <v/>
      </c>
      <c r="AT265" s="736" t="str">
        <f t="shared" si="259"/>
        <v/>
      </c>
      <c r="AU265" s="56">
        <f t="shared" si="260"/>
        <v>1</v>
      </c>
      <c r="AV265" s="476">
        <f t="shared" si="261"/>
        <v>0</v>
      </c>
      <c r="AW265" s="56">
        <f t="shared" si="262"/>
        <v>0</v>
      </c>
      <c r="AX265" s="475">
        <f t="shared" ref="AX265:AX308" si="319">IF(EE265=0,0,IF(AW265=0,0,IF(EF265=0,0,IF(EE265&gt;AA265,0,IF(EJ265&gt;0.01,(EE265*AT265)*EJ265/1000,(EE265*AT265)*CU265/1000)))))</f>
        <v>0</v>
      </c>
      <c r="AY265" s="1169">
        <f t="shared" si="263"/>
        <v>0</v>
      </c>
      <c r="AZ265" s="1150">
        <f t="shared" si="302"/>
        <v>0</v>
      </c>
      <c r="BA265" s="56">
        <f t="shared" ref="BA265:BA308" si="320">IF(AND(AK265&gt;0.01,AF265&gt;1,EF265&gt;0.5),EF265*AK265,IF(AND(BQ265&gt;0,AK265&gt;0),AK265*EF265,0))</f>
        <v>0</v>
      </c>
      <c r="BB265" s="420">
        <f t="shared" ref="BB265:BB308" si="321">IF(AV265=0,0,IF(AND(AV265&gt;0.01,DS265&lt;2),0,IF(AF265&lt;2,0,AC265*EE265/EF265)))</f>
        <v>0</v>
      </c>
      <c r="BC265" s="58" t="str">
        <f t="shared" ref="BC265:BC308" si="322">IF(T265="","",VLOOKUP(T265,$DQ$193:$DR$237,2,FALSE))</f>
        <v/>
      </c>
      <c r="BD265" s="660">
        <f t="shared" si="303"/>
        <v>0</v>
      </c>
      <c r="BE265" s="57" t="e">
        <f t="array" ref="BE265">INDEX($EB$11:$ED$1022,MATCH(F265&amp;T265,$EB$11:$EB$1007&amp;$EC$11:$EC$1007,0),3)</f>
        <v>#N/A</v>
      </c>
      <c r="BF265" s="463">
        <f t="shared" si="311"/>
        <v>0</v>
      </c>
      <c r="BG265" s="1445" t="e">
        <f t="array" ref="BG265">INDEX($DO$112:$DQ$123,MATCH(T265&amp;W265,$DO$114:$DO$125&amp;$DP$112:$DP$123,0),3)</f>
        <v>#N/A</v>
      </c>
      <c r="BH265" s="1446">
        <f t="shared" si="264"/>
        <v>0</v>
      </c>
      <c r="BI265" s="465">
        <f t="shared" si="265"/>
        <v>0</v>
      </c>
      <c r="BJ265" s="465">
        <f t="shared" si="266"/>
        <v>0</v>
      </c>
      <c r="BK265" s="466">
        <f t="shared" si="312"/>
        <v>0</v>
      </c>
      <c r="BL265" s="466">
        <f t="shared" si="313"/>
        <v>0</v>
      </c>
      <c r="BM265" s="466">
        <f t="shared" si="267"/>
        <v>0</v>
      </c>
      <c r="BN265" s="466">
        <f t="shared" si="268"/>
        <v>0</v>
      </c>
      <c r="BO265" s="463">
        <f>IF('Data Entry'!$C$74=0,0,IF(ISNA(CJ265),0,IF(AX265=0,0,IF(AND('Data Entry'!$C$74=2,AF265&gt;2,CE265&lt;1),0,IF(AND('Data Entry'!$C$74=2,AF265&gt;1,AU265=2,CJ265&gt;1),0,IF(AND(AF265=5,CT265=0.5,AU265=2,ER265&lt;100),0,IF(AND(AF265=5,CT265=0.5,AU265=3,ER265&lt;100),0,IF(AND('Data Entry'!$C$74=2,AF265=2,AU265=2,AK265&gt;0.01,CB265=2,CE265&lt;1),0,IF(AND('Data Entry'!$C$74=2,AF265=3,AU265=3,AK265&gt;0.01,CB265=3,CE265&lt;1),0,IF(AND('Data Entry'!$C$74=2,AF265=3,AU265=3,AK265&gt;0.01,CB265=3,CE265&gt;0.99),BQ265*0.08,IF(AND('Data Entry'!$C$74=2,AF265=2,AU265=2,AK265&gt;0.01,CB265=2,CE265&gt;0.99),BQ265*0.1,IF(AND(AU265=2,AK265&gt;0.01,CB265=2,CD265&gt;1),BQ265*0.1,IF(AND(AU265=3,AK265&gt;0.01,CB265=3,CD265&gt;1),BQ265*0.08,CJ265*EF265)))))))))))))</f>
        <v>0</v>
      </c>
      <c r="BP265" s="475">
        <f t="shared" si="269"/>
        <v>0</v>
      </c>
      <c r="BQ265" s="1431">
        <f>IF(AU265=1,0,IF(CH265=100,0,IF(AND(AF265=3,AU265=2),0,IF(AND(BH265=0,CT265&gt;0.4),0,IF(AND('Data Entry'!$C$74=2,AF265=1.5),0,IF(AND('Data Entry'!$C$74=2,AF265=1.6),0,IF(AND('Data Entry'!$C$74=2,AF265=4),0,IF(AND('Data Entry'!$C$74=2,AF265=5),0,IF(AND('Data Entry'!$C$74=2,AF265=2.5,CE265&lt;1),0,IF(AND('Data Entry'!$C$74=2,AF265=3,CE265&lt;1),0,IF(AND('Data Entry'!$C$74=1,AF265=2.5,CD265&lt;1),0,IF(AND('Data Entry'!$C$74=1,AF265=3,CD265&lt;1),0,IF(DX265&gt;0.01,DX265,IF(ISERROR(AX265-AY265),"",ROUND(AX265-AY265,2)))))))))))))))</f>
        <v>0</v>
      </c>
      <c r="BR265" s="146">
        <f t="shared" si="270"/>
        <v>0</v>
      </c>
      <c r="BS265" s="475">
        <f t="shared" si="271"/>
        <v>0</v>
      </c>
      <c r="BT265" s="146" t="b">
        <f t="shared" si="272"/>
        <v>0</v>
      </c>
      <c r="BU265" s="463">
        <f>IF(ISNA(AT265),0,IF(AND('Data Entry'!$C$74=2,BC265=27),0,IF(AND('Data Entry'!$C$74=2,BC265=28),0,IF(AND(BC265=27,BT265=27,CM265&gt;0.1),CM265*0.15,IF(AND(BC265=28,BT265=28,CM265&gt;0.1),CM265*0.12,0)))))</f>
        <v>0</v>
      </c>
      <c r="BV265" s="463">
        <f t="shared" si="309"/>
        <v>0</v>
      </c>
      <c r="BW265" s="463">
        <f t="shared" si="273"/>
        <v>0</v>
      </c>
      <c r="BX265" s="463">
        <f t="shared" si="274"/>
        <v>0</v>
      </c>
      <c r="BY265" s="463">
        <f t="shared" si="275"/>
        <v>0</v>
      </c>
      <c r="BZ265" s="463">
        <f t="shared" si="276"/>
        <v>0</v>
      </c>
      <c r="CA265" s="57">
        <f t="shared" si="304"/>
        <v>0</v>
      </c>
      <c r="CB265" s="56">
        <f t="shared" si="277"/>
        <v>1</v>
      </c>
      <c r="CC265" s="756">
        <f>IF(EE265=0,0,IF(EF265=0,0,IF(EE265&gt;AA265,0,IF(AND(AZ265&gt;AW265,AW265&gt;0),0,IF(CU265=0,0,Summary!AC568)))))</f>
        <v>0</v>
      </c>
      <c r="CD265" s="756">
        <f>IF(EE265=0,0,IF(EF265=0,0,IF(EE265&gt;AA265,0,IF(AND(AZ265&gt;AW265,AW265&gt;0),0,IF(CU265=0,0,Summary!AD568)))))</f>
        <v>0</v>
      </c>
      <c r="CE265" s="756">
        <f>IF(EF265=0,0,IF(EE265&gt;AA265,0,IF(CC265=0,0,IF(AND(AZ265&gt;AW265,AW265&gt;0),0,IF(CU265=0,0,Summary!AE568)))))</f>
        <v>0</v>
      </c>
      <c r="CF265" s="475">
        <f t="shared" si="278"/>
        <v>0</v>
      </c>
      <c r="CG265" s="476">
        <f t="shared" ref="CG265:CG308" si="323">IF(CV265&lt;0,0,IF(DA265=0,0,AR265))</f>
        <v>0</v>
      </c>
      <c r="CH265" s="487">
        <f t="shared" si="279"/>
        <v>0</v>
      </c>
      <c r="CI265" s="756">
        <f t="shared" si="280"/>
        <v>0</v>
      </c>
      <c r="CJ265" s="487">
        <f>IF(CT265&gt;0.4,0,IF(AND(AU265=2,CH265=0,CT265=0.5,ER265=100),35,IF(AND(AU265=3,BB265&gt;75,CH265=0,CT265=0.5,ER265=100),25,IF(CB265&gt;1,0,IF(EF265&gt;EE265,0,IF(AND(AF265&gt;1,CH265=100),0,IF(AND(AF265=1,AY265=0),0,IF(AND(EF265&lt;=EE265,AW265&gt;=AZ265,'Data Entry'!$C$74=1,AU265=2),VLOOKUP(W265,$DO$96:$DP$102,2,FALSE),IF(AND(EF265&lt;=EE265,AW265&gt;=AZ265,AU265=3,'Data Entry'!$C$74=1),VLOOKUP(W265,$DO$127:$DP$134,2,FALSE))))))))))</f>
        <v>0</v>
      </c>
      <c r="CK265" s="716">
        <f t="shared" si="281"/>
        <v>0</v>
      </c>
      <c r="CL265" s="57">
        <f t="shared" si="282"/>
        <v>0</v>
      </c>
      <c r="CM265" s="475">
        <f t="shared" si="308"/>
        <v>0</v>
      </c>
      <c r="CN265" s="660">
        <f>IF(CM265&lt;0.1,0,IF(ISNA(AT265),0,IF(CL265+BC265=1,0,IF(BV265&gt;0.01,0,IF(CL265&gt;0.01,0,IF(CF265=1,0,IF(BC265=0.5,0,IF(AND(CI265=1,AU265=3),0,IF(AND(CI265=5,CL265=0),0,IF(AND(R265=12,BR265=50),0,IF(CK265&gt;0.01,0,IF(AND(AJ265&gt;0.01,AU265=2,BC265=15),CM265*0.1,IF(AND(AJ265&gt;0.01,AU265=3,BC265=15),CM265*0.08,IF(AND(R265=12,BC265=3,AF265&lt;=0),0,IF(AND(BC265=15,BI265=0),0,IF(AND(BC265=15,BJ265=0),0,IF(AND(R265=20,CU265=0),0,IF($X$4=0,0,IF(AND(BC265=250,CL265=0),0,IF(AA265&lt;1,0,IF(AND(ISNUMBER(SEARCH("Area",T265)),AU265=3),0,IF(AND(AQ265&gt;0.01,AR265=0,BK265=0,BL265=0,BM265=0,BN265=0),0,IF(AND(AU265=3,CI265=7,CT265&gt;0.5),0,IF(AND(BC265=44,AU265=3,BY265=0),0,IF(AND(BC265=27,'Data Entry'!$C$74=2),0,IF(AND(BC265=28,'Data Entry'!$C$74=2),0,IF(AND(BY265+BZ265+CA265&gt;0.01,BV265=0,EQ265+ER265+ES265+ET265&lt;100),0,IF(AU265=3,CM265*0.08,IF(AU265=2,CM265*0.1,0)))))))))))))))))))))))))))))</f>
        <v>0</v>
      </c>
      <c r="CO265" s="660">
        <f t="shared" si="283"/>
        <v>0</v>
      </c>
      <c r="CP265" s="475" t="str">
        <f t="shared" si="284"/>
        <v/>
      </c>
      <c r="CQ265" s="161" t="str">
        <f>IF(AH265=0,0,IF(AU265=5,0,Summary!AC268))</f>
        <v/>
      </c>
      <c r="CR265" s="161" t="str">
        <f>IF(BF265=0.5,0,IF(AU265=5,0,Summary!AD268))</f>
        <v/>
      </c>
      <c r="CS265" s="161" t="str">
        <f>IF(AU265=5,0,Summary!AE268)</f>
        <v/>
      </c>
      <c r="CT265" s="161">
        <f t="shared" si="285"/>
        <v>0</v>
      </c>
      <c r="CU265" s="475" t="str">
        <f t="shared" si="286"/>
        <v/>
      </c>
      <c r="CV265" s="307">
        <f>IF('Data Entry'!$C$74=0,0,IF(AA265&lt;1,0,IF(ISERROR(CU265),0,IF(CF265=1,0,IF(AND(R265=12,BR265=50),0,IF(CL265+BO265+BV265+DC265=0,0,IF(BC265=37,0,IF(AND(BC265=40,AJ265=0),0,IF(AND(BC265=37,BO265&gt;0.01,BQ265&gt;0.01),ROUND(BQ265,0),IF(CM265&lt;0,0,ROUND(CM265,0)))))))))))</f>
        <v>0</v>
      </c>
      <c r="CW265" s="700">
        <f t="shared" si="287"/>
        <v>0</v>
      </c>
      <c r="CX265" s="477">
        <f>IF('Data Entry'!$C$74=0,0,IF(CV265&lt;0.01,0,IF(BF265=0.5,0,IF(CF265=1,0,IF(ISNUMBER(SEARCH("false",CL265)),0,IF(AZ265=500,0,CL265))))))</f>
        <v>0</v>
      </c>
      <c r="CY265" s="147" t="e">
        <f t="shared" si="288"/>
        <v>#VALUE!</v>
      </c>
      <c r="CZ265" s="147" t="b">
        <f>IF(CN265+CL265=0,FALSE,IF(AH265=0,0,IF(AND('Data Entry'!$C$74=1,CR265&gt;=1),TRUE,IF(AND('Data Entry'!$C$74=2,CS265&gt;=1),TRUE,FALSE))))</f>
        <v>0</v>
      </c>
      <c r="DA265" s="1751">
        <f>IF('Data Entry'!$C$74=0,0,IFERROR(ROUND(IF(T265="","",IF($X$4=0,0,IF(CF265=1,0,IF(BQ265+CV265=0,0,IF(CF265=1,0,IF(CY265&gt;0.01,CY265,IF(CL265&gt;0.01,CL265,IF(CY265&gt;0.01,CY265,IF(BC265=37,BO265,IF(CZ265=FALSE,0,IF(CZ265=TRUE,DC265+DF265,0))))))))))),2),""))</f>
        <v>0</v>
      </c>
      <c r="DB265" s="1752"/>
      <c r="DC265" s="474">
        <f>IF(CN265&lt;0.01,0,IF(AND(BR265=3,CN265&gt;0.01,CT265&gt;0.6,ER265+ES265+ET265&lt;100),0,IF(AND('Data Entry'!$C$74=1,CN265&gt;0.01,CR265&gt;0.99),MIN(CN265:CO265),IF(AND('Data Entry'!$C$74=2,CN265&gt;0.01,CS265&gt;0.99),MIN(CN265:CO265),0))))</f>
        <v>0</v>
      </c>
      <c r="DD265" s="478">
        <f>IF(CF265=1,"Selection does not match",IF(T265=0,0,IF(AND('Data Entry'!$C$74=0,CP265&gt;1),"Select Oregon or Idaho on Data Entry Tab",IF(AND(AU265=1,AA265&gt;0.9),"Missing Interior or Exterior Selection",IF($X$4=0,"Enter Total Project Cost",IF(AQ265&lt;AR265,"Insufficient kWh savings – no incentive",IF(AND(SUM(CL265+CK265+BV265)&gt;0.01,'Data Entry'!$C$74=2,CJ265&gt;1,BO265=0),"Submit Control as Non-Standard",IF(AND('Data Entry'!$C$74=2,BR265=37,CJ265&gt;1,BO265=0),"Submit Control as Non-Standard",IF(SUM(CL265+CK265+BV265)&gt;0.01,"Standard Incentive",IF(AND('Data Entry'!$C$74=2,CP265=7,CN265=0),"Submit as Non-Standard",IF(DC265&gt;0.9,"Non-Standard Incentive",IF(AND(BY265+BZ265+CA265&gt;0.01,BV265=0,EQ265=0,ER265=0,ES265=0,ET265=0),"Scroll Right &amp; Select Control Strategies",IF(AND(CN265&gt;0.01,CO265=0),"Enter Unit Installed Cost",IF(ISNUMBER(SEARCH("Lighting Controls Only",F265)),"Lighting Controls Only",IF(CL265+DC265=0,"Does not meet incentive criteria",0)))))))))))))))</f>
        <v>0</v>
      </c>
      <c r="DE265" s="337">
        <f t="shared" si="289"/>
        <v>0</v>
      </c>
      <c r="DF265" s="609">
        <f t="shared" si="290"/>
        <v>0</v>
      </c>
      <c r="DG265" s="336" t="str">
        <f t="shared" si="291"/>
        <v/>
      </c>
      <c r="DH265" s="338">
        <f t="shared" si="292"/>
        <v>1</v>
      </c>
      <c r="DI265" s="336" t="e">
        <f t="shared" ref="DI265:DI308" si="324">Q265*N265</f>
        <v>#VALUE!</v>
      </c>
      <c r="DJ265" s="338">
        <f t="shared" ref="DJ265:DJ308" si="325">IF(DC265&gt;0.01,AL265,0)</f>
        <v>0</v>
      </c>
      <c r="DO265" s="81"/>
      <c r="DP265" s="81"/>
      <c r="DQ265" s="81"/>
      <c r="DR265" s="81"/>
      <c r="DS265" s="1195">
        <f t="shared" si="293"/>
        <v>0</v>
      </c>
      <c r="DT265" s="344" t="b">
        <f t="shared" si="294"/>
        <v>1</v>
      </c>
      <c r="DU265" s="1314" t="str">
        <f t="array" ref="DU265">IF(OR(COUNTIF(F265,"*"&amp;$DK$9:$DK$178&amp;"*")), "Yes", "")</f>
        <v/>
      </c>
      <c r="DV265" s="1314">
        <f t="shared" si="295"/>
        <v>0</v>
      </c>
      <c r="DW265" s="1480">
        <f t="shared" si="296"/>
        <v>0</v>
      </c>
      <c r="DX265" s="1498">
        <f t="shared" si="305"/>
        <v>0</v>
      </c>
      <c r="DY265" s="1484">
        <f t="shared" si="297"/>
        <v>0</v>
      </c>
      <c r="DZ265" s="331"/>
      <c r="EA265" s="392"/>
      <c r="EB265" s="1499" t="s">
        <v>129</v>
      </c>
      <c r="EC265" s="727" t="s">
        <v>1569</v>
      </c>
      <c r="ED265" s="728">
        <v>0.5</v>
      </c>
      <c r="EE265" s="1215"/>
      <c r="EF265" s="1215"/>
      <c r="EG265" s="1184" t="str">
        <f t="shared" si="298"/>
        <v/>
      </c>
      <c r="EJ265" s="1185">
        <f t="shared" ref="EJ265:EJ308" si="326">IF(ISNUMBER(SEARCH("-C",M265)),VLOOKUP(M265,$DM$181:$DN$192,2,FALSE),0)</f>
        <v>0</v>
      </c>
      <c r="EK265" s="1211"/>
      <c r="EL265" s="1180">
        <f t="shared" ref="EL265:EL308" si="327">IF(CV265&lt;0,0,IF(DA265=0,0,IF(DD265="Does not meet incentive criteria",0,AQ265)))</f>
        <v>0</v>
      </c>
      <c r="EM265" s="206"/>
      <c r="EN265" s="1038"/>
      <c r="EO265" s="1038"/>
      <c r="EP265" s="1038"/>
      <c r="EQ265" s="1038">
        <f t="shared" si="299"/>
        <v>0</v>
      </c>
      <c r="ER265" s="1041">
        <f t="shared" si="300"/>
        <v>0</v>
      </c>
      <c r="ES265" s="1042">
        <f t="shared" si="301"/>
        <v>0</v>
      </c>
      <c r="ET265" s="1042">
        <f t="shared" si="306"/>
        <v>0</v>
      </c>
      <c r="EU265" s="1021">
        <f t="shared" si="307"/>
        <v>0</v>
      </c>
      <c r="EV265" s="368"/>
      <c r="EW265" s="368"/>
      <c r="EX265" s="369"/>
      <c r="EY265" s="370"/>
      <c r="EZ265" s="370"/>
      <c r="FA265" s="371"/>
      <c r="FB265" s="372"/>
    </row>
    <row r="266" spans="1:158" ht="34.5" customHeight="1">
      <c r="A266" s="82">
        <v>258</v>
      </c>
      <c r="B266" s="1806"/>
      <c r="C266" s="1807"/>
      <c r="D266" s="1807"/>
      <c r="E266" s="1808"/>
      <c r="F266" s="1809"/>
      <c r="G266" s="1810"/>
      <c r="H266" s="1810"/>
      <c r="I266" s="1811"/>
      <c r="J266" s="1301"/>
      <c r="K266" s="1814"/>
      <c r="L266" s="1814"/>
      <c r="M266" s="1017"/>
      <c r="N266" s="1584"/>
      <c r="O266" s="208" t="str">
        <f t="shared" si="314"/>
        <v/>
      </c>
      <c r="P266" s="785"/>
      <c r="Q266" s="39" t="str">
        <f t="shared" si="315"/>
        <v/>
      </c>
      <c r="R266" s="39">
        <f t="shared" ref="R266:R308" si="328">IF(F266="Other (Provide Description)",1,IF(ISNUMBER(SEARCH("interior",T266)),2,(IF(ISNUMBER(SEARCH("exterior",T266)),3,IF(ISNUMBER(SEARCH("Case",F266)),20,IF(ISNUMBER(SEARCH("Relamp",F266)),250,IF(ISNUMBER(SEARCH("T12",F266)),11,IF(ISNUMBER(SEARCH("T8",F266)),12,IF(ISNUMBER(SEARCH("T5",F266)),12,IF(ISNUMBER(SEARCH("exit",F266)),10,0))))))))))</f>
        <v>0</v>
      </c>
      <c r="S266" s="234">
        <f t="shared" ref="S266:S308" si="329">IF(ISERROR(AO266*AH266),0,AQ266)</f>
        <v>0</v>
      </c>
      <c r="T266" s="1815"/>
      <c r="U266" s="1815"/>
      <c r="V266" s="1815"/>
      <c r="W266" s="1121"/>
      <c r="X266" s="1812"/>
      <c r="Y266" s="1813"/>
      <c r="Z266" s="703"/>
      <c r="AA266" s="1280"/>
      <c r="AB266" s="1141"/>
      <c r="AC266" s="1103" t="str">
        <f>IF(T266="","",VLOOKUP(Z266,Lists!$A$60:$B$111,2,FALSE))</f>
        <v/>
      </c>
      <c r="AD266" s="130" t="str">
        <f t="shared" ref="AD266:AD308" si="330">IF(T266="","",VLOOKUP(T266,$DQ$8:$DR$52,2,FALSE))</f>
        <v/>
      </c>
      <c r="AE266" s="130" t="e">
        <f t="shared" ref="AE266:AE308" si="331">SUM(AA266*AD266)</f>
        <v>#VALUE!</v>
      </c>
      <c r="AF266" s="130">
        <f t="shared" ref="AF266:AF308" si="332">IF(ISNUMBER(SEARCH("wall",W266)),4,IF(ISNUMBER(SEARCH("ceiling",W266)),5,IF(ISNUMBER(SEARCH("Fixture",W266)),1.5,IF(ISNUMBER(SEARCH("Daylight",W266)),1.6,IF(ISNUMBER(SEARCH("equip",W266)),2,IF(AND(W266="Non-Standard Control",AU266=2),2.5,IF(AND(W266="Non-standard Control",AU266=3),3,1)))))))</f>
        <v>1</v>
      </c>
      <c r="AG266" s="234">
        <f t="shared" si="316"/>
        <v>0</v>
      </c>
      <c r="AH266" s="1753" t="str">
        <f>IF(T266="","",(IF(ISNUMBER(SEARCH("exit",T266)),8760,IF(AND(M266="Dusk to Dawn",'Proposed Lighting'!AU266=3),4059,IF(AND(AU266=3,M266="1"),0,IF(AND(AU266=3,M266="1-C"),0,IF(AND(AU266=3,M266="2"),0,IF(AND(AU266=3,M266="2-C"),0,IF(AND(AU266=3,M266="3"),0,IF(AND(AU266=3,M266="3-C"),0,IF(AND(AU266=2,M266="Dusk to Dawn"),0,IF(AND(AU266=2,M266="Dusk to Dawn-C"),0,IF(AND(AU266=2,M266="Dusk to Dawn"),0,IF(AND(AU266=2,M266="E"),0,IF(AND(AU266=2,M266="E-C"),0,EG266)))))))))))))))</f>
        <v/>
      </c>
      <c r="AI266" s="1754"/>
      <c r="AJ266" s="1136"/>
      <c r="AK266" s="1136"/>
      <c r="AL266" s="1748">
        <f t="shared" ref="AL266:AL308" si="333">IFERROR(ROUND(IF(ISNUMBER(SEARCH("Additional",T266)),AA266*AJ266+BA266,IF(N266=0,0,IF(AU266=1,0,SUM(AA266*AJ266+BA266)))),2),"")</f>
        <v>0</v>
      </c>
      <c r="AM266" s="1749"/>
      <c r="AN266" s="1750"/>
      <c r="AO266" s="476">
        <f t="shared" si="317"/>
        <v>0</v>
      </c>
      <c r="AP266" s="476">
        <f t="shared" ref="AP266:AP308" si="334">IF(ISBLANK(T266),0,AT266*AA266/1000)</f>
        <v>0</v>
      </c>
      <c r="AQ266" s="475">
        <f t="shared" si="318"/>
        <v>0</v>
      </c>
      <c r="AR266" s="475">
        <f t="shared" ref="AR266:AR308" si="335">IF(ISNUMBER(SEARCH("controls",F266)),0,IF(ISNA(AP266),0,IF(AU266=1,0,IF(AQ266=0,0,IF(AND(AU266=2,EJ266&gt;0.01),AP266*EJ266,AP266*AH266)))))</f>
        <v>0</v>
      </c>
      <c r="AS266" s="743" t="str">
        <f t="shared" si="310"/>
        <v/>
      </c>
      <c r="AT266" s="736" t="str">
        <f t="shared" ref="AT266:AT308" si="336">IF(ISNUMBER(SEARCH("Permanent",T266)),0,IF(ISBLANK(AC266),0,AC266))</f>
        <v/>
      </c>
      <c r="AU266" s="56">
        <f t="shared" ref="AU266:AU308" si="337">IF(ISNUMBER(SEARCH("interior",K266)),2,(IF(ISNUMBER(SEARCH("exterior",K266)),3,1)))</f>
        <v>1</v>
      </c>
      <c r="AV266" s="476">
        <f t="shared" ref="AV266:AV308" si="338">IF(W266=0,0,IF(AU266=2,VLOOKUP(W266,$DO$56:$DP$66,2,FALSE),IF(AU266=3,VLOOKUP(W266,$DO$68:$DP$78,2,FALSE))))</f>
        <v>0</v>
      </c>
      <c r="AW266" s="56">
        <f t="shared" ref="AW266:AW308" si="339">IF(CT266&gt;0.4,AT266*AA266,IF(EF266=0,0,IF(W266=0,0,IF(AND(AV266&gt;0.01,DS266&lt;2),0,IF(AH266=0,0,SUM(EE266*AT266)/EF266)))))</f>
        <v>0</v>
      </c>
      <c r="AX266" s="475">
        <f t="shared" si="319"/>
        <v>0</v>
      </c>
      <c r="AY266" s="1169">
        <f t="shared" ref="AY266:AY308" si="340">IF(AX266=0,0,IF(W266="","",EE266*AT266*(CU266*(1-AV266)/1000)))</f>
        <v>0</v>
      </c>
      <c r="AZ266" s="1150">
        <f t="shared" si="302"/>
        <v>0</v>
      </c>
      <c r="BA266" s="56">
        <f t="shared" si="320"/>
        <v>0</v>
      </c>
      <c r="BB266" s="420">
        <f t="shared" si="321"/>
        <v>0</v>
      </c>
      <c r="BC266" s="58" t="str">
        <f t="shared" si="322"/>
        <v/>
      </c>
      <c r="BD266" s="660">
        <f t="shared" si="303"/>
        <v>0</v>
      </c>
      <c r="BE266" s="57" t="e">
        <f t="array" ref="BE266">INDEX($EB$11:$ED$1022,MATCH(F266&amp;T266,$EB$11:$EB$1007&amp;$EC$11:$EC$1007,0),3)</f>
        <v>#N/A</v>
      </c>
      <c r="BF266" s="463">
        <f t="shared" si="311"/>
        <v>0</v>
      </c>
      <c r="BG266" s="1445" t="e">
        <f t="array" ref="BG266">INDEX($DO$112:$DQ$123,MATCH(T266&amp;W266,$DO$114:$DO$125&amp;$DP$112:$DP$123,0),3)</f>
        <v>#N/A</v>
      </c>
      <c r="BH266" s="1446">
        <f t="shared" ref="BH266:BH307" si="341">IF(ISNA(BG266),0,BG266)</f>
        <v>0</v>
      </c>
      <c r="BI266" s="465">
        <f t="shared" ref="BI266:BI308" si="342">IF(AND(BC266=15,BR266=500),(N266*AS266-AA266*AT266)*0.26,0)</f>
        <v>0</v>
      </c>
      <c r="BJ266" s="465">
        <f t="shared" ref="BJ266:BJ308" si="343">IF(BC266=10,(N266*AS266-AA266*AT266)*0.12,0)</f>
        <v>0</v>
      </c>
      <c r="BK266" s="466">
        <f t="shared" si="312"/>
        <v>0</v>
      </c>
      <c r="BL266" s="466">
        <f t="shared" si="313"/>
        <v>0</v>
      </c>
      <c r="BM266" s="466">
        <f t="shared" ref="BM266:BM308" si="344">IF(ISNUMBER(SEARCH("removal",T266)),AND(AS266&gt;49,AS266&lt;300,AU266=3)*20,0)</f>
        <v>0</v>
      </c>
      <c r="BN266" s="466">
        <f t="shared" ref="BN266:BN308" si="345">IF(ISNUMBER(SEARCH("removal",T266)),AND(AS266&gt;299,AU266=3)*30,0)</f>
        <v>0</v>
      </c>
      <c r="BO266" s="463">
        <f>IF('Data Entry'!$C$74=0,0,IF(ISNA(CJ266),0,IF(AX266=0,0,IF(AND('Data Entry'!$C$74=2,AF266&gt;2,CE266&lt;1),0,IF(AND('Data Entry'!$C$74=2,AF266&gt;1,AU266=2,CJ266&gt;1),0,IF(AND(AF266=5,CT266=0.5,AU266=2,ER266&lt;100),0,IF(AND(AF266=5,CT266=0.5,AU266=3,ER266&lt;100),0,IF(AND('Data Entry'!$C$74=2,AF266=2,AU266=2,AK266&gt;0.01,CB266=2,CE266&lt;1),0,IF(AND('Data Entry'!$C$74=2,AF266=3,AU266=3,AK266&gt;0.01,CB266=3,CE266&lt;1),0,IF(AND('Data Entry'!$C$74=2,AF266=3,AU266=3,AK266&gt;0.01,CB266=3,CE266&gt;0.99),BQ266*0.08,IF(AND('Data Entry'!$C$74=2,AF266=2,AU266=2,AK266&gt;0.01,CB266=2,CE266&gt;0.99),BQ266*0.1,IF(AND(AU266=2,AK266&gt;0.01,CB266=2,CD266&gt;1),BQ266*0.1,IF(AND(AU266=3,AK266&gt;0.01,CB266=3,CD266&gt;1),BQ266*0.08,CJ266*EF266)))))))))))))</f>
        <v>0</v>
      </c>
      <c r="BP266" s="475">
        <f t="shared" ref="BP266:BP308" si="346">IF(AND(BO266&gt;0.1,CB266=1,EF266&gt;0.5),EF266,0)</f>
        <v>0</v>
      </c>
      <c r="BQ266" s="1431">
        <f>IF(AU266=1,0,IF(CH266=100,0,IF(AND(AF266=3,AU266=2),0,IF(AND(BH266=0,CT266&gt;0.4),0,IF(AND('Data Entry'!$C$74=2,AF266=1.5),0,IF(AND('Data Entry'!$C$74=2,AF266=1.6),0,IF(AND('Data Entry'!$C$74=2,AF266=4),0,IF(AND('Data Entry'!$C$74=2,AF266=5),0,IF(AND('Data Entry'!$C$74=2,AF266=2.5,CE266&lt;1),0,IF(AND('Data Entry'!$C$74=2,AF266=3,CE266&lt;1),0,IF(AND('Data Entry'!$C$74=1,AF266=2.5,CD266&lt;1),0,IF(AND('Data Entry'!$C$74=1,AF266=3,CD266&lt;1),0,IF(DX266&gt;0.01,DX266,IF(ISERROR(AX266-AY266),"",ROUND(AX266-AY266,2)))))))))))))))</f>
        <v>0</v>
      </c>
      <c r="BR266" s="146">
        <f t="shared" ref="BR266:BR308" si="347">IF(ISNUMBER(SEARCH("vapor",F266)),500,IF(ISNUMBER(SEARCH("halide",F266)),500,IF(ISNUMBER(SEARCH("pressure",F266)),500,IF(ISNUMBER(SEARCH("HID",F266)),500,IF(ISNUMBER(SEARCH("LED",F266)),3,IF(ISNUMBER(SEARCH("Only",F266)),37,IF(ISNUMBER(SEARCH("T8",T266)),50,IF(ISNUMBER(SEARCH("other",F266)),1,IF(AND(BA266&gt;0.1,BB266=0),5,IF(ISNA(BB266),0,0))))))))))</f>
        <v>0</v>
      </c>
      <c r="BS266" s="475">
        <f t="shared" ref="BS266:BS308" si="348">IF(N266=0,0,IF(ISNA(AP266),0,IF(AND(AU266=1,AO266&gt;0.01,AP266&gt;0.01),0,N266)))</f>
        <v>0</v>
      </c>
      <c r="BT266" s="146" t="b">
        <f t="shared" ref="BT266:BT308" si="349">IF(R266=20,VLOOKUP(F266,$DM$178:$DN$179,2,FALSE))</f>
        <v>0</v>
      </c>
      <c r="BU266" s="463">
        <f>IF(ISNA(AT266),0,IF(AND('Data Entry'!$C$74=2,BC266=27),0,IF(AND('Data Entry'!$C$74=2,BC266=28),0,IF(AND(BC266=27,BT266=27,CM266&gt;0.1),CM266*0.15,IF(AND(BC266=28,BT266=28,CM266&gt;0.1),CM266*0.12,0)))))</f>
        <v>0</v>
      </c>
      <c r="BV266" s="463">
        <f t="shared" si="309"/>
        <v>0</v>
      </c>
      <c r="BW266" s="463">
        <f t="shared" ref="BW266:BW308" si="350">IF(AND(BC266=20,AU266=2,CM266&gt;0.01),CM266*0.1,IF(AND(BC266=20,AU266=3,CM266&gt;0.01),CM266*0.1,IF(AND(BC266=30,AU266=2,CM266&gt;0.01,CT266=0),CM266*0.14,IF(AND(BC266=30,AU266=3,CM266&gt;0.01,CT266=0),CM266*0.14,0))))</f>
        <v>0</v>
      </c>
      <c r="BX266" s="463">
        <f t="shared" ref="BX266:BX308" si="351">IF(CT266&gt;0.4,0,IF(AND(BC266=21,AU266=2,CM266&gt;0.01),CM266*0.22,IF(AND(BC266=21,AU266=3,CM266&gt;0.01),CM266*0.22,0)))</f>
        <v>0</v>
      </c>
      <c r="BY266" s="463">
        <f t="shared" ref="BY266:BY308" si="352">IF(AND(BH266=44,AU266=3,CM266&gt;0.01),SUM(BQ266+CM266)*0.17,IF(AND(BH266=44,AU266=2,CM266&gt;0.01),SUM(BQ266+CM266)*0.17,IF(AND(BH266=22,AU266=2,CM266&gt;0.01),SUM(BQ266+CM266)*0.25,IF(AND(BH266=22,AU266=3,CM266&gt;0.01),SUM(BQ266+CM266)*0.25,0))))</f>
        <v>0</v>
      </c>
      <c r="BZ266" s="463">
        <f t="shared" ref="BZ266:BZ308" si="353">IF(AND(BH266=46,AU266=3,CM266&gt;0.01),SUM(BQ266+CM266)*0.19,IF(AND(BH266=46,AU266=2,CM266&gt;0.01),SUM(BQ266+CM266)*0.19,IF(AND(BH266=23,AU266=2,CM266&gt;0.01),SUM(BQ266+CM266)*0.27,IF(AND(BH266=23,AU266=3,CM266&gt;0.01),SUM(BQ266+CM266)*0.27,0))))</f>
        <v>0</v>
      </c>
      <c r="CA266" s="57">
        <f t="shared" si="304"/>
        <v>0</v>
      </c>
      <c r="CB266" s="56">
        <f t="shared" ref="CB266:CB308" si="354">IF(AND(W266="Non-standard Control",AU266=2),2,IF(AND(W266="Non-standard Control",AU266=3),3,1))</f>
        <v>1</v>
      </c>
      <c r="CC266" s="756">
        <f>IF(EE266=0,0,IF(EF266=0,0,IF(EE266&gt;AA266,0,IF(AND(AZ266&gt;AW266,AW266&gt;0),0,IF(CU266=0,0,Summary!AC569)))))</f>
        <v>0</v>
      </c>
      <c r="CD266" s="756">
        <f>IF(EE266=0,0,IF(EF266=0,0,IF(EE266&gt;AA266,0,IF(AND(AZ266&gt;AW266,AW266&gt;0),0,IF(CU266=0,0,Summary!AD569)))))</f>
        <v>0</v>
      </c>
      <c r="CE266" s="756">
        <f>IF(EF266=0,0,IF(EE266&gt;AA266,0,IF(CC266=0,0,IF(AND(AZ266&gt;AW266,AW266&gt;0),0,IF(CU266=0,0,Summary!AE569)))))</f>
        <v>0</v>
      </c>
      <c r="CF266" s="475">
        <f t="shared" ref="CF266:CF308" si="355">IF(BF266=0.5,1,IF(AND(R266=2,AU266=3),1,IF(AND(R266=3,AU266=2),1,IF(AND(R266=250,BC266&lt;250),1,IF(F266="**Fluorescent**",1,IF(F266="**HID**",1,IF(F266="**OTHER**",1,IF(F266="**SIGN LIGHTING**",1,IF(F266="**REFRIGERATION CASE LIGHTING**",1,IF(AND(AU266=2,M266="E-C"),1,IF(AND(AU266=3,M266="Sch 1"),1,IF(AND(AU266=3,M266="Sch 1-C"),1,IF(AND(AU266=3,M266="Sch 2"),1,IF(AND(AU266=3,M266="Sch 2-C"),1,IF(AND(AU266=3,M266="Sch 3"),1,IF(AND(AU266=3,M266="Sch 3-C"),1,IF(AND(AU266=2,M266="E"),1,IF(AND(AU266=2,M266="Dusk to Dawn"),1,IF(AND(AU266=2,M266="Dusk to Dawn-C"),1,IF(AND(DY266=1,BC266&lt;37),1,IF(AND(DY266=1,BC266&gt;37),1,0)))))))))))))))))))))</f>
        <v>0</v>
      </c>
      <c r="CG266" s="476">
        <f t="shared" si="323"/>
        <v>0</v>
      </c>
      <c r="CH266" s="487">
        <f t="shared" ref="CH266:CH308" si="356">IF(M266="Sch 1-C",100,IF(M266="Sch 2-C",100,IF(M266="Sch 3-C",100,IF(M266="E-C", 100,IF(M266="Dusk to Dawn-C", 100,IF(M266="Seasonal-C",100,0))))))</f>
        <v>0</v>
      </c>
      <c r="CI266" s="756">
        <f t="shared" ref="CI266:CI308" si="357">IF(ISNUMBER(SEARCH("removal",T266)),5,IF(ISNUMBER(SEARCH("pin-base LED",T266)),5,IF(ISNUMBER(SEARCH("T5",T266)),5,IF(ISNUMBER(SEARCH("LED Tube",T266)),6,IF(ISNUMBER(SEARCH("Exit sign",T266)),5,IF(ISNUMBER(SEARCH("Level 1",T266)),7,IF(ISNUMBER(SEARCH("25 watt",T266)),1,IF(ISNUMBER(SEARCH("28 watt",T266)),1,0))))))))</f>
        <v>0</v>
      </c>
      <c r="CJ266" s="487">
        <f>IF(CT266&gt;0.4,0,IF(AND(AU266=2,CH266=0,CT266=0.5,ER266=100),35,IF(AND(AU266=3,BB266&gt;75,CH266=0,CT266=0.5,ER266=100),25,IF(CB266&gt;1,0,IF(EF266&gt;EE266,0,IF(AND(AF266&gt;1,CH266=100),0,IF(AND(AF266=1,AY266=0),0,IF(AND(EF266&lt;=EE266,AW266&gt;=AZ266,'Data Entry'!$C$74=1,AU266=2),VLOOKUP(W266,$DO$96:$DP$102,2,FALSE),IF(AND(EF266&lt;=EE266,AW266&gt;=AZ266,AU266=3,'Data Entry'!$C$74=1),VLOOKUP(W266,$DO$127:$DP$134,2,FALSE))))))))))</f>
        <v>0</v>
      </c>
      <c r="CK266" s="716">
        <f t="shared" ref="CK266:CK308" si="358">IF(AND(BC266=25,AU266=2,N266&gt;0.1,AA266&gt;0.1),CM266*0.2,IF(AND(BC266=25,AU266=3,N266&gt;0.1,AA266&gt;0.1),CM266*0.2,0))</f>
        <v>0</v>
      </c>
      <c r="CL266" s="57">
        <f t="shared" ref="CL266:CL308" si="359">IF(AU266=1,0,IF(CF266=1,0,IF(ISNA(AT266),0,IF(AND(R266=20,CU266=0),0,IF(AND(AQ266&gt;0.01,AR266=0,AA266=0),0,IF($X$4=0,0,IF(BR266=3,0,IF(AND(AQ266&gt;0.01,AR266=0,BK266=0,BL266=0,BM266=0,BN266=0),0,SUM(BD266+BF266+BK266+BL266+BM266+BN266+CW266)))))))))</f>
        <v>0</v>
      </c>
      <c r="CM266" s="475">
        <f t="shared" si="308"/>
        <v>0</v>
      </c>
      <c r="CN266" s="660">
        <f>IF(CM266&lt;0.1,0,IF(ISNA(AT266),0,IF(CL266+BC266=1,0,IF(BV266&gt;0.01,0,IF(CL266&gt;0.01,0,IF(CF266=1,0,IF(BC266=0.5,0,IF(AND(CI266=1,AU266=3),0,IF(AND(CI266=5,CL266=0),0,IF(AND(R266=12,BR266=50),0,IF(CK266&gt;0.01,0,IF(AND(AJ266&gt;0.01,AU266=2,BC266=15),CM266*0.1,IF(AND(AJ266&gt;0.01,AU266=3,BC266=15),CM266*0.08,IF(AND(R266=12,BC266=3,AF266&lt;=0),0,IF(AND(BC266=15,BI266=0),0,IF(AND(BC266=15,BJ266=0),0,IF(AND(R266=20,CU266=0),0,IF($X$4=0,0,IF(AND(BC266=250,CL266=0),0,IF(AA266&lt;1,0,IF(AND(ISNUMBER(SEARCH("Area",T266)),AU266=3),0,IF(AND(AQ266&gt;0.01,AR266=0,BK266=0,BL266=0,BM266=0,BN266=0),0,IF(AND(AU266=3,CI266=7,CT266&gt;0.5),0,IF(AND(BC266=44,AU266=3,BY266=0),0,IF(AND(BC266=27,'Data Entry'!$C$74=2),0,IF(AND(BC266=28,'Data Entry'!$C$74=2),0,IF(AND(BY266+BZ266+CA266&gt;0.01,BV266=0,EQ266+ER266+ES266+ET266&lt;100),0,IF(AU266=3,CM266*0.08,IF(AU266=2,CM266*0.1,0)))))))))))))))))))))))))))))</f>
        <v>0</v>
      </c>
      <c r="CO266" s="660">
        <f t="shared" ref="CO266:CO308" si="360">IF(CL266&gt;0.1,0,IF(CN266&gt;0.01,SUM(AA266*AJ266)*0.7,0))</f>
        <v>0</v>
      </c>
      <c r="CP266" s="475" t="str">
        <f t="shared" ref="CP266:CP308" si="361">IF(T266="","",VLOOKUP(T266,$EH$9:$EI$27,2,FALSE))</f>
        <v/>
      </c>
      <c r="CQ266" s="161" t="str">
        <f>IF(AH266=0,0,IF(AU266=5,0,Summary!AC269))</f>
        <v/>
      </c>
      <c r="CR266" s="161" t="str">
        <f>IF(BF266=0.5,0,IF(AU266=5,0,Summary!AD269))</f>
        <v/>
      </c>
      <c r="CS266" s="161" t="str">
        <f>IF(AU266=5,0,Summary!AE269)</f>
        <v/>
      </c>
      <c r="CT266" s="161">
        <f t="shared" ref="CT266:CT308" si="362">IF(ISNUMBER(SEARCH("existing",W266)),0,IF(ISNUMBER(SEARCH("Multiple",W266)),0.5,IF(ISNUMBER(SEARCH("Single",W266)),0.6,IF(ISNUMBER(SEARCH("Networked",W266)),2,(IF(ISNUMBER(SEARCH("LLLC",W266)),3,0))))))</f>
        <v>0</v>
      </c>
      <c r="CU266" s="475" t="str">
        <f t="shared" ref="CU266:CU308" si="363">IF(ISERROR(AQ266),0,IF(ISERROR(AR266),0,IF(AH266&gt;0.01,AH266,0)))</f>
        <v/>
      </c>
      <c r="CV266" s="307">
        <f>IF('Data Entry'!$C$74=0,0,IF(AA266&lt;1,0,IF(ISERROR(CU266),0,IF(CF266=1,0,IF(AND(R266=12,BR266=50),0,IF(CL266+BO266+BV266+DC266=0,0,IF(BC266=37,0,IF(AND(BC266=40,AJ266=0),0,IF(AND(BC266=37,BO266&gt;0.01,BQ266&gt;0.01),ROUND(BQ266,0),IF(CM266&lt;0,0,ROUND(CM266,0)))))))))))</f>
        <v>0</v>
      </c>
      <c r="CW266" s="700">
        <f t="shared" ref="CW266:CW308" si="364">IF(CM266=0,0,IF(CI266=5,0,IF(AND(AQ266&gt;0.01,AR266=0,AA266=0),0,IF(BR266=3,0,IF(CI266=6,AD266*1.5,0)))))</f>
        <v>0</v>
      </c>
      <c r="CX266" s="477">
        <f>IF('Data Entry'!$C$74=0,0,IF(CV266&lt;0.01,0,IF(BF266=0.5,0,IF(CF266=1,0,IF(ISNUMBER(SEARCH("false",CL266)),0,IF(AZ266=500,0,CL266))))))</f>
        <v>0</v>
      </c>
      <c r="CY266" s="147" t="e">
        <f t="shared" ref="CY266:CY308" si="365">IF(CM266&lt;0,0,IF(CM266+CU266=0,0,IF(AT266+BK266+BL266+BM266+BN266=0,0,IF(AND(BV266&gt;0.01,CB266&gt;1),BV266+DF266,IF(BV266&gt;0.01,BV266,IF(AND(CI266=6,CW266&gt;0.01,N266*Q266&gt;=AE266),AE266*1.5,IF(AND(CI266=6,CW266&gt;0.01,Q266=0,CM266&gt;0.01),AE266*1.5,IF(AND(CI266=6,CW266&gt;0.01,CM266&gt;0.01,N266*Q266&lt;AE266),N266*Q266*1.5,IF((AND(CX266&gt;0.01,BC266=38)),CX266*N266,IF((AND(CX266&gt;0.01,N266*Q266&gt;AE266)),CX266*AA266,IF((AND(CX266&gt;0.5,AA266&lt;=N266)),CX266*AA266,IF((AND(CX266&gt;0.5,AA266&gt;N266)),CX266*N266,0))))))))))))</f>
        <v>#VALUE!</v>
      </c>
      <c r="CZ266" s="147" t="b">
        <f>IF(CN266+CL266=0,FALSE,IF(AH266=0,0,IF(AND('Data Entry'!$C$74=1,CR266&gt;=1),TRUE,IF(AND('Data Entry'!$C$74=2,CS266&gt;=1),TRUE,FALSE))))</f>
        <v>0</v>
      </c>
      <c r="DA266" s="1751">
        <f>IF('Data Entry'!$C$74=0,0,IFERROR(ROUND(IF(T266="","",IF($X$4=0,0,IF(CF266=1,0,IF(BQ266+CV266=0,0,IF(CF266=1,0,IF(CY266&gt;0.01,CY266,IF(CL266&gt;0.01,CL266,IF(CY266&gt;0.01,CY266,IF(BC266=37,BO266,IF(CZ266=FALSE,0,IF(CZ266=TRUE,DC266+DF266,0))))))))))),2),""))</f>
        <v>0</v>
      </c>
      <c r="DB266" s="1752"/>
      <c r="DC266" s="474">
        <f>IF(CN266&lt;0.01,0,IF(AND(BR266=3,CN266&gt;0.01,CT266&gt;0.6,ER266+ES266+ET266&lt;100),0,IF(AND('Data Entry'!$C$74=1,CN266&gt;0.01,CR266&gt;0.99),MIN(CN266:CO266),IF(AND('Data Entry'!$C$74=2,CN266&gt;0.01,CS266&gt;0.99),MIN(CN266:CO266),0))))</f>
        <v>0</v>
      </c>
      <c r="DD266" s="478">
        <f>IF(CF266=1,"Selection does not match",IF(T266=0,0,IF(AND('Data Entry'!$C$74=0,CP266&gt;1),"Select Oregon or Idaho on Data Entry Tab",IF(AND(AU266=1,AA266&gt;0.9),"Missing Interior or Exterior Selection",IF($X$4=0,"Enter Total Project Cost",IF(AQ266&lt;AR266,"Insufficient kWh savings – no incentive",IF(AND(SUM(CL266+CK266+BV266)&gt;0.01,'Data Entry'!$C$74=2,CJ266&gt;1,BO266=0),"Submit Control as Non-Standard",IF(AND('Data Entry'!$C$74=2,BR266=37,CJ266&gt;1,BO266=0),"Submit Control as Non-Standard",IF(SUM(CL266+CK266+BV266)&gt;0.01,"Standard Incentive",IF(AND('Data Entry'!$C$74=2,CP266=7,CN266=0),"Submit as Non-Standard",IF(DC266&gt;0.9,"Non-Standard Incentive",IF(AND(BY266+BZ266+CA266&gt;0.01,BV266=0,EQ266=0,ER266=0,ES266=0,ET266=0),"Scroll Right &amp; Select Control Strategies",IF(AND(CN266&gt;0.01,CO266=0),"Enter Unit Installed Cost",IF(ISNUMBER(SEARCH("Lighting Controls Only",F266)),"Lighting Controls Only",IF(CL266+DC266=0,"Does not meet incentive criteria",0)))))))))))))))</f>
        <v>0</v>
      </c>
      <c r="DE266" s="337">
        <f t="shared" ref="DE266:DE308" si="366">IF(AND(B266="",O266="enter input watts"),1,IF(AND(B266="",O266="blackout"),1,IF(AND(ISBLANK(B266),CM266&gt;0.01),1,IF(AND(ISBLANK(B266),CM266&lt;0),1,0))))</f>
        <v>0</v>
      </c>
      <c r="DF266" s="609">
        <f t="shared" ref="DF266:DF308" si="367">IF(AND(DC266&gt;0.01,CB266=1,BO266&gt;0.01),BO266,IF(AND(CB266&gt;1,BO266&lt;DW266),BO266,IF(AND(CB266&gt;1,BO266&gt;DW266),DW266,0)))</f>
        <v>0</v>
      </c>
      <c r="DG266" s="336" t="str">
        <f t="shared" ref="DG266:DG308" si="368">IF(T266="","",(IF(ISNUMBER(SEARCH("exit",T266)),0,(IF(ISNUMBER(SEARCH("LED",T266)),1,IF(ISNUMBER(SEARCH("LED",X266)),1,0))))))</f>
        <v/>
      </c>
      <c r="DH266" s="338">
        <f t="shared" ref="DH266:DH308" si="369">IF(AND(AV266&gt;0.01,BB266&gt;1,BQ266=0),0,IF(AND(AQ266=0,AR266=0),1,0))</f>
        <v>1</v>
      </c>
      <c r="DI266" s="336" t="e">
        <f t="shared" si="324"/>
        <v>#VALUE!</v>
      </c>
      <c r="DJ266" s="338">
        <f t="shared" si="325"/>
        <v>0</v>
      </c>
      <c r="DO266" s="81"/>
      <c r="DP266" s="81"/>
      <c r="DQ266" s="81"/>
      <c r="DR266" s="81"/>
      <c r="DS266" s="1195">
        <f t="shared" ref="DS266:DS308" si="370">SUM(EE266:EF266)</f>
        <v>0</v>
      </c>
      <c r="DT266" s="344" t="b">
        <f t="shared" ref="DT266:DT308" si="371">ISBLANK(B266)</f>
        <v>1</v>
      </c>
      <c r="DU266" s="1314" t="str">
        <f t="array" ref="DU266">IF(OR(COUNTIF(F266,"*"&amp;$DK$9:$DK$178&amp;"*")), "Yes", "")</f>
        <v/>
      </c>
      <c r="DV266" s="1314">
        <f t="shared" ref="DV266:DV308" si="372">IF(AND(DT266=TRUE,DU266="Yes"),5,0)</f>
        <v>0</v>
      </c>
      <c r="DW266" s="1480">
        <f t="shared" ref="DW266:DW308" si="373">IF(AND(CB266&gt;1,BA266&gt;0.01),BA266*0.7,0)</f>
        <v>0</v>
      </c>
      <c r="DX266" s="1498">
        <f t="shared" si="305"/>
        <v>0</v>
      </c>
      <c r="DY266" s="1484">
        <f t="shared" ref="DY266:DY308" si="374">IF(ISNUMBER(SEARCH("existing equip",W266)),1,0)</f>
        <v>0</v>
      </c>
      <c r="DZ266" s="331"/>
      <c r="EA266" s="392"/>
      <c r="EB266" s="1499" t="s">
        <v>130</v>
      </c>
      <c r="EC266" s="727" t="s">
        <v>1569</v>
      </c>
      <c r="ED266" s="728">
        <v>0.5</v>
      </c>
      <c r="EE266" s="1215"/>
      <c r="EF266" s="1215"/>
      <c r="EG266" s="1184" t="str">
        <f t="shared" ref="EG266:EG308" si="375">IF(M266="","",VLOOKUP(M266,$DM$194:$DN$207,2,FALSE))</f>
        <v/>
      </c>
      <c r="EJ266" s="1185">
        <f t="shared" si="326"/>
        <v>0</v>
      </c>
      <c r="EK266" s="1211"/>
      <c r="EL266" s="1180">
        <f t="shared" si="327"/>
        <v>0</v>
      </c>
      <c r="EM266" s="206"/>
      <c r="EN266" s="1038"/>
      <c r="EO266" s="1038"/>
      <c r="EP266" s="1038"/>
      <c r="EQ266" s="1038">
        <f t="shared" ref="EQ266:EQ308" si="376">IF(AND(AU266=2,CT266=0.6,EM266="Yes"),100,IF(AND(AU266=2,CT266=0.6,EN266="Yes"),100,IF(AND(AU266=3,CT266=0.6,EM266="Yes"),100,0)))</f>
        <v>0</v>
      </c>
      <c r="ER266" s="1041">
        <f t="shared" ref="ER266:ER308" si="377">IF(AND(AF266=5,AU266=2,EM266="Yes",EN266="Yes"),100,IF(AND(AF266=5,AU266=2,EM266="Yes",EO266="Yes"),100,IF(AND(AF266=5,AU266=2,EM266="Yes",EP266="Yes"),100,IF(AND(AF266=5,AU266=2,EM266="Yes",EQ266="Yes"),100,IF(AND(AF266=5,AU266=2,EN266="Yes",EP266="Yes"),100,IF(AND(BR266=3,AU266=2,CT266=1,EM266="Yes",EN266="Yes"),100,IF(AND(BR266=3,AU266=2,CT266=1,EM266="Yes",EO266="Yes"),100,IF(AND(BR266=3,AU266=2,CT266=1,EM266="Yes",EP266="Yes"),100,IF(AND(BR266=3,AU266=2,CT266=1,EM266="Yes",EQ266="Yes"),100,IF(AND(BR266=3,AU266=2,CT266=1,EN266="Yes",EP266="Yes"),100,IF(AND(AU266=2,BZ266&gt;0.01,EM266="Yes",EN266="Yes"),100,IF(AND(AU266=2,BZ266&gt;0.01,EM266="Yes",EO266="Yes"),100,IF(AND(AU266=2,BZ266&gt;0.01,EM266="Yes",EP266="Yes"),100,IF(AND(AU266=2,BZ266&gt;0.01,EM266="Yes",EQ266="Yes"),100,IF(AND(AU266=2,BZ266&gt;0.01,EN266="Yes",EP266="Yes"),100,IF(AND(AU266=2,BZ266&gt;0.01,EN266="Yes",EQ266="Yes"),100,IF(AND(AU266=3,BZ266&gt;0.01,EM266="Yes",EP266="Yes"),100,IF(AND(AF266=5,AU266=3,EM266="Yes",EP266="Yes"),100,IF(AND(AF266=5,AU266=2,CT266=0.5,EM266="Yes",EN266="Yes"),100,0)))))))))))))))))))</f>
        <v>0</v>
      </c>
      <c r="ES266" s="1042">
        <f t="shared" ref="ES266:ES308" si="378">IF(AND(AU266=2,CA266&gt;0.01,CT266=3,EM266="Yes",EN266="Yes"),100,IF(AND(AU266=2,CA266&gt;0.01,CT266=3,EM266="Yes",EO266="Yes"),100,IF(AND(AU266=2,CA266&gt;0.01,CT266=3,EM266="Yes",EP266="Yes"),100,IF(AND(AU266=2,CA266&gt;0.01,CT266=3,EN266="Yes",EP266="Yes"),100,IF(AND(AU266=3,CA266&gt;0.01,CT266=3,EM266="Yes",EO266="Yes"),100,IF(AND(AU266=3,CA266&gt;0.01,CT266=3,EM266="Yes",EP266="Yes"),100,0))))))</f>
        <v>0</v>
      </c>
      <c r="ET266" s="1042">
        <f t="shared" si="306"/>
        <v>0</v>
      </c>
      <c r="EU266" s="1021">
        <f t="shared" si="307"/>
        <v>0</v>
      </c>
      <c r="EV266" s="368"/>
      <c r="EW266" s="368"/>
      <c r="EX266" s="369"/>
      <c r="EY266" s="370"/>
      <c r="EZ266" s="370"/>
      <c r="FA266" s="371"/>
      <c r="FB266" s="372"/>
    </row>
    <row r="267" spans="1:158" ht="34.5" customHeight="1">
      <c r="A267" s="82">
        <v>259</v>
      </c>
      <c r="B267" s="1806"/>
      <c r="C267" s="1807"/>
      <c r="D267" s="1807"/>
      <c r="E267" s="1808"/>
      <c r="F267" s="1809"/>
      <c r="G267" s="1810"/>
      <c r="H267" s="1810"/>
      <c r="I267" s="1811"/>
      <c r="J267" s="1301"/>
      <c r="K267" s="1814"/>
      <c r="L267" s="1814"/>
      <c r="M267" s="1017"/>
      <c r="N267" s="1584"/>
      <c r="O267" s="208" t="str">
        <f t="shared" si="314"/>
        <v/>
      </c>
      <c r="P267" s="785"/>
      <c r="Q267" s="39" t="str">
        <f t="shared" si="315"/>
        <v/>
      </c>
      <c r="R267" s="39">
        <f t="shared" si="328"/>
        <v>0</v>
      </c>
      <c r="S267" s="234">
        <f t="shared" si="329"/>
        <v>0</v>
      </c>
      <c r="T267" s="1815"/>
      <c r="U267" s="1815"/>
      <c r="V267" s="1815"/>
      <c r="W267" s="1121"/>
      <c r="X267" s="1812"/>
      <c r="Y267" s="1813"/>
      <c r="Z267" s="703"/>
      <c r="AA267" s="1280"/>
      <c r="AB267" s="1141"/>
      <c r="AC267" s="1103" t="str">
        <f>IF(T267="","",VLOOKUP(Z267,Lists!$A$60:$B$111,2,FALSE))</f>
        <v/>
      </c>
      <c r="AD267" s="130" t="str">
        <f t="shared" si="330"/>
        <v/>
      </c>
      <c r="AE267" s="130" t="e">
        <f t="shared" si="331"/>
        <v>#VALUE!</v>
      </c>
      <c r="AF267" s="130">
        <f t="shared" si="332"/>
        <v>1</v>
      </c>
      <c r="AG267" s="234">
        <f t="shared" si="316"/>
        <v>0</v>
      </c>
      <c r="AH267" s="1753" t="str">
        <f>IF(T267="","",(IF(ISNUMBER(SEARCH("exit",T267)),8760,IF(AND(M267="Dusk to Dawn",'Proposed Lighting'!AU267=3),4059,IF(AND(AU267=3,M267="1"),0,IF(AND(AU267=3,M267="1-C"),0,IF(AND(AU267=3,M267="2"),0,IF(AND(AU267=3,M267="2-C"),0,IF(AND(AU267=3,M267="3"),0,IF(AND(AU267=3,M267="3-C"),0,IF(AND(AU267=2,M267="Dusk to Dawn"),0,IF(AND(AU267=2,M267="Dusk to Dawn-C"),0,IF(AND(AU267=2,M267="Dusk to Dawn"),0,IF(AND(AU267=2,M267="E"),0,IF(AND(AU267=2,M267="E-C"),0,EG267)))))))))))))))</f>
        <v/>
      </c>
      <c r="AI267" s="1754"/>
      <c r="AJ267" s="1136"/>
      <c r="AK267" s="1136"/>
      <c r="AL267" s="1748">
        <f t="shared" si="333"/>
        <v>0</v>
      </c>
      <c r="AM267" s="1749"/>
      <c r="AN267" s="1750"/>
      <c r="AO267" s="476">
        <f t="shared" si="317"/>
        <v>0</v>
      </c>
      <c r="AP267" s="476">
        <f t="shared" si="334"/>
        <v>0</v>
      </c>
      <c r="AQ267" s="475">
        <f t="shared" si="318"/>
        <v>0</v>
      </c>
      <c r="AR267" s="475">
        <f t="shared" si="335"/>
        <v>0</v>
      </c>
      <c r="AS267" s="743" t="str">
        <f t="shared" si="310"/>
        <v/>
      </c>
      <c r="AT267" s="736" t="str">
        <f t="shared" si="336"/>
        <v/>
      </c>
      <c r="AU267" s="56">
        <f t="shared" si="337"/>
        <v>1</v>
      </c>
      <c r="AV267" s="476">
        <f t="shared" si="338"/>
        <v>0</v>
      </c>
      <c r="AW267" s="56">
        <f t="shared" si="339"/>
        <v>0</v>
      </c>
      <c r="AX267" s="475">
        <f t="shared" si="319"/>
        <v>0</v>
      </c>
      <c r="AY267" s="1169">
        <f t="shared" si="340"/>
        <v>0</v>
      </c>
      <c r="AZ267" s="1150">
        <f t="shared" ref="AZ267:AZ308" si="379">IF(EE267=0,0,IF(EF267=0,0,IF(BC267=22,0,IF(BC267=23,0,IF(BC267=24,0,IF(BC267=44,0,IF(BC267=46,0,IF(BC267=48,0,IF(AF267&lt;2,0,IF(AND(EE267&gt;0,EF267&gt;0,CB267=3),0,IF(AND(AF267=2,AU267=3),75,VLOOKUP(W267,$DO$80:$DP$85,2,FALSE))))))))))))</f>
        <v>0</v>
      </c>
      <c r="BA267" s="56">
        <f t="shared" si="320"/>
        <v>0</v>
      </c>
      <c r="BB267" s="420">
        <f t="shared" si="321"/>
        <v>0</v>
      </c>
      <c r="BC267" s="58" t="str">
        <f t="shared" si="322"/>
        <v/>
      </c>
      <c r="BD267" s="660">
        <f t="shared" ref="BD267:BD308" si="380">IF(AND(R267=10,AT267&lt;5,AU267=2,BC267=1),40,0)</f>
        <v>0</v>
      </c>
      <c r="BE267" s="57" t="e">
        <f t="array" ref="BE267">INDEX($EB$11:$ED$1022,MATCH(F267&amp;T267,$EB$11:$EB$1007&amp;$EC$11:$EC$1007,0),3)</f>
        <v>#N/A</v>
      </c>
      <c r="BF267" s="463">
        <f t="shared" si="311"/>
        <v>0</v>
      </c>
      <c r="BG267" s="1445" t="e">
        <f t="array" ref="BG267">INDEX($DO$112:$DQ$123,MATCH(T267&amp;W267,$DO$114:$DO$125&amp;$DP$112:$DP$123,0),3)</f>
        <v>#N/A</v>
      </c>
      <c r="BH267" s="1446">
        <f t="shared" si="341"/>
        <v>0</v>
      </c>
      <c r="BI267" s="465">
        <f t="shared" si="342"/>
        <v>0</v>
      </c>
      <c r="BJ267" s="465">
        <f t="shared" si="343"/>
        <v>0</v>
      </c>
      <c r="BK267" s="466">
        <f t="shared" si="312"/>
        <v>0</v>
      </c>
      <c r="BL267" s="466">
        <f t="shared" si="313"/>
        <v>0</v>
      </c>
      <c r="BM267" s="466">
        <f t="shared" si="344"/>
        <v>0</v>
      </c>
      <c r="BN267" s="466">
        <f t="shared" si="345"/>
        <v>0</v>
      </c>
      <c r="BO267" s="463">
        <f>IF('Data Entry'!$C$74=0,0,IF(ISNA(CJ267),0,IF(AX267=0,0,IF(AND('Data Entry'!$C$74=2,AF267&gt;2,CE267&lt;1),0,IF(AND('Data Entry'!$C$74=2,AF267&gt;1,AU267=2,CJ267&gt;1),0,IF(AND(AF267=5,CT267=0.5,AU267=2,ER267&lt;100),0,IF(AND(AF267=5,CT267=0.5,AU267=3,ER267&lt;100),0,IF(AND('Data Entry'!$C$74=2,AF267=2,AU267=2,AK267&gt;0.01,CB267=2,CE267&lt;1),0,IF(AND('Data Entry'!$C$74=2,AF267=3,AU267=3,AK267&gt;0.01,CB267=3,CE267&lt;1),0,IF(AND('Data Entry'!$C$74=2,AF267=3,AU267=3,AK267&gt;0.01,CB267=3,CE267&gt;0.99),BQ267*0.08,IF(AND('Data Entry'!$C$74=2,AF267=2,AU267=2,AK267&gt;0.01,CB267=2,CE267&gt;0.99),BQ267*0.1,IF(AND(AU267=2,AK267&gt;0.01,CB267=2,CD267&gt;1),BQ267*0.1,IF(AND(AU267=3,AK267&gt;0.01,CB267=3,CD267&gt;1),BQ267*0.08,CJ267*EF267)))))))))))))</f>
        <v>0</v>
      </c>
      <c r="BP267" s="475">
        <f t="shared" si="346"/>
        <v>0</v>
      </c>
      <c r="BQ267" s="1431">
        <f>IF(AU267=1,0,IF(CH267=100,0,IF(AND(AF267=3,AU267=2),0,IF(AND(BH267=0,CT267&gt;0.4),0,IF(AND('Data Entry'!$C$74=2,AF267=1.5),0,IF(AND('Data Entry'!$C$74=2,AF267=1.6),0,IF(AND('Data Entry'!$C$74=2,AF267=4),0,IF(AND('Data Entry'!$C$74=2,AF267=5),0,IF(AND('Data Entry'!$C$74=2,AF267=2.5,CE267&lt;1),0,IF(AND('Data Entry'!$C$74=2,AF267=3,CE267&lt;1),0,IF(AND('Data Entry'!$C$74=1,AF267=2.5,CD267&lt;1),0,IF(AND('Data Entry'!$C$74=1,AF267=3,CD267&lt;1),0,IF(DX267&gt;0.01,DX267,IF(ISERROR(AX267-AY267),"",ROUND(AX267-AY267,2)))))))))))))))</f>
        <v>0</v>
      </c>
      <c r="BR267" s="146">
        <f t="shared" si="347"/>
        <v>0</v>
      </c>
      <c r="BS267" s="475">
        <f t="shared" si="348"/>
        <v>0</v>
      </c>
      <c r="BT267" s="146" t="b">
        <f t="shared" si="349"/>
        <v>0</v>
      </c>
      <c r="BU267" s="463">
        <f>IF(ISNA(AT267),0,IF(AND('Data Entry'!$C$74=2,BC267=27),0,IF(AND('Data Entry'!$C$74=2,BC267=28),0,IF(AND(BC267=27,BT267=27,CM267&gt;0.1),CM267*0.15,IF(AND(BC267=28,BT267=28,CM267&gt;0.1),CM267*0.12,0)))))</f>
        <v>0</v>
      </c>
      <c r="BV267" s="463">
        <f t="shared" si="309"/>
        <v>0</v>
      </c>
      <c r="BW267" s="463">
        <f t="shared" si="350"/>
        <v>0</v>
      </c>
      <c r="BX267" s="463">
        <f t="shared" si="351"/>
        <v>0</v>
      </c>
      <c r="BY267" s="463">
        <f t="shared" si="352"/>
        <v>0</v>
      </c>
      <c r="BZ267" s="463">
        <f t="shared" si="353"/>
        <v>0</v>
      </c>
      <c r="CA267" s="57">
        <f t="shared" ref="CA267:CA308" si="381">IF(AND(BH267=48,AU267=3,CM267&gt;0.01),SUM(BQ267+CM267)*0.23,IF(AND(BH267=48,AU267=2,CM267&gt;0.01),SUM(BQ267+CM267)*0.23,IF(AND(BH267=49,CM267&gt;0.01),SUM(BQ267+CM267)*0.21,IF(AND(BH267=24,AU267=2,CM267&gt;0.01),SUM(BQ267+CM267)*0.31,IF(AND(BH267=39,CM267&gt;0.01),SUM(BQ267+CM267)*0.29,IF(AND(BH267=29,CM267&gt;0.01),SUM(BQ267+CM267)*0.29,IF(AND(BH267=24,AU267=3,CM267&gt;0.01),SUM(BQ267+CM267)*0.31,0)))))))</f>
        <v>0</v>
      </c>
      <c r="CB267" s="56">
        <f t="shared" si="354"/>
        <v>1</v>
      </c>
      <c r="CC267" s="756">
        <f>IF(EE267=0,0,IF(EF267=0,0,IF(EE267&gt;AA267,0,IF(AND(AZ267&gt;AW267,AW267&gt;0),0,IF(CU267=0,0,Summary!AC570)))))</f>
        <v>0</v>
      </c>
      <c r="CD267" s="756">
        <f>IF(EE267=0,0,IF(EF267=0,0,IF(EE267&gt;AA267,0,IF(AND(AZ267&gt;AW267,AW267&gt;0),0,IF(CU267=0,0,Summary!AD570)))))</f>
        <v>0</v>
      </c>
      <c r="CE267" s="756">
        <f>IF(EF267=0,0,IF(EE267&gt;AA267,0,IF(CC267=0,0,IF(AND(AZ267&gt;AW267,AW267&gt;0),0,IF(CU267=0,0,Summary!AE570)))))</f>
        <v>0</v>
      </c>
      <c r="CF267" s="475">
        <f t="shared" si="355"/>
        <v>0</v>
      </c>
      <c r="CG267" s="476">
        <f t="shared" si="323"/>
        <v>0</v>
      </c>
      <c r="CH267" s="487">
        <f t="shared" si="356"/>
        <v>0</v>
      </c>
      <c r="CI267" s="756">
        <f t="shared" si="357"/>
        <v>0</v>
      </c>
      <c r="CJ267" s="487">
        <f>IF(CT267&gt;0.4,0,IF(AND(AU267=2,CH267=0,CT267=0.5,ER267=100),35,IF(AND(AU267=3,BB267&gt;75,CH267=0,CT267=0.5,ER267=100),25,IF(CB267&gt;1,0,IF(EF267&gt;EE267,0,IF(AND(AF267&gt;1,CH267=100),0,IF(AND(AF267=1,AY267=0),0,IF(AND(EF267&lt;=EE267,AW267&gt;=AZ267,'Data Entry'!$C$74=1,AU267=2),VLOOKUP(W267,$DO$96:$DP$102,2,FALSE),IF(AND(EF267&lt;=EE267,AW267&gt;=AZ267,AU267=3,'Data Entry'!$C$74=1),VLOOKUP(W267,$DO$127:$DP$134,2,FALSE))))))))))</f>
        <v>0</v>
      </c>
      <c r="CK267" s="716">
        <f t="shared" si="358"/>
        <v>0</v>
      </c>
      <c r="CL267" s="57">
        <f t="shared" si="359"/>
        <v>0</v>
      </c>
      <c r="CM267" s="475">
        <f t="shared" si="308"/>
        <v>0</v>
      </c>
      <c r="CN267" s="660">
        <f>IF(CM267&lt;0.1,0,IF(ISNA(AT267),0,IF(CL267+BC267=1,0,IF(BV267&gt;0.01,0,IF(CL267&gt;0.01,0,IF(CF267=1,0,IF(BC267=0.5,0,IF(AND(CI267=1,AU267=3),0,IF(AND(CI267=5,CL267=0),0,IF(AND(R267=12,BR267=50),0,IF(CK267&gt;0.01,0,IF(AND(AJ267&gt;0.01,AU267=2,BC267=15),CM267*0.1,IF(AND(AJ267&gt;0.01,AU267=3,BC267=15),CM267*0.08,IF(AND(R267=12,BC267=3,AF267&lt;=0),0,IF(AND(BC267=15,BI267=0),0,IF(AND(BC267=15,BJ267=0),0,IF(AND(R267=20,CU267=0),0,IF($X$4=0,0,IF(AND(BC267=250,CL267=0),0,IF(AA267&lt;1,0,IF(AND(ISNUMBER(SEARCH("Area",T267)),AU267=3),0,IF(AND(AQ267&gt;0.01,AR267=0,BK267=0,BL267=0,BM267=0,BN267=0),0,IF(AND(AU267=3,CI267=7,CT267&gt;0.5),0,IF(AND(BC267=44,AU267=3,BY267=0),0,IF(AND(BC267=27,'Data Entry'!$C$74=2),0,IF(AND(BC267=28,'Data Entry'!$C$74=2),0,IF(AND(BY267+BZ267+CA267&gt;0.01,BV267=0,EQ267+ER267+ES267+ET267&lt;100),0,IF(AU267=3,CM267*0.08,IF(AU267=2,CM267*0.1,0)))))))))))))))))))))))))))))</f>
        <v>0</v>
      </c>
      <c r="CO267" s="660">
        <f t="shared" si="360"/>
        <v>0</v>
      </c>
      <c r="CP267" s="475" t="str">
        <f t="shared" si="361"/>
        <v/>
      </c>
      <c r="CQ267" s="161" t="str">
        <f>IF(AH267=0,0,IF(AU267=5,0,Summary!AC270))</f>
        <v/>
      </c>
      <c r="CR267" s="161" t="str">
        <f>IF(BF267=0.5,0,IF(AU267=5,0,Summary!AD270))</f>
        <v/>
      </c>
      <c r="CS267" s="161" t="str">
        <f>IF(AU267=5,0,Summary!AE270)</f>
        <v/>
      </c>
      <c r="CT267" s="161">
        <f t="shared" si="362"/>
        <v>0</v>
      </c>
      <c r="CU267" s="475" t="str">
        <f t="shared" si="363"/>
        <v/>
      </c>
      <c r="CV267" s="307">
        <f>IF('Data Entry'!$C$74=0,0,IF(AA267&lt;1,0,IF(ISERROR(CU267),0,IF(CF267=1,0,IF(AND(R267=12,BR267=50),0,IF(CL267+BO267+BV267+DC267=0,0,IF(BC267=37,0,IF(AND(BC267=40,AJ267=0),0,IF(AND(BC267=37,BO267&gt;0.01,BQ267&gt;0.01),ROUND(BQ267,0),IF(CM267&lt;0,0,ROUND(CM267,0)))))))))))</f>
        <v>0</v>
      </c>
      <c r="CW267" s="700">
        <f t="shared" si="364"/>
        <v>0</v>
      </c>
      <c r="CX267" s="477">
        <f>IF('Data Entry'!$C$74=0,0,IF(CV267&lt;0.01,0,IF(BF267=0.5,0,IF(CF267=1,0,IF(ISNUMBER(SEARCH("false",CL267)),0,IF(AZ267=500,0,CL267))))))</f>
        <v>0</v>
      </c>
      <c r="CY267" s="147" t="e">
        <f t="shared" si="365"/>
        <v>#VALUE!</v>
      </c>
      <c r="CZ267" s="147" t="b">
        <f>IF(CN267+CL267=0,FALSE,IF(AH267=0,0,IF(AND('Data Entry'!$C$74=1,CR267&gt;=1),TRUE,IF(AND('Data Entry'!$C$74=2,CS267&gt;=1),TRUE,FALSE))))</f>
        <v>0</v>
      </c>
      <c r="DA267" s="1751">
        <f>IF('Data Entry'!$C$74=0,0,IFERROR(ROUND(IF(T267="","",IF($X$4=0,0,IF(CF267=1,0,IF(BQ267+CV267=0,0,IF(CF267=1,0,IF(CY267&gt;0.01,CY267,IF(CL267&gt;0.01,CL267,IF(CY267&gt;0.01,CY267,IF(BC267=37,BO267,IF(CZ267=FALSE,0,IF(CZ267=TRUE,DC267+DF267,0))))))))))),2),""))</f>
        <v>0</v>
      </c>
      <c r="DB267" s="1752"/>
      <c r="DC267" s="474">
        <f>IF(CN267&lt;0.01,0,IF(AND(BR267=3,CN267&gt;0.01,CT267&gt;0.6,ER267+ES267+ET267&lt;100),0,IF(AND('Data Entry'!$C$74=1,CN267&gt;0.01,CR267&gt;0.99),MIN(CN267:CO267),IF(AND('Data Entry'!$C$74=2,CN267&gt;0.01,CS267&gt;0.99),MIN(CN267:CO267),0))))</f>
        <v>0</v>
      </c>
      <c r="DD267" s="478">
        <f>IF(CF267=1,"Selection does not match",IF(T267=0,0,IF(AND('Data Entry'!$C$74=0,CP267&gt;1),"Select Oregon or Idaho on Data Entry Tab",IF(AND(AU267=1,AA267&gt;0.9),"Missing Interior or Exterior Selection",IF($X$4=0,"Enter Total Project Cost",IF(AQ267&lt;AR267,"Insufficient kWh savings – no incentive",IF(AND(SUM(CL267+CK267+BV267)&gt;0.01,'Data Entry'!$C$74=2,CJ267&gt;1,BO267=0),"Submit Control as Non-Standard",IF(AND('Data Entry'!$C$74=2,BR267=37,CJ267&gt;1,BO267=0),"Submit Control as Non-Standard",IF(SUM(CL267+CK267+BV267)&gt;0.01,"Standard Incentive",IF(AND('Data Entry'!$C$74=2,CP267=7,CN267=0),"Submit as Non-Standard",IF(DC267&gt;0.9,"Non-Standard Incentive",IF(AND(BY267+BZ267+CA267&gt;0.01,BV267=0,EQ267=0,ER267=0,ES267=0,ET267=0),"Scroll Right &amp; Select Control Strategies",IF(AND(CN267&gt;0.01,CO267=0),"Enter Unit Installed Cost",IF(ISNUMBER(SEARCH("Lighting Controls Only",F267)),"Lighting Controls Only",IF(CL267+DC267=0,"Does not meet incentive criteria",0)))))))))))))))</f>
        <v>0</v>
      </c>
      <c r="DE267" s="337">
        <f t="shared" si="366"/>
        <v>0</v>
      </c>
      <c r="DF267" s="609">
        <f t="shared" si="367"/>
        <v>0</v>
      </c>
      <c r="DG267" s="336" t="str">
        <f t="shared" si="368"/>
        <v/>
      </c>
      <c r="DH267" s="338">
        <f t="shared" si="369"/>
        <v>1</v>
      </c>
      <c r="DI267" s="336" t="e">
        <f t="shared" si="324"/>
        <v>#VALUE!</v>
      </c>
      <c r="DJ267" s="338">
        <f t="shared" si="325"/>
        <v>0</v>
      </c>
      <c r="DO267" s="81"/>
      <c r="DP267" s="81"/>
      <c r="DQ267" s="81"/>
      <c r="DR267" s="81"/>
      <c r="DS267" s="1195">
        <f t="shared" si="370"/>
        <v>0</v>
      </c>
      <c r="DT267" s="344" t="b">
        <f t="shared" si="371"/>
        <v>1</v>
      </c>
      <c r="DU267" s="1314" t="str">
        <f t="array" ref="DU267">IF(OR(COUNTIF(F267,"*"&amp;$DK$9:$DK$178&amp;"*")), "Yes", "")</f>
        <v/>
      </c>
      <c r="DV267" s="1314">
        <f t="shared" si="372"/>
        <v>0</v>
      </c>
      <c r="DW267" s="1480">
        <f t="shared" si="373"/>
        <v>0</v>
      </c>
      <c r="DX267" s="1498">
        <f t="shared" ref="DX267:DX308" si="382">IF(BC267=37,0,IF(CT267&gt;0.4,AA267*AT267*(CU267*(1-AV267)/1000),0))</f>
        <v>0</v>
      </c>
      <c r="DY267" s="1484">
        <f t="shared" si="374"/>
        <v>0</v>
      </c>
      <c r="DZ267" s="331"/>
      <c r="EA267" s="392"/>
      <c r="EB267" s="1499" t="s">
        <v>131</v>
      </c>
      <c r="EC267" s="727" t="s">
        <v>1569</v>
      </c>
      <c r="ED267" s="728">
        <v>0.5</v>
      </c>
      <c r="EE267" s="1215"/>
      <c r="EF267" s="1215"/>
      <c r="EG267" s="1184" t="str">
        <f t="shared" si="375"/>
        <v/>
      </c>
      <c r="EJ267" s="1185">
        <f t="shared" si="326"/>
        <v>0</v>
      </c>
      <c r="EK267" s="1211"/>
      <c r="EL267" s="1180">
        <f t="shared" si="327"/>
        <v>0</v>
      </c>
      <c r="EM267" s="206"/>
      <c r="EN267" s="1038"/>
      <c r="EO267" s="1038"/>
      <c r="EP267" s="1038"/>
      <c r="EQ267" s="1038">
        <f t="shared" si="376"/>
        <v>0</v>
      </c>
      <c r="ER267" s="1041">
        <f t="shared" si="377"/>
        <v>0</v>
      </c>
      <c r="ES267" s="1042">
        <f t="shared" si="378"/>
        <v>0</v>
      </c>
      <c r="ET267" s="1042">
        <f t="shared" ref="ET267:ET308" si="383">IF(AND(AU267=2,CA267&gt;0.01,CT267=2,EM267="Yes",EN267="Yes",EP267="Yes"),100,IF(AND(AU267=2,CA267&gt;0.01,CT267=2,EM267="Yes",EO267="Yes",EP267="Yes"),100,IF(AND(AU267=2,CA267&gt;0.01,CT267=2,EM267="Yes",EP267="Yes"),100,IF(AND(AU267=2,CA267&gt;0.01,CT267=2,EN267="Yes",EP267="Yes"),100,IF(AND(AU267=2,CA267&gt;0.01,CT267=2,EM267="Yes",EN267="Yes",EP267="Yes"),100,IF(AND(AU267=2,CA267&gt;0.01,CT267=2,EM267="Yes",EO267="Yes"),100,IF(AND(AU267=3,CA267&gt;0.01,CT267=2,EM267="Yes",EP267="Yes"),100,0)))))))</f>
        <v>0</v>
      </c>
      <c r="EU267" s="1021">
        <f t="shared" ref="EU267:EU308" si="384">IF(AND(BY267+BZ267+CA267&gt;0.01,EQ267+ER267+ES267+ET267&lt;100),"Does not meet program criteria",IF(AND(BB267&lt;AZ267,BO267=0),"Does not meet minimum connected load",0))</f>
        <v>0</v>
      </c>
      <c r="EV267" s="368"/>
      <c r="EW267" s="368"/>
      <c r="EX267" s="369"/>
      <c r="EY267" s="370"/>
      <c r="EZ267" s="370"/>
      <c r="FA267" s="371"/>
      <c r="FB267" s="372"/>
    </row>
    <row r="268" spans="1:158" ht="34.5" customHeight="1">
      <c r="A268" s="82">
        <v>260</v>
      </c>
      <c r="B268" s="1806"/>
      <c r="C268" s="1807"/>
      <c r="D268" s="1807"/>
      <c r="E268" s="1808"/>
      <c r="F268" s="1809"/>
      <c r="G268" s="1810"/>
      <c r="H268" s="1810"/>
      <c r="I268" s="1811"/>
      <c r="J268" s="1301"/>
      <c r="K268" s="1814"/>
      <c r="L268" s="1814"/>
      <c r="M268" s="1017"/>
      <c r="N268" s="1584"/>
      <c r="O268" s="208" t="str">
        <f t="shared" si="314"/>
        <v/>
      </c>
      <c r="P268" s="785"/>
      <c r="Q268" s="39" t="str">
        <f t="shared" si="315"/>
        <v/>
      </c>
      <c r="R268" s="39">
        <f t="shared" si="328"/>
        <v>0</v>
      </c>
      <c r="S268" s="234">
        <f t="shared" si="329"/>
        <v>0</v>
      </c>
      <c r="T268" s="1815"/>
      <c r="U268" s="1815"/>
      <c r="V268" s="1815"/>
      <c r="W268" s="1121"/>
      <c r="X268" s="1812"/>
      <c r="Y268" s="1813"/>
      <c r="Z268" s="703"/>
      <c r="AA268" s="1280"/>
      <c r="AB268" s="1141"/>
      <c r="AC268" s="1103" t="str">
        <f>IF(T268="","",VLOOKUP(Z268,Lists!$A$60:$B$111,2,FALSE))</f>
        <v/>
      </c>
      <c r="AD268" s="130" t="str">
        <f t="shared" si="330"/>
        <v/>
      </c>
      <c r="AE268" s="130" t="e">
        <f t="shared" si="331"/>
        <v>#VALUE!</v>
      </c>
      <c r="AF268" s="130">
        <f t="shared" si="332"/>
        <v>1</v>
      </c>
      <c r="AG268" s="234">
        <f t="shared" si="316"/>
        <v>0</v>
      </c>
      <c r="AH268" s="1753" t="str">
        <f>IF(T268="","",(IF(ISNUMBER(SEARCH("exit",T268)),8760,IF(AND(M268="Dusk to Dawn",'Proposed Lighting'!AU268=3),4059,IF(AND(AU268=3,M268="1"),0,IF(AND(AU268=3,M268="1-C"),0,IF(AND(AU268=3,M268="2"),0,IF(AND(AU268=3,M268="2-C"),0,IF(AND(AU268=3,M268="3"),0,IF(AND(AU268=3,M268="3-C"),0,IF(AND(AU268=2,M268="Dusk to Dawn"),0,IF(AND(AU268=2,M268="Dusk to Dawn-C"),0,IF(AND(AU268=2,M268="Dusk to Dawn"),0,IF(AND(AU268=2,M268="E"),0,IF(AND(AU268=2,M268="E-C"),0,EG268)))))))))))))))</f>
        <v/>
      </c>
      <c r="AI268" s="1754"/>
      <c r="AJ268" s="1136"/>
      <c r="AK268" s="1136"/>
      <c r="AL268" s="1748">
        <f t="shared" si="333"/>
        <v>0</v>
      </c>
      <c r="AM268" s="1749"/>
      <c r="AN268" s="1750"/>
      <c r="AO268" s="476">
        <f t="shared" si="317"/>
        <v>0</v>
      </c>
      <c r="AP268" s="476">
        <f t="shared" si="334"/>
        <v>0</v>
      </c>
      <c r="AQ268" s="475">
        <f t="shared" si="318"/>
        <v>0</v>
      </c>
      <c r="AR268" s="475">
        <f t="shared" si="335"/>
        <v>0</v>
      </c>
      <c r="AS268" s="743" t="str">
        <f t="shared" si="310"/>
        <v/>
      </c>
      <c r="AT268" s="736" t="str">
        <f t="shared" si="336"/>
        <v/>
      </c>
      <c r="AU268" s="56">
        <f t="shared" si="337"/>
        <v>1</v>
      </c>
      <c r="AV268" s="476">
        <f t="shared" si="338"/>
        <v>0</v>
      </c>
      <c r="AW268" s="56">
        <f t="shared" si="339"/>
        <v>0</v>
      </c>
      <c r="AX268" s="475">
        <f t="shared" si="319"/>
        <v>0</v>
      </c>
      <c r="AY268" s="1169">
        <f t="shared" si="340"/>
        <v>0</v>
      </c>
      <c r="AZ268" s="1150">
        <f t="shared" si="379"/>
        <v>0</v>
      </c>
      <c r="BA268" s="56">
        <f t="shared" si="320"/>
        <v>0</v>
      </c>
      <c r="BB268" s="420">
        <f t="shared" si="321"/>
        <v>0</v>
      </c>
      <c r="BC268" s="58" t="str">
        <f t="shared" si="322"/>
        <v/>
      </c>
      <c r="BD268" s="660">
        <f t="shared" si="380"/>
        <v>0</v>
      </c>
      <c r="BE268" s="57" t="e">
        <f t="array" ref="BE268">INDEX($EB$11:$ED$1022,MATCH(F268&amp;T268,$EB$11:$EB$1007&amp;$EC$11:$EC$1007,0),3)</f>
        <v>#N/A</v>
      </c>
      <c r="BF268" s="463">
        <f t="shared" si="311"/>
        <v>0</v>
      </c>
      <c r="BG268" s="1445" t="e">
        <f t="array" ref="BG268">INDEX($DO$112:$DQ$123,MATCH(T268&amp;W268,$DO$114:$DO$125&amp;$DP$112:$DP$123,0),3)</f>
        <v>#N/A</v>
      </c>
      <c r="BH268" s="1446">
        <f t="shared" si="341"/>
        <v>0</v>
      </c>
      <c r="BI268" s="465">
        <f t="shared" si="342"/>
        <v>0</v>
      </c>
      <c r="BJ268" s="465">
        <f t="shared" si="343"/>
        <v>0</v>
      </c>
      <c r="BK268" s="466">
        <f t="shared" si="312"/>
        <v>0</v>
      </c>
      <c r="BL268" s="466">
        <f t="shared" si="313"/>
        <v>0</v>
      </c>
      <c r="BM268" s="466">
        <f t="shared" si="344"/>
        <v>0</v>
      </c>
      <c r="BN268" s="466">
        <f t="shared" si="345"/>
        <v>0</v>
      </c>
      <c r="BO268" s="463">
        <f>IF('Data Entry'!$C$74=0,0,IF(ISNA(CJ268),0,IF(AX268=0,0,IF(AND('Data Entry'!$C$74=2,AF268&gt;2,CE268&lt;1),0,IF(AND('Data Entry'!$C$74=2,AF268&gt;1,AU268=2,CJ268&gt;1),0,IF(AND(AF268=5,CT268=0.5,AU268=2,ER268&lt;100),0,IF(AND(AF268=5,CT268=0.5,AU268=3,ER268&lt;100),0,IF(AND('Data Entry'!$C$74=2,AF268=2,AU268=2,AK268&gt;0.01,CB268=2,CE268&lt;1),0,IF(AND('Data Entry'!$C$74=2,AF268=3,AU268=3,AK268&gt;0.01,CB268=3,CE268&lt;1),0,IF(AND('Data Entry'!$C$74=2,AF268=3,AU268=3,AK268&gt;0.01,CB268=3,CE268&gt;0.99),BQ268*0.08,IF(AND('Data Entry'!$C$74=2,AF268=2,AU268=2,AK268&gt;0.01,CB268=2,CE268&gt;0.99),BQ268*0.1,IF(AND(AU268=2,AK268&gt;0.01,CB268=2,CD268&gt;1),BQ268*0.1,IF(AND(AU268=3,AK268&gt;0.01,CB268=3,CD268&gt;1),BQ268*0.08,CJ268*EF268)))))))))))))</f>
        <v>0</v>
      </c>
      <c r="BP268" s="475">
        <f t="shared" si="346"/>
        <v>0</v>
      </c>
      <c r="BQ268" s="1431">
        <f>IF(AU268=1,0,IF(CH268=100,0,IF(AND(AF268=3,AU268=2),0,IF(AND(BH268=0,CT268&gt;0.4),0,IF(AND('Data Entry'!$C$74=2,AF268=1.5),0,IF(AND('Data Entry'!$C$74=2,AF268=1.6),0,IF(AND('Data Entry'!$C$74=2,AF268=4),0,IF(AND('Data Entry'!$C$74=2,AF268=5),0,IF(AND('Data Entry'!$C$74=2,AF268=2.5,CE268&lt;1),0,IF(AND('Data Entry'!$C$74=2,AF268=3,CE268&lt;1),0,IF(AND('Data Entry'!$C$74=1,AF268=2.5,CD268&lt;1),0,IF(AND('Data Entry'!$C$74=1,AF268=3,CD268&lt;1),0,IF(DX268&gt;0.01,DX268,IF(ISERROR(AX268-AY268),"",ROUND(AX268-AY268,2)))))))))))))))</f>
        <v>0</v>
      </c>
      <c r="BR268" s="146">
        <f t="shared" si="347"/>
        <v>0</v>
      </c>
      <c r="BS268" s="475">
        <f t="shared" si="348"/>
        <v>0</v>
      </c>
      <c r="BT268" s="146" t="b">
        <f t="shared" si="349"/>
        <v>0</v>
      </c>
      <c r="BU268" s="463">
        <f>IF(ISNA(AT268),0,IF(AND('Data Entry'!$C$74=2,BC268=27),0,IF(AND('Data Entry'!$C$74=2,BC268=28),0,IF(AND(BC268=27,BT268=27,CM268&gt;0.1),CM268*0.15,IF(AND(BC268=28,BT268=28,CM268&gt;0.1),CM268*0.12,0)))))</f>
        <v>0</v>
      </c>
      <c r="BV268" s="463">
        <f t="shared" si="309"/>
        <v>0</v>
      </c>
      <c r="BW268" s="463">
        <f t="shared" si="350"/>
        <v>0</v>
      </c>
      <c r="BX268" s="463">
        <f t="shared" si="351"/>
        <v>0</v>
      </c>
      <c r="BY268" s="463">
        <f t="shared" si="352"/>
        <v>0</v>
      </c>
      <c r="BZ268" s="463">
        <f t="shared" si="353"/>
        <v>0</v>
      </c>
      <c r="CA268" s="57">
        <f t="shared" si="381"/>
        <v>0</v>
      </c>
      <c r="CB268" s="56">
        <f t="shared" si="354"/>
        <v>1</v>
      </c>
      <c r="CC268" s="756">
        <f>IF(EE268=0,0,IF(EF268=0,0,IF(EE268&gt;AA268,0,IF(AND(AZ268&gt;AW268,AW268&gt;0),0,IF(CU268=0,0,Summary!AC571)))))</f>
        <v>0</v>
      </c>
      <c r="CD268" s="756">
        <f>IF(EE268=0,0,IF(EF268=0,0,IF(EE268&gt;AA268,0,IF(AND(AZ268&gt;AW268,AW268&gt;0),0,IF(CU268=0,0,Summary!AD571)))))</f>
        <v>0</v>
      </c>
      <c r="CE268" s="756">
        <f>IF(EF268=0,0,IF(EE268&gt;AA268,0,IF(CC268=0,0,IF(AND(AZ268&gt;AW268,AW268&gt;0),0,IF(CU268=0,0,Summary!AE571)))))</f>
        <v>0</v>
      </c>
      <c r="CF268" s="475">
        <f t="shared" si="355"/>
        <v>0</v>
      </c>
      <c r="CG268" s="476">
        <f t="shared" si="323"/>
        <v>0</v>
      </c>
      <c r="CH268" s="487">
        <f t="shared" si="356"/>
        <v>0</v>
      </c>
      <c r="CI268" s="756">
        <f t="shared" si="357"/>
        <v>0</v>
      </c>
      <c r="CJ268" s="487">
        <f>IF(CT268&gt;0.4,0,IF(AND(AU268=2,CH268=0,CT268=0.5,ER268=100),35,IF(AND(AU268=3,BB268&gt;75,CH268=0,CT268=0.5,ER268=100),25,IF(CB268&gt;1,0,IF(EF268&gt;EE268,0,IF(AND(AF268&gt;1,CH268=100),0,IF(AND(AF268=1,AY268=0),0,IF(AND(EF268&lt;=EE268,AW268&gt;=AZ268,'Data Entry'!$C$74=1,AU268=2),VLOOKUP(W268,$DO$96:$DP$102,2,FALSE),IF(AND(EF268&lt;=EE268,AW268&gt;=AZ268,AU268=3,'Data Entry'!$C$74=1),VLOOKUP(W268,$DO$127:$DP$134,2,FALSE))))))))))</f>
        <v>0</v>
      </c>
      <c r="CK268" s="716">
        <f t="shared" si="358"/>
        <v>0</v>
      </c>
      <c r="CL268" s="57">
        <f t="shared" si="359"/>
        <v>0</v>
      </c>
      <c r="CM268" s="475">
        <f t="shared" si="308"/>
        <v>0</v>
      </c>
      <c r="CN268" s="660">
        <f>IF(CM268&lt;0.1,0,IF(ISNA(AT268),0,IF(CL268+BC268=1,0,IF(BV268&gt;0.01,0,IF(CL268&gt;0.01,0,IF(CF268=1,0,IF(BC268=0.5,0,IF(AND(CI268=1,AU268=3),0,IF(AND(CI268=5,CL268=0),0,IF(AND(R268=12,BR268=50),0,IF(CK268&gt;0.01,0,IF(AND(AJ268&gt;0.01,AU268=2,BC268=15),CM268*0.1,IF(AND(AJ268&gt;0.01,AU268=3,BC268=15),CM268*0.08,IF(AND(R268=12,BC268=3,AF268&lt;=0),0,IF(AND(BC268=15,BI268=0),0,IF(AND(BC268=15,BJ268=0),0,IF(AND(R268=20,CU268=0),0,IF($X$4=0,0,IF(AND(BC268=250,CL268=0),0,IF(AA268&lt;1,0,IF(AND(ISNUMBER(SEARCH("Area",T268)),AU268=3),0,IF(AND(AQ268&gt;0.01,AR268=0,BK268=0,BL268=0,BM268=0,BN268=0),0,IF(AND(AU268=3,CI268=7,CT268&gt;0.5),0,IF(AND(BC268=44,AU268=3,BY268=0),0,IF(AND(BC268=27,'Data Entry'!$C$74=2),0,IF(AND(BC268=28,'Data Entry'!$C$74=2),0,IF(AND(BY268+BZ268+CA268&gt;0.01,BV268=0,EQ268+ER268+ES268+ET268&lt;100),0,IF(AU268=3,CM268*0.08,IF(AU268=2,CM268*0.1,0)))))))))))))))))))))))))))))</f>
        <v>0</v>
      </c>
      <c r="CO268" s="660">
        <f t="shared" si="360"/>
        <v>0</v>
      </c>
      <c r="CP268" s="475" t="str">
        <f t="shared" si="361"/>
        <v/>
      </c>
      <c r="CQ268" s="161" t="str">
        <f>IF(AH268=0,0,IF(AU268=5,0,Summary!AC271))</f>
        <v/>
      </c>
      <c r="CR268" s="161" t="str">
        <f>IF(BF268=0.5,0,IF(AU268=5,0,Summary!AD271))</f>
        <v/>
      </c>
      <c r="CS268" s="161" t="str">
        <f>IF(AU268=5,0,Summary!AE271)</f>
        <v/>
      </c>
      <c r="CT268" s="161">
        <f t="shared" si="362"/>
        <v>0</v>
      </c>
      <c r="CU268" s="475" t="str">
        <f t="shared" si="363"/>
        <v/>
      </c>
      <c r="CV268" s="307">
        <f>IF('Data Entry'!$C$74=0,0,IF(AA268&lt;1,0,IF(ISERROR(CU268),0,IF(CF268=1,0,IF(AND(R268=12,BR268=50),0,IF(CL268+BO268+BV268+DC268=0,0,IF(BC268=37,0,IF(AND(BC268=40,AJ268=0),0,IF(AND(BC268=37,BO268&gt;0.01,BQ268&gt;0.01),ROUND(BQ268,0),IF(CM268&lt;0,0,ROUND(CM268,0)))))))))))</f>
        <v>0</v>
      </c>
      <c r="CW268" s="700">
        <f t="shared" si="364"/>
        <v>0</v>
      </c>
      <c r="CX268" s="477">
        <f>IF('Data Entry'!$C$74=0,0,IF(CV268&lt;0.01,0,IF(BF268=0.5,0,IF(CF268=1,0,IF(ISNUMBER(SEARCH("false",CL268)),0,IF(AZ268=500,0,CL268))))))</f>
        <v>0</v>
      </c>
      <c r="CY268" s="147" t="e">
        <f t="shared" si="365"/>
        <v>#VALUE!</v>
      </c>
      <c r="CZ268" s="147" t="b">
        <f>IF(CN268+CL268=0,FALSE,IF(AH268=0,0,IF(AND('Data Entry'!$C$74=1,CR268&gt;=1),TRUE,IF(AND('Data Entry'!$C$74=2,CS268&gt;=1),TRUE,FALSE))))</f>
        <v>0</v>
      </c>
      <c r="DA268" s="1751">
        <f>IF('Data Entry'!$C$74=0,0,IFERROR(ROUND(IF(T268="","",IF($X$4=0,0,IF(CF268=1,0,IF(BQ268+CV268=0,0,IF(CF268=1,0,IF(CY268&gt;0.01,CY268,IF(CL268&gt;0.01,CL268,IF(CY268&gt;0.01,CY268,IF(BC268=37,BO268,IF(CZ268=FALSE,0,IF(CZ268=TRUE,DC268+DF268,0))))))))))),2),""))</f>
        <v>0</v>
      </c>
      <c r="DB268" s="1752"/>
      <c r="DC268" s="474">
        <f>IF(CN268&lt;0.01,0,IF(AND(BR268=3,CN268&gt;0.01,CT268&gt;0.6,ER268+ES268+ET268&lt;100),0,IF(AND('Data Entry'!$C$74=1,CN268&gt;0.01,CR268&gt;0.99),MIN(CN268:CO268),IF(AND('Data Entry'!$C$74=2,CN268&gt;0.01,CS268&gt;0.99),MIN(CN268:CO268),0))))</f>
        <v>0</v>
      </c>
      <c r="DD268" s="478">
        <f>IF(CF268=1,"Selection does not match",IF(T268=0,0,IF(AND('Data Entry'!$C$74=0,CP268&gt;1),"Select Oregon or Idaho on Data Entry Tab",IF(AND(AU268=1,AA268&gt;0.9),"Missing Interior or Exterior Selection",IF($X$4=0,"Enter Total Project Cost",IF(AQ268&lt;AR268,"Insufficient kWh savings – no incentive",IF(AND(SUM(CL268+CK268+BV268)&gt;0.01,'Data Entry'!$C$74=2,CJ268&gt;1,BO268=0),"Submit Control as Non-Standard",IF(AND('Data Entry'!$C$74=2,BR268=37,CJ268&gt;1,BO268=0),"Submit Control as Non-Standard",IF(SUM(CL268+CK268+BV268)&gt;0.01,"Standard Incentive",IF(AND('Data Entry'!$C$74=2,CP268=7,CN268=0),"Submit as Non-Standard",IF(DC268&gt;0.9,"Non-Standard Incentive",IF(AND(BY268+BZ268+CA268&gt;0.01,BV268=0,EQ268=0,ER268=0,ES268=0,ET268=0),"Scroll Right &amp; Select Control Strategies",IF(AND(CN268&gt;0.01,CO268=0),"Enter Unit Installed Cost",IF(ISNUMBER(SEARCH("Lighting Controls Only",F268)),"Lighting Controls Only",IF(CL268+DC268=0,"Does not meet incentive criteria",0)))))))))))))))</f>
        <v>0</v>
      </c>
      <c r="DE268" s="337">
        <f t="shared" si="366"/>
        <v>0</v>
      </c>
      <c r="DF268" s="609">
        <f t="shared" si="367"/>
        <v>0</v>
      </c>
      <c r="DG268" s="336" t="str">
        <f t="shared" si="368"/>
        <v/>
      </c>
      <c r="DH268" s="338">
        <f t="shared" si="369"/>
        <v>1</v>
      </c>
      <c r="DI268" s="336" t="e">
        <f t="shared" si="324"/>
        <v>#VALUE!</v>
      </c>
      <c r="DJ268" s="338">
        <f t="shared" si="325"/>
        <v>0</v>
      </c>
      <c r="DO268" s="81"/>
      <c r="DP268" s="81"/>
      <c r="DQ268" s="81"/>
      <c r="DR268" s="81"/>
      <c r="DS268" s="1195">
        <f t="shared" si="370"/>
        <v>0</v>
      </c>
      <c r="DT268" s="344" t="b">
        <f t="shared" si="371"/>
        <v>1</v>
      </c>
      <c r="DU268" s="1314" t="str">
        <f t="array" ref="DU268">IF(OR(COUNTIF(F268,"*"&amp;$DK$9:$DK$178&amp;"*")), "Yes", "")</f>
        <v/>
      </c>
      <c r="DV268" s="1314">
        <f t="shared" si="372"/>
        <v>0</v>
      </c>
      <c r="DW268" s="1480">
        <f t="shared" si="373"/>
        <v>0</v>
      </c>
      <c r="DX268" s="1498">
        <f t="shared" si="382"/>
        <v>0</v>
      </c>
      <c r="DY268" s="1484">
        <f t="shared" si="374"/>
        <v>0</v>
      </c>
      <c r="DZ268" s="331"/>
      <c r="EA268" s="392"/>
      <c r="EB268" s="1499" t="s">
        <v>73</v>
      </c>
      <c r="EC268" s="727" t="s">
        <v>1569</v>
      </c>
      <c r="ED268" s="728">
        <v>0.5</v>
      </c>
      <c r="EE268" s="1215"/>
      <c r="EF268" s="1215"/>
      <c r="EG268" s="1184" t="str">
        <f t="shared" si="375"/>
        <v/>
      </c>
      <c r="EJ268" s="1185">
        <f t="shared" si="326"/>
        <v>0</v>
      </c>
      <c r="EK268" s="1211"/>
      <c r="EL268" s="1180">
        <f t="shared" si="327"/>
        <v>0</v>
      </c>
      <c r="EM268" s="206"/>
      <c r="EN268" s="1038"/>
      <c r="EO268" s="1038"/>
      <c r="EP268" s="1038"/>
      <c r="EQ268" s="1038">
        <f t="shared" si="376"/>
        <v>0</v>
      </c>
      <c r="ER268" s="1041">
        <f t="shared" si="377"/>
        <v>0</v>
      </c>
      <c r="ES268" s="1042">
        <f t="shared" si="378"/>
        <v>0</v>
      </c>
      <c r="ET268" s="1042">
        <f t="shared" si="383"/>
        <v>0</v>
      </c>
      <c r="EU268" s="1021">
        <f t="shared" si="384"/>
        <v>0</v>
      </c>
      <c r="EV268" s="368"/>
      <c r="EW268" s="368"/>
      <c r="EX268" s="369"/>
      <c r="EY268" s="370"/>
      <c r="EZ268" s="370"/>
      <c r="FA268" s="371"/>
      <c r="FB268" s="372"/>
    </row>
    <row r="269" spans="1:158" ht="34.5" customHeight="1">
      <c r="A269" s="82">
        <v>261</v>
      </c>
      <c r="B269" s="1806"/>
      <c r="C269" s="1807"/>
      <c r="D269" s="1807"/>
      <c r="E269" s="1808"/>
      <c r="F269" s="1809"/>
      <c r="G269" s="1810"/>
      <c r="H269" s="1810"/>
      <c r="I269" s="1811"/>
      <c r="J269" s="1301"/>
      <c r="K269" s="1814"/>
      <c r="L269" s="1814"/>
      <c r="M269" s="1017"/>
      <c r="N269" s="1584"/>
      <c r="O269" s="208" t="str">
        <f t="shared" si="314"/>
        <v/>
      </c>
      <c r="P269" s="785"/>
      <c r="Q269" s="39" t="str">
        <f t="shared" si="315"/>
        <v/>
      </c>
      <c r="R269" s="39">
        <f t="shared" si="328"/>
        <v>0</v>
      </c>
      <c r="S269" s="234">
        <f t="shared" si="329"/>
        <v>0</v>
      </c>
      <c r="T269" s="1815"/>
      <c r="U269" s="1815"/>
      <c r="V269" s="1815"/>
      <c r="W269" s="1121"/>
      <c r="X269" s="1812"/>
      <c r="Y269" s="1813"/>
      <c r="Z269" s="703"/>
      <c r="AA269" s="1280"/>
      <c r="AB269" s="1141"/>
      <c r="AC269" s="1103" t="str">
        <f>IF(T269="","",VLOOKUP(Z269,Lists!$A$60:$B$111,2,FALSE))</f>
        <v/>
      </c>
      <c r="AD269" s="130" t="str">
        <f t="shared" si="330"/>
        <v/>
      </c>
      <c r="AE269" s="130" t="e">
        <f t="shared" si="331"/>
        <v>#VALUE!</v>
      </c>
      <c r="AF269" s="130">
        <f t="shared" si="332"/>
        <v>1</v>
      </c>
      <c r="AG269" s="234">
        <f t="shared" si="316"/>
        <v>0</v>
      </c>
      <c r="AH269" s="1753" t="str">
        <f>IF(T269="","",(IF(ISNUMBER(SEARCH("exit",T269)),8760,IF(AND(M269="Dusk to Dawn",'Proposed Lighting'!AU269=3),4059,IF(AND(AU269=3,M269="1"),0,IF(AND(AU269=3,M269="1-C"),0,IF(AND(AU269=3,M269="2"),0,IF(AND(AU269=3,M269="2-C"),0,IF(AND(AU269=3,M269="3"),0,IF(AND(AU269=3,M269="3-C"),0,IF(AND(AU269=2,M269="Dusk to Dawn"),0,IF(AND(AU269=2,M269="Dusk to Dawn-C"),0,IF(AND(AU269=2,M269="Dusk to Dawn"),0,IF(AND(AU269=2,M269="E"),0,IF(AND(AU269=2,M269="E-C"),0,EG269)))))))))))))))</f>
        <v/>
      </c>
      <c r="AI269" s="1754"/>
      <c r="AJ269" s="1136"/>
      <c r="AK269" s="1136"/>
      <c r="AL269" s="1748">
        <f t="shared" si="333"/>
        <v>0</v>
      </c>
      <c r="AM269" s="1749"/>
      <c r="AN269" s="1750"/>
      <c r="AO269" s="476">
        <f t="shared" si="317"/>
        <v>0</v>
      </c>
      <c r="AP269" s="476">
        <f t="shared" si="334"/>
        <v>0</v>
      </c>
      <c r="AQ269" s="475">
        <f t="shared" si="318"/>
        <v>0</v>
      </c>
      <c r="AR269" s="475">
        <f t="shared" si="335"/>
        <v>0</v>
      </c>
      <c r="AS269" s="743" t="str">
        <f t="shared" si="310"/>
        <v/>
      </c>
      <c r="AT269" s="736" t="str">
        <f t="shared" si="336"/>
        <v/>
      </c>
      <c r="AU269" s="56">
        <f t="shared" si="337"/>
        <v>1</v>
      </c>
      <c r="AV269" s="476">
        <f t="shared" si="338"/>
        <v>0</v>
      </c>
      <c r="AW269" s="56">
        <f t="shared" si="339"/>
        <v>0</v>
      </c>
      <c r="AX269" s="475">
        <f t="shared" si="319"/>
        <v>0</v>
      </c>
      <c r="AY269" s="1169">
        <f t="shared" si="340"/>
        <v>0</v>
      </c>
      <c r="AZ269" s="1150">
        <f t="shared" si="379"/>
        <v>0</v>
      </c>
      <c r="BA269" s="56">
        <f t="shared" si="320"/>
        <v>0</v>
      </c>
      <c r="BB269" s="420">
        <f t="shared" si="321"/>
        <v>0</v>
      </c>
      <c r="BC269" s="58" t="str">
        <f t="shared" si="322"/>
        <v/>
      </c>
      <c r="BD269" s="660">
        <f t="shared" si="380"/>
        <v>0</v>
      </c>
      <c r="BE269" s="57" t="e">
        <f t="array" ref="BE269">INDEX($EB$11:$ED$1022,MATCH(F269&amp;T269,$EB$11:$EB$1007&amp;$EC$11:$EC$1007,0),3)</f>
        <v>#N/A</v>
      </c>
      <c r="BF269" s="463">
        <f t="shared" si="311"/>
        <v>0</v>
      </c>
      <c r="BG269" s="1445" t="e">
        <f t="array" ref="BG269">INDEX($DO$112:$DQ$123,MATCH(T269&amp;W269,$DO$114:$DO$125&amp;$DP$112:$DP$123,0),3)</f>
        <v>#N/A</v>
      </c>
      <c r="BH269" s="1446">
        <f t="shared" si="341"/>
        <v>0</v>
      </c>
      <c r="BI269" s="465">
        <f t="shared" si="342"/>
        <v>0</v>
      </c>
      <c r="BJ269" s="465">
        <f t="shared" si="343"/>
        <v>0</v>
      </c>
      <c r="BK269" s="466">
        <f t="shared" si="312"/>
        <v>0</v>
      </c>
      <c r="BL269" s="466">
        <f t="shared" si="313"/>
        <v>0</v>
      </c>
      <c r="BM269" s="466">
        <f t="shared" si="344"/>
        <v>0</v>
      </c>
      <c r="BN269" s="466">
        <f t="shared" si="345"/>
        <v>0</v>
      </c>
      <c r="BO269" s="463">
        <f>IF('Data Entry'!$C$74=0,0,IF(ISNA(CJ269),0,IF(AX269=0,0,IF(AND('Data Entry'!$C$74=2,AF269&gt;2,CE269&lt;1),0,IF(AND('Data Entry'!$C$74=2,AF269&gt;1,AU269=2,CJ269&gt;1),0,IF(AND(AF269=5,CT269=0.5,AU269=2,ER269&lt;100),0,IF(AND(AF269=5,CT269=0.5,AU269=3,ER269&lt;100),0,IF(AND('Data Entry'!$C$74=2,AF269=2,AU269=2,AK269&gt;0.01,CB269=2,CE269&lt;1),0,IF(AND('Data Entry'!$C$74=2,AF269=3,AU269=3,AK269&gt;0.01,CB269=3,CE269&lt;1),0,IF(AND('Data Entry'!$C$74=2,AF269=3,AU269=3,AK269&gt;0.01,CB269=3,CE269&gt;0.99),BQ269*0.08,IF(AND('Data Entry'!$C$74=2,AF269=2,AU269=2,AK269&gt;0.01,CB269=2,CE269&gt;0.99),BQ269*0.1,IF(AND(AU269=2,AK269&gt;0.01,CB269=2,CD269&gt;1),BQ269*0.1,IF(AND(AU269=3,AK269&gt;0.01,CB269=3,CD269&gt;1),BQ269*0.08,CJ269*EF269)))))))))))))</f>
        <v>0</v>
      </c>
      <c r="BP269" s="475">
        <f t="shared" si="346"/>
        <v>0</v>
      </c>
      <c r="BQ269" s="1431">
        <f>IF(AU269=1,0,IF(CH269=100,0,IF(AND(AF269=3,AU269=2),0,IF(AND(BH269=0,CT269&gt;0.4),0,IF(AND('Data Entry'!$C$74=2,AF269=1.5),0,IF(AND('Data Entry'!$C$74=2,AF269=1.6),0,IF(AND('Data Entry'!$C$74=2,AF269=4),0,IF(AND('Data Entry'!$C$74=2,AF269=5),0,IF(AND('Data Entry'!$C$74=2,AF269=2.5,CE269&lt;1),0,IF(AND('Data Entry'!$C$74=2,AF269=3,CE269&lt;1),0,IF(AND('Data Entry'!$C$74=1,AF269=2.5,CD269&lt;1),0,IF(AND('Data Entry'!$C$74=1,AF269=3,CD269&lt;1),0,IF(DX269&gt;0.01,DX269,IF(ISERROR(AX269-AY269),"",ROUND(AX269-AY269,2)))))))))))))))</f>
        <v>0</v>
      </c>
      <c r="BR269" s="146">
        <f t="shared" si="347"/>
        <v>0</v>
      </c>
      <c r="BS269" s="475">
        <f t="shared" si="348"/>
        <v>0</v>
      </c>
      <c r="BT269" s="146" t="b">
        <f t="shared" si="349"/>
        <v>0</v>
      </c>
      <c r="BU269" s="463">
        <f>IF(ISNA(AT269),0,IF(AND('Data Entry'!$C$74=2,BC269=27),0,IF(AND('Data Entry'!$C$74=2,BC269=28),0,IF(AND(BC269=27,BT269=27,CM269&gt;0.1),CM269*0.15,IF(AND(BC269=28,BT269=28,CM269&gt;0.1),CM269*0.12,0)))))</f>
        <v>0</v>
      </c>
      <c r="BV269" s="463">
        <f t="shared" si="309"/>
        <v>0</v>
      </c>
      <c r="BW269" s="463">
        <f t="shared" si="350"/>
        <v>0</v>
      </c>
      <c r="BX269" s="463">
        <f t="shared" si="351"/>
        <v>0</v>
      </c>
      <c r="BY269" s="463">
        <f t="shared" si="352"/>
        <v>0</v>
      </c>
      <c r="BZ269" s="463">
        <f t="shared" si="353"/>
        <v>0</v>
      </c>
      <c r="CA269" s="57">
        <f t="shared" si="381"/>
        <v>0</v>
      </c>
      <c r="CB269" s="56">
        <f t="shared" si="354"/>
        <v>1</v>
      </c>
      <c r="CC269" s="756">
        <f>IF(EE269=0,0,IF(EF269=0,0,IF(EE269&gt;AA269,0,IF(AND(AZ269&gt;AW269,AW269&gt;0),0,IF(CU269=0,0,Summary!AC572)))))</f>
        <v>0</v>
      </c>
      <c r="CD269" s="756">
        <f>IF(EE269=0,0,IF(EF269=0,0,IF(EE269&gt;AA269,0,IF(AND(AZ269&gt;AW269,AW269&gt;0),0,IF(CU269=0,0,Summary!AD572)))))</f>
        <v>0</v>
      </c>
      <c r="CE269" s="756">
        <f>IF(EF269=0,0,IF(EE269&gt;AA269,0,IF(CC269=0,0,IF(AND(AZ269&gt;AW269,AW269&gt;0),0,IF(CU269=0,0,Summary!AE572)))))</f>
        <v>0</v>
      </c>
      <c r="CF269" s="475">
        <f t="shared" si="355"/>
        <v>0</v>
      </c>
      <c r="CG269" s="476">
        <f t="shared" si="323"/>
        <v>0</v>
      </c>
      <c r="CH269" s="487">
        <f t="shared" si="356"/>
        <v>0</v>
      </c>
      <c r="CI269" s="756">
        <f t="shared" si="357"/>
        <v>0</v>
      </c>
      <c r="CJ269" s="487">
        <f>IF(CT269&gt;0.4,0,IF(AND(AU269=2,CH269=0,CT269=0.5,ER269=100),35,IF(AND(AU269=3,BB269&gt;75,CH269=0,CT269=0.5,ER269=100),25,IF(CB269&gt;1,0,IF(EF269&gt;EE269,0,IF(AND(AF269&gt;1,CH269=100),0,IF(AND(AF269=1,AY269=0),0,IF(AND(EF269&lt;=EE269,AW269&gt;=AZ269,'Data Entry'!$C$74=1,AU269=2),VLOOKUP(W269,$DO$96:$DP$102,2,FALSE),IF(AND(EF269&lt;=EE269,AW269&gt;=AZ269,AU269=3,'Data Entry'!$C$74=1),VLOOKUP(W269,$DO$127:$DP$134,2,FALSE))))))))))</f>
        <v>0</v>
      </c>
      <c r="CK269" s="716">
        <f t="shared" si="358"/>
        <v>0</v>
      </c>
      <c r="CL269" s="57">
        <f t="shared" si="359"/>
        <v>0</v>
      </c>
      <c r="CM269" s="475">
        <f t="shared" si="308"/>
        <v>0</v>
      </c>
      <c r="CN269" s="660">
        <f>IF(CM269&lt;0.1,0,IF(ISNA(AT269),0,IF(CL269+BC269=1,0,IF(BV269&gt;0.01,0,IF(CL269&gt;0.01,0,IF(CF269=1,0,IF(BC269=0.5,0,IF(AND(CI269=1,AU269=3),0,IF(AND(CI269=5,CL269=0),0,IF(AND(R269=12,BR269=50),0,IF(CK269&gt;0.01,0,IF(AND(AJ269&gt;0.01,AU269=2,BC269=15),CM269*0.1,IF(AND(AJ269&gt;0.01,AU269=3,BC269=15),CM269*0.08,IF(AND(R269=12,BC269=3,AF269&lt;=0),0,IF(AND(BC269=15,BI269=0),0,IF(AND(BC269=15,BJ269=0),0,IF(AND(R269=20,CU269=0),0,IF($X$4=0,0,IF(AND(BC269=250,CL269=0),0,IF(AA269&lt;1,0,IF(AND(ISNUMBER(SEARCH("Area",T269)),AU269=3),0,IF(AND(AQ269&gt;0.01,AR269=0,BK269=0,BL269=0,BM269=0,BN269=0),0,IF(AND(AU269=3,CI269=7,CT269&gt;0.5),0,IF(AND(BC269=44,AU269=3,BY269=0),0,IF(AND(BC269=27,'Data Entry'!$C$74=2),0,IF(AND(BC269=28,'Data Entry'!$C$74=2),0,IF(AND(BY269+BZ269+CA269&gt;0.01,BV269=0,EQ269+ER269+ES269+ET269&lt;100),0,IF(AU269=3,CM269*0.08,IF(AU269=2,CM269*0.1,0)))))))))))))))))))))))))))))</f>
        <v>0</v>
      </c>
      <c r="CO269" s="660">
        <f t="shared" si="360"/>
        <v>0</v>
      </c>
      <c r="CP269" s="475" t="str">
        <f t="shared" si="361"/>
        <v/>
      </c>
      <c r="CQ269" s="161" t="str">
        <f>IF(AH269=0,0,IF(AU269=5,0,Summary!AC272))</f>
        <v/>
      </c>
      <c r="CR269" s="161" t="str">
        <f>IF(BF269=0.5,0,IF(AU269=5,0,Summary!AD272))</f>
        <v/>
      </c>
      <c r="CS269" s="161" t="str">
        <f>IF(AU269=5,0,Summary!AE272)</f>
        <v/>
      </c>
      <c r="CT269" s="161">
        <f t="shared" si="362"/>
        <v>0</v>
      </c>
      <c r="CU269" s="475" t="str">
        <f t="shared" si="363"/>
        <v/>
      </c>
      <c r="CV269" s="307">
        <f>IF('Data Entry'!$C$74=0,0,IF(AA269&lt;1,0,IF(ISERROR(CU269),0,IF(CF269=1,0,IF(AND(R269=12,BR269=50),0,IF(CL269+BO269+BV269+DC269=0,0,IF(BC269=37,0,IF(AND(BC269=40,AJ269=0),0,IF(AND(BC269=37,BO269&gt;0.01,BQ269&gt;0.01),ROUND(BQ269,0),IF(CM269&lt;0,0,ROUND(CM269,0)))))))))))</f>
        <v>0</v>
      </c>
      <c r="CW269" s="700">
        <f t="shared" si="364"/>
        <v>0</v>
      </c>
      <c r="CX269" s="477">
        <f>IF('Data Entry'!$C$74=0,0,IF(CV269&lt;0.01,0,IF(BF269=0.5,0,IF(CF269=1,0,IF(ISNUMBER(SEARCH("false",CL269)),0,IF(AZ269=500,0,CL269))))))</f>
        <v>0</v>
      </c>
      <c r="CY269" s="147" t="e">
        <f t="shared" si="365"/>
        <v>#VALUE!</v>
      </c>
      <c r="CZ269" s="147" t="b">
        <f>IF(CN269+CL269=0,FALSE,IF(AH269=0,0,IF(AND('Data Entry'!$C$74=1,CR269&gt;=1),TRUE,IF(AND('Data Entry'!$C$74=2,CS269&gt;=1),TRUE,FALSE))))</f>
        <v>0</v>
      </c>
      <c r="DA269" s="1751">
        <f>IF('Data Entry'!$C$74=0,0,IFERROR(ROUND(IF(T269="","",IF($X$4=0,0,IF(CF269=1,0,IF(BQ269+CV269=0,0,IF(CF269=1,0,IF(CY269&gt;0.01,CY269,IF(CL269&gt;0.01,CL269,IF(CY269&gt;0.01,CY269,IF(BC269=37,BO269,IF(CZ269=FALSE,0,IF(CZ269=TRUE,DC269+DF269,0))))))))))),2),""))</f>
        <v>0</v>
      </c>
      <c r="DB269" s="1752"/>
      <c r="DC269" s="474">
        <f>IF(CN269&lt;0.01,0,IF(AND(BR269=3,CN269&gt;0.01,CT269&gt;0.6,ER269+ES269+ET269&lt;100),0,IF(AND('Data Entry'!$C$74=1,CN269&gt;0.01,CR269&gt;0.99),MIN(CN269:CO269),IF(AND('Data Entry'!$C$74=2,CN269&gt;0.01,CS269&gt;0.99),MIN(CN269:CO269),0))))</f>
        <v>0</v>
      </c>
      <c r="DD269" s="478">
        <f>IF(CF269=1,"Selection does not match",IF(T269=0,0,IF(AND('Data Entry'!$C$74=0,CP269&gt;1),"Select Oregon or Idaho on Data Entry Tab",IF(AND(AU269=1,AA269&gt;0.9),"Missing Interior or Exterior Selection",IF($X$4=0,"Enter Total Project Cost",IF(AQ269&lt;AR269,"Insufficient kWh savings – no incentive",IF(AND(SUM(CL269+CK269+BV269)&gt;0.01,'Data Entry'!$C$74=2,CJ269&gt;1,BO269=0),"Submit Control as Non-Standard",IF(AND('Data Entry'!$C$74=2,BR269=37,CJ269&gt;1,BO269=0),"Submit Control as Non-Standard",IF(SUM(CL269+CK269+BV269)&gt;0.01,"Standard Incentive",IF(AND('Data Entry'!$C$74=2,CP269=7,CN269=0),"Submit as Non-Standard",IF(DC269&gt;0.9,"Non-Standard Incentive",IF(AND(BY269+BZ269+CA269&gt;0.01,BV269=0,EQ269=0,ER269=0,ES269=0,ET269=0),"Scroll Right &amp; Select Control Strategies",IF(AND(CN269&gt;0.01,CO269=0),"Enter Unit Installed Cost",IF(ISNUMBER(SEARCH("Lighting Controls Only",F269)),"Lighting Controls Only",IF(CL269+DC269=0,"Does not meet incentive criteria",0)))))))))))))))</f>
        <v>0</v>
      </c>
      <c r="DE269" s="337">
        <f t="shared" si="366"/>
        <v>0</v>
      </c>
      <c r="DF269" s="609">
        <f t="shared" si="367"/>
        <v>0</v>
      </c>
      <c r="DG269" s="336" t="str">
        <f t="shared" si="368"/>
        <v/>
      </c>
      <c r="DH269" s="338">
        <f t="shared" si="369"/>
        <v>1</v>
      </c>
      <c r="DI269" s="336" t="e">
        <f t="shared" si="324"/>
        <v>#VALUE!</v>
      </c>
      <c r="DJ269" s="338">
        <f t="shared" si="325"/>
        <v>0</v>
      </c>
      <c r="DO269" s="81"/>
      <c r="DP269" s="81"/>
      <c r="DQ269" s="81"/>
      <c r="DR269" s="81"/>
      <c r="DS269" s="1195">
        <f t="shared" si="370"/>
        <v>0</v>
      </c>
      <c r="DT269" s="344" t="b">
        <f t="shared" si="371"/>
        <v>1</v>
      </c>
      <c r="DU269" s="1314" t="str">
        <f t="array" ref="DU269">IF(OR(COUNTIF(F269,"*"&amp;$DK$9:$DK$178&amp;"*")), "Yes", "")</f>
        <v/>
      </c>
      <c r="DV269" s="1314">
        <f t="shared" si="372"/>
        <v>0</v>
      </c>
      <c r="DW269" s="1480">
        <f t="shared" si="373"/>
        <v>0</v>
      </c>
      <c r="DX269" s="1498">
        <f t="shared" si="382"/>
        <v>0</v>
      </c>
      <c r="DY269" s="1484">
        <f t="shared" si="374"/>
        <v>0</v>
      </c>
      <c r="DZ269" s="331"/>
      <c r="EA269" s="392"/>
      <c r="EB269" s="1499" t="s">
        <v>114</v>
      </c>
      <c r="EC269" s="727" t="s">
        <v>1569</v>
      </c>
      <c r="ED269" s="728">
        <v>0.5</v>
      </c>
      <c r="EE269" s="1215"/>
      <c r="EF269" s="1215"/>
      <c r="EG269" s="1184" t="str">
        <f t="shared" si="375"/>
        <v/>
      </c>
      <c r="EJ269" s="1185">
        <f t="shared" si="326"/>
        <v>0</v>
      </c>
      <c r="EK269" s="1211"/>
      <c r="EL269" s="1180">
        <f t="shared" si="327"/>
        <v>0</v>
      </c>
      <c r="EM269" s="206"/>
      <c r="EN269" s="1038"/>
      <c r="EO269" s="1038"/>
      <c r="EP269" s="1038"/>
      <c r="EQ269" s="1038">
        <f t="shared" si="376"/>
        <v>0</v>
      </c>
      <c r="ER269" s="1041">
        <f t="shared" si="377"/>
        <v>0</v>
      </c>
      <c r="ES269" s="1042">
        <f t="shared" si="378"/>
        <v>0</v>
      </c>
      <c r="ET269" s="1042">
        <f t="shared" si="383"/>
        <v>0</v>
      </c>
      <c r="EU269" s="1021">
        <f t="shared" si="384"/>
        <v>0</v>
      </c>
      <c r="EV269" s="368"/>
      <c r="EW269" s="368"/>
      <c r="EX269" s="369"/>
      <c r="EY269" s="370"/>
      <c r="EZ269" s="370"/>
      <c r="FA269" s="371"/>
      <c r="FB269" s="372"/>
    </row>
    <row r="270" spans="1:158" ht="34.5" customHeight="1">
      <c r="A270" s="82">
        <v>262</v>
      </c>
      <c r="B270" s="1806"/>
      <c r="C270" s="1807"/>
      <c r="D270" s="1807"/>
      <c r="E270" s="1808"/>
      <c r="F270" s="1809"/>
      <c r="G270" s="1810"/>
      <c r="H270" s="1810"/>
      <c r="I270" s="1811"/>
      <c r="J270" s="1301"/>
      <c r="K270" s="1814"/>
      <c r="L270" s="1814"/>
      <c r="M270" s="1017"/>
      <c r="N270" s="1584"/>
      <c r="O270" s="208" t="str">
        <f t="shared" si="314"/>
        <v/>
      </c>
      <c r="P270" s="785"/>
      <c r="Q270" s="39" t="str">
        <f t="shared" si="315"/>
        <v/>
      </c>
      <c r="R270" s="39">
        <f t="shared" si="328"/>
        <v>0</v>
      </c>
      <c r="S270" s="234">
        <f t="shared" si="329"/>
        <v>0</v>
      </c>
      <c r="T270" s="1815"/>
      <c r="U270" s="1815"/>
      <c r="V270" s="1815"/>
      <c r="W270" s="1121"/>
      <c r="X270" s="1812"/>
      <c r="Y270" s="1813"/>
      <c r="Z270" s="703"/>
      <c r="AA270" s="1280"/>
      <c r="AB270" s="1141"/>
      <c r="AC270" s="1103" t="str">
        <f>IF(T270="","",VLOOKUP(Z270,Lists!$A$60:$B$111,2,FALSE))</f>
        <v/>
      </c>
      <c r="AD270" s="130" t="str">
        <f t="shared" si="330"/>
        <v/>
      </c>
      <c r="AE270" s="130" t="e">
        <f t="shared" si="331"/>
        <v>#VALUE!</v>
      </c>
      <c r="AF270" s="130">
        <f t="shared" si="332"/>
        <v>1</v>
      </c>
      <c r="AG270" s="234">
        <f t="shared" si="316"/>
        <v>0</v>
      </c>
      <c r="AH270" s="1753" t="str">
        <f>IF(T270="","",(IF(ISNUMBER(SEARCH("exit",T270)),8760,IF(AND(M270="Dusk to Dawn",'Proposed Lighting'!AU270=3),4059,IF(AND(AU270=3,M270="1"),0,IF(AND(AU270=3,M270="1-C"),0,IF(AND(AU270=3,M270="2"),0,IF(AND(AU270=3,M270="2-C"),0,IF(AND(AU270=3,M270="3"),0,IF(AND(AU270=3,M270="3-C"),0,IF(AND(AU270=2,M270="Dusk to Dawn"),0,IF(AND(AU270=2,M270="Dusk to Dawn-C"),0,IF(AND(AU270=2,M270="Dusk to Dawn"),0,IF(AND(AU270=2,M270="E"),0,IF(AND(AU270=2,M270="E-C"),0,EG270)))))))))))))))</f>
        <v/>
      </c>
      <c r="AI270" s="1754"/>
      <c r="AJ270" s="1136"/>
      <c r="AK270" s="1136"/>
      <c r="AL270" s="1748">
        <f t="shared" si="333"/>
        <v>0</v>
      </c>
      <c r="AM270" s="1749"/>
      <c r="AN270" s="1750"/>
      <c r="AO270" s="476">
        <f t="shared" si="317"/>
        <v>0</v>
      </c>
      <c r="AP270" s="476">
        <f t="shared" si="334"/>
        <v>0</v>
      </c>
      <c r="AQ270" s="475">
        <f t="shared" si="318"/>
        <v>0</v>
      </c>
      <c r="AR270" s="475">
        <f t="shared" si="335"/>
        <v>0</v>
      </c>
      <c r="AS270" s="743" t="str">
        <f t="shared" si="310"/>
        <v/>
      </c>
      <c r="AT270" s="736" t="str">
        <f t="shared" si="336"/>
        <v/>
      </c>
      <c r="AU270" s="56">
        <f t="shared" si="337"/>
        <v>1</v>
      </c>
      <c r="AV270" s="476">
        <f t="shared" si="338"/>
        <v>0</v>
      </c>
      <c r="AW270" s="56">
        <f t="shared" si="339"/>
        <v>0</v>
      </c>
      <c r="AX270" s="475">
        <f t="shared" si="319"/>
        <v>0</v>
      </c>
      <c r="AY270" s="1169">
        <f t="shared" si="340"/>
        <v>0</v>
      </c>
      <c r="AZ270" s="1150">
        <f t="shared" si="379"/>
        <v>0</v>
      </c>
      <c r="BA270" s="56">
        <f t="shared" si="320"/>
        <v>0</v>
      </c>
      <c r="BB270" s="420">
        <f t="shared" si="321"/>
        <v>0</v>
      </c>
      <c r="BC270" s="58" t="str">
        <f t="shared" si="322"/>
        <v/>
      </c>
      <c r="BD270" s="660">
        <f t="shared" si="380"/>
        <v>0</v>
      </c>
      <c r="BE270" s="57" t="e">
        <f t="array" ref="BE270">INDEX($EB$11:$ED$1022,MATCH(F270&amp;T270,$EB$11:$EB$1007&amp;$EC$11:$EC$1007,0),3)</f>
        <v>#N/A</v>
      </c>
      <c r="BF270" s="463">
        <f t="shared" si="311"/>
        <v>0</v>
      </c>
      <c r="BG270" s="1445" t="e">
        <f t="array" ref="BG270">INDEX($DO$112:$DQ$123,MATCH(T270&amp;W270,$DO$114:$DO$125&amp;$DP$112:$DP$123,0),3)</f>
        <v>#N/A</v>
      </c>
      <c r="BH270" s="1446">
        <f t="shared" si="341"/>
        <v>0</v>
      </c>
      <c r="BI270" s="465">
        <f t="shared" si="342"/>
        <v>0</v>
      </c>
      <c r="BJ270" s="465">
        <f t="shared" si="343"/>
        <v>0</v>
      </c>
      <c r="BK270" s="466">
        <f t="shared" si="312"/>
        <v>0</v>
      </c>
      <c r="BL270" s="466">
        <f t="shared" si="313"/>
        <v>0</v>
      </c>
      <c r="BM270" s="466">
        <f t="shared" si="344"/>
        <v>0</v>
      </c>
      <c r="BN270" s="466">
        <f t="shared" si="345"/>
        <v>0</v>
      </c>
      <c r="BO270" s="463">
        <f>IF('Data Entry'!$C$74=0,0,IF(ISNA(CJ270),0,IF(AX270=0,0,IF(AND('Data Entry'!$C$74=2,AF270&gt;2,CE270&lt;1),0,IF(AND('Data Entry'!$C$74=2,AF270&gt;1,AU270=2,CJ270&gt;1),0,IF(AND(AF270=5,CT270=0.5,AU270=2,ER270&lt;100),0,IF(AND(AF270=5,CT270=0.5,AU270=3,ER270&lt;100),0,IF(AND('Data Entry'!$C$74=2,AF270=2,AU270=2,AK270&gt;0.01,CB270=2,CE270&lt;1),0,IF(AND('Data Entry'!$C$74=2,AF270=3,AU270=3,AK270&gt;0.01,CB270=3,CE270&lt;1),0,IF(AND('Data Entry'!$C$74=2,AF270=3,AU270=3,AK270&gt;0.01,CB270=3,CE270&gt;0.99),BQ270*0.08,IF(AND('Data Entry'!$C$74=2,AF270=2,AU270=2,AK270&gt;0.01,CB270=2,CE270&gt;0.99),BQ270*0.1,IF(AND(AU270=2,AK270&gt;0.01,CB270=2,CD270&gt;1),BQ270*0.1,IF(AND(AU270=3,AK270&gt;0.01,CB270=3,CD270&gt;1),BQ270*0.08,CJ270*EF270)))))))))))))</f>
        <v>0</v>
      </c>
      <c r="BP270" s="475">
        <f t="shared" si="346"/>
        <v>0</v>
      </c>
      <c r="BQ270" s="1431">
        <f>IF(AU270=1,0,IF(CH270=100,0,IF(AND(AF270=3,AU270=2),0,IF(AND(BH270=0,CT270&gt;0.4),0,IF(AND('Data Entry'!$C$74=2,AF270=1.5),0,IF(AND('Data Entry'!$C$74=2,AF270=1.6),0,IF(AND('Data Entry'!$C$74=2,AF270=4),0,IF(AND('Data Entry'!$C$74=2,AF270=5),0,IF(AND('Data Entry'!$C$74=2,AF270=2.5,CE270&lt;1),0,IF(AND('Data Entry'!$C$74=2,AF270=3,CE270&lt;1),0,IF(AND('Data Entry'!$C$74=1,AF270=2.5,CD270&lt;1),0,IF(AND('Data Entry'!$C$74=1,AF270=3,CD270&lt;1),0,IF(DX270&gt;0.01,DX270,IF(ISERROR(AX270-AY270),"",ROUND(AX270-AY270,2)))))))))))))))</f>
        <v>0</v>
      </c>
      <c r="BR270" s="146">
        <f t="shared" si="347"/>
        <v>0</v>
      </c>
      <c r="BS270" s="475">
        <f t="shared" si="348"/>
        <v>0</v>
      </c>
      <c r="BT270" s="146" t="b">
        <f t="shared" si="349"/>
        <v>0</v>
      </c>
      <c r="BU270" s="463">
        <f>IF(ISNA(AT270),0,IF(AND('Data Entry'!$C$74=2,BC270=27),0,IF(AND('Data Entry'!$C$74=2,BC270=28),0,IF(AND(BC270=27,BT270=27,CM270&gt;0.1),CM270*0.15,IF(AND(BC270=28,BT270=28,CM270&gt;0.1),CM270*0.12,0)))))</f>
        <v>0</v>
      </c>
      <c r="BV270" s="463">
        <f t="shared" si="309"/>
        <v>0</v>
      </c>
      <c r="BW270" s="463">
        <f t="shared" si="350"/>
        <v>0</v>
      </c>
      <c r="BX270" s="463">
        <f t="shared" si="351"/>
        <v>0</v>
      </c>
      <c r="BY270" s="463">
        <f t="shared" si="352"/>
        <v>0</v>
      </c>
      <c r="BZ270" s="463">
        <f t="shared" si="353"/>
        <v>0</v>
      </c>
      <c r="CA270" s="57">
        <f t="shared" si="381"/>
        <v>0</v>
      </c>
      <c r="CB270" s="56">
        <f t="shared" si="354"/>
        <v>1</v>
      </c>
      <c r="CC270" s="756">
        <f>IF(EE270=0,0,IF(EF270=0,0,IF(EE270&gt;AA270,0,IF(AND(AZ270&gt;AW270,AW270&gt;0),0,IF(CU270=0,0,Summary!AC573)))))</f>
        <v>0</v>
      </c>
      <c r="CD270" s="756">
        <f>IF(EE270=0,0,IF(EF270=0,0,IF(EE270&gt;AA270,0,IF(AND(AZ270&gt;AW270,AW270&gt;0),0,IF(CU270=0,0,Summary!AD573)))))</f>
        <v>0</v>
      </c>
      <c r="CE270" s="756">
        <f>IF(EF270=0,0,IF(EE270&gt;AA270,0,IF(CC270=0,0,IF(AND(AZ270&gt;AW270,AW270&gt;0),0,IF(CU270=0,0,Summary!AE573)))))</f>
        <v>0</v>
      </c>
      <c r="CF270" s="475">
        <f t="shared" si="355"/>
        <v>0</v>
      </c>
      <c r="CG270" s="476">
        <f t="shared" si="323"/>
        <v>0</v>
      </c>
      <c r="CH270" s="487">
        <f t="shared" si="356"/>
        <v>0</v>
      </c>
      <c r="CI270" s="756">
        <f t="shared" si="357"/>
        <v>0</v>
      </c>
      <c r="CJ270" s="487">
        <f>IF(CT270&gt;0.4,0,IF(AND(AU270=2,CH270=0,CT270=0.5,ER270=100),35,IF(AND(AU270=3,BB270&gt;75,CH270=0,CT270=0.5,ER270=100),25,IF(CB270&gt;1,0,IF(EF270&gt;EE270,0,IF(AND(AF270&gt;1,CH270=100),0,IF(AND(AF270=1,AY270=0),0,IF(AND(EF270&lt;=EE270,AW270&gt;=AZ270,'Data Entry'!$C$74=1,AU270=2),VLOOKUP(W270,$DO$96:$DP$102,2,FALSE),IF(AND(EF270&lt;=EE270,AW270&gt;=AZ270,AU270=3,'Data Entry'!$C$74=1),VLOOKUP(W270,$DO$127:$DP$134,2,FALSE))))))))))</f>
        <v>0</v>
      </c>
      <c r="CK270" s="716">
        <f t="shared" si="358"/>
        <v>0</v>
      </c>
      <c r="CL270" s="57">
        <f t="shared" si="359"/>
        <v>0</v>
      </c>
      <c r="CM270" s="475">
        <f t="shared" ref="CM270:CM308" si="385">IF(AA270&lt;1,0,ROUND(AQ270-AR270,2))</f>
        <v>0</v>
      </c>
      <c r="CN270" s="660">
        <f>IF(CM270&lt;0.1,0,IF(ISNA(AT270),0,IF(CL270+BC270=1,0,IF(BV270&gt;0.01,0,IF(CL270&gt;0.01,0,IF(CF270=1,0,IF(BC270=0.5,0,IF(AND(CI270=1,AU270=3),0,IF(AND(CI270=5,CL270=0),0,IF(AND(R270=12,BR270=50),0,IF(CK270&gt;0.01,0,IF(AND(AJ270&gt;0.01,AU270=2,BC270=15),CM270*0.1,IF(AND(AJ270&gt;0.01,AU270=3,BC270=15),CM270*0.08,IF(AND(R270=12,BC270=3,AF270&lt;=0),0,IF(AND(BC270=15,BI270=0),0,IF(AND(BC270=15,BJ270=0),0,IF(AND(R270=20,CU270=0),0,IF($X$4=0,0,IF(AND(BC270=250,CL270=0),0,IF(AA270&lt;1,0,IF(AND(ISNUMBER(SEARCH("Area",T270)),AU270=3),0,IF(AND(AQ270&gt;0.01,AR270=0,BK270=0,BL270=0,BM270=0,BN270=0),0,IF(AND(AU270=3,CI270=7,CT270&gt;0.5),0,IF(AND(BC270=44,AU270=3,BY270=0),0,IF(AND(BC270=27,'Data Entry'!$C$74=2),0,IF(AND(BC270=28,'Data Entry'!$C$74=2),0,IF(AND(BY270+BZ270+CA270&gt;0.01,BV270=0,EQ270+ER270+ES270+ET270&lt;100),0,IF(AU270=3,CM270*0.08,IF(AU270=2,CM270*0.1,0)))))))))))))))))))))))))))))</f>
        <v>0</v>
      </c>
      <c r="CO270" s="660">
        <f t="shared" si="360"/>
        <v>0</v>
      </c>
      <c r="CP270" s="475" t="str">
        <f t="shared" si="361"/>
        <v/>
      </c>
      <c r="CQ270" s="161" t="str">
        <f>IF(AH270=0,0,IF(AU270=5,0,Summary!AC273))</f>
        <v/>
      </c>
      <c r="CR270" s="161" t="str">
        <f>IF(BF270=0.5,0,IF(AU270=5,0,Summary!AD273))</f>
        <v/>
      </c>
      <c r="CS270" s="161" t="str">
        <f>IF(AU270=5,0,Summary!AE273)</f>
        <v/>
      </c>
      <c r="CT270" s="161">
        <f t="shared" si="362"/>
        <v>0</v>
      </c>
      <c r="CU270" s="475" t="str">
        <f t="shared" si="363"/>
        <v/>
      </c>
      <c r="CV270" s="307">
        <f>IF('Data Entry'!$C$74=0,0,IF(AA270&lt;1,0,IF(ISERROR(CU270),0,IF(CF270=1,0,IF(AND(R270=12,BR270=50),0,IF(CL270+BO270+BV270+DC270=0,0,IF(BC270=37,0,IF(AND(BC270=40,AJ270=0),0,IF(AND(BC270=37,BO270&gt;0.01,BQ270&gt;0.01),ROUND(BQ270,0),IF(CM270&lt;0,0,ROUND(CM270,0)))))))))))</f>
        <v>0</v>
      </c>
      <c r="CW270" s="700">
        <f t="shared" si="364"/>
        <v>0</v>
      </c>
      <c r="CX270" s="477">
        <f>IF('Data Entry'!$C$74=0,0,IF(CV270&lt;0.01,0,IF(BF270=0.5,0,IF(CF270=1,0,IF(ISNUMBER(SEARCH("false",CL270)),0,IF(AZ270=500,0,CL270))))))</f>
        <v>0</v>
      </c>
      <c r="CY270" s="147" t="e">
        <f t="shared" si="365"/>
        <v>#VALUE!</v>
      </c>
      <c r="CZ270" s="147" t="b">
        <f>IF(CN270+CL270=0,FALSE,IF(AH270=0,0,IF(AND('Data Entry'!$C$74=1,CR270&gt;=1),TRUE,IF(AND('Data Entry'!$C$74=2,CS270&gt;=1),TRUE,FALSE))))</f>
        <v>0</v>
      </c>
      <c r="DA270" s="1751">
        <f>IF('Data Entry'!$C$74=0,0,IFERROR(ROUND(IF(T270="","",IF($X$4=0,0,IF(CF270=1,0,IF(BQ270+CV270=0,0,IF(CF270=1,0,IF(CY270&gt;0.01,CY270,IF(CL270&gt;0.01,CL270,IF(CY270&gt;0.01,CY270,IF(BC270=37,BO270,IF(CZ270=FALSE,0,IF(CZ270=TRUE,DC270+DF270,0))))))))))),2),""))</f>
        <v>0</v>
      </c>
      <c r="DB270" s="1752"/>
      <c r="DC270" s="474">
        <f>IF(CN270&lt;0.01,0,IF(AND(BR270=3,CN270&gt;0.01,CT270&gt;0.6,ER270+ES270+ET270&lt;100),0,IF(AND('Data Entry'!$C$74=1,CN270&gt;0.01,CR270&gt;0.99),MIN(CN270:CO270),IF(AND('Data Entry'!$C$74=2,CN270&gt;0.01,CS270&gt;0.99),MIN(CN270:CO270),0))))</f>
        <v>0</v>
      </c>
      <c r="DD270" s="478">
        <f>IF(CF270=1,"Selection does not match",IF(T270=0,0,IF(AND('Data Entry'!$C$74=0,CP270&gt;1),"Select Oregon or Idaho on Data Entry Tab",IF(AND(AU270=1,AA270&gt;0.9),"Missing Interior or Exterior Selection",IF($X$4=0,"Enter Total Project Cost",IF(AQ270&lt;AR270,"Insufficient kWh savings – no incentive",IF(AND(SUM(CL270+CK270+BV270)&gt;0.01,'Data Entry'!$C$74=2,CJ270&gt;1,BO270=0),"Submit Control as Non-Standard",IF(AND('Data Entry'!$C$74=2,BR270=37,CJ270&gt;1,BO270=0),"Submit Control as Non-Standard",IF(SUM(CL270+CK270+BV270)&gt;0.01,"Standard Incentive",IF(AND('Data Entry'!$C$74=2,CP270=7,CN270=0),"Submit as Non-Standard",IF(DC270&gt;0.9,"Non-Standard Incentive",IF(AND(BY270+BZ270+CA270&gt;0.01,BV270=0,EQ270=0,ER270=0,ES270=0,ET270=0),"Scroll Right &amp; Select Control Strategies",IF(AND(CN270&gt;0.01,CO270=0),"Enter Unit Installed Cost",IF(ISNUMBER(SEARCH("Lighting Controls Only",F270)),"Lighting Controls Only",IF(CL270+DC270=0,"Does not meet incentive criteria",0)))))))))))))))</f>
        <v>0</v>
      </c>
      <c r="DE270" s="337">
        <f t="shared" si="366"/>
        <v>0</v>
      </c>
      <c r="DF270" s="609">
        <f t="shared" si="367"/>
        <v>0</v>
      </c>
      <c r="DG270" s="336" t="str">
        <f t="shared" si="368"/>
        <v/>
      </c>
      <c r="DH270" s="338">
        <f t="shared" si="369"/>
        <v>1</v>
      </c>
      <c r="DI270" s="336" t="e">
        <f t="shared" si="324"/>
        <v>#VALUE!</v>
      </c>
      <c r="DJ270" s="338">
        <f t="shared" si="325"/>
        <v>0</v>
      </c>
      <c r="DO270" s="81"/>
      <c r="DP270" s="81"/>
      <c r="DQ270" s="81"/>
      <c r="DR270" s="81"/>
      <c r="DS270" s="1195">
        <f t="shared" si="370"/>
        <v>0</v>
      </c>
      <c r="DT270" s="344" t="b">
        <f t="shared" si="371"/>
        <v>1</v>
      </c>
      <c r="DU270" s="1314" t="str">
        <f t="array" ref="DU270">IF(OR(COUNTIF(F270,"*"&amp;$DK$9:$DK$178&amp;"*")), "Yes", "")</f>
        <v/>
      </c>
      <c r="DV270" s="1314">
        <f t="shared" si="372"/>
        <v>0</v>
      </c>
      <c r="DW270" s="1480">
        <f t="shared" si="373"/>
        <v>0</v>
      </c>
      <c r="DX270" s="1498">
        <f t="shared" si="382"/>
        <v>0</v>
      </c>
      <c r="DY270" s="1484">
        <f t="shared" si="374"/>
        <v>0</v>
      </c>
      <c r="DZ270" s="331"/>
      <c r="EA270" s="392"/>
      <c r="EB270" s="1499" t="s">
        <v>115</v>
      </c>
      <c r="EC270" s="727" t="s">
        <v>1569</v>
      </c>
      <c r="ED270" s="728">
        <v>0.5</v>
      </c>
      <c r="EE270" s="1215"/>
      <c r="EF270" s="1215"/>
      <c r="EG270" s="1184" t="str">
        <f t="shared" si="375"/>
        <v/>
      </c>
      <c r="EJ270" s="1185">
        <f t="shared" si="326"/>
        <v>0</v>
      </c>
      <c r="EK270" s="1211"/>
      <c r="EL270" s="1180">
        <f t="shared" si="327"/>
        <v>0</v>
      </c>
      <c r="EM270" s="206"/>
      <c r="EN270" s="1038"/>
      <c r="EO270" s="1038"/>
      <c r="EP270" s="1038"/>
      <c r="EQ270" s="1038">
        <f t="shared" si="376"/>
        <v>0</v>
      </c>
      <c r="ER270" s="1041">
        <f t="shared" si="377"/>
        <v>0</v>
      </c>
      <c r="ES270" s="1042">
        <f t="shared" si="378"/>
        <v>0</v>
      </c>
      <c r="ET270" s="1042">
        <f t="shared" si="383"/>
        <v>0</v>
      </c>
      <c r="EU270" s="1021">
        <f t="shared" si="384"/>
        <v>0</v>
      </c>
      <c r="EV270" s="368"/>
      <c r="EW270" s="368"/>
      <c r="EX270" s="369"/>
      <c r="EY270" s="370"/>
      <c r="EZ270" s="370"/>
      <c r="FA270" s="371"/>
      <c r="FB270" s="372"/>
    </row>
    <row r="271" spans="1:158" ht="34.5" customHeight="1">
      <c r="A271" s="82">
        <v>263</v>
      </c>
      <c r="B271" s="1806"/>
      <c r="C271" s="1807"/>
      <c r="D271" s="1807"/>
      <c r="E271" s="1808"/>
      <c r="F271" s="1809"/>
      <c r="G271" s="1810"/>
      <c r="H271" s="1810"/>
      <c r="I271" s="1811"/>
      <c r="J271" s="1301"/>
      <c r="K271" s="1814"/>
      <c r="L271" s="1814"/>
      <c r="M271" s="1017"/>
      <c r="N271" s="1584"/>
      <c r="O271" s="208" t="str">
        <f t="shared" si="314"/>
        <v/>
      </c>
      <c r="P271" s="785"/>
      <c r="Q271" s="39" t="str">
        <f t="shared" si="315"/>
        <v/>
      </c>
      <c r="R271" s="39">
        <f t="shared" si="328"/>
        <v>0</v>
      </c>
      <c r="S271" s="234">
        <f t="shared" si="329"/>
        <v>0</v>
      </c>
      <c r="T271" s="1815"/>
      <c r="U271" s="1815"/>
      <c r="V271" s="1815"/>
      <c r="W271" s="1121"/>
      <c r="X271" s="1812"/>
      <c r="Y271" s="1813"/>
      <c r="Z271" s="703"/>
      <c r="AA271" s="1280"/>
      <c r="AB271" s="1141"/>
      <c r="AC271" s="1103" t="str">
        <f>IF(T271="","",VLOOKUP(Z271,Lists!$A$60:$B$111,2,FALSE))</f>
        <v/>
      </c>
      <c r="AD271" s="130" t="str">
        <f t="shared" si="330"/>
        <v/>
      </c>
      <c r="AE271" s="130" t="e">
        <f t="shared" si="331"/>
        <v>#VALUE!</v>
      </c>
      <c r="AF271" s="130">
        <f t="shared" si="332"/>
        <v>1</v>
      </c>
      <c r="AG271" s="234">
        <f t="shared" si="316"/>
        <v>0</v>
      </c>
      <c r="AH271" s="1753" t="str">
        <f>IF(T271="","",(IF(ISNUMBER(SEARCH("exit",T271)),8760,IF(AND(M271="Dusk to Dawn",'Proposed Lighting'!AU271=3),4059,IF(AND(AU271=3,M271="1"),0,IF(AND(AU271=3,M271="1-C"),0,IF(AND(AU271=3,M271="2"),0,IF(AND(AU271=3,M271="2-C"),0,IF(AND(AU271=3,M271="3"),0,IF(AND(AU271=3,M271="3-C"),0,IF(AND(AU271=2,M271="Dusk to Dawn"),0,IF(AND(AU271=2,M271="Dusk to Dawn-C"),0,IF(AND(AU271=2,M271="Dusk to Dawn"),0,IF(AND(AU271=2,M271="E"),0,IF(AND(AU271=2,M271="E-C"),0,EG271)))))))))))))))</f>
        <v/>
      </c>
      <c r="AI271" s="1754"/>
      <c r="AJ271" s="1136"/>
      <c r="AK271" s="1136"/>
      <c r="AL271" s="1748">
        <f t="shared" si="333"/>
        <v>0</v>
      </c>
      <c r="AM271" s="1749"/>
      <c r="AN271" s="1750"/>
      <c r="AO271" s="476">
        <f t="shared" si="317"/>
        <v>0</v>
      </c>
      <c r="AP271" s="476">
        <f t="shared" si="334"/>
        <v>0</v>
      </c>
      <c r="AQ271" s="475">
        <f t="shared" si="318"/>
        <v>0</v>
      </c>
      <c r="AR271" s="475">
        <f t="shared" si="335"/>
        <v>0</v>
      </c>
      <c r="AS271" s="743" t="str">
        <f t="shared" si="310"/>
        <v/>
      </c>
      <c r="AT271" s="736" t="str">
        <f t="shared" si="336"/>
        <v/>
      </c>
      <c r="AU271" s="56">
        <f t="shared" si="337"/>
        <v>1</v>
      </c>
      <c r="AV271" s="476">
        <f t="shared" si="338"/>
        <v>0</v>
      </c>
      <c r="AW271" s="56">
        <f t="shared" si="339"/>
        <v>0</v>
      </c>
      <c r="AX271" s="475">
        <f t="shared" si="319"/>
        <v>0</v>
      </c>
      <c r="AY271" s="1169">
        <f t="shared" si="340"/>
        <v>0</v>
      </c>
      <c r="AZ271" s="1150">
        <f t="shared" si="379"/>
        <v>0</v>
      </c>
      <c r="BA271" s="56">
        <f t="shared" si="320"/>
        <v>0</v>
      </c>
      <c r="BB271" s="420">
        <f t="shared" si="321"/>
        <v>0</v>
      </c>
      <c r="BC271" s="58" t="str">
        <f t="shared" si="322"/>
        <v/>
      </c>
      <c r="BD271" s="660">
        <f t="shared" si="380"/>
        <v>0</v>
      </c>
      <c r="BE271" s="57" t="e">
        <f t="array" ref="BE271">INDEX($EB$11:$ED$1022,MATCH(F271&amp;T271,$EB$11:$EB$1007&amp;$EC$11:$EC$1007,0),3)</f>
        <v>#N/A</v>
      </c>
      <c r="BF271" s="463">
        <f t="shared" si="311"/>
        <v>0</v>
      </c>
      <c r="BG271" s="1445" t="e">
        <f t="array" ref="BG271">INDEX($DO$112:$DQ$123,MATCH(T271&amp;W271,$DO$114:$DO$125&amp;$DP$112:$DP$123,0),3)</f>
        <v>#N/A</v>
      </c>
      <c r="BH271" s="1446">
        <f t="shared" si="341"/>
        <v>0</v>
      </c>
      <c r="BI271" s="465">
        <f t="shared" si="342"/>
        <v>0</v>
      </c>
      <c r="BJ271" s="465">
        <f t="shared" si="343"/>
        <v>0</v>
      </c>
      <c r="BK271" s="466">
        <f t="shared" si="312"/>
        <v>0</v>
      </c>
      <c r="BL271" s="466">
        <f t="shared" si="313"/>
        <v>0</v>
      </c>
      <c r="BM271" s="466">
        <f t="shared" si="344"/>
        <v>0</v>
      </c>
      <c r="BN271" s="466">
        <f t="shared" si="345"/>
        <v>0</v>
      </c>
      <c r="BO271" s="463">
        <f>IF('Data Entry'!$C$74=0,0,IF(ISNA(CJ271),0,IF(AX271=0,0,IF(AND('Data Entry'!$C$74=2,AF271&gt;2,CE271&lt;1),0,IF(AND('Data Entry'!$C$74=2,AF271&gt;1,AU271=2,CJ271&gt;1),0,IF(AND(AF271=5,CT271=0.5,AU271=2,ER271&lt;100),0,IF(AND(AF271=5,CT271=0.5,AU271=3,ER271&lt;100),0,IF(AND('Data Entry'!$C$74=2,AF271=2,AU271=2,AK271&gt;0.01,CB271=2,CE271&lt;1),0,IF(AND('Data Entry'!$C$74=2,AF271=3,AU271=3,AK271&gt;0.01,CB271=3,CE271&lt;1),0,IF(AND('Data Entry'!$C$74=2,AF271=3,AU271=3,AK271&gt;0.01,CB271=3,CE271&gt;0.99),BQ271*0.08,IF(AND('Data Entry'!$C$74=2,AF271=2,AU271=2,AK271&gt;0.01,CB271=2,CE271&gt;0.99),BQ271*0.1,IF(AND(AU271=2,AK271&gt;0.01,CB271=2,CD271&gt;1),BQ271*0.1,IF(AND(AU271=3,AK271&gt;0.01,CB271=3,CD271&gt;1),BQ271*0.08,CJ271*EF271)))))))))))))</f>
        <v>0</v>
      </c>
      <c r="BP271" s="475">
        <f t="shared" si="346"/>
        <v>0</v>
      </c>
      <c r="BQ271" s="1431">
        <f>IF(AU271=1,0,IF(CH271=100,0,IF(AND(AF271=3,AU271=2),0,IF(AND(BH271=0,CT271&gt;0.4),0,IF(AND('Data Entry'!$C$74=2,AF271=1.5),0,IF(AND('Data Entry'!$C$74=2,AF271=1.6),0,IF(AND('Data Entry'!$C$74=2,AF271=4),0,IF(AND('Data Entry'!$C$74=2,AF271=5),0,IF(AND('Data Entry'!$C$74=2,AF271=2.5,CE271&lt;1),0,IF(AND('Data Entry'!$C$74=2,AF271=3,CE271&lt;1),0,IF(AND('Data Entry'!$C$74=1,AF271=2.5,CD271&lt;1),0,IF(AND('Data Entry'!$C$74=1,AF271=3,CD271&lt;1),0,IF(DX271&gt;0.01,DX271,IF(ISERROR(AX271-AY271),"",ROUND(AX271-AY271,2)))))))))))))))</f>
        <v>0</v>
      </c>
      <c r="BR271" s="146">
        <f t="shared" si="347"/>
        <v>0</v>
      </c>
      <c r="BS271" s="475">
        <f t="shared" si="348"/>
        <v>0</v>
      </c>
      <c r="BT271" s="146" t="b">
        <f t="shared" si="349"/>
        <v>0</v>
      </c>
      <c r="BU271" s="463">
        <f>IF(ISNA(AT271),0,IF(AND('Data Entry'!$C$74=2,BC271=27),0,IF(AND('Data Entry'!$C$74=2,BC271=28),0,IF(AND(BC271=27,BT271=27,CM271&gt;0.1),CM271*0.15,IF(AND(BC271=28,BT271=28,CM271&gt;0.1),CM271*0.12,0)))))</f>
        <v>0</v>
      </c>
      <c r="BV271" s="463">
        <f t="shared" si="309"/>
        <v>0</v>
      </c>
      <c r="BW271" s="463">
        <f t="shared" si="350"/>
        <v>0</v>
      </c>
      <c r="BX271" s="463">
        <f t="shared" si="351"/>
        <v>0</v>
      </c>
      <c r="BY271" s="463">
        <f t="shared" si="352"/>
        <v>0</v>
      </c>
      <c r="BZ271" s="463">
        <f t="shared" si="353"/>
        <v>0</v>
      </c>
      <c r="CA271" s="57">
        <f t="shared" si="381"/>
        <v>0</v>
      </c>
      <c r="CB271" s="56">
        <f t="shared" si="354"/>
        <v>1</v>
      </c>
      <c r="CC271" s="756">
        <f>IF(EE271=0,0,IF(EF271=0,0,IF(EE271&gt;AA271,0,IF(AND(AZ271&gt;AW271,AW271&gt;0),0,IF(CU271=0,0,Summary!AC574)))))</f>
        <v>0</v>
      </c>
      <c r="CD271" s="756">
        <f>IF(EE271=0,0,IF(EF271=0,0,IF(EE271&gt;AA271,0,IF(AND(AZ271&gt;AW271,AW271&gt;0),0,IF(CU271=0,0,Summary!AD574)))))</f>
        <v>0</v>
      </c>
      <c r="CE271" s="756">
        <f>IF(EF271=0,0,IF(EE271&gt;AA271,0,IF(CC271=0,0,IF(AND(AZ271&gt;AW271,AW271&gt;0),0,IF(CU271=0,0,Summary!AE574)))))</f>
        <v>0</v>
      </c>
      <c r="CF271" s="475">
        <f t="shared" si="355"/>
        <v>0</v>
      </c>
      <c r="CG271" s="476">
        <f t="shared" si="323"/>
        <v>0</v>
      </c>
      <c r="CH271" s="487">
        <f t="shared" si="356"/>
        <v>0</v>
      </c>
      <c r="CI271" s="756">
        <f t="shared" si="357"/>
        <v>0</v>
      </c>
      <c r="CJ271" s="487">
        <f>IF(CT271&gt;0.4,0,IF(AND(AU271=2,CH271=0,CT271=0.5,ER271=100),35,IF(AND(AU271=3,BB271&gt;75,CH271=0,CT271=0.5,ER271=100),25,IF(CB271&gt;1,0,IF(EF271&gt;EE271,0,IF(AND(AF271&gt;1,CH271=100),0,IF(AND(AF271=1,AY271=0),0,IF(AND(EF271&lt;=EE271,AW271&gt;=AZ271,'Data Entry'!$C$74=1,AU271=2),VLOOKUP(W271,$DO$96:$DP$102,2,FALSE),IF(AND(EF271&lt;=EE271,AW271&gt;=AZ271,AU271=3,'Data Entry'!$C$74=1),VLOOKUP(W271,$DO$127:$DP$134,2,FALSE))))))))))</f>
        <v>0</v>
      </c>
      <c r="CK271" s="716">
        <f t="shared" si="358"/>
        <v>0</v>
      </c>
      <c r="CL271" s="57">
        <f t="shared" si="359"/>
        <v>0</v>
      </c>
      <c r="CM271" s="475">
        <f t="shared" si="385"/>
        <v>0</v>
      </c>
      <c r="CN271" s="660">
        <f>IF(CM271&lt;0.1,0,IF(ISNA(AT271),0,IF(CL271+BC271=1,0,IF(BV271&gt;0.01,0,IF(CL271&gt;0.01,0,IF(CF271=1,0,IF(BC271=0.5,0,IF(AND(CI271=1,AU271=3),0,IF(AND(CI271=5,CL271=0),0,IF(AND(R271=12,BR271=50),0,IF(CK271&gt;0.01,0,IF(AND(AJ271&gt;0.01,AU271=2,BC271=15),CM271*0.1,IF(AND(AJ271&gt;0.01,AU271=3,BC271=15),CM271*0.08,IF(AND(R271=12,BC271=3,AF271&lt;=0),0,IF(AND(BC271=15,BI271=0),0,IF(AND(BC271=15,BJ271=0),0,IF(AND(R271=20,CU271=0),0,IF($X$4=0,0,IF(AND(BC271=250,CL271=0),0,IF(AA271&lt;1,0,IF(AND(ISNUMBER(SEARCH("Area",T271)),AU271=3),0,IF(AND(AQ271&gt;0.01,AR271=0,BK271=0,BL271=0,BM271=0,BN271=0),0,IF(AND(AU271=3,CI271=7,CT271&gt;0.5),0,IF(AND(BC271=44,AU271=3,BY271=0),0,IF(AND(BC271=27,'Data Entry'!$C$74=2),0,IF(AND(BC271=28,'Data Entry'!$C$74=2),0,IF(AND(BY271+BZ271+CA271&gt;0.01,BV271=0,EQ271+ER271+ES271+ET271&lt;100),0,IF(AU271=3,CM271*0.08,IF(AU271=2,CM271*0.1,0)))))))))))))))))))))))))))))</f>
        <v>0</v>
      </c>
      <c r="CO271" s="660">
        <f t="shared" si="360"/>
        <v>0</v>
      </c>
      <c r="CP271" s="475" t="str">
        <f t="shared" si="361"/>
        <v/>
      </c>
      <c r="CQ271" s="161" t="str">
        <f>IF(AH271=0,0,IF(AU271=5,0,Summary!AC274))</f>
        <v/>
      </c>
      <c r="CR271" s="161" t="str">
        <f>IF(BF271=0.5,0,IF(AU271=5,0,Summary!AD274))</f>
        <v/>
      </c>
      <c r="CS271" s="161" t="str">
        <f>IF(AU271=5,0,Summary!AE274)</f>
        <v/>
      </c>
      <c r="CT271" s="161">
        <f t="shared" si="362"/>
        <v>0</v>
      </c>
      <c r="CU271" s="475" t="str">
        <f t="shared" si="363"/>
        <v/>
      </c>
      <c r="CV271" s="307">
        <f>IF('Data Entry'!$C$74=0,0,IF(AA271&lt;1,0,IF(ISERROR(CU271),0,IF(CF271=1,0,IF(AND(R271=12,BR271=50),0,IF(CL271+BO271+BV271+DC271=0,0,IF(BC271=37,0,IF(AND(BC271=40,AJ271=0),0,IF(AND(BC271=37,BO271&gt;0.01,BQ271&gt;0.01),ROUND(BQ271,0),IF(CM271&lt;0,0,ROUND(CM271,0)))))))))))</f>
        <v>0</v>
      </c>
      <c r="CW271" s="700">
        <f t="shared" si="364"/>
        <v>0</v>
      </c>
      <c r="CX271" s="477">
        <f>IF('Data Entry'!$C$74=0,0,IF(CV271&lt;0.01,0,IF(BF271=0.5,0,IF(CF271=1,0,IF(ISNUMBER(SEARCH("false",CL271)),0,IF(AZ271=500,0,CL271))))))</f>
        <v>0</v>
      </c>
      <c r="CY271" s="147" t="e">
        <f t="shared" si="365"/>
        <v>#VALUE!</v>
      </c>
      <c r="CZ271" s="147" t="b">
        <f>IF(CN271+CL271=0,FALSE,IF(AH271=0,0,IF(AND('Data Entry'!$C$74=1,CR271&gt;=1),TRUE,IF(AND('Data Entry'!$C$74=2,CS271&gt;=1),TRUE,FALSE))))</f>
        <v>0</v>
      </c>
      <c r="DA271" s="1751">
        <f>IF('Data Entry'!$C$74=0,0,IFERROR(ROUND(IF(T271="","",IF($X$4=0,0,IF(CF271=1,0,IF(BQ271+CV271=0,0,IF(CF271=1,0,IF(CY271&gt;0.01,CY271,IF(CL271&gt;0.01,CL271,IF(CY271&gt;0.01,CY271,IF(BC271=37,BO271,IF(CZ271=FALSE,0,IF(CZ271=TRUE,DC271+DF271,0))))))))))),2),""))</f>
        <v>0</v>
      </c>
      <c r="DB271" s="1752"/>
      <c r="DC271" s="474">
        <f>IF(CN271&lt;0.01,0,IF(AND(BR271=3,CN271&gt;0.01,CT271&gt;0.6,ER271+ES271+ET271&lt;100),0,IF(AND('Data Entry'!$C$74=1,CN271&gt;0.01,CR271&gt;0.99),MIN(CN271:CO271),IF(AND('Data Entry'!$C$74=2,CN271&gt;0.01,CS271&gt;0.99),MIN(CN271:CO271),0))))</f>
        <v>0</v>
      </c>
      <c r="DD271" s="478">
        <f>IF(CF271=1,"Selection does not match",IF(T271=0,0,IF(AND('Data Entry'!$C$74=0,CP271&gt;1),"Select Oregon or Idaho on Data Entry Tab",IF(AND(AU271=1,AA271&gt;0.9),"Missing Interior or Exterior Selection",IF($X$4=0,"Enter Total Project Cost",IF(AQ271&lt;AR271,"Insufficient kWh savings – no incentive",IF(AND(SUM(CL271+CK271+BV271)&gt;0.01,'Data Entry'!$C$74=2,CJ271&gt;1,BO271=0),"Submit Control as Non-Standard",IF(AND('Data Entry'!$C$74=2,BR271=37,CJ271&gt;1,BO271=0),"Submit Control as Non-Standard",IF(SUM(CL271+CK271+BV271)&gt;0.01,"Standard Incentive",IF(AND('Data Entry'!$C$74=2,CP271=7,CN271=0),"Submit as Non-Standard",IF(DC271&gt;0.9,"Non-Standard Incentive",IF(AND(BY271+BZ271+CA271&gt;0.01,BV271=0,EQ271=0,ER271=0,ES271=0,ET271=0),"Scroll Right &amp; Select Control Strategies",IF(AND(CN271&gt;0.01,CO271=0),"Enter Unit Installed Cost",IF(ISNUMBER(SEARCH("Lighting Controls Only",F271)),"Lighting Controls Only",IF(CL271+DC271=0,"Does not meet incentive criteria",0)))))))))))))))</f>
        <v>0</v>
      </c>
      <c r="DE271" s="337">
        <f t="shared" si="366"/>
        <v>0</v>
      </c>
      <c r="DF271" s="609">
        <f t="shared" si="367"/>
        <v>0</v>
      </c>
      <c r="DG271" s="336" t="str">
        <f t="shared" si="368"/>
        <v/>
      </c>
      <c r="DH271" s="338">
        <f t="shared" si="369"/>
        <v>1</v>
      </c>
      <c r="DI271" s="336" t="e">
        <f t="shared" si="324"/>
        <v>#VALUE!</v>
      </c>
      <c r="DJ271" s="338">
        <f t="shared" si="325"/>
        <v>0</v>
      </c>
      <c r="DO271" s="81"/>
      <c r="DP271" s="81"/>
      <c r="DQ271" s="81"/>
      <c r="DR271" s="81"/>
      <c r="DS271" s="1195">
        <f t="shared" si="370"/>
        <v>0</v>
      </c>
      <c r="DT271" s="344" t="b">
        <f t="shared" si="371"/>
        <v>1</v>
      </c>
      <c r="DU271" s="1314" t="str">
        <f t="array" ref="DU271">IF(OR(COUNTIF(F271,"*"&amp;$DK$9:$DK$178&amp;"*")), "Yes", "")</f>
        <v/>
      </c>
      <c r="DV271" s="1314">
        <f t="shared" si="372"/>
        <v>0</v>
      </c>
      <c r="DW271" s="1480">
        <f t="shared" si="373"/>
        <v>0</v>
      </c>
      <c r="DX271" s="1498">
        <f t="shared" si="382"/>
        <v>0</v>
      </c>
      <c r="DY271" s="1484">
        <f t="shared" si="374"/>
        <v>0</v>
      </c>
      <c r="DZ271" s="331"/>
      <c r="EA271" s="392"/>
      <c r="EB271" s="1499" t="s">
        <v>116</v>
      </c>
      <c r="EC271" s="727" t="s">
        <v>1569</v>
      </c>
      <c r="ED271" s="728">
        <v>0.5</v>
      </c>
      <c r="EE271" s="1215"/>
      <c r="EF271" s="1215"/>
      <c r="EG271" s="1184" t="str">
        <f t="shared" si="375"/>
        <v/>
      </c>
      <c r="EJ271" s="1185">
        <f t="shared" si="326"/>
        <v>0</v>
      </c>
      <c r="EK271" s="1211"/>
      <c r="EL271" s="1180">
        <f t="shared" si="327"/>
        <v>0</v>
      </c>
      <c r="EM271" s="206"/>
      <c r="EN271" s="1038"/>
      <c r="EO271" s="1038"/>
      <c r="EP271" s="1038"/>
      <c r="EQ271" s="1038">
        <f t="shared" si="376"/>
        <v>0</v>
      </c>
      <c r="ER271" s="1041">
        <f t="shared" si="377"/>
        <v>0</v>
      </c>
      <c r="ES271" s="1042">
        <f t="shared" si="378"/>
        <v>0</v>
      </c>
      <c r="ET271" s="1042">
        <f t="shared" si="383"/>
        <v>0</v>
      </c>
      <c r="EU271" s="1021">
        <f t="shared" si="384"/>
        <v>0</v>
      </c>
      <c r="EV271" s="368"/>
      <c r="EW271" s="368"/>
      <c r="EX271" s="369"/>
      <c r="EY271" s="370"/>
      <c r="EZ271" s="370"/>
      <c r="FA271" s="371"/>
      <c r="FB271" s="372"/>
    </row>
    <row r="272" spans="1:158" ht="34.5" customHeight="1">
      <c r="A272" s="82">
        <v>264</v>
      </c>
      <c r="B272" s="1806"/>
      <c r="C272" s="1807"/>
      <c r="D272" s="1807"/>
      <c r="E272" s="1808"/>
      <c r="F272" s="1809"/>
      <c r="G272" s="1810"/>
      <c r="H272" s="1810"/>
      <c r="I272" s="1811"/>
      <c r="J272" s="1301"/>
      <c r="K272" s="1814"/>
      <c r="L272" s="1814"/>
      <c r="M272" s="1017"/>
      <c r="N272" s="1584"/>
      <c r="O272" s="208" t="str">
        <f t="shared" si="314"/>
        <v/>
      </c>
      <c r="P272" s="785"/>
      <c r="Q272" s="39" t="str">
        <f t="shared" si="315"/>
        <v/>
      </c>
      <c r="R272" s="39">
        <f t="shared" si="328"/>
        <v>0</v>
      </c>
      <c r="S272" s="234">
        <f t="shared" si="329"/>
        <v>0</v>
      </c>
      <c r="T272" s="1815"/>
      <c r="U272" s="1815"/>
      <c r="V272" s="1815"/>
      <c r="W272" s="1121"/>
      <c r="X272" s="1812"/>
      <c r="Y272" s="1813"/>
      <c r="Z272" s="703"/>
      <c r="AA272" s="1280"/>
      <c r="AB272" s="1141"/>
      <c r="AC272" s="1103" t="str">
        <f>IF(T272="","",VLOOKUP(Z272,Lists!$A$60:$B$111,2,FALSE))</f>
        <v/>
      </c>
      <c r="AD272" s="130" t="str">
        <f t="shared" si="330"/>
        <v/>
      </c>
      <c r="AE272" s="130" t="e">
        <f t="shared" si="331"/>
        <v>#VALUE!</v>
      </c>
      <c r="AF272" s="130">
        <f t="shared" si="332"/>
        <v>1</v>
      </c>
      <c r="AG272" s="234">
        <f t="shared" si="316"/>
        <v>0</v>
      </c>
      <c r="AH272" s="1753" t="str">
        <f>IF(T272="","",(IF(ISNUMBER(SEARCH("exit",T272)),8760,IF(AND(M272="Dusk to Dawn",'Proposed Lighting'!AU272=3),4059,IF(AND(AU272=3,M272="1"),0,IF(AND(AU272=3,M272="1-C"),0,IF(AND(AU272=3,M272="2"),0,IF(AND(AU272=3,M272="2-C"),0,IF(AND(AU272=3,M272="3"),0,IF(AND(AU272=3,M272="3-C"),0,IF(AND(AU272=2,M272="Dusk to Dawn"),0,IF(AND(AU272=2,M272="Dusk to Dawn-C"),0,IF(AND(AU272=2,M272="Dusk to Dawn"),0,IF(AND(AU272=2,M272="E"),0,IF(AND(AU272=2,M272="E-C"),0,EG272)))))))))))))))</f>
        <v/>
      </c>
      <c r="AI272" s="1754"/>
      <c r="AJ272" s="1136"/>
      <c r="AK272" s="1136"/>
      <c r="AL272" s="1748">
        <f t="shared" si="333"/>
        <v>0</v>
      </c>
      <c r="AM272" s="1749"/>
      <c r="AN272" s="1750"/>
      <c r="AO272" s="476">
        <f t="shared" si="317"/>
        <v>0</v>
      </c>
      <c r="AP272" s="476">
        <f t="shared" si="334"/>
        <v>0</v>
      </c>
      <c r="AQ272" s="475">
        <f t="shared" si="318"/>
        <v>0</v>
      </c>
      <c r="AR272" s="475">
        <f t="shared" si="335"/>
        <v>0</v>
      </c>
      <c r="AS272" s="743" t="str">
        <f t="shared" si="310"/>
        <v/>
      </c>
      <c r="AT272" s="736" t="str">
        <f t="shared" si="336"/>
        <v/>
      </c>
      <c r="AU272" s="56">
        <f t="shared" si="337"/>
        <v>1</v>
      </c>
      <c r="AV272" s="476">
        <f t="shared" si="338"/>
        <v>0</v>
      </c>
      <c r="AW272" s="56">
        <f t="shared" si="339"/>
        <v>0</v>
      </c>
      <c r="AX272" s="475">
        <f t="shared" si="319"/>
        <v>0</v>
      </c>
      <c r="AY272" s="1169">
        <f t="shared" si="340"/>
        <v>0</v>
      </c>
      <c r="AZ272" s="1150">
        <f t="shared" si="379"/>
        <v>0</v>
      </c>
      <c r="BA272" s="56">
        <f t="shared" si="320"/>
        <v>0</v>
      </c>
      <c r="BB272" s="420">
        <f t="shared" si="321"/>
        <v>0</v>
      </c>
      <c r="BC272" s="58" t="str">
        <f t="shared" si="322"/>
        <v/>
      </c>
      <c r="BD272" s="660">
        <f t="shared" si="380"/>
        <v>0</v>
      </c>
      <c r="BE272" s="57" t="e">
        <f t="array" ref="BE272">INDEX($EB$11:$ED$1022,MATCH(F272&amp;T272,$EB$11:$EB$1007&amp;$EC$11:$EC$1007,0),3)</f>
        <v>#N/A</v>
      </c>
      <c r="BF272" s="463">
        <f t="shared" si="311"/>
        <v>0</v>
      </c>
      <c r="BG272" s="1445" t="e">
        <f t="array" ref="BG272">INDEX($DO$112:$DQ$123,MATCH(T272&amp;W272,$DO$114:$DO$125&amp;$DP$112:$DP$123,0),3)</f>
        <v>#N/A</v>
      </c>
      <c r="BH272" s="1446">
        <f t="shared" si="341"/>
        <v>0</v>
      </c>
      <c r="BI272" s="465">
        <f t="shared" si="342"/>
        <v>0</v>
      </c>
      <c r="BJ272" s="465">
        <f t="shared" si="343"/>
        <v>0</v>
      </c>
      <c r="BK272" s="466">
        <f t="shared" si="312"/>
        <v>0</v>
      </c>
      <c r="BL272" s="466">
        <f t="shared" si="313"/>
        <v>0</v>
      </c>
      <c r="BM272" s="466">
        <f t="shared" si="344"/>
        <v>0</v>
      </c>
      <c r="BN272" s="466">
        <f t="shared" si="345"/>
        <v>0</v>
      </c>
      <c r="BO272" s="463">
        <f>IF('Data Entry'!$C$74=0,0,IF(ISNA(CJ272),0,IF(AX272=0,0,IF(AND('Data Entry'!$C$74=2,AF272&gt;2,CE272&lt;1),0,IF(AND('Data Entry'!$C$74=2,AF272&gt;1,AU272=2,CJ272&gt;1),0,IF(AND(AF272=5,CT272=0.5,AU272=2,ER272&lt;100),0,IF(AND(AF272=5,CT272=0.5,AU272=3,ER272&lt;100),0,IF(AND('Data Entry'!$C$74=2,AF272=2,AU272=2,AK272&gt;0.01,CB272=2,CE272&lt;1),0,IF(AND('Data Entry'!$C$74=2,AF272=3,AU272=3,AK272&gt;0.01,CB272=3,CE272&lt;1),0,IF(AND('Data Entry'!$C$74=2,AF272=3,AU272=3,AK272&gt;0.01,CB272=3,CE272&gt;0.99),BQ272*0.08,IF(AND('Data Entry'!$C$74=2,AF272=2,AU272=2,AK272&gt;0.01,CB272=2,CE272&gt;0.99),BQ272*0.1,IF(AND(AU272=2,AK272&gt;0.01,CB272=2,CD272&gt;1),BQ272*0.1,IF(AND(AU272=3,AK272&gt;0.01,CB272=3,CD272&gt;1),BQ272*0.08,CJ272*EF272)))))))))))))</f>
        <v>0</v>
      </c>
      <c r="BP272" s="475">
        <f t="shared" si="346"/>
        <v>0</v>
      </c>
      <c r="BQ272" s="1431">
        <f>IF(AU272=1,0,IF(CH272=100,0,IF(AND(AF272=3,AU272=2),0,IF(AND(BH272=0,CT272&gt;0.4),0,IF(AND('Data Entry'!$C$74=2,AF272=1.5),0,IF(AND('Data Entry'!$C$74=2,AF272=1.6),0,IF(AND('Data Entry'!$C$74=2,AF272=4),0,IF(AND('Data Entry'!$C$74=2,AF272=5),0,IF(AND('Data Entry'!$C$74=2,AF272=2.5,CE272&lt;1),0,IF(AND('Data Entry'!$C$74=2,AF272=3,CE272&lt;1),0,IF(AND('Data Entry'!$C$74=1,AF272=2.5,CD272&lt;1),0,IF(AND('Data Entry'!$C$74=1,AF272=3,CD272&lt;1),0,IF(DX272&gt;0.01,DX272,IF(ISERROR(AX272-AY272),"",ROUND(AX272-AY272,2)))))))))))))))</f>
        <v>0</v>
      </c>
      <c r="BR272" s="146">
        <f t="shared" si="347"/>
        <v>0</v>
      </c>
      <c r="BS272" s="475">
        <f t="shared" si="348"/>
        <v>0</v>
      </c>
      <c r="BT272" s="146" t="b">
        <f t="shared" si="349"/>
        <v>0</v>
      </c>
      <c r="BU272" s="463">
        <f>IF(ISNA(AT272),0,IF(AND('Data Entry'!$C$74=2,BC272=27),0,IF(AND('Data Entry'!$C$74=2,BC272=28),0,IF(AND(BC272=27,BT272=27,CM272&gt;0.1),CM272*0.15,IF(AND(BC272=28,BT272=28,CM272&gt;0.1),CM272*0.12,0)))))</f>
        <v>0</v>
      </c>
      <c r="BV272" s="463">
        <f t="shared" si="309"/>
        <v>0</v>
      </c>
      <c r="BW272" s="463">
        <f t="shared" si="350"/>
        <v>0</v>
      </c>
      <c r="BX272" s="463">
        <f t="shared" si="351"/>
        <v>0</v>
      </c>
      <c r="BY272" s="463">
        <f t="shared" si="352"/>
        <v>0</v>
      </c>
      <c r="BZ272" s="463">
        <f t="shared" si="353"/>
        <v>0</v>
      </c>
      <c r="CA272" s="57">
        <f t="shared" si="381"/>
        <v>0</v>
      </c>
      <c r="CB272" s="56">
        <f t="shared" si="354"/>
        <v>1</v>
      </c>
      <c r="CC272" s="756">
        <f>IF(EE272=0,0,IF(EF272=0,0,IF(EE272&gt;AA272,0,IF(AND(AZ272&gt;AW272,AW272&gt;0),0,IF(CU272=0,0,Summary!AC575)))))</f>
        <v>0</v>
      </c>
      <c r="CD272" s="756">
        <f>IF(EE272=0,0,IF(EF272=0,0,IF(EE272&gt;AA272,0,IF(AND(AZ272&gt;AW272,AW272&gt;0),0,IF(CU272=0,0,Summary!AD575)))))</f>
        <v>0</v>
      </c>
      <c r="CE272" s="756">
        <f>IF(EF272=0,0,IF(EE272&gt;AA272,0,IF(CC272=0,0,IF(AND(AZ272&gt;AW272,AW272&gt;0),0,IF(CU272=0,0,Summary!AE575)))))</f>
        <v>0</v>
      </c>
      <c r="CF272" s="475">
        <f t="shared" si="355"/>
        <v>0</v>
      </c>
      <c r="CG272" s="476">
        <f t="shared" si="323"/>
        <v>0</v>
      </c>
      <c r="CH272" s="487">
        <f t="shared" si="356"/>
        <v>0</v>
      </c>
      <c r="CI272" s="756">
        <f t="shared" si="357"/>
        <v>0</v>
      </c>
      <c r="CJ272" s="487">
        <f>IF(CT272&gt;0.4,0,IF(AND(AU272=2,CH272=0,CT272=0.5,ER272=100),35,IF(AND(AU272=3,BB272&gt;75,CH272=0,CT272=0.5,ER272=100),25,IF(CB272&gt;1,0,IF(EF272&gt;EE272,0,IF(AND(AF272&gt;1,CH272=100),0,IF(AND(AF272=1,AY272=0),0,IF(AND(EF272&lt;=EE272,AW272&gt;=AZ272,'Data Entry'!$C$74=1,AU272=2),VLOOKUP(W272,$DO$96:$DP$102,2,FALSE),IF(AND(EF272&lt;=EE272,AW272&gt;=AZ272,AU272=3,'Data Entry'!$C$74=1),VLOOKUP(W272,$DO$127:$DP$134,2,FALSE))))))))))</f>
        <v>0</v>
      </c>
      <c r="CK272" s="716">
        <f t="shared" si="358"/>
        <v>0</v>
      </c>
      <c r="CL272" s="57">
        <f t="shared" si="359"/>
        <v>0</v>
      </c>
      <c r="CM272" s="475">
        <f t="shared" si="385"/>
        <v>0</v>
      </c>
      <c r="CN272" s="660">
        <f>IF(CM272&lt;0.1,0,IF(ISNA(AT272),0,IF(CL272+BC272=1,0,IF(BV272&gt;0.01,0,IF(CL272&gt;0.01,0,IF(CF272=1,0,IF(BC272=0.5,0,IF(AND(CI272=1,AU272=3),0,IF(AND(CI272=5,CL272=0),0,IF(AND(R272=12,BR272=50),0,IF(CK272&gt;0.01,0,IF(AND(AJ272&gt;0.01,AU272=2,BC272=15),CM272*0.1,IF(AND(AJ272&gt;0.01,AU272=3,BC272=15),CM272*0.08,IF(AND(R272=12,BC272=3,AF272&lt;=0),0,IF(AND(BC272=15,BI272=0),0,IF(AND(BC272=15,BJ272=0),0,IF(AND(R272=20,CU272=0),0,IF($X$4=0,0,IF(AND(BC272=250,CL272=0),0,IF(AA272&lt;1,0,IF(AND(ISNUMBER(SEARCH("Area",T272)),AU272=3),0,IF(AND(AQ272&gt;0.01,AR272=0,BK272=0,BL272=0,BM272=0,BN272=0),0,IF(AND(AU272=3,CI272=7,CT272&gt;0.5),0,IF(AND(BC272=44,AU272=3,BY272=0),0,IF(AND(BC272=27,'Data Entry'!$C$74=2),0,IF(AND(BC272=28,'Data Entry'!$C$74=2),0,IF(AND(BY272+BZ272+CA272&gt;0.01,BV272=0,EQ272+ER272+ES272+ET272&lt;100),0,IF(AU272=3,CM272*0.08,IF(AU272=2,CM272*0.1,0)))))))))))))))))))))))))))))</f>
        <v>0</v>
      </c>
      <c r="CO272" s="660">
        <f t="shared" si="360"/>
        <v>0</v>
      </c>
      <c r="CP272" s="475" t="str">
        <f t="shared" si="361"/>
        <v/>
      </c>
      <c r="CQ272" s="161" t="str">
        <f>IF(AH272=0,0,IF(AU272=5,0,Summary!AC275))</f>
        <v/>
      </c>
      <c r="CR272" s="161" t="str">
        <f>IF(BF272=0.5,0,IF(AU272=5,0,Summary!AD275))</f>
        <v/>
      </c>
      <c r="CS272" s="161" t="str">
        <f>IF(AU272=5,0,Summary!AE275)</f>
        <v/>
      </c>
      <c r="CT272" s="161">
        <f t="shared" si="362"/>
        <v>0</v>
      </c>
      <c r="CU272" s="475" t="str">
        <f t="shared" si="363"/>
        <v/>
      </c>
      <c r="CV272" s="307">
        <f>IF('Data Entry'!$C$74=0,0,IF(AA272&lt;1,0,IF(ISERROR(CU272),0,IF(CF272=1,0,IF(AND(R272=12,BR272=50),0,IF(CL272+BO272+BV272+DC272=0,0,IF(BC272=37,0,IF(AND(BC272=40,AJ272=0),0,IF(AND(BC272=37,BO272&gt;0.01,BQ272&gt;0.01),ROUND(BQ272,0),IF(CM272&lt;0,0,ROUND(CM272,0)))))))))))</f>
        <v>0</v>
      </c>
      <c r="CW272" s="700">
        <f t="shared" si="364"/>
        <v>0</v>
      </c>
      <c r="CX272" s="477">
        <f>IF('Data Entry'!$C$74=0,0,IF(CV272&lt;0.01,0,IF(BF272=0.5,0,IF(CF272=1,0,IF(ISNUMBER(SEARCH("false",CL272)),0,IF(AZ272=500,0,CL272))))))</f>
        <v>0</v>
      </c>
      <c r="CY272" s="147" t="e">
        <f t="shared" si="365"/>
        <v>#VALUE!</v>
      </c>
      <c r="CZ272" s="147" t="b">
        <f>IF(CN272+CL272=0,FALSE,IF(AH272=0,0,IF(AND('Data Entry'!$C$74=1,CR272&gt;=1),TRUE,IF(AND('Data Entry'!$C$74=2,CS272&gt;=1),TRUE,FALSE))))</f>
        <v>0</v>
      </c>
      <c r="DA272" s="1751">
        <f>IF('Data Entry'!$C$74=0,0,IFERROR(ROUND(IF(T272="","",IF($X$4=0,0,IF(CF272=1,0,IF(BQ272+CV272=0,0,IF(CF272=1,0,IF(CY272&gt;0.01,CY272,IF(CL272&gt;0.01,CL272,IF(CY272&gt;0.01,CY272,IF(BC272=37,BO272,IF(CZ272=FALSE,0,IF(CZ272=TRUE,DC272+DF272,0))))))))))),2),""))</f>
        <v>0</v>
      </c>
      <c r="DB272" s="1752"/>
      <c r="DC272" s="474">
        <f>IF(CN272&lt;0.01,0,IF(AND(BR272=3,CN272&gt;0.01,CT272&gt;0.6,ER272+ES272+ET272&lt;100),0,IF(AND('Data Entry'!$C$74=1,CN272&gt;0.01,CR272&gt;0.99),MIN(CN272:CO272),IF(AND('Data Entry'!$C$74=2,CN272&gt;0.01,CS272&gt;0.99),MIN(CN272:CO272),0))))</f>
        <v>0</v>
      </c>
      <c r="DD272" s="478">
        <f>IF(CF272=1,"Selection does not match",IF(T272=0,0,IF(AND('Data Entry'!$C$74=0,CP272&gt;1),"Select Oregon or Idaho on Data Entry Tab",IF(AND(AU272=1,AA272&gt;0.9),"Missing Interior or Exterior Selection",IF($X$4=0,"Enter Total Project Cost",IF(AQ272&lt;AR272,"Insufficient kWh savings – no incentive",IF(AND(SUM(CL272+CK272+BV272)&gt;0.01,'Data Entry'!$C$74=2,CJ272&gt;1,BO272=0),"Submit Control as Non-Standard",IF(AND('Data Entry'!$C$74=2,BR272=37,CJ272&gt;1,BO272=0),"Submit Control as Non-Standard",IF(SUM(CL272+CK272+BV272)&gt;0.01,"Standard Incentive",IF(AND('Data Entry'!$C$74=2,CP272=7,CN272=0),"Submit as Non-Standard",IF(DC272&gt;0.9,"Non-Standard Incentive",IF(AND(BY272+BZ272+CA272&gt;0.01,BV272=0,EQ272=0,ER272=0,ES272=0,ET272=0),"Scroll Right &amp; Select Control Strategies",IF(AND(CN272&gt;0.01,CO272=0),"Enter Unit Installed Cost",IF(ISNUMBER(SEARCH("Lighting Controls Only",F272)),"Lighting Controls Only",IF(CL272+DC272=0,"Does not meet incentive criteria",0)))))))))))))))</f>
        <v>0</v>
      </c>
      <c r="DE272" s="337">
        <f t="shared" si="366"/>
        <v>0</v>
      </c>
      <c r="DF272" s="609">
        <f t="shared" si="367"/>
        <v>0</v>
      </c>
      <c r="DG272" s="336" t="str">
        <f t="shared" si="368"/>
        <v/>
      </c>
      <c r="DH272" s="338">
        <f t="shared" si="369"/>
        <v>1</v>
      </c>
      <c r="DI272" s="336" t="e">
        <f t="shared" si="324"/>
        <v>#VALUE!</v>
      </c>
      <c r="DJ272" s="338">
        <f t="shared" si="325"/>
        <v>0</v>
      </c>
      <c r="DO272" s="81"/>
      <c r="DP272" s="81"/>
      <c r="DQ272" s="81"/>
      <c r="DR272" s="81"/>
      <c r="DS272" s="1195">
        <f t="shared" si="370"/>
        <v>0</v>
      </c>
      <c r="DT272" s="344" t="b">
        <f t="shared" si="371"/>
        <v>1</v>
      </c>
      <c r="DU272" s="1314" t="str">
        <f t="array" ref="DU272">IF(OR(COUNTIF(F272,"*"&amp;$DK$9:$DK$178&amp;"*")), "Yes", "")</f>
        <v/>
      </c>
      <c r="DV272" s="1314">
        <f t="shared" si="372"/>
        <v>0</v>
      </c>
      <c r="DW272" s="1480">
        <f t="shared" si="373"/>
        <v>0</v>
      </c>
      <c r="DX272" s="1498">
        <f t="shared" si="382"/>
        <v>0</v>
      </c>
      <c r="DY272" s="1484">
        <f t="shared" si="374"/>
        <v>0</v>
      </c>
      <c r="DZ272" s="331"/>
      <c r="EA272" s="392"/>
      <c r="EB272" s="1499" t="s">
        <v>117</v>
      </c>
      <c r="EC272" s="727" t="s">
        <v>1569</v>
      </c>
      <c r="ED272" s="728">
        <v>0.5</v>
      </c>
      <c r="EE272" s="1215"/>
      <c r="EF272" s="1215"/>
      <c r="EG272" s="1184" t="str">
        <f t="shared" si="375"/>
        <v/>
      </c>
      <c r="EJ272" s="1185">
        <f t="shared" si="326"/>
        <v>0</v>
      </c>
      <c r="EK272" s="1211"/>
      <c r="EL272" s="1180">
        <f t="shared" si="327"/>
        <v>0</v>
      </c>
      <c r="EM272" s="206"/>
      <c r="EN272" s="1038"/>
      <c r="EO272" s="1038"/>
      <c r="EP272" s="1038"/>
      <c r="EQ272" s="1038">
        <f t="shared" si="376"/>
        <v>0</v>
      </c>
      <c r="ER272" s="1041">
        <f t="shared" si="377"/>
        <v>0</v>
      </c>
      <c r="ES272" s="1042">
        <f t="shared" si="378"/>
        <v>0</v>
      </c>
      <c r="ET272" s="1042">
        <f t="shared" si="383"/>
        <v>0</v>
      </c>
      <c r="EU272" s="1021">
        <f t="shared" si="384"/>
        <v>0</v>
      </c>
      <c r="EV272" s="368"/>
      <c r="EW272" s="368"/>
      <c r="EX272" s="369"/>
      <c r="EY272" s="370"/>
      <c r="EZ272" s="370"/>
      <c r="FA272" s="371"/>
      <c r="FB272" s="372"/>
    </row>
    <row r="273" spans="1:158" ht="34.5" customHeight="1">
      <c r="A273" s="82">
        <v>265</v>
      </c>
      <c r="B273" s="1806"/>
      <c r="C273" s="1807"/>
      <c r="D273" s="1807"/>
      <c r="E273" s="1808"/>
      <c r="F273" s="1809"/>
      <c r="G273" s="1810"/>
      <c r="H273" s="1810"/>
      <c r="I273" s="1811"/>
      <c r="J273" s="1301"/>
      <c r="K273" s="1814"/>
      <c r="L273" s="1814"/>
      <c r="M273" s="1017"/>
      <c r="N273" s="1584"/>
      <c r="O273" s="208" t="str">
        <f t="shared" si="314"/>
        <v/>
      </c>
      <c r="P273" s="785"/>
      <c r="Q273" s="39" t="str">
        <f t="shared" si="315"/>
        <v/>
      </c>
      <c r="R273" s="39">
        <f t="shared" si="328"/>
        <v>0</v>
      </c>
      <c r="S273" s="234">
        <f t="shared" si="329"/>
        <v>0</v>
      </c>
      <c r="T273" s="1815"/>
      <c r="U273" s="1815"/>
      <c r="V273" s="1815"/>
      <c r="W273" s="1121"/>
      <c r="X273" s="1812"/>
      <c r="Y273" s="1813"/>
      <c r="Z273" s="703"/>
      <c r="AA273" s="1280"/>
      <c r="AB273" s="1141"/>
      <c r="AC273" s="1103" t="str">
        <f>IF(T273="","",VLOOKUP(Z273,Lists!$A$60:$B$111,2,FALSE))</f>
        <v/>
      </c>
      <c r="AD273" s="130" t="str">
        <f t="shared" si="330"/>
        <v/>
      </c>
      <c r="AE273" s="130" t="e">
        <f t="shared" si="331"/>
        <v>#VALUE!</v>
      </c>
      <c r="AF273" s="130">
        <f t="shared" si="332"/>
        <v>1</v>
      </c>
      <c r="AG273" s="234">
        <f t="shared" si="316"/>
        <v>0</v>
      </c>
      <c r="AH273" s="1753" t="str">
        <f>IF(T273="","",(IF(ISNUMBER(SEARCH("exit",T273)),8760,IF(AND(M273="Dusk to Dawn",'Proposed Lighting'!AU273=3),4059,IF(AND(AU273=3,M273="1"),0,IF(AND(AU273=3,M273="1-C"),0,IF(AND(AU273=3,M273="2"),0,IF(AND(AU273=3,M273="2-C"),0,IF(AND(AU273=3,M273="3"),0,IF(AND(AU273=3,M273="3-C"),0,IF(AND(AU273=2,M273="Dusk to Dawn"),0,IF(AND(AU273=2,M273="Dusk to Dawn-C"),0,IF(AND(AU273=2,M273="Dusk to Dawn"),0,IF(AND(AU273=2,M273="E"),0,IF(AND(AU273=2,M273="E-C"),0,EG273)))))))))))))))</f>
        <v/>
      </c>
      <c r="AI273" s="1754"/>
      <c r="AJ273" s="1136"/>
      <c r="AK273" s="1136"/>
      <c r="AL273" s="1748">
        <f t="shared" si="333"/>
        <v>0</v>
      </c>
      <c r="AM273" s="1749"/>
      <c r="AN273" s="1750"/>
      <c r="AO273" s="476">
        <f t="shared" si="317"/>
        <v>0</v>
      </c>
      <c r="AP273" s="476">
        <f t="shared" si="334"/>
        <v>0</v>
      </c>
      <c r="AQ273" s="475">
        <f t="shared" si="318"/>
        <v>0</v>
      </c>
      <c r="AR273" s="475">
        <f t="shared" si="335"/>
        <v>0</v>
      </c>
      <c r="AS273" s="743" t="str">
        <f t="shared" si="310"/>
        <v/>
      </c>
      <c r="AT273" s="736" t="str">
        <f t="shared" si="336"/>
        <v/>
      </c>
      <c r="AU273" s="56">
        <f t="shared" si="337"/>
        <v>1</v>
      </c>
      <c r="AV273" s="476">
        <f t="shared" si="338"/>
        <v>0</v>
      </c>
      <c r="AW273" s="56">
        <f t="shared" si="339"/>
        <v>0</v>
      </c>
      <c r="AX273" s="475">
        <f t="shared" si="319"/>
        <v>0</v>
      </c>
      <c r="AY273" s="1169">
        <f t="shared" si="340"/>
        <v>0</v>
      </c>
      <c r="AZ273" s="1150">
        <f t="shared" si="379"/>
        <v>0</v>
      </c>
      <c r="BA273" s="56">
        <f t="shared" si="320"/>
        <v>0</v>
      </c>
      <c r="BB273" s="420">
        <f t="shared" si="321"/>
        <v>0</v>
      </c>
      <c r="BC273" s="58" t="str">
        <f t="shared" si="322"/>
        <v/>
      </c>
      <c r="BD273" s="660">
        <f t="shared" si="380"/>
        <v>0</v>
      </c>
      <c r="BE273" s="57" t="e">
        <f t="array" ref="BE273">INDEX($EB$11:$ED$1022,MATCH(F273&amp;T273,$EB$11:$EB$1007&amp;$EC$11:$EC$1007,0),3)</f>
        <v>#N/A</v>
      </c>
      <c r="BF273" s="463">
        <f t="shared" si="311"/>
        <v>0</v>
      </c>
      <c r="BG273" s="1445" t="e">
        <f t="array" ref="BG273">INDEX($DO$112:$DQ$123,MATCH(T273&amp;W273,$DO$114:$DO$125&amp;$DP$112:$DP$123,0),3)</f>
        <v>#N/A</v>
      </c>
      <c r="BH273" s="1446">
        <f t="shared" si="341"/>
        <v>0</v>
      </c>
      <c r="BI273" s="465">
        <f t="shared" si="342"/>
        <v>0</v>
      </c>
      <c r="BJ273" s="465">
        <f t="shared" si="343"/>
        <v>0</v>
      </c>
      <c r="BK273" s="466">
        <f t="shared" si="312"/>
        <v>0</v>
      </c>
      <c r="BL273" s="466">
        <f t="shared" si="313"/>
        <v>0</v>
      </c>
      <c r="BM273" s="466">
        <f t="shared" si="344"/>
        <v>0</v>
      </c>
      <c r="BN273" s="466">
        <f t="shared" si="345"/>
        <v>0</v>
      </c>
      <c r="BO273" s="463">
        <f>IF('Data Entry'!$C$74=0,0,IF(ISNA(CJ273),0,IF(AX273=0,0,IF(AND('Data Entry'!$C$74=2,AF273&gt;2,CE273&lt;1),0,IF(AND('Data Entry'!$C$74=2,AF273&gt;1,AU273=2,CJ273&gt;1),0,IF(AND(AF273=5,CT273=0.5,AU273=2,ER273&lt;100),0,IF(AND(AF273=5,CT273=0.5,AU273=3,ER273&lt;100),0,IF(AND('Data Entry'!$C$74=2,AF273=2,AU273=2,AK273&gt;0.01,CB273=2,CE273&lt;1),0,IF(AND('Data Entry'!$C$74=2,AF273=3,AU273=3,AK273&gt;0.01,CB273=3,CE273&lt;1),0,IF(AND('Data Entry'!$C$74=2,AF273=3,AU273=3,AK273&gt;0.01,CB273=3,CE273&gt;0.99),BQ273*0.08,IF(AND('Data Entry'!$C$74=2,AF273=2,AU273=2,AK273&gt;0.01,CB273=2,CE273&gt;0.99),BQ273*0.1,IF(AND(AU273=2,AK273&gt;0.01,CB273=2,CD273&gt;1),BQ273*0.1,IF(AND(AU273=3,AK273&gt;0.01,CB273=3,CD273&gt;1),BQ273*0.08,CJ273*EF273)))))))))))))</f>
        <v>0</v>
      </c>
      <c r="BP273" s="475">
        <f t="shared" si="346"/>
        <v>0</v>
      </c>
      <c r="BQ273" s="1431">
        <f>IF(AU273=1,0,IF(CH273=100,0,IF(AND(AF273=3,AU273=2),0,IF(AND(BH273=0,CT273&gt;0.4),0,IF(AND('Data Entry'!$C$74=2,AF273=1.5),0,IF(AND('Data Entry'!$C$74=2,AF273=1.6),0,IF(AND('Data Entry'!$C$74=2,AF273=4),0,IF(AND('Data Entry'!$C$74=2,AF273=5),0,IF(AND('Data Entry'!$C$74=2,AF273=2.5,CE273&lt;1),0,IF(AND('Data Entry'!$C$74=2,AF273=3,CE273&lt;1),0,IF(AND('Data Entry'!$C$74=1,AF273=2.5,CD273&lt;1),0,IF(AND('Data Entry'!$C$74=1,AF273=3,CD273&lt;1),0,IF(DX273&gt;0.01,DX273,IF(ISERROR(AX273-AY273),"",ROUND(AX273-AY273,2)))))))))))))))</f>
        <v>0</v>
      </c>
      <c r="BR273" s="146">
        <f t="shared" si="347"/>
        <v>0</v>
      </c>
      <c r="BS273" s="475">
        <f t="shared" si="348"/>
        <v>0</v>
      </c>
      <c r="BT273" s="146" t="b">
        <f t="shared" si="349"/>
        <v>0</v>
      </c>
      <c r="BU273" s="463">
        <f>IF(ISNA(AT273),0,IF(AND('Data Entry'!$C$74=2,BC273=27),0,IF(AND('Data Entry'!$C$74=2,BC273=28),0,IF(AND(BC273=27,BT273=27,CM273&gt;0.1),CM273*0.15,IF(AND(BC273=28,BT273=28,CM273&gt;0.1),CM273*0.12,0)))))</f>
        <v>0</v>
      </c>
      <c r="BV273" s="463">
        <f t="shared" si="309"/>
        <v>0</v>
      </c>
      <c r="BW273" s="463">
        <f t="shared" si="350"/>
        <v>0</v>
      </c>
      <c r="BX273" s="463">
        <f t="shared" si="351"/>
        <v>0</v>
      </c>
      <c r="BY273" s="463">
        <f t="shared" si="352"/>
        <v>0</v>
      </c>
      <c r="BZ273" s="463">
        <f t="shared" si="353"/>
        <v>0</v>
      </c>
      <c r="CA273" s="57">
        <f t="shared" si="381"/>
        <v>0</v>
      </c>
      <c r="CB273" s="56">
        <f t="shared" si="354"/>
        <v>1</v>
      </c>
      <c r="CC273" s="756">
        <f>IF(EE273=0,0,IF(EF273=0,0,IF(EE273&gt;AA273,0,IF(AND(AZ273&gt;AW273,AW273&gt;0),0,IF(CU273=0,0,Summary!AC576)))))</f>
        <v>0</v>
      </c>
      <c r="CD273" s="756">
        <f>IF(EE273=0,0,IF(EF273=0,0,IF(EE273&gt;AA273,0,IF(AND(AZ273&gt;AW273,AW273&gt;0),0,IF(CU273=0,0,Summary!AD576)))))</f>
        <v>0</v>
      </c>
      <c r="CE273" s="756">
        <f>IF(EF273=0,0,IF(EE273&gt;AA273,0,IF(CC273=0,0,IF(AND(AZ273&gt;AW273,AW273&gt;0),0,IF(CU273=0,0,Summary!AE576)))))</f>
        <v>0</v>
      </c>
      <c r="CF273" s="475">
        <f t="shared" si="355"/>
        <v>0</v>
      </c>
      <c r="CG273" s="476">
        <f t="shared" si="323"/>
        <v>0</v>
      </c>
      <c r="CH273" s="487">
        <f t="shared" si="356"/>
        <v>0</v>
      </c>
      <c r="CI273" s="756">
        <f t="shared" si="357"/>
        <v>0</v>
      </c>
      <c r="CJ273" s="487">
        <f>IF(CT273&gt;0.4,0,IF(AND(AU273=2,CH273=0,CT273=0.5,ER273=100),35,IF(AND(AU273=3,BB273&gt;75,CH273=0,CT273=0.5,ER273=100),25,IF(CB273&gt;1,0,IF(EF273&gt;EE273,0,IF(AND(AF273&gt;1,CH273=100),0,IF(AND(AF273=1,AY273=0),0,IF(AND(EF273&lt;=EE273,AW273&gt;=AZ273,'Data Entry'!$C$74=1,AU273=2),VLOOKUP(W273,$DO$96:$DP$102,2,FALSE),IF(AND(EF273&lt;=EE273,AW273&gt;=AZ273,AU273=3,'Data Entry'!$C$74=1),VLOOKUP(W273,$DO$127:$DP$134,2,FALSE))))))))))</f>
        <v>0</v>
      </c>
      <c r="CK273" s="716">
        <f t="shared" si="358"/>
        <v>0</v>
      </c>
      <c r="CL273" s="57">
        <f t="shared" si="359"/>
        <v>0</v>
      </c>
      <c r="CM273" s="475">
        <f t="shared" si="385"/>
        <v>0</v>
      </c>
      <c r="CN273" s="660">
        <f>IF(CM273&lt;0.1,0,IF(ISNA(AT273),0,IF(CL273+BC273=1,0,IF(BV273&gt;0.01,0,IF(CL273&gt;0.01,0,IF(CF273=1,0,IF(BC273=0.5,0,IF(AND(CI273=1,AU273=3),0,IF(AND(CI273=5,CL273=0),0,IF(AND(R273=12,BR273=50),0,IF(CK273&gt;0.01,0,IF(AND(AJ273&gt;0.01,AU273=2,BC273=15),CM273*0.1,IF(AND(AJ273&gt;0.01,AU273=3,BC273=15),CM273*0.08,IF(AND(R273=12,BC273=3,AF273&lt;=0),0,IF(AND(BC273=15,BI273=0),0,IF(AND(BC273=15,BJ273=0),0,IF(AND(R273=20,CU273=0),0,IF($X$4=0,0,IF(AND(BC273=250,CL273=0),0,IF(AA273&lt;1,0,IF(AND(ISNUMBER(SEARCH("Area",T273)),AU273=3),0,IF(AND(AQ273&gt;0.01,AR273=0,BK273=0,BL273=0,BM273=0,BN273=0),0,IF(AND(AU273=3,CI273=7,CT273&gt;0.5),0,IF(AND(BC273=44,AU273=3,BY273=0),0,IF(AND(BC273=27,'Data Entry'!$C$74=2),0,IF(AND(BC273=28,'Data Entry'!$C$74=2),0,IF(AND(BY273+BZ273+CA273&gt;0.01,BV273=0,EQ273+ER273+ES273+ET273&lt;100),0,IF(AU273=3,CM273*0.08,IF(AU273=2,CM273*0.1,0)))))))))))))))))))))))))))))</f>
        <v>0</v>
      </c>
      <c r="CO273" s="660">
        <f t="shared" si="360"/>
        <v>0</v>
      </c>
      <c r="CP273" s="475" t="str">
        <f t="shared" si="361"/>
        <v/>
      </c>
      <c r="CQ273" s="161" t="str">
        <f>IF(AH273=0,0,IF(AU273=5,0,Summary!AC276))</f>
        <v/>
      </c>
      <c r="CR273" s="161" t="str">
        <f>IF(BF273=0.5,0,IF(AU273=5,0,Summary!AD276))</f>
        <v/>
      </c>
      <c r="CS273" s="161" t="str">
        <f>IF(AU273=5,0,Summary!AE276)</f>
        <v/>
      </c>
      <c r="CT273" s="161">
        <f t="shared" si="362"/>
        <v>0</v>
      </c>
      <c r="CU273" s="475" t="str">
        <f t="shared" si="363"/>
        <v/>
      </c>
      <c r="CV273" s="307">
        <f>IF('Data Entry'!$C$74=0,0,IF(AA273&lt;1,0,IF(ISERROR(CU273),0,IF(CF273=1,0,IF(AND(R273=12,BR273=50),0,IF(CL273+BO273+BV273+DC273=0,0,IF(BC273=37,0,IF(AND(BC273=40,AJ273=0),0,IF(AND(BC273=37,BO273&gt;0.01,BQ273&gt;0.01),ROUND(BQ273,0),IF(CM273&lt;0,0,ROUND(CM273,0)))))))))))</f>
        <v>0</v>
      </c>
      <c r="CW273" s="700">
        <f t="shared" si="364"/>
        <v>0</v>
      </c>
      <c r="CX273" s="477">
        <f>IF('Data Entry'!$C$74=0,0,IF(CV273&lt;0.01,0,IF(BF273=0.5,0,IF(CF273=1,0,IF(ISNUMBER(SEARCH("false",CL273)),0,IF(AZ273=500,0,CL273))))))</f>
        <v>0</v>
      </c>
      <c r="CY273" s="147" t="e">
        <f t="shared" si="365"/>
        <v>#VALUE!</v>
      </c>
      <c r="CZ273" s="147" t="b">
        <f>IF(CN273+CL273=0,FALSE,IF(AH273=0,0,IF(AND('Data Entry'!$C$74=1,CR273&gt;=1),TRUE,IF(AND('Data Entry'!$C$74=2,CS273&gt;=1),TRUE,FALSE))))</f>
        <v>0</v>
      </c>
      <c r="DA273" s="1751">
        <f>IF('Data Entry'!$C$74=0,0,IFERROR(ROUND(IF(T273="","",IF($X$4=0,0,IF(CF273=1,0,IF(BQ273+CV273=0,0,IF(CF273=1,0,IF(CY273&gt;0.01,CY273,IF(CL273&gt;0.01,CL273,IF(CY273&gt;0.01,CY273,IF(BC273=37,BO273,IF(CZ273=FALSE,0,IF(CZ273=TRUE,DC273+DF273,0))))))))))),2),""))</f>
        <v>0</v>
      </c>
      <c r="DB273" s="1752"/>
      <c r="DC273" s="474">
        <f>IF(CN273&lt;0.01,0,IF(AND(BR273=3,CN273&gt;0.01,CT273&gt;0.6,ER273+ES273+ET273&lt;100),0,IF(AND('Data Entry'!$C$74=1,CN273&gt;0.01,CR273&gt;0.99),MIN(CN273:CO273),IF(AND('Data Entry'!$C$74=2,CN273&gt;0.01,CS273&gt;0.99),MIN(CN273:CO273),0))))</f>
        <v>0</v>
      </c>
      <c r="DD273" s="478">
        <f>IF(CF273=1,"Selection does not match",IF(T273=0,0,IF(AND('Data Entry'!$C$74=0,CP273&gt;1),"Select Oregon or Idaho on Data Entry Tab",IF(AND(AU273=1,AA273&gt;0.9),"Missing Interior or Exterior Selection",IF($X$4=0,"Enter Total Project Cost",IF(AQ273&lt;AR273,"Insufficient kWh savings – no incentive",IF(AND(SUM(CL273+CK273+BV273)&gt;0.01,'Data Entry'!$C$74=2,CJ273&gt;1,BO273=0),"Submit Control as Non-Standard",IF(AND('Data Entry'!$C$74=2,BR273=37,CJ273&gt;1,BO273=0),"Submit Control as Non-Standard",IF(SUM(CL273+CK273+BV273)&gt;0.01,"Standard Incentive",IF(AND('Data Entry'!$C$74=2,CP273=7,CN273=0),"Submit as Non-Standard",IF(DC273&gt;0.9,"Non-Standard Incentive",IF(AND(BY273+BZ273+CA273&gt;0.01,BV273=0,EQ273=0,ER273=0,ES273=0,ET273=0),"Scroll Right &amp; Select Control Strategies",IF(AND(CN273&gt;0.01,CO273=0),"Enter Unit Installed Cost",IF(ISNUMBER(SEARCH("Lighting Controls Only",F273)),"Lighting Controls Only",IF(CL273+DC273=0,"Does not meet incentive criteria",0)))))))))))))))</f>
        <v>0</v>
      </c>
      <c r="DE273" s="337">
        <f t="shared" si="366"/>
        <v>0</v>
      </c>
      <c r="DF273" s="609">
        <f t="shared" si="367"/>
        <v>0</v>
      </c>
      <c r="DG273" s="336" t="str">
        <f t="shared" si="368"/>
        <v/>
      </c>
      <c r="DH273" s="338">
        <f t="shared" si="369"/>
        <v>1</v>
      </c>
      <c r="DI273" s="336" t="e">
        <f t="shared" si="324"/>
        <v>#VALUE!</v>
      </c>
      <c r="DJ273" s="338">
        <f t="shared" si="325"/>
        <v>0</v>
      </c>
      <c r="DO273" s="81"/>
      <c r="DP273" s="81"/>
      <c r="DQ273" s="81"/>
      <c r="DR273" s="81"/>
      <c r="DS273" s="1195">
        <f t="shared" si="370"/>
        <v>0</v>
      </c>
      <c r="DT273" s="344" t="b">
        <f t="shared" si="371"/>
        <v>1</v>
      </c>
      <c r="DU273" s="1314" t="str">
        <f t="array" ref="DU273">IF(OR(COUNTIF(F273,"*"&amp;$DK$9:$DK$178&amp;"*")), "Yes", "")</f>
        <v/>
      </c>
      <c r="DV273" s="1314">
        <f t="shared" si="372"/>
        <v>0</v>
      </c>
      <c r="DW273" s="1480">
        <f t="shared" si="373"/>
        <v>0</v>
      </c>
      <c r="DX273" s="1498">
        <f t="shared" si="382"/>
        <v>0</v>
      </c>
      <c r="DY273" s="1484">
        <f t="shared" si="374"/>
        <v>0</v>
      </c>
      <c r="DZ273" s="331"/>
      <c r="EA273" s="392"/>
      <c r="EB273" s="1499" t="s">
        <v>118</v>
      </c>
      <c r="EC273" s="727" t="s">
        <v>1569</v>
      </c>
      <c r="ED273" s="728">
        <v>0.5</v>
      </c>
      <c r="EE273" s="1215"/>
      <c r="EF273" s="1215"/>
      <c r="EG273" s="1184" t="str">
        <f t="shared" si="375"/>
        <v/>
      </c>
      <c r="EJ273" s="1185">
        <f t="shared" si="326"/>
        <v>0</v>
      </c>
      <c r="EK273" s="1211"/>
      <c r="EL273" s="1180">
        <f t="shared" si="327"/>
        <v>0</v>
      </c>
      <c r="EM273" s="206"/>
      <c r="EN273" s="1038"/>
      <c r="EO273" s="1038"/>
      <c r="EP273" s="1038"/>
      <c r="EQ273" s="1038">
        <f t="shared" si="376"/>
        <v>0</v>
      </c>
      <c r="ER273" s="1041">
        <f t="shared" si="377"/>
        <v>0</v>
      </c>
      <c r="ES273" s="1042">
        <f t="shared" si="378"/>
        <v>0</v>
      </c>
      <c r="ET273" s="1042">
        <f t="shared" si="383"/>
        <v>0</v>
      </c>
      <c r="EU273" s="1021">
        <f t="shared" si="384"/>
        <v>0</v>
      </c>
      <c r="EV273" s="368"/>
      <c r="EW273" s="368"/>
      <c r="EX273" s="369"/>
      <c r="EY273" s="370"/>
      <c r="EZ273" s="370"/>
      <c r="FA273" s="371"/>
      <c r="FB273" s="372"/>
    </row>
    <row r="274" spans="1:158" ht="34.5" customHeight="1">
      <c r="A274" s="82">
        <v>266</v>
      </c>
      <c r="B274" s="1806"/>
      <c r="C274" s="1807"/>
      <c r="D274" s="1807"/>
      <c r="E274" s="1808"/>
      <c r="F274" s="1809"/>
      <c r="G274" s="1810"/>
      <c r="H274" s="1810"/>
      <c r="I274" s="1811"/>
      <c r="J274" s="1301"/>
      <c r="K274" s="1814"/>
      <c r="L274" s="1814"/>
      <c r="M274" s="1017"/>
      <c r="N274" s="1584"/>
      <c r="O274" s="208" t="str">
        <f t="shared" si="314"/>
        <v/>
      </c>
      <c r="P274" s="785"/>
      <c r="Q274" s="39" t="str">
        <f t="shared" si="315"/>
        <v/>
      </c>
      <c r="R274" s="39">
        <f t="shared" si="328"/>
        <v>0</v>
      </c>
      <c r="S274" s="234">
        <f t="shared" si="329"/>
        <v>0</v>
      </c>
      <c r="T274" s="1815"/>
      <c r="U274" s="1815"/>
      <c r="V274" s="1815"/>
      <c r="W274" s="1121"/>
      <c r="X274" s="1812"/>
      <c r="Y274" s="1813"/>
      <c r="Z274" s="703"/>
      <c r="AA274" s="1280"/>
      <c r="AB274" s="1141"/>
      <c r="AC274" s="1103" t="str">
        <f>IF(T274="","",VLOOKUP(Z274,Lists!$A$60:$B$111,2,FALSE))</f>
        <v/>
      </c>
      <c r="AD274" s="130" t="str">
        <f t="shared" si="330"/>
        <v/>
      </c>
      <c r="AE274" s="130" t="e">
        <f t="shared" si="331"/>
        <v>#VALUE!</v>
      </c>
      <c r="AF274" s="130">
        <f t="shared" si="332"/>
        <v>1</v>
      </c>
      <c r="AG274" s="234">
        <f t="shared" si="316"/>
        <v>0</v>
      </c>
      <c r="AH274" s="1753" t="str">
        <f>IF(T274="","",(IF(ISNUMBER(SEARCH("exit",T274)),8760,IF(AND(M274="Dusk to Dawn",'Proposed Lighting'!AU274=3),4059,IF(AND(AU274=3,M274="1"),0,IF(AND(AU274=3,M274="1-C"),0,IF(AND(AU274=3,M274="2"),0,IF(AND(AU274=3,M274="2-C"),0,IF(AND(AU274=3,M274="3"),0,IF(AND(AU274=3,M274="3-C"),0,IF(AND(AU274=2,M274="Dusk to Dawn"),0,IF(AND(AU274=2,M274="Dusk to Dawn-C"),0,IF(AND(AU274=2,M274="Dusk to Dawn"),0,IF(AND(AU274=2,M274="E"),0,IF(AND(AU274=2,M274="E-C"),0,EG274)))))))))))))))</f>
        <v/>
      </c>
      <c r="AI274" s="1754"/>
      <c r="AJ274" s="1136"/>
      <c r="AK274" s="1136"/>
      <c r="AL274" s="1748">
        <f t="shared" si="333"/>
        <v>0</v>
      </c>
      <c r="AM274" s="1749"/>
      <c r="AN274" s="1750"/>
      <c r="AO274" s="476">
        <f t="shared" si="317"/>
        <v>0</v>
      </c>
      <c r="AP274" s="476">
        <f t="shared" si="334"/>
        <v>0</v>
      </c>
      <c r="AQ274" s="475">
        <f t="shared" si="318"/>
        <v>0</v>
      </c>
      <c r="AR274" s="475">
        <f t="shared" si="335"/>
        <v>0</v>
      </c>
      <c r="AS274" s="743" t="str">
        <f t="shared" si="310"/>
        <v/>
      </c>
      <c r="AT274" s="736" t="str">
        <f t="shared" si="336"/>
        <v/>
      </c>
      <c r="AU274" s="56">
        <f t="shared" si="337"/>
        <v>1</v>
      </c>
      <c r="AV274" s="476">
        <f t="shared" si="338"/>
        <v>0</v>
      </c>
      <c r="AW274" s="56">
        <f t="shared" si="339"/>
        <v>0</v>
      </c>
      <c r="AX274" s="475">
        <f t="shared" si="319"/>
        <v>0</v>
      </c>
      <c r="AY274" s="1169">
        <f t="shared" si="340"/>
        <v>0</v>
      </c>
      <c r="AZ274" s="1150">
        <f t="shared" si="379"/>
        <v>0</v>
      </c>
      <c r="BA274" s="56">
        <f t="shared" si="320"/>
        <v>0</v>
      </c>
      <c r="BB274" s="420">
        <f t="shared" si="321"/>
        <v>0</v>
      </c>
      <c r="BC274" s="58" t="str">
        <f t="shared" si="322"/>
        <v/>
      </c>
      <c r="BD274" s="660">
        <f t="shared" si="380"/>
        <v>0</v>
      </c>
      <c r="BE274" s="57" t="e">
        <f t="array" ref="BE274">INDEX($EB$11:$ED$1022,MATCH(F274&amp;T274,$EB$11:$EB$1007&amp;$EC$11:$EC$1007,0),3)</f>
        <v>#N/A</v>
      </c>
      <c r="BF274" s="463">
        <f t="shared" si="311"/>
        <v>0</v>
      </c>
      <c r="BG274" s="1445" t="e">
        <f t="array" ref="BG274">INDEX($DO$112:$DQ$123,MATCH(T274&amp;W274,$DO$114:$DO$125&amp;$DP$112:$DP$123,0),3)</f>
        <v>#N/A</v>
      </c>
      <c r="BH274" s="1446">
        <f t="shared" si="341"/>
        <v>0</v>
      </c>
      <c r="BI274" s="465">
        <f t="shared" si="342"/>
        <v>0</v>
      </c>
      <c r="BJ274" s="465">
        <f t="shared" si="343"/>
        <v>0</v>
      </c>
      <c r="BK274" s="466">
        <f t="shared" si="312"/>
        <v>0</v>
      </c>
      <c r="BL274" s="466">
        <f t="shared" si="313"/>
        <v>0</v>
      </c>
      <c r="BM274" s="466">
        <f t="shared" si="344"/>
        <v>0</v>
      </c>
      <c r="BN274" s="466">
        <f t="shared" si="345"/>
        <v>0</v>
      </c>
      <c r="BO274" s="463">
        <f>IF('Data Entry'!$C$74=0,0,IF(ISNA(CJ274),0,IF(AX274=0,0,IF(AND('Data Entry'!$C$74=2,AF274&gt;2,CE274&lt;1),0,IF(AND('Data Entry'!$C$74=2,AF274&gt;1,AU274=2,CJ274&gt;1),0,IF(AND(AF274=5,CT274=0.5,AU274=2,ER274&lt;100),0,IF(AND(AF274=5,CT274=0.5,AU274=3,ER274&lt;100),0,IF(AND('Data Entry'!$C$74=2,AF274=2,AU274=2,AK274&gt;0.01,CB274=2,CE274&lt;1),0,IF(AND('Data Entry'!$C$74=2,AF274=3,AU274=3,AK274&gt;0.01,CB274=3,CE274&lt;1),0,IF(AND('Data Entry'!$C$74=2,AF274=3,AU274=3,AK274&gt;0.01,CB274=3,CE274&gt;0.99),BQ274*0.08,IF(AND('Data Entry'!$C$74=2,AF274=2,AU274=2,AK274&gt;0.01,CB274=2,CE274&gt;0.99),BQ274*0.1,IF(AND(AU274=2,AK274&gt;0.01,CB274=2,CD274&gt;1),BQ274*0.1,IF(AND(AU274=3,AK274&gt;0.01,CB274=3,CD274&gt;1),BQ274*0.08,CJ274*EF274)))))))))))))</f>
        <v>0</v>
      </c>
      <c r="BP274" s="475">
        <f t="shared" si="346"/>
        <v>0</v>
      </c>
      <c r="BQ274" s="1431">
        <f>IF(AU274=1,0,IF(CH274=100,0,IF(AND(AF274=3,AU274=2),0,IF(AND(BH274=0,CT274&gt;0.4),0,IF(AND('Data Entry'!$C$74=2,AF274=1.5),0,IF(AND('Data Entry'!$C$74=2,AF274=1.6),0,IF(AND('Data Entry'!$C$74=2,AF274=4),0,IF(AND('Data Entry'!$C$74=2,AF274=5),0,IF(AND('Data Entry'!$C$74=2,AF274=2.5,CE274&lt;1),0,IF(AND('Data Entry'!$C$74=2,AF274=3,CE274&lt;1),0,IF(AND('Data Entry'!$C$74=1,AF274=2.5,CD274&lt;1),0,IF(AND('Data Entry'!$C$74=1,AF274=3,CD274&lt;1),0,IF(DX274&gt;0.01,DX274,IF(ISERROR(AX274-AY274),"",ROUND(AX274-AY274,2)))))))))))))))</f>
        <v>0</v>
      </c>
      <c r="BR274" s="146">
        <f t="shared" si="347"/>
        <v>0</v>
      </c>
      <c r="BS274" s="475">
        <f t="shared" si="348"/>
        <v>0</v>
      </c>
      <c r="BT274" s="146" t="b">
        <f t="shared" si="349"/>
        <v>0</v>
      </c>
      <c r="BU274" s="463">
        <f>IF(ISNA(AT274),0,IF(AND('Data Entry'!$C$74=2,BC274=27),0,IF(AND('Data Entry'!$C$74=2,BC274=28),0,IF(AND(BC274=27,BT274=27,CM274&gt;0.1),CM274*0.15,IF(AND(BC274=28,BT274=28,CM274&gt;0.1),CM274*0.12,0)))))</f>
        <v>0</v>
      </c>
      <c r="BV274" s="463">
        <f t="shared" si="309"/>
        <v>0</v>
      </c>
      <c r="BW274" s="463">
        <f t="shared" si="350"/>
        <v>0</v>
      </c>
      <c r="BX274" s="463">
        <f t="shared" si="351"/>
        <v>0</v>
      </c>
      <c r="BY274" s="463">
        <f t="shared" si="352"/>
        <v>0</v>
      </c>
      <c r="BZ274" s="463">
        <f t="shared" si="353"/>
        <v>0</v>
      </c>
      <c r="CA274" s="57">
        <f t="shared" si="381"/>
        <v>0</v>
      </c>
      <c r="CB274" s="56">
        <f t="shared" si="354"/>
        <v>1</v>
      </c>
      <c r="CC274" s="756">
        <f>IF(EE274=0,0,IF(EF274=0,0,IF(EE274&gt;AA274,0,IF(AND(AZ274&gt;AW274,AW274&gt;0),0,IF(CU274=0,0,Summary!AC577)))))</f>
        <v>0</v>
      </c>
      <c r="CD274" s="756">
        <f>IF(EE274=0,0,IF(EF274=0,0,IF(EE274&gt;AA274,0,IF(AND(AZ274&gt;AW274,AW274&gt;0),0,IF(CU274=0,0,Summary!AD577)))))</f>
        <v>0</v>
      </c>
      <c r="CE274" s="756">
        <f>IF(EF274=0,0,IF(EE274&gt;AA274,0,IF(CC274=0,0,IF(AND(AZ274&gt;AW274,AW274&gt;0),0,IF(CU274=0,0,Summary!AE577)))))</f>
        <v>0</v>
      </c>
      <c r="CF274" s="475">
        <f t="shared" si="355"/>
        <v>0</v>
      </c>
      <c r="CG274" s="476">
        <f t="shared" si="323"/>
        <v>0</v>
      </c>
      <c r="CH274" s="487">
        <f t="shared" si="356"/>
        <v>0</v>
      </c>
      <c r="CI274" s="756">
        <f t="shared" si="357"/>
        <v>0</v>
      </c>
      <c r="CJ274" s="487">
        <f>IF(CT274&gt;0.4,0,IF(AND(AU274=2,CH274=0,CT274=0.5,ER274=100),35,IF(AND(AU274=3,BB274&gt;75,CH274=0,CT274=0.5,ER274=100),25,IF(CB274&gt;1,0,IF(EF274&gt;EE274,0,IF(AND(AF274&gt;1,CH274=100),0,IF(AND(AF274=1,AY274=0),0,IF(AND(EF274&lt;=EE274,AW274&gt;=AZ274,'Data Entry'!$C$74=1,AU274=2),VLOOKUP(W274,$DO$96:$DP$102,2,FALSE),IF(AND(EF274&lt;=EE274,AW274&gt;=AZ274,AU274=3,'Data Entry'!$C$74=1),VLOOKUP(W274,$DO$127:$DP$134,2,FALSE))))))))))</f>
        <v>0</v>
      </c>
      <c r="CK274" s="716">
        <f t="shared" si="358"/>
        <v>0</v>
      </c>
      <c r="CL274" s="57">
        <f t="shared" si="359"/>
        <v>0</v>
      </c>
      <c r="CM274" s="475">
        <f t="shared" si="385"/>
        <v>0</v>
      </c>
      <c r="CN274" s="660">
        <f>IF(CM274&lt;0.1,0,IF(ISNA(AT274),0,IF(CL274+BC274=1,0,IF(BV274&gt;0.01,0,IF(CL274&gt;0.01,0,IF(CF274=1,0,IF(BC274=0.5,0,IF(AND(CI274=1,AU274=3),0,IF(AND(CI274=5,CL274=0),0,IF(AND(R274=12,BR274=50),0,IF(CK274&gt;0.01,0,IF(AND(AJ274&gt;0.01,AU274=2,BC274=15),CM274*0.1,IF(AND(AJ274&gt;0.01,AU274=3,BC274=15),CM274*0.08,IF(AND(R274=12,BC274=3,AF274&lt;=0),0,IF(AND(BC274=15,BI274=0),0,IF(AND(BC274=15,BJ274=0),0,IF(AND(R274=20,CU274=0),0,IF($X$4=0,0,IF(AND(BC274=250,CL274=0),0,IF(AA274&lt;1,0,IF(AND(ISNUMBER(SEARCH("Area",T274)),AU274=3),0,IF(AND(AQ274&gt;0.01,AR274=0,BK274=0,BL274=0,BM274=0,BN274=0),0,IF(AND(AU274=3,CI274=7,CT274&gt;0.5),0,IF(AND(BC274=44,AU274=3,BY274=0),0,IF(AND(BC274=27,'Data Entry'!$C$74=2),0,IF(AND(BC274=28,'Data Entry'!$C$74=2),0,IF(AND(BY274+BZ274+CA274&gt;0.01,BV274=0,EQ274+ER274+ES274+ET274&lt;100),0,IF(AU274=3,CM274*0.08,IF(AU274=2,CM274*0.1,0)))))))))))))))))))))))))))))</f>
        <v>0</v>
      </c>
      <c r="CO274" s="660">
        <f t="shared" si="360"/>
        <v>0</v>
      </c>
      <c r="CP274" s="475" t="str">
        <f t="shared" si="361"/>
        <v/>
      </c>
      <c r="CQ274" s="161" t="str">
        <f>IF(AH274=0,0,IF(AU274=5,0,Summary!AC277))</f>
        <v/>
      </c>
      <c r="CR274" s="161" t="str">
        <f>IF(BF274=0.5,0,IF(AU274=5,0,Summary!AD277))</f>
        <v/>
      </c>
      <c r="CS274" s="161" t="str">
        <f>IF(AU274=5,0,Summary!AE277)</f>
        <v/>
      </c>
      <c r="CT274" s="161">
        <f t="shared" si="362"/>
        <v>0</v>
      </c>
      <c r="CU274" s="475" t="str">
        <f t="shared" si="363"/>
        <v/>
      </c>
      <c r="CV274" s="307">
        <f>IF('Data Entry'!$C$74=0,0,IF(AA274&lt;1,0,IF(ISERROR(CU274),0,IF(CF274=1,0,IF(AND(R274=12,BR274=50),0,IF(CL274+BO274+BV274+DC274=0,0,IF(BC274=37,0,IF(AND(BC274=40,AJ274=0),0,IF(AND(BC274=37,BO274&gt;0.01,BQ274&gt;0.01),ROUND(BQ274,0),IF(CM274&lt;0,0,ROUND(CM274,0)))))))))))</f>
        <v>0</v>
      </c>
      <c r="CW274" s="700">
        <f t="shared" si="364"/>
        <v>0</v>
      </c>
      <c r="CX274" s="477">
        <f>IF('Data Entry'!$C$74=0,0,IF(CV274&lt;0.01,0,IF(BF274=0.5,0,IF(CF274=1,0,IF(ISNUMBER(SEARCH("false",CL274)),0,IF(AZ274=500,0,CL274))))))</f>
        <v>0</v>
      </c>
      <c r="CY274" s="147" t="e">
        <f t="shared" si="365"/>
        <v>#VALUE!</v>
      </c>
      <c r="CZ274" s="147" t="b">
        <f>IF(CN274+CL274=0,FALSE,IF(AH274=0,0,IF(AND('Data Entry'!$C$74=1,CR274&gt;=1),TRUE,IF(AND('Data Entry'!$C$74=2,CS274&gt;=1),TRUE,FALSE))))</f>
        <v>0</v>
      </c>
      <c r="DA274" s="1751">
        <f>IF('Data Entry'!$C$74=0,0,IFERROR(ROUND(IF(T274="","",IF($X$4=0,0,IF(CF274=1,0,IF(BQ274+CV274=0,0,IF(CF274=1,0,IF(CY274&gt;0.01,CY274,IF(CL274&gt;0.01,CL274,IF(CY274&gt;0.01,CY274,IF(BC274=37,BO274,IF(CZ274=FALSE,0,IF(CZ274=TRUE,DC274+DF274,0))))))))))),2),""))</f>
        <v>0</v>
      </c>
      <c r="DB274" s="1752"/>
      <c r="DC274" s="474">
        <f>IF(CN274&lt;0.01,0,IF(AND(BR274=3,CN274&gt;0.01,CT274&gt;0.6,ER274+ES274+ET274&lt;100),0,IF(AND('Data Entry'!$C$74=1,CN274&gt;0.01,CR274&gt;0.99),MIN(CN274:CO274),IF(AND('Data Entry'!$C$74=2,CN274&gt;0.01,CS274&gt;0.99),MIN(CN274:CO274),0))))</f>
        <v>0</v>
      </c>
      <c r="DD274" s="478">
        <f>IF(CF274=1,"Selection does not match",IF(T274=0,0,IF(AND('Data Entry'!$C$74=0,CP274&gt;1),"Select Oregon or Idaho on Data Entry Tab",IF(AND(AU274=1,AA274&gt;0.9),"Missing Interior or Exterior Selection",IF($X$4=0,"Enter Total Project Cost",IF(AQ274&lt;AR274,"Insufficient kWh savings – no incentive",IF(AND(SUM(CL274+CK274+BV274)&gt;0.01,'Data Entry'!$C$74=2,CJ274&gt;1,BO274=0),"Submit Control as Non-Standard",IF(AND('Data Entry'!$C$74=2,BR274=37,CJ274&gt;1,BO274=0),"Submit Control as Non-Standard",IF(SUM(CL274+CK274+BV274)&gt;0.01,"Standard Incentive",IF(AND('Data Entry'!$C$74=2,CP274=7,CN274=0),"Submit as Non-Standard",IF(DC274&gt;0.9,"Non-Standard Incentive",IF(AND(BY274+BZ274+CA274&gt;0.01,BV274=0,EQ274=0,ER274=0,ES274=0,ET274=0),"Scroll Right &amp; Select Control Strategies",IF(AND(CN274&gt;0.01,CO274=0),"Enter Unit Installed Cost",IF(ISNUMBER(SEARCH("Lighting Controls Only",F274)),"Lighting Controls Only",IF(CL274+DC274=0,"Does not meet incentive criteria",0)))))))))))))))</f>
        <v>0</v>
      </c>
      <c r="DE274" s="337">
        <f t="shared" si="366"/>
        <v>0</v>
      </c>
      <c r="DF274" s="609">
        <f t="shared" si="367"/>
        <v>0</v>
      </c>
      <c r="DG274" s="336" t="str">
        <f t="shared" si="368"/>
        <v/>
      </c>
      <c r="DH274" s="338">
        <f t="shared" si="369"/>
        <v>1</v>
      </c>
      <c r="DI274" s="336" t="e">
        <f t="shared" si="324"/>
        <v>#VALUE!</v>
      </c>
      <c r="DJ274" s="338">
        <f t="shared" si="325"/>
        <v>0</v>
      </c>
      <c r="DO274" s="81"/>
      <c r="DP274" s="81"/>
      <c r="DQ274" s="81"/>
      <c r="DR274" s="81"/>
      <c r="DS274" s="1195">
        <f t="shared" si="370"/>
        <v>0</v>
      </c>
      <c r="DT274" s="344" t="b">
        <f t="shared" si="371"/>
        <v>1</v>
      </c>
      <c r="DU274" s="1314" t="str">
        <f t="array" ref="DU274">IF(OR(COUNTIF(F274,"*"&amp;$DK$9:$DK$178&amp;"*")), "Yes", "")</f>
        <v/>
      </c>
      <c r="DV274" s="1314">
        <f t="shared" si="372"/>
        <v>0</v>
      </c>
      <c r="DW274" s="1480">
        <f t="shared" si="373"/>
        <v>0</v>
      </c>
      <c r="DX274" s="1498">
        <f t="shared" si="382"/>
        <v>0</v>
      </c>
      <c r="DY274" s="1484">
        <f t="shared" si="374"/>
        <v>0</v>
      </c>
      <c r="DZ274" s="331"/>
      <c r="EA274" s="392"/>
      <c r="EB274" s="1499" t="s">
        <v>119</v>
      </c>
      <c r="EC274" s="727" t="s">
        <v>1569</v>
      </c>
      <c r="ED274" s="729">
        <v>0.5</v>
      </c>
      <c r="EE274" s="1215"/>
      <c r="EF274" s="1215"/>
      <c r="EG274" s="1184" t="str">
        <f t="shared" si="375"/>
        <v/>
      </c>
      <c r="EJ274" s="1185">
        <f t="shared" si="326"/>
        <v>0</v>
      </c>
      <c r="EK274" s="1211"/>
      <c r="EL274" s="1180">
        <f t="shared" si="327"/>
        <v>0</v>
      </c>
      <c r="EM274" s="206"/>
      <c r="EN274" s="1038"/>
      <c r="EO274" s="1038"/>
      <c r="EP274" s="1038"/>
      <c r="EQ274" s="1038">
        <f t="shared" si="376"/>
        <v>0</v>
      </c>
      <c r="ER274" s="1041">
        <f t="shared" si="377"/>
        <v>0</v>
      </c>
      <c r="ES274" s="1042">
        <f t="shared" si="378"/>
        <v>0</v>
      </c>
      <c r="ET274" s="1042">
        <f t="shared" si="383"/>
        <v>0</v>
      </c>
      <c r="EU274" s="1021">
        <f t="shared" si="384"/>
        <v>0</v>
      </c>
      <c r="EV274" s="368"/>
      <c r="EW274" s="368"/>
      <c r="EX274" s="369"/>
      <c r="EY274" s="370"/>
      <c r="EZ274" s="370"/>
      <c r="FA274" s="371"/>
      <c r="FB274" s="372"/>
    </row>
    <row r="275" spans="1:158" ht="34.5" customHeight="1">
      <c r="A275" s="82">
        <v>267</v>
      </c>
      <c r="B275" s="1806"/>
      <c r="C275" s="1807"/>
      <c r="D275" s="1807"/>
      <c r="E275" s="1808"/>
      <c r="F275" s="1809"/>
      <c r="G275" s="1810"/>
      <c r="H275" s="1810"/>
      <c r="I275" s="1811"/>
      <c r="J275" s="1301"/>
      <c r="K275" s="1814"/>
      <c r="L275" s="1814"/>
      <c r="M275" s="1017"/>
      <c r="N275" s="1584"/>
      <c r="O275" s="208" t="str">
        <f t="shared" si="314"/>
        <v/>
      </c>
      <c r="P275" s="785"/>
      <c r="Q275" s="39" t="str">
        <f t="shared" si="315"/>
        <v/>
      </c>
      <c r="R275" s="39">
        <f t="shared" si="328"/>
        <v>0</v>
      </c>
      <c r="S275" s="234">
        <f t="shared" si="329"/>
        <v>0</v>
      </c>
      <c r="T275" s="1815"/>
      <c r="U275" s="1815"/>
      <c r="V275" s="1815"/>
      <c r="W275" s="1121"/>
      <c r="X275" s="1812"/>
      <c r="Y275" s="1813"/>
      <c r="Z275" s="703"/>
      <c r="AA275" s="1280"/>
      <c r="AB275" s="1141"/>
      <c r="AC275" s="1103" t="str">
        <f>IF(T275="","",VLOOKUP(Z275,Lists!$A$60:$B$111,2,FALSE))</f>
        <v/>
      </c>
      <c r="AD275" s="130" t="str">
        <f t="shared" si="330"/>
        <v/>
      </c>
      <c r="AE275" s="130" t="e">
        <f t="shared" si="331"/>
        <v>#VALUE!</v>
      </c>
      <c r="AF275" s="130">
        <f t="shared" si="332"/>
        <v>1</v>
      </c>
      <c r="AG275" s="234">
        <f t="shared" si="316"/>
        <v>0</v>
      </c>
      <c r="AH275" s="1753" t="str">
        <f>IF(T275="","",(IF(ISNUMBER(SEARCH("exit",T275)),8760,IF(AND(M275="Dusk to Dawn",'Proposed Lighting'!AU275=3),4059,IF(AND(AU275=3,M275="1"),0,IF(AND(AU275=3,M275="1-C"),0,IF(AND(AU275=3,M275="2"),0,IF(AND(AU275=3,M275="2-C"),0,IF(AND(AU275=3,M275="3"),0,IF(AND(AU275=3,M275="3-C"),0,IF(AND(AU275=2,M275="Dusk to Dawn"),0,IF(AND(AU275=2,M275="Dusk to Dawn-C"),0,IF(AND(AU275=2,M275="Dusk to Dawn"),0,IF(AND(AU275=2,M275="E"),0,IF(AND(AU275=2,M275="E-C"),0,EG275)))))))))))))))</f>
        <v/>
      </c>
      <c r="AI275" s="1754"/>
      <c r="AJ275" s="1136"/>
      <c r="AK275" s="1136"/>
      <c r="AL275" s="1748">
        <f t="shared" si="333"/>
        <v>0</v>
      </c>
      <c r="AM275" s="1749"/>
      <c r="AN275" s="1750"/>
      <c r="AO275" s="476">
        <f t="shared" si="317"/>
        <v>0</v>
      </c>
      <c r="AP275" s="476">
        <f t="shared" si="334"/>
        <v>0</v>
      </c>
      <c r="AQ275" s="475">
        <f t="shared" si="318"/>
        <v>0</v>
      </c>
      <c r="AR275" s="475">
        <f t="shared" si="335"/>
        <v>0</v>
      </c>
      <c r="AS275" s="743" t="str">
        <f t="shared" si="310"/>
        <v/>
      </c>
      <c r="AT275" s="736" t="str">
        <f t="shared" si="336"/>
        <v/>
      </c>
      <c r="AU275" s="56">
        <f t="shared" si="337"/>
        <v>1</v>
      </c>
      <c r="AV275" s="476">
        <f t="shared" si="338"/>
        <v>0</v>
      </c>
      <c r="AW275" s="56">
        <f t="shared" si="339"/>
        <v>0</v>
      </c>
      <c r="AX275" s="475">
        <f t="shared" si="319"/>
        <v>0</v>
      </c>
      <c r="AY275" s="1169">
        <f t="shared" si="340"/>
        <v>0</v>
      </c>
      <c r="AZ275" s="1150">
        <f t="shared" si="379"/>
        <v>0</v>
      </c>
      <c r="BA275" s="56">
        <f t="shared" si="320"/>
        <v>0</v>
      </c>
      <c r="BB275" s="420">
        <f t="shared" si="321"/>
        <v>0</v>
      </c>
      <c r="BC275" s="58" t="str">
        <f t="shared" si="322"/>
        <v/>
      </c>
      <c r="BD275" s="660">
        <f t="shared" si="380"/>
        <v>0</v>
      </c>
      <c r="BE275" s="57" t="e">
        <f t="array" ref="BE275">INDEX($EB$11:$ED$1022,MATCH(F275&amp;T275,$EB$11:$EB$1007&amp;$EC$11:$EC$1007,0),3)</f>
        <v>#N/A</v>
      </c>
      <c r="BF275" s="463">
        <f t="shared" si="311"/>
        <v>0</v>
      </c>
      <c r="BG275" s="1445" t="e">
        <f t="array" ref="BG275">INDEX($DO$112:$DQ$123,MATCH(T275&amp;W275,$DO$114:$DO$125&amp;$DP$112:$DP$123,0),3)</f>
        <v>#N/A</v>
      </c>
      <c r="BH275" s="1446">
        <f t="shared" si="341"/>
        <v>0</v>
      </c>
      <c r="BI275" s="465">
        <f t="shared" si="342"/>
        <v>0</v>
      </c>
      <c r="BJ275" s="465">
        <f t="shared" si="343"/>
        <v>0</v>
      </c>
      <c r="BK275" s="466">
        <f t="shared" si="312"/>
        <v>0</v>
      </c>
      <c r="BL275" s="466">
        <f t="shared" si="313"/>
        <v>0</v>
      </c>
      <c r="BM275" s="466">
        <f t="shared" si="344"/>
        <v>0</v>
      </c>
      <c r="BN275" s="466">
        <f t="shared" si="345"/>
        <v>0</v>
      </c>
      <c r="BO275" s="463">
        <f>IF('Data Entry'!$C$74=0,0,IF(ISNA(CJ275),0,IF(AX275=0,0,IF(AND('Data Entry'!$C$74=2,AF275&gt;2,CE275&lt;1),0,IF(AND('Data Entry'!$C$74=2,AF275&gt;1,AU275=2,CJ275&gt;1),0,IF(AND(AF275=5,CT275=0.5,AU275=2,ER275&lt;100),0,IF(AND(AF275=5,CT275=0.5,AU275=3,ER275&lt;100),0,IF(AND('Data Entry'!$C$74=2,AF275=2,AU275=2,AK275&gt;0.01,CB275=2,CE275&lt;1),0,IF(AND('Data Entry'!$C$74=2,AF275=3,AU275=3,AK275&gt;0.01,CB275=3,CE275&lt;1),0,IF(AND('Data Entry'!$C$74=2,AF275=3,AU275=3,AK275&gt;0.01,CB275=3,CE275&gt;0.99),BQ275*0.08,IF(AND('Data Entry'!$C$74=2,AF275=2,AU275=2,AK275&gt;0.01,CB275=2,CE275&gt;0.99),BQ275*0.1,IF(AND(AU275=2,AK275&gt;0.01,CB275=2,CD275&gt;1),BQ275*0.1,IF(AND(AU275=3,AK275&gt;0.01,CB275=3,CD275&gt;1),BQ275*0.08,CJ275*EF275)))))))))))))</f>
        <v>0</v>
      </c>
      <c r="BP275" s="475">
        <f t="shared" si="346"/>
        <v>0</v>
      </c>
      <c r="BQ275" s="1431">
        <f>IF(AU275=1,0,IF(CH275=100,0,IF(AND(AF275=3,AU275=2),0,IF(AND(BH275=0,CT275&gt;0.4),0,IF(AND('Data Entry'!$C$74=2,AF275=1.5),0,IF(AND('Data Entry'!$C$74=2,AF275=1.6),0,IF(AND('Data Entry'!$C$74=2,AF275=4),0,IF(AND('Data Entry'!$C$74=2,AF275=5),0,IF(AND('Data Entry'!$C$74=2,AF275=2.5,CE275&lt;1),0,IF(AND('Data Entry'!$C$74=2,AF275=3,CE275&lt;1),0,IF(AND('Data Entry'!$C$74=1,AF275=2.5,CD275&lt;1),0,IF(AND('Data Entry'!$C$74=1,AF275=3,CD275&lt;1),0,IF(DX275&gt;0.01,DX275,IF(ISERROR(AX275-AY275),"",ROUND(AX275-AY275,2)))))))))))))))</f>
        <v>0</v>
      </c>
      <c r="BR275" s="146">
        <f t="shared" si="347"/>
        <v>0</v>
      </c>
      <c r="BS275" s="475">
        <f t="shared" si="348"/>
        <v>0</v>
      </c>
      <c r="BT275" s="146" t="b">
        <f t="shared" si="349"/>
        <v>0</v>
      </c>
      <c r="BU275" s="463">
        <f>IF(ISNA(AT275),0,IF(AND('Data Entry'!$C$74=2,BC275=27),0,IF(AND('Data Entry'!$C$74=2,BC275=28),0,IF(AND(BC275=27,BT275=27,CM275&gt;0.1),CM275*0.15,IF(AND(BC275=28,BT275=28,CM275&gt;0.1),CM275*0.12,0)))))</f>
        <v>0</v>
      </c>
      <c r="BV275" s="463">
        <f t="shared" si="309"/>
        <v>0</v>
      </c>
      <c r="BW275" s="463">
        <f t="shared" si="350"/>
        <v>0</v>
      </c>
      <c r="BX275" s="463">
        <f t="shared" si="351"/>
        <v>0</v>
      </c>
      <c r="BY275" s="463">
        <f t="shared" si="352"/>
        <v>0</v>
      </c>
      <c r="BZ275" s="463">
        <f t="shared" si="353"/>
        <v>0</v>
      </c>
      <c r="CA275" s="57">
        <f t="shared" si="381"/>
        <v>0</v>
      </c>
      <c r="CB275" s="56">
        <f t="shared" si="354"/>
        <v>1</v>
      </c>
      <c r="CC275" s="756">
        <f>IF(EE275=0,0,IF(EF275=0,0,IF(EE275&gt;AA275,0,IF(AND(AZ275&gt;AW275,AW275&gt;0),0,IF(CU275=0,0,Summary!AC578)))))</f>
        <v>0</v>
      </c>
      <c r="CD275" s="756">
        <f>IF(EE275=0,0,IF(EF275=0,0,IF(EE275&gt;AA275,0,IF(AND(AZ275&gt;AW275,AW275&gt;0),0,IF(CU275=0,0,Summary!AD578)))))</f>
        <v>0</v>
      </c>
      <c r="CE275" s="756">
        <f>IF(EF275=0,0,IF(EE275&gt;AA275,0,IF(CC275=0,0,IF(AND(AZ275&gt;AW275,AW275&gt;0),0,IF(CU275=0,0,Summary!AE578)))))</f>
        <v>0</v>
      </c>
      <c r="CF275" s="475">
        <f t="shared" si="355"/>
        <v>0</v>
      </c>
      <c r="CG275" s="476">
        <f t="shared" si="323"/>
        <v>0</v>
      </c>
      <c r="CH275" s="487">
        <f t="shared" si="356"/>
        <v>0</v>
      </c>
      <c r="CI275" s="756">
        <f t="shared" si="357"/>
        <v>0</v>
      </c>
      <c r="CJ275" s="487">
        <f>IF(CT275&gt;0.4,0,IF(AND(AU275=2,CH275=0,CT275=0.5,ER275=100),35,IF(AND(AU275=3,BB275&gt;75,CH275=0,CT275=0.5,ER275=100),25,IF(CB275&gt;1,0,IF(EF275&gt;EE275,0,IF(AND(AF275&gt;1,CH275=100),0,IF(AND(AF275=1,AY275=0),0,IF(AND(EF275&lt;=EE275,AW275&gt;=AZ275,'Data Entry'!$C$74=1,AU275=2),VLOOKUP(W275,$DO$96:$DP$102,2,FALSE),IF(AND(EF275&lt;=EE275,AW275&gt;=AZ275,AU275=3,'Data Entry'!$C$74=1),VLOOKUP(W275,$DO$127:$DP$134,2,FALSE))))))))))</f>
        <v>0</v>
      </c>
      <c r="CK275" s="716">
        <f t="shared" si="358"/>
        <v>0</v>
      </c>
      <c r="CL275" s="57">
        <f t="shared" si="359"/>
        <v>0</v>
      </c>
      <c r="CM275" s="475">
        <f t="shared" si="385"/>
        <v>0</v>
      </c>
      <c r="CN275" s="660">
        <f>IF(CM275&lt;0.1,0,IF(ISNA(AT275),0,IF(CL275+BC275=1,0,IF(BV275&gt;0.01,0,IF(CL275&gt;0.01,0,IF(CF275=1,0,IF(BC275=0.5,0,IF(AND(CI275=1,AU275=3),0,IF(AND(CI275=5,CL275=0),0,IF(AND(R275=12,BR275=50),0,IF(CK275&gt;0.01,0,IF(AND(AJ275&gt;0.01,AU275=2,BC275=15),CM275*0.1,IF(AND(AJ275&gt;0.01,AU275=3,BC275=15),CM275*0.08,IF(AND(R275=12,BC275=3,AF275&lt;=0),0,IF(AND(BC275=15,BI275=0),0,IF(AND(BC275=15,BJ275=0),0,IF(AND(R275=20,CU275=0),0,IF($X$4=0,0,IF(AND(BC275=250,CL275=0),0,IF(AA275&lt;1,0,IF(AND(ISNUMBER(SEARCH("Area",T275)),AU275=3),0,IF(AND(AQ275&gt;0.01,AR275=0,BK275=0,BL275=0,BM275=0,BN275=0),0,IF(AND(AU275=3,CI275=7,CT275&gt;0.5),0,IF(AND(BC275=44,AU275=3,BY275=0),0,IF(AND(BC275=27,'Data Entry'!$C$74=2),0,IF(AND(BC275=28,'Data Entry'!$C$74=2),0,IF(AND(BY275+BZ275+CA275&gt;0.01,BV275=0,EQ275+ER275+ES275+ET275&lt;100),0,IF(AU275=3,CM275*0.08,IF(AU275=2,CM275*0.1,0)))))))))))))))))))))))))))))</f>
        <v>0</v>
      </c>
      <c r="CO275" s="660">
        <f t="shared" si="360"/>
        <v>0</v>
      </c>
      <c r="CP275" s="475" t="str">
        <f t="shared" si="361"/>
        <v/>
      </c>
      <c r="CQ275" s="161" t="str">
        <f>IF(AH275=0,0,IF(AU275=5,0,Summary!AC278))</f>
        <v/>
      </c>
      <c r="CR275" s="161" t="str">
        <f>IF(BF275=0.5,0,IF(AU275=5,0,Summary!AD278))</f>
        <v/>
      </c>
      <c r="CS275" s="161" t="str">
        <f>IF(AU275=5,0,Summary!AE278)</f>
        <v/>
      </c>
      <c r="CT275" s="161">
        <f t="shared" si="362"/>
        <v>0</v>
      </c>
      <c r="CU275" s="475" t="str">
        <f t="shared" si="363"/>
        <v/>
      </c>
      <c r="CV275" s="307">
        <f>IF('Data Entry'!$C$74=0,0,IF(AA275&lt;1,0,IF(ISERROR(CU275),0,IF(CF275=1,0,IF(AND(R275=12,BR275=50),0,IF(CL275+BO275+BV275+DC275=0,0,IF(BC275=37,0,IF(AND(BC275=40,AJ275=0),0,IF(AND(BC275=37,BO275&gt;0.01,BQ275&gt;0.01),ROUND(BQ275,0),IF(CM275&lt;0,0,ROUND(CM275,0)))))))))))</f>
        <v>0</v>
      </c>
      <c r="CW275" s="700">
        <f t="shared" si="364"/>
        <v>0</v>
      </c>
      <c r="CX275" s="477">
        <f>IF('Data Entry'!$C$74=0,0,IF(CV275&lt;0.01,0,IF(BF275=0.5,0,IF(CF275=1,0,IF(ISNUMBER(SEARCH("false",CL275)),0,IF(AZ275=500,0,CL275))))))</f>
        <v>0</v>
      </c>
      <c r="CY275" s="147" t="e">
        <f t="shared" si="365"/>
        <v>#VALUE!</v>
      </c>
      <c r="CZ275" s="147" t="b">
        <f>IF(CN275+CL275=0,FALSE,IF(AH275=0,0,IF(AND('Data Entry'!$C$74=1,CR275&gt;=1),TRUE,IF(AND('Data Entry'!$C$74=2,CS275&gt;=1),TRUE,FALSE))))</f>
        <v>0</v>
      </c>
      <c r="DA275" s="1751">
        <f>IF('Data Entry'!$C$74=0,0,IFERROR(ROUND(IF(T275="","",IF($X$4=0,0,IF(CF275=1,0,IF(BQ275+CV275=0,0,IF(CF275=1,0,IF(CY275&gt;0.01,CY275,IF(CL275&gt;0.01,CL275,IF(CY275&gt;0.01,CY275,IF(BC275=37,BO275,IF(CZ275=FALSE,0,IF(CZ275=TRUE,DC275+DF275,0))))))))))),2),""))</f>
        <v>0</v>
      </c>
      <c r="DB275" s="1752"/>
      <c r="DC275" s="474">
        <f>IF(CN275&lt;0.01,0,IF(AND(BR275=3,CN275&gt;0.01,CT275&gt;0.6,ER275+ES275+ET275&lt;100),0,IF(AND('Data Entry'!$C$74=1,CN275&gt;0.01,CR275&gt;0.99),MIN(CN275:CO275),IF(AND('Data Entry'!$C$74=2,CN275&gt;0.01,CS275&gt;0.99),MIN(CN275:CO275),0))))</f>
        <v>0</v>
      </c>
      <c r="DD275" s="478">
        <f>IF(CF275=1,"Selection does not match",IF(T275=0,0,IF(AND('Data Entry'!$C$74=0,CP275&gt;1),"Select Oregon or Idaho on Data Entry Tab",IF(AND(AU275=1,AA275&gt;0.9),"Missing Interior or Exterior Selection",IF($X$4=0,"Enter Total Project Cost",IF(AQ275&lt;AR275,"Insufficient kWh savings – no incentive",IF(AND(SUM(CL275+CK275+BV275)&gt;0.01,'Data Entry'!$C$74=2,CJ275&gt;1,BO275=0),"Submit Control as Non-Standard",IF(AND('Data Entry'!$C$74=2,BR275=37,CJ275&gt;1,BO275=0),"Submit Control as Non-Standard",IF(SUM(CL275+CK275+BV275)&gt;0.01,"Standard Incentive",IF(AND('Data Entry'!$C$74=2,CP275=7,CN275=0),"Submit as Non-Standard",IF(DC275&gt;0.9,"Non-Standard Incentive",IF(AND(BY275+BZ275+CA275&gt;0.01,BV275=0,EQ275=0,ER275=0,ES275=0,ET275=0),"Scroll Right &amp; Select Control Strategies",IF(AND(CN275&gt;0.01,CO275=0),"Enter Unit Installed Cost",IF(ISNUMBER(SEARCH("Lighting Controls Only",F275)),"Lighting Controls Only",IF(CL275+DC275=0,"Does not meet incentive criteria",0)))))))))))))))</f>
        <v>0</v>
      </c>
      <c r="DE275" s="337">
        <f t="shared" si="366"/>
        <v>0</v>
      </c>
      <c r="DF275" s="609">
        <f t="shared" si="367"/>
        <v>0</v>
      </c>
      <c r="DG275" s="336" t="str">
        <f t="shared" si="368"/>
        <v/>
      </c>
      <c r="DH275" s="338">
        <f t="shared" si="369"/>
        <v>1</v>
      </c>
      <c r="DI275" s="336" t="e">
        <f t="shared" si="324"/>
        <v>#VALUE!</v>
      </c>
      <c r="DJ275" s="338">
        <f t="shared" si="325"/>
        <v>0</v>
      </c>
      <c r="DO275" s="81"/>
      <c r="DP275" s="81"/>
      <c r="DQ275" s="81"/>
      <c r="DR275" s="81"/>
      <c r="DS275" s="1195">
        <f t="shared" si="370"/>
        <v>0</v>
      </c>
      <c r="DT275" s="344" t="b">
        <f t="shared" si="371"/>
        <v>1</v>
      </c>
      <c r="DU275" s="1314" t="str">
        <f t="array" ref="DU275">IF(OR(COUNTIF(F275,"*"&amp;$DK$9:$DK$178&amp;"*")), "Yes", "")</f>
        <v/>
      </c>
      <c r="DV275" s="1314">
        <f t="shared" si="372"/>
        <v>0</v>
      </c>
      <c r="DW275" s="1480">
        <f t="shared" si="373"/>
        <v>0</v>
      </c>
      <c r="DX275" s="1498">
        <f t="shared" si="382"/>
        <v>0</v>
      </c>
      <c r="DY275" s="1484">
        <f t="shared" si="374"/>
        <v>0</v>
      </c>
      <c r="DZ275" s="331"/>
      <c r="EA275" s="392"/>
      <c r="EB275" s="1499" t="s">
        <v>120</v>
      </c>
      <c r="EC275" s="727" t="s">
        <v>1569</v>
      </c>
      <c r="ED275" s="728">
        <v>0.5</v>
      </c>
      <c r="EE275" s="1215"/>
      <c r="EF275" s="1215"/>
      <c r="EG275" s="1184" t="str">
        <f t="shared" si="375"/>
        <v/>
      </c>
      <c r="EJ275" s="1185">
        <f t="shared" si="326"/>
        <v>0</v>
      </c>
      <c r="EK275" s="1211"/>
      <c r="EL275" s="1180">
        <f t="shared" si="327"/>
        <v>0</v>
      </c>
      <c r="EM275" s="206"/>
      <c r="EN275" s="1038"/>
      <c r="EO275" s="1038"/>
      <c r="EP275" s="1038"/>
      <c r="EQ275" s="1038">
        <f t="shared" si="376"/>
        <v>0</v>
      </c>
      <c r="ER275" s="1041">
        <f t="shared" si="377"/>
        <v>0</v>
      </c>
      <c r="ES275" s="1042">
        <f t="shared" si="378"/>
        <v>0</v>
      </c>
      <c r="ET275" s="1042">
        <f t="shared" si="383"/>
        <v>0</v>
      </c>
      <c r="EU275" s="1021">
        <f t="shared" si="384"/>
        <v>0</v>
      </c>
      <c r="EV275" s="368"/>
      <c r="EW275" s="368"/>
      <c r="EX275" s="369"/>
      <c r="EY275" s="370"/>
      <c r="EZ275" s="370"/>
      <c r="FA275" s="371"/>
      <c r="FB275" s="372"/>
    </row>
    <row r="276" spans="1:158" ht="34.5" customHeight="1">
      <c r="A276" s="82">
        <v>268</v>
      </c>
      <c r="B276" s="1806"/>
      <c r="C276" s="1807"/>
      <c r="D276" s="1807"/>
      <c r="E276" s="1808"/>
      <c r="F276" s="1809"/>
      <c r="G276" s="1810"/>
      <c r="H276" s="1810"/>
      <c r="I276" s="1811"/>
      <c r="J276" s="1301"/>
      <c r="K276" s="1814"/>
      <c r="L276" s="1814"/>
      <c r="M276" s="1017"/>
      <c r="N276" s="1584"/>
      <c r="O276" s="208" t="str">
        <f t="shared" si="314"/>
        <v/>
      </c>
      <c r="P276" s="785"/>
      <c r="Q276" s="39" t="str">
        <f t="shared" si="315"/>
        <v/>
      </c>
      <c r="R276" s="39">
        <f t="shared" si="328"/>
        <v>0</v>
      </c>
      <c r="S276" s="234">
        <f t="shared" si="329"/>
        <v>0</v>
      </c>
      <c r="T276" s="1815"/>
      <c r="U276" s="1815"/>
      <c r="V276" s="1815"/>
      <c r="W276" s="1121"/>
      <c r="X276" s="1812"/>
      <c r="Y276" s="1813"/>
      <c r="Z276" s="703"/>
      <c r="AA276" s="1280"/>
      <c r="AB276" s="1141"/>
      <c r="AC276" s="1103" t="str">
        <f>IF(T276="","",VLOOKUP(Z276,Lists!$A$60:$B$111,2,FALSE))</f>
        <v/>
      </c>
      <c r="AD276" s="130" t="str">
        <f t="shared" si="330"/>
        <v/>
      </c>
      <c r="AE276" s="130" t="e">
        <f t="shared" si="331"/>
        <v>#VALUE!</v>
      </c>
      <c r="AF276" s="130">
        <f t="shared" si="332"/>
        <v>1</v>
      </c>
      <c r="AG276" s="234">
        <f t="shared" si="316"/>
        <v>0</v>
      </c>
      <c r="AH276" s="1753" t="str">
        <f>IF(T276="","",(IF(ISNUMBER(SEARCH("exit",T276)),8760,IF(AND(M276="Dusk to Dawn",'Proposed Lighting'!AU276=3),4059,IF(AND(AU276=3,M276="1"),0,IF(AND(AU276=3,M276="1-C"),0,IF(AND(AU276=3,M276="2"),0,IF(AND(AU276=3,M276="2-C"),0,IF(AND(AU276=3,M276="3"),0,IF(AND(AU276=3,M276="3-C"),0,IF(AND(AU276=2,M276="Dusk to Dawn"),0,IF(AND(AU276=2,M276="Dusk to Dawn-C"),0,IF(AND(AU276=2,M276="Dusk to Dawn"),0,IF(AND(AU276=2,M276="E"),0,IF(AND(AU276=2,M276="E-C"),0,EG276)))))))))))))))</f>
        <v/>
      </c>
      <c r="AI276" s="1754"/>
      <c r="AJ276" s="1136"/>
      <c r="AK276" s="1136"/>
      <c r="AL276" s="1748">
        <f t="shared" si="333"/>
        <v>0</v>
      </c>
      <c r="AM276" s="1749"/>
      <c r="AN276" s="1750"/>
      <c r="AO276" s="476">
        <f t="shared" si="317"/>
        <v>0</v>
      </c>
      <c r="AP276" s="476">
        <f t="shared" si="334"/>
        <v>0</v>
      </c>
      <c r="AQ276" s="475">
        <f t="shared" si="318"/>
        <v>0</v>
      </c>
      <c r="AR276" s="475">
        <f t="shared" si="335"/>
        <v>0</v>
      </c>
      <c r="AS276" s="743" t="str">
        <f t="shared" si="310"/>
        <v/>
      </c>
      <c r="AT276" s="736" t="str">
        <f t="shared" si="336"/>
        <v/>
      </c>
      <c r="AU276" s="56">
        <f t="shared" si="337"/>
        <v>1</v>
      </c>
      <c r="AV276" s="476">
        <f t="shared" si="338"/>
        <v>0</v>
      </c>
      <c r="AW276" s="56">
        <f t="shared" si="339"/>
        <v>0</v>
      </c>
      <c r="AX276" s="475">
        <f t="shared" si="319"/>
        <v>0</v>
      </c>
      <c r="AY276" s="1169">
        <f t="shared" si="340"/>
        <v>0</v>
      </c>
      <c r="AZ276" s="1150">
        <f t="shared" si="379"/>
        <v>0</v>
      </c>
      <c r="BA276" s="56">
        <f t="shared" si="320"/>
        <v>0</v>
      </c>
      <c r="BB276" s="420">
        <f t="shared" si="321"/>
        <v>0</v>
      </c>
      <c r="BC276" s="58" t="str">
        <f t="shared" si="322"/>
        <v/>
      </c>
      <c r="BD276" s="660">
        <f t="shared" si="380"/>
        <v>0</v>
      </c>
      <c r="BE276" s="57" t="e">
        <f t="array" ref="BE276">INDEX($EB$11:$ED$1022,MATCH(F276&amp;T276,$EB$11:$EB$1007&amp;$EC$11:$EC$1007,0),3)</f>
        <v>#N/A</v>
      </c>
      <c r="BF276" s="463">
        <f t="shared" si="311"/>
        <v>0</v>
      </c>
      <c r="BG276" s="1445" t="e">
        <f t="array" ref="BG276">INDEX($DO$112:$DQ$123,MATCH(T276&amp;W276,$DO$114:$DO$125&amp;$DP$112:$DP$123,0),3)</f>
        <v>#N/A</v>
      </c>
      <c r="BH276" s="1446">
        <f t="shared" si="341"/>
        <v>0</v>
      </c>
      <c r="BI276" s="465">
        <f t="shared" si="342"/>
        <v>0</v>
      </c>
      <c r="BJ276" s="465">
        <f t="shared" si="343"/>
        <v>0</v>
      </c>
      <c r="BK276" s="466">
        <f t="shared" si="312"/>
        <v>0</v>
      </c>
      <c r="BL276" s="466">
        <f t="shared" si="313"/>
        <v>0</v>
      </c>
      <c r="BM276" s="466">
        <f t="shared" si="344"/>
        <v>0</v>
      </c>
      <c r="BN276" s="466">
        <f t="shared" si="345"/>
        <v>0</v>
      </c>
      <c r="BO276" s="463">
        <f>IF('Data Entry'!$C$74=0,0,IF(ISNA(CJ276),0,IF(AX276=0,0,IF(AND('Data Entry'!$C$74=2,AF276&gt;2,CE276&lt;1),0,IF(AND('Data Entry'!$C$74=2,AF276&gt;1,AU276=2,CJ276&gt;1),0,IF(AND(AF276=5,CT276=0.5,AU276=2,ER276&lt;100),0,IF(AND(AF276=5,CT276=0.5,AU276=3,ER276&lt;100),0,IF(AND('Data Entry'!$C$74=2,AF276=2,AU276=2,AK276&gt;0.01,CB276=2,CE276&lt;1),0,IF(AND('Data Entry'!$C$74=2,AF276=3,AU276=3,AK276&gt;0.01,CB276=3,CE276&lt;1),0,IF(AND('Data Entry'!$C$74=2,AF276=3,AU276=3,AK276&gt;0.01,CB276=3,CE276&gt;0.99),BQ276*0.08,IF(AND('Data Entry'!$C$74=2,AF276=2,AU276=2,AK276&gt;0.01,CB276=2,CE276&gt;0.99),BQ276*0.1,IF(AND(AU276=2,AK276&gt;0.01,CB276=2,CD276&gt;1),BQ276*0.1,IF(AND(AU276=3,AK276&gt;0.01,CB276=3,CD276&gt;1),BQ276*0.08,CJ276*EF276)))))))))))))</f>
        <v>0</v>
      </c>
      <c r="BP276" s="475">
        <f t="shared" si="346"/>
        <v>0</v>
      </c>
      <c r="BQ276" s="1431">
        <f>IF(AU276=1,0,IF(CH276=100,0,IF(AND(AF276=3,AU276=2),0,IF(AND(BH276=0,CT276&gt;0.4),0,IF(AND('Data Entry'!$C$74=2,AF276=1.5),0,IF(AND('Data Entry'!$C$74=2,AF276=1.6),0,IF(AND('Data Entry'!$C$74=2,AF276=4),0,IF(AND('Data Entry'!$C$74=2,AF276=5),0,IF(AND('Data Entry'!$C$74=2,AF276=2.5,CE276&lt;1),0,IF(AND('Data Entry'!$C$74=2,AF276=3,CE276&lt;1),0,IF(AND('Data Entry'!$C$74=1,AF276=2.5,CD276&lt;1),0,IF(AND('Data Entry'!$C$74=1,AF276=3,CD276&lt;1),0,IF(DX276&gt;0.01,DX276,IF(ISERROR(AX276-AY276),"",ROUND(AX276-AY276,2)))))))))))))))</f>
        <v>0</v>
      </c>
      <c r="BR276" s="146">
        <f t="shared" si="347"/>
        <v>0</v>
      </c>
      <c r="BS276" s="475">
        <f t="shared" si="348"/>
        <v>0</v>
      </c>
      <c r="BT276" s="146" t="b">
        <f t="shared" si="349"/>
        <v>0</v>
      </c>
      <c r="BU276" s="463">
        <f>IF(ISNA(AT276),0,IF(AND('Data Entry'!$C$74=2,BC276=27),0,IF(AND('Data Entry'!$C$74=2,BC276=28),0,IF(AND(BC276=27,BT276=27,CM276&gt;0.1),CM276*0.15,IF(AND(BC276=28,BT276=28,CM276&gt;0.1),CM276*0.12,0)))))</f>
        <v>0</v>
      </c>
      <c r="BV276" s="463">
        <f t="shared" si="309"/>
        <v>0</v>
      </c>
      <c r="BW276" s="463">
        <f t="shared" si="350"/>
        <v>0</v>
      </c>
      <c r="BX276" s="463">
        <f t="shared" si="351"/>
        <v>0</v>
      </c>
      <c r="BY276" s="463">
        <f t="shared" si="352"/>
        <v>0</v>
      </c>
      <c r="BZ276" s="463">
        <f t="shared" si="353"/>
        <v>0</v>
      </c>
      <c r="CA276" s="57">
        <f t="shared" si="381"/>
        <v>0</v>
      </c>
      <c r="CB276" s="56">
        <f t="shared" si="354"/>
        <v>1</v>
      </c>
      <c r="CC276" s="756">
        <f>IF(EE276=0,0,IF(EF276=0,0,IF(EE276&gt;AA276,0,IF(AND(AZ276&gt;AW276,AW276&gt;0),0,IF(CU276=0,0,Summary!AC579)))))</f>
        <v>0</v>
      </c>
      <c r="CD276" s="756">
        <f>IF(EE276=0,0,IF(EF276=0,0,IF(EE276&gt;AA276,0,IF(AND(AZ276&gt;AW276,AW276&gt;0),0,IF(CU276=0,0,Summary!AD579)))))</f>
        <v>0</v>
      </c>
      <c r="CE276" s="756">
        <f>IF(EF276=0,0,IF(EE276&gt;AA276,0,IF(CC276=0,0,IF(AND(AZ276&gt;AW276,AW276&gt;0),0,IF(CU276=0,0,Summary!AE579)))))</f>
        <v>0</v>
      </c>
      <c r="CF276" s="475">
        <f t="shared" si="355"/>
        <v>0</v>
      </c>
      <c r="CG276" s="476">
        <f t="shared" si="323"/>
        <v>0</v>
      </c>
      <c r="CH276" s="487">
        <f t="shared" si="356"/>
        <v>0</v>
      </c>
      <c r="CI276" s="756">
        <f t="shared" si="357"/>
        <v>0</v>
      </c>
      <c r="CJ276" s="487">
        <f>IF(CT276&gt;0.4,0,IF(AND(AU276=2,CH276=0,CT276=0.5,ER276=100),35,IF(AND(AU276=3,BB276&gt;75,CH276=0,CT276=0.5,ER276=100),25,IF(CB276&gt;1,0,IF(EF276&gt;EE276,0,IF(AND(AF276&gt;1,CH276=100),0,IF(AND(AF276=1,AY276=0),0,IF(AND(EF276&lt;=EE276,AW276&gt;=AZ276,'Data Entry'!$C$74=1,AU276=2),VLOOKUP(W276,$DO$96:$DP$102,2,FALSE),IF(AND(EF276&lt;=EE276,AW276&gt;=AZ276,AU276=3,'Data Entry'!$C$74=1),VLOOKUP(W276,$DO$127:$DP$134,2,FALSE))))))))))</f>
        <v>0</v>
      </c>
      <c r="CK276" s="716">
        <f t="shared" si="358"/>
        <v>0</v>
      </c>
      <c r="CL276" s="57">
        <f t="shared" si="359"/>
        <v>0</v>
      </c>
      <c r="CM276" s="475">
        <f t="shared" si="385"/>
        <v>0</v>
      </c>
      <c r="CN276" s="660">
        <f>IF(CM276&lt;0.1,0,IF(ISNA(AT276),0,IF(CL276+BC276=1,0,IF(BV276&gt;0.01,0,IF(CL276&gt;0.01,0,IF(CF276=1,0,IF(BC276=0.5,0,IF(AND(CI276=1,AU276=3),0,IF(AND(CI276=5,CL276=0),0,IF(AND(R276=12,BR276=50),0,IF(CK276&gt;0.01,0,IF(AND(AJ276&gt;0.01,AU276=2,BC276=15),CM276*0.1,IF(AND(AJ276&gt;0.01,AU276=3,BC276=15),CM276*0.08,IF(AND(R276=12,BC276=3,AF276&lt;=0),0,IF(AND(BC276=15,BI276=0),0,IF(AND(BC276=15,BJ276=0),0,IF(AND(R276=20,CU276=0),0,IF($X$4=0,0,IF(AND(BC276=250,CL276=0),0,IF(AA276&lt;1,0,IF(AND(ISNUMBER(SEARCH("Area",T276)),AU276=3),0,IF(AND(AQ276&gt;0.01,AR276=0,BK276=0,BL276=0,BM276=0,BN276=0),0,IF(AND(AU276=3,CI276=7,CT276&gt;0.5),0,IF(AND(BC276=44,AU276=3,BY276=0),0,IF(AND(BC276=27,'Data Entry'!$C$74=2),0,IF(AND(BC276=28,'Data Entry'!$C$74=2),0,IF(AND(BY276+BZ276+CA276&gt;0.01,BV276=0,EQ276+ER276+ES276+ET276&lt;100),0,IF(AU276=3,CM276*0.08,IF(AU276=2,CM276*0.1,0)))))))))))))))))))))))))))))</f>
        <v>0</v>
      </c>
      <c r="CO276" s="660">
        <f t="shared" si="360"/>
        <v>0</v>
      </c>
      <c r="CP276" s="475" t="str">
        <f t="shared" si="361"/>
        <v/>
      </c>
      <c r="CQ276" s="161" t="str">
        <f>IF(AH276=0,0,IF(AU276=5,0,Summary!AC279))</f>
        <v/>
      </c>
      <c r="CR276" s="161" t="str">
        <f>IF(BF276=0.5,0,IF(AU276=5,0,Summary!AD279))</f>
        <v/>
      </c>
      <c r="CS276" s="161" t="str">
        <f>IF(AU276=5,0,Summary!AE279)</f>
        <v/>
      </c>
      <c r="CT276" s="161">
        <f t="shared" si="362"/>
        <v>0</v>
      </c>
      <c r="CU276" s="475" t="str">
        <f t="shared" si="363"/>
        <v/>
      </c>
      <c r="CV276" s="307">
        <f>IF('Data Entry'!$C$74=0,0,IF(AA276&lt;1,0,IF(ISERROR(CU276),0,IF(CF276=1,0,IF(AND(R276=12,BR276=50),0,IF(CL276+BO276+BV276+DC276=0,0,IF(BC276=37,0,IF(AND(BC276=40,AJ276=0),0,IF(AND(BC276=37,BO276&gt;0.01,BQ276&gt;0.01),ROUND(BQ276,0),IF(CM276&lt;0,0,ROUND(CM276,0)))))))))))</f>
        <v>0</v>
      </c>
      <c r="CW276" s="700">
        <f t="shared" si="364"/>
        <v>0</v>
      </c>
      <c r="CX276" s="477">
        <f>IF('Data Entry'!$C$74=0,0,IF(CV276&lt;0.01,0,IF(BF276=0.5,0,IF(CF276=1,0,IF(ISNUMBER(SEARCH("false",CL276)),0,IF(AZ276=500,0,CL276))))))</f>
        <v>0</v>
      </c>
      <c r="CY276" s="147" t="e">
        <f t="shared" si="365"/>
        <v>#VALUE!</v>
      </c>
      <c r="CZ276" s="147" t="b">
        <f>IF(CN276+CL276=0,FALSE,IF(AH276=0,0,IF(AND('Data Entry'!$C$74=1,CR276&gt;=1),TRUE,IF(AND('Data Entry'!$C$74=2,CS276&gt;=1),TRUE,FALSE))))</f>
        <v>0</v>
      </c>
      <c r="DA276" s="1751">
        <f>IF('Data Entry'!$C$74=0,0,IFERROR(ROUND(IF(T276="","",IF($X$4=0,0,IF(CF276=1,0,IF(BQ276+CV276=0,0,IF(CF276=1,0,IF(CY276&gt;0.01,CY276,IF(CL276&gt;0.01,CL276,IF(CY276&gt;0.01,CY276,IF(BC276=37,BO276,IF(CZ276=FALSE,0,IF(CZ276=TRUE,DC276+DF276,0))))))))))),2),""))</f>
        <v>0</v>
      </c>
      <c r="DB276" s="1752"/>
      <c r="DC276" s="474">
        <f>IF(CN276&lt;0.01,0,IF(AND(BR276=3,CN276&gt;0.01,CT276&gt;0.6,ER276+ES276+ET276&lt;100),0,IF(AND('Data Entry'!$C$74=1,CN276&gt;0.01,CR276&gt;0.99),MIN(CN276:CO276),IF(AND('Data Entry'!$C$74=2,CN276&gt;0.01,CS276&gt;0.99),MIN(CN276:CO276),0))))</f>
        <v>0</v>
      </c>
      <c r="DD276" s="478">
        <f>IF(CF276=1,"Selection does not match",IF(T276=0,0,IF(AND('Data Entry'!$C$74=0,CP276&gt;1),"Select Oregon or Idaho on Data Entry Tab",IF(AND(AU276=1,AA276&gt;0.9),"Missing Interior or Exterior Selection",IF($X$4=0,"Enter Total Project Cost",IF(AQ276&lt;AR276,"Insufficient kWh savings – no incentive",IF(AND(SUM(CL276+CK276+BV276)&gt;0.01,'Data Entry'!$C$74=2,CJ276&gt;1,BO276=0),"Submit Control as Non-Standard",IF(AND('Data Entry'!$C$74=2,BR276=37,CJ276&gt;1,BO276=0),"Submit Control as Non-Standard",IF(SUM(CL276+CK276+BV276)&gt;0.01,"Standard Incentive",IF(AND('Data Entry'!$C$74=2,CP276=7,CN276=0),"Submit as Non-Standard",IF(DC276&gt;0.9,"Non-Standard Incentive",IF(AND(BY276+BZ276+CA276&gt;0.01,BV276=0,EQ276=0,ER276=0,ES276=0,ET276=0),"Scroll Right &amp; Select Control Strategies",IF(AND(CN276&gt;0.01,CO276=0),"Enter Unit Installed Cost",IF(ISNUMBER(SEARCH("Lighting Controls Only",F276)),"Lighting Controls Only",IF(CL276+DC276=0,"Does not meet incentive criteria",0)))))))))))))))</f>
        <v>0</v>
      </c>
      <c r="DE276" s="337">
        <f t="shared" si="366"/>
        <v>0</v>
      </c>
      <c r="DF276" s="609">
        <f t="shared" si="367"/>
        <v>0</v>
      </c>
      <c r="DG276" s="336" t="str">
        <f t="shared" si="368"/>
        <v/>
      </c>
      <c r="DH276" s="338">
        <f t="shared" si="369"/>
        <v>1</v>
      </c>
      <c r="DI276" s="336" t="e">
        <f t="shared" si="324"/>
        <v>#VALUE!</v>
      </c>
      <c r="DJ276" s="338">
        <f t="shared" si="325"/>
        <v>0</v>
      </c>
      <c r="DO276" s="81"/>
      <c r="DP276" s="81"/>
      <c r="DQ276" s="81"/>
      <c r="DR276" s="81"/>
      <c r="DS276" s="1195">
        <f t="shared" si="370"/>
        <v>0</v>
      </c>
      <c r="DT276" s="344" t="b">
        <f t="shared" si="371"/>
        <v>1</v>
      </c>
      <c r="DU276" s="1314" t="str">
        <f t="array" ref="DU276">IF(OR(COUNTIF(F276,"*"&amp;$DK$9:$DK$178&amp;"*")), "Yes", "")</f>
        <v/>
      </c>
      <c r="DV276" s="1314">
        <f t="shared" si="372"/>
        <v>0</v>
      </c>
      <c r="DW276" s="1480">
        <f t="shared" si="373"/>
        <v>0</v>
      </c>
      <c r="DX276" s="1498">
        <f t="shared" si="382"/>
        <v>0</v>
      </c>
      <c r="DY276" s="1484">
        <f t="shared" si="374"/>
        <v>0</v>
      </c>
      <c r="DZ276" s="331"/>
      <c r="EA276" s="392"/>
      <c r="EB276" s="1499" t="s">
        <v>121</v>
      </c>
      <c r="EC276" s="727" t="s">
        <v>1569</v>
      </c>
      <c r="ED276" s="728">
        <v>0.5</v>
      </c>
      <c r="EE276" s="1215"/>
      <c r="EF276" s="1215"/>
      <c r="EG276" s="1184" t="str">
        <f t="shared" si="375"/>
        <v/>
      </c>
      <c r="EJ276" s="1185">
        <f t="shared" si="326"/>
        <v>0</v>
      </c>
      <c r="EK276" s="1211"/>
      <c r="EL276" s="1180">
        <f t="shared" si="327"/>
        <v>0</v>
      </c>
      <c r="EM276" s="206"/>
      <c r="EN276" s="1038"/>
      <c r="EO276" s="1038"/>
      <c r="EP276" s="1038"/>
      <c r="EQ276" s="1038">
        <f t="shared" si="376"/>
        <v>0</v>
      </c>
      <c r="ER276" s="1041">
        <f t="shared" si="377"/>
        <v>0</v>
      </c>
      <c r="ES276" s="1042">
        <f t="shared" si="378"/>
        <v>0</v>
      </c>
      <c r="ET276" s="1042">
        <f t="shared" si="383"/>
        <v>0</v>
      </c>
      <c r="EU276" s="1021">
        <f t="shared" si="384"/>
        <v>0</v>
      </c>
      <c r="EV276" s="368"/>
      <c r="EW276" s="368"/>
      <c r="EX276" s="369"/>
      <c r="EY276" s="370"/>
      <c r="EZ276" s="370"/>
      <c r="FA276" s="371"/>
      <c r="FB276" s="372"/>
    </row>
    <row r="277" spans="1:158" ht="34.5" customHeight="1">
      <c r="A277" s="82">
        <v>269</v>
      </c>
      <c r="B277" s="1806"/>
      <c r="C277" s="1807"/>
      <c r="D277" s="1807"/>
      <c r="E277" s="1808"/>
      <c r="F277" s="1809"/>
      <c r="G277" s="1810"/>
      <c r="H277" s="1810"/>
      <c r="I277" s="1811"/>
      <c r="J277" s="1301"/>
      <c r="K277" s="1814"/>
      <c r="L277" s="1814"/>
      <c r="M277" s="1017"/>
      <c r="N277" s="1584"/>
      <c r="O277" s="208" t="str">
        <f t="shared" si="314"/>
        <v/>
      </c>
      <c r="P277" s="785"/>
      <c r="Q277" s="39" t="str">
        <f t="shared" si="315"/>
        <v/>
      </c>
      <c r="R277" s="39">
        <f t="shared" si="328"/>
        <v>0</v>
      </c>
      <c r="S277" s="234">
        <f t="shared" si="329"/>
        <v>0</v>
      </c>
      <c r="T277" s="1815"/>
      <c r="U277" s="1815"/>
      <c r="V277" s="1815"/>
      <c r="W277" s="1121"/>
      <c r="X277" s="1812"/>
      <c r="Y277" s="1813"/>
      <c r="Z277" s="703"/>
      <c r="AA277" s="1280"/>
      <c r="AB277" s="1141"/>
      <c r="AC277" s="1103" t="str">
        <f>IF(T277="","",VLOOKUP(Z277,Lists!$A$60:$B$111,2,FALSE))</f>
        <v/>
      </c>
      <c r="AD277" s="130" t="str">
        <f t="shared" si="330"/>
        <v/>
      </c>
      <c r="AE277" s="130" t="e">
        <f t="shared" si="331"/>
        <v>#VALUE!</v>
      </c>
      <c r="AF277" s="130">
        <f t="shared" si="332"/>
        <v>1</v>
      </c>
      <c r="AG277" s="234">
        <f t="shared" si="316"/>
        <v>0</v>
      </c>
      <c r="AH277" s="1753" t="str">
        <f>IF(T277="","",(IF(ISNUMBER(SEARCH("exit",T277)),8760,IF(AND(M277="Dusk to Dawn",'Proposed Lighting'!AU277=3),4059,IF(AND(AU277=3,M277="1"),0,IF(AND(AU277=3,M277="1-C"),0,IF(AND(AU277=3,M277="2"),0,IF(AND(AU277=3,M277="2-C"),0,IF(AND(AU277=3,M277="3"),0,IF(AND(AU277=3,M277="3-C"),0,IF(AND(AU277=2,M277="Dusk to Dawn"),0,IF(AND(AU277=2,M277="Dusk to Dawn-C"),0,IF(AND(AU277=2,M277="Dusk to Dawn"),0,IF(AND(AU277=2,M277="E"),0,IF(AND(AU277=2,M277="E-C"),0,EG277)))))))))))))))</f>
        <v/>
      </c>
      <c r="AI277" s="1754"/>
      <c r="AJ277" s="1136"/>
      <c r="AK277" s="1136"/>
      <c r="AL277" s="1748">
        <f t="shared" si="333"/>
        <v>0</v>
      </c>
      <c r="AM277" s="1749"/>
      <c r="AN277" s="1750"/>
      <c r="AO277" s="476">
        <f t="shared" si="317"/>
        <v>0</v>
      </c>
      <c r="AP277" s="476">
        <f t="shared" si="334"/>
        <v>0</v>
      </c>
      <c r="AQ277" s="475">
        <f t="shared" si="318"/>
        <v>0</v>
      </c>
      <c r="AR277" s="475">
        <f t="shared" si="335"/>
        <v>0</v>
      </c>
      <c r="AS277" s="743" t="str">
        <f t="shared" si="310"/>
        <v/>
      </c>
      <c r="AT277" s="736" t="str">
        <f t="shared" si="336"/>
        <v/>
      </c>
      <c r="AU277" s="56">
        <f t="shared" si="337"/>
        <v>1</v>
      </c>
      <c r="AV277" s="476">
        <f t="shared" si="338"/>
        <v>0</v>
      </c>
      <c r="AW277" s="56">
        <f t="shared" si="339"/>
        <v>0</v>
      </c>
      <c r="AX277" s="475">
        <f t="shared" si="319"/>
        <v>0</v>
      </c>
      <c r="AY277" s="1169">
        <f t="shared" si="340"/>
        <v>0</v>
      </c>
      <c r="AZ277" s="1150">
        <f t="shared" si="379"/>
        <v>0</v>
      </c>
      <c r="BA277" s="56">
        <f t="shared" si="320"/>
        <v>0</v>
      </c>
      <c r="BB277" s="420">
        <f t="shared" si="321"/>
        <v>0</v>
      </c>
      <c r="BC277" s="58" t="str">
        <f t="shared" si="322"/>
        <v/>
      </c>
      <c r="BD277" s="660">
        <f t="shared" si="380"/>
        <v>0</v>
      </c>
      <c r="BE277" s="57" t="e">
        <f t="array" ref="BE277">INDEX($EB$11:$ED$1022,MATCH(F277&amp;T277,$EB$11:$EB$1007&amp;$EC$11:$EC$1007,0),3)</f>
        <v>#N/A</v>
      </c>
      <c r="BF277" s="463">
        <f t="shared" si="311"/>
        <v>0</v>
      </c>
      <c r="BG277" s="1445" t="e">
        <f t="array" ref="BG277">INDEX($DO$112:$DQ$123,MATCH(T277&amp;W277,$DO$114:$DO$125&amp;$DP$112:$DP$123,0),3)</f>
        <v>#N/A</v>
      </c>
      <c r="BH277" s="1446">
        <f t="shared" si="341"/>
        <v>0</v>
      </c>
      <c r="BI277" s="465">
        <f t="shared" si="342"/>
        <v>0</v>
      </c>
      <c r="BJ277" s="465">
        <f t="shared" si="343"/>
        <v>0</v>
      </c>
      <c r="BK277" s="466">
        <f t="shared" si="312"/>
        <v>0</v>
      </c>
      <c r="BL277" s="466">
        <f t="shared" si="313"/>
        <v>0</v>
      </c>
      <c r="BM277" s="466">
        <f t="shared" si="344"/>
        <v>0</v>
      </c>
      <c r="BN277" s="466">
        <f t="shared" si="345"/>
        <v>0</v>
      </c>
      <c r="BO277" s="463">
        <f>IF('Data Entry'!$C$74=0,0,IF(ISNA(CJ277),0,IF(AX277=0,0,IF(AND('Data Entry'!$C$74=2,AF277&gt;2,CE277&lt;1),0,IF(AND('Data Entry'!$C$74=2,AF277&gt;1,AU277=2,CJ277&gt;1),0,IF(AND(AF277=5,CT277=0.5,AU277=2,ER277&lt;100),0,IF(AND(AF277=5,CT277=0.5,AU277=3,ER277&lt;100),0,IF(AND('Data Entry'!$C$74=2,AF277=2,AU277=2,AK277&gt;0.01,CB277=2,CE277&lt;1),0,IF(AND('Data Entry'!$C$74=2,AF277=3,AU277=3,AK277&gt;0.01,CB277=3,CE277&lt;1),0,IF(AND('Data Entry'!$C$74=2,AF277=3,AU277=3,AK277&gt;0.01,CB277=3,CE277&gt;0.99),BQ277*0.08,IF(AND('Data Entry'!$C$74=2,AF277=2,AU277=2,AK277&gt;0.01,CB277=2,CE277&gt;0.99),BQ277*0.1,IF(AND(AU277=2,AK277&gt;0.01,CB277=2,CD277&gt;1),BQ277*0.1,IF(AND(AU277=3,AK277&gt;0.01,CB277=3,CD277&gt;1),BQ277*0.08,CJ277*EF277)))))))))))))</f>
        <v>0</v>
      </c>
      <c r="BP277" s="475">
        <f t="shared" si="346"/>
        <v>0</v>
      </c>
      <c r="BQ277" s="1431">
        <f>IF(AU277=1,0,IF(CH277=100,0,IF(AND(AF277=3,AU277=2),0,IF(AND(BH277=0,CT277&gt;0.4),0,IF(AND('Data Entry'!$C$74=2,AF277=1.5),0,IF(AND('Data Entry'!$C$74=2,AF277=1.6),0,IF(AND('Data Entry'!$C$74=2,AF277=4),0,IF(AND('Data Entry'!$C$74=2,AF277=5),0,IF(AND('Data Entry'!$C$74=2,AF277=2.5,CE277&lt;1),0,IF(AND('Data Entry'!$C$74=2,AF277=3,CE277&lt;1),0,IF(AND('Data Entry'!$C$74=1,AF277=2.5,CD277&lt;1),0,IF(AND('Data Entry'!$C$74=1,AF277=3,CD277&lt;1),0,IF(DX277&gt;0.01,DX277,IF(ISERROR(AX277-AY277),"",ROUND(AX277-AY277,2)))))))))))))))</f>
        <v>0</v>
      </c>
      <c r="BR277" s="146">
        <f t="shared" si="347"/>
        <v>0</v>
      </c>
      <c r="BS277" s="475">
        <f t="shared" si="348"/>
        <v>0</v>
      </c>
      <c r="BT277" s="146" t="b">
        <f t="shared" si="349"/>
        <v>0</v>
      </c>
      <c r="BU277" s="463">
        <f>IF(ISNA(AT277),0,IF(AND('Data Entry'!$C$74=2,BC277=27),0,IF(AND('Data Entry'!$C$74=2,BC277=28),0,IF(AND(BC277=27,BT277=27,CM277&gt;0.1),CM277*0.15,IF(AND(BC277=28,BT277=28,CM277&gt;0.1),CM277*0.12,0)))))</f>
        <v>0</v>
      </c>
      <c r="BV277" s="463">
        <f t="shared" si="309"/>
        <v>0</v>
      </c>
      <c r="BW277" s="463">
        <f t="shared" si="350"/>
        <v>0</v>
      </c>
      <c r="BX277" s="463">
        <f t="shared" si="351"/>
        <v>0</v>
      </c>
      <c r="BY277" s="463">
        <f t="shared" si="352"/>
        <v>0</v>
      </c>
      <c r="BZ277" s="463">
        <f t="shared" si="353"/>
        <v>0</v>
      </c>
      <c r="CA277" s="57">
        <f t="shared" si="381"/>
        <v>0</v>
      </c>
      <c r="CB277" s="56">
        <f t="shared" si="354"/>
        <v>1</v>
      </c>
      <c r="CC277" s="756">
        <f>IF(EE277=0,0,IF(EF277=0,0,IF(EE277&gt;AA277,0,IF(AND(AZ277&gt;AW277,AW277&gt;0),0,IF(CU277=0,0,Summary!AC580)))))</f>
        <v>0</v>
      </c>
      <c r="CD277" s="756">
        <f>IF(EE277=0,0,IF(EF277=0,0,IF(EE277&gt;AA277,0,IF(AND(AZ277&gt;AW277,AW277&gt;0),0,IF(CU277=0,0,Summary!AD580)))))</f>
        <v>0</v>
      </c>
      <c r="CE277" s="756">
        <f>IF(EF277=0,0,IF(EE277&gt;AA277,0,IF(CC277=0,0,IF(AND(AZ277&gt;AW277,AW277&gt;0),0,IF(CU277=0,0,Summary!AE580)))))</f>
        <v>0</v>
      </c>
      <c r="CF277" s="475">
        <f t="shared" si="355"/>
        <v>0</v>
      </c>
      <c r="CG277" s="476">
        <f t="shared" si="323"/>
        <v>0</v>
      </c>
      <c r="CH277" s="487">
        <f t="shared" si="356"/>
        <v>0</v>
      </c>
      <c r="CI277" s="756">
        <f t="shared" si="357"/>
        <v>0</v>
      </c>
      <c r="CJ277" s="487">
        <f>IF(CT277&gt;0.4,0,IF(AND(AU277=2,CH277=0,CT277=0.5,ER277=100),35,IF(AND(AU277=3,BB277&gt;75,CH277=0,CT277=0.5,ER277=100),25,IF(CB277&gt;1,0,IF(EF277&gt;EE277,0,IF(AND(AF277&gt;1,CH277=100),0,IF(AND(AF277=1,AY277=0),0,IF(AND(EF277&lt;=EE277,AW277&gt;=AZ277,'Data Entry'!$C$74=1,AU277=2),VLOOKUP(W277,$DO$96:$DP$102,2,FALSE),IF(AND(EF277&lt;=EE277,AW277&gt;=AZ277,AU277=3,'Data Entry'!$C$74=1),VLOOKUP(W277,$DO$127:$DP$134,2,FALSE))))))))))</f>
        <v>0</v>
      </c>
      <c r="CK277" s="716">
        <f t="shared" si="358"/>
        <v>0</v>
      </c>
      <c r="CL277" s="57">
        <f t="shared" si="359"/>
        <v>0</v>
      </c>
      <c r="CM277" s="475">
        <f t="shared" si="385"/>
        <v>0</v>
      </c>
      <c r="CN277" s="660">
        <f>IF(CM277&lt;0.1,0,IF(ISNA(AT277),0,IF(CL277+BC277=1,0,IF(BV277&gt;0.01,0,IF(CL277&gt;0.01,0,IF(CF277=1,0,IF(BC277=0.5,0,IF(AND(CI277=1,AU277=3),0,IF(AND(CI277=5,CL277=0),0,IF(AND(R277=12,BR277=50),0,IF(CK277&gt;0.01,0,IF(AND(AJ277&gt;0.01,AU277=2,BC277=15),CM277*0.1,IF(AND(AJ277&gt;0.01,AU277=3,BC277=15),CM277*0.08,IF(AND(R277=12,BC277=3,AF277&lt;=0),0,IF(AND(BC277=15,BI277=0),0,IF(AND(BC277=15,BJ277=0),0,IF(AND(R277=20,CU277=0),0,IF($X$4=0,0,IF(AND(BC277=250,CL277=0),0,IF(AA277&lt;1,0,IF(AND(ISNUMBER(SEARCH("Area",T277)),AU277=3),0,IF(AND(AQ277&gt;0.01,AR277=0,BK277=0,BL277=0,BM277=0,BN277=0),0,IF(AND(AU277=3,CI277=7,CT277&gt;0.5),0,IF(AND(BC277=44,AU277=3,BY277=0),0,IF(AND(BC277=27,'Data Entry'!$C$74=2),0,IF(AND(BC277=28,'Data Entry'!$C$74=2),0,IF(AND(BY277+BZ277+CA277&gt;0.01,BV277=0,EQ277+ER277+ES277+ET277&lt;100),0,IF(AU277=3,CM277*0.08,IF(AU277=2,CM277*0.1,0)))))))))))))))))))))))))))))</f>
        <v>0</v>
      </c>
      <c r="CO277" s="660">
        <f t="shared" si="360"/>
        <v>0</v>
      </c>
      <c r="CP277" s="475" t="str">
        <f t="shared" si="361"/>
        <v/>
      </c>
      <c r="CQ277" s="161" t="str">
        <f>IF(AH277=0,0,IF(AU277=5,0,Summary!AC280))</f>
        <v/>
      </c>
      <c r="CR277" s="161" t="str">
        <f>IF(BF277=0.5,0,IF(AU277=5,0,Summary!AD280))</f>
        <v/>
      </c>
      <c r="CS277" s="161" t="str">
        <f>IF(AU277=5,0,Summary!AE280)</f>
        <v/>
      </c>
      <c r="CT277" s="161">
        <f t="shared" si="362"/>
        <v>0</v>
      </c>
      <c r="CU277" s="475" t="str">
        <f t="shared" si="363"/>
        <v/>
      </c>
      <c r="CV277" s="307">
        <f>IF('Data Entry'!$C$74=0,0,IF(AA277&lt;1,0,IF(ISERROR(CU277),0,IF(CF277=1,0,IF(AND(R277=12,BR277=50),0,IF(CL277+BO277+BV277+DC277=0,0,IF(BC277=37,0,IF(AND(BC277=40,AJ277=0),0,IF(AND(BC277=37,BO277&gt;0.01,BQ277&gt;0.01),ROUND(BQ277,0),IF(CM277&lt;0,0,ROUND(CM277,0)))))))))))</f>
        <v>0</v>
      </c>
      <c r="CW277" s="700">
        <f t="shared" si="364"/>
        <v>0</v>
      </c>
      <c r="CX277" s="477">
        <f>IF('Data Entry'!$C$74=0,0,IF(CV277&lt;0.01,0,IF(BF277=0.5,0,IF(CF277=1,0,IF(ISNUMBER(SEARCH("false",CL277)),0,IF(AZ277=500,0,CL277))))))</f>
        <v>0</v>
      </c>
      <c r="CY277" s="147" t="e">
        <f t="shared" si="365"/>
        <v>#VALUE!</v>
      </c>
      <c r="CZ277" s="147" t="b">
        <f>IF(CN277+CL277=0,FALSE,IF(AH277=0,0,IF(AND('Data Entry'!$C$74=1,CR277&gt;=1),TRUE,IF(AND('Data Entry'!$C$74=2,CS277&gt;=1),TRUE,FALSE))))</f>
        <v>0</v>
      </c>
      <c r="DA277" s="1751">
        <f>IF('Data Entry'!$C$74=0,0,IFERROR(ROUND(IF(T277="","",IF($X$4=0,0,IF(CF277=1,0,IF(BQ277+CV277=0,0,IF(CF277=1,0,IF(CY277&gt;0.01,CY277,IF(CL277&gt;0.01,CL277,IF(CY277&gt;0.01,CY277,IF(BC277=37,BO277,IF(CZ277=FALSE,0,IF(CZ277=TRUE,DC277+DF277,0))))))))))),2),""))</f>
        <v>0</v>
      </c>
      <c r="DB277" s="1752"/>
      <c r="DC277" s="474">
        <f>IF(CN277&lt;0.01,0,IF(AND(BR277=3,CN277&gt;0.01,CT277&gt;0.6,ER277+ES277+ET277&lt;100),0,IF(AND('Data Entry'!$C$74=1,CN277&gt;0.01,CR277&gt;0.99),MIN(CN277:CO277),IF(AND('Data Entry'!$C$74=2,CN277&gt;0.01,CS277&gt;0.99),MIN(CN277:CO277),0))))</f>
        <v>0</v>
      </c>
      <c r="DD277" s="478">
        <f>IF(CF277=1,"Selection does not match",IF(T277=0,0,IF(AND('Data Entry'!$C$74=0,CP277&gt;1),"Select Oregon or Idaho on Data Entry Tab",IF(AND(AU277=1,AA277&gt;0.9),"Missing Interior or Exterior Selection",IF($X$4=0,"Enter Total Project Cost",IF(AQ277&lt;AR277,"Insufficient kWh savings – no incentive",IF(AND(SUM(CL277+CK277+BV277)&gt;0.01,'Data Entry'!$C$74=2,CJ277&gt;1,BO277=0),"Submit Control as Non-Standard",IF(AND('Data Entry'!$C$74=2,BR277=37,CJ277&gt;1,BO277=0),"Submit Control as Non-Standard",IF(SUM(CL277+CK277+BV277)&gt;0.01,"Standard Incentive",IF(AND('Data Entry'!$C$74=2,CP277=7,CN277=0),"Submit as Non-Standard",IF(DC277&gt;0.9,"Non-Standard Incentive",IF(AND(BY277+BZ277+CA277&gt;0.01,BV277=0,EQ277=0,ER277=0,ES277=0,ET277=0),"Scroll Right &amp; Select Control Strategies",IF(AND(CN277&gt;0.01,CO277=0),"Enter Unit Installed Cost",IF(ISNUMBER(SEARCH("Lighting Controls Only",F277)),"Lighting Controls Only",IF(CL277+DC277=0,"Does not meet incentive criteria",0)))))))))))))))</f>
        <v>0</v>
      </c>
      <c r="DE277" s="337">
        <f t="shared" si="366"/>
        <v>0</v>
      </c>
      <c r="DF277" s="609">
        <f t="shared" si="367"/>
        <v>0</v>
      </c>
      <c r="DG277" s="336" t="str">
        <f t="shared" si="368"/>
        <v/>
      </c>
      <c r="DH277" s="338">
        <f t="shared" si="369"/>
        <v>1</v>
      </c>
      <c r="DI277" s="336" t="e">
        <f t="shared" si="324"/>
        <v>#VALUE!</v>
      </c>
      <c r="DJ277" s="338">
        <f t="shared" si="325"/>
        <v>0</v>
      </c>
      <c r="DO277" s="81"/>
      <c r="DP277" s="81"/>
      <c r="DQ277" s="81"/>
      <c r="DR277" s="81"/>
      <c r="DS277" s="1195">
        <f t="shared" si="370"/>
        <v>0</v>
      </c>
      <c r="DT277" s="344" t="b">
        <f t="shared" si="371"/>
        <v>1</v>
      </c>
      <c r="DU277" s="1314" t="str">
        <f t="array" ref="DU277">IF(OR(COUNTIF(F277,"*"&amp;$DK$9:$DK$178&amp;"*")), "Yes", "")</f>
        <v/>
      </c>
      <c r="DV277" s="1314">
        <f t="shared" si="372"/>
        <v>0</v>
      </c>
      <c r="DW277" s="1480">
        <f t="shared" si="373"/>
        <v>0</v>
      </c>
      <c r="DX277" s="1498">
        <f t="shared" si="382"/>
        <v>0</v>
      </c>
      <c r="DY277" s="1484">
        <f t="shared" si="374"/>
        <v>0</v>
      </c>
      <c r="DZ277" s="331"/>
      <c r="EA277" s="392"/>
      <c r="EB277" s="1499" t="s">
        <v>122</v>
      </c>
      <c r="EC277" s="727" t="s">
        <v>1569</v>
      </c>
      <c r="ED277" s="728">
        <v>0.5</v>
      </c>
      <c r="EE277" s="1215"/>
      <c r="EF277" s="1215"/>
      <c r="EG277" s="1184" t="str">
        <f t="shared" si="375"/>
        <v/>
      </c>
      <c r="EJ277" s="1185">
        <f t="shared" si="326"/>
        <v>0</v>
      </c>
      <c r="EK277" s="1211"/>
      <c r="EL277" s="1180">
        <f t="shared" si="327"/>
        <v>0</v>
      </c>
      <c r="EM277" s="206"/>
      <c r="EN277" s="1038"/>
      <c r="EO277" s="1038"/>
      <c r="EP277" s="1038"/>
      <c r="EQ277" s="1038">
        <f t="shared" si="376"/>
        <v>0</v>
      </c>
      <c r="ER277" s="1041">
        <f t="shared" si="377"/>
        <v>0</v>
      </c>
      <c r="ES277" s="1042">
        <f t="shared" si="378"/>
        <v>0</v>
      </c>
      <c r="ET277" s="1042">
        <f t="shared" si="383"/>
        <v>0</v>
      </c>
      <c r="EU277" s="1021">
        <f t="shared" si="384"/>
        <v>0</v>
      </c>
      <c r="EV277" s="368"/>
      <c r="EW277" s="368"/>
      <c r="EX277" s="369"/>
      <c r="EY277" s="370"/>
      <c r="EZ277" s="370"/>
      <c r="FA277" s="371"/>
      <c r="FB277" s="372"/>
    </row>
    <row r="278" spans="1:158" ht="34.5" customHeight="1">
      <c r="A278" s="82">
        <v>270</v>
      </c>
      <c r="B278" s="1806"/>
      <c r="C278" s="1807"/>
      <c r="D278" s="1807"/>
      <c r="E278" s="1808"/>
      <c r="F278" s="1809"/>
      <c r="G278" s="1810"/>
      <c r="H278" s="1810"/>
      <c r="I278" s="1811"/>
      <c r="J278" s="1301"/>
      <c r="K278" s="1814"/>
      <c r="L278" s="1814"/>
      <c r="M278" s="1017"/>
      <c r="N278" s="1584"/>
      <c r="O278" s="208" t="str">
        <f t="shared" si="314"/>
        <v/>
      </c>
      <c r="P278" s="785"/>
      <c r="Q278" s="39" t="str">
        <f t="shared" si="315"/>
        <v/>
      </c>
      <c r="R278" s="39">
        <f t="shared" si="328"/>
        <v>0</v>
      </c>
      <c r="S278" s="234">
        <f t="shared" si="329"/>
        <v>0</v>
      </c>
      <c r="T278" s="1815"/>
      <c r="U278" s="1815"/>
      <c r="V278" s="1815"/>
      <c r="W278" s="1121"/>
      <c r="X278" s="1812"/>
      <c r="Y278" s="1813"/>
      <c r="Z278" s="703"/>
      <c r="AA278" s="1280"/>
      <c r="AB278" s="1141"/>
      <c r="AC278" s="1103" t="str">
        <f>IF(T278="","",VLOOKUP(Z278,Lists!$A$60:$B$111,2,FALSE))</f>
        <v/>
      </c>
      <c r="AD278" s="130" t="str">
        <f t="shared" si="330"/>
        <v/>
      </c>
      <c r="AE278" s="130" t="e">
        <f t="shared" si="331"/>
        <v>#VALUE!</v>
      </c>
      <c r="AF278" s="130">
        <f t="shared" si="332"/>
        <v>1</v>
      </c>
      <c r="AG278" s="234">
        <f t="shared" si="316"/>
        <v>0</v>
      </c>
      <c r="AH278" s="1753" t="str">
        <f>IF(T278="","",(IF(ISNUMBER(SEARCH("exit",T278)),8760,IF(AND(M278="Dusk to Dawn",'Proposed Lighting'!AU278=3),4059,IF(AND(AU278=3,M278="1"),0,IF(AND(AU278=3,M278="1-C"),0,IF(AND(AU278=3,M278="2"),0,IF(AND(AU278=3,M278="2-C"),0,IF(AND(AU278=3,M278="3"),0,IF(AND(AU278=3,M278="3-C"),0,IF(AND(AU278=2,M278="Dusk to Dawn"),0,IF(AND(AU278=2,M278="Dusk to Dawn-C"),0,IF(AND(AU278=2,M278="Dusk to Dawn"),0,IF(AND(AU278=2,M278="E"),0,IF(AND(AU278=2,M278="E-C"),0,EG278)))))))))))))))</f>
        <v/>
      </c>
      <c r="AI278" s="1754"/>
      <c r="AJ278" s="1136"/>
      <c r="AK278" s="1136"/>
      <c r="AL278" s="1748">
        <f t="shared" si="333"/>
        <v>0</v>
      </c>
      <c r="AM278" s="1749"/>
      <c r="AN278" s="1750"/>
      <c r="AO278" s="476">
        <f t="shared" si="317"/>
        <v>0</v>
      </c>
      <c r="AP278" s="476">
        <f t="shared" si="334"/>
        <v>0</v>
      </c>
      <c r="AQ278" s="475">
        <f t="shared" si="318"/>
        <v>0</v>
      </c>
      <c r="AR278" s="475">
        <f t="shared" si="335"/>
        <v>0</v>
      </c>
      <c r="AS278" s="743" t="str">
        <f t="shared" si="310"/>
        <v/>
      </c>
      <c r="AT278" s="736" t="str">
        <f t="shared" si="336"/>
        <v/>
      </c>
      <c r="AU278" s="56">
        <f t="shared" si="337"/>
        <v>1</v>
      </c>
      <c r="AV278" s="476">
        <f t="shared" si="338"/>
        <v>0</v>
      </c>
      <c r="AW278" s="56">
        <f t="shared" si="339"/>
        <v>0</v>
      </c>
      <c r="AX278" s="475">
        <f t="shared" si="319"/>
        <v>0</v>
      </c>
      <c r="AY278" s="1169">
        <f t="shared" si="340"/>
        <v>0</v>
      </c>
      <c r="AZ278" s="1150">
        <f t="shared" si="379"/>
        <v>0</v>
      </c>
      <c r="BA278" s="56">
        <f t="shared" si="320"/>
        <v>0</v>
      </c>
      <c r="BB278" s="420">
        <f t="shared" si="321"/>
        <v>0</v>
      </c>
      <c r="BC278" s="58" t="str">
        <f t="shared" si="322"/>
        <v/>
      </c>
      <c r="BD278" s="660">
        <f t="shared" si="380"/>
        <v>0</v>
      </c>
      <c r="BE278" s="57" t="e">
        <f t="array" ref="BE278">INDEX($EB$11:$ED$1022,MATCH(F278&amp;T278,$EB$11:$EB$1007&amp;$EC$11:$EC$1007,0),3)</f>
        <v>#N/A</v>
      </c>
      <c r="BF278" s="463">
        <f t="shared" si="311"/>
        <v>0</v>
      </c>
      <c r="BG278" s="1445" t="e">
        <f t="array" ref="BG278">INDEX($DO$112:$DQ$123,MATCH(T278&amp;W278,$DO$114:$DO$125&amp;$DP$112:$DP$123,0),3)</f>
        <v>#N/A</v>
      </c>
      <c r="BH278" s="1446">
        <f t="shared" si="341"/>
        <v>0</v>
      </c>
      <c r="BI278" s="465">
        <f t="shared" si="342"/>
        <v>0</v>
      </c>
      <c r="BJ278" s="465">
        <f t="shared" si="343"/>
        <v>0</v>
      </c>
      <c r="BK278" s="466">
        <f t="shared" si="312"/>
        <v>0</v>
      </c>
      <c r="BL278" s="466">
        <f t="shared" si="313"/>
        <v>0</v>
      </c>
      <c r="BM278" s="466">
        <f t="shared" si="344"/>
        <v>0</v>
      </c>
      <c r="BN278" s="466">
        <f t="shared" si="345"/>
        <v>0</v>
      </c>
      <c r="BO278" s="463">
        <f>IF('Data Entry'!$C$74=0,0,IF(ISNA(CJ278),0,IF(AX278=0,0,IF(AND('Data Entry'!$C$74=2,AF278&gt;2,CE278&lt;1),0,IF(AND('Data Entry'!$C$74=2,AF278&gt;1,AU278=2,CJ278&gt;1),0,IF(AND(AF278=5,CT278=0.5,AU278=2,ER278&lt;100),0,IF(AND(AF278=5,CT278=0.5,AU278=3,ER278&lt;100),0,IF(AND('Data Entry'!$C$74=2,AF278=2,AU278=2,AK278&gt;0.01,CB278=2,CE278&lt;1),0,IF(AND('Data Entry'!$C$74=2,AF278=3,AU278=3,AK278&gt;0.01,CB278=3,CE278&lt;1),0,IF(AND('Data Entry'!$C$74=2,AF278=3,AU278=3,AK278&gt;0.01,CB278=3,CE278&gt;0.99),BQ278*0.08,IF(AND('Data Entry'!$C$74=2,AF278=2,AU278=2,AK278&gt;0.01,CB278=2,CE278&gt;0.99),BQ278*0.1,IF(AND(AU278=2,AK278&gt;0.01,CB278=2,CD278&gt;1),BQ278*0.1,IF(AND(AU278=3,AK278&gt;0.01,CB278=3,CD278&gt;1),BQ278*0.08,CJ278*EF278)))))))))))))</f>
        <v>0</v>
      </c>
      <c r="BP278" s="475">
        <f t="shared" si="346"/>
        <v>0</v>
      </c>
      <c r="BQ278" s="1431">
        <f>IF(AU278=1,0,IF(CH278=100,0,IF(AND(AF278=3,AU278=2),0,IF(AND(BH278=0,CT278&gt;0.4),0,IF(AND('Data Entry'!$C$74=2,AF278=1.5),0,IF(AND('Data Entry'!$C$74=2,AF278=1.6),0,IF(AND('Data Entry'!$C$74=2,AF278=4),0,IF(AND('Data Entry'!$C$74=2,AF278=5),0,IF(AND('Data Entry'!$C$74=2,AF278=2.5,CE278&lt;1),0,IF(AND('Data Entry'!$C$74=2,AF278=3,CE278&lt;1),0,IF(AND('Data Entry'!$C$74=1,AF278=2.5,CD278&lt;1),0,IF(AND('Data Entry'!$C$74=1,AF278=3,CD278&lt;1),0,IF(DX278&gt;0.01,DX278,IF(ISERROR(AX278-AY278),"",ROUND(AX278-AY278,2)))))))))))))))</f>
        <v>0</v>
      </c>
      <c r="BR278" s="146">
        <f t="shared" si="347"/>
        <v>0</v>
      </c>
      <c r="BS278" s="475">
        <f t="shared" si="348"/>
        <v>0</v>
      </c>
      <c r="BT278" s="146" t="b">
        <f t="shared" si="349"/>
        <v>0</v>
      </c>
      <c r="BU278" s="463">
        <f>IF(ISNA(AT278),0,IF(AND('Data Entry'!$C$74=2,BC278=27),0,IF(AND('Data Entry'!$C$74=2,BC278=28),0,IF(AND(BC278=27,BT278=27,CM278&gt;0.1),CM278*0.15,IF(AND(BC278=28,BT278=28,CM278&gt;0.1),CM278*0.12,0)))))</f>
        <v>0</v>
      </c>
      <c r="BV278" s="463">
        <f t="shared" si="309"/>
        <v>0</v>
      </c>
      <c r="BW278" s="463">
        <f t="shared" si="350"/>
        <v>0</v>
      </c>
      <c r="BX278" s="463">
        <f t="shared" si="351"/>
        <v>0</v>
      </c>
      <c r="BY278" s="463">
        <f t="shared" si="352"/>
        <v>0</v>
      </c>
      <c r="BZ278" s="463">
        <f t="shared" si="353"/>
        <v>0</v>
      </c>
      <c r="CA278" s="57">
        <f t="shared" si="381"/>
        <v>0</v>
      </c>
      <c r="CB278" s="56">
        <f t="shared" si="354"/>
        <v>1</v>
      </c>
      <c r="CC278" s="756">
        <f>IF(EE278=0,0,IF(EF278=0,0,IF(EE278&gt;AA278,0,IF(AND(AZ278&gt;AW278,AW278&gt;0),0,IF(CU278=0,0,Summary!AC581)))))</f>
        <v>0</v>
      </c>
      <c r="CD278" s="756">
        <f>IF(EE278=0,0,IF(EF278=0,0,IF(EE278&gt;AA278,0,IF(AND(AZ278&gt;AW278,AW278&gt;0),0,IF(CU278=0,0,Summary!AD581)))))</f>
        <v>0</v>
      </c>
      <c r="CE278" s="756">
        <f>IF(EF278=0,0,IF(EE278&gt;AA278,0,IF(CC278=0,0,IF(AND(AZ278&gt;AW278,AW278&gt;0),0,IF(CU278=0,0,Summary!AE581)))))</f>
        <v>0</v>
      </c>
      <c r="CF278" s="475">
        <f t="shared" si="355"/>
        <v>0</v>
      </c>
      <c r="CG278" s="476">
        <f t="shared" si="323"/>
        <v>0</v>
      </c>
      <c r="CH278" s="487">
        <f t="shared" si="356"/>
        <v>0</v>
      </c>
      <c r="CI278" s="756">
        <f t="shared" si="357"/>
        <v>0</v>
      </c>
      <c r="CJ278" s="487">
        <f>IF(CT278&gt;0.4,0,IF(AND(AU278=2,CH278=0,CT278=0.5,ER278=100),35,IF(AND(AU278=3,BB278&gt;75,CH278=0,CT278=0.5,ER278=100),25,IF(CB278&gt;1,0,IF(EF278&gt;EE278,0,IF(AND(AF278&gt;1,CH278=100),0,IF(AND(AF278=1,AY278=0),0,IF(AND(EF278&lt;=EE278,AW278&gt;=AZ278,'Data Entry'!$C$74=1,AU278=2),VLOOKUP(W278,$DO$96:$DP$102,2,FALSE),IF(AND(EF278&lt;=EE278,AW278&gt;=AZ278,AU278=3,'Data Entry'!$C$74=1),VLOOKUP(W278,$DO$127:$DP$134,2,FALSE))))))))))</f>
        <v>0</v>
      </c>
      <c r="CK278" s="716">
        <f t="shared" si="358"/>
        <v>0</v>
      </c>
      <c r="CL278" s="57">
        <f t="shared" si="359"/>
        <v>0</v>
      </c>
      <c r="CM278" s="475">
        <f t="shared" si="385"/>
        <v>0</v>
      </c>
      <c r="CN278" s="660">
        <f>IF(CM278&lt;0.1,0,IF(ISNA(AT278),0,IF(CL278+BC278=1,0,IF(BV278&gt;0.01,0,IF(CL278&gt;0.01,0,IF(CF278=1,0,IF(BC278=0.5,0,IF(AND(CI278=1,AU278=3),0,IF(AND(CI278=5,CL278=0),0,IF(AND(R278=12,BR278=50),0,IF(CK278&gt;0.01,0,IF(AND(AJ278&gt;0.01,AU278=2,BC278=15),CM278*0.1,IF(AND(AJ278&gt;0.01,AU278=3,BC278=15),CM278*0.08,IF(AND(R278=12,BC278=3,AF278&lt;=0),0,IF(AND(BC278=15,BI278=0),0,IF(AND(BC278=15,BJ278=0),0,IF(AND(R278=20,CU278=0),0,IF($X$4=0,0,IF(AND(BC278=250,CL278=0),0,IF(AA278&lt;1,0,IF(AND(ISNUMBER(SEARCH("Area",T278)),AU278=3),0,IF(AND(AQ278&gt;0.01,AR278=0,BK278=0,BL278=0,BM278=0,BN278=0),0,IF(AND(AU278=3,CI278=7,CT278&gt;0.5),0,IF(AND(BC278=44,AU278=3,BY278=0),0,IF(AND(BC278=27,'Data Entry'!$C$74=2),0,IF(AND(BC278=28,'Data Entry'!$C$74=2),0,IF(AND(BY278+BZ278+CA278&gt;0.01,BV278=0,EQ278+ER278+ES278+ET278&lt;100),0,IF(AU278=3,CM278*0.08,IF(AU278=2,CM278*0.1,0)))))))))))))))))))))))))))))</f>
        <v>0</v>
      </c>
      <c r="CO278" s="660">
        <f t="shared" si="360"/>
        <v>0</v>
      </c>
      <c r="CP278" s="475" t="str">
        <f t="shared" si="361"/>
        <v/>
      </c>
      <c r="CQ278" s="161" t="str">
        <f>IF(AH278=0,0,IF(AU278=5,0,Summary!AC281))</f>
        <v/>
      </c>
      <c r="CR278" s="161" t="str">
        <f>IF(BF278=0.5,0,IF(AU278=5,0,Summary!AD281))</f>
        <v/>
      </c>
      <c r="CS278" s="161" t="str">
        <f>IF(AU278=5,0,Summary!AE281)</f>
        <v/>
      </c>
      <c r="CT278" s="161">
        <f t="shared" si="362"/>
        <v>0</v>
      </c>
      <c r="CU278" s="475" t="str">
        <f t="shared" si="363"/>
        <v/>
      </c>
      <c r="CV278" s="307">
        <f>IF('Data Entry'!$C$74=0,0,IF(AA278&lt;1,0,IF(ISERROR(CU278),0,IF(CF278=1,0,IF(AND(R278=12,BR278=50),0,IF(CL278+BO278+BV278+DC278=0,0,IF(BC278=37,0,IF(AND(BC278=40,AJ278=0),0,IF(AND(BC278=37,BO278&gt;0.01,BQ278&gt;0.01),ROUND(BQ278,0),IF(CM278&lt;0,0,ROUND(CM278,0)))))))))))</f>
        <v>0</v>
      </c>
      <c r="CW278" s="700">
        <f t="shared" si="364"/>
        <v>0</v>
      </c>
      <c r="CX278" s="477">
        <f>IF('Data Entry'!$C$74=0,0,IF(CV278&lt;0.01,0,IF(BF278=0.5,0,IF(CF278=1,0,IF(ISNUMBER(SEARCH("false",CL278)),0,IF(AZ278=500,0,CL278))))))</f>
        <v>0</v>
      </c>
      <c r="CY278" s="147" t="e">
        <f t="shared" si="365"/>
        <v>#VALUE!</v>
      </c>
      <c r="CZ278" s="147" t="b">
        <f>IF(CN278+CL278=0,FALSE,IF(AH278=0,0,IF(AND('Data Entry'!$C$74=1,CR278&gt;=1),TRUE,IF(AND('Data Entry'!$C$74=2,CS278&gt;=1),TRUE,FALSE))))</f>
        <v>0</v>
      </c>
      <c r="DA278" s="1751">
        <f>IF('Data Entry'!$C$74=0,0,IFERROR(ROUND(IF(T278="","",IF($X$4=0,0,IF(CF278=1,0,IF(BQ278+CV278=0,0,IF(CF278=1,0,IF(CY278&gt;0.01,CY278,IF(CL278&gt;0.01,CL278,IF(CY278&gt;0.01,CY278,IF(BC278=37,BO278,IF(CZ278=FALSE,0,IF(CZ278=TRUE,DC278+DF278,0))))))))))),2),""))</f>
        <v>0</v>
      </c>
      <c r="DB278" s="1752"/>
      <c r="DC278" s="474">
        <f>IF(CN278&lt;0.01,0,IF(AND(BR278=3,CN278&gt;0.01,CT278&gt;0.6,ER278+ES278+ET278&lt;100),0,IF(AND('Data Entry'!$C$74=1,CN278&gt;0.01,CR278&gt;0.99),MIN(CN278:CO278),IF(AND('Data Entry'!$C$74=2,CN278&gt;0.01,CS278&gt;0.99),MIN(CN278:CO278),0))))</f>
        <v>0</v>
      </c>
      <c r="DD278" s="478">
        <f>IF(CF278=1,"Selection does not match",IF(T278=0,0,IF(AND('Data Entry'!$C$74=0,CP278&gt;1),"Select Oregon or Idaho on Data Entry Tab",IF(AND(AU278=1,AA278&gt;0.9),"Missing Interior or Exterior Selection",IF($X$4=0,"Enter Total Project Cost",IF(AQ278&lt;AR278,"Insufficient kWh savings – no incentive",IF(AND(SUM(CL278+CK278+BV278)&gt;0.01,'Data Entry'!$C$74=2,CJ278&gt;1,BO278=0),"Submit Control as Non-Standard",IF(AND('Data Entry'!$C$74=2,BR278=37,CJ278&gt;1,BO278=0),"Submit Control as Non-Standard",IF(SUM(CL278+CK278+BV278)&gt;0.01,"Standard Incentive",IF(AND('Data Entry'!$C$74=2,CP278=7,CN278=0),"Submit as Non-Standard",IF(DC278&gt;0.9,"Non-Standard Incentive",IF(AND(BY278+BZ278+CA278&gt;0.01,BV278=0,EQ278=0,ER278=0,ES278=0,ET278=0),"Scroll Right &amp; Select Control Strategies",IF(AND(CN278&gt;0.01,CO278=0),"Enter Unit Installed Cost",IF(ISNUMBER(SEARCH("Lighting Controls Only",F278)),"Lighting Controls Only",IF(CL278+DC278=0,"Does not meet incentive criteria",0)))))))))))))))</f>
        <v>0</v>
      </c>
      <c r="DE278" s="337">
        <f t="shared" si="366"/>
        <v>0</v>
      </c>
      <c r="DF278" s="609">
        <f t="shared" si="367"/>
        <v>0</v>
      </c>
      <c r="DG278" s="336" t="str">
        <f t="shared" si="368"/>
        <v/>
      </c>
      <c r="DH278" s="338">
        <f t="shared" si="369"/>
        <v>1</v>
      </c>
      <c r="DI278" s="336" t="e">
        <f t="shared" si="324"/>
        <v>#VALUE!</v>
      </c>
      <c r="DJ278" s="338">
        <f t="shared" si="325"/>
        <v>0</v>
      </c>
      <c r="DO278" s="81"/>
      <c r="DP278" s="81"/>
      <c r="DQ278" s="81"/>
      <c r="DR278" s="81"/>
      <c r="DS278" s="1195">
        <f t="shared" si="370"/>
        <v>0</v>
      </c>
      <c r="DT278" s="344" t="b">
        <f t="shared" si="371"/>
        <v>1</v>
      </c>
      <c r="DU278" s="1314" t="str">
        <f t="array" ref="DU278">IF(OR(COUNTIF(F278,"*"&amp;$DK$9:$DK$178&amp;"*")), "Yes", "")</f>
        <v/>
      </c>
      <c r="DV278" s="1314">
        <f t="shared" si="372"/>
        <v>0</v>
      </c>
      <c r="DW278" s="1480">
        <f t="shared" si="373"/>
        <v>0</v>
      </c>
      <c r="DX278" s="1498">
        <f t="shared" si="382"/>
        <v>0</v>
      </c>
      <c r="DY278" s="1484">
        <f t="shared" si="374"/>
        <v>0</v>
      </c>
      <c r="DZ278" s="331"/>
      <c r="EA278" s="392"/>
      <c r="EB278" s="1499" t="s">
        <v>123</v>
      </c>
      <c r="EC278" s="727" t="s">
        <v>1569</v>
      </c>
      <c r="ED278" s="728">
        <v>0.5</v>
      </c>
      <c r="EE278" s="1215"/>
      <c r="EF278" s="1215"/>
      <c r="EG278" s="1184" t="str">
        <f t="shared" si="375"/>
        <v/>
      </c>
      <c r="EJ278" s="1185">
        <f t="shared" si="326"/>
        <v>0</v>
      </c>
      <c r="EK278" s="1211"/>
      <c r="EL278" s="1180">
        <f t="shared" si="327"/>
        <v>0</v>
      </c>
      <c r="EM278" s="206"/>
      <c r="EN278" s="1038"/>
      <c r="EO278" s="1038"/>
      <c r="EP278" s="1038"/>
      <c r="EQ278" s="1038">
        <f t="shared" si="376"/>
        <v>0</v>
      </c>
      <c r="ER278" s="1041">
        <f t="shared" si="377"/>
        <v>0</v>
      </c>
      <c r="ES278" s="1042">
        <f t="shared" si="378"/>
        <v>0</v>
      </c>
      <c r="ET278" s="1042">
        <f t="shared" si="383"/>
        <v>0</v>
      </c>
      <c r="EU278" s="1021">
        <f t="shared" si="384"/>
        <v>0</v>
      </c>
      <c r="EV278" s="368"/>
      <c r="EW278" s="368"/>
      <c r="EX278" s="369"/>
      <c r="EY278" s="370"/>
      <c r="EZ278" s="370"/>
      <c r="FA278" s="371"/>
      <c r="FB278" s="372"/>
    </row>
    <row r="279" spans="1:158" ht="34.5" customHeight="1">
      <c r="A279" s="82">
        <v>271</v>
      </c>
      <c r="B279" s="1806"/>
      <c r="C279" s="1807"/>
      <c r="D279" s="1807"/>
      <c r="E279" s="1808"/>
      <c r="F279" s="1809"/>
      <c r="G279" s="1810"/>
      <c r="H279" s="1810"/>
      <c r="I279" s="1811"/>
      <c r="J279" s="1301"/>
      <c r="K279" s="1814"/>
      <c r="L279" s="1814"/>
      <c r="M279" s="1017"/>
      <c r="N279" s="1584"/>
      <c r="O279" s="208" t="str">
        <f t="shared" si="314"/>
        <v/>
      </c>
      <c r="P279" s="785"/>
      <c r="Q279" s="39" t="str">
        <f t="shared" si="315"/>
        <v/>
      </c>
      <c r="R279" s="39">
        <f t="shared" si="328"/>
        <v>0</v>
      </c>
      <c r="S279" s="234">
        <f t="shared" si="329"/>
        <v>0</v>
      </c>
      <c r="T279" s="1815"/>
      <c r="U279" s="1815"/>
      <c r="V279" s="1815"/>
      <c r="W279" s="1121"/>
      <c r="X279" s="1812"/>
      <c r="Y279" s="1813"/>
      <c r="Z279" s="703"/>
      <c r="AA279" s="1280"/>
      <c r="AB279" s="1141"/>
      <c r="AC279" s="1103" t="str">
        <f>IF(T279="","",VLOOKUP(Z279,Lists!$A$60:$B$111,2,FALSE))</f>
        <v/>
      </c>
      <c r="AD279" s="130" t="str">
        <f t="shared" si="330"/>
        <v/>
      </c>
      <c r="AE279" s="130" t="e">
        <f t="shared" si="331"/>
        <v>#VALUE!</v>
      </c>
      <c r="AF279" s="130">
        <f t="shared" si="332"/>
        <v>1</v>
      </c>
      <c r="AG279" s="234">
        <f t="shared" si="316"/>
        <v>0</v>
      </c>
      <c r="AH279" s="1753" t="str">
        <f>IF(T279="","",(IF(ISNUMBER(SEARCH("exit",T279)),8760,IF(AND(M279="Dusk to Dawn",'Proposed Lighting'!AU279=3),4059,IF(AND(AU279=3,M279="1"),0,IF(AND(AU279=3,M279="1-C"),0,IF(AND(AU279=3,M279="2"),0,IF(AND(AU279=3,M279="2-C"),0,IF(AND(AU279=3,M279="3"),0,IF(AND(AU279=3,M279="3-C"),0,IF(AND(AU279=2,M279="Dusk to Dawn"),0,IF(AND(AU279=2,M279="Dusk to Dawn-C"),0,IF(AND(AU279=2,M279="Dusk to Dawn"),0,IF(AND(AU279=2,M279="E"),0,IF(AND(AU279=2,M279="E-C"),0,EG279)))))))))))))))</f>
        <v/>
      </c>
      <c r="AI279" s="1754"/>
      <c r="AJ279" s="1136"/>
      <c r="AK279" s="1136"/>
      <c r="AL279" s="1748">
        <f t="shared" si="333"/>
        <v>0</v>
      </c>
      <c r="AM279" s="1749"/>
      <c r="AN279" s="1750"/>
      <c r="AO279" s="476">
        <f t="shared" si="317"/>
        <v>0</v>
      </c>
      <c r="AP279" s="476">
        <f t="shared" si="334"/>
        <v>0</v>
      </c>
      <c r="AQ279" s="475">
        <f t="shared" si="318"/>
        <v>0</v>
      </c>
      <c r="AR279" s="475">
        <f t="shared" si="335"/>
        <v>0</v>
      </c>
      <c r="AS279" s="743" t="str">
        <f t="shared" si="310"/>
        <v/>
      </c>
      <c r="AT279" s="736" t="str">
        <f t="shared" si="336"/>
        <v/>
      </c>
      <c r="AU279" s="56">
        <f t="shared" si="337"/>
        <v>1</v>
      </c>
      <c r="AV279" s="476">
        <f t="shared" si="338"/>
        <v>0</v>
      </c>
      <c r="AW279" s="56">
        <f t="shared" si="339"/>
        <v>0</v>
      </c>
      <c r="AX279" s="475">
        <f t="shared" si="319"/>
        <v>0</v>
      </c>
      <c r="AY279" s="1169">
        <f t="shared" si="340"/>
        <v>0</v>
      </c>
      <c r="AZ279" s="1150">
        <f t="shared" si="379"/>
        <v>0</v>
      </c>
      <c r="BA279" s="56">
        <f t="shared" si="320"/>
        <v>0</v>
      </c>
      <c r="BB279" s="420">
        <f t="shared" si="321"/>
        <v>0</v>
      </c>
      <c r="BC279" s="58" t="str">
        <f t="shared" si="322"/>
        <v/>
      </c>
      <c r="BD279" s="660">
        <f t="shared" si="380"/>
        <v>0</v>
      </c>
      <c r="BE279" s="57" t="e">
        <f t="array" ref="BE279">INDEX($EB$11:$ED$1022,MATCH(F279&amp;T279,$EB$11:$EB$1007&amp;$EC$11:$EC$1007,0),3)</f>
        <v>#N/A</v>
      </c>
      <c r="BF279" s="463">
        <f t="shared" si="311"/>
        <v>0</v>
      </c>
      <c r="BG279" s="1445" t="e">
        <f t="array" ref="BG279">INDEX($DO$112:$DQ$123,MATCH(T279&amp;W279,$DO$114:$DO$125&amp;$DP$112:$DP$123,0),3)</f>
        <v>#N/A</v>
      </c>
      <c r="BH279" s="1446">
        <f t="shared" si="341"/>
        <v>0</v>
      </c>
      <c r="BI279" s="465">
        <f t="shared" si="342"/>
        <v>0</v>
      </c>
      <c r="BJ279" s="465">
        <f t="shared" si="343"/>
        <v>0</v>
      </c>
      <c r="BK279" s="466">
        <f t="shared" si="312"/>
        <v>0</v>
      </c>
      <c r="BL279" s="466">
        <f t="shared" si="313"/>
        <v>0</v>
      </c>
      <c r="BM279" s="466">
        <f t="shared" si="344"/>
        <v>0</v>
      </c>
      <c r="BN279" s="466">
        <f t="shared" si="345"/>
        <v>0</v>
      </c>
      <c r="BO279" s="463">
        <f>IF('Data Entry'!$C$74=0,0,IF(ISNA(CJ279),0,IF(AX279=0,0,IF(AND('Data Entry'!$C$74=2,AF279&gt;2,CE279&lt;1),0,IF(AND('Data Entry'!$C$74=2,AF279&gt;1,AU279=2,CJ279&gt;1),0,IF(AND(AF279=5,CT279=0.5,AU279=2,ER279&lt;100),0,IF(AND(AF279=5,CT279=0.5,AU279=3,ER279&lt;100),0,IF(AND('Data Entry'!$C$74=2,AF279=2,AU279=2,AK279&gt;0.01,CB279=2,CE279&lt;1),0,IF(AND('Data Entry'!$C$74=2,AF279=3,AU279=3,AK279&gt;0.01,CB279=3,CE279&lt;1),0,IF(AND('Data Entry'!$C$74=2,AF279=3,AU279=3,AK279&gt;0.01,CB279=3,CE279&gt;0.99),BQ279*0.08,IF(AND('Data Entry'!$C$74=2,AF279=2,AU279=2,AK279&gt;0.01,CB279=2,CE279&gt;0.99),BQ279*0.1,IF(AND(AU279=2,AK279&gt;0.01,CB279=2,CD279&gt;1),BQ279*0.1,IF(AND(AU279=3,AK279&gt;0.01,CB279=3,CD279&gt;1),BQ279*0.08,CJ279*EF279)))))))))))))</f>
        <v>0</v>
      </c>
      <c r="BP279" s="475">
        <f t="shared" si="346"/>
        <v>0</v>
      </c>
      <c r="BQ279" s="1431">
        <f>IF(AU279=1,0,IF(CH279=100,0,IF(AND(AF279=3,AU279=2),0,IF(AND(BH279=0,CT279&gt;0.4),0,IF(AND('Data Entry'!$C$74=2,AF279=1.5),0,IF(AND('Data Entry'!$C$74=2,AF279=1.6),0,IF(AND('Data Entry'!$C$74=2,AF279=4),0,IF(AND('Data Entry'!$C$74=2,AF279=5),0,IF(AND('Data Entry'!$C$74=2,AF279=2.5,CE279&lt;1),0,IF(AND('Data Entry'!$C$74=2,AF279=3,CE279&lt;1),0,IF(AND('Data Entry'!$C$74=1,AF279=2.5,CD279&lt;1),0,IF(AND('Data Entry'!$C$74=1,AF279=3,CD279&lt;1),0,IF(DX279&gt;0.01,DX279,IF(ISERROR(AX279-AY279),"",ROUND(AX279-AY279,2)))))))))))))))</f>
        <v>0</v>
      </c>
      <c r="BR279" s="146">
        <f t="shared" si="347"/>
        <v>0</v>
      </c>
      <c r="BS279" s="475">
        <f t="shared" si="348"/>
        <v>0</v>
      </c>
      <c r="BT279" s="146" t="b">
        <f t="shared" si="349"/>
        <v>0</v>
      </c>
      <c r="BU279" s="463">
        <f>IF(ISNA(AT279),0,IF(AND('Data Entry'!$C$74=2,BC279=27),0,IF(AND('Data Entry'!$C$74=2,BC279=28),0,IF(AND(BC279=27,BT279=27,CM279&gt;0.1),CM279*0.15,IF(AND(BC279=28,BT279=28,CM279&gt;0.1),CM279*0.12,0)))))</f>
        <v>0</v>
      </c>
      <c r="BV279" s="463">
        <f t="shared" si="309"/>
        <v>0</v>
      </c>
      <c r="BW279" s="463">
        <f t="shared" si="350"/>
        <v>0</v>
      </c>
      <c r="BX279" s="463">
        <f t="shared" si="351"/>
        <v>0</v>
      </c>
      <c r="BY279" s="463">
        <f t="shared" si="352"/>
        <v>0</v>
      </c>
      <c r="BZ279" s="463">
        <f t="shared" si="353"/>
        <v>0</v>
      </c>
      <c r="CA279" s="57">
        <f t="shared" si="381"/>
        <v>0</v>
      </c>
      <c r="CB279" s="56">
        <f t="shared" si="354"/>
        <v>1</v>
      </c>
      <c r="CC279" s="756">
        <f>IF(EE279=0,0,IF(EF279=0,0,IF(EE279&gt;AA279,0,IF(AND(AZ279&gt;AW279,AW279&gt;0),0,IF(CU279=0,0,Summary!AC582)))))</f>
        <v>0</v>
      </c>
      <c r="CD279" s="756">
        <f>IF(EE279=0,0,IF(EF279=0,0,IF(EE279&gt;AA279,0,IF(AND(AZ279&gt;AW279,AW279&gt;0),0,IF(CU279=0,0,Summary!AD582)))))</f>
        <v>0</v>
      </c>
      <c r="CE279" s="756">
        <f>IF(EF279=0,0,IF(EE279&gt;AA279,0,IF(CC279=0,0,IF(AND(AZ279&gt;AW279,AW279&gt;0),0,IF(CU279=0,0,Summary!AE582)))))</f>
        <v>0</v>
      </c>
      <c r="CF279" s="475">
        <f t="shared" si="355"/>
        <v>0</v>
      </c>
      <c r="CG279" s="476">
        <f t="shared" si="323"/>
        <v>0</v>
      </c>
      <c r="CH279" s="487">
        <f t="shared" si="356"/>
        <v>0</v>
      </c>
      <c r="CI279" s="756">
        <f t="shared" si="357"/>
        <v>0</v>
      </c>
      <c r="CJ279" s="487">
        <f>IF(CT279&gt;0.4,0,IF(AND(AU279=2,CH279=0,CT279=0.5,ER279=100),35,IF(AND(AU279=3,BB279&gt;75,CH279=0,CT279=0.5,ER279=100),25,IF(CB279&gt;1,0,IF(EF279&gt;EE279,0,IF(AND(AF279&gt;1,CH279=100),0,IF(AND(AF279=1,AY279=0),0,IF(AND(EF279&lt;=EE279,AW279&gt;=AZ279,'Data Entry'!$C$74=1,AU279=2),VLOOKUP(W279,$DO$96:$DP$102,2,FALSE),IF(AND(EF279&lt;=EE279,AW279&gt;=AZ279,AU279=3,'Data Entry'!$C$74=1),VLOOKUP(W279,$DO$127:$DP$134,2,FALSE))))))))))</f>
        <v>0</v>
      </c>
      <c r="CK279" s="716">
        <f t="shared" si="358"/>
        <v>0</v>
      </c>
      <c r="CL279" s="57">
        <f t="shared" si="359"/>
        <v>0</v>
      </c>
      <c r="CM279" s="475">
        <f t="shared" si="385"/>
        <v>0</v>
      </c>
      <c r="CN279" s="660">
        <f>IF(CM279&lt;0.1,0,IF(ISNA(AT279),0,IF(CL279+BC279=1,0,IF(BV279&gt;0.01,0,IF(CL279&gt;0.01,0,IF(CF279=1,0,IF(BC279=0.5,0,IF(AND(CI279=1,AU279=3),0,IF(AND(CI279=5,CL279=0),0,IF(AND(R279=12,BR279=50),0,IF(CK279&gt;0.01,0,IF(AND(AJ279&gt;0.01,AU279=2,BC279=15),CM279*0.1,IF(AND(AJ279&gt;0.01,AU279=3,BC279=15),CM279*0.08,IF(AND(R279=12,BC279=3,AF279&lt;=0),0,IF(AND(BC279=15,BI279=0),0,IF(AND(BC279=15,BJ279=0),0,IF(AND(R279=20,CU279=0),0,IF($X$4=0,0,IF(AND(BC279=250,CL279=0),0,IF(AA279&lt;1,0,IF(AND(ISNUMBER(SEARCH("Area",T279)),AU279=3),0,IF(AND(AQ279&gt;0.01,AR279=0,BK279=0,BL279=0,BM279=0,BN279=0),0,IF(AND(AU279=3,CI279=7,CT279&gt;0.5),0,IF(AND(BC279=44,AU279=3,BY279=0),0,IF(AND(BC279=27,'Data Entry'!$C$74=2),0,IF(AND(BC279=28,'Data Entry'!$C$74=2),0,IF(AND(BY279+BZ279+CA279&gt;0.01,BV279=0,EQ279+ER279+ES279+ET279&lt;100),0,IF(AU279=3,CM279*0.08,IF(AU279=2,CM279*0.1,0)))))))))))))))))))))))))))))</f>
        <v>0</v>
      </c>
      <c r="CO279" s="660">
        <f t="shared" si="360"/>
        <v>0</v>
      </c>
      <c r="CP279" s="475" t="str">
        <f t="shared" si="361"/>
        <v/>
      </c>
      <c r="CQ279" s="161" t="str">
        <f>IF(AH279=0,0,IF(AU279=5,0,Summary!AC282))</f>
        <v/>
      </c>
      <c r="CR279" s="161" t="str">
        <f>IF(BF279=0.5,0,IF(AU279=5,0,Summary!AD282))</f>
        <v/>
      </c>
      <c r="CS279" s="161" t="str">
        <f>IF(AU279=5,0,Summary!AE282)</f>
        <v/>
      </c>
      <c r="CT279" s="161">
        <f t="shared" si="362"/>
        <v>0</v>
      </c>
      <c r="CU279" s="475" t="str">
        <f t="shared" si="363"/>
        <v/>
      </c>
      <c r="CV279" s="307">
        <f>IF('Data Entry'!$C$74=0,0,IF(AA279&lt;1,0,IF(ISERROR(CU279),0,IF(CF279=1,0,IF(AND(R279=12,BR279=50),0,IF(CL279+BO279+BV279+DC279=0,0,IF(BC279=37,0,IF(AND(BC279=40,AJ279=0),0,IF(AND(BC279=37,BO279&gt;0.01,BQ279&gt;0.01),ROUND(BQ279,0),IF(CM279&lt;0,0,ROUND(CM279,0)))))))))))</f>
        <v>0</v>
      </c>
      <c r="CW279" s="700">
        <f t="shared" si="364"/>
        <v>0</v>
      </c>
      <c r="CX279" s="477">
        <f>IF('Data Entry'!$C$74=0,0,IF(CV279&lt;0.01,0,IF(BF279=0.5,0,IF(CF279=1,0,IF(ISNUMBER(SEARCH("false",CL279)),0,IF(AZ279=500,0,CL279))))))</f>
        <v>0</v>
      </c>
      <c r="CY279" s="147" t="e">
        <f t="shared" si="365"/>
        <v>#VALUE!</v>
      </c>
      <c r="CZ279" s="147" t="b">
        <f>IF(CN279+CL279=0,FALSE,IF(AH279=0,0,IF(AND('Data Entry'!$C$74=1,CR279&gt;=1),TRUE,IF(AND('Data Entry'!$C$74=2,CS279&gt;=1),TRUE,FALSE))))</f>
        <v>0</v>
      </c>
      <c r="DA279" s="1751">
        <f>IF('Data Entry'!$C$74=0,0,IFERROR(ROUND(IF(T279="","",IF($X$4=0,0,IF(CF279=1,0,IF(BQ279+CV279=0,0,IF(CF279=1,0,IF(CY279&gt;0.01,CY279,IF(CL279&gt;0.01,CL279,IF(CY279&gt;0.01,CY279,IF(BC279=37,BO279,IF(CZ279=FALSE,0,IF(CZ279=TRUE,DC279+DF279,0))))))))))),2),""))</f>
        <v>0</v>
      </c>
      <c r="DB279" s="1752"/>
      <c r="DC279" s="474">
        <f>IF(CN279&lt;0.01,0,IF(AND(BR279=3,CN279&gt;0.01,CT279&gt;0.6,ER279+ES279+ET279&lt;100),0,IF(AND('Data Entry'!$C$74=1,CN279&gt;0.01,CR279&gt;0.99),MIN(CN279:CO279),IF(AND('Data Entry'!$C$74=2,CN279&gt;0.01,CS279&gt;0.99),MIN(CN279:CO279),0))))</f>
        <v>0</v>
      </c>
      <c r="DD279" s="478">
        <f>IF(CF279=1,"Selection does not match",IF(T279=0,0,IF(AND('Data Entry'!$C$74=0,CP279&gt;1),"Select Oregon or Idaho on Data Entry Tab",IF(AND(AU279=1,AA279&gt;0.9),"Missing Interior or Exterior Selection",IF($X$4=0,"Enter Total Project Cost",IF(AQ279&lt;AR279,"Insufficient kWh savings – no incentive",IF(AND(SUM(CL279+CK279+BV279)&gt;0.01,'Data Entry'!$C$74=2,CJ279&gt;1,BO279=0),"Submit Control as Non-Standard",IF(AND('Data Entry'!$C$74=2,BR279=37,CJ279&gt;1,BO279=0),"Submit Control as Non-Standard",IF(SUM(CL279+CK279+BV279)&gt;0.01,"Standard Incentive",IF(AND('Data Entry'!$C$74=2,CP279=7,CN279=0),"Submit as Non-Standard",IF(DC279&gt;0.9,"Non-Standard Incentive",IF(AND(BY279+BZ279+CA279&gt;0.01,BV279=0,EQ279=0,ER279=0,ES279=0,ET279=0),"Scroll Right &amp; Select Control Strategies",IF(AND(CN279&gt;0.01,CO279=0),"Enter Unit Installed Cost",IF(ISNUMBER(SEARCH("Lighting Controls Only",F279)),"Lighting Controls Only",IF(CL279+DC279=0,"Does not meet incentive criteria",0)))))))))))))))</f>
        <v>0</v>
      </c>
      <c r="DE279" s="337">
        <f t="shared" si="366"/>
        <v>0</v>
      </c>
      <c r="DF279" s="609">
        <f t="shared" si="367"/>
        <v>0</v>
      </c>
      <c r="DG279" s="336" t="str">
        <f t="shared" si="368"/>
        <v/>
      </c>
      <c r="DH279" s="338">
        <f t="shared" si="369"/>
        <v>1</v>
      </c>
      <c r="DI279" s="336" t="e">
        <f t="shared" si="324"/>
        <v>#VALUE!</v>
      </c>
      <c r="DJ279" s="338">
        <f t="shared" si="325"/>
        <v>0</v>
      </c>
      <c r="DO279" s="81"/>
      <c r="DP279" s="81"/>
      <c r="DQ279" s="81"/>
      <c r="DR279" s="81"/>
      <c r="DS279" s="1195">
        <f t="shared" si="370"/>
        <v>0</v>
      </c>
      <c r="DT279" s="344" t="b">
        <f t="shared" si="371"/>
        <v>1</v>
      </c>
      <c r="DU279" s="1314" t="str">
        <f t="array" ref="DU279">IF(OR(COUNTIF(F279,"*"&amp;$DK$9:$DK$178&amp;"*")), "Yes", "")</f>
        <v/>
      </c>
      <c r="DV279" s="1314">
        <f t="shared" si="372"/>
        <v>0</v>
      </c>
      <c r="DW279" s="1480">
        <f t="shared" si="373"/>
        <v>0</v>
      </c>
      <c r="DX279" s="1498">
        <f t="shared" si="382"/>
        <v>0</v>
      </c>
      <c r="DY279" s="1484">
        <f t="shared" si="374"/>
        <v>0</v>
      </c>
      <c r="DZ279" s="331"/>
      <c r="EA279" s="392"/>
      <c r="EB279" s="1499" t="s">
        <v>124</v>
      </c>
      <c r="EC279" s="727" t="s">
        <v>1569</v>
      </c>
      <c r="ED279" s="728">
        <v>0.5</v>
      </c>
      <c r="EE279" s="1215"/>
      <c r="EF279" s="1215"/>
      <c r="EG279" s="1184" t="str">
        <f t="shared" si="375"/>
        <v/>
      </c>
      <c r="EJ279" s="1185">
        <f t="shared" si="326"/>
        <v>0</v>
      </c>
      <c r="EK279" s="1211"/>
      <c r="EL279" s="1180">
        <f t="shared" si="327"/>
        <v>0</v>
      </c>
      <c r="EM279" s="206"/>
      <c r="EN279" s="1038"/>
      <c r="EO279" s="1038"/>
      <c r="EP279" s="1038"/>
      <c r="EQ279" s="1038">
        <f t="shared" si="376"/>
        <v>0</v>
      </c>
      <c r="ER279" s="1041">
        <f t="shared" si="377"/>
        <v>0</v>
      </c>
      <c r="ES279" s="1042">
        <f t="shared" si="378"/>
        <v>0</v>
      </c>
      <c r="ET279" s="1042">
        <f t="shared" si="383"/>
        <v>0</v>
      </c>
      <c r="EU279" s="1021">
        <f t="shared" si="384"/>
        <v>0</v>
      </c>
      <c r="EV279" s="368"/>
      <c r="EW279" s="368"/>
      <c r="EX279" s="369"/>
      <c r="EY279" s="370"/>
      <c r="EZ279" s="370"/>
      <c r="FA279" s="371"/>
      <c r="FB279" s="372"/>
    </row>
    <row r="280" spans="1:158" ht="34.5" customHeight="1">
      <c r="A280" s="82">
        <v>272</v>
      </c>
      <c r="B280" s="1806"/>
      <c r="C280" s="1807"/>
      <c r="D280" s="1807"/>
      <c r="E280" s="1808"/>
      <c r="F280" s="1809"/>
      <c r="G280" s="1810"/>
      <c r="H280" s="1810"/>
      <c r="I280" s="1811"/>
      <c r="J280" s="1301"/>
      <c r="K280" s="1814"/>
      <c r="L280" s="1814"/>
      <c r="M280" s="1017"/>
      <c r="N280" s="1584"/>
      <c r="O280" s="208" t="str">
        <f t="shared" si="314"/>
        <v/>
      </c>
      <c r="P280" s="785"/>
      <c r="Q280" s="39" t="str">
        <f t="shared" si="315"/>
        <v/>
      </c>
      <c r="R280" s="39">
        <f t="shared" si="328"/>
        <v>0</v>
      </c>
      <c r="S280" s="234">
        <f t="shared" si="329"/>
        <v>0</v>
      </c>
      <c r="T280" s="1815"/>
      <c r="U280" s="1815"/>
      <c r="V280" s="1815"/>
      <c r="W280" s="1121"/>
      <c r="X280" s="1812"/>
      <c r="Y280" s="1813"/>
      <c r="Z280" s="703"/>
      <c r="AA280" s="1280"/>
      <c r="AB280" s="1141"/>
      <c r="AC280" s="1103" t="str">
        <f>IF(T280="","",VLOOKUP(Z280,Lists!$A$60:$B$111,2,FALSE))</f>
        <v/>
      </c>
      <c r="AD280" s="130" t="str">
        <f t="shared" si="330"/>
        <v/>
      </c>
      <c r="AE280" s="130" t="e">
        <f t="shared" si="331"/>
        <v>#VALUE!</v>
      </c>
      <c r="AF280" s="130">
        <f t="shared" si="332"/>
        <v>1</v>
      </c>
      <c r="AG280" s="234">
        <f t="shared" si="316"/>
        <v>0</v>
      </c>
      <c r="AH280" s="1753" t="str">
        <f>IF(T280="","",(IF(ISNUMBER(SEARCH("exit",T280)),8760,IF(AND(M280="Dusk to Dawn",'Proposed Lighting'!AU280=3),4059,IF(AND(AU280=3,M280="1"),0,IF(AND(AU280=3,M280="1-C"),0,IF(AND(AU280=3,M280="2"),0,IF(AND(AU280=3,M280="2-C"),0,IF(AND(AU280=3,M280="3"),0,IF(AND(AU280=3,M280="3-C"),0,IF(AND(AU280=2,M280="Dusk to Dawn"),0,IF(AND(AU280=2,M280="Dusk to Dawn-C"),0,IF(AND(AU280=2,M280="Dusk to Dawn"),0,IF(AND(AU280=2,M280="E"),0,IF(AND(AU280=2,M280="E-C"),0,EG280)))))))))))))))</f>
        <v/>
      </c>
      <c r="AI280" s="1754"/>
      <c r="AJ280" s="1136"/>
      <c r="AK280" s="1136"/>
      <c r="AL280" s="1748">
        <f t="shared" si="333"/>
        <v>0</v>
      </c>
      <c r="AM280" s="1749"/>
      <c r="AN280" s="1750"/>
      <c r="AO280" s="476">
        <f t="shared" si="317"/>
        <v>0</v>
      </c>
      <c r="AP280" s="476">
        <f t="shared" si="334"/>
        <v>0</v>
      </c>
      <c r="AQ280" s="475">
        <f t="shared" si="318"/>
        <v>0</v>
      </c>
      <c r="AR280" s="475">
        <f t="shared" si="335"/>
        <v>0</v>
      </c>
      <c r="AS280" s="743" t="str">
        <f t="shared" si="310"/>
        <v/>
      </c>
      <c r="AT280" s="736" t="str">
        <f t="shared" si="336"/>
        <v/>
      </c>
      <c r="AU280" s="56">
        <f t="shared" si="337"/>
        <v>1</v>
      </c>
      <c r="AV280" s="476">
        <f t="shared" si="338"/>
        <v>0</v>
      </c>
      <c r="AW280" s="56">
        <f t="shared" si="339"/>
        <v>0</v>
      </c>
      <c r="AX280" s="475">
        <f t="shared" si="319"/>
        <v>0</v>
      </c>
      <c r="AY280" s="1169">
        <f t="shared" si="340"/>
        <v>0</v>
      </c>
      <c r="AZ280" s="1150">
        <f t="shared" si="379"/>
        <v>0</v>
      </c>
      <c r="BA280" s="56">
        <f t="shared" si="320"/>
        <v>0</v>
      </c>
      <c r="BB280" s="420">
        <f t="shared" si="321"/>
        <v>0</v>
      </c>
      <c r="BC280" s="58" t="str">
        <f t="shared" si="322"/>
        <v/>
      </c>
      <c r="BD280" s="660">
        <f t="shared" si="380"/>
        <v>0</v>
      </c>
      <c r="BE280" s="57" t="e">
        <f t="array" ref="BE280">INDEX($EB$11:$ED$1022,MATCH(F280&amp;T280,$EB$11:$EB$1007&amp;$EC$11:$EC$1007,0),3)</f>
        <v>#N/A</v>
      </c>
      <c r="BF280" s="463">
        <f t="shared" si="311"/>
        <v>0</v>
      </c>
      <c r="BG280" s="1445" t="e">
        <f t="array" ref="BG280">INDEX($DO$112:$DQ$123,MATCH(T280&amp;W280,$DO$114:$DO$125&amp;$DP$112:$DP$123,0),3)</f>
        <v>#N/A</v>
      </c>
      <c r="BH280" s="1446">
        <f t="shared" si="341"/>
        <v>0</v>
      </c>
      <c r="BI280" s="465">
        <f t="shared" si="342"/>
        <v>0</v>
      </c>
      <c r="BJ280" s="465">
        <f t="shared" si="343"/>
        <v>0</v>
      </c>
      <c r="BK280" s="466">
        <f t="shared" si="312"/>
        <v>0</v>
      </c>
      <c r="BL280" s="466">
        <f t="shared" si="313"/>
        <v>0</v>
      </c>
      <c r="BM280" s="466">
        <f t="shared" si="344"/>
        <v>0</v>
      </c>
      <c r="BN280" s="466">
        <f t="shared" si="345"/>
        <v>0</v>
      </c>
      <c r="BO280" s="463">
        <f>IF('Data Entry'!$C$74=0,0,IF(ISNA(CJ280),0,IF(AX280=0,0,IF(AND('Data Entry'!$C$74=2,AF280&gt;2,CE280&lt;1),0,IF(AND('Data Entry'!$C$74=2,AF280&gt;1,AU280=2,CJ280&gt;1),0,IF(AND(AF280=5,CT280=0.5,AU280=2,ER280&lt;100),0,IF(AND(AF280=5,CT280=0.5,AU280=3,ER280&lt;100),0,IF(AND('Data Entry'!$C$74=2,AF280=2,AU280=2,AK280&gt;0.01,CB280=2,CE280&lt;1),0,IF(AND('Data Entry'!$C$74=2,AF280=3,AU280=3,AK280&gt;0.01,CB280=3,CE280&lt;1),0,IF(AND('Data Entry'!$C$74=2,AF280=3,AU280=3,AK280&gt;0.01,CB280=3,CE280&gt;0.99),BQ280*0.08,IF(AND('Data Entry'!$C$74=2,AF280=2,AU280=2,AK280&gt;0.01,CB280=2,CE280&gt;0.99),BQ280*0.1,IF(AND(AU280=2,AK280&gt;0.01,CB280=2,CD280&gt;1),BQ280*0.1,IF(AND(AU280=3,AK280&gt;0.01,CB280=3,CD280&gt;1),BQ280*0.08,CJ280*EF280)))))))))))))</f>
        <v>0</v>
      </c>
      <c r="BP280" s="475">
        <f t="shared" si="346"/>
        <v>0</v>
      </c>
      <c r="BQ280" s="1431">
        <f>IF(AU280=1,0,IF(CH280=100,0,IF(AND(AF280=3,AU280=2),0,IF(AND(BH280=0,CT280&gt;0.4),0,IF(AND('Data Entry'!$C$74=2,AF280=1.5),0,IF(AND('Data Entry'!$C$74=2,AF280=1.6),0,IF(AND('Data Entry'!$C$74=2,AF280=4),0,IF(AND('Data Entry'!$C$74=2,AF280=5),0,IF(AND('Data Entry'!$C$74=2,AF280=2.5,CE280&lt;1),0,IF(AND('Data Entry'!$C$74=2,AF280=3,CE280&lt;1),0,IF(AND('Data Entry'!$C$74=1,AF280=2.5,CD280&lt;1),0,IF(AND('Data Entry'!$C$74=1,AF280=3,CD280&lt;1),0,IF(DX280&gt;0.01,DX280,IF(ISERROR(AX280-AY280),"",ROUND(AX280-AY280,2)))))))))))))))</f>
        <v>0</v>
      </c>
      <c r="BR280" s="146">
        <f t="shared" si="347"/>
        <v>0</v>
      </c>
      <c r="BS280" s="475">
        <f t="shared" si="348"/>
        <v>0</v>
      </c>
      <c r="BT280" s="146" t="b">
        <f t="shared" si="349"/>
        <v>0</v>
      </c>
      <c r="BU280" s="463">
        <f>IF(ISNA(AT280),0,IF(AND('Data Entry'!$C$74=2,BC280=27),0,IF(AND('Data Entry'!$C$74=2,BC280=28),0,IF(AND(BC280=27,BT280=27,CM280&gt;0.1),CM280*0.15,IF(AND(BC280=28,BT280=28,CM280&gt;0.1),CM280*0.12,0)))))</f>
        <v>0</v>
      </c>
      <c r="BV280" s="463">
        <f t="shared" si="309"/>
        <v>0</v>
      </c>
      <c r="BW280" s="463">
        <f t="shared" si="350"/>
        <v>0</v>
      </c>
      <c r="BX280" s="463">
        <f t="shared" si="351"/>
        <v>0</v>
      </c>
      <c r="BY280" s="463">
        <f t="shared" si="352"/>
        <v>0</v>
      </c>
      <c r="BZ280" s="463">
        <f t="shared" si="353"/>
        <v>0</v>
      </c>
      <c r="CA280" s="57">
        <f t="shared" si="381"/>
        <v>0</v>
      </c>
      <c r="CB280" s="56">
        <f t="shared" si="354"/>
        <v>1</v>
      </c>
      <c r="CC280" s="756">
        <f>IF(EE280=0,0,IF(EF280=0,0,IF(EE280&gt;AA280,0,IF(AND(AZ280&gt;AW280,AW280&gt;0),0,IF(CU280=0,0,Summary!AC583)))))</f>
        <v>0</v>
      </c>
      <c r="CD280" s="756">
        <f>IF(EE280=0,0,IF(EF280=0,0,IF(EE280&gt;AA280,0,IF(AND(AZ280&gt;AW280,AW280&gt;0),0,IF(CU280=0,0,Summary!AD583)))))</f>
        <v>0</v>
      </c>
      <c r="CE280" s="756">
        <f>IF(EF280=0,0,IF(EE280&gt;AA280,0,IF(CC280=0,0,IF(AND(AZ280&gt;AW280,AW280&gt;0),0,IF(CU280=0,0,Summary!AE583)))))</f>
        <v>0</v>
      </c>
      <c r="CF280" s="475">
        <f t="shared" si="355"/>
        <v>0</v>
      </c>
      <c r="CG280" s="476">
        <f t="shared" si="323"/>
        <v>0</v>
      </c>
      <c r="CH280" s="487">
        <f t="shared" si="356"/>
        <v>0</v>
      </c>
      <c r="CI280" s="756">
        <f t="shared" si="357"/>
        <v>0</v>
      </c>
      <c r="CJ280" s="487">
        <f>IF(CT280&gt;0.4,0,IF(AND(AU280=2,CH280=0,CT280=0.5,ER280=100),35,IF(AND(AU280=3,BB280&gt;75,CH280=0,CT280=0.5,ER280=100),25,IF(CB280&gt;1,0,IF(EF280&gt;EE280,0,IF(AND(AF280&gt;1,CH280=100),0,IF(AND(AF280=1,AY280=0),0,IF(AND(EF280&lt;=EE280,AW280&gt;=AZ280,'Data Entry'!$C$74=1,AU280=2),VLOOKUP(W280,$DO$96:$DP$102,2,FALSE),IF(AND(EF280&lt;=EE280,AW280&gt;=AZ280,AU280=3,'Data Entry'!$C$74=1),VLOOKUP(W280,$DO$127:$DP$134,2,FALSE))))))))))</f>
        <v>0</v>
      </c>
      <c r="CK280" s="716">
        <f t="shared" si="358"/>
        <v>0</v>
      </c>
      <c r="CL280" s="57">
        <f t="shared" si="359"/>
        <v>0</v>
      </c>
      <c r="CM280" s="475">
        <f t="shared" si="385"/>
        <v>0</v>
      </c>
      <c r="CN280" s="660">
        <f>IF(CM280&lt;0.1,0,IF(ISNA(AT280),0,IF(CL280+BC280=1,0,IF(BV280&gt;0.01,0,IF(CL280&gt;0.01,0,IF(CF280=1,0,IF(BC280=0.5,0,IF(AND(CI280=1,AU280=3),0,IF(AND(CI280=5,CL280=0),0,IF(AND(R280=12,BR280=50),0,IF(CK280&gt;0.01,0,IF(AND(AJ280&gt;0.01,AU280=2,BC280=15),CM280*0.1,IF(AND(AJ280&gt;0.01,AU280=3,BC280=15),CM280*0.08,IF(AND(R280=12,BC280=3,AF280&lt;=0),0,IF(AND(BC280=15,BI280=0),0,IF(AND(BC280=15,BJ280=0),0,IF(AND(R280=20,CU280=0),0,IF($X$4=0,0,IF(AND(BC280=250,CL280=0),0,IF(AA280&lt;1,0,IF(AND(ISNUMBER(SEARCH("Area",T280)),AU280=3),0,IF(AND(AQ280&gt;0.01,AR280=0,BK280=0,BL280=0,BM280=0,BN280=0),0,IF(AND(AU280=3,CI280=7,CT280&gt;0.5),0,IF(AND(BC280=44,AU280=3,BY280=0),0,IF(AND(BC280=27,'Data Entry'!$C$74=2),0,IF(AND(BC280=28,'Data Entry'!$C$74=2),0,IF(AND(BY280+BZ280+CA280&gt;0.01,BV280=0,EQ280+ER280+ES280+ET280&lt;100),0,IF(AU280=3,CM280*0.08,IF(AU280=2,CM280*0.1,0)))))))))))))))))))))))))))))</f>
        <v>0</v>
      </c>
      <c r="CO280" s="660">
        <f t="shared" si="360"/>
        <v>0</v>
      </c>
      <c r="CP280" s="475" t="str">
        <f t="shared" si="361"/>
        <v/>
      </c>
      <c r="CQ280" s="161" t="str">
        <f>IF(AH280=0,0,IF(AU280=5,0,Summary!AC283))</f>
        <v/>
      </c>
      <c r="CR280" s="161" t="str">
        <f>IF(BF280=0.5,0,IF(AU280=5,0,Summary!AD283))</f>
        <v/>
      </c>
      <c r="CS280" s="161" t="str">
        <f>IF(AU280=5,0,Summary!AE283)</f>
        <v/>
      </c>
      <c r="CT280" s="161">
        <f t="shared" si="362"/>
        <v>0</v>
      </c>
      <c r="CU280" s="475" t="str">
        <f t="shared" si="363"/>
        <v/>
      </c>
      <c r="CV280" s="307">
        <f>IF('Data Entry'!$C$74=0,0,IF(AA280&lt;1,0,IF(ISERROR(CU280),0,IF(CF280=1,0,IF(AND(R280=12,BR280=50),0,IF(CL280+BO280+BV280+DC280=0,0,IF(BC280=37,0,IF(AND(BC280=40,AJ280=0),0,IF(AND(BC280=37,BO280&gt;0.01,BQ280&gt;0.01),ROUND(BQ280,0),IF(CM280&lt;0,0,ROUND(CM280,0)))))))))))</f>
        <v>0</v>
      </c>
      <c r="CW280" s="700">
        <f t="shared" si="364"/>
        <v>0</v>
      </c>
      <c r="CX280" s="477">
        <f>IF('Data Entry'!$C$74=0,0,IF(CV280&lt;0.01,0,IF(BF280=0.5,0,IF(CF280=1,0,IF(ISNUMBER(SEARCH("false",CL280)),0,IF(AZ280=500,0,CL280))))))</f>
        <v>0</v>
      </c>
      <c r="CY280" s="147" t="e">
        <f t="shared" si="365"/>
        <v>#VALUE!</v>
      </c>
      <c r="CZ280" s="147" t="b">
        <f>IF(CN280+CL280=0,FALSE,IF(AH280=0,0,IF(AND('Data Entry'!$C$74=1,CR280&gt;=1),TRUE,IF(AND('Data Entry'!$C$74=2,CS280&gt;=1),TRUE,FALSE))))</f>
        <v>0</v>
      </c>
      <c r="DA280" s="1751">
        <f>IF('Data Entry'!$C$74=0,0,IFERROR(ROUND(IF(T280="","",IF($X$4=0,0,IF(CF280=1,0,IF(BQ280+CV280=0,0,IF(CF280=1,0,IF(CY280&gt;0.01,CY280,IF(CL280&gt;0.01,CL280,IF(CY280&gt;0.01,CY280,IF(BC280=37,BO280,IF(CZ280=FALSE,0,IF(CZ280=TRUE,DC280+DF280,0))))))))))),2),""))</f>
        <v>0</v>
      </c>
      <c r="DB280" s="1752"/>
      <c r="DC280" s="474">
        <f>IF(CN280&lt;0.01,0,IF(AND(BR280=3,CN280&gt;0.01,CT280&gt;0.6,ER280+ES280+ET280&lt;100),0,IF(AND('Data Entry'!$C$74=1,CN280&gt;0.01,CR280&gt;0.99),MIN(CN280:CO280),IF(AND('Data Entry'!$C$74=2,CN280&gt;0.01,CS280&gt;0.99),MIN(CN280:CO280),0))))</f>
        <v>0</v>
      </c>
      <c r="DD280" s="478">
        <f>IF(CF280=1,"Selection does not match",IF(T280=0,0,IF(AND('Data Entry'!$C$74=0,CP280&gt;1),"Select Oregon or Idaho on Data Entry Tab",IF(AND(AU280=1,AA280&gt;0.9),"Missing Interior or Exterior Selection",IF($X$4=0,"Enter Total Project Cost",IF(AQ280&lt;AR280,"Insufficient kWh savings – no incentive",IF(AND(SUM(CL280+CK280+BV280)&gt;0.01,'Data Entry'!$C$74=2,CJ280&gt;1,BO280=0),"Submit Control as Non-Standard",IF(AND('Data Entry'!$C$74=2,BR280=37,CJ280&gt;1,BO280=0),"Submit Control as Non-Standard",IF(SUM(CL280+CK280+BV280)&gt;0.01,"Standard Incentive",IF(AND('Data Entry'!$C$74=2,CP280=7,CN280=0),"Submit as Non-Standard",IF(DC280&gt;0.9,"Non-Standard Incentive",IF(AND(BY280+BZ280+CA280&gt;0.01,BV280=0,EQ280=0,ER280=0,ES280=0,ET280=0),"Scroll Right &amp; Select Control Strategies",IF(AND(CN280&gt;0.01,CO280=0),"Enter Unit Installed Cost",IF(ISNUMBER(SEARCH("Lighting Controls Only",F280)),"Lighting Controls Only",IF(CL280+DC280=0,"Does not meet incentive criteria",0)))))))))))))))</f>
        <v>0</v>
      </c>
      <c r="DE280" s="337">
        <f t="shared" si="366"/>
        <v>0</v>
      </c>
      <c r="DF280" s="609">
        <f t="shared" si="367"/>
        <v>0</v>
      </c>
      <c r="DG280" s="336" t="str">
        <f t="shared" si="368"/>
        <v/>
      </c>
      <c r="DH280" s="338">
        <f t="shared" si="369"/>
        <v>1</v>
      </c>
      <c r="DI280" s="336" t="e">
        <f t="shared" si="324"/>
        <v>#VALUE!</v>
      </c>
      <c r="DJ280" s="338">
        <f t="shared" si="325"/>
        <v>0</v>
      </c>
      <c r="DO280" s="81"/>
      <c r="DP280" s="81"/>
      <c r="DQ280" s="81"/>
      <c r="DR280" s="81"/>
      <c r="DS280" s="1195">
        <f t="shared" si="370"/>
        <v>0</v>
      </c>
      <c r="DT280" s="344" t="b">
        <f t="shared" si="371"/>
        <v>1</v>
      </c>
      <c r="DU280" s="1314" t="str">
        <f t="array" ref="DU280">IF(OR(COUNTIF(F280,"*"&amp;$DK$9:$DK$178&amp;"*")), "Yes", "")</f>
        <v/>
      </c>
      <c r="DV280" s="1314">
        <f t="shared" si="372"/>
        <v>0</v>
      </c>
      <c r="DW280" s="1480">
        <f t="shared" si="373"/>
        <v>0</v>
      </c>
      <c r="DX280" s="1498">
        <f t="shared" si="382"/>
        <v>0</v>
      </c>
      <c r="DY280" s="1484">
        <f t="shared" si="374"/>
        <v>0</v>
      </c>
      <c r="DZ280" s="331"/>
      <c r="EA280" s="392"/>
      <c r="EB280" s="1499" t="s">
        <v>125</v>
      </c>
      <c r="EC280" s="727" t="s">
        <v>1569</v>
      </c>
      <c r="ED280" s="728">
        <v>0.5</v>
      </c>
      <c r="EE280" s="1215"/>
      <c r="EF280" s="1215"/>
      <c r="EG280" s="1184" t="str">
        <f t="shared" si="375"/>
        <v/>
      </c>
      <c r="EJ280" s="1185">
        <f t="shared" si="326"/>
        <v>0</v>
      </c>
      <c r="EK280" s="1211"/>
      <c r="EL280" s="1180">
        <f t="shared" si="327"/>
        <v>0</v>
      </c>
      <c r="EM280" s="206"/>
      <c r="EN280" s="1038"/>
      <c r="EO280" s="1038"/>
      <c r="EP280" s="1038"/>
      <c r="EQ280" s="1038">
        <f t="shared" si="376"/>
        <v>0</v>
      </c>
      <c r="ER280" s="1041">
        <f t="shared" si="377"/>
        <v>0</v>
      </c>
      <c r="ES280" s="1042">
        <f t="shared" si="378"/>
        <v>0</v>
      </c>
      <c r="ET280" s="1042">
        <f t="shared" si="383"/>
        <v>0</v>
      </c>
      <c r="EU280" s="1021">
        <f t="shared" si="384"/>
        <v>0</v>
      </c>
      <c r="EV280" s="368"/>
      <c r="EW280" s="368"/>
      <c r="EX280" s="369"/>
      <c r="EY280" s="370"/>
      <c r="EZ280" s="370"/>
      <c r="FA280" s="371"/>
      <c r="FB280" s="372"/>
    </row>
    <row r="281" spans="1:158" ht="34.5" customHeight="1">
      <c r="A281" s="82">
        <v>273</v>
      </c>
      <c r="B281" s="1806"/>
      <c r="C281" s="1807"/>
      <c r="D281" s="1807"/>
      <c r="E281" s="1808"/>
      <c r="F281" s="1809"/>
      <c r="G281" s="1810"/>
      <c r="H281" s="1810"/>
      <c r="I281" s="1811"/>
      <c r="J281" s="1301"/>
      <c r="K281" s="1814"/>
      <c r="L281" s="1814"/>
      <c r="M281" s="1017"/>
      <c r="N281" s="1584"/>
      <c r="O281" s="208" t="str">
        <f t="shared" si="314"/>
        <v/>
      </c>
      <c r="P281" s="785"/>
      <c r="Q281" s="39" t="str">
        <f t="shared" si="315"/>
        <v/>
      </c>
      <c r="R281" s="39">
        <f t="shared" si="328"/>
        <v>0</v>
      </c>
      <c r="S281" s="234">
        <f t="shared" si="329"/>
        <v>0</v>
      </c>
      <c r="T281" s="1815"/>
      <c r="U281" s="1815"/>
      <c r="V281" s="1815"/>
      <c r="W281" s="1121"/>
      <c r="X281" s="1812"/>
      <c r="Y281" s="1813"/>
      <c r="Z281" s="703"/>
      <c r="AA281" s="1280"/>
      <c r="AB281" s="1141"/>
      <c r="AC281" s="1103" t="str">
        <f>IF(T281="","",VLOOKUP(Z281,Lists!$A$60:$B$111,2,FALSE))</f>
        <v/>
      </c>
      <c r="AD281" s="130" t="str">
        <f t="shared" si="330"/>
        <v/>
      </c>
      <c r="AE281" s="130" t="e">
        <f t="shared" si="331"/>
        <v>#VALUE!</v>
      </c>
      <c r="AF281" s="130">
        <f t="shared" si="332"/>
        <v>1</v>
      </c>
      <c r="AG281" s="234">
        <f t="shared" si="316"/>
        <v>0</v>
      </c>
      <c r="AH281" s="1753" t="str">
        <f>IF(T281="","",(IF(ISNUMBER(SEARCH("exit",T281)),8760,IF(AND(M281="Dusk to Dawn",'Proposed Lighting'!AU281=3),4059,IF(AND(AU281=3,M281="1"),0,IF(AND(AU281=3,M281="1-C"),0,IF(AND(AU281=3,M281="2"),0,IF(AND(AU281=3,M281="2-C"),0,IF(AND(AU281=3,M281="3"),0,IF(AND(AU281=3,M281="3-C"),0,IF(AND(AU281=2,M281="Dusk to Dawn"),0,IF(AND(AU281=2,M281="Dusk to Dawn-C"),0,IF(AND(AU281=2,M281="Dusk to Dawn"),0,IF(AND(AU281=2,M281="E"),0,IF(AND(AU281=2,M281="E-C"),0,EG281)))))))))))))))</f>
        <v/>
      </c>
      <c r="AI281" s="1754"/>
      <c r="AJ281" s="1136"/>
      <c r="AK281" s="1136"/>
      <c r="AL281" s="1748">
        <f t="shared" si="333"/>
        <v>0</v>
      </c>
      <c r="AM281" s="1749"/>
      <c r="AN281" s="1750"/>
      <c r="AO281" s="476">
        <f t="shared" si="317"/>
        <v>0</v>
      </c>
      <c r="AP281" s="476">
        <f t="shared" si="334"/>
        <v>0</v>
      </c>
      <c r="AQ281" s="475">
        <f t="shared" si="318"/>
        <v>0</v>
      </c>
      <c r="AR281" s="475">
        <f t="shared" si="335"/>
        <v>0</v>
      </c>
      <c r="AS281" s="743" t="str">
        <f t="shared" si="310"/>
        <v/>
      </c>
      <c r="AT281" s="736" t="str">
        <f t="shared" si="336"/>
        <v/>
      </c>
      <c r="AU281" s="56">
        <f t="shared" si="337"/>
        <v>1</v>
      </c>
      <c r="AV281" s="476">
        <f t="shared" si="338"/>
        <v>0</v>
      </c>
      <c r="AW281" s="56">
        <f t="shared" si="339"/>
        <v>0</v>
      </c>
      <c r="AX281" s="475">
        <f t="shared" si="319"/>
        <v>0</v>
      </c>
      <c r="AY281" s="1169">
        <f t="shared" si="340"/>
        <v>0</v>
      </c>
      <c r="AZ281" s="1150">
        <f t="shared" si="379"/>
        <v>0</v>
      </c>
      <c r="BA281" s="56">
        <f t="shared" si="320"/>
        <v>0</v>
      </c>
      <c r="BB281" s="420">
        <f t="shared" si="321"/>
        <v>0</v>
      </c>
      <c r="BC281" s="58" t="str">
        <f t="shared" si="322"/>
        <v/>
      </c>
      <c r="BD281" s="660">
        <f t="shared" si="380"/>
        <v>0</v>
      </c>
      <c r="BE281" s="57" t="e">
        <f t="array" ref="BE281">INDEX($EB$11:$ED$1022,MATCH(F281&amp;T281,$EB$11:$EB$1007&amp;$EC$11:$EC$1007,0),3)</f>
        <v>#N/A</v>
      </c>
      <c r="BF281" s="463">
        <f t="shared" si="311"/>
        <v>0</v>
      </c>
      <c r="BG281" s="1445" t="e">
        <f t="array" ref="BG281">INDEX($DO$112:$DQ$123,MATCH(T281&amp;W281,$DO$114:$DO$125&amp;$DP$112:$DP$123,0),3)</f>
        <v>#N/A</v>
      </c>
      <c r="BH281" s="1446">
        <f t="shared" si="341"/>
        <v>0</v>
      </c>
      <c r="BI281" s="465">
        <f t="shared" si="342"/>
        <v>0</v>
      </c>
      <c r="BJ281" s="465">
        <f t="shared" si="343"/>
        <v>0</v>
      </c>
      <c r="BK281" s="466">
        <f t="shared" si="312"/>
        <v>0</v>
      </c>
      <c r="BL281" s="466">
        <f t="shared" si="313"/>
        <v>0</v>
      </c>
      <c r="BM281" s="466">
        <f t="shared" si="344"/>
        <v>0</v>
      </c>
      <c r="BN281" s="466">
        <f t="shared" si="345"/>
        <v>0</v>
      </c>
      <c r="BO281" s="463">
        <f>IF('Data Entry'!$C$74=0,0,IF(ISNA(CJ281),0,IF(AX281=0,0,IF(AND('Data Entry'!$C$74=2,AF281&gt;2,CE281&lt;1),0,IF(AND('Data Entry'!$C$74=2,AF281&gt;1,AU281=2,CJ281&gt;1),0,IF(AND(AF281=5,CT281=0.5,AU281=2,ER281&lt;100),0,IF(AND(AF281=5,CT281=0.5,AU281=3,ER281&lt;100),0,IF(AND('Data Entry'!$C$74=2,AF281=2,AU281=2,AK281&gt;0.01,CB281=2,CE281&lt;1),0,IF(AND('Data Entry'!$C$74=2,AF281=3,AU281=3,AK281&gt;0.01,CB281=3,CE281&lt;1),0,IF(AND('Data Entry'!$C$74=2,AF281=3,AU281=3,AK281&gt;0.01,CB281=3,CE281&gt;0.99),BQ281*0.08,IF(AND('Data Entry'!$C$74=2,AF281=2,AU281=2,AK281&gt;0.01,CB281=2,CE281&gt;0.99),BQ281*0.1,IF(AND(AU281=2,AK281&gt;0.01,CB281=2,CD281&gt;1),BQ281*0.1,IF(AND(AU281=3,AK281&gt;0.01,CB281=3,CD281&gt;1),BQ281*0.08,CJ281*EF281)))))))))))))</f>
        <v>0</v>
      </c>
      <c r="BP281" s="475">
        <f t="shared" si="346"/>
        <v>0</v>
      </c>
      <c r="BQ281" s="1431">
        <f>IF(AU281=1,0,IF(CH281=100,0,IF(AND(AF281=3,AU281=2),0,IF(AND(BH281=0,CT281&gt;0.4),0,IF(AND('Data Entry'!$C$74=2,AF281=1.5),0,IF(AND('Data Entry'!$C$74=2,AF281=1.6),0,IF(AND('Data Entry'!$C$74=2,AF281=4),0,IF(AND('Data Entry'!$C$74=2,AF281=5),0,IF(AND('Data Entry'!$C$74=2,AF281=2.5,CE281&lt;1),0,IF(AND('Data Entry'!$C$74=2,AF281=3,CE281&lt;1),0,IF(AND('Data Entry'!$C$74=1,AF281=2.5,CD281&lt;1),0,IF(AND('Data Entry'!$C$74=1,AF281=3,CD281&lt;1),0,IF(DX281&gt;0.01,DX281,IF(ISERROR(AX281-AY281),"",ROUND(AX281-AY281,2)))))))))))))))</f>
        <v>0</v>
      </c>
      <c r="BR281" s="146">
        <f t="shared" si="347"/>
        <v>0</v>
      </c>
      <c r="BS281" s="475">
        <f t="shared" si="348"/>
        <v>0</v>
      </c>
      <c r="BT281" s="146" t="b">
        <f t="shared" si="349"/>
        <v>0</v>
      </c>
      <c r="BU281" s="463">
        <f>IF(ISNA(AT281),0,IF(AND('Data Entry'!$C$74=2,BC281=27),0,IF(AND('Data Entry'!$C$74=2,BC281=28),0,IF(AND(BC281=27,BT281=27,CM281&gt;0.1),CM281*0.15,IF(AND(BC281=28,BT281=28,CM281&gt;0.1),CM281*0.12,0)))))</f>
        <v>0</v>
      </c>
      <c r="BV281" s="463">
        <f t="shared" ref="BV281:BV308" si="386">IF($X$4=0,0,IF(AND(CM281&lt;0.01,BQ281&lt;0.01),0,IF(ISNA(AT281),0,IF(BR281=3,0,IF(AND(BY281+BZ281+CA281&gt;0.01,EQ281+ER281+ES281+ET281&lt;100),0,IF(AA281&lt;1,0,IF(CB281=1,SUM(BI281+BJ281+BO281+BU281+BW281+BX281+BY281+BZ281+CA281+CK281),SUM(BI281+BJ281+BU281+BW281+BX281+BY281+BZ281+CA281+CK281))))))))</f>
        <v>0</v>
      </c>
      <c r="BW281" s="463">
        <f t="shared" si="350"/>
        <v>0</v>
      </c>
      <c r="BX281" s="463">
        <f t="shared" si="351"/>
        <v>0</v>
      </c>
      <c r="BY281" s="463">
        <f t="shared" si="352"/>
        <v>0</v>
      </c>
      <c r="BZ281" s="463">
        <f t="shared" si="353"/>
        <v>0</v>
      </c>
      <c r="CA281" s="57">
        <f t="shared" si="381"/>
        <v>0</v>
      </c>
      <c r="CB281" s="56">
        <f t="shared" si="354"/>
        <v>1</v>
      </c>
      <c r="CC281" s="756">
        <f>IF(EE281=0,0,IF(EF281=0,0,IF(EE281&gt;AA281,0,IF(AND(AZ281&gt;AW281,AW281&gt;0),0,IF(CU281=0,0,Summary!AC584)))))</f>
        <v>0</v>
      </c>
      <c r="CD281" s="756">
        <f>IF(EE281=0,0,IF(EF281=0,0,IF(EE281&gt;AA281,0,IF(AND(AZ281&gt;AW281,AW281&gt;0),0,IF(CU281=0,0,Summary!AD584)))))</f>
        <v>0</v>
      </c>
      <c r="CE281" s="756">
        <f>IF(EF281=0,0,IF(EE281&gt;AA281,0,IF(CC281=0,0,IF(AND(AZ281&gt;AW281,AW281&gt;0),0,IF(CU281=0,0,Summary!AE584)))))</f>
        <v>0</v>
      </c>
      <c r="CF281" s="475">
        <f t="shared" si="355"/>
        <v>0</v>
      </c>
      <c r="CG281" s="476">
        <f t="shared" si="323"/>
        <v>0</v>
      </c>
      <c r="CH281" s="487">
        <f t="shared" si="356"/>
        <v>0</v>
      </c>
      <c r="CI281" s="756">
        <f t="shared" si="357"/>
        <v>0</v>
      </c>
      <c r="CJ281" s="487">
        <f>IF(CT281&gt;0.4,0,IF(AND(AU281=2,CH281=0,CT281=0.5,ER281=100),35,IF(AND(AU281=3,BB281&gt;75,CH281=0,CT281=0.5,ER281=100),25,IF(CB281&gt;1,0,IF(EF281&gt;EE281,0,IF(AND(AF281&gt;1,CH281=100),0,IF(AND(AF281=1,AY281=0),0,IF(AND(EF281&lt;=EE281,AW281&gt;=AZ281,'Data Entry'!$C$74=1,AU281=2),VLOOKUP(W281,$DO$96:$DP$102,2,FALSE),IF(AND(EF281&lt;=EE281,AW281&gt;=AZ281,AU281=3,'Data Entry'!$C$74=1),VLOOKUP(W281,$DO$127:$DP$134,2,FALSE))))))))))</f>
        <v>0</v>
      </c>
      <c r="CK281" s="716">
        <f t="shared" si="358"/>
        <v>0</v>
      </c>
      <c r="CL281" s="57">
        <f t="shared" si="359"/>
        <v>0</v>
      </c>
      <c r="CM281" s="475">
        <f t="shared" si="385"/>
        <v>0</v>
      </c>
      <c r="CN281" s="660">
        <f>IF(CM281&lt;0.1,0,IF(ISNA(AT281),0,IF(CL281+BC281=1,0,IF(BV281&gt;0.01,0,IF(CL281&gt;0.01,0,IF(CF281=1,0,IF(BC281=0.5,0,IF(AND(CI281=1,AU281=3),0,IF(AND(CI281=5,CL281=0),0,IF(AND(R281=12,BR281=50),0,IF(CK281&gt;0.01,0,IF(AND(AJ281&gt;0.01,AU281=2,BC281=15),CM281*0.1,IF(AND(AJ281&gt;0.01,AU281=3,BC281=15),CM281*0.08,IF(AND(R281=12,BC281=3,AF281&lt;=0),0,IF(AND(BC281=15,BI281=0),0,IF(AND(BC281=15,BJ281=0),0,IF(AND(R281=20,CU281=0),0,IF($X$4=0,0,IF(AND(BC281=250,CL281=0),0,IF(AA281&lt;1,0,IF(AND(ISNUMBER(SEARCH("Area",T281)),AU281=3),0,IF(AND(AQ281&gt;0.01,AR281=0,BK281=0,BL281=0,BM281=0,BN281=0),0,IF(AND(AU281=3,CI281=7,CT281&gt;0.5),0,IF(AND(BC281=44,AU281=3,BY281=0),0,IF(AND(BC281=27,'Data Entry'!$C$74=2),0,IF(AND(BC281=28,'Data Entry'!$C$74=2),0,IF(AND(BY281+BZ281+CA281&gt;0.01,BV281=0,EQ281+ER281+ES281+ET281&lt;100),0,IF(AU281=3,CM281*0.08,IF(AU281=2,CM281*0.1,0)))))))))))))))))))))))))))))</f>
        <v>0</v>
      </c>
      <c r="CO281" s="660">
        <f t="shared" si="360"/>
        <v>0</v>
      </c>
      <c r="CP281" s="475" t="str">
        <f t="shared" si="361"/>
        <v/>
      </c>
      <c r="CQ281" s="161" t="str">
        <f>IF(AH281=0,0,IF(AU281=5,0,Summary!AC284))</f>
        <v/>
      </c>
      <c r="CR281" s="161" t="str">
        <f>IF(BF281=0.5,0,IF(AU281=5,0,Summary!AD284))</f>
        <v/>
      </c>
      <c r="CS281" s="161" t="str">
        <f>IF(AU281=5,0,Summary!AE284)</f>
        <v/>
      </c>
      <c r="CT281" s="161">
        <f t="shared" si="362"/>
        <v>0</v>
      </c>
      <c r="CU281" s="475" t="str">
        <f t="shared" si="363"/>
        <v/>
      </c>
      <c r="CV281" s="307">
        <f>IF('Data Entry'!$C$74=0,0,IF(AA281&lt;1,0,IF(ISERROR(CU281),0,IF(CF281=1,0,IF(AND(R281=12,BR281=50),0,IF(CL281+BO281+BV281+DC281=0,0,IF(BC281=37,0,IF(AND(BC281=40,AJ281=0),0,IF(AND(BC281=37,BO281&gt;0.01,BQ281&gt;0.01),ROUND(BQ281,0),IF(CM281&lt;0,0,ROUND(CM281,0)))))))))))</f>
        <v>0</v>
      </c>
      <c r="CW281" s="700">
        <f t="shared" si="364"/>
        <v>0</v>
      </c>
      <c r="CX281" s="477">
        <f>IF('Data Entry'!$C$74=0,0,IF(CV281&lt;0.01,0,IF(BF281=0.5,0,IF(CF281=1,0,IF(ISNUMBER(SEARCH("false",CL281)),0,IF(AZ281=500,0,CL281))))))</f>
        <v>0</v>
      </c>
      <c r="CY281" s="147" t="e">
        <f t="shared" si="365"/>
        <v>#VALUE!</v>
      </c>
      <c r="CZ281" s="147" t="b">
        <f>IF(CN281+CL281=0,FALSE,IF(AH281=0,0,IF(AND('Data Entry'!$C$74=1,CR281&gt;=1),TRUE,IF(AND('Data Entry'!$C$74=2,CS281&gt;=1),TRUE,FALSE))))</f>
        <v>0</v>
      </c>
      <c r="DA281" s="1751">
        <f>IF('Data Entry'!$C$74=0,0,IFERROR(ROUND(IF(T281="","",IF($X$4=0,0,IF(CF281=1,0,IF(BQ281+CV281=0,0,IF(CF281=1,0,IF(CY281&gt;0.01,CY281,IF(CL281&gt;0.01,CL281,IF(CY281&gt;0.01,CY281,IF(BC281=37,BO281,IF(CZ281=FALSE,0,IF(CZ281=TRUE,DC281+DF281,0))))))))))),2),""))</f>
        <v>0</v>
      </c>
      <c r="DB281" s="1752"/>
      <c r="DC281" s="474">
        <f>IF(CN281&lt;0.01,0,IF(AND(BR281=3,CN281&gt;0.01,CT281&gt;0.6,ER281+ES281+ET281&lt;100),0,IF(AND('Data Entry'!$C$74=1,CN281&gt;0.01,CR281&gt;0.99),MIN(CN281:CO281),IF(AND('Data Entry'!$C$74=2,CN281&gt;0.01,CS281&gt;0.99),MIN(CN281:CO281),0))))</f>
        <v>0</v>
      </c>
      <c r="DD281" s="478">
        <f>IF(CF281=1,"Selection does not match",IF(T281=0,0,IF(AND('Data Entry'!$C$74=0,CP281&gt;1),"Select Oregon or Idaho on Data Entry Tab",IF(AND(AU281=1,AA281&gt;0.9),"Missing Interior or Exterior Selection",IF($X$4=0,"Enter Total Project Cost",IF(AQ281&lt;AR281,"Insufficient kWh savings – no incentive",IF(AND(SUM(CL281+CK281+BV281)&gt;0.01,'Data Entry'!$C$74=2,CJ281&gt;1,BO281=0),"Submit Control as Non-Standard",IF(AND('Data Entry'!$C$74=2,BR281=37,CJ281&gt;1,BO281=0),"Submit Control as Non-Standard",IF(SUM(CL281+CK281+BV281)&gt;0.01,"Standard Incentive",IF(AND('Data Entry'!$C$74=2,CP281=7,CN281=0),"Submit as Non-Standard",IF(DC281&gt;0.9,"Non-Standard Incentive",IF(AND(BY281+BZ281+CA281&gt;0.01,BV281=0,EQ281=0,ER281=0,ES281=0,ET281=0),"Scroll Right &amp; Select Control Strategies",IF(AND(CN281&gt;0.01,CO281=0),"Enter Unit Installed Cost",IF(ISNUMBER(SEARCH("Lighting Controls Only",F281)),"Lighting Controls Only",IF(CL281+DC281=0,"Does not meet incentive criteria",0)))))))))))))))</f>
        <v>0</v>
      </c>
      <c r="DE281" s="337">
        <f t="shared" si="366"/>
        <v>0</v>
      </c>
      <c r="DF281" s="609">
        <f t="shared" si="367"/>
        <v>0</v>
      </c>
      <c r="DG281" s="336" t="str">
        <f t="shared" si="368"/>
        <v/>
      </c>
      <c r="DH281" s="338">
        <f t="shared" si="369"/>
        <v>1</v>
      </c>
      <c r="DI281" s="336" t="e">
        <f t="shared" si="324"/>
        <v>#VALUE!</v>
      </c>
      <c r="DJ281" s="338">
        <f t="shared" si="325"/>
        <v>0</v>
      </c>
      <c r="DO281" s="81"/>
      <c r="DP281" s="81"/>
      <c r="DQ281" s="81"/>
      <c r="DR281" s="81"/>
      <c r="DS281" s="1195">
        <f t="shared" si="370"/>
        <v>0</v>
      </c>
      <c r="DT281" s="344" t="b">
        <f t="shared" si="371"/>
        <v>1</v>
      </c>
      <c r="DU281" s="1314" t="str">
        <f t="array" ref="DU281">IF(OR(COUNTIF(F281,"*"&amp;$DK$9:$DK$178&amp;"*")), "Yes", "")</f>
        <v/>
      </c>
      <c r="DV281" s="1314">
        <f t="shared" si="372"/>
        <v>0</v>
      </c>
      <c r="DW281" s="1480">
        <f t="shared" si="373"/>
        <v>0</v>
      </c>
      <c r="DX281" s="1498">
        <f t="shared" si="382"/>
        <v>0</v>
      </c>
      <c r="DY281" s="1484">
        <f t="shared" si="374"/>
        <v>0</v>
      </c>
      <c r="DZ281" s="331"/>
      <c r="EA281" s="392"/>
      <c r="EB281" s="1499" t="s">
        <v>73</v>
      </c>
      <c r="EC281" s="727" t="s">
        <v>1569</v>
      </c>
      <c r="ED281" s="728">
        <v>0.5</v>
      </c>
      <c r="EE281" s="1215"/>
      <c r="EF281" s="1215"/>
      <c r="EG281" s="1184" t="str">
        <f t="shared" si="375"/>
        <v/>
      </c>
      <c r="EJ281" s="1185">
        <f t="shared" si="326"/>
        <v>0</v>
      </c>
      <c r="EK281" s="1211"/>
      <c r="EL281" s="1180">
        <f t="shared" si="327"/>
        <v>0</v>
      </c>
      <c r="EM281" s="206"/>
      <c r="EN281" s="1038"/>
      <c r="EO281" s="1038"/>
      <c r="EP281" s="1038"/>
      <c r="EQ281" s="1038">
        <f t="shared" si="376"/>
        <v>0</v>
      </c>
      <c r="ER281" s="1041">
        <f t="shared" si="377"/>
        <v>0</v>
      </c>
      <c r="ES281" s="1042">
        <f t="shared" si="378"/>
        <v>0</v>
      </c>
      <c r="ET281" s="1042">
        <f t="shared" si="383"/>
        <v>0</v>
      </c>
      <c r="EU281" s="1021">
        <f t="shared" si="384"/>
        <v>0</v>
      </c>
      <c r="EV281" s="368"/>
      <c r="EW281" s="368"/>
      <c r="EX281" s="369"/>
      <c r="EY281" s="370"/>
      <c r="EZ281" s="370"/>
      <c r="FA281" s="371"/>
      <c r="FB281" s="372"/>
    </row>
    <row r="282" spans="1:158" ht="34.5" customHeight="1">
      <c r="A282" s="82">
        <v>274</v>
      </c>
      <c r="B282" s="1806"/>
      <c r="C282" s="1807"/>
      <c r="D282" s="1807"/>
      <c r="E282" s="1808"/>
      <c r="F282" s="1809"/>
      <c r="G282" s="1810"/>
      <c r="H282" s="1810"/>
      <c r="I282" s="1811"/>
      <c r="J282" s="1301"/>
      <c r="K282" s="1814"/>
      <c r="L282" s="1814"/>
      <c r="M282" s="1017"/>
      <c r="N282" s="1584"/>
      <c r="O282" s="208" t="str">
        <f t="shared" si="314"/>
        <v/>
      </c>
      <c r="P282" s="785"/>
      <c r="Q282" s="39" t="str">
        <f t="shared" si="315"/>
        <v/>
      </c>
      <c r="R282" s="39">
        <f t="shared" si="328"/>
        <v>0</v>
      </c>
      <c r="S282" s="234">
        <f t="shared" si="329"/>
        <v>0</v>
      </c>
      <c r="T282" s="1815"/>
      <c r="U282" s="1815"/>
      <c r="V282" s="1815"/>
      <c r="W282" s="1121"/>
      <c r="X282" s="1812"/>
      <c r="Y282" s="1813"/>
      <c r="Z282" s="703"/>
      <c r="AA282" s="1280"/>
      <c r="AB282" s="1141"/>
      <c r="AC282" s="1103" t="str">
        <f>IF(T282="","",VLOOKUP(Z282,Lists!$A$60:$B$111,2,FALSE))</f>
        <v/>
      </c>
      <c r="AD282" s="130" t="str">
        <f t="shared" si="330"/>
        <v/>
      </c>
      <c r="AE282" s="130" t="e">
        <f t="shared" si="331"/>
        <v>#VALUE!</v>
      </c>
      <c r="AF282" s="130">
        <f t="shared" si="332"/>
        <v>1</v>
      </c>
      <c r="AG282" s="234">
        <f t="shared" si="316"/>
        <v>0</v>
      </c>
      <c r="AH282" s="1753" t="str">
        <f>IF(T282="","",(IF(ISNUMBER(SEARCH("exit",T282)),8760,IF(AND(M282="Dusk to Dawn",'Proposed Lighting'!AU282=3),4059,IF(AND(AU282=3,M282="1"),0,IF(AND(AU282=3,M282="1-C"),0,IF(AND(AU282=3,M282="2"),0,IF(AND(AU282=3,M282="2-C"),0,IF(AND(AU282=3,M282="3"),0,IF(AND(AU282=3,M282="3-C"),0,IF(AND(AU282=2,M282="Dusk to Dawn"),0,IF(AND(AU282=2,M282="Dusk to Dawn-C"),0,IF(AND(AU282=2,M282="Dusk to Dawn"),0,IF(AND(AU282=2,M282="E"),0,IF(AND(AU282=2,M282="E-C"),0,EG282)))))))))))))))</f>
        <v/>
      </c>
      <c r="AI282" s="1754"/>
      <c r="AJ282" s="1136"/>
      <c r="AK282" s="1136"/>
      <c r="AL282" s="1748">
        <f t="shared" si="333"/>
        <v>0</v>
      </c>
      <c r="AM282" s="1749"/>
      <c r="AN282" s="1750"/>
      <c r="AO282" s="476">
        <f t="shared" si="317"/>
        <v>0</v>
      </c>
      <c r="AP282" s="476">
        <f t="shared" si="334"/>
        <v>0</v>
      </c>
      <c r="AQ282" s="475">
        <f t="shared" si="318"/>
        <v>0</v>
      </c>
      <c r="AR282" s="475">
        <f t="shared" si="335"/>
        <v>0</v>
      </c>
      <c r="AS282" s="743" t="str">
        <f t="shared" si="310"/>
        <v/>
      </c>
      <c r="AT282" s="736" t="str">
        <f t="shared" si="336"/>
        <v/>
      </c>
      <c r="AU282" s="56">
        <f t="shared" si="337"/>
        <v>1</v>
      </c>
      <c r="AV282" s="476">
        <f t="shared" si="338"/>
        <v>0</v>
      </c>
      <c r="AW282" s="56">
        <f t="shared" si="339"/>
        <v>0</v>
      </c>
      <c r="AX282" s="475">
        <f t="shared" si="319"/>
        <v>0</v>
      </c>
      <c r="AY282" s="1169">
        <f t="shared" si="340"/>
        <v>0</v>
      </c>
      <c r="AZ282" s="1150">
        <f t="shared" si="379"/>
        <v>0</v>
      </c>
      <c r="BA282" s="56">
        <f t="shared" si="320"/>
        <v>0</v>
      </c>
      <c r="BB282" s="420">
        <f t="shared" si="321"/>
        <v>0</v>
      </c>
      <c r="BC282" s="58" t="str">
        <f t="shared" si="322"/>
        <v/>
      </c>
      <c r="BD282" s="660">
        <f t="shared" si="380"/>
        <v>0</v>
      </c>
      <c r="BE282" s="57" t="e">
        <f t="array" ref="BE282">INDEX($EB$11:$ED$1022,MATCH(F282&amp;T282,$EB$11:$EB$1007&amp;$EC$11:$EC$1007,0),3)</f>
        <v>#N/A</v>
      </c>
      <c r="BF282" s="463">
        <f t="shared" si="311"/>
        <v>0</v>
      </c>
      <c r="BG282" s="1445" t="e">
        <f t="array" ref="BG282">INDEX($DO$112:$DQ$123,MATCH(T282&amp;W282,$DO$114:$DO$125&amp;$DP$112:$DP$123,0),3)</f>
        <v>#N/A</v>
      </c>
      <c r="BH282" s="1446">
        <f t="shared" si="341"/>
        <v>0</v>
      </c>
      <c r="BI282" s="465">
        <f t="shared" si="342"/>
        <v>0</v>
      </c>
      <c r="BJ282" s="465">
        <f t="shared" si="343"/>
        <v>0</v>
      </c>
      <c r="BK282" s="466">
        <f t="shared" si="312"/>
        <v>0</v>
      </c>
      <c r="BL282" s="466">
        <f t="shared" si="313"/>
        <v>0</v>
      </c>
      <c r="BM282" s="466">
        <f t="shared" si="344"/>
        <v>0</v>
      </c>
      <c r="BN282" s="466">
        <f t="shared" si="345"/>
        <v>0</v>
      </c>
      <c r="BO282" s="463">
        <f>IF('Data Entry'!$C$74=0,0,IF(ISNA(CJ282),0,IF(AX282=0,0,IF(AND('Data Entry'!$C$74=2,AF282&gt;2,CE282&lt;1),0,IF(AND('Data Entry'!$C$74=2,AF282&gt;1,AU282=2,CJ282&gt;1),0,IF(AND(AF282=5,CT282=0.5,AU282=2,ER282&lt;100),0,IF(AND(AF282=5,CT282=0.5,AU282=3,ER282&lt;100),0,IF(AND('Data Entry'!$C$74=2,AF282=2,AU282=2,AK282&gt;0.01,CB282=2,CE282&lt;1),0,IF(AND('Data Entry'!$C$74=2,AF282=3,AU282=3,AK282&gt;0.01,CB282=3,CE282&lt;1),0,IF(AND('Data Entry'!$C$74=2,AF282=3,AU282=3,AK282&gt;0.01,CB282=3,CE282&gt;0.99),BQ282*0.08,IF(AND('Data Entry'!$C$74=2,AF282=2,AU282=2,AK282&gt;0.01,CB282=2,CE282&gt;0.99),BQ282*0.1,IF(AND(AU282=2,AK282&gt;0.01,CB282=2,CD282&gt;1),BQ282*0.1,IF(AND(AU282=3,AK282&gt;0.01,CB282=3,CD282&gt;1),BQ282*0.08,CJ282*EF282)))))))))))))</f>
        <v>0</v>
      </c>
      <c r="BP282" s="475">
        <f t="shared" si="346"/>
        <v>0</v>
      </c>
      <c r="BQ282" s="1431">
        <f>IF(AU282=1,0,IF(CH282=100,0,IF(AND(AF282=3,AU282=2),0,IF(AND(BH282=0,CT282&gt;0.4),0,IF(AND('Data Entry'!$C$74=2,AF282=1.5),0,IF(AND('Data Entry'!$C$74=2,AF282=1.6),0,IF(AND('Data Entry'!$C$74=2,AF282=4),0,IF(AND('Data Entry'!$C$74=2,AF282=5),0,IF(AND('Data Entry'!$C$74=2,AF282=2.5,CE282&lt;1),0,IF(AND('Data Entry'!$C$74=2,AF282=3,CE282&lt;1),0,IF(AND('Data Entry'!$C$74=1,AF282=2.5,CD282&lt;1),0,IF(AND('Data Entry'!$C$74=1,AF282=3,CD282&lt;1),0,IF(DX282&gt;0.01,DX282,IF(ISERROR(AX282-AY282),"",ROUND(AX282-AY282,2)))))))))))))))</f>
        <v>0</v>
      </c>
      <c r="BR282" s="146">
        <f t="shared" si="347"/>
        <v>0</v>
      </c>
      <c r="BS282" s="475">
        <f t="shared" si="348"/>
        <v>0</v>
      </c>
      <c r="BT282" s="146" t="b">
        <f t="shared" si="349"/>
        <v>0</v>
      </c>
      <c r="BU282" s="463">
        <f>IF(ISNA(AT282),0,IF(AND('Data Entry'!$C$74=2,BC282=27),0,IF(AND('Data Entry'!$C$74=2,BC282=28),0,IF(AND(BC282=27,BT282=27,CM282&gt;0.1),CM282*0.15,IF(AND(BC282=28,BT282=28,CM282&gt;0.1),CM282*0.12,0)))))</f>
        <v>0</v>
      </c>
      <c r="BV282" s="463">
        <f t="shared" si="386"/>
        <v>0</v>
      </c>
      <c r="BW282" s="463">
        <f t="shared" si="350"/>
        <v>0</v>
      </c>
      <c r="BX282" s="463">
        <f t="shared" si="351"/>
        <v>0</v>
      </c>
      <c r="BY282" s="463">
        <f t="shared" si="352"/>
        <v>0</v>
      </c>
      <c r="BZ282" s="463">
        <f t="shared" si="353"/>
        <v>0</v>
      </c>
      <c r="CA282" s="57">
        <f t="shared" si="381"/>
        <v>0</v>
      </c>
      <c r="CB282" s="56">
        <f t="shared" si="354"/>
        <v>1</v>
      </c>
      <c r="CC282" s="756">
        <f>IF(EE282=0,0,IF(EF282=0,0,IF(EE282&gt;AA282,0,IF(AND(AZ282&gt;AW282,AW282&gt;0),0,IF(CU282=0,0,Summary!AC585)))))</f>
        <v>0</v>
      </c>
      <c r="CD282" s="756">
        <f>IF(EE282=0,0,IF(EF282=0,0,IF(EE282&gt;AA282,0,IF(AND(AZ282&gt;AW282,AW282&gt;0),0,IF(CU282=0,0,Summary!AD585)))))</f>
        <v>0</v>
      </c>
      <c r="CE282" s="756">
        <f>IF(EF282=0,0,IF(EE282&gt;AA282,0,IF(CC282=0,0,IF(AND(AZ282&gt;AW282,AW282&gt;0),0,IF(CU282=0,0,Summary!AE585)))))</f>
        <v>0</v>
      </c>
      <c r="CF282" s="475">
        <f t="shared" si="355"/>
        <v>0</v>
      </c>
      <c r="CG282" s="476">
        <f t="shared" si="323"/>
        <v>0</v>
      </c>
      <c r="CH282" s="487">
        <f t="shared" si="356"/>
        <v>0</v>
      </c>
      <c r="CI282" s="756">
        <f t="shared" si="357"/>
        <v>0</v>
      </c>
      <c r="CJ282" s="487">
        <f>IF(CT282&gt;0.4,0,IF(AND(AU282=2,CH282=0,CT282=0.5,ER282=100),35,IF(AND(AU282=3,BB282&gt;75,CH282=0,CT282=0.5,ER282=100),25,IF(CB282&gt;1,0,IF(EF282&gt;EE282,0,IF(AND(AF282&gt;1,CH282=100),0,IF(AND(AF282=1,AY282=0),0,IF(AND(EF282&lt;=EE282,AW282&gt;=AZ282,'Data Entry'!$C$74=1,AU282=2),VLOOKUP(W282,$DO$96:$DP$102,2,FALSE),IF(AND(EF282&lt;=EE282,AW282&gt;=AZ282,AU282=3,'Data Entry'!$C$74=1),VLOOKUP(W282,$DO$127:$DP$134,2,FALSE))))))))))</f>
        <v>0</v>
      </c>
      <c r="CK282" s="716">
        <f t="shared" si="358"/>
        <v>0</v>
      </c>
      <c r="CL282" s="57">
        <f t="shared" si="359"/>
        <v>0</v>
      </c>
      <c r="CM282" s="475">
        <f t="shared" si="385"/>
        <v>0</v>
      </c>
      <c r="CN282" s="660">
        <f>IF(CM282&lt;0.1,0,IF(ISNA(AT282),0,IF(CL282+BC282=1,0,IF(BV282&gt;0.01,0,IF(CL282&gt;0.01,0,IF(CF282=1,0,IF(BC282=0.5,0,IF(AND(CI282=1,AU282=3),0,IF(AND(CI282=5,CL282=0),0,IF(AND(R282=12,BR282=50),0,IF(CK282&gt;0.01,0,IF(AND(AJ282&gt;0.01,AU282=2,BC282=15),CM282*0.1,IF(AND(AJ282&gt;0.01,AU282=3,BC282=15),CM282*0.08,IF(AND(R282=12,BC282=3,AF282&lt;=0),0,IF(AND(BC282=15,BI282=0),0,IF(AND(BC282=15,BJ282=0),0,IF(AND(R282=20,CU282=0),0,IF($X$4=0,0,IF(AND(BC282=250,CL282=0),0,IF(AA282&lt;1,0,IF(AND(ISNUMBER(SEARCH("Area",T282)),AU282=3),0,IF(AND(AQ282&gt;0.01,AR282=0,BK282=0,BL282=0,BM282=0,BN282=0),0,IF(AND(AU282=3,CI282=7,CT282&gt;0.5),0,IF(AND(BC282=44,AU282=3,BY282=0),0,IF(AND(BC282=27,'Data Entry'!$C$74=2),0,IF(AND(BC282=28,'Data Entry'!$C$74=2),0,IF(AND(BY282+BZ282+CA282&gt;0.01,BV282=0,EQ282+ER282+ES282+ET282&lt;100),0,IF(AU282=3,CM282*0.08,IF(AU282=2,CM282*0.1,0)))))))))))))))))))))))))))))</f>
        <v>0</v>
      </c>
      <c r="CO282" s="660">
        <f t="shared" si="360"/>
        <v>0</v>
      </c>
      <c r="CP282" s="475" t="str">
        <f t="shared" si="361"/>
        <v/>
      </c>
      <c r="CQ282" s="161" t="str">
        <f>IF(AH282=0,0,IF(AU282=5,0,Summary!AC285))</f>
        <v/>
      </c>
      <c r="CR282" s="161" t="str">
        <f>IF(BF282=0.5,0,IF(AU282=5,0,Summary!AD285))</f>
        <v/>
      </c>
      <c r="CS282" s="161" t="str">
        <f>IF(AU282=5,0,Summary!AE285)</f>
        <v/>
      </c>
      <c r="CT282" s="161">
        <f t="shared" si="362"/>
        <v>0</v>
      </c>
      <c r="CU282" s="475" t="str">
        <f t="shared" si="363"/>
        <v/>
      </c>
      <c r="CV282" s="307">
        <f>IF('Data Entry'!$C$74=0,0,IF(AA282&lt;1,0,IF(ISERROR(CU282),0,IF(CF282=1,0,IF(AND(R282=12,BR282=50),0,IF(CL282+BO282+BV282+DC282=0,0,IF(BC282=37,0,IF(AND(BC282=40,AJ282=0),0,IF(AND(BC282=37,BO282&gt;0.01,BQ282&gt;0.01),ROUND(BQ282,0),IF(CM282&lt;0,0,ROUND(CM282,0)))))))))))</f>
        <v>0</v>
      </c>
      <c r="CW282" s="700">
        <f t="shared" si="364"/>
        <v>0</v>
      </c>
      <c r="CX282" s="477">
        <f>IF('Data Entry'!$C$74=0,0,IF(CV282&lt;0.01,0,IF(BF282=0.5,0,IF(CF282=1,0,IF(ISNUMBER(SEARCH("false",CL282)),0,IF(AZ282=500,0,CL282))))))</f>
        <v>0</v>
      </c>
      <c r="CY282" s="147" t="e">
        <f t="shared" si="365"/>
        <v>#VALUE!</v>
      </c>
      <c r="CZ282" s="147" t="b">
        <f>IF(CN282+CL282=0,FALSE,IF(AH282=0,0,IF(AND('Data Entry'!$C$74=1,CR282&gt;=1),TRUE,IF(AND('Data Entry'!$C$74=2,CS282&gt;=1),TRUE,FALSE))))</f>
        <v>0</v>
      </c>
      <c r="DA282" s="1751">
        <f>IF('Data Entry'!$C$74=0,0,IFERROR(ROUND(IF(T282="","",IF($X$4=0,0,IF(CF282=1,0,IF(BQ282+CV282=0,0,IF(CF282=1,0,IF(CY282&gt;0.01,CY282,IF(CL282&gt;0.01,CL282,IF(CY282&gt;0.01,CY282,IF(BC282=37,BO282,IF(CZ282=FALSE,0,IF(CZ282=TRUE,DC282+DF282,0))))))))))),2),""))</f>
        <v>0</v>
      </c>
      <c r="DB282" s="1752"/>
      <c r="DC282" s="474">
        <f>IF(CN282&lt;0.01,0,IF(AND(BR282=3,CN282&gt;0.01,CT282&gt;0.6,ER282+ES282+ET282&lt;100),0,IF(AND('Data Entry'!$C$74=1,CN282&gt;0.01,CR282&gt;0.99),MIN(CN282:CO282),IF(AND('Data Entry'!$C$74=2,CN282&gt;0.01,CS282&gt;0.99),MIN(CN282:CO282),0))))</f>
        <v>0</v>
      </c>
      <c r="DD282" s="478">
        <f>IF(CF282=1,"Selection does not match",IF(T282=0,0,IF(AND('Data Entry'!$C$74=0,CP282&gt;1),"Select Oregon or Idaho on Data Entry Tab",IF(AND(AU282=1,AA282&gt;0.9),"Missing Interior or Exterior Selection",IF($X$4=0,"Enter Total Project Cost",IF(AQ282&lt;AR282,"Insufficient kWh savings – no incentive",IF(AND(SUM(CL282+CK282+BV282)&gt;0.01,'Data Entry'!$C$74=2,CJ282&gt;1,BO282=0),"Submit Control as Non-Standard",IF(AND('Data Entry'!$C$74=2,BR282=37,CJ282&gt;1,BO282=0),"Submit Control as Non-Standard",IF(SUM(CL282+CK282+BV282)&gt;0.01,"Standard Incentive",IF(AND('Data Entry'!$C$74=2,CP282=7,CN282=0),"Submit as Non-Standard",IF(DC282&gt;0.9,"Non-Standard Incentive",IF(AND(BY282+BZ282+CA282&gt;0.01,BV282=0,EQ282=0,ER282=0,ES282=0,ET282=0),"Scroll Right &amp; Select Control Strategies",IF(AND(CN282&gt;0.01,CO282=0),"Enter Unit Installed Cost",IF(ISNUMBER(SEARCH("Lighting Controls Only",F282)),"Lighting Controls Only",IF(CL282+DC282=0,"Does not meet incentive criteria",0)))))))))))))))</f>
        <v>0</v>
      </c>
      <c r="DE282" s="337">
        <f t="shared" si="366"/>
        <v>0</v>
      </c>
      <c r="DF282" s="609">
        <f t="shared" si="367"/>
        <v>0</v>
      </c>
      <c r="DG282" s="336" t="str">
        <f t="shared" si="368"/>
        <v/>
      </c>
      <c r="DH282" s="338">
        <f t="shared" si="369"/>
        <v>1</v>
      </c>
      <c r="DI282" s="336" t="e">
        <f t="shared" si="324"/>
        <v>#VALUE!</v>
      </c>
      <c r="DJ282" s="338">
        <f t="shared" si="325"/>
        <v>0</v>
      </c>
      <c r="DO282" s="81"/>
      <c r="DP282" s="81"/>
      <c r="DQ282" s="81"/>
      <c r="DR282" s="81"/>
      <c r="DS282" s="1195">
        <f t="shared" si="370"/>
        <v>0</v>
      </c>
      <c r="DT282" s="344" t="b">
        <f t="shared" si="371"/>
        <v>1</v>
      </c>
      <c r="DU282" s="1314" t="str">
        <f t="array" ref="DU282">IF(OR(COUNTIF(F282,"*"&amp;$DK$9:$DK$178&amp;"*")), "Yes", "")</f>
        <v/>
      </c>
      <c r="DV282" s="1314">
        <f t="shared" si="372"/>
        <v>0</v>
      </c>
      <c r="DW282" s="1480">
        <f t="shared" si="373"/>
        <v>0</v>
      </c>
      <c r="DX282" s="1498">
        <f t="shared" si="382"/>
        <v>0</v>
      </c>
      <c r="DY282" s="1484">
        <f t="shared" si="374"/>
        <v>0</v>
      </c>
      <c r="DZ282" s="331"/>
      <c r="EA282" s="392"/>
      <c r="EB282" s="1499" t="s">
        <v>460</v>
      </c>
      <c r="EC282" s="727" t="s">
        <v>1569</v>
      </c>
      <c r="ED282" s="728">
        <v>0.5</v>
      </c>
      <c r="EE282" s="1215"/>
      <c r="EF282" s="1215"/>
      <c r="EG282" s="1184" t="str">
        <f t="shared" si="375"/>
        <v/>
      </c>
      <c r="EJ282" s="1185">
        <f t="shared" si="326"/>
        <v>0</v>
      </c>
      <c r="EK282" s="1211"/>
      <c r="EL282" s="1180">
        <f t="shared" si="327"/>
        <v>0</v>
      </c>
      <c r="EM282" s="206"/>
      <c r="EN282" s="1038"/>
      <c r="EO282" s="1038"/>
      <c r="EP282" s="1038"/>
      <c r="EQ282" s="1038">
        <f t="shared" si="376"/>
        <v>0</v>
      </c>
      <c r="ER282" s="1041">
        <f t="shared" si="377"/>
        <v>0</v>
      </c>
      <c r="ES282" s="1042">
        <f t="shared" si="378"/>
        <v>0</v>
      </c>
      <c r="ET282" s="1042">
        <f t="shared" si="383"/>
        <v>0</v>
      </c>
      <c r="EU282" s="1021">
        <f t="shared" si="384"/>
        <v>0</v>
      </c>
      <c r="EV282" s="368"/>
      <c r="EW282" s="368"/>
      <c r="EX282" s="369"/>
      <c r="EY282" s="370"/>
      <c r="EZ282" s="370"/>
      <c r="FA282" s="371"/>
      <c r="FB282" s="372"/>
    </row>
    <row r="283" spans="1:158" ht="34.5" customHeight="1">
      <c r="A283" s="82">
        <v>275</v>
      </c>
      <c r="B283" s="1806"/>
      <c r="C283" s="1807"/>
      <c r="D283" s="1807"/>
      <c r="E283" s="1808"/>
      <c r="F283" s="1809"/>
      <c r="G283" s="1810"/>
      <c r="H283" s="1810"/>
      <c r="I283" s="1811"/>
      <c r="J283" s="1301"/>
      <c r="K283" s="1814"/>
      <c r="L283" s="1814"/>
      <c r="M283" s="1017"/>
      <c r="N283" s="1584"/>
      <c r="O283" s="208" t="str">
        <f t="shared" si="314"/>
        <v/>
      </c>
      <c r="P283" s="785"/>
      <c r="Q283" s="39" t="str">
        <f t="shared" si="315"/>
        <v/>
      </c>
      <c r="R283" s="39">
        <f t="shared" si="328"/>
        <v>0</v>
      </c>
      <c r="S283" s="234">
        <f t="shared" si="329"/>
        <v>0</v>
      </c>
      <c r="T283" s="1815"/>
      <c r="U283" s="1815"/>
      <c r="V283" s="1815"/>
      <c r="W283" s="1121"/>
      <c r="X283" s="1812"/>
      <c r="Y283" s="1813"/>
      <c r="Z283" s="703"/>
      <c r="AA283" s="1280"/>
      <c r="AB283" s="1141"/>
      <c r="AC283" s="1103" t="str">
        <f>IF(T283="","",VLOOKUP(Z283,Lists!$A$60:$B$111,2,FALSE))</f>
        <v/>
      </c>
      <c r="AD283" s="130" t="str">
        <f t="shared" si="330"/>
        <v/>
      </c>
      <c r="AE283" s="130" t="e">
        <f t="shared" si="331"/>
        <v>#VALUE!</v>
      </c>
      <c r="AF283" s="130">
        <f t="shared" si="332"/>
        <v>1</v>
      </c>
      <c r="AG283" s="234">
        <f t="shared" si="316"/>
        <v>0</v>
      </c>
      <c r="AH283" s="1753" t="str">
        <f>IF(T283="","",(IF(ISNUMBER(SEARCH("exit",T283)),8760,IF(AND(M283="Dusk to Dawn",'Proposed Lighting'!AU283=3),4059,IF(AND(AU283=3,M283="1"),0,IF(AND(AU283=3,M283="1-C"),0,IF(AND(AU283=3,M283="2"),0,IF(AND(AU283=3,M283="2-C"),0,IF(AND(AU283=3,M283="3"),0,IF(AND(AU283=3,M283="3-C"),0,IF(AND(AU283=2,M283="Dusk to Dawn"),0,IF(AND(AU283=2,M283="Dusk to Dawn-C"),0,IF(AND(AU283=2,M283="Dusk to Dawn"),0,IF(AND(AU283=2,M283="E"),0,IF(AND(AU283=2,M283="E-C"),0,EG283)))))))))))))))</f>
        <v/>
      </c>
      <c r="AI283" s="1754"/>
      <c r="AJ283" s="1136"/>
      <c r="AK283" s="1136"/>
      <c r="AL283" s="1748">
        <f t="shared" si="333"/>
        <v>0</v>
      </c>
      <c r="AM283" s="1749"/>
      <c r="AN283" s="1750"/>
      <c r="AO283" s="476">
        <f t="shared" si="317"/>
        <v>0</v>
      </c>
      <c r="AP283" s="476">
        <f t="shared" si="334"/>
        <v>0</v>
      </c>
      <c r="AQ283" s="475">
        <f t="shared" si="318"/>
        <v>0</v>
      </c>
      <c r="AR283" s="475">
        <f t="shared" si="335"/>
        <v>0</v>
      </c>
      <c r="AS283" s="743" t="str">
        <f t="shared" si="310"/>
        <v/>
      </c>
      <c r="AT283" s="736" t="str">
        <f t="shared" si="336"/>
        <v/>
      </c>
      <c r="AU283" s="56">
        <f t="shared" si="337"/>
        <v>1</v>
      </c>
      <c r="AV283" s="476">
        <f t="shared" si="338"/>
        <v>0</v>
      </c>
      <c r="AW283" s="56">
        <f t="shared" si="339"/>
        <v>0</v>
      </c>
      <c r="AX283" s="475">
        <f t="shared" si="319"/>
        <v>0</v>
      </c>
      <c r="AY283" s="1169">
        <f t="shared" si="340"/>
        <v>0</v>
      </c>
      <c r="AZ283" s="1150">
        <f t="shared" si="379"/>
        <v>0</v>
      </c>
      <c r="BA283" s="56">
        <f t="shared" si="320"/>
        <v>0</v>
      </c>
      <c r="BB283" s="420">
        <f t="shared" si="321"/>
        <v>0</v>
      </c>
      <c r="BC283" s="58" t="str">
        <f t="shared" si="322"/>
        <v/>
      </c>
      <c r="BD283" s="660">
        <f t="shared" si="380"/>
        <v>0</v>
      </c>
      <c r="BE283" s="57" t="e">
        <f t="array" ref="BE283">INDEX($EB$11:$ED$1022,MATCH(F283&amp;T283,$EB$11:$EB$1007&amp;$EC$11:$EC$1007,0),3)</f>
        <v>#N/A</v>
      </c>
      <c r="BF283" s="463">
        <f t="shared" si="311"/>
        <v>0</v>
      </c>
      <c r="BG283" s="1445" t="e">
        <f t="array" ref="BG283">INDEX($DO$112:$DQ$123,MATCH(T283&amp;W283,$DO$114:$DO$125&amp;$DP$112:$DP$123,0),3)</f>
        <v>#N/A</v>
      </c>
      <c r="BH283" s="1446">
        <f t="shared" si="341"/>
        <v>0</v>
      </c>
      <c r="BI283" s="465">
        <f t="shared" si="342"/>
        <v>0</v>
      </c>
      <c r="BJ283" s="465">
        <f t="shared" si="343"/>
        <v>0</v>
      </c>
      <c r="BK283" s="466">
        <f t="shared" si="312"/>
        <v>0</v>
      </c>
      <c r="BL283" s="466">
        <f t="shared" si="313"/>
        <v>0</v>
      </c>
      <c r="BM283" s="466">
        <f t="shared" si="344"/>
        <v>0</v>
      </c>
      <c r="BN283" s="466">
        <f t="shared" si="345"/>
        <v>0</v>
      </c>
      <c r="BO283" s="463">
        <f>IF('Data Entry'!$C$74=0,0,IF(ISNA(CJ283),0,IF(AX283=0,0,IF(AND('Data Entry'!$C$74=2,AF283&gt;2,CE283&lt;1),0,IF(AND('Data Entry'!$C$74=2,AF283&gt;1,AU283=2,CJ283&gt;1),0,IF(AND(AF283=5,CT283=0.5,AU283=2,ER283&lt;100),0,IF(AND(AF283=5,CT283=0.5,AU283=3,ER283&lt;100),0,IF(AND('Data Entry'!$C$74=2,AF283=2,AU283=2,AK283&gt;0.01,CB283=2,CE283&lt;1),0,IF(AND('Data Entry'!$C$74=2,AF283=3,AU283=3,AK283&gt;0.01,CB283=3,CE283&lt;1),0,IF(AND('Data Entry'!$C$74=2,AF283=3,AU283=3,AK283&gt;0.01,CB283=3,CE283&gt;0.99),BQ283*0.08,IF(AND('Data Entry'!$C$74=2,AF283=2,AU283=2,AK283&gt;0.01,CB283=2,CE283&gt;0.99),BQ283*0.1,IF(AND(AU283=2,AK283&gt;0.01,CB283=2,CD283&gt;1),BQ283*0.1,IF(AND(AU283=3,AK283&gt;0.01,CB283=3,CD283&gt;1),BQ283*0.08,CJ283*EF283)))))))))))))</f>
        <v>0</v>
      </c>
      <c r="BP283" s="475">
        <f t="shared" si="346"/>
        <v>0</v>
      </c>
      <c r="BQ283" s="1431">
        <f>IF(AU283=1,0,IF(CH283=100,0,IF(AND(AF283=3,AU283=2),0,IF(AND(BH283=0,CT283&gt;0.4),0,IF(AND('Data Entry'!$C$74=2,AF283=1.5),0,IF(AND('Data Entry'!$C$74=2,AF283=1.6),0,IF(AND('Data Entry'!$C$74=2,AF283=4),0,IF(AND('Data Entry'!$C$74=2,AF283=5),0,IF(AND('Data Entry'!$C$74=2,AF283=2.5,CE283&lt;1),0,IF(AND('Data Entry'!$C$74=2,AF283=3,CE283&lt;1),0,IF(AND('Data Entry'!$C$74=1,AF283=2.5,CD283&lt;1),0,IF(AND('Data Entry'!$C$74=1,AF283=3,CD283&lt;1),0,IF(DX283&gt;0.01,DX283,IF(ISERROR(AX283-AY283),"",ROUND(AX283-AY283,2)))))))))))))))</f>
        <v>0</v>
      </c>
      <c r="BR283" s="146">
        <f t="shared" si="347"/>
        <v>0</v>
      </c>
      <c r="BS283" s="475">
        <f t="shared" si="348"/>
        <v>0</v>
      </c>
      <c r="BT283" s="146" t="b">
        <f t="shared" si="349"/>
        <v>0</v>
      </c>
      <c r="BU283" s="463">
        <f>IF(ISNA(AT283),0,IF(AND('Data Entry'!$C$74=2,BC283=27),0,IF(AND('Data Entry'!$C$74=2,BC283=28),0,IF(AND(BC283=27,BT283=27,CM283&gt;0.1),CM283*0.15,IF(AND(BC283=28,BT283=28,CM283&gt;0.1),CM283*0.12,0)))))</f>
        <v>0</v>
      </c>
      <c r="BV283" s="463">
        <f t="shared" si="386"/>
        <v>0</v>
      </c>
      <c r="BW283" s="463">
        <f t="shared" si="350"/>
        <v>0</v>
      </c>
      <c r="BX283" s="463">
        <f t="shared" si="351"/>
        <v>0</v>
      </c>
      <c r="BY283" s="463">
        <f t="shared" si="352"/>
        <v>0</v>
      </c>
      <c r="BZ283" s="463">
        <f t="shared" si="353"/>
        <v>0</v>
      </c>
      <c r="CA283" s="57">
        <f t="shared" si="381"/>
        <v>0</v>
      </c>
      <c r="CB283" s="56">
        <f t="shared" si="354"/>
        <v>1</v>
      </c>
      <c r="CC283" s="756">
        <f>IF(EE283=0,0,IF(EF283=0,0,IF(EE283&gt;AA283,0,IF(AND(AZ283&gt;AW283,AW283&gt;0),0,IF(CU283=0,0,Summary!AC586)))))</f>
        <v>0</v>
      </c>
      <c r="CD283" s="756">
        <f>IF(EE283=0,0,IF(EF283=0,0,IF(EE283&gt;AA283,0,IF(AND(AZ283&gt;AW283,AW283&gt;0),0,IF(CU283=0,0,Summary!AD586)))))</f>
        <v>0</v>
      </c>
      <c r="CE283" s="756">
        <f>IF(EF283=0,0,IF(EE283&gt;AA283,0,IF(CC283=0,0,IF(AND(AZ283&gt;AW283,AW283&gt;0),0,IF(CU283=0,0,Summary!AE586)))))</f>
        <v>0</v>
      </c>
      <c r="CF283" s="475">
        <f t="shared" si="355"/>
        <v>0</v>
      </c>
      <c r="CG283" s="476">
        <f t="shared" si="323"/>
        <v>0</v>
      </c>
      <c r="CH283" s="487">
        <f t="shared" si="356"/>
        <v>0</v>
      </c>
      <c r="CI283" s="756">
        <f t="shared" si="357"/>
        <v>0</v>
      </c>
      <c r="CJ283" s="487">
        <f>IF(CT283&gt;0.4,0,IF(AND(AU283=2,CH283=0,CT283=0.5,ER283=100),35,IF(AND(AU283=3,BB283&gt;75,CH283=0,CT283=0.5,ER283=100),25,IF(CB283&gt;1,0,IF(EF283&gt;EE283,0,IF(AND(AF283&gt;1,CH283=100),0,IF(AND(AF283=1,AY283=0),0,IF(AND(EF283&lt;=EE283,AW283&gt;=AZ283,'Data Entry'!$C$74=1,AU283=2),VLOOKUP(W283,$DO$96:$DP$102,2,FALSE),IF(AND(EF283&lt;=EE283,AW283&gt;=AZ283,AU283=3,'Data Entry'!$C$74=1),VLOOKUP(W283,$DO$127:$DP$134,2,FALSE))))))))))</f>
        <v>0</v>
      </c>
      <c r="CK283" s="716">
        <f t="shared" si="358"/>
        <v>0</v>
      </c>
      <c r="CL283" s="57">
        <f t="shared" si="359"/>
        <v>0</v>
      </c>
      <c r="CM283" s="475">
        <f t="shared" si="385"/>
        <v>0</v>
      </c>
      <c r="CN283" s="660">
        <f>IF(CM283&lt;0.1,0,IF(ISNA(AT283),0,IF(CL283+BC283=1,0,IF(BV283&gt;0.01,0,IF(CL283&gt;0.01,0,IF(CF283=1,0,IF(BC283=0.5,0,IF(AND(CI283=1,AU283=3),0,IF(AND(CI283=5,CL283=0),0,IF(AND(R283=12,BR283=50),0,IF(CK283&gt;0.01,0,IF(AND(AJ283&gt;0.01,AU283=2,BC283=15),CM283*0.1,IF(AND(AJ283&gt;0.01,AU283=3,BC283=15),CM283*0.08,IF(AND(R283=12,BC283=3,AF283&lt;=0),0,IF(AND(BC283=15,BI283=0),0,IF(AND(BC283=15,BJ283=0),0,IF(AND(R283=20,CU283=0),0,IF($X$4=0,0,IF(AND(BC283=250,CL283=0),0,IF(AA283&lt;1,0,IF(AND(ISNUMBER(SEARCH("Area",T283)),AU283=3),0,IF(AND(AQ283&gt;0.01,AR283=0,BK283=0,BL283=0,BM283=0,BN283=0),0,IF(AND(AU283=3,CI283=7,CT283&gt;0.5),0,IF(AND(BC283=44,AU283=3,BY283=0),0,IF(AND(BC283=27,'Data Entry'!$C$74=2),0,IF(AND(BC283=28,'Data Entry'!$C$74=2),0,IF(AND(BY283+BZ283+CA283&gt;0.01,BV283=0,EQ283+ER283+ES283+ET283&lt;100),0,IF(AU283=3,CM283*0.08,IF(AU283=2,CM283*0.1,0)))))))))))))))))))))))))))))</f>
        <v>0</v>
      </c>
      <c r="CO283" s="660">
        <f t="shared" si="360"/>
        <v>0</v>
      </c>
      <c r="CP283" s="475" t="str">
        <f t="shared" si="361"/>
        <v/>
      </c>
      <c r="CQ283" s="161" t="str">
        <f>IF(AH283=0,0,IF(AU283=5,0,Summary!AC286))</f>
        <v/>
      </c>
      <c r="CR283" s="161" t="str">
        <f>IF(BF283=0.5,0,IF(AU283=5,0,Summary!AD286))</f>
        <v/>
      </c>
      <c r="CS283" s="161" t="str">
        <f>IF(AU283=5,0,Summary!AE286)</f>
        <v/>
      </c>
      <c r="CT283" s="161">
        <f t="shared" si="362"/>
        <v>0</v>
      </c>
      <c r="CU283" s="475" t="str">
        <f t="shared" si="363"/>
        <v/>
      </c>
      <c r="CV283" s="307">
        <f>IF('Data Entry'!$C$74=0,0,IF(AA283&lt;1,0,IF(ISERROR(CU283),0,IF(CF283=1,0,IF(AND(R283=12,BR283=50),0,IF(CL283+BO283+BV283+DC283=0,0,IF(BC283=37,0,IF(AND(BC283=40,AJ283=0),0,IF(AND(BC283=37,BO283&gt;0.01,BQ283&gt;0.01),ROUND(BQ283,0),IF(CM283&lt;0,0,ROUND(CM283,0)))))))))))</f>
        <v>0</v>
      </c>
      <c r="CW283" s="700">
        <f t="shared" si="364"/>
        <v>0</v>
      </c>
      <c r="CX283" s="477">
        <f>IF('Data Entry'!$C$74=0,0,IF(CV283&lt;0.01,0,IF(BF283=0.5,0,IF(CF283=1,0,IF(ISNUMBER(SEARCH("false",CL283)),0,IF(AZ283=500,0,CL283))))))</f>
        <v>0</v>
      </c>
      <c r="CY283" s="147" t="e">
        <f t="shared" si="365"/>
        <v>#VALUE!</v>
      </c>
      <c r="CZ283" s="147" t="b">
        <f>IF(CN283+CL283=0,FALSE,IF(AH283=0,0,IF(AND('Data Entry'!$C$74=1,CR283&gt;=1),TRUE,IF(AND('Data Entry'!$C$74=2,CS283&gt;=1),TRUE,FALSE))))</f>
        <v>0</v>
      </c>
      <c r="DA283" s="1751">
        <f>IF('Data Entry'!$C$74=0,0,IFERROR(ROUND(IF(T283="","",IF($X$4=0,0,IF(CF283=1,0,IF(BQ283+CV283=0,0,IF(CF283=1,0,IF(CY283&gt;0.01,CY283,IF(CL283&gt;0.01,CL283,IF(CY283&gt;0.01,CY283,IF(BC283=37,BO283,IF(CZ283=FALSE,0,IF(CZ283=TRUE,DC283+DF283,0))))))))))),2),""))</f>
        <v>0</v>
      </c>
      <c r="DB283" s="1752"/>
      <c r="DC283" s="474">
        <f>IF(CN283&lt;0.01,0,IF(AND(BR283=3,CN283&gt;0.01,CT283&gt;0.6,ER283+ES283+ET283&lt;100),0,IF(AND('Data Entry'!$C$74=1,CN283&gt;0.01,CR283&gt;0.99),MIN(CN283:CO283),IF(AND('Data Entry'!$C$74=2,CN283&gt;0.01,CS283&gt;0.99),MIN(CN283:CO283),0))))</f>
        <v>0</v>
      </c>
      <c r="DD283" s="478">
        <f>IF(CF283=1,"Selection does not match",IF(T283=0,0,IF(AND('Data Entry'!$C$74=0,CP283&gt;1),"Select Oregon or Idaho on Data Entry Tab",IF(AND(AU283=1,AA283&gt;0.9),"Missing Interior or Exterior Selection",IF($X$4=0,"Enter Total Project Cost",IF(AQ283&lt;AR283,"Insufficient kWh savings – no incentive",IF(AND(SUM(CL283+CK283+BV283)&gt;0.01,'Data Entry'!$C$74=2,CJ283&gt;1,BO283=0),"Submit Control as Non-Standard",IF(AND('Data Entry'!$C$74=2,BR283=37,CJ283&gt;1,BO283=0),"Submit Control as Non-Standard",IF(SUM(CL283+CK283+BV283)&gt;0.01,"Standard Incentive",IF(AND('Data Entry'!$C$74=2,CP283=7,CN283=0),"Submit as Non-Standard",IF(DC283&gt;0.9,"Non-Standard Incentive",IF(AND(BY283+BZ283+CA283&gt;0.01,BV283=0,EQ283=0,ER283=0,ES283=0,ET283=0),"Scroll Right &amp; Select Control Strategies",IF(AND(CN283&gt;0.01,CO283=0),"Enter Unit Installed Cost",IF(ISNUMBER(SEARCH("Lighting Controls Only",F283)),"Lighting Controls Only",IF(CL283+DC283=0,"Does not meet incentive criteria",0)))))))))))))))</f>
        <v>0</v>
      </c>
      <c r="DE283" s="337">
        <f t="shared" si="366"/>
        <v>0</v>
      </c>
      <c r="DF283" s="609">
        <f t="shared" si="367"/>
        <v>0</v>
      </c>
      <c r="DG283" s="336" t="str">
        <f t="shared" si="368"/>
        <v/>
      </c>
      <c r="DH283" s="338">
        <f t="shared" si="369"/>
        <v>1</v>
      </c>
      <c r="DI283" s="336" t="e">
        <f t="shared" si="324"/>
        <v>#VALUE!</v>
      </c>
      <c r="DJ283" s="338">
        <f t="shared" si="325"/>
        <v>0</v>
      </c>
      <c r="DO283" s="81"/>
      <c r="DP283" s="81"/>
      <c r="DQ283" s="81"/>
      <c r="DR283" s="81"/>
      <c r="DS283" s="1195">
        <f t="shared" si="370"/>
        <v>0</v>
      </c>
      <c r="DT283" s="344" t="b">
        <f t="shared" si="371"/>
        <v>1</v>
      </c>
      <c r="DU283" s="1314" t="str">
        <f t="array" ref="DU283">IF(OR(COUNTIF(F283,"*"&amp;$DK$9:$DK$178&amp;"*")), "Yes", "")</f>
        <v/>
      </c>
      <c r="DV283" s="1314">
        <f t="shared" si="372"/>
        <v>0</v>
      </c>
      <c r="DW283" s="1480">
        <f t="shared" si="373"/>
        <v>0</v>
      </c>
      <c r="DX283" s="1498">
        <f t="shared" si="382"/>
        <v>0</v>
      </c>
      <c r="DY283" s="1484">
        <f t="shared" si="374"/>
        <v>0</v>
      </c>
      <c r="DZ283" s="331"/>
      <c r="EA283" s="392"/>
      <c r="EB283" s="1499" t="s">
        <v>505</v>
      </c>
      <c r="EC283" s="727" t="s">
        <v>1569</v>
      </c>
      <c r="ED283" s="728">
        <v>0.5</v>
      </c>
      <c r="EE283" s="1215"/>
      <c r="EF283" s="1215"/>
      <c r="EG283" s="1184" t="str">
        <f t="shared" si="375"/>
        <v/>
      </c>
      <c r="EJ283" s="1185">
        <f t="shared" si="326"/>
        <v>0</v>
      </c>
      <c r="EK283" s="1211"/>
      <c r="EL283" s="1180">
        <f t="shared" si="327"/>
        <v>0</v>
      </c>
      <c r="EM283" s="206"/>
      <c r="EN283" s="1038"/>
      <c r="EO283" s="1038"/>
      <c r="EP283" s="1038"/>
      <c r="EQ283" s="1038">
        <f t="shared" si="376"/>
        <v>0</v>
      </c>
      <c r="ER283" s="1041">
        <f t="shared" si="377"/>
        <v>0</v>
      </c>
      <c r="ES283" s="1042">
        <f t="shared" si="378"/>
        <v>0</v>
      </c>
      <c r="ET283" s="1042">
        <f t="shared" si="383"/>
        <v>0</v>
      </c>
      <c r="EU283" s="1021">
        <f t="shared" si="384"/>
        <v>0</v>
      </c>
      <c r="EV283" s="368"/>
      <c r="EW283" s="368"/>
      <c r="EX283" s="369"/>
      <c r="EY283" s="370"/>
      <c r="EZ283" s="370"/>
      <c r="FA283" s="371"/>
      <c r="FB283" s="372"/>
    </row>
    <row r="284" spans="1:158" ht="34.5" customHeight="1">
      <c r="A284" s="82">
        <v>276</v>
      </c>
      <c r="B284" s="1806"/>
      <c r="C284" s="1807"/>
      <c r="D284" s="1807"/>
      <c r="E284" s="1808"/>
      <c r="F284" s="1809"/>
      <c r="G284" s="1810"/>
      <c r="H284" s="1810"/>
      <c r="I284" s="1811"/>
      <c r="J284" s="1301"/>
      <c r="K284" s="1814"/>
      <c r="L284" s="1814"/>
      <c r="M284" s="1017"/>
      <c r="N284" s="1584"/>
      <c r="O284" s="208" t="str">
        <f t="shared" si="314"/>
        <v/>
      </c>
      <c r="P284" s="785"/>
      <c r="Q284" s="39" t="str">
        <f t="shared" si="315"/>
        <v/>
      </c>
      <c r="R284" s="39">
        <f t="shared" si="328"/>
        <v>0</v>
      </c>
      <c r="S284" s="234">
        <f t="shared" si="329"/>
        <v>0</v>
      </c>
      <c r="T284" s="1815"/>
      <c r="U284" s="1815"/>
      <c r="V284" s="1815"/>
      <c r="W284" s="1121"/>
      <c r="X284" s="1812"/>
      <c r="Y284" s="1813"/>
      <c r="Z284" s="703"/>
      <c r="AA284" s="1280"/>
      <c r="AB284" s="1141"/>
      <c r="AC284" s="1103" t="str">
        <f>IF(T284="","",VLOOKUP(Z284,Lists!$A$60:$B$111,2,FALSE))</f>
        <v/>
      </c>
      <c r="AD284" s="130" t="str">
        <f t="shared" si="330"/>
        <v/>
      </c>
      <c r="AE284" s="130" t="e">
        <f t="shared" si="331"/>
        <v>#VALUE!</v>
      </c>
      <c r="AF284" s="130">
        <f t="shared" si="332"/>
        <v>1</v>
      </c>
      <c r="AG284" s="234">
        <f t="shared" si="316"/>
        <v>0</v>
      </c>
      <c r="AH284" s="1753" t="str">
        <f>IF(T284="","",(IF(ISNUMBER(SEARCH("exit",T284)),8760,IF(AND(M284="Dusk to Dawn",'Proposed Lighting'!AU284=3),4059,IF(AND(AU284=3,M284="1"),0,IF(AND(AU284=3,M284="1-C"),0,IF(AND(AU284=3,M284="2"),0,IF(AND(AU284=3,M284="2-C"),0,IF(AND(AU284=3,M284="3"),0,IF(AND(AU284=3,M284="3-C"),0,IF(AND(AU284=2,M284="Dusk to Dawn"),0,IF(AND(AU284=2,M284="Dusk to Dawn-C"),0,IF(AND(AU284=2,M284="Dusk to Dawn"),0,IF(AND(AU284=2,M284="E"),0,IF(AND(AU284=2,M284="E-C"),0,EG284)))))))))))))))</f>
        <v/>
      </c>
      <c r="AI284" s="1754"/>
      <c r="AJ284" s="1136"/>
      <c r="AK284" s="1136"/>
      <c r="AL284" s="1748">
        <f t="shared" si="333"/>
        <v>0</v>
      </c>
      <c r="AM284" s="1749"/>
      <c r="AN284" s="1750"/>
      <c r="AO284" s="476">
        <f t="shared" si="317"/>
        <v>0</v>
      </c>
      <c r="AP284" s="476">
        <f t="shared" si="334"/>
        <v>0</v>
      </c>
      <c r="AQ284" s="475">
        <f t="shared" si="318"/>
        <v>0</v>
      </c>
      <c r="AR284" s="475">
        <f t="shared" si="335"/>
        <v>0</v>
      </c>
      <c r="AS284" s="743" t="str">
        <f t="shared" si="310"/>
        <v/>
      </c>
      <c r="AT284" s="736" t="str">
        <f t="shared" si="336"/>
        <v/>
      </c>
      <c r="AU284" s="56">
        <f t="shared" si="337"/>
        <v>1</v>
      </c>
      <c r="AV284" s="476">
        <f t="shared" si="338"/>
        <v>0</v>
      </c>
      <c r="AW284" s="56">
        <f t="shared" si="339"/>
        <v>0</v>
      </c>
      <c r="AX284" s="475">
        <f t="shared" si="319"/>
        <v>0</v>
      </c>
      <c r="AY284" s="1169">
        <f t="shared" si="340"/>
        <v>0</v>
      </c>
      <c r="AZ284" s="1150">
        <f t="shared" si="379"/>
        <v>0</v>
      </c>
      <c r="BA284" s="56">
        <f t="shared" si="320"/>
        <v>0</v>
      </c>
      <c r="BB284" s="420">
        <f t="shared" si="321"/>
        <v>0</v>
      </c>
      <c r="BC284" s="58" t="str">
        <f t="shared" si="322"/>
        <v/>
      </c>
      <c r="BD284" s="660">
        <f t="shared" si="380"/>
        <v>0</v>
      </c>
      <c r="BE284" s="57" t="e">
        <f t="array" ref="BE284">INDEX($EB$11:$ED$1022,MATCH(F284&amp;T284,$EB$11:$EB$1007&amp;$EC$11:$EC$1007,0),3)</f>
        <v>#N/A</v>
      </c>
      <c r="BF284" s="463">
        <f t="shared" si="311"/>
        <v>0</v>
      </c>
      <c r="BG284" s="1445" t="e">
        <f t="array" ref="BG284">INDEX($DO$112:$DQ$123,MATCH(T284&amp;W284,$DO$114:$DO$125&amp;$DP$112:$DP$123,0),3)</f>
        <v>#N/A</v>
      </c>
      <c r="BH284" s="1446">
        <f t="shared" si="341"/>
        <v>0</v>
      </c>
      <c r="BI284" s="465">
        <f t="shared" si="342"/>
        <v>0</v>
      </c>
      <c r="BJ284" s="465">
        <f t="shared" si="343"/>
        <v>0</v>
      </c>
      <c r="BK284" s="466">
        <f t="shared" si="312"/>
        <v>0</v>
      </c>
      <c r="BL284" s="466">
        <f t="shared" si="313"/>
        <v>0</v>
      </c>
      <c r="BM284" s="466">
        <f t="shared" si="344"/>
        <v>0</v>
      </c>
      <c r="BN284" s="466">
        <f t="shared" si="345"/>
        <v>0</v>
      </c>
      <c r="BO284" s="463">
        <f>IF('Data Entry'!$C$74=0,0,IF(ISNA(CJ284),0,IF(AX284=0,0,IF(AND('Data Entry'!$C$74=2,AF284&gt;2,CE284&lt;1),0,IF(AND('Data Entry'!$C$74=2,AF284&gt;1,AU284=2,CJ284&gt;1),0,IF(AND(AF284=5,CT284=0.5,AU284=2,ER284&lt;100),0,IF(AND(AF284=5,CT284=0.5,AU284=3,ER284&lt;100),0,IF(AND('Data Entry'!$C$74=2,AF284=2,AU284=2,AK284&gt;0.01,CB284=2,CE284&lt;1),0,IF(AND('Data Entry'!$C$74=2,AF284=3,AU284=3,AK284&gt;0.01,CB284=3,CE284&lt;1),0,IF(AND('Data Entry'!$C$74=2,AF284=3,AU284=3,AK284&gt;0.01,CB284=3,CE284&gt;0.99),BQ284*0.08,IF(AND('Data Entry'!$C$74=2,AF284=2,AU284=2,AK284&gt;0.01,CB284=2,CE284&gt;0.99),BQ284*0.1,IF(AND(AU284=2,AK284&gt;0.01,CB284=2,CD284&gt;1),BQ284*0.1,IF(AND(AU284=3,AK284&gt;0.01,CB284=3,CD284&gt;1),BQ284*0.08,CJ284*EF284)))))))))))))</f>
        <v>0</v>
      </c>
      <c r="BP284" s="475">
        <f t="shared" si="346"/>
        <v>0</v>
      </c>
      <c r="BQ284" s="1431">
        <f>IF(AU284=1,0,IF(CH284=100,0,IF(AND(AF284=3,AU284=2),0,IF(AND(BH284=0,CT284&gt;0.4),0,IF(AND('Data Entry'!$C$74=2,AF284=1.5),0,IF(AND('Data Entry'!$C$74=2,AF284=1.6),0,IF(AND('Data Entry'!$C$74=2,AF284=4),0,IF(AND('Data Entry'!$C$74=2,AF284=5),0,IF(AND('Data Entry'!$C$74=2,AF284=2.5,CE284&lt;1),0,IF(AND('Data Entry'!$C$74=2,AF284=3,CE284&lt;1),0,IF(AND('Data Entry'!$C$74=1,AF284=2.5,CD284&lt;1),0,IF(AND('Data Entry'!$C$74=1,AF284=3,CD284&lt;1),0,IF(DX284&gt;0.01,DX284,IF(ISERROR(AX284-AY284),"",ROUND(AX284-AY284,2)))))))))))))))</f>
        <v>0</v>
      </c>
      <c r="BR284" s="146">
        <f t="shared" si="347"/>
        <v>0</v>
      </c>
      <c r="BS284" s="475">
        <f t="shared" si="348"/>
        <v>0</v>
      </c>
      <c r="BT284" s="146" t="b">
        <f t="shared" si="349"/>
        <v>0</v>
      </c>
      <c r="BU284" s="463">
        <f>IF(ISNA(AT284),0,IF(AND('Data Entry'!$C$74=2,BC284=27),0,IF(AND('Data Entry'!$C$74=2,BC284=28),0,IF(AND(BC284=27,BT284=27,CM284&gt;0.1),CM284*0.15,IF(AND(BC284=28,BT284=28,CM284&gt;0.1),CM284*0.12,0)))))</f>
        <v>0</v>
      </c>
      <c r="BV284" s="463">
        <f t="shared" si="386"/>
        <v>0</v>
      </c>
      <c r="BW284" s="463">
        <f t="shared" si="350"/>
        <v>0</v>
      </c>
      <c r="BX284" s="463">
        <f t="shared" si="351"/>
        <v>0</v>
      </c>
      <c r="BY284" s="463">
        <f t="shared" si="352"/>
        <v>0</v>
      </c>
      <c r="BZ284" s="463">
        <f t="shared" si="353"/>
        <v>0</v>
      </c>
      <c r="CA284" s="57">
        <f t="shared" si="381"/>
        <v>0</v>
      </c>
      <c r="CB284" s="56">
        <f t="shared" si="354"/>
        <v>1</v>
      </c>
      <c r="CC284" s="756">
        <f>IF(EE284=0,0,IF(EF284=0,0,IF(EE284&gt;AA284,0,IF(AND(AZ284&gt;AW284,AW284&gt;0),0,IF(CU284=0,0,Summary!AC587)))))</f>
        <v>0</v>
      </c>
      <c r="CD284" s="756">
        <f>IF(EE284=0,0,IF(EF284=0,0,IF(EE284&gt;AA284,0,IF(AND(AZ284&gt;AW284,AW284&gt;0),0,IF(CU284=0,0,Summary!AD587)))))</f>
        <v>0</v>
      </c>
      <c r="CE284" s="756">
        <f>IF(EF284=0,0,IF(EE284&gt;AA284,0,IF(CC284=0,0,IF(AND(AZ284&gt;AW284,AW284&gt;0),0,IF(CU284=0,0,Summary!AE587)))))</f>
        <v>0</v>
      </c>
      <c r="CF284" s="475">
        <f t="shared" si="355"/>
        <v>0</v>
      </c>
      <c r="CG284" s="476">
        <f t="shared" si="323"/>
        <v>0</v>
      </c>
      <c r="CH284" s="487">
        <f t="shared" si="356"/>
        <v>0</v>
      </c>
      <c r="CI284" s="756">
        <f t="shared" si="357"/>
        <v>0</v>
      </c>
      <c r="CJ284" s="487">
        <f>IF(CT284&gt;0.4,0,IF(AND(AU284=2,CH284=0,CT284=0.5,ER284=100),35,IF(AND(AU284=3,BB284&gt;75,CH284=0,CT284=0.5,ER284=100),25,IF(CB284&gt;1,0,IF(EF284&gt;EE284,0,IF(AND(AF284&gt;1,CH284=100),0,IF(AND(AF284=1,AY284=0),0,IF(AND(EF284&lt;=EE284,AW284&gt;=AZ284,'Data Entry'!$C$74=1,AU284=2),VLOOKUP(W284,$DO$96:$DP$102,2,FALSE),IF(AND(EF284&lt;=EE284,AW284&gt;=AZ284,AU284=3,'Data Entry'!$C$74=1),VLOOKUP(W284,$DO$127:$DP$134,2,FALSE))))))))))</f>
        <v>0</v>
      </c>
      <c r="CK284" s="716">
        <f t="shared" si="358"/>
        <v>0</v>
      </c>
      <c r="CL284" s="57">
        <f t="shared" si="359"/>
        <v>0</v>
      </c>
      <c r="CM284" s="475">
        <f t="shared" si="385"/>
        <v>0</v>
      </c>
      <c r="CN284" s="660">
        <f>IF(CM284&lt;0.1,0,IF(ISNA(AT284),0,IF(CL284+BC284=1,0,IF(BV284&gt;0.01,0,IF(CL284&gt;0.01,0,IF(CF284=1,0,IF(BC284=0.5,0,IF(AND(CI284=1,AU284=3),0,IF(AND(CI284=5,CL284=0),0,IF(AND(R284=12,BR284=50),0,IF(CK284&gt;0.01,0,IF(AND(AJ284&gt;0.01,AU284=2,BC284=15),CM284*0.1,IF(AND(AJ284&gt;0.01,AU284=3,BC284=15),CM284*0.08,IF(AND(R284=12,BC284=3,AF284&lt;=0),0,IF(AND(BC284=15,BI284=0),0,IF(AND(BC284=15,BJ284=0),0,IF(AND(R284=20,CU284=0),0,IF($X$4=0,0,IF(AND(BC284=250,CL284=0),0,IF(AA284&lt;1,0,IF(AND(ISNUMBER(SEARCH("Area",T284)),AU284=3),0,IF(AND(AQ284&gt;0.01,AR284=0,BK284=0,BL284=0,BM284=0,BN284=0),0,IF(AND(AU284=3,CI284=7,CT284&gt;0.5),0,IF(AND(BC284=44,AU284=3,BY284=0),0,IF(AND(BC284=27,'Data Entry'!$C$74=2),0,IF(AND(BC284=28,'Data Entry'!$C$74=2),0,IF(AND(BY284+BZ284+CA284&gt;0.01,BV284=0,EQ284+ER284+ES284+ET284&lt;100),0,IF(AU284=3,CM284*0.08,IF(AU284=2,CM284*0.1,0)))))))))))))))))))))))))))))</f>
        <v>0</v>
      </c>
      <c r="CO284" s="660">
        <f t="shared" si="360"/>
        <v>0</v>
      </c>
      <c r="CP284" s="475" t="str">
        <f t="shared" si="361"/>
        <v/>
      </c>
      <c r="CQ284" s="161" t="str">
        <f>IF(AH284=0,0,IF(AU284=5,0,Summary!AC287))</f>
        <v/>
      </c>
      <c r="CR284" s="161" t="str">
        <f>IF(BF284=0.5,0,IF(AU284=5,0,Summary!AD287))</f>
        <v/>
      </c>
      <c r="CS284" s="161" t="str">
        <f>IF(AU284=5,0,Summary!AE287)</f>
        <v/>
      </c>
      <c r="CT284" s="161">
        <f t="shared" si="362"/>
        <v>0</v>
      </c>
      <c r="CU284" s="475" t="str">
        <f t="shared" si="363"/>
        <v/>
      </c>
      <c r="CV284" s="307">
        <f>IF('Data Entry'!$C$74=0,0,IF(AA284&lt;1,0,IF(ISERROR(CU284),0,IF(CF284=1,0,IF(AND(R284=12,BR284=50),0,IF(CL284+BO284+BV284+DC284=0,0,IF(BC284=37,0,IF(AND(BC284=40,AJ284=0),0,IF(AND(BC284=37,BO284&gt;0.01,BQ284&gt;0.01),ROUND(BQ284,0),IF(CM284&lt;0,0,ROUND(CM284,0)))))))))))</f>
        <v>0</v>
      </c>
      <c r="CW284" s="700">
        <f t="shared" si="364"/>
        <v>0</v>
      </c>
      <c r="CX284" s="477">
        <f>IF('Data Entry'!$C$74=0,0,IF(CV284&lt;0.01,0,IF(BF284=0.5,0,IF(CF284=1,0,IF(ISNUMBER(SEARCH("false",CL284)),0,IF(AZ284=500,0,CL284))))))</f>
        <v>0</v>
      </c>
      <c r="CY284" s="147" t="e">
        <f t="shared" si="365"/>
        <v>#VALUE!</v>
      </c>
      <c r="CZ284" s="147" t="b">
        <f>IF(CN284+CL284=0,FALSE,IF(AH284=0,0,IF(AND('Data Entry'!$C$74=1,CR284&gt;=1),TRUE,IF(AND('Data Entry'!$C$74=2,CS284&gt;=1),TRUE,FALSE))))</f>
        <v>0</v>
      </c>
      <c r="DA284" s="1751">
        <f>IF('Data Entry'!$C$74=0,0,IFERROR(ROUND(IF(T284="","",IF($X$4=0,0,IF(CF284=1,0,IF(BQ284+CV284=0,0,IF(CF284=1,0,IF(CY284&gt;0.01,CY284,IF(CL284&gt;0.01,CL284,IF(CY284&gt;0.01,CY284,IF(BC284=37,BO284,IF(CZ284=FALSE,0,IF(CZ284=TRUE,DC284+DF284,0))))))))))),2),""))</f>
        <v>0</v>
      </c>
      <c r="DB284" s="1752"/>
      <c r="DC284" s="474">
        <f>IF(CN284&lt;0.01,0,IF(AND(BR284=3,CN284&gt;0.01,CT284&gt;0.6,ER284+ES284+ET284&lt;100),0,IF(AND('Data Entry'!$C$74=1,CN284&gt;0.01,CR284&gt;0.99),MIN(CN284:CO284),IF(AND('Data Entry'!$C$74=2,CN284&gt;0.01,CS284&gt;0.99),MIN(CN284:CO284),0))))</f>
        <v>0</v>
      </c>
      <c r="DD284" s="478">
        <f>IF(CF284=1,"Selection does not match",IF(T284=0,0,IF(AND('Data Entry'!$C$74=0,CP284&gt;1),"Select Oregon or Idaho on Data Entry Tab",IF(AND(AU284=1,AA284&gt;0.9),"Missing Interior or Exterior Selection",IF($X$4=0,"Enter Total Project Cost",IF(AQ284&lt;AR284,"Insufficient kWh savings – no incentive",IF(AND(SUM(CL284+CK284+BV284)&gt;0.01,'Data Entry'!$C$74=2,CJ284&gt;1,BO284=0),"Submit Control as Non-Standard",IF(AND('Data Entry'!$C$74=2,BR284=37,CJ284&gt;1,BO284=0),"Submit Control as Non-Standard",IF(SUM(CL284+CK284+BV284)&gt;0.01,"Standard Incentive",IF(AND('Data Entry'!$C$74=2,CP284=7,CN284=0),"Submit as Non-Standard",IF(DC284&gt;0.9,"Non-Standard Incentive",IF(AND(BY284+BZ284+CA284&gt;0.01,BV284=0,EQ284=0,ER284=0,ES284=0,ET284=0),"Scroll Right &amp; Select Control Strategies",IF(AND(CN284&gt;0.01,CO284=0),"Enter Unit Installed Cost",IF(ISNUMBER(SEARCH("Lighting Controls Only",F284)),"Lighting Controls Only",IF(CL284+DC284=0,"Does not meet incentive criteria",0)))))))))))))))</f>
        <v>0</v>
      </c>
      <c r="DE284" s="337">
        <f t="shared" si="366"/>
        <v>0</v>
      </c>
      <c r="DF284" s="609">
        <f t="shared" si="367"/>
        <v>0</v>
      </c>
      <c r="DG284" s="336" t="str">
        <f t="shared" si="368"/>
        <v/>
      </c>
      <c r="DH284" s="338">
        <f t="shared" si="369"/>
        <v>1</v>
      </c>
      <c r="DI284" s="336" t="e">
        <f t="shared" si="324"/>
        <v>#VALUE!</v>
      </c>
      <c r="DJ284" s="338">
        <f t="shared" si="325"/>
        <v>0</v>
      </c>
      <c r="DO284" s="81"/>
      <c r="DP284" s="81"/>
      <c r="DQ284" s="81"/>
      <c r="DR284" s="81"/>
      <c r="DS284" s="1195">
        <f t="shared" si="370"/>
        <v>0</v>
      </c>
      <c r="DT284" s="344" t="b">
        <f t="shared" si="371"/>
        <v>1</v>
      </c>
      <c r="DU284" s="1314" t="str">
        <f t="array" ref="DU284">IF(OR(COUNTIF(F284,"*"&amp;$DK$9:$DK$178&amp;"*")), "Yes", "")</f>
        <v/>
      </c>
      <c r="DV284" s="1314">
        <f t="shared" si="372"/>
        <v>0</v>
      </c>
      <c r="DW284" s="1480">
        <f t="shared" si="373"/>
        <v>0</v>
      </c>
      <c r="DX284" s="1498">
        <f t="shared" si="382"/>
        <v>0</v>
      </c>
      <c r="DY284" s="1484">
        <f t="shared" si="374"/>
        <v>0</v>
      </c>
      <c r="DZ284" s="331"/>
      <c r="EA284" s="392"/>
      <c r="EB284" s="1499" t="s">
        <v>468</v>
      </c>
      <c r="EC284" s="727" t="s">
        <v>1569</v>
      </c>
      <c r="ED284" s="728">
        <v>0.5</v>
      </c>
      <c r="EE284" s="1215"/>
      <c r="EF284" s="1215"/>
      <c r="EG284" s="1184" t="str">
        <f t="shared" si="375"/>
        <v/>
      </c>
      <c r="EJ284" s="1185">
        <f t="shared" si="326"/>
        <v>0</v>
      </c>
      <c r="EK284" s="1211"/>
      <c r="EL284" s="1180">
        <f t="shared" si="327"/>
        <v>0</v>
      </c>
      <c r="EM284" s="206"/>
      <c r="EN284" s="1038"/>
      <c r="EO284" s="1038"/>
      <c r="EP284" s="1038"/>
      <c r="EQ284" s="1038">
        <f t="shared" si="376"/>
        <v>0</v>
      </c>
      <c r="ER284" s="1041">
        <f t="shared" si="377"/>
        <v>0</v>
      </c>
      <c r="ES284" s="1042">
        <f t="shared" si="378"/>
        <v>0</v>
      </c>
      <c r="ET284" s="1042">
        <f t="shared" si="383"/>
        <v>0</v>
      </c>
      <c r="EU284" s="1021">
        <f t="shared" si="384"/>
        <v>0</v>
      </c>
      <c r="EV284" s="368"/>
      <c r="EW284" s="368"/>
      <c r="EX284" s="369"/>
      <c r="EY284" s="370"/>
      <c r="EZ284" s="370"/>
      <c r="FA284" s="371"/>
      <c r="FB284" s="372"/>
    </row>
    <row r="285" spans="1:158" ht="34.5" customHeight="1">
      <c r="A285" s="82">
        <v>277</v>
      </c>
      <c r="B285" s="1806"/>
      <c r="C285" s="1807"/>
      <c r="D285" s="1807"/>
      <c r="E285" s="1808"/>
      <c r="F285" s="1809"/>
      <c r="G285" s="1810"/>
      <c r="H285" s="1810"/>
      <c r="I285" s="1811"/>
      <c r="J285" s="1301"/>
      <c r="K285" s="1814"/>
      <c r="L285" s="1814"/>
      <c r="M285" s="1017"/>
      <c r="N285" s="1584"/>
      <c r="O285" s="208" t="str">
        <f t="shared" si="314"/>
        <v/>
      </c>
      <c r="P285" s="785"/>
      <c r="Q285" s="39" t="str">
        <f t="shared" si="315"/>
        <v/>
      </c>
      <c r="R285" s="39">
        <f t="shared" si="328"/>
        <v>0</v>
      </c>
      <c r="S285" s="234">
        <f t="shared" si="329"/>
        <v>0</v>
      </c>
      <c r="T285" s="1815"/>
      <c r="U285" s="1815"/>
      <c r="V285" s="1815"/>
      <c r="W285" s="1121"/>
      <c r="X285" s="1812"/>
      <c r="Y285" s="1813"/>
      <c r="Z285" s="703"/>
      <c r="AA285" s="1280"/>
      <c r="AB285" s="1141"/>
      <c r="AC285" s="1103" t="str">
        <f>IF(T285="","",VLOOKUP(Z285,Lists!$A$60:$B$111,2,FALSE))</f>
        <v/>
      </c>
      <c r="AD285" s="130" t="str">
        <f t="shared" si="330"/>
        <v/>
      </c>
      <c r="AE285" s="130" t="e">
        <f t="shared" si="331"/>
        <v>#VALUE!</v>
      </c>
      <c r="AF285" s="130">
        <f t="shared" si="332"/>
        <v>1</v>
      </c>
      <c r="AG285" s="234">
        <f t="shared" si="316"/>
        <v>0</v>
      </c>
      <c r="AH285" s="1753" t="str">
        <f>IF(T285="","",(IF(ISNUMBER(SEARCH("exit",T285)),8760,IF(AND(M285="Dusk to Dawn",'Proposed Lighting'!AU285=3),4059,IF(AND(AU285=3,M285="1"),0,IF(AND(AU285=3,M285="1-C"),0,IF(AND(AU285=3,M285="2"),0,IF(AND(AU285=3,M285="2-C"),0,IF(AND(AU285=3,M285="3"),0,IF(AND(AU285=3,M285="3-C"),0,IF(AND(AU285=2,M285="Dusk to Dawn"),0,IF(AND(AU285=2,M285="Dusk to Dawn-C"),0,IF(AND(AU285=2,M285="Dusk to Dawn"),0,IF(AND(AU285=2,M285="E"),0,IF(AND(AU285=2,M285="E-C"),0,EG285)))))))))))))))</f>
        <v/>
      </c>
      <c r="AI285" s="1754"/>
      <c r="AJ285" s="1136"/>
      <c r="AK285" s="1136"/>
      <c r="AL285" s="1748">
        <f t="shared" si="333"/>
        <v>0</v>
      </c>
      <c r="AM285" s="1749"/>
      <c r="AN285" s="1750"/>
      <c r="AO285" s="476">
        <f t="shared" si="317"/>
        <v>0</v>
      </c>
      <c r="AP285" s="476">
        <f t="shared" si="334"/>
        <v>0</v>
      </c>
      <c r="AQ285" s="475">
        <f t="shared" si="318"/>
        <v>0</v>
      </c>
      <c r="AR285" s="475">
        <f t="shared" si="335"/>
        <v>0</v>
      </c>
      <c r="AS285" s="743" t="str">
        <f t="shared" si="310"/>
        <v/>
      </c>
      <c r="AT285" s="736" t="str">
        <f t="shared" si="336"/>
        <v/>
      </c>
      <c r="AU285" s="56">
        <f t="shared" si="337"/>
        <v>1</v>
      </c>
      <c r="AV285" s="476">
        <f t="shared" si="338"/>
        <v>0</v>
      </c>
      <c r="AW285" s="56">
        <f t="shared" si="339"/>
        <v>0</v>
      </c>
      <c r="AX285" s="475">
        <f t="shared" si="319"/>
        <v>0</v>
      </c>
      <c r="AY285" s="1169">
        <f t="shared" si="340"/>
        <v>0</v>
      </c>
      <c r="AZ285" s="1150">
        <f t="shared" si="379"/>
        <v>0</v>
      </c>
      <c r="BA285" s="56">
        <f t="shared" si="320"/>
        <v>0</v>
      </c>
      <c r="BB285" s="420">
        <f t="shared" si="321"/>
        <v>0</v>
      </c>
      <c r="BC285" s="58" t="str">
        <f t="shared" si="322"/>
        <v/>
      </c>
      <c r="BD285" s="660">
        <f t="shared" si="380"/>
        <v>0</v>
      </c>
      <c r="BE285" s="57" t="e">
        <f t="array" ref="BE285">INDEX($EB$11:$ED$1022,MATCH(F285&amp;T285,$EB$11:$EB$1007&amp;$EC$11:$EC$1007,0),3)</f>
        <v>#N/A</v>
      </c>
      <c r="BF285" s="463">
        <f t="shared" si="311"/>
        <v>0</v>
      </c>
      <c r="BG285" s="1445" t="e">
        <f t="array" ref="BG285">INDEX($DO$112:$DQ$123,MATCH(T285&amp;W285,$DO$114:$DO$125&amp;$DP$112:$DP$123,0),3)</f>
        <v>#N/A</v>
      </c>
      <c r="BH285" s="1446">
        <f t="shared" si="341"/>
        <v>0</v>
      </c>
      <c r="BI285" s="465">
        <f t="shared" si="342"/>
        <v>0</v>
      </c>
      <c r="BJ285" s="465">
        <f t="shared" si="343"/>
        <v>0</v>
      </c>
      <c r="BK285" s="466">
        <f t="shared" si="312"/>
        <v>0</v>
      </c>
      <c r="BL285" s="466">
        <f t="shared" si="313"/>
        <v>0</v>
      </c>
      <c r="BM285" s="466">
        <f t="shared" si="344"/>
        <v>0</v>
      </c>
      <c r="BN285" s="466">
        <f t="shared" si="345"/>
        <v>0</v>
      </c>
      <c r="BO285" s="463">
        <f>IF('Data Entry'!$C$74=0,0,IF(ISNA(CJ285),0,IF(AX285=0,0,IF(AND('Data Entry'!$C$74=2,AF285&gt;2,CE285&lt;1),0,IF(AND('Data Entry'!$C$74=2,AF285&gt;1,AU285=2,CJ285&gt;1),0,IF(AND(AF285=5,CT285=0.5,AU285=2,ER285&lt;100),0,IF(AND(AF285=5,CT285=0.5,AU285=3,ER285&lt;100),0,IF(AND('Data Entry'!$C$74=2,AF285=2,AU285=2,AK285&gt;0.01,CB285=2,CE285&lt;1),0,IF(AND('Data Entry'!$C$74=2,AF285=3,AU285=3,AK285&gt;0.01,CB285=3,CE285&lt;1),0,IF(AND('Data Entry'!$C$74=2,AF285=3,AU285=3,AK285&gt;0.01,CB285=3,CE285&gt;0.99),BQ285*0.08,IF(AND('Data Entry'!$C$74=2,AF285=2,AU285=2,AK285&gt;0.01,CB285=2,CE285&gt;0.99),BQ285*0.1,IF(AND(AU285=2,AK285&gt;0.01,CB285=2,CD285&gt;1),BQ285*0.1,IF(AND(AU285=3,AK285&gt;0.01,CB285=3,CD285&gt;1),BQ285*0.08,CJ285*EF285)))))))))))))</f>
        <v>0</v>
      </c>
      <c r="BP285" s="475">
        <f t="shared" si="346"/>
        <v>0</v>
      </c>
      <c r="BQ285" s="1431">
        <f>IF(AU285=1,0,IF(CH285=100,0,IF(AND(AF285=3,AU285=2),0,IF(AND(BH285=0,CT285&gt;0.4),0,IF(AND('Data Entry'!$C$74=2,AF285=1.5),0,IF(AND('Data Entry'!$C$74=2,AF285=1.6),0,IF(AND('Data Entry'!$C$74=2,AF285=4),0,IF(AND('Data Entry'!$C$74=2,AF285=5),0,IF(AND('Data Entry'!$C$74=2,AF285=2.5,CE285&lt;1),0,IF(AND('Data Entry'!$C$74=2,AF285=3,CE285&lt;1),0,IF(AND('Data Entry'!$C$74=1,AF285=2.5,CD285&lt;1),0,IF(AND('Data Entry'!$C$74=1,AF285=3,CD285&lt;1),0,IF(DX285&gt;0.01,DX285,IF(ISERROR(AX285-AY285),"",ROUND(AX285-AY285,2)))))))))))))))</f>
        <v>0</v>
      </c>
      <c r="BR285" s="146">
        <f t="shared" si="347"/>
        <v>0</v>
      </c>
      <c r="BS285" s="475">
        <f t="shared" si="348"/>
        <v>0</v>
      </c>
      <c r="BT285" s="146" t="b">
        <f t="shared" si="349"/>
        <v>0</v>
      </c>
      <c r="BU285" s="463">
        <f>IF(ISNA(AT285),0,IF(AND('Data Entry'!$C$74=2,BC285=27),0,IF(AND('Data Entry'!$C$74=2,BC285=28),0,IF(AND(BC285=27,BT285=27,CM285&gt;0.1),CM285*0.15,IF(AND(BC285=28,BT285=28,CM285&gt;0.1),CM285*0.12,0)))))</f>
        <v>0</v>
      </c>
      <c r="BV285" s="463">
        <f t="shared" si="386"/>
        <v>0</v>
      </c>
      <c r="BW285" s="463">
        <f t="shared" si="350"/>
        <v>0</v>
      </c>
      <c r="BX285" s="463">
        <f t="shared" si="351"/>
        <v>0</v>
      </c>
      <c r="BY285" s="463">
        <f t="shared" si="352"/>
        <v>0</v>
      </c>
      <c r="BZ285" s="463">
        <f t="shared" si="353"/>
        <v>0</v>
      </c>
      <c r="CA285" s="57">
        <f t="shared" si="381"/>
        <v>0</v>
      </c>
      <c r="CB285" s="56">
        <f t="shared" si="354"/>
        <v>1</v>
      </c>
      <c r="CC285" s="756">
        <f>IF(EE285=0,0,IF(EF285=0,0,IF(EE285&gt;AA285,0,IF(AND(AZ285&gt;AW285,AW285&gt;0),0,IF(CU285=0,0,Summary!AC588)))))</f>
        <v>0</v>
      </c>
      <c r="CD285" s="756">
        <f>IF(EE285=0,0,IF(EF285=0,0,IF(EE285&gt;AA285,0,IF(AND(AZ285&gt;AW285,AW285&gt;0),0,IF(CU285=0,0,Summary!AD588)))))</f>
        <v>0</v>
      </c>
      <c r="CE285" s="756">
        <f>IF(EF285=0,0,IF(EE285&gt;AA285,0,IF(CC285=0,0,IF(AND(AZ285&gt;AW285,AW285&gt;0),0,IF(CU285=0,0,Summary!AE588)))))</f>
        <v>0</v>
      </c>
      <c r="CF285" s="475">
        <f t="shared" si="355"/>
        <v>0</v>
      </c>
      <c r="CG285" s="476">
        <f t="shared" si="323"/>
        <v>0</v>
      </c>
      <c r="CH285" s="487">
        <f t="shared" si="356"/>
        <v>0</v>
      </c>
      <c r="CI285" s="756">
        <f t="shared" si="357"/>
        <v>0</v>
      </c>
      <c r="CJ285" s="487">
        <f>IF(CT285&gt;0.4,0,IF(AND(AU285=2,CH285=0,CT285=0.5,ER285=100),35,IF(AND(AU285=3,BB285&gt;75,CH285=0,CT285=0.5,ER285=100),25,IF(CB285&gt;1,0,IF(EF285&gt;EE285,0,IF(AND(AF285&gt;1,CH285=100),0,IF(AND(AF285=1,AY285=0),0,IF(AND(EF285&lt;=EE285,AW285&gt;=AZ285,'Data Entry'!$C$74=1,AU285=2),VLOOKUP(W285,$DO$96:$DP$102,2,FALSE),IF(AND(EF285&lt;=EE285,AW285&gt;=AZ285,AU285=3,'Data Entry'!$C$74=1),VLOOKUP(W285,$DO$127:$DP$134,2,FALSE))))))))))</f>
        <v>0</v>
      </c>
      <c r="CK285" s="716">
        <f t="shared" si="358"/>
        <v>0</v>
      </c>
      <c r="CL285" s="57">
        <f t="shared" si="359"/>
        <v>0</v>
      </c>
      <c r="CM285" s="475">
        <f t="shared" si="385"/>
        <v>0</v>
      </c>
      <c r="CN285" s="660">
        <f>IF(CM285&lt;0.1,0,IF(ISNA(AT285),0,IF(CL285+BC285=1,0,IF(BV285&gt;0.01,0,IF(CL285&gt;0.01,0,IF(CF285=1,0,IF(BC285=0.5,0,IF(AND(CI285=1,AU285=3),0,IF(AND(CI285=5,CL285=0),0,IF(AND(R285=12,BR285=50),0,IF(CK285&gt;0.01,0,IF(AND(AJ285&gt;0.01,AU285=2,BC285=15),CM285*0.1,IF(AND(AJ285&gt;0.01,AU285=3,BC285=15),CM285*0.08,IF(AND(R285=12,BC285=3,AF285&lt;=0),0,IF(AND(BC285=15,BI285=0),0,IF(AND(BC285=15,BJ285=0),0,IF(AND(R285=20,CU285=0),0,IF($X$4=0,0,IF(AND(BC285=250,CL285=0),0,IF(AA285&lt;1,0,IF(AND(ISNUMBER(SEARCH("Area",T285)),AU285=3),0,IF(AND(AQ285&gt;0.01,AR285=0,BK285=0,BL285=0,BM285=0,BN285=0),0,IF(AND(AU285=3,CI285=7,CT285&gt;0.5),0,IF(AND(BC285=44,AU285=3,BY285=0),0,IF(AND(BC285=27,'Data Entry'!$C$74=2),0,IF(AND(BC285=28,'Data Entry'!$C$74=2),0,IF(AND(BY285+BZ285+CA285&gt;0.01,BV285=0,EQ285+ER285+ES285+ET285&lt;100),0,IF(AU285=3,CM285*0.08,IF(AU285=2,CM285*0.1,0)))))))))))))))))))))))))))))</f>
        <v>0</v>
      </c>
      <c r="CO285" s="660">
        <f t="shared" si="360"/>
        <v>0</v>
      </c>
      <c r="CP285" s="475" t="str">
        <f t="shared" si="361"/>
        <v/>
      </c>
      <c r="CQ285" s="161" t="str">
        <f>IF(AH285=0,0,IF(AU285=5,0,Summary!AC288))</f>
        <v/>
      </c>
      <c r="CR285" s="161" t="str">
        <f>IF(BF285=0.5,0,IF(AU285=5,0,Summary!AD288))</f>
        <v/>
      </c>
      <c r="CS285" s="161" t="str">
        <f>IF(AU285=5,0,Summary!AE288)</f>
        <v/>
      </c>
      <c r="CT285" s="161">
        <f t="shared" si="362"/>
        <v>0</v>
      </c>
      <c r="CU285" s="475" t="str">
        <f t="shared" si="363"/>
        <v/>
      </c>
      <c r="CV285" s="307">
        <f>IF('Data Entry'!$C$74=0,0,IF(AA285&lt;1,0,IF(ISERROR(CU285),0,IF(CF285=1,0,IF(AND(R285=12,BR285=50),0,IF(CL285+BO285+BV285+DC285=0,0,IF(BC285=37,0,IF(AND(BC285=40,AJ285=0),0,IF(AND(BC285=37,BO285&gt;0.01,BQ285&gt;0.01),ROUND(BQ285,0),IF(CM285&lt;0,0,ROUND(CM285,0)))))))))))</f>
        <v>0</v>
      </c>
      <c r="CW285" s="700">
        <f t="shared" si="364"/>
        <v>0</v>
      </c>
      <c r="CX285" s="477">
        <f>IF('Data Entry'!$C$74=0,0,IF(CV285&lt;0.01,0,IF(BF285=0.5,0,IF(CF285=1,0,IF(ISNUMBER(SEARCH("false",CL285)),0,IF(AZ285=500,0,CL285))))))</f>
        <v>0</v>
      </c>
      <c r="CY285" s="147" t="e">
        <f t="shared" si="365"/>
        <v>#VALUE!</v>
      </c>
      <c r="CZ285" s="147" t="b">
        <f>IF(CN285+CL285=0,FALSE,IF(AH285=0,0,IF(AND('Data Entry'!$C$74=1,CR285&gt;=1),TRUE,IF(AND('Data Entry'!$C$74=2,CS285&gt;=1),TRUE,FALSE))))</f>
        <v>0</v>
      </c>
      <c r="DA285" s="1751">
        <f>IF('Data Entry'!$C$74=0,0,IFERROR(ROUND(IF(T285="","",IF($X$4=0,0,IF(CF285=1,0,IF(BQ285+CV285=0,0,IF(CF285=1,0,IF(CY285&gt;0.01,CY285,IF(CL285&gt;0.01,CL285,IF(CY285&gt;0.01,CY285,IF(BC285=37,BO285,IF(CZ285=FALSE,0,IF(CZ285=TRUE,DC285+DF285,0))))))))))),2),""))</f>
        <v>0</v>
      </c>
      <c r="DB285" s="1752"/>
      <c r="DC285" s="474">
        <f>IF(CN285&lt;0.01,0,IF(AND(BR285=3,CN285&gt;0.01,CT285&gt;0.6,ER285+ES285+ET285&lt;100),0,IF(AND('Data Entry'!$C$74=1,CN285&gt;0.01,CR285&gt;0.99),MIN(CN285:CO285),IF(AND('Data Entry'!$C$74=2,CN285&gt;0.01,CS285&gt;0.99),MIN(CN285:CO285),0))))</f>
        <v>0</v>
      </c>
      <c r="DD285" s="478">
        <f>IF(CF285=1,"Selection does not match",IF(T285=0,0,IF(AND('Data Entry'!$C$74=0,CP285&gt;1),"Select Oregon or Idaho on Data Entry Tab",IF(AND(AU285=1,AA285&gt;0.9),"Missing Interior or Exterior Selection",IF($X$4=0,"Enter Total Project Cost",IF(AQ285&lt;AR285,"Insufficient kWh savings – no incentive",IF(AND(SUM(CL285+CK285+BV285)&gt;0.01,'Data Entry'!$C$74=2,CJ285&gt;1,BO285=0),"Submit Control as Non-Standard",IF(AND('Data Entry'!$C$74=2,BR285=37,CJ285&gt;1,BO285=0),"Submit Control as Non-Standard",IF(SUM(CL285+CK285+BV285)&gt;0.01,"Standard Incentive",IF(AND('Data Entry'!$C$74=2,CP285=7,CN285=0),"Submit as Non-Standard",IF(DC285&gt;0.9,"Non-Standard Incentive",IF(AND(BY285+BZ285+CA285&gt;0.01,BV285=0,EQ285=0,ER285=0,ES285=0,ET285=0),"Scroll Right &amp; Select Control Strategies",IF(AND(CN285&gt;0.01,CO285=0),"Enter Unit Installed Cost",IF(ISNUMBER(SEARCH("Lighting Controls Only",F285)),"Lighting Controls Only",IF(CL285+DC285=0,"Does not meet incentive criteria",0)))))))))))))))</f>
        <v>0</v>
      </c>
      <c r="DE285" s="337">
        <f t="shared" si="366"/>
        <v>0</v>
      </c>
      <c r="DF285" s="609">
        <f t="shared" si="367"/>
        <v>0</v>
      </c>
      <c r="DG285" s="336" t="str">
        <f t="shared" si="368"/>
        <v/>
      </c>
      <c r="DH285" s="338">
        <f t="shared" si="369"/>
        <v>1</v>
      </c>
      <c r="DI285" s="336" t="e">
        <f t="shared" si="324"/>
        <v>#VALUE!</v>
      </c>
      <c r="DJ285" s="338">
        <f t="shared" si="325"/>
        <v>0</v>
      </c>
      <c r="DO285" s="81"/>
      <c r="DP285" s="81"/>
      <c r="DQ285" s="81"/>
      <c r="DR285" s="81"/>
      <c r="DS285" s="1195">
        <f t="shared" si="370"/>
        <v>0</v>
      </c>
      <c r="DT285" s="344" t="b">
        <f t="shared" si="371"/>
        <v>1</v>
      </c>
      <c r="DU285" s="1314" t="str">
        <f t="array" ref="DU285">IF(OR(COUNTIF(F285,"*"&amp;$DK$9:$DK$178&amp;"*")), "Yes", "")</f>
        <v/>
      </c>
      <c r="DV285" s="1314">
        <f t="shared" si="372"/>
        <v>0</v>
      </c>
      <c r="DW285" s="1480">
        <f t="shared" si="373"/>
        <v>0</v>
      </c>
      <c r="DX285" s="1498">
        <f t="shared" si="382"/>
        <v>0</v>
      </c>
      <c r="DY285" s="1484">
        <f t="shared" si="374"/>
        <v>0</v>
      </c>
      <c r="DZ285" s="331"/>
      <c r="EA285" s="392"/>
      <c r="EB285" s="1499" t="s">
        <v>469</v>
      </c>
      <c r="EC285" s="727" t="s">
        <v>1569</v>
      </c>
      <c r="ED285" s="728">
        <v>0.5</v>
      </c>
      <c r="EE285" s="1215"/>
      <c r="EF285" s="1215"/>
      <c r="EG285" s="1184" t="str">
        <f t="shared" si="375"/>
        <v/>
      </c>
      <c r="EJ285" s="1185">
        <f t="shared" si="326"/>
        <v>0</v>
      </c>
      <c r="EK285" s="1211"/>
      <c r="EL285" s="1180">
        <f t="shared" si="327"/>
        <v>0</v>
      </c>
      <c r="EM285" s="206"/>
      <c r="EN285" s="1038"/>
      <c r="EO285" s="1038"/>
      <c r="EP285" s="1038"/>
      <c r="EQ285" s="1038">
        <f t="shared" si="376"/>
        <v>0</v>
      </c>
      <c r="ER285" s="1041">
        <f t="shared" si="377"/>
        <v>0</v>
      </c>
      <c r="ES285" s="1042">
        <f t="shared" si="378"/>
        <v>0</v>
      </c>
      <c r="ET285" s="1042">
        <f t="shared" si="383"/>
        <v>0</v>
      </c>
      <c r="EU285" s="1021">
        <f t="shared" si="384"/>
        <v>0</v>
      </c>
      <c r="EV285" s="368"/>
      <c r="EW285" s="368"/>
      <c r="EX285" s="369"/>
      <c r="EY285" s="370"/>
      <c r="EZ285" s="370"/>
      <c r="FA285" s="371"/>
      <c r="FB285" s="372"/>
    </row>
    <row r="286" spans="1:158" ht="34.5" customHeight="1">
      <c r="A286" s="82">
        <v>278</v>
      </c>
      <c r="B286" s="1806"/>
      <c r="C286" s="1807"/>
      <c r="D286" s="1807"/>
      <c r="E286" s="1808"/>
      <c r="F286" s="1809"/>
      <c r="G286" s="1810"/>
      <c r="H286" s="1810"/>
      <c r="I286" s="1811"/>
      <c r="J286" s="1301"/>
      <c r="K286" s="1814"/>
      <c r="L286" s="1814"/>
      <c r="M286" s="1017"/>
      <c r="N286" s="1584"/>
      <c r="O286" s="208" t="str">
        <f t="shared" si="314"/>
        <v/>
      </c>
      <c r="P286" s="785"/>
      <c r="Q286" s="39" t="str">
        <f t="shared" si="315"/>
        <v/>
      </c>
      <c r="R286" s="39">
        <f t="shared" si="328"/>
        <v>0</v>
      </c>
      <c r="S286" s="234">
        <f t="shared" si="329"/>
        <v>0</v>
      </c>
      <c r="T286" s="1815"/>
      <c r="U286" s="1815"/>
      <c r="V286" s="1815"/>
      <c r="W286" s="1121"/>
      <c r="X286" s="1812"/>
      <c r="Y286" s="1813"/>
      <c r="Z286" s="703"/>
      <c r="AA286" s="1280"/>
      <c r="AB286" s="1141"/>
      <c r="AC286" s="1103" t="str">
        <f>IF(T286="","",VLOOKUP(Z286,Lists!$A$60:$B$111,2,FALSE))</f>
        <v/>
      </c>
      <c r="AD286" s="130" t="str">
        <f t="shared" si="330"/>
        <v/>
      </c>
      <c r="AE286" s="130" t="e">
        <f t="shared" si="331"/>
        <v>#VALUE!</v>
      </c>
      <c r="AF286" s="130">
        <f t="shared" si="332"/>
        <v>1</v>
      </c>
      <c r="AG286" s="234">
        <f t="shared" si="316"/>
        <v>0</v>
      </c>
      <c r="AH286" s="1753" t="str">
        <f>IF(T286="","",(IF(ISNUMBER(SEARCH("exit",T286)),8760,IF(AND(M286="Dusk to Dawn",'Proposed Lighting'!AU286=3),4059,IF(AND(AU286=3,M286="1"),0,IF(AND(AU286=3,M286="1-C"),0,IF(AND(AU286=3,M286="2"),0,IF(AND(AU286=3,M286="2-C"),0,IF(AND(AU286=3,M286="3"),0,IF(AND(AU286=3,M286="3-C"),0,IF(AND(AU286=2,M286="Dusk to Dawn"),0,IF(AND(AU286=2,M286="Dusk to Dawn-C"),0,IF(AND(AU286=2,M286="Dusk to Dawn"),0,IF(AND(AU286=2,M286="E"),0,IF(AND(AU286=2,M286="E-C"),0,EG286)))))))))))))))</f>
        <v/>
      </c>
      <c r="AI286" s="1754"/>
      <c r="AJ286" s="1136"/>
      <c r="AK286" s="1136"/>
      <c r="AL286" s="1748">
        <f t="shared" si="333"/>
        <v>0</v>
      </c>
      <c r="AM286" s="1749"/>
      <c r="AN286" s="1750"/>
      <c r="AO286" s="476">
        <f t="shared" si="317"/>
        <v>0</v>
      </c>
      <c r="AP286" s="476">
        <f t="shared" si="334"/>
        <v>0</v>
      </c>
      <c r="AQ286" s="475">
        <f t="shared" si="318"/>
        <v>0</v>
      </c>
      <c r="AR286" s="475">
        <f t="shared" si="335"/>
        <v>0</v>
      </c>
      <c r="AS286" s="743" t="str">
        <f t="shared" si="310"/>
        <v/>
      </c>
      <c r="AT286" s="736" t="str">
        <f t="shared" si="336"/>
        <v/>
      </c>
      <c r="AU286" s="56">
        <f t="shared" si="337"/>
        <v>1</v>
      </c>
      <c r="AV286" s="476">
        <f t="shared" si="338"/>
        <v>0</v>
      </c>
      <c r="AW286" s="56">
        <f t="shared" si="339"/>
        <v>0</v>
      </c>
      <c r="AX286" s="475">
        <f t="shared" si="319"/>
        <v>0</v>
      </c>
      <c r="AY286" s="1169">
        <f t="shared" si="340"/>
        <v>0</v>
      </c>
      <c r="AZ286" s="1150">
        <f t="shared" si="379"/>
        <v>0</v>
      </c>
      <c r="BA286" s="56">
        <f t="shared" si="320"/>
        <v>0</v>
      </c>
      <c r="BB286" s="420">
        <f t="shared" si="321"/>
        <v>0</v>
      </c>
      <c r="BC286" s="58" t="str">
        <f t="shared" si="322"/>
        <v/>
      </c>
      <c r="BD286" s="660">
        <f t="shared" si="380"/>
        <v>0</v>
      </c>
      <c r="BE286" s="57" t="e">
        <f t="array" ref="BE286">INDEX($EB$11:$ED$1022,MATCH(F286&amp;T286,$EB$11:$EB$1007&amp;$EC$11:$EC$1007,0),3)</f>
        <v>#N/A</v>
      </c>
      <c r="BF286" s="463">
        <f t="shared" si="311"/>
        <v>0</v>
      </c>
      <c r="BG286" s="1445" t="e">
        <f t="array" ref="BG286">INDEX($DO$112:$DQ$123,MATCH(T286&amp;W286,$DO$114:$DO$125&amp;$DP$112:$DP$123,0),3)</f>
        <v>#N/A</v>
      </c>
      <c r="BH286" s="1446">
        <f t="shared" si="341"/>
        <v>0</v>
      </c>
      <c r="BI286" s="465">
        <f t="shared" si="342"/>
        <v>0</v>
      </c>
      <c r="BJ286" s="465">
        <f t="shared" si="343"/>
        <v>0</v>
      </c>
      <c r="BK286" s="466">
        <f t="shared" si="312"/>
        <v>0</v>
      </c>
      <c r="BL286" s="466">
        <f t="shared" si="313"/>
        <v>0</v>
      </c>
      <c r="BM286" s="466">
        <f t="shared" si="344"/>
        <v>0</v>
      </c>
      <c r="BN286" s="466">
        <f t="shared" si="345"/>
        <v>0</v>
      </c>
      <c r="BO286" s="463">
        <f>IF('Data Entry'!$C$74=0,0,IF(ISNA(CJ286),0,IF(AX286=0,0,IF(AND('Data Entry'!$C$74=2,AF286&gt;2,CE286&lt;1),0,IF(AND('Data Entry'!$C$74=2,AF286&gt;1,AU286=2,CJ286&gt;1),0,IF(AND(AF286=5,CT286=0.5,AU286=2,ER286&lt;100),0,IF(AND(AF286=5,CT286=0.5,AU286=3,ER286&lt;100),0,IF(AND('Data Entry'!$C$74=2,AF286=2,AU286=2,AK286&gt;0.01,CB286=2,CE286&lt;1),0,IF(AND('Data Entry'!$C$74=2,AF286=3,AU286=3,AK286&gt;0.01,CB286=3,CE286&lt;1),0,IF(AND('Data Entry'!$C$74=2,AF286=3,AU286=3,AK286&gt;0.01,CB286=3,CE286&gt;0.99),BQ286*0.08,IF(AND('Data Entry'!$C$74=2,AF286=2,AU286=2,AK286&gt;0.01,CB286=2,CE286&gt;0.99),BQ286*0.1,IF(AND(AU286=2,AK286&gt;0.01,CB286=2,CD286&gt;1),BQ286*0.1,IF(AND(AU286=3,AK286&gt;0.01,CB286=3,CD286&gt;1),BQ286*0.08,CJ286*EF286)))))))))))))</f>
        <v>0</v>
      </c>
      <c r="BP286" s="475">
        <f t="shared" si="346"/>
        <v>0</v>
      </c>
      <c r="BQ286" s="1431">
        <f>IF(AU286=1,0,IF(CH286=100,0,IF(AND(AF286=3,AU286=2),0,IF(AND(BH286=0,CT286&gt;0.4),0,IF(AND('Data Entry'!$C$74=2,AF286=1.5),0,IF(AND('Data Entry'!$C$74=2,AF286=1.6),0,IF(AND('Data Entry'!$C$74=2,AF286=4),0,IF(AND('Data Entry'!$C$74=2,AF286=5),0,IF(AND('Data Entry'!$C$74=2,AF286=2.5,CE286&lt;1),0,IF(AND('Data Entry'!$C$74=2,AF286=3,CE286&lt;1),0,IF(AND('Data Entry'!$C$74=1,AF286=2.5,CD286&lt;1),0,IF(AND('Data Entry'!$C$74=1,AF286=3,CD286&lt;1),0,IF(DX286&gt;0.01,DX286,IF(ISERROR(AX286-AY286),"",ROUND(AX286-AY286,2)))))))))))))))</f>
        <v>0</v>
      </c>
      <c r="BR286" s="146">
        <f t="shared" si="347"/>
        <v>0</v>
      </c>
      <c r="BS286" s="475">
        <f t="shared" si="348"/>
        <v>0</v>
      </c>
      <c r="BT286" s="146" t="b">
        <f t="shared" si="349"/>
        <v>0</v>
      </c>
      <c r="BU286" s="463">
        <f>IF(ISNA(AT286),0,IF(AND('Data Entry'!$C$74=2,BC286=27),0,IF(AND('Data Entry'!$C$74=2,BC286=28),0,IF(AND(BC286=27,BT286=27,CM286&gt;0.1),CM286*0.15,IF(AND(BC286=28,BT286=28,CM286&gt;0.1),CM286*0.12,0)))))</f>
        <v>0</v>
      </c>
      <c r="BV286" s="463">
        <f t="shared" si="386"/>
        <v>0</v>
      </c>
      <c r="BW286" s="463">
        <f t="shared" si="350"/>
        <v>0</v>
      </c>
      <c r="BX286" s="463">
        <f t="shared" si="351"/>
        <v>0</v>
      </c>
      <c r="BY286" s="463">
        <f t="shared" si="352"/>
        <v>0</v>
      </c>
      <c r="BZ286" s="463">
        <f t="shared" si="353"/>
        <v>0</v>
      </c>
      <c r="CA286" s="57">
        <f t="shared" si="381"/>
        <v>0</v>
      </c>
      <c r="CB286" s="56">
        <f t="shared" si="354"/>
        <v>1</v>
      </c>
      <c r="CC286" s="756">
        <f>IF(EE286=0,0,IF(EF286=0,0,IF(EE286&gt;AA286,0,IF(AND(AZ286&gt;AW286,AW286&gt;0),0,IF(CU286=0,0,Summary!AC589)))))</f>
        <v>0</v>
      </c>
      <c r="CD286" s="756">
        <f>IF(EE286=0,0,IF(EF286=0,0,IF(EE286&gt;AA286,0,IF(AND(AZ286&gt;AW286,AW286&gt;0),0,IF(CU286=0,0,Summary!AD589)))))</f>
        <v>0</v>
      </c>
      <c r="CE286" s="756">
        <f>IF(EF286=0,0,IF(EE286&gt;AA286,0,IF(CC286=0,0,IF(AND(AZ286&gt;AW286,AW286&gt;0),0,IF(CU286=0,0,Summary!AE589)))))</f>
        <v>0</v>
      </c>
      <c r="CF286" s="475">
        <f t="shared" si="355"/>
        <v>0</v>
      </c>
      <c r="CG286" s="476">
        <f t="shared" si="323"/>
        <v>0</v>
      </c>
      <c r="CH286" s="487">
        <f t="shared" si="356"/>
        <v>0</v>
      </c>
      <c r="CI286" s="756">
        <f t="shared" si="357"/>
        <v>0</v>
      </c>
      <c r="CJ286" s="487">
        <f>IF(CT286&gt;0.4,0,IF(AND(AU286=2,CH286=0,CT286=0.5,ER286=100),35,IF(AND(AU286=3,BB286&gt;75,CH286=0,CT286=0.5,ER286=100),25,IF(CB286&gt;1,0,IF(EF286&gt;EE286,0,IF(AND(AF286&gt;1,CH286=100),0,IF(AND(AF286=1,AY286=0),0,IF(AND(EF286&lt;=EE286,AW286&gt;=AZ286,'Data Entry'!$C$74=1,AU286=2),VLOOKUP(W286,$DO$96:$DP$102,2,FALSE),IF(AND(EF286&lt;=EE286,AW286&gt;=AZ286,AU286=3,'Data Entry'!$C$74=1),VLOOKUP(W286,$DO$127:$DP$134,2,FALSE))))))))))</f>
        <v>0</v>
      </c>
      <c r="CK286" s="716">
        <f t="shared" si="358"/>
        <v>0</v>
      </c>
      <c r="CL286" s="57">
        <f t="shared" si="359"/>
        <v>0</v>
      </c>
      <c r="CM286" s="475">
        <f t="shared" si="385"/>
        <v>0</v>
      </c>
      <c r="CN286" s="660">
        <f>IF(CM286&lt;0.1,0,IF(ISNA(AT286),0,IF(CL286+BC286=1,0,IF(BV286&gt;0.01,0,IF(CL286&gt;0.01,0,IF(CF286=1,0,IF(BC286=0.5,0,IF(AND(CI286=1,AU286=3),0,IF(AND(CI286=5,CL286=0),0,IF(AND(R286=12,BR286=50),0,IF(CK286&gt;0.01,0,IF(AND(AJ286&gt;0.01,AU286=2,BC286=15),CM286*0.1,IF(AND(AJ286&gt;0.01,AU286=3,BC286=15),CM286*0.08,IF(AND(R286=12,BC286=3,AF286&lt;=0),0,IF(AND(BC286=15,BI286=0),0,IF(AND(BC286=15,BJ286=0),0,IF(AND(R286=20,CU286=0),0,IF($X$4=0,0,IF(AND(BC286=250,CL286=0),0,IF(AA286&lt;1,0,IF(AND(ISNUMBER(SEARCH("Area",T286)),AU286=3),0,IF(AND(AQ286&gt;0.01,AR286=0,BK286=0,BL286=0,BM286=0,BN286=0),0,IF(AND(AU286=3,CI286=7,CT286&gt;0.5),0,IF(AND(BC286=44,AU286=3,BY286=0),0,IF(AND(BC286=27,'Data Entry'!$C$74=2),0,IF(AND(BC286=28,'Data Entry'!$C$74=2),0,IF(AND(BY286+BZ286+CA286&gt;0.01,BV286=0,EQ286+ER286+ES286+ET286&lt;100),0,IF(AU286=3,CM286*0.08,IF(AU286=2,CM286*0.1,0)))))))))))))))))))))))))))))</f>
        <v>0</v>
      </c>
      <c r="CO286" s="660">
        <f t="shared" si="360"/>
        <v>0</v>
      </c>
      <c r="CP286" s="475" t="str">
        <f t="shared" si="361"/>
        <v/>
      </c>
      <c r="CQ286" s="161" t="str">
        <f>IF(AH286=0,0,IF(AU286=5,0,Summary!AC289))</f>
        <v/>
      </c>
      <c r="CR286" s="161" t="str">
        <f>IF(BF286=0.5,0,IF(AU286=5,0,Summary!AD289))</f>
        <v/>
      </c>
      <c r="CS286" s="161" t="str">
        <f>IF(AU286=5,0,Summary!AE289)</f>
        <v/>
      </c>
      <c r="CT286" s="161">
        <f t="shared" si="362"/>
        <v>0</v>
      </c>
      <c r="CU286" s="475" t="str">
        <f t="shared" si="363"/>
        <v/>
      </c>
      <c r="CV286" s="307">
        <f>IF('Data Entry'!$C$74=0,0,IF(AA286&lt;1,0,IF(ISERROR(CU286),0,IF(CF286=1,0,IF(AND(R286=12,BR286=50),0,IF(CL286+BO286+BV286+DC286=0,0,IF(BC286=37,0,IF(AND(BC286=40,AJ286=0),0,IF(AND(BC286=37,BO286&gt;0.01,BQ286&gt;0.01),ROUND(BQ286,0),IF(CM286&lt;0,0,ROUND(CM286,0)))))))))))</f>
        <v>0</v>
      </c>
      <c r="CW286" s="700">
        <f t="shared" si="364"/>
        <v>0</v>
      </c>
      <c r="CX286" s="477">
        <f>IF('Data Entry'!$C$74=0,0,IF(CV286&lt;0.01,0,IF(BF286=0.5,0,IF(CF286=1,0,IF(ISNUMBER(SEARCH("false",CL286)),0,IF(AZ286=500,0,CL286))))))</f>
        <v>0</v>
      </c>
      <c r="CY286" s="147" t="e">
        <f t="shared" si="365"/>
        <v>#VALUE!</v>
      </c>
      <c r="CZ286" s="147" t="b">
        <f>IF(CN286+CL286=0,FALSE,IF(AH286=0,0,IF(AND('Data Entry'!$C$74=1,CR286&gt;=1),TRUE,IF(AND('Data Entry'!$C$74=2,CS286&gt;=1),TRUE,FALSE))))</f>
        <v>0</v>
      </c>
      <c r="DA286" s="1751">
        <f>IF('Data Entry'!$C$74=0,0,IFERROR(ROUND(IF(T286="","",IF($X$4=0,0,IF(CF286=1,0,IF(BQ286+CV286=0,0,IF(CF286=1,0,IF(CY286&gt;0.01,CY286,IF(CL286&gt;0.01,CL286,IF(CY286&gt;0.01,CY286,IF(BC286=37,BO286,IF(CZ286=FALSE,0,IF(CZ286=TRUE,DC286+DF286,0))))))))))),2),""))</f>
        <v>0</v>
      </c>
      <c r="DB286" s="1752"/>
      <c r="DC286" s="474">
        <f>IF(CN286&lt;0.01,0,IF(AND(BR286=3,CN286&gt;0.01,CT286&gt;0.6,ER286+ES286+ET286&lt;100),0,IF(AND('Data Entry'!$C$74=1,CN286&gt;0.01,CR286&gt;0.99),MIN(CN286:CO286),IF(AND('Data Entry'!$C$74=2,CN286&gt;0.01,CS286&gt;0.99),MIN(CN286:CO286),0))))</f>
        <v>0</v>
      </c>
      <c r="DD286" s="478">
        <f>IF(CF286=1,"Selection does not match",IF(T286=0,0,IF(AND('Data Entry'!$C$74=0,CP286&gt;1),"Select Oregon or Idaho on Data Entry Tab",IF(AND(AU286=1,AA286&gt;0.9),"Missing Interior or Exterior Selection",IF($X$4=0,"Enter Total Project Cost",IF(AQ286&lt;AR286,"Insufficient kWh savings – no incentive",IF(AND(SUM(CL286+CK286+BV286)&gt;0.01,'Data Entry'!$C$74=2,CJ286&gt;1,BO286=0),"Submit Control as Non-Standard",IF(AND('Data Entry'!$C$74=2,BR286=37,CJ286&gt;1,BO286=0),"Submit Control as Non-Standard",IF(SUM(CL286+CK286+BV286)&gt;0.01,"Standard Incentive",IF(AND('Data Entry'!$C$74=2,CP286=7,CN286=0),"Submit as Non-Standard",IF(DC286&gt;0.9,"Non-Standard Incentive",IF(AND(BY286+BZ286+CA286&gt;0.01,BV286=0,EQ286=0,ER286=0,ES286=0,ET286=0),"Scroll Right &amp; Select Control Strategies",IF(AND(CN286&gt;0.01,CO286=0),"Enter Unit Installed Cost",IF(ISNUMBER(SEARCH("Lighting Controls Only",F286)),"Lighting Controls Only",IF(CL286+DC286=0,"Does not meet incentive criteria",0)))))))))))))))</f>
        <v>0</v>
      </c>
      <c r="DE286" s="337">
        <f t="shared" si="366"/>
        <v>0</v>
      </c>
      <c r="DF286" s="609">
        <f t="shared" si="367"/>
        <v>0</v>
      </c>
      <c r="DG286" s="336" t="str">
        <f t="shared" si="368"/>
        <v/>
      </c>
      <c r="DH286" s="338">
        <f t="shared" si="369"/>
        <v>1</v>
      </c>
      <c r="DI286" s="336" t="e">
        <f t="shared" si="324"/>
        <v>#VALUE!</v>
      </c>
      <c r="DJ286" s="338">
        <f t="shared" si="325"/>
        <v>0</v>
      </c>
      <c r="DO286" s="81"/>
      <c r="DP286" s="81"/>
      <c r="DQ286" s="81"/>
      <c r="DR286" s="81"/>
      <c r="DS286" s="1195">
        <f t="shared" si="370"/>
        <v>0</v>
      </c>
      <c r="DT286" s="344" t="b">
        <f t="shared" si="371"/>
        <v>1</v>
      </c>
      <c r="DU286" s="1314" t="str">
        <f t="array" ref="DU286">IF(OR(COUNTIF(F286,"*"&amp;$DK$9:$DK$178&amp;"*")), "Yes", "")</f>
        <v/>
      </c>
      <c r="DV286" s="1314">
        <f t="shared" si="372"/>
        <v>0</v>
      </c>
      <c r="DW286" s="1480">
        <f t="shared" si="373"/>
        <v>0</v>
      </c>
      <c r="DX286" s="1498">
        <f t="shared" si="382"/>
        <v>0</v>
      </c>
      <c r="DY286" s="1484">
        <f t="shared" si="374"/>
        <v>0</v>
      </c>
      <c r="DZ286" s="331"/>
      <c r="EA286" s="392"/>
      <c r="EB286" s="1499" t="s">
        <v>775</v>
      </c>
      <c r="EC286" s="727" t="s">
        <v>1569</v>
      </c>
      <c r="ED286" s="728">
        <v>0.5</v>
      </c>
      <c r="EE286" s="1215"/>
      <c r="EF286" s="1215"/>
      <c r="EG286" s="1184" t="str">
        <f t="shared" si="375"/>
        <v/>
      </c>
      <c r="EJ286" s="1185">
        <f t="shared" si="326"/>
        <v>0</v>
      </c>
      <c r="EK286" s="1211"/>
      <c r="EL286" s="1180">
        <f t="shared" si="327"/>
        <v>0</v>
      </c>
      <c r="EM286" s="206"/>
      <c r="EN286" s="1038"/>
      <c r="EO286" s="1038"/>
      <c r="EP286" s="1038"/>
      <c r="EQ286" s="1038">
        <f t="shared" si="376"/>
        <v>0</v>
      </c>
      <c r="ER286" s="1041">
        <f t="shared" si="377"/>
        <v>0</v>
      </c>
      <c r="ES286" s="1042">
        <f t="shared" si="378"/>
        <v>0</v>
      </c>
      <c r="ET286" s="1042">
        <f t="shared" si="383"/>
        <v>0</v>
      </c>
      <c r="EU286" s="1021">
        <f t="shared" si="384"/>
        <v>0</v>
      </c>
      <c r="EV286" s="368"/>
      <c r="EW286" s="368"/>
      <c r="EX286" s="369"/>
      <c r="EY286" s="370"/>
      <c r="EZ286" s="370"/>
      <c r="FA286" s="371"/>
      <c r="FB286" s="372"/>
    </row>
    <row r="287" spans="1:158" ht="34.5" customHeight="1">
      <c r="A287" s="82">
        <v>279</v>
      </c>
      <c r="B287" s="1806"/>
      <c r="C287" s="1807"/>
      <c r="D287" s="1807"/>
      <c r="E287" s="1808"/>
      <c r="F287" s="1809"/>
      <c r="G287" s="1810"/>
      <c r="H287" s="1810"/>
      <c r="I287" s="1811"/>
      <c r="J287" s="1301"/>
      <c r="K287" s="1814"/>
      <c r="L287" s="1814"/>
      <c r="M287" s="1017"/>
      <c r="N287" s="1584"/>
      <c r="O287" s="208" t="str">
        <f t="shared" si="314"/>
        <v/>
      </c>
      <c r="P287" s="785"/>
      <c r="Q287" s="39" t="str">
        <f t="shared" si="315"/>
        <v/>
      </c>
      <c r="R287" s="39">
        <f t="shared" si="328"/>
        <v>0</v>
      </c>
      <c r="S287" s="234">
        <f t="shared" si="329"/>
        <v>0</v>
      </c>
      <c r="T287" s="1815"/>
      <c r="U287" s="1815"/>
      <c r="V287" s="1815"/>
      <c r="W287" s="1121"/>
      <c r="X287" s="1812"/>
      <c r="Y287" s="1813"/>
      <c r="Z287" s="703"/>
      <c r="AA287" s="1280"/>
      <c r="AB287" s="1141"/>
      <c r="AC287" s="1103" t="str">
        <f>IF(T287="","",VLOOKUP(Z287,Lists!$A$60:$B$111,2,FALSE))</f>
        <v/>
      </c>
      <c r="AD287" s="130" t="str">
        <f t="shared" si="330"/>
        <v/>
      </c>
      <c r="AE287" s="130" t="e">
        <f t="shared" si="331"/>
        <v>#VALUE!</v>
      </c>
      <c r="AF287" s="130">
        <f t="shared" si="332"/>
        <v>1</v>
      </c>
      <c r="AG287" s="234">
        <f t="shared" si="316"/>
        <v>0</v>
      </c>
      <c r="AH287" s="1753" t="str">
        <f>IF(T287="","",(IF(ISNUMBER(SEARCH("exit",T287)),8760,IF(AND(M287="Dusk to Dawn",'Proposed Lighting'!AU287=3),4059,IF(AND(AU287=3,M287="1"),0,IF(AND(AU287=3,M287="1-C"),0,IF(AND(AU287=3,M287="2"),0,IF(AND(AU287=3,M287="2-C"),0,IF(AND(AU287=3,M287="3"),0,IF(AND(AU287=3,M287="3-C"),0,IF(AND(AU287=2,M287="Dusk to Dawn"),0,IF(AND(AU287=2,M287="Dusk to Dawn-C"),0,IF(AND(AU287=2,M287="Dusk to Dawn"),0,IF(AND(AU287=2,M287="E"),0,IF(AND(AU287=2,M287="E-C"),0,EG287)))))))))))))))</f>
        <v/>
      </c>
      <c r="AI287" s="1754"/>
      <c r="AJ287" s="1136"/>
      <c r="AK287" s="1136"/>
      <c r="AL287" s="1748">
        <f t="shared" si="333"/>
        <v>0</v>
      </c>
      <c r="AM287" s="1749"/>
      <c r="AN287" s="1750"/>
      <c r="AO287" s="476">
        <f t="shared" si="317"/>
        <v>0</v>
      </c>
      <c r="AP287" s="476">
        <f t="shared" si="334"/>
        <v>0</v>
      </c>
      <c r="AQ287" s="475">
        <f t="shared" si="318"/>
        <v>0</v>
      </c>
      <c r="AR287" s="475">
        <f t="shared" si="335"/>
        <v>0</v>
      </c>
      <c r="AS287" s="743" t="str">
        <f t="shared" si="310"/>
        <v/>
      </c>
      <c r="AT287" s="736" t="str">
        <f t="shared" si="336"/>
        <v/>
      </c>
      <c r="AU287" s="56">
        <f t="shared" si="337"/>
        <v>1</v>
      </c>
      <c r="AV287" s="476">
        <f t="shared" si="338"/>
        <v>0</v>
      </c>
      <c r="AW287" s="56">
        <f t="shared" si="339"/>
        <v>0</v>
      </c>
      <c r="AX287" s="475">
        <f t="shared" si="319"/>
        <v>0</v>
      </c>
      <c r="AY287" s="1169">
        <f t="shared" si="340"/>
        <v>0</v>
      </c>
      <c r="AZ287" s="1150">
        <f t="shared" si="379"/>
        <v>0</v>
      </c>
      <c r="BA287" s="56">
        <f t="shared" si="320"/>
        <v>0</v>
      </c>
      <c r="BB287" s="420">
        <f t="shared" si="321"/>
        <v>0</v>
      </c>
      <c r="BC287" s="58" t="str">
        <f t="shared" si="322"/>
        <v/>
      </c>
      <c r="BD287" s="660">
        <f t="shared" si="380"/>
        <v>0</v>
      </c>
      <c r="BE287" s="57" t="e">
        <f t="array" ref="BE287">INDEX($EB$11:$ED$1022,MATCH(F287&amp;T287,$EB$11:$EB$1007&amp;$EC$11:$EC$1007,0),3)</f>
        <v>#N/A</v>
      </c>
      <c r="BF287" s="463">
        <f t="shared" si="311"/>
        <v>0</v>
      </c>
      <c r="BG287" s="1445" t="e">
        <f t="array" ref="BG287">INDEX($DO$112:$DQ$123,MATCH(T287&amp;W287,$DO$114:$DO$125&amp;$DP$112:$DP$123,0),3)</f>
        <v>#N/A</v>
      </c>
      <c r="BH287" s="1446">
        <f t="shared" si="341"/>
        <v>0</v>
      </c>
      <c r="BI287" s="465">
        <f t="shared" si="342"/>
        <v>0</v>
      </c>
      <c r="BJ287" s="465">
        <f t="shared" si="343"/>
        <v>0</v>
      </c>
      <c r="BK287" s="466">
        <f t="shared" si="312"/>
        <v>0</v>
      </c>
      <c r="BL287" s="466">
        <f t="shared" si="313"/>
        <v>0</v>
      </c>
      <c r="BM287" s="466">
        <f t="shared" si="344"/>
        <v>0</v>
      </c>
      <c r="BN287" s="466">
        <f t="shared" si="345"/>
        <v>0</v>
      </c>
      <c r="BO287" s="463">
        <f>IF('Data Entry'!$C$74=0,0,IF(ISNA(CJ287),0,IF(AX287=0,0,IF(AND('Data Entry'!$C$74=2,AF287&gt;2,CE287&lt;1),0,IF(AND('Data Entry'!$C$74=2,AF287&gt;1,AU287=2,CJ287&gt;1),0,IF(AND(AF287=5,CT287=0.5,AU287=2,ER287&lt;100),0,IF(AND(AF287=5,CT287=0.5,AU287=3,ER287&lt;100),0,IF(AND('Data Entry'!$C$74=2,AF287=2,AU287=2,AK287&gt;0.01,CB287=2,CE287&lt;1),0,IF(AND('Data Entry'!$C$74=2,AF287=3,AU287=3,AK287&gt;0.01,CB287=3,CE287&lt;1),0,IF(AND('Data Entry'!$C$74=2,AF287=3,AU287=3,AK287&gt;0.01,CB287=3,CE287&gt;0.99),BQ287*0.08,IF(AND('Data Entry'!$C$74=2,AF287=2,AU287=2,AK287&gt;0.01,CB287=2,CE287&gt;0.99),BQ287*0.1,IF(AND(AU287=2,AK287&gt;0.01,CB287=2,CD287&gt;1),BQ287*0.1,IF(AND(AU287=3,AK287&gt;0.01,CB287=3,CD287&gt;1),BQ287*0.08,CJ287*EF287)))))))))))))</f>
        <v>0</v>
      </c>
      <c r="BP287" s="475">
        <f t="shared" si="346"/>
        <v>0</v>
      </c>
      <c r="BQ287" s="1431">
        <f>IF(AU287=1,0,IF(CH287=100,0,IF(AND(AF287=3,AU287=2),0,IF(AND(BH287=0,CT287&gt;0.4),0,IF(AND('Data Entry'!$C$74=2,AF287=1.5),0,IF(AND('Data Entry'!$C$74=2,AF287=1.6),0,IF(AND('Data Entry'!$C$74=2,AF287=4),0,IF(AND('Data Entry'!$C$74=2,AF287=5),0,IF(AND('Data Entry'!$C$74=2,AF287=2.5,CE287&lt;1),0,IF(AND('Data Entry'!$C$74=2,AF287=3,CE287&lt;1),0,IF(AND('Data Entry'!$C$74=1,AF287=2.5,CD287&lt;1),0,IF(AND('Data Entry'!$C$74=1,AF287=3,CD287&lt;1),0,IF(DX287&gt;0.01,DX287,IF(ISERROR(AX287-AY287),"",ROUND(AX287-AY287,2)))))))))))))))</f>
        <v>0</v>
      </c>
      <c r="BR287" s="146">
        <f t="shared" si="347"/>
        <v>0</v>
      </c>
      <c r="BS287" s="475">
        <f t="shared" si="348"/>
        <v>0</v>
      </c>
      <c r="BT287" s="146" t="b">
        <f t="shared" si="349"/>
        <v>0</v>
      </c>
      <c r="BU287" s="463">
        <f>IF(ISNA(AT287),0,IF(AND('Data Entry'!$C$74=2,BC287=27),0,IF(AND('Data Entry'!$C$74=2,BC287=28),0,IF(AND(BC287=27,BT287=27,CM287&gt;0.1),CM287*0.15,IF(AND(BC287=28,BT287=28,CM287&gt;0.1),CM287*0.12,0)))))</f>
        <v>0</v>
      </c>
      <c r="BV287" s="463">
        <f t="shared" si="386"/>
        <v>0</v>
      </c>
      <c r="BW287" s="463">
        <f t="shared" si="350"/>
        <v>0</v>
      </c>
      <c r="BX287" s="463">
        <f t="shared" si="351"/>
        <v>0</v>
      </c>
      <c r="BY287" s="463">
        <f t="shared" si="352"/>
        <v>0</v>
      </c>
      <c r="BZ287" s="463">
        <f t="shared" si="353"/>
        <v>0</v>
      </c>
      <c r="CA287" s="57">
        <f t="shared" si="381"/>
        <v>0</v>
      </c>
      <c r="CB287" s="56">
        <f t="shared" si="354"/>
        <v>1</v>
      </c>
      <c r="CC287" s="756">
        <f>IF(EE287=0,0,IF(EF287=0,0,IF(EE287&gt;AA287,0,IF(AND(AZ287&gt;AW287,AW287&gt;0),0,IF(CU287=0,0,Summary!AC590)))))</f>
        <v>0</v>
      </c>
      <c r="CD287" s="756">
        <f>IF(EE287=0,0,IF(EF287=0,0,IF(EE287&gt;AA287,0,IF(AND(AZ287&gt;AW287,AW287&gt;0),0,IF(CU287=0,0,Summary!AD590)))))</f>
        <v>0</v>
      </c>
      <c r="CE287" s="756">
        <f>IF(EF287=0,0,IF(EE287&gt;AA287,0,IF(CC287=0,0,IF(AND(AZ287&gt;AW287,AW287&gt;0),0,IF(CU287=0,0,Summary!AE590)))))</f>
        <v>0</v>
      </c>
      <c r="CF287" s="475">
        <f t="shared" si="355"/>
        <v>0</v>
      </c>
      <c r="CG287" s="476">
        <f t="shared" si="323"/>
        <v>0</v>
      </c>
      <c r="CH287" s="487">
        <f t="shared" si="356"/>
        <v>0</v>
      </c>
      <c r="CI287" s="756">
        <f t="shared" si="357"/>
        <v>0</v>
      </c>
      <c r="CJ287" s="487">
        <f>IF(CT287&gt;0.4,0,IF(AND(AU287=2,CH287=0,CT287=0.5,ER287=100),35,IF(AND(AU287=3,BB287&gt;75,CH287=0,CT287=0.5,ER287=100),25,IF(CB287&gt;1,0,IF(EF287&gt;EE287,0,IF(AND(AF287&gt;1,CH287=100),0,IF(AND(AF287=1,AY287=0),0,IF(AND(EF287&lt;=EE287,AW287&gt;=AZ287,'Data Entry'!$C$74=1,AU287=2),VLOOKUP(W287,$DO$96:$DP$102,2,FALSE),IF(AND(EF287&lt;=EE287,AW287&gt;=AZ287,AU287=3,'Data Entry'!$C$74=1),VLOOKUP(W287,$DO$127:$DP$134,2,FALSE))))))))))</f>
        <v>0</v>
      </c>
      <c r="CK287" s="716">
        <f t="shared" si="358"/>
        <v>0</v>
      </c>
      <c r="CL287" s="57">
        <f t="shared" si="359"/>
        <v>0</v>
      </c>
      <c r="CM287" s="475">
        <f t="shared" si="385"/>
        <v>0</v>
      </c>
      <c r="CN287" s="660">
        <f>IF(CM287&lt;0.1,0,IF(ISNA(AT287),0,IF(CL287+BC287=1,0,IF(BV287&gt;0.01,0,IF(CL287&gt;0.01,0,IF(CF287=1,0,IF(BC287=0.5,0,IF(AND(CI287=1,AU287=3),0,IF(AND(CI287=5,CL287=0),0,IF(AND(R287=12,BR287=50),0,IF(CK287&gt;0.01,0,IF(AND(AJ287&gt;0.01,AU287=2,BC287=15),CM287*0.1,IF(AND(AJ287&gt;0.01,AU287=3,BC287=15),CM287*0.08,IF(AND(R287=12,BC287=3,AF287&lt;=0),0,IF(AND(BC287=15,BI287=0),0,IF(AND(BC287=15,BJ287=0),0,IF(AND(R287=20,CU287=0),0,IF($X$4=0,0,IF(AND(BC287=250,CL287=0),0,IF(AA287&lt;1,0,IF(AND(ISNUMBER(SEARCH("Area",T287)),AU287=3),0,IF(AND(AQ287&gt;0.01,AR287=0,BK287=0,BL287=0,BM287=0,BN287=0),0,IF(AND(AU287=3,CI287=7,CT287&gt;0.5),0,IF(AND(BC287=44,AU287=3,BY287=0),0,IF(AND(BC287=27,'Data Entry'!$C$74=2),0,IF(AND(BC287=28,'Data Entry'!$C$74=2),0,IF(AND(BY287+BZ287+CA287&gt;0.01,BV287=0,EQ287+ER287+ES287+ET287&lt;100),0,IF(AU287=3,CM287*0.08,IF(AU287=2,CM287*0.1,0)))))))))))))))))))))))))))))</f>
        <v>0</v>
      </c>
      <c r="CO287" s="660">
        <f t="shared" si="360"/>
        <v>0</v>
      </c>
      <c r="CP287" s="475" t="str">
        <f t="shared" si="361"/>
        <v/>
      </c>
      <c r="CQ287" s="161" t="str">
        <f>IF(AH287=0,0,IF(AU287=5,0,Summary!AC290))</f>
        <v/>
      </c>
      <c r="CR287" s="161" t="str">
        <f>IF(BF287=0.5,0,IF(AU287=5,0,Summary!AD290))</f>
        <v/>
      </c>
      <c r="CS287" s="161" t="str">
        <f>IF(AU287=5,0,Summary!AE290)</f>
        <v/>
      </c>
      <c r="CT287" s="161">
        <f t="shared" si="362"/>
        <v>0</v>
      </c>
      <c r="CU287" s="475" t="str">
        <f t="shared" si="363"/>
        <v/>
      </c>
      <c r="CV287" s="307">
        <f>IF('Data Entry'!$C$74=0,0,IF(AA287&lt;1,0,IF(ISERROR(CU287),0,IF(CF287=1,0,IF(AND(R287=12,BR287=50),0,IF(CL287+BO287+BV287+DC287=0,0,IF(BC287=37,0,IF(AND(BC287=40,AJ287=0),0,IF(AND(BC287=37,BO287&gt;0.01,BQ287&gt;0.01),ROUND(BQ287,0),IF(CM287&lt;0,0,ROUND(CM287,0)))))))))))</f>
        <v>0</v>
      </c>
      <c r="CW287" s="700">
        <f t="shared" si="364"/>
        <v>0</v>
      </c>
      <c r="CX287" s="477">
        <f>IF('Data Entry'!$C$74=0,0,IF(CV287&lt;0.01,0,IF(BF287=0.5,0,IF(CF287=1,0,IF(ISNUMBER(SEARCH("false",CL287)),0,IF(AZ287=500,0,CL287))))))</f>
        <v>0</v>
      </c>
      <c r="CY287" s="147" t="e">
        <f t="shared" si="365"/>
        <v>#VALUE!</v>
      </c>
      <c r="CZ287" s="147" t="b">
        <f>IF(CN287+CL287=0,FALSE,IF(AH287=0,0,IF(AND('Data Entry'!$C$74=1,CR287&gt;=1),TRUE,IF(AND('Data Entry'!$C$74=2,CS287&gt;=1),TRUE,FALSE))))</f>
        <v>0</v>
      </c>
      <c r="DA287" s="1751">
        <f>IF('Data Entry'!$C$74=0,0,IFERROR(ROUND(IF(T287="","",IF($X$4=0,0,IF(CF287=1,0,IF(BQ287+CV287=0,0,IF(CF287=1,0,IF(CY287&gt;0.01,CY287,IF(CL287&gt;0.01,CL287,IF(CY287&gt;0.01,CY287,IF(BC287=37,BO287,IF(CZ287=FALSE,0,IF(CZ287=TRUE,DC287+DF287,0))))))))))),2),""))</f>
        <v>0</v>
      </c>
      <c r="DB287" s="1752"/>
      <c r="DC287" s="474">
        <f>IF(CN287&lt;0.01,0,IF(AND(BR287=3,CN287&gt;0.01,CT287&gt;0.6,ER287+ES287+ET287&lt;100),0,IF(AND('Data Entry'!$C$74=1,CN287&gt;0.01,CR287&gt;0.99),MIN(CN287:CO287),IF(AND('Data Entry'!$C$74=2,CN287&gt;0.01,CS287&gt;0.99),MIN(CN287:CO287),0))))</f>
        <v>0</v>
      </c>
      <c r="DD287" s="478">
        <f>IF(CF287=1,"Selection does not match",IF(T287=0,0,IF(AND('Data Entry'!$C$74=0,CP287&gt;1),"Select Oregon or Idaho on Data Entry Tab",IF(AND(AU287=1,AA287&gt;0.9),"Missing Interior or Exterior Selection",IF($X$4=0,"Enter Total Project Cost",IF(AQ287&lt;AR287,"Insufficient kWh savings – no incentive",IF(AND(SUM(CL287+CK287+BV287)&gt;0.01,'Data Entry'!$C$74=2,CJ287&gt;1,BO287=0),"Submit Control as Non-Standard",IF(AND('Data Entry'!$C$74=2,BR287=37,CJ287&gt;1,BO287=0),"Submit Control as Non-Standard",IF(SUM(CL287+CK287+BV287)&gt;0.01,"Standard Incentive",IF(AND('Data Entry'!$C$74=2,CP287=7,CN287=0),"Submit as Non-Standard",IF(DC287&gt;0.9,"Non-Standard Incentive",IF(AND(BY287+BZ287+CA287&gt;0.01,BV287=0,EQ287=0,ER287=0,ES287=0,ET287=0),"Scroll Right &amp; Select Control Strategies",IF(AND(CN287&gt;0.01,CO287=0),"Enter Unit Installed Cost",IF(ISNUMBER(SEARCH("Lighting Controls Only",F287)),"Lighting Controls Only",IF(CL287+DC287=0,"Does not meet incentive criteria",0)))))))))))))))</f>
        <v>0</v>
      </c>
      <c r="DE287" s="337">
        <f t="shared" si="366"/>
        <v>0</v>
      </c>
      <c r="DF287" s="609">
        <f t="shared" si="367"/>
        <v>0</v>
      </c>
      <c r="DG287" s="336" t="str">
        <f t="shared" si="368"/>
        <v/>
      </c>
      <c r="DH287" s="338">
        <f t="shared" si="369"/>
        <v>1</v>
      </c>
      <c r="DI287" s="336" t="e">
        <f t="shared" si="324"/>
        <v>#VALUE!</v>
      </c>
      <c r="DJ287" s="338">
        <f t="shared" si="325"/>
        <v>0</v>
      </c>
      <c r="DO287" s="81"/>
      <c r="DP287" s="81"/>
      <c r="DQ287" s="81"/>
      <c r="DR287" s="81"/>
      <c r="DS287" s="1195">
        <f t="shared" si="370"/>
        <v>0</v>
      </c>
      <c r="DT287" s="344" t="b">
        <f t="shared" si="371"/>
        <v>1</v>
      </c>
      <c r="DU287" s="1314" t="str">
        <f t="array" ref="DU287">IF(OR(COUNTIF(F287,"*"&amp;$DK$9:$DK$178&amp;"*")), "Yes", "")</f>
        <v/>
      </c>
      <c r="DV287" s="1314">
        <f t="shared" si="372"/>
        <v>0</v>
      </c>
      <c r="DW287" s="1480">
        <f t="shared" si="373"/>
        <v>0</v>
      </c>
      <c r="DX287" s="1498">
        <f t="shared" si="382"/>
        <v>0</v>
      </c>
      <c r="DY287" s="1484">
        <f t="shared" si="374"/>
        <v>0</v>
      </c>
      <c r="DZ287" s="331"/>
      <c r="EA287" s="392"/>
      <c r="EB287" s="1499" t="s">
        <v>774</v>
      </c>
      <c r="EC287" s="727" t="s">
        <v>1569</v>
      </c>
      <c r="ED287" s="728">
        <v>0.5</v>
      </c>
      <c r="EE287" s="1215"/>
      <c r="EF287" s="1215"/>
      <c r="EG287" s="1184" t="str">
        <f t="shared" si="375"/>
        <v/>
      </c>
      <c r="EJ287" s="1185">
        <f t="shared" si="326"/>
        <v>0</v>
      </c>
      <c r="EK287" s="1211"/>
      <c r="EL287" s="1180">
        <f t="shared" si="327"/>
        <v>0</v>
      </c>
      <c r="EM287" s="206"/>
      <c r="EN287" s="1038"/>
      <c r="EO287" s="1038"/>
      <c r="EP287" s="1038"/>
      <c r="EQ287" s="1038">
        <f t="shared" si="376"/>
        <v>0</v>
      </c>
      <c r="ER287" s="1041">
        <f t="shared" si="377"/>
        <v>0</v>
      </c>
      <c r="ES287" s="1042">
        <f t="shared" si="378"/>
        <v>0</v>
      </c>
      <c r="ET287" s="1042">
        <f t="shared" si="383"/>
        <v>0</v>
      </c>
      <c r="EU287" s="1021">
        <f t="shared" si="384"/>
        <v>0</v>
      </c>
      <c r="EV287" s="368"/>
      <c r="EW287" s="368"/>
      <c r="EX287" s="369"/>
      <c r="EY287" s="370"/>
      <c r="EZ287" s="370"/>
      <c r="FA287" s="371"/>
      <c r="FB287" s="372"/>
    </row>
    <row r="288" spans="1:158" ht="34.5" customHeight="1">
      <c r="A288" s="82">
        <v>280</v>
      </c>
      <c r="B288" s="1806"/>
      <c r="C288" s="1807"/>
      <c r="D288" s="1807"/>
      <c r="E288" s="1808"/>
      <c r="F288" s="1809"/>
      <c r="G288" s="1810"/>
      <c r="H288" s="1810"/>
      <c r="I288" s="1811"/>
      <c r="J288" s="1301"/>
      <c r="K288" s="1814"/>
      <c r="L288" s="1814"/>
      <c r="M288" s="1017"/>
      <c r="N288" s="1584"/>
      <c r="O288" s="208" t="str">
        <f t="shared" si="314"/>
        <v/>
      </c>
      <c r="P288" s="785"/>
      <c r="Q288" s="39" t="str">
        <f t="shared" si="315"/>
        <v/>
      </c>
      <c r="R288" s="39">
        <f t="shared" si="328"/>
        <v>0</v>
      </c>
      <c r="S288" s="234">
        <f t="shared" si="329"/>
        <v>0</v>
      </c>
      <c r="T288" s="1815"/>
      <c r="U288" s="1815"/>
      <c r="V288" s="1815"/>
      <c r="W288" s="1121"/>
      <c r="X288" s="1812"/>
      <c r="Y288" s="1813"/>
      <c r="Z288" s="703"/>
      <c r="AA288" s="1280"/>
      <c r="AB288" s="1141"/>
      <c r="AC288" s="1103" t="str">
        <f>IF(T288="","",VLOOKUP(Z288,Lists!$A$60:$B$111,2,FALSE))</f>
        <v/>
      </c>
      <c r="AD288" s="130" t="str">
        <f t="shared" si="330"/>
        <v/>
      </c>
      <c r="AE288" s="130" t="e">
        <f t="shared" si="331"/>
        <v>#VALUE!</v>
      </c>
      <c r="AF288" s="130">
        <f t="shared" si="332"/>
        <v>1</v>
      </c>
      <c r="AG288" s="234">
        <f t="shared" si="316"/>
        <v>0</v>
      </c>
      <c r="AH288" s="1753" t="str">
        <f>IF(T288="","",(IF(ISNUMBER(SEARCH("exit",T288)),8760,IF(AND(M288="Dusk to Dawn",'Proposed Lighting'!AU288=3),4059,IF(AND(AU288=3,M288="1"),0,IF(AND(AU288=3,M288="1-C"),0,IF(AND(AU288=3,M288="2"),0,IF(AND(AU288=3,M288="2-C"),0,IF(AND(AU288=3,M288="3"),0,IF(AND(AU288=3,M288="3-C"),0,IF(AND(AU288=2,M288="Dusk to Dawn"),0,IF(AND(AU288=2,M288="Dusk to Dawn-C"),0,IF(AND(AU288=2,M288="Dusk to Dawn"),0,IF(AND(AU288=2,M288="E"),0,IF(AND(AU288=2,M288="E-C"),0,EG288)))))))))))))))</f>
        <v/>
      </c>
      <c r="AI288" s="1754"/>
      <c r="AJ288" s="1136"/>
      <c r="AK288" s="1136"/>
      <c r="AL288" s="1748">
        <f t="shared" si="333"/>
        <v>0</v>
      </c>
      <c r="AM288" s="1749"/>
      <c r="AN288" s="1750"/>
      <c r="AO288" s="476">
        <f t="shared" si="317"/>
        <v>0</v>
      </c>
      <c r="AP288" s="476">
        <f t="shared" si="334"/>
        <v>0</v>
      </c>
      <c r="AQ288" s="475">
        <f t="shared" si="318"/>
        <v>0</v>
      </c>
      <c r="AR288" s="475">
        <f t="shared" si="335"/>
        <v>0</v>
      </c>
      <c r="AS288" s="743" t="str">
        <f t="shared" si="310"/>
        <v/>
      </c>
      <c r="AT288" s="736" t="str">
        <f t="shared" si="336"/>
        <v/>
      </c>
      <c r="AU288" s="56">
        <f t="shared" si="337"/>
        <v>1</v>
      </c>
      <c r="AV288" s="476">
        <f t="shared" si="338"/>
        <v>0</v>
      </c>
      <c r="AW288" s="56">
        <f t="shared" si="339"/>
        <v>0</v>
      </c>
      <c r="AX288" s="475">
        <f t="shared" si="319"/>
        <v>0</v>
      </c>
      <c r="AY288" s="1169">
        <f t="shared" si="340"/>
        <v>0</v>
      </c>
      <c r="AZ288" s="1150">
        <f t="shared" si="379"/>
        <v>0</v>
      </c>
      <c r="BA288" s="56">
        <f t="shared" si="320"/>
        <v>0</v>
      </c>
      <c r="BB288" s="420">
        <f t="shared" si="321"/>
        <v>0</v>
      </c>
      <c r="BC288" s="58" t="str">
        <f t="shared" si="322"/>
        <v/>
      </c>
      <c r="BD288" s="660">
        <f t="shared" si="380"/>
        <v>0</v>
      </c>
      <c r="BE288" s="57" t="e">
        <f t="array" ref="BE288">INDEX($EB$11:$ED$1022,MATCH(F288&amp;T288,$EB$11:$EB$1007&amp;$EC$11:$EC$1007,0),3)</f>
        <v>#N/A</v>
      </c>
      <c r="BF288" s="463">
        <f t="shared" si="311"/>
        <v>0</v>
      </c>
      <c r="BG288" s="1445" t="e">
        <f t="array" ref="BG288">INDEX($DO$112:$DQ$123,MATCH(T288&amp;W288,$DO$114:$DO$125&amp;$DP$112:$DP$123,0),3)</f>
        <v>#N/A</v>
      </c>
      <c r="BH288" s="1446">
        <f t="shared" si="341"/>
        <v>0</v>
      </c>
      <c r="BI288" s="465">
        <f t="shared" si="342"/>
        <v>0</v>
      </c>
      <c r="BJ288" s="465">
        <f t="shared" si="343"/>
        <v>0</v>
      </c>
      <c r="BK288" s="466">
        <f t="shared" si="312"/>
        <v>0</v>
      </c>
      <c r="BL288" s="466">
        <f t="shared" si="313"/>
        <v>0</v>
      </c>
      <c r="BM288" s="466">
        <f t="shared" si="344"/>
        <v>0</v>
      </c>
      <c r="BN288" s="466">
        <f t="shared" si="345"/>
        <v>0</v>
      </c>
      <c r="BO288" s="463">
        <f>IF('Data Entry'!$C$74=0,0,IF(ISNA(CJ288),0,IF(AX288=0,0,IF(AND('Data Entry'!$C$74=2,AF288&gt;2,CE288&lt;1),0,IF(AND('Data Entry'!$C$74=2,AF288&gt;1,AU288=2,CJ288&gt;1),0,IF(AND(AF288=5,CT288=0.5,AU288=2,ER288&lt;100),0,IF(AND(AF288=5,CT288=0.5,AU288=3,ER288&lt;100),0,IF(AND('Data Entry'!$C$74=2,AF288=2,AU288=2,AK288&gt;0.01,CB288=2,CE288&lt;1),0,IF(AND('Data Entry'!$C$74=2,AF288=3,AU288=3,AK288&gt;0.01,CB288=3,CE288&lt;1),0,IF(AND('Data Entry'!$C$74=2,AF288=3,AU288=3,AK288&gt;0.01,CB288=3,CE288&gt;0.99),BQ288*0.08,IF(AND('Data Entry'!$C$74=2,AF288=2,AU288=2,AK288&gt;0.01,CB288=2,CE288&gt;0.99),BQ288*0.1,IF(AND(AU288=2,AK288&gt;0.01,CB288=2,CD288&gt;1),BQ288*0.1,IF(AND(AU288=3,AK288&gt;0.01,CB288=3,CD288&gt;1),BQ288*0.08,CJ288*EF288)))))))))))))</f>
        <v>0</v>
      </c>
      <c r="BP288" s="475">
        <f t="shared" si="346"/>
        <v>0</v>
      </c>
      <c r="BQ288" s="1431">
        <f>IF(AU288=1,0,IF(CH288=100,0,IF(AND(AF288=3,AU288=2),0,IF(AND(BH288=0,CT288&gt;0.4),0,IF(AND('Data Entry'!$C$74=2,AF288=1.5),0,IF(AND('Data Entry'!$C$74=2,AF288=1.6),0,IF(AND('Data Entry'!$C$74=2,AF288=4),0,IF(AND('Data Entry'!$C$74=2,AF288=5),0,IF(AND('Data Entry'!$C$74=2,AF288=2.5,CE288&lt;1),0,IF(AND('Data Entry'!$C$74=2,AF288=3,CE288&lt;1),0,IF(AND('Data Entry'!$C$74=1,AF288=2.5,CD288&lt;1),0,IF(AND('Data Entry'!$C$74=1,AF288=3,CD288&lt;1),0,IF(DX288&gt;0.01,DX288,IF(ISERROR(AX288-AY288),"",ROUND(AX288-AY288,2)))))))))))))))</f>
        <v>0</v>
      </c>
      <c r="BR288" s="146">
        <f t="shared" si="347"/>
        <v>0</v>
      </c>
      <c r="BS288" s="475">
        <f t="shared" si="348"/>
        <v>0</v>
      </c>
      <c r="BT288" s="146" t="b">
        <f t="shared" si="349"/>
        <v>0</v>
      </c>
      <c r="BU288" s="463">
        <f>IF(ISNA(AT288),0,IF(AND('Data Entry'!$C$74=2,BC288=27),0,IF(AND('Data Entry'!$C$74=2,BC288=28),0,IF(AND(BC288=27,BT288=27,CM288&gt;0.1),CM288*0.15,IF(AND(BC288=28,BT288=28,CM288&gt;0.1),CM288*0.12,0)))))</f>
        <v>0</v>
      </c>
      <c r="BV288" s="463">
        <f t="shared" si="386"/>
        <v>0</v>
      </c>
      <c r="BW288" s="463">
        <f t="shared" si="350"/>
        <v>0</v>
      </c>
      <c r="BX288" s="463">
        <f t="shared" si="351"/>
        <v>0</v>
      </c>
      <c r="BY288" s="463">
        <f t="shared" si="352"/>
        <v>0</v>
      </c>
      <c r="BZ288" s="463">
        <f t="shared" si="353"/>
        <v>0</v>
      </c>
      <c r="CA288" s="57">
        <f t="shared" si="381"/>
        <v>0</v>
      </c>
      <c r="CB288" s="56">
        <f t="shared" si="354"/>
        <v>1</v>
      </c>
      <c r="CC288" s="756">
        <f>IF(EE288=0,0,IF(EF288=0,0,IF(EE288&gt;AA288,0,IF(AND(AZ288&gt;AW288,AW288&gt;0),0,IF(CU288=0,0,Summary!AC591)))))</f>
        <v>0</v>
      </c>
      <c r="CD288" s="756">
        <f>IF(EE288=0,0,IF(EF288=0,0,IF(EE288&gt;AA288,0,IF(AND(AZ288&gt;AW288,AW288&gt;0),0,IF(CU288=0,0,Summary!AD591)))))</f>
        <v>0</v>
      </c>
      <c r="CE288" s="756">
        <f>IF(EF288=0,0,IF(EE288&gt;AA288,0,IF(CC288=0,0,IF(AND(AZ288&gt;AW288,AW288&gt;0),0,IF(CU288=0,0,Summary!AE591)))))</f>
        <v>0</v>
      </c>
      <c r="CF288" s="475">
        <f t="shared" si="355"/>
        <v>0</v>
      </c>
      <c r="CG288" s="476">
        <f t="shared" si="323"/>
        <v>0</v>
      </c>
      <c r="CH288" s="487">
        <f t="shared" si="356"/>
        <v>0</v>
      </c>
      <c r="CI288" s="756">
        <f t="shared" si="357"/>
        <v>0</v>
      </c>
      <c r="CJ288" s="487">
        <f>IF(CT288&gt;0.4,0,IF(AND(AU288=2,CH288=0,CT288=0.5,ER288=100),35,IF(AND(AU288=3,BB288&gt;75,CH288=0,CT288=0.5,ER288=100),25,IF(CB288&gt;1,0,IF(EF288&gt;EE288,0,IF(AND(AF288&gt;1,CH288=100),0,IF(AND(AF288=1,AY288=0),0,IF(AND(EF288&lt;=EE288,AW288&gt;=AZ288,'Data Entry'!$C$74=1,AU288=2),VLOOKUP(W288,$DO$96:$DP$102,2,FALSE),IF(AND(EF288&lt;=EE288,AW288&gt;=AZ288,AU288=3,'Data Entry'!$C$74=1),VLOOKUP(W288,$DO$127:$DP$134,2,FALSE))))))))))</f>
        <v>0</v>
      </c>
      <c r="CK288" s="716">
        <f t="shared" si="358"/>
        <v>0</v>
      </c>
      <c r="CL288" s="57">
        <f t="shared" si="359"/>
        <v>0</v>
      </c>
      <c r="CM288" s="475">
        <f t="shared" si="385"/>
        <v>0</v>
      </c>
      <c r="CN288" s="660">
        <f>IF(CM288&lt;0.1,0,IF(ISNA(AT288),0,IF(CL288+BC288=1,0,IF(BV288&gt;0.01,0,IF(CL288&gt;0.01,0,IF(CF288=1,0,IF(BC288=0.5,0,IF(AND(CI288=1,AU288=3),0,IF(AND(CI288=5,CL288=0),0,IF(AND(R288=12,BR288=50),0,IF(CK288&gt;0.01,0,IF(AND(AJ288&gt;0.01,AU288=2,BC288=15),CM288*0.1,IF(AND(AJ288&gt;0.01,AU288=3,BC288=15),CM288*0.08,IF(AND(R288=12,BC288=3,AF288&lt;=0),0,IF(AND(BC288=15,BI288=0),0,IF(AND(BC288=15,BJ288=0),0,IF(AND(R288=20,CU288=0),0,IF($X$4=0,0,IF(AND(BC288=250,CL288=0),0,IF(AA288&lt;1,0,IF(AND(ISNUMBER(SEARCH("Area",T288)),AU288=3),0,IF(AND(AQ288&gt;0.01,AR288=0,BK288=0,BL288=0,BM288=0,BN288=0),0,IF(AND(AU288=3,CI288=7,CT288&gt;0.5),0,IF(AND(BC288=44,AU288=3,BY288=0),0,IF(AND(BC288=27,'Data Entry'!$C$74=2),0,IF(AND(BC288=28,'Data Entry'!$C$74=2),0,IF(AND(BY288+BZ288+CA288&gt;0.01,BV288=0,EQ288+ER288+ES288+ET288&lt;100),0,IF(AU288=3,CM288*0.08,IF(AU288=2,CM288*0.1,0)))))))))))))))))))))))))))))</f>
        <v>0</v>
      </c>
      <c r="CO288" s="660">
        <f t="shared" si="360"/>
        <v>0</v>
      </c>
      <c r="CP288" s="475" t="str">
        <f t="shared" si="361"/>
        <v/>
      </c>
      <c r="CQ288" s="161" t="str">
        <f>IF(AH288=0,0,IF(AU288=5,0,Summary!AC291))</f>
        <v/>
      </c>
      <c r="CR288" s="161" t="str">
        <f>IF(BF288=0.5,0,IF(AU288=5,0,Summary!AD291))</f>
        <v/>
      </c>
      <c r="CS288" s="161" t="str">
        <f>IF(AU288=5,0,Summary!AE291)</f>
        <v/>
      </c>
      <c r="CT288" s="161">
        <f t="shared" si="362"/>
        <v>0</v>
      </c>
      <c r="CU288" s="475" t="str">
        <f t="shared" si="363"/>
        <v/>
      </c>
      <c r="CV288" s="307">
        <f>IF('Data Entry'!$C$74=0,0,IF(AA288&lt;1,0,IF(ISERROR(CU288),0,IF(CF288=1,0,IF(AND(R288=12,BR288=50),0,IF(CL288+BO288+BV288+DC288=0,0,IF(BC288=37,0,IF(AND(BC288=40,AJ288=0),0,IF(AND(BC288=37,BO288&gt;0.01,BQ288&gt;0.01),ROUND(BQ288,0),IF(CM288&lt;0,0,ROUND(CM288,0)))))))))))</f>
        <v>0</v>
      </c>
      <c r="CW288" s="700">
        <f t="shared" si="364"/>
        <v>0</v>
      </c>
      <c r="CX288" s="477">
        <f>IF('Data Entry'!$C$74=0,0,IF(CV288&lt;0.01,0,IF(BF288=0.5,0,IF(CF288=1,0,IF(ISNUMBER(SEARCH("false",CL288)),0,IF(AZ288=500,0,CL288))))))</f>
        <v>0</v>
      </c>
      <c r="CY288" s="147" t="e">
        <f t="shared" si="365"/>
        <v>#VALUE!</v>
      </c>
      <c r="CZ288" s="147" t="b">
        <f>IF(CN288+CL288=0,FALSE,IF(AH288=0,0,IF(AND('Data Entry'!$C$74=1,CR288&gt;=1),TRUE,IF(AND('Data Entry'!$C$74=2,CS288&gt;=1),TRUE,FALSE))))</f>
        <v>0</v>
      </c>
      <c r="DA288" s="1751">
        <f>IF('Data Entry'!$C$74=0,0,IFERROR(ROUND(IF(T288="","",IF($X$4=0,0,IF(CF288=1,0,IF(BQ288+CV288=0,0,IF(CF288=1,0,IF(CY288&gt;0.01,CY288,IF(CL288&gt;0.01,CL288,IF(CY288&gt;0.01,CY288,IF(BC288=37,BO288,IF(CZ288=FALSE,0,IF(CZ288=TRUE,DC288+DF288,0))))))))))),2),""))</f>
        <v>0</v>
      </c>
      <c r="DB288" s="1752"/>
      <c r="DC288" s="474">
        <f>IF(CN288&lt;0.01,0,IF(AND(BR288=3,CN288&gt;0.01,CT288&gt;0.6,ER288+ES288+ET288&lt;100),0,IF(AND('Data Entry'!$C$74=1,CN288&gt;0.01,CR288&gt;0.99),MIN(CN288:CO288),IF(AND('Data Entry'!$C$74=2,CN288&gt;0.01,CS288&gt;0.99),MIN(CN288:CO288),0))))</f>
        <v>0</v>
      </c>
      <c r="DD288" s="478">
        <f>IF(CF288=1,"Selection does not match",IF(T288=0,0,IF(AND('Data Entry'!$C$74=0,CP288&gt;1),"Select Oregon or Idaho on Data Entry Tab",IF(AND(AU288=1,AA288&gt;0.9),"Missing Interior or Exterior Selection",IF($X$4=0,"Enter Total Project Cost",IF(AQ288&lt;AR288,"Insufficient kWh savings – no incentive",IF(AND(SUM(CL288+CK288+BV288)&gt;0.01,'Data Entry'!$C$74=2,CJ288&gt;1,BO288=0),"Submit Control as Non-Standard",IF(AND('Data Entry'!$C$74=2,BR288=37,CJ288&gt;1,BO288=0),"Submit Control as Non-Standard",IF(SUM(CL288+CK288+BV288)&gt;0.01,"Standard Incentive",IF(AND('Data Entry'!$C$74=2,CP288=7,CN288=0),"Submit as Non-Standard",IF(DC288&gt;0.9,"Non-Standard Incentive",IF(AND(BY288+BZ288+CA288&gt;0.01,BV288=0,EQ288=0,ER288=0,ES288=0,ET288=0),"Scroll Right &amp; Select Control Strategies",IF(AND(CN288&gt;0.01,CO288=0),"Enter Unit Installed Cost",IF(ISNUMBER(SEARCH("Lighting Controls Only",F288)),"Lighting Controls Only",IF(CL288+DC288=0,"Does not meet incentive criteria",0)))))))))))))))</f>
        <v>0</v>
      </c>
      <c r="DE288" s="337">
        <f t="shared" si="366"/>
        <v>0</v>
      </c>
      <c r="DF288" s="609">
        <f t="shared" si="367"/>
        <v>0</v>
      </c>
      <c r="DG288" s="336" t="str">
        <f t="shared" si="368"/>
        <v/>
      </c>
      <c r="DH288" s="338">
        <f t="shared" si="369"/>
        <v>1</v>
      </c>
      <c r="DI288" s="336" t="e">
        <f t="shared" si="324"/>
        <v>#VALUE!</v>
      </c>
      <c r="DJ288" s="338">
        <f t="shared" si="325"/>
        <v>0</v>
      </c>
      <c r="DO288" s="81"/>
      <c r="DP288" s="81"/>
      <c r="DQ288" s="81"/>
      <c r="DR288" s="81"/>
      <c r="DS288" s="1195">
        <f t="shared" si="370"/>
        <v>0</v>
      </c>
      <c r="DT288" s="344" t="b">
        <f t="shared" si="371"/>
        <v>1</v>
      </c>
      <c r="DU288" s="1314" t="str">
        <f t="array" ref="DU288">IF(OR(COUNTIF(F288,"*"&amp;$DK$9:$DK$178&amp;"*")), "Yes", "")</f>
        <v/>
      </c>
      <c r="DV288" s="1314">
        <f t="shared" si="372"/>
        <v>0</v>
      </c>
      <c r="DW288" s="1480">
        <f t="shared" si="373"/>
        <v>0</v>
      </c>
      <c r="DX288" s="1498">
        <f t="shared" si="382"/>
        <v>0</v>
      </c>
      <c r="DY288" s="1484">
        <f t="shared" si="374"/>
        <v>0</v>
      </c>
      <c r="DZ288" s="331"/>
      <c r="EA288" s="392"/>
      <c r="EB288" s="1499" t="s">
        <v>506</v>
      </c>
      <c r="EC288" s="727" t="s">
        <v>1569</v>
      </c>
      <c r="ED288" s="728">
        <v>0.5</v>
      </c>
      <c r="EE288" s="1215"/>
      <c r="EF288" s="1215"/>
      <c r="EG288" s="1184" t="str">
        <f t="shared" si="375"/>
        <v/>
      </c>
      <c r="EJ288" s="1185">
        <f t="shared" si="326"/>
        <v>0</v>
      </c>
      <c r="EK288" s="1211"/>
      <c r="EL288" s="1180">
        <f t="shared" si="327"/>
        <v>0</v>
      </c>
      <c r="EM288" s="206"/>
      <c r="EN288" s="1038"/>
      <c r="EO288" s="1038"/>
      <c r="EP288" s="1038"/>
      <c r="EQ288" s="1038">
        <f t="shared" si="376"/>
        <v>0</v>
      </c>
      <c r="ER288" s="1041">
        <f t="shared" si="377"/>
        <v>0</v>
      </c>
      <c r="ES288" s="1042">
        <f t="shared" si="378"/>
        <v>0</v>
      </c>
      <c r="ET288" s="1042">
        <f t="shared" si="383"/>
        <v>0</v>
      </c>
      <c r="EU288" s="1021">
        <f t="shared" si="384"/>
        <v>0</v>
      </c>
      <c r="EV288" s="368"/>
      <c r="EW288" s="368"/>
      <c r="EX288" s="369"/>
      <c r="EY288" s="370"/>
      <c r="EZ288" s="370"/>
      <c r="FA288" s="371"/>
      <c r="FB288" s="372"/>
    </row>
    <row r="289" spans="1:158" ht="34.5" customHeight="1">
      <c r="A289" s="82">
        <v>281</v>
      </c>
      <c r="B289" s="1806"/>
      <c r="C289" s="1807"/>
      <c r="D289" s="1807"/>
      <c r="E289" s="1808"/>
      <c r="F289" s="1809"/>
      <c r="G289" s="1810"/>
      <c r="H289" s="1810"/>
      <c r="I289" s="1811"/>
      <c r="J289" s="1301"/>
      <c r="K289" s="1814"/>
      <c r="L289" s="1814"/>
      <c r="M289" s="1017"/>
      <c r="N289" s="1584"/>
      <c r="O289" s="208" t="str">
        <f t="shared" si="314"/>
        <v/>
      </c>
      <c r="P289" s="785"/>
      <c r="Q289" s="39" t="str">
        <f t="shared" si="315"/>
        <v/>
      </c>
      <c r="R289" s="39">
        <f t="shared" si="328"/>
        <v>0</v>
      </c>
      <c r="S289" s="234">
        <f t="shared" si="329"/>
        <v>0</v>
      </c>
      <c r="T289" s="1815"/>
      <c r="U289" s="1815"/>
      <c r="V289" s="1815"/>
      <c r="W289" s="1121"/>
      <c r="X289" s="1812"/>
      <c r="Y289" s="1813"/>
      <c r="Z289" s="703"/>
      <c r="AA289" s="1280"/>
      <c r="AB289" s="1141"/>
      <c r="AC289" s="1103" t="str">
        <f>IF(T289="","",VLOOKUP(Z289,Lists!$A$60:$B$111,2,FALSE))</f>
        <v/>
      </c>
      <c r="AD289" s="130" t="str">
        <f t="shared" si="330"/>
        <v/>
      </c>
      <c r="AE289" s="130" t="e">
        <f t="shared" si="331"/>
        <v>#VALUE!</v>
      </c>
      <c r="AF289" s="130">
        <f t="shared" si="332"/>
        <v>1</v>
      </c>
      <c r="AG289" s="234">
        <f t="shared" si="316"/>
        <v>0</v>
      </c>
      <c r="AH289" s="1753" t="str">
        <f>IF(T289="","",(IF(ISNUMBER(SEARCH("exit",T289)),8760,IF(AND(M289="Dusk to Dawn",'Proposed Lighting'!AU289=3),4059,IF(AND(AU289=3,M289="1"),0,IF(AND(AU289=3,M289="1-C"),0,IF(AND(AU289=3,M289="2"),0,IF(AND(AU289=3,M289="2-C"),0,IF(AND(AU289=3,M289="3"),0,IF(AND(AU289=3,M289="3-C"),0,IF(AND(AU289=2,M289="Dusk to Dawn"),0,IF(AND(AU289=2,M289="Dusk to Dawn-C"),0,IF(AND(AU289=2,M289="Dusk to Dawn"),0,IF(AND(AU289=2,M289="E"),0,IF(AND(AU289=2,M289="E-C"),0,EG289)))))))))))))))</f>
        <v/>
      </c>
      <c r="AI289" s="1754"/>
      <c r="AJ289" s="1136"/>
      <c r="AK289" s="1136"/>
      <c r="AL289" s="1748">
        <f t="shared" si="333"/>
        <v>0</v>
      </c>
      <c r="AM289" s="1749"/>
      <c r="AN289" s="1750"/>
      <c r="AO289" s="476">
        <f t="shared" si="317"/>
        <v>0</v>
      </c>
      <c r="AP289" s="476">
        <f t="shared" si="334"/>
        <v>0</v>
      </c>
      <c r="AQ289" s="475">
        <f t="shared" si="318"/>
        <v>0</v>
      </c>
      <c r="AR289" s="475">
        <f t="shared" si="335"/>
        <v>0</v>
      </c>
      <c r="AS289" s="743" t="str">
        <f t="shared" ref="AS289:AS308" si="387">IF(P289&gt;0.02,P289,O289)</f>
        <v/>
      </c>
      <c r="AT289" s="736" t="str">
        <f t="shared" si="336"/>
        <v/>
      </c>
      <c r="AU289" s="56">
        <f t="shared" si="337"/>
        <v>1</v>
      </c>
      <c r="AV289" s="476">
        <f t="shared" si="338"/>
        <v>0</v>
      </c>
      <c r="AW289" s="56">
        <f t="shared" si="339"/>
        <v>0</v>
      </c>
      <c r="AX289" s="475">
        <f t="shared" si="319"/>
        <v>0</v>
      </c>
      <c r="AY289" s="1169">
        <f t="shared" si="340"/>
        <v>0</v>
      </c>
      <c r="AZ289" s="1150">
        <f t="shared" si="379"/>
        <v>0</v>
      </c>
      <c r="BA289" s="56">
        <f t="shared" si="320"/>
        <v>0</v>
      </c>
      <c r="BB289" s="420">
        <f t="shared" si="321"/>
        <v>0</v>
      </c>
      <c r="BC289" s="58" t="str">
        <f t="shared" si="322"/>
        <v/>
      </c>
      <c r="BD289" s="660">
        <f t="shared" si="380"/>
        <v>0</v>
      </c>
      <c r="BE289" s="57" t="e">
        <f t="array" ref="BE289">INDEX($EB$11:$ED$1022,MATCH(F289&amp;T289,$EB$11:$EB$1007&amp;$EC$11:$EC$1007,0),3)</f>
        <v>#N/A</v>
      </c>
      <c r="BF289" s="463">
        <f t="shared" si="311"/>
        <v>0</v>
      </c>
      <c r="BG289" s="1445" t="e">
        <f t="array" ref="BG289">INDEX($DO$112:$DQ$123,MATCH(T289&amp;W289,$DO$114:$DO$125&amp;$DP$112:$DP$123,0),3)</f>
        <v>#N/A</v>
      </c>
      <c r="BH289" s="1446">
        <f t="shared" si="341"/>
        <v>0</v>
      </c>
      <c r="BI289" s="465">
        <f t="shared" si="342"/>
        <v>0</v>
      </c>
      <c r="BJ289" s="465">
        <f t="shared" si="343"/>
        <v>0</v>
      </c>
      <c r="BK289" s="466">
        <f t="shared" si="312"/>
        <v>0</v>
      </c>
      <c r="BL289" s="466">
        <f t="shared" si="313"/>
        <v>0</v>
      </c>
      <c r="BM289" s="466">
        <f t="shared" si="344"/>
        <v>0</v>
      </c>
      <c r="BN289" s="466">
        <f t="shared" si="345"/>
        <v>0</v>
      </c>
      <c r="BO289" s="463">
        <f>IF('Data Entry'!$C$74=0,0,IF(ISNA(CJ289),0,IF(AX289=0,0,IF(AND('Data Entry'!$C$74=2,AF289&gt;2,CE289&lt;1),0,IF(AND('Data Entry'!$C$74=2,AF289&gt;1,AU289=2,CJ289&gt;1),0,IF(AND(AF289=5,CT289=0.5,AU289=2,ER289&lt;100),0,IF(AND(AF289=5,CT289=0.5,AU289=3,ER289&lt;100),0,IF(AND('Data Entry'!$C$74=2,AF289=2,AU289=2,AK289&gt;0.01,CB289=2,CE289&lt;1),0,IF(AND('Data Entry'!$C$74=2,AF289=3,AU289=3,AK289&gt;0.01,CB289=3,CE289&lt;1),0,IF(AND('Data Entry'!$C$74=2,AF289=3,AU289=3,AK289&gt;0.01,CB289=3,CE289&gt;0.99),BQ289*0.08,IF(AND('Data Entry'!$C$74=2,AF289=2,AU289=2,AK289&gt;0.01,CB289=2,CE289&gt;0.99),BQ289*0.1,IF(AND(AU289=2,AK289&gt;0.01,CB289=2,CD289&gt;1),BQ289*0.1,IF(AND(AU289=3,AK289&gt;0.01,CB289=3,CD289&gt;1),BQ289*0.08,CJ289*EF289)))))))))))))</f>
        <v>0</v>
      </c>
      <c r="BP289" s="475">
        <f t="shared" si="346"/>
        <v>0</v>
      </c>
      <c r="BQ289" s="1431">
        <f>IF(AU289=1,0,IF(CH289=100,0,IF(AND(AF289=3,AU289=2),0,IF(AND(BH289=0,CT289&gt;0.4),0,IF(AND('Data Entry'!$C$74=2,AF289=1.5),0,IF(AND('Data Entry'!$C$74=2,AF289=1.6),0,IF(AND('Data Entry'!$C$74=2,AF289=4),0,IF(AND('Data Entry'!$C$74=2,AF289=5),0,IF(AND('Data Entry'!$C$74=2,AF289=2.5,CE289&lt;1),0,IF(AND('Data Entry'!$C$74=2,AF289=3,CE289&lt;1),0,IF(AND('Data Entry'!$C$74=1,AF289=2.5,CD289&lt;1),0,IF(AND('Data Entry'!$C$74=1,AF289=3,CD289&lt;1),0,IF(DX289&gt;0.01,DX289,IF(ISERROR(AX289-AY289),"",ROUND(AX289-AY289,2)))))))))))))))</f>
        <v>0</v>
      </c>
      <c r="BR289" s="146">
        <f t="shared" si="347"/>
        <v>0</v>
      </c>
      <c r="BS289" s="475">
        <f t="shared" si="348"/>
        <v>0</v>
      </c>
      <c r="BT289" s="146" t="b">
        <f t="shared" si="349"/>
        <v>0</v>
      </c>
      <c r="BU289" s="463">
        <f>IF(ISNA(AT289),0,IF(AND('Data Entry'!$C$74=2,BC289=27),0,IF(AND('Data Entry'!$C$74=2,BC289=28),0,IF(AND(BC289=27,BT289=27,CM289&gt;0.1),CM289*0.15,IF(AND(BC289=28,BT289=28,CM289&gt;0.1),CM289*0.12,0)))))</f>
        <v>0</v>
      </c>
      <c r="BV289" s="463">
        <f t="shared" si="386"/>
        <v>0</v>
      </c>
      <c r="BW289" s="463">
        <f t="shared" si="350"/>
        <v>0</v>
      </c>
      <c r="BX289" s="463">
        <f t="shared" si="351"/>
        <v>0</v>
      </c>
      <c r="BY289" s="463">
        <f t="shared" si="352"/>
        <v>0</v>
      </c>
      <c r="BZ289" s="463">
        <f t="shared" si="353"/>
        <v>0</v>
      </c>
      <c r="CA289" s="57">
        <f t="shared" si="381"/>
        <v>0</v>
      </c>
      <c r="CB289" s="56">
        <f t="shared" si="354"/>
        <v>1</v>
      </c>
      <c r="CC289" s="756">
        <f>IF(EE289=0,0,IF(EF289=0,0,IF(EE289&gt;AA289,0,IF(AND(AZ289&gt;AW289,AW289&gt;0),0,IF(CU289=0,0,Summary!AC592)))))</f>
        <v>0</v>
      </c>
      <c r="CD289" s="756">
        <f>IF(EE289=0,0,IF(EF289=0,0,IF(EE289&gt;AA289,0,IF(AND(AZ289&gt;AW289,AW289&gt;0),0,IF(CU289=0,0,Summary!AD592)))))</f>
        <v>0</v>
      </c>
      <c r="CE289" s="756">
        <f>IF(EF289=0,0,IF(EE289&gt;AA289,0,IF(CC289=0,0,IF(AND(AZ289&gt;AW289,AW289&gt;0),0,IF(CU289=0,0,Summary!AE592)))))</f>
        <v>0</v>
      </c>
      <c r="CF289" s="475">
        <f t="shared" si="355"/>
        <v>0</v>
      </c>
      <c r="CG289" s="476">
        <f t="shared" si="323"/>
        <v>0</v>
      </c>
      <c r="CH289" s="487">
        <f t="shared" si="356"/>
        <v>0</v>
      </c>
      <c r="CI289" s="756">
        <f t="shared" si="357"/>
        <v>0</v>
      </c>
      <c r="CJ289" s="487">
        <f>IF(CT289&gt;0.4,0,IF(AND(AU289=2,CH289=0,CT289=0.5,ER289=100),35,IF(AND(AU289=3,BB289&gt;75,CH289=0,CT289=0.5,ER289=100),25,IF(CB289&gt;1,0,IF(EF289&gt;EE289,0,IF(AND(AF289&gt;1,CH289=100),0,IF(AND(AF289=1,AY289=0),0,IF(AND(EF289&lt;=EE289,AW289&gt;=AZ289,'Data Entry'!$C$74=1,AU289=2),VLOOKUP(W289,$DO$96:$DP$102,2,FALSE),IF(AND(EF289&lt;=EE289,AW289&gt;=AZ289,AU289=3,'Data Entry'!$C$74=1),VLOOKUP(W289,$DO$127:$DP$134,2,FALSE))))))))))</f>
        <v>0</v>
      </c>
      <c r="CK289" s="716">
        <f t="shared" si="358"/>
        <v>0</v>
      </c>
      <c r="CL289" s="57">
        <f t="shared" si="359"/>
        <v>0</v>
      </c>
      <c r="CM289" s="475">
        <f t="shared" si="385"/>
        <v>0</v>
      </c>
      <c r="CN289" s="660">
        <f>IF(CM289&lt;0.1,0,IF(ISNA(AT289),0,IF(CL289+BC289=1,0,IF(BV289&gt;0.01,0,IF(CL289&gt;0.01,0,IF(CF289=1,0,IF(BC289=0.5,0,IF(AND(CI289=1,AU289=3),0,IF(AND(CI289=5,CL289=0),0,IF(AND(R289=12,BR289=50),0,IF(CK289&gt;0.01,0,IF(AND(AJ289&gt;0.01,AU289=2,BC289=15),CM289*0.1,IF(AND(AJ289&gt;0.01,AU289=3,BC289=15),CM289*0.08,IF(AND(R289=12,BC289=3,AF289&lt;=0),0,IF(AND(BC289=15,BI289=0),0,IF(AND(BC289=15,BJ289=0),0,IF(AND(R289=20,CU289=0),0,IF($X$4=0,0,IF(AND(BC289=250,CL289=0),0,IF(AA289&lt;1,0,IF(AND(ISNUMBER(SEARCH("Area",T289)),AU289=3),0,IF(AND(AQ289&gt;0.01,AR289=0,BK289=0,BL289=0,BM289=0,BN289=0),0,IF(AND(AU289=3,CI289=7,CT289&gt;0.5),0,IF(AND(BC289=44,AU289=3,BY289=0),0,IF(AND(BC289=27,'Data Entry'!$C$74=2),0,IF(AND(BC289=28,'Data Entry'!$C$74=2),0,IF(AND(BY289+BZ289+CA289&gt;0.01,BV289=0,EQ289+ER289+ES289+ET289&lt;100),0,IF(AU289=3,CM289*0.08,IF(AU289=2,CM289*0.1,0)))))))))))))))))))))))))))))</f>
        <v>0</v>
      </c>
      <c r="CO289" s="660">
        <f t="shared" si="360"/>
        <v>0</v>
      </c>
      <c r="CP289" s="475" t="str">
        <f t="shared" si="361"/>
        <v/>
      </c>
      <c r="CQ289" s="161" t="str">
        <f>IF(AH289=0,0,IF(AU289=5,0,Summary!AC292))</f>
        <v/>
      </c>
      <c r="CR289" s="161" t="str">
        <f>IF(BF289=0.5,0,IF(AU289=5,0,Summary!AD292))</f>
        <v/>
      </c>
      <c r="CS289" s="161" t="str">
        <f>IF(AU289=5,0,Summary!AE292)</f>
        <v/>
      </c>
      <c r="CT289" s="161">
        <f t="shared" si="362"/>
        <v>0</v>
      </c>
      <c r="CU289" s="475" t="str">
        <f t="shared" si="363"/>
        <v/>
      </c>
      <c r="CV289" s="307">
        <f>IF('Data Entry'!$C$74=0,0,IF(AA289&lt;1,0,IF(ISERROR(CU289),0,IF(CF289=1,0,IF(AND(R289=12,BR289=50),0,IF(CL289+BO289+BV289+DC289=0,0,IF(BC289=37,0,IF(AND(BC289=40,AJ289=0),0,IF(AND(BC289=37,BO289&gt;0.01,BQ289&gt;0.01),ROUND(BQ289,0),IF(CM289&lt;0,0,ROUND(CM289,0)))))))))))</f>
        <v>0</v>
      </c>
      <c r="CW289" s="700">
        <f t="shared" si="364"/>
        <v>0</v>
      </c>
      <c r="CX289" s="477">
        <f>IF('Data Entry'!$C$74=0,0,IF(CV289&lt;0.01,0,IF(BF289=0.5,0,IF(CF289=1,0,IF(ISNUMBER(SEARCH("false",CL289)),0,IF(AZ289=500,0,CL289))))))</f>
        <v>0</v>
      </c>
      <c r="CY289" s="147" t="e">
        <f t="shared" si="365"/>
        <v>#VALUE!</v>
      </c>
      <c r="CZ289" s="147" t="b">
        <f>IF(CN289+CL289=0,FALSE,IF(AH289=0,0,IF(AND('Data Entry'!$C$74=1,CR289&gt;=1),TRUE,IF(AND('Data Entry'!$C$74=2,CS289&gt;=1),TRUE,FALSE))))</f>
        <v>0</v>
      </c>
      <c r="DA289" s="1751">
        <f>IF('Data Entry'!$C$74=0,0,IFERROR(ROUND(IF(T289="","",IF($X$4=0,0,IF(CF289=1,0,IF(BQ289+CV289=0,0,IF(CF289=1,0,IF(CY289&gt;0.01,CY289,IF(CL289&gt;0.01,CL289,IF(CY289&gt;0.01,CY289,IF(BC289=37,BO289,IF(CZ289=FALSE,0,IF(CZ289=TRUE,DC289+DF289,0))))))))))),2),""))</f>
        <v>0</v>
      </c>
      <c r="DB289" s="1752"/>
      <c r="DC289" s="474">
        <f>IF(CN289&lt;0.01,0,IF(AND(BR289=3,CN289&gt;0.01,CT289&gt;0.6,ER289+ES289+ET289&lt;100),0,IF(AND('Data Entry'!$C$74=1,CN289&gt;0.01,CR289&gt;0.99),MIN(CN289:CO289),IF(AND('Data Entry'!$C$74=2,CN289&gt;0.01,CS289&gt;0.99),MIN(CN289:CO289),0))))</f>
        <v>0</v>
      </c>
      <c r="DD289" s="478">
        <f>IF(CF289=1,"Selection does not match",IF(T289=0,0,IF(AND('Data Entry'!$C$74=0,CP289&gt;1),"Select Oregon or Idaho on Data Entry Tab",IF(AND(AU289=1,AA289&gt;0.9),"Missing Interior or Exterior Selection",IF($X$4=0,"Enter Total Project Cost",IF(AQ289&lt;AR289,"Insufficient kWh savings – no incentive",IF(AND(SUM(CL289+CK289+BV289)&gt;0.01,'Data Entry'!$C$74=2,CJ289&gt;1,BO289=0),"Submit Control as Non-Standard",IF(AND('Data Entry'!$C$74=2,BR289=37,CJ289&gt;1,BO289=0),"Submit Control as Non-Standard",IF(SUM(CL289+CK289+BV289)&gt;0.01,"Standard Incentive",IF(AND('Data Entry'!$C$74=2,CP289=7,CN289=0),"Submit as Non-Standard",IF(DC289&gt;0.9,"Non-Standard Incentive",IF(AND(BY289+BZ289+CA289&gt;0.01,BV289=0,EQ289=0,ER289=0,ES289=0,ET289=0),"Scroll Right &amp; Select Control Strategies",IF(AND(CN289&gt;0.01,CO289=0),"Enter Unit Installed Cost",IF(ISNUMBER(SEARCH("Lighting Controls Only",F289)),"Lighting Controls Only",IF(CL289+DC289=0,"Does not meet incentive criteria",0)))))))))))))))</f>
        <v>0</v>
      </c>
      <c r="DE289" s="337">
        <f t="shared" si="366"/>
        <v>0</v>
      </c>
      <c r="DF289" s="609">
        <f t="shared" si="367"/>
        <v>0</v>
      </c>
      <c r="DG289" s="336" t="str">
        <f t="shared" si="368"/>
        <v/>
      </c>
      <c r="DH289" s="338">
        <f t="shared" si="369"/>
        <v>1</v>
      </c>
      <c r="DI289" s="336" t="e">
        <f t="shared" si="324"/>
        <v>#VALUE!</v>
      </c>
      <c r="DJ289" s="338">
        <f t="shared" si="325"/>
        <v>0</v>
      </c>
      <c r="DO289" s="81"/>
      <c r="DP289" s="81"/>
      <c r="DQ289" s="377"/>
      <c r="DR289" s="81"/>
      <c r="DS289" s="1195">
        <f t="shared" si="370"/>
        <v>0</v>
      </c>
      <c r="DT289" s="344" t="b">
        <f t="shared" si="371"/>
        <v>1</v>
      </c>
      <c r="DU289" s="1314" t="str">
        <f t="array" ref="DU289">IF(OR(COUNTIF(F289,"*"&amp;$DK$9:$DK$178&amp;"*")), "Yes", "")</f>
        <v/>
      </c>
      <c r="DV289" s="1314">
        <f t="shared" si="372"/>
        <v>0</v>
      </c>
      <c r="DW289" s="1480">
        <f t="shared" si="373"/>
        <v>0</v>
      </c>
      <c r="DX289" s="1498">
        <f t="shared" si="382"/>
        <v>0</v>
      </c>
      <c r="DY289" s="1484">
        <f t="shared" si="374"/>
        <v>0</v>
      </c>
      <c r="DZ289" s="331"/>
      <c r="EA289" s="392"/>
      <c r="EB289" s="1499" t="s">
        <v>508</v>
      </c>
      <c r="EC289" s="727" t="s">
        <v>1569</v>
      </c>
      <c r="ED289" s="728">
        <v>0.5</v>
      </c>
      <c r="EE289" s="1215"/>
      <c r="EF289" s="1215"/>
      <c r="EG289" s="1184" t="str">
        <f t="shared" si="375"/>
        <v/>
      </c>
      <c r="EJ289" s="1185">
        <f t="shared" si="326"/>
        <v>0</v>
      </c>
      <c r="EK289" s="1211"/>
      <c r="EL289" s="1180">
        <f t="shared" si="327"/>
        <v>0</v>
      </c>
      <c r="EM289" s="206"/>
      <c r="EN289" s="1038"/>
      <c r="EO289" s="1038"/>
      <c r="EP289" s="1038"/>
      <c r="EQ289" s="1038">
        <f t="shared" si="376"/>
        <v>0</v>
      </c>
      <c r="ER289" s="1041">
        <f t="shared" si="377"/>
        <v>0</v>
      </c>
      <c r="ES289" s="1042">
        <f t="shared" si="378"/>
        <v>0</v>
      </c>
      <c r="ET289" s="1042">
        <f t="shared" si="383"/>
        <v>0</v>
      </c>
      <c r="EU289" s="1021">
        <f t="shared" si="384"/>
        <v>0</v>
      </c>
      <c r="EV289" s="368"/>
      <c r="EW289" s="368"/>
      <c r="EX289" s="369"/>
      <c r="EY289" s="370"/>
      <c r="EZ289" s="370"/>
      <c r="FA289" s="371"/>
      <c r="FB289" s="372"/>
    </row>
    <row r="290" spans="1:158" ht="34.5" customHeight="1">
      <c r="A290" s="82">
        <v>282</v>
      </c>
      <c r="B290" s="1806"/>
      <c r="C290" s="1807"/>
      <c r="D290" s="1807"/>
      <c r="E290" s="1808"/>
      <c r="F290" s="1809"/>
      <c r="G290" s="1810"/>
      <c r="H290" s="1810"/>
      <c r="I290" s="1811"/>
      <c r="J290" s="1301"/>
      <c r="K290" s="1814"/>
      <c r="L290" s="1814"/>
      <c r="M290" s="1017"/>
      <c r="N290" s="1584"/>
      <c r="O290" s="208" t="str">
        <f t="shared" si="314"/>
        <v/>
      </c>
      <c r="P290" s="785"/>
      <c r="Q290" s="39" t="str">
        <f t="shared" si="315"/>
        <v/>
      </c>
      <c r="R290" s="39">
        <f t="shared" si="328"/>
        <v>0</v>
      </c>
      <c r="S290" s="234">
        <f t="shared" si="329"/>
        <v>0</v>
      </c>
      <c r="T290" s="1815"/>
      <c r="U290" s="1815"/>
      <c r="V290" s="1815"/>
      <c r="W290" s="1121"/>
      <c r="X290" s="1812"/>
      <c r="Y290" s="1813"/>
      <c r="Z290" s="703"/>
      <c r="AA290" s="1280"/>
      <c r="AB290" s="1141"/>
      <c r="AC290" s="1103" t="str">
        <f>IF(T290="","",VLOOKUP(Z290,Lists!$A$60:$B$111,2,FALSE))</f>
        <v/>
      </c>
      <c r="AD290" s="130" t="str">
        <f t="shared" si="330"/>
        <v/>
      </c>
      <c r="AE290" s="130" t="e">
        <f t="shared" si="331"/>
        <v>#VALUE!</v>
      </c>
      <c r="AF290" s="130">
        <f t="shared" si="332"/>
        <v>1</v>
      </c>
      <c r="AG290" s="234">
        <f t="shared" si="316"/>
        <v>0</v>
      </c>
      <c r="AH290" s="1753" t="str">
        <f>IF(T290="","",(IF(ISNUMBER(SEARCH("exit",T290)),8760,IF(AND(M290="Dusk to Dawn",'Proposed Lighting'!AU290=3),4059,IF(AND(AU290=3,M290="1"),0,IF(AND(AU290=3,M290="1-C"),0,IF(AND(AU290=3,M290="2"),0,IF(AND(AU290=3,M290="2-C"),0,IF(AND(AU290=3,M290="3"),0,IF(AND(AU290=3,M290="3-C"),0,IF(AND(AU290=2,M290="Dusk to Dawn"),0,IF(AND(AU290=2,M290="Dusk to Dawn-C"),0,IF(AND(AU290=2,M290="Dusk to Dawn"),0,IF(AND(AU290=2,M290="E"),0,IF(AND(AU290=2,M290="E-C"),0,EG290)))))))))))))))</f>
        <v/>
      </c>
      <c r="AI290" s="1754"/>
      <c r="AJ290" s="1136"/>
      <c r="AK290" s="1136"/>
      <c r="AL290" s="1748">
        <f t="shared" si="333"/>
        <v>0</v>
      </c>
      <c r="AM290" s="1749"/>
      <c r="AN290" s="1750"/>
      <c r="AO290" s="476">
        <f t="shared" si="317"/>
        <v>0</v>
      </c>
      <c r="AP290" s="476">
        <f t="shared" si="334"/>
        <v>0</v>
      </c>
      <c r="AQ290" s="475">
        <f t="shared" si="318"/>
        <v>0</v>
      </c>
      <c r="AR290" s="475">
        <f t="shared" si="335"/>
        <v>0</v>
      </c>
      <c r="AS290" s="743" t="str">
        <f t="shared" si="387"/>
        <v/>
      </c>
      <c r="AT290" s="736" t="str">
        <f t="shared" si="336"/>
        <v/>
      </c>
      <c r="AU290" s="56">
        <f t="shared" si="337"/>
        <v>1</v>
      </c>
      <c r="AV290" s="476">
        <f t="shared" si="338"/>
        <v>0</v>
      </c>
      <c r="AW290" s="56">
        <f t="shared" si="339"/>
        <v>0</v>
      </c>
      <c r="AX290" s="475">
        <f t="shared" si="319"/>
        <v>0</v>
      </c>
      <c r="AY290" s="1169">
        <f t="shared" si="340"/>
        <v>0</v>
      </c>
      <c r="AZ290" s="1150">
        <f t="shared" si="379"/>
        <v>0</v>
      </c>
      <c r="BA290" s="56">
        <f t="shared" si="320"/>
        <v>0</v>
      </c>
      <c r="BB290" s="420">
        <f t="shared" si="321"/>
        <v>0</v>
      </c>
      <c r="BC290" s="58" t="str">
        <f t="shared" si="322"/>
        <v/>
      </c>
      <c r="BD290" s="660">
        <f t="shared" si="380"/>
        <v>0</v>
      </c>
      <c r="BE290" s="57" t="e">
        <f t="array" ref="BE290">INDEX($EB$11:$ED$1022,MATCH(F290&amp;T290,$EB$11:$EB$1007&amp;$EC$11:$EC$1007,0),3)</f>
        <v>#N/A</v>
      </c>
      <c r="BF290" s="463">
        <f t="shared" si="311"/>
        <v>0</v>
      </c>
      <c r="BG290" s="1445" t="e">
        <f t="array" ref="BG290">INDEX($DO$112:$DQ$123,MATCH(T290&amp;W290,$DO$114:$DO$125&amp;$DP$112:$DP$123,0),3)</f>
        <v>#N/A</v>
      </c>
      <c r="BH290" s="1446">
        <f t="shared" si="341"/>
        <v>0</v>
      </c>
      <c r="BI290" s="465">
        <f t="shared" si="342"/>
        <v>0</v>
      </c>
      <c r="BJ290" s="465">
        <f t="shared" si="343"/>
        <v>0</v>
      </c>
      <c r="BK290" s="466">
        <f t="shared" si="312"/>
        <v>0</v>
      </c>
      <c r="BL290" s="466">
        <f t="shared" si="313"/>
        <v>0</v>
      </c>
      <c r="BM290" s="466">
        <f t="shared" si="344"/>
        <v>0</v>
      </c>
      <c r="BN290" s="466">
        <f t="shared" si="345"/>
        <v>0</v>
      </c>
      <c r="BO290" s="463">
        <f>IF('Data Entry'!$C$74=0,0,IF(ISNA(CJ290),0,IF(AX290=0,0,IF(AND('Data Entry'!$C$74=2,AF290&gt;2,CE290&lt;1),0,IF(AND('Data Entry'!$C$74=2,AF290&gt;1,AU290=2,CJ290&gt;1),0,IF(AND(AF290=5,CT290=0.5,AU290=2,ER290&lt;100),0,IF(AND(AF290=5,CT290=0.5,AU290=3,ER290&lt;100),0,IF(AND('Data Entry'!$C$74=2,AF290=2,AU290=2,AK290&gt;0.01,CB290=2,CE290&lt;1),0,IF(AND('Data Entry'!$C$74=2,AF290=3,AU290=3,AK290&gt;0.01,CB290=3,CE290&lt;1),0,IF(AND('Data Entry'!$C$74=2,AF290=3,AU290=3,AK290&gt;0.01,CB290=3,CE290&gt;0.99),BQ290*0.08,IF(AND('Data Entry'!$C$74=2,AF290=2,AU290=2,AK290&gt;0.01,CB290=2,CE290&gt;0.99),BQ290*0.1,IF(AND(AU290=2,AK290&gt;0.01,CB290=2,CD290&gt;1),BQ290*0.1,IF(AND(AU290=3,AK290&gt;0.01,CB290=3,CD290&gt;1),BQ290*0.08,CJ290*EF290)))))))))))))</f>
        <v>0</v>
      </c>
      <c r="BP290" s="475">
        <f t="shared" si="346"/>
        <v>0</v>
      </c>
      <c r="BQ290" s="1431">
        <f>IF(AU290=1,0,IF(CH290=100,0,IF(AND(AF290=3,AU290=2),0,IF(AND(BH290=0,CT290&gt;0.4),0,IF(AND('Data Entry'!$C$74=2,AF290=1.5),0,IF(AND('Data Entry'!$C$74=2,AF290=1.6),0,IF(AND('Data Entry'!$C$74=2,AF290=4),0,IF(AND('Data Entry'!$C$74=2,AF290=5),0,IF(AND('Data Entry'!$C$74=2,AF290=2.5,CE290&lt;1),0,IF(AND('Data Entry'!$C$74=2,AF290=3,CE290&lt;1),0,IF(AND('Data Entry'!$C$74=1,AF290=2.5,CD290&lt;1),0,IF(AND('Data Entry'!$C$74=1,AF290=3,CD290&lt;1),0,IF(DX290&gt;0.01,DX290,IF(ISERROR(AX290-AY290),"",ROUND(AX290-AY290,2)))))))))))))))</f>
        <v>0</v>
      </c>
      <c r="BR290" s="146">
        <f t="shared" si="347"/>
        <v>0</v>
      </c>
      <c r="BS290" s="475">
        <f t="shared" si="348"/>
        <v>0</v>
      </c>
      <c r="BT290" s="146" t="b">
        <f t="shared" si="349"/>
        <v>0</v>
      </c>
      <c r="BU290" s="463">
        <f>IF(ISNA(AT290),0,IF(AND('Data Entry'!$C$74=2,BC290=27),0,IF(AND('Data Entry'!$C$74=2,BC290=28),0,IF(AND(BC290=27,BT290=27,CM290&gt;0.1),CM290*0.15,IF(AND(BC290=28,BT290=28,CM290&gt;0.1),CM290*0.12,0)))))</f>
        <v>0</v>
      </c>
      <c r="BV290" s="463">
        <f t="shared" si="386"/>
        <v>0</v>
      </c>
      <c r="BW290" s="463">
        <f t="shared" si="350"/>
        <v>0</v>
      </c>
      <c r="BX290" s="463">
        <f t="shared" si="351"/>
        <v>0</v>
      </c>
      <c r="BY290" s="463">
        <f t="shared" si="352"/>
        <v>0</v>
      </c>
      <c r="BZ290" s="463">
        <f t="shared" si="353"/>
        <v>0</v>
      </c>
      <c r="CA290" s="57">
        <f t="shared" si="381"/>
        <v>0</v>
      </c>
      <c r="CB290" s="56">
        <f t="shared" si="354"/>
        <v>1</v>
      </c>
      <c r="CC290" s="756">
        <f>IF(EE290=0,0,IF(EF290=0,0,IF(EE290&gt;AA290,0,IF(AND(AZ290&gt;AW290,AW290&gt;0),0,IF(CU290=0,0,Summary!AC593)))))</f>
        <v>0</v>
      </c>
      <c r="CD290" s="756">
        <f>IF(EE290=0,0,IF(EF290=0,0,IF(EE290&gt;AA290,0,IF(AND(AZ290&gt;AW290,AW290&gt;0),0,IF(CU290=0,0,Summary!AD593)))))</f>
        <v>0</v>
      </c>
      <c r="CE290" s="756">
        <f>IF(EF290=0,0,IF(EE290&gt;AA290,0,IF(CC290=0,0,IF(AND(AZ290&gt;AW290,AW290&gt;0),0,IF(CU290=0,0,Summary!AE593)))))</f>
        <v>0</v>
      </c>
      <c r="CF290" s="475">
        <f t="shared" si="355"/>
        <v>0</v>
      </c>
      <c r="CG290" s="476">
        <f t="shared" si="323"/>
        <v>0</v>
      </c>
      <c r="CH290" s="487">
        <f t="shared" si="356"/>
        <v>0</v>
      </c>
      <c r="CI290" s="756">
        <f t="shared" si="357"/>
        <v>0</v>
      </c>
      <c r="CJ290" s="487">
        <f>IF(CT290&gt;0.4,0,IF(AND(AU290=2,CH290=0,CT290=0.5,ER290=100),35,IF(AND(AU290=3,BB290&gt;75,CH290=0,CT290=0.5,ER290=100),25,IF(CB290&gt;1,0,IF(EF290&gt;EE290,0,IF(AND(AF290&gt;1,CH290=100),0,IF(AND(AF290=1,AY290=0),0,IF(AND(EF290&lt;=EE290,AW290&gt;=AZ290,'Data Entry'!$C$74=1,AU290=2),VLOOKUP(W290,$DO$96:$DP$102,2,FALSE),IF(AND(EF290&lt;=EE290,AW290&gt;=AZ290,AU290=3,'Data Entry'!$C$74=1),VLOOKUP(W290,$DO$127:$DP$134,2,FALSE))))))))))</f>
        <v>0</v>
      </c>
      <c r="CK290" s="716">
        <f t="shared" si="358"/>
        <v>0</v>
      </c>
      <c r="CL290" s="57">
        <f t="shared" si="359"/>
        <v>0</v>
      </c>
      <c r="CM290" s="475">
        <f t="shared" si="385"/>
        <v>0</v>
      </c>
      <c r="CN290" s="660">
        <f>IF(CM290&lt;0.1,0,IF(ISNA(AT290),0,IF(CL290+BC290=1,0,IF(BV290&gt;0.01,0,IF(CL290&gt;0.01,0,IF(CF290=1,0,IF(BC290=0.5,0,IF(AND(CI290=1,AU290=3),0,IF(AND(CI290=5,CL290=0),0,IF(AND(R290=12,BR290=50),0,IF(CK290&gt;0.01,0,IF(AND(AJ290&gt;0.01,AU290=2,BC290=15),CM290*0.1,IF(AND(AJ290&gt;0.01,AU290=3,BC290=15),CM290*0.08,IF(AND(R290=12,BC290=3,AF290&lt;=0),0,IF(AND(BC290=15,BI290=0),0,IF(AND(BC290=15,BJ290=0),0,IF(AND(R290=20,CU290=0),0,IF($X$4=0,0,IF(AND(BC290=250,CL290=0),0,IF(AA290&lt;1,0,IF(AND(ISNUMBER(SEARCH("Area",T290)),AU290=3),0,IF(AND(AQ290&gt;0.01,AR290=0,BK290=0,BL290=0,BM290=0,BN290=0),0,IF(AND(AU290=3,CI290=7,CT290&gt;0.5),0,IF(AND(BC290=44,AU290=3,BY290=0),0,IF(AND(BC290=27,'Data Entry'!$C$74=2),0,IF(AND(BC290=28,'Data Entry'!$C$74=2),0,IF(AND(BY290+BZ290+CA290&gt;0.01,BV290=0,EQ290+ER290+ES290+ET290&lt;100),0,IF(AU290=3,CM290*0.08,IF(AU290=2,CM290*0.1,0)))))))))))))))))))))))))))))</f>
        <v>0</v>
      </c>
      <c r="CO290" s="660">
        <f t="shared" si="360"/>
        <v>0</v>
      </c>
      <c r="CP290" s="475" t="str">
        <f t="shared" si="361"/>
        <v/>
      </c>
      <c r="CQ290" s="161" t="str">
        <f>IF(AH290=0,0,IF(AU290=5,0,Summary!AC293))</f>
        <v/>
      </c>
      <c r="CR290" s="161" t="str">
        <f>IF(BF290=0.5,0,IF(AU290=5,0,Summary!AD293))</f>
        <v/>
      </c>
      <c r="CS290" s="161" t="str">
        <f>IF(AU290=5,0,Summary!AE293)</f>
        <v/>
      </c>
      <c r="CT290" s="161">
        <f t="shared" si="362"/>
        <v>0</v>
      </c>
      <c r="CU290" s="475" t="str">
        <f t="shared" si="363"/>
        <v/>
      </c>
      <c r="CV290" s="307">
        <f>IF('Data Entry'!$C$74=0,0,IF(AA290&lt;1,0,IF(ISERROR(CU290),0,IF(CF290=1,0,IF(AND(R290=12,BR290=50),0,IF(CL290+BO290+BV290+DC290=0,0,IF(BC290=37,0,IF(AND(BC290=40,AJ290=0),0,IF(AND(BC290=37,BO290&gt;0.01,BQ290&gt;0.01),ROUND(BQ290,0),IF(CM290&lt;0,0,ROUND(CM290,0)))))))))))</f>
        <v>0</v>
      </c>
      <c r="CW290" s="700">
        <f t="shared" si="364"/>
        <v>0</v>
      </c>
      <c r="CX290" s="477">
        <f>IF('Data Entry'!$C$74=0,0,IF(CV290&lt;0.01,0,IF(BF290=0.5,0,IF(CF290=1,0,IF(ISNUMBER(SEARCH("false",CL290)),0,IF(AZ290=500,0,CL290))))))</f>
        <v>0</v>
      </c>
      <c r="CY290" s="147" t="e">
        <f t="shared" si="365"/>
        <v>#VALUE!</v>
      </c>
      <c r="CZ290" s="147" t="b">
        <f>IF(CN290+CL290=0,FALSE,IF(AH290=0,0,IF(AND('Data Entry'!$C$74=1,CR290&gt;=1),TRUE,IF(AND('Data Entry'!$C$74=2,CS290&gt;=1),TRUE,FALSE))))</f>
        <v>0</v>
      </c>
      <c r="DA290" s="1751">
        <f>IF('Data Entry'!$C$74=0,0,IFERROR(ROUND(IF(T290="","",IF($X$4=0,0,IF(CF290=1,0,IF(BQ290+CV290=0,0,IF(CF290=1,0,IF(CY290&gt;0.01,CY290,IF(CL290&gt;0.01,CL290,IF(CY290&gt;0.01,CY290,IF(BC290=37,BO290,IF(CZ290=FALSE,0,IF(CZ290=TRUE,DC290+DF290,0))))))))))),2),""))</f>
        <v>0</v>
      </c>
      <c r="DB290" s="1752"/>
      <c r="DC290" s="474">
        <f>IF(CN290&lt;0.01,0,IF(AND(BR290=3,CN290&gt;0.01,CT290&gt;0.6,ER290+ES290+ET290&lt;100),0,IF(AND('Data Entry'!$C$74=1,CN290&gt;0.01,CR290&gt;0.99),MIN(CN290:CO290),IF(AND('Data Entry'!$C$74=2,CN290&gt;0.01,CS290&gt;0.99),MIN(CN290:CO290),0))))</f>
        <v>0</v>
      </c>
      <c r="DD290" s="478">
        <f>IF(CF290=1,"Selection does not match",IF(T290=0,0,IF(AND('Data Entry'!$C$74=0,CP290&gt;1),"Select Oregon or Idaho on Data Entry Tab",IF(AND(AU290=1,AA290&gt;0.9),"Missing Interior or Exterior Selection",IF($X$4=0,"Enter Total Project Cost",IF(AQ290&lt;AR290,"Insufficient kWh savings – no incentive",IF(AND(SUM(CL290+CK290+BV290)&gt;0.01,'Data Entry'!$C$74=2,CJ290&gt;1,BO290=0),"Submit Control as Non-Standard",IF(AND('Data Entry'!$C$74=2,BR290=37,CJ290&gt;1,BO290=0),"Submit Control as Non-Standard",IF(SUM(CL290+CK290+BV290)&gt;0.01,"Standard Incentive",IF(AND('Data Entry'!$C$74=2,CP290=7,CN290=0),"Submit as Non-Standard",IF(DC290&gt;0.9,"Non-Standard Incentive",IF(AND(BY290+BZ290+CA290&gt;0.01,BV290=0,EQ290=0,ER290=0,ES290=0,ET290=0),"Scroll Right &amp; Select Control Strategies",IF(AND(CN290&gt;0.01,CO290=0),"Enter Unit Installed Cost",IF(ISNUMBER(SEARCH("Lighting Controls Only",F290)),"Lighting Controls Only",IF(CL290+DC290=0,"Does not meet incentive criteria",0)))))))))))))))</f>
        <v>0</v>
      </c>
      <c r="DE290" s="337">
        <f t="shared" si="366"/>
        <v>0</v>
      </c>
      <c r="DF290" s="609">
        <f t="shared" si="367"/>
        <v>0</v>
      </c>
      <c r="DG290" s="336" t="str">
        <f t="shared" si="368"/>
        <v/>
      </c>
      <c r="DH290" s="338">
        <f t="shared" si="369"/>
        <v>1</v>
      </c>
      <c r="DI290" s="336" t="e">
        <f t="shared" si="324"/>
        <v>#VALUE!</v>
      </c>
      <c r="DJ290" s="338">
        <f t="shared" si="325"/>
        <v>0</v>
      </c>
      <c r="DO290" s="81"/>
      <c r="DP290" s="81"/>
      <c r="DQ290" s="377"/>
      <c r="DR290" s="81"/>
      <c r="DS290" s="1195">
        <f t="shared" si="370"/>
        <v>0</v>
      </c>
      <c r="DT290" s="344" t="b">
        <f t="shared" si="371"/>
        <v>1</v>
      </c>
      <c r="DU290" s="1314" t="str">
        <f t="array" ref="DU290">IF(OR(COUNTIF(F290,"*"&amp;$DK$9:$DK$178&amp;"*")), "Yes", "")</f>
        <v/>
      </c>
      <c r="DV290" s="1314">
        <f t="shared" si="372"/>
        <v>0</v>
      </c>
      <c r="DW290" s="1480">
        <f t="shared" si="373"/>
        <v>0</v>
      </c>
      <c r="DX290" s="1498">
        <f t="shared" si="382"/>
        <v>0</v>
      </c>
      <c r="DY290" s="1484">
        <f t="shared" si="374"/>
        <v>0</v>
      </c>
      <c r="DZ290" s="331"/>
      <c r="EA290" s="392"/>
      <c r="EB290" s="1499" t="s">
        <v>507</v>
      </c>
      <c r="EC290" s="727" t="s">
        <v>1569</v>
      </c>
      <c r="ED290" s="728">
        <v>0.5</v>
      </c>
      <c r="EE290" s="1215"/>
      <c r="EF290" s="1215"/>
      <c r="EG290" s="1184" t="str">
        <f t="shared" si="375"/>
        <v/>
      </c>
      <c r="EJ290" s="1185">
        <f t="shared" si="326"/>
        <v>0</v>
      </c>
      <c r="EK290" s="1211"/>
      <c r="EL290" s="1180">
        <f t="shared" si="327"/>
        <v>0</v>
      </c>
      <c r="EM290" s="206"/>
      <c r="EN290" s="1038"/>
      <c r="EO290" s="1038"/>
      <c r="EP290" s="1038"/>
      <c r="EQ290" s="1038">
        <f t="shared" si="376"/>
        <v>0</v>
      </c>
      <c r="ER290" s="1041">
        <f t="shared" si="377"/>
        <v>0</v>
      </c>
      <c r="ES290" s="1042">
        <f t="shared" si="378"/>
        <v>0</v>
      </c>
      <c r="ET290" s="1042">
        <f t="shared" si="383"/>
        <v>0</v>
      </c>
      <c r="EU290" s="1021">
        <f t="shared" si="384"/>
        <v>0</v>
      </c>
      <c r="EV290" s="368"/>
      <c r="EW290" s="368"/>
      <c r="EX290" s="369"/>
      <c r="EY290" s="370"/>
      <c r="EZ290" s="370"/>
      <c r="FA290" s="371"/>
      <c r="FB290" s="372"/>
    </row>
    <row r="291" spans="1:158" ht="34.5" customHeight="1">
      <c r="A291" s="82">
        <v>283</v>
      </c>
      <c r="B291" s="1806"/>
      <c r="C291" s="1807"/>
      <c r="D291" s="1807"/>
      <c r="E291" s="1808"/>
      <c r="F291" s="1809"/>
      <c r="G291" s="1810"/>
      <c r="H291" s="1810"/>
      <c r="I291" s="1811"/>
      <c r="J291" s="1301"/>
      <c r="K291" s="1814"/>
      <c r="L291" s="1814"/>
      <c r="M291" s="1017"/>
      <c r="N291" s="1584"/>
      <c r="O291" s="208" t="str">
        <f t="shared" si="314"/>
        <v/>
      </c>
      <c r="P291" s="785"/>
      <c r="Q291" s="39" t="str">
        <f t="shared" si="315"/>
        <v/>
      </c>
      <c r="R291" s="39">
        <f t="shared" si="328"/>
        <v>0</v>
      </c>
      <c r="S291" s="234">
        <f t="shared" si="329"/>
        <v>0</v>
      </c>
      <c r="T291" s="1815"/>
      <c r="U291" s="1815"/>
      <c r="V291" s="1815"/>
      <c r="W291" s="1121"/>
      <c r="X291" s="1812"/>
      <c r="Y291" s="1813"/>
      <c r="Z291" s="703"/>
      <c r="AA291" s="1280"/>
      <c r="AB291" s="1141"/>
      <c r="AC291" s="1103" t="str">
        <f>IF(T291="","",VLOOKUP(Z291,Lists!$A$60:$B$111,2,FALSE))</f>
        <v/>
      </c>
      <c r="AD291" s="130" t="str">
        <f t="shared" si="330"/>
        <v/>
      </c>
      <c r="AE291" s="130" t="e">
        <f t="shared" si="331"/>
        <v>#VALUE!</v>
      </c>
      <c r="AF291" s="130">
        <f t="shared" si="332"/>
        <v>1</v>
      </c>
      <c r="AG291" s="234">
        <f t="shared" si="316"/>
        <v>0</v>
      </c>
      <c r="AH291" s="1753" t="str">
        <f>IF(T291="","",(IF(ISNUMBER(SEARCH("exit",T291)),8760,IF(AND(M291="Dusk to Dawn",'Proposed Lighting'!AU291=3),4059,IF(AND(AU291=3,M291="1"),0,IF(AND(AU291=3,M291="1-C"),0,IF(AND(AU291=3,M291="2"),0,IF(AND(AU291=3,M291="2-C"),0,IF(AND(AU291=3,M291="3"),0,IF(AND(AU291=3,M291="3-C"),0,IF(AND(AU291=2,M291="Dusk to Dawn"),0,IF(AND(AU291=2,M291="Dusk to Dawn-C"),0,IF(AND(AU291=2,M291="Dusk to Dawn"),0,IF(AND(AU291=2,M291="E"),0,IF(AND(AU291=2,M291="E-C"),0,EG291)))))))))))))))</f>
        <v/>
      </c>
      <c r="AI291" s="1754"/>
      <c r="AJ291" s="1136"/>
      <c r="AK291" s="1136"/>
      <c r="AL291" s="1748">
        <f t="shared" si="333"/>
        <v>0</v>
      </c>
      <c r="AM291" s="1749"/>
      <c r="AN291" s="1750"/>
      <c r="AO291" s="476">
        <f t="shared" si="317"/>
        <v>0</v>
      </c>
      <c r="AP291" s="476">
        <f t="shared" si="334"/>
        <v>0</v>
      </c>
      <c r="AQ291" s="475">
        <f t="shared" si="318"/>
        <v>0</v>
      </c>
      <c r="AR291" s="475">
        <f t="shared" si="335"/>
        <v>0</v>
      </c>
      <c r="AS291" s="743" t="str">
        <f t="shared" si="387"/>
        <v/>
      </c>
      <c r="AT291" s="736" t="str">
        <f t="shared" si="336"/>
        <v/>
      </c>
      <c r="AU291" s="56">
        <f t="shared" si="337"/>
        <v>1</v>
      </c>
      <c r="AV291" s="476">
        <f t="shared" si="338"/>
        <v>0</v>
      </c>
      <c r="AW291" s="56">
        <f t="shared" si="339"/>
        <v>0</v>
      </c>
      <c r="AX291" s="475">
        <f t="shared" si="319"/>
        <v>0</v>
      </c>
      <c r="AY291" s="1169">
        <f t="shared" si="340"/>
        <v>0</v>
      </c>
      <c r="AZ291" s="1150">
        <f t="shared" si="379"/>
        <v>0</v>
      </c>
      <c r="BA291" s="56">
        <f t="shared" si="320"/>
        <v>0</v>
      </c>
      <c r="BB291" s="420">
        <f t="shared" si="321"/>
        <v>0</v>
      </c>
      <c r="BC291" s="58" t="str">
        <f t="shared" si="322"/>
        <v/>
      </c>
      <c r="BD291" s="660">
        <f t="shared" si="380"/>
        <v>0</v>
      </c>
      <c r="BE291" s="57" t="e">
        <f t="array" ref="BE291">INDEX($EB$11:$ED$1022,MATCH(F291&amp;T291,$EB$11:$EB$1007&amp;$EC$11:$EC$1007,0),3)</f>
        <v>#N/A</v>
      </c>
      <c r="BF291" s="463">
        <f t="shared" si="311"/>
        <v>0</v>
      </c>
      <c r="BG291" s="1445" t="e">
        <f t="array" ref="BG291">INDEX($DO$112:$DQ$123,MATCH(T291&amp;W291,$DO$114:$DO$125&amp;$DP$112:$DP$123,0),3)</f>
        <v>#N/A</v>
      </c>
      <c r="BH291" s="1446">
        <f t="shared" si="341"/>
        <v>0</v>
      </c>
      <c r="BI291" s="465">
        <f t="shared" si="342"/>
        <v>0</v>
      </c>
      <c r="BJ291" s="465">
        <f t="shared" si="343"/>
        <v>0</v>
      </c>
      <c r="BK291" s="466">
        <f t="shared" si="312"/>
        <v>0</v>
      </c>
      <c r="BL291" s="466">
        <f t="shared" si="313"/>
        <v>0</v>
      </c>
      <c r="BM291" s="466">
        <f t="shared" si="344"/>
        <v>0</v>
      </c>
      <c r="BN291" s="466">
        <f t="shared" si="345"/>
        <v>0</v>
      </c>
      <c r="BO291" s="463">
        <f>IF('Data Entry'!$C$74=0,0,IF(ISNA(CJ291),0,IF(AX291=0,0,IF(AND('Data Entry'!$C$74=2,AF291&gt;2,CE291&lt;1),0,IF(AND('Data Entry'!$C$74=2,AF291&gt;1,AU291=2,CJ291&gt;1),0,IF(AND(AF291=5,CT291=0.5,AU291=2,ER291&lt;100),0,IF(AND(AF291=5,CT291=0.5,AU291=3,ER291&lt;100),0,IF(AND('Data Entry'!$C$74=2,AF291=2,AU291=2,AK291&gt;0.01,CB291=2,CE291&lt;1),0,IF(AND('Data Entry'!$C$74=2,AF291=3,AU291=3,AK291&gt;0.01,CB291=3,CE291&lt;1),0,IF(AND('Data Entry'!$C$74=2,AF291=3,AU291=3,AK291&gt;0.01,CB291=3,CE291&gt;0.99),BQ291*0.08,IF(AND('Data Entry'!$C$74=2,AF291=2,AU291=2,AK291&gt;0.01,CB291=2,CE291&gt;0.99),BQ291*0.1,IF(AND(AU291=2,AK291&gt;0.01,CB291=2,CD291&gt;1),BQ291*0.1,IF(AND(AU291=3,AK291&gt;0.01,CB291=3,CD291&gt;1),BQ291*0.08,CJ291*EF291)))))))))))))</f>
        <v>0</v>
      </c>
      <c r="BP291" s="475">
        <f t="shared" si="346"/>
        <v>0</v>
      </c>
      <c r="BQ291" s="1431">
        <f>IF(AU291=1,0,IF(CH291=100,0,IF(AND(AF291=3,AU291=2),0,IF(AND(BH291=0,CT291&gt;0.4),0,IF(AND('Data Entry'!$C$74=2,AF291=1.5),0,IF(AND('Data Entry'!$C$74=2,AF291=1.6),0,IF(AND('Data Entry'!$C$74=2,AF291=4),0,IF(AND('Data Entry'!$C$74=2,AF291=5),0,IF(AND('Data Entry'!$C$74=2,AF291=2.5,CE291&lt;1),0,IF(AND('Data Entry'!$C$74=2,AF291=3,CE291&lt;1),0,IF(AND('Data Entry'!$C$74=1,AF291=2.5,CD291&lt;1),0,IF(AND('Data Entry'!$C$74=1,AF291=3,CD291&lt;1),0,IF(DX291&gt;0.01,DX291,IF(ISERROR(AX291-AY291),"",ROUND(AX291-AY291,2)))))))))))))))</f>
        <v>0</v>
      </c>
      <c r="BR291" s="146">
        <f t="shared" si="347"/>
        <v>0</v>
      </c>
      <c r="BS291" s="475">
        <f t="shared" si="348"/>
        <v>0</v>
      </c>
      <c r="BT291" s="146" t="b">
        <f t="shared" si="349"/>
        <v>0</v>
      </c>
      <c r="BU291" s="463">
        <f>IF(ISNA(AT291),0,IF(AND('Data Entry'!$C$74=2,BC291=27),0,IF(AND('Data Entry'!$C$74=2,BC291=28),0,IF(AND(BC291=27,BT291=27,CM291&gt;0.1),CM291*0.15,IF(AND(BC291=28,BT291=28,CM291&gt;0.1),CM291*0.12,0)))))</f>
        <v>0</v>
      </c>
      <c r="BV291" s="463">
        <f t="shared" si="386"/>
        <v>0</v>
      </c>
      <c r="BW291" s="463">
        <f t="shared" si="350"/>
        <v>0</v>
      </c>
      <c r="BX291" s="463">
        <f t="shared" si="351"/>
        <v>0</v>
      </c>
      <c r="BY291" s="463">
        <f t="shared" si="352"/>
        <v>0</v>
      </c>
      <c r="BZ291" s="463">
        <f t="shared" si="353"/>
        <v>0</v>
      </c>
      <c r="CA291" s="57">
        <f t="shared" si="381"/>
        <v>0</v>
      </c>
      <c r="CB291" s="56">
        <f t="shared" si="354"/>
        <v>1</v>
      </c>
      <c r="CC291" s="756">
        <f>IF(EE291=0,0,IF(EF291=0,0,IF(EE291&gt;AA291,0,IF(AND(AZ291&gt;AW291,AW291&gt;0),0,IF(CU291=0,0,Summary!AC594)))))</f>
        <v>0</v>
      </c>
      <c r="CD291" s="756">
        <f>IF(EE291=0,0,IF(EF291=0,0,IF(EE291&gt;AA291,0,IF(AND(AZ291&gt;AW291,AW291&gt;0),0,IF(CU291=0,0,Summary!AD594)))))</f>
        <v>0</v>
      </c>
      <c r="CE291" s="756">
        <f>IF(EF291=0,0,IF(EE291&gt;AA291,0,IF(CC291=0,0,IF(AND(AZ291&gt;AW291,AW291&gt;0),0,IF(CU291=0,0,Summary!AE594)))))</f>
        <v>0</v>
      </c>
      <c r="CF291" s="475">
        <f t="shared" si="355"/>
        <v>0</v>
      </c>
      <c r="CG291" s="476">
        <f t="shared" si="323"/>
        <v>0</v>
      </c>
      <c r="CH291" s="487">
        <f t="shared" si="356"/>
        <v>0</v>
      </c>
      <c r="CI291" s="756">
        <f t="shared" si="357"/>
        <v>0</v>
      </c>
      <c r="CJ291" s="487">
        <f>IF(CT291&gt;0.4,0,IF(AND(AU291=2,CH291=0,CT291=0.5,ER291=100),35,IF(AND(AU291=3,BB291&gt;75,CH291=0,CT291=0.5,ER291=100),25,IF(CB291&gt;1,0,IF(EF291&gt;EE291,0,IF(AND(AF291&gt;1,CH291=100),0,IF(AND(AF291=1,AY291=0),0,IF(AND(EF291&lt;=EE291,AW291&gt;=AZ291,'Data Entry'!$C$74=1,AU291=2),VLOOKUP(W291,$DO$96:$DP$102,2,FALSE),IF(AND(EF291&lt;=EE291,AW291&gt;=AZ291,AU291=3,'Data Entry'!$C$74=1),VLOOKUP(W291,$DO$127:$DP$134,2,FALSE))))))))))</f>
        <v>0</v>
      </c>
      <c r="CK291" s="716">
        <f t="shared" si="358"/>
        <v>0</v>
      </c>
      <c r="CL291" s="57">
        <f t="shared" si="359"/>
        <v>0</v>
      </c>
      <c r="CM291" s="475">
        <f t="shared" si="385"/>
        <v>0</v>
      </c>
      <c r="CN291" s="660">
        <f>IF(CM291&lt;0.1,0,IF(ISNA(AT291),0,IF(CL291+BC291=1,0,IF(BV291&gt;0.01,0,IF(CL291&gt;0.01,0,IF(CF291=1,0,IF(BC291=0.5,0,IF(AND(CI291=1,AU291=3),0,IF(AND(CI291=5,CL291=0),0,IF(AND(R291=12,BR291=50),0,IF(CK291&gt;0.01,0,IF(AND(AJ291&gt;0.01,AU291=2,BC291=15),CM291*0.1,IF(AND(AJ291&gt;0.01,AU291=3,BC291=15),CM291*0.08,IF(AND(R291=12,BC291=3,AF291&lt;=0),0,IF(AND(BC291=15,BI291=0),0,IF(AND(BC291=15,BJ291=0),0,IF(AND(R291=20,CU291=0),0,IF($X$4=0,0,IF(AND(BC291=250,CL291=0),0,IF(AA291&lt;1,0,IF(AND(ISNUMBER(SEARCH("Area",T291)),AU291=3),0,IF(AND(AQ291&gt;0.01,AR291=0,BK291=0,BL291=0,BM291=0,BN291=0),0,IF(AND(AU291=3,CI291=7,CT291&gt;0.5),0,IF(AND(BC291=44,AU291=3,BY291=0),0,IF(AND(BC291=27,'Data Entry'!$C$74=2),0,IF(AND(BC291=28,'Data Entry'!$C$74=2),0,IF(AND(BY291+BZ291+CA291&gt;0.01,BV291=0,EQ291+ER291+ES291+ET291&lt;100),0,IF(AU291=3,CM291*0.08,IF(AU291=2,CM291*0.1,0)))))))))))))))))))))))))))))</f>
        <v>0</v>
      </c>
      <c r="CO291" s="660">
        <f t="shared" si="360"/>
        <v>0</v>
      </c>
      <c r="CP291" s="475" t="str">
        <f t="shared" si="361"/>
        <v/>
      </c>
      <c r="CQ291" s="161" t="str">
        <f>IF(AH291=0,0,IF(AU291=5,0,Summary!AC294))</f>
        <v/>
      </c>
      <c r="CR291" s="161" t="str">
        <f>IF(BF291=0.5,0,IF(AU291=5,0,Summary!AD294))</f>
        <v/>
      </c>
      <c r="CS291" s="161" t="str">
        <f>IF(AU291=5,0,Summary!AE294)</f>
        <v/>
      </c>
      <c r="CT291" s="161">
        <f t="shared" si="362"/>
        <v>0</v>
      </c>
      <c r="CU291" s="475" t="str">
        <f t="shared" si="363"/>
        <v/>
      </c>
      <c r="CV291" s="307">
        <f>IF('Data Entry'!$C$74=0,0,IF(AA291&lt;1,0,IF(ISERROR(CU291),0,IF(CF291=1,0,IF(AND(R291=12,BR291=50),0,IF(CL291+BO291+BV291+DC291=0,0,IF(BC291=37,0,IF(AND(BC291=40,AJ291=0),0,IF(AND(BC291=37,BO291&gt;0.01,BQ291&gt;0.01),ROUND(BQ291,0),IF(CM291&lt;0,0,ROUND(CM291,0)))))))))))</f>
        <v>0</v>
      </c>
      <c r="CW291" s="700">
        <f t="shared" si="364"/>
        <v>0</v>
      </c>
      <c r="CX291" s="477">
        <f>IF('Data Entry'!$C$74=0,0,IF(CV291&lt;0.01,0,IF(BF291=0.5,0,IF(CF291=1,0,IF(ISNUMBER(SEARCH("false",CL291)),0,IF(AZ291=500,0,CL291))))))</f>
        <v>0</v>
      </c>
      <c r="CY291" s="147" t="e">
        <f t="shared" si="365"/>
        <v>#VALUE!</v>
      </c>
      <c r="CZ291" s="147" t="b">
        <f>IF(CN291+CL291=0,FALSE,IF(AH291=0,0,IF(AND('Data Entry'!$C$74=1,CR291&gt;=1),TRUE,IF(AND('Data Entry'!$C$74=2,CS291&gt;=1),TRUE,FALSE))))</f>
        <v>0</v>
      </c>
      <c r="DA291" s="1751">
        <f>IF('Data Entry'!$C$74=0,0,IFERROR(ROUND(IF(T291="","",IF($X$4=0,0,IF(CF291=1,0,IF(BQ291+CV291=0,0,IF(CF291=1,0,IF(CY291&gt;0.01,CY291,IF(CL291&gt;0.01,CL291,IF(CY291&gt;0.01,CY291,IF(BC291=37,BO291,IF(CZ291=FALSE,0,IF(CZ291=TRUE,DC291+DF291,0))))))))))),2),""))</f>
        <v>0</v>
      </c>
      <c r="DB291" s="1752"/>
      <c r="DC291" s="474">
        <f>IF(CN291&lt;0.01,0,IF(AND(BR291=3,CN291&gt;0.01,CT291&gt;0.6,ER291+ES291+ET291&lt;100),0,IF(AND('Data Entry'!$C$74=1,CN291&gt;0.01,CR291&gt;0.99),MIN(CN291:CO291),IF(AND('Data Entry'!$C$74=2,CN291&gt;0.01,CS291&gt;0.99),MIN(CN291:CO291),0))))</f>
        <v>0</v>
      </c>
      <c r="DD291" s="478">
        <f>IF(CF291=1,"Selection does not match",IF(T291=0,0,IF(AND('Data Entry'!$C$74=0,CP291&gt;1),"Select Oregon or Idaho on Data Entry Tab",IF(AND(AU291=1,AA291&gt;0.9),"Missing Interior or Exterior Selection",IF($X$4=0,"Enter Total Project Cost",IF(AQ291&lt;AR291,"Insufficient kWh savings – no incentive",IF(AND(SUM(CL291+CK291+BV291)&gt;0.01,'Data Entry'!$C$74=2,CJ291&gt;1,BO291=0),"Submit Control as Non-Standard",IF(AND('Data Entry'!$C$74=2,BR291=37,CJ291&gt;1,BO291=0),"Submit Control as Non-Standard",IF(SUM(CL291+CK291+BV291)&gt;0.01,"Standard Incentive",IF(AND('Data Entry'!$C$74=2,CP291=7,CN291=0),"Submit as Non-Standard",IF(DC291&gt;0.9,"Non-Standard Incentive",IF(AND(BY291+BZ291+CA291&gt;0.01,BV291=0,EQ291=0,ER291=0,ES291=0,ET291=0),"Scroll Right &amp; Select Control Strategies",IF(AND(CN291&gt;0.01,CO291=0),"Enter Unit Installed Cost",IF(ISNUMBER(SEARCH("Lighting Controls Only",F291)),"Lighting Controls Only",IF(CL291+DC291=0,"Does not meet incentive criteria",0)))))))))))))))</f>
        <v>0</v>
      </c>
      <c r="DE291" s="337">
        <f t="shared" si="366"/>
        <v>0</v>
      </c>
      <c r="DF291" s="609">
        <f t="shared" si="367"/>
        <v>0</v>
      </c>
      <c r="DG291" s="336" t="str">
        <f t="shared" si="368"/>
        <v/>
      </c>
      <c r="DH291" s="338">
        <f t="shared" si="369"/>
        <v>1</v>
      </c>
      <c r="DI291" s="336" t="e">
        <f t="shared" si="324"/>
        <v>#VALUE!</v>
      </c>
      <c r="DJ291" s="338">
        <f t="shared" si="325"/>
        <v>0</v>
      </c>
      <c r="DO291" s="81"/>
      <c r="DP291" s="81"/>
      <c r="DQ291" s="377"/>
      <c r="DR291" s="81"/>
      <c r="DS291" s="1195">
        <f t="shared" si="370"/>
        <v>0</v>
      </c>
      <c r="DT291" s="344" t="b">
        <f t="shared" si="371"/>
        <v>1</v>
      </c>
      <c r="DU291" s="1314" t="str">
        <f t="array" ref="DU291">IF(OR(COUNTIF(F291,"*"&amp;$DK$9:$DK$178&amp;"*")), "Yes", "")</f>
        <v/>
      </c>
      <c r="DV291" s="1314">
        <f t="shared" si="372"/>
        <v>0</v>
      </c>
      <c r="DW291" s="1480">
        <f t="shared" si="373"/>
        <v>0</v>
      </c>
      <c r="DX291" s="1498">
        <f t="shared" si="382"/>
        <v>0</v>
      </c>
      <c r="DY291" s="1484">
        <f t="shared" si="374"/>
        <v>0</v>
      </c>
      <c r="DZ291" s="331"/>
      <c r="EA291" s="392"/>
      <c r="EB291" s="1499" t="s">
        <v>509</v>
      </c>
      <c r="EC291" s="727" t="s">
        <v>1569</v>
      </c>
      <c r="ED291" s="1100">
        <v>0.5</v>
      </c>
      <c r="EE291" s="1215"/>
      <c r="EF291" s="1215"/>
      <c r="EG291" s="1184" t="str">
        <f t="shared" si="375"/>
        <v/>
      </c>
      <c r="EJ291" s="1185">
        <f t="shared" si="326"/>
        <v>0</v>
      </c>
      <c r="EK291" s="1211"/>
      <c r="EL291" s="1180">
        <f t="shared" si="327"/>
        <v>0</v>
      </c>
      <c r="EM291" s="206"/>
      <c r="EN291" s="1038"/>
      <c r="EO291" s="1038"/>
      <c r="EP291" s="1038"/>
      <c r="EQ291" s="1038">
        <f t="shared" si="376"/>
        <v>0</v>
      </c>
      <c r="ER291" s="1041">
        <f t="shared" si="377"/>
        <v>0</v>
      </c>
      <c r="ES291" s="1042">
        <f t="shared" si="378"/>
        <v>0</v>
      </c>
      <c r="ET291" s="1042">
        <f t="shared" si="383"/>
        <v>0</v>
      </c>
      <c r="EU291" s="1021">
        <f t="shared" si="384"/>
        <v>0</v>
      </c>
      <c r="EV291" s="368"/>
      <c r="EW291" s="368"/>
      <c r="EX291" s="369"/>
      <c r="EY291" s="370"/>
      <c r="EZ291" s="370"/>
      <c r="FA291" s="371"/>
      <c r="FB291" s="372"/>
    </row>
    <row r="292" spans="1:158" ht="34.5" customHeight="1">
      <c r="A292" s="82">
        <v>284</v>
      </c>
      <c r="B292" s="1806"/>
      <c r="C292" s="1807"/>
      <c r="D292" s="1807"/>
      <c r="E292" s="1808"/>
      <c r="F292" s="1809"/>
      <c r="G292" s="1810"/>
      <c r="H292" s="1810"/>
      <c r="I292" s="1811"/>
      <c r="J292" s="1301"/>
      <c r="K292" s="1814"/>
      <c r="L292" s="1814"/>
      <c r="M292" s="1017"/>
      <c r="N292" s="1584"/>
      <c r="O292" s="208" t="str">
        <f t="shared" si="314"/>
        <v/>
      </c>
      <c r="P292" s="785"/>
      <c r="Q292" s="39" t="str">
        <f t="shared" si="315"/>
        <v/>
      </c>
      <c r="R292" s="39">
        <f t="shared" si="328"/>
        <v>0</v>
      </c>
      <c r="S292" s="234">
        <f t="shared" si="329"/>
        <v>0</v>
      </c>
      <c r="T292" s="1815"/>
      <c r="U292" s="1815"/>
      <c r="V292" s="1815"/>
      <c r="W292" s="1121"/>
      <c r="X292" s="1812"/>
      <c r="Y292" s="1813"/>
      <c r="Z292" s="703"/>
      <c r="AA292" s="1280"/>
      <c r="AB292" s="1141"/>
      <c r="AC292" s="1103" t="str">
        <f>IF(T292="","",VLOOKUP(Z292,Lists!$A$60:$B$111,2,FALSE))</f>
        <v/>
      </c>
      <c r="AD292" s="130" t="str">
        <f t="shared" si="330"/>
        <v/>
      </c>
      <c r="AE292" s="130" t="e">
        <f t="shared" si="331"/>
        <v>#VALUE!</v>
      </c>
      <c r="AF292" s="130">
        <f t="shared" si="332"/>
        <v>1</v>
      </c>
      <c r="AG292" s="234">
        <f t="shared" si="316"/>
        <v>0</v>
      </c>
      <c r="AH292" s="1753" t="str">
        <f>IF(T292="","",(IF(ISNUMBER(SEARCH("exit",T292)),8760,IF(AND(M292="Dusk to Dawn",'Proposed Lighting'!AU292=3),4059,IF(AND(AU292=3,M292="1"),0,IF(AND(AU292=3,M292="1-C"),0,IF(AND(AU292=3,M292="2"),0,IF(AND(AU292=3,M292="2-C"),0,IF(AND(AU292=3,M292="3"),0,IF(AND(AU292=3,M292="3-C"),0,IF(AND(AU292=2,M292="Dusk to Dawn"),0,IF(AND(AU292=2,M292="Dusk to Dawn-C"),0,IF(AND(AU292=2,M292="Dusk to Dawn"),0,IF(AND(AU292=2,M292="E"),0,IF(AND(AU292=2,M292="E-C"),0,EG292)))))))))))))))</f>
        <v/>
      </c>
      <c r="AI292" s="1754"/>
      <c r="AJ292" s="1136"/>
      <c r="AK292" s="1136"/>
      <c r="AL292" s="1748">
        <f t="shared" si="333"/>
        <v>0</v>
      </c>
      <c r="AM292" s="1749"/>
      <c r="AN292" s="1750"/>
      <c r="AO292" s="476">
        <f t="shared" si="317"/>
        <v>0</v>
      </c>
      <c r="AP292" s="476">
        <f t="shared" si="334"/>
        <v>0</v>
      </c>
      <c r="AQ292" s="475">
        <f t="shared" si="318"/>
        <v>0</v>
      </c>
      <c r="AR292" s="475">
        <f t="shared" si="335"/>
        <v>0</v>
      </c>
      <c r="AS292" s="743" t="str">
        <f t="shared" si="387"/>
        <v/>
      </c>
      <c r="AT292" s="736" t="str">
        <f t="shared" si="336"/>
        <v/>
      </c>
      <c r="AU292" s="56">
        <f t="shared" si="337"/>
        <v>1</v>
      </c>
      <c r="AV292" s="476">
        <f t="shared" si="338"/>
        <v>0</v>
      </c>
      <c r="AW292" s="56">
        <f t="shared" si="339"/>
        <v>0</v>
      </c>
      <c r="AX292" s="475">
        <f t="shared" si="319"/>
        <v>0</v>
      </c>
      <c r="AY292" s="1169">
        <f t="shared" si="340"/>
        <v>0</v>
      </c>
      <c r="AZ292" s="1150">
        <f t="shared" si="379"/>
        <v>0</v>
      </c>
      <c r="BA292" s="56">
        <f t="shared" si="320"/>
        <v>0</v>
      </c>
      <c r="BB292" s="420">
        <f t="shared" si="321"/>
        <v>0</v>
      </c>
      <c r="BC292" s="58" t="str">
        <f t="shared" si="322"/>
        <v/>
      </c>
      <c r="BD292" s="660">
        <f t="shared" si="380"/>
        <v>0</v>
      </c>
      <c r="BE292" s="57" t="e">
        <f t="array" ref="BE292">INDEX($EB$11:$ED$1022,MATCH(F292&amp;T292,$EB$11:$EB$1007&amp;$EC$11:$EC$1007,0),3)</f>
        <v>#N/A</v>
      </c>
      <c r="BF292" s="463">
        <f t="shared" si="311"/>
        <v>0</v>
      </c>
      <c r="BG292" s="1445" t="e">
        <f t="array" ref="BG292">INDEX($DO$112:$DQ$123,MATCH(T292&amp;W292,$DO$114:$DO$125&amp;$DP$112:$DP$123,0),3)</f>
        <v>#N/A</v>
      </c>
      <c r="BH292" s="1446">
        <f t="shared" si="341"/>
        <v>0</v>
      </c>
      <c r="BI292" s="465">
        <f t="shared" si="342"/>
        <v>0</v>
      </c>
      <c r="BJ292" s="465">
        <f t="shared" si="343"/>
        <v>0</v>
      </c>
      <c r="BK292" s="466">
        <f t="shared" si="312"/>
        <v>0</v>
      </c>
      <c r="BL292" s="466">
        <f t="shared" si="313"/>
        <v>0</v>
      </c>
      <c r="BM292" s="466">
        <f t="shared" si="344"/>
        <v>0</v>
      </c>
      <c r="BN292" s="466">
        <f t="shared" si="345"/>
        <v>0</v>
      </c>
      <c r="BO292" s="463">
        <f>IF('Data Entry'!$C$74=0,0,IF(ISNA(CJ292),0,IF(AX292=0,0,IF(AND('Data Entry'!$C$74=2,AF292&gt;2,CE292&lt;1),0,IF(AND('Data Entry'!$C$74=2,AF292&gt;1,AU292=2,CJ292&gt;1),0,IF(AND(AF292=5,CT292=0.5,AU292=2,ER292&lt;100),0,IF(AND(AF292=5,CT292=0.5,AU292=3,ER292&lt;100),0,IF(AND('Data Entry'!$C$74=2,AF292=2,AU292=2,AK292&gt;0.01,CB292=2,CE292&lt;1),0,IF(AND('Data Entry'!$C$74=2,AF292=3,AU292=3,AK292&gt;0.01,CB292=3,CE292&lt;1),0,IF(AND('Data Entry'!$C$74=2,AF292=3,AU292=3,AK292&gt;0.01,CB292=3,CE292&gt;0.99),BQ292*0.08,IF(AND('Data Entry'!$C$74=2,AF292=2,AU292=2,AK292&gt;0.01,CB292=2,CE292&gt;0.99),BQ292*0.1,IF(AND(AU292=2,AK292&gt;0.01,CB292=2,CD292&gt;1),BQ292*0.1,IF(AND(AU292=3,AK292&gt;0.01,CB292=3,CD292&gt;1),BQ292*0.08,CJ292*EF292)))))))))))))</f>
        <v>0</v>
      </c>
      <c r="BP292" s="475">
        <f t="shared" si="346"/>
        <v>0</v>
      </c>
      <c r="BQ292" s="1431">
        <f>IF(AU292=1,0,IF(CH292=100,0,IF(AND(AF292=3,AU292=2),0,IF(AND(BH292=0,CT292&gt;0.4),0,IF(AND('Data Entry'!$C$74=2,AF292=1.5),0,IF(AND('Data Entry'!$C$74=2,AF292=1.6),0,IF(AND('Data Entry'!$C$74=2,AF292=4),0,IF(AND('Data Entry'!$C$74=2,AF292=5),0,IF(AND('Data Entry'!$C$74=2,AF292=2.5,CE292&lt;1),0,IF(AND('Data Entry'!$C$74=2,AF292=3,CE292&lt;1),0,IF(AND('Data Entry'!$C$74=1,AF292=2.5,CD292&lt;1),0,IF(AND('Data Entry'!$C$74=1,AF292=3,CD292&lt;1),0,IF(DX292&gt;0.01,DX292,IF(ISERROR(AX292-AY292),"",ROUND(AX292-AY292,2)))))))))))))))</f>
        <v>0</v>
      </c>
      <c r="BR292" s="146">
        <f t="shared" si="347"/>
        <v>0</v>
      </c>
      <c r="BS292" s="475">
        <f t="shared" si="348"/>
        <v>0</v>
      </c>
      <c r="BT292" s="146" t="b">
        <f t="shared" si="349"/>
        <v>0</v>
      </c>
      <c r="BU292" s="463">
        <f>IF(ISNA(AT292),0,IF(AND('Data Entry'!$C$74=2,BC292=27),0,IF(AND('Data Entry'!$C$74=2,BC292=28),0,IF(AND(BC292=27,BT292=27,CM292&gt;0.1),CM292*0.15,IF(AND(BC292=28,BT292=28,CM292&gt;0.1),CM292*0.12,0)))))</f>
        <v>0</v>
      </c>
      <c r="BV292" s="463">
        <f t="shared" si="386"/>
        <v>0</v>
      </c>
      <c r="BW292" s="463">
        <f t="shared" si="350"/>
        <v>0</v>
      </c>
      <c r="BX292" s="463">
        <f t="shared" si="351"/>
        <v>0</v>
      </c>
      <c r="BY292" s="463">
        <f t="shared" si="352"/>
        <v>0</v>
      </c>
      <c r="BZ292" s="463">
        <f t="shared" si="353"/>
        <v>0</v>
      </c>
      <c r="CA292" s="57">
        <f t="shared" si="381"/>
        <v>0</v>
      </c>
      <c r="CB292" s="56">
        <f t="shared" si="354"/>
        <v>1</v>
      </c>
      <c r="CC292" s="756">
        <f>IF(EE292=0,0,IF(EF292=0,0,IF(EE292&gt;AA292,0,IF(AND(AZ292&gt;AW292,AW292&gt;0),0,IF(CU292=0,0,Summary!AC595)))))</f>
        <v>0</v>
      </c>
      <c r="CD292" s="756">
        <f>IF(EE292=0,0,IF(EF292=0,0,IF(EE292&gt;AA292,0,IF(AND(AZ292&gt;AW292,AW292&gt;0),0,IF(CU292=0,0,Summary!AD595)))))</f>
        <v>0</v>
      </c>
      <c r="CE292" s="756">
        <f>IF(EF292=0,0,IF(EE292&gt;AA292,0,IF(CC292=0,0,IF(AND(AZ292&gt;AW292,AW292&gt;0),0,IF(CU292=0,0,Summary!AE595)))))</f>
        <v>0</v>
      </c>
      <c r="CF292" s="475">
        <f t="shared" si="355"/>
        <v>0</v>
      </c>
      <c r="CG292" s="476">
        <f t="shared" si="323"/>
        <v>0</v>
      </c>
      <c r="CH292" s="487">
        <f t="shared" si="356"/>
        <v>0</v>
      </c>
      <c r="CI292" s="756">
        <f t="shared" si="357"/>
        <v>0</v>
      </c>
      <c r="CJ292" s="487">
        <f>IF(CT292&gt;0.4,0,IF(AND(AU292=2,CH292=0,CT292=0.5,ER292=100),35,IF(AND(AU292=3,BB292&gt;75,CH292=0,CT292=0.5,ER292=100),25,IF(CB292&gt;1,0,IF(EF292&gt;EE292,0,IF(AND(AF292&gt;1,CH292=100),0,IF(AND(AF292=1,AY292=0),0,IF(AND(EF292&lt;=EE292,AW292&gt;=AZ292,'Data Entry'!$C$74=1,AU292=2),VLOOKUP(W292,$DO$96:$DP$102,2,FALSE),IF(AND(EF292&lt;=EE292,AW292&gt;=AZ292,AU292=3,'Data Entry'!$C$74=1),VLOOKUP(W292,$DO$127:$DP$134,2,FALSE))))))))))</f>
        <v>0</v>
      </c>
      <c r="CK292" s="716">
        <f t="shared" si="358"/>
        <v>0</v>
      </c>
      <c r="CL292" s="57">
        <f t="shared" si="359"/>
        <v>0</v>
      </c>
      <c r="CM292" s="475">
        <f t="shared" si="385"/>
        <v>0</v>
      </c>
      <c r="CN292" s="660">
        <f>IF(CM292&lt;0.1,0,IF(ISNA(AT292),0,IF(CL292+BC292=1,0,IF(BV292&gt;0.01,0,IF(CL292&gt;0.01,0,IF(CF292=1,0,IF(BC292=0.5,0,IF(AND(CI292=1,AU292=3),0,IF(AND(CI292=5,CL292=0),0,IF(AND(R292=12,BR292=50),0,IF(CK292&gt;0.01,0,IF(AND(AJ292&gt;0.01,AU292=2,BC292=15),CM292*0.1,IF(AND(AJ292&gt;0.01,AU292=3,BC292=15),CM292*0.08,IF(AND(R292=12,BC292=3,AF292&lt;=0),0,IF(AND(BC292=15,BI292=0),0,IF(AND(BC292=15,BJ292=0),0,IF(AND(R292=20,CU292=0),0,IF($X$4=0,0,IF(AND(BC292=250,CL292=0),0,IF(AA292&lt;1,0,IF(AND(ISNUMBER(SEARCH("Area",T292)),AU292=3),0,IF(AND(AQ292&gt;0.01,AR292=0,BK292=0,BL292=0,BM292=0,BN292=0),0,IF(AND(AU292=3,CI292=7,CT292&gt;0.5),0,IF(AND(BC292=44,AU292=3,BY292=0),0,IF(AND(BC292=27,'Data Entry'!$C$74=2),0,IF(AND(BC292=28,'Data Entry'!$C$74=2),0,IF(AND(BY292+BZ292+CA292&gt;0.01,BV292=0,EQ292+ER292+ES292+ET292&lt;100),0,IF(AU292=3,CM292*0.08,IF(AU292=2,CM292*0.1,0)))))))))))))))))))))))))))))</f>
        <v>0</v>
      </c>
      <c r="CO292" s="660">
        <f t="shared" si="360"/>
        <v>0</v>
      </c>
      <c r="CP292" s="475" t="str">
        <f t="shared" si="361"/>
        <v/>
      </c>
      <c r="CQ292" s="161" t="str">
        <f>IF(AH292=0,0,IF(AU292=5,0,Summary!AC295))</f>
        <v/>
      </c>
      <c r="CR292" s="161" t="str">
        <f>IF(BF292=0.5,0,IF(AU292=5,0,Summary!AD295))</f>
        <v/>
      </c>
      <c r="CS292" s="161" t="str">
        <f>IF(AU292=5,0,Summary!AE295)</f>
        <v/>
      </c>
      <c r="CT292" s="161">
        <f t="shared" si="362"/>
        <v>0</v>
      </c>
      <c r="CU292" s="475" t="str">
        <f t="shared" si="363"/>
        <v/>
      </c>
      <c r="CV292" s="307">
        <f>IF('Data Entry'!$C$74=0,0,IF(AA292&lt;1,0,IF(ISERROR(CU292),0,IF(CF292=1,0,IF(AND(R292=12,BR292=50),0,IF(CL292+BO292+BV292+DC292=0,0,IF(BC292=37,0,IF(AND(BC292=40,AJ292=0),0,IF(AND(BC292=37,BO292&gt;0.01,BQ292&gt;0.01),ROUND(BQ292,0),IF(CM292&lt;0,0,ROUND(CM292,0)))))))))))</f>
        <v>0</v>
      </c>
      <c r="CW292" s="700">
        <f t="shared" si="364"/>
        <v>0</v>
      </c>
      <c r="CX292" s="477">
        <f>IF('Data Entry'!$C$74=0,0,IF(CV292&lt;0.01,0,IF(BF292=0.5,0,IF(CF292=1,0,IF(ISNUMBER(SEARCH("false",CL292)),0,IF(AZ292=500,0,CL292))))))</f>
        <v>0</v>
      </c>
      <c r="CY292" s="147" t="e">
        <f t="shared" si="365"/>
        <v>#VALUE!</v>
      </c>
      <c r="CZ292" s="147" t="b">
        <f>IF(CN292+CL292=0,FALSE,IF(AH292=0,0,IF(AND('Data Entry'!$C$74=1,CR292&gt;=1),TRUE,IF(AND('Data Entry'!$C$74=2,CS292&gt;=1),TRUE,FALSE))))</f>
        <v>0</v>
      </c>
      <c r="DA292" s="1751">
        <f>IF('Data Entry'!$C$74=0,0,IFERROR(ROUND(IF(T292="","",IF($X$4=0,0,IF(CF292=1,0,IF(BQ292+CV292=0,0,IF(CF292=1,0,IF(CY292&gt;0.01,CY292,IF(CL292&gt;0.01,CL292,IF(CY292&gt;0.01,CY292,IF(BC292=37,BO292,IF(CZ292=FALSE,0,IF(CZ292=TRUE,DC292+DF292,0))))))))))),2),""))</f>
        <v>0</v>
      </c>
      <c r="DB292" s="1752"/>
      <c r="DC292" s="474">
        <f>IF(CN292&lt;0.01,0,IF(AND(BR292=3,CN292&gt;0.01,CT292&gt;0.6,ER292+ES292+ET292&lt;100),0,IF(AND('Data Entry'!$C$74=1,CN292&gt;0.01,CR292&gt;0.99),MIN(CN292:CO292),IF(AND('Data Entry'!$C$74=2,CN292&gt;0.01,CS292&gt;0.99),MIN(CN292:CO292),0))))</f>
        <v>0</v>
      </c>
      <c r="DD292" s="478">
        <f>IF(CF292=1,"Selection does not match",IF(T292=0,0,IF(AND('Data Entry'!$C$74=0,CP292&gt;1),"Select Oregon or Idaho on Data Entry Tab",IF(AND(AU292=1,AA292&gt;0.9),"Missing Interior or Exterior Selection",IF($X$4=0,"Enter Total Project Cost",IF(AQ292&lt;AR292,"Insufficient kWh savings – no incentive",IF(AND(SUM(CL292+CK292+BV292)&gt;0.01,'Data Entry'!$C$74=2,CJ292&gt;1,BO292=0),"Submit Control as Non-Standard",IF(AND('Data Entry'!$C$74=2,BR292=37,CJ292&gt;1,BO292=0),"Submit Control as Non-Standard",IF(SUM(CL292+CK292+BV292)&gt;0.01,"Standard Incentive",IF(AND('Data Entry'!$C$74=2,CP292=7,CN292=0),"Submit as Non-Standard",IF(DC292&gt;0.9,"Non-Standard Incentive",IF(AND(BY292+BZ292+CA292&gt;0.01,BV292=0,EQ292=0,ER292=0,ES292=0,ET292=0),"Scroll Right &amp; Select Control Strategies",IF(AND(CN292&gt;0.01,CO292=0),"Enter Unit Installed Cost",IF(ISNUMBER(SEARCH("Lighting Controls Only",F292)),"Lighting Controls Only",IF(CL292+DC292=0,"Does not meet incentive criteria",0)))))))))))))))</f>
        <v>0</v>
      </c>
      <c r="DE292" s="337">
        <f t="shared" si="366"/>
        <v>0</v>
      </c>
      <c r="DF292" s="609">
        <f t="shared" si="367"/>
        <v>0</v>
      </c>
      <c r="DG292" s="336" t="str">
        <f t="shared" si="368"/>
        <v/>
      </c>
      <c r="DH292" s="338">
        <f t="shared" si="369"/>
        <v>1</v>
      </c>
      <c r="DI292" s="336" t="e">
        <f t="shared" si="324"/>
        <v>#VALUE!</v>
      </c>
      <c r="DJ292" s="338">
        <f t="shared" si="325"/>
        <v>0</v>
      </c>
      <c r="DO292" s="81"/>
      <c r="DP292" s="81"/>
      <c r="DQ292" s="377"/>
      <c r="DR292" s="81"/>
      <c r="DS292" s="1195">
        <f t="shared" si="370"/>
        <v>0</v>
      </c>
      <c r="DT292" s="344" t="b">
        <f t="shared" si="371"/>
        <v>1</v>
      </c>
      <c r="DU292" s="1314" t="str">
        <f t="array" ref="DU292">IF(OR(COUNTIF(F292,"*"&amp;$DK$9:$DK$178&amp;"*")), "Yes", "")</f>
        <v/>
      </c>
      <c r="DV292" s="1314">
        <f t="shared" si="372"/>
        <v>0</v>
      </c>
      <c r="DW292" s="1480">
        <f t="shared" si="373"/>
        <v>0</v>
      </c>
      <c r="DX292" s="1498">
        <f t="shared" si="382"/>
        <v>0</v>
      </c>
      <c r="DY292" s="1484">
        <f t="shared" si="374"/>
        <v>0</v>
      </c>
      <c r="DZ292" s="331"/>
      <c r="EA292" s="392"/>
      <c r="EB292" s="1499" t="s">
        <v>510</v>
      </c>
      <c r="EC292" s="727" t="s">
        <v>1569</v>
      </c>
      <c r="ED292" s="1100">
        <v>0.5</v>
      </c>
      <c r="EE292" s="1215"/>
      <c r="EF292" s="1215"/>
      <c r="EG292" s="1184" t="str">
        <f t="shared" si="375"/>
        <v/>
      </c>
      <c r="EJ292" s="1185">
        <f t="shared" si="326"/>
        <v>0</v>
      </c>
      <c r="EK292" s="1211"/>
      <c r="EL292" s="1180">
        <f t="shared" si="327"/>
        <v>0</v>
      </c>
      <c r="EM292" s="206"/>
      <c r="EN292" s="1038"/>
      <c r="EO292" s="1038"/>
      <c r="EP292" s="1038"/>
      <c r="EQ292" s="1038">
        <f t="shared" si="376"/>
        <v>0</v>
      </c>
      <c r="ER292" s="1041">
        <f t="shared" si="377"/>
        <v>0</v>
      </c>
      <c r="ES292" s="1042">
        <f t="shared" si="378"/>
        <v>0</v>
      </c>
      <c r="ET292" s="1042">
        <f t="shared" si="383"/>
        <v>0</v>
      </c>
      <c r="EU292" s="1021">
        <f t="shared" si="384"/>
        <v>0</v>
      </c>
      <c r="EV292" s="368"/>
      <c r="EW292" s="368"/>
      <c r="EX292" s="369"/>
      <c r="EY292" s="370"/>
      <c r="EZ292" s="370"/>
      <c r="FA292" s="371"/>
      <c r="FB292" s="372"/>
    </row>
    <row r="293" spans="1:158" ht="34.5" customHeight="1">
      <c r="A293" s="82">
        <v>285</v>
      </c>
      <c r="B293" s="1806"/>
      <c r="C293" s="1807"/>
      <c r="D293" s="1807"/>
      <c r="E293" s="1808"/>
      <c r="F293" s="1809"/>
      <c r="G293" s="1810"/>
      <c r="H293" s="1810"/>
      <c r="I293" s="1811"/>
      <c r="J293" s="1301"/>
      <c r="K293" s="1814"/>
      <c r="L293" s="1814"/>
      <c r="M293" s="1017"/>
      <c r="N293" s="1584"/>
      <c r="O293" s="208" t="str">
        <f t="shared" si="314"/>
        <v/>
      </c>
      <c r="P293" s="785"/>
      <c r="Q293" s="39" t="str">
        <f t="shared" si="315"/>
        <v/>
      </c>
      <c r="R293" s="39">
        <f t="shared" si="328"/>
        <v>0</v>
      </c>
      <c r="S293" s="234">
        <f t="shared" si="329"/>
        <v>0</v>
      </c>
      <c r="T293" s="1815"/>
      <c r="U293" s="1815"/>
      <c r="V293" s="1815"/>
      <c r="W293" s="1121"/>
      <c r="X293" s="1812"/>
      <c r="Y293" s="1813"/>
      <c r="Z293" s="703"/>
      <c r="AA293" s="1280"/>
      <c r="AB293" s="1141"/>
      <c r="AC293" s="1103" t="str">
        <f>IF(T293="","",VLOOKUP(Z293,Lists!$A$60:$B$111,2,FALSE))</f>
        <v/>
      </c>
      <c r="AD293" s="130" t="str">
        <f t="shared" si="330"/>
        <v/>
      </c>
      <c r="AE293" s="130" t="e">
        <f t="shared" si="331"/>
        <v>#VALUE!</v>
      </c>
      <c r="AF293" s="130">
        <f t="shared" si="332"/>
        <v>1</v>
      </c>
      <c r="AG293" s="234">
        <f t="shared" si="316"/>
        <v>0</v>
      </c>
      <c r="AH293" s="1753" t="str">
        <f>IF(T293="","",(IF(ISNUMBER(SEARCH("exit",T293)),8760,IF(AND(M293="Dusk to Dawn",'Proposed Lighting'!AU293=3),4059,IF(AND(AU293=3,M293="1"),0,IF(AND(AU293=3,M293="1-C"),0,IF(AND(AU293=3,M293="2"),0,IF(AND(AU293=3,M293="2-C"),0,IF(AND(AU293=3,M293="3"),0,IF(AND(AU293=3,M293="3-C"),0,IF(AND(AU293=2,M293="Dusk to Dawn"),0,IF(AND(AU293=2,M293="Dusk to Dawn-C"),0,IF(AND(AU293=2,M293="Dusk to Dawn"),0,IF(AND(AU293=2,M293="E"),0,IF(AND(AU293=2,M293="E-C"),0,EG293)))))))))))))))</f>
        <v/>
      </c>
      <c r="AI293" s="1754"/>
      <c r="AJ293" s="1136"/>
      <c r="AK293" s="1136"/>
      <c r="AL293" s="1748">
        <f t="shared" si="333"/>
        <v>0</v>
      </c>
      <c r="AM293" s="1749"/>
      <c r="AN293" s="1750"/>
      <c r="AO293" s="476">
        <f t="shared" si="317"/>
        <v>0</v>
      </c>
      <c r="AP293" s="476">
        <f t="shared" si="334"/>
        <v>0</v>
      </c>
      <c r="AQ293" s="475">
        <f t="shared" si="318"/>
        <v>0</v>
      </c>
      <c r="AR293" s="475">
        <f t="shared" si="335"/>
        <v>0</v>
      </c>
      <c r="AS293" s="743" t="str">
        <f t="shared" si="387"/>
        <v/>
      </c>
      <c r="AT293" s="736" t="str">
        <f t="shared" si="336"/>
        <v/>
      </c>
      <c r="AU293" s="56">
        <f t="shared" si="337"/>
        <v>1</v>
      </c>
      <c r="AV293" s="476">
        <f t="shared" si="338"/>
        <v>0</v>
      </c>
      <c r="AW293" s="56">
        <f t="shared" si="339"/>
        <v>0</v>
      </c>
      <c r="AX293" s="475">
        <f t="shared" si="319"/>
        <v>0</v>
      </c>
      <c r="AY293" s="1169">
        <f t="shared" si="340"/>
        <v>0</v>
      </c>
      <c r="AZ293" s="1150">
        <f t="shared" si="379"/>
        <v>0</v>
      </c>
      <c r="BA293" s="56">
        <f t="shared" si="320"/>
        <v>0</v>
      </c>
      <c r="BB293" s="420">
        <f t="shared" si="321"/>
        <v>0</v>
      </c>
      <c r="BC293" s="58" t="str">
        <f t="shared" si="322"/>
        <v/>
      </c>
      <c r="BD293" s="660">
        <f t="shared" si="380"/>
        <v>0</v>
      </c>
      <c r="BE293" s="57" t="e">
        <f t="array" ref="BE293">INDEX($EB$11:$ED$1022,MATCH(F293&amp;T293,$EB$11:$EB$1007&amp;$EC$11:$EC$1007,0),3)</f>
        <v>#N/A</v>
      </c>
      <c r="BF293" s="463">
        <f t="shared" si="311"/>
        <v>0</v>
      </c>
      <c r="BG293" s="1445" t="e">
        <f t="array" ref="BG293">INDEX($DO$112:$DQ$123,MATCH(T293&amp;W293,$DO$114:$DO$125&amp;$DP$112:$DP$123,0),3)</f>
        <v>#N/A</v>
      </c>
      <c r="BH293" s="1446">
        <f t="shared" si="341"/>
        <v>0</v>
      </c>
      <c r="BI293" s="465">
        <f t="shared" si="342"/>
        <v>0</v>
      </c>
      <c r="BJ293" s="465">
        <f t="shared" si="343"/>
        <v>0</v>
      </c>
      <c r="BK293" s="466">
        <f t="shared" si="312"/>
        <v>0</v>
      </c>
      <c r="BL293" s="466">
        <f t="shared" si="313"/>
        <v>0</v>
      </c>
      <c r="BM293" s="466">
        <f t="shared" si="344"/>
        <v>0</v>
      </c>
      <c r="BN293" s="466">
        <f t="shared" si="345"/>
        <v>0</v>
      </c>
      <c r="BO293" s="463">
        <f>IF('Data Entry'!$C$74=0,0,IF(ISNA(CJ293),0,IF(AX293=0,0,IF(AND('Data Entry'!$C$74=2,AF293&gt;2,CE293&lt;1),0,IF(AND('Data Entry'!$C$74=2,AF293&gt;1,AU293=2,CJ293&gt;1),0,IF(AND(AF293=5,CT293=0.5,AU293=2,ER293&lt;100),0,IF(AND(AF293=5,CT293=0.5,AU293=3,ER293&lt;100),0,IF(AND('Data Entry'!$C$74=2,AF293=2,AU293=2,AK293&gt;0.01,CB293=2,CE293&lt;1),0,IF(AND('Data Entry'!$C$74=2,AF293=3,AU293=3,AK293&gt;0.01,CB293=3,CE293&lt;1),0,IF(AND('Data Entry'!$C$74=2,AF293=3,AU293=3,AK293&gt;0.01,CB293=3,CE293&gt;0.99),BQ293*0.08,IF(AND('Data Entry'!$C$74=2,AF293=2,AU293=2,AK293&gt;0.01,CB293=2,CE293&gt;0.99),BQ293*0.1,IF(AND(AU293=2,AK293&gt;0.01,CB293=2,CD293&gt;1),BQ293*0.1,IF(AND(AU293=3,AK293&gt;0.01,CB293=3,CD293&gt;1),BQ293*0.08,CJ293*EF293)))))))))))))</f>
        <v>0</v>
      </c>
      <c r="BP293" s="475">
        <f t="shared" si="346"/>
        <v>0</v>
      </c>
      <c r="BQ293" s="1431">
        <f>IF(AU293=1,0,IF(CH293=100,0,IF(AND(AF293=3,AU293=2),0,IF(AND(BH293=0,CT293&gt;0.4),0,IF(AND('Data Entry'!$C$74=2,AF293=1.5),0,IF(AND('Data Entry'!$C$74=2,AF293=1.6),0,IF(AND('Data Entry'!$C$74=2,AF293=4),0,IF(AND('Data Entry'!$C$74=2,AF293=5),0,IF(AND('Data Entry'!$C$74=2,AF293=2.5,CE293&lt;1),0,IF(AND('Data Entry'!$C$74=2,AF293=3,CE293&lt;1),0,IF(AND('Data Entry'!$C$74=1,AF293=2.5,CD293&lt;1),0,IF(AND('Data Entry'!$C$74=1,AF293=3,CD293&lt;1),0,IF(DX293&gt;0.01,DX293,IF(ISERROR(AX293-AY293),"",ROUND(AX293-AY293,2)))))))))))))))</f>
        <v>0</v>
      </c>
      <c r="BR293" s="146">
        <f t="shared" si="347"/>
        <v>0</v>
      </c>
      <c r="BS293" s="475">
        <f t="shared" si="348"/>
        <v>0</v>
      </c>
      <c r="BT293" s="146" t="b">
        <f t="shared" si="349"/>
        <v>0</v>
      </c>
      <c r="BU293" s="463">
        <f>IF(ISNA(AT293),0,IF(AND('Data Entry'!$C$74=2,BC293=27),0,IF(AND('Data Entry'!$C$74=2,BC293=28),0,IF(AND(BC293=27,BT293=27,CM293&gt;0.1),CM293*0.15,IF(AND(BC293=28,BT293=28,CM293&gt;0.1),CM293*0.12,0)))))</f>
        <v>0</v>
      </c>
      <c r="BV293" s="463">
        <f t="shared" si="386"/>
        <v>0</v>
      </c>
      <c r="BW293" s="463">
        <f t="shared" si="350"/>
        <v>0</v>
      </c>
      <c r="BX293" s="463">
        <f t="shared" si="351"/>
        <v>0</v>
      </c>
      <c r="BY293" s="463">
        <f t="shared" si="352"/>
        <v>0</v>
      </c>
      <c r="BZ293" s="463">
        <f t="shared" si="353"/>
        <v>0</v>
      </c>
      <c r="CA293" s="57">
        <f t="shared" si="381"/>
        <v>0</v>
      </c>
      <c r="CB293" s="56">
        <f t="shared" si="354"/>
        <v>1</v>
      </c>
      <c r="CC293" s="756">
        <f>IF(EE293=0,0,IF(EF293=0,0,IF(EE293&gt;AA293,0,IF(AND(AZ293&gt;AW293,AW293&gt;0),0,IF(CU293=0,0,Summary!AC596)))))</f>
        <v>0</v>
      </c>
      <c r="CD293" s="756">
        <f>IF(EE293=0,0,IF(EF293=0,0,IF(EE293&gt;AA293,0,IF(AND(AZ293&gt;AW293,AW293&gt;0),0,IF(CU293=0,0,Summary!AD596)))))</f>
        <v>0</v>
      </c>
      <c r="CE293" s="756">
        <f>IF(EF293=0,0,IF(EE293&gt;AA293,0,IF(CC293=0,0,IF(AND(AZ293&gt;AW293,AW293&gt;0),0,IF(CU293=0,0,Summary!AE596)))))</f>
        <v>0</v>
      </c>
      <c r="CF293" s="475">
        <f t="shared" si="355"/>
        <v>0</v>
      </c>
      <c r="CG293" s="476">
        <f t="shared" si="323"/>
        <v>0</v>
      </c>
      <c r="CH293" s="487">
        <f t="shared" si="356"/>
        <v>0</v>
      </c>
      <c r="CI293" s="756">
        <f t="shared" si="357"/>
        <v>0</v>
      </c>
      <c r="CJ293" s="487">
        <f>IF(CT293&gt;0.4,0,IF(AND(AU293=2,CH293=0,CT293=0.5,ER293=100),35,IF(AND(AU293=3,BB293&gt;75,CH293=0,CT293=0.5,ER293=100),25,IF(CB293&gt;1,0,IF(EF293&gt;EE293,0,IF(AND(AF293&gt;1,CH293=100),0,IF(AND(AF293=1,AY293=0),0,IF(AND(EF293&lt;=EE293,AW293&gt;=AZ293,'Data Entry'!$C$74=1,AU293=2),VLOOKUP(W293,$DO$96:$DP$102,2,FALSE),IF(AND(EF293&lt;=EE293,AW293&gt;=AZ293,AU293=3,'Data Entry'!$C$74=1),VLOOKUP(W293,$DO$127:$DP$134,2,FALSE))))))))))</f>
        <v>0</v>
      </c>
      <c r="CK293" s="716">
        <f t="shared" si="358"/>
        <v>0</v>
      </c>
      <c r="CL293" s="57">
        <f t="shared" si="359"/>
        <v>0</v>
      </c>
      <c r="CM293" s="475">
        <f t="shared" si="385"/>
        <v>0</v>
      </c>
      <c r="CN293" s="660">
        <f>IF(CM293&lt;0.1,0,IF(ISNA(AT293),0,IF(CL293+BC293=1,0,IF(BV293&gt;0.01,0,IF(CL293&gt;0.01,0,IF(CF293=1,0,IF(BC293=0.5,0,IF(AND(CI293=1,AU293=3),0,IF(AND(CI293=5,CL293=0),0,IF(AND(R293=12,BR293=50),0,IF(CK293&gt;0.01,0,IF(AND(AJ293&gt;0.01,AU293=2,BC293=15),CM293*0.1,IF(AND(AJ293&gt;0.01,AU293=3,BC293=15),CM293*0.08,IF(AND(R293=12,BC293=3,AF293&lt;=0),0,IF(AND(BC293=15,BI293=0),0,IF(AND(BC293=15,BJ293=0),0,IF(AND(R293=20,CU293=0),0,IF($X$4=0,0,IF(AND(BC293=250,CL293=0),0,IF(AA293&lt;1,0,IF(AND(ISNUMBER(SEARCH("Area",T293)),AU293=3),0,IF(AND(AQ293&gt;0.01,AR293=0,BK293=0,BL293=0,BM293=0,BN293=0),0,IF(AND(AU293=3,CI293=7,CT293&gt;0.5),0,IF(AND(BC293=44,AU293=3,BY293=0),0,IF(AND(BC293=27,'Data Entry'!$C$74=2),0,IF(AND(BC293=28,'Data Entry'!$C$74=2),0,IF(AND(BY293+BZ293+CA293&gt;0.01,BV293=0,EQ293+ER293+ES293+ET293&lt;100),0,IF(AU293=3,CM293*0.08,IF(AU293=2,CM293*0.1,0)))))))))))))))))))))))))))))</f>
        <v>0</v>
      </c>
      <c r="CO293" s="660">
        <f t="shared" si="360"/>
        <v>0</v>
      </c>
      <c r="CP293" s="475" t="str">
        <f t="shared" si="361"/>
        <v/>
      </c>
      <c r="CQ293" s="161" t="str">
        <f>IF(AH293=0,0,IF(AU293=5,0,Summary!AC296))</f>
        <v/>
      </c>
      <c r="CR293" s="161" t="str">
        <f>IF(BF293=0.5,0,IF(AU293=5,0,Summary!AD296))</f>
        <v/>
      </c>
      <c r="CS293" s="161" t="str">
        <f>IF(AU293=5,0,Summary!AE296)</f>
        <v/>
      </c>
      <c r="CT293" s="161">
        <f t="shared" si="362"/>
        <v>0</v>
      </c>
      <c r="CU293" s="475" t="str">
        <f t="shared" si="363"/>
        <v/>
      </c>
      <c r="CV293" s="307">
        <f>IF('Data Entry'!$C$74=0,0,IF(AA293&lt;1,0,IF(ISERROR(CU293),0,IF(CF293=1,0,IF(AND(R293=12,BR293=50),0,IF(CL293+BO293+BV293+DC293=0,0,IF(BC293=37,0,IF(AND(BC293=40,AJ293=0),0,IF(AND(BC293=37,BO293&gt;0.01,BQ293&gt;0.01),ROUND(BQ293,0),IF(CM293&lt;0,0,ROUND(CM293,0)))))))))))</f>
        <v>0</v>
      </c>
      <c r="CW293" s="700">
        <f t="shared" si="364"/>
        <v>0</v>
      </c>
      <c r="CX293" s="477">
        <f>IF('Data Entry'!$C$74=0,0,IF(CV293&lt;0.01,0,IF(BF293=0.5,0,IF(CF293=1,0,IF(ISNUMBER(SEARCH("false",CL293)),0,IF(AZ293=500,0,CL293))))))</f>
        <v>0</v>
      </c>
      <c r="CY293" s="147" t="e">
        <f t="shared" si="365"/>
        <v>#VALUE!</v>
      </c>
      <c r="CZ293" s="147" t="b">
        <f>IF(CN293+CL293=0,FALSE,IF(AH293=0,0,IF(AND('Data Entry'!$C$74=1,CR293&gt;=1),TRUE,IF(AND('Data Entry'!$C$74=2,CS293&gt;=1),TRUE,FALSE))))</f>
        <v>0</v>
      </c>
      <c r="DA293" s="1751">
        <f>IF('Data Entry'!$C$74=0,0,IFERROR(ROUND(IF(T293="","",IF($X$4=0,0,IF(CF293=1,0,IF(BQ293+CV293=0,0,IF(CF293=1,0,IF(CY293&gt;0.01,CY293,IF(CL293&gt;0.01,CL293,IF(CY293&gt;0.01,CY293,IF(BC293=37,BO293,IF(CZ293=FALSE,0,IF(CZ293=TRUE,DC293+DF293,0))))))))))),2),""))</f>
        <v>0</v>
      </c>
      <c r="DB293" s="1752"/>
      <c r="DC293" s="474">
        <f>IF(CN293&lt;0.01,0,IF(AND(BR293=3,CN293&gt;0.01,CT293&gt;0.6,ER293+ES293+ET293&lt;100),0,IF(AND('Data Entry'!$C$74=1,CN293&gt;0.01,CR293&gt;0.99),MIN(CN293:CO293),IF(AND('Data Entry'!$C$74=2,CN293&gt;0.01,CS293&gt;0.99),MIN(CN293:CO293),0))))</f>
        <v>0</v>
      </c>
      <c r="DD293" s="478">
        <f>IF(CF293=1,"Selection does not match",IF(T293=0,0,IF(AND('Data Entry'!$C$74=0,CP293&gt;1),"Select Oregon or Idaho on Data Entry Tab",IF(AND(AU293=1,AA293&gt;0.9),"Missing Interior or Exterior Selection",IF($X$4=0,"Enter Total Project Cost",IF(AQ293&lt;AR293,"Insufficient kWh savings – no incentive",IF(AND(SUM(CL293+CK293+BV293)&gt;0.01,'Data Entry'!$C$74=2,CJ293&gt;1,BO293=0),"Submit Control as Non-Standard",IF(AND('Data Entry'!$C$74=2,BR293=37,CJ293&gt;1,BO293=0),"Submit Control as Non-Standard",IF(SUM(CL293+CK293+BV293)&gt;0.01,"Standard Incentive",IF(AND('Data Entry'!$C$74=2,CP293=7,CN293=0),"Submit as Non-Standard",IF(DC293&gt;0.9,"Non-Standard Incentive",IF(AND(BY293+BZ293+CA293&gt;0.01,BV293=0,EQ293=0,ER293=0,ES293=0,ET293=0),"Scroll Right &amp; Select Control Strategies",IF(AND(CN293&gt;0.01,CO293=0),"Enter Unit Installed Cost",IF(ISNUMBER(SEARCH("Lighting Controls Only",F293)),"Lighting Controls Only",IF(CL293+DC293=0,"Does not meet incentive criteria",0)))))))))))))))</f>
        <v>0</v>
      </c>
      <c r="DE293" s="337">
        <f t="shared" si="366"/>
        <v>0</v>
      </c>
      <c r="DF293" s="609">
        <f t="shared" si="367"/>
        <v>0</v>
      </c>
      <c r="DG293" s="336" t="str">
        <f t="shared" si="368"/>
        <v/>
      </c>
      <c r="DH293" s="338">
        <f t="shared" si="369"/>
        <v>1</v>
      </c>
      <c r="DI293" s="336" t="e">
        <f t="shared" si="324"/>
        <v>#VALUE!</v>
      </c>
      <c r="DJ293" s="338">
        <f t="shared" si="325"/>
        <v>0</v>
      </c>
      <c r="DO293" s="81"/>
      <c r="DP293" s="81"/>
      <c r="DQ293" s="377"/>
      <c r="DR293" s="81"/>
      <c r="DS293" s="1195">
        <f t="shared" si="370"/>
        <v>0</v>
      </c>
      <c r="DT293" s="344" t="b">
        <f t="shared" si="371"/>
        <v>1</v>
      </c>
      <c r="DU293" s="1314" t="str">
        <f t="array" ref="DU293">IF(OR(COUNTIF(F293,"*"&amp;$DK$9:$DK$178&amp;"*")), "Yes", "")</f>
        <v/>
      </c>
      <c r="DV293" s="1314">
        <f t="shared" si="372"/>
        <v>0</v>
      </c>
      <c r="DW293" s="1480">
        <f t="shared" si="373"/>
        <v>0</v>
      </c>
      <c r="DX293" s="1498">
        <f t="shared" si="382"/>
        <v>0</v>
      </c>
      <c r="DY293" s="1484">
        <f t="shared" si="374"/>
        <v>0</v>
      </c>
      <c r="DZ293" s="331"/>
      <c r="EA293" s="392"/>
      <c r="EB293" s="1499" t="s">
        <v>511</v>
      </c>
      <c r="EC293" s="727" t="s">
        <v>1569</v>
      </c>
      <c r="ED293" s="1100">
        <v>0.5</v>
      </c>
      <c r="EE293" s="1215"/>
      <c r="EF293" s="1215"/>
      <c r="EG293" s="1184" t="str">
        <f t="shared" si="375"/>
        <v/>
      </c>
      <c r="EJ293" s="1185">
        <f t="shared" si="326"/>
        <v>0</v>
      </c>
      <c r="EK293" s="1211"/>
      <c r="EL293" s="1180">
        <f t="shared" si="327"/>
        <v>0</v>
      </c>
      <c r="EM293" s="206"/>
      <c r="EN293" s="1038"/>
      <c r="EO293" s="1038"/>
      <c r="EP293" s="1038"/>
      <c r="EQ293" s="1038">
        <f t="shared" si="376"/>
        <v>0</v>
      </c>
      <c r="ER293" s="1041">
        <f t="shared" si="377"/>
        <v>0</v>
      </c>
      <c r="ES293" s="1042">
        <f t="shared" si="378"/>
        <v>0</v>
      </c>
      <c r="ET293" s="1042">
        <f t="shared" si="383"/>
        <v>0</v>
      </c>
      <c r="EU293" s="1021">
        <f t="shared" si="384"/>
        <v>0</v>
      </c>
      <c r="EV293" s="368"/>
      <c r="EW293" s="368"/>
      <c r="EX293" s="369"/>
      <c r="EY293" s="370"/>
      <c r="EZ293" s="370"/>
      <c r="FA293" s="371"/>
      <c r="FB293" s="372"/>
    </row>
    <row r="294" spans="1:158" ht="34.5" customHeight="1">
      <c r="A294" s="82">
        <v>286</v>
      </c>
      <c r="B294" s="1806"/>
      <c r="C294" s="1807"/>
      <c r="D294" s="1807"/>
      <c r="E294" s="1808"/>
      <c r="F294" s="1809"/>
      <c r="G294" s="1810"/>
      <c r="H294" s="1810"/>
      <c r="I294" s="1811"/>
      <c r="J294" s="1301"/>
      <c r="K294" s="1814"/>
      <c r="L294" s="1814"/>
      <c r="M294" s="1017"/>
      <c r="N294" s="1584"/>
      <c r="O294" s="208" t="str">
        <f t="shared" si="314"/>
        <v/>
      </c>
      <c r="P294" s="785"/>
      <c r="Q294" s="39" t="str">
        <f t="shared" si="315"/>
        <v/>
      </c>
      <c r="R294" s="39">
        <f t="shared" si="328"/>
        <v>0</v>
      </c>
      <c r="S294" s="234">
        <f t="shared" si="329"/>
        <v>0</v>
      </c>
      <c r="T294" s="1815"/>
      <c r="U294" s="1815"/>
      <c r="V294" s="1815"/>
      <c r="W294" s="1121"/>
      <c r="X294" s="1812"/>
      <c r="Y294" s="1813"/>
      <c r="Z294" s="703"/>
      <c r="AA294" s="1280"/>
      <c r="AB294" s="1141"/>
      <c r="AC294" s="1103" t="str">
        <f>IF(T294="","",VLOOKUP(Z294,Lists!$A$60:$B$111,2,FALSE))</f>
        <v/>
      </c>
      <c r="AD294" s="130" t="str">
        <f t="shared" si="330"/>
        <v/>
      </c>
      <c r="AE294" s="130" t="e">
        <f t="shared" si="331"/>
        <v>#VALUE!</v>
      </c>
      <c r="AF294" s="130">
        <f t="shared" si="332"/>
        <v>1</v>
      </c>
      <c r="AG294" s="234">
        <f t="shared" si="316"/>
        <v>0</v>
      </c>
      <c r="AH294" s="1753" t="str">
        <f>IF(T294="","",(IF(ISNUMBER(SEARCH("exit",T294)),8760,IF(AND(M294="Dusk to Dawn",'Proposed Lighting'!AU294=3),4059,IF(AND(AU294=3,M294="1"),0,IF(AND(AU294=3,M294="1-C"),0,IF(AND(AU294=3,M294="2"),0,IF(AND(AU294=3,M294="2-C"),0,IF(AND(AU294=3,M294="3"),0,IF(AND(AU294=3,M294="3-C"),0,IF(AND(AU294=2,M294="Dusk to Dawn"),0,IF(AND(AU294=2,M294="Dusk to Dawn-C"),0,IF(AND(AU294=2,M294="Dusk to Dawn"),0,IF(AND(AU294=2,M294="E"),0,IF(AND(AU294=2,M294="E-C"),0,EG294)))))))))))))))</f>
        <v/>
      </c>
      <c r="AI294" s="1754"/>
      <c r="AJ294" s="1136"/>
      <c r="AK294" s="1136"/>
      <c r="AL294" s="1748">
        <f t="shared" si="333"/>
        <v>0</v>
      </c>
      <c r="AM294" s="1749"/>
      <c r="AN294" s="1750"/>
      <c r="AO294" s="476">
        <f t="shared" si="317"/>
        <v>0</v>
      </c>
      <c r="AP294" s="476">
        <f t="shared" si="334"/>
        <v>0</v>
      </c>
      <c r="AQ294" s="475">
        <f t="shared" si="318"/>
        <v>0</v>
      </c>
      <c r="AR294" s="475">
        <f t="shared" si="335"/>
        <v>0</v>
      </c>
      <c r="AS294" s="743" t="str">
        <f t="shared" si="387"/>
        <v/>
      </c>
      <c r="AT294" s="736" t="str">
        <f t="shared" si="336"/>
        <v/>
      </c>
      <c r="AU294" s="56">
        <f t="shared" si="337"/>
        <v>1</v>
      </c>
      <c r="AV294" s="476">
        <f t="shared" si="338"/>
        <v>0</v>
      </c>
      <c r="AW294" s="56">
        <f t="shared" si="339"/>
        <v>0</v>
      </c>
      <c r="AX294" s="475">
        <f t="shared" si="319"/>
        <v>0</v>
      </c>
      <c r="AY294" s="1169">
        <f t="shared" si="340"/>
        <v>0</v>
      </c>
      <c r="AZ294" s="1150">
        <f t="shared" si="379"/>
        <v>0</v>
      </c>
      <c r="BA294" s="56">
        <f t="shared" si="320"/>
        <v>0</v>
      </c>
      <c r="BB294" s="420">
        <f t="shared" si="321"/>
        <v>0</v>
      </c>
      <c r="BC294" s="58" t="str">
        <f t="shared" si="322"/>
        <v/>
      </c>
      <c r="BD294" s="660">
        <f t="shared" si="380"/>
        <v>0</v>
      </c>
      <c r="BE294" s="57" t="e">
        <f t="array" ref="BE294">INDEX($EB$11:$ED$1022,MATCH(F294&amp;T294,$EB$11:$EB$1007&amp;$EC$11:$EC$1007,0),3)</f>
        <v>#N/A</v>
      </c>
      <c r="BF294" s="463">
        <f t="shared" si="311"/>
        <v>0</v>
      </c>
      <c r="BG294" s="1445" t="e">
        <f t="array" ref="BG294">INDEX($DO$112:$DQ$123,MATCH(T294&amp;W294,$DO$114:$DO$125&amp;$DP$112:$DP$123,0),3)</f>
        <v>#N/A</v>
      </c>
      <c r="BH294" s="1446">
        <f t="shared" si="341"/>
        <v>0</v>
      </c>
      <c r="BI294" s="465">
        <f t="shared" si="342"/>
        <v>0</v>
      </c>
      <c r="BJ294" s="465">
        <f t="shared" si="343"/>
        <v>0</v>
      </c>
      <c r="BK294" s="466">
        <f t="shared" si="312"/>
        <v>0</v>
      </c>
      <c r="BL294" s="466">
        <f t="shared" si="313"/>
        <v>0</v>
      </c>
      <c r="BM294" s="466">
        <f t="shared" si="344"/>
        <v>0</v>
      </c>
      <c r="BN294" s="466">
        <f t="shared" si="345"/>
        <v>0</v>
      </c>
      <c r="BO294" s="463">
        <f>IF('Data Entry'!$C$74=0,0,IF(ISNA(CJ294),0,IF(AX294=0,0,IF(AND('Data Entry'!$C$74=2,AF294&gt;2,CE294&lt;1),0,IF(AND('Data Entry'!$C$74=2,AF294&gt;1,AU294=2,CJ294&gt;1),0,IF(AND(AF294=5,CT294=0.5,AU294=2,ER294&lt;100),0,IF(AND(AF294=5,CT294=0.5,AU294=3,ER294&lt;100),0,IF(AND('Data Entry'!$C$74=2,AF294=2,AU294=2,AK294&gt;0.01,CB294=2,CE294&lt;1),0,IF(AND('Data Entry'!$C$74=2,AF294=3,AU294=3,AK294&gt;0.01,CB294=3,CE294&lt;1),0,IF(AND('Data Entry'!$C$74=2,AF294=3,AU294=3,AK294&gt;0.01,CB294=3,CE294&gt;0.99),BQ294*0.08,IF(AND('Data Entry'!$C$74=2,AF294=2,AU294=2,AK294&gt;0.01,CB294=2,CE294&gt;0.99),BQ294*0.1,IF(AND(AU294=2,AK294&gt;0.01,CB294=2,CD294&gt;1),BQ294*0.1,IF(AND(AU294=3,AK294&gt;0.01,CB294=3,CD294&gt;1),BQ294*0.08,CJ294*EF294)))))))))))))</f>
        <v>0</v>
      </c>
      <c r="BP294" s="475">
        <f t="shared" si="346"/>
        <v>0</v>
      </c>
      <c r="BQ294" s="1431">
        <f>IF(AU294=1,0,IF(CH294=100,0,IF(AND(AF294=3,AU294=2),0,IF(AND(BH294=0,CT294&gt;0.4),0,IF(AND('Data Entry'!$C$74=2,AF294=1.5),0,IF(AND('Data Entry'!$C$74=2,AF294=1.6),0,IF(AND('Data Entry'!$C$74=2,AF294=4),0,IF(AND('Data Entry'!$C$74=2,AF294=5),0,IF(AND('Data Entry'!$C$74=2,AF294=2.5,CE294&lt;1),0,IF(AND('Data Entry'!$C$74=2,AF294=3,CE294&lt;1),0,IF(AND('Data Entry'!$C$74=1,AF294=2.5,CD294&lt;1),0,IF(AND('Data Entry'!$C$74=1,AF294=3,CD294&lt;1),0,IF(DX294&gt;0.01,DX294,IF(ISERROR(AX294-AY294),"",ROUND(AX294-AY294,2)))))))))))))))</f>
        <v>0</v>
      </c>
      <c r="BR294" s="146">
        <f t="shared" si="347"/>
        <v>0</v>
      </c>
      <c r="BS294" s="475">
        <f t="shared" si="348"/>
        <v>0</v>
      </c>
      <c r="BT294" s="146" t="b">
        <f t="shared" si="349"/>
        <v>0</v>
      </c>
      <c r="BU294" s="463">
        <f>IF(ISNA(AT294),0,IF(AND('Data Entry'!$C$74=2,BC294=27),0,IF(AND('Data Entry'!$C$74=2,BC294=28),0,IF(AND(BC294=27,BT294=27,CM294&gt;0.1),CM294*0.15,IF(AND(BC294=28,BT294=28,CM294&gt;0.1),CM294*0.12,0)))))</f>
        <v>0</v>
      </c>
      <c r="BV294" s="463">
        <f t="shared" si="386"/>
        <v>0</v>
      </c>
      <c r="BW294" s="463">
        <f t="shared" si="350"/>
        <v>0</v>
      </c>
      <c r="BX294" s="463">
        <f t="shared" si="351"/>
        <v>0</v>
      </c>
      <c r="BY294" s="463">
        <f t="shared" si="352"/>
        <v>0</v>
      </c>
      <c r="BZ294" s="463">
        <f t="shared" si="353"/>
        <v>0</v>
      </c>
      <c r="CA294" s="57">
        <f t="shared" si="381"/>
        <v>0</v>
      </c>
      <c r="CB294" s="56">
        <f t="shared" si="354"/>
        <v>1</v>
      </c>
      <c r="CC294" s="756">
        <f>IF(EE294=0,0,IF(EF294=0,0,IF(EE294&gt;AA294,0,IF(AND(AZ294&gt;AW294,AW294&gt;0),0,IF(CU294=0,0,Summary!AC597)))))</f>
        <v>0</v>
      </c>
      <c r="CD294" s="756">
        <f>IF(EE294=0,0,IF(EF294=0,0,IF(EE294&gt;AA294,0,IF(AND(AZ294&gt;AW294,AW294&gt;0),0,IF(CU294=0,0,Summary!AD597)))))</f>
        <v>0</v>
      </c>
      <c r="CE294" s="756">
        <f>IF(EF294=0,0,IF(EE294&gt;AA294,0,IF(CC294=0,0,IF(AND(AZ294&gt;AW294,AW294&gt;0),0,IF(CU294=0,0,Summary!AE597)))))</f>
        <v>0</v>
      </c>
      <c r="CF294" s="475">
        <f t="shared" si="355"/>
        <v>0</v>
      </c>
      <c r="CG294" s="476">
        <f t="shared" si="323"/>
        <v>0</v>
      </c>
      <c r="CH294" s="487">
        <f t="shared" si="356"/>
        <v>0</v>
      </c>
      <c r="CI294" s="756">
        <f t="shared" si="357"/>
        <v>0</v>
      </c>
      <c r="CJ294" s="487">
        <f>IF(CT294&gt;0.4,0,IF(AND(AU294=2,CH294=0,CT294=0.5,ER294=100),35,IF(AND(AU294=3,BB294&gt;75,CH294=0,CT294=0.5,ER294=100),25,IF(CB294&gt;1,0,IF(EF294&gt;EE294,0,IF(AND(AF294&gt;1,CH294=100),0,IF(AND(AF294=1,AY294=0),0,IF(AND(EF294&lt;=EE294,AW294&gt;=AZ294,'Data Entry'!$C$74=1,AU294=2),VLOOKUP(W294,$DO$96:$DP$102,2,FALSE),IF(AND(EF294&lt;=EE294,AW294&gt;=AZ294,AU294=3,'Data Entry'!$C$74=1),VLOOKUP(W294,$DO$127:$DP$134,2,FALSE))))))))))</f>
        <v>0</v>
      </c>
      <c r="CK294" s="716">
        <f t="shared" si="358"/>
        <v>0</v>
      </c>
      <c r="CL294" s="57">
        <f t="shared" si="359"/>
        <v>0</v>
      </c>
      <c r="CM294" s="475">
        <f t="shared" si="385"/>
        <v>0</v>
      </c>
      <c r="CN294" s="660">
        <f>IF(CM294&lt;0.1,0,IF(ISNA(AT294),0,IF(CL294+BC294=1,0,IF(BV294&gt;0.01,0,IF(CL294&gt;0.01,0,IF(CF294=1,0,IF(BC294=0.5,0,IF(AND(CI294=1,AU294=3),0,IF(AND(CI294=5,CL294=0),0,IF(AND(R294=12,BR294=50),0,IF(CK294&gt;0.01,0,IF(AND(AJ294&gt;0.01,AU294=2,BC294=15),CM294*0.1,IF(AND(AJ294&gt;0.01,AU294=3,BC294=15),CM294*0.08,IF(AND(R294=12,BC294=3,AF294&lt;=0),0,IF(AND(BC294=15,BI294=0),0,IF(AND(BC294=15,BJ294=0),0,IF(AND(R294=20,CU294=0),0,IF($X$4=0,0,IF(AND(BC294=250,CL294=0),0,IF(AA294&lt;1,0,IF(AND(ISNUMBER(SEARCH("Area",T294)),AU294=3),0,IF(AND(AQ294&gt;0.01,AR294=0,BK294=0,BL294=0,BM294=0,BN294=0),0,IF(AND(AU294=3,CI294=7,CT294&gt;0.5),0,IF(AND(BC294=44,AU294=3,BY294=0),0,IF(AND(BC294=27,'Data Entry'!$C$74=2),0,IF(AND(BC294=28,'Data Entry'!$C$74=2),0,IF(AND(BY294+BZ294+CA294&gt;0.01,BV294=0,EQ294+ER294+ES294+ET294&lt;100),0,IF(AU294=3,CM294*0.08,IF(AU294=2,CM294*0.1,0)))))))))))))))))))))))))))))</f>
        <v>0</v>
      </c>
      <c r="CO294" s="660">
        <f t="shared" si="360"/>
        <v>0</v>
      </c>
      <c r="CP294" s="475" t="str">
        <f t="shared" si="361"/>
        <v/>
      </c>
      <c r="CQ294" s="161" t="str">
        <f>IF(AH294=0,0,IF(AU294=5,0,Summary!AC297))</f>
        <v/>
      </c>
      <c r="CR294" s="161" t="str">
        <f>IF(BF294=0.5,0,IF(AU294=5,0,Summary!AD297))</f>
        <v/>
      </c>
      <c r="CS294" s="161" t="str">
        <f>IF(AU294=5,0,Summary!AE297)</f>
        <v/>
      </c>
      <c r="CT294" s="161">
        <f t="shared" si="362"/>
        <v>0</v>
      </c>
      <c r="CU294" s="475" t="str">
        <f t="shared" si="363"/>
        <v/>
      </c>
      <c r="CV294" s="307">
        <f>IF('Data Entry'!$C$74=0,0,IF(AA294&lt;1,0,IF(ISERROR(CU294),0,IF(CF294=1,0,IF(AND(R294=12,BR294=50),0,IF(CL294+BO294+BV294+DC294=0,0,IF(BC294=37,0,IF(AND(BC294=40,AJ294=0),0,IF(AND(BC294=37,BO294&gt;0.01,BQ294&gt;0.01),ROUND(BQ294,0),IF(CM294&lt;0,0,ROUND(CM294,0)))))))))))</f>
        <v>0</v>
      </c>
      <c r="CW294" s="700">
        <f t="shared" si="364"/>
        <v>0</v>
      </c>
      <c r="CX294" s="477">
        <f>IF('Data Entry'!$C$74=0,0,IF(CV294&lt;0.01,0,IF(BF294=0.5,0,IF(CF294=1,0,IF(ISNUMBER(SEARCH("false",CL294)),0,IF(AZ294=500,0,CL294))))))</f>
        <v>0</v>
      </c>
      <c r="CY294" s="147" t="e">
        <f t="shared" si="365"/>
        <v>#VALUE!</v>
      </c>
      <c r="CZ294" s="147" t="b">
        <f>IF(CN294+CL294=0,FALSE,IF(AH294=0,0,IF(AND('Data Entry'!$C$74=1,CR294&gt;=1),TRUE,IF(AND('Data Entry'!$C$74=2,CS294&gt;=1),TRUE,FALSE))))</f>
        <v>0</v>
      </c>
      <c r="DA294" s="1751">
        <f>IF('Data Entry'!$C$74=0,0,IFERROR(ROUND(IF(T294="","",IF($X$4=0,0,IF(CF294=1,0,IF(BQ294+CV294=0,0,IF(CF294=1,0,IF(CY294&gt;0.01,CY294,IF(CL294&gt;0.01,CL294,IF(CY294&gt;0.01,CY294,IF(BC294=37,BO294,IF(CZ294=FALSE,0,IF(CZ294=TRUE,DC294+DF294,0))))))))))),2),""))</f>
        <v>0</v>
      </c>
      <c r="DB294" s="1752"/>
      <c r="DC294" s="474">
        <f>IF(CN294&lt;0.01,0,IF(AND(BR294=3,CN294&gt;0.01,CT294&gt;0.6,ER294+ES294+ET294&lt;100),0,IF(AND('Data Entry'!$C$74=1,CN294&gt;0.01,CR294&gt;0.99),MIN(CN294:CO294),IF(AND('Data Entry'!$C$74=2,CN294&gt;0.01,CS294&gt;0.99),MIN(CN294:CO294),0))))</f>
        <v>0</v>
      </c>
      <c r="DD294" s="478">
        <f>IF(CF294=1,"Selection does not match",IF(T294=0,0,IF(AND('Data Entry'!$C$74=0,CP294&gt;1),"Select Oregon or Idaho on Data Entry Tab",IF(AND(AU294=1,AA294&gt;0.9),"Missing Interior or Exterior Selection",IF($X$4=0,"Enter Total Project Cost",IF(AQ294&lt;AR294,"Insufficient kWh savings – no incentive",IF(AND(SUM(CL294+CK294+BV294)&gt;0.01,'Data Entry'!$C$74=2,CJ294&gt;1,BO294=0),"Submit Control as Non-Standard",IF(AND('Data Entry'!$C$74=2,BR294=37,CJ294&gt;1,BO294=0),"Submit Control as Non-Standard",IF(SUM(CL294+CK294+BV294)&gt;0.01,"Standard Incentive",IF(AND('Data Entry'!$C$74=2,CP294=7,CN294=0),"Submit as Non-Standard",IF(DC294&gt;0.9,"Non-Standard Incentive",IF(AND(BY294+BZ294+CA294&gt;0.01,BV294=0,EQ294=0,ER294=0,ES294=0,ET294=0),"Scroll Right &amp; Select Control Strategies",IF(AND(CN294&gt;0.01,CO294=0),"Enter Unit Installed Cost",IF(ISNUMBER(SEARCH("Lighting Controls Only",F294)),"Lighting Controls Only",IF(CL294+DC294=0,"Does not meet incentive criteria",0)))))))))))))))</f>
        <v>0</v>
      </c>
      <c r="DE294" s="337">
        <f t="shared" si="366"/>
        <v>0</v>
      </c>
      <c r="DF294" s="609">
        <f t="shared" si="367"/>
        <v>0</v>
      </c>
      <c r="DG294" s="336" t="str">
        <f t="shared" si="368"/>
        <v/>
      </c>
      <c r="DH294" s="338">
        <f t="shared" si="369"/>
        <v>1</v>
      </c>
      <c r="DI294" s="336" t="e">
        <f t="shared" si="324"/>
        <v>#VALUE!</v>
      </c>
      <c r="DJ294" s="338">
        <f t="shared" si="325"/>
        <v>0</v>
      </c>
      <c r="DO294" s="81"/>
      <c r="DP294" s="81"/>
      <c r="DQ294" s="377"/>
      <c r="DR294" s="81"/>
      <c r="DS294" s="1195">
        <f t="shared" si="370"/>
        <v>0</v>
      </c>
      <c r="DT294" s="344" t="b">
        <f t="shared" si="371"/>
        <v>1</v>
      </c>
      <c r="DU294" s="1314" t="str">
        <f t="array" ref="DU294">IF(OR(COUNTIF(F294,"*"&amp;$DK$9:$DK$178&amp;"*")), "Yes", "")</f>
        <v/>
      </c>
      <c r="DV294" s="1314">
        <f t="shared" si="372"/>
        <v>0</v>
      </c>
      <c r="DW294" s="1480">
        <f t="shared" si="373"/>
        <v>0</v>
      </c>
      <c r="DX294" s="1498">
        <f t="shared" si="382"/>
        <v>0</v>
      </c>
      <c r="DY294" s="1484">
        <f t="shared" si="374"/>
        <v>0</v>
      </c>
      <c r="DZ294" s="331"/>
      <c r="EA294" s="392"/>
      <c r="EB294" s="1499" t="s">
        <v>512</v>
      </c>
      <c r="EC294" s="727" t="s">
        <v>1569</v>
      </c>
      <c r="ED294" s="1100">
        <v>0.5</v>
      </c>
      <c r="EE294" s="1215"/>
      <c r="EF294" s="1215"/>
      <c r="EG294" s="1184" t="str">
        <f t="shared" si="375"/>
        <v/>
      </c>
      <c r="EJ294" s="1185">
        <f t="shared" si="326"/>
        <v>0</v>
      </c>
      <c r="EK294" s="1211"/>
      <c r="EL294" s="1180">
        <f t="shared" si="327"/>
        <v>0</v>
      </c>
      <c r="EM294" s="206"/>
      <c r="EN294" s="1038"/>
      <c r="EO294" s="1038"/>
      <c r="EP294" s="1038"/>
      <c r="EQ294" s="1038">
        <f t="shared" si="376"/>
        <v>0</v>
      </c>
      <c r="ER294" s="1041">
        <f t="shared" si="377"/>
        <v>0</v>
      </c>
      <c r="ES294" s="1042">
        <f t="shared" si="378"/>
        <v>0</v>
      </c>
      <c r="ET294" s="1042">
        <f t="shared" si="383"/>
        <v>0</v>
      </c>
      <c r="EU294" s="1021">
        <f t="shared" si="384"/>
        <v>0</v>
      </c>
      <c r="EV294" s="368"/>
      <c r="EW294" s="368"/>
      <c r="EX294" s="369"/>
      <c r="EY294" s="370"/>
      <c r="EZ294" s="370"/>
      <c r="FA294" s="371"/>
      <c r="FB294" s="372"/>
    </row>
    <row r="295" spans="1:158" ht="34.5" customHeight="1">
      <c r="A295" s="82">
        <v>287</v>
      </c>
      <c r="B295" s="1806"/>
      <c r="C295" s="1807"/>
      <c r="D295" s="1807"/>
      <c r="E295" s="1808"/>
      <c r="F295" s="1809"/>
      <c r="G295" s="1810"/>
      <c r="H295" s="1810"/>
      <c r="I295" s="1811"/>
      <c r="J295" s="1301"/>
      <c r="K295" s="1814"/>
      <c r="L295" s="1814"/>
      <c r="M295" s="1017"/>
      <c r="N295" s="1584"/>
      <c r="O295" s="208" t="str">
        <f t="shared" si="314"/>
        <v/>
      </c>
      <c r="P295" s="785"/>
      <c r="Q295" s="39" t="str">
        <f t="shared" si="315"/>
        <v/>
      </c>
      <c r="R295" s="39">
        <f t="shared" si="328"/>
        <v>0</v>
      </c>
      <c r="S295" s="234">
        <f t="shared" si="329"/>
        <v>0</v>
      </c>
      <c r="T295" s="1815"/>
      <c r="U295" s="1815"/>
      <c r="V295" s="1815"/>
      <c r="W295" s="1121"/>
      <c r="X295" s="1812"/>
      <c r="Y295" s="1813"/>
      <c r="Z295" s="703"/>
      <c r="AA295" s="1280"/>
      <c r="AB295" s="1141"/>
      <c r="AC295" s="1103" t="str">
        <f>IF(T295="","",VLOOKUP(Z295,Lists!$A$60:$B$111,2,FALSE))</f>
        <v/>
      </c>
      <c r="AD295" s="130" t="str">
        <f t="shared" si="330"/>
        <v/>
      </c>
      <c r="AE295" s="130" t="e">
        <f t="shared" si="331"/>
        <v>#VALUE!</v>
      </c>
      <c r="AF295" s="130">
        <f t="shared" si="332"/>
        <v>1</v>
      </c>
      <c r="AG295" s="234">
        <f t="shared" si="316"/>
        <v>0</v>
      </c>
      <c r="AH295" s="1753" t="str">
        <f>IF(T295="","",(IF(ISNUMBER(SEARCH("exit",T295)),8760,IF(AND(M295="Dusk to Dawn",'Proposed Lighting'!AU295=3),4059,IF(AND(AU295=3,M295="1"),0,IF(AND(AU295=3,M295="1-C"),0,IF(AND(AU295=3,M295="2"),0,IF(AND(AU295=3,M295="2-C"),0,IF(AND(AU295=3,M295="3"),0,IF(AND(AU295=3,M295="3-C"),0,IF(AND(AU295=2,M295="Dusk to Dawn"),0,IF(AND(AU295=2,M295="Dusk to Dawn-C"),0,IF(AND(AU295=2,M295="Dusk to Dawn"),0,IF(AND(AU295=2,M295="E"),0,IF(AND(AU295=2,M295="E-C"),0,EG295)))))))))))))))</f>
        <v/>
      </c>
      <c r="AI295" s="1754"/>
      <c r="AJ295" s="1136"/>
      <c r="AK295" s="1136"/>
      <c r="AL295" s="1748">
        <f t="shared" si="333"/>
        <v>0</v>
      </c>
      <c r="AM295" s="1749"/>
      <c r="AN295" s="1750"/>
      <c r="AO295" s="476">
        <f t="shared" si="317"/>
        <v>0</v>
      </c>
      <c r="AP295" s="476">
        <f t="shared" si="334"/>
        <v>0</v>
      </c>
      <c r="AQ295" s="475">
        <f t="shared" si="318"/>
        <v>0</v>
      </c>
      <c r="AR295" s="475">
        <f t="shared" si="335"/>
        <v>0</v>
      </c>
      <c r="AS295" s="743" t="str">
        <f t="shared" si="387"/>
        <v/>
      </c>
      <c r="AT295" s="736" t="str">
        <f t="shared" si="336"/>
        <v/>
      </c>
      <c r="AU295" s="56">
        <f t="shared" si="337"/>
        <v>1</v>
      </c>
      <c r="AV295" s="476">
        <f t="shared" si="338"/>
        <v>0</v>
      </c>
      <c r="AW295" s="56">
        <f t="shared" si="339"/>
        <v>0</v>
      </c>
      <c r="AX295" s="475">
        <f t="shared" si="319"/>
        <v>0</v>
      </c>
      <c r="AY295" s="1169">
        <f t="shared" si="340"/>
        <v>0</v>
      </c>
      <c r="AZ295" s="1150">
        <f t="shared" si="379"/>
        <v>0</v>
      </c>
      <c r="BA295" s="56">
        <f t="shared" si="320"/>
        <v>0</v>
      </c>
      <c r="BB295" s="420">
        <f t="shared" si="321"/>
        <v>0</v>
      </c>
      <c r="BC295" s="58" t="str">
        <f t="shared" si="322"/>
        <v/>
      </c>
      <c r="BD295" s="660">
        <f t="shared" si="380"/>
        <v>0</v>
      </c>
      <c r="BE295" s="57" t="e">
        <f t="array" ref="BE295">INDEX($EB$11:$ED$1022,MATCH(F295&amp;T295,$EB$11:$EB$1007&amp;$EC$11:$EC$1007,0),3)</f>
        <v>#N/A</v>
      </c>
      <c r="BF295" s="463">
        <f t="shared" si="311"/>
        <v>0</v>
      </c>
      <c r="BG295" s="1445" t="e">
        <f t="array" ref="BG295">INDEX($DO$112:$DQ$123,MATCH(T295&amp;W295,$DO$114:$DO$125&amp;$DP$112:$DP$123,0),3)</f>
        <v>#N/A</v>
      </c>
      <c r="BH295" s="1446">
        <f t="shared" si="341"/>
        <v>0</v>
      </c>
      <c r="BI295" s="465">
        <f t="shared" si="342"/>
        <v>0</v>
      </c>
      <c r="BJ295" s="465">
        <f t="shared" si="343"/>
        <v>0</v>
      </c>
      <c r="BK295" s="466">
        <f t="shared" si="312"/>
        <v>0</v>
      </c>
      <c r="BL295" s="466">
        <f t="shared" si="313"/>
        <v>0</v>
      </c>
      <c r="BM295" s="466">
        <f t="shared" si="344"/>
        <v>0</v>
      </c>
      <c r="BN295" s="466">
        <f t="shared" si="345"/>
        <v>0</v>
      </c>
      <c r="BO295" s="463">
        <f>IF('Data Entry'!$C$74=0,0,IF(ISNA(CJ295),0,IF(AX295=0,0,IF(AND('Data Entry'!$C$74=2,AF295&gt;2,CE295&lt;1),0,IF(AND('Data Entry'!$C$74=2,AF295&gt;1,AU295=2,CJ295&gt;1),0,IF(AND(AF295=5,CT295=0.5,AU295=2,ER295&lt;100),0,IF(AND(AF295=5,CT295=0.5,AU295=3,ER295&lt;100),0,IF(AND('Data Entry'!$C$74=2,AF295=2,AU295=2,AK295&gt;0.01,CB295=2,CE295&lt;1),0,IF(AND('Data Entry'!$C$74=2,AF295=3,AU295=3,AK295&gt;0.01,CB295=3,CE295&lt;1),0,IF(AND('Data Entry'!$C$74=2,AF295=3,AU295=3,AK295&gt;0.01,CB295=3,CE295&gt;0.99),BQ295*0.08,IF(AND('Data Entry'!$C$74=2,AF295=2,AU295=2,AK295&gt;0.01,CB295=2,CE295&gt;0.99),BQ295*0.1,IF(AND(AU295=2,AK295&gt;0.01,CB295=2,CD295&gt;1),BQ295*0.1,IF(AND(AU295=3,AK295&gt;0.01,CB295=3,CD295&gt;1),BQ295*0.08,CJ295*EF295)))))))))))))</f>
        <v>0</v>
      </c>
      <c r="BP295" s="475">
        <f t="shared" si="346"/>
        <v>0</v>
      </c>
      <c r="BQ295" s="1431">
        <f>IF(AU295=1,0,IF(CH295=100,0,IF(AND(AF295=3,AU295=2),0,IF(AND(BH295=0,CT295&gt;0.4),0,IF(AND('Data Entry'!$C$74=2,AF295=1.5),0,IF(AND('Data Entry'!$C$74=2,AF295=1.6),0,IF(AND('Data Entry'!$C$74=2,AF295=4),0,IF(AND('Data Entry'!$C$74=2,AF295=5),0,IF(AND('Data Entry'!$C$74=2,AF295=2.5,CE295&lt;1),0,IF(AND('Data Entry'!$C$74=2,AF295=3,CE295&lt;1),0,IF(AND('Data Entry'!$C$74=1,AF295=2.5,CD295&lt;1),0,IF(AND('Data Entry'!$C$74=1,AF295=3,CD295&lt;1),0,IF(DX295&gt;0.01,DX295,IF(ISERROR(AX295-AY295),"",ROUND(AX295-AY295,2)))))))))))))))</f>
        <v>0</v>
      </c>
      <c r="BR295" s="146">
        <f t="shared" si="347"/>
        <v>0</v>
      </c>
      <c r="BS295" s="475">
        <f t="shared" si="348"/>
        <v>0</v>
      </c>
      <c r="BT295" s="146" t="b">
        <f t="shared" si="349"/>
        <v>0</v>
      </c>
      <c r="BU295" s="463">
        <f>IF(ISNA(AT295),0,IF(AND('Data Entry'!$C$74=2,BC295=27),0,IF(AND('Data Entry'!$C$74=2,BC295=28),0,IF(AND(BC295=27,BT295=27,CM295&gt;0.1),CM295*0.15,IF(AND(BC295=28,BT295=28,CM295&gt;0.1),CM295*0.12,0)))))</f>
        <v>0</v>
      </c>
      <c r="BV295" s="463">
        <f t="shared" si="386"/>
        <v>0</v>
      </c>
      <c r="BW295" s="463">
        <f t="shared" si="350"/>
        <v>0</v>
      </c>
      <c r="BX295" s="463">
        <f t="shared" si="351"/>
        <v>0</v>
      </c>
      <c r="BY295" s="463">
        <f t="shared" si="352"/>
        <v>0</v>
      </c>
      <c r="BZ295" s="463">
        <f t="shared" si="353"/>
        <v>0</v>
      </c>
      <c r="CA295" s="57">
        <f t="shared" si="381"/>
        <v>0</v>
      </c>
      <c r="CB295" s="56">
        <f t="shared" si="354"/>
        <v>1</v>
      </c>
      <c r="CC295" s="756">
        <f>IF(EE295=0,0,IF(EF295=0,0,IF(EE295&gt;AA295,0,IF(AND(AZ295&gt;AW295,AW295&gt;0),0,IF(CU295=0,0,Summary!AC598)))))</f>
        <v>0</v>
      </c>
      <c r="CD295" s="756">
        <f>IF(EE295=0,0,IF(EF295=0,0,IF(EE295&gt;AA295,0,IF(AND(AZ295&gt;AW295,AW295&gt;0),0,IF(CU295=0,0,Summary!AD598)))))</f>
        <v>0</v>
      </c>
      <c r="CE295" s="756">
        <f>IF(EF295=0,0,IF(EE295&gt;AA295,0,IF(CC295=0,0,IF(AND(AZ295&gt;AW295,AW295&gt;0),0,IF(CU295=0,0,Summary!AE598)))))</f>
        <v>0</v>
      </c>
      <c r="CF295" s="475">
        <f t="shared" si="355"/>
        <v>0</v>
      </c>
      <c r="CG295" s="476">
        <f t="shared" si="323"/>
        <v>0</v>
      </c>
      <c r="CH295" s="487">
        <f t="shared" si="356"/>
        <v>0</v>
      </c>
      <c r="CI295" s="756">
        <f t="shared" si="357"/>
        <v>0</v>
      </c>
      <c r="CJ295" s="487">
        <f>IF(CT295&gt;0.4,0,IF(AND(AU295=2,CH295=0,CT295=0.5,ER295=100),35,IF(AND(AU295=3,BB295&gt;75,CH295=0,CT295=0.5,ER295=100),25,IF(CB295&gt;1,0,IF(EF295&gt;EE295,0,IF(AND(AF295&gt;1,CH295=100),0,IF(AND(AF295=1,AY295=0),0,IF(AND(EF295&lt;=EE295,AW295&gt;=AZ295,'Data Entry'!$C$74=1,AU295=2),VLOOKUP(W295,$DO$96:$DP$102,2,FALSE),IF(AND(EF295&lt;=EE295,AW295&gt;=AZ295,AU295=3,'Data Entry'!$C$74=1),VLOOKUP(W295,$DO$127:$DP$134,2,FALSE))))))))))</f>
        <v>0</v>
      </c>
      <c r="CK295" s="716">
        <f t="shared" si="358"/>
        <v>0</v>
      </c>
      <c r="CL295" s="57">
        <f t="shared" si="359"/>
        <v>0</v>
      </c>
      <c r="CM295" s="475">
        <f t="shared" si="385"/>
        <v>0</v>
      </c>
      <c r="CN295" s="660">
        <f>IF(CM295&lt;0.1,0,IF(ISNA(AT295),0,IF(CL295+BC295=1,0,IF(BV295&gt;0.01,0,IF(CL295&gt;0.01,0,IF(CF295=1,0,IF(BC295=0.5,0,IF(AND(CI295=1,AU295=3),0,IF(AND(CI295=5,CL295=0),0,IF(AND(R295=12,BR295=50),0,IF(CK295&gt;0.01,0,IF(AND(AJ295&gt;0.01,AU295=2,BC295=15),CM295*0.1,IF(AND(AJ295&gt;0.01,AU295=3,BC295=15),CM295*0.08,IF(AND(R295=12,BC295=3,AF295&lt;=0),0,IF(AND(BC295=15,BI295=0),0,IF(AND(BC295=15,BJ295=0),0,IF(AND(R295=20,CU295=0),0,IF($X$4=0,0,IF(AND(BC295=250,CL295=0),0,IF(AA295&lt;1,0,IF(AND(ISNUMBER(SEARCH("Area",T295)),AU295=3),0,IF(AND(AQ295&gt;0.01,AR295=0,BK295=0,BL295=0,BM295=0,BN295=0),0,IF(AND(AU295=3,CI295=7,CT295&gt;0.5),0,IF(AND(BC295=44,AU295=3,BY295=0),0,IF(AND(BC295=27,'Data Entry'!$C$74=2),0,IF(AND(BC295=28,'Data Entry'!$C$74=2),0,IF(AND(BY295+BZ295+CA295&gt;0.01,BV295=0,EQ295+ER295+ES295+ET295&lt;100),0,IF(AU295=3,CM295*0.08,IF(AU295=2,CM295*0.1,0)))))))))))))))))))))))))))))</f>
        <v>0</v>
      </c>
      <c r="CO295" s="660">
        <f t="shared" si="360"/>
        <v>0</v>
      </c>
      <c r="CP295" s="475" t="str">
        <f t="shared" si="361"/>
        <v/>
      </c>
      <c r="CQ295" s="161" t="str">
        <f>IF(AH295=0,0,IF(AU295=5,0,Summary!AC298))</f>
        <v/>
      </c>
      <c r="CR295" s="161" t="str">
        <f>IF(BF295=0.5,0,IF(AU295=5,0,Summary!AD298))</f>
        <v/>
      </c>
      <c r="CS295" s="161" t="str">
        <f>IF(AU295=5,0,Summary!AE298)</f>
        <v/>
      </c>
      <c r="CT295" s="161">
        <f t="shared" si="362"/>
        <v>0</v>
      </c>
      <c r="CU295" s="475" t="str">
        <f t="shared" si="363"/>
        <v/>
      </c>
      <c r="CV295" s="307">
        <f>IF('Data Entry'!$C$74=0,0,IF(AA295&lt;1,0,IF(ISERROR(CU295),0,IF(CF295=1,0,IF(AND(R295=12,BR295=50),0,IF(CL295+BO295+BV295+DC295=0,0,IF(BC295=37,0,IF(AND(BC295=40,AJ295=0),0,IF(AND(BC295=37,BO295&gt;0.01,BQ295&gt;0.01),ROUND(BQ295,0),IF(CM295&lt;0,0,ROUND(CM295,0)))))))))))</f>
        <v>0</v>
      </c>
      <c r="CW295" s="700">
        <f t="shared" si="364"/>
        <v>0</v>
      </c>
      <c r="CX295" s="477">
        <f>IF('Data Entry'!$C$74=0,0,IF(CV295&lt;0.01,0,IF(BF295=0.5,0,IF(CF295=1,0,IF(ISNUMBER(SEARCH("false",CL295)),0,IF(AZ295=500,0,CL295))))))</f>
        <v>0</v>
      </c>
      <c r="CY295" s="147" t="e">
        <f t="shared" si="365"/>
        <v>#VALUE!</v>
      </c>
      <c r="CZ295" s="147" t="b">
        <f>IF(CN295+CL295=0,FALSE,IF(AH295=0,0,IF(AND('Data Entry'!$C$74=1,CR295&gt;=1),TRUE,IF(AND('Data Entry'!$C$74=2,CS295&gt;=1),TRUE,FALSE))))</f>
        <v>0</v>
      </c>
      <c r="DA295" s="1751">
        <f>IF('Data Entry'!$C$74=0,0,IFERROR(ROUND(IF(T295="","",IF($X$4=0,0,IF(CF295=1,0,IF(BQ295+CV295=0,0,IF(CF295=1,0,IF(CY295&gt;0.01,CY295,IF(CL295&gt;0.01,CL295,IF(CY295&gt;0.01,CY295,IF(BC295=37,BO295,IF(CZ295=FALSE,0,IF(CZ295=TRUE,DC295+DF295,0))))))))))),2),""))</f>
        <v>0</v>
      </c>
      <c r="DB295" s="1752"/>
      <c r="DC295" s="474">
        <f>IF(CN295&lt;0.01,0,IF(AND(BR295=3,CN295&gt;0.01,CT295&gt;0.6,ER295+ES295+ET295&lt;100),0,IF(AND('Data Entry'!$C$74=1,CN295&gt;0.01,CR295&gt;0.99),MIN(CN295:CO295),IF(AND('Data Entry'!$C$74=2,CN295&gt;0.01,CS295&gt;0.99),MIN(CN295:CO295),0))))</f>
        <v>0</v>
      </c>
      <c r="DD295" s="478">
        <f>IF(CF295=1,"Selection does not match",IF(T295=0,0,IF(AND('Data Entry'!$C$74=0,CP295&gt;1),"Select Oregon or Idaho on Data Entry Tab",IF(AND(AU295=1,AA295&gt;0.9),"Missing Interior or Exterior Selection",IF($X$4=0,"Enter Total Project Cost",IF(AQ295&lt;AR295,"Insufficient kWh savings – no incentive",IF(AND(SUM(CL295+CK295+BV295)&gt;0.01,'Data Entry'!$C$74=2,CJ295&gt;1,BO295=0),"Submit Control as Non-Standard",IF(AND('Data Entry'!$C$74=2,BR295=37,CJ295&gt;1,BO295=0),"Submit Control as Non-Standard",IF(SUM(CL295+CK295+BV295)&gt;0.01,"Standard Incentive",IF(AND('Data Entry'!$C$74=2,CP295=7,CN295=0),"Submit as Non-Standard",IF(DC295&gt;0.9,"Non-Standard Incentive",IF(AND(BY295+BZ295+CA295&gt;0.01,BV295=0,EQ295=0,ER295=0,ES295=0,ET295=0),"Scroll Right &amp; Select Control Strategies",IF(AND(CN295&gt;0.01,CO295=0),"Enter Unit Installed Cost",IF(ISNUMBER(SEARCH("Lighting Controls Only",F295)),"Lighting Controls Only",IF(CL295+DC295=0,"Does not meet incentive criteria",0)))))))))))))))</f>
        <v>0</v>
      </c>
      <c r="DE295" s="337">
        <f t="shared" si="366"/>
        <v>0</v>
      </c>
      <c r="DF295" s="609">
        <f t="shared" si="367"/>
        <v>0</v>
      </c>
      <c r="DG295" s="336" t="str">
        <f t="shared" si="368"/>
        <v/>
      </c>
      <c r="DH295" s="338">
        <f t="shared" si="369"/>
        <v>1</v>
      </c>
      <c r="DI295" s="336" t="e">
        <f t="shared" si="324"/>
        <v>#VALUE!</v>
      </c>
      <c r="DJ295" s="338">
        <f t="shared" si="325"/>
        <v>0</v>
      </c>
      <c r="DO295" s="81"/>
      <c r="DP295" s="81"/>
      <c r="DQ295" s="377"/>
      <c r="DR295" s="5"/>
      <c r="DS295" s="1195">
        <f t="shared" si="370"/>
        <v>0</v>
      </c>
      <c r="DT295" s="344" t="b">
        <f t="shared" si="371"/>
        <v>1</v>
      </c>
      <c r="DU295" s="1314" t="str">
        <f t="array" ref="DU295">IF(OR(COUNTIF(F295,"*"&amp;$DK$9:$DK$178&amp;"*")), "Yes", "")</f>
        <v/>
      </c>
      <c r="DV295" s="1314">
        <f t="shared" si="372"/>
        <v>0</v>
      </c>
      <c r="DW295" s="1480">
        <f t="shared" si="373"/>
        <v>0</v>
      </c>
      <c r="DX295" s="1498">
        <f t="shared" si="382"/>
        <v>0</v>
      </c>
      <c r="DY295" s="1484">
        <f t="shared" si="374"/>
        <v>0</v>
      </c>
      <c r="DZ295" s="331"/>
      <c r="EA295" s="392"/>
      <c r="EB295" s="1499" t="s">
        <v>513</v>
      </c>
      <c r="EC295" s="727" t="s">
        <v>1569</v>
      </c>
      <c r="ED295" s="1100">
        <v>0.5</v>
      </c>
      <c r="EE295" s="1215"/>
      <c r="EF295" s="1215"/>
      <c r="EG295" s="1184" t="str">
        <f t="shared" si="375"/>
        <v/>
      </c>
      <c r="EJ295" s="1185">
        <f t="shared" si="326"/>
        <v>0</v>
      </c>
      <c r="EK295" s="1211"/>
      <c r="EL295" s="1180">
        <f t="shared" si="327"/>
        <v>0</v>
      </c>
      <c r="EM295" s="206"/>
      <c r="EN295" s="1038"/>
      <c r="EO295" s="1038"/>
      <c r="EP295" s="1038"/>
      <c r="EQ295" s="1038">
        <f t="shared" si="376"/>
        <v>0</v>
      </c>
      <c r="ER295" s="1041">
        <f t="shared" si="377"/>
        <v>0</v>
      </c>
      <c r="ES295" s="1042">
        <f t="shared" si="378"/>
        <v>0</v>
      </c>
      <c r="ET295" s="1042">
        <f t="shared" si="383"/>
        <v>0</v>
      </c>
      <c r="EU295" s="1021">
        <f t="shared" si="384"/>
        <v>0</v>
      </c>
      <c r="EV295" s="368"/>
      <c r="EW295" s="368"/>
      <c r="EX295" s="369"/>
      <c r="EY295" s="370"/>
      <c r="EZ295" s="370"/>
      <c r="FA295" s="371"/>
      <c r="FB295" s="372"/>
    </row>
    <row r="296" spans="1:158" ht="34.5" customHeight="1">
      <c r="A296" s="82">
        <v>288</v>
      </c>
      <c r="B296" s="1806"/>
      <c r="C296" s="1807"/>
      <c r="D296" s="1807"/>
      <c r="E296" s="1808"/>
      <c r="F296" s="1809"/>
      <c r="G296" s="1810"/>
      <c r="H296" s="1810"/>
      <c r="I296" s="1811"/>
      <c r="J296" s="1301"/>
      <c r="K296" s="1814"/>
      <c r="L296" s="1814"/>
      <c r="M296" s="1017"/>
      <c r="N296" s="1584"/>
      <c r="O296" s="208" t="str">
        <f t="shared" si="314"/>
        <v/>
      </c>
      <c r="P296" s="785"/>
      <c r="Q296" s="39" t="str">
        <f t="shared" si="315"/>
        <v/>
      </c>
      <c r="R296" s="39">
        <f t="shared" si="328"/>
        <v>0</v>
      </c>
      <c r="S296" s="234">
        <f t="shared" si="329"/>
        <v>0</v>
      </c>
      <c r="T296" s="1815"/>
      <c r="U296" s="1815"/>
      <c r="V296" s="1815"/>
      <c r="W296" s="1121"/>
      <c r="X296" s="1812"/>
      <c r="Y296" s="1813"/>
      <c r="Z296" s="703"/>
      <c r="AA296" s="1280"/>
      <c r="AB296" s="1141"/>
      <c r="AC296" s="1103" t="str">
        <f>IF(T296="","",VLOOKUP(Z296,Lists!$A$60:$B$111,2,FALSE))</f>
        <v/>
      </c>
      <c r="AD296" s="130" t="str">
        <f t="shared" si="330"/>
        <v/>
      </c>
      <c r="AE296" s="130" t="e">
        <f t="shared" si="331"/>
        <v>#VALUE!</v>
      </c>
      <c r="AF296" s="130">
        <f t="shared" si="332"/>
        <v>1</v>
      </c>
      <c r="AG296" s="234">
        <f t="shared" si="316"/>
        <v>0</v>
      </c>
      <c r="AH296" s="1753" t="str">
        <f>IF(T296="","",(IF(ISNUMBER(SEARCH("exit",T296)),8760,IF(AND(M296="Dusk to Dawn",'Proposed Lighting'!AU296=3),4059,IF(AND(AU296=3,M296="1"),0,IF(AND(AU296=3,M296="1-C"),0,IF(AND(AU296=3,M296="2"),0,IF(AND(AU296=3,M296="2-C"),0,IF(AND(AU296=3,M296="3"),0,IF(AND(AU296=3,M296="3-C"),0,IF(AND(AU296=2,M296="Dusk to Dawn"),0,IF(AND(AU296=2,M296="Dusk to Dawn-C"),0,IF(AND(AU296=2,M296="Dusk to Dawn"),0,IF(AND(AU296=2,M296="E"),0,IF(AND(AU296=2,M296="E-C"),0,EG296)))))))))))))))</f>
        <v/>
      </c>
      <c r="AI296" s="1754"/>
      <c r="AJ296" s="1136"/>
      <c r="AK296" s="1136"/>
      <c r="AL296" s="1748">
        <f t="shared" si="333"/>
        <v>0</v>
      </c>
      <c r="AM296" s="1749"/>
      <c r="AN296" s="1750"/>
      <c r="AO296" s="476">
        <f t="shared" si="317"/>
        <v>0</v>
      </c>
      <c r="AP296" s="476">
        <f t="shared" si="334"/>
        <v>0</v>
      </c>
      <c r="AQ296" s="475">
        <f t="shared" si="318"/>
        <v>0</v>
      </c>
      <c r="AR296" s="475">
        <f t="shared" si="335"/>
        <v>0</v>
      </c>
      <c r="AS296" s="743" t="str">
        <f t="shared" si="387"/>
        <v/>
      </c>
      <c r="AT296" s="736" t="str">
        <f t="shared" si="336"/>
        <v/>
      </c>
      <c r="AU296" s="56">
        <f t="shared" si="337"/>
        <v>1</v>
      </c>
      <c r="AV296" s="476">
        <f t="shared" si="338"/>
        <v>0</v>
      </c>
      <c r="AW296" s="56">
        <f t="shared" si="339"/>
        <v>0</v>
      </c>
      <c r="AX296" s="475">
        <f t="shared" si="319"/>
        <v>0</v>
      </c>
      <c r="AY296" s="1169">
        <f t="shared" si="340"/>
        <v>0</v>
      </c>
      <c r="AZ296" s="1150">
        <f t="shared" si="379"/>
        <v>0</v>
      </c>
      <c r="BA296" s="56">
        <f t="shared" si="320"/>
        <v>0</v>
      </c>
      <c r="BB296" s="420">
        <f t="shared" si="321"/>
        <v>0</v>
      </c>
      <c r="BC296" s="58" t="str">
        <f t="shared" si="322"/>
        <v/>
      </c>
      <c r="BD296" s="660">
        <f t="shared" si="380"/>
        <v>0</v>
      </c>
      <c r="BE296" s="57" t="e">
        <f t="array" ref="BE296">INDEX($EB$11:$ED$1022,MATCH(F296&amp;T296,$EB$11:$EB$1007&amp;$EC$11:$EC$1007,0),3)</f>
        <v>#N/A</v>
      </c>
      <c r="BF296" s="463">
        <f t="shared" si="311"/>
        <v>0</v>
      </c>
      <c r="BG296" s="1445" t="e">
        <f t="array" ref="BG296">INDEX($DO$112:$DQ$123,MATCH(T296&amp;W296,$DO$114:$DO$125&amp;$DP$112:$DP$123,0),3)</f>
        <v>#N/A</v>
      </c>
      <c r="BH296" s="1446">
        <f t="shared" si="341"/>
        <v>0</v>
      </c>
      <c r="BI296" s="465">
        <f t="shared" si="342"/>
        <v>0</v>
      </c>
      <c r="BJ296" s="465">
        <f t="shared" si="343"/>
        <v>0</v>
      </c>
      <c r="BK296" s="466">
        <f t="shared" si="312"/>
        <v>0</v>
      </c>
      <c r="BL296" s="466">
        <f t="shared" si="313"/>
        <v>0</v>
      </c>
      <c r="BM296" s="466">
        <f t="shared" si="344"/>
        <v>0</v>
      </c>
      <c r="BN296" s="466">
        <f t="shared" si="345"/>
        <v>0</v>
      </c>
      <c r="BO296" s="463">
        <f>IF('Data Entry'!$C$74=0,0,IF(ISNA(CJ296),0,IF(AX296=0,0,IF(AND('Data Entry'!$C$74=2,AF296&gt;2,CE296&lt;1),0,IF(AND('Data Entry'!$C$74=2,AF296&gt;1,AU296=2,CJ296&gt;1),0,IF(AND(AF296=5,CT296=0.5,AU296=2,ER296&lt;100),0,IF(AND(AF296=5,CT296=0.5,AU296=3,ER296&lt;100),0,IF(AND('Data Entry'!$C$74=2,AF296=2,AU296=2,AK296&gt;0.01,CB296=2,CE296&lt;1),0,IF(AND('Data Entry'!$C$74=2,AF296=3,AU296=3,AK296&gt;0.01,CB296=3,CE296&lt;1),0,IF(AND('Data Entry'!$C$74=2,AF296=3,AU296=3,AK296&gt;0.01,CB296=3,CE296&gt;0.99),BQ296*0.08,IF(AND('Data Entry'!$C$74=2,AF296=2,AU296=2,AK296&gt;0.01,CB296=2,CE296&gt;0.99),BQ296*0.1,IF(AND(AU296=2,AK296&gt;0.01,CB296=2,CD296&gt;1),BQ296*0.1,IF(AND(AU296=3,AK296&gt;0.01,CB296=3,CD296&gt;1),BQ296*0.08,CJ296*EF296)))))))))))))</f>
        <v>0</v>
      </c>
      <c r="BP296" s="475">
        <f t="shared" si="346"/>
        <v>0</v>
      </c>
      <c r="BQ296" s="1431">
        <f>IF(AU296=1,0,IF(CH296=100,0,IF(AND(AF296=3,AU296=2),0,IF(AND(BH296=0,CT296&gt;0.4),0,IF(AND('Data Entry'!$C$74=2,AF296=1.5),0,IF(AND('Data Entry'!$C$74=2,AF296=1.6),0,IF(AND('Data Entry'!$C$74=2,AF296=4),0,IF(AND('Data Entry'!$C$74=2,AF296=5),0,IF(AND('Data Entry'!$C$74=2,AF296=2.5,CE296&lt;1),0,IF(AND('Data Entry'!$C$74=2,AF296=3,CE296&lt;1),0,IF(AND('Data Entry'!$C$74=1,AF296=2.5,CD296&lt;1),0,IF(AND('Data Entry'!$C$74=1,AF296=3,CD296&lt;1),0,IF(DX296&gt;0.01,DX296,IF(ISERROR(AX296-AY296),"",ROUND(AX296-AY296,2)))))))))))))))</f>
        <v>0</v>
      </c>
      <c r="BR296" s="146">
        <f t="shared" si="347"/>
        <v>0</v>
      </c>
      <c r="BS296" s="475">
        <f t="shared" si="348"/>
        <v>0</v>
      </c>
      <c r="BT296" s="146" t="b">
        <f t="shared" si="349"/>
        <v>0</v>
      </c>
      <c r="BU296" s="463">
        <f>IF(ISNA(AT296),0,IF(AND('Data Entry'!$C$74=2,BC296=27),0,IF(AND('Data Entry'!$C$74=2,BC296=28),0,IF(AND(BC296=27,BT296=27,CM296&gt;0.1),CM296*0.15,IF(AND(BC296=28,BT296=28,CM296&gt;0.1),CM296*0.12,0)))))</f>
        <v>0</v>
      </c>
      <c r="BV296" s="463">
        <f t="shared" si="386"/>
        <v>0</v>
      </c>
      <c r="BW296" s="463">
        <f t="shared" si="350"/>
        <v>0</v>
      </c>
      <c r="BX296" s="463">
        <f t="shared" si="351"/>
        <v>0</v>
      </c>
      <c r="BY296" s="463">
        <f t="shared" si="352"/>
        <v>0</v>
      </c>
      <c r="BZ296" s="463">
        <f t="shared" si="353"/>
        <v>0</v>
      </c>
      <c r="CA296" s="57">
        <f t="shared" si="381"/>
        <v>0</v>
      </c>
      <c r="CB296" s="56">
        <f t="shared" si="354"/>
        <v>1</v>
      </c>
      <c r="CC296" s="756">
        <f>IF(EE296=0,0,IF(EF296=0,0,IF(EE296&gt;AA296,0,IF(AND(AZ296&gt;AW296,AW296&gt;0),0,IF(CU296=0,0,Summary!AC599)))))</f>
        <v>0</v>
      </c>
      <c r="CD296" s="756">
        <f>IF(EE296=0,0,IF(EF296=0,0,IF(EE296&gt;AA296,0,IF(AND(AZ296&gt;AW296,AW296&gt;0),0,IF(CU296=0,0,Summary!AD599)))))</f>
        <v>0</v>
      </c>
      <c r="CE296" s="756">
        <f>IF(EF296=0,0,IF(EE296&gt;AA296,0,IF(CC296=0,0,IF(AND(AZ296&gt;AW296,AW296&gt;0),0,IF(CU296=0,0,Summary!AE599)))))</f>
        <v>0</v>
      </c>
      <c r="CF296" s="475">
        <f t="shared" si="355"/>
        <v>0</v>
      </c>
      <c r="CG296" s="476">
        <f t="shared" si="323"/>
        <v>0</v>
      </c>
      <c r="CH296" s="487">
        <f t="shared" si="356"/>
        <v>0</v>
      </c>
      <c r="CI296" s="756">
        <f t="shared" si="357"/>
        <v>0</v>
      </c>
      <c r="CJ296" s="487">
        <f>IF(CT296&gt;0.4,0,IF(AND(AU296=2,CH296=0,CT296=0.5,ER296=100),35,IF(AND(AU296=3,BB296&gt;75,CH296=0,CT296=0.5,ER296=100),25,IF(CB296&gt;1,0,IF(EF296&gt;EE296,0,IF(AND(AF296&gt;1,CH296=100),0,IF(AND(AF296=1,AY296=0),0,IF(AND(EF296&lt;=EE296,AW296&gt;=AZ296,'Data Entry'!$C$74=1,AU296=2),VLOOKUP(W296,$DO$96:$DP$102,2,FALSE),IF(AND(EF296&lt;=EE296,AW296&gt;=AZ296,AU296=3,'Data Entry'!$C$74=1),VLOOKUP(W296,$DO$127:$DP$134,2,FALSE))))))))))</f>
        <v>0</v>
      </c>
      <c r="CK296" s="716">
        <f t="shared" si="358"/>
        <v>0</v>
      </c>
      <c r="CL296" s="57">
        <f t="shared" si="359"/>
        <v>0</v>
      </c>
      <c r="CM296" s="475">
        <f t="shared" si="385"/>
        <v>0</v>
      </c>
      <c r="CN296" s="660">
        <f>IF(CM296&lt;0.1,0,IF(ISNA(AT296),0,IF(CL296+BC296=1,0,IF(BV296&gt;0.01,0,IF(CL296&gt;0.01,0,IF(CF296=1,0,IF(BC296=0.5,0,IF(AND(CI296=1,AU296=3),0,IF(AND(CI296=5,CL296=0),0,IF(AND(R296=12,BR296=50),0,IF(CK296&gt;0.01,0,IF(AND(AJ296&gt;0.01,AU296=2,BC296=15),CM296*0.1,IF(AND(AJ296&gt;0.01,AU296=3,BC296=15),CM296*0.08,IF(AND(R296=12,BC296=3,AF296&lt;=0),0,IF(AND(BC296=15,BI296=0),0,IF(AND(BC296=15,BJ296=0),0,IF(AND(R296=20,CU296=0),0,IF($X$4=0,0,IF(AND(BC296=250,CL296=0),0,IF(AA296&lt;1,0,IF(AND(ISNUMBER(SEARCH("Area",T296)),AU296=3),0,IF(AND(AQ296&gt;0.01,AR296=0,BK296=0,BL296=0,BM296=0,BN296=0),0,IF(AND(AU296=3,CI296=7,CT296&gt;0.5),0,IF(AND(BC296=44,AU296=3,BY296=0),0,IF(AND(BC296=27,'Data Entry'!$C$74=2),0,IF(AND(BC296=28,'Data Entry'!$C$74=2),0,IF(AND(BY296+BZ296+CA296&gt;0.01,BV296=0,EQ296+ER296+ES296+ET296&lt;100),0,IF(AU296=3,CM296*0.08,IF(AU296=2,CM296*0.1,0)))))))))))))))))))))))))))))</f>
        <v>0</v>
      </c>
      <c r="CO296" s="660">
        <f t="shared" si="360"/>
        <v>0</v>
      </c>
      <c r="CP296" s="475" t="str">
        <f t="shared" si="361"/>
        <v/>
      </c>
      <c r="CQ296" s="161" t="str">
        <f>IF(AH296=0,0,IF(AU296=5,0,Summary!AC299))</f>
        <v/>
      </c>
      <c r="CR296" s="161" t="str">
        <f>IF(BF296=0.5,0,IF(AU296=5,0,Summary!AD299))</f>
        <v/>
      </c>
      <c r="CS296" s="161" t="str">
        <f>IF(AU296=5,0,Summary!AE299)</f>
        <v/>
      </c>
      <c r="CT296" s="161">
        <f t="shared" si="362"/>
        <v>0</v>
      </c>
      <c r="CU296" s="475" t="str">
        <f t="shared" si="363"/>
        <v/>
      </c>
      <c r="CV296" s="307">
        <f>IF('Data Entry'!$C$74=0,0,IF(AA296&lt;1,0,IF(ISERROR(CU296),0,IF(CF296=1,0,IF(AND(R296=12,BR296=50),0,IF(CL296+BO296+BV296+DC296=0,0,IF(BC296=37,0,IF(AND(BC296=40,AJ296=0),0,IF(AND(BC296=37,BO296&gt;0.01,BQ296&gt;0.01),ROUND(BQ296,0),IF(CM296&lt;0,0,ROUND(CM296,0)))))))))))</f>
        <v>0</v>
      </c>
      <c r="CW296" s="700">
        <f t="shared" si="364"/>
        <v>0</v>
      </c>
      <c r="CX296" s="477">
        <f>IF('Data Entry'!$C$74=0,0,IF(CV296&lt;0.01,0,IF(BF296=0.5,0,IF(CF296=1,0,IF(ISNUMBER(SEARCH("false",CL296)),0,IF(AZ296=500,0,CL296))))))</f>
        <v>0</v>
      </c>
      <c r="CY296" s="147" t="e">
        <f t="shared" si="365"/>
        <v>#VALUE!</v>
      </c>
      <c r="CZ296" s="147" t="b">
        <f>IF(CN296+CL296=0,FALSE,IF(AH296=0,0,IF(AND('Data Entry'!$C$74=1,CR296&gt;=1),TRUE,IF(AND('Data Entry'!$C$74=2,CS296&gt;=1),TRUE,FALSE))))</f>
        <v>0</v>
      </c>
      <c r="DA296" s="1751">
        <f>IF('Data Entry'!$C$74=0,0,IFERROR(ROUND(IF(T296="","",IF($X$4=0,0,IF(CF296=1,0,IF(BQ296+CV296=0,0,IF(CF296=1,0,IF(CY296&gt;0.01,CY296,IF(CL296&gt;0.01,CL296,IF(CY296&gt;0.01,CY296,IF(BC296=37,BO296,IF(CZ296=FALSE,0,IF(CZ296=TRUE,DC296+DF296,0))))))))))),2),""))</f>
        <v>0</v>
      </c>
      <c r="DB296" s="1752"/>
      <c r="DC296" s="474">
        <f>IF(CN296&lt;0.01,0,IF(AND(BR296=3,CN296&gt;0.01,CT296&gt;0.6,ER296+ES296+ET296&lt;100),0,IF(AND('Data Entry'!$C$74=1,CN296&gt;0.01,CR296&gt;0.99),MIN(CN296:CO296),IF(AND('Data Entry'!$C$74=2,CN296&gt;0.01,CS296&gt;0.99),MIN(CN296:CO296),0))))</f>
        <v>0</v>
      </c>
      <c r="DD296" s="478">
        <f>IF(CF296=1,"Selection does not match",IF(T296=0,0,IF(AND('Data Entry'!$C$74=0,CP296&gt;1),"Select Oregon or Idaho on Data Entry Tab",IF(AND(AU296=1,AA296&gt;0.9),"Missing Interior or Exterior Selection",IF($X$4=0,"Enter Total Project Cost",IF(AQ296&lt;AR296,"Insufficient kWh savings – no incentive",IF(AND(SUM(CL296+CK296+BV296)&gt;0.01,'Data Entry'!$C$74=2,CJ296&gt;1,BO296=0),"Submit Control as Non-Standard",IF(AND('Data Entry'!$C$74=2,BR296=37,CJ296&gt;1,BO296=0),"Submit Control as Non-Standard",IF(SUM(CL296+CK296+BV296)&gt;0.01,"Standard Incentive",IF(AND('Data Entry'!$C$74=2,CP296=7,CN296=0),"Submit as Non-Standard",IF(DC296&gt;0.9,"Non-Standard Incentive",IF(AND(BY296+BZ296+CA296&gt;0.01,BV296=0,EQ296=0,ER296=0,ES296=0,ET296=0),"Scroll Right &amp; Select Control Strategies",IF(AND(CN296&gt;0.01,CO296=0),"Enter Unit Installed Cost",IF(ISNUMBER(SEARCH("Lighting Controls Only",F296)),"Lighting Controls Only",IF(CL296+DC296=0,"Does not meet incentive criteria",0)))))))))))))))</f>
        <v>0</v>
      </c>
      <c r="DE296" s="337">
        <f t="shared" si="366"/>
        <v>0</v>
      </c>
      <c r="DF296" s="609">
        <f t="shared" si="367"/>
        <v>0</v>
      </c>
      <c r="DG296" s="336" t="str">
        <f t="shared" si="368"/>
        <v/>
      </c>
      <c r="DH296" s="338">
        <f t="shared" si="369"/>
        <v>1</v>
      </c>
      <c r="DI296" s="336" t="e">
        <f t="shared" si="324"/>
        <v>#VALUE!</v>
      </c>
      <c r="DJ296" s="338">
        <f t="shared" si="325"/>
        <v>0</v>
      </c>
      <c r="DO296" s="81"/>
      <c r="DP296" s="81"/>
      <c r="DQ296" s="377"/>
      <c r="DR296" s="5"/>
      <c r="DS296" s="1195">
        <f t="shared" si="370"/>
        <v>0</v>
      </c>
      <c r="DT296" s="344" t="b">
        <f t="shared" si="371"/>
        <v>1</v>
      </c>
      <c r="DU296" s="1314" t="str">
        <f t="array" ref="DU296">IF(OR(COUNTIF(F296,"*"&amp;$DK$9:$DK$178&amp;"*")), "Yes", "")</f>
        <v/>
      </c>
      <c r="DV296" s="1314">
        <f t="shared" si="372"/>
        <v>0</v>
      </c>
      <c r="DW296" s="1480">
        <f t="shared" si="373"/>
        <v>0</v>
      </c>
      <c r="DX296" s="1498">
        <f t="shared" si="382"/>
        <v>0</v>
      </c>
      <c r="DY296" s="1484">
        <f t="shared" si="374"/>
        <v>0</v>
      </c>
      <c r="DZ296" s="331"/>
      <c r="EA296" s="392"/>
      <c r="EB296" s="1499" t="s">
        <v>461</v>
      </c>
      <c r="EC296" s="727" t="s">
        <v>1569</v>
      </c>
      <c r="ED296" s="1100">
        <v>0.5</v>
      </c>
      <c r="EE296" s="1215"/>
      <c r="EF296" s="1215"/>
      <c r="EG296" s="1184" t="str">
        <f t="shared" si="375"/>
        <v/>
      </c>
      <c r="EJ296" s="1185">
        <f t="shared" si="326"/>
        <v>0</v>
      </c>
      <c r="EK296" s="1211"/>
      <c r="EL296" s="1180">
        <f t="shared" si="327"/>
        <v>0</v>
      </c>
      <c r="EM296" s="206"/>
      <c r="EN296" s="1038"/>
      <c r="EO296" s="1038"/>
      <c r="EP296" s="1038"/>
      <c r="EQ296" s="1038">
        <f t="shared" si="376"/>
        <v>0</v>
      </c>
      <c r="ER296" s="1041">
        <f t="shared" si="377"/>
        <v>0</v>
      </c>
      <c r="ES296" s="1042">
        <f t="shared" si="378"/>
        <v>0</v>
      </c>
      <c r="ET296" s="1042">
        <f t="shared" si="383"/>
        <v>0</v>
      </c>
      <c r="EU296" s="1021">
        <f t="shared" si="384"/>
        <v>0</v>
      </c>
      <c r="EV296" s="368"/>
      <c r="EW296" s="368"/>
      <c r="EX296" s="369"/>
      <c r="EY296" s="370"/>
      <c r="EZ296" s="370"/>
      <c r="FA296" s="371"/>
      <c r="FB296" s="372"/>
    </row>
    <row r="297" spans="1:158" ht="34.5" customHeight="1">
      <c r="A297" s="82">
        <v>289</v>
      </c>
      <c r="B297" s="1806"/>
      <c r="C297" s="1807"/>
      <c r="D297" s="1807"/>
      <c r="E297" s="1808"/>
      <c r="F297" s="1809"/>
      <c r="G297" s="1810"/>
      <c r="H297" s="1810"/>
      <c r="I297" s="1811"/>
      <c r="J297" s="1301"/>
      <c r="K297" s="1814"/>
      <c r="L297" s="1814"/>
      <c r="M297" s="1017"/>
      <c r="N297" s="1584"/>
      <c r="O297" s="208" t="str">
        <f t="shared" si="314"/>
        <v/>
      </c>
      <c r="P297" s="785"/>
      <c r="Q297" s="39" t="str">
        <f t="shared" si="315"/>
        <v/>
      </c>
      <c r="R297" s="39">
        <f t="shared" si="328"/>
        <v>0</v>
      </c>
      <c r="S297" s="234">
        <f t="shared" si="329"/>
        <v>0</v>
      </c>
      <c r="T297" s="1815"/>
      <c r="U297" s="1815"/>
      <c r="V297" s="1815"/>
      <c r="W297" s="1121"/>
      <c r="X297" s="1812"/>
      <c r="Y297" s="1813"/>
      <c r="Z297" s="703"/>
      <c r="AA297" s="1280"/>
      <c r="AB297" s="1141"/>
      <c r="AC297" s="1103" t="str">
        <f>IF(T297="","",VLOOKUP(Z297,Lists!$A$60:$B$111,2,FALSE))</f>
        <v/>
      </c>
      <c r="AD297" s="130" t="str">
        <f t="shared" si="330"/>
        <v/>
      </c>
      <c r="AE297" s="130" t="e">
        <f t="shared" si="331"/>
        <v>#VALUE!</v>
      </c>
      <c r="AF297" s="130">
        <f t="shared" si="332"/>
        <v>1</v>
      </c>
      <c r="AG297" s="234">
        <f t="shared" si="316"/>
        <v>0</v>
      </c>
      <c r="AH297" s="1753" t="str">
        <f>IF(T297="","",(IF(ISNUMBER(SEARCH("exit",T297)),8760,IF(AND(M297="Dusk to Dawn",'Proposed Lighting'!AU297=3),4059,IF(AND(AU297=3,M297="1"),0,IF(AND(AU297=3,M297="1-C"),0,IF(AND(AU297=3,M297="2"),0,IF(AND(AU297=3,M297="2-C"),0,IF(AND(AU297=3,M297="3"),0,IF(AND(AU297=3,M297="3-C"),0,IF(AND(AU297=2,M297="Dusk to Dawn"),0,IF(AND(AU297=2,M297="Dusk to Dawn-C"),0,IF(AND(AU297=2,M297="Dusk to Dawn"),0,IF(AND(AU297=2,M297="E"),0,IF(AND(AU297=2,M297="E-C"),0,EG297)))))))))))))))</f>
        <v/>
      </c>
      <c r="AI297" s="1754"/>
      <c r="AJ297" s="1136"/>
      <c r="AK297" s="1136"/>
      <c r="AL297" s="1748">
        <f t="shared" si="333"/>
        <v>0</v>
      </c>
      <c r="AM297" s="1749"/>
      <c r="AN297" s="1750"/>
      <c r="AO297" s="476">
        <f t="shared" si="317"/>
        <v>0</v>
      </c>
      <c r="AP297" s="476">
        <f t="shared" si="334"/>
        <v>0</v>
      </c>
      <c r="AQ297" s="475">
        <f t="shared" si="318"/>
        <v>0</v>
      </c>
      <c r="AR297" s="475">
        <f t="shared" si="335"/>
        <v>0</v>
      </c>
      <c r="AS297" s="743" t="str">
        <f t="shared" si="387"/>
        <v/>
      </c>
      <c r="AT297" s="736" t="str">
        <f t="shared" si="336"/>
        <v/>
      </c>
      <c r="AU297" s="56">
        <f t="shared" si="337"/>
        <v>1</v>
      </c>
      <c r="AV297" s="476">
        <f t="shared" si="338"/>
        <v>0</v>
      </c>
      <c r="AW297" s="56">
        <f t="shared" si="339"/>
        <v>0</v>
      </c>
      <c r="AX297" s="475">
        <f t="shared" si="319"/>
        <v>0</v>
      </c>
      <c r="AY297" s="1169">
        <f t="shared" si="340"/>
        <v>0</v>
      </c>
      <c r="AZ297" s="1150">
        <f t="shared" si="379"/>
        <v>0</v>
      </c>
      <c r="BA297" s="56">
        <f t="shared" si="320"/>
        <v>0</v>
      </c>
      <c r="BB297" s="420">
        <f t="shared" si="321"/>
        <v>0</v>
      </c>
      <c r="BC297" s="58" t="str">
        <f t="shared" si="322"/>
        <v/>
      </c>
      <c r="BD297" s="660">
        <f t="shared" si="380"/>
        <v>0</v>
      </c>
      <c r="BE297" s="57" t="e">
        <f t="array" ref="BE297">INDEX($EB$11:$ED$1022,MATCH(F297&amp;T297,$EB$11:$EB$1007&amp;$EC$11:$EC$1007,0),3)</f>
        <v>#N/A</v>
      </c>
      <c r="BF297" s="463">
        <f t="shared" si="311"/>
        <v>0</v>
      </c>
      <c r="BG297" s="1445" t="e">
        <f t="array" ref="BG297">INDEX($DO$112:$DQ$123,MATCH(T297&amp;W297,$DO$114:$DO$125&amp;$DP$112:$DP$123,0),3)</f>
        <v>#N/A</v>
      </c>
      <c r="BH297" s="1446">
        <f t="shared" si="341"/>
        <v>0</v>
      </c>
      <c r="BI297" s="465">
        <f t="shared" si="342"/>
        <v>0</v>
      </c>
      <c r="BJ297" s="465">
        <f t="shared" si="343"/>
        <v>0</v>
      </c>
      <c r="BK297" s="466">
        <f t="shared" si="312"/>
        <v>0</v>
      </c>
      <c r="BL297" s="466">
        <f t="shared" si="313"/>
        <v>0</v>
      </c>
      <c r="BM297" s="466">
        <f t="shared" si="344"/>
        <v>0</v>
      </c>
      <c r="BN297" s="466">
        <f t="shared" si="345"/>
        <v>0</v>
      </c>
      <c r="BO297" s="463">
        <f>IF('Data Entry'!$C$74=0,0,IF(ISNA(CJ297),0,IF(AX297=0,0,IF(AND('Data Entry'!$C$74=2,AF297&gt;2,CE297&lt;1),0,IF(AND('Data Entry'!$C$74=2,AF297&gt;1,AU297=2,CJ297&gt;1),0,IF(AND(AF297=5,CT297=0.5,AU297=2,ER297&lt;100),0,IF(AND(AF297=5,CT297=0.5,AU297=3,ER297&lt;100),0,IF(AND('Data Entry'!$C$74=2,AF297=2,AU297=2,AK297&gt;0.01,CB297=2,CE297&lt;1),0,IF(AND('Data Entry'!$C$74=2,AF297=3,AU297=3,AK297&gt;0.01,CB297=3,CE297&lt;1),0,IF(AND('Data Entry'!$C$74=2,AF297=3,AU297=3,AK297&gt;0.01,CB297=3,CE297&gt;0.99),BQ297*0.08,IF(AND('Data Entry'!$C$74=2,AF297=2,AU297=2,AK297&gt;0.01,CB297=2,CE297&gt;0.99),BQ297*0.1,IF(AND(AU297=2,AK297&gt;0.01,CB297=2,CD297&gt;1),BQ297*0.1,IF(AND(AU297=3,AK297&gt;0.01,CB297=3,CD297&gt;1),BQ297*0.08,CJ297*EF297)))))))))))))</f>
        <v>0</v>
      </c>
      <c r="BP297" s="475">
        <f t="shared" si="346"/>
        <v>0</v>
      </c>
      <c r="BQ297" s="1431">
        <f>IF(AU297=1,0,IF(CH297=100,0,IF(AND(AF297=3,AU297=2),0,IF(AND(BH297=0,CT297&gt;0.4),0,IF(AND('Data Entry'!$C$74=2,AF297=1.5),0,IF(AND('Data Entry'!$C$74=2,AF297=1.6),0,IF(AND('Data Entry'!$C$74=2,AF297=4),0,IF(AND('Data Entry'!$C$74=2,AF297=5),0,IF(AND('Data Entry'!$C$74=2,AF297=2.5,CE297&lt;1),0,IF(AND('Data Entry'!$C$74=2,AF297=3,CE297&lt;1),0,IF(AND('Data Entry'!$C$74=1,AF297=2.5,CD297&lt;1),0,IF(AND('Data Entry'!$C$74=1,AF297=3,CD297&lt;1),0,IF(DX297&gt;0.01,DX297,IF(ISERROR(AX297-AY297),"",ROUND(AX297-AY297,2)))))))))))))))</f>
        <v>0</v>
      </c>
      <c r="BR297" s="146">
        <f t="shared" si="347"/>
        <v>0</v>
      </c>
      <c r="BS297" s="475">
        <f t="shared" si="348"/>
        <v>0</v>
      </c>
      <c r="BT297" s="146" t="b">
        <f t="shared" si="349"/>
        <v>0</v>
      </c>
      <c r="BU297" s="463">
        <f>IF(ISNA(AT297),0,IF(AND('Data Entry'!$C$74=2,BC297=27),0,IF(AND('Data Entry'!$C$74=2,BC297=28),0,IF(AND(BC297=27,BT297=27,CM297&gt;0.1),CM297*0.15,IF(AND(BC297=28,BT297=28,CM297&gt;0.1),CM297*0.12,0)))))</f>
        <v>0</v>
      </c>
      <c r="BV297" s="463">
        <f t="shared" si="386"/>
        <v>0</v>
      </c>
      <c r="BW297" s="463">
        <f t="shared" si="350"/>
        <v>0</v>
      </c>
      <c r="BX297" s="463">
        <f t="shared" si="351"/>
        <v>0</v>
      </c>
      <c r="BY297" s="463">
        <f t="shared" si="352"/>
        <v>0</v>
      </c>
      <c r="BZ297" s="463">
        <f t="shared" si="353"/>
        <v>0</v>
      </c>
      <c r="CA297" s="57">
        <f t="shared" si="381"/>
        <v>0</v>
      </c>
      <c r="CB297" s="56">
        <f t="shared" si="354"/>
        <v>1</v>
      </c>
      <c r="CC297" s="756">
        <f>IF(EE297=0,0,IF(EF297=0,0,IF(EE297&gt;AA297,0,IF(AND(AZ297&gt;AW297,AW297&gt;0),0,IF(CU297=0,0,Summary!AC600)))))</f>
        <v>0</v>
      </c>
      <c r="CD297" s="756">
        <f>IF(EE297=0,0,IF(EF297=0,0,IF(EE297&gt;AA297,0,IF(AND(AZ297&gt;AW297,AW297&gt;0),0,IF(CU297=0,0,Summary!AD600)))))</f>
        <v>0</v>
      </c>
      <c r="CE297" s="756">
        <f>IF(EF297=0,0,IF(EE297&gt;AA297,0,IF(CC297=0,0,IF(AND(AZ297&gt;AW297,AW297&gt;0),0,IF(CU297=0,0,Summary!AE600)))))</f>
        <v>0</v>
      </c>
      <c r="CF297" s="475">
        <f t="shared" si="355"/>
        <v>0</v>
      </c>
      <c r="CG297" s="476">
        <f t="shared" si="323"/>
        <v>0</v>
      </c>
      <c r="CH297" s="487">
        <f t="shared" si="356"/>
        <v>0</v>
      </c>
      <c r="CI297" s="756">
        <f t="shared" si="357"/>
        <v>0</v>
      </c>
      <c r="CJ297" s="487">
        <f>IF(CT297&gt;0.4,0,IF(AND(AU297=2,CH297=0,CT297=0.5,ER297=100),35,IF(AND(AU297=3,BB297&gt;75,CH297=0,CT297=0.5,ER297=100),25,IF(CB297&gt;1,0,IF(EF297&gt;EE297,0,IF(AND(AF297&gt;1,CH297=100),0,IF(AND(AF297=1,AY297=0),0,IF(AND(EF297&lt;=EE297,AW297&gt;=AZ297,'Data Entry'!$C$74=1,AU297=2),VLOOKUP(W297,$DO$96:$DP$102,2,FALSE),IF(AND(EF297&lt;=EE297,AW297&gt;=AZ297,AU297=3,'Data Entry'!$C$74=1),VLOOKUP(W297,$DO$127:$DP$134,2,FALSE))))))))))</f>
        <v>0</v>
      </c>
      <c r="CK297" s="716">
        <f t="shared" si="358"/>
        <v>0</v>
      </c>
      <c r="CL297" s="57">
        <f t="shared" si="359"/>
        <v>0</v>
      </c>
      <c r="CM297" s="475">
        <f t="shared" si="385"/>
        <v>0</v>
      </c>
      <c r="CN297" s="660">
        <f>IF(CM297&lt;0.1,0,IF(ISNA(AT297),0,IF(CL297+BC297=1,0,IF(BV297&gt;0.01,0,IF(CL297&gt;0.01,0,IF(CF297=1,0,IF(BC297=0.5,0,IF(AND(CI297=1,AU297=3),0,IF(AND(CI297=5,CL297=0),0,IF(AND(R297=12,BR297=50),0,IF(CK297&gt;0.01,0,IF(AND(AJ297&gt;0.01,AU297=2,BC297=15),CM297*0.1,IF(AND(AJ297&gt;0.01,AU297=3,BC297=15),CM297*0.08,IF(AND(R297=12,BC297=3,AF297&lt;=0),0,IF(AND(BC297=15,BI297=0),0,IF(AND(BC297=15,BJ297=0),0,IF(AND(R297=20,CU297=0),0,IF($X$4=0,0,IF(AND(BC297=250,CL297=0),0,IF(AA297&lt;1,0,IF(AND(ISNUMBER(SEARCH("Area",T297)),AU297=3),0,IF(AND(AQ297&gt;0.01,AR297=0,BK297=0,BL297=0,BM297=0,BN297=0),0,IF(AND(AU297=3,CI297=7,CT297&gt;0.5),0,IF(AND(BC297=44,AU297=3,BY297=0),0,IF(AND(BC297=27,'Data Entry'!$C$74=2),0,IF(AND(BC297=28,'Data Entry'!$C$74=2),0,IF(AND(BY297+BZ297+CA297&gt;0.01,BV297=0,EQ297+ER297+ES297+ET297&lt;100),0,IF(AU297=3,CM297*0.08,IF(AU297=2,CM297*0.1,0)))))))))))))))))))))))))))))</f>
        <v>0</v>
      </c>
      <c r="CO297" s="660">
        <f t="shared" si="360"/>
        <v>0</v>
      </c>
      <c r="CP297" s="475" t="str">
        <f t="shared" si="361"/>
        <v/>
      </c>
      <c r="CQ297" s="161" t="str">
        <f>IF(AH297=0,0,IF(AU297=5,0,Summary!AC300))</f>
        <v/>
      </c>
      <c r="CR297" s="161" t="str">
        <f>IF(BF297=0.5,0,IF(AU297=5,0,Summary!AD300))</f>
        <v/>
      </c>
      <c r="CS297" s="161" t="str">
        <f>IF(AU297=5,0,Summary!AE300)</f>
        <v/>
      </c>
      <c r="CT297" s="161">
        <f t="shared" si="362"/>
        <v>0</v>
      </c>
      <c r="CU297" s="475" t="str">
        <f t="shared" si="363"/>
        <v/>
      </c>
      <c r="CV297" s="307">
        <f>IF('Data Entry'!$C$74=0,0,IF(AA297&lt;1,0,IF(ISERROR(CU297),0,IF(CF297=1,0,IF(AND(R297=12,BR297=50),0,IF(CL297+BO297+BV297+DC297=0,0,IF(BC297=37,0,IF(AND(BC297=40,AJ297=0),0,IF(AND(BC297=37,BO297&gt;0.01,BQ297&gt;0.01),ROUND(BQ297,0),IF(CM297&lt;0,0,ROUND(CM297,0)))))))))))</f>
        <v>0</v>
      </c>
      <c r="CW297" s="700">
        <f t="shared" si="364"/>
        <v>0</v>
      </c>
      <c r="CX297" s="477">
        <f>IF('Data Entry'!$C$74=0,0,IF(CV297&lt;0.01,0,IF(BF297=0.5,0,IF(CF297=1,0,IF(ISNUMBER(SEARCH("false",CL297)),0,IF(AZ297=500,0,CL297))))))</f>
        <v>0</v>
      </c>
      <c r="CY297" s="147" t="e">
        <f t="shared" si="365"/>
        <v>#VALUE!</v>
      </c>
      <c r="CZ297" s="147" t="b">
        <f>IF(CN297+CL297=0,FALSE,IF(AH297=0,0,IF(AND('Data Entry'!$C$74=1,CR297&gt;=1),TRUE,IF(AND('Data Entry'!$C$74=2,CS297&gt;=1),TRUE,FALSE))))</f>
        <v>0</v>
      </c>
      <c r="DA297" s="1751">
        <f>IF('Data Entry'!$C$74=0,0,IFERROR(ROUND(IF(T297="","",IF($X$4=0,0,IF(CF297=1,0,IF(BQ297+CV297=0,0,IF(CF297=1,0,IF(CY297&gt;0.01,CY297,IF(CL297&gt;0.01,CL297,IF(CY297&gt;0.01,CY297,IF(BC297=37,BO297,IF(CZ297=FALSE,0,IF(CZ297=TRUE,DC297+DF297,0))))))))))),2),""))</f>
        <v>0</v>
      </c>
      <c r="DB297" s="1752"/>
      <c r="DC297" s="474">
        <f>IF(CN297&lt;0.01,0,IF(AND(BR297=3,CN297&gt;0.01,CT297&gt;0.6,ER297+ES297+ET297&lt;100),0,IF(AND('Data Entry'!$C$74=1,CN297&gt;0.01,CR297&gt;0.99),MIN(CN297:CO297),IF(AND('Data Entry'!$C$74=2,CN297&gt;0.01,CS297&gt;0.99),MIN(CN297:CO297),0))))</f>
        <v>0</v>
      </c>
      <c r="DD297" s="478">
        <f>IF(CF297=1,"Selection does not match",IF(T297=0,0,IF(AND('Data Entry'!$C$74=0,CP297&gt;1),"Select Oregon or Idaho on Data Entry Tab",IF(AND(AU297=1,AA297&gt;0.9),"Missing Interior or Exterior Selection",IF($X$4=0,"Enter Total Project Cost",IF(AQ297&lt;AR297,"Insufficient kWh savings – no incentive",IF(AND(SUM(CL297+CK297+BV297)&gt;0.01,'Data Entry'!$C$74=2,CJ297&gt;1,BO297=0),"Submit Control as Non-Standard",IF(AND('Data Entry'!$C$74=2,BR297=37,CJ297&gt;1,BO297=0),"Submit Control as Non-Standard",IF(SUM(CL297+CK297+BV297)&gt;0.01,"Standard Incentive",IF(AND('Data Entry'!$C$74=2,CP297=7,CN297=0),"Submit as Non-Standard",IF(DC297&gt;0.9,"Non-Standard Incentive",IF(AND(BY297+BZ297+CA297&gt;0.01,BV297=0,EQ297=0,ER297=0,ES297=0,ET297=0),"Scroll Right &amp; Select Control Strategies",IF(AND(CN297&gt;0.01,CO297=0),"Enter Unit Installed Cost",IF(ISNUMBER(SEARCH("Lighting Controls Only",F297)),"Lighting Controls Only",IF(CL297+DC297=0,"Does not meet incentive criteria",0)))))))))))))))</f>
        <v>0</v>
      </c>
      <c r="DE297" s="337">
        <f t="shared" si="366"/>
        <v>0</v>
      </c>
      <c r="DF297" s="609">
        <f t="shared" si="367"/>
        <v>0</v>
      </c>
      <c r="DG297" s="336" t="str">
        <f t="shared" si="368"/>
        <v/>
      </c>
      <c r="DH297" s="338">
        <f t="shared" si="369"/>
        <v>1</v>
      </c>
      <c r="DI297" s="336" t="e">
        <f t="shared" si="324"/>
        <v>#VALUE!</v>
      </c>
      <c r="DJ297" s="338">
        <f t="shared" si="325"/>
        <v>0</v>
      </c>
      <c r="DO297" s="81"/>
      <c r="DP297" s="81"/>
      <c r="DQ297" s="377"/>
      <c r="DR297" s="5"/>
      <c r="DS297" s="1195">
        <f t="shared" si="370"/>
        <v>0</v>
      </c>
      <c r="DT297" s="344" t="b">
        <f t="shared" si="371"/>
        <v>1</v>
      </c>
      <c r="DU297" s="1314" t="str">
        <f t="array" ref="DU297">IF(OR(COUNTIF(F297,"*"&amp;$DK$9:$DK$178&amp;"*")), "Yes", "")</f>
        <v/>
      </c>
      <c r="DV297" s="1314">
        <f t="shared" si="372"/>
        <v>0</v>
      </c>
      <c r="DW297" s="1480">
        <f t="shared" si="373"/>
        <v>0</v>
      </c>
      <c r="DX297" s="1498">
        <f t="shared" si="382"/>
        <v>0</v>
      </c>
      <c r="DY297" s="1484">
        <f t="shared" si="374"/>
        <v>0</v>
      </c>
      <c r="DZ297" s="331"/>
      <c r="EA297" s="392"/>
      <c r="EB297" s="1499" t="s">
        <v>514</v>
      </c>
      <c r="EC297" s="727" t="s">
        <v>1569</v>
      </c>
      <c r="ED297" s="1100">
        <v>0.5</v>
      </c>
      <c r="EE297" s="1215"/>
      <c r="EF297" s="1215"/>
      <c r="EG297" s="1184" t="str">
        <f t="shared" si="375"/>
        <v/>
      </c>
      <c r="EJ297" s="1185">
        <f t="shared" si="326"/>
        <v>0</v>
      </c>
      <c r="EK297" s="1211"/>
      <c r="EL297" s="1180">
        <f t="shared" si="327"/>
        <v>0</v>
      </c>
      <c r="EM297" s="206"/>
      <c r="EN297" s="1038"/>
      <c r="EO297" s="1038"/>
      <c r="EP297" s="1038"/>
      <c r="EQ297" s="1038">
        <f t="shared" si="376"/>
        <v>0</v>
      </c>
      <c r="ER297" s="1041">
        <f t="shared" si="377"/>
        <v>0</v>
      </c>
      <c r="ES297" s="1042">
        <f t="shared" si="378"/>
        <v>0</v>
      </c>
      <c r="ET297" s="1042">
        <f t="shared" si="383"/>
        <v>0</v>
      </c>
      <c r="EU297" s="1021">
        <f t="shared" si="384"/>
        <v>0</v>
      </c>
      <c r="EV297" s="368"/>
      <c r="EW297" s="368"/>
      <c r="EX297" s="369"/>
      <c r="EY297" s="370"/>
      <c r="EZ297" s="370"/>
      <c r="FA297" s="371"/>
      <c r="FB297" s="372"/>
    </row>
    <row r="298" spans="1:158" ht="34.5" customHeight="1">
      <c r="A298" s="82">
        <v>290</v>
      </c>
      <c r="B298" s="1806"/>
      <c r="C298" s="1807"/>
      <c r="D298" s="1807"/>
      <c r="E298" s="1808"/>
      <c r="F298" s="1809"/>
      <c r="G298" s="1810"/>
      <c r="H298" s="1810"/>
      <c r="I298" s="1811"/>
      <c r="J298" s="1301"/>
      <c r="K298" s="1814"/>
      <c r="L298" s="1814"/>
      <c r="M298" s="1017"/>
      <c r="N298" s="1584"/>
      <c r="O298" s="208" t="str">
        <f t="shared" si="314"/>
        <v/>
      </c>
      <c r="P298" s="785"/>
      <c r="Q298" s="39" t="str">
        <f t="shared" si="315"/>
        <v/>
      </c>
      <c r="R298" s="39">
        <f t="shared" si="328"/>
        <v>0</v>
      </c>
      <c r="S298" s="234">
        <f t="shared" si="329"/>
        <v>0</v>
      </c>
      <c r="T298" s="1815"/>
      <c r="U298" s="1815"/>
      <c r="V298" s="1815"/>
      <c r="W298" s="1121"/>
      <c r="X298" s="1812"/>
      <c r="Y298" s="1813"/>
      <c r="Z298" s="703"/>
      <c r="AA298" s="1280"/>
      <c r="AB298" s="1141"/>
      <c r="AC298" s="1103" t="str">
        <f>IF(T298="","",VLOOKUP(Z298,Lists!$A$60:$B$111,2,FALSE))</f>
        <v/>
      </c>
      <c r="AD298" s="130" t="str">
        <f t="shared" si="330"/>
        <v/>
      </c>
      <c r="AE298" s="130" t="e">
        <f t="shared" si="331"/>
        <v>#VALUE!</v>
      </c>
      <c r="AF298" s="130">
        <f t="shared" si="332"/>
        <v>1</v>
      </c>
      <c r="AG298" s="234">
        <f t="shared" si="316"/>
        <v>0</v>
      </c>
      <c r="AH298" s="1753" t="str">
        <f>IF(T298="","",(IF(ISNUMBER(SEARCH("exit",T298)),8760,IF(AND(M298="Dusk to Dawn",'Proposed Lighting'!AU298=3),4059,IF(AND(AU298=3,M298="1"),0,IF(AND(AU298=3,M298="1-C"),0,IF(AND(AU298=3,M298="2"),0,IF(AND(AU298=3,M298="2-C"),0,IF(AND(AU298=3,M298="3"),0,IF(AND(AU298=3,M298="3-C"),0,IF(AND(AU298=2,M298="Dusk to Dawn"),0,IF(AND(AU298=2,M298="Dusk to Dawn-C"),0,IF(AND(AU298=2,M298="Dusk to Dawn"),0,IF(AND(AU298=2,M298="E"),0,IF(AND(AU298=2,M298="E-C"),0,EG298)))))))))))))))</f>
        <v/>
      </c>
      <c r="AI298" s="1754"/>
      <c r="AJ298" s="1136"/>
      <c r="AK298" s="1136"/>
      <c r="AL298" s="1748">
        <f t="shared" si="333"/>
        <v>0</v>
      </c>
      <c r="AM298" s="1749"/>
      <c r="AN298" s="1750"/>
      <c r="AO298" s="476">
        <f t="shared" si="317"/>
        <v>0</v>
      </c>
      <c r="AP298" s="476">
        <f t="shared" si="334"/>
        <v>0</v>
      </c>
      <c r="AQ298" s="475">
        <f t="shared" si="318"/>
        <v>0</v>
      </c>
      <c r="AR298" s="475">
        <f t="shared" si="335"/>
        <v>0</v>
      </c>
      <c r="AS298" s="743" t="str">
        <f t="shared" si="387"/>
        <v/>
      </c>
      <c r="AT298" s="736" t="str">
        <f t="shared" si="336"/>
        <v/>
      </c>
      <c r="AU298" s="56">
        <f t="shared" si="337"/>
        <v>1</v>
      </c>
      <c r="AV298" s="476">
        <f t="shared" si="338"/>
        <v>0</v>
      </c>
      <c r="AW298" s="56">
        <f t="shared" si="339"/>
        <v>0</v>
      </c>
      <c r="AX298" s="475">
        <f t="shared" si="319"/>
        <v>0</v>
      </c>
      <c r="AY298" s="1169">
        <f t="shared" si="340"/>
        <v>0</v>
      </c>
      <c r="AZ298" s="1150">
        <f t="shared" si="379"/>
        <v>0</v>
      </c>
      <c r="BA298" s="56">
        <f t="shared" si="320"/>
        <v>0</v>
      </c>
      <c r="BB298" s="420">
        <f t="shared" si="321"/>
        <v>0</v>
      </c>
      <c r="BC298" s="58" t="str">
        <f t="shared" si="322"/>
        <v/>
      </c>
      <c r="BD298" s="660">
        <f t="shared" si="380"/>
        <v>0</v>
      </c>
      <c r="BE298" s="57" t="e">
        <f t="array" ref="BE298">INDEX($EB$11:$ED$1022,MATCH(F298&amp;T298,$EB$11:$EB$1007&amp;$EC$11:$EC$1007,0),3)</f>
        <v>#N/A</v>
      </c>
      <c r="BF298" s="463">
        <f t="shared" si="311"/>
        <v>0</v>
      </c>
      <c r="BG298" s="1445" t="e">
        <f t="array" ref="BG298">INDEX($DO$112:$DQ$123,MATCH(T298&amp;W298,$DO$114:$DO$125&amp;$DP$112:$DP$123,0),3)</f>
        <v>#N/A</v>
      </c>
      <c r="BH298" s="1446">
        <f t="shared" si="341"/>
        <v>0</v>
      </c>
      <c r="BI298" s="465">
        <f t="shared" si="342"/>
        <v>0</v>
      </c>
      <c r="BJ298" s="465">
        <f t="shared" si="343"/>
        <v>0</v>
      </c>
      <c r="BK298" s="466">
        <f t="shared" si="312"/>
        <v>0</v>
      </c>
      <c r="BL298" s="466">
        <f t="shared" si="313"/>
        <v>0</v>
      </c>
      <c r="BM298" s="466">
        <f t="shared" si="344"/>
        <v>0</v>
      </c>
      <c r="BN298" s="466">
        <f t="shared" si="345"/>
        <v>0</v>
      </c>
      <c r="BO298" s="463">
        <f>IF('Data Entry'!$C$74=0,0,IF(ISNA(CJ298),0,IF(AX298=0,0,IF(AND('Data Entry'!$C$74=2,AF298&gt;2,CE298&lt;1),0,IF(AND('Data Entry'!$C$74=2,AF298&gt;1,AU298=2,CJ298&gt;1),0,IF(AND(AF298=5,CT298=0.5,AU298=2,ER298&lt;100),0,IF(AND(AF298=5,CT298=0.5,AU298=3,ER298&lt;100),0,IF(AND('Data Entry'!$C$74=2,AF298=2,AU298=2,AK298&gt;0.01,CB298=2,CE298&lt;1),0,IF(AND('Data Entry'!$C$74=2,AF298=3,AU298=3,AK298&gt;0.01,CB298=3,CE298&lt;1),0,IF(AND('Data Entry'!$C$74=2,AF298=3,AU298=3,AK298&gt;0.01,CB298=3,CE298&gt;0.99),BQ298*0.08,IF(AND('Data Entry'!$C$74=2,AF298=2,AU298=2,AK298&gt;0.01,CB298=2,CE298&gt;0.99),BQ298*0.1,IF(AND(AU298=2,AK298&gt;0.01,CB298=2,CD298&gt;1),BQ298*0.1,IF(AND(AU298=3,AK298&gt;0.01,CB298=3,CD298&gt;1),BQ298*0.08,CJ298*EF298)))))))))))))</f>
        <v>0</v>
      </c>
      <c r="BP298" s="475">
        <f t="shared" si="346"/>
        <v>0</v>
      </c>
      <c r="BQ298" s="1431">
        <f>IF(AU298=1,0,IF(CH298=100,0,IF(AND(AF298=3,AU298=2),0,IF(AND(BH298=0,CT298&gt;0.4),0,IF(AND('Data Entry'!$C$74=2,AF298=1.5),0,IF(AND('Data Entry'!$C$74=2,AF298=1.6),0,IF(AND('Data Entry'!$C$74=2,AF298=4),0,IF(AND('Data Entry'!$C$74=2,AF298=5),0,IF(AND('Data Entry'!$C$74=2,AF298=2.5,CE298&lt;1),0,IF(AND('Data Entry'!$C$74=2,AF298=3,CE298&lt;1),0,IF(AND('Data Entry'!$C$74=1,AF298=2.5,CD298&lt;1),0,IF(AND('Data Entry'!$C$74=1,AF298=3,CD298&lt;1),0,IF(DX298&gt;0.01,DX298,IF(ISERROR(AX298-AY298),"",ROUND(AX298-AY298,2)))))))))))))))</f>
        <v>0</v>
      </c>
      <c r="BR298" s="146">
        <f t="shared" si="347"/>
        <v>0</v>
      </c>
      <c r="BS298" s="475">
        <f t="shared" si="348"/>
        <v>0</v>
      </c>
      <c r="BT298" s="146" t="b">
        <f t="shared" si="349"/>
        <v>0</v>
      </c>
      <c r="BU298" s="463">
        <f>IF(ISNA(AT298),0,IF(AND('Data Entry'!$C$74=2,BC298=27),0,IF(AND('Data Entry'!$C$74=2,BC298=28),0,IF(AND(BC298=27,BT298=27,CM298&gt;0.1),CM298*0.15,IF(AND(BC298=28,BT298=28,CM298&gt;0.1),CM298*0.12,0)))))</f>
        <v>0</v>
      </c>
      <c r="BV298" s="463">
        <f t="shared" si="386"/>
        <v>0</v>
      </c>
      <c r="BW298" s="463">
        <f t="shared" si="350"/>
        <v>0</v>
      </c>
      <c r="BX298" s="463">
        <f t="shared" si="351"/>
        <v>0</v>
      </c>
      <c r="BY298" s="463">
        <f t="shared" si="352"/>
        <v>0</v>
      </c>
      <c r="BZ298" s="463">
        <f t="shared" si="353"/>
        <v>0</v>
      </c>
      <c r="CA298" s="57">
        <f t="shared" si="381"/>
        <v>0</v>
      </c>
      <c r="CB298" s="56">
        <f t="shared" si="354"/>
        <v>1</v>
      </c>
      <c r="CC298" s="756">
        <f>IF(EE298=0,0,IF(EF298=0,0,IF(EE298&gt;AA298,0,IF(AND(AZ298&gt;AW298,AW298&gt;0),0,IF(CU298=0,0,Summary!AC601)))))</f>
        <v>0</v>
      </c>
      <c r="CD298" s="756">
        <f>IF(EE298=0,0,IF(EF298=0,0,IF(EE298&gt;AA298,0,IF(AND(AZ298&gt;AW298,AW298&gt;0),0,IF(CU298=0,0,Summary!AD601)))))</f>
        <v>0</v>
      </c>
      <c r="CE298" s="756">
        <f>IF(EF298=0,0,IF(EE298&gt;AA298,0,IF(CC298=0,0,IF(AND(AZ298&gt;AW298,AW298&gt;0),0,IF(CU298=0,0,Summary!AE601)))))</f>
        <v>0</v>
      </c>
      <c r="CF298" s="475">
        <f t="shared" si="355"/>
        <v>0</v>
      </c>
      <c r="CG298" s="476">
        <f t="shared" si="323"/>
        <v>0</v>
      </c>
      <c r="CH298" s="487">
        <f t="shared" si="356"/>
        <v>0</v>
      </c>
      <c r="CI298" s="756">
        <f t="shared" si="357"/>
        <v>0</v>
      </c>
      <c r="CJ298" s="487">
        <f>IF(CT298&gt;0.4,0,IF(AND(AU298=2,CH298=0,CT298=0.5,ER298=100),35,IF(AND(AU298=3,BB298&gt;75,CH298=0,CT298=0.5,ER298=100),25,IF(CB298&gt;1,0,IF(EF298&gt;EE298,0,IF(AND(AF298&gt;1,CH298=100),0,IF(AND(AF298=1,AY298=0),0,IF(AND(EF298&lt;=EE298,AW298&gt;=AZ298,'Data Entry'!$C$74=1,AU298=2),VLOOKUP(W298,$DO$96:$DP$102,2,FALSE),IF(AND(EF298&lt;=EE298,AW298&gt;=AZ298,AU298=3,'Data Entry'!$C$74=1),VLOOKUP(W298,$DO$127:$DP$134,2,FALSE))))))))))</f>
        <v>0</v>
      </c>
      <c r="CK298" s="716">
        <f t="shared" si="358"/>
        <v>0</v>
      </c>
      <c r="CL298" s="57">
        <f t="shared" si="359"/>
        <v>0</v>
      </c>
      <c r="CM298" s="475">
        <f t="shared" si="385"/>
        <v>0</v>
      </c>
      <c r="CN298" s="660">
        <f>IF(CM298&lt;0.1,0,IF(ISNA(AT298),0,IF(CL298+BC298=1,0,IF(BV298&gt;0.01,0,IF(CL298&gt;0.01,0,IF(CF298=1,0,IF(BC298=0.5,0,IF(AND(CI298=1,AU298=3),0,IF(AND(CI298=5,CL298=0),0,IF(AND(R298=12,BR298=50),0,IF(CK298&gt;0.01,0,IF(AND(AJ298&gt;0.01,AU298=2,BC298=15),CM298*0.1,IF(AND(AJ298&gt;0.01,AU298=3,BC298=15),CM298*0.08,IF(AND(R298=12,BC298=3,AF298&lt;=0),0,IF(AND(BC298=15,BI298=0),0,IF(AND(BC298=15,BJ298=0),0,IF(AND(R298=20,CU298=0),0,IF($X$4=0,0,IF(AND(BC298=250,CL298=0),0,IF(AA298&lt;1,0,IF(AND(ISNUMBER(SEARCH("Area",T298)),AU298=3),0,IF(AND(AQ298&gt;0.01,AR298=0,BK298=0,BL298=0,BM298=0,BN298=0),0,IF(AND(AU298=3,CI298=7,CT298&gt;0.5),0,IF(AND(BC298=44,AU298=3,BY298=0),0,IF(AND(BC298=27,'Data Entry'!$C$74=2),0,IF(AND(BC298=28,'Data Entry'!$C$74=2),0,IF(AND(BY298+BZ298+CA298&gt;0.01,BV298=0,EQ298+ER298+ES298+ET298&lt;100),0,IF(AU298=3,CM298*0.08,IF(AU298=2,CM298*0.1,0)))))))))))))))))))))))))))))</f>
        <v>0</v>
      </c>
      <c r="CO298" s="660">
        <f t="shared" si="360"/>
        <v>0</v>
      </c>
      <c r="CP298" s="475" t="str">
        <f t="shared" si="361"/>
        <v/>
      </c>
      <c r="CQ298" s="161" t="str">
        <f>IF(AH298=0,0,IF(AU298=5,0,Summary!AC301))</f>
        <v/>
      </c>
      <c r="CR298" s="161" t="str">
        <f>IF(BF298=0.5,0,IF(AU298=5,0,Summary!AD301))</f>
        <v/>
      </c>
      <c r="CS298" s="161" t="str">
        <f>IF(AU298=5,0,Summary!AE301)</f>
        <v/>
      </c>
      <c r="CT298" s="161">
        <f t="shared" si="362"/>
        <v>0</v>
      </c>
      <c r="CU298" s="475" t="str">
        <f t="shared" si="363"/>
        <v/>
      </c>
      <c r="CV298" s="307">
        <f>IF('Data Entry'!$C$74=0,0,IF(AA298&lt;1,0,IF(ISERROR(CU298),0,IF(CF298=1,0,IF(AND(R298=12,BR298=50),0,IF(CL298+BO298+BV298+DC298=0,0,IF(BC298=37,0,IF(AND(BC298=40,AJ298=0),0,IF(AND(BC298=37,BO298&gt;0.01,BQ298&gt;0.01),ROUND(BQ298,0),IF(CM298&lt;0,0,ROUND(CM298,0)))))))))))</f>
        <v>0</v>
      </c>
      <c r="CW298" s="700">
        <f t="shared" si="364"/>
        <v>0</v>
      </c>
      <c r="CX298" s="477">
        <f>IF('Data Entry'!$C$74=0,0,IF(CV298&lt;0.01,0,IF(BF298=0.5,0,IF(CF298=1,0,IF(ISNUMBER(SEARCH("false",CL298)),0,IF(AZ298=500,0,CL298))))))</f>
        <v>0</v>
      </c>
      <c r="CY298" s="147" t="e">
        <f t="shared" si="365"/>
        <v>#VALUE!</v>
      </c>
      <c r="CZ298" s="147" t="b">
        <f>IF(CN298+CL298=0,FALSE,IF(AH298=0,0,IF(AND('Data Entry'!$C$74=1,CR298&gt;=1),TRUE,IF(AND('Data Entry'!$C$74=2,CS298&gt;=1),TRUE,FALSE))))</f>
        <v>0</v>
      </c>
      <c r="DA298" s="1751">
        <f>IF('Data Entry'!$C$74=0,0,IFERROR(ROUND(IF(T298="","",IF($X$4=0,0,IF(CF298=1,0,IF(BQ298+CV298=0,0,IF(CF298=1,0,IF(CY298&gt;0.01,CY298,IF(CL298&gt;0.01,CL298,IF(CY298&gt;0.01,CY298,IF(BC298=37,BO298,IF(CZ298=FALSE,0,IF(CZ298=TRUE,DC298+DF298,0))))))))))),2),""))</f>
        <v>0</v>
      </c>
      <c r="DB298" s="1752"/>
      <c r="DC298" s="474">
        <f>IF(CN298&lt;0.01,0,IF(AND(BR298=3,CN298&gt;0.01,CT298&gt;0.6,ER298+ES298+ET298&lt;100),0,IF(AND('Data Entry'!$C$74=1,CN298&gt;0.01,CR298&gt;0.99),MIN(CN298:CO298),IF(AND('Data Entry'!$C$74=2,CN298&gt;0.01,CS298&gt;0.99),MIN(CN298:CO298),0))))</f>
        <v>0</v>
      </c>
      <c r="DD298" s="478">
        <f>IF(CF298=1,"Selection does not match",IF(T298=0,0,IF(AND('Data Entry'!$C$74=0,CP298&gt;1),"Select Oregon or Idaho on Data Entry Tab",IF(AND(AU298=1,AA298&gt;0.9),"Missing Interior or Exterior Selection",IF($X$4=0,"Enter Total Project Cost",IF(AQ298&lt;AR298,"Insufficient kWh savings – no incentive",IF(AND(SUM(CL298+CK298+BV298)&gt;0.01,'Data Entry'!$C$74=2,CJ298&gt;1,BO298=0),"Submit Control as Non-Standard",IF(AND('Data Entry'!$C$74=2,BR298=37,CJ298&gt;1,BO298=0),"Submit Control as Non-Standard",IF(SUM(CL298+CK298+BV298)&gt;0.01,"Standard Incentive",IF(AND('Data Entry'!$C$74=2,CP298=7,CN298=0),"Submit as Non-Standard",IF(DC298&gt;0.9,"Non-Standard Incentive",IF(AND(BY298+BZ298+CA298&gt;0.01,BV298=0,EQ298=0,ER298=0,ES298=0,ET298=0),"Scroll Right &amp; Select Control Strategies",IF(AND(CN298&gt;0.01,CO298=0),"Enter Unit Installed Cost",IF(ISNUMBER(SEARCH("Lighting Controls Only",F298)),"Lighting Controls Only",IF(CL298+DC298=0,"Does not meet incentive criteria",0)))))))))))))))</f>
        <v>0</v>
      </c>
      <c r="DE298" s="337">
        <f t="shared" si="366"/>
        <v>0</v>
      </c>
      <c r="DF298" s="609">
        <f t="shared" si="367"/>
        <v>0</v>
      </c>
      <c r="DG298" s="336" t="str">
        <f t="shared" si="368"/>
        <v/>
      </c>
      <c r="DH298" s="338">
        <f t="shared" si="369"/>
        <v>1</v>
      </c>
      <c r="DI298" s="336" t="e">
        <f t="shared" si="324"/>
        <v>#VALUE!</v>
      </c>
      <c r="DJ298" s="338">
        <f t="shared" si="325"/>
        <v>0</v>
      </c>
      <c r="DO298" s="81"/>
      <c r="DP298" s="81"/>
      <c r="DQ298" s="377"/>
      <c r="DR298" s="5"/>
      <c r="DS298" s="1195">
        <f t="shared" si="370"/>
        <v>0</v>
      </c>
      <c r="DT298" s="344" t="b">
        <f t="shared" si="371"/>
        <v>1</v>
      </c>
      <c r="DU298" s="1314" t="str">
        <f t="array" ref="DU298">IF(OR(COUNTIF(F298,"*"&amp;$DK$9:$DK$178&amp;"*")), "Yes", "")</f>
        <v/>
      </c>
      <c r="DV298" s="1314">
        <f t="shared" si="372"/>
        <v>0</v>
      </c>
      <c r="DW298" s="1480">
        <f t="shared" si="373"/>
        <v>0</v>
      </c>
      <c r="DX298" s="1498">
        <f t="shared" si="382"/>
        <v>0</v>
      </c>
      <c r="DY298" s="1484">
        <f t="shared" si="374"/>
        <v>0</v>
      </c>
      <c r="DZ298" s="331"/>
      <c r="EA298" s="392"/>
      <c r="EB298" s="1499" t="s">
        <v>463</v>
      </c>
      <c r="EC298" s="727" t="s">
        <v>1569</v>
      </c>
      <c r="ED298" s="1100">
        <v>0.5</v>
      </c>
      <c r="EE298" s="1215"/>
      <c r="EF298" s="1215"/>
      <c r="EG298" s="1184" t="str">
        <f t="shared" si="375"/>
        <v/>
      </c>
      <c r="EJ298" s="1185">
        <f t="shared" si="326"/>
        <v>0</v>
      </c>
      <c r="EK298" s="1211"/>
      <c r="EL298" s="1180">
        <f t="shared" si="327"/>
        <v>0</v>
      </c>
      <c r="EM298" s="206"/>
      <c r="EN298" s="1038"/>
      <c r="EO298" s="1038"/>
      <c r="EP298" s="1038"/>
      <c r="EQ298" s="1038">
        <f t="shared" si="376"/>
        <v>0</v>
      </c>
      <c r="ER298" s="1041">
        <f t="shared" si="377"/>
        <v>0</v>
      </c>
      <c r="ES298" s="1042">
        <f t="shared" si="378"/>
        <v>0</v>
      </c>
      <c r="ET298" s="1042">
        <f t="shared" si="383"/>
        <v>0</v>
      </c>
      <c r="EU298" s="1021">
        <f t="shared" si="384"/>
        <v>0</v>
      </c>
      <c r="EV298" s="368"/>
      <c r="EW298" s="368"/>
      <c r="EX298" s="369"/>
      <c r="EY298" s="370"/>
      <c r="EZ298" s="370"/>
      <c r="FA298" s="371"/>
      <c r="FB298" s="372"/>
    </row>
    <row r="299" spans="1:158" ht="34.5" customHeight="1">
      <c r="A299" s="82">
        <v>291</v>
      </c>
      <c r="B299" s="1806"/>
      <c r="C299" s="1807"/>
      <c r="D299" s="1807"/>
      <c r="E299" s="1808"/>
      <c r="F299" s="1809"/>
      <c r="G299" s="1810"/>
      <c r="H299" s="1810"/>
      <c r="I299" s="1811"/>
      <c r="J299" s="1301"/>
      <c r="K299" s="1814"/>
      <c r="L299" s="1814"/>
      <c r="M299" s="1017"/>
      <c r="N299" s="1584"/>
      <c r="O299" s="208" t="str">
        <f t="shared" si="314"/>
        <v/>
      </c>
      <c r="P299" s="785"/>
      <c r="Q299" s="39" t="str">
        <f t="shared" si="315"/>
        <v/>
      </c>
      <c r="R299" s="39">
        <f t="shared" si="328"/>
        <v>0</v>
      </c>
      <c r="S299" s="234">
        <f t="shared" si="329"/>
        <v>0</v>
      </c>
      <c r="T299" s="1815"/>
      <c r="U299" s="1815"/>
      <c r="V299" s="1815"/>
      <c r="W299" s="1121"/>
      <c r="X299" s="1812"/>
      <c r="Y299" s="1813"/>
      <c r="Z299" s="703"/>
      <c r="AA299" s="1280"/>
      <c r="AB299" s="1141"/>
      <c r="AC299" s="1103" t="str">
        <f>IF(T299="","",VLOOKUP(Z299,Lists!$A$60:$B$111,2,FALSE))</f>
        <v/>
      </c>
      <c r="AD299" s="130" t="str">
        <f t="shared" si="330"/>
        <v/>
      </c>
      <c r="AE299" s="130" t="e">
        <f t="shared" si="331"/>
        <v>#VALUE!</v>
      </c>
      <c r="AF299" s="130">
        <f t="shared" si="332"/>
        <v>1</v>
      </c>
      <c r="AG299" s="234">
        <f t="shared" si="316"/>
        <v>0</v>
      </c>
      <c r="AH299" s="1753" t="str">
        <f>IF(T299="","",(IF(ISNUMBER(SEARCH("exit",T299)),8760,IF(AND(M299="Dusk to Dawn",'Proposed Lighting'!AU299=3),4059,IF(AND(AU299=3,M299="1"),0,IF(AND(AU299=3,M299="1-C"),0,IF(AND(AU299=3,M299="2"),0,IF(AND(AU299=3,M299="2-C"),0,IF(AND(AU299=3,M299="3"),0,IF(AND(AU299=3,M299="3-C"),0,IF(AND(AU299=2,M299="Dusk to Dawn"),0,IF(AND(AU299=2,M299="Dusk to Dawn-C"),0,IF(AND(AU299=2,M299="Dusk to Dawn"),0,IF(AND(AU299=2,M299="E"),0,IF(AND(AU299=2,M299="E-C"),0,EG299)))))))))))))))</f>
        <v/>
      </c>
      <c r="AI299" s="1754"/>
      <c r="AJ299" s="1136"/>
      <c r="AK299" s="1136"/>
      <c r="AL299" s="1748">
        <f t="shared" si="333"/>
        <v>0</v>
      </c>
      <c r="AM299" s="1749"/>
      <c r="AN299" s="1750"/>
      <c r="AO299" s="476">
        <f t="shared" si="317"/>
        <v>0</v>
      </c>
      <c r="AP299" s="476">
        <f t="shared" si="334"/>
        <v>0</v>
      </c>
      <c r="AQ299" s="475">
        <f t="shared" si="318"/>
        <v>0</v>
      </c>
      <c r="AR299" s="475">
        <f t="shared" si="335"/>
        <v>0</v>
      </c>
      <c r="AS299" s="743" t="str">
        <f t="shared" si="387"/>
        <v/>
      </c>
      <c r="AT299" s="736" t="str">
        <f t="shared" si="336"/>
        <v/>
      </c>
      <c r="AU299" s="56">
        <f t="shared" si="337"/>
        <v>1</v>
      </c>
      <c r="AV299" s="476">
        <f t="shared" si="338"/>
        <v>0</v>
      </c>
      <c r="AW299" s="56">
        <f t="shared" si="339"/>
        <v>0</v>
      </c>
      <c r="AX299" s="475">
        <f t="shared" si="319"/>
        <v>0</v>
      </c>
      <c r="AY299" s="1169">
        <f t="shared" si="340"/>
        <v>0</v>
      </c>
      <c r="AZ299" s="1150">
        <f t="shared" si="379"/>
        <v>0</v>
      </c>
      <c r="BA299" s="56">
        <f t="shared" si="320"/>
        <v>0</v>
      </c>
      <c r="BB299" s="420">
        <f t="shared" si="321"/>
        <v>0</v>
      </c>
      <c r="BC299" s="58" t="str">
        <f t="shared" si="322"/>
        <v/>
      </c>
      <c r="BD299" s="660">
        <f t="shared" si="380"/>
        <v>0</v>
      </c>
      <c r="BE299" s="57" t="e">
        <f t="array" ref="BE299">INDEX($EB$11:$ED$1022,MATCH(F299&amp;T299,$EB$11:$EB$1007&amp;$EC$11:$EC$1007,0),3)</f>
        <v>#N/A</v>
      </c>
      <c r="BF299" s="463">
        <f t="shared" ref="BF299:BF308" si="388">IF(ISNA(BE299),0,BE299)</f>
        <v>0</v>
      </c>
      <c r="BG299" s="1445" t="e">
        <f t="array" ref="BG299">INDEX($DO$112:$DQ$123,MATCH(T299&amp;W299,$DO$114:$DO$125&amp;$DP$112:$DP$123,0),3)</f>
        <v>#N/A</v>
      </c>
      <c r="BH299" s="1446">
        <f t="shared" si="341"/>
        <v>0</v>
      </c>
      <c r="BI299" s="465">
        <f t="shared" si="342"/>
        <v>0</v>
      </c>
      <c r="BJ299" s="465">
        <f t="shared" si="343"/>
        <v>0</v>
      </c>
      <c r="BK299" s="466">
        <f t="shared" ref="BK299:BK308" si="389">IF(ISNUMBER(SEARCH("removal",T299)),AND(AS299&gt;49,AS299&lt;300,AU299=2)*20,0)</f>
        <v>0</v>
      </c>
      <c r="BL299" s="466">
        <f t="shared" ref="BL299:BL308" si="390">IF(ISNUMBER(SEARCH("removal",T299)),AND(AS299&gt;299,AU299=2)*30,0)</f>
        <v>0</v>
      </c>
      <c r="BM299" s="466">
        <f t="shared" si="344"/>
        <v>0</v>
      </c>
      <c r="BN299" s="466">
        <f t="shared" si="345"/>
        <v>0</v>
      </c>
      <c r="BO299" s="463">
        <f>IF('Data Entry'!$C$74=0,0,IF(ISNA(CJ299),0,IF(AX299=0,0,IF(AND('Data Entry'!$C$74=2,AF299&gt;2,CE299&lt;1),0,IF(AND('Data Entry'!$C$74=2,AF299&gt;1,AU299=2,CJ299&gt;1),0,IF(AND(AF299=5,CT299=0.5,AU299=2,ER299&lt;100),0,IF(AND(AF299=5,CT299=0.5,AU299=3,ER299&lt;100),0,IF(AND('Data Entry'!$C$74=2,AF299=2,AU299=2,AK299&gt;0.01,CB299=2,CE299&lt;1),0,IF(AND('Data Entry'!$C$74=2,AF299=3,AU299=3,AK299&gt;0.01,CB299=3,CE299&lt;1),0,IF(AND('Data Entry'!$C$74=2,AF299=3,AU299=3,AK299&gt;0.01,CB299=3,CE299&gt;0.99),BQ299*0.08,IF(AND('Data Entry'!$C$74=2,AF299=2,AU299=2,AK299&gt;0.01,CB299=2,CE299&gt;0.99),BQ299*0.1,IF(AND(AU299=2,AK299&gt;0.01,CB299=2,CD299&gt;1),BQ299*0.1,IF(AND(AU299=3,AK299&gt;0.01,CB299=3,CD299&gt;1),BQ299*0.08,CJ299*EF299)))))))))))))</f>
        <v>0</v>
      </c>
      <c r="BP299" s="475">
        <f t="shared" si="346"/>
        <v>0</v>
      </c>
      <c r="BQ299" s="1431">
        <f>IF(AU299=1,0,IF(CH299=100,0,IF(AND(AF299=3,AU299=2),0,IF(AND(BH299=0,CT299&gt;0.4),0,IF(AND('Data Entry'!$C$74=2,AF299=1.5),0,IF(AND('Data Entry'!$C$74=2,AF299=1.6),0,IF(AND('Data Entry'!$C$74=2,AF299=4),0,IF(AND('Data Entry'!$C$74=2,AF299=5),0,IF(AND('Data Entry'!$C$74=2,AF299=2.5,CE299&lt;1),0,IF(AND('Data Entry'!$C$74=2,AF299=3,CE299&lt;1),0,IF(AND('Data Entry'!$C$74=1,AF299=2.5,CD299&lt;1),0,IF(AND('Data Entry'!$C$74=1,AF299=3,CD299&lt;1),0,IF(DX299&gt;0.01,DX299,IF(ISERROR(AX299-AY299),"",ROUND(AX299-AY299,2)))))))))))))))</f>
        <v>0</v>
      </c>
      <c r="BR299" s="146">
        <f t="shared" si="347"/>
        <v>0</v>
      </c>
      <c r="BS299" s="475">
        <f t="shared" si="348"/>
        <v>0</v>
      </c>
      <c r="BT299" s="146" t="b">
        <f t="shared" si="349"/>
        <v>0</v>
      </c>
      <c r="BU299" s="463">
        <f>IF(ISNA(AT299),0,IF(AND('Data Entry'!$C$74=2,BC299=27),0,IF(AND('Data Entry'!$C$74=2,BC299=28),0,IF(AND(BC299=27,BT299=27,CM299&gt;0.1),CM299*0.15,IF(AND(BC299=28,BT299=28,CM299&gt;0.1),CM299*0.12,0)))))</f>
        <v>0</v>
      </c>
      <c r="BV299" s="463">
        <f t="shared" si="386"/>
        <v>0</v>
      </c>
      <c r="BW299" s="463">
        <f t="shared" si="350"/>
        <v>0</v>
      </c>
      <c r="BX299" s="463">
        <f t="shared" si="351"/>
        <v>0</v>
      </c>
      <c r="BY299" s="463">
        <f t="shared" si="352"/>
        <v>0</v>
      </c>
      <c r="BZ299" s="463">
        <f t="shared" si="353"/>
        <v>0</v>
      </c>
      <c r="CA299" s="57">
        <f t="shared" si="381"/>
        <v>0</v>
      </c>
      <c r="CB299" s="56">
        <f t="shared" si="354"/>
        <v>1</v>
      </c>
      <c r="CC299" s="756">
        <f>IF(EE299=0,0,IF(EF299=0,0,IF(EE299&gt;AA299,0,IF(AND(AZ299&gt;AW299,AW299&gt;0),0,IF(CU299=0,0,Summary!AC602)))))</f>
        <v>0</v>
      </c>
      <c r="CD299" s="756">
        <f>IF(EE299=0,0,IF(EF299=0,0,IF(EE299&gt;AA299,0,IF(AND(AZ299&gt;AW299,AW299&gt;0),0,IF(CU299=0,0,Summary!AD602)))))</f>
        <v>0</v>
      </c>
      <c r="CE299" s="756">
        <f>IF(EF299=0,0,IF(EE299&gt;AA299,0,IF(CC299=0,0,IF(AND(AZ299&gt;AW299,AW299&gt;0),0,IF(CU299=0,0,Summary!AE602)))))</f>
        <v>0</v>
      </c>
      <c r="CF299" s="475">
        <f t="shared" si="355"/>
        <v>0</v>
      </c>
      <c r="CG299" s="476">
        <f t="shared" si="323"/>
        <v>0</v>
      </c>
      <c r="CH299" s="487">
        <f t="shared" si="356"/>
        <v>0</v>
      </c>
      <c r="CI299" s="756">
        <f t="shared" si="357"/>
        <v>0</v>
      </c>
      <c r="CJ299" s="487">
        <f>IF(CT299&gt;0.4,0,IF(AND(AU299=2,CH299=0,CT299=0.5,ER299=100),35,IF(AND(AU299=3,BB299&gt;75,CH299=0,CT299=0.5,ER299=100),25,IF(CB299&gt;1,0,IF(EF299&gt;EE299,0,IF(AND(AF299&gt;1,CH299=100),0,IF(AND(AF299=1,AY299=0),0,IF(AND(EF299&lt;=EE299,AW299&gt;=AZ299,'Data Entry'!$C$74=1,AU299=2),VLOOKUP(W299,$DO$96:$DP$102,2,FALSE),IF(AND(EF299&lt;=EE299,AW299&gt;=AZ299,AU299=3,'Data Entry'!$C$74=1),VLOOKUP(W299,$DO$127:$DP$134,2,FALSE))))))))))</f>
        <v>0</v>
      </c>
      <c r="CK299" s="716">
        <f t="shared" si="358"/>
        <v>0</v>
      </c>
      <c r="CL299" s="57">
        <f t="shared" si="359"/>
        <v>0</v>
      </c>
      <c r="CM299" s="475">
        <f t="shared" si="385"/>
        <v>0</v>
      </c>
      <c r="CN299" s="660">
        <f>IF(CM299&lt;0.1,0,IF(ISNA(AT299),0,IF(CL299+BC299=1,0,IF(BV299&gt;0.01,0,IF(CL299&gt;0.01,0,IF(CF299=1,0,IF(BC299=0.5,0,IF(AND(CI299=1,AU299=3),0,IF(AND(CI299=5,CL299=0),0,IF(AND(R299=12,BR299=50),0,IF(CK299&gt;0.01,0,IF(AND(AJ299&gt;0.01,AU299=2,BC299=15),CM299*0.1,IF(AND(AJ299&gt;0.01,AU299=3,BC299=15),CM299*0.08,IF(AND(R299=12,BC299=3,AF299&lt;=0),0,IF(AND(BC299=15,BI299=0),0,IF(AND(BC299=15,BJ299=0),0,IF(AND(R299=20,CU299=0),0,IF($X$4=0,0,IF(AND(BC299=250,CL299=0),0,IF(AA299&lt;1,0,IF(AND(ISNUMBER(SEARCH("Area",T299)),AU299=3),0,IF(AND(AQ299&gt;0.01,AR299=0,BK299=0,BL299=0,BM299=0,BN299=0),0,IF(AND(AU299=3,CI299=7,CT299&gt;0.5),0,IF(AND(BC299=44,AU299=3,BY299=0),0,IF(AND(BC299=27,'Data Entry'!$C$74=2),0,IF(AND(BC299=28,'Data Entry'!$C$74=2),0,IF(AND(BY299+BZ299+CA299&gt;0.01,BV299=0,EQ299+ER299+ES299+ET299&lt;100),0,IF(AU299=3,CM299*0.08,IF(AU299=2,CM299*0.1,0)))))))))))))))))))))))))))))</f>
        <v>0</v>
      </c>
      <c r="CO299" s="660">
        <f t="shared" si="360"/>
        <v>0</v>
      </c>
      <c r="CP299" s="475" t="str">
        <f t="shared" si="361"/>
        <v/>
      </c>
      <c r="CQ299" s="161" t="str">
        <f>IF(AH299=0,0,IF(AU299=5,0,Summary!AC302))</f>
        <v/>
      </c>
      <c r="CR299" s="161" t="str">
        <f>IF(BF299=0.5,0,IF(AU299=5,0,Summary!AD302))</f>
        <v/>
      </c>
      <c r="CS299" s="161" t="str">
        <f>IF(AU299=5,0,Summary!AE302)</f>
        <v/>
      </c>
      <c r="CT299" s="161">
        <f t="shared" si="362"/>
        <v>0</v>
      </c>
      <c r="CU299" s="475" t="str">
        <f t="shared" si="363"/>
        <v/>
      </c>
      <c r="CV299" s="307">
        <f>IF('Data Entry'!$C$74=0,0,IF(AA299&lt;1,0,IF(ISERROR(CU299),0,IF(CF299=1,0,IF(AND(R299=12,BR299=50),0,IF(CL299+BO299+BV299+DC299=0,0,IF(BC299=37,0,IF(AND(BC299=40,AJ299=0),0,IF(AND(BC299=37,BO299&gt;0.01,BQ299&gt;0.01),ROUND(BQ299,0),IF(CM299&lt;0,0,ROUND(CM299,0)))))))))))</f>
        <v>0</v>
      </c>
      <c r="CW299" s="700">
        <f t="shared" si="364"/>
        <v>0</v>
      </c>
      <c r="CX299" s="477">
        <f>IF('Data Entry'!$C$74=0,0,IF(CV299&lt;0.01,0,IF(BF299=0.5,0,IF(CF299=1,0,IF(ISNUMBER(SEARCH("false",CL299)),0,IF(AZ299=500,0,CL299))))))</f>
        <v>0</v>
      </c>
      <c r="CY299" s="147" t="e">
        <f t="shared" si="365"/>
        <v>#VALUE!</v>
      </c>
      <c r="CZ299" s="147" t="b">
        <f>IF(CN299+CL299=0,FALSE,IF(AH299=0,0,IF(AND('Data Entry'!$C$74=1,CR299&gt;=1),TRUE,IF(AND('Data Entry'!$C$74=2,CS299&gt;=1),TRUE,FALSE))))</f>
        <v>0</v>
      </c>
      <c r="DA299" s="1751">
        <f>IF('Data Entry'!$C$74=0,0,IFERROR(ROUND(IF(T299="","",IF($X$4=0,0,IF(CF299=1,0,IF(BQ299+CV299=0,0,IF(CF299=1,0,IF(CY299&gt;0.01,CY299,IF(CL299&gt;0.01,CL299,IF(CY299&gt;0.01,CY299,IF(BC299=37,BO299,IF(CZ299=FALSE,0,IF(CZ299=TRUE,DC299+DF299,0))))))))))),2),""))</f>
        <v>0</v>
      </c>
      <c r="DB299" s="1752"/>
      <c r="DC299" s="474">
        <f>IF(CN299&lt;0.01,0,IF(AND(BR299=3,CN299&gt;0.01,CT299&gt;0.6,ER299+ES299+ET299&lt;100),0,IF(AND('Data Entry'!$C$74=1,CN299&gt;0.01,CR299&gt;0.99),MIN(CN299:CO299),IF(AND('Data Entry'!$C$74=2,CN299&gt;0.01,CS299&gt;0.99),MIN(CN299:CO299),0))))</f>
        <v>0</v>
      </c>
      <c r="DD299" s="478">
        <f>IF(CF299=1,"Selection does not match",IF(T299=0,0,IF(AND('Data Entry'!$C$74=0,CP299&gt;1),"Select Oregon or Idaho on Data Entry Tab",IF(AND(AU299=1,AA299&gt;0.9),"Missing Interior or Exterior Selection",IF($X$4=0,"Enter Total Project Cost",IF(AQ299&lt;AR299,"Insufficient kWh savings – no incentive",IF(AND(SUM(CL299+CK299+BV299)&gt;0.01,'Data Entry'!$C$74=2,CJ299&gt;1,BO299=0),"Submit Control as Non-Standard",IF(AND('Data Entry'!$C$74=2,BR299=37,CJ299&gt;1,BO299=0),"Submit Control as Non-Standard",IF(SUM(CL299+CK299+BV299)&gt;0.01,"Standard Incentive",IF(AND('Data Entry'!$C$74=2,CP299=7,CN299=0),"Submit as Non-Standard",IF(DC299&gt;0.9,"Non-Standard Incentive",IF(AND(BY299+BZ299+CA299&gt;0.01,BV299=0,EQ299=0,ER299=0,ES299=0,ET299=0),"Scroll Right &amp; Select Control Strategies",IF(AND(CN299&gt;0.01,CO299=0),"Enter Unit Installed Cost",IF(ISNUMBER(SEARCH("Lighting Controls Only",F299)),"Lighting Controls Only",IF(CL299+DC299=0,"Does not meet incentive criteria",0)))))))))))))))</f>
        <v>0</v>
      </c>
      <c r="DE299" s="337">
        <f t="shared" si="366"/>
        <v>0</v>
      </c>
      <c r="DF299" s="609">
        <f t="shared" si="367"/>
        <v>0</v>
      </c>
      <c r="DG299" s="336" t="str">
        <f t="shared" si="368"/>
        <v/>
      </c>
      <c r="DH299" s="338">
        <f t="shared" si="369"/>
        <v>1</v>
      </c>
      <c r="DI299" s="336" t="e">
        <f t="shared" si="324"/>
        <v>#VALUE!</v>
      </c>
      <c r="DJ299" s="338">
        <f t="shared" si="325"/>
        <v>0</v>
      </c>
      <c r="DO299" s="81"/>
      <c r="DP299" s="81"/>
      <c r="DQ299" s="377"/>
      <c r="DR299" s="5"/>
      <c r="DS299" s="1195">
        <f t="shared" si="370"/>
        <v>0</v>
      </c>
      <c r="DT299" s="344" t="b">
        <f t="shared" si="371"/>
        <v>1</v>
      </c>
      <c r="DU299" s="1314" t="str">
        <f t="array" ref="DU299">IF(OR(COUNTIF(F299,"*"&amp;$DK$9:$DK$178&amp;"*")), "Yes", "")</f>
        <v/>
      </c>
      <c r="DV299" s="1314">
        <f t="shared" si="372"/>
        <v>0</v>
      </c>
      <c r="DW299" s="1480">
        <f t="shared" si="373"/>
        <v>0</v>
      </c>
      <c r="DX299" s="1498">
        <f t="shared" si="382"/>
        <v>0</v>
      </c>
      <c r="DY299" s="1484">
        <f t="shared" si="374"/>
        <v>0</v>
      </c>
      <c r="DZ299" s="331"/>
      <c r="EA299" s="392"/>
      <c r="EB299" s="1499" t="s">
        <v>464</v>
      </c>
      <c r="EC299" s="727" t="s">
        <v>1569</v>
      </c>
      <c r="ED299" s="1100">
        <v>0.5</v>
      </c>
      <c r="EE299" s="1215"/>
      <c r="EF299" s="1215"/>
      <c r="EG299" s="1184" t="str">
        <f t="shared" si="375"/>
        <v/>
      </c>
      <c r="EJ299" s="1185">
        <f t="shared" si="326"/>
        <v>0</v>
      </c>
      <c r="EK299" s="1211"/>
      <c r="EL299" s="1180">
        <f t="shared" si="327"/>
        <v>0</v>
      </c>
      <c r="EM299" s="206"/>
      <c r="EN299" s="1038"/>
      <c r="EO299" s="1038"/>
      <c r="EP299" s="1038"/>
      <c r="EQ299" s="1038">
        <f t="shared" si="376"/>
        <v>0</v>
      </c>
      <c r="ER299" s="1041">
        <f t="shared" si="377"/>
        <v>0</v>
      </c>
      <c r="ES299" s="1042">
        <f t="shared" si="378"/>
        <v>0</v>
      </c>
      <c r="ET299" s="1042">
        <f t="shared" si="383"/>
        <v>0</v>
      </c>
      <c r="EU299" s="1021">
        <f t="shared" si="384"/>
        <v>0</v>
      </c>
      <c r="EV299" s="368"/>
      <c r="EW299" s="368"/>
      <c r="EX299" s="369"/>
      <c r="EY299" s="370"/>
      <c r="EZ299" s="370"/>
      <c r="FA299" s="371"/>
      <c r="FB299" s="372"/>
    </row>
    <row r="300" spans="1:158" ht="34.5" customHeight="1">
      <c r="A300" s="82">
        <v>292</v>
      </c>
      <c r="B300" s="1806"/>
      <c r="C300" s="1807"/>
      <c r="D300" s="1807"/>
      <c r="E300" s="1808"/>
      <c r="F300" s="1809"/>
      <c r="G300" s="1810"/>
      <c r="H300" s="1810"/>
      <c r="I300" s="1811"/>
      <c r="J300" s="1301"/>
      <c r="K300" s="1814"/>
      <c r="L300" s="1814"/>
      <c r="M300" s="1017"/>
      <c r="N300" s="1584"/>
      <c r="O300" s="208" t="str">
        <f t="shared" si="314"/>
        <v/>
      </c>
      <c r="P300" s="785"/>
      <c r="Q300" s="39" t="str">
        <f t="shared" si="315"/>
        <v/>
      </c>
      <c r="R300" s="39">
        <f t="shared" si="328"/>
        <v>0</v>
      </c>
      <c r="S300" s="234">
        <f t="shared" si="329"/>
        <v>0</v>
      </c>
      <c r="T300" s="1815"/>
      <c r="U300" s="1815"/>
      <c r="V300" s="1815"/>
      <c r="W300" s="1121"/>
      <c r="X300" s="1812"/>
      <c r="Y300" s="1813"/>
      <c r="Z300" s="703"/>
      <c r="AA300" s="1280"/>
      <c r="AB300" s="1141"/>
      <c r="AC300" s="1103" t="str">
        <f>IF(T300="","",VLOOKUP(Z300,Lists!$A$60:$B$111,2,FALSE))</f>
        <v/>
      </c>
      <c r="AD300" s="130" t="str">
        <f t="shared" si="330"/>
        <v/>
      </c>
      <c r="AE300" s="130" t="e">
        <f t="shared" si="331"/>
        <v>#VALUE!</v>
      </c>
      <c r="AF300" s="130">
        <f t="shared" si="332"/>
        <v>1</v>
      </c>
      <c r="AG300" s="234">
        <f t="shared" si="316"/>
        <v>0</v>
      </c>
      <c r="AH300" s="1753" t="str">
        <f>IF(T300="","",(IF(ISNUMBER(SEARCH("exit",T300)),8760,IF(AND(M300="Dusk to Dawn",'Proposed Lighting'!AU300=3),4059,IF(AND(AU300=3,M300="1"),0,IF(AND(AU300=3,M300="1-C"),0,IF(AND(AU300=3,M300="2"),0,IF(AND(AU300=3,M300="2-C"),0,IF(AND(AU300=3,M300="3"),0,IF(AND(AU300=3,M300="3-C"),0,IF(AND(AU300=2,M300="Dusk to Dawn"),0,IF(AND(AU300=2,M300="Dusk to Dawn-C"),0,IF(AND(AU300=2,M300="Dusk to Dawn"),0,IF(AND(AU300=2,M300="E"),0,IF(AND(AU300=2,M300="E-C"),0,EG300)))))))))))))))</f>
        <v/>
      </c>
      <c r="AI300" s="1754"/>
      <c r="AJ300" s="1136"/>
      <c r="AK300" s="1136"/>
      <c r="AL300" s="1748">
        <f t="shared" si="333"/>
        <v>0</v>
      </c>
      <c r="AM300" s="1749"/>
      <c r="AN300" s="1750"/>
      <c r="AO300" s="476">
        <f t="shared" si="317"/>
        <v>0</v>
      </c>
      <c r="AP300" s="476">
        <f t="shared" si="334"/>
        <v>0</v>
      </c>
      <c r="AQ300" s="475">
        <f t="shared" si="318"/>
        <v>0</v>
      </c>
      <c r="AR300" s="475">
        <f t="shared" si="335"/>
        <v>0</v>
      </c>
      <c r="AS300" s="743" t="str">
        <f t="shared" si="387"/>
        <v/>
      </c>
      <c r="AT300" s="736" t="str">
        <f t="shared" si="336"/>
        <v/>
      </c>
      <c r="AU300" s="56">
        <f t="shared" si="337"/>
        <v>1</v>
      </c>
      <c r="AV300" s="476">
        <f t="shared" si="338"/>
        <v>0</v>
      </c>
      <c r="AW300" s="56">
        <f t="shared" si="339"/>
        <v>0</v>
      </c>
      <c r="AX300" s="475">
        <f t="shared" si="319"/>
        <v>0</v>
      </c>
      <c r="AY300" s="1169">
        <f t="shared" si="340"/>
        <v>0</v>
      </c>
      <c r="AZ300" s="1150">
        <f t="shared" si="379"/>
        <v>0</v>
      </c>
      <c r="BA300" s="56">
        <f t="shared" si="320"/>
        <v>0</v>
      </c>
      <c r="BB300" s="420">
        <f t="shared" si="321"/>
        <v>0</v>
      </c>
      <c r="BC300" s="58" t="str">
        <f t="shared" si="322"/>
        <v/>
      </c>
      <c r="BD300" s="660">
        <f t="shared" si="380"/>
        <v>0</v>
      </c>
      <c r="BE300" s="57" t="e">
        <f t="array" ref="BE300">INDEX($EB$11:$ED$1022,MATCH(F300&amp;T300,$EB$11:$EB$1007&amp;$EC$11:$EC$1007,0),3)</f>
        <v>#N/A</v>
      </c>
      <c r="BF300" s="463">
        <f t="shared" si="388"/>
        <v>0</v>
      </c>
      <c r="BG300" s="1445" t="e">
        <f t="array" ref="BG300">INDEX($DO$112:$DQ$123,MATCH(T300&amp;W300,$DO$114:$DO$125&amp;$DP$112:$DP$123,0),3)</f>
        <v>#N/A</v>
      </c>
      <c r="BH300" s="1446">
        <f t="shared" si="341"/>
        <v>0</v>
      </c>
      <c r="BI300" s="465">
        <f t="shared" si="342"/>
        <v>0</v>
      </c>
      <c r="BJ300" s="465">
        <f t="shared" si="343"/>
        <v>0</v>
      </c>
      <c r="BK300" s="466">
        <f t="shared" si="389"/>
        <v>0</v>
      </c>
      <c r="BL300" s="466">
        <f t="shared" si="390"/>
        <v>0</v>
      </c>
      <c r="BM300" s="466">
        <f t="shared" si="344"/>
        <v>0</v>
      </c>
      <c r="BN300" s="466">
        <f t="shared" si="345"/>
        <v>0</v>
      </c>
      <c r="BO300" s="463">
        <f>IF('Data Entry'!$C$74=0,0,IF(ISNA(CJ300),0,IF(AX300=0,0,IF(AND('Data Entry'!$C$74=2,AF300&gt;2,CE300&lt;1),0,IF(AND('Data Entry'!$C$74=2,AF300&gt;1,AU300=2,CJ300&gt;1),0,IF(AND(AF300=5,CT300=0.5,AU300=2,ER300&lt;100),0,IF(AND(AF300=5,CT300=0.5,AU300=3,ER300&lt;100),0,IF(AND('Data Entry'!$C$74=2,AF300=2,AU300=2,AK300&gt;0.01,CB300=2,CE300&lt;1),0,IF(AND('Data Entry'!$C$74=2,AF300=3,AU300=3,AK300&gt;0.01,CB300=3,CE300&lt;1),0,IF(AND('Data Entry'!$C$74=2,AF300=3,AU300=3,AK300&gt;0.01,CB300=3,CE300&gt;0.99),BQ300*0.08,IF(AND('Data Entry'!$C$74=2,AF300=2,AU300=2,AK300&gt;0.01,CB300=2,CE300&gt;0.99),BQ300*0.1,IF(AND(AU300=2,AK300&gt;0.01,CB300=2,CD300&gt;1),BQ300*0.1,IF(AND(AU300=3,AK300&gt;0.01,CB300=3,CD300&gt;1),BQ300*0.08,CJ300*EF300)))))))))))))</f>
        <v>0</v>
      </c>
      <c r="BP300" s="475">
        <f t="shared" si="346"/>
        <v>0</v>
      </c>
      <c r="BQ300" s="1431">
        <f>IF(AU300=1,0,IF(CH300=100,0,IF(AND(AF300=3,AU300=2),0,IF(AND(BH300=0,CT300&gt;0.4),0,IF(AND('Data Entry'!$C$74=2,AF300=1.5),0,IF(AND('Data Entry'!$C$74=2,AF300=1.6),0,IF(AND('Data Entry'!$C$74=2,AF300=4),0,IF(AND('Data Entry'!$C$74=2,AF300=5),0,IF(AND('Data Entry'!$C$74=2,AF300=2.5,CE300&lt;1),0,IF(AND('Data Entry'!$C$74=2,AF300=3,CE300&lt;1),0,IF(AND('Data Entry'!$C$74=1,AF300=2.5,CD300&lt;1),0,IF(AND('Data Entry'!$C$74=1,AF300=3,CD300&lt;1),0,IF(DX300&gt;0.01,DX300,IF(ISERROR(AX300-AY300),"",ROUND(AX300-AY300,2)))))))))))))))</f>
        <v>0</v>
      </c>
      <c r="BR300" s="146">
        <f t="shared" si="347"/>
        <v>0</v>
      </c>
      <c r="BS300" s="475">
        <f t="shared" si="348"/>
        <v>0</v>
      </c>
      <c r="BT300" s="146" t="b">
        <f t="shared" si="349"/>
        <v>0</v>
      </c>
      <c r="BU300" s="463">
        <f>IF(ISNA(AT300),0,IF(AND('Data Entry'!$C$74=2,BC300=27),0,IF(AND('Data Entry'!$C$74=2,BC300=28),0,IF(AND(BC300=27,BT300=27,CM300&gt;0.1),CM300*0.15,IF(AND(BC300=28,BT300=28,CM300&gt;0.1),CM300*0.12,0)))))</f>
        <v>0</v>
      </c>
      <c r="BV300" s="463">
        <f t="shared" si="386"/>
        <v>0</v>
      </c>
      <c r="BW300" s="463">
        <f t="shared" si="350"/>
        <v>0</v>
      </c>
      <c r="BX300" s="463">
        <f t="shared" si="351"/>
        <v>0</v>
      </c>
      <c r="BY300" s="463">
        <f t="shared" si="352"/>
        <v>0</v>
      </c>
      <c r="BZ300" s="463">
        <f t="shared" si="353"/>
        <v>0</v>
      </c>
      <c r="CA300" s="57">
        <f t="shared" si="381"/>
        <v>0</v>
      </c>
      <c r="CB300" s="56">
        <f t="shared" si="354"/>
        <v>1</v>
      </c>
      <c r="CC300" s="756">
        <f>IF(EE300=0,0,IF(EF300=0,0,IF(EE300&gt;AA300,0,IF(AND(AZ300&gt;AW300,AW300&gt;0),0,IF(CU300=0,0,Summary!AC603)))))</f>
        <v>0</v>
      </c>
      <c r="CD300" s="756">
        <f>IF(EE300=0,0,IF(EF300=0,0,IF(EE300&gt;AA300,0,IF(AND(AZ300&gt;AW300,AW300&gt;0),0,IF(CU300=0,0,Summary!AD603)))))</f>
        <v>0</v>
      </c>
      <c r="CE300" s="756">
        <f>IF(EF300=0,0,IF(EE300&gt;AA300,0,IF(CC300=0,0,IF(AND(AZ300&gt;AW300,AW300&gt;0),0,IF(CU300=0,0,Summary!AE603)))))</f>
        <v>0</v>
      </c>
      <c r="CF300" s="475">
        <f t="shared" si="355"/>
        <v>0</v>
      </c>
      <c r="CG300" s="476">
        <f t="shared" si="323"/>
        <v>0</v>
      </c>
      <c r="CH300" s="487">
        <f t="shared" si="356"/>
        <v>0</v>
      </c>
      <c r="CI300" s="756">
        <f t="shared" si="357"/>
        <v>0</v>
      </c>
      <c r="CJ300" s="487">
        <f>IF(CT300&gt;0.4,0,IF(AND(AU300=2,CH300=0,CT300=0.5,ER300=100),35,IF(AND(AU300=3,BB300&gt;75,CH300=0,CT300=0.5,ER300=100),25,IF(CB300&gt;1,0,IF(EF300&gt;EE300,0,IF(AND(AF300&gt;1,CH300=100),0,IF(AND(AF300=1,AY300=0),0,IF(AND(EF300&lt;=EE300,AW300&gt;=AZ300,'Data Entry'!$C$74=1,AU300=2),VLOOKUP(W300,$DO$96:$DP$102,2,FALSE),IF(AND(EF300&lt;=EE300,AW300&gt;=AZ300,AU300=3,'Data Entry'!$C$74=1),VLOOKUP(W300,$DO$127:$DP$134,2,FALSE))))))))))</f>
        <v>0</v>
      </c>
      <c r="CK300" s="716">
        <f t="shared" si="358"/>
        <v>0</v>
      </c>
      <c r="CL300" s="57">
        <f t="shared" si="359"/>
        <v>0</v>
      </c>
      <c r="CM300" s="475">
        <f t="shared" si="385"/>
        <v>0</v>
      </c>
      <c r="CN300" s="660">
        <f>IF(CM300&lt;0.1,0,IF(ISNA(AT300),0,IF(CL300+BC300=1,0,IF(BV300&gt;0.01,0,IF(CL300&gt;0.01,0,IF(CF300=1,0,IF(BC300=0.5,0,IF(AND(CI300=1,AU300=3),0,IF(AND(CI300=5,CL300=0),0,IF(AND(R300=12,BR300=50),0,IF(CK300&gt;0.01,0,IF(AND(AJ300&gt;0.01,AU300=2,BC300=15),CM300*0.1,IF(AND(AJ300&gt;0.01,AU300=3,BC300=15),CM300*0.08,IF(AND(R300=12,BC300=3,AF300&lt;=0),0,IF(AND(BC300=15,BI300=0),0,IF(AND(BC300=15,BJ300=0),0,IF(AND(R300=20,CU300=0),0,IF($X$4=0,0,IF(AND(BC300=250,CL300=0),0,IF(AA300&lt;1,0,IF(AND(ISNUMBER(SEARCH("Area",T300)),AU300=3),0,IF(AND(AQ300&gt;0.01,AR300=0,BK300=0,BL300=0,BM300=0,BN300=0),0,IF(AND(AU300=3,CI300=7,CT300&gt;0.5),0,IF(AND(BC300=44,AU300=3,BY300=0),0,IF(AND(BC300=27,'Data Entry'!$C$74=2),0,IF(AND(BC300=28,'Data Entry'!$C$74=2),0,IF(AND(BY300+BZ300+CA300&gt;0.01,BV300=0,EQ300+ER300+ES300+ET300&lt;100),0,IF(AU300=3,CM300*0.08,IF(AU300=2,CM300*0.1,0)))))))))))))))))))))))))))))</f>
        <v>0</v>
      </c>
      <c r="CO300" s="660">
        <f t="shared" si="360"/>
        <v>0</v>
      </c>
      <c r="CP300" s="475" t="str">
        <f t="shared" si="361"/>
        <v/>
      </c>
      <c r="CQ300" s="161" t="str">
        <f>IF(AH300=0,0,IF(AU300=5,0,Summary!AC303))</f>
        <v/>
      </c>
      <c r="CR300" s="161" t="str">
        <f>IF(BF300=0.5,0,IF(AU300=5,0,Summary!AD303))</f>
        <v/>
      </c>
      <c r="CS300" s="161" t="str">
        <f>IF(AU300=5,0,Summary!AE303)</f>
        <v/>
      </c>
      <c r="CT300" s="161">
        <f t="shared" si="362"/>
        <v>0</v>
      </c>
      <c r="CU300" s="475" t="str">
        <f t="shared" si="363"/>
        <v/>
      </c>
      <c r="CV300" s="307">
        <f>IF('Data Entry'!$C$74=0,0,IF(AA300&lt;1,0,IF(ISERROR(CU300),0,IF(CF300=1,0,IF(AND(R300=12,BR300=50),0,IF(CL300+BO300+BV300+DC300=0,0,IF(BC300=37,0,IF(AND(BC300=40,AJ300=0),0,IF(AND(BC300=37,BO300&gt;0.01,BQ300&gt;0.01),ROUND(BQ300,0),IF(CM300&lt;0,0,ROUND(CM300,0)))))))))))</f>
        <v>0</v>
      </c>
      <c r="CW300" s="700">
        <f t="shared" si="364"/>
        <v>0</v>
      </c>
      <c r="CX300" s="477">
        <f>IF('Data Entry'!$C$74=0,0,IF(CV300&lt;0.01,0,IF(BF300=0.5,0,IF(CF300=1,0,IF(ISNUMBER(SEARCH("false",CL300)),0,IF(AZ300=500,0,CL300))))))</f>
        <v>0</v>
      </c>
      <c r="CY300" s="147" t="e">
        <f t="shared" si="365"/>
        <v>#VALUE!</v>
      </c>
      <c r="CZ300" s="147" t="b">
        <f>IF(CN300+CL300=0,FALSE,IF(AH300=0,0,IF(AND('Data Entry'!$C$74=1,CR300&gt;=1),TRUE,IF(AND('Data Entry'!$C$74=2,CS300&gt;=1),TRUE,FALSE))))</f>
        <v>0</v>
      </c>
      <c r="DA300" s="1751">
        <f>IF('Data Entry'!$C$74=0,0,IFERROR(ROUND(IF(T300="","",IF($X$4=0,0,IF(CF300=1,0,IF(BQ300+CV300=0,0,IF(CF300=1,0,IF(CY300&gt;0.01,CY300,IF(CL300&gt;0.01,CL300,IF(CY300&gt;0.01,CY300,IF(BC300=37,BO300,IF(CZ300=FALSE,0,IF(CZ300=TRUE,DC300+DF300,0))))))))))),2),""))</f>
        <v>0</v>
      </c>
      <c r="DB300" s="1752"/>
      <c r="DC300" s="474">
        <f>IF(CN300&lt;0.01,0,IF(AND(BR300=3,CN300&gt;0.01,CT300&gt;0.6,ER300+ES300+ET300&lt;100),0,IF(AND('Data Entry'!$C$74=1,CN300&gt;0.01,CR300&gt;0.99),MIN(CN300:CO300),IF(AND('Data Entry'!$C$74=2,CN300&gt;0.01,CS300&gt;0.99),MIN(CN300:CO300),0))))</f>
        <v>0</v>
      </c>
      <c r="DD300" s="478">
        <f>IF(CF300=1,"Selection does not match",IF(T300=0,0,IF(AND('Data Entry'!$C$74=0,CP300&gt;1),"Select Oregon or Idaho on Data Entry Tab",IF(AND(AU300=1,AA300&gt;0.9),"Missing Interior or Exterior Selection",IF($X$4=0,"Enter Total Project Cost",IF(AQ300&lt;AR300,"Insufficient kWh savings – no incentive",IF(AND(SUM(CL300+CK300+BV300)&gt;0.01,'Data Entry'!$C$74=2,CJ300&gt;1,BO300=0),"Submit Control as Non-Standard",IF(AND('Data Entry'!$C$74=2,BR300=37,CJ300&gt;1,BO300=0),"Submit Control as Non-Standard",IF(SUM(CL300+CK300+BV300)&gt;0.01,"Standard Incentive",IF(AND('Data Entry'!$C$74=2,CP300=7,CN300=0),"Submit as Non-Standard",IF(DC300&gt;0.9,"Non-Standard Incentive",IF(AND(BY300+BZ300+CA300&gt;0.01,BV300=0,EQ300=0,ER300=0,ES300=0,ET300=0),"Scroll Right &amp; Select Control Strategies",IF(AND(CN300&gt;0.01,CO300=0),"Enter Unit Installed Cost",IF(ISNUMBER(SEARCH("Lighting Controls Only",F300)),"Lighting Controls Only",IF(CL300+DC300=0,"Does not meet incentive criteria",0)))))))))))))))</f>
        <v>0</v>
      </c>
      <c r="DE300" s="337">
        <f t="shared" si="366"/>
        <v>0</v>
      </c>
      <c r="DF300" s="609">
        <f t="shared" si="367"/>
        <v>0</v>
      </c>
      <c r="DG300" s="336" t="str">
        <f t="shared" si="368"/>
        <v/>
      </c>
      <c r="DH300" s="338">
        <f t="shared" si="369"/>
        <v>1</v>
      </c>
      <c r="DI300" s="336" t="e">
        <f t="shared" si="324"/>
        <v>#VALUE!</v>
      </c>
      <c r="DJ300" s="338">
        <f t="shared" si="325"/>
        <v>0</v>
      </c>
      <c r="DO300" s="81"/>
      <c r="DP300" s="81"/>
      <c r="DQ300" s="377"/>
      <c r="DR300" s="5"/>
      <c r="DS300" s="1195">
        <f t="shared" si="370"/>
        <v>0</v>
      </c>
      <c r="DT300" s="344" t="b">
        <f t="shared" si="371"/>
        <v>1</v>
      </c>
      <c r="DU300" s="1314" t="str">
        <f t="array" ref="DU300">IF(OR(COUNTIF(F300,"*"&amp;$DK$9:$DK$178&amp;"*")), "Yes", "")</f>
        <v/>
      </c>
      <c r="DV300" s="1314">
        <f t="shared" si="372"/>
        <v>0</v>
      </c>
      <c r="DW300" s="1480">
        <f t="shared" si="373"/>
        <v>0</v>
      </c>
      <c r="DX300" s="1498">
        <f t="shared" si="382"/>
        <v>0</v>
      </c>
      <c r="DY300" s="1484">
        <f t="shared" si="374"/>
        <v>0</v>
      </c>
      <c r="DZ300" s="331"/>
      <c r="EA300" s="392"/>
      <c r="EB300" s="1499" t="s">
        <v>516</v>
      </c>
      <c r="EC300" s="727" t="s">
        <v>1569</v>
      </c>
      <c r="ED300" s="1100">
        <v>0.5</v>
      </c>
      <c r="EE300" s="1215"/>
      <c r="EF300" s="1215"/>
      <c r="EG300" s="1184" t="str">
        <f t="shared" si="375"/>
        <v/>
      </c>
      <c r="EJ300" s="1185">
        <f t="shared" si="326"/>
        <v>0</v>
      </c>
      <c r="EK300" s="1211"/>
      <c r="EL300" s="1180">
        <f t="shared" si="327"/>
        <v>0</v>
      </c>
      <c r="EM300" s="206"/>
      <c r="EN300" s="1038"/>
      <c r="EO300" s="1038"/>
      <c r="EP300" s="1038"/>
      <c r="EQ300" s="1038">
        <f t="shared" si="376"/>
        <v>0</v>
      </c>
      <c r="ER300" s="1041">
        <f t="shared" si="377"/>
        <v>0</v>
      </c>
      <c r="ES300" s="1042">
        <f t="shared" si="378"/>
        <v>0</v>
      </c>
      <c r="ET300" s="1042">
        <f t="shared" si="383"/>
        <v>0</v>
      </c>
      <c r="EU300" s="1021">
        <f t="shared" si="384"/>
        <v>0</v>
      </c>
      <c r="EV300" s="368"/>
      <c r="EW300" s="368"/>
      <c r="EX300" s="369"/>
      <c r="EY300" s="370"/>
      <c r="EZ300" s="370"/>
      <c r="FA300" s="371"/>
      <c r="FB300" s="372"/>
    </row>
    <row r="301" spans="1:158" ht="34.5" customHeight="1">
      <c r="A301" s="82">
        <v>293</v>
      </c>
      <c r="B301" s="1806"/>
      <c r="C301" s="1807"/>
      <c r="D301" s="1807"/>
      <c r="E301" s="1808"/>
      <c r="F301" s="1809"/>
      <c r="G301" s="1810"/>
      <c r="H301" s="1810"/>
      <c r="I301" s="1811"/>
      <c r="J301" s="1301"/>
      <c r="K301" s="1814"/>
      <c r="L301" s="1814"/>
      <c r="M301" s="1017"/>
      <c r="N301" s="1584"/>
      <c r="O301" s="208" t="str">
        <f t="shared" si="314"/>
        <v/>
      </c>
      <c r="P301" s="785"/>
      <c r="Q301" s="39" t="str">
        <f t="shared" si="315"/>
        <v/>
      </c>
      <c r="R301" s="39">
        <f t="shared" si="328"/>
        <v>0</v>
      </c>
      <c r="S301" s="234">
        <f t="shared" si="329"/>
        <v>0</v>
      </c>
      <c r="T301" s="1815"/>
      <c r="U301" s="1815"/>
      <c r="V301" s="1815"/>
      <c r="W301" s="1121"/>
      <c r="X301" s="1812"/>
      <c r="Y301" s="1813"/>
      <c r="Z301" s="703"/>
      <c r="AA301" s="1280"/>
      <c r="AB301" s="1141"/>
      <c r="AC301" s="1103" t="str">
        <f>IF(T301="","",VLOOKUP(Z301,Lists!$A$60:$B$111,2,FALSE))</f>
        <v/>
      </c>
      <c r="AD301" s="130" t="str">
        <f t="shared" si="330"/>
        <v/>
      </c>
      <c r="AE301" s="130" t="e">
        <f t="shared" si="331"/>
        <v>#VALUE!</v>
      </c>
      <c r="AF301" s="130">
        <f t="shared" si="332"/>
        <v>1</v>
      </c>
      <c r="AG301" s="234">
        <f t="shared" si="316"/>
        <v>0</v>
      </c>
      <c r="AH301" s="1753" t="str">
        <f>IF(T301="","",(IF(ISNUMBER(SEARCH("exit",T301)),8760,IF(AND(M301="Dusk to Dawn",'Proposed Lighting'!AU301=3),4059,IF(AND(AU301=3,M301="1"),0,IF(AND(AU301=3,M301="1-C"),0,IF(AND(AU301=3,M301="2"),0,IF(AND(AU301=3,M301="2-C"),0,IF(AND(AU301=3,M301="3"),0,IF(AND(AU301=3,M301="3-C"),0,IF(AND(AU301=2,M301="Dusk to Dawn"),0,IF(AND(AU301=2,M301="Dusk to Dawn-C"),0,IF(AND(AU301=2,M301="Dusk to Dawn"),0,IF(AND(AU301=2,M301="E"),0,IF(AND(AU301=2,M301="E-C"),0,EG301)))))))))))))))</f>
        <v/>
      </c>
      <c r="AI301" s="1754"/>
      <c r="AJ301" s="1136"/>
      <c r="AK301" s="1136"/>
      <c r="AL301" s="1748">
        <f t="shared" si="333"/>
        <v>0</v>
      </c>
      <c r="AM301" s="1749"/>
      <c r="AN301" s="1750"/>
      <c r="AO301" s="476">
        <f t="shared" si="317"/>
        <v>0</v>
      </c>
      <c r="AP301" s="476">
        <f t="shared" si="334"/>
        <v>0</v>
      </c>
      <c r="AQ301" s="475">
        <f t="shared" si="318"/>
        <v>0</v>
      </c>
      <c r="AR301" s="475">
        <f t="shared" si="335"/>
        <v>0</v>
      </c>
      <c r="AS301" s="743" t="str">
        <f t="shared" si="387"/>
        <v/>
      </c>
      <c r="AT301" s="736" t="str">
        <f t="shared" si="336"/>
        <v/>
      </c>
      <c r="AU301" s="56">
        <f t="shared" si="337"/>
        <v>1</v>
      </c>
      <c r="AV301" s="476">
        <f t="shared" si="338"/>
        <v>0</v>
      </c>
      <c r="AW301" s="56">
        <f t="shared" si="339"/>
        <v>0</v>
      </c>
      <c r="AX301" s="475">
        <f t="shared" si="319"/>
        <v>0</v>
      </c>
      <c r="AY301" s="1169">
        <f t="shared" si="340"/>
        <v>0</v>
      </c>
      <c r="AZ301" s="1150">
        <f t="shared" si="379"/>
        <v>0</v>
      </c>
      <c r="BA301" s="56">
        <f t="shared" si="320"/>
        <v>0</v>
      </c>
      <c r="BB301" s="420">
        <f t="shared" si="321"/>
        <v>0</v>
      </c>
      <c r="BC301" s="58" t="str">
        <f t="shared" si="322"/>
        <v/>
      </c>
      <c r="BD301" s="660">
        <f t="shared" si="380"/>
        <v>0</v>
      </c>
      <c r="BE301" s="57" t="e">
        <f t="array" ref="BE301">INDEX($EB$11:$ED$1022,MATCH(F301&amp;T301,$EB$11:$EB$1007&amp;$EC$11:$EC$1007,0),3)</f>
        <v>#N/A</v>
      </c>
      <c r="BF301" s="463">
        <f t="shared" si="388"/>
        <v>0</v>
      </c>
      <c r="BG301" s="1445" t="e">
        <f t="array" ref="BG301">INDEX($DO$112:$DQ$123,MATCH(T301&amp;W301,$DO$114:$DO$125&amp;$DP$112:$DP$123,0),3)</f>
        <v>#N/A</v>
      </c>
      <c r="BH301" s="1446">
        <f t="shared" si="341"/>
        <v>0</v>
      </c>
      <c r="BI301" s="465">
        <f t="shared" si="342"/>
        <v>0</v>
      </c>
      <c r="BJ301" s="465">
        <f t="shared" si="343"/>
        <v>0</v>
      </c>
      <c r="BK301" s="466">
        <f t="shared" si="389"/>
        <v>0</v>
      </c>
      <c r="BL301" s="466">
        <f t="shared" si="390"/>
        <v>0</v>
      </c>
      <c r="BM301" s="466">
        <f t="shared" si="344"/>
        <v>0</v>
      </c>
      <c r="BN301" s="466">
        <f t="shared" si="345"/>
        <v>0</v>
      </c>
      <c r="BO301" s="463">
        <f>IF('Data Entry'!$C$74=0,0,IF(ISNA(CJ301),0,IF(AX301=0,0,IF(AND('Data Entry'!$C$74=2,AF301&gt;2,CE301&lt;1),0,IF(AND('Data Entry'!$C$74=2,AF301&gt;1,AU301=2,CJ301&gt;1),0,IF(AND(AF301=5,CT301=0.5,AU301=2,ER301&lt;100),0,IF(AND(AF301=5,CT301=0.5,AU301=3,ER301&lt;100),0,IF(AND('Data Entry'!$C$74=2,AF301=2,AU301=2,AK301&gt;0.01,CB301=2,CE301&lt;1),0,IF(AND('Data Entry'!$C$74=2,AF301=3,AU301=3,AK301&gt;0.01,CB301=3,CE301&lt;1),0,IF(AND('Data Entry'!$C$74=2,AF301=3,AU301=3,AK301&gt;0.01,CB301=3,CE301&gt;0.99),BQ301*0.08,IF(AND('Data Entry'!$C$74=2,AF301=2,AU301=2,AK301&gt;0.01,CB301=2,CE301&gt;0.99),BQ301*0.1,IF(AND(AU301=2,AK301&gt;0.01,CB301=2,CD301&gt;1),BQ301*0.1,IF(AND(AU301=3,AK301&gt;0.01,CB301=3,CD301&gt;1),BQ301*0.08,CJ301*EF301)))))))))))))</f>
        <v>0</v>
      </c>
      <c r="BP301" s="475">
        <f t="shared" si="346"/>
        <v>0</v>
      </c>
      <c r="BQ301" s="1431">
        <f>IF(AU301=1,0,IF(CH301=100,0,IF(AND(AF301=3,AU301=2),0,IF(AND(BH301=0,CT301&gt;0.4),0,IF(AND('Data Entry'!$C$74=2,AF301=1.5),0,IF(AND('Data Entry'!$C$74=2,AF301=1.6),0,IF(AND('Data Entry'!$C$74=2,AF301=4),0,IF(AND('Data Entry'!$C$74=2,AF301=5),0,IF(AND('Data Entry'!$C$74=2,AF301=2.5,CE301&lt;1),0,IF(AND('Data Entry'!$C$74=2,AF301=3,CE301&lt;1),0,IF(AND('Data Entry'!$C$74=1,AF301=2.5,CD301&lt;1),0,IF(AND('Data Entry'!$C$74=1,AF301=3,CD301&lt;1),0,IF(DX301&gt;0.01,DX301,IF(ISERROR(AX301-AY301),"",ROUND(AX301-AY301,2)))))))))))))))</f>
        <v>0</v>
      </c>
      <c r="BR301" s="146">
        <f t="shared" si="347"/>
        <v>0</v>
      </c>
      <c r="BS301" s="475">
        <f t="shared" si="348"/>
        <v>0</v>
      </c>
      <c r="BT301" s="146" t="b">
        <f t="shared" si="349"/>
        <v>0</v>
      </c>
      <c r="BU301" s="463">
        <f>IF(ISNA(AT301),0,IF(AND('Data Entry'!$C$74=2,BC301=27),0,IF(AND('Data Entry'!$C$74=2,BC301=28),0,IF(AND(BC301=27,BT301=27,CM301&gt;0.1),CM301*0.15,IF(AND(BC301=28,BT301=28,CM301&gt;0.1),CM301*0.12,0)))))</f>
        <v>0</v>
      </c>
      <c r="BV301" s="463">
        <f t="shared" si="386"/>
        <v>0</v>
      </c>
      <c r="BW301" s="463">
        <f t="shared" si="350"/>
        <v>0</v>
      </c>
      <c r="BX301" s="463">
        <f t="shared" si="351"/>
        <v>0</v>
      </c>
      <c r="BY301" s="463">
        <f t="shared" si="352"/>
        <v>0</v>
      </c>
      <c r="BZ301" s="463">
        <f t="shared" si="353"/>
        <v>0</v>
      </c>
      <c r="CA301" s="57">
        <f t="shared" si="381"/>
        <v>0</v>
      </c>
      <c r="CB301" s="56">
        <f t="shared" si="354"/>
        <v>1</v>
      </c>
      <c r="CC301" s="756">
        <f>IF(EE301=0,0,IF(EF301=0,0,IF(EE301&gt;AA301,0,IF(AND(AZ301&gt;AW301,AW301&gt;0),0,IF(CU301=0,0,Summary!AC604)))))</f>
        <v>0</v>
      </c>
      <c r="CD301" s="756">
        <f>IF(EE301=0,0,IF(EF301=0,0,IF(EE301&gt;AA301,0,IF(AND(AZ301&gt;AW301,AW301&gt;0),0,IF(CU301=0,0,Summary!AD604)))))</f>
        <v>0</v>
      </c>
      <c r="CE301" s="756">
        <f>IF(EF301=0,0,IF(EE301&gt;AA301,0,IF(CC301=0,0,IF(AND(AZ301&gt;AW301,AW301&gt;0),0,IF(CU301=0,0,Summary!AE604)))))</f>
        <v>0</v>
      </c>
      <c r="CF301" s="475">
        <f t="shared" si="355"/>
        <v>0</v>
      </c>
      <c r="CG301" s="476">
        <f t="shared" si="323"/>
        <v>0</v>
      </c>
      <c r="CH301" s="487">
        <f t="shared" si="356"/>
        <v>0</v>
      </c>
      <c r="CI301" s="756">
        <f t="shared" si="357"/>
        <v>0</v>
      </c>
      <c r="CJ301" s="487">
        <f>IF(CT301&gt;0.4,0,IF(AND(AU301=2,CH301=0,CT301=0.5,ER301=100),35,IF(AND(AU301=3,BB301&gt;75,CH301=0,CT301=0.5,ER301=100),25,IF(CB301&gt;1,0,IF(EF301&gt;EE301,0,IF(AND(AF301&gt;1,CH301=100),0,IF(AND(AF301=1,AY301=0),0,IF(AND(EF301&lt;=EE301,AW301&gt;=AZ301,'Data Entry'!$C$74=1,AU301=2),VLOOKUP(W301,$DO$96:$DP$102,2,FALSE),IF(AND(EF301&lt;=EE301,AW301&gt;=AZ301,AU301=3,'Data Entry'!$C$74=1),VLOOKUP(W301,$DO$127:$DP$134,2,FALSE))))))))))</f>
        <v>0</v>
      </c>
      <c r="CK301" s="716">
        <f t="shared" si="358"/>
        <v>0</v>
      </c>
      <c r="CL301" s="57">
        <f t="shared" si="359"/>
        <v>0</v>
      </c>
      <c r="CM301" s="475">
        <f t="shared" si="385"/>
        <v>0</v>
      </c>
      <c r="CN301" s="660">
        <f>IF(CM301&lt;0.1,0,IF(ISNA(AT301),0,IF(CL301+BC301=1,0,IF(BV301&gt;0.01,0,IF(CL301&gt;0.01,0,IF(CF301=1,0,IF(BC301=0.5,0,IF(AND(CI301=1,AU301=3),0,IF(AND(CI301=5,CL301=0),0,IF(AND(R301=12,BR301=50),0,IF(CK301&gt;0.01,0,IF(AND(AJ301&gt;0.01,AU301=2,BC301=15),CM301*0.1,IF(AND(AJ301&gt;0.01,AU301=3,BC301=15),CM301*0.08,IF(AND(R301=12,BC301=3,AF301&lt;=0),0,IF(AND(BC301=15,BI301=0),0,IF(AND(BC301=15,BJ301=0),0,IF(AND(R301=20,CU301=0),0,IF($X$4=0,0,IF(AND(BC301=250,CL301=0),0,IF(AA301&lt;1,0,IF(AND(ISNUMBER(SEARCH("Area",T301)),AU301=3),0,IF(AND(AQ301&gt;0.01,AR301=0,BK301=0,BL301=0,BM301=0,BN301=0),0,IF(AND(AU301=3,CI301=7,CT301&gt;0.5),0,IF(AND(BC301=44,AU301=3,BY301=0),0,IF(AND(BC301=27,'Data Entry'!$C$74=2),0,IF(AND(BC301=28,'Data Entry'!$C$74=2),0,IF(AND(BY301+BZ301+CA301&gt;0.01,BV301=0,EQ301+ER301+ES301+ET301&lt;100),0,IF(AU301=3,CM301*0.08,IF(AU301=2,CM301*0.1,0)))))))))))))))))))))))))))))</f>
        <v>0</v>
      </c>
      <c r="CO301" s="660">
        <f t="shared" si="360"/>
        <v>0</v>
      </c>
      <c r="CP301" s="475" t="str">
        <f t="shared" si="361"/>
        <v/>
      </c>
      <c r="CQ301" s="161" t="str">
        <f>IF(AH301=0,0,IF(AU301=5,0,Summary!AC304))</f>
        <v/>
      </c>
      <c r="CR301" s="161" t="str">
        <f>IF(BF301=0.5,0,IF(AU301=5,0,Summary!AD304))</f>
        <v/>
      </c>
      <c r="CS301" s="161" t="str">
        <f>IF(AU301=5,0,Summary!AE304)</f>
        <v/>
      </c>
      <c r="CT301" s="161">
        <f t="shared" si="362"/>
        <v>0</v>
      </c>
      <c r="CU301" s="475" t="str">
        <f t="shared" si="363"/>
        <v/>
      </c>
      <c r="CV301" s="307">
        <f>IF('Data Entry'!$C$74=0,0,IF(AA301&lt;1,0,IF(ISERROR(CU301),0,IF(CF301=1,0,IF(AND(R301=12,BR301=50),0,IF(CL301+BO301+BV301+DC301=0,0,IF(BC301=37,0,IF(AND(BC301=40,AJ301=0),0,IF(AND(BC301=37,BO301&gt;0.01,BQ301&gt;0.01),ROUND(BQ301,0),IF(CM301&lt;0,0,ROUND(CM301,0)))))))))))</f>
        <v>0</v>
      </c>
      <c r="CW301" s="700">
        <f t="shared" si="364"/>
        <v>0</v>
      </c>
      <c r="CX301" s="477">
        <f>IF('Data Entry'!$C$74=0,0,IF(CV301&lt;0.01,0,IF(BF301=0.5,0,IF(CF301=1,0,IF(ISNUMBER(SEARCH("false",CL301)),0,IF(AZ301=500,0,CL301))))))</f>
        <v>0</v>
      </c>
      <c r="CY301" s="147" t="e">
        <f t="shared" si="365"/>
        <v>#VALUE!</v>
      </c>
      <c r="CZ301" s="147" t="b">
        <f>IF(CN301+CL301=0,FALSE,IF(AH301=0,0,IF(AND('Data Entry'!$C$74=1,CR301&gt;=1),TRUE,IF(AND('Data Entry'!$C$74=2,CS301&gt;=1),TRUE,FALSE))))</f>
        <v>0</v>
      </c>
      <c r="DA301" s="1751">
        <f>IF('Data Entry'!$C$74=0,0,IFERROR(ROUND(IF(T301="","",IF($X$4=0,0,IF(CF301=1,0,IF(BQ301+CV301=0,0,IF(CF301=1,0,IF(CY301&gt;0.01,CY301,IF(CL301&gt;0.01,CL301,IF(CY301&gt;0.01,CY301,IF(BC301=37,BO301,IF(CZ301=FALSE,0,IF(CZ301=TRUE,DC301+DF301,0))))))))))),2),""))</f>
        <v>0</v>
      </c>
      <c r="DB301" s="1752"/>
      <c r="DC301" s="474">
        <f>IF(CN301&lt;0.01,0,IF(AND(BR301=3,CN301&gt;0.01,CT301&gt;0.6,ER301+ES301+ET301&lt;100),0,IF(AND('Data Entry'!$C$74=1,CN301&gt;0.01,CR301&gt;0.99),MIN(CN301:CO301),IF(AND('Data Entry'!$C$74=2,CN301&gt;0.01,CS301&gt;0.99),MIN(CN301:CO301),0))))</f>
        <v>0</v>
      </c>
      <c r="DD301" s="478">
        <f>IF(CF301=1,"Selection does not match",IF(T301=0,0,IF(AND('Data Entry'!$C$74=0,CP301&gt;1),"Select Oregon or Idaho on Data Entry Tab",IF(AND(AU301=1,AA301&gt;0.9),"Missing Interior or Exterior Selection",IF($X$4=0,"Enter Total Project Cost",IF(AQ301&lt;AR301,"Insufficient kWh savings – no incentive",IF(AND(SUM(CL301+CK301+BV301)&gt;0.01,'Data Entry'!$C$74=2,CJ301&gt;1,BO301=0),"Submit Control as Non-Standard",IF(AND('Data Entry'!$C$74=2,BR301=37,CJ301&gt;1,BO301=0),"Submit Control as Non-Standard",IF(SUM(CL301+CK301+BV301)&gt;0.01,"Standard Incentive",IF(AND('Data Entry'!$C$74=2,CP301=7,CN301=0),"Submit as Non-Standard",IF(DC301&gt;0.9,"Non-Standard Incentive",IF(AND(BY301+BZ301+CA301&gt;0.01,BV301=0,EQ301=0,ER301=0,ES301=0,ET301=0),"Scroll Right &amp; Select Control Strategies",IF(AND(CN301&gt;0.01,CO301=0),"Enter Unit Installed Cost",IF(ISNUMBER(SEARCH("Lighting Controls Only",F301)),"Lighting Controls Only",IF(CL301+DC301=0,"Does not meet incentive criteria",0)))))))))))))))</f>
        <v>0</v>
      </c>
      <c r="DE301" s="337">
        <f t="shared" si="366"/>
        <v>0</v>
      </c>
      <c r="DF301" s="609">
        <f t="shared" si="367"/>
        <v>0</v>
      </c>
      <c r="DG301" s="336" t="str">
        <f t="shared" si="368"/>
        <v/>
      </c>
      <c r="DH301" s="338">
        <f t="shared" si="369"/>
        <v>1</v>
      </c>
      <c r="DI301" s="336" t="e">
        <f t="shared" si="324"/>
        <v>#VALUE!</v>
      </c>
      <c r="DJ301" s="338">
        <f t="shared" si="325"/>
        <v>0</v>
      </c>
      <c r="DO301" s="81"/>
      <c r="DP301" s="81"/>
      <c r="DQ301" s="377"/>
      <c r="DR301" s="5"/>
      <c r="DS301" s="1195">
        <f t="shared" si="370"/>
        <v>0</v>
      </c>
      <c r="DT301" s="344" t="b">
        <f t="shared" si="371"/>
        <v>1</v>
      </c>
      <c r="DU301" s="1314" t="str">
        <f t="array" ref="DU301">IF(OR(COUNTIF(F301,"*"&amp;$DK$9:$DK$178&amp;"*")), "Yes", "")</f>
        <v/>
      </c>
      <c r="DV301" s="1314">
        <f t="shared" si="372"/>
        <v>0</v>
      </c>
      <c r="DW301" s="1480">
        <f t="shared" si="373"/>
        <v>0</v>
      </c>
      <c r="DX301" s="1498">
        <f t="shared" si="382"/>
        <v>0</v>
      </c>
      <c r="DY301" s="1484">
        <f t="shared" si="374"/>
        <v>0</v>
      </c>
      <c r="DZ301" s="331"/>
      <c r="EA301" s="392"/>
      <c r="EB301" s="1499" t="s">
        <v>515</v>
      </c>
      <c r="EC301" s="727" t="s">
        <v>1569</v>
      </c>
      <c r="ED301" s="1101">
        <v>0.5</v>
      </c>
      <c r="EE301" s="1215"/>
      <c r="EF301" s="1215"/>
      <c r="EG301" s="1184" t="str">
        <f t="shared" si="375"/>
        <v/>
      </c>
      <c r="EJ301" s="1185">
        <f t="shared" si="326"/>
        <v>0</v>
      </c>
      <c r="EK301" s="1211"/>
      <c r="EL301" s="1180">
        <f t="shared" si="327"/>
        <v>0</v>
      </c>
      <c r="EM301" s="206"/>
      <c r="EN301" s="1038"/>
      <c r="EO301" s="1038"/>
      <c r="EP301" s="1038"/>
      <c r="EQ301" s="1038">
        <f t="shared" si="376"/>
        <v>0</v>
      </c>
      <c r="ER301" s="1041">
        <f t="shared" si="377"/>
        <v>0</v>
      </c>
      <c r="ES301" s="1042">
        <f t="shared" si="378"/>
        <v>0</v>
      </c>
      <c r="ET301" s="1042">
        <f t="shared" si="383"/>
        <v>0</v>
      </c>
      <c r="EU301" s="1021">
        <f t="shared" si="384"/>
        <v>0</v>
      </c>
      <c r="EV301" s="368"/>
      <c r="EW301" s="368"/>
      <c r="EX301" s="369"/>
      <c r="EY301" s="370"/>
      <c r="EZ301" s="370"/>
      <c r="FA301" s="371"/>
      <c r="FB301" s="372"/>
    </row>
    <row r="302" spans="1:158" ht="34.5" customHeight="1">
      <c r="A302" s="82">
        <v>294</v>
      </c>
      <c r="B302" s="1806"/>
      <c r="C302" s="1807"/>
      <c r="D302" s="1807"/>
      <c r="E302" s="1808"/>
      <c r="F302" s="1809"/>
      <c r="G302" s="1810"/>
      <c r="H302" s="1810"/>
      <c r="I302" s="1811"/>
      <c r="J302" s="1301"/>
      <c r="K302" s="1814"/>
      <c r="L302" s="1814"/>
      <c r="M302" s="1017"/>
      <c r="N302" s="1584"/>
      <c r="O302" s="208" t="str">
        <f t="shared" si="314"/>
        <v/>
      </c>
      <c r="P302" s="785"/>
      <c r="Q302" s="39" t="str">
        <f t="shared" si="315"/>
        <v/>
      </c>
      <c r="R302" s="39">
        <f t="shared" si="328"/>
        <v>0</v>
      </c>
      <c r="S302" s="234">
        <f t="shared" si="329"/>
        <v>0</v>
      </c>
      <c r="T302" s="1815"/>
      <c r="U302" s="1815"/>
      <c r="V302" s="1815"/>
      <c r="W302" s="1121"/>
      <c r="X302" s="1812"/>
      <c r="Y302" s="1813"/>
      <c r="Z302" s="703"/>
      <c r="AA302" s="1280"/>
      <c r="AB302" s="1141"/>
      <c r="AC302" s="1103" t="str">
        <f>IF(T302="","",VLOOKUP(Z302,Lists!$A$60:$B$111,2,FALSE))</f>
        <v/>
      </c>
      <c r="AD302" s="130" t="str">
        <f t="shared" si="330"/>
        <v/>
      </c>
      <c r="AE302" s="130" t="e">
        <f t="shared" si="331"/>
        <v>#VALUE!</v>
      </c>
      <c r="AF302" s="130">
        <f t="shared" si="332"/>
        <v>1</v>
      </c>
      <c r="AG302" s="234">
        <f t="shared" si="316"/>
        <v>0</v>
      </c>
      <c r="AH302" s="1753" t="str">
        <f>IF(T302="","",(IF(ISNUMBER(SEARCH("exit",T302)),8760,IF(AND(M302="Dusk to Dawn",'Proposed Lighting'!AU302=3),4059,IF(AND(AU302=3,M302="1"),0,IF(AND(AU302=3,M302="1-C"),0,IF(AND(AU302=3,M302="2"),0,IF(AND(AU302=3,M302="2-C"),0,IF(AND(AU302=3,M302="3"),0,IF(AND(AU302=3,M302="3-C"),0,IF(AND(AU302=2,M302="Dusk to Dawn"),0,IF(AND(AU302=2,M302="Dusk to Dawn-C"),0,IF(AND(AU302=2,M302="Dusk to Dawn"),0,IF(AND(AU302=2,M302="E"),0,IF(AND(AU302=2,M302="E-C"),0,EG302)))))))))))))))</f>
        <v/>
      </c>
      <c r="AI302" s="1754"/>
      <c r="AJ302" s="1136"/>
      <c r="AK302" s="1136"/>
      <c r="AL302" s="1748">
        <f t="shared" si="333"/>
        <v>0</v>
      </c>
      <c r="AM302" s="1749"/>
      <c r="AN302" s="1750"/>
      <c r="AO302" s="476">
        <f t="shared" si="317"/>
        <v>0</v>
      </c>
      <c r="AP302" s="476">
        <f t="shared" si="334"/>
        <v>0</v>
      </c>
      <c r="AQ302" s="475">
        <f t="shared" si="318"/>
        <v>0</v>
      </c>
      <c r="AR302" s="475">
        <f t="shared" si="335"/>
        <v>0</v>
      </c>
      <c r="AS302" s="743" t="str">
        <f t="shared" si="387"/>
        <v/>
      </c>
      <c r="AT302" s="736" t="str">
        <f t="shared" si="336"/>
        <v/>
      </c>
      <c r="AU302" s="56">
        <f t="shared" si="337"/>
        <v>1</v>
      </c>
      <c r="AV302" s="476">
        <f t="shared" si="338"/>
        <v>0</v>
      </c>
      <c r="AW302" s="56">
        <f t="shared" si="339"/>
        <v>0</v>
      </c>
      <c r="AX302" s="475">
        <f t="shared" si="319"/>
        <v>0</v>
      </c>
      <c r="AY302" s="1169">
        <f t="shared" si="340"/>
        <v>0</v>
      </c>
      <c r="AZ302" s="1150">
        <f t="shared" si="379"/>
        <v>0</v>
      </c>
      <c r="BA302" s="56">
        <f t="shared" si="320"/>
        <v>0</v>
      </c>
      <c r="BB302" s="420">
        <f t="shared" si="321"/>
        <v>0</v>
      </c>
      <c r="BC302" s="58" t="str">
        <f t="shared" si="322"/>
        <v/>
      </c>
      <c r="BD302" s="660">
        <f t="shared" si="380"/>
        <v>0</v>
      </c>
      <c r="BE302" s="57" t="e">
        <f t="array" ref="BE302">INDEX($EB$11:$ED$1022,MATCH(F302&amp;T302,$EB$11:$EB$1007&amp;$EC$11:$EC$1007,0),3)</f>
        <v>#N/A</v>
      </c>
      <c r="BF302" s="463">
        <f t="shared" si="388"/>
        <v>0</v>
      </c>
      <c r="BG302" s="1445" t="e">
        <f t="array" ref="BG302">INDEX($DO$112:$DQ$123,MATCH(T302&amp;W302,$DO$114:$DO$125&amp;$DP$112:$DP$123,0),3)</f>
        <v>#N/A</v>
      </c>
      <c r="BH302" s="1446">
        <f t="shared" si="341"/>
        <v>0</v>
      </c>
      <c r="BI302" s="465">
        <f t="shared" si="342"/>
        <v>0</v>
      </c>
      <c r="BJ302" s="465">
        <f t="shared" si="343"/>
        <v>0</v>
      </c>
      <c r="BK302" s="466">
        <f t="shared" si="389"/>
        <v>0</v>
      </c>
      <c r="BL302" s="466">
        <f t="shared" si="390"/>
        <v>0</v>
      </c>
      <c r="BM302" s="466">
        <f t="shared" si="344"/>
        <v>0</v>
      </c>
      <c r="BN302" s="466">
        <f t="shared" si="345"/>
        <v>0</v>
      </c>
      <c r="BO302" s="463">
        <f>IF('Data Entry'!$C$74=0,0,IF(ISNA(CJ302),0,IF(AX302=0,0,IF(AND('Data Entry'!$C$74=2,AF302&gt;2,CE302&lt;1),0,IF(AND('Data Entry'!$C$74=2,AF302&gt;1,AU302=2,CJ302&gt;1),0,IF(AND(AF302=5,CT302=0.5,AU302=2,ER302&lt;100),0,IF(AND(AF302=5,CT302=0.5,AU302=3,ER302&lt;100),0,IF(AND('Data Entry'!$C$74=2,AF302=2,AU302=2,AK302&gt;0.01,CB302=2,CE302&lt;1),0,IF(AND('Data Entry'!$C$74=2,AF302=3,AU302=3,AK302&gt;0.01,CB302=3,CE302&lt;1),0,IF(AND('Data Entry'!$C$74=2,AF302=3,AU302=3,AK302&gt;0.01,CB302=3,CE302&gt;0.99),BQ302*0.08,IF(AND('Data Entry'!$C$74=2,AF302=2,AU302=2,AK302&gt;0.01,CB302=2,CE302&gt;0.99),BQ302*0.1,IF(AND(AU302=2,AK302&gt;0.01,CB302=2,CD302&gt;1),BQ302*0.1,IF(AND(AU302=3,AK302&gt;0.01,CB302=3,CD302&gt;1),BQ302*0.08,CJ302*EF302)))))))))))))</f>
        <v>0</v>
      </c>
      <c r="BP302" s="475">
        <f t="shared" si="346"/>
        <v>0</v>
      </c>
      <c r="BQ302" s="1431">
        <f>IF(AU302=1,0,IF(CH302=100,0,IF(AND(AF302=3,AU302=2),0,IF(AND(BH302=0,CT302&gt;0.4),0,IF(AND('Data Entry'!$C$74=2,AF302=1.5),0,IF(AND('Data Entry'!$C$74=2,AF302=1.6),0,IF(AND('Data Entry'!$C$74=2,AF302=4),0,IF(AND('Data Entry'!$C$74=2,AF302=5),0,IF(AND('Data Entry'!$C$74=2,AF302=2.5,CE302&lt;1),0,IF(AND('Data Entry'!$C$74=2,AF302=3,CE302&lt;1),0,IF(AND('Data Entry'!$C$74=1,AF302=2.5,CD302&lt;1),0,IF(AND('Data Entry'!$C$74=1,AF302=3,CD302&lt;1),0,IF(DX302&gt;0.01,DX302,IF(ISERROR(AX302-AY302),"",ROUND(AX302-AY302,2)))))))))))))))</f>
        <v>0</v>
      </c>
      <c r="BR302" s="146">
        <f t="shared" si="347"/>
        <v>0</v>
      </c>
      <c r="BS302" s="475">
        <f t="shared" si="348"/>
        <v>0</v>
      </c>
      <c r="BT302" s="146" t="b">
        <f t="shared" si="349"/>
        <v>0</v>
      </c>
      <c r="BU302" s="463">
        <f>IF(ISNA(AT302),0,IF(AND('Data Entry'!$C$74=2,BC302=27),0,IF(AND('Data Entry'!$C$74=2,BC302=28),0,IF(AND(BC302=27,BT302=27,CM302&gt;0.1),CM302*0.15,IF(AND(BC302=28,BT302=28,CM302&gt;0.1),CM302*0.12,0)))))</f>
        <v>0</v>
      </c>
      <c r="BV302" s="463">
        <f t="shared" si="386"/>
        <v>0</v>
      </c>
      <c r="BW302" s="463">
        <f t="shared" si="350"/>
        <v>0</v>
      </c>
      <c r="BX302" s="463">
        <f t="shared" si="351"/>
        <v>0</v>
      </c>
      <c r="BY302" s="463">
        <f t="shared" si="352"/>
        <v>0</v>
      </c>
      <c r="BZ302" s="463">
        <f t="shared" si="353"/>
        <v>0</v>
      </c>
      <c r="CA302" s="57">
        <f t="shared" si="381"/>
        <v>0</v>
      </c>
      <c r="CB302" s="56">
        <f t="shared" si="354"/>
        <v>1</v>
      </c>
      <c r="CC302" s="756">
        <f>IF(EE302=0,0,IF(EF302=0,0,IF(EE302&gt;AA302,0,IF(AND(AZ302&gt;AW302,AW302&gt;0),0,IF(CU302=0,0,Summary!AC605)))))</f>
        <v>0</v>
      </c>
      <c r="CD302" s="756">
        <f>IF(EE302=0,0,IF(EF302=0,0,IF(EE302&gt;AA302,0,IF(AND(AZ302&gt;AW302,AW302&gt;0),0,IF(CU302=0,0,Summary!AD605)))))</f>
        <v>0</v>
      </c>
      <c r="CE302" s="756">
        <f>IF(EF302=0,0,IF(EE302&gt;AA302,0,IF(CC302=0,0,IF(AND(AZ302&gt;AW302,AW302&gt;0),0,IF(CU302=0,0,Summary!AE605)))))</f>
        <v>0</v>
      </c>
      <c r="CF302" s="475">
        <f t="shared" si="355"/>
        <v>0</v>
      </c>
      <c r="CG302" s="476">
        <f t="shared" si="323"/>
        <v>0</v>
      </c>
      <c r="CH302" s="487">
        <f t="shared" si="356"/>
        <v>0</v>
      </c>
      <c r="CI302" s="756">
        <f t="shared" si="357"/>
        <v>0</v>
      </c>
      <c r="CJ302" s="487">
        <f>IF(CT302&gt;0.4,0,IF(AND(AU302=2,CH302=0,CT302=0.5,ER302=100),35,IF(AND(AU302=3,BB302&gt;75,CH302=0,CT302=0.5,ER302=100),25,IF(CB302&gt;1,0,IF(EF302&gt;EE302,0,IF(AND(AF302&gt;1,CH302=100),0,IF(AND(AF302=1,AY302=0),0,IF(AND(EF302&lt;=EE302,AW302&gt;=AZ302,'Data Entry'!$C$74=1,AU302=2),VLOOKUP(W302,$DO$96:$DP$102,2,FALSE),IF(AND(EF302&lt;=EE302,AW302&gt;=AZ302,AU302=3,'Data Entry'!$C$74=1),VLOOKUP(W302,$DO$127:$DP$134,2,FALSE))))))))))</f>
        <v>0</v>
      </c>
      <c r="CK302" s="716">
        <f t="shared" si="358"/>
        <v>0</v>
      </c>
      <c r="CL302" s="57">
        <f t="shared" si="359"/>
        <v>0</v>
      </c>
      <c r="CM302" s="475">
        <f t="shared" si="385"/>
        <v>0</v>
      </c>
      <c r="CN302" s="660">
        <f>IF(CM302&lt;0.1,0,IF(ISNA(AT302),0,IF(CL302+BC302=1,0,IF(BV302&gt;0.01,0,IF(CL302&gt;0.01,0,IF(CF302=1,0,IF(BC302=0.5,0,IF(AND(CI302=1,AU302=3),0,IF(AND(CI302=5,CL302=0),0,IF(AND(R302=12,BR302=50),0,IF(CK302&gt;0.01,0,IF(AND(AJ302&gt;0.01,AU302=2,BC302=15),CM302*0.1,IF(AND(AJ302&gt;0.01,AU302=3,BC302=15),CM302*0.08,IF(AND(R302=12,BC302=3,AF302&lt;=0),0,IF(AND(BC302=15,BI302=0),0,IF(AND(BC302=15,BJ302=0),0,IF(AND(R302=20,CU302=0),0,IF($X$4=0,0,IF(AND(BC302=250,CL302=0),0,IF(AA302&lt;1,0,IF(AND(ISNUMBER(SEARCH("Area",T302)),AU302=3),0,IF(AND(AQ302&gt;0.01,AR302=0,BK302=0,BL302=0,BM302=0,BN302=0),0,IF(AND(AU302=3,CI302=7,CT302&gt;0.5),0,IF(AND(BC302=44,AU302=3,BY302=0),0,IF(AND(BC302=27,'Data Entry'!$C$74=2),0,IF(AND(BC302=28,'Data Entry'!$C$74=2),0,IF(AND(BY302+BZ302+CA302&gt;0.01,BV302=0,EQ302+ER302+ES302+ET302&lt;100),0,IF(AU302=3,CM302*0.08,IF(AU302=2,CM302*0.1,0)))))))))))))))))))))))))))))</f>
        <v>0</v>
      </c>
      <c r="CO302" s="660">
        <f t="shared" si="360"/>
        <v>0</v>
      </c>
      <c r="CP302" s="475" t="str">
        <f t="shared" si="361"/>
        <v/>
      </c>
      <c r="CQ302" s="161" t="str">
        <f>IF(AH302=0,0,IF(AU302=5,0,Summary!AC305))</f>
        <v/>
      </c>
      <c r="CR302" s="161" t="str">
        <f>IF(BF302=0.5,0,IF(AU302=5,0,Summary!AD305))</f>
        <v/>
      </c>
      <c r="CS302" s="161" t="str">
        <f>IF(AU302=5,0,Summary!AE305)</f>
        <v/>
      </c>
      <c r="CT302" s="161">
        <f t="shared" si="362"/>
        <v>0</v>
      </c>
      <c r="CU302" s="475" t="str">
        <f t="shared" si="363"/>
        <v/>
      </c>
      <c r="CV302" s="307">
        <f>IF('Data Entry'!$C$74=0,0,IF(AA302&lt;1,0,IF(ISERROR(CU302),0,IF(CF302=1,0,IF(AND(R302=12,BR302=50),0,IF(CL302+BO302+BV302+DC302=0,0,IF(BC302=37,0,IF(AND(BC302=40,AJ302=0),0,IF(AND(BC302=37,BO302&gt;0.01,BQ302&gt;0.01),ROUND(BQ302,0),IF(CM302&lt;0,0,ROUND(CM302,0)))))))))))</f>
        <v>0</v>
      </c>
      <c r="CW302" s="700">
        <f t="shared" si="364"/>
        <v>0</v>
      </c>
      <c r="CX302" s="477">
        <f>IF('Data Entry'!$C$74=0,0,IF(CV302&lt;0.01,0,IF(BF302=0.5,0,IF(CF302=1,0,IF(ISNUMBER(SEARCH("false",CL302)),0,IF(AZ302=500,0,CL302))))))</f>
        <v>0</v>
      </c>
      <c r="CY302" s="147" t="e">
        <f t="shared" si="365"/>
        <v>#VALUE!</v>
      </c>
      <c r="CZ302" s="147" t="b">
        <f>IF(CN302+CL302=0,FALSE,IF(AH302=0,0,IF(AND('Data Entry'!$C$74=1,CR302&gt;=1),TRUE,IF(AND('Data Entry'!$C$74=2,CS302&gt;=1),TRUE,FALSE))))</f>
        <v>0</v>
      </c>
      <c r="DA302" s="1751">
        <f>IF('Data Entry'!$C$74=0,0,IFERROR(ROUND(IF(T302="","",IF($X$4=0,0,IF(CF302=1,0,IF(BQ302+CV302=0,0,IF(CF302=1,0,IF(CY302&gt;0.01,CY302,IF(CL302&gt;0.01,CL302,IF(CY302&gt;0.01,CY302,IF(BC302=37,BO302,IF(CZ302=FALSE,0,IF(CZ302=TRUE,DC302+DF302,0))))))))))),2),""))</f>
        <v>0</v>
      </c>
      <c r="DB302" s="1752"/>
      <c r="DC302" s="474">
        <f>IF(CN302&lt;0.01,0,IF(AND(BR302=3,CN302&gt;0.01,CT302&gt;0.6,ER302+ES302+ET302&lt;100),0,IF(AND('Data Entry'!$C$74=1,CN302&gt;0.01,CR302&gt;0.99),MIN(CN302:CO302),IF(AND('Data Entry'!$C$74=2,CN302&gt;0.01,CS302&gt;0.99),MIN(CN302:CO302),0))))</f>
        <v>0</v>
      </c>
      <c r="DD302" s="478">
        <f>IF(CF302=1,"Selection does not match",IF(T302=0,0,IF(AND('Data Entry'!$C$74=0,CP302&gt;1),"Select Oregon or Idaho on Data Entry Tab",IF(AND(AU302=1,AA302&gt;0.9),"Missing Interior or Exterior Selection",IF($X$4=0,"Enter Total Project Cost",IF(AQ302&lt;AR302,"Insufficient kWh savings – no incentive",IF(AND(SUM(CL302+CK302+BV302)&gt;0.01,'Data Entry'!$C$74=2,CJ302&gt;1,BO302=0),"Submit Control as Non-Standard",IF(AND('Data Entry'!$C$74=2,BR302=37,CJ302&gt;1,BO302=0),"Submit Control as Non-Standard",IF(SUM(CL302+CK302+BV302)&gt;0.01,"Standard Incentive",IF(AND('Data Entry'!$C$74=2,CP302=7,CN302=0),"Submit as Non-Standard",IF(DC302&gt;0.9,"Non-Standard Incentive",IF(AND(BY302+BZ302+CA302&gt;0.01,BV302=0,EQ302=0,ER302=0,ES302=0,ET302=0),"Scroll Right &amp; Select Control Strategies",IF(AND(CN302&gt;0.01,CO302=0),"Enter Unit Installed Cost",IF(ISNUMBER(SEARCH("Lighting Controls Only",F302)),"Lighting Controls Only",IF(CL302+DC302=0,"Does not meet incentive criteria",0)))))))))))))))</f>
        <v>0</v>
      </c>
      <c r="DE302" s="337">
        <f t="shared" si="366"/>
        <v>0</v>
      </c>
      <c r="DF302" s="609">
        <f t="shared" si="367"/>
        <v>0</v>
      </c>
      <c r="DG302" s="336" t="str">
        <f t="shared" si="368"/>
        <v/>
      </c>
      <c r="DH302" s="338">
        <f t="shared" si="369"/>
        <v>1</v>
      </c>
      <c r="DI302" s="336" t="e">
        <f t="shared" si="324"/>
        <v>#VALUE!</v>
      </c>
      <c r="DJ302" s="338">
        <f t="shared" si="325"/>
        <v>0</v>
      </c>
      <c r="DO302" s="81"/>
      <c r="DP302" s="81"/>
      <c r="DQ302" s="377"/>
      <c r="DR302" s="5"/>
      <c r="DS302" s="1195">
        <f t="shared" si="370"/>
        <v>0</v>
      </c>
      <c r="DT302" s="344" t="b">
        <f t="shared" si="371"/>
        <v>1</v>
      </c>
      <c r="DU302" s="1314" t="str">
        <f t="array" ref="DU302">IF(OR(COUNTIF(F302,"*"&amp;$DK$9:$DK$178&amp;"*")), "Yes", "")</f>
        <v/>
      </c>
      <c r="DV302" s="1314">
        <f t="shared" si="372"/>
        <v>0</v>
      </c>
      <c r="DW302" s="1480">
        <f t="shared" si="373"/>
        <v>0</v>
      </c>
      <c r="DX302" s="1498">
        <f t="shared" si="382"/>
        <v>0</v>
      </c>
      <c r="DY302" s="1484">
        <f t="shared" si="374"/>
        <v>0</v>
      </c>
      <c r="DZ302" s="331"/>
      <c r="EA302" s="392"/>
      <c r="EB302" s="1499" t="s">
        <v>517</v>
      </c>
      <c r="EC302" s="727" t="s">
        <v>1569</v>
      </c>
      <c r="ED302" s="1101">
        <v>0.5</v>
      </c>
      <c r="EE302" s="1215"/>
      <c r="EF302" s="1215"/>
      <c r="EG302" s="1184" t="str">
        <f t="shared" si="375"/>
        <v/>
      </c>
      <c r="EJ302" s="1185">
        <f t="shared" si="326"/>
        <v>0</v>
      </c>
      <c r="EK302" s="1211"/>
      <c r="EL302" s="1180">
        <f t="shared" si="327"/>
        <v>0</v>
      </c>
      <c r="EM302" s="206"/>
      <c r="EN302" s="1038"/>
      <c r="EO302" s="1038"/>
      <c r="EP302" s="1038"/>
      <c r="EQ302" s="1038">
        <f t="shared" si="376"/>
        <v>0</v>
      </c>
      <c r="ER302" s="1041">
        <f t="shared" si="377"/>
        <v>0</v>
      </c>
      <c r="ES302" s="1042">
        <f t="shared" si="378"/>
        <v>0</v>
      </c>
      <c r="ET302" s="1042">
        <f t="shared" si="383"/>
        <v>0</v>
      </c>
      <c r="EU302" s="1021">
        <f t="shared" si="384"/>
        <v>0</v>
      </c>
      <c r="EV302" s="368"/>
      <c r="EW302" s="368"/>
      <c r="EX302" s="369"/>
      <c r="EY302" s="370"/>
      <c r="EZ302" s="370"/>
      <c r="FA302" s="371"/>
      <c r="FB302" s="372"/>
    </row>
    <row r="303" spans="1:158" ht="34.5" customHeight="1">
      <c r="A303" s="82">
        <v>295</v>
      </c>
      <c r="B303" s="1806"/>
      <c r="C303" s="1807"/>
      <c r="D303" s="1807"/>
      <c r="E303" s="1808"/>
      <c r="F303" s="1809"/>
      <c r="G303" s="1810"/>
      <c r="H303" s="1810"/>
      <c r="I303" s="1811"/>
      <c r="J303" s="1301"/>
      <c r="K303" s="1814"/>
      <c r="L303" s="1814"/>
      <c r="M303" s="1017"/>
      <c r="N303" s="1584"/>
      <c r="O303" s="208" t="str">
        <f t="shared" si="314"/>
        <v/>
      </c>
      <c r="P303" s="785"/>
      <c r="Q303" s="39" t="str">
        <f t="shared" si="315"/>
        <v/>
      </c>
      <c r="R303" s="39">
        <f t="shared" si="328"/>
        <v>0</v>
      </c>
      <c r="S303" s="234">
        <f t="shared" si="329"/>
        <v>0</v>
      </c>
      <c r="T303" s="1815"/>
      <c r="U303" s="1815"/>
      <c r="V303" s="1815"/>
      <c r="W303" s="1121"/>
      <c r="X303" s="1812"/>
      <c r="Y303" s="1813"/>
      <c r="Z303" s="703"/>
      <c r="AA303" s="1280"/>
      <c r="AB303" s="1141"/>
      <c r="AC303" s="1103" t="str">
        <f>IF(T303="","",VLOOKUP(Z303,Lists!$A$60:$B$111,2,FALSE))</f>
        <v/>
      </c>
      <c r="AD303" s="130" t="str">
        <f t="shared" si="330"/>
        <v/>
      </c>
      <c r="AE303" s="130" t="e">
        <f t="shared" si="331"/>
        <v>#VALUE!</v>
      </c>
      <c r="AF303" s="130">
        <f t="shared" si="332"/>
        <v>1</v>
      </c>
      <c r="AG303" s="234">
        <f t="shared" si="316"/>
        <v>0</v>
      </c>
      <c r="AH303" s="1753" t="str">
        <f>IF(T303="","",(IF(ISNUMBER(SEARCH("exit",T303)),8760,IF(AND(M303="Dusk to Dawn",'Proposed Lighting'!AU303=3),4059,IF(AND(AU303=3,M303="1"),0,IF(AND(AU303=3,M303="1-C"),0,IF(AND(AU303=3,M303="2"),0,IF(AND(AU303=3,M303="2-C"),0,IF(AND(AU303=3,M303="3"),0,IF(AND(AU303=3,M303="3-C"),0,IF(AND(AU303=2,M303="Dusk to Dawn"),0,IF(AND(AU303=2,M303="Dusk to Dawn-C"),0,IF(AND(AU303=2,M303="Dusk to Dawn"),0,IF(AND(AU303=2,M303="E"),0,IF(AND(AU303=2,M303="E-C"),0,EG303)))))))))))))))</f>
        <v/>
      </c>
      <c r="AI303" s="1754"/>
      <c r="AJ303" s="1136"/>
      <c r="AK303" s="1136"/>
      <c r="AL303" s="1748">
        <f t="shared" si="333"/>
        <v>0</v>
      </c>
      <c r="AM303" s="1749"/>
      <c r="AN303" s="1750"/>
      <c r="AO303" s="476">
        <f t="shared" si="317"/>
        <v>0</v>
      </c>
      <c r="AP303" s="476">
        <f t="shared" si="334"/>
        <v>0</v>
      </c>
      <c r="AQ303" s="475">
        <f t="shared" si="318"/>
        <v>0</v>
      </c>
      <c r="AR303" s="475">
        <f t="shared" si="335"/>
        <v>0</v>
      </c>
      <c r="AS303" s="743" t="str">
        <f t="shared" si="387"/>
        <v/>
      </c>
      <c r="AT303" s="736" t="str">
        <f t="shared" si="336"/>
        <v/>
      </c>
      <c r="AU303" s="56">
        <f t="shared" si="337"/>
        <v>1</v>
      </c>
      <c r="AV303" s="476">
        <f t="shared" si="338"/>
        <v>0</v>
      </c>
      <c r="AW303" s="56">
        <f t="shared" si="339"/>
        <v>0</v>
      </c>
      <c r="AX303" s="475">
        <f t="shared" si="319"/>
        <v>0</v>
      </c>
      <c r="AY303" s="1169">
        <f t="shared" si="340"/>
        <v>0</v>
      </c>
      <c r="AZ303" s="1150">
        <f t="shared" si="379"/>
        <v>0</v>
      </c>
      <c r="BA303" s="56">
        <f t="shared" si="320"/>
        <v>0</v>
      </c>
      <c r="BB303" s="420">
        <f t="shared" si="321"/>
        <v>0</v>
      </c>
      <c r="BC303" s="58" t="str">
        <f t="shared" si="322"/>
        <v/>
      </c>
      <c r="BD303" s="660">
        <f t="shared" si="380"/>
        <v>0</v>
      </c>
      <c r="BE303" s="57" t="e">
        <f t="array" ref="BE303">INDEX($EB$11:$ED$1022,MATCH(F303&amp;T303,$EB$11:$EB$1007&amp;$EC$11:$EC$1007,0),3)</f>
        <v>#N/A</v>
      </c>
      <c r="BF303" s="463">
        <f t="shared" si="388"/>
        <v>0</v>
      </c>
      <c r="BG303" s="1445" t="e">
        <f t="array" ref="BG303">INDEX($DO$112:$DQ$123,MATCH(T303&amp;W303,$DO$114:$DO$125&amp;$DP$112:$DP$123,0),3)</f>
        <v>#N/A</v>
      </c>
      <c r="BH303" s="1446">
        <f t="shared" si="341"/>
        <v>0</v>
      </c>
      <c r="BI303" s="465">
        <f t="shared" si="342"/>
        <v>0</v>
      </c>
      <c r="BJ303" s="465">
        <f t="shared" si="343"/>
        <v>0</v>
      </c>
      <c r="BK303" s="466">
        <f t="shared" si="389"/>
        <v>0</v>
      </c>
      <c r="BL303" s="466">
        <f t="shared" si="390"/>
        <v>0</v>
      </c>
      <c r="BM303" s="466">
        <f t="shared" si="344"/>
        <v>0</v>
      </c>
      <c r="BN303" s="466">
        <f t="shared" si="345"/>
        <v>0</v>
      </c>
      <c r="BO303" s="463">
        <f>IF('Data Entry'!$C$74=0,0,IF(ISNA(CJ303),0,IF(AX303=0,0,IF(AND('Data Entry'!$C$74=2,AF303&gt;2,CE303&lt;1),0,IF(AND('Data Entry'!$C$74=2,AF303&gt;1,AU303=2,CJ303&gt;1),0,IF(AND(AF303=5,CT303=0.5,AU303=2,ER303&lt;100),0,IF(AND(AF303=5,CT303=0.5,AU303=3,ER303&lt;100),0,IF(AND('Data Entry'!$C$74=2,AF303=2,AU303=2,AK303&gt;0.01,CB303=2,CE303&lt;1),0,IF(AND('Data Entry'!$C$74=2,AF303=3,AU303=3,AK303&gt;0.01,CB303=3,CE303&lt;1),0,IF(AND('Data Entry'!$C$74=2,AF303=3,AU303=3,AK303&gt;0.01,CB303=3,CE303&gt;0.99),BQ303*0.08,IF(AND('Data Entry'!$C$74=2,AF303=2,AU303=2,AK303&gt;0.01,CB303=2,CE303&gt;0.99),BQ303*0.1,IF(AND(AU303=2,AK303&gt;0.01,CB303=2,CD303&gt;1),BQ303*0.1,IF(AND(AU303=3,AK303&gt;0.01,CB303=3,CD303&gt;1),BQ303*0.08,CJ303*EF303)))))))))))))</f>
        <v>0</v>
      </c>
      <c r="BP303" s="475">
        <f t="shared" si="346"/>
        <v>0</v>
      </c>
      <c r="BQ303" s="1431">
        <f>IF(AU303=1,0,IF(CH303=100,0,IF(AND(AF303=3,AU303=2),0,IF(AND(BH303=0,CT303&gt;0.4),0,IF(AND('Data Entry'!$C$74=2,AF303=1.5),0,IF(AND('Data Entry'!$C$74=2,AF303=1.6),0,IF(AND('Data Entry'!$C$74=2,AF303=4),0,IF(AND('Data Entry'!$C$74=2,AF303=5),0,IF(AND('Data Entry'!$C$74=2,AF303=2.5,CE303&lt;1),0,IF(AND('Data Entry'!$C$74=2,AF303=3,CE303&lt;1),0,IF(AND('Data Entry'!$C$74=1,AF303=2.5,CD303&lt;1),0,IF(AND('Data Entry'!$C$74=1,AF303=3,CD303&lt;1),0,IF(DX303&gt;0.01,DX303,IF(ISERROR(AX303-AY303),"",ROUND(AX303-AY303,2)))))))))))))))</f>
        <v>0</v>
      </c>
      <c r="BR303" s="146">
        <f t="shared" si="347"/>
        <v>0</v>
      </c>
      <c r="BS303" s="475">
        <f t="shared" si="348"/>
        <v>0</v>
      </c>
      <c r="BT303" s="146" t="b">
        <f t="shared" si="349"/>
        <v>0</v>
      </c>
      <c r="BU303" s="463">
        <f>IF(ISNA(AT303),0,IF(AND('Data Entry'!$C$74=2,BC303=27),0,IF(AND('Data Entry'!$C$74=2,BC303=28),0,IF(AND(BC303=27,BT303=27,CM303&gt;0.1),CM303*0.15,IF(AND(BC303=28,BT303=28,CM303&gt;0.1),CM303*0.12,0)))))</f>
        <v>0</v>
      </c>
      <c r="BV303" s="463">
        <f t="shared" si="386"/>
        <v>0</v>
      </c>
      <c r="BW303" s="463">
        <f t="shared" si="350"/>
        <v>0</v>
      </c>
      <c r="BX303" s="463">
        <f t="shared" si="351"/>
        <v>0</v>
      </c>
      <c r="BY303" s="463">
        <f t="shared" si="352"/>
        <v>0</v>
      </c>
      <c r="BZ303" s="463">
        <f t="shared" si="353"/>
        <v>0</v>
      </c>
      <c r="CA303" s="57">
        <f t="shared" si="381"/>
        <v>0</v>
      </c>
      <c r="CB303" s="56">
        <f t="shared" si="354"/>
        <v>1</v>
      </c>
      <c r="CC303" s="756">
        <f>IF(EE303=0,0,IF(EF303=0,0,IF(EE303&gt;AA303,0,IF(AND(AZ303&gt;AW303,AW303&gt;0),0,IF(CU303=0,0,Summary!AC606)))))</f>
        <v>0</v>
      </c>
      <c r="CD303" s="756">
        <f>IF(EE303=0,0,IF(EF303=0,0,IF(EE303&gt;AA303,0,IF(AND(AZ303&gt;AW303,AW303&gt;0),0,IF(CU303=0,0,Summary!AD606)))))</f>
        <v>0</v>
      </c>
      <c r="CE303" s="756">
        <f>IF(EF303=0,0,IF(EE303&gt;AA303,0,IF(CC303=0,0,IF(AND(AZ303&gt;AW303,AW303&gt;0),0,IF(CU303=0,0,Summary!AE606)))))</f>
        <v>0</v>
      </c>
      <c r="CF303" s="475">
        <f t="shared" si="355"/>
        <v>0</v>
      </c>
      <c r="CG303" s="476">
        <f t="shared" si="323"/>
        <v>0</v>
      </c>
      <c r="CH303" s="487">
        <f t="shared" si="356"/>
        <v>0</v>
      </c>
      <c r="CI303" s="756">
        <f t="shared" si="357"/>
        <v>0</v>
      </c>
      <c r="CJ303" s="487">
        <f>IF(CT303&gt;0.4,0,IF(AND(AU303=2,CH303=0,CT303=0.5,ER303=100),35,IF(AND(AU303=3,BB303&gt;75,CH303=0,CT303=0.5,ER303=100),25,IF(CB303&gt;1,0,IF(EF303&gt;EE303,0,IF(AND(AF303&gt;1,CH303=100),0,IF(AND(AF303=1,AY303=0),0,IF(AND(EF303&lt;=EE303,AW303&gt;=AZ303,'Data Entry'!$C$74=1,AU303=2),VLOOKUP(W303,$DO$96:$DP$102,2,FALSE),IF(AND(EF303&lt;=EE303,AW303&gt;=AZ303,AU303=3,'Data Entry'!$C$74=1),VLOOKUP(W303,$DO$127:$DP$134,2,FALSE))))))))))</f>
        <v>0</v>
      </c>
      <c r="CK303" s="716">
        <f t="shared" si="358"/>
        <v>0</v>
      </c>
      <c r="CL303" s="57">
        <f t="shared" si="359"/>
        <v>0</v>
      </c>
      <c r="CM303" s="475">
        <f t="shared" si="385"/>
        <v>0</v>
      </c>
      <c r="CN303" s="660">
        <f>IF(CM303&lt;0.1,0,IF(ISNA(AT303),0,IF(CL303+BC303=1,0,IF(BV303&gt;0.01,0,IF(CL303&gt;0.01,0,IF(CF303=1,0,IF(BC303=0.5,0,IF(AND(CI303=1,AU303=3),0,IF(AND(CI303=5,CL303=0),0,IF(AND(R303=12,BR303=50),0,IF(CK303&gt;0.01,0,IF(AND(AJ303&gt;0.01,AU303=2,BC303=15),CM303*0.1,IF(AND(AJ303&gt;0.01,AU303=3,BC303=15),CM303*0.08,IF(AND(R303=12,BC303=3,AF303&lt;=0),0,IF(AND(BC303=15,BI303=0),0,IF(AND(BC303=15,BJ303=0),0,IF(AND(R303=20,CU303=0),0,IF($X$4=0,0,IF(AND(BC303=250,CL303=0),0,IF(AA303&lt;1,0,IF(AND(ISNUMBER(SEARCH("Area",T303)),AU303=3),0,IF(AND(AQ303&gt;0.01,AR303=0,BK303=0,BL303=0,BM303=0,BN303=0),0,IF(AND(AU303=3,CI303=7,CT303&gt;0.5),0,IF(AND(BC303=44,AU303=3,BY303=0),0,IF(AND(BC303=27,'Data Entry'!$C$74=2),0,IF(AND(BC303=28,'Data Entry'!$C$74=2),0,IF(AND(BY303+BZ303+CA303&gt;0.01,BV303=0,EQ303+ER303+ES303+ET303&lt;100),0,IF(AU303=3,CM303*0.08,IF(AU303=2,CM303*0.1,0)))))))))))))))))))))))))))))</f>
        <v>0</v>
      </c>
      <c r="CO303" s="660">
        <f t="shared" si="360"/>
        <v>0</v>
      </c>
      <c r="CP303" s="475" t="str">
        <f t="shared" si="361"/>
        <v/>
      </c>
      <c r="CQ303" s="161" t="str">
        <f>IF(AH303=0,0,IF(AU303=5,0,Summary!AC306))</f>
        <v/>
      </c>
      <c r="CR303" s="161" t="str">
        <f>IF(BF303=0.5,0,IF(AU303=5,0,Summary!AD306))</f>
        <v/>
      </c>
      <c r="CS303" s="161" t="str">
        <f>IF(AU303=5,0,Summary!AE306)</f>
        <v/>
      </c>
      <c r="CT303" s="161">
        <f t="shared" si="362"/>
        <v>0</v>
      </c>
      <c r="CU303" s="475" t="str">
        <f t="shared" si="363"/>
        <v/>
      </c>
      <c r="CV303" s="307">
        <f>IF('Data Entry'!$C$74=0,0,IF(AA303&lt;1,0,IF(ISERROR(CU303),0,IF(CF303=1,0,IF(AND(R303=12,BR303=50),0,IF(CL303+BO303+BV303+DC303=0,0,IF(BC303=37,0,IF(AND(BC303=40,AJ303=0),0,IF(AND(BC303=37,BO303&gt;0.01,BQ303&gt;0.01),ROUND(BQ303,0),IF(CM303&lt;0,0,ROUND(CM303,0)))))))))))</f>
        <v>0</v>
      </c>
      <c r="CW303" s="700">
        <f t="shared" si="364"/>
        <v>0</v>
      </c>
      <c r="CX303" s="477">
        <f>IF('Data Entry'!$C$74=0,0,IF(CV303&lt;0.01,0,IF(BF303=0.5,0,IF(CF303=1,0,IF(ISNUMBER(SEARCH("false",CL303)),0,IF(AZ303=500,0,CL303))))))</f>
        <v>0</v>
      </c>
      <c r="CY303" s="147" t="e">
        <f t="shared" si="365"/>
        <v>#VALUE!</v>
      </c>
      <c r="CZ303" s="147" t="b">
        <f>IF(CN303+CL303=0,FALSE,IF(AH303=0,0,IF(AND('Data Entry'!$C$74=1,CR303&gt;=1),TRUE,IF(AND('Data Entry'!$C$74=2,CS303&gt;=1),TRUE,FALSE))))</f>
        <v>0</v>
      </c>
      <c r="DA303" s="1751">
        <f>IF('Data Entry'!$C$74=0,0,IFERROR(ROUND(IF(T303="","",IF($X$4=0,0,IF(CF303=1,0,IF(BQ303+CV303=0,0,IF(CF303=1,0,IF(CY303&gt;0.01,CY303,IF(CL303&gt;0.01,CL303,IF(CY303&gt;0.01,CY303,IF(BC303=37,BO303,IF(CZ303=FALSE,0,IF(CZ303=TRUE,DC303+DF303,0))))))))))),2),""))</f>
        <v>0</v>
      </c>
      <c r="DB303" s="1752"/>
      <c r="DC303" s="474">
        <f>IF(CN303&lt;0.01,0,IF(AND(BR303=3,CN303&gt;0.01,CT303&gt;0.6,ER303+ES303+ET303&lt;100),0,IF(AND('Data Entry'!$C$74=1,CN303&gt;0.01,CR303&gt;0.99),MIN(CN303:CO303),IF(AND('Data Entry'!$C$74=2,CN303&gt;0.01,CS303&gt;0.99),MIN(CN303:CO303),0))))</f>
        <v>0</v>
      </c>
      <c r="DD303" s="478">
        <f>IF(CF303=1,"Selection does not match",IF(T303=0,0,IF(AND('Data Entry'!$C$74=0,CP303&gt;1),"Select Oregon or Idaho on Data Entry Tab",IF(AND(AU303=1,AA303&gt;0.9),"Missing Interior or Exterior Selection",IF($X$4=0,"Enter Total Project Cost",IF(AQ303&lt;AR303,"Insufficient kWh savings – no incentive",IF(AND(SUM(CL303+CK303+BV303)&gt;0.01,'Data Entry'!$C$74=2,CJ303&gt;1,BO303=0),"Submit Control as Non-Standard",IF(AND('Data Entry'!$C$74=2,BR303=37,CJ303&gt;1,BO303=0),"Submit Control as Non-Standard",IF(SUM(CL303+CK303+BV303)&gt;0.01,"Standard Incentive",IF(AND('Data Entry'!$C$74=2,CP303=7,CN303=0),"Submit as Non-Standard",IF(DC303&gt;0.9,"Non-Standard Incentive",IF(AND(BY303+BZ303+CA303&gt;0.01,BV303=0,EQ303=0,ER303=0,ES303=0,ET303=0),"Scroll Right &amp; Select Control Strategies",IF(AND(CN303&gt;0.01,CO303=0),"Enter Unit Installed Cost",IF(ISNUMBER(SEARCH("Lighting Controls Only",F303)),"Lighting Controls Only",IF(CL303+DC303=0,"Does not meet incentive criteria",0)))))))))))))))</f>
        <v>0</v>
      </c>
      <c r="DE303" s="337">
        <f t="shared" si="366"/>
        <v>0</v>
      </c>
      <c r="DF303" s="609">
        <f t="shared" si="367"/>
        <v>0</v>
      </c>
      <c r="DG303" s="336" t="str">
        <f t="shared" si="368"/>
        <v/>
      </c>
      <c r="DH303" s="338">
        <f t="shared" si="369"/>
        <v>1</v>
      </c>
      <c r="DI303" s="336" t="e">
        <f t="shared" si="324"/>
        <v>#VALUE!</v>
      </c>
      <c r="DJ303" s="338">
        <f t="shared" si="325"/>
        <v>0</v>
      </c>
      <c r="DO303" s="81"/>
      <c r="DP303" s="81"/>
      <c r="DR303" s="5"/>
      <c r="DS303" s="1195">
        <f t="shared" si="370"/>
        <v>0</v>
      </c>
      <c r="DT303" s="344" t="b">
        <f t="shared" si="371"/>
        <v>1</v>
      </c>
      <c r="DU303" s="1314" t="str">
        <f t="array" ref="DU303">IF(OR(COUNTIF(F303,"*"&amp;$DK$9:$DK$178&amp;"*")), "Yes", "")</f>
        <v/>
      </c>
      <c r="DV303" s="1314">
        <f t="shared" si="372"/>
        <v>0</v>
      </c>
      <c r="DW303" s="1480">
        <f t="shared" si="373"/>
        <v>0</v>
      </c>
      <c r="DX303" s="1498">
        <f t="shared" si="382"/>
        <v>0</v>
      </c>
      <c r="DY303" s="1484">
        <f t="shared" si="374"/>
        <v>0</v>
      </c>
      <c r="DZ303" s="331"/>
      <c r="EA303" s="392"/>
      <c r="EB303" s="1499" t="s">
        <v>518</v>
      </c>
      <c r="EC303" s="727" t="s">
        <v>1569</v>
      </c>
      <c r="ED303" s="1101">
        <v>0.5</v>
      </c>
      <c r="EE303" s="1215"/>
      <c r="EF303" s="1215"/>
      <c r="EG303" s="1184" t="str">
        <f t="shared" si="375"/>
        <v/>
      </c>
      <c r="EJ303" s="1185">
        <f t="shared" si="326"/>
        <v>0</v>
      </c>
      <c r="EK303" s="1211"/>
      <c r="EL303" s="1180">
        <f t="shared" si="327"/>
        <v>0</v>
      </c>
      <c r="EM303" s="206"/>
      <c r="EN303" s="1038"/>
      <c r="EO303" s="1038"/>
      <c r="EP303" s="1038"/>
      <c r="EQ303" s="1038">
        <f t="shared" si="376"/>
        <v>0</v>
      </c>
      <c r="ER303" s="1041">
        <f t="shared" si="377"/>
        <v>0</v>
      </c>
      <c r="ES303" s="1042">
        <f t="shared" si="378"/>
        <v>0</v>
      </c>
      <c r="ET303" s="1042">
        <f t="shared" si="383"/>
        <v>0</v>
      </c>
      <c r="EU303" s="1021">
        <f t="shared" si="384"/>
        <v>0</v>
      </c>
      <c r="EV303" s="368"/>
      <c r="EW303" s="368"/>
      <c r="EX303" s="369"/>
      <c r="EY303" s="370"/>
      <c r="EZ303" s="370"/>
      <c r="FA303" s="371"/>
      <c r="FB303" s="372"/>
    </row>
    <row r="304" spans="1:158" ht="34.5" customHeight="1">
      <c r="A304" s="82">
        <v>296</v>
      </c>
      <c r="B304" s="1806"/>
      <c r="C304" s="1807"/>
      <c r="D304" s="1807"/>
      <c r="E304" s="1808"/>
      <c r="F304" s="1809"/>
      <c r="G304" s="1810"/>
      <c r="H304" s="1810"/>
      <c r="I304" s="1811"/>
      <c r="J304" s="1301"/>
      <c r="K304" s="1814"/>
      <c r="L304" s="1814"/>
      <c r="M304" s="1017"/>
      <c r="N304" s="1584"/>
      <c r="O304" s="208" t="str">
        <f t="shared" si="314"/>
        <v/>
      </c>
      <c r="P304" s="785"/>
      <c r="Q304" s="39" t="str">
        <f t="shared" si="315"/>
        <v/>
      </c>
      <c r="R304" s="39">
        <f t="shared" si="328"/>
        <v>0</v>
      </c>
      <c r="S304" s="234">
        <f t="shared" si="329"/>
        <v>0</v>
      </c>
      <c r="T304" s="1815"/>
      <c r="U304" s="1815"/>
      <c r="V304" s="1815"/>
      <c r="W304" s="1121"/>
      <c r="X304" s="1812"/>
      <c r="Y304" s="1813"/>
      <c r="Z304" s="703"/>
      <c r="AA304" s="1280"/>
      <c r="AB304" s="1141"/>
      <c r="AC304" s="1103" t="str">
        <f>IF(T304="","",VLOOKUP(Z304,Lists!$A$60:$B$111,2,FALSE))</f>
        <v/>
      </c>
      <c r="AD304" s="130" t="str">
        <f t="shared" si="330"/>
        <v/>
      </c>
      <c r="AE304" s="130" t="e">
        <f t="shared" si="331"/>
        <v>#VALUE!</v>
      </c>
      <c r="AF304" s="130">
        <f t="shared" si="332"/>
        <v>1</v>
      </c>
      <c r="AG304" s="234">
        <f t="shared" si="316"/>
        <v>0</v>
      </c>
      <c r="AH304" s="1753" t="str">
        <f>IF(T304="","",(IF(ISNUMBER(SEARCH("exit",T304)),8760,IF(AND(M304="Dusk to Dawn",'Proposed Lighting'!AU304=3),4059,IF(AND(AU304=3,M304="1"),0,IF(AND(AU304=3,M304="1-C"),0,IF(AND(AU304=3,M304="2"),0,IF(AND(AU304=3,M304="2-C"),0,IF(AND(AU304=3,M304="3"),0,IF(AND(AU304=3,M304="3-C"),0,IF(AND(AU304=2,M304="Dusk to Dawn"),0,IF(AND(AU304=2,M304="Dusk to Dawn-C"),0,IF(AND(AU304=2,M304="Dusk to Dawn"),0,IF(AND(AU304=2,M304="E"),0,IF(AND(AU304=2,M304="E-C"),0,EG304)))))))))))))))</f>
        <v/>
      </c>
      <c r="AI304" s="1754"/>
      <c r="AJ304" s="1136"/>
      <c r="AK304" s="1136"/>
      <c r="AL304" s="1748">
        <f t="shared" si="333"/>
        <v>0</v>
      </c>
      <c r="AM304" s="1749"/>
      <c r="AN304" s="1750"/>
      <c r="AO304" s="476">
        <f t="shared" si="317"/>
        <v>0</v>
      </c>
      <c r="AP304" s="476">
        <f t="shared" si="334"/>
        <v>0</v>
      </c>
      <c r="AQ304" s="475">
        <f t="shared" si="318"/>
        <v>0</v>
      </c>
      <c r="AR304" s="475">
        <f t="shared" si="335"/>
        <v>0</v>
      </c>
      <c r="AS304" s="743" t="str">
        <f t="shared" si="387"/>
        <v/>
      </c>
      <c r="AT304" s="736" t="str">
        <f t="shared" si="336"/>
        <v/>
      </c>
      <c r="AU304" s="56">
        <f t="shared" si="337"/>
        <v>1</v>
      </c>
      <c r="AV304" s="476">
        <f t="shared" si="338"/>
        <v>0</v>
      </c>
      <c r="AW304" s="56">
        <f t="shared" si="339"/>
        <v>0</v>
      </c>
      <c r="AX304" s="475">
        <f t="shared" si="319"/>
        <v>0</v>
      </c>
      <c r="AY304" s="1169">
        <f t="shared" si="340"/>
        <v>0</v>
      </c>
      <c r="AZ304" s="1150">
        <f t="shared" si="379"/>
        <v>0</v>
      </c>
      <c r="BA304" s="56">
        <f t="shared" si="320"/>
        <v>0</v>
      </c>
      <c r="BB304" s="420">
        <f t="shared" si="321"/>
        <v>0</v>
      </c>
      <c r="BC304" s="58" t="str">
        <f t="shared" si="322"/>
        <v/>
      </c>
      <c r="BD304" s="660">
        <f t="shared" si="380"/>
        <v>0</v>
      </c>
      <c r="BE304" s="57" t="e">
        <f t="array" ref="BE304">INDEX($EB$11:$ED$1022,MATCH(F304&amp;T304,$EB$11:$EB$1007&amp;$EC$11:$EC$1007,0),3)</f>
        <v>#N/A</v>
      </c>
      <c r="BF304" s="463">
        <f t="shared" si="388"/>
        <v>0</v>
      </c>
      <c r="BG304" s="1445" t="e">
        <f t="array" ref="BG304">INDEX($DO$112:$DQ$123,MATCH(T304&amp;W304,$DO$114:$DO$125&amp;$DP$112:$DP$123,0),3)</f>
        <v>#N/A</v>
      </c>
      <c r="BH304" s="1446">
        <f t="shared" si="341"/>
        <v>0</v>
      </c>
      <c r="BI304" s="465">
        <f t="shared" si="342"/>
        <v>0</v>
      </c>
      <c r="BJ304" s="465">
        <f t="shared" si="343"/>
        <v>0</v>
      </c>
      <c r="BK304" s="466">
        <f t="shared" si="389"/>
        <v>0</v>
      </c>
      <c r="BL304" s="466">
        <f t="shared" si="390"/>
        <v>0</v>
      </c>
      <c r="BM304" s="466">
        <f t="shared" si="344"/>
        <v>0</v>
      </c>
      <c r="BN304" s="466">
        <f t="shared" si="345"/>
        <v>0</v>
      </c>
      <c r="BO304" s="463">
        <f>IF('Data Entry'!$C$74=0,0,IF(ISNA(CJ304),0,IF(AX304=0,0,IF(AND('Data Entry'!$C$74=2,AF304&gt;2,CE304&lt;1),0,IF(AND('Data Entry'!$C$74=2,AF304&gt;1,AU304=2,CJ304&gt;1),0,IF(AND(AF304=5,CT304=0.5,AU304=2,ER304&lt;100),0,IF(AND(AF304=5,CT304=0.5,AU304=3,ER304&lt;100),0,IF(AND('Data Entry'!$C$74=2,AF304=2,AU304=2,AK304&gt;0.01,CB304=2,CE304&lt;1),0,IF(AND('Data Entry'!$C$74=2,AF304=3,AU304=3,AK304&gt;0.01,CB304=3,CE304&lt;1),0,IF(AND('Data Entry'!$C$74=2,AF304=3,AU304=3,AK304&gt;0.01,CB304=3,CE304&gt;0.99),BQ304*0.08,IF(AND('Data Entry'!$C$74=2,AF304=2,AU304=2,AK304&gt;0.01,CB304=2,CE304&gt;0.99),BQ304*0.1,IF(AND(AU304=2,AK304&gt;0.01,CB304=2,CD304&gt;1),BQ304*0.1,IF(AND(AU304=3,AK304&gt;0.01,CB304=3,CD304&gt;1),BQ304*0.08,CJ304*EF304)))))))))))))</f>
        <v>0</v>
      </c>
      <c r="BP304" s="475">
        <f t="shared" si="346"/>
        <v>0</v>
      </c>
      <c r="BQ304" s="1431">
        <f>IF(AU304=1,0,IF(CH304=100,0,IF(AND(AF304=3,AU304=2),0,IF(AND(BH304=0,CT304&gt;0.4),0,IF(AND('Data Entry'!$C$74=2,AF304=1.5),0,IF(AND('Data Entry'!$C$74=2,AF304=1.6),0,IF(AND('Data Entry'!$C$74=2,AF304=4),0,IF(AND('Data Entry'!$C$74=2,AF304=5),0,IF(AND('Data Entry'!$C$74=2,AF304=2.5,CE304&lt;1),0,IF(AND('Data Entry'!$C$74=2,AF304=3,CE304&lt;1),0,IF(AND('Data Entry'!$C$74=1,AF304=2.5,CD304&lt;1),0,IF(AND('Data Entry'!$C$74=1,AF304=3,CD304&lt;1),0,IF(DX304&gt;0.01,DX304,IF(ISERROR(AX304-AY304),"",ROUND(AX304-AY304,2)))))))))))))))</f>
        <v>0</v>
      </c>
      <c r="BR304" s="146">
        <f t="shared" si="347"/>
        <v>0</v>
      </c>
      <c r="BS304" s="475">
        <f t="shared" si="348"/>
        <v>0</v>
      </c>
      <c r="BT304" s="146" t="b">
        <f t="shared" si="349"/>
        <v>0</v>
      </c>
      <c r="BU304" s="463">
        <f>IF(ISNA(AT304),0,IF(AND('Data Entry'!$C$74=2,BC304=27),0,IF(AND('Data Entry'!$C$74=2,BC304=28),0,IF(AND(BC304=27,BT304=27,CM304&gt;0.1),CM304*0.15,IF(AND(BC304=28,BT304=28,CM304&gt;0.1),CM304*0.12,0)))))</f>
        <v>0</v>
      </c>
      <c r="BV304" s="463">
        <f t="shared" si="386"/>
        <v>0</v>
      </c>
      <c r="BW304" s="463">
        <f t="shared" si="350"/>
        <v>0</v>
      </c>
      <c r="BX304" s="463">
        <f t="shared" si="351"/>
        <v>0</v>
      </c>
      <c r="BY304" s="463">
        <f t="shared" si="352"/>
        <v>0</v>
      </c>
      <c r="BZ304" s="463">
        <f t="shared" si="353"/>
        <v>0</v>
      </c>
      <c r="CA304" s="57">
        <f t="shared" si="381"/>
        <v>0</v>
      </c>
      <c r="CB304" s="56">
        <f t="shared" si="354"/>
        <v>1</v>
      </c>
      <c r="CC304" s="756">
        <f>IF(EE304=0,0,IF(EF304=0,0,IF(EE304&gt;AA304,0,IF(AND(AZ304&gt;AW304,AW304&gt;0),0,IF(CU304=0,0,Summary!AC607)))))</f>
        <v>0</v>
      </c>
      <c r="CD304" s="756">
        <f>IF(EE304=0,0,IF(EF304=0,0,IF(EE304&gt;AA304,0,IF(AND(AZ304&gt;AW304,AW304&gt;0),0,IF(CU304=0,0,Summary!AD607)))))</f>
        <v>0</v>
      </c>
      <c r="CE304" s="756">
        <f>IF(EF304=0,0,IF(EE304&gt;AA304,0,IF(CC304=0,0,IF(AND(AZ304&gt;AW304,AW304&gt;0),0,IF(CU304=0,0,Summary!AE607)))))</f>
        <v>0</v>
      </c>
      <c r="CF304" s="475">
        <f t="shared" si="355"/>
        <v>0</v>
      </c>
      <c r="CG304" s="476">
        <f t="shared" si="323"/>
        <v>0</v>
      </c>
      <c r="CH304" s="487">
        <f t="shared" si="356"/>
        <v>0</v>
      </c>
      <c r="CI304" s="756">
        <f t="shared" si="357"/>
        <v>0</v>
      </c>
      <c r="CJ304" s="487">
        <f>IF(CT304&gt;0.4,0,IF(AND(AU304=2,CH304=0,CT304=0.5,ER304=100),35,IF(AND(AU304=3,BB304&gt;75,CH304=0,CT304=0.5,ER304=100),25,IF(CB304&gt;1,0,IF(EF304&gt;EE304,0,IF(AND(AF304&gt;1,CH304=100),0,IF(AND(AF304=1,AY304=0),0,IF(AND(EF304&lt;=EE304,AW304&gt;=AZ304,'Data Entry'!$C$74=1,AU304=2),VLOOKUP(W304,$DO$96:$DP$102,2,FALSE),IF(AND(EF304&lt;=EE304,AW304&gt;=AZ304,AU304=3,'Data Entry'!$C$74=1),VLOOKUP(W304,$DO$127:$DP$134,2,FALSE))))))))))</f>
        <v>0</v>
      </c>
      <c r="CK304" s="716">
        <f t="shared" si="358"/>
        <v>0</v>
      </c>
      <c r="CL304" s="57">
        <f t="shared" si="359"/>
        <v>0</v>
      </c>
      <c r="CM304" s="475">
        <f t="shared" si="385"/>
        <v>0</v>
      </c>
      <c r="CN304" s="660">
        <f>IF(CM304&lt;0.1,0,IF(ISNA(AT304),0,IF(CL304+BC304=1,0,IF(BV304&gt;0.01,0,IF(CL304&gt;0.01,0,IF(CF304=1,0,IF(BC304=0.5,0,IF(AND(CI304=1,AU304=3),0,IF(AND(CI304=5,CL304=0),0,IF(AND(R304=12,BR304=50),0,IF(CK304&gt;0.01,0,IF(AND(AJ304&gt;0.01,AU304=2,BC304=15),CM304*0.1,IF(AND(AJ304&gt;0.01,AU304=3,BC304=15),CM304*0.08,IF(AND(R304=12,BC304=3,AF304&lt;=0),0,IF(AND(BC304=15,BI304=0),0,IF(AND(BC304=15,BJ304=0),0,IF(AND(R304=20,CU304=0),0,IF($X$4=0,0,IF(AND(BC304=250,CL304=0),0,IF(AA304&lt;1,0,IF(AND(ISNUMBER(SEARCH("Area",T304)),AU304=3),0,IF(AND(AQ304&gt;0.01,AR304=0,BK304=0,BL304=0,BM304=0,BN304=0),0,IF(AND(AU304=3,CI304=7,CT304&gt;0.5),0,IF(AND(BC304=44,AU304=3,BY304=0),0,IF(AND(BC304=27,'Data Entry'!$C$74=2),0,IF(AND(BC304=28,'Data Entry'!$C$74=2),0,IF(AND(BY304+BZ304+CA304&gt;0.01,BV304=0,EQ304+ER304+ES304+ET304&lt;100),0,IF(AU304=3,CM304*0.08,IF(AU304=2,CM304*0.1,0)))))))))))))))))))))))))))))</f>
        <v>0</v>
      </c>
      <c r="CO304" s="660">
        <f t="shared" si="360"/>
        <v>0</v>
      </c>
      <c r="CP304" s="475" t="str">
        <f t="shared" si="361"/>
        <v/>
      </c>
      <c r="CQ304" s="161" t="str">
        <f>IF(AH304=0,0,IF(AU304=5,0,Summary!AC307))</f>
        <v/>
      </c>
      <c r="CR304" s="161" t="str">
        <f>IF(BF304=0.5,0,IF(AU304=5,0,Summary!AD307))</f>
        <v/>
      </c>
      <c r="CS304" s="161" t="str">
        <f>IF(AU304=5,0,Summary!AE307)</f>
        <v/>
      </c>
      <c r="CT304" s="161">
        <f t="shared" si="362"/>
        <v>0</v>
      </c>
      <c r="CU304" s="475" t="str">
        <f t="shared" si="363"/>
        <v/>
      </c>
      <c r="CV304" s="307">
        <f>IF('Data Entry'!$C$74=0,0,IF(AA304&lt;1,0,IF(ISERROR(CU304),0,IF(CF304=1,0,IF(AND(R304=12,BR304=50),0,IF(CL304+BO304+BV304+DC304=0,0,IF(BC304=37,0,IF(AND(BC304=40,AJ304=0),0,IF(AND(BC304=37,BO304&gt;0.01,BQ304&gt;0.01),ROUND(BQ304,0),IF(CM304&lt;0,0,ROUND(CM304,0)))))))))))</f>
        <v>0</v>
      </c>
      <c r="CW304" s="700">
        <f t="shared" si="364"/>
        <v>0</v>
      </c>
      <c r="CX304" s="477">
        <f>IF('Data Entry'!$C$74=0,0,IF(CV304&lt;0.01,0,IF(BF304=0.5,0,IF(CF304=1,0,IF(ISNUMBER(SEARCH("false",CL304)),0,IF(AZ304=500,0,CL304))))))</f>
        <v>0</v>
      </c>
      <c r="CY304" s="147" t="e">
        <f t="shared" si="365"/>
        <v>#VALUE!</v>
      </c>
      <c r="CZ304" s="147" t="b">
        <f>IF(CN304+CL304=0,FALSE,IF(AH304=0,0,IF(AND('Data Entry'!$C$74=1,CR304&gt;=1),TRUE,IF(AND('Data Entry'!$C$74=2,CS304&gt;=1),TRUE,FALSE))))</f>
        <v>0</v>
      </c>
      <c r="DA304" s="1751">
        <f>IF('Data Entry'!$C$74=0,0,IFERROR(ROUND(IF(T304="","",IF($X$4=0,0,IF(CF304=1,0,IF(BQ304+CV304=0,0,IF(CF304=1,0,IF(CY304&gt;0.01,CY304,IF(CL304&gt;0.01,CL304,IF(CY304&gt;0.01,CY304,IF(BC304=37,BO304,IF(CZ304=FALSE,0,IF(CZ304=TRUE,DC304+DF304,0))))))))))),2),""))</f>
        <v>0</v>
      </c>
      <c r="DB304" s="1752"/>
      <c r="DC304" s="474">
        <f>IF(CN304&lt;0.01,0,IF(AND(BR304=3,CN304&gt;0.01,CT304&gt;0.6,ER304+ES304+ET304&lt;100),0,IF(AND('Data Entry'!$C$74=1,CN304&gt;0.01,CR304&gt;0.99),MIN(CN304:CO304),IF(AND('Data Entry'!$C$74=2,CN304&gt;0.01,CS304&gt;0.99),MIN(CN304:CO304),0))))</f>
        <v>0</v>
      </c>
      <c r="DD304" s="478">
        <f>IF(CF304=1,"Selection does not match",IF(T304=0,0,IF(AND('Data Entry'!$C$74=0,CP304&gt;1),"Select Oregon or Idaho on Data Entry Tab",IF(AND(AU304=1,AA304&gt;0.9),"Missing Interior or Exterior Selection",IF($X$4=0,"Enter Total Project Cost",IF(AQ304&lt;AR304,"Insufficient kWh savings – no incentive",IF(AND(SUM(CL304+CK304+BV304)&gt;0.01,'Data Entry'!$C$74=2,CJ304&gt;1,BO304=0),"Submit Control as Non-Standard",IF(AND('Data Entry'!$C$74=2,BR304=37,CJ304&gt;1,BO304=0),"Submit Control as Non-Standard",IF(SUM(CL304+CK304+BV304)&gt;0.01,"Standard Incentive",IF(AND('Data Entry'!$C$74=2,CP304=7,CN304=0),"Submit as Non-Standard",IF(DC304&gt;0.9,"Non-Standard Incentive",IF(AND(BY304+BZ304+CA304&gt;0.01,BV304=0,EQ304=0,ER304=0,ES304=0,ET304=0),"Scroll Right &amp; Select Control Strategies",IF(AND(CN304&gt;0.01,CO304=0),"Enter Unit Installed Cost",IF(ISNUMBER(SEARCH("Lighting Controls Only",F304)),"Lighting Controls Only",IF(CL304+DC304=0,"Does not meet incentive criteria",0)))))))))))))))</f>
        <v>0</v>
      </c>
      <c r="DE304" s="337">
        <f t="shared" si="366"/>
        <v>0</v>
      </c>
      <c r="DF304" s="609">
        <f t="shared" si="367"/>
        <v>0</v>
      </c>
      <c r="DG304" s="336" t="str">
        <f t="shared" si="368"/>
        <v/>
      </c>
      <c r="DH304" s="338">
        <f t="shared" si="369"/>
        <v>1</v>
      </c>
      <c r="DI304" s="336" t="e">
        <f t="shared" si="324"/>
        <v>#VALUE!</v>
      </c>
      <c r="DJ304" s="338">
        <f t="shared" si="325"/>
        <v>0</v>
      </c>
      <c r="DO304" s="81"/>
      <c r="DP304" s="81"/>
      <c r="DR304" s="5"/>
      <c r="DS304" s="1195">
        <f t="shared" si="370"/>
        <v>0</v>
      </c>
      <c r="DT304" s="344" t="b">
        <f t="shared" si="371"/>
        <v>1</v>
      </c>
      <c r="DU304" s="1314" t="str">
        <f t="array" ref="DU304">IF(OR(COUNTIF(F304,"*"&amp;$DK$9:$DK$178&amp;"*")), "Yes", "")</f>
        <v/>
      </c>
      <c r="DV304" s="1314">
        <f t="shared" si="372"/>
        <v>0</v>
      </c>
      <c r="DW304" s="1480">
        <f t="shared" si="373"/>
        <v>0</v>
      </c>
      <c r="DX304" s="1498">
        <f t="shared" si="382"/>
        <v>0</v>
      </c>
      <c r="DY304" s="1484">
        <f t="shared" si="374"/>
        <v>0</v>
      </c>
      <c r="DZ304" s="331"/>
      <c r="EA304" s="392"/>
      <c r="EB304" s="1499" t="s">
        <v>73</v>
      </c>
      <c r="EC304" s="727" t="s">
        <v>1569</v>
      </c>
      <c r="ED304" s="1101">
        <v>0.5</v>
      </c>
      <c r="EE304" s="1215"/>
      <c r="EF304" s="1215"/>
      <c r="EG304" s="1184" t="str">
        <f t="shared" si="375"/>
        <v/>
      </c>
      <c r="EJ304" s="1185">
        <f t="shared" si="326"/>
        <v>0</v>
      </c>
      <c r="EK304" s="1211"/>
      <c r="EL304" s="1180">
        <f t="shared" si="327"/>
        <v>0</v>
      </c>
      <c r="EM304" s="206"/>
      <c r="EN304" s="1038"/>
      <c r="EO304" s="1038"/>
      <c r="EP304" s="1038"/>
      <c r="EQ304" s="1038">
        <f t="shared" si="376"/>
        <v>0</v>
      </c>
      <c r="ER304" s="1041">
        <f t="shared" si="377"/>
        <v>0</v>
      </c>
      <c r="ES304" s="1042">
        <f t="shared" si="378"/>
        <v>0</v>
      </c>
      <c r="ET304" s="1042">
        <f t="shared" si="383"/>
        <v>0</v>
      </c>
      <c r="EU304" s="1021">
        <f t="shared" si="384"/>
        <v>0</v>
      </c>
      <c r="EV304" s="368"/>
      <c r="EW304" s="368"/>
      <c r="EX304" s="369"/>
      <c r="EY304" s="370"/>
      <c r="EZ304" s="370"/>
      <c r="FA304" s="371"/>
      <c r="FB304" s="372"/>
    </row>
    <row r="305" spans="1:158" ht="34.5" customHeight="1">
      <c r="A305" s="82">
        <v>297</v>
      </c>
      <c r="B305" s="1806"/>
      <c r="C305" s="1807"/>
      <c r="D305" s="1807"/>
      <c r="E305" s="1808"/>
      <c r="F305" s="1809"/>
      <c r="G305" s="1810"/>
      <c r="H305" s="1810"/>
      <c r="I305" s="1811"/>
      <c r="J305" s="1301"/>
      <c r="K305" s="1814"/>
      <c r="L305" s="1814"/>
      <c r="M305" s="1017"/>
      <c r="N305" s="1584"/>
      <c r="O305" s="208" t="str">
        <f t="shared" si="314"/>
        <v/>
      </c>
      <c r="P305" s="785"/>
      <c r="Q305" s="39" t="str">
        <f t="shared" si="315"/>
        <v/>
      </c>
      <c r="R305" s="39">
        <f t="shared" si="328"/>
        <v>0</v>
      </c>
      <c r="S305" s="234">
        <f t="shared" si="329"/>
        <v>0</v>
      </c>
      <c r="T305" s="1815"/>
      <c r="U305" s="1815"/>
      <c r="V305" s="1815"/>
      <c r="W305" s="1121"/>
      <c r="X305" s="1812"/>
      <c r="Y305" s="1813"/>
      <c r="Z305" s="703"/>
      <c r="AA305" s="1280"/>
      <c r="AB305" s="1141"/>
      <c r="AC305" s="1103" t="str">
        <f>IF(T305="","",VLOOKUP(Z305,Lists!$A$60:$B$111,2,FALSE))</f>
        <v/>
      </c>
      <c r="AD305" s="130" t="str">
        <f t="shared" si="330"/>
        <v/>
      </c>
      <c r="AE305" s="130" t="e">
        <f t="shared" si="331"/>
        <v>#VALUE!</v>
      </c>
      <c r="AF305" s="130">
        <f t="shared" si="332"/>
        <v>1</v>
      </c>
      <c r="AG305" s="234">
        <f t="shared" si="316"/>
        <v>0</v>
      </c>
      <c r="AH305" s="1753" t="str">
        <f>IF(T305="","",(IF(ISNUMBER(SEARCH("exit",T305)),8760,IF(AND(M305="Dusk to Dawn",'Proposed Lighting'!AU305=3),4059,IF(AND(AU305=3,M305="1"),0,IF(AND(AU305=3,M305="1-C"),0,IF(AND(AU305=3,M305="2"),0,IF(AND(AU305=3,M305="2-C"),0,IF(AND(AU305=3,M305="3"),0,IF(AND(AU305=3,M305="3-C"),0,IF(AND(AU305=2,M305="Dusk to Dawn"),0,IF(AND(AU305=2,M305="Dusk to Dawn-C"),0,IF(AND(AU305=2,M305="Dusk to Dawn"),0,IF(AND(AU305=2,M305="E"),0,IF(AND(AU305=2,M305="E-C"),0,EG305)))))))))))))))</f>
        <v/>
      </c>
      <c r="AI305" s="1754"/>
      <c r="AJ305" s="1136"/>
      <c r="AK305" s="1136"/>
      <c r="AL305" s="1748">
        <f t="shared" si="333"/>
        <v>0</v>
      </c>
      <c r="AM305" s="1749"/>
      <c r="AN305" s="1750"/>
      <c r="AO305" s="476">
        <f t="shared" si="317"/>
        <v>0</v>
      </c>
      <c r="AP305" s="476">
        <f t="shared" si="334"/>
        <v>0</v>
      </c>
      <c r="AQ305" s="475">
        <f t="shared" si="318"/>
        <v>0</v>
      </c>
      <c r="AR305" s="475">
        <f t="shared" si="335"/>
        <v>0</v>
      </c>
      <c r="AS305" s="743" t="str">
        <f t="shared" si="387"/>
        <v/>
      </c>
      <c r="AT305" s="736" t="str">
        <f t="shared" si="336"/>
        <v/>
      </c>
      <c r="AU305" s="56">
        <f t="shared" si="337"/>
        <v>1</v>
      </c>
      <c r="AV305" s="476">
        <f t="shared" si="338"/>
        <v>0</v>
      </c>
      <c r="AW305" s="56">
        <f t="shared" si="339"/>
        <v>0</v>
      </c>
      <c r="AX305" s="475">
        <f t="shared" si="319"/>
        <v>0</v>
      </c>
      <c r="AY305" s="1169">
        <f t="shared" si="340"/>
        <v>0</v>
      </c>
      <c r="AZ305" s="1150">
        <f t="shared" si="379"/>
        <v>0</v>
      </c>
      <c r="BA305" s="56">
        <f t="shared" si="320"/>
        <v>0</v>
      </c>
      <c r="BB305" s="420">
        <f t="shared" si="321"/>
        <v>0</v>
      </c>
      <c r="BC305" s="58" t="str">
        <f t="shared" si="322"/>
        <v/>
      </c>
      <c r="BD305" s="660">
        <f t="shared" si="380"/>
        <v>0</v>
      </c>
      <c r="BE305" s="57" t="e">
        <f t="array" ref="BE305">INDEX($EB$11:$ED$1022,MATCH(F305&amp;T305,$EB$11:$EB$1007&amp;$EC$11:$EC$1007,0),3)</f>
        <v>#N/A</v>
      </c>
      <c r="BF305" s="463">
        <f t="shared" si="388"/>
        <v>0</v>
      </c>
      <c r="BG305" s="1445" t="e">
        <f t="array" ref="BG305">INDEX($DO$112:$DQ$123,MATCH(T305&amp;W305,$DO$114:$DO$125&amp;$DP$112:$DP$123,0),3)</f>
        <v>#N/A</v>
      </c>
      <c r="BH305" s="1446">
        <f t="shared" si="341"/>
        <v>0</v>
      </c>
      <c r="BI305" s="465">
        <f t="shared" si="342"/>
        <v>0</v>
      </c>
      <c r="BJ305" s="465">
        <f t="shared" si="343"/>
        <v>0</v>
      </c>
      <c r="BK305" s="466">
        <f t="shared" si="389"/>
        <v>0</v>
      </c>
      <c r="BL305" s="466">
        <f t="shared" si="390"/>
        <v>0</v>
      </c>
      <c r="BM305" s="466">
        <f t="shared" si="344"/>
        <v>0</v>
      </c>
      <c r="BN305" s="466">
        <f t="shared" si="345"/>
        <v>0</v>
      </c>
      <c r="BO305" s="463">
        <f>IF('Data Entry'!$C$74=0,0,IF(ISNA(CJ305),0,IF(AX305=0,0,IF(AND('Data Entry'!$C$74=2,AF305&gt;2,CE305&lt;1),0,IF(AND('Data Entry'!$C$74=2,AF305&gt;1,AU305=2,CJ305&gt;1),0,IF(AND(AF305=5,CT305=0.5,AU305=2,ER305&lt;100),0,IF(AND(AF305=5,CT305=0.5,AU305=3,ER305&lt;100),0,IF(AND('Data Entry'!$C$74=2,AF305=2,AU305=2,AK305&gt;0.01,CB305=2,CE305&lt;1),0,IF(AND('Data Entry'!$C$74=2,AF305=3,AU305=3,AK305&gt;0.01,CB305=3,CE305&lt;1),0,IF(AND('Data Entry'!$C$74=2,AF305=3,AU305=3,AK305&gt;0.01,CB305=3,CE305&gt;0.99),BQ305*0.08,IF(AND('Data Entry'!$C$74=2,AF305=2,AU305=2,AK305&gt;0.01,CB305=2,CE305&gt;0.99),BQ305*0.1,IF(AND(AU305=2,AK305&gt;0.01,CB305=2,CD305&gt;1),BQ305*0.1,IF(AND(AU305=3,AK305&gt;0.01,CB305=3,CD305&gt;1),BQ305*0.08,CJ305*EF305)))))))))))))</f>
        <v>0</v>
      </c>
      <c r="BP305" s="475">
        <f t="shared" si="346"/>
        <v>0</v>
      </c>
      <c r="BQ305" s="1431">
        <f>IF(AU305=1,0,IF(CH305=100,0,IF(AND(AF305=3,AU305=2),0,IF(AND(BH305=0,CT305&gt;0.4),0,IF(AND('Data Entry'!$C$74=2,AF305=1.5),0,IF(AND('Data Entry'!$C$74=2,AF305=1.6),0,IF(AND('Data Entry'!$C$74=2,AF305=4),0,IF(AND('Data Entry'!$C$74=2,AF305=5),0,IF(AND('Data Entry'!$C$74=2,AF305=2.5,CE305&lt;1),0,IF(AND('Data Entry'!$C$74=2,AF305=3,CE305&lt;1),0,IF(AND('Data Entry'!$C$74=1,AF305=2.5,CD305&lt;1),0,IF(AND('Data Entry'!$C$74=1,AF305=3,CD305&lt;1),0,IF(DX305&gt;0.01,DX305,IF(ISERROR(AX305-AY305),"",ROUND(AX305-AY305,2)))))))))))))))</f>
        <v>0</v>
      </c>
      <c r="BR305" s="146">
        <f t="shared" si="347"/>
        <v>0</v>
      </c>
      <c r="BS305" s="475">
        <f t="shared" si="348"/>
        <v>0</v>
      </c>
      <c r="BT305" s="146" t="b">
        <f t="shared" si="349"/>
        <v>0</v>
      </c>
      <c r="BU305" s="463">
        <f>IF(ISNA(AT305),0,IF(AND('Data Entry'!$C$74=2,BC305=27),0,IF(AND('Data Entry'!$C$74=2,BC305=28),0,IF(AND(BC305=27,BT305=27,CM305&gt;0.1),CM305*0.15,IF(AND(BC305=28,BT305=28,CM305&gt;0.1),CM305*0.12,0)))))</f>
        <v>0</v>
      </c>
      <c r="BV305" s="463">
        <f t="shared" si="386"/>
        <v>0</v>
      </c>
      <c r="BW305" s="463">
        <f t="shared" si="350"/>
        <v>0</v>
      </c>
      <c r="BX305" s="463">
        <f t="shared" si="351"/>
        <v>0</v>
      </c>
      <c r="BY305" s="463">
        <f t="shared" si="352"/>
        <v>0</v>
      </c>
      <c r="BZ305" s="463">
        <f t="shared" si="353"/>
        <v>0</v>
      </c>
      <c r="CA305" s="57">
        <f t="shared" si="381"/>
        <v>0</v>
      </c>
      <c r="CB305" s="56">
        <f t="shared" si="354"/>
        <v>1</v>
      </c>
      <c r="CC305" s="756">
        <f>IF(EE305=0,0,IF(EF305=0,0,IF(EE305&gt;AA305,0,IF(AND(AZ305&gt;AW305,AW305&gt;0),0,IF(CU305=0,0,Summary!AC608)))))</f>
        <v>0</v>
      </c>
      <c r="CD305" s="756">
        <f>IF(EE305=0,0,IF(EF305=0,0,IF(EE305&gt;AA305,0,IF(AND(AZ305&gt;AW305,AW305&gt;0),0,IF(CU305=0,0,Summary!AD608)))))</f>
        <v>0</v>
      </c>
      <c r="CE305" s="756">
        <f>IF(EF305=0,0,IF(EE305&gt;AA305,0,IF(CC305=0,0,IF(AND(AZ305&gt;AW305,AW305&gt;0),0,IF(CU305=0,0,Summary!AE608)))))</f>
        <v>0</v>
      </c>
      <c r="CF305" s="475">
        <f t="shared" si="355"/>
        <v>0</v>
      </c>
      <c r="CG305" s="476">
        <f t="shared" si="323"/>
        <v>0</v>
      </c>
      <c r="CH305" s="487">
        <f t="shared" si="356"/>
        <v>0</v>
      </c>
      <c r="CI305" s="756">
        <f t="shared" si="357"/>
        <v>0</v>
      </c>
      <c r="CJ305" s="487">
        <f>IF(CT305&gt;0.4,0,IF(AND(AU305=2,CH305=0,CT305=0.5,ER305=100),35,IF(AND(AU305=3,BB305&gt;75,CH305=0,CT305=0.5,ER305=100),25,IF(CB305&gt;1,0,IF(EF305&gt;EE305,0,IF(AND(AF305&gt;1,CH305=100),0,IF(AND(AF305=1,AY305=0),0,IF(AND(EF305&lt;=EE305,AW305&gt;=AZ305,'Data Entry'!$C$74=1,AU305=2),VLOOKUP(W305,$DO$96:$DP$102,2,FALSE),IF(AND(EF305&lt;=EE305,AW305&gt;=AZ305,AU305=3,'Data Entry'!$C$74=1),VLOOKUP(W305,$DO$127:$DP$134,2,FALSE))))))))))</f>
        <v>0</v>
      </c>
      <c r="CK305" s="716">
        <f t="shared" si="358"/>
        <v>0</v>
      </c>
      <c r="CL305" s="57">
        <f t="shared" si="359"/>
        <v>0</v>
      </c>
      <c r="CM305" s="475">
        <f t="shared" si="385"/>
        <v>0</v>
      </c>
      <c r="CN305" s="660">
        <f>IF(CM305&lt;0.1,0,IF(ISNA(AT305),0,IF(CL305+BC305=1,0,IF(BV305&gt;0.01,0,IF(CL305&gt;0.01,0,IF(CF305=1,0,IF(BC305=0.5,0,IF(AND(CI305=1,AU305=3),0,IF(AND(CI305=5,CL305=0),0,IF(AND(R305=12,BR305=50),0,IF(CK305&gt;0.01,0,IF(AND(AJ305&gt;0.01,AU305=2,BC305=15),CM305*0.1,IF(AND(AJ305&gt;0.01,AU305=3,BC305=15),CM305*0.08,IF(AND(R305=12,BC305=3,AF305&lt;=0),0,IF(AND(BC305=15,BI305=0),0,IF(AND(BC305=15,BJ305=0),0,IF(AND(R305=20,CU305=0),0,IF($X$4=0,0,IF(AND(BC305=250,CL305=0),0,IF(AA305&lt;1,0,IF(AND(ISNUMBER(SEARCH("Area",T305)),AU305=3),0,IF(AND(AQ305&gt;0.01,AR305=0,BK305=0,BL305=0,BM305=0,BN305=0),0,IF(AND(AU305=3,CI305=7,CT305&gt;0.5),0,IF(AND(BC305=44,AU305=3,BY305=0),0,IF(AND(BC305=27,'Data Entry'!$C$74=2),0,IF(AND(BC305=28,'Data Entry'!$C$74=2),0,IF(AND(BY305+BZ305+CA305&gt;0.01,BV305=0,EQ305+ER305+ES305+ET305&lt;100),0,IF(AU305=3,CM305*0.08,IF(AU305=2,CM305*0.1,0)))))))))))))))))))))))))))))</f>
        <v>0</v>
      </c>
      <c r="CO305" s="660">
        <f t="shared" si="360"/>
        <v>0</v>
      </c>
      <c r="CP305" s="475" t="str">
        <f t="shared" si="361"/>
        <v/>
      </c>
      <c r="CQ305" s="161" t="str">
        <f>IF(AH305=0,0,IF(AU305=5,0,Summary!AC308))</f>
        <v/>
      </c>
      <c r="CR305" s="161" t="str">
        <f>IF(BF305=0.5,0,IF(AU305=5,0,Summary!AD308))</f>
        <v/>
      </c>
      <c r="CS305" s="161" t="str">
        <f>IF(AU305=5,0,Summary!AE308)</f>
        <v/>
      </c>
      <c r="CT305" s="161">
        <f t="shared" si="362"/>
        <v>0</v>
      </c>
      <c r="CU305" s="475" t="str">
        <f t="shared" si="363"/>
        <v/>
      </c>
      <c r="CV305" s="307">
        <f>IF('Data Entry'!$C$74=0,0,IF(AA305&lt;1,0,IF(ISERROR(CU305),0,IF(CF305=1,0,IF(AND(R305=12,BR305=50),0,IF(CL305+BO305+BV305+DC305=0,0,IF(BC305=37,0,IF(AND(BC305=40,AJ305=0),0,IF(AND(BC305=37,BO305&gt;0.01,BQ305&gt;0.01),ROUND(BQ305,0),IF(CM305&lt;0,0,ROUND(CM305,0)))))))))))</f>
        <v>0</v>
      </c>
      <c r="CW305" s="700">
        <f t="shared" si="364"/>
        <v>0</v>
      </c>
      <c r="CX305" s="477">
        <f>IF('Data Entry'!$C$74=0,0,IF(CV305&lt;0.01,0,IF(BF305=0.5,0,IF(CF305=1,0,IF(ISNUMBER(SEARCH("false",CL305)),0,IF(AZ305=500,0,CL305))))))</f>
        <v>0</v>
      </c>
      <c r="CY305" s="147" t="e">
        <f t="shared" si="365"/>
        <v>#VALUE!</v>
      </c>
      <c r="CZ305" s="147" t="b">
        <f>IF(CN305+CL305=0,FALSE,IF(AH305=0,0,IF(AND('Data Entry'!$C$74=1,CR305&gt;=1),TRUE,IF(AND('Data Entry'!$C$74=2,CS305&gt;=1),TRUE,FALSE))))</f>
        <v>0</v>
      </c>
      <c r="DA305" s="1751">
        <f>IF('Data Entry'!$C$74=0,0,IFERROR(ROUND(IF(T305="","",IF($X$4=0,0,IF(CF305=1,0,IF(BQ305+CV305=0,0,IF(CF305=1,0,IF(CY305&gt;0.01,CY305,IF(CL305&gt;0.01,CL305,IF(CY305&gt;0.01,CY305,IF(BC305=37,BO305,IF(CZ305=FALSE,0,IF(CZ305=TRUE,DC305+DF305,0))))))))))),2),""))</f>
        <v>0</v>
      </c>
      <c r="DB305" s="1752"/>
      <c r="DC305" s="474">
        <f>IF(CN305&lt;0.01,0,IF(AND(BR305=3,CN305&gt;0.01,CT305&gt;0.6,ER305+ES305+ET305&lt;100),0,IF(AND('Data Entry'!$C$74=1,CN305&gt;0.01,CR305&gt;0.99),MIN(CN305:CO305),IF(AND('Data Entry'!$C$74=2,CN305&gt;0.01,CS305&gt;0.99),MIN(CN305:CO305),0))))</f>
        <v>0</v>
      </c>
      <c r="DD305" s="478">
        <f>IF(CF305=1,"Selection does not match",IF(T305=0,0,IF(AND('Data Entry'!$C$74=0,CP305&gt;1),"Select Oregon or Idaho on Data Entry Tab",IF(AND(AU305=1,AA305&gt;0.9),"Missing Interior or Exterior Selection",IF($X$4=0,"Enter Total Project Cost",IF(AQ305&lt;AR305,"Insufficient kWh savings – no incentive",IF(AND(SUM(CL305+CK305+BV305)&gt;0.01,'Data Entry'!$C$74=2,CJ305&gt;1,BO305=0),"Submit Control as Non-Standard",IF(AND('Data Entry'!$C$74=2,BR305=37,CJ305&gt;1,BO305=0),"Submit Control as Non-Standard",IF(SUM(CL305+CK305+BV305)&gt;0.01,"Standard Incentive",IF(AND('Data Entry'!$C$74=2,CP305=7,CN305=0),"Submit as Non-Standard",IF(DC305&gt;0.9,"Non-Standard Incentive",IF(AND(BY305+BZ305+CA305&gt;0.01,BV305=0,EQ305=0,ER305=0,ES305=0,ET305=0),"Scroll Right &amp; Select Control Strategies",IF(AND(CN305&gt;0.01,CO305=0),"Enter Unit Installed Cost",IF(ISNUMBER(SEARCH("Lighting Controls Only",F305)),"Lighting Controls Only",IF(CL305+DC305=0,"Does not meet incentive criteria",0)))))))))))))))</f>
        <v>0</v>
      </c>
      <c r="DE305" s="337">
        <f t="shared" si="366"/>
        <v>0</v>
      </c>
      <c r="DF305" s="609">
        <f t="shared" si="367"/>
        <v>0</v>
      </c>
      <c r="DG305" s="336" t="str">
        <f t="shared" si="368"/>
        <v/>
      </c>
      <c r="DH305" s="338">
        <f t="shared" si="369"/>
        <v>1</v>
      </c>
      <c r="DI305" s="336" t="e">
        <f t="shared" si="324"/>
        <v>#VALUE!</v>
      </c>
      <c r="DJ305" s="338">
        <f t="shared" si="325"/>
        <v>0</v>
      </c>
      <c r="DO305" s="81"/>
      <c r="DP305" s="81"/>
      <c r="DS305" s="1195">
        <f t="shared" si="370"/>
        <v>0</v>
      </c>
      <c r="DT305" s="344" t="b">
        <f t="shared" si="371"/>
        <v>1</v>
      </c>
      <c r="DU305" s="1314" t="str">
        <f t="array" ref="DU305">IF(OR(COUNTIF(F305,"*"&amp;$DK$9:$DK$178&amp;"*")), "Yes", "")</f>
        <v/>
      </c>
      <c r="DV305" s="1314">
        <f t="shared" si="372"/>
        <v>0</v>
      </c>
      <c r="DW305" s="1480">
        <f t="shared" si="373"/>
        <v>0</v>
      </c>
      <c r="DX305" s="1498">
        <f t="shared" si="382"/>
        <v>0</v>
      </c>
      <c r="DY305" s="1484">
        <f t="shared" si="374"/>
        <v>0</v>
      </c>
      <c r="DZ305" s="331"/>
      <c r="EA305" s="392"/>
      <c r="EB305" s="1499" t="s">
        <v>1564</v>
      </c>
      <c r="EC305" s="727" t="s">
        <v>1569</v>
      </c>
      <c r="ED305" s="1101">
        <v>0.5</v>
      </c>
      <c r="EE305" s="1215"/>
      <c r="EF305" s="1215"/>
      <c r="EG305" s="1184" t="str">
        <f t="shared" si="375"/>
        <v/>
      </c>
      <c r="EJ305" s="1185">
        <f t="shared" si="326"/>
        <v>0</v>
      </c>
      <c r="EK305" s="1211"/>
      <c r="EL305" s="1180">
        <f t="shared" si="327"/>
        <v>0</v>
      </c>
      <c r="EM305" s="206"/>
      <c r="EN305" s="1038"/>
      <c r="EO305" s="1038"/>
      <c r="EP305" s="1038"/>
      <c r="EQ305" s="1038">
        <f t="shared" si="376"/>
        <v>0</v>
      </c>
      <c r="ER305" s="1041">
        <f t="shared" si="377"/>
        <v>0</v>
      </c>
      <c r="ES305" s="1042">
        <f t="shared" si="378"/>
        <v>0</v>
      </c>
      <c r="ET305" s="1042">
        <f t="shared" si="383"/>
        <v>0</v>
      </c>
      <c r="EU305" s="1021">
        <f t="shared" si="384"/>
        <v>0</v>
      </c>
      <c r="EV305" s="368"/>
      <c r="EW305" s="368"/>
      <c r="EX305" s="369"/>
      <c r="EY305" s="370"/>
      <c r="EZ305" s="370"/>
      <c r="FA305" s="371"/>
      <c r="FB305" s="372"/>
    </row>
    <row r="306" spans="1:158" ht="34.5" customHeight="1">
      <c r="A306" s="82">
        <v>298</v>
      </c>
      <c r="B306" s="1806"/>
      <c r="C306" s="1807"/>
      <c r="D306" s="1807"/>
      <c r="E306" s="1808"/>
      <c r="F306" s="1809"/>
      <c r="G306" s="1810"/>
      <c r="H306" s="1810"/>
      <c r="I306" s="1811"/>
      <c r="J306" s="1301"/>
      <c r="K306" s="1814"/>
      <c r="L306" s="1814"/>
      <c r="M306" s="1017"/>
      <c r="N306" s="1584"/>
      <c r="O306" s="208" t="str">
        <f t="shared" si="314"/>
        <v/>
      </c>
      <c r="P306" s="785"/>
      <c r="Q306" s="39" t="str">
        <f t="shared" si="315"/>
        <v/>
      </c>
      <c r="R306" s="39">
        <f t="shared" si="328"/>
        <v>0</v>
      </c>
      <c r="S306" s="234">
        <f t="shared" si="329"/>
        <v>0</v>
      </c>
      <c r="T306" s="1815"/>
      <c r="U306" s="1815"/>
      <c r="V306" s="1815"/>
      <c r="W306" s="1121"/>
      <c r="X306" s="1812"/>
      <c r="Y306" s="1813"/>
      <c r="Z306" s="703"/>
      <c r="AA306" s="1280"/>
      <c r="AB306" s="1141"/>
      <c r="AC306" s="1103" t="str">
        <f>IF(T306="","",VLOOKUP(Z306,Lists!$A$60:$B$111,2,FALSE))</f>
        <v/>
      </c>
      <c r="AD306" s="130" t="str">
        <f t="shared" si="330"/>
        <v/>
      </c>
      <c r="AE306" s="130" t="e">
        <f t="shared" si="331"/>
        <v>#VALUE!</v>
      </c>
      <c r="AF306" s="130">
        <f t="shared" si="332"/>
        <v>1</v>
      </c>
      <c r="AG306" s="234">
        <f t="shared" si="316"/>
        <v>0</v>
      </c>
      <c r="AH306" s="1753" t="str">
        <f>IF(T306="","",(IF(ISNUMBER(SEARCH("exit",T306)),8760,IF(AND(M306="Dusk to Dawn",'Proposed Lighting'!AU306=3),4059,IF(AND(AU306=3,M306="1"),0,IF(AND(AU306=3,M306="1-C"),0,IF(AND(AU306=3,M306="2"),0,IF(AND(AU306=3,M306="2-C"),0,IF(AND(AU306=3,M306="3"),0,IF(AND(AU306=3,M306="3-C"),0,IF(AND(AU306=2,M306="Dusk to Dawn"),0,IF(AND(AU306=2,M306="Dusk to Dawn-C"),0,IF(AND(AU306=2,M306="Dusk to Dawn"),0,IF(AND(AU306=2,M306="E"),0,IF(AND(AU306=2,M306="E-C"),0,EG306)))))))))))))))</f>
        <v/>
      </c>
      <c r="AI306" s="1754"/>
      <c r="AJ306" s="1136"/>
      <c r="AK306" s="1136"/>
      <c r="AL306" s="1748">
        <f t="shared" si="333"/>
        <v>0</v>
      </c>
      <c r="AM306" s="1749"/>
      <c r="AN306" s="1750"/>
      <c r="AO306" s="476">
        <f t="shared" si="317"/>
        <v>0</v>
      </c>
      <c r="AP306" s="476">
        <f t="shared" si="334"/>
        <v>0</v>
      </c>
      <c r="AQ306" s="475">
        <f t="shared" si="318"/>
        <v>0</v>
      </c>
      <c r="AR306" s="475">
        <f t="shared" si="335"/>
        <v>0</v>
      </c>
      <c r="AS306" s="743" t="str">
        <f t="shared" si="387"/>
        <v/>
      </c>
      <c r="AT306" s="736" t="str">
        <f t="shared" si="336"/>
        <v/>
      </c>
      <c r="AU306" s="56">
        <f t="shared" si="337"/>
        <v>1</v>
      </c>
      <c r="AV306" s="476">
        <f t="shared" si="338"/>
        <v>0</v>
      </c>
      <c r="AW306" s="56">
        <f t="shared" si="339"/>
        <v>0</v>
      </c>
      <c r="AX306" s="475">
        <f t="shared" si="319"/>
        <v>0</v>
      </c>
      <c r="AY306" s="1169">
        <f t="shared" si="340"/>
        <v>0</v>
      </c>
      <c r="AZ306" s="1150">
        <f t="shared" si="379"/>
        <v>0</v>
      </c>
      <c r="BA306" s="56">
        <f t="shared" si="320"/>
        <v>0</v>
      </c>
      <c r="BB306" s="420">
        <f t="shared" si="321"/>
        <v>0</v>
      </c>
      <c r="BC306" s="58" t="str">
        <f t="shared" si="322"/>
        <v/>
      </c>
      <c r="BD306" s="660">
        <f t="shared" si="380"/>
        <v>0</v>
      </c>
      <c r="BE306" s="57" t="e">
        <f t="array" ref="BE306">INDEX($EB$11:$ED$1022,MATCH(F306&amp;T306,$EB$11:$EB$1007&amp;$EC$11:$EC$1007,0),3)</f>
        <v>#N/A</v>
      </c>
      <c r="BF306" s="463">
        <f t="shared" si="388"/>
        <v>0</v>
      </c>
      <c r="BG306" s="1445" t="e">
        <f t="array" ref="BG306">INDEX($DO$112:$DQ$123,MATCH(T306&amp;W306,$DO$114:$DO$125&amp;$DP$112:$DP$123,0),3)</f>
        <v>#N/A</v>
      </c>
      <c r="BH306" s="1446">
        <f t="shared" si="341"/>
        <v>0</v>
      </c>
      <c r="BI306" s="465">
        <f t="shared" si="342"/>
        <v>0</v>
      </c>
      <c r="BJ306" s="465">
        <f t="shared" si="343"/>
        <v>0</v>
      </c>
      <c r="BK306" s="466">
        <f t="shared" si="389"/>
        <v>0</v>
      </c>
      <c r="BL306" s="466">
        <f t="shared" si="390"/>
        <v>0</v>
      </c>
      <c r="BM306" s="466">
        <f t="shared" si="344"/>
        <v>0</v>
      </c>
      <c r="BN306" s="466">
        <f t="shared" si="345"/>
        <v>0</v>
      </c>
      <c r="BO306" s="463">
        <f>IF('Data Entry'!$C$74=0,0,IF(ISNA(CJ306),0,IF(AX306=0,0,IF(AND('Data Entry'!$C$74=2,AF306&gt;2,CE306&lt;1),0,IF(AND('Data Entry'!$C$74=2,AF306&gt;1,AU306=2,CJ306&gt;1),0,IF(AND(AF306=5,CT306=0.5,AU306=2,ER306&lt;100),0,IF(AND(AF306=5,CT306=0.5,AU306=3,ER306&lt;100),0,IF(AND('Data Entry'!$C$74=2,AF306=2,AU306=2,AK306&gt;0.01,CB306=2,CE306&lt;1),0,IF(AND('Data Entry'!$C$74=2,AF306=3,AU306=3,AK306&gt;0.01,CB306=3,CE306&lt;1),0,IF(AND('Data Entry'!$C$74=2,AF306=3,AU306=3,AK306&gt;0.01,CB306=3,CE306&gt;0.99),BQ306*0.08,IF(AND('Data Entry'!$C$74=2,AF306=2,AU306=2,AK306&gt;0.01,CB306=2,CE306&gt;0.99),BQ306*0.1,IF(AND(AU306=2,AK306&gt;0.01,CB306=2,CD306&gt;1),BQ306*0.1,IF(AND(AU306=3,AK306&gt;0.01,CB306=3,CD306&gt;1),BQ306*0.08,CJ306*EF306)))))))))))))</f>
        <v>0</v>
      </c>
      <c r="BP306" s="475">
        <f t="shared" si="346"/>
        <v>0</v>
      </c>
      <c r="BQ306" s="1431">
        <f>IF(AU306=1,0,IF(CH306=100,0,IF(AND(AF306=3,AU306=2),0,IF(AND(BH306=0,CT306&gt;0.4),0,IF(AND('Data Entry'!$C$74=2,AF306=1.5),0,IF(AND('Data Entry'!$C$74=2,AF306=1.6),0,IF(AND('Data Entry'!$C$74=2,AF306=4),0,IF(AND('Data Entry'!$C$74=2,AF306=5),0,IF(AND('Data Entry'!$C$74=2,AF306=2.5,CE306&lt;1),0,IF(AND('Data Entry'!$C$74=2,AF306=3,CE306&lt;1),0,IF(AND('Data Entry'!$C$74=1,AF306=2.5,CD306&lt;1),0,IF(AND('Data Entry'!$C$74=1,AF306=3,CD306&lt;1),0,IF(DX306&gt;0.01,DX306,IF(ISERROR(AX306-AY306),"",ROUND(AX306-AY306,2)))))))))))))))</f>
        <v>0</v>
      </c>
      <c r="BR306" s="146">
        <f t="shared" si="347"/>
        <v>0</v>
      </c>
      <c r="BS306" s="475">
        <f t="shared" si="348"/>
        <v>0</v>
      </c>
      <c r="BT306" s="146" t="b">
        <f t="shared" si="349"/>
        <v>0</v>
      </c>
      <c r="BU306" s="463">
        <f>IF(ISNA(AT306),0,IF(AND('Data Entry'!$C$74=2,BC306=27),0,IF(AND('Data Entry'!$C$74=2,BC306=28),0,IF(AND(BC306=27,BT306=27,CM306&gt;0.1),CM306*0.15,IF(AND(BC306=28,BT306=28,CM306&gt;0.1),CM306*0.12,0)))))</f>
        <v>0</v>
      </c>
      <c r="BV306" s="463">
        <f t="shared" si="386"/>
        <v>0</v>
      </c>
      <c r="BW306" s="463">
        <f t="shared" si="350"/>
        <v>0</v>
      </c>
      <c r="BX306" s="463">
        <f t="shared" si="351"/>
        <v>0</v>
      </c>
      <c r="BY306" s="463">
        <f t="shared" si="352"/>
        <v>0</v>
      </c>
      <c r="BZ306" s="463">
        <f t="shared" si="353"/>
        <v>0</v>
      </c>
      <c r="CA306" s="57">
        <f t="shared" si="381"/>
        <v>0</v>
      </c>
      <c r="CB306" s="56">
        <f t="shared" si="354"/>
        <v>1</v>
      </c>
      <c r="CC306" s="756">
        <f>IF(EE306=0,0,IF(EF306=0,0,IF(EE306&gt;AA306,0,IF(AND(AZ306&gt;AW306,AW306&gt;0),0,IF(CU306=0,0,Summary!AC609)))))</f>
        <v>0</v>
      </c>
      <c r="CD306" s="756">
        <f>IF(EE306=0,0,IF(EF306=0,0,IF(EE306&gt;AA306,0,IF(AND(AZ306&gt;AW306,AW306&gt;0),0,IF(CU306=0,0,Summary!AD609)))))</f>
        <v>0</v>
      </c>
      <c r="CE306" s="756">
        <f>IF(EF306=0,0,IF(EE306&gt;AA306,0,IF(CC306=0,0,IF(AND(AZ306&gt;AW306,AW306&gt;0),0,IF(CU306=0,0,Summary!AE609)))))</f>
        <v>0</v>
      </c>
      <c r="CF306" s="475">
        <f t="shared" si="355"/>
        <v>0</v>
      </c>
      <c r="CG306" s="476">
        <f t="shared" si="323"/>
        <v>0</v>
      </c>
      <c r="CH306" s="487">
        <f t="shared" si="356"/>
        <v>0</v>
      </c>
      <c r="CI306" s="756">
        <f t="shared" si="357"/>
        <v>0</v>
      </c>
      <c r="CJ306" s="487">
        <f>IF(CT306&gt;0.4,0,IF(AND(AU306=2,CH306=0,CT306=0.5,ER306=100),35,IF(AND(AU306=3,BB306&gt;75,CH306=0,CT306=0.5,ER306=100),25,IF(CB306&gt;1,0,IF(EF306&gt;EE306,0,IF(AND(AF306&gt;1,CH306=100),0,IF(AND(AF306=1,AY306=0),0,IF(AND(EF306&lt;=EE306,AW306&gt;=AZ306,'Data Entry'!$C$74=1,AU306=2),VLOOKUP(W306,$DO$96:$DP$102,2,FALSE),IF(AND(EF306&lt;=EE306,AW306&gt;=AZ306,AU306=3,'Data Entry'!$C$74=1),VLOOKUP(W306,$DO$127:$DP$134,2,FALSE))))))))))</f>
        <v>0</v>
      </c>
      <c r="CK306" s="716">
        <f t="shared" si="358"/>
        <v>0</v>
      </c>
      <c r="CL306" s="57">
        <f t="shared" si="359"/>
        <v>0</v>
      </c>
      <c r="CM306" s="475">
        <f t="shared" si="385"/>
        <v>0</v>
      </c>
      <c r="CN306" s="660">
        <f>IF(CM306&lt;0.1,0,IF(ISNA(AT306),0,IF(CL306+BC306=1,0,IF(BV306&gt;0.01,0,IF(CL306&gt;0.01,0,IF(CF306=1,0,IF(BC306=0.5,0,IF(AND(CI306=1,AU306=3),0,IF(AND(CI306=5,CL306=0),0,IF(AND(R306=12,BR306=50),0,IF(CK306&gt;0.01,0,IF(AND(AJ306&gt;0.01,AU306=2,BC306=15),CM306*0.1,IF(AND(AJ306&gt;0.01,AU306=3,BC306=15),CM306*0.08,IF(AND(R306=12,BC306=3,AF306&lt;=0),0,IF(AND(BC306=15,BI306=0),0,IF(AND(BC306=15,BJ306=0),0,IF(AND(R306=20,CU306=0),0,IF($X$4=0,0,IF(AND(BC306=250,CL306=0),0,IF(AA306&lt;1,0,IF(AND(ISNUMBER(SEARCH("Area",T306)),AU306=3),0,IF(AND(AQ306&gt;0.01,AR306=0,BK306=0,BL306=0,BM306=0,BN306=0),0,IF(AND(AU306=3,CI306=7,CT306&gt;0.5),0,IF(AND(BC306=44,AU306=3,BY306=0),0,IF(AND(BC306=27,'Data Entry'!$C$74=2),0,IF(AND(BC306=28,'Data Entry'!$C$74=2),0,IF(AND(BY306+BZ306+CA306&gt;0.01,BV306=0,EQ306+ER306+ES306+ET306&lt;100),0,IF(AU306=3,CM306*0.08,IF(AU306=2,CM306*0.1,0)))))))))))))))))))))))))))))</f>
        <v>0</v>
      </c>
      <c r="CO306" s="660">
        <f t="shared" si="360"/>
        <v>0</v>
      </c>
      <c r="CP306" s="475" t="str">
        <f t="shared" si="361"/>
        <v/>
      </c>
      <c r="CQ306" s="161" t="str">
        <f>IF(AH306=0,0,IF(AU306=5,0,Summary!AC309))</f>
        <v/>
      </c>
      <c r="CR306" s="161" t="str">
        <f>IF(BF306=0.5,0,IF(AU306=5,0,Summary!AD309))</f>
        <v/>
      </c>
      <c r="CS306" s="161" t="str">
        <f>IF(AU306=5,0,Summary!AE309)</f>
        <v/>
      </c>
      <c r="CT306" s="161">
        <f t="shared" si="362"/>
        <v>0</v>
      </c>
      <c r="CU306" s="475" t="str">
        <f t="shared" si="363"/>
        <v/>
      </c>
      <c r="CV306" s="307">
        <f>IF('Data Entry'!$C$74=0,0,IF(AA306&lt;1,0,IF(ISERROR(CU306),0,IF(CF306=1,0,IF(AND(R306=12,BR306=50),0,IF(CL306+BO306+BV306+DC306=0,0,IF(BC306=37,0,IF(AND(BC306=40,AJ306=0),0,IF(AND(BC306=37,BO306&gt;0.01,BQ306&gt;0.01),ROUND(BQ306,0),IF(CM306&lt;0,0,ROUND(CM306,0)))))))))))</f>
        <v>0</v>
      </c>
      <c r="CW306" s="700">
        <f t="shared" si="364"/>
        <v>0</v>
      </c>
      <c r="CX306" s="477">
        <f>IF('Data Entry'!$C$74=0,0,IF(CV306&lt;0.01,0,IF(BF306=0.5,0,IF(CF306=1,0,IF(ISNUMBER(SEARCH("false",CL306)),0,IF(AZ306=500,0,CL306))))))</f>
        <v>0</v>
      </c>
      <c r="CY306" s="147" t="e">
        <f t="shared" si="365"/>
        <v>#VALUE!</v>
      </c>
      <c r="CZ306" s="147" t="b">
        <f>IF(CN306+CL306=0,FALSE,IF(AH306=0,0,IF(AND('Data Entry'!$C$74=1,CR306&gt;=1),TRUE,IF(AND('Data Entry'!$C$74=2,CS306&gt;=1),TRUE,FALSE))))</f>
        <v>0</v>
      </c>
      <c r="DA306" s="1751">
        <f>IF('Data Entry'!$C$74=0,0,IFERROR(ROUND(IF(T306="","",IF($X$4=0,0,IF(CF306=1,0,IF(BQ306+CV306=0,0,IF(CF306=1,0,IF(CY306&gt;0.01,CY306,IF(CL306&gt;0.01,CL306,IF(CY306&gt;0.01,CY306,IF(BC306=37,BO306,IF(CZ306=FALSE,0,IF(CZ306=TRUE,DC306+DF306,0))))))))))),2),""))</f>
        <v>0</v>
      </c>
      <c r="DB306" s="1752"/>
      <c r="DC306" s="474">
        <f>IF(CN306&lt;0.01,0,IF(AND(BR306=3,CN306&gt;0.01,CT306&gt;0.6,ER306+ES306+ET306&lt;100),0,IF(AND('Data Entry'!$C$74=1,CN306&gt;0.01,CR306&gt;0.99),MIN(CN306:CO306),IF(AND('Data Entry'!$C$74=2,CN306&gt;0.01,CS306&gt;0.99),MIN(CN306:CO306),0))))</f>
        <v>0</v>
      </c>
      <c r="DD306" s="478">
        <f>IF(CF306=1,"Selection does not match",IF(T306=0,0,IF(AND('Data Entry'!$C$74=0,CP306&gt;1),"Select Oregon or Idaho on Data Entry Tab",IF(AND(AU306=1,AA306&gt;0.9),"Missing Interior or Exterior Selection",IF($X$4=0,"Enter Total Project Cost",IF(AQ306&lt;AR306,"Insufficient kWh savings – no incentive",IF(AND(SUM(CL306+CK306+BV306)&gt;0.01,'Data Entry'!$C$74=2,CJ306&gt;1,BO306=0),"Submit Control as Non-Standard",IF(AND('Data Entry'!$C$74=2,BR306=37,CJ306&gt;1,BO306=0),"Submit Control as Non-Standard",IF(SUM(CL306+CK306+BV306)&gt;0.01,"Standard Incentive",IF(AND('Data Entry'!$C$74=2,CP306=7,CN306=0),"Submit as Non-Standard",IF(DC306&gt;0.9,"Non-Standard Incentive",IF(AND(BY306+BZ306+CA306&gt;0.01,BV306=0,EQ306=0,ER306=0,ES306=0,ET306=0),"Scroll Right &amp; Select Control Strategies",IF(AND(CN306&gt;0.01,CO306=0),"Enter Unit Installed Cost",IF(ISNUMBER(SEARCH("Lighting Controls Only",F306)),"Lighting Controls Only",IF(CL306+DC306=0,"Does not meet incentive criteria",0)))))))))))))))</f>
        <v>0</v>
      </c>
      <c r="DE306" s="337">
        <f t="shared" si="366"/>
        <v>0</v>
      </c>
      <c r="DF306" s="609">
        <f t="shared" si="367"/>
        <v>0</v>
      </c>
      <c r="DG306" s="336" t="str">
        <f t="shared" si="368"/>
        <v/>
      </c>
      <c r="DH306" s="338">
        <f t="shared" si="369"/>
        <v>1</v>
      </c>
      <c r="DI306" s="336" t="e">
        <f t="shared" si="324"/>
        <v>#VALUE!</v>
      </c>
      <c r="DJ306" s="338">
        <f t="shared" si="325"/>
        <v>0</v>
      </c>
      <c r="DO306" s="81"/>
      <c r="DP306" s="81"/>
      <c r="DS306" s="1195">
        <f t="shared" si="370"/>
        <v>0</v>
      </c>
      <c r="DT306" s="344" t="b">
        <f t="shared" si="371"/>
        <v>1</v>
      </c>
      <c r="DU306" s="1314" t="str">
        <f t="array" ref="DU306">IF(OR(COUNTIF(F306,"*"&amp;$DK$9:$DK$178&amp;"*")), "Yes", "")</f>
        <v/>
      </c>
      <c r="DV306" s="1314">
        <f t="shared" si="372"/>
        <v>0</v>
      </c>
      <c r="DW306" s="1480">
        <f t="shared" si="373"/>
        <v>0</v>
      </c>
      <c r="DX306" s="1498">
        <f t="shared" si="382"/>
        <v>0</v>
      </c>
      <c r="DY306" s="1484">
        <f t="shared" si="374"/>
        <v>0</v>
      </c>
      <c r="DZ306" s="331"/>
      <c r="EA306" s="392"/>
      <c r="EB306" s="1499" t="s">
        <v>73</v>
      </c>
      <c r="EC306" s="727" t="s">
        <v>1569</v>
      </c>
      <c r="ED306" s="1101">
        <v>0.5</v>
      </c>
      <c r="EE306" s="1215"/>
      <c r="EF306" s="1215"/>
      <c r="EG306" s="1184" t="str">
        <f t="shared" si="375"/>
        <v/>
      </c>
      <c r="EJ306" s="1185">
        <f t="shared" si="326"/>
        <v>0</v>
      </c>
      <c r="EK306" s="1211"/>
      <c r="EL306" s="1180">
        <f t="shared" si="327"/>
        <v>0</v>
      </c>
      <c r="EM306" s="206"/>
      <c r="EN306" s="1038"/>
      <c r="EO306" s="1038"/>
      <c r="EP306" s="1038"/>
      <c r="EQ306" s="1038">
        <f t="shared" si="376"/>
        <v>0</v>
      </c>
      <c r="ER306" s="1041">
        <f t="shared" si="377"/>
        <v>0</v>
      </c>
      <c r="ES306" s="1042">
        <f t="shared" si="378"/>
        <v>0</v>
      </c>
      <c r="ET306" s="1042">
        <f t="shared" si="383"/>
        <v>0</v>
      </c>
      <c r="EU306" s="1021">
        <f t="shared" si="384"/>
        <v>0</v>
      </c>
      <c r="EV306" s="368"/>
      <c r="EW306" s="368"/>
      <c r="EX306" s="369"/>
      <c r="EY306" s="370"/>
      <c r="EZ306" s="370"/>
      <c r="FA306" s="371"/>
      <c r="FB306" s="372"/>
    </row>
    <row r="307" spans="1:158" ht="34.5" customHeight="1">
      <c r="A307" s="82">
        <v>299</v>
      </c>
      <c r="B307" s="1806"/>
      <c r="C307" s="1807"/>
      <c r="D307" s="1807"/>
      <c r="E307" s="1808"/>
      <c r="F307" s="1809"/>
      <c r="G307" s="1810"/>
      <c r="H307" s="1810"/>
      <c r="I307" s="1811"/>
      <c r="J307" s="1301"/>
      <c r="K307" s="1814"/>
      <c r="L307" s="1814"/>
      <c r="M307" s="1017"/>
      <c r="N307" s="1584"/>
      <c r="O307" s="208" t="str">
        <f t="shared" si="314"/>
        <v/>
      </c>
      <c r="P307" s="785"/>
      <c r="Q307" s="39" t="str">
        <f t="shared" si="315"/>
        <v/>
      </c>
      <c r="R307" s="39">
        <f t="shared" si="328"/>
        <v>0</v>
      </c>
      <c r="S307" s="234">
        <f t="shared" si="329"/>
        <v>0</v>
      </c>
      <c r="T307" s="1815"/>
      <c r="U307" s="1815"/>
      <c r="V307" s="1815"/>
      <c r="W307" s="1121"/>
      <c r="X307" s="1812"/>
      <c r="Y307" s="1813"/>
      <c r="Z307" s="703"/>
      <c r="AA307" s="1280"/>
      <c r="AB307" s="1141"/>
      <c r="AC307" s="1103" t="str">
        <f>IF(T307="","",VLOOKUP(Z307,Lists!$A$60:$B$111,2,FALSE))</f>
        <v/>
      </c>
      <c r="AD307" s="130" t="str">
        <f t="shared" si="330"/>
        <v/>
      </c>
      <c r="AE307" s="130" t="e">
        <f t="shared" si="331"/>
        <v>#VALUE!</v>
      </c>
      <c r="AF307" s="130">
        <f t="shared" si="332"/>
        <v>1</v>
      </c>
      <c r="AG307" s="234">
        <f t="shared" si="316"/>
        <v>0</v>
      </c>
      <c r="AH307" s="1753" t="str">
        <f>IF(T307="","",(IF(ISNUMBER(SEARCH("exit",T307)),8760,IF(AND(M307="Dusk to Dawn",'Proposed Lighting'!AU307=3),4059,IF(AND(AU307=3,M307="1"),0,IF(AND(AU307=3,M307="1-C"),0,IF(AND(AU307=3,M307="2"),0,IF(AND(AU307=3,M307="2-C"),0,IF(AND(AU307=3,M307="3"),0,IF(AND(AU307=3,M307="3-C"),0,IF(AND(AU307=2,M307="Dusk to Dawn"),0,IF(AND(AU307=2,M307="Dusk to Dawn-C"),0,IF(AND(AU307=2,M307="Dusk to Dawn"),0,IF(AND(AU307=2,M307="E"),0,IF(AND(AU307=2,M307="E-C"),0,EG307)))))))))))))))</f>
        <v/>
      </c>
      <c r="AI307" s="1754"/>
      <c r="AJ307" s="1136"/>
      <c r="AK307" s="1136"/>
      <c r="AL307" s="1748">
        <f t="shared" si="333"/>
        <v>0</v>
      </c>
      <c r="AM307" s="1749"/>
      <c r="AN307" s="1750"/>
      <c r="AO307" s="476">
        <f t="shared" si="317"/>
        <v>0</v>
      </c>
      <c r="AP307" s="476">
        <f t="shared" si="334"/>
        <v>0</v>
      </c>
      <c r="AQ307" s="475">
        <f t="shared" si="318"/>
        <v>0</v>
      </c>
      <c r="AR307" s="475">
        <f t="shared" si="335"/>
        <v>0</v>
      </c>
      <c r="AS307" s="743" t="str">
        <f t="shared" si="387"/>
        <v/>
      </c>
      <c r="AT307" s="736" t="str">
        <f t="shared" si="336"/>
        <v/>
      </c>
      <c r="AU307" s="56">
        <f t="shared" si="337"/>
        <v>1</v>
      </c>
      <c r="AV307" s="476">
        <f t="shared" si="338"/>
        <v>0</v>
      </c>
      <c r="AW307" s="56">
        <f t="shared" si="339"/>
        <v>0</v>
      </c>
      <c r="AX307" s="475">
        <f t="shared" si="319"/>
        <v>0</v>
      </c>
      <c r="AY307" s="1169">
        <f t="shared" si="340"/>
        <v>0</v>
      </c>
      <c r="AZ307" s="1150">
        <f t="shared" si="379"/>
        <v>0</v>
      </c>
      <c r="BA307" s="56">
        <f t="shared" si="320"/>
        <v>0</v>
      </c>
      <c r="BB307" s="420">
        <f t="shared" si="321"/>
        <v>0</v>
      </c>
      <c r="BC307" s="58" t="str">
        <f t="shared" si="322"/>
        <v/>
      </c>
      <c r="BD307" s="660">
        <f t="shared" si="380"/>
        <v>0</v>
      </c>
      <c r="BE307" s="57" t="e">
        <f t="array" ref="BE307">INDEX($EB$11:$ED$1022,MATCH(F307&amp;T307,$EB$11:$EB$1007&amp;$EC$11:$EC$1007,0),3)</f>
        <v>#N/A</v>
      </c>
      <c r="BF307" s="463">
        <f t="shared" si="388"/>
        <v>0</v>
      </c>
      <c r="BG307" s="1445" t="e">
        <f t="array" ref="BG307">INDEX($DO$112:$DQ$123,MATCH(T307&amp;W307,$DO$114:$DO$125&amp;$DP$112:$DP$123,0),3)</f>
        <v>#N/A</v>
      </c>
      <c r="BH307" s="1446">
        <f t="shared" si="341"/>
        <v>0</v>
      </c>
      <c r="BI307" s="465">
        <f t="shared" si="342"/>
        <v>0</v>
      </c>
      <c r="BJ307" s="465">
        <f t="shared" si="343"/>
        <v>0</v>
      </c>
      <c r="BK307" s="466">
        <f t="shared" si="389"/>
        <v>0</v>
      </c>
      <c r="BL307" s="466">
        <f t="shared" si="390"/>
        <v>0</v>
      </c>
      <c r="BM307" s="466">
        <f t="shared" si="344"/>
        <v>0</v>
      </c>
      <c r="BN307" s="466">
        <f t="shared" si="345"/>
        <v>0</v>
      </c>
      <c r="BO307" s="463">
        <f>IF('Data Entry'!$C$74=0,0,IF(ISNA(CJ307),0,IF(AX307=0,0,IF(AND('Data Entry'!$C$74=2,AF307&gt;2,CE307&lt;1),0,IF(AND('Data Entry'!$C$74=2,AF307&gt;1,AU307=2,CJ307&gt;1),0,IF(AND(AF307=5,CT307=0.5,AU307=2,ER307&lt;100),0,IF(AND(AF307=5,CT307=0.5,AU307=3,ER307&lt;100),0,IF(AND('Data Entry'!$C$74=2,AF307=2,AU307=2,AK307&gt;0.01,CB307=2,CE307&lt;1),0,IF(AND('Data Entry'!$C$74=2,AF307=3,AU307=3,AK307&gt;0.01,CB307=3,CE307&lt;1),0,IF(AND('Data Entry'!$C$74=2,AF307=3,AU307=3,AK307&gt;0.01,CB307=3,CE307&gt;0.99),BQ307*0.08,IF(AND('Data Entry'!$C$74=2,AF307=2,AU307=2,AK307&gt;0.01,CB307=2,CE307&gt;0.99),BQ307*0.1,IF(AND(AU307=2,AK307&gt;0.01,CB307=2,CD307&gt;1),BQ307*0.1,IF(AND(AU307=3,AK307&gt;0.01,CB307=3,CD307&gt;1),BQ307*0.08,CJ307*EF307)))))))))))))</f>
        <v>0</v>
      </c>
      <c r="BP307" s="475">
        <f t="shared" si="346"/>
        <v>0</v>
      </c>
      <c r="BQ307" s="1431">
        <f>IF(AU307=1,0,IF(CH307=100,0,IF(AND(AF307=3,AU307=2),0,IF(AND(BH307=0,CT307&gt;0.4),0,IF(AND('Data Entry'!$C$74=2,AF307=1.5),0,IF(AND('Data Entry'!$C$74=2,AF307=1.6),0,IF(AND('Data Entry'!$C$74=2,AF307=4),0,IF(AND('Data Entry'!$C$74=2,AF307=5),0,IF(AND('Data Entry'!$C$74=2,AF307=2.5,CE307&lt;1),0,IF(AND('Data Entry'!$C$74=2,AF307=3,CE307&lt;1),0,IF(AND('Data Entry'!$C$74=1,AF307=2.5,CD307&lt;1),0,IF(AND('Data Entry'!$C$74=1,AF307=3,CD307&lt;1),0,IF(DX307&gt;0.01,DX307,IF(ISERROR(AX307-AY307),"",ROUND(AX307-AY307,2)))))))))))))))</f>
        <v>0</v>
      </c>
      <c r="BR307" s="146">
        <f t="shared" si="347"/>
        <v>0</v>
      </c>
      <c r="BS307" s="475">
        <f t="shared" si="348"/>
        <v>0</v>
      </c>
      <c r="BT307" s="146" t="b">
        <f t="shared" si="349"/>
        <v>0</v>
      </c>
      <c r="BU307" s="463">
        <f>IF(ISNA(AT307),0,IF(AND('Data Entry'!$C$74=2,BC307=27),0,IF(AND('Data Entry'!$C$74=2,BC307=28),0,IF(AND(BC307=27,BT307=27,CM307&gt;0.1),CM307*0.15,IF(AND(BC307=28,BT307=28,CM307&gt;0.1),CM307*0.12,0)))))</f>
        <v>0</v>
      </c>
      <c r="BV307" s="463">
        <f t="shared" si="386"/>
        <v>0</v>
      </c>
      <c r="BW307" s="463">
        <f t="shared" si="350"/>
        <v>0</v>
      </c>
      <c r="BX307" s="463">
        <f t="shared" si="351"/>
        <v>0</v>
      </c>
      <c r="BY307" s="463">
        <f t="shared" si="352"/>
        <v>0</v>
      </c>
      <c r="BZ307" s="463">
        <f t="shared" si="353"/>
        <v>0</v>
      </c>
      <c r="CA307" s="57">
        <f t="shared" si="381"/>
        <v>0</v>
      </c>
      <c r="CB307" s="56">
        <f t="shared" si="354"/>
        <v>1</v>
      </c>
      <c r="CC307" s="756">
        <f>IF(EE307=0,0,IF(EF307=0,0,IF(EE307&gt;AA307,0,IF(AND(AZ307&gt;AW307,AW307&gt;0),0,IF(CU307=0,0,Summary!AC610)))))</f>
        <v>0</v>
      </c>
      <c r="CD307" s="756">
        <f>IF(EE307=0,0,IF(EF307=0,0,IF(EE307&gt;AA307,0,IF(AND(AZ307&gt;AW307,AW307&gt;0),0,IF(CU307=0,0,Summary!AD610)))))</f>
        <v>0</v>
      </c>
      <c r="CE307" s="756">
        <f>IF(EF307=0,0,IF(EE307&gt;AA307,0,IF(CC307=0,0,IF(AND(AZ307&gt;AW307,AW307&gt;0),0,IF(CU307=0,0,Summary!AE610)))))</f>
        <v>0</v>
      </c>
      <c r="CF307" s="475">
        <f t="shared" si="355"/>
        <v>0</v>
      </c>
      <c r="CG307" s="476">
        <f t="shared" si="323"/>
        <v>0</v>
      </c>
      <c r="CH307" s="487">
        <f t="shared" si="356"/>
        <v>0</v>
      </c>
      <c r="CI307" s="756">
        <f t="shared" si="357"/>
        <v>0</v>
      </c>
      <c r="CJ307" s="487">
        <f>IF(CT307&gt;0.4,0,IF(AND(AU307=2,CH307=0,CT307=0.5,ER307=100),35,IF(AND(AU307=3,BB307&gt;75,CH307=0,CT307=0.5,ER307=100),25,IF(CB307&gt;1,0,IF(EF307&gt;EE307,0,IF(AND(AF307&gt;1,CH307=100),0,IF(AND(AF307=1,AY307=0),0,IF(AND(EF307&lt;=EE307,AW307&gt;=AZ307,'Data Entry'!$C$74=1,AU307=2),VLOOKUP(W307,$DO$96:$DP$102,2,FALSE),IF(AND(EF307&lt;=EE307,AW307&gt;=AZ307,AU307=3,'Data Entry'!$C$74=1),VLOOKUP(W307,$DO$127:$DP$134,2,FALSE))))))))))</f>
        <v>0</v>
      </c>
      <c r="CK307" s="716">
        <f t="shared" si="358"/>
        <v>0</v>
      </c>
      <c r="CL307" s="57">
        <f t="shared" si="359"/>
        <v>0</v>
      </c>
      <c r="CM307" s="475">
        <f t="shared" si="385"/>
        <v>0</v>
      </c>
      <c r="CN307" s="660">
        <f>IF(CM307&lt;0.1,0,IF(ISNA(AT307),0,IF(CL307+BC307=1,0,IF(BV307&gt;0.01,0,IF(CL307&gt;0.01,0,IF(CF307=1,0,IF(BC307=0.5,0,IF(AND(CI307=1,AU307=3),0,IF(AND(CI307=5,CL307=0),0,IF(AND(R307=12,BR307=50),0,IF(CK307&gt;0.01,0,IF(AND(AJ307&gt;0.01,AU307=2,BC307=15),CM307*0.1,IF(AND(AJ307&gt;0.01,AU307=3,BC307=15),CM307*0.08,IF(AND(R307=12,BC307=3,AF307&lt;=0),0,IF(AND(BC307=15,BI307=0),0,IF(AND(BC307=15,BJ307=0),0,IF(AND(R307=20,CU307=0),0,IF($X$4=0,0,IF(AND(BC307=250,CL307=0),0,IF(AA307&lt;1,0,IF(AND(ISNUMBER(SEARCH("Area",T307)),AU307=3),0,IF(AND(AQ307&gt;0.01,AR307=0,BK307=0,BL307=0,BM307=0,BN307=0),0,IF(AND(AU307=3,CI307=7,CT307&gt;0.5),0,IF(AND(BC307=44,AU307=3,BY307=0),0,IF(AND(BC307=27,'Data Entry'!$C$74=2),0,IF(AND(BC307=28,'Data Entry'!$C$74=2),0,IF(AND(BY307+BZ307+CA307&gt;0.01,BV307=0,EQ307+ER307+ES307+ET307&lt;100),0,IF(AU307=3,CM307*0.08,IF(AU307=2,CM307*0.1,0)))))))))))))))))))))))))))))</f>
        <v>0</v>
      </c>
      <c r="CO307" s="660">
        <f t="shared" si="360"/>
        <v>0</v>
      </c>
      <c r="CP307" s="475" t="str">
        <f t="shared" si="361"/>
        <v/>
      </c>
      <c r="CQ307" s="161" t="str">
        <f>IF(AH307=0,0,IF(AU307=5,0,Summary!AC310))</f>
        <v/>
      </c>
      <c r="CR307" s="161" t="str">
        <f>IF(BF307=0.5,0,IF(AU307=5,0,Summary!AD310))</f>
        <v/>
      </c>
      <c r="CS307" s="161" t="str">
        <f>IF(AU307=5,0,Summary!AE310)</f>
        <v/>
      </c>
      <c r="CT307" s="161">
        <f t="shared" si="362"/>
        <v>0</v>
      </c>
      <c r="CU307" s="475" t="str">
        <f t="shared" si="363"/>
        <v/>
      </c>
      <c r="CV307" s="307">
        <f>IF('Data Entry'!$C$74=0,0,IF(AA307&lt;1,0,IF(ISERROR(CU307),0,IF(CF307=1,0,IF(AND(R307=12,BR307=50),0,IF(CL307+BO307+BV307+DC307=0,0,IF(BC307=37,0,IF(AND(BC307=40,AJ307=0),0,IF(AND(BC307=37,BO307&gt;0.01,BQ307&gt;0.01),ROUND(BQ307,0),IF(CM307&lt;0,0,ROUND(CM307,0)))))))))))</f>
        <v>0</v>
      </c>
      <c r="CW307" s="700">
        <f t="shared" si="364"/>
        <v>0</v>
      </c>
      <c r="CX307" s="477">
        <f>IF('Data Entry'!$C$74=0,0,IF(CV307&lt;0.01,0,IF(BF307=0.5,0,IF(CF307=1,0,IF(ISNUMBER(SEARCH("false",CL307)),0,IF(AZ307=500,0,CL307))))))</f>
        <v>0</v>
      </c>
      <c r="CY307" s="147" t="e">
        <f t="shared" si="365"/>
        <v>#VALUE!</v>
      </c>
      <c r="CZ307" s="147" t="b">
        <f>IF(CN307+CL307=0,FALSE,IF(AH307=0,0,IF(AND('Data Entry'!$C$74=1,CR307&gt;=1),TRUE,IF(AND('Data Entry'!$C$74=2,CS307&gt;=1),TRUE,FALSE))))</f>
        <v>0</v>
      </c>
      <c r="DA307" s="1751">
        <f>IF('Data Entry'!$C$74=0,0,IFERROR(ROUND(IF(T307="","",IF($X$4=0,0,IF(CF307=1,0,IF(BQ307+CV307=0,0,IF(CF307=1,0,IF(CY307&gt;0.01,CY307,IF(CL307&gt;0.01,CL307,IF(CY307&gt;0.01,CY307,IF(BC307=37,BO307,IF(CZ307=FALSE,0,IF(CZ307=TRUE,DC307+DF307,0))))))))))),2),""))</f>
        <v>0</v>
      </c>
      <c r="DB307" s="1752"/>
      <c r="DC307" s="474">
        <f>IF(CN307&lt;0.01,0,IF(AND(BR307=3,CN307&gt;0.01,CT307&gt;0.6,ER307+ES307+ET307&lt;100),0,IF(AND('Data Entry'!$C$74=1,CN307&gt;0.01,CR307&gt;0.99),MIN(CN307:CO307),IF(AND('Data Entry'!$C$74=2,CN307&gt;0.01,CS307&gt;0.99),MIN(CN307:CO307),0))))</f>
        <v>0</v>
      </c>
      <c r="DD307" s="478">
        <f>IF(CF307=1,"Selection does not match",IF(T307=0,0,IF(AND('Data Entry'!$C$74=0,CP307&gt;1),"Select Oregon or Idaho on Data Entry Tab",IF(AND(AU307=1,AA307&gt;0.9),"Missing Interior or Exterior Selection",IF($X$4=0,"Enter Total Project Cost",IF(AQ307&lt;AR307,"Insufficient kWh savings – no incentive",IF(AND(SUM(CL307+CK307+BV307)&gt;0.01,'Data Entry'!$C$74=2,CJ307&gt;1,BO307=0),"Submit Control as Non-Standard",IF(AND('Data Entry'!$C$74=2,BR307=37,CJ307&gt;1,BO307=0),"Submit Control as Non-Standard",IF(SUM(CL307+CK307+BV307)&gt;0.01,"Standard Incentive",IF(AND('Data Entry'!$C$74=2,CP307=7,CN307=0),"Submit as Non-Standard",IF(DC307&gt;0.9,"Non-Standard Incentive",IF(AND(BY307+BZ307+CA307&gt;0.01,BV307=0,EQ307=0,ER307=0,ES307=0,ET307=0),"Scroll Right &amp; Select Control Strategies",IF(AND(CN307&gt;0.01,CO307=0),"Enter Unit Installed Cost",IF(ISNUMBER(SEARCH("Lighting Controls Only",F307)),"Lighting Controls Only",IF(CL307+DC307=0,"Does not meet incentive criteria",0)))))))))))))))</f>
        <v>0</v>
      </c>
      <c r="DE307" s="337">
        <f t="shared" si="366"/>
        <v>0</v>
      </c>
      <c r="DF307" s="609">
        <f t="shared" si="367"/>
        <v>0</v>
      </c>
      <c r="DG307" s="336" t="str">
        <f t="shared" si="368"/>
        <v/>
      </c>
      <c r="DH307" s="338">
        <f t="shared" si="369"/>
        <v>1</v>
      </c>
      <c r="DI307" s="336" t="e">
        <f t="shared" si="324"/>
        <v>#VALUE!</v>
      </c>
      <c r="DJ307" s="338">
        <f t="shared" si="325"/>
        <v>0</v>
      </c>
      <c r="DO307" s="81"/>
      <c r="DP307" s="81"/>
      <c r="DS307" s="1195">
        <f t="shared" si="370"/>
        <v>0</v>
      </c>
      <c r="DT307" s="344" t="b">
        <f t="shared" si="371"/>
        <v>1</v>
      </c>
      <c r="DU307" s="1314" t="str">
        <f t="array" ref="DU307">IF(OR(COUNTIF(F307,"*"&amp;$DK$9:$DK$178&amp;"*")), "Yes", "")</f>
        <v/>
      </c>
      <c r="DV307" s="1314">
        <f t="shared" si="372"/>
        <v>0</v>
      </c>
      <c r="DW307" s="1480">
        <f t="shared" si="373"/>
        <v>0</v>
      </c>
      <c r="DX307" s="1498">
        <f t="shared" si="382"/>
        <v>0</v>
      </c>
      <c r="DY307" s="1484">
        <f t="shared" si="374"/>
        <v>0</v>
      </c>
      <c r="DZ307" s="331"/>
      <c r="EA307" s="392"/>
      <c r="EB307" s="1499" t="s">
        <v>77</v>
      </c>
      <c r="EC307" s="727" t="s">
        <v>1569</v>
      </c>
      <c r="ED307" s="1101">
        <v>0.5</v>
      </c>
      <c r="EE307" s="1215"/>
      <c r="EF307" s="1215"/>
      <c r="EG307" s="1184" t="str">
        <f t="shared" si="375"/>
        <v/>
      </c>
      <c r="EJ307" s="1185">
        <f t="shared" si="326"/>
        <v>0</v>
      </c>
      <c r="EK307" s="1211"/>
      <c r="EL307" s="1180">
        <f t="shared" si="327"/>
        <v>0</v>
      </c>
      <c r="EM307" s="206"/>
      <c r="EN307" s="1038"/>
      <c r="EO307" s="1038"/>
      <c r="EP307" s="1038"/>
      <c r="EQ307" s="1038">
        <f t="shared" si="376"/>
        <v>0</v>
      </c>
      <c r="ER307" s="1041">
        <f t="shared" si="377"/>
        <v>0</v>
      </c>
      <c r="ES307" s="1042">
        <f t="shared" si="378"/>
        <v>0</v>
      </c>
      <c r="ET307" s="1042">
        <f t="shared" si="383"/>
        <v>0</v>
      </c>
      <c r="EU307" s="1021">
        <f t="shared" si="384"/>
        <v>0</v>
      </c>
      <c r="EV307" s="368"/>
      <c r="EW307" s="368"/>
      <c r="EX307" s="369"/>
      <c r="EY307" s="370"/>
      <c r="EZ307" s="370"/>
      <c r="FA307" s="371"/>
      <c r="FB307" s="372"/>
    </row>
    <row r="308" spans="1:158" ht="34.5" customHeight="1">
      <c r="A308" s="82">
        <v>300</v>
      </c>
      <c r="B308" s="1806"/>
      <c r="C308" s="1807"/>
      <c r="D308" s="1807"/>
      <c r="E308" s="1808"/>
      <c r="F308" s="1809"/>
      <c r="G308" s="1810"/>
      <c r="H308" s="1810"/>
      <c r="I308" s="1811"/>
      <c r="J308" s="1301"/>
      <c r="K308" s="1814"/>
      <c r="L308" s="1814"/>
      <c r="M308" s="1017"/>
      <c r="N308" s="1584"/>
      <c r="O308" s="208" t="str">
        <f t="shared" si="314"/>
        <v/>
      </c>
      <c r="P308" s="785"/>
      <c r="Q308" s="39" t="str">
        <f t="shared" si="315"/>
        <v/>
      </c>
      <c r="R308" s="39">
        <f t="shared" si="328"/>
        <v>0</v>
      </c>
      <c r="S308" s="234">
        <f t="shared" si="329"/>
        <v>0</v>
      </c>
      <c r="T308" s="1815"/>
      <c r="U308" s="1815"/>
      <c r="V308" s="1815"/>
      <c r="W308" s="1121"/>
      <c r="X308" s="1812"/>
      <c r="Y308" s="1813"/>
      <c r="Z308" s="703"/>
      <c r="AA308" s="1280"/>
      <c r="AB308" s="1141"/>
      <c r="AC308" s="1103" t="str">
        <f>IF(T308="","",VLOOKUP(Z308,Lists!$A$60:$B$111,2,FALSE))</f>
        <v/>
      </c>
      <c r="AD308" s="130" t="str">
        <f t="shared" si="330"/>
        <v/>
      </c>
      <c r="AE308" s="130" t="e">
        <f t="shared" si="331"/>
        <v>#VALUE!</v>
      </c>
      <c r="AF308" s="130">
        <f t="shared" si="332"/>
        <v>1</v>
      </c>
      <c r="AG308" s="234">
        <f t="shared" si="316"/>
        <v>0</v>
      </c>
      <c r="AH308" s="1753" t="str">
        <f>IF(T308="","",(IF(ISNUMBER(SEARCH("exit",T308)),8760,IF(AND(M308="Dusk to Dawn",'Proposed Lighting'!AU308=3),4059,IF(AND(AU308=3,M308="1"),0,IF(AND(AU308=3,M308="1-C"),0,IF(AND(AU308=3,M308="2"),0,IF(AND(AU308=3,M308="2-C"),0,IF(AND(AU308=3,M308="3"),0,IF(AND(AU308=3,M308="3-C"),0,IF(AND(AU308=2,M308="Dusk to Dawn"),0,IF(AND(AU308=2,M308="Dusk to Dawn-C"),0,IF(AND(AU308=2,M308="Dusk to Dawn"),0,IF(AND(AU308=2,M308="E"),0,IF(AND(AU308=2,M308="E-C"),0,EG308)))))))))))))))</f>
        <v/>
      </c>
      <c r="AI308" s="1754"/>
      <c r="AJ308" s="1136"/>
      <c r="AK308" s="1136"/>
      <c r="AL308" s="1748">
        <f t="shared" si="333"/>
        <v>0</v>
      </c>
      <c r="AM308" s="1749"/>
      <c r="AN308" s="1750"/>
      <c r="AO308" s="476">
        <f t="shared" si="317"/>
        <v>0</v>
      </c>
      <c r="AP308" s="476">
        <f t="shared" si="334"/>
        <v>0</v>
      </c>
      <c r="AQ308" s="475">
        <f t="shared" si="318"/>
        <v>0</v>
      </c>
      <c r="AR308" s="475">
        <f t="shared" si="335"/>
        <v>0</v>
      </c>
      <c r="AS308" s="743" t="str">
        <f t="shared" si="387"/>
        <v/>
      </c>
      <c r="AT308" s="736" t="str">
        <f t="shared" si="336"/>
        <v/>
      </c>
      <c r="AU308" s="56">
        <f t="shared" si="337"/>
        <v>1</v>
      </c>
      <c r="AV308" s="476">
        <f t="shared" si="338"/>
        <v>0</v>
      </c>
      <c r="AW308" s="56">
        <f t="shared" si="339"/>
        <v>0</v>
      </c>
      <c r="AX308" s="475">
        <f t="shared" si="319"/>
        <v>0</v>
      </c>
      <c r="AY308" s="1169">
        <f t="shared" si="340"/>
        <v>0</v>
      </c>
      <c r="AZ308" s="1150">
        <f t="shared" si="379"/>
        <v>0</v>
      </c>
      <c r="BA308" s="56">
        <f t="shared" si="320"/>
        <v>0</v>
      </c>
      <c r="BB308" s="420">
        <f t="shared" si="321"/>
        <v>0</v>
      </c>
      <c r="BC308" s="58" t="str">
        <f t="shared" si="322"/>
        <v/>
      </c>
      <c r="BD308" s="660">
        <f t="shared" si="380"/>
        <v>0</v>
      </c>
      <c r="BE308" s="57" t="e">
        <f t="array" ref="BE308">INDEX($EB$11:$ED$1022,MATCH(F308&amp;T308,$EB$11:$EB$1007&amp;$EC$11:$EC$1007,0),3)</f>
        <v>#N/A</v>
      </c>
      <c r="BF308" s="463">
        <f t="shared" si="388"/>
        <v>0</v>
      </c>
      <c r="BG308" s="1445" t="e">
        <f t="array" ref="BG308">INDEX($DO$112:$DQ$123,MATCH(T308&amp;W308,$DO$114:$DO$125&amp;$DP$112:$DP$123,0),3)</f>
        <v>#N/A</v>
      </c>
      <c r="BH308" s="1446">
        <f>IF(ISNA(BG308),0,BG308)</f>
        <v>0</v>
      </c>
      <c r="BI308" s="465">
        <f t="shared" si="342"/>
        <v>0</v>
      </c>
      <c r="BJ308" s="465">
        <f t="shared" si="343"/>
        <v>0</v>
      </c>
      <c r="BK308" s="466">
        <f t="shared" si="389"/>
        <v>0</v>
      </c>
      <c r="BL308" s="466">
        <f t="shared" si="390"/>
        <v>0</v>
      </c>
      <c r="BM308" s="466">
        <f t="shared" si="344"/>
        <v>0</v>
      </c>
      <c r="BN308" s="466">
        <f t="shared" si="345"/>
        <v>0</v>
      </c>
      <c r="BO308" s="463">
        <f>IF('Data Entry'!$C$74=0,0,IF(ISNA(CJ308),0,IF(AX308=0,0,IF(AND('Data Entry'!$C$74=2,AF308&gt;2,CE308&lt;1),0,IF(AND('Data Entry'!$C$74=2,AF308&gt;1,AU308=2,CJ308&gt;1),0,IF(AND(AF308=5,CT308=0.5,AU308=2,ER308&lt;100),0,IF(AND(AF308=5,CT308=0.5,AU308=3,ER308&lt;100),0,IF(AND('Data Entry'!$C$74=2,AF308=2,AU308=2,AK308&gt;0.01,CB308=2,CE308&lt;1),0,IF(AND('Data Entry'!$C$74=2,AF308=3,AU308=3,AK308&gt;0.01,CB308=3,CE308&lt;1),0,IF(AND('Data Entry'!$C$74=2,AF308=3,AU308=3,AK308&gt;0.01,CB308=3,CE308&gt;0.99),BQ308*0.08,IF(AND('Data Entry'!$C$74=2,AF308=2,AU308=2,AK308&gt;0.01,CB308=2,CE308&gt;0.99),BQ308*0.1,IF(AND(AU308=2,AK308&gt;0.01,CB308=2,CD308&gt;1),BQ308*0.1,IF(AND(AU308=3,AK308&gt;0.01,CB308=3,CD308&gt;1),BQ308*0.08,CJ308*EF308)))))))))))))</f>
        <v>0</v>
      </c>
      <c r="BP308" s="475">
        <f t="shared" si="346"/>
        <v>0</v>
      </c>
      <c r="BQ308" s="1431">
        <f>IF(AU308=1,0,IF(CH308=100,0,IF(AND(AF308=3,AU308=2),0,IF(AND(BH308=0,CT308&gt;0.4),0,IF(AND('Data Entry'!$C$74=2,AF308=1.5),0,IF(AND('Data Entry'!$C$74=2,AF308=1.6),0,IF(AND('Data Entry'!$C$74=2,AF308=4),0,IF(AND('Data Entry'!$C$74=2,AF308=5),0,IF(AND('Data Entry'!$C$74=2,AF308=2.5,CE308&lt;1),0,IF(AND('Data Entry'!$C$74=2,AF308=3,CE308&lt;1),0,IF(AND('Data Entry'!$C$74=1,AF308=2.5,CD308&lt;1),0,IF(AND('Data Entry'!$C$74=1,AF308=3,CD308&lt;1),0,IF(DX308&gt;0.01,DX308,IF(ISERROR(AX308-AY308),"",ROUND(AX308-AY308,2)))))))))))))))</f>
        <v>0</v>
      </c>
      <c r="BR308" s="146">
        <f t="shared" si="347"/>
        <v>0</v>
      </c>
      <c r="BS308" s="475">
        <f t="shared" si="348"/>
        <v>0</v>
      </c>
      <c r="BT308" s="146" t="b">
        <f t="shared" si="349"/>
        <v>0</v>
      </c>
      <c r="BU308" s="463">
        <f>IF(ISNA(AT308),0,IF(AND('Data Entry'!$C$74=2,BC308=27),0,IF(AND('Data Entry'!$C$74=2,BC308=28),0,IF(AND(BC308=27,BT308=27,CM308&gt;0.1),CM308*0.15,IF(AND(BC308=28,BT308=28,CM308&gt;0.1),CM308*0.12,0)))))</f>
        <v>0</v>
      </c>
      <c r="BV308" s="463">
        <f t="shared" si="386"/>
        <v>0</v>
      </c>
      <c r="BW308" s="463">
        <f t="shared" si="350"/>
        <v>0</v>
      </c>
      <c r="BX308" s="463">
        <f t="shared" si="351"/>
        <v>0</v>
      </c>
      <c r="BY308" s="463">
        <f t="shared" si="352"/>
        <v>0</v>
      </c>
      <c r="BZ308" s="463">
        <f t="shared" si="353"/>
        <v>0</v>
      </c>
      <c r="CA308" s="57">
        <f t="shared" si="381"/>
        <v>0</v>
      </c>
      <c r="CB308" s="56">
        <f t="shared" si="354"/>
        <v>1</v>
      </c>
      <c r="CC308" s="756">
        <f>IF(EE308=0,0,IF(EF308=0,0,IF(EE308&gt;AA308,0,IF(AND(AZ308&gt;AW308,AW308&gt;0),0,IF(CU308=0,0,Summary!AC611)))))</f>
        <v>0</v>
      </c>
      <c r="CD308" s="756">
        <f>IF(EE308=0,0,IF(EF308=0,0,IF(EE308&gt;AA308,0,IF(AND(AZ308&gt;AW308,AW308&gt;0),0,IF(CU308=0,0,Summary!AD611)))))</f>
        <v>0</v>
      </c>
      <c r="CE308" s="756">
        <f>IF(EF308=0,0,IF(EE308&gt;AA308,0,IF(CC308=0,0,IF(AND(AZ308&gt;AW308,AW308&gt;0),0,IF(CU308=0,0,Summary!AE611)))))</f>
        <v>0</v>
      </c>
      <c r="CF308" s="475">
        <f t="shared" si="355"/>
        <v>0</v>
      </c>
      <c r="CG308" s="476">
        <f t="shared" si="323"/>
        <v>0</v>
      </c>
      <c r="CH308" s="487">
        <f t="shared" si="356"/>
        <v>0</v>
      </c>
      <c r="CI308" s="756">
        <f t="shared" si="357"/>
        <v>0</v>
      </c>
      <c r="CJ308" s="487">
        <f>IF(CT308&gt;0.4,0,IF(AND(AU308=2,CH308=0,CT308=0.5,ER308=100),35,IF(AND(AU308=3,BB308&gt;75,CH308=0,CT308=0.5,ER308=100),25,IF(CB308&gt;1,0,IF(EF308&gt;EE308,0,IF(AND(AF308&gt;1,CH308=100),0,IF(AND(AF308=1,AY308=0),0,IF(AND(EF308&lt;=EE308,AW308&gt;=AZ308,'Data Entry'!$C$74=1,AU308=2),VLOOKUP(W308,$DO$96:$DP$102,2,FALSE),IF(AND(EF308&lt;=EE308,AW308&gt;=AZ308,AU308=3,'Data Entry'!$C$74=1),VLOOKUP(W308,$DO$127:$DP$134,2,FALSE))))))))))</f>
        <v>0</v>
      </c>
      <c r="CK308" s="716">
        <f t="shared" si="358"/>
        <v>0</v>
      </c>
      <c r="CL308" s="57">
        <f t="shared" si="359"/>
        <v>0</v>
      </c>
      <c r="CM308" s="475">
        <f t="shared" si="385"/>
        <v>0</v>
      </c>
      <c r="CN308" s="660">
        <f>IF(CM308&lt;0.1,0,IF(ISNA(AT308),0,IF(CL308+BC308=1,0,IF(BV308&gt;0.01,0,IF(CL308&gt;0.01,0,IF(CF308=1,0,IF(BC308=0.5,0,IF(AND(CI308=1,AU308=3),0,IF(AND(CI308=5,CL308=0),0,IF(AND(R308=12,BR308=50),0,IF(CK308&gt;0.01,0,IF(AND(AJ308&gt;0.01,AU308=2,BC308=15),CM308*0.1,IF(AND(AJ308&gt;0.01,AU308=3,BC308=15),CM308*0.08,IF(AND(R308=12,BC308=3,AF308&lt;=0),0,IF(AND(BC308=15,BI308=0),0,IF(AND(BC308=15,BJ308=0),0,IF(AND(R308=20,CU308=0),0,IF($X$4=0,0,IF(AND(BC308=250,CL308=0),0,IF(AA308&lt;1,0,IF(AND(ISNUMBER(SEARCH("Area",T308)),AU308=3),0,IF(AND(AQ308&gt;0.01,AR308=0,BK308=0,BL308=0,BM308=0,BN308=0),0,IF(AND(AU308=3,CI308=7,CT308&gt;0.5),0,IF(AND(BC308=44,AU308=3,BY308=0),0,IF(AND(BC308=27,'Data Entry'!$C$74=2),0,IF(AND(BC308=28,'Data Entry'!$C$74=2),0,IF(AND(BY308+BZ308+CA308&gt;0.01,BV308=0,EQ308+ER308+ES308+ET308&lt;100),0,IF(AU308=3,CM308*0.08,IF(AU308=2,CM308*0.1,0)))))))))))))))))))))))))))))</f>
        <v>0</v>
      </c>
      <c r="CO308" s="660">
        <f t="shared" si="360"/>
        <v>0</v>
      </c>
      <c r="CP308" s="475" t="str">
        <f t="shared" si="361"/>
        <v/>
      </c>
      <c r="CQ308" s="161" t="str">
        <f>IF(AH308=0,0,IF(AU308=5,0,Summary!AC311))</f>
        <v/>
      </c>
      <c r="CR308" s="161" t="str">
        <f>IF(BF308=0.5,0,IF(AU308=5,0,Summary!AD311))</f>
        <v/>
      </c>
      <c r="CS308" s="161" t="str">
        <f>IF(AU308=5,0,Summary!AE311)</f>
        <v/>
      </c>
      <c r="CT308" s="161">
        <f t="shared" si="362"/>
        <v>0</v>
      </c>
      <c r="CU308" s="475" t="str">
        <f t="shared" si="363"/>
        <v/>
      </c>
      <c r="CV308" s="307">
        <f>IF('Data Entry'!$C$74=0,0,IF(AA308&lt;1,0,IF(ISERROR(CU308),0,IF(CF308=1,0,IF(AND(R308=12,BR308=50),0,IF(CL308+BO308+BV308+DC308=0,0,IF(BC308=37,0,IF(AND(BC308=40,AJ308=0),0,IF(AND(BC308=37,BO308&gt;0.01,BQ308&gt;0.01),ROUND(BQ308,0),IF(CM308&lt;0,0,ROUND(CM308,0)))))))))))</f>
        <v>0</v>
      </c>
      <c r="CW308" s="700">
        <f t="shared" si="364"/>
        <v>0</v>
      </c>
      <c r="CX308" s="477">
        <f>IF('Data Entry'!$C$74=0,0,IF(CV308&lt;0.01,0,IF(BF308=0.5,0,IF(CF308=1,0,IF(ISNUMBER(SEARCH("false",CL308)),0,IF(AZ308=500,0,CL308))))))</f>
        <v>0</v>
      </c>
      <c r="CY308" s="147" t="e">
        <f t="shared" si="365"/>
        <v>#VALUE!</v>
      </c>
      <c r="CZ308" s="147" t="b">
        <f>IF(CN308+CL308=0,FALSE,IF(AH308=0,0,IF(AND('Data Entry'!$C$74=1,CR308&gt;=1),TRUE,IF(AND('Data Entry'!$C$74=2,CS308&gt;=1),TRUE,FALSE))))</f>
        <v>0</v>
      </c>
      <c r="DA308" s="1751">
        <f>IF('Data Entry'!$C$74=0,0,IFERROR(ROUND(IF(T308="","",IF($X$4=0,0,IF(CF308=1,0,IF(BQ308+CV308=0,0,IF(CF308=1,0,IF(CY308&gt;0.01,CY308,IF(CL308&gt;0.01,CL308,IF(CY308&gt;0.01,CY308,IF(BC308=37,BO308,IF(CZ308=FALSE,0,IF(CZ308=TRUE,DC308+DF308,0))))))))))),2),""))</f>
        <v>0</v>
      </c>
      <c r="DB308" s="1752"/>
      <c r="DC308" s="474">
        <f>IF(CN308&lt;0.01,0,IF(AND(BR308=3,CN308&gt;0.01,CT308&gt;0.6,ER308+ES308+ET308&lt;100),0,IF(AND('Data Entry'!$C$74=1,CN308&gt;0.01,CR308&gt;0.99),MIN(CN308:CO308),IF(AND('Data Entry'!$C$74=2,CN308&gt;0.01,CS308&gt;0.99),MIN(CN308:CO308),0))))</f>
        <v>0</v>
      </c>
      <c r="DD308" s="478">
        <f>IF(CF308=1,"Selection does not match",IF(T308=0,0,IF(AND('Data Entry'!$C$74=0,CP308&gt;1),"Select Oregon or Idaho on Data Entry Tab",IF(AND(AU308=1,AA308&gt;0.9),"Missing Interior or Exterior Selection",IF($X$4=0,"Enter Total Project Cost",IF(AQ308&lt;AR308,"Insufficient kWh savings – no incentive",IF(AND(SUM(CL308+CK308+BV308)&gt;0.01,'Data Entry'!$C$74=2,CJ308&gt;1,BO308=0),"Submit Control as Non-Standard",IF(AND('Data Entry'!$C$74=2,BR308=37,CJ308&gt;1,BO308=0),"Submit Control as Non-Standard",IF(SUM(CL308+CK308+BV308)&gt;0.01,"Standard Incentive",IF(AND('Data Entry'!$C$74=2,CP308=7,CN308=0),"Submit as Non-Standard",IF(DC308&gt;0.9,"Non-Standard Incentive",IF(AND(BY308+BZ308+CA308&gt;0.01,BV308=0,EQ308=0,ER308=0,ES308=0,ET308=0),"Scroll Right &amp; Select Control Strategies",IF(AND(CN308&gt;0.01,CO308=0),"Enter Unit Installed Cost",IF(ISNUMBER(SEARCH("Lighting Controls Only",F308)),"Lighting Controls Only",IF(CL308+DC308=0,"Does not meet incentive criteria",0)))))))))))))))</f>
        <v>0</v>
      </c>
      <c r="DE308" s="337">
        <f t="shared" si="366"/>
        <v>0</v>
      </c>
      <c r="DF308" s="609">
        <f t="shared" si="367"/>
        <v>0</v>
      </c>
      <c r="DG308" s="336" t="str">
        <f t="shared" si="368"/>
        <v/>
      </c>
      <c r="DH308" s="338">
        <f t="shared" si="369"/>
        <v>1</v>
      </c>
      <c r="DI308" s="336" t="e">
        <f t="shared" si="324"/>
        <v>#VALUE!</v>
      </c>
      <c r="DJ308" s="338">
        <f t="shared" si="325"/>
        <v>0</v>
      </c>
      <c r="DO308" s="81"/>
      <c r="DP308" s="81"/>
      <c r="DS308" s="1195">
        <f t="shared" si="370"/>
        <v>0</v>
      </c>
      <c r="DT308" s="344" t="b">
        <f t="shared" si="371"/>
        <v>1</v>
      </c>
      <c r="DU308" s="1314" t="str">
        <f t="array" ref="DU308">IF(OR(COUNTIF(F308,"*"&amp;$DK$9:$DK$178&amp;"*")), "Yes", "")</f>
        <v/>
      </c>
      <c r="DV308" s="1314">
        <f t="shared" si="372"/>
        <v>0</v>
      </c>
      <c r="DW308" s="1480">
        <f t="shared" si="373"/>
        <v>0</v>
      </c>
      <c r="DX308" s="1498">
        <f t="shared" si="382"/>
        <v>0</v>
      </c>
      <c r="DY308" s="1484">
        <f t="shared" si="374"/>
        <v>0</v>
      </c>
      <c r="DZ308" s="331"/>
      <c r="EA308" s="392"/>
      <c r="EB308" s="1499" t="s">
        <v>78</v>
      </c>
      <c r="EC308" s="727" t="s">
        <v>1569</v>
      </c>
      <c r="ED308" s="1101">
        <v>0.5</v>
      </c>
      <c r="EE308" s="1215"/>
      <c r="EF308" s="1215"/>
      <c r="EG308" s="1184" t="str">
        <f t="shared" si="375"/>
        <v/>
      </c>
      <c r="EJ308" s="1185">
        <f t="shared" si="326"/>
        <v>0</v>
      </c>
      <c r="EK308" s="1211"/>
      <c r="EL308" s="1180">
        <f t="shared" si="327"/>
        <v>0</v>
      </c>
      <c r="EM308" s="206"/>
      <c r="EN308" s="1038"/>
      <c r="EO308" s="1038"/>
      <c r="EP308" s="1038"/>
      <c r="EQ308" s="1038">
        <f t="shared" si="376"/>
        <v>0</v>
      </c>
      <c r="ER308" s="1041">
        <f t="shared" si="377"/>
        <v>0</v>
      </c>
      <c r="ES308" s="1042">
        <f t="shared" si="378"/>
        <v>0</v>
      </c>
      <c r="ET308" s="1042">
        <f t="shared" si="383"/>
        <v>0</v>
      </c>
      <c r="EU308" s="1021">
        <f t="shared" si="384"/>
        <v>0</v>
      </c>
      <c r="EV308" s="368"/>
      <c r="EW308" s="368"/>
      <c r="EX308" s="369"/>
      <c r="EY308" s="370"/>
      <c r="EZ308" s="370"/>
      <c r="FA308" s="371"/>
      <c r="FB308" s="372"/>
    </row>
    <row r="309" spans="1:158" ht="34.5" customHeight="1">
      <c r="A309" s="491"/>
      <c r="B309" s="492"/>
      <c r="C309" s="492"/>
      <c r="D309" s="492"/>
      <c r="E309" s="492"/>
      <c r="F309" s="492"/>
      <c r="G309" s="492"/>
      <c r="H309" s="492"/>
      <c r="I309" s="492"/>
      <c r="J309" s="492"/>
      <c r="K309" s="492"/>
      <c r="L309" s="492"/>
      <c r="M309" s="492"/>
      <c r="N309" s="492"/>
      <c r="O309" s="492"/>
      <c r="P309" s="492"/>
      <c r="Q309" s="492"/>
      <c r="R309" s="492"/>
      <c r="S309" s="492"/>
      <c r="T309" s="492"/>
      <c r="U309" s="492"/>
      <c r="V309" s="492"/>
      <c r="W309" s="492"/>
      <c r="X309" s="492"/>
      <c r="Y309" s="492"/>
      <c r="Z309" s="1319" t="s">
        <v>0</v>
      </c>
      <c r="AA309" s="1319"/>
      <c r="AB309" s="492"/>
      <c r="AC309" s="492"/>
      <c r="AD309" s="493"/>
      <c r="AE309" s="493" t="s">
        <v>0</v>
      </c>
      <c r="AF309" s="493">
        <f>SUMIF(BB9:BB308,"&lt;&gt;#VALUE!")</f>
        <v>0</v>
      </c>
      <c r="AG309" s="494"/>
      <c r="AH309" s="495"/>
      <c r="AI309" s="495"/>
      <c r="AJ309" s="495"/>
      <c r="AK309" s="492"/>
      <c r="AL309" s="1821">
        <f>SUMIF(AL9:AL308,"&lt;&gt;#VALUE!")</f>
        <v>0</v>
      </c>
      <c r="AM309" s="1821"/>
      <c r="AN309" s="1821"/>
      <c r="AO309" s="1155">
        <f>SUMIF(AO9:AO308,"&lt;&gt;#VALUE!")</f>
        <v>0</v>
      </c>
      <c r="AP309" s="1155">
        <f>SUMIF(AP9:AP308,"&lt;&gt;#VALUE!")</f>
        <v>0</v>
      </c>
      <c r="AQ309" s="1289">
        <f>SUMIF(AQ9:AQ308,"&lt;&gt;#value!")</f>
        <v>0</v>
      </c>
      <c r="AR309" s="1289">
        <f>SUMIF(AR9:AR308,"&lt;&gt;#value!")</f>
        <v>0</v>
      </c>
      <c r="AS309" s="493"/>
      <c r="AT309" s="737"/>
      <c r="AU309" s="493"/>
      <c r="AV309" s="508"/>
      <c r="AW309" s="493"/>
      <c r="AX309" s="493">
        <f>SUMIF(AX9:AX308,"&lt;&gt;#value!")</f>
        <v>0</v>
      </c>
      <c r="AY309" s="509"/>
      <c r="AZ309" s="493"/>
      <c r="BA309" s="1289">
        <f>SUMIF(BA9:BA308,"&lt;&gt;#value!")</f>
        <v>0</v>
      </c>
      <c r="BB309" s="1181">
        <f>SUMIF(BB9:BB308,"&lt;&gt;#value!")</f>
        <v>0</v>
      </c>
      <c r="BC309" s="493"/>
      <c r="BD309" s="493"/>
      <c r="BE309" s="493"/>
      <c r="BF309" s="493"/>
      <c r="BG309" s="493"/>
      <c r="BH309" s="493"/>
      <c r="BI309" s="493"/>
      <c r="BJ309" s="493"/>
      <c r="BK309" s="493"/>
      <c r="BL309" s="493"/>
      <c r="BM309" s="493"/>
      <c r="BN309" s="493"/>
      <c r="BO309" s="496">
        <f>SUMIF(BO9:BO308,"&lt;&gt;#VALUE!")</f>
        <v>0</v>
      </c>
      <c r="BP309" s="496">
        <f>SUMIF(BP9:BP308,"&lt;&gt;#VALUE!")</f>
        <v>0</v>
      </c>
      <c r="BQ309" s="512">
        <f>SUMIF(BQ9:BQ308,"&lt;&gt;#VALUE!")</f>
        <v>0</v>
      </c>
      <c r="BR309" s="493"/>
      <c r="BS309" s="496">
        <f>SUMIF(BS9:BS308,"&lt;&gt;#VALUE!")</f>
        <v>0</v>
      </c>
      <c r="BT309" s="493"/>
      <c r="BU309" s="493"/>
      <c r="BV309" s="1288"/>
      <c r="BW309" s="493"/>
      <c r="BX309" s="493"/>
      <c r="BY309" s="493"/>
      <c r="BZ309" s="493">
        <f>SUMIF(BZ9:BZ308,"&lt;&gt;#value!")</f>
        <v>0</v>
      </c>
      <c r="CA309" s="493">
        <f>SUMIF(CA9:CA308,"&lt;&gt;#value!")</f>
        <v>0</v>
      </c>
      <c r="CB309" s="493">
        <f>SUMIF(BZ9:CA308,"&lt;&gt;#value!")</f>
        <v>0</v>
      </c>
      <c r="CC309" s="493"/>
      <c r="CD309" s="493"/>
      <c r="CE309" s="493"/>
      <c r="CF309" s="493"/>
      <c r="CG309" s="1165">
        <f>SUMIF(CG9:CG308,"&lt;&gt;#value!")</f>
        <v>0</v>
      </c>
      <c r="CH309" s="514"/>
      <c r="CI309" s="493"/>
      <c r="CJ309" s="1165">
        <f>SUMIF(CJ9:CJ308,"&lt;&gt;#value!")</f>
        <v>0</v>
      </c>
      <c r="CK309" s="710"/>
      <c r="CL309" s="508"/>
      <c r="CM309" s="508"/>
      <c r="CN309" s="493"/>
      <c r="CO309" s="508">
        <f>SUM(CO9:CO308)</f>
        <v>0</v>
      </c>
      <c r="CP309" s="652" t="s">
        <v>1087</v>
      </c>
      <c r="CQ309" s="655" t="str">
        <f>Summary!AC614</f>
        <v/>
      </c>
      <c r="CR309" s="655" t="str">
        <f>Summary!AD614</f>
        <v/>
      </c>
      <c r="CS309" s="655" t="str">
        <f>Summary!AE614</f>
        <v/>
      </c>
      <c r="CT309" s="655"/>
      <c r="CU309" s="493">
        <f>SUMIF(CV9:CV308,"&lt;&gt;#value!")</f>
        <v>0</v>
      </c>
      <c r="CV309" s="1155">
        <f>SUMIF(CV9:CV308,"&lt;&gt;#value!")</f>
        <v>0</v>
      </c>
      <c r="CW309" s="493"/>
      <c r="CX309" s="496"/>
      <c r="CY309" s="496"/>
      <c r="CZ309" s="496"/>
      <c r="DA309" s="1797">
        <f>SUMIF(DA9:DA308,"&gt;.1")</f>
        <v>0</v>
      </c>
      <c r="DB309" s="1797"/>
      <c r="DC309" s="932">
        <f>SUM(DC9:DC308)</f>
        <v>0</v>
      </c>
      <c r="DD309" s="492"/>
      <c r="DE309" s="659">
        <f>SUMIF(DE9:DE308,"&lt;&gt;#value!")</f>
        <v>0</v>
      </c>
      <c r="DF309" s="498" t="s">
        <v>0</v>
      </c>
      <c r="DG309" s="386">
        <f>SUMIF(DG9:DG308,"&lt;&gt;#Value!")</f>
        <v>0</v>
      </c>
      <c r="DH309" s="499"/>
      <c r="DI309" s="500"/>
      <c r="DJ309" s="499"/>
      <c r="DK309" s="81"/>
      <c r="DL309" s="81"/>
      <c r="DM309" s="81"/>
      <c r="DN309" s="81"/>
      <c r="DO309" s="81"/>
      <c r="DP309" s="81"/>
      <c r="DS309" s="497"/>
      <c r="DX309" s="81"/>
      <c r="DY309" s="81"/>
      <c r="DZ309" s="502"/>
      <c r="EA309" s="503"/>
      <c r="EB309" s="1499" t="s">
        <v>79</v>
      </c>
      <c r="EC309" s="727" t="s">
        <v>1569</v>
      </c>
      <c r="ED309" s="1101">
        <v>0.5</v>
      </c>
      <c r="EE309" s="1186"/>
      <c r="EF309" s="1320">
        <f>SUM(EF9:EF308)</f>
        <v>0</v>
      </c>
      <c r="EG309" s="1184"/>
      <c r="EJ309" s="1187"/>
      <c r="EK309" s="1188"/>
      <c r="EL309" s="1166">
        <f>SUMIF(EL9:EL308,"&lt;&gt;#VALUE!")</f>
        <v>0</v>
      </c>
      <c r="EM309" s="504"/>
      <c r="EN309" s="81"/>
      <c r="EO309" s="81"/>
      <c r="EP309" s="81"/>
      <c r="EQ309" s="604"/>
      <c r="ER309" s="501"/>
      <c r="ES309" s="1018"/>
      <c r="ET309" s="1018">
        <f>SUMIF(ER9:ET308,"&lt;&gt;#value!")</f>
        <v>0</v>
      </c>
      <c r="EU309" s="1022"/>
      <c r="EV309" s="368"/>
      <c r="EW309" s="368"/>
      <c r="EX309" s="369"/>
      <c r="EY309" s="370"/>
      <c r="EZ309" s="370"/>
      <c r="FA309" s="371"/>
      <c r="FB309" s="372"/>
    </row>
    <row r="310" spans="1:158" ht="34.5" customHeight="1">
      <c r="A310" s="753"/>
      <c r="B310" s="751"/>
      <c r="C310" s="751"/>
      <c r="D310" s="751"/>
      <c r="E310" s="751"/>
      <c r="F310" s="751"/>
      <c r="G310" s="754"/>
      <c r="H310" s="755"/>
      <c r="I310" s="128"/>
      <c r="J310" s="473"/>
      <c r="K310" s="128"/>
      <c r="L310" s="128"/>
      <c r="M310" s="128"/>
      <c r="N310" s="6"/>
      <c r="O310" s="6"/>
      <c r="P310" s="6"/>
      <c r="Q310" s="6"/>
      <c r="R310" s="6"/>
      <c r="S310" s="1137"/>
      <c r="T310" s="5"/>
      <c r="U310" s="5"/>
      <c r="V310" s="5"/>
      <c r="W310" s="1138"/>
      <c r="X310" s="1138"/>
      <c r="Y310" s="1138"/>
      <c r="Z310" s="1139"/>
      <c r="AA310" s="1824"/>
      <c r="AB310" s="1824"/>
      <c r="AC310" s="6"/>
      <c r="AD310" s="6"/>
      <c r="AE310" s="6"/>
      <c r="AF310" s="118" t="s">
        <v>0</v>
      </c>
      <c r="AG310" s="123" t="s">
        <v>172</v>
      </c>
      <c r="AH310" s="59"/>
      <c r="AI310" s="59"/>
      <c r="AJ310" s="114"/>
      <c r="AK310" s="128"/>
      <c r="AL310" s="128"/>
      <c r="AM310" s="128"/>
      <c r="AN310" s="400"/>
      <c r="AO310" s="1156"/>
      <c r="AP310" s="1156"/>
      <c r="AQ310" s="1156"/>
      <c r="AR310" s="1156"/>
      <c r="AS310" s="401"/>
      <c r="AT310" s="738"/>
      <c r="AU310" s="401"/>
      <c r="AV310" s="721"/>
      <c r="AW310" s="401"/>
      <c r="AX310" s="401"/>
      <c r="AY310" s="421"/>
      <c r="AZ310" s="401"/>
      <c r="BA310" s="401"/>
      <c r="BB310" s="421"/>
      <c r="BC310" s="401"/>
      <c r="BD310" s="401"/>
      <c r="BE310" s="401"/>
      <c r="BF310" s="401"/>
      <c r="BG310" s="401"/>
      <c r="BH310" s="401"/>
      <c r="BI310" s="401"/>
      <c r="BJ310" s="401"/>
      <c r="BK310" s="401"/>
      <c r="BL310" s="401"/>
      <c r="BM310" s="401"/>
      <c r="BN310" s="401"/>
      <c r="BO310" s="401"/>
      <c r="BP310" s="401"/>
      <c r="BQ310" s="401"/>
      <c r="BR310" s="401"/>
      <c r="BS310" s="401"/>
      <c r="BT310" s="401"/>
      <c r="BU310" s="401"/>
      <c r="BV310" s="401"/>
      <c r="BW310" s="401"/>
      <c r="BX310" s="401"/>
      <c r="BY310" s="401"/>
      <c r="BZ310" s="401"/>
      <c r="CA310" s="401"/>
      <c r="CB310" s="401"/>
      <c r="CC310" s="401"/>
      <c r="CD310" s="401"/>
      <c r="CE310" s="401"/>
      <c r="CF310" s="401"/>
      <c r="CG310" s="401"/>
      <c r="CH310" s="401"/>
      <c r="CI310" s="401"/>
      <c r="CJ310" s="401"/>
      <c r="CK310" s="711"/>
      <c r="CL310" s="721"/>
      <c r="CM310" s="401"/>
      <c r="CN310" s="401"/>
      <c r="CO310" s="401"/>
      <c r="CP310" s="653" t="s">
        <v>1427</v>
      </c>
      <c r="CQ310" s="654" t="str">
        <f>Summary!AQ614</f>
        <v/>
      </c>
      <c r="CR310" s="654" t="str">
        <f>Summary!AR614</f>
        <v/>
      </c>
      <c r="CS310" s="654" t="str">
        <f>Summary!AS614</f>
        <v/>
      </c>
      <c r="CT310" s="654"/>
      <c r="CU310" s="401"/>
      <c r="CV310" s="400"/>
      <c r="CW310" s="400"/>
      <c r="CX310" s="400"/>
      <c r="CY310" s="400"/>
      <c r="CZ310" s="400"/>
      <c r="DA310" s="400"/>
      <c r="DB310" s="400"/>
      <c r="DD310" s="5"/>
      <c r="DE310" s="383"/>
      <c r="DF310" s="516"/>
      <c r="DG310" s="385"/>
      <c r="DH310" s="385"/>
      <c r="DI310" s="489"/>
      <c r="DJ310" s="385"/>
      <c r="DK310" s="81"/>
      <c r="DL310" s="81"/>
      <c r="DM310" s="501"/>
      <c r="DN310" s="501"/>
      <c r="DO310" s="81"/>
      <c r="DP310" s="81"/>
      <c r="DX310" s="81"/>
      <c r="DY310" s="81"/>
      <c r="DZ310" s="331"/>
      <c r="EA310" s="392"/>
      <c r="EB310" s="1499" t="s">
        <v>80</v>
      </c>
      <c r="EC310" s="727" t="s">
        <v>1569</v>
      </c>
      <c r="ED310" s="1101">
        <v>0.5</v>
      </c>
      <c r="EE310" s="1186"/>
      <c r="EF310" s="1186"/>
      <c r="EG310" s="1184"/>
      <c r="EJ310" s="55"/>
      <c r="EK310" s="451"/>
      <c r="EM310" s="366"/>
      <c r="EN310" s="81"/>
      <c r="EO310" s="81"/>
      <c r="EP310" s="81"/>
      <c r="EQ310" s="604"/>
      <c r="ER310" s="81"/>
      <c r="ES310" s="357"/>
      <c r="ET310" s="357"/>
      <c r="EU310" s="1019"/>
      <c r="EV310" s="368"/>
      <c r="EW310" s="368"/>
      <c r="EX310" s="369"/>
      <c r="EY310" s="370"/>
      <c r="EZ310" s="370"/>
      <c r="FA310" s="371"/>
      <c r="FB310" s="372"/>
    </row>
    <row r="311" spans="1:158" ht="17.25" customHeight="1">
      <c r="A311" s="669" t="s">
        <v>1397</v>
      </c>
      <c r="B311" s="6"/>
      <c r="C311" s="6"/>
      <c r="D311" s="472"/>
      <c r="G311" s="670"/>
      <c r="I311" s="670"/>
      <c r="J311" s="670"/>
      <c r="K311" s="670"/>
      <c r="L311" s="670"/>
      <c r="M311" s="842"/>
      <c r="N311" s="472"/>
      <c r="O311" s="472"/>
      <c r="P311" s="6"/>
      <c r="Q311" s="131"/>
      <c r="R311" s="131"/>
      <c r="S311" s="212"/>
      <c r="T311" s="5"/>
      <c r="U311" s="5"/>
      <c r="V311" s="5"/>
      <c r="W311" s="194"/>
      <c r="X311" s="1795"/>
      <c r="Y311" s="1795"/>
      <c r="Z311" s="1795"/>
      <c r="AA311" s="1140"/>
      <c r="AB311" s="242"/>
      <c r="AC311" s="605"/>
      <c r="AD311" s="6"/>
      <c r="AE311" s="6"/>
      <c r="AF311" s="80" t="s">
        <v>0</v>
      </c>
      <c r="AG311" s="213" t="s">
        <v>173</v>
      </c>
      <c r="AH311" s="212"/>
      <c r="AI311" s="212"/>
      <c r="AJ311" s="212"/>
      <c r="AK311" s="1819">
        <f>BS309</f>
        <v>0</v>
      </c>
      <c r="AL311" s="1796"/>
      <c r="AM311" s="212"/>
      <c r="AN311" s="217" t="s">
        <v>199</v>
      </c>
      <c r="AO311" s="1157"/>
      <c r="AP311" s="1157"/>
      <c r="AQ311" s="1157"/>
      <c r="AR311" s="1157"/>
      <c r="AS311" s="212"/>
      <c r="AT311" s="739"/>
      <c r="AU311" s="212"/>
      <c r="AV311" s="285"/>
      <c r="AW311" s="212"/>
      <c r="AX311" s="212"/>
      <c r="AY311" s="422"/>
      <c r="AZ311" s="212"/>
      <c r="BA311" s="212"/>
      <c r="BB311" s="637"/>
      <c r="BC311" s="212"/>
      <c r="BD311" s="212"/>
      <c r="BE311" s="212"/>
      <c r="BF311" s="212"/>
      <c r="BG311" s="212"/>
      <c r="BH311" s="212"/>
      <c r="BI311" s="212"/>
      <c r="BJ311" s="212"/>
      <c r="BK311" s="212"/>
      <c r="BL311" s="212"/>
      <c r="BM311" s="212"/>
      <c r="BN311" s="212"/>
      <c r="BO311" s="212"/>
      <c r="BP311" s="212"/>
      <c r="BQ311" s="212"/>
      <c r="BR311" s="212"/>
      <c r="BS311" s="212"/>
      <c r="BT311" s="212"/>
      <c r="BU311" s="212"/>
      <c r="BV311" s="212"/>
      <c r="BW311" s="212"/>
      <c r="BX311" s="212"/>
      <c r="BY311" s="212"/>
      <c r="BZ311" s="212"/>
      <c r="CA311" s="212"/>
      <c r="CB311" s="212"/>
      <c r="CC311" s="212"/>
      <c r="CD311" s="212"/>
      <c r="CE311" s="212"/>
      <c r="CF311" s="212"/>
      <c r="CG311" s="212"/>
      <c r="CH311" s="212"/>
      <c r="CI311" s="212"/>
      <c r="CJ311" s="212"/>
      <c r="CK311" s="712"/>
      <c r="CL311" s="285"/>
      <c r="CM311" s="285"/>
      <c r="CN311" s="212"/>
      <c r="CO311" s="212"/>
      <c r="CP311" s="212"/>
      <c r="CQ311" s="212"/>
      <c r="CR311" s="212"/>
      <c r="CS311" s="212"/>
      <c r="CT311" s="212"/>
      <c r="CU311" s="212"/>
      <c r="CV311" s="215"/>
      <c r="CW311" s="198"/>
      <c r="CX311" s="215"/>
      <c r="CY311" s="218"/>
      <c r="CZ311" s="218"/>
      <c r="DA311" s="1759">
        <f>IF(AND(CG309=0,CU309&gt;0.01),0,EL309)</f>
        <v>0</v>
      </c>
      <c r="DB311" s="1759"/>
      <c r="DD311" s="5"/>
      <c r="DE311" s="383"/>
      <c r="DF311" s="384"/>
      <c r="DG311" s="629">
        <f>AL318-DG312</f>
        <v>0</v>
      </c>
      <c r="DH311" s="385"/>
      <c r="DI311" s="489"/>
      <c r="DJ311" s="385"/>
      <c r="DK311" s="81"/>
      <c r="DL311" s="81"/>
      <c r="DM311" s="81"/>
      <c r="DN311" s="81"/>
      <c r="DO311" s="81"/>
      <c r="DP311" s="81"/>
      <c r="DX311" s="81"/>
      <c r="DY311" s="81"/>
      <c r="DZ311" s="331"/>
      <c r="EA311" s="392"/>
      <c r="EB311" s="1499" t="s">
        <v>81</v>
      </c>
      <c r="EC311" s="727" t="s">
        <v>1569</v>
      </c>
      <c r="ED311" s="1101"/>
      <c r="EE311" s="1186"/>
      <c r="EF311" s="1186"/>
      <c r="EG311" s="1184"/>
      <c r="EJ311" s="55"/>
      <c r="EK311" s="451"/>
      <c r="EM311" s="366"/>
      <c r="EN311" s="377"/>
      <c r="EO311" s="377"/>
      <c r="EP311" s="377"/>
      <c r="EQ311" s="377"/>
      <c r="ER311" s="377"/>
      <c r="ES311" s="702"/>
      <c r="ET311" s="702"/>
      <c r="EU311" s="1023"/>
      <c r="EV311" s="368"/>
      <c r="EW311" s="368"/>
      <c r="EX311" s="369"/>
      <c r="EY311" s="370"/>
      <c r="EZ311" s="370"/>
      <c r="FA311" s="371"/>
      <c r="FB311" s="372"/>
    </row>
    <row r="312" spans="1:158" ht="17.25" customHeight="1">
      <c r="A312" s="510"/>
      <c r="B312" s="5"/>
      <c r="C312" s="5"/>
      <c r="D312" s="472"/>
      <c r="F312" s="806"/>
      <c r="G312" s="806"/>
      <c r="H312" s="806"/>
      <c r="I312" s="806"/>
      <c r="J312" s="806"/>
      <c r="K312" s="806"/>
      <c r="L312" s="806"/>
      <c r="M312" s="207"/>
      <c r="N312" s="472"/>
      <c r="O312" s="472"/>
      <c r="P312" s="148"/>
      <c r="Q312" s="148"/>
      <c r="R312" s="148"/>
      <c r="S312" s="212"/>
      <c r="T312" s="5"/>
      <c r="U312" s="5"/>
      <c r="V312" s="5"/>
      <c r="W312" s="194"/>
      <c r="X312" s="1795"/>
      <c r="Y312" s="1795"/>
      <c r="Z312" s="1795"/>
      <c r="AA312" s="1140"/>
      <c r="AB312" s="242"/>
      <c r="AC312" s="605"/>
      <c r="AD312" s="6"/>
      <c r="AE312" s="6"/>
      <c r="AF312" s="149" t="s">
        <v>0</v>
      </c>
      <c r="AG312" s="213" t="s">
        <v>174</v>
      </c>
      <c r="AH312" s="214"/>
      <c r="AI312" s="214"/>
      <c r="AJ312" s="212"/>
      <c r="AK312" s="1796">
        <f>SUM(AA9:AA308)</f>
        <v>0</v>
      </c>
      <c r="AL312" s="1796"/>
      <c r="AM312" s="212"/>
      <c r="AN312" s="219" t="s">
        <v>200</v>
      </c>
      <c r="AO312" s="1157"/>
      <c r="AP312" s="1157"/>
      <c r="AQ312" s="1157"/>
      <c r="AR312" s="1157"/>
      <c r="AS312" s="212"/>
      <c r="AT312" s="739"/>
      <c r="AU312" s="212"/>
      <c r="AV312" s="285"/>
      <c r="AW312" s="212"/>
      <c r="AX312" s="212"/>
      <c r="AY312" s="422"/>
      <c r="AZ312" s="212"/>
      <c r="BA312" s="212"/>
      <c r="BB312" s="637"/>
      <c r="BC312" s="212"/>
      <c r="BD312" s="212"/>
      <c r="BE312" s="212"/>
      <c r="BF312" s="212"/>
      <c r="BG312" s="212"/>
      <c r="BH312" s="212"/>
      <c r="BI312" s="212"/>
      <c r="BJ312" s="212"/>
      <c r="BK312" s="212"/>
      <c r="BL312" s="212"/>
      <c r="BM312" s="212"/>
      <c r="BN312" s="212"/>
      <c r="BO312" s="212"/>
      <c r="BP312" s="212"/>
      <c r="BQ312" s="212"/>
      <c r="BR312" s="212"/>
      <c r="BS312" s="212"/>
      <c r="BT312" s="212"/>
      <c r="BU312" s="212"/>
      <c r="BV312" s="212"/>
      <c r="BW312" s="212"/>
      <c r="BX312" s="212"/>
      <c r="BY312" s="212"/>
      <c r="BZ312" s="212"/>
      <c r="CA312" s="212"/>
      <c r="CB312" s="212"/>
      <c r="CC312" s="212"/>
      <c r="CD312" s="212"/>
      <c r="CE312" s="212"/>
      <c r="CF312" s="212"/>
      <c r="CG312" s="212"/>
      <c r="CH312" s="212"/>
      <c r="CI312" s="212"/>
      <c r="CJ312" s="212"/>
      <c r="CK312" s="712"/>
      <c r="CL312" s="285"/>
      <c r="CM312" s="285"/>
      <c r="CN312" s="212"/>
      <c r="CO312" s="212"/>
      <c r="CP312" s="212"/>
      <c r="CQ312" s="212"/>
      <c r="CR312" s="212"/>
      <c r="CS312" s="212"/>
      <c r="CT312" s="212"/>
      <c r="CU312" s="212"/>
      <c r="CV312" s="215"/>
      <c r="CW312" s="198"/>
      <c r="CX312" s="215"/>
      <c r="CY312" s="218"/>
      <c r="CZ312" s="218"/>
      <c r="DA312" s="1762">
        <f>DA311-CV309</f>
        <v>0</v>
      </c>
      <c r="DB312" s="1762"/>
      <c r="DC312" s="43"/>
      <c r="DD312" s="5"/>
      <c r="DE312" s="386"/>
      <c r="DF312" s="384">
        <f>AL318-X313</f>
        <v>0</v>
      </c>
      <c r="DG312" s="516">
        <f>SUM(AL320+AL321)</f>
        <v>0</v>
      </c>
      <c r="DH312" s="386"/>
      <c r="DJ312" s="386">
        <f>SUMIF(DJ9:DJ311,"&lt;&gt;#VALUE!")</f>
        <v>0</v>
      </c>
      <c r="DK312" s="81"/>
      <c r="DL312" s="81"/>
      <c r="DM312" s="81"/>
      <c r="DN312" s="81"/>
      <c r="DO312" s="81"/>
      <c r="DP312" s="81"/>
      <c r="DX312" s="81"/>
      <c r="DY312" s="81"/>
      <c r="DZ312" s="331"/>
      <c r="EA312" s="392"/>
      <c r="EB312" s="1499" t="s">
        <v>82</v>
      </c>
      <c r="EC312" s="727" t="s">
        <v>1569</v>
      </c>
      <c r="ED312" s="1101">
        <v>0.5</v>
      </c>
      <c r="EE312" s="1186"/>
      <c r="EF312" s="1186"/>
      <c r="EG312" s="1184"/>
      <c r="EJ312" s="55"/>
      <c r="EK312" s="451"/>
      <c r="EL312" s="377"/>
      <c r="EM312" s="366"/>
      <c r="EN312" s="377"/>
      <c r="EO312" s="377"/>
      <c r="EP312" s="377"/>
      <c r="EQ312" s="377"/>
      <c r="ER312" s="377"/>
      <c r="ES312" s="702"/>
      <c r="ET312" s="702"/>
      <c r="EU312" s="1023"/>
      <c r="EV312" s="368"/>
      <c r="EW312" s="368"/>
      <c r="EX312" s="369"/>
      <c r="EY312" s="370"/>
      <c r="EZ312" s="370"/>
      <c r="FA312" s="371"/>
      <c r="FB312" s="372"/>
    </row>
    <row r="313" spans="1:158" ht="17.25" customHeight="1">
      <c r="A313" s="936" t="s">
        <v>1401</v>
      </c>
      <c r="B313" s="5"/>
      <c r="D313" s="472"/>
      <c r="J313" s="920" t="s">
        <v>1674</v>
      </c>
      <c r="M313" s="207"/>
      <c r="N313" s="472"/>
      <c r="O313" s="472"/>
      <c r="P313" s="148"/>
      <c r="Q313" s="148"/>
      <c r="R313" s="148"/>
      <c r="S313" s="212"/>
      <c r="T313" s="5"/>
      <c r="U313" s="5"/>
      <c r="V313" s="5"/>
      <c r="W313" s="194"/>
      <c r="X313" s="1792">
        <f>SUM(AL320+DA309+DF311)</f>
        <v>0</v>
      </c>
      <c r="Y313" s="1792"/>
      <c r="Z313" s="1792"/>
      <c r="AA313" s="221"/>
      <c r="AB313" s="242"/>
      <c r="AD313" s="6"/>
      <c r="AE313" s="6"/>
      <c r="AF313" s="6"/>
      <c r="AG313" s="213" t="s">
        <v>0</v>
      </c>
      <c r="AH313" s="215"/>
      <c r="AI313" s="215"/>
      <c r="AJ313" s="212"/>
      <c r="AK313" s="1796" t="s">
        <v>0</v>
      </c>
      <c r="AL313" s="1796"/>
      <c r="AM313" s="212"/>
      <c r="AN313" s="217" t="s">
        <v>1883</v>
      </c>
      <c r="AO313" s="1157"/>
      <c r="AP313" s="1157"/>
      <c r="AQ313" s="1157"/>
      <c r="AR313" s="1157"/>
      <c r="AS313" s="212"/>
      <c r="AT313" s="739"/>
      <c r="AU313" s="212"/>
      <c r="AV313" s="285"/>
      <c r="AW313" s="212"/>
      <c r="AX313" s="212"/>
      <c r="AY313" s="422"/>
      <c r="AZ313" s="212"/>
      <c r="BA313" s="212"/>
      <c r="BB313" s="637"/>
      <c r="BC313" s="212"/>
      <c r="BD313" s="212"/>
      <c r="BE313" s="212"/>
      <c r="BF313" s="212"/>
      <c r="BG313" s="212"/>
      <c r="BH313" s="212"/>
      <c r="BI313" s="212"/>
      <c r="BJ313" s="212"/>
      <c r="BK313" s="212"/>
      <c r="BL313" s="212"/>
      <c r="BM313" s="212"/>
      <c r="BN313" s="212"/>
      <c r="BO313" s="212"/>
      <c r="BP313" s="212"/>
      <c r="BQ313" s="212"/>
      <c r="BR313" s="212"/>
      <c r="BS313" s="212"/>
      <c r="BT313" s="212"/>
      <c r="BU313" s="212"/>
      <c r="BV313" s="212"/>
      <c r="BW313" s="212"/>
      <c r="BX313" s="212"/>
      <c r="BY313" s="212"/>
      <c r="BZ313" s="212"/>
      <c r="CA313" s="212"/>
      <c r="CB313" s="212"/>
      <c r="CC313" s="212"/>
      <c r="CD313" s="212"/>
      <c r="CE313" s="212"/>
      <c r="CF313" s="212"/>
      <c r="CG313" s="212"/>
      <c r="CH313" s="212"/>
      <c r="CI313" s="212"/>
      <c r="CJ313" s="212"/>
      <c r="CK313" s="712"/>
      <c r="CL313" s="285"/>
      <c r="CM313" s="285"/>
      <c r="CN313" s="218"/>
      <c r="CO313" s="212"/>
      <c r="CP313" s="212"/>
      <c r="CQ313" s="212"/>
      <c r="CR313" s="212"/>
      <c r="CS313" s="212"/>
      <c r="CT313" s="212"/>
      <c r="CU313" s="212"/>
      <c r="CV313" s="215"/>
      <c r="CW313" s="198"/>
      <c r="CX313" s="215"/>
      <c r="CY313" s="218"/>
      <c r="CZ313" s="218"/>
      <c r="DA313" s="1760">
        <f>BQ309</f>
        <v>0</v>
      </c>
      <c r="DB313" s="1761"/>
      <c r="DD313" s="5"/>
      <c r="DE313" s="386" t="b">
        <f>IF(DA314&gt;0,DA314*DF313)</f>
        <v>0</v>
      </c>
      <c r="DF313" s="387">
        <f>'Data Entry'!A76</f>
        <v>5.8257999999999997E-2</v>
      </c>
      <c r="DG313" s="388"/>
      <c r="DH313" s="388"/>
      <c r="DI313" s="490"/>
      <c r="DJ313" s="877">
        <f>SUM(DJ312+X4)</f>
        <v>0</v>
      </c>
      <c r="DK313" s="81"/>
      <c r="DL313" s="81"/>
      <c r="DM313" s="81"/>
      <c r="DN313" s="81"/>
      <c r="DO313" s="81"/>
      <c r="DP313" s="81"/>
      <c r="DX313" s="81"/>
      <c r="DY313" s="81"/>
      <c r="DZ313" s="331"/>
      <c r="EA313" s="392"/>
      <c r="EB313" s="1499" t="s">
        <v>83</v>
      </c>
      <c r="EC313" s="727" t="s">
        <v>1569</v>
      </c>
      <c r="ED313" s="1101">
        <v>0.5</v>
      </c>
      <c r="EE313" s="1186"/>
      <c r="EF313" s="1186"/>
      <c r="EG313" s="1184"/>
      <c r="EJ313" s="55"/>
      <c r="EK313" s="451"/>
      <c r="EL313" s="377"/>
      <c r="EM313" s="366"/>
      <c r="EN313" s="377"/>
      <c r="EO313" s="377"/>
      <c r="EP313" s="377"/>
      <c r="EQ313" s="377"/>
      <c r="ER313" s="377"/>
      <c r="ES313" s="702"/>
      <c r="ET313" s="702"/>
      <c r="EU313" s="1023"/>
      <c r="EV313" s="368"/>
      <c r="EW313" s="368"/>
      <c r="EX313" s="369"/>
      <c r="EY313" s="370"/>
      <c r="EZ313" s="370"/>
      <c r="FA313" s="371"/>
      <c r="FB313" s="372"/>
    </row>
    <row r="314" spans="1:158" ht="24.75" customHeight="1">
      <c r="A314" s="963" t="s">
        <v>1407</v>
      </c>
      <c r="B314" s="5"/>
      <c r="C314" s="928"/>
      <c r="F314" s="472"/>
      <c r="G314" s="472"/>
      <c r="H314" s="472"/>
      <c r="J314" s="937" t="s">
        <v>1392</v>
      </c>
      <c r="K314" s="472"/>
      <c r="L314" s="472"/>
      <c r="M314" s="207"/>
      <c r="N314" s="472"/>
      <c r="O314" s="472"/>
      <c r="P314" s="5"/>
      <c r="Q314" s="5"/>
      <c r="R314" s="5"/>
      <c r="T314" s="5"/>
      <c r="U314" s="5"/>
      <c r="V314" s="5"/>
      <c r="W314" s="605">
        <f>SUM(X311:X312)</f>
        <v>0</v>
      </c>
      <c r="X314" s="524"/>
      <c r="Y314" s="523"/>
      <c r="Z314" s="719"/>
      <c r="AA314" s="5"/>
      <c r="AB314" s="6"/>
      <c r="AC314" s="6"/>
      <c r="AD314" s="6"/>
      <c r="AE314" s="6"/>
      <c r="AF314" s="6"/>
      <c r="AG314" s="6"/>
      <c r="AH314" s="6"/>
      <c r="AI314" s="6"/>
      <c r="AJ314" s="6"/>
      <c r="AK314" s="6"/>
      <c r="AL314" s="893">
        <f>SUM(AL312:AN313)</f>
        <v>0</v>
      </c>
      <c r="AM314" s="6"/>
      <c r="AN314" s="217" t="s">
        <v>414</v>
      </c>
      <c r="AO314" s="948"/>
      <c r="AP314" s="948"/>
      <c r="AQ314" s="948"/>
      <c r="AR314" s="948"/>
      <c r="AS314" s="6"/>
      <c r="AT314" s="740"/>
      <c r="AU314" s="6"/>
      <c r="AV314" s="286"/>
      <c r="AW314" s="6"/>
      <c r="AX314" s="6"/>
      <c r="AY314" s="423"/>
      <c r="AZ314" s="6"/>
      <c r="BA314" s="6"/>
      <c r="BB314" s="131"/>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713"/>
      <c r="CL314" s="286"/>
      <c r="CM314" s="286"/>
      <c r="CN314" s="6"/>
      <c r="CO314" s="6"/>
      <c r="CP314" s="6"/>
      <c r="CQ314" s="6"/>
      <c r="CR314" s="6"/>
      <c r="CS314" s="6"/>
      <c r="CT314" s="6"/>
      <c r="CU314" s="6"/>
      <c r="CV314" s="6"/>
      <c r="CW314" s="6"/>
      <c r="CX314" s="6"/>
      <c r="CY314" s="6"/>
      <c r="CZ314" s="6"/>
      <c r="DA314" s="1759">
        <f>SUM(DA311-DA312)+DA313</f>
        <v>0</v>
      </c>
      <c r="DB314" s="1759"/>
      <c r="DD314" s="1318" t="s">
        <v>0</v>
      </c>
      <c r="DE314" s="81"/>
      <c r="DF314" s="81"/>
      <c r="DG314" s="382"/>
      <c r="DH314" s="382"/>
      <c r="DI314" s="382"/>
      <c r="DJ314" s="382"/>
      <c r="DK314" s="81"/>
      <c r="DL314" s="81"/>
      <c r="DM314" s="81"/>
      <c r="DN314" s="81"/>
      <c r="DO314" s="81"/>
      <c r="DP314" s="81"/>
      <c r="DX314" s="81"/>
      <c r="DY314" s="81"/>
      <c r="DZ314" s="361"/>
      <c r="EA314" s="392"/>
      <c r="EB314" s="1499" t="s">
        <v>84</v>
      </c>
      <c r="EC314" s="727" t="s">
        <v>1569</v>
      </c>
      <c r="ED314" s="1101">
        <v>0.5</v>
      </c>
      <c r="EE314" s="1186"/>
      <c r="EF314" s="1186"/>
      <c r="EG314" s="1184"/>
      <c r="EJ314" s="55"/>
      <c r="EK314" s="451"/>
      <c r="EL314" s="377"/>
      <c r="EM314" s="366"/>
      <c r="EN314" s="377"/>
      <c r="EO314" s="377"/>
      <c r="EP314" s="377"/>
      <c r="EQ314" s="377"/>
      <c r="ER314" s="377"/>
      <c r="ES314" s="702"/>
      <c r="ET314" s="702"/>
      <c r="EU314" s="1023"/>
      <c r="EV314" s="368"/>
      <c r="EW314" s="368"/>
      <c r="EX314" s="369"/>
      <c r="EY314" s="370"/>
      <c r="EZ314" s="370"/>
      <c r="FA314" s="371"/>
      <c r="FB314" s="372"/>
    </row>
    <row r="315" spans="1:158" ht="17.25" customHeight="1">
      <c r="A315" s="1547" t="s">
        <v>1406</v>
      </c>
      <c r="C315" s="928"/>
      <c r="F315" s="472"/>
      <c r="G315" s="472"/>
      <c r="H315" s="472"/>
      <c r="J315" s="937" t="s">
        <v>1393</v>
      </c>
      <c r="K315" s="472"/>
      <c r="L315" s="472"/>
      <c r="M315" s="207"/>
      <c r="N315" s="472"/>
      <c r="O315" s="472"/>
      <c r="P315" s="150"/>
      <c r="Q315" s="150"/>
      <c r="R315" s="150"/>
      <c r="AC315" s="6"/>
      <c r="AD315" s="6"/>
      <c r="AE315" s="6"/>
      <c r="AF315" s="6"/>
      <c r="AG315" s="5"/>
      <c r="AH315" s="5"/>
      <c r="AI315" s="395" t="s">
        <v>0</v>
      </c>
      <c r="AJ315" s="395"/>
      <c r="AK315" s="395"/>
      <c r="AL315" s="395"/>
      <c r="AM315" s="395"/>
      <c r="AN315" s="836"/>
      <c r="AO315" s="1158"/>
      <c r="AP315" s="1158"/>
      <c r="AQ315" s="1158"/>
      <c r="AR315" s="1158"/>
      <c r="AS315" s="836"/>
      <c r="AT315" s="836"/>
      <c r="AU315" s="836"/>
      <c r="AV315" s="1172"/>
      <c r="AW315" s="836"/>
      <c r="AX315" s="836"/>
      <c r="AY315" s="836"/>
      <c r="AZ315" s="836"/>
      <c r="BA315" s="836"/>
      <c r="BB315" s="1182"/>
      <c r="BC315" s="836"/>
      <c r="BD315" s="836"/>
      <c r="BE315" s="836"/>
      <c r="BF315" s="836"/>
      <c r="BG315" s="836"/>
      <c r="BH315" s="836"/>
      <c r="BI315" s="836"/>
      <c r="BJ315" s="836"/>
      <c r="BK315" s="836"/>
      <c r="BL315" s="836"/>
      <c r="BM315" s="836"/>
      <c r="BN315" s="836"/>
      <c r="BO315" s="836"/>
      <c r="BP315" s="836"/>
      <c r="BQ315" s="836"/>
      <c r="BR315" s="836"/>
      <c r="BS315" s="836"/>
      <c r="BT315" s="836"/>
      <c r="BU315" s="836"/>
      <c r="BV315" s="836"/>
      <c r="BW315" s="836"/>
      <c r="BX315" s="836"/>
      <c r="BY315" s="836"/>
      <c r="BZ315" s="836"/>
      <c r="CA315" s="836"/>
      <c r="CB315" s="836"/>
      <c r="CC315" s="836"/>
      <c r="CD315" s="836"/>
      <c r="CE315" s="836"/>
      <c r="CF315" s="836"/>
      <c r="CG315" s="836"/>
      <c r="CH315" s="836"/>
      <c r="CI315" s="836"/>
      <c r="CJ315" s="836"/>
      <c r="CK315" s="836"/>
      <c r="CL315" s="836"/>
      <c r="CM315" s="836"/>
      <c r="CN315" s="836"/>
      <c r="CO315" s="836"/>
      <c r="CP315" s="836"/>
      <c r="CQ315" s="836"/>
      <c r="CR315" s="836"/>
      <c r="CS315" s="836"/>
      <c r="CT315" s="836"/>
      <c r="CU315" s="836"/>
      <c r="CV315" s="836"/>
      <c r="CW315" s="836"/>
      <c r="CX315" s="836"/>
      <c r="CY315" s="395"/>
      <c r="CZ315" s="395"/>
      <c r="DA315" s="395"/>
      <c r="DB315" s="395"/>
      <c r="DD315" s="5"/>
      <c r="DE315" s="81" t="s">
        <v>0</v>
      </c>
      <c r="DF315" s="81"/>
      <c r="DG315" s="382"/>
      <c r="DH315" s="382"/>
      <c r="DI315" s="382"/>
      <c r="DJ315" s="382"/>
      <c r="DK315" s="81"/>
      <c r="DL315" s="81"/>
      <c r="DM315" s="81"/>
      <c r="DN315" s="81"/>
      <c r="DO315" s="501"/>
      <c r="DP315" s="501"/>
      <c r="DX315" s="81"/>
      <c r="DY315" s="81"/>
      <c r="DZ315" s="330"/>
      <c r="EA315" s="392"/>
      <c r="EB315" s="1499" t="s">
        <v>85</v>
      </c>
      <c r="EC315" s="727" t="s">
        <v>1569</v>
      </c>
      <c r="ED315" s="1101">
        <v>0.5</v>
      </c>
      <c r="EE315" s="1186"/>
      <c r="EF315" s="1186"/>
      <c r="EG315" s="1184"/>
      <c r="EJ315" s="55"/>
      <c r="EK315" s="451"/>
      <c r="EL315" s="377"/>
      <c r="EM315" s="366"/>
      <c r="EN315" s="377"/>
      <c r="EO315" s="377"/>
      <c r="EP315" s="377"/>
      <c r="EQ315" s="377"/>
      <c r="ER315" s="377"/>
      <c r="ES315" s="702"/>
      <c r="ET315" s="702"/>
      <c r="EU315" s="1023"/>
      <c r="EV315" s="368"/>
      <c r="EW315" s="368"/>
      <c r="EX315" s="369"/>
      <c r="EY315" s="370"/>
      <c r="EZ315" s="370"/>
      <c r="FA315" s="371"/>
      <c r="FB315" s="372"/>
    </row>
    <row r="316" spans="1:158" ht="17.25" customHeight="1">
      <c r="A316" s="936" t="s">
        <v>1467</v>
      </c>
      <c r="D316" s="472"/>
      <c r="E316" s="472"/>
      <c r="F316" s="472"/>
      <c r="G316" s="472"/>
      <c r="H316" s="472"/>
      <c r="J316" s="938" t="s">
        <v>1675</v>
      </c>
      <c r="K316" s="472"/>
      <c r="L316" s="472"/>
      <c r="M316" s="207"/>
      <c r="N316" s="472"/>
      <c r="O316" s="472"/>
      <c r="P316" s="5"/>
      <c r="Q316" s="5"/>
      <c r="R316" s="5"/>
      <c r="S316" s="123" t="s">
        <v>175</v>
      </c>
      <c r="T316" s="59"/>
      <c r="U316" s="114"/>
      <c r="V316" s="402" t="s">
        <v>201</v>
      </c>
      <c r="W316" s="403"/>
      <c r="X316" s="403"/>
      <c r="Y316" s="403"/>
      <c r="Z316" s="718"/>
      <c r="AA316" s="403"/>
      <c r="AB316" s="128"/>
      <c r="AD316" s="5"/>
      <c r="AE316" s="5"/>
      <c r="AF316" s="5"/>
      <c r="AG316" s="197" t="s">
        <v>25</v>
      </c>
      <c r="AH316" s="399"/>
      <c r="AI316" s="399"/>
      <c r="AJ316" s="114"/>
      <c r="AK316" s="128"/>
      <c r="AL316" s="128"/>
      <c r="AM316" s="128"/>
      <c r="AN316" s="128"/>
      <c r="AO316" s="1159"/>
      <c r="AP316" s="1159"/>
      <c r="AQ316" s="1159"/>
      <c r="AR316" s="1160"/>
      <c r="AS316" s="215"/>
      <c r="AT316" s="741"/>
      <c r="AU316" s="215"/>
      <c r="AV316" s="287"/>
      <c r="AW316" s="215"/>
      <c r="AX316" s="215"/>
      <c r="AY316" s="424"/>
      <c r="AZ316" s="215"/>
      <c r="BA316" s="215"/>
      <c r="BB316" s="1183"/>
      <c r="BC316" s="215"/>
      <c r="BD316" s="215"/>
      <c r="BE316" s="215"/>
      <c r="BF316" s="215"/>
      <c r="BG316" s="215"/>
      <c r="BH316" s="215"/>
      <c r="BI316" s="215"/>
      <c r="BJ316" s="215"/>
      <c r="BK316" s="215"/>
      <c r="BL316" s="215"/>
      <c r="BM316" s="215"/>
      <c r="BN316" s="215"/>
      <c r="BO316" s="215"/>
      <c r="BP316" s="215"/>
      <c r="BQ316" s="215"/>
      <c r="BR316" s="215"/>
      <c r="BS316" s="215"/>
      <c r="BT316" s="215"/>
      <c r="BU316" s="215"/>
      <c r="BV316" s="215"/>
      <c r="BW316" s="215"/>
      <c r="BX316" s="215"/>
      <c r="BY316" s="215"/>
      <c r="BZ316" s="215"/>
      <c r="CA316" s="215"/>
      <c r="CB316" s="215"/>
      <c r="CC316" s="215"/>
      <c r="CD316" s="215"/>
      <c r="CE316" s="215"/>
      <c r="CF316" s="215"/>
      <c r="CG316" s="215"/>
      <c r="CH316" s="215"/>
      <c r="CI316" s="215"/>
      <c r="CJ316" s="215"/>
      <c r="CK316" s="714"/>
      <c r="CL316" s="287"/>
      <c r="CM316" s="287"/>
      <c r="CN316" s="215"/>
      <c r="CO316" s="215"/>
      <c r="CP316" s="215"/>
      <c r="CQ316" s="215"/>
      <c r="CR316" s="215"/>
      <c r="CS316" s="215"/>
      <c r="CT316" s="215"/>
      <c r="CU316" s="215"/>
      <c r="CV316" s="128"/>
      <c r="CW316" s="128"/>
      <c r="CX316" s="128"/>
      <c r="CY316" s="128"/>
      <c r="CZ316" s="128"/>
      <c r="DA316" s="128"/>
      <c r="DB316" s="128"/>
      <c r="DD316" s="5"/>
      <c r="DE316" s="81"/>
      <c r="DF316" s="81"/>
      <c r="DG316" s="382"/>
      <c r="DH316" s="382"/>
      <c r="DI316" s="382"/>
      <c r="DJ316" s="382"/>
      <c r="DK316" s="81"/>
      <c r="DL316" s="81"/>
      <c r="DM316" s="81"/>
      <c r="DN316" s="81"/>
      <c r="DO316" s="81"/>
      <c r="DP316" s="81"/>
      <c r="DX316" s="81"/>
      <c r="DY316" s="81"/>
      <c r="DZ316" s="361"/>
      <c r="EA316" s="392"/>
      <c r="EB316" s="1499" t="s">
        <v>86</v>
      </c>
      <c r="EC316" s="727" t="s">
        <v>1569</v>
      </c>
      <c r="ED316" s="1101">
        <v>0.5</v>
      </c>
      <c r="EE316" s="1186"/>
      <c r="EF316" s="1186"/>
      <c r="EG316" s="1184"/>
      <c r="EJ316" s="55"/>
      <c r="EK316" s="451"/>
      <c r="EL316" s="377"/>
      <c r="EM316" s="366"/>
      <c r="EN316" s="377"/>
      <c r="EO316" s="377"/>
      <c r="EP316" s="377"/>
      <c r="EQ316" s="377"/>
      <c r="ER316" s="377"/>
      <c r="ES316" s="702"/>
      <c r="ET316" s="702"/>
      <c r="EU316" s="1023"/>
      <c r="EV316" s="368"/>
      <c r="EW316" s="368"/>
      <c r="EX316" s="369"/>
      <c r="EY316" s="370"/>
      <c r="EZ316" s="370"/>
      <c r="FA316" s="371"/>
      <c r="FB316" s="372"/>
    </row>
    <row r="317" spans="1:158" ht="17.25" customHeight="1">
      <c r="A317" s="936" t="s">
        <v>1494</v>
      </c>
      <c r="C317" s="668"/>
      <c r="D317" s="472"/>
      <c r="E317" s="472"/>
      <c r="F317" s="472"/>
      <c r="G317" s="472"/>
      <c r="H317" s="472"/>
      <c r="J317" s="920" t="s">
        <v>1676</v>
      </c>
      <c r="K317" s="472"/>
      <c r="L317" s="472"/>
      <c r="M317" s="207"/>
      <c r="N317" s="6"/>
      <c r="O317" s="5"/>
      <c r="P317" s="5"/>
      <c r="Q317" s="5"/>
      <c r="R317" s="5"/>
      <c r="S317" s="1822"/>
      <c r="T317" s="1822"/>
      <c r="U317" s="1822"/>
      <c r="V317" s="1822"/>
      <c r="W317" s="1822"/>
      <c r="X317" s="1822"/>
      <c r="Y317" s="1822"/>
      <c r="Z317" s="1822"/>
      <c r="AA317" s="1822"/>
      <c r="AG317" s="216"/>
      <c r="AH317" s="215"/>
      <c r="AI317" s="215"/>
      <c r="AJ317" s="215"/>
      <c r="AK317" s="215"/>
      <c r="AL317" s="1795" t="s">
        <v>0</v>
      </c>
      <c r="AM317" s="1795"/>
      <c r="AN317" s="216" t="s">
        <v>488</v>
      </c>
      <c r="AO317" s="1157"/>
      <c r="AP317" s="1157"/>
      <c r="AQ317" s="1157"/>
      <c r="AR317" s="1157"/>
      <c r="AS317" s="212"/>
      <c r="AT317" s="739"/>
      <c r="AU317" s="212"/>
      <c r="AV317" s="285"/>
      <c r="AW317" s="212"/>
      <c r="AX317" s="212"/>
      <c r="AY317" s="637"/>
      <c r="AZ317" s="212"/>
      <c r="BA317" s="212"/>
      <c r="BB317" s="637"/>
      <c r="BC317" s="212"/>
      <c r="BD317" s="212"/>
      <c r="BE317" s="212"/>
      <c r="BF317" s="212"/>
      <c r="BG317" s="212"/>
      <c r="BH317" s="212"/>
      <c r="BI317" s="212"/>
      <c r="BJ317" s="212"/>
      <c r="BK317" s="212"/>
      <c r="BL317" s="212"/>
      <c r="BM317" s="212"/>
      <c r="BN317" s="212"/>
      <c r="BO317" s="212"/>
      <c r="BP317" s="212"/>
      <c r="BQ317" s="212"/>
      <c r="BR317" s="212"/>
      <c r="BS317" s="212"/>
      <c r="BT317" s="212"/>
      <c r="BU317" s="212"/>
      <c r="BV317" s="212"/>
      <c r="BW317" s="212"/>
      <c r="BX317" s="212"/>
      <c r="BY317" s="212"/>
      <c r="BZ317" s="212"/>
      <c r="CA317" s="212"/>
      <c r="CB317" s="212"/>
      <c r="CC317" s="212"/>
      <c r="CD317" s="212"/>
      <c r="CE317" s="212"/>
      <c r="CF317" s="212"/>
      <c r="CG317" s="212"/>
      <c r="CH317" s="212"/>
      <c r="CI317" s="212"/>
      <c r="CJ317" s="212"/>
      <c r="CK317" s="712"/>
      <c r="CL317" s="285"/>
      <c r="CM317" s="212"/>
      <c r="CN317" s="212"/>
      <c r="CO317" s="212"/>
      <c r="CP317" s="212"/>
      <c r="CQ317" s="212"/>
      <c r="CR317" s="212"/>
      <c r="CS317" s="212"/>
      <c r="CT317" s="212"/>
      <c r="CU317" s="212"/>
      <c r="CV317" s="212"/>
      <c r="CW317" s="212"/>
      <c r="CX317" s="212"/>
      <c r="CY317" s="215"/>
      <c r="CZ317" s="1818">
        <f>AL318-AL321</f>
        <v>0</v>
      </c>
      <c r="DA317" s="1818"/>
      <c r="DB317" s="1818"/>
      <c r="DD317" s="5" t="s">
        <v>0</v>
      </c>
      <c r="DE317" s="81"/>
      <c r="DF317" s="81"/>
      <c r="DG317" s="382"/>
      <c r="DH317" s="382"/>
      <c r="DI317" s="382"/>
      <c r="DJ317" s="382"/>
      <c r="DK317" s="81"/>
      <c r="DL317" s="81"/>
      <c r="DM317" s="81"/>
      <c r="DN317" s="81"/>
      <c r="DO317" s="81"/>
      <c r="DP317" s="81"/>
      <c r="DX317" s="81"/>
      <c r="DY317" s="81"/>
      <c r="DZ317" s="331"/>
      <c r="EA317" s="392"/>
      <c r="EB317" s="1499" t="s">
        <v>87</v>
      </c>
      <c r="EC317" s="727" t="s">
        <v>1569</v>
      </c>
      <c r="ED317" s="1101">
        <v>0.5</v>
      </c>
      <c r="EE317" s="1186"/>
      <c r="EF317" s="1186"/>
      <c r="EG317" s="1184"/>
      <c r="EJ317" s="55"/>
      <c r="EK317" s="451"/>
      <c r="EL317" s="377"/>
      <c r="EM317" s="366"/>
      <c r="EN317" s="377"/>
      <c r="EO317" s="377"/>
      <c r="EP317" s="377"/>
      <c r="EQ317" s="377"/>
      <c r="ER317" s="377"/>
      <c r="ES317" s="702"/>
      <c r="ET317" s="702"/>
      <c r="EU317" s="1023"/>
      <c r="EV317" s="368"/>
      <c r="EW317" s="368"/>
      <c r="EX317" s="369"/>
      <c r="EY317" s="370"/>
      <c r="EZ317" s="370"/>
      <c r="FA317" s="371"/>
      <c r="FB317" s="372"/>
    </row>
    <row r="318" spans="1:158" ht="17.25" customHeight="1">
      <c r="A318" s="510"/>
      <c r="B318" s="396"/>
      <c r="C318" s="396"/>
      <c r="D318" s="1739"/>
      <c r="E318" s="1739"/>
      <c r="F318" s="1739"/>
      <c r="G318" s="1740"/>
      <c r="H318" s="1740"/>
      <c r="I318" s="1740"/>
      <c r="J318" s="1739"/>
      <c r="K318" s="1739"/>
      <c r="L318" s="1739"/>
      <c r="M318" s="207"/>
      <c r="N318" s="472"/>
      <c r="O318" s="472"/>
      <c r="P318" s="5"/>
      <c r="Q318" s="5"/>
      <c r="R318" s="5"/>
      <c r="S318" s="1822"/>
      <c r="T318" s="1822"/>
      <c r="U318" s="1822"/>
      <c r="V318" s="1822"/>
      <c r="W318" s="1822"/>
      <c r="X318" s="1822"/>
      <c r="Y318" s="1822"/>
      <c r="Z318" s="1822"/>
      <c r="AA318" s="1822"/>
      <c r="AD318" s="5"/>
      <c r="AE318" s="5"/>
      <c r="AF318" s="5"/>
      <c r="AG318" s="216" t="s">
        <v>420</v>
      </c>
      <c r="AH318" s="215"/>
      <c r="AI318" s="215"/>
      <c r="AJ318" s="215"/>
      <c r="AK318" s="215"/>
      <c r="AL318" s="1743">
        <f>X4</f>
        <v>0</v>
      </c>
      <c r="AM318" s="1743"/>
      <c r="AN318" s="212" t="s">
        <v>479</v>
      </c>
      <c r="AO318" s="1157"/>
      <c r="AP318" s="1157"/>
      <c r="AQ318" s="1157"/>
      <c r="AR318" s="1157"/>
      <c r="AS318" s="212"/>
      <c r="AT318" s="739"/>
      <c r="AU318" s="212"/>
      <c r="AV318" s="285"/>
      <c r="AW318" s="212"/>
      <c r="AX318" s="212"/>
      <c r="AY318" s="637"/>
      <c r="AZ318" s="212"/>
      <c r="BA318" s="212"/>
      <c r="BB318" s="637"/>
      <c r="BC318" s="212"/>
      <c r="BD318" s="212"/>
      <c r="BE318" s="212"/>
      <c r="BF318" s="212"/>
      <c r="BG318" s="212"/>
      <c r="BH318" s="212"/>
      <c r="BI318" s="212"/>
      <c r="BJ318" s="212"/>
      <c r="BK318" s="212"/>
      <c r="BL318" s="212"/>
      <c r="BM318" s="212"/>
      <c r="BN318" s="212"/>
      <c r="BO318" s="212"/>
      <c r="BP318" s="212"/>
      <c r="BQ318" s="212"/>
      <c r="BR318" s="212"/>
      <c r="BS318" s="212"/>
      <c r="BT318" s="212"/>
      <c r="BU318" s="212"/>
      <c r="BV318" s="212"/>
      <c r="BW318" s="212"/>
      <c r="BX318" s="212"/>
      <c r="BY318" s="212"/>
      <c r="BZ318" s="212"/>
      <c r="CA318" s="212"/>
      <c r="CB318" s="212"/>
      <c r="CC318" s="212"/>
      <c r="CD318" s="212"/>
      <c r="CE318" s="212"/>
      <c r="CF318" s="212"/>
      <c r="CG318" s="212"/>
      <c r="CH318" s="212"/>
      <c r="CI318" s="212"/>
      <c r="CJ318" s="212"/>
      <c r="CK318" s="712"/>
      <c r="CL318" s="285"/>
      <c r="CM318" s="212"/>
      <c r="CN318" s="212"/>
      <c r="CO318" s="212"/>
      <c r="CP318" s="212"/>
      <c r="CQ318" s="212"/>
      <c r="CR318" s="212"/>
      <c r="CS318" s="212"/>
      <c r="CT318" s="212"/>
      <c r="CU318" s="212"/>
      <c r="CV318" s="212"/>
      <c r="CW318" s="212"/>
      <c r="CX318" s="212"/>
      <c r="CY318" s="215"/>
      <c r="CZ318" s="215"/>
      <c r="DA318" s="1758">
        <f>'Data Entry'!A76*'Proposed Lighting'!DA314</f>
        <v>0</v>
      </c>
      <c r="DB318" s="1758"/>
      <c r="DD318" s="5"/>
      <c r="DE318" s="81"/>
      <c r="DF318" s="81"/>
      <c r="DG318" s="382"/>
      <c r="DH318" s="382"/>
      <c r="DI318" s="382"/>
      <c r="DJ318" s="382"/>
      <c r="DK318" s="81"/>
      <c r="DL318" s="81"/>
      <c r="DM318" s="81"/>
      <c r="DN318" s="81"/>
      <c r="DO318" s="81"/>
      <c r="DP318" s="81"/>
      <c r="DX318" s="81"/>
      <c r="DY318" s="81"/>
      <c r="DZ318" s="331"/>
      <c r="EA318" s="392"/>
      <c r="EB318" s="1499" t="s">
        <v>88</v>
      </c>
      <c r="EC318" s="727" t="s">
        <v>1569</v>
      </c>
      <c r="ED318" s="1101">
        <v>0.5</v>
      </c>
      <c r="EE318" s="1186"/>
      <c r="EF318" s="1186"/>
      <c r="EG318" s="1184"/>
      <c r="EJ318" s="55"/>
      <c r="EK318" s="451"/>
      <c r="EL318" s="377"/>
      <c r="EM318" s="366"/>
      <c r="EN318" s="377"/>
      <c r="EO318" s="377"/>
      <c r="EP318" s="377"/>
      <c r="EQ318" s="377"/>
      <c r="ER318" s="377"/>
      <c r="ES318" s="702"/>
      <c r="ET318" s="702"/>
      <c r="EU318" s="1023"/>
      <c r="EV318" s="368"/>
      <c r="EW318" s="368"/>
      <c r="EX318" s="369"/>
      <c r="EY318" s="370"/>
      <c r="EZ318" s="370"/>
      <c r="FA318" s="371"/>
      <c r="FB318" s="372"/>
    </row>
    <row r="319" spans="1:158" ht="17.25" customHeight="1">
      <c r="A319" s="510"/>
      <c r="B319" s="5"/>
      <c r="C319" s="5"/>
      <c r="D319" s="1739"/>
      <c r="E319" s="1739"/>
      <c r="F319" s="1739"/>
      <c r="G319" s="1740"/>
      <c r="H319" s="1740"/>
      <c r="I319" s="1740"/>
      <c r="J319" s="1739"/>
      <c r="K319" s="1739"/>
      <c r="L319" s="1739"/>
      <c r="M319" s="207"/>
      <c r="N319" s="472"/>
      <c r="O319" s="472"/>
      <c r="P319" s="5"/>
      <c r="Q319" s="5"/>
      <c r="R319" s="5"/>
      <c r="S319" s="1822"/>
      <c r="T319" s="1822"/>
      <c r="U319" s="1822"/>
      <c r="V319" s="1822"/>
      <c r="W319" s="1822"/>
      <c r="X319" s="1822"/>
      <c r="Y319" s="1822"/>
      <c r="Z319" s="1822"/>
      <c r="AA319" s="1822"/>
      <c r="AD319" s="5"/>
      <c r="AE319" s="5"/>
      <c r="AF319" s="5"/>
      <c r="AN319" s="216" t="s">
        <v>480</v>
      </c>
      <c r="AO319" s="1160"/>
      <c r="AP319" s="1160"/>
      <c r="AQ319" s="1160"/>
      <c r="AR319" s="1160"/>
      <c r="AS319" s="215"/>
      <c r="AT319" s="741"/>
      <c r="AU319" s="215"/>
      <c r="AV319" s="287"/>
      <c r="AW319" s="215"/>
      <c r="AX319" s="215"/>
      <c r="AY319" s="424"/>
      <c r="AZ319" s="215"/>
      <c r="BA319" s="215"/>
      <c r="BB319" s="1183"/>
      <c r="BC319" s="215"/>
      <c r="BD319" s="215"/>
      <c r="BE319" s="215"/>
      <c r="BF319" s="215"/>
      <c r="BG319" s="215"/>
      <c r="BH319" s="215"/>
      <c r="BI319" s="215"/>
      <c r="BJ319" s="215"/>
      <c r="BK319" s="215"/>
      <c r="BL319" s="215"/>
      <c r="BM319" s="215"/>
      <c r="BN319" s="215"/>
      <c r="BO319" s="215"/>
      <c r="BP319" s="215"/>
      <c r="BQ319" s="215"/>
      <c r="BR319" s="215"/>
      <c r="BS319" s="215"/>
      <c r="BT319" s="215"/>
      <c r="BU319" s="215"/>
      <c r="BV319" s="215"/>
      <c r="BW319" s="215"/>
      <c r="BX319" s="215"/>
      <c r="BY319" s="215"/>
      <c r="BZ319" s="215"/>
      <c r="CA319" s="215"/>
      <c r="CB319" s="215"/>
      <c r="CC319" s="215"/>
      <c r="CD319" s="215"/>
      <c r="CE319" s="215"/>
      <c r="CF319" s="215"/>
      <c r="CG319" s="215"/>
      <c r="CH319" s="215"/>
      <c r="CI319" s="215"/>
      <c r="CJ319" s="215"/>
      <c r="CK319" s="714"/>
      <c r="CL319" s="287"/>
      <c r="CM319" s="287"/>
      <c r="CN319" s="215"/>
      <c r="CO319" s="215"/>
      <c r="CP319" s="215"/>
      <c r="CQ319" s="215"/>
      <c r="CR319" s="215"/>
      <c r="CS319" s="215"/>
      <c r="CT319" s="215"/>
      <c r="CU319" s="215"/>
      <c r="CV319" s="215"/>
      <c r="CW319" s="215"/>
      <c r="CX319" s="215"/>
      <c r="CY319" s="215"/>
      <c r="CZ319" s="215"/>
      <c r="DA319" s="1758"/>
      <c r="DB319" s="1758"/>
      <c r="DD319" s="5"/>
      <c r="DE319" s="81"/>
      <c r="DF319" s="81"/>
      <c r="DG319" s="382"/>
      <c r="DH319" s="382"/>
      <c r="DI319" s="382"/>
      <c r="DJ319" s="382"/>
      <c r="DK319" s="81"/>
      <c r="DL319" s="81"/>
      <c r="DM319" s="81"/>
      <c r="DN319" s="81"/>
      <c r="DO319" s="81"/>
      <c r="DP319" s="81"/>
      <c r="DX319" s="81"/>
      <c r="DY319" s="81"/>
      <c r="DZ319" s="331"/>
      <c r="EA319" s="392"/>
      <c r="EB319" s="1499" t="s">
        <v>89</v>
      </c>
      <c r="EC319" s="727" t="s">
        <v>1569</v>
      </c>
      <c r="ED319" s="1101">
        <v>0.5</v>
      </c>
      <c r="EE319" s="1186"/>
      <c r="EF319" s="1186"/>
      <c r="EG319" s="1184"/>
      <c r="EJ319" s="55"/>
      <c r="EK319" s="451"/>
      <c r="EL319" s="377"/>
      <c r="EM319" s="366" t="s">
        <v>0</v>
      </c>
      <c r="EN319" s="377"/>
      <c r="EO319" s="377"/>
      <c r="EP319" s="377"/>
      <c r="EQ319" s="377"/>
      <c r="ER319" s="377"/>
      <c r="ES319" s="702"/>
      <c r="ET319" s="702"/>
      <c r="EU319" s="1023"/>
      <c r="EV319" s="368"/>
      <c r="EW319" s="368"/>
      <c r="EX319" s="369"/>
      <c r="EY319" s="370"/>
      <c r="EZ319" s="370"/>
      <c r="FA319" s="371"/>
      <c r="FB319" s="372"/>
    </row>
    <row r="320" spans="1:158" ht="17.25" customHeight="1">
      <c r="A320" s="510"/>
      <c r="B320" s="5"/>
      <c r="C320" s="5"/>
      <c r="D320" s="1739"/>
      <c r="E320" s="1739"/>
      <c r="F320" s="1739"/>
      <c r="G320" s="1740"/>
      <c r="H320" s="1740"/>
      <c r="I320" s="1740"/>
      <c r="J320" s="1739"/>
      <c r="K320" s="1739"/>
      <c r="L320" s="1739"/>
      <c r="M320" s="207"/>
      <c r="N320" s="472"/>
      <c r="O320" s="472"/>
      <c r="P320" s="5"/>
      <c r="Q320" s="5"/>
      <c r="R320" s="5"/>
      <c r="S320" s="1822"/>
      <c r="T320" s="1822"/>
      <c r="U320" s="1822"/>
      <c r="V320" s="1822"/>
      <c r="W320" s="1822"/>
      <c r="X320" s="1822"/>
      <c r="Y320" s="1822"/>
      <c r="Z320" s="1822"/>
      <c r="AA320" s="1822"/>
      <c r="AD320" s="5"/>
      <c r="AE320" s="5"/>
      <c r="AF320" s="5"/>
      <c r="AG320" s="216" t="s">
        <v>0</v>
      </c>
      <c r="AH320" s="215"/>
      <c r="AI320" s="215"/>
      <c r="AJ320" s="215"/>
      <c r="AK320" s="215"/>
      <c r="AL320" s="1792">
        <f>BO309</f>
        <v>0</v>
      </c>
      <c r="AM320" s="1792"/>
      <c r="AN320" s="5"/>
      <c r="AO320" s="1160"/>
      <c r="AP320" s="1160"/>
      <c r="AQ320" s="1160"/>
      <c r="AR320" s="1160"/>
      <c r="AS320" s="215"/>
      <c r="AT320" s="741"/>
      <c r="AU320" s="215"/>
      <c r="AV320" s="287"/>
      <c r="AW320" s="215"/>
      <c r="AX320" s="215"/>
      <c r="AY320" s="424"/>
      <c r="AZ320" s="215"/>
      <c r="BA320" s="215"/>
      <c r="BB320" s="1183"/>
      <c r="BC320" s="215"/>
      <c r="BD320" s="215"/>
      <c r="BE320" s="215"/>
      <c r="BF320" s="215"/>
      <c r="BG320" s="215"/>
      <c r="BH320" s="215"/>
      <c r="BI320" s="215"/>
      <c r="BJ320" s="215"/>
      <c r="BK320" s="215"/>
      <c r="BL320" s="215"/>
      <c r="BM320" s="215"/>
      <c r="BN320" s="215"/>
      <c r="BO320" s="215"/>
      <c r="BP320" s="215"/>
      <c r="BQ320" s="215"/>
      <c r="BR320" s="215"/>
      <c r="BS320" s="215"/>
      <c r="BT320" s="215"/>
      <c r="BU320" s="215"/>
      <c r="BV320" s="215"/>
      <c r="BW320" s="215"/>
      <c r="BX320" s="215"/>
      <c r="BY320" s="215"/>
      <c r="BZ320" s="215"/>
      <c r="CA320" s="215"/>
      <c r="CB320" s="215"/>
      <c r="CC320" s="215"/>
      <c r="CD320" s="215"/>
      <c r="CE320" s="215"/>
      <c r="CF320" s="215"/>
      <c r="CG320" s="215"/>
      <c r="CH320" s="215"/>
      <c r="CI320" s="215"/>
      <c r="CJ320" s="215"/>
      <c r="CK320" s="714"/>
      <c r="CL320" s="287"/>
      <c r="CM320" s="287"/>
      <c r="CN320" s="215"/>
      <c r="CO320" s="215"/>
      <c r="CP320" s="215"/>
      <c r="CQ320" s="215"/>
      <c r="CR320" s="215"/>
      <c r="CS320" s="215"/>
      <c r="CT320" s="215"/>
      <c r="CU320" s="215"/>
      <c r="CV320" s="215"/>
      <c r="CW320" s="215"/>
      <c r="CX320" s="215"/>
      <c r="CY320" s="215"/>
      <c r="CZ320" s="215"/>
      <c r="DA320" s="5"/>
      <c r="DB320" s="5"/>
      <c r="DD320" s="5"/>
      <c r="DE320" s="81"/>
      <c r="DF320" s="81"/>
      <c r="DG320" s="382"/>
      <c r="DH320" s="382"/>
      <c r="DI320" s="382"/>
      <c r="DJ320" s="382"/>
      <c r="DK320" s="81"/>
      <c r="DL320" s="81"/>
      <c r="DM320" s="81"/>
      <c r="DN320" s="81"/>
      <c r="DO320" s="81"/>
      <c r="DP320" s="81"/>
      <c r="DX320" s="81"/>
      <c r="DY320" s="81"/>
      <c r="DZ320" s="331"/>
      <c r="EA320" s="392"/>
      <c r="EB320" s="1499" t="s">
        <v>90</v>
      </c>
      <c r="EC320" s="727" t="s">
        <v>1569</v>
      </c>
      <c r="ED320" s="1101">
        <v>0.5</v>
      </c>
      <c r="EE320" s="1186"/>
      <c r="EF320" s="1186"/>
      <c r="EG320" s="1184"/>
      <c r="EJ320" s="55"/>
      <c r="EK320" s="451"/>
      <c r="EL320" s="377"/>
      <c r="EM320" s="366"/>
      <c r="EN320" s="377"/>
      <c r="EO320" s="377"/>
      <c r="EP320" s="377"/>
      <c r="EQ320" s="377"/>
      <c r="ER320" s="377"/>
      <c r="ES320" s="702"/>
      <c r="ET320" s="702"/>
      <c r="EU320" s="1023"/>
      <c r="EV320" s="368"/>
      <c r="EW320" s="368"/>
      <c r="EX320" s="369"/>
      <c r="EY320" s="370"/>
      <c r="EZ320" s="370"/>
      <c r="FA320" s="371"/>
      <c r="FB320" s="372"/>
    </row>
    <row r="321" spans="1:158" ht="17.25" customHeight="1">
      <c r="A321" s="510"/>
      <c r="B321" s="5"/>
      <c r="C321" s="5"/>
      <c r="D321" s="1739"/>
      <c r="E321" s="1739"/>
      <c r="F321" s="1739"/>
      <c r="G321" s="1740"/>
      <c r="H321" s="1740"/>
      <c r="I321" s="1740"/>
      <c r="J321" s="1739"/>
      <c r="K321" s="1739"/>
      <c r="L321" s="1739"/>
      <c r="M321" s="207"/>
      <c r="N321" s="472"/>
      <c r="O321" s="472"/>
      <c r="P321" s="5"/>
      <c r="Q321" s="5"/>
      <c r="R321" s="5"/>
      <c r="S321" s="1822"/>
      <c r="T321" s="1822"/>
      <c r="U321" s="1822"/>
      <c r="V321" s="1822"/>
      <c r="W321" s="1822"/>
      <c r="X321" s="1822"/>
      <c r="Y321" s="1822"/>
      <c r="Z321" s="1822"/>
      <c r="AA321" s="1822"/>
      <c r="AC321" s="5"/>
      <c r="AD321" s="5"/>
      <c r="AE321" s="5"/>
      <c r="AF321" s="5"/>
      <c r="AG321" s="216" t="s">
        <v>1641</v>
      </c>
      <c r="AH321" s="215"/>
      <c r="AI321" s="215"/>
      <c r="AJ321" s="215"/>
      <c r="AK321" s="215"/>
      <c r="AL321" s="1743">
        <f>IF(DA309&gt;=X4,X4,DA309)</f>
        <v>0</v>
      </c>
      <c r="AM321" s="1743"/>
      <c r="AN321" s="220" t="s">
        <v>433</v>
      </c>
      <c r="AO321" s="1151"/>
      <c r="AP321" s="1151"/>
      <c r="AQ321" s="1151"/>
      <c r="AR321" s="1151"/>
      <c r="AS321" s="5"/>
      <c r="AT321" s="734"/>
      <c r="AU321" s="5"/>
      <c r="AV321" s="284"/>
      <c r="AW321" s="5"/>
      <c r="AX321" s="5"/>
      <c r="AY321" s="419"/>
      <c r="AZ321" s="5"/>
      <c r="BA321" s="5"/>
      <c r="BB321" s="163"/>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709"/>
      <c r="CL321" s="284"/>
      <c r="CM321" s="284"/>
      <c r="CN321" s="5"/>
      <c r="CO321" s="5"/>
      <c r="CP321" s="5"/>
      <c r="CQ321" s="5"/>
      <c r="CR321" s="5"/>
      <c r="CS321" s="5"/>
      <c r="CT321" s="5"/>
      <c r="CU321" s="5"/>
      <c r="CV321" s="5"/>
      <c r="CW321" s="5"/>
      <c r="CX321" s="5"/>
      <c r="CY321" s="5"/>
      <c r="CZ321" s="5"/>
      <c r="DA321" s="317">
        <f>IF(CZ317+DA318=0,0,CZ317/DA318)</f>
        <v>0</v>
      </c>
      <c r="DB321" s="198" t="s">
        <v>1</v>
      </c>
      <c r="DD321" s="5"/>
      <c r="DE321" s="81"/>
      <c r="DF321" s="81"/>
      <c r="DG321" s="382"/>
      <c r="DH321" s="382"/>
      <c r="DI321" s="382"/>
      <c r="DJ321" s="382"/>
      <c r="DK321" s="81"/>
      <c r="DL321" s="81"/>
      <c r="DM321" s="81"/>
      <c r="DN321" s="81"/>
      <c r="DO321" s="81"/>
      <c r="DP321" s="81"/>
      <c r="DX321" s="81"/>
      <c r="DY321" s="81"/>
      <c r="DZ321" s="331"/>
      <c r="EA321" s="392"/>
      <c r="EB321" s="1499" t="s">
        <v>91</v>
      </c>
      <c r="EC321" s="727" t="s">
        <v>1569</v>
      </c>
      <c r="ED321" s="1101">
        <v>0.5</v>
      </c>
      <c r="EE321" s="1186"/>
      <c r="EF321" s="1186"/>
      <c r="EG321" s="1184"/>
      <c r="EJ321" s="55"/>
      <c r="EK321" s="451"/>
      <c r="EL321" s="377"/>
      <c r="EM321" s="81"/>
      <c r="EN321" s="377"/>
      <c r="EO321" s="377"/>
      <c r="EP321" s="377"/>
      <c r="EQ321" s="377"/>
      <c r="ER321" s="377"/>
      <c r="ES321" s="702"/>
      <c r="ET321" s="702"/>
      <c r="EU321" s="1023"/>
      <c r="EV321" s="368"/>
      <c r="EW321" s="368"/>
      <c r="EX321" s="369"/>
      <c r="EY321" s="370"/>
      <c r="EZ321" s="370"/>
      <c r="FA321" s="371"/>
      <c r="FB321" s="372"/>
    </row>
    <row r="322" spans="1:158" ht="17.25" customHeight="1">
      <c r="A322" s="510"/>
      <c r="B322" s="5"/>
      <c r="C322" s="5"/>
      <c r="D322" s="1739"/>
      <c r="E322" s="1739"/>
      <c r="F322" s="1739"/>
      <c r="G322" s="1740"/>
      <c r="H322" s="1740"/>
      <c r="I322" s="1740"/>
      <c r="J322" s="1739"/>
      <c r="K322" s="1739"/>
      <c r="L322" s="1739"/>
      <c r="M322" s="207"/>
      <c r="N322" s="156"/>
      <c r="O322" s="156"/>
      <c r="P322" s="5"/>
      <c r="Q322" s="5"/>
      <c r="R322" s="5"/>
      <c r="S322" s="1822"/>
      <c r="T322" s="1822"/>
      <c r="U322" s="1822"/>
      <c r="V322" s="1822"/>
      <c r="W322" s="1822"/>
      <c r="X322" s="1822"/>
      <c r="Y322" s="1822"/>
      <c r="Z322" s="1822"/>
      <c r="AA322" s="1822"/>
      <c r="AC322" s="5"/>
      <c r="AD322" s="5"/>
      <c r="AE322" s="5"/>
      <c r="AF322" s="5"/>
      <c r="AG322" s="488"/>
      <c r="AH322" s="5"/>
      <c r="AI322" s="5"/>
      <c r="AJ322" s="605">
        <f>AL320+AL321</f>
        <v>0</v>
      </c>
      <c r="AK322" s="5"/>
      <c r="AL322" s="1820"/>
      <c r="AM322" s="1820"/>
      <c r="AN322" s="470" t="s">
        <v>415</v>
      </c>
      <c r="AO322" s="1151"/>
      <c r="AP322" s="1151"/>
      <c r="AQ322" s="1151"/>
      <c r="AR322" s="1151"/>
      <c r="AS322" s="5"/>
      <c r="AT322" s="734"/>
      <c r="AU322" s="5"/>
      <c r="AV322" s="284"/>
      <c r="AW322" s="5"/>
      <c r="AX322" s="5"/>
      <c r="AY322" s="419"/>
      <c r="AZ322" s="5"/>
      <c r="BA322" s="5"/>
      <c r="BB322" s="163"/>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709"/>
      <c r="CL322" s="284"/>
      <c r="CM322" s="284"/>
      <c r="CN322" s="5"/>
      <c r="CO322" s="5"/>
      <c r="CP322" s="5"/>
      <c r="CQ322" s="5"/>
      <c r="CR322" s="5"/>
      <c r="CS322" s="5"/>
      <c r="CT322" s="5"/>
      <c r="CU322" s="5"/>
      <c r="CV322" s="5"/>
      <c r="CW322" s="5"/>
      <c r="CX322" s="5"/>
      <c r="CY322" s="5"/>
      <c r="CZ322" s="5"/>
      <c r="DA322" s="5"/>
      <c r="DB322" s="5"/>
      <c r="DD322" s="5"/>
      <c r="DE322" s="81"/>
      <c r="DF322" s="81"/>
      <c r="DG322" s="382"/>
      <c r="DH322" s="382"/>
      <c r="DI322" s="382"/>
      <c r="DJ322" s="382"/>
      <c r="DK322" s="81"/>
      <c r="DL322" s="81"/>
      <c r="DM322" s="81"/>
      <c r="DN322" s="81"/>
      <c r="DO322" s="81"/>
      <c r="DP322" s="81"/>
      <c r="DX322" s="81"/>
      <c r="DY322" s="81"/>
      <c r="DZ322" s="331"/>
      <c r="EA322" s="392"/>
      <c r="EB322" s="1499" t="s">
        <v>92</v>
      </c>
      <c r="EC322" s="727" t="s">
        <v>1569</v>
      </c>
      <c r="ED322" s="1101">
        <v>0.5</v>
      </c>
      <c r="EE322" s="1102"/>
      <c r="EF322" s="1102"/>
      <c r="EG322" s="366"/>
      <c r="EJ322" s="81"/>
      <c r="EK322" s="377"/>
      <c r="EL322" s="377"/>
      <c r="EM322" s="81"/>
      <c r="EN322" s="377"/>
      <c r="EO322" s="377"/>
      <c r="EP322" s="377"/>
      <c r="EQ322" s="377"/>
      <c r="ER322" s="377"/>
      <c r="ES322" s="702"/>
      <c r="ET322" s="702"/>
      <c r="EU322" s="1023"/>
      <c r="EV322" s="368"/>
      <c r="EW322" s="368"/>
      <c r="EX322" s="369"/>
      <c r="EY322" s="370"/>
      <c r="EZ322" s="370"/>
      <c r="FA322" s="371"/>
      <c r="FB322" s="372"/>
    </row>
    <row r="323" spans="1:158" ht="17.25" customHeight="1">
      <c r="A323" s="510"/>
      <c r="B323" s="5"/>
      <c r="C323" s="5"/>
      <c r="D323" s="1739"/>
      <c r="E323" s="1739"/>
      <c r="F323" s="1739"/>
      <c r="G323" s="1740"/>
      <c r="H323" s="1740"/>
      <c r="I323" s="1740"/>
      <c r="J323" s="1739"/>
      <c r="K323" s="1739"/>
      <c r="L323" s="1739"/>
      <c r="M323" s="207"/>
      <c r="N323" s="670"/>
      <c r="O323" s="670"/>
      <c r="S323" s="1822"/>
      <c r="T323" s="1822"/>
      <c r="U323" s="1822"/>
      <c r="V323" s="1822"/>
      <c r="W323" s="1822"/>
      <c r="X323" s="1822"/>
      <c r="Y323" s="1822"/>
      <c r="Z323" s="1822"/>
      <c r="AA323" s="1822"/>
      <c r="AH323" s="5"/>
      <c r="AI323" s="5"/>
      <c r="AJ323" s="5"/>
      <c r="AK323" s="5"/>
      <c r="AL323" s="1743" t="s">
        <v>0</v>
      </c>
      <c r="AM323" s="1743"/>
      <c r="AN323" s="5"/>
      <c r="AO323" s="1151"/>
      <c r="AP323" s="1151"/>
      <c r="AQ323" s="1151"/>
      <c r="AR323" s="1151"/>
      <c r="AS323" s="5"/>
      <c r="AT323" s="734"/>
      <c r="AU323" s="5"/>
      <c r="AV323" s="284"/>
      <c r="AW323" s="5"/>
      <c r="AX323" s="5"/>
      <c r="AY323" s="419"/>
      <c r="AZ323" s="5"/>
      <c r="BA323" s="5"/>
      <c r="BB323" s="163"/>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709"/>
      <c r="CL323" s="284"/>
      <c r="CM323" s="284"/>
      <c r="CN323" s="5"/>
      <c r="CO323" s="5"/>
      <c r="CP323" s="5"/>
      <c r="CQ323" s="5"/>
      <c r="CR323" s="5"/>
      <c r="CS323" s="5"/>
      <c r="CT323" s="5"/>
      <c r="CU323" s="5"/>
      <c r="CV323" s="5"/>
      <c r="CW323" s="5"/>
      <c r="CX323" s="5"/>
      <c r="CY323" s="5"/>
      <c r="CZ323" s="5"/>
      <c r="DA323" s="5"/>
      <c r="DB323" s="5"/>
      <c r="DD323" s="5"/>
      <c r="DE323" s="81"/>
      <c r="DF323" s="81"/>
      <c r="DG323" s="382"/>
      <c r="DH323" s="382"/>
      <c r="DI323" s="382"/>
      <c r="DJ323" s="382"/>
      <c r="DK323" s="81"/>
      <c r="DL323" s="81"/>
      <c r="DM323" s="81"/>
      <c r="DN323" s="81"/>
      <c r="DO323" s="81"/>
      <c r="DP323" s="81"/>
      <c r="DX323" s="81"/>
      <c r="DY323" s="81"/>
      <c r="DZ323" s="331"/>
      <c r="EA323" s="392"/>
      <c r="EB323" s="1499" t="s">
        <v>93</v>
      </c>
      <c r="EC323" s="727" t="s">
        <v>1569</v>
      </c>
      <c r="ED323" s="1101">
        <v>0.5</v>
      </c>
      <c r="EE323" s="1102"/>
      <c r="EF323" s="1102"/>
      <c r="EG323" s="366"/>
      <c r="EJ323" s="81"/>
      <c r="EK323" s="377"/>
      <c r="EL323" s="377"/>
      <c r="EM323" s="81"/>
      <c r="EN323" s="377"/>
      <c r="EO323" s="377"/>
      <c r="EP323" s="377"/>
      <c r="EQ323" s="377"/>
      <c r="ER323" s="377"/>
      <c r="ES323" s="702"/>
      <c r="ET323" s="702"/>
      <c r="EU323" s="1023"/>
      <c r="EV323" s="368"/>
      <c r="EW323" s="368"/>
      <c r="EX323" s="369"/>
      <c r="EY323" s="370"/>
      <c r="EZ323" s="370"/>
      <c r="FA323" s="371"/>
      <c r="FB323" s="372"/>
    </row>
    <row r="324" spans="1:158" ht="17.25" customHeight="1">
      <c r="A324" s="510"/>
      <c r="B324" s="5"/>
      <c r="C324" s="5"/>
      <c r="D324" s="1739"/>
      <c r="E324" s="1739"/>
      <c r="F324" s="1739"/>
      <c r="G324" s="1740"/>
      <c r="H324" s="1740"/>
      <c r="I324" s="1740"/>
      <c r="J324" s="1739"/>
      <c r="K324" s="1739"/>
      <c r="L324" s="1739"/>
      <c r="M324" s="207"/>
      <c r="N324" s="670"/>
      <c r="O324" s="670"/>
      <c r="S324" s="1747"/>
      <c r="T324" s="1747"/>
      <c r="U324" s="1747"/>
      <c r="V324" s="1747"/>
      <c r="W324" s="1747"/>
      <c r="X324" s="1747"/>
      <c r="Y324" s="1747"/>
      <c r="Z324" s="1747"/>
      <c r="AA324" s="1747"/>
      <c r="AB324" s="1747"/>
      <c r="AG324" s="48" t="s">
        <v>431</v>
      </c>
      <c r="CX324" s="3"/>
      <c r="CY324" s="3"/>
      <c r="CZ324" s="3"/>
      <c r="DA324" s="3"/>
      <c r="DB324" s="3"/>
      <c r="DD324" s="5"/>
      <c r="DE324" s="81"/>
      <c r="DF324" s="81"/>
      <c r="DG324" s="382"/>
      <c r="DH324" s="382"/>
      <c r="DI324" s="382"/>
      <c r="DJ324" s="382"/>
      <c r="DK324" s="81"/>
      <c r="DL324" s="81"/>
      <c r="DM324" s="81"/>
      <c r="DN324" s="81"/>
      <c r="DO324" s="81"/>
      <c r="DP324" s="81"/>
      <c r="DX324" s="81"/>
      <c r="DY324" s="81"/>
      <c r="DZ324" s="331"/>
      <c r="EA324" s="392"/>
      <c r="EB324" s="1499" t="s">
        <v>94</v>
      </c>
      <c r="EC324" s="727" t="s">
        <v>1569</v>
      </c>
      <c r="ED324" s="1101">
        <v>0.5</v>
      </c>
      <c r="EE324" s="1102"/>
      <c r="EF324" s="1102"/>
      <c r="EG324" s="366"/>
      <c r="EJ324" s="81"/>
      <c r="EK324" s="377"/>
      <c r="EL324" s="377"/>
      <c r="EM324" s="81"/>
      <c r="EN324" s="377"/>
      <c r="EO324" s="377"/>
      <c r="EP324" s="377"/>
      <c r="EQ324" s="377"/>
      <c r="ER324" s="377"/>
      <c r="ES324" s="702"/>
      <c r="ET324" s="702"/>
      <c r="EU324" s="1023"/>
      <c r="EV324" s="368"/>
      <c r="EW324" s="368"/>
      <c r="EX324" s="369"/>
      <c r="EY324" s="370"/>
      <c r="EZ324" s="370"/>
      <c r="FA324" s="371"/>
      <c r="FB324" s="372"/>
    </row>
    <row r="325" spans="1:158" ht="17.25" customHeight="1">
      <c r="B325" s="669"/>
      <c r="C325" s="669"/>
      <c r="D325" s="669"/>
      <c r="E325" s="669"/>
      <c r="F325" s="669"/>
      <c r="H325" s="248"/>
      <c r="I325" s="248"/>
      <c r="J325" s="248"/>
      <c r="K325" s="248"/>
      <c r="L325" s="248"/>
      <c r="M325" s="248"/>
      <c r="N325" s="301"/>
      <c r="S325" s="1104">
        <f>IF(U3=1,"Submit Complete Lighting Upgrade for pre-approval",0)</f>
        <v>0</v>
      </c>
      <c r="V325" s="1027"/>
      <c r="W325" s="1027"/>
      <c r="X325" s="1027"/>
      <c r="Y325" s="1027"/>
      <c r="Z325" s="1823"/>
      <c r="AA325" s="1823"/>
      <c r="AG325" s="153" t="s">
        <v>432</v>
      </c>
      <c r="DA325" s="1793">
        <f ca="1">TODAY()</f>
        <v>45170</v>
      </c>
      <c r="DB325" s="1794"/>
      <c r="DC325" s="35"/>
      <c r="DD325" s="5"/>
      <c r="DE325" s="81"/>
      <c r="DF325" s="81"/>
      <c r="DG325" s="382"/>
      <c r="DH325" s="382"/>
      <c r="DI325" s="382"/>
      <c r="DJ325" s="382"/>
      <c r="DK325" s="81"/>
      <c r="DL325" s="81"/>
      <c r="DM325" s="81"/>
      <c r="DN325" s="81"/>
      <c r="DO325" s="81"/>
      <c r="DP325" s="81"/>
      <c r="DX325" s="81"/>
      <c r="DY325" s="81"/>
      <c r="DZ325" s="331"/>
      <c r="EA325" s="392"/>
      <c r="EB325" s="1499" t="s">
        <v>95</v>
      </c>
      <c r="EC325" s="727" t="s">
        <v>1569</v>
      </c>
      <c r="ED325" s="1101">
        <v>0.5</v>
      </c>
      <c r="EE325" s="606">
        <f>SUMIF(EE9:EE324,"&lt;&gt;#value!")</f>
        <v>0</v>
      </c>
      <c r="EF325" s="606">
        <f>SUMIF(EF9:EF324,"&lt;&gt;#value!")</f>
        <v>0</v>
      </c>
      <c r="EG325" s="81"/>
      <c r="EJ325" s="81"/>
      <c r="EK325" s="377"/>
      <c r="EL325" s="377"/>
      <c r="EM325" s="81"/>
      <c r="EN325" s="377"/>
      <c r="EO325" s="377"/>
      <c r="EP325" s="377"/>
      <c r="EQ325" s="377"/>
      <c r="ER325" s="377"/>
      <c r="ES325" s="702"/>
      <c r="ET325" s="702"/>
      <c r="EU325" s="1023"/>
      <c r="EV325" s="368"/>
      <c r="EW325" s="368"/>
      <c r="EX325" s="369"/>
      <c r="EY325" s="370"/>
      <c r="EZ325" s="370"/>
      <c r="FA325" s="371"/>
      <c r="FB325" s="372"/>
    </row>
    <row r="326" spans="1:158" ht="17.25" customHeight="1">
      <c r="B326" s="669"/>
      <c r="C326" s="669"/>
      <c r="D326" s="669"/>
      <c r="E326" s="669"/>
      <c r="F326" s="669"/>
      <c r="G326" s="248"/>
      <c r="H326" s="248"/>
      <c r="I326" s="248"/>
      <c r="J326" s="248"/>
      <c r="K326" s="248"/>
      <c r="L326" s="248"/>
      <c r="M326" s="248"/>
      <c r="S326" s="1079"/>
      <c r="V326" s="1027"/>
      <c r="W326" s="1027"/>
      <c r="X326" s="1027"/>
      <c r="Y326" s="1027"/>
      <c r="Z326" s="1027"/>
      <c r="AA326" s="1027"/>
      <c r="AG326" s="971" t="s">
        <v>1413</v>
      </c>
      <c r="DD326" s="5"/>
      <c r="DE326" s="81"/>
      <c r="DF326" s="81"/>
      <c r="DG326" s="382"/>
      <c r="DH326" s="382"/>
      <c r="DI326" s="382"/>
      <c r="DJ326" s="382"/>
      <c r="DK326" s="81"/>
      <c r="DL326" s="81"/>
      <c r="DM326" s="81"/>
      <c r="DN326" s="81"/>
      <c r="DO326" s="81"/>
      <c r="DP326" s="81"/>
      <c r="DX326" s="81"/>
      <c r="DY326" s="81"/>
      <c r="DZ326" s="331"/>
      <c r="EA326" s="392"/>
      <c r="EB326" s="1499" t="s">
        <v>96</v>
      </c>
      <c r="EC326" s="727" t="s">
        <v>1569</v>
      </c>
      <c r="ED326" s="1101">
        <v>0.5</v>
      </c>
      <c r="EE326" s="607">
        <f>IF(DF312&gt;EE325,EE325,DF312)</f>
        <v>0</v>
      </c>
      <c r="EF326" s="1177">
        <f>IF(EE327&gt;EF325,EF325,EE327)</f>
        <v>0</v>
      </c>
      <c r="EG326" s="81"/>
      <c r="EJ326" s="81"/>
      <c r="EK326" s="377"/>
      <c r="EL326" s="377"/>
      <c r="EM326" s="81"/>
      <c r="EN326" s="377"/>
      <c r="EO326" s="377"/>
      <c r="EP326" s="377"/>
      <c r="EQ326" s="377"/>
      <c r="ER326" s="377"/>
      <c r="ES326" s="702"/>
      <c r="ET326" s="702"/>
      <c r="EU326" s="1023"/>
      <c r="EV326" s="368"/>
      <c r="EW326" s="368"/>
      <c r="EX326" s="369"/>
      <c r="EY326" s="370"/>
      <c r="EZ326" s="370"/>
      <c r="FA326" s="371"/>
      <c r="FB326" s="372"/>
    </row>
    <row r="327" spans="1:158" ht="17.25" hidden="1" customHeight="1" thickBot="1">
      <c r="A327" t="str">
        <f>Welcome!A78</f>
        <v>9/5/2023 .</v>
      </c>
      <c r="B327" s="81"/>
      <c r="C327" s="377"/>
      <c r="D327" s="231"/>
      <c r="E327" s="231"/>
      <c r="F327" s="231"/>
      <c r="G327" s="231"/>
      <c r="N327" s="669"/>
      <c r="O327" s="669"/>
      <c r="P327" s="671"/>
      <c r="AH327" s="5"/>
      <c r="AI327" s="5"/>
      <c r="AJ327" s="5"/>
      <c r="AK327" s="5"/>
      <c r="AL327" s="5"/>
      <c r="AM327" s="5"/>
      <c r="AN327" s="5"/>
      <c r="DD327" s="5"/>
      <c r="DE327" s="81"/>
      <c r="DF327" s="81"/>
      <c r="DG327" s="382"/>
      <c r="DH327" s="382"/>
      <c r="DI327" s="382"/>
      <c r="DJ327" s="382"/>
      <c r="DK327" s="81"/>
      <c r="DL327" s="81"/>
      <c r="DM327" s="81"/>
      <c r="DN327" s="81"/>
      <c r="DO327" s="81"/>
      <c r="DP327" s="81"/>
      <c r="DX327" s="81"/>
      <c r="DY327" s="81"/>
      <c r="DZ327" s="331"/>
      <c r="EA327" s="392"/>
      <c r="EB327" s="1499" t="s">
        <v>1565</v>
      </c>
      <c r="EC327" s="727" t="s">
        <v>1569</v>
      </c>
      <c r="ED327" s="1101">
        <v>0.5</v>
      </c>
      <c r="EE327" s="608">
        <f>DF312-EE326</f>
        <v>0</v>
      </c>
      <c r="EF327" s="1178"/>
      <c r="EG327" s="81"/>
      <c r="EJ327" s="81"/>
      <c r="EK327" s="377"/>
      <c r="EL327" s="377"/>
      <c r="EM327" s="81"/>
      <c r="EN327" s="377"/>
      <c r="EO327" s="377"/>
      <c r="EP327" s="377"/>
      <c r="EQ327" s="377"/>
      <c r="ER327" s="377"/>
      <c r="ES327" s="702"/>
      <c r="ET327" s="702"/>
      <c r="EU327" s="1023"/>
      <c r="EV327" s="368"/>
      <c r="EW327" s="368"/>
      <c r="EX327" s="369"/>
      <c r="EY327" s="370"/>
      <c r="EZ327" s="370"/>
      <c r="FA327" s="371"/>
      <c r="FB327" s="372"/>
    </row>
    <row r="328" spans="1:158" ht="34.5" hidden="1" customHeight="1">
      <c r="A328" s="81"/>
      <c r="B328" s="81"/>
      <c r="C328" s="377"/>
      <c r="D328" s="231"/>
      <c r="E328" s="1744"/>
      <c r="F328" s="1744"/>
      <c r="G328" s="1744"/>
      <c r="H328" s="42"/>
      <c r="I328" s="1745"/>
      <c r="J328" s="1745"/>
      <c r="K328" s="1745"/>
      <c r="L328" s="1745"/>
      <c r="M328" s="669"/>
      <c r="N328" s="669"/>
      <c r="O328" s="669"/>
      <c r="P328" s="669"/>
      <c r="Q328" s="46"/>
      <c r="R328" s="46"/>
      <c r="S328" s="1746"/>
      <c r="T328" s="1746"/>
      <c r="U328" s="1746"/>
      <c r="AF328" s="262"/>
      <c r="AG328" s="1404"/>
      <c r="AH328" s="1404"/>
      <c r="AI328" s="1404"/>
      <c r="AJ328" s="1405" t="s">
        <v>1387</v>
      </c>
      <c r="AK328" s="1817">
        <f>AK331-SUM(AK329:AL330)</f>
        <v>0</v>
      </c>
      <c r="AL328" s="1817"/>
      <c r="AM328" s="1404"/>
      <c r="AN328" s="1404"/>
      <c r="AO328" s="1162"/>
      <c r="AP328" s="1408" t="s">
        <v>1389</v>
      </c>
      <c r="AQ328" s="1162">
        <f>AQ332</f>
        <v>0</v>
      </c>
      <c r="AR328" s="1162"/>
      <c r="AS328" s="258"/>
      <c r="AT328" s="905" t="s">
        <v>1421</v>
      </c>
      <c r="AU328" s="943">
        <f>IF(AK328=0,0,AK328/AQ328)</f>
        <v>0</v>
      </c>
      <c r="DD328" s="5"/>
      <c r="DE328" s="81"/>
      <c r="DF328" s="81"/>
      <c r="DG328" s="382"/>
      <c r="DH328" s="382"/>
      <c r="DI328" s="382"/>
      <c r="DJ328" s="382"/>
      <c r="DK328" s="81"/>
      <c r="DL328" s="81"/>
      <c r="DM328" s="81"/>
      <c r="DN328" s="81"/>
      <c r="DO328" s="81"/>
      <c r="DP328" s="81"/>
      <c r="DX328" s="81"/>
      <c r="DY328" s="81"/>
      <c r="DZ328" s="361"/>
      <c r="EA328" s="392"/>
      <c r="EB328" s="1499" t="s">
        <v>97</v>
      </c>
      <c r="EC328" s="727" t="s">
        <v>1569</v>
      </c>
      <c r="ED328" s="1101">
        <v>0.5</v>
      </c>
      <c r="EE328" s="331"/>
      <c r="EF328" s="1179"/>
      <c r="EG328" s="81"/>
      <c r="EJ328" s="81"/>
      <c r="EK328" s="377"/>
      <c r="EL328" s="377"/>
      <c r="EM328" s="81"/>
      <c r="EN328" s="377"/>
      <c r="EO328" s="377"/>
      <c r="EP328" s="377"/>
      <c r="EQ328" s="377"/>
      <c r="ER328" s="377"/>
      <c r="ES328" s="702"/>
      <c r="ET328" s="702"/>
      <c r="EU328" s="1023"/>
      <c r="EV328" s="368"/>
      <c r="EW328" s="368"/>
      <c r="EX328" s="369"/>
      <c r="EY328" s="370"/>
      <c r="EZ328" s="370"/>
      <c r="FA328" s="371"/>
      <c r="FB328" s="372"/>
    </row>
    <row r="329" spans="1:158" ht="34.5" hidden="1" customHeight="1">
      <c r="A329" s="81"/>
      <c r="B329" s="81"/>
      <c r="C329" s="377"/>
      <c r="D329" s="231"/>
      <c r="E329" s="232"/>
      <c r="F329" s="232"/>
      <c r="G329" s="232"/>
      <c r="H329" s="42"/>
      <c r="I329" s="228"/>
      <c r="J329" s="228"/>
      <c r="K329" s="228"/>
      <c r="L329" s="228"/>
      <c r="M329" s="42"/>
      <c r="N329" s="42"/>
      <c r="O329" s="45"/>
      <c r="P329" s="46"/>
      <c r="Q329" s="46"/>
      <c r="R329" s="46"/>
      <c r="S329" s="229"/>
      <c r="T329" s="229"/>
      <c r="U329" s="229"/>
      <c r="AF329" s="263"/>
      <c r="AG329" s="5"/>
      <c r="AH329" s="5"/>
      <c r="AI329" s="5"/>
      <c r="AJ329" s="734" t="s">
        <v>1423</v>
      </c>
      <c r="AK329" s="1816">
        <f>SUMPRODUCT($AJ$9:$AJ$308,$AA$9:$AA$308)</f>
        <v>0</v>
      </c>
      <c r="AL329" s="1816"/>
      <c r="AM329" s="5"/>
      <c r="AN329" s="5"/>
      <c r="AP329" s="1409" t="s">
        <v>1422</v>
      </c>
      <c r="AQ329" s="1161">
        <f>SUMIF(AJ9:AJ308,"&gt;0",AA9:AA308)</f>
        <v>0</v>
      </c>
      <c r="AU329" s="797"/>
      <c r="DD329" s="5"/>
      <c r="DE329" s="81"/>
      <c r="DF329" s="81"/>
      <c r="DG329" s="382"/>
      <c r="DH329" s="382"/>
      <c r="DI329" s="382"/>
      <c r="DJ329" s="382"/>
      <c r="DK329" s="81"/>
      <c r="DL329" s="81"/>
      <c r="DM329" s="81"/>
      <c r="DN329" s="81"/>
      <c r="DO329" s="81"/>
      <c r="DP329" s="81"/>
      <c r="DX329" s="81"/>
      <c r="DY329" s="81"/>
      <c r="DZ329" s="330"/>
      <c r="EA329" s="392"/>
      <c r="EB329" s="1499" t="s">
        <v>98</v>
      </c>
      <c r="EC329" s="727" t="s">
        <v>1569</v>
      </c>
      <c r="ED329" s="1101">
        <v>0.5</v>
      </c>
      <c r="EE329" s="331"/>
      <c r="EF329" s="1179"/>
      <c r="EG329" s="81"/>
      <c r="EJ329" s="81"/>
      <c r="EK329" s="377"/>
      <c r="EL329" s="377"/>
      <c r="EM329" s="81"/>
      <c r="EN329" s="377"/>
      <c r="EO329" s="377"/>
      <c r="EP329" s="377"/>
      <c r="EQ329" s="377"/>
      <c r="ER329" s="377"/>
      <c r="ES329" s="702"/>
      <c r="ET329" s="702"/>
      <c r="EU329" s="1023"/>
      <c r="EV329" s="368"/>
      <c r="EW329" s="368"/>
      <c r="EX329" s="369"/>
      <c r="EY329" s="370"/>
      <c r="EZ329" s="370"/>
      <c r="FA329" s="371"/>
      <c r="FB329" s="372"/>
    </row>
    <row r="330" spans="1:158" ht="34.5" hidden="1" customHeight="1">
      <c r="A330" s="81"/>
      <c r="B330" s="81"/>
      <c r="C330" s="377"/>
      <c r="D330" s="377"/>
      <c r="E330" s="1744"/>
      <c r="F330" s="1744"/>
      <c r="G330" s="1744"/>
      <c r="H330" s="43"/>
      <c r="I330" s="1745"/>
      <c r="J330" s="1745"/>
      <c r="K330" s="1745"/>
      <c r="L330" s="1745"/>
      <c r="M330" s="43"/>
      <c r="N330" s="43"/>
      <c r="O330" s="45"/>
      <c r="P330" s="46"/>
      <c r="Q330" s="46"/>
      <c r="R330" s="46"/>
      <c r="S330" s="1746"/>
      <c r="T330" s="1746"/>
      <c r="U330" s="1746"/>
      <c r="AF330" s="263"/>
      <c r="AG330" s="5"/>
      <c r="AH330" s="5"/>
      <c r="AI330" s="5"/>
      <c r="AJ330" s="734" t="s">
        <v>1424</v>
      </c>
      <c r="AK330" s="1816">
        <f>BA309</f>
        <v>0</v>
      </c>
      <c r="AL330" s="1816"/>
      <c r="AM330" s="5"/>
      <c r="AN330" s="5"/>
      <c r="AP330" s="1410" t="s">
        <v>1739</v>
      </c>
      <c r="AQ330" s="1161">
        <f>EF309-BP309</f>
        <v>0</v>
      </c>
      <c r="AU330" s="797"/>
      <c r="DD330" s="5"/>
      <c r="DE330" s="81"/>
      <c r="DF330" s="81"/>
      <c r="DG330" s="382"/>
      <c r="DH330" s="382"/>
      <c r="DI330" s="382"/>
      <c r="DJ330" s="382"/>
      <c r="DK330" s="81"/>
      <c r="DL330" s="81"/>
      <c r="DM330" s="81"/>
      <c r="DN330" s="81"/>
      <c r="DO330" s="81"/>
      <c r="DP330" s="81"/>
      <c r="DX330" s="81"/>
      <c r="DY330" s="81"/>
      <c r="DZ330" s="361"/>
      <c r="EA330" s="392"/>
      <c r="EB330" s="1499" t="s">
        <v>498</v>
      </c>
      <c r="EC330" s="727" t="s">
        <v>1569</v>
      </c>
      <c r="ED330" s="1101">
        <v>0.5</v>
      </c>
      <c r="EE330" s="331"/>
      <c r="EF330" s="1179"/>
      <c r="EG330" s="81"/>
      <c r="EJ330" s="81"/>
      <c r="EK330" s="377"/>
      <c r="EL330" s="377"/>
      <c r="EM330" s="81"/>
      <c r="EN330" s="377"/>
      <c r="EO330" s="377"/>
      <c r="EP330" s="377"/>
      <c r="EQ330" s="377"/>
      <c r="ER330" s="377"/>
      <c r="ES330" s="702"/>
      <c r="ET330" s="702"/>
      <c r="EU330" s="1023"/>
      <c r="EV330" s="368"/>
      <c r="EW330" s="368"/>
      <c r="EX330" s="369"/>
      <c r="EY330" s="370"/>
      <c r="EZ330" s="370"/>
      <c r="FA330" s="371"/>
      <c r="FB330" s="372"/>
    </row>
    <row r="331" spans="1:158" ht="34.5" hidden="1" customHeight="1">
      <c r="A331" s="81"/>
      <c r="B331" s="81"/>
      <c r="C331" s="377"/>
      <c r="D331" s="377"/>
      <c r="E331" s="232"/>
      <c r="F331" s="232"/>
      <c r="G331" s="232"/>
      <c r="H331" s="43"/>
      <c r="I331" s="228"/>
      <c r="J331" s="228"/>
      <c r="K331" s="228"/>
      <c r="L331" s="228"/>
      <c r="M331" s="43"/>
      <c r="N331" s="43"/>
      <c r="O331" s="45"/>
      <c r="P331" s="46"/>
      <c r="Q331" s="46"/>
      <c r="R331" s="46"/>
      <c r="S331" s="229"/>
      <c r="T331" s="229"/>
      <c r="U331" s="229"/>
      <c r="AF331" s="263"/>
      <c r="AG331" s="5"/>
      <c r="AH331" s="5"/>
      <c r="AI331" s="5"/>
      <c r="AJ331" s="1406" t="s">
        <v>1388</v>
      </c>
      <c r="AK331" s="1738">
        <f>X4</f>
        <v>0</v>
      </c>
      <c r="AL331" s="1738"/>
      <c r="AM331" s="5"/>
      <c r="AN331" s="5"/>
      <c r="AP331" s="1409" t="s">
        <v>1400</v>
      </c>
      <c r="AQ331" s="1161">
        <f>SUM(AK312+EF309)</f>
        <v>0</v>
      </c>
      <c r="AU331" s="797"/>
      <c r="DD331" s="5"/>
      <c r="DE331" s="81"/>
      <c r="DF331" s="81"/>
      <c r="DG331" s="382"/>
      <c r="DH331" s="382"/>
      <c r="DI331" s="382"/>
      <c r="DJ331" s="382"/>
      <c r="DK331" s="81"/>
      <c r="DL331" s="81"/>
      <c r="DM331" s="81"/>
      <c r="DN331" s="81"/>
      <c r="DO331" s="81"/>
      <c r="DP331" s="81"/>
      <c r="DX331" s="81"/>
      <c r="DY331" s="81"/>
      <c r="DZ331" s="361"/>
      <c r="EA331" s="392"/>
      <c r="EB331" s="1499" t="s">
        <v>99</v>
      </c>
      <c r="EC331" s="727" t="s">
        <v>1569</v>
      </c>
      <c r="ED331" s="1101">
        <v>0.5</v>
      </c>
      <c r="EE331" s="331"/>
      <c r="EF331" s="1179"/>
      <c r="EG331" s="81"/>
      <c r="EJ331" s="81"/>
      <c r="EK331" s="377"/>
      <c r="EL331" s="377"/>
      <c r="EM331" s="81"/>
      <c r="EN331" s="377"/>
      <c r="EO331" s="377"/>
      <c r="EP331" s="377"/>
      <c r="EQ331" s="377"/>
      <c r="ER331" s="377"/>
      <c r="ES331" s="702"/>
      <c r="ET331" s="702"/>
      <c r="EU331" s="1023"/>
      <c r="EV331" s="368"/>
      <c r="EW331" s="368"/>
      <c r="EX331" s="369"/>
      <c r="EY331" s="370"/>
      <c r="EZ331" s="370"/>
      <c r="FA331" s="371"/>
      <c r="FB331" s="372"/>
    </row>
    <row r="332" spans="1:158" ht="34.5" hidden="1" customHeight="1">
      <c r="A332" s="81"/>
      <c r="B332" s="81"/>
      <c r="C332" s="377"/>
      <c r="D332" s="377"/>
      <c r="E332" s="231"/>
      <c r="F332" s="231"/>
      <c r="G332" s="231"/>
      <c r="AF332" s="263"/>
      <c r="AG332" s="5"/>
      <c r="AH332" s="5"/>
      <c r="AI332" s="5"/>
      <c r="AJ332" s="5"/>
      <c r="AK332" s="81"/>
      <c r="AL332" s="81"/>
      <c r="AM332" s="5"/>
      <c r="AN332" s="5"/>
      <c r="AP332" s="1409" t="s">
        <v>1416</v>
      </c>
      <c r="AQ332" s="1161">
        <f>SUMIFS(AA9:AA308,AJ9:AJ308,"")</f>
        <v>0</v>
      </c>
      <c r="AU332" s="797"/>
      <c r="DD332" s="5"/>
      <c r="DE332" s="81"/>
      <c r="DF332" s="81"/>
      <c r="DG332" s="382"/>
      <c r="DH332" s="382"/>
      <c r="DI332" s="382"/>
      <c r="DJ332" s="382"/>
      <c r="DK332" s="81"/>
      <c r="DL332" s="81"/>
      <c r="DM332" s="81"/>
      <c r="DN332" s="81"/>
      <c r="DO332" s="81"/>
      <c r="DP332" s="81"/>
      <c r="DX332" s="81"/>
      <c r="DY332" s="81"/>
      <c r="DZ332" s="331"/>
      <c r="EA332" s="392"/>
      <c r="EB332" s="1499" t="s">
        <v>100</v>
      </c>
      <c r="EC332" s="727" t="s">
        <v>1569</v>
      </c>
      <c r="ED332" s="1101">
        <v>0.5</v>
      </c>
      <c r="EE332" s="331"/>
      <c r="EF332" s="1179"/>
      <c r="EG332" s="81"/>
      <c r="EJ332" s="81"/>
      <c r="EK332" s="377"/>
      <c r="EL332" s="377"/>
      <c r="EM332" s="81"/>
      <c r="EN332" s="377"/>
      <c r="EO332" s="377"/>
      <c r="EP332" s="377"/>
      <c r="EQ332" s="377"/>
      <c r="ER332" s="377"/>
      <c r="ES332" s="702"/>
      <c r="ET332" s="702"/>
      <c r="EU332" s="1023"/>
      <c r="EV332" s="368"/>
      <c r="EW332" s="368"/>
      <c r="EX332" s="369"/>
      <c r="EY332" s="370"/>
      <c r="EZ332" s="370"/>
      <c r="FA332" s="371"/>
      <c r="FB332" s="372"/>
    </row>
    <row r="333" spans="1:158" ht="34.5" hidden="1" customHeight="1">
      <c r="A333" s="81"/>
      <c r="B333" s="81"/>
      <c r="C333" s="377"/>
      <c r="D333" s="377"/>
      <c r="E333" s="1799"/>
      <c r="F333" s="1799"/>
      <c r="G333" s="1799"/>
      <c r="I333" s="1804"/>
      <c r="J333" s="1804"/>
      <c r="K333" s="1805"/>
      <c r="L333" s="1805"/>
      <c r="O333" s="40"/>
      <c r="P333" s="41"/>
      <c r="Q333" s="41"/>
      <c r="R333" s="41"/>
      <c r="S333" s="1801"/>
      <c r="T333" s="1801"/>
      <c r="U333" s="1801"/>
      <c r="AF333" s="263"/>
      <c r="AG333" s="5"/>
      <c r="AH333" s="5"/>
      <c r="AI333" s="5"/>
      <c r="AJ333" s="5"/>
      <c r="AK333" s="81"/>
      <c r="AL333" s="81"/>
      <c r="AM333" s="5"/>
      <c r="AN333" s="5"/>
      <c r="AP333" s="1409" t="s">
        <v>1417</v>
      </c>
      <c r="AQ333" s="1161">
        <f>BP309</f>
        <v>0</v>
      </c>
      <c r="AU333" s="797"/>
      <c r="DD333" s="5"/>
      <c r="DE333" s="81"/>
      <c r="DF333" s="81"/>
      <c r="DG333" s="382"/>
      <c r="DH333" s="382"/>
      <c r="DI333" s="382"/>
      <c r="DJ333" s="382"/>
      <c r="DK333" s="81"/>
      <c r="DL333" s="81"/>
      <c r="DM333" s="81"/>
      <c r="DN333" s="81"/>
      <c r="DO333" s="81"/>
      <c r="DP333" s="81"/>
      <c r="DX333" s="81"/>
      <c r="DY333" s="81"/>
      <c r="DZ333" s="331"/>
      <c r="EA333" s="392"/>
      <c r="EB333" s="1499" t="s">
        <v>1378</v>
      </c>
      <c r="EC333" s="727" t="s">
        <v>1569</v>
      </c>
      <c r="ED333" s="1101">
        <v>0.5</v>
      </c>
      <c r="EE333" s="331"/>
      <c r="EF333" s="1179"/>
      <c r="EG333" s="81"/>
      <c r="EJ333" s="81"/>
      <c r="EK333" s="377"/>
      <c r="EL333" s="377"/>
      <c r="EM333" s="81"/>
      <c r="EN333" s="377"/>
      <c r="EO333" s="377"/>
      <c r="EP333" s="377"/>
      <c r="EQ333" s="377"/>
      <c r="ER333" s="377"/>
      <c r="ES333" s="702"/>
      <c r="ET333" s="702"/>
      <c r="EU333" s="1023"/>
      <c r="EV333" s="368"/>
      <c r="EW333" s="368"/>
      <c r="EX333" s="369"/>
      <c r="EY333" s="370"/>
      <c r="EZ333" s="370"/>
      <c r="FA333" s="371"/>
      <c r="FB333" s="372"/>
    </row>
    <row r="334" spans="1:158" ht="34.5" hidden="1" customHeight="1" thickBot="1">
      <c r="A334" s="81"/>
      <c r="B334" s="81"/>
      <c r="C334" s="377"/>
      <c r="D334" s="377"/>
      <c r="E334" s="231"/>
      <c r="F334" s="231"/>
      <c r="G334" s="231"/>
      <c r="AF334" s="265"/>
      <c r="AG334" s="1407"/>
      <c r="AH334" s="1407"/>
      <c r="AI334" s="1407"/>
      <c r="AJ334" s="1407"/>
      <c r="AK334" s="1407"/>
      <c r="AL334" s="1407"/>
      <c r="AM334" s="1407"/>
      <c r="AN334" s="1407"/>
      <c r="AO334" s="1163"/>
      <c r="AP334" s="1163"/>
      <c r="AQ334" s="1163"/>
      <c r="AR334" s="1163"/>
      <c r="AS334" s="260"/>
      <c r="AT334" s="798"/>
      <c r="AU334" s="942"/>
      <c r="DD334" s="5"/>
      <c r="DE334" s="81"/>
      <c r="DF334" s="81"/>
      <c r="DG334" s="382"/>
      <c r="DH334" s="382"/>
      <c r="DI334" s="382"/>
      <c r="DJ334" s="382"/>
      <c r="DK334" s="81"/>
      <c r="DL334" s="81"/>
      <c r="DM334" s="81"/>
      <c r="DN334" s="81"/>
      <c r="DO334" s="81"/>
      <c r="DP334" s="81"/>
      <c r="DX334" s="81"/>
      <c r="DY334" s="81"/>
      <c r="DZ334" s="331"/>
      <c r="EA334" s="392"/>
      <c r="EB334" s="1499" t="s">
        <v>73</v>
      </c>
      <c r="EC334" s="727" t="s">
        <v>1569</v>
      </c>
      <c r="ED334" s="1101">
        <v>0.5</v>
      </c>
      <c r="EE334" s="331"/>
      <c r="EF334" s="1179"/>
      <c r="EG334" s="81"/>
      <c r="EJ334" s="81"/>
      <c r="EK334" s="377"/>
      <c r="EL334" s="377"/>
      <c r="EM334" s="81"/>
      <c r="EN334" s="377"/>
      <c r="EO334" s="377"/>
      <c r="EP334" s="377"/>
      <c r="EQ334" s="377"/>
      <c r="ER334" s="377"/>
      <c r="ES334" s="702"/>
      <c r="ET334" s="702"/>
      <c r="EU334" s="1023"/>
      <c r="EV334" s="368"/>
      <c r="EW334" s="368"/>
      <c r="EX334" s="369"/>
      <c r="EY334" s="370"/>
      <c r="EZ334" s="370"/>
      <c r="FA334" s="371"/>
      <c r="FB334" s="372"/>
    </row>
    <row r="335" spans="1:158" ht="34.5" hidden="1" customHeight="1">
      <c r="A335" s="81"/>
      <c r="B335" s="81"/>
      <c r="C335" s="377"/>
      <c r="D335" s="520"/>
      <c r="E335" s="231"/>
      <c r="F335" s="231"/>
      <c r="G335" s="231"/>
      <c r="DD335" s="5"/>
      <c r="DE335" s="81"/>
      <c r="DF335" s="81"/>
      <c r="DG335" s="382"/>
      <c r="DH335" s="382"/>
      <c r="DI335" s="382"/>
      <c r="DJ335" s="382"/>
      <c r="DK335" s="81"/>
      <c r="DL335" s="81"/>
      <c r="DM335" s="81"/>
      <c r="DN335" s="81"/>
      <c r="DO335" s="81"/>
      <c r="DP335" s="81"/>
      <c r="DX335" s="81"/>
      <c r="DY335" s="81"/>
      <c r="DZ335" s="331"/>
      <c r="EA335" s="392"/>
      <c r="EB335" s="1499" t="s">
        <v>1377</v>
      </c>
      <c r="EC335" s="727" t="s">
        <v>1569</v>
      </c>
      <c r="ED335" s="1101">
        <v>0.5</v>
      </c>
      <c r="EE335" s="81"/>
      <c r="EF335" s="382"/>
      <c r="EG335" s="81"/>
      <c r="EJ335" s="81"/>
      <c r="EK335" s="377"/>
      <c r="EL335" s="377"/>
      <c r="EM335" s="81"/>
      <c r="EN335" s="377"/>
      <c r="EO335" s="377"/>
      <c r="EP335" s="377"/>
      <c r="EQ335" s="377"/>
      <c r="ER335" s="377"/>
      <c r="ES335" s="702"/>
      <c r="ET335" s="702"/>
      <c r="EU335" s="1023"/>
      <c r="EV335" s="368"/>
      <c r="EW335" s="368"/>
      <c r="EX335" s="369"/>
      <c r="EY335" s="370"/>
      <c r="EZ335" s="370"/>
      <c r="FA335" s="371"/>
      <c r="FB335" s="372"/>
    </row>
    <row r="336" spans="1:158" ht="34.5" customHeight="1">
      <c r="A336" s="81"/>
      <c r="B336" s="81"/>
      <c r="C336" s="377"/>
      <c r="DD336" s="5"/>
      <c r="DE336" s="81"/>
      <c r="DF336" s="81"/>
      <c r="DG336" s="382"/>
      <c r="DH336" s="382"/>
      <c r="DI336" s="382"/>
      <c r="DJ336" s="382"/>
      <c r="DK336" s="81"/>
      <c r="DL336" s="81"/>
      <c r="DM336" s="81"/>
      <c r="DN336" s="81"/>
      <c r="DO336" s="81"/>
      <c r="DP336" s="81"/>
      <c r="DX336" s="81"/>
      <c r="DY336" s="81"/>
      <c r="DZ336" s="331"/>
      <c r="EA336" s="392"/>
      <c r="EB336" s="1499" t="s">
        <v>73</v>
      </c>
      <c r="EC336" s="727" t="s">
        <v>1569</v>
      </c>
      <c r="ED336" s="1101">
        <v>0.5</v>
      </c>
      <c r="EE336" s="374"/>
      <c r="EF336" s="382"/>
      <c r="EG336" s="81"/>
      <c r="EJ336" s="81"/>
      <c r="EK336" s="377"/>
      <c r="EL336" s="377"/>
      <c r="EM336" s="81"/>
      <c r="EN336" s="377"/>
      <c r="EO336" s="377"/>
      <c r="EP336" s="377"/>
      <c r="EQ336" s="377"/>
      <c r="ER336" s="377"/>
      <c r="ES336" s="702"/>
      <c r="ET336" s="702"/>
      <c r="EU336" s="1023"/>
      <c r="EV336" s="368"/>
      <c r="EW336" s="368"/>
      <c r="EX336" s="369"/>
      <c r="EY336" s="370"/>
      <c r="EZ336" s="370"/>
      <c r="FA336" s="371"/>
      <c r="FB336" s="372"/>
    </row>
    <row r="337" spans="1:158" ht="34.5" customHeight="1">
      <c r="A337" s="81"/>
      <c r="B337" s="81"/>
      <c r="C337" s="377"/>
      <c r="DD337" s="5"/>
      <c r="DE337" s="81"/>
      <c r="DF337" s="81"/>
      <c r="DG337" s="382"/>
      <c r="DH337" s="382"/>
      <c r="DI337" s="382"/>
      <c r="DJ337" s="382"/>
      <c r="DK337" s="501"/>
      <c r="DL337" s="501"/>
      <c r="DM337" s="81"/>
      <c r="DN337" s="81"/>
      <c r="DO337" s="81"/>
      <c r="DP337" s="81"/>
      <c r="DX337" s="81"/>
      <c r="DY337" s="81"/>
      <c r="DZ337" s="331"/>
      <c r="EA337" s="392"/>
      <c r="EB337" s="1499" t="s">
        <v>1380</v>
      </c>
      <c r="EC337" s="727" t="s">
        <v>1569</v>
      </c>
      <c r="ED337" s="1101">
        <v>0.5</v>
      </c>
      <c r="EE337" s="331"/>
      <c r="EF337" s="1179"/>
      <c r="EG337" s="81"/>
      <c r="EJ337" s="81"/>
      <c r="EK337" s="377"/>
      <c r="EL337" s="377"/>
      <c r="EM337" s="81"/>
      <c r="EN337" s="377"/>
      <c r="EO337" s="377"/>
      <c r="EP337" s="377"/>
      <c r="EQ337" s="377"/>
      <c r="ER337" s="377"/>
      <c r="ES337" s="702"/>
      <c r="ET337" s="702"/>
      <c r="EU337" s="1023"/>
      <c r="EV337" s="368"/>
      <c r="EW337" s="368"/>
      <c r="EX337" s="369"/>
      <c r="EY337" s="370"/>
      <c r="EZ337" s="370"/>
      <c r="FA337" s="371"/>
      <c r="FB337" s="372"/>
    </row>
    <row r="338" spans="1:158" ht="34.5" customHeight="1">
      <c r="A338" s="81"/>
      <c r="B338" s="81"/>
      <c r="C338" s="377"/>
      <c r="DD338" s="5"/>
      <c r="DE338" s="81"/>
      <c r="DF338" s="81"/>
      <c r="DG338" s="382"/>
      <c r="DH338" s="382"/>
      <c r="DI338" s="382"/>
      <c r="DJ338" s="382"/>
      <c r="DK338" s="81"/>
      <c r="DL338" s="81"/>
      <c r="DM338" s="81"/>
      <c r="DN338" s="81"/>
      <c r="DO338" s="81"/>
      <c r="DP338" s="81"/>
      <c r="DX338" s="81"/>
      <c r="DY338" s="81"/>
      <c r="DZ338" s="331"/>
      <c r="EA338" s="392"/>
      <c r="EB338" s="1499" t="s">
        <v>101</v>
      </c>
      <c r="EC338" s="727" t="s">
        <v>1569</v>
      </c>
      <c r="ED338" s="1101">
        <v>0.5</v>
      </c>
      <c r="EE338" s="331"/>
      <c r="EF338" s="1179"/>
      <c r="EG338" s="81"/>
      <c r="EJ338" s="81"/>
      <c r="EK338" s="377"/>
      <c r="EL338" s="377"/>
      <c r="EM338" s="81"/>
      <c r="EN338" s="377"/>
      <c r="EO338" s="377"/>
      <c r="EP338" s="377"/>
      <c r="EQ338" s="377"/>
      <c r="ER338" s="377"/>
      <c r="ES338" s="702"/>
      <c r="ET338" s="702"/>
      <c r="EU338" s="1023"/>
      <c r="EV338" s="368"/>
      <c r="EW338" s="368"/>
      <c r="EX338" s="369"/>
      <c r="EY338" s="370"/>
      <c r="EZ338" s="370"/>
      <c r="FA338" s="371"/>
      <c r="FB338" s="372"/>
    </row>
    <row r="339" spans="1:158" ht="34.5" customHeight="1">
      <c r="A339" s="757"/>
      <c r="B339" s="757"/>
      <c r="C339" s="227"/>
      <c r="D339" s="227"/>
      <c r="E339" s="227"/>
      <c r="F339" s="227"/>
      <c r="CX339" s="456"/>
      <c r="CY339" s="456"/>
      <c r="CZ339" s="456"/>
      <c r="DA339" s="456"/>
      <c r="DB339" s="456"/>
      <c r="DC339" s="296"/>
      <c r="DD339" s="457"/>
      <c r="DE339" s="81"/>
      <c r="DF339" s="81"/>
      <c r="DG339" s="331"/>
      <c r="DH339" s="331"/>
      <c r="DI339" s="331"/>
      <c r="DJ339" s="331"/>
      <c r="DK339" s="81"/>
      <c r="DL339" s="81"/>
      <c r="DM339" s="81"/>
      <c r="DN339" s="81"/>
      <c r="DO339" s="81"/>
      <c r="DP339" s="81"/>
      <c r="DX339" s="81"/>
      <c r="DY339" s="81"/>
      <c r="DZ339" s="361"/>
      <c r="EA339" s="393"/>
      <c r="EB339" s="1499" t="s">
        <v>102</v>
      </c>
      <c r="EC339" s="727" t="s">
        <v>1569</v>
      </c>
      <c r="ED339" s="1101">
        <v>0.5</v>
      </c>
      <c r="EE339" s="331"/>
      <c r="EF339" s="1179"/>
      <c r="EG339" s="81"/>
      <c r="EJ339" s="81"/>
      <c r="EK339" s="377"/>
      <c r="EL339" s="377"/>
      <c r="EM339" s="81"/>
      <c r="EN339" s="377"/>
      <c r="EO339" s="377"/>
      <c r="EP339" s="377"/>
      <c r="EQ339" s="377"/>
      <c r="ER339" s="377"/>
      <c r="ES339" s="702"/>
      <c r="ET339" s="702"/>
      <c r="EU339" s="1023"/>
      <c r="EV339" s="368"/>
      <c r="EW339" s="368"/>
      <c r="EX339" s="369"/>
      <c r="EY339" s="370"/>
      <c r="EZ339" s="370"/>
      <c r="FA339" s="371"/>
      <c r="FB339" s="372"/>
    </row>
    <row r="340" spans="1:158" ht="34.5" customHeight="1">
      <c r="A340" s="511"/>
      <c r="B340" s="227"/>
      <c r="C340" s="227"/>
      <c r="D340" s="227"/>
      <c r="E340" s="227"/>
      <c r="F340" s="227"/>
      <c r="CX340" s="350"/>
      <c r="CY340" s="349"/>
      <c r="CZ340" s="349"/>
      <c r="DA340" s="350"/>
      <c r="DB340" s="350"/>
      <c r="DC340" s="349"/>
      <c r="DD340" s="458"/>
      <c r="DE340" s="81"/>
      <c r="DF340" s="81"/>
      <c r="DG340" s="331"/>
      <c r="DH340" s="331"/>
      <c r="DI340" s="331"/>
      <c r="DJ340" s="331"/>
      <c r="DK340" s="81"/>
      <c r="DL340" s="81"/>
      <c r="DM340" s="81"/>
      <c r="DN340" s="81"/>
      <c r="DO340" s="81"/>
      <c r="DP340" s="81"/>
      <c r="DX340" s="81"/>
      <c r="DY340" s="81"/>
      <c r="DZ340" s="356"/>
      <c r="EA340" s="393"/>
      <c r="EB340" s="1499" t="s">
        <v>103</v>
      </c>
      <c r="EC340" s="727" t="s">
        <v>1569</v>
      </c>
      <c r="ED340" s="1101">
        <v>0.5</v>
      </c>
      <c r="EE340" s="331"/>
      <c r="EF340" s="1179"/>
      <c r="EG340" s="81"/>
      <c r="EJ340" s="81"/>
      <c r="EK340" s="377"/>
      <c r="EL340" s="377"/>
      <c r="EM340" s="81"/>
      <c r="EN340" s="377"/>
      <c r="EO340" s="377"/>
      <c r="EP340" s="377"/>
      <c r="EQ340" s="377"/>
      <c r="ER340" s="377"/>
      <c r="ES340" s="702"/>
      <c r="ET340" s="702"/>
      <c r="EU340" s="1023"/>
      <c r="EV340" s="368"/>
      <c r="EW340" s="368"/>
      <c r="EX340" s="369"/>
      <c r="EY340" s="370"/>
      <c r="EZ340" s="370"/>
      <c r="FA340" s="371"/>
      <c r="FB340" s="372"/>
    </row>
    <row r="341" spans="1:158" ht="34.5" customHeight="1">
      <c r="A341" s="1802"/>
      <c r="B341" s="1802"/>
      <c r="C341" s="1802"/>
      <c r="D341" s="1802"/>
      <c r="E341" s="1802"/>
      <c r="F341" s="1802"/>
      <c r="G341" s="1803"/>
      <c r="H341" s="295"/>
      <c r="I341" s="295"/>
      <c r="J341" s="295"/>
      <c r="K341" s="295"/>
      <c r="L341" s="295"/>
      <c r="M341" s="295"/>
      <c r="N341" s="295"/>
      <c r="O341" s="295"/>
      <c r="CX341" s="350"/>
      <c r="CY341" s="349"/>
      <c r="CZ341" s="349"/>
      <c r="DA341" s="350"/>
      <c r="DB341" s="350"/>
      <c r="DC341" s="349"/>
      <c r="DD341" s="458"/>
      <c r="DE341" s="81"/>
      <c r="DF341" s="81"/>
      <c r="DG341" s="331"/>
      <c r="DH341" s="331"/>
      <c r="DI341" s="331"/>
      <c r="DJ341" s="331"/>
      <c r="DK341" s="81"/>
      <c r="DL341" s="81"/>
      <c r="DM341" s="81"/>
      <c r="DN341" s="81"/>
      <c r="DO341" s="81"/>
      <c r="DP341" s="81"/>
      <c r="DX341" s="81"/>
      <c r="DY341" s="81"/>
      <c r="DZ341" s="361"/>
      <c r="EA341" s="393"/>
      <c r="EB341" s="1499" t="s">
        <v>73</v>
      </c>
      <c r="EC341" s="727" t="s">
        <v>1569</v>
      </c>
      <c r="ED341" s="1101">
        <v>0.5</v>
      </c>
      <c r="EE341" s="331"/>
      <c r="EF341" s="1179"/>
      <c r="EG341" s="81"/>
      <c r="EJ341" s="81"/>
      <c r="EK341" s="377"/>
      <c r="EL341" s="377"/>
      <c r="EM341" s="81"/>
      <c r="EN341" s="377"/>
      <c r="EO341" s="377"/>
      <c r="EP341" s="377"/>
      <c r="EQ341" s="377"/>
      <c r="ER341" s="377"/>
      <c r="ES341" s="702"/>
      <c r="ET341" s="702"/>
      <c r="EU341" s="1023"/>
      <c r="EV341" s="368"/>
      <c r="EW341" s="368"/>
      <c r="EX341" s="369"/>
      <c r="EY341" s="370"/>
      <c r="EZ341" s="370"/>
      <c r="FA341" s="371"/>
      <c r="FB341" s="372"/>
    </row>
    <row r="342" spans="1:158" ht="34.5" customHeight="1">
      <c r="A342" s="1802"/>
      <c r="B342" s="1802"/>
      <c r="C342" s="1802"/>
      <c r="D342" s="1802"/>
      <c r="E342" s="1802"/>
      <c r="F342" s="1802"/>
      <c r="G342" s="1803"/>
      <c r="CX342" s="350"/>
      <c r="CY342" s="349"/>
      <c r="CZ342" s="349"/>
      <c r="DA342" s="350"/>
      <c r="DB342" s="350"/>
      <c r="DC342" s="349"/>
      <c r="DD342" s="458"/>
      <c r="DE342" s="81"/>
      <c r="DF342" s="81"/>
      <c r="DG342" s="331"/>
      <c r="DH342" s="331"/>
      <c r="DI342" s="331"/>
      <c r="DJ342" s="331"/>
      <c r="DK342" s="81"/>
      <c r="DL342" s="81"/>
      <c r="DM342" s="81"/>
      <c r="DN342" s="81"/>
      <c r="DO342" s="81"/>
      <c r="DP342" s="81"/>
      <c r="DX342" s="81"/>
      <c r="DY342" s="81"/>
      <c r="DZ342" s="331"/>
      <c r="EA342" s="392"/>
      <c r="EB342" s="1499" t="s">
        <v>1285</v>
      </c>
      <c r="EC342" s="727" t="s">
        <v>1569</v>
      </c>
      <c r="ED342" s="1101">
        <v>0.5</v>
      </c>
      <c r="EE342" s="331"/>
      <c r="EF342" s="1179"/>
      <c r="EG342" s="81"/>
      <c r="EJ342" s="81"/>
      <c r="EK342" s="377"/>
      <c r="EL342" s="377"/>
      <c r="EM342" s="81"/>
      <c r="EN342" s="377"/>
      <c r="EO342" s="377"/>
      <c r="EP342" s="377"/>
      <c r="EQ342" s="377"/>
      <c r="ER342" s="377"/>
      <c r="ES342" s="702"/>
      <c r="ET342" s="702"/>
      <c r="EU342" s="1023"/>
      <c r="EV342" s="368"/>
      <c r="EW342" s="368"/>
      <c r="EX342" s="369"/>
      <c r="EY342" s="370"/>
      <c r="EZ342" s="370"/>
      <c r="FA342" s="371"/>
      <c r="FB342" s="372"/>
    </row>
    <row r="343" spans="1:158" ht="34.5" customHeight="1">
      <c r="A343" s="1800"/>
      <c r="B343" s="1800"/>
      <c r="C343" s="1800"/>
      <c r="D343" s="1800"/>
      <c r="E343" s="1800"/>
      <c r="F343" s="1800"/>
      <c r="G343" s="308"/>
      <c r="CX343" s="350"/>
      <c r="CY343" s="349"/>
      <c r="CZ343" s="349"/>
      <c r="DA343" s="350"/>
      <c r="DB343" s="350"/>
      <c r="DC343" s="349"/>
      <c r="DD343" s="458"/>
      <c r="DE343" s="81"/>
      <c r="DF343" s="81"/>
      <c r="DG343" s="331"/>
      <c r="DH343" s="331"/>
      <c r="DI343" s="331"/>
      <c r="DJ343" s="331"/>
      <c r="DK343" s="81"/>
      <c r="DL343" s="81"/>
      <c r="DM343" s="81"/>
      <c r="DN343" s="81"/>
      <c r="DO343" s="81"/>
      <c r="DP343" s="81"/>
      <c r="DX343" s="81"/>
      <c r="DY343" s="81"/>
      <c r="DZ343" s="331"/>
      <c r="EA343" s="392"/>
      <c r="EB343" s="1499" t="s">
        <v>73</v>
      </c>
      <c r="EC343" s="727" t="s">
        <v>1569</v>
      </c>
      <c r="ED343" s="1101">
        <v>0.5</v>
      </c>
      <c r="EE343" s="331"/>
      <c r="EF343" s="1179"/>
      <c r="EG343" s="81"/>
      <c r="EJ343" s="81"/>
      <c r="EK343" s="377"/>
      <c r="EL343" s="377"/>
      <c r="EM343" s="81"/>
      <c r="EN343" s="377"/>
      <c r="EO343" s="377"/>
      <c r="EP343" s="377"/>
      <c r="EQ343" s="377"/>
      <c r="ER343" s="377"/>
      <c r="ES343" s="702"/>
      <c r="ET343" s="702"/>
      <c r="EU343" s="1023"/>
      <c r="EV343" s="368"/>
      <c r="EW343" s="368"/>
      <c r="EX343" s="369"/>
      <c r="EY343" s="370"/>
      <c r="EZ343" s="370"/>
      <c r="FA343" s="371"/>
      <c r="FB343" s="372"/>
    </row>
    <row r="344" spans="1:158" ht="34.5" customHeight="1">
      <c r="A344" s="1800"/>
      <c r="B344" s="1800"/>
      <c r="C344" s="1800"/>
      <c r="D344" s="1800"/>
      <c r="E344" s="1800"/>
      <c r="F344" s="1800"/>
      <c r="G344" s="308"/>
      <c r="CX344" s="350"/>
      <c r="CY344" s="349"/>
      <c r="CZ344" s="349"/>
      <c r="DA344" s="350"/>
      <c r="DB344" s="350"/>
      <c r="DC344" s="349"/>
      <c r="DD344" s="458"/>
      <c r="DE344" s="81"/>
      <c r="DF344" s="81"/>
      <c r="DG344" s="331"/>
      <c r="DH344" s="331"/>
      <c r="DI344" s="331"/>
      <c r="DJ344" s="331"/>
      <c r="DK344" s="81"/>
      <c r="DL344" s="81"/>
      <c r="DM344" s="81"/>
      <c r="DN344" s="81"/>
      <c r="DO344" s="81"/>
      <c r="DP344" s="81"/>
      <c r="DX344" s="81"/>
      <c r="DY344" s="81"/>
      <c r="DZ344" s="331"/>
      <c r="EA344" s="392"/>
      <c r="EB344" s="1499" t="s">
        <v>73</v>
      </c>
      <c r="EC344" s="727" t="s">
        <v>1569</v>
      </c>
      <c r="ED344" s="1101">
        <v>0.5</v>
      </c>
      <c r="EE344" s="331"/>
      <c r="EF344" s="1179"/>
      <c r="EG344" s="81"/>
      <c r="EJ344" s="81"/>
      <c r="EK344" s="377"/>
      <c r="EL344" s="377"/>
      <c r="EM344" s="81"/>
      <c r="EN344" s="377"/>
      <c r="EO344" s="377"/>
      <c r="EP344" s="377"/>
      <c r="EQ344" s="377"/>
      <c r="ER344" s="377"/>
      <c r="ES344" s="702"/>
      <c r="ET344" s="702"/>
      <c r="EU344" s="1023"/>
      <c r="EV344" s="368"/>
      <c r="EW344" s="368"/>
      <c r="EX344" s="369"/>
      <c r="EY344" s="370"/>
      <c r="EZ344" s="370"/>
      <c r="FA344" s="371"/>
      <c r="FB344" s="372"/>
    </row>
    <row r="345" spans="1:158" ht="34.5" customHeight="1">
      <c r="A345" s="1800"/>
      <c r="B345" s="1800"/>
      <c r="C345" s="1800"/>
      <c r="D345" s="1800"/>
      <c r="E345" s="1800"/>
      <c r="F345" s="1800"/>
      <c r="G345" s="131"/>
      <c r="CX345" s="459"/>
      <c r="CY345" s="349"/>
      <c r="CZ345" s="349"/>
      <c r="DA345" s="460"/>
      <c r="DB345" s="349"/>
      <c r="DC345" s="349"/>
      <c r="DD345" s="375"/>
      <c r="DE345" s="81"/>
      <c r="DF345" s="81"/>
      <c r="DG345" s="345"/>
      <c r="DH345" s="345"/>
      <c r="DI345" s="345"/>
      <c r="DJ345" s="345"/>
      <c r="DK345" s="81"/>
      <c r="DL345" s="81"/>
      <c r="DM345" s="81"/>
      <c r="DN345" s="81"/>
      <c r="DO345" s="81"/>
      <c r="DP345" s="81"/>
      <c r="DX345" s="81"/>
      <c r="DY345" s="81"/>
      <c r="DZ345" s="331"/>
      <c r="EA345" s="392"/>
      <c r="EB345" s="1499" t="s">
        <v>1566</v>
      </c>
      <c r="EC345" s="727" t="s">
        <v>1569</v>
      </c>
      <c r="ED345" s="1101">
        <v>0.5</v>
      </c>
      <c r="EE345" s="331"/>
      <c r="EF345" s="1179"/>
      <c r="EG345" s="81"/>
      <c r="EJ345" s="81"/>
      <c r="EK345" s="377"/>
      <c r="EL345" s="377"/>
      <c r="EM345" s="81"/>
      <c r="EN345" s="377"/>
      <c r="EO345" s="377"/>
      <c r="EP345" s="377"/>
      <c r="EQ345" s="377"/>
      <c r="ER345" s="377"/>
      <c r="ES345" s="702"/>
      <c r="ET345" s="702"/>
      <c r="EU345" s="1023"/>
      <c r="EV345" s="368"/>
      <c r="EW345" s="368"/>
      <c r="EX345" s="369"/>
      <c r="EY345" s="370"/>
      <c r="EZ345" s="370"/>
      <c r="FA345" s="371"/>
      <c r="FB345" s="372"/>
    </row>
    <row r="346" spans="1:158" ht="34.5" customHeight="1">
      <c r="A346" s="1800"/>
      <c r="B346" s="1800"/>
      <c r="C346" s="1800"/>
      <c r="D346" s="1800"/>
      <c r="E346" s="1800"/>
      <c r="F346" s="1800"/>
      <c r="G346" s="308"/>
      <c r="CX346" s="459"/>
      <c r="CY346" s="349"/>
      <c r="CZ346" s="349"/>
      <c r="DA346" s="460"/>
      <c r="DB346" s="349"/>
      <c r="DC346" s="349"/>
      <c r="DD346" s="375"/>
      <c r="DE346" s="81"/>
      <c r="DF346" s="81"/>
      <c r="DG346" s="382"/>
      <c r="DH346" s="382"/>
      <c r="DI346" s="382"/>
      <c r="DJ346" s="382"/>
      <c r="DK346" s="81"/>
      <c r="DL346" s="81"/>
      <c r="DM346" s="81"/>
      <c r="DN346" s="81"/>
      <c r="DO346" s="81"/>
      <c r="DP346" s="81"/>
      <c r="DX346" s="81"/>
      <c r="DY346" s="81"/>
      <c r="DZ346" s="331"/>
      <c r="EA346" s="392"/>
      <c r="EB346" s="1499" t="s">
        <v>73</v>
      </c>
      <c r="EC346" s="727" t="s">
        <v>1569</v>
      </c>
      <c r="ED346" s="1101">
        <v>0.5</v>
      </c>
      <c r="EE346" s="331"/>
      <c r="EF346" s="1179"/>
      <c r="EG346" s="81"/>
      <c r="EJ346" s="81"/>
      <c r="EK346" s="377"/>
      <c r="EL346" s="377"/>
      <c r="EM346" s="81"/>
      <c r="EN346" s="377"/>
      <c r="EO346" s="377"/>
      <c r="EP346" s="377"/>
      <c r="EQ346" s="377"/>
      <c r="ER346" s="377"/>
      <c r="ES346" s="702"/>
      <c r="ET346" s="702"/>
      <c r="EU346" s="1023"/>
      <c r="EV346" s="368"/>
      <c r="EW346" s="368"/>
      <c r="EX346" s="369"/>
      <c r="EY346" s="370"/>
      <c r="EZ346" s="370"/>
      <c r="FA346" s="371"/>
      <c r="FB346" s="372"/>
    </row>
    <row r="347" spans="1:158" ht="34.5" customHeight="1">
      <c r="A347" s="1800"/>
      <c r="B347" s="1800"/>
      <c r="C347" s="1800"/>
      <c r="D347" s="1800"/>
      <c r="E347" s="1800"/>
      <c r="F347" s="1800"/>
      <c r="G347" s="308"/>
      <c r="CX347" s="461"/>
      <c r="CY347" s="349"/>
      <c r="CZ347" s="349"/>
      <c r="DA347" s="460"/>
      <c r="DB347" s="349"/>
      <c r="DC347" s="349"/>
      <c r="DD347" s="375"/>
      <c r="DE347" s="81"/>
      <c r="DF347" s="81"/>
      <c r="DG347" s="382"/>
      <c r="DH347" s="382"/>
      <c r="DI347" s="382"/>
      <c r="DJ347" s="382"/>
      <c r="DK347" s="81"/>
      <c r="DL347" s="81"/>
      <c r="DM347" s="81"/>
      <c r="DN347" s="81"/>
      <c r="DO347" s="81"/>
      <c r="DP347" s="81"/>
      <c r="DX347" s="81"/>
      <c r="DY347" s="81"/>
      <c r="DZ347" s="331"/>
      <c r="EA347" s="392"/>
      <c r="EB347" s="1499" t="s">
        <v>1655</v>
      </c>
      <c r="EC347" s="727" t="s">
        <v>1569</v>
      </c>
      <c r="ED347" s="1101">
        <v>0.5</v>
      </c>
      <c r="EE347" s="331"/>
      <c r="EF347" s="1179"/>
      <c r="EG347" s="81"/>
      <c r="EJ347" s="81"/>
      <c r="EK347" s="377"/>
      <c r="EL347" s="377"/>
      <c r="EM347" s="81"/>
      <c r="EN347" s="377"/>
      <c r="EO347" s="377"/>
      <c r="EP347" s="377"/>
      <c r="EQ347" s="377"/>
      <c r="ER347" s="377"/>
      <c r="ES347" s="702"/>
      <c r="ET347" s="702"/>
      <c r="EU347" s="1023"/>
      <c r="EV347" s="368"/>
      <c r="EW347" s="368"/>
      <c r="EX347" s="369"/>
      <c r="EY347" s="370"/>
      <c r="EZ347" s="370"/>
      <c r="FA347" s="371"/>
      <c r="FB347" s="372"/>
    </row>
    <row r="348" spans="1:158" ht="34.5" customHeight="1">
      <c r="A348" s="1798"/>
      <c r="B348" s="1798"/>
      <c r="C348" s="1798"/>
      <c r="D348" s="1798"/>
      <c r="E348" s="1798"/>
      <c r="F348" s="1798"/>
      <c r="G348" s="308"/>
      <c r="CX348" s="461"/>
      <c r="CY348" s="349"/>
      <c r="CZ348" s="349"/>
      <c r="DA348" s="460"/>
      <c r="DB348" s="349"/>
      <c r="DC348" s="349"/>
      <c r="DD348" s="375"/>
      <c r="DE348" s="81"/>
      <c r="DF348" s="81"/>
      <c r="DG348" s="382"/>
      <c r="DH348" s="382"/>
      <c r="DI348" s="382"/>
      <c r="DJ348" s="382"/>
      <c r="DK348" s="81"/>
      <c r="DL348" s="81"/>
      <c r="DM348" s="81"/>
      <c r="DN348" s="81"/>
      <c r="DO348" s="81"/>
      <c r="DP348" s="81"/>
      <c r="DX348" s="81"/>
      <c r="DY348" s="81"/>
      <c r="DZ348" s="331"/>
      <c r="EA348" s="392"/>
      <c r="EB348" s="1499" t="s">
        <v>1212</v>
      </c>
      <c r="EC348" s="727" t="s">
        <v>1569</v>
      </c>
      <c r="ED348" s="1101">
        <v>0.5</v>
      </c>
      <c r="EE348" s="331"/>
      <c r="EF348" s="1179"/>
      <c r="EG348" s="81"/>
      <c r="EJ348" s="81"/>
      <c r="EK348" s="377"/>
      <c r="EL348" s="377"/>
      <c r="EM348" s="81"/>
      <c r="EN348" s="377"/>
      <c r="EO348" s="377"/>
      <c r="EP348" s="377"/>
      <c r="EQ348" s="377"/>
      <c r="ER348" s="377"/>
      <c r="ES348" s="702"/>
      <c r="ET348" s="702"/>
      <c r="EU348" s="1023"/>
      <c r="EV348" s="368"/>
      <c r="EW348" s="368"/>
      <c r="EX348" s="369"/>
      <c r="EY348" s="370"/>
      <c r="EZ348" s="370"/>
      <c r="FA348" s="371"/>
      <c r="FB348" s="372"/>
    </row>
    <row r="349" spans="1:158" ht="34.5" customHeight="1">
      <c r="A349" s="1798"/>
      <c r="B349" s="1798"/>
      <c r="C349" s="1798"/>
      <c r="D349" s="1798"/>
      <c r="E349" s="1798"/>
      <c r="F349" s="1798"/>
      <c r="G349" s="308"/>
      <c r="DD349" s="5"/>
      <c r="DE349" s="81"/>
      <c r="DF349" s="81"/>
      <c r="DG349" s="382"/>
      <c r="DH349" s="382"/>
      <c r="DI349" s="382"/>
      <c r="DJ349" s="382"/>
      <c r="DK349" s="81"/>
      <c r="DL349" s="81"/>
      <c r="DM349" s="81"/>
      <c r="DN349" s="81"/>
      <c r="DO349" s="81"/>
      <c r="DP349" s="81"/>
      <c r="DX349" s="81"/>
      <c r="DY349" s="81"/>
      <c r="DZ349" s="331"/>
      <c r="EA349" s="392"/>
      <c r="EB349" s="1499" t="s">
        <v>418</v>
      </c>
      <c r="EC349" s="727" t="s">
        <v>1569</v>
      </c>
      <c r="ED349" s="1101">
        <v>0.5</v>
      </c>
      <c r="EE349" s="331"/>
      <c r="EF349" s="1179"/>
      <c r="EG349" s="81"/>
      <c r="EJ349" s="81"/>
      <c r="EK349" s="377"/>
      <c r="EL349" s="377"/>
      <c r="EM349" s="81"/>
      <c r="EN349" s="377"/>
      <c r="EO349" s="377"/>
      <c r="EP349" s="377"/>
      <c r="EQ349" s="377"/>
      <c r="ER349" s="377"/>
      <c r="ES349" s="702"/>
      <c r="ET349" s="702"/>
      <c r="EU349" s="1023"/>
      <c r="EV349" s="368"/>
      <c r="EW349" s="368"/>
      <c r="EX349" s="369"/>
      <c r="EY349" s="370"/>
      <c r="EZ349" s="370"/>
      <c r="FA349" s="371"/>
      <c r="FB349" s="372"/>
    </row>
    <row r="350" spans="1:158" ht="34.5" customHeight="1">
      <c r="A350" s="1798"/>
      <c r="B350" s="1798"/>
      <c r="C350" s="1798"/>
      <c r="D350" s="1798"/>
      <c r="E350" s="1798"/>
      <c r="F350" s="1798"/>
      <c r="G350" s="308"/>
      <c r="DD350" s="5"/>
      <c r="DE350" s="81"/>
      <c r="DF350" s="81"/>
      <c r="DG350" s="382"/>
      <c r="DH350" s="382"/>
      <c r="DI350" s="382"/>
      <c r="DJ350" s="382"/>
      <c r="DK350" s="81"/>
      <c r="DL350" s="81"/>
      <c r="DM350" s="81"/>
      <c r="DN350" s="81"/>
      <c r="DO350" s="81"/>
      <c r="DP350" s="81"/>
      <c r="DX350" s="81"/>
      <c r="DY350" s="81"/>
      <c r="DZ350" s="331"/>
      <c r="EA350" s="392"/>
      <c r="EB350" s="1499" t="s">
        <v>1287</v>
      </c>
      <c r="EC350" s="730" t="s">
        <v>1567</v>
      </c>
      <c r="ED350" s="1101">
        <v>0.5</v>
      </c>
      <c r="EE350" s="331"/>
      <c r="EF350" s="1179"/>
      <c r="EG350" s="81"/>
      <c r="EJ350" s="81"/>
      <c r="EK350" s="377"/>
      <c r="EL350" s="377"/>
      <c r="EM350" s="81"/>
      <c r="EN350" s="377"/>
      <c r="EO350" s="377"/>
      <c r="EP350" s="377"/>
      <c r="EQ350" s="377"/>
      <c r="ER350" s="377"/>
      <c r="ES350" s="702"/>
      <c r="ET350" s="702"/>
      <c r="EU350" s="1023"/>
      <c r="EV350" s="368"/>
      <c r="EW350" s="368"/>
      <c r="EX350" s="369"/>
      <c r="EY350" s="370"/>
      <c r="EZ350" s="370"/>
      <c r="FA350" s="371"/>
      <c r="FB350" s="372"/>
    </row>
    <row r="351" spans="1:158" ht="34.5" customHeight="1">
      <c r="A351" s="1798"/>
      <c r="B351" s="1798"/>
      <c r="C351" s="1798"/>
      <c r="D351" s="1798"/>
      <c r="E351" s="1798"/>
      <c r="F351" s="1798"/>
      <c r="G351" s="308"/>
      <c r="DD351" s="5"/>
      <c r="DE351" s="81"/>
      <c r="DF351" s="81"/>
      <c r="DG351" s="382"/>
      <c r="DH351" s="382"/>
      <c r="DI351" s="382"/>
      <c r="DJ351" s="382"/>
      <c r="DK351" s="81"/>
      <c r="DL351" s="81"/>
      <c r="DM351" s="81"/>
      <c r="DN351" s="81"/>
      <c r="DO351" s="81"/>
      <c r="DP351" s="81"/>
      <c r="DX351" s="81"/>
      <c r="DY351" s="81"/>
      <c r="DZ351" s="331"/>
      <c r="EA351" s="392"/>
      <c r="EB351" s="1499" t="s">
        <v>1287</v>
      </c>
      <c r="EC351" s="730" t="s">
        <v>1761</v>
      </c>
      <c r="ED351" s="1101">
        <v>0.5</v>
      </c>
      <c r="EE351" s="331"/>
      <c r="EF351" s="1179"/>
      <c r="EG351" s="81"/>
      <c r="EJ351" s="81"/>
      <c r="EK351" s="377"/>
      <c r="EL351" s="377"/>
      <c r="EM351" s="81"/>
      <c r="EN351" s="377"/>
      <c r="EO351" s="377"/>
      <c r="EP351" s="377"/>
      <c r="EQ351" s="377"/>
      <c r="ER351" s="377"/>
      <c r="ES351" s="702"/>
      <c r="ET351" s="702"/>
      <c r="EU351" s="1023"/>
      <c r="EV351" s="368"/>
      <c r="EW351" s="368"/>
      <c r="EX351" s="369"/>
      <c r="EY351" s="370"/>
      <c r="EZ351" s="370"/>
      <c r="FA351" s="371"/>
      <c r="FB351" s="372"/>
    </row>
    <row r="352" spans="1:158" ht="34.5" customHeight="1">
      <c r="A352" s="1798"/>
      <c r="B352" s="1798"/>
      <c r="C352" s="1798"/>
      <c r="D352" s="1798"/>
      <c r="E352" s="1798"/>
      <c r="F352" s="1798"/>
      <c r="G352" s="308"/>
      <c r="DD352" s="5"/>
      <c r="DE352" s="81"/>
      <c r="DF352" s="81"/>
      <c r="DG352" s="382"/>
      <c r="DH352" s="382"/>
      <c r="DI352" s="382"/>
      <c r="DJ352" s="382"/>
      <c r="DK352" s="81"/>
      <c r="DL352" s="81"/>
      <c r="DM352" s="81"/>
      <c r="DN352" s="81"/>
      <c r="DO352" s="81"/>
      <c r="DP352" s="81"/>
      <c r="DX352" s="81"/>
      <c r="DY352" s="81"/>
      <c r="DZ352" s="331"/>
      <c r="EA352" s="392"/>
      <c r="EB352" s="1499" t="s">
        <v>1287</v>
      </c>
      <c r="EC352" s="730" t="s">
        <v>1745</v>
      </c>
      <c r="ED352" s="1101">
        <v>0.5</v>
      </c>
      <c r="EE352" s="331"/>
      <c r="EF352" s="1179"/>
      <c r="EG352" s="81"/>
      <c r="EJ352" s="81"/>
      <c r="EK352" s="377"/>
      <c r="EL352" s="377"/>
      <c r="EM352" s="81"/>
      <c r="EN352" s="377"/>
      <c r="EO352" s="377"/>
      <c r="EP352" s="377"/>
      <c r="EQ352" s="377"/>
      <c r="ER352" s="377"/>
      <c r="ES352" s="702"/>
      <c r="ET352" s="702"/>
      <c r="EU352" s="1023"/>
      <c r="EV352" s="368"/>
      <c r="EW352" s="368"/>
      <c r="EX352" s="369"/>
      <c r="EY352" s="370"/>
      <c r="EZ352" s="370"/>
      <c r="FA352" s="371"/>
      <c r="FB352" s="372"/>
    </row>
    <row r="353" spans="1:158" ht="34.5" customHeight="1">
      <c r="A353" s="1798"/>
      <c r="B353" s="1798"/>
      <c r="C353" s="1798"/>
      <c r="D353" s="1798"/>
      <c r="E353" s="1798"/>
      <c r="F353" s="1798"/>
      <c r="G353" s="308"/>
      <c r="DD353" s="5"/>
      <c r="DE353" s="81"/>
      <c r="DF353" s="81"/>
      <c r="DG353" s="382"/>
      <c r="DH353" s="382"/>
      <c r="DI353" s="382"/>
      <c r="DJ353" s="382"/>
      <c r="DK353" s="81"/>
      <c r="DL353" s="81"/>
      <c r="DM353" s="81"/>
      <c r="DN353" s="81"/>
      <c r="DO353" s="81"/>
      <c r="DP353" s="81"/>
      <c r="DX353" s="81"/>
      <c r="DY353" s="81"/>
      <c r="DZ353" s="331"/>
      <c r="EA353" s="392"/>
      <c r="EB353" s="1499" t="s">
        <v>1287</v>
      </c>
      <c r="EC353" s="730" t="s">
        <v>1746</v>
      </c>
      <c r="ED353" s="1101">
        <v>0.5</v>
      </c>
      <c r="EE353" s="375"/>
      <c r="EF353" s="1179"/>
      <c r="EG353" s="81"/>
      <c r="EH353" s="331"/>
      <c r="EJ353" s="81"/>
      <c r="EK353" s="377"/>
      <c r="EL353" s="377"/>
      <c r="EM353" s="81"/>
      <c r="EN353" s="377"/>
      <c r="EO353" s="377"/>
      <c r="EP353" s="377"/>
      <c r="EQ353" s="377"/>
      <c r="ER353" s="377"/>
      <c r="ES353" s="702"/>
      <c r="ET353" s="702"/>
      <c r="EU353" s="1023"/>
      <c r="EV353" s="368"/>
      <c r="EW353" s="368"/>
      <c r="EX353" s="369"/>
      <c r="EY353" s="370"/>
      <c r="EZ353" s="370"/>
      <c r="FA353" s="371"/>
      <c r="FB353" s="372"/>
    </row>
    <row r="354" spans="1:158" ht="34.5" customHeight="1">
      <c r="A354" s="1798"/>
      <c r="B354" s="1798"/>
      <c r="C354" s="1798"/>
      <c r="D354" s="1798"/>
      <c r="E354" s="1798"/>
      <c r="F354" s="1798"/>
      <c r="G354" s="308"/>
      <c r="DD354" s="5"/>
      <c r="DE354" s="81"/>
      <c r="DF354" s="81"/>
      <c r="DG354" s="382"/>
      <c r="DH354" s="382"/>
      <c r="DI354" s="382"/>
      <c r="DJ354" s="382"/>
      <c r="DK354" s="81"/>
      <c r="DL354" s="81"/>
      <c r="DM354" s="81"/>
      <c r="DN354" s="81"/>
      <c r="DO354" s="81"/>
      <c r="DP354" s="81"/>
      <c r="DX354" s="81"/>
      <c r="DY354" s="81"/>
      <c r="DZ354" s="331"/>
      <c r="EA354" s="392"/>
      <c r="EB354" s="1499" t="s">
        <v>1287</v>
      </c>
      <c r="EC354" s="730" t="s">
        <v>1747</v>
      </c>
      <c r="ED354" s="1101">
        <v>0.5</v>
      </c>
      <c r="EE354" s="375"/>
      <c r="EF354" s="1179"/>
      <c r="EG354" s="81"/>
      <c r="EH354" s="331"/>
      <c r="EJ354" s="81"/>
      <c r="EK354" s="377"/>
      <c r="EL354" s="377"/>
      <c r="EM354" s="81"/>
      <c r="EN354" s="377"/>
      <c r="EO354" s="377"/>
      <c r="EP354" s="377"/>
      <c r="EQ354" s="377"/>
      <c r="ER354" s="377"/>
      <c r="ES354" s="702"/>
      <c r="ET354" s="702"/>
      <c r="EU354" s="1023"/>
      <c r="EV354" s="368"/>
      <c r="EW354" s="368"/>
      <c r="EX354" s="369"/>
      <c r="EY354" s="370"/>
      <c r="EZ354" s="370"/>
      <c r="FA354" s="371"/>
      <c r="FB354" s="372"/>
    </row>
    <row r="355" spans="1:158" ht="34.5" customHeight="1">
      <c r="A355" s="1798"/>
      <c r="B355" s="1798"/>
      <c r="C355" s="1798"/>
      <c r="D355" s="1798"/>
      <c r="E355" s="1798"/>
      <c r="F355" s="1798"/>
      <c r="G355" s="308"/>
      <c r="DD355" s="5"/>
      <c r="DE355" s="81"/>
      <c r="DF355" s="81"/>
      <c r="DG355" s="382"/>
      <c r="DH355" s="382"/>
      <c r="DI355" s="382"/>
      <c r="DJ355" s="382"/>
      <c r="DK355" s="81"/>
      <c r="DL355" s="81"/>
      <c r="DM355" s="81"/>
      <c r="DN355" s="81"/>
      <c r="DO355" s="81"/>
      <c r="DP355" s="81"/>
      <c r="DX355" s="81"/>
      <c r="DY355" s="81"/>
      <c r="DZ355" s="331"/>
      <c r="EA355" s="392"/>
      <c r="EB355" s="1499" t="s">
        <v>1287</v>
      </c>
      <c r="EC355" s="730" t="s">
        <v>1748</v>
      </c>
      <c r="ED355" s="1101">
        <v>0.5</v>
      </c>
      <c r="EE355" s="375"/>
      <c r="EF355" s="1179"/>
      <c r="EG355" s="81"/>
      <c r="EH355" s="361"/>
      <c r="EJ355" s="81"/>
      <c r="EK355" s="377"/>
      <c r="EL355" s="377"/>
      <c r="EM355" s="81"/>
      <c r="EN355" s="377"/>
      <c r="EO355" s="377"/>
      <c r="EP355" s="377"/>
      <c r="EQ355" s="377"/>
      <c r="ER355" s="377"/>
      <c r="ES355" s="702"/>
      <c r="ET355" s="702"/>
      <c r="EU355" s="1023"/>
      <c r="EV355" s="368"/>
      <c r="EW355" s="368"/>
      <c r="EX355" s="369"/>
      <c r="EY355" s="370"/>
      <c r="EZ355" s="370"/>
      <c r="FA355" s="371"/>
      <c r="FB355" s="372"/>
    </row>
    <row r="356" spans="1:158" ht="34.5" customHeight="1">
      <c r="A356" s="1798"/>
      <c r="B356" s="1798"/>
      <c r="C356" s="1798"/>
      <c r="D356" s="1798"/>
      <c r="E356" s="1798"/>
      <c r="F356" s="1798"/>
      <c r="G356" s="308"/>
      <c r="DD356" s="5"/>
      <c r="DE356" s="81"/>
      <c r="DF356" s="81"/>
      <c r="DG356" s="382"/>
      <c r="DH356" s="382"/>
      <c r="DI356" s="382"/>
      <c r="DJ356" s="382"/>
      <c r="DK356" s="81"/>
      <c r="DL356" s="81"/>
      <c r="DM356" s="81"/>
      <c r="DN356" s="81"/>
      <c r="DO356" s="81"/>
      <c r="DP356" s="81"/>
      <c r="DX356" s="81"/>
      <c r="DY356" s="81"/>
      <c r="DZ356" s="331"/>
      <c r="EA356" s="392"/>
      <c r="EB356" s="1499" t="s">
        <v>1287</v>
      </c>
      <c r="EC356" s="730" t="s">
        <v>1749</v>
      </c>
      <c r="ED356" s="1101">
        <v>0.5</v>
      </c>
      <c r="EE356" s="331"/>
      <c r="EF356" s="1179"/>
      <c r="EG356" s="81"/>
      <c r="EH356" s="331"/>
      <c r="EJ356" s="81"/>
      <c r="EK356" s="377"/>
      <c r="EL356" s="377"/>
      <c r="EM356" s="81"/>
      <c r="EN356" s="377"/>
      <c r="EO356" s="377"/>
      <c r="EP356" s="377"/>
      <c r="EQ356" s="377"/>
      <c r="ER356" s="377"/>
      <c r="ES356" s="702"/>
      <c r="ET356" s="702"/>
      <c r="EU356" s="1023"/>
      <c r="EV356" s="368"/>
      <c r="EW356" s="368"/>
      <c r="EX356" s="369"/>
      <c r="EY356" s="370"/>
      <c r="EZ356" s="370"/>
      <c r="FA356" s="371"/>
      <c r="FB356" s="372"/>
    </row>
    <row r="357" spans="1:158" ht="34.5" customHeight="1">
      <c r="A357" s="1798"/>
      <c r="B357" s="1798"/>
      <c r="C357" s="1798"/>
      <c r="D357" s="1798"/>
      <c r="E357" s="1798"/>
      <c r="F357" s="1798"/>
      <c r="G357" s="308"/>
      <c r="DD357" s="5"/>
      <c r="DE357" s="81"/>
      <c r="DF357" s="81"/>
      <c r="DG357" s="382"/>
      <c r="DH357" s="382"/>
      <c r="DI357" s="382"/>
      <c r="DJ357" s="382"/>
      <c r="DK357" s="81"/>
      <c r="DL357" s="81"/>
      <c r="DM357" s="81"/>
      <c r="DN357" s="81"/>
      <c r="DO357" s="81"/>
      <c r="DP357" s="81"/>
      <c r="DX357" s="81"/>
      <c r="DY357" s="81"/>
      <c r="DZ357" s="331"/>
      <c r="EA357" s="392"/>
      <c r="EB357" s="1499" t="s">
        <v>1287</v>
      </c>
      <c r="EC357" s="730" t="s">
        <v>1750</v>
      </c>
      <c r="ED357" s="1101">
        <v>0.5</v>
      </c>
      <c r="EE357" s="331"/>
      <c r="EF357" s="1179"/>
      <c r="EG357" s="81"/>
      <c r="EH357" s="331"/>
      <c r="EJ357" s="81"/>
      <c r="EK357" s="377"/>
      <c r="EL357" s="377"/>
      <c r="EM357" s="81"/>
      <c r="EN357" s="377"/>
      <c r="EO357" s="377"/>
      <c r="EP357" s="377"/>
      <c r="EQ357" s="377"/>
      <c r="ER357" s="377"/>
      <c r="ES357" s="702"/>
      <c r="ET357" s="702"/>
      <c r="EU357" s="1023"/>
      <c r="EV357" s="368"/>
      <c r="EW357" s="368"/>
      <c r="EX357" s="369"/>
      <c r="EY357" s="370"/>
      <c r="EZ357" s="370"/>
      <c r="FA357" s="371"/>
      <c r="FB357" s="372"/>
    </row>
    <row r="358" spans="1:158" ht="34.5" customHeight="1">
      <c r="A358" s="1798"/>
      <c r="B358" s="1798"/>
      <c r="C358" s="1798"/>
      <c r="D358" s="1798"/>
      <c r="E358" s="1798"/>
      <c r="F358" s="1798"/>
      <c r="G358" s="308"/>
      <c r="DD358" s="5"/>
      <c r="DE358" s="81"/>
      <c r="DF358" s="81"/>
      <c r="DG358" s="382"/>
      <c r="DH358" s="382"/>
      <c r="DI358" s="382"/>
      <c r="DJ358" s="382"/>
      <c r="DK358" s="81"/>
      <c r="DL358" s="81"/>
      <c r="DM358" s="81"/>
      <c r="DN358" s="81"/>
      <c r="DO358" s="81"/>
      <c r="DP358" s="81"/>
      <c r="DX358" s="81"/>
      <c r="DY358" s="81"/>
      <c r="DZ358" s="331"/>
      <c r="EA358" s="392"/>
      <c r="EB358" s="1499" t="s">
        <v>1287</v>
      </c>
      <c r="EC358" s="730" t="s">
        <v>1751</v>
      </c>
      <c r="ED358" s="1101">
        <v>0.5</v>
      </c>
      <c r="EE358" s="331"/>
      <c r="EF358" s="1179"/>
      <c r="EG358" s="81"/>
      <c r="EH358" s="331"/>
      <c r="EJ358" s="81"/>
      <c r="EK358" s="377"/>
      <c r="EL358" s="377"/>
      <c r="EM358" s="81"/>
      <c r="EN358" s="377"/>
      <c r="EO358" s="377"/>
      <c r="EP358" s="377"/>
      <c r="EQ358" s="377"/>
      <c r="ER358" s="377"/>
      <c r="ES358" s="702"/>
      <c r="ET358" s="702"/>
      <c r="EU358" s="1023"/>
      <c r="EV358" s="368"/>
      <c r="EW358" s="368"/>
      <c r="EX358" s="369"/>
      <c r="EY358" s="370"/>
      <c r="EZ358" s="370"/>
      <c r="FA358" s="371"/>
      <c r="FB358" s="372"/>
    </row>
    <row r="359" spans="1:158" ht="34.5" customHeight="1">
      <c r="A359" s="1798"/>
      <c r="B359" s="1798"/>
      <c r="C359" s="1798"/>
      <c r="D359" s="1798"/>
      <c r="E359" s="1798"/>
      <c r="F359" s="1798"/>
      <c r="G359" s="308"/>
      <c r="DD359" s="5"/>
      <c r="DE359" s="81"/>
      <c r="DF359" s="81"/>
      <c r="DG359" s="382"/>
      <c r="DH359" s="382"/>
      <c r="DI359" s="382"/>
      <c r="DJ359" s="382"/>
      <c r="DK359" s="81"/>
      <c r="DL359" s="81"/>
      <c r="DM359" s="81"/>
      <c r="DN359" s="81"/>
      <c r="DO359" s="81"/>
      <c r="DP359" s="81"/>
      <c r="DX359" s="81"/>
      <c r="DY359" s="81"/>
      <c r="DZ359" s="331"/>
      <c r="EA359" s="392"/>
      <c r="EB359" s="1499" t="s">
        <v>1287</v>
      </c>
      <c r="EC359" s="730" t="s">
        <v>1752</v>
      </c>
      <c r="ED359" s="1101">
        <v>0.5</v>
      </c>
      <c r="EE359" s="375"/>
      <c r="EF359" s="1179"/>
      <c r="EG359" s="81"/>
      <c r="EH359" s="331"/>
      <c r="EJ359" s="81"/>
      <c r="EK359" s="377"/>
      <c r="EL359" s="377"/>
      <c r="EM359" s="81"/>
      <c r="EN359" s="377"/>
      <c r="EO359" s="377"/>
      <c r="EP359" s="377"/>
      <c r="EQ359" s="377"/>
      <c r="ER359" s="377"/>
      <c r="ES359" s="702"/>
      <c r="ET359" s="702"/>
      <c r="EU359" s="1023"/>
      <c r="EV359" s="368"/>
      <c r="EW359" s="368"/>
      <c r="EX359" s="369"/>
      <c r="EY359" s="370"/>
      <c r="EZ359" s="370"/>
      <c r="FA359" s="371"/>
      <c r="FB359" s="372"/>
    </row>
    <row r="360" spans="1:158" ht="34.5" customHeight="1">
      <c r="A360" s="1798"/>
      <c r="B360" s="1798"/>
      <c r="C360" s="1798"/>
      <c r="D360" s="1798"/>
      <c r="E360" s="1798"/>
      <c r="F360" s="1798"/>
      <c r="G360" s="308"/>
      <c r="DD360" s="5"/>
      <c r="DE360" s="81"/>
      <c r="DF360" s="81"/>
      <c r="DG360" s="382"/>
      <c r="DH360" s="382"/>
      <c r="DI360" s="382"/>
      <c r="DJ360" s="382"/>
      <c r="DK360" s="81"/>
      <c r="DL360" s="81"/>
      <c r="DM360" s="81"/>
      <c r="DN360" s="81"/>
      <c r="DO360" s="81"/>
      <c r="DP360" s="81"/>
      <c r="DX360" s="81"/>
      <c r="DY360" s="81"/>
      <c r="DZ360" s="331"/>
      <c r="EA360" s="392"/>
      <c r="EB360" s="1499" t="s">
        <v>1287</v>
      </c>
      <c r="EC360" s="730" t="s">
        <v>1753</v>
      </c>
      <c r="ED360" s="1101">
        <v>0.5</v>
      </c>
      <c r="EE360" s="375"/>
      <c r="EF360" s="1179"/>
      <c r="EG360" s="81"/>
      <c r="EH360" s="331"/>
      <c r="EJ360" s="81"/>
      <c r="EK360" s="377"/>
      <c r="EL360" s="377"/>
      <c r="EM360" s="81"/>
      <c r="EN360" s="377"/>
      <c r="EO360" s="377"/>
      <c r="EP360" s="377"/>
      <c r="EQ360" s="377"/>
      <c r="ER360" s="377"/>
      <c r="ES360" s="702"/>
      <c r="ET360" s="702"/>
      <c r="EU360" s="1023"/>
      <c r="EV360" s="368"/>
      <c r="EW360" s="368"/>
      <c r="EX360" s="369"/>
      <c r="EY360" s="370"/>
      <c r="EZ360" s="370"/>
      <c r="FA360" s="371"/>
      <c r="FB360" s="372"/>
    </row>
    <row r="361" spans="1:158" ht="34.5" customHeight="1">
      <c r="A361" s="1798"/>
      <c r="B361" s="1798"/>
      <c r="C361" s="1798"/>
      <c r="D361" s="1798"/>
      <c r="E361" s="1798"/>
      <c r="F361" s="1798"/>
      <c r="G361" s="308"/>
      <c r="DD361" s="5"/>
      <c r="DE361" s="81"/>
      <c r="DF361" s="81"/>
      <c r="DG361" s="382"/>
      <c r="DH361" s="382"/>
      <c r="DI361" s="382"/>
      <c r="DJ361" s="382"/>
      <c r="DK361" s="81"/>
      <c r="DL361" s="81"/>
      <c r="DM361" s="81"/>
      <c r="DN361" s="81"/>
      <c r="DO361" s="81"/>
      <c r="DP361" s="81"/>
      <c r="DX361" s="81"/>
      <c r="DY361" s="81"/>
      <c r="DZ361" s="331"/>
      <c r="EA361" s="392"/>
      <c r="EB361" s="1499" t="s">
        <v>1287</v>
      </c>
      <c r="EC361" s="730" t="s">
        <v>1754</v>
      </c>
      <c r="ED361" s="1101">
        <v>0.5</v>
      </c>
      <c r="EE361" s="375"/>
      <c r="EF361" s="1179"/>
      <c r="EG361" s="81"/>
      <c r="EH361" s="331"/>
      <c r="EJ361" s="81"/>
      <c r="EK361" s="377"/>
      <c r="EL361" s="377"/>
      <c r="EM361" s="81"/>
      <c r="EN361" s="377"/>
      <c r="EO361" s="377"/>
      <c r="EP361" s="377"/>
      <c r="EQ361" s="377"/>
      <c r="ER361" s="377"/>
      <c r="ES361" s="702"/>
      <c r="ET361" s="702"/>
      <c r="EU361" s="1023"/>
      <c r="EV361" s="368"/>
      <c r="EW361" s="368"/>
      <c r="EX361" s="369"/>
      <c r="EY361" s="370"/>
      <c r="EZ361" s="370"/>
      <c r="FA361" s="371"/>
      <c r="FB361" s="372"/>
    </row>
    <row r="362" spans="1:158" ht="34.5" customHeight="1">
      <c r="A362" s="1798"/>
      <c r="B362" s="1798"/>
      <c r="C362" s="1798"/>
      <c r="D362" s="1798"/>
      <c r="E362" s="1798"/>
      <c r="F362" s="1798"/>
      <c r="G362" s="308"/>
      <c r="DD362" s="5"/>
      <c r="DE362" s="81"/>
      <c r="DF362" s="81"/>
      <c r="DG362" s="382"/>
      <c r="DH362" s="382"/>
      <c r="DI362" s="382"/>
      <c r="DJ362" s="382"/>
      <c r="DK362" s="81"/>
      <c r="DL362" s="81"/>
      <c r="DM362" s="81"/>
      <c r="DN362" s="81"/>
      <c r="DO362" s="81"/>
      <c r="DP362" s="81"/>
      <c r="DX362" s="81"/>
      <c r="DY362" s="81"/>
      <c r="DZ362" s="331"/>
      <c r="EA362" s="392"/>
      <c r="EB362" s="1499" t="s">
        <v>1287</v>
      </c>
      <c r="EC362" s="730" t="s">
        <v>1755</v>
      </c>
      <c r="ED362" s="1101">
        <v>0.5</v>
      </c>
      <c r="EE362" s="331"/>
      <c r="EF362" s="1179"/>
      <c r="EG362" s="81"/>
      <c r="EH362" s="331"/>
      <c r="EJ362" s="81"/>
      <c r="EK362" s="377"/>
      <c r="EL362" s="377"/>
      <c r="EM362" s="81"/>
      <c r="EN362" s="377"/>
      <c r="EO362" s="377"/>
      <c r="EP362" s="377"/>
      <c r="EQ362" s="377"/>
      <c r="ER362" s="377"/>
      <c r="ES362" s="702"/>
      <c r="ET362" s="702"/>
      <c r="EU362" s="1023"/>
      <c r="EV362" s="368"/>
      <c r="EW362" s="368"/>
      <c r="EX362" s="369"/>
      <c r="EY362" s="370"/>
      <c r="EZ362" s="370"/>
      <c r="FA362" s="371"/>
      <c r="FB362" s="372"/>
    </row>
    <row r="363" spans="1:158" ht="34.5" customHeight="1">
      <c r="A363" s="1798"/>
      <c r="B363" s="1798"/>
      <c r="C363" s="1798"/>
      <c r="D363" s="1798"/>
      <c r="E363" s="1798"/>
      <c r="F363" s="1798"/>
      <c r="G363" s="308"/>
      <c r="DD363" s="5"/>
      <c r="DE363" s="81"/>
      <c r="DF363" s="81"/>
      <c r="DG363" s="382"/>
      <c r="DH363" s="382"/>
      <c r="DI363" s="382"/>
      <c r="DJ363" s="382"/>
      <c r="DK363" s="81"/>
      <c r="DL363" s="81"/>
      <c r="DM363" s="81"/>
      <c r="DN363" s="81"/>
      <c r="DO363" s="81"/>
      <c r="DP363" s="81"/>
      <c r="DX363" s="81"/>
      <c r="DY363" s="81"/>
      <c r="DZ363" s="331"/>
      <c r="EA363" s="392"/>
      <c r="EB363" s="1499" t="s">
        <v>1287</v>
      </c>
      <c r="EC363" s="730" t="s">
        <v>1756</v>
      </c>
      <c r="ED363" s="1101">
        <v>0.5</v>
      </c>
      <c r="EE363" s="331"/>
      <c r="EF363" s="1179"/>
      <c r="EG363" s="81"/>
      <c r="EH363" s="331"/>
      <c r="EJ363" s="81"/>
      <c r="EK363" s="377"/>
      <c r="EL363" s="377"/>
      <c r="EM363" s="81"/>
      <c r="EN363" s="377"/>
      <c r="EO363" s="377"/>
      <c r="EP363" s="377"/>
      <c r="EQ363" s="377"/>
      <c r="ER363" s="377"/>
      <c r="ES363" s="702"/>
      <c r="ET363" s="702"/>
      <c r="EU363" s="1023"/>
      <c r="EV363" s="368"/>
      <c r="EW363" s="368"/>
      <c r="EX363" s="369"/>
      <c r="EY363" s="370"/>
      <c r="EZ363" s="370"/>
      <c r="FA363" s="371"/>
      <c r="FB363" s="372"/>
    </row>
    <row r="364" spans="1:158" ht="34.5" customHeight="1">
      <c r="A364" s="1798"/>
      <c r="B364" s="1798"/>
      <c r="C364" s="1798"/>
      <c r="D364" s="1798"/>
      <c r="E364" s="1798"/>
      <c r="F364" s="1798"/>
      <c r="G364" s="308"/>
      <c r="DD364" s="5"/>
      <c r="DE364" s="81"/>
      <c r="DF364" s="81"/>
      <c r="DG364" s="382"/>
      <c r="DH364" s="382"/>
      <c r="DI364" s="382"/>
      <c r="DJ364" s="382"/>
      <c r="DK364" s="81"/>
      <c r="DL364" s="81"/>
      <c r="DM364" s="81"/>
      <c r="DN364" s="81"/>
      <c r="DO364" s="81"/>
      <c r="DP364" s="81"/>
      <c r="DX364" s="81"/>
      <c r="DY364" s="81"/>
      <c r="DZ364" s="361"/>
      <c r="EA364" s="393"/>
      <c r="EB364" s="1499" t="s">
        <v>1287</v>
      </c>
      <c r="EC364" s="730" t="s">
        <v>1758</v>
      </c>
      <c r="ED364" s="1101">
        <v>0.5</v>
      </c>
      <c r="EE364" s="331"/>
      <c r="EF364" s="1179"/>
      <c r="EG364" s="81"/>
      <c r="EH364" s="331"/>
      <c r="EJ364" s="81"/>
      <c r="EK364" s="377"/>
      <c r="EL364" s="377"/>
      <c r="EM364" s="81"/>
      <c r="EN364" s="377"/>
      <c r="EO364" s="377"/>
      <c r="EP364" s="377"/>
      <c r="EQ364" s="377"/>
      <c r="ER364" s="377"/>
      <c r="ES364" s="702"/>
      <c r="ET364" s="702"/>
      <c r="EU364" s="1023"/>
      <c r="EV364" s="368"/>
      <c r="EW364" s="368"/>
      <c r="EX364" s="369"/>
      <c r="EY364" s="370"/>
      <c r="EZ364" s="370"/>
      <c r="FA364" s="371"/>
      <c r="FB364" s="372"/>
    </row>
    <row r="365" spans="1:158" ht="34.5" customHeight="1">
      <c r="DD365" s="5"/>
      <c r="DE365" s="81"/>
      <c r="DF365" s="81"/>
      <c r="DG365" s="382"/>
      <c r="DH365" s="382"/>
      <c r="DI365" s="382"/>
      <c r="DJ365" s="382"/>
      <c r="DK365" s="81"/>
      <c r="DL365" s="81"/>
      <c r="DM365" s="81"/>
      <c r="DN365" s="81"/>
      <c r="DO365" s="81"/>
      <c r="DP365" s="81"/>
      <c r="DX365" s="81"/>
      <c r="DY365" s="81"/>
      <c r="DZ365" s="356"/>
      <c r="EA365" s="394"/>
      <c r="EB365" s="1499" t="s">
        <v>1287</v>
      </c>
      <c r="EC365" s="730" t="s">
        <v>1758</v>
      </c>
      <c r="ED365" s="1101">
        <v>0.5</v>
      </c>
      <c r="EE365" s="331"/>
      <c r="EF365" s="1179"/>
      <c r="EG365" s="81"/>
      <c r="EH365" s="331"/>
      <c r="EJ365" s="81"/>
      <c r="EK365" s="377"/>
      <c r="EL365" s="377"/>
      <c r="EM365" s="81"/>
      <c r="EN365" s="377"/>
      <c r="EO365" s="377"/>
      <c r="EP365" s="377"/>
      <c r="EQ365" s="377"/>
      <c r="ER365" s="377"/>
      <c r="ES365" s="702"/>
      <c r="ET365" s="702"/>
      <c r="EU365" s="1023"/>
      <c r="EV365" s="368"/>
      <c r="EW365" s="368"/>
      <c r="EX365" s="369"/>
      <c r="EY365" s="370"/>
      <c r="EZ365" s="370"/>
      <c r="FA365" s="371"/>
      <c r="FB365" s="372"/>
    </row>
    <row r="366" spans="1:158" ht="34.5" customHeight="1">
      <c r="DD366" s="5"/>
      <c r="DE366" s="81"/>
      <c r="DF366" s="81"/>
      <c r="DG366" s="382"/>
      <c r="DH366" s="382"/>
      <c r="DI366" s="382"/>
      <c r="DJ366" s="382"/>
      <c r="DK366" s="81"/>
      <c r="DL366" s="81"/>
      <c r="DM366" s="81"/>
      <c r="DN366" s="81"/>
      <c r="DO366" s="81"/>
      <c r="DP366" s="81"/>
      <c r="DX366" s="81"/>
      <c r="DY366" s="81"/>
      <c r="DZ366" s="361"/>
      <c r="EA366" s="393"/>
      <c r="EB366" s="1499" t="s">
        <v>1287</v>
      </c>
      <c r="EC366" s="730" t="s">
        <v>1759</v>
      </c>
      <c r="ED366" s="1101">
        <v>0.5</v>
      </c>
      <c r="EE366" s="331"/>
      <c r="EF366" s="1179"/>
      <c r="EG366" s="81"/>
      <c r="EH366" s="331"/>
      <c r="EJ366" s="81"/>
      <c r="EK366" s="377"/>
      <c r="EL366" s="377"/>
      <c r="EM366" s="81"/>
      <c r="EN366" s="377"/>
      <c r="EO366" s="377"/>
      <c r="EP366" s="377"/>
      <c r="EQ366" s="377"/>
      <c r="ER366" s="377"/>
      <c r="ES366" s="702"/>
      <c r="ET366" s="702"/>
      <c r="EU366" s="1023"/>
      <c r="EV366" s="368"/>
      <c r="EW366" s="368"/>
      <c r="EX366" s="369"/>
      <c r="EY366" s="370"/>
      <c r="EZ366" s="370"/>
      <c r="FA366" s="371"/>
      <c r="FB366" s="372"/>
    </row>
    <row r="367" spans="1:158" ht="34.5" customHeight="1">
      <c r="DD367" s="5"/>
      <c r="DE367" s="81"/>
      <c r="DF367" s="81"/>
      <c r="DG367" s="81"/>
      <c r="DH367" s="81"/>
      <c r="DI367" s="81"/>
      <c r="DJ367" s="81"/>
      <c r="DK367" s="81"/>
      <c r="DL367" s="81"/>
      <c r="DM367" s="81"/>
      <c r="DN367" s="81"/>
      <c r="DO367" s="81"/>
      <c r="DP367" s="81"/>
      <c r="DX367" s="81"/>
      <c r="DY367" s="81"/>
      <c r="DZ367" s="331"/>
      <c r="EA367" s="392"/>
      <c r="EB367" s="1499" t="s">
        <v>1287</v>
      </c>
      <c r="EC367" s="730" t="s">
        <v>455</v>
      </c>
      <c r="ED367" s="1101">
        <v>0.5</v>
      </c>
      <c r="EE367" s="331"/>
      <c r="EF367" s="1179"/>
      <c r="EG367" s="81"/>
      <c r="EH367" s="331"/>
      <c r="EJ367" s="81"/>
      <c r="EK367" s="377"/>
      <c r="EL367" s="377"/>
      <c r="EM367" s="81"/>
      <c r="EN367" s="377"/>
      <c r="EO367" s="377"/>
      <c r="EP367" s="377"/>
      <c r="EQ367" s="377"/>
      <c r="ER367" s="377"/>
      <c r="ES367" s="702"/>
      <c r="ET367" s="702"/>
      <c r="EU367" s="1023"/>
      <c r="EV367" s="368"/>
      <c r="EW367" s="368"/>
      <c r="EX367" s="369"/>
      <c r="EY367" s="370"/>
      <c r="EZ367" s="370"/>
      <c r="FA367" s="371"/>
      <c r="FB367" s="372"/>
    </row>
    <row r="368" spans="1:158" ht="34.5" customHeight="1">
      <c r="DD368" s="5"/>
      <c r="DE368" s="81"/>
      <c r="DF368" s="81"/>
      <c r="DG368" s="81"/>
      <c r="DH368" s="81"/>
      <c r="DI368" s="81"/>
      <c r="DJ368" s="81"/>
      <c r="DK368" s="81"/>
      <c r="DL368" s="81"/>
      <c r="DM368" s="81"/>
      <c r="DN368" s="81"/>
      <c r="DO368" s="81"/>
      <c r="DP368" s="81"/>
      <c r="DX368" s="81"/>
      <c r="DY368" s="81"/>
      <c r="DZ368" s="361"/>
      <c r="EA368" s="392"/>
      <c r="EB368" s="1499" t="s">
        <v>1287</v>
      </c>
      <c r="EC368" s="730" t="s">
        <v>1760</v>
      </c>
      <c r="ED368" s="1101">
        <v>0.5</v>
      </c>
      <c r="EE368" s="331"/>
      <c r="EF368" s="1179"/>
      <c r="EG368" s="81"/>
      <c r="EH368" s="331"/>
      <c r="EJ368" s="81"/>
      <c r="EK368" s="377"/>
      <c r="EL368" s="377"/>
      <c r="EM368" s="81"/>
      <c r="EN368" s="377"/>
      <c r="EO368" s="377"/>
      <c r="EP368" s="377"/>
      <c r="EQ368" s="377"/>
      <c r="ER368" s="377"/>
      <c r="ES368" s="702"/>
      <c r="ET368" s="702"/>
      <c r="EU368" s="1023"/>
      <c r="EV368" s="368"/>
      <c r="EW368" s="368"/>
      <c r="EX368" s="369"/>
      <c r="EY368" s="370"/>
      <c r="EZ368" s="370"/>
      <c r="FA368" s="371"/>
      <c r="FB368" s="372"/>
    </row>
    <row r="369" spans="108:158" ht="34.5" customHeight="1">
      <c r="DD369" s="5"/>
      <c r="DE369" s="81"/>
      <c r="DF369" s="81"/>
      <c r="DG369" s="81"/>
      <c r="DH369" s="81"/>
      <c r="DI369" s="81"/>
      <c r="DJ369" s="81"/>
      <c r="DK369" s="81"/>
      <c r="DL369" s="81"/>
      <c r="DM369" s="81"/>
      <c r="DN369" s="81"/>
      <c r="DO369" s="81"/>
      <c r="DP369" s="81"/>
      <c r="DX369" s="81"/>
      <c r="DY369" s="81"/>
      <c r="DZ369" s="356"/>
      <c r="EA369" s="392"/>
      <c r="EB369" s="1499" t="s">
        <v>1288</v>
      </c>
      <c r="EC369" s="730" t="s">
        <v>1567</v>
      </c>
      <c r="ED369" s="1101">
        <v>0.5</v>
      </c>
      <c r="EE369" s="331"/>
      <c r="EF369" s="1179"/>
      <c r="EG369" s="81"/>
      <c r="EH369" s="331"/>
      <c r="EJ369" s="81"/>
      <c r="EK369" s="377"/>
      <c r="EL369" s="377"/>
      <c r="EM369" s="81"/>
      <c r="EN369" s="377"/>
      <c r="EO369" s="377"/>
      <c r="EP369" s="377"/>
      <c r="EQ369" s="377"/>
      <c r="ER369" s="377"/>
      <c r="ES369" s="702"/>
      <c r="ET369" s="702"/>
      <c r="EU369" s="1023"/>
      <c r="EV369" s="368"/>
      <c r="EW369" s="368"/>
      <c r="EX369" s="369"/>
      <c r="EY369" s="370"/>
      <c r="EZ369" s="370"/>
      <c r="FA369" s="371"/>
      <c r="FB369" s="372"/>
    </row>
    <row r="370" spans="108:158" ht="34.5" customHeight="1">
      <c r="DD370" s="5"/>
      <c r="DE370" s="81"/>
      <c r="DF370" s="81"/>
      <c r="DG370" s="81"/>
      <c r="DH370" s="81"/>
      <c r="DI370" s="81"/>
      <c r="DJ370" s="81"/>
      <c r="DK370" s="81"/>
      <c r="DL370" s="81"/>
      <c r="DM370" s="81"/>
      <c r="DN370" s="81"/>
      <c r="DO370" s="81"/>
      <c r="DP370" s="81"/>
      <c r="DX370" s="81"/>
      <c r="DY370" s="81"/>
      <c r="DZ370" s="361"/>
      <c r="EA370" s="392"/>
      <c r="EB370" s="1499" t="s">
        <v>1288</v>
      </c>
      <c r="EC370" s="730" t="s">
        <v>1761</v>
      </c>
      <c r="ED370" s="1101">
        <v>0.5</v>
      </c>
      <c r="EE370" s="331"/>
      <c r="EF370" s="1179"/>
      <c r="EG370" s="81"/>
      <c r="EH370" s="331"/>
      <c r="EJ370" s="81"/>
      <c r="EK370" s="377"/>
      <c r="EL370" s="377"/>
      <c r="EM370" s="81"/>
      <c r="EN370" s="377"/>
      <c r="EO370" s="377"/>
      <c r="EP370" s="377"/>
      <c r="EQ370" s="377"/>
      <c r="ER370" s="377"/>
      <c r="ES370" s="702"/>
      <c r="ET370" s="702"/>
      <c r="EU370" s="1023"/>
      <c r="EV370" s="368"/>
      <c r="EW370" s="368"/>
      <c r="EX370" s="369"/>
      <c r="EY370" s="370"/>
      <c r="EZ370" s="370"/>
      <c r="FA370" s="371"/>
      <c r="FB370" s="372"/>
    </row>
    <row r="371" spans="108:158" ht="34.5" customHeight="1">
      <c r="DD371" s="5"/>
      <c r="DE371" s="81"/>
      <c r="DF371" s="81"/>
      <c r="DG371" s="81"/>
      <c r="DH371" s="81"/>
      <c r="DI371" s="81"/>
      <c r="DJ371" s="81"/>
      <c r="DK371" s="81"/>
      <c r="DL371" s="81"/>
      <c r="DM371" s="81"/>
      <c r="DN371" s="81"/>
      <c r="DO371" s="81"/>
      <c r="DP371" s="81"/>
      <c r="DX371" s="81"/>
      <c r="DY371" s="81"/>
      <c r="DZ371" s="331"/>
      <c r="EA371" s="392"/>
      <c r="EB371" s="1499" t="s">
        <v>1288</v>
      </c>
      <c r="EC371" s="730" t="s">
        <v>1745</v>
      </c>
      <c r="ED371" s="1101">
        <v>0.5</v>
      </c>
      <c r="EE371" s="331"/>
      <c r="EF371" s="1179"/>
      <c r="EG371" s="81"/>
      <c r="EH371" s="331"/>
      <c r="EJ371" s="81"/>
      <c r="EK371" s="377"/>
      <c r="EL371" s="377"/>
      <c r="EM371" s="81"/>
      <c r="EN371" s="377"/>
      <c r="EO371" s="377"/>
      <c r="EP371" s="377"/>
      <c r="EQ371" s="377"/>
      <c r="ER371" s="377"/>
      <c r="ES371" s="702"/>
      <c r="ET371" s="702"/>
      <c r="EU371" s="1023"/>
      <c r="EV371" s="368"/>
      <c r="EW371" s="368"/>
      <c r="EX371" s="369"/>
      <c r="EY371" s="370"/>
      <c r="EZ371" s="370"/>
      <c r="FA371" s="371"/>
      <c r="FB371" s="372"/>
    </row>
    <row r="372" spans="108:158" ht="34.5" customHeight="1">
      <c r="DD372" s="5"/>
      <c r="DE372" s="81"/>
      <c r="DF372" s="81"/>
      <c r="DG372" s="81"/>
      <c r="DH372" s="81"/>
      <c r="DI372" s="81"/>
      <c r="DJ372" s="81"/>
      <c r="DK372" s="81"/>
      <c r="DL372" s="81"/>
      <c r="DM372" s="81"/>
      <c r="DN372" s="81"/>
      <c r="DO372" s="81"/>
      <c r="DP372" s="81"/>
      <c r="DX372" s="81"/>
      <c r="DY372" s="81"/>
      <c r="DZ372" s="361"/>
      <c r="EA372" s="392"/>
      <c r="EB372" s="1499" t="s">
        <v>1288</v>
      </c>
      <c r="EC372" s="730" t="s">
        <v>1746</v>
      </c>
      <c r="ED372" s="1101">
        <v>0.5</v>
      </c>
      <c r="EE372" s="331"/>
      <c r="EF372" s="1179"/>
      <c r="EG372" s="81"/>
      <c r="EH372" s="726"/>
      <c r="EJ372" s="81"/>
      <c r="EK372" s="377"/>
      <c r="EL372" s="377"/>
      <c r="EM372" s="81"/>
      <c r="EN372" s="377"/>
      <c r="EO372" s="377"/>
      <c r="EP372" s="377"/>
      <c r="EQ372" s="377"/>
      <c r="ER372" s="377"/>
      <c r="ES372" s="702"/>
      <c r="ET372" s="702"/>
      <c r="EU372" s="1023"/>
      <c r="EV372" s="368"/>
      <c r="EW372" s="368"/>
      <c r="EX372" s="369"/>
      <c r="EY372" s="370"/>
      <c r="EZ372" s="370"/>
      <c r="FA372" s="371"/>
      <c r="FB372" s="372"/>
    </row>
    <row r="373" spans="108:158" ht="34.5" customHeight="1">
      <c r="DD373" s="5"/>
      <c r="DE373" s="81"/>
      <c r="DF373" s="81"/>
      <c r="DG373" s="81"/>
      <c r="DH373" s="81"/>
      <c r="DI373" s="81"/>
      <c r="DJ373" s="81"/>
      <c r="DK373" s="81"/>
      <c r="DL373" s="81"/>
      <c r="DM373" s="81"/>
      <c r="DN373" s="81"/>
      <c r="DO373" s="81"/>
      <c r="DP373" s="81"/>
      <c r="DX373" s="81"/>
      <c r="DY373" s="81"/>
      <c r="DZ373" s="331"/>
      <c r="EA373" s="392"/>
      <c r="EB373" s="1499" t="s">
        <v>1288</v>
      </c>
      <c r="EC373" s="730" t="s">
        <v>1747</v>
      </c>
      <c r="ED373" s="1101">
        <v>0.5</v>
      </c>
      <c r="EE373" s="331"/>
      <c r="EF373" s="1179"/>
      <c r="EG373" s="81"/>
      <c r="EH373" s="331"/>
      <c r="EJ373" s="81"/>
      <c r="EK373" s="377"/>
      <c r="EL373" s="377"/>
      <c r="EM373" s="81"/>
      <c r="EN373" s="377"/>
      <c r="EO373" s="377"/>
      <c r="EP373" s="377"/>
      <c r="EQ373" s="377"/>
      <c r="ER373" s="377"/>
      <c r="ES373" s="702"/>
      <c r="ET373" s="702"/>
      <c r="EU373" s="1023"/>
      <c r="EV373" s="368"/>
      <c r="EW373" s="368"/>
      <c r="EX373" s="369"/>
      <c r="EY373" s="370"/>
      <c r="EZ373" s="370"/>
      <c r="FA373" s="371"/>
      <c r="FB373" s="372"/>
    </row>
    <row r="374" spans="108:158" ht="34.5" customHeight="1">
      <c r="DD374" s="5"/>
      <c r="DE374" s="81"/>
      <c r="DF374" s="81"/>
      <c r="DG374" s="81"/>
      <c r="DH374" s="81"/>
      <c r="DI374" s="81"/>
      <c r="DJ374" s="81"/>
      <c r="DK374" s="81"/>
      <c r="DL374" s="81"/>
      <c r="DM374" s="81"/>
      <c r="DN374" s="81"/>
      <c r="DO374" s="81"/>
      <c r="DP374" s="81"/>
      <c r="DX374" s="81"/>
      <c r="DY374" s="81"/>
      <c r="DZ374" s="331"/>
      <c r="EA374" s="392"/>
      <c r="EB374" s="1499" t="s">
        <v>1288</v>
      </c>
      <c r="EC374" s="730" t="s">
        <v>1748</v>
      </c>
      <c r="ED374" s="1101">
        <v>0.5</v>
      </c>
      <c r="EE374" s="331"/>
      <c r="EF374" s="1179"/>
      <c r="EG374" s="81"/>
      <c r="EH374" s="331"/>
      <c r="EJ374" s="81"/>
      <c r="EK374" s="377"/>
      <c r="EL374" s="377"/>
      <c r="EM374" s="81"/>
      <c r="EN374" s="377"/>
      <c r="EO374" s="377"/>
      <c r="EP374" s="377"/>
      <c r="EQ374" s="377"/>
      <c r="ER374" s="377"/>
      <c r="ES374" s="702"/>
      <c r="ET374" s="702"/>
      <c r="EU374" s="1023"/>
      <c r="EV374" s="368"/>
      <c r="EW374" s="368"/>
      <c r="EX374" s="369"/>
      <c r="EY374" s="370"/>
      <c r="EZ374" s="370"/>
      <c r="FA374" s="371"/>
      <c r="FB374" s="372"/>
    </row>
    <row r="375" spans="108:158" ht="34.5" customHeight="1">
      <c r="DD375" s="5"/>
      <c r="DE375" s="81"/>
      <c r="DF375" s="81"/>
      <c r="DG375" s="81"/>
      <c r="DH375" s="81"/>
      <c r="DI375" s="81"/>
      <c r="DJ375" s="81"/>
      <c r="DK375" s="81"/>
      <c r="DL375" s="81"/>
      <c r="DM375" s="81"/>
      <c r="DN375" s="81"/>
      <c r="DO375" s="81"/>
      <c r="DP375" s="81"/>
      <c r="DX375" s="81"/>
      <c r="DY375" s="81"/>
      <c r="DZ375" s="331"/>
      <c r="EA375" s="392"/>
      <c r="EB375" s="1499" t="s">
        <v>1288</v>
      </c>
      <c r="EC375" s="730" t="s">
        <v>1749</v>
      </c>
      <c r="ED375" s="1101">
        <v>0.5</v>
      </c>
      <c r="EE375" s="331"/>
      <c r="EF375" s="1179"/>
      <c r="EG375" s="81"/>
      <c r="EH375" s="331"/>
      <c r="EJ375" s="81"/>
      <c r="EK375" s="377"/>
      <c r="EL375" s="377"/>
      <c r="EM375" s="81"/>
      <c r="EN375" s="377"/>
      <c r="EO375" s="377"/>
      <c r="EP375" s="377"/>
      <c r="EQ375" s="377"/>
      <c r="ER375" s="377"/>
      <c r="ES375" s="702"/>
      <c r="ET375" s="702"/>
      <c r="EU375" s="1023"/>
      <c r="EV375" s="368"/>
      <c r="EW375" s="368"/>
      <c r="EX375" s="369"/>
      <c r="EY375" s="370"/>
      <c r="EZ375" s="370"/>
      <c r="FA375" s="371"/>
      <c r="FB375" s="372"/>
    </row>
    <row r="376" spans="108:158" ht="34.5" customHeight="1">
      <c r="DD376" s="5"/>
      <c r="DE376" s="81"/>
      <c r="DF376" s="81"/>
      <c r="DG376" s="81"/>
      <c r="DH376" s="81"/>
      <c r="DI376" s="81"/>
      <c r="DJ376" s="81"/>
      <c r="DK376" s="81"/>
      <c r="DL376" s="81"/>
      <c r="DM376" s="81"/>
      <c r="DN376" s="81"/>
      <c r="DO376" s="81"/>
      <c r="DP376" s="81"/>
      <c r="DX376" s="81"/>
      <c r="DY376" s="81"/>
      <c r="DZ376" s="361"/>
      <c r="EA376" s="392"/>
      <c r="EB376" s="1499" t="s">
        <v>1288</v>
      </c>
      <c r="EC376" s="730" t="s">
        <v>1750</v>
      </c>
      <c r="ED376" s="1101">
        <v>0.5</v>
      </c>
      <c r="EE376" s="331"/>
      <c r="EF376" s="1179"/>
      <c r="EG376" s="81"/>
      <c r="EH376" s="331"/>
      <c r="EJ376" s="81"/>
      <c r="EK376" s="377"/>
      <c r="EL376" s="377"/>
      <c r="EM376" s="81"/>
      <c r="EN376" s="377"/>
      <c r="EO376" s="377"/>
      <c r="EP376" s="377"/>
      <c r="EQ376" s="377"/>
      <c r="ER376" s="377"/>
      <c r="ES376" s="702"/>
      <c r="ET376" s="702"/>
      <c r="EU376" s="1023"/>
      <c r="EV376" s="368"/>
      <c r="EW376" s="368"/>
      <c r="EX376" s="369"/>
      <c r="EY376" s="370"/>
      <c r="EZ376" s="370"/>
      <c r="FA376" s="371"/>
      <c r="FB376" s="372"/>
    </row>
    <row r="377" spans="108:158" ht="34.5" customHeight="1">
      <c r="DD377" s="5"/>
      <c r="DE377" s="81"/>
      <c r="DF377" s="81"/>
      <c r="DG377" s="81"/>
      <c r="DH377" s="81"/>
      <c r="DI377" s="81"/>
      <c r="DJ377" s="81"/>
      <c r="DK377" s="81"/>
      <c r="DL377" s="81"/>
      <c r="DM377" s="81"/>
      <c r="DN377" s="81"/>
      <c r="DO377" s="81"/>
      <c r="DP377" s="81"/>
      <c r="DX377" s="81"/>
      <c r="DY377" s="81"/>
      <c r="DZ377" s="356"/>
      <c r="EA377" s="392"/>
      <c r="EB377" s="1499" t="s">
        <v>1288</v>
      </c>
      <c r="EC377" s="730" t="s">
        <v>1751</v>
      </c>
      <c r="ED377" s="1101">
        <v>0.5</v>
      </c>
      <c r="EE377" s="331"/>
      <c r="EF377" s="1179"/>
      <c r="EG377" s="81"/>
      <c r="EH377" s="331"/>
      <c r="EJ377" s="81"/>
      <c r="EK377" s="377"/>
      <c r="EL377" s="377"/>
      <c r="EM377" s="81"/>
      <c r="EN377" s="377"/>
      <c r="EO377" s="377"/>
      <c r="EP377" s="377"/>
      <c r="EQ377" s="377"/>
      <c r="ER377" s="377"/>
      <c r="ES377" s="702"/>
      <c r="ET377" s="702"/>
      <c r="EU377" s="1023"/>
      <c r="EV377" s="368"/>
      <c r="EW377" s="368"/>
      <c r="EX377" s="369"/>
      <c r="EY377" s="370"/>
      <c r="EZ377" s="370"/>
      <c r="FA377" s="371"/>
      <c r="FB377" s="372"/>
    </row>
    <row r="378" spans="108:158" ht="34.5" customHeight="1">
      <c r="DD378" s="5"/>
      <c r="DE378" s="81"/>
      <c r="DF378" s="81"/>
      <c r="DG378" s="81"/>
      <c r="DH378" s="81"/>
      <c r="DI378" s="81"/>
      <c r="DJ378" s="81"/>
      <c r="DK378" s="81"/>
      <c r="DL378" s="81"/>
      <c r="DM378" s="81"/>
      <c r="DN378" s="81"/>
      <c r="DO378" s="81"/>
      <c r="DP378" s="81"/>
      <c r="DX378" s="81"/>
      <c r="DY378" s="81"/>
      <c r="DZ378" s="361"/>
      <c r="EA378" s="392"/>
      <c r="EB378" s="1499" t="s">
        <v>1288</v>
      </c>
      <c r="EC378" s="730" t="s">
        <v>1752</v>
      </c>
      <c r="ED378" s="1101">
        <v>0.5</v>
      </c>
      <c r="EE378" s="331"/>
      <c r="EF378" s="1179"/>
      <c r="EG378" s="81"/>
      <c r="EH378" s="331"/>
      <c r="EJ378" s="81"/>
      <c r="EK378" s="377"/>
      <c r="EL378" s="377"/>
      <c r="EM378" s="81"/>
      <c r="EN378" s="377"/>
      <c r="EO378" s="377"/>
      <c r="EP378" s="377"/>
      <c r="EQ378" s="377"/>
      <c r="ER378" s="377"/>
      <c r="ES378" s="702"/>
      <c r="ET378" s="702"/>
      <c r="EU378" s="1023"/>
      <c r="EV378" s="368"/>
      <c r="EW378" s="368"/>
      <c r="EX378" s="369"/>
      <c r="EY378" s="370"/>
      <c r="EZ378" s="370"/>
      <c r="FA378" s="371"/>
      <c r="FB378" s="372"/>
    </row>
    <row r="379" spans="108:158" ht="34.5" customHeight="1">
      <c r="DD379" s="5"/>
      <c r="DE379" s="81"/>
      <c r="DF379" s="81"/>
      <c r="DG379" s="81"/>
      <c r="DH379" s="81"/>
      <c r="DI379" s="81"/>
      <c r="DJ379" s="81"/>
      <c r="DK379" s="81"/>
      <c r="DL379" s="81"/>
      <c r="DM379" s="81"/>
      <c r="DN379" s="81"/>
      <c r="DO379" s="81"/>
      <c r="DP379" s="81"/>
      <c r="DX379" s="81"/>
      <c r="DY379" s="81"/>
      <c r="DZ379" s="331"/>
      <c r="EA379" s="332"/>
      <c r="EB379" s="1499" t="s">
        <v>1288</v>
      </c>
      <c r="EC379" s="730" t="s">
        <v>1753</v>
      </c>
      <c r="ED379" s="1101">
        <v>0.5</v>
      </c>
      <c r="EE379" s="331"/>
      <c r="EF379" s="1179"/>
      <c r="EG379" s="81"/>
      <c r="EH379" s="331"/>
      <c r="EJ379" s="81"/>
      <c r="EK379" s="377"/>
      <c r="EL379" s="377"/>
      <c r="EM379" s="81"/>
      <c r="EN379" s="377"/>
      <c r="EO379" s="377"/>
      <c r="EP379" s="377"/>
      <c r="EQ379" s="377"/>
      <c r="ER379" s="377"/>
      <c r="ES379" s="702"/>
      <c r="ET379" s="702"/>
      <c r="EU379" s="1023"/>
      <c r="EV379" s="368"/>
      <c r="EW379" s="368"/>
      <c r="EX379" s="369"/>
      <c r="EY379" s="370"/>
      <c r="EZ379" s="370"/>
      <c r="FA379" s="371"/>
      <c r="FB379" s="372"/>
    </row>
    <row r="380" spans="108:158" ht="34.5" customHeight="1">
      <c r="DD380" s="5"/>
      <c r="DE380" s="81"/>
      <c r="DF380" s="81"/>
      <c r="DG380" s="81"/>
      <c r="DH380" s="81"/>
      <c r="DI380" s="81"/>
      <c r="DJ380" s="81"/>
      <c r="DK380" s="81"/>
      <c r="DL380" s="81"/>
      <c r="DM380" s="81"/>
      <c r="DN380" s="81"/>
      <c r="DO380" s="81"/>
      <c r="DP380" s="81"/>
      <c r="DX380" s="81"/>
      <c r="DY380" s="81"/>
      <c r="DZ380" s="331"/>
      <c r="EA380" s="332"/>
      <c r="EB380" s="1499" t="s">
        <v>1288</v>
      </c>
      <c r="EC380" s="730" t="s">
        <v>1754</v>
      </c>
      <c r="ED380" s="1101">
        <v>0.5</v>
      </c>
      <c r="EE380" s="331"/>
      <c r="EF380" s="1179"/>
      <c r="EG380" s="81"/>
      <c r="EH380" s="331"/>
      <c r="EJ380" s="81"/>
      <c r="EK380" s="377"/>
      <c r="EL380" s="377"/>
      <c r="EM380" s="81"/>
      <c r="EN380" s="377"/>
      <c r="EO380" s="377"/>
      <c r="EP380" s="377"/>
      <c r="EQ380" s="377"/>
      <c r="ER380" s="377"/>
      <c r="ES380" s="702"/>
      <c r="ET380" s="702"/>
      <c r="EU380" s="1023"/>
      <c r="EV380" s="368"/>
      <c r="EW380" s="368"/>
      <c r="EX380" s="369"/>
      <c r="EY380" s="370"/>
      <c r="EZ380" s="370"/>
      <c r="FA380" s="371"/>
      <c r="FB380" s="372"/>
    </row>
    <row r="381" spans="108:158" ht="34.5" customHeight="1">
      <c r="DD381" s="5"/>
      <c r="DE381" s="81"/>
      <c r="DF381" s="81"/>
      <c r="DG381" s="81"/>
      <c r="DH381" s="81"/>
      <c r="DI381" s="81"/>
      <c r="DJ381" s="81"/>
      <c r="DK381" s="81"/>
      <c r="DL381" s="81"/>
      <c r="DM381" s="81"/>
      <c r="DN381" s="81"/>
      <c r="DO381" s="81"/>
      <c r="DP381" s="81"/>
      <c r="DX381" s="81"/>
      <c r="DY381" s="81"/>
      <c r="DZ381" s="331"/>
      <c r="EA381" s="332"/>
      <c r="EB381" s="1499" t="s">
        <v>1288</v>
      </c>
      <c r="EC381" s="730" t="s">
        <v>1755</v>
      </c>
      <c r="ED381" s="1101">
        <v>0.5</v>
      </c>
      <c r="EE381" s="81"/>
      <c r="EF381" s="81"/>
      <c r="EG381" s="81"/>
      <c r="EH381" s="331"/>
      <c r="EJ381" s="81"/>
      <c r="EK381" s="377"/>
      <c r="EL381" s="377"/>
      <c r="EM381" s="81"/>
      <c r="EN381" s="377"/>
      <c r="EO381" s="377"/>
      <c r="EP381" s="377"/>
      <c r="EQ381" s="377"/>
      <c r="ER381" s="377"/>
      <c r="ES381" s="702"/>
      <c r="ET381" s="702"/>
      <c r="EU381" s="1023"/>
      <c r="EV381" s="368"/>
      <c r="EW381" s="368"/>
      <c r="EX381" s="369"/>
      <c r="EY381" s="370"/>
      <c r="EZ381" s="370"/>
      <c r="FA381" s="371"/>
      <c r="FB381" s="372"/>
    </row>
    <row r="382" spans="108:158" ht="34.5" customHeight="1">
      <c r="DD382" s="5"/>
      <c r="DE382" s="81"/>
      <c r="DF382" s="81"/>
      <c r="DG382" s="81"/>
      <c r="DH382" s="81"/>
      <c r="DI382" s="81"/>
      <c r="DJ382" s="81"/>
      <c r="DK382" s="81"/>
      <c r="DL382" s="81"/>
      <c r="DM382" s="81"/>
      <c r="DN382" s="81"/>
      <c r="DO382" s="81"/>
      <c r="DP382" s="81"/>
      <c r="DX382" s="81"/>
      <c r="DY382" s="81"/>
      <c r="DZ382" s="331" t="s">
        <v>0</v>
      </c>
      <c r="EA382" s="392"/>
      <c r="EB382" s="1499" t="s">
        <v>1288</v>
      </c>
      <c r="EC382" s="730" t="s">
        <v>1756</v>
      </c>
      <c r="ED382" s="1101">
        <v>0.5</v>
      </c>
      <c r="EE382" s="81"/>
      <c r="EF382" s="81"/>
      <c r="EG382" s="81"/>
      <c r="EH382" s="331"/>
      <c r="EJ382" s="81"/>
      <c r="EK382" s="377"/>
      <c r="EL382" s="377"/>
      <c r="EM382" s="81"/>
      <c r="EN382" s="377"/>
      <c r="EO382" s="377"/>
      <c r="EP382" s="377"/>
      <c r="EQ382" s="377"/>
      <c r="ER382" s="377"/>
      <c r="ES382" s="702"/>
      <c r="ET382" s="702"/>
      <c r="EU382" s="1023"/>
      <c r="EV382" s="368"/>
      <c r="EW382" s="368"/>
      <c r="EX382" s="369"/>
      <c r="EY382" s="370"/>
      <c r="EZ382" s="370"/>
      <c r="FA382" s="371"/>
      <c r="FB382" s="372"/>
    </row>
    <row r="383" spans="108:158" ht="34.5" customHeight="1">
      <c r="DD383" s="5"/>
      <c r="DE383" s="81"/>
      <c r="DF383" s="81"/>
      <c r="DG383" s="81"/>
      <c r="DH383" s="81"/>
      <c r="DI383" s="81"/>
      <c r="DJ383" s="81"/>
      <c r="DK383" s="81"/>
      <c r="DL383" s="81"/>
      <c r="DM383" s="81"/>
      <c r="DN383" s="81"/>
      <c r="DO383" s="81"/>
      <c r="DP383" s="81"/>
      <c r="DX383" s="81"/>
      <c r="DY383" s="81"/>
      <c r="DZ383" s="356"/>
      <c r="EA383" s="392"/>
      <c r="EB383" s="1499" t="s">
        <v>1288</v>
      </c>
      <c r="EC383" s="730" t="s">
        <v>1757</v>
      </c>
      <c r="ED383" s="1101">
        <v>0.5</v>
      </c>
      <c r="EE383" s="374"/>
      <c r="EF383" s="81"/>
      <c r="EG383" s="81"/>
      <c r="EH383" s="331"/>
      <c r="EJ383" s="81"/>
      <c r="EK383" s="377"/>
      <c r="EL383" s="377"/>
      <c r="EM383" s="81"/>
      <c r="EN383" s="377"/>
      <c r="EO383" s="377"/>
      <c r="EP383" s="377"/>
      <c r="EQ383" s="377"/>
      <c r="ER383" s="377"/>
      <c r="ES383" s="702"/>
      <c r="ET383" s="702"/>
      <c r="EU383" s="1023"/>
      <c r="EV383" s="368"/>
      <c r="EW383" s="368"/>
      <c r="EX383" s="369"/>
      <c r="EY383" s="370"/>
      <c r="EZ383" s="370"/>
      <c r="FA383" s="371"/>
      <c r="FB383" s="372"/>
    </row>
    <row r="384" spans="108:158" ht="34.5" customHeight="1">
      <c r="DD384" s="5"/>
      <c r="DE384" s="81"/>
      <c r="DF384" s="81"/>
      <c r="DG384" s="81"/>
      <c r="DH384" s="81"/>
      <c r="DI384" s="81"/>
      <c r="DJ384" s="81"/>
      <c r="DK384" s="81"/>
      <c r="DL384" s="81"/>
      <c r="DM384" s="81"/>
      <c r="DN384" s="81"/>
      <c r="DO384" s="81"/>
      <c r="DP384" s="81"/>
      <c r="DX384" s="81"/>
      <c r="DY384" s="81"/>
      <c r="DZ384" s="331"/>
      <c r="EA384" s="392"/>
      <c r="EB384" s="1499" t="s">
        <v>1288</v>
      </c>
      <c r="EC384" s="730" t="s">
        <v>1757</v>
      </c>
      <c r="ED384" s="1101">
        <v>0.5</v>
      </c>
      <c r="EE384" s="331"/>
      <c r="EF384" s="81"/>
      <c r="EG384" s="81"/>
      <c r="EH384" s="331"/>
      <c r="EJ384" s="81"/>
      <c r="EK384" s="377"/>
      <c r="EL384" s="377"/>
      <c r="EM384" s="81"/>
      <c r="EN384" s="377"/>
      <c r="EO384" s="377"/>
      <c r="EP384" s="377"/>
      <c r="EQ384" s="377"/>
      <c r="ER384" s="377"/>
      <c r="ES384" s="702"/>
      <c r="ET384" s="702"/>
      <c r="EU384" s="1023"/>
      <c r="EV384" s="368"/>
      <c r="EW384" s="368"/>
      <c r="EX384" s="369"/>
      <c r="EY384" s="370"/>
      <c r="EZ384" s="370"/>
      <c r="FA384" s="371"/>
      <c r="FB384" s="372"/>
    </row>
    <row r="385" spans="108:158" ht="34.5" customHeight="1">
      <c r="DD385" s="5"/>
      <c r="DE385" s="81"/>
      <c r="DF385" s="81"/>
      <c r="DG385" s="81"/>
      <c r="DH385" s="81"/>
      <c r="DI385" s="81"/>
      <c r="DJ385" s="81"/>
      <c r="DK385" s="81"/>
      <c r="DL385" s="81"/>
      <c r="DM385" s="81"/>
      <c r="DN385" s="81"/>
      <c r="DO385" s="81"/>
      <c r="DP385" s="81"/>
      <c r="DX385" s="81"/>
      <c r="DY385" s="81"/>
      <c r="DZ385" s="81"/>
      <c r="EA385" s="353"/>
      <c r="EB385" s="1499" t="s">
        <v>1288</v>
      </c>
      <c r="EC385" s="730" t="s">
        <v>1759</v>
      </c>
      <c r="ED385" s="1101">
        <v>0.5</v>
      </c>
      <c r="EE385" s="331"/>
      <c r="EF385" s="81"/>
      <c r="EG385" s="81"/>
      <c r="EH385" s="331"/>
      <c r="EJ385" s="81"/>
      <c r="EK385" s="377"/>
      <c r="EL385" s="377"/>
      <c r="EM385" s="81"/>
      <c r="EN385" s="377"/>
      <c r="EO385" s="377"/>
      <c r="EP385" s="377"/>
      <c r="EQ385" s="377"/>
      <c r="ER385" s="377"/>
      <c r="ES385" s="702"/>
      <c r="ET385" s="702"/>
      <c r="EU385" s="1023"/>
      <c r="EV385" s="368"/>
      <c r="EW385" s="368"/>
      <c r="EX385" s="369"/>
      <c r="EY385" s="370"/>
      <c r="EZ385" s="370"/>
      <c r="FA385" s="371"/>
      <c r="FB385" s="372"/>
    </row>
    <row r="386" spans="108:158" ht="34.5" customHeight="1">
      <c r="DD386" s="5"/>
      <c r="DE386" s="81"/>
      <c r="DF386" s="81"/>
      <c r="DG386" s="81"/>
      <c r="DH386" s="81"/>
      <c r="DI386" s="81"/>
      <c r="DJ386" s="81"/>
      <c r="DK386" s="81"/>
      <c r="DL386" s="81"/>
      <c r="DM386" s="81"/>
      <c r="DN386" s="81"/>
      <c r="DO386" s="81"/>
      <c r="DP386" s="81"/>
      <c r="DS386" s="81"/>
      <c r="DX386" s="81"/>
      <c r="DY386" s="81"/>
      <c r="DZ386" s="81"/>
      <c r="EA386" s="353"/>
      <c r="EB386" s="1499" t="s">
        <v>1288</v>
      </c>
      <c r="EC386" s="730" t="s">
        <v>455</v>
      </c>
      <c r="ED386" s="1101">
        <v>0.5</v>
      </c>
      <c r="EE386" s="331"/>
      <c r="EF386" s="81"/>
      <c r="EG386" s="81"/>
      <c r="EH386" s="331"/>
      <c r="EJ386" s="81"/>
      <c r="EK386" s="377"/>
      <c r="EL386" s="377"/>
      <c r="EM386" s="81"/>
      <c r="EN386" s="377"/>
      <c r="EO386" s="377"/>
      <c r="EP386" s="377"/>
      <c r="EQ386" s="377"/>
      <c r="ER386" s="377"/>
      <c r="ES386" s="702"/>
      <c r="ET386" s="702"/>
      <c r="EU386" s="1023"/>
      <c r="EV386" s="368"/>
      <c r="EW386" s="368"/>
      <c r="EX386" s="369"/>
      <c r="EY386" s="370"/>
      <c r="EZ386" s="370"/>
      <c r="FA386" s="371"/>
      <c r="FB386" s="372"/>
    </row>
    <row r="387" spans="108:158" ht="34.5" customHeight="1">
      <c r="DD387" s="5"/>
      <c r="DE387" s="81"/>
      <c r="DF387" s="81"/>
      <c r="DG387" s="81"/>
      <c r="DH387" s="81"/>
      <c r="DI387" s="81"/>
      <c r="DJ387" s="81"/>
      <c r="DK387" s="81"/>
      <c r="DL387" s="81"/>
      <c r="DM387" s="81"/>
      <c r="DN387" s="81"/>
      <c r="DO387" s="81"/>
      <c r="DP387" s="81"/>
      <c r="DS387" s="81"/>
      <c r="DX387" s="81"/>
      <c r="DY387" s="81"/>
      <c r="DZ387" s="81"/>
      <c r="EA387" s="353"/>
      <c r="EB387" s="1499" t="s">
        <v>1288</v>
      </c>
      <c r="EC387" s="730" t="s">
        <v>1760</v>
      </c>
      <c r="ED387" s="1101">
        <v>0.5</v>
      </c>
      <c r="EE387" s="331"/>
      <c r="EF387" s="81"/>
      <c r="EG387" s="81"/>
      <c r="EH387" s="331"/>
      <c r="EJ387" s="81"/>
      <c r="EK387" s="377"/>
      <c r="EL387" s="377"/>
      <c r="EM387" s="81"/>
      <c r="EN387" s="377"/>
      <c r="EO387" s="377"/>
      <c r="EP387" s="377"/>
      <c r="EQ387" s="377"/>
      <c r="ER387" s="377"/>
      <c r="ES387" s="702"/>
      <c r="ET387" s="702"/>
      <c r="EU387" s="1023"/>
      <c r="EV387" s="368"/>
      <c r="EW387" s="368"/>
      <c r="EX387" s="369"/>
      <c r="EY387" s="370"/>
      <c r="EZ387" s="370"/>
      <c r="FA387" s="371"/>
      <c r="FB387" s="372"/>
    </row>
    <row r="388" spans="108:158" ht="34.5" customHeight="1">
      <c r="DD388" s="5"/>
      <c r="DE388" s="81"/>
      <c r="DF388" s="81"/>
      <c r="DG388" s="81"/>
      <c r="DH388" s="81"/>
      <c r="DI388" s="81"/>
      <c r="DJ388" s="81"/>
      <c r="DK388" s="81"/>
      <c r="DL388" s="81"/>
      <c r="DM388" s="81"/>
      <c r="DN388" s="81"/>
      <c r="DO388" s="81"/>
      <c r="DP388" s="81"/>
      <c r="DS388" s="81"/>
      <c r="DX388" s="81"/>
      <c r="DY388" s="81"/>
      <c r="DZ388" s="81" t="s">
        <v>0</v>
      </c>
      <c r="EA388" s="353"/>
      <c r="EB388" s="1501" t="s">
        <v>461</v>
      </c>
      <c r="EC388" s="730" t="s">
        <v>1569</v>
      </c>
      <c r="ED388" s="731">
        <v>0.5</v>
      </c>
      <c r="EE388" s="331"/>
      <c r="EF388" s="81"/>
      <c r="EG388" s="81"/>
      <c r="EH388" s="331"/>
      <c r="EJ388" s="81"/>
      <c r="EK388" s="377"/>
      <c r="EL388" s="377"/>
      <c r="EM388" s="81"/>
      <c r="EN388" s="377"/>
      <c r="EO388" s="377"/>
      <c r="EP388" s="377"/>
      <c r="EQ388" s="377"/>
      <c r="ER388" s="377"/>
      <c r="ES388" s="702"/>
      <c r="ET388" s="702"/>
      <c r="EU388" s="1023"/>
      <c r="EV388" s="368"/>
      <c r="EW388" s="368"/>
      <c r="EX388" s="369"/>
      <c r="EY388" s="370"/>
      <c r="EZ388" s="370"/>
      <c r="FA388" s="371"/>
      <c r="FB388" s="372"/>
    </row>
    <row r="389" spans="108:158" ht="34.5" customHeight="1">
      <c r="DD389" s="5"/>
      <c r="DE389" s="81"/>
      <c r="DF389" s="81"/>
      <c r="DG389" s="81"/>
      <c r="DH389" s="81"/>
      <c r="DI389" s="81"/>
      <c r="DJ389" s="81"/>
      <c r="DK389" s="81"/>
      <c r="DL389" s="81"/>
      <c r="DM389" s="81"/>
      <c r="DN389" s="81"/>
      <c r="DO389" s="81"/>
      <c r="DP389" s="81"/>
      <c r="DS389" s="81"/>
      <c r="DX389" s="81"/>
      <c r="DY389" s="81"/>
      <c r="DZ389" s="81"/>
      <c r="EA389" s="353"/>
      <c r="EB389" s="1501" t="s">
        <v>462</v>
      </c>
      <c r="EC389" s="730" t="s">
        <v>1569</v>
      </c>
      <c r="ED389" s="731">
        <v>0.5</v>
      </c>
      <c r="EE389" s="331"/>
      <c r="EF389" s="81"/>
      <c r="EG389" s="81"/>
      <c r="EH389" s="331"/>
      <c r="EJ389" s="81"/>
      <c r="EK389" s="377"/>
      <c r="EL389" s="377"/>
      <c r="EM389" s="81"/>
      <c r="EN389" s="377"/>
      <c r="EO389" s="377"/>
      <c r="EP389" s="377"/>
      <c r="EQ389" s="377"/>
      <c r="ER389" s="377"/>
      <c r="ES389" s="702"/>
      <c r="ET389" s="702"/>
      <c r="EU389" s="1023"/>
      <c r="EV389" s="368"/>
      <c r="EW389" s="368"/>
      <c r="EX389" s="369"/>
      <c r="EY389" s="370"/>
      <c r="EZ389" s="370"/>
      <c r="FA389" s="371"/>
      <c r="FB389" s="372"/>
    </row>
    <row r="390" spans="108:158" ht="34.5" customHeight="1">
      <c r="DD390" s="5"/>
      <c r="DE390" s="81"/>
      <c r="DF390" s="81"/>
      <c r="DG390" s="81"/>
      <c r="DH390" s="81"/>
      <c r="DI390" s="81"/>
      <c r="DJ390" s="81"/>
      <c r="DK390" s="81"/>
      <c r="DL390" s="81"/>
      <c r="DM390" s="81"/>
      <c r="DN390" s="81"/>
      <c r="DO390" s="81"/>
      <c r="DP390" s="81"/>
      <c r="DS390" s="81"/>
      <c r="DX390" s="81"/>
      <c r="DY390" s="81"/>
      <c r="DZ390" s="81"/>
      <c r="EA390" s="353"/>
      <c r="EB390" s="1501" t="s">
        <v>463</v>
      </c>
      <c r="EC390" s="730" t="s">
        <v>1569</v>
      </c>
      <c r="ED390" s="731">
        <v>0.5</v>
      </c>
      <c r="EE390" s="331"/>
      <c r="EF390" s="81"/>
      <c r="EG390" s="81"/>
      <c r="EH390" s="331"/>
      <c r="EJ390" s="81"/>
      <c r="EK390" s="377"/>
      <c r="EL390" s="377"/>
      <c r="EM390" s="81"/>
      <c r="EN390" s="377"/>
      <c r="EO390" s="377"/>
      <c r="EP390" s="377"/>
      <c r="EQ390" s="377"/>
      <c r="ER390" s="377"/>
      <c r="ES390" s="702"/>
      <c r="ET390" s="702"/>
      <c r="EU390" s="1023"/>
      <c r="EV390" s="368"/>
      <c r="EW390" s="368"/>
      <c r="EX390" s="369"/>
      <c r="EY390" s="370"/>
      <c r="EZ390" s="370"/>
      <c r="FA390" s="371"/>
      <c r="FB390" s="372"/>
    </row>
    <row r="391" spans="108:158" ht="34.5" customHeight="1">
      <c r="DD391" s="331"/>
      <c r="DE391" s="81"/>
      <c r="DF391" s="81"/>
      <c r="DG391" s="81"/>
      <c r="DH391" s="81"/>
      <c r="DI391" s="81"/>
      <c r="DJ391" s="81"/>
      <c r="DK391" s="81"/>
      <c r="DL391" s="81"/>
      <c r="DM391" s="81"/>
      <c r="DN391" s="81"/>
      <c r="DO391" s="81"/>
      <c r="DP391" s="81"/>
      <c r="DS391" s="81"/>
      <c r="DX391" s="81"/>
      <c r="DY391" s="81"/>
      <c r="DZ391" s="81"/>
      <c r="EA391" s="353"/>
      <c r="EB391" s="1501" t="s">
        <v>464</v>
      </c>
      <c r="EC391" s="730" t="s">
        <v>1569</v>
      </c>
      <c r="ED391" s="731">
        <v>0.5</v>
      </c>
      <c r="EE391" s="331"/>
      <c r="EF391" s="81"/>
      <c r="EG391" s="81"/>
      <c r="EH391" s="331"/>
      <c r="EJ391" s="81"/>
      <c r="EK391" s="377"/>
      <c r="EL391" s="377"/>
      <c r="EM391" s="81"/>
      <c r="EN391" s="377"/>
      <c r="EO391" s="377"/>
      <c r="EP391" s="377"/>
      <c r="EQ391" s="377"/>
      <c r="ER391" s="377"/>
      <c r="ES391" s="702"/>
      <c r="ET391" s="702"/>
      <c r="EU391" s="1023"/>
      <c r="EV391" s="368"/>
      <c r="EW391" s="368"/>
      <c r="EX391" s="369"/>
      <c r="EY391" s="370"/>
      <c r="EZ391" s="370"/>
      <c r="FA391" s="371"/>
      <c r="FB391" s="372"/>
    </row>
    <row r="392" spans="108:158" ht="34.5" customHeight="1">
      <c r="DD392" s="331"/>
      <c r="DE392" s="81"/>
      <c r="DF392" s="81"/>
      <c r="DG392" s="81"/>
      <c r="DH392" s="81"/>
      <c r="DI392" s="81"/>
      <c r="DJ392" s="81"/>
      <c r="DK392" s="81"/>
      <c r="DL392" s="81"/>
      <c r="DM392" s="81"/>
      <c r="DN392" s="81"/>
      <c r="DO392" s="81"/>
      <c r="DP392" s="81"/>
      <c r="DS392" s="81"/>
      <c r="DX392" s="81"/>
      <c r="DY392" s="81"/>
      <c r="DZ392" s="81"/>
      <c r="EA392" s="353"/>
      <c r="EB392" s="1501" t="s">
        <v>465</v>
      </c>
      <c r="EC392" s="730" t="s">
        <v>1569</v>
      </c>
      <c r="ED392" s="731">
        <v>0.5</v>
      </c>
      <c r="EE392" s="331"/>
      <c r="EF392" s="81"/>
      <c r="EG392" s="81"/>
      <c r="EH392" s="331"/>
      <c r="EJ392" s="81"/>
      <c r="EK392" s="377"/>
      <c r="EL392" s="377"/>
      <c r="EM392" s="81"/>
      <c r="EN392" s="377"/>
      <c r="EO392" s="377"/>
      <c r="EP392" s="377"/>
      <c r="EQ392" s="377"/>
      <c r="ER392" s="377"/>
      <c r="ES392" s="702"/>
      <c r="ET392" s="702"/>
      <c r="EU392" s="1023"/>
      <c r="EV392" s="368"/>
      <c r="EW392" s="368"/>
      <c r="EX392" s="369"/>
      <c r="EY392" s="370"/>
      <c r="EZ392" s="370"/>
      <c r="FA392" s="371"/>
      <c r="FB392" s="372"/>
    </row>
    <row r="393" spans="108:158" ht="34.5" customHeight="1">
      <c r="DD393" s="331"/>
      <c r="DE393" s="81"/>
      <c r="DF393" s="81"/>
      <c r="DG393" s="81"/>
      <c r="DH393" s="81"/>
      <c r="DI393" s="81"/>
      <c r="DJ393" s="81"/>
      <c r="DK393" s="81"/>
      <c r="DL393" s="81"/>
      <c r="DM393" s="81"/>
      <c r="DN393" s="81"/>
      <c r="DO393" s="81"/>
      <c r="DP393" s="81"/>
      <c r="DS393" s="81"/>
      <c r="DX393" s="81"/>
      <c r="DY393" s="81"/>
      <c r="DZ393" s="81"/>
      <c r="EA393" s="353"/>
      <c r="EB393" s="1501" t="s">
        <v>466</v>
      </c>
      <c r="EC393" s="730" t="s">
        <v>1569</v>
      </c>
      <c r="ED393" s="731">
        <v>0.5</v>
      </c>
      <c r="EE393" s="331"/>
      <c r="EF393" s="81"/>
      <c r="EG393" s="81"/>
      <c r="EH393" s="331"/>
      <c r="EJ393" s="81"/>
      <c r="EK393" s="377"/>
      <c r="EL393" s="377"/>
      <c r="EM393" s="81"/>
      <c r="EN393" s="377"/>
      <c r="EO393" s="377"/>
      <c r="EP393" s="377"/>
      <c r="EQ393" s="377"/>
      <c r="ER393" s="377"/>
      <c r="ES393" s="702"/>
      <c r="ET393" s="702"/>
      <c r="EU393" s="1023"/>
      <c r="EV393" s="368"/>
      <c r="EW393" s="368"/>
      <c r="EX393" s="369"/>
      <c r="EY393" s="370"/>
      <c r="EZ393" s="370"/>
      <c r="FA393" s="371"/>
      <c r="FB393" s="372"/>
    </row>
    <row r="394" spans="108:158" ht="34.5" customHeight="1">
      <c r="DD394" s="331"/>
      <c r="DE394" s="81"/>
      <c r="DF394" s="81"/>
      <c r="DG394" s="81"/>
      <c r="DH394" s="81"/>
      <c r="DI394" s="81"/>
      <c r="DJ394" s="81"/>
      <c r="DK394" s="81"/>
      <c r="DL394" s="81"/>
      <c r="DM394" s="81"/>
      <c r="DN394" s="81"/>
      <c r="DO394" s="81"/>
      <c r="DP394" s="81"/>
      <c r="DS394" s="81"/>
      <c r="DX394" s="81"/>
      <c r="DY394" s="81"/>
      <c r="DZ394" s="81"/>
      <c r="EA394" s="353"/>
      <c r="EB394" s="1501" t="s">
        <v>1380</v>
      </c>
      <c r="EC394" s="730" t="s">
        <v>1567</v>
      </c>
      <c r="ED394" s="731">
        <v>0.5</v>
      </c>
      <c r="EE394" s="331"/>
      <c r="EF394" s="81"/>
      <c r="EG394" s="81"/>
      <c r="EH394" s="331"/>
      <c r="EJ394" s="81"/>
      <c r="EK394" s="377"/>
      <c r="EL394" s="377"/>
      <c r="EM394" s="81"/>
      <c r="EN394" s="377"/>
      <c r="EO394" s="377"/>
      <c r="EP394" s="377"/>
      <c r="EQ394" s="377"/>
      <c r="ER394" s="377"/>
      <c r="ES394" s="702"/>
      <c r="ET394" s="702"/>
      <c r="EU394" s="1023"/>
      <c r="EV394" s="368"/>
      <c r="EW394" s="368"/>
      <c r="EX394" s="369"/>
      <c r="EY394" s="370"/>
      <c r="EZ394" s="370"/>
      <c r="FA394" s="371"/>
      <c r="FB394" s="372"/>
    </row>
    <row r="395" spans="108:158" ht="34.5" customHeight="1">
      <c r="DD395" s="331"/>
      <c r="DE395" s="81"/>
      <c r="DF395" s="81"/>
      <c r="DG395" s="81"/>
      <c r="DH395" s="81"/>
      <c r="DI395" s="81"/>
      <c r="DJ395" s="81"/>
      <c r="DK395" s="81"/>
      <c r="DL395" s="81"/>
      <c r="DM395" s="81"/>
      <c r="DN395" s="81"/>
      <c r="DO395" s="81"/>
      <c r="DP395" s="81"/>
      <c r="DS395" s="81"/>
      <c r="DX395" s="81"/>
      <c r="DY395" s="81"/>
      <c r="DZ395" s="81"/>
      <c r="EA395" s="353"/>
      <c r="EB395" s="1501" t="s">
        <v>1380</v>
      </c>
      <c r="EC395" s="730" t="s">
        <v>1761</v>
      </c>
      <c r="ED395" s="731">
        <v>0.5</v>
      </c>
      <c r="EE395" s="331"/>
      <c r="EF395" s="81"/>
      <c r="EG395" s="81"/>
      <c r="EH395" s="331"/>
      <c r="EJ395" s="81"/>
      <c r="EK395" s="377"/>
      <c r="EL395" s="377"/>
      <c r="EM395" s="81"/>
      <c r="EN395" s="377"/>
      <c r="EO395" s="377"/>
      <c r="EP395" s="377"/>
      <c r="EQ395" s="377"/>
      <c r="ER395" s="377"/>
      <c r="ES395" s="702"/>
      <c r="ET395" s="702"/>
      <c r="EU395" s="1023"/>
      <c r="EV395" s="368"/>
      <c r="EW395" s="368"/>
      <c r="EX395" s="369"/>
      <c r="EY395" s="370"/>
      <c r="EZ395" s="370"/>
      <c r="FA395" s="371"/>
      <c r="FB395" s="372"/>
    </row>
    <row r="396" spans="108:158" ht="34.5" customHeight="1">
      <c r="DD396" s="331"/>
      <c r="DE396" s="81"/>
      <c r="DF396" s="81"/>
      <c r="DG396" s="81"/>
      <c r="DH396" s="81"/>
      <c r="DI396" s="81"/>
      <c r="DJ396" s="81"/>
      <c r="DK396" s="81"/>
      <c r="DL396" s="81"/>
      <c r="DM396" s="81"/>
      <c r="DN396" s="81"/>
      <c r="DO396" s="81"/>
      <c r="DP396" s="81"/>
      <c r="DS396" s="81"/>
      <c r="DX396" s="81"/>
      <c r="DY396" s="81"/>
      <c r="DZ396" s="81"/>
      <c r="EA396" s="353"/>
      <c r="EB396" s="1501" t="s">
        <v>1380</v>
      </c>
      <c r="EC396" s="730" t="s">
        <v>1745</v>
      </c>
      <c r="ED396" s="731">
        <v>0.5</v>
      </c>
      <c r="EE396" s="331"/>
      <c r="EF396" s="81"/>
      <c r="EG396" s="81"/>
      <c r="EH396" s="331"/>
      <c r="EJ396" s="81"/>
      <c r="EK396" s="377"/>
      <c r="EL396" s="377"/>
      <c r="EM396" s="81"/>
      <c r="EN396" s="377"/>
      <c r="EO396" s="377"/>
      <c r="EP396" s="377"/>
      <c r="EQ396" s="377"/>
      <c r="ER396" s="377"/>
      <c r="ES396" s="702"/>
      <c r="ET396" s="702"/>
      <c r="EU396" s="1023"/>
      <c r="EV396" s="368"/>
      <c r="EW396" s="368"/>
      <c r="EX396" s="369"/>
      <c r="EY396" s="370"/>
      <c r="EZ396" s="370"/>
      <c r="FA396" s="371"/>
      <c r="FB396" s="372"/>
    </row>
    <row r="397" spans="108:158" ht="34.5" customHeight="1">
      <c r="DD397" s="331"/>
      <c r="DE397" s="81"/>
      <c r="DF397" s="81"/>
      <c r="DG397" s="81"/>
      <c r="DH397" s="81"/>
      <c r="DI397" s="81"/>
      <c r="DJ397" s="81"/>
      <c r="DK397" s="81"/>
      <c r="DL397" s="81"/>
      <c r="DM397" s="81"/>
      <c r="DN397" s="81"/>
      <c r="DO397" s="81"/>
      <c r="DP397" s="81"/>
      <c r="DS397" s="81"/>
      <c r="DX397" s="81"/>
      <c r="DY397" s="81"/>
      <c r="DZ397" s="81"/>
      <c r="EA397" s="353"/>
      <c r="EB397" s="1501" t="s">
        <v>1380</v>
      </c>
      <c r="EC397" s="730" t="s">
        <v>1746</v>
      </c>
      <c r="ED397" s="731">
        <v>0.5</v>
      </c>
      <c r="EE397" s="331"/>
      <c r="EF397" s="81"/>
      <c r="EG397" s="81"/>
      <c r="EH397" s="331"/>
      <c r="EJ397" s="81"/>
      <c r="EK397" s="377"/>
      <c r="EL397" s="377"/>
      <c r="EM397" s="81"/>
      <c r="EN397" s="377"/>
      <c r="EO397" s="377"/>
      <c r="EP397" s="377"/>
      <c r="EQ397" s="377"/>
      <c r="ER397" s="377"/>
      <c r="ES397" s="702"/>
      <c r="ET397" s="702"/>
      <c r="EU397" s="1023"/>
      <c r="EV397" s="368"/>
      <c r="EW397" s="368"/>
      <c r="EX397" s="369"/>
      <c r="EY397" s="370"/>
      <c r="EZ397" s="370"/>
      <c r="FA397" s="371"/>
      <c r="FB397" s="372"/>
    </row>
    <row r="398" spans="108:158" ht="34.5" customHeight="1">
      <c r="DD398" s="331"/>
      <c r="DE398" s="81"/>
      <c r="DF398" s="81"/>
      <c r="DG398" s="81"/>
      <c r="DH398" s="81"/>
      <c r="DI398" s="81"/>
      <c r="DJ398" s="81"/>
      <c r="DK398" s="81"/>
      <c r="DL398" s="81"/>
      <c r="DM398" s="81"/>
      <c r="DN398" s="81"/>
      <c r="DO398" s="81"/>
      <c r="DP398" s="81"/>
      <c r="DS398" s="81"/>
      <c r="DX398" s="81"/>
      <c r="DY398" s="81"/>
      <c r="DZ398" s="81"/>
      <c r="EA398" s="353"/>
      <c r="EB398" s="1501" t="s">
        <v>1380</v>
      </c>
      <c r="EC398" s="730" t="s">
        <v>1747</v>
      </c>
      <c r="ED398" s="731">
        <v>0.5</v>
      </c>
      <c r="EE398" s="331"/>
      <c r="EF398" s="81"/>
      <c r="EG398" s="81"/>
      <c r="EH398" s="331"/>
      <c r="EJ398" s="81"/>
      <c r="EK398" s="377"/>
      <c r="EL398" s="377"/>
      <c r="EM398" s="81"/>
      <c r="EN398" s="377"/>
      <c r="EO398" s="377"/>
      <c r="EP398" s="377"/>
      <c r="EQ398" s="377"/>
      <c r="ER398" s="377"/>
      <c r="ES398" s="702"/>
      <c r="ET398" s="702"/>
      <c r="EU398" s="1023"/>
      <c r="EV398" s="368"/>
      <c r="EW398" s="368"/>
      <c r="EX398" s="369"/>
      <c r="EY398" s="370"/>
      <c r="EZ398" s="370"/>
      <c r="FA398" s="371"/>
      <c r="FB398" s="372"/>
    </row>
    <row r="399" spans="108:158" ht="34.5" customHeight="1">
      <c r="DD399" s="331"/>
      <c r="DE399" s="81"/>
      <c r="DF399" s="81"/>
      <c r="DG399" s="81"/>
      <c r="DH399" s="81"/>
      <c r="DI399" s="81"/>
      <c r="DJ399" s="81"/>
      <c r="DK399" s="81"/>
      <c r="DL399" s="81"/>
      <c r="DM399" s="81"/>
      <c r="DN399" s="81"/>
      <c r="DO399" s="81"/>
      <c r="DP399" s="81"/>
      <c r="DS399" s="81"/>
      <c r="DX399" s="81"/>
      <c r="DY399" s="81"/>
      <c r="DZ399" s="81"/>
      <c r="EA399" s="353"/>
      <c r="EB399" s="1501" t="s">
        <v>1380</v>
      </c>
      <c r="EC399" s="730" t="s">
        <v>1748</v>
      </c>
      <c r="ED399" s="731">
        <v>0.5</v>
      </c>
      <c r="EE399" s="331"/>
      <c r="EF399" s="81"/>
      <c r="EG399" s="81"/>
      <c r="EH399" s="331"/>
      <c r="EJ399" s="81"/>
      <c r="EK399" s="377"/>
      <c r="EL399" s="377"/>
      <c r="EM399" s="81"/>
      <c r="EN399" s="377"/>
      <c r="EO399" s="377"/>
      <c r="EP399" s="377"/>
      <c r="EQ399" s="377"/>
      <c r="ER399" s="377"/>
      <c r="ES399" s="702"/>
      <c r="ET399" s="702"/>
      <c r="EU399" s="1023"/>
      <c r="EV399" s="368"/>
      <c r="EW399" s="368"/>
      <c r="EX399" s="369"/>
      <c r="EY399" s="370"/>
      <c r="EZ399" s="370"/>
      <c r="FA399" s="371"/>
      <c r="FB399" s="372"/>
    </row>
    <row r="400" spans="108:158" ht="34.5" customHeight="1">
      <c r="DD400" s="331"/>
      <c r="DE400" s="81"/>
      <c r="DF400" s="81"/>
      <c r="DG400" s="81"/>
      <c r="DH400" s="81"/>
      <c r="DI400" s="81"/>
      <c r="DJ400" s="81"/>
      <c r="DK400" s="81"/>
      <c r="DL400" s="81"/>
      <c r="DM400" s="81"/>
      <c r="DN400" s="81"/>
      <c r="DO400" s="81"/>
      <c r="DP400" s="81"/>
      <c r="DS400" s="81"/>
      <c r="DX400" s="81"/>
      <c r="DY400" s="81"/>
      <c r="DZ400" s="81"/>
      <c r="EA400" s="353"/>
      <c r="EB400" s="1501" t="s">
        <v>1380</v>
      </c>
      <c r="EC400" s="730" t="s">
        <v>1749</v>
      </c>
      <c r="ED400" s="731">
        <v>0.5</v>
      </c>
      <c r="EE400" s="331"/>
      <c r="EF400" s="81"/>
      <c r="EG400" s="81"/>
      <c r="EH400" s="331"/>
      <c r="EJ400" s="81"/>
      <c r="EK400" s="377"/>
      <c r="EL400" s="377"/>
      <c r="EM400" s="81"/>
      <c r="EN400" s="377"/>
      <c r="EO400" s="377"/>
      <c r="EP400" s="377"/>
      <c r="EQ400" s="377"/>
      <c r="ER400" s="377"/>
      <c r="ES400" s="702"/>
      <c r="ET400" s="702"/>
      <c r="EU400" s="1023"/>
      <c r="EV400" s="368"/>
      <c r="EW400" s="368"/>
      <c r="EX400" s="369"/>
      <c r="EY400" s="370"/>
      <c r="EZ400" s="370"/>
      <c r="FA400" s="371"/>
      <c r="FB400" s="372"/>
    </row>
    <row r="401" spans="1:158" ht="34.5" customHeight="1">
      <c r="DD401" s="331"/>
      <c r="DE401" s="81"/>
      <c r="DF401" s="81"/>
      <c r="DG401" s="81"/>
      <c r="DH401" s="81"/>
      <c r="DI401" s="81"/>
      <c r="DJ401" s="81"/>
      <c r="DK401" s="81"/>
      <c r="DL401" s="81"/>
      <c r="DM401" s="81"/>
      <c r="DN401" s="81"/>
      <c r="DO401" s="81"/>
      <c r="DP401" s="81"/>
      <c r="DS401" s="81"/>
      <c r="DX401" s="81"/>
      <c r="DY401" s="81"/>
      <c r="DZ401" s="81"/>
      <c r="EA401" s="353"/>
      <c r="EB401" s="1501" t="s">
        <v>1380</v>
      </c>
      <c r="EC401" s="730" t="s">
        <v>1750</v>
      </c>
      <c r="ED401" s="731">
        <v>0.5</v>
      </c>
      <c r="EE401" s="331"/>
      <c r="EF401" s="81"/>
      <c r="EG401" s="81"/>
      <c r="EH401" s="331"/>
      <c r="EJ401" s="81"/>
      <c r="EK401" s="377"/>
      <c r="EL401" s="377"/>
      <c r="EM401" s="81"/>
      <c r="EN401" s="377"/>
      <c r="EO401" s="377"/>
      <c r="EP401" s="377"/>
      <c r="EQ401" s="377"/>
      <c r="ER401" s="377"/>
      <c r="ES401" s="702"/>
      <c r="ET401" s="702"/>
      <c r="EU401" s="1023"/>
      <c r="EV401" s="368"/>
      <c r="EW401" s="368"/>
      <c r="EX401" s="369"/>
      <c r="EY401" s="370"/>
      <c r="EZ401" s="370"/>
      <c r="FA401" s="371"/>
      <c r="FB401" s="372"/>
    </row>
    <row r="402" spans="1:158" ht="34.5" customHeight="1">
      <c r="DD402" s="349"/>
      <c r="DE402" s="81"/>
      <c r="DF402" s="81"/>
      <c r="DG402" s="81"/>
      <c r="DH402" s="81"/>
      <c r="DI402" s="81"/>
      <c r="DJ402" s="81"/>
      <c r="DK402" s="81"/>
      <c r="DL402" s="81"/>
      <c r="DM402" s="81"/>
      <c r="DN402" s="81"/>
      <c r="DO402" s="81"/>
      <c r="DP402" s="81"/>
      <c r="DS402" s="81"/>
      <c r="DX402" s="81"/>
      <c r="DY402" s="81"/>
      <c r="DZ402" s="81"/>
      <c r="EA402" s="353"/>
      <c r="EB402" s="1501" t="s">
        <v>1380</v>
      </c>
      <c r="EC402" s="730" t="s">
        <v>1751</v>
      </c>
      <c r="ED402" s="731">
        <v>0.5</v>
      </c>
      <c r="EE402" s="331"/>
      <c r="EF402" s="81"/>
      <c r="EG402" s="81"/>
      <c r="EH402" s="331"/>
      <c r="EJ402" s="81"/>
      <c r="EK402" s="377"/>
      <c r="EL402" s="377"/>
      <c r="EM402" s="81"/>
      <c r="EN402" s="377"/>
      <c r="EO402" s="377"/>
      <c r="EP402" s="377"/>
      <c r="EQ402" s="377"/>
      <c r="ER402" s="377"/>
      <c r="ES402" s="702"/>
      <c r="ET402" s="702"/>
      <c r="EU402" s="1023"/>
      <c r="EV402" s="368"/>
      <c r="EW402" s="368"/>
      <c r="EX402" s="369"/>
      <c r="EY402" s="370"/>
      <c r="EZ402" s="370"/>
      <c r="FA402" s="371"/>
      <c r="FB402" s="372"/>
    </row>
    <row r="403" spans="1:158" ht="34.5" customHeight="1">
      <c r="DD403" s="349"/>
      <c r="DE403" s="81"/>
      <c r="DF403" s="81"/>
      <c r="DG403" s="81"/>
      <c r="DH403" s="81"/>
      <c r="DI403" s="81"/>
      <c r="DJ403" s="81"/>
      <c r="DK403" s="81"/>
      <c r="DL403" s="81"/>
      <c r="DM403" s="81"/>
      <c r="DN403" s="81"/>
      <c r="DO403" s="81"/>
      <c r="DP403" s="81"/>
      <c r="DS403" s="81"/>
      <c r="DX403" s="81"/>
      <c r="DY403" s="81"/>
      <c r="DZ403" s="81"/>
      <c r="EA403" s="353"/>
      <c r="EB403" s="1501" t="s">
        <v>1380</v>
      </c>
      <c r="EC403" s="730" t="s">
        <v>1752</v>
      </c>
      <c r="ED403" s="731">
        <v>0.5</v>
      </c>
      <c r="EE403" s="81"/>
      <c r="EF403" s="81"/>
      <c r="EG403" s="81"/>
      <c r="EH403" s="331"/>
      <c r="EJ403" s="81"/>
      <c r="EK403" s="377"/>
      <c r="EL403" s="377"/>
      <c r="EM403" s="81"/>
      <c r="EN403" s="377"/>
      <c r="EO403" s="377"/>
      <c r="EP403" s="377"/>
      <c r="EQ403" s="377"/>
      <c r="ER403" s="377"/>
      <c r="ES403" s="702"/>
      <c r="ET403" s="702"/>
      <c r="EU403" s="1023"/>
      <c r="EV403" s="368"/>
      <c r="EW403" s="368"/>
      <c r="EX403" s="369"/>
      <c r="EY403" s="370"/>
      <c r="EZ403" s="370"/>
      <c r="FA403" s="371"/>
      <c r="FB403" s="372"/>
    </row>
    <row r="404" spans="1:158" ht="34.5" customHeight="1">
      <c r="DD404" s="349"/>
      <c r="DE404" s="81"/>
      <c r="DF404" s="81"/>
      <c r="DG404" s="81"/>
      <c r="DH404" s="81"/>
      <c r="DI404" s="81"/>
      <c r="DJ404" s="81"/>
      <c r="DK404" s="81"/>
      <c r="DL404" s="81"/>
      <c r="DM404" s="81"/>
      <c r="DN404" s="81"/>
      <c r="DO404" s="81"/>
      <c r="DP404" s="81"/>
      <c r="DS404" s="81"/>
      <c r="DX404" s="81"/>
      <c r="DY404" s="81"/>
      <c r="DZ404" s="81"/>
      <c r="EA404" s="353"/>
      <c r="EB404" s="1501" t="s">
        <v>1380</v>
      </c>
      <c r="EC404" s="730" t="s">
        <v>1753</v>
      </c>
      <c r="ED404" s="731">
        <v>0.5</v>
      </c>
      <c r="EE404" s="81"/>
      <c r="EF404" s="81"/>
      <c r="EG404" s="81"/>
      <c r="EH404" s="331"/>
      <c r="EJ404" s="81"/>
      <c r="EK404" s="377"/>
      <c r="EL404" s="377"/>
      <c r="EM404" s="81"/>
      <c r="EN404" s="377"/>
      <c r="EO404" s="377"/>
      <c r="EP404" s="377"/>
      <c r="EQ404" s="377"/>
      <c r="ER404" s="377"/>
      <c r="ES404" s="702"/>
      <c r="ET404" s="702"/>
      <c r="EU404" s="1023"/>
      <c r="EV404" s="368"/>
      <c r="EW404" s="368"/>
      <c r="EX404" s="369"/>
      <c r="EY404" s="370"/>
      <c r="EZ404" s="370"/>
      <c r="FA404" s="371"/>
      <c r="FB404" s="372"/>
    </row>
    <row r="405" spans="1:158" ht="34.5" customHeight="1">
      <c r="DD405" s="37"/>
      <c r="DE405" s="81"/>
      <c r="DF405" s="81"/>
      <c r="DG405" s="81"/>
      <c r="DH405" s="81"/>
      <c r="DI405" s="81"/>
      <c r="DJ405" s="81"/>
      <c r="DK405" s="81"/>
      <c r="DL405" s="81"/>
      <c r="DM405" s="81"/>
      <c r="DN405" s="81"/>
      <c r="DO405" s="81"/>
      <c r="DP405" s="81"/>
      <c r="DS405" s="81"/>
      <c r="DX405" s="81"/>
      <c r="DY405" s="81"/>
      <c r="DZ405" s="81"/>
      <c r="EA405" s="353"/>
      <c r="EB405" s="1501" t="s">
        <v>1380</v>
      </c>
      <c r="EC405" s="730" t="s">
        <v>1754</v>
      </c>
      <c r="ED405" s="731">
        <v>0.5</v>
      </c>
      <c r="EE405" s="374"/>
      <c r="EF405" s="81"/>
      <c r="EG405" s="81"/>
      <c r="EH405" s="331"/>
      <c r="EJ405" s="81"/>
      <c r="EK405" s="377"/>
      <c r="EL405" s="377"/>
      <c r="EM405" s="81"/>
      <c r="EN405" s="377"/>
      <c r="EO405" s="377"/>
      <c r="EP405" s="377"/>
      <c r="EQ405" s="377"/>
      <c r="ER405" s="377"/>
      <c r="ES405" s="702"/>
      <c r="ET405" s="702"/>
      <c r="EU405" s="1023"/>
      <c r="EV405" s="368"/>
      <c r="EW405" s="368"/>
      <c r="EX405" s="369"/>
      <c r="EY405" s="370"/>
      <c r="EZ405" s="370"/>
      <c r="FA405" s="371"/>
      <c r="FB405" s="372"/>
    </row>
    <row r="406" spans="1:158" ht="34.5" customHeight="1">
      <c r="DD406" s="37"/>
      <c r="DE406" s="81"/>
      <c r="DF406" s="81"/>
      <c r="DG406" s="81"/>
      <c r="DH406" s="81"/>
      <c r="DI406" s="81"/>
      <c r="DJ406" s="81"/>
      <c r="DK406" s="81"/>
      <c r="DL406" s="81"/>
      <c r="DM406" s="81"/>
      <c r="DN406" s="81"/>
      <c r="DO406" s="81"/>
      <c r="DP406" s="81"/>
      <c r="DS406" s="81"/>
      <c r="DX406" s="81"/>
      <c r="DY406" s="81"/>
      <c r="DZ406" s="81"/>
      <c r="EA406" s="353"/>
      <c r="EB406" s="1501" t="s">
        <v>1380</v>
      </c>
      <c r="EC406" s="730" t="s">
        <v>1756</v>
      </c>
      <c r="ED406" s="731">
        <v>0.5</v>
      </c>
      <c r="EE406" s="331"/>
      <c r="EF406" s="81"/>
      <c r="EG406" s="81"/>
      <c r="EH406" s="331"/>
      <c r="EJ406" s="81"/>
      <c r="EK406" s="377"/>
      <c r="EL406" s="377"/>
      <c r="EM406" s="81"/>
      <c r="EN406" s="377"/>
      <c r="EO406" s="377"/>
      <c r="EP406" s="377"/>
      <c r="EQ406" s="377"/>
      <c r="ER406" s="377"/>
      <c r="ES406" s="702"/>
      <c r="ET406" s="702"/>
      <c r="EU406" s="1023"/>
      <c r="EV406" s="368"/>
      <c r="EW406" s="368"/>
      <c r="EX406" s="369"/>
      <c r="EY406" s="370"/>
      <c r="EZ406" s="370"/>
      <c r="FA406" s="371"/>
      <c r="FB406" s="372"/>
    </row>
    <row r="407" spans="1:158" ht="34.5" customHeight="1">
      <c r="DD407" s="37"/>
      <c r="DE407" s="81"/>
      <c r="DF407" s="81"/>
      <c r="DG407" s="81"/>
      <c r="DH407" s="81"/>
      <c r="DI407" s="81"/>
      <c r="DJ407" s="81"/>
      <c r="DK407" s="81"/>
      <c r="DL407" s="81"/>
      <c r="DM407" s="81"/>
      <c r="DN407" s="81"/>
      <c r="DO407" s="81"/>
      <c r="DP407" s="81"/>
      <c r="DS407" s="331"/>
      <c r="DX407" s="81"/>
      <c r="DY407" s="81"/>
      <c r="DZ407" s="81"/>
      <c r="EA407" s="353"/>
      <c r="EB407" s="1501" t="s">
        <v>1380</v>
      </c>
      <c r="EC407" s="730" t="s">
        <v>1756</v>
      </c>
      <c r="ED407" s="731">
        <v>0.5</v>
      </c>
      <c r="EE407" s="331"/>
      <c r="EF407" s="81"/>
      <c r="EG407" s="81"/>
      <c r="EH407" s="331"/>
      <c r="EJ407" s="81"/>
      <c r="EK407" s="377"/>
      <c r="EL407" s="377"/>
      <c r="EM407" s="81"/>
      <c r="EN407" s="377"/>
      <c r="EO407" s="377"/>
      <c r="EP407" s="377"/>
      <c r="EQ407" s="377"/>
      <c r="ER407" s="377"/>
      <c r="ES407" s="702"/>
      <c r="ET407" s="702"/>
      <c r="EU407" s="1023"/>
      <c r="EV407" s="368"/>
      <c r="EW407" s="368"/>
      <c r="EX407" s="369"/>
      <c r="EY407" s="370"/>
      <c r="EZ407" s="370"/>
      <c r="FA407" s="371"/>
      <c r="FB407" s="372"/>
    </row>
    <row r="408" spans="1:158" ht="34.5" customHeight="1">
      <c r="DD408" s="5"/>
      <c r="DE408" s="81"/>
      <c r="DF408" s="81"/>
      <c r="DG408" s="81"/>
      <c r="DH408" s="81"/>
      <c r="DI408" s="81"/>
      <c r="DJ408" s="81"/>
      <c r="DK408" s="81"/>
      <c r="DL408" s="81"/>
      <c r="DM408" s="81"/>
      <c r="DN408" s="81"/>
      <c r="DO408" s="81"/>
      <c r="DP408" s="81"/>
      <c r="DS408" s="331"/>
      <c r="DX408" s="81"/>
      <c r="DY408" s="81"/>
      <c r="DZ408" s="81"/>
      <c r="EA408" s="353"/>
      <c r="EB408" s="1501" t="s">
        <v>1380</v>
      </c>
      <c r="EC408" s="730" t="s">
        <v>1757</v>
      </c>
      <c r="ED408" s="731">
        <v>0.5</v>
      </c>
      <c r="EE408" s="331"/>
      <c r="EF408" s="81"/>
      <c r="EG408" s="81"/>
      <c r="EH408" s="331"/>
      <c r="EJ408" s="81"/>
      <c r="EK408" s="377"/>
      <c r="EL408" s="377"/>
      <c r="EM408" s="81"/>
      <c r="EN408" s="377"/>
      <c r="EO408" s="377"/>
      <c r="EP408" s="377"/>
      <c r="EQ408" s="377"/>
      <c r="ER408" s="377"/>
      <c r="ES408" s="702"/>
      <c r="ET408" s="702"/>
      <c r="EU408" s="1023"/>
      <c r="EV408" s="368"/>
      <c r="EW408" s="368"/>
      <c r="EX408" s="369"/>
      <c r="EY408" s="370"/>
      <c r="EZ408" s="370"/>
      <c r="FA408" s="371"/>
      <c r="FB408" s="372"/>
    </row>
    <row r="409" spans="1:158" s="497" customFormat="1" ht="55.5" customHeight="1">
      <c r="A409"/>
      <c r="B409"/>
      <c r="C409"/>
      <c r="D409"/>
      <c r="E409"/>
      <c r="F409"/>
      <c r="G409"/>
      <c r="H409"/>
      <c r="I409"/>
      <c r="J409"/>
      <c r="K409"/>
      <c r="L409"/>
      <c r="M409"/>
      <c r="N409"/>
      <c r="O409"/>
      <c r="P409"/>
      <c r="Q409"/>
      <c r="R409"/>
      <c r="S409"/>
      <c r="T409"/>
      <c r="U409"/>
      <c r="V409"/>
      <c r="W409"/>
      <c r="X409"/>
      <c r="Y409"/>
      <c r="Z409" s="35"/>
      <c r="AA409"/>
      <c r="AB409"/>
      <c r="AC409"/>
      <c r="AD409"/>
      <c r="AE409"/>
      <c r="AF409"/>
      <c r="AG409"/>
      <c r="AH409"/>
      <c r="AI409"/>
      <c r="AJ409"/>
      <c r="AK409"/>
      <c r="AL409"/>
      <c r="AM409"/>
      <c r="AN409"/>
      <c r="AO409" s="1161"/>
      <c r="AP409" s="1161"/>
      <c r="AQ409" s="1161"/>
      <c r="AR409" s="1161"/>
      <c r="AS409"/>
      <c r="AT409" s="742"/>
      <c r="AU409"/>
      <c r="AV409" s="288"/>
      <c r="AW409"/>
      <c r="AX409"/>
      <c r="AY409" s="425"/>
      <c r="AZ409"/>
      <c r="BA409"/>
      <c r="BB409" s="35"/>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s="715"/>
      <c r="CL409" s="288"/>
      <c r="CM409" s="288"/>
      <c r="CN409"/>
      <c r="CO409"/>
      <c r="CP409"/>
      <c r="CQ409"/>
      <c r="CR409"/>
      <c r="CS409"/>
      <c r="CT409"/>
      <c r="CU409"/>
      <c r="CV409"/>
      <c r="CW409"/>
      <c r="CX409"/>
      <c r="CY409"/>
      <c r="CZ409"/>
      <c r="DA409"/>
      <c r="DB409"/>
      <c r="DC409"/>
      <c r="DD409" s="5"/>
      <c r="DE409" s="81"/>
      <c r="DF409" s="81"/>
      <c r="DG409" s="81"/>
      <c r="DH409" s="81"/>
      <c r="DI409" s="81"/>
      <c r="DJ409" s="81"/>
      <c r="DK409" s="81"/>
      <c r="DL409" s="81"/>
      <c r="DM409" s="81"/>
      <c r="DN409" s="81"/>
      <c r="DO409" s="81"/>
      <c r="DP409" s="81"/>
      <c r="DQ409"/>
      <c r="DR409"/>
      <c r="DS409" s="81"/>
      <c r="DT409"/>
      <c r="DU409" s="416"/>
      <c r="DV409" s="416"/>
      <c r="DW409" s="416"/>
      <c r="DX409" s="81"/>
      <c r="DY409" s="81"/>
      <c r="DZ409" s="81"/>
      <c r="EA409" s="353"/>
      <c r="EB409" s="1501" t="s">
        <v>1380</v>
      </c>
      <c r="EC409" s="730" t="s">
        <v>1758</v>
      </c>
      <c r="ED409" s="731">
        <v>0.5</v>
      </c>
      <c r="EE409" s="331"/>
      <c r="EF409" s="81"/>
      <c r="EG409" s="81"/>
      <c r="EH409" s="331"/>
      <c r="EI409"/>
      <c r="EJ409" s="81"/>
      <c r="EK409" s="377"/>
      <c r="EL409" s="377"/>
      <c r="EM409" s="81"/>
      <c r="EN409" s="377"/>
      <c r="EO409" s="377"/>
      <c r="EP409" s="377"/>
      <c r="EQ409" s="377"/>
      <c r="ER409" s="377"/>
      <c r="ES409" s="702"/>
      <c r="ET409" s="702"/>
      <c r="EU409" s="1023"/>
      <c r="EV409" s="505"/>
      <c r="EW409" s="505"/>
      <c r="EX409" s="505"/>
      <c r="EY409" s="505"/>
      <c r="EZ409" s="506"/>
      <c r="FA409" s="501"/>
      <c r="FB409" s="507"/>
    </row>
    <row r="410" spans="1:158" ht="42.75" customHeight="1">
      <c r="DD410" s="5"/>
      <c r="DE410" s="81"/>
      <c r="DF410" s="81"/>
      <c r="DG410" s="81"/>
      <c r="DH410" s="81"/>
      <c r="DI410" s="81"/>
      <c r="DJ410" s="81"/>
      <c r="DK410" s="81"/>
      <c r="DL410" s="81"/>
      <c r="DM410" s="81"/>
      <c r="DN410" s="81"/>
      <c r="DO410" s="81"/>
      <c r="DP410" s="81"/>
      <c r="DS410" s="81"/>
      <c r="DX410" s="81"/>
      <c r="DY410" s="81"/>
      <c r="DZ410" s="81"/>
      <c r="EA410" s="353"/>
      <c r="EB410" s="1501" t="s">
        <v>1380</v>
      </c>
      <c r="EC410" s="730" t="s">
        <v>1759</v>
      </c>
      <c r="ED410" s="731">
        <v>0.5</v>
      </c>
      <c r="EE410" s="331"/>
      <c r="EF410" s="81"/>
      <c r="EG410" s="81"/>
      <c r="EH410" s="331"/>
      <c r="EJ410" s="81"/>
      <c r="EK410" s="377"/>
      <c r="EL410" s="377"/>
      <c r="EM410" s="81"/>
      <c r="EN410" s="377"/>
      <c r="EO410" s="377"/>
      <c r="EP410" s="377"/>
      <c r="EQ410" s="377"/>
      <c r="ER410" s="377"/>
      <c r="ES410" s="702"/>
      <c r="ET410" s="702"/>
      <c r="EU410" s="1023"/>
      <c r="EV410" s="81"/>
      <c r="EW410" s="354"/>
      <c r="EX410" s="355"/>
      <c r="EY410" s="81"/>
      <c r="EZ410" s="370"/>
      <c r="FA410" s="81"/>
      <c r="FB410" s="372"/>
    </row>
    <row r="411" spans="1:158" ht="17.649999999999999" customHeight="1">
      <c r="DD411" s="5"/>
      <c r="DE411" s="81"/>
      <c r="DF411" s="81"/>
      <c r="DG411" s="81"/>
      <c r="DH411" s="81"/>
      <c r="DI411" s="81"/>
      <c r="DJ411" s="81"/>
      <c r="DK411" s="81"/>
      <c r="DL411" s="81"/>
      <c r="DM411" s="81"/>
      <c r="DN411" s="81"/>
      <c r="DO411" s="81"/>
      <c r="DP411" s="81"/>
      <c r="DS411" s="81"/>
      <c r="DX411" s="81"/>
      <c r="DY411" s="81"/>
      <c r="DZ411" s="81"/>
      <c r="EA411" s="353"/>
      <c r="EB411" s="1501" t="s">
        <v>1380</v>
      </c>
      <c r="EC411" s="730" t="s">
        <v>455</v>
      </c>
      <c r="ED411" s="731">
        <v>0.5</v>
      </c>
      <c r="EE411" s="331"/>
      <c r="EF411" s="81"/>
      <c r="EG411" s="81"/>
      <c r="EH411" s="331"/>
      <c r="EJ411" s="81"/>
      <c r="EK411" s="377"/>
      <c r="EL411" s="377"/>
      <c r="EM411" s="367"/>
      <c r="EN411" s="377"/>
      <c r="EO411" s="377"/>
      <c r="EP411" s="377"/>
      <c r="EQ411" s="377"/>
      <c r="ER411" s="377"/>
      <c r="ES411" s="702"/>
      <c r="ET411" s="702"/>
      <c r="EU411" s="1023"/>
      <c r="EV411" s="377"/>
      <c r="EW411" s="378"/>
      <c r="EX411" s="379"/>
      <c r="EY411" s="377"/>
      <c r="EZ411" s="380"/>
      <c r="FA411" s="377"/>
      <c r="FB411" s="381"/>
    </row>
    <row r="412" spans="1:158" ht="17.649999999999999" customHeight="1">
      <c r="DD412" s="5"/>
      <c r="DE412" s="81"/>
      <c r="DF412" s="81"/>
      <c r="DG412" s="81"/>
      <c r="DH412" s="81"/>
      <c r="DI412" s="81"/>
      <c r="DJ412" s="81"/>
      <c r="DK412" s="81"/>
      <c r="DL412" s="81"/>
      <c r="DM412" s="81"/>
      <c r="DN412" s="81"/>
      <c r="DO412" s="81"/>
      <c r="DP412" s="81"/>
      <c r="DS412" s="81"/>
      <c r="DX412" s="81"/>
      <c r="DY412" s="81"/>
      <c r="DZ412" s="81"/>
      <c r="EA412" s="353"/>
      <c r="EB412" s="1501" t="s">
        <v>1380</v>
      </c>
      <c r="EC412" s="730" t="s">
        <v>1760</v>
      </c>
      <c r="ED412" s="731">
        <v>0.5</v>
      </c>
      <c r="EE412" s="331"/>
      <c r="EF412" s="81"/>
      <c r="EG412" s="81"/>
      <c r="EH412" s="331"/>
      <c r="EJ412" s="81"/>
      <c r="EK412" s="377"/>
      <c r="EL412" s="377"/>
      <c r="EM412" s="367"/>
      <c r="EN412" s="377"/>
      <c r="EO412" s="377"/>
      <c r="EP412" s="377"/>
      <c r="EQ412" s="377"/>
      <c r="ER412" s="377"/>
      <c r="ES412" s="702"/>
      <c r="ET412" s="702"/>
      <c r="EU412" s="1023"/>
      <c r="EV412" s="377"/>
      <c r="EW412" s="378"/>
      <c r="EX412" s="379"/>
      <c r="EY412" s="377"/>
      <c r="EZ412" s="380"/>
      <c r="FA412" s="377"/>
      <c r="FB412" s="381"/>
    </row>
    <row r="413" spans="1:158" ht="17.649999999999999" customHeight="1">
      <c r="DD413" s="5"/>
      <c r="DE413" s="81"/>
      <c r="DF413" s="81"/>
      <c r="DG413" s="81"/>
      <c r="DH413" s="81"/>
      <c r="DI413" s="81"/>
      <c r="DJ413" s="81"/>
      <c r="DK413" s="81"/>
      <c r="DL413" s="81"/>
      <c r="DM413" s="81"/>
      <c r="DN413" s="81"/>
      <c r="DO413" s="81"/>
      <c r="DP413" s="81"/>
      <c r="DS413" s="332"/>
      <c r="DX413" s="81"/>
      <c r="DY413" s="81"/>
      <c r="DZ413" s="81"/>
      <c r="EA413" s="353"/>
      <c r="EB413" s="1501" t="s">
        <v>1380</v>
      </c>
      <c r="EC413" s="730" t="s">
        <v>1656</v>
      </c>
      <c r="ED413" s="731">
        <v>0.5</v>
      </c>
      <c r="EE413" s="331"/>
      <c r="EF413" s="81"/>
      <c r="EG413" s="81"/>
      <c r="EH413" s="331"/>
      <c r="EJ413" s="81"/>
      <c r="EK413" s="377"/>
      <c r="EL413" s="377"/>
      <c r="EM413" s="367"/>
      <c r="EN413" s="377"/>
      <c r="EO413" s="377"/>
      <c r="EP413" s="377"/>
      <c r="EQ413" s="377"/>
      <c r="ER413" s="377"/>
      <c r="ES413" s="702"/>
      <c r="ET413" s="702"/>
      <c r="EU413" s="1023"/>
      <c r="EV413" s="377"/>
      <c r="EW413" s="378"/>
      <c r="EX413" s="379"/>
      <c r="EY413" s="377"/>
      <c r="EZ413" s="380"/>
      <c r="FA413" s="377"/>
      <c r="FB413" s="381"/>
    </row>
    <row r="414" spans="1:158" ht="17.649999999999999" customHeight="1">
      <c r="DD414" s="5"/>
      <c r="DE414" s="81"/>
      <c r="DF414" s="81"/>
      <c r="DG414" s="81"/>
      <c r="DH414" s="81"/>
      <c r="DI414" s="81"/>
      <c r="DJ414" s="81"/>
      <c r="DK414" s="81"/>
      <c r="DL414" s="81"/>
      <c r="DM414" s="81"/>
      <c r="DN414" s="81"/>
      <c r="DO414" s="81"/>
      <c r="DP414" s="81"/>
      <c r="DS414" s="329"/>
      <c r="DX414" s="81"/>
      <c r="DY414" s="81"/>
      <c r="DZ414" s="81"/>
      <c r="EA414" s="353"/>
      <c r="EB414" s="1499" t="s">
        <v>1287</v>
      </c>
      <c r="EC414" s="730" t="s">
        <v>1269</v>
      </c>
      <c r="ED414" s="731">
        <v>0.5</v>
      </c>
      <c r="EE414" s="331"/>
      <c r="EF414" s="81"/>
      <c r="EG414" s="81"/>
      <c r="EH414" s="331"/>
      <c r="EJ414" s="81"/>
      <c r="EK414" s="377"/>
      <c r="EL414" s="377"/>
      <c r="EM414" s="367"/>
      <c r="EN414" s="377"/>
      <c r="EO414" s="377"/>
      <c r="EP414" s="377"/>
      <c r="EQ414" s="377"/>
      <c r="ER414" s="377"/>
      <c r="ES414" s="702"/>
      <c r="ET414" s="702"/>
      <c r="EU414" s="1023"/>
      <c r="EV414" s="377"/>
      <c r="EW414" s="378"/>
      <c r="EX414" s="379"/>
      <c r="EY414" s="377"/>
      <c r="EZ414" s="380"/>
      <c r="FA414" s="377"/>
      <c r="FB414" s="381"/>
    </row>
    <row r="415" spans="1:158" ht="17.649999999999999" customHeight="1">
      <c r="DD415" s="5"/>
      <c r="DE415" s="81"/>
      <c r="DF415" s="81"/>
      <c r="DG415" s="81"/>
      <c r="DH415" s="81"/>
      <c r="DI415" s="81"/>
      <c r="DJ415" s="81"/>
      <c r="DK415" s="81"/>
      <c r="DL415" s="81"/>
      <c r="DM415" s="81"/>
      <c r="DN415" s="81"/>
      <c r="DO415" s="81"/>
      <c r="DP415" s="81"/>
      <c r="DS415" s="332"/>
      <c r="DX415" s="81"/>
      <c r="DY415" s="81"/>
      <c r="DZ415" s="81"/>
      <c r="EA415" s="353"/>
      <c r="EB415" s="1499" t="s">
        <v>1288</v>
      </c>
      <c r="EC415" s="730" t="s">
        <v>1269</v>
      </c>
      <c r="ED415" s="731">
        <v>0.5</v>
      </c>
      <c r="EE415" s="331"/>
      <c r="EF415" s="81"/>
      <c r="EG415" s="81"/>
      <c r="EH415" s="331"/>
      <c r="EJ415" s="81"/>
      <c r="EK415" s="377"/>
      <c r="EL415" s="377"/>
      <c r="EM415" s="367"/>
      <c r="EN415" s="377"/>
      <c r="EO415" s="377"/>
      <c r="EP415" s="377"/>
      <c r="EQ415" s="377"/>
      <c r="ER415" s="377"/>
      <c r="ES415" s="702"/>
      <c r="ET415" s="702"/>
      <c r="EU415" s="1023"/>
      <c r="EV415" s="377"/>
      <c r="EW415" s="378"/>
      <c r="EX415" s="379"/>
      <c r="EY415" s="377"/>
      <c r="EZ415" s="380"/>
      <c r="FA415" s="377"/>
      <c r="FB415" s="381"/>
    </row>
    <row r="416" spans="1:158" ht="17.649999999999999" customHeight="1">
      <c r="DD416" s="5"/>
      <c r="DE416" s="81"/>
      <c r="DF416" s="81"/>
      <c r="DG416" s="81"/>
      <c r="DH416" s="81"/>
      <c r="DI416" s="81"/>
      <c r="DJ416" s="81"/>
      <c r="DK416" s="81"/>
      <c r="DL416" s="81"/>
      <c r="DM416" s="81"/>
      <c r="DN416" s="81"/>
      <c r="DO416" s="81"/>
      <c r="DP416" s="81"/>
      <c r="DS416" s="332"/>
      <c r="DX416" s="81"/>
      <c r="DY416" s="81"/>
      <c r="DZ416" s="81"/>
      <c r="EA416" s="353"/>
      <c r="EB416" s="1499" t="s">
        <v>74</v>
      </c>
      <c r="EC416" s="730" t="s">
        <v>1269</v>
      </c>
      <c r="ED416" s="731">
        <v>0.5</v>
      </c>
      <c r="EE416" s="331"/>
      <c r="EF416" s="81"/>
      <c r="EG416" s="81"/>
      <c r="EH416" s="331"/>
      <c r="EJ416" s="81"/>
      <c r="EK416" s="377"/>
      <c r="EL416" s="377"/>
      <c r="EM416" s="367"/>
      <c r="EN416" s="377"/>
      <c r="EO416" s="377"/>
      <c r="EP416" s="377"/>
      <c r="EQ416" s="377"/>
      <c r="ER416" s="377"/>
      <c r="ES416" s="702"/>
      <c r="ET416" s="702"/>
      <c r="EU416" s="1023"/>
      <c r="EV416" s="377"/>
      <c r="EW416" s="378"/>
      <c r="EX416" s="379"/>
      <c r="EY416" s="377"/>
      <c r="EZ416" s="380"/>
      <c r="FA416" s="377"/>
      <c r="FB416" s="381"/>
    </row>
    <row r="417" spans="108:158" ht="18" customHeight="1">
      <c r="DD417" s="5"/>
      <c r="DE417" s="81"/>
      <c r="DF417" s="81"/>
      <c r="DG417" s="81"/>
      <c r="DH417" s="81"/>
      <c r="DI417" s="81"/>
      <c r="DJ417" s="81"/>
      <c r="DK417" s="81"/>
      <c r="DL417" s="81"/>
      <c r="DM417" s="81"/>
      <c r="DN417" s="81"/>
      <c r="DO417" s="81"/>
      <c r="DP417" s="81"/>
      <c r="DS417" s="332"/>
      <c r="DX417" s="81"/>
      <c r="DY417" s="81"/>
      <c r="DZ417" s="81"/>
      <c r="EA417" s="353"/>
      <c r="EB417" s="1499" t="s">
        <v>75</v>
      </c>
      <c r="EC417" s="730" t="s">
        <v>1269</v>
      </c>
      <c r="ED417" s="731">
        <v>0.5</v>
      </c>
      <c r="EE417" s="331"/>
      <c r="EF417" s="81"/>
      <c r="EG417" s="81"/>
      <c r="EH417" s="331"/>
      <c r="EJ417" s="81"/>
      <c r="EK417" s="377"/>
      <c r="EL417" s="377"/>
      <c r="EM417" s="367"/>
      <c r="EN417" s="377"/>
      <c r="EO417" s="377"/>
      <c r="EP417" s="377"/>
      <c r="EQ417" s="377"/>
      <c r="ER417" s="377"/>
      <c r="ES417" s="702"/>
      <c r="ET417" s="702"/>
      <c r="EU417" s="1023"/>
      <c r="EV417" s="377"/>
      <c r="EW417" s="378"/>
      <c r="EX417" s="379"/>
      <c r="EY417" s="377"/>
      <c r="EZ417" s="380"/>
      <c r="FA417" s="377"/>
      <c r="FB417" s="381"/>
    </row>
    <row r="418" spans="108:158" ht="17.25" customHeight="1">
      <c r="DD418" s="5"/>
      <c r="DE418" s="81"/>
      <c r="DF418" s="81"/>
      <c r="DG418" s="81"/>
      <c r="DH418" s="81"/>
      <c r="DI418" s="81"/>
      <c r="DJ418" s="81"/>
      <c r="DK418" s="81"/>
      <c r="DL418" s="81"/>
      <c r="DM418" s="81"/>
      <c r="DN418" s="81"/>
      <c r="DO418" s="81"/>
      <c r="DP418" s="81"/>
      <c r="DS418" s="332"/>
      <c r="DX418" s="81"/>
      <c r="DY418" s="81"/>
      <c r="DZ418" s="81"/>
      <c r="EA418" s="353"/>
      <c r="EB418" s="1499" t="s">
        <v>73</v>
      </c>
      <c r="EC418" s="730" t="s">
        <v>1269</v>
      </c>
      <c r="ED418" s="731">
        <v>0.5</v>
      </c>
      <c r="EE418" s="331"/>
      <c r="EF418" s="81"/>
      <c r="EG418" s="81"/>
      <c r="EH418" s="331"/>
      <c r="EJ418" s="81"/>
      <c r="EK418" s="377"/>
      <c r="EL418" s="377"/>
      <c r="EM418" s="367"/>
      <c r="EN418" s="377"/>
      <c r="EO418" s="377"/>
      <c r="EP418" s="377"/>
      <c r="EQ418" s="377"/>
      <c r="ER418" s="377"/>
      <c r="ES418" s="702"/>
      <c r="ET418" s="702"/>
      <c r="EU418" s="1023"/>
      <c r="EV418" s="377"/>
      <c r="EW418" s="378"/>
      <c r="EX418" s="379"/>
      <c r="EY418" s="377"/>
      <c r="EZ418" s="380"/>
      <c r="FA418" s="377"/>
      <c r="FB418" s="381"/>
    </row>
    <row r="419" spans="108:158" ht="15" customHeight="1">
      <c r="DD419" s="5"/>
      <c r="DE419" s="81"/>
      <c r="DF419" s="81"/>
      <c r="DG419" s="81"/>
      <c r="DH419" s="81"/>
      <c r="DI419" s="81"/>
      <c r="DJ419" s="81"/>
      <c r="DK419" s="81"/>
      <c r="DL419" s="81"/>
      <c r="DM419" s="81"/>
      <c r="DN419" s="81"/>
      <c r="DO419" s="81"/>
      <c r="DP419" s="81"/>
      <c r="DS419" s="332"/>
      <c r="DX419" s="81"/>
      <c r="DY419" s="81"/>
      <c r="DZ419" s="81"/>
      <c r="EA419" s="353"/>
      <c r="EB419" s="1499" t="s">
        <v>1560</v>
      </c>
      <c r="EC419" s="730" t="s">
        <v>1269</v>
      </c>
      <c r="ED419" s="731">
        <v>0.5</v>
      </c>
      <c r="EE419" s="331"/>
      <c r="EF419" s="81"/>
      <c r="EG419" s="81"/>
      <c r="EH419" s="331"/>
      <c r="EJ419" s="81"/>
      <c r="EK419" s="377"/>
      <c r="EL419" s="377"/>
      <c r="EM419" s="367"/>
      <c r="EN419" s="377"/>
      <c r="EO419" s="377"/>
      <c r="EP419" s="377"/>
      <c r="EQ419" s="377"/>
      <c r="ER419" s="377"/>
      <c r="ES419" s="702"/>
      <c r="ET419" s="702"/>
      <c r="EU419" s="1023"/>
      <c r="EV419" s="377"/>
      <c r="EW419" s="378"/>
      <c r="EX419" s="379"/>
      <c r="EY419" s="377"/>
      <c r="EZ419" s="380"/>
      <c r="FA419" s="377"/>
      <c r="FB419" s="381"/>
    </row>
    <row r="420" spans="108:158" ht="17.25" customHeight="1">
      <c r="DD420" s="5"/>
      <c r="DE420" s="81"/>
      <c r="DF420" s="81"/>
      <c r="DG420" s="81"/>
      <c r="DH420" s="81"/>
      <c r="DI420" s="81"/>
      <c r="DJ420" s="81"/>
      <c r="DK420" s="81"/>
      <c r="DL420" s="81"/>
      <c r="DM420" s="81"/>
      <c r="DN420" s="81"/>
      <c r="DO420" s="81"/>
      <c r="DP420" s="81"/>
      <c r="DS420" s="332"/>
      <c r="DX420" s="81"/>
      <c r="DY420" s="81"/>
      <c r="DZ420" s="81"/>
      <c r="EA420" s="353"/>
      <c r="EB420" s="1499" t="s">
        <v>73</v>
      </c>
      <c r="EC420" s="730" t="s">
        <v>1269</v>
      </c>
      <c r="ED420" s="731">
        <v>0.5</v>
      </c>
      <c r="EE420" s="331"/>
      <c r="EF420" s="81"/>
      <c r="EG420" s="81"/>
      <c r="EH420" s="331"/>
      <c r="EJ420" s="81"/>
      <c r="EK420" s="377"/>
      <c r="EL420" s="377"/>
      <c r="EM420" s="367"/>
      <c r="EN420" s="377"/>
      <c r="EO420" s="377"/>
      <c r="EP420" s="377"/>
      <c r="EQ420" s="377"/>
      <c r="ER420" s="377"/>
      <c r="ES420" s="702"/>
      <c r="ET420" s="702"/>
      <c r="EU420" s="1023"/>
      <c r="EV420" s="377"/>
      <c r="EW420" s="378"/>
      <c r="EX420" s="379"/>
      <c r="EY420" s="377"/>
      <c r="EZ420" s="380"/>
      <c r="FA420" s="377"/>
      <c r="FB420" s="381"/>
    </row>
    <row r="421" spans="108:158" ht="17.25" customHeight="1">
      <c r="DD421" s="5"/>
      <c r="DE421" s="81"/>
      <c r="DF421" s="81"/>
      <c r="DG421" s="81"/>
      <c r="DH421" s="81"/>
      <c r="DI421" s="81"/>
      <c r="DJ421" s="81"/>
      <c r="DK421" s="81"/>
      <c r="DL421" s="81"/>
      <c r="DM421" s="81"/>
      <c r="DN421" s="81"/>
      <c r="DO421" s="81"/>
      <c r="DP421" s="81"/>
      <c r="DS421" s="332"/>
      <c r="DX421" s="81"/>
      <c r="DY421" s="81"/>
      <c r="DZ421" s="81"/>
      <c r="EA421" s="353"/>
      <c r="EB421" s="1499" t="s">
        <v>133</v>
      </c>
      <c r="EC421" s="730" t="s">
        <v>1269</v>
      </c>
      <c r="ED421" s="731">
        <v>0.5</v>
      </c>
      <c r="EE421" s="331"/>
      <c r="EF421" s="81"/>
      <c r="EG421" s="81"/>
      <c r="EH421" s="331"/>
      <c r="EJ421" s="81"/>
      <c r="EK421" s="377"/>
      <c r="EL421" s="377"/>
      <c r="EM421" s="367"/>
      <c r="EN421" s="377"/>
      <c r="EO421" s="377"/>
      <c r="EP421" s="377"/>
      <c r="EQ421" s="377"/>
      <c r="ER421" s="377"/>
      <c r="ES421" s="702"/>
      <c r="ET421" s="702"/>
      <c r="EU421" s="1023"/>
      <c r="EV421" s="377"/>
      <c r="EW421" s="378"/>
      <c r="EX421" s="379"/>
      <c r="EY421" s="377"/>
      <c r="EZ421" s="380"/>
      <c r="FA421" s="377"/>
      <c r="FB421" s="377"/>
    </row>
    <row r="422" spans="108:158" ht="17.25" customHeight="1">
      <c r="DD422" s="5"/>
      <c r="DE422" s="81"/>
      <c r="DF422" s="81"/>
      <c r="DG422" s="81"/>
      <c r="DH422" s="81"/>
      <c r="DI422" s="81"/>
      <c r="DJ422" s="81"/>
      <c r="DK422" s="81"/>
      <c r="DL422" s="81"/>
      <c r="DM422" s="81"/>
      <c r="DN422" s="81"/>
      <c r="DO422" s="81"/>
      <c r="DP422" s="81"/>
      <c r="DS422" s="332"/>
      <c r="DX422" s="81"/>
      <c r="DY422" s="81"/>
      <c r="DZ422" s="81"/>
      <c r="EA422" s="353"/>
      <c r="EB422" s="1499" t="s">
        <v>134</v>
      </c>
      <c r="EC422" s="730" t="s">
        <v>1269</v>
      </c>
      <c r="ED422" s="731">
        <v>0.5</v>
      </c>
      <c r="EE422" s="331"/>
      <c r="EF422" s="81"/>
      <c r="EG422" s="81"/>
      <c r="EH422" s="331"/>
      <c r="EJ422" s="81"/>
      <c r="EK422" s="377"/>
      <c r="EL422" s="377"/>
      <c r="EM422" s="367"/>
      <c r="EN422" s="377"/>
      <c r="EO422" s="377"/>
      <c r="EP422" s="377"/>
      <c r="EQ422" s="377"/>
      <c r="ER422" s="377"/>
      <c r="ES422" s="702"/>
      <c r="ET422" s="702"/>
      <c r="EU422" s="1023"/>
      <c r="EV422" s="377"/>
      <c r="EW422" s="378"/>
      <c r="EX422" s="379"/>
      <c r="EY422" s="377"/>
      <c r="EZ422" s="380"/>
      <c r="FA422" s="377"/>
      <c r="FB422" s="377"/>
    </row>
    <row r="423" spans="108:158" ht="17.25" customHeight="1">
      <c r="DD423" s="5"/>
      <c r="DE423" s="81"/>
      <c r="DF423" s="81"/>
      <c r="DG423" s="81"/>
      <c r="DH423" s="81"/>
      <c r="DI423" s="81"/>
      <c r="DJ423" s="81"/>
      <c r="DK423" s="81"/>
      <c r="DL423" s="81"/>
      <c r="DM423" s="81"/>
      <c r="DN423" s="81"/>
      <c r="DO423" s="81"/>
      <c r="DP423" s="81"/>
      <c r="DS423" s="81"/>
      <c r="DX423" s="81"/>
      <c r="DY423" s="81"/>
      <c r="DZ423" s="81"/>
      <c r="EA423" s="353"/>
      <c r="EB423" s="1499" t="s">
        <v>187</v>
      </c>
      <c r="EC423" s="730" t="s">
        <v>1269</v>
      </c>
      <c r="ED423" s="731">
        <v>0.5</v>
      </c>
      <c r="EE423" s="331"/>
      <c r="EF423" s="81"/>
      <c r="EG423" s="81"/>
      <c r="EH423" s="331"/>
      <c r="EJ423" s="81"/>
      <c r="EK423" s="377"/>
      <c r="EL423" s="377"/>
      <c r="EM423" s="367"/>
      <c r="EN423" s="377"/>
      <c r="EO423" s="377"/>
      <c r="EP423" s="377"/>
      <c r="EQ423" s="377"/>
      <c r="ER423" s="377"/>
      <c r="ES423" s="702"/>
      <c r="ET423" s="702"/>
      <c r="EU423" s="1023"/>
      <c r="EV423" s="377"/>
      <c r="EW423" s="378"/>
      <c r="EX423" s="379"/>
      <c r="EY423" s="377"/>
      <c r="EZ423" s="380"/>
      <c r="FA423" s="377"/>
      <c r="FB423" s="377"/>
    </row>
    <row r="424" spans="108:158" ht="15" customHeight="1">
      <c r="DD424" s="5"/>
      <c r="DE424" s="81"/>
      <c r="DF424" s="81"/>
      <c r="DG424" s="81"/>
      <c r="DH424" s="81"/>
      <c r="DI424" s="81"/>
      <c r="DJ424" s="81"/>
      <c r="DK424" s="81"/>
      <c r="DL424" s="81"/>
      <c r="DM424" s="81"/>
      <c r="DN424" s="81"/>
      <c r="DO424" s="81"/>
      <c r="DP424" s="81"/>
      <c r="DS424" s="81"/>
      <c r="DX424" s="81"/>
      <c r="DY424" s="81"/>
      <c r="DZ424" s="81"/>
      <c r="EA424" s="353"/>
      <c r="EB424" s="1499" t="s">
        <v>188</v>
      </c>
      <c r="EC424" s="730" t="s">
        <v>1269</v>
      </c>
      <c r="ED424" s="731">
        <v>0.5</v>
      </c>
      <c r="EE424" s="331"/>
      <c r="EF424" s="81"/>
      <c r="EG424" s="81"/>
      <c r="EH424" s="331"/>
      <c r="EJ424" s="81"/>
      <c r="EK424" s="377"/>
      <c r="EL424" s="377"/>
      <c r="EM424" s="367"/>
      <c r="EN424" s="377"/>
      <c r="EO424" s="377"/>
      <c r="EP424" s="377"/>
      <c r="EQ424" s="377"/>
      <c r="ER424" s="377"/>
      <c r="ES424" s="702"/>
      <c r="ET424" s="702"/>
      <c r="EU424" s="1023"/>
      <c r="EV424" s="377"/>
      <c r="EW424" s="378"/>
      <c r="EX424" s="379"/>
      <c r="EY424" s="377"/>
      <c r="EZ424" s="380"/>
      <c r="FA424" s="377"/>
      <c r="FB424" s="377"/>
    </row>
    <row r="425" spans="108:158" ht="19.5" customHeight="1">
      <c r="DD425" s="5"/>
      <c r="DE425" s="81"/>
      <c r="DF425" s="81"/>
      <c r="DG425" s="81"/>
      <c r="DH425" s="81"/>
      <c r="DI425" s="81"/>
      <c r="DJ425" s="81"/>
      <c r="DK425" s="81"/>
      <c r="DL425" s="81"/>
      <c r="DM425" s="81"/>
      <c r="DN425" s="81"/>
      <c r="DO425" s="81"/>
      <c r="DP425" s="81"/>
      <c r="DS425" s="81"/>
      <c r="DX425" s="81"/>
      <c r="DY425" s="81"/>
      <c r="DZ425" s="81"/>
      <c r="EA425" s="353"/>
      <c r="EB425" s="1499" t="s">
        <v>141</v>
      </c>
      <c r="EC425" s="730" t="s">
        <v>1269</v>
      </c>
      <c r="ED425" s="731">
        <v>0.5</v>
      </c>
      <c r="EE425" s="331"/>
      <c r="EF425" s="81"/>
      <c r="EG425" s="81"/>
      <c r="EH425" s="331"/>
      <c r="EJ425" s="81"/>
      <c r="EK425" s="377"/>
      <c r="EL425" s="377"/>
      <c r="EM425" s="367"/>
      <c r="EN425" s="377"/>
      <c r="EO425" s="377"/>
      <c r="EP425" s="377"/>
      <c r="EQ425" s="377"/>
      <c r="ER425" s="377"/>
      <c r="ES425" s="702"/>
      <c r="ET425" s="702"/>
      <c r="EU425" s="1023"/>
      <c r="EV425" s="377"/>
      <c r="EW425" s="378"/>
      <c r="EX425" s="379"/>
      <c r="EY425" s="377"/>
      <c r="EZ425" s="380"/>
      <c r="FA425" s="377"/>
      <c r="FB425" s="377"/>
    </row>
    <row r="426" spans="108:158" ht="15.75" customHeight="1">
      <c r="DD426" s="5"/>
      <c r="DE426" s="81"/>
      <c r="DF426" s="81"/>
      <c r="DG426" s="81"/>
      <c r="DH426" s="81"/>
      <c r="DI426" s="81"/>
      <c r="DJ426" s="81"/>
      <c r="DK426" s="81"/>
      <c r="DL426" s="81"/>
      <c r="DM426" s="81"/>
      <c r="DN426" s="81"/>
      <c r="DO426" s="81"/>
      <c r="DP426" s="81"/>
      <c r="DS426" s="81"/>
      <c r="DX426" s="81"/>
      <c r="DY426" s="81"/>
      <c r="DZ426" s="81"/>
      <c r="EA426" s="353"/>
      <c r="EB426" s="1499" t="s">
        <v>142</v>
      </c>
      <c r="EC426" s="730" t="s">
        <v>1269</v>
      </c>
      <c r="ED426" s="731">
        <v>0.5</v>
      </c>
      <c r="EE426" s="331"/>
      <c r="EF426" s="81"/>
      <c r="EG426" s="81"/>
      <c r="EH426" s="331"/>
      <c r="EJ426" s="81"/>
      <c r="EK426" s="377"/>
      <c r="EL426" s="377"/>
      <c r="EM426" s="367"/>
      <c r="EN426" s="377"/>
      <c r="EO426" s="377"/>
      <c r="EP426" s="377"/>
      <c r="EQ426" s="377"/>
      <c r="ER426" s="377"/>
      <c r="ES426" s="702"/>
      <c r="ET426" s="702"/>
      <c r="EU426" s="1023"/>
      <c r="EV426" s="377"/>
      <c r="EW426" s="378"/>
      <c r="EX426" s="379"/>
      <c r="EY426" s="377"/>
      <c r="EZ426" s="380"/>
      <c r="FA426" s="377"/>
      <c r="FB426" s="377"/>
    </row>
    <row r="427" spans="108:158" ht="36" customHeight="1">
      <c r="DD427" s="5"/>
      <c r="DE427" s="81"/>
      <c r="DF427" s="81"/>
      <c r="DG427" s="81"/>
      <c r="DH427" s="81"/>
      <c r="DI427" s="81"/>
      <c r="DJ427" s="81"/>
      <c r="DK427" s="81"/>
      <c r="DL427" s="81"/>
      <c r="DM427" s="81"/>
      <c r="DN427" s="81"/>
      <c r="DO427" s="81"/>
      <c r="DP427" s="81"/>
      <c r="DS427" s="81"/>
      <c r="DX427" s="81"/>
      <c r="DY427" s="81"/>
      <c r="DZ427" s="81"/>
      <c r="EA427" s="353"/>
      <c r="EB427" s="1499" t="s">
        <v>135</v>
      </c>
      <c r="EC427" s="730" t="s">
        <v>1269</v>
      </c>
      <c r="ED427" s="731">
        <v>0.5</v>
      </c>
      <c r="EE427" s="331"/>
      <c r="EF427" s="81"/>
      <c r="EG427" s="81"/>
      <c r="EH427" s="331"/>
      <c r="EJ427" s="81"/>
      <c r="EK427" s="377"/>
      <c r="EL427" s="377"/>
      <c r="EM427" s="367"/>
      <c r="EN427" s="377"/>
      <c r="EO427" s="377"/>
      <c r="EP427" s="377"/>
      <c r="EQ427" s="377"/>
      <c r="ER427" s="377"/>
      <c r="ES427" s="702"/>
      <c r="ET427" s="702"/>
      <c r="EU427" s="1023"/>
      <c r="EV427" s="377"/>
      <c r="EW427" s="378"/>
      <c r="EX427" s="379"/>
      <c r="EY427" s="377"/>
      <c r="EZ427" s="380"/>
      <c r="FA427" s="377"/>
      <c r="FB427" s="377"/>
    </row>
    <row r="428" spans="108:158">
      <c r="DD428" s="5"/>
      <c r="DE428" s="81"/>
      <c r="DF428" s="81"/>
      <c r="DG428" s="81"/>
      <c r="DH428" s="81"/>
      <c r="DI428" s="81"/>
      <c r="DJ428" s="81"/>
      <c r="DK428" s="81"/>
      <c r="DL428" s="81"/>
      <c r="DM428" s="81"/>
      <c r="DN428" s="81"/>
      <c r="DO428" s="81"/>
      <c r="DP428" s="81"/>
      <c r="DS428" s="81"/>
      <c r="DX428" s="81"/>
      <c r="DY428" s="81"/>
      <c r="DZ428" s="81"/>
      <c r="EA428" s="353"/>
      <c r="EB428" s="1499" t="s">
        <v>136</v>
      </c>
      <c r="EC428" s="730" t="s">
        <v>1269</v>
      </c>
      <c r="ED428" s="731">
        <v>0.5</v>
      </c>
      <c r="EE428" s="331"/>
      <c r="EF428" s="81"/>
      <c r="EG428" s="81"/>
      <c r="EH428" s="331"/>
      <c r="EJ428" s="81"/>
      <c r="EK428" s="377"/>
      <c r="EL428" s="377"/>
      <c r="EM428" s="367"/>
      <c r="EN428" s="377"/>
      <c r="EO428" s="377"/>
      <c r="EP428" s="377"/>
      <c r="EQ428" s="377"/>
      <c r="ER428" s="377"/>
      <c r="ES428" s="702"/>
      <c r="ET428" s="702"/>
      <c r="EU428" s="1023"/>
      <c r="EV428" s="377"/>
      <c r="EW428" s="378"/>
      <c r="EX428" s="379"/>
      <c r="EY428" s="377"/>
      <c r="EZ428" s="380"/>
      <c r="FA428" s="377"/>
      <c r="FB428" s="377"/>
    </row>
    <row r="429" spans="108:158">
      <c r="DD429" s="5"/>
      <c r="DE429" s="81"/>
      <c r="DF429" s="81"/>
      <c r="DG429" s="81"/>
      <c r="DH429" s="81"/>
      <c r="DI429" s="81"/>
      <c r="DJ429" s="81"/>
      <c r="DK429" s="81"/>
      <c r="DL429" s="81"/>
      <c r="DM429" s="81"/>
      <c r="DN429" s="81"/>
      <c r="DO429" s="81"/>
      <c r="DP429" s="81"/>
      <c r="DS429" s="81"/>
      <c r="DX429" s="81"/>
      <c r="DY429" s="81"/>
      <c r="DZ429" s="81"/>
      <c r="EA429" s="353"/>
      <c r="EB429" s="1499" t="s">
        <v>189</v>
      </c>
      <c r="EC429" s="730" t="s">
        <v>1269</v>
      </c>
      <c r="ED429" s="731">
        <v>0.5</v>
      </c>
      <c r="EE429" s="331"/>
      <c r="EF429" s="81"/>
      <c r="EG429" s="81"/>
      <c r="EH429" s="331"/>
      <c r="EJ429" s="81"/>
      <c r="EK429" s="377"/>
      <c r="EL429" s="377"/>
      <c r="EM429" s="367"/>
      <c r="EN429" s="377"/>
      <c r="EO429" s="377"/>
      <c r="EP429" s="377"/>
      <c r="EQ429" s="377"/>
      <c r="ER429" s="377"/>
      <c r="ES429" s="702"/>
      <c r="ET429" s="702"/>
      <c r="EU429" s="1023"/>
      <c r="EV429" s="377"/>
      <c r="EW429" s="378"/>
      <c r="EX429" s="379"/>
      <c r="EY429" s="377"/>
      <c r="EZ429" s="380"/>
      <c r="FA429" s="377"/>
      <c r="FB429" s="377"/>
    </row>
    <row r="430" spans="108:158">
      <c r="DD430" s="5"/>
      <c r="DE430" s="81"/>
      <c r="DF430" s="81"/>
      <c r="DG430" s="81"/>
      <c r="DH430" s="81"/>
      <c r="DI430" s="81"/>
      <c r="DJ430" s="81"/>
      <c r="DK430" s="81"/>
      <c r="DL430" s="81"/>
      <c r="DM430" s="81"/>
      <c r="DN430" s="81"/>
      <c r="DO430" s="81"/>
      <c r="DP430" s="81"/>
      <c r="DS430" s="81"/>
      <c r="DX430" s="81"/>
      <c r="DY430" s="81"/>
      <c r="DZ430" s="81"/>
      <c r="EA430" s="353"/>
      <c r="EB430" s="1499" t="s">
        <v>190</v>
      </c>
      <c r="EC430" s="730" t="s">
        <v>1269</v>
      </c>
      <c r="ED430" s="731">
        <v>0.5</v>
      </c>
      <c r="EE430" s="331"/>
      <c r="EF430" s="81"/>
      <c r="EG430" s="81"/>
      <c r="EH430" s="331"/>
      <c r="EJ430" s="81"/>
      <c r="EK430" s="377"/>
      <c r="EL430" s="377"/>
      <c r="EM430" s="367"/>
      <c r="EN430" s="377"/>
      <c r="EO430" s="377"/>
      <c r="EP430" s="377"/>
      <c r="EQ430" s="377"/>
      <c r="ER430" s="377"/>
      <c r="ES430" s="702"/>
      <c r="ET430" s="702"/>
      <c r="EU430" s="1023"/>
      <c r="EV430" s="377"/>
      <c r="EW430" s="378"/>
      <c r="EX430" s="379"/>
      <c r="EY430" s="377"/>
      <c r="EZ430" s="380"/>
      <c r="FA430" s="377"/>
      <c r="FB430" s="377"/>
    </row>
    <row r="431" spans="108:158">
      <c r="DD431" s="5"/>
      <c r="DE431" s="81"/>
      <c r="DF431" s="81"/>
      <c r="DG431" s="81"/>
      <c r="DH431" s="81"/>
      <c r="DI431" s="81"/>
      <c r="DJ431" s="81"/>
      <c r="DK431" s="81"/>
      <c r="DL431" s="81"/>
      <c r="DM431" s="81"/>
      <c r="DN431" s="81"/>
      <c r="DO431" s="81"/>
      <c r="DP431" s="81"/>
      <c r="DS431" s="81"/>
      <c r="DX431" s="81"/>
      <c r="DY431" s="81"/>
      <c r="DZ431" s="81"/>
      <c r="EA431" s="353"/>
      <c r="EB431" s="1499" t="s">
        <v>137</v>
      </c>
      <c r="EC431" s="730" t="s">
        <v>1269</v>
      </c>
      <c r="ED431" s="731">
        <v>0.5</v>
      </c>
      <c r="EE431" s="331"/>
      <c r="EF431" s="81"/>
      <c r="EG431" s="81"/>
      <c r="EH431" s="331"/>
      <c r="EJ431" s="81"/>
      <c r="EK431" s="377"/>
      <c r="EL431" s="377"/>
      <c r="EM431" s="367"/>
      <c r="EN431" s="377"/>
      <c r="EO431" s="377"/>
      <c r="EP431" s="377"/>
      <c r="EQ431" s="377"/>
      <c r="ER431" s="377"/>
      <c r="ES431" s="702"/>
      <c r="ET431" s="702"/>
      <c r="EU431" s="1023"/>
      <c r="EV431" s="377"/>
      <c r="EW431" s="378"/>
      <c r="EX431" s="379"/>
      <c r="EY431" s="377"/>
      <c r="EZ431" s="380"/>
      <c r="FA431" s="377"/>
      <c r="FB431" s="377"/>
    </row>
    <row r="432" spans="108:158">
      <c r="DD432" s="5"/>
      <c r="DE432" s="81"/>
      <c r="DF432" s="81"/>
      <c r="DG432" s="81"/>
      <c r="DH432" s="81"/>
      <c r="DI432" s="81"/>
      <c r="DJ432" s="81"/>
      <c r="DK432" s="81"/>
      <c r="DL432" s="81"/>
      <c r="DM432" s="81"/>
      <c r="DN432" s="81"/>
      <c r="DO432" s="81"/>
      <c r="DP432" s="81"/>
      <c r="DS432" s="81"/>
      <c r="DX432" s="377"/>
      <c r="DY432" s="377"/>
      <c r="DZ432" s="81"/>
      <c r="EA432" s="353"/>
      <c r="EB432" s="1499" t="s">
        <v>138</v>
      </c>
      <c r="EC432" s="730" t="s">
        <v>1269</v>
      </c>
      <c r="ED432" s="731">
        <v>0.5</v>
      </c>
      <c r="EE432" s="331"/>
      <c r="EF432" s="81"/>
      <c r="EG432" s="81"/>
      <c r="EH432" s="331"/>
      <c r="EJ432" s="81"/>
      <c r="EK432" s="377"/>
      <c r="EL432" s="377"/>
      <c r="EM432" s="367"/>
      <c r="EN432" s="377"/>
      <c r="EO432" s="377"/>
      <c r="EP432" s="377"/>
      <c r="EQ432" s="377"/>
      <c r="ER432" s="377"/>
      <c r="ES432" s="702"/>
      <c r="ET432" s="702"/>
      <c r="EU432" s="1023"/>
      <c r="EV432" s="377"/>
      <c r="EW432" s="378"/>
      <c r="EX432" s="379"/>
      <c r="EY432" s="377"/>
      <c r="EZ432" s="380"/>
      <c r="FA432" s="377"/>
      <c r="FB432" s="377"/>
    </row>
    <row r="433" spans="108:158">
      <c r="DD433" s="5"/>
      <c r="DE433" s="81"/>
      <c r="DF433" s="81"/>
      <c r="DG433" s="81"/>
      <c r="DH433" s="81"/>
      <c r="DI433" s="81"/>
      <c r="DJ433" s="81"/>
      <c r="DK433" s="81"/>
      <c r="DL433" s="81"/>
      <c r="DM433" s="81"/>
      <c r="DN433" s="81"/>
      <c r="DO433" s="81"/>
      <c r="DP433" s="81"/>
      <c r="DS433" s="81"/>
      <c r="DX433" s="377"/>
      <c r="DY433" s="377"/>
      <c r="DZ433" s="81"/>
      <c r="EA433" s="353"/>
      <c r="EB433" s="1499" t="s">
        <v>139</v>
      </c>
      <c r="EC433" s="730" t="s">
        <v>1269</v>
      </c>
      <c r="ED433" s="731">
        <v>0.5</v>
      </c>
      <c r="EE433" s="331"/>
      <c r="EF433" s="81"/>
      <c r="EG433" s="81"/>
      <c r="EH433" s="331"/>
      <c r="EJ433" s="81"/>
      <c r="EK433" s="377"/>
      <c r="EL433" s="377"/>
      <c r="EM433" s="367"/>
      <c r="EN433" s="377"/>
      <c r="EO433" s="377"/>
      <c r="EP433" s="377"/>
      <c r="EQ433" s="377"/>
      <c r="ER433" s="377"/>
      <c r="ES433" s="702"/>
      <c r="ET433" s="702"/>
      <c r="EU433" s="1023"/>
      <c r="EV433" s="377"/>
      <c r="EW433" s="378"/>
      <c r="EX433" s="379"/>
      <c r="EY433" s="377"/>
      <c r="EZ433" s="380"/>
      <c r="FA433" s="377"/>
      <c r="FB433" s="377"/>
    </row>
    <row r="434" spans="108:158">
      <c r="DD434" s="5"/>
      <c r="DE434" s="81"/>
      <c r="DF434" s="81"/>
      <c r="DG434" s="81"/>
      <c r="DH434" s="81"/>
      <c r="DI434" s="81"/>
      <c r="DJ434" s="81"/>
      <c r="DK434" s="81"/>
      <c r="DL434" s="81"/>
      <c r="DM434" s="81"/>
      <c r="DN434" s="81"/>
      <c r="DO434" s="81"/>
      <c r="DP434" s="81"/>
      <c r="DS434" s="81"/>
      <c r="DZ434" s="81"/>
      <c r="EA434" s="353"/>
      <c r="EB434" s="1500" t="s">
        <v>140</v>
      </c>
      <c r="EC434" s="730" t="s">
        <v>1269</v>
      </c>
      <c r="ED434" s="731">
        <v>0.5</v>
      </c>
      <c r="EE434" s="331"/>
      <c r="EF434" s="81"/>
      <c r="EG434" s="81"/>
      <c r="EH434" s="331"/>
      <c r="EJ434" s="81"/>
      <c r="EK434" s="377"/>
      <c r="EL434" s="377"/>
      <c r="EM434" s="367"/>
      <c r="EN434" s="377"/>
      <c r="EO434" s="377"/>
      <c r="EP434" s="377"/>
      <c r="EQ434" s="377"/>
      <c r="ER434" s="377"/>
      <c r="ES434" s="702"/>
      <c r="ET434" s="702"/>
      <c r="EU434" s="1023"/>
      <c r="EV434" s="377"/>
      <c r="EW434" s="378"/>
      <c r="EX434" s="379"/>
      <c r="EY434" s="377"/>
      <c r="EZ434" s="380"/>
      <c r="FA434" s="377"/>
      <c r="FB434" s="377"/>
    </row>
    <row r="435" spans="108:158" ht="36" customHeight="1">
      <c r="DD435" s="5"/>
      <c r="DE435" s="81"/>
      <c r="DF435" s="81"/>
      <c r="DG435" s="81"/>
      <c r="DH435" s="81"/>
      <c r="DI435" s="81"/>
      <c r="DJ435" s="81"/>
      <c r="DK435" s="81"/>
      <c r="DL435" s="81"/>
      <c r="DM435" s="81"/>
      <c r="DN435" s="81"/>
      <c r="DO435" s="81"/>
      <c r="DP435" s="81"/>
      <c r="DS435" s="81"/>
      <c r="DZ435" s="81"/>
      <c r="EA435" s="353"/>
      <c r="EB435" s="1499" t="s">
        <v>1089</v>
      </c>
      <c r="EC435" s="730" t="s">
        <v>1269</v>
      </c>
      <c r="ED435" s="731">
        <v>0.5</v>
      </c>
      <c r="EE435" s="331"/>
      <c r="EF435" s="81"/>
      <c r="EG435" s="81"/>
      <c r="EH435" s="331"/>
      <c r="EJ435" s="81"/>
      <c r="EK435" s="377"/>
      <c r="EL435" s="377"/>
      <c r="EM435" s="367"/>
      <c r="EN435" s="377"/>
      <c r="EO435" s="377"/>
      <c r="EP435" s="377"/>
      <c r="EQ435" s="377"/>
      <c r="ER435" s="377"/>
      <c r="ES435" s="702"/>
      <c r="ET435" s="702"/>
      <c r="EU435" s="1023"/>
      <c r="EV435" s="377"/>
      <c r="EW435" s="378"/>
      <c r="EX435" s="379"/>
      <c r="EY435" s="377"/>
      <c r="EZ435" s="380"/>
      <c r="FA435" s="377"/>
      <c r="FB435" s="377"/>
    </row>
    <row r="436" spans="108:158" ht="36" customHeight="1">
      <c r="DD436" s="5"/>
      <c r="DE436" s="81"/>
      <c r="DF436" s="81"/>
      <c r="DG436" s="81"/>
      <c r="DH436" s="81"/>
      <c r="DI436" s="81"/>
      <c r="DJ436" s="81"/>
      <c r="DK436" s="81"/>
      <c r="DL436" s="81"/>
      <c r="DM436" s="81"/>
      <c r="DN436" s="81"/>
      <c r="DO436" s="81"/>
      <c r="DP436" s="81"/>
      <c r="DS436" s="81"/>
      <c r="DZ436" s="81"/>
      <c r="EA436" s="353"/>
      <c r="EB436" s="1499" t="s">
        <v>315</v>
      </c>
      <c r="EC436" s="730" t="s">
        <v>1269</v>
      </c>
      <c r="ED436" s="731">
        <v>0.5</v>
      </c>
      <c r="EE436" s="331"/>
      <c r="EF436" s="81"/>
      <c r="EG436" s="81"/>
      <c r="EH436" s="331"/>
      <c r="EJ436" s="81"/>
      <c r="EK436" s="377"/>
      <c r="EL436" s="377"/>
      <c r="EM436" s="367"/>
      <c r="EN436" s="377"/>
      <c r="EO436" s="377"/>
      <c r="EP436" s="377"/>
      <c r="EQ436" s="377"/>
      <c r="ER436" s="377"/>
      <c r="ES436" s="702"/>
      <c r="ET436" s="702"/>
      <c r="EU436" s="1023"/>
      <c r="EV436" s="377"/>
      <c r="EW436" s="378"/>
      <c r="EX436" s="379"/>
      <c r="EY436" s="377"/>
      <c r="EZ436" s="380"/>
      <c r="FA436" s="377"/>
      <c r="FB436" s="377"/>
    </row>
    <row r="437" spans="108:158" ht="36" customHeight="1">
      <c r="DD437" s="5"/>
      <c r="DE437" s="81"/>
      <c r="DF437" s="81"/>
      <c r="DG437" s="81"/>
      <c r="DH437" s="81"/>
      <c r="DI437" s="81"/>
      <c r="DJ437" s="81"/>
      <c r="DK437" s="81"/>
      <c r="DL437" s="81"/>
      <c r="DM437" s="81"/>
      <c r="DN437" s="81"/>
      <c r="DO437" s="81"/>
      <c r="DP437" s="81"/>
      <c r="DS437" s="81"/>
      <c r="DZ437" s="81"/>
      <c r="EA437" s="353"/>
      <c r="EB437" s="1499" t="s">
        <v>1090</v>
      </c>
      <c r="EC437" s="730" t="s">
        <v>1269</v>
      </c>
      <c r="ED437" s="731">
        <v>0.5</v>
      </c>
      <c r="EE437" s="331"/>
      <c r="EF437" s="81"/>
      <c r="EG437" s="81"/>
      <c r="EH437" s="331"/>
      <c r="EJ437" s="81"/>
      <c r="EK437" s="377"/>
      <c r="EL437" s="377"/>
      <c r="EM437" s="367"/>
      <c r="EN437" s="377"/>
      <c r="EO437" s="377"/>
      <c r="EP437" s="377"/>
      <c r="EQ437" s="377"/>
      <c r="ER437" s="377"/>
      <c r="ES437" s="702"/>
      <c r="ET437" s="702"/>
      <c r="EU437" s="1023"/>
      <c r="EV437" s="377"/>
      <c r="EW437" s="378"/>
      <c r="EX437" s="379"/>
      <c r="EY437" s="377"/>
      <c r="EZ437" s="380"/>
      <c r="FA437" s="377"/>
      <c r="FB437" s="377"/>
    </row>
    <row r="438" spans="108:158">
      <c r="DD438" s="5"/>
      <c r="DE438" s="81"/>
      <c r="DF438" s="81"/>
      <c r="DG438" s="81"/>
      <c r="DH438" s="81"/>
      <c r="DI438" s="81"/>
      <c r="DJ438" s="81"/>
      <c r="DK438" s="81"/>
      <c r="DL438" s="81"/>
      <c r="DM438" s="81"/>
      <c r="DN438" s="81"/>
      <c r="DO438" s="81"/>
      <c r="DP438" s="81"/>
      <c r="DS438" s="81"/>
      <c r="DZ438" s="81"/>
      <c r="EA438" s="353"/>
      <c r="EB438" s="1499" t="s">
        <v>316</v>
      </c>
      <c r="EC438" s="730" t="s">
        <v>1269</v>
      </c>
      <c r="ED438" s="731">
        <v>0.5</v>
      </c>
      <c r="EE438" s="81"/>
      <c r="EF438" s="81"/>
      <c r="EG438" s="81"/>
      <c r="EH438" s="331"/>
      <c r="EJ438" s="81"/>
      <c r="EK438" s="377"/>
      <c r="EL438" s="377"/>
      <c r="EM438" s="367"/>
      <c r="EN438" s="377"/>
      <c r="EO438" s="377"/>
      <c r="EP438" s="377"/>
      <c r="EQ438" s="377"/>
      <c r="ER438" s="377"/>
      <c r="ES438" s="702"/>
      <c r="ET438" s="702"/>
      <c r="EU438" s="1023"/>
      <c r="EV438" s="377"/>
      <c r="EW438" s="378"/>
      <c r="EX438" s="379"/>
      <c r="EY438" s="377"/>
      <c r="EZ438" s="380"/>
      <c r="FA438" s="377"/>
      <c r="FB438" s="377"/>
    </row>
    <row r="439" spans="108:158" ht="23.25" customHeight="1">
      <c r="DD439" s="5"/>
      <c r="DE439" s="81"/>
      <c r="DF439" s="81"/>
      <c r="DG439" s="81"/>
      <c r="DH439" s="81"/>
      <c r="DI439" s="81"/>
      <c r="DJ439" s="81"/>
      <c r="DK439" s="81"/>
      <c r="DL439" s="81"/>
      <c r="DM439" s="81"/>
      <c r="DN439" s="81"/>
      <c r="DO439" s="81"/>
      <c r="DP439" s="81"/>
      <c r="DS439" s="81"/>
      <c r="DZ439" s="81"/>
      <c r="EA439" s="353"/>
      <c r="EB439" s="1499" t="s">
        <v>1091</v>
      </c>
      <c r="EC439" s="730" t="s">
        <v>1269</v>
      </c>
      <c r="ED439" s="731">
        <v>0.5</v>
      </c>
      <c r="EE439" s="1791"/>
      <c r="EF439" s="1791"/>
      <c r="EG439" s="81"/>
      <c r="EH439" s="331"/>
      <c r="EJ439" s="81"/>
      <c r="EK439" s="377"/>
      <c r="EL439" s="377"/>
      <c r="EM439" s="367"/>
      <c r="EN439" s="377"/>
      <c r="EO439" s="377"/>
      <c r="EP439" s="377"/>
      <c r="EQ439" s="377"/>
      <c r="ER439" s="377"/>
      <c r="ES439" s="702"/>
      <c r="ET439" s="702"/>
      <c r="EU439" s="1023"/>
      <c r="EV439" s="377"/>
      <c r="EW439" s="378"/>
      <c r="EX439" s="379"/>
      <c r="EY439" s="377"/>
      <c r="EZ439" s="380"/>
      <c r="FA439" s="377"/>
      <c r="FB439" s="377"/>
    </row>
    <row r="440" spans="108:158" ht="26.25" customHeight="1">
      <c r="DD440" s="5"/>
      <c r="DE440" s="81"/>
      <c r="DF440" s="81"/>
      <c r="DG440" s="81"/>
      <c r="DH440" s="81"/>
      <c r="DI440" s="81"/>
      <c r="DJ440" s="81"/>
      <c r="DK440" s="81"/>
      <c r="DL440" s="81"/>
      <c r="DM440" s="81"/>
      <c r="DN440" s="81"/>
      <c r="DO440" s="81"/>
      <c r="DP440" s="81"/>
      <c r="DS440" s="81"/>
      <c r="DZ440" s="81"/>
      <c r="EA440" s="353"/>
      <c r="EB440" s="1499" t="s">
        <v>73</v>
      </c>
      <c r="EC440" s="730" t="s">
        <v>1269</v>
      </c>
      <c r="ED440" s="731">
        <v>0.5</v>
      </c>
      <c r="EE440" s="331"/>
      <c r="EF440" s="332"/>
      <c r="EG440" s="81"/>
      <c r="EH440" s="331"/>
      <c r="EJ440" s="81"/>
      <c r="EK440" s="377"/>
      <c r="EL440" s="377"/>
      <c r="EM440" s="367"/>
      <c r="EN440" s="377"/>
      <c r="EO440" s="377"/>
      <c r="EP440" s="377"/>
      <c r="EQ440" s="377"/>
      <c r="ER440" s="377"/>
      <c r="ES440" s="702"/>
      <c r="ET440" s="702"/>
      <c r="EU440" s="1023"/>
      <c r="EV440" s="377"/>
      <c r="EW440" s="378"/>
      <c r="EX440" s="379"/>
      <c r="EY440" s="377"/>
      <c r="EZ440" s="380"/>
      <c r="FA440" s="377"/>
      <c r="FB440" s="377"/>
    </row>
    <row r="441" spans="108:158" ht="36" customHeight="1">
      <c r="DD441" s="5"/>
      <c r="DE441" s="81"/>
      <c r="DF441" s="81"/>
      <c r="DG441" s="81"/>
      <c r="DH441" s="81"/>
      <c r="DI441" s="81"/>
      <c r="DJ441" s="81"/>
      <c r="DK441" s="81"/>
      <c r="DL441" s="81"/>
      <c r="DM441" s="81"/>
      <c r="DN441" s="81"/>
      <c r="DO441" s="81"/>
      <c r="DP441" s="81"/>
      <c r="DS441" s="81"/>
      <c r="DZ441" s="81"/>
      <c r="EA441" s="353"/>
      <c r="EB441" s="1499" t="s">
        <v>472</v>
      </c>
      <c r="EC441" s="730" t="s">
        <v>1269</v>
      </c>
      <c r="ED441" s="731">
        <v>0.5</v>
      </c>
      <c r="EE441" s="331"/>
      <c r="EF441" s="332"/>
      <c r="EG441" s="81"/>
      <c r="EH441" s="331"/>
      <c r="EJ441" s="81"/>
      <c r="EK441" s="377"/>
      <c r="EL441" s="377"/>
      <c r="EM441" s="367"/>
      <c r="EN441" s="377"/>
      <c r="EO441" s="377"/>
      <c r="EP441" s="377"/>
      <c r="EQ441" s="377"/>
      <c r="ER441" s="377"/>
      <c r="ES441" s="702"/>
      <c r="ET441" s="702"/>
      <c r="EU441" s="1023"/>
      <c r="EV441" s="377"/>
      <c r="EW441" s="378"/>
      <c r="EX441" s="379"/>
      <c r="EY441" s="377"/>
      <c r="EZ441" s="380"/>
      <c r="FA441" s="377"/>
      <c r="FB441" s="377"/>
    </row>
    <row r="442" spans="108:158" ht="36" customHeight="1">
      <c r="DD442" s="5"/>
      <c r="DE442" s="81"/>
      <c r="DF442" s="81"/>
      <c r="DG442" s="81"/>
      <c r="DH442" s="81"/>
      <c r="DI442" s="81"/>
      <c r="DJ442" s="81"/>
      <c r="DK442" s="81"/>
      <c r="DL442" s="81"/>
      <c r="DM442" s="81"/>
      <c r="DN442" s="81"/>
      <c r="DO442" s="81"/>
      <c r="DP442" s="81"/>
      <c r="DS442" s="81"/>
      <c r="DZ442" s="81"/>
      <c r="EA442" s="353"/>
      <c r="EB442" s="1499" t="s">
        <v>473</v>
      </c>
      <c r="EC442" s="730" t="s">
        <v>1269</v>
      </c>
      <c r="ED442" s="731">
        <v>0.5</v>
      </c>
      <c r="EE442" s="331"/>
      <c r="EF442" s="332"/>
      <c r="EG442" s="81"/>
      <c r="EH442" s="331"/>
      <c r="EJ442" s="81"/>
      <c r="EK442" s="377"/>
      <c r="EL442" s="377"/>
      <c r="EM442" s="367"/>
      <c r="EN442" s="377"/>
      <c r="EO442" s="377"/>
      <c r="EP442" s="377"/>
      <c r="EQ442" s="377"/>
      <c r="ER442" s="377"/>
      <c r="ES442" s="702"/>
      <c r="ET442" s="702"/>
      <c r="EU442" s="1023"/>
      <c r="EV442" s="377"/>
      <c r="EW442" s="378"/>
      <c r="EX442" s="379"/>
      <c r="EY442" s="377"/>
      <c r="EZ442" s="380"/>
      <c r="FA442" s="377"/>
      <c r="FB442" s="377"/>
    </row>
    <row r="443" spans="108:158" ht="36" customHeight="1">
      <c r="DD443" s="5"/>
      <c r="DE443" s="81"/>
      <c r="DF443" s="81"/>
      <c r="DG443" s="81"/>
      <c r="DH443" s="81"/>
      <c r="DI443" s="81"/>
      <c r="DJ443" s="81"/>
      <c r="DK443" s="81"/>
      <c r="DL443" s="81"/>
      <c r="DM443" s="81"/>
      <c r="DN443" s="81"/>
      <c r="DO443" s="81"/>
      <c r="DP443" s="81"/>
      <c r="DS443" s="81"/>
      <c r="DZ443" s="81"/>
      <c r="EA443" s="353"/>
      <c r="EB443" s="1499" t="s">
        <v>474</v>
      </c>
      <c r="EC443" s="730" t="s">
        <v>1269</v>
      </c>
      <c r="ED443" s="731">
        <v>0.5</v>
      </c>
      <c r="EE443" s="331"/>
      <c r="EF443" s="332"/>
      <c r="EG443" s="81"/>
      <c r="EH443" s="331"/>
      <c r="EJ443" s="81"/>
      <c r="EK443" s="377"/>
      <c r="EL443" s="377"/>
      <c r="EM443" s="367"/>
      <c r="EN443" s="377"/>
      <c r="EO443" s="377"/>
      <c r="EP443" s="377"/>
      <c r="EQ443" s="377"/>
      <c r="ER443" s="377"/>
      <c r="ES443" s="702"/>
      <c r="ET443" s="702"/>
      <c r="EU443" s="1023"/>
      <c r="EV443" s="377"/>
      <c r="EW443" s="378"/>
      <c r="EX443" s="379"/>
      <c r="EY443" s="377"/>
      <c r="EZ443" s="380"/>
      <c r="FA443" s="377"/>
      <c r="FB443" s="377"/>
    </row>
    <row r="444" spans="108:158" ht="36" customHeight="1">
      <c r="DD444" s="5"/>
      <c r="DE444" s="81"/>
      <c r="DF444" s="81"/>
      <c r="DG444" s="81"/>
      <c r="DH444" s="81"/>
      <c r="DI444" s="81"/>
      <c r="DJ444" s="81"/>
      <c r="DK444" s="81"/>
      <c r="DL444" s="81"/>
      <c r="DM444" s="81"/>
      <c r="DN444" s="81"/>
      <c r="DO444" s="81"/>
      <c r="DP444" s="81"/>
      <c r="DS444" s="332"/>
      <c r="DZ444" s="81"/>
      <c r="EA444" s="353"/>
      <c r="EB444" s="1499" t="s">
        <v>475</v>
      </c>
      <c r="EC444" s="730" t="s">
        <v>1269</v>
      </c>
      <c r="ED444" s="731">
        <v>0.5</v>
      </c>
      <c r="EE444" s="331"/>
      <c r="EF444" s="332"/>
      <c r="EG444" s="81"/>
      <c r="EH444" s="331"/>
      <c r="EJ444" s="81"/>
      <c r="EK444" s="377"/>
      <c r="EL444" s="377"/>
      <c r="EM444" s="367"/>
      <c r="EN444" s="377"/>
      <c r="EO444" s="377"/>
      <c r="EP444" s="377"/>
      <c r="EQ444" s="377"/>
      <c r="ER444" s="377"/>
      <c r="ES444" s="702"/>
      <c r="ET444" s="702"/>
      <c r="EU444" s="1023"/>
      <c r="EV444" s="377"/>
      <c r="EW444" s="378"/>
      <c r="EX444" s="379"/>
      <c r="EY444" s="377"/>
      <c r="EZ444" s="380"/>
      <c r="FA444" s="377"/>
      <c r="FB444" s="377"/>
    </row>
    <row r="445" spans="108:158" ht="36" customHeight="1">
      <c r="DD445" s="5"/>
      <c r="DE445" s="81"/>
      <c r="DF445" s="81"/>
      <c r="DG445" s="81"/>
      <c r="DH445" s="81"/>
      <c r="DI445" s="81"/>
      <c r="DJ445" s="81"/>
      <c r="DK445" s="81"/>
      <c r="DL445" s="81"/>
      <c r="DM445" s="81"/>
      <c r="DN445" s="81"/>
      <c r="DO445" s="81"/>
      <c r="DP445" s="81"/>
      <c r="DS445" s="332"/>
      <c r="DZ445" s="81"/>
      <c r="EA445" s="353"/>
      <c r="EB445" s="1499" t="s">
        <v>1561</v>
      </c>
      <c r="EC445" s="730" t="s">
        <v>1269</v>
      </c>
      <c r="ED445" s="731">
        <v>0.5</v>
      </c>
      <c r="EE445" s="331"/>
      <c r="EF445" s="332"/>
      <c r="EG445" s="81"/>
      <c r="EH445" s="331"/>
      <c r="EJ445" s="81"/>
      <c r="EK445" s="377"/>
      <c r="EL445" s="377"/>
      <c r="EM445" s="367"/>
      <c r="EN445" s="377"/>
      <c r="EO445" s="377"/>
      <c r="EP445" s="377"/>
      <c r="EQ445" s="377"/>
      <c r="ER445" s="377"/>
      <c r="ES445" s="702"/>
      <c r="ET445" s="702"/>
      <c r="EU445" s="1023"/>
      <c r="EV445" s="377"/>
      <c r="EW445" s="378"/>
      <c r="EX445" s="379"/>
      <c r="EY445" s="377"/>
      <c r="EZ445" s="380"/>
      <c r="FA445" s="377"/>
      <c r="FB445" s="377"/>
    </row>
    <row r="446" spans="108:158" ht="36" customHeight="1">
      <c r="DD446" s="5"/>
      <c r="DE446" s="81"/>
      <c r="DF446" s="81"/>
      <c r="DG446" s="81"/>
      <c r="DH446" s="81"/>
      <c r="DI446" s="81"/>
      <c r="DJ446" s="81"/>
      <c r="DK446" s="81"/>
      <c r="DL446" s="81"/>
      <c r="DM446" s="81"/>
      <c r="DN446" s="81"/>
      <c r="DO446" s="81"/>
      <c r="DP446" s="81"/>
      <c r="DS446" s="332"/>
      <c r="DZ446" s="81"/>
      <c r="EA446" s="353"/>
      <c r="EB446" s="1499" t="s">
        <v>476</v>
      </c>
      <c r="EC446" s="730" t="s">
        <v>1269</v>
      </c>
      <c r="ED446" s="731">
        <v>0.5</v>
      </c>
      <c r="EE446" s="331"/>
      <c r="EF446" s="332"/>
      <c r="EG446" s="81"/>
      <c r="EH446" s="331"/>
      <c r="EJ446" s="81"/>
      <c r="EK446" s="377"/>
      <c r="EL446" s="377"/>
      <c r="EM446" s="367"/>
      <c r="EN446" s="377"/>
      <c r="EO446" s="377"/>
      <c r="EP446" s="377"/>
      <c r="EQ446" s="377"/>
      <c r="ER446" s="377"/>
      <c r="ES446" s="702"/>
      <c r="ET446" s="702"/>
      <c r="EU446" s="1023"/>
      <c r="EV446" s="377"/>
      <c r="EW446" s="378"/>
      <c r="EX446" s="379"/>
      <c r="EY446" s="377"/>
      <c r="EZ446" s="380"/>
      <c r="FA446" s="377"/>
      <c r="FB446" s="377"/>
    </row>
    <row r="447" spans="108:158" ht="36" customHeight="1">
      <c r="DE447" s="377"/>
      <c r="DF447" s="377"/>
      <c r="DG447" s="377"/>
      <c r="DH447" s="377"/>
      <c r="DI447" s="377"/>
      <c r="DJ447" s="377"/>
      <c r="DK447" s="81"/>
      <c r="DL447" s="81"/>
      <c r="DM447" s="377"/>
      <c r="DN447" s="377"/>
      <c r="DO447" s="81"/>
      <c r="DP447" s="81"/>
      <c r="DS447" s="332"/>
      <c r="DZ447" s="81"/>
      <c r="EA447" s="353"/>
      <c r="EB447" s="1499" t="s">
        <v>1562</v>
      </c>
      <c r="EC447" s="730" t="s">
        <v>1269</v>
      </c>
      <c r="ED447" s="731">
        <v>0.5</v>
      </c>
      <c r="EE447" s="331"/>
      <c r="EF447" s="332"/>
      <c r="EG447" s="81"/>
      <c r="EH447" s="331"/>
      <c r="EJ447" s="377"/>
      <c r="EK447" s="377"/>
      <c r="EL447" s="377"/>
      <c r="EM447" s="81"/>
      <c r="EN447" s="377"/>
      <c r="EO447" s="377"/>
      <c r="EP447" s="377"/>
      <c r="EQ447" s="377"/>
      <c r="ER447" s="377"/>
      <c r="ES447" s="702"/>
      <c r="ET447" s="702"/>
      <c r="EU447" s="1023"/>
      <c r="EV447" s="377"/>
      <c r="EW447" s="378"/>
      <c r="EX447" s="379"/>
      <c r="EY447" s="377"/>
      <c r="EZ447" s="380"/>
      <c r="FA447" s="377"/>
      <c r="FB447" s="377"/>
    </row>
    <row r="448" spans="108:158" ht="36" customHeight="1">
      <c r="DE448" s="377"/>
      <c r="DF448" s="377"/>
      <c r="DG448" s="377"/>
      <c r="DH448" s="377"/>
      <c r="DI448" s="377"/>
      <c r="DJ448" s="377"/>
      <c r="DK448" s="81"/>
      <c r="DL448" s="81"/>
      <c r="DM448" s="377"/>
      <c r="DN448" s="377"/>
      <c r="DO448" s="81"/>
      <c r="DP448" s="81"/>
      <c r="DS448" s="332"/>
      <c r="DZ448" s="81"/>
      <c r="EA448" s="353"/>
      <c r="EB448" s="1499" t="s">
        <v>477</v>
      </c>
      <c r="EC448" s="730" t="s">
        <v>1269</v>
      </c>
      <c r="ED448" s="731">
        <v>0.5</v>
      </c>
      <c r="EE448" s="331"/>
      <c r="EF448" s="332"/>
      <c r="EG448" s="81"/>
      <c r="EH448" s="331"/>
      <c r="EJ448" s="377"/>
      <c r="EK448" s="377"/>
      <c r="EL448" s="377"/>
      <c r="EM448" s="81"/>
      <c r="EN448" s="377"/>
      <c r="EO448" s="377"/>
      <c r="EP448" s="377"/>
      <c r="EQ448" s="377"/>
      <c r="ER448" s="377"/>
      <c r="ES448" s="702"/>
      <c r="ET448" s="702"/>
      <c r="EU448" s="1023"/>
      <c r="EV448" s="377"/>
      <c r="EW448" s="378"/>
      <c r="EX448" s="379"/>
      <c r="EY448" s="377"/>
      <c r="EZ448" s="380"/>
      <c r="FA448" s="377"/>
      <c r="FB448" s="377"/>
    </row>
    <row r="449" spans="109:158" ht="36" customHeight="1">
      <c r="DE449" s="377"/>
      <c r="DF449" s="377"/>
      <c r="DG449" s="377"/>
      <c r="DH449" s="377"/>
      <c r="DI449" s="377"/>
      <c r="DJ449" s="377"/>
      <c r="DK449" s="81"/>
      <c r="DL449" s="81"/>
      <c r="DM449" s="377"/>
      <c r="DN449" s="377"/>
      <c r="DO449" s="81"/>
      <c r="DP449" s="81"/>
      <c r="DS449" s="332"/>
      <c r="DZ449" s="81"/>
      <c r="EA449" s="353"/>
      <c r="EB449" s="1499" t="s">
        <v>1562</v>
      </c>
      <c r="EC449" s="730" t="s">
        <v>1269</v>
      </c>
      <c r="ED449" s="731">
        <v>0.5</v>
      </c>
      <c r="EE449" s="331"/>
      <c r="EF449" s="332"/>
      <c r="EG449" s="81"/>
      <c r="EH449" s="331"/>
      <c r="EJ449" s="377"/>
      <c r="EK449" s="377"/>
      <c r="EL449" s="377"/>
      <c r="EM449" s="81"/>
      <c r="EN449" s="377"/>
      <c r="EO449" s="377"/>
      <c r="EP449" s="377"/>
      <c r="EQ449" s="377"/>
      <c r="ER449" s="377"/>
      <c r="ES449" s="702"/>
      <c r="ET449" s="702"/>
      <c r="EU449" s="1023"/>
      <c r="EV449" s="377"/>
      <c r="EW449" s="378"/>
      <c r="EX449" s="379"/>
      <c r="EY449" s="377"/>
      <c r="EZ449" s="380"/>
      <c r="FA449" s="377"/>
      <c r="FB449" s="377"/>
    </row>
    <row r="450" spans="109:158" ht="36" customHeight="1">
      <c r="DE450" s="377"/>
      <c r="DF450" s="377"/>
      <c r="DG450" s="377"/>
      <c r="DH450" s="377"/>
      <c r="DI450" s="377"/>
      <c r="DJ450" s="377"/>
      <c r="DK450" s="81"/>
      <c r="DL450" s="81"/>
      <c r="DM450" s="377"/>
      <c r="DN450" s="377"/>
      <c r="DO450" s="81"/>
      <c r="DP450" s="81"/>
      <c r="DS450" s="332"/>
      <c r="DZ450" s="81"/>
      <c r="EA450" s="353"/>
      <c r="EB450" s="1499" t="s">
        <v>73</v>
      </c>
      <c r="EC450" s="730" t="s">
        <v>1269</v>
      </c>
      <c r="ED450" s="731">
        <v>0.5</v>
      </c>
      <c r="EE450" s="331"/>
      <c r="EF450" s="332"/>
      <c r="EG450" s="81"/>
      <c r="EH450" s="331"/>
      <c r="EJ450" s="377"/>
      <c r="EK450" s="377"/>
      <c r="EL450" s="377"/>
      <c r="EM450" s="81"/>
      <c r="EN450" s="377"/>
      <c r="EO450" s="377"/>
      <c r="EP450" s="377"/>
      <c r="EQ450" s="377"/>
      <c r="ER450" s="377"/>
      <c r="ES450" s="702"/>
      <c r="ET450" s="702"/>
      <c r="EU450" s="1023"/>
      <c r="EV450" s="377"/>
      <c r="EW450" s="378"/>
      <c r="EX450" s="379"/>
      <c r="EY450" s="377"/>
      <c r="EZ450" s="380"/>
      <c r="FA450" s="377"/>
      <c r="FB450" s="377"/>
    </row>
    <row r="451" spans="109:158" ht="36" customHeight="1">
      <c r="DE451" s="377"/>
      <c r="DF451" s="377"/>
      <c r="DG451" s="377"/>
      <c r="DH451" s="377"/>
      <c r="DI451" s="377"/>
      <c r="DJ451" s="377"/>
      <c r="DK451" s="81"/>
      <c r="DL451" s="81"/>
      <c r="DM451" s="377"/>
      <c r="DN451" s="377"/>
      <c r="DO451" s="81"/>
      <c r="DP451" s="81"/>
      <c r="DS451" s="332"/>
      <c r="DZ451" s="81"/>
      <c r="EA451" s="353"/>
      <c r="EB451" s="1499" t="s">
        <v>143</v>
      </c>
      <c r="EC451" s="730" t="s">
        <v>1269</v>
      </c>
      <c r="ED451" s="731">
        <v>0.5</v>
      </c>
      <c r="EE451" s="331"/>
      <c r="EF451" s="332"/>
      <c r="EG451" s="81"/>
      <c r="EH451" s="331"/>
      <c r="EJ451" s="377"/>
      <c r="EK451" s="377"/>
      <c r="EL451" s="377"/>
      <c r="EM451" s="81"/>
      <c r="EN451" s="377"/>
      <c r="EO451" s="377"/>
      <c r="EP451" s="377"/>
      <c r="EQ451" s="377"/>
      <c r="ER451" s="377"/>
      <c r="ES451" s="702"/>
      <c r="ET451" s="702"/>
      <c r="EU451" s="1023"/>
      <c r="EV451" s="377"/>
      <c r="EW451" s="378"/>
      <c r="EX451" s="379"/>
      <c r="EY451" s="377"/>
      <c r="EZ451" s="380"/>
      <c r="FA451" s="377"/>
      <c r="FB451" s="377"/>
    </row>
    <row r="452" spans="109:158" ht="36" customHeight="1">
      <c r="DE452" s="377"/>
      <c r="DF452" s="377"/>
      <c r="DG452" s="377"/>
      <c r="DH452" s="377"/>
      <c r="DI452" s="377"/>
      <c r="DJ452" s="377"/>
      <c r="DK452" s="81"/>
      <c r="DL452" s="81"/>
      <c r="DM452" s="377"/>
      <c r="DN452" s="377"/>
      <c r="DO452" s="377"/>
      <c r="DP452" s="81"/>
      <c r="DS452" s="332"/>
      <c r="DZ452" s="81"/>
      <c r="EA452" s="353"/>
      <c r="EB452" s="1499" t="s">
        <v>144</v>
      </c>
      <c r="EC452" s="730" t="s">
        <v>1269</v>
      </c>
      <c r="ED452" s="731">
        <v>0.5</v>
      </c>
      <c r="EE452" s="331"/>
      <c r="EF452" s="332"/>
      <c r="EG452" s="81"/>
      <c r="EH452" s="331"/>
      <c r="EJ452" s="377"/>
      <c r="EK452" s="377"/>
      <c r="EL452" s="377"/>
      <c r="EM452" s="81"/>
      <c r="EN452" s="377"/>
      <c r="EO452" s="377"/>
      <c r="EP452" s="377"/>
      <c r="EQ452" s="377"/>
      <c r="ER452" s="377"/>
      <c r="ES452" s="702"/>
      <c r="ET452" s="702"/>
      <c r="EU452" s="1023"/>
      <c r="EV452" s="377"/>
      <c r="EW452" s="378"/>
      <c r="EX452" s="379"/>
      <c r="EY452" s="377"/>
      <c r="EZ452" s="380"/>
      <c r="FA452" s="377"/>
      <c r="FB452" s="377"/>
    </row>
    <row r="453" spans="109:158" ht="36" customHeight="1">
      <c r="DE453" s="377"/>
      <c r="DF453" s="377"/>
      <c r="DG453" s="377"/>
      <c r="DH453" s="377"/>
      <c r="DI453" s="377"/>
      <c r="DJ453" s="377"/>
      <c r="DK453" s="81"/>
      <c r="DL453" s="81"/>
      <c r="DM453" s="377"/>
      <c r="DN453" s="377"/>
      <c r="DO453" s="377"/>
      <c r="DP453" s="377"/>
      <c r="DS453" s="332"/>
      <c r="DZ453" s="81"/>
      <c r="EA453" s="353"/>
      <c r="EB453" s="1499" t="s">
        <v>145</v>
      </c>
      <c r="EC453" s="730" t="s">
        <v>1269</v>
      </c>
      <c r="ED453" s="731">
        <v>0.5</v>
      </c>
      <c r="EE453" s="331"/>
      <c r="EF453" s="332"/>
      <c r="EG453" s="81"/>
      <c r="EH453" s="331"/>
      <c r="EJ453" s="377"/>
      <c r="EK453" s="377"/>
      <c r="EL453" s="377"/>
      <c r="EM453" s="81"/>
      <c r="EN453" s="377"/>
      <c r="EO453" s="377"/>
      <c r="EP453" s="377"/>
      <c r="EQ453" s="377"/>
      <c r="ER453" s="377"/>
      <c r="ES453" s="702"/>
      <c r="ET453" s="702"/>
      <c r="EU453" s="1023"/>
      <c r="EV453" s="377"/>
      <c r="EW453" s="378"/>
      <c r="EX453" s="379"/>
      <c r="EY453" s="377"/>
      <c r="EZ453" s="380"/>
      <c r="FA453" s="377"/>
      <c r="FB453" s="377"/>
    </row>
    <row r="454" spans="109:158" ht="36" customHeight="1">
      <c r="DE454" s="377"/>
      <c r="DF454" s="377"/>
      <c r="DG454" s="377"/>
      <c r="DH454" s="377"/>
      <c r="DI454" s="377"/>
      <c r="DJ454" s="377"/>
      <c r="DK454" s="81"/>
      <c r="DL454" s="81"/>
      <c r="DM454" s="377"/>
      <c r="DN454" s="377"/>
      <c r="DO454" s="377"/>
      <c r="DP454" s="377"/>
      <c r="DS454" s="332"/>
      <c r="DZ454" s="81"/>
      <c r="EA454" s="353"/>
      <c r="EB454" s="1499" t="s">
        <v>146</v>
      </c>
      <c r="EC454" s="730" t="s">
        <v>1269</v>
      </c>
      <c r="ED454" s="731">
        <v>0.5</v>
      </c>
      <c r="EE454" s="331"/>
      <c r="EF454" s="332"/>
      <c r="EG454" s="81"/>
      <c r="EH454" s="331"/>
      <c r="EJ454" s="377"/>
      <c r="EK454" s="377"/>
      <c r="EL454" s="377"/>
      <c r="EM454" s="81"/>
      <c r="EN454" s="377"/>
      <c r="EO454" s="377"/>
      <c r="EP454" s="377"/>
      <c r="EQ454" s="377"/>
      <c r="ER454" s="377"/>
      <c r="ES454" s="702"/>
      <c r="ET454" s="702"/>
      <c r="EU454" s="1023"/>
      <c r="EV454" s="377"/>
      <c r="EW454" s="378"/>
      <c r="EX454" s="379"/>
      <c r="EY454" s="377"/>
      <c r="EZ454" s="380"/>
      <c r="FA454" s="377"/>
      <c r="FB454" s="377"/>
    </row>
    <row r="455" spans="109:158" ht="36" customHeight="1">
      <c r="DE455" s="377"/>
      <c r="DF455" s="377"/>
      <c r="DG455" s="377"/>
      <c r="DH455" s="377"/>
      <c r="DI455" s="377"/>
      <c r="DJ455" s="377"/>
      <c r="DK455" s="81"/>
      <c r="DL455" s="81"/>
      <c r="DM455" s="377"/>
      <c r="DN455" s="377"/>
      <c r="DO455" s="377"/>
      <c r="DP455" s="377"/>
      <c r="DS455" s="350"/>
      <c r="DZ455" s="81"/>
      <c r="EA455" s="353"/>
      <c r="EB455" s="1499" t="s">
        <v>1563</v>
      </c>
      <c r="EC455" s="730" t="s">
        <v>1269</v>
      </c>
      <c r="ED455" s="731">
        <v>0.5</v>
      </c>
      <c r="EE455" s="331"/>
      <c r="EF455" s="332"/>
      <c r="EG455" s="81"/>
      <c r="EH455" s="331"/>
      <c r="EJ455" s="377"/>
      <c r="EK455" s="377"/>
      <c r="EL455" s="377"/>
      <c r="EM455" s="81"/>
      <c r="EN455" s="377"/>
      <c r="EO455" s="377"/>
      <c r="EP455" s="377"/>
      <c r="EQ455" s="377"/>
      <c r="ER455" s="377"/>
      <c r="ES455" s="702"/>
      <c r="ET455" s="702"/>
      <c r="EU455" s="1023"/>
      <c r="EV455" s="377"/>
      <c r="EW455" s="378"/>
      <c r="EX455" s="379"/>
      <c r="EY455" s="377"/>
      <c r="EZ455" s="380"/>
      <c r="FA455" s="377"/>
      <c r="FB455" s="377"/>
    </row>
    <row r="456" spans="109:158" ht="36" customHeight="1">
      <c r="DE456" s="377"/>
      <c r="DF456" s="377"/>
      <c r="DG456" s="377"/>
      <c r="DH456" s="377"/>
      <c r="DI456" s="377"/>
      <c r="DJ456" s="377"/>
      <c r="DK456" s="81"/>
      <c r="DL456" s="81"/>
      <c r="DM456" s="377"/>
      <c r="DN456" s="377"/>
      <c r="DO456" s="377"/>
      <c r="DP456" s="377"/>
      <c r="DS456" s="350"/>
      <c r="DZ456" s="81"/>
      <c r="EA456" s="353"/>
      <c r="EB456" s="1499" t="s">
        <v>147</v>
      </c>
      <c r="EC456" s="730" t="s">
        <v>1269</v>
      </c>
      <c r="ED456" s="731">
        <v>0.5</v>
      </c>
      <c r="EE456" s="374"/>
      <c r="EF456" s="374"/>
      <c r="EG456" s="81"/>
      <c r="EH456" s="331"/>
      <c r="EJ456" s="377"/>
      <c r="EK456" s="377"/>
      <c r="EL456" s="377"/>
      <c r="EM456" s="81"/>
      <c r="EN456" s="377"/>
      <c r="EO456" s="377"/>
      <c r="EP456" s="377"/>
      <c r="EQ456" s="377"/>
      <c r="ER456" s="377"/>
      <c r="ES456" s="702"/>
      <c r="ET456" s="702"/>
      <c r="EU456" s="1023"/>
      <c r="EV456" s="377"/>
      <c r="EW456" s="378"/>
      <c r="EX456" s="379"/>
      <c r="EY456" s="377"/>
      <c r="EZ456" s="380"/>
      <c r="FA456" s="377"/>
      <c r="FB456" s="377"/>
    </row>
    <row r="457" spans="109:158" ht="36" customHeight="1">
      <c r="DE457" s="377"/>
      <c r="DF457" s="377"/>
      <c r="DG457" s="377"/>
      <c r="DH457" s="377"/>
      <c r="DI457" s="377"/>
      <c r="DJ457" s="377"/>
      <c r="DK457" s="81"/>
      <c r="DL457" s="81"/>
      <c r="DM457" s="377"/>
      <c r="DN457" s="377"/>
      <c r="DO457" s="377"/>
      <c r="DP457" s="377"/>
      <c r="DS457" s="350"/>
      <c r="DZ457" s="81"/>
      <c r="EA457" s="353"/>
      <c r="EB457" s="1499" t="s">
        <v>148</v>
      </c>
      <c r="EC457" s="730" t="s">
        <v>1269</v>
      </c>
      <c r="ED457" s="731">
        <v>0.5</v>
      </c>
      <c r="EE457" s="81"/>
      <c r="EF457" s="81"/>
      <c r="EG457" s="81"/>
      <c r="EH457" s="331"/>
      <c r="EJ457" s="377"/>
      <c r="EK457" s="377"/>
      <c r="EL457" s="377"/>
      <c r="EM457" s="81"/>
      <c r="EN457" s="377"/>
      <c r="EO457" s="377"/>
      <c r="EP457" s="377"/>
      <c r="EQ457" s="377"/>
      <c r="ER457" s="377"/>
      <c r="ES457" s="702"/>
      <c r="ET457" s="702"/>
      <c r="EU457" s="1023"/>
      <c r="EV457" s="377"/>
      <c r="EZ457" s="318"/>
    </row>
    <row r="458" spans="109:158" ht="36" customHeight="1">
      <c r="DE458" s="377"/>
      <c r="DF458" s="377"/>
      <c r="DG458" s="377"/>
      <c r="DH458" s="377"/>
      <c r="DI458" s="377"/>
      <c r="DJ458" s="377"/>
      <c r="DK458" s="81"/>
      <c r="DL458" s="81"/>
      <c r="DM458" s="377"/>
      <c r="DN458" s="377"/>
      <c r="DO458" s="377"/>
      <c r="DP458" s="377"/>
      <c r="DS458" s="351"/>
      <c r="DZ458" s="81"/>
      <c r="EA458" s="353"/>
      <c r="EB458" s="1499" t="s">
        <v>149</v>
      </c>
      <c r="EC458" s="730" t="s">
        <v>1269</v>
      </c>
      <c r="ED458" s="731">
        <v>0.5</v>
      </c>
      <c r="EE458" s="81"/>
      <c r="EF458" s="81"/>
      <c r="EG458" s="81"/>
      <c r="EH458" s="331"/>
      <c r="EJ458" s="377"/>
      <c r="EK458" s="377"/>
      <c r="EL458" s="377"/>
      <c r="EM458" s="81"/>
      <c r="EN458" s="377"/>
      <c r="EO458" s="377"/>
      <c r="EP458" s="377"/>
      <c r="EQ458" s="377"/>
      <c r="ER458" s="377"/>
      <c r="ES458" s="702"/>
      <c r="ET458" s="702"/>
      <c r="EU458" s="1023"/>
      <c r="EV458" s="377"/>
      <c r="EZ458" s="318"/>
    </row>
    <row r="459" spans="109:158" ht="36" customHeight="1">
      <c r="DE459" s="377"/>
      <c r="DF459" s="377"/>
      <c r="DG459" s="377"/>
      <c r="DH459" s="377"/>
      <c r="DI459" s="377"/>
      <c r="DJ459" s="377"/>
      <c r="DK459" s="81"/>
      <c r="DL459" s="81"/>
      <c r="DM459" s="377"/>
      <c r="DN459" s="377"/>
      <c r="DO459" s="377"/>
      <c r="DP459" s="377"/>
      <c r="DS459" s="351"/>
      <c r="DZ459" s="81"/>
      <c r="EA459" s="353"/>
      <c r="EB459" s="1499" t="s">
        <v>73</v>
      </c>
      <c r="EC459" s="730" t="s">
        <v>1269</v>
      </c>
      <c r="ED459" s="731">
        <v>0.5</v>
      </c>
      <c r="EE459" s="81"/>
      <c r="EF459" s="81"/>
      <c r="EG459" s="81"/>
      <c r="EH459" s="331"/>
      <c r="EJ459" s="377"/>
      <c r="EK459" s="377"/>
      <c r="EL459" s="377"/>
      <c r="EM459" s="81"/>
      <c r="EN459" s="377"/>
      <c r="EO459" s="377"/>
      <c r="EP459" s="377"/>
      <c r="EQ459" s="377"/>
      <c r="ER459" s="377"/>
      <c r="ES459" s="702"/>
      <c r="ET459" s="702"/>
      <c r="EU459" s="1023"/>
      <c r="EV459" s="377"/>
      <c r="EZ459" s="318"/>
    </row>
    <row r="460" spans="109:158" ht="36" customHeight="1">
      <c r="DE460" s="377"/>
      <c r="DF460" s="377"/>
      <c r="DG460" s="377"/>
      <c r="DH460" s="377"/>
      <c r="DI460" s="377"/>
      <c r="DJ460" s="377"/>
      <c r="DK460" s="81"/>
      <c r="DL460" s="81"/>
      <c r="DM460" s="377"/>
      <c r="DN460" s="377"/>
      <c r="DO460" s="377"/>
      <c r="DP460" s="377"/>
      <c r="DS460" s="351"/>
      <c r="DZ460" s="81"/>
      <c r="EA460" s="353"/>
      <c r="EB460" s="1499" t="s">
        <v>150</v>
      </c>
      <c r="EC460" s="730" t="s">
        <v>1269</v>
      </c>
      <c r="ED460" s="731">
        <v>0.5</v>
      </c>
      <c r="EE460" s="81"/>
      <c r="EF460" s="81"/>
      <c r="EG460" s="81"/>
      <c r="EH460" s="331"/>
      <c r="EJ460" s="377"/>
      <c r="EK460" s="377"/>
      <c r="EL460" s="377"/>
      <c r="EM460" s="81"/>
      <c r="EN460" s="377"/>
      <c r="EO460" s="377"/>
      <c r="EP460" s="377"/>
      <c r="EQ460" s="377"/>
      <c r="ER460" s="377"/>
      <c r="ES460" s="702"/>
      <c r="ET460" s="702"/>
      <c r="EU460" s="1023"/>
      <c r="EV460" s="377"/>
      <c r="EZ460" s="318"/>
    </row>
    <row r="461" spans="109:158" ht="36" customHeight="1">
      <c r="DE461" s="377"/>
      <c r="DF461" s="377"/>
      <c r="DG461" s="377"/>
      <c r="DH461" s="377"/>
      <c r="DI461" s="377"/>
      <c r="DJ461" s="377"/>
      <c r="DK461" s="81"/>
      <c r="DL461" s="81"/>
      <c r="DO461" s="377"/>
      <c r="DP461" s="377"/>
      <c r="DS461" s="81"/>
      <c r="DZ461" s="81"/>
      <c r="EA461" s="353"/>
      <c r="EB461" s="1499" t="s">
        <v>151</v>
      </c>
      <c r="EC461" s="730" t="s">
        <v>1269</v>
      </c>
      <c r="ED461" s="731">
        <v>0.5</v>
      </c>
      <c r="EE461" s="81"/>
      <c r="EF461" s="81"/>
      <c r="EG461" s="81"/>
      <c r="EH461" s="331"/>
      <c r="EM461" s="81"/>
      <c r="EN461" s="377"/>
      <c r="EO461" s="377"/>
      <c r="EP461" s="377"/>
      <c r="EQ461" s="377"/>
      <c r="ER461" s="377"/>
      <c r="ES461" s="702"/>
      <c r="ET461" s="702"/>
      <c r="EU461" s="1023"/>
      <c r="EV461" s="377"/>
      <c r="EZ461" s="318"/>
    </row>
    <row r="462" spans="109:158" ht="36" customHeight="1">
      <c r="DE462" s="377"/>
      <c r="DF462" s="377"/>
      <c r="DG462" s="377"/>
      <c r="DH462" s="377"/>
      <c r="DI462" s="377"/>
      <c r="DJ462" s="377"/>
      <c r="DK462" s="81"/>
      <c r="DL462" s="81"/>
      <c r="DO462" s="377"/>
      <c r="DP462" s="377"/>
      <c r="DS462" s="81"/>
      <c r="DZ462" s="81"/>
      <c r="EA462" s="353"/>
      <c r="EB462" s="1499" t="s">
        <v>152</v>
      </c>
      <c r="EC462" s="730" t="s">
        <v>1269</v>
      </c>
      <c r="ED462" s="731">
        <v>0.5</v>
      </c>
      <c r="EE462" s="81"/>
      <c r="EF462" s="81"/>
      <c r="EG462" s="81"/>
      <c r="EH462" s="331"/>
      <c r="EM462" s="81"/>
      <c r="EN462" s="377"/>
      <c r="EO462" s="377"/>
      <c r="EP462" s="377"/>
      <c r="EQ462" s="377"/>
      <c r="ER462" s="377"/>
      <c r="ES462" s="702"/>
      <c r="ET462" s="702"/>
      <c r="EU462" s="1023"/>
      <c r="EV462" s="377"/>
      <c r="EZ462" s="318"/>
    </row>
    <row r="463" spans="109:158" ht="36" customHeight="1">
      <c r="DE463" s="377"/>
      <c r="DF463" s="377"/>
      <c r="DG463" s="377"/>
      <c r="DH463" s="377"/>
      <c r="DI463" s="377"/>
      <c r="DJ463" s="377"/>
      <c r="DK463" s="81"/>
      <c r="DL463" s="81"/>
      <c r="DO463" s="377"/>
      <c r="DP463" s="377"/>
      <c r="DS463" s="81"/>
      <c r="DZ463" s="81"/>
      <c r="EA463" s="353"/>
      <c r="EB463" s="1499" t="s">
        <v>153</v>
      </c>
      <c r="EC463" s="730" t="s">
        <v>1269</v>
      </c>
      <c r="ED463" s="731">
        <v>0.5</v>
      </c>
      <c r="EE463" s="81"/>
      <c r="EF463" s="81"/>
      <c r="EG463" s="81"/>
      <c r="EH463" s="331"/>
      <c r="EM463" s="81"/>
      <c r="EN463" s="377"/>
      <c r="EO463" s="377"/>
      <c r="EP463" s="377"/>
      <c r="EQ463" s="377"/>
      <c r="ER463" s="377"/>
      <c r="ES463" s="702"/>
      <c r="ET463" s="702"/>
      <c r="EU463" s="1023"/>
      <c r="EV463" s="377"/>
      <c r="EZ463" s="318"/>
    </row>
    <row r="464" spans="109:158" ht="36" customHeight="1">
      <c r="DE464" s="377"/>
      <c r="DF464" s="377"/>
      <c r="DG464" s="377"/>
      <c r="DH464" s="377"/>
      <c r="DI464" s="377"/>
      <c r="DJ464" s="377"/>
      <c r="DK464" s="81"/>
      <c r="DL464" s="81"/>
      <c r="DO464" s="377"/>
      <c r="DP464" s="377"/>
      <c r="DS464" s="81"/>
      <c r="DZ464" s="81"/>
      <c r="EA464" s="353"/>
      <c r="EB464" s="1499" t="s">
        <v>154</v>
      </c>
      <c r="EC464" s="730" t="s">
        <v>1269</v>
      </c>
      <c r="ED464" s="731">
        <v>0.5</v>
      </c>
      <c r="EE464" s="81"/>
      <c r="EF464" s="81"/>
      <c r="EG464" s="81"/>
      <c r="EH464" s="331"/>
      <c r="EM464" s="81"/>
      <c r="EN464" s="377"/>
      <c r="EO464" s="377"/>
      <c r="EP464" s="377"/>
      <c r="EQ464" s="377"/>
      <c r="ER464" s="377"/>
      <c r="ES464" s="702"/>
      <c r="ET464" s="702"/>
      <c r="EU464" s="1023"/>
      <c r="EV464" s="377"/>
      <c r="EZ464" s="318"/>
    </row>
    <row r="465" spans="109:156" ht="36" customHeight="1">
      <c r="DE465" s="377"/>
      <c r="DF465" s="377"/>
      <c r="DG465" s="377"/>
      <c r="DH465" s="377"/>
      <c r="DI465" s="377"/>
      <c r="DJ465" s="377"/>
      <c r="DK465" s="81"/>
      <c r="DL465" s="81"/>
      <c r="DO465" s="377"/>
      <c r="DP465" s="377"/>
      <c r="DS465" s="81"/>
      <c r="DZ465" s="81"/>
      <c r="EA465" s="353"/>
      <c r="EB465" s="1499" t="s">
        <v>155</v>
      </c>
      <c r="EC465" s="730" t="s">
        <v>1269</v>
      </c>
      <c r="ED465" s="731">
        <v>0.5</v>
      </c>
      <c r="EE465" s="81"/>
      <c r="EF465" s="81"/>
      <c r="EG465" s="81"/>
      <c r="EH465" s="331"/>
      <c r="EM465" s="81"/>
      <c r="EN465" s="377"/>
      <c r="EO465" s="377"/>
      <c r="EP465" s="377"/>
      <c r="EQ465" s="377"/>
      <c r="ER465" s="377"/>
      <c r="ES465" s="702"/>
      <c r="ET465" s="702"/>
      <c r="EU465" s="1023"/>
      <c r="EV465" s="377"/>
      <c r="EZ465" s="318"/>
    </row>
    <row r="466" spans="109:156" ht="36" customHeight="1">
      <c r="DE466" s="377"/>
      <c r="DF466" s="377"/>
      <c r="DG466" s="377"/>
      <c r="DH466" s="377"/>
      <c r="DI466" s="377"/>
      <c r="DJ466" s="377"/>
      <c r="DK466" s="81"/>
      <c r="DL466" s="81"/>
      <c r="DP466" s="377"/>
      <c r="DS466" s="81"/>
      <c r="DZ466" s="81"/>
      <c r="EA466" s="353"/>
      <c r="EB466" s="1499" t="s">
        <v>156</v>
      </c>
      <c r="EC466" s="730" t="s">
        <v>1269</v>
      </c>
      <c r="ED466" s="731">
        <v>0.5</v>
      </c>
      <c r="EE466" s="81"/>
      <c r="EF466" s="81"/>
      <c r="EG466" s="81"/>
      <c r="EH466" s="331"/>
      <c r="EM466" s="81"/>
      <c r="EN466" s="377"/>
      <c r="EO466" s="377"/>
      <c r="EP466" s="377"/>
      <c r="EQ466" s="377"/>
      <c r="ER466" s="377"/>
      <c r="ES466" s="702"/>
      <c r="ET466" s="702"/>
      <c r="EU466" s="1023"/>
      <c r="EV466" s="377"/>
      <c r="EZ466" s="318"/>
    </row>
    <row r="467" spans="109:156" ht="36" customHeight="1">
      <c r="DE467" s="377"/>
      <c r="DF467" s="377"/>
      <c r="DG467" s="377"/>
      <c r="DH467" s="377"/>
      <c r="DI467" s="377"/>
      <c r="DJ467" s="377"/>
      <c r="DK467" s="81"/>
      <c r="DL467" s="81"/>
      <c r="DS467" s="81"/>
      <c r="DZ467" s="81"/>
      <c r="EA467" s="353"/>
      <c r="EB467" s="1499" t="s">
        <v>73</v>
      </c>
      <c r="EC467" s="730" t="s">
        <v>1269</v>
      </c>
      <c r="ED467" s="731">
        <v>0.5</v>
      </c>
      <c r="EE467" s="81"/>
      <c r="EF467" s="81"/>
      <c r="EG467" s="81"/>
      <c r="EH467" s="331"/>
      <c r="EM467" s="81"/>
      <c r="EN467" s="377"/>
      <c r="EO467" s="377"/>
      <c r="EP467" s="377"/>
      <c r="EQ467" s="377"/>
      <c r="ER467" s="377"/>
      <c r="ES467" s="702"/>
      <c r="ET467" s="702"/>
      <c r="EU467" s="1023"/>
      <c r="EV467" s="377"/>
      <c r="EZ467" s="318"/>
    </row>
    <row r="468" spans="109:156" ht="36" customHeight="1">
      <c r="DE468" s="377"/>
      <c r="DF468" s="377"/>
      <c r="DG468" s="377"/>
      <c r="DH468" s="377"/>
      <c r="DI468" s="377"/>
      <c r="DJ468" s="377"/>
      <c r="DK468" s="81"/>
      <c r="DL468" s="81"/>
      <c r="DS468" s="81"/>
      <c r="DZ468" s="81"/>
      <c r="EA468" s="353"/>
      <c r="EB468" s="1499" t="s">
        <v>157</v>
      </c>
      <c r="EC468" s="730" t="s">
        <v>1269</v>
      </c>
      <c r="ED468" s="731">
        <v>0.5</v>
      </c>
      <c r="EE468" s="81"/>
      <c r="EF468" s="81"/>
      <c r="EG468" s="81"/>
      <c r="EH468" s="331"/>
      <c r="EM468" s="81"/>
      <c r="EN468" s="377"/>
      <c r="EO468" s="377"/>
      <c r="EP468" s="377"/>
      <c r="EQ468" s="377"/>
      <c r="ER468" s="377"/>
      <c r="ES468" s="702"/>
      <c r="ET468" s="702"/>
      <c r="EU468" s="1023"/>
      <c r="EV468" s="377"/>
      <c r="EZ468" s="318"/>
    </row>
    <row r="469" spans="109:156" ht="36" customHeight="1">
      <c r="DE469" s="377"/>
      <c r="DF469" s="377"/>
      <c r="DG469" s="377"/>
      <c r="DH469" s="377"/>
      <c r="DI469" s="377"/>
      <c r="DJ469" s="377"/>
      <c r="DK469" s="81"/>
      <c r="DL469" s="81"/>
      <c r="DS469" s="81"/>
      <c r="DZ469" s="81"/>
      <c r="EA469" s="353"/>
      <c r="EB469" s="1499" t="s">
        <v>158</v>
      </c>
      <c r="EC469" s="730" t="s">
        <v>1269</v>
      </c>
      <c r="ED469" s="731">
        <v>0.5</v>
      </c>
      <c r="EE469" s="81"/>
      <c r="EF469" s="81"/>
      <c r="EG469" s="81"/>
      <c r="EH469" s="331"/>
      <c r="EM469" s="81"/>
      <c r="EN469" s="377"/>
      <c r="EO469" s="377"/>
      <c r="EP469" s="377"/>
      <c r="EQ469" s="377"/>
      <c r="ER469" s="377"/>
      <c r="ES469" s="702"/>
      <c r="ET469" s="702"/>
      <c r="EU469" s="1023"/>
      <c r="EV469" s="377"/>
      <c r="EZ469" s="318"/>
    </row>
    <row r="470" spans="109:156" ht="36" customHeight="1">
      <c r="DE470" s="377"/>
      <c r="DF470" s="377"/>
      <c r="DG470" s="377"/>
      <c r="DH470" s="377"/>
      <c r="DI470" s="377"/>
      <c r="DJ470" s="377"/>
      <c r="DK470" s="81"/>
      <c r="DL470" s="81"/>
      <c r="DS470" s="81"/>
      <c r="DZ470" s="81"/>
      <c r="EA470" s="353"/>
      <c r="EB470" s="1499" t="s">
        <v>159</v>
      </c>
      <c r="EC470" s="730" t="s">
        <v>1269</v>
      </c>
      <c r="ED470" s="731">
        <v>0.5</v>
      </c>
      <c r="EE470" s="81"/>
      <c r="EF470" s="81"/>
      <c r="EG470" s="81"/>
      <c r="EH470" s="331"/>
      <c r="EM470" s="81"/>
      <c r="EN470" s="377"/>
      <c r="EO470" s="377"/>
      <c r="EP470" s="377"/>
      <c r="EQ470" s="377"/>
      <c r="ER470" s="377"/>
      <c r="ES470" s="702"/>
      <c r="ET470" s="702"/>
      <c r="EU470" s="1023"/>
      <c r="EV470" s="377"/>
      <c r="EZ470" s="318"/>
    </row>
    <row r="471" spans="109:156" ht="36" customHeight="1">
      <c r="DE471" s="377"/>
      <c r="DF471" s="377"/>
      <c r="DG471" s="377"/>
      <c r="DH471" s="377"/>
      <c r="DI471" s="377"/>
      <c r="DJ471" s="377"/>
      <c r="DK471" s="81"/>
      <c r="DL471" s="81"/>
      <c r="DS471" s="81"/>
      <c r="DZ471" s="81"/>
      <c r="EA471" s="353"/>
      <c r="EB471" s="1499" t="s">
        <v>160</v>
      </c>
      <c r="EC471" s="730" t="s">
        <v>1269</v>
      </c>
      <c r="ED471" s="731">
        <v>0.5</v>
      </c>
      <c r="EE471" s="81"/>
      <c r="EF471" s="81"/>
      <c r="EG471" s="81"/>
      <c r="EH471" s="331"/>
      <c r="EM471" s="81"/>
      <c r="EN471" s="377"/>
      <c r="EO471" s="377"/>
      <c r="EP471" s="377"/>
      <c r="EQ471" s="377"/>
      <c r="ER471" s="377"/>
      <c r="ES471" s="702"/>
      <c r="ET471" s="702"/>
      <c r="EU471" s="1023"/>
      <c r="EV471" s="377"/>
      <c r="EZ471" s="318"/>
    </row>
    <row r="472" spans="109:156" ht="36" customHeight="1">
      <c r="DE472" s="377"/>
      <c r="DF472" s="377"/>
      <c r="DG472" s="377"/>
      <c r="DH472" s="377"/>
      <c r="DI472" s="377"/>
      <c r="DJ472" s="377"/>
      <c r="DK472" s="81"/>
      <c r="DL472" s="81"/>
      <c r="DS472" s="81"/>
      <c r="DZ472" s="81"/>
      <c r="EA472" s="353"/>
      <c r="EB472" s="1499" t="s">
        <v>161</v>
      </c>
      <c r="EC472" s="730" t="s">
        <v>1269</v>
      </c>
      <c r="ED472" s="731">
        <v>0.5</v>
      </c>
      <c r="EE472" s="81"/>
      <c r="EF472" s="81"/>
      <c r="EG472" s="81"/>
      <c r="EH472" s="331"/>
      <c r="EM472" s="81"/>
      <c r="EN472" s="377"/>
      <c r="EO472" s="377"/>
      <c r="EP472" s="377"/>
      <c r="EQ472" s="377"/>
      <c r="ER472" s="377"/>
      <c r="ES472" s="702"/>
      <c r="ET472" s="702"/>
      <c r="EU472" s="1023"/>
      <c r="EV472" s="377"/>
      <c r="EZ472" s="318"/>
    </row>
    <row r="473" spans="109:156" ht="36" customHeight="1">
      <c r="DE473" s="377"/>
      <c r="DF473" s="377"/>
      <c r="DG473" s="377"/>
      <c r="DH473" s="377"/>
      <c r="DI473" s="377"/>
      <c r="DJ473" s="377"/>
      <c r="DK473" s="81"/>
      <c r="DL473" s="81"/>
      <c r="DS473" s="81"/>
      <c r="DZ473" s="81"/>
      <c r="EA473" s="353"/>
      <c r="EB473" s="1499" t="s">
        <v>162</v>
      </c>
      <c r="EC473" s="730" t="s">
        <v>1269</v>
      </c>
      <c r="ED473" s="731">
        <v>0.5</v>
      </c>
      <c r="EE473" s="81"/>
      <c r="EF473" s="81"/>
      <c r="EG473" s="81"/>
      <c r="EH473" s="331"/>
      <c r="EM473" s="81"/>
      <c r="EN473" s="377"/>
      <c r="EO473" s="377"/>
      <c r="EP473" s="377"/>
      <c r="EQ473" s="377"/>
      <c r="ER473" s="377"/>
      <c r="ES473" s="702"/>
      <c r="ET473" s="702"/>
      <c r="EU473" s="1023"/>
      <c r="EV473" s="377"/>
      <c r="EZ473" s="318"/>
    </row>
    <row r="474" spans="109:156" ht="36" customHeight="1">
      <c r="DE474" s="377"/>
      <c r="DF474" s="377"/>
      <c r="DG474" s="377"/>
      <c r="DH474" s="377"/>
      <c r="DI474" s="377"/>
      <c r="DJ474" s="377"/>
      <c r="DK474" s="377"/>
      <c r="DL474" s="377"/>
      <c r="DS474" s="81"/>
      <c r="DZ474" s="81"/>
      <c r="EA474" s="353"/>
      <c r="EB474" s="1499" t="s">
        <v>163</v>
      </c>
      <c r="EC474" s="730" t="s">
        <v>1269</v>
      </c>
      <c r="ED474" s="731">
        <v>0.5</v>
      </c>
      <c r="EE474" s="81"/>
      <c r="EF474" s="81"/>
      <c r="EG474" s="81"/>
      <c r="EH474" s="331"/>
      <c r="EM474" s="81"/>
      <c r="EN474" s="377"/>
      <c r="EO474" s="377"/>
      <c r="EP474" s="377"/>
      <c r="EQ474" s="377"/>
      <c r="ER474" s="377"/>
      <c r="ES474" s="702"/>
      <c r="ET474" s="702"/>
      <c r="EU474" s="1023"/>
      <c r="EV474" s="377"/>
      <c r="EZ474" s="318"/>
    </row>
    <row r="475" spans="109:156" ht="36" customHeight="1">
      <c r="DE475" s="377"/>
      <c r="DF475" s="377"/>
      <c r="DG475" s="377"/>
      <c r="DH475" s="377"/>
      <c r="DI475" s="377"/>
      <c r="DJ475" s="377"/>
      <c r="DK475" s="377"/>
      <c r="DL475" s="377"/>
      <c r="DS475" s="81"/>
      <c r="DZ475" s="81"/>
      <c r="EA475" s="353"/>
      <c r="EB475" s="1499" t="s">
        <v>164</v>
      </c>
      <c r="EC475" s="730" t="s">
        <v>1269</v>
      </c>
      <c r="ED475" s="731">
        <v>0.5</v>
      </c>
      <c r="EE475" s="81"/>
      <c r="EF475" s="81"/>
      <c r="EG475" s="81"/>
      <c r="EH475" s="331"/>
      <c r="EM475" s="81"/>
      <c r="EN475" s="377"/>
      <c r="EO475" s="377"/>
      <c r="EP475" s="377"/>
      <c r="EQ475" s="377"/>
      <c r="ER475" s="377"/>
      <c r="ES475" s="702"/>
      <c r="ET475" s="702"/>
      <c r="EU475" s="1023"/>
      <c r="EV475" s="377"/>
      <c r="EZ475" s="318"/>
    </row>
    <row r="476" spans="109:156" ht="36" customHeight="1">
      <c r="DE476" s="377"/>
      <c r="DF476" s="377"/>
      <c r="DG476" s="377"/>
      <c r="DH476" s="377"/>
      <c r="DI476" s="377"/>
      <c r="DJ476" s="377"/>
      <c r="DK476" s="377"/>
      <c r="DL476" s="377"/>
      <c r="DS476" s="81"/>
      <c r="DZ476" s="81"/>
      <c r="EA476" s="353"/>
      <c r="EB476" s="1499" t="s">
        <v>73</v>
      </c>
      <c r="EC476" s="730" t="s">
        <v>1269</v>
      </c>
      <c r="ED476" s="731">
        <v>0.5</v>
      </c>
      <c r="EE476" s="81"/>
      <c r="EF476" s="81"/>
      <c r="EG476" s="81"/>
      <c r="EH476" s="331"/>
      <c r="EM476" s="81"/>
      <c r="EN476" s="377"/>
      <c r="EO476" s="377"/>
      <c r="EP476" s="377"/>
      <c r="EQ476" s="377"/>
      <c r="ER476" s="377"/>
      <c r="ES476" s="702"/>
      <c r="ET476" s="702"/>
      <c r="EU476" s="1023"/>
      <c r="EV476" s="377"/>
      <c r="EZ476" s="318"/>
    </row>
    <row r="477" spans="109:156" ht="36" customHeight="1">
      <c r="DE477" s="377"/>
      <c r="DF477" s="377"/>
      <c r="DG477" s="377"/>
      <c r="DH477" s="377"/>
      <c r="DI477" s="377"/>
      <c r="DJ477" s="377"/>
      <c r="DK477" s="377"/>
      <c r="DL477" s="377"/>
      <c r="DS477" s="81"/>
      <c r="DZ477" s="81"/>
      <c r="EA477" s="353"/>
      <c r="EB477" s="1499" t="s">
        <v>104</v>
      </c>
      <c r="EC477" s="730" t="s">
        <v>1269</v>
      </c>
      <c r="ED477" s="731">
        <v>0.5</v>
      </c>
      <c r="EE477" s="81"/>
      <c r="EF477" s="81"/>
      <c r="EG477" s="81"/>
      <c r="EH477" s="331"/>
      <c r="EM477" s="81"/>
      <c r="EN477" s="377"/>
      <c r="EO477" s="377"/>
      <c r="EP477" s="377"/>
      <c r="EQ477" s="377"/>
      <c r="ER477" s="377"/>
      <c r="ES477" s="702"/>
      <c r="ET477" s="702"/>
      <c r="EU477" s="1023"/>
      <c r="EV477" s="377"/>
      <c r="EZ477" s="318"/>
    </row>
    <row r="478" spans="109:156" ht="36" customHeight="1">
      <c r="DE478" s="377"/>
      <c r="DF478" s="377"/>
      <c r="DG478" s="377"/>
      <c r="DH478" s="377"/>
      <c r="DI478" s="377"/>
      <c r="DJ478" s="377"/>
      <c r="DK478" s="377"/>
      <c r="DL478" s="377"/>
      <c r="DS478" s="81"/>
      <c r="DZ478" s="81"/>
      <c r="EA478" s="353"/>
      <c r="EB478" s="1499" t="s">
        <v>105</v>
      </c>
      <c r="EC478" s="730" t="s">
        <v>1269</v>
      </c>
      <c r="ED478" s="731">
        <v>0.5</v>
      </c>
      <c r="EE478" s="81"/>
      <c r="EF478" s="81"/>
      <c r="EG478" s="81"/>
      <c r="EH478" s="331"/>
      <c r="EM478" s="81"/>
      <c r="EN478" s="377"/>
      <c r="EO478" s="377"/>
      <c r="EP478" s="377"/>
      <c r="EQ478" s="377"/>
      <c r="ER478" s="377"/>
      <c r="ES478" s="702"/>
      <c r="ET478" s="702"/>
      <c r="EU478" s="1023"/>
      <c r="EV478" s="377"/>
      <c r="EZ478" s="318"/>
    </row>
    <row r="479" spans="109:156" ht="36" customHeight="1">
      <c r="DE479" s="377"/>
      <c r="DF479" s="377"/>
      <c r="DG479" s="377"/>
      <c r="DH479" s="377"/>
      <c r="DI479" s="377"/>
      <c r="DJ479" s="377"/>
      <c r="DK479" s="377"/>
      <c r="DL479" s="377"/>
      <c r="DS479" s="81"/>
      <c r="DZ479" s="81"/>
      <c r="EA479" s="353"/>
      <c r="EB479" s="1499" t="s">
        <v>183</v>
      </c>
      <c r="EC479" s="730" t="s">
        <v>1269</v>
      </c>
      <c r="ED479" s="731">
        <v>0.5</v>
      </c>
      <c r="EE479" s="81"/>
      <c r="EF479" s="81"/>
      <c r="EG479" s="81"/>
      <c r="EH479" s="331"/>
      <c r="EM479" s="81"/>
      <c r="EN479" s="377"/>
      <c r="EO479" s="377"/>
      <c r="EP479" s="377"/>
      <c r="EQ479" s="377"/>
      <c r="ER479" s="377"/>
      <c r="ES479" s="702"/>
      <c r="ET479" s="702"/>
      <c r="EU479" s="1023"/>
      <c r="EV479" s="377"/>
      <c r="EZ479" s="318"/>
    </row>
    <row r="480" spans="109:156" ht="36" customHeight="1">
      <c r="DE480" s="377"/>
      <c r="DF480" s="377"/>
      <c r="DG480" s="377"/>
      <c r="DH480" s="377"/>
      <c r="DI480" s="377"/>
      <c r="DJ480" s="377"/>
      <c r="DK480" s="377"/>
      <c r="DL480" s="377"/>
      <c r="DS480" s="81"/>
      <c r="DZ480" s="81"/>
      <c r="EA480" s="353"/>
      <c r="EB480" s="1499" t="s">
        <v>184</v>
      </c>
      <c r="EC480" s="730" t="s">
        <v>1269</v>
      </c>
      <c r="ED480" s="731">
        <v>0.5</v>
      </c>
      <c r="EE480" s="81"/>
      <c r="EF480" s="81"/>
      <c r="EG480" s="81"/>
      <c r="EH480" s="331"/>
      <c r="EM480" s="81"/>
      <c r="EN480" s="377"/>
      <c r="EO480" s="377"/>
      <c r="EP480" s="377"/>
      <c r="EQ480" s="377"/>
      <c r="ER480" s="377"/>
      <c r="ES480" s="702"/>
      <c r="ET480" s="702"/>
      <c r="EU480" s="1023"/>
      <c r="EV480" s="377"/>
      <c r="EZ480" s="318"/>
    </row>
    <row r="481" spans="109:156" ht="36" customHeight="1">
      <c r="DE481" s="377"/>
      <c r="DF481" s="377"/>
      <c r="DG481" s="377"/>
      <c r="DH481" s="377"/>
      <c r="DI481" s="377"/>
      <c r="DJ481" s="377"/>
      <c r="DK481" s="377"/>
      <c r="DL481" s="377"/>
      <c r="DS481" s="81"/>
      <c r="DZ481" s="81"/>
      <c r="EA481" s="353"/>
      <c r="EB481" s="1499" t="s">
        <v>106</v>
      </c>
      <c r="EC481" s="730" t="s">
        <v>1269</v>
      </c>
      <c r="ED481" s="731">
        <v>0.5</v>
      </c>
      <c r="EE481" s="81"/>
      <c r="EF481" s="81"/>
      <c r="EG481" s="81"/>
      <c r="EH481" s="331"/>
      <c r="EM481" s="81"/>
      <c r="EN481" s="377"/>
      <c r="EO481" s="377"/>
      <c r="EP481" s="377"/>
      <c r="EQ481" s="377"/>
      <c r="ER481" s="377"/>
      <c r="ES481" s="702"/>
      <c r="ET481" s="702"/>
      <c r="EU481" s="1023"/>
      <c r="EV481" s="377"/>
      <c r="EZ481" s="318"/>
    </row>
    <row r="482" spans="109:156" ht="36" customHeight="1">
      <c r="DE482" s="377"/>
      <c r="DF482" s="377"/>
      <c r="DG482" s="377"/>
      <c r="DH482" s="377"/>
      <c r="DI482" s="377"/>
      <c r="DJ482" s="377"/>
      <c r="DK482" s="377"/>
      <c r="DL482" s="377"/>
      <c r="DS482" s="81"/>
      <c r="DZ482" s="81"/>
      <c r="EA482" s="353"/>
      <c r="EB482" s="1499" t="s">
        <v>107</v>
      </c>
      <c r="EC482" s="730" t="s">
        <v>1269</v>
      </c>
      <c r="ED482" s="731">
        <v>0.5</v>
      </c>
      <c r="EE482" s="81"/>
      <c r="EF482" s="81"/>
      <c r="EG482" s="81"/>
      <c r="EH482" s="331"/>
      <c r="EM482" s="81"/>
      <c r="EN482" s="377"/>
      <c r="EO482" s="377"/>
      <c r="EP482" s="377"/>
      <c r="EQ482" s="377"/>
      <c r="ER482" s="377"/>
      <c r="ES482" s="702"/>
      <c r="ET482" s="702"/>
      <c r="EU482" s="1023"/>
      <c r="EV482" s="377"/>
      <c r="EZ482" s="318"/>
    </row>
    <row r="483" spans="109:156" ht="36" customHeight="1">
      <c r="DE483" s="377"/>
      <c r="DF483" s="377"/>
      <c r="DG483" s="377"/>
      <c r="DH483" s="377"/>
      <c r="DI483" s="377"/>
      <c r="DJ483" s="377"/>
      <c r="DK483" s="377"/>
      <c r="DL483" s="377"/>
      <c r="DS483" s="81"/>
      <c r="DZ483" s="81"/>
      <c r="EA483" s="353"/>
      <c r="EB483" s="1499" t="s">
        <v>185</v>
      </c>
      <c r="EC483" s="730" t="s">
        <v>1269</v>
      </c>
      <c r="ED483" s="731">
        <v>0.5</v>
      </c>
      <c r="EE483" s="81"/>
      <c r="EF483" s="81"/>
      <c r="EG483" s="81"/>
      <c r="EH483" s="331"/>
      <c r="EM483" s="81"/>
      <c r="EN483" s="377"/>
      <c r="EO483" s="377"/>
      <c r="EP483" s="377"/>
      <c r="EQ483" s="377"/>
      <c r="ER483" s="377"/>
      <c r="ES483" s="702"/>
      <c r="ET483" s="702"/>
      <c r="EU483" s="1023"/>
      <c r="EV483" s="377"/>
      <c r="EZ483" s="318"/>
    </row>
    <row r="484" spans="109:156" ht="36" customHeight="1">
      <c r="DE484" s="377"/>
      <c r="DF484" s="377"/>
      <c r="DG484" s="377"/>
      <c r="DH484" s="377"/>
      <c r="DI484" s="377"/>
      <c r="DJ484" s="377"/>
      <c r="DK484" s="377"/>
      <c r="DL484" s="377"/>
      <c r="DS484" s="81"/>
      <c r="DZ484" s="81"/>
      <c r="EA484" s="353"/>
      <c r="EB484" s="1499" t="s">
        <v>186</v>
      </c>
      <c r="EC484" s="730" t="s">
        <v>1269</v>
      </c>
      <c r="ED484" s="731">
        <v>0.5</v>
      </c>
      <c r="EE484" s="81"/>
      <c r="EF484" s="81"/>
      <c r="EG484" s="81"/>
      <c r="EH484" s="331"/>
      <c r="EM484" s="81"/>
      <c r="EN484" s="377"/>
      <c r="EO484" s="377"/>
      <c r="EP484" s="377"/>
      <c r="EQ484" s="377"/>
      <c r="ER484" s="377"/>
      <c r="ES484" s="702"/>
      <c r="ET484" s="702"/>
      <c r="EU484" s="1023"/>
      <c r="EV484" s="377"/>
      <c r="EZ484" s="318"/>
    </row>
    <row r="485" spans="109:156" ht="36" customHeight="1">
      <c r="DE485" s="377"/>
      <c r="DF485" s="377"/>
      <c r="DG485" s="377"/>
      <c r="DH485" s="377"/>
      <c r="DI485" s="377"/>
      <c r="DJ485" s="377"/>
      <c r="DK485" s="377"/>
      <c r="DL485" s="377"/>
      <c r="DS485" s="81"/>
      <c r="DZ485" s="81"/>
      <c r="EA485" s="353"/>
      <c r="EB485" s="1499" t="s">
        <v>108</v>
      </c>
      <c r="EC485" s="730" t="s">
        <v>1269</v>
      </c>
      <c r="ED485" s="731">
        <v>0.5</v>
      </c>
      <c r="EE485" s="81"/>
      <c r="EF485" s="81"/>
      <c r="EG485" s="81"/>
      <c r="EH485" s="331"/>
      <c r="EM485" s="81"/>
      <c r="EN485" s="377"/>
      <c r="EO485" s="377"/>
      <c r="EP485" s="377"/>
      <c r="EQ485" s="377"/>
      <c r="ER485" s="377"/>
      <c r="ES485" s="702"/>
      <c r="ET485" s="702"/>
      <c r="EU485" s="1023"/>
      <c r="EV485" s="377"/>
      <c r="EZ485" s="318"/>
    </row>
    <row r="486" spans="109:156" ht="36" customHeight="1">
      <c r="DE486" s="377"/>
      <c r="DF486" s="377"/>
      <c r="DG486" s="377"/>
      <c r="DH486" s="377"/>
      <c r="DI486" s="377"/>
      <c r="DJ486" s="377"/>
      <c r="DK486" s="377"/>
      <c r="DL486" s="377"/>
      <c r="DS486" s="81"/>
      <c r="DZ486" s="81"/>
      <c r="EA486" s="353"/>
      <c r="EB486" s="1499" t="s">
        <v>109</v>
      </c>
      <c r="EC486" s="730" t="s">
        <v>1269</v>
      </c>
      <c r="ED486" s="731">
        <v>0.5</v>
      </c>
      <c r="EE486" s="81"/>
      <c r="EF486" s="81"/>
      <c r="EG486" s="81"/>
      <c r="EH486" s="331"/>
      <c r="EM486" s="81"/>
      <c r="EN486" s="377"/>
      <c r="EO486" s="377"/>
      <c r="EP486" s="377"/>
      <c r="EQ486" s="377"/>
      <c r="ER486" s="377"/>
      <c r="ES486" s="702"/>
      <c r="ET486" s="702"/>
      <c r="EU486" s="1023"/>
      <c r="EV486" s="377"/>
      <c r="EZ486" s="318"/>
    </row>
    <row r="487" spans="109:156" ht="36" customHeight="1">
      <c r="DE487" s="377"/>
      <c r="DF487" s="377"/>
      <c r="DG487" s="377"/>
      <c r="DH487" s="377"/>
      <c r="DI487" s="377"/>
      <c r="DJ487" s="377"/>
      <c r="DK487" s="377"/>
      <c r="DL487" s="377"/>
      <c r="DS487" s="81"/>
      <c r="DZ487" s="81"/>
      <c r="EA487" s="353"/>
      <c r="EB487" s="1499" t="s">
        <v>110</v>
      </c>
      <c r="EC487" s="730" t="s">
        <v>1269</v>
      </c>
      <c r="ED487" s="731">
        <v>0.5</v>
      </c>
      <c r="EE487" s="81"/>
      <c r="EF487" s="81"/>
      <c r="EG487" s="81"/>
      <c r="EH487" s="331"/>
      <c r="EM487" s="81"/>
      <c r="EN487" s="377"/>
      <c r="EO487" s="377"/>
      <c r="EP487" s="377"/>
      <c r="EQ487" s="377"/>
      <c r="ER487" s="377"/>
      <c r="ES487" s="702"/>
      <c r="ET487" s="702"/>
      <c r="EU487" s="1023"/>
      <c r="EV487" s="377"/>
      <c r="EZ487" s="318"/>
    </row>
    <row r="488" spans="109:156" ht="36" customHeight="1">
      <c r="DE488" s="377"/>
      <c r="DF488" s="377"/>
      <c r="DG488" s="377"/>
      <c r="DH488" s="377"/>
      <c r="DI488" s="377"/>
      <c r="DJ488" s="377"/>
      <c r="DS488" s="81"/>
      <c r="DZ488" s="81"/>
      <c r="EA488" s="353"/>
      <c r="EB488" s="1499" t="s">
        <v>111</v>
      </c>
      <c r="EC488" s="730" t="s">
        <v>1269</v>
      </c>
      <c r="ED488" s="731">
        <v>0.5</v>
      </c>
      <c r="EE488" s="81"/>
      <c r="EF488" s="81"/>
      <c r="EG488" s="81"/>
      <c r="EH488" s="331"/>
      <c r="EM488" s="81"/>
      <c r="EN488" s="377"/>
      <c r="EO488" s="377"/>
      <c r="EP488" s="377"/>
      <c r="EQ488" s="377"/>
      <c r="ER488" s="377"/>
      <c r="ES488" s="702"/>
      <c r="ET488" s="702"/>
      <c r="EU488" s="1023"/>
      <c r="EV488" s="377"/>
      <c r="EZ488" s="318"/>
    </row>
    <row r="489" spans="109:156" ht="36" customHeight="1">
      <c r="DE489" s="377"/>
      <c r="DF489" s="377"/>
      <c r="DG489" s="377"/>
      <c r="DH489" s="377"/>
      <c r="DI489" s="377"/>
      <c r="DJ489" s="377"/>
      <c r="DS489" s="81"/>
      <c r="DZ489" s="81"/>
      <c r="EA489" s="353"/>
      <c r="EB489" s="1499" t="s">
        <v>112</v>
      </c>
      <c r="EC489" s="730" t="s">
        <v>1269</v>
      </c>
      <c r="ED489" s="731">
        <v>0.5</v>
      </c>
      <c r="EE489" s="81"/>
      <c r="EF489" s="81"/>
      <c r="EG489" s="81"/>
      <c r="EH489" s="331"/>
      <c r="EM489" s="81"/>
      <c r="EN489" s="377"/>
      <c r="EO489" s="377"/>
      <c r="EP489" s="377"/>
      <c r="EQ489" s="377"/>
      <c r="ER489" s="377"/>
      <c r="ES489" s="702"/>
      <c r="ET489" s="702"/>
      <c r="EU489" s="1023"/>
      <c r="EV489" s="377"/>
      <c r="EZ489" s="318"/>
    </row>
    <row r="490" spans="109:156" ht="36" customHeight="1">
      <c r="DE490" s="377"/>
      <c r="DF490" s="377"/>
      <c r="DG490" s="377"/>
      <c r="DH490" s="377"/>
      <c r="DI490" s="377"/>
      <c r="DJ490" s="377"/>
      <c r="DS490" s="81"/>
      <c r="DZ490" s="81"/>
      <c r="EA490" s="353"/>
      <c r="EB490" s="1499" t="s">
        <v>113</v>
      </c>
      <c r="EC490" s="730" t="s">
        <v>1269</v>
      </c>
      <c r="ED490" s="731">
        <v>0.5</v>
      </c>
      <c r="EE490" s="81"/>
      <c r="EF490" s="81"/>
      <c r="EG490" s="81"/>
      <c r="EH490" s="331"/>
      <c r="EM490" s="81"/>
      <c r="EN490" s="377"/>
      <c r="EO490" s="377"/>
      <c r="EP490" s="377"/>
      <c r="EQ490" s="377"/>
      <c r="ER490" s="377"/>
      <c r="ES490" s="702"/>
      <c r="ET490" s="702"/>
      <c r="EU490" s="1023"/>
      <c r="EV490" s="377"/>
      <c r="EZ490" s="318"/>
    </row>
    <row r="491" spans="109:156" ht="36" customHeight="1">
      <c r="DE491" s="377"/>
      <c r="DF491" s="377"/>
      <c r="DG491" s="377"/>
      <c r="DH491" s="377"/>
      <c r="DI491" s="377"/>
      <c r="DJ491" s="377"/>
      <c r="DS491" s="81"/>
      <c r="DZ491" s="81"/>
      <c r="EA491" s="353"/>
      <c r="EB491" s="1499" t="s">
        <v>1290</v>
      </c>
      <c r="EC491" s="730" t="s">
        <v>1269</v>
      </c>
      <c r="ED491" s="731">
        <v>0.5</v>
      </c>
      <c r="EE491" s="81"/>
      <c r="EF491" s="81"/>
      <c r="EG491" s="81"/>
      <c r="EH491" s="331"/>
      <c r="EM491" s="81"/>
      <c r="EN491" s="377"/>
      <c r="EO491" s="377"/>
      <c r="EP491" s="377"/>
      <c r="EQ491" s="377"/>
      <c r="ER491" s="377"/>
      <c r="ES491" s="702"/>
      <c r="ET491" s="702"/>
      <c r="EU491" s="1023"/>
      <c r="EV491" s="377"/>
      <c r="EZ491" s="318"/>
    </row>
    <row r="492" spans="109:156" ht="36" customHeight="1">
      <c r="DE492" s="377"/>
      <c r="DF492" s="377"/>
      <c r="DG492" s="377"/>
      <c r="DH492" s="377"/>
      <c r="DI492" s="377"/>
      <c r="DJ492" s="377"/>
      <c r="DS492" s="81"/>
      <c r="DZ492" s="81"/>
      <c r="EA492" s="353"/>
      <c r="EB492" s="1499" t="s">
        <v>1291</v>
      </c>
      <c r="EC492" s="730" t="s">
        <v>1269</v>
      </c>
      <c r="ED492" s="731">
        <v>0.5</v>
      </c>
      <c r="EE492" s="81"/>
      <c r="EF492" s="81"/>
      <c r="EG492" s="81"/>
      <c r="EH492" s="331"/>
      <c r="EM492" s="81"/>
      <c r="EN492" s="377"/>
      <c r="EO492" s="377"/>
      <c r="EP492" s="377"/>
      <c r="EQ492" s="377"/>
      <c r="ER492" s="377"/>
      <c r="ES492" s="702"/>
      <c r="ET492" s="702"/>
      <c r="EU492" s="1023"/>
      <c r="EV492" s="377"/>
      <c r="EZ492" s="318"/>
    </row>
    <row r="493" spans="109:156" ht="36" customHeight="1">
      <c r="DE493" s="377"/>
      <c r="DF493" s="377"/>
      <c r="DG493" s="377"/>
      <c r="DH493" s="377"/>
      <c r="DI493" s="377"/>
      <c r="DJ493" s="377"/>
      <c r="DS493" s="81"/>
      <c r="DZ493" s="81"/>
      <c r="EA493" s="353"/>
      <c r="EB493" s="1499" t="s">
        <v>1292</v>
      </c>
      <c r="EC493" s="730" t="s">
        <v>1269</v>
      </c>
      <c r="ED493" s="731">
        <v>0.5</v>
      </c>
      <c r="EE493" s="81"/>
      <c r="EF493" s="81"/>
      <c r="EG493" s="81"/>
      <c r="EH493" s="331"/>
      <c r="EM493" s="81"/>
      <c r="EN493" s="377"/>
      <c r="EO493" s="377"/>
      <c r="EP493" s="377"/>
      <c r="EQ493" s="377"/>
      <c r="ER493" s="377"/>
      <c r="ES493" s="702"/>
      <c r="ET493" s="702"/>
      <c r="EU493" s="1023"/>
      <c r="EV493" s="377"/>
      <c r="EZ493" s="318"/>
    </row>
    <row r="494" spans="109:156" ht="36" customHeight="1">
      <c r="DE494" s="377"/>
      <c r="DF494" s="377"/>
      <c r="DG494" s="377"/>
      <c r="DH494" s="377"/>
      <c r="DI494" s="377"/>
      <c r="DJ494" s="377"/>
      <c r="DS494" s="81"/>
      <c r="DZ494" s="81"/>
      <c r="EA494" s="353"/>
      <c r="EB494" s="1499" t="s">
        <v>1293</v>
      </c>
      <c r="EC494" s="730" t="s">
        <v>1269</v>
      </c>
      <c r="ED494" s="731">
        <v>0.5</v>
      </c>
      <c r="EE494" s="331"/>
      <c r="EF494" s="81"/>
      <c r="EG494" s="81"/>
      <c r="EM494" s="81"/>
      <c r="EN494" s="377"/>
      <c r="EO494" s="377"/>
      <c r="EP494" s="377"/>
      <c r="EQ494" s="377"/>
      <c r="ER494" s="377"/>
      <c r="ES494" s="702"/>
      <c r="ET494" s="702"/>
      <c r="EU494" s="1023"/>
      <c r="EV494" s="377"/>
      <c r="EZ494" s="318"/>
    </row>
    <row r="495" spans="109:156" ht="36" customHeight="1">
      <c r="DE495" s="377"/>
      <c r="DF495" s="377"/>
      <c r="DG495" s="377"/>
      <c r="DH495" s="377"/>
      <c r="DI495" s="377"/>
      <c r="DJ495" s="377"/>
      <c r="DS495" s="81"/>
      <c r="DZ495" s="81"/>
      <c r="EA495" s="353"/>
      <c r="EB495" s="1499" t="s">
        <v>73</v>
      </c>
      <c r="EC495" s="730" t="s">
        <v>1269</v>
      </c>
      <c r="ED495" s="731">
        <v>0.5</v>
      </c>
      <c r="EE495" s="331"/>
      <c r="EF495" s="81"/>
      <c r="EG495" s="81"/>
      <c r="EM495" s="81"/>
      <c r="EN495" s="377"/>
      <c r="EO495" s="377"/>
      <c r="EP495" s="377"/>
      <c r="EQ495" s="377"/>
      <c r="ER495" s="377"/>
      <c r="ES495" s="702"/>
      <c r="ET495" s="702"/>
      <c r="EU495" s="1023"/>
      <c r="EV495" s="377"/>
      <c r="EZ495" s="318"/>
    </row>
    <row r="496" spans="109:156" ht="36" customHeight="1">
      <c r="DE496" s="377"/>
      <c r="DF496" s="377"/>
      <c r="DG496" s="377"/>
      <c r="DH496" s="377"/>
      <c r="DI496" s="377"/>
      <c r="DJ496" s="377"/>
      <c r="DS496" s="81"/>
      <c r="DZ496" s="81"/>
      <c r="EA496" s="353"/>
      <c r="EB496" s="1499" t="s">
        <v>126</v>
      </c>
      <c r="EC496" s="730" t="s">
        <v>1269</v>
      </c>
      <c r="ED496" s="731">
        <v>0.5</v>
      </c>
      <c r="EE496" s="81"/>
      <c r="EF496" s="81"/>
      <c r="EG496" s="81"/>
      <c r="EM496" s="81"/>
      <c r="EN496" s="377"/>
      <c r="EO496" s="377"/>
      <c r="EP496" s="377"/>
      <c r="EQ496" s="377"/>
      <c r="ER496" s="377"/>
      <c r="ES496" s="702"/>
      <c r="ET496" s="702"/>
      <c r="EU496" s="1023"/>
      <c r="EV496" s="377"/>
      <c r="EZ496" s="318"/>
    </row>
    <row r="497" spans="109:156" ht="36" customHeight="1">
      <c r="DE497" s="377"/>
      <c r="DF497" s="377"/>
      <c r="DG497" s="377"/>
      <c r="DH497" s="377"/>
      <c r="DI497" s="377"/>
      <c r="DJ497" s="377"/>
      <c r="DS497" s="81"/>
      <c r="DZ497" s="81"/>
      <c r="EA497" s="353"/>
      <c r="EB497" s="1499" t="s">
        <v>127</v>
      </c>
      <c r="EC497" s="730" t="s">
        <v>1269</v>
      </c>
      <c r="ED497" s="731">
        <v>0.5</v>
      </c>
      <c r="EE497" s="81"/>
      <c r="EF497" s="81"/>
      <c r="EG497" s="81"/>
      <c r="EM497" s="81"/>
      <c r="EN497" s="377"/>
      <c r="EO497" s="377"/>
      <c r="EP497" s="377"/>
      <c r="EQ497" s="377"/>
      <c r="ER497" s="377"/>
      <c r="ES497" s="702"/>
      <c r="ET497" s="702"/>
      <c r="EU497" s="1023"/>
      <c r="EV497" s="377"/>
      <c r="EZ497" s="318"/>
    </row>
    <row r="498" spans="109:156" ht="36" customHeight="1">
      <c r="DE498" s="377"/>
      <c r="DF498" s="377"/>
      <c r="DG498" s="377"/>
      <c r="DH498" s="377"/>
      <c r="DI498" s="377"/>
      <c r="DJ498" s="377"/>
      <c r="DS498" s="81"/>
      <c r="DZ498" s="81"/>
      <c r="EA498" s="353"/>
      <c r="EB498" s="1499" t="s">
        <v>128</v>
      </c>
      <c r="EC498" s="730" t="s">
        <v>1269</v>
      </c>
      <c r="ED498" s="731">
        <v>0.5</v>
      </c>
      <c r="EE498" s="81"/>
      <c r="EF498" s="81"/>
      <c r="EG498" s="81"/>
      <c r="EM498" s="81"/>
      <c r="EN498" s="377"/>
      <c r="EO498" s="377"/>
      <c r="EP498" s="377"/>
      <c r="EQ498" s="377"/>
      <c r="ER498" s="377"/>
      <c r="ES498" s="702"/>
      <c r="ET498" s="702"/>
      <c r="EU498" s="1023"/>
      <c r="EV498" s="377"/>
      <c r="EZ498" s="318"/>
    </row>
    <row r="499" spans="109:156" ht="36" customHeight="1">
      <c r="DE499" s="377"/>
      <c r="DF499" s="377"/>
      <c r="DG499" s="377"/>
      <c r="DH499" s="377"/>
      <c r="DI499" s="377"/>
      <c r="DJ499" s="377"/>
      <c r="DS499" s="81"/>
      <c r="DZ499" s="81"/>
      <c r="EA499" s="353"/>
      <c r="EB499" s="1499" t="s">
        <v>129</v>
      </c>
      <c r="EC499" s="730" t="s">
        <v>1269</v>
      </c>
      <c r="ED499" s="731">
        <v>0.5</v>
      </c>
      <c r="EE499" s="81"/>
      <c r="EF499" s="81"/>
      <c r="EG499" s="81"/>
      <c r="EM499" s="81"/>
      <c r="EN499" s="377"/>
      <c r="EO499" s="377"/>
      <c r="EP499" s="377"/>
      <c r="EQ499" s="377"/>
      <c r="ER499" s="377"/>
      <c r="ES499" s="702"/>
      <c r="ET499" s="702"/>
      <c r="EU499" s="1023"/>
      <c r="EV499" s="377"/>
      <c r="EZ499" s="318"/>
    </row>
    <row r="500" spans="109:156" ht="36" customHeight="1">
      <c r="DE500" s="377"/>
      <c r="DF500" s="377"/>
      <c r="DG500" s="377"/>
      <c r="DH500" s="377"/>
      <c r="DI500" s="377"/>
      <c r="DJ500" s="377"/>
      <c r="DS500" s="81"/>
      <c r="DZ500" s="81"/>
      <c r="EA500" s="353"/>
      <c r="EB500" s="1499" t="s">
        <v>130</v>
      </c>
      <c r="EC500" s="730" t="s">
        <v>1269</v>
      </c>
      <c r="ED500" s="731">
        <v>0.5</v>
      </c>
      <c r="EE500" s="81"/>
      <c r="EF500" s="81"/>
      <c r="EG500" s="81"/>
      <c r="EM500" s="81"/>
      <c r="EN500" s="377"/>
      <c r="EO500" s="377"/>
      <c r="EP500" s="377"/>
      <c r="EQ500" s="377"/>
      <c r="ER500" s="377"/>
      <c r="ES500" s="702"/>
      <c r="ET500" s="702"/>
      <c r="EU500" s="1023"/>
      <c r="EV500" s="377"/>
      <c r="EZ500" s="318"/>
    </row>
    <row r="501" spans="109:156" ht="36" customHeight="1">
      <c r="DE501" s="377"/>
      <c r="DF501" s="377"/>
      <c r="DG501" s="377"/>
      <c r="DH501" s="377"/>
      <c r="DI501" s="377"/>
      <c r="DJ501" s="377"/>
      <c r="DS501" s="81"/>
      <c r="DZ501" s="81"/>
      <c r="EA501" s="353"/>
      <c r="EB501" s="1499" t="s">
        <v>131</v>
      </c>
      <c r="EC501" s="730" t="s">
        <v>1269</v>
      </c>
      <c r="ED501" s="731">
        <v>0.5</v>
      </c>
      <c r="EE501" s="81"/>
      <c r="EF501" s="81"/>
      <c r="EG501" s="81"/>
      <c r="EM501" s="81"/>
      <c r="EN501" s="377"/>
      <c r="EO501" s="377"/>
      <c r="EP501" s="377"/>
      <c r="EQ501" s="377"/>
      <c r="ER501" s="377"/>
      <c r="ES501" s="702"/>
      <c r="ET501" s="702"/>
      <c r="EU501" s="1023"/>
      <c r="EV501" s="377"/>
      <c r="EZ501" s="318"/>
    </row>
    <row r="502" spans="109:156" ht="36" customHeight="1">
      <c r="DE502" s="377"/>
      <c r="DF502" s="377"/>
      <c r="DG502" s="377"/>
      <c r="DH502" s="377"/>
      <c r="DI502" s="377"/>
      <c r="DJ502" s="377"/>
      <c r="DS502" s="81"/>
      <c r="DZ502" s="81"/>
      <c r="EA502" s="353"/>
      <c r="EB502" s="1499" t="s">
        <v>73</v>
      </c>
      <c r="EC502" s="730" t="s">
        <v>1269</v>
      </c>
      <c r="ED502" s="731">
        <v>0.5</v>
      </c>
      <c r="EE502" s="81"/>
      <c r="EF502" s="81"/>
      <c r="EG502" s="81"/>
      <c r="EM502" s="81"/>
      <c r="EN502" s="377"/>
      <c r="EO502" s="377"/>
      <c r="EP502" s="377"/>
      <c r="EQ502" s="377"/>
      <c r="ER502" s="377"/>
      <c r="ES502" s="702"/>
      <c r="ET502" s="702"/>
      <c r="EU502" s="1023"/>
      <c r="EV502" s="377"/>
      <c r="EZ502" s="318"/>
    </row>
    <row r="503" spans="109:156" ht="36" customHeight="1">
      <c r="DE503" s="377"/>
      <c r="DF503" s="377"/>
      <c r="DG503" s="377"/>
      <c r="DH503" s="377"/>
      <c r="DI503" s="377"/>
      <c r="DJ503" s="377"/>
      <c r="DS503" s="81"/>
      <c r="DZ503" s="81"/>
      <c r="EA503" s="353"/>
      <c r="EB503" s="1499" t="s">
        <v>114</v>
      </c>
      <c r="EC503" s="730" t="s">
        <v>1269</v>
      </c>
      <c r="ED503" s="731">
        <v>0.5</v>
      </c>
      <c r="EE503" s="81"/>
      <c r="EF503" s="81"/>
      <c r="EG503" s="81"/>
      <c r="EM503" s="81"/>
      <c r="EN503" s="377"/>
      <c r="EO503" s="377"/>
      <c r="EP503" s="377"/>
      <c r="EQ503" s="377"/>
      <c r="ER503" s="377"/>
      <c r="ES503" s="702"/>
      <c r="ET503" s="702"/>
      <c r="EU503" s="1023"/>
      <c r="EV503" s="377"/>
      <c r="EZ503" s="318"/>
    </row>
    <row r="504" spans="109:156" ht="36" customHeight="1">
      <c r="DE504" s="377"/>
      <c r="DF504" s="377"/>
      <c r="DG504" s="377"/>
      <c r="DH504" s="377"/>
      <c r="DI504" s="377"/>
      <c r="DJ504" s="377"/>
      <c r="DS504" s="81"/>
      <c r="DZ504" s="81"/>
      <c r="EA504" s="353"/>
      <c r="EB504" s="1499" t="s">
        <v>115</v>
      </c>
      <c r="EC504" s="730" t="s">
        <v>1269</v>
      </c>
      <c r="ED504" s="731">
        <v>0.5</v>
      </c>
      <c r="EE504" s="81"/>
      <c r="EF504" s="81"/>
      <c r="EG504" s="81"/>
      <c r="EM504" s="81"/>
      <c r="EN504" s="377"/>
      <c r="EO504" s="377"/>
      <c r="EP504" s="377"/>
      <c r="EQ504" s="377"/>
      <c r="ER504" s="377"/>
      <c r="ES504" s="702"/>
      <c r="ET504" s="702"/>
      <c r="EU504" s="1023"/>
      <c r="EV504" s="377"/>
      <c r="EZ504" s="318"/>
    </row>
    <row r="505" spans="109:156" ht="36" customHeight="1">
      <c r="DE505" s="377"/>
      <c r="DF505" s="377"/>
      <c r="DG505" s="377"/>
      <c r="DH505" s="377"/>
      <c r="DI505" s="377"/>
      <c r="DJ505" s="377"/>
      <c r="DS505" s="81"/>
      <c r="DZ505" s="81"/>
      <c r="EA505" s="353"/>
      <c r="EB505" s="1499" t="s">
        <v>116</v>
      </c>
      <c r="EC505" s="730" t="s">
        <v>1269</v>
      </c>
      <c r="ED505" s="731">
        <v>0.5</v>
      </c>
      <c r="EE505" s="81"/>
      <c r="EF505" s="81"/>
      <c r="EG505" s="81"/>
      <c r="EM505" s="81"/>
      <c r="EN505" s="377"/>
      <c r="EO505" s="377"/>
      <c r="EP505" s="377"/>
      <c r="EQ505" s="377"/>
      <c r="ER505" s="377"/>
      <c r="ES505" s="702"/>
      <c r="ET505" s="702"/>
      <c r="EU505" s="1023"/>
      <c r="EV505" s="377"/>
      <c r="EZ505" s="318"/>
    </row>
    <row r="506" spans="109:156" ht="36" customHeight="1">
      <c r="DE506" s="377"/>
      <c r="DF506" s="377"/>
      <c r="DG506" s="377"/>
      <c r="DH506" s="377"/>
      <c r="DI506" s="377"/>
      <c r="DJ506" s="377"/>
      <c r="DS506" s="81"/>
      <c r="DZ506" s="81"/>
      <c r="EA506" s="353"/>
      <c r="EB506" s="1499" t="s">
        <v>117</v>
      </c>
      <c r="EC506" s="730" t="s">
        <v>1269</v>
      </c>
      <c r="ED506" s="731">
        <v>0.5</v>
      </c>
      <c r="EE506" s="81"/>
      <c r="EF506" s="81"/>
      <c r="EG506" s="81"/>
      <c r="EM506" s="81"/>
      <c r="EN506" s="377"/>
      <c r="EO506" s="377"/>
      <c r="EP506" s="377"/>
      <c r="EQ506" s="377"/>
      <c r="ER506" s="377"/>
      <c r="ES506" s="702"/>
      <c r="ET506" s="702"/>
      <c r="EU506" s="1023"/>
      <c r="EV506" s="377"/>
      <c r="EZ506" s="318"/>
    </row>
    <row r="507" spans="109:156" ht="36" customHeight="1">
      <c r="DE507" s="377"/>
      <c r="DF507" s="377"/>
      <c r="DG507" s="377"/>
      <c r="DH507" s="377"/>
      <c r="DI507" s="377"/>
      <c r="DJ507" s="377"/>
      <c r="DS507" s="81"/>
      <c r="DZ507" s="81"/>
      <c r="EA507" s="353"/>
      <c r="EB507" s="1499" t="s">
        <v>118</v>
      </c>
      <c r="EC507" s="730" t="s">
        <v>1269</v>
      </c>
      <c r="ED507" s="731">
        <v>0.5</v>
      </c>
      <c r="EE507" s="81"/>
      <c r="EF507" s="81"/>
      <c r="EG507" s="81"/>
      <c r="EM507" s="81"/>
      <c r="EN507" s="377"/>
      <c r="EO507" s="377"/>
      <c r="EP507" s="377"/>
      <c r="EQ507" s="377"/>
      <c r="ER507" s="377"/>
      <c r="ES507" s="702"/>
      <c r="ET507" s="702"/>
      <c r="EU507" s="1023"/>
      <c r="EV507" s="377"/>
      <c r="EZ507" s="318"/>
    </row>
    <row r="508" spans="109:156" ht="36" customHeight="1">
      <c r="DE508" s="377"/>
      <c r="DF508" s="377"/>
      <c r="DG508" s="377"/>
      <c r="DH508" s="377"/>
      <c r="DI508" s="377"/>
      <c r="DJ508" s="377"/>
      <c r="DS508" s="81"/>
      <c r="DZ508" s="81"/>
      <c r="EA508" s="353"/>
      <c r="EB508" s="1499" t="s">
        <v>119</v>
      </c>
      <c r="EC508" s="730" t="s">
        <v>1269</v>
      </c>
      <c r="ED508" s="731">
        <v>0.5</v>
      </c>
      <c r="EE508" s="81"/>
      <c r="EF508" s="81"/>
      <c r="EG508" s="81"/>
      <c r="EM508" s="81"/>
      <c r="EN508" s="377"/>
      <c r="EO508" s="377"/>
      <c r="EP508" s="377"/>
      <c r="EQ508" s="377"/>
      <c r="ER508" s="377"/>
      <c r="ES508" s="702"/>
      <c r="ET508" s="702"/>
      <c r="EU508" s="1023"/>
      <c r="EV508" s="377"/>
      <c r="EZ508" s="318"/>
    </row>
    <row r="509" spans="109:156" ht="36" customHeight="1">
      <c r="DE509" s="377"/>
      <c r="DF509" s="377"/>
      <c r="DG509" s="377"/>
      <c r="DH509" s="377"/>
      <c r="DI509" s="377"/>
      <c r="DJ509" s="377"/>
      <c r="DS509" s="81"/>
      <c r="DZ509" s="81"/>
      <c r="EA509" s="353"/>
      <c r="EB509" s="1499" t="s">
        <v>120</v>
      </c>
      <c r="EC509" s="730" t="s">
        <v>1269</v>
      </c>
      <c r="ED509" s="731">
        <v>0.5</v>
      </c>
      <c r="EE509" s="81"/>
      <c r="EF509" s="81"/>
      <c r="EG509" s="81"/>
      <c r="EM509" s="81"/>
      <c r="EN509" s="377"/>
      <c r="EO509" s="377"/>
      <c r="EP509" s="377"/>
      <c r="EQ509" s="377"/>
      <c r="ER509" s="377"/>
      <c r="ES509" s="702"/>
      <c r="ET509" s="702"/>
      <c r="EU509" s="1023"/>
      <c r="EV509" s="377"/>
      <c r="EZ509" s="318"/>
    </row>
    <row r="510" spans="109:156" ht="36" customHeight="1">
      <c r="DE510" s="377"/>
      <c r="DF510" s="377"/>
      <c r="DG510" s="377"/>
      <c r="DH510" s="377"/>
      <c r="DI510" s="377"/>
      <c r="DJ510" s="377"/>
      <c r="DS510" s="81"/>
      <c r="DZ510" s="81"/>
      <c r="EA510" s="353"/>
      <c r="EB510" s="1499" t="s">
        <v>121</v>
      </c>
      <c r="EC510" s="730" t="s">
        <v>1269</v>
      </c>
      <c r="ED510" s="731">
        <v>0.5</v>
      </c>
      <c r="EE510" s="81"/>
      <c r="EF510" s="81"/>
      <c r="EG510" s="81"/>
      <c r="EM510" s="81"/>
      <c r="EN510" s="377"/>
      <c r="EO510" s="377"/>
      <c r="EP510" s="377"/>
      <c r="EQ510" s="377"/>
      <c r="ER510" s="377"/>
      <c r="ES510" s="702"/>
      <c r="ET510" s="702"/>
      <c r="EU510" s="1023"/>
      <c r="EV510" s="377"/>
      <c r="EZ510" s="318"/>
    </row>
    <row r="511" spans="109:156" ht="36" customHeight="1">
      <c r="DE511" s="377"/>
      <c r="DF511" s="377"/>
      <c r="DG511" s="377"/>
      <c r="DH511" s="377"/>
      <c r="DI511" s="377"/>
      <c r="DJ511" s="377"/>
      <c r="DS511" s="81"/>
      <c r="DZ511" s="81"/>
      <c r="EA511" s="353"/>
      <c r="EB511" s="1499" t="s">
        <v>122</v>
      </c>
      <c r="EC511" s="730" t="s">
        <v>1269</v>
      </c>
      <c r="ED511" s="731">
        <v>0.5</v>
      </c>
      <c r="EE511" s="81"/>
      <c r="EF511" s="81"/>
      <c r="EG511" s="81"/>
      <c r="EM511" s="81"/>
      <c r="EN511" s="377"/>
      <c r="EO511" s="377"/>
      <c r="EP511" s="377"/>
      <c r="EQ511" s="377"/>
      <c r="ER511" s="377"/>
      <c r="ES511" s="702"/>
      <c r="ET511" s="702"/>
      <c r="EU511" s="1023"/>
      <c r="EV511" s="377"/>
      <c r="EZ511" s="318"/>
    </row>
    <row r="512" spans="109:156" ht="36" customHeight="1">
      <c r="DE512" s="377"/>
      <c r="DF512" s="377"/>
      <c r="DG512" s="377"/>
      <c r="DH512" s="377"/>
      <c r="DI512" s="377"/>
      <c r="DJ512" s="377"/>
      <c r="DK512" s="705"/>
      <c r="DL512" s="329"/>
      <c r="DS512" s="81"/>
      <c r="DZ512" s="81"/>
      <c r="EA512" s="353"/>
      <c r="EB512" s="1499" t="s">
        <v>123</v>
      </c>
      <c r="EC512" s="730" t="s">
        <v>1269</v>
      </c>
      <c r="ED512" s="731">
        <v>0.5</v>
      </c>
      <c r="EE512" s="81"/>
      <c r="EF512" s="81"/>
      <c r="EG512" s="81"/>
      <c r="EM512" s="81"/>
      <c r="EN512" s="377"/>
      <c r="EO512" s="377"/>
      <c r="EP512" s="377"/>
      <c r="EQ512" s="377"/>
      <c r="ER512" s="377"/>
      <c r="ES512" s="702"/>
      <c r="ET512" s="702"/>
      <c r="EU512" s="1023"/>
      <c r="EV512" s="377"/>
      <c r="EZ512" s="318"/>
    </row>
    <row r="513" spans="109:156" ht="36" customHeight="1">
      <c r="DE513" s="377"/>
      <c r="DF513" s="377"/>
      <c r="DG513" s="377"/>
      <c r="DH513" s="377"/>
      <c r="DI513" s="377"/>
      <c r="DJ513" s="377"/>
      <c r="DK513" s="331"/>
      <c r="DL513" s="706"/>
      <c r="DS513" s="81"/>
      <c r="DZ513" s="81"/>
      <c r="EA513" s="353"/>
      <c r="EB513" s="1499" t="s">
        <v>124</v>
      </c>
      <c r="EC513" s="730" t="s">
        <v>1269</v>
      </c>
      <c r="ED513" s="731">
        <v>0.5</v>
      </c>
      <c r="EE513" s="81"/>
      <c r="EF513" s="81"/>
      <c r="EG513" s="81"/>
      <c r="EM513" s="81"/>
      <c r="EN513" s="377"/>
      <c r="EO513" s="377"/>
      <c r="EP513" s="377"/>
      <c r="EQ513" s="377"/>
      <c r="ER513" s="377"/>
      <c r="ES513" s="702"/>
      <c r="ET513" s="702"/>
      <c r="EU513" s="1023"/>
      <c r="EV513" s="377"/>
      <c r="EZ513" s="318"/>
    </row>
    <row r="514" spans="109:156" ht="36" customHeight="1">
      <c r="DE514" s="377"/>
      <c r="DF514" s="377"/>
      <c r="DG514" s="377"/>
      <c r="DH514" s="377"/>
      <c r="DI514" s="377"/>
      <c r="DJ514" s="377"/>
      <c r="DK514" s="331"/>
      <c r="DL514" s="706"/>
      <c r="DS514" s="81"/>
      <c r="DZ514" s="81"/>
      <c r="EA514" s="353"/>
      <c r="EB514" s="1499" t="s">
        <v>125</v>
      </c>
      <c r="EC514" s="730" t="s">
        <v>1269</v>
      </c>
      <c r="ED514" s="731">
        <v>0.5</v>
      </c>
      <c r="EE514" s="81"/>
      <c r="EF514" s="81"/>
      <c r="EG514" s="81"/>
      <c r="EM514" s="81"/>
      <c r="EN514" s="377"/>
      <c r="EO514" s="377"/>
      <c r="EP514" s="377"/>
      <c r="EQ514" s="377"/>
      <c r="ER514" s="377"/>
      <c r="ES514" s="702"/>
      <c r="ET514" s="702"/>
      <c r="EU514" s="1023"/>
      <c r="EV514" s="377"/>
      <c r="EZ514" s="318"/>
    </row>
    <row r="515" spans="109:156" ht="36" customHeight="1">
      <c r="DE515" s="377"/>
      <c r="DF515" s="377"/>
      <c r="DG515" s="377"/>
      <c r="DH515" s="377"/>
      <c r="DI515" s="377"/>
      <c r="DJ515" s="377"/>
      <c r="DK515" s="705"/>
      <c r="DL515" s="329"/>
      <c r="DS515" s="81"/>
      <c r="DZ515" s="81"/>
      <c r="EA515" s="353"/>
      <c r="EB515" s="1499" t="s">
        <v>73</v>
      </c>
      <c r="EC515" s="730" t="s">
        <v>1269</v>
      </c>
      <c r="ED515" s="731">
        <v>0.5</v>
      </c>
      <c r="EE515" s="81"/>
      <c r="EF515" s="81"/>
      <c r="EG515" s="81"/>
      <c r="EM515" s="81"/>
      <c r="EN515" s="377"/>
      <c r="EO515" s="377"/>
      <c r="EP515" s="377"/>
      <c r="EQ515" s="377"/>
      <c r="ER515" s="377"/>
      <c r="ES515" s="702"/>
      <c r="ET515" s="702"/>
      <c r="EU515" s="1023"/>
      <c r="EV515" s="377"/>
      <c r="EZ515" s="318"/>
    </row>
    <row r="516" spans="109:156" ht="36" customHeight="1">
      <c r="DE516" s="377"/>
      <c r="DF516" s="377"/>
      <c r="DG516" s="377"/>
      <c r="DH516" s="377"/>
      <c r="DI516" s="377"/>
      <c r="DJ516" s="377"/>
      <c r="DK516" s="707"/>
      <c r="DL516" s="329"/>
      <c r="DS516" s="81"/>
      <c r="DZ516" s="81"/>
      <c r="EA516" s="353"/>
      <c r="EB516" s="1499" t="s">
        <v>460</v>
      </c>
      <c r="EC516" s="730" t="s">
        <v>1269</v>
      </c>
      <c r="ED516" s="731">
        <v>0.5</v>
      </c>
      <c r="EE516" s="81"/>
      <c r="EF516" s="81"/>
      <c r="EG516" s="81"/>
      <c r="EM516" s="81"/>
      <c r="EN516" s="377"/>
      <c r="EO516" s="377"/>
      <c r="EP516" s="377"/>
      <c r="EQ516" s="377"/>
      <c r="ER516" s="377"/>
      <c r="ES516" s="702"/>
      <c r="ET516" s="702"/>
      <c r="EU516" s="1023"/>
      <c r="EV516" s="377"/>
      <c r="EZ516" s="318"/>
    </row>
    <row r="517" spans="109:156" ht="36" customHeight="1">
      <c r="DE517" s="377"/>
      <c r="DF517" s="377"/>
      <c r="DG517" s="377"/>
      <c r="DH517" s="377"/>
      <c r="DI517" s="377"/>
      <c r="DJ517" s="377"/>
      <c r="DK517" s="705"/>
      <c r="DL517" s="329"/>
      <c r="DS517" s="81"/>
      <c r="DZ517" s="81"/>
      <c r="EA517" s="353"/>
      <c r="EB517" s="1499" t="s">
        <v>505</v>
      </c>
      <c r="EC517" s="730" t="s">
        <v>1269</v>
      </c>
      <c r="ED517" s="731">
        <v>0.5</v>
      </c>
      <c r="EE517" s="81"/>
      <c r="EF517" s="81"/>
      <c r="EG517" s="81"/>
      <c r="EM517" s="81"/>
      <c r="EN517" s="377"/>
      <c r="EO517" s="377"/>
      <c r="EP517" s="377"/>
      <c r="EQ517" s="377"/>
      <c r="ER517" s="377"/>
      <c r="ES517" s="702"/>
      <c r="ET517" s="702"/>
      <c r="EU517" s="1023"/>
      <c r="EV517" s="377"/>
      <c r="EZ517" s="318"/>
    </row>
    <row r="518" spans="109:156" ht="36" customHeight="1">
      <c r="DE518" s="377"/>
      <c r="DF518" s="377"/>
      <c r="DG518" s="377"/>
      <c r="DH518" s="377"/>
      <c r="DI518" s="377"/>
      <c r="DJ518" s="377"/>
      <c r="DK518" s="331"/>
      <c r="DL518" s="706"/>
      <c r="DS518" s="81"/>
      <c r="DZ518" s="81"/>
      <c r="EA518" s="353"/>
      <c r="EB518" s="1499" t="s">
        <v>468</v>
      </c>
      <c r="EC518" s="730" t="s">
        <v>1269</v>
      </c>
      <c r="ED518" s="731">
        <v>0.5</v>
      </c>
      <c r="EE518" s="81"/>
      <c r="EF518" s="81"/>
      <c r="EG518" s="81"/>
      <c r="EM518" s="81"/>
      <c r="EN518" s="377"/>
      <c r="EO518" s="377"/>
      <c r="EP518" s="377"/>
      <c r="EQ518" s="377"/>
      <c r="ER518" s="377"/>
      <c r="ES518" s="702"/>
      <c r="ET518" s="702"/>
      <c r="EU518" s="1023"/>
      <c r="EV518" s="377"/>
      <c r="EZ518" s="318"/>
    </row>
    <row r="519" spans="109:156" ht="36" customHeight="1">
      <c r="DE519" s="377"/>
      <c r="DF519" s="377"/>
      <c r="DG519" s="377"/>
      <c r="DH519" s="377"/>
      <c r="DI519" s="377"/>
      <c r="DJ519" s="377"/>
      <c r="DK519" s="331"/>
      <c r="DL519" s="706"/>
      <c r="DS519" s="81"/>
      <c r="DZ519" s="81"/>
      <c r="EA519" s="353"/>
      <c r="EB519" s="1499" t="s">
        <v>469</v>
      </c>
      <c r="EC519" s="730" t="s">
        <v>1269</v>
      </c>
      <c r="ED519" s="731">
        <v>0.5</v>
      </c>
      <c r="EE519" s="81"/>
      <c r="EF519" s="81"/>
      <c r="EG519" s="81"/>
      <c r="EM519" s="81"/>
      <c r="EN519" s="377"/>
      <c r="EO519" s="377"/>
      <c r="EP519" s="377"/>
      <c r="EQ519" s="377"/>
      <c r="ER519" s="377"/>
      <c r="ES519" s="702"/>
      <c r="ET519" s="702"/>
      <c r="EU519" s="1023"/>
      <c r="EV519" s="377"/>
      <c r="EZ519" s="318"/>
    </row>
    <row r="520" spans="109:156" ht="36" customHeight="1">
      <c r="DE520" s="377"/>
      <c r="DF520" s="377"/>
      <c r="DG520" s="377"/>
      <c r="DH520" s="377"/>
      <c r="DI520" s="377"/>
      <c r="DJ520" s="377"/>
      <c r="DK520" s="331"/>
      <c r="DL520" s="706"/>
      <c r="DS520" s="81"/>
      <c r="DZ520" s="81"/>
      <c r="EA520" s="353"/>
      <c r="EB520" s="1499" t="s">
        <v>775</v>
      </c>
      <c r="EC520" s="730" t="s">
        <v>1269</v>
      </c>
      <c r="ED520" s="731">
        <v>0.5</v>
      </c>
      <c r="EE520" s="81"/>
      <c r="EF520" s="81"/>
      <c r="EG520" s="81"/>
      <c r="EM520" s="81"/>
      <c r="EN520" s="377"/>
      <c r="EO520" s="377"/>
      <c r="EP520" s="377"/>
      <c r="EQ520" s="377"/>
      <c r="ER520" s="377"/>
      <c r="ES520" s="702"/>
      <c r="ET520" s="702"/>
      <c r="EU520" s="1023"/>
      <c r="EV520" s="377"/>
      <c r="EZ520" s="318"/>
    </row>
    <row r="521" spans="109:156" ht="36" customHeight="1">
      <c r="DE521" s="377"/>
      <c r="DF521" s="377"/>
      <c r="DG521" s="377"/>
      <c r="DH521" s="377"/>
      <c r="DI521" s="377"/>
      <c r="DJ521" s="377"/>
      <c r="DK521" s="331"/>
      <c r="DL521" s="706"/>
      <c r="DS521" s="81"/>
      <c r="DZ521" s="81"/>
      <c r="EA521" s="353"/>
      <c r="EB521" s="1499" t="s">
        <v>774</v>
      </c>
      <c r="EC521" s="730" t="s">
        <v>1269</v>
      </c>
      <c r="ED521" s="731">
        <v>0.5</v>
      </c>
      <c r="EE521" s="81"/>
      <c r="EF521" s="81"/>
      <c r="EG521" s="81"/>
      <c r="EM521" s="81"/>
      <c r="EN521" s="377"/>
      <c r="EO521" s="377"/>
      <c r="EP521" s="377"/>
      <c r="EQ521" s="377"/>
      <c r="ER521" s="377"/>
      <c r="ES521" s="702"/>
      <c r="ET521" s="702"/>
      <c r="EU521" s="1023"/>
      <c r="EV521" s="377"/>
      <c r="EZ521" s="318"/>
    </row>
    <row r="522" spans="109:156" ht="36" customHeight="1">
      <c r="DE522" s="377"/>
      <c r="DF522" s="377"/>
      <c r="DG522" s="377"/>
      <c r="DH522" s="377"/>
      <c r="DI522" s="377"/>
      <c r="DJ522" s="377"/>
      <c r="DK522" s="331"/>
      <c r="DL522" s="706"/>
      <c r="DS522" s="81"/>
      <c r="DZ522" s="81"/>
      <c r="EA522" s="353"/>
      <c r="EB522" s="1499" t="s">
        <v>506</v>
      </c>
      <c r="EC522" s="730" t="s">
        <v>1269</v>
      </c>
      <c r="ED522" s="731">
        <v>0.5</v>
      </c>
      <c r="EE522" s="81"/>
      <c r="EF522" s="81"/>
      <c r="EG522" s="81"/>
      <c r="EM522" s="81"/>
      <c r="EN522" s="377"/>
      <c r="EO522" s="377"/>
      <c r="EP522" s="377"/>
      <c r="EQ522" s="377"/>
      <c r="ER522" s="377"/>
      <c r="ES522" s="702"/>
      <c r="ET522" s="702"/>
      <c r="EU522" s="1023"/>
      <c r="EV522" s="377"/>
      <c r="EZ522" s="318"/>
    </row>
    <row r="523" spans="109:156" ht="36" customHeight="1">
      <c r="DE523" s="377"/>
      <c r="DF523" s="377"/>
      <c r="DG523" s="377"/>
      <c r="DH523" s="377"/>
      <c r="DI523" s="377"/>
      <c r="DJ523" s="377"/>
      <c r="DK523" s="331"/>
      <c r="DL523" s="706"/>
      <c r="DS523" s="81"/>
      <c r="DZ523" s="81"/>
      <c r="EA523" s="353"/>
      <c r="EB523" s="1499" t="s">
        <v>508</v>
      </c>
      <c r="EC523" s="730" t="s">
        <v>1269</v>
      </c>
      <c r="ED523" s="731">
        <v>0.5</v>
      </c>
      <c r="EE523" s="81"/>
      <c r="EF523" s="81"/>
      <c r="EG523" s="81"/>
      <c r="EM523" s="81"/>
      <c r="EN523" s="377"/>
      <c r="EO523" s="377"/>
      <c r="EP523" s="377"/>
      <c r="EQ523" s="377"/>
      <c r="ER523" s="377"/>
      <c r="ES523" s="702"/>
      <c r="ET523" s="702"/>
      <c r="EU523" s="1023"/>
      <c r="EV523" s="377"/>
      <c r="EZ523" s="318"/>
    </row>
    <row r="524" spans="109:156" ht="36" customHeight="1">
      <c r="DE524" s="377"/>
      <c r="DF524" s="377"/>
      <c r="DG524" s="377"/>
      <c r="DH524" s="377"/>
      <c r="DI524" s="377"/>
      <c r="DJ524" s="377"/>
      <c r="DK524" s="331"/>
      <c r="DL524" s="706"/>
      <c r="DS524" s="81"/>
      <c r="DZ524" s="81"/>
      <c r="EA524" s="353"/>
      <c r="EB524" s="1499" t="s">
        <v>507</v>
      </c>
      <c r="EC524" s="730" t="s">
        <v>1269</v>
      </c>
      <c r="ED524" s="731">
        <v>0.5</v>
      </c>
      <c r="EE524" s="81"/>
      <c r="EF524" s="81"/>
      <c r="EG524" s="81"/>
      <c r="EM524" s="81"/>
      <c r="EN524" s="377"/>
      <c r="EO524" s="377"/>
      <c r="EP524" s="377"/>
      <c r="EQ524" s="377"/>
      <c r="ER524" s="377"/>
      <c r="ES524" s="702"/>
      <c r="ET524" s="702"/>
      <c r="EU524" s="1023"/>
      <c r="EV524" s="377"/>
      <c r="EZ524" s="318"/>
    </row>
    <row r="525" spans="109:156" ht="36" customHeight="1">
      <c r="DE525" s="377"/>
      <c r="DF525" s="377"/>
      <c r="DG525" s="377"/>
      <c r="DH525" s="377"/>
      <c r="DI525" s="377"/>
      <c r="DJ525" s="377"/>
      <c r="DK525" s="331"/>
      <c r="DL525" s="706"/>
      <c r="DS525" s="81"/>
      <c r="DZ525" s="81"/>
      <c r="EA525" s="353"/>
      <c r="EB525" s="1499" t="s">
        <v>509</v>
      </c>
      <c r="EC525" s="730" t="s">
        <v>1269</v>
      </c>
      <c r="ED525" s="731">
        <v>0.5</v>
      </c>
      <c r="EE525" s="81"/>
      <c r="EF525" s="81"/>
      <c r="EG525" s="81"/>
      <c r="EM525" s="81"/>
      <c r="EN525" s="377"/>
      <c r="EO525" s="377"/>
      <c r="EP525" s="377"/>
      <c r="EQ525" s="377"/>
      <c r="ER525" s="377"/>
      <c r="ES525" s="702"/>
      <c r="ET525" s="702"/>
      <c r="EU525" s="1023"/>
      <c r="EV525" s="377"/>
      <c r="EZ525" s="318"/>
    </row>
    <row r="526" spans="109:156" ht="36" customHeight="1">
      <c r="DE526" s="377"/>
      <c r="DF526" s="377"/>
      <c r="DG526" s="377"/>
      <c r="DH526" s="377"/>
      <c r="DI526" s="377"/>
      <c r="DJ526" s="377"/>
      <c r="DK526" s="331"/>
      <c r="DL526" s="332"/>
      <c r="DS526" s="81"/>
      <c r="DZ526" s="81"/>
      <c r="EA526" s="353"/>
      <c r="EB526" s="1499" t="s">
        <v>510</v>
      </c>
      <c r="EC526" s="730" t="s">
        <v>1269</v>
      </c>
      <c r="ED526" s="731">
        <v>0.5</v>
      </c>
      <c r="EE526" s="81"/>
      <c r="EF526" s="81"/>
      <c r="EG526" s="81"/>
      <c r="EM526" s="81"/>
      <c r="EN526" s="377"/>
      <c r="EO526" s="377"/>
      <c r="EP526" s="377"/>
      <c r="EQ526" s="377"/>
      <c r="ER526" s="377"/>
      <c r="ES526" s="702"/>
      <c r="ET526" s="702"/>
      <c r="EU526" s="1023"/>
      <c r="EV526" s="377"/>
      <c r="EZ526" s="318"/>
    </row>
    <row r="527" spans="109:156" ht="36" customHeight="1">
      <c r="DE527" s="377"/>
      <c r="DF527" s="377"/>
      <c r="DG527" s="377"/>
      <c r="DH527" s="377"/>
      <c r="DI527" s="377"/>
      <c r="DJ527" s="377"/>
      <c r="DK527" s="331"/>
      <c r="DL527" s="332"/>
      <c r="DS527" s="81"/>
      <c r="DZ527" s="81"/>
      <c r="EA527" s="353"/>
      <c r="EB527" s="1499" t="s">
        <v>511</v>
      </c>
      <c r="EC527" s="730" t="s">
        <v>1269</v>
      </c>
      <c r="ED527" s="731">
        <v>0.5</v>
      </c>
      <c r="EE527" s="81"/>
      <c r="EF527" s="81"/>
      <c r="EG527" s="81"/>
      <c r="EM527" s="81"/>
      <c r="EN527" s="377"/>
      <c r="EO527" s="377"/>
      <c r="EP527" s="377"/>
      <c r="EQ527" s="377"/>
      <c r="ER527" s="377"/>
      <c r="ES527" s="702"/>
      <c r="ET527" s="702"/>
      <c r="EU527" s="1023"/>
      <c r="EV527" s="377"/>
      <c r="EZ527" s="318"/>
    </row>
    <row r="528" spans="109:156" ht="36" customHeight="1">
      <c r="DE528" s="377"/>
      <c r="DF528" s="377"/>
      <c r="DG528" s="377"/>
      <c r="DH528" s="377"/>
      <c r="DI528" s="377"/>
      <c r="DJ528" s="377"/>
      <c r="DK528" s="331"/>
      <c r="DL528" s="332"/>
      <c r="DS528" s="81"/>
      <c r="DZ528" s="81"/>
      <c r="EA528" s="353"/>
      <c r="EB528" s="1499" t="s">
        <v>512</v>
      </c>
      <c r="EC528" s="730" t="s">
        <v>1269</v>
      </c>
      <c r="ED528" s="731">
        <v>0.5</v>
      </c>
      <c r="EE528" s="81"/>
      <c r="EF528" s="81"/>
      <c r="EG528" s="81"/>
      <c r="EM528" s="81"/>
      <c r="EN528" s="377"/>
      <c r="EO528" s="377"/>
      <c r="EP528" s="377"/>
      <c r="EQ528" s="377"/>
      <c r="ER528" s="377"/>
      <c r="ES528" s="702"/>
      <c r="ET528" s="702"/>
      <c r="EU528" s="1023"/>
      <c r="EV528" s="377"/>
      <c r="EZ528" s="318"/>
    </row>
    <row r="529" spans="109:156" ht="36" customHeight="1">
      <c r="DE529" s="377"/>
      <c r="DF529" s="377"/>
      <c r="DG529" s="377"/>
      <c r="DH529" s="377"/>
      <c r="DI529" s="377"/>
      <c r="DJ529" s="377"/>
      <c r="DK529" s="331"/>
      <c r="DL529" s="706"/>
      <c r="DS529" s="81"/>
      <c r="DZ529" s="81"/>
      <c r="EA529" s="353"/>
      <c r="EB529" s="1499" t="s">
        <v>513</v>
      </c>
      <c r="EC529" s="730" t="s">
        <v>1269</v>
      </c>
      <c r="ED529" s="731">
        <v>0.5</v>
      </c>
      <c r="EE529" s="81"/>
      <c r="EF529" s="81"/>
      <c r="EG529" s="81"/>
      <c r="EM529" s="81"/>
      <c r="EN529" s="377"/>
      <c r="EO529" s="377"/>
      <c r="EP529" s="377"/>
      <c r="EQ529" s="377"/>
      <c r="ER529" s="377"/>
      <c r="ES529" s="702"/>
      <c r="ET529" s="702"/>
      <c r="EU529" s="1023"/>
      <c r="EV529" s="377"/>
      <c r="EZ529" s="318"/>
    </row>
    <row r="530" spans="109:156" ht="36" customHeight="1">
      <c r="DE530" s="377"/>
      <c r="DF530" s="377"/>
      <c r="DG530" s="377"/>
      <c r="DH530" s="377"/>
      <c r="DI530" s="377"/>
      <c r="DJ530" s="377"/>
      <c r="DK530" s="331"/>
      <c r="DL530" s="706"/>
      <c r="DS530" s="81"/>
      <c r="DZ530" s="81"/>
      <c r="EA530" s="353"/>
      <c r="EB530" s="1499" t="s">
        <v>461</v>
      </c>
      <c r="EC530" s="730" t="s">
        <v>1269</v>
      </c>
      <c r="ED530" s="731">
        <v>0.5</v>
      </c>
      <c r="EE530" s="81"/>
      <c r="EF530" s="81"/>
      <c r="EG530" s="81"/>
      <c r="EM530" s="81"/>
      <c r="EN530" s="377"/>
      <c r="EO530" s="377"/>
      <c r="EP530" s="377"/>
      <c r="EQ530" s="377"/>
      <c r="ER530" s="377"/>
      <c r="ES530" s="702"/>
      <c r="ET530" s="702"/>
      <c r="EU530" s="1023"/>
      <c r="EV530" s="377"/>
      <c r="EZ530" s="318"/>
    </row>
    <row r="531" spans="109:156" ht="36" customHeight="1">
      <c r="DE531" s="377"/>
      <c r="DF531" s="377"/>
      <c r="DG531" s="377"/>
      <c r="DH531" s="377"/>
      <c r="DI531" s="377"/>
      <c r="DJ531" s="377"/>
      <c r="DK531" s="331"/>
      <c r="DL531" s="706"/>
      <c r="DS531" s="81"/>
      <c r="DZ531" s="81"/>
      <c r="EA531" s="353"/>
      <c r="EB531" s="1499" t="s">
        <v>514</v>
      </c>
      <c r="EC531" s="730" t="s">
        <v>1269</v>
      </c>
      <c r="ED531" s="731">
        <v>0.5</v>
      </c>
      <c r="EE531" s="81"/>
      <c r="EF531" s="81"/>
      <c r="EG531" s="81"/>
      <c r="EM531" s="81"/>
      <c r="EN531" s="377"/>
      <c r="EO531" s="377"/>
      <c r="EP531" s="377"/>
      <c r="EQ531" s="377"/>
      <c r="ER531" s="377"/>
      <c r="ES531" s="702"/>
      <c r="ET531" s="702"/>
      <c r="EU531" s="1023"/>
      <c r="EV531" s="377"/>
      <c r="EZ531" s="318"/>
    </row>
    <row r="532" spans="109:156" ht="36" customHeight="1">
      <c r="DE532" s="377"/>
      <c r="DF532" s="377"/>
      <c r="DG532" s="377"/>
      <c r="DH532" s="377"/>
      <c r="DI532" s="377"/>
      <c r="DJ532" s="377"/>
      <c r="DK532" s="705"/>
      <c r="DL532" s="329"/>
      <c r="DS532" s="81"/>
      <c r="DZ532" s="81"/>
      <c r="EA532" s="353"/>
      <c r="EB532" s="1499" t="s">
        <v>463</v>
      </c>
      <c r="EC532" s="730" t="s">
        <v>1269</v>
      </c>
      <c r="ED532" s="731">
        <v>0.5</v>
      </c>
      <c r="EE532" s="81"/>
      <c r="EF532" s="81"/>
      <c r="EG532" s="81"/>
      <c r="EM532" s="81"/>
      <c r="EN532" s="377"/>
      <c r="EO532" s="377"/>
      <c r="EP532" s="377"/>
      <c r="EQ532" s="377"/>
      <c r="ER532" s="377"/>
      <c r="ES532" s="702"/>
      <c r="ET532" s="702"/>
      <c r="EU532" s="1023"/>
      <c r="EV532" s="377"/>
      <c r="EZ532" s="318"/>
    </row>
    <row r="533" spans="109:156" ht="36" customHeight="1">
      <c r="DE533" s="377"/>
      <c r="DF533" s="377"/>
      <c r="DG533" s="377"/>
      <c r="DH533" s="377"/>
      <c r="DI533" s="377"/>
      <c r="DJ533" s="377"/>
      <c r="DK533" s="331"/>
      <c r="DL533" s="332"/>
      <c r="DS533" s="81"/>
      <c r="DZ533" s="81"/>
      <c r="EA533" s="353"/>
      <c r="EB533" s="1499" t="s">
        <v>464</v>
      </c>
      <c r="EC533" s="730" t="s">
        <v>1269</v>
      </c>
      <c r="ED533" s="731">
        <v>0.5</v>
      </c>
      <c r="EE533" s="81"/>
      <c r="EF533" s="81"/>
      <c r="EG533" s="81"/>
      <c r="EM533" s="81"/>
      <c r="EN533" s="377"/>
      <c r="EO533" s="377"/>
      <c r="EP533" s="377"/>
      <c r="EQ533" s="377"/>
      <c r="ER533" s="377"/>
      <c r="ES533" s="702"/>
      <c r="ET533" s="702"/>
      <c r="EU533" s="1023"/>
      <c r="EV533" s="377"/>
      <c r="EZ533" s="318"/>
    </row>
    <row r="534" spans="109:156" ht="36" customHeight="1">
      <c r="DE534" s="377"/>
      <c r="DF534" s="377"/>
      <c r="DG534" s="377"/>
      <c r="DH534" s="377"/>
      <c r="DI534" s="377"/>
      <c r="DJ534" s="377"/>
      <c r="DK534" s="331"/>
      <c r="DL534" s="332"/>
      <c r="DS534" s="81"/>
      <c r="DZ534" s="81"/>
      <c r="EA534" s="353"/>
      <c r="EB534" s="1499" t="s">
        <v>516</v>
      </c>
      <c r="EC534" s="730" t="s">
        <v>1269</v>
      </c>
      <c r="ED534" s="731">
        <v>0.5</v>
      </c>
      <c r="EE534" s="81"/>
      <c r="EF534" s="81"/>
      <c r="EG534" s="81"/>
      <c r="EM534" s="81"/>
      <c r="EN534" s="377"/>
      <c r="EO534" s="377"/>
      <c r="EP534" s="377"/>
      <c r="EQ534" s="377"/>
      <c r="ER534" s="377"/>
      <c r="ES534" s="702"/>
      <c r="ET534" s="702"/>
      <c r="EU534" s="1023"/>
      <c r="EV534" s="377"/>
      <c r="EZ534" s="318"/>
    </row>
    <row r="535" spans="109:156" ht="36" customHeight="1">
      <c r="DE535" s="377"/>
      <c r="DF535" s="377"/>
      <c r="DG535" s="377"/>
      <c r="DH535" s="377"/>
      <c r="DI535" s="377"/>
      <c r="DJ535" s="377"/>
      <c r="DK535" s="331"/>
      <c r="DL535" s="332"/>
      <c r="DS535" s="81"/>
      <c r="DZ535" s="81"/>
      <c r="EA535" s="353"/>
      <c r="EB535" s="1499" t="s">
        <v>515</v>
      </c>
      <c r="EC535" s="730" t="s">
        <v>1269</v>
      </c>
      <c r="ED535" s="731">
        <v>0.5</v>
      </c>
      <c r="EE535" s="81"/>
      <c r="EF535" s="81"/>
      <c r="EG535" s="81"/>
      <c r="EM535" s="81"/>
      <c r="EN535" s="377"/>
      <c r="EO535" s="377"/>
      <c r="EP535" s="377"/>
      <c r="EQ535" s="377"/>
      <c r="ER535" s="377"/>
      <c r="ES535" s="702"/>
      <c r="ET535" s="702"/>
      <c r="EU535" s="1023"/>
      <c r="EV535" s="377"/>
      <c r="EZ535" s="318"/>
    </row>
    <row r="536" spans="109:156" ht="36" customHeight="1">
      <c r="DE536" s="377"/>
      <c r="DF536" s="377"/>
      <c r="DG536" s="377"/>
      <c r="DH536" s="377"/>
      <c r="DI536" s="377"/>
      <c r="DJ536" s="377"/>
      <c r="DK536" s="331"/>
      <c r="DL536" s="332"/>
      <c r="DS536" s="81"/>
      <c r="DZ536" s="81"/>
      <c r="EA536" s="353"/>
      <c r="EB536" s="1499" t="s">
        <v>517</v>
      </c>
      <c r="EC536" s="730" t="s">
        <v>1269</v>
      </c>
      <c r="ED536" s="731">
        <v>0.5</v>
      </c>
      <c r="EE536" s="81"/>
      <c r="EF536" s="81"/>
      <c r="EG536" s="81"/>
      <c r="EM536" s="81"/>
      <c r="EN536" s="377"/>
      <c r="EO536" s="377"/>
      <c r="EP536" s="377"/>
      <c r="EQ536" s="377"/>
      <c r="ER536" s="377"/>
      <c r="ES536" s="702"/>
      <c r="ET536" s="702"/>
      <c r="EU536" s="1023"/>
      <c r="EV536" s="377"/>
      <c r="EZ536" s="318"/>
    </row>
    <row r="537" spans="109:156" ht="36" customHeight="1">
      <c r="DE537" s="377"/>
      <c r="DF537" s="377"/>
      <c r="DG537" s="377"/>
      <c r="DH537" s="377"/>
      <c r="DI537" s="377"/>
      <c r="DJ537" s="377"/>
      <c r="DK537" s="331"/>
      <c r="DL537" s="332"/>
      <c r="DS537" s="81"/>
      <c r="DZ537" s="81"/>
      <c r="EA537" s="353"/>
      <c r="EB537" s="1499" t="s">
        <v>518</v>
      </c>
      <c r="EC537" s="730" t="s">
        <v>1269</v>
      </c>
      <c r="ED537" s="731">
        <v>0.5</v>
      </c>
      <c r="EE537" s="81"/>
      <c r="EF537" s="81"/>
      <c r="EG537" s="81"/>
      <c r="EM537" s="81"/>
      <c r="EN537" s="377"/>
      <c r="EO537" s="377"/>
      <c r="EP537" s="377"/>
      <c r="EQ537" s="377"/>
      <c r="ER537" s="377"/>
      <c r="ES537" s="702"/>
      <c r="ET537" s="702"/>
      <c r="EU537" s="1023"/>
      <c r="EV537" s="377"/>
      <c r="EZ537" s="318"/>
    </row>
    <row r="538" spans="109:156" ht="36" customHeight="1">
      <c r="DE538" s="377"/>
      <c r="DF538" s="377"/>
      <c r="DG538" s="377"/>
      <c r="DH538" s="377"/>
      <c r="DI538" s="377"/>
      <c r="DJ538" s="377"/>
      <c r="DK538" s="331"/>
      <c r="DL538" s="332"/>
      <c r="DS538" s="81"/>
      <c r="DZ538" s="81"/>
      <c r="EA538" s="353"/>
      <c r="EB538" s="1499" t="s">
        <v>73</v>
      </c>
      <c r="EC538" s="730" t="s">
        <v>1269</v>
      </c>
      <c r="ED538" s="731">
        <v>0.5</v>
      </c>
      <c r="EE538" s="81"/>
      <c r="EF538" s="81"/>
      <c r="EG538" s="81"/>
      <c r="EM538" s="81"/>
      <c r="EN538" s="377"/>
      <c r="EO538" s="377"/>
      <c r="EP538" s="377"/>
      <c r="EQ538" s="377"/>
      <c r="ER538" s="377"/>
      <c r="ES538" s="702"/>
      <c r="ET538" s="702"/>
      <c r="EU538" s="1023"/>
      <c r="EV538" s="377"/>
      <c r="EZ538" s="318"/>
    </row>
    <row r="539" spans="109:156" ht="36" customHeight="1">
      <c r="DE539" s="377"/>
      <c r="DF539" s="377"/>
      <c r="DG539" s="377"/>
      <c r="DH539" s="377"/>
      <c r="DI539" s="377"/>
      <c r="DJ539" s="377"/>
      <c r="DK539" s="705"/>
      <c r="DL539" s="329"/>
      <c r="DS539" s="81"/>
      <c r="DZ539" s="81"/>
      <c r="EA539" s="353"/>
      <c r="EB539" s="1499" t="s">
        <v>1564</v>
      </c>
      <c r="EC539" s="730" t="s">
        <v>1269</v>
      </c>
      <c r="ED539" s="731">
        <v>0.5</v>
      </c>
      <c r="EE539" s="81"/>
      <c r="EF539" s="81"/>
      <c r="EG539" s="81"/>
      <c r="EM539" s="81"/>
      <c r="EN539" s="377"/>
      <c r="EO539" s="377"/>
      <c r="EP539" s="377"/>
      <c r="EQ539" s="377"/>
      <c r="ER539" s="377"/>
      <c r="ES539" s="702"/>
      <c r="ET539" s="702"/>
      <c r="EU539" s="1023"/>
      <c r="EV539" s="377"/>
      <c r="EZ539" s="318"/>
    </row>
    <row r="540" spans="109:156" ht="36" customHeight="1">
      <c r="DE540" s="377"/>
      <c r="DF540" s="377"/>
      <c r="DG540" s="377"/>
      <c r="DH540" s="377"/>
      <c r="DI540" s="377"/>
      <c r="DJ540" s="377"/>
      <c r="DK540" s="707"/>
      <c r="DL540" s="329"/>
      <c r="DS540" s="81"/>
      <c r="DZ540" s="81"/>
      <c r="EA540" s="353"/>
      <c r="EB540" s="1499" t="s">
        <v>73</v>
      </c>
      <c r="EC540" s="730" t="s">
        <v>1269</v>
      </c>
      <c r="ED540" s="731">
        <v>0.5</v>
      </c>
      <c r="EE540" s="81"/>
      <c r="EF540" s="81"/>
      <c r="EG540" s="81"/>
      <c r="EM540" s="81"/>
      <c r="EN540" s="377"/>
      <c r="EO540" s="377"/>
      <c r="EP540" s="377"/>
      <c r="EQ540" s="377"/>
      <c r="ER540" s="377"/>
      <c r="ES540" s="702"/>
      <c r="ET540" s="702"/>
      <c r="EU540" s="1023"/>
      <c r="EV540" s="377"/>
      <c r="EZ540" s="318"/>
    </row>
    <row r="541" spans="109:156" ht="36" customHeight="1">
      <c r="DE541" s="377"/>
      <c r="DF541" s="377"/>
      <c r="DG541" s="377"/>
      <c r="DH541" s="377"/>
      <c r="DI541" s="377"/>
      <c r="DJ541" s="377"/>
      <c r="DK541" s="705"/>
      <c r="DL541" s="329"/>
      <c r="DS541" s="81"/>
      <c r="DZ541" s="81"/>
      <c r="EA541" s="353"/>
      <c r="EB541" s="1499" t="s">
        <v>77</v>
      </c>
      <c r="EC541" s="730" t="s">
        <v>1269</v>
      </c>
      <c r="ED541" s="731">
        <v>0.5</v>
      </c>
      <c r="EE541" s="81"/>
      <c r="EF541" s="81"/>
      <c r="EG541" s="81"/>
      <c r="EM541" s="81"/>
      <c r="EN541" s="377"/>
      <c r="EO541" s="377"/>
      <c r="EP541" s="377"/>
      <c r="EQ541" s="377"/>
      <c r="ER541" s="377"/>
      <c r="ES541" s="702"/>
      <c r="ET541" s="702"/>
      <c r="EU541" s="1023"/>
      <c r="EV541" s="377"/>
      <c r="EZ541" s="318"/>
    </row>
    <row r="542" spans="109:156" ht="36" customHeight="1">
      <c r="DE542" s="377"/>
      <c r="DF542" s="377"/>
      <c r="DG542" s="377"/>
      <c r="DH542" s="377"/>
      <c r="DI542" s="377"/>
      <c r="DJ542" s="377"/>
      <c r="DK542" s="331"/>
      <c r="DL542" s="332"/>
      <c r="DS542" s="81"/>
      <c r="DZ542" s="81"/>
      <c r="EA542" s="353"/>
      <c r="EB542" s="1499" t="s">
        <v>78</v>
      </c>
      <c r="EC542" s="730" t="s">
        <v>1269</v>
      </c>
      <c r="ED542" s="731">
        <v>0.5</v>
      </c>
      <c r="EE542" s="81"/>
      <c r="EF542" s="81"/>
      <c r="EG542" s="81"/>
      <c r="EM542" s="81"/>
      <c r="EN542" s="377"/>
      <c r="EO542" s="377"/>
      <c r="EP542" s="377"/>
      <c r="EQ542" s="377"/>
      <c r="ER542" s="377"/>
      <c r="ES542" s="702"/>
      <c r="ET542" s="702"/>
      <c r="EU542" s="1023"/>
      <c r="EV542" s="377"/>
      <c r="EZ542" s="318"/>
    </row>
    <row r="543" spans="109:156" ht="36" customHeight="1">
      <c r="DE543" s="377"/>
      <c r="DF543" s="377"/>
      <c r="DG543" s="377"/>
      <c r="DH543" s="377"/>
      <c r="DI543" s="377"/>
      <c r="DJ543" s="377"/>
      <c r="DK543" s="331"/>
      <c r="DL543" s="332"/>
      <c r="DS543" s="81"/>
      <c r="DZ543" s="81"/>
      <c r="EA543" s="353"/>
      <c r="EB543" s="1499" t="s">
        <v>79</v>
      </c>
      <c r="EC543" s="730" t="s">
        <v>1269</v>
      </c>
      <c r="ED543" s="731">
        <v>0.5</v>
      </c>
      <c r="EE543" s="81"/>
      <c r="EF543" s="81"/>
      <c r="EG543" s="81"/>
      <c r="EM543" s="81"/>
      <c r="EN543" s="377"/>
      <c r="EO543" s="377"/>
      <c r="EP543" s="377"/>
      <c r="EQ543" s="377"/>
      <c r="ER543" s="377"/>
      <c r="ES543" s="702"/>
      <c r="ET543" s="702"/>
      <c r="EU543" s="1023"/>
      <c r="EV543" s="377"/>
      <c r="EZ543" s="318"/>
    </row>
    <row r="544" spans="109:156" ht="36" customHeight="1">
      <c r="DE544" s="377"/>
      <c r="DF544" s="377"/>
      <c r="DG544" s="377"/>
      <c r="DH544" s="377"/>
      <c r="DI544" s="377"/>
      <c r="DJ544" s="377"/>
      <c r="DK544" s="331"/>
      <c r="DL544" s="332"/>
      <c r="DS544" s="81"/>
      <c r="DZ544" s="81"/>
      <c r="EA544" s="353"/>
      <c r="EB544" s="1499" t="s">
        <v>80</v>
      </c>
      <c r="EC544" s="730" t="s">
        <v>1269</v>
      </c>
      <c r="ED544" s="731">
        <v>0.5</v>
      </c>
      <c r="EE544" s="81"/>
      <c r="EF544" s="81"/>
      <c r="EG544" s="81"/>
      <c r="EM544" s="81"/>
      <c r="EN544" s="377"/>
      <c r="EO544" s="377"/>
      <c r="EP544" s="377"/>
      <c r="EQ544" s="377"/>
      <c r="ER544" s="377"/>
      <c r="ES544" s="702"/>
      <c r="ET544" s="702"/>
      <c r="EU544" s="1023"/>
      <c r="EV544" s="377"/>
      <c r="EZ544" s="318"/>
    </row>
    <row r="545" spans="109:156" ht="36" customHeight="1">
      <c r="DE545" s="377"/>
      <c r="DF545" s="377"/>
      <c r="DG545" s="377"/>
      <c r="DH545" s="377"/>
      <c r="DI545" s="377"/>
      <c r="DJ545" s="377"/>
      <c r="DK545" s="331"/>
      <c r="DL545" s="332"/>
      <c r="DS545" s="81"/>
      <c r="DZ545" s="81"/>
      <c r="EA545" s="353"/>
      <c r="EB545" s="1499" t="s">
        <v>81</v>
      </c>
      <c r="EC545" s="730" t="s">
        <v>1269</v>
      </c>
      <c r="ED545" s="731">
        <v>0.5</v>
      </c>
      <c r="EE545" s="81"/>
      <c r="EF545" s="81"/>
      <c r="EG545" s="81"/>
      <c r="EM545" s="81"/>
      <c r="EN545" s="377"/>
      <c r="EO545" s="377"/>
      <c r="EP545" s="377"/>
      <c r="EQ545" s="377"/>
      <c r="ER545" s="377"/>
      <c r="ES545" s="702"/>
      <c r="ET545" s="702"/>
      <c r="EU545" s="1023"/>
      <c r="EV545" s="377"/>
      <c r="EZ545" s="318"/>
    </row>
    <row r="546" spans="109:156" ht="36" customHeight="1">
      <c r="DE546" s="377"/>
      <c r="DF546" s="377"/>
      <c r="DG546" s="377"/>
      <c r="DH546" s="377"/>
      <c r="DI546" s="377"/>
      <c r="DJ546" s="377"/>
      <c r="DK546" s="331"/>
      <c r="DL546" s="332"/>
      <c r="DS546" s="81"/>
      <c r="DZ546" s="81"/>
      <c r="EA546" s="353"/>
      <c r="EB546" s="1499" t="s">
        <v>82</v>
      </c>
      <c r="EC546" s="730" t="s">
        <v>1269</v>
      </c>
      <c r="ED546" s="731">
        <v>0.5</v>
      </c>
      <c r="EE546" s="81"/>
      <c r="EF546" s="81"/>
      <c r="EG546" s="81"/>
      <c r="EM546" s="81"/>
      <c r="EN546" s="377"/>
      <c r="EO546" s="377"/>
      <c r="EP546" s="377"/>
      <c r="EQ546" s="377"/>
      <c r="ER546" s="377"/>
      <c r="ES546" s="702"/>
      <c r="ET546" s="702"/>
      <c r="EU546" s="1023"/>
      <c r="EV546" s="377"/>
      <c r="EZ546" s="318"/>
    </row>
    <row r="547" spans="109:156" ht="36" customHeight="1">
      <c r="DE547" s="377"/>
      <c r="DF547" s="377"/>
      <c r="DG547" s="377"/>
      <c r="DH547" s="377"/>
      <c r="DI547" s="377"/>
      <c r="DJ547" s="377"/>
      <c r="DK547" s="331"/>
      <c r="DL547" s="332"/>
      <c r="DS547" s="81"/>
      <c r="DZ547" s="81"/>
      <c r="EA547" s="353"/>
      <c r="EB547" s="1499" t="s">
        <v>83</v>
      </c>
      <c r="EC547" s="730" t="s">
        <v>1269</v>
      </c>
      <c r="ED547" s="731">
        <v>0.5</v>
      </c>
      <c r="EE547" s="81"/>
      <c r="EF547" s="81"/>
      <c r="EG547" s="81"/>
      <c r="EM547" s="81"/>
      <c r="EN547" s="377"/>
      <c r="EO547" s="377"/>
      <c r="EP547" s="377"/>
      <c r="EQ547" s="377"/>
      <c r="ER547" s="377"/>
      <c r="ES547" s="702"/>
      <c r="ET547" s="702"/>
      <c r="EU547" s="1023"/>
      <c r="EV547" s="377"/>
      <c r="EZ547" s="318"/>
    </row>
    <row r="548" spans="109:156" ht="36" customHeight="1">
      <c r="DE548" s="377"/>
      <c r="DF548" s="377"/>
      <c r="DG548" s="377"/>
      <c r="DH548" s="377"/>
      <c r="DI548" s="377"/>
      <c r="DJ548" s="377"/>
      <c r="DK548" s="331"/>
      <c r="DL548" s="332"/>
      <c r="DS548" s="81"/>
      <c r="DZ548" s="81"/>
      <c r="EA548" s="353"/>
      <c r="EB548" s="1499" t="s">
        <v>84</v>
      </c>
      <c r="EC548" s="730" t="s">
        <v>1269</v>
      </c>
      <c r="ED548" s="731">
        <v>0.5</v>
      </c>
      <c r="EE548" s="81"/>
      <c r="EF548" s="81"/>
      <c r="EG548" s="81"/>
      <c r="EM548" s="81"/>
      <c r="EN548" s="377"/>
      <c r="EO548" s="377"/>
      <c r="EP548" s="377"/>
      <c r="EQ548" s="377"/>
      <c r="ER548" s="377"/>
      <c r="ES548" s="702"/>
      <c r="ET548" s="702"/>
      <c r="EU548" s="1023"/>
      <c r="EV548" s="377"/>
      <c r="EZ548" s="318"/>
    </row>
    <row r="549" spans="109:156" ht="36" customHeight="1">
      <c r="DE549" s="377"/>
      <c r="DF549" s="377"/>
      <c r="DG549" s="377"/>
      <c r="DH549" s="377"/>
      <c r="DI549" s="377"/>
      <c r="DJ549" s="377"/>
      <c r="DK549" s="331"/>
      <c r="DL549" s="332"/>
      <c r="DS549" s="81"/>
      <c r="DZ549" s="81"/>
      <c r="EA549" s="353"/>
      <c r="EB549" s="1499" t="s">
        <v>85</v>
      </c>
      <c r="EC549" s="730" t="s">
        <v>1269</v>
      </c>
      <c r="ED549" s="731">
        <v>0.5</v>
      </c>
      <c r="EE549" s="81"/>
      <c r="EF549" s="81"/>
      <c r="EG549" s="81"/>
      <c r="EM549" s="81"/>
      <c r="EN549" s="377"/>
      <c r="EO549" s="377"/>
      <c r="EP549" s="377"/>
      <c r="EQ549" s="377"/>
      <c r="ER549" s="377"/>
      <c r="ES549" s="702"/>
      <c r="ET549" s="702"/>
      <c r="EU549" s="1023"/>
      <c r="EV549" s="377"/>
      <c r="EZ549" s="318"/>
    </row>
    <row r="550" spans="109:156" ht="36" customHeight="1">
      <c r="DE550" s="377"/>
      <c r="DF550" s="377"/>
      <c r="DG550" s="377"/>
      <c r="DH550" s="377"/>
      <c r="DI550" s="377"/>
      <c r="DJ550" s="377"/>
      <c r="DK550" s="331"/>
      <c r="DL550" s="332"/>
      <c r="DS550" s="81"/>
      <c r="DZ550" s="81"/>
      <c r="EA550" s="353"/>
      <c r="EB550" s="1499" t="s">
        <v>86</v>
      </c>
      <c r="EC550" s="730" t="s">
        <v>1269</v>
      </c>
      <c r="ED550" s="731">
        <v>0.5</v>
      </c>
      <c r="EE550" s="81"/>
      <c r="EF550" s="81"/>
      <c r="EG550" s="81"/>
      <c r="EM550" s="81"/>
      <c r="EN550" s="377"/>
      <c r="EO550" s="377"/>
      <c r="EP550" s="377"/>
      <c r="EQ550" s="377"/>
      <c r="ER550" s="377"/>
      <c r="ES550" s="702"/>
      <c r="ET550" s="702"/>
      <c r="EU550" s="1023"/>
      <c r="EV550" s="377"/>
      <c r="EZ550" s="318"/>
    </row>
    <row r="551" spans="109:156" ht="36" customHeight="1">
      <c r="DE551" s="377"/>
      <c r="DF551" s="377"/>
      <c r="DG551" s="377"/>
      <c r="DH551" s="377"/>
      <c r="DI551" s="377"/>
      <c r="DJ551" s="377"/>
      <c r="DK551" s="331"/>
      <c r="DL551" s="332"/>
      <c r="DS551" s="81"/>
      <c r="DZ551" s="81"/>
      <c r="EA551" s="353"/>
      <c r="EB551" s="1499" t="s">
        <v>87</v>
      </c>
      <c r="EC551" s="730" t="s">
        <v>1269</v>
      </c>
      <c r="ED551" s="731">
        <v>0.5</v>
      </c>
      <c r="EE551" s="81"/>
      <c r="EF551" s="81"/>
      <c r="EG551" s="81"/>
      <c r="EM551" s="81"/>
      <c r="EN551" s="377"/>
      <c r="EO551" s="377"/>
      <c r="EP551" s="377"/>
      <c r="EQ551" s="377"/>
      <c r="ER551" s="377"/>
      <c r="ES551" s="702"/>
      <c r="ET551" s="702"/>
      <c r="EU551" s="1023"/>
      <c r="EV551" s="377"/>
      <c r="EZ551" s="318"/>
    </row>
    <row r="552" spans="109:156" ht="36" customHeight="1">
      <c r="DE552" s="377"/>
      <c r="DF552" s="377"/>
      <c r="DG552" s="377"/>
      <c r="DH552" s="377"/>
      <c r="DI552" s="377"/>
      <c r="DJ552" s="377"/>
      <c r="DK552" s="331"/>
      <c r="DL552" s="332"/>
      <c r="DS552" s="81"/>
      <c r="DZ552" s="81"/>
      <c r="EA552" s="353"/>
      <c r="EB552" s="1499" t="s">
        <v>88</v>
      </c>
      <c r="EC552" s="730" t="s">
        <v>1269</v>
      </c>
      <c r="ED552" s="731">
        <v>0.5</v>
      </c>
      <c r="EE552" s="81"/>
      <c r="EF552" s="81"/>
      <c r="EG552" s="81"/>
      <c r="EM552" s="81"/>
      <c r="EN552" s="377"/>
      <c r="EO552" s="377"/>
      <c r="EP552" s="377"/>
      <c r="EQ552" s="377"/>
      <c r="ER552" s="377"/>
      <c r="ES552" s="702"/>
      <c r="ET552" s="702"/>
      <c r="EU552" s="1023"/>
      <c r="EV552" s="377"/>
      <c r="EZ552" s="318"/>
    </row>
    <row r="553" spans="109:156" ht="36" customHeight="1">
      <c r="DE553" s="377"/>
      <c r="DF553" s="377"/>
      <c r="DG553" s="377"/>
      <c r="DH553" s="377"/>
      <c r="DI553" s="377"/>
      <c r="DJ553" s="377"/>
      <c r="DK553" s="331"/>
      <c r="DL553" s="332"/>
      <c r="DS553" s="81"/>
      <c r="DZ553" s="81"/>
      <c r="EA553" s="353"/>
      <c r="EB553" s="1499" t="s">
        <v>89</v>
      </c>
      <c r="EC553" s="730" t="s">
        <v>1269</v>
      </c>
      <c r="ED553" s="731">
        <v>0.5</v>
      </c>
      <c r="EE553" s="81"/>
      <c r="EF553" s="81"/>
      <c r="EG553" s="81"/>
      <c r="EM553" s="81"/>
      <c r="EN553" s="377"/>
      <c r="EO553" s="377"/>
      <c r="EP553" s="377"/>
      <c r="EQ553" s="377"/>
      <c r="ER553" s="377"/>
      <c r="ES553" s="702"/>
      <c r="ET553" s="702"/>
      <c r="EU553" s="1023"/>
      <c r="EV553" s="377"/>
      <c r="EZ553" s="318"/>
    </row>
    <row r="554" spans="109:156" ht="36" customHeight="1">
      <c r="DE554" s="377"/>
      <c r="DF554" s="377"/>
      <c r="DG554" s="377"/>
      <c r="DH554" s="377"/>
      <c r="DI554" s="377"/>
      <c r="DJ554" s="377"/>
      <c r="DK554" s="705"/>
      <c r="DL554" s="329"/>
      <c r="DS554" s="81"/>
      <c r="DZ554" s="81"/>
      <c r="EA554" s="353"/>
      <c r="EB554" s="1499" t="s">
        <v>90</v>
      </c>
      <c r="EC554" s="730" t="s">
        <v>1269</v>
      </c>
      <c r="ED554" s="731">
        <v>0.5</v>
      </c>
      <c r="EE554" s="81"/>
      <c r="EF554" s="81"/>
      <c r="EG554" s="81"/>
      <c r="EM554" s="81"/>
      <c r="EN554" s="377"/>
      <c r="EO554" s="377"/>
      <c r="EP554" s="377"/>
      <c r="EQ554" s="377"/>
      <c r="ER554" s="377"/>
      <c r="ES554" s="702"/>
      <c r="ET554" s="702"/>
      <c r="EU554" s="1023"/>
      <c r="EV554" s="377"/>
      <c r="EZ554" s="318"/>
    </row>
    <row r="555" spans="109:156" ht="36" customHeight="1">
      <c r="DE555" s="377"/>
      <c r="DF555" s="377"/>
      <c r="DG555" s="377"/>
      <c r="DH555" s="377"/>
      <c r="DI555" s="377"/>
      <c r="DJ555" s="377"/>
      <c r="DK555" s="707"/>
      <c r="DL555" s="329"/>
      <c r="DS555" s="81"/>
      <c r="DZ555" s="81"/>
      <c r="EA555" s="353"/>
      <c r="EB555" s="1499" t="s">
        <v>91</v>
      </c>
      <c r="EC555" s="730" t="s">
        <v>1269</v>
      </c>
      <c r="ED555" s="731">
        <v>0.5</v>
      </c>
      <c r="EE555" s="81"/>
      <c r="EF555" s="81"/>
      <c r="EG555" s="81"/>
      <c r="EM555" s="81"/>
      <c r="EN555" s="377"/>
      <c r="EO555" s="377"/>
      <c r="EP555" s="377"/>
      <c r="EQ555" s="377"/>
      <c r="ER555" s="377"/>
      <c r="ES555" s="702"/>
      <c r="ET555" s="702"/>
      <c r="EU555" s="1023"/>
      <c r="EV555" s="377"/>
      <c r="EZ555" s="318"/>
    </row>
    <row r="556" spans="109:156" ht="36" customHeight="1">
      <c r="DE556" s="377"/>
      <c r="DF556" s="377"/>
      <c r="DG556" s="377"/>
      <c r="DH556" s="377"/>
      <c r="DI556" s="377"/>
      <c r="DJ556" s="377"/>
      <c r="DK556" s="705"/>
      <c r="DL556" s="329"/>
      <c r="DS556" s="81"/>
      <c r="DZ556" s="81"/>
      <c r="EA556" s="353"/>
      <c r="EB556" s="1499" t="s">
        <v>92</v>
      </c>
      <c r="EC556" s="730" t="s">
        <v>1269</v>
      </c>
      <c r="ED556" s="731">
        <v>0.5</v>
      </c>
      <c r="EE556" s="81"/>
      <c r="EF556" s="81"/>
      <c r="EG556" s="81"/>
      <c r="EM556" s="81"/>
      <c r="EN556" s="377"/>
      <c r="EO556" s="377"/>
      <c r="EP556" s="377"/>
      <c r="EQ556" s="377"/>
      <c r="ER556" s="377"/>
      <c r="ES556" s="702"/>
      <c r="ET556" s="702"/>
      <c r="EU556" s="1023"/>
      <c r="EV556" s="377"/>
      <c r="EZ556" s="318"/>
    </row>
    <row r="557" spans="109:156" ht="36" customHeight="1">
      <c r="DE557" s="377"/>
      <c r="DF557" s="377"/>
      <c r="DG557" s="377"/>
      <c r="DH557" s="377"/>
      <c r="DI557" s="377"/>
      <c r="DJ557" s="377"/>
      <c r="DK557" s="331"/>
      <c r="DL557" s="329"/>
      <c r="DS557" s="81"/>
      <c r="DZ557" s="81"/>
      <c r="EA557" s="353"/>
      <c r="EB557" s="1499" t="s">
        <v>93</v>
      </c>
      <c r="EC557" s="730" t="s">
        <v>1269</v>
      </c>
      <c r="ED557" s="731">
        <v>0.5</v>
      </c>
      <c r="EE557" s="81"/>
      <c r="EF557" s="81"/>
      <c r="EG557" s="81"/>
      <c r="EM557" s="81"/>
      <c r="EN557" s="377"/>
      <c r="EO557" s="377"/>
      <c r="EP557" s="377"/>
      <c r="EQ557" s="377"/>
      <c r="ER557" s="377"/>
      <c r="ES557" s="702"/>
      <c r="ET557" s="702"/>
      <c r="EU557" s="1023"/>
      <c r="EV557" s="377"/>
      <c r="EZ557" s="318"/>
    </row>
    <row r="558" spans="109:156" ht="36" customHeight="1">
      <c r="DE558" s="377"/>
      <c r="DF558" s="377"/>
      <c r="DG558" s="377"/>
      <c r="DH558" s="377"/>
      <c r="DI558" s="377"/>
      <c r="DJ558" s="377"/>
      <c r="DK558" s="708"/>
      <c r="DL558" s="329"/>
      <c r="DS558" s="81"/>
      <c r="DZ558" s="81"/>
      <c r="EA558" s="353"/>
      <c r="EB558" s="1499" t="s">
        <v>94</v>
      </c>
      <c r="EC558" s="730" t="s">
        <v>1269</v>
      </c>
      <c r="ED558" s="731">
        <v>0.5</v>
      </c>
      <c r="EE558" s="81"/>
      <c r="EF558" s="81"/>
      <c r="EG558" s="81"/>
      <c r="EM558" s="81"/>
      <c r="EN558" s="377"/>
      <c r="EO558" s="377"/>
      <c r="EP558" s="377"/>
      <c r="EQ558" s="377"/>
      <c r="ER558" s="377"/>
      <c r="ES558" s="702"/>
      <c r="ET558" s="702"/>
      <c r="EU558" s="1023"/>
      <c r="EV558" s="377"/>
      <c r="EZ558" s="318"/>
    </row>
    <row r="559" spans="109:156" ht="36" customHeight="1">
      <c r="DE559" s="377"/>
      <c r="DF559" s="377"/>
      <c r="DG559" s="377"/>
      <c r="DH559" s="377"/>
      <c r="DI559" s="377"/>
      <c r="DJ559" s="377"/>
      <c r="DK559" s="331"/>
      <c r="DL559" s="329"/>
      <c r="DS559" s="81"/>
      <c r="DZ559" s="81"/>
      <c r="EA559" s="353"/>
      <c r="EB559" s="1499" t="s">
        <v>95</v>
      </c>
      <c r="EC559" s="730" t="s">
        <v>1269</v>
      </c>
      <c r="ED559" s="731">
        <v>0.5</v>
      </c>
      <c r="EE559" s="81"/>
      <c r="EF559" s="81"/>
      <c r="EG559" s="81"/>
      <c r="EM559" s="81"/>
      <c r="EN559" s="377"/>
      <c r="EO559" s="377"/>
      <c r="EP559" s="377"/>
      <c r="EQ559" s="377"/>
      <c r="ER559" s="377"/>
      <c r="ES559" s="702"/>
      <c r="ET559" s="702"/>
      <c r="EU559" s="1023"/>
      <c r="EV559" s="377"/>
      <c r="EZ559" s="318"/>
    </row>
    <row r="560" spans="109:156" ht="36" customHeight="1">
      <c r="DE560" s="377"/>
      <c r="DF560" s="377"/>
      <c r="DG560" s="377"/>
      <c r="DH560" s="377"/>
      <c r="DI560" s="377"/>
      <c r="DJ560" s="377"/>
      <c r="DK560" s="331"/>
      <c r="DL560" s="329"/>
      <c r="DS560" s="81"/>
      <c r="DZ560" s="81"/>
      <c r="EA560" s="353"/>
      <c r="EB560" s="1499" t="s">
        <v>96</v>
      </c>
      <c r="EC560" s="730" t="s">
        <v>1269</v>
      </c>
      <c r="ED560" s="731">
        <v>0.5</v>
      </c>
      <c r="EE560" s="81"/>
      <c r="EF560" s="81"/>
      <c r="EG560" s="81"/>
      <c r="EM560" s="81"/>
      <c r="EN560" s="377"/>
      <c r="EO560" s="377"/>
      <c r="EP560" s="377"/>
      <c r="EQ560" s="377"/>
      <c r="ER560" s="377"/>
      <c r="ES560" s="702"/>
      <c r="ET560" s="702"/>
      <c r="EU560" s="1023"/>
      <c r="EV560" s="377"/>
      <c r="EZ560" s="318"/>
    </row>
    <row r="561" spans="109:156" ht="36" customHeight="1">
      <c r="DE561" s="377"/>
      <c r="DF561" s="377"/>
      <c r="DG561" s="377"/>
      <c r="DH561" s="377"/>
      <c r="DI561" s="377"/>
      <c r="DJ561" s="377"/>
      <c r="DK561" s="12"/>
      <c r="DL561" s="329"/>
      <c r="DS561" s="81"/>
      <c r="DZ561" s="81"/>
      <c r="EA561" s="353"/>
      <c r="EB561" s="1499" t="s">
        <v>1565</v>
      </c>
      <c r="EC561" s="730" t="s">
        <v>1269</v>
      </c>
      <c r="ED561" s="731">
        <v>0.5</v>
      </c>
      <c r="EE561" s="81"/>
      <c r="EF561" s="81"/>
      <c r="EG561" s="81"/>
      <c r="EM561" s="81"/>
      <c r="EN561" s="377"/>
      <c r="EO561" s="377"/>
      <c r="EP561" s="377"/>
      <c r="EQ561" s="377"/>
      <c r="ER561" s="377"/>
      <c r="ES561" s="702"/>
      <c r="ET561" s="702"/>
      <c r="EU561" s="1023"/>
      <c r="EV561" s="377"/>
      <c r="EZ561" s="318"/>
    </row>
    <row r="562" spans="109:156" ht="36" customHeight="1">
      <c r="DE562" s="377"/>
      <c r="DF562" s="377"/>
      <c r="DG562" s="377"/>
      <c r="DH562" s="377"/>
      <c r="DI562" s="377"/>
      <c r="DJ562" s="377"/>
      <c r="DK562" s="12"/>
      <c r="DL562" s="329"/>
      <c r="DS562" s="81"/>
      <c r="DZ562" s="81"/>
      <c r="EA562" s="353"/>
      <c r="EB562" s="1499" t="s">
        <v>97</v>
      </c>
      <c r="EC562" s="730" t="s">
        <v>1269</v>
      </c>
      <c r="ED562" s="731">
        <v>0.5</v>
      </c>
      <c r="EE562" s="81"/>
      <c r="EF562" s="81"/>
      <c r="EG562" s="81"/>
      <c r="EM562" s="81"/>
      <c r="EN562" s="377"/>
      <c r="EO562" s="377"/>
      <c r="EP562" s="377"/>
      <c r="EQ562" s="377"/>
      <c r="ER562" s="377"/>
      <c r="ES562" s="702"/>
      <c r="ET562" s="702"/>
      <c r="EU562" s="1023"/>
      <c r="EV562" s="377"/>
      <c r="EZ562" s="318"/>
    </row>
    <row r="563" spans="109:156" ht="36" customHeight="1">
      <c r="DE563" s="377"/>
      <c r="DF563" s="377"/>
      <c r="DG563" s="377"/>
      <c r="DH563" s="377"/>
      <c r="DI563" s="377"/>
      <c r="DJ563" s="377"/>
      <c r="DK563" s="72"/>
      <c r="DL563" s="329"/>
      <c r="DS563" s="81"/>
      <c r="DZ563" s="81"/>
      <c r="EA563" s="353"/>
      <c r="EB563" s="1499" t="s">
        <v>98</v>
      </c>
      <c r="EC563" s="730" t="s">
        <v>1269</v>
      </c>
      <c r="ED563" s="731">
        <v>0.5</v>
      </c>
      <c r="EE563" s="81"/>
      <c r="EF563" s="81"/>
      <c r="EG563" s="81"/>
      <c r="EM563" s="81"/>
      <c r="EN563" s="377"/>
      <c r="EO563" s="377"/>
      <c r="EP563" s="377"/>
      <c r="EQ563" s="377"/>
      <c r="ER563" s="377"/>
      <c r="ES563" s="702"/>
      <c r="ET563" s="702"/>
      <c r="EU563" s="1023"/>
      <c r="EV563" s="377"/>
      <c r="EZ563" s="318"/>
    </row>
    <row r="564" spans="109:156" ht="36" customHeight="1">
      <c r="DE564" s="377"/>
      <c r="DF564" s="377"/>
      <c r="DG564" s="377"/>
      <c r="DH564" s="377"/>
      <c r="DI564" s="377"/>
      <c r="DJ564" s="377"/>
      <c r="DK564" s="72"/>
      <c r="DL564" s="329"/>
      <c r="DS564" s="81"/>
      <c r="DZ564" s="81"/>
      <c r="EA564" s="353"/>
      <c r="EB564" s="1499" t="s">
        <v>498</v>
      </c>
      <c r="EC564" s="730" t="s">
        <v>1269</v>
      </c>
      <c r="ED564" s="731">
        <v>0.5</v>
      </c>
      <c r="EE564" s="81"/>
      <c r="EF564" s="81"/>
      <c r="EG564" s="81"/>
      <c r="EM564" s="81"/>
      <c r="EN564" s="377"/>
      <c r="EO564" s="377"/>
      <c r="EP564" s="377"/>
      <c r="EQ564" s="377"/>
      <c r="ER564" s="377"/>
      <c r="ES564" s="702"/>
      <c r="ET564" s="702"/>
      <c r="EU564" s="1023"/>
      <c r="EV564" s="377"/>
      <c r="EZ564" s="318"/>
    </row>
    <row r="565" spans="109:156" ht="36" customHeight="1">
      <c r="DE565" s="377"/>
      <c r="DF565" s="377"/>
      <c r="DG565" s="377"/>
      <c r="DH565" s="377"/>
      <c r="DI565" s="377"/>
      <c r="DJ565" s="377"/>
      <c r="DK565" s="72"/>
      <c r="DL565" s="329"/>
      <c r="DS565" s="81"/>
      <c r="DZ565" s="81"/>
      <c r="EA565" s="353"/>
      <c r="EB565" s="1499" t="s">
        <v>99</v>
      </c>
      <c r="EC565" s="730" t="s">
        <v>1269</v>
      </c>
      <c r="ED565" s="731">
        <v>0.5</v>
      </c>
      <c r="EE565" s="81"/>
      <c r="EF565" s="81"/>
      <c r="EG565" s="81"/>
      <c r="EM565" s="81"/>
      <c r="EN565" s="377"/>
      <c r="EO565" s="377"/>
      <c r="EP565" s="377"/>
      <c r="EQ565" s="377"/>
      <c r="ER565" s="377"/>
      <c r="ES565" s="702"/>
      <c r="ET565" s="702"/>
      <c r="EU565" s="1023"/>
      <c r="EV565" s="377"/>
      <c r="EZ565" s="318"/>
    </row>
    <row r="566" spans="109:156" ht="36" customHeight="1">
      <c r="DE566" s="377"/>
      <c r="DF566" s="377"/>
      <c r="DG566" s="377"/>
      <c r="DH566" s="377"/>
      <c r="DI566" s="377"/>
      <c r="DJ566" s="377"/>
      <c r="DK566" s="72"/>
      <c r="DL566" s="329"/>
      <c r="DS566" s="81"/>
      <c r="DZ566" s="81"/>
      <c r="EA566" s="353"/>
      <c r="EB566" s="1499" t="s">
        <v>100</v>
      </c>
      <c r="EC566" s="730" t="s">
        <v>1269</v>
      </c>
      <c r="ED566" s="731">
        <v>0.5</v>
      </c>
      <c r="EE566" s="81"/>
      <c r="EF566" s="81"/>
      <c r="EG566" s="81"/>
      <c r="EM566" s="81"/>
      <c r="EN566" s="377"/>
      <c r="EO566" s="377"/>
      <c r="EP566" s="377"/>
      <c r="EQ566" s="377"/>
      <c r="ER566" s="377"/>
      <c r="ES566" s="702"/>
      <c r="ET566" s="702"/>
      <c r="EU566" s="1023"/>
      <c r="EV566" s="377"/>
      <c r="EZ566" s="318"/>
    </row>
    <row r="567" spans="109:156" ht="36" customHeight="1">
      <c r="DE567" s="377"/>
      <c r="DF567" s="377"/>
      <c r="DG567" s="377"/>
      <c r="DH567" s="377"/>
      <c r="DI567" s="377"/>
      <c r="DJ567" s="377"/>
      <c r="DK567" s="331"/>
      <c r="DL567" s="329"/>
      <c r="DS567" s="81"/>
      <c r="DZ567" s="81"/>
      <c r="EA567" s="353"/>
      <c r="EB567" s="1499" t="s">
        <v>1378</v>
      </c>
      <c r="EC567" s="730" t="s">
        <v>1269</v>
      </c>
      <c r="ED567" s="731">
        <v>0.5</v>
      </c>
      <c r="EE567" s="81"/>
      <c r="EF567" s="81"/>
      <c r="EG567" s="81"/>
      <c r="EM567" s="81"/>
      <c r="EN567" s="377"/>
      <c r="EO567" s="377"/>
      <c r="EP567" s="377"/>
      <c r="EQ567" s="377"/>
      <c r="ER567" s="377"/>
      <c r="ES567" s="702"/>
      <c r="ET567" s="702"/>
      <c r="EU567" s="1023"/>
      <c r="EV567" s="377"/>
      <c r="EZ567" s="318"/>
    </row>
    <row r="568" spans="109:156" ht="36" customHeight="1">
      <c r="DE568" s="377"/>
      <c r="DF568" s="377"/>
      <c r="DG568" s="377"/>
      <c r="DH568" s="377"/>
      <c r="DI568" s="377"/>
      <c r="DJ568" s="377"/>
      <c r="DK568" s="331"/>
      <c r="DL568" s="329"/>
      <c r="DS568" s="81"/>
      <c r="DZ568" s="81"/>
      <c r="EA568" s="353"/>
      <c r="EB568" s="1499" t="s">
        <v>73</v>
      </c>
      <c r="EC568" s="730" t="s">
        <v>1269</v>
      </c>
      <c r="ED568" s="731">
        <v>0.5</v>
      </c>
      <c r="EE568" s="81"/>
      <c r="EF568" s="81"/>
      <c r="EG568" s="81"/>
      <c r="EM568" s="81"/>
      <c r="EN568" s="377"/>
      <c r="EO568" s="377"/>
      <c r="EP568" s="377"/>
      <c r="EQ568" s="377"/>
      <c r="ER568" s="377"/>
      <c r="ES568" s="702"/>
      <c r="ET568" s="702"/>
      <c r="EU568" s="1023"/>
      <c r="EV568" s="377"/>
      <c r="EZ568" s="318"/>
    </row>
    <row r="569" spans="109:156" ht="36" customHeight="1">
      <c r="DE569" s="377"/>
      <c r="DF569" s="377"/>
      <c r="DG569" s="377"/>
      <c r="DH569" s="377"/>
      <c r="DI569" s="377"/>
      <c r="DJ569" s="377"/>
      <c r="DK569" s="331"/>
      <c r="DL569" s="329"/>
      <c r="DS569" s="81"/>
      <c r="DZ569" s="81"/>
      <c r="EA569" s="353"/>
      <c r="EB569" s="1499" t="s">
        <v>1377</v>
      </c>
      <c r="EC569" s="730" t="s">
        <v>1269</v>
      </c>
      <c r="ED569" s="731">
        <v>0.5</v>
      </c>
      <c r="EE569" s="81"/>
      <c r="EF569" s="81"/>
      <c r="EG569" s="81"/>
      <c r="EM569" s="81"/>
      <c r="EN569" s="377"/>
      <c r="EO569" s="377"/>
      <c r="EP569" s="377"/>
      <c r="EQ569" s="377"/>
      <c r="ER569" s="377"/>
      <c r="ES569" s="702"/>
      <c r="ET569" s="702"/>
      <c r="EU569" s="1023"/>
      <c r="EV569" s="377"/>
      <c r="EZ569" s="318"/>
    </row>
    <row r="570" spans="109:156" ht="36" customHeight="1">
      <c r="DE570" s="377"/>
      <c r="DF570" s="377"/>
      <c r="DG570" s="377"/>
      <c r="DH570" s="377"/>
      <c r="DI570" s="377"/>
      <c r="DJ570" s="377"/>
      <c r="DK570" s="331"/>
      <c r="DL570" s="329"/>
      <c r="DS570" s="81"/>
      <c r="DZ570" s="81"/>
      <c r="EA570" s="353"/>
      <c r="EB570" s="1499" t="s">
        <v>73</v>
      </c>
      <c r="EC570" s="730" t="s">
        <v>1269</v>
      </c>
      <c r="ED570" s="731">
        <v>0.5</v>
      </c>
      <c r="EE570" s="81"/>
      <c r="EF570" s="81"/>
      <c r="EG570" s="81"/>
      <c r="EM570" s="81"/>
      <c r="EN570" s="377"/>
      <c r="EO570" s="377"/>
      <c r="EP570" s="377"/>
      <c r="EQ570" s="377"/>
      <c r="ER570" s="377"/>
      <c r="ES570" s="702"/>
      <c r="ET570" s="702"/>
      <c r="EU570" s="1023"/>
      <c r="EV570" s="377"/>
      <c r="EZ570" s="318"/>
    </row>
    <row r="571" spans="109:156" ht="36" customHeight="1">
      <c r="DE571" s="377"/>
      <c r="DF571" s="377"/>
      <c r="DG571" s="377"/>
      <c r="DH571" s="377"/>
      <c r="DI571" s="377"/>
      <c r="DJ571" s="377"/>
      <c r="DK571" s="12"/>
      <c r="DL571" s="329"/>
      <c r="DS571" s="81"/>
      <c r="DZ571" s="81"/>
      <c r="EA571" s="353"/>
      <c r="EB571" s="1499" t="s">
        <v>101</v>
      </c>
      <c r="EC571" s="730" t="s">
        <v>1269</v>
      </c>
      <c r="ED571" s="731">
        <v>0.5</v>
      </c>
      <c r="EE571" s="81"/>
      <c r="EF571" s="81"/>
      <c r="EG571" s="81"/>
      <c r="EM571" s="81"/>
      <c r="EN571" s="377"/>
      <c r="EO571" s="377"/>
      <c r="EP571" s="377"/>
      <c r="EQ571" s="377"/>
      <c r="ER571" s="377"/>
      <c r="ES571" s="702"/>
      <c r="ET571" s="702"/>
      <c r="EU571" s="1023"/>
      <c r="EV571" s="377"/>
      <c r="EZ571" s="318"/>
    </row>
    <row r="572" spans="109:156" ht="36" customHeight="1">
      <c r="DE572" s="377"/>
      <c r="DF572" s="377"/>
      <c r="DG572" s="377"/>
      <c r="DH572" s="377"/>
      <c r="DI572" s="377"/>
      <c r="DJ572" s="377"/>
      <c r="DK572" s="3"/>
      <c r="DL572" s="329"/>
      <c r="DS572" s="81"/>
      <c r="DZ572" s="81"/>
      <c r="EA572" s="353"/>
      <c r="EB572" s="1499" t="s">
        <v>102</v>
      </c>
      <c r="EC572" s="730" t="s">
        <v>1269</v>
      </c>
      <c r="ED572" s="731">
        <v>0.5</v>
      </c>
      <c r="EE572" s="81"/>
      <c r="EF572" s="81"/>
      <c r="EG572" s="81"/>
      <c r="EM572" s="81"/>
      <c r="EN572" s="377"/>
      <c r="EO572" s="377"/>
      <c r="EP572" s="377"/>
      <c r="EQ572" s="377"/>
      <c r="ER572" s="377"/>
      <c r="ES572" s="702"/>
      <c r="ET572" s="702"/>
      <c r="EU572" s="1023"/>
      <c r="EV572" s="377"/>
      <c r="EZ572" s="318"/>
    </row>
    <row r="573" spans="109:156" ht="36" customHeight="1">
      <c r="DE573" s="377"/>
      <c r="DF573" s="377"/>
      <c r="DG573" s="377"/>
      <c r="DH573" s="377"/>
      <c r="DI573" s="377"/>
      <c r="DJ573" s="377"/>
      <c r="DK573" s="12"/>
      <c r="DL573" s="329"/>
      <c r="DS573" s="81"/>
      <c r="DZ573" s="81"/>
      <c r="EA573" s="353"/>
      <c r="EB573" s="1499" t="s">
        <v>103</v>
      </c>
      <c r="EC573" s="730" t="s">
        <v>1269</v>
      </c>
      <c r="ED573" s="731">
        <v>0.5</v>
      </c>
      <c r="EE573" s="81"/>
      <c r="EF573" s="81"/>
      <c r="EG573" s="81"/>
      <c r="EM573" s="81"/>
      <c r="EN573" s="377"/>
      <c r="EO573" s="377"/>
      <c r="EP573" s="377"/>
      <c r="EQ573" s="377"/>
      <c r="ER573" s="377"/>
      <c r="ES573" s="702"/>
      <c r="ET573" s="702"/>
      <c r="EU573" s="1023"/>
      <c r="EV573" s="377"/>
      <c r="EZ573" s="318"/>
    </row>
    <row r="574" spans="109:156" ht="36" customHeight="1">
      <c r="DE574" s="377"/>
      <c r="DF574" s="377"/>
      <c r="DG574" s="377"/>
      <c r="DH574" s="377"/>
      <c r="DI574" s="377"/>
      <c r="DJ574" s="377"/>
      <c r="DK574" s="12"/>
      <c r="DL574" s="329"/>
      <c r="DS574" s="81"/>
      <c r="DZ574" s="81"/>
      <c r="EA574" s="353"/>
      <c r="EB574" s="1499" t="s">
        <v>73</v>
      </c>
      <c r="EC574" s="730" t="s">
        <v>1269</v>
      </c>
      <c r="ED574" s="731">
        <v>0.5</v>
      </c>
      <c r="EE574" s="81"/>
      <c r="EF574" s="81"/>
      <c r="EG574" s="81"/>
      <c r="EM574" s="81"/>
      <c r="EN574" s="377"/>
      <c r="EO574" s="377"/>
      <c r="EP574" s="377"/>
      <c r="EQ574" s="377"/>
      <c r="ER574" s="377"/>
      <c r="ES574" s="702"/>
      <c r="ET574" s="702"/>
      <c r="EU574" s="1023"/>
      <c r="EV574" s="377"/>
      <c r="EZ574" s="318"/>
    </row>
    <row r="575" spans="109:156" ht="36" customHeight="1">
      <c r="DE575" s="377"/>
      <c r="DF575" s="377"/>
      <c r="DG575" s="377"/>
      <c r="DH575" s="377"/>
      <c r="DI575" s="377"/>
      <c r="DJ575" s="377"/>
      <c r="DK575" s="331"/>
      <c r="DL575" s="329"/>
      <c r="DS575" s="81"/>
      <c r="DZ575" s="81"/>
      <c r="EA575" s="353"/>
      <c r="EB575" s="1499" t="s">
        <v>1285</v>
      </c>
      <c r="EC575" s="730" t="s">
        <v>1269</v>
      </c>
      <c r="ED575" s="731">
        <v>0.5</v>
      </c>
      <c r="EE575" s="81"/>
      <c r="EF575" s="81"/>
      <c r="EG575" s="81"/>
      <c r="EM575" s="81"/>
      <c r="EN575" s="377"/>
      <c r="EO575" s="377"/>
      <c r="EP575" s="377"/>
      <c r="EQ575" s="377"/>
      <c r="ER575" s="377"/>
      <c r="ES575" s="702"/>
      <c r="ET575" s="702"/>
      <c r="EU575" s="1023"/>
      <c r="EV575" s="377"/>
      <c r="EZ575" s="318"/>
    </row>
    <row r="576" spans="109:156" ht="36" customHeight="1">
      <c r="DE576" s="377"/>
      <c r="DF576" s="377"/>
      <c r="DG576" s="377"/>
      <c r="DH576" s="377"/>
      <c r="DI576" s="377"/>
      <c r="DJ576" s="377"/>
      <c r="DK576" s="708"/>
      <c r="DL576" s="329"/>
      <c r="DS576" s="81"/>
      <c r="DZ576" s="81"/>
      <c r="EA576" s="353"/>
      <c r="EB576" s="1499" t="s">
        <v>73</v>
      </c>
      <c r="EC576" s="730" t="s">
        <v>1269</v>
      </c>
      <c r="ED576" s="731">
        <v>0.5</v>
      </c>
      <c r="EE576" s="81"/>
      <c r="EF576" s="81"/>
      <c r="EG576" s="81"/>
      <c r="EM576" s="81"/>
      <c r="EN576" s="377"/>
      <c r="EO576" s="377"/>
      <c r="EP576" s="377"/>
      <c r="EQ576" s="377"/>
      <c r="ER576" s="377"/>
      <c r="ES576" s="702"/>
      <c r="ET576" s="702"/>
      <c r="EU576" s="1023"/>
      <c r="EV576" s="377"/>
      <c r="EZ576" s="318"/>
    </row>
    <row r="577" spans="109:156" ht="36" customHeight="1">
      <c r="DE577" s="377"/>
      <c r="DF577" s="377"/>
      <c r="DG577" s="377"/>
      <c r="DH577" s="377"/>
      <c r="DI577" s="377"/>
      <c r="DJ577" s="377"/>
      <c r="DK577" s="708"/>
      <c r="DL577" s="329"/>
      <c r="DS577" s="81"/>
      <c r="DZ577" s="81"/>
      <c r="EA577" s="353"/>
      <c r="EB577" s="1499" t="s">
        <v>1288</v>
      </c>
      <c r="EC577" s="730" t="s">
        <v>1269</v>
      </c>
      <c r="ED577" s="731">
        <v>0.5</v>
      </c>
      <c r="EE577" s="81"/>
      <c r="EF577" s="81"/>
      <c r="EG577" s="81"/>
      <c r="EM577" s="81"/>
      <c r="EN577" s="377"/>
      <c r="EO577" s="377"/>
      <c r="EP577" s="377"/>
      <c r="EQ577" s="377"/>
      <c r="ER577" s="377"/>
      <c r="ES577" s="702"/>
      <c r="ET577" s="702"/>
      <c r="EU577" s="1023"/>
      <c r="EV577" s="377"/>
      <c r="EZ577" s="318"/>
    </row>
    <row r="578" spans="109:156" ht="36" customHeight="1">
      <c r="DE578" s="377"/>
      <c r="DF578" s="377"/>
      <c r="DG578" s="377"/>
      <c r="DH578" s="377"/>
      <c r="DI578" s="377"/>
      <c r="DJ578" s="377"/>
      <c r="DK578" s="708"/>
      <c r="DL578" s="329"/>
      <c r="DS578" s="81"/>
      <c r="DZ578" s="81"/>
      <c r="EA578" s="353"/>
      <c r="EB578" s="1499" t="s">
        <v>73</v>
      </c>
      <c r="EC578" s="730" t="s">
        <v>1269</v>
      </c>
      <c r="ED578" s="731">
        <v>0.5</v>
      </c>
      <c r="EE578" s="81"/>
      <c r="EF578" s="81"/>
      <c r="EG578" s="81"/>
      <c r="EM578" s="81"/>
      <c r="EN578" s="377"/>
      <c r="EO578" s="377"/>
      <c r="EP578" s="377"/>
      <c r="EQ578" s="377"/>
      <c r="ER578" s="377"/>
      <c r="ES578" s="702"/>
      <c r="ET578" s="702"/>
      <c r="EU578" s="1023"/>
      <c r="EV578" s="377"/>
      <c r="EZ578" s="318"/>
    </row>
    <row r="579" spans="109:156" ht="36" customHeight="1">
      <c r="DE579" s="377"/>
      <c r="DF579" s="377"/>
      <c r="DG579" s="377"/>
      <c r="DH579" s="377"/>
      <c r="DI579" s="377"/>
      <c r="DJ579" s="377"/>
      <c r="DK579" s="361"/>
      <c r="DL579" s="329"/>
      <c r="DS579" s="81"/>
      <c r="DZ579" s="81"/>
      <c r="EA579" s="353"/>
      <c r="EB579" s="1499" t="s">
        <v>1566</v>
      </c>
      <c r="EC579" s="730" t="s">
        <v>1269</v>
      </c>
      <c r="ED579" s="731">
        <v>0.5</v>
      </c>
      <c r="EE579" s="81"/>
      <c r="EF579" s="81"/>
      <c r="EG579" s="81"/>
      <c r="EM579" s="81"/>
      <c r="EN579" s="377"/>
      <c r="EO579" s="377"/>
      <c r="EP579" s="377"/>
      <c r="EQ579" s="377"/>
      <c r="ER579" s="377"/>
      <c r="ES579" s="702"/>
      <c r="ET579" s="702"/>
      <c r="EU579" s="1023"/>
      <c r="EV579" s="377"/>
      <c r="EZ579" s="318"/>
    </row>
    <row r="580" spans="109:156" ht="36" customHeight="1">
      <c r="DE580" s="377"/>
      <c r="DF580" s="377"/>
      <c r="DG580" s="377"/>
      <c r="DH580" s="377"/>
      <c r="DI580" s="377"/>
      <c r="DJ580" s="377"/>
      <c r="DK580" s="330"/>
      <c r="DL580" s="329"/>
      <c r="DS580" s="81"/>
      <c r="DZ580" s="81"/>
      <c r="EA580" s="353"/>
      <c r="EB580" s="1499" t="s">
        <v>73</v>
      </c>
      <c r="EC580" s="730" t="s">
        <v>1269</v>
      </c>
      <c r="ED580" s="731">
        <v>0.5</v>
      </c>
      <c r="EE580" s="81"/>
      <c r="EF580" s="81"/>
      <c r="EG580" s="81"/>
      <c r="EM580" s="81"/>
      <c r="EN580" s="377"/>
      <c r="EO580" s="377"/>
      <c r="EP580" s="377"/>
      <c r="EQ580" s="377"/>
      <c r="ER580" s="377"/>
      <c r="ES580" s="702"/>
      <c r="ET580" s="702"/>
      <c r="EU580" s="1023"/>
      <c r="EV580" s="377"/>
      <c r="EZ580" s="318"/>
    </row>
    <row r="581" spans="109:156" ht="36" customHeight="1">
      <c r="DE581" s="377"/>
      <c r="DF581" s="377"/>
      <c r="DG581" s="377"/>
      <c r="DH581" s="377"/>
      <c r="DI581" s="377"/>
      <c r="DJ581" s="377"/>
      <c r="DK581" s="361"/>
      <c r="DL581" s="329"/>
      <c r="DS581" s="81"/>
      <c r="DZ581" s="81"/>
      <c r="EA581" s="353"/>
      <c r="EB581" s="1499" t="s">
        <v>1655</v>
      </c>
      <c r="EC581" s="730" t="s">
        <v>1269</v>
      </c>
      <c r="ED581" s="731">
        <v>0.5</v>
      </c>
      <c r="EE581" s="81"/>
      <c r="EF581" s="81"/>
      <c r="EG581" s="81"/>
      <c r="EM581" s="81"/>
      <c r="EN581" s="377"/>
      <c r="EO581" s="377"/>
      <c r="EP581" s="377"/>
      <c r="EQ581" s="377"/>
      <c r="ER581" s="377"/>
      <c r="ES581" s="702"/>
      <c r="ET581" s="702"/>
      <c r="EU581" s="1023"/>
      <c r="EV581" s="377"/>
      <c r="EZ581" s="318"/>
    </row>
    <row r="582" spans="109:156" ht="36" customHeight="1">
      <c r="DE582" s="377"/>
      <c r="DF582" s="377"/>
      <c r="DG582" s="377"/>
      <c r="DH582" s="377"/>
      <c r="DI582" s="377"/>
      <c r="DJ582" s="377"/>
      <c r="DK582" s="331"/>
      <c r="DL582" s="332"/>
      <c r="DS582" s="81"/>
      <c r="DZ582" s="81"/>
      <c r="EA582" s="353"/>
      <c r="EB582" s="1499" t="s">
        <v>1212</v>
      </c>
      <c r="EC582" s="730" t="s">
        <v>1269</v>
      </c>
      <c r="ED582" s="731">
        <v>0.5</v>
      </c>
      <c r="EE582" s="81"/>
      <c r="EF582" s="81"/>
      <c r="EG582" s="81"/>
      <c r="EM582" s="81"/>
      <c r="EN582" s="377"/>
      <c r="EO582" s="377"/>
      <c r="EP582" s="377"/>
      <c r="EQ582" s="377"/>
      <c r="ER582" s="377"/>
      <c r="ES582" s="702"/>
      <c r="ET582" s="702"/>
      <c r="EU582" s="1023"/>
      <c r="EV582" s="377"/>
      <c r="EZ582" s="318"/>
    </row>
    <row r="583" spans="109:156" ht="36" customHeight="1">
      <c r="DE583" s="377"/>
      <c r="DF583" s="377"/>
      <c r="DG583" s="377"/>
      <c r="DH583" s="377"/>
      <c r="DI583" s="377"/>
      <c r="DJ583" s="377"/>
      <c r="DK583" s="331"/>
      <c r="DL583" s="332"/>
      <c r="DS583" s="81"/>
      <c r="DZ583" s="81"/>
      <c r="EA583" s="353"/>
      <c r="EB583" s="1499" t="s">
        <v>418</v>
      </c>
      <c r="EC583" s="730" t="s">
        <v>1269</v>
      </c>
      <c r="ED583" s="731">
        <v>0.5</v>
      </c>
      <c r="EE583" s="81"/>
      <c r="EF583" s="81"/>
      <c r="EG583" s="81"/>
      <c r="EM583" s="81"/>
      <c r="EN583" s="377"/>
      <c r="EO583" s="377"/>
      <c r="EP583" s="377"/>
      <c r="EQ583" s="377"/>
      <c r="ER583" s="377"/>
      <c r="ES583" s="702"/>
      <c r="ET583" s="702"/>
      <c r="EU583" s="1023"/>
      <c r="EV583" s="377"/>
      <c r="EZ583" s="318"/>
    </row>
    <row r="584" spans="109:156" ht="36" customHeight="1">
      <c r="DE584" s="377"/>
      <c r="DF584" s="377"/>
      <c r="DG584" s="377"/>
      <c r="DH584" s="377"/>
      <c r="DI584" s="377"/>
      <c r="DJ584" s="377"/>
      <c r="DK584" s="331"/>
      <c r="DL584" s="332"/>
      <c r="DS584" s="81"/>
      <c r="DZ584" s="81"/>
      <c r="EA584" s="353"/>
      <c r="EB584" s="1499" t="s">
        <v>74</v>
      </c>
      <c r="EC584" s="732" t="s">
        <v>1284</v>
      </c>
      <c r="ED584" s="731">
        <v>0.5</v>
      </c>
      <c r="EE584" s="81"/>
      <c r="EF584" s="81"/>
      <c r="EG584" s="81"/>
      <c r="EM584" s="81"/>
      <c r="EN584" s="377"/>
      <c r="EO584" s="377"/>
      <c r="EP584" s="377"/>
      <c r="EQ584" s="377"/>
      <c r="ER584" s="377"/>
      <c r="ES584" s="702"/>
      <c r="ET584" s="702"/>
      <c r="EU584" s="1023"/>
      <c r="EV584" s="377"/>
      <c r="EZ584" s="318"/>
    </row>
    <row r="585" spans="109:156" ht="36" customHeight="1">
      <c r="DE585" s="377"/>
      <c r="DF585" s="377"/>
      <c r="DG585" s="377"/>
      <c r="DH585" s="377"/>
      <c r="DI585" s="377"/>
      <c r="DJ585" s="377"/>
      <c r="DK585" s="331"/>
      <c r="DL585" s="332"/>
      <c r="DS585" s="81"/>
      <c r="DZ585" s="81"/>
      <c r="EA585" s="353"/>
      <c r="EB585" s="1499" t="s">
        <v>75</v>
      </c>
      <c r="EC585" s="732" t="s">
        <v>1284</v>
      </c>
      <c r="ED585" s="731">
        <v>0.5</v>
      </c>
      <c r="EE585" s="81"/>
      <c r="EF585" s="81"/>
      <c r="EG585" s="81"/>
      <c r="EM585" s="81"/>
      <c r="EN585" s="377"/>
      <c r="EO585" s="377"/>
      <c r="EP585" s="377"/>
      <c r="EQ585" s="377"/>
      <c r="ER585" s="377"/>
      <c r="ES585" s="702"/>
      <c r="ET585" s="702"/>
      <c r="EU585" s="1023"/>
      <c r="EV585" s="377"/>
      <c r="EZ585" s="318"/>
    </row>
    <row r="586" spans="109:156" ht="36" customHeight="1">
      <c r="DE586" s="377"/>
      <c r="DF586" s="377"/>
      <c r="DG586" s="377"/>
      <c r="DH586" s="377"/>
      <c r="DI586" s="377"/>
      <c r="DJ586" s="377"/>
      <c r="DK586" s="331"/>
      <c r="DL586" s="332"/>
      <c r="DS586" s="81"/>
      <c r="DZ586" s="81"/>
      <c r="EA586" s="353"/>
      <c r="EB586" s="1501" t="s">
        <v>73</v>
      </c>
      <c r="EC586" s="732" t="s">
        <v>1284</v>
      </c>
      <c r="ED586" s="731">
        <v>0.5</v>
      </c>
      <c r="EE586" s="81"/>
      <c r="EF586" s="81"/>
      <c r="EG586" s="81"/>
      <c r="EM586" s="81"/>
      <c r="EN586" s="377"/>
      <c r="EO586" s="377"/>
      <c r="EP586" s="377"/>
      <c r="EQ586" s="377"/>
      <c r="ER586" s="377"/>
      <c r="ES586" s="702"/>
      <c r="ET586" s="702"/>
      <c r="EU586" s="1023"/>
      <c r="EV586" s="377"/>
      <c r="EZ586" s="318"/>
    </row>
    <row r="587" spans="109:156" ht="36" customHeight="1">
      <c r="DE587" s="377"/>
      <c r="DF587" s="377"/>
      <c r="DG587" s="377"/>
      <c r="DH587" s="377"/>
      <c r="DI587" s="377"/>
      <c r="DJ587" s="377"/>
      <c r="DK587" s="331"/>
      <c r="DL587" s="332"/>
      <c r="DS587" s="81"/>
      <c r="DZ587" s="81"/>
      <c r="EA587" s="353"/>
      <c r="EB587" s="1501" t="s">
        <v>1560</v>
      </c>
      <c r="EC587" s="732" t="s">
        <v>1284</v>
      </c>
      <c r="ED587" s="731">
        <v>0.5</v>
      </c>
      <c r="EE587" s="81"/>
      <c r="EF587" s="81"/>
      <c r="EG587" s="81"/>
      <c r="EM587" s="81"/>
      <c r="EN587" s="377"/>
      <c r="EO587" s="377"/>
      <c r="EP587" s="377"/>
      <c r="EQ587" s="377"/>
      <c r="ER587" s="377"/>
      <c r="ES587" s="702"/>
      <c r="ET587" s="702"/>
      <c r="EU587" s="1023"/>
      <c r="EV587" s="377"/>
      <c r="EZ587" s="318"/>
    </row>
    <row r="588" spans="109:156" ht="36" customHeight="1">
      <c r="DE588" s="377"/>
      <c r="DF588" s="377"/>
      <c r="DG588" s="377"/>
      <c r="DH588" s="377"/>
      <c r="DI588" s="377"/>
      <c r="DJ588" s="377"/>
      <c r="DK588" s="331"/>
      <c r="DL588" s="332"/>
      <c r="DS588" s="81"/>
      <c r="DZ588" s="81"/>
      <c r="EA588" s="353"/>
      <c r="EB588" s="1501" t="s">
        <v>73</v>
      </c>
      <c r="EC588" s="732" t="s">
        <v>1284</v>
      </c>
      <c r="ED588" s="731">
        <v>0.5</v>
      </c>
      <c r="EE588" s="81"/>
      <c r="EF588" s="81"/>
      <c r="EG588" s="81"/>
      <c r="EM588" s="81"/>
      <c r="EN588" s="377"/>
      <c r="EO588" s="377"/>
      <c r="EP588" s="377"/>
      <c r="EQ588" s="377"/>
      <c r="ER588" s="377"/>
      <c r="ES588" s="702"/>
      <c r="ET588" s="702"/>
      <c r="EU588" s="1023"/>
      <c r="EV588" s="377"/>
      <c r="EZ588" s="318"/>
    </row>
    <row r="589" spans="109:156" ht="36" customHeight="1">
      <c r="DE589" s="377"/>
      <c r="DF589" s="377"/>
      <c r="DG589" s="377"/>
      <c r="DH589" s="377"/>
      <c r="DI589" s="377"/>
      <c r="DJ589" s="377"/>
      <c r="DK589" s="331"/>
      <c r="DL589" s="332"/>
      <c r="DS589" s="81"/>
      <c r="DZ589" s="81"/>
      <c r="EA589" s="353"/>
      <c r="EB589" s="1501" t="s">
        <v>133</v>
      </c>
      <c r="EC589" s="732" t="s">
        <v>1284</v>
      </c>
      <c r="ED589" s="731">
        <v>0.5</v>
      </c>
      <c r="EE589" s="81"/>
      <c r="EF589" s="81"/>
      <c r="EG589" s="81"/>
      <c r="EM589" s="81"/>
      <c r="EN589" s="377"/>
      <c r="EO589" s="377"/>
      <c r="EP589" s="377"/>
      <c r="EQ589" s="377"/>
      <c r="ER589" s="377"/>
      <c r="ES589" s="702"/>
      <c r="ET589" s="702"/>
      <c r="EU589" s="1023"/>
      <c r="EV589" s="377"/>
      <c r="EZ589" s="318"/>
    </row>
    <row r="590" spans="109:156" ht="36" customHeight="1">
      <c r="DE590" s="377"/>
      <c r="DF590" s="377"/>
      <c r="DG590" s="377"/>
      <c r="DH590" s="377"/>
      <c r="DI590" s="377"/>
      <c r="DJ590" s="377"/>
      <c r="DK590" s="331"/>
      <c r="DL590" s="332"/>
      <c r="DS590" s="81"/>
      <c r="DZ590" s="81"/>
      <c r="EA590" s="353"/>
      <c r="EB590" s="1501" t="s">
        <v>134</v>
      </c>
      <c r="EC590" s="732" t="s">
        <v>1284</v>
      </c>
      <c r="ED590" s="731">
        <v>0.5</v>
      </c>
      <c r="EE590" s="81"/>
      <c r="EF590" s="81"/>
      <c r="EG590" s="81"/>
      <c r="EM590" s="81"/>
      <c r="EN590" s="377"/>
      <c r="EO590" s="377"/>
      <c r="EP590" s="377"/>
      <c r="EQ590" s="377"/>
      <c r="ER590" s="377"/>
      <c r="ES590" s="702"/>
      <c r="ET590" s="702"/>
      <c r="EU590" s="1023"/>
      <c r="EV590" s="377"/>
      <c r="EZ590" s="318"/>
    </row>
    <row r="591" spans="109:156" ht="36" customHeight="1">
      <c r="DE591" s="377"/>
      <c r="DF591" s="377"/>
      <c r="DG591" s="377"/>
      <c r="DH591" s="377"/>
      <c r="DI591" s="377"/>
      <c r="DJ591" s="377"/>
      <c r="DK591" s="331"/>
      <c r="DL591" s="332"/>
      <c r="DS591" s="81"/>
      <c r="DZ591" s="81"/>
      <c r="EA591" s="353"/>
      <c r="EB591" s="1501" t="s">
        <v>187</v>
      </c>
      <c r="EC591" s="732" t="s">
        <v>1284</v>
      </c>
      <c r="ED591" s="731">
        <v>0.5</v>
      </c>
      <c r="EE591" s="81"/>
      <c r="EF591" s="81"/>
      <c r="EG591" s="81"/>
      <c r="EM591" s="81"/>
      <c r="EN591" s="377"/>
      <c r="EO591" s="377"/>
      <c r="EP591" s="377"/>
      <c r="EQ591" s="377"/>
      <c r="ER591" s="377"/>
      <c r="ES591" s="702"/>
      <c r="ET591" s="702"/>
      <c r="EU591" s="1023"/>
      <c r="EV591" s="377"/>
      <c r="EZ591" s="318"/>
    </row>
    <row r="592" spans="109:156" ht="36" customHeight="1">
      <c r="DE592" s="377"/>
      <c r="DF592" s="377"/>
      <c r="DG592" s="377"/>
      <c r="DH592" s="377"/>
      <c r="DI592" s="377"/>
      <c r="DJ592" s="377"/>
      <c r="DK592" s="331"/>
      <c r="DL592" s="332"/>
      <c r="DS592" s="81"/>
      <c r="DZ592" s="81"/>
      <c r="EA592" s="353"/>
      <c r="EB592" s="1501" t="s">
        <v>188</v>
      </c>
      <c r="EC592" s="732" t="s">
        <v>1284</v>
      </c>
      <c r="ED592" s="731">
        <v>0.5</v>
      </c>
      <c r="EE592" s="81"/>
      <c r="EF592" s="81"/>
      <c r="EG592" s="81"/>
      <c r="EM592" s="81"/>
      <c r="EN592" s="377"/>
      <c r="EO592" s="377"/>
      <c r="EP592" s="377"/>
      <c r="EQ592" s="377"/>
      <c r="ER592" s="377"/>
      <c r="ES592" s="702"/>
      <c r="ET592" s="702"/>
      <c r="EU592" s="1023"/>
      <c r="EV592" s="377"/>
      <c r="EZ592" s="318"/>
    </row>
    <row r="593" spans="109:156" ht="36" customHeight="1">
      <c r="DE593" s="377"/>
      <c r="DF593" s="377"/>
      <c r="DG593" s="377"/>
      <c r="DH593" s="377"/>
      <c r="DI593" s="377"/>
      <c r="DJ593" s="377"/>
      <c r="DK593" s="361"/>
      <c r="DL593" s="329"/>
      <c r="DS593" s="81"/>
      <c r="DZ593" s="81"/>
      <c r="EA593" s="353"/>
      <c r="EB593" s="1501" t="s">
        <v>141</v>
      </c>
      <c r="EC593" s="732" t="s">
        <v>1284</v>
      </c>
      <c r="ED593" s="731">
        <v>0.5</v>
      </c>
      <c r="EE593" s="81"/>
      <c r="EF593" s="81"/>
      <c r="EG593" s="81"/>
      <c r="EM593" s="81"/>
      <c r="EN593" s="377"/>
      <c r="EO593" s="377"/>
      <c r="EP593" s="377"/>
      <c r="EQ593" s="377"/>
      <c r="ER593" s="377"/>
      <c r="ES593" s="702"/>
      <c r="ET593" s="702"/>
      <c r="EU593" s="1023"/>
      <c r="EV593" s="377"/>
      <c r="EZ593" s="318"/>
    </row>
    <row r="594" spans="109:156" ht="36" customHeight="1">
      <c r="DE594" s="377"/>
      <c r="DF594" s="377"/>
      <c r="DG594" s="377"/>
      <c r="DH594" s="377"/>
      <c r="DI594" s="377"/>
      <c r="DJ594" s="377"/>
      <c r="DK594" s="331"/>
      <c r="DL594" s="332"/>
      <c r="DS594" s="81"/>
      <c r="DZ594" s="81"/>
      <c r="EA594" s="353"/>
      <c r="EB594" s="1501" t="s">
        <v>142</v>
      </c>
      <c r="EC594" s="732" t="s">
        <v>1284</v>
      </c>
      <c r="ED594" s="731">
        <v>0.5</v>
      </c>
      <c r="EE594" s="81"/>
      <c r="EF594" s="81"/>
      <c r="EG594" s="81"/>
      <c r="EM594" s="81"/>
      <c r="EN594" s="377"/>
      <c r="EO594" s="377"/>
      <c r="EP594" s="377"/>
      <c r="EQ594" s="377"/>
      <c r="ER594" s="377"/>
      <c r="ES594" s="702"/>
      <c r="ET594" s="702"/>
      <c r="EU594" s="1023"/>
      <c r="EV594" s="377"/>
      <c r="EZ594" s="318"/>
    </row>
    <row r="595" spans="109:156" ht="36" customHeight="1">
      <c r="DE595" s="377"/>
      <c r="DF595" s="377"/>
      <c r="DG595" s="377"/>
      <c r="DH595" s="377"/>
      <c r="DI595" s="377"/>
      <c r="DJ595" s="377"/>
      <c r="DK595" s="331"/>
      <c r="DL595" s="332"/>
      <c r="DS595" s="81"/>
      <c r="DZ595" s="81"/>
      <c r="EA595" s="353"/>
      <c r="EB595" s="1501" t="s">
        <v>135</v>
      </c>
      <c r="EC595" s="732" t="s">
        <v>1284</v>
      </c>
      <c r="ED595" s="731">
        <v>0.5</v>
      </c>
      <c r="EE595" s="81"/>
      <c r="EF595" s="81"/>
      <c r="EG595" s="81"/>
      <c r="EM595" s="81"/>
      <c r="EN595" s="377"/>
      <c r="EO595" s="377"/>
      <c r="EP595" s="377"/>
      <c r="EQ595" s="377"/>
      <c r="ER595" s="377"/>
      <c r="ES595" s="702"/>
      <c r="ET595" s="702"/>
      <c r="EU595" s="1023"/>
      <c r="EV595" s="377"/>
      <c r="EZ595" s="318"/>
    </row>
    <row r="596" spans="109:156" ht="36" customHeight="1">
      <c r="DE596" s="377"/>
      <c r="DF596" s="377"/>
      <c r="DG596" s="377"/>
      <c r="DH596" s="377"/>
      <c r="DI596" s="377"/>
      <c r="DJ596" s="377"/>
      <c r="DK596" s="331"/>
      <c r="DL596" s="332"/>
      <c r="DS596" s="81"/>
      <c r="DZ596" s="81"/>
      <c r="EA596" s="353"/>
      <c r="EB596" s="1501" t="s">
        <v>136</v>
      </c>
      <c r="EC596" s="732" t="s">
        <v>1284</v>
      </c>
      <c r="ED596" s="731">
        <v>0.5</v>
      </c>
      <c r="EE596" s="81"/>
      <c r="EF596" s="81"/>
      <c r="EG596" s="81"/>
      <c r="EM596" s="81"/>
      <c r="EN596" s="377"/>
      <c r="EO596" s="377"/>
      <c r="EP596" s="377"/>
      <c r="EQ596" s="377"/>
      <c r="ER596" s="377"/>
      <c r="ES596" s="702"/>
      <c r="ET596" s="702"/>
      <c r="EU596" s="1023"/>
      <c r="EV596" s="377"/>
      <c r="EZ596" s="318"/>
    </row>
    <row r="597" spans="109:156" ht="36" customHeight="1">
      <c r="DE597" s="377"/>
      <c r="DF597" s="377"/>
      <c r="DG597" s="377"/>
      <c r="DH597" s="377"/>
      <c r="DI597" s="377"/>
      <c r="DJ597" s="377"/>
      <c r="DK597" s="331"/>
      <c r="DL597" s="332"/>
      <c r="DS597" s="81"/>
      <c r="DZ597" s="81"/>
      <c r="EA597" s="353"/>
      <c r="EB597" s="1501" t="s">
        <v>189</v>
      </c>
      <c r="EC597" s="732" t="s">
        <v>1284</v>
      </c>
      <c r="ED597" s="731">
        <v>0.5</v>
      </c>
      <c r="EE597" s="81"/>
      <c r="EF597" s="81"/>
      <c r="EG597" s="81"/>
      <c r="EM597" s="81"/>
      <c r="EN597" s="377"/>
      <c r="EO597" s="377"/>
      <c r="EP597" s="377"/>
      <c r="EQ597" s="377"/>
      <c r="ER597" s="377"/>
      <c r="ES597" s="702"/>
      <c r="ET597" s="702"/>
      <c r="EU597" s="1023"/>
      <c r="EV597" s="377"/>
      <c r="EZ597" s="318"/>
    </row>
    <row r="598" spans="109:156" ht="36" customHeight="1">
      <c r="DE598" s="377"/>
      <c r="DF598" s="377"/>
      <c r="DG598" s="377"/>
      <c r="DH598" s="377"/>
      <c r="DI598" s="377"/>
      <c r="DJ598" s="377"/>
      <c r="DK598" s="331"/>
      <c r="DL598" s="332"/>
      <c r="DS598" s="81"/>
      <c r="DZ598" s="81"/>
      <c r="EA598" s="353"/>
      <c r="EB598" s="1501" t="s">
        <v>190</v>
      </c>
      <c r="EC598" s="732" t="s">
        <v>1284</v>
      </c>
      <c r="ED598" s="731">
        <v>0.5</v>
      </c>
      <c r="EE598" s="81"/>
      <c r="EF598" s="81"/>
      <c r="EG598" s="81"/>
      <c r="EM598" s="81"/>
      <c r="EN598" s="377"/>
      <c r="EO598" s="377"/>
      <c r="EP598" s="377"/>
      <c r="EQ598" s="377"/>
      <c r="ER598" s="377"/>
      <c r="ES598" s="702"/>
      <c r="ET598" s="702"/>
      <c r="EU598" s="1023"/>
      <c r="EV598" s="377"/>
      <c r="EZ598" s="318"/>
    </row>
    <row r="599" spans="109:156" ht="36" customHeight="1">
      <c r="DE599" s="377"/>
      <c r="DF599" s="377"/>
      <c r="DG599" s="377"/>
      <c r="DH599" s="377"/>
      <c r="DI599" s="377"/>
      <c r="DJ599" s="377"/>
      <c r="DK599" s="331"/>
      <c r="DL599" s="332"/>
      <c r="DS599" s="81"/>
      <c r="DZ599" s="81"/>
      <c r="EA599" s="353"/>
      <c r="EB599" s="1501" t="s">
        <v>137</v>
      </c>
      <c r="EC599" s="732" t="s">
        <v>1284</v>
      </c>
      <c r="ED599" s="731">
        <v>0.5</v>
      </c>
      <c r="EE599" s="81"/>
      <c r="EF599" s="81"/>
      <c r="EG599" s="81"/>
      <c r="EM599" s="81"/>
      <c r="EN599" s="377"/>
      <c r="EO599" s="377"/>
      <c r="EP599" s="377"/>
      <c r="EQ599" s="377"/>
      <c r="ER599" s="377"/>
      <c r="ES599" s="702"/>
      <c r="ET599" s="702"/>
      <c r="EU599" s="1023"/>
      <c r="EV599" s="377"/>
      <c r="EZ599" s="318"/>
    </row>
    <row r="600" spans="109:156" ht="36" customHeight="1">
      <c r="DE600" s="377"/>
      <c r="DF600" s="377"/>
      <c r="DG600" s="377"/>
      <c r="DH600" s="377"/>
      <c r="DI600" s="377"/>
      <c r="DJ600" s="377"/>
      <c r="DK600" s="361"/>
      <c r="DL600" s="329"/>
      <c r="DS600" s="81"/>
      <c r="DZ600" s="81"/>
      <c r="EA600" s="353"/>
      <c r="EB600" s="1501" t="s">
        <v>138</v>
      </c>
      <c r="EC600" s="732" t="s">
        <v>1284</v>
      </c>
      <c r="ED600" s="731">
        <v>0.5</v>
      </c>
      <c r="EE600" s="81"/>
      <c r="EF600" s="81"/>
      <c r="EG600" s="81"/>
      <c r="EM600" s="81"/>
      <c r="EN600" s="377"/>
      <c r="EO600" s="377"/>
      <c r="EP600" s="377"/>
      <c r="EQ600" s="377"/>
      <c r="ER600" s="377"/>
      <c r="ES600" s="702"/>
      <c r="ET600" s="702"/>
      <c r="EU600" s="1023"/>
      <c r="EV600" s="377"/>
      <c r="EZ600" s="318"/>
    </row>
    <row r="601" spans="109:156" ht="36" customHeight="1">
      <c r="DE601" s="377"/>
      <c r="DF601" s="377"/>
      <c r="DG601" s="377"/>
      <c r="DH601" s="377"/>
      <c r="DI601" s="377"/>
      <c r="DJ601" s="377"/>
      <c r="DK601" s="331"/>
      <c r="DL601" s="332"/>
      <c r="DS601" s="81"/>
      <c r="DZ601" s="81"/>
      <c r="EA601" s="353"/>
      <c r="EB601" s="1501" t="s">
        <v>139</v>
      </c>
      <c r="EC601" s="732" t="s">
        <v>1284</v>
      </c>
      <c r="ED601" s="731">
        <v>0.5</v>
      </c>
      <c r="EE601" s="81"/>
      <c r="EF601" s="81"/>
      <c r="EG601" s="81"/>
      <c r="EM601" s="81"/>
      <c r="EN601" s="377"/>
      <c r="EO601" s="377"/>
      <c r="EP601" s="377"/>
      <c r="EQ601" s="377"/>
      <c r="ER601" s="377"/>
      <c r="ES601" s="702"/>
      <c r="ET601" s="702"/>
      <c r="EU601" s="1023"/>
      <c r="EV601" s="377"/>
      <c r="EZ601" s="318"/>
    </row>
    <row r="602" spans="109:156" ht="36" customHeight="1">
      <c r="DE602" s="377"/>
      <c r="DF602" s="377"/>
      <c r="DG602" s="377"/>
      <c r="DH602" s="377"/>
      <c r="DI602" s="377"/>
      <c r="DJ602" s="377"/>
      <c r="DK602" s="331"/>
      <c r="DL602" s="332"/>
      <c r="DS602" s="81"/>
      <c r="DZ602" s="81"/>
      <c r="EA602" s="353"/>
      <c r="EB602" s="1501" t="s">
        <v>140</v>
      </c>
      <c r="EC602" s="732" t="s">
        <v>1284</v>
      </c>
      <c r="ED602" s="731">
        <v>0.5</v>
      </c>
      <c r="EE602" s="81"/>
      <c r="EF602" s="81"/>
      <c r="EG602" s="81"/>
      <c r="EM602" s="81"/>
      <c r="EN602" s="377"/>
      <c r="EO602" s="377"/>
      <c r="EP602" s="377"/>
      <c r="EQ602" s="377"/>
      <c r="ER602" s="377"/>
      <c r="ES602" s="702"/>
      <c r="ET602" s="702"/>
      <c r="EU602" s="1023"/>
      <c r="EV602" s="377"/>
      <c r="EZ602" s="318"/>
    </row>
    <row r="603" spans="109:156" ht="36" customHeight="1">
      <c r="DE603" s="377"/>
      <c r="DF603" s="377"/>
      <c r="DG603" s="377"/>
      <c r="DH603" s="377"/>
      <c r="DI603" s="377"/>
      <c r="DJ603" s="377"/>
      <c r="DK603" s="331"/>
      <c r="DL603" s="332"/>
      <c r="DS603" s="81"/>
      <c r="DZ603" s="81"/>
      <c r="EA603" s="353"/>
      <c r="EB603" s="1501" t="s">
        <v>1089</v>
      </c>
      <c r="EC603" s="732" t="s">
        <v>1284</v>
      </c>
      <c r="ED603" s="731">
        <v>0.5</v>
      </c>
      <c r="EE603" s="81"/>
      <c r="EF603" s="81"/>
      <c r="EG603" s="81"/>
      <c r="EM603" s="81"/>
      <c r="EN603" s="377"/>
      <c r="EO603" s="377"/>
      <c r="EP603" s="377"/>
      <c r="EQ603" s="377"/>
      <c r="ER603" s="377"/>
      <c r="ES603" s="702"/>
      <c r="ET603" s="702"/>
      <c r="EU603" s="1023"/>
      <c r="EV603" s="377"/>
      <c r="EZ603" s="318"/>
    </row>
    <row r="604" spans="109:156" ht="36" customHeight="1">
      <c r="DE604" s="377"/>
      <c r="DF604" s="377"/>
      <c r="DG604" s="377"/>
      <c r="DH604" s="377"/>
      <c r="DI604" s="377"/>
      <c r="DJ604" s="377"/>
      <c r="DK604" s="331"/>
      <c r="DL604" s="332"/>
      <c r="DS604" s="81"/>
      <c r="DZ604" s="81"/>
      <c r="EA604" s="353"/>
      <c r="EB604" s="1501" t="s">
        <v>315</v>
      </c>
      <c r="EC604" s="732" t="s">
        <v>1284</v>
      </c>
      <c r="ED604" s="731">
        <v>0.5</v>
      </c>
      <c r="EE604" s="81"/>
      <c r="EF604" s="81"/>
      <c r="EG604" s="81"/>
      <c r="EM604" s="81"/>
      <c r="EN604" s="377"/>
      <c r="EO604" s="377"/>
      <c r="EP604" s="377"/>
      <c r="EQ604" s="377"/>
      <c r="ER604" s="377"/>
      <c r="ES604" s="702"/>
      <c r="ET604" s="702"/>
      <c r="EU604" s="1023"/>
      <c r="EV604" s="377"/>
      <c r="EZ604" s="318"/>
    </row>
    <row r="605" spans="109:156" ht="36" customHeight="1">
      <c r="DE605" s="377"/>
      <c r="DF605" s="377"/>
      <c r="DG605" s="377"/>
      <c r="DH605" s="377"/>
      <c r="DI605" s="377"/>
      <c r="DJ605" s="377"/>
      <c r="DK605" s="331"/>
      <c r="DL605" s="332"/>
      <c r="DS605" s="81"/>
      <c r="DZ605" s="81"/>
      <c r="EA605" s="353"/>
      <c r="EB605" s="1501" t="s">
        <v>1090</v>
      </c>
      <c r="EC605" s="732" t="s">
        <v>1284</v>
      </c>
      <c r="ED605" s="731">
        <v>0.5</v>
      </c>
      <c r="EE605" s="81"/>
      <c r="EF605" s="81"/>
      <c r="EG605" s="81"/>
      <c r="EM605" s="81"/>
      <c r="EN605" s="377"/>
      <c r="EO605" s="377"/>
      <c r="EP605" s="377"/>
      <c r="EQ605" s="377"/>
      <c r="ER605" s="377"/>
      <c r="ES605" s="702"/>
      <c r="ET605" s="702"/>
      <c r="EU605" s="1023"/>
      <c r="EV605" s="377"/>
      <c r="EZ605" s="318"/>
    </row>
    <row r="606" spans="109:156" ht="36" customHeight="1">
      <c r="DE606" s="377"/>
      <c r="DF606" s="377"/>
      <c r="DG606" s="377"/>
      <c r="DH606" s="377"/>
      <c r="DI606" s="377"/>
      <c r="DJ606" s="377"/>
      <c r="DK606" s="331"/>
      <c r="DL606" s="332"/>
      <c r="DS606" s="81"/>
      <c r="DZ606" s="81"/>
      <c r="EA606" s="353"/>
      <c r="EB606" s="1501" t="s">
        <v>316</v>
      </c>
      <c r="EC606" s="732" t="s">
        <v>1284</v>
      </c>
      <c r="ED606" s="731">
        <v>0.5</v>
      </c>
      <c r="EE606" s="81"/>
      <c r="EF606" s="81"/>
      <c r="EG606" s="81"/>
      <c r="EM606" s="81"/>
      <c r="EN606" s="377"/>
      <c r="EO606" s="377"/>
      <c r="EP606" s="377"/>
      <c r="EQ606" s="377"/>
      <c r="ER606" s="377"/>
      <c r="ES606" s="702"/>
      <c r="ET606" s="702"/>
      <c r="EU606" s="1023"/>
      <c r="EV606" s="377"/>
      <c r="EZ606" s="318"/>
    </row>
    <row r="607" spans="109:156" ht="36" customHeight="1">
      <c r="DE607" s="377"/>
      <c r="DF607" s="377"/>
      <c r="DG607" s="377"/>
      <c r="DH607" s="377"/>
      <c r="DI607" s="377"/>
      <c r="DJ607" s="377"/>
      <c r="DK607" s="331"/>
      <c r="DL607" s="332"/>
      <c r="DS607" s="81"/>
      <c r="DZ607" s="81"/>
      <c r="EA607" s="353"/>
      <c r="EB607" s="1501" t="s">
        <v>1091</v>
      </c>
      <c r="EC607" s="732" t="s">
        <v>1284</v>
      </c>
      <c r="ED607" s="731">
        <v>0.5</v>
      </c>
      <c r="EE607" s="81"/>
      <c r="EF607" s="81"/>
      <c r="EG607" s="81"/>
      <c r="EM607" s="81"/>
      <c r="EN607" s="377"/>
      <c r="EO607" s="377"/>
      <c r="EP607" s="377"/>
      <c r="EQ607" s="377"/>
      <c r="ER607" s="377"/>
      <c r="ES607" s="702"/>
      <c r="ET607" s="702"/>
      <c r="EU607" s="1023"/>
      <c r="EV607" s="377"/>
      <c r="EZ607" s="318"/>
    </row>
    <row r="608" spans="109:156" ht="36" customHeight="1">
      <c r="DE608" s="377"/>
      <c r="DF608" s="377"/>
      <c r="DG608" s="377"/>
      <c r="DH608" s="377"/>
      <c r="DI608" s="377"/>
      <c r="DJ608" s="377"/>
      <c r="DK608" s="361"/>
      <c r="DL608" s="329"/>
      <c r="DS608" s="81"/>
      <c r="DZ608" s="81"/>
      <c r="EA608" s="353"/>
      <c r="EB608" s="1501" t="s">
        <v>73</v>
      </c>
      <c r="EC608" s="732" t="s">
        <v>1284</v>
      </c>
      <c r="ED608" s="731">
        <v>0.5</v>
      </c>
      <c r="EE608" s="81"/>
      <c r="EF608" s="81"/>
      <c r="EG608" s="81"/>
      <c r="EM608" s="81"/>
      <c r="EN608" s="377"/>
      <c r="EO608" s="377"/>
      <c r="EP608" s="377"/>
      <c r="EQ608" s="377"/>
      <c r="ER608" s="377"/>
      <c r="ES608" s="702"/>
      <c r="ET608" s="702"/>
      <c r="EU608" s="1023"/>
      <c r="EV608" s="377"/>
      <c r="EZ608" s="318"/>
    </row>
    <row r="609" spans="109:156" ht="36" customHeight="1">
      <c r="DE609" s="377"/>
      <c r="DF609" s="377"/>
      <c r="DG609" s="377"/>
      <c r="DH609" s="377"/>
      <c r="DI609" s="377"/>
      <c r="DJ609" s="377"/>
      <c r="DK609" s="331"/>
      <c r="DL609" s="332"/>
      <c r="DS609" s="81"/>
      <c r="DZ609" s="81"/>
      <c r="EA609" s="353"/>
      <c r="EB609" s="1501" t="s">
        <v>472</v>
      </c>
      <c r="EC609" s="732" t="s">
        <v>1284</v>
      </c>
      <c r="ED609" s="731">
        <v>0.5</v>
      </c>
      <c r="EE609" s="81"/>
      <c r="EF609" s="81"/>
      <c r="EG609" s="81"/>
      <c r="EM609" s="81"/>
      <c r="EN609" s="377"/>
      <c r="EO609" s="377"/>
      <c r="EP609" s="377"/>
      <c r="EQ609" s="377"/>
      <c r="ER609" s="377"/>
      <c r="ES609" s="702"/>
      <c r="ET609" s="702"/>
      <c r="EU609" s="1023"/>
      <c r="EV609" s="377"/>
      <c r="EZ609" s="318"/>
    </row>
    <row r="610" spans="109:156" ht="36" customHeight="1">
      <c r="DE610" s="377"/>
      <c r="DF610" s="377"/>
      <c r="DG610" s="377"/>
      <c r="DH610" s="377"/>
      <c r="DI610" s="377"/>
      <c r="DJ610" s="377"/>
      <c r="DK610" s="331"/>
      <c r="DL610" s="332"/>
      <c r="DS610" s="81"/>
      <c r="DZ610" s="81"/>
      <c r="EA610" s="353"/>
      <c r="EB610" s="1501" t="s">
        <v>473</v>
      </c>
      <c r="EC610" s="732" t="s">
        <v>1284</v>
      </c>
      <c r="ED610" s="731">
        <v>0.5</v>
      </c>
      <c r="EE610" s="81"/>
      <c r="EF610" s="81"/>
      <c r="EG610" s="81"/>
      <c r="EM610" s="81"/>
      <c r="EN610" s="377"/>
      <c r="EO610" s="377"/>
      <c r="EP610" s="377"/>
      <c r="EQ610" s="377"/>
      <c r="ER610" s="377"/>
      <c r="ES610" s="702"/>
      <c r="ET610" s="702"/>
      <c r="EU610" s="1023"/>
      <c r="EV610" s="377"/>
      <c r="EZ610" s="318"/>
    </row>
    <row r="611" spans="109:156" ht="36" customHeight="1">
      <c r="DE611" s="377"/>
      <c r="DF611" s="377"/>
      <c r="DG611" s="377"/>
      <c r="DH611" s="377"/>
      <c r="DI611" s="377"/>
      <c r="DJ611" s="377"/>
      <c r="DK611" s="331"/>
      <c r="DL611" s="332"/>
      <c r="DS611" s="81"/>
      <c r="DZ611" s="81"/>
      <c r="EA611" s="353"/>
      <c r="EB611" s="1501" t="s">
        <v>474</v>
      </c>
      <c r="EC611" s="732" t="s">
        <v>1284</v>
      </c>
      <c r="ED611" s="731">
        <v>0.5</v>
      </c>
      <c r="EE611" s="81"/>
      <c r="EF611" s="81"/>
      <c r="EG611" s="81"/>
      <c r="EM611" s="81"/>
      <c r="EN611" s="377"/>
      <c r="EO611" s="377"/>
      <c r="EP611" s="377"/>
      <c r="EQ611" s="377"/>
      <c r="ER611" s="377"/>
      <c r="ES611" s="702"/>
      <c r="ET611" s="702"/>
      <c r="EU611" s="1023"/>
      <c r="EV611" s="377"/>
      <c r="EZ611" s="318"/>
    </row>
    <row r="612" spans="109:156" ht="36" customHeight="1">
      <c r="DE612" s="377"/>
      <c r="DF612" s="377"/>
      <c r="DG612" s="377"/>
      <c r="DH612" s="377"/>
      <c r="DI612" s="377"/>
      <c r="DJ612" s="377"/>
      <c r="DK612" s="331"/>
      <c r="DL612" s="332"/>
      <c r="DS612" s="81"/>
      <c r="DZ612" s="81"/>
      <c r="EA612" s="353"/>
      <c r="EB612" s="1501" t="s">
        <v>475</v>
      </c>
      <c r="EC612" s="732" t="s">
        <v>1284</v>
      </c>
      <c r="ED612" s="731">
        <v>0.5</v>
      </c>
      <c r="EE612" s="81"/>
      <c r="EF612" s="81"/>
      <c r="EG612" s="81"/>
      <c r="EM612" s="81"/>
      <c r="EN612" s="377"/>
      <c r="EO612" s="377"/>
      <c r="EP612" s="377"/>
      <c r="EQ612" s="377"/>
      <c r="ER612" s="377"/>
      <c r="ES612" s="702"/>
      <c r="ET612" s="702"/>
      <c r="EU612" s="1023"/>
      <c r="EV612" s="377"/>
      <c r="EZ612" s="318"/>
    </row>
    <row r="613" spans="109:156" ht="36" customHeight="1">
      <c r="DE613" s="377"/>
      <c r="DF613" s="377"/>
      <c r="DG613" s="377"/>
      <c r="DH613" s="377"/>
      <c r="DI613" s="377"/>
      <c r="DJ613" s="377"/>
      <c r="DK613" s="331"/>
      <c r="DL613" s="332"/>
      <c r="DS613" s="81"/>
      <c r="DZ613" s="81"/>
      <c r="EA613" s="353"/>
      <c r="EB613" s="1501" t="s">
        <v>1561</v>
      </c>
      <c r="EC613" s="732" t="s">
        <v>1284</v>
      </c>
      <c r="ED613" s="731">
        <v>0.5</v>
      </c>
      <c r="EE613" s="81"/>
      <c r="EF613" s="81"/>
      <c r="EG613" s="81"/>
      <c r="EM613" s="81"/>
      <c r="EN613" s="377"/>
      <c r="EO613" s="377"/>
      <c r="EP613" s="377"/>
      <c r="EQ613" s="377"/>
      <c r="ER613" s="377"/>
      <c r="ES613" s="702"/>
      <c r="ET613" s="702"/>
      <c r="EU613" s="1023"/>
      <c r="EV613" s="377"/>
      <c r="EZ613" s="318"/>
    </row>
    <row r="614" spans="109:156" ht="36" customHeight="1">
      <c r="DE614" s="377"/>
      <c r="DF614" s="377"/>
      <c r="DG614" s="377"/>
      <c r="DH614" s="377"/>
      <c r="DI614" s="377"/>
      <c r="DJ614" s="377"/>
      <c r="DK614" s="331"/>
      <c r="DL614" s="332"/>
      <c r="DS614" s="81"/>
      <c r="DZ614" s="81"/>
      <c r="EA614" s="353"/>
      <c r="EB614" s="1501" t="s">
        <v>476</v>
      </c>
      <c r="EC614" s="732" t="s">
        <v>1284</v>
      </c>
      <c r="ED614" s="731">
        <v>0.5</v>
      </c>
      <c r="EE614" s="81"/>
      <c r="EF614" s="81"/>
      <c r="EG614" s="81"/>
      <c r="EM614" s="81"/>
      <c r="EN614" s="377"/>
      <c r="EO614" s="377"/>
      <c r="EP614" s="377"/>
      <c r="EQ614" s="377"/>
      <c r="ER614" s="377"/>
      <c r="ES614" s="702"/>
      <c r="ET614" s="702"/>
      <c r="EU614" s="1023"/>
      <c r="EV614" s="377"/>
      <c r="EZ614" s="318"/>
    </row>
    <row r="615" spans="109:156" ht="36" customHeight="1">
      <c r="DE615" s="377"/>
      <c r="DF615" s="377"/>
      <c r="DG615" s="377"/>
      <c r="DH615" s="377"/>
      <c r="DI615" s="377"/>
      <c r="DJ615" s="377"/>
      <c r="DK615" s="331"/>
      <c r="DL615" s="332"/>
      <c r="DS615" s="81"/>
      <c r="DZ615" s="81"/>
      <c r="EA615" s="353"/>
      <c r="EB615" s="1501" t="s">
        <v>1562</v>
      </c>
      <c r="EC615" s="732" t="s">
        <v>1284</v>
      </c>
      <c r="ED615" s="731">
        <v>0.5</v>
      </c>
      <c r="EE615" s="81"/>
      <c r="EF615" s="81"/>
      <c r="EG615" s="81"/>
      <c r="EM615" s="81"/>
      <c r="EN615" s="377"/>
      <c r="EO615" s="377"/>
      <c r="EP615" s="377"/>
      <c r="EQ615" s="377"/>
      <c r="ER615" s="377"/>
      <c r="ES615" s="702"/>
      <c r="ET615" s="702"/>
      <c r="EU615" s="1023"/>
      <c r="EV615" s="377"/>
      <c r="EZ615" s="318"/>
    </row>
    <row r="616" spans="109:156" ht="36" customHeight="1">
      <c r="DE616" s="377"/>
      <c r="DF616" s="377"/>
      <c r="DG616" s="377"/>
      <c r="DH616" s="377"/>
      <c r="DI616" s="377"/>
      <c r="DJ616" s="377"/>
      <c r="DK616" s="331"/>
      <c r="DL616" s="332"/>
      <c r="DS616" s="81"/>
      <c r="DZ616" s="81"/>
      <c r="EA616" s="353"/>
      <c r="EB616" s="1501" t="s">
        <v>477</v>
      </c>
      <c r="EC616" s="732" t="s">
        <v>1284</v>
      </c>
      <c r="ED616" s="731">
        <v>0.5</v>
      </c>
      <c r="EE616" s="81"/>
      <c r="EF616" s="81"/>
      <c r="EG616" s="81"/>
      <c r="EM616" s="81"/>
      <c r="EN616" s="377"/>
      <c r="EO616" s="377"/>
      <c r="EP616" s="377"/>
      <c r="EQ616" s="377"/>
      <c r="ER616" s="377"/>
      <c r="ES616" s="702"/>
      <c r="ET616" s="702"/>
      <c r="EU616" s="1023"/>
      <c r="EV616" s="377"/>
      <c r="EZ616" s="318"/>
    </row>
    <row r="617" spans="109:156" ht="36" customHeight="1">
      <c r="DE617" s="377"/>
      <c r="DF617" s="377"/>
      <c r="DG617" s="377"/>
      <c r="DH617" s="377"/>
      <c r="DI617" s="377"/>
      <c r="DJ617" s="377"/>
      <c r="DK617" s="361"/>
      <c r="DL617" s="329"/>
      <c r="DS617" s="81"/>
      <c r="DZ617" s="81"/>
      <c r="EA617" s="353"/>
      <c r="EB617" s="1501" t="s">
        <v>1562</v>
      </c>
      <c r="EC617" s="732" t="s">
        <v>1284</v>
      </c>
      <c r="ED617" s="731">
        <v>0.5</v>
      </c>
      <c r="EE617" s="81"/>
      <c r="EF617" s="81"/>
      <c r="EG617" s="81"/>
      <c r="EM617" s="81"/>
      <c r="EN617" s="377"/>
      <c r="EO617" s="377"/>
      <c r="EP617" s="377"/>
      <c r="EQ617" s="377"/>
      <c r="ER617" s="377"/>
      <c r="ES617" s="702"/>
      <c r="ET617" s="702"/>
      <c r="EU617" s="1023"/>
      <c r="EV617" s="377"/>
      <c r="EZ617" s="318"/>
    </row>
    <row r="618" spans="109:156" ht="36" customHeight="1">
      <c r="DE618" s="377"/>
      <c r="DF618" s="377"/>
      <c r="DG618" s="377"/>
      <c r="DH618" s="377"/>
      <c r="DI618" s="377"/>
      <c r="DJ618" s="377"/>
      <c r="DK618" s="330"/>
      <c r="DL618" s="329"/>
      <c r="DS618" s="81"/>
      <c r="DZ618" s="81"/>
      <c r="EA618" s="353"/>
      <c r="EB618" s="1501" t="s">
        <v>73</v>
      </c>
      <c r="EC618" s="732" t="s">
        <v>1284</v>
      </c>
      <c r="ED618" s="731">
        <v>0.5</v>
      </c>
      <c r="EE618" s="81"/>
      <c r="EF618" s="81"/>
      <c r="EG618" s="81"/>
      <c r="EM618" s="81"/>
      <c r="EN618" s="377"/>
      <c r="EO618" s="377"/>
      <c r="EP618" s="377"/>
      <c r="EQ618" s="377"/>
      <c r="ER618" s="377"/>
      <c r="ES618" s="702"/>
      <c r="ET618" s="702"/>
      <c r="EU618" s="1023"/>
      <c r="EV618" s="377"/>
      <c r="EZ618" s="318"/>
    </row>
    <row r="619" spans="109:156" ht="36" customHeight="1">
      <c r="DE619" s="377"/>
      <c r="DF619" s="377"/>
      <c r="DG619" s="377"/>
      <c r="DH619" s="377"/>
      <c r="DI619" s="377"/>
      <c r="DJ619" s="377"/>
      <c r="DK619" s="361"/>
      <c r="DL619" s="329"/>
      <c r="DS619" s="81"/>
      <c r="DZ619" s="81"/>
      <c r="EA619" s="353"/>
      <c r="EB619" s="1501" t="s">
        <v>143</v>
      </c>
      <c r="EC619" s="732" t="s">
        <v>1284</v>
      </c>
      <c r="ED619" s="731">
        <v>0.5</v>
      </c>
      <c r="EE619" s="81"/>
      <c r="EF619" s="81"/>
      <c r="EG619" s="81"/>
      <c r="EM619" s="81"/>
      <c r="EN619" s="377"/>
      <c r="EO619" s="377"/>
      <c r="EP619" s="377"/>
      <c r="EQ619" s="377"/>
      <c r="ER619" s="377"/>
      <c r="ES619" s="702"/>
      <c r="ET619" s="702"/>
      <c r="EU619" s="1023"/>
      <c r="EV619" s="377"/>
      <c r="EZ619" s="318"/>
    </row>
    <row r="620" spans="109:156" ht="36" customHeight="1">
      <c r="DE620" s="377"/>
      <c r="DF620" s="377"/>
      <c r="DG620" s="377"/>
      <c r="DH620" s="377"/>
      <c r="DI620" s="377"/>
      <c r="DJ620" s="377"/>
      <c r="DK620" s="331"/>
      <c r="DL620" s="332"/>
      <c r="DS620" s="81"/>
      <c r="DZ620" s="81"/>
      <c r="EA620" s="353"/>
      <c r="EB620" s="1501" t="s">
        <v>144</v>
      </c>
      <c r="EC620" s="732" t="s">
        <v>1284</v>
      </c>
      <c r="ED620" s="731">
        <v>0.5</v>
      </c>
      <c r="EE620" s="81"/>
      <c r="EF620" s="81"/>
      <c r="EG620" s="81"/>
      <c r="EM620" s="81"/>
      <c r="EN620" s="377"/>
      <c r="EO620" s="377"/>
      <c r="EP620" s="377"/>
      <c r="EQ620" s="377"/>
      <c r="ER620" s="377"/>
      <c r="ES620" s="702"/>
      <c r="ET620" s="702"/>
      <c r="EU620" s="1023"/>
      <c r="EV620" s="377"/>
      <c r="EZ620" s="318"/>
    </row>
    <row r="621" spans="109:156" ht="36" customHeight="1">
      <c r="DE621" s="377"/>
      <c r="DF621" s="377"/>
      <c r="DG621" s="377"/>
      <c r="DH621" s="377"/>
      <c r="DI621" s="377"/>
      <c r="DJ621" s="377"/>
      <c r="DK621" s="331"/>
      <c r="DL621" s="332"/>
      <c r="DS621" s="81"/>
      <c r="DZ621" s="81"/>
      <c r="EA621" s="353"/>
      <c r="EB621" s="1501" t="s">
        <v>145</v>
      </c>
      <c r="EC621" s="732" t="s">
        <v>1284</v>
      </c>
      <c r="ED621" s="731">
        <v>0.5</v>
      </c>
      <c r="EE621" s="81"/>
      <c r="EF621" s="81"/>
      <c r="EG621" s="81"/>
      <c r="EM621" s="81"/>
      <c r="EN621" s="377"/>
      <c r="EO621" s="377"/>
      <c r="EP621" s="377"/>
      <c r="EQ621" s="377"/>
      <c r="ER621" s="377"/>
      <c r="ES621" s="702"/>
      <c r="ET621" s="702"/>
      <c r="EU621" s="1023"/>
      <c r="EV621" s="377"/>
      <c r="EZ621" s="318"/>
    </row>
    <row r="622" spans="109:156" ht="36" customHeight="1">
      <c r="DE622" s="377"/>
      <c r="DF622" s="377"/>
      <c r="DG622" s="377"/>
      <c r="DH622" s="377"/>
      <c r="DI622" s="377"/>
      <c r="DJ622" s="377"/>
      <c r="DK622" s="331"/>
      <c r="DL622" s="332"/>
      <c r="DS622" s="81"/>
      <c r="DZ622" s="81"/>
      <c r="EA622" s="353"/>
      <c r="EB622" s="1501" t="s">
        <v>146</v>
      </c>
      <c r="EC622" s="732" t="s">
        <v>1284</v>
      </c>
      <c r="ED622" s="731">
        <v>0.5</v>
      </c>
      <c r="EE622" s="81"/>
      <c r="EF622" s="81"/>
      <c r="EG622" s="81"/>
      <c r="EM622" s="81"/>
      <c r="EN622" s="377"/>
      <c r="EO622" s="377"/>
      <c r="EP622" s="377"/>
      <c r="EQ622" s="377"/>
      <c r="ER622" s="377"/>
      <c r="ES622" s="702"/>
      <c r="ET622" s="702"/>
      <c r="EU622" s="1023"/>
      <c r="EV622" s="377"/>
      <c r="EZ622" s="318"/>
    </row>
    <row r="623" spans="109:156" ht="36" customHeight="1">
      <c r="DE623" s="377"/>
      <c r="DF623" s="377"/>
      <c r="DG623" s="377"/>
      <c r="DH623" s="377"/>
      <c r="DI623" s="377"/>
      <c r="DJ623" s="377"/>
      <c r="DK623" s="331"/>
      <c r="DL623" s="332"/>
      <c r="DS623" s="81"/>
      <c r="DZ623" s="81"/>
      <c r="EA623" s="353"/>
      <c r="EB623" s="1501" t="s">
        <v>1563</v>
      </c>
      <c r="EC623" s="732" t="s">
        <v>1284</v>
      </c>
      <c r="ED623" s="731">
        <v>0.5</v>
      </c>
      <c r="EE623" s="81"/>
      <c r="EF623" s="81"/>
      <c r="EG623" s="81"/>
      <c r="EM623" s="81"/>
      <c r="EN623" s="377"/>
      <c r="EO623" s="377"/>
      <c r="EP623" s="377"/>
      <c r="EQ623" s="377"/>
      <c r="ER623" s="377"/>
      <c r="ES623" s="702"/>
      <c r="ET623" s="702"/>
      <c r="EU623" s="1023"/>
      <c r="EV623" s="377"/>
      <c r="EZ623" s="318"/>
    </row>
    <row r="624" spans="109:156" ht="36" customHeight="1">
      <c r="DE624" s="377"/>
      <c r="DF624" s="377"/>
      <c r="DG624" s="377"/>
      <c r="DH624" s="377"/>
      <c r="DI624" s="377"/>
      <c r="DJ624" s="377"/>
      <c r="DK624" s="331"/>
      <c r="DL624" s="332"/>
      <c r="DS624" s="81"/>
      <c r="DZ624" s="81"/>
      <c r="EA624" s="353"/>
      <c r="EB624" s="1501" t="s">
        <v>147</v>
      </c>
      <c r="EC624" s="732" t="s">
        <v>1284</v>
      </c>
      <c r="ED624" s="731">
        <v>0.5</v>
      </c>
      <c r="EE624" s="81"/>
      <c r="EF624" s="81"/>
      <c r="EG624" s="81"/>
      <c r="EM624" s="81"/>
      <c r="EN624" s="377"/>
      <c r="EO624" s="377"/>
      <c r="EP624" s="377"/>
      <c r="EQ624" s="377"/>
      <c r="ER624" s="377"/>
      <c r="ES624" s="702"/>
      <c r="ET624" s="702"/>
      <c r="EU624" s="1023"/>
      <c r="EV624" s="377"/>
      <c r="EZ624" s="318"/>
    </row>
    <row r="625" spans="109:156" ht="36" customHeight="1">
      <c r="DE625" s="377"/>
      <c r="DF625" s="377"/>
      <c r="DG625" s="377"/>
      <c r="DH625" s="377"/>
      <c r="DI625" s="377"/>
      <c r="DJ625" s="377"/>
      <c r="DK625" s="331"/>
      <c r="DL625" s="332"/>
      <c r="DS625" s="81"/>
      <c r="DZ625" s="81"/>
      <c r="EA625" s="353"/>
      <c r="EB625" s="1501" t="s">
        <v>148</v>
      </c>
      <c r="EC625" s="732" t="s">
        <v>1284</v>
      </c>
      <c r="ED625" s="731">
        <v>0.5</v>
      </c>
      <c r="EE625" s="81"/>
      <c r="EF625" s="81"/>
      <c r="EG625" s="81"/>
      <c r="EM625" s="81"/>
      <c r="EN625" s="377"/>
      <c r="EO625" s="377"/>
      <c r="EP625" s="377"/>
      <c r="EQ625" s="377"/>
      <c r="ER625" s="377"/>
      <c r="ES625" s="702"/>
      <c r="ET625" s="702"/>
      <c r="EU625" s="1023"/>
      <c r="EV625" s="377"/>
      <c r="EZ625" s="318"/>
    </row>
    <row r="626" spans="109:156" ht="36" customHeight="1">
      <c r="DE626" s="377"/>
      <c r="DF626" s="377"/>
      <c r="DG626" s="377"/>
      <c r="DH626" s="377"/>
      <c r="DI626" s="377"/>
      <c r="DJ626" s="377"/>
      <c r="DK626" s="361"/>
      <c r="DL626" s="329"/>
      <c r="DS626" s="81"/>
      <c r="DZ626" s="81"/>
      <c r="EA626" s="353"/>
      <c r="EB626" s="1501" t="s">
        <v>149</v>
      </c>
      <c r="EC626" s="732" t="s">
        <v>1284</v>
      </c>
      <c r="ED626" s="731">
        <v>0.5</v>
      </c>
      <c r="EE626" s="81"/>
      <c r="EF626" s="81"/>
      <c r="EG626" s="81"/>
      <c r="EM626" s="81"/>
      <c r="EN626" s="377"/>
      <c r="EO626" s="377"/>
      <c r="EP626" s="377"/>
      <c r="EQ626" s="377"/>
      <c r="ER626" s="377"/>
      <c r="ES626" s="702"/>
      <c r="ET626" s="702"/>
      <c r="EU626" s="1023"/>
      <c r="EV626" s="377"/>
      <c r="EZ626" s="318"/>
    </row>
    <row r="627" spans="109:156" ht="36" customHeight="1">
      <c r="DE627" s="377"/>
      <c r="DF627" s="377"/>
      <c r="DG627" s="377"/>
      <c r="DH627" s="377"/>
      <c r="DI627" s="377"/>
      <c r="DJ627" s="377"/>
      <c r="DK627" s="331"/>
      <c r="DL627" s="332"/>
      <c r="DS627" s="81"/>
      <c r="DZ627" s="81"/>
      <c r="EA627" s="353"/>
      <c r="EB627" s="1501" t="s">
        <v>73</v>
      </c>
      <c r="EC627" s="732" t="s">
        <v>1284</v>
      </c>
      <c r="ED627" s="731">
        <v>0.5</v>
      </c>
      <c r="EE627" s="81"/>
      <c r="EF627" s="81"/>
      <c r="EG627" s="81"/>
      <c r="EM627" s="81"/>
      <c r="EN627" s="377"/>
      <c r="EO627" s="377"/>
      <c r="EP627" s="377"/>
      <c r="EQ627" s="377"/>
      <c r="ER627" s="377"/>
      <c r="ES627" s="702"/>
      <c r="ET627" s="702"/>
      <c r="EU627" s="1023"/>
      <c r="EV627" s="377"/>
      <c r="EZ627" s="318"/>
    </row>
    <row r="628" spans="109:156" ht="36" customHeight="1">
      <c r="DE628" s="377"/>
      <c r="DF628" s="377"/>
      <c r="DG628" s="377"/>
      <c r="DH628" s="377"/>
      <c r="DI628" s="377"/>
      <c r="DJ628" s="377"/>
      <c r="DK628" s="331"/>
      <c r="DL628" s="332"/>
      <c r="DS628" s="81"/>
      <c r="DZ628" s="81"/>
      <c r="EA628" s="353"/>
      <c r="EB628" s="1501" t="s">
        <v>150</v>
      </c>
      <c r="EC628" s="732" t="s">
        <v>1284</v>
      </c>
      <c r="ED628" s="731">
        <v>0.5</v>
      </c>
      <c r="EE628" s="81"/>
      <c r="EF628" s="81"/>
      <c r="EG628" s="81"/>
      <c r="EM628" s="81"/>
      <c r="EN628" s="377"/>
      <c r="EO628" s="377"/>
      <c r="EP628" s="377"/>
      <c r="EQ628" s="377"/>
      <c r="ER628" s="377"/>
      <c r="ES628" s="702"/>
      <c r="ET628" s="702"/>
      <c r="EU628" s="1023"/>
      <c r="EV628" s="377"/>
      <c r="EZ628" s="318"/>
    </row>
    <row r="629" spans="109:156" ht="36" customHeight="1">
      <c r="DE629" s="377"/>
      <c r="DF629" s="377"/>
      <c r="DG629" s="377"/>
      <c r="DH629" s="377"/>
      <c r="DI629" s="377"/>
      <c r="DJ629" s="377"/>
      <c r="DK629" s="331"/>
      <c r="DL629" s="332"/>
      <c r="DS629" s="81"/>
      <c r="DZ629" s="81"/>
      <c r="EA629" s="353"/>
      <c r="EB629" s="1501" t="s">
        <v>151</v>
      </c>
      <c r="EC629" s="732" t="s">
        <v>1284</v>
      </c>
      <c r="ED629" s="731">
        <v>0.5</v>
      </c>
      <c r="EE629" s="81"/>
      <c r="EF629" s="81"/>
      <c r="EG629" s="81"/>
      <c r="EM629" s="81"/>
      <c r="EN629" s="377"/>
      <c r="EO629" s="377"/>
      <c r="EP629" s="377"/>
      <c r="EQ629" s="377"/>
      <c r="ER629" s="377"/>
      <c r="ES629" s="702"/>
      <c r="ET629" s="702"/>
      <c r="EU629" s="1023"/>
      <c r="EV629" s="377"/>
      <c r="EZ629" s="318"/>
    </row>
    <row r="630" spans="109:156" ht="36" customHeight="1">
      <c r="DE630" s="377"/>
      <c r="DF630" s="377"/>
      <c r="DG630" s="377"/>
      <c r="DH630" s="377"/>
      <c r="DI630" s="377"/>
      <c r="DJ630" s="377"/>
      <c r="DK630" s="331"/>
      <c r="DL630" s="332"/>
      <c r="DS630" s="81"/>
      <c r="DZ630" s="81"/>
      <c r="EA630" s="353"/>
      <c r="EB630" s="1501" t="s">
        <v>152</v>
      </c>
      <c r="EC630" s="732" t="s">
        <v>1284</v>
      </c>
      <c r="ED630" s="731">
        <v>0.5</v>
      </c>
      <c r="EE630" s="81"/>
      <c r="EF630" s="81"/>
      <c r="EG630" s="81"/>
      <c r="EM630" s="81"/>
      <c r="EN630" s="377"/>
      <c r="EO630" s="377"/>
      <c r="EP630" s="377"/>
      <c r="EQ630" s="377"/>
      <c r="ER630" s="377"/>
      <c r="ES630" s="702"/>
      <c r="ET630" s="702"/>
      <c r="EU630" s="1023"/>
      <c r="EV630" s="377"/>
      <c r="EZ630" s="318"/>
    </row>
    <row r="631" spans="109:156" ht="36" customHeight="1">
      <c r="DE631" s="377"/>
      <c r="DF631" s="377"/>
      <c r="DG631" s="377"/>
      <c r="DH631" s="377"/>
      <c r="DI631" s="377"/>
      <c r="DJ631" s="377"/>
      <c r="DK631" s="331"/>
      <c r="DL631" s="332"/>
      <c r="DS631" s="81"/>
      <c r="DZ631" s="81"/>
      <c r="EA631" s="353"/>
      <c r="EB631" s="1501" t="s">
        <v>153</v>
      </c>
      <c r="EC631" s="732" t="s">
        <v>1284</v>
      </c>
      <c r="ED631" s="731">
        <v>0.5</v>
      </c>
      <c r="EE631" s="81"/>
      <c r="EF631" s="81"/>
      <c r="EG631" s="81"/>
      <c r="EM631" s="81"/>
      <c r="EN631" s="377"/>
      <c r="EO631" s="377"/>
      <c r="EP631" s="377"/>
      <c r="EQ631" s="377"/>
      <c r="ER631" s="377"/>
      <c r="ES631" s="702"/>
      <c r="ET631" s="702"/>
      <c r="EU631" s="1023"/>
      <c r="EV631" s="377"/>
      <c r="EZ631" s="318"/>
    </row>
    <row r="632" spans="109:156" ht="36" customHeight="1">
      <c r="DE632" s="377"/>
      <c r="DF632" s="377"/>
      <c r="DG632" s="377"/>
      <c r="DH632" s="377"/>
      <c r="DI632" s="377"/>
      <c r="DJ632" s="377"/>
      <c r="DK632" s="331"/>
      <c r="DL632" s="332"/>
      <c r="DS632" s="81"/>
      <c r="DZ632" s="81"/>
      <c r="EA632" s="353"/>
      <c r="EB632" s="1501" t="s">
        <v>154</v>
      </c>
      <c r="EC632" s="732" t="s">
        <v>1284</v>
      </c>
      <c r="ED632" s="731">
        <v>0.5</v>
      </c>
      <c r="EE632" s="81"/>
      <c r="EF632" s="81"/>
      <c r="EG632" s="81"/>
      <c r="EM632" s="81"/>
      <c r="EN632" s="377"/>
      <c r="EO632" s="377"/>
      <c r="EP632" s="377"/>
      <c r="EQ632" s="377"/>
      <c r="ER632" s="377"/>
      <c r="ES632" s="702"/>
      <c r="ET632" s="702"/>
      <c r="EU632" s="1023"/>
      <c r="EV632" s="377"/>
      <c r="EZ632" s="318"/>
    </row>
    <row r="633" spans="109:156" ht="36" customHeight="1">
      <c r="DE633" s="377"/>
      <c r="DF633" s="377"/>
      <c r="DG633" s="377"/>
      <c r="DH633" s="377"/>
      <c r="DI633" s="377"/>
      <c r="DJ633" s="377"/>
      <c r="DK633" s="361"/>
      <c r="DL633" s="329"/>
      <c r="DS633" s="81"/>
      <c r="DZ633" s="81"/>
      <c r="EA633" s="353"/>
      <c r="EB633" s="1501" t="s">
        <v>155</v>
      </c>
      <c r="EC633" s="732" t="s">
        <v>1284</v>
      </c>
      <c r="ED633" s="731">
        <v>0.5</v>
      </c>
      <c r="EE633" s="81"/>
      <c r="EF633" s="81"/>
      <c r="EG633" s="81"/>
      <c r="EM633" s="81"/>
      <c r="EN633" s="377"/>
      <c r="EO633" s="377"/>
      <c r="EP633" s="377"/>
      <c r="EQ633" s="377"/>
      <c r="ER633" s="377"/>
      <c r="ES633" s="702"/>
      <c r="ET633" s="702"/>
      <c r="EU633" s="1023"/>
      <c r="EV633" s="377"/>
      <c r="EZ633" s="318"/>
    </row>
    <row r="634" spans="109:156" ht="36" customHeight="1">
      <c r="DE634" s="377"/>
      <c r="DF634" s="377"/>
      <c r="DG634" s="377"/>
      <c r="DH634" s="377"/>
      <c r="DI634" s="377"/>
      <c r="DJ634" s="377"/>
      <c r="DK634" s="331"/>
      <c r="DL634" s="332"/>
      <c r="DS634" s="81"/>
      <c r="DZ634" s="81"/>
      <c r="EA634" s="353"/>
      <c r="EB634" s="1501" t="s">
        <v>156</v>
      </c>
      <c r="EC634" s="732" t="s">
        <v>1284</v>
      </c>
      <c r="ED634" s="731">
        <v>0.5</v>
      </c>
      <c r="EE634" s="81"/>
      <c r="EF634" s="81"/>
      <c r="EG634" s="81"/>
      <c r="EM634" s="81"/>
      <c r="EN634" s="377"/>
      <c r="EO634" s="377"/>
      <c r="EP634" s="377"/>
      <c r="EQ634" s="377"/>
      <c r="ER634" s="377"/>
      <c r="ES634" s="702"/>
      <c r="ET634" s="702"/>
      <c r="EU634" s="1023"/>
      <c r="EV634" s="377"/>
      <c r="EZ634" s="318"/>
    </row>
    <row r="635" spans="109:156" ht="36" customHeight="1">
      <c r="DE635" s="377"/>
      <c r="DF635" s="377"/>
      <c r="DG635" s="377"/>
      <c r="DH635" s="377"/>
      <c r="DI635" s="377"/>
      <c r="DJ635" s="377"/>
      <c r="DK635" s="331"/>
      <c r="DL635" s="332"/>
      <c r="DS635" s="81"/>
      <c r="DZ635" s="81"/>
      <c r="EA635" s="353"/>
      <c r="EB635" s="1501" t="s">
        <v>73</v>
      </c>
      <c r="EC635" s="732" t="s">
        <v>1284</v>
      </c>
      <c r="ED635" s="731">
        <v>0.5</v>
      </c>
      <c r="EE635" s="81"/>
      <c r="EF635" s="81"/>
      <c r="EG635" s="81"/>
      <c r="EM635" s="81"/>
      <c r="EN635" s="377"/>
      <c r="EO635" s="377"/>
      <c r="EP635" s="377"/>
      <c r="EQ635" s="377"/>
      <c r="ER635" s="377"/>
      <c r="ES635" s="702"/>
      <c r="ET635" s="702"/>
      <c r="EU635" s="1023"/>
      <c r="EV635" s="377"/>
      <c r="EZ635" s="318"/>
    </row>
    <row r="636" spans="109:156" ht="36" customHeight="1">
      <c r="DE636" s="377"/>
      <c r="DF636" s="377"/>
      <c r="DG636" s="377"/>
      <c r="DH636" s="377"/>
      <c r="DI636" s="377"/>
      <c r="DJ636" s="377"/>
      <c r="DK636" s="331"/>
      <c r="DL636" s="332"/>
      <c r="DS636" s="81"/>
      <c r="DZ636" s="81"/>
      <c r="EA636" s="353"/>
      <c r="EB636" s="1501" t="s">
        <v>157</v>
      </c>
      <c r="EC636" s="732" t="s">
        <v>1284</v>
      </c>
      <c r="ED636" s="731">
        <v>0.5</v>
      </c>
      <c r="EE636" s="81"/>
      <c r="EF636" s="81"/>
      <c r="EG636" s="81"/>
      <c r="EM636" s="81"/>
      <c r="EN636" s="377"/>
      <c r="EO636" s="377"/>
      <c r="EP636" s="377"/>
      <c r="EQ636" s="377"/>
      <c r="ER636" s="377"/>
      <c r="ES636" s="702"/>
      <c r="ET636" s="702"/>
      <c r="EU636" s="1023"/>
      <c r="EV636" s="377"/>
      <c r="EZ636" s="318"/>
    </row>
    <row r="637" spans="109:156" ht="36" customHeight="1">
      <c r="DE637" s="377"/>
      <c r="DF637" s="377"/>
      <c r="DG637" s="377"/>
      <c r="DH637" s="377"/>
      <c r="DI637" s="377"/>
      <c r="DJ637" s="377"/>
      <c r="DK637" s="331"/>
      <c r="DL637" s="332"/>
      <c r="DS637" s="81"/>
      <c r="DZ637" s="81"/>
      <c r="EA637" s="353"/>
      <c r="EB637" s="1501" t="s">
        <v>158</v>
      </c>
      <c r="EC637" s="732" t="s">
        <v>1284</v>
      </c>
      <c r="ED637" s="731">
        <v>0.5</v>
      </c>
      <c r="EE637" s="81"/>
      <c r="EF637" s="81"/>
      <c r="EG637" s="81"/>
      <c r="EM637" s="81"/>
      <c r="EN637" s="377"/>
      <c r="EO637" s="377"/>
      <c r="EP637" s="377"/>
      <c r="EQ637" s="377"/>
      <c r="ER637" s="377"/>
      <c r="ES637" s="702"/>
      <c r="ET637" s="702"/>
      <c r="EU637" s="1023"/>
      <c r="EV637" s="377"/>
      <c r="EZ637" s="318"/>
    </row>
    <row r="638" spans="109:156" ht="36" customHeight="1">
      <c r="DE638" s="377"/>
      <c r="DF638" s="377"/>
      <c r="DG638" s="377"/>
      <c r="DH638" s="377"/>
      <c r="DI638" s="377"/>
      <c r="DJ638" s="377"/>
      <c r="DK638" s="331"/>
      <c r="DL638" s="332"/>
      <c r="DS638" s="81"/>
      <c r="DZ638" s="81"/>
      <c r="EA638" s="353"/>
      <c r="EB638" s="1501" t="s">
        <v>159</v>
      </c>
      <c r="EC638" s="732" t="s">
        <v>1284</v>
      </c>
      <c r="ED638" s="731">
        <v>0.5</v>
      </c>
      <c r="EE638" s="81"/>
      <c r="EF638" s="81"/>
      <c r="EG638" s="81"/>
      <c r="EM638" s="81"/>
      <c r="EN638" s="377"/>
      <c r="EO638" s="377"/>
      <c r="EP638" s="377"/>
      <c r="EQ638" s="377"/>
      <c r="ER638" s="377"/>
      <c r="ES638" s="702"/>
      <c r="ET638" s="702"/>
      <c r="EU638" s="1023"/>
      <c r="EV638" s="377"/>
      <c r="EZ638" s="318"/>
    </row>
    <row r="639" spans="109:156" ht="36" customHeight="1">
      <c r="DE639" s="377"/>
      <c r="DF639" s="377"/>
      <c r="DG639" s="377"/>
      <c r="DH639" s="377"/>
      <c r="DI639" s="377"/>
      <c r="DJ639" s="377"/>
      <c r="DK639" s="331"/>
      <c r="DL639" s="332"/>
      <c r="DS639" s="81"/>
      <c r="DZ639" s="81"/>
      <c r="EA639" s="353"/>
      <c r="EB639" s="1501" t="s">
        <v>160</v>
      </c>
      <c r="EC639" s="732" t="s">
        <v>1284</v>
      </c>
      <c r="ED639" s="731">
        <v>0.5</v>
      </c>
      <c r="EE639" s="81"/>
      <c r="EF639" s="81"/>
      <c r="EG639" s="81"/>
      <c r="EM639" s="81"/>
      <c r="EN639" s="377"/>
      <c r="EO639" s="377"/>
      <c r="EP639" s="377"/>
      <c r="EQ639" s="377"/>
      <c r="ER639" s="377"/>
      <c r="ES639" s="702"/>
      <c r="ET639" s="702"/>
      <c r="EU639" s="1023"/>
      <c r="EV639" s="377"/>
      <c r="EZ639" s="318"/>
    </row>
    <row r="640" spans="109:156" ht="36" customHeight="1">
      <c r="DE640" s="377"/>
      <c r="DF640" s="377"/>
      <c r="DG640" s="377"/>
      <c r="DH640" s="377"/>
      <c r="DI640" s="377"/>
      <c r="DJ640" s="377"/>
      <c r="DK640" s="331"/>
      <c r="DL640" s="332"/>
      <c r="DS640" s="81"/>
      <c r="DZ640" s="81"/>
      <c r="EA640" s="353"/>
      <c r="EB640" s="1501" t="s">
        <v>161</v>
      </c>
      <c r="EC640" s="732" t="s">
        <v>1284</v>
      </c>
      <c r="ED640" s="731">
        <v>0.5</v>
      </c>
      <c r="EE640" s="81"/>
      <c r="EF640" s="81"/>
      <c r="EG640" s="81"/>
      <c r="EM640" s="81"/>
      <c r="EN640" s="377"/>
      <c r="EO640" s="377"/>
      <c r="EP640" s="377"/>
      <c r="EQ640" s="377"/>
      <c r="ER640" s="377"/>
      <c r="ES640" s="702"/>
      <c r="ET640" s="702"/>
      <c r="EU640" s="1023"/>
      <c r="EV640" s="377"/>
      <c r="EZ640" s="318"/>
    </row>
    <row r="641" spans="109:156" ht="36" customHeight="1">
      <c r="DE641" s="377"/>
      <c r="DF641" s="377"/>
      <c r="DG641" s="377"/>
      <c r="DH641" s="377"/>
      <c r="DI641" s="377"/>
      <c r="DJ641" s="377"/>
      <c r="DK641" s="705"/>
      <c r="DL641" s="329"/>
      <c r="DS641" s="81"/>
      <c r="DZ641" s="81"/>
      <c r="EA641" s="353"/>
      <c r="EB641" s="1501" t="s">
        <v>162</v>
      </c>
      <c r="EC641" s="732" t="s">
        <v>1284</v>
      </c>
      <c r="ED641" s="731">
        <v>0.5</v>
      </c>
      <c r="EE641" s="81"/>
      <c r="EF641" s="81"/>
      <c r="EG641" s="81"/>
      <c r="EM641" s="81"/>
      <c r="EN641" s="377"/>
      <c r="EO641" s="377"/>
      <c r="EP641" s="377"/>
      <c r="EQ641" s="377"/>
      <c r="ER641" s="377"/>
      <c r="ES641" s="702"/>
      <c r="ET641" s="702"/>
      <c r="EU641" s="1023"/>
      <c r="EV641" s="377"/>
      <c r="EZ641" s="318"/>
    </row>
    <row r="642" spans="109:156" ht="36" customHeight="1">
      <c r="DE642" s="377"/>
      <c r="DF642" s="377"/>
      <c r="DG642" s="377"/>
      <c r="DH642" s="377"/>
      <c r="DI642" s="377"/>
      <c r="DJ642" s="377"/>
      <c r="DK642" s="668"/>
      <c r="DL642" s="329"/>
      <c r="DS642" s="81"/>
      <c r="DZ642" s="81"/>
      <c r="EA642" s="353"/>
      <c r="EB642" s="1501" t="s">
        <v>163</v>
      </c>
      <c r="EC642" s="732" t="s">
        <v>1284</v>
      </c>
      <c r="ED642" s="731">
        <v>0.5</v>
      </c>
      <c r="EE642" s="81"/>
      <c r="EF642" s="81"/>
      <c r="EG642" s="81"/>
      <c r="EM642" s="81"/>
      <c r="EN642" s="377"/>
      <c r="EO642" s="377"/>
      <c r="EP642" s="377"/>
      <c r="EQ642" s="377"/>
      <c r="ER642" s="377"/>
      <c r="ES642" s="702"/>
      <c r="ET642" s="702"/>
      <c r="EU642" s="1023"/>
      <c r="EV642" s="377"/>
      <c r="EZ642" s="318"/>
    </row>
    <row r="643" spans="109:156" ht="36" customHeight="1">
      <c r="DE643" s="377"/>
      <c r="DF643" s="377"/>
      <c r="DG643" s="377"/>
      <c r="DH643" s="377"/>
      <c r="DI643" s="377"/>
      <c r="DJ643" s="377"/>
      <c r="DK643" s="705"/>
      <c r="DL643" s="329"/>
      <c r="DS643" s="81"/>
      <c r="DZ643" s="81"/>
      <c r="EA643" s="353"/>
      <c r="EB643" s="1501" t="s">
        <v>164</v>
      </c>
      <c r="EC643" s="732" t="s">
        <v>1284</v>
      </c>
      <c r="ED643" s="731">
        <v>0.5</v>
      </c>
      <c r="EE643" s="81"/>
      <c r="EF643" s="81"/>
      <c r="EG643" s="81"/>
      <c r="EM643" s="81"/>
      <c r="EN643" s="377"/>
      <c r="EO643" s="377"/>
      <c r="EP643" s="377"/>
      <c r="EQ643" s="377"/>
      <c r="ER643" s="377"/>
      <c r="ES643" s="702"/>
      <c r="ET643" s="702"/>
      <c r="EU643" s="1023"/>
      <c r="EV643" s="377"/>
      <c r="EZ643" s="318"/>
    </row>
    <row r="644" spans="109:156" ht="36" customHeight="1">
      <c r="DE644" s="377"/>
      <c r="DF644" s="377"/>
      <c r="DG644" s="377"/>
      <c r="DH644" s="377"/>
      <c r="DI644" s="377"/>
      <c r="DJ644" s="377"/>
      <c r="DK644" s="331"/>
      <c r="DL644" s="332"/>
      <c r="DS644" s="81"/>
      <c r="DZ644" s="81"/>
      <c r="EA644" s="353"/>
      <c r="EB644" s="1501" t="s">
        <v>73</v>
      </c>
      <c r="EC644" s="732" t="s">
        <v>1284</v>
      </c>
      <c r="ED644" s="731">
        <v>0.5</v>
      </c>
      <c r="EE644" s="81"/>
      <c r="EF644" s="81"/>
      <c r="EG644" s="81"/>
      <c r="EM644" s="81"/>
      <c r="EN644" s="377"/>
      <c r="EO644" s="377"/>
      <c r="EP644" s="377"/>
      <c r="EQ644" s="377"/>
      <c r="ER644" s="377"/>
      <c r="ES644" s="702"/>
      <c r="ET644" s="702"/>
      <c r="EU644" s="1023"/>
      <c r="EV644" s="377"/>
      <c r="EZ644" s="318"/>
    </row>
    <row r="645" spans="109:156" ht="36" customHeight="1">
      <c r="DE645" s="377"/>
      <c r="DF645" s="377"/>
      <c r="DG645" s="377"/>
      <c r="DH645" s="377"/>
      <c r="DI645" s="377"/>
      <c r="DJ645" s="377"/>
      <c r="DK645" s="331"/>
      <c r="DL645" s="332"/>
      <c r="DS645" s="81"/>
      <c r="DZ645" s="81"/>
      <c r="EA645" s="353"/>
      <c r="EB645" s="1501" t="s">
        <v>104</v>
      </c>
      <c r="EC645" s="732" t="s">
        <v>1284</v>
      </c>
      <c r="ED645" s="731">
        <v>0.5</v>
      </c>
      <c r="EE645" s="81"/>
      <c r="EF645" s="81"/>
      <c r="EG645" s="81"/>
      <c r="EM645" s="81"/>
      <c r="EN645" s="377"/>
      <c r="EO645" s="377"/>
      <c r="EP645" s="377"/>
      <c r="EQ645" s="377"/>
      <c r="ER645" s="377"/>
      <c r="ES645" s="702"/>
      <c r="ET645" s="702"/>
      <c r="EU645" s="1023"/>
      <c r="EV645" s="377"/>
      <c r="EZ645" s="318"/>
    </row>
    <row r="646" spans="109:156" ht="36" customHeight="1">
      <c r="DE646" s="377"/>
      <c r="DF646" s="377"/>
      <c r="DG646" s="377"/>
      <c r="DH646" s="377"/>
      <c r="DI646" s="377"/>
      <c r="DJ646" s="377"/>
      <c r="DK646" s="331"/>
      <c r="DL646" s="332"/>
      <c r="DS646" s="81"/>
      <c r="DZ646" s="81"/>
      <c r="EA646" s="353"/>
      <c r="EB646" s="1501" t="s">
        <v>105</v>
      </c>
      <c r="EC646" s="732" t="s">
        <v>1284</v>
      </c>
      <c r="ED646" s="731">
        <v>0.5</v>
      </c>
      <c r="EE646" s="81"/>
      <c r="EF646" s="81"/>
      <c r="EG646" s="81"/>
      <c r="EM646" s="81"/>
      <c r="EN646" s="377"/>
      <c r="EO646" s="377"/>
      <c r="EP646" s="377"/>
      <c r="EQ646" s="377"/>
      <c r="ER646" s="377"/>
      <c r="ES646" s="702"/>
      <c r="ET646" s="702"/>
      <c r="EU646" s="1023"/>
      <c r="EV646" s="377"/>
      <c r="EZ646" s="318"/>
    </row>
    <row r="647" spans="109:156" ht="36" customHeight="1">
      <c r="DE647" s="377"/>
      <c r="DF647" s="377"/>
      <c r="DG647" s="377"/>
      <c r="DH647" s="377"/>
      <c r="DI647" s="377"/>
      <c r="DJ647" s="377"/>
      <c r="DK647" s="331"/>
      <c r="DL647" s="332"/>
      <c r="DS647" s="81"/>
      <c r="DZ647" s="81"/>
      <c r="EA647" s="353"/>
      <c r="EB647" s="1501" t="s">
        <v>183</v>
      </c>
      <c r="EC647" s="732" t="s">
        <v>1284</v>
      </c>
      <c r="ED647" s="731">
        <v>0.5</v>
      </c>
      <c r="EE647" s="81"/>
      <c r="EF647" s="81"/>
      <c r="EG647" s="81"/>
      <c r="EM647" s="81"/>
      <c r="EN647" s="377"/>
      <c r="EO647" s="377"/>
      <c r="EP647" s="377"/>
      <c r="EQ647" s="377"/>
      <c r="ER647" s="377"/>
      <c r="ES647" s="702"/>
      <c r="ET647" s="702"/>
      <c r="EU647" s="1023"/>
      <c r="EV647" s="377"/>
      <c r="EZ647" s="318"/>
    </row>
    <row r="648" spans="109:156" ht="36" customHeight="1">
      <c r="DE648" s="377"/>
      <c r="DF648" s="377"/>
      <c r="DG648" s="377"/>
      <c r="DH648" s="377"/>
      <c r="DI648" s="377"/>
      <c r="DJ648" s="377"/>
      <c r="DK648" s="331"/>
      <c r="DL648" s="332"/>
      <c r="DS648" s="81"/>
      <c r="DZ648" s="81"/>
      <c r="EA648" s="353"/>
      <c r="EB648" s="1501" t="s">
        <v>184</v>
      </c>
      <c r="EC648" s="732" t="s">
        <v>1284</v>
      </c>
      <c r="ED648" s="731">
        <v>0.5</v>
      </c>
      <c r="EE648" s="81"/>
      <c r="EF648" s="81"/>
      <c r="EG648" s="81"/>
      <c r="EM648" s="81"/>
      <c r="EN648" s="377"/>
      <c r="EO648" s="377"/>
      <c r="EP648" s="377"/>
      <c r="EQ648" s="377"/>
      <c r="ER648" s="377"/>
      <c r="ES648" s="702"/>
      <c r="ET648" s="702"/>
      <c r="EU648" s="1023"/>
      <c r="EV648" s="377"/>
      <c r="EZ648" s="318"/>
    </row>
    <row r="649" spans="109:156" ht="36" customHeight="1">
      <c r="DE649" s="377"/>
      <c r="DF649" s="377"/>
      <c r="DG649" s="377"/>
      <c r="DH649" s="377"/>
      <c r="DI649" s="377"/>
      <c r="DJ649" s="377"/>
      <c r="DK649" s="331"/>
      <c r="DL649" s="332"/>
      <c r="DS649" s="81"/>
      <c r="DZ649" s="81"/>
      <c r="EA649" s="353"/>
      <c r="EB649" s="1501" t="s">
        <v>106</v>
      </c>
      <c r="EC649" s="732" t="s">
        <v>1284</v>
      </c>
      <c r="ED649" s="731">
        <v>0.5</v>
      </c>
      <c r="EE649" s="81"/>
      <c r="EF649" s="81"/>
      <c r="EG649" s="81"/>
      <c r="EM649" s="81"/>
      <c r="EN649" s="377"/>
      <c r="EO649" s="377"/>
      <c r="EP649" s="377"/>
      <c r="EQ649" s="377"/>
      <c r="ER649" s="377"/>
      <c r="ES649" s="702"/>
      <c r="ET649" s="702"/>
      <c r="EU649" s="1023"/>
      <c r="EV649" s="377"/>
      <c r="EZ649" s="318"/>
    </row>
    <row r="650" spans="109:156" ht="36" customHeight="1">
      <c r="DE650" s="377"/>
      <c r="DF650" s="377"/>
      <c r="DG650" s="377"/>
      <c r="DH650" s="377"/>
      <c r="DI650" s="377"/>
      <c r="DJ650" s="377"/>
      <c r="DK650" s="331"/>
      <c r="DL650" s="332"/>
      <c r="DS650" s="81"/>
      <c r="DZ650" s="81"/>
      <c r="EA650" s="353"/>
      <c r="EB650" s="1501" t="s">
        <v>107</v>
      </c>
      <c r="EC650" s="732" t="s">
        <v>1284</v>
      </c>
      <c r="ED650" s="731">
        <v>0.5</v>
      </c>
      <c r="EE650" s="81"/>
      <c r="EF650" s="81"/>
      <c r="EG650" s="81"/>
      <c r="EM650" s="81"/>
      <c r="EN650" s="377"/>
      <c r="EO650" s="377"/>
      <c r="EP650" s="377"/>
      <c r="EQ650" s="377"/>
      <c r="ER650" s="377"/>
      <c r="ES650" s="702"/>
      <c r="ET650" s="702"/>
      <c r="EU650" s="1023"/>
      <c r="EV650" s="377"/>
      <c r="EZ650" s="318"/>
    </row>
    <row r="651" spans="109:156" ht="36" customHeight="1">
      <c r="DE651" s="377"/>
      <c r="DF651" s="377"/>
      <c r="DG651" s="377"/>
      <c r="DH651" s="377"/>
      <c r="DI651" s="377"/>
      <c r="DJ651" s="377"/>
      <c r="DK651" s="331"/>
      <c r="DL651" s="454"/>
      <c r="DS651" s="81"/>
      <c r="DZ651" s="81"/>
      <c r="EA651" s="353"/>
      <c r="EB651" s="1501" t="s">
        <v>185</v>
      </c>
      <c r="EC651" s="732" t="s">
        <v>1284</v>
      </c>
      <c r="ED651" s="731">
        <v>0.5</v>
      </c>
      <c r="EE651" s="81"/>
      <c r="EF651" s="81"/>
      <c r="EG651" s="81"/>
      <c r="EM651" s="81"/>
      <c r="EN651" s="377"/>
      <c r="EO651" s="377"/>
      <c r="EP651" s="377"/>
      <c r="EQ651" s="377"/>
      <c r="ER651" s="377"/>
      <c r="ES651" s="702"/>
      <c r="ET651" s="702"/>
      <c r="EU651" s="1023"/>
      <c r="EV651" s="377"/>
      <c r="EZ651" s="318"/>
    </row>
    <row r="652" spans="109:156" ht="36" customHeight="1">
      <c r="DE652" s="377"/>
      <c r="DF652" s="377"/>
      <c r="DG652" s="377"/>
      <c r="DH652" s="377"/>
      <c r="DI652" s="377"/>
      <c r="DJ652" s="377"/>
      <c r="DK652" s="331"/>
      <c r="DL652" s="332"/>
      <c r="DS652" s="81"/>
      <c r="DZ652" s="81"/>
      <c r="EA652" s="353"/>
      <c r="EB652" s="1501" t="s">
        <v>186</v>
      </c>
      <c r="EC652" s="732" t="s">
        <v>1284</v>
      </c>
      <c r="ED652" s="731">
        <v>0.5</v>
      </c>
      <c r="EE652" s="81"/>
      <c r="EF652" s="81"/>
      <c r="EG652" s="81"/>
      <c r="EM652" s="81"/>
      <c r="EN652" s="377"/>
      <c r="EO652" s="377"/>
      <c r="EP652" s="377"/>
      <c r="EQ652" s="377"/>
      <c r="ER652" s="377"/>
      <c r="ES652" s="702"/>
      <c r="ET652" s="702"/>
      <c r="EU652" s="1023"/>
      <c r="EV652" s="377"/>
      <c r="EZ652" s="318"/>
    </row>
    <row r="653" spans="109:156" ht="36" customHeight="1">
      <c r="DE653" s="377"/>
      <c r="DF653" s="377"/>
      <c r="DG653" s="377"/>
      <c r="DH653" s="377"/>
      <c r="DI653" s="377"/>
      <c r="DJ653" s="377"/>
      <c r="DK653" s="331"/>
      <c r="DL653" s="332"/>
      <c r="DS653" s="81"/>
      <c r="DZ653" s="81"/>
      <c r="EA653" s="353"/>
      <c r="EB653" s="1501" t="s">
        <v>108</v>
      </c>
      <c r="EC653" s="732" t="s">
        <v>1284</v>
      </c>
      <c r="ED653" s="731">
        <v>0.5</v>
      </c>
      <c r="EE653" s="81"/>
      <c r="EF653" s="81"/>
      <c r="EG653" s="81"/>
      <c r="EM653" s="81"/>
      <c r="EN653" s="377"/>
      <c r="EO653" s="377"/>
      <c r="EP653" s="377"/>
      <c r="EQ653" s="377"/>
      <c r="ER653" s="377"/>
      <c r="ES653" s="702"/>
      <c r="ET653" s="702"/>
      <c r="EU653" s="1023"/>
      <c r="EV653" s="377"/>
      <c r="EZ653" s="318"/>
    </row>
    <row r="654" spans="109:156" ht="36" customHeight="1">
      <c r="DE654" s="377"/>
      <c r="DF654" s="377"/>
      <c r="DG654" s="377"/>
      <c r="DH654" s="377"/>
      <c r="DI654" s="377"/>
      <c r="DJ654" s="377"/>
      <c r="DK654" s="331"/>
      <c r="DL654" s="332"/>
      <c r="DS654" s="81"/>
      <c r="DZ654" s="81"/>
      <c r="EA654" s="353"/>
      <c r="EB654" s="1501" t="s">
        <v>109</v>
      </c>
      <c r="EC654" s="732" t="s">
        <v>1284</v>
      </c>
      <c r="ED654" s="731">
        <v>0.5</v>
      </c>
      <c r="EE654" s="81"/>
      <c r="EF654" s="81"/>
      <c r="EG654" s="81"/>
      <c r="EM654" s="81"/>
      <c r="EN654" s="377"/>
      <c r="EO654" s="377"/>
      <c r="EP654" s="377"/>
      <c r="EQ654" s="377"/>
      <c r="ER654" s="377"/>
      <c r="ES654" s="702"/>
      <c r="ET654" s="702"/>
      <c r="EU654" s="1023"/>
      <c r="EV654" s="377"/>
      <c r="EZ654" s="318"/>
    </row>
    <row r="655" spans="109:156" ht="36" customHeight="1">
      <c r="DE655" s="377"/>
      <c r="DF655" s="377"/>
      <c r="DG655" s="377"/>
      <c r="DH655" s="377"/>
      <c r="DI655" s="377"/>
      <c r="DJ655" s="377"/>
      <c r="DK655" s="331"/>
      <c r="DL655" s="332"/>
      <c r="DS655" s="81"/>
      <c r="DZ655" s="81"/>
      <c r="EA655" s="353"/>
      <c r="EB655" s="1501" t="s">
        <v>110</v>
      </c>
      <c r="EC655" s="732" t="s">
        <v>1284</v>
      </c>
      <c r="ED655" s="731">
        <v>0.5</v>
      </c>
      <c r="EE655" s="81"/>
      <c r="EF655" s="81"/>
      <c r="EG655" s="81"/>
      <c r="EM655" s="81"/>
      <c r="EN655" s="377"/>
      <c r="EO655" s="377"/>
      <c r="EP655" s="377"/>
      <c r="EQ655" s="377"/>
      <c r="ER655" s="377"/>
      <c r="ES655" s="702"/>
      <c r="ET655" s="702"/>
      <c r="EU655" s="1023"/>
      <c r="EV655" s="377"/>
      <c r="EZ655" s="318"/>
    </row>
    <row r="656" spans="109:156" ht="36" customHeight="1">
      <c r="DE656" s="377"/>
      <c r="DF656" s="377"/>
      <c r="DG656" s="377"/>
      <c r="DH656" s="377"/>
      <c r="DI656" s="377"/>
      <c r="DJ656" s="377"/>
      <c r="DK656" s="331"/>
      <c r="DL656" s="332"/>
      <c r="DS656" s="81"/>
      <c r="DZ656" s="81"/>
      <c r="EA656" s="353"/>
      <c r="EB656" s="1501" t="s">
        <v>111</v>
      </c>
      <c r="EC656" s="732" t="s">
        <v>1284</v>
      </c>
      <c r="ED656" s="731">
        <v>0.5</v>
      </c>
      <c r="EE656" s="81"/>
      <c r="EF656" s="81"/>
      <c r="EG656" s="81"/>
      <c r="EM656" s="81"/>
      <c r="EN656" s="377"/>
      <c r="EO656" s="377"/>
      <c r="EP656" s="377"/>
      <c r="EQ656" s="377"/>
      <c r="ER656" s="377"/>
      <c r="ES656" s="702"/>
      <c r="ET656" s="702"/>
      <c r="EU656" s="1023"/>
      <c r="EV656" s="377"/>
      <c r="EZ656" s="318"/>
    </row>
    <row r="657" spans="109:156" ht="36" customHeight="1">
      <c r="DE657" s="377"/>
      <c r="DF657" s="377"/>
      <c r="DG657" s="377"/>
      <c r="DH657" s="377"/>
      <c r="DI657" s="377"/>
      <c r="DJ657" s="377"/>
      <c r="DK657" s="331"/>
      <c r="DL657" s="332"/>
      <c r="DS657" s="81"/>
      <c r="DZ657" s="81"/>
      <c r="EA657" s="353"/>
      <c r="EB657" s="1501" t="s">
        <v>112</v>
      </c>
      <c r="EC657" s="732" t="s">
        <v>1284</v>
      </c>
      <c r="ED657" s="731">
        <v>0.5</v>
      </c>
      <c r="EE657" s="81"/>
      <c r="EF657" s="81"/>
      <c r="EG657" s="81"/>
      <c r="EM657" s="81"/>
      <c r="EN657" s="377"/>
      <c r="EO657" s="377"/>
      <c r="EP657" s="377"/>
      <c r="EQ657" s="377"/>
      <c r="ER657" s="377"/>
      <c r="ES657" s="702"/>
      <c r="ET657" s="702"/>
      <c r="EU657" s="1023"/>
      <c r="EV657" s="377"/>
      <c r="EZ657" s="318"/>
    </row>
    <row r="658" spans="109:156" ht="36" customHeight="1">
      <c r="DE658" s="377"/>
      <c r="DF658" s="377"/>
      <c r="DG658" s="377"/>
      <c r="DH658" s="377"/>
      <c r="DI658" s="377"/>
      <c r="DJ658" s="377"/>
      <c r="DK658" s="331"/>
      <c r="DL658" s="332"/>
      <c r="DS658" s="81"/>
      <c r="DZ658" s="81"/>
      <c r="EA658" s="353"/>
      <c r="EB658" s="1501" t="s">
        <v>113</v>
      </c>
      <c r="EC658" s="732" t="s">
        <v>1284</v>
      </c>
      <c r="ED658" s="731">
        <v>0.5</v>
      </c>
      <c r="EE658" s="81"/>
      <c r="EF658" s="81"/>
      <c r="EG658" s="81"/>
      <c r="EM658" s="81"/>
      <c r="EN658" s="377"/>
      <c r="EO658" s="377"/>
      <c r="EP658" s="377"/>
      <c r="EQ658" s="377"/>
      <c r="ER658" s="377"/>
      <c r="ES658" s="702"/>
      <c r="ET658" s="702"/>
      <c r="EU658" s="1023"/>
      <c r="EV658" s="377"/>
      <c r="EZ658" s="318"/>
    </row>
    <row r="659" spans="109:156" ht="36" customHeight="1">
      <c r="DE659" s="377"/>
      <c r="DF659" s="377"/>
      <c r="DG659" s="377"/>
      <c r="DH659" s="377"/>
      <c r="DI659" s="377"/>
      <c r="DJ659" s="377"/>
      <c r="DK659" s="331"/>
      <c r="DL659" s="332"/>
      <c r="DS659" s="81"/>
      <c r="DZ659" s="81"/>
      <c r="EA659" s="353"/>
      <c r="EB659" s="1501" t="s">
        <v>1290</v>
      </c>
      <c r="EC659" s="732" t="s">
        <v>1284</v>
      </c>
      <c r="ED659" s="731">
        <v>0.5</v>
      </c>
      <c r="EE659" s="81"/>
      <c r="EF659" s="81"/>
      <c r="EG659" s="81"/>
      <c r="EM659" s="81"/>
      <c r="EN659" s="377"/>
      <c r="EO659" s="377"/>
      <c r="EP659" s="377"/>
      <c r="EQ659" s="377"/>
      <c r="ER659" s="377"/>
      <c r="ES659" s="702"/>
      <c r="ET659" s="702"/>
      <c r="EU659" s="1023"/>
      <c r="EV659" s="377"/>
      <c r="EZ659" s="318"/>
    </row>
    <row r="660" spans="109:156" ht="36" customHeight="1">
      <c r="DE660" s="377"/>
      <c r="DF660" s="377"/>
      <c r="DG660" s="377"/>
      <c r="DH660" s="377"/>
      <c r="DI660" s="377"/>
      <c r="DJ660" s="377"/>
      <c r="DK660" s="331"/>
      <c r="DL660" s="454"/>
      <c r="DS660" s="81"/>
      <c r="DZ660" s="81"/>
      <c r="EA660" s="353"/>
      <c r="EB660" s="1501" t="s">
        <v>1291</v>
      </c>
      <c r="EC660" s="732" t="s">
        <v>1284</v>
      </c>
      <c r="ED660" s="731">
        <v>0.5</v>
      </c>
      <c r="EE660" s="81"/>
      <c r="EF660" s="81"/>
      <c r="EG660" s="81"/>
      <c r="EM660" s="81"/>
      <c r="EN660" s="377"/>
      <c r="EO660" s="377"/>
      <c r="EP660" s="377"/>
      <c r="EQ660" s="377"/>
      <c r="ER660" s="377"/>
      <c r="ES660" s="702"/>
      <c r="ET660" s="702"/>
      <c r="EU660" s="1023"/>
      <c r="EV660" s="377"/>
      <c r="EZ660" s="318"/>
    </row>
    <row r="661" spans="109:156" ht="36" customHeight="1">
      <c r="DE661" s="377"/>
      <c r="DF661" s="377"/>
      <c r="DG661" s="377"/>
      <c r="DH661" s="377"/>
      <c r="DI661" s="377"/>
      <c r="DJ661" s="377"/>
      <c r="DK661" s="331"/>
      <c r="DL661" s="332"/>
      <c r="DS661" s="81"/>
      <c r="DZ661" s="81"/>
      <c r="EA661" s="353"/>
      <c r="EB661" s="1501" t="s">
        <v>1292</v>
      </c>
      <c r="EC661" s="732" t="s">
        <v>1284</v>
      </c>
      <c r="ED661" s="731">
        <v>0.5</v>
      </c>
      <c r="EE661" s="81"/>
      <c r="EF661" s="81"/>
      <c r="EG661" s="81"/>
      <c r="EM661" s="81"/>
      <c r="EN661" s="377"/>
      <c r="EO661" s="377"/>
      <c r="EP661" s="377"/>
      <c r="EQ661" s="377"/>
      <c r="ER661" s="377"/>
      <c r="ES661" s="702"/>
      <c r="ET661" s="702"/>
      <c r="EU661" s="1023"/>
      <c r="EV661" s="377"/>
      <c r="EZ661" s="318"/>
    </row>
    <row r="662" spans="109:156" ht="36" customHeight="1">
      <c r="DE662" s="377"/>
      <c r="DF662" s="377"/>
      <c r="DG662" s="377"/>
      <c r="DH662" s="377"/>
      <c r="DI662" s="377"/>
      <c r="DJ662" s="377"/>
      <c r="DK662" s="331"/>
      <c r="DL662" s="332"/>
      <c r="DS662" s="81"/>
      <c r="DZ662" s="81"/>
      <c r="EA662" s="353"/>
      <c r="EB662" s="1501" t="s">
        <v>1293</v>
      </c>
      <c r="EC662" s="732" t="s">
        <v>1284</v>
      </c>
      <c r="ED662" s="731">
        <v>0.5</v>
      </c>
      <c r="EE662" s="81"/>
      <c r="EF662" s="81"/>
      <c r="EG662" s="81"/>
      <c r="EM662" s="81"/>
      <c r="EN662" s="377"/>
      <c r="EO662" s="377"/>
      <c r="EP662" s="377"/>
      <c r="EQ662" s="377"/>
      <c r="ER662" s="377"/>
      <c r="ES662" s="702"/>
      <c r="ET662" s="702"/>
      <c r="EU662" s="1023"/>
      <c r="EV662" s="377"/>
      <c r="EZ662" s="318"/>
    </row>
    <row r="663" spans="109:156" ht="36" customHeight="1">
      <c r="DE663" s="377"/>
      <c r="DF663" s="377"/>
      <c r="DG663" s="377"/>
      <c r="DH663" s="377"/>
      <c r="DI663" s="377"/>
      <c r="DJ663" s="377"/>
      <c r="DK663" s="331"/>
      <c r="DL663" s="332"/>
      <c r="DS663" s="81"/>
      <c r="DZ663" s="81"/>
      <c r="EA663" s="353"/>
      <c r="EB663" s="1501" t="s">
        <v>73</v>
      </c>
      <c r="EC663" s="732" t="s">
        <v>1284</v>
      </c>
      <c r="ED663" s="731">
        <v>0.5</v>
      </c>
      <c r="EE663" s="81"/>
      <c r="EF663" s="81"/>
      <c r="EG663" s="81"/>
      <c r="EM663" s="81"/>
      <c r="EN663" s="377"/>
      <c r="EO663" s="377"/>
      <c r="EP663" s="377"/>
      <c r="EQ663" s="377"/>
      <c r="ER663" s="377"/>
      <c r="ES663" s="702"/>
      <c r="ET663" s="702"/>
      <c r="EU663" s="1023"/>
      <c r="EV663" s="377"/>
      <c r="EZ663" s="318"/>
    </row>
    <row r="664" spans="109:156" ht="36" customHeight="1">
      <c r="DE664" s="377"/>
      <c r="DF664" s="377"/>
      <c r="DG664" s="377"/>
      <c r="DH664" s="377"/>
      <c r="DI664" s="377"/>
      <c r="DJ664" s="377"/>
      <c r="DK664" s="331"/>
      <c r="DL664" s="332"/>
      <c r="DS664" s="81"/>
      <c r="DZ664" s="81"/>
      <c r="EA664" s="353"/>
      <c r="EB664" s="1501" t="s">
        <v>126</v>
      </c>
      <c r="EC664" s="732" t="s">
        <v>1284</v>
      </c>
      <c r="ED664" s="731">
        <v>0.5</v>
      </c>
      <c r="EE664" s="81"/>
      <c r="EF664" s="81"/>
      <c r="EG664" s="81"/>
      <c r="EM664" s="81"/>
      <c r="EN664" s="377"/>
      <c r="EO664" s="377"/>
      <c r="EP664" s="377"/>
      <c r="EQ664" s="377"/>
      <c r="ER664" s="377"/>
      <c r="ES664" s="702"/>
      <c r="ET664" s="702"/>
      <c r="EU664" s="1023"/>
      <c r="EV664" s="377"/>
      <c r="EZ664" s="318"/>
    </row>
    <row r="665" spans="109:156" ht="36" customHeight="1">
      <c r="DE665" s="377"/>
      <c r="DF665" s="377"/>
      <c r="DG665" s="377"/>
      <c r="DH665" s="377"/>
      <c r="DI665" s="377"/>
      <c r="DJ665" s="377"/>
      <c r="DK665" s="331"/>
      <c r="DL665" s="332"/>
      <c r="DS665" s="81"/>
      <c r="DZ665" s="81"/>
      <c r="EA665" s="353"/>
      <c r="EB665" s="1501" t="s">
        <v>127</v>
      </c>
      <c r="EC665" s="732" t="s">
        <v>1284</v>
      </c>
      <c r="ED665" s="731">
        <v>0.5</v>
      </c>
      <c r="EE665" s="81"/>
      <c r="EF665" s="81"/>
      <c r="EG665" s="81"/>
      <c r="EM665" s="81"/>
      <c r="EN665" s="377"/>
      <c r="EO665" s="377"/>
      <c r="EP665" s="377"/>
      <c r="EQ665" s="377"/>
      <c r="ER665" s="377"/>
      <c r="ES665" s="702"/>
      <c r="ET665" s="702"/>
      <c r="EU665" s="1023"/>
      <c r="EV665" s="377"/>
      <c r="EZ665" s="318"/>
    </row>
    <row r="666" spans="109:156" ht="36" customHeight="1">
      <c r="DE666" s="377"/>
      <c r="DF666" s="377"/>
      <c r="DG666" s="377"/>
      <c r="DH666" s="377"/>
      <c r="DI666" s="377"/>
      <c r="DJ666" s="377"/>
      <c r="DK666" s="331"/>
      <c r="DL666" s="332"/>
      <c r="DS666" s="81"/>
      <c r="DZ666" s="81"/>
      <c r="EA666" s="353"/>
      <c r="EB666" s="1501" t="s">
        <v>128</v>
      </c>
      <c r="EC666" s="732" t="s">
        <v>1284</v>
      </c>
      <c r="ED666" s="731">
        <v>0.5</v>
      </c>
      <c r="EE666" s="81"/>
      <c r="EF666" s="81"/>
      <c r="EG666" s="81"/>
      <c r="EM666" s="81"/>
      <c r="EN666" s="377"/>
      <c r="EO666" s="377"/>
      <c r="EP666" s="377"/>
      <c r="EQ666" s="377"/>
      <c r="ER666" s="377"/>
      <c r="ES666" s="702"/>
      <c r="ET666" s="702"/>
      <c r="EU666" s="1023"/>
      <c r="EV666" s="377"/>
      <c r="EZ666" s="318"/>
    </row>
    <row r="667" spans="109:156" ht="36" customHeight="1">
      <c r="DE667" s="377"/>
      <c r="DF667" s="377"/>
      <c r="DG667" s="377"/>
      <c r="DH667" s="377"/>
      <c r="DI667" s="377"/>
      <c r="DJ667" s="377"/>
      <c r="DK667" s="331"/>
      <c r="DL667" s="332"/>
      <c r="DS667" s="81"/>
      <c r="DZ667" s="81"/>
      <c r="EA667" s="353"/>
      <c r="EB667" s="1501" t="s">
        <v>129</v>
      </c>
      <c r="EC667" s="732" t="s">
        <v>1284</v>
      </c>
      <c r="ED667" s="731">
        <v>0.5</v>
      </c>
      <c r="EE667" s="81"/>
      <c r="EF667" s="81"/>
      <c r="EG667" s="81"/>
      <c r="EM667" s="81"/>
      <c r="EN667" s="377"/>
      <c r="EO667" s="377"/>
      <c r="EP667" s="377"/>
      <c r="EQ667" s="377"/>
      <c r="ER667" s="377"/>
      <c r="ES667" s="702"/>
      <c r="ET667" s="702"/>
      <c r="EU667" s="1023"/>
      <c r="EV667" s="377"/>
      <c r="EZ667" s="318"/>
    </row>
    <row r="668" spans="109:156" ht="36" customHeight="1">
      <c r="DE668" s="377"/>
      <c r="DF668" s="377"/>
      <c r="DG668" s="377"/>
      <c r="DH668" s="377"/>
      <c r="DI668" s="377"/>
      <c r="DJ668" s="377"/>
      <c r="DK668" s="331"/>
      <c r="DL668" s="454"/>
      <c r="DS668" s="81"/>
      <c r="DZ668" s="81"/>
      <c r="EA668" s="353"/>
      <c r="EB668" s="1501" t="s">
        <v>130</v>
      </c>
      <c r="EC668" s="732" t="s">
        <v>1284</v>
      </c>
      <c r="ED668" s="731">
        <v>0.5</v>
      </c>
      <c r="EE668" s="81"/>
      <c r="EF668" s="81"/>
      <c r="EG668" s="81"/>
      <c r="EM668" s="81"/>
      <c r="EN668" s="377"/>
      <c r="EO668" s="377"/>
      <c r="EP668" s="377"/>
      <c r="EQ668" s="377"/>
      <c r="ER668" s="377"/>
      <c r="ES668" s="702"/>
      <c r="ET668" s="702"/>
      <c r="EU668" s="1023"/>
      <c r="EV668" s="377"/>
      <c r="EZ668" s="318"/>
    </row>
    <row r="669" spans="109:156" ht="36" customHeight="1">
      <c r="DE669" s="377"/>
      <c r="DF669" s="377"/>
      <c r="DG669" s="377"/>
      <c r="DH669" s="377"/>
      <c r="DI669" s="377"/>
      <c r="DJ669" s="377"/>
      <c r="DK669" s="331"/>
      <c r="DL669" s="332"/>
      <c r="DS669" s="81"/>
      <c r="DZ669" s="81"/>
      <c r="EA669" s="353"/>
      <c r="EB669" s="1501" t="s">
        <v>131</v>
      </c>
      <c r="EC669" s="732" t="s">
        <v>1284</v>
      </c>
      <c r="ED669" s="731">
        <v>0.5</v>
      </c>
      <c r="EE669" s="81"/>
      <c r="EF669" s="81"/>
      <c r="EG669" s="81"/>
      <c r="EM669" s="81"/>
      <c r="EN669" s="377"/>
      <c r="EO669" s="377"/>
      <c r="EP669" s="377"/>
      <c r="EQ669" s="377"/>
      <c r="ER669" s="377"/>
      <c r="ES669" s="702"/>
      <c r="ET669" s="702"/>
      <c r="EU669" s="1023"/>
      <c r="EV669" s="377"/>
      <c r="EZ669" s="318"/>
    </row>
    <row r="670" spans="109:156" ht="36" customHeight="1">
      <c r="DE670" s="377"/>
      <c r="DF670" s="377"/>
      <c r="DG670" s="377"/>
      <c r="DH670" s="377"/>
      <c r="DI670" s="377"/>
      <c r="DJ670" s="377"/>
      <c r="DK670" s="361"/>
      <c r="DL670" s="329"/>
      <c r="DS670" s="81"/>
      <c r="DZ670" s="81"/>
      <c r="EA670" s="353"/>
      <c r="EB670" s="1501" t="s">
        <v>73</v>
      </c>
      <c r="EC670" s="732" t="s">
        <v>1284</v>
      </c>
      <c r="ED670" s="731">
        <v>0.5</v>
      </c>
      <c r="EE670" s="81"/>
      <c r="EF670" s="81"/>
      <c r="EG670" s="81"/>
      <c r="EM670" s="81"/>
      <c r="EN670" s="377"/>
      <c r="EO670" s="377"/>
      <c r="EP670" s="377"/>
      <c r="EQ670" s="377"/>
      <c r="ER670" s="377"/>
      <c r="ES670" s="702"/>
      <c r="ET670" s="702"/>
      <c r="EU670" s="1023"/>
      <c r="EV670" s="377"/>
      <c r="EZ670" s="318"/>
    </row>
    <row r="671" spans="109:156" ht="36" customHeight="1">
      <c r="DE671" s="377"/>
      <c r="DF671" s="377"/>
      <c r="DG671" s="377"/>
      <c r="DH671" s="377"/>
      <c r="DI671" s="377"/>
      <c r="DJ671" s="377"/>
      <c r="DK671" s="374"/>
      <c r="DL671" s="329"/>
      <c r="DS671" s="81"/>
      <c r="DZ671" s="81"/>
      <c r="EA671" s="353"/>
      <c r="EB671" s="1501" t="s">
        <v>114</v>
      </c>
      <c r="EC671" s="732" t="s">
        <v>1284</v>
      </c>
      <c r="ED671" s="731">
        <v>0.5</v>
      </c>
      <c r="EE671" s="81"/>
      <c r="EF671" s="81"/>
      <c r="EG671" s="81"/>
      <c r="EM671" s="81"/>
      <c r="EN671" s="377"/>
      <c r="EO671" s="377"/>
      <c r="EP671" s="377"/>
      <c r="EQ671" s="377"/>
      <c r="ER671" s="377"/>
      <c r="ES671" s="702"/>
      <c r="ET671" s="702"/>
      <c r="EU671" s="1023"/>
      <c r="EV671" s="377"/>
      <c r="EZ671" s="318"/>
    </row>
    <row r="672" spans="109:156" ht="36" customHeight="1">
      <c r="DE672" s="377"/>
      <c r="DF672" s="377"/>
      <c r="DG672" s="377"/>
      <c r="DH672" s="377"/>
      <c r="DI672" s="377"/>
      <c r="DJ672" s="377"/>
      <c r="DK672" s="361"/>
      <c r="DL672" s="329"/>
      <c r="DS672" s="81"/>
      <c r="DZ672" s="81"/>
      <c r="EA672" s="353"/>
      <c r="EB672" s="1501" t="s">
        <v>115</v>
      </c>
      <c r="EC672" s="732" t="s">
        <v>1284</v>
      </c>
      <c r="ED672" s="731">
        <v>0.5</v>
      </c>
      <c r="EE672" s="81"/>
      <c r="EF672" s="81"/>
      <c r="EG672" s="81"/>
      <c r="EM672" s="81"/>
      <c r="EN672" s="377"/>
      <c r="EO672" s="377"/>
      <c r="EP672" s="377"/>
      <c r="EQ672" s="377"/>
      <c r="ER672" s="377"/>
      <c r="ES672" s="702"/>
      <c r="ET672" s="702"/>
      <c r="EU672" s="1023"/>
      <c r="EV672" s="377"/>
      <c r="EZ672" s="318"/>
    </row>
    <row r="673" spans="109:156" ht="36" customHeight="1">
      <c r="DE673" s="377"/>
      <c r="DF673" s="377"/>
      <c r="DG673" s="377"/>
      <c r="DH673" s="377"/>
      <c r="DI673" s="377"/>
      <c r="DJ673" s="377"/>
      <c r="DK673" s="331"/>
      <c r="DL673" s="332"/>
      <c r="DS673" s="81"/>
      <c r="DZ673" s="81"/>
      <c r="EA673" s="353"/>
      <c r="EB673" s="1501" t="s">
        <v>116</v>
      </c>
      <c r="EC673" s="732" t="s">
        <v>1284</v>
      </c>
      <c r="ED673" s="731">
        <v>0.5</v>
      </c>
      <c r="EE673" s="81"/>
      <c r="EF673" s="81"/>
      <c r="EG673" s="81"/>
      <c r="EM673" s="81"/>
      <c r="EN673" s="377"/>
      <c r="EO673" s="377"/>
      <c r="EP673" s="377"/>
      <c r="EQ673" s="377"/>
      <c r="ER673" s="377"/>
      <c r="ES673" s="702"/>
      <c r="ET673" s="702"/>
      <c r="EU673" s="1023"/>
      <c r="EV673" s="377"/>
      <c r="EZ673" s="318"/>
    </row>
    <row r="674" spans="109:156" ht="36" customHeight="1">
      <c r="DE674" s="377"/>
      <c r="DF674" s="377"/>
      <c r="DG674" s="377"/>
      <c r="DH674" s="377"/>
      <c r="DI674" s="377"/>
      <c r="DJ674" s="377"/>
      <c r="DK674" s="331"/>
      <c r="DL674" s="332"/>
      <c r="DS674" s="81"/>
      <c r="DZ674" s="81"/>
      <c r="EA674" s="353"/>
      <c r="EB674" s="1501" t="s">
        <v>117</v>
      </c>
      <c r="EC674" s="732" t="s">
        <v>1284</v>
      </c>
      <c r="ED674" s="731">
        <v>0.5</v>
      </c>
      <c r="EE674" s="81"/>
      <c r="EF674" s="81"/>
      <c r="EG674" s="81"/>
      <c r="EM674" s="81"/>
      <c r="EN674" s="377"/>
      <c r="EO674" s="377"/>
      <c r="EP674" s="377"/>
      <c r="EQ674" s="377"/>
      <c r="ER674" s="377"/>
      <c r="ES674" s="702"/>
      <c r="ET674" s="702"/>
      <c r="EU674" s="1023"/>
      <c r="EV674" s="377"/>
      <c r="EZ674" s="318"/>
    </row>
    <row r="675" spans="109:156" ht="36" customHeight="1">
      <c r="DE675" s="377"/>
      <c r="DF675" s="377"/>
      <c r="DG675" s="377"/>
      <c r="DH675" s="377"/>
      <c r="DI675" s="377"/>
      <c r="DJ675" s="377"/>
      <c r="DK675" s="331"/>
      <c r="DL675" s="332"/>
      <c r="DS675" s="81"/>
      <c r="DZ675" s="81"/>
      <c r="EA675" s="353"/>
      <c r="EB675" s="1501" t="s">
        <v>118</v>
      </c>
      <c r="EC675" s="732" t="s">
        <v>1284</v>
      </c>
      <c r="ED675" s="731">
        <v>0.5</v>
      </c>
      <c r="EE675" s="81"/>
      <c r="EF675" s="81"/>
      <c r="EG675" s="81"/>
      <c r="EM675" s="81"/>
      <c r="EN675" s="377"/>
      <c r="EO675" s="377"/>
      <c r="EP675" s="377"/>
      <c r="EQ675" s="377"/>
      <c r="ER675" s="377"/>
      <c r="ES675" s="702"/>
      <c r="ET675" s="702"/>
      <c r="EU675" s="1023"/>
      <c r="EV675" s="377"/>
      <c r="EZ675" s="318"/>
    </row>
    <row r="676" spans="109:156" ht="36" customHeight="1">
      <c r="DE676" s="377"/>
      <c r="DF676" s="377"/>
      <c r="DG676" s="377"/>
      <c r="DH676" s="377"/>
      <c r="DI676" s="377"/>
      <c r="DJ676" s="377"/>
      <c r="DK676" s="361"/>
      <c r="DL676" s="329"/>
      <c r="DS676" s="81"/>
      <c r="DZ676" s="81"/>
      <c r="EA676" s="353"/>
      <c r="EB676" s="1501" t="s">
        <v>119</v>
      </c>
      <c r="EC676" s="732" t="s">
        <v>1284</v>
      </c>
      <c r="ED676" s="731">
        <v>0.5</v>
      </c>
      <c r="EE676" s="81"/>
      <c r="EF676" s="81"/>
      <c r="EG676" s="81"/>
      <c r="EM676" s="81"/>
      <c r="EN676" s="377"/>
      <c r="EO676" s="377"/>
      <c r="EP676" s="377"/>
      <c r="EQ676" s="377"/>
      <c r="ER676" s="377"/>
      <c r="ES676" s="702"/>
      <c r="ET676" s="702"/>
      <c r="EU676" s="1023"/>
      <c r="EV676" s="377"/>
      <c r="EZ676" s="318"/>
    </row>
    <row r="677" spans="109:156" ht="36" customHeight="1">
      <c r="DE677" s="377"/>
      <c r="DF677" s="377"/>
      <c r="DG677" s="377"/>
      <c r="DH677" s="377"/>
      <c r="DI677" s="377"/>
      <c r="DJ677" s="377"/>
      <c r="DK677" s="374"/>
      <c r="DL677" s="329"/>
      <c r="DS677" s="81"/>
      <c r="DZ677" s="81"/>
      <c r="EA677" s="353"/>
      <c r="EB677" s="1501" t="s">
        <v>120</v>
      </c>
      <c r="EC677" s="732" t="s">
        <v>1284</v>
      </c>
      <c r="ED677" s="731">
        <v>0.5</v>
      </c>
      <c r="EE677" s="81"/>
      <c r="EF677" s="81"/>
      <c r="EG677" s="81"/>
      <c r="EM677" s="81"/>
      <c r="EN677" s="377"/>
      <c r="EO677" s="377"/>
      <c r="EP677" s="377"/>
      <c r="EQ677" s="377"/>
      <c r="ER677" s="377"/>
      <c r="ES677" s="702"/>
      <c r="ET677" s="702"/>
      <c r="EU677" s="1023"/>
      <c r="EV677" s="377"/>
      <c r="EZ677" s="318"/>
    </row>
    <row r="678" spans="109:156" ht="36" customHeight="1">
      <c r="DE678" s="377"/>
      <c r="DF678" s="377"/>
      <c r="DG678" s="377"/>
      <c r="DH678" s="377"/>
      <c r="DI678" s="377"/>
      <c r="DJ678" s="377"/>
      <c r="DK678" s="361"/>
      <c r="DL678" s="329"/>
      <c r="DS678" s="81"/>
      <c r="DZ678" s="81"/>
      <c r="EA678" s="353"/>
      <c r="EB678" s="1501" t="s">
        <v>121</v>
      </c>
      <c r="EC678" s="732" t="s">
        <v>1284</v>
      </c>
      <c r="ED678" s="731">
        <v>0.5</v>
      </c>
      <c r="EE678" s="81"/>
      <c r="EF678" s="81"/>
      <c r="EG678" s="81"/>
      <c r="EM678" s="81"/>
      <c r="EN678" s="377"/>
      <c r="EO678" s="377"/>
      <c r="EP678" s="377"/>
      <c r="EQ678" s="377"/>
      <c r="ER678" s="377"/>
      <c r="ES678" s="702"/>
      <c r="ET678" s="702"/>
      <c r="EU678" s="1023"/>
      <c r="EV678" s="377"/>
      <c r="EZ678" s="318"/>
    </row>
    <row r="679" spans="109:156" ht="36" customHeight="1">
      <c r="DE679" s="377"/>
      <c r="DF679" s="377"/>
      <c r="DG679" s="377"/>
      <c r="DH679" s="377"/>
      <c r="DI679" s="377"/>
      <c r="DJ679" s="377"/>
      <c r="DK679" s="331"/>
      <c r="DL679" s="332"/>
      <c r="DS679" s="81"/>
      <c r="DZ679" s="81"/>
      <c r="EA679" s="353"/>
      <c r="EB679" s="1501" t="s">
        <v>122</v>
      </c>
      <c r="EC679" s="732" t="s">
        <v>1284</v>
      </c>
      <c r="ED679" s="731">
        <v>0.5</v>
      </c>
      <c r="EE679" s="81"/>
      <c r="EF679" s="81"/>
      <c r="EG679" s="81"/>
      <c r="EM679" s="81"/>
      <c r="EN679" s="377"/>
      <c r="EO679" s="377"/>
      <c r="EP679" s="377"/>
      <c r="EQ679" s="377"/>
      <c r="ER679" s="377"/>
      <c r="ES679" s="702"/>
      <c r="ET679" s="702"/>
      <c r="EU679" s="1023"/>
      <c r="EV679" s="377"/>
      <c r="EZ679" s="318"/>
    </row>
    <row r="680" spans="109:156" ht="36" customHeight="1">
      <c r="DE680" s="377"/>
      <c r="DF680" s="377"/>
      <c r="DG680" s="377"/>
      <c r="DH680" s="377"/>
      <c r="DI680" s="377"/>
      <c r="DJ680" s="377"/>
      <c r="DK680" s="331"/>
      <c r="DL680" s="332"/>
      <c r="DS680" s="81"/>
      <c r="DZ680" s="81"/>
      <c r="EA680" s="353"/>
      <c r="EB680" s="1501" t="s">
        <v>123</v>
      </c>
      <c r="EC680" s="732" t="s">
        <v>1284</v>
      </c>
      <c r="ED680" s="731">
        <v>0.5</v>
      </c>
      <c r="EE680" s="81"/>
      <c r="EF680" s="81"/>
      <c r="EG680" s="81"/>
      <c r="EM680" s="81"/>
      <c r="EN680" s="377"/>
      <c r="EO680" s="377"/>
      <c r="EP680" s="377"/>
      <c r="EQ680" s="377"/>
      <c r="ER680" s="377"/>
      <c r="ES680" s="702"/>
      <c r="ET680" s="702"/>
      <c r="EU680" s="1023"/>
      <c r="EV680" s="377"/>
      <c r="EZ680" s="318"/>
    </row>
    <row r="681" spans="109:156" ht="36" customHeight="1">
      <c r="DE681" s="377"/>
      <c r="DF681" s="377"/>
      <c r="DG681" s="377"/>
      <c r="DH681" s="377"/>
      <c r="DI681" s="377"/>
      <c r="DJ681" s="377"/>
      <c r="DK681" s="331"/>
      <c r="DL681" s="332"/>
      <c r="DS681" s="81"/>
      <c r="DZ681" s="81"/>
      <c r="EA681" s="353"/>
      <c r="EB681" s="1501" t="s">
        <v>124</v>
      </c>
      <c r="EC681" s="732" t="s">
        <v>1284</v>
      </c>
      <c r="ED681" s="731">
        <v>0.5</v>
      </c>
      <c r="EE681" s="81"/>
      <c r="EF681" s="81"/>
      <c r="EG681" s="81"/>
      <c r="EM681" s="81"/>
      <c r="EN681" s="377"/>
      <c r="EO681" s="377"/>
      <c r="EP681" s="377"/>
      <c r="EQ681" s="377"/>
      <c r="ER681" s="377"/>
      <c r="ES681" s="702"/>
      <c r="ET681" s="702"/>
      <c r="EU681" s="1023"/>
      <c r="EV681" s="377"/>
      <c r="EZ681" s="318"/>
    </row>
    <row r="682" spans="109:156" ht="36" customHeight="1">
      <c r="DE682" s="377"/>
      <c r="DF682" s="377"/>
      <c r="DG682" s="377"/>
      <c r="DH682" s="377"/>
      <c r="DI682" s="377"/>
      <c r="DJ682" s="377"/>
      <c r="DK682" s="331"/>
      <c r="DL682" s="332"/>
      <c r="DS682" s="81"/>
      <c r="DZ682" s="81"/>
      <c r="EA682" s="353"/>
      <c r="EB682" s="1501" t="s">
        <v>125</v>
      </c>
      <c r="EC682" s="732" t="s">
        <v>1284</v>
      </c>
      <c r="ED682" s="731">
        <v>0.5</v>
      </c>
      <c r="EE682" s="81"/>
      <c r="EF682" s="81"/>
      <c r="EG682" s="81"/>
      <c r="EM682" s="81"/>
      <c r="EN682" s="377"/>
      <c r="EO682" s="377"/>
      <c r="EP682" s="377"/>
      <c r="EQ682" s="377"/>
      <c r="ER682" s="377"/>
      <c r="ES682" s="702"/>
      <c r="ET682" s="702"/>
      <c r="EU682" s="1023"/>
      <c r="EV682" s="377"/>
      <c r="EZ682" s="318"/>
    </row>
    <row r="683" spans="109:156" ht="36" customHeight="1">
      <c r="DE683" s="377"/>
      <c r="DF683" s="377"/>
      <c r="DG683" s="377"/>
      <c r="DH683" s="377"/>
      <c r="DI683" s="377"/>
      <c r="DJ683" s="377"/>
      <c r="DK683" s="331"/>
      <c r="DL683" s="332"/>
      <c r="DS683" s="81"/>
      <c r="DZ683" s="81"/>
      <c r="EA683" s="353"/>
      <c r="EB683" s="1501" t="s">
        <v>73</v>
      </c>
      <c r="EC683" s="732" t="s">
        <v>1284</v>
      </c>
      <c r="ED683" s="731">
        <v>0.5</v>
      </c>
      <c r="EE683" s="81"/>
      <c r="EF683" s="81"/>
      <c r="EG683" s="81"/>
      <c r="EM683" s="81"/>
      <c r="EN683" s="377"/>
      <c r="EO683" s="377"/>
      <c r="EP683" s="377"/>
      <c r="EQ683" s="377"/>
      <c r="ER683" s="377"/>
      <c r="ES683" s="702"/>
      <c r="ET683" s="702"/>
      <c r="EU683" s="1023"/>
      <c r="EV683" s="377"/>
      <c r="EZ683" s="318"/>
    </row>
    <row r="684" spans="109:156" ht="36" customHeight="1">
      <c r="DE684" s="377"/>
      <c r="DF684" s="377"/>
      <c r="DG684" s="377"/>
      <c r="DH684" s="377"/>
      <c r="DI684" s="377"/>
      <c r="DJ684" s="377"/>
      <c r="DK684" s="361"/>
      <c r="DL684" s="329"/>
      <c r="DS684" s="81"/>
      <c r="DZ684" s="81"/>
      <c r="EA684" s="353"/>
      <c r="EB684" s="1501" t="s">
        <v>460</v>
      </c>
      <c r="EC684" s="732" t="s">
        <v>1284</v>
      </c>
      <c r="ED684" s="731">
        <v>0.5</v>
      </c>
      <c r="EE684" s="81"/>
      <c r="EF684" s="81"/>
      <c r="EG684" s="81"/>
      <c r="EM684" s="81"/>
      <c r="EN684" s="377"/>
      <c r="EO684" s="377"/>
      <c r="EP684" s="377"/>
      <c r="EQ684" s="377"/>
      <c r="ER684" s="377"/>
      <c r="ES684" s="702"/>
      <c r="ET684" s="702"/>
      <c r="EU684" s="1023"/>
      <c r="EV684" s="377"/>
      <c r="EZ684" s="318"/>
    </row>
    <row r="685" spans="109:156" ht="36" customHeight="1">
      <c r="DE685" s="377"/>
      <c r="DF685" s="377"/>
      <c r="DG685" s="377"/>
      <c r="DH685" s="377"/>
      <c r="DI685" s="377"/>
      <c r="DJ685" s="377"/>
      <c r="DK685" s="331"/>
      <c r="DL685" s="332"/>
      <c r="DS685" s="81"/>
      <c r="DZ685" s="81"/>
      <c r="EA685" s="353"/>
      <c r="EB685" s="1501" t="s">
        <v>505</v>
      </c>
      <c r="EC685" s="732" t="s">
        <v>1284</v>
      </c>
      <c r="ED685" s="731">
        <v>0.5</v>
      </c>
      <c r="EE685" s="81"/>
      <c r="EF685" s="81"/>
      <c r="EG685" s="81"/>
      <c r="EM685" s="81"/>
      <c r="EN685" s="377"/>
      <c r="EO685" s="377"/>
      <c r="EP685" s="377"/>
      <c r="EQ685" s="377"/>
      <c r="ER685" s="377"/>
      <c r="ES685" s="702"/>
      <c r="ET685" s="702"/>
      <c r="EU685" s="1023"/>
      <c r="EV685" s="377"/>
      <c r="EZ685" s="318"/>
    </row>
    <row r="686" spans="109:156" ht="36" customHeight="1">
      <c r="DE686" s="377"/>
      <c r="DF686" s="377"/>
      <c r="DG686" s="377"/>
      <c r="DH686" s="377"/>
      <c r="DI686" s="377"/>
      <c r="DJ686" s="377"/>
      <c r="DK686" s="371"/>
      <c r="DL686" s="332"/>
      <c r="DS686" s="81"/>
      <c r="DZ686" s="81"/>
      <c r="EA686" s="353"/>
      <c r="EB686" s="1501" t="s">
        <v>468</v>
      </c>
      <c r="EC686" s="732" t="s">
        <v>1284</v>
      </c>
      <c r="ED686" s="731">
        <v>0.5</v>
      </c>
      <c r="EE686" s="81"/>
      <c r="EF686" s="81"/>
      <c r="EG686" s="81"/>
      <c r="EM686" s="81"/>
      <c r="EN686" s="377"/>
      <c r="EO686" s="377"/>
      <c r="EP686" s="377"/>
      <c r="EQ686" s="377"/>
      <c r="ER686" s="377"/>
      <c r="ES686" s="702"/>
      <c r="ET686" s="702"/>
      <c r="EU686" s="1023"/>
      <c r="EV686" s="377"/>
      <c r="EZ686" s="318"/>
    </row>
    <row r="687" spans="109:156" ht="36" customHeight="1">
      <c r="DE687" s="377"/>
      <c r="DF687" s="377"/>
      <c r="DG687" s="377"/>
      <c r="DH687" s="377"/>
      <c r="DI687" s="377"/>
      <c r="DJ687" s="377"/>
      <c r="DS687" s="81"/>
      <c r="DZ687" s="81"/>
      <c r="EA687" s="353"/>
      <c r="EB687" s="1501" t="s">
        <v>469</v>
      </c>
      <c r="EC687" s="732" t="s">
        <v>1284</v>
      </c>
      <c r="ED687" s="731">
        <v>0.5</v>
      </c>
      <c r="EE687" s="81"/>
      <c r="EF687" s="81"/>
      <c r="EG687" s="81"/>
      <c r="EM687" s="81"/>
      <c r="EN687" s="377"/>
      <c r="EO687" s="377"/>
      <c r="EP687" s="377"/>
      <c r="EQ687" s="377"/>
      <c r="ER687" s="377"/>
      <c r="ES687" s="702"/>
      <c r="ET687" s="702"/>
      <c r="EU687" s="1023"/>
      <c r="EV687" s="377"/>
      <c r="EZ687" s="318"/>
    </row>
    <row r="688" spans="109:156" ht="36" customHeight="1">
      <c r="DE688" s="377"/>
      <c r="DF688" s="377"/>
      <c r="DG688" s="377"/>
      <c r="DH688" s="377"/>
      <c r="DI688" s="377"/>
      <c r="DJ688" s="377"/>
      <c r="DS688" s="81"/>
      <c r="DZ688" s="81"/>
      <c r="EA688" s="353"/>
      <c r="EB688" s="1501" t="s">
        <v>775</v>
      </c>
      <c r="EC688" s="732" t="s">
        <v>1284</v>
      </c>
      <c r="ED688" s="731">
        <v>0.5</v>
      </c>
      <c r="EE688" s="81"/>
      <c r="EF688" s="81"/>
      <c r="EG688" s="81"/>
      <c r="EM688" s="81"/>
      <c r="EN688" s="377"/>
      <c r="EO688" s="377"/>
      <c r="EP688" s="377"/>
      <c r="EQ688" s="377"/>
      <c r="ER688" s="377"/>
      <c r="ES688" s="702"/>
      <c r="ET688" s="702"/>
      <c r="EU688" s="1023"/>
      <c r="EV688" s="377"/>
      <c r="EZ688" s="318"/>
    </row>
    <row r="689" spans="109:156" ht="36" customHeight="1">
      <c r="DE689" s="377"/>
      <c r="DF689" s="377"/>
      <c r="DG689" s="377"/>
      <c r="DH689" s="377"/>
      <c r="DI689" s="377"/>
      <c r="DJ689" s="377"/>
      <c r="DS689" s="81"/>
      <c r="DZ689" s="81"/>
      <c r="EA689" s="353"/>
      <c r="EB689" s="1501" t="s">
        <v>774</v>
      </c>
      <c r="EC689" s="732" t="s">
        <v>1284</v>
      </c>
      <c r="ED689" s="731">
        <v>0.5</v>
      </c>
      <c r="EE689" s="81"/>
      <c r="EF689" s="81"/>
      <c r="EG689" s="81"/>
      <c r="EM689" s="81"/>
      <c r="EN689" s="377"/>
      <c r="EO689" s="377"/>
      <c r="EP689" s="377"/>
      <c r="EQ689" s="377"/>
      <c r="ER689" s="377"/>
      <c r="ES689" s="702"/>
      <c r="ET689" s="702"/>
      <c r="EU689" s="1023"/>
      <c r="EV689" s="377"/>
      <c r="EZ689" s="318"/>
    </row>
    <row r="690" spans="109:156" ht="36" customHeight="1">
      <c r="DE690" s="377"/>
      <c r="DF690" s="377"/>
      <c r="DG690" s="377"/>
      <c r="DH690" s="377"/>
      <c r="DI690" s="377"/>
      <c r="DJ690" s="377"/>
      <c r="DS690" s="81"/>
      <c r="DZ690" s="81"/>
      <c r="EA690" s="353"/>
      <c r="EB690" s="1501" t="s">
        <v>506</v>
      </c>
      <c r="EC690" s="732" t="s">
        <v>1284</v>
      </c>
      <c r="ED690" s="731">
        <v>0.5</v>
      </c>
      <c r="EE690" s="81"/>
      <c r="EF690" s="81"/>
      <c r="EG690" s="81"/>
      <c r="EM690" s="81"/>
      <c r="EN690" s="377"/>
      <c r="EO690" s="377"/>
      <c r="EP690" s="377"/>
      <c r="EQ690" s="377"/>
      <c r="ER690" s="377"/>
      <c r="ES690" s="702"/>
      <c r="ET690" s="702"/>
      <c r="EU690" s="1023"/>
      <c r="EV690" s="377"/>
      <c r="EZ690" s="318"/>
    </row>
    <row r="691" spans="109:156" ht="36" customHeight="1">
      <c r="DE691" s="377"/>
      <c r="DF691" s="377"/>
      <c r="DG691" s="377"/>
      <c r="DH691" s="377"/>
      <c r="DI691" s="377"/>
      <c r="DJ691" s="377"/>
      <c r="DS691" s="81"/>
      <c r="DZ691" s="81"/>
      <c r="EA691" s="353"/>
      <c r="EB691" s="1501" t="s">
        <v>508</v>
      </c>
      <c r="EC691" s="732" t="s">
        <v>1284</v>
      </c>
      <c r="ED691" s="731">
        <v>0.5</v>
      </c>
      <c r="EE691" s="81"/>
      <c r="EF691" s="81"/>
      <c r="EG691" s="81"/>
      <c r="EM691" s="81"/>
      <c r="EN691" s="377"/>
      <c r="EO691" s="377"/>
      <c r="EP691" s="377"/>
      <c r="EQ691" s="377"/>
      <c r="ER691" s="377"/>
      <c r="ES691" s="702"/>
      <c r="ET691" s="702"/>
      <c r="EU691" s="1023"/>
      <c r="EV691" s="377"/>
      <c r="EZ691" s="318"/>
    </row>
    <row r="692" spans="109:156" ht="36" customHeight="1">
      <c r="DE692" s="377"/>
      <c r="DF692" s="377"/>
      <c r="DG692" s="377"/>
      <c r="DH692" s="377"/>
      <c r="DI692" s="377"/>
      <c r="DJ692" s="377"/>
      <c r="DS692" s="81"/>
      <c r="DZ692" s="81"/>
      <c r="EA692" s="353"/>
      <c r="EB692" s="1501" t="s">
        <v>507</v>
      </c>
      <c r="EC692" s="732" t="s">
        <v>1284</v>
      </c>
      <c r="ED692" s="731">
        <v>0.5</v>
      </c>
      <c r="EE692" s="81"/>
      <c r="EF692" s="81"/>
      <c r="EG692" s="81"/>
      <c r="EM692" s="81"/>
      <c r="EN692" s="377"/>
      <c r="EO692" s="377"/>
      <c r="EP692" s="377"/>
      <c r="EQ692" s="377"/>
      <c r="ER692" s="377"/>
      <c r="ES692" s="702"/>
      <c r="ET692" s="702"/>
      <c r="EU692" s="1023"/>
      <c r="EV692" s="377"/>
      <c r="EZ692" s="318"/>
    </row>
    <row r="693" spans="109:156" ht="36" customHeight="1">
      <c r="DE693" s="377"/>
      <c r="DF693" s="377"/>
      <c r="DG693" s="377"/>
      <c r="DH693" s="377"/>
      <c r="DI693" s="377"/>
      <c r="DJ693" s="377"/>
      <c r="DS693" s="81"/>
      <c r="DZ693" s="81"/>
      <c r="EA693" s="353"/>
      <c r="EB693" s="1501" t="s">
        <v>509</v>
      </c>
      <c r="EC693" s="732" t="s">
        <v>1284</v>
      </c>
      <c r="ED693" s="731">
        <v>0.5</v>
      </c>
      <c r="EE693" s="81"/>
      <c r="EF693" s="81"/>
      <c r="EG693" s="81"/>
      <c r="EM693" s="81"/>
      <c r="EN693" s="377"/>
      <c r="EO693" s="377"/>
      <c r="EP693" s="377"/>
      <c r="EQ693" s="377"/>
      <c r="ER693" s="377"/>
      <c r="ES693" s="702"/>
      <c r="ET693" s="702"/>
      <c r="EU693" s="1023"/>
      <c r="EV693" s="377"/>
      <c r="EZ693" s="318"/>
    </row>
    <row r="694" spans="109:156" ht="36" customHeight="1">
      <c r="DE694" s="377"/>
      <c r="DF694" s="377"/>
      <c r="DG694" s="377"/>
      <c r="DH694" s="377"/>
      <c r="DI694" s="377"/>
      <c r="DJ694" s="377"/>
      <c r="DS694" s="81"/>
      <c r="DZ694" s="81"/>
      <c r="EA694" s="353"/>
      <c r="EB694" s="1501" t="s">
        <v>510</v>
      </c>
      <c r="EC694" s="732" t="s">
        <v>1284</v>
      </c>
      <c r="ED694" s="731">
        <v>0.5</v>
      </c>
      <c r="EE694" s="81"/>
      <c r="EF694" s="81"/>
      <c r="EG694" s="81"/>
      <c r="EM694" s="81"/>
      <c r="EN694" s="377"/>
      <c r="EO694" s="377"/>
      <c r="EP694" s="377"/>
      <c r="EQ694" s="377"/>
      <c r="ER694" s="377"/>
      <c r="ES694" s="702"/>
      <c r="ET694" s="702"/>
      <c r="EU694" s="1023"/>
      <c r="EV694" s="377"/>
      <c r="EZ694" s="318"/>
    </row>
    <row r="695" spans="109:156" ht="36" customHeight="1">
      <c r="DE695" s="377"/>
      <c r="DF695" s="377"/>
      <c r="DG695" s="377"/>
      <c r="DH695" s="377"/>
      <c r="DI695" s="377"/>
      <c r="DJ695" s="377"/>
      <c r="DS695" s="81"/>
      <c r="DZ695" s="81"/>
      <c r="EA695" s="353"/>
      <c r="EB695" s="1501" t="s">
        <v>511</v>
      </c>
      <c r="EC695" s="732" t="s">
        <v>1284</v>
      </c>
      <c r="ED695" s="731">
        <v>0.5</v>
      </c>
      <c r="EE695" s="81"/>
      <c r="EF695" s="81"/>
      <c r="EG695" s="81"/>
      <c r="EM695" s="81"/>
      <c r="EN695" s="377"/>
      <c r="EO695" s="377"/>
      <c r="EP695" s="377"/>
      <c r="EQ695" s="377"/>
      <c r="ER695" s="377"/>
      <c r="ES695" s="702"/>
      <c r="ET695" s="702"/>
      <c r="EU695" s="1023"/>
      <c r="EV695" s="377"/>
      <c r="EZ695" s="318"/>
    </row>
    <row r="696" spans="109:156" ht="36" customHeight="1">
      <c r="DE696" s="377"/>
      <c r="DF696" s="377"/>
      <c r="DG696" s="377"/>
      <c r="DH696" s="377"/>
      <c r="DI696" s="377"/>
      <c r="DJ696" s="377"/>
      <c r="DS696" s="81"/>
      <c r="DZ696" s="81"/>
      <c r="EA696" s="353"/>
      <c r="EB696" s="1501" t="s">
        <v>512</v>
      </c>
      <c r="EC696" s="732" t="s">
        <v>1284</v>
      </c>
      <c r="ED696" s="731">
        <v>0.5</v>
      </c>
      <c r="EE696" s="81"/>
      <c r="EF696" s="81"/>
      <c r="EG696" s="81"/>
      <c r="EM696" s="81"/>
      <c r="EN696" s="377"/>
      <c r="EO696" s="377"/>
      <c r="EP696" s="377"/>
      <c r="EQ696" s="377"/>
      <c r="ER696" s="377"/>
      <c r="ES696" s="702"/>
      <c r="ET696" s="702"/>
      <c r="EU696" s="1023"/>
      <c r="EV696" s="377"/>
      <c r="EZ696" s="318"/>
    </row>
    <row r="697" spans="109:156" ht="36" customHeight="1">
      <c r="DE697" s="377"/>
      <c r="DF697" s="377"/>
      <c r="DG697" s="377"/>
      <c r="DH697" s="377"/>
      <c r="DI697" s="377"/>
      <c r="DJ697" s="377"/>
      <c r="DS697" s="81"/>
      <c r="DZ697" s="81"/>
      <c r="EA697" s="353"/>
      <c r="EB697" s="1501" t="s">
        <v>513</v>
      </c>
      <c r="EC697" s="732" t="s">
        <v>1284</v>
      </c>
      <c r="ED697" s="731">
        <v>0.5</v>
      </c>
      <c r="EE697" s="81"/>
      <c r="EF697" s="81"/>
      <c r="EG697" s="81"/>
      <c r="EM697" s="81"/>
      <c r="EN697" s="377"/>
      <c r="EO697" s="377"/>
      <c r="EP697" s="377"/>
      <c r="EQ697" s="377"/>
      <c r="ER697" s="377"/>
      <c r="ES697" s="702"/>
      <c r="ET697" s="702"/>
      <c r="EU697" s="1023"/>
      <c r="EV697" s="377"/>
      <c r="EZ697" s="318"/>
    </row>
    <row r="698" spans="109:156" ht="36" customHeight="1">
      <c r="DE698" s="377"/>
      <c r="DF698" s="377"/>
      <c r="DG698" s="377"/>
      <c r="DH698" s="377"/>
      <c r="DI698" s="377"/>
      <c r="DJ698" s="377"/>
      <c r="DS698" s="81"/>
      <c r="DZ698" s="81"/>
      <c r="EA698" s="353"/>
      <c r="EB698" s="1501" t="s">
        <v>461</v>
      </c>
      <c r="EC698" s="732" t="s">
        <v>1284</v>
      </c>
      <c r="ED698" s="731">
        <v>0.5</v>
      </c>
      <c r="EE698" s="81"/>
      <c r="EF698" s="81"/>
      <c r="EG698" s="81"/>
      <c r="EM698" s="81"/>
      <c r="EN698" s="377"/>
      <c r="EO698" s="377"/>
      <c r="EP698" s="377"/>
      <c r="EQ698" s="377"/>
      <c r="ER698" s="377"/>
      <c r="ES698" s="702"/>
      <c r="ET698" s="702"/>
      <c r="EU698" s="1023"/>
      <c r="EV698" s="377"/>
      <c r="EZ698" s="318"/>
    </row>
    <row r="699" spans="109:156" ht="36" customHeight="1">
      <c r="DE699" s="377"/>
      <c r="DF699" s="377"/>
      <c r="DG699" s="377"/>
      <c r="DH699" s="377"/>
      <c r="DI699" s="377"/>
      <c r="DJ699" s="377"/>
      <c r="DS699" s="81"/>
      <c r="DZ699" s="81"/>
      <c r="EA699" s="353"/>
      <c r="EB699" s="1501" t="s">
        <v>514</v>
      </c>
      <c r="EC699" s="732" t="s">
        <v>1284</v>
      </c>
      <c r="ED699" s="731">
        <v>0.5</v>
      </c>
      <c r="EE699" s="81"/>
      <c r="EF699" s="81"/>
      <c r="EG699" s="81"/>
      <c r="EM699" s="81"/>
      <c r="EN699" s="377"/>
      <c r="EO699" s="377"/>
      <c r="EP699" s="377"/>
      <c r="EQ699" s="377"/>
      <c r="ER699" s="377"/>
      <c r="ES699" s="702"/>
      <c r="ET699" s="702"/>
      <c r="EU699" s="1023"/>
      <c r="EV699" s="377"/>
      <c r="EZ699" s="318"/>
    </row>
    <row r="700" spans="109:156" ht="36" customHeight="1">
      <c r="DE700" s="377"/>
      <c r="DF700" s="377"/>
      <c r="DG700" s="377"/>
      <c r="DH700" s="377"/>
      <c r="DI700" s="377"/>
      <c r="DJ700" s="377"/>
      <c r="DS700" s="81"/>
      <c r="DZ700" s="81"/>
      <c r="EA700" s="353"/>
      <c r="EB700" s="1501" t="s">
        <v>463</v>
      </c>
      <c r="EC700" s="732" t="s">
        <v>1284</v>
      </c>
      <c r="ED700" s="731">
        <v>0.5</v>
      </c>
      <c r="EE700" s="81"/>
      <c r="EF700" s="81"/>
      <c r="EG700" s="81"/>
      <c r="EM700" s="81"/>
      <c r="EN700" s="377"/>
      <c r="EO700" s="377"/>
      <c r="EP700" s="377"/>
      <c r="EQ700" s="377"/>
      <c r="ER700" s="377"/>
      <c r="ES700" s="702"/>
      <c r="ET700" s="702"/>
      <c r="EU700" s="1023"/>
      <c r="EV700" s="377"/>
      <c r="EZ700" s="318"/>
    </row>
    <row r="701" spans="109:156" ht="36" customHeight="1">
      <c r="DE701" s="377"/>
      <c r="DF701" s="377"/>
      <c r="DG701" s="377"/>
      <c r="DH701" s="377"/>
      <c r="DI701" s="377"/>
      <c r="DJ701" s="377"/>
      <c r="DS701" s="81"/>
      <c r="DZ701" s="81"/>
      <c r="EA701" s="353"/>
      <c r="EB701" s="1501" t="s">
        <v>464</v>
      </c>
      <c r="EC701" s="732" t="s">
        <v>1284</v>
      </c>
      <c r="ED701" s="731">
        <v>0.5</v>
      </c>
      <c r="EE701" s="81"/>
      <c r="EF701" s="81"/>
      <c r="EG701" s="81"/>
      <c r="EM701" s="81"/>
      <c r="EN701" s="377"/>
      <c r="EO701" s="377"/>
      <c r="EP701" s="377"/>
      <c r="EQ701" s="377"/>
      <c r="ER701" s="377"/>
      <c r="ES701" s="702"/>
      <c r="ET701" s="702"/>
      <c r="EU701" s="1023"/>
      <c r="EV701" s="377"/>
      <c r="EZ701" s="318"/>
    </row>
    <row r="702" spans="109:156" ht="36" customHeight="1">
      <c r="DE702" s="377"/>
      <c r="DF702" s="377"/>
      <c r="DG702" s="377"/>
      <c r="DH702" s="377"/>
      <c r="DI702" s="377"/>
      <c r="DJ702" s="377"/>
      <c r="DS702" s="81"/>
      <c r="DZ702" s="81"/>
      <c r="EA702" s="353"/>
      <c r="EB702" s="1501" t="s">
        <v>516</v>
      </c>
      <c r="EC702" s="732" t="s">
        <v>1284</v>
      </c>
      <c r="ED702" s="731">
        <v>0.5</v>
      </c>
      <c r="EE702" s="81"/>
      <c r="EF702" s="81"/>
      <c r="EG702" s="81"/>
      <c r="EM702" s="81"/>
      <c r="EN702" s="377"/>
      <c r="EO702" s="377"/>
      <c r="EP702" s="377"/>
      <c r="EQ702" s="377"/>
      <c r="ER702" s="377"/>
      <c r="ES702" s="702"/>
      <c r="ET702" s="702"/>
      <c r="EU702" s="1023"/>
      <c r="EV702" s="377"/>
      <c r="EZ702" s="318"/>
    </row>
    <row r="703" spans="109:156" ht="36" customHeight="1">
      <c r="DE703" s="377"/>
      <c r="DF703" s="377"/>
      <c r="DG703" s="377"/>
      <c r="DH703" s="377"/>
      <c r="DI703" s="377"/>
      <c r="DJ703" s="377"/>
      <c r="DS703" s="81"/>
      <c r="DZ703" s="81"/>
      <c r="EA703" s="353"/>
      <c r="EB703" s="1501" t="s">
        <v>515</v>
      </c>
      <c r="EC703" s="732" t="s">
        <v>1284</v>
      </c>
      <c r="ED703" s="731">
        <v>0.5</v>
      </c>
      <c r="EE703" s="81"/>
      <c r="EF703" s="81"/>
      <c r="EG703" s="81"/>
      <c r="EM703" s="81"/>
      <c r="EN703" s="377"/>
      <c r="EO703" s="377"/>
      <c r="EP703" s="377"/>
      <c r="EQ703" s="377"/>
      <c r="ER703" s="377"/>
      <c r="ES703" s="702"/>
      <c r="ET703" s="702"/>
      <c r="EU703" s="1023"/>
      <c r="EV703" s="377"/>
      <c r="EZ703" s="318"/>
    </row>
    <row r="704" spans="109:156" ht="36" customHeight="1">
      <c r="DE704" s="377"/>
      <c r="DF704" s="377"/>
      <c r="DG704" s="377"/>
      <c r="DH704" s="377"/>
      <c r="DI704" s="377"/>
      <c r="DJ704" s="377"/>
      <c r="DS704" s="81"/>
      <c r="DZ704" s="81"/>
      <c r="EA704" s="353"/>
      <c r="EB704" s="1501" t="s">
        <v>517</v>
      </c>
      <c r="EC704" s="732" t="s">
        <v>1284</v>
      </c>
      <c r="ED704" s="731">
        <v>0.5</v>
      </c>
      <c r="EE704" s="81"/>
      <c r="EF704" s="81"/>
      <c r="EG704" s="81"/>
      <c r="EM704" s="81"/>
      <c r="EN704" s="377"/>
      <c r="EO704" s="377"/>
      <c r="EP704" s="377"/>
      <c r="EQ704" s="377"/>
      <c r="ER704" s="377"/>
      <c r="ES704" s="702"/>
      <c r="ET704" s="702"/>
      <c r="EU704" s="1023"/>
      <c r="EV704" s="377"/>
      <c r="EZ704" s="318"/>
    </row>
    <row r="705" spans="109:156" ht="36" customHeight="1">
      <c r="DE705" s="377"/>
      <c r="DF705" s="377"/>
      <c r="DG705" s="377"/>
      <c r="DH705" s="377"/>
      <c r="DI705" s="377"/>
      <c r="DJ705" s="377"/>
      <c r="DS705" s="81"/>
      <c r="DZ705" s="81"/>
      <c r="EA705" s="353"/>
      <c r="EB705" s="1501" t="s">
        <v>518</v>
      </c>
      <c r="EC705" s="732" t="s">
        <v>1284</v>
      </c>
      <c r="ED705" s="731">
        <v>0.5</v>
      </c>
      <c r="EE705" s="81"/>
      <c r="EF705" s="81"/>
      <c r="EG705" s="81"/>
      <c r="EM705" s="81"/>
      <c r="EN705" s="377"/>
      <c r="EO705" s="377"/>
      <c r="EP705" s="377"/>
      <c r="EQ705" s="377"/>
      <c r="ER705" s="377"/>
      <c r="ES705" s="702"/>
      <c r="ET705" s="702"/>
      <c r="EU705" s="1023"/>
      <c r="EV705" s="377"/>
      <c r="EZ705" s="318"/>
    </row>
    <row r="706" spans="109:156" ht="36" customHeight="1">
      <c r="DE706" s="377"/>
      <c r="DF706" s="377"/>
      <c r="DG706" s="377"/>
      <c r="DH706" s="377"/>
      <c r="DI706" s="377"/>
      <c r="DJ706" s="377"/>
      <c r="DS706" s="81"/>
      <c r="DZ706" s="81"/>
      <c r="EA706" s="353"/>
      <c r="EB706" s="1501" t="s">
        <v>73</v>
      </c>
      <c r="EC706" s="732" t="s">
        <v>1284</v>
      </c>
      <c r="ED706" s="731">
        <v>0.5</v>
      </c>
      <c r="EE706" s="81"/>
      <c r="EF706" s="81"/>
      <c r="EG706" s="81"/>
      <c r="EM706" s="81"/>
      <c r="EN706" s="377"/>
      <c r="EO706" s="377"/>
      <c r="EP706" s="377"/>
      <c r="EQ706" s="377"/>
      <c r="ER706" s="377"/>
      <c r="ES706" s="702"/>
      <c r="ET706" s="702"/>
      <c r="EU706" s="1023"/>
      <c r="EV706" s="377"/>
      <c r="EZ706" s="318"/>
    </row>
    <row r="707" spans="109:156" ht="36" customHeight="1">
      <c r="DE707" s="377"/>
      <c r="DF707" s="377"/>
      <c r="DG707" s="377"/>
      <c r="DH707" s="377"/>
      <c r="DI707" s="377"/>
      <c r="DJ707" s="377"/>
      <c r="DS707" s="81"/>
      <c r="DZ707" s="81"/>
      <c r="EA707" s="353"/>
      <c r="EB707" s="1501" t="s">
        <v>1564</v>
      </c>
      <c r="EC707" s="732" t="s">
        <v>1284</v>
      </c>
      <c r="ED707" s="731">
        <v>0.5</v>
      </c>
      <c r="EE707" s="81"/>
      <c r="EF707" s="81"/>
      <c r="EG707" s="81"/>
      <c r="EM707" s="81"/>
      <c r="EN707" s="377"/>
      <c r="EO707" s="377"/>
      <c r="EP707" s="377"/>
      <c r="EQ707" s="377"/>
      <c r="ER707" s="377"/>
      <c r="ES707" s="702"/>
      <c r="ET707" s="702"/>
      <c r="EU707" s="1023"/>
      <c r="EV707" s="377"/>
      <c r="EZ707" s="318"/>
    </row>
    <row r="708" spans="109:156" ht="36" customHeight="1">
      <c r="DE708" s="377"/>
      <c r="DF708" s="377"/>
      <c r="DG708" s="377"/>
      <c r="DH708" s="377"/>
      <c r="DI708" s="377"/>
      <c r="DJ708" s="377"/>
      <c r="DS708" s="81"/>
      <c r="DZ708" s="81"/>
      <c r="EA708" s="353"/>
      <c r="EB708" s="1501" t="s">
        <v>73</v>
      </c>
      <c r="EC708" s="732" t="s">
        <v>1284</v>
      </c>
      <c r="ED708" s="731">
        <v>0.5</v>
      </c>
      <c r="EE708" s="81"/>
      <c r="EF708" s="81"/>
      <c r="EG708" s="81"/>
      <c r="EM708" s="81"/>
      <c r="EN708" s="377"/>
      <c r="EO708" s="377"/>
      <c r="EP708" s="377"/>
      <c r="EQ708" s="377"/>
      <c r="ER708" s="377"/>
      <c r="ES708" s="702"/>
      <c r="ET708" s="702"/>
      <c r="EU708" s="1023"/>
      <c r="EV708" s="377"/>
      <c r="EZ708" s="318"/>
    </row>
    <row r="709" spans="109:156" ht="36" customHeight="1">
      <c r="DE709" s="377"/>
      <c r="DF709" s="377"/>
      <c r="DG709" s="377"/>
      <c r="DH709" s="377"/>
      <c r="DI709" s="377"/>
      <c r="DJ709" s="377"/>
      <c r="DS709" s="81"/>
      <c r="DZ709" s="81"/>
      <c r="EA709" s="353"/>
      <c r="EB709" s="1501" t="s">
        <v>77</v>
      </c>
      <c r="EC709" s="732" t="s">
        <v>1284</v>
      </c>
      <c r="ED709" s="731">
        <v>0.5</v>
      </c>
      <c r="EE709" s="81"/>
      <c r="EF709" s="81"/>
      <c r="EG709" s="81"/>
      <c r="EM709" s="81"/>
      <c r="EN709" s="377"/>
      <c r="EO709" s="377"/>
      <c r="EP709" s="377"/>
      <c r="EQ709" s="377"/>
      <c r="ER709" s="377"/>
      <c r="ES709" s="702"/>
      <c r="ET709" s="702"/>
      <c r="EU709" s="1023"/>
      <c r="EV709" s="377"/>
      <c r="EZ709" s="318"/>
    </row>
    <row r="710" spans="109:156" ht="36" customHeight="1">
      <c r="DE710" s="377"/>
      <c r="DF710" s="377"/>
      <c r="DG710" s="377"/>
      <c r="DH710" s="377"/>
      <c r="DI710" s="377"/>
      <c r="DJ710" s="377"/>
      <c r="DS710" s="81"/>
      <c r="DZ710" s="81"/>
      <c r="EA710" s="353"/>
      <c r="EB710" s="1501" t="s">
        <v>78</v>
      </c>
      <c r="EC710" s="732" t="s">
        <v>1284</v>
      </c>
      <c r="ED710" s="731">
        <v>0.5</v>
      </c>
      <c r="EE710" s="81"/>
      <c r="EF710" s="81"/>
      <c r="EG710" s="81"/>
      <c r="EM710" s="81"/>
      <c r="EN710" s="377"/>
      <c r="EO710" s="377"/>
      <c r="EP710" s="377"/>
      <c r="EQ710" s="377"/>
      <c r="ER710" s="377"/>
      <c r="ES710" s="702"/>
      <c r="ET710" s="702"/>
      <c r="EU710" s="1023"/>
      <c r="EV710" s="377"/>
      <c r="EZ710" s="346"/>
    </row>
    <row r="711" spans="109:156">
      <c r="DE711" s="377"/>
      <c r="DF711" s="377"/>
      <c r="DG711" s="377"/>
      <c r="DH711" s="377"/>
      <c r="DI711" s="377"/>
      <c r="DJ711" s="377"/>
      <c r="DS711" s="81"/>
      <c r="DZ711" s="81"/>
      <c r="EA711" s="353"/>
      <c r="EB711" s="1501" t="s">
        <v>79</v>
      </c>
      <c r="EC711" s="732" t="s">
        <v>1284</v>
      </c>
      <c r="ED711" s="731">
        <v>0.5</v>
      </c>
      <c r="EE711" s="81"/>
      <c r="EF711" s="81"/>
      <c r="EG711" s="81"/>
      <c r="EM711" s="81"/>
      <c r="EN711" s="377"/>
      <c r="EO711" s="377"/>
      <c r="EP711" s="377"/>
      <c r="EQ711" s="377"/>
      <c r="ER711" s="377"/>
      <c r="ES711" s="702"/>
      <c r="ET711" s="702"/>
      <c r="EU711" s="1023"/>
      <c r="EV711" s="377"/>
    </row>
    <row r="712" spans="109:156">
      <c r="DE712" s="377"/>
      <c r="DF712" s="377"/>
      <c r="DG712" s="377"/>
      <c r="DH712" s="377"/>
      <c r="DI712" s="377"/>
      <c r="DJ712" s="377"/>
      <c r="DS712" s="81"/>
      <c r="DZ712" s="81"/>
      <c r="EA712" s="353"/>
      <c r="EB712" s="1501" t="s">
        <v>80</v>
      </c>
      <c r="EC712" s="732" t="s">
        <v>1284</v>
      </c>
      <c r="ED712" s="731">
        <v>0.5</v>
      </c>
      <c r="EE712" s="81"/>
      <c r="EF712" s="81"/>
      <c r="EG712" s="81"/>
      <c r="EM712" s="81"/>
      <c r="EN712" s="377"/>
      <c r="EO712" s="377"/>
      <c r="EP712" s="377"/>
      <c r="EQ712" s="377"/>
      <c r="ER712" s="377"/>
      <c r="ES712" s="702"/>
      <c r="ET712" s="702"/>
      <c r="EU712" s="1023"/>
      <c r="EV712" s="377"/>
    </row>
    <row r="713" spans="109:156">
      <c r="DE713" s="377"/>
      <c r="DF713" s="377"/>
      <c r="DG713" s="377"/>
      <c r="DH713" s="377"/>
      <c r="DI713" s="377"/>
      <c r="DJ713" s="377"/>
      <c r="DS713" s="81"/>
      <c r="DZ713" s="81"/>
      <c r="EA713" s="353"/>
      <c r="EB713" s="1501" t="s">
        <v>81</v>
      </c>
      <c r="EC713" s="732" t="s">
        <v>1284</v>
      </c>
      <c r="ED713" s="731">
        <v>0.5</v>
      </c>
      <c r="EE713" s="81"/>
      <c r="EF713" s="81"/>
      <c r="EG713" s="81"/>
      <c r="EM713" s="81"/>
      <c r="EN713" s="377"/>
      <c r="EO713" s="377"/>
      <c r="EP713" s="377"/>
      <c r="EQ713" s="377"/>
      <c r="ER713" s="377"/>
      <c r="ES713" s="702"/>
      <c r="ET713" s="702"/>
      <c r="EU713" s="1023"/>
      <c r="EV713" s="377"/>
    </row>
    <row r="714" spans="109:156">
      <c r="DE714" s="377"/>
      <c r="DF714" s="377"/>
      <c r="DG714" s="377"/>
      <c r="DH714" s="377"/>
      <c r="DI714" s="377"/>
      <c r="DJ714" s="377"/>
      <c r="DS714" s="81"/>
      <c r="DZ714" s="81"/>
      <c r="EA714" s="353"/>
      <c r="EB714" s="1501" t="s">
        <v>82</v>
      </c>
      <c r="EC714" s="732" t="s">
        <v>1284</v>
      </c>
      <c r="ED714" s="731">
        <v>0.5</v>
      </c>
      <c r="EE714" s="81"/>
      <c r="EF714" s="81"/>
      <c r="EG714" s="81"/>
      <c r="EM714" s="81"/>
      <c r="EN714" s="377"/>
      <c r="EO714" s="377"/>
      <c r="EP714" s="377"/>
      <c r="EQ714" s="377"/>
      <c r="ER714" s="377"/>
      <c r="ES714" s="702"/>
      <c r="ET714" s="702"/>
      <c r="EU714" s="1023"/>
      <c r="EV714" s="377"/>
    </row>
    <row r="715" spans="109:156">
      <c r="DE715" s="377"/>
      <c r="DF715" s="377"/>
      <c r="DG715" s="377"/>
      <c r="DH715" s="377"/>
      <c r="DI715" s="377"/>
      <c r="DJ715" s="377"/>
      <c r="DS715" s="81"/>
      <c r="DZ715" s="81"/>
      <c r="EA715" s="353"/>
      <c r="EB715" s="1501" t="s">
        <v>83</v>
      </c>
      <c r="EC715" s="732" t="s">
        <v>1284</v>
      </c>
      <c r="ED715" s="731">
        <v>0.5</v>
      </c>
      <c r="EE715" s="81"/>
      <c r="EF715" s="81"/>
      <c r="EG715" s="81"/>
      <c r="EM715" s="81"/>
      <c r="EN715" s="377"/>
      <c r="EO715" s="377"/>
      <c r="EP715" s="377"/>
      <c r="EQ715" s="377"/>
      <c r="ER715" s="377"/>
      <c r="ES715" s="702"/>
      <c r="ET715" s="702"/>
      <c r="EU715" s="1023"/>
      <c r="EV715" s="377"/>
    </row>
    <row r="716" spans="109:156">
      <c r="DE716" s="377"/>
      <c r="DF716" s="377"/>
      <c r="DG716" s="377"/>
      <c r="DH716" s="377"/>
      <c r="DI716" s="377"/>
      <c r="DJ716" s="377"/>
      <c r="DS716" s="81"/>
      <c r="DZ716" s="81"/>
      <c r="EA716" s="353"/>
      <c r="EB716" s="1501" t="s">
        <v>84</v>
      </c>
      <c r="EC716" s="732" t="s">
        <v>1284</v>
      </c>
      <c r="ED716" s="731">
        <v>0.5</v>
      </c>
      <c r="EE716" s="81"/>
      <c r="EF716" s="81"/>
      <c r="EG716" s="81"/>
      <c r="EM716" s="81"/>
      <c r="EN716" s="377"/>
      <c r="EO716" s="377"/>
      <c r="EP716" s="377"/>
      <c r="EQ716" s="377"/>
      <c r="ER716" s="377"/>
      <c r="ES716" s="702"/>
      <c r="ET716" s="702"/>
      <c r="EU716" s="1023"/>
      <c r="EV716" s="377"/>
    </row>
    <row r="717" spans="109:156">
      <c r="DE717" s="377"/>
      <c r="DF717" s="377"/>
      <c r="DG717" s="377"/>
      <c r="DH717" s="377"/>
      <c r="DI717" s="377"/>
      <c r="DJ717" s="377"/>
      <c r="DS717" s="81"/>
      <c r="DZ717" s="81"/>
      <c r="EA717" s="353"/>
      <c r="EB717" s="1501" t="s">
        <v>85</v>
      </c>
      <c r="EC717" s="732" t="s">
        <v>1284</v>
      </c>
      <c r="ED717" s="731">
        <v>0.5</v>
      </c>
      <c r="EE717" s="81"/>
      <c r="EF717" s="81"/>
      <c r="EG717" s="81"/>
      <c r="EM717" s="81"/>
      <c r="EN717" s="377"/>
      <c r="EO717" s="377"/>
      <c r="EP717" s="377"/>
      <c r="EQ717" s="377"/>
      <c r="ER717" s="377"/>
      <c r="ES717" s="702"/>
      <c r="ET717" s="702"/>
      <c r="EU717" s="1023"/>
      <c r="EV717" s="377"/>
    </row>
    <row r="718" spans="109:156">
      <c r="DE718" s="377"/>
      <c r="DF718" s="377"/>
      <c r="DG718" s="377"/>
      <c r="DH718" s="377"/>
      <c r="DI718" s="377"/>
      <c r="DJ718" s="377"/>
      <c r="DS718" s="81"/>
      <c r="DZ718" s="81"/>
      <c r="EA718" s="353"/>
      <c r="EB718" s="1501" t="s">
        <v>86</v>
      </c>
      <c r="EC718" s="732" t="s">
        <v>1284</v>
      </c>
      <c r="ED718" s="731">
        <v>0.5</v>
      </c>
      <c r="EE718" s="81"/>
      <c r="EF718" s="81"/>
      <c r="EG718" s="81"/>
      <c r="EM718" s="81"/>
      <c r="EN718" s="377"/>
      <c r="EO718" s="377"/>
      <c r="EP718" s="377"/>
      <c r="EQ718" s="377"/>
      <c r="ER718" s="377"/>
      <c r="ES718" s="702"/>
      <c r="ET718" s="702"/>
      <c r="EU718" s="1023"/>
      <c r="EV718" s="377"/>
    </row>
    <row r="719" spans="109:156">
      <c r="DE719" s="377"/>
      <c r="DF719" s="377"/>
      <c r="DG719" s="377"/>
      <c r="DH719" s="377"/>
      <c r="DI719" s="377"/>
      <c r="DJ719" s="377"/>
      <c r="DS719" s="81"/>
      <c r="DZ719" s="81"/>
      <c r="EA719" s="353"/>
      <c r="EB719" s="1501" t="s">
        <v>87</v>
      </c>
      <c r="EC719" s="732" t="s">
        <v>1284</v>
      </c>
      <c r="ED719" s="731">
        <v>0.5</v>
      </c>
      <c r="EE719" s="81"/>
      <c r="EF719" s="81"/>
      <c r="EG719" s="81"/>
      <c r="EM719" s="81"/>
      <c r="EN719" s="377"/>
      <c r="EO719" s="377"/>
      <c r="EP719" s="377"/>
      <c r="EQ719" s="377"/>
      <c r="ER719" s="377"/>
      <c r="ES719" s="702"/>
      <c r="ET719" s="702"/>
      <c r="EU719" s="1023"/>
      <c r="EV719" s="377"/>
    </row>
    <row r="720" spans="109:156">
      <c r="DE720" s="377"/>
      <c r="DF720" s="377"/>
      <c r="DG720" s="377"/>
      <c r="DH720" s="377"/>
      <c r="DI720" s="377"/>
      <c r="DJ720" s="377"/>
      <c r="DS720" s="81"/>
      <c r="DZ720" s="81"/>
      <c r="EA720" s="353"/>
      <c r="EB720" s="1501" t="s">
        <v>88</v>
      </c>
      <c r="EC720" s="732" t="s">
        <v>1284</v>
      </c>
      <c r="ED720" s="731">
        <v>0.5</v>
      </c>
      <c r="EE720" s="81"/>
      <c r="EF720" s="81"/>
      <c r="EG720" s="81"/>
      <c r="EM720" s="81"/>
      <c r="EN720" s="377"/>
      <c r="EO720" s="377"/>
      <c r="EP720" s="377"/>
      <c r="EQ720" s="377"/>
      <c r="ER720" s="377"/>
      <c r="ES720" s="702"/>
      <c r="ET720" s="702"/>
      <c r="EU720" s="1023"/>
      <c r="EV720" s="377"/>
    </row>
    <row r="721" spans="109:152">
      <c r="DE721" s="377"/>
      <c r="DF721" s="377"/>
      <c r="DG721" s="377"/>
      <c r="DH721" s="377"/>
      <c r="DI721" s="377"/>
      <c r="DJ721" s="377"/>
      <c r="DS721" s="81"/>
      <c r="DZ721" s="81"/>
      <c r="EA721" s="353"/>
      <c r="EB721" s="1501" t="s">
        <v>89</v>
      </c>
      <c r="EC721" s="732" t="s">
        <v>1284</v>
      </c>
      <c r="ED721" s="731">
        <v>0.5</v>
      </c>
      <c r="EE721" s="81"/>
      <c r="EF721" s="81"/>
      <c r="EG721" s="81"/>
      <c r="EM721" s="81"/>
      <c r="EN721" s="377"/>
      <c r="EO721" s="377"/>
      <c r="EP721" s="377"/>
      <c r="EQ721" s="377"/>
      <c r="ER721" s="377"/>
      <c r="ES721" s="702"/>
      <c r="ET721" s="702"/>
      <c r="EU721" s="1023"/>
      <c r="EV721" s="377"/>
    </row>
    <row r="722" spans="109:152">
      <c r="DE722" s="377"/>
      <c r="DF722" s="377"/>
      <c r="DG722" s="377"/>
      <c r="DH722" s="377"/>
      <c r="DI722" s="377"/>
      <c r="DJ722" s="377"/>
      <c r="DS722" s="81"/>
      <c r="DZ722" s="81"/>
      <c r="EA722" s="353"/>
      <c r="EB722" s="1501" t="s">
        <v>90</v>
      </c>
      <c r="EC722" s="732" t="s">
        <v>1284</v>
      </c>
      <c r="ED722" s="731">
        <v>0.5</v>
      </c>
      <c r="EE722" s="81"/>
      <c r="EF722" s="81"/>
      <c r="EG722" s="81"/>
      <c r="EM722" s="81"/>
      <c r="EN722" s="377"/>
      <c r="EO722" s="377"/>
      <c r="EP722" s="377"/>
      <c r="EQ722" s="377"/>
      <c r="ER722" s="377"/>
      <c r="ES722" s="702"/>
      <c r="ET722" s="702"/>
      <c r="EU722" s="1023"/>
      <c r="EV722" s="377"/>
    </row>
    <row r="723" spans="109:152">
      <c r="DE723" s="377"/>
      <c r="DF723" s="377"/>
      <c r="DG723" s="377"/>
      <c r="DH723" s="377"/>
      <c r="DI723" s="377"/>
      <c r="DJ723" s="377"/>
      <c r="DS723" s="81"/>
      <c r="DZ723" s="81"/>
      <c r="EA723" s="353"/>
      <c r="EB723" s="1501" t="s">
        <v>91</v>
      </c>
      <c r="EC723" s="732" t="s">
        <v>1284</v>
      </c>
      <c r="ED723" s="731">
        <v>0.5</v>
      </c>
      <c r="EE723" s="81"/>
      <c r="EF723" s="81"/>
      <c r="EG723" s="81"/>
      <c r="EM723" s="81"/>
      <c r="EN723" s="377"/>
      <c r="EO723" s="377"/>
      <c r="EP723" s="377"/>
      <c r="EQ723" s="377"/>
      <c r="ER723" s="377"/>
      <c r="ES723" s="702"/>
      <c r="ET723" s="702"/>
      <c r="EU723" s="1023"/>
      <c r="EV723" s="377"/>
    </row>
    <row r="724" spans="109:152">
      <c r="DE724" s="377"/>
      <c r="DF724" s="377"/>
      <c r="DG724" s="377"/>
      <c r="DH724" s="377"/>
      <c r="DI724" s="377"/>
      <c r="DJ724" s="377"/>
      <c r="DS724" s="81"/>
      <c r="DZ724" s="81"/>
      <c r="EA724" s="353"/>
      <c r="EB724" s="1501" t="s">
        <v>92</v>
      </c>
      <c r="EC724" s="732" t="s">
        <v>1284</v>
      </c>
      <c r="ED724" s="731">
        <v>0.5</v>
      </c>
      <c r="EE724" s="81"/>
      <c r="EF724" s="81"/>
      <c r="EG724" s="81"/>
      <c r="EM724" s="81"/>
      <c r="EN724" s="377"/>
      <c r="EO724" s="377"/>
      <c r="EP724" s="377"/>
      <c r="EQ724" s="377"/>
      <c r="ER724" s="377"/>
      <c r="ES724" s="702"/>
      <c r="ET724" s="702"/>
      <c r="EU724" s="1023"/>
      <c r="EV724" s="377"/>
    </row>
    <row r="725" spans="109:152">
      <c r="DE725" s="377"/>
      <c r="DF725" s="377"/>
      <c r="DG725" s="377"/>
      <c r="DH725" s="377"/>
      <c r="DI725" s="377"/>
      <c r="DJ725" s="377"/>
      <c r="DS725" s="81"/>
      <c r="DZ725" s="81"/>
      <c r="EA725" s="353"/>
      <c r="EB725" s="1501" t="s">
        <v>93</v>
      </c>
      <c r="EC725" s="732" t="s">
        <v>1284</v>
      </c>
      <c r="ED725" s="731">
        <v>0.5</v>
      </c>
      <c r="EE725" s="81"/>
      <c r="EF725" s="81"/>
      <c r="EG725" s="81"/>
      <c r="EM725" s="81"/>
      <c r="EN725" s="377"/>
      <c r="EO725" s="377"/>
      <c r="EP725" s="377"/>
      <c r="EQ725" s="377"/>
      <c r="ER725" s="377"/>
      <c r="ES725" s="702"/>
      <c r="ET725" s="702"/>
      <c r="EU725" s="1023"/>
      <c r="EV725" s="377"/>
    </row>
    <row r="726" spans="109:152">
      <c r="DE726" s="377"/>
      <c r="DF726" s="377"/>
      <c r="DG726" s="377"/>
      <c r="DH726" s="377"/>
      <c r="DI726" s="377"/>
      <c r="DJ726" s="377"/>
      <c r="DS726" s="81"/>
      <c r="DZ726" s="81"/>
      <c r="EA726" s="353"/>
      <c r="EB726" s="1501" t="s">
        <v>94</v>
      </c>
      <c r="EC726" s="732" t="s">
        <v>1284</v>
      </c>
      <c r="ED726" s="731">
        <v>0.5</v>
      </c>
      <c r="EE726" s="81"/>
      <c r="EF726" s="81"/>
      <c r="EG726" s="81"/>
      <c r="EM726" s="81"/>
      <c r="EN726" s="377"/>
      <c r="EO726" s="377"/>
      <c r="EP726" s="377"/>
      <c r="EQ726" s="377"/>
      <c r="ER726" s="377"/>
      <c r="ES726" s="702"/>
      <c r="ET726" s="702"/>
      <c r="EU726" s="1023"/>
      <c r="EV726" s="377"/>
    </row>
    <row r="727" spans="109:152">
      <c r="DE727" s="377"/>
      <c r="DF727" s="377"/>
      <c r="DG727" s="377"/>
      <c r="DH727" s="377"/>
      <c r="DI727" s="377"/>
      <c r="DJ727" s="377"/>
      <c r="DS727" s="81"/>
      <c r="DZ727" s="81"/>
      <c r="EA727" s="353"/>
      <c r="EB727" s="1501" t="s">
        <v>95</v>
      </c>
      <c r="EC727" s="732" t="s">
        <v>1284</v>
      </c>
      <c r="ED727" s="731">
        <v>0.5</v>
      </c>
      <c r="EE727" s="81"/>
      <c r="EF727" s="81"/>
      <c r="EG727" s="81"/>
      <c r="EM727" s="81"/>
      <c r="EN727" s="377"/>
      <c r="EO727" s="377"/>
      <c r="EP727" s="377"/>
      <c r="EQ727" s="377"/>
      <c r="ER727" s="377"/>
      <c r="ES727" s="702"/>
      <c r="ET727" s="702"/>
      <c r="EU727" s="1023"/>
      <c r="EV727" s="377"/>
    </row>
    <row r="728" spans="109:152">
      <c r="DE728" s="377"/>
      <c r="DF728" s="377"/>
      <c r="DG728" s="377"/>
      <c r="DH728" s="377"/>
      <c r="DI728" s="377"/>
      <c r="DJ728" s="377"/>
      <c r="DS728" s="81"/>
      <c r="DZ728" s="81"/>
      <c r="EA728" s="353"/>
      <c r="EB728" s="1501" t="s">
        <v>96</v>
      </c>
      <c r="EC728" s="732" t="s">
        <v>1284</v>
      </c>
      <c r="ED728" s="731">
        <v>0.5</v>
      </c>
      <c r="EE728" s="81"/>
      <c r="EF728" s="81"/>
      <c r="EG728" s="81"/>
      <c r="EM728" s="81"/>
      <c r="EN728" s="377"/>
      <c r="EO728" s="377"/>
      <c r="EP728" s="377"/>
      <c r="EQ728" s="377"/>
      <c r="ER728" s="377"/>
      <c r="ES728" s="702"/>
      <c r="ET728" s="702"/>
      <c r="EU728" s="1023"/>
      <c r="EV728" s="377"/>
    </row>
    <row r="729" spans="109:152">
      <c r="DE729" s="377"/>
      <c r="DF729" s="377"/>
      <c r="DG729" s="377"/>
      <c r="DH729" s="377"/>
      <c r="DI729" s="377"/>
      <c r="DJ729" s="377"/>
      <c r="DS729" s="81"/>
      <c r="DZ729" s="81"/>
      <c r="EA729" s="353"/>
      <c r="EB729" s="1501" t="s">
        <v>1565</v>
      </c>
      <c r="EC729" s="732" t="s">
        <v>1284</v>
      </c>
      <c r="ED729" s="731">
        <v>0.5</v>
      </c>
      <c r="EE729" s="81"/>
      <c r="EF729" s="81"/>
      <c r="EG729" s="81"/>
      <c r="EM729" s="81"/>
      <c r="EN729" s="377"/>
      <c r="EO729" s="377"/>
      <c r="EP729" s="377"/>
      <c r="EQ729" s="377"/>
      <c r="ER729" s="377"/>
      <c r="ES729" s="702"/>
      <c r="ET729" s="702"/>
      <c r="EU729" s="1023"/>
      <c r="EV729" s="377"/>
    </row>
    <row r="730" spans="109:152">
      <c r="DE730" s="377"/>
      <c r="DF730" s="377"/>
      <c r="DG730" s="377"/>
      <c r="DH730" s="377"/>
      <c r="DI730" s="377"/>
      <c r="DJ730" s="377"/>
      <c r="DS730" s="81"/>
      <c r="DZ730" s="81"/>
      <c r="EA730" s="353"/>
      <c r="EB730" s="1501" t="s">
        <v>97</v>
      </c>
      <c r="EC730" s="732" t="s">
        <v>1284</v>
      </c>
      <c r="ED730" s="731">
        <v>0.5</v>
      </c>
      <c r="EE730" s="81"/>
      <c r="EF730" s="81"/>
      <c r="EG730" s="81"/>
      <c r="EM730" s="81"/>
      <c r="EN730" s="377"/>
      <c r="EO730" s="377"/>
      <c r="EP730" s="377"/>
      <c r="EQ730" s="377"/>
      <c r="ER730" s="377"/>
      <c r="ES730" s="702"/>
      <c r="ET730" s="702"/>
      <c r="EU730" s="1023"/>
      <c r="EV730" s="377"/>
    </row>
    <row r="731" spans="109:152">
      <c r="DE731" s="377"/>
      <c r="DF731" s="377"/>
      <c r="DG731" s="377"/>
      <c r="DH731" s="377"/>
      <c r="DI731" s="377"/>
      <c r="DJ731" s="377"/>
      <c r="DS731" s="81"/>
      <c r="DZ731" s="81"/>
      <c r="EA731" s="353"/>
      <c r="EB731" s="1501" t="s">
        <v>98</v>
      </c>
      <c r="EC731" s="732" t="s">
        <v>1284</v>
      </c>
      <c r="ED731" s="731">
        <v>0.5</v>
      </c>
      <c r="EE731" s="81"/>
      <c r="EF731" s="81"/>
      <c r="EG731" s="81"/>
      <c r="EM731" s="81"/>
      <c r="EN731" s="377"/>
      <c r="EO731" s="377"/>
      <c r="EP731" s="377"/>
      <c r="EQ731" s="377"/>
      <c r="ER731" s="377"/>
      <c r="ES731" s="702"/>
      <c r="ET731" s="702"/>
      <c r="EU731" s="1023"/>
      <c r="EV731" s="377"/>
    </row>
    <row r="732" spans="109:152">
      <c r="DE732" s="377"/>
      <c r="DF732" s="377"/>
      <c r="DG732" s="377"/>
      <c r="DH732" s="377"/>
      <c r="DI732" s="377"/>
      <c r="DJ732" s="377"/>
      <c r="DS732" s="81"/>
      <c r="DZ732" s="81"/>
      <c r="EA732" s="353"/>
      <c r="EB732" s="1501" t="s">
        <v>498</v>
      </c>
      <c r="EC732" s="732" t="s">
        <v>1284</v>
      </c>
      <c r="ED732" s="731">
        <v>0.5</v>
      </c>
      <c r="EE732" s="81"/>
      <c r="EF732" s="81"/>
      <c r="EG732" s="81"/>
      <c r="EM732" s="81"/>
      <c r="EN732" s="377"/>
      <c r="EO732" s="377"/>
      <c r="EP732" s="377"/>
      <c r="EQ732" s="377"/>
      <c r="ER732" s="377"/>
      <c r="ES732" s="702"/>
      <c r="ET732" s="702"/>
      <c r="EU732" s="1023"/>
      <c r="EV732" s="377"/>
    </row>
    <row r="733" spans="109:152">
      <c r="DE733" s="377"/>
      <c r="DF733" s="377"/>
      <c r="DG733" s="377"/>
      <c r="DH733" s="377"/>
      <c r="DI733" s="377"/>
      <c r="DJ733" s="377"/>
      <c r="DS733" s="81"/>
      <c r="DZ733" s="81"/>
      <c r="EA733" s="353"/>
      <c r="EB733" s="1501" t="s">
        <v>99</v>
      </c>
      <c r="EC733" s="732" t="s">
        <v>1284</v>
      </c>
      <c r="ED733" s="731">
        <v>0.5</v>
      </c>
      <c r="EE733" s="81"/>
      <c r="EF733" s="81"/>
      <c r="EG733" s="81"/>
      <c r="EM733" s="81"/>
      <c r="EN733" s="377"/>
      <c r="EO733" s="377"/>
      <c r="EP733" s="377"/>
      <c r="EQ733" s="377"/>
      <c r="ER733" s="377"/>
      <c r="ES733" s="702"/>
      <c r="ET733" s="702"/>
      <c r="EU733" s="1023"/>
      <c r="EV733" s="377"/>
    </row>
    <row r="734" spans="109:152">
      <c r="DE734" s="377"/>
      <c r="DF734" s="377"/>
      <c r="DG734" s="377"/>
      <c r="DH734" s="377"/>
      <c r="DI734" s="377"/>
      <c r="DJ734" s="377"/>
      <c r="DS734" s="81"/>
      <c r="DZ734" s="81"/>
      <c r="EA734" s="353"/>
      <c r="EB734" s="1501" t="s">
        <v>100</v>
      </c>
      <c r="EC734" s="732" t="s">
        <v>1284</v>
      </c>
      <c r="ED734" s="731">
        <v>0.5</v>
      </c>
      <c r="EE734" s="81"/>
      <c r="EF734" s="81"/>
      <c r="EG734" s="81"/>
      <c r="EM734" s="81"/>
      <c r="EN734" s="377"/>
      <c r="EO734" s="377"/>
      <c r="EP734" s="377"/>
      <c r="EQ734" s="377"/>
      <c r="ER734" s="377"/>
      <c r="ES734" s="702"/>
      <c r="ET734" s="702"/>
      <c r="EU734" s="1023"/>
      <c r="EV734" s="377"/>
    </row>
    <row r="735" spans="109:152">
      <c r="DE735" s="377"/>
      <c r="DF735" s="377"/>
      <c r="DG735" s="377"/>
      <c r="DH735" s="377"/>
      <c r="DI735" s="377"/>
      <c r="DJ735" s="377"/>
      <c r="DS735" s="81"/>
      <c r="DZ735" s="81"/>
      <c r="EA735" s="353"/>
      <c r="EB735" s="1501" t="s">
        <v>1378</v>
      </c>
      <c r="EC735" s="732" t="s">
        <v>1284</v>
      </c>
      <c r="ED735" s="731">
        <v>0.5</v>
      </c>
      <c r="EE735" s="81"/>
      <c r="EF735" s="81"/>
      <c r="EG735" s="81"/>
      <c r="EM735" s="81"/>
      <c r="EN735" s="377"/>
      <c r="EO735" s="377"/>
      <c r="EP735" s="377"/>
      <c r="EQ735" s="377"/>
      <c r="ER735" s="377"/>
      <c r="ES735" s="702"/>
      <c r="ET735" s="702"/>
      <c r="EU735" s="1023"/>
      <c r="EV735" s="377"/>
    </row>
    <row r="736" spans="109:152">
      <c r="DE736" s="377"/>
      <c r="DF736" s="377"/>
      <c r="DG736" s="377"/>
      <c r="DH736" s="377"/>
      <c r="DI736" s="377"/>
      <c r="DJ736" s="377"/>
      <c r="DS736" s="81"/>
      <c r="DZ736" s="81"/>
      <c r="EA736" s="353"/>
      <c r="EB736" s="1501" t="s">
        <v>73</v>
      </c>
      <c r="EC736" s="732" t="s">
        <v>1284</v>
      </c>
      <c r="ED736" s="731">
        <v>0.5</v>
      </c>
      <c r="EE736" s="81"/>
      <c r="EF736" s="81"/>
      <c r="EG736" s="81"/>
      <c r="EM736" s="81"/>
      <c r="EN736" s="377"/>
      <c r="EO736" s="377"/>
      <c r="EP736" s="377"/>
      <c r="EQ736" s="377"/>
      <c r="ER736" s="377"/>
      <c r="ES736" s="702"/>
      <c r="ET736" s="702"/>
      <c r="EU736" s="1023"/>
      <c r="EV736" s="377"/>
    </row>
    <row r="737" spans="109:152">
      <c r="DE737" s="377"/>
      <c r="DF737" s="377"/>
      <c r="DG737" s="377"/>
      <c r="DH737" s="377"/>
      <c r="DI737" s="377"/>
      <c r="DJ737" s="377"/>
      <c r="DS737" s="81"/>
      <c r="DZ737" s="81"/>
      <c r="EA737" s="353"/>
      <c r="EB737" s="1501" t="s">
        <v>1377</v>
      </c>
      <c r="EC737" s="732" t="s">
        <v>1284</v>
      </c>
      <c r="ED737" s="731">
        <v>0.5</v>
      </c>
      <c r="EE737" s="81"/>
      <c r="EF737" s="81"/>
      <c r="EG737" s="81"/>
      <c r="EM737" s="81"/>
      <c r="EN737" s="377"/>
      <c r="EO737" s="377"/>
      <c r="EP737" s="377"/>
      <c r="EQ737" s="377"/>
      <c r="ER737" s="377"/>
      <c r="ES737" s="702"/>
      <c r="ET737" s="702"/>
      <c r="EU737" s="1023"/>
      <c r="EV737" s="377"/>
    </row>
    <row r="738" spans="109:152">
      <c r="DE738" s="377"/>
      <c r="DF738" s="377"/>
      <c r="DG738" s="377"/>
      <c r="DH738" s="377"/>
      <c r="DI738" s="377"/>
      <c r="DJ738" s="377"/>
      <c r="DS738" s="81"/>
      <c r="DZ738" s="81"/>
      <c r="EA738" s="353"/>
      <c r="EB738" s="1501" t="s">
        <v>1285</v>
      </c>
      <c r="EC738" s="732" t="s">
        <v>1284</v>
      </c>
      <c r="ED738" s="731">
        <v>0.5</v>
      </c>
      <c r="EE738" s="81"/>
      <c r="EF738" s="81"/>
      <c r="EG738" s="81"/>
      <c r="EM738" s="81"/>
      <c r="EN738" s="377"/>
      <c r="EO738" s="377"/>
      <c r="EP738" s="377"/>
      <c r="EQ738" s="377"/>
      <c r="ER738" s="377"/>
      <c r="ES738" s="702"/>
      <c r="ET738" s="702"/>
      <c r="EU738" s="1023"/>
      <c r="EV738" s="377"/>
    </row>
    <row r="739" spans="109:152">
      <c r="DE739" s="377"/>
      <c r="DF739" s="377"/>
      <c r="DG739" s="377"/>
      <c r="DH739" s="377"/>
      <c r="DI739" s="377"/>
      <c r="DJ739" s="377"/>
      <c r="DS739" s="81"/>
      <c r="DZ739" s="81"/>
      <c r="EA739" s="353"/>
      <c r="EB739" s="1501" t="s">
        <v>73</v>
      </c>
      <c r="EC739" s="732" t="s">
        <v>1284</v>
      </c>
      <c r="ED739" s="731">
        <v>0.5</v>
      </c>
      <c r="EE739" s="81"/>
      <c r="EF739" s="81"/>
      <c r="EG739" s="81"/>
      <c r="EM739" s="81"/>
      <c r="EN739" s="377"/>
      <c r="EO739" s="377"/>
      <c r="EP739" s="377"/>
      <c r="EQ739" s="377"/>
      <c r="ER739" s="377"/>
      <c r="ES739" s="702"/>
      <c r="ET739" s="702"/>
      <c r="EU739" s="1023"/>
      <c r="EV739" s="377"/>
    </row>
    <row r="740" spans="109:152">
      <c r="DE740" s="377"/>
      <c r="DF740" s="377"/>
      <c r="DG740" s="377"/>
      <c r="DH740" s="377"/>
      <c r="DI740" s="377"/>
      <c r="DJ740" s="377"/>
      <c r="DS740" s="81"/>
      <c r="DZ740" s="81"/>
      <c r="EA740" s="353"/>
      <c r="EB740" s="1501" t="s">
        <v>1288</v>
      </c>
      <c r="EC740" s="732" t="s">
        <v>1284</v>
      </c>
      <c r="ED740" s="731">
        <v>0.5</v>
      </c>
      <c r="EE740" s="81"/>
      <c r="EF740" s="81"/>
      <c r="EG740" s="81"/>
      <c r="EM740" s="81"/>
      <c r="EN740" s="377"/>
      <c r="EO740" s="377"/>
      <c r="EP740" s="377"/>
      <c r="EQ740" s="377"/>
      <c r="ER740" s="377"/>
      <c r="ES740" s="702"/>
      <c r="ET740" s="702"/>
      <c r="EU740" s="1023"/>
      <c r="EV740" s="377"/>
    </row>
    <row r="741" spans="109:152">
      <c r="DE741" s="377"/>
      <c r="DF741" s="377"/>
      <c r="DG741" s="377"/>
      <c r="DH741" s="377"/>
      <c r="DI741" s="377"/>
      <c r="DJ741" s="377"/>
      <c r="DS741" s="81"/>
      <c r="DZ741" s="81"/>
      <c r="EA741" s="353"/>
      <c r="EB741" s="1501" t="s">
        <v>73</v>
      </c>
      <c r="EC741" s="732" t="s">
        <v>1284</v>
      </c>
      <c r="ED741" s="731">
        <v>0.5</v>
      </c>
      <c r="EE741" s="81"/>
      <c r="EF741" s="81"/>
      <c r="EG741" s="81"/>
      <c r="EM741" s="81"/>
      <c r="EN741" s="377"/>
      <c r="EO741" s="377"/>
      <c r="EP741" s="377"/>
      <c r="EQ741" s="377"/>
      <c r="ER741" s="377"/>
      <c r="ES741" s="702"/>
      <c r="ET741" s="702"/>
      <c r="EU741" s="1023"/>
      <c r="EV741" s="377"/>
    </row>
    <row r="742" spans="109:152">
      <c r="DE742" s="377"/>
      <c r="DF742" s="377"/>
      <c r="DG742" s="377"/>
      <c r="DH742" s="377"/>
      <c r="DI742" s="377"/>
      <c r="DJ742" s="377"/>
      <c r="DS742" s="81"/>
      <c r="DZ742" s="81"/>
      <c r="EA742" s="353"/>
      <c r="EB742" s="1501" t="s">
        <v>1566</v>
      </c>
      <c r="EC742" s="732" t="s">
        <v>1284</v>
      </c>
      <c r="ED742" s="731">
        <v>0.5</v>
      </c>
      <c r="EE742" s="81"/>
      <c r="EF742" s="81"/>
      <c r="EG742" s="81"/>
      <c r="EM742" s="81"/>
      <c r="EN742" s="377"/>
      <c r="EO742" s="377"/>
      <c r="EP742" s="377"/>
      <c r="EQ742" s="377"/>
      <c r="ER742" s="377"/>
      <c r="ES742" s="702"/>
      <c r="ET742" s="702"/>
      <c r="EU742" s="1023"/>
      <c r="EV742" s="377"/>
    </row>
    <row r="743" spans="109:152">
      <c r="DE743" s="377"/>
      <c r="DF743" s="377"/>
      <c r="DG743" s="377"/>
      <c r="DH743" s="377"/>
      <c r="DI743" s="377"/>
      <c r="DJ743" s="377"/>
      <c r="DS743" s="81"/>
      <c r="DZ743" s="81"/>
      <c r="EA743" s="353"/>
      <c r="EB743" s="1501" t="s">
        <v>73</v>
      </c>
      <c r="EC743" s="732" t="s">
        <v>1284</v>
      </c>
      <c r="ED743" s="731">
        <v>0.5</v>
      </c>
      <c r="EE743" s="81"/>
      <c r="EF743" s="81"/>
      <c r="EG743" s="81"/>
      <c r="EM743" s="81"/>
      <c r="EN743" s="377"/>
      <c r="EO743" s="377"/>
      <c r="EP743" s="377"/>
      <c r="EQ743" s="377"/>
      <c r="ER743" s="377"/>
      <c r="ES743" s="702"/>
      <c r="ET743" s="702"/>
      <c r="EU743" s="1023"/>
      <c r="EV743" s="377"/>
    </row>
    <row r="744" spans="109:152">
      <c r="DE744" s="377"/>
      <c r="DF744" s="377"/>
      <c r="DG744" s="377"/>
      <c r="DH744" s="377"/>
      <c r="DI744" s="377"/>
      <c r="DJ744" s="377"/>
      <c r="DS744" s="81"/>
      <c r="DZ744" s="81"/>
      <c r="EA744" s="353"/>
      <c r="EB744" s="1501" t="s">
        <v>1655</v>
      </c>
      <c r="EC744" s="732" t="s">
        <v>1284</v>
      </c>
      <c r="ED744" s="731">
        <v>0.5</v>
      </c>
      <c r="EE744" s="81"/>
      <c r="EF744" s="81"/>
      <c r="EG744" s="81"/>
      <c r="EM744" s="81"/>
      <c r="EN744" s="377"/>
      <c r="EO744" s="377"/>
      <c r="EP744" s="377"/>
      <c r="EQ744" s="377"/>
      <c r="ER744" s="377"/>
      <c r="ES744" s="702"/>
      <c r="ET744" s="702"/>
      <c r="EU744" s="1023"/>
      <c r="EV744" s="377"/>
    </row>
    <row r="745" spans="109:152">
      <c r="DE745" s="377"/>
      <c r="DF745" s="377"/>
      <c r="DG745" s="377"/>
      <c r="DH745" s="377"/>
      <c r="DI745" s="377"/>
      <c r="DJ745" s="377"/>
      <c r="DS745" s="81"/>
      <c r="DZ745" s="81"/>
      <c r="EA745" s="353"/>
      <c r="EB745" s="1501" t="s">
        <v>1212</v>
      </c>
      <c r="EC745" s="732" t="s">
        <v>1284</v>
      </c>
      <c r="ED745" s="731">
        <v>0.5</v>
      </c>
      <c r="EE745" s="81"/>
      <c r="EF745" s="81"/>
      <c r="EG745" s="81"/>
      <c r="EM745" s="81"/>
      <c r="EN745" s="377"/>
      <c r="EO745" s="377"/>
      <c r="EP745" s="377"/>
      <c r="EQ745" s="377"/>
      <c r="ER745" s="377"/>
      <c r="ES745" s="702"/>
      <c r="ET745" s="702"/>
      <c r="EU745" s="1023"/>
      <c r="EV745" s="377"/>
    </row>
    <row r="746" spans="109:152">
      <c r="DE746" s="377"/>
      <c r="DF746" s="377"/>
      <c r="DG746" s="377"/>
      <c r="DH746" s="377"/>
      <c r="DI746" s="377"/>
      <c r="DJ746" s="377"/>
      <c r="DS746" s="81"/>
      <c r="DZ746" s="81"/>
      <c r="EA746" s="353"/>
      <c r="EB746" s="1501" t="s">
        <v>418</v>
      </c>
      <c r="EC746" s="732" t="s">
        <v>1284</v>
      </c>
      <c r="ED746" s="731">
        <v>0.5</v>
      </c>
      <c r="EE746" s="81"/>
      <c r="EF746" s="81"/>
      <c r="EG746" s="81"/>
      <c r="EM746" s="81"/>
      <c r="EN746" s="377"/>
      <c r="EO746" s="377"/>
      <c r="EP746" s="377"/>
      <c r="EQ746" s="377"/>
      <c r="ER746" s="377"/>
      <c r="ES746" s="702"/>
      <c r="ET746" s="702"/>
      <c r="EU746" s="1023"/>
      <c r="EV746" s="377"/>
    </row>
    <row r="747" spans="109:152">
      <c r="DE747" s="377"/>
      <c r="DF747" s="377"/>
      <c r="DG747" s="377"/>
      <c r="DH747" s="377"/>
      <c r="DI747" s="377"/>
      <c r="DJ747" s="377"/>
      <c r="DS747" s="81"/>
      <c r="DZ747" s="81"/>
      <c r="EA747" s="353"/>
      <c r="EB747" s="1499" t="s">
        <v>101</v>
      </c>
      <c r="EC747" s="730" t="s">
        <v>1567</v>
      </c>
      <c r="ED747" s="731">
        <v>0.5</v>
      </c>
      <c r="EE747" s="81"/>
      <c r="EF747" s="81"/>
      <c r="EG747" s="377"/>
      <c r="EM747" s="377"/>
      <c r="EN747" s="377"/>
      <c r="EO747" s="377"/>
      <c r="EP747" s="377"/>
      <c r="EQ747" s="377"/>
      <c r="ER747" s="377"/>
      <c r="ES747" s="702"/>
      <c r="ET747" s="702"/>
      <c r="EU747" s="1023"/>
      <c r="EV747" s="377"/>
    </row>
    <row r="748" spans="109:152">
      <c r="DE748" s="377"/>
      <c r="DF748" s="377"/>
      <c r="DG748" s="377"/>
      <c r="DH748" s="377"/>
      <c r="DI748" s="377"/>
      <c r="DJ748" s="377"/>
      <c r="DS748" s="81"/>
      <c r="DZ748" s="81"/>
      <c r="EA748" s="353"/>
      <c r="EB748" s="1499" t="s">
        <v>101</v>
      </c>
      <c r="EC748" s="730" t="s">
        <v>1761</v>
      </c>
      <c r="ED748" s="731">
        <v>0.5</v>
      </c>
      <c r="EE748" s="81"/>
      <c r="EF748" s="81"/>
      <c r="EG748" s="377"/>
      <c r="EM748" s="377"/>
      <c r="EN748" s="377"/>
      <c r="EO748" s="377"/>
      <c r="EP748" s="377"/>
      <c r="EQ748" s="377"/>
      <c r="ER748" s="377"/>
      <c r="ES748" s="702"/>
      <c r="ET748" s="702"/>
      <c r="EU748" s="1023"/>
      <c r="EV748" s="377"/>
    </row>
    <row r="749" spans="109:152">
      <c r="DE749" s="377"/>
      <c r="DF749" s="377"/>
      <c r="DG749" s="377"/>
      <c r="DH749" s="377"/>
      <c r="DI749" s="377"/>
      <c r="DJ749" s="377"/>
      <c r="DS749" s="81"/>
      <c r="DZ749" s="81"/>
      <c r="EA749" s="353"/>
      <c r="EB749" s="1499" t="s">
        <v>101</v>
      </c>
      <c r="EC749" s="730" t="s">
        <v>1745</v>
      </c>
      <c r="ED749" s="731">
        <v>0.5</v>
      </c>
      <c r="EE749" s="81"/>
      <c r="EF749" s="81"/>
      <c r="EG749" s="377"/>
      <c r="EM749" s="377"/>
      <c r="EN749" s="377"/>
      <c r="EO749" s="377"/>
      <c r="EP749" s="377"/>
      <c r="EQ749" s="377"/>
      <c r="ER749" s="377"/>
      <c r="ES749" s="702"/>
      <c r="ET749" s="702"/>
      <c r="EU749" s="1023"/>
      <c r="EV749" s="377"/>
    </row>
    <row r="750" spans="109:152">
      <c r="DE750" s="377"/>
      <c r="DF750" s="377"/>
      <c r="DG750" s="377"/>
      <c r="DH750" s="377"/>
      <c r="DI750" s="377"/>
      <c r="DJ750" s="377"/>
      <c r="DS750" s="81"/>
      <c r="DZ750" s="81"/>
      <c r="EA750" s="353"/>
      <c r="EB750" s="1499" t="s">
        <v>101</v>
      </c>
      <c r="EC750" s="730" t="s">
        <v>1746</v>
      </c>
      <c r="ED750" s="731">
        <v>0.5</v>
      </c>
      <c r="EE750" s="81"/>
      <c r="EF750" s="81"/>
      <c r="EG750" s="377"/>
      <c r="EM750" s="377"/>
      <c r="EN750" s="377"/>
      <c r="EO750" s="377"/>
      <c r="EP750" s="377"/>
      <c r="EQ750" s="377"/>
      <c r="ER750" s="377"/>
      <c r="ES750" s="702"/>
      <c r="ET750" s="702"/>
      <c r="EU750" s="1023"/>
      <c r="EV750" s="377"/>
    </row>
    <row r="751" spans="109:152">
      <c r="DE751" s="377"/>
      <c r="DF751" s="377"/>
      <c r="DG751" s="377"/>
      <c r="DH751" s="377"/>
      <c r="DI751" s="377"/>
      <c r="DJ751" s="377"/>
      <c r="DS751" s="81"/>
      <c r="DZ751" s="81"/>
      <c r="EA751" s="353"/>
      <c r="EB751" s="1499" t="s">
        <v>101</v>
      </c>
      <c r="EC751" s="730" t="s">
        <v>1747</v>
      </c>
      <c r="ED751" s="731">
        <v>0.5</v>
      </c>
      <c r="EE751" s="81"/>
      <c r="EF751" s="81"/>
      <c r="EG751" s="377"/>
      <c r="EM751" s="377"/>
      <c r="EN751" s="377"/>
      <c r="EO751" s="377"/>
      <c r="EP751" s="377"/>
      <c r="EQ751" s="377"/>
      <c r="ER751" s="377"/>
      <c r="ES751" s="702"/>
      <c r="ET751" s="702"/>
      <c r="EU751" s="1023"/>
      <c r="EV751" s="377"/>
    </row>
    <row r="752" spans="109:152">
      <c r="DE752" s="377"/>
      <c r="DF752" s="377"/>
      <c r="DG752" s="377"/>
      <c r="DH752" s="377"/>
      <c r="DI752" s="377"/>
      <c r="DJ752" s="377"/>
      <c r="DS752" s="81"/>
      <c r="DX752" s="332"/>
      <c r="DZ752" s="81"/>
      <c r="EA752" s="353"/>
      <c r="EB752" s="1499" t="s">
        <v>101</v>
      </c>
      <c r="EC752" s="730" t="s">
        <v>1748</v>
      </c>
      <c r="ED752" s="731">
        <v>0.5</v>
      </c>
      <c r="EE752" s="81"/>
      <c r="EF752" s="81"/>
      <c r="EG752" s="377"/>
      <c r="EM752" s="377"/>
      <c r="EN752" s="377"/>
      <c r="EO752" s="377"/>
      <c r="EP752" s="377"/>
      <c r="EQ752" s="377"/>
      <c r="ER752" s="377"/>
      <c r="ES752" s="702"/>
      <c r="ET752" s="702"/>
      <c r="EU752" s="1023"/>
      <c r="EV752" s="377"/>
    </row>
    <row r="753" spans="109:152">
      <c r="DE753" s="377"/>
      <c r="DF753" s="377"/>
      <c r="DG753" s="377"/>
      <c r="DH753" s="377"/>
      <c r="DI753" s="377"/>
      <c r="DJ753" s="377"/>
      <c r="DS753" s="81"/>
      <c r="DX753" s="454"/>
      <c r="DZ753" s="81"/>
      <c r="EA753" s="353"/>
      <c r="EB753" s="1499" t="s">
        <v>101</v>
      </c>
      <c r="EC753" s="730" t="s">
        <v>1749</v>
      </c>
      <c r="ED753" s="731">
        <v>0.5</v>
      </c>
      <c r="EE753" s="81"/>
      <c r="EF753" s="81"/>
      <c r="EG753" s="377"/>
      <c r="EM753" s="377"/>
      <c r="EN753" s="377"/>
      <c r="EO753" s="377"/>
      <c r="EP753" s="377"/>
      <c r="EQ753" s="377"/>
      <c r="ER753" s="377"/>
      <c r="ES753" s="702"/>
      <c r="ET753" s="702"/>
      <c r="EU753" s="1023"/>
      <c r="EV753" s="377"/>
    </row>
    <row r="754" spans="109:152">
      <c r="DE754" s="377"/>
      <c r="DF754" s="377"/>
      <c r="DG754" s="377"/>
      <c r="DH754" s="377"/>
      <c r="DI754" s="377"/>
      <c r="DJ754" s="377"/>
      <c r="DS754" s="81"/>
      <c r="DX754" s="332"/>
      <c r="DZ754" s="81"/>
      <c r="EA754" s="353"/>
      <c r="EB754" s="1499" t="s">
        <v>101</v>
      </c>
      <c r="EC754" s="730" t="s">
        <v>1750</v>
      </c>
      <c r="ED754" s="731">
        <v>0.5</v>
      </c>
      <c r="EE754" s="81"/>
      <c r="EF754" s="81"/>
      <c r="EG754" s="377"/>
      <c r="EM754" s="377"/>
      <c r="EN754" s="377"/>
      <c r="EO754" s="377"/>
      <c r="EP754" s="377"/>
      <c r="EQ754" s="377"/>
      <c r="ER754" s="377"/>
      <c r="ES754" s="702"/>
      <c r="ET754" s="702"/>
      <c r="EU754" s="1023"/>
      <c r="EV754" s="377"/>
    </row>
    <row r="755" spans="109:152">
      <c r="DE755" s="377"/>
      <c r="DF755" s="377"/>
      <c r="DG755" s="377"/>
      <c r="DH755" s="377"/>
      <c r="DI755" s="377"/>
      <c r="DJ755" s="377"/>
      <c r="DS755" s="81"/>
      <c r="DX755" s="332"/>
      <c r="DZ755" s="81"/>
      <c r="EA755" s="353"/>
      <c r="EB755" s="1499" t="s">
        <v>101</v>
      </c>
      <c r="EC755" s="730" t="s">
        <v>1751</v>
      </c>
      <c r="ED755" s="731">
        <v>0.5</v>
      </c>
      <c r="EE755" s="81"/>
      <c r="EF755" s="81"/>
      <c r="EG755" s="377"/>
      <c r="EM755" s="377"/>
      <c r="EN755" s="377"/>
      <c r="EO755" s="377"/>
      <c r="EP755" s="377"/>
      <c r="EQ755" s="377"/>
      <c r="ER755" s="377"/>
      <c r="ES755" s="702"/>
      <c r="ET755" s="702"/>
      <c r="EU755" s="1023"/>
      <c r="EV755" s="377"/>
    </row>
    <row r="756" spans="109:152">
      <c r="DE756" s="377"/>
      <c r="DF756" s="377"/>
      <c r="DG756" s="377"/>
      <c r="DH756" s="377"/>
      <c r="DI756" s="377"/>
      <c r="DJ756" s="377"/>
      <c r="DS756" s="81"/>
      <c r="DX756" s="332"/>
      <c r="DZ756" s="81"/>
      <c r="EA756" s="353"/>
      <c r="EB756" s="1499" t="s">
        <v>101</v>
      </c>
      <c r="EC756" s="730" t="s">
        <v>1752</v>
      </c>
      <c r="ED756" s="731">
        <v>0.5</v>
      </c>
      <c r="EE756" s="81"/>
      <c r="EF756" s="81"/>
      <c r="EG756" s="377"/>
      <c r="EM756" s="377"/>
      <c r="EN756" s="377"/>
      <c r="EO756" s="377"/>
      <c r="EP756" s="377"/>
      <c r="EQ756" s="377"/>
      <c r="ER756" s="377"/>
      <c r="ES756" s="702"/>
      <c r="ET756" s="702"/>
      <c r="EU756" s="1023"/>
      <c r="EV756" s="377"/>
    </row>
    <row r="757" spans="109:152">
      <c r="DE757" s="377"/>
      <c r="DF757" s="377"/>
      <c r="DG757" s="377"/>
      <c r="DH757" s="377"/>
      <c r="DI757" s="377"/>
      <c r="DJ757" s="377"/>
      <c r="DS757" s="81"/>
      <c r="DX757" s="332"/>
      <c r="DZ757" s="81"/>
      <c r="EA757" s="353"/>
      <c r="EB757" s="1499" t="s">
        <v>101</v>
      </c>
      <c r="EC757" s="730" t="s">
        <v>1753</v>
      </c>
      <c r="ED757" s="731">
        <v>0.5</v>
      </c>
      <c r="EE757" s="81"/>
      <c r="EF757" s="81"/>
      <c r="EG757" s="377"/>
      <c r="EM757" s="377"/>
      <c r="EN757" s="377"/>
      <c r="EO757" s="377"/>
      <c r="EP757" s="377"/>
      <c r="EQ757" s="377"/>
      <c r="ER757" s="377"/>
      <c r="ES757" s="702"/>
      <c r="ET757" s="702"/>
      <c r="EU757" s="1023"/>
      <c r="EV757" s="377"/>
    </row>
    <row r="758" spans="109:152">
      <c r="DE758" s="377"/>
      <c r="DF758" s="377"/>
      <c r="DG758" s="377"/>
      <c r="DH758" s="377"/>
      <c r="DI758" s="377"/>
      <c r="DJ758" s="377"/>
      <c r="DS758" s="81"/>
      <c r="DX758" s="332"/>
      <c r="DZ758" s="377"/>
      <c r="EA758" s="390"/>
      <c r="EB758" s="1499" t="s">
        <v>101</v>
      </c>
      <c r="EC758" s="730" t="s">
        <v>1754</v>
      </c>
      <c r="ED758" s="731">
        <v>0.5</v>
      </c>
      <c r="EE758" s="81"/>
      <c r="EF758" s="81"/>
      <c r="EG758" s="377"/>
      <c r="EM758" s="377"/>
      <c r="EN758" s="377"/>
      <c r="EO758" s="377"/>
      <c r="EP758" s="377"/>
      <c r="EQ758" s="377"/>
      <c r="ER758" s="377"/>
      <c r="ES758" s="702"/>
      <c r="ET758" s="702"/>
      <c r="EU758" s="1023"/>
      <c r="EV758" s="377"/>
    </row>
    <row r="759" spans="109:152">
      <c r="DE759" s="377"/>
      <c r="DF759" s="377"/>
      <c r="DG759" s="377"/>
      <c r="DH759" s="377"/>
      <c r="DI759" s="377"/>
      <c r="DJ759" s="377"/>
      <c r="DS759" s="377"/>
      <c r="DX759" s="332"/>
      <c r="DZ759" s="377"/>
      <c r="EA759" s="390"/>
      <c r="EB759" s="1499" t="s">
        <v>101</v>
      </c>
      <c r="EC759" s="730" t="s">
        <v>1755</v>
      </c>
      <c r="ED759" s="731">
        <v>0.5</v>
      </c>
      <c r="EE759" s="81"/>
      <c r="EF759" s="81"/>
      <c r="EG759" s="377"/>
      <c r="EM759" s="377"/>
      <c r="EN759" s="377"/>
      <c r="EO759" s="377"/>
      <c r="EP759" s="377"/>
      <c r="EQ759" s="377"/>
      <c r="ER759" s="377"/>
      <c r="ES759" s="702"/>
      <c r="ET759" s="702"/>
      <c r="EU759" s="1023"/>
      <c r="EV759" s="377"/>
    </row>
    <row r="760" spans="109:152">
      <c r="DE760" s="377"/>
      <c r="DF760" s="377"/>
      <c r="DG760" s="377"/>
      <c r="DH760" s="377"/>
      <c r="DI760" s="377"/>
      <c r="DJ760" s="377"/>
      <c r="DS760" s="377"/>
      <c r="DX760" s="332"/>
      <c r="EB760" s="1499" t="s">
        <v>101</v>
      </c>
      <c r="EC760" s="730" t="s">
        <v>1875</v>
      </c>
      <c r="ED760" s="731">
        <v>0.5</v>
      </c>
      <c r="EE760" s="81"/>
      <c r="EF760" s="81"/>
      <c r="EG760" s="377"/>
      <c r="EM760" s="377"/>
      <c r="EN760" s="377"/>
      <c r="EO760" s="377"/>
      <c r="EP760" s="377"/>
      <c r="EQ760" s="377"/>
      <c r="ER760" s="377"/>
      <c r="ES760" s="702"/>
      <c r="ET760" s="702"/>
      <c r="EU760" s="1023"/>
      <c r="EV760" s="377"/>
    </row>
    <row r="761" spans="109:152">
      <c r="DX761" s="332"/>
      <c r="EB761" s="1499" t="s">
        <v>101</v>
      </c>
      <c r="EC761" s="730" t="s">
        <v>1757</v>
      </c>
      <c r="ED761" s="731">
        <v>0.5</v>
      </c>
      <c r="EE761" s="81"/>
      <c r="EF761" s="81"/>
      <c r="EV761" s="377"/>
    </row>
    <row r="762" spans="109:152">
      <c r="DX762" s="332"/>
      <c r="EB762" s="1499" t="s">
        <v>101</v>
      </c>
      <c r="EC762" s="730" t="s">
        <v>1758</v>
      </c>
      <c r="ED762" s="731">
        <v>0.5</v>
      </c>
      <c r="EE762" s="81"/>
      <c r="EF762" s="81"/>
      <c r="EV762" s="377"/>
    </row>
    <row r="763" spans="109:152">
      <c r="DX763" s="332"/>
      <c r="EB763" s="1499" t="s">
        <v>101</v>
      </c>
      <c r="EC763" s="730" t="s">
        <v>1759</v>
      </c>
      <c r="ED763" s="731">
        <v>0.5</v>
      </c>
      <c r="EE763" s="81"/>
      <c r="EF763" s="81"/>
      <c r="EV763" s="377"/>
    </row>
    <row r="764" spans="109:152">
      <c r="DX764" s="332"/>
      <c r="EB764" s="1499" t="s">
        <v>101</v>
      </c>
      <c r="EC764" s="730" t="s">
        <v>455</v>
      </c>
      <c r="ED764" s="731">
        <v>0.5</v>
      </c>
      <c r="EE764" s="81"/>
      <c r="EF764" s="81"/>
      <c r="EV764" s="377"/>
    </row>
    <row r="765" spans="109:152">
      <c r="DX765" s="332"/>
      <c r="EB765" s="1499" t="s">
        <v>101</v>
      </c>
      <c r="EC765" s="730" t="s">
        <v>1760</v>
      </c>
      <c r="ED765" s="731">
        <v>0.5</v>
      </c>
      <c r="EE765" s="81"/>
      <c r="EF765" s="81"/>
      <c r="EV765" s="377"/>
    </row>
    <row r="766" spans="109:152">
      <c r="DX766" s="332"/>
      <c r="EB766" s="1499" t="s">
        <v>101</v>
      </c>
      <c r="EC766" s="730" t="s">
        <v>1596</v>
      </c>
      <c r="ED766" s="731">
        <v>0.5</v>
      </c>
      <c r="EE766" s="81"/>
      <c r="EF766" s="81"/>
      <c r="EV766" s="377"/>
    </row>
    <row r="767" spans="109:152">
      <c r="DX767" s="332"/>
      <c r="EB767" s="1499" t="s">
        <v>101</v>
      </c>
      <c r="EC767" s="730" t="s">
        <v>1591</v>
      </c>
      <c r="ED767" s="731">
        <v>0.5</v>
      </c>
      <c r="EE767" s="81"/>
      <c r="EF767" s="81"/>
      <c r="EV767" s="377"/>
    </row>
    <row r="768" spans="109:152">
      <c r="DX768" s="332"/>
      <c r="EB768" s="1499" t="s">
        <v>101</v>
      </c>
      <c r="EC768" s="730" t="s">
        <v>1592</v>
      </c>
      <c r="ED768" s="731">
        <v>0.5</v>
      </c>
      <c r="EE768" s="81"/>
      <c r="EF768" s="81"/>
      <c r="EV768" s="377"/>
    </row>
    <row r="769" spans="128:152">
      <c r="DX769" s="332"/>
      <c r="EB769" s="1499" t="s">
        <v>101</v>
      </c>
      <c r="EC769" s="730" t="s">
        <v>1597</v>
      </c>
      <c r="ED769" s="731">
        <v>0.5</v>
      </c>
      <c r="EE769" s="81"/>
      <c r="EF769" s="81"/>
      <c r="EV769" s="377"/>
    </row>
    <row r="770" spans="128:152">
      <c r="DX770" s="332"/>
      <c r="EB770" s="1499" t="s">
        <v>101</v>
      </c>
      <c r="EC770" s="730" t="s">
        <v>1598</v>
      </c>
      <c r="ED770" s="731">
        <v>0.5</v>
      </c>
      <c r="EE770" s="81"/>
      <c r="EF770" s="81"/>
      <c r="EV770" s="377"/>
    </row>
    <row r="771" spans="128:152">
      <c r="DX771" s="332"/>
      <c r="EB771" s="1499" t="s">
        <v>101</v>
      </c>
      <c r="EC771" s="730" t="s">
        <v>1599</v>
      </c>
      <c r="ED771" s="731">
        <v>0.5</v>
      </c>
      <c r="EE771" s="81"/>
      <c r="EF771" s="81"/>
      <c r="EV771" s="377"/>
    </row>
    <row r="772" spans="128:152">
      <c r="DX772" s="332"/>
      <c r="EB772" s="1499" t="s">
        <v>101</v>
      </c>
      <c r="EC772" s="730" t="s">
        <v>1600</v>
      </c>
      <c r="ED772" s="731">
        <v>0.5</v>
      </c>
      <c r="EE772" s="81"/>
      <c r="EF772" s="81"/>
      <c r="EV772" s="377"/>
    </row>
    <row r="773" spans="128:152">
      <c r="EB773" s="1499" t="s">
        <v>101</v>
      </c>
      <c r="EC773" s="730" t="s">
        <v>73</v>
      </c>
      <c r="ED773" s="731">
        <v>0.5</v>
      </c>
      <c r="EE773" s="81"/>
      <c r="EF773" s="81"/>
      <c r="EV773" s="377"/>
    </row>
    <row r="774" spans="128:152">
      <c r="EB774" s="1499" t="s">
        <v>101</v>
      </c>
      <c r="EC774" s="730" t="s">
        <v>1269</v>
      </c>
      <c r="ED774" s="731">
        <v>0.5</v>
      </c>
      <c r="EE774" s="81"/>
      <c r="EF774" s="81"/>
      <c r="EV774" s="377"/>
    </row>
    <row r="775" spans="128:152">
      <c r="EB775" s="1499" t="s">
        <v>101</v>
      </c>
      <c r="EC775" s="730" t="s">
        <v>1566</v>
      </c>
      <c r="ED775" s="731">
        <v>0.5</v>
      </c>
      <c r="EE775" s="81"/>
      <c r="EF775" s="81"/>
      <c r="EV775" s="377"/>
    </row>
    <row r="776" spans="128:152">
      <c r="EB776" s="1499" t="s">
        <v>101</v>
      </c>
      <c r="EC776" s="730" t="s">
        <v>73</v>
      </c>
      <c r="ED776" s="731">
        <v>0.5</v>
      </c>
      <c r="EE776" s="81"/>
      <c r="EF776" s="81"/>
      <c r="EV776" s="377"/>
    </row>
    <row r="777" spans="128:152">
      <c r="EB777" s="1499" t="s">
        <v>101</v>
      </c>
      <c r="EC777" s="730" t="s">
        <v>1209</v>
      </c>
      <c r="ED777" s="731">
        <v>0.5</v>
      </c>
      <c r="EE777" s="5"/>
      <c r="EF777" s="5"/>
      <c r="EV777" s="377"/>
    </row>
    <row r="778" spans="128:152">
      <c r="EB778" s="1499" t="s">
        <v>101</v>
      </c>
      <c r="EC778" s="730" t="s">
        <v>455</v>
      </c>
      <c r="ED778" s="731">
        <v>0.5</v>
      </c>
      <c r="EE778" s="5"/>
      <c r="EF778" s="5"/>
      <c r="EV778" s="377"/>
    </row>
    <row r="779" spans="128:152">
      <c r="EB779" s="1499" t="s">
        <v>101</v>
      </c>
      <c r="EC779" s="730" t="s">
        <v>73</v>
      </c>
      <c r="ED779" s="731">
        <v>0.5</v>
      </c>
      <c r="EE779" s="5"/>
      <c r="EF779" s="5"/>
      <c r="EV779" s="377"/>
    </row>
    <row r="780" spans="128:152">
      <c r="EB780" s="1499" t="s">
        <v>101</v>
      </c>
      <c r="EC780" s="730" t="s">
        <v>1656</v>
      </c>
      <c r="ED780" s="731">
        <v>0.5</v>
      </c>
      <c r="EE780" s="5"/>
      <c r="EF780" s="5"/>
      <c r="EV780" s="377"/>
    </row>
    <row r="781" spans="128:152">
      <c r="EB781" s="1499" t="s">
        <v>101</v>
      </c>
      <c r="EC781" s="730" t="s">
        <v>1656</v>
      </c>
      <c r="ED781" s="731">
        <v>0.5</v>
      </c>
      <c r="EE781" s="5"/>
      <c r="EF781" s="5"/>
      <c r="EV781" s="377"/>
    </row>
    <row r="782" spans="128:152">
      <c r="EB782" s="1499" t="s">
        <v>102</v>
      </c>
      <c r="EC782" s="730" t="s">
        <v>1567</v>
      </c>
      <c r="ED782" s="731">
        <v>0.5</v>
      </c>
      <c r="EE782" s="5"/>
      <c r="EF782" s="5"/>
      <c r="EV782" s="377"/>
    </row>
    <row r="783" spans="128:152">
      <c r="EB783" s="1499" t="s">
        <v>102</v>
      </c>
      <c r="EC783" s="730" t="s">
        <v>1761</v>
      </c>
      <c r="ED783" s="731">
        <v>0.5</v>
      </c>
      <c r="EE783" s="5"/>
      <c r="EF783" s="5"/>
      <c r="EV783" s="377"/>
    </row>
    <row r="784" spans="128:152">
      <c r="EB784" s="1499" t="s">
        <v>102</v>
      </c>
      <c r="EC784" s="730" t="s">
        <v>1745</v>
      </c>
      <c r="ED784" s="731">
        <v>0.5</v>
      </c>
      <c r="EE784" s="5"/>
      <c r="EF784" s="5"/>
      <c r="EV784" s="377"/>
    </row>
    <row r="785" spans="132:152">
      <c r="EB785" s="1499" t="s">
        <v>102</v>
      </c>
      <c r="EC785" s="730" t="s">
        <v>1746</v>
      </c>
      <c r="ED785" s="731">
        <v>0.5</v>
      </c>
      <c r="EE785" s="5"/>
      <c r="EF785" s="5"/>
      <c r="EV785" s="377"/>
    </row>
    <row r="786" spans="132:152">
      <c r="EB786" s="1499" t="s">
        <v>102</v>
      </c>
      <c r="EC786" s="730" t="s">
        <v>1747</v>
      </c>
      <c r="ED786" s="731">
        <v>0.5</v>
      </c>
      <c r="EE786" s="5"/>
      <c r="EF786" s="5"/>
      <c r="EV786" s="377"/>
    </row>
    <row r="787" spans="132:152">
      <c r="EB787" s="1499" t="s">
        <v>102</v>
      </c>
      <c r="EC787" s="730" t="s">
        <v>1748</v>
      </c>
      <c r="ED787" s="731">
        <v>0.5</v>
      </c>
      <c r="EE787" s="5"/>
      <c r="EF787" s="5"/>
      <c r="EV787" s="377"/>
    </row>
    <row r="788" spans="132:152">
      <c r="EB788" s="1499" t="s">
        <v>102</v>
      </c>
      <c r="EC788" s="730" t="s">
        <v>1749</v>
      </c>
      <c r="ED788" s="731">
        <v>0.5</v>
      </c>
      <c r="EE788" s="5"/>
      <c r="EF788" s="5"/>
      <c r="EV788" s="377"/>
    </row>
    <row r="789" spans="132:152">
      <c r="EB789" s="1499" t="s">
        <v>102</v>
      </c>
      <c r="EC789" s="730" t="s">
        <v>1750</v>
      </c>
      <c r="ED789" s="731">
        <v>0.5</v>
      </c>
      <c r="EE789" s="5"/>
      <c r="EF789" s="5"/>
      <c r="EV789" s="377"/>
    </row>
    <row r="790" spans="132:152">
      <c r="EB790" s="1499" t="s">
        <v>102</v>
      </c>
      <c r="EC790" s="730" t="s">
        <v>1751</v>
      </c>
      <c r="ED790" s="731">
        <v>0.5</v>
      </c>
      <c r="EE790" s="5"/>
      <c r="EF790" s="5"/>
      <c r="EV790" s="377"/>
    </row>
    <row r="791" spans="132:152">
      <c r="EB791" s="1499" t="s">
        <v>102</v>
      </c>
      <c r="EC791" s="730" t="s">
        <v>1752</v>
      </c>
      <c r="ED791" s="731">
        <v>0.5</v>
      </c>
      <c r="EE791" s="5"/>
      <c r="EF791" s="5"/>
      <c r="EV791" s="377"/>
    </row>
    <row r="792" spans="132:152">
      <c r="EB792" s="1499" t="s">
        <v>102</v>
      </c>
      <c r="EC792" s="730" t="s">
        <v>1753</v>
      </c>
      <c r="ED792" s="731">
        <v>0.5</v>
      </c>
      <c r="EE792" s="5"/>
      <c r="EF792" s="5"/>
      <c r="EV792" s="377"/>
    </row>
    <row r="793" spans="132:152">
      <c r="EB793" s="1499" t="s">
        <v>102</v>
      </c>
      <c r="EC793" s="730" t="s">
        <v>1754</v>
      </c>
      <c r="ED793" s="731">
        <v>0.5</v>
      </c>
      <c r="EV793" s="377"/>
    </row>
    <row r="794" spans="132:152">
      <c r="EB794" s="1499" t="s">
        <v>102</v>
      </c>
      <c r="EC794" s="730" t="s">
        <v>1755</v>
      </c>
      <c r="ED794" s="731">
        <v>0.5</v>
      </c>
      <c r="EV794" s="377"/>
    </row>
    <row r="795" spans="132:152">
      <c r="EB795" s="1499" t="s">
        <v>102</v>
      </c>
      <c r="EC795" s="730" t="s">
        <v>1875</v>
      </c>
      <c r="ED795" s="731">
        <v>0.5</v>
      </c>
      <c r="EV795" s="377"/>
    </row>
    <row r="796" spans="132:152">
      <c r="EB796" s="1499" t="s">
        <v>102</v>
      </c>
      <c r="EC796" s="730" t="s">
        <v>1757</v>
      </c>
      <c r="ED796" s="731">
        <v>0.5</v>
      </c>
      <c r="EV796" s="377"/>
    </row>
    <row r="797" spans="132:152">
      <c r="EB797" s="1499" t="s">
        <v>102</v>
      </c>
      <c r="EC797" s="730" t="s">
        <v>1758</v>
      </c>
      <c r="ED797" s="731">
        <v>0.5</v>
      </c>
      <c r="EV797" s="377"/>
    </row>
    <row r="798" spans="132:152">
      <c r="EB798" s="1499" t="s">
        <v>102</v>
      </c>
      <c r="EC798" s="730" t="s">
        <v>1759</v>
      </c>
      <c r="ED798" s="731">
        <v>0.5</v>
      </c>
      <c r="EV798" s="377"/>
    </row>
    <row r="799" spans="132:152">
      <c r="EB799" s="1499" t="s">
        <v>102</v>
      </c>
      <c r="EC799" s="730" t="s">
        <v>455</v>
      </c>
      <c r="ED799" s="731">
        <v>0.5</v>
      </c>
      <c r="EV799" s="377"/>
    </row>
    <row r="800" spans="132:152">
      <c r="EB800" s="1499" t="s">
        <v>102</v>
      </c>
      <c r="EC800" s="730" t="s">
        <v>1760</v>
      </c>
      <c r="ED800" s="731">
        <v>0.5</v>
      </c>
      <c r="EV800" s="377"/>
    </row>
    <row r="801" spans="132:152">
      <c r="EB801" s="1499" t="s">
        <v>102</v>
      </c>
      <c r="EC801" s="730" t="s">
        <v>1656</v>
      </c>
      <c r="ED801" s="731">
        <v>0.5</v>
      </c>
      <c r="EV801" s="377"/>
    </row>
    <row r="802" spans="132:152">
      <c r="EB802" s="1499" t="s">
        <v>103</v>
      </c>
      <c r="EC802" s="730" t="s">
        <v>1567</v>
      </c>
      <c r="ED802" s="731">
        <v>0.5</v>
      </c>
      <c r="EV802" s="377"/>
    </row>
    <row r="803" spans="132:152">
      <c r="EB803" s="1499" t="s">
        <v>103</v>
      </c>
      <c r="EC803" s="730" t="s">
        <v>1761</v>
      </c>
      <c r="ED803" s="731">
        <v>0.5</v>
      </c>
      <c r="EV803" s="377"/>
    </row>
    <row r="804" spans="132:152">
      <c r="EB804" s="1499" t="s">
        <v>103</v>
      </c>
      <c r="EC804" s="730" t="s">
        <v>1745</v>
      </c>
      <c r="ED804" s="731">
        <v>0.5</v>
      </c>
      <c r="EV804" s="377"/>
    </row>
    <row r="805" spans="132:152">
      <c r="EB805" s="1499" t="s">
        <v>103</v>
      </c>
      <c r="EC805" s="730" t="s">
        <v>1746</v>
      </c>
      <c r="ED805" s="731">
        <v>0.5</v>
      </c>
      <c r="EV805" s="377"/>
    </row>
    <row r="806" spans="132:152">
      <c r="EB806" s="1499" t="s">
        <v>103</v>
      </c>
      <c r="EC806" s="730" t="s">
        <v>1747</v>
      </c>
      <c r="ED806" s="731">
        <v>0.5</v>
      </c>
      <c r="EV806" s="377"/>
    </row>
    <row r="807" spans="132:152">
      <c r="EB807" s="1499" t="s">
        <v>103</v>
      </c>
      <c r="EC807" s="730" t="s">
        <v>1748</v>
      </c>
      <c r="ED807" s="731">
        <v>0.5</v>
      </c>
      <c r="EV807" s="377"/>
    </row>
    <row r="808" spans="132:152">
      <c r="EB808" s="1499" t="s">
        <v>103</v>
      </c>
      <c r="EC808" s="730" t="s">
        <v>1749</v>
      </c>
      <c r="ED808" s="731">
        <v>0.5</v>
      </c>
      <c r="EV808" s="377"/>
    </row>
    <row r="809" spans="132:152">
      <c r="EB809" s="1499" t="s">
        <v>103</v>
      </c>
      <c r="EC809" s="730" t="s">
        <v>1750</v>
      </c>
      <c r="ED809" s="731">
        <v>0.5</v>
      </c>
      <c r="EV809" s="377"/>
    </row>
    <row r="810" spans="132:152">
      <c r="EB810" s="1499" t="s">
        <v>103</v>
      </c>
      <c r="EC810" s="730" t="s">
        <v>1751</v>
      </c>
      <c r="ED810" s="731">
        <v>0.5</v>
      </c>
      <c r="EV810" s="377"/>
    </row>
    <row r="811" spans="132:152">
      <c r="EB811" s="1499" t="s">
        <v>103</v>
      </c>
      <c r="EC811" s="730" t="s">
        <v>1752</v>
      </c>
      <c r="ED811" s="731">
        <v>0.5</v>
      </c>
      <c r="EV811" s="377"/>
    </row>
    <row r="812" spans="132:152">
      <c r="EB812" s="1499" t="s">
        <v>103</v>
      </c>
      <c r="EC812" s="730" t="s">
        <v>1753</v>
      </c>
      <c r="ED812" s="731">
        <v>0.5</v>
      </c>
      <c r="EV812" s="377"/>
    </row>
    <row r="813" spans="132:152">
      <c r="EB813" s="1499" t="s">
        <v>103</v>
      </c>
      <c r="EC813" s="730" t="s">
        <v>1754</v>
      </c>
      <c r="ED813" s="731">
        <v>0.5</v>
      </c>
      <c r="EV813" s="377"/>
    </row>
    <row r="814" spans="132:152">
      <c r="EB814" s="1499" t="s">
        <v>103</v>
      </c>
      <c r="EC814" s="730" t="s">
        <v>1755</v>
      </c>
      <c r="ED814" s="731">
        <v>0.5</v>
      </c>
      <c r="EV814" s="377"/>
    </row>
    <row r="815" spans="132:152">
      <c r="EB815" s="1499" t="s">
        <v>103</v>
      </c>
      <c r="EC815" s="730" t="s">
        <v>1875</v>
      </c>
      <c r="ED815" s="731">
        <v>0.5</v>
      </c>
      <c r="EV815" s="377"/>
    </row>
    <row r="816" spans="132:152">
      <c r="EB816" s="1499" t="s">
        <v>103</v>
      </c>
      <c r="EC816" s="730" t="s">
        <v>1757</v>
      </c>
      <c r="ED816" s="731">
        <v>0.5</v>
      </c>
      <c r="EV816" s="377"/>
    </row>
    <row r="817" spans="132:152">
      <c r="EB817" s="1499" t="s">
        <v>103</v>
      </c>
      <c r="EC817" s="730" t="s">
        <v>1758</v>
      </c>
      <c r="ED817" s="731">
        <v>0.5</v>
      </c>
      <c r="EV817" s="377"/>
    </row>
    <row r="818" spans="132:152">
      <c r="EB818" s="1499" t="s">
        <v>103</v>
      </c>
      <c r="EC818" s="730" t="s">
        <v>1759</v>
      </c>
      <c r="ED818" s="731">
        <v>0.5</v>
      </c>
      <c r="EV818" s="377"/>
    </row>
    <row r="819" spans="132:152">
      <c r="EB819" s="1499" t="s">
        <v>103</v>
      </c>
      <c r="EC819" s="730" t="s">
        <v>455</v>
      </c>
      <c r="ED819" s="731">
        <v>0.5</v>
      </c>
      <c r="EV819" s="377"/>
    </row>
    <row r="820" spans="132:152">
      <c r="EB820" s="1499" t="s">
        <v>103</v>
      </c>
      <c r="EC820" s="730" t="s">
        <v>1760</v>
      </c>
      <c r="ED820" s="731">
        <v>0.5</v>
      </c>
      <c r="EV820" s="377"/>
    </row>
    <row r="821" spans="132:152">
      <c r="EB821" s="1499" t="s">
        <v>74</v>
      </c>
      <c r="EC821" s="730" t="s">
        <v>1209</v>
      </c>
      <c r="ED821" s="731">
        <v>0.5</v>
      </c>
      <c r="EV821" s="377"/>
    </row>
    <row r="822" spans="132:152">
      <c r="EB822" s="1499" t="s">
        <v>75</v>
      </c>
      <c r="EC822" s="730" t="s">
        <v>1209</v>
      </c>
      <c r="ED822" s="731">
        <v>0.5</v>
      </c>
      <c r="EV822" s="377"/>
    </row>
    <row r="823" spans="132:152">
      <c r="EB823" s="1499" t="s">
        <v>73</v>
      </c>
      <c r="EC823" s="730" t="s">
        <v>1209</v>
      </c>
      <c r="ED823" s="731">
        <v>0.5</v>
      </c>
      <c r="EV823" s="377"/>
    </row>
    <row r="824" spans="132:152">
      <c r="EB824" s="1499" t="s">
        <v>1560</v>
      </c>
      <c r="EC824" s="730" t="s">
        <v>1209</v>
      </c>
      <c r="ED824" s="731">
        <v>0.5</v>
      </c>
      <c r="EV824" s="377"/>
    </row>
    <row r="825" spans="132:152">
      <c r="EB825" s="1499" t="s">
        <v>73</v>
      </c>
      <c r="EC825" s="730" t="s">
        <v>1209</v>
      </c>
      <c r="ED825" s="731">
        <v>0.5</v>
      </c>
      <c r="EV825" s="377"/>
    </row>
    <row r="826" spans="132:152">
      <c r="EB826" s="1499" t="s">
        <v>133</v>
      </c>
      <c r="EC826" s="730" t="s">
        <v>1209</v>
      </c>
      <c r="ED826" s="731">
        <v>0.5</v>
      </c>
      <c r="EV826" s="377"/>
    </row>
    <row r="827" spans="132:152">
      <c r="EB827" s="1499" t="s">
        <v>134</v>
      </c>
      <c r="EC827" s="730" t="s">
        <v>1209</v>
      </c>
      <c r="ED827" s="731">
        <v>0.5</v>
      </c>
      <c r="EV827" s="377"/>
    </row>
    <row r="828" spans="132:152">
      <c r="EB828" s="1499" t="s">
        <v>187</v>
      </c>
      <c r="EC828" s="730" t="s">
        <v>1209</v>
      </c>
      <c r="ED828" s="731">
        <v>0.5</v>
      </c>
      <c r="EV828" s="377"/>
    </row>
    <row r="829" spans="132:152">
      <c r="EB829" s="1499" t="s">
        <v>188</v>
      </c>
      <c r="EC829" s="730" t="s">
        <v>1209</v>
      </c>
      <c r="ED829" s="731">
        <v>0.5</v>
      </c>
      <c r="EV829" s="377"/>
    </row>
    <row r="830" spans="132:152">
      <c r="EB830" s="1499" t="s">
        <v>141</v>
      </c>
      <c r="EC830" s="730" t="s">
        <v>1209</v>
      </c>
      <c r="ED830" s="731">
        <v>0.5</v>
      </c>
      <c r="EV830" s="377"/>
    </row>
    <row r="831" spans="132:152">
      <c r="EB831" s="1499" t="s">
        <v>142</v>
      </c>
      <c r="EC831" s="730" t="s">
        <v>1209</v>
      </c>
      <c r="ED831" s="731">
        <v>0.5</v>
      </c>
      <c r="EV831" s="377"/>
    </row>
    <row r="832" spans="132:152">
      <c r="EB832" s="1499" t="s">
        <v>135</v>
      </c>
      <c r="EC832" s="730" t="s">
        <v>1209</v>
      </c>
      <c r="ED832" s="731">
        <v>0.5</v>
      </c>
      <c r="EV832" s="377"/>
    </row>
    <row r="833" spans="132:152">
      <c r="EB833" s="1499" t="s">
        <v>136</v>
      </c>
      <c r="EC833" s="730" t="s">
        <v>1209</v>
      </c>
      <c r="ED833" s="731">
        <v>0.5</v>
      </c>
      <c r="EV833" s="377"/>
    </row>
    <row r="834" spans="132:152">
      <c r="EB834" s="1499" t="s">
        <v>189</v>
      </c>
      <c r="EC834" s="730" t="s">
        <v>1209</v>
      </c>
      <c r="ED834" s="731">
        <v>0.5</v>
      </c>
      <c r="EV834" s="377"/>
    </row>
    <row r="835" spans="132:152">
      <c r="EB835" s="1499" t="s">
        <v>190</v>
      </c>
      <c r="EC835" s="730" t="s">
        <v>1209</v>
      </c>
      <c r="ED835" s="731">
        <v>0.5</v>
      </c>
      <c r="EV835" s="377"/>
    </row>
    <row r="836" spans="132:152">
      <c r="EB836" s="1499" t="s">
        <v>137</v>
      </c>
      <c r="EC836" s="730" t="s">
        <v>1209</v>
      </c>
      <c r="ED836" s="731">
        <v>0.5</v>
      </c>
      <c r="EV836" s="377"/>
    </row>
    <row r="837" spans="132:152">
      <c r="EB837" s="1499" t="s">
        <v>138</v>
      </c>
      <c r="EC837" s="730" t="s">
        <v>1209</v>
      </c>
      <c r="ED837" s="731">
        <v>0.5</v>
      </c>
      <c r="EV837" s="377"/>
    </row>
    <row r="838" spans="132:152">
      <c r="EB838" s="1499" t="s">
        <v>139</v>
      </c>
      <c r="EC838" s="730" t="s">
        <v>1209</v>
      </c>
      <c r="ED838" s="731">
        <v>0.5</v>
      </c>
      <c r="EV838" s="377"/>
    </row>
    <row r="839" spans="132:152">
      <c r="EB839" s="1500" t="s">
        <v>140</v>
      </c>
      <c r="EC839" s="730" t="s">
        <v>1209</v>
      </c>
      <c r="ED839" s="731">
        <v>0.5</v>
      </c>
      <c r="EV839" s="377"/>
    </row>
    <row r="840" spans="132:152">
      <c r="EB840" s="1499" t="s">
        <v>1089</v>
      </c>
      <c r="EC840" s="730" t="s">
        <v>1209</v>
      </c>
      <c r="ED840" s="731">
        <v>0.5</v>
      </c>
      <c r="EV840" s="377"/>
    </row>
    <row r="841" spans="132:152">
      <c r="EB841" s="1499" t="s">
        <v>315</v>
      </c>
      <c r="EC841" s="730" t="s">
        <v>1209</v>
      </c>
      <c r="ED841" s="731">
        <v>0.5</v>
      </c>
      <c r="EV841" s="377"/>
    </row>
    <row r="842" spans="132:152">
      <c r="EB842" s="1499" t="s">
        <v>1090</v>
      </c>
      <c r="EC842" s="730" t="s">
        <v>1209</v>
      </c>
      <c r="ED842" s="731">
        <v>0.5</v>
      </c>
      <c r="EV842" s="377"/>
    </row>
    <row r="843" spans="132:152">
      <c r="EB843" s="1499" t="s">
        <v>316</v>
      </c>
      <c r="EC843" s="730" t="s">
        <v>1209</v>
      </c>
      <c r="ED843" s="731">
        <v>0.5</v>
      </c>
      <c r="EV843" s="377"/>
    </row>
    <row r="844" spans="132:152">
      <c r="EB844" s="1499" t="s">
        <v>1091</v>
      </c>
      <c r="EC844" s="730" t="s">
        <v>1209</v>
      </c>
      <c r="ED844" s="731">
        <v>0.5</v>
      </c>
      <c r="EV844" s="377"/>
    </row>
    <row r="845" spans="132:152">
      <c r="EB845" s="1499" t="s">
        <v>73</v>
      </c>
      <c r="EC845" s="730" t="s">
        <v>1209</v>
      </c>
      <c r="ED845" s="731">
        <v>0.5</v>
      </c>
      <c r="EV845" s="377"/>
    </row>
    <row r="846" spans="132:152">
      <c r="EB846" s="1499" t="s">
        <v>472</v>
      </c>
      <c r="EC846" s="730" t="s">
        <v>1209</v>
      </c>
      <c r="ED846" s="731">
        <v>0.5</v>
      </c>
      <c r="EV846" s="377"/>
    </row>
    <row r="847" spans="132:152">
      <c r="EB847" s="1499" t="s">
        <v>473</v>
      </c>
      <c r="EC847" s="730" t="s">
        <v>1209</v>
      </c>
      <c r="ED847" s="731">
        <v>0.5</v>
      </c>
      <c r="EV847" s="377"/>
    </row>
    <row r="848" spans="132:152">
      <c r="EB848" s="1499" t="s">
        <v>474</v>
      </c>
      <c r="EC848" s="730" t="s">
        <v>1209</v>
      </c>
      <c r="ED848" s="731">
        <v>0.5</v>
      </c>
      <c r="EV848" s="377"/>
    </row>
    <row r="849" spans="132:152">
      <c r="EB849" s="1499" t="s">
        <v>475</v>
      </c>
      <c r="EC849" s="730" t="s">
        <v>1209</v>
      </c>
      <c r="ED849" s="731">
        <v>0.5</v>
      </c>
      <c r="EV849" s="377"/>
    </row>
    <row r="850" spans="132:152">
      <c r="EB850" s="1499" t="s">
        <v>1561</v>
      </c>
      <c r="EC850" s="730" t="s">
        <v>1209</v>
      </c>
      <c r="ED850" s="731">
        <v>0.5</v>
      </c>
      <c r="EE850" t="s">
        <v>0</v>
      </c>
      <c r="EV850" s="377"/>
    </row>
    <row r="851" spans="132:152">
      <c r="EB851" s="1499" t="s">
        <v>476</v>
      </c>
      <c r="EC851" s="730" t="s">
        <v>1209</v>
      </c>
      <c r="ED851" s="731">
        <v>0.5</v>
      </c>
      <c r="EV851" s="377"/>
    </row>
    <row r="852" spans="132:152">
      <c r="EB852" s="1499" t="s">
        <v>1562</v>
      </c>
      <c r="EC852" s="730" t="s">
        <v>1209</v>
      </c>
      <c r="ED852" s="731">
        <v>0.5</v>
      </c>
      <c r="EV852" s="377"/>
    </row>
    <row r="853" spans="132:152">
      <c r="EB853" s="1499" t="s">
        <v>477</v>
      </c>
      <c r="EC853" s="730" t="s">
        <v>1209</v>
      </c>
      <c r="ED853" s="731">
        <v>0.5</v>
      </c>
      <c r="EV853" s="377"/>
    </row>
    <row r="854" spans="132:152">
      <c r="EB854" s="1499" t="s">
        <v>1562</v>
      </c>
      <c r="EC854" s="730" t="s">
        <v>1209</v>
      </c>
      <c r="ED854" s="731">
        <v>0.5</v>
      </c>
      <c r="EV854" s="377"/>
    </row>
    <row r="855" spans="132:152">
      <c r="EB855" s="1499" t="s">
        <v>73</v>
      </c>
      <c r="EC855" s="730" t="s">
        <v>1209</v>
      </c>
      <c r="ED855" s="731">
        <v>0.5</v>
      </c>
      <c r="EV855" s="377"/>
    </row>
    <row r="856" spans="132:152">
      <c r="EB856" s="1499" t="s">
        <v>143</v>
      </c>
      <c r="EC856" s="730" t="s">
        <v>1209</v>
      </c>
      <c r="ED856" s="731">
        <v>0.5</v>
      </c>
      <c r="EV856" s="377"/>
    </row>
    <row r="857" spans="132:152">
      <c r="EB857" s="1499" t="s">
        <v>144</v>
      </c>
      <c r="EC857" s="730" t="s">
        <v>1209</v>
      </c>
      <c r="ED857" s="731">
        <v>0.5</v>
      </c>
      <c r="EV857" s="377"/>
    </row>
    <row r="858" spans="132:152">
      <c r="EB858" s="1499" t="s">
        <v>145</v>
      </c>
      <c r="EC858" s="730" t="s">
        <v>1209</v>
      </c>
      <c r="ED858" s="731">
        <v>0.5</v>
      </c>
      <c r="EV858" s="377"/>
    </row>
    <row r="859" spans="132:152">
      <c r="EB859" s="1499" t="s">
        <v>146</v>
      </c>
      <c r="EC859" s="730" t="s">
        <v>1209</v>
      </c>
      <c r="ED859" s="731">
        <v>0.5</v>
      </c>
      <c r="EV859" s="377"/>
    </row>
    <row r="860" spans="132:152">
      <c r="EB860" s="1499" t="s">
        <v>1563</v>
      </c>
      <c r="EC860" s="730" t="s">
        <v>1209</v>
      </c>
      <c r="ED860" s="731">
        <v>0.5</v>
      </c>
      <c r="EV860" s="377"/>
    </row>
    <row r="861" spans="132:152">
      <c r="EB861" s="1499" t="s">
        <v>147</v>
      </c>
      <c r="EC861" s="730" t="s">
        <v>1209</v>
      </c>
      <c r="ED861" s="731">
        <v>0.5</v>
      </c>
    </row>
    <row r="862" spans="132:152">
      <c r="EB862" s="1499" t="s">
        <v>148</v>
      </c>
      <c r="EC862" s="730" t="s">
        <v>1209</v>
      </c>
      <c r="ED862" s="731">
        <v>0.5</v>
      </c>
    </row>
    <row r="863" spans="132:152">
      <c r="EB863" s="1499" t="s">
        <v>149</v>
      </c>
      <c r="EC863" s="730" t="s">
        <v>1209</v>
      </c>
      <c r="ED863" s="731">
        <v>0.5</v>
      </c>
    </row>
    <row r="864" spans="132:152">
      <c r="EB864" s="1499" t="s">
        <v>73</v>
      </c>
      <c r="EC864" s="730" t="s">
        <v>1209</v>
      </c>
      <c r="ED864" s="731">
        <v>0.5</v>
      </c>
    </row>
    <row r="865" spans="132:134">
      <c r="EB865" s="1499" t="s">
        <v>150</v>
      </c>
      <c r="EC865" s="730" t="s">
        <v>1209</v>
      </c>
      <c r="ED865" s="731">
        <v>0.5</v>
      </c>
    </row>
    <row r="866" spans="132:134">
      <c r="EB866" s="1499" t="s">
        <v>151</v>
      </c>
      <c r="EC866" s="730" t="s">
        <v>1209</v>
      </c>
      <c r="ED866" s="731">
        <v>0.5</v>
      </c>
    </row>
    <row r="867" spans="132:134">
      <c r="EB867" s="1499" t="s">
        <v>152</v>
      </c>
      <c r="EC867" s="730" t="s">
        <v>1209</v>
      </c>
      <c r="ED867" s="731">
        <v>0.5</v>
      </c>
    </row>
    <row r="868" spans="132:134">
      <c r="EB868" s="1499" t="s">
        <v>153</v>
      </c>
      <c r="EC868" s="730" t="s">
        <v>1209</v>
      </c>
      <c r="ED868" s="731">
        <v>0.5</v>
      </c>
    </row>
    <row r="869" spans="132:134">
      <c r="EB869" s="1499" t="s">
        <v>154</v>
      </c>
      <c r="EC869" s="730" t="s">
        <v>1209</v>
      </c>
      <c r="ED869" s="731">
        <v>0.5</v>
      </c>
    </row>
    <row r="870" spans="132:134">
      <c r="EB870" s="1499" t="s">
        <v>155</v>
      </c>
      <c r="EC870" s="730" t="s">
        <v>1209</v>
      </c>
      <c r="ED870" s="731">
        <v>0.5</v>
      </c>
    </row>
    <row r="871" spans="132:134">
      <c r="EB871" s="1499" t="s">
        <v>156</v>
      </c>
      <c r="EC871" s="730" t="s">
        <v>1209</v>
      </c>
      <c r="ED871" s="731">
        <v>0.5</v>
      </c>
    </row>
    <row r="872" spans="132:134">
      <c r="EB872" s="1499" t="s">
        <v>73</v>
      </c>
      <c r="EC872" s="730" t="s">
        <v>1209</v>
      </c>
      <c r="ED872" s="731">
        <v>0.5</v>
      </c>
    </row>
    <row r="873" spans="132:134">
      <c r="EB873" s="1499" t="s">
        <v>157</v>
      </c>
      <c r="EC873" s="730" t="s">
        <v>1209</v>
      </c>
      <c r="ED873" s="731">
        <v>0.5</v>
      </c>
    </row>
    <row r="874" spans="132:134">
      <c r="EB874" s="1499" t="s">
        <v>158</v>
      </c>
      <c r="EC874" s="730" t="s">
        <v>1209</v>
      </c>
      <c r="ED874" s="731">
        <v>0.5</v>
      </c>
    </row>
    <row r="875" spans="132:134">
      <c r="EB875" s="1499" t="s">
        <v>159</v>
      </c>
      <c r="EC875" s="730" t="s">
        <v>1209</v>
      </c>
      <c r="ED875" s="731">
        <v>0.5</v>
      </c>
    </row>
    <row r="876" spans="132:134">
      <c r="EB876" s="1499" t="s">
        <v>160</v>
      </c>
      <c r="EC876" s="730" t="s">
        <v>1209</v>
      </c>
      <c r="ED876" s="731">
        <v>0.5</v>
      </c>
    </row>
    <row r="877" spans="132:134">
      <c r="EB877" s="1499" t="s">
        <v>161</v>
      </c>
      <c r="EC877" s="730" t="s">
        <v>1209</v>
      </c>
      <c r="ED877" s="731">
        <v>0.5</v>
      </c>
    </row>
    <row r="878" spans="132:134">
      <c r="EB878" s="1499" t="s">
        <v>162</v>
      </c>
      <c r="EC878" s="730" t="s">
        <v>1209</v>
      </c>
      <c r="ED878" s="731">
        <v>0.5</v>
      </c>
    </row>
    <row r="879" spans="132:134">
      <c r="EB879" s="1499" t="s">
        <v>163</v>
      </c>
      <c r="EC879" s="730" t="s">
        <v>1209</v>
      </c>
      <c r="ED879" s="731">
        <v>0.5</v>
      </c>
    </row>
    <row r="880" spans="132:134">
      <c r="EB880" s="1499" t="s">
        <v>164</v>
      </c>
      <c r="EC880" s="730" t="s">
        <v>1209</v>
      </c>
      <c r="ED880" s="731">
        <v>0.5</v>
      </c>
    </row>
    <row r="881" spans="132:134">
      <c r="EB881" s="1499" t="s">
        <v>73</v>
      </c>
      <c r="EC881" s="730" t="s">
        <v>1209</v>
      </c>
      <c r="ED881" s="731">
        <v>0.5</v>
      </c>
    </row>
    <row r="882" spans="132:134">
      <c r="EB882" s="1499" t="s">
        <v>104</v>
      </c>
      <c r="EC882" s="730" t="s">
        <v>1209</v>
      </c>
      <c r="ED882" s="731">
        <v>0.5</v>
      </c>
    </row>
    <row r="883" spans="132:134">
      <c r="EB883" s="1499" t="s">
        <v>105</v>
      </c>
      <c r="EC883" s="730" t="s">
        <v>1209</v>
      </c>
      <c r="ED883" s="731">
        <v>0.5</v>
      </c>
    </row>
    <row r="884" spans="132:134">
      <c r="EB884" s="1499" t="s">
        <v>183</v>
      </c>
      <c r="EC884" s="730" t="s">
        <v>1209</v>
      </c>
      <c r="ED884" s="731">
        <v>0.5</v>
      </c>
    </row>
    <row r="885" spans="132:134">
      <c r="EB885" s="1499" t="s">
        <v>184</v>
      </c>
      <c r="EC885" s="730" t="s">
        <v>1209</v>
      </c>
      <c r="ED885" s="731">
        <v>0.5</v>
      </c>
    </row>
    <row r="886" spans="132:134">
      <c r="EB886" s="1499" t="s">
        <v>106</v>
      </c>
      <c r="EC886" s="730" t="s">
        <v>1209</v>
      </c>
      <c r="ED886" s="731">
        <v>0.5</v>
      </c>
    </row>
    <row r="887" spans="132:134">
      <c r="EB887" s="1499" t="s">
        <v>107</v>
      </c>
      <c r="EC887" s="730" t="s">
        <v>1209</v>
      </c>
      <c r="ED887" s="731">
        <v>0.5</v>
      </c>
    </row>
    <row r="888" spans="132:134">
      <c r="EB888" s="1499" t="s">
        <v>185</v>
      </c>
      <c r="EC888" s="730" t="s">
        <v>1209</v>
      </c>
      <c r="ED888" s="731">
        <v>0.5</v>
      </c>
    </row>
    <row r="889" spans="132:134">
      <c r="EB889" s="1499" t="s">
        <v>186</v>
      </c>
      <c r="EC889" s="730" t="s">
        <v>1209</v>
      </c>
      <c r="ED889" s="731">
        <v>0.5</v>
      </c>
    </row>
    <row r="890" spans="132:134">
      <c r="EB890" s="1499" t="s">
        <v>108</v>
      </c>
      <c r="EC890" s="730" t="s">
        <v>1209</v>
      </c>
      <c r="ED890" s="731">
        <v>0.5</v>
      </c>
    </row>
    <row r="891" spans="132:134">
      <c r="EB891" s="1499" t="s">
        <v>109</v>
      </c>
      <c r="EC891" s="730" t="s">
        <v>1209</v>
      </c>
      <c r="ED891" s="731">
        <v>0.5</v>
      </c>
    </row>
    <row r="892" spans="132:134">
      <c r="EB892" s="1499" t="s">
        <v>110</v>
      </c>
      <c r="EC892" s="730" t="s">
        <v>1209</v>
      </c>
      <c r="ED892" s="731">
        <v>0.5</v>
      </c>
    </row>
    <row r="893" spans="132:134">
      <c r="EB893" s="1499" t="s">
        <v>111</v>
      </c>
      <c r="EC893" s="730" t="s">
        <v>1209</v>
      </c>
      <c r="ED893" s="731">
        <v>0.5</v>
      </c>
    </row>
    <row r="894" spans="132:134">
      <c r="EB894" s="1499" t="s">
        <v>112</v>
      </c>
      <c r="EC894" s="730" t="s">
        <v>1209</v>
      </c>
      <c r="ED894" s="731">
        <v>0.5</v>
      </c>
    </row>
    <row r="895" spans="132:134">
      <c r="EB895" s="1499" t="s">
        <v>113</v>
      </c>
      <c r="EC895" s="730" t="s">
        <v>1209</v>
      </c>
      <c r="ED895" s="731">
        <v>0.5</v>
      </c>
    </row>
    <row r="896" spans="132:134">
      <c r="EB896" s="1499" t="s">
        <v>1290</v>
      </c>
      <c r="EC896" s="730" t="s">
        <v>1209</v>
      </c>
      <c r="ED896" s="731">
        <v>0.5</v>
      </c>
    </row>
    <row r="897" spans="132:134">
      <c r="EB897" s="1499" t="s">
        <v>1291</v>
      </c>
      <c r="EC897" s="730" t="s">
        <v>1209</v>
      </c>
      <c r="ED897" s="731">
        <v>0.5</v>
      </c>
    </row>
    <row r="898" spans="132:134">
      <c r="EB898" s="1499" t="s">
        <v>1292</v>
      </c>
      <c r="EC898" s="730" t="s">
        <v>1209</v>
      </c>
      <c r="ED898" s="731">
        <v>0.5</v>
      </c>
    </row>
    <row r="899" spans="132:134">
      <c r="EB899" s="1499" t="s">
        <v>1293</v>
      </c>
      <c r="EC899" s="730" t="s">
        <v>1209</v>
      </c>
      <c r="ED899" s="731">
        <v>0.5</v>
      </c>
    </row>
    <row r="900" spans="132:134">
      <c r="EB900" s="1499" t="s">
        <v>73</v>
      </c>
      <c r="EC900" s="730" t="s">
        <v>1209</v>
      </c>
      <c r="ED900" s="731">
        <v>0.5</v>
      </c>
    </row>
    <row r="901" spans="132:134">
      <c r="EB901" s="1499" t="s">
        <v>126</v>
      </c>
      <c r="EC901" s="730" t="s">
        <v>1209</v>
      </c>
      <c r="ED901" s="731">
        <v>0.5</v>
      </c>
    </row>
    <row r="902" spans="132:134">
      <c r="EB902" s="1499" t="s">
        <v>127</v>
      </c>
      <c r="EC902" s="730" t="s">
        <v>1209</v>
      </c>
      <c r="ED902" s="731">
        <v>0.5</v>
      </c>
    </row>
    <row r="903" spans="132:134">
      <c r="EB903" s="1499" t="s">
        <v>128</v>
      </c>
      <c r="EC903" s="730" t="s">
        <v>1209</v>
      </c>
      <c r="ED903" s="731">
        <v>0.5</v>
      </c>
    </row>
    <row r="904" spans="132:134">
      <c r="EB904" s="1499" t="s">
        <v>129</v>
      </c>
      <c r="EC904" s="730" t="s">
        <v>1209</v>
      </c>
      <c r="ED904" s="731">
        <v>0.5</v>
      </c>
    </row>
    <row r="905" spans="132:134">
      <c r="EB905" s="1499" t="s">
        <v>130</v>
      </c>
      <c r="EC905" s="730" t="s">
        <v>1209</v>
      </c>
      <c r="ED905" s="731">
        <v>0.5</v>
      </c>
    </row>
    <row r="906" spans="132:134">
      <c r="EB906" s="1499" t="s">
        <v>131</v>
      </c>
      <c r="EC906" s="730" t="s">
        <v>1209</v>
      </c>
      <c r="ED906" s="731">
        <v>0.5</v>
      </c>
    </row>
    <row r="907" spans="132:134">
      <c r="EB907" s="1499" t="s">
        <v>73</v>
      </c>
      <c r="EC907" s="730" t="s">
        <v>1209</v>
      </c>
      <c r="ED907" s="731">
        <v>0.5</v>
      </c>
    </row>
    <row r="908" spans="132:134">
      <c r="EB908" s="1499" t="s">
        <v>114</v>
      </c>
      <c r="EC908" s="730" t="s">
        <v>1209</v>
      </c>
      <c r="ED908" s="731">
        <v>0.5</v>
      </c>
    </row>
    <row r="909" spans="132:134">
      <c r="EB909" s="1499" t="s">
        <v>115</v>
      </c>
      <c r="EC909" s="730" t="s">
        <v>1209</v>
      </c>
      <c r="ED909" s="731">
        <v>0.5</v>
      </c>
    </row>
    <row r="910" spans="132:134">
      <c r="EB910" s="1499" t="s">
        <v>116</v>
      </c>
      <c r="EC910" s="730" t="s">
        <v>1209</v>
      </c>
      <c r="ED910" s="731">
        <v>0.5</v>
      </c>
    </row>
    <row r="911" spans="132:134">
      <c r="EB911" s="1499" t="s">
        <v>117</v>
      </c>
      <c r="EC911" s="730" t="s">
        <v>1209</v>
      </c>
      <c r="ED911" s="731">
        <v>0.5</v>
      </c>
    </row>
    <row r="912" spans="132:134">
      <c r="EB912" s="1499" t="s">
        <v>118</v>
      </c>
      <c r="EC912" s="730" t="s">
        <v>1209</v>
      </c>
      <c r="ED912" s="731">
        <v>0.5</v>
      </c>
    </row>
    <row r="913" spans="132:134">
      <c r="EB913" s="1499" t="s">
        <v>119</v>
      </c>
      <c r="EC913" s="730" t="s">
        <v>1209</v>
      </c>
      <c r="ED913" s="731">
        <v>0.5</v>
      </c>
    </row>
    <row r="914" spans="132:134">
      <c r="EB914" s="1499" t="s">
        <v>120</v>
      </c>
      <c r="EC914" s="730" t="s">
        <v>1209</v>
      </c>
      <c r="ED914" s="731">
        <v>0.5</v>
      </c>
    </row>
    <row r="915" spans="132:134">
      <c r="EB915" s="1499" t="s">
        <v>121</v>
      </c>
      <c r="EC915" s="730" t="s">
        <v>1209</v>
      </c>
      <c r="ED915" s="731">
        <v>0.5</v>
      </c>
    </row>
    <row r="916" spans="132:134">
      <c r="EB916" s="1499" t="s">
        <v>122</v>
      </c>
      <c r="EC916" s="730" t="s">
        <v>1209</v>
      </c>
      <c r="ED916" s="731">
        <v>0.5</v>
      </c>
    </row>
    <row r="917" spans="132:134">
      <c r="EB917" s="1499" t="s">
        <v>123</v>
      </c>
      <c r="EC917" s="730" t="s">
        <v>1209</v>
      </c>
      <c r="ED917" s="731">
        <v>0.5</v>
      </c>
    </row>
    <row r="918" spans="132:134">
      <c r="EB918" s="1499" t="s">
        <v>124</v>
      </c>
      <c r="EC918" s="730" t="s">
        <v>1209</v>
      </c>
      <c r="ED918" s="731">
        <v>0.5</v>
      </c>
    </row>
    <row r="919" spans="132:134">
      <c r="EB919" s="1499" t="s">
        <v>125</v>
      </c>
      <c r="EC919" s="730" t="s">
        <v>1209</v>
      </c>
      <c r="ED919" s="731">
        <v>0.5</v>
      </c>
    </row>
    <row r="920" spans="132:134">
      <c r="EB920" s="1499" t="s">
        <v>73</v>
      </c>
      <c r="EC920" s="730" t="s">
        <v>1209</v>
      </c>
      <c r="ED920" s="731">
        <v>0.5</v>
      </c>
    </row>
    <row r="921" spans="132:134">
      <c r="EB921" s="1499" t="s">
        <v>460</v>
      </c>
      <c r="EC921" s="730" t="s">
        <v>1209</v>
      </c>
      <c r="ED921" s="731">
        <v>0.5</v>
      </c>
    </row>
    <row r="922" spans="132:134">
      <c r="EB922" s="1499" t="s">
        <v>505</v>
      </c>
      <c r="EC922" s="730" t="s">
        <v>1209</v>
      </c>
      <c r="ED922" s="731">
        <v>0.5</v>
      </c>
    </row>
    <row r="923" spans="132:134">
      <c r="EB923" s="1499" t="s">
        <v>468</v>
      </c>
      <c r="EC923" s="730" t="s">
        <v>1209</v>
      </c>
      <c r="ED923" s="731">
        <v>0.5</v>
      </c>
    </row>
    <row r="924" spans="132:134">
      <c r="EB924" s="1499" t="s">
        <v>469</v>
      </c>
      <c r="EC924" s="730" t="s">
        <v>1209</v>
      </c>
      <c r="ED924" s="731">
        <v>0.5</v>
      </c>
    </row>
    <row r="925" spans="132:134">
      <c r="EB925" s="1499" t="s">
        <v>775</v>
      </c>
      <c r="EC925" s="730" t="s">
        <v>1209</v>
      </c>
      <c r="ED925" s="731">
        <v>0.5</v>
      </c>
    </row>
    <row r="926" spans="132:134">
      <c r="EB926" s="1499" t="s">
        <v>774</v>
      </c>
      <c r="EC926" s="730" t="s">
        <v>1209</v>
      </c>
      <c r="ED926" s="731">
        <v>0.5</v>
      </c>
    </row>
    <row r="927" spans="132:134">
      <c r="EB927" s="1499" t="s">
        <v>506</v>
      </c>
      <c r="EC927" s="730" t="s">
        <v>1209</v>
      </c>
      <c r="ED927" s="731">
        <v>0.5</v>
      </c>
    </row>
    <row r="928" spans="132:134">
      <c r="EB928" s="1499" t="s">
        <v>508</v>
      </c>
      <c r="EC928" s="730" t="s">
        <v>1209</v>
      </c>
      <c r="ED928" s="731">
        <v>0.5</v>
      </c>
    </row>
    <row r="929" spans="132:134">
      <c r="EB929" s="1499" t="s">
        <v>507</v>
      </c>
      <c r="EC929" s="730" t="s">
        <v>1209</v>
      </c>
      <c r="ED929" s="731">
        <v>0.5</v>
      </c>
    </row>
    <row r="930" spans="132:134">
      <c r="EB930" s="1499" t="s">
        <v>509</v>
      </c>
      <c r="EC930" s="730" t="s">
        <v>1209</v>
      </c>
      <c r="ED930" s="731">
        <v>0.5</v>
      </c>
    </row>
    <row r="931" spans="132:134">
      <c r="EB931" s="1499" t="s">
        <v>510</v>
      </c>
      <c r="EC931" s="730" t="s">
        <v>1209</v>
      </c>
      <c r="ED931" s="731">
        <v>0.5</v>
      </c>
    </row>
    <row r="932" spans="132:134">
      <c r="EB932" s="1499" t="s">
        <v>511</v>
      </c>
      <c r="EC932" s="730" t="s">
        <v>1209</v>
      </c>
      <c r="ED932" s="731">
        <v>0.5</v>
      </c>
    </row>
    <row r="933" spans="132:134">
      <c r="EB933" s="1499" t="s">
        <v>512</v>
      </c>
      <c r="EC933" s="730" t="s">
        <v>1209</v>
      </c>
      <c r="ED933" s="731">
        <v>0.5</v>
      </c>
    </row>
    <row r="934" spans="132:134">
      <c r="EB934" s="1499" t="s">
        <v>513</v>
      </c>
      <c r="EC934" s="730" t="s">
        <v>1209</v>
      </c>
      <c r="ED934" s="731">
        <v>0.5</v>
      </c>
    </row>
    <row r="935" spans="132:134">
      <c r="EB935" s="1499" t="s">
        <v>461</v>
      </c>
      <c r="EC935" s="730" t="s">
        <v>1209</v>
      </c>
      <c r="ED935" s="731">
        <v>0.5</v>
      </c>
    </row>
    <row r="936" spans="132:134">
      <c r="EB936" s="1499" t="s">
        <v>514</v>
      </c>
      <c r="EC936" s="730" t="s">
        <v>1209</v>
      </c>
      <c r="ED936" s="731">
        <v>0.5</v>
      </c>
    </row>
    <row r="937" spans="132:134">
      <c r="EB937" s="1499" t="s">
        <v>463</v>
      </c>
      <c r="EC937" s="730" t="s">
        <v>1209</v>
      </c>
      <c r="ED937" s="731">
        <v>0.5</v>
      </c>
    </row>
    <row r="938" spans="132:134">
      <c r="EB938" s="1499" t="s">
        <v>464</v>
      </c>
      <c r="EC938" s="730" t="s">
        <v>1209</v>
      </c>
      <c r="ED938" s="731">
        <v>0.5</v>
      </c>
    </row>
    <row r="939" spans="132:134">
      <c r="EB939" s="1499" t="s">
        <v>516</v>
      </c>
      <c r="EC939" s="730" t="s">
        <v>1209</v>
      </c>
      <c r="ED939" s="731">
        <v>0.5</v>
      </c>
    </row>
    <row r="940" spans="132:134">
      <c r="EB940" s="1499" t="s">
        <v>515</v>
      </c>
      <c r="EC940" s="730" t="s">
        <v>1209</v>
      </c>
      <c r="ED940" s="731">
        <v>0.5</v>
      </c>
    </row>
    <row r="941" spans="132:134">
      <c r="EB941" s="1499" t="s">
        <v>517</v>
      </c>
      <c r="EC941" s="730" t="s">
        <v>1209</v>
      </c>
      <c r="ED941" s="731">
        <v>0.5</v>
      </c>
    </row>
    <row r="942" spans="132:134">
      <c r="EB942" s="1499" t="s">
        <v>518</v>
      </c>
      <c r="EC942" s="730" t="s">
        <v>1209</v>
      </c>
      <c r="ED942" s="731">
        <v>0.5</v>
      </c>
    </row>
    <row r="943" spans="132:134">
      <c r="EB943" s="1499" t="s">
        <v>73</v>
      </c>
      <c r="EC943" s="730" t="s">
        <v>1209</v>
      </c>
      <c r="ED943" s="731">
        <v>0.5</v>
      </c>
    </row>
    <row r="944" spans="132:134">
      <c r="EB944" s="1499" t="s">
        <v>1564</v>
      </c>
      <c r="EC944" s="730" t="s">
        <v>1209</v>
      </c>
      <c r="ED944" s="731">
        <v>0.5</v>
      </c>
    </row>
    <row r="945" spans="132:134">
      <c r="EB945" s="1499" t="s">
        <v>73</v>
      </c>
      <c r="EC945" s="730" t="s">
        <v>1209</v>
      </c>
      <c r="ED945" s="731">
        <v>0.5</v>
      </c>
    </row>
    <row r="946" spans="132:134">
      <c r="EB946" s="1499" t="s">
        <v>77</v>
      </c>
      <c r="EC946" s="730" t="s">
        <v>1209</v>
      </c>
      <c r="ED946" s="731">
        <v>0.5</v>
      </c>
    </row>
    <row r="947" spans="132:134">
      <c r="EB947" s="1499" t="s">
        <v>78</v>
      </c>
      <c r="EC947" s="730" t="s">
        <v>1209</v>
      </c>
      <c r="ED947" s="731">
        <v>0.5</v>
      </c>
    </row>
    <row r="948" spans="132:134">
      <c r="EB948" s="1499" t="s">
        <v>79</v>
      </c>
      <c r="EC948" s="730" t="s">
        <v>1209</v>
      </c>
      <c r="ED948" s="731">
        <v>0.5</v>
      </c>
    </row>
    <row r="949" spans="132:134">
      <c r="EB949" s="1499" t="s">
        <v>80</v>
      </c>
      <c r="EC949" s="730" t="s">
        <v>1209</v>
      </c>
      <c r="ED949" s="731">
        <v>0.5</v>
      </c>
    </row>
    <row r="950" spans="132:134">
      <c r="EB950" s="1499" t="s">
        <v>81</v>
      </c>
      <c r="EC950" s="730" t="s">
        <v>1209</v>
      </c>
      <c r="ED950" s="731">
        <v>0.5</v>
      </c>
    </row>
    <row r="951" spans="132:134">
      <c r="EB951" s="1499" t="s">
        <v>82</v>
      </c>
      <c r="EC951" s="730" t="s">
        <v>1209</v>
      </c>
      <c r="ED951" s="731">
        <v>0.5</v>
      </c>
    </row>
    <row r="952" spans="132:134">
      <c r="EB952" s="1499" t="s">
        <v>83</v>
      </c>
      <c r="EC952" s="730" t="s">
        <v>1209</v>
      </c>
      <c r="ED952" s="731">
        <v>0.5</v>
      </c>
    </row>
    <row r="953" spans="132:134">
      <c r="EB953" s="1499" t="s">
        <v>84</v>
      </c>
      <c r="EC953" s="730" t="s">
        <v>1209</v>
      </c>
      <c r="ED953" s="731">
        <v>0.5</v>
      </c>
    </row>
    <row r="954" spans="132:134">
      <c r="EB954" s="1499" t="s">
        <v>85</v>
      </c>
      <c r="EC954" s="730" t="s">
        <v>1209</v>
      </c>
      <c r="ED954" s="731">
        <v>0.5</v>
      </c>
    </row>
    <row r="955" spans="132:134">
      <c r="EB955" s="1499" t="s">
        <v>86</v>
      </c>
      <c r="EC955" s="730" t="s">
        <v>1209</v>
      </c>
      <c r="ED955" s="731">
        <v>0.5</v>
      </c>
    </row>
    <row r="956" spans="132:134">
      <c r="EB956" s="1499" t="s">
        <v>87</v>
      </c>
      <c r="EC956" s="730" t="s">
        <v>1209</v>
      </c>
      <c r="ED956" s="731">
        <v>0.5</v>
      </c>
    </row>
    <row r="957" spans="132:134">
      <c r="EB957" s="1499" t="s">
        <v>88</v>
      </c>
      <c r="EC957" s="730" t="s">
        <v>1209</v>
      </c>
      <c r="ED957" s="731">
        <v>0.5</v>
      </c>
    </row>
    <row r="958" spans="132:134">
      <c r="EB958" s="1499" t="s">
        <v>89</v>
      </c>
      <c r="EC958" s="730" t="s">
        <v>1209</v>
      </c>
      <c r="ED958" s="731">
        <v>0.5</v>
      </c>
    </row>
    <row r="959" spans="132:134">
      <c r="EB959" s="1499" t="s">
        <v>90</v>
      </c>
      <c r="EC959" s="730" t="s">
        <v>1209</v>
      </c>
      <c r="ED959" s="731">
        <v>0.5</v>
      </c>
    </row>
    <row r="960" spans="132:134">
      <c r="EB960" s="1499" t="s">
        <v>91</v>
      </c>
      <c r="EC960" s="730" t="s">
        <v>1209</v>
      </c>
      <c r="ED960" s="731">
        <v>0.5</v>
      </c>
    </row>
    <row r="961" spans="123:134">
      <c r="DS961" s="331"/>
      <c r="EB961" s="1499" t="s">
        <v>92</v>
      </c>
      <c r="EC961" s="730" t="s">
        <v>1209</v>
      </c>
      <c r="ED961" s="731">
        <v>0.5</v>
      </c>
    </row>
    <row r="962" spans="123:134">
      <c r="DS962" s="331"/>
      <c r="EB962" s="1499" t="s">
        <v>93</v>
      </c>
      <c r="EC962" s="730" t="s">
        <v>1209</v>
      </c>
      <c r="ED962" s="731">
        <v>0.5</v>
      </c>
    </row>
    <row r="963" spans="123:134">
      <c r="DS963" s="331"/>
      <c r="EB963" s="1499" t="s">
        <v>94</v>
      </c>
      <c r="EC963" s="730" t="s">
        <v>1209</v>
      </c>
      <c r="ED963" s="731">
        <v>0.5</v>
      </c>
    </row>
    <row r="964" spans="123:134">
      <c r="DS964" s="331"/>
      <c r="EB964" s="1499" t="s">
        <v>95</v>
      </c>
      <c r="EC964" s="730" t="s">
        <v>1209</v>
      </c>
      <c r="ED964" s="731">
        <v>0.5</v>
      </c>
    </row>
    <row r="965" spans="123:134">
      <c r="DS965" s="331"/>
      <c r="EB965" s="1499" t="s">
        <v>96</v>
      </c>
      <c r="EC965" s="730" t="s">
        <v>1209</v>
      </c>
      <c r="ED965" s="731">
        <v>0.5</v>
      </c>
    </row>
    <row r="966" spans="123:134">
      <c r="DS966" s="331"/>
      <c r="EB966" s="1499" t="s">
        <v>1565</v>
      </c>
      <c r="EC966" s="730" t="s">
        <v>1209</v>
      </c>
      <c r="ED966" s="731">
        <v>0.5</v>
      </c>
    </row>
    <row r="967" spans="123:134">
      <c r="EB967" s="1499" t="s">
        <v>97</v>
      </c>
      <c r="EC967" s="730" t="s">
        <v>1209</v>
      </c>
      <c r="ED967" s="731">
        <v>0.5</v>
      </c>
    </row>
    <row r="968" spans="123:134">
      <c r="EB968" s="1499" t="s">
        <v>98</v>
      </c>
      <c r="EC968" s="730" t="s">
        <v>1209</v>
      </c>
      <c r="ED968" s="731">
        <v>0.5</v>
      </c>
    </row>
    <row r="969" spans="123:134">
      <c r="EB969" s="1499" t="s">
        <v>498</v>
      </c>
      <c r="EC969" s="730" t="s">
        <v>1209</v>
      </c>
      <c r="ED969" s="731">
        <v>0.5</v>
      </c>
    </row>
    <row r="970" spans="123:134">
      <c r="EB970" s="1499" t="s">
        <v>99</v>
      </c>
      <c r="EC970" s="730" t="s">
        <v>1209</v>
      </c>
      <c r="ED970" s="731">
        <v>0.5</v>
      </c>
    </row>
    <row r="971" spans="123:134">
      <c r="EB971" s="1499" t="s">
        <v>100</v>
      </c>
      <c r="EC971" s="730" t="s">
        <v>1209</v>
      </c>
      <c r="ED971" s="731">
        <v>0.5</v>
      </c>
    </row>
    <row r="972" spans="123:134">
      <c r="EB972" s="1499" t="s">
        <v>1378</v>
      </c>
      <c r="EC972" s="730" t="s">
        <v>1209</v>
      </c>
      <c r="ED972" s="731">
        <v>0.5</v>
      </c>
    </row>
    <row r="973" spans="123:134">
      <c r="EB973" s="1499" t="s">
        <v>73</v>
      </c>
      <c r="EC973" s="730" t="s">
        <v>1209</v>
      </c>
      <c r="ED973" s="731">
        <v>0.5</v>
      </c>
    </row>
    <row r="974" spans="123:134">
      <c r="EB974" s="1499" t="s">
        <v>1377</v>
      </c>
      <c r="EC974" s="730" t="s">
        <v>1209</v>
      </c>
      <c r="ED974" s="731">
        <v>0.5</v>
      </c>
    </row>
    <row r="975" spans="123:134">
      <c r="EB975" s="1499" t="s">
        <v>73</v>
      </c>
      <c r="EC975" s="730" t="s">
        <v>1209</v>
      </c>
      <c r="ED975" s="731">
        <v>0.5</v>
      </c>
    </row>
    <row r="976" spans="123:134">
      <c r="EB976" s="1499" t="s">
        <v>1380</v>
      </c>
      <c r="EC976" s="730" t="s">
        <v>1209</v>
      </c>
      <c r="ED976" s="731">
        <v>0.5</v>
      </c>
    </row>
    <row r="977" spans="132:134">
      <c r="EB977" s="1499" t="s">
        <v>101</v>
      </c>
      <c r="EC977" s="730" t="s">
        <v>1209</v>
      </c>
      <c r="ED977" s="731">
        <v>0.5</v>
      </c>
    </row>
    <row r="978" spans="132:134">
      <c r="EB978" s="1499" t="s">
        <v>102</v>
      </c>
      <c r="EC978" s="730" t="s">
        <v>1209</v>
      </c>
      <c r="ED978" s="731">
        <v>0.5</v>
      </c>
    </row>
    <row r="979" spans="132:134">
      <c r="EB979" s="1499" t="s">
        <v>103</v>
      </c>
      <c r="EC979" s="730" t="s">
        <v>1209</v>
      </c>
      <c r="ED979" s="731">
        <v>0.5</v>
      </c>
    </row>
    <row r="980" spans="132:134">
      <c r="EB980" s="1499" t="s">
        <v>73</v>
      </c>
      <c r="EC980" s="730" t="s">
        <v>1209</v>
      </c>
      <c r="ED980" s="731">
        <v>0.5</v>
      </c>
    </row>
    <row r="981" spans="132:134">
      <c r="EB981" s="1499" t="s">
        <v>1285</v>
      </c>
      <c r="EC981" s="730" t="s">
        <v>1209</v>
      </c>
      <c r="ED981" s="731">
        <v>0.5</v>
      </c>
    </row>
    <row r="982" spans="132:134">
      <c r="EB982" s="1499" t="s">
        <v>73</v>
      </c>
      <c r="EC982" s="730" t="s">
        <v>1209</v>
      </c>
      <c r="ED982" s="731">
        <v>0.5</v>
      </c>
    </row>
    <row r="983" spans="132:134">
      <c r="EB983" s="1499" t="s">
        <v>1288</v>
      </c>
      <c r="EC983" s="730" t="s">
        <v>1209</v>
      </c>
      <c r="ED983" s="731">
        <v>0.5</v>
      </c>
    </row>
    <row r="984" spans="132:134">
      <c r="EB984" s="1499" t="s">
        <v>73</v>
      </c>
      <c r="EC984" s="730" t="s">
        <v>1209</v>
      </c>
      <c r="ED984" s="731">
        <v>0.5</v>
      </c>
    </row>
    <row r="985" spans="132:134">
      <c r="EB985" s="1499" t="s">
        <v>1566</v>
      </c>
      <c r="EC985" s="730" t="s">
        <v>1209</v>
      </c>
      <c r="ED985" s="731">
        <v>0.5</v>
      </c>
    </row>
    <row r="986" spans="132:134">
      <c r="EB986" s="1499" t="s">
        <v>73</v>
      </c>
      <c r="EC986" s="730" t="s">
        <v>1209</v>
      </c>
      <c r="ED986" s="731">
        <v>0.5</v>
      </c>
    </row>
    <row r="987" spans="132:134">
      <c r="EB987" s="1499" t="s">
        <v>1655</v>
      </c>
      <c r="EC987" s="730" t="s">
        <v>1209</v>
      </c>
      <c r="ED987" s="731">
        <v>0.5</v>
      </c>
    </row>
    <row r="988" spans="132:134">
      <c r="EB988" s="1499" t="s">
        <v>1212</v>
      </c>
      <c r="EC988" s="730" t="s">
        <v>1209</v>
      </c>
      <c r="ED988" s="731">
        <v>0.5</v>
      </c>
    </row>
    <row r="989" spans="132:134">
      <c r="EB989" s="1501" t="s">
        <v>418</v>
      </c>
      <c r="EC989" s="730" t="s">
        <v>1567</v>
      </c>
      <c r="ED989" s="731">
        <v>0.5</v>
      </c>
    </row>
    <row r="990" spans="132:134">
      <c r="EB990" s="1501" t="s">
        <v>418</v>
      </c>
      <c r="EC990" s="730" t="s">
        <v>1761</v>
      </c>
      <c r="ED990" s="731">
        <v>0.5</v>
      </c>
    </row>
    <row r="991" spans="132:134">
      <c r="EB991" s="1501" t="s">
        <v>418</v>
      </c>
      <c r="EC991" s="730" t="s">
        <v>1745</v>
      </c>
      <c r="ED991" s="731">
        <v>0.5</v>
      </c>
    </row>
    <row r="992" spans="132:134">
      <c r="EB992" s="1501" t="s">
        <v>418</v>
      </c>
      <c r="EC992" s="730" t="s">
        <v>1746</v>
      </c>
      <c r="ED992" s="731">
        <v>0.5</v>
      </c>
    </row>
    <row r="993" spans="132:134">
      <c r="EB993" s="1501" t="s">
        <v>418</v>
      </c>
      <c r="EC993" s="730" t="s">
        <v>1747</v>
      </c>
      <c r="ED993" s="731">
        <v>0.5</v>
      </c>
    </row>
    <row r="994" spans="132:134">
      <c r="EB994" s="1501" t="s">
        <v>418</v>
      </c>
      <c r="EC994" s="730" t="s">
        <v>1748</v>
      </c>
      <c r="ED994" s="731">
        <v>0.5</v>
      </c>
    </row>
    <row r="995" spans="132:134">
      <c r="EB995" s="1501" t="s">
        <v>418</v>
      </c>
      <c r="EC995" s="730" t="s">
        <v>1749</v>
      </c>
      <c r="ED995" s="731">
        <v>0.5</v>
      </c>
    </row>
    <row r="996" spans="132:134">
      <c r="EB996" s="1501" t="s">
        <v>418</v>
      </c>
      <c r="EC996" s="730" t="s">
        <v>1750</v>
      </c>
      <c r="ED996" s="731">
        <v>0.5</v>
      </c>
    </row>
    <row r="997" spans="132:134">
      <c r="EB997" s="1501" t="s">
        <v>418</v>
      </c>
      <c r="EC997" s="730" t="s">
        <v>1751</v>
      </c>
      <c r="ED997" s="731">
        <v>0.5</v>
      </c>
    </row>
    <row r="998" spans="132:134">
      <c r="EB998" s="1501" t="s">
        <v>418</v>
      </c>
      <c r="EC998" s="730" t="s">
        <v>1752</v>
      </c>
      <c r="ED998" s="731">
        <v>0.5</v>
      </c>
    </row>
    <row r="999" spans="132:134">
      <c r="EB999" s="1501" t="s">
        <v>418</v>
      </c>
      <c r="EC999" s="730" t="s">
        <v>1753</v>
      </c>
      <c r="ED999" s="731">
        <v>0.5</v>
      </c>
    </row>
    <row r="1000" spans="132:134">
      <c r="EB1000" s="1501" t="s">
        <v>418</v>
      </c>
      <c r="EC1000" s="730" t="s">
        <v>1754</v>
      </c>
      <c r="ED1000" s="731">
        <v>0.5</v>
      </c>
    </row>
    <row r="1001" spans="132:134">
      <c r="EB1001" s="1501" t="s">
        <v>418</v>
      </c>
      <c r="EC1001" s="730" t="s">
        <v>1755</v>
      </c>
      <c r="ED1001" s="731">
        <v>0.5</v>
      </c>
    </row>
    <row r="1002" spans="132:134">
      <c r="EB1002" s="1501" t="s">
        <v>418</v>
      </c>
      <c r="EC1002" s="730" t="s">
        <v>1756</v>
      </c>
      <c r="ED1002" s="731">
        <v>0.5</v>
      </c>
    </row>
    <row r="1003" spans="132:134">
      <c r="EB1003" s="1501" t="s">
        <v>418</v>
      </c>
      <c r="EC1003" s="730" t="s">
        <v>1757</v>
      </c>
      <c r="ED1003" s="731">
        <v>0.5</v>
      </c>
    </row>
    <row r="1004" spans="132:134">
      <c r="EB1004" s="1501" t="s">
        <v>418</v>
      </c>
      <c r="EC1004" s="730" t="s">
        <v>1758</v>
      </c>
      <c r="ED1004" s="731">
        <v>0.5</v>
      </c>
    </row>
    <row r="1005" spans="132:134">
      <c r="EB1005" s="1501" t="s">
        <v>418</v>
      </c>
      <c r="EC1005" s="730" t="s">
        <v>455</v>
      </c>
      <c r="ED1005" s="731">
        <v>0.5</v>
      </c>
    </row>
    <row r="1006" spans="132:134">
      <c r="EB1006" s="1501" t="s">
        <v>418</v>
      </c>
      <c r="EC1006" s="730" t="s">
        <v>1760</v>
      </c>
      <c r="ED1006" s="731">
        <v>0.5</v>
      </c>
    </row>
    <row r="1007" spans="132:134">
      <c r="EB1007" s="1505" t="s">
        <v>418</v>
      </c>
      <c r="EC1007" s="1506" t="s">
        <v>1656</v>
      </c>
      <c r="ED1007" s="1507">
        <v>0.5</v>
      </c>
    </row>
    <row r="1047" spans="131:131">
      <c r="EA1047" s="701"/>
    </row>
    <row r="1184" spans="138:138">
      <c r="EH1184" s="416"/>
    </row>
    <row r="1185" spans="138:138">
      <c r="EH1185" s="416"/>
    </row>
    <row r="1186" spans="138:138">
      <c r="EH1186" s="416"/>
    </row>
    <row r="1338" spans="138:138">
      <c r="EH1338" s="733"/>
    </row>
    <row r="1372" spans="131:131">
      <c r="EA1372" s="724"/>
    </row>
    <row r="1429" spans="136:137">
      <c r="EF1429" s="725"/>
      <c r="EG1429" s="331"/>
    </row>
    <row r="1430" spans="136:137">
      <c r="EF1430" s="725"/>
      <c r="EG1430" s="331"/>
    </row>
    <row r="1431" spans="136:137">
      <c r="EF1431" s="725"/>
      <c r="EG1431" s="331"/>
    </row>
  </sheetData>
  <sheetProtection algorithmName="SHA-512" hashValue="W4RLnPScBJCNtzGSbdYJeqsNJrXb98YeRF2YM1+EVxvNeT8MFTJc9y7TW6HqluZoU22nhiPXTC3f+G59G57OwQ==" saltValue="bwYfNMDyK6KIprb+8LkQHA==" spinCount="100000" sheet="1" formatRows="0"/>
  <dataConsolidate link="1"/>
  <mergeCells count="2509">
    <mergeCell ref="T140:V140"/>
    <mergeCell ref="T141:V141"/>
    <mergeCell ref="T142:V142"/>
    <mergeCell ref="T107:V107"/>
    <mergeCell ref="T108:V108"/>
    <mergeCell ref="T109:V109"/>
    <mergeCell ref="T110:V110"/>
    <mergeCell ref="T111:V111"/>
    <mergeCell ref="T112:V112"/>
    <mergeCell ref="T113:V113"/>
    <mergeCell ref="T114:V114"/>
    <mergeCell ref="T115:V115"/>
    <mergeCell ref="T116:V116"/>
    <mergeCell ref="T117:V117"/>
    <mergeCell ref="T118:V118"/>
    <mergeCell ref="T119:V119"/>
    <mergeCell ref="T120:V120"/>
    <mergeCell ref="T121:V121"/>
    <mergeCell ref="T122:V122"/>
    <mergeCell ref="T123:V123"/>
    <mergeCell ref="T86:V86"/>
    <mergeCell ref="T87:V87"/>
    <mergeCell ref="T88:V88"/>
    <mergeCell ref="T100:V100"/>
    <mergeCell ref="T67:V67"/>
    <mergeCell ref="T76:V76"/>
    <mergeCell ref="T77:V77"/>
    <mergeCell ref="T78:V78"/>
    <mergeCell ref="T79:V79"/>
    <mergeCell ref="T80:V80"/>
    <mergeCell ref="T81:V81"/>
    <mergeCell ref="T82:V82"/>
    <mergeCell ref="T83:V83"/>
    <mergeCell ref="T84:V84"/>
    <mergeCell ref="T85:V85"/>
    <mergeCell ref="T68:V68"/>
    <mergeCell ref="T69:V69"/>
    <mergeCell ref="T70:V70"/>
    <mergeCell ref="T89:V89"/>
    <mergeCell ref="T90:V90"/>
    <mergeCell ref="T91:V91"/>
    <mergeCell ref="T92:V92"/>
    <mergeCell ref="T93:V93"/>
    <mergeCell ref="T94:V94"/>
    <mergeCell ref="T95:V95"/>
    <mergeCell ref="T96:V96"/>
    <mergeCell ref="T97:V97"/>
    <mergeCell ref="T98:V98"/>
    <mergeCell ref="T99:V99"/>
    <mergeCell ref="T71:V71"/>
    <mergeCell ref="T72:V72"/>
    <mergeCell ref="T73:V73"/>
    <mergeCell ref="AK330:AL330"/>
    <mergeCell ref="AK313:AL313"/>
    <mergeCell ref="AK328:AL328"/>
    <mergeCell ref="AK329:AL329"/>
    <mergeCell ref="CZ317:DB317"/>
    <mergeCell ref="AK311:AL311"/>
    <mergeCell ref="AL322:AM322"/>
    <mergeCell ref="AL309:AN309"/>
    <mergeCell ref="X313:Z313"/>
    <mergeCell ref="X312:Z312"/>
    <mergeCell ref="S317:AA323"/>
    <mergeCell ref="AL308:AN308"/>
    <mergeCell ref="DA308:DB308"/>
    <mergeCell ref="B308:E308"/>
    <mergeCell ref="F308:I308"/>
    <mergeCell ref="AH308:AI308"/>
    <mergeCell ref="X308:Y308"/>
    <mergeCell ref="K308:L308"/>
    <mergeCell ref="T308:V308"/>
    <mergeCell ref="J320:L320"/>
    <mergeCell ref="J319:L319"/>
    <mergeCell ref="Z325:AA325"/>
    <mergeCell ref="X311:Z311"/>
    <mergeCell ref="AA310:AB310"/>
    <mergeCell ref="E330:G330"/>
    <mergeCell ref="DA306:DB306"/>
    <mergeCell ref="B307:E307"/>
    <mergeCell ref="F307:I307"/>
    <mergeCell ref="AH307:AI307"/>
    <mergeCell ref="AL307:AN307"/>
    <mergeCell ref="DA307:DB307"/>
    <mergeCell ref="AL305:AN305"/>
    <mergeCell ref="DA305:DB305"/>
    <mergeCell ref="B306:E306"/>
    <mergeCell ref="F306:I306"/>
    <mergeCell ref="AH306:AI306"/>
    <mergeCell ref="AL306:AN306"/>
    <mergeCell ref="X306:Y306"/>
    <mergeCell ref="X307:Y307"/>
    <mergeCell ref="K306:L306"/>
    <mergeCell ref="K307:L307"/>
    <mergeCell ref="T305:V305"/>
    <mergeCell ref="T306:V306"/>
    <mergeCell ref="T307:V307"/>
    <mergeCell ref="AL304:AN304"/>
    <mergeCell ref="DA304:DB304"/>
    <mergeCell ref="B305:E305"/>
    <mergeCell ref="F305:I305"/>
    <mergeCell ref="AH305:AI305"/>
    <mergeCell ref="B304:E304"/>
    <mergeCell ref="F304:I304"/>
    <mergeCell ref="AH304:AI304"/>
    <mergeCell ref="DA302:DB302"/>
    <mergeCell ref="B303:E303"/>
    <mergeCell ref="F303:I303"/>
    <mergeCell ref="AH303:AI303"/>
    <mergeCell ref="AL303:AN303"/>
    <mergeCell ref="DA303:DB303"/>
    <mergeCell ref="X303:Y303"/>
    <mergeCell ref="X304:Y304"/>
    <mergeCell ref="X305:Y305"/>
    <mergeCell ref="K303:L303"/>
    <mergeCell ref="K304:L304"/>
    <mergeCell ref="K305:L305"/>
    <mergeCell ref="T302:V302"/>
    <mergeCell ref="T303:V303"/>
    <mergeCell ref="T304:V304"/>
    <mergeCell ref="AL301:AN301"/>
    <mergeCell ref="DA301:DB301"/>
    <mergeCell ref="B302:E302"/>
    <mergeCell ref="F302:I302"/>
    <mergeCell ref="AH302:AI302"/>
    <mergeCell ref="AL302:AN302"/>
    <mergeCell ref="AL300:AN300"/>
    <mergeCell ref="DA300:DB300"/>
    <mergeCell ref="B301:E301"/>
    <mergeCell ref="F301:I301"/>
    <mergeCell ref="AH301:AI301"/>
    <mergeCell ref="B300:E300"/>
    <mergeCell ref="F300:I300"/>
    <mergeCell ref="AH300:AI300"/>
    <mergeCell ref="X300:Y300"/>
    <mergeCell ref="X301:Y301"/>
    <mergeCell ref="X302:Y302"/>
    <mergeCell ref="K300:L300"/>
    <mergeCell ref="K301:L301"/>
    <mergeCell ref="K302:L302"/>
    <mergeCell ref="T300:V300"/>
    <mergeCell ref="T301:V301"/>
    <mergeCell ref="DA298:DB298"/>
    <mergeCell ref="B299:E299"/>
    <mergeCell ref="F299:I299"/>
    <mergeCell ref="AH299:AI299"/>
    <mergeCell ref="AL299:AN299"/>
    <mergeCell ref="DA299:DB299"/>
    <mergeCell ref="AL297:AN297"/>
    <mergeCell ref="DA297:DB297"/>
    <mergeCell ref="B298:E298"/>
    <mergeCell ref="F298:I298"/>
    <mergeCell ref="AH298:AI298"/>
    <mergeCell ref="AL298:AN298"/>
    <mergeCell ref="X298:Y298"/>
    <mergeCell ref="X299:Y299"/>
    <mergeCell ref="K298:L298"/>
    <mergeCell ref="K299:L299"/>
    <mergeCell ref="T297:V297"/>
    <mergeCell ref="T298:V298"/>
    <mergeCell ref="T299:V299"/>
    <mergeCell ref="AL296:AN296"/>
    <mergeCell ref="DA296:DB296"/>
    <mergeCell ref="B297:E297"/>
    <mergeCell ref="F297:I297"/>
    <mergeCell ref="AH297:AI297"/>
    <mergeCell ref="B296:E296"/>
    <mergeCell ref="F296:I296"/>
    <mergeCell ref="AH296:AI296"/>
    <mergeCell ref="DA294:DB294"/>
    <mergeCell ref="B295:E295"/>
    <mergeCell ref="F295:I295"/>
    <mergeCell ref="AH295:AI295"/>
    <mergeCell ref="AL295:AN295"/>
    <mergeCell ref="DA295:DB295"/>
    <mergeCell ref="X295:Y295"/>
    <mergeCell ref="X296:Y296"/>
    <mergeCell ref="X297:Y297"/>
    <mergeCell ref="K295:L295"/>
    <mergeCell ref="K296:L296"/>
    <mergeCell ref="K297:L297"/>
    <mergeCell ref="T294:V294"/>
    <mergeCell ref="T295:V295"/>
    <mergeCell ref="T296:V296"/>
    <mergeCell ref="AL293:AN293"/>
    <mergeCell ref="DA293:DB293"/>
    <mergeCell ref="B294:E294"/>
    <mergeCell ref="F294:I294"/>
    <mergeCell ref="AH294:AI294"/>
    <mergeCell ref="AL294:AN294"/>
    <mergeCell ref="AL292:AN292"/>
    <mergeCell ref="DA292:DB292"/>
    <mergeCell ref="B293:E293"/>
    <mergeCell ref="F293:I293"/>
    <mergeCell ref="AH293:AI293"/>
    <mergeCell ref="B292:E292"/>
    <mergeCell ref="F292:I292"/>
    <mergeCell ref="AH292:AI292"/>
    <mergeCell ref="X292:Y292"/>
    <mergeCell ref="X293:Y293"/>
    <mergeCell ref="X294:Y294"/>
    <mergeCell ref="K292:L292"/>
    <mergeCell ref="K293:L293"/>
    <mergeCell ref="K294:L294"/>
    <mergeCell ref="T292:V292"/>
    <mergeCell ref="T293:V293"/>
    <mergeCell ref="DA290:DB290"/>
    <mergeCell ref="B291:E291"/>
    <mergeCell ref="F291:I291"/>
    <mergeCell ref="AH291:AI291"/>
    <mergeCell ref="AL291:AN291"/>
    <mergeCell ref="DA291:DB291"/>
    <mergeCell ref="AL289:AN289"/>
    <mergeCell ref="DA289:DB289"/>
    <mergeCell ref="B290:E290"/>
    <mergeCell ref="F290:I290"/>
    <mergeCell ref="AH290:AI290"/>
    <mergeCell ref="AL290:AN290"/>
    <mergeCell ref="X290:Y290"/>
    <mergeCell ref="X291:Y291"/>
    <mergeCell ref="K290:L290"/>
    <mergeCell ref="K291:L291"/>
    <mergeCell ref="T289:V289"/>
    <mergeCell ref="T290:V290"/>
    <mergeCell ref="T291:V291"/>
    <mergeCell ref="AL288:AN288"/>
    <mergeCell ref="DA288:DB288"/>
    <mergeCell ref="B289:E289"/>
    <mergeCell ref="F289:I289"/>
    <mergeCell ref="AH289:AI289"/>
    <mergeCell ref="B288:E288"/>
    <mergeCell ref="F288:I288"/>
    <mergeCell ref="AH288:AI288"/>
    <mergeCell ref="DA286:DB286"/>
    <mergeCell ref="B287:E287"/>
    <mergeCell ref="F287:I287"/>
    <mergeCell ref="AH287:AI287"/>
    <mergeCell ref="AL287:AN287"/>
    <mergeCell ref="DA287:DB287"/>
    <mergeCell ref="X287:Y287"/>
    <mergeCell ref="X288:Y288"/>
    <mergeCell ref="X289:Y289"/>
    <mergeCell ref="K287:L287"/>
    <mergeCell ref="K288:L288"/>
    <mergeCell ref="K289:L289"/>
    <mergeCell ref="T286:V286"/>
    <mergeCell ref="T287:V287"/>
    <mergeCell ref="T288:V288"/>
    <mergeCell ref="AL285:AN285"/>
    <mergeCell ref="DA285:DB285"/>
    <mergeCell ref="B286:E286"/>
    <mergeCell ref="F286:I286"/>
    <mergeCell ref="AH286:AI286"/>
    <mergeCell ref="AL286:AN286"/>
    <mergeCell ref="AL284:AN284"/>
    <mergeCell ref="DA284:DB284"/>
    <mergeCell ref="B285:E285"/>
    <mergeCell ref="F285:I285"/>
    <mergeCell ref="AH285:AI285"/>
    <mergeCell ref="B284:E284"/>
    <mergeCell ref="F284:I284"/>
    <mergeCell ref="AH284:AI284"/>
    <mergeCell ref="X284:Y284"/>
    <mergeCell ref="X285:Y285"/>
    <mergeCell ref="X286:Y286"/>
    <mergeCell ref="K284:L284"/>
    <mergeCell ref="K285:L285"/>
    <mergeCell ref="K286:L286"/>
    <mergeCell ref="T284:V284"/>
    <mergeCell ref="T285:V285"/>
    <mergeCell ref="DA282:DB282"/>
    <mergeCell ref="B283:E283"/>
    <mergeCell ref="F283:I283"/>
    <mergeCell ref="AH283:AI283"/>
    <mergeCell ref="AL283:AN283"/>
    <mergeCell ref="DA283:DB283"/>
    <mergeCell ref="AL281:AN281"/>
    <mergeCell ref="DA281:DB281"/>
    <mergeCell ref="B282:E282"/>
    <mergeCell ref="F282:I282"/>
    <mergeCell ref="AH282:AI282"/>
    <mergeCell ref="AL282:AN282"/>
    <mergeCell ref="X282:Y282"/>
    <mergeCell ref="X283:Y283"/>
    <mergeCell ref="K282:L282"/>
    <mergeCell ref="K283:L283"/>
    <mergeCell ref="T281:V281"/>
    <mergeCell ref="T282:V282"/>
    <mergeCell ref="T283:V283"/>
    <mergeCell ref="AL280:AN280"/>
    <mergeCell ref="DA280:DB280"/>
    <mergeCell ref="B281:E281"/>
    <mergeCell ref="F281:I281"/>
    <mergeCell ref="AH281:AI281"/>
    <mergeCell ref="B280:E280"/>
    <mergeCell ref="F280:I280"/>
    <mergeCell ref="AH280:AI280"/>
    <mergeCell ref="DA278:DB278"/>
    <mergeCell ref="B279:E279"/>
    <mergeCell ref="F279:I279"/>
    <mergeCell ref="AH279:AI279"/>
    <mergeCell ref="AL279:AN279"/>
    <mergeCell ref="DA279:DB279"/>
    <mergeCell ref="X279:Y279"/>
    <mergeCell ref="X280:Y280"/>
    <mergeCell ref="X281:Y281"/>
    <mergeCell ref="K279:L279"/>
    <mergeCell ref="K280:L280"/>
    <mergeCell ref="K281:L281"/>
    <mergeCell ref="T278:V278"/>
    <mergeCell ref="T279:V279"/>
    <mergeCell ref="T280:V280"/>
    <mergeCell ref="AL277:AN277"/>
    <mergeCell ref="DA277:DB277"/>
    <mergeCell ref="B278:E278"/>
    <mergeCell ref="F278:I278"/>
    <mergeCell ref="AH278:AI278"/>
    <mergeCell ref="AL278:AN278"/>
    <mergeCell ref="AL276:AN276"/>
    <mergeCell ref="DA276:DB276"/>
    <mergeCell ref="B277:E277"/>
    <mergeCell ref="F277:I277"/>
    <mergeCell ref="AH277:AI277"/>
    <mergeCell ref="B276:E276"/>
    <mergeCell ref="F276:I276"/>
    <mergeCell ref="AH276:AI276"/>
    <mergeCell ref="X276:Y276"/>
    <mergeCell ref="X277:Y277"/>
    <mergeCell ref="X278:Y278"/>
    <mergeCell ref="K276:L276"/>
    <mergeCell ref="K277:L277"/>
    <mergeCell ref="K278:L278"/>
    <mergeCell ref="T276:V276"/>
    <mergeCell ref="T277:V277"/>
    <mergeCell ref="DA274:DB274"/>
    <mergeCell ref="B275:E275"/>
    <mergeCell ref="F275:I275"/>
    <mergeCell ref="AH275:AI275"/>
    <mergeCell ref="AL275:AN275"/>
    <mergeCell ref="DA275:DB275"/>
    <mergeCell ref="AL273:AN273"/>
    <mergeCell ref="DA273:DB273"/>
    <mergeCell ref="B274:E274"/>
    <mergeCell ref="F274:I274"/>
    <mergeCell ref="AH274:AI274"/>
    <mergeCell ref="AL274:AN274"/>
    <mergeCell ref="X274:Y274"/>
    <mergeCell ref="X275:Y275"/>
    <mergeCell ref="K274:L274"/>
    <mergeCell ref="K275:L275"/>
    <mergeCell ref="T273:V273"/>
    <mergeCell ref="T274:V274"/>
    <mergeCell ref="T275:V275"/>
    <mergeCell ref="AL272:AN272"/>
    <mergeCell ref="DA272:DB272"/>
    <mergeCell ref="B273:E273"/>
    <mergeCell ref="F273:I273"/>
    <mergeCell ref="AH273:AI273"/>
    <mergeCell ref="B272:E272"/>
    <mergeCell ref="F272:I272"/>
    <mergeCell ref="AH272:AI272"/>
    <mergeCell ref="DA270:DB270"/>
    <mergeCell ref="B271:E271"/>
    <mergeCell ref="F271:I271"/>
    <mergeCell ref="AH271:AI271"/>
    <mergeCell ref="AL271:AN271"/>
    <mergeCell ref="DA271:DB271"/>
    <mergeCell ref="X271:Y271"/>
    <mergeCell ref="X272:Y272"/>
    <mergeCell ref="X273:Y273"/>
    <mergeCell ref="K271:L271"/>
    <mergeCell ref="K272:L272"/>
    <mergeCell ref="K273:L273"/>
    <mergeCell ref="T270:V270"/>
    <mergeCell ref="T271:V271"/>
    <mergeCell ref="T272:V272"/>
    <mergeCell ref="AL269:AN269"/>
    <mergeCell ref="DA269:DB269"/>
    <mergeCell ref="B270:E270"/>
    <mergeCell ref="F270:I270"/>
    <mergeCell ref="AH270:AI270"/>
    <mergeCell ref="AL270:AN270"/>
    <mergeCell ref="AL268:AN268"/>
    <mergeCell ref="DA268:DB268"/>
    <mergeCell ref="B269:E269"/>
    <mergeCell ref="F269:I269"/>
    <mergeCell ref="AH269:AI269"/>
    <mergeCell ref="B268:E268"/>
    <mergeCell ref="F268:I268"/>
    <mergeCell ref="AH268:AI268"/>
    <mergeCell ref="X268:Y268"/>
    <mergeCell ref="X269:Y269"/>
    <mergeCell ref="X270:Y270"/>
    <mergeCell ref="K268:L268"/>
    <mergeCell ref="K269:L269"/>
    <mergeCell ref="K270:L270"/>
    <mergeCell ref="T268:V268"/>
    <mergeCell ref="T269:V269"/>
    <mergeCell ref="DA266:DB266"/>
    <mergeCell ref="B267:E267"/>
    <mergeCell ref="F267:I267"/>
    <mergeCell ref="AH267:AI267"/>
    <mergeCell ref="AL267:AN267"/>
    <mergeCell ref="DA267:DB267"/>
    <mergeCell ref="AL265:AN265"/>
    <mergeCell ref="DA265:DB265"/>
    <mergeCell ref="B266:E266"/>
    <mergeCell ref="F266:I266"/>
    <mergeCell ref="AH266:AI266"/>
    <mergeCell ref="AL266:AN266"/>
    <mergeCell ref="X266:Y266"/>
    <mergeCell ref="X267:Y267"/>
    <mergeCell ref="K266:L266"/>
    <mergeCell ref="K267:L267"/>
    <mergeCell ref="T265:V265"/>
    <mergeCell ref="T266:V266"/>
    <mergeCell ref="T267:V267"/>
    <mergeCell ref="AL264:AN264"/>
    <mergeCell ref="DA264:DB264"/>
    <mergeCell ref="B265:E265"/>
    <mergeCell ref="F265:I265"/>
    <mergeCell ref="AH265:AI265"/>
    <mergeCell ref="B264:E264"/>
    <mergeCell ref="F264:I264"/>
    <mergeCell ref="AH264:AI264"/>
    <mergeCell ref="DA262:DB262"/>
    <mergeCell ref="B263:E263"/>
    <mergeCell ref="F263:I263"/>
    <mergeCell ref="AH263:AI263"/>
    <mergeCell ref="AL263:AN263"/>
    <mergeCell ref="DA263:DB263"/>
    <mergeCell ref="X263:Y263"/>
    <mergeCell ref="X264:Y264"/>
    <mergeCell ref="X265:Y265"/>
    <mergeCell ref="K263:L263"/>
    <mergeCell ref="K264:L264"/>
    <mergeCell ref="K265:L265"/>
    <mergeCell ref="T262:V262"/>
    <mergeCell ref="T263:V263"/>
    <mergeCell ref="T264:V264"/>
    <mergeCell ref="AL261:AN261"/>
    <mergeCell ref="DA261:DB261"/>
    <mergeCell ref="B262:E262"/>
    <mergeCell ref="F262:I262"/>
    <mergeCell ref="AH262:AI262"/>
    <mergeCell ref="AL262:AN262"/>
    <mergeCell ref="AL260:AN260"/>
    <mergeCell ref="DA260:DB260"/>
    <mergeCell ref="B261:E261"/>
    <mergeCell ref="F261:I261"/>
    <mergeCell ref="AH261:AI261"/>
    <mergeCell ref="B260:E260"/>
    <mergeCell ref="F260:I260"/>
    <mergeCell ref="AH260:AI260"/>
    <mergeCell ref="X260:Y260"/>
    <mergeCell ref="X261:Y261"/>
    <mergeCell ref="X262:Y262"/>
    <mergeCell ref="K260:L260"/>
    <mergeCell ref="K261:L261"/>
    <mergeCell ref="K262:L262"/>
    <mergeCell ref="T260:V260"/>
    <mergeCell ref="T261:V261"/>
    <mergeCell ref="DA258:DB258"/>
    <mergeCell ref="B259:E259"/>
    <mergeCell ref="F259:I259"/>
    <mergeCell ref="AH259:AI259"/>
    <mergeCell ref="AL259:AN259"/>
    <mergeCell ref="DA259:DB259"/>
    <mergeCell ref="AL257:AN257"/>
    <mergeCell ref="DA257:DB257"/>
    <mergeCell ref="B258:E258"/>
    <mergeCell ref="F258:I258"/>
    <mergeCell ref="AH258:AI258"/>
    <mergeCell ref="AL258:AN258"/>
    <mergeCell ref="X258:Y258"/>
    <mergeCell ref="X259:Y259"/>
    <mergeCell ref="K258:L258"/>
    <mergeCell ref="K259:L259"/>
    <mergeCell ref="T257:V257"/>
    <mergeCell ref="T258:V258"/>
    <mergeCell ref="T259:V259"/>
    <mergeCell ref="AL256:AN256"/>
    <mergeCell ref="DA256:DB256"/>
    <mergeCell ref="B257:E257"/>
    <mergeCell ref="F257:I257"/>
    <mergeCell ref="AH257:AI257"/>
    <mergeCell ref="B256:E256"/>
    <mergeCell ref="F256:I256"/>
    <mergeCell ref="AH256:AI256"/>
    <mergeCell ref="DA254:DB254"/>
    <mergeCell ref="B255:E255"/>
    <mergeCell ref="F255:I255"/>
    <mergeCell ref="AH255:AI255"/>
    <mergeCell ref="AL255:AN255"/>
    <mergeCell ref="DA255:DB255"/>
    <mergeCell ref="X255:Y255"/>
    <mergeCell ref="X256:Y256"/>
    <mergeCell ref="X257:Y257"/>
    <mergeCell ref="K255:L255"/>
    <mergeCell ref="K256:L256"/>
    <mergeCell ref="K257:L257"/>
    <mergeCell ref="T254:V254"/>
    <mergeCell ref="T255:V255"/>
    <mergeCell ref="T256:V256"/>
    <mergeCell ref="AL253:AN253"/>
    <mergeCell ref="DA253:DB253"/>
    <mergeCell ref="B254:E254"/>
    <mergeCell ref="F254:I254"/>
    <mergeCell ref="AH254:AI254"/>
    <mergeCell ref="AL254:AN254"/>
    <mergeCell ref="AL252:AN252"/>
    <mergeCell ref="DA252:DB252"/>
    <mergeCell ref="B253:E253"/>
    <mergeCell ref="F253:I253"/>
    <mergeCell ref="AH253:AI253"/>
    <mergeCell ref="B252:E252"/>
    <mergeCell ref="F252:I252"/>
    <mergeCell ref="AH252:AI252"/>
    <mergeCell ref="X252:Y252"/>
    <mergeCell ref="X253:Y253"/>
    <mergeCell ref="X254:Y254"/>
    <mergeCell ref="K252:L252"/>
    <mergeCell ref="K253:L253"/>
    <mergeCell ref="K254:L254"/>
    <mergeCell ref="T252:V252"/>
    <mergeCell ref="T253:V253"/>
    <mergeCell ref="DA250:DB250"/>
    <mergeCell ref="B251:E251"/>
    <mergeCell ref="F251:I251"/>
    <mergeCell ref="AH251:AI251"/>
    <mergeCell ref="AL251:AN251"/>
    <mergeCell ref="DA251:DB251"/>
    <mergeCell ref="AL249:AN249"/>
    <mergeCell ref="DA249:DB249"/>
    <mergeCell ref="B250:E250"/>
    <mergeCell ref="F250:I250"/>
    <mergeCell ref="AH250:AI250"/>
    <mergeCell ref="AL250:AN250"/>
    <mergeCell ref="X250:Y250"/>
    <mergeCell ref="X251:Y251"/>
    <mergeCell ref="K250:L250"/>
    <mergeCell ref="K251:L251"/>
    <mergeCell ref="T249:V249"/>
    <mergeCell ref="T250:V250"/>
    <mergeCell ref="T251:V251"/>
    <mergeCell ref="AL248:AN248"/>
    <mergeCell ref="DA248:DB248"/>
    <mergeCell ref="B249:E249"/>
    <mergeCell ref="F249:I249"/>
    <mergeCell ref="AH249:AI249"/>
    <mergeCell ref="B248:E248"/>
    <mergeCell ref="F248:I248"/>
    <mergeCell ref="AH248:AI248"/>
    <mergeCell ref="DA246:DB246"/>
    <mergeCell ref="B247:E247"/>
    <mergeCell ref="F247:I247"/>
    <mergeCell ref="AH247:AI247"/>
    <mergeCell ref="AL247:AN247"/>
    <mergeCell ref="DA247:DB247"/>
    <mergeCell ref="X247:Y247"/>
    <mergeCell ref="X248:Y248"/>
    <mergeCell ref="X249:Y249"/>
    <mergeCell ref="K247:L247"/>
    <mergeCell ref="K248:L248"/>
    <mergeCell ref="K249:L249"/>
    <mergeCell ref="T246:V246"/>
    <mergeCell ref="T247:V247"/>
    <mergeCell ref="T248:V248"/>
    <mergeCell ref="AL245:AN245"/>
    <mergeCell ref="DA245:DB245"/>
    <mergeCell ref="B246:E246"/>
    <mergeCell ref="F246:I246"/>
    <mergeCell ref="AH246:AI246"/>
    <mergeCell ref="AL246:AN246"/>
    <mergeCell ref="AL244:AN244"/>
    <mergeCell ref="DA244:DB244"/>
    <mergeCell ref="B245:E245"/>
    <mergeCell ref="F245:I245"/>
    <mergeCell ref="AH245:AI245"/>
    <mergeCell ref="B244:E244"/>
    <mergeCell ref="F244:I244"/>
    <mergeCell ref="AH244:AI244"/>
    <mergeCell ref="X244:Y244"/>
    <mergeCell ref="X245:Y245"/>
    <mergeCell ref="X246:Y246"/>
    <mergeCell ref="K244:L244"/>
    <mergeCell ref="K245:L245"/>
    <mergeCell ref="K246:L246"/>
    <mergeCell ref="T244:V244"/>
    <mergeCell ref="T245:V245"/>
    <mergeCell ref="DA242:DB242"/>
    <mergeCell ref="B243:E243"/>
    <mergeCell ref="F243:I243"/>
    <mergeCell ref="AH243:AI243"/>
    <mergeCell ref="AL243:AN243"/>
    <mergeCell ref="DA243:DB243"/>
    <mergeCell ref="AL241:AN241"/>
    <mergeCell ref="DA241:DB241"/>
    <mergeCell ref="B242:E242"/>
    <mergeCell ref="F242:I242"/>
    <mergeCell ref="AH242:AI242"/>
    <mergeCell ref="AL242:AN242"/>
    <mergeCell ref="X242:Y242"/>
    <mergeCell ref="X243:Y243"/>
    <mergeCell ref="K242:L242"/>
    <mergeCell ref="K243:L243"/>
    <mergeCell ref="T241:V241"/>
    <mergeCell ref="T242:V242"/>
    <mergeCell ref="T243:V243"/>
    <mergeCell ref="AL240:AN240"/>
    <mergeCell ref="DA240:DB240"/>
    <mergeCell ref="B241:E241"/>
    <mergeCell ref="F241:I241"/>
    <mergeCell ref="AH241:AI241"/>
    <mergeCell ref="B240:E240"/>
    <mergeCell ref="F240:I240"/>
    <mergeCell ref="AH240:AI240"/>
    <mergeCell ref="DA238:DB238"/>
    <mergeCell ref="B239:E239"/>
    <mergeCell ref="F239:I239"/>
    <mergeCell ref="AH239:AI239"/>
    <mergeCell ref="AL239:AN239"/>
    <mergeCell ref="DA239:DB239"/>
    <mergeCell ref="X239:Y239"/>
    <mergeCell ref="X240:Y240"/>
    <mergeCell ref="X241:Y241"/>
    <mergeCell ref="K239:L239"/>
    <mergeCell ref="K240:L240"/>
    <mergeCell ref="K241:L241"/>
    <mergeCell ref="T238:V238"/>
    <mergeCell ref="T239:V239"/>
    <mergeCell ref="T240:V240"/>
    <mergeCell ref="AL237:AN237"/>
    <mergeCell ref="DA237:DB237"/>
    <mergeCell ref="B238:E238"/>
    <mergeCell ref="F238:I238"/>
    <mergeCell ref="AH238:AI238"/>
    <mergeCell ref="AL238:AN238"/>
    <mergeCell ref="AL236:AN236"/>
    <mergeCell ref="DA236:DB236"/>
    <mergeCell ref="B237:E237"/>
    <mergeCell ref="F237:I237"/>
    <mergeCell ref="AH237:AI237"/>
    <mergeCell ref="B236:E236"/>
    <mergeCell ref="F236:I236"/>
    <mergeCell ref="AH236:AI236"/>
    <mergeCell ref="X236:Y236"/>
    <mergeCell ref="X237:Y237"/>
    <mergeCell ref="X238:Y238"/>
    <mergeCell ref="K236:L236"/>
    <mergeCell ref="K237:L237"/>
    <mergeCell ref="K238:L238"/>
    <mergeCell ref="T236:V236"/>
    <mergeCell ref="T237:V237"/>
    <mergeCell ref="DA234:DB234"/>
    <mergeCell ref="B235:E235"/>
    <mergeCell ref="F235:I235"/>
    <mergeCell ref="AH235:AI235"/>
    <mergeCell ref="AL235:AN235"/>
    <mergeCell ref="DA235:DB235"/>
    <mergeCell ref="AL233:AN233"/>
    <mergeCell ref="DA233:DB233"/>
    <mergeCell ref="B234:E234"/>
    <mergeCell ref="F234:I234"/>
    <mergeCell ref="AH234:AI234"/>
    <mergeCell ref="AL234:AN234"/>
    <mergeCell ref="X234:Y234"/>
    <mergeCell ref="X235:Y235"/>
    <mergeCell ref="K234:L234"/>
    <mergeCell ref="K235:L235"/>
    <mergeCell ref="T233:V233"/>
    <mergeCell ref="T234:V234"/>
    <mergeCell ref="T235:V235"/>
    <mergeCell ref="AL232:AN232"/>
    <mergeCell ref="DA232:DB232"/>
    <mergeCell ref="B233:E233"/>
    <mergeCell ref="F233:I233"/>
    <mergeCell ref="AH233:AI233"/>
    <mergeCell ref="B232:E232"/>
    <mergeCell ref="F232:I232"/>
    <mergeCell ref="AH232:AI232"/>
    <mergeCell ref="DA230:DB230"/>
    <mergeCell ref="B231:E231"/>
    <mergeCell ref="F231:I231"/>
    <mergeCell ref="AH231:AI231"/>
    <mergeCell ref="AL231:AN231"/>
    <mergeCell ref="DA231:DB231"/>
    <mergeCell ref="X231:Y231"/>
    <mergeCell ref="X232:Y232"/>
    <mergeCell ref="X233:Y233"/>
    <mergeCell ref="K231:L231"/>
    <mergeCell ref="K232:L232"/>
    <mergeCell ref="K233:L233"/>
    <mergeCell ref="T230:V230"/>
    <mergeCell ref="T231:V231"/>
    <mergeCell ref="T232:V232"/>
    <mergeCell ref="AL229:AN229"/>
    <mergeCell ref="DA229:DB229"/>
    <mergeCell ref="B230:E230"/>
    <mergeCell ref="F230:I230"/>
    <mergeCell ref="AH230:AI230"/>
    <mergeCell ref="AL230:AN230"/>
    <mergeCell ref="AL228:AN228"/>
    <mergeCell ref="DA228:DB228"/>
    <mergeCell ref="B229:E229"/>
    <mergeCell ref="F229:I229"/>
    <mergeCell ref="AH229:AI229"/>
    <mergeCell ref="B228:E228"/>
    <mergeCell ref="F228:I228"/>
    <mergeCell ref="AH228:AI228"/>
    <mergeCell ref="X228:Y228"/>
    <mergeCell ref="X229:Y229"/>
    <mergeCell ref="X230:Y230"/>
    <mergeCell ref="K228:L228"/>
    <mergeCell ref="K229:L229"/>
    <mergeCell ref="K230:L230"/>
    <mergeCell ref="T228:V228"/>
    <mergeCell ref="T229:V229"/>
    <mergeCell ref="DA226:DB226"/>
    <mergeCell ref="B227:E227"/>
    <mergeCell ref="F227:I227"/>
    <mergeCell ref="AH227:AI227"/>
    <mergeCell ref="AL227:AN227"/>
    <mergeCell ref="DA227:DB227"/>
    <mergeCell ref="AL225:AN225"/>
    <mergeCell ref="DA225:DB225"/>
    <mergeCell ref="B226:E226"/>
    <mergeCell ref="F226:I226"/>
    <mergeCell ref="AH226:AI226"/>
    <mergeCell ref="AL226:AN226"/>
    <mergeCell ref="X226:Y226"/>
    <mergeCell ref="X227:Y227"/>
    <mergeCell ref="K226:L226"/>
    <mergeCell ref="K227:L227"/>
    <mergeCell ref="T225:V225"/>
    <mergeCell ref="T226:V226"/>
    <mergeCell ref="T227:V227"/>
    <mergeCell ref="AL224:AN224"/>
    <mergeCell ref="DA224:DB224"/>
    <mergeCell ref="B225:E225"/>
    <mergeCell ref="F225:I225"/>
    <mergeCell ref="AH225:AI225"/>
    <mergeCell ref="B224:E224"/>
    <mergeCell ref="F224:I224"/>
    <mergeCell ref="AH224:AI224"/>
    <mergeCell ref="DA222:DB222"/>
    <mergeCell ref="B223:E223"/>
    <mergeCell ref="F223:I223"/>
    <mergeCell ref="AH223:AI223"/>
    <mergeCell ref="AL223:AN223"/>
    <mergeCell ref="DA223:DB223"/>
    <mergeCell ref="X223:Y223"/>
    <mergeCell ref="X224:Y224"/>
    <mergeCell ref="X225:Y225"/>
    <mergeCell ref="K223:L223"/>
    <mergeCell ref="K224:L224"/>
    <mergeCell ref="K225:L225"/>
    <mergeCell ref="T222:V222"/>
    <mergeCell ref="T223:V223"/>
    <mergeCell ref="T224:V224"/>
    <mergeCell ref="AL221:AN221"/>
    <mergeCell ref="DA221:DB221"/>
    <mergeCell ref="B222:E222"/>
    <mergeCell ref="F222:I222"/>
    <mergeCell ref="AH222:AI222"/>
    <mergeCell ref="AL222:AN222"/>
    <mergeCell ref="AL220:AN220"/>
    <mergeCell ref="DA220:DB220"/>
    <mergeCell ref="B221:E221"/>
    <mergeCell ref="F221:I221"/>
    <mergeCell ref="AH221:AI221"/>
    <mergeCell ref="B220:E220"/>
    <mergeCell ref="F220:I220"/>
    <mergeCell ref="AH220:AI220"/>
    <mergeCell ref="X220:Y220"/>
    <mergeCell ref="X221:Y221"/>
    <mergeCell ref="X222:Y222"/>
    <mergeCell ref="K220:L220"/>
    <mergeCell ref="K221:L221"/>
    <mergeCell ref="K222:L222"/>
    <mergeCell ref="T220:V220"/>
    <mergeCell ref="T221:V221"/>
    <mergeCell ref="DA218:DB218"/>
    <mergeCell ref="B219:E219"/>
    <mergeCell ref="F219:I219"/>
    <mergeCell ref="AH219:AI219"/>
    <mergeCell ref="AL219:AN219"/>
    <mergeCell ref="DA219:DB219"/>
    <mergeCell ref="AL217:AN217"/>
    <mergeCell ref="DA217:DB217"/>
    <mergeCell ref="B218:E218"/>
    <mergeCell ref="F218:I218"/>
    <mergeCell ref="AH218:AI218"/>
    <mergeCell ref="AL218:AN218"/>
    <mergeCell ref="X218:Y218"/>
    <mergeCell ref="X219:Y219"/>
    <mergeCell ref="K218:L218"/>
    <mergeCell ref="K219:L219"/>
    <mergeCell ref="T217:V217"/>
    <mergeCell ref="T218:V218"/>
    <mergeCell ref="T219:V219"/>
    <mergeCell ref="AL216:AN216"/>
    <mergeCell ref="DA216:DB216"/>
    <mergeCell ref="B217:E217"/>
    <mergeCell ref="F217:I217"/>
    <mergeCell ref="AH217:AI217"/>
    <mergeCell ref="B216:E216"/>
    <mergeCell ref="F216:I216"/>
    <mergeCell ref="AH216:AI216"/>
    <mergeCell ref="DA214:DB214"/>
    <mergeCell ref="B215:E215"/>
    <mergeCell ref="F215:I215"/>
    <mergeCell ref="AH215:AI215"/>
    <mergeCell ref="AL215:AN215"/>
    <mergeCell ref="DA215:DB215"/>
    <mergeCell ref="X215:Y215"/>
    <mergeCell ref="X216:Y216"/>
    <mergeCell ref="X217:Y217"/>
    <mergeCell ref="K215:L215"/>
    <mergeCell ref="K216:L216"/>
    <mergeCell ref="K217:L217"/>
    <mergeCell ref="T214:V214"/>
    <mergeCell ref="T215:V215"/>
    <mergeCell ref="T216:V216"/>
    <mergeCell ref="AL213:AN213"/>
    <mergeCell ref="DA213:DB213"/>
    <mergeCell ref="B214:E214"/>
    <mergeCell ref="F214:I214"/>
    <mergeCell ref="AH214:AI214"/>
    <mergeCell ref="AL214:AN214"/>
    <mergeCell ref="AL212:AN212"/>
    <mergeCell ref="DA212:DB212"/>
    <mergeCell ref="B213:E213"/>
    <mergeCell ref="F213:I213"/>
    <mergeCell ref="AH213:AI213"/>
    <mergeCell ref="B212:E212"/>
    <mergeCell ref="F212:I212"/>
    <mergeCell ref="AH212:AI212"/>
    <mergeCell ref="X212:Y212"/>
    <mergeCell ref="X213:Y213"/>
    <mergeCell ref="X214:Y214"/>
    <mergeCell ref="K212:L212"/>
    <mergeCell ref="K213:L213"/>
    <mergeCell ref="K214:L214"/>
    <mergeCell ref="T212:V212"/>
    <mergeCell ref="T213:V213"/>
    <mergeCell ref="DA210:DB210"/>
    <mergeCell ref="B211:E211"/>
    <mergeCell ref="F211:I211"/>
    <mergeCell ref="AH211:AI211"/>
    <mergeCell ref="AL211:AN211"/>
    <mergeCell ref="DA211:DB211"/>
    <mergeCell ref="AL209:AN209"/>
    <mergeCell ref="DA209:DB209"/>
    <mergeCell ref="B210:E210"/>
    <mergeCell ref="F210:I210"/>
    <mergeCell ref="AH210:AI210"/>
    <mergeCell ref="AL210:AN210"/>
    <mergeCell ref="X210:Y210"/>
    <mergeCell ref="X211:Y211"/>
    <mergeCell ref="K210:L210"/>
    <mergeCell ref="K211:L211"/>
    <mergeCell ref="T209:V209"/>
    <mergeCell ref="T210:V210"/>
    <mergeCell ref="T211:V211"/>
    <mergeCell ref="DA208:DB208"/>
    <mergeCell ref="B209:E209"/>
    <mergeCell ref="F209:I209"/>
    <mergeCell ref="AH209:AI209"/>
    <mergeCell ref="B208:E208"/>
    <mergeCell ref="F208:I208"/>
    <mergeCell ref="AH208:AI208"/>
    <mergeCell ref="DA206:DB206"/>
    <mergeCell ref="B207:E207"/>
    <mergeCell ref="F207:I207"/>
    <mergeCell ref="AH207:AI207"/>
    <mergeCell ref="AL207:AN207"/>
    <mergeCell ref="DA207:DB207"/>
    <mergeCell ref="X207:Y207"/>
    <mergeCell ref="X208:Y208"/>
    <mergeCell ref="X209:Y209"/>
    <mergeCell ref="K207:L207"/>
    <mergeCell ref="K208:L208"/>
    <mergeCell ref="K209:L209"/>
    <mergeCell ref="T206:V206"/>
    <mergeCell ref="T207:V207"/>
    <mergeCell ref="T208:V208"/>
    <mergeCell ref="AL208:AN208"/>
    <mergeCell ref="DA205:DB205"/>
    <mergeCell ref="B206:E206"/>
    <mergeCell ref="F206:I206"/>
    <mergeCell ref="AH206:AI206"/>
    <mergeCell ref="AL206:AN206"/>
    <mergeCell ref="AL204:AN204"/>
    <mergeCell ref="DA204:DB204"/>
    <mergeCell ref="B205:E205"/>
    <mergeCell ref="F205:I205"/>
    <mergeCell ref="AH205:AI205"/>
    <mergeCell ref="B204:E204"/>
    <mergeCell ref="F204:I204"/>
    <mergeCell ref="AH204:AI204"/>
    <mergeCell ref="X204:Y204"/>
    <mergeCell ref="X205:Y205"/>
    <mergeCell ref="X206:Y206"/>
    <mergeCell ref="K204:L204"/>
    <mergeCell ref="K205:L205"/>
    <mergeCell ref="K206:L206"/>
    <mergeCell ref="T204:V204"/>
    <mergeCell ref="T205:V205"/>
    <mergeCell ref="AL205:AN205"/>
    <mergeCell ref="DA202:DB202"/>
    <mergeCell ref="B203:E203"/>
    <mergeCell ref="F203:I203"/>
    <mergeCell ref="AH203:AI203"/>
    <mergeCell ref="AL203:AN203"/>
    <mergeCell ref="DA203:DB203"/>
    <mergeCell ref="AL201:AN201"/>
    <mergeCell ref="DA201:DB201"/>
    <mergeCell ref="B202:E202"/>
    <mergeCell ref="F202:I202"/>
    <mergeCell ref="AH202:AI202"/>
    <mergeCell ref="AL202:AN202"/>
    <mergeCell ref="X202:Y202"/>
    <mergeCell ref="X203:Y203"/>
    <mergeCell ref="K202:L202"/>
    <mergeCell ref="K203:L203"/>
    <mergeCell ref="T201:V201"/>
    <mergeCell ref="T202:V202"/>
    <mergeCell ref="T203:V203"/>
    <mergeCell ref="DA200:DB200"/>
    <mergeCell ref="B201:E201"/>
    <mergeCell ref="F201:I201"/>
    <mergeCell ref="AH201:AI201"/>
    <mergeCell ref="B200:E200"/>
    <mergeCell ref="F200:I200"/>
    <mergeCell ref="AH200:AI200"/>
    <mergeCell ref="DA198:DB198"/>
    <mergeCell ref="B199:E199"/>
    <mergeCell ref="F199:I199"/>
    <mergeCell ref="AH199:AI199"/>
    <mergeCell ref="AL199:AN199"/>
    <mergeCell ref="DA199:DB199"/>
    <mergeCell ref="X199:Y199"/>
    <mergeCell ref="X200:Y200"/>
    <mergeCell ref="X201:Y201"/>
    <mergeCell ref="K199:L199"/>
    <mergeCell ref="K200:L200"/>
    <mergeCell ref="K201:L201"/>
    <mergeCell ref="T198:V198"/>
    <mergeCell ref="T199:V199"/>
    <mergeCell ref="T200:V200"/>
    <mergeCell ref="AL200:AN200"/>
    <mergeCell ref="DA197:DB197"/>
    <mergeCell ref="B198:E198"/>
    <mergeCell ref="F198:I198"/>
    <mergeCell ref="AH198:AI198"/>
    <mergeCell ref="AL198:AN198"/>
    <mergeCell ref="AL196:AN196"/>
    <mergeCell ref="DA196:DB196"/>
    <mergeCell ref="B197:E197"/>
    <mergeCell ref="F197:I197"/>
    <mergeCell ref="AH197:AI197"/>
    <mergeCell ref="B196:E196"/>
    <mergeCell ref="F196:I196"/>
    <mergeCell ref="AH196:AI196"/>
    <mergeCell ref="X196:Y196"/>
    <mergeCell ref="X197:Y197"/>
    <mergeCell ref="X198:Y198"/>
    <mergeCell ref="K196:L196"/>
    <mergeCell ref="K197:L197"/>
    <mergeCell ref="K198:L198"/>
    <mergeCell ref="T196:V196"/>
    <mergeCell ref="T197:V197"/>
    <mergeCell ref="AL197:AN197"/>
    <mergeCell ref="DA194:DB194"/>
    <mergeCell ref="B195:E195"/>
    <mergeCell ref="F195:I195"/>
    <mergeCell ref="AH195:AI195"/>
    <mergeCell ref="AL195:AN195"/>
    <mergeCell ref="DA195:DB195"/>
    <mergeCell ref="AL193:AN193"/>
    <mergeCell ref="DA193:DB193"/>
    <mergeCell ref="B194:E194"/>
    <mergeCell ref="F194:I194"/>
    <mergeCell ref="AH194:AI194"/>
    <mergeCell ref="AL194:AN194"/>
    <mergeCell ref="X194:Y194"/>
    <mergeCell ref="X195:Y195"/>
    <mergeCell ref="K194:L194"/>
    <mergeCell ref="K195:L195"/>
    <mergeCell ref="T193:V193"/>
    <mergeCell ref="T194:V194"/>
    <mergeCell ref="T195:V195"/>
    <mergeCell ref="DA192:DB192"/>
    <mergeCell ref="B193:E193"/>
    <mergeCell ref="F193:I193"/>
    <mergeCell ref="AH193:AI193"/>
    <mergeCell ref="B192:E192"/>
    <mergeCell ref="F192:I192"/>
    <mergeCell ref="AH192:AI192"/>
    <mergeCell ref="DA190:DB190"/>
    <mergeCell ref="B191:E191"/>
    <mergeCell ref="F191:I191"/>
    <mergeCell ref="AH191:AI191"/>
    <mergeCell ref="AL191:AN191"/>
    <mergeCell ref="DA191:DB191"/>
    <mergeCell ref="X191:Y191"/>
    <mergeCell ref="X192:Y192"/>
    <mergeCell ref="X193:Y193"/>
    <mergeCell ref="K191:L191"/>
    <mergeCell ref="K192:L192"/>
    <mergeCell ref="K193:L193"/>
    <mergeCell ref="T190:V190"/>
    <mergeCell ref="T191:V191"/>
    <mergeCell ref="T192:V192"/>
    <mergeCell ref="AL192:AN192"/>
    <mergeCell ref="DA189:DB189"/>
    <mergeCell ref="B190:E190"/>
    <mergeCell ref="F190:I190"/>
    <mergeCell ref="AH190:AI190"/>
    <mergeCell ref="AL190:AN190"/>
    <mergeCell ref="AL188:AN188"/>
    <mergeCell ref="DA188:DB188"/>
    <mergeCell ref="B189:E189"/>
    <mergeCell ref="F189:I189"/>
    <mergeCell ref="AH189:AI189"/>
    <mergeCell ref="B188:E188"/>
    <mergeCell ref="F188:I188"/>
    <mergeCell ref="AH188:AI188"/>
    <mergeCell ref="X188:Y188"/>
    <mergeCell ref="X189:Y189"/>
    <mergeCell ref="X190:Y190"/>
    <mergeCell ref="K188:L188"/>
    <mergeCell ref="K189:L189"/>
    <mergeCell ref="K190:L190"/>
    <mergeCell ref="T188:V188"/>
    <mergeCell ref="T189:V189"/>
    <mergeCell ref="AL189:AN189"/>
    <mergeCell ref="DA186:DB186"/>
    <mergeCell ref="B187:E187"/>
    <mergeCell ref="F187:I187"/>
    <mergeCell ref="AH187:AI187"/>
    <mergeCell ref="AL187:AN187"/>
    <mergeCell ref="DA187:DB187"/>
    <mergeCell ref="AL185:AN185"/>
    <mergeCell ref="DA185:DB185"/>
    <mergeCell ref="B186:E186"/>
    <mergeCell ref="F186:I186"/>
    <mergeCell ref="AH186:AI186"/>
    <mergeCell ref="AL186:AN186"/>
    <mergeCell ref="X186:Y186"/>
    <mergeCell ref="X187:Y187"/>
    <mergeCell ref="K186:L186"/>
    <mergeCell ref="K187:L187"/>
    <mergeCell ref="T185:V185"/>
    <mergeCell ref="T186:V186"/>
    <mergeCell ref="T187:V187"/>
    <mergeCell ref="DA184:DB184"/>
    <mergeCell ref="B185:E185"/>
    <mergeCell ref="F185:I185"/>
    <mergeCell ref="AH185:AI185"/>
    <mergeCell ref="B184:E184"/>
    <mergeCell ref="F184:I184"/>
    <mergeCell ref="AH184:AI184"/>
    <mergeCell ref="DA182:DB182"/>
    <mergeCell ref="B183:E183"/>
    <mergeCell ref="F183:I183"/>
    <mergeCell ref="AH183:AI183"/>
    <mergeCell ref="AL183:AN183"/>
    <mergeCell ref="DA183:DB183"/>
    <mergeCell ref="X183:Y183"/>
    <mergeCell ref="X184:Y184"/>
    <mergeCell ref="X185:Y185"/>
    <mergeCell ref="K183:L183"/>
    <mergeCell ref="K184:L184"/>
    <mergeCell ref="K185:L185"/>
    <mergeCell ref="T182:V182"/>
    <mergeCell ref="T183:V183"/>
    <mergeCell ref="T184:V184"/>
    <mergeCell ref="AL184:AN184"/>
    <mergeCell ref="DA181:DB181"/>
    <mergeCell ref="B182:E182"/>
    <mergeCell ref="F182:I182"/>
    <mergeCell ref="AH182:AI182"/>
    <mergeCell ref="AL182:AN182"/>
    <mergeCell ref="AL180:AN180"/>
    <mergeCell ref="DA180:DB180"/>
    <mergeCell ref="B181:E181"/>
    <mergeCell ref="F181:I181"/>
    <mergeCell ref="AH181:AI181"/>
    <mergeCell ref="B180:E180"/>
    <mergeCell ref="F180:I180"/>
    <mergeCell ref="AH180:AI180"/>
    <mergeCell ref="X180:Y180"/>
    <mergeCell ref="X181:Y181"/>
    <mergeCell ref="X182:Y182"/>
    <mergeCell ref="K180:L180"/>
    <mergeCell ref="K181:L181"/>
    <mergeCell ref="K182:L182"/>
    <mergeCell ref="T180:V180"/>
    <mergeCell ref="T181:V181"/>
    <mergeCell ref="AL181:AN181"/>
    <mergeCell ref="DA178:DB178"/>
    <mergeCell ref="B179:E179"/>
    <mergeCell ref="F179:I179"/>
    <mergeCell ref="AH179:AI179"/>
    <mergeCell ref="AL179:AN179"/>
    <mergeCell ref="DA179:DB179"/>
    <mergeCell ref="AL177:AN177"/>
    <mergeCell ref="DA177:DB177"/>
    <mergeCell ref="B178:E178"/>
    <mergeCell ref="F178:I178"/>
    <mergeCell ref="AH178:AI178"/>
    <mergeCell ref="AL178:AN178"/>
    <mergeCell ref="X178:Y178"/>
    <mergeCell ref="X179:Y179"/>
    <mergeCell ref="K178:L178"/>
    <mergeCell ref="K179:L179"/>
    <mergeCell ref="T177:V177"/>
    <mergeCell ref="T178:V178"/>
    <mergeCell ref="T179:V179"/>
    <mergeCell ref="DA176:DB176"/>
    <mergeCell ref="B177:E177"/>
    <mergeCell ref="F177:I177"/>
    <mergeCell ref="AH177:AI177"/>
    <mergeCell ref="B176:E176"/>
    <mergeCell ref="F176:I176"/>
    <mergeCell ref="AH176:AI176"/>
    <mergeCell ref="DA174:DB174"/>
    <mergeCell ref="B175:E175"/>
    <mergeCell ref="F175:I175"/>
    <mergeCell ref="AH175:AI175"/>
    <mergeCell ref="AL175:AN175"/>
    <mergeCell ref="DA175:DB175"/>
    <mergeCell ref="X175:Y175"/>
    <mergeCell ref="X176:Y176"/>
    <mergeCell ref="X177:Y177"/>
    <mergeCell ref="K175:L175"/>
    <mergeCell ref="K176:L176"/>
    <mergeCell ref="K177:L177"/>
    <mergeCell ref="T174:V174"/>
    <mergeCell ref="T175:V175"/>
    <mergeCell ref="T176:V176"/>
    <mergeCell ref="AL176:AN176"/>
    <mergeCell ref="DA173:DB173"/>
    <mergeCell ref="B174:E174"/>
    <mergeCell ref="F174:I174"/>
    <mergeCell ref="AH174:AI174"/>
    <mergeCell ref="AL174:AN174"/>
    <mergeCell ref="AL172:AN172"/>
    <mergeCell ref="DA172:DB172"/>
    <mergeCell ref="B173:E173"/>
    <mergeCell ref="F173:I173"/>
    <mergeCell ref="AH173:AI173"/>
    <mergeCell ref="B172:E172"/>
    <mergeCell ref="F172:I172"/>
    <mergeCell ref="AH172:AI172"/>
    <mergeCell ref="X172:Y172"/>
    <mergeCell ref="X173:Y173"/>
    <mergeCell ref="X174:Y174"/>
    <mergeCell ref="K172:L172"/>
    <mergeCell ref="K173:L173"/>
    <mergeCell ref="K174:L174"/>
    <mergeCell ref="T172:V172"/>
    <mergeCell ref="T173:V173"/>
    <mergeCell ref="AL173:AN173"/>
    <mergeCell ref="DA170:DB170"/>
    <mergeCell ref="B171:E171"/>
    <mergeCell ref="F171:I171"/>
    <mergeCell ref="AH171:AI171"/>
    <mergeCell ref="AL171:AN171"/>
    <mergeCell ref="DA171:DB171"/>
    <mergeCell ref="AL169:AN169"/>
    <mergeCell ref="DA169:DB169"/>
    <mergeCell ref="B170:E170"/>
    <mergeCell ref="F170:I170"/>
    <mergeCell ref="AH170:AI170"/>
    <mergeCell ref="AL170:AN170"/>
    <mergeCell ref="X170:Y170"/>
    <mergeCell ref="X171:Y171"/>
    <mergeCell ref="K170:L170"/>
    <mergeCell ref="K171:L171"/>
    <mergeCell ref="T169:V169"/>
    <mergeCell ref="T170:V170"/>
    <mergeCell ref="T171:V171"/>
    <mergeCell ref="DA168:DB168"/>
    <mergeCell ref="B169:E169"/>
    <mergeCell ref="F169:I169"/>
    <mergeCell ref="AH169:AI169"/>
    <mergeCell ref="B168:E168"/>
    <mergeCell ref="F168:I168"/>
    <mergeCell ref="AH168:AI168"/>
    <mergeCell ref="DA166:DB166"/>
    <mergeCell ref="B167:E167"/>
    <mergeCell ref="F167:I167"/>
    <mergeCell ref="AH167:AI167"/>
    <mergeCell ref="AL167:AN167"/>
    <mergeCell ref="DA167:DB167"/>
    <mergeCell ref="X167:Y167"/>
    <mergeCell ref="X168:Y168"/>
    <mergeCell ref="X169:Y169"/>
    <mergeCell ref="K167:L167"/>
    <mergeCell ref="K168:L168"/>
    <mergeCell ref="K169:L169"/>
    <mergeCell ref="T166:V166"/>
    <mergeCell ref="T167:V167"/>
    <mergeCell ref="T168:V168"/>
    <mergeCell ref="AL168:AN168"/>
    <mergeCell ref="DA165:DB165"/>
    <mergeCell ref="B166:E166"/>
    <mergeCell ref="F166:I166"/>
    <mergeCell ref="AH166:AI166"/>
    <mergeCell ref="AL166:AN166"/>
    <mergeCell ref="AL164:AN164"/>
    <mergeCell ref="DA164:DB164"/>
    <mergeCell ref="B165:E165"/>
    <mergeCell ref="F165:I165"/>
    <mergeCell ref="AH165:AI165"/>
    <mergeCell ref="B164:E164"/>
    <mergeCell ref="F164:I164"/>
    <mergeCell ref="AH164:AI164"/>
    <mergeCell ref="X164:Y164"/>
    <mergeCell ref="X165:Y165"/>
    <mergeCell ref="X166:Y166"/>
    <mergeCell ref="K164:L164"/>
    <mergeCell ref="K165:L165"/>
    <mergeCell ref="K166:L166"/>
    <mergeCell ref="T164:V164"/>
    <mergeCell ref="T165:V165"/>
    <mergeCell ref="AL165:AN165"/>
    <mergeCell ref="DA162:DB162"/>
    <mergeCell ref="B163:E163"/>
    <mergeCell ref="F163:I163"/>
    <mergeCell ref="AH163:AI163"/>
    <mergeCell ref="AL163:AN163"/>
    <mergeCell ref="DA163:DB163"/>
    <mergeCell ref="AL161:AN161"/>
    <mergeCell ref="DA161:DB161"/>
    <mergeCell ref="B162:E162"/>
    <mergeCell ref="F162:I162"/>
    <mergeCell ref="AH162:AI162"/>
    <mergeCell ref="AL162:AN162"/>
    <mergeCell ref="X162:Y162"/>
    <mergeCell ref="X163:Y163"/>
    <mergeCell ref="K162:L162"/>
    <mergeCell ref="K163:L163"/>
    <mergeCell ref="T161:V161"/>
    <mergeCell ref="T162:V162"/>
    <mergeCell ref="T163:V163"/>
    <mergeCell ref="B161:E161"/>
    <mergeCell ref="F161:I161"/>
    <mergeCell ref="AH161:AI161"/>
    <mergeCell ref="AH160:AI160"/>
    <mergeCell ref="DA158:DB158"/>
    <mergeCell ref="B159:E159"/>
    <mergeCell ref="F159:I159"/>
    <mergeCell ref="AH159:AI159"/>
    <mergeCell ref="AL159:AN159"/>
    <mergeCell ref="DA159:DB159"/>
    <mergeCell ref="X159:Y159"/>
    <mergeCell ref="X160:Y160"/>
    <mergeCell ref="X161:Y161"/>
    <mergeCell ref="K159:L159"/>
    <mergeCell ref="K160:L160"/>
    <mergeCell ref="K161:L161"/>
    <mergeCell ref="T158:V158"/>
    <mergeCell ref="T159:V159"/>
    <mergeCell ref="T160:V160"/>
    <mergeCell ref="B158:E158"/>
    <mergeCell ref="F158:I158"/>
    <mergeCell ref="AH158:AI158"/>
    <mergeCell ref="AL158:AN158"/>
    <mergeCell ref="DA160:DB160"/>
    <mergeCell ref="AL160:AN160"/>
    <mergeCell ref="AL156:AN156"/>
    <mergeCell ref="DA156:DB156"/>
    <mergeCell ref="B157:E157"/>
    <mergeCell ref="F157:I157"/>
    <mergeCell ref="AH157:AI157"/>
    <mergeCell ref="B156:E156"/>
    <mergeCell ref="F156:I156"/>
    <mergeCell ref="AH156:AI156"/>
    <mergeCell ref="X156:Y156"/>
    <mergeCell ref="X157:Y157"/>
    <mergeCell ref="X158:Y158"/>
    <mergeCell ref="K156:L156"/>
    <mergeCell ref="K157:L157"/>
    <mergeCell ref="K158:L158"/>
    <mergeCell ref="AL157:AN157"/>
    <mergeCell ref="T156:V156"/>
    <mergeCell ref="T157:V157"/>
    <mergeCell ref="DA157:DB157"/>
    <mergeCell ref="DA147:DB147"/>
    <mergeCell ref="DA149:DB149"/>
    <mergeCell ref="DA146:DB146"/>
    <mergeCell ref="DA145:DB145"/>
    <mergeCell ref="AH155:AI155"/>
    <mergeCell ref="AL155:AN155"/>
    <mergeCell ref="DA155:DB155"/>
    <mergeCell ref="AL153:AN153"/>
    <mergeCell ref="DA153:DB153"/>
    <mergeCell ref="B154:E154"/>
    <mergeCell ref="F154:I154"/>
    <mergeCell ref="AH154:AI154"/>
    <mergeCell ref="AL154:AN154"/>
    <mergeCell ref="X154:Y154"/>
    <mergeCell ref="X155:Y155"/>
    <mergeCell ref="K154:L154"/>
    <mergeCell ref="K155:L155"/>
    <mergeCell ref="B153:E153"/>
    <mergeCell ref="F153:I153"/>
    <mergeCell ref="AH153:AI153"/>
    <mergeCell ref="T153:V153"/>
    <mergeCell ref="T154:V154"/>
    <mergeCell ref="T155:V155"/>
    <mergeCell ref="DA154:DB154"/>
    <mergeCell ref="AH152:AI152"/>
    <mergeCell ref="DA150:DB150"/>
    <mergeCell ref="B151:E151"/>
    <mergeCell ref="F151:I151"/>
    <mergeCell ref="AH151:AI151"/>
    <mergeCell ref="AL151:AN151"/>
    <mergeCell ref="DA151:DB151"/>
    <mergeCell ref="X151:Y151"/>
    <mergeCell ref="X152:Y152"/>
    <mergeCell ref="X153:Y153"/>
    <mergeCell ref="K151:L151"/>
    <mergeCell ref="K152:L152"/>
    <mergeCell ref="K153:L153"/>
    <mergeCell ref="AL152:AN152"/>
    <mergeCell ref="B150:E150"/>
    <mergeCell ref="F150:I150"/>
    <mergeCell ref="AH150:AI150"/>
    <mergeCell ref="AL150:AN150"/>
    <mergeCell ref="T151:V151"/>
    <mergeCell ref="T152:V152"/>
    <mergeCell ref="DA152:DB152"/>
    <mergeCell ref="T150:V150"/>
    <mergeCell ref="AH149:AI149"/>
    <mergeCell ref="B148:E148"/>
    <mergeCell ref="F148:I148"/>
    <mergeCell ref="AH148:AI148"/>
    <mergeCell ref="X148:Y148"/>
    <mergeCell ref="X149:Y149"/>
    <mergeCell ref="X150:Y150"/>
    <mergeCell ref="K148:L148"/>
    <mergeCell ref="K149:L149"/>
    <mergeCell ref="K150:L150"/>
    <mergeCell ref="DA148:DB148"/>
    <mergeCell ref="K145:L145"/>
    <mergeCell ref="B147:E147"/>
    <mergeCell ref="F147:I147"/>
    <mergeCell ref="AH147:AI147"/>
    <mergeCell ref="AL147:AN147"/>
    <mergeCell ref="AL145:AN145"/>
    <mergeCell ref="B146:E146"/>
    <mergeCell ref="F146:I146"/>
    <mergeCell ref="AH146:AI146"/>
    <mergeCell ref="AL146:AN146"/>
    <mergeCell ref="X146:Y146"/>
    <mergeCell ref="X147:Y147"/>
    <mergeCell ref="K146:L146"/>
    <mergeCell ref="K147:L147"/>
    <mergeCell ref="AL149:AN149"/>
    <mergeCell ref="T145:V145"/>
    <mergeCell ref="T146:V146"/>
    <mergeCell ref="T147:V147"/>
    <mergeCell ref="T148:V148"/>
    <mergeCell ref="T149:V149"/>
    <mergeCell ref="B145:E145"/>
    <mergeCell ref="F145:I145"/>
    <mergeCell ref="AH145:AI145"/>
    <mergeCell ref="X145:Y145"/>
    <mergeCell ref="K142:L142"/>
    <mergeCell ref="AL141:AN141"/>
    <mergeCell ref="B144:E144"/>
    <mergeCell ref="F144:I144"/>
    <mergeCell ref="AH144:AI144"/>
    <mergeCell ref="B143:E143"/>
    <mergeCell ref="F143:I143"/>
    <mergeCell ref="AH143:AI143"/>
    <mergeCell ref="AL143:AN143"/>
    <mergeCell ref="X143:Y143"/>
    <mergeCell ref="X144:Y144"/>
    <mergeCell ref="K143:L143"/>
    <mergeCell ref="K144:L144"/>
    <mergeCell ref="AL144:AN144"/>
    <mergeCell ref="B142:E142"/>
    <mergeCell ref="F142:I142"/>
    <mergeCell ref="AH142:AI142"/>
    <mergeCell ref="AL142:AN142"/>
    <mergeCell ref="T143:V143"/>
    <mergeCell ref="T144:V144"/>
    <mergeCell ref="X138:Y138"/>
    <mergeCell ref="X139:Y139"/>
    <mergeCell ref="K139:L139"/>
    <mergeCell ref="K138:L138"/>
    <mergeCell ref="AH137:AI137"/>
    <mergeCell ref="T138:V138"/>
    <mergeCell ref="T139:V139"/>
    <mergeCell ref="X137:Y137"/>
    <mergeCell ref="B139:E139"/>
    <mergeCell ref="DA132:DB132"/>
    <mergeCell ref="B133:E133"/>
    <mergeCell ref="F133:I133"/>
    <mergeCell ref="B132:E132"/>
    <mergeCell ref="F132:I132"/>
    <mergeCell ref="AH132:AI132"/>
    <mergeCell ref="X132:Y132"/>
    <mergeCell ref="K132:L132"/>
    <mergeCell ref="K133:L133"/>
    <mergeCell ref="T132:V132"/>
    <mergeCell ref="T133:V133"/>
    <mergeCell ref="T134:V134"/>
    <mergeCell ref="T135:V135"/>
    <mergeCell ref="T136:V136"/>
    <mergeCell ref="T137:V137"/>
    <mergeCell ref="K135:L135"/>
    <mergeCell ref="AH135:AI135"/>
    <mergeCell ref="B134:E134"/>
    <mergeCell ref="F134:I134"/>
    <mergeCell ref="AH138:AI138"/>
    <mergeCell ref="K131:L131"/>
    <mergeCell ref="T124:V124"/>
    <mergeCell ref="T125:V125"/>
    <mergeCell ref="T126:V126"/>
    <mergeCell ref="T127:V127"/>
    <mergeCell ref="T128:V128"/>
    <mergeCell ref="T129:V129"/>
    <mergeCell ref="T130:V130"/>
    <mergeCell ref="T131:V131"/>
    <mergeCell ref="AH134:AI134"/>
    <mergeCell ref="AL134:AN134"/>
    <mergeCell ref="AL135:AN135"/>
    <mergeCell ref="DA135:DB135"/>
    <mergeCell ref="X136:Y136"/>
    <mergeCell ref="AH141:AI141"/>
    <mergeCell ref="B140:E140"/>
    <mergeCell ref="F140:I140"/>
    <mergeCell ref="AH140:AI140"/>
    <mergeCell ref="X140:Y140"/>
    <mergeCell ref="B135:E135"/>
    <mergeCell ref="F135:I135"/>
    <mergeCell ref="K136:L136"/>
    <mergeCell ref="X141:Y141"/>
    <mergeCell ref="K140:L140"/>
    <mergeCell ref="K141:L141"/>
    <mergeCell ref="F139:I139"/>
    <mergeCell ref="B141:E141"/>
    <mergeCell ref="F141:I141"/>
    <mergeCell ref="AH139:AI139"/>
    <mergeCell ref="AL139:AN139"/>
    <mergeCell ref="DA139:DB139"/>
    <mergeCell ref="AL137:AN137"/>
    <mergeCell ref="K123:L123"/>
    <mergeCell ref="I333:L333"/>
    <mergeCell ref="B119:E119"/>
    <mergeCell ref="K119:L119"/>
    <mergeCell ref="B118:E118"/>
    <mergeCell ref="B126:E126"/>
    <mergeCell ref="K127:L127"/>
    <mergeCell ref="K128:L128"/>
    <mergeCell ref="B129:E129"/>
    <mergeCell ref="F129:I129"/>
    <mergeCell ref="K130:L130"/>
    <mergeCell ref="B130:E130"/>
    <mergeCell ref="B122:E122"/>
    <mergeCell ref="F122:I122"/>
    <mergeCell ref="B117:E117"/>
    <mergeCell ref="B128:E128"/>
    <mergeCell ref="F128:I128"/>
    <mergeCell ref="B137:E137"/>
    <mergeCell ref="F137:I137"/>
    <mergeCell ref="F155:I155"/>
    <mergeCell ref="B160:E160"/>
    <mergeCell ref="F160:I160"/>
    <mergeCell ref="F127:I127"/>
    <mergeCell ref="B127:E127"/>
    <mergeCell ref="K125:L125"/>
    <mergeCell ref="B131:E131"/>
    <mergeCell ref="F131:I131"/>
    <mergeCell ref="K120:L120"/>
    <mergeCell ref="B120:E120"/>
    <mergeCell ref="F120:I120"/>
    <mergeCell ref="K124:L124"/>
    <mergeCell ref="K137:L137"/>
    <mergeCell ref="B84:E84"/>
    <mergeCell ref="B85:E85"/>
    <mergeCell ref="A359:F359"/>
    <mergeCell ref="F87:I87"/>
    <mergeCell ref="F84:I84"/>
    <mergeCell ref="F82:I82"/>
    <mergeCell ref="A351:F351"/>
    <mergeCell ref="F111:I111"/>
    <mergeCell ref="F114:I114"/>
    <mergeCell ref="G318:I318"/>
    <mergeCell ref="B111:E111"/>
    <mergeCell ref="K48:L48"/>
    <mergeCell ref="K49:L49"/>
    <mergeCell ref="K50:L50"/>
    <mergeCell ref="K43:L43"/>
    <mergeCell ref="K44:L44"/>
    <mergeCell ref="F108:I108"/>
    <mergeCell ref="F53:I53"/>
    <mergeCell ref="F51:I51"/>
    <mergeCell ref="K45:L45"/>
    <mergeCell ref="K51:L51"/>
    <mergeCell ref="K52:L52"/>
    <mergeCell ref="K53:L53"/>
    <mergeCell ref="F50:I50"/>
    <mergeCell ref="F47:I47"/>
    <mergeCell ref="F49:I49"/>
    <mergeCell ref="F52:I52"/>
    <mergeCell ref="F93:I93"/>
    <mergeCell ref="F97:I97"/>
    <mergeCell ref="F102:I102"/>
    <mergeCell ref="F100:I100"/>
    <mergeCell ref="K95:L95"/>
    <mergeCell ref="B66:E66"/>
    <mergeCell ref="F81:I81"/>
    <mergeCell ref="B97:E97"/>
    <mergeCell ref="B87:E87"/>
    <mergeCell ref="B79:E79"/>
    <mergeCell ref="B61:E61"/>
    <mergeCell ref="B63:E63"/>
    <mergeCell ref="F66:I66"/>
    <mergeCell ref="F65:I65"/>
    <mergeCell ref="F61:I61"/>
    <mergeCell ref="F59:I59"/>
    <mergeCell ref="A364:F364"/>
    <mergeCell ref="A341:F342"/>
    <mergeCell ref="G341:G342"/>
    <mergeCell ref="B102:E102"/>
    <mergeCell ref="F96:I96"/>
    <mergeCell ref="B96:E96"/>
    <mergeCell ref="B95:E95"/>
    <mergeCell ref="F95:I95"/>
    <mergeCell ref="F94:I94"/>
    <mergeCell ref="B93:E93"/>
    <mergeCell ref="A363:F363"/>
    <mergeCell ref="G320:I320"/>
    <mergeCell ref="G321:I321"/>
    <mergeCell ref="A358:F358"/>
    <mergeCell ref="G319:I319"/>
    <mergeCell ref="B80:E80"/>
    <mergeCell ref="B72:E72"/>
    <mergeCell ref="B77:E77"/>
    <mergeCell ref="B76:E76"/>
    <mergeCell ref="B88:E88"/>
    <mergeCell ref="B83:E83"/>
    <mergeCell ref="A360:F360"/>
    <mergeCell ref="A361:F361"/>
    <mergeCell ref="A356:F356"/>
    <mergeCell ref="A362:F362"/>
    <mergeCell ref="A357:F357"/>
    <mergeCell ref="A352:F352"/>
    <mergeCell ref="A353:F353"/>
    <mergeCell ref="A354:F354"/>
    <mergeCell ref="A355:F355"/>
    <mergeCell ref="E333:G333"/>
    <mergeCell ref="X109:Y109"/>
    <mergeCell ref="X110:Y110"/>
    <mergeCell ref="F98:I98"/>
    <mergeCell ref="K106:L106"/>
    <mergeCell ref="K107:L107"/>
    <mergeCell ref="K108:L108"/>
    <mergeCell ref="K109:L109"/>
    <mergeCell ref="S330:U330"/>
    <mergeCell ref="A349:F349"/>
    <mergeCell ref="A345:F345"/>
    <mergeCell ref="A346:F346"/>
    <mergeCell ref="D318:F318"/>
    <mergeCell ref="S333:U333"/>
    <mergeCell ref="A350:F350"/>
    <mergeCell ref="A348:F348"/>
    <mergeCell ref="A343:F343"/>
    <mergeCell ref="K103:L103"/>
    <mergeCell ref="F101:I101"/>
    <mergeCell ref="F99:I99"/>
    <mergeCell ref="A344:F344"/>
    <mergeCell ref="I330:L330"/>
    <mergeCell ref="A347:F347"/>
    <mergeCell ref="B56:E56"/>
    <mergeCell ref="B62:E62"/>
    <mergeCell ref="B81:E81"/>
    <mergeCell ref="B75:E75"/>
    <mergeCell ref="B73:E73"/>
    <mergeCell ref="B74:E74"/>
    <mergeCell ref="B70:E70"/>
    <mergeCell ref="B71:E71"/>
    <mergeCell ref="F79:I79"/>
    <mergeCell ref="F89:I89"/>
    <mergeCell ref="F119:I119"/>
    <mergeCell ref="B60:E60"/>
    <mergeCell ref="B98:E98"/>
    <mergeCell ref="B110:E110"/>
    <mergeCell ref="F110:I110"/>
    <mergeCell ref="B115:E115"/>
    <mergeCell ref="F115:I115"/>
    <mergeCell ref="F104:I104"/>
    <mergeCell ref="B58:E58"/>
    <mergeCell ref="B59:E59"/>
    <mergeCell ref="B64:E64"/>
    <mergeCell ref="B69:E69"/>
    <mergeCell ref="B65:E65"/>
    <mergeCell ref="B67:E67"/>
    <mergeCell ref="B82:E82"/>
    <mergeCell ref="B89:E89"/>
    <mergeCell ref="F71:I71"/>
    <mergeCell ref="F68:I68"/>
    <mergeCell ref="F70:I70"/>
    <mergeCell ref="F74:I74"/>
    <mergeCell ref="F83:I83"/>
    <mergeCell ref="F76:I76"/>
    <mergeCell ref="B86:E86"/>
    <mergeCell ref="DA130:DB130"/>
    <mergeCell ref="DA131:DB131"/>
    <mergeCell ref="AL129:AN129"/>
    <mergeCell ref="DA129:DB129"/>
    <mergeCell ref="B91:E91"/>
    <mergeCell ref="B90:E90"/>
    <mergeCell ref="F105:I105"/>
    <mergeCell ref="F118:I118"/>
    <mergeCell ref="F121:I121"/>
    <mergeCell ref="F123:I123"/>
    <mergeCell ref="B92:E92"/>
    <mergeCell ref="B114:E114"/>
    <mergeCell ref="B121:E121"/>
    <mergeCell ref="F92:I92"/>
    <mergeCell ref="B116:E116"/>
    <mergeCell ref="K116:L116"/>
    <mergeCell ref="K113:L113"/>
    <mergeCell ref="K114:L114"/>
    <mergeCell ref="K96:L96"/>
    <mergeCell ref="K94:L94"/>
    <mergeCell ref="K117:L117"/>
    <mergeCell ref="K118:L118"/>
    <mergeCell ref="AH128:AI128"/>
    <mergeCell ref="AH131:AI131"/>
    <mergeCell ref="AL131:AN131"/>
    <mergeCell ref="AH125:AI125"/>
    <mergeCell ref="X122:Y122"/>
    <mergeCell ref="X123:Y123"/>
    <mergeCell ref="X131:Y131"/>
    <mergeCell ref="AL127:AN127"/>
    <mergeCell ref="AL130:AN130"/>
    <mergeCell ref="B99:E99"/>
    <mergeCell ref="B136:E136"/>
    <mergeCell ref="F136:I136"/>
    <mergeCell ref="AH136:AI136"/>
    <mergeCell ref="DA134:DB134"/>
    <mergeCell ref="B54:E54"/>
    <mergeCell ref="B52:E52"/>
    <mergeCell ref="B78:E78"/>
    <mergeCell ref="B55:E55"/>
    <mergeCell ref="B57:E57"/>
    <mergeCell ref="B68:E68"/>
    <mergeCell ref="F73:I73"/>
    <mergeCell ref="F77:I77"/>
    <mergeCell ref="F55:I55"/>
    <mergeCell ref="F56:I56"/>
    <mergeCell ref="F75:I75"/>
    <mergeCell ref="F72:I72"/>
    <mergeCell ref="F57:I57"/>
    <mergeCell ref="F63:I63"/>
    <mergeCell ref="F78:I78"/>
    <mergeCell ref="F64:I64"/>
    <mergeCell ref="F69:I69"/>
    <mergeCell ref="F67:I67"/>
    <mergeCell ref="F80:I80"/>
    <mergeCell ref="F85:I85"/>
    <mergeCell ref="F86:I86"/>
    <mergeCell ref="F88:I88"/>
    <mergeCell ref="F58:I58"/>
    <mergeCell ref="F90:I90"/>
    <mergeCell ref="F91:I91"/>
    <mergeCell ref="F116:I116"/>
    <mergeCell ref="K101:L101"/>
    <mergeCell ref="B100:E100"/>
    <mergeCell ref="B104:E104"/>
    <mergeCell ref="B103:E103"/>
    <mergeCell ref="F103:I103"/>
    <mergeCell ref="B105:E105"/>
    <mergeCell ref="B106:E106"/>
    <mergeCell ref="F107:I107"/>
    <mergeCell ref="DA114:DB114"/>
    <mergeCell ref="DA112:DB112"/>
    <mergeCell ref="DA117:DB117"/>
    <mergeCell ref="B109:E109"/>
    <mergeCell ref="F109:I109"/>
    <mergeCell ref="AH123:AI123"/>
    <mergeCell ref="B123:E123"/>
    <mergeCell ref="B125:E125"/>
    <mergeCell ref="F125:I125"/>
    <mergeCell ref="B124:E124"/>
    <mergeCell ref="F124:I124"/>
    <mergeCell ref="AH114:AI114"/>
    <mergeCell ref="AL114:AN114"/>
    <mergeCell ref="AH122:AI122"/>
    <mergeCell ref="AL122:AN122"/>
    <mergeCell ref="X117:Y117"/>
    <mergeCell ref="X118:Y118"/>
    <mergeCell ref="X119:Y119"/>
    <mergeCell ref="T101:V101"/>
    <mergeCell ref="T102:V102"/>
    <mergeCell ref="T103:V103"/>
    <mergeCell ref="T104:V104"/>
    <mergeCell ref="T105:V105"/>
    <mergeCell ref="T106:V106"/>
    <mergeCell ref="DA100:DB100"/>
    <mergeCell ref="EE439:EF439"/>
    <mergeCell ref="AH80:AI80"/>
    <mergeCell ref="AH87:AI87"/>
    <mergeCell ref="AH82:AI82"/>
    <mergeCell ref="AH81:AI81"/>
    <mergeCell ref="AL321:AM321"/>
    <mergeCell ref="AL318:AM318"/>
    <mergeCell ref="AL116:AN116"/>
    <mergeCell ref="DA116:DB116"/>
    <mergeCell ref="AL120:AN120"/>
    <mergeCell ref="DA120:DB120"/>
    <mergeCell ref="AH121:AI121"/>
    <mergeCell ref="AH120:AI120"/>
    <mergeCell ref="AL118:AN118"/>
    <mergeCell ref="DA118:DB118"/>
    <mergeCell ref="AH119:AI119"/>
    <mergeCell ref="AL119:AN119"/>
    <mergeCell ref="AL320:AM320"/>
    <mergeCell ref="DA325:DB325"/>
    <mergeCell ref="DA85:DB85"/>
    <mergeCell ref="DA82:DB82"/>
    <mergeCell ref="DA80:DB80"/>
    <mergeCell ref="AL84:AN84"/>
    <mergeCell ref="DA143:DB143"/>
    <mergeCell ref="AL148:AN148"/>
    <mergeCell ref="DA110:DB110"/>
    <mergeCell ref="AL317:AM317"/>
    <mergeCell ref="AK312:AL312"/>
    <mergeCell ref="DA309:DB309"/>
    <mergeCell ref="AL111:AN111"/>
    <mergeCell ref="AH112:AI112"/>
    <mergeCell ref="AH97:AI97"/>
    <mergeCell ref="DA83:DB83"/>
    <mergeCell ref="AL86:AN86"/>
    <mergeCell ref="AL103:AN103"/>
    <mergeCell ref="AH85:AI85"/>
    <mergeCell ref="AH86:AI86"/>
    <mergeCell ref="AH88:AI88"/>
    <mergeCell ref="AH104:AI104"/>
    <mergeCell ref="DA107:DB107"/>
    <mergeCell ref="DA87:DB87"/>
    <mergeCell ref="AL87:AN87"/>
    <mergeCell ref="AL88:AN88"/>
    <mergeCell ref="DA92:DB92"/>
    <mergeCell ref="DA84:DB84"/>
    <mergeCell ref="DA63:DB63"/>
    <mergeCell ref="AL68:AN68"/>
    <mergeCell ref="AL69:AN69"/>
    <mergeCell ref="DA74:DB74"/>
    <mergeCell ref="AL74:AN74"/>
    <mergeCell ref="AL75:AN75"/>
    <mergeCell ref="AL77:AN77"/>
    <mergeCell ref="AH77:AI77"/>
    <mergeCell ref="AH78:AI78"/>
    <mergeCell ref="AL80:AN80"/>
    <mergeCell ref="DA81:DB81"/>
    <mergeCell ref="DA77:DB77"/>
    <mergeCell ref="DA71:DB71"/>
    <mergeCell ref="DA79:DB79"/>
    <mergeCell ref="AL76:AN76"/>
    <mergeCell ref="AL78:AN78"/>
    <mergeCell ref="AH66:AI66"/>
    <mergeCell ref="AH84:AI84"/>
    <mergeCell ref="AL79:AN79"/>
    <mergeCell ref="AL81:AN81"/>
    <mergeCell ref="AL83:AN83"/>
    <mergeCell ref="AH92:AI92"/>
    <mergeCell ref="AL100:AN100"/>
    <mergeCell ref="AH111:AI111"/>
    <mergeCell ref="AH99:AI99"/>
    <mergeCell ref="X103:Y103"/>
    <mergeCell ref="AH89:AI89"/>
    <mergeCell ref="AH102:AI102"/>
    <mergeCell ref="X84:Y84"/>
    <mergeCell ref="X85:Y85"/>
    <mergeCell ref="X86:Y86"/>
    <mergeCell ref="X87:Y87"/>
    <mergeCell ref="X88:Y88"/>
    <mergeCell ref="X89:Y89"/>
    <mergeCell ref="X91:Y91"/>
    <mergeCell ref="X101:Y101"/>
    <mergeCell ref="X90:Y90"/>
    <mergeCell ref="X93:Y93"/>
    <mergeCell ref="AL105:AN105"/>
    <mergeCell ref="AL94:AN94"/>
    <mergeCell ref="X92:Y92"/>
    <mergeCell ref="AH96:AI96"/>
    <mergeCell ref="AH100:AI100"/>
    <mergeCell ref="AH91:AI91"/>
    <mergeCell ref="AH106:AI106"/>
    <mergeCell ref="AH94:AI94"/>
    <mergeCell ref="X107:Y107"/>
    <mergeCell ref="X100:Y100"/>
    <mergeCell ref="AL90:AN90"/>
    <mergeCell ref="AH109:AI109"/>
    <mergeCell ref="AH83:AI83"/>
    <mergeCell ref="AH79:AI79"/>
    <mergeCell ref="DA76:DB76"/>
    <mergeCell ref="X67:Y67"/>
    <mergeCell ref="AL62:AN62"/>
    <mergeCell ref="DA58:DB58"/>
    <mergeCell ref="DA78:DB78"/>
    <mergeCell ref="X73:Y73"/>
    <mergeCell ref="X74:Y74"/>
    <mergeCell ref="X75:Y75"/>
    <mergeCell ref="AH73:AI73"/>
    <mergeCell ref="X77:Y77"/>
    <mergeCell ref="X78:Y78"/>
    <mergeCell ref="DA75:DB75"/>
    <mergeCell ref="AH71:AI71"/>
    <mergeCell ref="AH74:AI74"/>
    <mergeCell ref="AH75:AI75"/>
    <mergeCell ref="X72:Y72"/>
    <mergeCell ref="AH62:AI62"/>
    <mergeCell ref="X66:Y66"/>
    <mergeCell ref="X63:Y63"/>
    <mergeCell ref="AH72:AI72"/>
    <mergeCell ref="X68:Y68"/>
    <mergeCell ref="DA60:DB60"/>
    <mergeCell ref="AH68:AI68"/>
    <mergeCell ref="DA66:DB66"/>
    <mergeCell ref="DA67:DB67"/>
    <mergeCell ref="AL70:AN70"/>
    <mergeCell ref="DA70:DB70"/>
    <mergeCell ref="AH69:AI69"/>
    <mergeCell ref="X76:Y76"/>
    <mergeCell ref="AL71:AN71"/>
    <mergeCell ref="DA73:DB73"/>
    <mergeCell ref="AH65:AI65"/>
    <mergeCell ref="AL61:AN61"/>
    <mergeCell ref="AL59:AN59"/>
    <mergeCell ref="DA57:DB57"/>
    <mergeCell ref="AL52:AN52"/>
    <mergeCell ref="DA54:DB54"/>
    <mergeCell ref="DA53:DB53"/>
    <mergeCell ref="DA72:DB72"/>
    <mergeCell ref="X71:Y71"/>
    <mergeCell ref="AH63:AI63"/>
    <mergeCell ref="AL72:AN72"/>
    <mergeCell ref="AL73:AN73"/>
    <mergeCell ref="AH53:AI53"/>
    <mergeCell ref="AH64:AI64"/>
    <mergeCell ref="AH70:AI70"/>
    <mergeCell ref="X64:Y64"/>
    <mergeCell ref="DA69:DB69"/>
    <mergeCell ref="AL58:AN58"/>
    <mergeCell ref="AL65:AN65"/>
    <mergeCell ref="AL66:AN66"/>
    <mergeCell ref="AL64:AN64"/>
    <mergeCell ref="DA68:DB68"/>
    <mergeCell ref="AH67:AI67"/>
    <mergeCell ref="AL67:AN67"/>
    <mergeCell ref="DA64:DB64"/>
    <mergeCell ref="AH56:AI56"/>
    <mergeCell ref="X55:Y55"/>
    <mergeCell ref="DA40:DB40"/>
    <mergeCell ref="AL47:AN47"/>
    <mergeCell ref="AH45:AI45"/>
    <mergeCell ref="DA50:DB50"/>
    <mergeCell ref="AL54:AN54"/>
    <mergeCell ref="AL53:AN53"/>
    <mergeCell ref="AH50:AI50"/>
    <mergeCell ref="K61:L61"/>
    <mergeCell ref="K62:L62"/>
    <mergeCell ref="F62:I62"/>
    <mergeCell ref="T63:V63"/>
    <mergeCell ref="T64:V64"/>
    <mergeCell ref="T65:V65"/>
    <mergeCell ref="T66:V66"/>
    <mergeCell ref="DA59:DB59"/>
    <mergeCell ref="AL56:AN56"/>
    <mergeCell ref="X65:Y65"/>
    <mergeCell ref="AL63:AN63"/>
    <mergeCell ref="AH51:AI51"/>
    <mergeCell ref="AL55:AN55"/>
    <mergeCell ref="DA56:DB56"/>
    <mergeCell ref="DA61:DB61"/>
    <mergeCell ref="AL60:AN60"/>
    <mergeCell ref="AL51:AN51"/>
    <mergeCell ref="T51:V51"/>
    <mergeCell ref="T52:V52"/>
    <mergeCell ref="T53:V53"/>
    <mergeCell ref="T54:V54"/>
    <mergeCell ref="AH60:AI60"/>
    <mergeCell ref="DA51:DB51"/>
    <mergeCell ref="AH61:AI61"/>
    <mergeCell ref="DA65:DB65"/>
    <mergeCell ref="T43:V43"/>
    <mergeCell ref="T44:V44"/>
    <mergeCell ref="DA47:DB47"/>
    <mergeCell ref="AL48:AN48"/>
    <mergeCell ref="T58:V58"/>
    <mergeCell ref="T59:V59"/>
    <mergeCell ref="T60:V60"/>
    <mergeCell ref="T61:V61"/>
    <mergeCell ref="T62:V62"/>
    <mergeCell ref="DA62:DB62"/>
    <mergeCell ref="DA48:DB48"/>
    <mergeCell ref="DA55:DB55"/>
    <mergeCell ref="DA49:DB49"/>
    <mergeCell ref="AL49:AN49"/>
    <mergeCell ref="DA52:DB52"/>
    <mergeCell ref="AL50:AN50"/>
    <mergeCell ref="AH52:AI52"/>
    <mergeCell ref="AH49:AI49"/>
    <mergeCell ref="X62:Y62"/>
    <mergeCell ref="X56:Y56"/>
    <mergeCell ref="X57:Y57"/>
    <mergeCell ref="X58:Y58"/>
    <mergeCell ref="X60:Y60"/>
    <mergeCell ref="X61:Y61"/>
    <mergeCell ref="K47:L47"/>
    <mergeCell ref="T41:V41"/>
    <mergeCell ref="T33:V33"/>
    <mergeCell ref="T34:V34"/>
    <mergeCell ref="T35:V35"/>
    <mergeCell ref="T36:V36"/>
    <mergeCell ref="T37:V37"/>
    <mergeCell ref="T47:V47"/>
    <mergeCell ref="T48:V48"/>
    <mergeCell ref="T49:V49"/>
    <mergeCell ref="T50:V50"/>
    <mergeCell ref="F60:I60"/>
    <mergeCell ref="T55:V55"/>
    <mergeCell ref="T56:V56"/>
    <mergeCell ref="T57:V57"/>
    <mergeCell ref="X54:Y54"/>
    <mergeCell ref="T38:V38"/>
    <mergeCell ref="T39:V39"/>
    <mergeCell ref="T40:V40"/>
    <mergeCell ref="T42:V42"/>
    <mergeCell ref="X40:Y40"/>
    <mergeCell ref="X41:Y41"/>
    <mergeCell ref="X39:Y39"/>
    <mergeCell ref="F54:I54"/>
    <mergeCell ref="K55:L55"/>
    <mergeCell ref="K56:L56"/>
    <mergeCell ref="K57:L57"/>
    <mergeCell ref="K58:L58"/>
    <mergeCell ref="K59:L59"/>
    <mergeCell ref="K60:L60"/>
    <mergeCell ref="T45:V45"/>
    <mergeCell ref="T46:V46"/>
    <mergeCell ref="F28:I28"/>
    <mergeCell ref="F29:I29"/>
    <mergeCell ref="B32:E32"/>
    <mergeCell ref="F38:I38"/>
    <mergeCell ref="F26:I26"/>
    <mergeCell ref="B28:E28"/>
    <mergeCell ref="B31:E31"/>
    <mergeCell ref="B46:E46"/>
    <mergeCell ref="B45:E45"/>
    <mergeCell ref="B34:E34"/>
    <mergeCell ref="F24:I24"/>
    <mergeCell ref="F22:I22"/>
    <mergeCell ref="B23:E23"/>
    <mergeCell ref="F43:I43"/>
    <mergeCell ref="B33:E33"/>
    <mergeCell ref="F40:I40"/>
    <mergeCell ref="K32:L32"/>
    <mergeCell ref="K33:L33"/>
    <mergeCell ref="K34:L34"/>
    <mergeCell ref="K35:L35"/>
    <mergeCell ref="K26:L26"/>
    <mergeCell ref="B29:E29"/>
    <mergeCell ref="B41:E41"/>
    <mergeCell ref="B37:E37"/>
    <mergeCell ref="K37:L37"/>
    <mergeCell ref="K38:L38"/>
    <mergeCell ref="K46:L46"/>
    <mergeCell ref="B53:E53"/>
    <mergeCell ref="F35:I35"/>
    <mergeCell ref="B42:E42"/>
    <mergeCell ref="F30:I30"/>
    <mergeCell ref="F37:I37"/>
    <mergeCell ref="B36:E36"/>
    <mergeCell ref="F34:I34"/>
    <mergeCell ref="B43:E43"/>
    <mergeCell ref="B38:E38"/>
    <mergeCell ref="B39:E39"/>
    <mergeCell ref="F41:I41"/>
    <mergeCell ref="F44:I44"/>
    <mergeCell ref="F42:I42"/>
    <mergeCell ref="B48:E48"/>
    <mergeCell ref="F46:I46"/>
    <mergeCell ref="B51:E51"/>
    <mergeCell ref="F45:I45"/>
    <mergeCell ref="F36:I36"/>
    <mergeCell ref="F32:I32"/>
    <mergeCell ref="B35:E35"/>
    <mergeCell ref="F33:I33"/>
    <mergeCell ref="F39:I39"/>
    <mergeCell ref="B40:E40"/>
    <mergeCell ref="B30:E30"/>
    <mergeCell ref="B47:E47"/>
    <mergeCell ref="F48:I48"/>
    <mergeCell ref="B49:E49"/>
    <mergeCell ref="B50:E50"/>
    <mergeCell ref="B17:E17"/>
    <mergeCell ref="F17:I17"/>
    <mergeCell ref="B15:E15"/>
    <mergeCell ref="F15:I15"/>
    <mergeCell ref="F20:I20"/>
    <mergeCell ref="B22:E22"/>
    <mergeCell ref="F13:I13"/>
    <mergeCell ref="B20:E20"/>
    <mergeCell ref="T12:V12"/>
    <mergeCell ref="T13:V13"/>
    <mergeCell ref="T14:V14"/>
    <mergeCell ref="T15:V15"/>
    <mergeCell ref="T16:V16"/>
    <mergeCell ref="T17:V17"/>
    <mergeCell ref="T18:V18"/>
    <mergeCell ref="B24:E24"/>
    <mergeCell ref="F31:I31"/>
    <mergeCell ref="B19:E19"/>
    <mergeCell ref="T19:V19"/>
    <mergeCell ref="T20:V20"/>
    <mergeCell ref="B21:E21"/>
    <mergeCell ref="B13:E13"/>
    <mergeCell ref="B18:E18"/>
    <mergeCell ref="F12:I12"/>
    <mergeCell ref="K17:L17"/>
    <mergeCell ref="K18:L18"/>
    <mergeCell ref="K19:L19"/>
    <mergeCell ref="K20:L20"/>
    <mergeCell ref="K29:L29"/>
    <mergeCell ref="K30:L30"/>
    <mergeCell ref="K31:L31"/>
    <mergeCell ref="B25:E25"/>
    <mergeCell ref="F8:I8"/>
    <mergeCell ref="B44:E44"/>
    <mergeCell ref="K12:L12"/>
    <mergeCell ref="K13:L13"/>
    <mergeCell ref="K14:L14"/>
    <mergeCell ref="K15:L15"/>
    <mergeCell ref="K16:L16"/>
    <mergeCell ref="X13:Y13"/>
    <mergeCell ref="K21:L21"/>
    <mergeCell ref="K22:L22"/>
    <mergeCell ref="K23:L23"/>
    <mergeCell ref="K24:L24"/>
    <mergeCell ref="F21:I21"/>
    <mergeCell ref="B26:E26"/>
    <mergeCell ref="B12:E12"/>
    <mergeCell ref="F23:I23"/>
    <mergeCell ref="X36:Y36"/>
    <mergeCell ref="X37:Y37"/>
    <mergeCell ref="B8:E8"/>
    <mergeCell ref="X18:Y18"/>
    <mergeCell ref="X19:Y19"/>
    <mergeCell ref="X20:Y20"/>
    <mergeCell ref="T11:V11"/>
    <mergeCell ref="B27:E27"/>
    <mergeCell ref="F27:I27"/>
    <mergeCell ref="X38:Y38"/>
    <mergeCell ref="F25:I25"/>
    <mergeCell ref="K11:L11"/>
    <mergeCell ref="K39:L39"/>
    <mergeCell ref="K40:L40"/>
    <mergeCell ref="K41:L41"/>
    <mergeCell ref="K42:L42"/>
    <mergeCell ref="A7:P7"/>
    <mergeCell ref="B9:E9"/>
    <mergeCell ref="B14:E14"/>
    <mergeCell ref="X9:Y9"/>
    <mergeCell ref="X8:Y8"/>
    <mergeCell ref="X10:Y10"/>
    <mergeCell ref="X11:Y11"/>
    <mergeCell ref="X12:Y12"/>
    <mergeCell ref="F9:I9"/>
    <mergeCell ref="K25:L25"/>
    <mergeCell ref="DA16:DB16"/>
    <mergeCell ref="AH8:AI8"/>
    <mergeCell ref="AL12:AN12"/>
    <mergeCell ref="DA17:DB17"/>
    <mergeCell ref="AL16:AN16"/>
    <mergeCell ref="AL17:AN17"/>
    <mergeCell ref="K27:L27"/>
    <mergeCell ref="B10:E10"/>
    <mergeCell ref="K8:L8"/>
    <mergeCell ref="K9:L9"/>
    <mergeCell ref="X14:Y14"/>
    <mergeCell ref="X15:Y15"/>
    <mergeCell ref="F10:I10"/>
    <mergeCell ref="F11:I11"/>
    <mergeCell ref="F14:I14"/>
    <mergeCell ref="F19:I19"/>
    <mergeCell ref="B16:E16"/>
    <mergeCell ref="F16:I16"/>
    <mergeCell ref="B11:E11"/>
    <mergeCell ref="F18:I18"/>
    <mergeCell ref="T21:V21"/>
    <mergeCell ref="T22:V22"/>
    <mergeCell ref="CD3:CD4"/>
    <mergeCell ref="BL3:BV3"/>
    <mergeCell ref="AH14:AI14"/>
    <mergeCell ref="T7:AC7"/>
    <mergeCell ref="X16:Y16"/>
    <mergeCell ref="AH26:AI26"/>
    <mergeCell ref="AL18:AN18"/>
    <mergeCell ref="AL26:AN26"/>
    <mergeCell ref="AH10:AI10"/>
    <mergeCell ref="CL5:CN5"/>
    <mergeCell ref="DA8:DB8"/>
    <mergeCell ref="AH9:AI9"/>
    <mergeCell ref="DA10:DB10"/>
    <mergeCell ref="DA11:DB11"/>
    <mergeCell ref="DA13:DB13"/>
    <mergeCell ref="DA12:DB12"/>
    <mergeCell ref="DA9:DB9"/>
    <mergeCell ref="AH13:AI13"/>
    <mergeCell ref="AH12:AI12"/>
    <mergeCell ref="AH15:AI15"/>
    <mergeCell ref="AH17:AI17"/>
    <mergeCell ref="AH16:AI16"/>
    <mergeCell ref="T25:V25"/>
    <mergeCell ref="X17:Y17"/>
    <mergeCell ref="T23:V23"/>
    <mergeCell ref="T24:V24"/>
    <mergeCell ref="AL24:AN24"/>
    <mergeCell ref="AL22:AN22"/>
    <mergeCell ref="AL23:AN23"/>
    <mergeCell ref="X25:Y25"/>
    <mergeCell ref="X26:Y26"/>
    <mergeCell ref="T26:V26"/>
    <mergeCell ref="BB2:BL2"/>
    <mergeCell ref="AL9:AN9"/>
    <mergeCell ref="AL13:AN13"/>
    <mergeCell ref="AL11:AN11"/>
    <mergeCell ref="X21:Y21"/>
    <mergeCell ref="X22:Y22"/>
    <mergeCell ref="X23:Y23"/>
    <mergeCell ref="X24:Y24"/>
    <mergeCell ref="X33:Y33"/>
    <mergeCell ref="U4:W5"/>
    <mergeCell ref="X4:Y5"/>
    <mergeCell ref="T8:V8"/>
    <mergeCell ref="T9:V9"/>
    <mergeCell ref="T10:V10"/>
    <mergeCell ref="AH22:AI22"/>
    <mergeCell ref="AH21:AI21"/>
    <mergeCell ref="AL19:AN19"/>
    <mergeCell ref="AL21:AN21"/>
    <mergeCell ref="AL29:AN29"/>
    <mergeCell ref="X31:Y31"/>
    <mergeCell ref="AH31:AI31"/>
    <mergeCell ref="X28:Y28"/>
    <mergeCell ref="X29:Y29"/>
    <mergeCell ref="X30:Y30"/>
    <mergeCell ref="AL31:AN31"/>
    <mergeCell ref="AL27:AN27"/>
    <mergeCell ref="T27:V27"/>
    <mergeCell ref="T28:V28"/>
    <mergeCell ref="T29:V29"/>
    <mergeCell ref="T30:V30"/>
    <mergeCell ref="T31:V31"/>
    <mergeCell ref="T32:V32"/>
    <mergeCell ref="DA20:DB20"/>
    <mergeCell ref="AH27:AI27"/>
    <mergeCell ref="AH47:AI47"/>
    <mergeCell ref="AL46:AN46"/>
    <mergeCell ref="AH28:AI28"/>
    <mergeCell ref="AH23:AI23"/>
    <mergeCell ref="DA34:DB34"/>
    <mergeCell ref="DA38:DB38"/>
    <mergeCell ref="DA22:DB22"/>
    <mergeCell ref="DA43:DB43"/>
    <mergeCell ref="AL33:AN33"/>
    <mergeCell ref="DA44:DB44"/>
    <mergeCell ref="DA36:DB36"/>
    <mergeCell ref="AL36:AN36"/>
    <mergeCell ref="AH40:AI40"/>
    <mergeCell ref="AH33:AI33"/>
    <mergeCell ref="DA42:DB42"/>
    <mergeCell ref="DA24:DB24"/>
    <mergeCell ref="DA21:DB21"/>
    <mergeCell ref="DA23:DB23"/>
    <mergeCell ref="AL37:AN37"/>
    <mergeCell ref="AL39:AN39"/>
    <mergeCell ref="DA46:DB46"/>
    <mergeCell ref="DA31:DB31"/>
    <mergeCell ref="DA33:DB33"/>
    <mergeCell ref="DA45:DB45"/>
    <mergeCell ref="AH29:AI29"/>
    <mergeCell ref="AH24:AI24"/>
    <mergeCell ref="AL32:AN32"/>
    <mergeCell ref="AH32:AI32"/>
    <mergeCell ref="AL45:AN45"/>
    <mergeCell ref="AH34:AI34"/>
    <mergeCell ref="EY6:FB6"/>
    <mergeCell ref="EB8:ED8"/>
    <mergeCell ref="DA15:DB15"/>
    <mergeCell ref="AL15:AN15"/>
    <mergeCell ref="DA14:DB14"/>
    <mergeCell ref="AL14:AN14"/>
    <mergeCell ref="AL8:AN8"/>
    <mergeCell ref="AH7:AN7"/>
    <mergeCell ref="AL10:AN10"/>
    <mergeCell ref="AH44:AI44"/>
    <mergeCell ref="EM7:EN7"/>
    <mergeCell ref="DA25:DB25"/>
    <mergeCell ref="DA26:DB26"/>
    <mergeCell ref="DA28:DB28"/>
    <mergeCell ref="DA30:DB30"/>
    <mergeCell ref="DA32:DB32"/>
    <mergeCell ref="AH18:AI18"/>
    <mergeCell ref="DA18:DB18"/>
    <mergeCell ref="AH20:AI20"/>
    <mergeCell ref="AH19:AI19"/>
    <mergeCell ref="DA19:DB19"/>
    <mergeCell ref="DA29:DB29"/>
    <mergeCell ref="DA41:DB41"/>
    <mergeCell ref="DA39:DB39"/>
    <mergeCell ref="AL38:AN38"/>
    <mergeCell ref="DA37:DB37"/>
    <mergeCell ref="AL35:AN35"/>
    <mergeCell ref="DA35:DB35"/>
    <mergeCell ref="AH30:AI30"/>
    <mergeCell ref="DA27:DB27"/>
    <mergeCell ref="AH43:AI43"/>
    <mergeCell ref="EO7:EP7"/>
    <mergeCell ref="AL124:AN124"/>
    <mergeCell ref="AL109:AN109"/>
    <mergeCell ref="DA142:DB142"/>
    <mergeCell ref="DA137:DB137"/>
    <mergeCell ref="AL128:AN128"/>
    <mergeCell ref="AL133:AN133"/>
    <mergeCell ref="AH118:AI118"/>
    <mergeCell ref="AH129:AI129"/>
    <mergeCell ref="AL140:AN140"/>
    <mergeCell ref="DA318:DB319"/>
    <mergeCell ref="DA314:DB314"/>
    <mergeCell ref="DA313:DB313"/>
    <mergeCell ref="DA88:DB88"/>
    <mergeCell ref="AL132:AN132"/>
    <mergeCell ref="AH98:AI98"/>
    <mergeCell ref="DA312:DB312"/>
    <mergeCell ref="DA122:DB122"/>
    <mergeCell ref="DA123:DB123"/>
    <mergeCell ref="DA121:DB121"/>
    <mergeCell ref="DA125:DB125"/>
    <mergeCell ref="DA124:DB124"/>
    <mergeCell ref="DA119:DB119"/>
    <mergeCell ref="DA115:DB115"/>
    <mergeCell ref="DA128:DB128"/>
    <mergeCell ref="DA311:DB311"/>
    <mergeCell ref="DA102:DB102"/>
    <mergeCell ref="DA141:DB141"/>
    <mergeCell ref="DA104:DB104"/>
    <mergeCell ref="DA106:DB106"/>
    <mergeCell ref="DA97:DB97"/>
    <mergeCell ref="AL99:AN99"/>
    <mergeCell ref="AL112:AN112"/>
    <mergeCell ref="AL125:AN125"/>
    <mergeCell ref="AH115:AI115"/>
    <mergeCell ref="DA113:DB113"/>
    <mergeCell ref="DA105:DB105"/>
    <mergeCell ref="X130:Y130"/>
    <mergeCell ref="DA144:DB144"/>
    <mergeCell ref="X125:Y125"/>
    <mergeCell ref="X126:Y126"/>
    <mergeCell ref="AL136:AN136"/>
    <mergeCell ref="X142:Y142"/>
    <mergeCell ref="AH107:AI107"/>
    <mergeCell ref="AH110:AI110"/>
    <mergeCell ref="AH113:AI113"/>
    <mergeCell ref="X98:Y98"/>
    <mergeCell ref="X99:Y99"/>
    <mergeCell ref="X102:Y102"/>
    <mergeCell ref="AL101:AN101"/>
    <mergeCell ref="DA127:DB127"/>
    <mergeCell ref="DA133:DB133"/>
    <mergeCell ref="DA136:DB136"/>
    <mergeCell ref="DA138:DB138"/>
    <mergeCell ref="DA126:DB126"/>
    <mergeCell ref="DA140:DB140"/>
    <mergeCell ref="DA109:DB109"/>
    <mergeCell ref="DA103:DB103"/>
    <mergeCell ref="AH133:AI133"/>
    <mergeCell ref="AH127:AI127"/>
    <mergeCell ref="X108:Y108"/>
    <mergeCell ref="AH124:AI124"/>
    <mergeCell ref="X124:Y124"/>
    <mergeCell ref="AL121:AN121"/>
    <mergeCell ref="AL126:AN126"/>
    <mergeCell ref="DA95:DB95"/>
    <mergeCell ref="AL95:AN95"/>
    <mergeCell ref="AH105:AI105"/>
    <mergeCell ref="AL104:AN104"/>
    <mergeCell ref="X106:Y106"/>
    <mergeCell ref="DA91:DB91"/>
    <mergeCell ref="DA99:DB99"/>
    <mergeCell ref="AL106:AN106"/>
    <mergeCell ref="AL97:AN97"/>
    <mergeCell ref="AL107:AN107"/>
    <mergeCell ref="AL110:AN110"/>
    <mergeCell ref="AH108:AI108"/>
    <mergeCell ref="AL102:AN102"/>
    <mergeCell ref="DA98:DB98"/>
    <mergeCell ref="DA108:DB108"/>
    <mergeCell ref="AL123:AN123"/>
    <mergeCell ref="DA101:DB101"/>
    <mergeCell ref="AH101:AI101"/>
    <mergeCell ref="DA94:DB94"/>
    <mergeCell ref="DA96:DB96"/>
    <mergeCell ref="DA111:DB111"/>
    <mergeCell ref="AL113:AN113"/>
    <mergeCell ref="AH126:AI126"/>
    <mergeCell ref="AL117:AN117"/>
    <mergeCell ref="AH90:AI90"/>
    <mergeCell ref="AH93:AI93"/>
    <mergeCell ref="AL92:AN92"/>
    <mergeCell ref="F126:I126"/>
    <mergeCell ref="X127:Y127"/>
    <mergeCell ref="X128:Y128"/>
    <mergeCell ref="X129:Y129"/>
    <mergeCell ref="K129:L129"/>
    <mergeCell ref="F130:I130"/>
    <mergeCell ref="AH130:AI130"/>
    <mergeCell ref="X96:Y96"/>
    <mergeCell ref="X97:Y97"/>
    <mergeCell ref="X104:Y104"/>
    <mergeCell ref="X105:Y105"/>
    <mergeCell ref="AL98:AN98"/>
    <mergeCell ref="F106:I106"/>
    <mergeCell ref="K111:L111"/>
    <mergeCell ref="K126:L126"/>
    <mergeCell ref="F117:I117"/>
    <mergeCell ref="X114:Y114"/>
    <mergeCell ref="X121:Y121"/>
    <mergeCell ref="K97:L97"/>
    <mergeCell ref="K98:L98"/>
    <mergeCell ref="K99:L99"/>
    <mergeCell ref="K100:L100"/>
    <mergeCell ref="X113:Y113"/>
    <mergeCell ref="X120:Y120"/>
    <mergeCell ref="X116:Y116"/>
    <mergeCell ref="X115:Y115"/>
    <mergeCell ref="F112:I112"/>
    <mergeCell ref="AH35:AI35"/>
    <mergeCell ref="AH11:AI11"/>
    <mergeCell ref="AL20:AN20"/>
    <mergeCell ref="AL30:AN30"/>
    <mergeCell ref="AH25:AI25"/>
    <mergeCell ref="AH57:AI57"/>
    <mergeCell ref="AH55:AI55"/>
    <mergeCell ref="AH58:AI58"/>
    <mergeCell ref="AH59:AI59"/>
    <mergeCell ref="X59:Y59"/>
    <mergeCell ref="X80:Y80"/>
    <mergeCell ref="X81:Y81"/>
    <mergeCell ref="X82:Y82"/>
    <mergeCell ref="AH48:AI48"/>
    <mergeCell ref="AH46:AI46"/>
    <mergeCell ref="AH41:AI41"/>
    <mergeCell ref="AH42:AI42"/>
    <mergeCell ref="AH54:AI54"/>
    <mergeCell ref="X47:Y47"/>
    <mergeCell ref="AH36:AI36"/>
    <mergeCell ref="AH37:AI37"/>
    <mergeCell ref="X42:Y42"/>
    <mergeCell ref="X43:Y43"/>
    <mergeCell ref="X44:Y44"/>
    <mergeCell ref="X45:Y45"/>
    <mergeCell ref="X46:Y46"/>
    <mergeCell ref="X27:Y27"/>
    <mergeCell ref="X70:Y70"/>
    <mergeCell ref="AL25:AN25"/>
    <mergeCell ref="X32:Y32"/>
    <mergeCell ref="X34:Y34"/>
    <mergeCell ref="X35:Y35"/>
    <mergeCell ref="X83:Y83"/>
    <mergeCell ref="AL43:AN43"/>
    <mergeCell ref="AL28:AN28"/>
    <mergeCell ref="AL42:AN42"/>
    <mergeCell ref="AH38:AI38"/>
    <mergeCell ref="AL41:AN41"/>
    <mergeCell ref="K110:L110"/>
    <mergeCell ref="K102:L102"/>
    <mergeCell ref="K121:L121"/>
    <mergeCell ref="K122:L122"/>
    <mergeCell ref="K54:L54"/>
    <mergeCell ref="AL57:AN57"/>
    <mergeCell ref="AL82:AN82"/>
    <mergeCell ref="AH103:AI103"/>
    <mergeCell ref="K84:L84"/>
    <mergeCell ref="AL40:AN40"/>
    <mergeCell ref="AL44:AN44"/>
    <mergeCell ref="AL34:AN34"/>
    <mergeCell ref="K36:L36"/>
    <mergeCell ref="X48:Y48"/>
    <mergeCell ref="X49:Y49"/>
    <mergeCell ref="X50:Y50"/>
    <mergeCell ref="X51:Y51"/>
    <mergeCell ref="X52:Y52"/>
    <mergeCell ref="X53:Y53"/>
    <mergeCell ref="AH39:AI39"/>
    <mergeCell ref="K80:L80"/>
    <mergeCell ref="K112:L112"/>
    <mergeCell ref="K115:L115"/>
    <mergeCell ref="AL96:AN96"/>
    <mergeCell ref="AL115:AN115"/>
    <mergeCell ref="AL108:AN108"/>
    <mergeCell ref="DA86:DB86"/>
    <mergeCell ref="AH116:AI116"/>
    <mergeCell ref="AH95:AI95"/>
    <mergeCell ref="AH117:AI117"/>
    <mergeCell ref="DA93:DB93"/>
    <mergeCell ref="X111:Y111"/>
    <mergeCell ref="X112:Y112"/>
    <mergeCell ref="K63:L63"/>
    <mergeCell ref="K64:L64"/>
    <mergeCell ref="K65:L65"/>
    <mergeCell ref="K66:L66"/>
    <mergeCell ref="K67:L67"/>
    <mergeCell ref="K68:L68"/>
    <mergeCell ref="K105:L105"/>
    <mergeCell ref="K93:L93"/>
    <mergeCell ref="DA90:DB90"/>
    <mergeCell ref="DA89:DB89"/>
    <mergeCell ref="AL89:AN89"/>
    <mergeCell ref="AL91:AN91"/>
    <mergeCell ref="K78:L78"/>
    <mergeCell ref="AL85:AN85"/>
    <mergeCell ref="K79:L79"/>
    <mergeCell ref="K76:L76"/>
    <mergeCell ref="K77:L77"/>
    <mergeCell ref="AL93:AN93"/>
    <mergeCell ref="X94:Y94"/>
    <mergeCell ref="X95:Y95"/>
    <mergeCell ref="AH76:AI76"/>
    <mergeCell ref="T74:V74"/>
    <mergeCell ref="T75:V75"/>
    <mergeCell ref="X79:Y79"/>
    <mergeCell ref="X69:Y69"/>
    <mergeCell ref="AK331:AL331"/>
    <mergeCell ref="D322:F322"/>
    <mergeCell ref="G322:I322"/>
    <mergeCell ref="J322:L322"/>
    <mergeCell ref="D323:F323"/>
    <mergeCell ref="G323:I323"/>
    <mergeCell ref="J323:L323"/>
    <mergeCell ref="D324:F324"/>
    <mergeCell ref="G324:I324"/>
    <mergeCell ref="J324:L324"/>
    <mergeCell ref="D319:F319"/>
    <mergeCell ref="D320:F320"/>
    <mergeCell ref="D321:F321"/>
    <mergeCell ref="X133:Y133"/>
    <mergeCell ref="X134:Y134"/>
    <mergeCell ref="X135:Y135"/>
    <mergeCell ref="AL323:AM323"/>
    <mergeCell ref="E328:G328"/>
    <mergeCell ref="I328:L328"/>
    <mergeCell ref="S328:U328"/>
    <mergeCell ref="S324:AB324"/>
    <mergeCell ref="J321:L321"/>
    <mergeCell ref="J318:L318"/>
    <mergeCell ref="B149:E149"/>
    <mergeCell ref="F149:I149"/>
    <mergeCell ref="B152:E152"/>
    <mergeCell ref="F152:I152"/>
    <mergeCell ref="B155:E155"/>
    <mergeCell ref="K134:L134"/>
    <mergeCell ref="B138:E138"/>
    <mergeCell ref="F138:I138"/>
    <mergeCell ref="AL138:AN138"/>
    <mergeCell ref="B113:E113"/>
    <mergeCell ref="B101:E101"/>
    <mergeCell ref="K104:L104"/>
    <mergeCell ref="B94:E94"/>
    <mergeCell ref="B107:E107"/>
    <mergeCell ref="N1:O1"/>
    <mergeCell ref="K88:L88"/>
    <mergeCell ref="K89:L89"/>
    <mergeCell ref="K69:L69"/>
    <mergeCell ref="K70:L70"/>
    <mergeCell ref="K71:L71"/>
    <mergeCell ref="K72:L72"/>
    <mergeCell ref="K73:L73"/>
    <mergeCell ref="K87:L87"/>
    <mergeCell ref="K90:L90"/>
    <mergeCell ref="K91:L91"/>
    <mergeCell ref="K92:L92"/>
    <mergeCell ref="K85:L85"/>
    <mergeCell ref="K86:L86"/>
    <mergeCell ref="K74:L74"/>
    <mergeCell ref="K75:L75"/>
    <mergeCell ref="K81:L81"/>
    <mergeCell ref="K82:L82"/>
    <mergeCell ref="K83:L83"/>
    <mergeCell ref="D4:L4"/>
    <mergeCell ref="D5:L5"/>
    <mergeCell ref="B108:E108"/>
    <mergeCell ref="F113:I113"/>
    <mergeCell ref="B112:E112"/>
    <mergeCell ref="D3:F3"/>
    <mergeCell ref="K28:L28"/>
    <mergeCell ref="K10:L10"/>
  </mergeCells>
  <phoneticPr fontId="291" type="noConversion"/>
  <conditionalFormatting sqref="B9:B308">
    <cfRule type="expression" dxfId="143" priority="223">
      <formula>DV9=5</formula>
    </cfRule>
    <cfRule type="expression" dxfId="142" priority="222">
      <formula>DE9=1</formula>
    </cfRule>
  </conditionalFormatting>
  <conditionalFormatting sqref="D3:D5">
    <cfRule type="cellIs" dxfId="141" priority="6055" stopIfTrue="1" operator="equal">
      <formula>0</formula>
    </cfRule>
  </conditionalFormatting>
  <conditionalFormatting sqref="F9:I308">
    <cfRule type="beginsWith" dxfId="139" priority="20" operator="beginsWith" text="*">
      <formula>LEFT(F9,LEN("*"))="*"</formula>
    </cfRule>
  </conditionalFormatting>
  <conditionalFormatting sqref="J23:J28">
    <cfRule type="expression" dxfId="138" priority="67" stopIfTrue="1">
      <formula>LEFT(J23,2)="--"</formula>
    </cfRule>
    <cfRule type="expression" dxfId="137" priority="68" stopIfTrue="1">
      <formula>LEFT(J23,2)="**"</formula>
    </cfRule>
  </conditionalFormatting>
  <conditionalFormatting sqref="J94:J95">
    <cfRule type="expression" dxfId="136" priority="1124" stopIfTrue="1">
      <formula>LEFT(J94,2)="--"</formula>
    </cfRule>
    <cfRule type="expression" dxfId="135" priority="1125" stopIfTrue="1">
      <formula>LEFT(J94,2)="**"</formula>
    </cfRule>
  </conditionalFormatting>
  <conditionalFormatting sqref="J106:J183">
    <cfRule type="expression" dxfId="134" priority="390" stopIfTrue="1">
      <formula>LEFT(J106,2)="**"</formula>
    </cfRule>
    <cfRule type="expression" dxfId="133" priority="389" stopIfTrue="1">
      <formula>LEFT(J106,2)="--"</formula>
    </cfRule>
  </conditionalFormatting>
  <conditionalFormatting sqref="J186:J197">
    <cfRule type="expression" dxfId="132" priority="283" stopIfTrue="1">
      <formula>LEFT(J186,2)="--"</formula>
    </cfRule>
    <cfRule type="expression" dxfId="131" priority="284" stopIfTrue="1">
      <formula>LEFT(J186,2)="**"</formula>
    </cfRule>
  </conditionalFormatting>
  <conditionalFormatting sqref="J204:J205">
    <cfRule type="expression" dxfId="130" priority="3353" stopIfTrue="1">
      <formula>LEFT(J204,2)="--"</formula>
    </cfRule>
    <cfRule type="expression" dxfId="129" priority="3354" stopIfTrue="1">
      <formula>LEFT(J204,2)="**"</formula>
    </cfRule>
  </conditionalFormatting>
  <conditionalFormatting sqref="J208:J209">
    <cfRule type="expression" dxfId="128" priority="3337" stopIfTrue="1">
      <formula>LEFT(J208,2)="**"</formula>
    </cfRule>
    <cfRule type="expression" dxfId="127" priority="3336" stopIfTrue="1">
      <formula>LEFT(J208,2)="--"</formula>
    </cfRule>
  </conditionalFormatting>
  <conditionalFormatting sqref="J214:J215">
    <cfRule type="expression" dxfId="126" priority="3300" stopIfTrue="1">
      <formula>LEFT(J214,2)="**"</formula>
    </cfRule>
    <cfRule type="expression" dxfId="125" priority="3299" stopIfTrue="1">
      <formula>LEFT(J214,2)="--"</formula>
    </cfRule>
  </conditionalFormatting>
  <conditionalFormatting sqref="J217">
    <cfRule type="expression" dxfId="124" priority="3281" stopIfTrue="1">
      <formula>LEFT(J217,2)="--"</formula>
    </cfRule>
    <cfRule type="expression" dxfId="123" priority="3282" stopIfTrue="1">
      <formula>LEFT(J217,2)="**"</formula>
    </cfRule>
  </conditionalFormatting>
  <conditionalFormatting sqref="J224:J308">
    <cfRule type="expression" dxfId="122" priority="2986" stopIfTrue="1">
      <formula>LEFT(J224,2)="--"</formula>
    </cfRule>
    <cfRule type="expression" dxfId="121" priority="2987" stopIfTrue="1">
      <formula>LEFT(J224,2)="**"</formula>
    </cfRule>
  </conditionalFormatting>
  <conditionalFormatting sqref="K9:K308">
    <cfRule type="expression" dxfId="120" priority="3">
      <formula>IF($T9="","",$AU9=1)</formula>
    </cfRule>
  </conditionalFormatting>
  <conditionalFormatting sqref="M9:M308">
    <cfRule type="expression" dxfId="119" priority="4" stopIfTrue="1">
      <formula>(Q9=0.1)</formula>
    </cfRule>
  </conditionalFormatting>
  <conditionalFormatting sqref="N9:N308">
    <cfRule type="expression" dxfId="118" priority="8" stopIfTrue="1">
      <formula>(ISNUMBER(SEARCH("lighting controls",$F9)))=TRUE</formula>
    </cfRule>
    <cfRule type="expression" dxfId="117" priority="13">
      <formula>IF($T9="","",ISBLANK($N9))</formula>
    </cfRule>
  </conditionalFormatting>
  <conditionalFormatting sqref="O9:O308">
    <cfRule type="containsText" dxfId="116" priority="16" operator="containsText" text="blackout">
      <formula>NOT(ISERROR(SEARCH("blackout",O9)))</formula>
    </cfRule>
  </conditionalFormatting>
  <conditionalFormatting sqref="O9:P13">
    <cfRule type="containsText" dxfId="115" priority="12" operator="containsText" text="enter input watts">
      <formula>NOT(ISERROR(SEARCH("enter input watts",O9)))</formula>
    </cfRule>
  </conditionalFormatting>
  <conditionalFormatting sqref="O14:P308">
    <cfRule type="containsText" dxfId="114" priority="5732" operator="containsText" text="enter input watts">
      <formula>NOT(ISERROR(SEARCH("enter input watts",O14)))</formula>
    </cfRule>
  </conditionalFormatting>
  <conditionalFormatting sqref="P9:P308">
    <cfRule type="expression" dxfId="113" priority="10">
      <formula>O9="enter input watts"</formula>
    </cfRule>
    <cfRule type="expression" dxfId="112" priority="11">
      <formula>O9="blackout"</formula>
    </cfRule>
  </conditionalFormatting>
  <conditionalFormatting sqref="P14:P308">
    <cfRule type="containsText" dxfId="111" priority="148" operator="containsText" text="enter input watts">
      <formula>NOT(ISERROR(SEARCH("enter input watts",P14)))</formula>
    </cfRule>
  </conditionalFormatting>
  <conditionalFormatting sqref="P23:P39">
    <cfRule type="containsText" dxfId="110" priority="1206" operator="containsText" text="enter input watts">
      <formula>NOT(ISERROR(SEARCH("enter input watts",P23)))</formula>
    </cfRule>
  </conditionalFormatting>
  <conditionalFormatting sqref="P23:P308">
    <cfRule type="expression" dxfId="109" priority="1204">
      <formula>O23="enter input watts"</formula>
    </cfRule>
    <cfRule type="expression" dxfId="108" priority="1205">
      <formula>O23="blackout"</formula>
    </cfRule>
  </conditionalFormatting>
  <conditionalFormatting sqref="S9:S308">
    <cfRule type="containsErrors" dxfId="107" priority="17" stopIfTrue="1">
      <formula>ISERROR(S9)</formula>
    </cfRule>
  </conditionalFormatting>
  <conditionalFormatting sqref="T9:V308">
    <cfRule type="beginsWith" dxfId="105" priority="5" operator="beginsWith" text="*">
      <formula>LEFT(T9,LEN("*"))="*"</formula>
    </cfRule>
  </conditionalFormatting>
  <conditionalFormatting sqref="W311:AC315">
    <cfRule type="containsErrors" dxfId="104" priority="5747">
      <formula>ISERROR(W311)</formula>
    </cfRule>
  </conditionalFormatting>
  <conditionalFormatting sqref="W3:AL3 Z5 AO5:AP5 V6 DD9:DD308 AL318:AM318 DA321">
    <cfRule type="containsErrors" dxfId="103" priority="6057" stopIfTrue="1">
      <formula>ISERROR(V3)</formula>
    </cfRule>
  </conditionalFormatting>
  <conditionalFormatting sqref="X4:Y5">
    <cfRule type="cellIs" dxfId="102" priority="5657" operator="equal">
      <formula>0</formula>
    </cfRule>
    <cfRule type="containsBlanks" dxfId="101" priority="6081">
      <formula>LEN(TRIM(X4))=0</formula>
    </cfRule>
  </conditionalFormatting>
  <conditionalFormatting sqref="Z6">
    <cfRule type="cellIs" dxfId="100" priority="5674" operator="equal">
      <formula>0</formula>
    </cfRule>
    <cfRule type="containsErrors" dxfId="99" priority="5675">
      <formula>ISERROR(Z6)</formula>
    </cfRule>
  </conditionalFormatting>
  <conditionalFormatting sqref="AA4">
    <cfRule type="containsErrors" dxfId="98" priority="5572">
      <formula>ISERROR(AA4)</formula>
    </cfRule>
  </conditionalFormatting>
  <conditionalFormatting sqref="AA9:AA308">
    <cfRule type="expression" dxfId="97" priority="9" stopIfTrue="1">
      <formula>IF(Z9="","",ISBLANK(AA9))</formula>
    </cfRule>
  </conditionalFormatting>
  <conditionalFormatting sqref="AA312">
    <cfRule type="cellIs" dxfId="96" priority="5746" operator="equal">
      <formula>0</formula>
    </cfRule>
  </conditionalFormatting>
  <conditionalFormatting sqref="AB9:AB308">
    <cfRule type="containsText" dxfId="95" priority="5727" operator="containsText" text="blackout">
      <formula>NOT(ISERROR(SEARCH("blackout",AB9)))</formula>
    </cfRule>
  </conditionalFormatting>
  <conditionalFormatting sqref="AC9:AC308">
    <cfRule type="containsErrors" dxfId="94" priority="5678">
      <formula>ISERROR(AC9)</formula>
    </cfRule>
    <cfRule type="expression" priority="5680">
      <formula>$X$13</formula>
    </cfRule>
  </conditionalFormatting>
  <conditionalFormatting sqref="AG9:AG308 CV9:CV308 CX9:CX308">
    <cfRule type="containsErrors" dxfId="93" priority="6067" stopIfTrue="1">
      <formula>ISERROR(AG9)</formula>
    </cfRule>
  </conditionalFormatting>
  <conditionalFormatting sqref="AH9:AH308">
    <cfRule type="containsErrors" dxfId="92" priority="1245">
      <formula>ISERROR(AH9)</formula>
    </cfRule>
  </conditionalFormatting>
  <conditionalFormatting sqref="AJ9:AJ308">
    <cfRule type="expression" dxfId="91" priority="1">
      <formula>$BC9=40</formula>
    </cfRule>
    <cfRule type="expression" dxfId="90" priority="112">
      <formula>$BR9=3</formula>
    </cfRule>
    <cfRule type="expression" dxfId="89" priority="113">
      <formula>CN9&gt;0.01</formula>
    </cfRule>
  </conditionalFormatting>
  <conditionalFormatting sqref="AK9:AK308">
    <cfRule type="expression" dxfId="88" priority="5509">
      <formula>CB9&gt;1</formula>
    </cfRule>
  </conditionalFormatting>
  <conditionalFormatting sqref="AL309:AN309">
    <cfRule type="cellIs" dxfId="87" priority="5573" operator="equal">
      <formula>0</formula>
    </cfRule>
  </conditionalFormatting>
  <conditionalFormatting sqref="DA9:DB308">
    <cfRule type="containsErrors" dxfId="86" priority="6059" stopIfTrue="1">
      <formula>ISERROR(DA9)</formula>
    </cfRule>
    <cfRule type="cellIs" dxfId="85" priority="6058" stopIfTrue="1" operator="equal">
      <formula>0</formula>
    </cfRule>
  </conditionalFormatting>
  <conditionalFormatting sqref="EE8">
    <cfRule type="expression" dxfId="84" priority="5507">
      <formula>$CB$7&gt;300</formula>
    </cfRule>
    <cfRule type="expression" dxfId="83" priority="18">
      <formula>CJ309&gt;0.01</formula>
    </cfRule>
  </conditionalFormatting>
  <conditionalFormatting sqref="EE9:EE308">
    <cfRule type="expression" dxfId="82" priority="1696">
      <formula>CT9&gt;0.6</formula>
    </cfRule>
    <cfRule type="expression" dxfId="81" priority="6088">
      <formula>AF9&lt;1</formula>
    </cfRule>
    <cfRule type="expression" dxfId="80" priority="6089">
      <formula>AF9&gt;1</formula>
    </cfRule>
    <cfRule type="expression" dxfId="79" priority="6090">
      <formula>$EE9&gt;0.5</formula>
    </cfRule>
  </conditionalFormatting>
  <conditionalFormatting sqref="EF8">
    <cfRule type="expression" dxfId="78" priority="5506">
      <formula>CJ309&gt;0.01</formula>
    </cfRule>
  </conditionalFormatting>
  <conditionalFormatting sqref="EF9:EF308">
    <cfRule type="expression" dxfId="77" priority="1695">
      <formula>CT9&gt;0.6</formula>
    </cfRule>
    <cfRule type="expression" dxfId="76" priority="6102">
      <formula>$EF9&gt;0.5</formula>
    </cfRule>
    <cfRule type="expression" dxfId="75" priority="6100">
      <formula>AF9&lt;1</formula>
    </cfRule>
    <cfRule type="expression" dxfId="74" priority="6101">
      <formula>AF9&gt;1</formula>
    </cfRule>
  </conditionalFormatting>
  <conditionalFormatting sqref="EK8">
    <cfRule type="expression" dxfId="73" priority="5505">
      <formula>CJ309&gt;0.01</formula>
    </cfRule>
  </conditionalFormatting>
  <conditionalFormatting sqref="EK9:EK308">
    <cfRule type="expression" dxfId="72" priority="6094">
      <formula>AF9&lt;2</formula>
    </cfRule>
    <cfRule type="expression" dxfId="71" priority="1694">
      <formula>CT9&gt;0.6</formula>
    </cfRule>
    <cfRule type="expression" dxfId="70" priority="6095">
      <formula>AF9&gt;1</formula>
    </cfRule>
    <cfRule type="expression" dxfId="69" priority="6096">
      <formula>$EK9&gt;0.5</formula>
    </cfRule>
  </conditionalFormatting>
  <conditionalFormatting sqref="EM8">
    <cfRule type="expression" dxfId="68" priority="5604">
      <formula>CT6&gt;0.01</formula>
    </cfRule>
  </conditionalFormatting>
  <conditionalFormatting sqref="EM9:EM308">
    <cfRule type="expression" dxfId="67" priority="4094">
      <formula>CT9&gt;0.01</formula>
    </cfRule>
    <cfRule type="expression" dxfId="66" priority="4089">
      <formula>CT9&lt;0.01</formula>
    </cfRule>
  </conditionalFormatting>
  <conditionalFormatting sqref="EM7:EN7">
    <cfRule type="containsText" dxfId="65" priority="5564" operator="containsText" text="Sensor Based">
      <formula>NOT(ISERROR(SEARCH("Sensor Based",EM7)))</formula>
    </cfRule>
  </conditionalFormatting>
  <conditionalFormatting sqref="EM6:EQ6">
    <cfRule type="expression" dxfId="64" priority="5571">
      <formula>CT6&gt;0.01</formula>
    </cfRule>
  </conditionalFormatting>
  <conditionalFormatting sqref="EN8">
    <cfRule type="expression" dxfId="63" priority="5607">
      <formula>CT6&gt;0.01</formula>
    </cfRule>
  </conditionalFormatting>
  <conditionalFormatting sqref="EN9:EN308">
    <cfRule type="expression" dxfId="62" priority="680">
      <formula>CT9&gt;0.01</formula>
    </cfRule>
    <cfRule type="expression" dxfId="61" priority="676">
      <formula>CT9&lt;0.01</formula>
    </cfRule>
  </conditionalFormatting>
  <conditionalFormatting sqref="EO7 EQ7">
    <cfRule type="containsText" dxfId="60" priority="5563" operator="containsText" text="Tuning">
      <formula>NOT(ISERROR(SEARCH("Tuning",EO7)))</formula>
    </cfRule>
  </conditionalFormatting>
  <conditionalFormatting sqref="EO8">
    <cfRule type="expression" dxfId="59" priority="5623">
      <formula>CT6&gt;0.01</formula>
    </cfRule>
    <cfRule type="expression" dxfId="58" priority="5606">
      <formula>CT6&gt;0.01</formula>
    </cfRule>
  </conditionalFormatting>
  <conditionalFormatting sqref="EO9:EO308">
    <cfRule type="expression" dxfId="57" priority="4082">
      <formula>CT9&lt;0.01</formula>
    </cfRule>
    <cfRule type="expression" dxfId="56" priority="5511">
      <formula>CT9&gt;0.01</formula>
    </cfRule>
  </conditionalFormatting>
  <conditionalFormatting sqref="EP8">
    <cfRule type="expression" dxfId="55" priority="5622">
      <formula>CT6&gt;0.01</formula>
    </cfRule>
    <cfRule type="expression" dxfId="54" priority="5603">
      <formula>CT6&gt;0.01</formula>
    </cfRule>
  </conditionalFormatting>
  <conditionalFormatting sqref="EP9:EP308">
    <cfRule type="expression" dxfId="53" priority="335">
      <formula>CT9&gt;0.01</formula>
    </cfRule>
    <cfRule type="expression" dxfId="52" priority="330">
      <formula>CT9&lt;0.01</formula>
    </cfRule>
  </conditionalFormatting>
  <conditionalFormatting sqref="EU9:EU308">
    <cfRule type="containsErrors" dxfId="51" priority="5610">
      <formula>ISERROR(EU9)</formula>
    </cfRule>
  </conditionalFormatting>
  <conditionalFormatting sqref="EY9:FA408 FB9:FB420 EZ10:EZ709">
    <cfRule type="containsErrors" dxfId="50" priority="5966" stopIfTrue="1">
      <formula>ISERROR(EY9)</formula>
    </cfRule>
  </conditionalFormatting>
  <dataValidations xWindow="736" yWindow="543" count="25">
    <dataValidation allowBlank="1" showErrorMessage="1" sqref="AD9:AD308 AL8:AN308 AO9:AY308 BD9:BJ308 CK8:CQ8 M8:P8 AH8:AK8 BS9:BS308 A341:G364 CW8 CX8:DB308 EV8:EZ8 CI8:CJ308 BA8:CH8 CS8:CU8 AE8:AG308 Z8:AD8 BL9:BQ308 W8:X8 CK9:CT308 BA9:BB308 B8:K8 T8 AO8:AV8 Q8:S308 BU9:CH308 BH5 CV8:CV308" xr:uid="{00000000-0002-0000-0300-000000000000}"/>
    <dataValidation allowBlank="1" showInputMessage="1" showErrorMessage="1" promptTitle="Rate Information:" prompt="This is the kWh rate" sqref="DF313" xr:uid="{00000000-0002-0000-0300-000001000000}"/>
    <dataValidation allowBlank="1" showInputMessage="1" showErrorMessage="1" promptTitle="Bill Savings:" prompt="This is the Idaho Power Bill Savings Formula_x000a_" sqref="DE313" xr:uid="{00000000-0002-0000-0300-000002000000}"/>
    <dataValidation allowBlank="1" showErrorMessage="1" promptTitle="NOTE:" prompt="FIXTURE TOTAL COLUMN CHECKS TO NOT INCLUDE &quot;ADDITIONAL COSTS OR DECOMMISSIONED FIXTURES&quot; IN FINAL TOTAL." sqref="EK8" xr:uid="{00000000-0002-0000-0300-000003000000}"/>
    <dataValidation allowBlank="1" showErrorMessage="1" promptTitle="NOTE:" prompt="THIS CHECKS FOR THE WORD HP TO CHECK IF HP #'S ARE FILLED OUT._x000a_" sqref="EL8" xr:uid="{00000000-0002-0000-0300-000004000000}"/>
    <dataValidation allowBlank="1" showErrorMessage="1" promptTitle="NOTE:" prompt="NOTE: If T8 to RWT8 or T5HO to RWT5HO then savings test will always be 26 kWh and cell will be red." sqref="CU9:CU308" xr:uid="{00000000-0002-0000-0300-000005000000}"/>
    <dataValidation allowBlank="1" showInputMessage="1" showErrorMessage="1" promptTitle="Required Field:" prompt="Input area or location of fixtures." sqref="B107:E308 B21 B105:E105 B103:E103 B101:E101 B99:E99 B97:E97 B95:E95 B93:E93 B91:E91 B89:E89 B87:E87 B85:E85 B83:E83 B81:E81 B79:E79 B77:E77 B75:E75 B73:E73 B71:E71 B69:E69 B67:E67 B65:E65 B63:E63 B61:E61 B59:E59 B57:E57 B55:E55 B53:E53 B51:E51 B49:E49 B47:E47 B45:E45 B43:E43 B41:E41 B39:E39 B37:E37 B35:E35 B33:E33 B9:B11 B13 B15 B17 B19 B26:E31 B23 B25" xr:uid="{00000000-0002-0000-0300-000006000000}"/>
    <dataValidation type="list" allowBlank="1" showInputMessage="1" showErrorMessage="1" sqref="EM9:EP308" xr:uid="{00000000-0002-0000-0300-000007000000}">
      <formula1>Yesnolist</formula1>
    </dataValidation>
    <dataValidation allowBlank="1" showInputMessage="1" showErrorMessage="1" promptTitle="Cost:" prompt="Unit cost not required for standard incentives" sqref="AJ9:AK308" xr:uid="{00000000-0002-0000-0300-000008000000}"/>
    <dataValidation errorStyle="warning" allowBlank="1" showErrorMessage="1" errorTitle="Note:" error="8760 hours per year (maximum)" promptTitle="NOTE:" prompt="If cell color is yellow, please enter Hours of Operation Schedule on Data Entry Tab." sqref="AH9:AH308" xr:uid="{00000000-0002-0000-0300-000009000000}"/>
    <dataValidation allowBlank="1" showInputMessage="1" showErrorMessage="1" errorTitle="Error:" error="Enter whole number only (example: 3, not 3.5)" promptTitle=" Note:" prompt="Enter input watts manually ONLY if automated watts do not match what is existing. Enter 0 to return to automatic calculation." sqref="P9:P308" xr:uid="{00000000-0002-0000-0300-00000A000000}"/>
    <dataValidation type="list" allowBlank="1" showErrorMessage="1" sqref="K9:K308" xr:uid="{00000000-0002-0000-0300-00000B000000}">
      <formula1>locationlist</formula1>
    </dataValidation>
    <dataValidation allowBlank="1" showInputMessage="1" showErrorMessage="1" promptTitle="Note:" prompt="This tests to make sure the LED section is filled out complete." sqref="D330:D336" xr:uid="{00000000-0002-0000-0300-00000D000000}"/>
    <dataValidation allowBlank="1" showErrorMessage="1" promptTitle="Note:" prompt="This tests to make sure the LED section is filled out complete." sqref="D327:D329 C327:C338" xr:uid="{00000000-0002-0000-0300-00000E000000}"/>
    <dataValidation type="textLength" operator="lessThan" allowBlank="1" showErrorMessage="1" errorTitle="Note:" error="Please reduce the number of characters in description to less than 100." sqref="X9:X308" xr:uid="{00000000-0002-0000-0300-00000F000000}">
      <formula1>101</formula1>
    </dataValidation>
    <dataValidation allowBlank="1" showErrorMessage="1" promptTitle="Note:" prompt="This tests to make sure the HP section is filled out complete." sqref="B327:B338 A328:A338" xr:uid="{00000000-0002-0000-0300-000010000000}"/>
    <dataValidation type="textLength" operator="lessThan" allowBlank="1" showInputMessage="1" showErrorMessage="1" sqref="J9:J308" xr:uid="{00000000-0002-0000-0300-000011000000}">
      <formula1>101</formula1>
    </dataValidation>
    <dataValidation type="list" allowBlank="1" showInputMessage="1" showErrorMessage="1" sqref="Z9:Z308" xr:uid="{00000000-0002-0000-0300-000012000000}">
      <formula1>NEWFIXTTYPE</formula1>
    </dataValidation>
    <dataValidation type="whole" allowBlank="1" showErrorMessage="1" sqref="N9:N308 AA9:AA308" xr:uid="{00000000-0002-0000-0300-000013000000}">
      <formula1>1</formula1>
      <formula2>1000000</formula2>
    </dataValidation>
    <dataValidation allowBlank="1" showInputMessage="1" showErrorMessage="1" promptTitle="Note:" prompt="Please enter input watts on Product Type Tab" sqref="AC9:AC308" xr:uid="{00000000-0002-0000-0300-000016000000}"/>
    <dataValidation type="list" showErrorMessage="1" errorTitle="Select from dropdown menu" sqref="F9:I308" xr:uid="{C2051926-C552-4C31-B3B3-BF87A785013A}">
      <formula1>$DK$9:$DK$178</formula1>
    </dataValidation>
    <dataValidation type="list" allowBlank="1" showInputMessage="1" showErrorMessage="1" sqref="T9:V308" xr:uid="{FA7B3921-A218-42D8-9AA0-5B7415216B20}">
      <formula1>Proposedlist</formula1>
    </dataValidation>
    <dataValidation type="list" allowBlank="1" showInputMessage="1" showErrorMessage="1" sqref="EK9:EK308" xr:uid="{2B78F673-2AA1-4FFB-8E81-304207D21351}">
      <formula1>fixttypelist</formula1>
    </dataValidation>
    <dataValidation type="list" showErrorMessage="1" errorTitle="Invalid Entry" promptTitle="Note:" prompt="Select Hours of Operation Schedule or click Dusk to Dawn button on Data Entry Tab" sqref="M9:M308" xr:uid="{00000000-0002-0000-0300-000017000000}">
      <formula1>IF(K9="Exterior",extlist,existcontrol)</formula1>
    </dataValidation>
    <dataValidation type="whole" operator="lessThanOrEqual" allowBlank="1" showInputMessage="1" showErrorMessage="1" errorTitle="Error:" error="Quantity of fixtures controlled exceeds proposed qty.  Please revise." sqref="EE9:EE308" xr:uid="{48FCFE40-9958-4B8C-8E0C-0E950053878C}">
      <formula1>AA9</formula1>
    </dataValidation>
  </dataValidations>
  <hyperlinks>
    <hyperlink ref="J313" r:id="rId1" xr:uid="{00000000-0004-0000-0300-000000000000}"/>
    <hyperlink ref="J314" r:id="rId2" xr:uid="{00000000-0004-0000-0300-000001000000}"/>
    <hyperlink ref="J315" r:id="rId3" xr:uid="{00000000-0004-0000-0300-000002000000}"/>
    <hyperlink ref="J316" r:id="rId4" xr:uid="{00000000-0004-0000-0300-000003000000}"/>
    <hyperlink ref="J317" r:id="rId5" xr:uid="{0F0706F4-FA1D-4BCE-962A-02DBEB5FED57}"/>
    <hyperlink ref="EM6:EQ6" location="' LEDs &amp; Controls'!A1" display="' LEDs &amp; Controls'!A1" xr:uid="{13DE3EAA-7BA0-4EF3-B9AE-1DF4A2128684}"/>
  </hyperlinks>
  <printOptions horizontalCentered="1"/>
  <pageMargins left="0.1" right="0.1" top="0.5" bottom="0.4" header="0.3" footer="0.3"/>
  <pageSetup scale="36" fitToHeight="0" orientation="landscape" r:id="rId6"/>
  <colBreaks count="1" manualBreakCount="1">
    <brk id="108" max="426" man="1"/>
  </colBreaks>
  <ignoredErrors>
    <ignoredError sqref="DA25" 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beginsWith" priority="19" operator="beginsWith" id="{C66864EC-B989-49B1-816C-90B49F9987F3}">
            <xm:f>LEFT(F9,LEN("-"))="-"</xm:f>
            <xm:f>"-"</xm:f>
            <x14:dxf>
              <fill>
                <patternFill>
                  <bgColor rgb="FFFF0000"/>
                </patternFill>
              </fill>
            </x14:dxf>
          </x14:cfRule>
          <xm:sqref>F9:I308</xm:sqref>
        </x14:conditionalFormatting>
        <x14:conditionalFormatting xmlns:xm="http://schemas.microsoft.com/office/excel/2006/main">
          <x14:cfRule type="beginsWith" priority="6" operator="beginsWith" id="{06D01595-55AC-4D59-A8AB-DC8F651AE81A}">
            <xm:f>LEFT(T9,LEN("-"))="-"</xm:f>
            <xm:f>"-"</xm:f>
            <x14:dxf>
              <fill>
                <patternFill>
                  <bgColor rgb="FFFF0000"/>
                </patternFill>
              </fill>
            </x14:dxf>
          </x14:cfRule>
          <xm:sqref>T9:V308</xm:sqref>
        </x14:conditionalFormatting>
      </x14:conditionalFormattings>
    </ext>
    <ext xmlns:x14="http://schemas.microsoft.com/office/spreadsheetml/2009/9/main" uri="{CCE6A557-97BC-4b89-ADB6-D9C93CAAB3DF}">
      <x14:dataValidations xmlns:xm="http://schemas.microsoft.com/office/excel/2006/main" xWindow="736" yWindow="543" count="1">
        <x14:dataValidation type="list" allowBlank="1" showInputMessage="1" showErrorMessage="1" xr:uid="{728568BB-A415-4663-AE22-2C1EA9C6843B}">
          <x14:formula1>
            <xm:f>IF('Data Entry'!$C$74=1,standcontrols,ORcontrol)</xm:f>
          </x14:formula1>
          <xm:sqref>W9:W308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A1:BK713"/>
  <sheetViews>
    <sheetView workbookViewId="0"/>
  </sheetViews>
  <sheetFormatPr defaultRowHeight="15"/>
  <cols>
    <col min="1" max="1" width="4.28515625" customWidth="1"/>
    <col min="2" max="2" width="7.42578125" customWidth="1"/>
    <col min="3" max="3" width="8.5703125" customWidth="1"/>
    <col min="4" max="4" width="8.28515625" customWidth="1"/>
    <col min="5" max="5" width="8.7109375" customWidth="1"/>
    <col min="6" max="6" width="43.7109375" customWidth="1"/>
    <col min="7" max="8" width="8.7109375" customWidth="1"/>
    <col min="9" max="9" width="10" customWidth="1"/>
    <col min="10" max="10" width="10.28515625" customWidth="1"/>
    <col min="11" max="11" width="10.28515625" style="35" customWidth="1"/>
    <col min="12" max="12" width="9" customWidth="1"/>
    <col min="13" max="13" width="11.42578125" customWidth="1"/>
    <col min="14" max="14" width="11.7109375" customWidth="1"/>
    <col min="15" max="15" width="7" style="35" customWidth="1"/>
    <col min="16" max="16" width="4.7109375" customWidth="1"/>
    <col min="17" max="17" width="31" customWidth="1"/>
    <col min="18" max="18" width="27.7109375" customWidth="1"/>
    <col min="19" max="19" width="9.7109375" customWidth="1"/>
    <col min="20" max="20" width="11" customWidth="1"/>
    <col min="21" max="21" width="11.5703125" style="35" customWidth="1"/>
    <col min="22" max="22" width="8.7109375" customWidth="1"/>
    <col min="23" max="23" width="3.5703125" customWidth="1"/>
    <col min="24" max="24" width="6" customWidth="1"/>
    <col min="25" max="26" width="6.7109375" customWidth="1"/>
    <col min="27" max="27" width="9.7109375" customWidth="1"/>
    <col min="28" max="28" width="9.28515625" customWidth="1"/>
    <col min="29" max="29" width="6.7109375" customWidth="1"/>
    <col min="30" max="30" width="8" customWidth="1"/>
    <col min="31" max="31" width="9.42578125" customWidth="1"/>
    <col min="32" max="32" width="10" customWidth="1"/>
    <col min="33" max="33" width="6.7109375" customWidth="1"/>
    <col min="34" max="34" width="4.7109375" customWidth="1"/>
    <col min="35" max="36" width="5.28515625" customWidth="1"/>
    <col min="37" max="38" width="4.7109375" customWidth="1"/>
    <col min="39" max="39" width="11.28515625" customWidth="1"/>
    <col min="40" max="40" width="11" customWidth="1"/>
    <col min="41" max="42" width="10.42578125" customWidth="1"/>
    <col min="43" max="43" width="19" customWidth="1"/>
    <col min="44" max="44" width="36.28515625" customWidth="1"/>
    <col min="45" max="45" width="10.5703125" customWidth="1"/>
    <col min="46" max="46" width="13.7109375" customWidth="1"/>
    <col min="47" max="47" width="9.28515625" customWidth="1"/>
    <col min="48" max="48" width="9.28515625" style="638" customWidth="1"/>
    <col min="49" max="49" width="50.7109375" customWidth="1"/>
    <col min="50" max="50" width="9.28515625" customWidth="1"/>
    <col min="51" max="51" width="45.28515625" customWidth="1"/>
    <col min="52" max="52" width="9.28515625" customWidth="1"/>
    <col min="53" max="53" width="45.7109375" customWidth="1"/>
    <col min="54" max="54" width="9.28515625" customWidth="1"/>
    <col min="55" max="60" width="16.7109375" customWidth="1"/>
    <col min="61" max="61" width="9.28515625" hidden="1" customWidth="1"/>
    <col min="62" max="62" width="18.28515625" customWidth="1"/>
    <col min="63" max="63" width="8.7109375" hidden="1" customWidth="1"/>
  </cols>
  <sheetData>
    <row r="1" spans="1:63" ht="24.75" customHeight="1">
      <c r="A1" s="1218" t="s">
        <v>324</v>
      </c>
      <c r="B1" s="55"/>
      <c r="C1" s="55"/>
      <c r="D1" s="55"/>
      <c r="E1" s="55"/>
      <c r="F1" s="55"/>
      <c r="G1" s="55"/>
      <c r="H1" s="55"/>
      <c r="I1" s="55"/>
      <c r="J1" s="1827" t="s">
        <v>497</v>
      </c>
      <c r="K1" s="1827"/>
      <c r="L1" s="55"/>
      <c r="M1" s="55"/>
      <c r="N1" s="55"/>
      <c r="O1" s="1827">
        <f>'Data Entry'!F1</f>
        <v>45174</v>
      </c>
      <c r="P1" s="1827"/>
      <c r="Q1" s="1219"/>
      <c r="R1" s="1220" t="s">
        <v>0</v>
      </c>
      <c r="S1" s="55"/>
      <c r="T1" s="55"/>
      <c r="U1" s="1221"/>
      <c r="V1" s="55"/>
      <c r="W1" s="55"/>
      <c r="X1" s="55"/>
      <c r="Y1" s="55"/>
      <c r="Z1" s="55"/>
      <c r="AA1" s="55"/>
      <c r="AB1" s="55"/>
      <c r="AC1" s="55"/>
      <c r="AD1" s="55"/>
      <c r="AE1" s="55"/>
      <c r="AF1" s="55"/>
      <c r="AG1" s="55"/>
      <c r="AH1" s="55"/>
      <c r="AI1" s="55"/>
      <c r="AJ1" s="55"/>
      <c r="AK1" s="55"/>
      <c r="AL1" s="55"/>
      <c r="AM1" s="55"/>
      <c r="AN1" s="55"/>
      <c r="AO1" s="55"/>
      <c r="AP1" s="55"/>
      <c r="AQ1" s="55"/>
      <c r="AR1" s="55"/>
      <c r="AS1" s="451"/>
      <c r="AT1" s="451"/>
      <c r="AU1" s="451"/>
      <c r="AV1" s="1222"/>
      <c r="AW1" s="451"/>
      <c r="AX1" s="451"/>
      <c r="AY1" s="451"/>
      <c r="AZ1" s="451"/>
      <c r="BA1" s="451"/>
      <c r="BB1" s="451"/>
      <c r="BC1" s="451"/>
      <c r="BD1" s="451"/>
      <c r="BE1" s="451"/>
      <c r="BF1" s="451"/>
      <c r="BG1" s="451"/>
      <c r="BH1" s="451"/>
    </row>
    <row r="2" spans="1:63" ht="18.75" customHeight="1">
      <c r="A2" s="55"/>
      <c r="B2" s="55"/>
      <c r="C2" s="55"/>
      <c r="D2" s="55"/>
      <c r="E2" s="55"/>
      <c r="F2" s="55"/>
      <c r="G2" s="55"/>
      <c r="H2" s="55"/>
      <c r="I2" s="55"/>
      <c r="J2" s="55"/>
      <c r="K2" s="1221"/>
      <c r="L2" s="1223"/>
      <c r="M2" s="55"/>
      <c r="N2" s="1223" t="s">
        <v>0</v>
      </c>
      <c r="O2" s="1224"/>
      <c r="P2" s="1225" t="s">
        <v>0</v>
      </c>
      <c r="Q2" s="451"/>
      <c r="R2" s="1226" t="s">
        <v>0</v>
      </c>
      <c r="S2" s="1227"/>
      <c r="T2" s="55"/>
      <c r="U2" s="1221"/>
      <c r="V2" s="55"/>
      <c r="W2" s="55"/>
      <c r="X2" s="55"/>
      <c r="Y2" s="55"/>
      <c r="Z2" s="55"/>
      <c r="AA2" s="55"/>
      <c r="AB2" s="55"/>
      <c r="AC2" s="55"/>
      <c r="AD2" s="55"/>
      <c r="AE2" s="55"/>
      <c r="AF2" s="55"/>
      <c r="AG2" s="55"/>
      <c r="AH2" s="55"/>
      <c r="AI2" s="55"/>
      <c r="AJ2" s="55"/>
      <c r="AK2" s="55"/>
      <c r="AL2" s="55"/>
      <c r="AM2" s="55"/>
      <c r="AN2" s="55"/>
      <c r="AO2" s="55"/>
      <c r="AP2" s="55"/>
      <c r="AQ2" s="55"/>
      <c r="AR2" s="55"/>
      <c r="AS2" s="451"/>
      <c r="AT2" s="451"/>
      <c r="AU2" s="451"/>
      <c r="AV2" s="1222"/>
      <c r="AW2" s="451"/>
      <c r="AX2" s="451"/>
      <c r="AY2" s="451"/>
      <c r="AZ2" s="451"/>
      <c r="BA2" s="451"/>
      <c r="BB2" s="451"/>
      <c r="BC2" s="451"/>
      <c r="BD2" s="451"/>
      <c r="BE2" s="451"/>
      <c r="BF2" s="451"/>
      <c r="BG2" s="451"/>
      <c r="BH2" s="451"/>
    </row>
    <row r="3" spans="1:63" ht="18">
      <c r="A3" s="55"/>
      <c r="B3" s="55"/>
      <c r="C3" s="55"/>
      <c r="D3" s="1228" t="s">
        <v>241</v>
      </c>
      <c r="E3" s="451"/>
      <c r="F3" s="451"/>
      <c r="G3" s="1838">
        <f>'Data Entry'!F68</f>
        <v>0</v>
      </c>
      <c r="H3" s="1838"/>
      <c r="I3" s="1838"/>
      <c r="J3" s="1838"/>
      <c r="K3" s="1838"/>
      <c r="L3" s="55"/>
      <c r="M3" s="55"/>
      <c r="N3" s="55"/>
      <c r="O3" s="1224"/>
      <c r="P3" s="451"/>
      <c r="Q3" s="451"/>
      <c r="R3" s="451"/>
      <c r="S3" s="451"/>
      <c r="T3" s="1229"/>
      <c r="U3" s="1221"/>
      <c r="V3" s="55"/>
      <c r="W3" s="55"/>
      <c r="X3" s="55"/>
      <c r="Y3" s="55"/>
      <c r="Z3" s="55"/>
      <c r="AA3" s="55"/>
      <c r="AB3" s="55" t="s">
        <v>0</v>
      </c>
      <c r="AC3" s="55"/>
      <c r="AD3" s="55"/>
      <c r="AE3" s="55" t="s">
        <v>0</v>
      </c>
      <c r="AF3" s="451"/>
      <c r="AG3" s="55"/>
      <c r="AH3" s="55"/>
      <c r="AI3" s="55"/>
      <c r="AJ3" s="55"/>
      <c r="AK3" s="55"/>
      <c r="AL3" s="55"/>
      <c r="AM3" s="55"/>
      <c r="AN3" s="55"/>
      <c r="AO3" s="55"/>
      <c r="AP3" s="55"/>
      <c r="AQ3" s="55"/>
      <c r="AR3" s="55"/>
      <c r="AS3" s="451"/>
      <c r="AT3" s="451"/>
      <c r="AU3" s="451"/>
      <c r="AV3" s="1222"/>
      <c r="AW3" s="451"/>
      <c r="AX3" s="451"/>
      <c r="AY3" s="451"/>
      <c r="AZ3" s="451"/>
      <c r="BA3" s="451"/>
      <c r="BB3" s="451"/>
      <c r="BC3" s="451"/>
      <c r="BD3" s="451"/>
      <c r="BE3" s="451"/>
      <c r="BF3" s="451"/>
      <c r="BG3" s="451"/>
      <c r="BH3" s="451"/>
    </row>
    <row r="4" spans="1:63" ht="18">
      <c r="A4" s="1230" t="s">
        <v>0</v>
      </c>
      <c r="B4" s="1230"/>
      <c r="C4" s="55"/>
      <c r="D4" s="1228" t="s">
        <v>428</v>
      </c>
      <c r="E4" s="451"/>
      <c r="F4" s="451"/>
      <c r="G4" s="1838">
        <f>'Data Entry'!B19</f>
        <v>0</v>
      </c>
      <c r="H4" s="1838"/>
      <c r="I4" s="1838"/>
      <c r="J4" s="1838"/>
      <c r="K4" s="1838"/>
      <c r="L4" s="1230"/>
      <c r="M4" s="1231"/>
      <c r="N4" s="1230" t="s">
        <v>0</v>
      </c>
      <c r="O4" s="1232">
        <f>IF('Proposed Lighting'!U5=1,"Submit Complete Lighting Upgrade for pre-approval",0)</f>
        <v>0</v>
      </c>
      <c r="P4" s="1230"/>
      <c r="Q4" s="1230"/>
      <c r="R4" s="1230"/>
      <c r="S4" s="1230"/>
      <c r="T4" s="1230"/>
      <c r="U4" s="917"/>
      <c r="V4" s="1230"/>
      <c r="W4" s="1230"/>
      <c r="X4" s="1230"/>
      <c r="Y4" s="1230"/>
      <c r="Z4" s="55"/>
      <c r="AA4" s="55"/>
      <c r="AB4" s="55"/>
      <c r="AC4" s="55"/>
      <c r="AD4" s="55"/>
      <c r="AE4" s="55"/>
      <c r="AF4" s="55"/>
      <c r="AG4" s="55" t="s">
        <v>0</v>
      </c>
      <c r="AH4" s="55"/>
      <c r="AI4" s="55"/>
      <c r="AJ4" s="55"/>
      <c r="AK4" s="55" t="s">
        <v>0</v>
      </c>
      <c r="AL4" s="55"/>
      <c r="AM4" s="55"/>
      <c r="AN4" s="55"/>
      <c r="AO4" s="55"/>
      <c r="AP4" s="55"/>
      <c r="AQ4" s="55"/>
      <c r="AR4" s="55"/>
      <c r="AS4" s="451"/>
      <c r="AT4" s="451"/>
      <c r="AU4" s="451"/>
      <c r="AV4" s="1222"/>
      <c r="AW4" s="451"/>
      <c r="AX4" s="451"/>
      <c r="AY4" s="451"/>
      <c r="AZ4" s="451"/>
      <c r="BA4" s="451"/>
      <c r="BB4" s="451"/>
      <c r="BC4" s="451"/>
      <c r="BD4" s="451"/>
      <c r="BE4" s="451"/>
      <c r="BF4" s="451"/>
      <c r="BG4" s="451"/>
      <c r="BH4" s="451"/>
    </row>
    <row r="5" spans="1:63" ht="18">
      <c r="A5" s="1230" t="s">
        <v>0</v>
      </c>
      <c r="B5" s="1230"/>
      <c r="C5" s="55"/>
      <c r="D5" s="1228" t="s">
        <v>283</v>
      </c>
      <c r="E5" s="451"/>
      <c r="F5" s="451"/>
      <c r="G5" s="1838">
        <f>'Data Entry'!B33</f>
        <v>0</v>
      </c>
      <c r="H5" s="1838"/>
      <c r="I5" s="1838"/>
      <c r="J5" s="1838"/>
      <c r="K5" s="1838"/>
      <c r="L5" s="1230"/>
      <c r="M5" s="1231"/>
      <c r="N5" s="1230" t="s">
        <v>0</v>
      </c>
      <c r="O5" s="1213">
        <f>IF(V409&gt;0.1,"Non-standard exterior requires minimum of 6/hrs per day of dimming at 50%",0)</f>
        <v>0</v>
      </c>
      <c r="P5" s="1233"/>
      <c r="Q5" s="1233"/>
      <c r="R5" s="1233"/>
      <c r="S5" s="1233"/>
      <c r="T5" s="1233"/>
      <c r="U5" s="917"/>
      <c r="V5" s="1230"/>
      <c r="W5" s="1230"/>
      <c r="X5" s="1230"/>
      <c r="Y5" s="1230"/>
      <c r="Z5" s="55"/>
      <c r="AA5" s="55"/>
      <c r="AB5" s="55"/>
      <c r="AC5" s="55"/>
      <c r="AD5" s="55"/>
      <c r="AE5" s="55"/>
      <c r="AF5" s="55" t="s">
        <v>0</v>
      </c>
      <c r="AG5" s="55"/>
      <c r="AH5" s="55"/>
      <c r="AI5" s="55"/>
      <c r="AJ5" s="55"/>
      <c r="AK5" s="55"/>
      <c r="AL5" s="55"/>
      <c r="AM5" s="55"/>
      <c r="AN5" s="55" t="s">
        <v>0</v>
      </c>
      <c r="AO5" s="55"/>
      <c r="AP5" s="55"/>
      <c r="AQ5" s="55"/>
      <c r="AR5" s="55"/>
      <c r="AS5" s="451"/>
      <c r="AT5" s="451"/>
      <c r="AU5" s="451"/>
      <c r="AV5" s="1222"/>
      <c r="AW5" s="451"/>
      <c r="AX5" s="451"/>
      <c r="AY5" s="451"/>
      <c r="AZ5" s="451"/>
      <c r="BA5" s="451"/>
      <c r="BB5" s="451"/>
      <c r="BC5" s="451"/>
      <c r="BD5" s="451"/>
      <c r="BE5" s="451"/>
      <c r="BF5" s="451"/>
      <c r="BG5" s="451"/>
      <c r="BH5" s="451"/>
      <c r="BI5" t="s">
        <v>0</v>
      </c>
    </row>
    <row r="6" spans="1:63" ht="14.25" customHeight="1">
      <c r="A6" s="1230"/>
      <c r="B6" s="1230"/>
      <c r="C6" s="1230"/>
      <c r="D6" s="1230"/>
      <c r="E6" s="1230"/>
      <c r="F6" s="1230"/>
      <c r="G6" s="1839"/>
      <c r="H6" s="1839"/>
      <c r="I6" s="1839"/>
      <c r="J6" s="1839"/>
      <c r="K6" s="1839"/>
      <c r="L6" s="1839"/>
      <c r="M6" s="1231"/>
      <c r="N6" s="1230"/>
      <c r="O6" s="1224"/>
      <c r="P6" s="1234">
        <f>'Proposed Lighting'!B6</f>
        <v>0</v>
      </c>
      <c r="Q6" s="1234"/>
      <c r="R6" s="1234"/>
      <c r="S6" s="1234"/>
      <c r="T6" s="1234"/>
      <c r="U6" s="1235"/>
      <c r="V6" s="1234"/>
      <c r="W6" s="1230"/>
      <c r="X6" s="1236"/>
      <c r="Y6" s="1230"/>
      <c r="Z6" s="55"/>
      <c r="AA6" s="55"/>
      <c r="AB6" s="55"/>
      <c r="AC6" s="55"/>
      <c r="AD6" s="55"/>
      <c r="AE6" s="55"/>
      <c r="AF6" s="55"/>
      <c r="AG6" s="55"/>
      <c r="AH6" s="55"/>
      <c r="AI6" s="55"/>
      <c r="AJ6" s="55"/>
      <c r="AK6" s="55"/>
      <c r="AL6" s="55"/>
      <c r="AM6" s="55"/>
      <c r="AN6" s="55"/>
      <c r="AO6" s="55"/>
      <c r="AP6" s="55" t="s">
        <v>1570</v>
      </c>
      <c r="AQ6" s="55"/>
      <c r="AR6" s="55"/>
      <c r="AS6" s="451"/>
      <c r="AT6" s="451"/>
      <c r="AU6" s="451"/>
      <c r="AV6" s="1222"/>
      <c r="AW6" s="451"/>
      <c r="AX6" s="451"/>
      <c r="AY6" s="451"/>
      <c r="AZ6" s="451"/>
      <c r="BA6" s="451"/>
      <c r="BB6" s="451"/>
      <c r="BC6" s="451"/>
      <c r="BD6" s="451"/>
      <c r="BE6" s="451"/>
      <c r="BF6" s="451"/>
      <c r="BG6" s="451"/>
      <c r="BH6" s="451"/>
    </row>
    <row r="7" spans="1:63" ht="15.75" customHeight="1">
      <c r="A7" s="1840" t="s">
        <v>202</v>
      </c>
      <c r="B7" s="1840"/>
      <c r="C7" s="1840"/>
      <c r="D7" s="1840"/>
      <c r="E7" s="1840"/>
      <c r="F7" s="1840"/>
      <c r="G7" s="1840"/>
      <c r="H7" s="1840"/>
      <c r="I7" s="1840"/>
      <c r="J7" s="1840"/>
      <c r="K7" s="1840"/>
      <c r="L7" s="1840"/>
      <c r="M7" s="1840"/>
      <c r="N7" s="1840"/>
      <c r="O7" s="1840" t="s">
        <v>467</v>
      </c>
      <c r="P7" s="1840"/>
      <c r="Q7" s="1840"/>
      <c r="R7" s="1840"/>
      <c r="S7" s="1840"/>
      <c r="T7" s="1840"/>
      <c r="U7" s="1840" t="s">
        <v>15</v>
      </c>
      <c r="V7" s="1840"/>
      <c r="W7" s="1840"/>
      <c r="X7" s="1840"/>
      <c r="Y7" s="1840"/>
      <c r="Z7" s="1840"/>
      <c r="AA7" s="1840"/>
      <c r="AB7" s="1840"/>
      <c r="AC7" s="1840"/>
      <c r="AD7" s="1840"/>
      <c r="AE7" s="1840"/>
      <c r="AF7" s="1840"/>
      <c r="AG7" s="1840"/>
      <c r="AH7" s="1840"/>
      <c r="AI7" s="1840"/>
      <c r="AJ7" s="1840" t="s">
        <v>20</v>
      </c>
      <c r="AK7" s="1840"/>
      <c r="AL7" s="1840"/>
      <c r="AM7" s="1840"/>
      <c r="AN7" s="1840"/>
      <c r="AO7" s="1840"/>
      <c r="AP7" s="1840"/>
      <c r="AQ7" s="1840"/>
      <c r="AR7" s="55"/>
      <c r="AS7" s="451"/>
      <c r="AT7" s="451"/>
      <c r="AU7" s="451"/>
      <c r="AV7" s="1222"/>
      <c r="AW7" s="451"/>
      <c r="AX7" s="451"/>
      <c r="AY7" s="451"/>
      <c r="AZ7" s="451"/>
      <c r="BA7" s="451"/>
      <c r="BB7" s="451"/>
      <c r="BC7" s="1840" t="s">
        <v>1485</v>
      </c>
      <c r="BD7" s="1840"/>
      <c r="BE7" s="1840"/>
      <c r="BF7" s="1840"/>
      <c r="BG7" s="1840"/>
      <c r="BH7" s="1840"/>
    </row>
    <row r="8" spans="1:63" ht="58.5" customHeight="1">
      <c r="A8" s="1230" t="s">
        <v>0</v>
      </c>
      <c r="B8" s="1829" t="s">
        <v>44</v>
      </c>
      <c r="C8" s="1829"/>
      <c r="D8" s="1829"/>
      <c r="E8" s="1237" t="s">
        <v>333</v>
      </c>
      <c r="F8" s="1238"/>
      <c r="G8" s="1829" t="s">
        <v>45</v>
      </c>
      <c r="H8" s="1829"/>
      <c r="I8" s="1829"/>
      <c r="J8" s="1829"/>
      <c r="K8" s="1176" t="s">
        <v>21</v>
      </c>
      <c r="L8" s="1239"/>
      <c r="M8" s="1239" t="s">
        <v>1490</v>
      </c>
      <c r="N8" s="1239" t="s">
        <v>1490</v>
      </c>
      <c r="O8" s="1829" t="s">
        <v>11</v>
      </c>
      <c r="P8" s="1829"/>
      <c r="Q8" s="1176" t="s">
        <v>1481</v>
      </c>
      <c r="R8" s="1176" t="s">
        <v>1480</v>
      </c>
      <c r="S8" s="1176" t="s">
        <v>1617</v>
      </c>
      <c r="T8" s="1176" t="s">
        <v>12</v>
      </c>
      <c r="U8" s="1176" t="s">
        <v>14</v>
      </c>
      <c r="V8" s="1176" t="s">
        <v>1154</v>
      </c>
      <c r="W8" s="1841" t="s">
        <v>1371</v>
      </c>
      <c r="X8" s="1841"/>
      <c r="Y8" s="1841"/>
      <c r="Z8" s="1240" t="s">
        <v>197</v>
      </c>
      <c r="AA8" s="1237" t="s">
        <v>46</v>
      </c>
      <c r="AB8" s="1237" t="s">
        <v>47</v>
      </c>
      <c r="AC8" s="1237" t="s">
        <v>48</v>
      </c>
      <c r="AD8" s="1237" t="s">
        <v>1086</v>
      </c>
      <c r="AE8" s="1237" t="s">
        <v>301</v>
      </c>
      <c r="AF8" s="1237" t="s">
        <v>302</v>
      </c>
      <c r="AG8" s="1829" t="s">
        <v>1372</v>
      </c>
      <c r="AH8" s="1829"/>
      <c r="AI8" s="1829"/>
      <c r="AJ8" s="1829" t="s">
        <v>17</v>
      </c>
      <c r="AK8" s="1829"/>
      <c r="AL8" s="1829"/>
      <c r="AM8" s="1241" t="s">
        <v>285</v>
      </c>
      <c r="AN8" s="1242" t="s">
        <v>303</v>
      </c>
      <c r="AO8" s="1241" t="s">
        <v>1096</v>
      </c>
      <c r="AP8" s="1176" t="s">
        <v>18</v>
      </c>
      <c r="AQ8" s="1176" t="s">
        <v>19</v>
      </c>
      <c r="AR8" s="1230"/>
      <c r="AS8" s="1243" t="s">
        <v>1486</v>
      </c>
      <c r="AT8" s="1243" t="s">
        <v>1452</v>
      </c>
      <c r="AU8" s="1243" t="s">
        <v>1453</v>
      </c>
      <c r="AV8" s="1244"/>
      <c r="AW8" s="451" t="s">
        <v>424</v>
      </c>
      <c r="AX8" s="451"/>
      <c r="AY8" s="451" t="s">
        <v>1279</v>
      </c>
      <c r="AZ8" s="451"/>
      <c r="BA8" s="451" t="s">
        <v>1281</v>
      </c>
      <c r="BB8" s="451"/>
      <c r="BC8" s="1214" t="s">
        <v>1483</v>
      </c>
      <c r="BD8" s="1176" t="s">
        <v>1501</v>
      </c>
      <c r="BE8" s="1176" t="s">
        <v>1502</v>
      </c>
      <c r="BF8" s="1176" t="s">
        <v>1503</v>
      </c>
      <c r="BG8" s="1176" t="s">
        <v>1505</v>
      </c>
      <c r="BH8" s="1176" t="s">
        <v>1504</v>
      </c>
      <c r="BK8" s="1080" t="s">
        <v>1522</v>
      </c>
    </row>
    <row r="9" spans="1:63" ht="34.9" customHeight="1">
      <c r="A9" s="917">
        <v>1</v>
      </c>
      <c r="B9" s="1828" t="str">
        <f>IF('Proposed Lighting'!B9="","",'Proposed Lighting'!B9)</f>
        <v/>
      </c>
      <c r="C9" s="1828"/>
      <c r="D9" s="1828"/>
      <c r="E9" s="1245">
        <f>'Proposed Lighting'!AA9</f>
        <v>0</v>
      </c>
      <c r="F9" s="1245">
        <f>IF(ISNUMBER(SEARCH("photocell",Q9)),1,IF(ISNUMBER(SEARCH("EXTERIOR",Q9)),3,IF(ISNUMBER(SEARCH("INTERIOR",Q9)),2,0)))</f>
        <v>0</v>
      </c>
      <c r="G9" s="1830" t="str">
        <f>IF('Proposed Lighting'!T9="","",IF(ISNUMBER(SEARCH("Networked",'Proposed Lighting'!T9)),0,IF(ISNUMBER(SEARCH("Strategies",'Proposed Lighting'!T9)),0,IF(ISNUMBER(SEARCH("Removal",'Proposed Lighting'!T9)),0,'Proposed Lighting'!T9))))</f>
        <v/>
      </c>
      <c r="H9" s="1830"/>
      <c r="I9" s="1830"/>
      <c r="J9" s="1830"/>
      <c r="K9" s="1215"/>
      <c r="L9" s="1246">
        <f>AG9*0.7</f>
        <v>0</v>
      </c>
      <c r="M9" s="1224">
        <f>IF(ISNUMBER(SEARCH("LED",G9)),1,0)</f>
        <v>0</v>
      </c>
      <c r="N9" s="1224">
        <f>IF(ISNUMBER(SEARCH("LED",Q9)),1,0)</f>
        <v>0</v>
      </c>
      <c r="O9" s="1825" t="str">
        <f>IF(G9=0,0,IF(ISNA('Proposed Lighting'!AT9),0,'Proposed Lighting'!AT9))</f>
        <v/>
      </c>
      <c r="P9" s="1825"/>
      <c r="Q9" s="1247"/>
      <c r="R9" s="1247"/>
      <c r="S9" s="1247"/>
      <c r="T9" s="1211"/>
      <c r="U9" s="1235">
        <f>IF(K9&gt;0.01,'Proposed Lighting'!CU9,0)</f>
        <v>0</v>
      </c>
      <c r="V9" s="1248">
        <f>IF('Proposed Lighting'!CF9=1,0,IF('Proposed Lighting'!AU9=2,0,IF(AND('Proposed Lighting'!AU9=3,'Proposed Lighting'!CF9=0),1,0)))</f>
        <v>0</v>
      </c>
      <c r="W9" s="1836"/>
      <c r="X9" s="1836"/>
      <c r="Y9" s="1836"/>
      <c r="Z9" s="1230" t="str">
        <f>IF(Q9="","",VLOOKUP(Q9,$AW$9:$AX$15,2,FALSE))</f>
        <v/>
      </c>
      <c r="AA9" s="1230">
        <f>IF(T9=0,0,IF(Q9=0,0,IF(G9=0,0,SUM(K9*O9)/T9)))</f>
        <v>0</v>
      </c>
      <c r="AB9" s="1230">
        <f>IF(Q9=0,0,IF(T9=0,0,IF(AA9=0,0,IF(AND(F9=3,V9=0),0,IF(T9=0,0,IF(K9&gt;'Proposed Lighting'!AA9,0,IF('Proposed Lighting'!EJ9&gt;0.01,(K9*O9)*'Proposed Lighting'!EJ9/1000,(K9*O9)*U9/1000)))))))</f>
        <v>0</v>
      </c>
      <c r="AC9" s="1230"/>
      <c r="AD9" s="1230">
        <f>IF(K9=0,0,IF(T9=0,0,IF(V9=1,75,IF(V9=0,VLOOKUP(Q9,$BA$9:$BB$15,2,FALSE)))))</f>
        <v>0</v>
      </c>
      <c r="AE9" s="1230">
        <f>IF(T9=0,0,IF(K9&gt;'Proposed Lighting'!AA9,0,IF(T9&gt;K9,0,IF(AND(AD9&gt;AA9,AA9&gt;0),0,IF(AND(F9&gt;1,W9&lt;0.01),0,IF('Proposed Lighting'!AU9&gt;'Lighting Controls'!F9,0,IF('Proposed Lighting'!AU9&lt;'Lighting Controls'!F9,0,IF(U9=0,0,Summary!AC312))))))))</f>
        <v>0</v>
      </c>
      <c r="AF9" s="1230">
        <f>IF(T9=0,0,IF(AE9=0,0,IF(K9&gt;'Proposed Lighting'!AA9,0,IF(AND(AD9&gt;AA9,AA9&gt;0),0,IF(U9=0,0,Summary!AD312)))))</f>
        <v>0</v>
      </c>
      <c r="AG9" s="1834">
        <f>IF('Proposed Lighting'!AU9=1,0,IF('Proposed Lighting'!CF9=1,0,T9*W9))</f>
        <v>0</v>
      </c>
      <c r="AH9" s="1834"/>
      <c r="AI9" s="1834"/>
      <c r="AJ9" s="1835">
        <f>IF(T9&lt;1,0,IF(K9&gt;'Proposed Lighting'!AA9,0,IF('Proposed Lighting'!CF9=1,0,IF('Proposed Lighting'!AU9=1,0,IF(T9&gt;K9,0,IF(AND(AD9&gt;AA9,AA9&gt;0),0,IF(AND(F9=2,'Proposed Lighting'!AU9=3),0,IF(AND(F9=3,'Proposed Lighting'!AU9=2),0,IF('Proposed Lighting'!CH9=100,0,IF(AND(F9&lt;3,V9=1,AM9=0),0,IF(AND(F9&gt;1,AF9&lt;1,AN9&lt;1),0,IF(AND(F9&gt;1,AE9&lt;0.69,AF9&lt;1,AN9&lt;1),0,IF(ISERROR(AB9-AC9),"",AB9-AC9)))))))))))))</f>
        <v>0</v>
      </c>
      <c r="AK9" s="1835"/>
      <c r="AL9" s="1835"/>
      <c r="AM9" s="1216">
        <f>IF(Q9=0,0,IF(T9=0,0,IF(T9&gt;K9,0,IF(AND(AS9&gt;0.01,BK9=0),0,IF(AND('Proposed Lighting'!DG9=0,'Lighting Controls'!Z9=0.35),0,IF(AND(T9&lt;=K9,AA9&gt;=AD9,'Proposed Lighting'!AU9=2),VLOOKUP(Q9,$AY$9:$AZ$15,2,FALSE),IF(AND(T9&lt;=K9,AA9&gt;=AD9,'Proposed Lighting'!AU9=3),VLOOKUP(Q9,$AY$17:$AZ$23,2,FALSE))))))))</f>
        <v>0</v>
      </c>
      <c r="AN9" s="1248">
        <f>IF(T9=0,0,IF(K9&gt;'Proposed Lighting'!AA9,0,IF(AE9=0,0,IF(AND(AD9&gt;AA9,AA9&gt;0),0,IF(U9=0,0,Summary!AE312)))))</f>
        <v>0</v>
      </c>
      <c r="AO9" s="1248">
        <f>IF((AND(AE9&gt;0.69,AF9&gt;=1,AN9&gt;=1)),TRUE,0)</f>
        <v>0</v>
      </c>
      <c r="AP9" s="1249">
        <f>IF('Proposed Lighting'!AU9=1,0,IF(K9=0,0,IF(T9&gt;K9,0,IF(G9=0,0,IF(K9&gt;'Proposed Lighting'!AA9,0,IF(AND(AD9&gt;AA9,AA9&gt;0),0,IF(AND('Proposed Lighting'!AU9=3,AM9=0.5),0,IF(AND(AM9&gt;0,AS9&gt;0,BI9&lt;2),0,IF('Proposed Lighting'!CH9=100,0,IF(AV9=1,0,IF(AND(AM9=35,M9+N9&lt;2),0,AM9)))))))))))</f>
        <v>0</v>
      </c>
      <c r="AQ9" s="1249" t="str">
        <f>IFERROR(ROUND(IF(Q9="","",IF('Proposed Lighting'!$X$4=0,0,IF(AND(AM9=35,M9+N9&lt;2),0,IF(T9&gt;K9,0,IF('Proposed Lighting'!AU9=1,0,IF(AJ9=0,0,IF(AND('Proposed Lighting'!AU9=3,AM9=0.5),0,IF(AND(AD9=75,AP9=0,AV9=0),0,IF(AP9&gt;0.01,AP9*T9,IF(AND(F9&gt;1,W9&lt;0.01),0,IF(AND(F9&gt;1,AO9=0),0,IF(AND('Proposed Lighting'!BC9=22,AV9=0),0,IF(AND(AM9&gt;0,AS9&gt;0,BI9&lt;2),0,IF(AND(AS9&gt;0.01,BK9=0),0,IF(AND(AO9=TRUE,AV9=1,F9=3),MIN(AJ9*0.08,L9),IF(AP9&gt;0.01,AP9*T9,IF(AND(AO9=TRUE,AV9=1,F9=2),MIN(AJ9*0.1,L9)))))))))))))))))),2),"")</f>
        <v/>
      </c>
      <c r="AR9" s="1250">
        <f>IF(Q9=0,0,IF('Proposed Lighting'!$X$4=0,0,IF(AND(AM9&gt;0.01,AQ9&gt;0.01),0,IF('Proposed Lighting'!AU9=1,"Missing Interior or Exterior Selection",IF('Proposed Lighting'!CF9=1,"Selection does not match",IF(K9&gt;'Proposed Lighting'!AA9,"Quantity controlled does not match proposed lighting quantity",IF(T9&gt;K9,"Quantity of sensors exceeds proposed lighting quantity",IF(AND(F9&gt;1,'Proposed Lighting'!AU9&lt;&gt;F9),"Selection does not match",IF(AND(AD9&gt;AA9,AA9&gt;0),"Does not meet minimum connected load",IF(AND(O9&gt;0,AS9&gt;0,BK9&gt;0,'Proposed Lighting'!CH9=0),"Select Control Strategies",IF(AND(AC9&gt;0.1,AJ9=0,AQ9=0),"Does not meet incentive criteria",0)))))))))))</f>
        <v>0</v>
      </c>
      <c r="AS9" s="1224">
        <f>IF('Proposed Lighting'!CH9=100,0,IF(ISNUMBER(SEARCH("multiple",Q9)),1,0))</f>
        <v>0</v>
      </c>
      <c r="AT9" s="451">
        <f>IF(AQ9&gt;0.01,T9,0)</f>
        <v>0</v>
      </c>
      <c r="AU9" s="451">
        <f>IF(AP9&gt;0.01,T9,0)</f>
        <v>0</v>
      </c>
      <c r="AV9" s="1222">
        <f>IF(ISNUMBER(SEARCH("Networked",'Proposed Lighting'!T9)),0,IF(ISNUMBER(SEARCH("Strategies",'Proposed Lighting'!T9)),0,IF(ISNUMBER(SEARCH("Removal",'Proposed Lighting'!T9)),0,IF(ISNUMBER(SEARCH("non-standard",Q9)),1,0))))</f>
        <v>0</v>
      </c>
      <c r="AW9" s="451" t="s">
        <v>192</v>
      </c>
      <c r="AX9" s="451">
        <v>0.25</v>
      </c>
      <c r="AY9" s="451" t="s">
        <v>192</v>
      </c>
      <c r="AZ9" s="451">
        <v>15</v>
      </c>
      <c r="BA9" s="451" t="s">
        <v>192</v>
      </c>
      <c r="BB9" s="451">
        <v>25</v>
      </c>
      <c r="BC9" s="1215"/>
      <c r="BD9" s="1215"/>
      <c r="BE9" s="1215"/>
      <c r="BF9" s="1215"/>
      <c r="BG9" s="1215"/>
      <c r="BH9" s="1215"/>
      <c r="BI9">
        <f>IF(AND(AS9=1,BC9="No",BD9="Yes",BE9="Yes",BF9="No",BH9="No"),0,IF(AND('Proposed Lighting'!AU9=2,AS9=1,BC9="Yes",BD9="Yes"),2,IF(AND('Proposed Lighting'!AU9=2,AS9=1,BC9="Yes",BE9="Yes"),2,IF(AND('Proposed Lighting'!AU9=2,AS9=1,BC9="Yes",BF9="Yes"),2,IF(AND('Proposed Lighting'!AU9=2,AS9=1,BC9="Yes",BH9="Yes"),2,IF(AND('Proposed Lighting'!AU9=2,AS9=1,BD9="Yes",BF9="Yes"),2,IF(AND('Proposed Lighting'!AU9=2,AS9=1,BD9="Yes",BH9="Yes"),2,IF(AND('Proposed Lighting'!AU9=3,AS9=1,BC9="Yes",BE9="Yes"),2,IF(AND('Proposed Lighting'!AU9=3,AS9=1,BC9="Yes",BF9="Yes"),2,0)))))))))</f>
        <v>0</v>
      </c>
      <c r="BJ9" s="1025">
        <f>IF(AND(AS9=1,BK9=0),0,IF(AND(AS9&gt;0,BI9&lt;2),"Does not meet minimum controls",0))</f>
        <v>0</v>
      </c>
      <c r="BK9">
        <f>IF(AND('Proposed Lighting'!BC9=22,'Lighting Controls'!N9=1),0,IF(ISNUMBER(SEARCH("LED",G9)),1,0))</f>
        <v>0</v>
      </c>
    </row>
    <row r="10" spans="1:63" ht="35.1" customHeight="1">
      <c r="A10" s="917">
        <v>2</v>
      </c>
      <c r="B10" s="1828" t="str">
        <f>IF('Proposed Lighting'!B10="","",'Proposed Lighting'!B10)</f>
        <v/>
      </c>
      <c r="C10" s="1828"/>
      <c r="D10" s="1828"/>
      <c r="E10" s="1245">
        <f>'Proposed Lighting'!AA10</f>
        <v>0</v>
      </c>
      <c r="F10" s="1245">
        <f t="shared" ref="F10:F73" si="0">IF(ISNUMBER(SEARCH("photocell",Q10)),1,IF(ISNUMBER(SEARCH("EXTERIOR",Q10)),3,IF(ISNUMBER(SEARCH("INTERIOR",Q10)),2,0)))</f>
        <v>0</v>
      </c>
      <c r="G10" s="1830" t="str">
        <f>IF('Proposed Lighting'!T10="","",IF(ISNUMBER(SEARCH("Networked",'Proposed Lighting'!T10)),0,IF(ISNUMBER(SEARCH("Strategies",'Proposed Lighting'!T10)),0,IF(ISNUMBER(SEARCH("Removal",'Proposed Lighting'!T10)),0,'Proposed Lighting'!T10))))</f>
        <v/>
      </c>
      <c r="H10" s="1830"/>
      <c r="I10" s="1830"/>
      <c r="J10" s="1830"/>
      <c r="K10" s="1215"/>
      <c r="L10" s="1246">
        <f t="shared" ref="L10:L73" si="1">AG10*0.7</f>
        <v>0</v>
      </c>
      <c r="M10" s="1224">
        <f t="shared" ref="M10:M73" si="2">IF(ISNUMBER(SEARCH("LED",G10)),1,0)</f>
        <v>0</v>
      </c>
      <c r="N10" s="1224">
        <f t="shared" ref="N10:N73" si="3">IF(ISNUMBER(SEARCH("LED",Q10)),1,0)</f>
        <v>0</v>
      </c>
      <c r="O10" s="1825" t="str">
        <f>IF(G10=0,0,IF(ISNA('Proposed Lighting'!AT10),0,'Proposed Lighting'!AT10))</f>
        <v/>
      </c>
      <c r="P10" s="1825"/>
      <c r="Q10" s="1247"/>
      <c r="R10" s="1247"/>
      <c r="S10" s="1247"/>
      <c r="T10" s="1211"/>
      <c r="U10" s="1235">
        <f>IF(K10&gt;0.01,'Proposed Lighting'!CU10,0)</f>
        <v>0</v>
      </c>
      <c r="V10" s="1248">
        <f>IF('Proposed Lighting'!CF10=1,0,IF('Proposed Lighting'!AU10=2,0,IF(AND('Proposed Lighting'!AU10=3,'Proposed Lighting'!CF10=0),1,0)))</f>
        <v>0</v>
      </c>
      <c r="W10" s="1836"/>
      <c r="X10" s="1836"/>
      <c r="Y10" s="1836"/>
      <c r="Z10" s="1230" t="str">
        <f t="shared" ref="Z10:Z72" si="4">IF(Q10="","",VLOOKUP(Q10,$AW$9:$AX$15,2,FALSE))</f>
        <v/>
      </c>
      <c r="AA10" s="1230">
        <f t="shared" ref="AA10:AA72" si="5">IF(T10=0,0,IF(Q10=0,0,IF(G10=0,0,SUM(K10*O10)/T10)))</f>
        <v>0</v>
      </c>
      <c r="AB10" s="1230">
        <f>IF(Q10=0,0,IF(T10=0,0,IF(AA10=0,0,IF(AND(F10=3,V10=0),0,IF(T10=0,0,IF(K10&gt;'Proposed Lighting'!AA10,0,IF('Proposed Lighting'!EJ10&gt;0.01,(K10*O10)*'Proposed Lighting'!EJ10/1000,(K10*O10)*U10/1000)))))))</f>
        <v>0</v>
      </c>
      <c r="AC10" s="1230" t="str">
        <f t="shared" ref="AC10:AC73" si="6">IF(Q10="","",K10*O10*(U10*(1-Z10)/1000))</f>
        <v/>
      </c>
      <c r="AD10" s="1230">
        <f t="shared" ref="AD10:AD72" si="7">IF(K10=0,0,IF(T10=0,0,IF(V10=1,75,IF(V10=0,VLOOKUP(Q10,$BA$9:$BB$15,2,FALSE)))))</f>
        <v>0</v>
      </c>
      <c r="AE10" s="1230">
        <f>IF(T10=0,0,IF(K10&gt;'Proposed Lighting'!AA10,0,IF(T10&gt;K10,0,IF(AND(AD10&gt;AA10,AA10&gt;0),0,IF(AND(F10&gt;1,W10&lt;0.01),0,IF('Proposed Lighting'!AU10&gt;'Lighting Controls'!F10,0,IF('Proposed Lighting'!AU10&lt;'Lighting Controls'!F10,0,IF(U10=0,0,Summary!AC313))))))))</f>
        <v>0</v>
      </c>
      <c r="AF10" s="1230">
        <f>IF(T10=0,0,IF(AE10=0,0,IF(K10&gt;'Proposed Lighting'!AA10,0,IF(AND(AD10&gt;AA10,AA10&gt;0),0,IF(U10=0,0,Summary!AD313)))))</f>
        <v>0</v>
      </c>
      <c r="AG10" s="1834">
        <f>IF('Proposed Lighting'!AU10=1,0,IF('Proposed Lighting'!CF10=1,0,T10*W10))</f>
        <v>0</v>
      </c>
      <c r="AH10" s="1834"/>
      <c r="AI10" s="1834"/>
      <c r="AJ10" s="1835">
        <f>IF(T10&lt;1,0,IF(K10&gt;'Proposed Lighting'!AA10,0,IF('Proposed Lighting'!CF10=1,0,IF('Proposed Lighting'!AU10=1,0,IF(T10&gt;K10,0,IF(AND(AD10&gt;AA10,AA10&gt;0),0,IF(AND(F10=2,'Proposed Lighting'!AU10=3),0,IF(AND(F10=3,'Proposed Lighting'!AU10=2),0,IF('Proposed Lighting'!CH10=100,0,IF(AND(F10&lt;3,V10=1,AM10=0),0,IF(AND(F10&gt;1,AF10&lt;1,AN10&lt;1),0,IF(AND(F10&gt;1,AE10&lt;0.69,AF10&lt;1,AN10&lt;1),0,IF(ISERROR(AB10-AC10),"",AB10-AC10)))))))))))))</f>
        <v>0</v>
      </c>
      <c r="AK10" s="1835"/>
      <c r="AL10" s="1835"/>
      <c r="AM10" s="1216">
        <f>IF(Q10=0,0,IF(T10=0,0,IF(T10&gt;K10,0,IF(AND(AS10&gt;0.01,BK10=0),0,IF(AND('Proposed Lighting'!DG10=0,'Lighting Controls'!Z10=0.35),0,IF(AND(T10&lt;=K10,AA10&gt;=AD10,'Proposed Lighting'!AU10=2),VLOOKUP(Q10,$AY$9:$AZ$15,2,FALSE),IF(AND(T10&lt;=K10,AA10&gt;=AD10,'Proposed Lighting'!AU10=3),VLOOKUP(Q10,$AY$17:$AZ$23,2,FALSE))))))))</f>
        <v>0</v>
      </c>
      <c r="AN10" s="1248">
        <f>IF(T10=0,0,IF(K10&gt;'Proposed Lighting'!AA10,0,IF(AE10=0,0,IF(AND(AD10&gt;AA10,AA10&gt;0),0,IF(U10=0,0,Summary!AE313)))))</f>
        <v>0</v>
      </c>
      <c r="AO10" s="1248">
        <f>IF((AND(AE10&gt;0.69,AF10&gt;=1,AN10&gt;=1)),TRUE,0)</f>
        <v>0</v>
      </c>
      <c r="AP10" s="1249">
        <f>IF('Proposed Lighting'!AU10=1,0,IF(K10=0,0,IF(T10&gt;K10,0,IF(G10=0,0,IF(K10&gt;'Proposed Lighting'!AA10,0,IF(AND(AD10&gt;AA10,AA10&gt;0),0,IF(AND('Proposed Lighting'!AU10=3,AM10=0.5),0,IF(AND(AM10&gt;0,AS10&gt;0,BI10&lt;2),0,IF('Proposed Lighting'!CH10=100,0,IF(AV10=1,0,IF(AND(AM10=35,M10+N10&lt;2),0,AM10)))))))))))</f>
        <v>0</v>
      </c>
      <c r="AQ10" s="1249" t="str">
        <f>IFERROR(ROUND(IF(Q10="","",IF('Proposed Lighting'!$X$4=0,0,IF(AND(AM10=35,M10+N10&lt;2),0,IF(T10&gt;K10,0,IF('Proposed Lighting'!AU10=1,0,IF(AJ10=0,0,IF(AND('Proposed Lighting'!AU10=3,AM10=0.5),0,IF(AND(AD10=75,AP10=0,AV10=0),0,IF(AP10&gt;0.01,AP10*T10,IF(AND(F10&gt;1,W10&lt;0.01),0,IF(AND(F10&gt;1,AO10=0),0,IF(AND('Proposed Lighting'!BC10=22,AV10=0),0,IF(AND(AM10&gt;0,AS10&gt;0,BI10&lt;2),0,IF(AND(AS10&gt;0.01,BK10=0),0,IF(AND(AO10=TRUE,AV10=1,F10=3),MIN(AJ10*0.08,L10),IF(AP10&gt;0.01,AP10*T10,IF(AND(AO10=TRUE,AV10=1,F10=2),MIN(AJ10*0.1,L10)))))))))))))))))),2),"")</f>
        <v/>
      </c>
      <c r="AR10" s="1250">
        <f>IF(Q10=0,0,IF('Proposed Lighting'!$X$4=0,0,IF(AND(AM10&gt;0.01,AQ10&gt;0.01),0,IF('Proposed Lighting'!AU10=1,"Missing Interior or Exterior Selection",IF('Proposed Lighting'!CF10=1,"Selection does not match",IF(K10&gt;'Proposed Lighting'!AA10,"Quantity controlled does not match proposed lighting quantity",IF(T10&gt;K10,"Quantity of sensors exceeds proposed lighting quantity",IF(AND(F10&gt;1,'Proposed Lighting'!AU10&lt;&gt;F10),"Selection does not match",IF(AND(AD10&gt;AA10,AA10&gt;0),"Does not meet minimum connected load",IF(AND(O10&gt;0,AS10&gt;0,BK10&gt;0,'Proposed Lighting'!CH10=0),"Select Control Strategies",IF(AND(AC10&gt;0.1,AJ10=0,AQ10=0),"Does not meet incentive criteria",0)))))))))))</f>
        <v>0</v>
      </c>
      <c r="AS10" s="1224">
        <f>IF('Proposed Lighting'!CH10=100,0,IF(ISNUMBER(SEARCH("multiple",Q10)),1,0))</f>
        <v>0</v>
      </c>
      <c r="AT10" s="451">
        <f t="shared" ref="AT10:AT73" si="8">IF(AQ10&gt;0.01,T10,0)</f>
        <v>0</v>
      </c>
      <c r="AU10" s="451">
        <f t="shared" ref="AU10:AU73" si="9">IF(AP10&gt;0.01,T10,0)</f>
        <v>0</v>
      </c>
      <c r="AV10" s="1222">
        <f>IF(ISNUMBER(SEARCH("Networked",'Proposed Lighting'!T10)),0,IF(ISNUMBER(SEARCH("Strategies",'Proposed Lighting'!T10)),0,IF(ISNUMBER(SEARCH("Removal",'Proposed Lighting'!T10)),0,IF(ISNUMBER(SEARCH("non-standard",Q10)),1,0))))</f>
        <v>0</v>
      </c>
      <c r="AW10" s="451" t="s">
        <v>481</v>
      </c>
      <c r="AX10" s="451">
        <v>0.3</v>
      </c>
      <c r="AY10" s="451" t="s">
        <v>481</v>
      </c>
      <c r="AZ10" s="451">
        <v>30</v>
      </c>
      <c r="BA10" s="451" t="s">
        <v>481</v>
      </c>
      <c r="BB10" s="451">
        <v>25</v>
      </c>
      <c r="BC10" s="1215"/>
      <c r="BD10" s="1215"/>
      <c r="BE10" s="1215"/>
      <c r="BF10" s="1215"/>
      <c r="BG10" s="1215"/>
      <c r="BH10" s="1215"/>
      <c r="BI10">
        <f>IF(AND(AS10=1,BC10="No",BD10="Yes",BE10="Yes",BF10="No",BH10="No"),0,IF(AND('Proposed Lighting'!AU10=2,AS10=1,BC10="Yes",BD10="Yes"),2,IF(AND('Proposed Lighting'!AU10=2,AS10=1,BC10="Yes",BE10="Yes"),2,IF(AND('Proposed Lighting'!AU10=2,AS10=1,BC10="Yes",BF10="Yes"),2,IF(AND('Proposed Lighting'!AU10=2,AS10=1,BC10="Yes",BH10="Yes"),2,IF(AND('Proposed Lighting'!AU10=2,AS10=1,BD10="Yes",BF10="Yes"),2,IF(AND('Proposed Lighting'!AU10=2,AS10=1,BD10="Yes",BH10="Yes"),2,IF(AND('Proposed Lighting'!AU10=3,AS10=1,BC10="Yes",BE10="Yes"),2,IF(AND('Proposed Lighting'!AU10=3,AS10=1,BC10="Yes",BF10="Yes"),2,0)))))))))</f>
        <v>0</v>
      </c>
      <c r="BJ10" s="1025">
        <f t="shared" ref="BJ10:BJ73" si="10">IF(AND(AS10=1,BK10=0),0,IF(AND(AS10&gt;0,BI10&lt;2),"Does not meet minimum controls",0))</f>
        <v>0</v>
      </c>
      <c r="BK10">
        <f>IF(AND('Proposed Lighting'!BC10=22,'Lighting Controls'!N10=1),0,IF(ISNUMBER(SEARCH("LED",G10)),1,0))</f>
        <v>0</v>
      </c>
    </row>
    <row r="11" spans="1:63" ht="35.1" customHeight="1">
      <c r="A11" s="917">
        <v>3</v>
      </c>
      <c r="B11" s="1828" t="str">
        <f>IF('Proposed Lighting'!B11="","",'Proposed Lighting'!B11)</f>
        <v/>
      </c>
      <c r="C11" s="1828"/>
      <c r="D11" s="1828"/>
      <c r="E11" s="1245">
        <f>'Proposed Lighting'!AA11</f>
        <v>0</v>
      </c>
      <c r="F11" s="1245">
        <f t="shared" si="0"/>
        <v>0</v>
      </c>
      <c r="G11" s="1830" t="str">
        <f>IF('Proposed Lighting'!T11="","",IF(ISNUMBER(SEARCH("Networked",'Proposed Lighting'!T11)),0,IF(ISNUMBER(SEARCH("Strategies",'Proposed Lighting'!T11)),0,IF(ISNUMBER(SEARCH("Removal",'Proposed Lighting'!T11)),0,'Proposed Lighting'!T11))))</f>
        <v/>
      </c>
      <c r="H11" s="1830"/>
      <c r="I11" s="1830"/>
      <c r="J11" s="1830"/>
      <c r="K11" s="1215"/>
      <c r="L11" s="1246">
        <f t="shared" si="1"/>
        <v>0</v>
      </c>
      <c r="M11" s="1224">
        <f t="shared" si="2"/>
        <v>0</v>
      </c>
      <c r="N11" s="1224">
        <f t="shared" si="3"/>
        <v>0</v>
      </c>
      <c r="O11" s="1825" t="str">
        <f>IF(G11=0,0,IF(ISNA('Proposed Lighting'!AT11),0,'Proposed Lighting'!AT11))</f>
        <v/>
      </c>
      <c r="P11" s="1825"/>
      <c r="Q11" s="1247"/>
      <c r="R11" s="1247"/>
      <c r="S11" s="1247"/>
      <c r="T11" s="1211"/>
      <c r="U11" s="1235">
        <f>IF(K11&gt;0.01,'Proposed Lighting'!CU11,0)</f>
        <v>0</v>
      </c>
      <c r="V11" s="1248">
        <f>IF('Proposed Lighting'!CF11=1,0,IF('Proposed Lighting'!AU11=2,0,IF(AND('Proposed Lighting'!AU11=3,'Proposed Lighting'!CF11=0),1,0)))</f>
        <v>0</v>
      </c>
      <c r="W11" s="1836"/>
      <c r="X11" s="1836"/>
      <c r="Y11" s="1836"/>
      <c r="Z11" s="1230" t="str">
        <f t="shared" si="4"/>
        <v/>
      </c>
      <c r="AA11" s="1230">
        <f t="shared" si="5"/>
        <v>0</v>
      </c>
      <c r="AB11" s="1230">
        <f>IF(Q11=0,0,IF(T11=0,0,IF(AA11=0,0,IF(AND(F11=3,V11=0),0,IF(T11=0,0,IF(K11&gt;'Proposed Lighting'!AA11,0,IF('Proposed Lighting'!EJ11&gt;0.01,(K11*O11)*'Proposed Lighting'!EJ11/1000,(K11*O11)*U11/1000)))))))</f>
        <v>0</v>
      </c>
      <c r="AC11" s="1230" t="str">
        <f t="shared" si="6"/>
        <v/>
      </c>
      <c r="AD11" s="1230">
        <f t="shared" si="7"/>
        <v>0</v>
      </c>
      <c r="AE11" s="1230">
        <f>IF(T11=0,0,IF(K11&gt;'Proposed Lighting'!AA11,0,IF(T11&gt;K11,0,IF(AND(AD11&gt;AA11,AA11&gt;0),0,IF(AND(F11&gt;1,W11&lt;0.01),0,IF('Proposed Lighting'!AU11&gt;'Lighting Controls'!F11,0,IF('Proposed Lighting'!AU11&lt;'Lighting Controls'!F11,0,IF(U11=0,0,Summary!AC314))))))))</f>
        <v>0</v>
      </c>
      <c r="AF11" s="1230">
        <f>IF(T11=0,0,IF(AE11=0,0,IF(K11&gt;'Proposed Lighting'!AA11,0,IF(AND(AD11&gt;AA11,AA11&gt;0),0,IF(U11=0,0,Summary!AD314)))))</f>
        <v>0</v>
      </c>
      <c r="AG11" s="1834">
        <f>IF('Proposed Lighting'!AU11=1,0,IF('Proposed Lighting'!CF11=1,0,T11*W11))</f>
        <v>0</v>
      </c>
      <c r="AH11" s="1834"/>
      <c r="AI11" s="1834"/>
      <c r="AJ11" s="1835">
        <f>IF(T11&lt;1,0,IF(K11&gt;'Proposed Lighting'!AA11,0,IF('Proposed Lighting'!CF11=1,0,IF('Proposed Lighting'!AU11=1,0,IF(T11&gt;K11,0,IF(AND(AD11&gt;AA11,AA11&gt;0),0,IF(AND(F11=2,'Proposed Lighting'!AU11=3),0,IF(AND(F11=3,'Proposed Lighting'!AU11=2),0,IF('Proposed Lighting'!CH11=100,0,IF(AND(F11&lt;3,V11=1,AM11=0),0,IF(AND(F11&gt;1,AF11&lt;1,AN11&lt;1),0,IF(AND(F11&gt;1,AE11&lt;0.69,AF11&lt;1,AN11&lt;1),0,IF(ISERROR(AB11-AC11),"",AB11-AC11)))))))))))))</f>
        <v>0</v>
      </c>
      <c r="AK11" s="1835"/>
      <c r="AL11" s="1835"/>
      <c r="AM11" s="1216">
        <f>IF(Q11=0,0,IF(T11=0,0,IF(T11&gt;K11,0,IF(AND(AS11&gt;0.01,BK11=0),0,IF(AND('Proposed Lighting'!DG11=0,'Lighting Controls'!Z11=0.35),0,IF(AND(T11&lt;=K11,AA11&gt;=AD11,'Proposed Lighting'!AU11=2),VLOOKUP(Q11,$AY$9:$AZ$15,2,FALSE),IF(AND(T11&lt;=K11,AA11&gt;=AD11,'Proposed Lighting'!AU11=3),VLOOKUP(Q11,$AY$17:$AZ$23,2,FALSE))))))))</f>
        <v>0</v>
      </c>
      <c r="AN11" s="1248">
        <f>IF(T11=0,0,IF(K11&gt;'Proposed Lighting'!AA11,0,IF(AE11=0,0,IF(AND(AD11&gt;AA11,AA11&gt;0),0,IF(U11=0,0,Summary!AE314)))))</f>
        <v>0</v>
      </c>
      <c r="AO11" s="1248">
        <f t="shared" ref="AO11:AO74" si="11">IF((AND(AE11&gt;0.69,AF11&gt;=1,AN11&gt;=1)),TRUE,0)</f>
        <v>0</v>
      </c>
      <c r="AP11" s="1249">
        <f>IF('Proposed Lighting'!AU11=1,0,IF(K11=0,0,IF(T11&gt;K11,0,IF(G11=0,0,IF(K11&gt;'Proposed Lighting'!AA11,0,IF(AND(AD11&gt;AA11,AA11&gt;0),0,IF(AND('Proposed Lighting'!AU11=3,AM11=0.5),0,IF(AND(AM11&gt;0,AS11&gt;0,BI11&lt;2),0,IF('Proposed Lighting'!CH11=100,0,IF(AV11=1,0,IF(AND(AM11=35,M11+N11&lt;2),0,AM11)))))))))))</f>
        <v>0</v>
      </c>
      <c r="AQ11" s="1249" t="str">
        <f>IFERROR(ROUND(IF(Q11="","",IF('Proposed Lighting'!$X$4=0,0,IF(AND(AM11=35,M11+N11&lt;2),0,IF(T11&gt;K11,0,IF('Proposed Lighting'!AU11=1,0,IF(AJ11=0,0,IF(AND('Proposed Lighting'!AU11=3,AM11=0.5),0,IF(AND(AD11=75,AP11=0,AV11=0),0,IF(AP11&gt;0.01,AP11*T11,IF(AND(F11&gt;1,W11&lt;0.01),0,IF(AND(F11&gt;1,AO11=0),0,IF(AND('Proposed Lighting'!BC11=22,AV11=0),0,IF(AND(AM11&gt;0,AS11&gt;0,BI11&lt;2),0,IF(AND(AS11&gt;0.01,BK11=0),0,IF(AND(AO11=TRUE,AV11=1,F11=3),MIN(AJ11*0.08,L11),IF(AP11&gt;0.01,AP11*T11,IF(AND(AO11=TRUE,AV11=1,F11=2),MIN(AJ11*0.1,L11)))))))))))))))))),2),"")</f>
        <v/>
      </c>
      <c r="AR11" s="1250">
        <f>IF(Q11=0,0,IF('Proposed Lighting'!$X$4=0,0,IF(AND(AM11&gt;0.01,AQ11&gt;0.01),0,IF('Proposed Lighting'!AU11=1,"Missing Interior or Exterior Selection",IF('Proposed Lighting'!CF11=1,"Selection does not match",IF(K11&gt;'Proposed Lighting'!AA11,"Quantity controlled does not match proposed lighting quantity",IF(T11&gt;K11,"Quantity of sensors exceeds proposed lighting quantity",IF(AND(F11&gt;1,'Proposed Lighting'!AU11&lt;&gt;F11),"Selection does not match",IF(AND(AD11&gt;AA11,AA11&gt;0),"Does not meet minimum connected load",IF(AND(O11&gt;0,AS11&gt;0,BK11&gt;0,'Proposed Lighting'!CH11=0),"Select Control Strategies",IF(AND(AC11&gt;0.1,AJ11=0,AQ11=0),"Does not meet incentive criteria",0)))))))))))</f>
        <v>0</v>
      </c>
      <c r="AS11" s="1224">
        <f>IF('Proposed Lighting'!CH11=100,0,IF(ISNUMBER(SEARCH("multiple",Q11)),1,0))</f>
        <v>0</v>
      </c>
      <c r="AT11" s="451">
        <f t="shared" si="8"/>
        <v>0</v>
      </c>
      <c r="AU11" s="451">
        <f t="shared" si="9"/>
        <v>0</v>
      </c>
      <c r="AV11" s="1222">
        <f>IF(ISNUMBER(SEARCH("Networked",'Proposed Lighting'!T11)),0,IF(ISNUMBER(SEARCH("Strategies",'Proposed Lighting'!T11)),0,IF(ISNUMBER(SEARCH("Removal",'Proposed Lighting'!T11)),0,IF(ISNUMBER(SEARCH("non-standard",Q11)),1,0))))</f>
        <v>0</v>
      </c>
      <c r="AW11" s="451" t="s">
        <v>193</v>
      </c>
      <c r="AX11" s="451">
        <v>0.25</v>
      </c>
      <c r="AY11" s="451" t="s">
        <v>193</v>
      </c>
      <c r="AZ11" s="451">
        <v>25</v>
      </c>
      <c r="BA11" s="451" t="s">
        <v>193</v>
      </c>
      <c r="BB11" s="451">
        <v>25</v>
      </c>
      <c r="BC11" s="1215"/>
      <c r="BD11" s="1215"/>
      <c r="BE11" s="1215"/>
      <c r="BF11" s="1215"/>
      <c r="BG11" s="1215"/>
      <c r="BH11" s="1215"/>
      <c r="BI11">
        <f>IF(AND(AS11=1,BC11="No",BD11="Yes",BE11="Yes",BF11="No",BH11="No"),0,IF(AND('Proposed Lighting'!AU11=2,AS11=1,BC11="Yes",BD11="Yes"),2,IF(AND('Proposed Lighting'!AU11=2,AS11=1,BC11="Yes",BE11="Yes"),2,IF(AND('Proposed Lighting'!AU11=2,AS11=1,BC11="Yes",BF11="Yes"),2,IF(AND('Proposed Lighting'!AU11=2,AS11=1,BC11="Yes",BH11="Yes"),2,IF(AND('Proposed Lighting'!AU11=2,AS11=1,BD11="Yes",BF11="Yes"),2,IF(AND('Proposed Lighting'!AU11=2,AS11=1,BD11="Yes",BH11="Yes"),2,IF(AND('Proposed Lighting'!AU11=3,AS11=1,BC11="Yes",BE11="Yes"),2,IF(AND('Proposed Lighting'!AU11=3,AS11=1,BC11="Yes",BF11="Yes"),2,0)))))))))</f>
        <v>0</v>
      </c>
      <c r="BJ11" s="1025">
        <f t="shared" si="10"/>
        <v>0</v>
      </c>
      <c r="BK11">
        <f>IF(AND('Proposed Lighting'!BC11=22,'Lighting Controls'!N11=1),0,IF(ISNUMBER(SEARCH("LED",G11)),1,0))</f>
        <v>0</v>
      </c>
    </row>
    <row r="12" spans="1:63" ht="35.1" customHeight="1">
      <c r="A12" s="917">
        <v>4</v>
      </c>
      <c r="B12" s="1828" t="str">
        <f>IF('Proposed Lighting'!B12="","",'Proposed Lighting'!B12)</f>
        <v/>
      </c>
      <c r="C12" s="1828"/>
      <c r="D12" s="1828"/>
      <c r="E12" s="1245">
        <f>'Proposed Lighting'!AA12</f>
        <v>0</v>
      </c>
      <c r="F12" s="1245">
        <f t="shared" si="0"/>
        <v>0</v>
      </c>
      <c r="G12" s="1830" t="str">
        <f>IF('Proposed Lighting'!T12="","",IF(ISNUMBER(SEARCH("Networked",'Proposed Lighting'!T12)),0,IF(ISNUMBER(SEARCH("Strategies",'Proposed Lighting'!T12)),0,IF(ISNUMBER(SEARCH("Removal",'Proposed Lighting'!T12)),0,'Proposed Lighting'!T12))))</f>
        <v/>
      </c>
      <c r="H12" s="1830"/>
      <c r="I12" s="1830"/>
      <c r="J12" s="1830"/>
      <c r="K12" s="1215"/>
      <c r="L12" s="1246">
        <f t="shared" si="1"/>
        <v>0</v>
      </c>
      <c r="M12" s="1224">
        <f t="shared" si="2"/>
        <v>0</v>
      </c>
      <c r="N12" s="1224">
        <f t="shared" si="3"/>
        <v>0</v>
      </c>
      <c r="O12" s="1825" t="str">
        <f>IF(G12=0,0,IF(ISNA('Proposed Lighting'!AT12),0,'Proposed Lighting'!AT12))</f>
        <v/>
      </c>
      <c r="P12" s="1825"/>
      <c r="Q12" s="1247"/>
      <c r="R12" s="1247"/>
      <c r="S12" s="1247"/>
      <c r="T12" s="1211"/>
      <c r="U12" s="1235">
        <f>IF(K12&gt;0.01,'Proposed Lighting'!CU12,0)</f>
        <v>0</v>
      </c>
      <c r="V12" s="1248">
        <f>IF('Proposed Lighting'!CF12=1,0,IF('Proposed Lighting'!AU12=2,0,IF(AND('Proposed Lighting'!AU12=3,'Proposed Lighting'!CF12=0),1,0)))</f>
        <v>0</v>
      </c>
      <c r="W12" s="1836"/>
      <c r="X12" s="1836"/>
      <c r="Y12" s="1836"/>
      <c r="Z12" s="1230" t="str">
        <f t="shared" si="4"/>
        <v/>
      </c>
      <c r="AA12" s="1230">
        <f t="shared" si="5"/>
        <v>0</v>
      </c>
      <c r="AB12" s="1230">
        <f>IF(Q12=0,0,IF(T12=0,0,IF(AA12=0,0,IF(AND(F12=3,V12=0),0,IF(T12=0,0,IF(K12&gt;'Proposed Lighting'!AA12,0,IF('Proposed Lighting'!EJ12&gt;0.01,(K12*O12)*'Proposed Lighting'!EJ12/1000,(K12*O12)*U12/1000)))))))</f>
        <v>0</v>
      </c>
      <c r="AC12" s="1230" t="str">
        <f t="shared" si="6"/>
        <v/>
      </c>
      <c r="AD12" s="1230">
        <f t="shared" si="7"/>
        <v>0</v>
      </c>
      <c r="AE12" s="1230">
        <f>IF(T12=0,0,IF(K12&gt;'Proposed Lighting'!AA12,0,IF(T12&gt;K12,0,IF(AND(AD12&gt;AA12,AA12&gt;0),0,IF(AND(F12&gt;1,W12&lt;0.01),0,IF('Proposed Lighting'!AU12&gt;'Lighting Controls'!F12,0,IF('Proposed Lighting'!AU12&lt;'Lighting Controls'!F12,0,IF(U12=0,0,Summary!AC315))))))))</f>
        <v>0</v>
      </c>
      <c r="AF12" s="1230">
        <f>IF(T12=0,0,IF(AE12=0,0,IF(K12&gt;'Proposed Lighting'!AA12,0,IF(AND(AD12&gt;AA12,AA12&gt;0),0,IF(U12=0,0,Summary!AD315)))))</f>
        <v>0</v>
      </c>
      <c r="AG12" s="1834">
        <f>IF('Proposed Lighting'!AU12=1,0,IF('Proposed Lighting'!CF12=1,0,T12*W12))</f>
        <v>0</v>
      </c>
      <c r="AH12" s="1834"/>
      <c r="AI12" s="1834"/>
      <c r="AJ12" s="1835">
        <f>IF(T12&lt;1,0,IF(K12&gt;'Proposed Lighting'!AA12,0,IF('Proposed Lighting'!CF12=1,0,IF('Proposed Lighting'!AU12=1,0,IF(T12&gt;K12,0,IF(AND(AD12&gt;AA12,AA12&gt;0),0,IF(AND(F12=2,'Proposed Lighting'!AU12=3),0,IF(AND(F12=3,'Proposed Lighting'!AU12=2),0,IF('Proposed Lighting'!CH12=100,0,IF(AND(F12&lt;3,V12=1,AM12=0),0,IF(AND(F12&gt;1,AF12&lt;1,AN12&lt;1),0,IF(AND(F12&gt;1,AE12&lt;0.69,AF12&lt;1,AN12&lt;1),0,IF(ISERROR(AB12-AC12),"",AB12-AC12)))))))))))))</f>
        <v>0</v>
      </c>
      <c r="AK12" s="1835"/>
      <c r="AL12" s="1835"/>
      <c r="AM12" s="1216">
        <f>IF(Q12=0,0,IF(T12=0,0,IF(T12&gt;K12,0,IF(AND(AS12&gt;0.01,BK12=0),0,IF(AND('Proposed Lighting'!DG12=0,'Lighting Controls'!Z12=0.35),0,IF(AND(T12&lt;=K12,AA12&gt;=AD12,'Proposed Lighting'!AU12=2),VLOOKUP(Q12,$AY$9:$AZ$15,2,FALSE),IF(AND(T12&lt;=K12,AA12&gt;=AD12,'Proposed Lighting'!AU12=3),VLOOKUP(Q12,$AY$17:$AZ$23,2,FALSE))))))))</f>
        <v>0</v>
      </c>
      <c r="AN12" s="1248">
        <f>IF(T12=0,0,IF(K12&gt;'Proposed Lighting'!AA12,0,IF(AE12=0,0,IF(AND(AD12&gt;AA12,AA12&gt;0),0,IF(U12=0,0,Summary!AE315)))))</f>
        <v>0</v>
      </c>
      <c r="AO12" s="1248">
        <f t="shared" si="11"/>
        <v>0</v>
      </c>
      <c r="AP12" s="1249">
        <f>IF('Proposed Lighting'!AU12=1,0,IF(K12=0,0,IF(T12&gt;K12,0,IF(G12=0,0,IF(K12&gt;'Proposed Lighting'!AA12,0,IF(AND(AD12&gt;AA12,AA12&gt;0),0,IF(AND('Proposed Lighting'!AU12=3,AM12=0.5),0,IF(AND(AM12&gt;0,AS12&gt;0,BI12&lt;2),0,IF('Proposed Lighting'!CH12=100,0,IF(AV12=1,0,IF(AND(AM12=35,M12+N12&lt;2),0,AM12)))))))))))</f>
        <v>0</v>
      </c>
      <c r="AQ12" s="1249" t="str">
        <f>IFERROR(ROUND(IF(Q12="","",IF('Proposed Lighting'!$X$4=0,0,IF(AND(AM12=35,M12+N12&lt;2),0,IF(T12&gt;K12,0,IF('Proposed Lighting'!AU12=1,0,IF(AJ12=0,0,IF(AND('Proposed Lighting'!AU12=3,AM12=0.5),0,IF(AND(AD12=75,AP12=0,AV12=0),0,IF(AP12&gt;0.01,AP12*T12,IF(AND(F12&gt;1,W12&lt;0.01),0,IF(AND(F12&gt;1,AO12=0),0,IF(AND('Proposed Lighting'!BC12=22,AV12=0),0,IF(AND(AM12&gt;0,AS12&gt;0,BI12&lt;2),0,IF(AND(AS12&gt;0.01,BK12=0),0,IF(AND(AO12=TRUE,AV12=1,F12=3),MIN(AJ12*0.08,L12),IF(AP12&gt;0.01,AP12*T12,IF(AND(AO12=TRUE,AV12=1,F12=2),MIN(AJ12*0.1,L12)))))))))))))))))),2),"")</f>
        <v/>
      </c>
      <c r="AR12" s="1250">
        <f>IF(Q12=0,0,IF('Proposed Lighting'!$X$4=0,0,IF(AND(AM12&gt;0.01,AQ12&gt;0.01),0,IF('Proposed Lighting'!AU12=1,"Missing Interior or Exterior Selection",IF('Proposed Lighting'!CF12=1,"Selection does not match",IF(K12&gt;'Proposed Lighting'!AA12,"Quantity controlled does not match proposed lighting quantity",IF(T12&gt;K12,"Quantity of sensors exceeds proposed lighting quantity",IF(AND(F12&gt;1,'Proposed Lighting'!AU12&lt;&gt;F12),"Selection does not match",IF(AND(AD12&gt;AA12,AA12&gt;0),"Does not meet minimum connected load",IF(AND(O12&gt;0,AS12&gt;0,BK12&gt;0,'Proposed Lighting'!CH12=0),"Select Control Strategies",IF(AND(AC12&gt;0.1,AJ12=0,AQ12=0),"Does not meet incentive criteria",0)))))))))))</f>
        <v>0</v>
      </c>
      <c r="AS12" s="1224">
        <f>IF('Proposed Lighting'!CH12=100,0,IF(ISNUMBER(SEARCH("multiple",Q12)),1,0))</f>
        <v>0</v>
      </c>
      <c r="AT12" s="451">
        <f t="shared" si="8"/>
        <v>0</v>
      </c>
      <c r="AU12" s="451">
        <f t="shared" si="9"/>
        <v>0</v>
      </c>
      <c r="AV12" s="1222">
        <f>IF(ISNUMBER(SEARCH("Networked",'Proposed Lighting'!T12)),0,IF(ISNUMBER(SEARCH("Strategies",'Proposed Lighting'!T12)),0,IF(ISNUMBER(SEARCH("Removal",'Proposed Lighting'!T12)),0,IF(ISNUMBER(SEARCH("non-standard",Q12)),1,0))))</f>
        <v>0</v>
      </c>
      <c r="AW12" s="451" t="s">
        <v>1618</v>
      </c>
      <c r="AX12" s="451">
        <v>0.25</v>
      </c>
      <c r="AY12" s="451" t="s">
        <v>1161</v>
      </c>
      <c r="AZ12" s="451">
        <v>25</v>
      </c>
      <c r="BA12" s="451" t="s">
        <v>1161</v>
      </c>
      <c r="BB12" s="451"/>
      <c r="BC12" s="1215"/>
      <c r="BD12" s="1215"/>
      <c r="BE12" s="1215"/>
      <c r="BF12" s="1215"/>
      <c r="BG12" s="1215"/>
      <c r="BH12" s="1215"/>
      <c r="BI12">
        <f>IF(AND(AS12=1,BC12="No",BD12="Yes",BE12="Yes",BF12="No",BH12="No"),0,IF(AND('Proposed Lighting'!AU12=2,AS12=1,BC12="Yes",BD12="Yes"),2,IF(AND('Proposed Lighting'!AU12=2,AS12=1,BC12="Yes",BE12="Yes"),2,IF(AND('Proposed Lighting'!AU12=2,AS12=1,BC12="Yes",BF12="Yes"),2,IF(AND('Proposed Lighting'!AU12=2,AS12=1,BC12="Yes",BH12="Yes"),2,IF(AND('Proposed Lighting'!AU12=2,AS12=1,BD12="Yes",BF12="Yes"),2,IF(AND('Proposed Lighting'!AU12=2,AS12=1,BD12="Yes",BH12="Yes"),2,IF(AND('Proposed Lighting'!AU12=3,AS12=1,BC12="Yes",BE12="Yes"),2,IF(AND('Proposed Lighting'!AU12=3,AS12=1,BC12="Yes",BF12="Yes"),2,0)))))))))</f>
        <v>0</v>
      </c>
      <c r="BJ12" s="1025">
        <f t="shared" si="10"/>
        <v>0</v>
      </c>
      <c r="BK12">
        <f>IF(AND('Proposed Lighting'!BC12=22,'Lighting Controls'!N12=1),0,IF(ISNUMBER(SEARCH("LED",G12)),1,0))</f>
        <v>0</v>
      </c>
    </row>
    <row r="13" spans="1:63" ht="35.1" customHeight="1">
      <c r="A13" s="917">
        <v>5</v>
      </c>
      <c r="B13" s="1828" t="str">
        <f>IF('Proposed Lighting'!B13="","",'Proposed Lighting'!B13)</f>
        <v/>
      </c>
      <c r="C13" s="1828"/>
      <c r="D13" s="1828"/>
      <c r="E13" s="1245">
        <f>'Proposed Lighting'!AA13</f>
        <v>0</v>
      </c>
      <c r="F13" s="1245">
        <f t="shared" si="0"/>
        <v>0</v>
      </c>
      <c r="G13" s="1830" t="str">
        <f>IF('Proposed Lighting'!T13="","",IF(ISNUMBER(SEARCH("Networked",'Proposed Lighting'!T13)),0,IF(ISNUMBER(SEARCH("Strategies",'Proposed Lighting'!T13)),0,IF(ISNUMBER(SEARCH("Removal",'Proposed Lighting'!T13)),0,'Proposed Lighting'!T13))))</f>
        <v/>
      </c>
      <c r="H13" s="1830"/>
      <c r="I13" s="1830"/>
      <c r="J13" s="1830"/>
      <c r="K13" s="1215"/>
      <c r="L13" s="1246">
        <f t="shared" si="1"/>
        <v>0</v>
      </c>
      <c r="M13" s="1224">
        <f t="shared" si="2"/>
        <v>0</v>
      </c>
      <c r="N13" s="1224">
        <f t="shared" si="3"/>
        <v>0</v>
      </c>
      <c r="O13" s="1825" t="str">
        <f>IF(G13=0,0,IF(ISNA('Proposed Lighting'!AT13),0,'Proposed Lighting'!AT13))</f>
        <v/>
      </c>
      <c r="P13" s="1825"/>
      <c r="Q13" s="1247"/>
      <c r="R13" s="1247"/>
      <c r="S13" s="1247"/>
      <c r="T13" s="1211"/>
      <c r="U13" s="1235">
        <f>IF(K13&gt;0.01,'Proposed Lighting'!CU13,0)</f>
        <v>0</v>
      </c>
      <c r="V13" s="1248">
        <f>IF('Proposed Lighting'!CF13=1,0,IF('Proposed Lighting'!AU13=2,0,IF(AND('Proposed Lighting'!AU13=3,'Proposed Lighting'!CF13=0),1,0)))</f>
        <v>0</v>
      </c>
      <c r="W13" s="1836"/>
      <c r="X13" s="1836"/>
      <c r="Y13" s="1836"/>
      <c r="Z13" s="1230" t="str">
        <f t="shared" si="4"/>
        <v/>
      </c>
      <c r="AA13" s="1230">
        <f t="shared" si="5"/>
        <v>0</v>
      </c>
      <c r="AB13" s="1230">
        <f>IF(Q13=0,0,IF(T13=0,0,IF(AA13=0,0,IF(AND(F13=3,V13=0),0,IF(T13=0,0,IF(K13&gt;'Proposed Lighting'!AA13,0,IF('Proposed Lighting'!EJ13&gt;0.01,(K13*O13)*'Proposed Lighting'!EJ13/1000,(K13*O13)*U13/1000)))))))</f>
        <v>0</v>
      </c>
      <c r="AC13" s="1230" t="str">
        <f t="shared" si="6"/>
        <v/>
      </c>
      <c r="AD13" s="1230">
        <f t="shared" si="7"/>
        <v>0</v>
      </c>
      <c r="AE13" s="1230">
        <f>IF(T13=0,0,IF(K13&gt;'Proposed Lighting'!AA13,0,IF(T13&gt;K13,0,IF(AND(AD13&gt;AA13,AA13&gt;0),0,IF(AND(F13&gt;1,W13&lt;0.01),0,IF('Proposed Lighting'!AU13&gt;'Lighting Controls'!F13,0,IF('Proposed Lighting'!AU13&lt;'Lighting Controls'!F13,0,IF(U13=0,0,Summary!AC316))))))))</f>
        <v>0</v>
      </c>
      <c r="AF13" s="1230">
        <f>IF(T13=0,0,IF(AE13=0,0,IF(K13&gt;'Proposed Lighting'!AA13,0,IF(AND(AD13&gt;AA13,AA13&gt;0),0,IF(U13=0,0,Summary!AD316)))))</f>
        <v>0</v>
      </c>
      <c r="AG13" s="1834">
        <f>IF('Proposed Lighting'!AU13=1,0,IF('Proposed Lighting'!CF13=1,0,T13*W13))</f>
        <v>0</v>
      </c>
      <c r="AH13" s="1834"/>
      <c r="AI13" s="1834"/>
      <c r="AJ13" s="1835">
        <f>IF(T13&lt;1,0,IF(K13&gt;'Proposed Lighting'!AA13,0,IF('Proposed Lighting'!CF13=1,0,IF('Proposed Lighting'!AU13=1,0,IF(T13&gt;K13,0,IF(AND(AD13&gt;AA13,AA13&gt;0),0,IF(AND(F13=2,'Proposed Lighting'!AU13=3),0,IF(AND(F13=3,'Proposed Lighting'!AU13=2),0,IF('Proposed Lighting'!CH13=100,0,IF(AND(F13&lt;3,V13=1,AM13=0),0,IF(AND(F13&gt;1,AF13&lt;1,AN13&lt;1),0,IF(AND(F13&gt;1,AE13&lt;0.69,AF13&lt;1,AN13&lt;1),0,IF(ISERROR(AB13-AC13),"",AB13-AC13)))))))))))))</f>
        <v>0</v>
      </c>
      <c r="AK13" s="1835"/>
      <c r="AL13" s="1835"/>
      <c r="AM13" s="1216">
        <f>IF(Q13=0,0,IF(T13=0,0,IF(T13&gt;K13,0,IF(AND(AS13&gt;0.01,BK13=0),0,IF(AND('Proposed Lighting'!DG13=0,'Lighting Controls'!Z13=0.35),0,IF(AND(T13&lt;=K13,AA13&gt;=AD13,'Proposed Lighting'!AU13=2),VLOOKUP(Q13,$AY$9:$AZ$15,2,FALSE),IF(AND(T13&lt;=K13,AA13&gt;=AD13,'Proposed Lighting'!AU13=3),VLOOKUP(Q13,$AY$17:$AZ$23,2,FALSE))))))))</f>
        <v>0</v>
      </c>
      <c r="AN13" s="1248">
        <f>IF(T13=0,0,IF(K13&gt;'Proposed Lighting'!AA13,0,IF(AE13=0,0,IF(AND(AD13&gt;AA13,AA13&gt;0),0,IF(U13=0,0,Summary!AE316)))))</f>
        <v>0</v>
      </c>
      <c r="AO13" s="1248">
        <f t="shared" si="11"/>
        <v>0</v>
      </c>
      <c r="AP13" s="1249">
        <f>IF('Proposed Lighting'!AU13=1,0,IF(K13=0,0,IF(T13&gt;K13,0,IF(G13=0,0,IF(K13&gt;'Proposed Lighting'!AA13,0,IF(AND(AD13&gt;AA13,AA13&gt;0),0,IF(AND('Proposed Lighting'!AU13=3,AM13=0.5),0,IF(AND(AM13&gt;0,AS13&gt;0,BI13&lt;2),0,IF('Proposed Lighting'!CH13=100,0,IF(AV13=1,0,IF(AND(AM13=35,M13+N13&lt;2),0,AM13)))))))))))</f>
        <v>0</v>
      </c>
      <c r="AQ13" s="1249" t="str">
        <f>IFERROR(ROUND(IF(Q13="","",IF('Proposed Lighting'!$X$4=0,0,IF(AND(AM13=35,M13+N13&lt;2),0,IF(T13&gt;K13,0,IF('Proposed Lighting'!AU13=1,0,IF(AJ13=0,0,IF(AND('Proposed Lighting'!AU13=3,AM13=0.5),0,IF(AND(AD13=75,AP13=0,AV13=0),0,IF(AP13&gt;0.01,AP13*T13,IF(AND(F13&gt;1,W13&lt;0.01),0,IF(AND(F13&gt;1,AO13=0),0,IF(AND('Proposed Lighting'!BC13=22,AV13=0),0,IF(AND(AM13&gt;0,AS13&gt;0,BI13&lt;2),0,IF(AND(AS13&gt;0.01,BK13=0),0,IF(AND(AO13=TRUE,AV13=1,F13=3),MIN(AJ13*0.08,L13),IF(AP13&gt;0.01,AP13*T13,IF(AND(AO13=TRUE,AV13=1,F13=2),MIN(AJ13*0.1,L13)))))))))))))))))),2),"")</f>
        <v/>
      </c>
      <c r="AR13" s="1250">
        <f>IF(Q13=0,0,IF('Proposed Lighting'!$X$4=0,0,IF(AND(AM13&gt;0.01,AQ13&gt;0.01),0,IF('Proposed Lighting'!AU13=1,"Missing Interior or Exterior Selection",IF('Proposed Lighting'!CF13=1,"Selection does not match",IF(K13&gt;'Proposed Lighting'!AA13,"Quantity controlled does not match proposed lighting quantity",IF(T13&gt;K13,"Quantity of sensors exceeds proposed lighting quantity",IF(AND(F13&gt;1,'Proposed Lighting'!AU13&lt;&gt;F13),"Selection does not match",IF(AND(AD13&gt;AA13,AA13&gt;0),"Does not meet minimum connected load",IF(AND(O13&gt;0,AS13&gt;0,BK13&gt;0,'Proposed Lighting'!CH13=0),"Select Control Strategies",IF(AND(AC13&gt;0.1,AJ13=0,AQ13=0),"Does not meet incentive criteria",0)))))))))))</f>
        <v>0</v>
      </c>
      <c r="AS13" s="1224">
        <f>IF('Proposed Lighting'!CH13=100,0,IF(ISNUMBER(SEARCH("multiple",Q13)),1,0))</f>
        <v>0</v>
      </c>
      <c r="AT13" s="451">
        <f t="shared" si="8"/>
        <v>0</v>
      </c>
      <c r="AU13" s="451">
        <f t="shared" si="9"/>
        <v>0</v>
      </c>
      <c r="AV13" s="1222">
        <f>IF(ISNUMBER(SEARCH("Networked",'Proposed Lighting'!T13)),0,IF(ISNUMBER(SEARCH("Strategies",'Proposed Lighting'!T13)),0,IF(ISNUMBER(SEARCH("Removal",'Proposed Lighting'!T13)),0,IF(ISNUMBER(SEARCH("non-standard",Q13)),1,0))))</f>
        <v>0</v>
      </c>
      <c r="AW13" s="451" t="s">
        <v>1278</v>
      </c>
      <c r="AX13" s="451">
        <v>0.3</v>
      </c>
      <c r="AY13" s="451" t="s">
        <v>1278</v>
      </c>
      <c r="AZ13" s="451">
        <v>35</v>
      </c>
      <c r="BA13" s="451" t="s">
        <v>1278</v>
      </c>
      <c r="BB13" s="451"/>
      <c r="BC13" s="1215"/>
      <c r="BD13" s="1215"/>
      <c r="BE13" s="1215"/>
      <c r="BF13" s="1215"/>
      <c r="BG13" s="1215"/>
      <c r="BH13" s="1215"/>
      <c r="BI13">
        <f>IF(AND(AS13=1,BC13="No",BD13="Yes",BE13="Yes",BF13="No",BH13="No"),0,IF(AND('Proposed Lighting'!AU13=2,AS13=1,BC13="Yes",BD13="Yes"),2,IF(AND('Proposed Lighting'!AU13=2,AS13=1,BC13="Yes",BE13="Yes"),2,IF(AND('Proposed Lighting'!AU13=2,AS13=1,BC13="Yes",BF13="Yes"),2,IF(AND('Proposed Lighting'!AU13=2,AS13=1,BC13="Yes",BH13="Yes"),2,IF(AND('Proposed Lighting'!AU13=2,AS13=1,BD13="Yes",BF13="Yes"),2,IF(AND('Proposed Lighting'!AU13=2,AS13=1,BD13="Yes",BH13="Yes"),2,IF(AND('Proposed Lighting'!AU13=3,AS13=1,BC13="Yes",BE13="Yes"),2,IF(AND('Proposed Lighting'!AU13=3,AS13=1,BC13="Yes",BF13="Yes"),2,0)))))))))</f>
        <v>0</v>
      </c>
      <c r="BJ13" s="1025">
        <f t="shared" si="10"/>
        <v>0</v>
      </c>
      <c r="BK13">
        <f>IF(AND('Proposed Lighting'!BC13=22,'Lighting Controls'!N13=1),0,IF(ISNUMBER(SEARCH("LED",G13)),1,0))</f>
        <v>0</v>
      </c>
    </row>
    <row r="14" spans="1:63" ht="35.1" customHeight="1">
      <c r="A14" s="917">
        <v>6</v>
      </c>
      <c r="B14" s="1828" t="str">
        <f>IF('Proposed Lighting'!B14="","",'Proposed Lighting'!B14)</f>
        <v/>
      </c>
      <c r="C14" s="1828"/>
      <c r="D14" s="1828"/>
      <c r="E14" s="1245">
        <f>'Proposed Lighting'!AA14</f>
        <v>0</v>
      </c>
      <c r="F14" s="1245">
        <f t="shared" si="0"/>
        <v>0</v>
      </c>
      <c r="G14" s="1830" t="str">
        <f>IF('Proposed Lighting'!T14="","",IF(ISNUMBER(SEARCH("Networked",'Proposed Lighting'!T14)),0,IF(ISNUMBER(SEARCH("Strategies",'Proposed Lighting'!T14)),0,IF(ISNUMBER(SEARCH("Removal",'Proposed Lighting'!T14)),0,'Proposed Lighting'!T14))))</f>
        <v/>
      </c>
      <c r="H14" s="1830"/>
      <c r="I14" s="1830"/>
      <c r="J14" s="1830"/>
      <c r="K14" s="1215"/>
      <c r="L14" s="1246">
        <f t="shared" si="1"/>
        <v>0</v>
      </c>
      <c r="M14" s="1224">
        <f t="shared" si="2"/>
        <v>0</v>
      </c>
      <c r="N14" s="1224">
        <f t="shared" si="3"/>
        <v>0</v>
      </c>
      <c r="O14" s="1825" t="str">
        <f>IF(G14=0,0,IF(ISNA('Proposed Lighting'!AT14),0,'Proposed Lighting'!AT14))</f>
        <v/>
      </c>
      <c r="P14" s="1825"/>
      <c r="Q14" s="1247"/>
      <c r="R14" s="1247"/>
      <c r="S14" s="1247"/>
      <c r="T14" s="1211"/>
      <c r="U14" s="1235">
        <f>IF(K14&gt;0.01,'Proposed Lighting'!CU14,0)</f>
        <v>0</v>
      </c>
      <c r="V14" s="1248">
        <f>IF('Proposed Lighting'!CF14=1,0,IF('Proposed Lighting'!AU14=2,0,IF(AND('Proposed Lighting'!AU14=3,'Proposed Lighting'!CF14=0),1,0)))</f>
        <v>0</v>
      </c>
      <c r="W14" s="1836"/>
      <c r="X14" s="1836"/>
      <c r="Y14" s="1836"/>
      <c r="Z14" s="1230" t="str">
        <f t="shared" si="4"/>
        <v/>
      </c>
      <c r="AA14" s="1230">
        <f t="shared" si="5"/>
        <v>0</v>
      </c>
      <c r="AB14" s="1230">
        <f>IF(Q14=0,0,IF(T14=0,0,IF(AA14=0,0,IF(AND(F14=3,V14=0),0,IF(T14=0,0,IF(K14&gt;'Proposed Lighting'!AA14,0,IF('Proposed Lighting'!EJ14&gt;0.01,(K14*O14)*'Proposed Lighting'!EJ14/1000,(K14*O14)*U14/1000)))))))</f>
        <v>0</v>
      </c>
      <c r="AC14" s="1230" t="str">
        <f t="shared" si="6"/>
        <v/>
      </c>
      <c r="AD14" s="1230">
        <f t="shared" si="7"/>
        <v>0</v>
      </c>
      <c r="AE14" s="1230">
        <f>IF(T14=0,0,IF(K14&gt;'Proposed Lighting'!AA14,0,IF(T14&gt;K14,0,IF(AND(AD14&gt;AA14,AA14&gt;0),0,IF(AND(F14&gt;1,W14&lt;0.01),0,IF('Proposed Lighting'!AU14&gt;'Lighting Controls'!F14,0,IF('Proposed Lighting'!AU14&lt;'Lighting Controls'!F14,0,IF(U14=0,0,Summary!AC317))))))))</f>
        <v>0</v>
      </c>
      <c r="AF14" s="1230">
        <f>IF(T14=0,0,IF(AE14=0,0,IF(K14&gt;'Proposed Lighting'!AA14,0,IF(AND(AD14&gt;AA14,AA14&gt;0),0,IF(U14=0,0,Summary!AD317)))))</f>
        <v>0</v>
      </c>
      <c r="AG14" s="1834">
        <f>IF('Proposed Lighting'!AU14=1,0,IF('Proposed Lighting'!CF14=1,0,T14*W14))</f>
        <v>0</v>
      </c>
      <c r="AH14" s="1834"/>
      <c r="AI14" s="1834"/>
      <c r="AJ14" s="1835">
        <f>IF(T14&lt;1,0,IF(K14&gt;'Proposed Lighting'!AA14,0,IF('Proposed Lighting'!CF14=1,0,IF('Proposed Lighting'!AU14=1,0,IF(T14&gt;K14,0,IF(AND(AD14&gt;AA14,AA14&gt;0),0,IF(AND(F14=2,'Proposed Lighting'!AU14=3),0,IF(AND(F14=3,'Proposed Lighting'!AU14=2),0,IF('Proposed Lighting'!CH14=100,0,IF(AND(F14&lt;3,V14=1,AM14=0),0,IF(AND(F14&gt;1,AF14&lt;1,AN14&lt;1),0,IF(AND(F14&gt;1,AE14&lt;0.69,AF14&lt;1,AN14&lt;1),0,IF(ISERROR(AB14-AC14),"",AB14-AC14)))))))))))))</f>
        <v>0</v>
      </c>
      <c r="AK14" s="1835"/>
      <c r="AL14" s="1835"/>
      <c r="AM14" s="1216">
        <f>IF(Q14=0,0,IF(T14=0,0,IF(T14&gt;K14,0,IF(AND(AS14&gt;0.01,BK14=0),0,IF(AND('Proposed Lighting'!DG14=0,'Lighting Controls'!Z14=0.35),0,IF(AND(T14&lt;=K14,AA14&gt;=AD14,'Proposed Lighting'!AU14=2),VLOOKUP(Q14,$AY$9:$AZ$15,2,FALSE),IF(AND(T14&lt;=K14,AA14&gt;=AD14,'Proposed Lighting'!AU14=3),VLOOKUP(Q14,$AY$17:$AZ$23,2,FALSE))))))))</f>
        <v>0</v>
      </c>
      <c r="AN14" s="1248">
        <f>IF(T14=0,0,IF(K14&gt;'Proposed Lighting'!AA14,0,IF(AE14=0,0,IF(AND(AD14&gt;AA14,AA14&gt;0),0,IF(U14=0,0,Summary!AE317)))))</f>
        <v>0</v>
      </c>
      <c r="AO14" s="1248">
        <f t="shared" si="11"/>
        <v>0</v>
      </c>
      <c r="AP14" s="1249">
        <f>IF('Proposed Lighting'!AU14=1,0,IF(K14=0,0,IF(T14&gt;K14,0,IF(G14=0,0,IF(K14&gt;'Proposed Lighting'!AA14,0,IF(AND(AD14&gt;AA14,AA14&gt;0),0,IF(AND('Proposed Lighting'!AU14=3,AM14=0.5),0,IF(AND(AM14&gt;0,AS14&gt;0,BI14&lt;2),0,IF('Proposed Lighting'!CH14=100,0,IF(AV14=1,0,IF(AND(AM14=35,M14+N14&lt;2),0,AM14)))))))))))</f>
        <v>0</v>
      </c>
      <c r="AQ14" s="1249" t="str">
        <f>IFERROR(ROUND(IF(Q14="","",IF('Proposed Lighting'!$X$4=0,0,IF(AND(AM14=35,M14+N14&lt;2),0,IF(T14&gt;K14,0,IF('Proposed Lighting'!AU14=1,0,IF(AJ14=0,0,IF(AND('Proposed Lighting'!AU14=3,AM14=0.5),0,IF(AND(AD14=75,AP14=0,AV14=0),0,IF(AP14&gt;0.01,AP14*T14,IF(AND(F14&gt;1,W14&lt;0.01),0,IF(AND(F14&gt;1,AO14=0),0,IF(AND('Proposed Lighting'!BC14=22,AV14=0),0,IF(AND(AM14&gt;0,AS14&gt;0,BI14&lt;2),0,IF(AND(AS14&gt;0.01,BK14=0),0,IF(AND(AO14=TRUE,AV14=1,F14=3),MIN(AJ14*0.08,L14),IF(AP14&gt;0.01,AP14*T14,IF(AND(AO14=TRUE,AV14=1,F14=2),MIN(AJ14*0.1,L14)))))))))))))))))),2),"")</f>
        <v/>
      </c>
      <c r="AR14" s="1250">
        <f>IF(Q14=0,0,IF('Proposed Lighting'!$X$4=0,0,IF(AND(AM14&gt;0.01,AQ14&gt;0.01),0,IF('Proposed Lighting'!AU14=1,"Missing Interior or Exterior Selection",IF('Proposed Lighting'!CF14=1,"Selection does not match",IF(K14&gt;'Proposed Lighting'!AA14,"Quantity controlled does not match proposed lighting quantity",IF(T14&gt;K14,"Quantity of sensors exceeds proposed lighting quantity",IF(AND(F14&gt;1,'Proposed Lighting'!AU14&lt;&gt;F14),"Selection does not match",IF(AND(AD14&gt;AA14,AA14&gt;0),"Does not meet minimum connected load",IF(AND(O14&gt;0,AS14&gt;0,BK14&gt;0,'Proposed Lighting'!CH14=0),"Select Control Strategies",IF(AND(AC14&gt;0.1,AJ14=0,AQ14=0),"Does not meet incentive criteria",0)))))))))))</f>
        <v>0</v>
      </c>
      <c r="AS14" s="1224">
        <f>IF('Proposed Lighting'!CH14=100,0,IF(ISNUMBER(SEARCH("multiple",Q14)),1,0))</f>
        <v>0</v>
      </c>
      <c r="AT14" s="451">
        <f t="shared" si="8"/>
        <v>0</v>
      </c>
      <c r="AU14" s="451">
        <f t="shared" si="9"/>
        <v>0</v>
      </c>
      <c r="AV14" s="1222">
        <f>IF(ISNUMBER(SEARCH("Networked",'Proposed Lighting'!T14)),0,IF(ISNUMBER(SEARCH("Strategies",'Proposed Lighting'!T14)),0,IF(ISNUMBER(SEARCH("Removal",'Proposed Lighting'!T14)),0,IF(ISNUMBER(SEARCH("non-standard",Q14)),1,0))))</f>
        <v>0</v>
      </c>
      <c r="AW14" s="451" t="s">
        <v>1277</v>
      </c>
      <c r="AX14" s="451">
        <v>0.25</v>
      </c>
      <c r="AY14" s="451" t="s">
        <v>456</v>
      </c>
      <c r="AZ14" s="451">
        <v>0</v>
      </c>
      <c r="BA14" s="451" t="s">
        <v>456</v>
      </c>
      <c r="BB14" s="451"/>
      <c r="BC14" s="1215"/>
      <c r="BD14" s="1215"/>
      <c r="BE14" s="1215"/>
      <c r="BF14" s="1215"/>
      <c r="BG14" s="1215"/>
      <c r="BH14" s="1215"/>
      <c r="BI14">
        <f>IF(AND(AS14=1,BC14="No",BD14="Yes",BE14="Yes",BF14="No",BH14="No"),0,IF(AND('Proposed Lighting'!AU14=2,AS14=1,BC14="Yes",BD14="Yes"),2,IF(AND('Proposed Lighting'!AU14=2,AS14=1,BC14="Yes",BE14="Yes"),2,IF(AND('Proposed Lighting'!AU14=2,AS14=1,BC14="Yes",BF14="Yes"),2,IF(AND('Proposed Lighting'!AU14=2,AS14=1,BC14="Yes",BH14="Yes"),2,IF(AND('Proposed Lighting'!AU14=2,AS14=1,BD14="Yes",BF14="Yes"),2,IF(AND('Proposed Lighting'!AU14=2,AS14=1,BD14="Yes",BH14="Yes"),2,IF(AND('Proposed Lighting'!AU14=3,AS14=1,BC14="Yes",BE14="Yes"),2,IF(AND('Proposed Lighting'!AU14=3,AS14=1,BC14="Yes",BF14="Yes"),2,0)))))))))</f>
        <v>0</v>
      </c>
      <c r="BJ14" s="1025">
        <f t="shared" si="10"/>
        <v>0</v>
      </c>
      <c r="BK14">
        <f>IF(AND('Proposed Lighting'!BC14=22,'Lighting Controls'!N14=1),0,IF(ISNUMBER(SEARCH("LED",G14)),1,0))</f>
        <v>0</v>
      </c>
    </row>
    <row r="15" spans="1:63" ht="35.1" customHeight="1">
      <c r="A15" s="917">
        <v>7</v>
      </c>
      <c r="B15" s="1828" t="str">
        <f>IF('Proposed Lighting'!B15="","",'Proposed Lighting'!B15)</f>
        <v/>
      </c>
      <c r="C15" s="1828"/>
      <c r="D15" s="1828"/>
      <c r="E15" s="1245">
        <f>'Proposed Lighting'!AA15</f>
        <v>0</v>
      </c>
      <c r="F15" s="1245">
        <f t="shared" si="0"/>
        <v>0</v>
      </c>
      <c r="G15" s="1830" t="str">
        <f>IF('Proposed Lighting'!T15="","",IF(ISNUMBER(SEARCH("Networked",'Proposed Lighting'!T15)),0,IF(ISNUMBER(SEARCH("Strategies",'Proposed Lighting'!T15)),0,IF(ISNUMBER(SEARCH("Removal",'Proposed Lighting'!T15)),0,'Proposed Lighting'!T15))))</f>
        <v/>
      </c>
      <c r="H15" s="1830"/>
      <c r="I15" s="1830"/>
      <c r="J15" s="1830"/>
      <c r="K15" s="1215"/>
      <c r="L15" s="1246">
        <f t="shared" si="1"/>
        <v>0</v>
      </c>
      <c r="M15" s="1224">
        <f t="shared" si="2"/>
        <v>0</v>
      </c>
      <c r="N15" s="1224">
        <f t="shared" si="3"/>
        <v>0</v>
      </c>
      <c r="O15" s="1825" t="str">
        <f>IF(G15=0,0,IF(ISNA('Proposed Lighting'!AT15),0,'Proposed Lighting'!AT15))</f>
        <v/>
      </c>
      <c r="P15" s="1825"/>
      <c r="Q15" s="1247"/>
      <c r="R15" s="1247"/>
      <c r="S15" s="1247"/>
      <c r="T15" s="1211"/>
      <c r="U15" s="1235">
        <f>IF(K15&gt;0.01,'Proposed Lighting'!CU15,0)</f>
        <v>0</v>
      </c>
      <c r="V15" s="1248">
        <f>IF('Proposed Lighting'!CF15=1,0,IF('Proposed Lighting'!AU15=2,0,IF(AND('Proposed Lighting'!AU15=3,'Proposed Lighting'!CF15=0),1,0)))</f>
        <v>0</v>
      </c>
      <c r="W15" s="1836"/>
      <c r="X15" s="1836"/>
      <c r="Y15" s="1836"/>
      <c r="Z15" s="1230" t="str">
        <f t="shared" si="4"/>
        <v/>
      </c>
      <c r="AA15" s="1230">
        <f t="shared" si="5"/>
        <v>0</v>
      </c>
      <c r="AB15" s="1230">
        <f>IF(Q15=0,0,IF(T15=0,0,IF(AA15=0,0,IF(AND(F15=3,V15=0),0,IF(T15=0,0,IF(K15&gt;'Proposed Lighting'!AA15,0,IF('Proposed Lighting'!EJ15&gt;0.01,(K15*O15)*'Proposed Lighting'!EJ15/1000,(K15*O15)*U15/1000)))))))</f>
        <v>0</v>
      </c>
      <c r="AC15" s="1230" t="str">
        <f t="shared" si="6"/>
        <v/>
      </c>
      <c r="AD15" s="1230">
        <f t="shared" si="7"/>
        <v>0</v>
      </c>
      <c r="AE15" s="1230">
        <f>IF(T15=0,0,IF(K15&gt;'Proposed Lighting'!AA15,0,IF(T15&gt;K15,0,IF(AND(AD15&gt;AA15,AA15&gt;0),0,IF(AND(F15&gt;1,W15&lt;0.01),0,IF('Proposed Lighting'!AU15&gt;'Lighting Controls'!F15,0,IF('Proposed Lighting'!AU15&lt;'Lighting Controls'!F15,0,IF(U15=0,0,Summary!AC318))))))))</f>
        <v>0</v>
      </c>
      <c r="AF15" s="1230">
        <f>IF(T15=0,0,IF(AE15=0,0,IF(K15&gt;'Proposed Lighting'!AA15,0,IF(AND(AD15&gt;AA15,AA15&gt;0),0,IF(U15=0,0,Summary!AD318)))))</f>
        <v>0</v>
      </c>
      <c r="AG15" s="1834">
        <f>IF('Proposed Lighting'!AU15=1,0,IF('Proposed Lighting'!CF15=1,0,T15*W15))</f>
        <v>0</v>
      </c>
      <c r="AH15" s="1834"/>
      <c r="AI15" s="1834"/>
      <c r="AJ15" s="1835">
        <f>IF(T15&lt;1,0,IF(K15&gt;'Proposed Lighting'!AA15,0,IF('Proposed Lighting'!CF15=1,0,IF('Proposed Lighting'!AU15=1,0,IF(T15&gt;K15,0,IF(AND(AD15&gt;AA15,AA15&gt;0),0,IF(AND(F15=2,'Proposed Lighting'!AU15=3),0,IF(AND(F15=3,'Proposed Lighting'!AU15=2),0,IF('Proposed Lighting'!CH15=100,0,IF(AND(F15&lt;3,V15=1,AM15=0),0,IF(AND(F15&gt;1,AF15&lt;1,AN15&lt;1),0,IF(AND(F15&gt;1,AE15&lt;0.69,AF15&lt;1,AN15&lt;1),0,IF(ISERROR(AB15-AC15),"",AB15-AC15)))))))))))))</f>
        <v>0</v>
      </c>
      <c r="AK15" s="1835"/>
      <c r="AL15" s="1835"/>
      <c r="AM15" s="1216">
        <f>IF(Q15=0,0,IF(T15=0,0,IF(T15&gt;K15,0,IF(AND(AS15&gt;0.01,BK15=0),0,IF(AND('Proposed Lighting'!DG15=0,'Lighting Controls'!Z15=0.35),0,IF(AND(T15&lt;=K15,AA15&gt;=AD15,'Proposed Lighting'!AU15=2),VLOOKUP(Q15,$AY$9:$AZ$15,2,FALSE),IF(AND(T15&lt;=K15,AA15&gt;=AD15,'Proposed Lighting'!AU15=3),VLOOKUP(Q15,$AY$17:$AZ$23,2,FALSE))))))))</f>
        <v>0</v>
      </c>
      <c r="AN15" s="1248">
        <f>IF(T15=0,0,IF(K15&gt;'Proposed Lighting'!AA15,0,IF(AE15=0,0,IF(AND(AD15&gt;AA15,AA15&gt;0),0,IF(U15=0,0,Summary!AE318)))))</f>
        <v>0</v>
      </c>
      <c r="AO15" s="1248">
        <f t="shared" si="11"/>
        <v>0</v>
      </c>
      <c r="AP15" s="1249">
        <f>IF('Proposed Lighting'!AU15=1,0,IF(K15=0,0,IF(T15&gt;K15,0,IF(G15=0,0,IF(K15&gt;'Proposed Lighting'!AA15,0,IF(AND(AD15&gt;AA15,AA15&gt;0),0,IF(AND('Proposed Lighting'!AU15=3,AM15=0.5),0,IF(AND(AM15&gt;0,AS15&gt;0,BI15&lt;2),0,IF('Proposed Lighting'!CH15=100,0,IF(AV15=1,0,IF(AND(AM15=35,M15+N15&lt;2),0,AM15)))))))))))</f>
        <v>0</v>
      </c>
      <c r="AQ15" s="1249" t="str">
        <f>IFERROR(ROUND(IF(Q15="","",IF('Proposed Lighting'!$X$4=0,0,IF(AND(AM15=35,M15+N15&lt;2),0,IF(T15&gt;K15,0,IF('Proposed Lighting'!AU15=1,0,IF(AJ15=0,0,IF(AND('Proposed Lighting'!AU15=3,AM15=0.5),0,IF(AND(AD15=75,AP15=0,AV15=0),0,IF(AP15&gt;0.01,AP15*T15,IF(AND(F15&gt;1,W15&lt;0.01),0,IF(AND(F15&gt;1,AO15=0),0,IF(AND('Proposed Lighting'!BC15=22,AV15=0),0,IF(AND(AM15&gt;0,AS15&gt;0,BI15&lt;2),0,IF(AND(AS15&gt;0.01,BK15=0),0,IF(AND(AO15=TRUE,AV15=1,F15=3),MIN(AJ15*0.08,L15),IF(AP15&gt;0.01,AP15*T15,IF(AND(AO15=TRUE,AV15=1,F15=2),MIN(AJ15*0.1,L15)))))))))))))))))),2),"")</f>
        <v/>
      </c>
      <c r="AR15" s="1250">
        <f>IF(Q15=0,0,IF('Proposed Lighting'!$X$4=0,0,IF(AND(AM15&gt;0.01,AQ15&gt;0.01),0,IF('Proposed Lighting'!AU15=1,"Missing Interior or Exterior Selection",IF('Proposed Lighting'!CF15=1,"Selection does not match",IF(K15&gt;'Proposed Lighting'!AA15,"Quantity controlled does not match proposed lighting quantity",IF(T15&gt;K15,"Quantity of sensors exceeds proposed lighting quantity",IF(AND(F15&gt;1,'Proposed Lighting'!AU15&lt;&gt;F15),"Selection does not match",IF(AND(AD15&gt;AA15,AA15&gt;0),"Does not meet minimum connected load",IF(AND(O15&gt;0,AS15&gt;0,BK15&gt;0,'Proposed Lighting'!CH15=0),"Select Control Strategies",IF(AND(AC15&gt;0.1,AJ15=0,AQ15=0),"Does not meet incentive criteria",0)))))))))))</f>
        <v>0</v>
      </c>
      <c r="AS15" s="1224">
        <f>IF('Proposed Lighting'!CH15=100,0,IF(ISNUMBER(SEARCH("multiple",Q15)),1,0))</f>
        <v>0</v>
      </c>
      <c r="AT15" s="451">
        <f t="shared" si="8"/>
        <v>0</v>
      </c>
      <c r="AU15" s="451">
        <f t="shared" si="9"/>
        <v>0</v>
      </c>
      <c r="AV15" s="1222">
        <f>IF(ISNUMBER(SEARCH("Networked",'Proposed Lighting'!T15)),0,IF(ISNUMBER(SEARCH("Strategies",'Proposed Lighting'!T15)),0,IF(ISNUMBER(SEARCH("Removal",'Proposed Lighting'!T15)),0,IF(ISNUMBER(SEARCH("non-standard",Q15)),1,0))))</f>
        <v>0</v>
      </c>
      <c r="AW15" s="451" t="s">
        <v>456</v>
      </c>
      <c r="AX15" s="451">
        <v>0.25</v>
      </c>
      <c r="AY15" s="451" t="s">
        <v>1277</v>
      </c>
      <c r="AZ15" s="451">
        <v>0</v>
      </c>
      <c r="BA15" s="451" t="s">
        <v>1277</v>
      </c>
      <c r="BB15" s="451"/>
      <c r="BC15" s="1215"/>
      <c r="BD15" s="1215"/>
      <c r="BE15" s="1215"/>
      <c r="BF15" s="1215"/>
      <c r="BG15" s="1215"/>
      <c r="BH15" s="1215"/>
      <c r="BI15">
        <f>IF(AND(AS15=1,BC15="No",BD15="Yes",BE15="Yes",BF15="No",BH15="No"),0,IF(AND('Proposed Lighting'!AU15=2,AS15=1,BC15="Yes",BD15="Yes"),2,IF(AND('Proposed Lighting'!AU15=2,AS15=1,BC15="Yes",BE15="Yes"),2,IF(AND('Proposed Lighting'!AU15=2,AS15=1,BC15="Yes",BF15="Yes"),2,IF(AND('Proposed Lighting'!AU15=2,AS15=1,BC15="Yes",BH15="Yes"),2,IF(AND('Proposed Lighting'!AU15=2,AS15=1,BD15="Yes",BF15="Yes"),2,IF(AND('Proposed Lighting'!AU15=2,AS15=1,BD15="Yes",BH15="Yes"),2,IF(AND('Proposed Lighting'!AU15=3,AS15=1,BC15="Yes",BE15="Yes"),2,IF(AND('Proposed Lighting'!AU15=3,AS15=1,BC15="Yes",BF15="Yes"),2,0)))))))))</f>
        <v>0</v>
      </c>
      <c r="BJ15" s="1025">
        <f t="shared" si="10"/>
        <v>0</v>
      </c>
      <c r="BK15">
        <f>IF(AND('Proposed Lighting'!BC15=22,'Lighting Controls'!N15=1),0,IF(ISNUMBER(SEARCH("LED",G15)),1,0))</f>
        <v>0</v>
      </c>
    </row>
    <row r="16" spans="1:63" ht="35.1" customHeight="1">
      <c r="A16" s="917">
        <v>8</v>
      </c>
      <c r="B16" s="1828" t="str">
        <f>IF('Proposed Lighting'!B16="","",'Proposed Lighting'!B16)</f>
        <v/>
      </c>
      <c r="C16" s="1828"/>
      <c r="D16" s="1828"/>
      <c r="E16" s="1245">
        <f>'Proposed Lighting'!AA16</f>
        <v>0</v>
      </c>
      <c r="F16" s="1245">
        <f t="shared" si="0"/>
        <v>0</v>
      </c>
      <c r="G16" s="1830" t="str">
        <f>IF('Proposed Lighting'!T16="","",IF(ISNUMBER(SEARCH("Networked",'Proposed Lighting'!T16)),0,IF(ISNUMBER(SEARCH("Strategies",'Proposed Lighting'!T16)),0,IF(ISNUMBER(SEARCH("Removal",'Proposed Lighting'!T16)),0,'Proposed Lighting'!T16))))</f>
        <v/>
      </c>
      <c r="H16" s="1830"/>
      <c r="I16" s="1830"/>
      <c r="J16" s="1830"/>
      <c r="K16" s="1215"/>
      <c r="L16" s="1246">
        <f t="shared" si="1"/>
        <v>0</v>
      </c>
      <c r="M16" s="1224">
        <f t="shared" si="2"/>
        <v>0</v>
      </c>
      <c r="N16" s="1224">
        <f t="shared" si="3"/>
        <v>0</v>
      </c>
      <c r="O16" s="1825" t="str">
        <f>IF(G16=0,0,IF(ISNA('Proposed Lighting'!AT16),0,'Proposed Lighting'!AT16))</f>
        <v/>
      </c>
      <c r="P16" s="1825"/>
      <c r="Q16" s="1247"/>
      <c r="R16" s="1247"/>
      <c r="S16" s="1247"/>
      <c r="T16" s="1211"/>
      <c r="U16" s="1235">
        <f>IF(K16&gt;0.01,'Proposed Lighting'!CU16,0)</f>
        <v>0</v>
      </c>
      <c r="V16" s="1248">
        <f>IF('Proposed Lighting'!CF16=1,0,IF('Proposed Lighting'!AU16=2,0,IF(AND('Proposed Lighting'!AU16=3,'Proposed Lighting'!CF16=0),1,0)))</f>
        <v>0</v>
      </c>
      <c r="W16" s="1836"/>
      <c r="X16" s="1836"/>
      <c r="Y16" s="1836"/>
      <c r="Z16" s="1230" t="str">
        <f t="shared" si="4"/>
        <v/>
      </c>
      <c r="AA16" s="1230">
        <f t="shared" si="5"/>
        <v>0</v>
      </c>
      <c r="AB16" s="1230">
        <f>IF(Q16=0,0,IF(T16=0,0,IF(AA16=0,0,IF(AND(F16=3,V16=0),0,IF(T16=0,0,IF(K16&gt;'Proposed Lighting'!AA16,0,IF('Proposed Lighting'!EJ16&gt;0.01,(K16*O16)*'Proposed Lighting'!EJ16/1000,(K16*O16)*U16/1000)))))))</f>
        <v>0</v>
      </c>
      <c r="AC16" s="1230" t="str">
        <f t="shared" si="6"/>
        <v/>
      </c>
      <c r="AD16" s="1230">
        <f t="shared" si="7"/>
        <v>0</v>
      </c>
      <c r="AE16" s="1230">
        <f>IF(T16=0,0,IF(K16&gt;'Proposed Lighting'!AA16,0,IF(T16&gt;K16,0,IF(AND(AD16&gt;AA16,AA16&gt;0),0,IF(AND(F16&gt;1,W16&lt;0.01),0,IF('Proposed Lighting'!AU16&gt;'Lighting Controls'!F16,0,IF('Proposed Lighting'!AU16&lt;'Lighting Controls'!F16,0,IF(U16=0,0,Summary!AC319))))))))</f>
        <v>0</v>
      </c>
      <c r="AF16" s="1230">
        <f>IF(T16=0,0,IF(AE16=0,0,IF(K16&gt;'Proposed Lighting'!AA16,0,IF(AND(AD16&gt;AA16,AA16&gt;0),0,IF(U16=0,0,Summary!AD319)))))</f>
        <v>0</v>
      </c>
      <c r="AG16" s="1834">
        <f>IF('Proposed Lighting'!AU16=1,0,IF('Proposed Lighting'!CF16=1,0,T16*W16))</f>
        <v>0</v>
      </c>
      <c r="AH16" s="1834"/>
      <c r="AI16" s="1834"/>
      <c r="AJ16" s="1835">
        <f>IF(T16&lt;1,0,IF(K16&gt;'Proposed Lighting'!AA16,0,IF('Proposed Lighting'!CF16=1,0,IF('Proposed Lighting'!AU16=1,0,IF(T16&gt;K16,0,IF(AND(AD16&gt;AA16,AA16&gt;0),0,IF(AND(F16=2,'Proposed Lighting'!AU16=3),0,IF(AND(F16=3,'Proposed Lighting'!AU16=2),0,IF('Proposed Lighting'!CH16=100,0,IF(AND(F16&lt;3,V16=1,AM16=0),0,IF(AND(F16&gt;1,AF16&lt;1,AN16&lt;1),0,IF(AND(F16&gt;1,AE16&lt;0.69,AF16&lt;1,AN16&lt;1),0,IF(ISERROR(AB16-AC16),"",AB16-AC16)))))))))))))</f>
        <v>0</v>
      </c>
      <c r="AK16" s="1835"/>
      <c r="AL16" s="1835"/>
      <c r="AM16" s="1216">
        <f>IF(Q16=0,0,IF(T16=0,0,IF(T16&gt;K16,0,IF(AND(AS16&gt;0.01,BK16=0),0,IF(AND('Proposed Lighting'!DG16=0,'Lighting Controls'!Z16=0.35),0,IF(AND(T16&lt;=K16,AA16&gt;=AD16,'Proposed Lighting'!AU16=2),VLOOKUP(Q16,$AY$9:$AZ$15,2,FALSE),IF(AND(T16&lt;=K16,AA16&gt;=AD16,'Proposed Lighting'!AU16=3),VLOOKUP(Q16,$AY$17:$AZ$23,2,FALSE))))))))</f>
        <v>0</v>
      </c>
      <c r="AN16" s="1248">
        <f>IF(T16=0,0,IF(K16&gt;'Proposed Lighting'!AA16,0,IF(AE16=0,0,IF(AND(AD16&gt;AA16,AA16&gt;0),0,IF(U16=0,0,Summary!AE319)))))</f>
        <v>0</v>
      </c>
      <c r="AO16" s="1248">
        <f t="shared" si="11"/>
        <v>0</v>
      </c>
      <c r="AP16" s="1249">
        <f>IF('Proposed Lighting'!AU16=1,0,IF(K16=0,0,IF(T16&gt;K16,0,IF(G16=0,0,IF(K16&gt;'Proposed Lighting'!AA16,0,IF(AND(AD16&gt;AA16,AA16&gt;0),0,IF(AND('Proposed Lighting'!AU16=3,AM16=0.5),0,IF(AND(AM16&gt;0,AS16&gt;0,BI16&lt;2),0,IF('Proposed Lighting'!CH16=100,0,IF(AV16=1,0,IF(AND(AM16=35,M16+N16&lt;2),0,AM16)))))))))))</f>
        <v>0</v>
      </c>
      <c r="AQ16" s="1249" t="str">
        <f>IFERROR(ROUND(IF(Q16="","",IF('Proposed Lighting'!$X$4=0,0,IF(AND(AM16=35,M16+N16&lt;2),0,IF(T16&gt;K16,0,IF('Proposed Lighting'!AU16=1,0,IF(AJ16=0,0,IF(AND('Proposed Lighting'!AU16=3,AM16=0.5),0,IF(AND(AD16=75,AP16=0,AV16=0),0,IF(AP16&gt;0.01,AP16*T16,IF(AND(F16&gt;1,W16&lt;0.01),0,IF(AND(F16&gt;1,AO16=0),0,IF(AND('Proposed Lighting'!BC16=22,AV16=0),0,IF(AND(AM16&gt;0,AS16&gt;0,BI16&lt;2),0,IF(AND(AS16&gt;0.01,BK16=0),0,IF(AND(AO16=TRUE,AV16=1,F16=3),MIN(AJ16*0.08,L16),IF(AP16&gt;0.01,AP16*T16,IF(AND(AO16=TRUE,AV16=1,F16=2),MIN(AJ16*0.1,L16)))))))))))))))))),2),"")</f>
        <v/>
      </c>
      <c r="AR16" s="1250">
        <f>IF(Q16=0,0,IF('Proposed Lighting'!$X$4=0,0,IF(AND(AM16&gt;0.01,AQ16&gt;0.01),0,IF('Proposed Lighting'!AU16=1,"Missing Interior or Exterior Selection",IF('Proposed Lighting'!CF16=1,"Selection does not match",IF(K16&gt;'Proposed Lighting'!AA16,"Quantity controlled does not match proposed lighting quantity",IF(T16&gt;K16,"Quantity of sensors exceeds proposed lighting quantity",IF(AND(F16&gt;1,'Proposed Lighting'!AU16&lt;&gt;F16),"Selection does not match",IF(AND(AD16&gt;AA16,AA16&gt;0),"Does not meet minimum connected load",IF(AND(O16&gt;0,AS16&gt;0,BK16&gt;0,'Proposed Lighting'!CH16=0),"Select Control Strategies",IF(AND(AC16&gt;0.1,AJ16=0,AQ16=0),"Does not meet incentive criteria",0)))))))))))</f>
        <v>0</v>
      </c>
      <c r="AS16" s="1224">
        <f>IF('Proposed Lighting'!CH16=100,0,IF(ISNUMBER(SEARCH("multiple",Q16)),1,0))</f>
        <v>0</v>
      </c>
      <c r="AT16" s="451">
        <f t="shared" si="8"/>
        <v>0</v>
      </c>
      <c r="AU16" s="451">
        <f t="shared" si="9"/>
        <v>0</v>
      </c>
      <c r="AV16" s="1222">
        <f>IF(ISNUMBER(SEARCH("Networked",'Proposed Lighting'!T16)),0,IF(ISNUMBER(SEARCH("Strategies",'Proposed Lighting'!T16)),0,IF(ISNUMBER(SEARCH("Removal",'Proposed Lighting'!T16)),0,IF(ISNUMBER(SEARCH("non-standard",Q16)),1,0))))</f>
        <v>0</v>
      </c>
      <c r="AW16" s="451">
        <f>IF(AQ9&gt;0.01,AJ9,0)</f>
        <v>0</v>
      </c>
      <c r="AX16" s="451"/>
      <c r="AY16" s="451" t="s">
        <v>1280</v>
      </c>
      <c r="AZ16" s="451"/>
      <c r="BA16" s="451" t="s">
        <v>1282</v>
      </c>
      <c r="BB16" s="451"/>
      <c r="BC16" s="1215"/>
      <c r="BD16" s="1215"/>
      <c r="BE16" s="1215"/>
      <c r="BF16" s="1215"/>
      <c r="BG16" s="1215"/>
      <c r="BH16" s="1215"/>
      <c r="BI16">
        <f>IF(AND(AS16=1,BC16="No",BD16="Yes",BE16="Yes",BF16="No",BH16="No"),0,IF(AND('Proposed Lighting'!AU16=2,AS16=1,BC16="Yes",BD16="Yes"),2,IF(AND('Proposed Lighting'!AU16=2,AS16=1,BC16="Yes",BE16="Yes"),2,IF(AND('Proposed Lighting'!AU16=2,AS16=1,BC16="Yes",BF16="Yes"),2,IF(AND('Proposed Lighting'!AU16=2,AS16=1,BC16="Yes",BH16="Yes"),2,IF(AND('Proposed Lighting'!AU16=2,AS16=1,BD16="Yes",BF16="Yes"),2,IF(AND('Proposed Lighting'!AU16=2,AS16=1,BD16="Yes",BH16="Yes"),2,IF(AND('Proposed Lighting'!AU16=3,AS16=1,BC16="Yes",BE16="Yes"),2,IF(AND('Proposed Lighting'!AU16=3,AS16=1,BC16="Yes",BF16="Yes"),2,0)))))))))</f>
        <v>0</v>
      </c>
      <c r="BJ16" s="1025">
        <f t="shared" si="10"/>
        <v>0</v>
      </c>
      <c r="BK16">
        <f>IF(AND('Proposed Lighting'!BC16=22,'Lighting Controls'!N16=1),0,IF(ISNUMBER(SEARCH("LED",G16)),1,0))</f>
        <v>0</v>
      </c>
    </row>
    <row r="17" spans="1:63" ht="35.1" customHeight="1">
      <c r="A17" s="917">
        <v>9</v>
      </c>
      <c r="B17" s="1828" t="str">
        <f>IF('Proposed Lighting'!B17="","",'Proposed Lighting'!B17)</f>
        <v/>
      </c>
      <c r="C17" s="1828"/>
      <c r="D17" s="1828"/>
      <c r="E17" s="1245">
        <f>'Proposed Lighting'!AA17</f>
        <v>0</v>
      </c>
      <c r="F17" s="1245">
        <f t="shared" si="0"/>
        <v>0</v>
      </c>
      <c r="G17" s="1830" t="str">
        <f>IF('Proposed Lighting'!T17="","",IF(ISNUMBER(SEARCH("Networked",'Proposed Lighting'!T17)),0,IF(ISNUMBER(SEARCH("Strategies",'Proposed Lighting'!T17)),0,IF(ISNUMBER(SEARCH("Removal",'Proposed Lighting'!T17)),0,'Proposed Lighting'!T17))))</f>
        <v/>
      </c>
      <c r="H17" s="1830"/>
      <c r="I17" s="1830"/>
      <c r="J17" s="1830"/>
      <c r="K17" s="1215"/>
      <c r="L17" s="1246">
        <f t="shared" si="1"/>
        <v>0</v>
      </c>
      <c r="M17" s="1224">
        <f t="shared" si="2"/>
        <v>0</v>
      </c>
      <c r="N17" s="1224">
        <f t="shared" si="3"/>
        <v>0</v>
      </c>
      <c r="O17" s="1825" t="str">
        <f>IF(G17=0,0,IF(ISNA('Proposed Lighting'!AT17),0,'Proposed Lighting'!AT17))</f>
        <v/>
      </c>
      <c r="P17" s="1825"/>
      <c r="Q17" s="1247"/>
      <c r="R17" s="1247"/>
      <c r="S17" s="1247"/>
      <c r="T17" s="1211"/>
      <c r="U17" s="1235">
        <f>IF(K17&gt;0.01,'Proposed Lighting'!CU17,0)</f>
        <v>0</v>
      </c>
      <c r="V17" s="1248">
        <f>IF('Proposed Lighting'!CF17=1,0,IF('Proposed Lighting'!AU17=2,0,IF(AND('Proposed Lighting'!AU17=3,'Proposed Lighting'!CF17=0),1,0)))</f>
        <v>0</v>
      </c>
      <c r="W17" s="1836"/>
      <c r="X17" s="1836"/>
      <c r="Y17" s="1836"/>
      <c r="Z17" s="1230" t="str">
        <f t="shared" si="4"/>
        <v/>
      </c>
      <c r="AA17" s="1230">
        <f t="shared" si="5"/>
        <v>0</v>
      </c>
      <c r="AB17" s="1230">
        <f>IF(Q17=0,0,IF(T17=0,0,IF(AA17=0,0,IF(AND(F17=3,V17=0),0,IF(T17=0,0,IF(K17&gt;'Proposed Lighting'!AA17,0,IF('Proposed Lighting'!EJ17&gt;0.01,(K17*O17)*'Proposed Lighting'!EJ17/1000,(K17*O17)*U17/1000)))))))</f>
        <v>0</v>
      </c>
      <c r="AC17" s="1230" t="str">
        <f t="shared" si="6"/>
        <v/>
      </c>
      <c r="AD17" s="1230">
        <f t="shared" si="7"/>
        <v>0</v>
      </c>
      <c r="AE17" s="1230">
        <f>IF(T17=0,0,IF(K17&gt;'Proposed Lighting'!AA17,0,IF(T17&gt;K17,0,IF(AND(AD17&gt;AA17,AA17&gt;0),0,IF(AND(F17&gt;1,W17&lt;0.01),0,IF('Proposed Lighting'!AU17&gt;'Lighting Controls'!F17,0,IF('Proposed Lighting'!AU17&lt;'Lighting Controls'!F17,0,IF(U17=0,0,Summary!AC320))))))))</f>
        <v>0</v>
      </c>
      <c r="AF17" s="1230">
        <f>IF(T17=0,0,IF(AE17=0,0,IF(K17&gt;'Proposed Lighting'!AA17,0,IF(AND(AD17&gt;AA17,AA17&gt;0),0,IF(U17=0,0,Summary!AD320)))))</f>
        <v>0</v>
      </c>
      <c r="AG17" s="1834">
        <f>IF('Proposed Lighting'!AU17=1,0,IF('Proposed Lighting'!CF17=1,0,T17*W17))</f>
        <v>0</v>
      </c>
      <c r="AH17" s="1834"/>
      <c r="AI17" s="1834"/>
      <c r="AJ17" s="1835">
        <f>IF(T17&lt;1,0,IF(K17&gt;'Proposed Lighting'!AA17,0,IF('Proposed Lighting'!CF17=1,0,IF('Proposed Lighting'!AU17=1,0,IF(T17&gt;K17,0,IF(AND(AD17&gt;AA17,AA17&gt;0),0,IF(AND(F17=2,'Proposed Lighting'!AU17=3),0,IF(AND(F17=3,'Proposed Lighting'!AU17=2),0,IF('Proposed Lighting'!CH17=100,0,IF(AND(F17&lt;3,V17=1,AM17=0),0,IF(AND(F17&gt;1,AF17&lt;1,AN17&lt;1),0,IF(AND(F17&gt;1,AE17&lt;0.69,AF17&lt;1,AN17&lt;1),0,IF(ISERROR(AB17-AC17),"",AB17-AC17)))))))))))))</f>
        <v>0</v>
      </c>
      <c r="AK17" s="1835"/>
      <c r="AL17" s="1835"/>
      <c r="AM17" s="1216">
        <f>IF(Q17=0,0,IF(T17=0,0,IF(T17&gt;K17,0,IF(AND(AS17&gt;0.01,BK17=0),0,IF(AND('Proposed Lighting'!DG17=0,'Lighting Controls'!Z17=0.35),0,IF(AND(T17&lt;=K17,AA17&gt;=AD17,'Proposed Lighting'!AU17=2),VLOOKUP(Q17,$AY$9:$AZ$15,2,FALSE),IF(AND(T17&lt;=K17,AA17&gt;=AD17,'Proposed Lighting'!AU17=3),VLOOKUP(Q17,$AY$17:$AZ$23,2,FALSE))))))))</f>
        <v>0</v>
      </c>
      <c r="AN17" s="1248">
        <f>IF(T17=0,0,IF(K17&gt;'Proposed Lighting'!AA17,0,IF(AE17=0,0,IF(AND(AD17&gt;AA17,AA17&gt;0),0,IF(U17=0,0,Summary!AE320)))))</f>
        <v>0</v>
      </c>
      <c r="AO17" s="1248">
        <f t="shared" si="11"/>
        <v>0</v>
      </c>
      <c r="AP17" s="1249">
        <f>IF('Proposed Lighting'!AU17=1,0,IF(K17=0,0,IF(T17&gt;K17,0,IF(G17=0,0,IF(K17&gt;'Proposed Lighting'!AA17,0,IF(AND(AD17&gt;AA17,AA17&gt;0),0,IF(AND('Proposed Lighting'!AU17=3,AM17=0.5),0,IF(AND(AM17&gt;0,AS17&gt;0,BI17&lt;2),0,IF('Proposed Lighting'!CH17=100,0,IF(AV17=1,0,IF(AND(AM17=35,M17+N17&lt;2),0,AM17)))))))))))</f>
        <v>0</v>
      </c>
      <c r="AQ17" s="1249" t="str">
        <f>IFERROR(ROUND(IF(Q17="","",IF('Proposed Lighting'!$X$4=0,0,IF(AND(AM17=35,M17+N17&lt;2),0,IF(T17&gt;K17,0,IF('Proposed Lighting'!AU17=1,0,IF(AJ17=0,0,IF(AND('Proposed Lighting'!AU17=3,AM17=0.5),0,IF(AND(AD17=75,AP17=0,AV17=0),0,IF(AP17&gt;0.01,AP17*T17,IF(AND(F17&gt;1,W17&lt;0.01),0,IF(AND(F17&gt;1,AO17=0),0,IF(AND('Proposed Lighting'!BC17=22,AV17=0),0,IF(AND(AM17&gt;0,AS17&gt;0,BI17&lt;2),0,IF(AND(AS17&gt;0.01,BK17=0),0,IF(AND(AO17=TRUE,AV17=1,F17=3),MIN(AJ17*0.08,L17),IF(AP17&gt;0.01,AP17*T17,IF(AND(AO17=TRUE,AV17=1,F17=2),MIN(AJ17*0.1,L17)))))))))))))))))),2),"")</f>
        <v/>
      </c>
      <c r="AR17" s="1250">
        <f>IF(Q17=0,0,IF('Proposed Lighting'!$X$4=0,0,IF(AND(AM17&gt;0.01,AQ17&gt;0.01),0,IF('Proposed Lighting'!AU17=1,"Missing Interior or Exterior Selection",IF('Proposed Lighting'!CF17=1,"Selection does not match",IF(K17&gt;'Proposed Lighting'!AA17,"Quantity controlled does not match proposed lighting quantity",IF(T17&gt;K17,"Quantity of sensors exceeds proposed lighting quantity",IF(AND(F17&gt;1,'Proposed Lighting'!AU17&lt;&gt;F17),"Selection does not match",IF(AND(AD17&gt;AA17,AA17&gt;0),"Does not meet minimum connected load",IF(AND(O17&gt;0,AS17&gt;0,BK17&gt;0,'Proposed Lighting'!CH17=0),"Select Control Strategies",IF(AND(AC17&gt;0.1,AJ17=0,AQ17=0),"Does not meet incentive criteria",0)))))))))))</f>
        <v>0</v>
      </c>
      <c r="AS17" s="1224">
        <f>IF('Proposed Lighting'!CH17=100,0,IF(ISNUMBER(SEARCH("multiple",Q17)),1,0))</f>
        <v>0</v>
      </c>
      <c r="AT17" s="451">
        <f t="shared" si="8"/>
        <v>0</v>
      </c>
      <c r="AU17" s="451">
        <f t="shared" si="9"/>
        <v>0</v>
      </c>
      <c r="AV17" s="1222">
        <f>IF(ISNUMBER(SEARCH("Networked",'Proposed Lighting'!T17)),0,IF(ISNUMBER(SEARCH("Strategies",'Proposed Lighting'!T17)),0,IF(ISNUMBER(SEARCH("Removal",'Proposed Lighting'!T17)),0,IF(ISNUMBER(SEARCH("non-standard",Q17)),1,0))))</f>
        <v>0</v>
      </c>
      <c r="AW17" s="451">
        <f t="shared" ref="AW17:AW80" si="12">IF(AQ10&gt;0.01,AJ10,0)</f>
        <v>0</v>
      </c>
      <c r="AX17" s="451"/>
      <c r="AY17" s="451" t="s">
        <v>192</v>
      </c>
      <c r="AZ17" s="451">
        <v>0</v>
      </c>
      <c r="BA17" s="451" t="s">
        <v>192</v>
      </c>
      <c r="BB17" s="451">
        <v>0</v>
      </c>
      <c r="BC17" s="1215"/>
      <c r="BD17" s="1215"/>
      <c r="BE17" s="1215"/>
      <c r="BF17" s="1215"/>
      <c r="BG17" s="1215"/>
      <c r="BH17" s="1215"/>
      <c r="BI17">
        <f>IF(AND(AS17=1,BC17="No",BD17="Yes",BE17="Yes",BF17="No",BH17="No"),0,IF(AND('Proposed Lighting'!AU17=2,AS17=1,BC17="Yes",BD17="Yes"),2,IF(AND('Proposed Lighting'!AU17=2,AS17=1,BC17="Yes",BE17="Yes"),2,IF(AND('Proposed Lighting'!AU17=2,AS17=1,BC17="Yes",BF17="Yes"),2,IF(AND('Proposed Lighting'!AU17=2,AS17=1,BC17="Yes",BH17="Yes"),2,IF(AND('Proposed Lighting'!AU17=2,AS17=1,BD17="Yes",BF17="Yes"),2,IF(AND('Proposed Lighting'!AU17=2,AS17=1,BD17="Yes",BH17="Yes"),2,IF(AND('Proposed Lighting'!AU17=3,AS17=1,BC17="Yes",BE17="Yes"),2,IF(AND('Proposed Lighting'!AU17=3,AS17=1,BC17="Yes",BF17="Yes"),2,0)))))))))</f>
        <v>0</v>
      </c>
      <c r="BJ17" s="1025">
        <f t="shared" si="10"/>
        <v>0</v>
      </c>
      <c r="BK17">
        <f>IF(AND('Proposed Lighting'!BC17=22,'Lighting Controls'!N17=1),0,IF(ISNUMBER(SEARCH("LED",G17)),1,0))</f>
        <v>0</v>
      </c>
    </row>
    <row r="18" spans="1:63" ht="35.1" customHeight="1">
      <c r="A18" s="917">
        <v>10</v>
      </c>
      <c r="B18" s="1828" t="str">
        <f>IF('Proposed Lighting'!B18="","",'Proposed Lighting'!B18)</f>
        <v/>
      </c>
      <c r="C18" s="1828"/>
      <c r="D18" s="1828"/>
      <c r="E18" s="1245">
        <f>'Proposed Lighting'!AA18</f>
        <v>0</v>
      </c>
      <c r="F18" s="1245">
        <f t="shared" si="0"/>
        <v>0</v>
      </c>
      <c r="G18" s="1830" t="str">
        <f>IF('Proposed Lighting'!T18="","",IF(ISNUMBER(SEARCH("Networked",'Proposed Lighting'!T18)),0,IF(ISNUMBER(SEARCH("Strategies",'Proposed Lighting'!T18)),0,IF(ISNUMBER(SEARCH("Removal",'Proposed Lighting'!T18)),0,'Proposed Lighting'!T18))))</f>
        <v/>
      </c>
      <c r="H18" s="1830"/>
      <c r="I18" s="1830"/>
      <c r="J18" s="1830"/>
      <c r="K18" s="1215"/>
      <c r="L18" s="1246">
        <f t="shared" si="1"/>
        <v>0</v>
      </c>
      <c r="M18" s="1224">
        <f t="shared" si="2"/>
        <v>0</v>
      </c>
      <c r="N18" s="1224">
        <f t="shared" si="3"/>
        <v>0</v>
      </c>
      <c r="O18" s="1825" t="str">
        <f>IF(G18=0,0,IF(ISNA('Proposed Lighting'!AT18),0,'Proposed Lighting'!AT18))</f>
        <v/>
      </c>
      <c r="P18" s="1825"/>
      <c r="Q18" s="1247"/>
      <c r="R18" s="1247"/>
      <c r="S18" s="1247"/>
      <c r="T18" s="1211"/>
      <c r="U18" s="1235">
        <f>IF(K18&gt;0.01,'Proposed Lighting'!CU18,0)</f>
        <v>0</v>
      </c>
      <c r="V18" s="1248">
        <f>IF('Proposed Lighting'!CF18=1,0,IF('Proposed Lighting'!AU18=2,0,IF(AND('Proposed Lighting'!AU18=3,'Proposed Lighting'!CF18=0),1,0)))</f>
        <v>0</v>
      </c>
      <c r="W18" s="1836"/>
      <c r="X18" s="1836"/>
      <c r="Y18" s="1836"/>
      <c r="Z18" s="1230" t="str">
        <f t="shared" si="4"/>
        <v/>
      </c>
      <c r="AA18" s="1230">
        <f t="shared" si="5"/>
        <v>0</v>
      </c>
      <c r="AB18" s="1230">
        <f>IF(Q18=0,0,IF(T18=0,0,IF(AA18=0,0,IF(AND(F18=3,V18=0),0,IF(T18=0,0,IF(K18&gt;'Proposed Lighting'!AA18,0,IF('Proposed Lighting'!EJ18&gt;0.01,(K18*O18)*'Proposed Lighting'!EJ18/1000,(K18*O18)*U18/1000)))))))</f>
        <v>0</v>
      </c>
      <c r="AC18" s="1230" t="str">
        <f t="shared" si="6"/>
        <v/>
      </c>
      <c r="AD18" s="1230">
        <f t="shared" si="7"/>
        <v>0</v>
      </c>
      <c r="AE18" s="1230">
        <f>IF(T18=0,0,IF(K18&gt;'Proposed Lighting'!AA18,0,IF(T18&gt;K18,0,IF(AND(AD18&gt;AA18,AA18&gt;0),0,IF(AND(F18&gt;1,W18&lt;0.01),0,IF('Proposed Lighting'!AU18&gt;'Lighting Controls'!F18,0,IF('Proposed Lighting'!AU18&lt;'Lighting Controls'!F18,0,IF(U18=0,0,Summary!AC321))))))))</f>
        <v>0</v>
      </c>
      <c r="AF18" s="1230">
        <f>IF(T18=0,0,IF(AE18=0,0,IF(K18&gt;'Proposed Lighting'!AA18,0,IF(AND(AD18&gt;AA18,AA18&gt;0),0,IF(U18=0,0,Summary!AD321)))))</f>
        <v>0</v>
      </c>
      <c r="AG18" s="1834">
        <f>IF('Proposed Lighting'!AU18=1,0,IF('Proposed Lighting'!CF18=1,0,T18*W18))</f>
        <v>0</v>
      </c>
      <c r="AH18" s="1834"/>
      <c r="AI18" s="1834"/>
      <c r="AJ18" s="1835">
        <f>IF(T18&lt;1,0,IF(K18&gt;'Proposed Lighting'!AA18,0,IF('Proposed Lighting'!CF18=1,0,IF('Proposed Lighting'!AU18=1,0,IF(T18&gt;K18,0,IF(AND(AD18&gt;AA18,AA18&gt;0),0,IF(AND(F18=2,'Proposed Lighting'!AU18=3),0,IF(AND(F18=3,'Proposed Lighting'!AU18=2),0,IF('Proposed Lighting'!CH18=100,0,IF(AND(F18&lt;3,V18=1,AM18=0),0,IF(AND(F18&gt;1,AF18&lt;1,AN18&lt;1),0,IF(AND(F18&gt;1,AE18&lt;0.69,AF18&lt;1,AN18&lt;1),0,IF(ISERROR(AB18-AC18),"",AB18-AC18)))))))))))))</f>
        <v>0</v>
      </c>
      <c r="AK18" s="1835"/>
      <c r="AL18" s="1835"/>
      <c r="AM18" s="1216">
        <f>IF(Q18=0,0,IF(T18=0,0,IF(T18&gt;K18,0,IF(AND(AS18&gt;0.01,BK18=0),0,IF(AND('Proposed Lighting'!DG18=0,'Lighting Controls'!Z18=0.35),0,IF(AND(T18&lt;=K18,AA18&gt;=AD18,'Proposed Lighting'!AU18=2),VLOOKUP(Q18,$AY$9:$AZ$15,2,FALSE),IF(AND(T18&lt;=K18,AA18&gt;=AD18,'Proposed Lighting'!AU18=3),VLOOKUP(Q18,$AY$17:$AZ$23,2,FALSE))))))))</f>
        <v>0</v>
      </c>
      <c r="AN18" s="1248">
        <f>IF(T18=0,0,IF(K18&gt;'Proposed Lighting'!AA18,0,IF(AE18=0,0,IF(AND(AD18&gt;AA18,AA18&gt;0),0,IF(U18=0,0,Summary!AE321)))))</f>
        <v>0</v>
      </c>
      <c r="AO18" s="1248">
        <f t="shared" si="11"/>
        <v>0</v>
      </c>
      <c r="AP18" s="1249">
        <f>IF('Proposed Lighting'!AU18=1,0,IF(K18=0,0,IF(T18&gt;K18,0,IF(G18=0,0,IF(K18&gt;'Proposed Lighting'!AA18,0,IF(AND(AD18&gt;AA18,AA18&gt;0),0,IF(AND('Proposed Lighting'!AU18=3,AM18=0.5),0,IF(AND(AM18&gt;0,AS18&gt;0,BI18&lt;2),0,IF('Proposed Lighting'!CH18=100,0,IF(AV18=1,0,IF(AND(AM18=35,M18+N18&lt;2),0,AM18)))))))))))</f>
        <v>0</v>
      </c>
      <c r="AQ18" s="1249" t="str">
        <f>IFERROR(ROUND(IF(Q18="","",IF('Proposed Lighting'!$X$4=0,0,IF(AND(AM18=35,M18+N18&lt;2),0,IF(T18&gt;K18,0,IF('Proposed Lighting'!AU18=1,0,IF(AJ18=0,0,IF(AND('Proposed Lighting'!AU18=3,AM18=0.5),0,IF(AND(AD18=75,AP18=0,AV18=0),0,IF(AP18&gt;0.01,AP18*T18,IF(AND(F18&gt;1,W18&lt;0.01),0,IF(AND(F18&gt;1,AO18=0),0,IF(AND('Proposed Lighting'!BC18=22,AV18=0),0,IF(AND(AM18&gt;0,AS18&gt;0,BI18&lt;2),0,IF(AND(AS18&gt;0.01,BK18=0),0,IF(AND(AO18=TRUE,AV18=1,F18=3),MIN(AJ18*0.08,L18),IF(AP18&gt;0.01,AP18*T18,IF(AND(AO18=TRUE,AV18=1,F18=2),MIN(AJ18*0.1,L18)))))))))))))))))),2),"")</f>
        <v/>
      </c>
      <c r="AR18" s="1250">
        <f>IF(Q18=0,0,IF('Proposed Lighting'!$X$4=0,0,IF(AND(AM18&gt;0.01,AQ18&gt;0.01),0,IF('Proposed Lighting'!AU18=1,"Missing Interior or Exterior Selection",IF('Proposed Lighting'!CF18=1,"Selection does not match",IF(K18&gt;'Proposed Lighting'!AA18,"Quantity controlled does not match proposed lighting quantity",IF(T18&gt;K18,"Quantity of sensors exceeds proposed lighting quantity",IF(AND(F18&gt;1,'Proposed Lighting'!AU18&lt;&gt;F18),"Selection does not match",IF(AND(AD18&gt;AA18,AA18&gt;0),"Does not meet minimum connected load",IF(AND(O18&gt;0,AS18&gt;0,BK18&gt;0,'Proposed Lighting'!CH18=0),"Select Control Strategies",IF(AND(AC18&gt;0.1,AJ18=0,AQ18=0),"Does not meet incentive criteria",0)))))))))))</f>
        <v>0</v>
      </c>
      <c r="AS18" s="1224">
        <f>IF('Proposed Lighting'!CH18=100,0,IF(ISNUMBER(SEARCH("multiple",Q18)),1,0))</f>
        <v>0</v>
      </c>
      <c r="AT18" s="451">
        <f t="shared" si="8"/>
        <v>0</v>
      </c>
      <c r="AU18" s="451">
        <f t="shared" si="9"/>
        <v>0</v>
      </c>
      <c r="AV18" s="1222">
        <f>IF(ISNUMBER(SEARCH("Networked",'Proposed Lighting'!T18)),0,IF(ISNUMBER(SEARCH("Strategies",'Proposed Lighting'!T18)),0,IF(ISNUMBER(SEARCH("Removal",'Proposed Lighting'!T18)),0,IF(ISNUMBER(SEARCH("non-standard",Q18)),1,0))))</f>
        <v>0</v>
      </c>
      <c r="AW18" s="451">
        <f t="shared" si="12"/>
        <v>0</v>
      </c>
      <c r="AX18" s="451"/>
      <c r="AY18" s="451" t="s">
        <v>481</v>
      </c>
      <c r="AZ18" s="451">
        <v>0</v>
      </c>
      <c r="BA18" s="451" t="s">
        <v>481</v>
      </c>
      <c r="BB18" s="451">
        <v>0</v>
      </c>
      <c r="BC18" s="1215"/>
      <c r="BD18" s="1215"/>
      <c r="BE18" s="1215"/>
      <c r="BF18" s="1215"/>
      <c r="BG18" s="1215"/>
      <c r="BH18" s="1215"/>
      <c r="BI18">
        <f>IF(AND(AS18=1,BC18="No",BD18="Yes",BE18="Yes",BF18="No",BH18="No"),0,IF(AND('Proposed Lighting'!AU18=2,AS18=1,BC18="Yes",BD18="Yes"),2,IF(AND('Proposed Lighting'!AU18=2,AS18=1,BC18="Yes",BE18="Yes"),2,IF(AND('Proposed Lighting'!AU18=2,AS18=1,BC18="Yes",BF18="Yes"),2,IF(AND('Proposed Lighting'!AU18=2,AS18=1,BC18="Yes",BH18="Yes"),2,IF(AND('Proposed Lighting'!AU18=2,AS18=1,BD18="Yes",BF18="Yes"),2,IF(AND('Proposed Lighting'!AU18=2,AS18=1,BD18="Yes",BH18="Yes"),2,IF(AND('Proposed Lighting'!AU18=3,AS18=1,BC18="Yes",BE18="Yes"),2,IF(AND('Proposed Lighting'!AU18=3,AS18=1,BC18="Yes",BF18="Yes"),2,0)))))))))</f>
        <v>0</v>
      </c>
      <c r="BJ18" s="1025">
        <f t="shared" si="10"/>
        <v>0</v>
      </c>
      <c r="BK18">
        <f>IF(AND('Proposed Lighting'!BC18=22,'Lighting Controls'!N18=1),0,IF(ISNUMBER(SEARCH("LED",G18)),1,0))</f>
        <v>0</v>
      </c>
    </row>
    <row r="19" spans="1:63" ht="35.1" customHeight="1">
      <c r="A19" s="917">
        <v>11</v>
      </c>
      <c r="B19" s="1828" t="str">
        <f>IF('Proposed Lighting'!B19="","",'Proposed Lighting'!B19)</f>
        <v/>
      </c>
      <c r="C19" s="1828"/>
      <c r="D19" s="1828"/>
      <c r="E19" s="1245">
        <f>'Proposed Lighting'!AA19</f>
        <v>0</v>
      </c>
      <c r="F19" s="1245">
        <f t="shared" si="0"/>
        <v>0</v>
      </c>
      <c r="G19" s="1830" t="str">
        <f>IF('Proposed Lighting'!T19="","",IF(ISNUMBER(SEARCH("Networked",'Proposed Lighting'!T19)),0,IF(ISNUMBER(SEARCH("Strategies",'Proposed Lighting'!T19)),0,IF(ISNUMBER(SEARCH("Removal",'Proposed Lighting'!T19)),0,'Proposed Lighting'!T19))))</f>
        <v/>
      </c>
      <c r="H19" s="1830"/>
      <c r="I19" s="1830"/>
      <c r="J19" s="1830"/>
      <c r="K19" s="1215"/>
      <c r="L19" s="1246">
        <f t="shared" si="1"/>
        <v>0</v>
      </c>
      <c r="M19" s="1224">
        <f t="shared" si="2"/>
        <v>0</v>
      </c>
      <c r="N19" s="1224">
        <f t="shared" si="3"/>
        <v>0</v>
      </c>
      <c r="O19" s="1825" t="str">
        <f>IF(G19=0,0,IF(ISNA('Proposed Lighting'!AT19),0,'Proposed Lighting'!AT19))</f>
        <v/>
      </c>
      <c r="P19" s="1825"/>
      <c r="Q19" s="1247"/>
      <c r="R19" s="1247"/>
      <c r="S19" s="1247"/>
      <c r="T19" s="1211"/>
      <c r="U19" s="1235">
        <f>IF(K19&gt;0.01,'Proposed Lighting'!CU19,0)</f>
        <v>0</v>
      </c>
      <c r="V19" s="1248">
        <f>IF('Proposed Lighting'!CF19=1,0,IF('Proposed Lighting'!AU19=2,0,IF(AND('Proposed Lighting'!AU19=3,'Proposed Lighting'!CF19=0),1,0)))</f>
        <v>0</v>
      </c>
      <c r="W19" s="1836"/>
      <c r="X19" s="1836"/>
      <c r="Y19" s="1836"/>
      <c r="Z19" s="1230" t="str">
        <f t="shared" si="4"/>
        <v/>
      </c>
      <c r="AA19" s="1230">
        <f t="shared" si="5"/>
        <v>0</v>
      </c>
      <c r="AB19" s="1230">
        <f>IF(Q19=0,0,IF(T19=0,0,IF(AA19=0,0,IF(AND(F19=3,V19=0),0,IF(T19=0,0,IF(K19&gt;'Proposed Lighting'!AA19,0,IF('Proposed Lighting'!EJ19&gt;0.01,(K19*O19)*'Proposed Lighting'!EJ19/1000,(K19*O19)*U19/1000)))))))</f>
        <v>0</v>
      </c>
      <c r="AC19" s="1230" t="str">
        <f t="shared" si="6"/>
        <v/>
      </c>
      <c r="AD19" s="1230">
        <f t="shared" si="7"/>
        <v>0</v>
      </c>
      <c r="AE19" s="1230">
        <f>IF(T19=0,0,IF(K19&gt;'Proposed Lighting'!AA19,0,IF(T19&gt;K19,0,IF(AND(AD19&gt;AA19,AA19&gt;0),0,IF(AND(F19&gt;1,W19&lt;0.01),0,IF('Proposed Lighting'!AU19&gt;'Lighting Controls'!F19,0,IF('Proposed Lighting'!AU19&lt;'Lighting Controls'!F19,0,IF(U19=0,0,Summary!AC322))))))))</f>
        <v>0</v>
      </c>
      <c r="AF19" s="1230">
        <f>IF(T19=0,0,IF(AE19=0,0,IF(K19&gt;'Proposed Lighting'!AA19,0,IF(AND(AD19&gt;AA19,AA19&gt;0),0,IF(U19=0,0,Summary!AD322)))))</f>
        <v>0</v>
      </c>
      <c r="AG19" s="1834">
        <f>IF('Proposed Lighting'!AU19=1,0,IF('Proposed Lighting'!CF19=1,0,T19*W19))</f>
        <v>0</v>
      </c>
      <c r="AH19" s="1834"/>
      <c r="AI19" s="1834"/>
      <c r="AJ19" s="1835">
        <f>IF(T19&lt;1,0,IF(K19&gt;'Proposed Lighting'!AA19,0,IF('Proposed Lighting'!CF19=1,0,IF('Proposed Lighting'!AU19=1,0,IF(T19&gt;K19,0,IF(AND(AD19&gt;AA19,AA19&gt;0),0,IF(AND(F19=2,'Proposed Lighting'!AU19=3),0,IF(AND(F19=3,'Proposed Lighting'!AU19=2),0,IF('Proposed Lighting'!CH19=100,0,IF(AND(F19&lt;3,V19=1,AM19=0),0,IF(AND(F19&gt;1,AF19&lt;1,AN19&lt;1),0,IF(AND(F19&gt;1,AE19&lt;0.69,AF19&lt;1,AN19&lt;1),0,IF(ISERROR(AB19-AC19),"",AB19-AC19)))))))))))))</f>
        <v>0</v>
      </c>
      <c r="AK19" s="1835"/>
      <c r="AL19" s="1835"/>
      <c r="AM19" s="1216">
        <f>IF(Q19=0,0,IF(T19=0,0,IF(T19&gt;K19,0,IF(AND(AS19&gt;0.01,BK19=0),0,IF(AND('Proposed Lighting'!DG19=0,'Lighting Controls'!Z19=0.35),0,IF(AND(T19&lt;=K19,AA19&gt;=AD19,'Proposed Lighting'!AU19=2),VLOOKUP(Q19,$AY$9:$AZ$15,2,FALSE),IF(AND(T19&lt;=K19,AA19&gt;=AD19,'Proposed Lighting'!AU19=3),VLOOKUP(Q19,$AY$17:$AZ$23,2,FALSE))))))))</f>
        <v>0</v>
      </c>
      <c r="AN19" s="1248">
        <f>IF(T19=0,0,IF(K19&gt;'Proposed Lighting'!AA19,0,IF(AE19=0,0,IF(AND(AD19&gt;AA19,AA19&gt;0),0,IF(U19=0,0,Summary!AE322)))))</f>
        <v>0</v>
      </c>
      <c r="AO19" s="1248">
        <f t="shared" si="11"/>
        <v>0</v>
      </c>
      <c r="AP19" s="1249">
        <f>IF('Proposed Lighting'!AU19=1,0,IF(K19=0,0,IF(T19&gt;K19,0,IF(G19=0,0,IF(K19&gt;'Proposed Lighting'!AA19,0,IF(AND(AD19&gt;AA19,AA19&gt;0),0,IF(AND('Proposed Lighting'!AU19=3,AM19=0.5),0,IF(AND(AM19&gt;0,AS19&gt;0,BI19&lt;2),0,IF('Proposed Lighting'!CH19=100,0,IF(AV19=1,0,IF(AND(AM19=35,M19+N19&lt;2),0,AM19)))))))))))</f>
        <v>0</v>
      </c>
      <c r="AQ19" s="1249" t="str">
        <f>IFERROR(ROUND(IF(Q19="","",IF('Proposed Lighting'!$X$4=0,0,IF(AND(AM19=35,M19+N19&lt;2),0,IF(T19&gt;K19,0,IF('Proposed Lighting'!AU19=1,0,IF(AJ19=0,0,IF(AND('Proposed Lighting'!AU19=3,AM19=0.5),0,IF(AND(AD19=75,AP19=0,AV19=0),0,IF(AP19&gt;0.01,AP19*T19,IF(AND(F19&gt;1,W19&lt;0.01),0,IF(AND(F19&gt;1,AO19=0),0,IF(AND('Proposed Lighting'!BC19=22,AV19=0),0,IF(AND(AM19&gt;0,AS19&gt;0,BI19&lt;2),0,IF(AND(AS19&gt;0.01,BK19=0),0,IF(AND(AO19=TRUE,AV19=1,F19=3),MIN(AJ19*0.08,L19),IF(AP19&gt;0.01,AP19*T19,IF(AND(AO19=TRUE,AV19=1,F19=2),MIN(AJ19*0.1,L19)))))))))))))))))),2),"")</f>
        <v/>
      </c>
      <c r="AR19" s="1250">
        <f>IF(Q19=0,0,IF('Proposed Lighting'!$X$4=0,0,IF(AND(AM19&gt;0.01,AQ19&gt;0.01),0,IF('Proposed Lighting'!AU19=1,"Missing Interior or Exterior Selection",IF('Proposed Lighting'!CF19=1,"Selection does not match",IF(K19&gt;'Proposed Lighting'!AA19,"Quantity controlled does not match proposed lighting quantity",IF(T19&gt;K19,"Quantity of sensors exceeds proposed lighting quantity",IF(AND(F19&gt;1,'Proposed Lighting'!AU19&lt;&gt;F19),"Selection does not match",IF(AND(AD19&gt;AA19,AA19&gt;0),"Does not meet minimum connected load",IF(AND(O19&gt;0,AS19&gt;0,BK19&gt;0,'Proposed Lighting'!CH19=0),"Select Control Strategies",IF(AND(AC19&gt;0.1,AJ19=0,AQ19=0),"Does not meet incentive criteria",0)))))))))))</f>
        <v>0</v>
      </c>
      <c r="AS19" s="1224">
        <f>IF('Proposed Lighting'!CH19=100,0,IF(ISNUMBER(SEARCH("multiple",Q19)),1,0))</f>
        <v>0</v>
      </c>
      <c r="AT19" s="451">
        <f t="shared" si="8"/>
        <v>0</v>
      </c>
      <c r="AU19" s="451">
        <f t="shared" si="9"/>
        <v>0</v>
      </c>
      <c r="AV19" s="1222">
        <f>IF(ISNUMBER(SEARCH("Networked",'Proposed Lighting'!T19)),0,IF(ISNUMBER(SEARCH("Strategies",'Proposed Lighting'!T19)),0,IF(ISNUMBER(SEARCH("Removal",'Proposed Lighting'!T19)),0,IF(ISNUMBER(SEARCH("non-standard",Q19)),1,0))))</f>
        <v>0</v>
      </c>
      <c r="AW19" s="451">
        <f t="shared" si="12"/>
        <v>0</v>
      </c>
      <c r="AX19" s="451"/>
      <c r="AY19" s="451" t="s">
        <v>193</v>
      </c>
      <c r="AZ19" s="451">
        <v>15</v>
      </c>
      <c r="BA19" s="451" t="s">
        <v>193</v>
      </c>
      <c r="BB19" s="451">
        <v>75</v>
      </c>
      <c r="BC19" s="1215"/>
      <c r="BD19" s="1215"/>
      <c r="BE19" s="1215"/>
      <c r="BF19" s="1215"/>
      <c r="BG19" s="1215"/>
      <c r="BH19" s="1215"/>
      <c r="BI19">
        <f>IF(AND(AS19=1,BC19="No",BD19="Yes",BE19="Yes",BF19="No",BH19="No"),0,IF(AND('Proposed Lighting'!AU19=2,AS19=1,BC19="Yes",BD19="Yes"),2,IF(AND('Proposed Lighting'!AU19=2,AS19=1,BC19="Yes",BE19="Yes"),2,IF(AND('Proposed Lighting'!AU19=2,AS19=1,BC19="Yes",BF19="Yes"),2,IF(AND('Proposed Lighting'!AU19=2,AS19=1,BC19="Yes",BH19="Yes"),2,IF(AND('Proposed Lighting'!AU19=2,AS19=1,BD19="Yes",BF19="Yes"),2,IF(AND('Proposed Lighting'!AU19=2,AS19=1,BD19="Yes",BH19="Yes"),2,IF(AND('Proposed Lighting'!AU19=3,AS19=1,BC19="Yes",BE19="Yes"),2,IF(AND('Proposed Lighting'!AU19=3,AS19=1,BC19="Yes",BF19="Yes"),2,0)))))))))</f>
        <v>0</v>
      </c>
      <c r="BJ19" s="1025">
        <f t="shared" si="10"/>
        <v>0</v>
      </c>
      <c r="BK19">
        <f>IF(AND('Proposed Lighting'!BC19=22,'Lighting Controls'!N19=1),0,IF(ISNUMBER(SEARCH("LED",G19)),1,0))</f>
        <v>0</v>
      </c>
    </row>
    <row r="20" spans="1:63" ht="35.1" customHeight="1">
      <c r="A20" s="917">
        <v>12</v>
      </c>
      <c r="B20" s="1828" t="str">
        <f>IF('Proposed Lighting'!B20="","",'Proposed Lighting'!B20)</f>
        <v/>
      </c>
      <c r="C20" s="1828"/>
      <c r="D20" s="1828"/>
      <c r="E20" s="1245">
        <f>'Proposed Lighting'!AA20</f>
        <v>0</v>
      </c>
      <c r="F20" s="1245">
        <f t="shared" si="0"/>
        <v>0</v>
      </c>
      <c r="G20" s="1830" t="str">
        <f>IF('Proposed Lighting'!T20="","",IF(ISNUMBER(SEARCH("Networked",'Proposed Lighting'!T20)),0,IF(ISNUMBER(SEARCH("Strategies",'Proposed Lighting'!T20)),0,IF(ISNUMBER(SEARCH("Removal",'Proposed Lighting'!T20)),0,'Proposed Lighting'!T20))))</f>
        <v/>
      </c>
      <c r="H20" s="1830"/>
      <c r="I20" s="1830"/>
      <c r="J20" s="1830"/>
      <c r="K20" s="1215"/>
      <c r="L20" s="1246">
        <f t="shared" si="1"/>
        <v>0</v>
      </c>
      <c r="M20" s="1224">
        <f t="shared" si="2"/>
        <v>0</v>
      </c>
      <c r="N20" s="1224">
        <f t="shared" si="3"/>
        <v>0</v>
      </c>
      <c r="O20" s="1825" t="str">
        <f>IF(G20=0,0,IF(ISNA('Proposed Lighting'!AT20),0,'Proposed Lighting'!AT20))</f>
        <v/>
      </c>
      <c r="P20" s="1825"/>
      <c r="Q20" s="1247"/>
      <c r="R20" s="1247"/>
      <c r="S20" s="1247"/>
      <c r="T20" s="1211"/>
      <c r="U20" s="1235">
        <f>IF(K20&gt;0.01,'Proposed Lighting'!CU20,0)</f>
        <v>0</v>
      </c>
      <c r="V20" s="1248">
        <f>IF('Proposed Lighting'!CF20=1,0,IF('Proposed Lighting'!AU20=2,0,IF(AND('Proposed Lighting'!AU20=3,'Proposed Lighting'!CF20=0),1,0)))</f>
        <v>0</v>
      </c>
      <c r="W20" s="1836"/>
      <c r="X20" s="1836"/>
      <c r="Y20" s="1836"/>
      <c r="Z20" s="1230" t="str">
        <f t="shared" si="4"/>
        <v/>
      </c>
      <c r="AA20" s="1230">
        <f t="shared" si="5"/>
        <v>0</v>
      </c>
      <c r="AB20" s="1230">
        <f>IF(Q20=0,0,IF(T20=0,0,IF(AA20=0,0,IF(AND(F20=3,V20=0),0,IF(T20=0,0,IF(K20&gt;'Proposed Lighting'!AA20,0,IF('Proposed Lighting'!EJ20&gt;0.01,(K20*O20)*'Proposed Lighting'!EJ20/1000,(K20*O20)*U20/1000)))))))</f>
        <v>0</v>
      </c>
      <c r="AC20" s="1230" t="str">
        <f t="shared" si="6"/>
        <v/>
      </c>
      <c r="AD20" s="1230">
        <f t="shared" si="7"/>
        <v>0</v>
      </c>
      <c r="AE20" s="1230">
        <f>IF(T20=0,0,IF(K20&gt;'Proposed Lighting'!AA20,0,IF(T20&gt;K20,0,IF(AND(AD20&gt;AA20,AA20&gt;0),0,IF(AND(F20&gt;1,W20&lt;0.01),0,IF('Proposed Lighting'!AU20&gt;'Lighting Controls'!F20,0,IF('Proposed Lighting'!AU20&lt;'Lighting Controls'!F20,0,IF(U20=0,0,Summary!AC323))))))))</f>
        <v>0</v>
      </c>
      <c r="AF20" s="1230">
        <f>IF(T20=0,0,IF(AE20=0,0,IF(K20&gt;'Proposed Lighting'!AA20,0,IF(AND(AD20&gt;AA20,AA20&gt;0),0,IF(U20=0,0,Summary!AD323)))))</f>
        <v>0</v>
      </c>
      <c r="AG20" s="1834">
        <f>IF('Proposed Lighting'!AU20=1,0,IF('Proposed Lighting'!CF20=1,0,T20*W20))</f>
        <v>0</v>
      </c>
      <c r="AH20" s="1834"/>
      <c r="AI20" s="1834"/>
      <c r="AJ20" s="1835">
        <f>IF(T20&lt;1,0,IF(K20&gt;'Proposed Lighting'!AA20,0,IF('Proposed Lighting'!CF20=1,0,IF('Proposed Lighting'!AU20=1,0,IF(T20&gt;K20,0,IF(AND(AD20&gt;AA20,AA20&gt;0),0,IF(AND(F20=2,'Proposed Lighting'!AU20=3),0,IF(AND(F20=3,'Proposed Lighting'!AU20=2),0,IF('Proposed Lighting'!CH20=100,0,IF(AND(F20&lt;3,V20=1,AM20=0),0,IF(AND(F20&gt;1,AF20&lt;1,AN20&lt;1),0,IF(AND(F20&gt;1,AE20&lt;0.69,AF20&lt;1,AN20&lt;1),0,IF(ISERROR(AB20-AC20),"",AB20-AC20)))))))))))))</f>
        <v>0</v>
      </c>
      <c r="AK20" s="1835"/>
      <c r="AL20" s="1835"/>
      <c r="AM20" s="1216">
        <f>IF(Q20=0,0,IF(T20=0,0,IF(T20&gt;K20,0,IF(AND(AS20&gt;0.01,BK20=0),0,IF(AND('Proposed Lighting'!DG20=0,'Lighting Controls'!Z20=0.35),0,IF(AND(T20&lt;=K20,AA20&gt;=AD20,'Proposed Lighting'!AU20=2),VLOOKUP(Q20,$AY$9:$AZ$15,2,FALSE),IF(AND(T20&lt;=K20,AA20&gt;=AD20,'Proposed Lighting'!AU20=3),VLOOKUP(Q20,$AY$17:$AZ$23,2,FALSE))))))))</f>
        <v>0</v>
      </c>
      <c r="AN20" s="1248">
        <f>IF(T20=0,0,IF(K20&gt;'Proposed Lighting'!AA20,0,IF(AE20=0,0,IF(AND(AD20&gt;AA20,AA20&gt;0),0,IF(U20=0,0,Summary!AE323)))))</f>
        <v>0</v>
      </c>
      <c r="AO20" s="1248">
        <f t="shared" si="11"/>
        <v>0</v>
      </c>
      <c r="AP20" s="1249">
        <f>IF('Proposed Lighting'!AU20=1,0,IF(K20=0,0,IF(T20&gt;K20,0,IF(G20=0,0,IF(K20&gt;'Proposed Lighting'!AA20,0,IF(AND(AD20&gt;AA20,AA20&gt;0),0,IF(AND('Proposed Lighting'!AU20=3,AM20=0.5),0,IF(AND(AM20&gt;0,AS20&gt;0,BI20&lt;2),0,IF('Proposed Lighting'!CH20=100,0,IF(AV20=1,0,IF(AND(AM20=35,M20+N20&lt;2),0,AM20)))))))))))</f>
        <v>0</v>
      </c>
      <c r="AQ20" s="1249" t="str">
        <f>IFERROR(ROUND(IF(Q20="","",IF('Proposed Lighting'!$X$4=0,0,IF(AND(AM20=35,M20+N20&lt;2),0,IF(T20&gt;K20,0,IF('Proposed Lighting'!AU20=1,0,IF(AJ20=0,0,IF(AND('Proposed Lighting'!AU20=3,AM20=0.5),0,IF(AND(AD20=75,AP20=0,AV20=0),0,IF(AP20&gt;0.01,AP20*T20,IF(AND(F20&gt;1,W20&lt;0.01),0,IF(AND(F20&gt;1,AO20=0),0,IF(AND('Proposed Lighting'!BC20=22,AV20=0),0,IF(AND(AM20&gt;0,AS20&gt;0,BI20&lt;2),0,IF(AND(AS20&gt;0.01,BK20=0),0,IF(AND(AO20=TRUE,AV20=1,F20=3),MIN(AJ20*0.08,L20),IF(AP20&gt;0.01,AP20*T20,IF(AND(AO20=TRUE,AV20=1,F20=2),MIN(AJ20*0.1,L20)))))))))))))))))),2),"")</f>
        <v/>
      </c>
      <c r="AR20" s="1250">
        <f>IF(Q20=0,0,IF('Proposed Lighting'!$X$4=0,0,IF(AND(AM20&gt;0.01,AQ20&gt;0.01),0,IF('Proposed Lighting'!AU20=1,"Missing Interior or Exterior Selection",IF('Proposed Lighting'!CF20=1,"Selection does not match",IF(K20&gt;'Proposed Lighting'!AA20,"Quantity controlled does not match proposed lighting quantity",IF(T20&gt;K20,"Quantity of sensors exceeds proposed lighting quantity",IF(AND(F20&gt;1,'Proposed Lighting'!AU20&lt;&gt;F20),"Selection does not match",IF(AND(AD20&gt;AA20,AA20&gt;0),"Does not meet minimum connected load",IF(AND(O20&gt;0,AS20&gt;0,BK20&gt;0,'Proposed Lighting'!CH20=0),"Select Control Strategies",IF(AND(AC20&gt;0.1,AJ20=0,AQ20=0),"Does not meet incentive criteria",0)))))))))))</f>
        <v>0</v>
      </c>
      <c r="AS20" s="1224">
        <f>IF('Proposed Lighting'!CH20=100,0,IF(ISNUMBER(SEARCH("multiple",Q20)),1,0))</f>
        <v>0</v>
      </c>
      <c r="AT20" s="451">
        <f t="shared" si="8"/>
        <v>0</v>
      </c>
      <c r="AU20" s="451">
        <f t="shared" si="9"/>
        <v>0</v>
      </c>
      <c r="AV20" s="1222">
        <f>IF(ISNUMBER(SEARCH("Networked",'Proposed Lighting'!T20)),0,IF(ISNUMBER(SEARCH("Strategies",'Proposed Lighting'!T20)),0,IF(ISNUMBER(SEARCH("Removal",'Proposed Lighting'!T20)),0,IF(ISNUMBER(SEARCH("non-standard",Q20)),1,0))))</f>
        <v>0</v>
      </c>
      <c r="AW20" s="451">
        <f t="shared" si="12"/>
        <v>0</v>
      </c>
      <c r="AX20" s="451"/>
      <c r="AY20" s="451" t="s">
        <v>1161</v>
      </c>
      <c r="AZ20" s="451">
        <v>0</v>
      </c>
      <c r="BA20" s="451" t="s">
        <v>1161</v>
      </c>
      <c r="BB20" s="451">
        <v>0</v>
      </c>
      <c r="BC20" s="1215"/>
      <c r="BD20" s="1215"/>
      <c r="BE20" s="1215"/>
      <c r="BF20" s="1215"/>
      <c r="BG20" s="1215"/>
      <c r="BH20" s="1215"/>
      <c r="BI20">
        <f>IF(AND(AS20=1,BC20="No",BD20="Yes",BE20="Yes",BF20="No",BH20="No"),0,IF(AND('Proposed Lighting'!AU20=2,AS20=1,BC20="Yes",BD20="Yes"),2,IF(AND('Proposed Lighting'!AU20=2,AS20=1,BC20="Yes",BE20="Yes"),2,IF(AND('Proposed Lighting'!AU20=2,AS20=1,BC20="Yes",BF20="Yes"),2,IF(AND('Proposed Lighting'!AU20=2,AS20=1,BC20="Yes",BH20="Yes"),2,IF(AND('Proposed Lighting'!AU20=2,AS20=1,BD20="Yes",BF20="Yes"),2,IF(AND('Proposed Lighting'!AU20=2,AS20=1,BD20="Yes",BH20="Yes"),2,IF(AND('Proposed Lighting'!AU20=3,AS20=1,BC20="Yes",BE20="Yes"),2,IF(AND('Proposed Lighting'!AU20=3,AS20=1,BC20="Yes",BF20="Yes"),2,0)))))))))</f>
        <v>0</v>
      </c>
      <c r="BJ20" s="1025">
        <f t="shared" si="10"/>
        <v>0</v>
      </c>
      <c r="BK20">
        <f>IF(AND('Proposed Lighting'!BC20=22,'Lighting Controls'!N20=1),0,IF(ISNUMBER(SEARCH("LED",G20)),1,0))</f>
        <v>0</v>
      </c>
    </row>
    <row r="21" spans="1:63" ht="35.1" customHeight="1">
      <c r="A21" s="917">
        <v>13</v>
      </c>
      <c r="B21" s="1828" t="str">
        <f>IF('Proposed Lighting'!B21="","",'Proposed Lighting'!B21)</f>
        <v/>
      </c>
      <c r="C21" s="1828"/>
      <c r="D21" s="1828"/>
      <c r="E21" s="1245">
        <f>'Proposed Lighting'!AA21</f>
        <v>0</v>
      </c>
      <c r="F21" s="1245">
        <f t="shared" si="0"/>
        <v>0</v>
      </c>
      <c r="G21" s="1830" t="str">
        <f>IF('Proposed Lighting'!T21="","",IF(ISNUMBER(SEARCH("Networked",'Proposed Lighting'!T21)),0,IF(ISNUMBER(SEARCH("Strategies",'Proposed Lighting'!T21)),0,IF(ISNUMBER(SEARCH("Removal",'Proposed Lighting'!T21)),0,'Proposed Lighting'!T21))))</f>
        <v/>
      </c>
      <c r="H21" s="1830"/>
      <c r="I21" s="1830"/>
      <c r="J21" s="1830"/>
      <c r="K21" s="1215"/>
      <c r="L21" s="1246">
        <f t="shared" si="1"/>
        <v>0</v>
      </c>
      <c r="M21" s="1224">
        <f t="shared" si="2"/>
        <v>0</v>
      </c>
      <c r="N21" s="1224">
        <f t="shared" si="3"/>
        <v>0</v>
      </c>
      <c r="O21" s="1825" t="str">
        <f>IF(G21=0,0,IF(ISNA('Proposed Lighting'!AT21),0,'Proposed Lighting'!AT21))</f>
        <v/>
      </c>
      <c r="P21" s="1825"/>
      <c r="Q21" s="1247"/>
      <c r="R21" s="1247"/>
      <c r="S21" s="1247"/>
      <c r="T21" s="1211"/>
      <c r="U21" s="1235">
        <f>IF(K21&gt;0.01,'Proposed Lighting'!CU21,0)</f>
        <v>0</v>
      </c>
      <c r="V21" s="1248">
        <f>IF('Proposed Lighting'!CF21=1,0,IF('Proposed Lighting'!AU21=2,0,IF(AND('Proposed Lighting'!AU21=3,'Proposed Lighting'!CF21=0),1,0)))</f>
        <v>0</v>
      </c>
      <c r="W21" s="1836"/>
      <c r="X21" s="1836"/>
      <c r="Y21" s="1836"/>
      <c r="Z21" s="1230" t="str">
        <f t="shared" si="4"/>
        <v/>
      </c>
      <c r="AA21" s="1230">
        <f t="shared" si="5"/>
        <v>0</v>
      </c>
      <c r="AB21" s="1230">
        <f>IF(Q21=0,0,IF(T21=0,0,IF(AA21=0,0,IF(AND(F21=3,V21=0),0,IF(T21=0,0,IF(K21&gt;'Proposed Lighting'!AA21,0,IF('Proposed Lighting'!EJ21&gt;0.01,(K21*O21)*'Proposed Lighting'!EJ21/1000,(K21*O21)*U21/1000)))))))</f>
        <v>0</v>
      </c>
      <c r="AC21" s="1230" t="str">
        <f t="shared" si="6"/>
        <v/>
      </c>
      <c r="AD21" s="1230">
        <f t="shared" si="7"/>
        <v>0</v>
      </c>
      <c r="AE21" s="1230">
        <f>IF(T21=0,0,IF(K21&gt;'Proposed Lighting'!AA21,0,IF(T21&gt;K21,0,IF(AND(AD21&gt;AA21,AA21&gt;0),0,IF(AND(F21&gt;1,W21&lt;0.01),0,IF('Proposed Lighting'!AU21&gt;'Lighting Controls'!F21,0,IF('Proposed Lighting'!AU21&lt;'Lighting Controls'!F21,0,IF(U21=0,0,Summary!AC324))))))))</f>
        <v>0</v>
      </c>
      <c r="AF21" s="1230">
        <f>IF(T21=0,0,IF(AE21=0,0,IF(K21&gt;'Proposed Lighting'!AA21,0,IF(AND(AD21&gt;AA21,AA21&gt;0),0,IF(U21=0,0,Summary!AD324)))))</f>
        <v>0</v>
      </c>
      <c r="AG21" s="1834">
        <f>IF('Proposed Lighting'!AU21=1,0,IF('Proposed Lighting'!CF21=1,0,T21*W21))</f>
        <v>0</v>
      </c>
      <c r="AH21" s="1834"/>
      <c r="AI21" s="1834"/>
      <c r="AJ21" s="1835">
        <f>IF(T21&lt;1,0,IF(K21&gt;'Proposed Lighting'!AA21,0,IF('Proposed Lighting'!CF21=1,0,IF('Proposed Lighting'!AU21=1,0,IF(T21&gt;K21,0,IF(AND(AD21&gt;AA21,AA21&gt;0),0,IF(AND(F21=2,'Proposed Lighting'!AU21=3),0,IF(AND(F21=3,'Proposed Lighting'!AU21=2),0,IF('Proposed Lighting'!CH21=100,0,IF(AND(F21&lt;3,V21=1,AM21=0),0,IF(AND(F21&gt;1,AF21&lt;1,AN21&lt;1),0,IF(AND(F21&gt;1,AE21&lt;0.69,AF21&lt;1,AN21&lt;1),0,IF(ISERROR(AB21-AC21),"",AB21-AC21)))))))))))))</f>
        <v>0</v>
      </c>
      <c r="AK21" s="1835"/>
      <c r="AL21" s="1835"/>
      <c r="AM21" s="1216">
        <f>IF(Q21=0,0,IF(T21=0,0,IF(T21&gt;K21,0,IF(AND(AS21&gt;0.01,BK21=0),0,IF(AND('Proposed Lighting'!DG21=0,'Lighting Controls'!Z21=0.35),0,IF(AND(T21&lt;=K21,AA21&gt;=AD21,'Proposed Lighting'!AU21=2),VLOOKUP(Q21,$AY$9:$AZ$15,2,FALSE),IF(AND(T21&lt;=K21,AA21&gt;=AD21,'Proposed Lighting'!AU21=3),VLOOKUP(Q21,$AY$17:$AZ$23,2,FALSE))))))))</f>
        <v>0</v>
      </c>
      <c r="AN21" s="1248">
        <f>IF(T21=0,0,IF(K21&gt;'Proposed Lighting'!AA21,0,IF(AE21=0,0,IF(AND(AD21&gt;AA21,AA21&gt;0),0,IF(U21=0,0,Summary!AE324)))))</f>
        <v>0</v>
      </c>
      <c r="AO21" s="1248">
        <f t="shared" si="11"/>
        <v>0</v>
      </c>
      <c r="AP21" s="1249">
        <f>IF('Proposed Lighting'!AU21=1,0,IF(K21=0,0,IF(T21&gt;K21,0,IF(G21=0,0,IF(K21&gt;'Proposed Lighting'!AA21,0,IF(AND(AD21&gt;AA21,AA21&gt;0),0,IF(AND('Proposed Lighting'!AU21=3,AM21=0.5),0,IF(AND(AM21&gt;0,AS21&gt;0,BI21&lt;2),0,IF('Proposed Lighting'!CH21=100,0,IF(AV21=1,0,IF(AND(AM21=35,M21+N21&lt;2),0,AM21)))))))))))</f>
        <v>0</v>
      </c>
      <c r="AQ21" s="1249" t="str">
        <f>IFERROR(ROUND(IF(Q21="","",IF('Proposed Lighting'!$X$4=0,0,IF(AND(AM21=35,M21+N21&lt;2),0,IF(T21&gt;K21,0,IF('Proposed Lighting'!AU21=1,0,IF(AJ21=0,0,IF(AND('Proposed Lighting'!AU21=3,AM21=0.5),0,IF(AND(AD21=75,AP21=0,AV21=0),0,IF(AP21&gt;0.01,AP21*T21,IF(AND(F21&gt;1,W21&lt;0.01),0,IF(AND(F21&gt;1,AO21=0),0,IF(AND('Proposed Lighting'!BC21=22,AV21=0),0,IF(AND(AM21&gt;0,AS21&gt;0,BI21&lt;2),0,IF(AND(AS21&gt;0.01,BK21=0),0,IF(AND(AO21=TRUE,AV21=1,F21=3),MIN(AJ21*0.08,L21),IF(AP21&gt;0.01,AP21*T21,IF(AND(AO21=TRUE,AV21=1,F21=2),MIN(AJ21*0.1,L21)))))))))))))))))),2),"")</f>
        <v/>
      </c>
      <c r="AR21" s="1250">
        <f>IF(Q21=0,0,IF('Proposed Lighting'!$X$4=0,0,IF(AND(AM21&gt;0.01,AQ21&gt;0.01),0,IF('Proposed Lighting'!AU21=1,"Missing Interior or Exterior Selection",IF('Proposed Lighting'!CF21=1,"Selection does not match",IF(K21&gt;'Proposed Lighting'!AA21,"Quantity controlled does not match proposed lighting quantity",IF(T21&gt;K21,"Quantity of sensors exceeds proposed lighting quantity",IF(AND(F21&gt;1,'Proposed Lighting'!AU21&lt;&gt;F21),"Selection does not match",IF(AND(AD21&gt;AA21,AA21&gt;0),"Does not meet minimum connected load",IF(AND(O21&gt;0,AS21&gt;0,BK21&gt;0,'Proposed Lighting'!CH21=0),"Select Control Strategies",IF(AND(AC21&gt;0.1,AJ21=0,AQ21=0),"Does not meet incentive criteria",0)))))))))))</f>
        <v>0</v>
      </c>
      <c r="AS21" s="1224">
        <f>IF('Proposed Lighting'!CH21=100,0,IF(ISNUMBER(SEARCH("multiple",Q21)),1,0))</f>
        <v>0</v>
      </c>
      <c r="AT21" s="451">
        <f t="shared" si="8"/>
        <v>0</v>
      </c>
      <c r="AU21" s="451">
        <f t="shared" si="9"/>
        <v>0</v>
      </c>
      <c r="AV21" s="1222">
        <f>IF(ISNUMBER(SEARCH("Networked",'Proposed Lighting'!T21)),0,IF(ISNUMBER(SEARCH("Strategies",'Proposed Lighting'!T21)),0,IF(ISNUMBER(SEARCH("Removal",'Proposed Lighting'!T21)),0,IF(ISNUMBER(SEARCH("non-standard",Q21)),1,0))))</f>
        <v>0</v>
      </c>
      <c r="AW21" s="451">
        <f t="shared" si="12"/>
        <v>0</v>
      </c>
      <c r="AX21" s="451"/>
      <c r="AY21" s="451" t="s">
        <v>1278</v>
      </c>
      <c r="AZ21" s="451">
        <v>25</v>
      </c>
      <c r="BA21" s="451" t="s">
        <v>1278</v>
      </c>
      <c r="BB21" s="451">
        <v>75</v>
      </c>
      <c r="BC21" s="1215"/>
      <c r="BD21" s="1215"/>
      <c r="BE21" s="1215"/>
      <c r="BF21" s="1215"/>
      <c r="BG21" s="1215"/>
      <c r="BH21" s="1215"/>
      <c r="BI21">
        <f>IF(AND(AS21=1,BC21="No",BD21="Yes",BE21="Yes",BF21="No",BH21="No"),0,IF(AND('Proposed Lighting'!AU21=2,AS21=1,BC21="Yes",BD21="Yes"),2,IF(AND('Proposed Lighting'!AU21=2,AS21=1,BC21="Yes",BE21="Yes"),2,IF(AND('Proposed Lighting'!AU21=2,AS21=1,BC21="Yes",BF21="Yes"),2,IF(AND('Proposed Lighting'!AU21=2,AS21=1,BC21="Yes",BH21="Yes"),2,IF(AND('Proposed Lighting'!AU21=2,AS21=1,BD21="Yes",BF21="Yes"),2,IF(AND('Proposed Lighting'!AU21=2,AS21=1,BD21="Yes",BH21="Yes"),2,IF(AND('Proposed Lighting'!AU21=3,AS21=1,BC21="Yes",BE21="Yes"),2,IF(AND('Proposed Lighting'!AU21=3,AS21=1,BC21="Yes",BF21="Yes"),2,0)))))))))</f>
        <v>0</v>
      </c>
      <c r="BJ21" s="1025">
        <f t="shared" si="10"/>
        <v>0</v>
      </c>
      <c r="BK21">
        <f>IF(AND('Proposed Lighting'!BC21=22,'Lighting Controls'!N21=1),0,IF(ISNUMBER(SEARCH("LED",G21)),1,0))</f>
        <v>0</v>
      </c>
    </row>
    <row r="22" spans="1:63" ht="35.1" customHeight="1">
      <c r="A22" s="917">
        <v>14</v>
      </c>
      <c r="B22" s="1828" t="str">
        <f>IF('Proposed Lighting'!B22="","",'Proposed Lighting'!B22)</f>
        <v/>
      </c>
      <c r="C22" s="1828"/>
      <c r="D22" s="1828"/>
      <c r="E22" s="1245">
        <f>'Proposed Lighting'!AA22</f>
        <v>0</v>
      </c>
      <c r="F22" s="1245">
        <f t="shared" si="0"/>
        <v>0</v>
      </c>
      <c r="G22" s="1830" t="str">
        <f>IF('Proposed Lighting'!T22="","",IF(ISNUMBER(SEARCH("Networked",'Proposed Lighting'!T22)),0,IF(ISNUMBER(SEARCH("Strategies",'Proposed Lighting'!T22)),0,IF(ISNUMBER(SEARCH("Removal",'Proposed Lighting'!T22)),0,'Proposed Lighting'!T22))))</f>
        <v/>
      </c>
      <c r="H22" s="1830"/>
      <c r="I22" s="1830"/>
      <c r="J22" s="1830"/>
      <c r="K22" s="1215"/>
      <c r="L22" s="1246">
        <f t="shared" si="1"/>
        <v>0</v>
      </c>
      <c r="M22" s="1224">
        <f t="shared" si="2"/>
        <v>0</v>
      </c>
      <c r="N22" s="1224">
        <f t="shared" si="3"/>
        <v>0</v>
      </c>
      <c r="O22" s="1825" t="str">
        <f>IF(G22=0,0,IF(ISNA('Proposed Lighting'!AT22),0,'Proposed Lighting'!AT22))</f>
        <v/>
      </c>
      <c r="P22" s="1825"/>
      <c r="Q22" s="1247"/>
      <c r="R22" s="1247"/>
      <c r="S22" s="1247"/>
      <c r="T22" s="1211"/>
      <c r="U22" s="1235">
        <f>IF(K22&gt;0.01,'Proposed Lighting'!CU22,0)</f>
        <v>0</v>
      </c>
      <c r="V22" s="1248">
        <f>IF('Proposed Lighting'!CF22=1,0,IF('Proposed Lighting'!AU22=2,0,IF(AND('Proposed Lighting'!AU22=3,'Proposed Lighting'!CF22=0),1,0)))</f>
        <v>0</v>
      </c>
      <c r="W22" s="1836"/>
      <c r="X22" s="1836"/>
      <c r="Y22" s="1836"/>
      <c r="Z22" s="1230" t="str">
        <f t="shared" si="4"/>
        <v/>
      </c>
      <c r="AA22" s="1230">
        <f t="shared" si="5"/>
        <v>0</v>
      </c>
      <c r="AB22" s="1230">
        <f>IF(Q22=0,0,IF(T22=0,0,IF(AA22=0,0,IF(AND(F22=3,V22=0),0,IF(T22=0,0,IF(K22&gt;'Proposed Lighting'!AA22,0,IF('Proposed Lighting'!EJ22&gt;0.01,(K22*O22)*'Proposed Lighting'!EJ22/1000,(K22*O22)*U22/1000)))))))</f>
        <v>0</v>
      </c>
      <c r="AC22" s="1230" t="str">
        <f t="shared" si="6"/>
        <v/>
      </c>
      <c r="AD22" s="1230">
        <f t="shared" si="7"/>
        <v>0</v>
      </c>
      <c r="AE22" s="1230">
        <f>IF(T22=0,0,IF(K22&gt;'Proposed Lighting'!AA22,0,IF(T22&gt;K22,0,IF(AND(AD22&gt;AA22,AA22&gt;0),0,IF(AND(F22&gt;1,W22&lt;0.01),0,IF('Proposed Lighting'!AU22&gt;'Lighting Controls'!F22,0,IF('Proposed Lighting'!AU22&lt;'Lighting Controls'!F22,0,IF(U22=0,0,Summary!AC325))))))))</f>
        <v>0</v>
      </c>
      <c r="AF22" s="1230">
        <f>IF(T22=0,0,IF(AE22=0,0,IF(K22&gt;'Proposed Lighting'!AA22,0,IF(AND(AD22&gt;AA22,AA22&gt;0),0,IF(U22=0,0,Summary!AD325)))))</f>
        <v>0</v>
      </c>
      <c r="AG22" s="1834">
        <f>IF('Proposed Lighting'!AU22=1,0,IF('Proposed Lighting'!CF22=1,0,T22*W22))</f>
        <v>0</v>
      </c>
      <c r="AH22" s="1834"/>
      <c r="AI22" s="1834"/>
      <c r="AJ22" s="1835">
        <f>IF(T22&lt;1,0,IF(K22&gt;'Proposed Lighting'!AA22,0,IF('Proposed Lighting'!CF22=1,0,IF('Proposed Lighting'!AU22=1,0,IF(T22&gt;K22,0,IF(AND(AD22&gt;AA22,AA22&gt;0),0,IF(AND(F22=2,'Proposed Lighting'!AU22=3),0,IF(AND(F22=3,'Proposed Lighting'!AU22=2),0,IF('Proposed Lighting'!CH22=100,0,IF(AND(F22&lt;3,V22=1,AM22=0),0,IF(AND(F22&gt;1,AF22&lt;1,AN22&lt;1),0,IF(AND(F22&gt;1,AE22&lt;0.69,AF22&lt;1,AN22&lt;1),0,IF(ISERROR(AB22-AC22),"",AB22-AC22)))))))))))))</f>
        <v>0</v>
      </c>
      <c r="AK22" s="1835"/>
      <c r="AL22" s="1835"/>
      <c r="AM22" s="1216">
        <f>IF(Q22=0,0,IF(T22=0,0,IF(T22&gt;K22,0,IF(AND(AS22&gt;0.01,BK22=0),0,IF(AND('Proposed Lighting'!DG22=0,'Lighting Controls'!Z22=0.35),0,IF(AND(T22&lt;=K22,AA22&gt;=AD22,'Proposed Lighting'!AU22=2),VLOOKUP(Q22,$AY$9:$AZ$15,2,FALSE),IF(AND(T22&lt;=K22,AA22&gt;=AD22,'Proposed Lighting'!AU22=3),VLOOKUP(Q22,$AY$17:$AZ$23,2,FALSE))))))))</f>
        <v>0</v>
      </c>
      <c r="AN22" s="1248">
        <f>IF(T22=0,0,IF(K22&gt;'Proposed Lighting'!AA22,0,IF(AE22=0,0,IF(AND(AD22&gt;AA22,AA22&gt;0),0,IF(U22=0,0,Summary!AE325)))))</f>
        <v>0</v>
      </c>
      <c r="AO22" s="1248">
        <f t="shared" si="11"/>
        <v>0</v>
      </c>
      <c r="AP22" s="1249">
        <f>IF('Proposed Lighting'!AU22=1,0,IF(K22=0,0,IF(T22&gt;K22,0,IF(G22=0,0,IF(K22&gt;'Proposed Lighting'!AA22,0,IF(AND(AD22&gt;AA22,AA22&gt;0),0,IF(AND('Proposed Lighting'!AU22=3,AM22=0.5),0,IF(AND(AM22&gt;0,AS22&gt;0,BI22&lt;2),0,IF('Proposed Lighting'!CH22=100,0,IF(AV22=1,0,IF(AND(AM22=35,M22+N22&lt;2),0,AM22)))))))))))</f>
        <v>0</v>
      </c>
      <c r="AQ22" s="1249" t="str">
        <f>IFERROR(ROUND(IF(Q22="","",IF('Proposed Lighting'!$X$4=0,0,IF(AND(AM22=35,M22+N22&lt;2),0,IF(T22&gt;K22,0,IF('Proposed Lighting'!AU22=1,0,IF(AJ22=0,0,IF(AND('Proposed Lighting'!AU22=3,AM22=0.5),0,IF(AND(AD22=75,AP22=0,AV22=0),0,IF(AP22&gt;0.01,AP22*T22,IF(AND(F22&gt;1,W22&lt;0.01),0,IF(AND(F22&gt;1,AO22=0),0,IF(AND('Proposed Lighting'!BC22=22,AV22=0),0,IF(AND(AM22&gt;0,AS22&gt;0,BI22&lt;2),0,IF(AND(AS22&gt;0.01,BK22=0),0,IF(AND(AO22=TRUE,AV22=1,F22=3),MIN(AJ22*0.08,L22),IF(AP22&gt;0.01,AP22*T22,IF(AND(AO22=TRUE,AV22=1,F22=2),MIN(AJ22*0.1,L22)))))))))))))))))),2),"")</f>
        <v/>
      </c>
      <c r="AR22" s="1250">
        <f>IF(Q22=0,0,IF('Proposed Lighting'!$X$4=0,0,IF(AND(AM22&gt;0.01,AQ22&gt;0.01),0,IF('Proposed Lighting'!AU22=1,"Missing Interior or Exterior Selection",IF('Proposed Lighting'!CF22=1,"Selection does not match",IF(K22&gt;'Proposed Lighting'!AA22,"Quantity controlled does not match proposed lighting quantity",IF(T22&gt;K22,"Quantity of sensors exceeds proposed lighting quantity",IF(AND(F22&gt;1,'Proposed Lighting'!AU22&lt;&gt;F22),"Selection does not match",IF(AND(AD22&gt;AA22,AA22&gt;0),"Does not meet minimum connected load",IF(AND(O22&gt;0,AS22&gt;0,BK22&gt;0,'Proposed Lighting'!CH22=0),"Select Control Strategies",IF(AND(AC22&gt;0.1,AJ22=0,AQ22=0),"Does not meet incentive criteria",0)))))))))))</f>
        <v>0</v>
      </c>
      <c r="AS22" s="1224">
        <f>IF('Proposed Lighting'!CH22=100,0,IF(ISNUMBER(SEARCH("multiple",Q22)),1,0))</f>
        <v>0</v>
      </c>
      <c r="AT22" s="451">
        <f t="shared" si="8"/>
        <v>0</v>
      </c>
      <c r="AU22" s="451">
        <f t="shared" si="9"/>
        <v>0</v>
      </c>
      <c r="AV22" s="1222">
        <f>IF(ISNUMBER(SEARCH("Networked",'Proposed Lighting'!T22)),0,IF(ISNUMBER(SEARCH("Strategies",'Proposed Lighting'!T22)),0,IF(ISNUMBER(SEARCH("Removal",'Proposed Lighting'!T22)),0,IF(ISNUMBER(SEARCH("non-standard",Q22)),1,0))))</f>
        <v>0</v>
      </c>
      <c r="AW22" s="451">
        <f t="shared" si="12"/>
        <v>0</v>
      </c>
      <c r="AX22" s="451"/>
      <c r="AY22" s="451" t="s">
        <v>456</v>
      </c>
      <c r="AZ22" s="451">
        <v>0</v>
      </c>
      <c r="BA22" s="451" t="s">
        <v>456</v>
      </c>
      <c r="BB22" s="451">
        <v>0</v>
      </c>
      <c r="BC22" s="1215"/>
      <c r="BD22" s="1215"/>
      <c r="BE22" s="1215"/>
      <c r="BF22" s="1215"/>
      <c r="BG22" s="1215"/>
      <c r="BH22" s="1215"/>
      <c r="BI22">
        <f>IF(AND(AS22=1,BC22="No",BD22="Yes",BE22="Yes",BF22="No",BH22="No"),0,IF(AND('Proposed Lighting'!AU22=2,AS22=1,BC22="Yes",BD22="Yes"),2,IF(AND('Proposed Lighting'!AU22=2,AS22=1,BC22="Yes",BE22="Yes"),2,IF(AND('Proposed Lighting'!AU22=2,AS22=1,BC22="Yes",BF22="Yes"),2,IF(AND('Proposed Lighting'!AU22=2,AS22=1,BC22="Yes",BH22="Yes"),2,IF(AND('Proposed Lighting'!AU22=2,AS22=1,BD22="Yes",BF22="Yes"),2,IF(AND('Proposed Lighting'!AU22=2,AS22=1,BD22="Yes",BH22="Yes"),2,IF(AND('Proposed Lighting'!AU22=3,AS22=1,BC22="Yes",BE22="Yes"),2,IF(AND('Proposed Lighting'!AU22=3,AS22=1,BC22="Yes",BF22="Yes"),2,0)))))))))</f>
        <v>0</v>
      </c>
      <c r="BJ22" s="1025">
        <f t="shared" si="10"/>
        <v>0</v>
      </c>
      <c r="BK22">
        <f>IF(AND('Proposed Lighting'!BC22=22,'Lighting Controls'!N22=1),0,IF(ISNUMBER(SEARCH("LED",G22)),1,0))</f>
        <v>0</v>
      </c>
    </row>
    <row r="23" spans="1:63" ht="35.1" customHeight="1">
      <c r="A23" s="917">
        <v>15</v>
      </c>
      <c r="B23" s="1828" t="str">
        <f>IF('Proposed Lighting'!B23="","",'Proposed Lighting'!B23)</f>
        <v/>
      </c>
      <c r="C23" s="1828"/>
      <c r="D23" s="1828"/>
      <c r="E23" s="1245">
        <f>'Proposed Lighting'!AA23</f>
        <v>0</v>
      </c>
      <c r="F23" s="1245">
        <f t="shared" si="0"/>
        <v>0</v>
      </c>
      <c r="G23" s="1830" t="str">
        <f>IF('Proposed Lighting'!T23="","",IF(ISNUMBER(SEARCH("Networked",'Proposed Lighting'!T23)),0,IF(ISNUMBER(SEARCH("Strategies",'Proposed Lighting'!T23)),0,IF(ISNUMBER(SEARCH("Removal",'Proposed Lighting'!T23)),0,'Proposed Lighting'!T23))))</f>
        <v/>
      </c>
      <c r="H23" s="1830"/>
      <c r="I23" s="1830"/>
      <c r="J23" s="1830"/>
      <c r="K23" s="1215"/>
      <c r="L23" s="1246">
        <f t="shared" si="1"/>
        <v>0</v>
      </c>
      <c r="M23" s="1224">
        <f t="shared" si="2"/>
        <v>0</v>
      </c>
      <c r="N23" s="1224">
        <f t="shared" si="3"/>
        <v>0</v>
      </c>
      <c r="O23" s="1825" t="str">
        <f>IF(G23=0,0,IF(ISNA('Proposed Lighting'!AT23),0,'Proposed Lighting'!AT23))</f>
        <v/>
      </c>
      <c r="P23" s="1825"/>
      <c r="Q23" s="1247"/>
      <c r="R23" s="1247"/>
      <c r="S23" s="1247"/>
      <c r="T23" s="1211"/>
      <c r="U23" s="1235">
        <f>IF(K23&gt;0.01,'Proposed Lighting'!CU23,0)</f>
        <v>0</v>
      </c>
      <c r="V23" s="1248">
        <f>IF('Proposed Lighting'!CF23=1,0,IF('Proposed Lighting'!AU23=2,0,IF(AND('Proposed Lighting'!AU23=3,'Proposed Lighting'!CF23=0),1,0)))</f>
        <v>0</v>
      </c>
      <c r="W23" s="1836"/>
      <c r="X23" s="1836"/>
      <c r="Y23" s="1836"/>
      <c r="Z23" s="1230" t="str">
        <f t="shared" si="4"/>
        <v/>
      </c>
      <c r="AA23" s="1230">
        <f t="shared" si="5"/>
        <v>0</v>
      </c>
      <c r="AB23" s="1230">
        <f>IF(Q23=0,0,IF(T23=0,0,IF(AA23=0,0,IF(AND(F23=3,V23=0),0,IF(T23=0,0,IF(K23&gt;'Proposed Lighting'!AA23,0,IF('Proposed Lighting'!EJ23&gt;0.01,(K23*O23)*'Proposed Lighting'!EJ23/1000,(K23*O23)*U23/1000)))))))</f>
        <v>0</v>
      </c>
      <c r="AC23" s="1230" t="str">
        <f t="shared" si="6"/>
        <v/>
      </c>
      <c r="AD23" s="1230">
        <f t="shared" si="7"/>
        <v>0</v>
      </c>
      <c r="AE23" s="1230">
        <f>IF(T23=0,0,IF(K23&gt;'Proposed Lighting'!AA23,0,IF(T23&gt;K23,0,IF(AND(AD23&gt;AA23,AA23&gt;0),0,IF(AND(F23&gt;1,W23&lt;0.01),0,IF('Proposed Lighting'!AU23&gt;'Lighting Controls'!F23,0,IF('Proposed Lighting'!AU23&lt;'Lighting Controls'!F23,0,IF(U23=0,0,Summary!AC326))))))))</f>
        <v>0</v>
      </c>
      <c r="AF23" s="1230">
        <f>IF(T23=0,0,IF(AE23=0,0,IF(K23&gt;'Proposed Lighting'!AA23,0,IF(AND(AD23&gt;AA23,AA23&gt;0),0,IF(U23=0,0,Summary!AD326)))))</f>
        <v>0</v>
      </c>
      <c r="AG23" s="1834">
        <f>IF('Proposed Lighting'!AU23=1,0,IF('Proposed Lighting'!CF23=1,0,T23*W23))</f>
        <v>0</v>
      </c>
      <c r="AH23" s="1834"/>
      <c r="AI23" s="1834"/>
      <c r="AJ23" s="1835">
        <f>IF(T23&lt;1,0,IF(K23&gt;'Proposed Lighting'!AA23,0,IF('Proposed Lighting'!CF23=1,0,IF('Proposed Lighting'!AU23=1,0,IF(T23&gt;K23,0,IF(AND(AD23&gt;AA23,AA23&gt;0),0,IF(AND(F23=2,'Proposed Lighting'!AU23=3),0,IF(AND(F23=3,'Proposed Lighting'!AU23=2),0,IF('Proposed Lighting'!CH23=100,0,IF(AND(F23&lt;3,V23=1,AM23=0),0,IF(AND(F23&gt;1,AF23&lt;1,AN23&lt;1),0,IF(AND(F23&gt;1,AE23&lt;0.69,AF23&lt;1,AN23&lt;1),0,IF(ISERROR(AB23-AC23),"",AB23-AC23)))))))))))))</f>
        <v>0</v>
      </c>
      <c r="AK23" s="1835"/>
      <c r="AL23" s="1835"/>
      <c r="AM23" s="1216">
        <f>IF(Q23=0,0,IF(T23=0,0,IF(T23&gt;K23,0,IF(AND(AS23&gt;0.01,BK23=0),0,IF(AND('Proposed Lighting'!DG23=0,'Lighting Controls'!Z23=0.35),0,IF(AND(T23&lt;=K23,AA23&gt;=AD23,'Proposed Lighting'!AU23=2),VLOOKUP(Q23,$AY$9:$AZ$15,2,FALSE),IF(AND(T23&lt;=K23,AA23&gt;=AD23,'Proposed Lighting'!AU23=3),VLOOKUP(Q23,$AY$17:$AZ$23,2,FALSE))))))))</f>
        <v>0</v>
      </c>
      <c r="AN23" s="1248">
        <f>IF(T23=0,0,IF(K23&gt;'Proposed Lighting'!AA23,0,IF(AE23=0,0,IF(AND(AD23&gt;AA23,AA23&gt;0),0,IF(U23=0,0,Summary!AE326)))))</f>
        <v>0</v>
      </c>
      <c r="AO23" s="1248">
        <f t="shared" si="11"/>
        <v>0</v>
      </c>
      <c r="AP23" s="1249">
        <f>IF('Proposed Lighting'!AU23=1,0,IF(K23=0,0,IF(T23&gt;K23,0,IF(G23=0,0,IF(K23&gt;'Proposed Lighting'!AA23,0,IF(AND(AD23&gt;AA23,AA23&gt;0),0,IF(AND('Proposed Lighting'!AU23=3,AM23=0.5),0,IF(AND(AM23&gt;0,AS23&gt;0,BI23&lt;2),0,IF('Proposed Lighting'!CH23=100,0,IF(AV23=1,0,IF(AND(AM23=35,M23+N23&lt;2),0,AM23)))))))))))</f>
        <v>0</v>
      </c>
      <c r="AQ23" s="1249" t="str">
        <f>IFERROR(ROUND(IF(Q23="","",IF('Proposed Lighting'!$X$4=0,0,IF(AND(AM23=35,M23+N23&lt;2),0,IF(T23&gt;K23,0,IF('Proposed Lighting'!AU23=1,0,IF(AJ23=0,0,IF(AND('Proposed Lighting'!AU23=3,AM23=0.5),0,IF(AND(AD23=75,AP23=0,AV23=0),0,IF(AP23&gt;0.01,AP23*T23,IF(AND(F23&gt;1,W23&lt;0.01),0,IF(AND(F23&gt;1,AO23=0),0,IF(AND('Proposed Lighting'!BC23=22,AV23=0),0,IF(AND(AM23&gt;0,AS23&gt;0,BI23&lt;2),0,IF(AND(AS23&gt;0.01,BK23=0),0,IF(AND(AO23=TRUE,AV23=1,F23=3),MIN(AJ23*0.08,L23),IF(AP23&gt;0.01,AP23*T23,IF(AND(AO23=TRUE,AV23=1,F23=2),MIN(AJ23*0.1,L23)))))))))))))))))),2),"")</f>
        <v/>
      </c>
      <c r="AR23" s="1250">
        <f>IF(Q23=0,0,IF('Proposed Lighting'!$X$4=0,0,IF(AND(AM23&gt;0.01,AQ23&gt;0.01),0,IF('Proposed Lighting'!AU23=1,"Missing Interior or Exterior Selection",IF('Proposed Lighting'!CF23=1,"Selection does not match",IF(K23&gt;'Proposed Lighting'!AA23,"Quantity controlled does not match proposed lighting quantity",IF(T23&gt;K23,"Quantity of sensors exceeds proposed lighting quantity",IF(AND(F23&gt;1,'Proposed Lighting'!AU23&lt;&gt;F23),"Selection does not match",IF(AND(AD23&gt;AA23,AA23&gt;0),"Does not meet minimum connected load",IF(AND(O23&gt;0,AS23&gt;0,BK23&gt;0,'Proposed Lighting'!CH23=0),"Select Control Strategies",IF(AND(AC23&gt;0.1,AJ23=0,AQ23=0),"Does not meet incentive criteria",0)))))))))))</f>
        <v>0</v>
      </c>
      <c r="AS23" s="1224">
        <f>IF('Proposed Lighting'!CH23=100,0,IF(ISNUMBER(SEARCH("multiple",Q23)),1,0))</f>
        <v>0</v>
      </c>
      <c r="AT23" s="451">
        <f t="shared" si="8"/>
        <v>0</v>
      </c>
      <c r="AU23" s="451">
        <f t="shared" si="9"/>
        <v>0</v>
      </c>
      <c r="AV23" s="1222">
        <f>IF(ISNUMBER(SEARCH("Networked",'Proposed Lighting'!T23)),0,IF(ISNUMBER(SEARCH("Strategies",'Proposed Lighting'!T23)),0,IF(ISNUMBER(SEARCH("Removal",'Proposed Lighting'!T23)),0,IF(ISNUMBER(SEARCH("non-standard",Q23)),1,0))))</f>
        <v>0</v>
      </c>
      <c r="AW23" s="451">
        <f t="shared" si="12"/>
        <v>0</v>
      </c>
      <c r="AX23" s="451"/>
      <c r="AY23" s="451" t="s">
        <v>1277</v>
      </c>
      <c r="AZ23" s="451">
        <v>0</v>
      </c>
      <c r="BA23" s="451" t="s">
        <v>1277</v>
      </c>
      <c r="BB23" s="451">
        <v>0</v>
      </c>
      <c r="BC23" s="1215"/>
      <c r="BD23" s="1215"/>
      <c r="BE23" s="1215"/>
      <c r="BF23" s="1215"/>
      <c r="BG23" s="1215"/>
      <c r="BH23" s="1215"/>
      <c r="BI23">
        <f>IF(AND(AS23=1,BC23="No",BD23="Yes",BE23="Yes",BF23="No",BH23="No"),0,IF(AND('Proposed Lighting'!AU23=2,AS23=1,BC23="Yes",BD23="Yes"),2,IF(AND('Proposed Lighting'!AU23=2,AS23=1,BC23="Yes",BE23="Yes"),2,IF(AND('Proposed Lighting'!AU23=2,AS23=1,BC23="Yes",BF23="Yes"),2,IF(AND('Proposed Lighting'!AU23=2,AS23=1,BC23="Yes",BH23="Yes"),2,IF(AND('Proposed Lighting'!AU23=2,AS23=1,BD23="Yes",BF23="Yes"),2,IF(AND('Proposed Lighting'!AU23=2,AS23=1,BD23="Yes",BH23="Yes"),2,IF(AND('Proposed Lighting'!AU23=3,AS23=1,BC23="Yes",BE23="Yes"),2,IF(AND('Proposed Lighting'!AU23=3,AS23=1,BC23="Yes",BF23="Yes"),2,0)))))))))</f>
        <v>0</v>
      </c>
      <c r="BJ23" s="1025">
        <f t="shared" si="10"/>
        <v>0</v>
      </c>
      <c r="BK23">
        <f>IF(AND('Proposed Lighting'!BC23=22,'Lighting Controls'!N23=1),0,IF(ISNUMBER(SEARCH("LED",G23)),1,0))</f>
        <v>0</v>
      </c>
    </row>
    <row r="24" spans="1:63" ht="35.1" customHeight="1">
      <c r="A24" s="917">
        <v>16</v>
      </c>
      <c r="B24" s="1828" t="str">
        <f>IF('Proposed Lighting'!B24="","",'Proposed Lighting'!B24)</f>
        <v/>
      </c>
      <c r="C24" s="1828"/>
      <c r="D24" s="1828"/>
      <c r="E24" s="1245">
        <f>'Proposed Lighting'!AA24</f>
        <v>0</v>
      </c>
      <c r="F24" s="1245">
        <f t="shared" si="0"/>
        <v>0</v>
      </c>
      <c r="G24" s="1830" t="str">
        <f>IF('Proposed Lighting'!T24="","",IF(ISNUMBER(SEARCH("Networked",'Proposed Lighting'!T24)),0,IF(ISNUMBER(SEARCH("Strategies",'Proposed Lighting'!T24)),0,IF(ISNUMBER(SEARCH("Removal",'Proposed Lighting'!T24)),0,'Proposed Lighting'!T24))))</f>
        <v/>
      </c>
      <c r="H24" s="1830"/>
      <c r="I24" s="1830"/>
      <c r="J24" s="1830"/>
      <c r="K24" s="1215"/>
      <c r="L24" s="1246">
        <f t="shared" si="1"/>
        <v>0</v>
      </c>
      <c r="M24" s="1224">
        <f t="shared" si="2"/>
        <v>0</v>
      </c>
      <c r="N24" s="1224">
        <f t="shared" si="3"/>
        <v>0</v>
      </c>
      <c r="O24" s="1825" t="str">
        <f>IF(G24=0,0,IF(ISNA('Proposed Lighting'!AT24),0,'Proposed Lighting'!AT24))</f>
        <v/>
      </c>
      <c r="P24" s="1825"/>
      <c r="Q24" s="1247"/>
      <c r="R24" s="1247"/>
      <c r="S24" s="1247"/>
      <c r="T24" s="1211"/>
      <c r="U24" s="1235">
        <f>IF(K24&gt;0.01,'Proposed Lighting'!CU24,0)</f>
        <v>0</v>
      </c>
      <c r="V24" s="1248">
        <f>IF('Proposed Lighting'!CF24=1,0,IF('Proposed Lighting'!AU24=2,0,IF(AND('Proposed Lighting'!AU24=3,'Proposed Lighting'!CF24=0),1,0)))</f>
        <v>0</v>
      </c>
      <c r="W24" s="1836"/>
      <c r="X24" s="1836"/>
      <c r="Y24" s="1836"/>
      <c r="Z24" s="1230" t="str">
        <f t="shared" si="4"/>
        <v/>
      </c>
      <c r="AA24" s="1230">
        <f t="shared" si="5"/>
        <v>0</v>
      </c>
      <c r="AB24" s="1230">
        <f>IF(Q24=0,0,IF(T24=0,0,IF(AA24=0,0,IF(AND(F24=3,V24=0),0,IF(T24=0,0,IF(K24&gt;'Proposed Lighting'!AA24,0,IF('Proposed Lighting'!EJ24&gt;0.01,(K24*O24)*'Proposed Lighting'!EJ24/1000,(K24*O24)*U24/1000)))))))</f>
        <v>0</v>
      </c>
      <c r="AC24" s="1230" t="str">
        <f t="shared" si="6"/>
        <v/>
      </c>
      <c r="AD24" s="1230">
        <f t="shared" si="7"/>
        <v>0</v>
      </c>
      <c r="AE24" s="1230">
        <f>IF(T24=0,0,IF(K24&gt;'Proposed Lighting'!AA24,0,IF(T24&gt;K24,0,IF(AND(AD24&gt;AA24,AA24&gt;0),0,IF(AND(F24&gt;1,W24&lt;0.01),0,IF('Proposed Lighting'!AU24&gt;'Lighting Controls'!F24,0,IF('Proposed Lighting'!AU24&lt;'Lighting Controls'!F24,0,IF(U24=0,0,Summary!AC327))))))))</f>
        <v>0</v>
      </c>
      <c r="AF24" s="1230">
        <f>IF(T24=0,0,IF(AE24=0,0,IF(K24&gt;'Proposed Lighting'!AA24,0,IF(AND(AD24&gt;AA24,AA24&gt;0),0,IF(U24=0,0,Summary!AD327)))))</f>
        <v>0</v>
      </c>
      <c r="AG24" s="1834">
        <f>IF('Proposed Lighting'!AU24=1,0,IF('Proposed Lighting'!CF24=1,0,T24*W24))</f>
        <v>0</v>
      </c>
      <c r="AH24" s="1834"/>
      <c r="AI24" s="1834"/>
      <c r="AJ24" s="1835">
        <f>IF(T24&lt;1,0,IF(K24&gt;'Proposed Lighting'!AA24,0,IF('Proposed Lighting'!CF24=1,0,IF('Proposed Lighting'!AU24=1,0,IF(T24&gt;K24,0,IF(AND(AD24&gt;AA24,AA24&gt;0),0,IF(AND(F24=2,'Proposed Lighting'!AU24=3),0,IF(AND(F24=3,'Proposed Lighting'!AU24=2),0,IF('Proposed Lighting'!CH24=100,0,IF(AND(F24&lt;3,V24=1,AM24=0),0,IF(AND(F24&gt;1,AF24&lt;1,AN24&lt;1),0,IF(AND(F24&gt;1,AE24&lt;0.69,AF24&lt;1,AN24&lt;1),0,IF(ISERROR(AB24-AC24),"",AB24-AC24)))))))))))))</f>
        <v>0</v>
      </c>
      <c r="AK24" s="1835"/>
      <c r="AL24" s="1835"/>
      <c r="AM24" s="1216">
        <f>IF(Q24=0,0,IF(T24=0,0,IF(T24&gt;K24,0,IF(AND(AS24&gt;0.01,BK24=0),0,IF(AND('Proposed Lighting'!DG24=0,'Lighting Controls'!Z24=0.35),0,IF(AND(T24&lt;=K24,AA24&gt;=AD24,'Proposed Lighting'!AU24=2),VLOOKUP(Q24,$AY$9:$AZ$15,2,FALSE),IF(AND(T24&lt;=K24,AA24&gt;=AD24,'Proposed Lighting'!AU24=3),VLOOKUP(Q24,$AY$17:$AZ$23,2,FALSE))))))))</f>
        <v>0</v>
      </c>
      <c r="AN24" s="1248">
        <f>IF(T24=0,0,IF(K24&gt;'Proposed Lighting'!AA24,0,IF(AE24=0,0,IF(AND(AD24&gt;AA24,AA24&gt;0),0,IF(U24=0,0,Summary!AE327)))))</f>
        <v>0</v>
      </c>
      <c r="AO24" s="1248">
        <f t="shared" si="11"/>
        <v>0</v>
      </c>
      <c r="AP24" s="1249">
        <f>IF('Proposed Lighting'!AU24=1,0,IF(K24=0,0,IF(T24&gt;K24,0,IF(G24=0,0,IF(K24&gt;'Proposed Lighting'!AA24,0,IF(AND(AD24&gt;AA24,AA24&gt;0),0,IF(AND('Proposed Lighting'!AU24=3,AM24=0.5),0,IF(AND(AM24&gt;0,AS24&gt;0,BI24&lt;2),0,IF('Proposed Lighting'!CH24=100,0,IF(AV24=1,0,IF(AND(AM24=35,M24+N24&lt;2),0,AM24)))))))))))</f>
        <v>0</v>
      </c>
      <c r="AQ24" s="1249" t="str">
        <f>IFERROR(ROUND(IF(Q24="","",IF('Proposed Lighting'!$X$4=0,0,IF(AND(AM24=35,M24+N24&lt;2),0,IF(T24&gt;K24,0,IF('Proposed Lighting'!AU24=1,0,IF(AJ24=0,0,IF(AND('Proposed Lighting'!AU24=3,AM24=0.5),0,IF(AND(AD24=75,AP24=0,AV24=0),0,IF(AP24&gt;0.01,AP24*T24,IF(AND(F24&gt;1,W24&lt;0.01),0,IF(AND(F24&gt;1,AO24=0),0,IF(AND('Proposed Lighting'!BC24=22,AV24=0),0,IF(AND(AM24&gt;0,AS24&gt;0,BI24&lt;2),0,IF(AND(AS24&gt;0.01,BK24=0),0,IF(AND(AO24=TRUE,AV24=1,F24=3),MIN(AJ24*0.08,L24),IF(AP24&gt;0.01,AP24*T24,IF(AND(AO24=TRUE,AV24=1,F24=2),MIN(AJ24*0.1,L24)))))))))))))))))),2),"")</f>
        <v/>
      </c>
      <c r="AR24" s="1250">
        <f>IF(Q24=0,0,IF('Proposed Lighting'!$X$4=0,0,IF(AND(AM24&gt;0.01,AQ24&gt;0.01),0,IF('Proposed Lighting'!AU24=1,"Missing Interior or Exterior Selection",IF('Proposed Lighting'!CF24=1,"Selection does not match",IF(K24&gt;'Proposed Lighting'!AA24,"Quantity controlled does not match proposed lighting quantity",IF(T24&gt;K24,"Quantity of sensors exceeds proposed lighting quantity",IF(AND(F24&gt;1,'Proposed Lighting'!AU24&lt;&gt;F24),"Selection does not match",IF(AND(AD24&gt;AA24,AA24&gt;0),"Does not meet minimum connected load",IF(AND(O24&gt;0,AS24&gt;0,BK24&gt;0,'Proposed Lighting'!CH24=0),"Select Control Strategies",IF(AND(AC24&gt;0.1,AJ24=0,AQ24=0),"Does not meet incentive criteria",0)))))))))))</f>
        <v>0</v>
      </c>
      <c r="AS24" s="1224">
        <f>IF('Proposed Lighting'!CH24=100,0,IF(ISNUMBER(SEARCH("multiple",Q24)),1,0))</f>
        <v>0</v>
      </c>
      <c r="AT24" s="451">
        <f t="shared" si="8"/>
        <v>0</v>
      </c>
      <c r="AU24" s="451">
        <f t="shared" si="9"/>
        <v>0</v>
      </c>
      <c r="AV24" s="1222">
        <f>IF(ISNUMBER(SEARCH("Networked",'Proposed Lighting'!T24)),0,IF(ISNUMBER(SEARCH("Strategies",'Proposed Lighting'!T24)),0,IF(ISNUMBER(SEARCH("Removal",'Proposed Lighting'!T24)),0,IF(ISNUMBER(SEARCH("non-standard",Q24)),1,0))))</f>
        <v>0</v>
      </c>
      <c r="AW24" s="451">
        <f t="shared" si="12"/>
        <v>0</v>
      </c>
      <c r="AX24" s="451"/>
      <c r="AY24" s="451"/>
      <c r="AZ24" s="451"/>
      <c r="BA24" s="451"/>
      <c r="BB24" s="451"/>
      <c r="BC24" s="1215"/>
      <c r="BD24" s="1215"/>
      <c r="BE24" s="1215"/>
      <c r="BF24" s="1215"/>
      <c r="BG24" s="1215"/>
      <c r="BH24" s="1215"/>
      <c r="BI24">
        <f>IF(AND(AS24=1,BC24="No",BD24="Yes",BE24="Yes",BF24="No",BH24="No"),0,IF(AND('Proposed Lighting'!AU24=2,AS24=1,BC24="Yes",BD24="Yes"),2,IF(AND('Proposed Lighting'!AU24=2,AS24=1,BC24="Yes",BE24="Yes"),2,IF(AND('Proposed Lighting'!AU24=2,AS24=1,BC24="Yes",BF24="Yes"),2,IF(AND('Proposed Lighting'!AU24=2,AS24=1,BC24="Yes",BH24="Yes"),2,IF(AND('Proposed Lighting'!AU24=2,AS24=1,BD24="Yes",BF24="Yes"),2,IF(AND('Proposed Lighting'!AU24=2,AS24=1,BD24="Yes",BH24="Yes"),2,IF(AND('Proposed Lighting'!AU24=3,AS24=1,BC24="Yes",BE24="Yes"),2,IF(AND('Proposed Lighting'!AU24=3,AS24=1,BC24="Yes",BF24="Yes"),2,0)))))))))</f>
        <v>0</v>
      </c>
      <c r="BJ24" s="1025">
        <f t="shared" si="10"/>
        <v>0</v>
      </c>
      <c r="BK24">
        <f>IF(AND('Proposed Lighting'!BC24=22,'Lighting Controls'!N24=1),0,IF(ISNUMBER(SEARCH("LED",G24)),1,0))</f>
        <v>0</v>
      </c>
    </row>
    <row r="25" spans="1:63" ht="35.1" customHeight="1">
      <c r="A25" s="917">
        <v>17</v>
      </c>
      <c r="B25" s="1828" t="str">
        <f>IF('Proposed Lighting'!B25="","",'Proposed Lighting'!B25)</f>
        <v/>
      </c>
      <c r="C25" s="1828"/>
      <c r="D25" s="1828"/>
      <c r="E25" s="1245">
        <f>'Proposed Lighting'!AA25</f>
        <v>0</v>
      </c>
      <c r="F25" s="1245">
        <f t="shared" si="0"/>
        <v>0</v>
      </c>
      <c r="G25" s="1830" t="str">
        <f>IF('Proposed Lighting'!T25="","",IF(ISNUMBER(SEARCH("Networked",'Proposed Lighting'!T25)),0,IF(ISNUMBER(SEARCH("Strategies",'Proposed Lighting'!T25)),0,IF(ISNUMBER(SEARCH("Removal",'Proposed Lighting'!T25)),0,'Proposed Lighting'!T25))))</f>
        <v/>
      </c>
      <c r="H25" s="1830"/>
      <c r="I25" s="1830"/>
      <c r="J25" s="1830"/>
      <c r="K25" s="1215"/>
      <c r="L25" s="1246">
        <f t="shared" si="1"/>
        <v>0</v>
      </c>
      <c r="M25" s="1224">
        <f t="shared" si="2"/>
        <v>0</v>
      </c>
      <c r="N25" s="1224">
        <f t="shared" si="3"/>
        <v>0</v>
      </c>
      <c r="O25" s="1825" t="str">
        <f>IF(G25=0,0,IF(ISNA('Proposed Lighting'!AT25),0,'Proposed Lighting'!AT25))</f>
        <v/>
      </c>
      <c r="P25" s="1825"/>
      <c r="Q25" s="1247"/>
      <c r="R25" s="1247"/>
      <c r="S25" s="1247"/>
      <c r="T25" s="1211"/>
      <c r="U25" s="1235">
        <f>IF(K25&gt;0.01,'Proposed Lighting'!CU25,0)</f>
        <v>0</v>
      </c>
      <c r="V25" s="1248">
        <f>IF('Proposed Lighting'!CF25=1,0,IF('Proposed Lighting'!AU25=2,0,IF(AND('Proposed Lighting'!AU25=3,'Proposed Lighting'!CF25=0),1,0)))</f>
        <v>0</v>
      </c>
      <c r="W25" s="1836"/>
      <c r="X25" s="1836"/>
      <c r="Y25" s="1836"/>
      <c r="Z25" s="1230" t="str">
        <f t="shared" si="4"/>
        <v/>
      </c>
      <c r="AA25" s="1230">
        <f t="shared" si="5"/>
        <v>0</v>
      </c>
      <c r="AB25" s="1230">
        <f>IF(Q25=0,0,IF(T25=0,0,IF(AA25=0,0,IF(AND(F25=3,V25=0),0,IF(T25=0,0,IF(K25&gt;'Proposed Lighting'!AA25,0,IF('Proposed Lighting'!EJ25&gt;0.01,(K25*O25)*'Proposed Lighting'!EJ25/1000,(K25*O25)*U25/1000)))))))</f>
        <v>0</v>
      </c>
      <c r="AC25" s="1230" t="str">
        <f t="shared" si="6"/>
        <v/>
      </c>
      <c r="AD25" s="1230">
        <f t="shared" si="7"/>
        <v>0</v>
      </c>
      <c r="AE25" s="1230">
        <f>IF(T25=0,0,IF(K25&gt;'Proposed Lighting'!AA25,0,IF(T25&gt;K25,0,IF(AND(AD25&gt;AA25,AA25&gt;0),0,IF(AND(F25&gt;1,W25&lt;0.01),0,IF('Proposed Lighting'!AU25&gt;'Lighting Controls'!F25,0,IF('Proposed Lighting'!AU25&lt;'Lighting Controls'!F25,0,IF(U25=0,0,Summary!AC328))))))))</f>
        <v>0</v>
      </c>
      <c r="AF25" s="1230">
        <f>IF(T25=0,0,IF(AE25=0,0,IF(K25&gt;'Proposed Lighting'!AA25,0,IF(AND(AD25&gt;AA25,AA25&gt;0),0,IF(U25=0,0,Summary!AD328)))))</f>
        <v>0</v>
      </c>
      <c r="AG25" s="1834">
        <f>IF('Proposed Lighting'!AU25=1,0,IF('Proposed Lighting'!CF25=1,0,T25*W25))</f>
        <v>0</v>
      </c>
      <c r="AH25" s="1834"/>
      <c r="AI25" s="1834"/>
      <c r="AJ25" s="1835">
        <f>IF(T25&lt;1,0,IF(K25&gt;'Proposed Lighting'!AA25,0,IF('Proposed Lighting'!CF25=1,0,IF('Proposed Lighting'!AU25=1,0,IF(T25&gt;K25,0,IF(AND(AD25&gt;AA25,AA25&gt;0),0,IF(AND(F25=2,'Proposed Lighting'!AU25=3),0,IF(AND(F25=3,'Proposed Lighting'!AU25=2),0,IF('Proposed Lighting'!CH25=100,0,IF(AND(F25&lt;3,V25=1,AM25=0),0,IF(AND(F25&gt;1,AF25&lt;1,AN25&lt;1),0,IF(AND(F25&gt;1,AE25&lt;0.69,AF25&lt;1,AN25&lt;1),0,IF(ISERROR(AB25-AC25),"",AB25-AC25)))))))))))))</f>
        <v>0</v>
      </c>
      <c r="AK25" s="1835"/>
      <c r="AL25" s="1835"/>
      <c r="AM25" s="1216">
        <f>IF(Q25=0,0,IF(T25=0,0,IF(T25&gt;K25,0,IF(AND(AS25&gt;0.01,BK25=0),0,IF(AND('Proposed Lighting'!DG25=0,'Lighting Controls'!Z25=0.35),0,IF(AND(T25&lt;=K25,AA25&gt;=AD25,'Proposed Lighting'!AU25=2),VLOOKUP(Q25,$AY$9:$AZ$15,2,FALSE),IF(AND(T25&lt;=K25,AA25&gt;=AD25,'Proposed Lighting'!AU25=3),VLOOKUP(Q25,$AY$17:$AZ$23,2,FALSE))))))))</f>
        <v>0</v>
      </c>
      <c r="AN25" s="1248">
        <f>IF(T25=0,0,IF(K25&gt;'Proposed Lighting'!AA25,0,IF(AE25=0,0,IF(AND(AD25&gt;AA25,AA25&gt;0),0,IF(U25=0,0,Summary!AE328)))))</f>
        <v>0</v>
      </c>
      <c r="AO25" s="1248">
        <f t="shared" si="11"/>
        <v>0</v>
      </c>
      <c r="AP25" s="1249">
        <f>IF('Proposed Lighting'!AU25=1,0,IF(K25=0,0,IF(T25&gt;K25,0,IF(G25=0,0,IF(K25&gt;'Proposed Lighting'!AA25,0,IF(AND(AD25&gt;AA25,AA25&gt;0),0,IF(AND('Proposed Lighting'!AU25=3,AM25=0.5),0,IF(AND(AM25&gt;0,AS25&gt;0,BI25&lt;2),0,IF('Proposed Lighting'!CH25=100,0,IF(AV25=1,0,IF(AND(AM25=35,M25+N25&lt;2),0,AM25)))))))))))</f>
        <v>0</v>
      </c>
      <c r="AQ25" s="1249" t="str">
        <f>IFERROR(ROUND(IF(Q25="","",IF('Proposed Lighting'!$X$4=0,0,IF(AND(AM25=35,M25+N25&lt;2),0,IF(T25&gt;K25,0,IF('Proposed Lighting'!AU25=1,0,IF(AJ25=0,0,IF(AND('Proposed Lighting'!AU25=3,AM25=0.5),0,IF(AND(AD25=75,AP25=0,AV25=0),0,IF(AP25&gt;0.01,AP25*T25,IF(AND(F25&gt;1,W25&lt;0.01),0,IF(AND(F25&gt;1,AO25=0),0,IF(AND('Proposed Lighting'!BC25=22,AV25=0),0,IF(AND(AM25&gt;0,AS25&gt;0,BI25&lt;2),0,IF(AND(AS25&gt;0.01,BK25=0),0,IF(AND(AO25=TRUE,AV25=1,F25=3),MIN(AJ25*0.08,L25),IF(AP25&gt;0.01,AP25*T25,IF(AND(AO25=TRUE,AV25=1,F25=2),MIN(AJ25*0.1,L25)))))))))))))))))),2),"")</f>
        <v/>
      </c>
      <c r="AR25" s="1250">
        <f>IF(Q25=0,0,IF('Proposed Lighting'!$X$4=0,0,IF(AND(AM25&gt;0.01,AQ25&gt;0.01),0,IF('Proposed Lighting'!AU25=1,"Missing Interior or Exterior Selection",IF('Proposed Lighting'!CF25=1,"Selection does not match",IF(K25&gt;'Proposed Lighting'!AA25,"Quantity controlled does not match proposed lighting quantity",IF(T25&gt;K25,"Quantity of sensors exceeds proposed lighting quantity",IF(AND(F25&gt;1,'Proposed Lighting'!AU25&lt;&gt;F25),"Selection does not match",IF(AND(AD25&gt;AA25,AA25&gt;0),"Does not meet minimum connected load",IF(AND(O25&gt;0,AS25&gt;0,BK25&gt;0,'Proposed Lighting'!CH25=0),"Select Control Strategies",IF(AND(AC25&gt;0.1,AJ25=0,AQ25=0),"Does not meet incentive criteria",0)))))))))))</f>
        <v>0</v>
      </c>
      <c r="AS25" s="1224">
        <f>IF('Proposed Lighting'!CH25=100,0,IF(ISNUMBER(SEARCH("multiple",Q25)),1,0))</f>
        <v>0</v>
      </c>
      <c r="AT25" s="451">
        <f t="shared" si="8"/>
        <v>0</v>
      </c>
      <c r="AU25" s="451">
        <f t="shared" si="9"/>
        <v>0</v>
      </c>
      <c r="AV25" s="1222">
        <f>IF(ISNUMBER(SEARCH("Networked",'Proposed Lighting'!T25)),0,IF(ISNUMBER(SEARCH("Strategies",'Proposed Lighting'!T25)),0,IF(ISNUMBER(SEARCH("Removal",'Proposed Lighting'!T25)),0,IF(ISNUMBER(SEARCH("non-standard",Q25)),1,0))))</f>
        <v>0</v>
      </c>
      <c r="AW25" s="451">
        <f t="shared" si="12"/>
        <v>0</v>
      </c>
      <c r="AX25" s="451"/>
      <c r="AY25" s="451" t="s">
        <v>192</v>
      </c>
      <c r="AZ25" s="451">
        <v>0.5</v>
      </c>
      <c r="BA25" s="451"/>
      <c r="BB25" s="451"/>
      <c r="BC25" s="1215"/>
      <c r="BD25" s="1215"/>
      <c r="BE25" s="1215"/>
      <c r="BF25" s="1215"/>
      <c r="BG25" s="1215"/>
      <c r="BH25" s="1215"/>
      <c r="BI25">
        <f>IF(AND(AS25=1,BC25="No",BD25="Yes",BE25="Yes",BF25="No",BH25="No"),0,IF(AND('Proposed Lighting'!AU25=2,AS25=1,BC25="Yes",BD25="Yes"),2,IF(AND('Proposed Lighting'!AU25=2,AS25=1,BC25="Yes",BE25="Yes"),2,IF(AND('Proposed Lighting'!AU25=2,AS25=1,BC25="Yes",BF25="Yes"),2,IF(AND('Proposed Lighting'!AU25=2,AS25=1,BC25="Yes",BH25="Yes"),2,IF(AND('Proposed Lighting'!AU25=2,AS25=1,BD25="Yes",BF25="Yes"),2,IF(AND('Proposed Lighting'!AU25=2,AS25=1,BD25="Yes",BH25="Yes"),2,IF(AND('Proposed Lighting'!AU25=3,AS25=1,BC25="Yes",BE25="Yes"),2,IF(AND('Proposed Lighting'!AU25=3,AS25=1,BC25="Yes",BF25="Yes"),2,0)))))))))</f>
        <v>0</v>
      </c>
      <c r="BJ25" s="1025">
        <f t="shared" si="10"/>
        <v>0</v>
      </c>
      <c r="BK25">
        <f>IF(AND('Proposed Lighting'!BC25=22,'Lighting Controls'!N25=1),0,IF(ISNUMBER(SEARCH("LED",G25)),1,0))</f>
        <v>0</v>
      </c>
    </row>
    <row r="26" spans="1:63" ht="35.1" customHeight="1">
      <c r="A26" s="917">
        <v>18</v>
      </c>
      <c r="B26" s="1828" t="str">
        <f>IF('Proposed Lighting'!B26="","",'Proposed Lighting'!B26)</f>
        <v/>
      </c>
      <c r="C26" s="1828"/>
      <c r="D26" s="1828"/>
      <c r="E26" s="1245">
        <f>'Proposed Lighting'!AA26</f>
        <v>0</v>
      </c>
      <c r="F26" s="1245">
        <f t="shared" si="0"/>
        <v>0</v>
      </c>
      <c r="G26" s="1830" t="str">
        <f>IF('Proposed Lighting'!T26="","",IF(ISNUMBER(SEARCH("Networked",'Proposed Lighting'!T26)),0,IF(ISNUMBER(SEARCH("Strategies",'Proposed Lighting'!T26)),0,IF(ISNUMBER(SEARCH("Removal",'Proposed Lighting'!T26)),0,'Proposed Lighting'!T26))))</f>
        <v/>
      </c>
      <c r="H26" s="1830"/>
      <c r="I26" s="1830"/>
      <c r="J26" s="1830"/>
      <c r="K26" s="1215"/>
      <c r="L26" s="1246">
        <f t="shared" si="1"/>
        <v>0</v>
      </c>
      <c r="M26" s="1224">
        <f t="shared" si="2"/>
        <v>0</v>
      </c>
      <c r="N26" s="1224">
        <f t="shared" si="3"/>
        <v>0</v>
      </c>
      <c r="O26" s="1825" t="str">
        <f>IF(G26=0,0,IF(ISNA('Proposed Lighting'!AT26),0,'Proposed Lighting'!AT26))</f>
        <v/>
      </c>
      <c r="P26" s="1825"/>
      <c r="Q26" s="1247"/>
      <c r="R26" s="1247"/>
      <c r="S26" s="1247"/>
      <c r="T26" s="1211"/>
      <c r="U26" s="1235">
        <f>IF(K26&gt;0.01,'Proposed Lighting'!CU26,0)</f>
        <v>0</v>
      </c>
      <c r="V26" s="1248">
        <f>IF('Proposed Lighting'!CF26=1,0,IF('Proposed Lighting'!AU26=2,0,IF(AND('Proposed Lighting'!AU26=3,'Proposed Lighting'!CF26=0),1,0)))</f>
        <v>0</v>
      </c>
      <c r="W26" s="1836"/>
      <c r="X26" s="1836"/>
      <c r="Y26" s="1836"/>
      <c r="Z26" s="1230" t="str">
        <f t="shared" si="4"/>
        <v/>
      </c>
      <c r="AA26" s="1230">
        <f t="shared" si="5"/>
        <v>0</v>
      </c>
      <c r="AB26" s="1230">
        <f>IF(Q26=0,0,IF(T26=0,0,IF(AA26=0,0,IF(AND(F26=3,V26=0),0,IF(T26=0,0,IF(K26&gt;'Proposed Lighting'!AA26,0,IF('Proposed Lighting'!EJ26&gt;0.01,(K26*O26)*'Proposed Lighting'!EJ26/1000,(K26*O26)*U26/1000)))))))</f>
        <v>0</v>
      </c>
      <c r="AC26" s="1230" t="str">
        <f t="shared" si="6"/>
        <v/>
      </c>
      <c r="AD26" s="1230">
        <f t="shared" si="7"/>
        <v>0</v>
      </c>
      <c r="AE26" s="1230">
        <f>IF(T26=0,0,IF(K26&gt;'Proposed Lighting'!AA26,0,IF(T26&gt;K26,0,IF(AND(AD26&gt;AA26,AA26&gt;0),0,IF(AND(F26&gt;1,W26&lt;0.01),0,IF('Proposed Lighting'!AU26&gt;'Lighting Controls'!F26,0,IF('Proposed Lighting'!AU26&lt;'Lighting Controls'!F26,0,IF(U26=0,0,Summary!AC329))))))))</f>
        <v>0</v>
      </c>
      <c r="AF26" s="1230">
        <f>IF(T26=0,0,IF(AE26=0,0,IF(K26&gt;'Proposed Lighting'!AA26,0,IF(AND(AD26&gt;AA26,AA26&gt;0),0,IF(U26=0,0,Summary!AD329)))))</f>
        <v>0</v>
      </c>
      <c r="AG26" s="1834">
        <f>IF('Proposed Lighting'!AU26=1,0,IF('Proposed Lighting'!CF26=1,0,T26*W26))</f>
        <v>0</v>
      </c>
      <c r="AH26" s="1834"/>
      <c r="AI26" s="1834"/>
      <c r="AJ26" s="1835">
        <f>IF(T26&lt;1,0,IF(K26&gt;'Proposed Lighting'!AA26,0,IF('Proposed Lighting'!CF26=1,0,IF('Proposed Lighting'!AU26=1,0,IF(T26&gt;K26,0,IF(AND(AD26&gt;AA26,AA26&gt;0),0,IF(AND(F26=2,'Proposed Lighting'!AU26=3),0,IF(AND(F26=3,'Proposed Lighting'!AU26=2),0,IF('Proposed Lighting'!CH26=100,0,IF(AND(F26&lt;3,V26=1,AM26=0),0,IF(AND(F26&gt;1,AF26&lt;1,AN26&lt;1),0,IF(AND(F26&gt;1,AE26&lt;0.69,AF26&lt;1,AN26&lt;1),0,IF(ISERROR(AB26-AC26),"",AB26-AC26)))))))))))))</f>
        <v>0</v>
      </c>
      <c r="AK26" s="1835"/>
      <c r="AL26" s="1835"/>
      <c r="AM26" s="1216">
        <f>IF(Q26=0,0,IF(T26=0,0,IF(T26&gt;K26,0,IF(AND(AS26&gt;0.01,BK26=0),0,IF(AND('Proposed Lighting'!DG26=0,'Lighting Controls'!Z26=0.35),0,IF(AND(T26&lt;=K26,AA26&gt;=AD26,'Proposed Lighting'!AU26=2),VLOOKUP(Q26,$AY$9:$AZ$15,2,FALSE),IF(AND(T26&lt;=K26,AA26&gt;=AD26,'Proposed Lighting'!AU26=3),VLOOKUP(Q26,$AY$17:$AZ$23,2,FALSE))))))))</f>
        <v>0</v>
      </c>
      <c r="AN26" s="1248">
        <f>IF(T26=0,0,IF(K26&gt;'Proposed Lighting'!AA26,0,IF(AE26=0,0,IF(AND(AD26&gt;AA26,AA26&gt;0),0,IF(U26=0,0,Summary!AE329)))))</f>
        <v>0</v>
      </c>
      <c r="AO26" s="1248">
        <f t="shared" si="11"/>
        <v>0</v>
      </c>
      <c r="AP26" s="1249">
        <f>IF('Proposed Lighting'!AU26=1,0,IF(K26=0,0,IF(T26&gt;K26,0,IF(G26=0,0,IF(K26&gt;'Proposed Lighting'!AA26,0,IF(AND(AD26&gt;AA26,AA26&gt;0),0,IF(AND('Proposed Lighting'!AU26=3,AM26=0.5),0,IF(AND(AM26&gt;0,AS26&gt;0,BI26&lt;2),0,IF('Proposed Lighting'!CH26=100,0,IF(AV26=1,0,IF(AND(AM26=35,M26+N26&lt;2),0,AM26)))))))))))</f>
        <v>0</v>
      </c>
      <c r="AQ26" s="1249" t="str">
        <f>IFERROR(ROUND(IF(Q26="","",IF('Proposed Lighting'!$X$4=0,0,IF(AND(AM26=35,M26+N26&lt;2),0,IF(T26&gt;K26,0,IF('Proposed Lighting'!AU26=1,0,IF(AJ26=0,0,IF(AND('Proposed Lighting'!AU26=3,AM26=0.5),0,IF(AND(AD26=75,AP26=0,AV26=0),0,IF(AP26&gt;0.01,AP26*T26,IF(AND(F26&gt;1,W26&lt;0.01),0,IF(AND(F26&gt;1,AO26=0),0,IF(AND('Proposed Lighting'!BC26=22,AV26=0),0,IF(AND(AM26&gt;0,AS26&gt;0,BI26&lt;2),0,IF(AND(AS26&gt;0.01,BK26=0),0,IF(AND(AO26=TRUE,AV26=1,F26=3),MIN(AJ26*0.08,L26),IF(AP26&gt;0.01,AP26*T26,IF(AND(AO26=TRUE,AV26=1,F26=2),MIN(AJ26*0.1,L26)))))))))))))))))),2),"")</f>
        <v/>
      </c>
      <c r="AR26" s="1250">
        <f>IF(Q26=0,0,IF('Proposed Lighting'!$X$4=0,0,IF(AND(AM26&gt;0.01,AQ26&gt;0.01),0,IF('Proposed Lighting'!AU26=1,"Missing Interior or Exterior Selection",IF('Proposed Lighting'!CF26=1,"Selection does not match",IF(K26&gt;'Proposed Lighting'!AA26,"Quantity controlled does not match proposed lighting quantity",IF(T26&gt;K26,"Quantity of sensors exceeds proposed lighting quantity",IF(AND(F26&gt;1,'Proposed Lighting'!AU26&lt;&gt;F26),"Selection does not match",IF(AND(AD26&gt;AA26,AA26&gt;0),"Does not meet minimum connected load",IF(AND(O26&gt;0,AS26&gt;0,BK26&gt;0,'Proposed Lighting'!CH26=0),"Select Control Strategies",IF(AND(AC26&gt;0.1,AJ26=0,AQ26=0),"Does not meet incentive criteria",0)))))))))))</f>
        <v>0</v>
      </c>
      <c r="AS26" s="1224">
        <f>IF('Proposed Lighting'!CH26=100,0,IF(ISNUMBER(SEARCH("multiple",Q26)),1,0))</f>
        <v>0</v>
      </c>
      <c r="AT26" s="451">
        <f t="shared" si="8"/>
        <v>0</v>
      </c>
      <c r="AU26" s="451">
        <f t="shared" si="9"/>
        <v>0</v>
      </c>
      <c r="AV26" s="1222">
        <f>IF(ISNUMBER(SEARCH("Networked",'Proposed Lighting'!T26)),0,IF(ISNUMBER(SEARCH("Strategies",'Proposed Lighting'!T26)),0,IF(ISNUMBER(SEARCH("Removal",'Proposed Lighting'!T26)),0,IF(ISNUMBER(SEARCH("non-standard",Q26)),1,0))))</f>
        <v>0</v>
      </c>
      <c r="AW26" s="451">
        <f t="shared" si="12"/>
        <v>0</v>
      </c>
      <c r="AX26" s="451"/>
      <c r="AY26" s="451" t="s">
        <v>481</v>
      </c>
      <c r="AZ26" s="451">
        <v>0.5</v>
      </c>
      <c r="BA26" s="451"/>
      <c r="BB26" s="451"/>
      <c r="BC26" s="1215"/>
      <c r="BD26" s="1215"/>
      <c r="BE26" s="1215"/>
      <c r="BF26" s="1215"/>
      <c r="BG26" s="1215"/>
      <c r="BH26" s="1215"/>
      <c r="BI26">
        <f>IF(AND(AS26=1,BC26="No",BD26="Yes",BE26="Yes",BF26="No",BH26="No"),0,IF(AND('Proposed Lighting'!AU26=2,AS26=1,BC26="Yes",BD26="Yes"),2,IF(AND('Proposed Lighting'!AU26=2,AS26=1,BC26="Yes",BE26="Yes"),2,IF(AND('Proposed Lighting'!AU26=2,AS26=1,BC26="Yes",BF26="Yes"),2,IF(AND('Proposed Lighting'!AU26=2,AS26=1,BC26="Yes",BH26="Yes"),2,IF(AND('Proposed Lighting'!AU26=2,AS26=1,BD26="Yes",BF26="Yes"),2,IF(AND('Proposed Lighting'!AU26=2,AS26=1,BD26="Yes",BH26="Yes"),2,IF(AND('Proposed Lighting'!AU26=3,AS26=1,BC26="Yes",BE26="Yes"),2,IF(AND('Proposed Lighting'!AU26=3,AS26=1,BC26="Yes",BF26="Yes"),2,0)))))))))</f>
        <v>0</v>
      </c>
      <c r="BJ26" s="1025">
        <f t="shared" si="10"/>
        <v>0</v>
      </c>
      <c r="BK26">
        <f>IF(AND('Proposed Lighting'!BC26=22,'Lighting Controls'!N26=1),0,IF(ISNUMBER(SEARCH("LED",G26)),1,0))</f>
        <v>0</v>
      </c>
    </row>
    <row r="27" spans="1:63" ht="35.1" customHeight="1">
      <c r="A27" s="917">
        <v>19</v>
      </c>
      <c r="B27" s="1828" t="str">
        <f>IF('Proposed Lighting'!B27="","",'Proposed Lighting'!B27)</f>
        <v/>
      </c>
      <c r="C27" s="1828"/>
      <c r="D27" s="1828"/>
      <c r="E27" s="1245">
        <f>'Proposed Lighting'!AA27</f>
        <v>0</v>
      </c>
      <c r="F27" s="1245">
        <f t="shared" si="0"/>
        <v>0</v>
      </c>
      <c r="G27" s="1830" t="str">
        <f>IF('Proposed Lighting'!T27="","",IF(ISNUMBER(SEARCH("Networked",'Proposed Lighting'!T27)),0,IF(ISNUMBER(SEARCH("Strategies",'Proposed Lighting'!T27)),0,IF(ISNUMBER(SEARCH("Removal",'Proposed Lighting'!T27)),0,'Proposed Lighting'!T27))))</f>
        <v/>
      </c>
      <c r="H27" s="1830"/>
      <c r="I27" s="1830"/>
      <c r="J27" s="1830"/>
      <c r="K27" s="1215"/>
      <c r="L27" s="1246">
        <f t="shared" si="1"/>
        <v>0</v>
      </c>
      <c r="M27" s="1224">
        <f t="shared" si="2"/>
        <v>0</v>
      </c>
      <c r="N27" s="1224">
        <f t="shared" si="3"/>
        <v>0</v>
      </c>
      <c r="O27" s="1825" t="str">
        <f>IF(G27=0,0,IF(ISNA('Proposed Lighting'!AT27),0,'Proposed Lighting'!AT27))</f>
        <v/>
      </c>
      <c r="P27" s="1825"/>
      <c r="Q27" s="1247"/>
      <c r="R27" s="1247"/>
      <c r="S27" s="1247"/>
      <c r="T27" s="1211"/>
      <c r="U27" s="1235">
        <f>IF(K27&gt;0.01,'Proposed Lighting'!CU27,0)</f>
        <v>0</v>
      </c>
      <c r="V27" s="1248">
        <f>IF('Proposed Lighting'!CF27=1,0,IF('Proposed Lighting'!AU27=2,0,IF(AND('Proposed Lighting'!AU27=3,'Proposed Lighting'!CF27=0),1,0)))</f>
        <v>0</v>
      </c>
      <c r="W27" s="1836"/>
      <c r="X27" s="1836"/>
      <c r="Y27" s="1836"/>
      <c r="Z27" s="1230" t="str">
        <f t="shared" si="4"/>
        <v/>
      </c>
      <c r="AA27" s="1230">
        <f t="shared" si="5"/>
        <v>0</v>
      </c>
      <c r="AB27" s="1230">
        <f>IF(Q27=0,0,IF(T27=0,0,IF(AA27=0,0,IF(AND(F27=3,V27=0),0,IF(T27=0,0,IF(K27&gt;'Proposed Lighting'!AA27,0,IF('Proposed Lighting'!EJ27&gt;0.01,(K27*O27)*'Proposed Lighting'!EJ27/1000,(K27*O27)*U27/1000)))))))</f>
        <v>0</v>
      </c>
      <c r="AC27" s="1230" t="str">
        <f t="shared" si="6"/>
        <v/>
      </c>
      <c r="AD27" s="1230">
        <f t="shared" si="7"/>
        <v>0</v>
      </c>
      <c r="AE27" s="1230">
        <f>IF(T27=0,0,IF(K27&gt;'Proposed Lighting'!AA27,0,IF(T27&gt;K27,0,IF(AND(AD27&gt;AA27,AA27&gt;0),0,IF(AND(F27&gt;1,W27&lt;0.01),0,IF('Proposed Lighting'!AU27&gt;'Lighting Controls'!F27,0,IF('Proposed Lighting'!AU27&lt;'Lighting Controls'!F27,0,IF(U27=0,0,Summary!AC330))))))))</f>
        <v>0</v>
      </c>
      <c r="AF27" s="1230">
        <f>IF(T27=0,0,IF(AE27=0,0,IF(K27&gt;'Proposed Lighting'!AA27,0,IF(AND(AD27&gt;AA27,AA27&gt;0),0,IF(U27=0,0,Summary!AD330)))))</f>
        <v>0</v>
      </c>
      <c r="AG27" s="1834">
        <f>IF('Proposed Lighting'!AU27=1,0,IF('Proposed Lighting'!CF27=1,0,T27*W27))</f>
        <v>0</v>
      </c>
      <c r="AH27" s="1834"/>
      <c r="AI27" s="1834"/>
      <c r="AJ27" s="1835">
        <f>IF(T27&lt;1,0,IF(K27&gt;'Proposed Lighting'!AA27,0,IF('Proposed Lighting'!CF27=1,0,IF('Proposed Lighting'!AU27=1,0,IF(T27&gt;K27,0,IF(AND(AD27&gt;AA27,AA27&gt;0),0,IF(AND(F27=2,'Proposed Lighting'!AU27=3),0,IF(AND(F27=3,'Proposed Lighting'!AU27=2),0,IF('Proposed Lighting'!CH27=100,0,IF(AND(F27&lt;3,V27=1,AM27=0),0,IF(AND(F27&gt;1,AF27&lt;1,AN27&lt;1),0,IF(AND(F27&gt;1,AE27&lt;0.69,AF27&lt;1,AN27&lt;1),0,IF(ISERROR(AB27-AC27),"",AB27-AC27)))))))))))))</f>
        <v>0</v>
      </c>
      <c r="AK27" s="1835"/>
      <c r="AL27" s="1835"/>
      <c r="AM27" s="1216">
        <f>IF(Q27=0,0,IF(T27=0,0,IF(T27&gt;K27,0,IF(AND(AS27&gt;0.01,BK27=0),0,IF(AND('Proposed Lighting'!DG27=0,'Lighting Controls'!Z27=0.35),0,IF(AND(T27&lt;=K27,AA27&gt;=AD27,'Proposed Lighting'!AU27=2),VLOOKUP(Q27,$AY$9:$AZ$15,2,FALSE),IF(AND(T27&lt;=K27,AA27&gt;=AD27,'Proposed Lighting'!AU27=3),VLOOKUP(Q27,$AY$17:$AZ$23,2,FALSE))))))))</f>
        <v>0</v>
      </c>
      <c r="AN27" s="1248">
        <f>IF(T27=0,0,IF(K27&gt;'Proposed Lighting'!AA27,0,IF(AE27=0,0,IF(AND(AD27&gt;AA27,AA27&gt;0),0,IF(U27=0,0,Summary!AE330)))))</f>
        <v>0</v>
      </c>
      <c r="AO27" s="1248">
        <f t="shared" si="11"/>
        <v>0</v>
      </c>
      <c r="AP27" s="1249">
        <f>IF('Proposed Lighting'!AU27=1,0,IF(K27=0,0,IF(T27&gt;K27,0,IF(G27=0,0,IF(K27&gt;'Proposed Lighting'!AA27,0,IF(AND(AD27&gt;AA27,AA27&gt;0),0,IF(AND('Proposed Lighting'!AU27=3,AM27=0.5),0,IF(AND(AM27&gt;0,AS27&gt;0,BI27&lt;2),0,IF('Proposed Lighting'!CH27=100,0,IF(AV27=1,0,IF(AND(AM27=35,M27+N27&lt;2),0,AM27)))))))))))</f>
        <v>0</v>
      </c>
      <c r="AQ27" s="1249" t="str">
        <f>IFERROR(ROUND(IF(Q27="","",IF('Proposed Lighting'!$X$4=0,0,IF(AND(AM27=35,M27+N27&lt;2),0,IF(T27&gt;K27,0,IF('Proposed Lighting'!AU27=1,0,IF(AJ27=0,0,IF(AND('Proposed Lighting'!AU27=3,AM27=0.5),0,IF(AND(AD27=75,AP27=0,AV27=0),0,IF(AP27&gt;0.01,AP27*T27,IF(AND(F27&gt;1,W27&lt;0.01),0,IF(AND(F27&gt;1,AO27=0),0,IF(AND('Proposed Lighting'!BC27=22,AV27=0),0,IF(AND(AM27&gt;0,AS27&gt;0,BI27&lt;2),0,IF(AND(AS27&gt;0.01,BK27=0),0,IF(AND(AO27=TRUE,AV27=1,F27=3),MIN(AJ27*0.08,L27),IF(AP27&gt;0.01,AP27*T27,IF(AND(AO27=TRUE,AV27=1,F27=2),MIN(AJ27*0.1,L27)))))))))))))))))),2),"")</f>
        <v/>
      </c>
      <c r="AR27" s="1250">
        <f>IF(Q27=0,0,IF('Proposed Lighting'!$X$4=0,0,IF(AND(AM27&gt;0.01,AQ27&gt;0.01),0,IF('Proposed Lighting'!AU27=1,"Missing Interior or Exterior Selection",IF('Proposed Lighting'!CF27=1,"Selection does not match",IF(K27&gt;'Proposed Lighting'!AA27,"Quantity controlled does not match proposed lighting quantity",IF(T27&gt;K27,"Quantity of sensors exceeds proposed lighting quantity",IF(AND(F27&gt;1,'Proposed Lighting'!AU27&lt;&gt;F27),"Selection does not match",IF(AND(AD27&gt;AA27,AA27&gt;0),"Does not meet minimum connected load",IF(AND(O27&gt;0,AS27&gt;0,BK27&gt;0,'Proposed Lighting'!CH27=0),"Select Control Strategies",IF(AND(AC27&gt;0.1,AJ27=0,AQ27=0),"Does not meet incentive criteria",0)))))))))))</f>
        <v>0</v>
      </c>
      <c r="AS27" s="1224">
        <f>IF('Proposed Lighting'!CH27=100,0,IF(ISNUMBER(SEARCH("multiple",Q27)),1,0))</f>
        <v>0</v>
      </c>
      <c r="AT27" s="451">
        <f t="shared" si="8"/>
        <v>0</v>
      </c>
      <c r="AU27" s="451">
        <f t="shared" si="9"/>
        <v>0</v>
      </c>
      <c r="AV27" s="1222">
        <f>IF(ISNUMBER(SEARCH("Networked",'Proposed Lighting'!T27)),0,IF(ISNUMBER(SEARCH("Strategies",'Proposed Lighting'!T27)),0,IF(ISNUMBER(SEARCH("Removal",'Proposed Lighting'!T27)),0,IF(ISNUMBER(SEARCH("non-standard",Q27)),1,0))))</f>
        <v>0</v>
      </c>
      <c r="AW27" s="451">
        <f t="shared" si="12"/>
        <v>0</v>
      </c>
      <c r="AX27" s="451"/>
      <c r="AY27" s="451" t="s">
        <v>193</v>
      </c>
      <c r="AZ27" s="451">
        <v>0.5</v>
      </c>
      <c r="BA27" s="451"/>
      <c r="BB27" s="451"/>
      <c r="BC27" s="1215"/>
      <c r="BD27" s="1215"/>
      <c r="BE27" s="1215"/>
      <c r="BF27" s="1215"/>
      <c r="BG27" s="1215"/>
      <c r="BH27" s="1215"/>
      <c r="BI27">
        <f>IF(AND(AS27=1,BC27="No",BD27="Yes",BE27="Yes",BF27="No",BH27="No"),0,IF(AND('Proposed Lighting'!AU27=2,AS27=1,BC27="Yes",BD27="Yes"),2,IF(AND('Proposed Lighting'!AU27=2,AS27=1,BC27="Yes",BE27="Yes"),2,IF(AND('Proposed Lighting'!AU27=2,AS27=1,BC27="Yes",BF27="Yes"),2,IF(AND('Proposed Lighting'!AU27=2,AS27=1,BC27="Yes",BH27="Yes"),2,IF(AND('Proposed Lighting'!AU27=2,AS27=1,BD27="Yes",BF27="Yes"),2,IF(AND('Proposed Lighting'!AU27=2,AS27=1,BD27="Yes",BH27="Yes"),2,IF(AND('Proposed Lighting'!AU27=3,AS27=1,BC27="Yes",BE27="Yes"),2,IF(AND('Proposed Lighting'!AU27=3,AS27=1,BC27="Yes",BF27="Yes"),2,0)))))))))</f>
        <v>0</v>
      </c>
      <c r="BJ27" s="1025">
        <f t="shared" si="10"/>
        <v>0</v>
      </c>
      <c r="BK27">
        <f>IF(AND('Proposed Lighting'!BC27=22,'Lighting Controls'!N27=1),0,IF(ISNUMBER(SEARCH("LED",G27)),1,0))</f>
        <v>0</v>
      </c>
    </row>
    <row r="28" spans="1:63" ht="35.1" customHeight="1">
      <c r="A28" s="917">
        <v>20</v>
      </c>
      <c r="B28" s="1828" t="str">
        <f>IF('Proposed Lighting'!B28="","",'Proposed Lighting'!B28)</f>
        <v/>
      </c>
      <c r="C28" s="1828"/>
      <c r="D28" s="1828"/>
      <c r="E28" s="1245">
        <f>'Proposed Lighting'!AA28</f>
        <v>0</v>
      </c>
      <c r="F28" s="1245">
        <f t="shared" si="0"/>
        <v>0</v>
      </c>
      <c r="G28" s="1830" t="str">
        <f>IF('Proposed Lighting'!T28="","",IF(ISNUMBER(SEARCH("Networked",'Proposed Lighting'!T28)),0,IF(ISNUMBER(SEARCH("Strategies",'Proposed Lighting'!T28)),0,IF(ISNUMBER(SEARCH("Removal",'Proposed Lighting'!T28)),0,'Proposed Lighting'!T28))))</f>
        <v/>
      </c>
      <c r="H28" s="1830"/>
      <c r="I28" s="1830"/>
      <c r="J28" s="1830"/>
      <c r="K28" s="1215"/>
      <c r="L28" s="1246">
        <f t="shared" si="1"/>
        <v>0</v>
      </c>
      <c r="M28" s="1224">
        <f t="shared" si="2"/>
        <v>0</v>
      </c>
      <c r="N28" s="1224">
        <f t="shared" si="3"/>
        <v>0</v>
      </c>
      <c r="O28" s="1825" t="str">
        <f>IF(G28=0,0,IF(ISNA('Proposed Lighting'!AT28),0,'Proposed Lighting'!AT28))</f>
        <v/>
      </c>
      <c r="P28" s="1825"/>
      <c r="Q28" s="1247"/>
      <c r="R28" s="1247"/>
      <c r="S28" s="1247"/>
      <c r="T28" s="1211"/>
      <c r="U28" s="1235">
        <f>IF(K28&gt;0.01,'Proposed Lighting'!CU28,0)</f>
        <v>0</v>
      </c>
      <c r="V28" s="1248">
        <f>IF('Proposed Lighting'!CF28=1,0,IF('Proposed Lighting'!AU28=2,0,IF(AND('Proposed Lighting'!AU28=3,'Proposed Lighting'!CF28=0),1,0)))</f>
        <v>0</v>
      </c>
      <c r="W28" s="1836"/>
      <c r="X28" s="1836"/>
      <c r="Y28" s="1836"/>
      <c r="Z28" s="1230" t="str">
        <f t="shared" si="4"/>
        <v/>
      </c>
      <c r="AA28" s="1230">
        <f t="shared" si="5"/>
        <v>0</v>
      </c>
      <c r="AB28" s="1230">
        <f>IF(Q28=0,0,IF(T28=0,0,IF(AA28=0,0,IF(AND(F28=3,V28=0),0,IF(T28=0,0,IF(K28&gt;'Proposed Lighting'!AA28,0,IF('Proposed Lighting'!EJ28&gt;0.01,(K28*O28)*'Proposed Lighting'!EJ28/1000,(K28*O28)*U28/1000)))))))</f>
        <v>0</v>
      </c>
      <c r="AC28" s="1230" t="str">
        <f t="shared" si="6"/>
        <v/>
      </c>
      <c r="AD28" s="1230">
        <f t="shared" si="7"/>
        <v>0</v>
      </c>
      <c r="AE28" s="1230">
        <f>IF(T28=0,0,IF(K28&gt;'Proposed Lighting'!AA28,0,IF(T28&gt;K28,0,IF(AND(AD28&gt;AA28,AA28&gt;0),0,IF(AND(F28&gt;1,W28&lt;0.01),0,IF('Proposed Lighting'!AU28&gt;'Lighting Controls'!F28,0,IF('Proposed Lighting'!AU28&lt;'Lighting Controls'!F28,0,IF(U28=0,0,Summary!AC331))))))))</f>
        <v>0</v>
      </c>
      <c r="AF28" s="1230">
        <f>IF(T28=0,0,IF(AE28=0,0,IF(K28&gt;'Proposed Lighting'!AA28,0,IF(AND(AD28&gt;AA28,AA28&gt;0),0,IF(U28=0,0,Summary!AD331)))))</f>
        <v>0</v>
      </c>
      <c r="AG28" s="1834">
        <f>IF('Proposed Lighting'!AU28=1,0,IF('Proposed Lighting'!CF28=1,0,T28*W28))</f>
        <v>0</v>
      </c>
      <c r="AH28" s="1834"/>
      <c r="AI28" s="1834"/>
      <c r="AJ28" s="1835">
        <f>IF(T28&lt;1,0,IF(K28&gt;'Proposed Lighting'!AA28,0,IF('Proposed Lighting'!CF28=1,0,IF('Proposed Lighting'!AU28=1,0,IF(T28&gt;K28,0,IF(AND(AD28&gt;AA28,AA28&gt;0),0,IF(AND(F28=2,'Proposed Lighting'!AU28=3),0,IF(AND(F28=3,'Proposed Lighting'!AU28=2),0,IF('Proposed Lighting'!CH28=100,0,IF(AND(F28&lt;3,V28=1,AM28=0),0,IF(AND(F28&gt;1,AF28&lt;1,AN28&lt;1),0,IF(AND(F28&gt;1,AE28&lt;0.69,AF28&lt;1,AN28&lt;1),0,IF(ISERROR(AB28-AC28),"",AB28-AC28)))))))))))))</f>
        <v>0</v>
      </c>
      <c r="AK28" s="1835"/>
      <c r="AL28" s="1835"/>
      <c r="AM28" s="1216">
        <f>IF(Q28=0,0,IF(T28=0,0,IF(T28&gt;K28,0,IF(AND(AS28&gt;0.01,BK28=0),0,IF(AND('Proposed Lighting'!DG28=0,'Lighting Controls'!Z28=0.35),0,IF(AND(T28&lt;=K28,AA28&gt;=AD28,'Proposed Lighting'!AU28=2),VLOOKUP(Q28,$AY$9:$AZ$15,2,FALSE),IF(AND(T28&lt;=K28,AA28&gt;=AD28,'Proposed Lighting'!AU28=3),VLOOKUP(Q28,$AY$17:$AZ$23,2,FALSE))))))))</f>
        <v>0</v>
      </c>
      <c r="AN28" s="1248">
        <f>IF(T28=0,0,IF(K28&gt;'Proposed Lighting'!AA28,0,IF(AE28=0,0,IF(AND(AD28&gt;AA28,AA28&gt;0),0,IF(U28=0,0,Summary!AE331)))))</f>
        <v>0</v>
      </c>
      <c r="AO28" s="1248">
        <f t="shared" si="11"/>
        <v>0</v>
      </c>
      <c r="AP28" s="1249">
        <f>IF('Proposed Lighting'!AU28=1,0,IF(K28=0,0,IF(T28&gt;K28,0,IF(G28=0,0,IF(K28&gt;'Proposed Lighting'!AA28,0,IF(AND(AD28&gt;AA28,AA28&gt;0),0,IF(AND('Proposed Lighting'!AU28=3,AM28=0.5),0,IF(AND(AM28&gt;0,AS28&gt;0,BI28&lt;2),0,IF('Proposed Lighting'!CH28=100,0,IF(AV28=1,0,IF(AND(AM28=35,M28+N28&lt;2),0,AM28)))))))))))</f>
        <v>0</v>
      </c>
      <c r="AQ28" s="1249" t="str">
        <f>IFERROR(ROUND(IF(Q28="","",IF('Proposed Lighting'!$X$4=0,0,IF(AND(AM28=35,M28+N28&lt;2),0,IF(T28&gt;K28,0,IF('Proposed Lighting'!AU28=1,0,IF(AJ28=0,0,IF(AND('Proposed Lighting'!AU28=3,AM28=0.5),0,IF(AND(AD28=75,AP28=0,AV28=0),0,IF(AP28&gt;0.01,AP28*T28,IF(AND(F28&gt;1,W28&lt;0.01),0,IF(AND(F28&gt;1,AO28=0),0,IF(AND('Proposed Lighting'!BC28=22,AV28=0),0,IF(AND(AM28&gt;0,AS28&gt;0,BI28&lt;2),0,IF(AND(AS28&gt;0.01,BK28=0),0,IF(AND(AO28=TRUE,AV28=1,F28=3),MIN(AJ28*0.08,L28),IF(AP28&gt;0.01,AP28*T28,IF(AND(AO28=TRUE,AV28=1,F28=2),MIN(AJ28*0.1,L28)))))))))))))))))),2),"")</f>
        <v/>
      </c>
      <c r="AR28" s="1250">
        <f>IF(Q28=0,0,IF('Proposed Lighting'!$X$4=0,0,IF(AND(AM28&gt;0.01,AQ28&gt;0.01),0,IF('Proposed Lighting'!AU28=1,"Missing Interior or Exterior Selection",IF('Proposed Lighting'!CF28=1,"Selection does not match",IF(K28&gt;'Proposed Lighting'!AA28,"Quantity controlled does not match proposed lighting quantity",IF(T28&gt;K28,"Quantity of sensors exceeds proposed lighting quantity",IF(AND(F28&gt;1,'Proposed Lighting'!AU28&lt;&gt;F28),"Selection does not match",IF(AND(AD28&gt;AA28,AA28&gt;0),"Does not meet minimum connected load",IF(AND(O28&gt;0,AS28&gt;0,BK28&gt;0,'Proposed Lighting'!CH28=0),"Select Control Strategies",IF(AND(AC28&gt;0.1,AJ28=0,AQ28=0),"Does not meet incentive criteria",0)))))))))))</f>
        <v>0</v>
      </c>
      <c r="AS28" s="1224">
        <f>IF('Proposed Lighting'!CH28=100,0,IF(ISNUMBER(SEARCH("multiple",Q28)),1,0))</f>
        <v>0</v>
      </c>
      <c r="AT28" s="451">
        <f t="shared" si="8"/>
        <v>0</v>
      </c>
      <c r="AU28" s="451">
        <f t="shared" si="9"/>
        <v>0</v>
      </c>
      <c r="AV28" s="1222">
        <f>IF(ISNUMBER(SEARCH("Networked",'Proposed Lighting'!T28)),0,IF(ISNUMBER(SEARCH("Strategies",'Proposed Lighting'!T28)),0,IF(ISNUMBER(SEARCH("Removal",'Proposed Lighting'!T28)),0,IF(ISNUMBER(SEARCH("non-standard",Q28)),1,0))))</f>
        <v>0</v>
      </c>
      <c r="AW28" s="451">
        <f t="shared" si="12"/>
        <v>0</v>
      </c>
      <c r="AX28" s="451"/>
      <c r="AY28" s="451" t="s">
        <v>1161</v>
      </c>
      <c r="AZ28" s="451">
        <v>0.5</v>
      </c>
      <c r="BA28" s="451"/>
      <c r="BB28" s="451"/>
      <c r="BC28" s="1215"/>
      <c r="BD28" s="1215"/>
      <c r="BE28" s="1215"/>
      <c r="BF28" s="1215"/>
      <c r="BG28" s="1215"/>
      <c r="BH28" s="1215"/>
      <c r="BI28">
        <f>IF(AND(AS28=1,BC28="No",BD28="Yes",BE28="Yes",BF28="No",BH28="No"),0,IF(AND('Proposed Lighting'!AU28=2,AS28=1,BC28="Yes",BD28="Yes"),2,IF(AND('Proposed Lighting'!AU28=2,AS28=1,BC28="Yes",BE28="Yes"),2,IF(AND('Proposed Lighting'!AU28=2,AS28=1,BC28="Yes",BF28="Yes"),2,IF(AND('Proposed Lighting'!AU28=2,AS28=1,BC28="Yes",BH28="Yes"),2,IF(AND('Proposed Lighting'!AU28=2,AS28=1,BD28="Yes",BF28="Yes"),2,IF(AND('Proposed Lighting'!AU28=2,AS28=1,BD28="Yes",BH28="Yes"),2,IF(AND('Proposed Lighting'!AU28=3,AS28=1,BC28="Yes",BE28="Yes"),2,IF(AND('Proposed Lighting'!AU28=3,AS28=1,BC28="Yes",BF28="Yes"),2,0)))))))))</f>
        <v>0</v>
      </c>
      <c r="BJ28" s="1025">
        <f t="shared" si="10"/>
        <v>0</v>
      </c>
      <c r="BK28">
        <f>IF(AND('Proposed Lighting'!BC28=22,'Lighting Controls'!N28=1),0,IF(ISNUMBER(SEARCH("LED",G28)),1,0))</f>
        <v>0</v>
      </c>
    </row>
    <row r="29" spans="1:63" ht="35.1" customHeight="1">
      <c r="A29" s="917">
        <v>21</v>
      </c>
      <c r="B29" s="1828" t="str">
        <f>IF('Proposed Lighting'!B29="","",'Proposed Lighting'!B29)</f>
        <v/>
      </c>
      <c r="C29" s="1828"/>
      <c r="D29" s="1828"/>
      <c r="E29" s="1245">
        <f>'Proposed Lighting'!AA29</f>
        <v>0</v>
      </c>
      <c r="F29" s="1245">
        <f t="shared" si="0"/>
        <v>0</v>
      </c>
      <c r="G29" s="1830" t="str">
        <f>IF('Proposed Lighting'!T29="","",IF(ISNUMBER(SEARCH("Networked",'Proposed Lighting'!T29)),0,IF(ISNUMBER(SEARCH("Strategies",'Proposed Lighting'!T29)),0,IF(ISNUMBER(SEARCH("Removal",'Proposed Lighting'!T29)),0,'Proposed Lighting'!T29))))</f>
        <v/>
      </c>
      <c r="H29" s="1830"/>
      <c r="I29" s="1830"/>
      <c r="J29" s="1830"/>
      <c r="K29" s="1215"/>
      <c r="L29" s="1246">
        <f t="shared" si="1"/>
        <v>0</v>
      </c>
      <c r="M29" s="1224">
        <f t="shared" si="2"/>
        <v>0</v>
      </c>
      <c r="N29" s="1224">
        <f t="shared" si="3"/>
        <v>0</v>
      </c>
      <c r="O29" s="1825" t="str">
        <f>IF(G29=0,0,IF(ISNA('Proposed Lighting'!AT29),0,'Proposed Lighting'!AT29))</f>
        <v/>
      </c>
      <c r="P29" s="1825"/>
      <c r="Q29" s="1247"/>
      <c r="R29" s="1247"/>
      <c r="S29" s="1247"/>
      <c r="T29" s="1211"/>
      <c r="U29" s="1235">
        <f>IF(K29&gt;0.01,'Proposed Lighting'!CU29,0)</f>
        <v>0</v>
      </c>
      <c r="V29" s="1248">
        <f>IF('Proposed Lighting'!CF29=1,0,IF('Proposed Lighting'!AU29=2,0,IF(AND('Proposed Lighting'!AU29=3,'Proposed Lighting'!CF29=0),1,0)))</f>
        <v>0</v>
      </c>
      <c r="W29" s="1836"/>
      <c r="X29" s="1836"/>
      <c r="Y29" s="1836"/>
      <c r="Z29" s="1230" t="str">
        <f t="shared" si="4"/>
        <v/>
      </c>
      <c r="AA29" s="1230">
        <f t="shared" si="5"/>
        <v>0</v>
      </c>
      <c r="AB29" s="1230">
        <f>IF(Q29=0,0,IF(T29=0,0,IF(AA29=0,0,IF(AND(F29=3,V29=0),0,IF(T29=0,0,IF(K29&gt;'Proposed Lighting'!AA29,0,IF('Proposed Lighting'!EJ29&gt;0.01,(K29*O29)*'Proposed Lighting'!EJ29/1000,(K29*O29)*U29/1000)))))))</f>
        <v>0</v>
      </c>
      <c r="AC29" s="1230" t="str">
        <f t="shared" si="6"/>
        <v/>
      </c>
      <c r="AD29" s="1230">
        <f t="shared" si="7"/>
        <v>0</v>
      </c>
      <c r="AE29" s="1230">
        <f>IF(T29=0,0,IF(K29&gt;'Proposed Lighting'!AA29,0,IF(T29&gt;K29,0,IF(AND(AD29&gt;AA29,AA29&gt;0),0,IF(AND(F29&gt;1,W29&lt;0.01),0,IF('Proposed Lighting'!AU29&gt;'Lighting Controls'!F29,0,IF('Proposed Lighting'!AU29&lt;'Lighting Controls'!F29,0,IF(U29=0,0,Summary!AC332))))))))</f>
        <v>0</v>
      </c>
      <c r="AF29" s="1230">
        <f>IF(T29=0,0,IF(AE29=0,0,IF(K29&gt;'Proposed Lighting'!AA29,0,IF(AND(AD29&gt;AA29,AA29&gt;0),0,IF(U29=0,0,Summary!AD332)))))</f>
        <v>0</v>
      </c>
      <c r="AG29" s="1834">
        <f>IF('Proposed Lighting'!AU29=1,0,IF('Proposed Lighting'!CF29=1,0,T29*W29))</f>
        <v>0</v>
      </c>
      <c r="AH29" s="1834"/>
      <c r="AI29" s="1834"/>
      <c r="AJ29" s="1835">
        <f>IF(T29&lt;1,0,IF(K29&gt;'Proposed Lighting'!AA29,0,IF('Proposed Lighting'!CF29=1,0,IF('Proposed Lighting'!AU29=1,0,IF(T29&gt;K29,0,IF(AND(AD29&gt;AA29,AA29&gt;0),0,IF(AND(F29=2,'Proposed Lighting'!AU29=3),0,IF(AND(F29=3,'Proposed Lighting'!AU29=2),0,IF('Proposed Lighting'!CH29=100,0,IF(AND(F29&lt;3,V29=1,AM29=0),0,IF(AND(F29&gt;1,AF29&lt;1,AN29&lt;1),0,IF(AND(F29&gt;1,AE29&lt;0.69,AF29&lt;1,AN29&lt;1),0,IF(ISERROR(AB29-AC29),"",AB29-AC29)))))))))))))</f>
        <v>0</v>
      </c>
      <c r="AK29" s="1835"/>
      <c r="AL29" s="1835"/>
      <c r="AM29" s="1216">
        <f>IF(Q29=0,0,IF(T29=0,0,IF(T29&gt;K29,0,IF(AND(AS29&gt;0.01,BK29=0),0,IF(AND('Proposed Lighting'!DG29=0,'Lighting Controls'!Z29=0.35),0,IF(AND(T29&lt;=K29,AA29&gt;=AD29,'Proposed Lighting'!AU29=2),VLOOKUP(Q29,$AY$9:$AZ$15,2,FALSE),IF(AND(T29&lt;=K29,AA29&gt;=AD29,'Proposed Lighting'!AU29=3),VLOOKUP(Q29,$AY$17:$AZ$23,2,FALSE))))))))</f>
        <v>0</v>
      </c>
      <c r="AN29" s="1248">
        <f>IF(T29=0,0,IF(K29&gt;'Proposed Lighting'!AA29,0,IF(AE29=0,0,IF(AND(AD29&gt;AA29,AA29&gt;0),0,IF(U29=0,0,Summary!AE332)))))</f>
        <v>0</v>
      </c>
      <c r="AO29" s="1248">
        <f t="shared" si="11"/>
        <v>0</v>
      </c>
      <c r="AP29" s="1249">
        <f>IF('Proposed Lighting'!AU29=1,0,IF(K29=0,0,IF(T29&gt;K29,0,IF(G29=0,0,IF(K29&gt;'Proposed Lighting'!AA29,0,IF(AND(AD29&gt;AA29,AA29&gt;0),0,IF(AND('Proposed Lighting'!AU29=3,AM29=0.5),0,IF(AND(AM29&gt;0,AS29&gt;0,BI29&lt;2),0,IF('Proposed Lighting'!CH29=100,0,IF(AV29=1,0,IF(AND(AM29=35,M29+N29&lt;2),0,AM29)))))))))))</f>
        <v>0</v>
      </c>
      <c r="AQ29" s="1249" t="str">
        <f>IFERROR(ROUND(IF(Q29="","",IF('Proposed Lighting'!$X$4=0,0,IF(AND(AM29=35,M29+N29&lt;2),0,IF(T29&gt;K29,0,IF('Proposed Lighting'!AU29=1,0,IF(AJ29=0,0,IF(AND('Proposed Lighting'!AU29=3,AM29=0.5),0,IF(AND(AD29=75,AP29=0,AV29=0),0,IF(AP29&gt;0.01,AP29*T29,IF(AND(F29&gt;1,W29&lt;0.01),0,IF(AND(F29&gt;1,AO29=0),0,IF(AND('Proposed Lighting'!BC29=22,AV29=0),0,IF(AND(AM29&gt;0,AS29&gt;0,BI29&lt;2),0,IF(AND(AS29&gt;0.01,BK29=0),0,IF(AND(AO29=TRUE,AV29=1,F29=3),MIN(AJ29*0.08,L29),IF(AP29&gt;0.01,AP29*T29,IF(AND(AO29=TRUE,AV29=1,F29=2),MIN(AJ29*0.1,L29)))))))))))))))))),2),"")</f>
        <v/>
      </c>
      <c r="AR29" s="1250">
        <f>IF(Q29=0,0,IF('Proposed Lighting'!$X$4=0,0,IF(AND(AM29&gt;0.01,AQ29&gt;0.01),0,IF('Proposed Lighting'!AU29=1,"Missing Interior or Exterior Selection",IF('Proposed Lighting'!CF29=1,"Selection does not match",IF(K29&gt;'Proposed Lighting'!AA29,"Quantity controlled does not match proposed lighting quantity",IF(T29&gt;K29,"Quantity of sensors exceeds proposed lighting quantity",IF(AND(F29&gt;1,'Proposed Lighting'!AU29&lt;&gt;F29),"Selection does not match",IF(AND(AD29&gt;AA29,AA29&gt;0),"Does not meet minimum connected load",IF(AND(O29&gt;0,AS29&gt;0,BK29&gt;0,'Proposed Lighting'!CH29=0),"Select Control Strategies",IF(AND(AC29&gt;0.1,AJ29=0,AQ29=0),"Does not meet incentive criteria",0)))))))))))</f>
        <v>0</v>
      </c>
      <c r="AS29" s="1224">
        <f>IF('Proposed Lighting'!CH29=100,0,IF(ISNUMBER(SEARCH("multiple",Q29)),1,0))</f>
        <v>0</v>
      </c>
      <c r="AT29" s="451">
        <f t="shared" si="8"/>
        <v>0</v>
      </c>
      <c r="AU29" s="451">
        <f t="shared" si="9"/>
        <v>0</v>
      </c>
      <c r="AV29" s="1222">
        <f>IF(ISNUMBER(SEARCH("Networked",'Proposed Lighting'!T29)),0,IF(ISNUMBER(SEARCH("Strategies",'Proposed Lighting'!T29)),0,IF(ISNUMBER(SEARCH("Removal",'Proposed Lighting'!T29)),0,IF(ISNUMBER(SEARCH("non-standard",Q29)),1,0))))</f>
        <v>0</v>
      </c>
      <c r="AW29" s="451">
        <f t="shared" si="12"/>
        <v>0</v>
      </c>
      <c r="AX29" s="451"/>
      <c r="AY29" s="451" t="s">
        <v>1278</v>
      </c>
      <c r="AZ29" s="451">
        <v>0</v>
      </c>
      <c r="BA29" s="451"/>
      <c r="BB29" s="451"/>
      <c r="BC29" s="1215"/>
      <c r="BD29" s="1215"/>
      <c r="BE29" s="1215"/>
      <c r="BF29" s="1215"/>
      <c r="BG29" s="1215"/>
      <c r="BH29" s="1215"/>
      <c r="BI29">
        <f>IF(AND(AS29=1,BC29="No",BD29="Yes",BE29="Yes",BF29="No",BH29="No"),0,IF(AND('Proposed Lighting'!AU29=2,AS29=1,BC29="Yes",BD29="Yes"),2,IF(AND('Proposed Lighting'!AU29=2,AS29=1,BC29="Yes",BE29="Yes"),2,IF(AND('Proposed Lighting'!AU29=2,AS29=1,BC29="Yes",BF29="Yes"),2,IF(AND('Proposed Lighting'!AU29=2,AS29=1,BC29="Yes",BH29="Yes"),2,IF(AND('Proposed Lighting'!AU29=2,AS29=1,BD29="Yes",BF29="Yes"),2,IF(AND('Proposed Lighting'!AU29=2,AS29=1,BD29="Yes",BH29="Yes"),2,IF(AND('Proposed Lighting'!AU29=3,AS29=1,BC29="Yes",BE29="Yes"),2,IF(AND('Proposed Lighting'!AU29=3,AS29=1,BC29="Yes",BF29="Yes"),2,0)))))))))</f>
        <v>0</v>
      </c>
      <c r="BJ29" s="1025">
        <f t="shared" si="10"/>
        <v>0</v>
      </c>
      <c r="BK29">
        <f>IF(AND('Proposed Lighting'!BC29=22,'Lighting Controls'!N29=1),0,IF(ISNUMBER(SEARCH("LED",G29)),1,0))</f>
        <v>0</v>
      </c>
    </row>
    <row r="30" spans="1:63" ht="35.1" customHeight="1">
      <c r="A30" s="917">
        <v>22</v>
      </c>
      <c r="B30" s="1828" t="str">
        <f>IF('Proposed Lighting'!B30="","",'Proposed Lighting'!B30)</f>
        <v/>
      </c>
      <c r="C30" s="1828"/>
      <c r="D30" s="1828"/>
      <c r="E30" s="1245">
        <f>'Proposed Lighting'!AA30</f>
        <v>0</v>
      </c>
      <c r="F30" s="1245">
        <f t="shared" si="0"/>
        <v>0</v>
      </c>
      <c r="G30" s="1830" t="str">
        <f>IF('Proposed Lighting'!T30="","",IF(ISNUMBER(SEARCH("Networked",'Proposed Lighting'!T30)),0,IF(ISNUMBER(SEARCH("Strategies",'Proposed Lighting'!T30)),0,IF(ISNUMBER(SEARCH("Removal",'Proposed Lighting'!T30)),0,'Proposed Lighting'!T30))))</f>
        <v/>
      </c>
      <c r="H30" s="1830"/>
      <c r="I30" s="1830"/>
      <c r="J30" s="1830"/>
      <c r="K30" s="1215"/>
      <c r="L30" s="1246">
        <f t="shared" si="1"/>
        <v>0</v>
      </c>
      <c r="M30" s="1224">
        <f t="shared" si="2"/>
        <v>0</v>
      </c>
      <c r="N30" s="1224">
        <f t="shared" si="3"/>
        <v>0</v>
      </c>
      <c r="O30" s="1825" t="str">
        <f>IF(G30=0,0,IF(ISNA('Proposed Lighting'!AT30),0,'Proposed Lighting'!AT30))</f>
        <v/>
      </c>
      <c r="P30" s="1825"/>
      <c r="Q30" s="1247"/>
      <c r="R30" s="1247"/>
      <c r="S30" s="1247"/>
      <c r="T30" s="1211"/>
      <c r="U30" s="1235">
        <f>IF(K30&gt;0.01,'Proposed Lighting'!CU30,0)</f>
        <v>0</v>
      </c>
      <c r="V30" s="1248">
        <f>IF('Proposed Lighting'!CF30=1,0,IF('Proposed Lighting'!AU30=2,0,IF(AND('Proposed Lighting'!AU30=3,'Proposed Lighting'!CF30=0),1,0)))</f>
        <v>0</v>
      </c>
      <c r="W30" s="1836"/>
      <c r="X30" s="1836"/>
      <c r="Y30" s="1836"/>
      <c r="Z30" s="1230" t="str">
        <f t="shared" si="4"/>
        <v/>
      </c>
      <c r="AA30" s="1230">
        <f t="shared" si="5"/>
        <v>0</v>
      </c>
      <c r="AB30" s="1230">
        <f>IF(Q30=0,0,IF(T30=0,0,IF(AA30=0,0,IF(AND(F30=3,V30=0),0,IF(T30=0,0,IF(K30&gt;'Proposed Lighting'!AA30,0,IF('Proposed Lighting'!EJ30&gt;0.01,(K30*O30)*'Proposed Lighting'!EJ30/1000,(K30*O30)*U30/1000)))))))</f>
        <v>0</v>
      </c>
      <c r="AC30" s="1230" t="str">
        <f t="shared" si="6"/>
        <v/>
      </c>
      <c r="AD30" s="1230">
        <f t="shared" si="7"/>
        <v>0</v>
      </c>
      <c r="AE30" s="1230">
        <f>IF(T30=0,0,IF(K30&gt;'Proposed Lighting'!AA30,0,IF(T30&gt;K30,0,IF(AND(AD30&gt;AA30,AA30&gt;0),0,IF(AND(F30&gt;1,W30&lt;0.01),0,IF('Proposed Lighting'!AU30&gt;'Lighting Controls'!F30,0,IF('Proposed Lighting'!AU30&lt;'Lighting Controls'!F30,0,IF(U30=0,0,Summary!AC333))))))))</f>
        <v>0</v>
      </c>
      <c r="AF30" s="1230">
        <f>IF(T30=0,0,IF(AE30=0,0,IF(K30&gt;'Proposed Lighting'!AA30,0,IF(AND(AD30&gt;AA30,AA30&gt;0),0,IF(U30=0,0,Summary!AD333)))))</f>
        <v>0</v>
      </c>
      <c r="AG30" s="1834">
        <f>IF('Proposed Lighting'!AU30=1,0,IF('Proposed Lighting'!CF30=1,0,T30*W30))</f>
        <v>0</v>
      </c>
      <c r="AH30" s="1834"/>
      <c r="AI30" s="1834"/>
      <c r="AJ30" s="1835">
        <f>IF(T30&lt;1,0,IF(K30&gt;'Proposed Lighting'!AA30,0,IF('Proposed Lighting'!CF30=1,0,IF('Proposed Lighting'!AU30=1,0,IF(T30&gt;K30,0,IF(AND(AD30&gt;AA30,AA30&gt;0),0,IF(AND(F30=2,'Proposed Lighting'!AU30=3),0,IF(AND(F30=3,'Proposed Lighting'!AU30=2),0,IF('Proposed Lighting'!CH30=100,0,IF(AND(F30&lt;3,V30=1,AM30=0),0,IF(AND(F30&gt;1,AF30&lt;1,AN30&lt;1),0,IF(AND(F30&gt;1,AE30&lt;0.69,AF30&lt;1,AN30&lt;1),0,IF(ISERROR(AB30-AC30),"",AB30-AC30)))))))))))))</f>
        <v>0</v>
      </c>
      <c r="AK30" s="1835"/>
      <c r="AL30" s="1835"/>
      <c r="AM30" s="1216">
        <f>IF(Q30=0,0,IF(T30=0,0,IF(T30&gt;K30,0,IF(AND(AS30&gt;0.01,BK30=0),0,IF(AND('Proposed Lighting'!DG30=0,'Lighting Controls'!Z30=0.35),0,IF(AND(T30&lt;=K30,AA30&gt;=AD30,'Proposed Lighting'!AU30=2),VLOOKUP(Q30,$AY$9:$AZ$15,2,FALSE),IF(AND(T30&lt;=K30,AA30&gt;=AD30,'Proposed Lighting'!AU30=3),VLOOKUP(Q30,$AY$17:$AZ$23,2,FALSE))))))))</f>
        <v>0</v>
      </c>
      <c r="AN30" s="1248">
        <f>IF(T30=0,0,IF(K30&gt;'Proposed Lighting'!AA30,0,IF(AE30=0,0,IF(AND(AD30&gt;AA30,AA30&gt;0),0,IF(U30=0,0,Summary!AE333)))))</f>
        <v>0</v>
      </c>
      <c r="AO30" s="1248">
        <f t="shared" si="11"/>
        <v>0</v>
      </c>
      <c r="AP30" s="1249">
        <f>IF('Proposed Lighting'!AU30=1,0,IF(K30=0,0,IF(T30&gt;K30,0,IF(G30=0,0,IF(K30&gt;'Proposed Lighting'!AA30,0,IF(AND(AD30&gt;AA30,AA30&gt;0),0,IF(AND('Proposed Lighting'!AU30=3,AM30=0.5),0,IF(AND(AM30&gt;0,AS30&gt;0,BI30&lt;2),0,IF('Proposed Lighting'!CH30=100,0,IF(AV30=1,0,IF(AND(AM30=35,M30+N30&lt;2),0,AM30)))))))))))</f>
        <v>0</v>
      </c>
      <c r="AQ30" s="1249" t="str">
        <f>IFERROR(ROUND(IF(Q30="","",IF('Proposed Lighting'!$X$4=0,0,IF(AND(AM30=35,M30+N30&lt;2),0,IF(T30&gt;K30,0,IF('Proposed Lighting'!AU30=1,0,IF(AJ30=0,0,IF(AND('Proposed Lighting'!AU30=3,AM30=0.5),0,IF(AND(AD30=75,AP30=0,AV30=0),0,IF(AP30&gt;0.01,AP30*T30,IF(AND(F30&gt;1,W30&lt;0.01),0,IF(AND(F30&gt;1,AO30=0),0,IF(AND('Proposed Lighting'!BC30=22,AV30=0),0,IF(AND(AM30&gt;0,AS30&gt;0,BI30&lt;2),0,IF(AND(AS30&gt;0.01,BK30=0),0,IF(AND(AO30=TRUE,AV30=1,F30=3),MIN(AJ30*0.08,L30),IF(AP30&gt;0.01,AP30*T30,IF(AND(AO30=TRUE,AV30=1,F30=2),MIN(AJ30*0.1,L30)))))))))))))))))),2),"")</f>
        <v/>
      </c>
      <c r="AR30" s="1250">
        <f>IF(Q30=0,0,IF('Proposed Lighting'!$X$4=0,0,IF(AND(AM30&gt;0.01,AQ30&gt;0.01),0,IF('Proposed Lighting'!AU30=1,"Missing Interior or Exterior Selection",IF('Proposed Lighting'!CF30=1,"Selection does not match",IF(K30&gt;'Proposed Lighting'!AA30,"Quantity controlled does not match proposed lighting quantity",IF(T30&gt;K30,"Quantity of sensors exceeds proposed lighting quantity",IF(AND(F30&gt;1,'Proposed Lighting'!AU30&lt;&gt;F30),"Selection does not match",IF(AND(AD30&gt;AA30,AA30&gt;0),"Does not meet minimum connected load",IF(AND(O30&gt;0,AS30&gt;0,BK30&gt;0,'Proposed Lighting'!CH30=0),"Select Control Strategies",IF(AND(AC30&gt;0.1,AJ30=0,AQ30=0),"Does not meet incentive criteria",0)))))))))))</f>
        <v>0</v>
      </c>
      <c r="AS30" s="1224">
        <f>IF('Proposed Lighting'!CH30=100,0,IF(ISNUMBER(SEARCH("multiple",Q30)),1,0))</f>
        <v>0</v>
      </c>
      <c r="AT30" s="451">
        <f t="shared" si="8"/>
        <v>0</v>
      </c>
      <c r="AU30" s="451">
        <f t="shared" si="9"/>
        <v>0</v>
      </c>
      <c r="AV30" s="1222">
        <f>IF(ISNUMBER(SEARCH("Networked",'Proposed Lighting'!T30)),0,IF(ISNUMBER(SEARCH("Strategies",'Proposed Lighting'!T30)),0,IF(ISNUMBER(SEARCH("Removal",'Proposed Lighting'!T30)),0,IF(ISNUMBER(SEARCH("non-standard",Q30)),1,0))))</f>
        <v>0</v>
      </c>
      <c r="AW30" s="451">
        <f t="shared" si="12"/>
        <v>0</v>
      </c>
      <c r="AX30" s="451"/>
      <c r="AY30" s="451" t="s">
        <v>456</v>
      </c>
      <c r="AZ30" s="451">
        <v>0</v>
      </c>
      <c r="BA30" s="451"/>
      <c r="BB30" s="451"/>
      <c r="BC30" s="1215"/>
      <c r="BD30" s="1215"/>
      <c r="BE30" s="1215"/>
      <c r="BF30" s="1215"/>
      <c r="BG30" s="1215"/>
      <c r="BH30" s="1215"/>
      <c r="BI30">
        <f>IF(AND(AS30=1,BC30="No",BD30="Yes",BE30="Yes",BF30="No",BH30="No"),0,IF(AND('Proposed Lighting'!AU30=2,AS30=1,BC30="Yes",BD30="Yes"),2,IF(AND('Proposed Lighting'!AU30=2,AS30=1,BC30="Yes",BE30="Yes"),2,IF(AND('Proposed Lighting'!AU30=2,AS30=1,BC30="Yes",BF30="Yes"),2,IF(AND('Proposed Lighting'!AU30=2,AS30=1,BC30="Yes",BH30="Yes"),2,IF(AND('Proposed Lighting'!AU30=2,AS30=1,BD30="Yes",BF30="Yes"),2,IF(AND('Proposed Lighting'!AU30=2,AS30=1,BD30="Yes",BH30="Yes"),2,IF(AND('Proposed Lighting'!AU30=3,AS30=1,BC30="Yes",BE30="Yes"),2,IF(AND('Proposed Lighting'!AU30=3,AS30=1,BC30="Yes",BF30="Yes"),2,0)))))))))</f>
        <v>0</v>
      </c>
      <c r="BJ30" s="1025">
        <f t="shared" si="10"/>
        <v>0</v>
      </c>
      <c r="BK30">
        <f>IF(AND('Proposed Lighting'!BC30=22,'Lighting Controls'!N30=1),0,IF(ISNUMBER(SEARCH("LED",G30)),1,0))</f>
        <v>0</v>
      </c>
    </row>
    <row r="31" spans="1:63" ht="35.1" customHeight="1">
      <c r="A31" s="917">
        <v>23</v>
      </c>
      <c r="B31" s="1828" t="str">
        <f>IF('Proposed Lighting'!B31="","",'Proposed Lighting'!B31)</f>
        <v/>
      </c>
      <c r="C31" s="1828"/>
      <c r="D31" s="1828"/>
      <c r="E31" s="1245">
        <f>'Proposed Lighting'!AA31</f>
        <v>0</v>
      </c>
      <c r="F31" s="1245">
        <f t="shared" si="0"/>
        <v>0</v>
      </c>
      <c r="G31" s="1830" t="str">
        <f>IF('Proposed Lighting'!T31="","",IF(ISNUMBER(SEARCH("Networked",'Proposed Lighting'!T31)),0,IF(ISNUMBER(SEARCH("Strategies",'Proposed Lighting'!T31)),0,IF(ISNUMBER(SEARCH("Removal",'Proposed Lighting'!T31)),0,'Proposed Lighting'!T31))))</f>
        <v/>
      </c>
      <c r="H31" s="1830"/>
      <c r="I31" s="1830"/>
      <c r="J31" s="1830"/>
      <c r="K31" s="1215"/>
      <c r="L31" s="1246">
        <f t="shared" si="1"/>
        <v>0</v>
      </c>
      <c r="M31" s="1224">
        <f t="shared" si="2"/>
        <v>0</v>
      </c>
      <c r="N31" s="1224">
        <f t="shared" si="3"/>
        <v>0</v>
      </c>
      <c r="O31" s="1825" t="str">
        <f>IF(G31=0,0,IF(ISNA('Proposed Lighting'!AT31),0,'Proposed Lighting'!AT31))</f>
        <v/>
      </c>
      <c r="P31" s="1825"/>
      <c r="Q31" s="1247"/>
      <c r="R31" s="1247"/>
      <c r="S31" s="1247"/>
      <c r="T31" s="1211"/>
      <c r="U31" s="1235">
        <f>IF(K31&gt;0.01,'Proposed Lighting'!CU31,0)</f>
        <v>0</v>
      </c>
      <c r="V31" s="1248">
        <f>IF('Proposed Lighting'!CF31=1,0,IF('Proposed Lighting'!AU31=2,0,IF(AND('Proposed Lighting'!AU31=3,'Proposed Lighting'!CF31=0),1,0)))</f>
        <v>0</v>
      </c>
      <c r="W31" s="1836"/>
      <c r="X31" s="1836"/>
      <c r="Y31" s="1836"/>
      <c r="Z31" s="1230" t="str">
        <f t="shared" si="4"/>
        <v/>
      </c>
      <c r="AA31" s="1230">
        <f t="shared" si="5"/>
        <v>0</v>
      </c>
      <c r="AB31" s="1230">
        <f>IF(Q31=0,0,IF(T31=0,0,IF(AA31=0,0,IF(AND(F31=3,V31=0),0,IF(T31=0,0,IF(K31&gt;'Proposed Lighting'!AA31,0,IF('Proposed Lighting'!EJ31&gt;0.01,(K31*O31)*'Proposed Lighting'!EJ31/1000,(K31*O31)*U31/1000)))))))</f>
        <v>0</v>
      </c>
      <c r="AC31" s="1230" t="str">
        <f t="shared" si="6"/>
        <v/>
      </c>
      <c r="AD31" s="1230">
        <f t="shared" si="7"/>
        <v>0</v>
      </c>
      <c r="AE31" s="1230">
        <f>IF(T31=0,0,IF(K31&gt;'Proposed Lighting'!AA31,0,IF(T31&gt;K31,0,IF(AND(AD31&gt;AA31,AA31&gt;0),0,IF(AND(F31&gt;1,W31&lt;0.01),0,IF('Proposed Lighting'!AU31&gt;'Lighting Controls'!F31,0,IF('Proposed Lighting'!AU31&lt;'Lighting Controls'!F31,0,IF(U31=0,0,Summary!AC334))))))))</f>
        <v>0</v>
      </c>
      <c r="AF31" s="1230">
        <f>IF(T31=0,0,IF(AE31=0,0,IF(K31&gt;'Proposed Lighting'!AA31,0,IF(AND(AD31&gt;AA31,AA31&gt;0),0,IF(U31=0,0,Summary!AD334)))))</f>
        <v>0</v>
      </c>
      <c r="AG31" s="1834">
        <f>IF('Proposed Lighting'!AU31=1,0,IF('Proposed Lighting'!CF31=1,0,T31*W31))</f>
        <v>0</v>
      </c>
      <c r="AH31" s="1834"/>
      <c r="AI31" s="1834"/>
      <c r="AJ31" s="1835">
        <f>IF(T31&lt;1,0,IF(K31&gt;'Proposed Lighting'!AA31,0,IF('Proposed Lighting'!CF31=1,0,IF('Proposed Lighting'!AU31=1,0,IF(T31&gt;K31,0,IF(AND(AD31&gt;AA31,AA31&gt;0),0,IF(AND(F31=2,'Proposed Lighting'!AU31=3),0,IF(AND(F31=3,'Proposed Lighting'!AU31=2),0,IF('Proposed Lighting'!CH31=100,0,IF(AND(F31&lt;3,V31=1,AM31=0),0,IF(AND(F31&gt;1,AF31&lt;1,AN31&lt;1),0,IF(AND(F31&gt;1,AE31&lt;0.69,AF31&lt;1,AN31&lt;1),0,IF(ISERROR(AB31-AC31),"",AB31-AC31)))))))))))))</f>
        <v>0</v>
      </c>
      <c r="AK31" s="1835"/>
      <c r="AL31" s="1835"/>
      <c r="AM31" s="1216">
        <f>IF(Q31=0,0,IF(T31=0,0,IF(T31&gt;K31,0,IF(AND(AS31&gt;0.01,BK31=0),0,IF(AND('Proposed Lighting'!DG31=0,'Lighting Controls'!Z31=0.35),0,IF(AND(T31&lt;=K31,AA31&gt;=AD31,'Proposed Lighting'!AU31=2),VLOOKUP(Q31,$AY$9:$AZ$15,2,FALSE),IF(AND(T31&lt;=K31,AA31&gt;=AD31,'Proposed Lighting'!AU31=3),VLOOKUP(Q31,$AY$17:$AZ$23,2,FALSE))))))))</f>
        <v>0</v>
      </c>
      <c r="AN31" s="1248">
        <f>IF(T31=0,0,IF(K31&gt;'Proposed Lighting'!AA31,0,IF(AE31=0,0,IF(AND(AD31&gt;AA31,AA31&gt;0),0,IF(U31=0,0,Summary!AE334)))))</f>
        <v>0</v>
      </c>
      <c r="AO31" s="1248">
        <f t="shared" si="11"/>
        <v>0</v>
      </c>
      <c r="AP31" s="1249">
        <f>IF('Proposed Lighting'!AU31=1,0,IF(K31=0,0,IF(T31&gt;K31,0,IF(G31=0,0,IF(K31&gt;'Proposed Lighting'!AA31,0,IF(AND(AD31&gt;AA31,AA31&gt;0),0,IF(AND('Proposed Lighting'!AU31=3,AM31=0.5),0,IF(AND(AM31&gt;0,AS31&gt;0,BI31&lt;2),0,IF('Proposed Lighting'!CH31=100,0,IF(AV31=1,0,IF(AND(AM31=35,M31+N31&lt;2),0,AM31)))))))))))</f>
        <v>0</v>
      </c>
      <c r="AQ31" s="1249" t="str">
        <f>IFERROR(ROUND(IF(Q31="","",IF('Proposed Lighting'!$X$4=0,0,IF(AND(AM31=35,M31+N31&lt;2),0,IF(T31&gt;K31,0,IF('Proposed Lighting'!AU31=1,0,IF(AJ31=0,0,IF(AND('Proposed Lighting'!AU31=3,AM31=0.5),0,IF(AND(AD31=75,AP31=0,AV31=0),0,IF(AP31&gt;0.01,AP31*T31,IF(AND(F31&gt;1,W31&lt;0.01),0,IF(AND(F31&gt;1,AO31=0),0,IF(AND('Proposed Lighting'!BC31=22,AV31=0),0,IF(AND(AM31&gt;0,AS31&gt;0,BI31&lt;2),0,IF(AND(AS31&gt;0.01,BK31=0),0,IF(AND(AO31=TRUE,AV31=1,F31=3),MIN(AJ31*0.08,L31),IF(AP31&gt;0.01,AP31*T31,IF(AND(AO31=TRUE,AV31=1,F31=2),MIN(AJ31*0.1,L31)))))))))))))))))),2),"")</f>
        <v/>
      </c>
      <c r="AR31" s="1250">
        <f>IF(Q31=0,0,IF('Proposed Lighting'!$X$4=0,0,IF(AND(AM31&gt;0.01,AQ31&gt;0.01),0,IF('Proposed Lighting'!AU31=1,"Missing Interior or Exterior Selection",IF('Proposed Lighting'!CF31=1,"Selection does not match",IF(K31&gt;'Proposed Lighting'!AA31,"Quantity controlled does not match proposed lighting quantity",IF(T31&gt;K31,"Quantity of sensors exceeds proposed lighting quantity",IF(AND(F31&gt;1,'Proposed Lighting'!AU31&lt;&gt;F31),"Selection does not match",IF(AND(AD31&gt;AA31,AA31&gt;0),"Does not meet minimum connected load",IF(AND(O31&gt;0,AS31&gt;0,BK31&gt;0,'Proposed Lighting'!CH31=0),"Select Control Strategies",IF(AND(AC31&gt;0.1,AJ31=0,AQ31=0),"Does not meet incentive criteria",0)))))))))))</f>
        <v>0</v>
      </c>
      <c r="AS31" s="1224">
        <f>IF('Proposed Lighting'!CH31=100,0,IF(ISNUMBER(SEARCH("multiple",Q31)),1,0))</f>
        <v>0</v>
      </c>
      <c r="AT31" s="451">
        <f t="shared" si="8"/>
        <v>0</v>
      </c>
      <c r="AU31" s="451">
        <f t="shared" si="9"/>
        <v>0</v>
      </c>
      <c r="AV31" s="1222">
        <f>IF(ISNUMBER(SEARCH("Networked",'Proposed Lighting'!T31)),0,IF(ISNUMBER(SEARCH("Strategies",'Proposed Lighting'!T31)),0,IF(ISNUMBER(SEARCH("Removal",'Proposed Lighting'!T31)),0,IF(ISNUMBER(SEARCH("non-standard",Q31)),1,0))))</f>
        <v>0</v>
      </c>
      <c r="AW31" s="451">
        <f t="shared" si="12"/>
        <v>0</v>
      </c>
      <c r="AX31" s="451"/>
      <c r="AY31" s="451" t="s">
        <v>1277</v>
      </c>
      <c r="AZ31" s="451">
        <v>0</v>
      </c>
      <c r="BA31" s="451"/>
      <c r="BB31" s="451"/>
      <c r="BC31" s="1215"/>
      <c r="BD31" s="1215"/>
      <c r="BE31" s="1215"/>
      <c r="BF31" s="1215"/>
      <c r="BG31" s="1215"/>
      <c r="BH31" s="1215"/>
      <c r="BI31">
        <f>IF(AND(AS31=1,BC31="No",BD31="Yes",BE31="Yes",BF31="No",BH31="No"),0,IF(AND('Proposed Lighting'!AU31=2,AS31=1,BC31="Yes",BD31="Yes"),2,IF(AND('Proposed Lighting'!AU31=2,AS31=1,BC31="Yes",BE31="Yes"),2,IF(AND('Proposed Lighting'!AU31=2,AS31=1,BC31="Yes",BF31="Yes"),2,IF(AND('Proposed Lighting'!AU31=2,AS31=1,BC31="Yes",BH31="Yes"),2,IF(AND('Proposed Lighting'!AU31=2,AS31=1,BD31="Yes",BF31="Yes"),2,IF(AND('Proposed Lighting'!AU31=2,AS31=1,BD31="Yes",BH31="Yes"),2,IF(AND('Proposed Lighting'!AU31=3,AS31=1,BC31="Yes",BE31="Yes"),2,IF(AND('Proposed Lighting'!AU31=3,AS31=1,BC31="Yes",BF31="Yes"),2,0)))))))))</f>
        <v>0</v>
      </c>
      <c r="BJ31" s="1025">
        <f t="shared" si="10"/>
        <v>0</v>
      </c>
      <c r="BK31">
        <f>IF(AND('Proposed Lighting'!BC31=22,'Lighting Controls'!N31=1),0,IF(ISNUMBER(SEARCH("LED",G31)),1,0))</f>
        <v>0</v>
      </c>
    </row>
    <row r="32" spans="1:63" ht="35.1" customHeight="1">
      <c r="A32" s="917">
        <v>24</v>
      </c>
      <c r="B32" s="1828" t="str">
        <f>IF('Proposed Lighting'!B32="","",'Proposed Lighting'!B32)</f>
        <v/>
      </c>
      <c r="C32" s="1828"/>
      <c r="D32" s="1828"/>
      <c r="E32" s="1245">
        <f>'Proposed Lighting'!AA32</f>
        <v>0</v>
      </c>
      <c r="F32" s="1245">
        <f t="shared" si="0"/>
        <v>0</v>
      </c>
      <c r="G32" s="1830" t="str">
        <f>IF('Proposed Lighting'!T32="","",IF(ISNUMBER(SEARCH("Networked",'Proposed Lighting'!T32)),0,IF(ISNUMBER(SEARCH("Strategies",'Proposed Lighting'!T32)),0,IF(ISNUMBER(SEARCH("Removal",'Proposed Lighting'!T32)),0,'Proposed Lighting'!T32))))</f>
        <v/>
      </c>
      <c r="H32" s="1830"/>
      <c r="I32" s="1830"/>
      <c r="J32" s="1830"/>
      <c r="K32" s="1215"/>
      <c r="L32" s="1246">
        <f t="shared" si="1"/>
        <v>0</v>
      </c>
      <c r="M32" s="1224">
        <f t="shared" si="2"/>
        <v>0</v>
      </c>
      <c r="N32" s="1224">
        <f t="shared" si="3"/>
        <v>0</v>
      </c>
      <c r="O32" s="1825" t="str">
        <f>IF(G32=0,0,IF(ISNA('Proposed Lighting'!AT32),0,'Proposed Lighting'!AT32))</f>
        <v/>
      </c>
      <c r="P32" s="1825"/>
      <c r="Q32" s="1247"/>
      <c r="R32" s="1247"/>
      <c r="S32" s="1247"/>
      <c r="T32" s="1211"/>
      <c r="U32" s="1235">
        <f>IF(K32&gt;0.01,'Proposed Lighting'!CU32,0)</f>
        <v>0</v>
      </c>
      <c r="V32" s="1248">
        <f>IF('Proposed Lighting'!CF32=1,0,IF('Proposed Lighting'!AU32=2,0,IF(AND('Proposed Lighting'!AU32=3,'Proposed Lighting'!CF32=0),1,0)))</f>
        <v>0</v>
      </c>
      <c r="W32" s="1836"/>
      <c r="X32" s="1836"/>
      <c r="Y32" s="1836"/>
      <c r="Z32" s="1230" t="str">
        <f t="shared" si="4"/>
        <v/>
      </c>
      <c r="AA32" s="1230">
        <f t="shared" si="5"/>
        <v>0</v>
      </c>
      <c r="AB32" s="1230">
        <f>IF(Q32=0,0,IF(T32=0,0,IF(AA32=0,0,IF(AND(F32=3,V32=0),0,IF(T32=0,0,IF(K32&gt;'Proposed Lighting'!AA32,0,IF('Proposed Lighting'!EJ32&gt;0.01,(K32*O32)*'Proposed Lighting'!EJ32/1000,(K32*O32)*U32/1000)))))))</f>
        <v>0</v>
      </c>
      <c r="AC32" s="1230" t="str">
        <f t="shared" si="6"/>
        <v/>
      </c>
      <c r="AD32" s="1230">
        <f t="shared" si="7"/>
        <v>0</v>
      </c>
      <c r="AE32" s="1230">
        <f>IF(T32=0,0,IF(K32&gt;'Proposed Lighting'!AA32,0,IF(T32&gt;K32,0,IF(AND(AD32&gt;AA32,AA32&gt;0),0,IF(AND(F32&gt;1,W32&lt;0.01),0,IF('Proposed Lighting'!AU32&gt;'Lighting Controls'!F32,0,IF('Proposed Lighting'!AU32&lt;'Lighting Controls'!F32,0,IF(U32=0,0,Summary!AC335))))))))</f>
        <v>0</v>
      </c>
      <c r="AF32" s="1230">
        <f>IF(T32=0,0,IF(AE32=0,0,IF(K32&gt;'Proposed Lighting'!AA32,0,IF(AND(AD32&gt;AA32,AA32&gt;0),0,IF(U32=0,0,Summary!AD335)))))</f>
        <v>0</v>
      </c>
      <c r="AG32" s="1834">
        <f>IF('Proposed Lighting'!AU32=1,0,IF('Proposed Lighting'!CF32=1,0,T32*W32))</f>
        <v>0</v>
      </c>
      <c r="AH32" s="1834"/>
      <c r="AI32" s="1834"/>
      <c r="AJ32" s="1835">
        <f>IF(T32&lt;1,0,IF(K32&gt;'Proposed Lighting'!AA32,0,IF('Proposed Lighting'!CF32=1,0,IF('Proposed Lighting'!AU32=1,0,IF(T32&gt;K32,0,IF(AND(AD32&gt;AA32,AA32&gt;0),0,IF(AND(F32=2,'Proposed Lighting'!AU32=3),0,IF(AND(F32=3,'Proposed Lighting'!AU32=2),0,IF('Proposed Lighting'!CH32=100,0,IF(AND(F32&lt;3,V32=1,AM32=0),0,IF(AND(F32&gt;1,AF32&lt;1,AN32&lt;1),0,IF(AND(F32&gt;1,AE32&lt;0.69,AF32&lt;1,AN32&lt;1),0,IF(ISERROR(AB32-AC32),"",AB32-AC32)))))))))))))</f>
        <v>0</v>
      </c>
      <c r="AK32" s="1835"/>
      <c r="AL32" s="1835"/>
      <c r="AM32" s="1216">
        <f>IF(Q32=0,0,IF(T32=0,0,IF(T32&gt;K32,0,IF(AND(AS32&gt;0.01,BK32=0),0,IF(AND('Proposed Lighting'!DG32=0,'Lighting Controls'!Z32=0.35),0,IF(AND(T32&lt;=K32,AA32&gt;=AD32,'Proposed Lighting'!AU32=2),VLOOKUP(Q32,$AY$9:$AZ$15,2,FALSE),IF(AND(T32&lt;=K32,AA32&gt;=AD32,'Proposed Lighting'!AU32=3),VLOOKUP(Q32,$AY$17:$AZ$23,2,FALSE))))))))</f>
        <v>0</v>
      </c>
      <c r="AN32" s="1248">
        <f>IF(T32=0,0,IF(K32&gt;'Proposed Lighting'!AA32,0,IF(AE32=0,0,IF(AND(AD32&gt;AA32,AA32&gt;0),0,IF(U32=0,0,Summary!AE335)))))</f>
        <v>0</v>
      </c>
      <c r="AO32" s="1248">
        <f t="shared" si="11"/>
        <v>0</v>
      </c>
      <c r="AP32" s="1249">
        <f>IF('Proposed Lighting'!AU32=1,0,IF(K32=0,0,IF(T32&gt;K32,0,IF(G32=0,0,IF(K32&gt;'Proposed Lighting'!AA32,0,IF(AND(AD32&gt;AA32,AA32&gt;0),0,IF(AND('Proposed Lighting'!AU32=3,AM32=0.5),0,IF(AND(AM32&gt;0,AS32&gt;0,BI32&lt;2),0,IF('Proposed Lighting'!CH32=100,0,IF(AV32=1,0,IF(AND(AM32=35,M32+N32&lt;2),0,AM32)))))))))))</f>
        <v>0</v>
      </c>
      <c r="AQ32" s="1249" t="str">
        <f>IFERROR(ROUND(IF(Q32="","",IF('Proposed Lighting'!$X$4=0,0,IF(AND(AM32=35,M32+N32&lt;2),0,IF(T32&gt;K32,0,IF('Proposed Lighting'!AU32=1,0,IF(AJ32=0,0,IF(AND('Proposed Lighting'!AU32=3,AM32=0.5),0,IF(AND(AD32=75,AP32=0,AV32=0),0,IF(AP32&gt;0.01,AP32*T32,IF(AND(F32&gt;1,W32&lt;0.01),0,IF(AND(F32&gt;1,AO32=0),0,IF(AND('Proposed Lighting'!BC32=22,AV32=0),0,IF(AND(AM32&gt;0,AS32&gt;0,BI32&lt;2),0,IF(AND(AS32&gt;0.01,BK32=0),0,IF(AND(AO32=TRUE,AV32=1,F32=3),MIN(AJ32*0.08,L32),IF(AP32&gt;0.01,AP32*T32,IF(AND(AO32=TRUE,AV32=1,F32=2),MIN(AJ32*0.1,L32)))))))))))))))))),2),"")</f>
        <v/>
      </c>
      <c r="AR32" s="1250">
        <f>IF(Q32=0,0,IF('Proposed Lighting'!$X$4=0,0,IF(AND(AM32&gt;0.01,AQ32&gt;0.01),0,IF('Proposed Lighting'!AU32=1,"Missing Interior or Exterior Selection",IF('Proposed Lighting'!CF32=1,"Selection does not match",IF(K32&gt;'Proposed Lighting'!AA32,"Quantity controlled does not match proposed lighting quantity",IF(T32&gt;K32,"Quantity of sensors exceeds proposed lighting quantity",IF(AND(F32&gt;1,'Proposed Lighting'!AU32&lt;&gt;F32),"Selection does not match",IF(AND(AD32&gt;AA32,AA32&gt;0),"Does not meet minimum connected load",IF(AND(O32&gt;0,AS32&gt;0,BK32&gt;0,'Proposed Lighting'!CH32=0),"Select Control Strategies",IF(AND(AC32&gt;0.1,AJ32=0,AQ32=0),"Does not meet incentive criteria",0)))))))))))</f>
        <v>0</v>
      </c>
      <c r="AS32" s="1224">
        <f>IF('Proposed Lighting'!CH32=100,0,IF(ISNUMBER(SEARCH("multiple",Q32)),1,0))</f>
        <v>0</v>
      </c>
      <c r="AT32" s="451">
        <f t="shared" si="8"/>
        <v>0</v>
      </c>
      <c r="AU32" s="451">
        <f t="shared" si="9"/>
        <v>0</v>
      </c>
      <c r="AV32" s="1222">
        <f>IF(ISNUMBER(SEARCH("Networked",'Proposed Lighting'!T32)),0,IF(ISNUMBER(SEARCH("Strategies",'Proposed Lighting'!T32)),0,IF(ISNUMBER(SEARCH("Removal",'Proposed Lighting'!T32)),0,IF(ISNUMBER(SEARCH("non-standard",Q32)),1,0))))</f>
        <v>0</v>
      </c>
      <c r="AW32" s="451">
        <f t="shared" si="12"/>
        <v>0</v>
      </c>
      <c r="AX32" s="451"/>
      <c r="AY32" s="451"/>
      <c r="AZ32" s="451"/>
      <c r="BA32" s="451"/>
      <c r="BB32" s="451"/>
      <c r="BC32" s="1215"/>
      <c r="BD32" s="1215"/>
      <c r="BE32" s="1215"/>
      <c r="BF32" s="1215"/>
      <c r="BG32" s="1215"/>
      <c r="BH32" s="1215"/>
      <c r="BI32">
        <f>IF(AND(AS32=1,BC32="No",BD32="Yes",BE32="Yes",BF32="No",BH32="No"),0,IF(AND('Proposed Lighting'!AU32=2,AS32=1,BC32="Yes",BD32="Yes"),2,IF(AND('Proposed Lighting'!AU32=2,AS32=1,BC32="Yes",BE32="Yes"),2,IF(AND('Proposed Lighting'!AU32=2,AS32=1,BC32="Yes",BF32="Yes"),2,IF(AND('Proposed Lighting'!AU32=2,AS32=1,BC32="Yes",BH32="Yes"),2,IF(AND('Proposed Lighting'!AU32=2,AS32=1,BD32="Yes",BF32="Yes"),2,IF(AND('Proposed Lighting'!AU32=2,AS32=1,BD32="Yes",BH32="Yes"),2,IF(AND('Proposed Lighting'!AU32=3,AS32=1,BC32="Yes",BE32="Yes"),2,IF(AND('Proposed Lighting'!AU32=3,AS32=1,BC32="Yes",BF32="Yes"),2,0)))))))))</f>
        <v>0</v>
      </c>
      <c r="BJ32" s="1025">
        <f t="shared" si="10"/>
        <v>0</v>
      </c>
      <c r="BK32">
        <f>IF(AND('Proposed Lighting'!BC32=22,'Lighting Controls'!N32=1),0,IF(ISNUMBER(SEARCH("LED",G32)),1,0))</f>
        <v>0</v>
      </c>
    </row>
    <row r="33" spans="1:63" ht="34.5" customHeight="1">
      <c r="A33" s="917">
        <v>25</v>
      </c>
      <c r="B33" s="1828" t="str">
        <f>IF('Proposed Lighting'!B33="","",'Proposed Lighting'!B33)</f>
        <v/>
      </c>
      <c r="C33" s="1828"/>
      <c r="D33" s="1828"/>
      <c r="E33" s="1245">
        <f>'Proposed Lighting'!AA33</f>
        <v>0</v>
      </c>
      <c r="F33" s="1245">
        <f t="shared" si="0"/>
        <v>0</v>
      </c>
      <c r="G33" s="1830" t="str">
        <f>IF('Proposed Lighting'!T33="","",IF(ISNUMBER(SEARCH("Networked",'Proposed Lighting'!T33)),0,IF(ISNUMBER(SEARCH("Strategies",'Proposed Lighting'!T33)),0,IF(ISNUMBER(SEARCH("Removal",'Proposed Lighting'!T33)),0,'Proposed Lighting'!T33))))</f>
        <v/>
      </c>
      <c r="H33" s="1830"/>
      <c r="I33" s="1830"/>
      <c r="J33" s="1830"/>
      <c r="K33" s="1215"/>
      <c r="L33" s="1246">
        <f t="shared" si="1"/>
        <v>0</v>
      </c>
      <c r="M33" s="1224">
        <f t="shared" si="2"/>
        <v>0</v>
      </c>
      <c r="N33" s="1224">
        <f t="shared" si="3"/>
        <v>0</v>
      </c>
      <c r="O33" s="1825" t="str">
        <f>IF(G33=0,0,IF(ISNA('Proposed Lighting'!AT33),0,'Proposed Lighting'!AT33))</f>
        <v/>
      </c>
      <c r="P33" s="1825"/>
      <c r="Q33" s="1247"/>
      <c r="R33" s="1247"/>
      <c r="S33" s="1247"/>
      <c r="T33" s="1211"/>
      <c r="U33" s="1235">
        <f>IF(K33&gt;0.01,'Proposed Lighting'!CU33,0)</f>
        <v>0</v>
      </c>
      <c r="V33" s="1248">
        <f>IF('Proposed Lighting'!CF33=1,0,IF('Proposed Lighting'!AU33=2,0,IF(AND('Proposed Lighting'!AU33=3,'Proposed Lighting'!CF33=0),1,0)))</f>
        <v>0</v>
      </c>
      <c r="W33" s="1836"/>
      <c r="X33" s="1836"/>
      <c r="Y33" s="1836"/>
      <c r="Z33" s="1230" t="str">
        <f t="shared" si="4"/>
        <v/>
      </c>
      <c r="AA33" s="1230">
        <f t="shared" si="5"/>
        <v>0</v>
      </c>
      <c r="AB33" s="1230">
        <f>IF(Q33=0,0,IF(T33=0,0,IF(AA33=0,0,IF(AND(F33=3,V33=0),0,IF(T33=0,0,IF(K33&gt;'Proposed Lighting'!AA33,0,IF('Proposed Lighting'!EJ33&gt;0.01,(K33*O33)*'Proposed Lighting'!EJ33/1000,(K33*O33)*U33/1000)))))))</f>
        <v>0</v>
      </c>
      <c r="AC33" s="1230" t="str">
        <f t="shared" si="6"/>
        <v/>
      </c>
      <c r="AD33" s="1230">
        <f t="shared" si="7"/>
        <v>0</v>
      </c>
      <c r="AE33" s="1230">
        <f>IF(T33=0,0,IF(K33&gt;'Proposed Lighting'!AA33,0,IF(T33&gt;K33,0,IF(AND(AD33&gt;AA33,AA33&gt;0),0,IF(AND(F33&gt;1,W33&lt;0.01),0,IF('Proposed Lighting'!AU33&gt;'Lighting Controls'!F33,0,IF('Proposed Lighting'!AU33&lt;'Lighting Controls'!F33,0,IF(U33=0,0,Summary!AC336))))))))</f>
        <v>0</v>
      </c>
      <c r="AF33" s="1230">
        <f>IF(T33=0,0,IF(AE33=0,0,IF(K33&gt;'Proposed Lighting'!AA33,0,IF(AND(AD33&gt;AA33,AA33&gt;0),0,IF(U33=0,0,Summary!AD336)))))</f>
        <v>0</v>
      </c>
      <c r="AG33" s="1834">
        <f>IF('Proposed Lighting'!AU33=1,0,IF('Proposed Lighting'!CF33=1,0,T33*W33))</f>
        <v>0</v>
      </c>
      <c r="AH33" s="1834"/>
      <c r="AI33" s="1834"/>
      <c r="AJ33" s="1835">
        <f>IF(T33&lt;1,0,IF(K33&gt;'Proposed Lighting'!AA33,0,IF('Proposed Lighting'!CF33=1,0,IF('Proposed Lighting'!AU33=1,0,IF(T33&gt;K33,0,IF(AND(AD33&gt;AA33,AA33&gt;0),0,IF(AND(F33=2,'Proposed Lighting'!AU33=3),0,IF(AND(F33=3,'Proposed Lighting'!AU33=2),0,IF('Proposed Lighting'!CH33=100,0,IF(AND(F33&lt;3,V33=1,AM33=0),0,IF(AND(F33&gt;1,AF33&lt;1,AN33&lt;1),0,IF(AND(F33&gt;1,AE33&lt;0.69,AF33&lt;1,AN33&lt;1),0,IF(ISERROR(AB33-AC33),"",AB33-AC33)))))))))))))</f>
        <v>0</v>
      </c>
      <c r="AK33" s="1835"/>
      <c r="AL33" s="1835"/>
      <c r="AM33" s="1216">
        <f>IF(Q33=0,0,IF(T33=0,0,IF(T33&gt;K33,0,IF(AND(AS33&gt;0.01,BK33=0),0,IF(AND('Proposed Lighting'!DG33=0,'Lighting Controls'!Z33=0.35),0,IF(AND(T33&lt;=K33,AA33&gt;=AD33,'Proposed Lighting'!AU33=2),VLOOKUP(Q33,$AY$9:$AZ$15,2,FALSE),IF(AND(T33&lt;=K33,AA33&gt;=AD33,'Proposed Lighting'!AU33=3),VLOOKUP(Q33,$AY$17:$AZ$23,2,FALSE))))))))</f>
        <v>0</v>
      </c>
      <c r="AN33" s="1248">
        <f>IF(T33=0,0,IF(K33&gt;'Proposed Lighting'!AA33,0,IF(AE33=0,0,IF(AND(AD33&gt;AA33,AA33&gt;0),0,IF(U33=0,0,Summary!AE336)))))</f>
        <v>0</v>
      </c>
      <c r="AO33" s="1248">
        <f t="shared" si="11"/>
        <v>0</v>
      </c>
      <c r="AP33" s="1249">
        <f>IF('Proposed Lighting'!AU33=1,0,IF(K33=0,0,IF(T33&gt;K33,0,IF(G33=0,0,IF(K33&gt;'Proposed Lighting'!AA33,0,IF(AND(AD33&gt;AA33,AA33&gt;0),0,IF(AND('Proposed Lighting'!AU33=3,AM33=0.5),0,IF(AND(AM33&gt;0,AS33&gt;0,BI33&lt;2),0,IF('Proposed Lighting'!CH33=100,0,IF(AV33=1,0,IF(AND(AM33=35,M33+N33&lt;2),0,AM33)))))))))))</f>
        <v>0</v>
      </c>
      <c r="AQ33" s="1249" t="str">
        <f>IFERROR(ROUND(IF(Q33="","",IF('Proposed Lighting'!$X$4=0,0,IF(AND(AM33=35,M33+N33&lt;2),0,IF(T33&gt;K33,0,IF('Proposed Lighting'!AU33=1,0,IF(AJ33=0,0,IF(AND('Proposed Lighting'!AU33=3,AM33=0.5),0,IF(AND(AD33=75,AP33=0,AV33=0),0,IF(AP33&gt;0.01,AP33*T33,IF(AND(F33&gt;1,W33&lt;0.01),0,IF(AND(F33&gt;1,AO33=0),0,IF(AND('Proposed Lighting'!BC33=22,AV33=0),0,IF(AND(AM33&gt;0,AS33&gt;0,BI33&lt;2),0,IF(AND(AS33&gt;0.01,BK33=0),0,IF(AND(AO33=TRUE,AV33=1,F33=3),MIN(AJ33*0.08,L33),IF(AP33&gt;0.01,AP33*T33,IF(AND(AO33=TRUE,AV33=1,F33=2),MIN(AJ33*0.1,L33)))))))))))))))))),2),"")</f>
        <v/>
      </c>
      <c r="AR33" s="1250">
        <f>IF(Q33=0,0,IF('Proposed Lighting'!$X$4=0,0,IF(AND(AM33&gt;0.01,AQ33&gt;0.01),0,IF('Proposed Lighting'!AU33=1,"Missing Interior or Exterior Selection",IF('Proposed Lighting'!CF33=1,"Selection does not match",IF(K33&gt;'Proposed Lighting'!AA33,"Quantity controlled does not match proposed lighting quantity",IF(T33&gt;K33,"Quantity of sensors exceeds proposed lighting quantity",IF(AND(F33&gt;1,'Proposed Lighting'!AU33&lt;&gt;F33),"Selection does not match",IF(AND(AD33&gt;AA33,AA33&gt;0),"Does not meet minimum connected load",IF(AND(O33&gt;0,AS33&gt;0,BK33&gt;0,'Proposed Lighting'!CH33=0),"Select Control Strategies",IF(AND(AC33&gt;0.1,AJ33=0,AQ33=0),"Does not meet incentive criteria",0)))))))))))</f>
        <v>0</v>
      </c>
      <c r="AS33" s="1224">
        <f>IF('Proposed Lighting'!CH33=100,0,IF(ISNUMBER(SEARCH("multiple",Q33)),1,0))</f>
        <v>0</v>
      </c>
      <c r="AT33" s="451">
        <f t="shared" si="8"/>
        <v>0</v>
      </c>
      <c r="AU33" s="451">
        <f t="shared" si="9"/>
        <v>0</v>
      </c>
      <c r="AV33" s="1222">
        <f>IF(ISNUMBER(SEARCH("Networked",'Proposed Lighting'!T33)),0,IF(ISNUMBER(SEARCH("Strategies",'Proposed Lighting'!T33)),0,IF(ISNUMBER(SEARCH("Removal",'Proposed Lighting'!T33)),0,IF(ISNUMBER(SEARCH("non-standard",Q33)),1,0))))</f>
        <v>0</v>
      </c>
      <c r="AW33" s="451">
        <f t="shared" si="12"/>
        <v>0</v>
      </c>
      <c r="AX33" s="451"/>
      <c r="AY33" s="451"/>
      <c r="AZ33" s="451"/>
      <c r="BA33" s="451"/>
      <c r="BB33" s="451"/>
      <c r="BC33" s="1215"/>
      <c r="BD33" s="1215"/>
      <c r="BE33" s="1215"/>
      <c r="BF33" s="1215"/>
      <c r="BG33" s="1215"/>
      <c r="BH33" s="1215"/>
      <c r="BI33">
        <f>IF(AND(AS33=1,BC33="No",BD33="Yes",BE33="Yes",BF33="No",BH33="No"),0,IF(AND('Proposed Lighting'!AU33=2,AS33=1,BC33="Yes",BD33="Yes"),2,IF(AND('Proposed Lighting'!AU33=2,AS33=1,BC33="Yes",BE33="Yes"),2,IF(AND('Proposed Lighting'!AU33=2,AS33=1,BC33="Yes",BF33="Yes"),2,IF(AND('Proposed Lighting'!AU33=2,AS33=1,BC33="Yes",BH33="Yes"),2,IF(AND('Proposed Lighting'!AU33=2,AS33=1,BD33="Yes",BF33="Yes"),2,IF(AND('Proposed Lighting'!AU33=2,AS33=1,BD33="Yes",BH33="Yes"),2,IF(AND('Proposed Lighting'!AU33=3,AS33=1,BC33="Yes",BE33="Yes"),2,IF(AND('Proposed Lighting'!AU33=3,AS33=1,BC33="Yes",BF33="Yes"),2,0)))))))))</f>
        <v>0</v>
      </c>
      <c r="BJ33" s="1025">
        <f t="shared" si="10"/>
        <v>0</v>
      </c>
      <c r="BK33">
        <f>IF(AND('Proposed Lighting'!BC33=22,'Lighting Controls'!N33=1),0,IF(ISNUMBER(SEARCH("LED",G33)),1,0))</f>
        <v>0</v>
      </c>
    </row>
    <row r="34" spans="1:63" ht="34.5" customHeight="1">
      <c r="A34" s="917">
        <v>26</v>
      </c>
      <c r="B34" s="1828" t="str">
        <f>IF('Proposed Lighting'!B34="","",'Proposed Lighting'!B34)</f>
        <v/>
      </c>
      <c r="C34" s="1828"/>
      <c r="D34" s="1828"/>
      <c r="E34" s="1245">
        <f>'Proposed Lighting'!AA34</f>
        <v>0</v>
      </c>
      <c r="F34" s="1245">
        <f t="shared" si="0"/>
        <v>0</v>
      </c>
      <c r="G34" s="1830" t="str">
        <f>IF('Proposed Lighting'!T34="","",IF(ISNUMBER(SEARCH("Networked",'Proposed Lighting'!T34)),0,IF(ISNUMBER(SEARCH("Strategies",'Proposed Lighting'!T34)),0,IF(ISNUMBER(SEARCH("Removal",'Proposed Lighting'!T34)),0,'Proposed Lighting'!T34))))</f>
        <v/>
      </c>
      <c r="H34" s="1830"/>
      <c r="I34" s="1830"/>
      <c r="J34" s="1830"/>
      <c r="K34" s="1215"/>
      <c r="L34" s="1246">
        <f t="shared" si="1"/>
        <v>0</v>
      </c>
      <c r="M34" s="1224">
        <f t="shared" si="2"/>
        <v>0</v>
      </c>
      <c r="N34" s="1224">
        <f t="shared" si="3"/>
        <v>0</v>
      </c>
      <c r="O34" s="1825" t="str">
        <f>IF(G34=0,0,IF(ISNA('Proposed Lighting'!AT34),0,'Proposed Lighting'!AT34))</f>
        <v/>
      </c>
      <c r="P34" s="1825"/>
      <c r="Q34" s="1247"/>
      <c r="R34" s="1247"/>
      <c r="S34" s="1247"/>
      <c r="T34" s="1211"/>
      <c r="U34" s="1235">
        <f>IF(K34&gt;0.01,'Proposed Lighting'!CU34,0)</f>
        <v>0</v>
      </c>
      <c r="V34" s="1248">
        <f>IF('Proposed Lighting'!CF34=1,0,IF('Proposed Lighting'!AU34=2,0,IF(AND('Proposed Lighting'!AU34=3,'Proposed Lighting'!CF34=0),1,0)))</f>
        <v>0</v>
      </c>
      <c r="W34" s="1836"/>
      <c r="X34" s="1836"/>
      <c r="Y34" s="1836"/>
      <c r="Z34" s="1230" t="str">
        <f t="shared" si="4"/>
        <v/>
      </c>
      <c r="AA34" s="1230">
        <f t="shared" si="5"/>
        <v>0</v>
      </c>
      <c r="AB34" s="1230">
        <f>IF(Q34=0,0,IF(T34=0,0,IF(AA34=0,0,IF(AND(F34=3,V34=0),0,IF(T34=0,0,IF(K34&gt;'Proposed Lighting'!AA34,0,IF('Proposed Lighting'!EJ34&gt;0.01,(K34*O34)*'Proposed Lighting'!EJ34/1000,(K34*O34)*U34/1000)))))))</f>
        <v>0</v>
      </c>
      <c r="AC34" s="1230" t="str">
        <f t="shared" si="6"/>
        <v/>
      </c>
      <c r="AD34" s="1230">
        <f t="shared" si="7"/>
        <v>0</v>
      </c>
      <c r="AE34" s="1230">
        <f>IF(T34=0,0,IF(K34&gt;'Proposed Lighting'!AA34,0,IF(T34&gt;K34,0,IF(AND(AD34&gt;AA34,AA34&gt;0),0,IF(AND(F34&gt;1,W34&lt;0.01),0,IF('Proposed Lighting'!AU34&gt;'Lighting Controls'!F34,0,IF('Proposed Lighting'!AU34&lt;'Lighting Controls'!F34,0,IF(U34=0,0,Summary!AC337))))))))</f>
        <v>0</v>
      </c>
      <c r="AF34" s="1230">
        <f>IF(T34=0,0,IF(AE34=0,0,IF(K34&gt;'Proposed Lighting'!AA34,0,IF(AND(AD34&gt;AA34,AA34&gt;0),0,IF(U34=0,0,Summary!AD337)))))</f>
        <v>0</v>
      </c>
      <c r="AG34" s="1834">
        <f>IF('Proposed Lighting'!AU34=1,0,IF('Proposed Lighting'!CF34=1,0,T34*W34))</f>
        <v>0</v>
      </c>
      <c r="AH34" s="1834"/>
      <c r="AI34" s="1834"/>
      <c r="AJ34" s="1835">
        <f>IF(T34&lt;1,0,IF(K34&gt;'Proposed Lighting'!AA34,0,IF('Proposed Lighting'!CF34=1,0,IF('Proposed Lighting'!AU34=1,0,IF(T34&gt;K34,0,IF(AND(AD34&gt;AA34,AA34&gt;0),0,IF(AND(F34=2,'Proposed Lighting'!AU34=3),0,IF(AND(F34=3,'Proposed Lighting'!AU34=2),0,IF('Proposed Lighting'!CH34=100,0,IF(AND(F34&lt;3,V34=1,AM34=0),0,IF(AND(F34&gt;1,AF34&lt;1,AN34&lt;1),0,IF(AND(F34&gt;1,AE34&lt;0.69,AF34&lt;1,AN34&lt;1),0,IF(ISERROR(AB34-AC34),"",AB34-AC34)))))))))))))</f>
        <v>0</v>
      </c>
      <c r="AK34" s="1835"/>
      <c r="AL34" s="1835"/>
      <c r="AM34" s="1216">
        <f>IF(Q34=0,0,IF(T34=0,0,IF(T34&gt;K34,0,IF(AND(AS34&gt;0.01,BK34=0),0,IF(AND('Proposed Lighting'!DG34=0,'Lighting Controls'!Z34=0.35),0,IF(AND(T34&lt;=K34,AA34&gt;=AD34,'Proposed Lighting'!AU34=2),VLOOKUP(Q34,$AY$9:$AZ$15,2,FALSE),IF(AND(T34&lt;=K34,AA34&gt;=AD34,'Proposed Lighting'!AU34=3),VLOOKUP(Q34,$AY$17:$AZ$23,2,FALSE))))))))</f>
        <v>0</v>
      </c>
      <c r="AN34" s="1248">
        <f>IF(T34=0,0,IF(K34&gt;'Proposed Lighting'!AA34,0,IF(AE34=0,0,IF(AND(AD34&gt;AA34,AA34&gt;0),0,IF(U34=0,0,Summary!AE337)))))</f>
        <v>0</v>
      </c>
      <c r="AO34" s="1248">
        <f t="shared" si="11"/>
        <v>0</v>
      </c>
      <c r="AP34" s="1249">
        <f>IF('Proposed Lighting'!AU34=1,0,IF(K34=0,0,IF(T34&gt;K34,0,IF(G34=0,0,IF(K34&gt;'Proposed Lighting'!AA34,0,IF(AND(AD34&gt;AA34,AA34&gt;0),0,IF(AND('Proposed Lighting'!AU34=3,AM34=0.5),0,IF(AND(AM34&gt;0,AS34&gt;0,BI34&lt;2),0,IF('Proposed Lighting'!CH34=100,0,IF(AV34=1,0,IF(AND(AM34=35,M34+N34&lt;2),0,AM34)))))))))))</f>
        <v>0</v>
      </c>
      <c r="AQ34" s="1249" t="str">
        <f>IFERROR(ROUND(IF(Q34="","",IF('Proposed Lighting'!$X$4=0,0,IF(AND(AM34=35,M34+N34&lt;2),0,IF(T34&gt;K34,0,IF('Proposed Lighting'!AU34=1,0,IF(AJ34=0,0,IF(AND('Proposed Lighting'!AU34=3,AM34=0.5),0,IF(AND(AD34=75,AP34=0,AV34=0),0,IF(AP34&gt;0.01,AP34*T34,IF(AND(F34&gt;1,W34&lt;0.01),0,IF(AND(F34&gt;1,AO34=0),0,IF(AND('Proposed Lighting'!BC34=22,AV34=0),0,IF(AND(AM34&gt;0,AS34&gt;0,BI34&lt;2),0,IF(AND(AS34&gt;0.01,BK34=0),0,IF(AND(AO34=TRUE,AV34=1,F34=3),MIN(AJ34*0.08,L34),IF(AP34&gt;0.01,AP34*T34,IF(AND(AO34=TRUE,AV34=1,F34=2),MIN(AJ34*0.1,L34)))))))))))))))))),2),"")</f>
        <v/>
      </c>
      <c r="AR34" s="1250">
        <f>IF(Q34=0,0,IF('Proposed Lighting'!$X$4=0,0,IF(AND(AM34&gt;0.01,AQ34&gt;0.01),0,IF('Proposed Lighting'!AU34=1,"Missing Interior or Exterior Selection",IF('Proposed Lighting'!CF34=1,"Selection does not match",IF(K34&gt;'Proposed Lighting'!AA34,"Quantity controlled does not match proposed lighting quantity",IF(T34&gt;K34,"Quantity of sensors exceeds proposed lighting quantity",IF(AND(F34&gt;1,'Proposed Lighting'!AU34&lt;&gt;F34),"Selection does not match",IF(AND(AD34&gt;AA34,AA34&gt;0),"Does not meet minimum connected load",IF(AND(O34&gt;0,AS34&gt;0,BK34&gt;0,'Proposed Lighting'!CH34=0),"Select Control Strategies",IF(AND(AC34&gt;0.1,AJ34=0,AQ34=0),"Does not meet incentive criteria",0)))))))))))</f>
        <v>0</v>
      </c>
      <c r="AS34" s="1224">
        <f>IF('Proposed Lighting'!CH34=100,0,IF(ISNUMBER(SEARCH("multiple",Q34)),1,0))</f>
        <v>0</v>
      </c>
      <c r="AT34" s="451">
        <f t="shared" si="8"/>
        <v>0</v>
      </c>
      <c r="AU34" s="451">
        <f t="shared" si="9"/>
        <v>0</v>
      </c>
      <c r="AV34" s="1222">
        <f>IF(ISNUMBER(SEARCH("Networked",'Proposed Lighting'!T34)),0,IF(ISNUMBER(SEARCH("Strategies",'Proposed Lighting'!T34)),0,IF(ISNUMBER(SEARCH("Removal",'Proposed Lighting'!T34)),0,IF(ISNUMBER(SEARCH("non-standard",Q34)),1,0))))</f>
        <v>0</v>
      </c>
      <c r="AW34" s="451">
        <f t="shared" si="12"/>
        <v>0</v>
      </c>
      <c r="AX34" s="451"/>
      <c r="AY34" s="451"/>
      <c r="AZ34" s="451"/>
      <c r="BA34" s="451"/>
      <c r="BB34" s="451"/>
      <c r="BC34" s="1215"/>
      <c r="BD34" s="1215"/>
      <c r="BE34" s="1215"/>
      <c r="BF34" s="1215"/>
      <c r="BG34" s="1215"/>
      <c r="BH34" s="1215"/>
      <c r="BI34">
        <f>IF(AND(AS34=1,BC34="No",BD34="Yes",BE34="Yes",BF34="No",BH34="No"),0,IF(AND('Proposed Lighting'!AU34=2,AS34=1,BC34="Yes",BD34="Yes"),2,IF(AND('Proposed Lighting'!AU34=2,AS34=1,BC34="Yes",BE34="Yes"),2,IF(AND('Proposed Lighting'!AU34=2,AS34=1,BC34="Yes",BF34="Yes"),2,IF(AND('Proposed Lighting'!AU34=2,AS34=1,BC34="Yes",BH34="Yes"),2,IF(AND('Proposed Lighting'!AU34=2,AS34=1,BD34="Yes",BF34="Yes"),2,IF(AND('Proposed Lighting'!AU34=2,AS34=1,BD34="Yes",BH34="Yes"),2,IF(AND('Proposed Lighting'!AU34=3,AS34=1,BC34="Yes",BE34="Yes"),2,IF(AND('Proposed Lighting'!AU34=3,AS34=1,BC34="Yes",BF34="Yes"),2,0)))))))))</f>
        <v>0</v>
      </c>
      <c r="BJ34" s="1025">
        <f t="shared" si="10"/>
        <v>0</v>
      </c>
      <c r="BK34">
        <f>IF(AND('Proposed Lighting'!BC34=22,'Lighting Controls'!N34=1),0,IF(ISNUMBER(SEARCH("LED",G34)),1,0))</f>
        <v>0</v>
      </c>
    </row>
    <row r="35" spans="1:63" ht="34.5" customHeight="1">
      <c r="A35" s="917">
        <v>27</v>
      </c>
      <c r="B35" s="1828" t="str">
        <f>IF('Proposed Lighting'!B35="","",'Proposed Lighting'!B35)</f>
        <v/>
      </c>
      <c r="C35" s="1828"/>
      <c r="D35" s="1828"/>
      <c r="E35" s="1245">
        <f>'Proposed Lighting'!AA35</f>
        <v>0</v>
      </c>
      <c r="F35" s="1245">
        <f t="shared" si="0"/>
        <v>0</v>
      </c>
      <c r="G35" s="1830" t="str">
        <f>IF('Proposed Lighting'!T35="","",IF(ISNUMBER(SEARCH("Networked",'Proposed Lighting'!T35)),0,IF(ISNUMBER(SEARCH("Strategies",'Proposed Lighting'!T35)),0,IF(ISNUMBER(SEARCH("Removal",'Proposed Lighting'!T35)),0,'Proposed Lighting'!T35))))</f>
        <v/>
      </c>
      <c r="H35" s="1830"/>
      <c r="I35" s="1830"/>
      <c r="J35" s="1830"/>
      <c r="K35" s="1215"/>
      <c r="L35" s="1246">
        <f t="shared" si="1"/>
        <v>0</v>
      </c>
      <c r="M35" s="1224">
        <f t="shared" si="2"/>
        <v>0</v>
      </c>
      <c r="N35" s="1224">
        <f t="shared" si="3"/>
        <v>0</v>
      </c>
      <c r="O35" s="1825" t="str">
        <f>IF(G35=0,0,IF(ISNA('Proposed Lighting'!AT35),0,'Proposed Lighting'!AT35))</f>
        <v/>
      </c>
      <c r="P35" s="1825"/>
      <c r="Q35" s="1247"/>
      <c r="R35" s="1247"/>
      <c r="S35" s="1247"/>
      <c r="T35" s="1211"/>
      <c r="U35" s="1235">
        <f>IF(K35&gt;0.01,'Proposed Lighting'!CU35,0)</f>
        <v>0</v>
      </c>
      <c r="V35" s="1248">
        <f>IF('Proposed Lighting'!CF35=1,0,IF('Proposed Lighting'!AU35=2,0,IF(AND('Proposed Lighting'!AU35=3,'Proposed Lighting'!CF35=0),1,0)))</f>
        <v>0</v>
      </c>
      <c r="W35" s="1836"/>
      <c r="X35" s="1836"/>
      <c r="Y35" s="1836"/>
      <c r="Z35" s="1230" t="str">
        <f t="shared" si="4"/>
        <v/>
      </c>
      <c r="AA35" s="1230">
        <f t="shared" si="5"/>
        <v>0</v>
      </c>
      <c r="AB35" s="1230">
        <f>IF(Q35=0,0,IF(T35=0,0,IF(AA35=0,0,IF(AND(F35=3,V35=0),0,IF(T35=0,0,IF(K35&gt;'Proposed Lighting'!AA35,0,IF('Proposed Lighting'!EJ35&gt;0.01,(K35*O35)*'Proposed Lighting'!EJ35/1000,(K35*O35)*U35/1000)))))))</f>
        <v>0</v>
      </c>
      <c r="AC35" s="1230" t="str">
        <f t="shared" si="6"/>
        <v/>
      </c>
      <c r="AD35" s="1230">
        <f t="shared" si="7"/>
        <v>0</v>
      </c>
      <c r="AE35" s="1230">
        <f>IF(T35=0,0,IF(K35&gt;'Proposed Lighting'!AA35,0,IF(T35&gt;K35,0,IF(AND(AD35&gt;AA35,AA35&gt;0),0,IF(AND(F35&gt;1,W35&lt;0.01),0,IF('Proposed Lighting'!AU35&gt;'Lighting Controls'!F35,0,IF('Proposed Lighting'!AU35&lt;'Lighting Controls'!F35,0,IF(U35=0,0,Summary!AC338))))))))</f>
        <v>0</v>
      </c>
      <c r="AF35" s="1230">
        <f>IF(T35=0,0,IF(AE35=0,0,IF(K35&gt;'Proposed Lighting'!AA35,0,IF(AND(AD35&gt;AA35,AA35&gt;0),0,IF(U35=0,0,Summary!AD338)))))</f>
        <v>0</v>
      </c>
      <c r="AG35" s="1834">
        <f>IF('Proposed Lighting'!AU35=1,0,IF('Proposed Lighting'!CF35=1,0,T35*W35))</f>
        <v>0</v>
      </c>
      <c r="AH35" s="1834"/>
      <c r="AI35" s="1834"/>
      <c r="AJ35" s="1835">
        <f>IF(T35&lt;1,0,IF(K35&gt;'Proposed Lighting'!AA35,0,IF('Proposed Lighting'!CF35=1,0,IF('Proposed Lighting'!AU35=1,0,IF(T35&gt;K35,0,IF(AND(AD35&gt;AA35,AA35&gt;0),0,IF(AND(F35=2,'Proposed Lighting'!AU35=3),0,IF(AND(F35=3,'Proposed Lighting'!AU35=2),0,IF('Proposed Lighting'!CH35=100,0,IF(AND(F35&lt;3,V35=1,AM35=0),0,IF(AND(F35&gt;1,AF35&lt;1,AN35&lt;1),0,IF(AND(F35&gt;1,AE35&lt;0.69,AF35&lt;1,AN35&lt;1),0,IF(ISERROR(AB35-AC35),"",AB35-AC35)))))))))))))</f>
        <v>0</v>
      </c>
      <c r="AK35" s="1835"/>
      <c r="AL35" s="1835"/>
      <c r="AM35" s="1216">
        <f>IF(Q35=0,0,IF(T35=0,0,IF(T35&gt;K35,0,IF(AND(AS35&gt;0.01,BK35=0),0,IF(AND('Proposed Lighting'!DG35=0,'Lighting Controls'!Z35=0.35),0,IF(AND(T35&lt;=K35,AA35&gt;=AD35,'Proposed Lighting'!AU35=2),VLOOKUP(Q35,$AY$9:$AZ$15,2,FALSE),IF(AND(T35&lt;=K35,AA35&gt;=AD35,'Proposed Lighting'!AU35=3),VLOOKUP(Q35,$AY$17:$AZ$23,2,FALSE))))))))</f>
        <v>0</v>
      </c>
      <c r="AN35" s="1248">
        <f>IF(T35=0,0,IF(K35&gt;'Proposed Lighting'!AA35,0,IF(AE35=0,0,IF(AND(AD35&gt;AA35,AA35&gt;0),0,IF(U35=0,0,Summary!AE338)))))</f>
        <v>0</v>
      </c>
      <c r="AO35" s="1248">
        <f t="shared" si="11"/>
        <v>0</v>
      </c>
      <c r="AP35" s="1249">
        <f>IF('Proposed Lighting'!AU35=1,0,IF(K35=0,0,IF(T35&gt;K35,0,IF(G35=0,0,IF(K35&gt;'Proposed Lighting'!AA35,0,IF(AND(AD35&gt;AA35,AA35&gt;0),0,IF(AND('Proposed Lighting'!AU35=3,AM35=0.5),0,IF(AND(AM35&gt;0,AS35&gt;0,BI35&lt;2),0,IF('Proposed Lighting'!CH35=100,0,IF(AV35=1,0,IF(AND(AM35=35,M35+N35&lt;2),0,AM35)))))))))))</f>
        <v>0</v>
      </c>
      <c r="AQ35" s="1249" t="str">
        <f>IFERROR(ROUND(IF(Q35="","",IF('Proposed Lighting'!$X$4=0,0,IF(AND(AM35=35,M35+N35&lt;2),0,IF(T35&gt;K35,0,IF('Proposed Lighting'!AU35=1,0,IF(AJ35=0,0,IF(AND('Proposed Lighting'!AU35=3,AM35=0.5),0,IF(AND(AD35=75,AP35=0,AV35=0),0,IF(AP35&gt;0.01,AP35*T35,IF(AND(F35&gt;1,W35&lt;0.01),0,IF(AND(F35&gt;1,AO35=0),0,IF(AND('Proposed Lighting'!BC35=22,AV35=0),0,IF(AND(AM35&gt;0,AS35&gt;0,BI35&lt;2),0,IF(AND(AS35&gt;0.01,BK35=0),0,IF(AND(AO35=TRUE,AV35=1,F35=3),MIN(AJ35*0.08,L35),IF(AP35&gt;0.01,AP35*T35,IF(AND(AO35=TRUE,AV35=1,F35=2),MIN(AJ35*0.1,L35)))))))))))))))))),2),"")</f>
        <v/>
      </c>
      <c r="AR35" s="1250">
        <f>IF(Q35=0,0,IF('Proposed Lighting'!$X$4=0,0,IF(AND(AM35&gt;0.01,AQ35&gt;0.01),0,IF('Proposed Lighting'!AU35=1,"Missing Interior or Exterior Selection",IF('Proposed Lighting'!CF35=1,"Selection does not match",IF(K35&gt;'Proposed Lighting'!AA35,"Quantity controlled does not match proposed lighting quantity",IF(T35&gt;K35,"Quantity of sensors exceeds proposed lighting quantity",IF(AND(F35&gt;1,'Proposed Lighting'!AU35&lt;&gt;F35),"Selection does not match",IF(AND(AD35&gt;AA35,AA35&gt;0),"Does not meet minimum connected load",IF(AND(O35&gt;0,AS35&gt;0,BK35&gt;0,'Proposed Lighting'!CH35=0),"Select Control Strategies",IF(AND(AC35&gt;0.1,AJ35=0,AQ35=0),"Does not meet incentive criteria",0)))))))))))</f>
        <v>0</v>
      </c>
      <c r="AS35" s="1224">
        <f>IF('Proposed Lighting'!CH35=100,0,IF(ISNUMBER(SEARCH("multiple",Q35)),1,0))</f>
        <v>0</v>
      </c>
      <c r="AT35" s="451">
        <f t="shared" si="8"/>
        <v>0</v>
      </c>
      <c r="AU35" s="451">
        <f t="shared" si="9"/>
        <v>0</v>
      </c>
      <c r="AV35" s="1222">
        <f>IF(ISNUMBER(SEARCH("Networked",'Proposed Lighting'!T35)),0,IF(ISNUMBER(SEARCH("Strategies",'Proposed Lighting'!T35)),0,IF(ISNUMBER(SEARCH("Removal",'Proposed Lighting'!T35)),0,IF(ISNUMBER(SEARCH("non-standard",Q35)),1,0))))</f>
        <v>0</v>
      </c>
      <c r="AW35" s="451">
        <f t="shared" si="12"/>
        <v>0</v>
      </c>
      <c r="AX35" s="451"/>
      <c r="AY35" s="451"/>
      <c r="AZ35" s="451"/>
      <c r="BA35" s="451"/>
      <c r="BB35" s="451"/>
      <c r="BC35" s="1215"/>
      <c r="BD35" s="1215"/>
      <c r="BE35" s="1215"/>
      <c r="BF35" s="1215"/>
      <c r="BG35" s="1215"/>
      <c r="BH35" s="1215"/>
      <c r="BI35">
        <f>IF(AND(AS35=1,BC35="No",BD35="Yes",BE35="Yes",BF35="No",BH35="No"),0,IF(AND('Proposed Lighting'!AU35=2,AS35=1,BC35="Yes",BD35="Yes"),2,IF(AND('Proposed Lighting'!AU35=2,AS35=1,BC35="Yes",BE35="Yes"),2,IF(AND('Proposed Lighting'!AU35=2,AS35=1,BC35="Yes",BF35="Yes"),2,IF(AND('Proposed Lighting'!AU35=2,AS35=1,BC35="Yes",BH35="Yes"),2,IF(AND('Proposed Lighting'!AU35=2,AS35=1,BD35="Yes",BF35="Yes"),2,IF(AND('Proposed Lighting'!AU35=2,AS35=1,BD35="Yes",BH35="Yes"),2,IF(AND('Proposed Lighting'!AU35=3,AS35=1,BC35="Yes",BE35="Yes"),2,IF(AND('Proposed Lighting'!AU35=3,AS35=1,BC35="Yes",BF35="Yes"),2,0)))))))))</f>
        <v>0</v>
      </c>
      <c r="BJ35" s="1025">
        <f t="shared" si="10"/>
        <v>0</v>
      </c>
      <c r="BK35">
        <f>IF(AND('Proposed Lighting'!BC35=22,'Lighting Controls'!N35=1),0,IF(ISNUMBER(SEARCH("LED",G35)),1,0))</f>
        <v>0</v>
      </c>
    </row>
    <row r="36" spans="1:63" ht="34.5" customHeight="1">
      <c r="A36" s="917">
        <v>28</v>
      </c>
      <c r="B36" s="1828" t="str">
        <f>IF('Proposed Lighting'!B36="","",'Proposed Lighting'!B36)</f>
        <v/>
      </c>
      <c r="C36" s="1828"/>
      <c r="D36" s="1828"/>
      <c r="E36" s="1245">
        <f>'Proposed Lighting'!AA36</f>
        <v>0</v>
      </c>
      <c r="F36" s="1245">
        <f t="shared" si="0"/>
        <v>0</v>
      </c>
      <c r="G36" s="1830" t="str">
        <f>IF('Proposed Lighting'!T36="","",IF(ISNUMBER(SEARCH("Networked",'Proposed Lighting'!T36)),0,IF(ISNUMBER(SEARCH("Strategies",'Proposed Lighting'!T36)),0,IF(ISNUMBER(SEARCH("Removal",'Proposed Lighting'!T36)),0,'Proposed Lighting'!T36))))</f>
        <v/>
      </c>
      <c r="H36" s="1830"/>
      <c r="I36" s="1830"/>
      <c r="J36" s="1830"/>
      <c r="K36" s="1215"/>
      <c r="L36" s="1246">
        <f t="shared" si="1"/>
        <v>0</v>
      </c>
      <c r="M36" s="1224">
        <f t="shared" si="2"/>
        <v>0</v>
      </c>
      <c r="N36" s="1224">
        <f t="shared" si="3"/>
        <v>0</v>
      </c>
      <c r="O36" s="1825" t="str">
        <f>IF(G36=0,0,IF(ISNA('Proposed Lighting'!AT36),0,'Proposed Lighting'!AT36))</f>
        <v/>
      </c>
      <c r="P36" s="1825"/>
      <c r="Q36" s="1247"/>
      <c r="R36" s="1247"/>
      <c r="S36" s="1247"/>
      <c r="T36" s="1211"/>
      <c r="U36" s="1235">
        <f>IF(K36&gt;0.01,'Proposed Lighting'!CU36,0)</f>
        <v>0</v>
      </c>
      <c r="V36" s="1248">
        <f>IF('Proposed Lighting'!CF36=1,0,IF('Proposed Lighting'!AU36=2,0,IF(AND('Proposed Lighting'!AU36=3,'Proposed Lighting'!CF36=0),1,0)))</f>
        <v>0</v>
      </c>
      <c r="W36" s="1836"/>
      <c r="X36" s="1836"/>
      <c r="Y36" s="1836"/>
      <c r="Z36" s="1230" t="str">
        <f t="shared" si="4"/>
        <v/>
      </c>
      <c r="AA36" s="1230">
        <f t="shared" si="5"/>
        <v>0</v>
      </c>
      <c r="AB36" s="1230">
        <f>IF(Q36=0,0,IF(T36=0,0,IF(AA36=0,0,IF(AND(F36=3,V36=0),0,IF(T36=0,0,IF(K36&gt;'Proposed Lighting'!AA36,0,IF('Proposed Lighting'!EJ36&gt;0.01,(K36*O36)*'Proposed Lighting'!EJ36/1000,(K36*O36)*U36/1000)))))))</f>
        <v>0</v>
      </c>
      <c r="AC36" s="1230" t="str">
        <f t="shared" si="6"/>
        <v/>
      </c>
      <c r="AD36" s="1230">
        <f t="shared" si="7"/>
        <v>0</v>
      </c>
      <c r="AE36" s="1230">
        <f>IF(T36=0,0,IF(K36&gt;'Proposed Lighting'!AA36,0,IF(T36&gt;K36,0,IF(AND(AD36&gt;AA36,AA36&gt;0),0,IF(AND(F36&gt;1,W36&lt;0.01),0,IF('Proposed Lighting'!AU36&gt;'Lighting Controls'!F36,0,IF('Proposed Lighting'!AU36&lt;'Lighting Controls'!F36,0,IF(U36=0,0,Summary!AC339))))))))</f>
        <v>0</v>
      </c>
      <c r="AF36" s="1230">
        <f>IF(T36=0,0,IF(AE36=0,0,IF(K36&gt;'Proposed Lighting'!AA36,0,IF(AND(AD36&gt;AA36,AA36&gt;0),0,IF(U36=0,0,Summary!AD339)))))</f>
        <v>0</v>
      </c>
      <c r="AG36" s="1834">
        <f>IF('Proposed Lighting'!AU36=1,0,IF('Proposed Lighting'!CF36=1,0,T36*W36))</f>
        <v>0</v>
      </c>
      <c r="AH36" s="1834"/>
      <c r="AI36" s="1834"/>
      <c r="AJ36" s="1835">
        <f>IF(T36&lt;1,0,IF(K36&gt;'Proposed Lighting'!AA36,0,IF('Proposed Lighting'!CF36=1,0,IF('Proposed Lighting'!AU36=1,0,IF(T36&gt;K36,0,IF(AND(AD36&gt;AA36,AA36&gt;0),0,IF(AND(F36=2,'Proposed Lighting'!AU36=3),0,IF(AND(F36=3,'Proposed Lighting'!AU36=2),0,IF('Proposed Lighting'!CH36=100,0,IF(AND(F36&lt;3,V36=1,AM36=0),0,IF(AND(F36&gt;1,AF36&lt;1,AN36&lt;1),0,IF(AND(F36&gt;1,AE36&lt;0.69,AF36&lt;1,AN36&lt;1),0,IF(ISERROR(AB36-AC36),"",AB36-AC36)))))))))))))</f>
        <v>0</v>
      </c>
      <c r="AK36" s="1835"/>
      <c r="AL36" s="1835"/>
      <c r="AM36" s="1216">
        <f>IF(Q36=0,0,IF(T36=0,0,IF(T36&gt;K36,0,IF(AND(AS36&gt;0.01,BK36=0),0,IF(AND('Proposed Lighting'!DG36=0,'Lighting Controls'!Z36=0.35),0,IF(AND(T36&lt;=K36,AA36&gt;=AD36,'Proposed Lighting'!AU36=2),VLOOKUP(Q36,$AY$9:$AZ$15,2,FALSE),IF(AND(T36&lt;=K36,AA36&gt;=AD36,'Proposed Lighting'!AU36=3),VLOOKUP(Q36,$AY$17:$AZ$23,2,FALSE))))))))</f>
        <v>0</v>
      </c>
      <c r="AN36" s="1248">
        <f>IF(T36=0,0,IF(K36&gt;'Proposed Lighting'!AA36,0,IF(AE36=0,0,IF(AND(AD36&gt;AA36,AA36&gt;0),0,IF(U36=0,0,Summary!AE339)))))</f>
        <v>0</v>
      </c>
      <c r="AO36" s="1248">
        <f t="shared" si="11"/>
        <v>0</v>
      </c>
      <c r="AP36" s="1249">
        <f>IF('Proposed Lighting'!AU36=1,0,IF(K36=0,0,IF(T36&gt;K36,0,IF(G36=0,0,IF(K36&gt;'Proposed Lighting'!AA36,0,IF(AND(AD36&gt;AA36,AA36&gt;0),0,IF(AND('Proposed Lighting'!AU36=3,AM36=0.5),0,IF(AND(AM36&gt;0,AS36&gt;0,BI36&lt;2),0,IF('Proposed Lighting'!CH36=100,0,IF(AV36=1,0,IF(AND(AM36=35,M36+N36&lt;2),0,AM36)))))))))))</f>
        <v>0</v>
      </c>
      <c r="AQ36" s="1249" t="str">
        <f>IFERROR(ROUND(IF(Q36="","",IF('Proposed Lighting'!$X$4=0,0,IF(AND(AM36=35,M36+N36&lt;2),0,IF(T36&gt;K36,0,IF('Proposed Lighting'!AU36=1,0,IF(AJ36=0,0,IF(AND('Proposed Lighting'!AU36=3,AM36=0.5),0,IF(AND(AD36=75,AP36=0,AV36=0),0,IF(AP36&gt;0.01,AP36*T36,IF(AND(F36&gt;1,W36&lt;0.01),0,IF(AND(F36&gt;1,AO36=0),0,IF(AND('Proposed Lighting'!BC36=22,AV36=0),0,IF(AND(AM36&gt;0,AS36&gt;0,BI36&lt;2),0,IF(AND(AS36&gt;0.01,BK36=0),0,IF(AND(AO36=TRUE,AV36=1,F36=3),MIN(AJ36*0.08,L36),IF(AP36&gt;0.01,AP36*T36,IF(AND(AO36=TRUE,AV36=1,F36=2),MIN(AJ36*0.1,L36)))))))))))))))))),2),"")</f>
        <v/>
      </c>
      <c r="AR36" s="1250">
        <f>IF(Q36=0,0,IF('Proposed Lighting'!$X$4=0,0,IF(AND(AM36&gt;0.01,AQ36&gt;0.01),0,IF('Proposed Lighting'!AU36=1,"Missing Interior or Exterior Selection",IF('Proposed Lighting'!CF36=1,"Selection does not match",IF(K36&gt;'Proposed Lighting'!AA36,"Quantity controlled does not match proposed lighting quantity",IF(T36&gt;K36,"Quantity of sensors exceeds proposed lighting quantity",IF(AND(F36&gt;1,'Proposed Lighting'!AU36&lt;&gt;F36),"Selection does not match",IF(AND(AD36&gt;AA36,AA36&gt;0),"Does not meet minimum connected load",IF(AND(O36&gt;0,AS36&gt;0,BK36&gt;0,'Proposed Lighting'!CH36=0),"Select Control Strategies",IF(AND(AC36&gt;0.1,AJ36=0,AQ36=0),"Does not meet incentive criteria",0)))))))))))</f>
        <v>0</v>
      </c>
      <c r="AS36" s="1224">
        <f>IF('Proposed Lighting'!CH36=100,0,IF(ISNUMBER(SEARCH("multiple",Q36)),1,0))</f>
        <v>0</v>
      </c>
      <c r="AT36" s="451">
        <f t="shared" si="8"/>
        <v>0</v>
      </c>
      <c r="AU36" s="451">
        <f t="shared" si="9"/>
        <v>0</v>
      </c>
      <c r="AV36" s="1222">
        <f>IF(ISNUMBER(SEARCH("Networked",'Proposed Lighting'!T36)),0,IF(ISNUMBER(SEARCH("Strategies",'Proposed Lighting'!T36)),0,IF(ISNUMBER(SEARCH("Removal",'Proposed Lighting'!T36)),0,IF(ISNUMBER(SEARCH("non-standard",Q36)),1,0))))</f>
        <v>0</v>
      </c>
      <c r="AW36" s="451">
        <f t="shared" si="12"/>
        <v>0</v>
      </c>
      <c r="AX36" s="451"/>
      <c r="AY36" s="451"/>
      <c r="AZ36" s="451"/>
      <c r="BA36" s="451"/>
      <c r="BB36" s="451"/>
      <c r="BC36" s="1215"/>
      <c r="BD36" s="1215"/>
      <c r="BE36" s="1215"/>
      <c r="BF36" s="1215"/>
      <c r="BG36" s="1215"/>
      <c r="BH36" s="1215"/>
      <c r="BI36">
        <f>IF(AND(AS36=1,BC36="No",BD36="Yes",BE36="Yes",BF36="No",BH36="No"),0,IF(AND('Proposed Lighting'!AU36=2,AS36=1,BC36="Yes",BD36="Yes"),2,IF(AND('Proposed Lighting'!AU36=2,AS36=1,BC36="Yes",BE36="Yes"),2,IF(AND('Proposed Lighting'!AU36=2,AS36=1,BC36="Yes",BF36="Yes"),2,IF(AND('Proposed Lighting'!AU36=2,AS36=1,BC36="Yes",BH36="Yes"),2,IF(AND('Proposed Lighting'!AU36=2,AS36=1,BD36="Yes",BF36="Yes"),2,IF(AND('Proposed Lighting'!AU36=2,AS36=1,BD36="Yes",BH36="Yes"),2,IF(AND('Proposed Lighting'!AU36=3,AS36=1,BC36="Yes",BE36="Yes"),2,IF(AND('Proposed Lighting'!AU36=3,AS36=1,BC36="Yes",BF36="Yes"),2,0)))))))))</f>
        <v>0</v>
      </c>
      <c r="BJ36" s="1025">
        <f t="shared" si="10"/>
        <v>0</v>
      </c>
      <c r="BK36">
        <f>IF(AND('Proposed Lighting'!BC36=22,'Lighting Controls'!N36=1),0,IF(ISNUMBER(SEARCH("LED",G36)),1,0))</f>
        <v>0</v>
      </c>
    </row>
    <row r="37" spans="1:63" ht="34.5" customHeight="1">
      <c r="A37" s="917">
        <v>29</v>
      </c>
      <c r="B37" s="1828" t="str">
        <f>IF('Proposed Lighting'!B37="","",'Proposed Lighting'!B37)</f>
        <v/>
      </c>
      <c r="C37" s="1828"/>
      <c r="D37" s="1828"/>
      <c r="E37" s="1245">
        <f>'Proposed Lighting'!AA37</f>
        <v>0</v>
      </c>
      <c r="F37" s="1245">
        <f t="shared" si="0"/>
        <v>0</v>
      </c>
      <c r="G37" s="1830" t="str">
        <f>IF('Proposed Lighting'!T37="","",IF(ISNUMBER(SEARCH("Networked",'Proposed Lighting'!T37)),0,IF(ISNUMBER(SEARCH("Strategies",'Proposed Lighting'!T37)),0,IF(ISNUMBER(SEARCH("Removal",'Proposed Lighting'!T37)),0,'Proposed Lighting'!T37))))</f>
        <v/>
      </c>
      <c r="H37" s="1830"/>
      <c r="I37" s="1830"/>
      <c r="J37" s="1830"/>
      <c r="K37" s="1215"/>
      <c r="L37" s="1246">
        <f t="shared" si="1"/>
        <v>0</v>
      </c>
      <c r="M37" s="1224">
        <f t="shared" si="2"/>
        <v>0</v>
      </c>
      <c r="N37" s="1224">
        <f t="shared" si="3"/>
        <v>0</v>
      </c>
      <c r="O37" s="1825" t="str">
        <f>IF(G37=0,0,IF(ISNA('Proposed Lighting'!AT37),0,'Proposed Lighting'!AT37))</f>
        <v/>
      </c>
      <c r="P37" s="1825"/>
      <c r="Q37" s="1247"/>
      <c r="R37" s="1247"/>
      <c r="S37" s="1247"/>
      <c r="T37" s="1211"/>
      <c r="U37" s="1235">
        <f>IF(K37&gt;0.01,'Proposed Lighting'!CU37,0)</f>
        <v>0</v>
      </c>
      <c r="V37" s="1248">
        <f>IF('Proposed Lighting'!CF37=1,0,IF('Proposed Lighting'!AU37=2,0,IF(AND('Proposed Lighting'!AU37=3,'Proposed Lighting'!CF37=0),1,0)))</f>
        <v>0</v>
      </c>
      <c r="W37" s="1836"/>
      <c r="X37" s="1836"/>
      <c r="Y37" s="1836"/>
      <c r="Z37" s="1230" t="str">
        <f t="shared" si="4"/>
        <v/>
      </c>
      <c r="AA37" s="1230">
        <f t="shared" si="5"/>
        <v>0</v>
      </c>
      <c r="AB37" s="1230">
        <f>IF(Q37=0,0,IF(T37=0,0,IF(AA37=0,0,IF(AND(F37=3,V37=0),0,IF(T37=0,0,IF(K37&gt;'Proposed Lighting'!AA37,0,IF('Proposed Lighting'!EJ37&gt;0.01,(K37*O37)*'Proposed Lighting'!EJ37/1000,(K37*O37)*U37/1000)))))))</f>
        <v>0</v>
      </c>
      <c r="AC37" s="1230" t="str">
        <f t="shared" si="6"/>
        <v/>
      </c>
      <c r="AD37" s="1230">
        <f t="shared" si="7"/>
        <v>0</v>
      </c>
      <c r="AE37" s="1230">
        <f>IF(T37=0,0,IF(K37&gt;'Proposed Lighting'!AA37,0,IF(T37&gt;K37,0,IF(AND(AD37&gt;AA37,AA37&gt;0),0,IF(AND(F37&gt;1,W37&lt;0.01),0,IF('Proposed Lighting'!AU37&gt;'Lighting Controls'!F37,0,IF('Proposed Lighting'!AU37&lt;'Lighting Controls'!F37,0,IF(U37=0,0,Summary!AC340))))))))</f>
        <v>0</v>
      </c>
      <c r="AF37" s="1230">
        <f>IF(T37=0,0,IF(AE37=0,0,IF(K37&gt;'Proposed Lighting'!AA37,0,IF(AND(AD37&gt;AA37,AA37&gt;0),0,IF(U37=0,0,Summary!AD340)))))</f>
        <v>0</v>
      </c>
      <c r="AG37" s="1834">
        <f>IF('Proposed Lighting'!AU37=1,0,IF('Proposed Lighting'!CF37=1,0,T37*W37))</f>
        <v>0</v>
      </c>
      <c r="AH37" s="1834"/>
      <c r="AI37" s="1834"/>
      <c r="AJ37" s="1835">
        <f>IF(T37&lt;1,0,IF(K37&gt;'Proposed Lighting'!AA37,0,IF('Proposed Lighting'!CF37=1,0,IF('Proposed Lighting'!AU37=1,0,IF(T37&gt;K37,0,IF(AND(AD37&gt;AA37,AA37&gt;0),0,IF(AND(F37=2,'Proposed Lighting'!AU37=3),0,IF(AND(F37=3,'Proposed Lighting'!AU37=2),0,IF('Proposed Lighting'!CH37=100,0,IF(AND(F37&lt;3,V37=1,AM37=0),0,IF(AND(F37&gt;1,AF37&lt;1,AN37&lt;1),0,IF(AND(F37&gt;1,AE37&lt;0.69,AF37&lt;1,AN37&lt;1),0,IF(ISERROR(AB37-AC37),"",AB37-AC37)))))))))))))</f>
        <v>0</v>
      </c>
      <c r="AK37" s="1835"/>
      <c r="AL37" s="1835"/>
      <c r="AM37" s="1216">
        <f>IF(Q37=0,0,IF(T37=0,0,IF(T37&gt;K37,0,IF(AND(AS37&gt;0.01,BK37=0),0,IF(AND('Proposed Lighting'!DG37=0,'Lighting Controls'!Z37=0.35),0,IF(AND(T37&lt;=K37,AA37&gt;=AD37,'Proposed Lighting'!AU37=2),VLOOKUP(Q37,$AY$9:$AZ$15,2,FALSE),IF(AND(T37&lt;=K37,AA37&gt;=AD37,'Proposed Lighting'!AU37=3),VLOOKUP(Q37,$AY$17:$AZ$23,2,FALSE))))))))</f>
        <v>0</v>
      </c>
      <c r="AN37" s="1248">
        <f>IF(T37=0,0,IF(K37&gt;'Proposed Lighting'!AA37,0,IF(AE37=0,0,IF(AND(AD37&gt;AA37,AA37&gt;0),0,IF(U37=0,0,Summary!AE340)))))</f>
        <v>0</v>
      </c>
      <c r="AO37" s="1248">
        <f t="shared" si="11"/>
        <v>0</v>
      </c>
      <c r="AP37" s="1249">
        <f>IF('Proposed Lighting'!AU37=1,0,IF(K37=0,0,IF(T37&gt;K37,0,IF(G37=0,0,IF(K37&gt;'Proposed Lighting'!AA37,0,IF(AND(AD37&gt;AA37,AA37&gt;0),0,IF(AND('Proposed Lighting'!AU37=3,AM37=0.5),0,IF(AND(AM37&gt;0,AS37&gt;0,BI37&lt;2),0,IF('Proposed Lighting'!CH37=100,0,IF(AV37=1,0,IF(AND(AM37=35,M37+N37&lt;2),0,AM37)))))))))))</f>
        <v>0</v>
      </c>
      <c r="AQ37" s="1249" t="str">
        <f>IFERROR(ROUND(IF(Q37="","",IF('Proposed Lighting'!$X$4=0,0,IF(AND(AM37=35,M37+N37&lt;2),0,IF(T37&gt;K37,0,IF('Proposed Lighting'!AU37=1,0,IF(AJ37=0,0,IF(AND('Proposed Lighting'!AU37=3,AM37=0.5),0,IF(AND(AD37=75,AP37=0,AV37=0),0,IF(AP37&gt;0.01,AP37*T37,IF(AND(F37&gt;1,W37&lt;0.01),0,IF(AND(F37&gt;1,AO37=0),0,IF(AND('Proposed Lighting'!BC37=22,AV37=0),0,IF(AND(AM37&gt;0,AS37&gt;0,BI37&lt;2),0,IF(AND(AS37&gt;0.01,BK37=0),0,IF(AND(AO37=TRUE,AV37=1,F37=3),MIN(AJ37*0.08,L37),IF(AP37&gt;0.01,AP37*T37,IF(AND(AO37=TRUE,AV37=1,F37=2),MIN(AJ37*0.1,L37)))))))))))))))))),2),"")</f>
        <v/>
      </c>
      <c r="AR37" s="1250">
        <f>IF(Q37=0,0,IF('Proposed Lighting'!$X$4=0,0,IF(AND(AM37&gt;0.01,AQ37&gt;0.01),0,IF('Proposed Lighting'!AU37=1,"Missing Interior or Exterior Selection",IF('Proposed Lighting'!CF37=1,"Selection does not match",IF(K37&gt;'Proposed Lighting'!AA37,"Quantity controlled does not match proposed lighting quantity",IF(T37&gt;K37,"Quantity of sensors exceeds proposed lighting quantity",IF(AND(F37&gt;1,'Proposed Lighting'!AU37&lt;&gt;F37),"Selection does not match",IF(AND(AD37&gt;AA37,AA37&gt;0),"Does not meet minimum connected load",IF(AND(O37&gt;0,AS37&gt;0,BK37&gt;0,'Proposed Lighting'!CH37=0),"Select Control Strategies",IF(AND(AC37&gt;0.1,AJ37=0,AQ37=0),"Does not meet incentive criteria",0)))))))))))</f>
        <v>0</v>
      </c>
      <c r="AS37" s="1224">
        <f>IF('Proposed Lighting'!CH37=100,0,IF(ISNUMBER(SEARCH("multiple",Q37)),1,0))</f>
        <v>0</v>
      </c>
      <c r="AT37" s="451">
        <f t="shared" si="8"/>
        <v>0</v>
      </c>
      <c r="AU37" s="451">
        <f t="shared" si="9"/>
        <v>0</v>
      </c>
      <c r="AV37" s="1222">
        <f>IF(ISNUMBER(SEARCH("Networked",'Proposed Lighting'!T37)),0,IF(ISNUMBER(SEARCH("Strategies",'Proposed Lighting'!T37)),0,IF(ISNUMBER(SEARCH("Removal",'Proposed Lighting'!T37)),0,IF(ISNUMBER(SEARCH("non-standard",Q37)),1,0))))</f>
        <v>0</v>
      </c>
      <c r="AW37" s="451">
        <f t="shared" si="12"/>
        <v>0</v>
      </c>
      <c r="AX37" s="451"/>
      <c r="AY37" s="451"/>
      <c r="AZ37" s="451"/>
      <c r="BA37" s="451"/>
      <c r="BB37" s="451"/>
      <c r="BC37" s="1215"/>
      <c r="BD37" s="1215"/>
      <c r="BE37" s="1215"/>
      <c r="BF37" s="1215"/>
      <c r="BG37" s="1215"/>
      <c r="BH37" s="1215"/>
      <c r="BI37">
        <f>IF(AND(AS37=1,BC37="No",BD37="Yes",BE37="Yes",BF37="No",BH37="No"),0,IF(AND('Proposed Lighting'!AU37=2,AS37=1,BC37="Yes",BD37="Yes"),2,IF(AND('Proposed Lighting'!AU37=2,AS37=1,BC37="Yes",BE37="Yes"),2,IF(AND('Proposed Lighting'!AU37=2,AS37=1,BC37="Yes",BF37="Yes"),2,IF(AND('Proposed Lighting'!AU37=2,AS37=1,BC37="Yes",BH37="Yes"),2,IF(AND('Proposed Lighting'!AU37=2,AS37=1,BD37="Yes",BF37="Yes"),2,IF(AND('Proposed Lighting'!AU37=2,AS37=1,BD37="Yes",BH37="Yes"),2,IF(AND('Proposed Lighting'!AU37=3,AS37=1,BC37="Yes",BE37="Yes"),2,IF(AND('Proposed Lighting'!AU37=3,AS37=1,BC37="Yes",BF37="Yes"),2,0)))))))))</f>
        <v>0</v>
      </c>
      <c r="BJ37" s="1025">
        <f t="shared" si="10"/>
        <v>0</v>
      </c>
      <c r="BK37">
        <f>IF(AND('Proposed Lighting'!BC37=22,'Lighting Controls'!N37=1),0,IF(ISNUMBER(SEARCH("LED",G37)),1,0))</f>
        <v>0</v>
      </c>
    </row>
    <row r="38" spans="1:63" ht="34.5" customHeight="1">
      <c r="A38" s="917">
        <v>30</v>
      </c>
      <c r="B38" s="1828" t="str">
        <f>IF('Proposed Lighting'!B38="","",'Proposed Lighting'!B38)</f>
        <v/>
      </c>
      <c r="C38" s="1828"/>
      <c r="D38" s="1828"/>
      <c r="E38" s="1245">
        <f>'Proposed Lighting'!AA38</f>
        <v>0</v>
      </c>
      <c r="F38" s="1245">
        <f t="shared" si="0"/>
        <v>0</v>
      </c>
      <c r="G38" s="1830" t="str">
        <f>IF('Proposed Lighting'!T38="","",IF(ISNUMBER(SEARCH("Networked",'Proposed Lighting'!T38)),0,IF(ISNUMBER(SEARCH("Strategies",'Proposed Lighting'!T38)),0,IF(ISNUMBER(SEARCH("Removal",'Proposed Lighting'!T38)),0,'Proposed Lighting'!T38))))</f>
        <v/>
      </c>
      <c r="H38" s="1830"/>
      <c r="I38" s="1830"/>
      <c r="J38" s="1830"/>
      <c r="K38" s="1215"/>
      <c r="L38" s="1246">
        <f t="shared" si="1"/>
        <v>0</v>
      </c>
      <c r="M38" s="1224">
        <f t="shared" si="2"/>
        <v>0</v>
      </c>
      <c r="N38" s="1224">
        <f t="shared" si="3"/>
        <v>0</v>
      </c>
      <c r="O38" s="1825" t="str">
        <f>IF(G38=0,0,IF(ISNA('Proposed Lighting'!AT38),0,'Proposed Lighting'!AT38))</f>
        <v/>
      </c>
      <c r="P38" s="1825"/>
      <c r="Q38" s="1247"/>
      <c r="R38" s="1247"/>
      <c r="S38" s="1247"/>
      <c r="T38" s="1211"/>
      <c r="U38" s="1235">
        <f>IF(K38&gt;0.01,'Proposed Lighting'!CU38,0)</f>
        <v>0</v>
      </c>
      <c r="V38" s="1248">
        <f>IF('Proposed Lighting'!CF38=1,0,IF('Proposed Lighting'!AU38=2,0,IF(AND('Proposed Lighting'!AU38=3,'Proposed Lighting'!CF38=0),1,0)))</f>
        <v>0</v>
      </c>
      <c r="W38" s="1836"/>
      <c r="X38" s="1836"/>
      <c r="Y38" s="1836"/>
      <c r="Z38" s="1230" t="str">
        <f t="shared" si="4"/>
        <v/>
      </c>
      <c r="AA38" s="1230">
        <f t="shared" si="5"/>
        <v>0</v>
      </c>
      <c r="AB38" s="1230">
        <f>IF(Q38=0,0,IF(T38=0,0,IF(AA38=0,0,IF(AND(F38=3,V38=0),0,IF(T38=0,0,IF(K38&gt;'Proposed Lighting'!AA38,0,IF('Proposed Lighting'!EJ38&gt;0.01,(K38*O38)*'Proposed Lighting'!EJ38/1000,(K38*O38)*U38/1000)))))))</f>
        <v>0</v>
      </c>
      <c r="AC38" s="1230" t="str">
        <f t="shared" si="6"/>
        <v/>
      </c>
      <c r="AD38" s="1230">
        <f t="shared" si="7"/>
        <v>0</v>
      </c>
      <c r="AE38" s="1230">
        <f>IF(T38=0,0,IF(K38&gt;'Proposed Lighting'!AA38,0,IF(T38&gt;K38,0,IF(AND(AD38&gt;AA38,AA38&gt;0),0,IF(AND(F38&gt;1,W38&lt;0.01),0,IF('Proposed Lighting'!AU38&gt;'Lighting Controls'!F38,0,IF('Proposed Lighting'!AU38&lt;'Lighting Controls'!F38,0,IF(U38=0,0,Summary!AC341))))))))</f>
        <v>0</v>
      </c>
      <c r="AF38" s="1230">
        <f>IF(T38=0,0,IF(AE38=0,0,IF(K38&gt;'Proposed Lighting'!AA38,0,IF(AND(AD38&gt;AA38,AA38&gt;0),0,IF(U38=0,0,Summary!AD341)))))</f>
        <v>0</v>
      </c>
      <c r="AG38" s="1834">
        <f>IF('Proposed Lighting'!AU38=1,0,IF('Proposed Lighting'!CF38=1,0,T38*W38))</f>
        <v>0</v>
      </c>
      <c r="AH38" s="1834"/>
      <c r="AI38" s="1834"/>
      <c r="AJ38" s="1835">
        <f>IF(T38&lt;1,0,IF(K38&gt;'Proposed Lighting'!AA38,0,IF('Proposed Lighting'!CF38=1,0,IF('Proposed Lighting'!AU38=1,0,IF(T38&gt;K38,0,IF(AND(AD38&gt;AA38,AA38&gt;0),0,IF(AND(F38=2,'Proposed Lighting'!AU38=3),0,IF(AND(F38=3,'Proposed Lighting'!AU38=2),0,IF('Proposed Lighting'!CH38=100,0,IF(AND(F38&lt;3,V38=1,AM38=0),0,IF(AND(F38&gt;1,AF38&lt;1,AN38&lt;1),0,IF(AND(F38&gt;1,AE38&lt;0.69,AF38&lt;1,AN38&lt;1),0,IF(ISERROR(AB38-AC38),"",AB38-AC38)))))))))))))</f>
        <v>0</v>
      </c>
      <c r="AK38" s="1835"/>
      <c r="AL38" s="1835"/>
      <c r="AM38" s="1216">
        <f>IF(Q38=0,0,IF(T38=0,0,IF(T38&gt;K38,0,IF(AND(AS38&gt;0.01,BK38=0),0,IF(AND('Proposed Lighting'!DG38=0,'Lighting Controls'!Z38=0.35),0,IF(AND(T38&lt;=K38,AA38&gt;=AD38,'Proposed Lighting'!AU38=2),VLOOKUP(Q38,$AY$9:$AZ$15,2,FALSE),IF(AND(T38&lt;=K38,AA38&gt;=AD38,'Proposed Lighting'!AU38=3),VLOOKUP(Q38,$AY$17:$AZ$23,2,FALSE))))))))</f>
        <v>0</v>
      </c>
      <c r="AN38" s="1248">
        <f>IF(T38=0,0,IF(K38&gt;'Proposed Lighting'!AA38,0,IF(AE38=0,0,IF(AND(AD38&gt;AA38,AA38&gt;0),0,IF(U38=0,0,Summary!AE341)))))</f>
        <v>0</v>
      </c>
      <c r="AO38" s="1248">
        <f t="shared" si="11"/>
        <v>0</v>
      </c>
      <c r="AP38" s="1249">
        <f>IF('Proposed Lighting'!AU38=1,0,IF(K38=0,0,IF(T38&gt;K38,0,IF(G38=0,0,IF(K38&gt;'Proposed Lighting'!AA38,0,IF(AND(AD38&gt;AA38,AA38&gt;0),0,IF(AND('Proposed Lighting'!AU38=3,AM38=0.5),0,IF(AND(AM38&gt;0,AS38&gt;0,BI38&lt;2),0,IF('Proposed Lighting'!CH38=100,0,IF(AV38=1,0,IF(AND(AM38=35,M38+N38&lt;2),0,AM38)))))))))))</f>
        <v>0</v>
      </c>
      <c r="AQ38" s="1249" t="str">
        <f>IFERROR(ROUND(IF(Q38="","",IF('Proposed Lighting'!$X$4=0,0,IF(AND(AM38=35,M38+N38&lt;2),0,IF(T38&gt;K38,0,IF('Proposed Lighting'!AU38=1,0,IF(AJ38=0,0,IF(AND('Proposed Lighting'!AU38=3,AM38=0.5),0,IF(AND(AD38=75,AP38=0,AV38=0),0,IF(AP38&gt;0.01,AP38*T38,IF(AND(F38&gt;1,W38&lt;0.01),0,IF(AND(F38&gt;1,AO38=0),0,IF(AND('Proposed Lighting'!BC38=22,AV38=0),0,IF(AND(AM38&gt;0,AS38&gt;0,BI38&lt;2),0,IF(AND(AS38&gt;0.01,BK38=0),0,IF(AND(AO38=TRUE,AV38=1,F38=3),MIN(AJ38*0.08,L38),IF(AP38&gt;0.01,AP38*T38,IF(AND(AO38=TRUE,AV38=1,F38=2),MIN(AJ38*0.1,L38)))))))))))))))))),2),"")</f>
        <v/>
      </c>
      <c r="AR38" s="1250">
        <f>IF(Q38=0,0,IF('Proposed Lighting'!$X$4=0,0,IF(AND(AM38&gt;0.01,AQ38&gt;0.01),0,IF('Proposed Lighting'!AU38=1,"Missing Interior or Exterior Selection",IF('Proposed Lighting'!CF38=1,"Selection does not match",IF(K38&gt;'Proposed Lighting'!AA38,"Quantity controlled does not match proposed lighting quantity",IF(T38&gt;K38,"Quantity of sensors exceeds proposed lighting quantity",IF(AND(F38&gt;1,'Proposed Lighting'!AU38&lt;&gt;F38),"Selection does not match",IF(AND(AD38&gt;AA38,AA38&gt;0),"Does not meet minimum connected load",IF(AND(O38&gt;0,AS38&gt;0,BK38&gt;0,'Proposed Lighting'!CH38=0),"Select Control Strategies",IF(AND(AC38&gt;0.1,AJ38=0,AQ38=0),"Does not meet incentive criteria",0)))))))))))</f>
        <v>0</v>
      </c>
      <c r="AS38" s="1224">
        <f>IF('Proposed Lighting'!CH38=100,0,IF(ISNUMBER(SEARCH("multiple",Q38)),1,0))</f>
        <v>0</v>
      </c>
      <c r="AT38" s="451">
        <f t="shared" si="8"/>
        <v>0</v>
      </c>
      <c r="AU38" s="451">
        <f t="shared" si="9"/>
        <v>0</v>
      </c>
      <c r="AV38" s="1222">
        <f>IF(ISNUMBER(SEARCH("Networked",'Proposed Lighting'!T38)),0,IF(ISNUMBER(SEARCH("Strategies",'Proposed Lighting'!T38)),0,IF(ISNUMBER(SEARCH("Removal",'Proposed Lighting'!T38)),0,IF(ISNUMBER(SEARCH("non-standard",Q38)),1,0))))</f>
        <v>0</v>
      </c>
      <c r="AW38" s="451">
        <f t="shared" si="12"/>
        <v>0</v>
      </c>
      <c r="AX38" s="451"/>
      <c r="AY38" s="451"/>
      <c r="AZ38" s="451"/>
      <c r="BA38" s="451"/>
      <c r="BB38" s="451"/>
      <c r="BC38" s="1215"/>
      <c r="BD38" s="1215"/>
      <c r="BE38" s="1215"/>
      <c r="BF38" s="1215"/>
      <c r="BG38" s="1215"/>
      <c r="BH38" s="1215"/>
      <c r="BI38">
        <f>IF(AND(AS38=1,BC38="No",BD38="Yes",BE38="Yes",BF38="No",BH38="No"),0,IF(AND('Proposed Lighting'!AU38=2,AS38=1,BC38="Yes",BD38="Yes"),2,IF(AND('Proposed Lighting'!AU38=2,AS38=1,BC38="Yes",BE38="Yes"),2,IF(AND('Proposed Lighting'!AU38=2,AS38=1,BC38="Yes",BF38="Yes"),2,IF(AND('Proposed Lighting'!AU38=2,AS38=1,BC38="Yes",BH38="Yes"),2,IF(AND('Proposed Lighting'!AU38=2,AS38=1,BD38="Yes",BF38="Yes"),2,IF(AND('Proposed Lighting'!AU38=2,AS38=1,BD38="Yes",BH38="Yes"),2,IF(AND('Proposed Lighting'!AU38=3,AS38=1,BC38="Yes",BE38="Yes"),2,IF(AND('Proposed Lighting'!AU38=3,AS38=1,BC38="Yes",BF38="Yes"),2,0)))))))))</f>
        <v>0</v>
      </c>
      <c r="BJ38" s="1025">
        <f t="shared" si="10"/>
        <v>0</v>
      </c>
      <c r="BK38">
        <f>IF(AND('Proposed Lighting'!BC38=22,'Lighting Controls'!N38=1),0,IF(ISNUMBER(SEARCH("LED",G38)),1,0))</f>
        <v>0</v>
      </c>
    </row>
    <row r="39" spans="1:63" ht="34.5" customHeight="1">
      <c r="A39" s="917">
        <v>31</v>
      </c>
      <c r="B39" s="1828" t="str">
        <f>IF('Proposed Lighting'!B39="","",'Proposed Lighting'!B39)</f>
        <v/>
      </c>
      <c r="C39" s="1828"/>
      <c r="D39" s="1828"/>
      <c r="E39" s="1245">
        <f>'Proposed Lighting'!AA39</f>
        <v>0</v>
      </c>
      <c r="F39" s="1245">
        <f t="shared" si="0"/>
        <v>0</v>
      </c>
      <c r="G39" s="1830" t="str">
        <f>IF('Proposed Lighting'!T39="","",IF(ISNUMBER(SEARCH("Networked",'Proposed Lighting'!T39)),0,IF(ISNUMBER(SEARCH("Strategies",'Proposed Lighting'!T39)),0,IF(ISNUMBER(SEARCH("Removal",'Proposed Lighting'!T39)),0,'Proposed Lighting'!T39))))</f>
        <v/>
      </c>
      <c r="H39" s="1830"/>
      <c r="I39" s="1830"/>
      <c r="J39" s="1830"/>
      <c r="K39" s="1215"/>
      <c r="L39" s="1246">
        <f t="shared" si="1"/>
        <v>0</v>
      </c>
      <c r="M39" s="1224">
        <f t="shared" si="2"/>
        <v>0</v>
      </c>
      <c r="N39" s="1224">
        <f t="shared" si="3"/>
        <v>0</v>
      </c>
      <c r="O39" s="1825" t="str">
        <f>IF(G39=0,0,IF(ISNA('Proposed Lighting'!AT39),0,'Proposed Lighting'!AT39))</f>
        <v/>
      </c>
      <c r="P39" s="1825"/>
      <c r="Q39" s="1247"/>
      <c r="R39" s="1247"/>
      <c r="S39" s="1247"/>
      <c r="T39" s="1211"/>
      <c r="U39" s="1235">
        <f>IF(K39&gt;0.01,'Proposed Lighting'!CU39,0)</f>
        <v>0</v>
      </c>
      <c r="V39" s="1248">
        <f>IF('Proposed Lighting'!CF39=1,0,IF('Proposed Lighting'!AU39=2,0,IF(AND('Proposed Lighting'!AU39=3,'Proposed Lighting'!CF39=0),1,0)))</f>
        <v>0</v>
      </c>
      <c r="W39" s="1836"/>
      <c r="X39" s="1836"/>
      <c r="Y39" s="1836"/>
      <c r="Z39" s="1230" t="str">
        <f t="shared" si="4"/>
        <v/>
      </c>
      <c r="AA39" s="1230">
        <f t="shared" si="5"/>
        <v>0</v>
      </c>
      <c r="AB39" s="1230">
        <f>IF(Q39=0,0,IF(T39=0,0,IF(AA39=0,0,IF(AND(F39=3,V39=0),0,IF(T39=0,0,IF(K39&gt;'Proposed Lighting'!AA39,0,IF('Proposed Lighting'!EJ39&gt;0.01,(K39*O39)*'Proposed Lighting'!EJ39/1000,(K39*O39)*U39/1000)))))))</f>
        <v>0</v>
      </c>
      <c r="AC39" s="1230" t="str">
        <f t="shared" si="6"/>
        <v/>
      </c>
      <c r="AD39" s="1230">
        <f t="shared" si="7"/>
        <v>0</v>
      </c>
      <c r="AE39" s="1230">
        <f>IF(T39=0,0,IF(K39&gt;'Proposed Lighting'!AA39,0,IF(T39&gt;K39,0,IF(AND(AD39&gt;AA39,AA39&gt;0),0,IF(AND(F39&gt;1,W39&lt;0.01),0,IF('Proposed Lighting'!AU39&gt;'Lighting Controls'!F39,0,IF('Proposed Lighting'!AU39&lt;'Lighting Controls'!F39,0,IF(U39=0,0,Summary!AC342))))))))</f>
        <v>0</v>
      </c>
      <c r="AF39" s="1230">
        <f>IF(T39=0,0,IF(AE39=0,0,IF(K39&gt;'Proposed Lighting'!AA39,0,IF(AND(AD39&gt;AA39,AA39&gt;0),0,IF(U39=0,0,Summary!AD342)))))</f>
        <v>0</v>
      </c>
      <c r="AG39" s="1834">
        <f>IF('Proposed Lighting'!AU39=1,0,IF('Proposed Lighting'!CF39=1,0,T39*W39))</f>
        <v>0</v>
      </c>
      <c r="AH39" s="1834"/>
      <c r="AI39" s="1834"/>
      <c r="AJ39" s="1835">
        <f>IF(T39&lt;1,0,IF(K39&gt;'Proposed Lighting'!AA39,0,IF('Proposed Lighting'!CF39=1,0,IF('Proposed Lighting'!AU39=1,0,IF(T39&gt;K39,0,IF(AND(AD39&gt;AA39,AA39&gt;0),0,IF(AND(F39=2,'Proposed Lighting'!AU39=3),0,IF(AND(F39=3,'Proposed Lighting'!AU39=2),0,IF('Proposed Lighting'!CH39=100,0,IF(AND(F39&lt;3,V39=1,AM39=0),0,IF(AND(F39&gt;1,AF39&lt;1,AN39&lt;1),0,IF(AND(F39&gt;1,AE39&lt;0.69,AF39&lt;1,AN39&lt;1),0,IF(ISERROR(AB39-AC39),"",AB39-AC39)))))))))))))</f>
        <v>0</v>
      </c>
      <c r="AK39" s="1835"/>
      <c r="AL39" s="1835"/>
      <c r="AM39" s="1216">
        <f>IF(Q39=0,0,IF(T39=0,0,IF(T39&gt;K39,0,IF(AND(AS39&gt;0.01,BK39=0),0,IF(AND('Proposed Lighting'!DG39=0,'Lighting Controls'!Z39=0.35),0,IF(AND(T39&lt;=K39,AA39&gt;=AD39,'Proposed Lighting'!AU39=2),VLOOKUP(Q39,$AY$9:$AZ$15,2,FALSE),IF(AND(T39&lt;=K39,AA39&gt;=AD39,'Proposed Lighting'!AU39=3),VLOOKUP(Q39,$AY$17:$AZ$23,2,FALSE))))))))</f>
        <v>0</v>
      </c>
      <c r="AN39" s="1248">
        <f>IF(T39=0,0,IF(K39&gt;'Proposed Lighting'!AA39,0,IF(AE39=0,0,IF(AND(AD39&gt;AA39,AA39&gt;0),0,IF(U39=0,0,Summary!AE342)))))</f>
        <v>0</v>
      </c>
      <c r="AO39" s="1248">
        <f t="shared" si="11"/>
        <v>0</v>
      </c>
      <c r="AP39" s="1249">
        <f>IF('Proposed Lighting'!AU39=1,0,IF(K39=0,0,IF(T39&gt;K39,0,IF(G39=0,0,IF(K39&gt;'Proposed Lighting'!AA39,0,IF(AND(AD39&gt;AA39,AA39&gt;0),0,IF(AND('Proposed Lighting'!AU39=3,AM39=0.5),0,IF(AND(AM39&gt;0,AS39&gt;0,BI39&lt;2),0,IF('Proposed Lighting'!CH39=100,0,IF(AV39=1,0,IF(AND(AM39=35,M39+N39&lt;2),0,AM39)))))))))))</f>
        <v>0</v>
      </c>
      <c r="AQ39" s="1249" t="str">
        <f>IFERROR(ROUND(IF(Q39="","",IF('Proposed Lighting'!$X$4=0,0,IF(AND(AM39=35,M39+N39&lt;2),0,IF(T39&gt;K39,0,IF('Proposed Lighting'!AU39=1,0,IF(AJ39=0,0,IF(AND('Proposed Lighting'!AU39=3,AM39=0.5),0,IF(AND(AD39=75,AP39=0,AV39=0),0,IF(AP39&gt;0.01,AP39*T39,IF(AND(F39&gt;1,W39&lt;0.01),0,IF(AND(F39&gt;1,AO39=0),0,IF(AND('Proposed Lighting'!BC39=22,AV39=0),0,IF(AND(AM39&gt;0,AS39&gt;0,BI39&lt;2),0,IF(AND(AS39&gt;0.01,BK39=0),0,IF(AND(AO39=TRUE,AV39=1,F39=3),MIN(AJ39*0.08,L39),IF(AP39&gt;0.01,AP39*T39,IF(AND(AO39=TRUE,AV39=1,F39=2),MIN(AJ39*0.1,L39)))))))))))))))))),2),"")</f>
        <v/>
      </c>
      <c r="AR39" s="1250">
        <f>IF(Q39=0,0,IF('Proposed Lighting'!$X$4=0,0,IF(AND(AM39&gt;0.01,AQ39&gt;0.01),0,IF('Proposed Lighting'!AU39=1,"Missing Interior or Exterior Selection",IF('Proposed Lighting'!CF39=1,"Selection does not match",IF(K39&gt;'Proposed Lighting'!AA39,"Quantity controlled does not match proposed lighting quantity",IF(T39&gt;K39,"Quantity of sensors exceeds proposed lighting quantity",IF(AND(F39&gt;1,'Proposed Lighting'!AU39&lt;&gt;F39),"Selection does not match",IF(AND(AD39&gt;AA39,AA39&gt;0),"Does not meet minimum connected load",IF(AND(O39&gt;0,AS39&gt;0,BK39&gt;0,'Proposed Lighting'!CH39=0),"Select Control Strategies",IF(AND(AC39&gt;0.1,AJ39=0,AQ39=0),"Does not meet incentive criteria",0)))))))))))</f>
        <v>0</v>
      </c>
      <c r="AS39" s="1224">
        <f>IF('Proposed Lighting'!CH39=100,0,IF(ISNUMBER(SEARCH("multiple",Q39)),1,0))</f>
        <v>0</v>
      </c>
      <c r="AT39" s="451">
        <f t="shared" si="8"/>
        <v>0</v>
      </c>
      <c r="AU39" s="451">
        <f t="shared" si="9"/>
        <v>0</v>
      </c>
      <c r="AV39" s="1222">
        <f>IF(ISNUMBER(SEARCH("Networked",'Proposed Lighting'!T39)),0,IF(ISNUMBER(SEARCH("Strategies",'Proposed Lighting'!T39)),0,IF(ISNUMBER(SEARCH("Removal",'Proposed Lighting'!T39)),0,IF(ISNUMBER(SEARCH("non-standard",Q39)),1,0))))</f>
        <v>0</v>
      </c>
      <c r="AW39" s="451">
        <f t="shared" si="12"/>
        <v>0</v>
      </c>
      <c r="AX39" s="451"/>
      <c r="AY39" s="451"/>
      <c r="AZ39" s="451"/>
      <c r="BA39" s="451"/>
      <c r="BB39" s="451"/>
      <c r="BC39" s="1215"/>
      <c r="BD39" s="1215"/>
      <c r="BE39" s="1215"/>
      <c r="BF39" s="1215"/>
      <c r="BG39" s="1215"/>
      <c r="BH39" s="1215"/>
      <c r="BI39">
        <f>IF(AND(AS39=1,BC39="No",BD39="Yes",BE39="Yes",BF39="No",BH39="No"),0,IF(AND('Proposed Lighting'!AU39=2,AS39=1,BC39="Yes",BD39="Yes"),2,IF(AND('Proposed Lighting'!AU39=2,AS39=1,BC39="Yes",BE39="Yes"),2,IF(AND('Proposed Lighting'!AU39=2,AS39=1,BC39="Yes",BF39="Yes"),2,IF(AND('Proposed Lighting'!AU39=2,AS39=1,BC39="Yes",BH39="Yes"),2,IF(AND('Proposed Lighting'!AU39=2,AS39=1,BD39="Yes",BF39="Yes"),2,IF(AND('Proposed Lighting'!AU39=2,AS39=1,BD39="Yes",BH39="Yes"),2,IF(AND('Proposed Lighting'!AU39=3,AS39=1,BC39="Yes",BE39="Yes"),2,IF(AND('Proposed Lighting'!AU39=3,AS39=1,BC39="Yes",BF39="Yes"),2,0)))))))))</f>
        <v>0</v>
      </c>
      <c r="BJ39" s="1025">
        <f t="shared" si="10"/>
        <v>0</v>
      </c>
      <c r="BK39">
        <f>IF(AND('Proposed Lighting'!BC39=22,'Lighting Controls'!N39=1),0,IF(ISNUMBER(SEARCH("LED",G39)),1,0))</f>
        <v>0</v>
      </c>
    </row>
    <row r="40" spans="1:63" ht="34.5" customHeight="1">
      <c r="A40" s="917">
        <v>32</v>
      </c>
      <c r="B40" s="1828" t="str">
        <f>IF('Proposed Lighting'!B40="","",'Proposed Lighting'!B40)</f>
        <v/>
      </c>
      <c r="C40" s="1828"/>
      <c r="D40" s="1828"/>
      <c r="E40" s="1245">
        <f>'Proposed Lighting'!AA40</f>
        <v>0</v>
      </c>
      <c r="F40" s="1245">
        <f t="shared" si="0"/>
        <v>0</v>
      </c>
      <c r="G40" s="1830" t="str">
        <f>IF('Proposed Lighting'!T40="","",IF(ISNUMBER(SEARCH("Networked",'Proposed Lighting'!T40)),0,IF(ISNUMBER(SEARCH("Strategies",'Proposed Lighting'!T40)),0,IF(ISNUMBER(SEARCH("Removal",'Proposed Lighting'!T40)),0,'Proposed Lighting'!T40))))</f>
        <v/>
      </c>
      <c r="H40" s="1830"/>
      <c r="I40" s="1830"/>
      <c r="J40" s="1830"/>
      <c r="K40" s="1215"/>
      <c r="L40" s="1246">
        <f t="shared" si="1"/>
        <v>0</v>
      </c>
      <c r="M40" s="1224">
        <f t="shared" si="2"/>
        <v>0</v>
      </c>
      <c r="N40" s="1224">
        <f t="shared" si="3"/>
        <v>0</v>
      </c>
      <c r="O40" s="1825" t="str">
        <f>IF(G40=0,0,IF(ISNA('Proposed Lighting'!AT40),0,'Proposed Lighting'!AT40))</f>
        <v/>
      </c>
      <c r="P40" s="1825"/>
      <c r="Q40" s="1247"/>
      <c r="R40" s="1247"/>
      <c r="S40" s="1247"/>
      <c r="T40" s="1211"/>
      <c r="U40" s="1235">
        <f>IF(K40&gt;0.01,'Proposed Lighting'!CU40,0)</f>
        <v>0</v>
      </c>
      <c r="V40" s="1248">
        <f>IF('Proposed Lighting'!CF40=1,0,IF('Proposed Lighting'!AU40=2,0,IF(AND('Proposed Lighting'!AU40=3,'Proposed Lighting'!CF40=0),1,0)))</f>
        <v>0</v>
      </c>
      <c r="W40" s="1836"/>
      <c r="X40" s="1836"/>
      <c r="Y40" s="1836"/>
      <c r="Z40" s="1230" t="str">
        <f t="shared" si="4"/>
        <v/>
      </c>
      <c r="AA40" s="1230">
        <f t="shared" si="5"/>
        <v>0</v>
      </c>
      <c r="AB40" s="1230">
        <f>IF(Q40=0,0,IF(T40=0,0,IF(AA40=0,0,IF(AND(F40=3,V40=0),0,IF(T40=0,0,IF(K40&gt;'Proposed Lighting'!AA40,0,IF('Proposed Lighting'!EJ40&gt;0.01,(K40*O40)*'Proposed Lighting'!EJ40/1000,(K40*O40)*U40/1000)))))))</f>
        <v>0</v>
      </c>
      <c r="AC40" s="1230" t="str">
        <f t="shared" si="6"/>
        <v/>
      </c>
      <c r="AD40" s="1230">
        <f t="shared" si="7"/>
        <v>0</v>
      </c>
      <c r="AE40" s="1230">
        <f>IF(T40=0,0,IF(K40&gt;'Proposed Lighting'!AA40,0,IF(T40&gt;K40,0,IF(AND(AD40&gt;AA40,AA40&gt;0),0,IF(AND(F40&gt;1,W40&lt;0.01),0,IF('Proposed Lighting'!AU40&gt;'Lighting Controls'!F40,0,IF('Proposed Lighting'!AU40&lt;'Lighting Controls'!F40,0,IF(U40=0,0,Summary!AC343))))))))</f>
        <v>0</v>
      </c>
      <c r="AF40" s="1230">
        <f>IF(T40=0,0,IF(AE40=0,0,IF(K40&gt;'Proposed Lighting'!AA40,0,IF(AND(AD40&gt;AA40,AA40&gt;0),0,IF(U40=0,0,Summary!AD343)))))</f>
        <v>0</v>
      </c>
      <c r="AG40" s="1834">
        <f>IF('Proposed Lighting'!AU40=1,0,IF('Proposed Lighting'!CF40=1,0,T40*W40))</f>
        <v>0</v>
      </c>
      <c r="AH40" s="1834"/>
      <c r="AI40" s="1834"/>
      <c r="AJ40" s="1835">
        <f>IF(T40&lt;1,0,IF(K40&gt;'Proposed Lighting'!AA40,0,IF('Proposed Lighting'!CF40=1,0,IF('Proposed Lighting'!AU40=1,0,IF(T40&gt;K40,0,IF(AND(AD40&gt;AA40,AA40&gt;0),0,IF(AND(F40=2,'Proposed Lighting'!AU40=3),0,IF(AND(F40=3,'Proposed Lighting'!AU40=2),0,IF('Proposed Lighting'!CH40=100,0,IF(AND(F40&lt;3,V40=1,AM40=0),0,IF(AND(F40&gt;1,AF40&lt;1,AN40&lt;1),0,IF(AND(F40&gt;1,AE40&lt;0.69,AF40&lt;1,AN40&lt;1),0,IF(ISERROR(AB40-AC40),"",AB40-AC40)))))))))))))</f>
        <v>0</v>
      </c>
      <c r="AK40" s="1835"/>
      <c r="AL40" s="1835"/>
      <c r="AM40" s="1216">
        <f>IF(Q40=0,0,IF(T40=0,0,IF(T40&gt;K40,0,IF(AND(AS40&gt;0.01,BK40=0),0,IF(AND('Proposed Lighting'!DG40=0,'Lighting Controls'!Z40=0.35),0,IF(AND(T40&lt;=K40,AA40&gt;=AD40,'Proposed Lighting'!AU40=2),VLOOKUP(Q40,$AY$9:$AZ$15,2,FALSE),IF(AND(T40&lt;=K40,AA40&gt;=AD40,'Proposed Lighting'!AU40=3),VLOOKUP(Q40,$AY$17:$AZ$23,2,FALSE))))))))</f>
        <v>0</v>
      </c>
      <c r="AN40" s="1248">
        <f>IF(T40=0,0,IF(K40&gt;'Proposed Lighting'!AA40,0,IF(AE40=0,0,IF(AND(AD40&gt;AA40,AA40&gt;0),0,IF(U40=0,0,Summary!AE343)))))</f>
        <v>0</v>
      </c>
      <c r="AO40" s="1248">
        <f t="shared" si="11"/>
        <v>0</v>
      </c>
      <c r="AP40" s="1249">
        <f>IF('Proposed Lighting'!AU40=1,0,IF(K40=0,0,IF(T40&gt;K40,0,IF(G40=0,0,IF(K40&gt;'Proposed Lighting'!AA40,0,IF(AND(AD40&gt;AA40,AA40&gt;0),0,IF(AND('Proposed Lighting'!AU40=3,AM40=0.5),0,IF(AND(AM40&gt;0,AS40&gt;0,BI40&lt;2),0,IF('Proposed Lighting'!CH40=100,0,IF(AV40=1,0,IF(AND(AM40=35,M40+N40&lt;2),0,AM40)))))))))))</f>
        <v>0</v>
      </c>
      <c r="AQ40" s="1249" t="str">
        <f>IFERROR(ROUND(IF(Q40="","",IF('Proposed Lighting'!$X$4=0,0,IF(AND(AM40=35,M40+N40&lt;2),0,IF(T40&gt;K40,0,IF('Proposed Lighting'!AU40=1,0,IF(AJ40=0,0,IF(AND('Proposed Lighting'!AU40=3,AM40=0.5),0,IF(AND(AD40=75,AP40=0,AV40=0),0,IF(AP40&gt;0.01,AP40*T40,IF(AND(F40&gt;1,W40&lt;0.01),0,IF(AND(F40&gt;1,AO40=0),0,IF(AND('Proposed Lighting'!BC40=22,AV40=0),0,IF(AND(AM40&gt;0,AS40&gt;0,BI40&lt;2),0,IF(AND(AS40&gt;0.01,BK40=0),0,IF(AND(AO40=TRUE,AV40=1,F40=3),MIN(AJ40*0.08,L40),IF(AP40&gt;0.01,AP40*T40,IF(AND(AO40=TRUE,AV40=1,F40=2),MIN(AJ40*0.1,L40)))))))))))))))))),2),"")</f>
        <v/>
      </c>
      <c r="AR40" s="1250">
        <f>IF(Q40=0,0,IF('Proposed Lighting'!$X$4=0,0,IF(AND(AM40&gt;0.01,AQ40&gt;0.01),0,IF('Proposed Lighting'!AU40=1,"Missing Interior or Exterior Selection",IF('Proposed Lighting'!CF40=1,"Selection does not match",IF(K40&gt;'Proposed Lighting'!AA40,"Quantity controlled does not match proposed lighting quantity",IF(T40&gt;K40,"Quantity of sensors exceeds proposed lighting quantity",IF(AND(F40&gt;1,'Proposed Lighting'!AU40&lt;&gt;F40),"Selection does not match",IF(AND(AD40&gt;AA40,AA40&gt;0),"Does not meet minimum connected load",IF(AND(O40&gt;0,AS40&gt;0,BK40&gt;0,'Proposed Lighting'!CH40=0),"Select Control Strategies",IF(AND(AC40&gt;0.1,AJ40=0,AQ40=0),"Does not meet incentive criteria",0)))))))))))</f>
        <v>0</v>
      </c>
      <c r="AS40" s="1224">
        <f>IF('Proposed Lighting'!CH40=100,0,IF(ISNUMBER(SEARCH("multiple",Q40)),1,0))</f>
        <v>0</v>
      </c>
      <c r="AT40" s="451">
        <f t="shared" si="8"/>
        <v>0</v>
      </c>
      <c r="AU40" s="451">
        <f t="shared" si="9"/>
        <v>0</v>
      </c>
      <c r="AV40" s="1222">
        <f>IF(ISNUMBER(SEARCH("Networked",'Proposed Lighting'!T40)),0,IF(ISNUMBER(SEARCH("Strategies",'Proposed Lighting'!T40)),0,IF(ISNUMBER(SEARCH("Removal",'Proposed Lighting'!T40)),0,IF(ISNUMBER(SEARCH("non-standard",Q40)),1,0))))</f>
        <v>0</v>
      </c>
      <c r="AW40" s="451">
        <f t="shared" si="12"/>
        <v>0</v>
      </c>
      <c r="AX40" s="451"/>
      <c r="AY40" s="451"/>
      <c r="AZ40" s="451"/>
      <c r="BA40" s="451"/>
      <c r="BB40" s="451"/>
      <c r="BC40" s="1215"/>
      <c r="BD40" s="1215"/>
      <c r="BE40" s="1215"/>
      <c r="BF40" s="1215"/>
      <c r="BG40" s="1215"/>
      <c r="BH40" s="1215"/>
      <c r="BI40">
        <f>IF(AND(AS40=1,BC40="No",BD40="Yes",BE40="Yes",BF40="No",BH40="No"),0,IF(AND('Proposed Lighting'!AU40=2,AS40=1,BC40="Yes",BD40="Yes"),2,IF(AND('Proposed Lighting'!AU40=2,AS40=1,BC40="Yes",BE40="Yes"),2,IF(AND('Proposed Lighting'!AU40=2,AS40=1,BC40="Yes",BF40="Yes"),2,IF(AND('Proposed Lighting'!AU40=2,AS40=1,BC40="Yes",BH40="Yes"),2,IF(AND('Proposed Lighting'!AU40=2,AS40=1,BD40="Yes",BF40="Yes"),2,IF(AND('Proposed Lighting'!AU40=2,AS40=1,BD40="Yes",BH40="Yes"),2,IF(AND('Proposed Lighting'!AU40=3,AS40=1,BC40="Yes",BE40="Yes"),2,IF(AND('Proposed Lighting'!AU40=3,AS40=1,BC40="Yes",BF40="Yes"),2,0)))))))))</f>
        <v>0</v>
      </c>
      <c r="BJ40" s="1025">
        <f t="shared" si="10"/>
        <v>0</v>
      </c>
      <c r="BK40">
        <f>IF(AND('Proposed Lighting'!BC40=22,'Lighting Controls'!N40=1),0,IF(ISNUMBER(SEARCH("LED",G40)),1,0))</f>
        <v>0</v>
      </c>
    </row>
    <row r="41" spans="1:63" ht="34.5" customHeight="1">
      <c r="A41" s="917">
        <v>33</v>
      </c>
      <c r="B41" s="1828" t="str">
        <f>IF('Proposed Lighting'!B41="","",'Proposed Lighting'!B41)</f>
        <v/>
      </c>
      <c r="C41" s="1828"/>
      <c r="D41" s="1828"/>
      <c r="E41" s="1245">
        <f>'Proposed Lighting'!AA41</f>
        <v>0</v>
      </c>
      <c r="F41" s="1245">
        <f t="shared" si="0"/>
        <v>0</v>
      </c>
      <c r="G41" s="1830" t="str">
        <f>IF('Proposed Lighting'!T41="","",IF(ISNUMBER(SEARCH("Networked",'Proposed Lighting'!T41)),0,IF(ISNUMBER(SEARCH("Strategies",'Proposed Lighting'!T41)),0,IF(ISNUMBER(SEARCH("Removal",'Proposed Lighting'!T41)),0,'Proposed Lighting'!T41))))</f>
        <v/>
      </c>
      <c r="H41" s="1830"/>
      <c r="I41" s="1830"/>
      <c r="J41" s="1830"/>
      <c r="K41" s="1215"/>
      <c r="L41" s="1246">
        <f t="shared" si="1"/>
        <v>0</v>
      </c>
      <c r="M41" s="1224">
        <f t="shared" si="2"/>
        <v>0</v>
      </c>
      <c r="N41" s="1224">
        <f t="shared" si="3"/>
        <v>0</v>
      </c>
      <c r="O41" s="1825" t="str">
        <f>IF(G41=0,0,IF(ISNA('Proposed Lighting'!AT41),0,'Proposed Lighting'!AT41))</f>
        <v/>
      </c>
      <c r="P41" s="1825"/>
      <c r="Q41" s="1247"/>
      <c r="R41" s="1247"/>
      <c r="S41" s="1247"/>
      <c r="T41" s="1211"/>
      <c r="U41" s="1235">
        <f>IF(K41&gt;0.01,'Proposed Lighting'!CU41,0)</f>
        <v>0</v>
      </c>
      <c r="V41" s="1248">
        <f>IF('Proposed Lighting'!CF41=1,0,IF('Proposed Lighting'!AU41=2,0,IF(AND('Proposed Lighting'!AU41=3,'Proposed Lighting'!CF41=0),1,0)))</f>
        <v>0</v>
      </c>
      <c r="W41" s="1836"/>
      <c r="X41" s="1836"/>
      <c r="Y41" s="1836"/>
      <c r="Z41" s="1230" t="str">
        <f t="shared" si="4"/>
        <v/>
      </c>
      <c r="AA41" s="1230">
        <f t="shared" si="5"/>
        <v>0</v>
      </c>
      <c r="AB41" s="1230">
        <f>IF(Q41=0,0,IF(T41=0,0,IF(AA41=0,0,IF(AND(F41=3,V41=0),0,IF(T41=0,0,IF(K41&gt;'Proposed Lighting'!AA41,0,IF('Proposed Lighting'!EJ41&gt;0.01,(K41*O41)*'Proposed Lighting'!EJ41/1000,(K41*O41)*U41/1000)))))))</f>
        <v>0</v>
      </c>
      <c r="AC41" s="1230" t="str">
        <f t="shared" si="6"/>
        <v/>
      </c>
      <c r="AD41" s="1230">
        <f t="shared" si="7"/>
        <v>0</v>
      </c>
      <c r="AE41" s="1230">
        <f>IF(T41=0,0,IF(K41&gt;'Proposed Lighting'!AA41,0,IF(T41&gt;K41,0,IF(AND(AD41&gt;AA41,AA41&gt;0),0,IF(AND(F41&gt;1,W41&lt;0.01),0,IF('Proposed Lighting'!AU41&gt;'Lighting Controls'!F41,0,IF('Proposed Lighting'!AU41&lt;'Lighting Controls'!F41,0,IF(U41=0,0,Summary!AC344))))))))</f>
        <v>0</v>
      </c>
      <c r="AF41" s="1230">
        <f>IF(T41=0,0,IF(AE41=0,0,IF(K41&gt;'Proposed Lighting'!AA41,0,IF(AND(AD41&gt;AA41,AA41&gt;0),0,IF(U41=0,0,Summary!AD344)))))</f>
        <v>0</v>
      </c>
      <c r="AG41" s="1834">
        <f>IF('Proposed Lighting'!AU41=1,0,IF('Proposed Lighting'!CF41=1,0,T41*W41))</f>
        <v>0</v>
      </c>
      <c r="AH41" s="1834"/>
      <c r="AI41" s="1834"/>
      <c r="AJ41" s="1835">
        <f>IF(T41&lt;1,0,IF(K41&gt;'Proposed Lighting'!AA41,0,IF('Proposed Lighting'!CF41=1,0,IF('Proposed Lighting'!AU41=1,0,IF(T41&gt;K41,0,IF(AND(AD41&gt;AA41,AA41&gt;0),0,IF(AND(F41=2,'Proposed Lighting'!AU41=3),0,IF(AND(F41=3,'Proposed Lighting'!AU41=2),0,IF('Proposed Lighting'!CH41=100,0,IF(AND(F41&lt;3,V41=1,AM41=0),0,IF(AND(F41&gt;1,AF41&lt;1,AN41&lt;1),0,IF(AND(F41&gt;1,AE41&lt;0.69,AF41&lt;1,AN41&lt;1),0,IF(ISERROR(AB41-AC41),"",AB41-AC41)))))))))))))</f>
        <v>0</v>
      </c>
      <c r="AK41" s="1835"/>
      <c r="AL41" s="1835"/>
      <c r="AM41" s="1216">
        <f>IF(Q41=0,0,IF(T41=0,0,IF(T41&gt;K41,0,IF(AND(AS41&gt;0.01,BK41=0),0,IF(AND('Proposed Lighting'!DG41=0,'Lighting Controls'!Z41=0.35),0,IF(AND(T41&lt;=K41,AA41&gt;=AD41,'Proposed Lighting'!AU41=2),VLOOKUP(Q41,$AY$9:$AZ$15,2,FALSE),IF(AND(T41&lt;=K41,AA41&gt;=AD41,'Proposed Lighting'!AU41=3),VLOOKUP(Q41,$AY$17:$AZ$23,2,FALSE))))))))</f>
        <v>0</v>
      </c>
      <c r="AN41" s="1248">
        <f>IF(T41=0,0,IF(K41&gt;'Proposed Lighting'!AA41,0,IF(AE41=0,0,IF(AND(AD41&gt;AA41,AA41&gt;0),0,IF(U41=0,0,Summary!AE344)))))</f>
        <v>0</v>
      </c>
      <c r="AO41" s="1248">
        <f t="shared" si="11"/>
        <v>0</v>
      </c>
      <c r="AP41" s="1249">
        <f>IF('Proposed Lighting'!AU41=1,0,IF(K41=0,0,IF(T41&gt;K41,0,IF(G41=0,0,IF(K41&gt;'Proposed Lighting'!AA41,0,IF(AND(AD41&gt;AA41,AA41&gt;0),0,IF(AND('Proposed Lighting'!AU41=3,AM41=0.5),0,IF(AND(AM41&gt;0,AS41&gt;0,BI41&lt;2),0,IF('Proposed Lighting'!CH41=100,0,IF(AV41=1,0,IF(AND(AM41=35,M41+N41&lt;2),0,AM41)))))))))))</f>
        <v>0</v>
      </c>
      <c r="AQ41" s="1249" t="str">
        <f>IFERROR(ROUND(IF(Q41="","",IF('Proposed Lighting'!$X$4=0,0,IF(AND(AM41=35,M41+N41&lt;2),0,IF(T41&gt;K41,0,IF('Proposed Lighting'!AU41=1,0,IF(AJ41=0,0,IF(AND('Proposed Lighting'!AU41=3,AM41=0.5),0,IF(AND(AD41=75,AP41=0,AV41=0),0,IF(AP41&gt;0.01,AP41*T41,IF(AND(F41&gt;1,W41&lt;0.01),0,IF(AND(F41&gt;1,AO41=0),0,IF(AND('Proposed Lighting'!BC41=22,AV41=0),0,IF(AND(AM41&gt;0,AS41&gt;0,BI41&lt;2),0,IF(AND(AS41&gt;0.01,BK41=0),0,IF(AND(AO41=TRUE,AV41=1,F41=3),MIN(AJ41*0.08,L41),IF(AP41&gt;0.01,AP41*T41,IF(AND(AO41=TRUE,AV41=1,F41=2),MIN(AJ41*0.1,L41)))))))))))))))))),2),"")</f>
        <v/>
      </c>
      <c r="AR41" s="1250">
        <f>IF(Q41=0,0,IF('Proposed Lighting'!$X$4=0,0,IF(AND(AM41&gt;0.01,AQ41&gt;0.01),0,IF('Proposed Lighting'!AU41=1,"Missing Interior or Exterior Selection",IF('Proposed Lighting'!CF41=1,"Selection does not match",IF(K41&gt;'Proposed Lighting'!AA41,"Quantity controlled does not match proposed lighting quantity",IF(T41&gt;K41,"Quantity of sensors exceeds proposed lighting quantity",IF(AND(F41&gt;1,'Proposed Lighting'!AU41&lt;&gt;F41),"Selection does not match",IF(AND(AD41&gt;AA41,AA41&gt;0),"Does not meet minimum connected load",IF(AND(O41&gt;0,AS41&gt;0,BK41&gt;0,'Proposed Lighting'!CH41=0),"Select Control Strategies",IF(AND(AC41&gt;0.1,AJ41=0,AQ41=0),"Does not meet incentive criteria",0)))))))))))</f>
        <v>0</v>
      </c>
      <c r="AS41" s="1224">
        <f>IF('Proposed Lighting'!CH41=100,0,IF(ISNUMBER(SEARCH("multiple",Q41)),1,0))</f>
        <v>0</v>
      </c>
      <c r="AT41" s="451">
        <f t="shared" si="8"/>
        <v>0</v>
      </c>
      <c r="AU41" s="451">
        <f t="shared" si="9"/>
        <v>0</v>
      </c>
      <c r="AV41" s="1222">
        <f>IF(ISNUMBER(SEARCH("Networked",'Proposed Lighting'!T41)),0,IF(ISNUMBER(SEARCH("Strategies",'Proposed Lighting'!T41)),0,IF(ISNUMBER(SEARCH("Removal",'Proposed Lighting'!T41)),0,IF(ISNUMBER(SEARCH("non-standard",Q41)),1,0))))</f>
        <v>0</v>
      </c>
      <c r="AW41" s="451">
        <f t="shared" si="12"/>
        <v>0</v>
      </c>
      <c r="AX41" s="451"/>
      <c r="AY41" s="451"/>
      <c r="AZ41" s="451"/>
      <c r="BA41" s="451"/>
      <c r="BB41" s="451"/>
      <c r="BC41" s="1215"/>
      <c r="BD41" s="1215"/>
      <c r="BE41" s="1215"/>
      <c r="BF41" s="1215"/>
      <c r="BG41" s="1215"/>
      <c r="BH41" s="1215"/>
      <c r="BI41">
        <f>IF(AND(AS41=1,BC41="No",BD41="Yes",BE41="Yes",BF41="No",BH41="No"),0,IF(AND('Proposed Lighting'!AU41=2,AS41=1,BC41="Yes",BD41="Yes"),2,IF(AND('Proposed Lighting'!AU41=2,AS41=1,BC41="Yes",BE41="Yes"),2,IF(AND('Proposed Lighting'!AU41=2,AS41=1,BC41="Yes",BF41="Yes"),2,IF(AND('Proposed Lighting'!AU41=2,AS41=1,BC41="Yes",BH41="Yes"),2,IF(AND('Proposed Lighting'!AU41=2,AS41=1,BD41="Yes",BF41="Yes"),2,IF(AND('Proposed Lighting'!AU41=2,AS41=1,BD41="Yes",BH41="Yes"),2,IF(AND('Proposed Lighting'!AU41=3,AS41=1,BC41="Yes",BE41="Yes"),2,IF(AND('Proposed Lighting'!AU41=3,AS41=1,BC41="Yes",BF41="Yes"),2,0)))))))))</f>
        <v>0</v>
      </c>
      <c r="BJ41" s="1025">
        <f t="shared" si="10"/>
        <v>0</v>
      </c>
      <c r="BK41">
        <f>IF(AND('Proposed Lighting'!BC41=22,'Lighting Controls'!N41=1),0,IF(ISNUMBER(SEARCH("LED",G41)),1,0))</f>
        <v>0</v>
      </c>
    </row>
    <row r="42" spans="1:63" ht="34.5" customHeight="1">
      <c r="A42" s="917">
        <v>34</v>
      </c>
      <c r="B42" s="1828" t="str">
        <f>IF('Proposed Lighting'!B42="","",'Proposed Lighting'!B42)</f>
        <v/>
      </c>
      <c r="C42" s="1828"/>
      <c r="D42" s="1828"/>
      <c r="E42" s="1245">
        <f>'Proposed Lighting'!AA42</f>
        <v>0</v>
      </c>
      <c r="F42" s="1245">
        <f t="shared" si="0"/>
        <v>0</v>
      </c>
      <c r="G42" s="1830" t="str">
        <f>IF('Proposed Lighting'!T42="","",IF(ISNUMBER(SEARCH("Networked",'Proposed Lighting'!T42)),0,IF(ISNUMBER(SEARCH("Strategies",'Proposed Lighting'!T42)),0,IF(ISNUMBER(SEARCH("Removal",'Proposed Lighting'!T42)),0,'Proposed Lighting'!T42))))</f>
        <v/>
      </c>
      <c r="H42" s="1830"/>
      <c r="I42" s="1830"/>
      <c r="J42" s="1830"/>
      <c r="K42" s="1215"/>
      <c r="L42" s="1246">
        <f t="shared" si="1"/>
        <v>0</v>
      </c>
      <c r="M42" s="1224">
        <f t="shared" si="2"/>
        <v>0</v>
      </c>
      <c r="N42" s="1224">
        <f t="shared" si="3"/>
        <v>0</v>
      </c>
      <c r="O42" s="1825" t="str">
        <f>IF(G42=0,0,IF(ISNA('Proposed Lighting'!AT42),0,'Proposed Lighting'!AT42))</f>
        <v/>
      </c>
      <c r="P42" s="1825"/>
      <c r="Q42" s="1247"/>
      <c r="R42" s="1247"/>
      <c r="S42" s="1247"/>
      <c r="T42" s="1211"/>
      <c r="U42" s="1235">
        <f>IF(K42&gt;0.01,'Proposed Lighting'!CU42,0)</f>
        <v>0</v>
      </c>
      <c r="V42" s="1248">
        <f>IF('Proposed Lighting'!CF42=1,0,IF('Proposed Lighting'!AU42=2,0,IF(AND('Proposed Lighting'!AU42=3,'Proposed Lighting'!CF42=0),1,0)))</f>
        <v>0</v>
      </c>
      <c r="W42" s="1836"/>
      <c r="X42" s="1836"/>
      <c r="Y42" s="1836"/>
      <c r="Z42" s="1230" t="str">
        <f t="shared" si="4"/>
        <v/>
      </c>
      <c r="AA42" s="1230">
        <f t="shared" si="5"/>
        <v>0</v>
      </c>
      <c r="AB42" s="1230">
        <f>IF(Q42=0,0,IF(T42=0,0,IF(AA42=0,0,IF(AND(F42=3,V42=0),0,IF(T42=0,0,IF(K42&gt;'Proposed Lighting'!AA42,0,IF('Proposed Lighting'!EJ42&gt;0.01,(K42*O42)*'Proposed Lighting'!EJ42/1000,(K42*O42)*U42/1000)))))))</f>
        <v>0</v>
      </c>
      <c r="AC42" s="1230" t="str">
        <f t="shared" si="6"/>
        <v/>
      </c>
      <c r="AD42" s="1230">
        <f t="shared" si="7"/>
        <v>0</v>
      </c>
      <c r="AE42" s="1230">
        <f>IF(T42=0,0,IF(K42&gt;'Proposed Lighting'!AA42,0,IF(T42&gt;K42,0,IF(AND(AD42&gt;AA42,AA42&gt;0),0,IF(AND(F42&gt;1,W42&lt;0.01),0,IF('Proposed Lighting'!AU42&gt;'Lighting Controls'!F42,0,IF('Proposed Lighting'!AU42&lt;'Lighting Controls'!F42,0,IF(U42=0,0,Summary!AC345))))))))</f>
        <v>0</v>
      </c>
      <c r="AF42" s="1230">
        <f>IF(T42=0,0,IF(AE42=0,0,IF(K42&gt;'Proposed Lighting'!AA42,0,IF(AND(AD42&gt;AA42,AA42&gt;0),0,IF(U42=0,0,Summary!AD345)))))</f>
        <v>0</v>
      </c>
      <c r="AG42" s="1834">
        <f>IF('Proposed Lighting'!AU42=1,0,IF('Proposed Lighting'!CF42=1,0,T42*W42))</f>
        <v>0</v>
      </c>
      <c r="AH42" s="1834"/>
      <c r="AI42" s="1834"/>
      <c r="AJ42" s="1835">
        <f>IF(T42&lt;1,0,IF(K42&gt;'Proposed Lighting'!AA42,0,IF('Proposed Lighting'!CF42=1,0,IF('Proposed Lighting'!AU42=1,0,IF(T42&gt;K42,0,IF(AND(AD42&gt;AA42,AA42&gt;0),0,IF(AND(F42=2,'Proposed Lighting'!AU42=3),0,IF(AND(F42=3,'Proposed Lighting'!AU42=2),0,IF('Proposed Lighting'!CH42=100,0,IF(AND(F42&lt;3,V42=1,AM42=0),0,IF(AND(F42&gt;1,AF42&lt;1,AN42&lt;1),0,IF(AND(F42&gt;1,AE42&lt;0.69,AF42&lt;1,AN42&lt;1),0,IF(ISERROR(AB42-AC42),"",AB42-AC42)))))))))))))</f>
        <v>0</v>
      </c>
      <c r="AK42" s="1835"/>
      <c r="AL42" s="1835"/>
      <c r="AM42" s="1216">
        <f>IF(Q42=0,0,IF(T42=0,0,IF(T42&gt;K42,0,IF(AND(AS42&gt;0.01,BK42=0),0,IF(AND('Proposed Lighting'!DG42=0,'Lighting Controls'!Z42=0.35),0,IF(AND(T42&lt;=K42,AA42&gt;=AD42,'Proposed Lighting'!AU42=2),VLOOKUP(Q42,$AY$9:$AZ$15,2,FALSE),IF(AND(T42&lt;=K42,AA42&gt;=AD42,'Proposed Lighting'!AU42=3),VLOOKUP(Q42,$AY$17:$AZ$23,2,FALSE))))))))</f>
        <v>0</v>
      </c>
      <c r="AN42" s="1248">
        <f>IF(T42=0,0,IF(K42&gt;'Proposed Lighting'!AA42,0,IF(AE42=0,0,IF(AND(AD42&gt;AA42,AA42&gt;0),0,IF(U42=0,0,Summary!AE345)))))</f>
        <v>0</v>
      </c>
      <c r="AO42" s="1248">
        <f t="shared" si="11"/>
        <v>0</v>
      </c>
      <c r="AP42" s="1249">
        <f>IF('Proposed Lighting'!AU42=1,0,IF(K42=0,0,IF(T42&gt;K42,0,IF(G42=0,0,IF(K42&gt;'Proposed Lighting'!AA42,0,IF(AND(AD42&gt;AA42,AA42&gt;0),0,IF(AND('Proposed Lighting'!AU42=3,AM42=0.5),0,IF(AND(AM42&gt;0,AS42&gt;0,BI42&lt;2),0,IF('Proposed Lighting'!CH42=100,0,IF(AV42=1,0,IF(AND(AM42=35,M42+N42&lt;2),0,AM42)))))))))))</f>
        <v>0</v>
      </c>
      <c r="AQ42" s="1249" t="str">
        <f>IFERROR(ROUND(IF(Q42="","",IF('Proposed Lighting'!$X$4=0,0,IF(AND(AM42=35,M42+N42&lt;2),0,IF(T42&gt;K42,0,IF('Proposed Lighting'!AU42=1,0,IF(AJ42=0,0,IF(AND('Proposed Lighting'!AU42=3,AM42=0.5),0,IF(AND(AD42=75,AP42=0,AV42=0),0,IF(AP42&gt;0.01,AP42*T42,IF(AND(F42&gt;1,W42&lt;0.01),0,IF(AND(F42&gt;1,AO42=0),0,IF(AND('Proposed Lighting'!BC42=22,AV42=0),0,IF(AND(AM42&gt;0,AS42&gt;0,BI42&lt;2),0,IF(AND(AS42&gt;0.01,BK42=0),0,IF(AND(AO42=TRUE,AV42=1,F42=3),MIN(AJ42*0.08,L42),IF(AP42&gt;0.01,AP42*T42,IF(AND(AO42=TRUE,AV42=1,F42=2),MIN(AJ42*0.1,L42)))))))))))))))))),2),"")</f>
        <v/>
      </c>
      <c r="AR42" s="1250">
        <f>IF(Q42=0,0,IF('Proposed Lighting'!$X$4=0,0,IF(AND(AM42&gt;0.01,AQ42&gt;0.01),0,IF('Proposed Lighting'!AU42=1,"Missing Interior or Exterior Selection",IF('Proposed Lighting'!CF42=1,"Selection does not match",IF(K42&gt;'Proposed Lighting'!AA42,"Quantity controlled does not match proposed lighting quantity",IF(T42&gt;K42,"Quantity of sensors exceeds proposed lighting quantity",IF(AND(F42&gt;1,'Proposed Lighting'!AU42&lt;&gt;F42),"Selection does not match",IF(AND(AD42&gt;AA42,AA42&gt;0),"Does not meet minimum connected load",IF(AND(O42&gt;0,AS42&gt;0,BK42&gt;0,'Proposed Lighting'!CH42=0),"Select Control Strategies",IF(AND(AC42&gt;0.1,AJ42=0,AQ42=0),"Does not meet incentive criteria",0)))))))))))</f>
        <v>0</v>
      </c>
      <c r="AS42" s="1224">
        <f>IF('Proposed Lighting'!CH42=100,0,IF(ISNUMBER(SEARCH("multiple",Q42)),1,0))</f>
        <v>0</v>
      </c>
      <c r="AT42" s="451">
        <f t="shared" si="8"/>
        <v>0</v>
      </c>
      <c r="AU42" s="451">
        <f t="shared" si="9"/>
        <v>0</v>
      </c>
      <c r="AV42" s="1222">
        <f>IF(ISNUMBER(SEARCH("Networked",'Proposed Lighting'!T42)),0,IF(ISNUMBER(SEARCH("Strategies",'Proposed Lighting'!T42)),0,IF(ISNUMBER(SEARCH("Removal",'Proposed Lighting'!T42)),0,IF(ISNUMBER(SEARCH("non-standard",Q42)),1,0))))</f>
        <v>0</v>
      </c>
      <c r="AW42" s="451">
        <f t="shared" si="12"/>
        <v>0</v>
      </c>
      <c r="AX42" s="451"/>
      <c r="AY42" s="451"/>
      <c r="AZ42" s="451"/>
      <c r="BA42" s="451"/>
      <c r="BB42" s="451"/>
      <c r="BC42" s="1215"/>
      <c r="BD42" s="1215"/>
      <c r="BE42" s="1215"/>
      <c r="BF42" s="1215"/>
      <c r="BG42" s="1215"/>
      <c r="BH42" s="1215"/>
      <c r="BI42">
        <f>IF(AND(AS42=1,BC42="No",BD42="Yes",BE42="Yes",BF42="No",BH42="No"),0,IF(AND('Proposed Lighting'!AU42=2,AS42=1,BC42="Yes",BD42="Yes"),2,IF(AND('Proposed Lighting'!AU42=2,AS42=1,BC42="Yes",BE42="Yes"),2,IF(AND('Proposed Lighting'!AU42=2,AS42=1,BC42="Yes",BF42="Yes"),2,IF(AND('Proposed Lighting'!AU42=2,AS42=1,BC42="Yes",BH42="Yes"),2,IF(AND('Proposed Lighting'!AU42=2,AS42=1,BD42="Yes",BF42="Yes"),2,IF(AND('Proposed Lighting'!AU42=2,AS42=1,BD42="Yes",BH42="Yes"),2,IF(AND('Proposed Lighting'!AU42=3,AS42=1,BC42="Yes",BE42="Yes"),2,IF(AND('Proposed Lighting'!AU42=3,AS42=1,BC42="Yes",BF42="Yes"),2,0)))))))))</f>
        <v>0</v>
      </c>
      <c r="BJ42" s="1025">
        <f t="shared" si="10"/>
        <v>0</v>
      </c>
      <c r="BK42">
        <f>IF(AND('Proposed Lighting'!BC42=22,'Lighting Controls'!N42=1),0,IF(ISNUMBER(SEARCH("LED",G42)),1,0))</f>
        <v>0</v>
      </c>
    </row>
    <row r="43" spans="1:63" ht="34.5" customHeight="1">
      <c r="A43" s="917">
        <v>35</v>
      </c>
      <c r="B43" s="1828" t="str">
        <f>IF('Proposed Lighting'!B43="","",'Proposed Lighting'!B43)</f>
        <v/>
      </c>
      <c r="C43" s="1828"/>
      <c r="D43" s="1828"/>
      <c r="E43" s="1245">
        <f>'Proposed Lighting'!AA43</f>
        <v>0</v>
      </c>
      <c r="F43" s="1245">
        <f t="shared" si="0"/>
        <v>0</v>
      </c>
      <c r="G43" s="1830" t="str">
        <f>IF('Proposed Lighting'!T43="","",IF(ISNUMBER(SEARCH("Networked",'Proposed Lighting'!T43)),0,IF(ISNUMBER(SEARCH("Strategies",'Proposed Lighting'!T43)),0,IF(ISNUMBER(SEARCH("Removal",'Proposed Lighting'!T43)),0,'Proposed Lighting'!T43))))</f>
        <v/>
      </c>
      <c r="H43" s="1830"/>
      <c r="I43" s="1830"/>
      <c r="J43" s="1830"/>
      <c r="K43" s="1215"/>
      <c r="L43" s="1246">
        <f t="shared" si="1"/>
        <v>0</v>
      </c>
      <c r="M43" s="1224">
        <f t="shared" si="2"/>
        <v>0</v>
      </c>
      <c r="N43" s="1224">
        <f t="shared" si="3"/>
        <v>0</v>
      </c>
      <c r="O43" s="1825" t="str">
        <f>IF(G43=0,0,IF(ISNA('Proposed Lighting'!AT43),0,'Proposed Lighting'!AT43))</f>
        <v/>
      </c>
      <c r="P43" s="1825"/>
      <c r="Q43" s="1247"/>
      <c r="R43" s="1247"/>
      <c r="S43" s="1247"/>
      <c r="T43" s="1211"/>
      <c r="U43" s="1235">
        <f>IF(K43&gt;0.01,'Proposed Lighting'!CU43,0)</f>
        <v>0</v>
      </c>
      <c r="V43" s="1248">
        <f>IF('Proposed Lighting'!CF43=1,0,IF('Proposed Lighting'!AU43=2,0,IF(AND('Proposed Lighting'!AU43=3,'Proposed Lighting'!CF43=0),1,0)))</f>
        <v>0</v>
      </c>
      <c r="W43" s="1836"/>
      <c r="X43" s="1836"/>
      <c r="Y43" s="1836"/>
      <c r="Z43" s="1230" t="str">
        <f t="shared" si="4"/>
        <v/>
      </c>
      <c r="AA43" s="1230">
        <f t="shared" si="5"/>
        <v>0</v>
      </c>
      <c r="AB43" s="1230">
        <f>IF(Q43=0,0,IF(T43=0,0,IF(AA43=0,0,IF(AND(F43=3,V43=0),0,IF(T43=0,0,IF(K43&gt;'Proposed Lighting'!AA43,0,IF('Proposed Lighting'!EJ43&gt;0.01,(K43*O43)*'Proposed Lighting'!EJ43/1000,(K43*O43)*U43/1000)))))))</f>
        <v>0</v>
      </c>
      <c r="AC43" s="1230" t="str">
        <f t="shared" si="6"/>
        <v/>
      </c>
      <c r="AD43" s="1230">
        <f t="shared" si="7"/>
        <v>0</v>
      </c>
      <c r="AE43" s="1230">
        <f>IF(T43=0,0,IF(K43&gt;'Proposed Lighting'!AA43,0,IF(T43&gt;K43,0,IF(AND(AD43&gt;AA43,AA43&gt;0),0,IF(AND(F43&gt;1,W43&lt;0.01),0,IF('Proposed Lighting'!AU43&gt;'Lighting Controls'!F43,0,IF('Proposed Lighting'!AU43&lt;'Lighting Controls'!F43,0,IF(U43=0,0,Summary!AC346))))))))</f>
        <v>0</v>
      </c>
      <c r="AF43" s="1230">
        <f>IF(T43=0,0,IF(AE43=0,0,IF(K43&gt;'Proposed Lighting'!AA43,0,IF(AND(AD43&gt;AA43,AA43&gt;0),0,IF(U43=0,0,Summary!AD346)))))</f>
        <v>0</v>
      </c>
      <c r="AG43" s="1834">
        <f>IF('Proposed Lighting'!AU43=1,0,IF('Proposed Lighting'!CF43=1,0,T43*W43))</f>
        <v>0</v>
      </c>
      <c r="AH43" s="1834"/>
      <c r="AI43" s="1834"/>
      <c r="AJ43" s="1835">
        <f>IF(T43&lt;1,0,IF(K43&gt;'Proposed Lighting'!AA43,0,IF('Proposed Lighting'!CF43=1,0,IF('Proposed Lighting'!AU43=1,0,IF(T43&gt;K43,0,IF(AND(AD43&gt;AA43,AA43&gt;0),0,IF(AND(F43=2,'Proposed Lighting'!AU43=3),0,IF(AND(F43=3,'Proposed Lighting'!AU43=2),0,IF('Proposed Lighting'!CH43=100,0,IF(AND(F43&lt;3,V43=1,AM43=0),0,IF(AND(F43&gt;1,AF43&lt;1,AN43&lt;1),0,IF(AND(F43&gt;1,AE43&lt;0.69,AF43&lt;1,AN43&lt;1),0,IF(ISERROR(AB43-AC43),"",AB43-AC43)))))))))))))</f>
        <v>0</v>
      </c>
      <c r="AK43" s="1835"/>
      <c r="AL43" s="1835"/>
      <c r="AM43" s="1216">
        <f>IF(Q43=0,0,IF(T43=0,0,IF(T43&gt;K43,0,IF(AND(AS43&gt;0.01,BK43=0),0,IF(AND('Proposed Lighting'!DG43=0,'Lighting Controls'!Z43=0.35),0,IF(AND(T43&lt;=K43,AA43&gt;=AD43,'Proposed Lighting'!AU43=2),VLOOKUP(Q43,$AY$9:$AZ$15,2,FALSE),IF(AND(T43&lt;=K43,AA43&gt;=AD43,'Proposed Lighting'!AU43=3),VLOOKUP(Q43,$AY$17:$AZ$23,2,FALSE))))))))</f>
        <v>0</v>
      </c>
      <c r="AN43" s="1248">
        <f>IF(T43=0,0,IF(K43&gt;'Proposed Lighting'!AA43,0,IF(AE43=0,0,IF(AND(AD43&gt;AA43,AA43&gt;0),0,IF(U43=0,0,Summary!AE346)))))</f>
        <v>0</v>
      </c>
      <c r="AO43" s="1248">
        <f t="shared" si="11"/>
        <v>0</v>
      </c>
      <c r="AP43" s="1249">
        <f>IF('Proposed Lighting'!AU43=1,0,IF(K43=0,0,IF(T43&gt;K43,0,IF(G43=0,0,IF(K43&gt;'Proposed Lighting'!AA43,0,IF(AND(AD43&gt;AA43,AA43&gt;0),0,IF(AND('Proposed Lighting'!AU43=3,AM43=0.5),0,IF(AND(AM43&gt;0,AS43&gt;0,BI43&lt;2),0,IF('Proposed Lighting'!CH43=100,0,IF(AV43=1,0,IF(AND(AM43=35,M43+N43&lt;2),0,AM43)))))))))))</f>
        <v>0</v>
      </c>
      <c r="AQ43" s="1249" t="str">
        <f>IFERROR(ROUND(IF(Q43="","",IF('Proposed Lighting'!$X$4=0,0,IF(AND(AM43=35,M43+N43&lt;2),0,IF(T43&gt;K43,0,IF('Proposed Lighting'!AU43=1,0,IF(AJ43=0,0,IF(AND('Proposed Lighting'!AU43=3,AM43=0.5),0,IF(AND(AD43=75,AP43=0,AV43=0),0,IF(AP43&gt;0.01,AP43*T43,IF(AND(F43&gt;1,W43&lt;0.01),0,IF(AND(F43&gt;1,AO43=0),0,IF(AND('Proposed Lighting'!BC43=22,AV43=0),0,IF(AND(AM43&gt;0,AS43&gt;0,BI43&lt;2),0,IF(AND(AS43&gt;0.01,BK43=0),0,IF(AND(AO43=TRUE,AV43=1,F43=3),MIN(AJ43*0.08,L43),IF(AP43&gt;0.01,AP43*T43,IF(AND(AO43=TRUE,AV43=1,F43=2),MIN(AJ43*0.1,L43)))))))))))))))))),2),"")</f>
        <v/>
      </c>
      <c r="AR43" s="1250">
        <f>IF(Q43=0,0,IF('Proposed Lighting'!$X$4=0,0,IF(AND(AM43&gt;0.01,AQ43&gt;0.01),0,IF('Proposed Lighting'!AU43=1,"Missing Interior or Exterior Selection",IF('Proposed Lighting'!CF43=1,"Selection does not match",IF(K43&gt;'Proposed Lighting'!AA43,"Quantity controlled does not match proposed lighting quantity",IF(T43&gt;K43,"Quantity of sensors exceeds proposed lighting quantity",IF(AND(F43&gt;1,'Proposed Lighting'!AU43&lt;&gt;F43),"Selection does not match",IF(AND(AD43&gt;AA43,AA43&gt;0),"Does not meet minimum connected load",IF(AND(O43&gt;0,AS43&gt;0,BK43&gt;0,'Proposed Lighting'!CH43=0),"Select Control Strategies",IF(AND(AC43&gt;0.1,AJ43=0,AQ43=0),"Does not meet incentive criteria",0)))))))))))</f>
        <v>0</v>
      </c>
      <c r="AS43" s="1224">
        <f>IF('Proposed Lighting'!CH43=100,0,IF(ISNUMBER(SEARCH("multiple",Q43)),1,0))</f>
        <v>0</v>
      </c>
      <c r="AT43" s="451">
        <f t="shared" si="8"/>
        <v>0</v>
      </c>
      <c r="AU43" s="451">
        <f t="shared" si="9"/>
        <v>0</v>
      </c>
      <c r="AV43" s="1222">
        <f>IF(ISNUMBER(SEARCH("Networked",'Proposed Lighting'!T43)),0,IF(ISNUMBER(SEARCH("Strategies",'Proposed Lighting'!T43)),0,IF(ISNUMBER(SEARCH("Removal",'Proposed Lighting'!T43)),0,IF(ISNUMBER(SEARCH("non-standard",Q43)),1,0))))</f>
        <v>0</v>
      </c>
      <c r="AW43" s="451">
        <f t="shared" si="12"/>
        <v>0</v>
      </c>
      <c r="AX43" s="451"/>
      <c r="AY43" s="451"/>
      <c r="AZ43" s="451"/>
      <c r="BA43" s="451"/>
      <c r="BB43" s="451"/>
      <c r="BC43" s="1215"/>
      <c r="BD43" s="1215"/>
      <c r="BE43" s="1215"/>
      <c r="BF43" s="1215"/>
      <c r="BG43" s="1215"/>
      <c r="BH43" s="1215"/>
      <c r="BI43">
        <f>IF(AND(AS43=1,BC43="No",BD43="Yes",BE43="Yes",BF43="No",BH43="No"),0,IF(AND('Proposed Lighting'!AU43=2,AS43=1,BC43="Yes",BD43="Yes"),2,IF(AND('Proposed Lighting'!AU43=2,AS43=1,BC43="Yes",BE43="Yes"),2,IF(AND('Proposed Lighting'!AU43=2,AS43=1,BC43="Yes",BF43="Yes"),2,IF(AND('Proposed Lighting'!AU43=2,AS43=1,BC43="Yes",BH43="Yes"),2,IF(AND('Proposed Lighting'!AU43=2,AS43=1,BD43="Yes",BF43="Yes"),2,IF(AND('Proposed Lighting'!AU43=2,AS43=1,BD43="Yes",BH43="Yes"),2,IF(AND('Proposed Lighting'!AU43=3,AS43=1,BC43="Yes",BE43="Yes"),2,IF(AND('Proposed Lighting'!AU43=3,AS43=1,BC43="Yes",BF43="Yes"),2,0)))))))))</f>
        <v>0</v>
      </c>
      <c r="BJ43" s="1025">
        <f t="shared" si="10"/>
        <v>0</v>
      </c>
      <c r="BK43">
        <f>IF(AND('Proposed Lighting'!BC43=22,'Lighting Controls'!N43=1),0,IF(ISNUMBER(SEARCH("LED",G43)),1,0))</f>
        <v>0</v>
      </c>
    </row>
    <row r="44" spans="1:63" ht="34.5" customHeight="1">
      <c r="A44" s="917">
        <v>36</v>
      </c>
      <c r="B44" s="1828" t="str">
        <f>IF('Proposed Lighting'!B44="","",'Proposed Lighting'!B44)</f>
        <v/>
      </c>
      <c r="C44" s="1828"/>
      <c r="D44" s="1828"/>
      <c r="E44" s="1245">
        <f>'Proposed Lighting'!AA44</f>
        <v>0</v>
      </c>
      <c r="F44" s="1245">
        <f t="shared" si="0"/>
        <v>0</v>
      </c>
      <c r="G44" s="1830" t="str">
        <f>IF('Proposed Lighting'!T44="","",IF(ISNUMBER(SEARCH("Networked",'Proposed Lighting'!T44)),0,IF(ISNUMBER(SEARCH("Strategies",'Proposed Lighting'!T44)),0,IF(ISNUMBER(SEARCH("Removal",'Proposed Lighting'!T44)),0,'Proposed Lighting'!T44))))</f>
        <v/>
      </c>
      <c r="H44" s="1830"/>
      <c r="I44" s="1830"/>
      <c r="J44" s="1830"/>
      <c r="K44" s="1215"/>
      <c r="L44" s="1246">
        <f t="shared" si="1"/>
        <v>0</v>
      </c>
      <c r="M44" s="1224">
        <f t="shared" si="2"/>
        <v>0</v>
      </c>
      <c r="N44" s="1224">
        <f t="shared" si="3"/>
        <v>0</v>
      </c>
      <c r="O44" s="1825" t="str">
        <f>IF(G44=0,0,IF(ISNA('Proposed Lighting'!AT44),0,'Proposed Lighting'!AT44))</f>
        <v/>
      </c>
      <c r="P44" s="1825"/>
      <c r="Q44" s="1247"/>
      <c r="R44" s="1247"/>
      <c r="S44" s="1247"/>
      <c r="T44" s="1211"/>
      <c r="U44" s="1235">
        <f>IF(K44&gt;0.01,'Proposed Lighting'!CU44,0)</f>
        <v>0</v>
      </c>
      <c r="V44" s="1248">
        <f>IF('Proposed Lighting'!CF44=1,0,IF('Proposed Lighting'!AU44=2,0,IF(AND('Proposed Lighting'!AU44=3,'Proposed Lighting'!CF44=0),1,0)))</f>
        <v>0</v>
      </c>
      <c r="W44" s="1836"/>
      <c r="X44" s="1836"/>
      <c r="Y44" s="1836"/>
      <c r="Z44" s="1230" t="str">
        <f t="shared" si="4"/>
        <v/>
      </c>
      <c r="AA44" s="1230">
        <f t="shared" si="5"/>
        <v>0</v>
      </c>
      <c r="AB44" s="1230">
        <f>IF(Q44=0,0,IF(T44=0,0,IF(AA44=0,0,IF(AND(F44=3,V44=0),0,IF(T44=0,0,IF(K44&gt;'Proposed Lighting'!AA44,0,IF('Proposed Lighting'!EJ44&gt;0.01,(K44*O44)*'Proposed Lighting'!EJ44/1000,(K44*O44)*U44/1000)))))))</f>
        <v>0</v>
      </c>
      <c r="AC44" s="1230" t="str">
        <f t="shared" si="6"/>
        <v/>
      </c>
      <c r="AD44" s="1230">
        <f t="shared" si="7"/>
        <v>0</v>
      </c>
      <c r="AE44" s="1230">
        <f>IF(T44=0,0,IF(K44&gt;'Proposed Lighting'!AA44,0,IF(T44&gt;K44,0,IF(AND(AD44&gt;AA44,AA44&gt;0),0,IF(AND(F44&gt;1,W44&lt;0.01),0,IF('Proposed Lighting'!AU44&gt;'Lighting Controls'!F44,0,IF('Proposed Lighting'!AU44&lt;'Lighting Controls'!F44,0,IF(U44=0,0,Summary!AC347))))))))</f>
        <v>0</v>
      </c>
      <c r="AF44" s="1230">
        <f>IF(T44=0,0,IF(AE44=0,0,IF(K44&gt;'Proposed Lighting'!AA44,0,IF(AND(AD44&gt;AA44,AA44&gt;0),0,IF(U44=0,0,Summary!AD347)))))</f>
        <v>0</v>
      </c>
      <c r="AG44" s="1834">
        <f>IF('Proposed Lighting'!AU44=1,0,IF('Proposed Lighting'!CF44=1,0,T44*W44))</f>
        <v>0</v>
      </c>
      <c r="AH44" s="1834"/>
      <c r="AI44" s="1834"/>
      <c r="AJ44" s="1835">
        <f>IF(T44&lt;1,0,IF(K44&gt;'Proposed Lighting'!AA44,0,IF('Proposed Lighting'!CF44=1,0,IF('Proposed Lighting'!AU44=1,0,IF(T44&gt;K44,0,IF(AND(AD44&gt;AA44,AA44&gt;0),0,IF(AND(F44=2,'Proposed Lighting'!AU44=3),0,IF(AND(F44=3,'Proposed Lighting'!AU44=2),0,IF('Proposed Lighting'!CH44=100,0,IF(AND(F44&lt;3,V44=1,AM44=0),0,IF(AND(F44&gt;1,AF44&lt;1,AN44&lt;1),0,IF(AND(F44&gt;1,AE44&lt;0.69,AF44&lt;1,AN44&lt;1),0,IF(ISERROR(AB44-AC44),"",AB44-AC44)))))))))))))</f>
        <v>0</v>
      </c>
      <c r="AK44" s="1835"/>
      <c r="AL44" s="1835"/>
      <c r="AM44" s="1216">
        <f>IF(Q44=0,0,IF(T44=0,0,IF(T44&gt;K44,0,IF(AND(AS44&gt;0.01,BK44=0),0,IF(AND('Proposed Lighting'!DG44=0,'Lighting Controls'!Z44=0.35),0,IF(AND(T44&lt;=K44,AA44&gt;=AD44,'Proposed Lighting'!AU44=2),VLOOKUP(Q44,$AY$9:$AZ$15,2,FALSE),IF(AND(T44&lt;=K44,AA44&gt;=AD44,'Proposed Lighting'!AU44=3),VLOOKUP(Q44,$AY$17:$AZ$23,2,FALSE))))))))</f>
        <v>0</v>
      </c>
      <c r="AN44" s="1248">
        <f>IF(T44=0,0,IF(K44&gt;'Proposed Lighting'!AA44,0,IF(AE44=0,0,IF(AND(AD44&gt;AA44,AA44&gt;0),0,IF(U44=0,0,Summary!AE347)))))</f>
        <v>0</v>
      </c>
      <c r="AO44" s="1248">
        <f t="shared" si="11"/>
        <v>0</v>
      </c>
      <c r="AP44" s="1249">
        <f>IF('Proposed Lighting'!AU44=1,0,IF(K44=0,0,IF(T44&gt;K44,0,IF(G44=0,0,IF(K44&gt;'Proposed Lighting'!AA44,0,IF(AND(AD44&gt;AA44,AA44&gt;0),0,IF(AND('Proposed Lighting'!AU44=3,AM44=0.5),0,IF(AND(AM44&gt;0,AS44&gt;0,BI44&lt;2),0,IF('Proposed Lighting'!CH44=100,0,IF(AV44=1,0,IF(AND(AM44=35,M44+N44&lt;2),0,AM44)))))))))))</f>
        <v>0</v>
      </c>
      <c r="AQ44" s="1249" t="str">
        <f>IFERROR(ROUND(IF(Q44="","",IF('Proposed Lighting'!$X$4=0,0,IF(AND(AM44=35,M44+N44&lt;2),0,IF(T44&gt;K44,0,IF('Proposed Lighting'!AU44=1,0,IF(AJ44=0,0,IF(AND('Proposed Lighting'!AU44=3,AM44=0.5),0,IF(AND(AD44=75,AP44=0,AV44=0),0,IF(AP44&gt;0.01,AP44*T44,IF(AND(F44&gt;1,W44&lt;0.01),0,IF(AND(F44&gt;1,AO44=0),0,IF(AND('Proposed Lighting'!BC44=22,AV44=0),0,IF(AND(AM44&gt;0,AS44&gt;0,BI44&lt;2),0,IF(AND(AS44&gt;0.01,BK44=0),0,IF(AND(AO44=TRUE,AV44=1,F44=3),MIN(AJ44*0.08,L44),IF(AP44&gt;0.01,AP44*T44,IF(AND(AO44=TRUE,AV44=1,F44=2),MIN(AJ44*0.1,L44)))))))))))))))))),2),"")</f>
        <v/>
      </c>
      <c r="AR44" s="1250">
        <f>IF(Q44=0,0,IF('Proposed Lighting'!$X$4=0,0,IF(AND(AM44&gt;0.01,AQ44&gt;0.01),0,IF('Proposed Lighting'!AU44=1,"Missing Interior or Exterior Selection",IF('Proposed Lighting'!CF44=1,"Selection does not match",IF(K44&gt;'Proposed Lighting'!AA44,"Quantity controlled does not match proposed lighting quantity",IF(T44&gt;K44,"Quantity of sensors exceeds proposed lighting quantity",IF(AND(F44&gt;1,'Proposed Lighting'!AU44&lt;&gt;F44),"Selection does not match",IF(AND(AD44&gt;AA44,AA44&gt;0),"Does not meet minimum connected load",IF(AND(O44&gt;0,AS44&gt;0,BK44&gt;0,'Proposed Lighting'!CH44=0),"Select Control Strategies",IF(AND(AC44&gt;0.1,AJ44=0,AQ44=0),"Does not meet incentive criteria",0)))))))))))</f>
        <v>0</v>
      </c>
      <c r="AS44" s="1224">
        <f>IF('Proposed Lighting'!CH44=100,0,IF(ISNUMBER(SEARCH("multiple",Q44)),1,0))</f>
        <v>0</v>
      </c>
      <c r="AT44" s="451">
        <f t="shared" si="8"/>
        <v>0</v>
      </c>
      <c r="AU44" s="451">
        <f t="shared" si="9"/>
        <v>0</v>
      </c>
      <c r="AV44" s="1222">
        <f>IF(ISNUMBER(SEARCH("Networked",'Proposed Lighting'!T44)),0,IF(ISNUMBER(SEARCH("Strategies",'Proposed Lighting'!T44)),0,IF(ISNUMBER(SEARCH("Removal",'Proposed Lighting'!T44)),0,IF(ISNUMBER(SEARCH("non-standard",Q44)),1,0))))</f>
        <v>0</v>
      </c>
      <c r="AW44" s="451">
        <f t="shared" si="12"/>
        <v>0</v>
      </c>
      <c r="AX44" s="451"/>
      <c r="AY44" s="451"/>
      <c r="AZ44" s="451"/>
      <c r="BA44" s="451"/>
      <c r="BB44" s="451"/>
      <c r="BC44" s="1215"/>
      <c r="BD44" s="1215"/>
      <c r="BE44" s="1215"/>
      <c r="BF44" s="1215"/>
      <c r="BG44" s="1215"/>
      <c r="BH44" s="1215"/>
      <c r="BI44">
        <f>IF(AND(AS44=1,BC44="No",BD44="Yes",BE44="Yes",BF44="No",BH44="No"),0,IF(AND('Proposed Lighting'!AU44=2,AS44=1,BC44="Yes",BD44="Yes"),2,IF(AND('Proposed Lighting'!AU44=2,AS44=1,BC44="Yes",BE44="Yes"),2,IF(AND('Proposed Lighting'!AU44=2,AS44=1,BC44="Yes",BF44="Yes"),2,IF(AND('Proposed Lighting'!AU44=2,AS44=1,BC44="Yes",BH44="Yes"),2,IF(AND('Proposed Lighting'!AU44=2,AS44=1,BD44="Yes",BF44="Yes"),2,IF(AND('Proposed Lighting'!AU44=2,AS44=1,BD44="Yes",BH44="Yes"),2,IF(AND('Proposed Lighting'!AU44=3,AS44=1,BC44="Yes",BE44="Yes"),2,IF(AND('Proposed Lighting'!AU44=3,AS44=1,BC44="Yes",BF44="Yes"),2,0)))))))))</f>
        <v>0</v>
      </c>
      <c r="BJ44" s="1025">
        <f t="shared" si="10"/>
        <v>0</v>
      </c>
      <c r="BK44">
        <f>IF(AND('Proposed Lighting'!BC44=22,'Lighting Controls'!N44=1),0,IF(ISNUMBER(SEARCH("LED",G44)),1,0))</f>
        <v>0</v>
      </c>
    </row>
    <row r="45" spans="1:63" ht="34.5" customHeight="1">
      <c r="A45" s="917">
        <v>37</v>
      </c>
      <c r="B45" s="1828" t="str">
        <f>IF('Proposed Lighting'!B45="","",'Proposed Lighting'!B45)</f>
        <v/>
      </c>
      <c r="C45" s="1828"/>
      <c r="D45" s="1828"/>
      <c r="E45" s="1245">
        <f>'Proposed Lighting'!AA45</f>
        <v>0</v>
      </c>
      <c r="F45" s="1245">
        <f t="shared" si="0"/>
        <v>0</v>
      </c>
      <c r="G45" s="1830" t="str">
        <f>IF('Proposed Lighting'!T45="","",IF(ISNUMBER(SEARCH("Networked",'Proposed Lighting'!T45)),0,IF(ISNUMBER(SEARCH("Strategies",'Proposed Lighting'!T45)),0,IF(ISNUMBER(SEARCH("Removal",'Proposed Lighting'!T45)),0,'Proposed Lighting'!T45))))</f>
        <v/>
      </c>
      <c r="H45" s="1830"/>
      <c r="I45" s="1830"/>
      <c r="J45" s="1830"/>
      <c r="K45" s="1215"/>
      <c r="L45" s="1246">
        <f t="shared" si="1"/>
        <v>0</v>
      </c>
      <c r="M45" s="1224">
        <f t="shared" si="2"/>
        <v>0</v>
      </c>
      <c r="N45" s="1224">
        <f t="shared" si="3"/>
        <v>0</v>
      </c>
      <c r="O45" s="1825" t="str">
        <f>IF(G45=0,0,IF(ISNA('Proposed Lighting'!AT45),0,'Proposed Lighting'!AT45))</f>
        <v/>
      </c>
      <c r="P45" s="1825"/>
      <c r="Q45" s="1247"/>
      <c r="R45" s="1247"/>
      <c r="S45" s="1247"/>
      <c r="T45" s="1211"/>
      <c r="U45" s="1235">
        <f>IF(K45&gt;0.01,'Proposed Lighting'!CU45,0)</f>
        <v>0</v>
      </c>
      <c r="V45" s="1248">
        <f>IF('Proposed Lighting'!CF45=1,0,IF('Proposed Lighting'!AU45=2,0,IF(AND('Proposed Lighting'!AU45=3,'Proposed Lighting'!CF45=0),1,0)))</f>
        <v>0</v>
      </c>
      <c r="W45" s="1836"/>
      <c r="X45" s="1836"/>
      <c r="Y45" s="1836"/>
      <c r="Z45" s="1230" t="str">
        <f t="shared" si="4"/>
        <v/>
      </c>
      <c r="AA45" s="1230">
        <f t="shared" si="5"/>
        <v>0</v>
      </c>
      <c r="AB45" s="1230">
        <f>IF(Q45=0,0,IF(T45=0,0,IF(AA45=0,0,IF(AND(F45=3,V45=0),0,IF(T45=0,0,IF(K45&gt;'Proposed Lighting'!AA45,0,IF('Proposed Lighting'!EJ45&gt;0.01,(K45*O45)*'Proposed Lighting'!EJ45/1000,(K45*O45)*U45/1000)))))))</f>
        <v>0</v>
      </c>
      <c r="AC45" s="1230" t="str">
        <f t="shared" si="6"/>
        <v/>
      </c>
      <c r="AD45" s="1230">
        <f t="shared" si="7"/>
        <v>0</v>
      </c>
      <c r="AE45" s="1230">
        <f>IF(T45=0,0,IF(K45&gt;'Proposed Lighting'!AA45,0,IF(T45&gt;K45,0,IF(AND(AD45&gt;AA45,AA45&gt;0),0,IF(AND(F45&gt;1,W45&lt;0.01),0,IF('Proposed Lighting'!AU45&gt;'Lighting Controls'!F45,0,IF('Proposed Lighting'!AU45&lt;'Lighting Controls'!F45,0,IF(U45=0,0,Summary!AC348))))))))</f>
        <v>0</v>
      </c>
      <c r="AF45" s="1230">
        <f>IF(T45=0,0,IF(AE45=0,0,IF(K45&gt;'Proposed Lighting'!AA45,0,IF(AND(AD45&gt;AA45,AA45&gt;0),0,IF(U45=0,0,Summary!AD348)))))</f>
        <v>0</v>
      </c>
      <c r="AG45" s="1834">
        <f>IF('Proposed Lighting'!AU45=1,0,IF('Proposed Lighting'!CF45=1,0,T45*W45))</f>
        <v>0</v>
      </c>
      <c r="AH45" s="1834"/>
      <c r="AI45" s="1834"/>
      <c r="AJ45" s="1835">
        <f>IF(T45&lt;1,0,IF(K45&gt;'Proposed Lighting'!AA45,0,IF('Proposed Lighting'!CF45=1,0,IF('Proposed Lighting'!AU45=1,0,IF(T45&gt;K45,0,IF(AND(AD45&gt;AA45,AA45&gt;0),0,IF(AND(F45=2,'Proposed Lighting'!AU45=3),0,IF(AND(F45=3,'Proposed Lighting'!AU45=2),0,IF('Proposed Lighting'!CH45=100,0,IF(AND(F45&lt;3,V45=1,AM45=0),0,IF(AND(F45&gt;1,AF45&lt;1,AN45&lt;1),0,IF(AND(F45&gt;1,AE45&lt;0.69,AF45&lt;1,AN45&lt;1),0,IF(ISERROR(AB45-AC45),"",AB45-AC45)))))))))))))</f>
        <v>0</v>
      </c>
      <c r="AK45" s="1835"/>
      <c r="AL45" s="1835"/>
      <c r="AM45" s="1216">
        <f>IF(Q45=0,0,IF(T45=0,0,IF(T45&gt;K45,0,IF(AND(AS45&gt;0.01,BK45=0),0,IF(AND('Proposed Lighting'!DG45=0,'Lighting Controls'!Z45=0.35),0,IF(AND(T45&lt;=K45,AA45&gt;=AD45,'Proposed Lighting'!AU45=2),VLOOKUP(Q45,$AY$9:$AZ$15,2,FALSE),IF(AND(T45&lt;=K45,AA45&gt;=AD45,'Proposed Lighting'!AU45=3),VLOOKUP(Q45,$AY$17:$AZ$23,2,FALSE))))))))</f>
        <v>0</v>
      </c>
      <c r="AN45" s="1248">
        <f>IF(T45=0,0,IF(K45&gt;'Proposed Lighting'!AA45,0,IF(AE45=0,0,IF(AND(AD45&gt;AA45,AA45&gt;0),0,IF(U45=0,0,Summary!AE348)))))</f>
        <v>0</v>
      </c>
      <c r="AO45" s="1248">
        <f t="shared" si="11"/>
        <v>0</v>
      </c>
      <c r="AP45" s="1249">
        <f>IF('Proposed Lighting'!AU45=1,0,IF(K45=0,0,IF(T45&gt;K45,0,IF(G45=0,0,IF(K45&gt;'Proposed Lighting'!AA45,0,IF(AND(AD45&gt;AA45,AA45&gt;0),0,IF(AND('Proposed Lighting'!AU45=3,AM45=0.5),0,IF(AND(AM45&gt;0,AS45&gt;0,BI45&lt;2),0,IF('Proposed Lighting'!CH45=100,0,IF(AV45=1,0,IF(AND(AM45=35,M45+N45&lt;2),0,AM45)))))))))))</f>
        <v>0</v>
      </c>
      <c r="AQ45" s="1249" t="str">
        <f>IFERROR(ROUND(IF(Q45="","",IF('Proposed Lighting'!$X$4=0,0,IF(AND(AM45=35,M45+N45&lt;2),0,IF(T45&gt;K45,0,IF('Proposed Lighting'!AU45=1,0,IF(AJ45=0,0,IF(AND('Proposed Lighting'!AU45=3,AM45=0.5),0,IF(AND(AD45=75,AP45=0,AV45=0),0,IF(AP45&gt;0.01,AP45*T45,IF(AND(F45&gt;1,W45&lt;0.01),0,IF(AND(F45&gt;1,AO45=0),0,IF(AND('Proposed Lighting'!BC45=22,AV45=0),0,IF(AND(AM45&gt;0,AS45&gt;0,BI45&lt;2),0,IF(AND(AS45&gt;0.01,BK45=0),0,IF(AND(AO45=TRUE,AV45=1,F45=3),MIN(AJ45*0.08,L45),IF(AP45&gt;0.01,AP45*T45,IF(AND(AO45=TRUE,AV45=1,F45=2),MIN(AJ45*0.1,L45)))))))))))))))))),2),"")</f>
        <v/>
      </c>
      <c r="AR45" s="1250">
        <f>IF(Q45=0,0,IF('Proposed Lighting'!$X$4=0,0,IF(AND(AM45&gt;0.01,AQ45&gt;0.01),0,IF('Proposed Lighting'!AU45=1,"Missing Interior or Exterior Selection",IF('Proposed Lighting'!CF45=1,"Selection does not match",IF(K45&gt;'Proposed Lighting'!AA45,"Quantity controlled does not match proposed lighting quantity",IF(T45&gt;K45,"Quantity of sensors exceeds proposed lighting quantity",IF(AND(F45&gt;1,'Proposed Lighting'!AU45&lt;&gt;F45),"Selection does not match",IF(AND(AD45&gt;AA45,AA45&gt;0),"Does not meet minimum connected load",IF(AND(O45&gt;0,AS45&gt;0,BK45&gt;0,'Proposed Lighting'!CH45=0),"Select Control Strategies",IF(AND(AC45&gt;0.1,AJ45=0,AQ45=0),"Does not meet incentive criteria",0)))))))))))</f>
        <v>0</v>
      </c>
      <c r="AS45" s="1224">
        <f>IF('Proposed Lighting'!CH45=100,0,IF(ISNUMBER(SEARCH("multiple",Q45)),1,0))</f>
        <v>0</v>
      </c>
      <c r="AT45" s="451">
        <f t="shared" si="8"/>
        <v>0</v>
      </c>
      <c r="AU45" s="451">
        <f t="shared" si="9"/>
        <v>0</v>
      </c>
      <c r="AV45" s="1222">
        <f>IF(ISNUMBER(SEARCH("Networked",'Proposed Lighting'!T45)),0,IF(ISNUMBER(SEARCH("Strategies",'Proposed Lighting'!T45)),0,IF(ISNUMBER(SEARCH("Removal",'Proposed Lighting'!T45)),0,IF(ISNUMBER(SEARCH("non-standard",Q45)),1,0))))</f>
        <v>0</v>
      </c>
      <c r="AW45" s="451">
        <f t="shared" si="12"/>
        <v>0</v>
      </c>
      <c r="AX45" s="451"/>
      <c r="AY45" s="451"/>
      <c r="AZ45" s="451"/>
      <c r="BA45" s="451"/>
      <c r="BB45" s="451"/>
      <c r="BC45" s="1215"/>
      <c r="BD45" s="1215"/>
      <c r="BE45" s="1215"/>
      <c r="BF45" s="1215"/>
      <c r="BG45" s="1215"/>
      <c r="BH45" s="1215"/>
      <c r="BI45">
        <f>IF(AND(AS45=1,BC45="No",BD45="Yes",BE45="Yes",BF45="No",BH45="No"),0,IF(AND('Proposed Lighting'!AU45=2,AS45=1,BC45="Yes",BD45="Yes"),2,IF(AND('Proposed Lighting'!AU45=2,AS45=1,BC45="Yes",BE45="Yes"),2,IF(AND('Proposed Lighting'!AU45=2,AS45=1,BC45="Yes",BF45="Yes"),2,IF(AND('Proposed Lighting'!AU45=2,AS45=1,BC45="Yes",BH45="Yes"),2,IF(AND('Proposed Lighting'!AU45=2,AS45=1,BD45="Yes",BF45="Yes"),2,IF(AND('Proposed Lighting'!AU45=2,AS45=1,BD45="Yes",BH45="Yes"),2,IF(AND('Proposed Lighting'!AU45=3,AS45=1,BC45="Yes",BE45="Yes"),2,IF(AND('Proposed Lighting'!AU45=3,AS45=1,BC45="Yes",BF45="Yes"),2,0)))))))))</f>
        <v>0</v>
      </c>
      <c r="BJ45" s="1025">
        <f t="shared" si="10"/>
        <v>0</v>
      </c>
      <c r="BK45">
        <f>IF(AND('Proposed Lighting'!BC45=22,'Lighting Controls'!N45=1),0,IF(ISNUMBER(SEARCH("LED",G45)),1,0))</f>
        <v>0</v>
      </c>
    </row>
    <row r="46" spans="1:63" ht="34.5" customHeight="1">
      <c r="A46" s="917">
        <v>38</v>
      </c>
      <c r="B46" s="1828" t="str">
        <f>IF('Proposed Lighting'!B46="","",'Proposed Lighting'!B46)</f>
        <v/>
      </c>
      <c r="C46" s="1828"/>
      <c r="D46" s="1828"/>
      <c r="E46" s="1245">
        <f>'Proposed Lighting'!AA46</f>
        <v>0</v>
      </c>
      <c r="F46" s="1245">
        <f t="shared" si="0"/>
        <v>0</v>
      </c>
      <c r="G46" s="1830" t="str">
        <f>IF('Proposed Lighting'!T46="","",IF(ISNUMBER(SEARCH("Networked",'Proposed Lighting'!T46)),0,IF(ISNUMBER(SEARCH("Strategies",'Proposed Lighting'!T46)),0,IF(ISNUMBER(SEARCH("Removal",'Proposed Lighting'!T46)),0,'Proposed Lighting'!T46))))</f>
        <v/>
      </c>
      <c r="H46" s="1830"/>
      <c r="I46" s="1830"/>
      <c r="J46" s="1830"/>
      <c r="K46" s="1215"/>
      <c r="L46" s="1246">
        <f t="shared" si="1"/>
        <v>0</v>
      </c>
      <c r="M46" s="1224">
        <f t="shared" si="2"/>
        <v>0</v>
      </c>
      <c r="N46" s="1224">
        <f t="shared" si="3"/>
        <v>0</v>
      </c>
      <c r="O46" s="1825" t="str">
        <f>IF(G46=0,0,IF(ISNA('Proposed Lighting'!AT46),0,'Proposed Lighting'!AT46))</f>
        <v/>
      </c>
      <c r="P46" s="1825"/>
      <c r="Q46" s="1247"/>
      <c r="R46" s="1247"/>
      <c r="S46" s="1247"/>
      <c r="T46" s="1211"/>
      <c r="U46" s="1235">
        <f>IF(K46&gt;0.01,'Proposed Lighting'!CU46,0)</f>
        <v>0</v>
      </c>
      <c r="V46" s="1248">
        <f>IF('Proposed Lighting'!CF46=1,0,IF('Proposed Lighting'!AU46=2,0,IF(AND('Proposed Lighting'!AU46=3,'Proposed Lighting'!CF46=0),1,0)))</f>
        <v>0</v>
      </c>
      <c r="W46" s="1836"/>
      <c r="X46" s="1836"/>
      <c r="Y46" s="1836"/>
      <c r="Z46" s="1230" t="str">
        <f t="shared" si="4"/>
        <v/>
      </c>
      <c r="AA46" s="1230">
        <f t="shared" si="5"/>
        <v>0</v>
      </c>
      <c r="AB46" s="1230">
        <f>IF(Q46=0,0,IF(T46=0,0,IF(AA46=0,0,IF(AND(F46=3,V46=0),0,IF(T46=0,0,IF(K46&gt;'Proposed Lighting'!AA46,0,IF('Proposed Lighting'!EJ46&gt;0.01,(K46*O46)*'Proposed Lighting'!EJ46/1000,(K46*O46)*U46/1000)))))))</f>
        <v>0</v>
      </c>
      <c r="AC46" s="1230" t="str">
        <f t="shared" si="6"/>
        <v/>
      </c>
      <c r="AD46" s="1230">
        <f t="shared" si="7"/>
        <v>0</v>
      </c>
      <c r="AE46" s="1230">
        <f>IF(T46=0,0,IF(K46&gt;'Proposed Lighting'!AA46,0,IF(T46&gt;K46,0,IF(AND(AD46&gt;AA46,AA46&gt;0),0,IF(AND(F46&gt;1,W46&lt;0.01),0,IF('Proposed Lighting'!AU46&gt;'Lighting Controls'!F46,0,IF('Proposed Lighting'!AU46&lt;'Lighting Controls'!F46,0,IF(U46=0,0,Summary!AC349))))))))</f>
        <v>0</v>
      </c>
      <c r="AF46" s="1230">
        <f>IF(T46=0,0,IF(AE46=0,0,IF(K46&gt;'Proposed Lighting'!AA46,0,IF(AND(AD46&gt;AA46,AA46&gt;0),0,IF(U46=0,0,Summary!AD349)))))</f>
        <v>0</v>
      </c>
      <c r="AG46" s="1834">
        <f>IF('Proposed Lighting'!AU46=1,0,IF('Proposed Lighting'!CF46=1,0,T46*W46))</f>
        <v>0</v>
      </c>
      <c r="AH46" s="1834"/>
      <c r="AI46" s="1834"/>
      <c r="AJ46" s="1835">
        <f>IF(T46&lt;1,0,IF(K46&gt;'Proposed Lighting'!AA46,0,IF('Proposed Lighting'!CF46=1,0,IF('Proposed Lighting'!AU46=1,0,IF(T46&gt;K46,0,IF(AND(AD46&gt;AA46,AA46&gt;0),0,IF(AND(F46=2,'Proposed Lighting'!AU46=3),0,IF(AND(F46=3,'Proposed Lighting'!AU46=2),0,IF('Proposed Lighting'!CH46=100,0,IF(AND(F46&lt;3,V46=1,AM46=0),0,IF(AND(F46&gt;1,AF46&lt;1,AN46&lt;1),0,IF(AND(F46&gt;1,AE46&lt;0.69,AF46&lt;1,AN46&lt;1),0,IF(ISERROR(AB46-AC46),"",AB46-AC46)))))))))))))</f>
        <v>0</v>
      </c>
      <c r="AK46" s="1835"/>
      <c r="AL46" s="1835"/>
      <c r="AM46" s="1216">
        <f>IF(Q46=0,0,IF(T46=0,0,IF(T46&gt;K46,0,IF(AND(AS46&gt;0.01,BK46=0),0,IF(AND('Proposed Lighting'!DG46=0,'Lighting Controls'!Z46=0.35),0,IF(AND(T46&lt;=K46,AA46&gt;=AD46,'Proposed Lighting'!AU46=2),VLOOKUP(Q46,$AY$9:$AZ$15,2,FALSE),IF(AND(T46&lt;=K46,AA46&gt;=AD46,'Proposed Lighting'!AU46=3),VLOOKUP(Q46,$AY$17:$AZ$23,2,FALSE))))))))</f>
        <v>0</v>
      </c>
      <c r="AN46" s="1248">
        <f>IF(T46=0,0,IF(K46&gt;'Proposed Lighting'!AA46,0,IF(AE46=0,0,IF(AND(AD46&gt;AA46,AA46&gt;0),0,IF(U46=0,0,Summary!AE349)))))</f>
        <v>0</v>
      </c>
      <c r="AO46" s="1248">
        <f t="shared" si="11"/>
        <v>0</v>
      </c>
      <c r="AP46" s="1249">
        <f>IF('Proposed Lighting'!AU46=1,0,IF(K46=0,0,IF(T46&gt;K46,0,IF(G46=0,0,IF(K46&gt;'Proposed Lighting'!AA46,0,IF(AND(AD46&gt;AA46,AA46&gt;0),0,IF(AND('Proposed Lighting'!AU46=3,AM46=0.5),0,IF(AND(AM46&gt;0,AS46&gt;0,BI46&lt;2),0,IF('Proposed Lighting'!CH46=100,0,IF(AV46=1,0,IF(AND(AM46=35,M46+N46&lt;2),0,AM46)))))))))))</f>
        <v>0</v>
      </c>
      <c r="AQ46" s="1249" t="str">
        <f>IFERROR(ROUND(IF(Q46="","",IF('Proposed Lighting'!$X$4=0,0,IF(AND(AM46=35,M46+N46&lt;2),0,IF(T46&gt;K46,0,IF('Proposed Lighting'!AU46=1,0,IF(AJ46=0,0,IF(AND('Proposed Lighting'!AU46=3,AM46=0.5),0,IF(AND(AD46=75,AP46=0,AV46=0),0,IF(AP46&gt;0.01,AP46*T46,IF(AND(F46&gt;1,W46&lt;0.01),0,IF(AND(F46&gt;1,AO46=0),0,IF(AND('Proposed Lighting'!BC46=22,AV46=0),0,IF(AND(AM46&gt;0,AS46&gt;0,BI46&lt;2),0,IF(AND(AS46&gt;0.01,BK46=0),0,IF(AND(AO46=TRUE,AV46=1,F46=3),MIN(AJ46*0.08,L46),IF(AP46&gt;0.01,AP46*T46,IF(AND(AO46=TRUE,AV46=1,F46=2),MIN(AJ46*0.1,L46)))))))))))))))))),2),"")</f>
        <v/>
      </c>
      <c r="AR46" s="1250">
        <f>IF(Q46=0,0,IF('Proposed Lighting'!$X$4=0,0,IF(AND(AM46&gt;0.01,AQ46&gt;0.01),0,IF('Proposed Lighting'!AU46=1,"Missing Interior or Exterior Selection",IF('Proposed Lighting'!CF46=1,"Selection does not match",IF(K46&gt;'Proposed Lighting'!AA46,"Quantity controlled does not match proposed lighting quantity",IF(T46&gt;K46,"Quantity of sensors exceeds proposed lighting quantity",IF(AND(F46&gt;1,'Proposed Lighting'!AU46&lt;&gt;F46),"Selection does not match",IF(AND(AD46&gt;AA46,AA46&gt;0),"Does not meet minimum connected load",IF(AND(O46&gt;0,AS46&gt;0,BK46&gt;0,'Proposed Lighting'!CH46=0),"Select Control Strategies",IF(AND(AC46&gt;0.1,AJ46=0,AQ46=0),"Does not meet incentive criteria",0)))))))))))</f>
        <v>0</v>
      </c>
      <c r="AS46" s="1224">
        <f>IF('Proposed Lighting'!CH46=100,0,IF(ISNUMBER(SEARCH("multiple",Q46)),1,0))</f>
        <v>0</v>
      </c>
      <c r="AT46" s="451">
        <f t="shared" si="8"/>
        <v>0</v>
      </c>
      <c r="AU46" s="451">
        <f t="shared" si="9"/>
        <v>0</v>
      </c>
      <c r="AV46" s="1222">
        <f>IF(ISNUMBER(SEARCH("Networked",'Proposed Lighting'!T46)),0,IF(ISNUMBER(SEARCH("Strategies",'Proposed Lighting'!T46)),0,IF(ISNUMBER(SEARCH("Removal",'Proposed Lighting'!T46)),0,IF(ISNUMBER(SEARCH("non-standard",Q46)),1,0))))</f>
        <v>0</v>
      </c>
      <c r="AW46" s="451">
        <f t="shared" si="12"/>
        <v>0</v>
      </c>
      <c r="AX46" s="451"/>
      <c r="AY46" s="451"/>
      <c r="AZ46" s="451"/>
      <c r="BA46" s="451"/>
      <c r="BB46" s="451"/>
      <c r="BC46" s="1215"/>
      <c r="BD46" s="1215"/>
      <c r="BE46" s="1215"/>
      <c r="BF46" s="1215"/>
      <c r="BG46" s="1215"/>
      <c r="BH46" s="1215"/>
      <c r="BI46">
        <f>IF(AND(AS46=1,BC46="No",BD46="Yes",BE46="Yes",BF46="No",BH46="No"),0,IF(AND('Proposed Lighting'!AU46=2,AS46=1,BC46="Yes",BD46="Yes"),2,IF(AND('Proposed Lighting'!AU46=2,AS46=1,BC46="Yes",BE46="Yes"),2,IF(AND('Proposed Lighting'!AU46=2,AS46=1,BC46="Yes",BF46="Yes"),2,IF(AND('Proposed Lighting'!AU46=2,AS46=1,BC46="Yes",BH46="Yes"),2,IF(AND('Proposed Lighting'!AU46=2,AS46=1,BD46="Yes",BF46="Yes"),2,IF(AND('Proposed Lighting'!AU46=2,AS46=1,BD46="Yes",BH46="Yes"),2,IF(AND('Proposed Lighting'!AU46=3,AS46=1,BC46="Yes",BE46="Yes"),2,IF(AND('Proposed Lighting'!AU46=3,AS46=1,BC46="Yes",BF46="Yes"),2,0)))))))))</f>
        <v>0</v>
      </c>
      <c r="BJ46" s="1025">
        <f t="shared" si="10"/>
        <v>0</v>
      </c>
      <c r="BK46">
        <f>IF(AND('Proposed Lighting'!BC46=22,'Lighting Controls'!N46=1),0,IF(ISNUMBER(SEARCH("LED",G46)),1,0))</f>
        <v>0</v>
      </c>
    </row>
    <row r="47" spans="1:63" ht="34.5" customHeight="1">
      <c r="A47" s="917">
        <v>39</v>
      </c>
      <c r="B47" s="1828" t="str">
        <f>IF('Proposed Lighting'!B47="","",'Proposed Lighting'!B47)</f>
        <v/>
      </c>
      <c r="C47" s="1828"/>
      <c r="D47" s="1828"/>
      <c r="E47" s="1245">
        <f>'Proposed Lighting'!AA47</f>
        <v>0</v>
      </c>
      <c r="F47" s="1245">
        <f t="shared" si="0"/>
        <v>0</v>
      </c>
      <c r="G47" s="1830" t="str">
        <f>IF('Proposed Lighting'!T47="","",IF(ISNUMBER(SEARCH("Networked",'Proposed Lighting'!T47)),0,IF(ISNUMBER(SEARCH("Strategies",'Proposed Lighting'!T47)),0,IF(ISNUMBER(SEARCH("Removal",'Proposed Lighting'!T47)),0,'Proposed Lighting'!T47))))</f>
        <v/>
      </c>
      <c r="H47" s="1830"/>
      <c r="I47" s="1830"/>
      <c r="J47" s="1830"/>
      <c r="K47" s="1215"/>
      <c r="L47" s="1246">
        <f t="shared" si="1"/>
        <v>0</v>
      </c>
      <c r="M47" s="1224">
        <f t="shared" si="2"/>
        <v>0</v>
      </c>
      <c r="N47" s="1224">
        <f t="shared" si="3"/>
        <v>0</v>
      </c>
      <c r="O47" s="1825" t="str">
        <f>IF(G47=0,0,IF(ISNA('Proposed Lighting'!AT47),0,'Proposed Lighting'!AT47))</f>
        <v/>
      </c>
      <c r="P47" s="1825"/>
      <c r="Q47" s="1247"/>
      <c r="R47" s="1247"/>
      <c r="S47" s="1247"/>
      <c r="T47" s="1211"/>
      <c r="U47" s="1235">
        <f>IF(K47&gt;0.01,'Proposed Lighting'!CU47,0)</f>
        <v>0</v>
      </c>
      <c r="V47" s="1248">
        <f>IF('Proposed Lighting'!CF47=1,0,IF('Proposed Lighting'!AU47=2,0,IF(AND('Proposed Lighting'!AU47=3,'Proposed Lighting'!CF47=0),1,0)))</f>
        <v>0</v>
      </c>
      <c r="W47" s="1836"/>
      <c r="X47" s="1836"/>
      <c r="Y47" s="1836"/>
      <c r="Z47" s="1230" t="str">
        <f t="shared" si="4"/>
        <v/>
      </c>
      <c r="AA47" s="1230">
        <f t="shared" si="5"/>
        <v>0</v>
      </c>
      <c r="AB47" s="1230">
        <f>IF(Q47=0,0,IF(T47=0,0,IF(AA47=0,0,IF(AND(F47=3,V47=0),0,IF(T47=0,0,IF(K47&gt;'Proposed Lighting'!AA47,0,IF('Proposed Lighting'!EJ47&gt;0.01,(K47*O47)*'Proposed Lighting'!EJ47/1000,(K47*O47)*U47/1000)))))))</f>
        <v>0</v>
      </c>
      <c r="AC47" s="1230" t="str">
        <f t="shared" si="6"/>
        <v/>
      </c>
      <c r="AD47" s="1230">
        <f t="shared" si="7"/>
        <v>0</v>
      </c>
      <c r="AE47" s="1230">
        <f>IF(T47=0,0,IF(K47&gt;'Proposed Lighting'!AA47,0,IF(T47&gt;K47,0,IF(AND(AD47&gt;AA47,AA47&gt;0),0,IF(AND(F47&gt;1,W47&lt;0.01),0,IF('Proposed Lighting'!AU47&gt;'Lighting Controls'!F47,0,IF('Proposed Lighting'!AU47&lt;'Lighting Controls'!F47,0,IF(U47=0,0,Summary!AC350))))))))</f>
        <v>0</v>
      </c>
      <c r="AF47" s="1230">
        <f>IF(T47=0,0,IF(AE47=0,0,IF(K47&gt;'Proposed Lighting'!AA47,0,IF(AND(AD47&gt;AA47,AA47&gt;0),0,IF(U47=0,0,Summary!AD350)))))</f>
        <v>0</v>
      </c>
      <c r="AG47" s="1834">
        <f>IF('Proposed Lighting'!AU47=1,0,IF('Proposed Lighting'!CF47=1,0,T47*W47))</f>
        <v>0</v>
      </c>
      <c r="AH47" s="1834"/>
      <c r="AI47" s="1834"/>
      <c r="AJ47" s="1835">
        <f>IF(T47&lt;1,0,IF(K47&gt;'Proposed Lighting'!AA47,0,IF('Proposed Lighting'!CF47=1,0,IF('Proposed Lighting'!AU47=1,0,IF(T47&gt;K47,0,IF(AND(AD47&gt;AA47,AA47&gt;0),0,IF(AND(F47=2,'Proposed Lighting'!AU47=3),0,IF(AND(F47=3,'Proposed Lighting'!AU47=2),0,IF('Proposed Lighting'!CH47=100,0,IF(AND(F47&lt;3,V47=1,AM47=0),0,IF(AND(F47&gt;1,AF47&lt;1,AN47&lt;1),0,IF(AND(F47&gt;1,AE47&lt;0.69,AF47&lt;1,AN47&lt;1),0,IF(ISERROR(AB47-AC47),"",AB47-AC47)))))))))))))</f>
        <v>0</v>
      </c>
      <c r="AK47" s="1835"/>
      <c r="AL47" s="1835"/>
      <c r="AM47" s="1216">
        <f>IF(Q47=0,0,IF(T47=0,0,IF(T47&gt;K47,0,IF(AND(AS47&gt;0.01,BK47=0),0,IF(AND('Proposed Lighting'!DG47=0,'Lighting Controls'!Z47=0.35),0,IF(AND(T47&lt;=K47,AA47&gt;=AD47,'Proposed Lighting'!AU47=2),VLOOKUP(Q47,$AY$9:$AZ$15,2,FALSE),IF(AND(T47&lt;=K47,AA47&gt;=AD47,'Proposed Lighting'!AU47=3),VLOOKUP(Q47,$AY$17:$AZ$23,2,FALSE))))))))</f>
        <v>0</v>
      </c>
      <c r="AN47" s="1248">
        <f>IF(T47=0,0,IF(K47&gt;'Proposed Lighting'!AA47,0,IF(AE47=0,0,IF(AND(AD47&gt;AA47,AA47&gt;0),0,IF(U47=0,0,Summary!AE350)))))</f>
        <v>0</v>
      </c>
      <c r="AO47" s="1248">
        <f t="shared" si="11"/>
        <v>0</v>
      </c>
      <c r="AP47" s="1249">
        <f>IF('Proposed Lighting'!AU47=1,0,IF(K47=0,0,IF(T47&gt;K47,0,IF(G47=0,0,IF(K47&gt;'Proposed Lighting'!AA47,0,IF(AND(AD47&gt;AA47,AA47&gt;0),0,IF(AND('Proposed Lighting'!AU47=3,AM47=0.5),0,IF(AND(AM47&gt;0,AS47&gt;0,BI47&lt;2),0,IF('Proposed Lighting'!CH47=100,0,IF(AV47=1,0,IF(AND(AM47=35,M47+N47&lt;2),0,AM47)))))))))))</f>
        <v>0</v>
      </c>
      <c r="AQ47" s="1249" t="str">
        <f>IFERROR(ROUND(IF(Q47="","",IF('Proposed Lighting'!$X$4=0,0,IF(AND(AM47=35,M47+N47&lt;2),0,IF(T47&gt;K47,0,IF('Proposed Lighting'!AU47=1,0,IF(AJ47=0,0,IF(AND('Proposed Lighting'!AU47=3,AM47=0.5),0,IF(AND(AD47=75,AP47=0,AV47=0),0,IF(AP47&gt;0.01,AP47*T47,IF(AND(F47&gt;1,W47&lt;0.01),0,IF(AND(F47&gt;1,AO47=0),0,IF(AND('Proposed Lighting'!BC47=22,AV47=0),0,IF(AND(AM47&gt;0,AS47&gt;0,BI47&lt;2),0,IF(AND(AS47&gt;0.01,BK47=0),0,IF(AND(AO47=TRUE,AV47=1,F47=3),MIN(AJ47*0.08,L47),IF(AP47&gt;0.01,AP47*T47,IF(AND(AO47=TRUE,AV47=1,F47=2),MIN(AJ47*0.1,L47)))))))))))))))))),2),"")</f>
        <v/>
      </c>
      <c r="AR47" s="1250">
        <f>IF(Q47=0,0,IF('Proposed Lighting'!$X$4=0,0,IF(AND(AM47&gt;0.01,AQ47&gt;0.01),0,IF('Proposed Lighting'!AU47=1,"Missing Interior or Exterior Selection",IF('Proposed Lighting'!CF47=1,"Selection does not match",IF(K47&gt;'Proposed Lighting'!AA47,"Quantity controlled does not match proposed lighting quantity",IF(T47&gt;K47,"Quantity of sensors exceeds proposed lighting quantity",IF(AND(F47&gt;1,'Proposed Lighting'!AU47&lt;&gt;F47),"Selection does not match",IF(AND(AD47&gt;AA47,AA47&gt;0),"Does not meet minimum connected load",IF(AND(O47&gt;0,AS47&gt;0,BK47&gt;0,'Proposed Lighting'!CH47=0),"Select Control Strategies",IF(AND(AC47&gt;0.1,AJ47=0,AQ47=0),"Does not meet incentive criteria",0)))))))))))</f>
        <v>0</v>
      </c>
      <c r="AS47" s="1224">
        <f>IF('Proposed Lighting'!CH47=100,0,IF(ISNUMBER(SEARCH("multiple",Q47)),1,0))</f>
        <v>0</v>
      </c>
      <c r="AT47" s="451">
        <f t="shared" si="8"/>
        <v>0</v>
      </c>
      <c r="AU47" s="451">
        <f t="shared" si="9"/>
        <v>0</v>
      </c>
      <c r="AV47" s="1222">
        <f>IF(ISNUMBER(SEARCH("Networked",'Proposed Lighting'!T47)),0,IF(ISNUMBER(SEARCH("Strategies",'Proposed Lighting'!T47)),0,IF(ISNUMBER(SEARCH("Removal",'Proposed Lighting'!T47)),0,IF(ISNUMBER(SEARCH("non-standard",Q47)),1,0))))</f>
        <v>0</v>
      </c>
      <c r="AW47" s="451">
        <f t="shared" si="12"/>
        <v>0</v>
      </c>
      <c r="AX47" s="451"/>
      <c r="AY47" s="451"/>
      <c r="AZ47" s="451"/>
      <c r="BA47" s="451"/>
      <c r="BB47" s="451"/>
      <c r="BC47" s="1215"/>
      <c r="BD47" s="1215"/>
      <c r="BE47" s="1215"/>
      <c r="BF47" s="1215"/>
      <c r="BG47" s="1215"/>
      <c r="BH47" s="1215"/>
      <c r="BI47">
        <f>IF(AND(AS47=1,BC47="No",BD47="Yes",BE47="Yes",BF47="No",BH47="No"),0,IF(AND('Proposed Lighting'!AU47=2,AS47=1,BC47="Yes",BD47="Yes"),2,IF(AND('Proposed Lighting'!AU47=2,AS47=1,BC47="Yes",BE47="Yes"),2,IF(AND('Proposed Lighting'!AU47=2,AS47=1,BC47="Yes",BF47="Yes"),2,IF(AND('Proposed Lighting'!AU47=2,AS47=1,BC47="Yes",BH47="Yes"),2,IF(AND('Proposed Lighting'!AU47=2,AS47=1,BD47="Yes",BF47="Yes"),2,IF(AND('Proposed Lighting'!AU47=2,AS47=1,BD47="Yes",BH47="Yes"),2,IF(AND('Proposed Lighting'!AU47=3,AS47=1,BC47="Yes",BE47="Yes"),2,IF(AND('Proposed Lighting'!AU47=3,AS47=1,BC47="Yes",BF47="Yes"),2,0)))))))))</f>
        <v>0</v>
      </c>
      <c r="BJ47" s="1025">
        <f t="shared" si="10"/>
        <v>0</v>
      </c>
      <c r="BK47">
        <f>IF(AND('Proposed Lighting'!BC47=22,'Lighting Controls'!N47=1),0,IF(ISNUMBER(SEARCH("LED",G47)),1,0))</f>
        <v>0</v>
      </c>
    </row>
    <row r="48" spans="1:63" ht="34.5" customHeight="1">
      <c r="A48" s="917">
        <v>40</v>
      </c>
      <c r="B48" s="1828" t="str">
        <f>IF('Proposed Lighting'!B48="","",'Proposed Lighting'!B48)</f>
        <v/>
      </c>
      <c r="C48" s="1828"/>
      <c r="D48" s="1828"/>
      <c r="E48" s="1245">
        <f>'Proposed Lighting'!AA48</f>
        <v>0</v>
      </c>
      <c r="F48" s="1245">
        <f t="shared" si="0"/>
        <v>0</v>
      </c>
      <c r="G48" s="1830" t="str">
        <f>IF('Proposed Lighting'!T48="","",IF(ISNUMBER(SEARCH("Networked",'Proposed Lighting'!T48)),0,IF(ISNUMBER(SEARCH("Strategies",'Proposed Lighting'!T48)),0,IF(ISNUMBER(SEARCH("Removal",'Proposed Lighting'!T48)),0,'Proposed Lighting'!T48))))</f>
        <v/>
      </c>
      <c r="H48" s="1830"/>
      <c r="I48" s="1830"/>
      <c r="J48" s="1830"/>
      <c r="K48" s="1215"/>
      <c r="L48" s="1246">
        <f t="shared" si="1"/>
        <v>0</v>
      </c>
      <c r="M48" s="1224">
        <f t="shared" si="2"/>
        <v>0</v>
      </c>
      <c r="N48" s="1224">
        <f t="shared" si="3"/>
        <v>0</v>
      </c>
      <c r="O48" s="1825" t="str">
        <f>IF(G48=0,0,IF(ISNA('Proposed Lighting'!AT48),0,'Proposed Lighting'!AT48))</f>
        <v/>
      </c>
      <c r="P48" s="1825"/>
      <c r="Q48" s="1247"/>
      <c r="R48" s="1247"/>
      <c r="S48" s="1247"/>
      <c r="T48" s="1211"/>
      <c r="U48" s="1235">
        <f>IF(K48&gt;0.01,'Proposed Lighting'!CU48,0)</f>
        <v>0</v>
      </c>
      <c r="V48" s="1248">
        <f>IF('Proposed Lighting'!CF48=1,0,IF('Proposed Lighting'!AU48=2,0,IF(AND('Proposed Lighting'!AU48=3,'Proposed Lighting'!CF48=0),1,0)))</f>
        <v>0</v>
      </c>
      <c r="W48" s="1836"/>
      <c r="X48" s="1836"/>
      <c r="Y48" s="1836"/>
      <c r="Z48" s="1230" t="str">
        <f t="shared" si="4"/>
        <v/>
      </c>
      <c r="AA48" s="1230">
        <f t="shared" si="5"/>
        <v>0</v>
      </c>
      <c r="AB48" s="1230">
        <f>IF(Q48=0,0,IF(T48=0,0,IF(AA48=0,0,IF(AND(F48=3,V48=0),0,IF(T48=0,0,IF(K48&gt;'Proposed Lighting'!AA48,0,IF('Proposed Lighting'!EJ48&gt;0.01,(K48*O48)*'Proposed Lighting'!EJ48/1000,(K48*O48)*U48/1000)))))))</f>
        <v>0</v>
      </c>
      <c r="AC48" s="1230" t="str">
        <f t="shared" si="6"/>
        <v/>
      </c>
      <c r="AD48" s="1230">
        <f t="shared" si="7"/>
        <v>0</v>
      </c>
      <c r="AE48" s="1230">
        <f>IF(T48=0,0,IF(K48&gt;'Proposed Lighting'!AA48,0,IF(T48&gt;K48,0,IF(AND(AD48&gt;AA48,AA48&gt;0),0,IF(AND(F48&gt;1,W48&lt;0.01),0,IF('Proposed Lighting'!AU48&gt;'Lighting Controls'!F48,0,IF('Proposed Lighting'!AU48&lt;'Lighting Controls'!F48,0,IF(U48=0,0,Summary!AC351))))))))</f>
        <v>0</v>
      </c>
      <c r="AF48" s="1230">
        <f>IF(T48=0,0,IF(AE48=0,0,IF(K48&gt;'Proposed Lighting'!AA48,0,IF(AND(AD48&gt;AA48,AA48&gt;0),0,IF(U48=0,0,Summary!AD351)))))</f>
        <v>0</v>
      </c>
      <c r="AG48" s="1834">
        <f>IF('Proposed Lighting'!AU48=1,0,IF('Proposed Lighting'!CF48=1,0,T48*W48))</f>
        <v>0</v>
      </c>
      <c r="AH48" s="1834"/>
      <c r="AI48" s="1834"/>
      <c r="AJ48" s="1835">
        <f>IF(T48&lt;1,0,IF(K48&gt;'Proposed Lighting'!AA48,0,IF('Proposed Lighting'!CF48=1,0,IF('Proposed Lighting'!AU48=1,0,IF(T48&gt;K48,0,IF(AND(AD48&gt;AA48,AA48&gt;0),0,IF(AND(F48=2,'Proposed Lighting'!AU48=3),0,IF(AND(F48=3,'Proposed Lighting'!AU48=2),0,IF('Proposed Lighting'!CH48=100,0,IF(AND(F48&lt;3,V48=1,AM48=0),0,IF(AND(F48&gt;1,AF48&lt;1,AN48&lt;1),0,IF(AND(F48&gt;1,AE48&lt;0.69,AF48&lt;1,AN48&lt;1),0,IF(ISERROR(AB48-AC48),"",AB48-AC48)))))))))))))</f>
        <v>0</v>
      </c>
      <c r="AK48" s="1835"/>
      <c r="AL48" s="1835"/>
      <c r="AM48" s="1216">
        <f>IF(Q48=0,0,IF(T48=0,0,IF(T48&gt;K48,0,IF(AND(AS48&gt;0.01,BK48=0),0,IF(AND('Proposed Lighting'!DG48=0,'Lighting Controls'!Z48=0.35),0,IF(AND(T48&lt;=K48,AA48&gt;=AD48,'Proposed Lighting'!AU48=2),VLOOKUP(Q48,$AY$9:$AZ$15,2,FALSE),IF(AND(T48&lt;=K48,AA48&gt;=AD48,'Proposed Lighting'!AU48=3),VLOOKUP(Q48,$AY$17:$AZ$23,2,FALSE))))))))</f>
        <v>0</v>
      </c>
      <c r="AN48" s="1248">
        <f>IF(T48=0,0,IF(K48&gt;'Proposed Lighting'!AA48,0,IF(AE48=0,0,IF(AND(AD48&gt;AA48,AA48&gt;0),0,IF(U48=0,0,Summary!AE351)))))</f>
        <v>0</v>
      </c>
      <c r="AO48" s="1248">
        <f t="shared" si="11"/>
        <v>0</v>
      </c>
      <c r="AP48" s="1249">
        <f>IF('Proposed Lighting'!AU48=1,0,IF(K48=0,0,IF(T48&gt;K48,0,IF(G48=0,0,IF(K48&gt;'Proposed Lighting'!AA48,0,IF(AND(AD48&gt;AA48,AA48&gt;0),0,IF(AND('Proposed Lighting'!AU48=3,AM48=0.5),0,IF(AND(AM48&gt;0,AS48&gt;0,BI48&lt;2),0,IF('Proposed Lighting'!CH48=100,0,IF(AV48=1,0,IF(AND(AM48=35,M48+N48&lt;2),0,AM48)))))))))))</f>
        <v>0</v>
      </c>
      <c r="AQ48" s="1249" t="str">
        <f>IFERROR(ROUND(IF(Q48="","",IF('Proposed Lighting'!$X$4=0,0,IF(AND(AM48=35,M48+N48&lt;2),0,IF(T48&gt;K48,0,IF('Proposed Lighting'!AU48=1,0,IF(AJ48=0,0,IF(AND('Proposed Lighting'!AU48=3,AM48=0.5),0,IF(AND(AD48=75,AP48=0,AV48=0),0,IF(AP48&gt;0.01,AP48*T48,IF(AND(F48&gt;1,W48&lt;0.01),0,IF(AND(F48&gt;1,AO48=0),0,IF(AND('Proposed Lighting'!BC48=22,AV48=0),0,IF(AND(AM48&gt;0,AS48&gt;0,BI48&lt;2),0,IF(AND(AS48&gt;0.01,BK48=0),0,IF(AND(AO48=TRUE,AV48=1,F48=3),MIN(AJ48*0.08,L48),IF(AP48&gt;0.01,AP48*T48,IF(AND(AO48=TRUE,AV48=1,F48=2),MIN(AJ48*0.1,L48)))))))))))))))))),2),"")</f>
        <v/>
      </c>
      <c r="AR48" s="1250">
        <f>IF(Q48=0,0,IF('Proposed Lighting'!$X$4=0,0,IF(AND(AM48&gt;0.01,AQ48&gt;0.01),0,IF('Proposed Lighting'!AU48=1,"Missing Interior or Exterior Selection",IF('Proposed Lighting'!CF48=1,"Selection does not match",IF(K48&gt;'Proposed Lighting'!AA48,"Quantity controlled does not match proposed lighting quantity",IF(T48&gt;K48,"Quantity of sensors exceeds proposed lighting quantity",IF(AND(F48&gt;1,'Proposed Lighting'!AU48&lt;&gt;F48),"Selection does not match",IF(AND(AD48&gt;AA48,AA48&gt;0),"Does not meet minimum connected load",IF(AND(O48&gt;0,AS48&gt;0,BK48&gt;0,'Proposed Lighting'!CH48=0),"Select Control Strategies",IF(AND(AC48&gt;0.1,AJ48=0,AQ48=0),"Does not meet incentive criteria",0)))))))))))</f>
        <v>0</v>
      </c>
      <c r="AS48" s="1224">
        <f>IF('Proposed Lighting'!CH48=100,0,IF(ISNUMBER(SEARCH("multiple",Q48)),1,0))</f>
        <v>0</v>
      </c>
      <c r="AT48" s="451">
        <f t="shared" si="8"/>
        <v>0</v>
      </c>
      <c r="AU48" s="451">
        <f t="shared" si="9"/>
        <v>0</v>
      </c>
      <c r="AV48" s="1222">
        <f>IF(ISNUMBER(SEARCH("Networked",'Proposed Lighting'!T48)),0,IF(ISNUMBER(SEARCH("Strategies",'Proposed Lighting'!T48)),0,IF(ISNUMBER(SEARCH("Removal",'Proposed Lighting'!T48)),0,IF(ISNUMBER(SEARCH("non-standard",Q48)),1,0))))</f>
        <v>0</v>
      </c>
      <c r="AW48" s="451">
        <f t="shared" si="12"/>
        <v>0</v>
      </c>
      <c r="AX48" s="451"/>
      <c r="AY48" s="451"/>
      <c r="AZ48" s="451"/>
      <c r="BA48" s="451"/>
      <c r="BB48" s="451"/>
      <c r="BC48" s="1215"/>
      <c r="BD48" s="1215"/>
      <c r="BE48" s="1215"/>
      <c r="BF48" s="1215"/>
      <c r="BG48" s="1215"/>
      <c r="BH48" s="1215"/>
      <c r="BI48">
        <f>IF(AND(AS48=1,BC48="No",BD48="Yes",BE48="Yes",BF48="No",BH48="No"),0,IF(AND('Proposed Lighting'!AU48=2,AS48=1,BC48="Yes",BD48="Yes"),2,IF(AND('Proposed Lighting'!AU48=2,AS48=1,BC48="Yes",BE48="Yes"),2,IF(AND('Proposed Lighting'!AU48=2,AS48=1,BC48="Yes",BF48="Yes"),2,IF(AND('Proposed Lighting'!AU48=2,AS48=1,BC48="Yes",BH48="Yes"),2,IF(AND('Proposed Lighting'!AU48=2,AS48=1,BD48="Yes",BF48="Yes"),2,IF(AND('Proposed Lighting'!AU48=2,AS48=1,BD48="Yes",BH48="Yes"),2,IF(AND('Proposed Lighting'!AU48=3,AS48=1,BC48="Yes",BE48="Yes"),2,IF(AND('Proposed Lighting'!AU48=3,AS48=1,BC48="Yes",BF48="Yes"),2,0)))))))))</f>
        <v>0</v>
      </c>
      <c r="BJ48" s="1025">
        <f t="shared" si="10"/>
        <v>0</v>
      </c>
      <c r="BK48">
        <f>IF(AND('Proposed Lighting'!BC48=22,'Lighting Controls'!N48=1),0,IF(ISNUMBER(SEARCH("LED",G48)),1,0))</f>
        <v>0</v>
      </c>
    </row>
    <row r="49" spans="1:63" ht="34.5" customHeight="1">
      <c r="A49" s="917">
        <v>41</v>
      </c>
      <c r="B49" s="1828" t="str">
        <f>IF('Proposed Lighting'!B49="","",'Proposed Lighting'!B49)</f>
        <v/>
      </c>
      <c r="C49" s="1828"/>
      <c r="D49" s="1828"/>
      <c r="E49" s="1245">
        <f>'Proposed Lighting'!AA49</f>
        <v>0</v>
      </c>
      <c r="F49" s="1245">
        <f t="shared" si="0"/>
        <v>0</v>
      </c>
      <c r="G49" s="1830" t="str">
        <f>IF('Proposed Lighting'!T49="","",IF(ISNUMBER(SEARCH("Networked",'Proposed Lighting'!T49)),0,IF(ISNUMBER(SEARCH("Strategies",'Proposed Lighting'!T49)),0,IF(ISNUMBER(SEARCH("Removal",'Proposed Lighting'!T49)),0,'Proposed Lighting'!T49))))</f>
        <v/>
      </c>
      <c r="H49" s="1830"/>
      <c r="I49" s="1830"/>
      <c r="J49" s="1830"/>
      <c r="K49" s="1215"/>
      <c r="L49" s="1246">
        <f t="shared" si="1"/>
        <v>0</v>
      </c>
      <c r="M49" s="1224">
        <f t="shared" si="2"/>
        <v>0</v>
      </c>
      <c r="N49" s="1224">
        <f t="shared" si="3"/>
        <v>0</v>
      </c>
      <c r="O49" s="1825" t="str">
        <f>IF(G49=0,0,IF(ISNA('Proposed Lighting'!AT49),0,'Proposed Lighting'!AT49))</f>
        <v/>
      </c>
      <c r="P49" s="1825"/>
      <c r="Q49" s="1247"/>
      <c r="R49" s="1247"/>
      <c r="S49" s="1247"/>
      <c r="T49" s="1211"/>
      <c r="U49" s="1235">
        <f>IF(K49&gt;0.01,'Proposed Lighting'!CU49,0)</f>
        <v>0</v>
      </c>
      <c r="V49" s="1248">
        <f>IF('Proposed Lighting'!CF49=1,0,IF('Proposed Lighting'!AU49=2,0,IF(AND('Proposed Lighting'!AU49=3,'Proposed Lighting'!CF49=0),1,0)))</f>
        <v>0</v>
      </c>
      <c r="W49" s="1836"/>
      <c r="X49" s="1836"/>
      <c r="Y49" s="1836"/>
      <c r="Z49" s="1230" t="str">
        <f t="shared" si="4"/>
        <v/>
      </c>
      <c r="AA49" s="1230">
        <f t="shared" si="5"/>
        <v>0</v>
      </c>
      <c r="AB49" s="1230">
        <f>IF(Q49=0,0,IF(T49=0,0,IF(AA49=0,0,IF(AND(F49=3,V49=0),0,IF(T49=0,0,IF(K49&gt;'Proposed Lighting'!AA49,0,IF('Proposed Lighting'!EJ49&gt;0.01,(K49*O49)*'Proposed Lighting'!EJ49/1000,(K49*O49)*U49/1000)))))))</f>
        <v>0</v>
      </c>
      <c r="AC49" s="1230" t="str">
        <f t="shared" si="6"/>
        <v/>
      </c>
      <c r="AD49" s="1230">
        <f t="shared" si="7"/>
        <v>0</v>
      </c>
      <c r="AE49" s="1230">
        <f>IF(T49=0,0,IF(K49&gt;'Proposed Lighting'!AA49,0,IF(T49&gt;K49,0,IF(AND(AD49&gt;AA49,AA49&gt;0),0,IF(AND(F49&gt;1,W49&lt;0.01),0,IF('Proposed Lighting'!AU49&gt;'Lighting Controls'!F49,0,IF('Proposed Lighting'!AU49&lt;'Lighting Controls'!F49,0,IF(U49=0,0,Summary!AC352))))))))</f>
        <v>0</v>
      </c>
      <c r="AF49" s="1230">
        <f>IF(T49=0,0,IF(AE49=0,0,IF(K49&gt;'Proposed Lighting'!AA49,0,IF(AND(AD49&gt;AA49,AA49&gt;0),0,IF(U49=0,0,Summary!AD352)))))</f>
        <v>0</v>
      </c>
      <c r="AG49" s="1834">
        <f>IF('Proposed Lighting'!AU49=1,0,IF('Proposed Lighting'!CF49=1,0,T49*W49))</f>
        <v>0</v>
      </c>
      <c r="AH49" s="1834"/>
      <c r="AI49" s="1834"/>
      <c r="AJ49" s="1835">
        <f>IF(T49&lt;1,0,IF(K49&gt;'Proposed Lighting'!AA49,0,IF('Proposed Lighting'!CF49=1,0,IF('Proposed Lighting'!AU49=1,0,IF(T49&gt;K49,0,IF(AND(AD49&gt;AA49,AA49&gt;0),0,IF(AND(F49=2,'Proposed Lighting'!AU49=3),0,IF(AND(F49=3,'Proposed Lighting'!AU49=2),0,IF('Proposed Lighting'!CH49=100,0,IF(AND(F49&lt;3,V49=1,AM49=0),0,IF(AND(F49&gt;1,AF49&lt;1,AN49&lt;1),0,IF(AND(F49&gt;1,AE49&lt;0.69,AF49&lt;1,AN49&lt;1),0,IF(ISERROR(AB49-AC49),"",AB49-AC49)))))))))))))</f>
        <v>0</v>
      </c>
      <c r="AK49" s="1835"/>
      <c r="AL49" s="1835"/>
      <c r="AM49" s="1216">
        <f>IF(Q49=0,0,IF(T49=0,0,IF(T49&gt;K49,0,IF(AND(AS49&gt;0.01,BK49=0),0,IF(AND('Proposed Lighting'!DG49=0,'Lighting Controls'!Z49=0.35),0,IF(AND(T49&lt;=K49,AA49&gt;=AD49,'Proposed Lighting'!AU49=2),VLOOKUP(Q49,$AY$9:$AZ$15,2,FALSE),IF(AND(T49&lt;=K49,AA49&gt;=AD49,'Proposed Lighting'!AU49=3),VLOOKUP(Q49,$AY$17:$AZ$23,2,FALSE))))))))</f>
        <v>0</v>
      </c>
      <c r="AN49" s="1248">
        <f>IF(T49=0,0,IF(K49&gt;'Proposed Lighting'!AA49,0,IF(AE49=0,0,IF(AND(AD49&gt;AA49,AA49&gt;0),0,IF(U49=0,0,Summary!AE352)))))</f>
        <v>0</v>
      </c>
      <c r="AO49" s="1248">
        <f t="shared" si="11"/>
        <v>0</v>
      </c>
      <c r="AP49" s="1249">
        <f>IF('Proposed Lighting'!AU49=1,0,IF(K49=0,0,IF(T49&gt;K49,0,IF(G49=0,0,IF(K49&gt;'Proposed Lighting'!AA49,0,IF(AND(AD49&gt;AA49,AA49&gt;0),0,IF(AND('Proposed Lighting'!AU49=3,AM49=0.5),0,IF(AND(AM49&gt;0,AS49&gt;0,BI49&lt;2),0,IF('Proposed Lighting'!CH49=100,0,IF(AV49=1,0,IF(AND(AM49=35,M49+N49&lt;2),0,AM49)))))))))))</f>
        <v>0</v>
      </c>
      <c r="AQ49" s="1249" t="str">
        <f>IFERROR(ROUND(IF(Q49="","",IF('Proposed Lighting'!$X$4=0,0,IF(AND(AM49=35,M49+N49&lt;2),0,IF(T49&gt;K49,0,IF('Proposed Lighting'!AU49=1,0,IF(AJ49=0,0,IF(AND('Proposed Lighting'!AU49=3,AM49=0.5),0,IF(AND(AD49=75,AP49=0,AV49=0),0,IF(AP49&gt;0.01,AP49*T49,IF(AND(F49&gt;1,W49&lt;0.01),0,IF(AND(F49&gt;1,AO49=0),0,IF(AND('Proposed Lighting'!BC49=22,AV49=0),0,IF(AND(AM49&gt;0,AS49&gt;0,BI49&lt;2),0,IF(AND(AS49&gt;0.01,BK49=0),0,IF(AND(AO49=TRUE,AV49=1,F49=3),MIN(AJ49*0.08,L49),IF(AP49&gt;0.01,AP49*T49,IF(AND(AO49=TRUE,AV49=1,F49=2),MIN(AJ49*0.1,L49)))))))))))))))))),2),"")</f>
        <v/>
      </c>
      <c r="AR49" s="1250">
        <f>IF(Q49=0,0,IF('Proposed Lighting'!$X$4=0,0,IF(AND(AM49&gt;0.01,AQ49&gt;0.01),0,IF('Proposed Lighting'!AU49=1,"Missing Interior or Exterior Selection",IF('Proposed Lighting'!CF49=1,"Selection does not match",IF(K49&gt;'Proposed Lighting'!AA49,"Quantity controlled does not match proposed lighting quantity",IF(T49&gt;K49,"Quantity of sensors exceeds proposed lighting quantity",IF(AND(F49&gt;1,'Proposed Lighting'!AU49&lt;&gt;F49),"Selection does not match",IF(AND(AD49&gt;AA49,AA49&gt;0),"Does not meet minimum connected load",IF(AND(O49&gt;0,AS49&gt;0,BK49&gt;0,'Proposed Lighting'!CH49=0),"Select Control Strategies",IF(AND(AC49&gt;0.1,AJ49=0,AQ49=0),"Does not meet incentive criteria",0)))))))))))</f>
        <v>0</v>
      </c>
      <c r="AS49" s="1224">
        <f>IF('Proposed Lighting'!CH49=100,0,IF(ISNUMBER(SEARCH("multiple",Q49)),1,0))</f>
        <v>0</v>
      </c>
      <c r="AT49" s="451">
        <f t="shared" si="8"/>
        <v>0</v>
      </c>
      <c r="AU49" s="451">
        <f t="shared" si="9"/>
        <v>0</v>
      </c>
      <c r="AV49" s="1222">
        <f>IF(ISNUMBER(SEARCH("Networked",'Proposed Lighting'!T49)),0,IF(ISNUMBER(SEARCH("Strategies",'Proposed Lighting'!T49)),0,IF(ISNUMBER(SEARCH("Removal",'Proposed Lighting'!T49)),0,IF(ISNUMBER(SEARCH("non-standard",Q49)),1,0))))</f>
        <v>0</v>
      </c>
      <c r="AW49" s="451">
        <f t="shared" si="12"/>
        <v>0</v>
      </c>
      <c r="AX49" s="451"/>
      <c r="AY49" s="451"/>
      <c r="AZ49" s="451"/>
      <c r="BA49" s="451"/>
      <c r="BB49" s="451"/>
      <c r="BC49" s="1215"/>
      <c r="BD49" s="1215"/>
      <c r="BE49" s="1215"/>
      <c r="BF49" s="1215"/>
      <c r="BG49" s="1215"/>
      <c r="BH49" s="1215"/>
      <c r="BI49">
        <f>IF(AND(AS49=1,BC49="No",BD49="Yes",BE49="Yes",BF49="No",BH49="No"),0,IF(AND('Proposed Lighting'!AU49=2,AS49=1,BC49="Yes",BD49="Yes"),2,IF(AND('Proposed Lighting'!AU49=2,AS49=1,BC49="Yes",BE49="Yes"),2,IF(AND('Proposed Lighting'!AU49=2,AS49=1,BC49="Yes",BF49="Yes"),2,IF(AND('Proposed Lighting'!AU49=2,AS49=1,BC49="Yes",BH49="Yes"),2,IF(AND('Proposed Lighting'!AU49=2,AS49=1,BD49="Yes",BF49="Yes"),2,IF(AND('Proposed Lighting'!AU49=2,AS49=1,BD49="Yes",BH49="Yes"),2,IF(AND('Proposed Lighting'!AU49=3,AS49=1,BC49="Yes",BE49="Yes"),2,IF(AND('Proposed Lighting'!AU49=3,AS49=1,BC49="Yes",BF49="Yes"),2,0)))))))))</f>
        <v>0</v>
      </c>
      <c r="BJ49" s="1025">
        <f t="shared" si="10"/>
        <v>0</v>
      </c>
      <c r="BK49">
        <f>IF(AND('Proposed Lighting'!BC49=22,'Lighting Controls'!N49=1),0,IF(ISNUMBER(SEARCH("LED",G49)),1,0))</f>
        <v>0</v>
      </c>
    </row>
    <row r="50" spans="1:63" ht="34.5" customHeight="1">
      <c r="A50" s="917">
        <v>42</v>
      </c>
      <c r="B50" s="1828" t="str">
        <f>IF('Proposed Lighting'!B50="","",'Proposed Lighting'!B50)</f>
        <v/>
      </c>
      <c r="C50" s="1828"/>
      <c r="D50" s="1828"/>
      <c r="E50" s="1245">
        <f>'Proposed Lighting'!AA50</f>
        <v>0</v>
      </c>
      <c r="F50" s="1245">
        <f t="shared" si="0"/>
        <v>0</v>
      </c>
      <c r="G50" s="1830" t="str">
        <f>IF('Proposed Lighting'!T50="","",IF(ISNUMBER(SEARCH("Networked",'Proposed Lighting'!T50)),0,IF(ISNUMBER(SEARCH("Strategies",'Proposed Lighting'!T50)),0,IF(ISNUMBER(SEARCH("Removal",'Proposed Lighting'!T50)),0,'Proposed Lighting'!T50))))</f>
        <v/>
      </c>
      <c r="H50" s="1830"/>
      <c r="I50" s="1830"/>
      <c r="J50" s="1830"/>
      <c r="K50" s="1215"/>
      <c r="L50" s="1246">
        <f t="shared" si="1"/>
        <v>0</v>
      </c>
      <c r="M50" s="1224">
        <f t="shared" si="2"/>
        <v>0</v>
      </c>
      <c r="N50" s="1224">
        <f t="shared" si="3"/>
        <v>0</v>
      </c>
      <c r="O50" s="1825" t="str">
        <f>IF(G50=0,0,IF(ISNA('Proposed Lighting'!AT50),0,'Proposed Lighting'!AT50))</f>
        <v/>
      </c>
      <c r="P50" s="1825"/>
      <c r="Q50" s="1247"/>
      <c r="R50" s="1247"/>
      <c r="S50" s="1247"/>
      <c r="T50" s="1211"/>
      <c r="U50" s="1235">
        <f>IF(K50&gt;0.01,'Proposed Lighting'!CU50,0)</f>
        <v>0</v>
      </c>
      <c r="V50" s="1248">
        <f>IF('Proposed Lighting'!CF50=1,0,IF('Proposed Lighting'!AU50=2,0,IF(AND('Proposed Lighting'!AU50=3,'Proposed Lighting'!CF50=0),1,0)))</f>
        <v>0</v>
      </c>
      <c r="W50" s="1836"/>
      <c r="X50" s="1836"/>
      <c r="Y50" s="1836"/>
      <c r="Z50" s="1230" t="str">
        <f t="shared" si="4"/>
        <v/>
      </c>
      <c r="AA50" s="1230">
        <f t="shared" si="5"/>
        <v>0</v>
      </c>
      <c r="AB50" s="1230">
        <f>IF(Q50=0,0,IF(T50=0,0,IF(AA50=0,0,IF(AND(F50=3,V50=0),0,IF(T50=0,0,IF(K50&gt;'Proposed Lighting'!AA50,0,IF('Proposed Lighting'!EJ50&gt;0.01,(K50*O50)*'Proposed Lighting'!EJ50/1000,(K50*O50)*U50/1000)))))))</f>
        <v>0</v>
      </c>
      <c r="AC50" s="1230" t="str">
        <f t="shared" si="6"/>
        <v/>
      </c>
      <c r="AD50" s="1230">
        <f t="shared" si="7"/>
        <v>0</v>
      </c>
      <c r="AE50" s="1230">
        <f>IF(T50=0,0,IF(K50&gt;'Proposed Lighting'!AA50,0,IF(T50&gt;K50,0,IF(AND(AD50&gt;AA50,AA50&gt;0),0,IF(AND(F50&gt;1,W50&lt;0.01),0,IF('Proposed Lighting'!AU50&gt;'Lighting Controls'!F50,0,IF('Proposed Lighting'!AU50&lt;'Lighting Controls'!F50,0,IF(U50=0,0,Summary!AC353))))))))</f>
        <v>0</v>
      </c>
      <c r="AF50" s="1230">
        <f>IF(T50=0,0,IF(AE50=0,0,IF(K50&gt;'Proposed Lighting'!AA50,0,IF(AND(AD50&gt;AA50,AA50&gt;0),0,IF(U50=0,0,Summary!AD353)))))</f>
        <v>0</v>
      </c>
      <c r="AG50" s="1834">
        <f>IF('Proposed Lighting'!AU50=1,0,IF('Proposed Lighting'!CF50=1,0,T50*W50))</f>
        <v>0</v>
      </c>
      <c r="AH50" s="1834"/>
      <c r="AI50" s="1834"/>
      <c r="AJ50" s="1835">
        <f>IF(T50&lt;1,0,IF(K50&gt;'Proposed Lighting'!AA50,0,IF('Proposed Lighting'!CF50=1,0,IF('Proposed Lighting'!AU50=1,0,IF(T50&gt;K50,0,IF(AND(AD50&gt;AA50,AA50&gt;0),0,IF(AND(F50=2,'Proposed Lighting'!AU50=3),0,IF(AND(F50=3,'Proposed Lighting'!AU50=2),0,IF('Proposed Lighting'!CH50=100,0,IF(AND(F50&lt;3,V50=1,AM50=0),0,IF(AND(F50&gt;1,AF50&lt;1,AN50&lt;1),0,IF(AND(F50&gt;1,AE50&lt;0.69,AF50&lt;1,AN50&lt;1),0,IF(ISERROR(AB50-AC50),"",AB50-AC50)))))))))))))</f>
        <v>0</v>
      </c>
      <c r="AK50" s="1835"/>
      <c r="AL50" s="1835"/>
      <c r="AM50" s="1216">
        <f>IF(Q50=0,0,IF(T50=0,0,IF(T50&gt;K50,0,IF(AND(AS50&gt;0.01,BK50=0),0,IF(AND('Proposed Lighting'!DG50=0,'Lighting Controls'!Z50=0.35),0,IF(AND(T50&lt;=K50,AA50&gt;=AD50,'Proposed Lighting'!AU50=2),VLOOKUP(Q50,$AY$9:$AZ$15,2,FALSE),IF(AND(T50&lt;=K50,AA50&gt;=AD50,'Proposed Lighting'!AU50=3),VLOOKUP(Q50,$AY$17:$AZ$23,2,FALSE))))))))</f>
        <v>0</v>
      </c>
      <c r="AN50" s="1248">
        <f>IF(T50=0,0,IF(K50&gt;'Proposed Lighting'!AA50,0,IF(AE50=0,0,IF(AND(AD50&gt;AA50,AA50&gt;0),0,IF(U50=0,0,Summary!AE353)))))</f>
        <v>0</v>
      </c>
      <c r="AO50" s="1248">
        <f t="shared" si="11"/>
        <v>0</v>
      </c>
      <c r="AP50" s="1249">
        <f>IF('Proposed Lighting'!AU50=1,0,IF(K50=0,0,IF(T50&gt;K50,0,IF(G50=0,0,IF(K50&gt;'Proposed Lighting'!AA50,0,IF(AND(AD50&gt;AA50,AA50&gt;0),0,IF(AND('Proposed Lighting'!AU50=3,AM50=0.5),0,IF(AND(AM50&gt;0,AS50&gt;0,BI50&lt;2),0,IF('Proposed Lighting'!CH50=100,0,IF(AV50=1,0,IF(AND(AM50=35,M50+N50&lt;2),0,AM50)))))))))))</f>
        <v>0</v>
      </c>
      <c r="AQ50" s="1249" t="str">
        <f>IFERROR(ROUND(IF(Q50="","",IF('Proposed Lighting'!$X$4=0,0,IF(AND(AM50=35,M50+N50&lt;2),0,IF(T50&gt;K50,0,IF('Proposed Lighting'!AU50=1,0,IF(AJ50=0,0,IF(AND('Proposed Lighting'!AU50=3,AM50=0.5),0,IF(AND(AD50=75,AP50=0,AV50=0),0,IF(AP50&gt;0.01,AP50*T50,IF(AND(F50&gt;1,W50&lt;0.01),0,IF(AND(F50&gt;1,AO50=0),0,IF(AND('Proposed Lighting'!BC50=22,AV50=0),0,IF(AND(AM50&gt;0,AS50&gt;0,BI50&lt;2),0,IF(AND(AS50&gt;0.01,BK50=0),0,IF(AND(AO50=TRUE,AV50=1,F50=3),MIN(AJ50*0.08,L50),IF(AP50&gt;0.01,AP50*T50,IF(AND(AO50=TRUE,AV50=1,F50=2),MIN(AJ50*0.1,L50)))))))))))))))))),2),"")</f>
        <v/>
      </c>
      <c r="AR50" s="1250">
        <f>IF(Q50=0,0,IF('Proposed Lighting'!$X$4=0,0,IF(AND(AM50&gt;0.01,AQ50&gt;0.01),0,IF('Proposed Lighting'!AU50=1,"Missing Interior or Exterior Selection",IF('Proposed Lighting'!CF50=1,"Selection does not match",IF(K50&gt;'Proposed Lighting'!AA50,"Quantity controlled does not match proposed lighting quantity",IF(T50&gt;K50,"Quantity of sensors exceeds proposed lighting quantity",IF(AND(F50&gt;1,'Proposed Lighting'!AU50&lt;&gt;F50),"Selection does not match",IF(AND(AD50&gt;AA50,AA50&gt;0),"Does not meet minimum connected load",IF(AND(O50&gt;0,AS50&gt;0,BK50&gt;0,'Proposed Lighting'!CH50=0),"Select Control Strategies",IF(AND(AC50&gt;0.1,AJ50=0,AQ50=0),"Does not meet incentive criteria",0)))))))))))</f>
        <v>0</v>
      </c>
      <c r="AS50" s="1224">
        <f>IF('Proposed Lighting'!CH50=100,0,IF(ISNUMBER(SEARCH("multiple",Q50)),1,0))</f>
        <v>0</v>
      </c>
      <c r="AT50" s="451">
        <f t="shared" si="8"/>
        <v>0</v>
      </c>
      <c r="AU50" s="451">
        <f t="shared" si="9"/>
        <v>0</v>
      </c>
      <c r="AV50" s="1222">
        <f>IF(ISNUMBER(SEARCH("Networked",'Proposed Lighting'!T50)),0,IF(ISNUMBER(SEARCH("Strategies",'Proposed Lighting'!T50)),0,IF(ISNUMBER(SEARCH("Removal",'Proposed Lighting'!T50)),0,IF(ISNUMBER(SEARCH("non-standard",Q50)),1,0))))</f>
        <v>0</v>
      </c>
      <c r="AW50" s="451">
        <f t="shared" si="12"/>
        <v>0</v>
      </c>
      <c r="AX50" s="451"/>
      <c r="AY50" s="451"/>
      <c r="AZ50" s="451"/>
      <c r="BA50" s="451"/>
      <c r="BB50" s="451"/>
      <c r="BC50" s="1215"/>
      <c r="BD50" s="1215"/>
      <c r="BE50" s="1215"/>
      <c r="BF50" s="1215"/>
      <c r="BG50" s="1215"/>
      <c r="BH50" s="1215"/>
      <c r="BI50">
        <f>IF(AND(AS50=1,BC50="No",BD50="Yes",BE50="Yes",BF50="No",BH50="No"),0,IF(AND('Proposed Lighting'!AU50=2,AS50=1,BC50="Yes",BD50="Yes"),2,IF(AND('Proposed Lighting'!AU50=2,AS50=1,BC50="Yes",BE50="Yes"),2,IF(AND('Proposed Lighting'!AU50=2,AS50=1,BC50="Yes",BF50="Yes"),2,IF(AND('Proposed Lighting'!AU50=2,AS50=1,BC50="Yes",BH50="Yes"),2,IF(AND('Proposed Lighting'!AU50=2,AS50=1,BD50="Yes",BF50="Yes"),2,IF(AND('Proposed Lighting'!AU50=2,AS50=1,BD50="Yes",BH50="Yes"),2,IF(AND('Proposed Lighting'!AU50=3,AS50=1,BC50="Yes",BE50="Yes"),2,IF(AND('Proposed Lighting'!AU50=3,AS50=1,BC50="Yes",BF50="Yes"),2,0)))))))))</f>
        <v>0</v>
      </c>
      <c r="BJ50" s="1025">
        <f t="shared" si="10"/>
        <v>0</v>
      </c>
      <c r="BK50">
        <f>IF(AND('Proposed Lighting'!BC50=22,'Lighting Controls'!N50=1),0,IF(ISNUMBER(SEARCH("LED",G50)),1,0))</f>
        <v>0</v>
      </c>
    </row>
    <row r="51" spans="1:63" ht="34.5" customHeight="1">
      <c r="A51" s="917">
        <v>43</v>
      </c>
      <c r="B51" s="1828" t="str">
        <f>IF('Proposed Lighting'!B51="","",'Proposed Lighting'!B51)</f>
        <v/>
      </c>
      <c r="C51" s="1828"/>
      <c r="D51" s="1828"/>
      <c r="E51" s="1245">
        <f>'Proposed Lighting'!AA51</f>
        <v>0</v>
      </c>
      <c r="F51" s="1245">
        <f t="shared" si="0"/>
        <v>0</v>
      </c>
      <c r="G51" s="1830" t="str">
        <f>IF('Proposed Lighting'!T51="","",IF(ISNUMBER(SEARCH("Networked",'Proposed Lighting'!T51)),0,IF(ISNUMBER(SEARCH("Strategies",'Proposed Lighting'!T51)),0,IF(ISNUMBER(SEARCH("Removal",'Proposed Lighting'!T51)),0,'Proposed Lighting'!T51))))</f>
        <v/>
      </c>
      <c r="H51" s="1830"/>
      <c r="I51" s="1830"/>
      <c r="J51" s="1830"/>
      <c r="K51" s="1215"/>
      <c r="L51" s="1246">
        <f t="shared" si="1"/>
        <v>0</v>
      </c>
      <c r="M51" s="1224">
        <f t="shared" si="2"/>
        <v>0</v>
      </c>
      <c r="N51" s="1224">
        <f t="shared" si="3"/>
        <v>0</v>
      </c>
      <c r="O51" s="1825" t="str">
        <f>IF(G51=0,0,IF(ISNA('Proposed Lighting'!AT51),0,'Proposed Lighting'!AT51))</f>
        <v/>
      </c>
      <c r="P51" s="1825"/>
      <c r="Q51" s="1247"/>
      <c r="R51" s="1247"/>
      <c r="S51" s="1247"/>
      <c r="T51" s="1211"/>
      <c r="U51" s="1235">
        <f>IF(K51&gt;0.01,'Proposed Lighting'!CU51,0)</f>
        <v>0</v>
      </c>
      <c r="V51" s="1248">
        <f>IF('Proposed Lighting'!CF51=1,0,IF('Proposed Lighting'!AU51=2,0,IF(AND('Proposed Lighting'!AU51=3,'Proposed Lighting'!CF51=0),1,0)))</f>
        <v>0</v>
      </c>
      <c r="W51" s="1836"/>
      <c r="X51" s="1836"/>
      <c r="Y51" s="1836"/>
      <c r="Z51" s="1230" t="str">
        <f t="shared" si="4"/>
        <v/>
      </c>
      <c r="AA51" s="1230">
        <f t="shared" si="5"/>
        <v>0</v>
      </c>
      <c r="AB51" s="1230">
        <f>IF(Q51=0,0,IF(T51=0,0,IF(AA51=0,0,IF(AND(F51=3,V51=0),0,IF(T51=0,0,IF(K51&gt;'Proposed Lighting'!AA51,0,IF('Proposed Lighting'!EJ51&gt;0.01,(K51*O51)*'Proposed Lighting'!EJ51/1000,(K51*O51)*U51/1000)))))))</f>
        <v>0</v>
      </c>
      <c r="AC51" s="1230" t="str">
        <f t="shared" si="6"/>
        <v/>
      </c>
      <c r="AD51" s="1230">
        <f t="shared" si="7"/>
        <v>0</v>
      </c>
      <c r="AE51" s="1230">
        <f>IF(T51=0,0,IF(K51&gt;'Proposed Lighting'!AA51,0,IF(T51&gt;K51,0,IF(AND(AD51&gt;AA51,AA51&gt;0),0,IF(AND(F51&gt;1,W51&lt;0.01),0,IF('Proposed Lighting'!AU51&gt;'Lighting Controls'!F51,0,IF('Proposed Lighting'!AU51&lt;'Lighting Controls'!F51,0,IF(U51=0,0,Summary!AC354))))))))</f>
        <v>0</v>
      </c>
      <c r="AF51" s="1230">
        <f>IF(T51=0,0,IF(AE51=0,0,IF(K51&gt;'Proposed Lighting'!AA51,0,IF(AND(AD51&gt;AA51,AA51&gt;0),0,IF(U51=0,0,Summary!AD354)))))</f>
        <v>0</v>
      </c>
      <c r="AG51" s="1834">
        <f>IF('Proposed Lighting'!AU51=1,0,IF('Proposed Lighting'!CF51=1,0,T51*W51))</f>
        <v>0</v>
      </c>
      <c r="AH51" s="1834"/>
      <c r="AI51" s="1834"/>
      <c r="AJ51" s="1835">
        <f>IF(T51&lt;1,0,IF(K51&gt;'Proposed Lighting'!AA51,0,IF('Proposed Lighting'!CF51=1,0,IF('Proposed Lighting'!AU51=1,0,IF(T51&gt;K51,0,IF(AND(AD51&gt;AA51,AA51&gt;0),0,IF(AND(F51=2,'Proposed Lighting'!AU51=3),0,IF(AND(F51=3,'Proposed Lighting'!AU51=2),0,IF('Proposed Lighting'!CH51=100,0,IF(AND(F51&lt;3,V51=1,AM51=0),0,IF(AND(F51&gt;1,AF51&lt;1,AN51&lt;1),0,IF(AND(F51&gt;1,AE51&lt;0.69,AF51&lt;1,AN51&lt;1),0,IF(ISERROR(AB51-AC51),"",AB51-AC51)))))))))))))</f>
        <v>0</v>
      </c>
      <c r="AK51" s="1835"/>
      <c r="AL51" s="1835"/>
      <c r="AM51" s="1216">
        <f>IF(Q51=0,0,IF(T51=0,0,IF(T51&gt;K51,0,IF(AND(AS51&gt;0.01,BK51=0),0,IF(AND('Proposed Lighting'!DG51=0,'Lighting Controls'!Z51=0.35),0,IF(AND(T51&lt;=K51,AA51&gt;=AD51,'Proposed Lighting'!AU51=2),VLOOKUP(Q51,$AY$9:$AZ$15,2,FALSE),IF(AND(T51&lt;=K51,AA51&gt;=AD51,'Proposed Lighting'!AU51=3),VLOOKUP(Q51,$AY$17:$AZ$23,2,FALSE))))))))</f>
        <v>0</v>
      </c>
      <c r="AN51" s="1248">
        <f>IF(T51=0,0,IF(K51&gt;'Proposed Lighting'!AA51,0,IF(AE51=0,0,IF(AND(AD51&gt;AA51,AA51&gt;0),0,IF(U51=0,0,Summary!AE354)))))</f>
        <v>0</v>
      </c>
      <c r="AO51" s="1248">
        <f t="shared" si="11"/>
        <v>0</v>
      </c>
      <c r="AP51" s="1249">
        <f>IF('Proposed Lighting'!AU51=1,0,IF(K51=0,0,IF(T51&gt;K51,0,IF(G51=0,0,IF(K51&gt;'Proposed Lighting'!AA51,0,IF(AND(AD51&gt;AA51,AA51&gt;0),0,IF(AND('Proposed Lighting'!AU51=3,AM51=0.5),0,IF(AND(AM51&gt;0,AS51&gt;0,BI51&lt;2),0,IF('Proposed Lighting'!CH51=100,0,IF(AV51=1,0,IF(AND(AM51=35,M51+N51&lt;2),0,AM51)))))))))))</f>
        <v>0</v>
      </c>
      <c r="AQ51" s="1249" t="str">
        <f>IFERROR(ROUND(IF(Q51="","",IF('Proposed Lighting'!$X$4=0,0,IF(AND(AM51=35,M51+N51&lt;2),0,IF(T51&gt;K51,0,IF('Proposed Lighting'!AU51=1,0,IF(AJ51=0,0,IF(AND('Proposed Lighting'!AU51=3,AM51=0.5),0,IF(AND(AD51=75,AP51=0,AV51=0),0,IF(AP51&gt;0.01,AP51*T51,IF(AND(F51&gt;1,W51&lt;0.01),0,IF(AND(F51&gt;1,AO51=0),0,IF(AND('Proposed Lighting'!BC51=22,AV51=0),0,IF(AND(AM51&gt;0,AS51&gt;0,BI51&lt;2),0,IF(AND(AS51&gt;0.01,BK51=0),0,IF(AND(AO51=TRUE,AV51=1,F51=3),MIN(AJ51*0.08,L51),IF(AP51&gt;0.01,AP51*T51,IF(AND(AO51=TRUE,AV51=1,F51=2),MIN(AJ51*0.1,L51)))))))))))))))))),2),"")</f>
        <v/>
      </c>
      <c r="AR51" s="1250">
        <f>IF(Q51=0,0,IF('Proposed Lighting'!$X$4=0,0,IF(AND(AM51&gt;0.01,AQ51&gt;0.01),0,IF('Proposed Lighting'!AU51=1,"Missing Interior or Exterior Selection",IF('Proposed Lighting'!CF51=1,"Selection does not match",IF(K51&gt;'Proposed Lighting'!AA51,"Quantity controlled does not match proposed lighting quantity",IF(T51&gt;K51,"Quantity of sensors exceeds proposed lighting quantity",IF(AND(F51&gt;1,'Proposed Lighting'!AU51&lt;&gt;F51),"Selection does not match",IF(AND(AD51&gt;AA51,AA51&gt;0),"Does not meet minimum connected load",IF(AND(O51&gt;0,AS51&gt;0,BK51&gt;0,'Proposed Lighting'!CH51=0),"Select Control Strategies",IF(AND(AC51&gt;0.1,AJ51=0,AQ51=0),"Does not meet incentive criteria",0)))))))))))</f>
        <v>0</v>
      </c>
      <c r="AS51" s="1224">
        <f>IF('Proposed Lighting'!CH51=100,0,IF(ISNUMBER(SEARCH("multiple",Q51)),1,0))</f>
        <v>0</v>
      </c>
      <c r="AT51" s="451">
        <f t="shared" si="8"/>
        <v>0</v>
      </c>
      <c r="AU51" s="451">
        <f t="shared" si="9"/>
        <v>0</v>
      </c>
      <c r="AV51" s="1222">
        <f>IF(ISNUMBER(SEARCH("Networked",'Proposed Lighting'!T51)),0,IF(ISNUMBER(SEARCH("Strategies",'Proposed Lighting'!T51)),0,IF(ISNUMBER(SEARCH("Removal",'Proposed Lighting'!T51)),0,IF(ISNUMBER(SEARCH("non-standard",Q51)),1,0))))</f>
        <v>0</v>
      </c>
      <c r="AW51" s="451">
        <f t="shared" si="12"/>
        <v>0</v>
      </c>
      <c r="AX51" s="451"/>
      <c r="AY51" s="451"/>
      <c r="AZ51" s="451"/>
      <c r="BA51" s="451"/>
      <c r="BB51" s="451"/>
      <c r="BC51" s="1215"/>
      <c r="BD51" s="1215"/>
      <c r="BE51" s="1215"/>
      <c r="BF51" s="1215"/>
      <c r="BG51" s="1215"/>
      <c r="BH51" s="1215"/>
      <c r="BI51">
        <f>IF(AND(AS51=1,BC51="No",BD51="Yes",BE51="Yes",BF51="No",BH51="No"),0,IF(AND('Proposed Lighting'!AU51=2,AS51=1,BC51="Yes",BD51="Yes"),2,IF(AND('Proposed Lighting'!AU51=2,AS51=1,BC51="Yes",BE51="Yes"),2,IF(AND('Proposed Lighting'!AU51=2,AS51=1,BC51="Yes",BF51="Yes"),2,IF(AND('Proposed Lighting'!AU51=2,AS51=1,BC51="Yes",BH51="Yes"),2,IF(AND('Proposed Lighting'!AU51=2,AS51=1,BD51="Yes",BF51="Yes"),2,IF(AND('Proposed Lighting'!AU51=2,AS51=1,BD51="Yes",BH51="Yes"),2,IF(AND('Proposed Lighting'!AU51=3,AS51=1,BC51="Yes",BE51="Yes"),2,IF(AND('Proposed Lighting'!AU51=3,AS51=1,BC51="Yes",BF51="Yes"),2,0)))))))))</f>
        <v>0</v>
      </c>
      <c r="BJ51" s="1025">
        <f t="shared" si="10"/>
        <v>0</v>
      </c>
      <c r="BK51">
        <f>IF(AND('Proposed Lighting'!BC51=22,'Lighting Controls'!N51=1),0,IF(ISNUMBER(SEARCH("LED",G51)),1,0))</f>
        <v>0</v>
      </c>
    </row>
    <row r="52" spans="1:63" ht="34.5" customHeight="1">
      <c r="A52" s="917">
        <v>44</v>
      </c>
      <c r="B52" s="1828" t="str">
        <f>IF('Proposed Lighting'!B52="","",'Proposed Lighting'!B52)</f>
        <v/>
      </c>
      <c r="C52" s="1828"/>
      <c r="D52" s="1828"/>
      <c r="E52" s="1245">
        <f>'Proposed Lighting'!AA52</f>
        <v>0</v>
      </c>
      <c r="F52" s="1245">
        <f t="shared" si="0"/>
        <v>0</v>
      </c>
      <c r="G52" s="1830" t="str">
        <f>IF('Proposed Lighting'!T52="","",IF(ISNUMBER(SEARCH("Networked",'Proposed Lighting'!T52)),0,IF(ISNUMBER(SEARCH("Strategies",'Proposed Lighting'!T52)),0,IF(ISNUMBER(SEARCH("Removal",'Proposed Lighting'!T52)),0,'Proposed Lighting'!T52))))</f>
        <v/>
      </c>
      <c r="H52" s="1830"/>
      <c r="I52" s="1830"/>
      <c r="J52" s="1830"/>
      <c r="K52" s="1215"/>
      <c r="L52" s="1246">
        <f t="shared" si="1"/>
        <v>0</v>
      </c>
      <c r="M52" s="1224">
        <f t="shared" si="2"/>
        <v>0</v>
      </c>
      <c r="N52" s="1224">
        <f t="shared" si="3"/>
        <v>0</v>
      </c>
      <c r="O52" s="1825" t="str">
        <f>IF(G52=0,0,IF(ISNA('Proposed Lighting'!AT52),0,'Proposed Lighting'!AT52))</f>
        <v/>
      </c>
      <c r="P52" s="1825"/>
      <c r="Q52" s="1247"/>
      <c r="R52" s="1247"/>
      <c r="S52" s="1247"/>
      <c r="T52" s="1211"/>
      <c r="U52" s="1235">
        <f>IF(K52&gt;0.01,'Proposed Lighting'!CU52,0)</f>
        <v>0</v>
      </c>
      <c r="V52" s="1248">
        <f>IF('Proposed Lighting'!CF52=1,0,IF('Proposed Lighting'!AU52=2,0,IF(AND('Proposed Lighting'!AU52=3,'Proposed Lighting'!CF52=0),1,0)))</f>
        <v>0</v>
      </c>
      <c r="W52" s="1836"/>
      <c r="X52" s="1836"/>
      <c r="Y52" s="1836"/>
      <c r="Z52" s="1230" t="str">
        <f t="shared" si="4"/>
        <v/>
      </c>
      <c r="AA52" s="1230">
        <f t="shared" si="5"/>
        <v>0</v>
      </c>
      <c r="AB52" s="1230">
        <f>IF(Q52=0,0,IF(T52=0,0,IF(AA52=0,0,IF(AND(F52=3,V52=0),0,IF(T52=0,0,IF(K52&gt;'Proposed Lighting'!AA52,0,IF('Proposed Lighting'!EJ52&gt;0.01,(K52*O52)*'Proposed Lighting'!EJ52/1000,(K52*O52)*U52/1000)))))))</f>
        <v>0</v>
      </c>
      <c r="AC52" s="1230" t="str">
        <f t="shared" si="6"/>
        <v/>
      </c>
      <c r="AD52" s="1230">
        <f t="shared" si="7"/>
        <v>0</v>
      </c>
      <c r="AE52" s="1230">
        <f>IF(T52=0,0,IF(K52&gt;'Proposed Lighting'!AA52,0,IF(T52&gt;K52,0,IF(AND(AD52&gt;AA52,AA52&gt;0),0,IF(AND(F52&gt;1,W52&lt;0.01),0,IF('Proposed Lighting'!AU52&gt;'Lighting Controls'!F52,0,IF('Proposed Lighting'!AU52&lt;'Lighting Controls'!F52,0,IF(U52=0,0,Summary!AC355))))))))</f>
        <v>0</v>
      </c>
      <c r="AF52" s="1230">
        <f>IF(T52=0,0,IF(AE52=0,0,IF(K52&gt;'Proposed Lighting'!AA52,0,IF(AND(AD52&gt;AA52,AA52&gt;0),0,IF(U52=0,0,Summary!AD355)))))</f>
        <v>0</v>
      </c>
      <c r="AG52" s="1834">
        <f>IF('Proposed Lighting'!AU52=1,0,IF('Proposed Lighting'!CF52=1,0,T52*W52))</f>
        <v>0</v>
      </c>
      <c r="AH52" s="1834"/>
      <c r="AI52" s="1834"/>
      <c r="AJ52" s="1835">
        <f>IF(T52&lt;1,0,IF(K52&gt;'Proposed Lighting'!AA52,0,IF('Proposed Lighting'!CF52=1,0,IF('Proposed Lighting'!AU52=1,0,IF(T52&gt;K52,0,IF(AND(AD52&gt;AA52,AA52&gt;0),0,IF(AND(F52=2,'Proposed Lighting'!AU52=3),0,IF(AND(F52=3,'Proposed Lighting'!AU52=2),0,IF('Proposed Lighting'!CH52=100,0,IF(AND(F52&lt;3,V52=1,AM52=0),0,IF(AND(F52&gt;1,AF52&lt;1,AN52&lt;1),0,IF(AND(F52&gt;1,AE52&lt;0.69,AF52&lt;1,AN52&lt;1),0,IF(ISERROR(AB52-AC52),"",AB52-AC52)))))))))))))</f>
        <v>0</v>
      </c>
      <c r="AK52" s="1835"/>
      <c r="AL52" s="1835"/>
      <c r="AM52" s="1216">
        <f>IF(Q52=0,0,IF(T52=0,0,IF(T52&gt;K52,0,IF(AND(AS52&gt;0.01,BK52=0),0,IF(AND('Proposed Lighting'!DG52=0,'Lighting Controls'!Z52=0.35),0,IF(AND(T52&lt;=K52,AA52&gt;=AD52,'Proposed Lighting'!AU52=2),VLOOKUP(Q52,$AY$9:$AZ$15,2,FALSE),IF(AND(T52&lt;=K52,AA52&gt;=AD52,'Proposed Lighting'!AU52=3),VLOOKUP(Q52,$AY$17:$AZ$23,2,FALSE))))))))</f>
        <v>0</v>
      </c>
      <c r="AN52" s="1248">
        <f>IF(T52=0,0,IF(K52&gt;'Proposed Lighting'!AA52,0,IF(AE52=0,0,IF(AND(AD52&gt;AA52,AA52&gt;0),0,IF(U52=0,0,Summary!AE355)))))</f>
        <v>0</v>
      </c>
      <c r="AO52" s="1248">
        <f t="shared" si="11"/>
        <v>0</v>
      </c>
      <c r="AP52" s="1249">
        <f>IF('Proposed Lighting'!AU52=1,0,IF(K52=0,0,IF(T52&gt;K52,0,IF(G52=0,0,IF(K52&gt;'Proposed Lighting'!AA52,0,IF(AND(AD52&gt;AA52,AA52&gt;0),0,IF(AND('Proposed Lighting'!AU52=3,AM52=0.5),0,IF(AND(AM52&gt;0,AS52&gt;0,BI52&lt;2),0,IF('Proposed Lighting'!CH52=100,0,IF(AV52=1,0,IF(AND(AM52=35,M52+N52&lt;2),0,AM52)))))))))))</f>
        <v>0</v>
      </c>
      <c r="AQ52" s="1249" t="str">
        <f>IFERROR(ROUND(IF(Q52="","",IF('Proposed Lighting'!$X$4=0,0,IF(AND(AM52=35,M52+N52&lt;2),0,IF(T52&gt;K52,0,IF('Proposed Lighting'!AU52=1,0,IF(AJ52=0,0,IF(AND('Proposed Lighting'!AU52=3,AM52=0.5),0,IF(AND(AD52=75,AP52=0,AV52=0),0,IF(AP52&gt;0.01,AP52*T52,IF(AND(F52&gt;1,W52&lt;0.01),0,IF(AND(F52&gt;1,AO52=0),0,IF(AND('Proposed Lighting'!BC52=22,AV52=0),0,IF(AND(AM52&gt;0,AS52&gt;0,BI52&lt;2),0,IF(AND(AS52&gt;0.01,BK52=0),0,IF(AND(AO52=TRUE,AV52=1,F52=3),MIN(AJ52*0.08,L52),IF(AP52&gt;0.01,AP52*T52,IF(AND(AO52=TRUE,AV52=1,F52=2),MIN(AJ52*0.1,L52)))))))))))))))))),2),"")</f>
        <v/>
      </c>
      <c r="AR52" s="1250">
        <f>IF(Q52=0,0,IF('Proposed Lighting'!$X$4=0,0,IF(AND(AM52&gt;0.01,AQ52&gt;0.01),0,IF('Proposed Lighting'!AU52=1,"Missing Interior or Exterior Selection",IF('Proposed Lighting'!CF52=1,"Selection does not match",IF(K52&gt;'Proposed Lighting'!AA52,"Quantity controlled does not match proposed lighting quantity",IF(T52&gt;K52,"Quantity of sensors exceeds proposed lighting quantity",IF(AND(F52&gt;1,'Proposed Lighting'!AU52&lt;&gt;F52),"Selection does not match",IF(AND(AD52&gt;AA52,AA52&gt;0),"Does not meet minimum connected load",IF(AND(O52&gt;0,AS52&gt;0,BK52&gt;0,'Proposed Lighting'!CH52=0),"Select Control Strategies",IF(AND(AC52&gt;0.1,AJ52=0,AQ52=0),"Does not meet incentive criteria",0)))))))))))</f>
        <v>0</v>
      </c>
      <c r="AS52" s="1224">
        <f>IF('Proposed Lighting'!CH52=100,0,IF(ISNUMBER(SEARCH("multiple",Q52)),1,0))</f>
        <v>0</v>
      </c>
      <c r="AT52" s="451">
        <f t="shared" si="8"/>
        <v>0</v>
      </c>
      <c r="AU52" s="451">
        <f t="shared" si="9"/>
        <v>0</v>
      </c>
      <c r="AV52" s="1222">
        <f>IF(ISNUMBER(SEARCH("Networked",'Proposed Lighting'!T52)),0,IF(ISNUMBER(SEARCH("Strategies",'Proposed Lighting'!T52)),0,IF(ISNUMBER(SEARCH("Removal",'Proposed Lighting'!T52)),0,IF(ISNUMBER(SEARCH("non-standard",Q52)),1,0))))</f>
        <v>0</v>
      </c>
      <c r="AW52" s="451">
        <f t="shared" si="12"/>
        <v>0</v>
      </c>
      <c r="AX52" s="451"/>
      <c r="AY52" s="451"/>
      <c r="AZ52" s="451"/>
      <c r="BA52" s="451"/>
      <c r="BB52" s="451"/>
      <c r="BC52" s="1215"/>
      <c r="BD52" s="1215"/>
      <c r="BE52" s="1215"/>
      <c r="BF52" s="1215"/>
      <c r="BG52" s="1215"/>
      <c r="BH52" s="1215"/>
      <c r="BI52">
        <f>IF(AND(AS52=1,BC52="No",BD52="Yes",BE52="Yes",BF52="No",BH52="No"),0,IF(AND('Proposed Lighting'!AU52=2,AS52=1,BC52="Yes",BD52="Yes"),2,IF(AND('Proposed Lighting'!AU52=2,AS52=1,BC52="Yes",BE52="Yes"),2,IF(AND('Proposed Lighting'!AU52=2,AS52=1,BC52="Yes",BF52="Yes"),2,IF(AND('Proposed Lighting'!AU52=2,AS52=1,BC52="Yes",BH52="Yes"),2,IF(AND('Proposed Lighting'!AU52=2,AS52=1,BD52="Yes",BF52="Yes"),2,IF(AND('Proposed Lighting'!AU52=2,AS52=1,BD52="Yes",BH52="Yes"),2,IF(AND('Proposed Lighting'!AU52=3,AS52=1,BC52="Yes",BE52="Yes"),2,IF(AND('Proposed Lighting'!AU52=3,AS52=1,BC52="Yes",BF52="Yes"),2,0)))))))))</f>
        <v>0</v>
      </c>
      <c r="BJ52" s="1025">
        <f t="shared" si="10"/>
        <v>0</v>
      </c>
      <c r="BK52">
        <f>IF(AND('Proposed Lighting'!BC52=22,'Lighting Controls'!N52=1),0,IF(ISNUMBER(SEARCH("LED",G52)),1,0))</f>
        <v>0</v>
      </c>
    </row>
    <row r="53" spans="1:63" ht="34.5" customHeight="1">
      <c r="A53" s="917">
        <v>45</v>
      </c>
      <c r="B53" s="1828" t="str">
        <f>IF('Proposed Lighting'!B53="","",'Proposed Lighting'!B53)</f>
        <v/>
      </c>
      <c r="C53" s="1828"/>
      <c r="D53" s="1828"/>
      <c r="E53" s="1245">
        <f>'Proposed Lighting'!AA53</f>
        <v>0</v>
      </c>
      <c r="F53" s="1245">
        <f t="shared" si="0"/>
        <v>0</v>
      </c>
      <c r="G53" s="1830" t="str">
        <f>IF('Proposed Lighting'!T53="","",IF(ISNUMBER(SEARCH("Networked",'Proposed Lighting'!T53)),0,IF(ISNUMBER(SEARCH("Strategies",'Proposed Lighting'!T53)),0,IF(ISNUMBER(SEARCH("Removal",'Proposed Lighting'!T53)),0,'Proposed Lighting'!T53))))</f>
        <v/>
      </c>
      <c r="H53" s="1830"/>
      <c r="I53" s="1830"/>
      <c r="J53" s="1830"/>
      <c r="K53" s="1215"/>
      <c r="L53" s="1246">
        <f t="shared" si="1"/>
        <v>0</v>
      </c>
      <c r="M53" s="1224">
        <f t="shared" si="2"/>
        <v>0</v>
      </c>
      <c r="N53" s="1224">
        <f t="shared" si="3"/>
        <v>0</v>
      </c>
      <c r="O53" s="1825" t="str">
        <f>IF(G53=0,0,IF(ISNA('Proposed Lighting'!AT53),0,'Proposed Lighting'!AT53))</f>
        <v/>
      </c>
      <c r="P53" s="1825"/>
      <c r="Q53" s="1247"/>
      <c r="R53" s="1247"/>
      <c r="S53" s="1247"/>
      <c r="T53" s="1211"/>
      <c r="U53" s="1235">
        <f>IF(K53&gt;0.01,'Proposed Lighting'!CU53,0)</f>
        <v>0</v>
      </c>
      <c r="V53" s="1248">
        <f>IF('Proposed Lighting'!CF53=1,0,IF('Proposed Lighting'!AU53=2,0,IF(AND('Proposed Lighting'!AU53=3,'Proposed Lighting'!CF53=0),1,0)))</f>
        <v>0</v>
      </c>
      <c r="W53" s="1836"/>
      <c r="X53" s="1836"/>
      <c r="Y53" s="1836"/>
      <c r="Z53" s="1230" t="str">
        <f t="shared" si="4"/>
        <v/>
      </c>
      <c r="AA53" s="1230">
        <f t="shared" si="5"/>
        <v>0</v>
      </c>
      <c r="AB53" s="1230">
        <f>IF(Q53=0,0,IF(T53=0,0,IF(AA53=0,0,IF(AND(F53=3,V53=0),0,IF(T53=0,0,IF(K53&gt;'Proposed Lighting'!AA53,0,IF('Proposed Lighting'!EJ53&gt;0.01,(K53*O53)*'Proposed Lighting'!EJ53/1000,(K53*O53)*U53/1000)))))))</f>
        <v>0</v>
      </c>
      <c r="AC53" s="1230" t="str">
        <f t="shared" si="6"/>
        <v/>
      </c>
      <c r="AD53" s="1230">
        <f t="shared" si="7"/>
        <v>0</v>
      </c>
      <c r="AE53" s="1230">
        <f>IF(T53=0,0,IF(K53&gt;'Proposed Lighting'!AA53,0,IF(T53&gt;K53,0,IF(AND(AD53&gt;AA53,AA53&gt;0),0,IF(AND(F53&gt;1,W53&lt;0.01),0,IF('Proposed Lighting'!AU53&gt;'Lighting Controls'!F53,0,IF('Proposed Lighting'!AU53&lt;'Lighting Controls'!F53,0,IF(U53=0,0,Summary!AC356))))))))</f>
        <v>0</v>
      </c>
      <c r="AF53" s="1230">
        <f>IF(T53=0,0,IF(AE53=0,0,IF(K53&gt;'Proposed Lighting'!AA53,0,IF(AND(AD53&gt;AA53,AA53&gt;0),0,IF(U53=0,0,Summary!AD356)))))</f>
        <v>0</v>
      </c>
      <c r="AG53" s="1834">
        <f>IF('Proposed Lighting'!AU53=1,0,IF('Proposed Lighting'!CF53=1,0,T53*W53))</f>
        <v>0</v>
      </c>
      <c r="AH53" s="1834"/>
      <c r="AI53" s="1834"/>
      <c r="AJ53" s="1835">
        <f>IF(T53&lt;1,0,IF(K53&gt;'Proposed Lighting'!AA53,0,IF('Proposed Lighting'!CF53=1,0,IF('Proposed Lighting'!AU53=1,0,IF(T53&gt;K53,0,IF(AND(AD53&gt;AA53,AA53&gt;0),0,IF(AND(F53=2,'Proposed Lighting'!AU53=3),0,IF(AND(F53=3,'Proposed Lighting'!AU53=2),0,IF('Proposed Lighting'!CH53=100,0,IF(AND(F53&lt;3,V53=1,AM53=0),0,IF(AND(F53&gt;1,AF53&lt;1,AN53&lt;1),0,IF(AND(F53&gt;1,AE53&lt;0.69,AF53&lt;1,AN53&lt;1),0,IF(ISERROR(AB53-AC53),"",AB53-AC53)))))))))))))</f>
        <v>0</v>
      </c>
      <c r="AK53" s="1835"/>
      <c r="AL53" s="1835"/>
      <c r="AM53" s="1216">
        <f>IF(Q53=0,0,IF(T53=0,0,IF(T53&gt;K53,0,IF(AND(AS53&gt;0.01,BK53=0),0,IF(AND('Proposed Lighting'!DG53=0,'Lighting Controls'!Z53=0.35),0,IF(AND(T53&lt;=K53,AA53&gt;=AD53,'Proposed Lighting'!AU53=2),VLOOKUP(Q53,$AY$9:$AZ$15,2,FALSE),IF(AND(T53&lt;=K53,AA53&gt;=AD53,'Proposed Lighting'!AU53=3),VLOOKUP(Q53,$AY$17:$AZ$23,2,FALSE))))))))</f>
        <v>0</v>
      </c>
      <c r="AN53" s="1248">
        <f>IF(T53=0,0,IF(K53&gt;'Proposed Lighting'!AA53,0,IF(AE53=0,0,IF(AND(AD53&gt;AA53,AA53&gt;0),0,IF(U53=0,0,Summary!AE356)))))</f>
        <v>0</v>
      </c>
      <c r="AO53" s="1248">
        <f t="shared" si="11"/>
        <v>0</v>
      </c>
      <c r="AP53" s="1249">
        <f>IF('Proposed Lighting'!AU53=1,0,IF(K53=0,0,IF(T53&gt;K53,0,IF(G53=0,0,IF(K53&gt;'Proposed Lighting'!AA53,0,IF(AND(AD53&gt;AA53,AA53&gt;0),0,IF(AND('Proposed Lighting'!AU53=3,AM53=0.5),0,IF(AND(AM53&gt;0,AS53&gt;0,BI53&lt;2),0,IF('Proposed Lighting'!CH53=100,0,IF(AV53=1,0,IF(AND(AM53=35,M53+N53&lt;2),0,AM53)))))))))))</f>
        <v>0</v>
      </c>
      <c r="AQ53" s="1249" t="str">
        <f>IFERROR(ROUND(IF(Q53="","",IF('Proposed Lighting'!$X$4=0,0,IF(AND(AM53=35,M53+N53&lt;2),0,IF(T53&gt;K53,0,IF('Proposed Lighting'!AU53=1,0,IF(AJ53=0,0,IF(AND('Proposed Lighting'!AU53=3,AM53=0.5),0,IF(AND(AD53=75,AP53=0,AV53=0),0,IF(AP53&gt;0.01,AP53*T53,IF(AND(F53&gt;1,W53&lt;0.01),0,IF(AND(F53&gt;1,AO53=0),0,IF(AND('Proposed Lighting'!BC53=22,AV53=0),0,IF(AND(AM53&gt;0,AS53&gt;0,BI53&lt;2),0,IF(AND(AS53&gt;0.01,BK53=0),0,IF(AND(AO53=TRUE,AV53=1,F53=3),MIN(AJ53*0.08,L53),IF(AP53&gt;0.01,AP53*T53,IF(AND(AO53=TRUE,AV53=1,F53=2),MIN(AJ53*0.1,L53)))))))))))))))))),2),"")</f>
        <v/>
      </c>
      <c r="AR53" s="1250">
        <f>IF(Q53=0,0,IF('Proposed Lighting'!$X$4=0,0,IF(AND(AM53&gt;0.01,AQ53&gt;0.01),0,IF('Proposed Lighting'!AU53=1,"Missing Interior or Exterior Selection",IF('Proposed Lighting'!CF53=1,"Selection does not match",IF(K53&gt;'Proposed Lighting'!AA53,"Quantity controlled does not match proposed lighting quantity",IF(T53&gt;K53,"Quantity of sensors exceeds proposed lighting quantity",IF(AND(F53&gt;1,'Proposed Lighting'!AU53&lt;&gt;F53),"Selection does not match",IF(AND(AD53&gt;AA53,AA53&gt;0),"Does not meet minimum connected load",IF(AND(O53&gt;0,AS53&gt;0,BK53&gt;0,'Proposed Lighting'!CH53=0),"Select Control Strategies",IF(AND(AC53&gt;0.1,AJ53=0,AQ53=0),"Does not meet incentive criteria",0)))))))))))</f>
        <v>0</v>
      </c>
      <c r="AS53" s="1224">
        <f>IF('Proposed Lighting'!CH53=100,0,IF(ISNUMBER(SEARCH("multiple",Q53)),1,0))</f>
        <v>0</v>
      </c>
      <c r="AT53" s="451">
        <f t="shared" si="8"/>
        <v>0</v>
      </c>
      <c r="AU53" s="451">
        <f t="shared" si="9"/>
        <v>0</v>
      </c>
      <c r="AV53" s="1222">
        <f>IF(ISNUMBER(SEARCH("Networked",'Proposed Lighting'!T53)),0,IF(ISNUMBER(SEARCH("Strategies",'Proposed Lighting'!T53)),0,IF(ISNUMBER(SEARCH("Removal",'Proposed Lighting'!T53)),0,IF(ISNUMBER(SEARCH("non-standard",Q53)),1,0))))</f>
        <v>0</v>
      </c>
      <c r="AW53" s="451">
        <f t="shared" si="12"/>
        <v>0</v>
      </c>
      <c r="AX53" s="451"/>
      <c r="AY53" s="451"/>
      <c r="AZ53" s="451"/>
      <c r="BA53" s="451"/>
      <c r="BB53" s="451"/>
      <c r="BC53" s="1215"/>
      <c r="BD53" s="1215"/>
      <c r="BE53" s="1215"/>
      <c r="BF53" s="1215"/>
      <c r="BG53" s="1215"/>
      <c r="BH53" s="1215"/>
      <c r="BI53">
        <f>IF(AND(AS53=1,BC53="No",BD53="Yes",BE53="Yes",BF53="No",BH53="No"),0,IF(AND('Proposed Lighting'!AU53=2,AS53=1,BC53="Yes",BD53="Yes"),2,IF(AND('Proposed Lighting'!AU53=2,AS53=1,BC53="Yes",BE53="Yes"),2,IF(AND('Proposed Lighting'!AU53=2,AS53=1,BC53="Yes",BF53="Yes"),2,IF(AND('Proposed Lighting'!AU53=2,AS53=1,BC53="Yes",BH53="Yes"),2,IF(AND('Proposed Lighting'!AU53=2,AS53=1,BD53="Yes",BF53="Yes"),2,IF(AND('Proposed Lighting'!AU53=2,AS53=1,BD53="Yes",BH53="Yes"),2,IF(AND('Proposed Lighting'!AU53=3,AS53=1,BC53="Yes",BE53="Yes"),2,IF(AND('Proposed Lighting'!AU53=3,AS53=1,BC53="Yes",BF53="Yes"),2,0)))))))))</f>
        <v>0</v>
      </c>
      <c r="BJ53" s="1025">
        <f t="shared" si="10"/>
        <v>0</v>
      </c>
      <c r="BK53">
        <f>IF(AND('Proposed Lighting'!BC53=22,'Lighting Controls'!N53=1),0,IF(ISNUMBER(SEARCH("LED",G53)),1,0))</f>
        <v>0</v>
      </c>
    </row>
    <row r="54" spans="1:63" ht="34.5" customHeight="1">
      <c r="A54" s="917">
        <v>46</v>
      </c>
      <c r="B54" s="1828" t="str">
        <f>IF('Proposed Lighting'!B54="","",'Proposed Lighting'!B54)</f>
        <v/>
      </c>
      <c r="C54" s="1828"/>
      <c r="D54" s="1828"/>
      <c r="E54" s="1245">
        <f>'Proposed Lighting'!AA54</f>
        <v>0</v>
      </c>
      <c r="F54" s="1245">
        <f t="shared" si="0"/>
        <v>0</v>
      </c>
      <c r="G54" s="1830" t="str">
        <f>IF('Proposed Lighting'!T54="","",IF(ISNUMBER(SEARCH("Networked",'Proposed Lighting'!T54)),0,IF(ISNUMBER(SEARCH("Strategies",'Proposed Lighting'!T54)),0,IF(ISNUMBER(SEARCH("Removal",'Proposed Lighting'!T54)),0,'Proposed Lighting'!T54))))</f>
        <v/>
      </c>
      <c r="H54" s="1830"/>
      <c r="I54" s="1830"/>
      <c r="J54" s="1830"/>
      <c r="K54" s="1215"/>
      <c r="L54" s="1246">
        <f t="shared" si="1"/>
        <v>0</v>
      </c>
      <c r="M54" s="1224">
        <f t="shared" si="2"/>
        <v>0</v>
      </c>
      <c r="N54" s="1224">
        <f t="shared" si="3"/>
        <v>0</v>
      </c>
      <c r="O54" s="1825" t="str">
        <f>IF(G54=0,0,IF(ISNA('Proposed Lighting'!AT54),0,'Proposed Lighting'!AT54))</f>
        <v/>
      </c>
      <c r="P54" s="1825"/>
      <c r="Q54" s="1247"/>
      <c r="R54" s="1247"/>
      <c r="S54" s="1247"/>
      <c r="T54" s="1211"/>
      <c r="U54" s="1235">
        <f>IF(K54&gt;0.01,'Proposed Lighting'!CU54,0)</f>
        <v>0</v>
      </c>
      <c r="V54" s="1248">
        <f>IF('Proposed Lighting'!CF54=1,0,IF('Proposed Lighting'!AU54=2,0,IF(AND('Proposed Lighting'!AU54=3,'Proposed Lighting'!CF54=0),1,0)))</f>
        <v>0</v>
      </c>
      <c r="W54" s="1836"/>
      <c r="X54" s="1836"/>
      <c r="Y54" s="1836"/>
      <c r="Z54" s="1230" t="str">
        <f t="shared" si="4"/>
        <v/>
      </c>
      <c r="AA54" s="1230">
        <f t="shared" si="5"/>
        <v>0</v>
      </c>
      <c r="AB54" s="1230">
        <f>IF(Q54=0,0,IF(T54=0,0,IF(AA54=0,0,IF(AND(F54=3,V54=0),0,IF(T54=0,0,IF(K54&gt;'Proposed Lighting'!AA54,0,IF('Proposed Lighting'!EJ54&gt;0.01,(K54*O54)*'Proposed Lighting'!EJ54/1000,(K54*O54)*U54/1000)))))))</f>
        <v>0</v>
      </c>
      <c r="AC54" s="1230" t="str">
        <f t="shared" si="6"/>
        <v/>
      </c>
      <c r="AD54" s="1230">
        <f t="shared" si="7"/>
        <v>0</v>
      </c>
      <c r="AE54" s="1230">
        <f>IF(T54=0,0,IF(K54&gt;'Proposed Lighting'!AA54,0,IF(T54&gt;K54,0,IF(AND(AD54&gt;AA54,AA54&gt;0),0,IF(AND(F54&gt;1,W54&lt;0.01),0,IF('Proposed Lighting'!AU54&gt;'Lighting Controls'!F54,0,IF('Proposed Lighting'!AU54&lt;'Lighting Controls'!F54,0,IF(U54=0,0,Summary!AC357))))))))</f>
        <v>0</v>
      </c>
      <c r="AF54" s="1230">
        <f>IF(T54=0,0,IF(AE54=0,0,IF(K54&gt;'Proposed Lighting'!AA54,0,IF(AND(AD54&gt;AA54,AA54&gt;0),0,IF(U54=0,0,Summary!AD357)))))</f>
        <v>0</v>
      </c>
      <c r="AG54" s="1834">
        <f>IF('Proposed Lighting'!AU54=1,0,IF('Proposed Lighting'!CF54=1,0,T54*W54))</f>
        <v>0</v>
      </c>
      <c r="AH54" s="1834"/>
      <c r="AI54" s="1834"/>
      <c r="AJ54" s="1835">
        <f>IF(T54&lt;1,0,IF(K54&gt;'Proposed Lighting'!AA54,0,IF('Proposed Lighting'!CF54=1,0,IF('Proposed Lighting'!AU54=1,0,IF(T54&gt;K54,0,IF(AND(AD54&gt;AA54,AA54&gt;0),0,IF(AND(F54=2,'Proposed Lighting'!AU54=3),0,IF(AND(F54=3,'Proposed Lighting'!AU54=2),0,IF('Proposed Lighting'!CH54=100,0,IF(AND(F54&lt;3,V54=1,AM54=0),0,IF(AND(F54&gt;1,AF54&lt;1,AN54&lt;1),0,IF(AND(F54&gt;1,AE54&lt;0.69,AF54&lt;1,AN54&lt;1),0,IF(ISERROR(AB54-AC54),"",AB54-AC54)))))))))))))</f>
        <v>0</v>
      </c>
      <c r="AK54" s="1835"/>
      <c r="AL54" s="1835"/>
      <c r="AM54" s="1216">
        <f>IF(Q54=0,0,IF(T54=0,0,IF(T54&gt;K54,0,IF(AND(AS54&gt;0.01,BK54=0),0,IF(AND('Proposed Lighting'!DG54=0,'Lighting Controls'!Z54=0.35),0,IF(AND(T54&lt;=K54,AA54&gt;=AD54,'Proposed Lighting'!AU54=2),VLOOKUP(Q54,$AY$9:$AZ$15,2,FALSE),IF(AND(T54&lt;=K54,AA54&gt;=AD54,'Proposed Lighting'!AU54=3),VLOOKUP(Q54,$AY$17:$AZ$23,2,FALSE))))))))</f>
        <v>0</v>
      </c>
      <c r="AN54" s="1248">
        <f>IF(T54=0,0,IF(K54&gt;'Proposed Lighting'!AA54,0,IF(AE54=0,0,IF(AND(AD54&gt;AA54,AA54&gt;0),0,IF(U54=0,0,Summary!AE357)))))</f>
        <v>0</v>
      </c>
      <c r="AO54" s="1248">
        <f t="shared" si="11"/>
        <v>0</v>
      </c>
      <c r="AP54" s="1249">
        <f>IF('Proposed Lighting'!AU54=1,0,IF(K54=0,0,IF(T54&gt;K54,0,IF(G54=0,0,IF(K54&gt;'Proposed Lighting'!AA54,0,IF(AND(AD54&gt;AA54,AA54&gt;0),0,IF(AND('Proposed Lighting'!AU54=3,AM54=0.5),0,IF(AND(AM54&gt;0,AS54&gt;0,BI54&lt;2),0,IF('Proposed Lighting'!CH54=100,0,IF(AV54=1,0,IF(AND(AM54=35,M54+N54&lt;2),0,AM54)))))))))))</f>
        <v>0</v>
      </c>
      <c r="AQ54" s="1249" t="str">
        <f>IFERROR(ROUND(IF(Q54="","",IF('Proposed Lighting'!$X$4=0,0,IF(AND(AM54=35,M54+N54&lt;2),0,IF(T54&gt;K54,0,IF('Proposed Lighting'!AU54=1,0,IF(AJ54=0,0,IF(AND('Proposed Lighting'!AU54=3,AM54=0.5),0,IF(AND(AD54=75,AP54=0,AV54=0),0,IF(AP54&gt;0.01,AP54*T54,IF(AND(F54&gt;1,W54&lt;0.01),0,IF(AND(F54&gt;1,AO54=0),0,IF(AND('Proposed Lighting'!BC54=22,AV54=0),0,IF(AND(AM54&gt;0,AS54&gt;0,BI54&lt;2),0,IF(AND(AS54&gt;0.01,BK54=0),0,IF(AND(AO54=TRUE,AV54=1,F54=3),MIN(AJ54*0.08,L54),IF(AP54&gt;0.01,AP54*T54,IF(AND(AO54=TRUE,AV54=1,F54=2),MIN(AJ54*0.1,L54)))))))))))))))))),2),"")</f>
        <v/>
      </c>
      <c r="AR54" s="1250">
        <f>IF(Q54=0,0,IF('Proposed Lighting'!$X$4=0,0,IF(AND(AM54&gt;0.01,AQ54&gt;0.01),0,IF('Proposed Lighting'!AU54=1,"Missing Interior or Exterior Selection",IF('Proposed Lighting'!CF54=1,"Selection does not match",IF(K54&gt;'Proposed Lighting'!AA54,"Quantity controlled does not match proposed lighting quantity",IF(T54&gt;K54,"Quantity of sensors exceeds proposed lighting quantity",IF(AND(F54&gt;1,'Proposed Lighting'!AU54&lt;&gt;F54),"Selection does not match",IF(AND(AD54&gt;AA54,AA54&gt;0),"Does not meet minimum connected load",IF(AND(O54&gt;0,AS54&gt;0,BK54&gt;0,'Proposed Lighting'!CH54=0),"Select Control Strategies",IF(AND(AC54&gt;0.1,AJ54=0,AQ54=0),"Does not meet incentive criteria",0)))))))))))</f>
        <v>0</v>
      </c>
      <c r="AS54" s="1224">
        <f>IF('Proposed Lighting'!CH54=100,0,IF(ISNUMBER(SEARCH("multiple",Q54)),1,0))</f>
        <v>0</v>
      </c>
      <c r="AT54" s="451">
        <f t="shared" si="8"/>
        <v>0</v>
      </c>
      <c r="AU54" s="451">
        <f t="shared" si="9"/>
        <v>0</v>
      </c>
      <c r="AV54" s="1222">
        <f>IF(ISNUMBER(SEARCH("Networked",'Proposed Lighting'!T54)),0,IF(ISNUMBER(SEARCH("Strategies",'Proposed Lighting'!T54)),0,IF(ISNUMBER(SEARCH("Removal",'Proposed Lighting'!T54)),0,IF(ISNUMBER(SEARCH("non-standard",Q54)),1,0))))</f>
        <v>0</v>
      </c>
      <c r="AW54" s="451">
        <f t="shared" si="12"/>
        <v>0</v>
      </c>
      <c r="AX54" s="451"/>
      <c r="AY54" s="451"/>
      <c r="AZ54" s="451"/>
      <c r="BA54" s="451"/>
      <c r="BB54" s="451"/>
      <c r="BC54" s="1215"/>
      <c r="BD54" s="1215"/>
      <c r="BE54" s="1215"/>
      <c r="BF54" s="1215"/>
      <c r="BG54" s="1215"/>
      <c r="BH54" s="1215"/>
      <c r="BI54">
        <f>IF(AND(AS54=1,BC54="No",BD54="Yes",BE54="Yes",BF54="No",BH54="No"),0,IF(AND('Proposed Lighting'!AU54=2,AS54=1,BC54="Yes",BD54="Yes"),2,IF(AND('Proposed Lighting'!AU54=2,AS54=1,BC54="Yes",BE54="Yes"),2,IF(AND('Proposed Lighting'!AU54=2,AS54=1,BC54="Yes",BF54="Yes"),2,IF(AND('Proposed Lighting'!AU54=2,AS54=1,BC54="Yes",BH54="Yes"),2,IF(AND('Proposed Lighting'!AU54=2,AS54=1,BD54="Yes",BF54="Yes"),2,IF(AND('Proposed Lighting'!AU54=2,AS54=1,BD54="Yes",BH54="Yes"),2,IF(AND('Proposed Lighting'!AU54=3,AS54=1,BC54="Yes",BE54="Yes"),2,IF(AND('Proposed Lighting'!AU54=3,AS54=1,BC54="Yes",BF54="Yes"),2,0)))))))))</f>
        <v>0</v>
      </c>
      <c r="BJ54" s="1025">
        <f t="shared" si="10"/>
        <v>0</v>
      </c>
      <c r="BK54">
        <f>IF(AND('Proposed Lighting'!BC54=22,'Lighting Controls'!N54=1),0,IF(ISNUMBER(SEARCH("LED",G54)),1,0))</f>
        <v>0</v>
      </c>
    </row>
    <row r="55" spans="1:63" ht="34.5" customHeight="1">
      <c r="A55" s="917">
        <v>47</v>
      </c>
      <c r="B55" s="1828" t="str">
        <f>IF('Proposed Lighting'!B55="","",'Proposed Lighting'!B55)</f>
        <v/>
      </c>
      <c r="C55" s="1828"/>
      <c r="D55" s="1828"/>
      <c r="E55" s="1245">
        <f>'Proposed Lighting'!AA55</f>
        <v>0</v>
      </c>
      <c r="F55" s="1245">
        <f t="shared" si="0"/>
        <v>0</v>
      </c>
      <c r="G55" s="1830" t="str">
        <f>IF('Proposed Lighting'!T55="","",IF(ISNUMBER(SEARCH("Networked",'Proposed Lighting'!T55)),0,IF(ISNUMBER(SEARCH("Strategies",'Proposed Lighting'!T55)),0,IF(ISNUMBER(SEARCH("Removal",'Proposed Lighting'!T55)),0,'Proposed Lighting'!T55))))</f>
        <v/>
      </c>
      <c r="H55" s="1830"/>
      <c r="I55" s="1830"/>
      <c r="J55" s="1830"/>
      <c r="K55" s="1215"/>
      <c r="L55" s="1246">
        <f t="shared" si="1"/>
        <v>0</v>
      </c>
      <c r="M55" s="1224">
        <f t="shared" si="2"/>
        <v>0</v>
      </c>
      <c r="N55" s="1224">
        <f t="shared" si="3"/>
        <v>0</v>
      </c>
      <c r="O55" s="1825" t="str">
        <f>IF(G55=0,0,IF(ISNA('Proposed Lighting'!AT55),0,'Proposed Lighting'!AT55))</f>
        <v/>
      </c>
      <c r="P55" s="1825"/>
      <c r="Q55" s="1247"/>
      <c r="R55" s="1247"/>
      <c r="S55" s="1247"/>
      <c r="T55" s="1211"/>
      <c r="U55" s="1235">
        <f>IF(K55&gt;0.01,'Proposed Lighting'!CU55,0)</f>
        <v>0</v>
      </c>
      <c r="V55" s="1248">
        <f>IF('Proposed Lighting'!CF55=1,0,IF('Proposed Lighting'!AU55=2,0,IF(AND('Proposed Lighting'!AU55=3,'Proposed Lighting'!CF55=0),1,0)))</f>
        <v>0</v>
      </c>
      <c r="W55" s="1836"/>
      <c r="X55" s="1836"/>
      <c r="Y55" s="1836"/>
      <c r="Z55" s="1230" t="str">
        <f t="shared" si="4"/>
        <v/>
      </c>
      <c r="AA55" s="1230">
        <f t="shared" si="5"/>
        <v>0</v>
      </c>
      <c r="AB55" s="1230">
        <f>IF(Q55=0,0,IF(T55=0,0,IF(AA55=0,0,IF(AND(F55=3,V55=0),0,IF(T55=0,0,IF(K55&gt;'Proposed Lighting'!AA55,0,IF('Proposed Lighting'!EJ55&gt;0.01,(K55*O55)*'Proposed Lighting'!EJ55/1000,(K55*O55)*U55/1000)))))))</f>
        <v>0</v>
      </c>
      <c r="AC55" s="1230" t="str">
        <f t="shared" si="6"/>
        <v/>
      </c>
      <c r="AD55" s="1230">
        <f t="shared" si="7"/>
        <v>0</v>
      </c>
      <c r="AE55" s="1230">
        <f>IF(T55=0,0,IF(K55&gt;'Proposed Lighting'!AA55,0,IF(T55&gt;K55,0,IF(AND(AD55&gt;AA55,AA55&gt;0),0,IF(AND(F55&gt;1,W55&lt;0.01),0,IF('Proposed Lighting'!AU55&gt;'Lighting Controls'!F55,0,IF('Proposed Lighting'!AU55&lt;'Lighting Controls'!F55,0,IF(U55=0,0,Summary!AC358))))))))</f>
        <v>0</v>
      </c>
      <c r="AF55" s="1230">
        <f>IF(T55=0,0,IF(AE55=0,0,IF(K55&gt;'Proposed Lighting'!AA55,0,IF(AND(AD55&gt;AA55,AA55&gt;0),0,IF(U55=0,0,Summary!AD358)))))</f>
        <v>0</v>
      </c>
      <c r="AG55" s="1834">
        <f>IF('Proposed Lighting'!AU55=1,0,IF('Proposed Lighting'!CF55=1,0,T55*W55))</f>
        <v>0</v>
      </c>
      <c r="AH55" s="1834"/>
      <c r="AI55" s="1834"/>
      <c r="AJ55" s="1835">
        <f>IF(T55&lt;1,0,IF(K55&gt;'Proposed Lighting'!AA55,0,IF('Proposed Lighting'!CF55=1,0,IF('Proposed Lighting'!AU55=1,0,IF(T55&gt;K55,0,IF(AND(AD55&gt;AA55,AA55&gt;0),0,IF(AND(F55=2,'Proposed Lighting'!AU55=3),0,IF(AND(F55=3,'Proposed Lighting'!AU55=2),0,IF('Proposed Lighting'!CH55=100,0,IF(AND(F55&lt;3,V55=1,AM55=0),0,IF(AND(F55&gt;1,AF55&lt;1,AN55&lt;1),0,IF(AND(F55&gt;1,AE55&lt;0.69,AF55&lt;1,AN55&lt;1),0,IF(ISERROR(AB55-AC55),"",AB55-AC55)))))))))))))</f>
        <v>0</v>
      </c>
      <c r="AK55" s="1835"/>
      <c r="AL55" s="1835"/>
      <c r="AM55" s="1216">
        <f>IF(Q55=0,0,IF(T55=0,0,IF(T55&gt;K55,0,IF(AND(AS55&gt;0.01,BK55=0),0,IF(AND('Proposed Lighting'!DG55=0,'Lighting Controls'!Z55=0.35),0,IF(AND(T55&lt;=K55,AA55&gt;=AD55,'Proposed Lighting'!AU55=2),VLOOKUP(Q55,$AY$9:$AZ$15,2,FALSE),IF(AND(T55&lt;=K55,AA55&gt;=AD55,'Proposed Lighting'!AU55=3),VLOOKUP(Q55,$AY$17:$AZ$23,2,FALSE))))))))</f>
        <v>0</v>
      </c>
      <c r="AN55" s="1248">
        <f>IF(T55=0,0,IF(K55&gt;'Proposed Lighting'!AA55,0,IF(AE55=0,0,IF(AND(AD55&gt;AA55,AA55&gt;0),0,IF(U55=0,0,Summary!AE358)))))</f>
        <v>0</v>
      </c>
      <c r="AO55" s="1248">
        <f t="shared" si="11"/>
        <v>0</v>
      </c>
      <c r="AP55" s="1249">
        <f>IF('Proposed Lighting'!AU55=1,0,IF(K55=0,0,IF(T55&gt;K55,0,IF(G55=0,0,IF(K55&gt;'Proposed Lighting'!AA55,0,IF(AND(AD55&gt;AA55,AA55&gt;0),0,IF(AND('Proposed Lighting'!AU55=3,AM55=0.5),0,IF(AND(AM55&gt;0,AS55&gt;0,BI55&lt;2),0,IF('Proposed Lighting'!CH55=100,0,IF(AV55=1,0,IF(AND(AM55=35,M55+N55&lt;2),0,AM55)))))))))))</f>
        <v>0</v>
      </c>
      <c r="AQ55" s="1249" t="str">
        <f>IFERROR(ROUND(IF(Q55="","",IF('Proposed Lighting'!$X$4=0,0,IF(AND(AM55=35,M55+N55&lt;2),0,IF(T55&gt;K55,0,IF('Proposed Lighting'!AU55=1,0,IF(AJ55=0,0,IF(AND('Proposed Lighting'!AU55=3,AM55=0.5),0,IF(AND(AD55=75,AP55=0,AV55=0),0,IF(AP55&gt;0.01,AP55*T55,IF(AND(F55&gt;1,W55&lt;0.01),0,IF(AND(F55&gt;1,AO55=0),0,IF(AND('Proposed Lighting'!BC55=22,AV55=0),0,IF(AND(AM55&gt;0,AS55&gt;0,BI55&lt;2),0,IF(AND(AS55&gt;0.01,BK55=0),0,IF(AND(AO55=TRUE,AV55=1,F55=3),MIN(AJ55*0.08,L55),IF(AP55&gt;0.01,AP55*T55,IF(AND(AO55=TRUE,AV55=1,F55=2),MIN(AJ55*0.1,L55)))))))))))))))))),2),"")</f>
        <v/>
      </c>
      <c r="AR55" s="1250">
        <f>IF(Q55=0,0,IF('Proposed Lighting'!$X$4=0,0,IF(AND(AM55&gt;0.01,AQ55&gt;0.01),0,IF('Proposed Lighting'!AU55=1,"Missing Interior or Exterior Selection",IF('Proposed Lighting'!CF55=1,"Selection does not match",IF(K55&gt;'Proposed Lighting'!AA55,"Quantity controlled does not match proposed lighting quantity",IF(T55&gt;K55,"Quantity of sensors exceeds proposed lighting quantity",IF(AND(F55&gt;1,'Proposed Lighting'!AU55&lt;&gt;F55),"Selection does not match",IF(AND(AD55&gt;AA55,AA55&gt;0),"Does not meet minimum connected load",IF(AND(O55&gt;0,AS55&gt;0,BK55&gt;0,'Proposed Lighting'!CH55=0),"Select Control Strategies",IF(AND(AC55&gt;0.1,AJ55=0,AQ55=0),"Does not meet incentive criteria",0)))))))))))</f>
        <v>0</v>
      </c>
      <c r="AS55" s="1224">
        <f>IF('Proposed Lighting'!CH55=100,0,IF(ISNUMBER(SEARCH("multiple",Q55)),1,0))</f>
        <v>0</v>
      </c>
      <c r="AT55" s="451">
        <f t="shared" si="8"/>
        <v>0</v>
      </c>
      <c r="AU55" s="451">
        <f t="shared" si="9"/>
        <v>0</v>
      </c>
      <c r="AV55" s="1222">
        <f>IF(ISNUMBER(SEARCH("Networked",'Proposed Lighting'!T55)),0,IF(ISNUMBER(SEARCH("Strategies",'Proposed Lighting'!T55)),0,IF(ISNUMBER(SEARCH("Removal",'Proposed Lighting'!T55)),0,IF(ISNUMBER(SEARCH("non-standard",Q55)),1,0))))</f>
        <v>0</v>
      </c>
      <c r="AW55" s="451">
        <f t="shared" si="12"/>
        <v>0</v>
      </c>
      <c r="AX55" s="451"/>
      <c r="AY55" s="451"/>
      <c r="AZ55" s="451"/>
      <c r="BA55" s="451"/>
      <c r="BB55" s="451"/>
      <c r="BC55" s="1215"/>
      <c r="BD55" s="1215"/>
      <c r="BE55" s="1215"/>
      <c r="BF55" s="1215"/>
      <c r="BG55" s="1215"/>
      <c r="BH55" s="1215"/>
      <c r="BI55">
        <f>IF(AND(AS55=1,BC55="No",BD55="Yes",BE55="Yes",BF55="No",BH55="No"),0,IF(AND('Proposed Lighting'!AU55=2,AS55=1,BC55="Yes",BD55="Yes"),2,IF(AND('Proposed Lighting'!AU55=2,AS55=1,BC55="Yes",BE55="Yes"),2,IF(AND('Proposed Lighting'!AU55=2,AS55=1,BC55="Yes",BF55="Yes"),2,IF(AND('Proposed Lighting'!AU55=2,AS55=1,BC55="Yes",BH55="Yes"),2,IF(AND('Proposed Lighting'!AU55=2,AS55=1,BD55="Yes",BF55="Yes"),2,IF(AND('Proposed Lighting'!AU55=2,AS55=1,BD55="Yes",BH55="Yes"),2,IF(AND('Proposed Lighting'!AU55=3,AS55=1,BC55="Yes",BE55="Yes"),2,IF(AND('Proposed Lighting'!AU55=3,AS55=1,BC55="Yes",BF55="Yes"),2,0)))))))))</f>
        <v>0</v>
      </c>
      <c r="BJ55" s="1025">
        <f t="shared" si="10"/>
        <v>0</v>
      </c>
      <c r="BK55">
        <f>IF(AND('Proposed Lighting'!BC55=22,'Lighting Controls'!N55=1),0,IF(ISNUMBER(SEARCH("LED",G55)),1,0))</f>
        <v>0</v>
      </c>
    </row>
    <row r="56" spans="1:63" ht="34.5" customHeight="1">
      <c r="A56" s="917">
        <v>48</v>
      </c>
      <c r="B56" s="1828" t="str">
        <f>IF('Proposed Lighting'!B56="","",'Proposed Lighting'!B56)</f>
        <v/>
      </c>
      <c r="C56" s="1828"/>
      <c r="D56" s="1828"/>
      <c r="E56" s="1245">
        <f>'Proposed Lighting'!AA56</f>
        <v>0</v>
      </c>
      <c r="F56" s="1245">
        <f t="shared" si="0"/>
        <v>0</v>
      </c>
      <c r="G56" s="1830" t="str">
        <f>IF('Proposed Lighting'!T56="","",IF(ISNUMBER(SEARCH("Networked",'Proposed Lighting'!T56)),0,IF(ISNUMBER(SEARCH("Strategies",'Proposed Lighting'!T56)),0,IF(ISNUMBER(SEARCH("Removal",'Proposed Lighting'!T56)),0,'Proposed Lighting'!T56))))</f>
        <v/>
      </c>
      <c r="H56" s="1830"/>
      <c r="I56" s="1830"/>
      <c r="J56" s="1830"/>
      <c r="K56" s="1215"/>
      <c r="L56" s="1246">
        <f t="shared" si="1"/>
        <v>0</v>
      </c>
      <c r="M56" s="1224">
        <f t="shared" si="2"/>
        <v>0</v>
      </c>
      <c r="N56" s="1224">
        <f t="shared" si="3"/>
        <v>0</v>
      </c>
      <c r="O56" s="1825" t="str">
        <f>IF(G56=0,0,IF(ISNA('Proposed Lighting'!AT56),0,'Proposed Lighting'!AT56))</f>
        <v/>
      </c>
      <c r="P56" s="1825"/>
      <c r="Q56" s="1247"/>
      <c r="R56" s="1247"/>
      <c r="S56" s="1247"/>
      <c r="T56" s="1211"/>
      <c r="U56" s="1235">
        <f>IF(K56&gt;0.01,'Proposed Lighting'!CU56,0)</f>
        <v>0</v>
      </c>
      <c r="V56" s="1248">
        <f>IF('Proposed Lighting'!CF56=1,0,IF('Proposed Lighting'!AU56=2,0,IF(AND('Proposed Lighting'!AU56=3,'Proposed Lighting'!CF56=0),1,0)))</f>
        <v>0</v>
      </c>
      <c r="W56" s="1836"/>
      <c r="X56" s="1836"/>
      <c r="Y56" s="1836"/>
      <c r="Z56" s="1230" t="str">
        <f t="shared" si="4"/>
        <v/>
      </c>
      <c r="AA56" s="1230">
        <f t="shared" si="5"/>
        <v>0</v>
      </c>
      <c r="AB56" s="1230">
        <f>IF(Q56=0,0,IF(T56=0,0,IF(AA56=0,0,IF(AND(F56=3,V56=0),0,IF(T56=0,0,IF(K56&gt;'Proposed Lighting'!AA56,0,IF('Proposed Lighting'!EJ56&gt;0.01,(K56*O56)*'Proposed Lighting'!EJ56/1000,(K56*O56)*U56/1000)))))))</f>
        <v>0</v>
      </c>
      <c r="AC56" s="1230" t="str">
        <f t="shared" si="6"/>
        <v/>
      </c>
      <c r="AD56" s="1230">
        <f t="shared" si="7"/>
        <v>0</v>
      </c>
      <c r="AE56" s="1230">
        <f>IF(T56=0,0,IF(K56&gt;'Proposed Lighting'!AA56,0,IF(T56&gt;K56,0,IF(AND(AD56&gt;AA56,AA56&gt;0),0,IF(AND(F56&gt;1,W56&lt;0.01),0,IF('Proposed Lighting'!AU56&gt;'Lighting Controls'!F56,0,IF('Proposed Lighting'!AU56&lt;'Lighting Controls'!F56,0,IF(U56=0,0,Summary!AC359))))))))</f>
        <v>0</v>
      </c>
      <c r="AF56" s="1230">
        <f>IF(T56=0,0,IF(AE56=0,0,IF(K56&gt;'Proposed Lighting'!AA56,0,IF(AND(AD56&gt;AA56,AA56&gt;0),0,IF(U56=0,0,Summary!AD359)))))</f>
        <v>0</v>
      </c>
      <c r="AG56" s="1834">
        <f>IF('Proposed Lighting'!AU56=1,0,IF('Proposed Lighting'!CF56=1,0,T56*W56))</f>
        <v>0</v>
      </c>
      <c r="AH56" s="1834"/>
      <c r="AI56" s="1834"/>
      <c r="AJ56" s="1835">
        <f>IF(T56&lt;1,0,IF(K56&gt;'Proposed Lighting'!AA56,0,IF('Proposed Lighting'!CF56=1,0,IF('Proposed Lighting'!AU56=1,0,IF(T56&gt;K56,0,IF(AND(AD56&gt;AA56,AA56&gt;0),0,IF(AND(F56=2,'Proposed Lighting'!AU56=3),0,IF(AND(F56=3,'Proposed Lighting'!AU56=2),0,IF('Proposed Lighting'!CH56=100,0,IF(AND(F56&lt;3,V56=1,AM56=0),0,IF(AND(F56&gt;1,AF56&lt;1,AN56&lt;1),0,IF(AND(F56&gt;1,AE56&lt;0.69,AF56&lt;1,AN56&lt;1),0,IF(ISERROR(AB56-AC56),"",AB56-AC56)))))))))))))</f>
        <v>0</v>
      </c>
      <c r="AK56" s="1835"/>
      <c r="AL56" s="1835"/>
      <c r="AM56" s="1216">
        <f>IF(Q56=0,0,IF(T56=0,0,IF(T56&gt;K56,0,IF(AND(AS56&gt;0.01,BK56=0),0,IF(AND('Proposed Lighting'!DG56=0,'Lighting Controls'!Z56=0.35),0,IF(AND(T56&lt;=K56,AA56&gt;=AD56,'Proposed Lighting'!AU56=2),VLOOKUP(Q56,$AY$9:$AZ$15,2,FALSE),IF(AND(T56&lt;=K56,AA56&gt;=AD56,'Proposed Lighting'!AU56=3),VLOOKUP(Q56,$AY$17:$AZ$23,2,FALSE))))))))</f>
        <v>0</v>
      </c>
      <c r="AN56" s="1248">
        <f>IF(T56=0,0,IF(K56&gt;'Proposed Lighting'!AA56,0,IF(AE56=0,0,IF(AND(AD56&gt;AA56,AA56&gt;0),0,IF(U56=0,0,Summary!AE359)))))</f>
        <v>0</v>
      </c>
      <c r="AO56" s="1248">
        <f t="shared" si="11"/>
        <v>0</v>
      </c>
      <c r="AP56" s="1249">
        <f>IF('Proposed Lighting'!AU56=1,0,IF(K56=0,0,IF(T56&gt;K56,0,IF(G56=0,0,IF(K56&gt;'Proposed Lighting'!AA56,0,IF(AND(AD56&gt;AA56,AA56&gt;0),0,IF(AND('Proposed Lighting'!AU56=3,AM56=0.5),0,IF(AND(AM56&gt;0,AS56&gt;0,BI56&lt;2),0,IF('Proposed Lighting'!CH56=100,0,IF(AV56=1,0,IF(AND(AM56=35,M56+N56&lt;2),0,AM56)))))))))))</f>
        <v>0</v>
      </c>
      <c r="AQ56" s="1249" t="str">
        <f>IFERROR(ROUND(IF(Q56="","",IF('Proposed Lighting'!$X$4=0,0,IF(AND(AM56=35,M56+N56&lt;2),0,IF(T56&gt;K56,0,IF('Proposed Lighting'!AU56=1,0,IF(AJ56=0,0,IF(AND('Proposed Lighting'!AU56=3,AM56=0.5),0,IF(AND(AD56=75,AP56=0,AV56=0),0,IF(AP56&gt;0.01,AP56*T56,IF(AND(F56&gt;1,W56&lt;0.01),0,IF(AND(F56&gt;1,AO56=0),0,IF(AND('Proposed Lighting'!BC56=22,AV56=0),0,IF(AND(AM56&gt;0,AS56&gt;0,BI56&lt;2),0,IF(AND(AS56&gt;0.01,BK56=0),0,IF(AND(AO56=TRUE,AV56=1,F56=3),MIN(AJ56*0.08,L56),IF(AP56&gt;0.01,AP56*T56,IF(AND(AO56=TRUE,AV56=1,F56=2),MIN(AJ56*0.1,L56)))))))))))))))))),2),"")</f>
        <v/>
      </c>
      <c r="AR56" s="1250">
        <f>IF(Q56=0,0,IF('Proposed Lighting'!$X$4=0,0,IF(AND(AM56&gt;0.01,AQ56&gt;0.01),0,IF('Proposed Lighting'!AU56=1,"Missing Interior or Exterior Selection",IF('Proposed Lighting'!CF56=1,"Selection does not match",IF(K56&gt;'Proposed Lighting'!AA56,"Quantity controlled does not match proposed lighting quantity",IF(T56&gt;K56,"Quantity of sensors exceeds proposed lighting quantity",IF(AND(F56&gt;1,'Proposed Lighting'!AU56&lt;&gt;F56),"Selection does not match",IF(AND(AD56&gt;AA56,AA56&gt;0),"Does not meet minimum connected load",IF(AND(O56&gt;0,AS56&gt;0,BK56&gt;0,'Proposed Lighting'!CH56=0),"Select Control Strategies",IF(AND(AC56&gt;0.1,AJ56=0,AQ56=0),"Does not meet incentive criteria",0)))))))))))</f>
        <v>0</v>
      </c>
      <c r="AS56" s="1224">
        <f>IF('Proposed Lighting'!CH56=100,0,IF(ISNUMBER(SEARCH("multiple",Q56)),1,0))</f>
        <v>0</v>
      </c>
      <c r="AT56" s="451">
        <f t="shared" si="8"/>
        <v>0</v>
      </c>
      <c r="AU56" s="451">
        <f t="shared" si="9"/>
        <v>0</v>
      </c>
      <c r="AV56" s="1222">
        <f>IF(ISNUMBER(SEARCH("Networked",'Proposed Lighting'!T56)),0,IF(ISNUMBER(SEARCH("Strategies",'Proposed Lighting'!T56)),0,IF(ISNUMBER(SEARCH("Removal",'Proposed Lighting'!T56)),0,IF(ISNUMBER(SEARCH("non-standard",Q56)),1,0))))</f>
        <v>0</v>
      </c>
      <c r="AW56" s="451">
        <f t="shared" si="12"/>
        <v>0</v>
      </c>
      <c r="AX56" s="451"/>
      <c r="AY56" s="451"/>
      <c r="AZ56" s="451"/>
      <c r="BA56" s="451"/>
      <c r="BB56" s="451"/>
      <c r="BC56" s="1215"/>
      <c r="BD56" s="1215"/>
      <c r="BE56" s="1215"/>
      <c r="BF56" s="1215"/>
      <c r="BG56" s="1215"/>
      <c r="BH56" s="1215"/>
      <c r="BI56">
        <f>IF(AND(AS56=1,BC56="No",BD56="Yes",BE56="Yes",BF56="No",BH56="No"),0,IF(AND('Proposed Lighting'!AU56=2,AS56=1,BC56="Yes",BD56="Yes"),2,IF(AND('Proposed Lighting'!AU56=2,AS56=1,BC56="Yes",BE56="Yes"),2,IF(AND('Proposed Lighting'!AU56=2,AS56=1,BC56="Yes",BF56="Yes"),2,IF(AND('Proposed Lighting'!AU56=2,AS56=1,BC56="Yes",BH56="Yes"),2,IF(AND('Proposed Lighting'!AU56=2,AS56=1,BD56="Yes",BF56="Yes"),2,IF(AND('Proposed Lighting'!AU56=2,AS56=1,BD56="Yes",BH56="Yes"),2,IF(AND('Proposed Lighting'!AU56=3,AS56=1,BC56="Yes",BE56="Yes"),2,IF(AND('Proposed Lighting'!AU56=3,AS56=1,BC56="Yes",BF56="Yes"),2,0)))))))))</f>
        <v>0</v>
      </c>
      <c r="BJ56" s="1025">
        <f t="shared" si="10"/>
        <v>0</v>
      </c>
      <c r="BK56">
        <f>IF(AND('Proposed Lighting'!BC56=22,'Lighting Controls'!N56=1),0,IF(ISNUMBER(SEARCH("LED",G56)),1,0))</f>
        <v>0</v>
      </c>
    </row>
    <row r="57" spans="1:63" ht="34.5" customHeight="1">
      <c r="A57" s="917">
        <v>49</v>
      </c>
      <c r="B57" s="1828" t="str">
        <f>IF('Proposed Lighting'!B57="","",'Proposed Lighting'!B57)</f>
        <v/>
      </c>
      <c r="C57" s="1828"/>
      <c r="D57" s="1828"/>
      <c r="E57" s="1245">
        <f>'Proposed Lighting'!AA57</f>
        <v>0</v>
      </c>
      <c r="F57" s="1245">
        <f t="shared" si="0"/>
        <v>0</v>
      </c>
      <c r="G57" s="1830" t="str">
        <f>IF('Proposed Lighting'!T57="","",IF(ISNUMBER(SEARCH("Networked",'Proposed Lighting'!T57)),0,IF(ISNUMBER(SEARCH("Strategies",'Proposed Lighting'!T57)),0,IF(ISNUMBER(SEARCH("Removal",'Proposed Lighting'!T57)),0,'Proposed Lighting'!T57))))</f>
        <v/>
      </c>
      <c r="H57" s="1830"/>
      <c r="I57" s="1830"/>
      <c r="J57" s="1830"/>
      <c r="K57" s="1215"/>
      <c r="L57" s="1246">
        <f t="shared" si="1"/>
        <v>0</v>
      </c>
      <c r="M57" s="1224">
        <f t="shared" si="2"/>
        <v>0</v>
      </c>
      <c r="N57" s="1224">
        <f t="shared" si="3"/>
        <v>0</v>
      </c>
      <c r="O57" s="1825" t="str">
        <f>IF(G57=0,0,IF(ISNA('Proposed Lighting'!AT57),0,'Proposed Lighting'!AT57))</f>
        <v/>
      </c>
      <c r="P57" s="1825"/>
      <c r="Q57" s="1247"/>
      <c r="R57" s="1247"/>
      <c r="S57" s="1247"/>
      <c r="T57" s="1211"/>
      <c r="U57" s="1235">
        <f>IF(K57&gt;0.01,'Proposed Lighting'!CU57,0)</f>
        <v>0</v>
      </c>
      <c r="V57" s="1248">
        <f>IF('Proposed Lighting'!CF57=1,0,IF('Proposed Lighting'!AU57=2,0,IF(AND('Proposed Lighting'!AU57=3,'Proposed Lighting'!CF57=0),1,0)))</f>
        <v>0</v>
      </c>
      <c r="W57" s="1836"/>
      <c r="X57" s="1836"/>
      <c r="Y57" s="1836"/>
      <c r="Z57" s="1230" t="str">
        <f t="shared" si="4"/>
        <v/>
      </c>
      <c r="AA57" s="1230">
        <f t="shared" si="5"/>
        <v>0</v>
      </c>
      <c r="AB57" s="1230">
        <f>IF(Q57=0,0,IF(T57=0,0,IF(AA57=0,0,IF(AND(F57=3,V57=0),0,IF(T57=0,0,IF(K57&gt;'Proposed Lighting'!AA57,0,IF('Proposed Lighting'!EJ57&gt;0.01,(K57*O57)*'Proposed Lighting'!EJ57/1000,(K57*O57)*U57/1000)))))))</f>
        <v>0</v>
      </c>
      <c r="AC57" s="1230" t="str">
        <f t="shared" si="6"/>
        <v/>
      </c>
      <c r="AD57" s="1230">
        <f t="shared" si="7"/>
        <v>0</v>
      </c>
      <c r="AE57" s="1230">
        <f>IF(T57=0,0,IF(K57&gt;'Proposed Lighting'!AA57,0,IF(T57&gt;K57,0,IF(AND(AD57&gt;AA57,AA57&gt;0),0,IF(AND(F57&gt;1,W57&lt;0.01),0,IF('Proposed Lighting'!AU57&gt;'Lighting Controls'!F57,0,IF('Proposed Lighting'!AU57&lt;'Lighting Controls'!F57,0,IF(U57=0,0,Summary!AC360))))))))</f>
        <v>0</v>
      </c>
      <c r="AF57" s="1230">
        <f>IF(T57=0,0,IF(AE57=0,0,IF(K57&gt;'Proposed Lighting'!AA57,0,IF(AND(AD57&gt;AA57,AA57&gt;0),0,IF(U57=0,0,Summary!AD360)))))</f>
        <v>0</v>
      </c>
      <c r="AG57" s="1834">
        <f>IF('Proposed Lighting'!AU57=1,0,IF('Proposed Lighting'!CF57=1,0,T57*W57))</f>
        <v>0</v>
      </c>
      <c r="AH57" s="1834"/>
      <c r="AI57" s="1834"/>
      <c r="AJ57" s="1835">
        <f>IF(T57&lt;1,0,IF(K57&gt;'Proposed Lighting'!AA57,0,IF('Proposed Lighting'!CF57=1,0,IF('Proposed Lighting'!AU57=1,0,IF(T57&gt;K57,0,IF(AND(AD57&gt;AA57,AA57&gt;0),0,IF(AND(F57=2,'Proposed Lighting'!AU57=3),0,IF(AND(F57=3,'Proposed Lighting'!AU57=2),0,IF('Proposed Lighting'!CH57=100,0,IF(AND(F57&lt;3,V57=1,AM57=0),0,IF(AND(F57&gt;1,AF57&lt;1,AN57&lt;1),0,IF(AND(F57&gt;1,AE57&lt;0.69,AF57&lt;1,AN57&lt;1),0,IF(ISERROR(AB57-AC57),"",AB57-AC57)))))))))))))</f>
        <v>0</v>
      </c>
      <c r="AK57" s="1835"/>
      <c r="AL57" s="1835"/>
      <c r="AM57" s="1216">
        <f>IF(Q57=0,0,IF(T57=0,0,IF(T57&gt;K57,0,IF(AND(AS57&gt;0.01,BK57=0),0,IF(AND('Proposed Lighting'!DG57=0,'Lighting Controls'!Z57=0.35),0,IF(AND(T57&lt;=K57,AA57&gt;=AD57,'Proposed Lighting'!AU57=2),VLOOKUP(Q57,$AY$9:$AZ$15,2,FALSE),IF(AND(T57&lt;=K57,AA57&gt;=AD57,'Proposed Lighting'!AU57=3),VLOOKUP(Q57,$AY$17:$AZ$23,2,FALSE))))))))</f>
        <v>0</v>
      </c>
      <c r="AN57" s="1248">
        <f>IF(T57=0,0,IF(K57&gt;'Proposed Lighting'!AA57,0,IF(AE57=0,0,IF(AND(AD57&gt;AA57,AA57&gt;0),0,IF(U57=0,0,Summary!AE360)))))</f>
        <v>0</v>
      </c>
      <c r="AO57" s="1248">
        <f t="shared" si="11"/>
        <v>0</v>
      </c>
      <c r="AP57" s="1249">
        <f>IF('Proposed Lighting'!AU57=1,0,IF(K57=0,0,IF(T57&gt;K57,0,IF(G57=0,0,IF(K57&gt;'Proposed Lighting'!AA57,0,IF(AND(AD57&gt;AA57,AA57&gt;0),0,IF(AND('Proposed Lighting'!AU57=3,AM57=0.5),0,IF(AND(AM57&gt;0,AS57&gt;0,BI57&lt;2),0,IF('Proposed Lighting'!CH57=100,0,IF(AV57=1,0,IF(AND(AM57=35,M57+N57&lt;2),0,AM57)))))))))))</f>
        <v>0</v>
      </c>
      <c r="AQ57" s="1249" t="str">
        <f>IFERROR(ROUND(IF(Q57="","",IF('Proposed Lighting'!$X$4=0,0,IF(AND(AM57=35,M57+N57&lt;2),0,IF(T57&gt;K57,0,IF('Proposed Lighting'!AU57=1,0,IF(AJ57=0,0,IF(AND('Proposed Lighting'!AU57=3,AM57=0.5),0,IF(AND(AD57=75,AP57=0,AV57=0),0,IF(AP57&gt;0.01,AP57*T57,IF(AND(F57&gt;1,W57&lt;0.01),0,IF(AND(F57&gt;1,AO57=0),0,IF(AND('Proposed Lighting'!BC57=22,AV57=0),0,IF(AND(AM57&gt;0,AS57&gt;0,BI57&lt;2),0,IF(AND(AS57&gt;0.01,BK57=0),0,IF(AND(AO57=TRUE,AV57=1,F57=3),MIN(AJ57*0.08,L57),IF(AP57&gt;0.01,AP57*T57,IF(AND(AO57=TRUE,AV57=1,F57=2),MIN(AJ57*0.1,L57)))))))))))))))))),2),"")</f>
        <v/>
      </c>
      <c r="AR57" s="1250">
        <f>IF(Q57=0,0,IF('Proposed Lighting'!$X$4=0,0,IF(AND(AM57&gt;0.01,AQ57&gt;0.01),0,IF('Proposed Lighting'!AU57=1,"Missing Interior or Exterior Selection",IF('Proposed Lighting'!CF57=1,"Selection does not match",IF(K57&gt;'Proposed Lighting'!AA57,"Quantity controlled does not match proposed lighting quantity",IF(T57&gt;K57,"Quantity of sensors exceeds proposed lighting quantity",IF(AND(F57&gt;1,'Proposed Lighting'!AU57&lt;&gt;F57),"Selection does not match",IF(AND(AD57&gt;AA57,AA57&gt;0),"Does not meet minimum connected load",IF(AND(O57&gt;0,AS57&gt;0,BK57&gt;0,'Proposed Lighting'!CH57=0),"Select Control Strategies",IF(AND(AC57&gt;0.1,AJ57=0,AQ57=0),"Does not meet incentive criteria",0)))))))))))</f>
        <v>0</v>
      </c>
      <c r="AS57" s="1224">
        <f>IF('Proposed Lighting'!CH57=100,0,IF(ISNUMBER(SEARCH("multiple",Q57)),1,0))</f>
        <v>0</v>
      </c>
      <c r="AT57" s="451">
        <f t="shared" si="8"/>
        <v>0</v>
      </c>
      <c r="AU57" s="451">
        <f t="shared" si="9"/>
        <v>0</v>
      </c>
      <c r="AV57" s="1222">
        <f>IF(ISNUMBER(SEARCH("Networked",'Proposed Lighting'!T57)),0,IF(ISNUMBER(SEARCH("Strategies",'Proposed Lighting'!T57)),0,IF(ISNUMBER(SEARCH("Removal",'Proposed Lighting'!T57)),0,IF(ISNUMBER(SEARCH("non-standard",Q57)),1,0))))</f>
        <v>0</v>
      </c>
      <c r="AW57" s="451">
        <f t="shared" si="12"/>
        <v>0</v>
      </c>
      <c r="AX57" s="451"/>
      <c r="AY57" s="451"/>
      <c r="AZ57" s="451"/>
      <c r="BA57" s="451"/>
      <c r="BB57" s="451"/>
      <c r="BC57" s="1215"/>
      <c r="BD57" s="1215"/>
      <c r="BE57" s="1215"/>
      <c r="BF57" s="1215"/>
      <c r="BG57" s="1215"/>
      <c r="BH57" s="1215"/>
      <c r="BI57">
        <f>IF(AND(AS57=1,BC57="No",BD57="Yes",BE57="Yes",BF57="No",BH57="No"),0,IF(AND('Proposed Lighting'!AU57=2,AS57=1,BC57="Yes",BD57="Yes"),2,IF(AND('Proposed Lighting'!AU57=2,AS57=1,BC57="Yes",BE57="Yes"),2,IF(AND('Proposed Lighting'!AU57=2,AS57=1,BC57="Yes",BF57="Yes"),2,IF(AND('Proposed Lighting'!AU57=2,AS57=1,BC57="Yes",BH57="Yes"),2,IF(AND('Proposed Lighting'!AU57=2,AS57=1,BD57="Yes",BF57="Yes"),2,IF(AND('Proposed Lighting'!AU57=2,AS57=1,BD57="Yes",BH57="Yes"),2,IF(AND('Proposed Lighting'!AU57=3,AS57=1,BC57="Yes",BE57="Yes"),2,IF(AND('Proposed Lighting'!AU57=3,AS57=1,BC57="Yes",BF57="Yes"),2,0)))))))))</f>
        <v>0</v>
      </c>
      <c r="BJ57" s="1025">
        <f t="shared" si="10"/>
        <v>0</v>
      </c>
      <c r="BK57">
        <f>IF(AND('Proposed Lighting'!BC57=22,'Lighting Controls'!N57=1),0,IF(ISNUMBER(SEARCH("LED",G57)),1,0))</f>
        <v>0</v>
      </c>
    </row>
    <row r="58" spans="1:63" ht="34.5" customHeight="1">
      <c r="A58" s="917">
        <v>50</v>
      </c>
      <c r="B58" s="1828" t="str">
        <f>IF('Proposed Lighting'!B58="","",'Proposed Lighting'!B58)</f>
        <v/>
      </c>
      <c r="C58" s="1828"/>
      <c r="D58" s="1828"/>
      <c r="E58" s="1245">
        <f>'Proposed Lighting'!AA58</f>
        <v>0</v>
      </c>
      <c r="F58" s="1245">
        <f t="shared" si="0"/>
        <v>0</v>
      </c>
      <c r="G58" s="1830" t="str">
        <f>IF('Proposed Lighting'!T58="","",IF(ISNUMBER(SEARCH("Networked",'Proposed Lighting'!T58)),0,IF(ISNUMBER(SEARCH("Strategies",'Proposed Lighting'!T58)),0,IF(ISNUMBER(SEARCH("Removal",'Proposed Lighting'!T58)),0,'Proposed Lighting'!T58))))</f>
        <v/>
      </c>
      <c r="H58" s="1830"/>
      <c r="I58" s="1830"/>
      <c r="J58" s="1830"/>
      <c r="K58" s="1215"/>
      <c r="L58" s="1246">
        <f t="shared" si="1"/>
        <v>0</v>
      </c>
      <c r="M58" s="1224">
        <f t="shared" si="2"/>
        <v>0</v>
      </c>
      <c r="N58" s="1224">
        <f t="shared" si="3"/>
        <v>0</v>
      </c>
      <c r="O58" s="1825" t="str">
        <f>IF(G58=0,0,IF(ISNA('Proposed Lighting'!AT58),0,'Proposed Lighting'!AT58))</f>
        <v/>
      </c>
      <c r="P58" s="1825"/>
      <c r="Q58" s="1247"/>
      <c r="R58" s="1247"/>
      <c r="S58" s="1247"/>
      <c r="T58" s="1211"/>
      <c r="U58" s="1235">
        <f>IF(K58&gt;0.01,'Proposed Lighting'!CU58,0)</f>
        <v>0</v>
      </c>
      <c r="V58" s="1248">
        <f>IF('Proposed Lighting'!CF58=1,0,IF('Proposed Lighting'!AU58=2,0,IF(AND('Proposed Lighting'!AU58=3,'Proposed Lighting'!CF58=0),1,0)))</f>
        <v>0</v>
      </c>
      <c r="W58" s="1836"/>
      <c r="X58" s="1836"/>
      <c r="Y58" s="1836"/>
      <c r="Z58" s="1230" t="str">
        <f t="shared" si="4"/>
        <v/>
      </c>
      <c r="AA58" s="1230">
        <f t="shared" si="5"/>
        <v>0</v>
      </c>
      <c r="AB58" s="1230">
        <f>IF(Q58=0,0,IF(T58=0,0,IF(AA58=0,0,IF(AND(F58=3,V58=0),0,IF(T58=0,0,IF(K58&gt;'Proposed Lighting'!AA58,0,IF('Proposed Lighting'!EJ58&gt;0.01,(K58*O58)*'Proposed Lighting'!EJ58/1000,(K58*O58)*U58/1000)))))))</f>
        <v>0</v>
      </c>
      <c r="AC58" s="1230" t="str">
        <f t="shared" si="6"/>
        <v/>
      </c>
      <c r="AD58" s="1230">
        <f t="shared" si="7"/>
        <v>0</v>
      </c>
      <c r="AE58" s="1230">
        <f>IF(T58=0,0,IF(K58&gt;'Proposed Lighting'!AA58,0,IF(T58&gt;K58,0,IF(AND(AD58&gt;AA58,AA58&gt;0),0,IF(AND(F58&gt;1,W58&lt;0.01),0,IF('Proposed Lighting'!AU58&gt;'Lighting Controls'!F58,0,IF('Proposed Lighting'!AU58&lt;'Lighting Controls'!F58,0,IF(U58=0,0,Summary!AC361))))))))</f>
        <v>0</v>
      </c>
      <c r="AF58" s="1230">
        <f>IF(T58=0,0,IF(AE58=0,0,IF(K58&gt;'Proposed Lighting'!AA58,0,IF(AND(AD58&gt;AA58,AA58&gt;0),0,IF(U58=0,0,Summary!AD361)))))</f>
        <v>0</v>
      </c>
      <c r="AG58" s="1834">
        <f>IF('Proposed Lighting'!AU58=1,0,IF('Proposed Lighting'!CF58=1,0,T58*W58))</f>
        <v>0</v>
      </c>
      <c r="AH58" s="1834"/>
      <c r="AI58" s="1834"/>
      <c r="AJ58" s="1835">
        <f>IF(T58&lt;1,0,IF(K58&gt;'Proposed Lighting'!AA58,0,IF('Proposed Lighting'!CF58=1,0,IF('Proposed Lighting'!AU58=1,0,IF(T58&gt;K58,0,IF(AND(AD58&gt;AA58,AA58&gt;0),0,IF(AND(F58=2,'Proposed Lighting'!AU58=3),0,IF(AND(F58=3,'Proposed Lighting'!AU58=2),0,IF('Proposed Lighting'!CH58=100,0,IF(AND(F58&lt;3,V58=1,AM58=0),0,IF(AND(F58&gt;1,AF58&lt;1,AN58&lt;1),0,IF(AND(F58&gt;1,AE58&lt;0.69,AF58&lt;1,AN58&lt;1),0,IF(ISERROR(AB58-AC58),"",AB58-AC58)))))))))))))</f>
        <v>0</v>
      </c>
      <c r="AK58" s="1835"/>
      <c r="AL58" s="1835"/>
      <c r="AM58" s="1216">
        <f>IF(Q58=0,0,IF(T58=0,0,IF(T58&gt;K58,0,IF(AND(AS58&gt;0.01,BK58=0),0,IF(AND('Proposed Lighting'!DG58=0,'Lighting Controls'!Z58=0.35),0,IF(AND(T58&lt;=K58,AA58&gt;=AD58,'Proposed Lighting'!AU58=2),VLOOKUP(Q58,$AY$9:$AZ$15,2,FALSE),IF(AND(T58&lt;=K58,AA58&gt;=AD58,'Proposed Lighting'!AU58=3),VLOOKUP(Q58,$AY$17:$AZ$23,2,FALSE))))))))</f>
        <v>0</v>
      </c>
      <c r="AN58" s="1248">
        <f>IF(T58=0,0,IF(K58&gt;'Proposed Lighting'!AA58,0,IF(AE58=0,0,IF(AND(AD58&gt;AA58,AA58&gt;0),0,IF(U58=0,0,Summary!AE361)))))</f>
        <v>0</v>
      </c>
      <c r="AO58" s="1248">
        <f t="shared" si="11"/>
        <v>0</v>
      </c>
      <c r="AP58" s="1249">
        <f>IF('Proposed Lighting'!AU58=1,0,IF(K58=0,0,IF(T58&gt;K58,0,IF(G58=0,0,IF(K58&gt;'Proposed Lighting'!AA58,0,IF(AND(AD58&gt;AA58,AA58&gt;0),0,IF(AND('Proposed Lighting'!AU58=3,AM58=0.5),0,IF(AND(AM58&gt;0,AS58&gt;0,BI58&lt;2),0,IF('Proposed Lighting'!CH58=100,0,IF(AV58=1,0,IF(AND(AM58=35,M58+N58&lt;2),0,AM58)))))))))))</f>
        <v>0</v>
      </c>
      <c r="AQ58" s="1249" t="str">
        <f>IFERROR(ROUND(IF(Q58="","",IF('Proposed Lighting'!$X$4=0,0,IF(AND(AM58=35,M58+N58&lt;2),0,IF(T58&gt;K58,0,IF('Proposed Lighting'!AU58=1,0,IF(AJ58=0,0,IF(AND('Proposed Lighting'!AU58=3,AM58=0.5),0,IF(AND(AD58=75,AP58=0,AV58=0),0,IF(AP58&gt;0.01,AP58*T58,IF(AND(F58&gt;1,W58&lt;0.01),0,IF(AND(F58&gt;1,AO58=0),0,IF(AND('Proposed Lighting'!BC58=22,AV58=0),0,IF(AND(AM58&gt;0,AS58&gt;0,BI58&lt;2),0,IF(AND(AS58&gt;0.01,BK58=0),0,IF(AND(AO58=TRUE,AV58=1,F58=3),MIN(AJ58*0.08,L58),IF(AP58&gt;0.01,AP58*T58,IF(AND(AO58=TRUE,AV58=1,F58=2),MIN(AJ58*0.1,L58)))))))))))))))))),2),"")</f>
        <v/>
      </c>
      <c r="AR58" s="1250">
        <f>IF(Q58=0,0,IF('Proposed Lighting'!$X$4=0,0,IF(AND(AM58&gt;0.01,AQ58&gt;0.01),0,IF('Proposed Lighting'!AU58=1,"Missing Interior or Exterior Selection",IF('Proposed Lighting'!CF58=1,"Selection does not match",IF(K58&gt;'Proposed Lighting'!AA58,"Quantity controlled does not match proposed lighting quantity",IF(T58&gt;K58,"Quantity of sensors exceeds proposed lighting quantity",IF(AND(F58&gt;1,'Proposed Lighting'!AU58&lt;&gt;F58),"Selection does not match",IF(AND(AD58&gt;AA58,AA58&gt;0),"Does not meet minimum connected load",IF(AND(O58&gt;0,AS58&gt;0,BK58&gt;0,'Proposed Lighting'!CH58=0),"Select Control Strategies",IF(AND(AC58&gt;0.1,AJ58=0,AQ58=0),"Does not meet incentive criteria",0)))))))))))</f>
        <v>0</v>
      </c>
      <c r="AS58" s="1224">
        <f>IF('Proposed Lighting'!CH58=100,0,IF(ISNUMBER(SEARCH("multiple",Q58)),1,0))</f>
        <v>0</v>
      </c>
      <c r="AT58" s="451">
        <f t="shared" si="8"/>
        <v>0</v>
      </c>
      <c r="AU58" s="451">
        <f t="shared" si="9"/>
        <v>0</v>
      </c>
      <c r="AV58" s="1222">
        <f>IF(ISNUMBER(SEARCH("Networked",'Proposed Lighting'!T58)),0,IF(ISNUMBER(SEARCH("Strategies",'Proposed Lighting'!T58)),0,IF(ISNUMBER(SEARCH("Removal",'Proposed Lighting'!T58)),0,IF(ISNUMBER(SEARCH("non-standard",Q58)),1,0))))</f>
        <v>0</v>
      </c>
      <c r="AW58" s="451">
        <f t="shared" si="12"/>
        <v>0</v>
      </c>
      <c r="AX58" s="451"/>
      <c r="AY58" s="451"/>
      <c r="AZ58" s="451"/>
      <c r="BA58" s="451"/>
      <c r="BB58" s="451"/>
      <c r="BC58" s="1215"/>
      <c r="BD58" s="1215"/>
      <c r="BE58" s="1215"/>
      <c r="BF58" s="1215"/>
      <c r="BG58" s="1215"/>
      <c r="BH58" s="1215"/>
      <c r="BI58">
        <f>IF(AND(AS58=1,BC58="No",BD58="Yes",BE58="Yes",BF58="No",BH58="No"),0,IF(AND('Proposed Lighting'!AU58=2,AS58=1,BC58="Yes",BD58="Yes"),2,IF(AND('Proposed Lighting'!AU58=2,AS58=1,BC58="Yes",BE58="Yes"),2,IF(AND('Proposed Lighting'!AU58=2,AS58=1,BC58="Yes",BF58="Yes"),2,IF(AND('Proposed Lighting'!AU58=2,AS58=1,BC58="Yes",BH58="Yes"),2,IF(AND('Proposed Lighting'!AU58=2,AS58=1,BD58="Yes",BF58="Yes"),2,IF(AND('Proposed Lighting'!AU58=2,AS58=1,BD58="Yes",BH58="Yes"),2,IF(AND('Proposed Lighting'!AU58=3,AS58=1,BC58="Yes",BE58="Yes"),2,IF(AND('Proposed Lighting'!AU58=3,AS58=1,BC58="Yes",BF58="Yes"),2,0)))))))))</f>
        <v>0</v>
      </c>
      <c r="BJ58" s="1025">
        <f t="shared" si="10"/>
        <v>0</v>
      </c>
      <c r="BK58">
        <f>IF(AND('Proposed Lighting'!BC58=22,'Lighting Controls'!N58=1),0,IF(ISNUMBER(SEARCH("LED",G58)),1,0))</f>
        <v>0</v>
      </c>
    </row>
    <row r="59" spans="1:63" ht="34.5" customHeight="1">
      <c r="A59" s="917">
        <v>51</v>
      </c>
      <c r="B59" s="1828" t="str">
        <f>IF('Proposed Lighting'!B59="","",'Proposed Lighting'!B59)</f>
        <v/>
      </c>
      <c r="C59" s="1828"/>
      <c r="D59" s="1828"/>
      <c r="E59" s="1245">
        <f>'Proposed Lighting'!AA59</f>
        <v>0</v>
      </c>
      <c r="F59" s="1245">
        <f t="shared" si="0"/>
        <v>0</v>
      </c>
      <c r="G59" s="1830" t="str">
        <f>IF('Proposed Lighting'!T59="","",IF(ISNUMBER(SEARCH("Networked",'Proposed Lighting'!T59)),0,IF(ISNUMBER(SEARCH("Strategies",'Proposed Lighting'!T59)),0,IF(ISNUMBER(SEARCH("Removal",'Proposed Lighting'!T59)),0,'Proposed Lighting'!T59))))</f>
        <v/>
      </c>
      <c r="H59" s="1830"/>
      <c r="I59" s="1830"/>
      <c r="J59" s="1830"/>
      <c r="K59" s="1215"/>
      <c r="L59" s="1246">
        <f t="shared" si="1"/>
        <v>0</v>
      </c>
      <c r="M59" s="1224">
        <f t="shared" si="2"/>
        <v>0</v>
      </c>
      <c r="N59" s="1224">
        <f t="shared" si="3"/>
        <v>0</v>
      </c>
      <c r="O59" s="1825" t="str">
        <f>IF(G59=0,0,IF(ISNA('Proposed Lighting'!AT59),0,'Proposed Lighting'!AT59))</f>
        <v/>
      </c>
      <c r="P59" s="1825"/>
      <c r="Q59" s="1247"/>
      <c r="R59" s="1247"/>
      <c r="S59" s="1247"/>
      <c r="T59" s="1211"/>
      <c r="U59" s="1235">
        <f>IF(K59&gt;0.01,'Proposed Lighting'!CU59,0)</f>
        <v>0</v>
      </c>
      <c r="V59" s="1248">
        <f>IF('Proposed Lighting'!CF59=1,0,IF('Proposed Lighting'!AU59=2,0,IF(AND('Proposed Lighting'!AU59=3,'Proposed Lighting'!CF59=0),1,0)))</f>
        <v>0</v>
      </c>
      <c r="W59" s="1836"/>
      <c r="X59" s="1836"/>
      <c r="Y59" s="1836"/>
      <c r="Z59" s="1230" t="str">
        <f t="shared" si="4"/>
        <v/>
      </c>
      <c r="AA59" s="1230">
        <f t="shared" si="5"/>
        <v>0</v>
      </c>
      <c r="AB59" s="1230">
        <f>IF(Q59=0,0,IF(T59=0,0,IF(AA59=0,0,IF(AND(F59=3,V59=0),0,IF(T59=0,0,IF(K59&gt;'Proposed Lighting'!AA59,0,IF('Proposed Lighting'!EJ59&gt;0.01,(K59*O59)*'Proposed Lighting'!EJ59/1000,(K59*O59)*U59/1000)))))))</f>
        <v>0</v>
      </c>
      <c r="AC59" s="1230" t="str">
        <f t="shared" si="6"/>
        <v/>
      </c>
      <c r="AD59" s="1230">
        <f t="shared" si="7"/>
        <v>0</v>
      </c>
      <c r="AE59" s="1230">
        <f>IF(T59=0,0,IF(K59&gt;'Proposed Lighting'!AA59,0,IF(T59&gt;K59,0,IF(AND(AD59&gt;AA59,AA59&gt;0),0,IF(AND(F59&gt;1,W59&lt;0.01),0,IF('Proposed Lighting'!AU59&gt;'Lighting Controls'!F59,0,IF('Proposed Lighting'!AU59&lt;'Lighting Controls'!F59,0,IF(U59=0,0,Summary!AC362))))))))</f>
        <v>0</v>
      </c>
      <c r="AF59" s="1230">
        <f>IF(T59=0,0,IF(AE59=0,0,IF(K59&gt;'Proposed Lighting'!AA59,0,IF(AND(AD59&gt;AA59,AA59&gt;0),0,IF(U59=0,0,Summary!AD362)))))</f>
        <v>0</v>
      </c>
      <c r="AG59" s="1834">
        <f>IF('Proposed Lighting'!AU59=1,0,IF('Proposed Lighting'!CF59=1,0,T59*W59))</f>
        <v>0</v>
      </c>
      <c r="AH59" s="1834"/>
      <c r="AI59" s="1834"/>
      <c r="AJ59" s="1835">
        <f>IF(T59&lt;1,0,IF(K59&gt;'Proposed Lighting'!AA59,0,IF('Proposed Lighting'!CF59=1,0,IF('Proposed Lighting'!AU59=1,0,IF(T59&gt;K59,0,IF(AND(AD59&gt;AA59,AA59&gt;0),0,IF(AND(F59=2,'Proposed Lighting'!AU59=3),0,IF(AND(F59=3,'Proposed Lighting'!AU59=2),0,IF('Proposed Lighting'!CH59=100,0,IF(AND(F59&lt;3,V59=1,AM59=0),0,IF(AND(F59&gt;1,AF59&lt;1,AN59&lt;1),0,IF(AND(F59&gt;1,AE59&lt;0.69,AF59&lt;1,AN59&lt;1),0,IF(ISERROR(AB59-AC59),"",AB59-AC59)))))))))))))</f>
        <v>0</v>
      </c>
      <c r="AK59" s="1835"/>
      <c r="AL59" s="1835"/>
      <c r="AM59" s="1216">
        <f>IF(Q59=0,0,IF(T59=0,0,IF(T59&gt;K59,0,IF(AND(AS59&gt;0.01,BK59=0),0,IF(AND('Proposed Lighting'!DG59=0,'Lighting Controls'!Z59=0.35),0,IF(AND(T59&lt;=K59,AA59&gt;=AD59,'Proposed Lighting'!AU59=2),VLOOKUP(Q59,$AY$9:$AZ$15,2,FALSE),IF(AND(T59&lt;=K59,AA59&gt;=AD59,'Proposed Lighting'!AU59=3),VLOOKUP(Q59,$AY$17:$AZ$23,2,FALSE))))))))</f>
        <v>0</v>
      </c>
      <c r="AN59" s="1248">
        <f>IF(T59=0,0,IF(K59&gt;'Proposed Lighting'!AA59,0,IF(AE59=0,0,IF(AND(AD59&gt;AA59,AA59&gt;0),0,IF(U59=0,0,Summary!AE362)))))</f>
        <v>0</v>
      </c>
      <c r="AO59" s="1248">
        <f t="shared" si="11"/>
        <v>0</v>
      </c>
      <c r="AP59" s="1249">
        <f>IF('Proposed Lighting'!AU59=1,0,IF(K59=0,0,IF(T59&gt;K59,0,IF(G59=0,0,IF(K59&gt;'Proposed Lighting'!AA59,0,IF(AND(AD59&gt;AA59,AA59&gt;0),0,IF(AND('Proposed Lighting'!AU59=3,AM59=0.5),0,IF(AND(AM59&gt;0,AS59&gt;0,BI59&lt;2),0,IF('Proposed Lighting'!CH59=100,0,IF(AV59=1,0,IF(AND(AM59=35,M59+N59&lt;2),0,AM59)))))))))))</f>
        <v>0</v>
      </c>
      <c r="AQ59" s="1249" t="str">
        <f>IFERROR(ROUND(IF(Q59="","",IF('Proposed Lighting'!$X$4=0,0,IF(AND(AM59=35,M59+N59&lt;2),0,IF(T59&gt;K59,0,IF('Proposed Lighting'!AU59=1,0,IF(AJ59=0,0,IF(AND('Proposed Lighting'!AU59=3,AM59=0.5),0,IF(AND(AD59=75,AP59=0,AV59=0),0,IF(AP59&gt;0.01,AP59*T59,IF(AND(F59&gt;1,W59&lt;0.01),0,IF(AND(F59&gt;1,AO59=0),0,IF(AND('Proposed Lighting'!BC59=22,AV59=0),0,IF(AND(AM59&gt;0,AS59&gt;0,BI59&lt;2),0,IF(AND(AS59&gt;0.01,BK59=0),0,IF(AND(AO59=TRUE,AV59=1,F59=3),MIN(AJ59*0.08,L59),IF(AP59&gt;0.01,AP59*T59,IF(AND(AO59=TRUE,AV59=1,F59=2),MIN(AJ59*0.1,L59)))))))))))))))))),2),"")</f>
        <v/>
      </c>
      <c r="AR59" s="1250">
        <f>IF(Q59=0,0,IF('Proposed Lighting'!$X$4=0,0,IF(AND(AM59&gt;0.01,AQ59&gt;0.01),0,IF('Proposed Lighting'!AU59=1,"Missing Interior or Exterior Selection",IF('Proposed Lighting'!CF59=1,"Selection does not match",IF(K59&gt;'Proposed Lighting'!AA59,"Quantity controlled does not match proposed lighting quantity",IF(T59&gt;K59,"Quantity of sensors exceeds proposed lighting quantity",IF(AND(F59&gt;1,'Proposed Lighting'!AU59&lt;&gt;F59),"Selection does not match",IF(AND(AD59&gt;AA59,AA59&gt;0),"Does not meet minimum connected load",IF(AND(O59&gt;0,AS59&gt;0,BK59&gt;0,'Proposed Lighting'!CH59=0),"Select Control Strategies",IF(AND(AC59&gt;0.1,AJ59=0,AQ59=0),"Does not meet incentive criteria",0)))))))))))</f>
        <v>0</v>
      </c>
      <c r="AS59" s="1224">
        <f>IF('Proposed Lighting'!CH59=100,0,IF(ISNUMBER(SEARCH("multiple",Q59)),1,0))</f>
        <v>0</v>
      </c>
      <c r="AT59" s="451">
        <f t="shared" si="8"/>
        <v>0</v>
      </c>
      <c r="AU59" s="451">
        <f t="shared" si="9"/>
        <v>0</v>
      </c>
      <c r="AV59" s="1222">
        <f>IF(ISNUMBER(SEARCH("Networked",'Proposed Lighting'!T59)),0,IF(ISNUMBER(SEARCH("Strategies",'Proposed Lighting'!T59)),0,IF(ISNUMBER(SEARCH("Removal",'Proposed Lighting'!T59)),0,IF(ISNUMBER(SEARCH("non-standard",Q59)),1,0))))</f>
        <v>0</v>
      </c>
      <c r="AW59" s="451">
        <f t="shared" si="12"/>
        <v>0</v>
      </c>
      <c r="AX59" s="451"/>
      <c r="AY59" s="451"/>
      <c r="AZ59" s="451"/>
      <c r="BA59" s="451"/>
      <c r="BB59" s="451"/>
      <c r="BC59" s="1215"/>
      <c r="BD59" s="1215"/>
      <c r="BE59" s="1215"/>
      <c r="BF59" s="1215"/>
      <c r="BG59" s="1215"/>
      <c r="BH59" s="1215"/>
      <c r="BI59">
        <f>IF(AND(AS59=1,BC59="No",BD59="Yes",BE59="Yes",BF59="No",BH59="No"),0,IF(AND('Proposed Lighting'!AU59=2,AS59=1,BC59="Yes",BD59="Yes"),2,IF(AND('Proposed Lighting'!AU59=2,AS59=1,BC59="Yes",BE59="Yes"),2,IF(AND('Proposed Lighting'!AU59=2,AS59=1,BC59="Yes",BF59="Yes"),2,IF(AND('Proposed Lighting'!AU59=2,AS59=1,BC59="Yes",BH59="Yes"),2,IF(AND('Proposed Lighting'!AU59=2,AS59=1,BD59="Yes",BF59="Yes"),2,IF(AND('Proposed Lighting'!AU59=2,AS59=1,BD59="Yes",BH59="Yes"),2,IF(AND('Proposed Lighting'!AU59=3,AS59=1,BC59="Yes",BE59="Yes"),2,IF(AND('Proposed Lighting'!AU59=3,AS59=1,BC59="Yes",BF59="Yes"),2,0)))))))))</f>
        <v>0</v>
      </c>
      <c r="BJ59" s="1025">
        <f t="shared" si="10"/>
        <v>0</v>
      </c>
      <c r="BK59">
        <f>IF(AND('Proposed Lighting'!BC59=22,'Lighting Controls'!N59=1),0,IF(ISNUMBER(SEARCH("LED",G59)),1,0))</f>
        <v>0</v>
      </c>
    </row>
    <row r="60" spans="1:63" ht="34.5" customHeight="1">
      <c r="A60" s="917">
        <v>52</v>
      </c>
      <c r="B60" s="1828" t="str">
        <f>IF('Proposed Lighting'!B60="","",'Proposed Lighting'!B60)</f>
        <v/>
      </c>
      <c r="C60" s="1828"/>
      <c r="D60" s="1828"/>
      <c r="E60" s="1245">
        <f>'Proposed Lighting'!AA60</f>
        <v>0</v>
      </c>
      <c r="F60" s="1245">
        <f t="shared" si="0"/>
        <v>0</v>
      </c>
      <c r="G60" s="1830" t="str">
        <f>IF('Proposed Lighting'!T60="","",IF(ISNUMBER(SEARCH("Networked",'Proposed Lighting'!T60)),0,IF(ISNUMBER(SEARCH("Strategies",'Proposed Lighting'!T60)),0,IF(ISNUMBER(SEARCH("Removal",'Proposed Lighting'!T60)),0,'Proposed Lighting'!T60))))</f>
        <v/>
      </c>
      <c r="H60" s="1830"/>
      <c r="I60" s="1830"/>
      <c r="J60" s="1830"/>
      <c r="K60" s="1215"/>
      <c r="L60" s="1246">
        <f t="shared" si="1"/>
        <v>0</v>
      </c>
      <c r="M60" s="1224">
        <f t="shared" si="2"/>
        <v>0</v>
      </c>
      <c r="N60" s="1224">
        <f t="shared" si="3"/>
        <v>0</v>
      </c>
      <c r="O60" s="1825" t="str">
        <f>IF(G60=0,0,IF(ISNA('Proposed Lighting'!AT60),0,'Proposed Lighting'!AT60))</f>
        <v/>
      </c>
      <c r="P60" s="1825"/>
      <c r="Q60" s="1247"/>
      <c r="R60" s="1247"/>
      <c r="S60" s="1247"/>
      <c r="T60" s="1211"/>
      <c r="U60" s="1235">
        <f>IF(K60&gt;0.01,'Proposed Lighting'!CU60,0)</f>
        <v>0</v>
      </c>
      <c r="V60" s="1248">
        <f>IF('Proposed Lighting'!CF60=1,0,IF('Proposed Lighting'!AU60=2,0,IF(AND('Proposed Lighting'!AU60=3,'Proposed Lighting'!CF60=0),1,0)))</f>
        <v>0</v>
      </c>
      <c r="W60" s="1836"/>
      <c r="X60" s="1836"/>
      <c r="Y60" s="1836"/>
      <c r="Z60" s="1230" t="str">
        <f t="shared" si="4"/>
        <v/>
      </c>
      <c r="AA60" s="1230">
        <f t="shared" si="5"/>
        <v>0</v>
      </c>
      <c r="AB60" s="1230">
        <f>IF(Q60=0,0,IF(T60=0,0,IF(AA60=0,0,IF(AND(F60=3,V60=0),0,IF(T60=0,0,IF(K60&gt;'Proposed Lighting'!AA60,0,IF('Proposed Lighting'!EJ60&gt;0.01,(K60*O60)*'Proposed Lighting'!EJ60/1000,(K60*O60)*U60/1000)))))))</f>
        <v>0</v>
      </c>
      <c r="AC60" s="1230" t="str">
        <f t="shared" si="6"/>
        <v/>
      </c>
      <c r="AD60" s="1230">
        <f t="shared" si="7"/>
        <v>0</v>
      </c>
      <c r="AE60" s="1230">
        <f>IF(T60=0,0,IF(K60&gt;'Proposed Lighting'!AA60,0,IF(T60&gt;K60,0,IF(AND(AD60&gt;AA60,AA60&gt;0),0,IF(AND(F60&gt;1,W60&lt;0.01),0,IF('Proposed Lighting'!AU60&gt;'Lighting Controls'!F60,0,IF('Proposed Lighting'!AU60&lt;'Lighting Controls'!F60,0,IF(U60=0,0,Summary!AC363))))))))</f>
        <v>0</v>
      </c>
      <c r="AF60" s="1230">
        <f>IF(T60=0,0,IF(AE60=0,0,IF(K60&gt;'Proposed Lighting'!AA60,0,IF(AND(AD60&gt;AA60,AA60&gt;0),0,IF(U60=0,0,Summary!AD363)))))</f>
        <v>0</v>
      </c>
      <c r="AG60" s="1834">
        <f>IF('Proposed Lighting'!AU60=1,0,IF('Proposed Lighting'!CF60=1,0,T60*W60))</f>
        <v>0</v>
      </c>
      <c r="AH60" s="1834"/>
      <c r="AI60" s="1834"/>
      <c r="AJ60" s="1835">
        <f>IF(T60&lt;1,0,IF(K60&gt;'Proposed Lighting'!AA60,0,IF('Proposed Lighting'!CF60=1,0,IF('Proposed Lighting'!AU60=1,0,IF(T60&gt;K60,0,IF(AND(AD60&gt;AA60,AA60&gt;0),0,IF(AND(F60=2,'Proposed Lighting'!AU60=3),0,IF(AND(F60=3,'Proposed Lighting'!AU60=2),0,IF('Proposed Lighting'!CH60=100,0,IF(AND(F60&lt;3,V60=1,AM60=0),0,IF(AND(F60&gt;1,AF60&lt;1,AN60&lt;1),0,IF(AND(F60&gt;1,AE60&lt;0.69,AF60&lt;1,AN60&lt;1),0,IF(ISERROR(AB60-AC60),"",AB60-AC60)))))))))))))</f>
        <v>0</v>
      </c>
      <c r="AK60" s="1835"/>
      <c r="AL60" s="1835"/>
      <c r="AM60" s="1216">
        <f>IF(Q60=0,0,IF(T60=0,0,IF(T60&gt;K60,0,IF(AND(AS60&gt;0.01,BK60=0),0,IF(AND('Proposed Lighting'!DG60=0,'Lighting Controls'!Z60=0.35),0,IF(AND(T60&lt;=K60,AA60&gt;=AD60,'Proposed Lighting'!AU60=2),VLOOKUP(Q60,$AY$9:$AZ$15,2,FALSE),IF(AND(T60&lt;=K60,AA60&gt;=AD60,'Proposed Lighting'!AU60=3),VLOOKUP(Q60,$AY$17:$AZ$23,2,FALSE))))))))</f>
        <v>0</v>
      </c>
      <c r="AN60" s="1248">
        <f>IF(T60=0,0,IF(K60&gt;'Proposed Lighting'!AA60,0,IF(AE60=0,0,IF(AND(AD60&gt;AA60,AA60&gt;0),0,IF(U60=0,0,Summary!AE363)))))</f>
        <v>0</v>
      </c>
      <c r="AO60" s="1248">
        <f t="shared" si="11"/>
        <v>0</v>
      </c>
      <c r="AP60" s="1249">
        <f>IF('Proposed Lighting'!AU60=1,0,IF(K60=0,0,IF(T60&gt;K60,0,IF(G60=0,0,IF(K60&gt;'Proposed Lighting'!AA60,0,IF(AND(AD60&gt;AA60,AA60&gt;0),0,IF(AND('Proposed Lighting'!AU60=3,AM60=0.5),0,IF(AND(AM60&gt;0,AS60&gt;0,BI60&lt;2),0,IF('Proposed Lighting'!CH60=100,0,IF(AV60=1,0,IF(AND(AM60=35,M60+N60&lt;2),0,AM60)))))))))))</f>
        <v>0</v>
      </c>
      <c r="AQ60" s="1249" t="str">
        <f>IFERROR(ROUND(IF(Q60="","",IF('Proposed Lighting'!$X$4=0,0,IF(AND(AM60=35,M60+N60&lt;2),0,IF(T60&gt;K60,0,IF('Proposed Lighting'!AU60=1,0,IF(AJ60=0,0,IF(AND('Proposed Lighting'!AU60=3,AM60=0.5),0,IF(AND(AD60=75,AP60=0,AV60=0),0,IF(AP60&gt;0.01,AP60*T60,IF(AND(F60&gt;1,W60&lt;0.01),0,IF(AND(F60&gt;1,AO60=0),0,IF(AND('Proposed Lighting'!BC60=22,AV60=0),0,IF(AND(AM60&gt;0,AS60&gt;0,BI60&lt;2),0,IF(AND(AS60&gt;0.01,BK60=0),0,IF(AND(AO60=TRUE,AV60=1,F60=3),MIN(AJ60*0.08,L60),IF(AP60&gt;0.01,AP60*T60,IF(AND(AO60=TRUE,AV60=1,F60=2),MIN(AJ60*0.1,L60)))))))))))))))))),2),"")</f>
        <v/>
      </c>
      <c r="AR60" s="1250">
        <f>IF(Q60=0,0,IF('Proposed Lighting'!$X$4=0,0,IF(AND(AM60&gt;0.01,AQ60&gt;0.01),0,IF('Proposed Lighting'!AU60=1,"Missing Interior or Exterior Selection",IF('Proposed Lighting'!CF60=1,"Selection does not match",IF(K60&gt;'Proposed Lighting'!AA60,"Quantity controlled does not match proposed lighting quantity",IF(T60&gt;K60,"Quantity of sensors exceeds proposed lighting quantity",IF(AND(F60&gt;1,'Proposed Lighting'!AU60&lt;&gt;F60),"Selection does not match",IF(AND(AD60&gt;AA60,AA60&gt;0),"Does not meet minimum connected load",IF(AND(O60&gt;0,AS60&gt;0,BK60&gt;0,'Proposed Lighting'!CH60=0),"Select Control Strategies",IF(AND(AC60&gt;0.1,AJ60=0,AQ60=0),"Does not meet incentive criteria",0)))))))))))</f>
        <v>0</v>
      </c>
      <c r="AS60" s="1224">
        <f>IF('Proposed Lighting'!CH60=100,0,IF(ISNUMBER(SEARCH("multiple",Q60)),1,0))</f>
        <v>0</v>
      </c>
      <c r="AT60" s="451">
        <f t="shared" si="8"/>
        <v>0</v>
      </c>
      <c r="AU60" s="451">
        <f t="shared" si="9"/>
        <v>0</v>
      </c>
      <c r="AV60" s="1222">
        <f>IF(ISNUMBER(SEARCH("Networked",'Proposed Lighting'!T60)),0,IF(ISNUMBER(SEARCH("Strategies",'Proposed Lighting'!T60)),0,IF(ISNUMBER(SEARCH("Removal",'Proposed Lighting'!T60)),0,IF(ISNUMBER(SEARCH("non-standard",Q60)),1,0))))</f>
        <v>0</v>
      </c>
      <c r="AW60" s="451">
        <f t="shared" si="12"/>
        <v>0</v>
      </c>
      <c r="AX60" s="451"/>
      <c r="AY60" s="451"/>
      <c r="AZ60" s="451"/>
      <c r="BA60" s="451"/>
      <c r="BB60" s="451"/>
      <c r="BC60" s="1215"/>
      <c r="BD60" s="1215"/>
      <c r="BE60" s="1215"/>
      <c r="BF60" s="1215"/>
      <c r="BG60" s="1215"/>
      <c r="BH60" s="1215"/>
      <c r="BI60">
        <f>IF(AND(AS60=1,BC60="No",BD60="Yes",BE60="Yes",BF60="No",BH60="No"),0,IF(AND('Proposed Lighting'!AU60=2,AS60=1,BC60="Yes",BD60="Yes"),2,IF(AND('Proposed Lighting'!AU60=2,AS60=1,BC60="Yes",BE60="Yes"),2,IF(AND('Proposed Lighting'!AU60=2,AS60=1,BC60="Yes",BF60="Yes"),2,IF(AND('Proposed Lighting'!AU60=2,AS60=1,BC60="Yes",BH60="Yes"),2,IF(AND('Proposed Lighting'!AU60=2,AS60=1,BD60="Yes",BF60="Yes"),2,IF(AND('Proposed Lighting'!AU60=2,AS60=1,BD60="Yes",BH60="Yes"),2,IF(AND('Proposed Lighting'!AU60=3,AS60=1,BC60="Yes",BE60="Yes"),2,IF(AND('Proposed Lighting'!AU60=3,AS60=1,BC60="Yes",BF60="Yes"),2,0)))))))))</f>
        <v>0</v>
      </c>
      <c r="BJ60" s="1025">
        <f t="shared" si="10"/>
        <v>0</v>
      </c>
      <c r="BK60">
        <f>IF(AND('Proposed Lighting'!BC60=22,'Lighting Controls'!N60=1),0,IF(ISNUMBER(SEARCH("LED",G60)),1,0))</f>
        <v>0</v>
      </c>
    </row>
    <row r="61" spans="1:63" ht="34.5" customHeight="1">
      <c r="A61" s="917">
        <v>53</v>
      </c>
      <c r="B61" s="1828" t="str">
        <f>IF('Proposed Lighting'!B61="","",'Proposed Lighting'!B61)</f>
        <v/>
      </c>
      <c r="C61" s="1828"/>
      <c r="D61" s="1828"/>
      <c r="E61" s="1245">
        <f>'Proposed Lighting'!AA61</f>
        <v>0</v>
      </c>
      <c r="F61" s="1245">
        <f t="shared" si="0"/>
        <v>0</v>
      </c>
      <c r="G61" s="1830" t="str">
        <f>IF('Proposed Lighting'!T61="","",IF(ISNUMBER(SEARCH("Networked",'Proposed Lighting'!T61)),0,IF(ISNUMBER(SEARCH("Strategies",'Proposed Lighting'!T61)),0,IF(ISNUMBER(SEARCH("Removal",'Proposed Lighting'!T61)),0,'Proposed Lighting'!T61))))</f>
        <v/>
      </c>
      <c r="H61" s="1830"/>
      <c r="I61" s="1830"/>
      <c r="J61" s="1830"/>
      <c r="K61" s="1215"/>
      <c r="L61" s="1246">
        <f t="shared" si="1"/>
        <v>0</v>
      </c>
      <c r="M61" s="1224">
        <f t="shared" si="2"/>
        <v>0</v>
      </c>
      <c r="N61" s="1224">
        <f t="shared" si="3"/>
        <v>0</v>
      </c>
      <c r="O61" s="1825" t="str">
        <f>IF(G61=0,0,IF(ISNA('Proposed Lighting'!AT61),0,'Proposed Lighting'!AT61))</f>
        <v/>
      </c>
      <c r="P61" s="1825"/>
      <c r="Q61" s="1247"/>
      <c r="R61" s="1247"/>
      <c r="S61" s="1247"/>
      <c r="T61" s="1211"/>
      <c r="U61" s="1235">
        <f>IF(K61&gt;0.01,'Proposed Lighting'!CU61,0)</f>
        <v>0</v>
      </c>
      <c r="V61" s="1248">
        <f>IF('Proposed Lighting'!CF61=1,0,IF('Proposed Lighting'!AU61=2,0,IF(AND('Proposed Lighting'!AU61=3,'Proposed Lighting'!CF61=0),1,0)))</f>
        <v>0</v>
      </c>
      <c r="W61" s="1836"/>
      <c r="X61" s="1836"/>
      <c r="Y61" s="1836"/>
      <c r="Z61" s="1230" t="str">
        <f t="shared" si="4"/>
        <v/>
      </c>
      <c r="AA61" s="1230">
        <f t="shared" si="5"/>
        <v>0</v>
      </c>
      <c r="AB61" s="1230">
        <f>IF(Q61=0,0,IF(T61=0,0,IF(AA61=0,0,IF(AND(F61=3,V61=0),0,IF(T61=0,0,IF(K61&gt;'Proposed Lighting'!AA61,0,IF('Proposed Lighting'!EJ61&gt;0.01,(K61*O61)*'Proposed Lighting'!EJ61/1000,(K61*O61)*U61/1000)))))))</f>
        <v>0</v>
      </c>
      <c r="AC61" s="1230" t="str">
        <f t="shared" si="6"/>
        <v/>
      </c>
      <c r="AD61" s="1230">
        <f t="shared" si="7"/>
        <v>0</v>
      </c>
      <c r="AE61" s="1230">
        <f>IF(T61=0,0,IF(K61&gt;'Proposed Lighting'!AA61,0,IF(T61&gt;K61,0,IF(AND(AD61&gt;AA61,AA61&gt;0),0,IF(AND(F61&gt;1,W61&lt;0.01),0,IF('Proposed Lighting'!AU61&gt;'Lighting Controls'!F61,0,IF('Proposed Lighting'!AU61&lt;'Lighting Controls'!F61,0,IF(U61=0,0,Summary!AC364))))))))</f>
        <v>0</v>
      </c>
      <c r="AF61" s="1230">
        <f>IF(T61=0,0,IF(AE61=0,0,IF(K61&gt;'Proposed Lighting'!AA61,0,IF(AND(AD61&gt;AA61,AA61&gt;0),0,IF(U61=0,0,Summary!AD364)))))</f>
        <v>0</v>
      </c>
      <c r="AG61" s="1834">
        <f>IF('Proposed Lighting'!AU61=1,0,IF('Proposed Lighting'!CF61=1,0,T61*W61))</f>
        <v>0</v>
      </c>
      <c r="AH61" s="1834"/>
      <c r="AI61" s="1834"/>
      <c r="AJ61" s="1835">
        <f>IF(T61&lt;1,0,IF(K61&gt;'Proposed Lighting'!AA61,0,IF('Proposed Lighting'!CF61=1,0,IF('Proposed Lighting'!AU61=1,0,IF(T61&gt;K61,0,IF(AND(AD61&gt;AA61,AA61&gt;0),0,IF(AND(F61=2,'Proposed Lighting'!AU61=3),0,IF(AND(F61=3,'Proposed Lighting'!AU61=2),0,IF('Proposed Lighting'!CH61=100,0,IF(AND(F61&lt;3,V61=1,AM61=0),0,IF(AND(F61&gt;1,AF61&lt;1,AN61&lt;1),0,IF(AND(F61&gt;1,AE61&lt;0.69,AF61&lt;1,AN61&lt;1),0,IF(ISERROR(AB61-AC61),"",AB61-AC61)))))))))))))</f>
        <v>0</v>
      </c>
      <c r="AK61" s="1835"/>
      <c r="AL61" s="1835"/>
      <c r="AM61" s="1216">
        <f>IF(Q61=0,0,IF(T61=0,0,IF(T61&gt;K61,0,IF(AND(AS61&gt;0.01,BK61=0),0,IF(AND('Proposed Lighting'!DG61=0,'Lighting Controls'!Z61=0.35),0,IF(AND(T61&lt;=K61,AA61&gt;=AD61,'Proposed Lighting'!AU61=2),VLOOKUP(Q61,$AY$9:$AZ$15,2,FALSE),IF(AND(T61&lt;=K61,AA61&gt;=AD61,'Proposed Lighting'!AU61=3),VLOOKUP(Q61,$AY$17:$AZ$23,2,FALSE))))))))</f>
        <v>0</v>
      </c>
      <c r="AN61" s="1248">
        <f>IF(T61=0,0,IF(K61&gt;'Proposed Lighting'!AA61,0,IF(AE61=0,0,IF(AND(AD61&gt;AA61,AA61&gt;0),0,IF(U61=0,0,Summary!AE364)))))</f>
        <v>0</v>
      </c>
      <c r="AO61" s="1248">
        <f t="shared" si="11"/>
        <v>0</v>
      </c>
      <c r="AP61" s="1249">
        <f>IF('Proposed Lighting'!AU61=1,0,IF(K61=0,0,IF(T61&gt;K61,0,IF(G61=0,0,IF(K61&gt;'Proposed Lighting'!AA61,0,IF(AND(AD61&gt;AA61,AA61&gt;0),0,IF(AND('Proposed Lighting'!AU61=3,AM61=0.5),0,IF(AND(AM61&gt;0,AS61&gt;0,BI61&lt;2),0,IF('Proposed Lighting'!CH61=100,0,IF(AV61=1,0,IF(AND(AM61=35,M61+N61&lt;2),0,AM61)))))))))))</f>
        <v>0</v>
      </c>
      <c r="AQ61" s="1249" t="str">
        <f>IFERROR(ROUND(IF(Q61="","",IF('Proposed Lighting'!$X$4=0,0,IF(AND(AM61=35,M61+N61&lt;2),0,IF(T61&gt;K61,0,IF('Proposed Lighting'!AU61=1,0,IF(AJ61=0,0,IF(AND('Proposed Lighting'!AU61=3,AM61=0.5),0,IF(AND(AD61=75,AP61=0,AV61=0),0,IF(AP61&gt;0.01,AP61*T61,IF(AND(F61&gt;1,W61&lt;0.01),0,IF(AND(F61&gt;1,AO61=0),0,IF(AND('Proposed Lighting'!BC61=22,AV61=0),0,IF(AND(AM61&gt;0,AS61&gt;0,BI61&lt;2),0,IF(AND(AS61&gt;0.01,BK61=0),0,IF(AND(AO61=TRUE,AV61=1,F61=3),MIN(AJ61*0.08,L61),IF(AP61&gt;0.01,AP61*T61,IF(AND(AO61=TRUE,AV61=1,F61=2),MIN(AJ61*0.1,L61)))))))))))))))))),2),"")</f>
        <v/>
      </c>
      <c r="AR61" s="1250">
        <f>IF(Q61=0,0,IF('Proposed Lighting'!$X$4=0,0,IF(AND(AM61&gt;0.01,AQ61&gt;0.01),0,IF('Proposed Lighting'!AU61=1,"Missing Interior or Exterior Selection",IF('Proposed Lighting'!CF61=1,"Selection does not match",IF(K61&gt;'Proposed Lighting'!AA61,"Quantity controlled does not match proposed lighting quantity",IF(T61&gt;K61,"Quantity of sensors exceeds proposed lighting quantity",IF(AND(F61&gt;1,'Proposed Lighting'!AU61&lt;&gt;F61),"Selection does not match",IF(AND(AD61&gt;AA61,AA61&gt;0),"Does not meet minimum connected load",IF(AND(O61&gt;0,AS61&gt;0,BK61&gt;0,'Proposed Lighting'!CH61=0),"Select Control Strategies",IF(AND(AC61&gt;0.1,AJ61=0,AQ61=0),"Does not meet incentive criteria",0)))))))))))</f>
        <v>0</v>
      </c>
      <c r="AS61" s="1224">
        <f>IF('Proposed Lighting'!CH61=100,0,IF(ISNUMBER(SEARCH("multiple",Q61)),1,0))</f>
        <v>0</v>
      </c>
      <c r="AT61" s="451">
        <f t="shared" si="8"/>
        <v>0</v>
      </c>
      <c r="AU61" s="451">
        <f t="shared" si="9"/>
        <v>0</v>
      </c>
      <c r="AV61" s="1222">
        <f>IF(ISNUMBER(SEARCH("Networked",'Proposed Lighting'!T61)),0,IF(ISNUMBER(SEARCH("Strategies",'Proposed Lighting'!T61)),0,IF(ISNUMBER(SEARCH("Removal",'Proposed Lighting'!T61)),0,IF(ISNUMBER(SEARCH("non-standard",Q61)),1,0))))</f>
        <v>0</v>
      </c>
      <c r="AW61" s="451">
        <f t="shared" si="12"/>
        <v>0</v>
      </c>
      <c r="AX61" s="451"/>
      <c r="AY61" s="451"/>
      <c r="AZ61" s="451"/>
      <c r="BA61" s="451"/>
      <c r="BB61" s="451"/>
      <c r="BC61" s="1215"/>
      <c r="BD61" s="1215"/>
      <c r="BE61" s="1215"/>
      <c r="BF61" s="1215"/>
      <c r="BG61" s="1215"/>
      <c r="BH61" s="1215"/>
      <c r="BI61">
        <f>IF(AND(AS61=1,BC61="No",BD61="Yes",BE61="Yes",BF61="No",BH61="No"),0,IF(AND('Proposed Lighting'!AU61=2,AS61=1,BC61="Yes",BD61="Yes"),2,IF(AND('Proposed Lighting'!AU61=2,AS61=1,BC61="Yes",BE61="Yes"),2,IF(AND('Proposed Lighting'!AU61=2,AS61=1,BC61="Yes",BF61="Yes"),2,IF(AND('Proposed Lighting'!AU61=2,AS61=1,BC61="Yes",BH61="Yes"),2,IF(AND('Proposed Lighting'!AU61=2,AS61=1,BD61="Yes",BF61="Yes"),2,IF(AND('Proposed Lighting'!AU61=2,AS61=1,BD61="Yes",BH61="Yes"),2,IF(AND('Proposed Lighting'!AU61=3,AS61=1,BC61="Yes",BE61="Yes"),2,IF(AND('Proposed Lighting'!AU61=3,AS61=1,BC61="Yes",BF61="Yes"),2,0)))))))))</f>
        <v>0</v>
      </c>
      <c r="BJ61" s="1025">
        <f t="shared" si="10"/>
        <v>0</v>
      </c>
      <c r="BK61">
        <f>IF(AND('Proposed Lighting'!BC61=22,'Lighting Controls'!N61=1),0,IF(ISNUMBER(SEARCH("LED",G61)),1,0))</f>
        <v>0</v>
      </c>
    </row>
    <row r="62" spans="1:63" ht="34.5" customHeight="1">
      <c r="A62" s="917">
        <v>54</v>
      </c>
      <c r="B62" s="1828" t="str">
        <f>IF('Proposed Lighting'!B62="","",'Proposed Lighting'!B62)</f>
        <v/>
      </c>
      <c r="C62" s="1828"/>
      <c r="D62" s="1828"/>
      <c r="E62" s="1245">
        <f>'Proposed Lighting'!AA62</f>
        <v>0</v>
      </c>
      <c r="F62" s="1245">
        <f t="shared" si="0"/>
        <v>0</v>
      </c>
      <c r="G62" s="1830" t="str">
        <f>IF('Proposed Lighting'!T62="","",IF(ISNUMBER(SEARCH("Networked",'Proposed Lighting'!T62)),0,IF(ISNUMBER(SEARCH("Strategies",'Proposed Lighting'!T62)),0,IF(ISNUMBER(SEARCH("Removal",'Proposed Lighting'!T62)),0,'Proposed Lighting'!T62))))</f>
        <v/>
      </c>
      <c r="H62" s="1830"/>
      <c r="I62" s="1830"/>
      <c r="J62" s="1830"/>
      <c r="K62" s="1215"/>
      <c r="L62" s="1246">
        <f t="shared" si="1"/>
        <v>0</v>
      </c>
      <c r="M62" s="1224">
        <f t="shared" si="2"/>
        <v>0</v>
      </c>
      <c r="N62" s="1224">
        <f t="shared" si="3"/>
        <v>0</v>
      </c>
      <c r="O62" s="1825" t="str">
        <f>IF(G62=0,0,IF(ISNA('Proposed Lighting'!AT62),0,'Proposed Lighting'!AT62))</f>
        <v/>
      </c>
      <c r="P62" s="1825"/>
      <c r="Q62" s="1247"/>
      <c r="R62" s="1247"/>
      <c r="S62" s="1247"/>
      <c r="T62" s="1211"/>
      <c r="U62" s="1235">
        <f>IF(K62&gt;0.01,'Proposed Lighting'!CU62,0)</f>
        <v>0</v>
      </c>
      <c r="V62" s="1248">
        <f>IF('Proposed Lighting'!CF62=1,0,IF('Proposed Lighting'!AU62=2,0,IF(AND('Proposed Lighting'!AU62=3,'Proposed Lighting'!CF62=0),1,0)))</f>
        <v>0</v>
      </c>
      <c r="W62" s="1836"/>
      <c r="X62" s="1836"/>
      <c r="Y62" s="1836"/>
      <c r="Z62" s="1230" t="str">
        <f t="shared" si="4"/>
        <v/>
      </c>
      <c r="AA62" s="1230">
        <f t="shared" si="5"/>
        <v>0</v>
      </c>
      <c r="AB62" s="1230">
        <f>IF(Q62=0,0,IF(T62=0,0,IF(AA62=0,0,IF(AND(F62=3,V62=0),0,IF(T62=0,0,IF(K62&gt;'Proposed Lighting'!AA62,0,IF('Proposed Lighting'!EJ62&gt;0.01,(K62*O62)*'Proposed Lighting'!EJ62/1000,(K62*O62)*U62/1000)))))))</f>
        <v>0</v>
      </c>
      <c r="AC62" s="1230" t="str">
        <f t="shared" si="6"/>
        <v/>
      </c>
      <c r="AD62" s="1230">
        <f t="shared" si="7"/>
        <v>0</v>
      </c>
      <c r="AE62" s="1230">
        <f>IF(T62=0,0,IF(K62&gt;'Proposed Lighting'!AA62,0,IF(T62&gt;K62,0,IF(AND(AD62&gt;AA62,AA62&gt;0),0,IF(AND(F62&gt;1,W62&lt;0.01),0,IF('Proposed Lighting'!AU62&gt;'Lighting Controls'!F62,0,IF('Proposed Lighting'!AU62&lt;'Lighting Controls'!F62,0,IF(U62=0,0,Summary!AC365))))))))</f>
        <v>0</v>
      </c>
      <c r="AF62" s="1230">
        <f>IF(T62=0,0,IF(AE62=0,0,IF(K62&gt;'Proposed Lighting'!AA62,0,IF(AND(AD62&gt;AA62,AA62&gt;0),0,IF(U62=0,0,Summary!AD365)))))</f>
        <v>0</v>
      </c>
      <c r="AG62" s="1834">
        <f>IF('Proposed Lighting'!AU62=1,0,IF('Proposed Lighting'!CF62=1,0,T62*W62))</f>
        <v>0</v>
      </c>
      <c r="AH62" s="1834"/>
      <c r="AI62" s="1834"/>
      <c r="AJ62" s="1835">
        <f>IF(T62&lt;1,0,IF(K62&gt;'Proposed Lighting'!AA62,0,IF('Proposed Lighting'!CF62=1,0,IF('Proposed Lighting'!AU62=1,0,IF(T62&gt;K62,0,IF(AND(AD62&gt;AA62,AA62&gt;0),0,IF(AND(F62=2,'Proposed Lighting'!AU62=3),0,IF(AND(F62=3,'Proposed Lighting'!AU62=2),0,IF('Proposed Lighting'!CH62=100,0,IF(AND(F62&lt;3,V62=1,AM62=0),0,IF(AND(F62&gt;1,AF62&lt;1,AN62&lt;1),0,IF(AND(F62&gt;1,AE62&lt;0.69,AF62&lt;1,AN62&lt;1),0,IF(ISERROR(AB62-AC62),"",AB62-AC62)))))))))))))</f>
        <v>0</v>
      </c>
      <c r="AK62" s="1835"/>
      <c r="AL62" s="1835"/>
      <c r="AM62" s="1216">
        <f>IF(Q62=0,0,IF(T62=0,0,IF(T62&gt;K62,0,IF(AND(AS62&gt;0.01,BK62=0),0,IF(AND('Proposed Lighting'!DG62=0,'Lighting Controls'!Z62=0.35),0,IF(AND(T62&lt;=K62,AA62&gt;=AD62,'Proposed Lighting'!AU62=2),VLOOKUP(Q62,$AY$9:$AZ$15,2,FALSE),IF(AND(T62&lt;=K62,AA62&gt;=AD62,'Proposed Lighting'!AU62=3),VLOOKUP(Q62,$AY$17:$AZ$23,2,FALSE))))))))</f>
        <v>0</v>
      </c>
      <c r="AN62" s="1248">
        <f>IF(T62=0,0,IF(K62&gt;'Proposed Lighting'!AA62,0,IF(AE62=0,0,IF(AND(AD62&gt;AA62,AA62&gt;0),0,IF(U62=0,0,Summary!AE365)))))</f>
        <v>0</v>
      </c>
      <c r="AO62" s="1248">
        <f t="shared" si="11"/>
        <v>0</v>
      </c>
      <c r="AP62" s="1249">
        <f>IF('Proposed Lighting'!AU62=1,0,IF(K62=0,0,IF(T62&gt;K62,0,IF(G62=0,0,IF(K62&gt;'Proposed Lighting'!AA62,0,IF(AND(AD62&gt;AA62,AA62&gt;0),0,IF(AND('Proposed Lighting'!AU62=3,AM62=0.5),0,IF(AND(AM62&gt;0,AS62&gt;0,BI62&lt;2),0,IF('Proposed Lighting'!CH62=100,0,IF(AV62=1,0,IF(AND(AM62=35,M62+N62&lt;2),0,AM62)))))))))))</f>
        <v>0</v>
      </c>
      <c r="AQ62" s="1249" t="str">
        <f>IFERROR(ROUND(IF(Q62="","",IF('Proposed Lighting'!$X$4=0,0,IF(AND(AM62=35,M62+N62&lt;2),0,IF(T62&gt;K62,0,IF('Proposed Lighting'!AU62=1,0,IF(AJ62=0,0,IF(AND('Proposed Lighting'!AU62=3,AM62=0.5),0,IF(AND(AD62=75,AP62=0,AV62=0),0,IF(AP62&gt;0.01,AP62*T62,IF(AND(F62&gt;1,W62&lt;0.01),0,IF(AND(F62&gt;1,AO62=0),0,IF(AND('Proposed Lighting'!BC62=22,AV62=0),0,IF(AND(AM62&gt;0,AS62&gt;0,BI62&lt;2),0,IF(AND(AS62&gt;0.01,BK62=0),0,IF(AND(AO62=TRUE,AV62=1,F62=3),MIN(AJ62*0.08,L62),IF(AP62&gt;0.01,AP62*T62,IF(AND(AO62=TRUE,AV62=1,F62=2),MIN(AJ62*0.1,L62)))))))))))))))))),2),"")</f>
        <v/>
      </c>
      <c r="AR62" s="1250">
        <f>IF(Q62=0,0,IF('Proposed Lighting'!$X$4=0,0,IF(AND(AM62&gt;0.01,AQ62&gt;0.01),0,IF('Proposed Lighting'!AU62=1,"Missing Interior or Exterior Selection",IF('Proposed Lighting'!CF62=1,"Selection does not match",IF(K62&gt;'Proposed Lighting'!AA62,"Quantity controlled does not match proposed lighting quantity",IF(T62&gt;K62,"Quantity of sensors exceeds proposed lighting quantity",IF(AND(F62&gt;1,'Proposed Lighting'!AU62&lt;&gt;F62),"Selection does not match",IF(AND(AD62&gt;AA62,AA62&gt;0),"Does not meet minimum connected load",IF(AND(O62&gt;0,AS62&gt;0,BK62&gt;0,'Proposed Lighting'!CH62=0),"Select Control Strategies",IF(AND(AC62&gt;0.1,AJ62=0,AQ62=0),"Does not meet incentive criteria",0)))))))))))</f>
        <v>0</v>
      </c>
      <c r="AS62" s="1224">
        <f>IF('Proposed Lighting'!CH62=100,0,IF(ISNUMBER(SEARCH("multiple",Q62)),1,0))</f>
        <v>0</v>
      </c>
      <c r="AT62" s="451">
        <f t="shared" si="8"/>
        <v>0</v>
      </c>
      <c r="AU62" s="451">
        <f t="shared" si="9"/>
        <v>0</v>
      </c>
      <c r="AV62" s="1222">
        <f>IF(ISNUMBER(SEARCH("Networked",'Proposed Lighting'!T62)),0,IF(ISNUMBER(SEARCH("Strategies",'Proposed Lighting'!T62)),0,IF(ISNUMBER(SEARCH("Removal",'Proposed Lighting'!T62)),0,IF(ISNUMBER(SEARCH("non-standard",Q62)),1,0))))</f>
        <v>0</v>
      </c>
      <c r="AW62" s="451">
        <f t="shared" si="12"/>
        <v>0</v>
      </c>
      <c r="AX62" s="451"/>
      <c r="AY62" s="451"/>
      <c r="AZ62" s="451"/>
      <c r="BA62" s="451"/>
      <c r="BB62" s="451"/>
      <c r="BC62" s="1215"/>
      <c r="BD62" s="1215"/>
      <c r="BE62" s="1215"/>
      <c r="BF62" s="1215"/>
      <c r="BG62" s="1215"/>
      <c r="BH62" s="1215"/>
      <c r="BI62">
        <f>IF(AND(AS62=1,BC62="No",BD62="Yes",BE62="Yes",BF62="No",BH62="No"),0,IF(AND('Proposed Lighting'!AU62=2,AS62=1,BC62="Yes",BD62="Yes"),2,IF(AND('Proposed Lighting'!AU62=2,AS62=1,BC62="Yes",BE62="Yes"),2,IF(AND('Proposed Lighting'!AU62=2,AS62=1,BC62="Yes",BF62="Yes"),2,IF(AND('Proposed Lighting'!AU62=2,AS62=1,BC62="Yes",BH62="Yes"),2,IF(AND('Proposed Lighting'!AU62=2,AS62=1,BD62="Yes",BF62="Yes"),2,IF(AND('Proposed Lighting'!AU62=2,AS62=1,BD62="Yes",BH62="Yes"),2,IF(AND('Proposed Lighting'!AU62=3,AS62=1,BC62="Yes",BE62="Yes"),2,IF(AND('Proposed Lighting'!AU62=3,AS62=1,BC62="Yes",BF62="Yes"),2,0)))))))))</f>
        <v>0</v>
      </c>
      <c r="BJ62" s="1025">
        <f t="shared" si="10"/>
        <v>0</v>
      </c>
      <c r="BK62">
        <f>IF(AND('Proposed Lighting'!BC62=22,'Lighting Controls'!N62=1),0,IF(ISNUMBER(SEARCH("LED",G62)),1,0))</f>
        <v>0</v>
      </c>
    </row>
    <row r="63" spans="1:63" ht="34.5" customHeight="1">
      <c r="A63" s="917">
        <v>55</v>
      </c>
      <c r="B63" s="1828" t="str">
        <f>IF('Proposed Lighting'!B63="","",'Proposed Lighting'!B63)</f>
        <v/>
      </c>
      <c r="C63" s="1828"/>
      <c r="D63" s="1828"/>
      <c r="E63" s="1245">
        <f>'Proposed Lighting'!AA63</f>
        <v>0</v>
      </c>
      <c r="F63" s="1245">
        <f t="shared" si="0"/>
        <v>0</v>
      </c>
      <c r="G63" s="1830" t="str">
        <f>IF('Proposed Lighting'!T63="","",IF(ISNUMBER(SEARCH("Networked",'Proposed Lighting'!T63)),0,IF(ISNUMBER(SEARCH("Strategies",'Proposed Lighting'!T63)),0,IF(ISNUMBER(SEARCH("Removal",'Proposed Lighting'!T63)),0,'Proposed Lighting'!T63))))</f>
        <v/>
      </c>
      <c r="H63" s="1830"/>
      <c r="I63" s="1830"/>
      <c r="J63" s="1830"/>
      <c r="K63" s="1215"/>
      <c r="L63" s="1246">
        <f t="shared" si="1"/>
        <v>0</v>
      </c>
      <c r="M63" s="1224">
        <f t="shared" si="2"/>
        <v>0</v>
      </c>
      <c r="N63" s="1224">
        <f t="shared" si="3"/>
        <v>0</v>
      </c>
      <c r="O63" s="1825" t="str">
        <f>IF(G63=0,0,IF(ISNA('Proposed Lighting'!AT63),0,'Proposed Lighting'!AT63))</f>
        <v/>
      </c>
      <c r="P63" s="1825"/>
      <c r="Q63" s="1247"/>
      <c r="R63" s="1247"/>
      <c r="S63" s="1247"/>
      <c r="T63" s="1211"/>
      <c r="U63" s="1235">
        <f>IF(K63&gt;0.01,'Proposed Lighting'!CU63,0)</f>
        <v>0</v>
      </c>
      <c r="V63" s="1248">
        <f>IF('Proposed Lighting'!CF63=1,0,IF('Proposed Lighting'!AU63=2,0,IF(AND('Proposed Lighting'!AU63=3,'Proposed Lighting'!CF63=0),1,0)))</f>
        <v>0</v>
      </c>
      <c r="W63" s="1836"/>
      <c r="X63" s="1836"/>
      <c r="Y63" s="1836"/>
      <c r="Z63" s="1230" t="str">
        <f t="shared" si="4"/>
        <v/>
      </c>
      <c r="AA63" s="1230">
        <f t="shared" si="5"/>
        <v>0</v>
      </c>
      <c r="AB63" s="1230">
        <f>IF(Q63=0,0,IF(T63=0,0,IF(AA63=0,0,IF(AND(F63=3,V63=0),0,IF(T63=0,0,IF(K63&gt;'Proposed Lighting'!AA63,0,IF('Proposed Lighting'!EJ63&gt;0.01,(K63*O63)*'Proposed Lighting'!EJ63/1000,(K63*O63)*U63/1000)))))))</f>
        <v>0</v>
      </c>
      <c r="AC63" s="1230" t="str">
        <f t="shared" si="6"/>
        <v/>
      </c>
      <c r="AD63" s="1230">
        <f t="shared" si="7"/>
        <v>0</v>
      </c>
      <c r="AE63" s="1230">
        <f>IF(T63=0,0,IF(K63&gt;'Proposed Lighting'!AA63,0,IF(T63&gt;K63,0,IF(AND(AD63&gt;AA63,AA63&gt;0),0,IF(AND(F63&gt;1,W63&lt;0.01),0,IF('Proposed Lighting'!AU63&gt;'Lighting Controls'!F63,0,IF('Proposed Lighting'!AU63&lt;'Lighting Controls'!F63,0,IF(U63=0,0,Summary!AC366))))))))</f>
        <v>0</v>
      </c>
      <c r="AF63" s="1230">
        <f>IF(T63=0,0,IF(AE63=0,0,IF(K63&gt;'Proposed Lighting'!AA63,0,IF(AND(AD63&gt;AA63,AA63&gt;0),0,IF(U63=0,0,Summary!AD366)))))</f>
        <v>0</v>
      </c>
      <c r="AG63" s="1834">
        <f>IF('Proposed Lighting'!AU63=1,0,IF('Proposed Lighting'!CF63=1,0,T63*W63))</f>
        <v>0</v>
      </c>
      <c r="AH63" s="1834"/>
      <c r="AI63" s="1834"/>
      <c r="AJ63" s="1835">
        <f>IF(T63&lt;1,0,IF(K63&gt;'Proposed Lighting'!AA63,0,IF('Proposed Lighting'!CF63=1,0,IF('Proposed Lighting'!AU63=1,0,IF(T63&gt;K63,0,IF(AND(AD63&gt;AA63,AA63&gt;0),0,IF(AND(F63=2,'Proposed Lighting'!AU63=3),0,IF(AND(F63=3,'Proposed Lighting'!AU63=2),0,IF('Proposed Lighting'!CH63=100,0,IF(AND(F63&lt;3,V63=1,AM63=0),0,IF(AND(F63&gt;1,AF63&lt;1,AN63&lt;1),0,IF(AND(F63&gt;1,AE63&lt;0.69,AF63&lt;1,AN63&lt;1),0,IF(ISERROR(AB63-AC63),"",AB63-AC63)))))))))))))</f>
        <v>0</v>
      </c>
      <c r="AK63" s="1835"/>
      <c r="AL63" s="1835"/>
      <c r="AM63" s="1216">
        <f>IF(Q63=0,0,IF(T63=0,0,IF(T63&gt;K63,0,IF(AND(AS63&gt;0.01,BK63=0),0,IF(AND('Proposed Lighting'!DG63=0,'Lighting Controls'!Z63=0.35),0,IF(AND(T63&lt;=K63,AA63&gt;=AD63,'Proposed Lighting'!AU63=2),VLOOKUP(Q63,$AY$9:$AZ$15,2,FALSE),IF(AND(T63&lt;=K63,AA63&gt;=AD63,'Proposed Lighting'!AU63=3),VLOOKUP(Q63,$AY$17:$AZ$23,2,FALSE))))))))</f>
        <v>0</v>
      </c>
      <c r="AN63" s="1248">
        <f>IF(T63=0,0,IF(K63&gt;'Proposed Lighting'!AA63,0,IF(AE63=0,0,IF(AND(AD63&gt;AA63,AA63&gt;0),0,IF(U63=0,0,Summary!AE366)))))</f>
        <v>0</v>
      </c>
      <c r="AO63" s="1248">
        <f t="shared" si="11"/>
        <v>0</v>
      </c>
      <c r="AP63" s="1249">
        <f>IF('Proposed Lighting'!AU63=1,0,IF(K63=0,0,IF(T63&gt;K63,0,IF(G63=0,0,IF(K63&gt;'Proposed Lighting'!AA63,0,IF(AND(AD63&gt;AA63,AA63&gt;0),0,IF(AND('Proposed Lighting'!AU63=3,AM63=0.5),0,IF(AND(AM63&gt;0,AS63&gt;0,BI63&lt;2),0,IF('Proposed Lighting'!CH63=100,0,IF(AV63=1,0,IF(AND(AM63=35,M63+N63&lt;2),0,AM63)))))))))))</f>
        <v>0</v>
      </c>
      <c r="AQ63" s="1249" t="str">
        <f>IFERROR(ROUND(IF(Q63="","",IF('Proposed Lighting'!$X$4=0,0,IF(AND(AM63=35,M63+N63&lt;2),0,IF(T63&gt;K63,0,IF('Proposed Lighting'!AU63=1,0,IF(AJ63=0,0,IF(AND('Proposed Lighting'!AU63=3,AM63=0.5),0,IF(AND(AD63=75,AP63=0,AV63=0),0,IF(AP63&gt;0.01,AP63*T63,IF(AND(F63&gt;1,W63&lt;0.01),0,IF(AND(F63&gt;1,AO63=0),0,IF(AND('Proposed Lighting'!BC63=22,AV63=0),0,IF(AND(AM63&gt;0,AS63&gt;0,BI63&lt;2),0,IF(AND(AS63&gt;0.01,BK63=0),0,IF(AND(AO63=TRUE,AV63=1,F63=3),MIN(AJ63*0.08,L63),IF(AP63&gt;0.01,AP63*T63,IF(AND(AO63=TRUE,AV63=1,F63=2),MIN(AJ63*0.1,L63)))))))))))))))))),2),"")</f>
        <v/>
      </c>
      <c r="AR63" s="1250">
        <f>IF(Q63=0,0,IF('Proposed Lighting'!$X$4=0,0,IF(AND(AM63&gt;0.01,AQ63&gt;0.01),0,IF('Proposed Lighting'!AU63=1,"Missing Interior or Exterior Selection",IF('Proposed Lighting'!CF63=1,"Selection does not match",IF(K63&gt;'Proposed Lighting'!AA63,"Quantity controlled does not match proposed lighting quantity",IF(T63&gt;K63,"Quantity of sensors exceeds proposed lighting quantity",IF(AND(F63&gt;1,'Proposed Lighting'!AU63&lt;&gt;F63),"Selection does not match",IF(AND(AD63&gt;AA63,AA63&gt;0),"Does not meet minimum connected load",IF(AND(O63&gt;0,AS63&gt;0,BK63&gt;0,'Proposed Lighting'!CH63=0),"Select Control Strategies",IF(AND(AC63&gt;0.1,AJ63=0,AQ63=0),"Does not meet incentive criteria",0)))))))))))</f>
        <v>0</v>
      </c>
      <c r="AS63" s="1224">
        <f>IF('Proposed Lighting'!CH63=100,0,IF(ISNUMBER(SEARCH("multiple",Q63)),1,0))</f>
        <v>0</v>
      </c>
      <c r="AT63" s="451">
        <f t="shared" si="8"/>
        <v>0</v>
      </c>
      <c r="AU63" s="451">
        <f t="shared" si="9"/>
        <v>0</v>
      </c>
      <c r="AV63" s="1222">
        <f>IF(ISNUMBER(SEARCH("Networked",'Proposed Lighting'!T63)),0,IF(ISNUMBER(SEARCH("Strategies",'Proposed Lighting'!T63)),0,IF(ISNUMBER(SEARCH("Removal",'Proposed Lighting'!T63)),0,IF(ISNUMBER(SEARCH("non-standard",Q63)),1,0))))</f>
        <v>0</v>
      </c>
      <c r="AW63" s="451">
        <f t="shared" si="12"/>
        <v>0</v>
      </c>
      <c r="AX63" s="451"/>
      <c r="AY63" s="451"/>
      <c r="AZ63" s="451"/>
      <c r="BA63" s="451"/>
      <c r="BB63" s="451"/>
      <c r="BC63" s="1215"/>
      <c r="BD63" s="1215"/>
      <c r="BE63" s="1215"/>
      <c r="BF63" s="1215"/>
      <c r="BG63" s="1215"/>
      <c r="BH63" s="1215"/>
      <c r="BI63">
        <f>IF(AND(AS63=1,BC63="No",BD63="Yes",BE63="Yes",BF63="No",BH63="No"),0,IF(AND('Proposed Lighting'!AU63=2,AS63=1,BC63="Yes",BD63="Yes"),2,IF(AND('Proposed Lighting'!AU63=2,AS63=1,BC63="Yes",BE63="Yes"),2,IF(AND('Proposed Lighting'!AU63=2,AS63=1,BC63="Yes",BF63="Yes"),2,IF(AND('Proposed Lighting'!AU63=2,AS63=1,BC63="Yes",BH63="Yes"),2,IF(AND('Proposed Lighting'!AU63=2,AS63=1,BD63="Yes",BF63="Yes"),2,IF(AND('Proposed Lighting'!AU63=2,AS63=1,BD63="Yes",BH63="Yes"),2,IF(AND('Proposed Lighting'!AU63=3,AS63=1,BC63="Yes",BE63="Yes"),2,IF(AND('Proposed Lighting'!AU63=3,AS63=1,BC63="Yes",BF63="Yes"),2,0)))))))))</f>
        <v>0</v>
      </c>
      <c r="BJ63" s="1025">
        <f t="shared" si="10"/>
        <v>0</v>
      </c>
      <c r="BK63">
        <f>IF(AND('Proposed Lighting'!BC63=22,'Lighting Controls'!N63=1),0,IF(ISNUMBER(SEARCH("LED",G63)),1,0))</f>
        <v>0</v>
      </c>
    </row>
    <row r="64" spans="1:63" ht="34.5" customHeight="1">
      <c r="A64" s="917">
        <v>56</v>
      </c>
      <c r="B64" s="1828" t="str">
        <f>IF('Proposed Lighting'!B64="","",'Proposed Lighting'!B64)</f>
        <v/>
      </c>
      <c r="C64" s="1828"/>
      <c r="D64" s="1828"/>
      <c r="E64" s="1245">
        <f>'Proposed Lighting'!AA64</f>
        <v>0</v>
      </c>
      <c r="F64" s="1245">
        <f t="shared" si="0"/>
        <v>0</v>
      </c>
      <c r="G64" s="1830" t="str">
        <f>IF('Proposed Lighting'!T64="","",IF(ISNUMBER(SEARCH("Networked",'Proposed Lighting'!T64)),0,IF(ISNUMBER(SEARCH("Strategies",'Proposed Lighting'!T64)),0,IF(ISNUMBER(SEARCH("Removal",'Proposed Lighting'!T64)),0,'Proposed Lighting'!T64))))</f>
        <v/>
      </c>
      <c r="H64" s="1830"/>
      <c r="I64" s="1830"/>
      <c r="J64" s="1830"/>
      <c r="K64" s="1215"/>
      <c r="L64" s="1246">
        <f t="shared" si="1"/>
        <v>0</v>
      </c>
      <c r="M64" s="1224">
        <f t="shared" si="2"/>
        <v>0</v>
      </c>
      <c r="N64" s="1224">
        <f t="shared" si="3"/>
        <v>0</v>
      </c>
      <c r="O64" s="1825" t="str">
        <f>IF(G64=0,0,IF(ISNA('Proposed Lighting'!AT64),0,'Proposed Lighting'!AT64))</f>
        <v/>
      </c>
      <c r="P64" s="1825"/>
      <c r="Q64" s="1247"/>
      <c r="R64" s="1247"/>
      <c r="S64" s="1247"/>
      <c r="T64" s="1211"/>
      <c r="U64" s="1235">
        <f>IF(K64&gt;0.01,'Proposed Lighting'!CU64,0)</f>
        <v>0</v>
      </c>
      <c r="V64" s="1248">
        <f>IF('Proposed Lighting'!CF64=1,0,IF('Proposed Lighting'!AU64=2,0,IF(AND('Proposed Lighting'!AU64=3,'Proposed Lighting'!CF64=0),1,0)))</f>
        <v>0</v>
      </c>
      <c r="W64" s="1836"/>
      <c r="X64" s="1836"/>
      <c r="Y64" s="1836"/>
      <c r="Z64" s="1230" t="str">
        <f t="shared" si="4"/>
        <v/>
      </c>
      <c r="AA64" s="1230">
        <f t="shared" si="5"/>
        <v>0</v>
      </c>
      <c r="AB64" s="1230">
        <f>IF(Q64=0,0,IF(T64=0,0,IF(AA64=0,0,IF(AND(F64=3,V64=0),0,IF(T64=0,0,IF(K64&gt;'Proposed Lighting'!AA64,0,IF('Proposed Lighting'!EJ64&gt;0.01,(K64*O64)*'Proposed Lighting'!EJ64/1000,(K64*O64)*U64/1000)))))))</f>
        <v>0</v>
      </c>
      <c r="AC64" s="1230" t="str">
        <f t="shared" si="6"/>
        <v/>
      </c>
      <c r="AD64" s="1230">
        <f t="shared" si="7"/>
        <v>0</v>
      </c>
      <c r="AE64" s="1230">
        <f>IF(T64=0,0,IF(K64&gt;'Proposed Lighting'!AA64,0,IF(T64&gt;K64,0,IF(AND(AD64&gt;AA64,AA64&gt;0),0,IF(AND(F64&gt;1,W64&lt;0.01),0,IF('Proposed Lighting'!AU64&gt;'Lighting Controls'!F64,0,IF('Proposed Lighting'!AU64&lt;'Lighting Controls'!F64,0,IF(U64=0,0,Summary!AC367))))))))</f>
        <v>0</v>
      </c>
      <c r="AF64" s="1230">
        <f>IF(T64=0,0,IF(AE64=0,0,IF(K64&gt;'Proposed Lighting'!AA64,0,IF(AND(AD64&gt;AA64,AA64&gt;0),0,IF(U64=0,0,Summary!AD367)))))</f>
        <v>0</v>
      </c>
      <c r="AG64" s="1834">
        <f>IF('Proposed Lighting'!AU64=1,0,IF('Proposed Lighting'!CF64=1,0,T64*W64))</f>
        <v>0</v>
      </c>
      <c r="AH64" s="1834"/>
      <c r="AI64" s="1834"/>
      <c r="AJ64" s="1835">
        <f>IF(T64&lt;1,0,IF(K64&gt;'Proposed Lighting'!AA64,0,IF('Proposed Lighting'!CF64=1,0,IF('Proposed Lighting'!AU64=1,0,IF(T64&gt;K64,0,IF(AND(AD64&gt;AA64,AA64&gt;0),0,IF(AND(F64=2,'Proposed Lighting'!AU64=3),0,IF(AND(F64=3,'Proposed Lighting'!AU64=2),0,IF('Proposed Lighting'!CH64=100,0,IF(AND(F64&lt;3,V64=1,AM64=0),0,IF(AND(F64&gt;1,AF64&lt;1,AN64&lt;1),0,IF(AND(F64&gt;1,AE64&lt;0.69,AF64&lt;1,AN64&lt;1),0,IF(ISERROR(AB64-AC64),"",AB64-AC64)))))))))))))</f>
        <v>0</v>
      </c>
      <c r="AK64" s="1835"/>
      <c r="AL64" s="1835"/>
      <c r="AM64" s="1216">
        <f>IF(Q64=0,0,IF(T64=0,0,IF(T64&gt;K64,0,IF(AND(AS64&gt;0.01,BK64=0),0,IF(AND('Proposed Lighting'!DG64=0,'Lighting Controls'!Z64=0.35),0,IF(AND(T64&lt;=K64,AA64&gt;=AD64,'Proposed Lighting'!AU64=2),VLOOKUP(Q64,$AY$9:$AZ$15,2,FALSE),IF(AND(T64&lt;=K64,AA64&gt;=AD64,'Proposed Lighting'!AU64=3),VLOOKUP(Q64,$AY$17:$AZ$23,2,FALSE))))))))</f>
        <v>0</v>
      </c>
      <c r="AN64" s="1248">
        <f>IF(T64=0,0,IF(K64&gt;'Proposed Lighting'!AA64,0,IF(AE64=0,0,IF(AND(AD64&gt;AA64,AA64&gt;0),0,IF(U64=0,0,Summary!AE367)))))</f>
        <v>0</v>
      </c>
      <c r="AO64" s="1248">
        <f t="shared" si="11"/>
        <v>0</v>
      </c>
      <c r="AP64" s="1249">
        <f>IF('Proposed Lighting'!AU64=1,0,IF(K64=0,0,IF(T64&gt;K64,0,IF(G64=0,0,IF(K64&gt;'Proposed Lighting'!AA64,0,IF(AND(AD64&gt;AA64,AA64&gt;0),0,IF(AND('Proposed Lighting'!AU64=3,AM64=0.5),0,IF(AND(AM64&gt;0,AS64&gt;0,BI64&lt;2),0,IF('Proposed Lighting'!CH64=100,0,IF(AV64=1,0,IF(AND(AM64=35,M64+N64&lt;2),0,AM64)))))))))))</f>
        <v>0</v>
      </c>
      <c r="AQ64" s="1249" t="str">
        <f>IFERROR(ROUND(IF(Q64="","",IF('Proposed Lighting'!$X$4=0,0,IF(AND(AM64=35,M64+N64&lt;2),0,IF(T64&gt;K64,0,IF('Proposed Lighting'!AU64=1,0,IF(AJ64=0,0,IF(AND('Proposed Lighting'!AU64=3,AM64=0.5),0,IF(AND(AD64=75,AP64=0,AV64=0),0,IF(AP64&gt;0.01,AP64*T64,IF(AND(F64&gt;1,W64&lt;0.01),0,IF(AND(F64&gt;1,AO64=0),0,IF(AND('Proposed Lighting'!BC64=22,AV64=0),0,IF(AND(AM64&gt;0,AS64&gt;0,BI64&lt;2),0,IF(AND(AS64&gt;0.01,BK64=0),0,IF(AND(AO64=TRUE,AV64=1,F64=3),MIN(AJ64*0.08,L64),IF(AP64&gt;0.01,AP64*T64,IF(AND(AO64=TRUE,AV64=1,F64=2),MIN(AJ64*0.1,L64)))))))))))))))))),2),"")</f>
        <v/>
      </c>
      <c r="AR64" s="1250">
        <f>IF(Q64=0,0,IF('Proposed Lighting'!$X$4=0,0,IF(AND(AM64&gt;0.01,AQ64&gt;0.01),0,IF('Proposed Lighting'!AU64=1,"Missing Interior or Exterior Selection",IF('Proposed Lighting'!CF64=1,"Selection does not match",IF(K64&gt;'Proposed Lighting'!AA64,"Quantity controlled does not match proposed lighting quantity",IF(T64&gt;K64,"Quantity of sensors exceeds proposed lighting quantity",IF(AND(F64&gt;1,'Proposed Lighting'!AU64&lt;&gt;F64),"Selection does not match",IF(AND(AD64&gt;AA64,AA64&gt;0),"Does not meet minimum connected load",IF(AND(O64&gt;0,AS64&gt;0,BK64&gt;0,'Proposed Lighting'!CH64=0),"Select Control Strategies",IF(AND(AC64&gt;0.1,AJ64=0,AQ64=0),"Does not meet incentive criteria",0)))))))))))</f>
        <v>0</v>
      </c>
      <c r="AS64" s="1224">
        <f>IF('Proposed Lighting'!CH64=100,0,IF(ISNUMBER(SEARCH("multiple",Q64)),1,0))</f>
        <v>0</v>
      </c>
      <c r="AT64" s="451">
        <f t="shared" si="8"/>
        <v>0</v>
      </c>
      <c r="AU64" s="451">
        <f t="shared" si="9"/>
        <v>0</v>
      </c>
      <c r="AV64" s="1222">
        <f>IF(ISNUMBER(SEARCH("Networked",'Proposed Lighting'!T64)),0,IF(ISNUMBER(SEARCH("Strategies",'Proposed Lighting'!T64)),0,IF(ISNUMBER(SEARCH("Removal",'Proposed Lighting'!T64)),0,IF(ISNUMBER(SEARCH("non-standard",Q64)),1,0))))</f>
        <v>0</v>
      </c>
      <c r="AW64" s="451">
        <f t="shared" si="12"/>
        <v>0</v>
      </c>
      <c r="AX64" s="451"/>
      <c r="AY64" s="451"/>
      <c r="AZ64" s="451"/>
      <c r="BA64" s="451"/>
      <c r="BB64" s="451"/>
      <c r="BC64" s="1215"/>
      <c r="BD64" s="1215"/>
      <c r="BE64" s="1215"/>
      <c r="BF64" s="1215"/>
      <c r="BG64" s="1215"/>
      <c r="BH64" s="1215"/>
      <c r="BI64">
        <f>IF(AND(AS64=1,BC64="No",BD64="Yes",BE64="Yes",BF64="No",BH64="No"),0,IF(AND('Proposed Lighting'!AU64=2,AS64=1,BC64="Yes",BD64="Yes"),2,IF(AND('Proposed Lighting'!AU64=2,AS64=1,BC64="Yes",BE64="Yes"),2,IF(AND('Proposed Lighting'!AU64=2,AS64=1,BC64="Yes",BF64="Yes"),2,IF(AND('Proposed Lighting'!AU64=2,AS64=1,BC64="Yes",BH64="Yes"),2,IF(AND('Proposed Lighting'!AU64=2,AS64=1,BD64="Yes",BF64="Yes"),2,IF(AND('Proposed Lighting'!AU64=2,AS64=1,BD64="Yes",BH64="Yes"),2,IF(AND('Proposed Lighting'!AU64=3,AS64=1,BC64="Yes",BE64="Yes"),2,IF(AND('Proposed Lighting'!AU64=3,AS64=1,BC64="Yes",BF64="Yes"),2,0)))))))))</f>
        <v>0</v>
      </c>
      <c r="BJ64" s="1025">
        <f t="shared" si="10"/>
        <v>0</v>
      </c>
      <c r="BK64">
        <f>IF(AND('Proposed Lighting'!BC64=22,'Lighting Controls'!N64=1),0,IF(ISNUMBER(SEARCH("LED",G64)),1,0))</f>
        <v>0</v>
      </c>
    </row>
    <row r="65" spans="1:63" ht="34.5" customHeight="1">
      <c r="A65" s="917">
        <v>57</v>
      </c>
      <c r="B65" s="1828" t="str">
        <f>IF('Proposed Lighting'!B65="","",'Proposed Lighting'!B65)</f>
        <v/>
      </c>
      <c r="C65" s="1828"/>
      <c r="D65" s="1828"/>
      <c r="E65" s="1245">
        <f>'Proposed Lighting'!AA65</f>
        <v>0</v>
      </c>
      <c r="F65" s="1245">
        <f t="shared" si="0"/>
        <v>0</v>
      </c>
      <c r="G65" s="1830" t="str">
        <f>IF('Proposed Lighting'!T65="","",IF(ISNUMBER(SEARCH("Networked",'Proposed Lighting'!T65)),0,IF(ISNUMBER(SEARCH("Strategies",'Proposed Lighting'!T65)),0,IF(ISNUMBER(SEARCH("Removal",'Proposed Lighting'!T65)),0,'Proposed Lighting'!T65))))</f>
        <v/>
      </c>
      <c r="H65" s="1830"/>
      <c r="I65" s="1830"/>
      <c r="J65" s="1830"/>
      <c r="K65" s="1215"/>
      <c r="L65" s="1246">
        <f t="shared" si="1"/>
        <v>0</v>
      </c>
      <c r="M65" s="1224">
        <f t="shared" si="2"/>
        <v>0</v>
      </c>
      <c r="N65" s="1224">
        <f t="shared" si="3"/>
        <v>0</v>
      </c>
      <c r="O65" s="1825" t="str">
        <f>IF(G65=0,0,IF(ISNA('Proposed Lighting'!AT65),0,'Proposed Lighting'!AT65))</f>
        <v/>
      </c>
      <c r="P65" s="1825"/>
      <c r="Q65" s="1247"/>
      <c r="R65" s="1247"/>
      <c r="S65" s="1247"/>
      <c r="T65" s="1211"/>
      <c r="U65" s="1235">
        <f>IF(K65&gt;0.01,'Proposed Lighting'!CU65,0)</f>
        <v>0</v>
      </c>
      <c r="V65" s="1248">
        <f>IF('Proposed Lighting'!CF65=1,0,IF('Proposed Lighting'!AU65=2,0,IF(AND('Proposed Lighting'!AU65=3,'Proposed Lighting'!CF65=0),1,0)))</f>
        <v>0</v>
      </c>
      <c r="W65" s="1836"/>
      <c r="X65" s="1836"/>
      <c r="Y65" s="1836"/>
      <c r="Z65" s="1230" t="str">
        <f t="shared" si="4"/>
        <v/>
      </c>
      <c r="AA65" s="1230">
        <f t="shared" si="5"/>
        <v>0</v>
      </c>
      <c r="AB65" s="1230">
        <f>IF(Q65=0,0,IF(T65=0,0,IF(AA65=0,0,IF(AND(F65=3,V65=0),0,IF(T65=0,0,IF(K65&gt;'Proposed Lighting'!AA65,0,IF('Proposed Lighting'!EJ65&gt;0.01,(K65*O65)*'Proposed Lighting'!EJ65/1000,(K65*O65)*U65/1000)))))))</f>
        <v>0</v>
      </c>
      <c r="AC65" s="1230" t="str">
        <f t="shared" si="6"/>
        <v/>
      </c>
      <c r="AD65" s="1230">
        <f t="shared" si="7"/>
        <v>0</v>
      </c>
      <c r="AE65" s="1230">
        <f>IF(T65=0,0,IF(K65&gt;'Proposed Lighting'!AA65,0,IF(T65&gt;K65,0,IF(AND(AD65&gt;AA65,AA65&gt;0),0,IF(AND(F65&gt;1,W65&lt;0.01),0,IF('Proposed Lighting'!AU65&gt;'Lighting Controls'!F65,0,IF('Proposed Lighting'!AU65&lt;'Lighting Controls'!F65,0,IF(U65=0,0,Summary!AC368))))))))</f>
        <v>0</v>
      </c>
      <c r="AF65" s="1230">
        <f>IF(T65=0,0,IF(AE65=0,0,IF(K65&gt;'Proposed Lighting'!AA65,0,IF(AND(AD65&gt;AA65,AA65&gt;0),0,IF(U65=0,0,Summary!AD368)))))</f>
        <v>0</v>
      </c>
      <c r="AG65" s="1834">
        <f>IF('Proposed Lighting'!AU65=1,0,IF('Proposed Lighting'!CF65=1,0,T65*W65))</f>
        <v>0</v>
      </c>
      <c r="AH65" s="1834"/>
      <c r="AI65" s="1834"/>
      <c r="AJ65" s="1835">
        <f>IF(T65&lt;1,0,IF(K65&gt;'Proposed Lighting'!AA65,0,IF('Proposed Lighting'!CF65=1,0,IF('Proposed Lighting'!AU65=1,0,IF(T65&gt;K65,0,IF(AND(AD65&gt;AA65,AA65&gt;0),0,IF(AND(F65=2,'Proposed Lighting'!AU65=3),0,IF(AND(F65=3,'Proposed Lighting'!AU65=2),0,IF('Proposed Lighting'!CH65=100,0,IF(AND(F65&lt;3,V65=1,AM65=0),0,IF(AND(F65&gt;1,AF65&lt;1,AN65&lt;1),0,IF(AND(F65&gt;1,AE65&lt;0.69,AF65&lt;1,AN65&lt;1),0,IF(ISERROR(AB65-AC65),"",AB65-AC65)))))))))))))</f>
        <v>0</v>
      </c>
      <c r="AK65" s="1835"/>
      <c r="AL65" s="1835"/>
      <c r="AM65" s="1216">
        <f>IF(Q65=0,0,IF(T65=0,0,IF(T65&gt;K65,0,IF(AND(AS65&gt;0.01,BK65=0),0,IF(AND('Proposed Lighting'!DG65=0,'Lighting Controls'!Z65=0.35),0,IF(AND(T65&lt;=K65,AA65&gt;=AD65,'Proposed Lighting'!AU65=2),VLOOKUP(Q65,$AY$9:$AZ$15,2,FALSE),IF(AND(T65&lt;=K65,AA65&gt;=AD65,'Proposed Lighting'!AU65=3),VLOOKUP(Q65,$AY$17:$AZ$23,2,FALSE))))))))</f>
        <v>0</v>
      </c>
      <c r="AN65" s="1248">
        <f>IF(T65=0,0,IF(K65&gt;'Proposed Lighting'!AA65,0,IF(AE65=0,0,IF(AND(AD65&gt;AA65,AA65&gt;0),0,IF(U65=0,0,Summary!AE368)))))</f>
        <v>0</v>
      </c>
      <c r="AO65" s="1248">
        <f t="shared" si="11"/>
        <v>0</v>
      </c>
      <c r="AP65" s="1249">
        <f>IF('Proposed Lighting'!AU65=1,0,IF(K65=0,0,IF(T65&gt;K65,0,IF(G65=0,0,IF(K65&gt;'Proposed Lighting'!AA65,0,IF(AND(AD65&gt;AA65,AA65&gt;0),0,IF(AND('Proposed Lighting'!AU65=3,AM65=0.5),0,IF(AND(AM65&gt;0,AS65&gt;0,BI65&lt;2),0,IF('Proposed Lighting'!CH65=100,0,IF(AV65=1,0,IF(AND(AM65=35,M65+N65&lt;2),0,AM65)))))))))))</f>
        <v>0</v>
      </c>
      <c r="AQ65" s="1249" t="str">
        <f>IFERROR(ROUND(IF(Q65="","",IF('Proposed Lighting'!$X$4=0,0,IF(AND(AM65=35,M65+N65&lt;2),0,IF(T65&gt;K65,0,IF('Proposed Lighting'!AU65=1,0,IF(AJ65=0,0,IF(AND('Proposed Lighting'!AU65=3,AM65=0.5),0,IF(AND(AD65=75,AP65=0,AV65=0),0,IF(AP65&gt;0.01,AP65*T65,IF(AND(F65&gt;1,W65&lt;0.01),0,IF(AND(F65&gt;1,AO65=0),0,IF(AND('Proposed Lighting'!BC65=22,AV65=0),0,IF(AND(AM65&gt;0,AS65&gt;0,BI65&lt;2),0,IF(AND(AS65&gt;0.01,BK65=0),0,IF(AND(AO65=TRUE,AV65=1,F65=3),MIN(AJ65*0.08,L65),IF(AP65&gt;0.01,AP65*T65,IF(AND(AO65=TRUE,AV65=1,F65=2),MIN(AJ65*0.1,L65)))))))))))))))))),2),"")</f>
        <v/>
      </c>
      <c r="AR65" s="1250">
        <f>IF(Q65=0,0,IF('Proposed Lighting'!$X$4=0,0,IF(AND(AM65&gt;0.01,AQ65&gt;0.01),0,IF('Proposed Lighting'!AU65=1,"Missing Interior or Exterior Selection",IF('Proposed Lighting'!CF65=1,"Selection does not match",IF(K65&gt;'Proposed Lighting'!AA65,"Quantity controlled does not match proposed lighting quantity",IF(T65&gt;K65,"Quantity of sensors exceeds proposed lighting quantity",IF(AND(F65&gt;1,'Proposed Lighting'!AU65&lt;&gt;F65),"Selection does not match",IF(AND(AD65&gt;AA65,AA65&gt;0),"Does not meet minimum connected load",IF(AND(O65&gt;0,AS65&gt;0,BK65&gt;0,'Proposed Lighting'!CH65=0),"Select Control Strategies",IF(AND(AC65&gt;0.1,AJ65=0,AQ65=0),"Does not meet incentive criteria",0)))))))))))</f>
        <v>0</v>
      </c>
      <c r="AS65" s="1224">
        <f>IF('Proposed Lighting'!CH65=100,0,IF(ISNUMBER(SEARCH("multiple",Q65)),1,0))</f>
        <v>0</v>
      </c>
      <c r="AT65" s="451">
        <f t="shared" si="8"/>
        <v>0</v>
      </c>
      <c r="AU65" s="451">
        <f t="shared" si="9"/>
        <v>0</v>
      </c>
      <c r="AV65" s="1222">
        <f>IF(ISNUMBER(SEARCH("Networked",'Proposed Lighting'!T65)),0,IF(ISNUMBER(SEARCH("Strategies",'Proposed Lighting'!T65)),0,IF(ISNUMBER(SEARCH("Removal",'Proposed Lighting'!T65)),0,IF(ISNUMBER(SEARCH("non-standard",Q65)),1,0))))</f>
        <v>0</v>
      </c>
      <c r="AW65" s="451">
        <f t="shared" si="12"/>
        <v>0</v>
      </c>
      <c r="AX65" s="451"/>
      <c r="AY65" s="451"/>
      <c r="AZ65" s="451"/>
      <c r="BA65" s="451"/>
      <c r="BB65" s="451"/>
      <c r="BC65" s="1215"/>
      <c r="BD65" s="1215"/>
      <c r="BE65" s="1215"/>
      <c r="BF65" s="1215"/>
      <c r="BG65" s="1215"/>
      <c r="BH65" s="1215"/>
      <c r="BI65">
        <f>IF(AND(AS65=1,BC65="No",BD65="Yes",BE65="Yes",BF65="No",BH65="No"),0,IF(AND('Proposed Lighting'!AU65=2,AS65=1,BC65="Yes",BD65="Yes"),2,IF(AND('Proposed Lighting'!AU65=2,AS65=1,BC65="Yes",BE65="Yes"),2,IF(AND('Proposed Lighting'!AU65=2,AS65=1,BC65="Yes",BF65="Yes"),2,IF(AND('Proposed Lighting'!AU65=2,AS65=1,BC65="Yes",BH65="Yes"),2,IF(AND('Proposed Lighting'!AU65=2,AS65=1,BD65="Yes",BF65="Yes"),2,IF(AND('Proposed Lighting'!AU65=2,AS65=1,BD65="Yes",BH65="Yes"),2,IF(AND('Proposed Lighting'!AU65=3,AS65=1,BC65="Yes",BE65="Yes"),2,IF(AND('Proposed Lighting'!AU65=3,AS65=1,BC65="Yes",BF65="Yes"),2,0)))))))))</f>
        <v>0</v>
      </c>
      <c r="BJ65" s="1025">
        <f t="shared" si="10"/>
        <v>0</v>
      </c>
      <c r="BK65">
        <f>IF(AND('Proposed Lighting'!BC65=22,'Lighting Controls'!N65=1),0,IF(ISNUMBER(SEARCH("LED",G65)),1,0))</f>
        <v>0</v>
      </c>
    </row>
    <row r="66" spans="1:63" ht="34.5" customHeight="1">
      <c r="A66" s="917">
        <v>58</v>
      </c>
      <c r="B66" s="1828" t="str">
        <f>IF('Proposed Lighting'!B66="","",'Proposed Lighting'!B66)</f>
        <v/>
      </c>
      <c r="C66" s="1828"/>
      <c r="D66" s="1828"/>
      <c r="E66" s="1245">
        <f>'Proposed Lighting'!AA66</f>
        <v>0</v>
      </c>
      <c r="F66" s="1245">
        <f t="shared" si="0"/>
        <v>0</v>
      </c>
      <c r="G66" s="1830" t="str">
        <f>IF('Proposed Lighting'!T66="","",IF(ISNUMBER(SEARCH("Networked",'Proposed Lighting'!T66)),0,IF(ISNUMBER(SEARCH("Strategies",'Proposed Lighting'!T66)),0,IF(ISNUMBER(SEARCH("Removal",'Proposed Lighting'!T66)),0,'Proposed Lighting'!T66))))</f>
        <v/>
      </c>
      <c r="H66" s="1830"/>
      <c r="I66" s="1830"/>
      <c r="J66" s="1830"/>
      <c r="K66" s="1215"/>
      <c r="L66" s="1246">
        <f t="shared" si="1"/>
        <v>0</v>
      </c>
      <c r="M66" s="1224">
        <f t="shared" si="2"/>
        <v>0</v>
      </c>
      <c r="N66" s="1224">
        <f t="shared" si="3"/>
        <v>0</v>
      </c>
      <c r="O66" s="1825" t="str">
        <f>IF(G66=0,0,IF(ISNA('Proposed Lighting'!AT66),0,'Proposed Lighting'!AT66))</f>
        <v/>
      </c>
      <c r="P66" s="1825"/>
      <c r="Q66" s="1247"/>
      <c r="R66" s="1247"/>
      <c r="S66" s="1247"/>
      <c r="T66" s="1211"/>
      <c r="U66" s="1235">
        <f>IF(K66&gt;0.01,'Proposed Lighting'!CU66,0)</f>
        <v>0</v>
      </c>
      <c r="V66" s="1248">
        <f>IF('Proposed Lighting'!CF66=1,0,IF('Proposed Lighting'!AU66=2,0,IF(AND('Proposed Lighting'!AU66=3,'Proposed Lighting'!CF66=0),1,0)))</f>
        <v>0</v>
      </c>
      <c r="W66" s="1836"/>
      <c r="X66" s="1836"/>
      <c r="Y66" s="1836"/>
      <c r="Z66" s="1230" t="str">
        <f t="shared" si="4"/>
        <v/>
      </c>
      <c r="AA66" s="1230">
        <f t="shared" si="5"/>
        <v>0</v>
      </c>
      <c r="AB66" s="1230">
        <f>IF(Q66=0,0,IF(T66=0,0,IF(AA66=0,0,IF(AND(F66=3,V66=0),0,IF(T66=0,0,IF(K66&gt;'Proposed Lighting'!AA66,0,IF('Proposed Lighting'!EJ66&gt;0.01,(K66*O66)*'Proposed Lighting'!EJ66/1000,(K66*O66)*U66/1000)))))))</f>
        <v>0</v>
      </c>
      <c r="AC66" s="1230" t="str">
        <f t="shared" si="6"/>
        <v/>
      </c>
      <c r="AD66" s="1230">
        <f t="shared" si="7"/>
        <v>0</v>
      </c>
      <c r="AE66" s="1230">
        <f>IF(T66=0,0,IF(K66&gt;'Proposed Lighting'!AA66,0,IF(T66&gt;K66,0,IF(AND(AD66&gt;AA66,AA66&gt;0),0,IF(AND(F66&gt;1,W66&lt;0.01),0,IF('Proposed Lighting'!AU66&gt;'Lighting Controls'!F66,0,IF('Proposed Lighting'!AU66&lt;'Lighting Controls'!F66,0,IF(U66=0,0,Summary!AC369))))))))</f>
        <v>0</v>
      </c>
      <c r="AF66" s="1230">
        <f>IF(T66=0,0,IF(AE66=0,0,IF(K66&gt;'Proposed Lighting'!AA66,0,IF(AND(AD66&gt;AA66,AA66&gt;0),0,IF(U66=0,0,Summary!AD369)))))</f>
        <v>0</v>
      </c>
      <c r="AG66" s="1834">
        <f>IF('Proposed Lighting'!AU66=1,0,IF('Proposed Lighting'!CF66=1,0,T66*W66))</f>
        <v>0</v>
      </c>
      <c r="AH66" s="1834"/>
      <c r="AI66" s="1834"/>
      <c r="AJ66" s="1835">
        <f>IF(T66&lt;1,0,IF(K66&gt;'Proposed Lighting'!AA66,0,IF('Proposed Lighting'!CF66=1,0,IF('Proposed Lighting'!AU66=1,0,IF(T66&gt;K66,0,IF(AND(AD66&gt;AA66,AA66&gt;0),0,IF(AND(F66=2,'Proposed Lighting'!AU66=3),0,IF(AND(F66=3,'Proposed Lighting'!AU66=2),0,IF('Proposed Lighting'!CH66=100,0,IF(AND(F66&lt;3,V66=1,AM66=0),0,IF(AND(F66&gt;1,AF66&lt;1,AN66&lt;1),0,IF(AND(F66&gt;1,AE66&lt;0.69,AF66&lt;1,AN66&lt;1),0,IF(ISERROR(AB66-AC66),"",AB66-AC66)))))))))))))</f>
        <v>0</v>
      </c>
      <c r="AK66" s="1835"/>
      <c r="AL66" s="1835"/>
      <c r="AM66" s="1216">
        <f>IF(Q66=0,0,IF(T66=0,0,IF(T66&gt;K66,0,IF(AND(AS66&gt;0.01,BK66=0),0,IF(AND('Proposed Lighting'!DG66=0,'Lighting Controls'!Z66=0.35),0,IF(AND(T66&lt;=K66,AA66&gt;=AD66,'Proposed Lighting'!AU66=2),VLOOKUP(Q66,$AY$9:$AZ$15,2,FALSE),IF(AND(T66&lt;=K66,AA66&gt;=AD66,'Proposed Lighting'!AU66=3),VLOOKUP(Q66,$AY$17:$AZ$23,2,FALSE))))))))</f>
        <v>0</v>
      </c>
      <c r="AN66" s="1248">
        <f>IF(T66=0,0,IF(K66&gt;'Proposed Lighting'!AA66,0,IF(AE66=0,0,IF(AND(AD66&gt;AA66,AA66&gt;0),0,IF(U66=0,0,Summary!AE369)))))</f>
        <v>0</v>
      </c>
      <c r="AO66" s="1248">
        <f t="shared" si="11"/>
        <v>0</v>
      </c>
      <c r="AP66" s="1249">
        <f>IF('Proposed Lighting'!AU66=1,0,IF(K66=0,0,IF(T66&gt;K66,0,IF(G66=0,0,IF(K66&gt;'Proposed Lighting'!AA66,0,IF(AND(AD66&gt;AA66,AA66&gt;0),0,IF(AND('Proposed Lighting'!AU66=3,AM66=0.5),0,IF(AND(AM66&gt;0,AS66&gt;0,BI66&lt;2),0,IF('Proposed Lighting'!CH66=100,0,IF(AV66=1,0,IF(AND(AM66=35,M66+N66&lt;2),0,AM66)))))))))))</f>
        <v>0</v>
      </c>
      <c r="AQ66" s="1249" t="str">
        <f>IFERROR(ROUND(IF(Q66="","",IF('Proposed Lighting'!$X$4=0,0,IF(AND(AM66=35,M66+N66&lt;2),0,IF(T66&gt;K66,0,IF('Proposed Lighting'!AU66=1,0,IF(AJ66=0,0,IF(AND('Proposed Lighting'!AU66=3,AM66=0.5),0,IF(AND(AD66=75,AP66=0,AV66=0),0,IF(AP66&gt;0.01,AP66*T66,IF(AND(F66&gt;1,W66&lt;0.01),0,IF(AND(F66&gt;1,AO66=0),0,IF(AND('Proposed Lighting'!BC66=22,AV66=0),0,IF(AND(AM66&gt;0,AS66&gt;0,BI66&lt;2),0,IF(AND(AS66&gt;0.01,BK66=0),0,IF(AND(AO66=TRUE,AV66=1,F66=3),MIN(AJ66*0.08,L66),IF(AP66&gt;0.01,AP66*T66,IF(AND(AO66=TRUE,AV66=1,F66=2),MIN(AJ66*0.1,L66)))))))))))))))))),2),"")</f>
        <v/>
      </c>
      <c r="AR66" s="1250">
        <f>IF(Q66=0,0,IF('Proposed Lighting'!$X$4=0,0,IF(AND(AM66&gt;0.01,AQ66&gt;0.01),0,IF('Proposed Lighting'!AU66=1,"Missing Interior or Exterior Selection",IF('Proposed Lighting'!CF66=1,"Selection does not match",IF(K66&gt;'Proposed Lighting'!AA66,"Quantity controlled does not match proposed lighting quantity",IF(T66&gt;K66,"Quantity of sensors exceeds proposed lighting quantity",IF(AND(F66&gt;1,'Proposed Lighting'!AU66&lt;&gt;F66),"Selection does not match",IF(AND(AD66&gt;AA66,AA66&gt;0),"Does not meet minimum connected load",IF(AND(O66&gt;0,AS66&gt;0,BK66&gt;0,'Proposed Lighting'!CH66=0),"Select Control Strategies",IF(AND(AC66&gt;0.1,AJ66=0,AQ66=0),"Does not meet incentive criteria",0)))))))))))</f>
        <v>0</v>
      </c>
      <c r="AS66" s="1224">
        <f>IF('Proposed Lighting'!CH66=100,0,IF(ISNUMBER(SEARCH("multiple",Q66)),1,0))</f>
        <v>0</v>
      </c>
      <c r="AT66" s="451">
        <f t="shared" si="8"/>
        <v>0</v>
      </c>
      <c r="AU66" s="451">
        <f t="shared" si="9"/>
        <v>0</v>
      </c>
      <c r="AV66" s="1222">
        <f>IF(ISNUMBER(SEARCH("Networked",'Proposed Lighting'!T66)),0,IF(ISNUMBER(SEARCH("Strategies",'Proposed Lighting'!T66)),0,IF(ISNUMBER(SEARCH("Removal",'Proposed Lighting'!T66)),0,IF(ISNUMBER(SEARCH("non-standard",Q66)),1,0))))</f>
        <v>0</v>
      </c>
      <c r="AW66" s="451">
        <f t="shared" si="12"/>
        <v>0</v>
      </c>
      <c r="AX66" s="451"/>
      <c r="AY66" s="451"/>
      <c r="AZ66" s="451"/>
      <c r="BA66" s="451"/>
      <c r="BB66" s="451"/>
      <c r="BC66" s="1215"/>
      <c r="BD66" s="1215"/>
      <c r="BE66" s="1215"/>
      <c r="BF66" s="1215"/>
      <c r="BG66" s="1215"/>
      <c r="BH66" s="1215"/>
      <c r="BI66">
        <f>IF(AND(AS66=1,BC66="No",BD66="Yes",BE66="Yes",BF66="No",BH66="No"),0,IF(AND('Proposed Lighting'!AU66=2,AS66=1,BC66="Yes",BD66="Yes"),2,IF(AND('Proposed Lighting'!AU66=2,AS66=1,BC66="Yes",BE66="Yes"),2,IF(AND('Proposed Lighting'!AU66=2,AS66=1,BC66="Yes",BF66="Yes"),2,IF(AND('Proposed Lighting'!AU66=2,AS66=1,BC66="Yes",BH66="Yes"),2,IF(AND('Proposed Lighting'!AU66=2,AS66=1,BD66="Yes",BF66="Yes"),2,IF(AND('Proposed Lighting'!AU66=2,AS66=1,BD66="Yes",BH66="Yes"),2,IF(AND('Proposed Lighting'!AU66=3,AS66=1,BC66="Yes",BE66="Yes"),2,IF(AND('Proposed Lighting'!AU66=3,AS66=1,BC66="Yes",BF66="Yes"),2,0)))))))))</f>
        <v>0</v>
      </c>
      <c r="BJ66" s="1025">
        <f t="shared" si="10"/>
        <v>0</v>
      </c>
      <c r="BK66">
        <f>IF(AND('Proposed Lighting'!BC66=22,'Lighting Controls'!N66=1),0,IF(ISNUMBER(SEARCH("LED",G66)),1,0))</f>
        <v>0</v>
      </c>
    </row>
    <row r="67" spans="1:63" ht="34.5" customHeight="1">
      <c r="A67" s="917">
        <v>59</v>
      </c>
      <c r="B67" s="1828" t="str">
        <f>IF('Proposed Lighting'!B67="","",'Proposed Lighting'!B67)</f>
        <v/>
      </c>
      <c r="C67" s="1828"/>
      <c r="D67" s="1828"/>
      <c r="E67" s="1245">
        <f>'Proposed Lighting'!AA67</f>
        <v>0</v>
      </c>
      <c r="F67" s="1245">
        <f t="shared" si="0"/>
        <v>0</v>
      </c>
      <c r="G67" s="1830" t="str">
        <f>IF('Proposed Lighting'!T67="","",IF(ISNUMBER(SEARCH("Networked",'Proposed Lighting'!T67)),0,IF(ISNUMBER(SEARCH("Strategies",'Proposed Lighting'!T67)),0,IF(ISNUMBER(SEARCH("Removal",'Proposed Lighting'!T67)),0,'Proposed Lighting'!T67))))</f>
        <v/>
      </c>
      <c r="H67" s="1830"/>
      <c r="I67" s="1830"/>
      <c r="J67" s="1830"/>
      <c r="K67" s="1215"/>
      <c r="L67" s="1246">
        <f t="shared" si="1"/>
        <v>0</v>
      </c>
      <c r="M67" s="1224">
        <f t="shared" si="2"/>
        <v>0</v>
      </c>
      <c r="N67" s="1224">
        <f t="shared" si="3"/>
        <v>0</v>
      </c>
      <c r="O67" s="1825" t="str">
        <f>IF(G67=0,0,IF(ISNA('Proposed Lighting'!AT67),0,'Proposed Lighting'!AT67))</f>
        <v/>
      </c>
      <c r="P67" s="1825"/>
      <c r="Q67" s="1247"/>
      <c r="R67" s="1247"/>
      <c r="S67" s="1247"/>
      <c r="T67" s="1211"/>
      <c r="U67" s="1235">
        <f>IF(K67&gt;0.01,'Proposed Lighting'!CU67,0)</f>
        <v>0</v>
      </c>
      <c r="V67" s="1248">
        <f>IF('Proposed Lighting'!CF67=1,0,IF('Proposed Lighting'!AU67=2,0,IF(AND('Proposed Lighting'!AU67=3,'Proposed Lighting'!CF67=0),1,0)))</f>
        <v>0</v>
      </c>
      <c r="W67" s="1836"/>
      <c r="X67" s="1836"/>
      <c r="Y67" s="1836"/>
      <c r="Z67" s="1230" t="str">
        <f t="shared" si="4"/>
        <v/>
      </c>
      <c r="AA67" s="1230">
        <f t="shared" si="5"/>
        <v>0</v>
      </c>
      <c r="AB67" s="1230">
        <f>IF(Q67=0,0,IF(T67=0,0,IF(AA67=0,0,IF(AND(F67=3,V67=0),0,IF(T67=0,0,IF(K67&gt;'Proposed Lighting'!AA67,0,IF('Proposed Lighting'!EJ67&gt;0.01,(K67*O67)*'Proposed Lighting'!EJ67/1000,(K67*O67)*U67/1000)))))))</f>
        <v>0</v>
      </c>
      <c r="AC67" s="1230" t="str">
        <f t="shared" si="6"/>
        <v/>
      </c>
      <c r="AD67" s="1230">
        <f t="shared" si="7"/>
        <v>0</v>
      </c>
      <c r="AE67" s="1230">
        <f>IF(T67=0,0,IF(K67&gt;'Proposed Lighting'!AA67,0,IF(T67&gt;K67,0,IF(AND(AD67&gt;AA67,AA67&gt;0),0,IF(AND(F67&gt;1,W67&lt;0.01),0,IF('Proposed Lighting'!AU67&gt;'Lighting Controls'!F67,0,IF('Proposed Lighting'!AU67&lt;'Lighting Controls'!F67,0,IF(U67=0,0,Summary!AC370))))))))</f>
        <v>0</v>
      </c>
      <c r="AF67" s="1230">
        <f>IF(T67=0,0,IF(AE67=0,0,IF(K67&gt;'Proposed Lighting'!AA67,0,IF(AND(AD67&gt;AA67,AA67&gt;0),0,IF(U67=0,0,Summary!AD370)))))</f>
        <v>0</v>
      </c>
      <c r="AG67" s="1834">
        <f>IF('Proposed Lighting'!AU67=1,0,IF('Proposed Lighting'!CF67=1,0,T67*W67))</f>
        <v>0</v>
      </c>
      <c r="AH67" s="1834"/>
      <c r="AI67" s="1834"/>
      <c r="AJ67" s="1835">
        <f>IF(T67&lt;1,0,IF(K67&gt;'Proposed Lighting'!AA67,0,IF('Proposed Lighting'!CF67=1,0,IF('Proposed Lighting'!AU67=1,0,IF(T67&gt;K67,0,IF(AND(AD67&gt;AA67,AA67&gt;0),0,IF(AND(F67=2,'Proposed Lighting'!AU67=3),0,IF(AND(F67=3,'Proposed Lighting'!AU67=2),0,IF('Proposed Lighting'!CH67=100,0,IF(AND(F67&lt;3,V67=1,AM67=0),0,IF(AND(F67&gt;1,AF67&lt;1,AN67&lt;1),0,IF(AND(F67&gt;1,AE67&lt;0.69,AF67&lt;1,AN67&lt;1),0,IF(ISERROR(AB67-AC67),"",AB67-AC67)))))))))))))</f>
        <v>0</v>
      </c>
      <c r="AK67" s="1835"/>
      <c r="AL67" s="1835"/>
      <c r="AM67" s="1216">
        <f>IF(Q67=0,0,IF(T67=0,0,IF(T67&gt;K67,0,IF(AND(AS67&gt;0.01,BK67=0),0,IF(AND('Proposed Lighting'!DG67=0,'Lighting Controls'!Z67=0.35),0,IF(AND(T67&lt;=K67,AA67&gt;=AD67,'Proposed Lighting'!AU67=2),VLOOKUP(Q67,$AY$9:$AZ$15,2,FALSE),IF(AND(T67&lt;=K67,AA67&gt;=AD67,'Proposed Lighting'!AU67=3),VLOOKUP(Q67,$AY$17:$AZ$23,2,FALSE))))))))</f>
        <v>0</v>
      </c>
      <c r="AN67" s="1248">
        <f>IF(T67=0,0,IF(K67&gt;'Proposed Lighting'!AA67,0,IF(AE67=0,0,IF(AND(AD67&gt;AA67,AA67&gt;0),0,IF(U67=0,0,Summary!AE370)))))</f>
        <v>0</v>
      </c>
      <c r="AO67" s="1248">
        <f t="shared" si="11"/>
        <v>0</v>
      </c>
      <c r="AP67" s="1249">
        <f>IF('Proposed Lighting'!AU67=1,0,IF(K67=0,0,IF(T67&gt;K67,0,IF(G67=0,0,IF(K67&gt;'Proposed Lighting'!AA67,0,IF(AND(AD67&gt;AA67,AA67&gt;0),0,IF(AND('Proposed Lighting'!AU67=3,AM67=0.5),0,IF(AND(AM67&gt;0,AS67&gt;0,BI67&lt;2),0,IF('Proposed Lighting'!CH67=100,0,IF(AV67=1,0,IF(AND(AM67=35,M67+N67&lt;2),0,AM67)))))))))))</f>
        <v>0</v>
      </c>
      <c r="AQ67" s="1249" t="str">
        <f>IFERROR(ROUND(IF(Q67="","",IF('Proposed Lighting'!$X$4=0,0,IF(AND(AM67=35,M67+N67&lt;2),0,IF(T67&gt;K67,0,IF('Proposed Lighting'!AU67=1,0,IF(AJ67=0,0,IF(AND('Proposed Lighting'!AU67=3,AM67=0.5),0,IF(AND(AD67=75,AP67=0,AV67=0),0,IF(AP67&gt;0.01,AP67*T67,IF(AND(F67&gt;1,W67&lt;0.01),0,IF(AND(F67&gt;1,AO67=0),0,IF(AND('Proposed Lighting'!BC67=22,AV67=0),0,IF(AND(AM67&gt;0,AS67&gt;0,BI67&lt;2),0,IF(AND(AS67&gt;0.01,BK67=0),0,IF(AND(AO67=TRUE,AV67=1,F67=3),MIN(AJ67*0.08,L67),IF(AP67&gt;0.01,AP67*T67,IF(AND(AO67=TRUE,AV67=1,F67=2),MIN(AJ67*0.1,L67)))))))))))))))))),2),"")</f>
        <v/>
      </c>
      <c r="AR67" s="1250">
        <f>IF(Q67=0,0,IF('Proposed Lighting'!$X$4=0,0,IF(AND(AM67&gt;0.01,AQ67&gt;0.01),0,IF('Proposed Lighting'!AU67=1,"Missing Interior or Exterior Selection",IF('Proposed Lighting'!CF67=1,"Selection does not match",IF(K67&gt;'Proposed Lighting'!AA67,"Quantity controlled does not match proposed lighting quantity",IF(T67&gt;K67,"Quantity of sensors exceeds proposed lighting quantity",IF(AND(F67&gt;1,'Proposed Lighting'!AU67&lt;&gt;F67),"Selection does not match",IF(AND(AD67&gt;AA67,AA67&gt;0),"Does not meet minimum connected load",IF(AND(O67&gt;0,AS67&gt;0,BK67&gt;0,'Proposed Lighting'!CH67=0),"Select Control Strategies",IF(AND(AC67&gt;0.1,AJ67=0,AQ67=0),"Does not meet incentive criteria",0)))))))))))</f>
        <v>0</v>
      </c>
      <c r="AS67" s="1224">
        <f>IF('Proposed Lighting'!CH67=100,0,IF(ISNUMBER(SEARCH("multiple",Q67)),1,0))</f>
        <v>0</v>
      </c>
      <c r="AT67" s="451">
        <f t="shared" si="8"/>
        <v>0</v>
      </c>
      <c r="AU67" s="451">
        <f t="shared" si="9"/>
        <v>0</v>
      </c>
      <c r="AV67" s="1222">
        <f>IF(ISNUMBER(SEARCH("Networked",'Proposed Lighting'!T67)),0,IF(ISNUMBER(SEARCH("Strategies",'Proposed Lighting'!T67)),0,IF(ISNUMBER(SEARCH("Removal",'Proposed Lighting'!T67)),0,IF(ISNUMBER(SEARCH("non-standard",Q67)),1,0))))</f>
        <v>0</v>
      </c>
      <c r="AW67" s="451">
        <f t="shared" si="12"/>
        <v>0</v>
      </c>
      <c r="AX67" s="451"/>
      <c r="AY67" s="451"/>
      <c r="AZ67" s="451"/>
      <c r="BA67" s="451"/>
      <c r="BB67" s="451"/>
      <c r="BC67" s="1215"/>
      <c r="BD67" s="1215"/>
      <c r="BE67" s="1215"/>
      <c r="BF67" s="1215"/>
      <c r="BG67" s="1215"/>
      <c r="BH67" s="1215"/>
      <c r="BI67">
        <f>IF(AND(AS67=1,BC67="No",BD67="Yes",BE67="Yes",BF67="No",BH67="No"),0,IF(AND('Proposed Lighting'!AU67=2,AS67=1,BC67="Yes",BD67="Yes"),2,IF(AND('Proposed Lighting'!AU67=2,AS67=1,BC67="Yes",BE67="Yes"),2,IF(AND('Proposed Lighting'!AU67=2,AS67=1,BC67="Yes",BF67="Yes"),2,IF(AND('Proposed Lighting'!AU67=2,AS67=1,BC67="Yes",BH67="Yes"),2,IF(AND('Proposed Lighting'!AU67=2,AS67=1,BD67="Yes",BF67="Yes"),2,IF(AND('Proposed Lighting'!AU67=2,AS67=1,BD67="Yes",BH67="Yes"),2,IF(AND('Proposed Lighting'!AU67=3,AS67=1,BC67="Yes",BE67="Yes"),2,IF(AND('Proposed Lighting'!AU67=3,AS67=1,BC67="Yes",BF67="Yes"),2,0)))))))))</f>
        <v>0</v>
      </c>
      <c r="BJ67" s="1025">
        <f t="shared" si="10"/>
        <v>0</v>
      </c>
      <c r="BK67">
        <f>IF(AND('Proposed Lighting'!BC67=22,'Lighting Controls'!N67=1),0,IF(ISNUMBER(SEARCH("LED",G67)),1,0))</f>
        <v>0</v>
      </c>
    </row>
    <row r="68" spans="1:63" ht="34.5" customHeight="1">
      <c r="A68" s="917">
        <v>60</v>
      </c>
      <c r="B68" s="1828" t="str">
        <f>IF('Proposed Lighting'!B68="","",'Proposed Lighting'!B68)</f>
        <v/>
      </c>
      <c r="C68" s="1828"/>
      <c r="D68" s="1828"/>
      <c r="E68" s="1245">
        <f>'Proposed Lighting'!AA68</f>
        <v>0</v>
      </c>
      <c r="F68" s="1245">
        <f t="shared" si="0"/>
        <v>0</v>
      </c>
      <c r="G68" s="1830" t="str">
        <f>IF('Proposed Lighting'!T68="","",IF(ISNUMBER(SEARCH("Networked",'Proposed Lighting'!T68)),0,IF(ISNUMBER(SEARCH("Strategies",'Proposed Lighting'!T68)),0,IF(ISNUMBER(SEARCH("Removal",'Proposed Lighting'!T68)),0,'Proposed Lighting'!T68))))</f>
        <v/>
      </c>
      <c r="H68" s="1830"/>
      <c r="I68" s="1830"/>
      <c r="J68" s="1830"/>
      <c r="K68" s="1215"/>
      <c r="L68" s="1246">
        <f t="shared" si="1"/>
        <v>0</v>
      </c>
      <c r="M68" s="1224">
        <f t="shared" si="2"/>
        <v>0</v>
      </c>
      <c r="N68" s="1224">
        <f t="shared" si="3"/>
        <v>0</v>
      </c>
      <c r="O68" s="1825" t="str">
        <f>IF(G68=0,0,IF(ISNA('Proposed Lighting'!AT68),0,'Proposed Lighting'!AT68))</f>
        <v/>
      </c>
      <c r="P68" s="1825"/>
      <c r="Q68" s="1247"/>
      <c r="R68" s="1247"/>
      <c r="S68" s="1247"/>
      <c r="T68" s="1211"/>
      <c r="U68" s="1235">
        <f>IF(K68&gt;0.01,'Proposed Lighting'!CU68,0)</f>
        <v>0</v>
      </c>
      <c r="V68" s="1248">
        <f>IF('Proposed Lighting'!CF68=1,0,IF('Proposed Lighting'!AU68=2,0,IF(AND('Proposed Lighting'!AU68=3,'Proposed Lighting'!CF68=0),1,0)))</f>
        <v>0</v>
      </c>
      <c r="W68" s="1836"/>
      <c r="X68" s="1836"/>
      <c r="Y68" s="1836"/>
      <c r="Z68" s="1230" t="str">
        <f t="shared" si="4"/>
        <v/>
      </c>
      <c r="AA68" s="1230">
        <f t="shared" si="5"/>
        <v>0</v>
      </c>
      <c r="AB68" s="1230">
        <f>IF(Q68=0,0,IF(T68=0,0,IF(AA68=0,0,IF(AND(F68=3,V68=0),0,IF(T68=0,0,IF(K68&gt;'Proposed Lighting'!AA68,0,IF('Proposed Lighting'!EJ68&gt;0.01,(K68*O68)*'Proposed Lighting'!EJ68/1000,(K68*O68)*U68/1000)))))))</f>
        <v>0</v>
      </c>
      <c r="AC68" s="1230" t="str">
        <f t="shared" si="6"/>
        <v/>
      </c>
      <c r="AD68" s="1230">
        <f t="shared" si="7"/>
        <v>0</v>
      </c>
      <c r="AE68" s="1230">
        <f>IF(T68=0,0,IF(K68&gt;'Proposed Lighting'!AA68,0,IF(T68&gt;K68,0,IF(AND(AD68&gt;AA68,AA68&gt;0),0,IF(AND(F68&gt;1,W68&lt;0.01),0,IF('Proposed Lighting'!AU68&gt;'Lighting Controls'!F68,0,IF('Proposed Lighting'!AU68&lt;'Lighting Controls'!F68,0,IF(U68=0,0,Summary!AC371))))))))</f>
        <v>0</v>
      </c>
      <c r="AF68" s="1230">
        <f>IF(T68=0,0,IF(AE68=0,0,IF(K68&gt;'Proposed Lighting'!AA68,0,IF(AND(AD68&gt;AA68,AA68&gt;0),0,IF(U68=0,0,Summary!AD371)))))</f>
        <v>0</v>
      </c>
      <c r="AG68" s="1834">
        <f>IF('Proposed Lighting'!AU68=1,0,IF('Proposed Lighting'!CF68=1,0,T68*W68))</f>
        <v>0</v>
      </c>
      <c r="AH68" s="1834"/>
      <c r="AI68" s="1834"/>
      <c r="AJ68" s="1835">
        <f>IF(T68&lt;1,0,IF(K68&gt;'Proposed Lighting'!AA68,0,IF('Proposed Lighting'!CF68=1,0,IF('Proposed Lighting'!AU68=1,0,IF(T68&gt;K68,0,IF(AND(AD68&gt;AA68,AA68&gt;0),0,IF(AND(F68=2,'Proposed Lighting'!AU68=3),0,IF(AND(F68=3,'Proposed Lighting'!AU68=2),0,IF('Proposed Lighting'!CH68=100,0,IF(AND(F68&lt;3,V68=1,AM68=0),0,IF(AND(F68&gt;1,AF68&lt;1,AN68&lt;1),0,IF(AND(F68&gt;1,AE68&lt;0.69,AF68&lt;1,AN68&lt;1),0,IF(ISERROR(AB68-AC68),"",AB68-AC68)))))))))))))</f>
        <v>0</v>
      </c>
      <c r="AK68" s="1835"/>
      <c r="AL68" s="1835"/>
      <c r="AM68" s="1216">
        <f>IF(Q68=0,0,IF(T68=0,0,IF(T68&gt;K68,0,IF(AND(AS68&gt;0.01,BK68=0),0,IF(AND('Proposed Lighting'!DG68=0,'Lighting Controls'!Z68=0.35),0,IF(AND(T68&lt;=K68,AA68&gt;=AD68,'Proposed Lighting'!AU68=2),VLOOKUP(Q68,$AY$9:$AZ$15,2,FALSE),IF(AND(T68&lt;=K68,AA68&gt;=AD68,'Proposed Lighting'!AU68=3),VLOOKUP(Q68,$AY$17:$AZ$23,2,FALSE))))))))</f>
        <v>0</v>
      </c>
      <c r="AN68" s="1248">
        <f>IF(T68=0,0,IF(K68&gt;'Proposed Lighting'!AA68,0,IF(AE68=0,0,IF(AND(AD68&gt;AA68,AA68&gt;0),0,IF(U68=0,0,Summary!AE371)))))</f>
        <v>0</v>
      </c>
      <c r="AO68" s="1248">
        <f t="shared" si="11"/>
        <v>0</v>
      </c>
      <c r="AP68" s="1249">
        <f>IF('Proposed Lighting'!AU68=1,0,IF(K68=0,0,IF(T68&gt;K68,0,IF(G68=0,0,IF(K68&gt;'Proposed Lighting'!AA68,0,IF(AND(AD68&gt;AA68,AA68&gt;0),0,IF(AND('Proposed Lighting'!AU68=3,AM68=0.5),0,IF(AND(AM68&gt;0,AS68&gt;0,BI68&lt;2),0,IF('Proposed Lighting'!CH68=100,0,IF(AV68=1,0,IF(AND(AM68=35,M68+N68&lt;2),0,AM68)))))))))))</f>
        <v>0</v>
      </c>
      <c r="AQ68" s="1249" t="str">
        <f>IFERROR(ROUND(IF(Q68="","",IF('Proposed Lighting'!$X$4=0,0,IF(AND(AM68=35,M68+N68&lt;2),0,IF(T68&gt;K68,0,IF('Proposed Lighting'!AU68=1,0,IF(AJ68=0,0,IF(AND('Proposed Lighting'!AU68=3,AM68=0.5),0,IF(AND(AD68=75,AP68=0,AV68=0),0,IF(AP68&gt;0.01,AP68*T68,IF(AND(F68&gt;1,W68&lt;0.01),0,IF(AND(F68&gt;1,AO68=0),0,IF(AND('Proposed Lighting'!BC68=22,AV68=0),0,IF(AND(AM68&gt;0,AS68&gt;0,BI68&lt;2),0,IF(AND(AS68&gt;0.01,BK68=0),0,IF(AND(AO68=TRUE,AV68=1,F68=3),MIN(AJ68*0.08,L68),IF(AP68&gt;0.01,AP68*T68,IF(AND(AO68=TRUE,AV68=1,F68=2),MIN(AJ68*0.1,L68)))))))))))))))))),2),"")</f>
        <v/>
      </c>
      <c r="AR68" s="1250">
        <f>IF(Q68=0,0,IF('Proposed Lighting'!$X$4=0,0,IF(AND(AM68&gt;0.01,AQ68&gt;0.01),0,IF('Proposed Lighting'!AU68=1,"Missing Interior or Exterior Selection",IF('Proposed Lighting'!CF68=1,"Selection does not match",IF(K68&gt;'Proposed Lighting'!AA68,"Quantity controlled does not match proposed lighting quantity",IF(T68&gt;K68,"Quantity of sensors exceeds proposed lighting quantity",IF(AND(F68&gt;1,'Proposed Lighting'!AU68&lt;&gt;F68),"Selection does not match",IF(AND(AD68&gt;AA68,AA68&gt;0),"Does not meet minimum connected load",IF(AND(O68&gt;0,AS68&gt;0,BK68&gt;0,'Proposed Lighting'!CH68=0),"Select Control Strategies",IF(AND(AC68&gt;0.1,AJ68=0,AQ68=0),"Does not meet incentive criteria",0)))))))))))</f>
        <v>0</v>
      </c>
      <c r="AS68" s="1224">
        <f>IF('Proposed Lighting'!CH68=100,0,IF(ISNUMBER(SEARCH("multiple",Q68)),1,0))</f>
        <v>0</v>
      </c>
      <c r="AT68" s="451">
        <f t="shared" si="8"/>
        <v>0</v>
      </c>
      <c r="AU68" s="451">
        <f t="shared" si="9"/>
        <v>0</v>
      </c>
      <c r="AV68" s="1222">
        <f>IF(ISNUMBER(SEARCH("Networked",'Proposed Lighting'!T68)),0,IF(ISNUMBER(SEARCH("Strategies",'Proposed Lighting'!T68)),0,IF(ISNUMBER(SEARCH("Removal",'Proposed Lighting'!T68)),0,IF(ISNUMBER(SEARCH("non-standard",Q68)),1,0))))</f>
        <v>0</v>
      </c>
      <c r="AW68" s="451">
        <f t="shared" si="12"/>
        <v>0</v>
      </c>
      <c r="AX68" s="451"/>
      <c r="AY68" s="451"/>
      <c r="AZ68" s="451"/>
      <c r="BA68" s="451"/>
      <c r="BB68" s="451"/>
      <c r="BC68" s="1215"/>
      <c r="BD68" s="1215"/>
      <c r="BE68" s="1215"/>
      <c r="BF68" s="1215"/>
      <c r="BG68" s="1215"/>
      <c r="BH68" s="1215"/>
      <c r="BI68">
        <f>IF(AND(AS68=1,BC68="No",BD68="Yes",BE68="Yes",BF68="No",BH68="No"),0,IF(AND('Proposed Lighting'!AU68=2,AS68=1,BC68="Yes",BD68="Yes"),2,IF(AND('Proposed Lighting'!AU68=2,AS68=1,BC68="Yes",BE68="Yes"),2,IF(AND('Proposed Lighting'!AU68=2,AS68=1,BC68="Yes",BF68="Yes"),2,IF(AND('Proposed Lighting'!AU68=2,AS68=1,BC68="Yes",BH68="Yes"),2,IF(AND('Proposed Lighting'!AU68=2,AS68=1,BD68="Yes",BF68="Yes"),2,IF(AND('Proposed Lighting'!AU68=2,AS68=1,BD68="Yes",BH68="Yes"),2,IF(AND('Proposed Lighting'!AU68=3,AS68=1,BC68="Yes",BE68="Yes"),2,IF(AND('Proposed Lighting'!AU68=3,AS68=1,BC68="Yes",BF68="Yes"),2,0)))))))))</f>
        <v>0</v>
      </c>
      <c r="BJ68" s="1025">
        <f t="shared" si="10"/>
        <v>0</v>
      </c>
      <c r="BK68">
        <f>IF(AND('Proposed Lighting'!BC68=22,'Lighting Controls'!N68=1),0,IF(ISNUMBER(SEARCH("LED",G68)),1,0))</f>
        <v>0</v>
      </c>
    </row>
    <row r="69" spans="1:63" ht="34.5" customHeight="1">
      <c r="A69" s="917">
        <v>61</v>
      </c>
      <c r="B69" s="1828" t="str">
        <f>IF('Proposed Lighting'!B69="","",'Proposed Lighting'!B69)</f>
        <v/>
      </c>
      <c r="C69" s="1828"/>
      <c r="D69" s="1828"/>
      <c r="E69" s="1245">
        <f>'Proposed Lighting'!AA69</f>
        <v>0</v>
      </c>
      <c r="F69" s="1245">
        <f t="shared" si="0"/>
        <v>0</v>
      </c>
      <c r="G69" s="1830" t="str">
        <f>IF('Proposed Lighting'!T69="","",IF(ISNUMBER(SEARCH("Networked",'Proposed Lighting'!T69)),0,IF(ISNUMBER(SEARCH("Strategies",'Proposed Lighting'!T69)),0,IF(ISNUMBER(SEARCH("Removal",'Proposed Lighting'!T69)),0,'Proposed Lighting'!T69))))</f>
        <v/>
      </c>
      <c r="H69" s="1830"/>
      <c r="I69" s="1830"/>
      <c r="J69" s="1830"/>
      <c r="K69" s="1215"/>
      <c r="L69" s="1246">
        <f t="shared" si="1"/>
        <v>0</v>
      </c>
      <c r="M69" s="1224">
        <f t="shared" si="2"/>
        <v>0</v>
      </c>
      <c r="N69" s="1224">
        <f t="shared" si="3"/>
        <v>0</v>
      </c>
      <c r="O69" s="1825" t="str">
        <f>IF(G69=0,0,IF(ISNA('Proposed Lighting'!AT69),0,'Proposed Lighting'!AT69))</f>
        <v/>
      </c>
      <c r="P69" s="1825"/>
      <c r="Q69" s="1247"/>
      <c r="R69" s="1247"/>
      <c r="S69" s="1247"/>
      <c r="T69" s="1211"/>
      <c r="U69" s="1235">
        <f>IF(K69&gt;0.01,'Proposed Lighting'!CU69,0)</f>
        <v>0</v>
      </c>
      <c r="V69" s="1248">
        <f>IF('Proposed Lighting'!CF69=1,0,IF('Proposed Lighting'!AU69=2,0,IF(AND('Proposed Lighting'!AU69=3,'Proposed Lighting'!CF69=0),1,0)))</f>
        <v>0</v>
      </c>
      <c r="W69" s="1836"/>
      <c r="X69" s="1836"/>
      <c r="Y69" s="1836"/>
      <c r="Z69" s="1230" t="str">
        <f t="shared" si="4"/>
        <v/>
      </c>
      <c r="AA69" s="1230">
        <f t="shared" si="5"/>
        <v>0</v>
      </c>
      <c r="AB69" s="1230">
        <f>IF(Q69=0,0,IF(T69=0,0,IF(AA69=0,0,IF(AND(F69=3,V69=0),0,IF(T69=0,0,IF(K69&gt;'Proposed Lighting'!AA69,0,IF('Proposed Lighting'!EJ69&gt;0.01,(K69*O69)*'Proposed Lighting'!EJ69/1000,(K69*O69)*U69/1000)))))))</f>
        <v>0</v>
      </c>
      <c r="AC69" s="1230" t="str">
        <f t="shared" si="6"/>
        <v/>
      </c>
      <c r="AD69" s="1230">
        <f t="shared" si="7"/>
        <v>0</v>
      </c>
      <c r="AE69" s="1230">
        <f>IF(T69=0,0,IF(K69&gt;'Proposed Lighting'!AA69,0,IF(T69&gt;K69,0,IF(AND(AD69&gt;AA69,AA69&gt;0),0,IF(AND(F69&gt;1,W69&lt;0.01),0,IF('Proposed Lighting'!AU69&gt;'Lighting Controls'!F69,0,IF('Proposed Lighting'!AU69&lt;'Lighting Controls'!F69,0,IF(U69=0,0,Summary!AC372))))))))</f>
        <v>0</v>
      </c>
      <c r="AF69" s="1230">
        <f>IF(T69=0,0,IF(AE69=0,0,IF(K69&gt;'Proposed Lighting'!AA69,0,IF(AND(AD69&gt;AA69,AA69&gt;0),0,IF(U69=0,0,Summary!AD372)))))</f>
        <v>0</v>
      </c>
      <c r="AG69" s="1834">
        <f>IF('Proposed Lighting'!AU69=1,0,IF('Proposed Lighting'!CF69=1,0,T69*W69))</f>
        <v>0</v>
      </c>
      <c r="AH69" s="1834"/>
      <c r="AI69" s="1834"/>
      <c r="AJ69" s="1835">
        <f>IF(T69&lt;1,0,IF(K69&gt;'Proposed Lighting'!AA69,0,IF('Proposed Lighting'!CF69=1,0,IF('Proposed Lighting'!AU69=1,0,IF(T69&gt;K69,0,IF(AND(AD69&gt;AA69,AA69&gt;0),0,IF(AND(F69=2,'Proposed Lighting'!AU69=3),0,IF(AND(F69=3,'Proposed Lighting'!AU69=2),0,IF('Proposed Lighting'!CH69=100,0,IF(AND(F69&lt;3,V69=1,AM69=0),0,IF(AND(F69&gt;1,AF69&lt;1,AN69&lt;1),0,IF(AND(F69&gt;1,AE69&lt;0.69,AF69&lt;1,AN69&lt;1),0,IF(ISERROR(AB69-AC69),"",AB69-AC69)))))))))))))</f>
        <v>0</v>
      </c>
      <c r="AK69" s="1835"/>
      <c r="AL69" s="1835"/>
      <c r="AM69" s="1216">
        <f>IF(Q69=0,0,IF(T69=0,0,IF(T69&gt;K69,0,IF(AND(AS69&gt;0.01,BK69=0),0,IF(AND('Proposed Lighting'!DG69=0,'Lighting Controls'!Z69=0.35),0,IF(AND(T69&lt;=K69,AA69&gt;=AD69,'Proposed Lighting'!AU69=2),VLOOKUP(Q69,$AY$9:$AZ$15,2,FALSE),IF(AND(T69&lt;=K69,AA69&gt;=AD69,'Proposed Lighting'!AU69=3),VLOOKUP(Q69,$AY$17:$AZ$23,2,FALSE))))))))</f>
        <v>0</v>
      </c>
      <c r="AN69" s="1248">
        <f>IF(T69=0,0,IF(K69&gt;'Proposed Lighting'!AA69,0,IF(AE69=0,0,IF(AND(AD69&gt;AA69,AA69&gt;0),0,IF(U69=0,0,Summary!AE372)))))</f>
        <v>0</v>
      </c>
      <c r="AO69" s="1248">
        <f t="shared" si="11"/>
        <v>0</v>
      </c>
      <c r="AP69" s="1249">
        <f>IF('Proposed Lighting'!AU69=1,0,IF(K69=0,0,IF(T69&gt;K69,0,IF(G69=0,0,IF(K69&gt;'Proposed Lighting'!AA69,0,IF(AND(AD69&gt;AA69,AA69&gt;0),0,IF(AND('Proposed Lighting'!AU69=3,AM69=0.5),0,IF(AND(AM69&gt;0,AS69&gt;0,BI69&lt;2),0,IF('Proposed Lighting'!CH69=100,0,IF(AV69=1,0,IF(AND(AM69=35,M69+N69&lt;2),0,AM69)))))))))))</f>
        <v>0</v>
      </c>
      <c r="AQ69" s="1249" t="str">
        <f>IFERROR(ROUND(IF(Q69="","",IF('Proposed Lighting'!$X$4=0,0,IF(AND(AM69=35,M69+N69&lt;2),0,IF(T69&gt;K69,0,IF('Proposed Lighting'!AU69=1,0,IF(AJ69=0,0,IF(AND('Proposed Lighting'!AU69=3,AM69=0.5),0,IF(AND(AD69=75,AP69=0,AV69=0),0,IF(AP69&gt;0.01,AP69*T69,IF(AND(F69&gt;1,W69&lt;0.01),0,IF(AND(F69&gt;1,AO69=0),0,IF(AND('Proposed Lighting'!BC69=22,AV69=0),0,IF(AND(AM69&gt;0,AS69&gt;0,BI69&lt;2),0,IF(AND(AS69&gt;0.01,BK69=0),0,IF(AND(AO69=TRUE,AV69=1,F69=3),MIN(AJ69*0.08,L69),IF(AP69&gt;0.01,AP69*T69,IF(AND(AO69=TRUE,AV69=1,F69=2),MIN(AJ69*0.1,L69)))))))))))))))))),2),"")</f>
        <v/>
      </c>
      <c r="AR69" s="1250">
        <f>IF(Q69=0,0,IF('Proposed Lighting'!$X$4=0,0,IF(AND(AM69&gt;0.01,AQ69&gt;0.01),0,IF('Proposed Lighting'!AU69=1,"Missing Interior or Exterior Selection",IF('Proposed Lighting'!CF69=1,"Selection does not match",IF(K69&gt;'Proposed Lighting'!AA69,"Quantity controlled does not match proposed lighting quantity",IF(T69&gt;K69,"Quantity of sensors exceeds proposed lighting quantity",IF(AND(F69&gt;1,'Proposed Lighting'!AU69&lt;&gt;F69),"Selection does not match",IF(AND(AD69&gt;AA69,AA69&gt;0),"Does not meet minimum connected load",IF(AND(O69&gt;0,AS69&gt;0,BK69&gt;0,'Proposed Lighting'!CH69=0),"Select Control Strategies",IF(AND(AC69&gt;0.1,AJ69=0,AQ69=0),"Does not meet incentive criteria",0)))))))))))</f>
        <v>0</v>
      </c>
      <c r="AS69" s="1224">
        <f>IF('Proposed Lighting'!CH69=100,0,IF(ISNUMBER(SEARCH("multiple",Q69)),1,0))</f>
        <v>0</v>
      </c>
      <c r="AT69" s="451">
        <f t="shared" si="8"/>
        <v>0</v>
      </c>
      <c r="AU69" s="451">
        <f t="shared" si="9"/>
        <v>0</v>
      </c>
      <c r="AV69" s="1222">
        <f>IF(ISNUMBER(SEARCH("Networked",'Proposed Lighting'!T69)),0,IF(ISNUMBER(SEARCH("Strategies",'Proposed Lighting'!T69)),0,IF(ISNUMBER(SEARCH("Removal",'Proposed Lighting'!T69)),0,IF(ISNUMBER(SEARCH("non-standard",Q69)),1,0))))</f>
        <v>0</v>
      </c>
      <c r="AW69" s="451">
        <f t="shared" si="12"/>
        <v>0</v>
      </c>
      <c r="AX69" s="451"/>
      <c r="AY69" s="451"/>
      <c r="AZ69" s="451"/>
      <c r="BA69" s="451"/>
      <c r="BB69" s="451"/>
      <c r="BC69" s="1215"/>
      <c r="BD69" s="1215"/>
      <c r="BE69" s="1215"/>
      <c r="BF69" s="1215"/>
      <c r="BG69" s="1215"/>
      <c r="BH69" s="1215"/>
      <c r="BI69">
        <f>IF(AND(AS69=1,BC69="No",BD69="Yes",BE69="Yes",BF69="No",BH69="No"),0,IF(AND('Proposed Lighting'!AU69=2,AS69=1,BC69="Yes",BD69="Yes"),2,IF(AND('Proposed Lighting'!AU69=2,AS69=1,BC69="Yes",BE69="Yes"),2,IF(AND('Proposed Lighting'!AU69=2,AS69=1,BC69="Yes",BF69="Yes"),2,IF(AND('Proposed Lighting'!AU69=2,AS69=1,BC69="Yes",BH69="Yes"),2,IF(AND('Proposed Lighting'!AU69=2,AS69=1,BD69="Yes",BF69="Yes"),2,IF(AND('Proposed Lighting'!AU69=2,AS69=1,BD69="Yes",BH69="Yes"),2,IF(AND('Proposed Lighting'!AU69=3,AS69=1,BC69="Yes",BE69="Yes"),2,IF(AND('Proposed Lighting'!AU69=3,AS69=1,BC69="Yes",BF69="Yes"),2,0)))))))))</f>
        <v>0</v>
      </c>
      <c r="BJ69" s="1025">
        <f t="shared" si="10"/>
        <v>0</v>
      </c>
      <c r="BK69">
        <f>IF(AND('Proposed Lighting'!BC69=22,'Lighting Controls'!N69=1),0,IF(ISNUMBER(SEARCH("LED",G69)),1,0))</f>
        <v>0</v>
      </c>
    </row>
    <row r="70" spans="1:63" ht="34.5" customHeight="1">
      <c r="A70" s="917">
        <v>62</v>
      </c>
      <c r="B70" s="1828" t="str">
        <f>IF('Proposed Lighting'!B70="","",'Proposed Lighting'!B70)</f>
        <v/>
      </c>
      <c r="C70" s="1828"/>
      <c r="D70" s="1828"/>
      <c r="E70" s="1245">
        <f>'Proposed Lighting'!AA70</f>
        <v>0</v>
      </c>
      <c r="F70" s="1245">
        <f t="shared" si="0"/>
        <v>0</v>
      </c>
      <c r="G70" s="1830" t="str">
        <f>IF('Proposed Lighting'!T70="","",IF(ISNUMBER(SEARCH("Networked",'Proposed Lighting'!T70)),0,IF(ISNUMBER(SEARCH("Strategies",'Proposed Lighting'!T70)),0,IF(ISNUMBER(SEARCH("Removal",'Proposed Lighting'!T70)),0,'Proposed Lighting'!T70))))</f>
        <v/>
      </c>
      <c r="H70" s="1830"/>
      <c r="I70" s="1830"/>
      <c r="J70" s="1830"/>
      <c r="K70" s="1215">
        <v>4</v>
      </c>
      <c r="L70" s="1246">
        <f t="shared" si="1"/>
        <v>0</v>
      </c>
      <c r="M70" s="1224">
        <f t="shared" si="2"/>
        <v>0</v>
      </c>
      <c r="N70" s="1224">
        <f t="shared" si="3"/>
        <v>0</v>
      </c>
      <c r="O70" s="1825" t="str">
        <f>IF(G70=0,0,IF(ISNA('Proposed Lighting'!AT70),0,'Proposed Lighting'!AT70))</f>
        <v/>
      </c>
      <c r="P70" s="1825"/>
      <c r="Q70" s="1247" t="s">
        <v>192</v>
      </c>
      <c r="R70" s="1247"/>
      <c r="S70" s="1247"/>
      <c r="T70" s="1211">
        <v>1</v>
      </c>
      <c r="U70" s="1235" t="str">
        <f>IF(K70&gt;0.01,'Proposed Lighting'!CU70,0)</f>
        <v/>
      </c>
      <c r="V70" s="1248">
        <f>IF('Proposed Lighting'!CF70=1,0,IF('Proposed Lighting'!AU70=2,0,IF(AND('Proposed Lighting'!AU70=3,'Proposed Lighting'!CF70=0),1,0)))</f>
        <v>0</v>
      </c>
      <c r="W70" s="1836"/>
      <c r="X70" s="1836"/>
      <c r="Y70" s="1836"/>
      <c r="Z70" s="1230">
        <f t="shared" si="4"/>
        <v>0.25</v>
      </c>
      <c r="AA70" s="1230" t="e">
        <f t="shared" si="5"/>
        <v>#VALUE!</v>
      </c>
      <c r="AB70" s="1230" t="e">
        <f>IF(Q70=0,0,IF(T70=0,0,IF(AA70=0,0,IF(AND(F70=3,V70=0),0,IF(T70=0,0,IF(K70&gt;'Proposed Lighting'!AA70,0,IF('Proposed Lighting'!EJ70&gt;0.01,(K70*O70)*'Proposed Lighting'!EJ70/1000,(K70*O70)*U70/1000)))))))</f>
        <v>#VALUE!</v>
      </c>
      <c r="AC70" s="1230" t="e">
        <f t="shared" si="6"/>
        <v>#VALUE!</v>
      </c>
      <c r="AD70" s="1230">
        <f t="shared" si="7"/>
        <v>25</v>
      </c>
      <c r="AE70" s="1230">
        <f>IF(T70=0,0,IF(K70&gt;'Proposed Lighting'!AA70,0,IF(T70&gt;K70,0,IF(AND(AD70&gt;AA70,AA70&gt;0),0,IF(AND(F70&gt;1,W70&lt;0.01),0,IF('Proposed Lighting'!AU70&gt;'Lighting Controls'!F70,0,IF('Proposed Lighting'!AU70&lt;'Lighting Controls'!F70,0,IF(U70=0,0,Summary!AC373))))))))</f>
        <v>0</v>
      </c>
      <c r="AF70" s="1230">
        <f>IF(T70=0,0,IF(AE70=0,0,IF(K70&gt;'Proposed Lighting'!AA70,0,IF(AND(AD70&gt;AA70,AA70&gt;0),0,IF(U70=0,0,Summary!AD373)))))</f>
        <v>0</v>
      </c>
      <c r="AG70" s="1834">
        <f>IF('Proposed Lighting'!AU70=1,0,IF('Proposed Lighting'!CF70=1,0,T70*W70))</f>
        <v>0</v>
      </c>
      <c r="AH70" s="1834"/>
      <c r="AI70" s="1834"/>
      <c r="AJ70" s="1835">
        <f>IF(T70&lt;1,0,IF(K70&gt;'Proposed Lighting'!AA70,0,IF('Proposed Lighting'!CF70=1,0,IF('Proposed Lighting'!AU70=1,0,IF(T70&gt;K70,0,IF(AND(AD70&gt;AA70,AA70&gt;0),0,IF(AND(F70=2,'Proposed Lighting'!AU70=3),0,IF(AND(F70=3,'Proposed Lighting'!AU70=2),0,IF('Proposed Lighting'!CH70=100,0,IF(AND(F70&lt;3,V70=1,AM70=0),0,IF(AND(F70&gt;1,AF70&lt;1,AN70&lt;1),0,IF(AND(F70&gt;1,AE70&lt;0.69,AF70&lt;1,AN70&lt;1),0,IF(ISERROR(AB70-AC70),"",AB70-AC70)))))))))))))</f>
        <v>0</v>
      </c>
      <c r="AK70" s="1835"/>
      <c r="AL70" s="1835"/>
      <c r="AM70" s="1216" t="e">
        <f>IF(Q70=0,0,IF(T70=0,0,IF(T70&gt;K70,0,IF(AND(AS70&gt;0.01,BK70=0),0,IF(AND('Proposed Lighting'!DG70=0,'Lighting Controls'!Z70=0.35),0,IF(AND(T70&lt;=K70,AA70&gt;=AD70,'Proposed Lighting'!AU70=2),VLOOKUP(Q70,$AY$9:$AZ$15,2,FALSE),IF(AND(T70&lt;=K70,AA70&gt;=AD70,'Proposed Lighting'!AU70=3),VLOOKUP(Q70,$AY$17:$AZ$23,2,FALSE))))))))</f>
        <v>#VALUE!</v>
      </c>
      <c r="AN70" s="1248">
        <f>IF(T70=0,0,IF(K70&gt;'Proposed Lighting'!AA70,0,IF(AE70=0,0,IF(AND(AD70&gt;AA70,AA70&gt;0),0,IF(U70=0,0,Summary!AE373)))))</f>
        <v>0</v>
      </c>
      <c r="AO70" s="1248">
        <f t="shared" si="11"/>
        <v>0</v>
      </c>
      <c r="AP70" s="1249">
        <f>IF('Proposed Lighting'!AU70=1,0,IF(K70=0,0,IF(T70&gt;K70,0,IF(G70=0,0,IF(K70&gt;'Proposed Lighting'!AA70,0,IF(AND(AD70&gt;AA70,AA70&gt;0),0,IF(AND('Proposed Lighting'!AU70=3,AM70=0.5),0,IF(AND(AM70&gt;0,AS70&gt;0,BI70&lt;2),0,IF('Proposed Lighting'!CH70=100,0,IF(AV70=1,0,IF(AND(AM70=35,M70+N70&lt;2),0,AM70)))))))))))</f>
        <v>0</v>
      </c>
      <c r="AQ70" s="1249">
        <f>IFERROR(ROUND(IF(Q70="","",IF('Proposed Lighting'!$X$4=0,0,IF(AND(AM70=35,M70+N70&lt;2),0,IF(T70&gt;K70,0,IF('Proposed Lighting'!AU70=1,0,IF(AJ70=0,0,IF(AND('Proposed Lighting'!AU70=3,AM70=0.5),0,IF(AND(AD70=75,AP70=0,AV70=0),0,IF(AP70&gt;0.01,AP70*T70,IF(AND(F70&gt;1,W70&lt;0.01),0,IF(AND(F70&gt;1,AO70=0),0,IF(AND('Proposed Lighting'!BC70=22,AV70=0),0,IF(AND(AM70&gt;0,AS70&gt;0,BI70&lt;2),0,IF(AND(AS70&gt;0.01,BK70=0),0,IF(AND(AO70=TRUE,AV70=1,F70=3),MIN(AJ70*0.08,L70),IF(AP70&gt;0.01,AP70*T70,IF(AND(AO70=TRUE,AV70=1,F70=2),MIN(AJ70*0.1,L70)))))))))))))))))),2),"")</f>
        <v>0</v>
      </c>
      <c r="AR70" s="1250">
        <f>IF(Q70=0,0,IF('Proposed Lighting'!$X$4=0,0,IF(AND(AM70&gt;0.01,AQ70&gt;0.01),0,IF('Proposed Lighting'!AU70=1,"Missing Interior or Exterior Selection",IF('Proposed Lighting'!CF70=1,"Selection does not match",IF(K70&gt;'Proposed Lighting'!AA70,"Quantity controlled does not match proposed lighting quantity",IF(T70&gt;K70,"Quantity of sensors exceeds proposed lighting quantity",IF(AND(F70&gt;1,'Proposed Lighting'!AU70&lt;&gt;F70),"Selection does not match",IF(AND(AD70&gt;AA70,AA70&gt;0),"Does not meet minimum connected load",IF(AND(O70&gt;0,AS70&gt;0,BK70&gt;0,'Proposed Lighting'!CH70=0),"Select Control Strategies",IF(AND(AC70&gt;0.1,AJ70=0,AQ70=0),"Does not meet incentive criteria",0)))))))))))</f>
        <v>0</v>
      </c>
      <c r="AS70" s="1224">
        <f>IF('Proposed Lighting'!CH70=100,0,IF(ISNUMBER(SEARCH("multiple",Q70)),1,0))</f>
        <v>0</v>
      </c>
      <c r="AT70" s="451">
        <f t="shared" si="8"/>
        <v>0</v>
      </c>
      <c r="AU70" s="451">
        <f t="shared" si="9"/>
        <v>0</v>
      </c>
      <c r="AV70" s="1222">
        <f>IF(ISNUMBER(SEARCH("Networked",'Proposed Lighting'!T70)),0,IF(ISNUMBER(SEARCH("Strategies",'Proposed Lighting'!T70)),0,IF(ISNUMBER(SEARCH("Removal",'Proposed Lighting'!T70)),0,IF(ISNUMBER(SEARCH("non-standard",Q70)),1,0))))</f>
        <v>0</v>
      </c>
      <c r="AW70" s="451">
        <f t="shared" si="12"/>
        <v>0</v>
      </c>
      <c r="AX70" s="451"/>
      <c r="AY70" s="451"/>
      <c r="AZ70" s="451"/>
      <c r="BA70" s="451"/>
      <c r="BB70" s="451"/>
      <c r="BC70" s="1215"/>
      <c r="BD70" s="1215"/>
      <c r="BE70" s="1215"/>
      <c r="BF70" s="1215"/>
      <c r="BG70" s="1215"/>
      <c r="BH70" s="1215"/>
      <c r="BI70">
        <f>IF(AND(AS70=1,BC70="No",BD70="Yes",BE70="Yes",BF70="No",BH70="No"),0,IF(AND('Proposed Lighting'!AU70=2,AS70=1,BC70="Yes",BD70="Yes"),2,IF(AND('Proposed Lighting'!AU70=2,AS70=1,BC70="Yes",BE70="Yes"),2,IF(AND('Proposed Lighting'!AU70=2,AS70=1,BC70="Yes",BF70="Yes"),2,IF(AND('Proposed Lighting'!AU70=2,AS70=1,BC70="Yes",BH70="Yes"),2,IF(AND('Proposed Lighting'!AU70=2,AS70=1,BD70="Yes",BF70="Yes"),2,IF(AND('Proposed Lighting'!AU70=2,AS70=1,BD70="Yes",BH70="Yes"),2,IF(AND('Proposed Lighting'!AU70=3,AS70=1,BC70="Yes",BE70="Yes"),2,IF(AND('Proposed Lighting'!AU70=3,AS70=1,BC70="Yes",BF70="Yes"),2,0)))))))))</f>
        <v>0</v>
      </c>
      <c r="BJ70" s="1025">
        <f t="shared" si="10"/>
        <v>0</v>
      </c>
      <c r="BK70">
        <f>IF(AND('Proposed Lighting'!BC70=22,'Lighting Controls'!N70=1),0,IF(ISNUMBER(SEARCH("LED",G70)),1,0))</f>
        <v>0</v>
      </c>
    </row>
    <row r="71" spans="1:63" ht="34.5" customHeight="1">
      <c r="A71" s="917">
        <v>63</v>
      </c>
      <c r="B71" s="1828" t="str">
        <f>IF('Proposed Lighting'!B71="","",'Proposed Lighting'!B71)</f>
        <v/>
      </c>
      <c r="C71" s="1828"/>
      <c r="D71" s="1828"/>
      <c r="E71" s="1245">
        <f>'Proposed Lighting'!AA71</f>
        <v>0</v>
      </c>
      <c r="F71" s="1245">
        <f t="shared" si="0"/>
        <v>0</v>
      </c>
      <c r="G71" s="1830" t="str">
        <f>IF('Proposed Lighting'!T71="","",IF(ISNUMBER(SEARCH("Networked",'Proposed Lighting'!T71)),0,IF(ISNUMBER(SEARCH("Strategies",'Proposed Lighting'!T71)),0,IF(ISNUMBER(SEARCH("Removal",'Proposed Lighting'!T71)),0,'Proposed Lighting'!T71))))</f>
        <v/>
      </c>
      <c r="H71" s="1830"/>
      <c r="I71" s="1830"/>
      <c r="J71" s="1830"/>
      <c r="K71" s="1215"/>
      <c r="L71" s="1246">
        <f t="shared" si="1"/>
        <v>0</v>
      </c>
      <c r="M71" s="1224">
        <f t="shared" si="2"/>
        <v>0</v>
      </c>
      <c r="N71" s="1224">
        <f t="shared" si="3"/>
        <v>0</v>
      </c>
      <c r="O71" s="1825" t="str">
        <f>IF(G71=0,0,IF(ISNA('Proposed Lighting'!AT71),0,'Proposed Lighting'!AT71))</f>
        <v/>
      </c>
      <c r="P71" s="1825"/>
      <c r="Q71" s="1247"/>
      <c r="R71" s="1247"/>
      <c r="S71" s="1247"/>
      <c r="T71" s="1211"/>
      <c r="U71" s="1235">
        <f>IF(K71&gt;0.01,'Proposed Lighting'!CU71,0)</f>
        <v>0</v>
      </c>
      <c r="V71" s="1248">
        <f>IF('Proposed Lighting'!CF71=1,0,IF('Proposed Lighting'!AU71=2,0,IF(AND('Proposed Lighting'!AU71=3,'Proposed Lighting'!CF71=0),1,0)))</f>
        <v>0</v>
      </c>
      <c r="W71" s="1836"/>
      <c r="X71" s="1836"/>
      <c r="Y71" s="1836"/>
      <c r="Z71" s="1230" t="str">
        <f t="shared" si="4"/>
        <v/>
      </c>
      <c r="AA71" s="1230">
        <f t="shared" si="5"/>
        <v>0</v>
      </c>
      <c r="AB71" s="1230">
        <f>IF(Q71=0,0,IF(T71=0,0,IF(AA71=0,0,IF(AND(F71=3,V71=0),0,IF(T71=0,0,IF(K71&gt;'Proposed Lighting'!AA71,0,IF('Proposed Lighting'!EJ71&gt;0.01,(K71*O71)*'Proposed Lighting'!EJ71/1000,(K71*O71)*U71/1000)))))))</f>
        <v>0</v>
      </c>
      <c r="AC71" s="1230" t="str">
        <f t="shared" si="6"/>
        <v/>
      </c>
      <c r="AD71" s="1230">
        <f t="shared" si="7"/>
        <v>0</v>
      </c>
      <c r="AE71" s="1230">
        <f>IF(T71=0,0,IF(K71&gt;'Proposed Lighting'!AA71,0,IF(T71&gt;K71,0,IF(AND(AD71&gt;AA71,AA71&gt;0),0,IF(AND(F71&gt;1,W71&lt;0.01),0,IF('Proposed Lighting'!AU71&gt;'Lighting Controls'!F71,0,IF('Proposed Lighting'!AU71&lt;'Lighting Controls'!F71,0,IF(U71=0,0,Summary!AC374))))))))</f>
        <v>0</v>
      </c>
      <c r="AF71" s="1230">
        <f>IF(T71=0,0,IF(AE71=0,0,IF(K71&gt;'Proposed Lighting'!AA71,0,IF(AND(AD71&gt;AA71,AA71&gt;0),0,IF(U71=0,0,Summary!AD374)))))</f>
        <v>0</v>
      </c>
      <c r="AG71" s="1834">
        <f>IF('Proposed Lighting'!AU71=1,0,IF('Proposed Lighting'!CF71=1,0,T71*W71))</f>
        <v>0</v>
      </c>
      <c r="AH71" s="1834"/>
      <c r="AI71" s="1834"/>
      <c r="AJ71" s="1835">
        <f>IF(T71&lt;1,0,IF(K71&gt;'Proposed Lighting'!AA71,0,IF('Proposed Lighting'!CF71=1,0,IF('Proposed Lighting'!AU71=1,0,IF(T71&gt;K71,0,IF(AND(AD71&gt;AA71,AA71&gt;0),0,IF(AND(F71=2,'Proposed Lighting'!AU71=3),0,IF(AND(F71=3,'Proposed Lighting'!AU71=2),0,IF('Proposed Lighting'!CH71=100,0,IF(AND(F71&lt;3,V71=1,AM71=0),0,IF(AND(F71&gt;1,AF71&lt;1,AN71&lt;1),0,IF(AND(F71&gt;1,AE71&lt;0.69,AF71&lt;1,AN71&lt;1),0,IF(ISERROR(AB71-AC71),"",AB71-AC71)))))))))))))</f>
        <v>0</v>
      </c>
      <c r="AK71" s="1835"/>
      <c r="AL71" s="1835"/>
      <c r="AM71" s="1216">
        <f>IF(Q71=0,0,IF(T71=0,0,IF(T71&gt;K71,0,IF(AND(AS71&gt;0.01,BK71=0),0,IF(AND('Proposed Lighting'!DG71=0,'Lighting Controls'!Z71=0.35),0,IF(AND(T71&lt;=K71,AA71&gt;=AD71,'Proposed Lighting'!AU71=2),VLOOKUP(Q71,$AY$9:$AZ$15,2,FALSE),IF(AND(T71&lt;=K71,AA71&gt;=AD71,'Proposed Lighting'!AU71=3),VLOOKUP(Q71,$AY$17:$AZ$23,2,FALSE))))))))</f>
        <v>0</v>
      </c>
      <c r="AN71" s="1248">
        <f>IF(T71=0,0,IF(K71&gt;'Proposed Lighting'!AA71,0,IF(AE71=0,0,IF(AND(AD71&gt;AA71,AA71&gt;0),0,IF(U71=0,0,Summary!AE374)))))</f>
        <v>0</v>
      </c>
      <c r="AO71" s="1248">
        <f t="shared" si="11"/>
        <v>0</v>
      </c>
      <c r="AP71" s="1249">
        <f>IF('Proposed Lighting'!AU71=1,0,IF(K71=0,0,IF(T71&gt;K71,0,IF(G71=0,0,IF(K71&gt;'Proposed Lighting'!AA71,0,IF(AND(AD71&gt;AA71,AA71&gt;0),0,IF(AND('Proposed Lighting'!AU71=3,AM71=0.5),0,IF(AND(AM71&gt;0,AS71&gt;0,BI71&lt;2),0,IF('Proposed Lighting'!CH71=100,0,IF(AV71=1,0,IF(AND(AM71=35,M71+N71&lt;2),0,AM71)))))))))))</f>
        <v>0</v>
      </c>
      <c r="AQ71" s="1249" t="str">
        <f>IFERROR(ROUND(IF(Q71="","",IF('Proposed Lighting'!$X$4=0,0,IF(AND(AM71=35,M71+N71&lt;2),0,IF(T71&gt;K71,0,IF('Proposed Lighting'!AU71=1,0,IF(AJ71=0,0,IF(AND('Proposed Lighting'!AU71=3,AM71=0.5),0,IF(AND(AD71=75,AP71=0,AV71=0),0,IF(AP71&gt;0.01,AP71*T71,IF(AND(F71&gt;1,W71&lt;0.01),0,IF(AND(F71&gt;1,AO71=0),0,IF(AND('Proposed Lighting'!BC71=22,AV71=0),0,IF(AND(AM71&gt;0,AS71&gt;0,BI71&lt;2),0,IF(AND(AS71&gt;0.01,BK71=0),0,IF(AND(AO71=TRUE,AV71=1,F71=3),MIN(AJ71*0.08,L71),IF(AP71&gt;0.01,AP71*T71,IF(AND(AO71=TRUE,AV71=1,F71=2),MIN(AJ71*0.1,L71)))))))))))))))))),2),"")</f>
        <v/>
      </c>
      <c r="AR71" s="1250">
        <f>IF(Q71=0,0,IF('Proposed Lighting'!$X$4=0,0,IF(AND(AM71&gt;0.01,AQ71&gt;0.01),0,IF('Proposed Lighting'!AU71=1,"Missing Interior or Exterior Selection",IF('Proposed Lighting'!CF71=1,"Selection does not match",IF(K71&gt;'Proposed Lighting'!AA71,"Quantity controlled does not match proposed lighting quantity",IF(T71&gt;K71,"Quantity of sensors exceeds proposed lighting quantity",IF(AND(F71&gt;1,'Proposed Lighting'!AU71&lt;&gt;F71),"Selection does not match",IF(AND(AD71&gt;AA71,AA71&gt;0),"Does not meet minimum connected load",IF(AND(O71&gt;0,AS71&gt;0,BK71&gt;0,'Proposed Lighting'!CH71=0),"Select Control Strategies",IF(AND(AC71&gt;0.1,AJ71=0,AQ71=0),"Does not meet incentive criteria",0)))))))))))</f>
        <v>0</v>
      </c>
      <c r="AS71" s="1224">
        <f>IF('Proposed Lighting'!CH71=100,0,IF(ISNUMBER(SEARCH("multiple",Q71)),1,0))</f>
        <v>0</v>
      </c>
      <c r="AT71" s="451">
        <f t="shared" si="8"/>
        <v>0</v>
      </c>
      <c r="AU71" s="451">
        <f t="shared" si="9"/>
        <v>0</v>
      </c>
      <c r="AV71" s="1222">
        <f>IF(ISNUMBER(SEARCH("Networked",'Proposed Lighting'!T71)),0,IF(ISNUMBER(SEARCH("Strategies",'Proposed Lighting'!T71)),0,IF(ISNUMBER(SEARCH("Removal",'Proposed Lighting'!T71)),0,IF(ISNUMBER(SEARCH("non-standard",Q71)),1,0))))</f>
        <v>0</v>
      </c>
      <c r="AW71" s="451">
        <f t="shared" si="12"/>
        <v>0</v>
      </c>
      <c r="AX71" s="451"/>
      <c r="AY71" s="451"/>
      <c r="AZ71" s="451"/>
      <c r="BA71" s="451"/>
      <c r="BB71" s="451"/>
      <c r="BC71" s="1215"/>
      <c r="BD71" s="1215"/>
      <c r="BE71" s="1215"/>
      <c r="BF71" s="1215"/>
      <c r="BG71" s="1215"/>
      <c r="BH71" s="1215"/>
      <c r="BI71">
        <f>IF(AND(AS71=1,BC71="No",BD71="Yes",BE71="Yes",BF71="No",BH71="No"),0,IF(AND('Proposed Lighting'!AU71=2,AS71=1,BC71="Yes",BD71="Yes"),2,IF(AND('Proposed Lighting'!AU71=2,AS71=1,BC71="Yes",BE71="Yes"),2,IF(AND('Proposed Lighting'!AU71=2,AS71=1,BC71="Yes",BF71="Yes"),2,IF(AND('Proposed Lighting'!AU71=2,AS71=1,BC71="Yes",BH71="Yes"),2,IF(AND('Proposed Lighting'!AU71=2,AS71=1,BD71="Yes",BF71="Yes"),2,IF(AND('Proposed Lighting'!AU71=2,AS71=1,BD71="Yes",BH71="Yes"),2,IF(AND('Proposed Lighting'!AU71=3,AS71=1,BC71="Yes",BE71="Yes"),2,IF(AND('Proposed Lighting'!AU71=3,AS71=1,BC71="Yes",BF71="Yes"),2,0)))))))))</f>
        <v>0</v>
      </c>
      <c r="BJ71" s="1025">
        <f t="shared" si="10"/>
        <v>0</v>
      </c>
      <c r="BK71">
        <f>IF(AND('Proposed Lighting'!BC71=22,'Lighting Controls'!N71=1),0,IF(ISNUMBER(SEARCH("LED",G71)),1,0))</f>
        <v>0</v>
      </c>
    </row>
    <row r="72" spans="1:63" ht="34.5" customHeight="1">
      <c r="A72" s="917">
        <v>64</v>
      </c>
      <c r="B72" s="1828" t="str">
        <f>IF('Proposed Lighting'!B72="","",'Proposed Lighting'!B72)</f>
        <v/>
      </c>
      <c r="C72" s="1828"/>
      <c r="D72" s="1828"/>
      <c r="E72" s="1245">
        <f>'Proposed Lighting'!AA72</f>
        <v>0</v>
      </c>
      <c r="F72" s="1245">
        <f t="shared" si="0"/>
        <v>0</v>
      </c>
      <c r="G72" s="1830" t="str">
        <f>IF('Proposed Lighting'!T72="","",IF(ISNUMBER(SEARCH("Networked",'Proposed Lighting'!T72)),0,IF(ISNUMBER(SEARCH("Strategies",'Proposed Lighting'!T72)),0,IF(ISNUMBER(SEARCH("Removal",'Proposed Lighting'!T72)),0,'Proposed Lighting'!T72))))</f>
        <v/>
      </c>
      <c r="H72" s="1830"/>
      <c r="I72" s="1830"/>
      <c r="J72" s="1830"/>
      <c r="K72" s="1215"/>
      <c r="L72" s="1246">
        <f t="shared" si="1"/>
        <v>0</v>
      </c>
      <c r="M72" s="1224">
        <f t="shared" si="2"/>
        <v>0</v>
      </c>
      <c r="N72" s="1224">
        <f t="shared" si="3"/>
        <v>0</v>
      </c>
      <c r="O72" s="1825" t="str">
        <f>IF(G72=0,0,IF(ISNA('Proposed Lighting'!AT72),0,'Proposed Lighting'!AT72))</f>
        <v/>
      </c>
      <c r="P72" s="1825"/>
      <c r="Q72" s="1247"/>
      <c r="R72" s="1247"/>
      <c r="S72" s="1247"/>
      <c r="T72" s="1211"/>
      <c r="U72" s="1235">
        <f>IF(K72&gt;0.01,'Proposed Lighting'!CU72,0)</f>
        <v>0</v>
      </c>
      <c r="V72" s="1248">
        <f>IF('Proposed Lighting'!CF72=1,0,IF('Proposed Lighting'!AU72=2,0,IF(AND('Proposed Lighting'!AU72=3,'Proposed Lighting'!CF72=0),1,0)))</f>
        <v>0</v>
      </c>
      <c r="W72" s="1836"/>
      <c r="X72" s="1836"/>
      <c r="Y72" s="1836"/>
      <c r="Z72" s="1230" t="str">
        <f t="shared" si="4"/>
        <v/>
      </c>
      <c r="AA72" s="1230">
        <f t="shared" si="5"/>
        <v>0</v>
      </c>
      <c r="AB72" s="1230">
        <f>IF(Q72=0,0,IF(T72=0,0,IF(AA72=0,0,IF(AND(F72=3,V72=0),0,IF(T72=0,0,IF(K72&gt;'Proposed Lighting'!AA72,0,IF('Proposed Lighting'!EJ72&gt;0.01,(K72*O72)*'Proposed Lighting'!EJ72/1000,(K72*O72)*U72/1000)))))))</f>
        <v>0</v>
      </c>
      <c r="AC72" s="1230" t="str">
        <f t="shared" si="6"/>
        <v/>
      </c>
      <c r="AD72" s="1230">
        <f t="shared" si="7"/>
        <v>0</v>
      </c>
      <c r="AE72" s="1230">
        <f>IF(T72=0,0,IF(K72&gt;'Proposed Lighting'!AA72,0,IF(T72&gt;K72,0,IF(AND(AD72&gt;AA72,AA72&gt;0),0,IF(AND(F72&gt;1,W72&lt;0.01),0,IF('Proposed Lighting'!AU72&gt;'Lighting Controls'!F72,0,IF('Proposed Lighting'!AU72&lt;'Lighting Controls'!F72,0,IF(U72=0,0,Summary!AC375))))))))</f>
        <v>0</v>
      </c>
      <c r="AF72" s="1230">
        <f>IF(T72=0,0,IF(AE72=0,0,IF(K72&gt;'Proposed Lighting'!AA72,0,IF(AND(AD72&gt;AA72,AA72&gt;0),0,IF(U72=0,0,Summary!AD375)))))</f>
        <v>0</v>
      </c>
      <c r="AG72" s="1834">
        <f>IF('Proposed Lighting'!AU72=1,0,IF('Proposed Lighting'!CF72=1,0,T72*W72))</f>
        <v>0</v>
      </c>
      <c r="AH72" s="1834"/>
      <c r="AI72" s="1834"/>
      <c r="AJ72" s="1835">
        <f>IF(T72&lt;1,0,IF(K72&gt;'Proposed Lighting'!AA72,0,IF('Proposed Lighting'!CF72=1,0,IF('Proposed Lighting'!AU72=1,0,IF(T72&gt;K72,0,IF(AND(AD72&gt;AA72,AA72&gt;0),0,IF(AND(F72=2,'Proposed Lighting'!AU72=3),0,IF(AND(F72=3,'Proposed Lighting'!AU72=2),0,IF('Proposed Lighting'!CH72=100,0,IF(AND(F72&lt;3,V72=1,AM72=0),0,IF(AND(F72&gt;1,AF72&lt;1,AN72&lt;1),0,IF(AND(F72&gt;1,AE72&lt;0.69,AF72&lt;1,AN72&lt;1),0,IF(ISERROR(AB72-AC72),"",AB72-AC72)))))))))))))</f>
        <v>0</v>
      </c>
      <c r="AK72" s="1835"/>
      <c r="AL72" s="1835"/>
      <c r="AM72" s="1216">
        <f>IF(Q72=0,0,IF(T72=0,0,IF(T72&gt;K72,0,IF(AND(AS72&gt;0.01,BK72=0),0,IF(AND('Proposed Lighting'!DG72=0,'Lighting Controls'!Z72=0.35),0,IF(AND(T72&lt;=K72,AA72&gt;=AD72,'Proposed Lighting'!AU72=2),VLOOKUP(Q72,$AY$9:$AZ$15,2,FALSE),IF(AND(T72&lt;=K72,AA72&gt;=AD72,'Proposed Lighting'!AU72=3),VLOOKUP(Q72,$AY$17:$AZ$23,2,FALSE))))))))</f>
        <v>0</v>
      </c>
      <c r="AN72" s="1248">
        <f>IF(T72=0,0,IF(K72&gt;'Proposed Lighting'!AA72,0,IF(AE72=0,0,IF(AND(AD72&gt;AA72,AA72&gt;0),0,IF(U72=0,0,Summary!AE375)))))</f>
        <v>0</v>
      </c>
      <c r="AO72" s="1248">
        <f t="shared" si="11"/>
        <v>0</v>
      </c>
      <c r="AP72" s="1249">
        <f>IF('Proposed Lighting'!AU72=1,0,IF(K72=0,0,IF(T72&gt;K72,0,IF(G72=0,0,IF(K72&gt;'Proposed Lighting'!AA72,0,IF(AND(AD72&gt;AA72,AA72&gt;0),0,IF(AND('Proposed Lighting'!AU72=3,AM72=0.5),0,IF(AND(AM72&gt;0,AS72&gt;0,BI72&lt;2),0,IF('Proposed Lighting'!CH72=100,0,IF(AV72=1,0,IF(AND(AM72=35,M72+N72&lt;2),0,AM72)))))))))))</f>
        <v>0</v>
      </c>
      <c r="AQ72" s="1249" t="str">
        <f>IFERROR(ROUND(IF(Q72="","",IF('Proposed Lighting'!$X$4=0,0,IF(AND(AM72=35,M72+N72&lt;2),0,IF(T72&gt;K72,0,IF('Proposed Lighting'!AU72=1,0,IF(AJ72=0,0,IF(AND('Proposed Lighting'!AU72=3,AM72=0.5),0,IF(AND(AD72=75,AP72=0,AV72=0),0,IF(AP72&gt;0.01,AP72*T72,IF(AND(F72&gt;1,W72&lt;0.01),0,IF(AND(F72&gt;1,AO72=0),0,IF(AND('Proposed Lighting'!BC72=22,AV72=0),0,IF(AND(AM72&gt;0,AS72&gt;0,BI72&lt;2),0,IF(AND(AS72&gt;0.01,BK72=0),0,IF(AND(AO72=TRUE,AV72=1,F72=3),MIN(AJ72*0.08,L72),IF(AP72&gt;0.01,AP72*T72,IF(AND(AO72=TRUE,AV72=1,F72=2),MIN(AJ72*0.1,L72)))))))))))))))))),2),"")</f>
        <v/>
      </c>
      <c r="AR72" s="1250">
        <f>IF(Q72=0,0,IF('Proposed Lighting'!$X$4=0,0,IF(AND(AM72&gt;0.01,AQ72&gt;0.01),0,IF('Proposed Lighting'!AU72=1,"Missing Interior or Exterior Selection",IF('Proposed Lighting'!CF72=1,"Selection does not match",IF(K72&gt;'Proposed Lighting'!AA72,"Quantity controlled does not match proposed lighting quantity",IF(T72&gt;K72,"Quantity of sensors exceeds proposed lighting quantity",IF(AND(F72&gt;1,'Proposed Lighting'!AU72&lt;&gt;F72),"Selection does not match",IF(AND(AD72&gt;AA72,AA72&gt;0),"Does not meet minimum connected load",IF(AND(O72&gt;0,AS72&gt;0,BK72&gt;0,'Proposed Lighting'!CH72=0),"Select Control Strategies",IF(AND(AC72&gt;0.1,AJ72=0,AQ72=0),"Does not meet incentive criteria",0)))))))))))</f>
        <v>0</v>
      </c>
      <c r="AS72" s="1224">
        <f>IF('Proposed Lighting'!CH72=100,0,IF(ISNUMBER(SEARCH("multiple",Q72)),1,0))</f>
        <v>0</v>
      </c>
      <c r="AT72" s="451">
        <f t="shared" si="8"/>
        <v>0</v>
      </c>
      <c r="AU72" s="451">
        <f t="shared" si="9"/>
        <v>0</v>
      </c>
      <c r="AV72" s="1222">
        <f>IF(ISNUMBER(SEARCH("Networked",'Proposed Lighting'!T72)),0,IF(ISNUMBER(SEARCH("Strategies",'Proposed Lighting'!T72)),0,IF(ISNUMBER(SEARCH("Removal",'Proposed Lighting'!T72)),0,IF(ISNUMBER(SEARCH("non-standard",Q72)),1,0))))</f>
        <v>0</v>
      </c>
      <c r="AW72" s="451">
        <f t="shared" si="12"/>
        <v>0</v>
      </c>
      <c r="AX72" s="451"/>
      <c r="AY72" s="451"/>
      <c r="AZ72" s="451"/>
      <c r="BA72" s="451"/>
      <c r="BB72" s="451"/>
      <c r="BC72" s="1215"/>
      <c r="BD72" s="1215"/>
      <c r="BE72" s="1215"/>
      <c r="BF72" s="1215"/>
      <c r="BG72" s="1215"/>
      <c r="BH72" s="1215"/>
      <c r="BI72">
        <f>IF(AND(AS72=1,BC72="No",BD72="Yes",BE72="Yes",BF72="No",BH72="No"),0,IF(AND('Proposed Lighting'!AU72=2,AS72=1,BC72="Yes",BD72="Yes"),2,IF(AND('Proposed Lighting'!AU72=2,AS72=1,BC72="Yes",BE72="Yes"),2,IF(AND('Proposed Lighting'!AU72=2,AS72=1,BC72="Yes",BF72="Yes"),2,IF(AND('Proposed Lighting'!AU72=2,AS72=1,BC72="Yes",BH72="Yes"),2,IF(AND('Proposed Lighting'!AU72=2,AS72=1,BD72="Yes",BF72="Yes"),2,IF(AND('Proposed Lighting'!AU72=2,AS72=1,BD72="Yes",BH72="Yes"),2,IF(AND('Proposed Lighting'!AU72=3,AS72=1,BC72="Yes",BE72="Yes"),2,IF(AND('Proposed Lighting'!AU72=3,AS72=1,BC72="Yes",BF72="Yes"),2,0)))))))))</f>
        <v>0</v>
      </c>
      <c r="BJ72" s="1025">
        <f t="shared" si="10"/>
        <v>0</v>
      </c>
      <c r="BK72">
        <f>IF(AND('Proposed Lighting'!BC72=22,'Lighting Controls'!N72=1),0,IF(ISNUMBER(SEARCH("LED",G72)),1,0))</f>
        <v>0</v>
      </c>
    </row>
    <row r="73" spans="1:63" ht="34.5" customHeight="1">
      <c r="A73" s="917">
        <v>65</v>
      </c>
      <c r="B73" s="1828" t="str">
        <f>IF('Proposed Lighting'!B73="","",'Proposed Lighting'!B73)</f>
        <v/>
      </c>
      <c r="C73" s="1828"/>
      <c r="D73" s="1828"/>
      <c r="E73" s="1245">
        <f>'Proposed Lighting'!AA73</f>
        <v>0</v>
      </c>
      <c r="F73" s="1245">
        <f t="shared" si="0"/>
        <v>0</v>
      </c>
      <c r="G73" s="1830" t="str">
        <f>IF('Proposed Lighting'!T73="","",IF(ISNUMBER(SEARCH("Networked",'Proposed Lighting'!T73)),0,IF(ISNUMBER(SEARCH("Strategies",'Proposed Lighting'!T73)),0,IF(ISNUMBER(SEARCH("Removal",'Proposed Lighting'!T73)),0,'Proposed Lighting'!T73))))</f>
        <v/>
      </c>
      <c r="H73" s="1830"/>
      <c r="I73" s="1830"/>
      <c r="J73" s="1830"/>
      <c r="K73" s="1215"/>
      <c r="L73" s="1246">
        <f t="shared" si="1"/>
        <v>0</v>
      </c>
      <c r="M73" s="1224">
        <f t="shared" si="2"/>
        <v>0</v>
      </c>
      <c r="N73" s="1224">
        <f t="shared" si="3"/>
        <v>0</v>
      </c>
      <c r="O73" s="1825" t="str">
        <f>IF(G73=0,0,IF(ISNA('Proposed Lighting'!AT73),0,'Proposed Lighting'!AT73))</f>
        <v/>
      </c>
      <c r="P73" s="1825"/>
      <c r="Q73" s="1247"/>
      <c r="R73" s="1247"/>
      <c r="S73" s="1247"/>
      <c r="T73" s="1211"/>
      <c r="U73" s="1235">
        <f>IF(K73&gt;0.01,'Proposed Lighting'!CU73,0)</f>
        <v>0</v>
      </c>
      <c r="V73" s="1248">
        <f>IF('Proposed Lighting'!CF73=1,0,IF('Proposed Lighting'!AU73=2,0,IF(AND('Proposed Lighting'!AU73=3,'Proposed Lighting'!CF73=0),1,0)))</f>
        <v>0</v>
      </c>
      <c r="W73" s="1836"/>
      <c r="X73" s="1836"/>
      <c r="Y73" s="1836"/>
      <c r="Z73" s="1230" t="str">
        <f t="shared" ref="Z73:Z136" si="13">IF(Q73="","",VLOOKUP(Q73,$AW$9:$AX$15,2,FALSE))</f>
        <v/>
      </c>
      <c r="AA73" s="1230">
        <f t="shared" ref="AA73:AA136" si="14">IF(T73=0,0,IF(Q73=0,0,IF(G73=0,0,SUM(K73*O73)/T73)))</f>
        <v>0</v>
      </c>
      <c r="AB73" s="1230">
        <f>IF(Q73=0,0,IF(T73=0,0,IF(AA73=0,0,IF(AND(F73=3,V73=0),0,IF(T73=0,0,IF(K73&gt;'Proposed Lighting'!AA73,0,IF('Proposed Lighting'!EJ73&gt;0.01,(K73*O73)*'Proposed Lighting'!EJ73/1000,(K73*O73)*U73/1000)))))))</f>
        <v>0</v>
      </c>
      <c r="AC73" s="1230" t="str">
        <f t="shared" si="6"/>
        <v/>
      </c>
      <c r="AD73" s="1230">
        <f t="shared" ref="AD73:AD136" si="15">IF(K73=0,0,IF(T73=0,0,IF(V73=1,75,IF(V73=0,VLOOKUP(Q73,$BA$9:$BB$15,2,FALSE)))))</f>
        <v>0</v>
      </c>
      <c r="AE73" s="1230">
        <f>IF(T73=0,0,IF(K73&gt;'Proposed Lighting'!AA73,0,IF(T73&gt;K73,0,IF(AND(AD73&gt;AA73,AA73&gt;0),0,IF(AND(F73&gt;1,W73&lt;0.01),0,IF('Proposed Lighting'!AU73&gt;'Lighting Controls'!F73,0,IF('Proposed Lighting'!AU73&lt;'Lighting Controls'!F73,0,IF(U73=0,0,Summary!AC376))))))))</f>
        <v>0</v>
      </c>
      <c r="AF73" s="1230">
        <f>IF(T73=0,0,IF(AE73=0,0,IF(K73&gt;'Proposed Lighting'!AA73,0,IF(AND(AD73&gt;AA73,AA73&gt;0),0,IF(U73=0,0,Summary!AD376)))))</f>
        <v>0</v>
      </c>
      <c r="AG73" s="1834">
        <f>IF('Proposed Lighting'!AU73=1,0,IF('Proposed Lighting'!CF73=1,0,T73*W73))</f>
        <v>0</v>
      </c>
      <c r="AH73" s="1834"/>
      <c r="AI73" s="1834"/>
      <c r="AJ73" s="1835">
        <f>IF(T73&lt;1,0,IF(K73&gt;'Proposed Lighting'!AA73,0,IF('Proposed Lighting'!CF73=1,0,IF('Proposed Lighting'!AU73=1,0,IF(T73&gt;K73,0,IF(AND(AD73&gt;AA73,AA73&gt;0),0,IF(AND(F73=2,'Proposed Lighting'!AU73=3),0,IF(AND(F73=3,'Proposed Lighting'!AU73=2),0,IF('Proposed Lighting'!CH73=100,0,IF(AND(F73&lt;3,V73=1,AM73=0),0,IF(AND(F73&gt;1,AF73&lt;1,AN73&lt;1),0,IF(AND(F73&gt;1,AE73&lt;0.69,AF73&lt;1,AN73&lt;1),0,IF(ISERROR(AB73-AC73),"",AB73-AC73)))))))))))))</f>
        <v>0</v>
      </c>
      <c r="AK73" s="1835"/>
      <c r="AL73" s="1835"/>
      <c r="AM73" s="1216">
        <f>IF(Q73=0,0,IF(T73=0,0,IF(T73&gt;K73,0,IF(AND(AS73&gt;0.01,BK73=0),0,IF(AND('Proposed Lighting'!DG73=0,'Lighting Controls'!Z73=0.35),0,IF(AND(T73&lt;=K73,AA73&gt;=AD73,'Proposed Lighting'!AU73=2),VLOOKUP(Q73,$AY$9:$AZ$15,2,FALSE),IF(AND(T73&lt;=K73,AA73&gt;=AD73,'Proposed Lighting'!AU73=3),VLOOKUP(Q73,$AY$17:$AZ$23,2,FALSE))))))))</f>
        <v>0</v>
      </c>
      <c r="AN73" s="1248">
        <f>IF(T73=0,0,IF(K73&gt;'Proposed Lighting'!AA73,0,IF(AE73=0,0,IF(AND(AD73&gt;AA73,AA73&gt;0),0,IF(U73=0,0,Summary!AE376)))))</f>
        <v>0</v>
      </c>
      <c r="AO73" s="1248">
        <f t="shared" si="11"/>
        <v>0</v>
      </c>
      <c r="AP73" s="1249">
        <f>IF('Proposed Lighting'!AU73=1,0,IF(K73=0,0,IF(T73&gt;K73,0,IF(G73=0,0,IF(K73&gt;'Proposed Lighting'!AA73,0,IF(AND(AD73&gt;AA73,AA73&gt;0),0,IF(AND('Proposed Lighting'!AU73=3,AM73=0.5),0,IF(AND(AM73&gt;0,AS73&gt;0,BI73&lt;2),0,IF('Proposed Lighting'!CH73=100,0,IF(AV73=1,0,IF(AND(AM73=35,M73+N73&lt;2),0,AM73)))))))))))</f>
        <v>0</v>
      </c>
      <c r="AQ73" s="1249" t="str">
        <f>IFERROR(ROUND(IF(Q73="","",IF('Proposed Lighting'!$X$4=0,0,IF(AND(AM73=35,M73+N73&lt;2),0,IF(T73&gt;K73,0,IF('Proposed Lighting'!AU73=1,0,IF(AJ73=0,0,IF(AND('Proposed Lighting'!AU73=3,AM73=0.5),0,IF(AND(AD73=75,AP73=0,AV73=0),0,IF(AP73&gt;0.01,AP73*T73,IF(AND(F73&gt;1,W73&lt;0.01),0,IF(AND(F73&gt;1,AO73=0),0,IF(AND('Proposed Lighting'!BC73=22,AV73=0),0,IF(AND(AM73&gt;0,AS73&gt;0,BI73&lt;2),0,IF(AND(AS73&gt;0.01,BK73=0),0,IF(AND(AO73=TRUE,AV73=1,F73=3),MIN(AJ73*0.08,L73),IF(AP73&gt;0.01,AP73*T73,IF(AND(AO73=TRUE,AV73=1,F73=2),MIN(AJ73*0.1,L73)))))))))))))))))),2),"")</f>
        <v/>
      </c>
      <c r="AR73" s="1250">
        <f>IF(Q73=0,0,IF('Proposed Lighting'!$X$4=0,0,IF(AND(AM73&gt;0.01,AQ73&gt;0.01),0,IF('Proposed Lighting'!AU73=1,"Missing Interior or Exterior Selection",IF('Proposed Lighting'!CF73=1,"Selection does not match",IF(K73&gt;'Proposed Lighting'!AA73,"Quantity controlled does not match proposed lighting quantity",IF(T73&gt;K73,"Quantity of sensors exceeds proposed lighting quantity",IF(AND(F73&gt;1,'Proposed Lighting'!AU73&lt;&gt;F73),"Selection does not match",IF(AND(AD73&gt;AA73,AA73&gt;0),"Does not meet minimum connected load",IF(AND(O73&gt;0,AS73&gt;0,BK73&gt;0,'Proposed Lighting'!CH73=0),"Select Control Strategies",IF(AND(AC73&gt;0.1,AJ73=0,AQ73=0),"Does not meet incentive criteria",0)))))))))))</f>
        <v>0</v>
      </c>
      <c r="AS73" s="1224">
        <f>IF('Proposed Lighting'!CH73=100,0,IF(ISNUMBER(SEARCH("multiple",Q73)),1,0))</f>
        <v>0</v>
      </c>
      <c r="AT73" s="451">
        <f t="shared" si="8"/>
        <v>0</v>
      </c>
      <c r="AU73" s="451">
        <f t="shared" si="9"/>
        <v>0</v>
      </c>
      <c r="AV73" s="1222">
        <f>IF(ISNUMBER(SEARCH("Networked",'Proposed Lighting'!T73)),0,IF(ISNUMBER(SEARCH("Strategies",'Proposed Lighting'!T73)),0,IF(ISNUMBER(SEARCH("Removal",'Proposed Lighting'!T73)),0,IF(ISNUMBER(SEARCH("non-standard",Q73)),1,0))))</f>
        <v>0</v>
      </c>
      <c r="AW73" s="451">
        <f t="shared" si="12"/>
        <v>0</v>
      </c>
      <c r="AX73" s="451"/>
      <c r="AY73" s="451"/>
      <c r="AZ73" s="451"/>
      <c r="BA73" s="451"/>
      <c r="BB73" s="451"/>
      <c r="BC73" s="1215"/>
      <c r="BD73" s="1215"/>
      <c r="BE73" s="1215"/>
      <c r="BF73" s="1215"/>
      <c r="BG73" s="1215"/>
      <c r="BH73" s="1215"/>
      <c r="BI73">
        <f>IF(AND(AS73=1,BC73="No",BD73="Yes",BE73="Yes",BF73="No",BH73="No"),0,IF(AND('Proposed Lighting'!AU73=2,AS73=1,BC73="Yes",BD73="Yes"),2,IF(AND('Proposed Lighting'!AU73=2,AS73=1,BC73="Yes",BE73="Yes"),2,IF(AND('Proposed Lighting'!AU73=2,AS73=1,BC73="Yes",BF73="Yes"),2,IF(AND('Proposed Lighting'!AU73=2,AS73=1,BC73="Yes",BH73="Yes"),2,IF(AND('Proposed Lighting'!AU73=2,AS73=1,BD73="Yes",BF73="Yes"),2,IF(AND('Proposed Lighting'!AU73=2,AS73=1,BD73="Yes",BH73="Yes"),2,IF(AND('Proposed Lighting'!AU73=3,AS73=1,BC73="Yes",BE73="Yes"),2,IF(AND('Proposed Lighting'!AU73=3,AS73=1,BC73="Yes",BF73="Yes"),2,0)))))))))</f>
        <v>0</v>
      </c>
      <c r="BJ73" s="1025">
        <f t="shared" si="10"/>
        <v>0</v>
      </c>
      <c r="BK73">
        <f>IF(AND('Proposed Lighting'!BC73=22,'Lighting Controls'!N73=1),0,IF(ISNUMBER(SEARCH("LED",G73)),1,0))</f>
        <v>0</v>
      </c>
    </row>
    <row r="74" spans="1:63" ht="34.5" customHeight="1">
      <c r="A74" s="917">
        <v>66</v>
      </c>
      <c r="B74" s="1828" t="str">
        <f>IF('Proposed Lighting'!B74="","",'Proposed Lighting'!B74)</f>
        <v/>
      </c>
      <c r="C74" s="1828"/>
      <c r="D74" s="1828"/>
      <c r="E74" s="1245">
        <f>'Proposed Lighting'!AA74</f>
        <v>0</v>
      </c>
      <c r="F74" s="1245">
        <f t="shared" ref="F74:F137" si="16">IF(ISNUMBER(SEARCH("photocell",Q74)),1,IF(ISNUMBER(SEARCH("EXTERIOR",Q74)),3,IF(ISNUMBER(SEARCH("INTERIOR",Q74)),2,0)))</f>
        <v>0</v>
      </c>
      <c r="G74" s="1830" t="str">
        <f>IF('Proposed Lighting'!T74="","",IF(ISNUMBER(SEARCH("Networked",'Proposed Lighting'!T74)),0,IF(ISNUMBER(SEARCH("Strategies",'Proposed Lighting'!T74)),0,IF(ISNUMBER(SEARCH("Removal",'Proposed Lighting'!T74)),0,'Proposed Lighting'!T74))))</f>
        <v/>
      </c>
      <c r="H74" s="1830"/>
      <c r="I74" s="1830"/>
      <c r="J74" s="1830"/>
      <c r="K74" s="1215"/>
      <c r="L74" s="1246">
        <f t="shared" ref="L74:L137" si="17">AG74*0.7</f>
        <v>0</v>
      </c>
      <c r="M74" s="1224">
        <f t="shared" ref="M74:M137" si="18">IF(ISNUMBER(SEARCH("LED",G74)),1,0)</f>
        <v>0</v>
      </c>
      <c r="N74" s="1224">
        <f t="shared" ref="N74:N137" si="19">IF(ISNUMBER(SEARCH("LED",Q74)),1,0)</f>
        <v>0</v>
      </c>
      <c r="O74" s="1825" t="str">
        <f>IF(G74=0,0,IF(ISNA('Proposed Lighting'!AT74),0,'Proposed Lighting'!AT74))</f>
        <v/>
      </c>
      <c r="P74" s="1825"/>
      <c r="Q74" s="1247"/>
      <c r="R74" s="1247"/>
      <c r="S74" s="1247"/>
      <c r="T74" s="1211"/>
      <c r="U74" s="1235">
        <f>IF(K74&gt;0.01,'Proposed Lighting'!CU74,0)</f>
        <v>0</v>
      </c>
      <c r="V74" s="1248">
        <f>IF('Proposed Lighting'!CF74=1,0,IF('Proposed Lighting'!AU74=2,0,IF(AND('Proposed Lighting'!AU74=3,'Proposed Lighting'!CF74=0),1,0)))</f>
        <v>0</v>
      </c>
      <c r="W74" s="1836"/>
      <c r="X74" s="1836"/>
      <c r="Y74" s="1836"/>
      <c r="Z74" s="1230" t="str">
        <f t="shared" si="13"/>
        <v/>
      </c>
      <c r="AA74" s="1230">
        <f t="shared" si="14"/>
        <v>0</v>
      </c>
      <c r="AB74" s="1230">
        <f>IF(Q74=0,0,IF(T74=0,0,IF(AA74=0,0,IF(AND(F74=3,V74=0),0,IF(T74=0,0,IF(K74&gt;'Proposed Lighting'!AA74,0,IF('Proposed Lighting'!EJ74&gt;0.01,(K74*O74)*'Proposed Lighting'!EJ74/1000,(K74*O74)*U74/1000)))))))</f>
        <v>0</v>
      </c>
      <c r="AC74" s="1230" t="str">
        <f t="shared" ref="AC74:AC137" si="20">IF(Q74="","",K74*O74*(U74*(1-Z74)/1000))</f>
        <v/>
      </c>
      <c r="AD74" s="1230">
        <f t="shared" si="15"/>
        <v>0</v>
      </c>
      <c r="AE74" s="1230">
        <f>IF(T74=0,0,IF(K74&gt;'Proposed Lighting'!AA74,0,IF(T74&gt;K74,0,IF(AND(AD74&gt;AA74,AA74&gt;0),0,IF(AND(F74&gt;1,W74&lt;0.01),0,IF('Proposed Lighting'!AU74&gt;'Lighting Controls'!F74,0,IF('Proposed Lighting'!AU74&lt;'Lighting Controls'!F74,0,IF(U74=0,0,Summary!AC377))))))))</f>
        <v>0</v>
      </c>
      <c r="AF74" s="1230">
        <f>IF(T74=0,0,IF(AE74=0,0,IF(K74&gt;'Proposed Lighting'!AA74,0,IF(AND(AD74&gt;AA74,AA74&gt;0),0,IF(U74=0,0,Summary!AD377)))))</f>
        <v>0</v>
      </c>
      <c r="AG74" s="1834">
        <f>IF('Proposed Lighting'!AU74=1,0,IF('Proposed Lighting'!CF74=1,0,T74*W74))</f>
        <v>0</v>
      </c>
      <c r="AH74" s="1834"/>
      <c r="AI74" s="1834"/>
      <c r="AJ74" s="1835">
        <f>IF(T74&lt;1,0,IF(K74&gt;'Proposed Lighting'!AA74,0,IF('Proposed Lighting'!CF74=1,0,IF('Proposed Lighting'!AU74=1,0,IF(T74&gt;K74,0,IF(AND(AD74&gt;AA74,AA74&gt;0),0,IF(AND(F74=2,'Proposed Lighting'!AU74=3),0,IF(AND(F74=3,'Proposed Lighting'!AU74=2),0,IF('Proposed Lighting'!CH74=100,0,IF(AND(F74&lt;3,V74=1,AM74=0),0,IF(AND(F74&gt;1,AF74&lt;1,AN74&lt;1),0,IF(AND(F74&gt;1,AE74&lt;0.69,AF74&lt;1,AN74&lt;1),0,IF(ISERROR(AB74-AC74),"",AB74-AC74)))))))))))))</f>
        <v>0</v>
      </c>
      <c r="AK74" s="1835"/>
      <c r="AL74" s="1835"/>
      <c r="AM74" s="1216">
        <f>IF(Q74=0,0,IF(T74=0,0,IF(T74&gt;K74,0,IF(AND(AS74&gt;0.01,BK74=0),0,IF(AND('Proposed Lighting'!DG74=0,'Lighting Controls'!Z74=0.35),0,IF(AND(T74&lt;=K74,AA74&gt;=AD74,'Proposed Lighting'!AU74=2),VLOOKUP(Q74,$AY$9:$AZ$15,2,FALSE),IF(AND(T74&lt;=K74,AA74&gt;=AD74,'Proposed Lighting'!AU74=3),VLOOKUP(Q74,$AY$17:$AZ$23,2,FALSE))))))))</f>
        <v>0</v>
      </c>
      <c r="AN74" s="1248">
        <f>IF(T74=0,0,IF(K74&gt;'Proposed Lighting'!AA74,0,IF(AE74=0,0,IF(AND(AD74&gt;AA74,AA74&gt;0),0,IF(U74=0,0,Summary!AE377)))))</f>
        <v>0</v>
      </c>
      <c r="AO74" s="1248">
        <f t="shared" si="11"/>
        <v>0</v>
      </c>
      <c r="AP74" s="1249">
        <f>IF('Proposed Lighting'!AU74=1,0,IF(K74=0,0,IF(T74&gt;K74,0,IF(G74=0,0,IF(K74&gt;'Proposed Lighting'!AA74,0,IF(AND(AD74&gt;AA74,AA74&gt;0),0,IF(AND('Proposed Lighting'!AU74=3,AM74=0.5),0,IF(AND(AM74&gt;0,AS74&gt;0,BI74&lt;2),0,IF('Proposed Lighting'!CH74=100,0,IF(AV74=1,0,IF(AND(AM74=35,M74+N74&lt;2),0,AM74)))))))))))</f>
        <v>0</v>
      </c>
      <c r="AQ74" s="1249" t="str">
        <f>IFERROR(ROUND(IF(Q74="","",IF('Proposed Lighting'!$X$4=0,0,IF(AND(AM74=35,M74+N74&lt;2),0,IF(T74&gt;K74,0,IF('Proposed Lighting'!AU74=1,0,IF(AJ74=0,0,IF(AND('Proposed Lighting'!AU74=3,AM74=0.5),0,IF(AND(AD74=75,AP74=0,AV74=0),0,IF(AP74&gt;0.01,AP74*T74,IF(AND(F74&gt;1,W74&lt;0.01),0,IF(AND(F74&gt;1,AO74=0),0,IF(AND('Proposed Lighting'!BC74=22,AV74=0),0,IF(AND(AM74&gt;0,AS74&gt;0,BI74&lt;2),0,IF(AND(AS74&gt;0.01,BK74=0),0,IF(AND(AO74=TRUE,AV74=1,F74=3),MIN(AJ74*0.08,L74),IF(AP74&gt;0.01,AP74*T74,IF(AND(AO74=TRUE,AV74=1,F74=2),MIN(AJ74*0.1,L74)))))))))))))))))),2),"")</f>
        <v/>
      </c>
      <c r="AR74" s="1250">
        <f>IF(Q74=0,0,IF('Proposed Lighting'!$X$4=0,0,IF(AND(AM74&gt;0.01,AQ74&gt;0.01),0,IF('Proposed Lighting'!AU74=1,"Missing Interior or Exterior Selection",IF('Proposed Lighting'!CF74=1,"Selection does not match",IF(K74&gt;'Proposed Lighting'!AA74,"Quantity controlled does not match proposed lighting quantity",IF(T74&gt;K74,"Quantity of sensors exceeds proposed lighting quantity",IF(AND(F74&gt;1,'Proposed Lighting'!AU74&lt;&gt;F74),"Selection does not match",IF(AND(AD74&gt;AA74,AA74&gt;0),"Does not meet minimum connected load",IF(AND(O74&gt;0,AS74&gt;0,BK74&gt;0,'Proposed Lighting'!CH74=0),"Select Control Strategies",IF(AND(AC74&gt;0.1,AJ74=0,AQ74=0),"Does not meet incentive criteria",0)))))))))))</f>
        <v>0</v>
      </c>
      <c r="AS74" s="1224">
        <f>IF('Proposed Lighting'!CH74=100,0,IF(ISNUMBER(SEARCH("multiple",Q74)),1,0))</f>
        <v>0</v>
      </c>
      <c r="AT74" s="451">
        <f t="shared" ref="AT74:AT137" si="21">IF(AQ74&gt;0.01,T74,0)</f>
        <v>0</v>
      </c>
      <c r="AU74" s="451">
        <f t="shared" ref="AU74:AU137" si="22">IF(AP74&gt;0.01,T74,0)</f>
        <v>0</v>
      </c>
      <c r="AV74" s="1222">
        <f>IF(ISNUMBER(SEARCH("Networked",'Proposed Lighting'!T74)),0,IF(ISNUMBER(SEARCH("Strategies",'Proposed Lighting'!T74)),0,IF(ISNUMBER(SEARCH("Removal",'Proposed Lighting'!T74)),0,IF(ISNUMBER(SEARCH("non-standard",Q74)),1,0))))</f>
        <v>0</v>
      </c>
      <c r="AW74" s="451">
        <f t="shared" si="12"/>
        <v>0</v>
      </c>
      <c r="AX74" s="451"/>
      <c r="AY74" s="451"/>
      <c r="AZ74" s="451"/>
      <c r="BA74" s="451"/>
      <c r="BB74" s="451"/>
      <c r="BC74" s="1215"/>
      <c r="BD74" s="1215"/>
      <c r="BE74" s="1215"/>
      <c r="BF74" s="1215"/>
      <c r="BG74" s="1215"/>
      <c r="BH74" s="1215"/>
      <c r="BI74">
        <f>IF(AND(AS74=1,BC74="No",BD74="Yes",BE74="Yes",BF74="No",BH74="No"),0,IF(AND('Proposed Lighting'!AU74=2,AS74=1,BC74="Yes",BD74="Yes"),2,IF(AND('Proposed Lighting'!AU74=2,AS74=1,BC74="Yes",BE74="Yes"),2,IF(AND('Proposed Lighting'!AU74=2,AS74=1,BC74="Yes",BF74="Yes"),2,IF(AND('Proposed Lighting'!AU74=2,AS74=1,BC74="Yes",BH74="Yes"),2,IF(AND('Proposed Lighting'!AU74=2,AS74=1,BD74="Yes",BF74="Yes"),2,IF(AND('Proposed Lighting'!AU74=2,AS74=1,BD74="Yes",BH74="Yes"),2,IF(AND('Proposed Lighting'!AU74=3,AS74=1,BC74="Yes",BE74="Yes"),2,IF(AND('Proposed Lighting'!AU74=3,AS74=1,BC74="Yes",BF74="Yes"),2,0)))))))))</f>
        <v>0</v>
      </c>
      <c r="BJ74" s="1025">
        <f t="shared" ref="BJ74:BJ137" si="23">IF(AND(AS74=1,BK74=0),0,IF(AND(AS74&gt;0,BI74&lt;2),"Does not meet minimum controls",0))</f>
        <v>0</v>
      </c>
      <c r="BK74">
        <f>IF(AND('Proposed Lighting'!BC74=22,'Lighting Controls'!N74=1),0,IF(ISNUMBER(SEARCH("LED",G74)),1,0))</f>
        <v>0</v>
      </c>
    </row>
    <row r="75" spans="1:63" ht="34.5" customHeight="1">
      <c r="A75" s="917">
        <v>67</v>
      </c>
      <c r="B75" s="1828" t="str">
        <f>IF('Proposed Lighting'!B75="","",'Proposed Lighting'!B75)</f>
        <v/>
      </c>
      <c r="C75" s="1828"/>
      <c r="D75" s="1828"/>
      <c r="E75" s="1245">
        <f>'Proposed Lighting'!AA75</f>
        <v>0</v>
      </c>
      <c r="F75" s="1245">
        <f t="shared" si="16"/>
        <v>0</v>
      </c>
      <c r="G75" s="1830" t="str">
        <f>IF('Proposed Lighting'!T75="","",IF(ISNUMBER(SEARCH("Networked",'Proposed Lighting'!T75)),0,IF(ISNUMBER(SEARCH("Strategies",'Proposed Lighting'!T75)),0,IF(ISNUMBER(SEARCH("Removal",'Proposed Lighting'!T75)),0,'Proposed Lighting'!T75))))</f>
        <v/>
      </c>
      <c r="H75" s="1830"/>
      <c r="I75" s="1830"/>
      <c r="J75" s="1830"/>
      <c r="K75" s="1215"/>
      <c r="L75" s="1246">
        <f t="shared" si="17"/>
        <v>0</v>
      </c>
      <c r="M75" s="1224">
        <f t="shared" si="18"/>
        <v>0</v>
      </c>
      <c r="N75" s="1224">
        <f t="shared" si="19"/>
        <v>0</v>
      </c>
      <c r="O75" s="1825" t="str">
        <f>IF(G75=0,0,IF(ISNA('Proposed Lighting'!AT75),0,'Proposed Lighting'!AT75))</f>
        <v/>
      </c>
      <c r="P75" s="1825"/>
      <c r="Q75" s="1247"/>
      <c r="R75" s="1247"/>
      <c r="S75" s="1247"/>
      <c r="T75" s="1211"/>
      <c r="U75" s="1235">
        <f>IF(K75&gt;0.01,'Proposed Lighting'!CU75,0)</f>
        <v>0</v>
      </c>
      <c r="V75" s="1248">
        <f>IF('Proposed Lighting'!CF75=1,0,IF('Proposed Lighting'!AU75=2,0,IF(AND('Proposed Lighting'!AU75=3,'Proposed Lighting'!CF75=0),1,0)))</f>
        <v>0</v>
      </c>
      <c r="W75" s="1836"/>
      <c r="X75" s="1836"/>
      <c r="Y75" s="1836"/>
      <c r="Z75" s="1230" t="str">
        <f t="shared" si="13"/>
        <v/>
      </c>
      <c r="AA75" s="1230">
        <f t="shared" si="14"/>
        <v>0</v>
      </c>
      <c r="AB75" s="1230">
        <f>IF(Q75=0,0,IF(T75=0,0,IF(AA75=0,0,IF(AND(F75=3,V75=0),0,IF(T75=0,0,IF(K75&gt;'Proposed Lighting'!AA75,0,IF('Proposed Lighting'!EJ75&gt;0.01,(K75*O75)*'Proposed Lighting'!EJ75/1000,(K75*O75)*U75/1000)))))))</f>
        <v>0</v>
      </c>
      <c r="AC75" s="1230" t="str">
        <f t="shared" si="20"/>
        <v/>
      </c>
      <c r="AD75" s="1230">
        <f t="shared" si="15"/>
        <v>0</v>
      </c>
      <c r="AE75" s="1230">
        <f>IF(T75=0,0,IF(K75&gt;'Proposed Lighting'!AA75,0,IF(T75&gt;K75,0,IF(AND(AD75&gt;AA75,AA75&gt;0),0,IF(AND(F75&gt;1,W75&lt;0.01),0,IF('Proposed Lighting'!AU75&gt;'Lighting Controls'!F75,0,IF('Proposed Lighting'!AU75&lt;'Lighting Controls'!F75,0,IF(U75=0,0,Summary!AC378))))))))</f>
        <v>0</v>
      </c>
      <c r="AF75" s="1230">
        <f>IF(T75=0,0,IF(AE75=0,0,IF(K75&gt;'Proposed Lighting'!AA75,0,IF(AND(AD75&gt;AA75,AA75&gt;0),0,IF(U75=0,0,Summary!AD378)))))</f>
        <v>0</v>
      </c>
      <c r="AG75" s="1834">
        <f>IF('Proposed Lighting'!AU75=1,0,IF('Proposed Lighting'!CF75=1,0,T75*W75))</f>
        <v>0</v>
      </c>
      <c r="AH75" s="1834"/>
      <c r="AI75" s="1834"/>
      <c r="AJ75" s="1835">
        <f>IF(T75&lt;1,0,IF(K75&gt;'Proposed Lighting'!AA75,0,IF('Proposed Lighting'!CF75=1,0,IF('Proposed Lighting'!AU75=1,0,IF(T75&gt;K75,0,IF(AND(AD75&gt;AA75,AA75&gt;0),0,IF(AND(F75=2,'Proposed Lighting'!AU75=3),0,IF(AND(F75=3,'Proposed Lighting'!AU75=2),0,IF('Proposed Lighting'!CH75=100,0,IF(AND(F75&lt;3,V75=1,AM75=0),0,IF(AND(F75&gt;1,AF75&lt;1,AN75&lt;1),0,IF(AND(F75&gt;1,AE75&lt;0.69,AF75&lt;1,AN75&lt;1),0,IF(ISERROR(AB75-AC75),"",AB75-AC75)))))))))))))</f>
        <v>0</v>
      </c>
      <c r="AK75" s="1835"/>
      <c r="AL75" s="1835"/>
      <c r="AM75" s="1216">
        <f>IF(Q75=0,0,IF(T75=0,0,IF(T75&gt;K75,0,IF(AND(AS75&gt;0.01,BK75=0),0,IF(AND('Proposed Lighting'!DG75=0,'Lighting Controls'!Z75=0.35),0,IF(AND(T75&lt;=K75,AA75&gt;=AD75,'Proposed Lighting'!AU75=2),VLOOKUP(Q75,$AY$9:$AZ$15,2,FALSE),IF(AND(T75&lt;=K75,AA75&gt;=AD75,'Proposed Lighting'!AU75=3),VLOOKUP(Q75,$AY$17:$AZ$23,2,FALSE))))))))</f>
        <v>0</v>
      </c>
      <c r="AN75" s="1248">
        <f>IF(T75=0,0,IF(K75&gt;'Proposed Lighting'!AA75,0,IF(AE75=0,0,IF(AND(AD75&gt;AA75,AA75&gt;0),0,IF(U75=0,0,Summary!AE378)))))</f>
        <v>0</v>
      </c>
      <c r="AO75" s="1248">
        <f t="shared" ref="AO75:AO138" si="24">IF((AND(AE75&gt;0.69,AF75&gt;=1,AN75&gt;=1)),TRUE,0)</f>
        <v>0</v>
      </c>
      <c r="AP75" s="1249">
        <f>IF('Proposed Lighting'!AU75=1,0,IF(K75=0,0,IF(T75&gt;K75,0,IF(G75=0,0,IF(K75&gt;'Proposed Lighting'!AA75,0,IF(AND(AD75&gt;AA75,AA75&gt;0),0,IF(AND('Proposed Lighting'!AU75=3,AM75=0.5),0,IF(AND(AM75&gt;0,AS75&gt;0,BI75&lt;2),0,IF('Proposed Lighting'!CH75=100,0,IF(AV75=1,0,IF(AND(AM75=35,M75+N75&lt;2),0,AM75)))))))))))</f>
        <v>0</v>
      </c>
      <c r="AQ75" s="1249" t="str">
        <f>IFERROR(ROUND(IF(Q75="","",IF('Proposed Lighting'!$X$4=0,0,IF(AND(AM75=35,M75+N75&lt;2),0,IF(T75&gt;K75,0,IF('Proposed Lighting'!AU75=1,0,IF(AJ75=0,0,IF(AND('Proposed Lighting'!AU75=3,AM75=0.5),0,IF(AND(AD75=75,AP75=0,AV75=0),0,IF(AP75&gt;0.01,AP75*T75,IF(AND(F75&gt;1,W75&lt;0.01),0,IF(AND(F75&gt;1,AO75=0),0,IF(AND('Proposed Lighting'!BC75=22,AV75=0),0,IF(AND(AM75&gt;0,AS75&gt;0,BI75&lt;2),0,IF(AND(AS75&gt;0.01,BK75=0),0,IF(AND(AO75=TRUE,AV75=1,F75=3),MIN(AJ75*0.08,L75),IF(AP75&gt;0.01,AP75*T75,IF(AND(AO75=TRUE,AV75=1,F75=2),MIN(AJ75*0.1,L75)))))))))))))))))),2),"")</f>
        <v/>
      </c>
      <c r="AR75" s="1250">
        <f>IF(Q75=0,0,IF('Proposed Lighting'!$X$4=0,0,IF(AND(AM75&gt;0.01,AQ75&gt;0.01),0,IF('Proposed Lighting'!AU75=1,"Missing Interior or Exterior Selection",IF('Proposed Lighting'!CF75=1,"Selection does not match",IF(K75&gt;'Proposed Lighting'!AA75,"Quantity controlled does not match proposed lighting quantity",IF(T75&gt;K75,"Quantity of sensors exceeds proposed lighting quantity",IF(AND(F75&gt;1,'Proposed Lighting'!AU75&lt;&gt;F75),"Selection does not match",IF(AND(AD75&gt;AA75,AA75&gt;0),"Does not meet minimum connected load",IF(AND(O75&gt;0,AS75&gt;0,BK75&gt;0,'Proposed Lighting'!CH75=0),"Select Control Strategies",IF(AND(AC75&gt;0.1,AJ75=0,AQ75=0),"Does not meet incentive criteria",0)))))))))))</f>
        <v>0</v>
      </c>
      <c r="AS75" s="1224">
        <f>IF('Proposed Lighting'!CH75=100,0,IF(ISNUMBER(SEARCH("multiple",Q75)),1,0))</f>
        <v>0</v>
      </c>
      <c r="AT75" s="451">
        <f t="shared" si="21"/>
        <v>0</v>
      </c>
      <c r="AU75" s="451">
        <f t="shared" si="22"/>
        <v>0</v>
      </c>
      <c r="AV75" s="1222">
        <f>IF(ISNUMBER(SEARCH("Networked",'Proposed Lighting'!T75)),0,IF(ISNUMBER(SEARCH("Strategies",'Proposed Lighting'!T75)),0,IF(ISNUMBER(SEARCH("Removal",'Proposed Lighting'!T75)),0,IF(ISNUMBER(SEARCH("non-standard",Q75)),1,0))))</f>
        <v>0</v>
      </c>
      <c r="AW75" s="451">
        <f t="shared" si="12"/>
        <v>0</v>
      </c>
      <c r="AX75" s="451"/>
      <c r="AY75" s="451"/>
      <c r="AZ75" s="451"/>
      <c r="BA75" s="451"/>
      <c r="BB75" s="451"/>
      <c r="BC75" s="1215"/>
      <c r="BD75" s="1215"/>
      <c r="BE75" s="1215"/>
      <c r="BF75" s="1215"/>
      <c r="BG75" s="1215"/>
      <c r="BH75" s="1215"/>
      <c r="BI75">
        <f>IF(AND(AS75=1,BC75="No",BD75="Yes",BE75="Yes",BF75="No",BH75="No"),0,IF(AND('Proposed Lighting'!AU75=2,AS75=1,BC75="Yes",BD75="Yes"),2,IF(AND('Proposed Lighting'!AU75=2,AS75=1,BC75="Yes",BE75="Yes"),2,IF(AND('Proposed Lighting'!AU75=2,AS75=1,BC75="Yes",BF75="Yes"),2,IF(AND('Proposed Lighting'!AU75=2,AS75=1,BC75="Yes",BH75="Yes"),2,IF(AND('Proposed Lighting'!AU75=2,AS75=1,BD75="Yes",BF75="Yes"),2,IF(AND('Proposed Lighting'!AU75=2,AS75=1,BD75="Yes",BH75="Yes"),2,IF(AND('Proposed Lighting'!AU75=3,AS75=1,BC75="Yes",BE75="Yes"),2,IF(AND('Proposed Lighting'!AU75=3,AS75=1,BC75="Yes",BF75="Yes"),2,0)))))))))</f>
        <v>0</v>
      </c>
      <c r="BJ75" s="1025">
        <f t="shared" si="23"/>
        <v>0</v>
      </c>
      <c r="BK75">
        <f>IF(AND('Proposed Lighting'!BC75=22,'Lighting Controls'!N75=1),0,IF(ISNUMBER(SEARCH("LED",G75)),1,0))</f>
        <v>0</v>
      </c>
    </row>
    <row r="76" spans="1:63" ht="34.5" customHeight="1">
      <c r="A76" s="917">
        <v>68</v>
      </c>
      <c r="B76" s="1828" t="str">
        <f>IF('Proposed Lighting'!B76="","",'Proposed Lighting'!B76)</f>
        <v/>
      </c>
      <c r="C76" s="1828"/>
      <c r="D76" s="1828"/>
      <c r="E76" s="1245">
        <f>'Proposed Lighting'!AA76</f>
        <v>0</v>
      </c>
      <c r="F76" s="1245">
        <f t="shared" si="16"/>
        <v>0</v>
      </c>
      <c r="G76" s="1830" t="str">
        <f>IF('Proposed Lighting'!T76="","",IF(ISNUMBER(SEARCH("Networked",'Proposed Lighting'!T76)),0,IF(ISNUMBER(SEARCH("Strategies",'Proposed Lighting'!T76)),0,IF(ISNUMBER(SEARCH("Removal",'Proposed Lighting'!T76)),0,'Proposed Lighting'!T76))))</f>
        <v/>
      </c>
      <c r="H76" s="1830"/>
      <c r="I76" s="1830"/>
      <c r="J76" s="1830"/>
      <c r="K76" s="1215"/>
      <c r="L76" s="1246">
        <f t="shared" si="17"/>
        <v>0</v>
      </c>
      <c r="M76" s="1224">
        <f t="shared" si="18"/>
        <v>0</v>
      </c>
      <c r="N76" s="1224">
        <f t="shared" si="19"/>
        <v>0</v>
      </c>
      <c r="O76" s="1825" t="str">
        <f>IF(G76=0,0,IF(ISNA('Proposed Lighting'!AT76),0,'Proposed Lighting'!AT76))</f>
        <v/>
      </c>
      <c r="P76" s="1825"/>
      <c r="Q76" s="1247"/>
      <c r="R76" s="1247"/>
      <c r="S76" s="1247"/>
      <c r="T76" s="1211"/>
      <c r="U76" s="1235">
        <f>IF(K76&gt;0.01,'Proposed Lighting'!CU76,0)</f>
        <v>0</v>
      </c>
      <c r="V76" s="1248">
        <f>IF('Proposed Lighting'!CF76=1,0,IF('Proposed Lighting'!AU76=2,0,IF(AND('Proposed Lighting'!AU76=3,'Proposed Lighting'!CF76=0),1,0)))</f>
        <v>0</v>
      </c>
      <c r="W76" s="1836"/>
      <c r="X76" s="1836"/>
      <c r="Y76" s="1836"/>
      <c r="Z76" s="1230" t="str">
        <f t="shared" si="13"/>
        <v/>
      </c>
      <c r="AA76" s="1230">
        <f t="shared" si="14"/>
        <v>0</v>
      </c>
      <c r="AB76" s="1230">
        <f>IF(Q76=0,0,IF(T76=0,0,IF(AA76=0,0,IF(AND(F76=3,V76=0),0,IF(T76=0,0,IF(K76&gt;'Proposed Lighting'!AA76,0,IF('Proposed Lighting'!EJ76&gt;0.01,(K76*O76)*'Proposed Lighting'!EJ76/1000,(K76*O76)*U76/1000)))))))</f>
        <v>0</v>
      </c>
      <c r="AC76" s="1230" t="str">
        <f t="shared" si="20"/>
        <v/>
      </c>
      <c r="AD76" s="1230">
        <f t="shared" si="15"/>
        <v>0</v>
      </c>
      <c r="AE76" s="1230">
        <f>IF(T76=0,0,IF(K76&gt;'Proposed Lighting'!AA76,0,IF(T76&gt;K76,0,IF(AND(AD76&gt;AA76,AA76&gt;0),0,IF(AND(F76&gt;1,W76&lt;0.01),0,IF('Proposed Lighting'!AU76&gt;'Lighting Controls'!F76,0,IF('Proposed Lighting'!AU76&lt;'Lighting Controls'!F76,0,IF(U76=0,0,Summary!AC379))))))))</f>
        <v>0</v>
      </c>
      <c r="AF76" s="1230">
        <f>IF(T76=0,0,IF(AE76=0,0,IF(K76&gt;'Proposed Lighting'!AA76,0,IF(AND(AD76&gt;AA76,AA76&gt;0),0,IF(U76=0,0,Summary!AD379)))))</f>
        <v>0</v>
      </c>
      <c r="AG76" s="1834">
        <f>IF('Proposed Lighting'!AU76=1,0,IF('Proposed Lighting'!CF76=1,0,T76*W76))</f>
        <v>0</v>
      </c>
      <c r="AH76" s="1834"/>
      <c r="AI76" s="1834"/>
      <c r="AJ76" s="1835">
        <f>IF(T76&lt;1,0,IF(K76&gt;'Proposed Lighting'!AA76,0,IF('Proposed Lighting'!CF76=1,0,IF('Proposed Lighting'!AU76=1,0,IF(T76&gt;K76,0,IF(AND(AD76&gt;AA76,AA76&gt;0),0,IF(AND(F76=2,'Proposed Lighting'!AU76=3),0,IF(AND(F76=3,'Proposed Lighting'!AU76=2),0,IF('Proposed Lighting'!CH76=100,0,IF(AND(F76&lt;3,V76=1,AM76=0),0,IF(AND(F76&gt;1,AF76&lt;1,AN76&lt;1),0,IF(AND(F76&gt;1,AE76&lt;0.69,AF76&lt;1,AN76&lt;1),0,IF(ISERROR(AB76-AC76),"",AB76-AC76)))))))))))))</f>
        <v>0</v>
      </c>
      <c r="AK76" s="1835"/>
      <c r="AL76" s="1835"/>
      <c r="AM76" s="1216">
        <f>IF(Q76=0,0,IF(T76=0,0,IF(T76&gt;K76,0,IF(AND(AS76&gt;0.01,BK76=0),0,IF(AND('Proposed Lighting'!DG76=0,'Lighting Controls'!Z76=0.35),0,IF(AND(T76&lt;=K76,AA76&gt;=AD76,'Proposed Lighting'!AU76=2),VLOOKUP(Q76,$AY$9:$AZ$15,2,FALSE),IF(AND(T76&lt;=K76,AA76&gt;=AD76,'Proposed Lighting'!AU76=3),VLOOKUP(Q76,$AY$17:$AZ$23,2,FALSE))))))))</f>
        <v>0</v>
      </c>
      <c r="AN76" s="1248">
        <f>IF(T76=0,0,IF(K76&gt;'Proposed Lighting'!AA76,0,IF(AE76=0,0,IF(AND(AD76&gt;AA76,AA76&gt;0),0,IF(U76=0,0,Summary!AE379)))))</f>
        <v>0</v>
      </c>
      <c r="AO76" s="1248">
        <f t="shared" si="24"/>
        <v>0</v>
      </c>
      <c r="AP76" s="1249">
        <f>IF('Proposed Lighting'!AU76=1,0,IF(K76=0,0,IF(T76&gt;K76,0,IF(G76=0,0,IF(K76&gt;'Proposed Lighting'!AA76,0,IF(AND(AD76&gt;AA76,AA76&gt;0),0,IF(AND('Proposed Lighting'!AU76=3,AM76=0.5),0,IF(AND(AM76&gt;0,AS76&gt;0,BI76&lt;2),0,IF('Proposed Lighting'!CH76=100,0,IF(AV76=1,0,IF(AND(AM76=35,M76+N76&lt;2),0,AM76)))))))))))</f>
        <v>0</v>
      </c>
      <c r="AQ76" s="1249" t="str">
        <f>IFERROR(ROUND(IF(Q76="","",IF('Proposed Lighting'!$X$4=0,0,IF(AND(AM76=35,M76+N76&lt;2),0,IF(T76&gt;K76,0,IF('Proposed Lighting'!AU76=1,0,IF(AJ76=0,0,IF(AND('Proposed Lighting'!AU76=3,AM76=0.5),0,IF(AND(AD76=75,AP76=0,AV76=0),0,IF(AP76&gt;0.01,AP76*T76,IF(AND(F76&gt;1,W76&lt;0.01),0,IF(AND(F76&gt;1,AO76=0),0,IF(AND('Proposed Lighting'!BC76=22,AV76=0),0,IF(AND(AM76&gt;0,AS76&gt;0,BI76&lt;2),0,IF(AND(AS76&gt;0.01,BK76=0),0,IF(AND(AO76=TRUE,AV76=1,F76=3),MIN(AJ76*0.08,L76),IF(AP76&gt;0.01,AP76*T76,IF(AND(AO76=TRUE,AV76=1,F76=2),MIN(AJ76*0.1,L76)))))))))))))))))),2),"")</f>
        <v/>
      </c>
      <c r="AR76" s="1250">
        <f>IF(Q76=0,0,IF('Proposed Lighting'!$X$4=0,0,IF(AND(AM76&gt;0.01,AQ76&gt;0.01),0,IF('Proposed Lighting'!AU76=1,"Missing Interior or Exterior Selection",IF('Proposed Lighting'!CF76=1,"Selection does not match",IF(K76&gt;'Proposed Lighting'!AA76,"Quantity controlled does not match proposed lighting quantity",IF(T76&gt;K76,"Quantity of sensors exceeds proposed lighting quantity",IF(AND(F76&gt;1,'Proposed Lighting'!AU76&lt;&gt;F76),"Selection does not match",IF(AND(AD76&gt;AA76,AA76&gt;0),"Does not meet minimum connected load",IF(AND(O76&gt;0,AS76&gt;0,BK76&gt;0,'Proposed Lighting'!CH76=0),"Select Control Strategies",IF(AND(AC76&gt;0.1,AJ76=0,AQ76=0),"Does not meet incentive criteria",0)))))))))))</f>
        <v>0</v>
      </c>
      <c r="AS76" s="1224">
        <f>IF('Proposed Lighting'!CH76=100,0,IF(ISNUMBER(SEARCH("multiple",Q76)),1,0))</f>
        <v>0</v>
      </c>
      <c r="AT76" s="451">
        <f t="shared" si="21"/>
        <v>0</v>
      </c>
      <c r="AU76" s="451">
        <f t="shared" si="22"/>
        <v>0</v>
      </c>
      <c r="AV76" s="1222">
        <f>IF(ISNUMBER(SEARCH("Networked",'Proposed Lighting'!T76)),0,IF(ISNUMBER(SEARCH("Strategies",'Proposed Lighting'!T76)),0,IF(ISNUMBER(SEARCH("Removal",'Proposed Lighting'!T76)),0,IF(ISNUMBER(SEARCH("non-standard",Q76)),1,0))))</f>
        <v>0</v>
      </c>
      <c r="AW76" s="451">
        <f t="shared" si="12"/>
        <v>0</v>
      </c>
      <c r="AX76" s="451"/>
      <c r="AY76" s="451"/>
      <c r="AZ76" s="451"/>
      <c r="BA76" s="451"/>
      <c r="BB76" s="451"/>
      <c r="BC76" s="1215"/>
      <c r="BD76" s="1215"/>
      <c r="BE76" s="1215"/>
      <c r="BF76" s="1215"/>
      <c r="BG76" s="1215"/>
      <c r="BH76" s="1215"/>
      <c r="BI76">
        <f>IF(AND(AS76=1,BC76="No",BD76="Yes",BE76="Yes",BF76="No",BH76="No"),0,IF(AND('Proposed Lighting'!AU76=2,AS76=1,BC76="Yes",BD76="Yes"),2,IF(AND('Proposed Lighting'!AU76=2,AS76=1,BC76="Yes",BE76="Yes"),2,IF(AND('Proposed Lighting'!AU76=2,AS76=1,BC76="Yes",BF76="Yes"),2,IF(AND('Proposed Lighting'!AU76=2,AS76=1,BC76="Yes",BH76="Yes"),2,IF(AND('Proposed Lighting'!AU76=2,AS76=1,BD76="Yes",BF76="Yes"),2,IF(AND('Proposed Lighting'!AU76=2,AS76=1,BD76="Yes",BH76="Yes"),2,IF(AND('Proposed Lighting'!AU76=3,AS76=1,BC76="Yes",BE76="Yes"),2,IF(AND('Proposed Lighting'!AU76=3,AS76=1,BC76="Yes",BF76="Yes"),2,0)))))))))</f>
        <v>0</v>
      </c>
      <c r="BJ76" s="1025">
        <f t="shared" si="23"/>
        <v>0</v>
      </c>
      <c r="BK76">
        <f>IF(AND('Proposed Lighting'!BC76=22,'Lighting Controls'!N76=1),0,IF(ISNUMBER(SEARCH("LED",G76)),1,0))</f>
        <v>0</v>
      </c>
    </row>
    <row r="77" spans="1:63" ht="34.5" customHeight="1">
      <c r="A77" s="917">
        <v>69</v>
      </c>
      <c r="B77" s="1828" t="str">
        <f>IF('Proposed Lighting'!B77="","",'Proposed Lighting'!B77)</f>
        <v/>
      </c>
      <c r="C77" s="1828"/>
      <c r="D77" s="1828"/>
      <c r="E77" s="1245">
        <f>'Proposed Lighting'!AA77</f>
        <v>0</v>
      </c>
      <c r="F77" s="1245">
        <f t="shared" si="16"/>
        <v>0</v>
      </c>
      <c r="G77" s="1830" t="str">
        <f>IF('Proposed Lighting'!T77="","",IF(ISNUMBER(SEARCH("Networked",'Proposed Lighting'!T77)),0,IF(ISNUMBER(SEARCH("Strategies",'Proposed Lighting'!T77)),0,IF(ISNUMBER(SEARCH("Removal",'Proposed Lighting'!T77)),0,'Proposed Lighting'!T77))))</f>
        <v/>
      </c>
      <c r="H77" s="1830"/>
      <c r="I77" s="1830"/>
      <c r="J77" s="1830"/>
      <c r="K77" s="1215"/>
      <c r="L77" s="1246">
        <f t="shared" si="17"/>
        <v>0</v>
      </c>
      <c r="M77" s="1224">
        <f t="shared" si="18"/>
        <v>0</v>
      </c>
      <c r="N77" s="1224">
        <f t="shared" si="19"/>
        <v>0</v>
      </c>
      <c r="O77" s="1825" t="str">
        <f>IF(G77=0,0,IF(ISNA('Proposed Lighting'!AT77),0,'Proposed Lighting'!AT77))</f>
        <v/>
      </c>
      <c r="P77" s="1825"/>
      <c r="Q77" s="1247"/>
      <c r="R77" s="1247"/>
      <c r="S77" s="1247"/>
      <c r="T77" s="1211"/>
      <c r="U77" s="1235">
        <f>IF(K77&gt;0.01,'Proposed Lighting'!CU77,0)</f>
        <v>0</v>
      </c>
      <c r="V77" s="1248">
        <f>IF('Proposed Lighting'!CF77=1,0,IF('Proposed Lighting'!AU77=2,0,IF(AND('Proposed Lighting'!AU77=3,'Proposed Lighting'!CF77=0),1,0)))</f>
        <v>0</v>
      </c>
      <c r="W77" s="1836"/>
      <c r="X77" s="1836"/>
      <c r="Y77" s="1836"/>
      <c r="Z77" s="1230" t="str">
        <f t="shared" si="13"/>
        <v/>
      </c>
      <c r="AA77" s="1230">
        <f t="shared" si="14"/>
        <v>0</v>
      </c>
      <c r="AB77" s="1230">
        <f>IF(Q77=0,0,IF(T77=0,0,IF(AA77=0,0,IF(AND(F77=3,V77=0),0,IF(T77=0,0,IF(K77&gt;'Proposed Lighting'!AA77,0,IF('Proposed Lighting'!EJ77&gt;0.01,(K77*O77)*'Proposed Lighting'!EJ77/1000,(K77*O77)*U77/1000)))))))</f>
        <v>0</v>
      </c>
      <c r="AC77" s="1230" t="str">
        <f t="shared" si="20"/>
        <v/>
      </c>
      <c r="AD77" s="1230">
        <f t="shared" si="15"/>
        <v>0</v>
      </c>
      <c r="AE77" s="1230">
        <f>IF(T77=0,0,IF(K77&gt;'Proposed Lighting'!AA77,0,IF(T77&gt;K77,0,IF(AND(AD77&gt;AA77,AA77&gt;0),0,IF(AND(F77&gt;1,W77&lt;0.01),0,IF('Proposed Lighting'!AU77&gt;'Lighting Controls'!F77,0,IF('Proposed Lighting'!AU77&lt;'Lighting Controls'!F77,0,IF(U77=0,0,Summary!AC380))))))))</f>
        <v>0</v>
      </c>
      <c r="AF77" s="1230">
        <f>IF(T77=0,0,IF(AE77=0,0,IF(K77&gt;'Proposed Lighting'!AA77,0,IF(AND(AD77&gt;AA77,AA77&gt;0),0,IF(U77=0,0,Summary!AD380)))))</f>
        <v>0</v>
      </c>
      <c r="AG77" s="1834">
        <f>IF('Proposed Lighting'!AU77=1,0,IF('Proposed Lighting'!CF77=1,0,T77*W77))</f>
        <v>0</v>
      </c>
      <c r="AH77" s="1834"/>
      <c r="AI77" s="1834"/>
      <c r="AJ77" s="1835">
        <f>IF(T77&lt;1,0,IF(K77&gt;'Proposed Lighting'!AA77,0,IF('Proposed Lighting'!CF77=1,0,IF('Proposed Lighting'!AU77=1,0,IF(T77&gt;K77,0,IF(AND(AD77&gt;AA77,AA77&gt;0),0,IF(AND(F77=2,'Proposed Lighting'!AU77=3),0,IF(AND(F77=3,'Proposed Lighting'!AU77=2),0,IF('Proposed Lighting'!CH77=100,0,IF(AND(F77&lt;3,V77=1,AM77=0),0,IF(AND(F77&gt;1,AF77&lt;1,AN77&lt;1),0,IF(AND(F77&gt;1,AE77&lt;0.69,AF77&lt;1,AN77&lt;1),0,IF(ISERROR(AB77-AC77),"",AB77-AC77)))))))))))))</f>
        <v>0</v>
      </c>
      <c r="AK77" s="1835"/>
      <c r="AL77" s="1835"/>
      <c r="AM77" s="1216">
        <f>IF(Q77=0,0,IF(T77=0,0,IF(T77&gt;K77,0,IF(AND(AS77&gt;0.01,BK77=0),0,IF(AND('Proposed Lighting'!DG77=0,'Lighting Controls'!Z77=0.35),0,IF(AND(T77&lt;=K77,AA77&gt;=AD77,'Proposed Lighting'!AU77=2),VLOOKUP(Q77,$AY$9:$AZ$15,2,FALSE),IF(AND(T77&lt;=K77,AA77&gt;=AD77,'Proposed Lighting'!AU77=3),VLOOKUP(Q77,$AY$17:$AZ$23,2,FALSE))))))))</f>
        <v>0</v>
      </c>
      <c r="AN77" s="1248">
        <f>IF(T77=0,0,IF(K77&gt;'Proposed Lighting'!AA77,0,IF(AE77=0,0,IF(AND(AD77&gt;AA77,AA77&gt;0),0,IF(U77=0,0,Summary!AE380)))))</f>
        <v>0</v>
      </c>
      <c r="AO77" s="1248">
        <f t="shared" si="24"/>
        <v>0</v>
      </c>
      <c r="AP77" s="1249">
        <f>IF('Proposed Lighting'!AU77=1,0,IF(K77=0,0,IF(T77&gt;K77,0,IF(G77=0,0,IF(K77&gt;'Proposed Lighting'!AA77,0,IF(AND(AD77&gt;AA77,AA77&gt;0),0,IF(AND('Proposed Lighting'!AU77=3,AM77=0.5),0,IF(AND(AM77&gt;0,AS77&gt;0,BI77&lt;2),0,IF('Proposed Lighting'!CH77=100,0,IF(AV77=1,0,IF(AND(AM77=35,M77+N77&lt;2),0,AM77)))))))))))</f>
        <v>0</v>
      </c>
      <c r="AQ77" s="1249" t="str">
        <f>IFERROR(ROUND(IF(Q77="","",IF('Proposed Lighting'!$X$4=0,0,IF(AND(AM77=35,M77+N77&lt;2),0,IF(T77&gt;K77,0,IF('Proposed Lighting'!AU77=1,0,IF(AJ77=0,0,IF(AND('Proposed Lighting'!AU77=3,AM77=0.5),0,IF(AND(AD77=75,AP77=0,AV77=0),0,IF(AP77&gt;0.01,AP77*T77,IF(AND(F77&gt;1,W77&lt;0.01),0,IF(AND(F77&gt;1,AO77=0),0,IF(AND('Proposed Lighting'!BC77=22,AV77=0),0,IF(AND(AM77&gt;0,AS77&gt;0,BI77&lt;2),0,IF(AND(AS77&gt;0.01,BK77=0),0,IF(AND(AO77=TRUE,AV77=1,F77=3),MIN(AJ77*0.08,L77),IF(AP77&gt;0.01,AP77*T77,IF(AND(AO77=TRUE,AV77=1,F77=2),MIN(AJ77*0.1,L77)))))))))))))))))),2),"")</f>
        <v/>
      </c>
      <c r="AR77" s="1250">
        <f>IF(Q77=0,0,IF('Proposed Lighting'!$X$4=0,0,IF(AND(AM77&gt;0.01,AQ77&gt;0.01),0,IF('Proposed Lighting'!AU77=1,"Missing Interior or Exterior Selection",IF('Proposed Lighting'!CF77=1,"Selection does not match",IF(K77&gt;'Proposed Lighting'!AA77,"Quantity controlled does not match proposed lighting quantity",IF(T77&gt;K77,"Quantity of sensors exceeds proposed lighting quantity",IF(AND(F77&gt;1,'Proposed Lighting'!AU77&lt;&gt;F77),"Selection does not match",IF(AND(AD77&gt;AA77,AA77&gt;0),"Does not meet minimum connected load",IF(AND(O77&gt;0,AS77&gt;0,BK77&gt;0,'Proposed Lighting'!CH77=0),"Select Control Strategies",IF(AND(AC77&gt;0.1,AJ77=0,AQ77=0),"Does not meet incentive criteria",0)))))))))))</f>
        <v>0</v>
      </c>
      <c r="AS77" s="1224">
        <f>IF('Proposed Lighting'!CH77=100,0,IF(ISNUMBER(SEARCH("multiple",Q77)),1,0))</f>
        <v>0</v>
      </c>
      <c r="AT77" s="451">
        <f t="shared" si="21"/>
        <v>0</v>
      </c>
      <c r="AU77" s="451">
        <f t="shared" si="22"/>
        <v>0</v>
      </c>
      <c r="AV77" s="1222">
        <f>IF(ISNUMBER(SEARCH("Networked",'Proposed Lighting'!T77)),0,IF(ISNUMBER(SEARCH("Strategies",'Proposed Lighting'!T77)),0,IF(ISNUMBER(SEARCH("Removal",'Proposed Lighting'!T77)),0,IF(ISNUMBER(SEARCH("non-standard",Q77)),1,0))))</f>
        <v>0</v>
      </c>
      <c r="AW77" s="451">
        <f t="shared" si="12"/>
        <v>0</v>
      </c>
      <c r="AX77" s="451"/>
      <c r="AY77" s="451"/>
      <c r="AZ77" s="451"/>
      <c r="BA77" s="451"/>
      <c r="BB77" s="451"/>
      <c r="BC77" s="1215"/>
      <c r="BD77" s="1215"/>
      <c r="BE77" s="1215"/>
      <c r="BF77" s="1215"/>
      <c r="BG77" s="1215"/>
      <c r="BH77" s="1215"/>
      <c r="BI77">
        <f>IF(AND(AS77=1,BC77="No",BD77="Yes",BE77="Yes",BF77="No",BH77="No"),0,IF(AND('Proposed Lighting'!AU77=2,AS77=1,BC77="Yes",BD77="Yes"),2,IF(AND('Proposed Lighting'!AU77=2,AS77=1,BC77="Yes",BE77="Yes"),2,IF(AND('Proposed Lighting'!AU77=2,AS77=1,BC77="Yes",BF77="Yes"),2,IF(AND('Proposed Lighting'!AU77=2,AS77=1,BC77="Yes",BH77="Yes"),2,IF(AND('Proposed Lighting'!AU77=2,AS77=1,BD77="Yes",BF77="Yes"),2,IF(AND('Proposed Lighting'!AU77=2,AS77=1,BD77="Yes",BH77="Yes"),2,IF(AND('Proposed Lighting'!AU77=3,AS77=1,BC77="Yes",BE77="Yes"),2,IF(AND('Proposed Lighting'!AU77=3,AS77=1,BC77="Yes",BF77="Yes"),2,0)))))))))</f>
        <v>0</v>
      </c>
      <c r="BJ77" s="1025">
        <f t="shared" si="23"/>
        <v>0</v>
      </c>
      <c r="BK77">
        <f>IF(AND('Proposed Lighting'!BC77=22,'Lighting Controls'!N77=1),0,IF(ISNUMBER(SEARCH("LED",G77)),1,0))</f>
        <v>0</v>
      </c>
    </row>
    <row r="78" spans="1:63" ht="34.5" customHeight="1">
      <c r="A78" s="917">
        <v>70</v>
      </c>
      <c r="B78" s="1828" t="str">
        <f>IF('Proposed Lighting'!B78="","",'Proposed Lighting'!B78)</f>
        <v/>
      </c>
      <c r="C78" s="1828"/>
      <c r="D78" s="1828"/>
      <c r="E78" s="1245">
        <f>'Proposed Lighting'!AA78</f>
        <v>0</v>
      </c>
      <c r="F78" s="1245">
        <f t="shared" si="16"/>
        <v>0</v>
      </c>
      <c r="G78" s="1830" t="str">
        <f>IF('Proposed Lighting'!T78="","",IF(ISNUMBER(SEARCH("Networked",'Proposed Lighting'!T78)),0,IF(ISNUMBER(SEARCH("Strategies",'Proposed Lighting'!T78)),0,IF(ISNUMBER(SEARCH("Removal",'Proposed Lighting'!T78)),0,'Proposed Lighting'!T78))))</f>
        <v/>
      </c>
      <c r="H78" s="1830"/>
      <c r="I78" s="1830"/>
      <c r="J78" s="1830"/>
      <c r="K78" s="1215"/>
      <c r="L78" s="1246">
        <f t="shared" si="17"/>
        <v>0</v>
      </c>
      <c r="M78" s="1224">
        <f t="shared" si="18"/>
        <v>0</v>
      </c>
      <c r="N78" s="1224">
        <f t="shared" si="19"/>
        <v>0</v>
      </c>
      <c r="O78" s="1825" t="str">
        <f>IF(G78=0,0,IF(ISNA('Proposed Lighting'!AT78),0,'Proposed Lighting'!AT78))</f>
        <v/>
      </c>
      <c r="P78" s="1825"/>
      <c r="Q78" s="1247"/>
      <c r="R78" s="1247"/>
      <c r="S78" s="1247"/>
      <c r="T78" s="1211"/>
      <c r="U78" s="1235">
        <f>IF(K78&gt;0.01,'Proposed Lighting'!CU78,0)</f>
        <v>0</v>
      </c>
      <c r="V78" s="1248">
        <f>IF('Proposed Lighting'!CF78=1,0,IF('Proposed Lighting'!AU78=2,0,IF(AND('Proposed Lighting'!AU78=3,'Proposed Lighting'!CF78=0),1,0)))</f>
        <v>0</v>
      </c>
      <c r="W78" s="1836"/>
      <c r="X78" s="1836"/>
      <c r="Y78" s="1836"/>
      <c r="Z78" s="1230" t="str">
        <f t="shared" si="13"/>
        <v/>
      </c>
      <c r="AA78" s="1230">
        <f t="shared" si="14"/>
        <v>0</v>
      </c>
      <c r="AB78" s="1230">
        <f>IF(Q78=0,0,IF(T78=0,0,IF(AA78=0,0,IF(AND(F78=3,V78=0),0,IF(T78=0,0,IF(K78&gt;'Proposed Lighting'!AA78,0,IF('Proposed Lighting'!EJ78&gt;0.01,(K78*O78)*'Proposed Lighting'!EJ78/1000,(K78*O78)*U78/1000)))))))</f>
        <v>0</v>
      </c>
      <c r="AC78" s="1230" t="str">
        <f t="shared" si="20"/>
        <v/>
      </c>
      <c r="AD78" s="1230">
        <f t="shared" si="15"/>
        <v>0</v>
      </c>
      <c r="AE78" s="1230">
        <f>IF(T78=0,0,IF(K78&gt;'Proposed Lighting'!AA78,0,IF(T78&gt;K78,0,IF(AND(AD78&gt;AA78,AA78&gt;0),0,IF(AND(F78&gt;1,W78&lt;0.01),0,IF('Proposed Lighting'!AU78&gt;'Lighting Controls'!F78,0,IF('Proposed Lighting'!AU78&lt;'Lighting Controls'!F78,0,IF(U78=0,0,Summary!AC381))))))))</f>
        <v>0</v>
      </c>
      <c r="AF78" s="1230">
        <f>IF(T78=0,0,IF(AE78=0,0,IF(K78&gt;'Proposed Lighting'!AA78,0,IF(AND(AD78&gt;AA78,AA78&gt;0),0,IF(U78=0,0,Summary!AD381)))))</f>
        <v>0</v>
      </c>
      <c r="AG78" s="1834">
        <f>IF('Proposed Lighting'!AU78=1,0,IF('Proposed Lighting'!CF78=1,0,T78*W78))</f>
        <v>0</v>
      </c>
      <c r="AH78" s="1834"/>
      <c r="AI78" s="1834"/>
      <c r="AJ78" s="1835">
        <f>IF(T78&lt;1,0,IF(K78&gt;'Proposed Lighting'!AA78,0,IF('Proposed Lighting'!CF78=1,0,IF('Proposed Lighting'!AU78=1,0,IF(T78&gt;K78,0,IF(AND(AD78&gt;AA78,AA78&gt;0),0,IF(AND(F78=2,'Proposed Lighting'!AU78=3),0,IF(AND(F78=3,'Proposed Lighting'!AU78=2),0,IF('Proposed Lighting'!CH78=100,0,IF(AND(F78&lt;3,V78=1,AM78=0),0,IF(AND(F78&gt;1,AF78&lt;1,AN78&lt;1),0,IF(AND(F78&gt;1,AE78&lt;0.69,AF78&lt;1,AN78&lt;1),0,IF(ISERROR(AB78-AC78),"",AB78-AC78)))))))))))))</f>
        <v>0</v>
      </c>
      <c r="AK78" s="1835"/>
      <c r="AL78" s="1835"/>
      <c r="AM78" s="1216">
        <f>IF(Q78=0,0,IF(T78=0,0,IF(T78&gt;K78,0,IF(AND(AS78&gt;0.01,BK78=0),0,IF(AND('Proposed Lighting'!DG78=0,'Lighting Controls'!Z78=0.35),0,IF(AND(T78&lt;=K78,AA78&gt;=AD78,'Proposed Lighting'!AU78=2),VLOOKUP(Q78,$AY$9:$AZ$15,2,FALSE),IF(AND(T78&lt;=K78,AA78&gt;=AD78,'Proposed Lighting'!AU78=3),VLOOKUP(Q78,$AY$17:$AZ$23,2,FALSE))))))))</f>
        <v>0</v>
      </c>
      <c r="AN78" s="1248">
        <f>IF(T78=0,0,IF(K78&gt;'Proposed Lighting'!AA78,0,IF(AE78=0,0,IF(AND(AD78&gt;AA78,AA78&gt;0),0,IF(U78=0,0,Summary!AE381)))))</f>
        <v>0</v>
      </c>
      <c r="AO78" s="1248">
        <f t="shared" si="24"/>
        <v>0</v>
      </c>
      <c r="AP78" s="1249">
        <f>IF('Proposed Lighting'!AU78=1,0,IF(K78=0,0,IF(T78&gt;K78,0,IF(G78=0,0,IF(K78&gt;'Proposed Lighting'!AA78,0,IF(AND(AD78&gt;AA78,AA78&gt;0),0,IF(AND('Proposed Lighting'!AU78=3,AM78=0.5),0,IF(AND(AM78&gt;0,AS78&gt;0,BI78&lt;2),0,IF('Proposed Lighting'!CH78=100,0,IF(AV78=1,0,IF(AND(AM78=35,M78+N78&lt;2),0,AM78)))))))))))</f>
        <v>0</v>
      </c>
      <c r="AQ78" s="1249" t="str">
        <f>IFERROR(ROUND(IF(Q78="","",IF('Proposed Lighting'!$X$4=0,0,IF(AND(AM78=35,M78+N78&lt;2),0,IF(T78&gt;K78,0,IF('Proposed Lighting'!AU78=1,0,IF(AJ78=0,0,IF(AND('Proposed Lighting'!AU78=3,AM78=0.5),0,IF(AND(AD78=75,AP78=0,AV78=0),0,IF(AP78&gt;0.01,AP78*T78,IF(AND(F78&gt;1,W78&lt;0.01),0,IF(AND(F78&gt;1,AO78=0),0,IF(AND('Proposed Lighting'!BC78=22,AV78=0),0,IF(AND(AM78&gt;0,AS78&gt;0,BI78&lt;2),0,IF(AND(AS78&gt;0.01,BK78=0),0,IF(AND(AO78=TRUE,AV78=1,F78=3),MIN(AJ78*0.08,L78),IF(AP78&gt;0.01,AP78*T78,IF(AND(AO78=TRUE,AV78=1,F78=2),MIN(AJ78*0.1,L78)))))))))))))))))),2),"")</f>
        <v/>
      </c>
      <c r="AR78" s="1250">
        <f>IF(Q78=0,0,IF('Proposed Lighting'!$X$4=0,0,IF(AND(AM78&gt;0.01,AQ78&gt;0.01),0,IF('Proposed Lighting'!AU78=1,"Missing Interior or Exterior Selection",IF('Proposed Lighting'!CF78=1,"Selection does not match",IF(K78&gt;'Proposed Lighting'!AA78,"Quantity controlled does not match proposed lighting quantity",IF(T78&gt;K78,"Quantity of sensors exceeds proposed lighting quantity",IF(AND(F78&gt;1,'Proposed Lighting'!AU78&lt;&gt;F78),"Selection does not match",IF(AND(AD78&gt;AA78,AA78&gt;0),"Does not meet minimum connected load",IF(AND(O78&gt;0,AS78&gt;0,BK78&gt;0,'Proposed Lighting'!CH78=0),"Select Control Strategies",IF(AND(AC78&gt;0.1,AJ78=0,AQ78=0),"Does not meet incentive criteria",0)))))))))))</f>
        <v>0</v>
      </c>
      <c r="AS78" s="1224">
        <f>IF('Proposed Lighting'!CH78=100,0,IF(ISNUMBER(SEARCH("multiple",Q78)),1,0))</f>
        <v>0</v>
      </c>
      <c r="AT78" s="451">
        <f t="shared" si="21"/>
        <v>0</v>
      </c>
      <c r="AU78" s="451">
        <f t="shared" si="22"/>
        <v>0</v>
      </c>
      <c r="AV78" s="1222">
        <f>IF(ISNUMBER(SEARCH("Networked",'Proposed Lighting'!T78)),0,IF(ISNUMBER(SEARCH("Strategies",'Proposed Lighting'!T78)),0,IF(ISNUMBER(SEARCH("Removal",'Proposed Lighting'!T78)),0,IF(ISNUMBER(SEARCH("non-standard",Q78)),1,0))))</f>
        <v>0</v>
      </c>
      <c r="AW78" s="451">
        <f t="shared" si="12"/>
        <v>0</v>
      </c>
      <c r="AX78" s="451"/>
      <c r="AY78" s="451"/>
      <c r="AZ78" s="451"/>
      <c r="BA78" s="451"/>
      <c r="BB78" s="451"/>
      <c r="BC78" s="1215"/>
      <c r="BD78" s="1215"/>
      <c r="BE78" s="1215"/>
      <c r="BF78" s="1215"/>
      <c r="BG78" s="1215"/>
      <c r="BH78" s="1215"/>
      <c r="BI78">
        <f>IF(AND(AS78=1,BC78="No",BD78="Yes",BE78="Yes",BF78="No",BH78="No"),0,IF(AND('Proposed Lighting'!AU78=2,AS78=1,BC78="Yes",BD78="Yes"),2,IF(AND('Proposed Lighting'!AU78=2,AS78=1,BC78="Yes",BE78="Yes"),2,IF(AND('Proposed Lighting'!AU78=2,AS78=1,BC78="Yes",BF78="Yes"),2,IF(AND('Proposed Lighting'!AU78=2,AS78=1,BC78="Yes",BH78="Yes"),2,IF(AND('Proposed Lighting'!AU78=2,AS78=1,BD78="Yes",BF78="Yes"),2,IF(AND('Proposed Lighting'!AU78=2,AS78=1,BD78="Yes",BH78="Yes"),2,IF(AND('Proposed Lighting'!AU78=3,AS78=1,BC78="Yes",BE78="Yes"),2,IF(AND('Proposed Lighting'!AU78=3,AS78=1,BC78="Yes",BF78="Yes"),2,0)))))))))</f>
        <v>0</v>
      </c>
      <c r="BJ78" s="1025">
        <f t="shared" si="23"/>
        <v>0</v>
      </c>
      <c r="BK78">
        <f>IF(AND('Proposed Lighting'!BC78=22,'Lighting Controls'!N78=1),0,IF(ISNUMBER(SEARCH("LED",G78)),1,0))</f>
        <v>0</v>
      </c>
    </row>
    <row r="79" spans="1:63" ht="34.5" customHeight="1">
      <c r="A79" s="917">
        <v>71</v>
      </c>
      <c r="B79" s="1828" t="str">
        <f>IF('Proposed Lighting'!B79="","",'Proposed Lighting'!B79)</f>
        <v/>
      </c>
      <c r="C79" s="1828"/>
      <c r="D79" s="1828"/>
      <c r="E79" s="1245">
        <f>'Proposed Lighting'!AA79</f>
        <v>0</v>
      </c>
      <c r="F79" s="1245">
        <f t="shared" si="16"/>
        <v>0</v>
      </c>
      <c r="G79" s="1830" t="str">
        <f>IF('Proposed Lighting'!T79="","",IF(ISNUMBER(SEARCH("Networked",'Proposed Lighting'!T79)),0,IF(ISNUMBER(SEARCH("Strategies",'Proposed Lighting'!T79)),0,IF(ISNUMBER(SEARCH("Removal",'Proposed Lighting'!T79)),0,'Proposed Lighting'!T79))))</f>
        <v/>
      </c>
      <c r="H79" s="1830"/>
      <c r="I79" s="1830"/>
      <c r="J79" s="1830"/>
      <c r="K79" s="1215"/>
      <c r="L79" s="1246">
        <f t="shared" si="17"/>
        <v>0</v>
      </c>
      <c r="M79" s="1224">
        <f t="shared" si="18"/>
        <v>0</v>
      </c>
      <c r="N79" s="1224">
        <f t="shared" si="19"/>
        <v>0</v>
      </c>
      <c r="O79" s="1825" t="str">
        <f>IF(G79=0,0,IF(ISNA('Proposed Lighting'!AT79),0,'Proposed Lighting'!AT79))</f>
        <v/>
      </c>
      <c r="P79" s="1825"/>
      <c r="Q79" s="1247"/>
      <c r="R79" s="1247"/>
      <c r="S79" s="1247"/>
      <c r="T79" s="1211"/>
      <c r="U79" s="1235">
        <f>IF(K79&gt;0.01,'Proposed Lighting'!CU79,0)</f>
        <v>0</v>
      </c>
      <c r="V79" s="1248">
        <f>IF('Proposed Lighting'!CF79=1,0,IF('Proposed Lighting'!AU79=2,0,IF(AND('Proposed Lighting'!AU79=3,'Proposed Lighting'!CF79=0),1,0)))</f>
        <v>0</v>
      </c>
      <c r="W79" s="1836"/>
      <c r="X79" s="1836"/>
      <c r="Y79" s="1836"/>
      <c r="Z79" s="1230" t="str">
        <f t="shared" si="13"/>
        <v/>
      </c>
      <c r="AA79" s="1230">
        <f t="shared" si="14"/>
        <v>0</v>
      </c>
      <c r="AB79" s="1230">
        <f>IF(Q79=0,0,IF(T79=0,0,IF(AA79=0,0,IF(AND(F79=3,V79=0),0,IF(T79=0,0,IF(K79&gt;'Proposed Lighting'!AA79,0,IF('Proposed Lighting'!EJ79&gt;0.01,(K79*O79)*'Proposed Lighting'!EJ79/1000,(K79*O79)*U79/1000)))))))</f>
        <v>0</v>
      </c>
      <c r="AC79" s="1230" t="str">
        <f t="shared" si="20"/>
        <v/>
      </c>
      <c r="AD79" s="1230">
        <f t="shared" si="15"/>
        <v>0</v>
      </c>
      <c r="AE79" s="1230">
        <f>IF(T79=0,0,IF(K79&gt;'Proposed Lighting'!AA79,0,IF(T79&gt;K79,0,IF(AND(AD79&gt;AA79,AA79&gt;0),0,IF(AND(F79&gt;1,W79&lt;0.01),0,IF('Proposed Lighting'!AU79&gt;'Lighting Controls'!F79,0,IF('Proposed Lighting'!AU79&lt;'Lighting Controls'!F79,0,IF(U79=0,0,Summary!AC382))))))))</f>
        <v>0</v>
      </c>
      <c r="AF79" s="1230">
        <f>IF(T79=0,0,IF(AE79=0,0,IF(K79&gt;'Proposed Lighting'!AA79,0,IF(AND(AD79&gt;AA79,AA79&gt;0),0,IF(U79=0,0,Summary!AD382)))))</f>
        <v>0</v>
      </c>
      <c r="AG79" s="1834">
        <f>IF('Proposed Lighting'!AU79=1,0,IF('Proposed Lighting'!CF79=1,0,T79*W79))</f>
        <v>0</v>
      </c>
      <c r="AH79" s="1834"/>
      <c r="AI79" s="1834"/>
      <c r="AJ79" s="1835">
        <f>IF(T79&lt;1,0,IF(K79&gt;'Proposed Lighting'!AA79,0,IF('Proposed Lighting'!CF79=1,0,IF('Proposed Lighting'!AU79=1,0,IF(T79&gt;K79,0,IF(AND(AD79&gt;AA79,AA79&gt;0),0,IF(AND(F79=2,'Proposed Lighting'!AU79=3),0,IF(AND(F79=3,'Proposed Lighting'!AU79=2),0,IF('Proposed Lighting'!CH79=100,0,IF(AND(F79&lt;3,V79=1,AM79=0),0,IF(AND(F79&gt;1,AF79&lt;1,AN79&lt;1),0,IF(AND(F79&gt;1,AE79&lt;0.69,AF79&lt;1,AN79&lt;1),0,IF(ISERROR(AB79-AC79),"",AB79-AC79)))))))))))))</f>
        <v>0</v>
      </c>
      <c r="AK79" s="1835"/>
      <c r="AL79" s="1835"/>
      <c r="AM79" s="1216">
        <f>IF(Q79=0,0,IF(T79=0,0,IF(T79&gt;K79,0,IF(AND(AS79&gt;0.01,BK79=0),0,IF(AND('Proposed Lighting'!DG79=0,'Lighting Controls'!Z79=0.35),0,IF(AND(T79&lt;=K79,AA79&gt;=AD79,'Proposed Lighting'!AU79=2),VLOOKUP(Q79,$AY$9:$AZ$15,2,FALSE),IF(AND(T79&lt;=K79,AA79&gt;=AD79,'Proposed Lighting'!AU79=3),VLOOKUP(Q79,$AY$17:$AZ$23,2,FALSE))))))))</f>
        <v>0</v>
      </c>
      <c r="AN79" s="1248">
        <f>IF(T79=0,0,IF(K79&gt;'Proposed Lighting'!AA79,0,IF(AE79=0,0,IF(AND(AD79&gt;AA79,AA79&gt;0),0,IF(U79=0,0,Summary!AE382)))))</f>
        <v>0</v>
      </c>
      <c r="AO79" s="1248">
        <f t="shared" si="24"/>
        <v>0</v>
      </c>
      <c r="AP79" s="1249">
        <f>IF('Proposed Lighting'!AU79=1,0,IF(K79=0,0,IF(T79&gt;K79,0,IF(G79=0,0,IF(K79&gt;'Proposed Lighting'!AA79,0,IF(AND(AD79&gt;AA79,AA79&gt;0),0,IF(AND('Proposed Lighting'!AU79=3,AM79=0.5),0,IF(AND(AM79&gt;0,AS79&gt;0,BI79&lt;2),0,IF('Proposed Lighting'!CH79=100,0,IF(AV79=1,0,IF(AND(AM79=35,M79+N79&lt;2),0,AM79)))))))))))</f>
        <v>0</v>
      </c>
      <c r="AQ79" s="1249" t="str">
        <f>IFERROR(ROUND(IF(Q79="","",IF('Proposed Lighting'!$X$4=0,0,IF(AND(AM79=35,M79+N79&lt;2),0,IF(T79&gt;K79,0,IF('Proposed Lighting'!AU79=1,0,IF(AJ79=0,0,IF(AND('Proposed Lighting'!AU79=3,AM79=0.5),0,IF(AND(AD79=75,AP79=0,AV79=0),0,IF(AP79&gt;0.01,AP79*T79,IF(AND(F79&gt;1,W79&lt;0.01),0,IF(AND(F79&gt;1,AO79=0),0,IF(AND('Proposed Lighting'!BC79=22,AV79=0),0,IF(AND(AM79&gt;0,AS79&gt;0,BI79&lt;2),0,IF(AND(AS79&gt;0.01,BK79=0),0,IF(AND(AO79=TRUE,AV79=1,F79=3),MIN(AJ79*0.08,L79),IF(AP79&gt;0.01,AP79*T79,IF(AND(AO79=TRUE,AV79=1,F79=2),MIN(AJ79*0.1,L79)))))))))))))))))),2),"")</f>
        <v/>
      </c>
      <c r="AR79" s="1250">
        <f>IF(Q79=0,0,IF('Proposed Lighting'!$X$4=0,0,IF(AND(AM79&gt;0.01,AQ79&gt;0.01),0,IF('Proposed Lighting'!AU79=1,"Missing Interior or Exterior Selection",IF('Proposed Lighting'!CF79=1,"Selection does not match",IF(K79&gt;'Proposed Lighting'!AA79,"Quantity controlled does not match proposed lighting quantity",IF(T79&gt;K79,"Quantity of sensors exceeds proposed lighting quantity",IF(AND(F79&gt;1,'Proposed Lighting'!AU79&lt;&gt;F79),"Selection does not match",IF(AND(AD79&gt;AA79,AA79&gt;0),"Does not meet minimum connected load",IF(AND(O79&gt;0,AS79&gt;0,BK79&gt;0,'Proposed Lighting'!CH79=0),"Select Control Strategies",IF(AND(AC79&gt;0.1,AJ79=0,AQ79=0),"Does not meet incentive criteria",0)))))))))))</f>
        <v>0</v>
      </c>
      <c r="AS79" s="1224">
        <f>IF('Proposed Lighting'!CH79=100,0,IF(ISNUMBER(SEARCH("multiple",Q79)),1,0))</f>
        <v>0</v>
      </c>
      <c r="AT79" s="451">
        <f t="shared" si="21"/>
        <v>0</v>
      </c>
      <c r="AU79" s="451">
        <f t="shared" si="22"/>
        <v>0</v>
      </c>
      <c r="AV79" s="1222">
        <f>IF(ISNUMBER(SEARCH("Networked",'Proposed Lighting'!T79)),0,IF(ISNUMBER(SEARCH("Strategies",'Proposed Lighting'!T79)),0,IF(ISNUMBER(SEARCH("Removal",'Proposed Lighting'!T79)),0,IF(ISNUMBER(SEARCH("non-standard",Q79)),1,0))))</f>
        <v>0</v>
      </c>
      <c r="AW79" s="451">
        <f t="shared" si="12"/>
        <v>0</v>
      </c>
      <c r="AX79" s="451"/>
      <c r="AY79" s="451"/>
      <c r="AZ79" s="451"/>
      <c r="BA79" s="451"/>
      <c r="BB79" s="451"/>
      <c r="BC79" s="1215"/>
      <c r="BD79" s="1215"/>
      <c r="BE79" s="1215"/>
      <c r="BF79" s="1215"/>
      <c r="BG79" s="1215"/>
      <c r="BH79" s="1215"/>
      <c r="BI79">
        <f>IF(AND(AS79=1,BC79="No",BD79="Yes",BE79="Yes",BF79="No",BH79="No"),0,IF(AND('Proposed Lighting'!AU79=2,AS79=1,BC79="Yes",BD79="Yes"),2,IF(AND('Proposed Lighting'!AU79=2,AS79=1,BC79="Yes",BE79="Yes"),2,IF(AND('Proposed Lighting'!AU79=2,AS79=1,BC79="Yes",BF79="Yes"),2,IF(AND('Proposed Lighting'!AU79=2,AS79=1,BC79="Yes",BH79="Yes"),2,IF(AND('Proposed Lighting'!AU79=2,AS79=1,BD79="Yes",BF79="Yes"),2,IF(AND('Proposed Lighting'!AU79=2,AS79=1,BD79="Yes",BH79="Yes"),2,IF(AND('Proposed Lighting'!AU79=3,AS79=1,BC79="Yes",BE79="Yes"),2,IF(AND('Proposed Lighting'!AU79=3,AS79=1,BC79="Yes",BF79="Yes"),2,0)))))))))</f>
        <v>0</v>
      </c>
      <c r="BJ79" s="1025">
        <f t="shared" si="23"/>
        <v>0</v>
      </c>
      <c r="BK79">
        <f>IF(AND('Proposed Lighting'!BC79=22,'Lighting Controls'!N79=1),0,IF(ISNUMBER(SEARCH("LED",G79)),1,0))</f>
        <v>0</v>
      </c>
    </row>
    <row r="80" spans="1:63" ht="34.5" customHeight="1">
      <c r="A80" s="917">
        <v>72</v>
      </c>
      <c r="B80" s="1828" t="str">
        <f>IF('Proposed Lighting'!B80="","",'Proposed Lighting'!B80)</f>
        <v/>
      </c>
      <c r="C80" s="1828"/>
      <c r="D80" s="1828"/>
      <c r="E80" s="1245">
        <f>'Proposed Lighting'!AA80</f>
        <v>0</v>
      </c>
      <c r="F80" s="1245">
        <f t="shared" si="16"/>
        <v>0</v>
      </c>
      <c r="G80" s="1830" t="str">
        <f>IF('Proposed Lighting'!T80="","",IF(ISNUMBER(SEARCH("Networked",'Proposed Lighting'!T80)),0,IF(ISNUMBER(SEARCH("Strategies",'Proposed Lighting'!T80)),0,IF(ISNUMBER(SEARCH("Removal",'Proposed Lighting'!T80)),0,'Proposed Lighting'!T80))))</f>
        <v/>
      </c>
      <c r="H80" s="1830"/>
      <c r="I80" s="1830"/>
      <c r="J80" s="1830"/>
      <c r="K80" s="1215"/>
      <c r="L80" s="1246">
        <f t="shared" si="17"/>
        <v>0</v>
      </c>
      <c r="M80" s="1224">
        <f t="shared" si="18"/>
        <v>0</v>
      </c>
      <c r="N80" s="1224">
        <f t="shared" si="19"/>
        <v>0</v>
      </c>
      <c r="O80" s="1825" t="str">
        <f>IF(G80=0,0,IF(ISNA('Proposed Lighting'!AT80),0,'Proposed Lighting'!AT80))</f>
        <v/>
      </c>
      <c r="P80" s="1825"/>
      <c r="Q80" s="1247"/>
      <c r="R80" s="1247"/>
      <c r="S80" s="1247"/>
      <c r="T80" s="1211"/>
      <c r="U80" s="1235">
        <f>IF(K80&gt;0.01,'Proposed Lighting'!CU80,0)</f>
        <v>0</v>
      </c>
      <c r="V80" s="1248">
        <f>IF('Proposed Lighting'!CF80=1,0,IF('Proposed Lighting'!AU80=2,0,IF(AND('Proposed Lighting'!AU80=3,'Proposed Lighting'!CF80=0),1,0)))</f>
        <v>0</v>
      </c>
      <c r="W80" s="1836"/>
      <c r="X80" s="1836"/>
      <c r="Y80" s="1836"/>
      <c r="Z80" s="1230" t="str">
        <f t="shared" si="13"/>
        <v/>
      </c>
      <c r="AA80" s="1230">
        <f t="shared" si="14"/>
        <v>0</v>
      </c>
      <c r="AB80" s="1230">
        <f>IF(Q80=0,0,IF(T80=0,0,IF(AA80=0,0,IF(AND(F80=3,V80=0),0,IF(T80=0,0,IF(K80&gt;'Proposed Lighting'!AA80,0,IF('Proposed Lighting'!EJ80&gt;0.01,(K80*O80)*'Proposed Lighting'!EJ80/1000,(K80*O80)*U80/1000)))))))</f>
        <v>0</v>
      </c>
      <c r="AC80" s="1230" t="str">
        <f t="shared" si="20"/>
        <v/>
      </c>
      <c r="AD80" s="1230">
        <f t="shared" si="15"/>
        <v>0</v>
      </c>
      <c r="AE80" s="1230">
        <f>IF(T80=0,0,IF(K80&gt;'Proposed Lighting'!AA80,0,IF(T80&gt;K80,0,IF(AND(AD80&gt;AA80,AA80&gt;0),0,IF(AND(F80&gt;1,W80&lt;0.01),0,IF('Proposed Lighting'!AU80&gt;'Lighting Controls'!F80,0,IF('Proposed Lighting'!AU80&lt;'Lighting Controls'!F80,0,IF(U80=0,0,Summary!AC383))))))))</f>
        <v>0</v>
      </c>
      <c r="AF80" s="1230">
        <f>IF(T80=0,0,IF(AE80=0,0,IF(K80&gt;'Proposed Lighting'!AA80,0,IF(AND(AD80&gt;AA80,AA80&gt;0),0,IF(U80=0,0,Summary!AD383)))))</f>
        <v>0</v>
      </c>
      <c r="AG80" s="1834">
        <f>IF('Proposed Lighting'!AU80=1,0,IF('Proposed Lighting'!CF80=1,0,T80*W80))</f>
        <v>0</v>
      </c>
      <c r="AH80" s="1834"/>
      <c r="AI80" s="1834"/>
      <c r="AJ80" s="1835">
        <f>IF(T80&lt;1,0,IF(K80&gt;'Proposed Lighting'!AA80,0,IF('Proposed Lighting'!CF80=1,0,IF('Proposed Lighting'!AU80=1,0,IF(T80&gt;K80,0,IF(AND(AD80&gt;AA80,AA80&gt;0),0,IF(AND(F80=2,'Proposed Lighting'!AU80=3),0,IF(AND(F80=3,'Proposed Lighting'!AU80=2),0,IF('Proposed Lighting'!CH80=100,0,IF(AND(F80&lt;3,V80=1,AM80=0),0,IF(AND(F80&gt;1,AF80&lt;1,AN80&lt;1),0,IF(AND(F80&gt;1,AE80&lt;0.69,AF80&lt;1,AN80&lt;1),0,IF(ISERROR(AB80-AC80),"",AB80-AC80)))))))))))))</f>
        <v>0</v>
      </c>
      <c r="AK80" s="1835"/>
      <c r="AL80" s="1835"/>
      <c r="AM80" s="1216">
        <f>IF(Q80=0,0,IF(T80=0,0,IF(T80&gt;K80,0,IF(AND(AS80&gt;0.01,BK80=0),0,IF(AND('Proposed Lighting'!DG80=0,'Lighting Controls'!Z80=0.35),0,IF(AND(T80&lt;=K80,AA80&gt;=AD80,'Proposed Lighting'!AU80=2),VLOOKUP(Q80,$AY$9:$AZ$15,2,FALSE),IF(AND(T80&lt;=K80,AA80&gt;=AD80,'Proposed Lighting'!AU80=3),VLOOKUP(Q80,$AY$17:$AZ$23,2,FALSE))))))))</f>
        <v>0</v>
      </c>
      <c r="AN80" s="1248">
        <f>IF(T80=0,0,IF(K80&gt;'Proposed Lighting'!AA80,0,IF(AE80=0,0,IF(AND(AD80&gt;AA80,AA80&gt;0),0,IF(U80=0,0,Summary!AE383)))))</f>
        <v>0</v>
      </c>
      <c r="AO80" s="1248">
        <f t="shared" si="24"/>
        <v>0</v>
      </c>
      <c r="AP80" s="1249">
        <f>IF('Proposed Lighting'!AU80=1,0,IF(K80=0,0,IF(T80&gt;K80,0,IF(G80=0,0,IF(K80&gt;'Proposed Lighting'!AA80,0,IF(AND(AD80&gt;AA80,AA80&gt;0),0,IF(AND('Proposed Lighting'!AU80=3,AM80=0.5),0,IF(AND(AM80&gt;0,AS80&gt;0,BI80&lt;2),0,IF('Proposed Lighting'!CH80=100,0,IF(AV80=1,0,IF(AND(AM80=35,M80+N80&lt;2),0,AM80)))))))))))</f>
        <v>0</v>
      </c>
      <c r="AQ80" s="1249" t="str">
        <f>IFERROR(ROUND(IF(Q80="","",IF('Proposed Lighting'!$X$4=0,0,IF(AND(AM80=35,M80+N80&lt;2),0,IF(T80&gt;K80,0,IF('Proposed Lighting'!AU80=1,0,IF(AJ80=0,0,IF(AND('Proposed Lighting'!AU80=3,AM80=0.5),0,IF(AND(AD80=75,AP80=0,AV80=0),0,IF(AP80&gt;0.01,AP80*T80,IF(AND(F80&gt;1,W80&lt;0.01),0,IF(AND(F80&gt;1,AO80=0),0,IF(AND('Proposed Lighting'!BC80=22,AV80=0),0,IF(AND(AM80&gt;0,AS80&gt;0,BI80&lt;2),0,IF(AND(AS80&gt;0.01,BK80=0),0,IF(AND(AO80=TRUE,AV80=1,F80=3),MIN(AJ80*0.08,L80),IF(AP80&gt;0.01,AP80*T80,IF(AND(AO80=TRUE,AV80=1,F80=2),MIN(AJ80*0.1,L80)))))))))))))))))),2),"")</f>
        <v/>
      </c>
      <c r="AR80" s="1250">
        <f>IF(Q80=0,0,IF('Proposed Lighting'!$X$4=0,0,IF(AND(AM80&gt;0.01,AQ80&gt;0.01),0,IF('Proposed Lighting'!AU80=1,"Missing Interior or Exterior Selection",IF('Proposed Lighting'!CF80=1,"Selection does not match",IF(K80&gt;'Proposed Lighting'!AA80,"Quantity controlled does not match proposed lighting quantity",IF(T80&gt;K80,"Quantity of sensors exceeds proposed lighting quantity",IF(AND(F80&gt;1,'Proposed Lighting'!AU80&lt;&gt;F80),"Selection does not match",IF(AND(AD80&gt;AA80,AA80&gt;0),"Does not meet minimum connected load",IF(AND(O80&gt;0,AS80&gt;0,BK80&gt;0,'Proposed Lighting'!CH80=0),"Select Control Strategies",IF(AND(AC80&gt;0.1,AJ80=0,AQ80=0),"Does not meet incentive criteria",0)))))))))))</f>
        <v>0</v>
      </c>
      <c r="AS80" s="1224">
        <f>IF('Proposed Lighting'!CH80=100,0,IF(ISNUMBER(SEARCH("multiple",Q80)),1,0))</f>
        <v>0</v>
      </c>
      <c r="AT80" s="451">
        <f t="shared" si="21"/>
        <v>0</v>
      </c>
      <c r="AU80" s="451">
        <f t="shared" si="22"/>
        <v>0</v>
      </c>
      <c r="AV80" s="1222">
        <f>IF(ISNUMBER(SEARCH("Networked",'Proposed Lighting'!T80)),0,IF(ISNUMBER(SEARCH("Strategies",'Proposed Lighting'!T80)),0,IF(ISNUMBER(SEARCH("Removal",'Proposed Lighting'!T80)),0,IF(ISNUMBER(SEARCH("non-standard",Q80)),1,0))))</f>
        <v>0</v>
      </c>
      <c r="AW80" s="451">
        <f t="shared" si="12"/>
        <v>0</v>
      </c>
      <c r="AX80" s="451"/>
      <c r="AY80" s="451"/>
      <c r="AZ80" s="451"/>
      <c r="BA80" s="451"/>
      <c r="BB80" s="451"/>
      <c r="BC80" s="1215"/>
      <c r="BD80" s="1215"/>
      <c r="BE80" s="1215"/>
      <c r="BF80" s="1215"/>
      <c r="BG80" s="1215"/>
      <c r="BH80" s="1215"/>
      <c r="BI80">
        <f>IF(AND(AS80=1,BC80="No",BD80="Yes",BE80="Yes",BF80="No",BH80="No"),0,IF(AND('Proposed Lighting'!AU80=2,AS80=1,BC80="Yes",BD80="Yes"),2,IF(AND('Proposed Lighting'!AU80=2,AS80=1,BC80="Yes",BE80="Yes"),2,IF(AND('Proposed Lighting'!AU80=2,AS80=1,BC80="Yes",BF80="Yes"),2,IF(AND('Proposed Lighting'!AU80=2,AS80=1,BC80="Yes",BH80="Yes"),2,IF(AND('Proposed Lighting'!AU80=2,AS80=1,BD80="Yes",BF80="Yes"),2,IF(AND('Proposed Lighting'!AU80=2,AS80=1,BD80="Yes",BH80="Yes"),2,IF(AND('Proposed Lighting'!AU80=3,AS80=1,BC80="Yes",BE80="Yes"),2,IF(AND('Proposed Lighting'!AU80=3,AS80=1,BC80="Yes",BF80="Yes"),2,0)))))))))</f>
        <v>0</v>
      </c>
      <c r="BJ80" s="1025">
        <f t="shared" si="23"/>
        <v>0</v>
      </c>
      <c r="BK80">
        <f>IF(AND('Proposed Lighting'!BC80=22,'Lighting Controls'!N80=1),0,IF(ISNUMBER(SEARCH("LED",G80)),1,0))</f>
        <v>0</v>
      </c>
    </row>
    <row r="81" spans="1:63" ht="34.5" customHeight="1">
      <c r="A81" s="917">
        <v>73</v>
      </c>
      <c r="B81" s="1828" t="str">
        <f>IF('Proposed Lighting'!B81="","",'Proposed Lighting'!B81)</f>
        <v/>
      </c>
      <c r="C81" s="1828"/>
      <c r="D81" s="1828"/>
      <c r="E81" s="1245">
        <f>'Proposed Lighting'!AA81</f>
        <v>0</v>
      </c>
      <c r="F81" s="1245">
        <f t="shared" si="16"/>
        <v>0</v>
      </c>
      <c r="G81" s="1830" t="str">
        <f>IF('Proposed Lighting'!T81="","",IF(ISNUMBER(SEARCH("Networked",'Proposed Lighting'!T81)),0,IF(ISNUMBER(SEARCH("Strategies",'Proposed Lighting'!T81)),0,IF(ISNUMBER(SEARCH("Removal",'Proposed Lighting'!T81)),0,'Proposed Lighting'!T81))))</f>
        <v/>
      </c>
      <c r="H81" s="1830"/>
      <c r="I81" s="1830"/>
      <c r="J81" s="1830"/>
      <c r="K81" s="1215"/>
      <c r="L81" s="1246">
        <f t="shared" si="17"/>
        <v>0</v>
      </c>
      <c r="M81" s="1224">
        <f t="shared" si="18"/>
        <v>0</v>
      </c>
      <c r="N81" s="1224">
        <f t="shared" si="19"/>
        <v>0</v>
      </c>
      <c r="O81" s="1825" t="str">
        <f>IF(G81=0,0,IF(ISNA('Proposed Lighting'!AT81),0,'Proposed Lighting'!AT81))</f>
        <v/>
      </c>
      <c r="P81" s="1825"/>
      <c r="Q81" s="1247"/>
      <c r="R81" s="1247"/>
      <c r="S81" s="1247"/>
      <c r="T81" s="1211"/>
      <c r="U81" s="1235">
        <f>IF(K81&gt;0.01,'Proposed Lighting'!CU81,0)</f>
        <v>0</v>
      </c>
      <c r="V81" s="1248">
        <f>IF('Proposed Lighting'!CF81=1,0,IF('Proposed Lighting'!AU81=2,0,IF(AND('Proposed Lighting'!AU81=3,'Proposed Lighting'!CF81=0),1,0)))</f>
        <v>0</v>
      </c>
      <c r="W81" s="1836"/>
      <c r="X81" s="1836"/>
      <c r="Y81" s="1836"/>
      <c r="Z81" s="1230" t="str">
        <f t="shared" si="13"/>
        <v/>
      </c>
      <c r="AA81" s="1230">
        <f t="shared" si="14"/>
        <v>0</v>
      </c>
      <c r="AB81" s="1230">
        <f>IF(Q81=0,0,IF(T81=0,0,IF(AA81=0,0,IF(AND(F81=3,V81=0),0,IF(T81=0,0,IF(K81&gt;'Proposed Lighting'!AA81,0,IF('Proposed Lighting'!EJ81&gt;0.01,(K81*O81)*'Proposed Lighting'!EJ81/1000,(K81*O81)*U81/1000)))))))</f>
        <v>0</v>
      </c>
      <c r="AC81" s="1230" t="str">
        <f t="shared" si="20"/>
        <v/>
      </c>
      <c r="AD81" s="1230">
        <f t="shared" si="15"/>
        <v>0</v>
      </c>
      <c r="AE81" s="1230">
        <f>IF(T81=0,0,IF(K81&gt;'Proposed Lighting'!AA81,0,IF(T81&gt;K81,0,IF(AND(AD81&gt;AA81,AA81&gt;0),0,IF(AND(F81&gt;1,W81&lt;0.01),0,IF('Proposed Lighting'!AU81&gt;'Lighting Controls'!F81,0,IF('Proposed Lighting'!AU81&lt;'Lighting Controls'!F81,0,IF(U81=0,0,Summary!AC384))))))))</f>
        <v>0</v>
      </c>
      <c r="AF81" s="1230">
        <f>IF(T81=0,0,IF(AE81=0,0,IF(K81&gt;'Proposed Lighting'!AA81,0,IF(AND(AD81&gt;AA81,AA81&gt;0),0,IF(U81=0,0,Summary!AD384)))))</f>
        <v>0</v>
      </c>
      <c r="AG81" s="1834">
        <f>IF('Proposed Lighting'!AU81=1,0,IF('Proposed Lighting'!CF81=1,0,T81*W81))</f>
        <v>0</v>
      </c>
      <c r="AH81" s="1834"/>
      <c r="AI81" s="1834"/>
      <c r="AJ81" s="1835">
        <f>IF(T81&lt;1,0,IF(K81&gt;'Proposed Lighting'!AA81,0,IF('Proposed Lighting'!CF81=1,0,IF('Proposed Lighting'!AU81=1,0,IF(T81&gt;K81,0,IF(AND(AD81&gt;AA81,AA81&gt;0),0,IF(AND(F81=2,'Proposed Lighting'!AU81=3),0,IF(AND(F81=3,'Proposed Lighting'!AU81=2),0,IF('Proposed Lighting'!CH81=100,0,IF(AND(F81&lt;3,V81=1,AM81=0),0,IF(AND(F81&gt;1,AF81&lt;1,AN81&lt;1),0,IF(AND(F81&gt;1,AE81&lt;0.69,AF81&lt;1,AN81&lt;1),0,IF(ISERROR(AB81-AC81),"",AB81-AC81)))))))))))))</f>
        <v>0</v>
      </c>
      <c r="AK81" s="1835"/>
      <c r="AL81" s="1835"/>
      <c r="AM81" s="1216">
        <f>IF(Q81=0,0,IF(T81=0,0,IF(T81&gt;K81,0,IF(AND(AS81&gt;0.01,BK81=0),0,IF(AND('Proposed Lighting'!DG81=0,'Lighting Controls'!Z81=0.35),0,IF(AND(T81&lt;=K81,AA81&gt;=AD81,'Proposed Lighting'!AU81=2),VLOOKUP(Q81,$AY$9:$AZ$15,2,FALSE),IF(AND(T81&lt;=K81,AA81&gt;=AD81,'Proposed Lighting'!AU81=3),VLOOKUP(Q81,$AY$17:$AZ$23,2,FALSE))))))))</f>
        <v>0</v>
      </c>
      <c r="AN81" s="1248">
        <f>IF(T81=0,0,IF(K81&gt;'Proposed Lighting'!AA81,0,IF(AE81=0,0,IF(AND(AD81&gt;AA81,AA81&gt;0),0,IF(U81=0,0,Summary!AE384)))))</f>
        <v>0</v>
      </c>
      <c r="AO81" s="1248">
        <f t="shared" si="24"/>
        <v>0</v>
      </c>
      <c r="AP81" s="1249">
        <f>IF('Proposed Lighting'!AU81=1,0,IF(K81=0,0,IF(T81&gt;K81,0,IF(G81=0,0,IF(K81&gt;'Proposed Lighting'!AA81,0,IF(AND(AD81&gt;AA81,AA81&gt;0),0,IF(AND('Proposed Lighting'!AU81=3,AM81=0.5),0,IF(AND(AM81&gt;0,AS81&gt;0,BI81&lt;2),0,IF('Proposed Lighting'!CH81=100,0,IF(AV81=1,0,IF(AND(AM81=35,M81+N81&lt;2),0,AM81)))))))))))</f>
        <v>0</v>
      </c>
      <c r="AQ81" s="1249" t="str">
        <f>IFERROR(ROUND(IF(Q81="","",IF('Proposed Lighting'!$X$4=0,0,IF(AND(AM81=35,M81+N81&lt;2),0,IF(T81&gt;K81,0,IF('Proposed Lighting'!AU81=1,0,IF(AJ81=0,0,IF(AND('Proposed Lighting'!AU81=3,AM81=0.5),0,IF(AND(AD81=75,AP81=0,AV81=0),0,IF(AP81&gt;0.01,AP81*T81,IF(AND(F81&gt;1,W81&lt;0.01),0,IF(AND(F81&gt;1,AO81=0),0,IF(AND('Proposed Lighting'!BC81=22,AV81=0),0,IF(AND(AM81&gt;0,AS81&gt;0,BI81&lt;2),0,IF(AND(AS81&gt;0.01,BK81=0),0,IF(AND(AO81=TRUE,AV81=1,F81=3),MIN(AJ81*0.08,L81),IF(AP81&gt;0.01,AP81*T81,IF(AND(AO81=TRUE,AV81=1,F81=2),MIN(AJ81*0.1,L81)))))))))))))))))),2),"")</f>
        <v/>
      </c>
      <c r="AR81" s="1250">
        <f>IF(Q81=0,0,IF('Proposed Lighting'!$X$4=0,0,IF(AND(AM81&gt;0.01,AQ81&gt;0.01),0,IF('Proposed Lighting'!AU81=1,"Missing Interior or Exterior Selection",IF('Proposed Lighting'!CF81=1,"Selection does not match",IF(K81&gt;'Proposed Lighting'!AA81,"Quantity controlled does not match proposed lighting quantity",IF(T81&gt;K81,"Quantity of sensors exceeds proposed lighting quantity",IF(AND(F81&gt;1,'Proposed Lighting'!AU81&lt;&gt;F81),"Selection does not match",IF(AND(AD81&gt;AA81,AA81&gt;0),"Does not meet minimum connected load",IF(AND(O81&gt;0,AS81&gt;0,BK81&gt;0,'Proposed Lighting'!CH81=0),"Select Control Strategies",IF(AND(AC81&gt;0.1,AJ81=0,AQ81=0),"Does not meet incentive criteria",0)))))))))))</f>
        <v>0</v>
      </c>
      <c r="AS81" s="1224">
        <f>IF('Proposed Lighting'!CH81=100,0,IF(ISNUMBER(SEARCH("multiple",Q81)),1,0))</f>
        <v>0</v>
      </c>
      <c r="AT81" s="451">
        <f t="shared" si="21"/>
        <v>0</v>
      </c>
      <c r="AU81" s="451">
        <f t="shared" si="22"/>
        <v>0</v>
      </c>
      <c r="AV81" s="1222">
        <f>IF(ISNUMBER(SEARCH("Networked",'Proposed Lighting'!T81)),0,IF(ISNUMBER(SEARCH("Strategies",'Proposed Lighting'!T81)),0,IF(ISNUMBER(SEARCH("Removal",'Proposed Lighting'!T81)),0,IF(ISNUMBER(SEARCH("non-standard",Q81)),1,0))))</f>
        <v>0</v>
      </c>
      <c r="AW81" s="451">
        <f t="shared" ref="AW81:AW144" si="25">IF(AQ74&gt;0.01,AJ74,0)</f>
        <v>0</v>
      </c>
      <c r="AX81" s="451"/>
      <c r="AY81" s="451"/>
      <c r="AZ81" s="451"/>
      <c r="BA81" s="451"/>
      <c r="BB81" s="451"/>
      <c r="BC81" s="1215"/>
      <c r="BD81" s="1215"/>
      <c r="BE81" s="1215"/>
      <c r="BF81" s="1215"/>
      <c r="BG81" s="1215"/>
      <c r="BH81" s="1215"/>
      <c r="BI81">
        <f>IF(AND(AS81=1,BC81="No",BD81="Yes",BE81="Yes",BF81="No",BH81="No"),0,IF(AND('Proposed Lighting'!AU81=2,AS81=1,BC81="Yes",BD81="Yes"),2,IF(AND('Proposed Lighting'!AU81=2,AS81=1,BC81="Yes",BE81="Yes"),2,IF(AND('Proposed Lighting'!AU81=2,AS81=1,BC81="Yes",BF81="Yes"),2,IF(AND('Proposed Lighting'!AU81=2,AS81=1,BC81="Yes",BH81="Yes"),2,IF(AND('Proposed Lighting'!AU81=2,AS81=1,BD81="Yes",BF81="Yes"),2,IF(AND('Proposed Lighting'!AU81=2,AS81=1,BD81="Yes",BH81="Yes"),2,IF(AND('Proposed Lighting'!AU81=3,AS81=1,BC81="Yes",BE81="Yes"),2,IF(AND('Proposed Lighting'!AU81=3,AS81=1,BC81="Yes",BF81="Yes"),2,0)))))))))</f>
        <v>0</v>
      </c>
      <c r="BJ81" s="1025">
        <f t="shared" si="23"/>
        <v>0</v>
      </c>
      <c r="BK81">
        <f>IF(AND('Proposed Lighting'!BC81=22,'Lighting Controls'!N81=1),0,IF(ISNUMBER(SEARCH("LED",G81)),1,0))</f>
        <v>0</v>
      </c>
    </row>
    <row r="82" spans="1:63" ht="34.5" customHeight="1">
      <c r="A82" s="917">
        <v>74</v>
      </c>
      <c r="B82" s="1828" t="str">
        <f>IF('Proposed Lighting'!B82="","",'Proposed Lighting'!B82)</f>
        <v/>
      </c>
      <c r="C82" s="1828"/>
      <c r="D82" s="1828"/>
      <c r="E82" s="1245">
        <f>'Proposed Lighting'!AA82</f>
        <v>0</v>
      </c>
      <c r="F82" s="1245">
        <f t="shared" si="16"/>
        <v>0</v>
      </c>
      <c r="G82" s="1830" t="str">
        <f>IF('Proposed Lighting'!T82="","",IF(ISNUMBER(SEARCH("Networked",'Proposed Lighting'!T82)),0,IF(ISNUMBER(SEARCH("Strategies",'Proposed Lighting'!T82)),0,IF(ISNUMBER(SEARCH("Removal",'Proposed Lighting'!T82)),0,'Proposed Lighting'!T82))))</f>
        <v/>
      </c>
      <c r="H82" s="1830"/>
      <c r="I82" s="1830"/>
      <c r="J82" s="1830"/>
      <c r="K82" s="1215"/>
      <c r="L82" s="1246">
        <f t="shared" si="17"/>
        <v>0</v>
      </c>
      <c r="M82" s="1224">
        <f t="shared" si="18"/>
        <v>0</v>
      </c>
      <c r="N82" s="1224">
        <f t="shared" si="19"/>
        <v>0</v>
      </c>
      <c r="O82" s="1825" t="str">
        <f>IF(G82=0,0,IF(ISNA('Proposed Lighting'!AT82),0,'Proposed Lighting'!AT82))</f>
        <v/>
      </c>
      <c r="P82" s="1825"/>
      <c r="Q82" s="1247"/>
      <c r="R82" s="1247"/>
      <c r="S82" s="1247"/>
      <c r="T82" s="1211"/>
      <c r="U82" s="1235">
        <f>IF(K82&gt;0.01,'Proposed Lighting'!CU82,0)</f>
        <v>0</v>
      </c>
      <c r="V82" s="1248">
        <f>IF('Proposed Lighting'!CF82=1,0,IF('Proposed Lighting'!AU82=2,0,IF(AND('Proposed Lighting'!AU82=3,'Proposed Lighting'!CF82=0),1,0)))</f>
        <v>0</v>
      </c>
      <c r="W82" s="1836"/>
      <c r="X82" s="1836"/>
      <c r="Y82" s="1836"/>
      <c r="Z82" s="1230" t="str">
        <f t="shared" si="13"/>
        <v/>
      </c>
      <c r="AA82" s="1230">
        <f t="shared" si="14"/>
        <v>0</v>
      </c>
      <c r="AB82" s="1230">
        <f>IF(Q82=0,0,IF(T82=0,0,IF(AA82=0,0,IF(AND(F82=3,V82=0),0,IF(T82=0,0,IF(K82&gt;'Proposed Lighting'!AA82,0,IF('Proposed Lighting'!EJ82&gt;0.01,(K82*O82)*'Proposed Lighting'!EJ82/1000,(K82*O82)*U82/1000)))))))</f>
        <v>0</v>
      </c>
      <c r="AC82" s="1230" t="str">
        <f t="shared" si="20"/>
        <v/>
      </c>
      <c r="AD82" s="1230">
        <f t="shared" si="15"/>
        <v>0</v>
      </c>
      <c r="AE82" s="1230">
        <f>IF(T82=0,0,IF(K82&gt;'Proposed Lighting'!AA82,0,IF(T82&gt;K82,0,IF(AND(AD82&gt;AA82,AA82&gt;0),0,IF(AND(F82&gt;1,W82&lt;0.01),0,IF('Proposed Lighting'!AU82&gt;'Lighting Controls'!F82,0,IF('Proposed Lighting'!AU82&lt;'Lighting Controls'!F82,0,IF(U82=0,0,Summary!AC385))))))))</f>
        <v>0</v>
      </c>
      <c r="AF82" s="1230">
        <f>IF(T82=0,0,IF(AE82=0,0,IF(K82&gt;'Proposed Lighting'!AA82,0,IF(AND(AD82&gt;AA82,AA82&gt;0),0,IF(U82=0,0,Summary!AD385)))))</f>
        <v>0</v>
      </c>
      <c r="AG82" s="1834">
        <f>IF('Proposed Lighting'!AU82=1,0,IF('Proposed Lighting'!CF82=1,0,T82*W82))</f>
        <v>0</v>
      </c>
      <c r="AH82" s="1834"/>
      <c r="AI82" s="1834"/>
      <c r="AJ82" s="1835">
        <f>IF(T82&lt;1,0,IF(K82&gt;'Proposed Lighting'!AA82,0,IF('Proposed Lighting'!CF82=1,0,IF('Proposed Lighting'!AU82=1,0,IF(T82&gt;K82,0,IF(AND(AD82&gt;AA82,AA82&gt;0),0,IF(AND(F82=2,'Proposed Lighting'!AU82=3),0,IF(AND(F82=3,'Proposed Lighting'!AU82=2),0,IF('Proposed Lighting'!CH82=100,0,IF(AND(F82&lt;3,V82=1,AM82=0),0,IF(AND(F82&gt;1,AF82&lt;1,AN82&lt;1),0,IF(AND(F82&gt;1,AE82&lt;0.69,AF82&lt;1,AN82&lt;1),0,IF(ISERROR(AB82-AC82),"",AB82-AC82)))))))))))))</f>
        <v>0</v>
      </c>
      <c r="AK82" s="1835"/>
      <c r="AL82" s="1835"/>
      <c r="AM82" s="1216">
        <f>IF(Q82=0,0,IF(T82=0,0,IF(T82&gt;K82,0,IF(AND(AS82&gt;0.01,BK82=0),0,IF(AND('Proposed Lighting'!DG82=0,'Lighting Controls'!Z82=0.35),0,IF(AND(T82&lt;=K82,AA82&gt;=AD82,'Proposed Lighting'!AU82=2),VLOOKUP(Q82,$AY$9:$AZ$15,2,FALSE),IF(AND(T82&lt;=K82,AA82&gt;=AD82,'Proposed Lighting'!AU82=3),VLOOKUP(Q82,$AY$17:$AZ$23,2,FALSE))))))))</f>
        <v>0</v>
      </c>
      <c r="AN82" s="1248">
        <f>IF(T82=0,0,IF(K82&gt;'Proposed Lighting'!AA82,0,IF(AE82=0,0,IF(AND(AD82&gt;AA82,AA82&gt;0),0,IF(U82=0,0,Summary!AE385)))))</f>
        <v>0</v>
      </c>
      <c r="AO82" s="1248">
        <f t="shared" si="24"/>
        <v>0</v>
      </c>
      <c r="AP82" s="1249">
        <f>IF('Proposed Lighting'!AU82=1,0,IF(K82=0,0,IF(T82&gt;K82,0,IF(G82=0,0,IF(K82&gt;'Proposed Lighting'!AA82,0,IF(AND(AD82&gt;AA82,AA82&gt;0),0,IF(AND('Proposed Lighting'!AU82=3,AM82=0.5),0,IF(AND(AM82&gt;0,AS82&gt;0,BI82&lt;2),0,IF('Proposed Lighting'!CH82=100,0,IF(AV82=1,0,IF(AND(AM82=35,M82+N82&lt;2),0,AM82)))))))))))</f>
        <v>0</v>
      </c>
      <c r="AQ82" s="1249" t="str">
        <f>IFERROR(ROUND(IF(Q82="","",IF('Proposed Lighting'!$X$4=0,0,IF(AND(AM82=35,M82+N82&lt;2),0,IF(T82&gt;K82,0,IF('Proposed Lighting'!AU82=1,0,IF(AJ82=0,0,IF(AND('Proposed Lighting'!AU82=3,AM82=0.5),0,IF(AND(AD82=75,AP82=0,AV82=0),0,IF(AP82&gt;0.01,AP82*T82,IF(AND(F82&gt;1,W82&lt;0.01),0,IF(AND(F82&gt;1,AO82=0),0,IF(AND('Proposed Lighting'!BC82=22,AV82=0),0,IF(AND(AM82&gt;0,AS82&gt;0,BI82&lt;2),0,IF(AND(AS82&gt;0.01,BK82=0),0,IF(AND(AO82=TRUE,AV82=1,F82=3),MIN(AJ82*0.08,L82),IF(AP82&gt;0.01,AP82*T82,IF(AND(AO82=TRUE,AV82=1,F82=2),MIN(AJ82*0.1,L82)))))))))))))))))),2),"")</f>
        <v/>
      </c>
      <c r="AR82" s="1250">
        <f>IF(Q82=0,0,IF('Proposed Lighting'!$X$4=0,0,IF(AND(AM82&gt;0.01,AQ82&gt;0.01),0,IF('Proposed Lighting'!AU82=1,"Missing Interior or Exterior Selection",IF('Proposed Lighting'!CF82=1,"Selection does not match",IF(K82&gt;'Proposed Lighting'!AA82,"Quantity controlled does not match proposed lighting quantity",IF(T82&gt;K82,"Quantity of sensors exceeds proposed lighting quantity",IF(AND(F82&gt;1,'Proposed Lighting'!AU82&lt;&gt;F82),"Selection does not match",IF(AND(AD82&gt;AA82,AA82&gt;0),"Does not meet minimum connected load",IF(AND(O82&gt;0,AS82&gt;0,BK82&gt;0,'Proposed Lighting'!CH82=0),"Select Control Strategies",IF(AND(AC82&gt;0.1,AJ82=0,AQ82=0),"Does not meet incentive criteria",0)))))))))))</f>
        <v>0</v>
      </c>
      <c r="AS82" s="1224">
        <f>IF('Proposed Lighting'!CH82=100,0,IF(ISNUMBER(SEARCH("multiple",Q82)),1,0))</f>
        <v>0</v>
      </c>
      <c r="AT82" s="451">
        <f t="shared" si="21"/>
        <v>0</v>
      </c>
      <c r="AU82" s="451">
        <f t="shared" si="22"/>
        <v>0</v>
      </c>
      <c r="AV82" s="1222">
        <f>IF(ISNUMBER(SEARCH("Networked",'Proposed Lighting'!T82)),0,IF(ISNUMBER(SEARCH("Strategies",'Proposed Lighting'!T82)),0,IF(ISNUMBER(SEARCH("Removal",'Proposed Lighting'!T82)),0,IF(ISNUMBER(SEARCH("non-standard",Q82)),1,0))))</f>
        <v>0</v>
      </c>
      <c r="AW82" s="451">
        <f t="shared" si="25"/>
        <v>0</v>
      </c>
      <c r="AX82" s="451"/>
      <c r="AY82" s="451"/>
      <c r="AZ82" s="451"/>
      <c r="BA82" s="451"/>
      <c r="BB82" s="451"/>
      <c r="BC82" s="1215"/>
      <c r="BD82" s="1215"/>
      <c r="BE82" s="1215"/>
      <c r="BF82" s="1215"/>
      <c r="BG82" s="1215"/>
      <c r="BH82" s="1215"/>
      <c r="BI82">
        <f>IF(AND(AS82=1,BC82="No",BD82="Yes",BE82="Yes",BF82="No",BH82="No"),0,IF(AND('Proposed Lighting'!AU82=2,AS82=1,BC82="Yes",BD82="Yes"),2,IF(AND('Proposed Lighting'!AU82=2,AS82=1,BC82="Yes",BE82="Yes"),2,IF(AND('Proposed Lighting'!AU82=2,AS82=1,BC82="Yes",BF82="Yes"),2,IF(AND('Proposed Lighting'!AU82=2,AS82=1,BC82="Yes",BH82="Yes"),2,IF(AND('Proposed Lighting'!AU82=2,AS82=1,BD82="Yes",BF82="Yes"),2,IF(AND('Proposed Lighting'!AU82=2,AS82=1,BD82="Yes",BH82="Yes"),2,IF(AND('Proposed Lighting'!AU82=3,AS82=1,BC82="Yes",BE82="Yes"),2,IF(AND('Proposed Lighting'!AU82=3,AS82=1,BC82="Yes",BF82="Yes"),2,0)))))))))</f>
        <v>0</v>
      </c>
      <c r="BJ82" s="1025">
        <f t="shared" si="23"/>
        <v>0</v>
      </c>
      <c r="BK82">
        <f>IF(AND('Proposed Lighting'!BC82=22,'Lighting Controls'!N82=1),0,IF(ISNUMBER(SEARCH("LED",G82)),1,0))</f>
        <v>0</v>
      </c>
    </row>
    <row r="83" spans="1:63" ht="34.5" customHeight="1">
      <c r="A83" s="917">
        <v>75</v>
      </c>
      <c r="B83" s="1828" t="str">
        <f>IF('Proposed Lighting'!B83="","",'Proposed Lighting'!B83)</f>
        <v/>
      </c>
      <c r="C83" s="1828"/>
      <c r="D83" s="1828"/>
      <c r="E83" s="1245">
        <f>'Proposed Lighting'!AA83</f>
        <v>0</v>
      </c>
      <c r="F83" s="1245">
        <f t="shared" si="16"/>
        <v>0</v>
      </c>
      <c r="G83" s="1830" t="str">
        <f>IF('Proposed Lighting'!T83="","",IF(ISNUMBER(SEARCH("Networked",'Proposed Lighting'!T83)),0,IF(ISNUMBER(SEARCH("Strategies",'Proposed Lighting'!T83)),0,IF(ISNUMBER(SEARCH("Removal",'Proposed Lighting'!T83)),0,'Proposed Lighting'!T83))))</f>
        <v/>
      </c>
      <c r="H83" s="1830"/>
      <c r="I83" s="1830"/>
      <c r="J83" s="1830"/>
      <c r="K83" s="1215"/>
      <c r="L83" s="1246">
        <f t="shared" si="17"/>
        <v>0</v>
      </c>
      <c r="M83" s="1224">
        <f t="shared" si="18"/>
        <v>0</v>
      </c>
      <c r="N83" s="1224">
        <f t="shared" si="19"/>
        <v>0</v>
      </c>
      <c r="O83" s="1825" t="str">
        <f>IF(G83=0,0,IF(ISNA('Proposed Lighting'!AT83),0,'Proposed Lighting'!AT83))</f>
        <v/>
      </c>
      <c r="P83" s="1825"/>
      <c r="Q83" s="1247"/>
      <c r="R83" s="1247"/>
      <c r="S83" s="1247"/>
      <c r="T83" s="1211"/>
      <c r="U83" s="1235">
        <f>IF(K83&gt;0.01,'Proposed Lighting'!CU83,0)</f>
        <v>0</v>
      </c>
      <c r="V83" s="1248">
        <f>IF('Proposed Lighting'!CF83=1,0,IF('Proposed Lighting'!AU83=2,0,IF(AND('Proposed Lighting'!AU83=3,'Proposed Lighting'!CF83=0),1,0)))</f>
        <v>0</v>
      </c>
      <c r="W83" s="1836"/>
      <c r="X83" s="1836"/>
      <c r="Y83" s="1836"/>
      <c r="Z83" s="1230" t="str">
        <f t="shared" si="13"/>
        <v/>
      </c>
      <c r="AA83" s="1230">
        <f t="shared" si="14"/>
        <v>0</v>
      </c>
      <c r="AB83" s="1230">
        <f>IF(Q83=0,0,IF(T83=0,0,IF(AA83=0,0,IF(AND(F83=3,V83=0),0,IF(T83=0,0,IF(K83&gt;'Proposed Lighting'!AA83,0,IF('Proposed Lighting'!EJ83&gt;0.01,(K83*O83)*'Proposed Lighting'!EJ83/1000,(K83*O83)*U83/1000)))))))</f>
        <v>0</v>
      </c>
      <c r="AC83" s="1230" t="str">
        <f t="shared" si="20"/>
        <v/>
      </c>
      <c r="AD83" s="1230">
        <f t="shared" si="15"/>
        <v>0</v>
      </c>
      <c r="AE83" s="1230">
        <f>IF(T83=0,0,IF(K83&gt;'Proposed Lighting'!AA83,0,IF(T83&gt;K83,0,IF(AND(AD83&gt;AA83,AA83&gt;0),0,IF(AND(F83&gt;1,W83&lt;0.01),0,IF('Proposed Lighting'!AU83&gt;'Lighting Controls'!F83,0,IF('Proposed Lighting'!AU83&lt;'Lighting Controls'!F83,0,IF(U83=0,0,Summary!AC386))))))))</f>
        <v>0</v>
      </c>
      <c r="AF83" s="1230">
        <f>IF(T83=0,0,IF(AE83=0,0,IF(K83&gt;'Proposed Lighting'!AA83,0,IF(AND(AD83&gt;AA83,AA83&gt;0),0,IF(U83=0,0,Summary!AD386)))))</f>
        <v>0</v>
      </c>
      <c r="AG83" s="1834">
        <f>IF('Proposed Lighting'!AU83=1,0,IF('Proposed Lighting'!CF83=1,0,T83*W83))</f>
        <v>0</v>
      </c>
      <c r="AH83" s="1834"/>
      <c r="AI83" s="1834"/>
      <c r="AJ83" s="1835">
        <f>IF(T83&lt;1,0,IF(K83&gt;'Proposed Lighting'!AA83,0,IF('Proposed Lighting'!CF83=1,0,IF('Proposed Lighting'!AU83=1,0,IF(T83&gt;K83,0,IF(AND(AD83&gt;AA83,AA83&gt;0),0,IF(AND(F83=2,'Proposed Lighting'!AU83=3),0,IF(AND(F83=3,'Proposed Lighting'!AU83=2),0,IF('Proposed Lighting'!CH83=100,0,IF(AND(F83&lt;3,V83=1,AM83=0),0,IF(AND(F83&gt;1,AF83&lt;1,AN83&lt;1),0,IF(AND(F83&gt;1,AE83&lt;0.69,AF83&lt;1,AN83&lt;1),0,IF(ISERROR(AB83-AC83),"",AB83-AC83)))))))))))))</f>
        <v>0</v>
      </c>
      <c r="AK83" s="1835"/>
      <c r="AL83" s="1835"/>
      <c r="AM83" s="1216">
        <f>IF(Q83=0,0,IF(T83=0,0,IF(T83&gt;K83,0,IF(AND(AS83&gt;0.01,BK83=0),0,IF(AND('Proposed Lighting'!DG83=0,'Lighting Controls'!Z83=0.35),0,IF(AND(T83&lt;=K83,AA83&gt;=AD83,'Proposed Lighting'!AU83=2),VLOOKUP(Q83,$AY$9:$AZ$15,2,FALSE),IF(AND(T83&lt;=K83,AA83&gt;=AD83,'Proposed Lighting'!AU83=3),VLOOKUP(Q83,$AY$17:$AZ$23,2,FALSE))))))))</f>
        <v>0</v>
      </c>
      <c r="AN83" s="1248">
        <f>IF(T83=0,0,IF(K83&gt;'Proposed Lighting'!AA83,0,IF(AE83=0,0,IF(AND(AD83&gt;AA83,AA83&gt;0),0,IF(U83=0,0,Summary!AE386)))))</f>
        <v>0</v>
      </c>
      <c r="AO83" s="1248">
        <f t="shared" si="24"/>
        <v>0</v>
      </c>
      <c r="AP83" s="1249">
        <f>IF('Proposed Lighting'!AU83=1,0,IF(K83=0,0,IF(T83&gt;K83,0,IF(G83=0,0,IF(K83&gt;'Proposed Lighting'!AA83,0,IF(AND(AD83&gt;AA83,AA83&gt;0),0,IF(AND('Proposed Lighting'!AU83=3,AM83=0.5),0,IF(AND(AM83&gt;0,AS83&gt;0,BI83&lt;2),0,IF('Proposed Lighting'!CH83=100,0,IF(AV83=1,0,IF(AND(AM83=35,M83+N83&lt;2),0,AM83)))))))))))</f>
        <v>0</v>
      </c>
      <c r="AQ83" s="1249" t="str">
        <f>IFERROR(ROUND(IF(Q83="","",IF('Proposed Lighting'!$X$4=0,0,IF(AND(AM83=35,M83+N83&lt;2),0,IF(T83&gt;K83,0,IF('Proposed Lighting'!AU83=1,0,IF(AJ83=0,0,IF(AND('Proposed Lighting'!AU83=3,AM83=0.5),0,IF(AND(AD83=75,AP83=0,AV83=0),0,IF(AP83&gt;0.01,AP83*T83,IF(AND(F83&gt;1,W83&lt;0.01),0,IF(AND(F83&gt;1,AO83=0),0,IF(AND('Proposed Lighting'!BC83=22,AV83=0),0,IF(AND(AM83&gt;0,AS83&gt;0,BI83&lt;2),0,IF(AND(AS83&gt;0.01,BK83=0),0,IF(AND(AO83=TRUE,AV83=1,F83=3),MIN(AJ83*0.08,L83),IF(AP83&gt;0.01,AP83*T83,IF(AND(AO83=TRUE,AV83=1,F83=2),MIN(AJ83*0.1,L83)))))))))))))))))),2),"")</f>
        <v/>
      </c>
      <c r="AR83" s="1250">
        <f>IF(Q83=0,0,IF('Proposed Lighting'!$X$4=0,0,IF(AND(AM83&gt;0.01,AQ83&gt;0.01),0,IF('Proposed Lighting'!AU83=1,"Missing Interior or Exterior Selection",IF('Proposed Lighting'!CF83=1,"Selection does not match",IF(K83&gt;'Proposed Lighting'!AA83,"Quantity controlled does not match proposed lighting quantity",IF(T83&gt;K83,"Quantity of sensors exceeds proposed lighting quantity",IF(AND(F83&gt;1,'Proposed Lighting'!AU83&lt;&gt;F83),"Selection does not match",IF(AND(AD83&gt;AA83,AA83&gt;0),"Does not meet minimum connected load",IF(AND(O83&gt;0,AS83&gt;0,BK83&gt;0,'Proposed Lighting'!CH83=0),"Select Control Strategies",IF(AND(AC83&gt;0.1,AJ83=0,AQ83=0),"Does not meet incentive criteria",0)))))))))))</f>
        <v>0</v>
      </c>
      <c r="AS83" s="1224">
        <f>IF('Proposed Lighting'!CH83=100,0,IF(ISNUMBER(SEARCH("multiple",Q83)),1,0))</f>
        <v>0</v>
      </c>
      <c r="AT83" s="451">
        <f t="shared" si="21"/>
        <v>0</v>
      </c>
      <c r="AU83" s="451">
        <f t="shared" si="22"/>
        <v>0</v>
      </c>
      <c r="AV83" s="1222">
        <f>IF(ISNUMBER(SEARCH("Networked",'Proposed Lighting'!T83)),0,IF(ISNUMBER(SEARCH("Strategies",'Proposed Lighting'!T83)),0,IF(ISNUMBER(SEARCH("Removal",'Proposed Lighting'!T83)),0,IF(ISNUMBER(SEARCH("non-standard",Q83)),1,0))))</f>
        <v>0</v>
      </c>
      <c r="AW83" s="451">
        <f t="shared" si="25"/>
        <v>0</v>
      </c>
      <c r="AX83" s="451"/>
      <c r="AY83" s="451"/>
      <c r="AZ83" s="451"/>
      <c r="BA83" s="451"/>
      <c r="BB83" s="451"/>
      <c r="BC83" s="1215"/>
      <c r="BD83" s="1215"/>
      <c r="BE83" s="1215"/>
      <c r="BF83" s="1215"/>
      <c r="BG83" s="1215"/>
      <c r="BH83" s="1215"/>
      <c r="BI83">
        <f>IF(AND(AS83=1,BC83="No",BD83="Yes",BE83="Yes",BF83="No",BH83="No"),0,IF(AND('Proposed Lighting'!AU83=2,AS83=1,BC83="Yes",BD83="Yes"),2,IF(AND('Proposed Lighting'!AU83=2,AS83=1,BC83="Yes",BE83="Yes"),2,IF(AND('Proposed Lighting'!AU83=2,AS83=1,BC83="Yes",BF83="Yes"),2,IF(AND('Proposed Lighting'!AU83=2,AS83=1,BC83="Yes",BH83="Yes"),2,IF(AND('Proposed Lighting'!AU83=2,AS83=1,BD83="Yes",BF83="Yes"),2,IF(AND('Proposed Lighting'!AU83=2,AS83=1,BD83="Yes",BH83="Yes"),2,IF(AND('Proposed Lighting'!AU83=3,AS83=1,BC83="Yes",BE83="Yes"),2,IF(AND('Proposed Lighting'!AU83=3,AS83=1,BC83="Yes",BF83="Yes"),2,0)))))))))</f>
        <v>0</v>
      </c>
      <c r="BJ83" s="1025">
        <f t="shared" si="23"/>
        <v>0</v>
      </c>
      <c r="BK83">
        <f>IF(AND('Proposed Lighting'!BC83=22,'Lighting Controls'!N83=1),0,IF(ISNUMBER(SEARCH("LED",G83)),1,0))</f>
        <v>0</v>
      </c>
    </row>
    <row r="84" spans="1:63" ht="34.5" customHeight="1">
      <c r="A84" s="917">
        <v>76</v>
      </c>
      <c r="B84" s="1828" t="str">
        <f>IF('Proposed Lighting'!B84="","",'Proposed Lighting'!B84)</f>
        <v/>
      </c>
      <c r="C84" s="1828"/>
      <c r="D84" s="1828"/>
      <c r="E84" s="1245">
        <f>'Proposed Lighting'!AA84</f>
        <v>0</v>
      </c>
      <c r="F84" s="1245">
        <f t="shared" si="16"/>
        <v>0</v>
      </c>
      <c r="G84" s="1830" t="str">
        <f>IF('Proposed Lighting'!T84="","",IF(ISNUMBER(SEARCH("Networked",'Proposed Lighting'!T84)),0,IF(ISNUMBER(SEARCH("Strategies",'Proposed Lighting'!T84)),0,IF(ISNUMBER(SEARCH("Removal",'Proposed Lighting'!T84)),0,'Proposed Lighting'!T84))))</f>
        <v/>
      </c>
      <c r="H84" s="1830"/>
      <c r="I84" s="1830"/>
      <c r="J84" s="1830"/>
      <c r="K84" s="1215"/>
      <c r="L84" s="1246">
        <f t="shared" si="17"/>
        <v>0</v>
      </c>
      <c r="M84" s="1224">
        <f t="shared" si="18"/>
        <v>0</v>
      </c>
      <c r="N84" s="1224">
        <f t="shared" si="19"/>
        <v>0</v>
      </c>
      <c r="O84" s="1825" t="str">
        <f>IF(G84=0,0,IF(ISNA('Proposed Lighting'!AT84),0,'Proposed Lighting'!AT84))</f>
        <v/>
      </c>
      <c r="P84" s="1825"/>
      <c r="Q84" s="1247"/>
      <c r="R84" s="1247"/>
      <c r="S84" s="1247"/>
      <c r="T84" s="1211"/>
      <c r="U84" s="1235">
        <f>IF(K84&gt;0.01,'Proposed Lighting'!CU84,0)</f>
        <v>0</v>
      </c>
      <c r="V84" s="1248">
        <f>IF('Proposed Lighting'!CF84=1,0,IF('Proposed Lighting'!AU84=2,0,IF(AND('Proposed Lighting'!AU84=3,'Proposed Lighting'!CF84=0),1,0)))</f>
        <v>0</v>
      </c>
      <c r="W84" s="1836"/>
      <c r="X84" s="1836"/>
      <c r="Y84" s="1836"/>
      <c r="Z84" s="1230" t="str">
        <f t="shared" si="13"/>
        <v/>
      </c>
      <c r="AA84" s="1230">
        <f t="shared" si="14"/>
        <v>0</v>
      </c>
      <c r="AB84" s="1230">
        <f>IF(Q84=0,0,IF(T84=0,0,IF(AA84=0,0,IF(AND(F84=3,V84=0),0,IF(T84=0,0,IF(K84&gt;'Proposed Lighting'!AA84,0,IF('Proposed Lighting'!EJ84&gt;0.01,(K84*O84)*'Proposed Lighting'!EJ84/1000,(K84*O84)*U84/1000)))))))</f>
        <v>0</v>
      </c>
      <c r="AC84" s="1230" t="str">
        <f t="shared" si="20"/>
        <v/>
      </c>
      <c r="AD84" s="1230">
        <f t="shared" si="15"/>
        <v>0</v>
      </c>
      <c r="AE84" s="1230">
        <f>IF(T84=0,0,IF(K84&gt;'Proposed Lighting'!AA84,0,IF(T84&gt;K84,0,IF(AND(AD84&gt;AA84,AA84&gt;0),0,IF(AND(F84&gt;1,W84&lt;0.01),0,IF('Proposed Lighting'!AU84&gt;'Lighting Controls'!F84,0,IF('Proposed Lighting'!AU84&lt;'Lighting Controls'!F84,0,IF(U84=0,0,Summary!AC387))))))))</f>
        <v>0</v>
      </c>
      <c r="AF84" s="1230">
        <f>IF(T84=0,0,IF(AE84=0,0,IF(K84&gt;'Proposed Lighting'!AA84,0,IF(AND(AD84&gt;AA84,AA84&gt;0),0,IF(U84=0,0,Summary!AD387)))))</f>
        <v>0</v>
      </c>
      <c r="AG84" s="1834">
        <f>IF('Proposed Lighting'!AU84=1,0,IF('Proposed Lighting'!CF84=1,0,T84*W84))</f>
        <v>0</v>
      </c>
      <c r="AH84" s="1834"/>
      <c r="AI84" s="1834"/>
      <c r="AJ84" s="1835">
        <f>IF(T84&lt;1,0,IF(K84&gt;'Proposed Lighting'!AA84,0,IF('Proposed Lighting'!CF84=1,0,IF('Proposed Lighting'!AU84=1,0,IF(T84&gt;K84,0,IF(AND(AD84&gt;AA84,AA84&gt;0),0,IF(AND(F84=2,'Proposed Lighting'!AU84=3),0,IF(AND(F84=3,'Proposed Lighting'!AU84=2),0,IF('Proposed Lighting'!CH84=100,0,IF(AND(F84&lt;3,V84=1,AM84=0),0,IF(AND(F84&gt;1,AF84&lt;1,AN84&lt;1),0,IF(AND(F84&gt;1,AE84&lt;0.69,AF84&lt;1,AN84&lt;1),0,IF(ISERROR(AB84-AC84),"",AB84-AC84)))))))))))))</f>
        <v>0</v>
      </c>
      <c r="AK84" s="1835"/>
      <c r="AL84" s="1835"/>
      <c r="AM84" s="1216">
        <f>IF(Q84=0,0,IF(T84=0,0,IF(T84&gt;K84,0,IF(AND(AS84&gt;0.01,BK84=0),0,IF(AND('Proposed Lighting'!DG84=0,'Lighting Controls'!Z84=0.35),0,IF(AND(T84&lt;=K84,AA84&gt;=AD84,'Proposed Lighting'!AU84=2),VLOOKUP(Q84,$AY$9:$AZ$15,2,FALSE),IF(AND(T84&lt;=K84,AA84&gt;=AD84,'Proposed Lighting'!AU84=3),VLOOKUP(Q84,$AY$17:$AZ$23,2,FALSE))))))))</f>
        <v>0</v>
      </c>
      <c r="AN84" s="1248">
        <f>IF(T84=0,0,IF(K84&gt;'Proposed Lighting'!AA84,0,IF(AE84=0,0,IF(AND(AD84&gt;AA84,AA84&gt;0),0,IF(U84=0,0,Summary!AE387)))))</f>
        <v>0</v>
      </c>
      <c r="AO84" s="1248">
        <f t="shared" si="24"/>
        <v>0</v>
      </c>
      <c r="AP84" s="1249">
        <f>IF('Proposed Lighting'!AU84=1,0,IF(K84=0,0,IF(T84&gt;K84,0,IF(G84=0,0,IF(K84&gt;'Proposed Lighting'!AA84,0,IF(AND(AD84&gt;AA84,AA84&gt;0),0,IF(AND('Proposed Lighting'!AU84=3,AM84=0.5),0,IF(AND(AM84&gt;0,AS84&gt;0,BI84&lt;2),0,IF('Proposed Lighting'!CH84=100,0,IF(AV84=1,0,IF(AND(AM84=35,M84+N84&lt;2),0,AM84)))))))))))</f>
        <v>0</v>
      </c>
      <c r="AQ84" s="1249" t="str">
        <f>IFERROR(ROUND(IF(Q84="","",IF('Proposed Lighting'!$X$4=0,0,IF(AND(AM84=35,M84+N84&lt;2),0,IF(T84&gt;K84,0,IF('Proposed Lighting'!AU84=1,0,IF(AJ84=0,0,IF(AND('Proposed Lighting'!AU84=3,AM84=0.5),0,IF(AND(AD84=75,AP84=0,AV84=0),0,IF(AP84&gt;0.01,AP84*T84,IF(AND(F84&gt;1,W84&lt;0.01),0,IF(AND(F84&gt;1,AO84=0),0,IF(AND('Proposed Lighting'!BC84=22,AV84=0),0,IF(AND(AM84&gt;0,AS84&gt;0,BI84&lt;2),0,IF(AND(AS84&gt;0.01,BK84=0),0,IF(AND(AO84=TRUE,AV84=1,F84=3),MIN(AJ84*0.08,L84),IF(AP84&gt;0.01,AP84*T84,IF(AND(AO84=TRUE,AV84=1,F84=2),MIN(AJ84*0.1,L84)))))))))))))))))),2),"")</f>
        <v/>
      </c>
      <c r="AR84" s="1250">
        <f>IF(Q84=0,0,IF('Proposed Lighting'!$X$4=0,0,IF(AND(AM84&gt;0.01,AQ84&gt;0.01),0,IF('Proposed Lighting'!AU84=1,"Missing Interior or Exterior Selection",IF('Proposed Lighting'!CF84=1,"Selection does not match",IF(K84&gt;'Proposed Lighting'!AA84,"Quantity controlled does not match proposed lighting quantity",IF(T84&gt;K84,"Quantity of sensors exceeds proposed lighting quantity",IF(AND(F84&gt;1,'Proposed Lighting'!AU84&lt;&gt;F84),"Selection does not match",IF(AND(AD84&gt;AA84,AA84&gt;0),"Does not meet minimum connected load",IF(AND(O84&gt;0,AS84&gt;0,BK84&gt;0,'Proposed Lighting'!CH84=0),"Select Control Strategies",IF(AND(AC84&gt;0.1,AJ84=0,AQ84=0),"Does not meet incentive criteria",0)))))))))))</f>
        <v>0</v>
      </c>
      <c r="AS84" s="1224">
        <f>IF('Proposed Lighting'!CH84=100,0,IF(ISNUMBER(SEARCH("multiple",Q84)),1,0))</f>
        <v>0</v>
      </c>
      <c r="AT84" s="451">
        <f t="shared" si="21"/>
        <v>0</v>
      </c>
      <c r="AU84" s="451">
        <f t="shared" si="22"/>
        <v>0</v>
      </c>
      <c r="AV84" s="1222">
        <f>IF(ISNUMBER(SEARCH("Networked",'Proposed Lighting'!T84)),0,IF(ISNUMBER(SEARCH("Strategies",'Proposed Lighting'!T84)),0,IF(ISNUMBER(SEARCH("Removal",'Proposed Lighting'!T84)),0,IF(ISNUMBER(SEARCH("non-standard",Q84)),1,0))))</f>
        <v>0</v>
      </c>
      <c r="AW84" s="451">
        <f t="shared" si="25"/>
        <v>0</v>
      </c>
      <c r="AX84" s="451"/>
      <c r="AY84" s="451"/>
      <c r="AZ84" s="451"/>
      <c r="BA84" s="451"/>
      <c r="BB84" s="451"/>
      <c r="BC84" s="1215"/>
      <c r="BD84" s="1215"/>
      <c r="BE84" s="1215"/>
      <c r="BF84" s="1215"/>
      <c r="BG84" s="1215"/>
      <c r="BH84" s="1215"/>
      <c r="BI84">
        <f>IF(AND(AS84=1,BC84="No",BD84="Yes",BE84="Yes",BF84="No",BH84="No"),0,IF(AND('Proposed Lighting'!AU84=2,AS84=1,BC84="Yes",BD84="Yes"),2,IF(AND('Proposed Lighting'!AU84=2,AS84=1,BC84="Yes",BE84="Yes"),2,IF(AND('Proposed Lighting'!AU84=2,AS84=1,BC84="Yes",BF84="Yes"),2,IF(AND('Proposed Lighting'!AU84=2,AS84=1,BC84="Yes",BH84="Yes"),2,IF(AND('Proposed Lighting'!AU84=2,AS84=1,BD84="Yes",BF84="Yes"),2,IF(AND('Proposed Lighting'!AU84=2,AS84=1,BD84="Yes",BH84="Yes"),2,IF(AND('Proposed Lighting'!AU84=3,AS84=1,BC84="Yes",BE84="Yes"),2,IF(AND('Proposed Lighting'!AU84=3,AS84=1,BC84="Yes",BF84="Yes"),2,0)))))))))</f>
        <v>0</v>
      </c>
      <c r="BJ84" s="1025">
        <f t="shared" si="23"/>
        <v>0</v>
      </c>
      <c r="BK84">
        <f>IF(AND('Proposed Lighting'!BC84=22,'Lighting Controls'!N84=1),0,IF(ISNUMBER(SEARCH("LED",G84)),1,0))</f>
        <v>0</v>
      </c>
    </row>
    <row r="85" spans="1:63" ht="34.5" customHeight="1">
      <c r="A85" s="917">
        <v>77</v>
      </c>
      <c r="B85" s="1828" t="str">
        <f>IF('Proposed Lighting'!B85="","",'Proposed Lighting'!B85)</f>
        <v/>
      </c>
      <c r="C85" s="1828"/>
      <c r="D85" s="1828"/>
      <c r="E85" s="1245">
        <f>'Proposed Lighting'!AA85</f>
        <v>0</v>
      </c>
      <c r="F85" s="1245">
        <f t="shared" si="16"/>
        <v>0</v>
      </c>
      <c r="G85" s="1830" t="str">
        <f>IF('Proposed Lighting'!T85="","",IF(ISNUMBER(SEARCH("Networked",'Proposed Lighting'!T85)),0,IF(ISNUMBER(SEARCH("Strategies",'Proposed Lighting'!T85)),0,IF(ISNUMBER(SEARCH("Removal",'Proposed Lighting'!T85)),0,'Proposed Lighting'!T85))))</f>
        <v/>
      </c>
      <c r="H85" s="1830"/>
      <c r="I85" s="1830"/>
      <c r="J85" s="1830"/>
      <c r="K85" s="1215"/>
      <c r="L85" s="1246">
        <f t="shared" si="17"/>
        <v>0</v>
      </c>
      <c r="M85" s="1224">
        <f t="shared" si="18"/>
        <v>0</v>
      </c>
      <c r="N85" s="1224">
        <f t="shared" si="19"/>
        <v>0</v>
      </c>
      <c r="O85" s="1825" t="str">
        <f>IF(G85=0,0,IF(ISNA('Proposed Lighting'!AT85),0,'Proposed Lighting'!AT85))</f>
        <v/>
      </c>
      <c r="P85" s="1825"/>
      <c r="Q85" s="1247"/>
      <c r="R85" s="1247"/>
      <c r="S85" s="1247"/>
      <c r="T85" s="1211"/>
      <c r="U85" s="1235">
        <f>IF(K85&gt;0.01,'Proposed Lighting'!CU85,0)</f>
        <v>0</v>
      </c>
      <c r="V85" s="1248">
        <f>IF('Proposed Lighting'!CF85=1,0,IF('Proposed Lighting'!AU85=2,0,IF(AND('Proposed Lighting'!AU85=3,'Proposed Lighting'!CF85=0),1,0)))</f>
        <v>0</v>
      </c>
      <c r="W85" s="1836"/>
      <c r="X85" s="1836"/>
      <c r="Y85" s="1836"/>
      <c r="Z85" s="1230" t="str">
        <f t="shared" si="13"/>
        <v/>
      </c>
      <c r="AA85" s="1230">
        <f t="shared" si="14"/>
        <v>0</v>
      </c>
      <c r="AB85" s="1230">
        <f>IF(Q85=0,0,IF(T85=0,0,IF(AA85=0,0,IF(AND(F85=3,V85=0),0,IF(T85=0,0,IF(K85&gt;'Proposed Lighting'!AA85,0,IF('Proposed Lighting'!EJ85&gt;0.01,(K85*O85)*'Proposed Lighting'!EJ85/1000,(K85*O85)*U85/1000)))))))</f>
        <v>0</v>
      </c>
      <c r="AC85" s="1230" t="str">
        <f t="shared" si="20"/>
        <v/>
      </c>
      <c r="AD85" s="1230">
        <f t="shared" si="15"/>
        <v>0</v>
      </c>
      <c r="AE85" s="1230">
        <f>IF(T85=0,0,IF(K85&gt;'Proposed Lighting'!AA85,0,IF(T85&gt;K85,0,IF(AND(AD85&gt;AA85,AA85&gt;0),0,IF(AND(F85&gt;1,W85&lt;0.01),0,IF('Proposed Lighting'!AU85&gt;'Lighting Controls'!F85,0,IF('Proposed Lighting'!AU85&lt;'Lighting Controls'!F85,0,IF(U85=0,0,Summary!AC388))))))))</f>
        <v>0</v>
      </c>
      <c r="AF85" s="1230">
        <f>IF(T85=0,0,IF(AE85=0,0,IF(K85&gt;'Proposed Lighting'!AA85,0,IF(AND(AD85&gt;AA85,AA85&gt;0),0,IF(U85=0,0,Summary!AD388)))))</f>
        <v>0</v>
      </c>
      <c r="AG85" s="1834">
        <f>IF('Proposed Lighting'!AU85=1,0,IF('Proposed Lighting'!CF85=1,0,T85*W85))</f>
        <v>0</v>
      </c>
      <c r="AH85" s="1834"/>
      <c r="AI85" s="1834"/>
      <c r="AJ85" s="1835">
        <f>IF(T85&lt;1,0,IF(K85&gt;'Proposed Lighting'!AA85,0,IF('Proposed Lighting'!CF85=1,0,IF('Proposed Lighting'!AU85=1,0,IF(T85&gt;K85,0,IF(AND(AD85&gt;AA85,AA85&gt;0),0,IF(AND(F85=2,'Proposed Lighting'!AU85=3),0,IF(AND(F85=3,'Proposed Lighting'!AU85=2),0,IF('Proposed Lighting'!CH85=100,0,IF(AND(F85&lt;3,V85=1,AM85=0),0,IF(AND(F85&gt;1,AF85&lt;1,AN85&lt;1),0,IF(AND(F85&gt;1,AE85&lt;0.69,AF85&lt;1,AN85&lt;1),0,IF(ISERROR(AB85-AC85),"",AB85-AC85)))))))))))))</f>
        <v>0</v>
      </c>
      <c r="AK85" s="1835"/>
      <c r="AL85" s="1835"/>
      <c r="AM85" s="1216">
        <f>IF(Q85=0,0,IF(T85=0,0,IF(T85&gt;K85,0,IF(AND(AS85&gt;0.01,BK85=0),0,IF(AND('Proposed Lighting'!DG85=0,'Lighting Controls'!Z85=0.35),0,IF(AND(T85&lt;=K85,AA85&gt;=AD85,'Proposed Lighting'!AU85=2),VLOOKUP(Q85,$AY$9:$AZ$15,2,FALSE),IF(AND(T85&lt;=K85,AA85&gt;=AD85,'Proposed Lighting'!AU85=3),VLOOKUP(Q85,$AY$17:$AZ$23,2,FALSE))))))))</f>
        <v>0</v>
      </c>
      <c r="AN85" s="1248">
        <f>IF(T85=0,0,IF(K85&gt;'Proposed Lighting'!AA85,0,IF(AE85=0,0,IF(AND(AD85&gt;AA85,AA85&gt;0),0,IF(U85=0,0,Summary!AE388)))))</f>
        <v>0</v>
      </c>
      <c r="AO85" s="1248">
        <f t="shared" si="24"/>
        <v>0</v>
      </c>
      <c r="AP85" s="1249">
        <f>IF('Proposed Lighting'!AU85=1,0,IF(K85=0,0,IF(T85&gt;K85,0,IF(G85=0,0,IF(K85&gt;'Proposed Lighting'!AA85,0,IF(AND(AD85&gt;AA85,AA85&gt;0),0,IF(AND('Proposed Lighting'!AU85=3,AM85=0.5),0,IF(AND(AM85&gt;0,AS85&gt;0,BI85&lt;2),0,IF('Proposed Lighting'!CH85=100,0,IF(AV85=1,0,IF(AND(AM85=35,M85+N85&lt;2),0,AM85)))))))))))</f>
        <v>0</v>
      </c>
      <c r="AQ85" s="1249" t="str">
        <f>IFERROR(ROUND(IF(Q85="","",IF('Proposed Lighting'!$X$4=0,0,IF(AND(AM85=35,M85+N85&lt;2),0,IF(T85&gt;K85,0,IF('Proposed Lighting'!AU85=1,0,IF(AJ85=0,0,IF(AND('Proposed Lighting'!AU85=3,AM85=0.5),0,IF(AND(AD85=75,AP85=0,AV85=0),0,IF(AP85&gt;0.01,AP85*T85,IF(AND(F85&gt;1,W85&lt;0.01),0,IF(AND(F85&gt;1,AO85=0),0,IF(AND('Proposed Lighting'!BC85=22,AV85=0),0,IF(AND(AM85&gt;0,AS85&gt;0,BI85&lt;2),0,IF(AND(AS85&gt;0.01,BK85=0),0,IF(AND(AO85=TRUE,AV85=1,F85=3),MIN(AJ85*0.08,L85),IF(AP85&gt;0.01,AP85*T85,IF(AND(AO85=TRUE,AV85=1,F85=2),MIN(AJ85*0.1,L85)))))))))))))))))),2),"")</f>
        <v/>
      </c>
      <c r="AR85" s="1250">
        <f>IF(Q85=0,0,IF('Proposed Lighting'!$X$4=0,0,IF(AND(AM85&gt;0.01,AQ85&gt;0.01),0,IF('Proposed Lighting'!AU85=1,"Missing Interior or Exterior Selection",IF('Proposed Lighting'!CF85=1,"Selection does not match",IF(K85&gt;'Proposed Lighting'!AA85,"Quantity controlled does not match proposed lighting quantity",IF(T85&gt;K85,"Quantity of sensors exceeds proposed lighting quantity",IF(AND(F85&gt;1,'Proposed Lighting'!AU85&lt;&gt;F85),"Selection does not match",IF(AND(AD85&gt;AA85,AA85&gt;0),"Does not meet minimum connected load",IF(AND(O85&gt;0,AS85&gt;0,BK85&gt;0,'Proposed Lighting'!CH85=0),"Select Control Strategies",IF(AND(AC85&gt;0.1,AJ85=0,AQ85=0),"Does not meet incentive criteria",0)))))))))))</f>
        <v>0</v>
      </c>
      <c r="AS85" s="1224">
        <f>IF('Proposed Lighting'!CH85=100,0,IF(ISNUMBER(SEARCH("multiple",Q85)),1,0))</f>
        <v>0</v>
      </c>
      <c r="AT85" s="451">
        <f t="shared" si="21"/>
        <v>0</v>
      </c>
      <c r="AU85" s="451">
        <f t="shared" si="22"/>
        <v>0</v>
      </c>
      <c r="AV85" s="1222">
        <f>IF(ISNUMBER(SEARCH("Networked",'Proposed Lighting'!T85)),0,IF(ISNUMBER(SEARCH("Strategies",'Proposed Lighting'!T85)),0,IF(ISNUMBER(SEARCH("Removal",'Proposed Lighting'!T85)),0,IF(ISNUMBER(SEARCH("non-standard",Q85)),1,0))))</f>
        <v>0</v>
      </c>
      <c r="AW85" s="451">
        <f t="shared" si="25"/>
        <v>0</v>
      </c>
      <c r="AX85" s="451"/>
      <c r="AY85" s="451"/>
      <c r="AZ85" s="451"/>
      <c r="BA85" s="451"/>
      <c r="BB85" s="451"/>
      <c r="BC85" s="1215"/>
      <c r="BD85" s="1215"/>
      <c r="BE85" s="1215"/>
      <c r="BF85" s="1215"/>
      <c r="BG85" s="1215"/>
      <c r="BH85" s="1215"/>
      <c r="BI85">
        <f>IF(AND(AS85=1,BC85="No",BD85="Yes",BE85="Yes",BF85="No",BH85="No"),0,IF(AND('Proposed Lighting'!AU85=2,AS85=1,BC85="Yes",BD85="Yes"),2,IF(AND('Proposed Lighting'!AU85=2,AS85=1,BC85="Yes",BE85="Yes"),2,IF(AND('Proposed Lighting'!AU85=2,AS85=1,BC85="Yes",BF85="Yes"),2,IF(AND('Proposed Lighting'!AU85=2,AS85=1,BC85="Yes",BH85="Yes"),2,IF(AND('Proposed Lighting'!AU85=2,AS85=1,BD85="Yes",BF85="Yes"),2,IF(AND('Proposed Lighting'!AU85=2,AS85=1,BD85="Yes",BH85="Yes"),2,IF(AND('Proposed Lighting'!AU85=3,AS85=1,BC85="Yes",BE85="Yes"),2,IF(AND('Proposed Lighting'!AU85=3,AS85=1,BC85="Yes",BF85="Yes"),2,0)))))))))</f>
        <v>0</v>
      </c>
      <c r="BJ85" s="1025">
        <f t="shared" si="23"/>
        <v>0</v>
      </c>
      <c r="BK85">
        <f>IF(AND('Proposed Lighting'!BC85=22,'Lighting Controls'!N85=1),0,IF(ISNUMBER(SEARCH("LED",G85)),1,0))</f>
        <v>0</v>
      </c>
    </row>
    <row r="86" spans="1:63" ht="34.5" customHeight="1">
      <c r="A86" s="917">
        <v>78</v>
      </c>
      <c r="B86" s="1828" t="str">
        <f>IF('Proposed Lighting'!B86="","",'Proposed Lighting'!B86)</f>
        <v/>
      </c>
      <c r="C86" s="1828"/>
      <c r="D86" s="1828"/>
      <c r="E86" s="1245">
        <f>'Proposed Lighting'!AA86</f>
        <v>0</v>
      </c>
      <c r="F86" s="1245">
        <f t="shared" si="16"/>
        <v>0</v>
      </c>
      <c r="G86" s="1830" t="str">
        <f>IF('Proposed Lighting'!T86="","",IF(ISNUMBER(SEARCH("Networked",'Proposed Lighting'!T86)),0,IF(ISNUMBER(SEARCH("Strategies",'Proposed Lighting'!T86)),0,IF(ISNUMBER(SEARCH("Removal",'Proposed Lighting'!T86)),0,'Proposed Lighting'!T86))))</f>
        <v/>
      </c>
      <c r="H86" s="1830"/>
      <c r="I86" s="1830"/>
      <c r="J86" s="1830"/>
      <c r="K86" s="1215"/>
      <c r="L86" s="1246">
        <f t="shared" si="17"/>
        <v>0</v>
      </c>
      <c r="M86" s="1224">
        <f t="shared" si="18"/>
        <v>0</v>
      </c>
      <c r="N86" s="1224">
        <f t="shared" si="19"/>
        <v>0</v>
      </c>
      <c r="O86" s="1825" t="str">
        <f>IF(G86=0,0,IF(ISNA('Proposed Lighting'!AT86),0,'Proposed Lighting'!AT86))</f>
        <v/>
      </c>
      <c r="P86" s="1825"/>
      <c r="Q86" s="1247"/>
      <c r="R86" s="1247"/>
      <c r="S86" s="1247"/>
      <c r="T86" s="1211"/>
      <c r="U86" s="1235">
        <f>IF(K86&gt;0.01,'Proposed Lighting'!CU86,0)</f>
        <v>0</v>
      </c>
      <c r="V86" s="1248">
        <f>IF('Proposed Lighting'!CF86=1,0,IF('Proposed Lighting'!AU86=2,0,IF(AND('Proposed Lighting'!AU86=3,'Proposed Lighting'!CF86=0),1,0)))</f>
        <v>0</v>
      </c>
      <c r="W86" s="1836"/>
      <c r="X86" s="1836"/>
      <c r="Y86" s="1836"/>
      <c r="Z86" s="1230" t="str">
        <f t="shared" si="13"/>
        <v/>
      </c>
      <c r="AA86" s="1230">
        <f t="shared" si="14"/>
        <v>0</v>
      </c>
      <c r="AB86" s="1230">
        <f>IF(Q86=0,0,IF(T86=0,0,IF(AA86=0,0,IF(AND(F86=3,V86=0),0,IF(T86=0,0,IF(K86&gt;'Proposed Lighting'!AA86,0,IF('Proposed Lighting'!EJ86&gt;0.01,(K86*O86)*'Proposed Lighting'!EJ86/1000,(K86*O86)*U86/1000)))))))</f>
        <v>0</v>
      </c>
      <c r="AC86" s="1230" t="str">
        <f t="shared" si="20"/>
        <v/>
      </c>
      <c r="AD86" s="1230">
        <f t="shared" si="15"/>
        <v>0</v>
      </c>
      <c r="AE86" s="1230">
        <f>IF(T86=0,0,IF(K86&gt;'Proposed Lighting'!AA86,0,IF(T86&gt;K86,0,IF(AND(AD86&gt;AA86,AA86&gt;0),0,IF(AND(F86&gt;1,W86&lt;0.01),0,IF('Proposed Lighting'!AU86&gt;'Lighting Controls'!F86,0,IF('Proposed Lighting'!AU86&lt;'Lighting Controls'!F86,0,IF(U86=0,0,Summary!AC389))))))))</f>
        <v>0</v>
      </c>
      <c r="AF86" s="1230">
        <f>IF(T86=0,0,IF(AE86=0,0,IF(K86&gt;'Proposed Lighting'!AA86,0,IF(AND(AD86&gt;AA86,AA86&gt;0),0,IF(U86=0,0,Summary!AD389)))))</f>
        <v>0</v>
      </c>
      <c r="AG86" s="1834">
        <f>IF('Proposed Lighting'!AU86=1,0,IF('Proposed Lighting'!CF86=1,0,T86*W86))</f>
        <v>0</v>
      </c>
      <c r="AH86" s="1834"/>
      <c r="AI86" s="1834"/>
      <c r="AJ86" s="1835">
        <f>IF(T86&lt;1,0,IF(K86&gt;'Proposed Lighting'!AA86,0,IF('Proposed Lighting'!CF86=1,0,IF('Proposed Lighting'!AU86=1,0,IF(T86&gt;K86,0,IF(AND(AD86&gt;AA86,AA86&gt;0),0,IF(AND(F86=2,'Proposed Lighting'!AU86=3),0,IF(AND(F86=3,'Proposed Lighting'!AU86=2),0,IF('Proposed Lighting'!CH86=100,0,IF(AND(F86&lt;3,V86=1,AM86=0),0,IF(AND(F86&gt;1,AF86&lt;1,AN86&lt;1),0,IF(AND(F86&gt;1,AE86&lt;0.69,AF86&lt;1,AN86&lt;1),0,IF(ISERROR(AB86-AC86),"",AB86-AC86)))))))))))))</f>
        <v>0</v>
      </c>
      <c r="AK86" s="1835"/>
      <c r="AL86" s="1835"/>
      <c r="AM86" s="1216">
        <f>IF(Q86=0,0,IF(T86=0,0,IF(T86&gt;K86,0,IF(AND(AS86&gt;0.01,BK86=0),0,IF(AND('Proposed Lighting'!DG86=0,'Lighting Controls'!Z86=0.35),0,IF(AND(T86&lt;=K86,AA86&gt;=AD86,'Proposed Lighting'!AU86=2),VLOOKUP(Q86,$AY$9:$AZ$15,2,FALSE),IF(AND(T86&lt;=K86,AA86&gt;=AD86,'Proposed Lighting'!AU86=3),VLOOKUP(Q86,$AY$17:$AZ$23,2,FALSE))))))))</f>
        <v>0</v>
      </c>
      <c r="AN86" s="1248">
        <f>IF(T86=0,0,IF(K86&gt;'Proposed Lighting'!AA86,0,IF(AE86=0,0,IF(AND(AD86&gt;AA86,AA86&gt;0),0,IF(U86=0,0,Summary!AE389)))))</f>
        <v>0</v>
      </c>
      <c r="AO86" s="1248">
        <f t="shared" si="24"/>
        <v>0</v>
      </c>
      <c r="AP86" s="1249">
        <f>IF('Proposed Lighting'!AU86=1,0,IF(K86=0,0,IF(T86&gt;K86,0,IF(G86=0,0,IF(K86&gt;'Proposed Lighting'!AA86,0,IF(AND(AD86&gt;AA86,AA86&gt;0),0,IF(AND('Proposed Lighting'!AU86=3,AM86=0.5),0,IF(AND(AM86&gt;0,AS86&gt;0,BI86&lt;2),0,IF('Proposed Lighting'!CH86=100,0,IF(AV86=1,0,IF(AND(AM86=35,M86+N86&lt;2),0,AM86)))))))))))</f>
        <v>0</v>
      </c>
      <c r="AQ86" s="1249" t="str">
        <f>IFERROR(ROUND(IF(Q86="","",IF('Proposed Lighting'!$X$4=0,0,IF(AND(AM86=35,M86+N86&lt;2),0,IF(T86&gt;K86,0,IF('Proposed Lighting'!AU86=1,0,IF(AJ86=0,0,IF(AND('Proposed Lighting'!AU86=3,AM86=0.5),0,IF(AND(AD86=75,AP86=0,AV86=0),0,IF(AP86&gt;0.01,AP86*T86,IF(AND(F86&gt;1,W86&lt;0.01),0,IF(AND(F86&gt;1,AO86=0),0,IF(AND('Proposed Lighting'!BC86=22,AV86=0),0,IF(AND(AM86&gt;0,AS86&gt;0,BI86&lt;2),0,IF(AND(AS86&gt;0.01,BK86=0),0,IF(AND(AO86=TRUE,AV86=1,F86=3),MIN(AJ86*0.08,L86),IF(AP86&gt;0.01,AP86*T86,IF(AND(AO86=TRUE,AV86=1,F86=2),MIN(AJ86*0.1,L86)))))))))))))))))),2),"")</f>
        <v/>
      </c>
      <c r="AR86" s="1250">
        <f>IF(Q86=0,0,IF('Proposed Lighting'!$X$4=0,0,IF(AND(AM86&gt;0.01,AQ86&gt;0.01),0,IF('Proposed Lighting'!AU86=1,"Missing Interior or Exterior Selection",IF('Proposed Lighting'!CF86=1,"Selection does not match",IF(K86&gt;'Proposed Lighting'!AA86,"Quantity controlled does not match proposed lighting quantity",IF(T86&gt;K86,"Quantity of sensors exceeds proposed lighting quantity",IF(AND(F86&gt;1,'Proposed Lighting'!AU86&lt;&gt;F86),"Selection does not match",IF(AND(AD86&gt;AA86,AA86&gt;0),"Does not meet minimum connected load",IF(AND(O86&gt;0,AS86&gt;0,BK86&gt;0,'Proposed Lighting'!CH86=0),"Select Control Strategies",IF(AND(AC86&gt;0.1,AJ86=0,AQ86=0),"Does not meet incentive criteria",0)))))))))))</f>
        <v>0</v>
      </c>
      <c r="AS86" s="1224">
        <f>IF('Proposed Lighting'!CH86=100,0,IF(ISNUMBER(SEARCH("multiple",Q86)),1,0))</f>
        <v>0</v>
      </c>
      <c r="AT86" s="451">
        <f t="shared" si="21"/>
        <v>0</v>
      </c>
      <c r="AU86" s="451">
        <f t="shared" si="22"/>
        <v>0</v>
      </c>
      <c r="AV86" s="1222">
        <f>IF(ISNUMBER(SEARCH("Networked",'Proposed Lighting'!T86)),0,IF(ISNUMBER(SEARCH("Strategies",'Proposed Lighting'!T86)),0,IF(ISNUMBER(SEARCH("Removal",'Proposed Lighting'!T86)),0,IF(ISNUMBER(SEARCH("non-standard",Q86)),1,0))))</f>
        <v>0</v>
      </c>
      <c r="AW86" s="451">
        <f t="shared" si="25"/>
        <v>0</v>
      </c>
      <c r="AX86" s="451"/>
      <c r="AY86" s="451"/>
      <c r="AZ86" s="451"/>
      <c r="BA86" s="451"/>
      <c r="BB86" s="451"/>
      <c r="BC86" s="1215"/>
      <c r="BD86" s="1215"/>
      <c r="BE86" s="1215"/>
      <c r="BF86" s="1215"/>
      <c r="BG86" s="1215"/>
      <c r="BH86" s="1215"/>
      <c r="BI86">
        <f>IF(AND(AS86=1,BC86="No",BD86="Yes",BE86="Yes",BF86="No",BH86="No"),0,IF(AND('Proposed Lighting'!AU86=2,AS86=1,BC86="Yes",BD86="Yes"),2,IF(AND('Proposed Lighting'!AU86=2,AS86=1,BC86="Yes",BE86="Yes"),2,IF(AND('Proposed Lighting'!AU86=2,AS86=1,BC86="Yes",BF86="Yes"),2,IF(AND('Proposed Lighting'!AU86=2,AS86=1,BC86="Yes",BH86="Yes"),2,IF(AND('Proposed Lighting'!AU86=2,AS86=1,BD86="Yes",BF86="Yes"),2,IF(AND('Proposed Lighting'!AU86=2,AS86=1,BD86="Yes",BH86="Yes"),2,IF(AND('Proposed Lighting'!AU86=3,AS86=1,BC86="Yes",BE86="Yes"),2,IF(AND('Proposed Lighting'!AU86=3,AS86=1,BC86="Yes",BF86="Yes"),2,0)))))))))</f>
        <v>0</v>
      </c>
      <c r="BJ86" s="1025">
        <f t="shared" si="23"/>
        <v>0</v>
      </c>
      <c r="BK86">
        <f>IF(AND('Proposed Lighting'!BC86=22,'Lighting Controls'!N86=1),0,IF(ISNUMBER(SEARCH("LED",G86)),1,0))</f>
        <v>0</v>
      </c>
    </row>
    <row r="87" spans="1:63" ht="34.5" customHeight="1">
      <c r="A87" s="917">
        <v>79</v>
      </c>
      <c r="B87" s="1828" t="str">
        <f>IF('Proposed Lighting'!B87="","",'Proposed Lighting'!B87)</f>
        <v/>
      </c>
      <c r="C87" s="1828"/>
      <c r="D87" s="1828"/>
      <c r="E87" s="1245">
        <f>'Proposed Lighting'!AA87</f>
        <v>0</v>
      </c>
      <c r="F87" s="1245">
        <f t="shared" si="16"/>
        <v>0</v>
      </c>
      <c r="G87" s="1830" t="str">
        <f>IF('Proposed Lighting'!T87="","",IF(ISNUMBER(SEARCH("Networked",'Proposed Lighting'!T87)),0,IF(ISNUMBER(SEARCH("Strategies",'Proposed Lighting'!T87)),0,IF(ISNUMBER(SEARCH("Removal",'Proposed Lighting'!T87)),0,'Proposed Lighting'!T87))))</f>
        <v/>
      </c>
      <c r="H87" s="1830"/>
      <c r="I87" s="1830"/>
      <c r="J87" s="1830"/>
      <c r="K87" s="1215"/>
      <c r="L87" s="1246">
        <f t="shared" si="17"/>
        <v>0</v>
      </c>
      <c r="M87" s="1224">
        <f t="shared" si="18"/>
        <v>0</v>
      </c>
      <c r="N87" s="1224">
        <f t="shared" si="19"/>
        <v>0</v>
      </c>
      <c r="O87" s="1825" t="str">
        <f>IF(G87=0,0,IF(ISNA('Proposed Lighting'!AT87),0,'Proposed Lighting'!AT87))</f>
        <v/>
      </c>
      <c r="P87" s="1825"/>
      <c r="Q87" s="1247"/>
      <c r="R87" s="1247"/>
      <c r="S87" s="1247"/>
      <c r="T87" s="1211"/>
      <c r="U87" s="1235">
        <f>IF(K87&gt;0.01,'Proposed Lighting'!CU87,0)</f>
        <v>0</v>
      </c>
      <c r="V87" s="1248">
        <f>IF('Proposed Lighting'!CF87=1,0,IF('Proposed Lighting'!AU87=2,0,IF(AND('Proposed Lighting'!AU87=3,'Proposed Lighting'!CF87=0),1,0)))</f>
        <v>0</v>
      </c>
      <c r="W87" s="1836"/>
      <c r="X87" s="1836"/>
      <c r="Y87" s="1836"/>
      <c r="Z87" s="1230" t="str">
        <f t="shared" si="13"/>
        <v/>
      </c>
      <c r="AA87" s="1230">
        <f t="shared" si="14"/>
        <v>0</v>
      </c>
      <c r="AB87" s="1230">
        <f>IF(Q87=0,0,IF(T87=0,0,IF(AA87=0,0,IF(AND(F87=3,V87=0),0,IF(T87=0,0,IF(K87&gt;'Proposed Lighting'!AA87,0,IF('Proposed Lighting'!EJ87&gt;0.01,(K87*O87)*'Proposed Lighting'!EJ87/1000,(K87*O87)*U87/1000)))))))</f>
        <v>0</v>
      </c>
      <c r="AC87" s="1230" t="str">
        <f t="shared" si="20"/>
        <v/>
      </c>
      <c r="AD87" s="1230">
        <f t="shared" si="15"/>
        <v>0</v>
      </c>
      <c r="AE87" s="1230">
        <f>IF(T87=0,0,IF(K87&gt;'Proposed Lighting'!AA87,0,IF(T87&gt;K87,0,IF(AND(AD87&gt;AA87,AA87&gt;0),0,IF(AND(F87&gt;1,W87&lt;0.01),0,IF('Proposed Lighting'!AU87&gt;'Lighting Controls'!F87,0,IF('Proposed Lighting'!AU87&lt;'Lighting Controls'!F87,0,IF(U87=0,0,Summary!AC390))))))))</f>
        <v>0</v>
      </c>
      <c r="AF87" s="1230">
        <f>IF(T87=0,0,IF(AE87=0,0,IF(K87&gt;'Proposed Lighting'!AA87,0,IF(AND(AD87&gt;AA87,AA87&gt;0),0,IF(U87=0,0,Summary!AD390)))))</f>
        <v>0</v>
      </c>
      <c r="AG87" s="1834">
        <f>IF('Proposed Lighting'!AU87=1,0,IF('Proposed Lighting'!CF87=1,0,T87*W87))</f>
        <v>0</v>
      </c>
      <c r="AH87" s="1834"/>
      <c r="AI87" s="1834"/>
      <c r="AJ87" s="1835">
        <f>IF(T87&lt;1,0,IF(K87&gt;'Proposed Lighting'!AA87,0,IF('Proposed Lighting'!CF87=1,0,IF('Proposed Lighting'!AU87=1,0,IF(T87&gt;K87,0,IF(AND(AD87&gt;AA87,AA87&gt;0),0,IF(AND(F87=2,'Proposed Lighting'!AU87=3),0,IF(AND(F87=3,'Proposed Lighting'!AU87=2),0,IF('Proposed Lighting'!CH87=100,0,IF(AND(F87&lt;3,V87=1,AM87=0),0,IF(AND(F87&gt;1,AF87&lt;1,AN87&lt;1),0,IF(AND(F87&gt;1,AE87&lt;0.69,AF87&lt;1,AN87&lt;1),0,IF(ISERROR(AB87-AC87),"",AB87-AC87)))))))))))))</f>
        <v>0</v>
      </c>
      <c r="AK87" s="1835"/>
      <c r="AL87" s="1835"/>
      <c r="AM87" s="1216">
        <f>IF(Q87=0,0,IF(T87=0,0,IF(T87&gt;K87,0,IF(AND(AS87&gt;0.01,BK87=0),0,IF(AND('Proposed Lighting'!DG87=0,'Lighting Controls'!Z87=0.35),0,IF(AND(T87&lt;=K87,AA87&gt;=AD87,'Proposed Lighting'!AU87=2),VLOOKUP(Q87,$AY$9:$AZ$15,2,FALSE),IF(AND(T87&lt;=K87,AA87&gt;=AD87,'Proposed Lighting'!AU87=3),VLOOKUP(Q87,$AY$17:$AZ$23,2,FALSE))))))))</f>
        <v>0</v>
      </c>
      <c r="AN87" s="1248">
        <f>IF(T87=0,0,IF(K87&gt;'Proposed Lighting'!AA87,0,IF(AE87=0,0,IF(AND(AD87&gt;AA87,AA87&gt;0),0,IF(U87=0,0,Summary!AE390)))))</f>
        <v>0</v>
      </c>
      <c r="AO87" s="1248">
        <f t="shared" si="24"/>
        <v>0</v>
      </c>
      <c r="AP87" s="1249">
        <f>IF('Proposed Lighting'!AU87=1,0,IF(K87=0,0,IF(T87&gt;K87,0,IF(G87=0,0,IF(K87&gt;'Proposed Lighting'!AA87,0,IF(AND(AD87&gt;AA87,AA87&gt;0),0,IF(AND('Proposed Lighting'!AU87=3,AM87=0.5),0,IF(AND(AM87&gt;0,AS87&gt;0,BI87&lt;2),0,IF('Proposed Lighting'!CH87=100,0,IF(AV87=1,0,IF(AND(AM87=35,M87+N87&lt;2),0,AM87)))))))))))</f>
        <v>0</v>
      </c>
      <c r="AQ87" s="1249" t="str">
        <f>IFERROR(ROUND(IF(Q87="","",IF('Proposed Lighting'!$X$4=0,0,IF(AND(AM87=35,M87+N87&lt;2),0,IF(T87&gt;K87,0,IF('Proposed Lighting'!AU87=1,0,IF(AJ87=0,0,IF(AND('Proposed Lighting'!AU87=3,AM87=0.5),0,IF(AND(AD87=75,AP87=0,AV87=0),0,IF(AP87&gt;0.01,AP87*T87,IF(AND(F87&gt;1,W87&lt;0.01),0,IF(AND(F87&gt;1,AO87=0),0,IF(AND('Proposed Lighting'!BC87=22,AV87=0),0,IF(AND(AM87&gt;0,AS87&gt;0,BI87&lt;2),0,IF(AND(AS87&gt;0.01,BK87=0),0,IF(AND(AO87=TRUE,AV87=1,F87=3),MIN(AJ87*0.08,L87),IF(AP87&gt;0.01,AP87*T87,IF(AND(AO87=TRUE,AV87=1,F87=2),MIN(AJ87*0.1,L87)))))))))))))))))),2),"")</f>
        <v/>
      </c>
      <c r="AR87" s="1250">
        <f>IF(Q87=0,0,IF('Proposed Lighting'!$X$4=0,0,IF(AND(AM87&gt;0.01,AQ87&gt;0.01),0,IF('Proposed Lighting'!AU87=1,"Missing Interior or Exterior Selection",IF('Proposed Lighting'!CF87=1,"Selection does not match",IF(K87&gt;'Proposed Lighting'!AA87,"Quantity controlled does not match proposed lighting quantity",IF(T87&gt;K87,"Quantity of sensors exceeds proposed lighting quantity",IF(AND(F87&gt;1,'Proposed Lighting'!AU87&lt;&gt;F87),"Selection does not match",IF(AND(AD87&gt;AA87,AA87&gt;0),"Does not meet minimum connected load",IF(AND(O87&gt;0,AS87&gt;0,BK87&gt;0,'Proposed Lighting'!CH87=0),"Select Control Strategies",IF(AND(AC87&gt;0.1,AJ87=0,AQ87=0),"Does not meet incentive criteria",0)))))))))))</f>
        <v>0</v>
      </c>
      <c r="AS87" s="1224">
        <f>IF('Proposed Lighting'!CH87=100,0,IF(ISNUMBER(SEARCH("multiple",Q87)),1,0))</f>
        <v>0</v>
      </c>
      <c r="AT87" s="451">
        <f t="shared" si="21"/>
        <v>0</v>
      </c>
      <c r="AU87" s="451">
        <f t="shared" si="22"/>
        <v>0</v>
      </c>
      <c r="AV87" s="1222">
        <f>IF(ISNUMBER(SEARCH("Networked",'Proposed Lighting'!T87)),0,IF(ISNUMBER(SEARCH("Strategies",'Proposed Lighting'!T87)),0,IF(ISNUMBER(SEARCH("Removal",'Proposed Lighting'!T87)),0,IF(ISNUMBER(SEARCH("non-standard",Q87)),1,0))))</f>
        <v>0</v>
      </c>
      <c r="AW87" s="451">
        <f t="shared" si="25"/>
        <v>0</v>
      </c>
      <c r="AX87" s="451"/>
      <c r="AY87" s="451"/>
      <c r="AZ87" s="451"/>
      <c r="BA87" s="451"/>
      <c r="BB87" s="451"/>
      <c r="BC87" s="1215"/>
      <c r="BD87" s="1215"/>
      <c r="BE87" s="1215"/>
      <c r="BF87" s="1215"/>
      <c r="BG87" s="1215"/>
      <c r="BH87" s="1215"/>
      <c r="BI87">
        <f>IF(AND(AS87=1,BC87="No",BD87="Yes",BE87="Yes",BF87="No",BH87="No"),0,IF(AND('Proposed Lighting'!AU87=2,AS87=1,BC87="Yes",BD87="Yes"),2,IF(AND('Proposed Lighting'!AU87=2,AS87=1,BC87="Yes",BE87="Yes"),2,IF(AND('Proposed Lighting'!AU87=2,AS87=1,BC87="Yes",BF87="Yes"),2,IF(AND('Proposed Lighting'!AU87=2,AS87=1,BC87="Yes",BH87="Yes"),2,IF(AND('Proposed Lighting'!AU87=2,AS87=1,BD87="Yes",BF87="Yes"),2,IF(AND('Proposed Lighting'!AU87=2,AS87=1,BD87="Yes",BH87="Yes"),2,IF(AND('Proposed Lighting'!AU87=3,AS87=1,BC87="Yes",BE87="Yes"),2,IF(AND('Proposed Lighting'!AU87=3,AS87=1,BC87="Yes",BF87="Yes"),2,0)))))))))</f>
        <v>0</v>
      </c>
      <c r="BJ87" s="1025">
        <f t="shared" si="23"/>
        <v>0</v>
      </c>
      <c r="BK87">
        <f>IF(AND('Proposed Lighting'!BC87=22,'Lighting Controls'!N87=1),0,IF(ISNUMBER(SEARCH("LED",G87)),1,0))</f>
        <v>0</v>
      </c>
    </row>
    <row r="88" spans="1:63" ht="34.5" customHeight="1">
      <c r="A88" s="917">
        <v>80</v>
      </c>
      <c r="B88" s="1828" t="str">
        <f>IF('Proposed Lighting'!B88="","",'Proposed Lighting'!B88)</f>
        <v/>
      </c>
      <c r="C88" s="1828"/>
      <c r="D88" s="1828"/>
      <c r="E88" s="1245">
        <f>'Proposed Lighting'!AA88</f>
        <v>0</v>
      </c>
      <c r="F88" s="1245">
        <f t="shared" si="16"/>
        <v>0</v>
      </c>
      <c r="G88" s="1830" t="str">
        <f>IF('Proposed Lighting'!T88="","",IF(ISNUMBER(SEARCH("Networked",'Proposed Lighting'!T88)),0,IF(ISNUMBER(SEARCH("Strategies",'Proposed Lighting'!T88)),0,IF(ISNUMBER(SEARCH("Removal",'Proposed Lighting'!T88)),0,'Proposed Lighting'!T88))))</f>
        <v/>
      </c>
      <c r="H88" s="1830"/>
      <c r="I88" s="1830"/>
      <c r="J88" s="1830"/>
      <c r="K88" s="1215"/>
      <c r="L88" s="1246">
        <f t="shared" si="17"/>
        <v>0</v>
      </c>
      <c r="M88" s="1224">
        <f t="shared" si="18"/>
        <v>0</v>
      </c>
      <c r="N88" s="1224">
        <f t="shared" si="19"/>
        <v>0</v>
      </c>
      <c r="O88" s="1825" t="str">
        <f>IF(G88=0,0,IF(ISNA('Proposed Lighting'!AT88),0,'Proposed Lighting'!AT88))</f>
        <v/>
      </c>
      <c r="P88" s="1825"/>
      <c r="Q88" s="1247"/>
      <c r="R88" s="1247"/>
      <c r="S88" s="1247"/>
      <c r="T88" s="1211"/>
      <c r="U88" s="1235">
        <f>IF(K88&gt;0.01,'Proposed Lighting'!CU88,0)</f>
        <v>0</v>
      </c>
      <c r="V88" s="1248">
        <f>IF('Proposed Lighting'!CF88=1,0,IF('Proposed Lighting'!AU88=2,0,IF(AND('Proposed Lighting'!AU88=3,'Proposed Lighting'!CF88=0),1,0)))</f>
        <v>0</v>
      </c>
      <c r="W88" s="1836"/>
      <c r="X88" s="1836"/>
      <c r="Y88" s="1836"/>
      <c r="Z88" s="1230" t="str">
        <f t="shared" si="13"/>
        <v/>
      </c>
      <c r="AA88" s="1230">
        <f t="shared" si="14"/>
        <v>0</v>
      </c>
      <c r="AB88" s="1230">
        <f>IF(Q88=0,0,IF(T88=0,0,IF(AA88=0,0,IF(AND(F88=3,V88=0),0,IF(T88=0,0,IF(K88&gt;'Proposed Lighting'!AA88,0,IF('Proposed Lighting'!EJ88&gt;0.01,(K88*O88)*'Proposed Lighting'!EJ88/1000,(K88*O88)*U88/1000)))))))</f>
        <v>0</v>
      </c>
      <c r="AC88" s="1230" t="str">
        <f t="shared" si="20"/>
        <v/>
      </c>
      <c r="AD88" s="1230">
        <f t="shared" si="15"/>
        <v>0</v>
      </c>
      <c r="AE88" s="1230">
        <f>IF(T88=0,0,IF(K88&gt;'Proposed Lighting'!AA88,0,IF(T88&gt;K88,0,IF(AND(AD88&gt;AA88,AA88&gt;0),0,IF(AND(F88&gt;1,W88&lt;0.01),0,IF('Proposed Lighting'!AU88&gt;'Lighting Controls'!F88,0,IF('Proposed Lighting'!AU88&lt;'Lighting Controls'!F88,0,IF(U88=0,0,Summary!AC391))))))))</f>
        <v>0</v>
      </c>
      <c r="AF88" s="1230">
        <f>IF(T88=0,0,IF(AE88=0,0,IF(K88&gt;'Proposed Lighting'!AA88,0,IF(AND(AD88&gt;AA88,AA88&gt;0),0,IF(U88=0,0,Summary!AD391)))))</f>
        <v>0</v>
      </c>
      <c r="AG88" s="1834">
        <f>IF('Proposed Lighting'!AU88=1,0,IF('Proposed Lighting'!CF88=1,0,T88*W88))</f>
        <v>0</v>
      </c>
      <c r="AH88" s="1834"/>
      <c r="AI88" s="1834"/>
      <c r="AJ88" s="1835">
        <f>IF(T88&lt;1,0,IF(K88&gt;'Proposed Lighting'!AA88,0,IF('Proposed Lighting'!CF88=1,0,IF('Proposed Lighting'!AU88=1,0,IF(T88&gt;K88,0,IF(AND(AD88&gt;AA88,AA88&gt;0),0,IF(AND(F88=2,'Proposed Lighting'!AU88=3),0,IF(AND(F88=3,'Proposed Lighting'!AU88=2),0,IF('Proposed Lighting'!CH88=100,0,IF(AND(F88&lt;3,V88=1,AM88=0),0,IF(AND(F88&gt;1,AF88&lt;1,AN88&lt;1),0,IF(AND(F88&gt;1,AE88&lt;0.69,AF88&lt;1,AN88&lt;1),0,IF(ISERROR(AB88-AC88),"",AB88-AC88)))))))))))))</f>
        <v>0</v>
      </c>
      <c r="AK88" s="1835"/>
      <c r="AL88" s="1835"/>
      <c r="AM88" s="1216">
        <f>IF(Q88=0,0,IF(T88=0,0,IF(T88&gt;K88,0,IF(AND(AS88&gt;0.01,BK88=0),0,IF(AND('Proposed Lighting'!DG88=0,'Lighting Controls'!Z88=0.35),0,IF(AND(T88&lt;=K88,AA88&gt;=AD88,'Proposed Lighting'!AU88=2),VLOOKUP(Q88,$AY$9:$AZ$15,2,FALSE),IF(AND(T88&lt;=K88,AA88&gt;=AD88,'Proposed Lighting'!AU88=3),VLOOKUP(Q88,$AY$17:$AZ$23,2,FALSE))))))))</f>
        <v>0</v>
      </c>
      <c r="AN88" s="1248">
        <f>IF(T88=0,0,IF(K88&gt;'Proposed Lighting'!AA88,0,IF(AE88=0,0,IF(AND(AD88&gt;AA88,AA88&gt;0),0,IF(U88=0,0,Summary!AE391)))))</f>
        <v>0</v>
      </c>
      <c r="AO88" s="1248">
        <f t="shared" si="24"/>
        <v>0</v>
      </c>
      <c r="AP88" s="1249">
        <f>IF('Proposed Lighting'!AU88=1,0,IF(K88=0,0,IF(T88&gt;K88,0,IF(G88=0,0,IF(K88&gt;'Proposed Lighting'!AA88,0,IF(AND(AD88&gt;AA88,AA88&gt;0),0,IF(AND('Proposed Lighting'!AU88=3,AM88=0.5),0,IF(AND(AM88&gt;0,AS88&gt;0,BI88&lt;2),0,IF('Proposed Lighting'!CH88=100,0,IF(AV88=1,0,IF(AND(AM88=35,M88+N88&lt;2),0,AM88)))))))))))</f>
        <v>0</v>
      </c>
      <c r="AQ88" s="1249" t="str">
        <f>IFERROR(ROUND(IF(Q88="","",IF('Proposed Lighting'!$X$4=0,0,IF(AND(AM88=35,M88+N88&lt;2),0,IF(T88&gt;K88,0,IF('Proposed Lighting'!AU88=1,0,IF(AJ88=0,0,IF(AND('Proposed Lighting'!AU88=3,AM88=0.5),0,IF(AND(AD88=75,AP88=0,AV88=0),0,IF(AP88&gt;0.01,AP88*T88,IF(AND(F88&gt;1,W88&lt;0.01),0,IF(AND(F88&gt;1,AO88=0),0,IF(AND('Proposed Lighting'!BC88=22,AV88=0),0,IF(AND(AM88&gt;0,AS88&gt;0,BI88&lt;2),0,IF(AND(AS88&gt;0.01,BK88=0),0,IF(AND(AO88=TRUE,AV88=1,F88=3),MIN(AJ88*0.08,L88),IF(AP88&gt;0.01,AP88*T88,IF(AND(AO88=TRUE,AV88=1,F88=2),MIN(AJ88*0.1,L88)))))))))))))))))),2),"")</f>
        <v/>
      </c>
      <c r="AR88" s="1250">
        <f>IF(Q88=0,0,IF('Proposed Lighting'!$X$4=0,0,IF(AND(AM88&gt;0.01,AQ88&gt;0.01),0,IF('Proposed Lighting'!AU88=1,"Missing Interior or Exterior Selection",IF('Proposed Lighting'!CF88=1,"Selection does not match",IF(K88&gt;'Proposed Lighting'!AA88,"Quantity controlled does not match proposed lighting quantity",IF(T88&gt;K88,"Quantity of sensors exceeds proposed lighting quantity",IF(AND(F88&gt;1,'Proposed Lighting'!AU88&lt;&gt;F88),"Selection does not match",IF(AND(AD88&gt;AA88,AA88&gt;0),"Does not meet minimum connected load",IF(AND(O88&gt;0,AS88&gt;0,BK88&gt;0,'Proposed Lighting'!CH88=0),"Select Control Strategies",IF(AND(AC88&gt;0.1,AJ88=0,AQ88=0),"Does not meet incentive criteria",0)))))))))))</f>
        <v>0</v>
      </c>
      <c r="AS88" s="1224">
        <f>IF('Proposed Lighting'!CH88=100,0,IF(ISNUMBER(SEARCH("multiple",Q88)),1,0))</f>
        <v>0</v>
      </c>
      <c r="AT88" s="451">
        <f t="shared" si="21"/>
        <v>0</v>
      </c>
      <c r="AU88" s="451">
        <f t="shared" si="22"/>
        <v>0</v>
      </c>
      <c r="AV88" s="1222">
        <f>IF(ISNUMBER(SEARCH("Networked",'Proposed Lighting'!T88)),0,IF(ISNUMBER(SEARCH("Strategies",'Proposed Lighting'!T88)),0,IF(ISNUMBER(SEARCH("Removal",'Proposed Lighting'!T88)),0,IF(ISNUMBER(SEARCH("non-standard",Q88)),1,0))))</f>
        <v>0</v>
      </c>
      <c r="AW88" s="451">
        <f t="shared" si="25"/>
        <v>0</v>
      </c>
      <c r="AX88" s="451"/>
      <c r="AY88" s="451"/>
      <c r="AZ88" s="451"/>
      <c r="BA88" s="451"/>
      <c r="BB88" s="451"/>
      <c r="BC88" s="1215"/>
      <c r="BD88" s="1215"/>
      <c r="BE88" s="1215"/>
      <c r="BF88" s="1215"/>
      <c r="BG88" s="1215"/>
      <c r="BH88" s="1215"/>
      <c r="BI88">
        <f>IF(AND(AS88=1,BC88="No",BD88="Yes",BE88="Yes",BF88="No",BH88="No"),0,IF(AND('Proposed Lighting'!AU88=2,AS88=1,BC88="Yes",BD88="Yes"),2,IF(AND('Proposed Lighting'!AU88=2,AS88=1,BC88="Yes",BE88="Yes"),2,IF(AND('Proposed Lighting'!AU88=2,AS88=1,BC88="Yes",BF88="Yes"),2,IF(AND('Proposed Lighting'!AU88=2,AS88=1,BC88="Yes",BH88="Yes"),2,IF(AND('Proposed Lighting'!AU88=2,AS88=1,BD88="Yes",BF88="Yes"),2,IF(AND('Proposed Lighting'!AU88=2,AS88=1,BD88="Yes",BH88="Yes"),2,IF(AND('Proposed Lighting'!AU88=3,AS88=1,BC88="Yes",BE88="Yes"),2,IF(AND('Proposed Lighting'!AU88=3,AS88=1,BC88="Yes",BF88="Yes"),2,0)))))))))</f>
        <v>0</v>
      </c>
      <c r="BJ88" s="1025">
        <f t="shared" si="23"/>
        <v>0</v>
      </c>
      <c r="BK88">
        <f>IF(AND('Proposed Lighting'!BC88=22,'Lighting Controls'!N88=1),0,IF(ISNUMBER(SEARCH("LED",G88)),1,0))</f>
        <v>0</v>
      </c>
    </row>
    <row r="89" spans="1:63" ht="34.5" customHeight="1">
      <c r="A89" s="917">
        <v>81</v>
      </c>
      <c r="B89" s="1828" t="str">
        <f>IF('Proposed Lighting'!B89="","",'Proposed Lighting'!B89)</f>
        <v/>
      </c>
      <c r="C89" s="1828"/>
      <c r="D89" s="1828"/>
      <c r="E89" s="1245">
        <f>'Proposed Lighting'!AA89</f>
        <v>0</v>
      </c>
      <c r="F89" s="1245">
        <f t="shared" si="16"/>
        <v>0</v>
      </c>
      <c r="G89" s="1830" t="str">
        <f>IF('Proposed Lighting'!T89="","",IF(ISNUMBER(SEARCH("Networked",'Proposed Lighting'!T89)),0,IF(ISNUMBER(SEARCH("Strategies",'Proposed Lighting'!T89)),0,IF(ISNUMBER(SEARCH("Removal",'Proposed Lighting'!T89)),0,'Proposed Lighting'!T89))))</f>
        <v/>
      </c>
      <c r="H89" s="1830"/>
      <c r="I89" s="1830"/>
      <c r="J89" s="1830"/>
      <c r="K89" s="1215"/>
      <c r="L89" s="1246">
        <f t="shared" si="17"/>
        <v>0</v>
      </c>
      <c r="M89" s="1224">
        <f t="shared" si="18"/>
        <v>0</v>
      </c>
      <c r="N89" s="1224">
        <f t="shared" si="19"/>
        <v>0</v>
      </c>
      <c r="O89" s="1825" t="str">
        <f>IF(G89=0,0,IF(ISNA('Proposed Lighting'!AT89),0,'Proposed Lighting'!AT89))</f>
        <v/>
      </c>
      <c r="P89" s="1825"/>
      <c r="Q89" s="1247"/>
      <c r="R89" s="1247"/>
      <c r="S89" s="1247"/>
      <c r="T89" s="1211"/>
      <c r="U89" s="1235">
        <f>IF(K89&gt;0.01,'Proposed Lighting'!CU89,0)</f>
        <v>0</v>
      </c>
      <c r="V89" s="1248">
        <f>IF('Proposed Lighting'!CF89=1,0,IF('Proposed Lighting'!AU89=2,0,IF(AND('Proposed Lighting'!AU89=3,'Proposed Lighting'!CF89=0),1,0)))</f>
        <v>0</v>
      </c>
      <c r="W89" s="1836"/>
      <c r="X89" s="1836"/>
      <c r="Y89" s="1836"/>
      <c r="Z89" s="1230" t="str">
        <f t="shared" si="13"/>
        <v/>
      </c>
      <c r="AA89" s="1230">
        <f t="shared" si="14"/>
        <v>0</v>
      </c>
      <c r="AB89" s="1230">
        <f>IF(Q89=0,0,IF(T89=0,0,IF(AA89=0,0,IF(AND(F89=3,V89=0),0,IF(T89=0,0,IF(K89&gt;'Proposed Lighting'!AA89,0,IF('Proposed Lighting'!EJ89&gt;0.01,(K89*O89)*'Proposed Lighting'!EJ89/1000,(K89*O89)*U89/1000)))))))</f>
        <v>0</v>
      </c>
      <c r="AC89" s="1230" t="str">
        <f t="shared" si="20"/>
        <v/>
      </c>
      <c r="AD89" s="1230">
        <f t="shared" si="15"/>
        <v>0</v>
      </c>
      <c r="AE89" s="1230">
        <f>IF(T89=0,0,IF(K89&gt;'Proposed Lighting'!AA89,0,IF(T89&gt;K89,0,IF(AND(AD89&gt;AA89,AA89&gt;0),0,IF(AND(F89&gt;1,W89&lt;0.01),0,IF('Proposed Lighting'!AU89&gt;'Lighting Controls'!F89,0,IF('Proposed Lighting'!AU89&lt;'Lighting Controls'!F89,0,IF(U89=0,0,Summary!AC392))))))))</f>
        <v>0</v>
      </c>
      <c r="AF89" s="1230">
        <f>IF(T89=0,0,IF(AE89=0,0,IF(K89&gt;'Proposed Lighting'!AA89,0,IF(AND(AD89&gt;AA89,AA89&gt;0),0,IF(U89=0,0,Summary!AD392)))))</f>
        <v>0</v>
      </c>
      <c r="AG89" s="1834">
        <f>IF('Proposed Lighting'!AU89=1,0,IF('Proposed Lighting'!CF89=1,0,T89*W89))</f>
        <v>0</v>
      </c>
      <c r="AH89" s="1834"/>
      <c r="AI89" s="1834"/>
      <c r="AJ89" s="1835">
        <f>IF(T89&lt;1,0,IF(K89&gt;'Proposed Lighting'!AA89,0,IF('Proposed Lighting'!CF89=1,0,IF('Proposed Lighting'!AU89=1,0,IF(T89&gt;K89,0,IF(AND(AD89&gt;AA89,AA89&gt;0),0,IF(AND(F89=2,'Proposed Lighting'!AU89=3),0,IF(AND(F89=3,'Proposed Lighting'!AU89=2),0,IF('Proposed Lighting'!CH89=100,0,IF(AND(F89&lt;3,V89=1,AM89=0),0,IF(AND(F89&gt;1,AF89&lt;1,AN89&lt;1),0,IF(AND(F89&gt;1,AE89&lt;0.69,AF89&lt;1,AN89&lt;1),0,IF(ISERROR(AB89-AC89),"",AB89-AC89)))))))))))))</f>
        <v>0</v>
      </c>
      <c r="AK89" s="1835"/>
      <c r="AL89" s="1835"/>
      <c r="AM89" s="1216">
        <f>IF(Q89=0,0,IF(T89=0,0,IF(T89&gt;K89,0,IF(AND(AS89&gt;0.01,BK89=0),0,IF(AND('Proposed Lighting'!DG89=0,'Lighting Controls'!Z89=0.35),0,IF(AND(T89&lt;=K89,AA89&gt;=AD89,'Proposed Lighting'!AU89=2),VLOOKUP(Q89,$AY$9:$AZ$15,2,FALSE),IF(AND(T89&lt;=K89,AA89&gt;=AD89,'Proposed Lighting'!AU89=3),VLOOKUP(Q89,$AY$17:$AZ$23,2,FALSE))))))))</f>
        <v>0</v>
      </c>
      <c r="AN89" s="1248">
        <f>IF(T89=0,0,IF(K89&gt;'Proposed Lighting'!AA89,0,IF(AE89=0,0,IF(AND(AD89&gt;AA89,AA89&gt;0),0,IF(U89=0,0,Summary!AE392)))))</f>
        <v>0</v>
      </c>
      <c r="AO89" s="1248">
        <f t="shared" si="24"/>
        <v>0</v>
      </c>
      <c r="AP89" s="1249">
        <f>IF('Proposed Lighting'!AU89=1,0,IF(K89=0,0,IF(T89&gt;K89,0,IF(G89=0,0,IF(K89&gt;'Proposed Lighting'!AA89,0,IF(AND(AD89&gt;AA89,AA89&gt;0),0,IF(AND('Proposed Lighting'!AU89=3,AM89=0.5),0,IF(AND(AM89&gt;0,AS89&gt;0,BI89&lt;2),0,IF('Proposed Lighting'!CH89=100,0,IF(AV89=1,0,IF(AND(AM89=35,M89+N89&lt;2),0,AM89)))))))))))</f>
        <v>0</v>
      </c>
      <c r="AQ89" s="1249" t="str">
        <f>IFERROR(ROUND(IF(Q89="","",IF('Proposed Lighting'!$X$4=0,0,IF(AND(AM89=35,M89+N89&lt;2),0,IF(T89&gt;K89,0,IF('Proposed Lighting'!AU89=1,0,IF(AJ89=0,0,IF(AND('Proposed Lighting'!AU89=3,AM89=0.5),0,IF(AND(AD89=75,AP89=0,AV89=0),0,IF(AP89&gt;0.01,AP89*T89,IF(AND(F89&gt;1,W89&lt;0.01),0,IF(AND(F89&gt;1,AO89=0),0,IF(AND('Proposed Lighting'!BC89=22,AV89=0),0,IF(AND(AM89&gt;0,AS89&gt;0,BI89&lt;2),0,IF(AND(AS89&gt;0.01,BK89=0),0,IF(AND(AO89=TRUE,AV89=1,F89=3),MIN(AJ89*0.08,L89),IF(AP89&gt;0.01,AP89*T89,IF(AND(AO89=TRUE,AV89=1,F89=2),MIN(AJ89*0.1,L89)))))))))))))))))),2),"")</f>
        <v/>
      </c>
      <c r="AR89" s="1250">
        <f>IF(Q89=0,0,IF('Proposed Lighting'!$X$4=0,0,IF(AND(AM89&gt;0.01,AQ89&gt;0.01),0,IF('Proposed Lighting'!AU89=1,"Missing Interior or Exterior Selection",IF('Proposed Lighting'!CF89=1,"Selection does not match",IF(K89&gt;'Proposed Lighting'!AA89,"Quantity controlled does not match proposed lighting quantity",IF(T89&gt;K89,"Quantity of sensors exceeds proposed lighting quantity",IF(AND(F89&gt;1,'Proposed Lighting'!AU89&lt;&gt;F89),"Selection does not match",IF(AND(AD89&gt;AA89,AA89&gt;0),"Does not meet minimum connected load",IF(AND(O89&gt;0,AS89&gt;0,BK89&gt;0,'Proposed Lighting'!CH89=0),"Select Control Strategies",IF(AND(AC89&gt;0.1,AJ89=0,AQ89=0),"Does not meet incentive criteria",0)))))))))))</f>
        <v>0</v>
      </c>
      <c r="AS89" s="1224">
        <f>IF('Proposed Lighting'!CH89=100,0,IF(ISNUMBER(SEARCH("multiple",Q89)),1,0))</f>
        <v>0</v>
      </c>
      <c r="AT89" s="451">
        <f t="shared" si="21"/>
        <v>0</v>
      </c>
      <c r="AU89" s="451">
        <f t="shared" si="22"/>
        <v>0</v>
      </c>
      <c r="AV89" s="1222">
        <f>IF(ISNUMBER(SEARCH("Networked",'Proposed Lighting'!T89)),0,IF(ISNUMBER(SEARCH("Strategies",'Proposed Lighting'!T89)),0,IF(ISNUMBER(SEARCH("Removal",'Proposed Lighting'!T89)),0,IF(ISNUMBER(SEARCH("non-standard",Q89)),1,0))))</f>
        <v>0</v>
      </c>
      <c r="AW89" s="451">
        <f t="shared" si="25"/>
        <v>0</v>
      </c>
      <c r="AX89" s="451"/>
      <c r="AY89" s="451"/>
      <c r="AZ89" s="451"/>
      <c r="BA89" s="451"/>
      <c r="BB89" s="451"/>
      <c r="BC89" s="1215"/>
      <c r="BD89" s="1215"/>
      <c r="BE89" s="1215"/>
      <c r="BF89" s="1215"/>
      <c r="BG89" s="1215"/>
      <c r="BH89" s="1215"/>
      <c r="BI89">
        <f>IF(AND(AS89=1,BC89="No",BD89="Yes",BE89="Yes",BF89="No",BH89="No"),0,IF(AND('Proposed Lighting'!AU89=2,AS89=1,BC89="Yes",BD89="Yes"),2,IF(AND('Proposed Lighting'!AU89=2,AS89=1,BC89="Yes",BE89="Yes"),2,IF(AND('Proposed Lighting'!AU89=2,AS89=1,BC89="Yes",BF89="Yes"),2,IF(AND('Proposed Lighting'!AU89=2,AS89=1,BC89="Yes",BH89="Yes"),2,IF(AND('Proposed Lighting'!AU89=2,AS89=1,BD89="Yes",BF89="Yes"),2,IF(AND('Proposed Lighting'!AU89=2,AS89=1,BD89="Yes",BH89="Yes"),2,IF(AND('Proposed Lighting'!AU89=3,AS89=1,BC89="Yes",BE89="Yes"),2,IF(AND('Proposed Lighting'!AU89=3,AS89=1,BC89="Yes",BF89="Yes"),2,0)))))))))</f>
        <v>0</v>
      </c>
      <c r="BJ89" s="1025">
        <f t="shared" si="23"/>
        <v>0</v>
      </c>
      <c r="BK89">
        <f>IF(AND('Proposed Lighting'!BC89=22,'Lighting Controls'!N89=1),0,IF(ISNUMBER(SEARCH("LED",G89)),1,0))</f>
        <v>0</v>
      </c>
    </row>
    <row r="90" spans="1:63" ht="34.5" customHeight="1">
      <c r="A90" s="917">
        <v>82</v>
      </c>
      <c r="B90" s="1828" t="str">
        <f>IF('Proposed Lighting'!B90="","",'Proposed Lighting'!B90)</f>
        <v/>
      </c>
      <c r="C90" s="1828"/>
      <c r="D90" s="1828"/>
      <c r="E90" s="1245">
        <f>'Proposed Lighting'!AA90</f>
        <v>0</v>
      </c>
      <c r="F90" s="1245">
        <f t="shared" si="16"/>
        <v>0</v>
      </c>
      <c r="G90" s="1830" t="str">
        <f>IF('Proposed Lighting'!T90="","",IF(ISNUMBER(SEARCH("Networked",'Proposed Lighting'!T90)),0,IF(ISNUMBER(SEARCH("Strategies",'Proposed Lighting'!T90)),0,IF(ISNUMBER(SEARCH("Removal",'Proposed Lighting'!T90)),0,'Proposed Lighting'!T90))))</f>
        <v/>
      </c>
      <c r="H90" s="1830"/>
      <c r="I90" s="1830"/>
      <c r="J90" s="1830"/>
      <c r="K90" s="1215"/>
      <c r="L90" s="1246">
        <f t="shared" si="17"/>
        <v>0</v>
      </c>
      <c r="M90" s="1224">
        <f t="shared" si="18"/>
        <v>0</v>
      </c>
      <c r="N90" s="1224">
        <f t="shared" si="19"/>
        <v>0</v>
      </c>
      <c r="O90" s="1825" t="str">
        <f>IF(G90=0,0,IF(ISNA('Proposed Lighting'!AT90),0,'Proposed Lighting'!AT90))</f>
        <v/>
      </c>
      <c r="P90" s="1825"/>
      <c r="Q90" s="1247"/>
      <c r="R90" s="1247"/>
      <c r="S90" s="1247"/>
      <c r="T90" s="1211"/>
      <c r="U90" s="1235">
        <f>IF(K90&gt;0.01,'Proposed Lighting'!CU90,0)</f>
        <v>0</v>
      </c>
      <c r="V90" s="1248">
        <f>IF('Proposed Lighting'!CF90=1,0,IF('Proposed Lighting'!AU90=2,0,IF(AND('Proposed Lighting'!AU90=3,'Proposed Lighting'!CF90=0),1,0)))</f>
        <v>0</v>
      </c>
      <c r="W90" s="1836"/>
      <c r="X90" s="1836"/>
      <c r="Y90" s="1836"/>
      <c r="Z90" s="1230" t="str">
        <f t="shared" si="13"/>
        <v/>
      </c>
      <c r="AA90" s="1230">
        <f t="shared" si="14"/>
        <v>0</v>
      </c>
      <c r="AB90" s="1230">
        <f>IF(Q90=0,0,IF(T90=0,0,IF(AA90=0,0,IF(AND(F90=3,V90=0),0,IF(T90=0,0,IF(K90&gt;'Proposed Lighting'!AA90,0,IF('Proposed Lighting'!EJ90&gt;0.01,(K90*O90)*'Proposed Lighting'!EJ90/1000,(K90*O90)*U90/1000)))))))</f>
        <v>0</v>
      </c>
      <c r="AC90" s="1230" t="str">
        <f t="shared" si="20"/>
        <v/>
      </c>
      <c r="AD90" s="1230">
        <f t="shared" si="15"/>
        <v>0</v>
      </c>
      <c r="AE90" s="1230">
        <f>IF(T90=0,0,IF(K90&gt;'Proposed Lighting'!AA90,0,IF(T90&gt;K90,0,IF(AND(AD90&gt;AA90,AA90&gt;0),0,IF(AND(F90&gt;1,W90&lt;0.01),0,IF('Proposed Lighting'!AU90&gt;'Lighting Controls'!F90,0,IF('Proposed Lighting'!AU90&lt;'Lighting Controls'!F90,0,IF(U90=0,0,Summary!AC393))))))))</f>
        <v>0</v>
      </c>
      <c r="AF90" s="1230">
        <f>IF(T90=0,0,IF(AE90=0,0,IF(K90&gt;'Proposed Lighting'!AA90,0,IF(AND(AD90&gt;AA90,AA90&gt;0),0,IF(U90=0,0,Summary!AD393)))))</f>
        <v>0</v>
      </c>
      <c r="AG90" s="1834">
        <f>IF('Proposed Lighting'!AU90=1,0,IF('Proposed Lighting'!CF90=1,0,T90*W90))</f>
        <v>0</v>
      </c>
      <c r="AH90" s="1834"/>
      <c r="AI90" s="1834"/>
      <c r="AJ90" s="1835">
        <f>IF(T90&lt;1,0,IF(K90&gt;'Proposed Lighting'!AA90,0,IF('Proposed Lighting'!CF90=1,0,IF('Proposed Lighting'!AU90=1,0,IF(T90&gt;K90,0,IF(AND(AD90&gt;AA90,AA90&gt;0),0,IF(AND(F90=2,'Proposed Lighting'!AU90=3),0,IF(AND(F90=3,'Proposed Lighting'!AU90=2),0,IF('Proposed Lighting'!CH90=100,0,IF(AND(F90&lt;3,V90=1,AM90=0),0,IF(AND(F90&gt;1,AF90&lt;1,AN90&lt;1),0,IF(AND(F90&gt;1,AE90&lt;0.69,AF90&lt;1,AN90&lt;1),0,IF(ISERROR(AB90-AC90),"",AB90-AC90)))))))))))))</f>
        <v>0</v>
      </c>
      <c r="AK90" s="1835"/>
      <c r="AL90" s="1835"/>
      <c r="AM90" s="1216">
        <f>IF(Q90=0,0,IF(T90=0,0,IF(T90&gt;K90,0,IF(AND(AS90&gt;0.01,BK90=0),0,IF(AND('Proposed Lighting'!DG90=0,'Lighting Controls'!Z90=0.35),0,IF(AND(T90&lt;=K90,AA90&gt;=AD90,'Proposed Lighting'!AU90=2),VLOOKUP(Q90,$AY$9:$AZ$15,2,FALSE),IF(AND(T90&lt;=K90,AA90&gt;=AD90,'Proposed Lighting'!AU90=3),VLOOKUP(Q90,$AY$17:$AZ$23,2,FALSE))))))))</f>
        <v>0</v>
      </c>
      <c r="AN90" s="1248">
        <f>IF(T90=0,0,IF(K90&gt;'Proposed Lighting'!AA90,0,IF(AE90=0,0,IF(AND(AD90&gt;AA90,AA90&gt;0),0,IF(U90=0,0,Summary!AE393)))))</f>
        <v>0</v>
      </c>
      <c r="AO90" s="1248">
        <f t="shared" si="24"/>
        <v>0</v>
      </c>
      <c r="AP90" s="1249">
        <f>IF('Proposed Lighting'!AU90=1,0,IF(K90=0,0,IF(T90&gt;K90,0,IF(G90=0,0,IF(K90&gt;'Proposed Lighting'!AA90,0,IF(AND(AD90&gt;AA90,AA90&gt;0),0,IF(AND('Proposed Lighting'!AU90=3,AM90=0.5),0,IF(AND(AM90&gt;0,AS90&gt;0,BI90&lt;2),0,IF('Proposed Lighting'!CH90=100,0,IF(AV90=1,0,IF(AND(AM90=35,M90+N90&lt;2),0,AM90)))))))))))</f>
        <v>0</v>
      </c>
      <c r="AQ90" s="1249" t="str">
        <f>IFERROR(ROUND(IF(Q90="","",IF('Proposed Lighting'!$X$4=0,0,IF(AND(AM90=35,M90+N90&lt;2),0,IF(T90&gt;K90,0,IF('Proposed Lighting'!AU90=1,0,IF(AJ90=0,0,IF(AND('Proposed Lighting'!AU90=3,AM90=0.5),0,IF(AND(AD90=75,AP90=0,AV90=0),0,IF(AP90&gt;0.01,AP90*T90,IF(AND(F90&gt;1,W90&lt;0.01),0,IF(AND(F90&gt;1,AO90=0),0,IF(AND('Proposed Lighting'!BC90=22,AV90=0),0,IF(AND(AM90&gt;0,AS90&gt;0,BI90&lt;2),0,IF(AND(AS90&gt;0.01,BK90=0),0,IF(AND(AO90=TRUE,AV90=1,F90=3),MIN(AJ90*0.08,L90),IF(AP90&gt;0.01,AP90*T90,IF(AND(AO90=TRUE,AV90=1,F90=2),MIN(AJ90*0.1,L90)))))))))))))))))),2),"")</f>
        <v/>
      </c>
      <c r="AR90" s="1250">
        <f>IF(Q90=0,0,IF('Proposed Lighting'!$X$4=0,0,IF(AND(AM90&gt;0.01,AQ90&gt;0.01),0,IF('Proposed Lighting'!AU90=1,"Missing Interior or Exterior Selection",IF('Proposed Lighting'!CF90=1,"Selection does not match",IF(K90&gt;'Proposed Lighting'!AA90,"Quantity controlled does not match proposed lighting quantity",IF(T90&gt;K90,"Quantity of sensors exceeds proposed lighting quantity",IF(AND(F90&gt;1,'Proposed Lighting'!AU90&lt;&gt;F90),"Selection does not match",IF(AND(AD90&gt;AA90,AA90&gt;0),"Does not meet minimum connected load",IF(AND(O90&gt;0,AS90&gt;0,BK90&gt;0,'Proposed Lighting'!CH90=0),"Select Control Strategies",IF(AND(AC90&gt;0.1,AJ90=0,AQ90=0),"Does not meet incentive criteria",0)))))))))))</f>
        <v>0</v>
      </c>
      <c r="AS90" s="1224">
        <f>IF('Proposed Lighting'!CH90=100,0,IF(ISNUMBER(SEARCH("multiple",Q90)),1,0))</f>
        <v>0</v>
      </c>
      <c r="AT90" s="451">
        <f t="shared" si="21"/>
        <v>0</v>
      </c>
      <c r="AU90" s="451">
        <f t="shared" si="22"/>
        <v>0</v>
      </c>
      <c r="AV90" s="1222">
        <f>IF(ISNUMBER(SEARCH("Networked",'Proposed Lighting'!T90)),0,IF(ISNUMBER(SEARCH("Strategies",'Proposed Lighting'!T90)),0,IF(ISNUMBER(SEARCH("Removal",'Proposed Lighting'!T90)),0,IF(ISNUMBER(SEARCH("non-standard",Q90)),1,0))))</f>
        <v>0</v>
      </c>
      <c r="AW90" s="451">
        <f t="shared" si="25"/>
        <v>0</v>
      </c>
      <c r="AX90" s="451"/>
      <c r="AY90" s="451"/>
      <c r="AZ90" s="451"/>
      <c r="BA90" s="451"/>
      <c r="BB90" s="451"/>
      <c r="BC90" s="1215"/>
      <c r="BD90" s="1215"/>
      <c r="BE90" s="1215"/>
      <c r="BF90" s="1215"/>
      <c r="BG90" s="1215"/>
      <c r="BH90" s="1215"/>
      <c r="BI90">
        <f>IF(AND(AS90=1,BC90="No",BD90="Yes",BE90="Yes",BF90="No",BH90="No"),0,IF(AND('Proposed Lighting'!AU90=2,AS90=1,BC90="Yes",BD90="Yes"),2,IF(AND('Proposed Lighting'!AU90=2,AS90=1,BC90="Yes",BE90="Yes"),2,IF(AND('Proposed Lighting'!AU90=2,AS90=1,BC90="Yes",BF90="Yes"),2,IF(AND('Proposed Lighting'!AU90=2,AS90=1,BC90="Yes",BH90="Yes"),2,IF(AND('Proposed Lighting'!AU90=2,AS90=1,BD90="Yes",BF90="Yes"),2,IF(AND('Proposed Lighting'!AU90=2,AS90=1,BD90="Yes",BH90="Yes"),2,IF(AND('Proposed Lighting'!AU90=3,AS90=1,BC90="Yes",BE90="Yes"),2,IF(AND('Proposed Lighting'!AU90=3,AS90=1,BC90="Yes",BF90="Yes"),2,0)))))))))</f>
        <v>0</v>
      </c>
      <c r="BJ90" s="1025">
        <f t="shared" si="23"/>
        <v>0</v>
      </c>
      <c r="BK90">
        <f>IF(AND('Proposed Lighting'!BC90=22,'Lighting Controls'!N90=1),0,IF(ISNUMBER(SEARCH("LED",G90)),1,0))</f>
        <v>0</v>
      </c>
    </row>
    <row r="91" spans="1:63" ht="34.5" customHeight="1">
      <c r="A91" s="917">
        <v>83</v>
      </c>
      <c r="B91" s="1828" t="str">
        <f>IF('Proposed Lighting'!B91="","",'Proposed Lighting'!B91)</f>
        <v/>
      </c>
      <c r="C91" s="1828"/>
      <c r="D91" s="1828"/>
      <c r="E91" s="1245">
        <f>'Proposed Lighting'!AA91</f>
        <v>0</v>
      </c>
      <c r="F91" s="1245">
        <f t="shared" si="16"/>
        <v>0</v>
      </c>
      <c r="G91" s="1830" t="str">
        <f>IF('Proposed Lighting'!T91="","",IF(ISNUMBER(SEARCH("Networked",'Proposed Lighting'!T91)),0,IF(ISNUMBER(SEARCH("Strategies",'Proposed Lighting'!T91)),0,IF(ISNUMBER(SEARCH("Removal",'Proposed Lighting'!T91)),0,'Proposed Lighting'!T91))))</f>
        <v/>
      </c>
      <c r="H91" s="1830"/>
      <c r="I91" s="1830"/>
      <c r="J91" s="1830"/>
      <c r="K91" s="1215"/>
      <c r="L91" s="1246">
        <f t="shared" si="17"/>
        <v>0</v>
      </c>
      <c r="M91" s="1224">
        <f t="shared" si="18"/>
        <v>0</v>
      </c>
      <c r="N91" s="1224">
        <f t="shared" si="19"/>
        <v>0</v>
      </c>
      <c r="O91" s="1825" t="str">
        <f>IF(G91=0,0,IF(ISNA('Proposed Lighting'!AT91),0,'Proposed Lighting'!AT91))</f>
        <v/>
      </c>
      <c r="P91" s="1825"/>
      <c r="Q91" s="1247"/>
      <c r="R91" s="1247"/>
      <c r="S91" s="1247"/>
      <c r="T91" s="1211"/>
      <c r="U91" s="1235">
        <f>IF(K91&gt;0.01,'Proposed Lighting'!CU91,0)</f>
        <v>0</v>
      </c>
      <c r="V91" s="1248">
        <f>IF('Proposed Lighting'!CF91=1,0,IF('Proposed Lighting'!AU91=2,0,IF(AND('Proposed Lighting'!AU91=3,'Proposed Lighting'!CF91=0),1,0)))</f>
        <v>0</v>
      </c>
      <c r="W91" s="1836"/>
      <c r="X91" s="1836"/>
      <c r="Y91" s="1836"/>
      <c r="Z91" s="1230" t="str">
        <f t="shared" si="13"/>
        <v/>
      </c>
      <c r="AA91" s="1230">
        <f t="shared" si="14"/>
        <v>0</v>
      </c>
      <c r="AB91" s="1230">
        <f>IF(Q91=0,0,IF(T91=0,0,IF(AA91=0,0,IF(AND(F91=3,V91=0),0,IF(T91=0,0,IF(K91&gt;'Proposed Lighting'!AA91,0,IF('Proposed Lighting'!EJ91&gt;0.01,(K91*O91)*'Proposed Lighting'!EJ91/1000,(K91*O91)*U91/1000)))))))</f>
        <v>0</v>
      </c>
      <c r="AC91" s="1230" t="str">
        <f t="shared" si="20"/>
        <v/>
      </c>
      <c r="AD91" s="1230">
        <f t="shared" si="15"/>
        <v>0</v>
      </c>
      <c r="AE91" s="1230">
        <f>IF(T91=0,0,IF(K91&gt;'Proposed Lighting'!AA91,0,IF(T91&gt;K91,0,IF(AND(AD91&gt;AA91,AA91&gt;0),0,IF(AND(F91&gt;1,W91&lt;0.01),0,IF('Proposed Lighting'!AU91&gt;'Lighting Controls'!F91,0,IF('Proposed Lighting'!AU91&lt;'Lighting Controls'!F91,0,IF(U91=0,0,Summary!AC394))))))))</f>
        <v>0</v>
      </c>
      <c r="AF91" s="1230">
        <f>IF(T91=0,0,IF(AE91=0,0,IF(K91&gt;'Proposed Lighting'!AA91,0,IF(AND(AD91&gt;AA91,AA91&gt;0),0,IF(U91=0,0,Summary!AD394)))))</f>
        <v>0</v>
      </c>
      <c r="AG91" s="1834">
        <f>IF('Proposed Lighting'!AU91=1,0,IF('Proposed Lighting'!CF91=1,0,T91*W91))</f>
        <v>0</v>
      </c>
      <c r="AH91" s="1834"/>
      <c r="AI91" s="1834"/>
      <c r="AJ91" s="1835">
        <f>IF(T91&lt;1,0,IF(K91&gt;'Proposed Lighting'!AA91,0,IF('Proposed Lighting'!CF91=1,0,IF('Proposed Lighting'!AU91=1,0,IF(T91&gt;K91,0,IF(AND(AD91&gt;AA91,AA91&gt;0),0,IF(AND(F91=2,'Proposed Lighting'!AU91=3),0,IF(AND(F91=3,'Proposed Lighting'!AU91=2),0,IF('Proposed Lighting'!CH91=100,0,IF(AND(F91&lt;3,V91=1,AM91=0),0,IF(AND(F91&gt;1,AF91&lt;1,AN91&lt;1),0,IF(AND(F91&gt;1,AE91&lt;0.69,AF91&lt;1,AN91&lt;1),0,IF(ISERROR(AB91-AC91),"",AB91-AC91)))))))))))))</f>
        <v>0</v>
      </c>
      <c r="AK91" s="1835"/>
      <c r="AL91" s="1835"/>
      <c r="AM91" s="1216">
        <f>IF(Q91=0,0,IF(T91=0,0,IF(T91&gt;K91,0,IF(AND(AS91&gt;0.01,BK91=0),0,IF(AND('Proposed Lighting'!DG91=0,'Lighting Controls'!Z91=0.35),0,IF(AND(T91&lt;=K91,AA91&gt;=AD91,'Proposed Lighting'!AU91=2),VLOOKUP(Q91,$AY$9:$AZ$15,2,FALSE),IF(AND(T91&lt;=K91,AA91&gt;=AD91,'Proposed Lighting'!AU91=3),VLOOKUP(Q91,$AY$17:$AZ$23,2,FALSE))))))))</f>
        <v>0</v>
      </c>
      <c r="AN91" s="1248">
        <f>IF(T91=0,0,IF(K91&gt;'Proposed Lighting'!AA91,0,IF(AE91=0,0,IF(AND(AD91&gt;AA91,AA91&gt;0),0,IF(U91=0,0,Summary!AE394)))))</f>
        <v>0</v>
      </c>
      <c r="AO91" s="1248">
        <f t="shared" si="24"/>
        <v>0</v>
      </c>
      <c r="AP91" s="1249">
        <f>IF('Proposed Lighting'!AU91=1,0,IF(K91=0,0,IF(T91&gt;K91,0,IF(G91=0,0,IF(K91&gt;'Proposed Lighting'!AA91,0,IF(AND(AD91&gt;AA91,AA91&gt;0),0,IF(AND('Proposed Lighting'!AU91=3,AM91=0.5),0,IF(AND(AM91&gt;0,AS91&gt;0,BI91&lt;2),0,IF('Proposed Lighting'!CH91=100,0,IF(AV91=1,0,IF(AND(AM91=35,M91+N91&lt;2),0,AM91)))))))))))</f>
        <v>0</v>
      </c>
      <c r="AQ91" s="1249" t="str">
        <f>IFERROR(ROUND(IF(Q91="","",IF('Proposed Lighting'!$X$4=0,0,IF(AND(AM91=35,M91+N91&lt;2),0,IF(T91&gt;K91,0,IF('Proposed Lighting'!AU91=1,0,IF(AJ91=0,0,IF(AND('Proposed Lighting'!AU91=3,AM91=0.5),0,IF(AND(AD91=75,AP91=0,AV91=0),0,IF(AP91&gt;0.01,AP91*T91,IF(AND(F91&gt;1,W91&lt;0.01),0,IF(AND(F91&gt;1,AO91=0),0,IF(AND('Proposed Lighting'!BC91=22,AV91=0),0,IF(AND(AM91&gt;0,AS91&gt;0,BI91&lt;2),0,IF(AND(AS91&gt;0.01,BK91=0),0,IF(AND(AO91=TRUE,AV91=1,F91=3),MIN(AJ91*0.08,L91),IF(AP91&gt;0.01,AP91*T91,IF(AND(AO91=TRUE,AV91=1,F91=2),MIN(AJ91*0.1,L91)))))))))))))))))),2),"")</f>
        <v/>
      </c>
      <c r="AR91" s="1250">
        <f>IF(Q91=0,0,IF('Proposed Lighting'!$X$4=0,0,IF(AND(AM91&gt;0.01,AQ91&gt;0.01),0,IF('Proposed Lighting'!AU91=1,"Missing Interior or Exterior Selection",IF('Proposed Lighting'!CF91=1,"Selection does not match",IF(K91&gt;'Proposed Lighting'!AA91,"Quantity controlled does not match proposed lighting quantity",IF(T91&gt;K91,"Quantity of sensors exceeds proposed lighting quantity",IF(AND(F91&gt;1,'Proposed Lighting'!AU91&lt;&gt;F91),"Selection does not match",IF(AND(AD91&gt;AA91,AA91&gt;0),"Does not meet minimum connected load",IF(AND(O91&gt;0,AS91&gt;0,BK91&gt;0,'Proposed Lighting'!CH91=0),"Select Control Strategies",IF(AND(AC91&gt;0.1,AJ91=0,AQ91=0),"Does not meet incentive criteria",0)))))))))))</f>
        <v>0</v>
      </c>
      <c r="AS91" s="1224">
        <f>IF('Proposed Lighting'!CH91=100,0,IF(ISNUMBER(SEARCH("multiple",Q91)),1,0))</f>
        <v>0</v>
      </c>
      <c r="AT91" s="451">
        <f t="shared" si="21"/>
        <v>0</v>
      </c>
      <c r="AU91" s="451">
        <f t="shared" si="22"/>
        <v>0</v>
      </c>
      <c r="AV91" s="1222">
        <f>IF(ISNUMBER(SEARCH("Networked",'Proposed Lighting'!T91)),0,IF(ISNUMBER(SEARCH("Strategies",'Proposed Lighting'!T91)),0,IF(ISNUMBER(SEARCH("Removal",'Proposed Lighting'!T91)),0,IF(ISNUMBER(SEARCH("non-standard",Q91)),1,0))))</f>
        <v>0</v>
      </c>
      <c r="AW91" s="451">
        <f t="shared" si="25"/>
        <v>0</v>
      </c>
      <c r="AX91" s="451"/>
      <c r="AY91" s="451"/>
      <c r="AZ91" s="451"/>
      <c r="BA91" s="451"/>
      <c r="BB91" s="451"/>
      <c r="BC91" s="1215"/>
      <c r="BD91" s="1215"/>
      <c r="BE91" s="1215"/>
      <c r="BF91" s="1215"/>
      <c r="BG91" s="1215"/>
      <c r="BH91" s="1215"/>
      <c r="BI91">
        <f>IF(AND(AS91=1,BC91="No",BD91="Yes",BE91="Yes",BF91="No",BH91="No"),0,IF(AND('Proposed Lighting'!AU91=2,AS91=1,BC91="Yes",BD91="Yes"),2,IF(AND('Proposed Lighting'!AU91=2,AS91=1,BC91="Yes",BE91="Yes"),2,IF(AND('Proposed Lighting'!AU91=2,AS91=1,BC91="Yes",BF91="Yes"),2,IF(AND('Proposed Lighting'!AU91=2,AS91=1,BC91="Yes",BH91="Yes"),2,IF(AND('Proposed Lighting'!AU91=2,AS91=1,BD91="Yes",BF91="Yes"),2,IF(AND('Proposed Lighting'!AU91=2,AS91=1,BD91="Yes",BH91="Yes"),2,IF(AND('Proposed Lighting'!AU91=3,AS91=1,BC91="Yes",BE91="Yes"),2,IF(AND('Proposed Lighting'!AU91=3,AS91=1,BC91="Yes",BF91="Yes"),2,0)))))))))</f>
        <v>0</v>
      </c>
      <c r="BJ91" s="1025">
        <f t="shared" si="23"/>
        <v>0</v>
      </c>
      <c r="BK91">
        <f>IF(AND('Proposed Lighting'!BC91=22,'Lighting Controls'!N91=1),0,IF(ISNUMBER(SEARCH("LED",G91)),1,0))</f>
        <v>0</v>
      </c>
    </row>
    <row r="92" spans="1:63" ht="34.5" customHeight="1">
      <c r="A92" s="917">
        <v>84</v>
      </c>
      <c r="B92" s="1828" t="str">
        <f>IF('Proposed Lighting'!B92="","",'Proposed Lighting'!B92)</f>
        <v/>
      </c>
      <c r="C92" s="1828"/>
      <c r="D92" s="1828"/>
      <c r="E92" s="1245">
        <f>'Proposed Lighting'!AA92</f>
        <v>0</v>
      </c>
      <c r="F92" s="1245">
        <f t="shared" si="16"/>
        <v>0</v>
      </c>
      <c r="G92" s="1830" t="str">
        <f>IF('Proposed Lighting'!T92="","",IF(ISNUMBER(SEARCH("Networked",'Proposed Lighting'!T92)),0,IF(ISNUMBER(SEARCH("Strategies",'Proposed Lighting'!T92)),0,IF(ISNUMBER(SEARCH("Removal",'Proposed Lighting'!T92)),0,'Proposed Lighting'!T92))))</f>
        <v/>
      </c>
      <c r="H92" s="1830"/>
      <c r="I92" s="1830"/>
      <c r="J92" s="1830"/>
      <c r="K92" s="1215"/>
      <c r="L92" s="1246">
        <f t="shared" si="17"/>
        <v>0</v>
      </c>
      <c r="M92" s="1224">
        <f t="shared" si="18"/>
        <v>0</v>
      </c>
      <c r="N92" s="1224">
        <f t="shared" si="19"/>
        <v>0</v>
      </c>
      <c r="O92" s="1825" t="str">
        <f>IF(G92=0,0,IF(ISNA('Proposed Lighting'!AT92),0,'Proposed Lighting'!AT92))</f>
        <v/>
      </c>
      <c r="P92" s="1825"/>
      <c r="Q92" s="1247"/>
      <c r="R92" s="1247"/>
      <c r="S92" s="1247"/>
      <c r="T92" s="1211"/>
      <c r="U92" s="1235">
        <f>IF(K92&gt;0.01,'Proposed Lighting'!CU92,0)</f>
        <v>0</v>
      </c>
      <c r="V92" s="1248">
        <f>IF('Proposed Lighting'!CF92=1,0,IF('Proposed Lighting'!AU92=2,0,IF(AND('Proposed Lighting'!AU92=3,'Proposed Lighting'!CF92=0),1,0)))</f>
        <v>0</v>
      </c>
      <c r="W92" s="1836"/>
      <c r="X92" s="1836"/>
      <c r="Y92" s="1836"/>
      <c r="Z92" s="1230" t="str">
        <f t="shared" si="13"/>
        <v/>
      </c>
      <c r="AA92" s="1230">
        <f t="shared" si="14"/>
        <v>0</v>
      </c>
      <c r="AB92" s="1230">
        <f>IF(Q92=0,0,IF(T92=0,0,IF(AA92=0,0,IF(AND(F92=3,V92=0),0,IF(T92=0,0,IF(K92&gt;'Proposed Lighting'!AA92,0,IF('Proposed Lighting'!EJ92&gt;0.01,(K92*O92)*'Proposed Lighting'!EJ92/1000,(K92*O92)*U92/1000)))))))</f>
        <v>0</v>
      </c>
      <c r="AC92" s="1230" t="str">
        <f t="shared" si="20"/>
        <v/>
      </c>
      <c r="AD92" s="1230">
        <f t="shared" si="15"/>
        <v>0</v>
      </c>
      <c r="AE92" s="1230">
        <f>IF(T92=0,0,IF(K92&gt;'Proposed Lighting'!AA92,0,IF(T92&gt;K92,0,IF(AND(AD92&gt;AA92,AA92&gt;0),0,IF(AND(F92&gt;1,W92&lt;0.01),0,IF('Proposed Lighting'!AU92&gt;'Lighting Controls'!F92,0,IF('Proposed Lighting'!AU92&lt;'Lighting Controls'!F92,0,IF(U92=0,0,Summary!AC395))))))))</f>
        <v>0</v>
      </c>
      <c r="AF92" s="1230">
        <f>IF(T92=0,0,IF(AE92=0,0,IF(K92&gt;'Proposed Lighting'!AA92,0,IF(AND(AD92&gt;AA92,AA92&gt;0),0,IF(U92=0,0,Summary!AD395)))))</f>
        <v>0</v>
      </c>
      <c r="AG92" s="1834">
        <f>IF('Proposed Lighting'!AU92=1,0,IF('Proposed Lighting'!CF92=1,0,T92*W92))</f>
        <v>0</v>
      </c>
      <c r="AH92" s="1834"/>
      <c r="AI92" s="1834"/>
      <c r="AJ92" s="1835">
        <f>IF(T92&lt;1,0,IF(K92&gt;'Proposed Lighting'!AA92,0,IF('Proposed Lighting'!CF92=1,0,IF('Proposed Lighting'!AU92=1,0,IF(T92&gt;K92,0,IF(AND(AD92&gt;AA92,AA92&gt;0),0,IF(AND(F92=2,'Proposed Lighting'!AU92=3),0,IF(AND(F92=3,'Proposed Lighting'!AU92=2),0,IF('Proposed Lighting'!CH92=100,0,IF(AND(F92&lt;3,V92=1,AM92=0),0,IF(AND(F92&gt;1,AF92&lt;1,AN92&lt;1),0,IF(AND(F92&gt;1,AE92&lt;0.69,AF92&lt;1,AN92&lt;1),0,IF(ISERROR(AB92-AC92),"",AB92-AC92)))))))))))))</f>
        <v>0</v>
      </c>
      <c r="AK92" s="1835"/>
      <c r="AL92" s="1835"/>
      <c r="AM92" s="1216">
        <f>IF(Q92=0,0,IF(T92=0,0,IF(T92&gt;K92,0,IF(AND(AS92&gt;0.01,BK92=0),0,IF(AND('Proposed Lighting'!DG92=0,'Lighting Controls'!Z92=0.35),0,IF(AND(T92&lt;=K92,AA92&gt;=AD92,'Proposed Lighting'!AU92=2),VLOOKUP(Q92,$AY$9:$AZ$15,2,FALSE),IF(AND(T92&lt;=K92,AA92&gt;=AD92,'Proposed Lighting'!AU92=3),VLOOKUP(Q92,$AY$17:$AZ$23,2,FALSE))))))))</f>
        <v>0</v>
      </c>
      <c r="AN92" s="1248">
        <f>IF(T92=0,0,IF(K92&gt;'Proposed Lighting'!AA92,0,IF(AE92=0,0,IF(AND(AD92&gt;AA92,AA92&gt;0),0,IF(U92=0,0,Summary!AE395)))))</f>
        <v>0</v>
      </c>
      <c r="AO92" s="1248">
        <f t="shared" si="24"/>
        <v>0</v>
      </c>
      <c r="AP92" s="1249">
        <f>IF('Proposed Lighting'!AU92=1,0,IF(K92=0,0,IF(T92&gt;K92,0,IF(G92=0,0,IF(K92&gt;'Proposed Lighting'!AA92,0,IF(AND(AD92&gt;AA92,AA92&gt;0),0,IF(AND('Proposed Lighting'!AU92=3,AM92=0.5),0,IF(AND(AM92&gt;0,AS92&gt;0,BI92&lt;2),0,IF('Proposed Lighting'!CH92=100,0,IF(AV92=1,0,IF(AND(AM92=35,M92+N92&lt;2),0,AM92)))))))))))</f>
        <v>0</v>
      </c>
      <c r="AQ92" s="1249" t="str">
        <f>IFERROR(ROUND(IF(Q92="","",IF('Proposed Lighting'!$X$4=0,0,IF(AND(AM92=35,M92+N92&lt;2),0,IF(T92&gt;K92,0,IF('Proposed Lighting'!AU92=1,0,IF(AJ92=0,0,IF(AND('Proposed Lighting'!AU92=3,AM92=0.5),0,IF(AND(AD92=75,AP92=0,AV92=0),0,IF(AP92&gt;0.01,AP92*T92,IF(AND(F92&gt;1,W92&lt;0.01),0,IF(AND(F92&gt;1,AO92=0),0,IF(AND('Proposed Lighting'!BC92=22,AV92=0),0,IF(AND(AM92&gt;0,AS92&gt;0,BI92&lt;2),0,IF(AND(AS92&gt;0.01,BK92=0),0,IF(AND(AO92=TRUE,AV92=1,F92=3),MIN(AJ92*0.08,L92),IF(AP92&gt;0.01,AP92*T92,IF(AND(AO92=TRUE,AV92=1,F92=2),MIN(AJ92*0.1,L92)))))))))))))))))),2),"")</f>
        <v/>
      </c>
      <c r="AR92" s="1250">
        <f>IF(Q92=0,0,IF('Proposed Lighting'!$X$4=0,0,IF(AND(AM92&gt;0.01,AQ92&gt;0.01),0,IF('Proposed Lighting'!AU92=1,"Missing Interior or Exterior Selection",IF('Proposed Lighting'!CF92=1,"Selection does not match",IF(K92&gt;'Proposed Lighting'!AA92,"Quantity controlled does not match proposed lighting quantity",IF(T92&gt;K92,"Quantity of sensors exceeds proposed lighting quantity",IF(AND(F92&gt;1,'Proposed Lighting'!AU92&lt;&gt;F92),"Selection does not match",IF(AND(AD92&gt;AA92,AA92&gt;0),"Does not meet minimum connected load",IF(AND(O92&gt;0,AS92&gt;0,BK92&gt;0,'Proposed Lighting'!CH92=0),"Select Control Strategies",IF(AND(AC92&gt;0.1,AJ92=0,AQ92=0),"Does not meet incentive criteria",0)))))))))))</f>
        <v>0</v>
      </c>
      <c r="AS92" s="1224">
        <f>IF('Proposed Lighting'!CH92=100,0,IF(ISNUMBER(SEARCH("multiple",Q92)),1,0))</f>
        <v>0</v>
      </c>
      <c r="AT92" s="451">
        <f t="shared" si="21"/>
        <v>0</v>
      </c>
      <c r="AU92" s="451">
        <f t="shared" si="22"/>
        <v>0</v>
      </c>
      <c r="AV92" s="1222">
        <f>IF(ISNUMBER(SEARCH("Networked",'Proposed Lighting'!T92)),0,IF(ISNUMBER(SEARCH("Strategies",'Proposed Lighting'!T92)),0,IF(ISNUMBER(SEARCH("Removal",'Proposed Lighting'!T92)),0,IF(ISNUMBER(SEARCH("non-standard",Q92)),1,0))))</f>
        <v>0</v>
      </c>
      <c r="AW92" s="451">
        <f t="shared" si="25"/>
        <v>0</v>
      </c>
      <c r="AX92" s="451"/>
      <c r="AY92" s="451"/>
      <c r="AZ92" s="451"/>
      <c r="BA92" s="451"/>
      <c r="BB92" s="451"/>
      <c r="BC92" s="1215"/>
      <c r="BD92" s="1215"/>
      <c r="BE92" s="1215"/>
      <c r="BF92" s="1215"/>
      <c r="BG92" s="1215"/>
      <c r="BH92" s="1215"/>
      <c r="BI92">
        <f>IF(AND(AS92=1,BC92="No",BD92="Yes",BE92="Yes",BF92="No",BH92="No"),0,IF(AND('Proposed Lighting'!AU92=2,AS92=1,BC92="Yes",BD92="Yes"),2,IF(AND('Proposed Lighting'!AU92=2,AS92=1,BC92="Yes",BE92="Yes"),2,IF(AND('Proposed Lighting'!AU92=2,AS92=1,BC92="Yes",BF92="Yes"),2,IF(AND('Proposed Lighting'!AU92=2,AS92=1,BC92="Yes",BH92="Yes"),2,IF(AND('Proposed Lighting'!AU92=2,AS92=1,BD92="Yes",BF92="Yes"),2,IF(AND('Proposed Lighting'!AU92=2,AS92=1,BD92="Yes",BH92="Yes"),2,IF(AND('Proposed Lighting'!AU92=3,AS92=1,BC92="Yes",BE92="Yes"),2,IF(AND('Proposed Lighting'!AU92=3,AS92=1,BC92="Yes",BF92="Yes"),2,0)))))))))</f>
        <v>0</v>
      </c>
      <c r="BJ92" s="1025">
        <f t="shared" si="23"/>
        <v>0</v>
      </c>
      <c r="BK92">
        <f>IF(AND('Proposed Lighting'!BC92=22,'Lighting Controls'!N92=1),0,IF(ISNUMBER(SEARCH("LED",G92)),1,0))</f>
        <v>0</v>
      </c>
    </row>
    <row r="93" spans="1:63" ht="34.5" customHeight="1">
      <c r="A93" s="917">
        <v>85</v>
      </c>
      <c r="B93" s="1828" t="str">
        <f>IF('Proposed Lighting'!B93="","",'Proposed Lighting'!B93)</f>
        <v/>
      </c>
      <c r="C93" s="1828"/>
      <c r="D93" s="1828"/>
      <c r="E93" s="1245">
        <f>'Proposed Lighting'!AA93</f>
        <v>0</v>
      </c>
      <c r="F93" s="1245">
        <f t="shared" si="16"/>
        <v>0</v>
      </c>
      <c r="G93" s="1830" t="str">
        <f>IF('Proposed Lighting'!T93="","",IF(ISNUMBER(SEARCH("Networked",'Proposed Lighting'!T93)),0,IF(ISNUMBER(SEARCH("Strategies",'Proposed Lighting'!T93)),0,IF(ISNUMBER(SEARCH("Removal",'Proposed Lighting'!T93)),0,'Proposed Lighting'!T93))))</f>
        <v/>
      </c>
      <c r="H93" s="1830"/>
      <c r="I93" s="1830"/>
      <c r="J93" s="1830"/>
      <c r="K93" s="1215"/>
      <c r="L93" s="1246">
        <f t="shared" si="17"/>
        <v>0</v>
      </c>
      <c r="M93" s="1224">
        <f t="shared" si="18"/>
        <v>0</v>
      </c>
      <c r="N93" s="1224">
        <f t="shared" si="19"/>
        <v>0</v>
      </c>
      <c r="O93" s="1825" t="str">
        <f>IF(G93=0,0,IF(ISNA('Proposed Lighting'!AT93),0,'Proposed Lighting'!AT93))</f>
        <v/>
      </c>
      <c r="P93" s="1825"/>
      <c r="Q93" s="1247"/>
      <c r="R93" s="1247"/>
      <c r="S93" s="1247"/>
      <c r="T93" s="1211"/>
      <c r="U93" s="1235">
        <f>IF(K93&gt;0.01,'Proposed Lighting'!CU93,0)</f>
        <v>0</v>
      </c>
      <c r="V93" s="1248">
        <f>IF('Proposed Lighting'!CF93=1,0,IF('Proposed Lighting'!AU93=2,0,IF(AND('Proposed Lighting'!AU93=3,'Proposed Lighting'!CF93=0),1,0)))</f>
        <v>0</v>
      </c>
      <c r="W93" s="1836"/>
      <c r="X93" s="1836"/>
      <c r="Y93" s="1836"/>
      <c r="Z93" s="1230" t="str">
        <f t="shared" si="13"/>
        <v/>
      </c>
      <c r="AA93" s="1230">
        <f t="shared" si="14"/>
        <v>0</v>
      </c>
      <c r="AB93" s="1230">
        <f>IF(Q93=0,0,IF(T93=0,0,IF(AA93=0,0,IF(AND(F93=3,V93=0),0,IF(T93=0,0,IF(K93&gt;'Proposed Lighting'!AA93,0,IF('Proposed Lighting'!EJ93&gt;0.01,(K93*O93)*'Proposed Lighting'!EJ93/1000,(K93*O93)*U93/1000)))))))</f>
        <v>0</v>
      </c>
      <c r="AC93" s="1230" t="str">
        <f t="shared" si="20"/>
        <v/>
      </c>
      <c r="AD93" s="1230">
        <f t="shared" si="15"/>
        <v>0</v>
      </c>
      <c r="AE93" s="1230">
        <f>IF(T93=0,0,IF(K93&gt;'Proposed Lighting'!AA93,0,IF(T93&gt;K93,0,IF(AND(AD93&gt;AA93,AA93&gt;0),0,IF(AND(F93&gt;1,W93&lt;0.01),0,IF('Proposed Lighting'!AU93&gt;'Lighting Controls'!F93,0,IF('Proposed Lighting'!AU93&lt;'Lighting Controls'!F93,0,IF(U93=0,0,Summary!AC396))))))))</f>
        <v>0</v>
      </c>
      <c r="AF93" s="1230">
        <f>IF(T93=0,0,IF(AE93=0,0,IF(K93&gt;'Proposed Lighting'!AA93,0,IF(AND(AD93&gt;AA93,AA93&gt;0),0,IF(U93=0,0,Summary!AD396)))))</f>
        <v>0</v>
      </c>
      <c r="AG93" s="1834">
        <f>IF('Proposed Lighting'!AU93=1,0,IF('Proposed Lighting'!CF93=1,0,T93*W93))</f>
        <v>0</v>
      </c>
      <c r="AH93" s="1834"/>
      <c r="AI93" s="1834"/>
      <c r="AJ93" s="1835">
        <f>IF(T93&lt;1,0,IF(K93&gt;'Proposed Lighting'!AA93,0,IF('Proposed Lighting'!CF93=1,0,IF('Proposed Lighting'!AU93=1,0,IF(T93&gt;K93,0,IF(AND(AD93&gt;AA93,AA93&gt;0),0,IF(AND(F93=2,'Proposed Lighting'!AU93=3),0,IF(AND(F93=3,'Proposed Lighting'!AU93=2),0,IF('Proposed Lighting'!CH93=100,0,IF(AND(F93&lt;3,V93=1,AM93=0),0,IF(AND(F93&gt;1,AF93&lt;1,AN93&lt;1),0,IF(AND(F93&gt;1,AE93&lt;0.69,AF93&lt;1,AN93&lt;1),0,IF(ISERROR(AB93-AC93),"",AB93-AC93)))))))))))))</f>
        <v>0</v>
      </c>
      <c r="AK93" s="1835"/>
      <c r="AL93" s="1835"/>
      <c r="AM93" s="1216">
        <f>IF(Q93=0,0,IF(T93=0,0,IF(T93&gt;K93,0,IF(AND(AS93&gt;0.01,BK93=0),0,IF(AND('Proposed Lighting'!DG93=0,'Lighting Controls'!Z93=0.35),0,IF(AND(T93&lt;=K93,AA93&gt;=AD93,'Proposed Lighting'!AU93=2),VLOOKUP(Q93,$AY$9:$AZ$15,2,FALSE),IF(AND(T93&lt;=K93,AA93&gt;=AD93,'Proposed Lighting'!AU93=3),VLOOKUP(Q93,$AY$17:$AZ$23,2,FALSE))))))))</f>
        <v>0</v>
      </c>
      <c r="AN93" s="1248">
        <f>IF(T93=0,0,IF(K93&gt;'Proposed Lighting'!AA93,0,IF(AE93=0,0,IF(AND(AD93&gt;AA93,AA93&gt;0),0,IF(U93=0,0,Summary!AE396)))))</f>
        <v>0</v>
      </c>
      <c r="AO93" s="1248">
        <f t="shared" si="24"/>
        <v>0</v>
      </c>
      <c r="AP93" s="1249">
        <f>IF('Proposed Lighting'!AU93=1,0,IF(K93=0,0,IF(T93&gt;K93,0,IF(G93=0,0,IF(K93&gt;'Proposed Lighting'!AA93,0,IF(AND(AD93&gt;AA93,AA93&gt;0),0,IF(AND('Proposed Lighting'!AU93=3,AM93=0.5),0,IF(AND(AM93&gt;0,AS93&gt;0,BI93&lt;2),0,IF('Proposed Lighting'!CH93=100,0,IF(AV93=1,0,IF(AND(AM93=35,M93+N93&lt;2),0,AM93)))))))))))</f>
        <v>0</v>
      </c>
      <c r="AQ93" s="1249" t="str">
        <f>IFERROR(ROUND(IF(Q93="","",IF('Proposed Lighting'!$X$4=0,0,IF(AND(AM93=35,M93+N93&lt;2),0,IF(T93&gt;K93,0,IF('Proposed Lighting'!AU93=1,0,IF(AJ93=0,0,IF(AND('Proposed Lighting'!AU93=3,AM93=0.5),0,IF(AND(AD93=75,AP93=0,AV93=0),0,IF(AP93&gt;0.01,AP93*T93,IF(AND(F93&gt;1,W93&lt;0.01),0,IF(AND(F93&gt;1,AO93=0),0,IF(AND('Proposed Lighting'!BC93=22,AV93=0),0,IF(AND(AM93&gt;0,AS93&gt;0,BI93&lt;2),0,IF(AND(AS93&gt;0.01,BK93=0),0,IF(AND(AO93=TRUE,AV93=1,F93=3),MIN(AJ93*0.08,L93),IF(AP93&gt;0.01,AP93*T93,IF(AND(AO93=TRUE,AV93=1,F93=2),MIN(AJ93*0.1,L93)))))))))))))))))),2),"")</f>
        <v/>
      </c>
      <c r="AR93" s="1250">
        <f>IF(Q93=0,0,IF('Proposed Lighting'!$X$4=0,0,IF(AND(AM93&gt;0.01,AQ93&gt;0.01),0,IF('Proposed Lighting'!AU93=1,"Missing Interior or Exterior Selection",IF('Proposed Lighting'!CF93=1,"Selection does not match",IF(K93&gt;'Proposed Lighting'!AA93,"Quantity controlled does not match proposed lighting quantity",IF(T93&gt;K93,"Quantity of sensors exceeds proposed lighting quantity",IF(AND(F93&gt;1,'Proposed Lighting'!AU93&lt;&gt;F93),"Selection does not match",IF(AND(AD93&gt;AA93,AA93&gt;0),"Does not meet minimum connected load",IF(AND(O93&gt;0,AS93&gt;0,BK93&gt;0,'Proposed Lighting'!CH93=0),"Select Control Strategies",IF(AND(AC93&gt;0.1,AJ93=0,AQ93=0),"Does not meet incentive criteria",0)))))))))))</f>
        <v>0</v>
      </c>
      <c r="AS93" s="1224">
        <f>IF('Proposed Lighting'!CH93=100,0,IF(ISNUMBER(SEARCH("multiple",Q93)),1,0))</f>
        <v>0</v>
      </c>
      <c r="AT93" s="451">
        <f t="shared" si="21"/>
        <v>0</v>
      </c>
      <c r="AU93" s="451">
        <f t="shared" si="22"/>
        <v>0</v>
      </c>
      <c r="AV93" s="1222">
        <f>IF(ISNUMBER(SEARCH("Networked",'Proposed Lighting'!T93)),0,IF(ISNUMBER(SEARCH("Strategies",'Proposed Lighting'!T93)),0,IF(ISNUMBER(SEARCH("Removal",'Proposed Lighting'!T93)),0,IF(ISNUMBER(SEARCH("non-standard",Q93)),1,0))))</f>
        <v>0</v>
      </c>
      <c r="AW93" s="451">
        <f t="shared" si="25"/>
        <v>0</v>
      </c>
      <c r="AX93" s="451"/>
      <c r="AY93" s="451"/>
      <c r="AZ93" s="451"/>
      <c r="BA93" s="451"/>
      <c r="BB93" s="451"/>
      <c r="BC93" s="1215"/>
      <c r="BD93" s="1215"/>
      <c r="BE93" s="1215"/>
      <c r="BF93" s="1215"/>
      <c r="BG93" s="1215"/>
      <c r="BH93" s="1215"/>
      <c r="BI93">
        <f>IF(AND(AS93=1,BC93="No",BD93="Yes",BE93="Yes",BF93="No",BH93="No"),0,IF(AND('Proposed Lighting'!AU93=2,AS93=1,BC93="Yes",BD93="Yes"),2,IF(AND('Proposed Lighting'!AU93=2,AS93=1,BC93="Yes",BE93="Yes"),2,IF(AND('Proposed Lighting'!AU93=2,AS93=1,BC93="Yes",BF93="Yes"),2,IF(AND('Proposed Lighting'!AU93=2,AS93=1,BC93="Yes",BH93="Yes"),2,IF(AND('Proposed Lighting'!AU93=2,AS93=1,BD93="Yes",BF93="Yes"),2,IF(AND('Proposed Lighting'!AU93=2,AS93=1,BD93="Yes",BH93="Yes"),2,IF(AND('Proposed Lighting'!AU93=3,AS93=1,BC93="Yes",BE93="Yes"),2,IF(AND('Proposed Lighting'!AU93=3,AS93=1,BC93="Yes",BF93="Yes"),2,0)))))))))</f>
        <v>0</v>
      </c>
      <c r="BJ93" s="1025">
        <f t="shared" si="23"/>
        <v>0</v>
      </c>
      <c r="BK93">
        <f>IF(AND('Proposed Lighting'!BC93=22,'Lighting Controls'!N93=1),0,IF(ISNUMBER(SEARCH("LED",G93)),1,0))</f>
        <v>0</v>
      </c>
    </row>
    <row r="94" spans="1:63" ht="34.5" customHeight="1">
      <c r="A94" s="917">
        <v>86</v>
      </c>
      <c r="B94" s="1828" t="str">
        <f>IF('Proposed Lighting'!B94="","",'Proposed Lighting'!B94)</f>
        <v/>
      </c>
      <c r="C94" s="1828"/>
      <c r="D94" s="1828"/>
      <c r="E94" s="1245">
        <f>'Proposed Lighting'!AA94</f>
        <v>0</v>
      </c>
      <c r="F94" s="1245">
        <f t="shared" si="16"/>
        <v>0</v>
      </c>
      <c r="G94" s="1830" t="str">
        <f>IF('Proposed Lighting'!T94="","",IF(ISNUMBER(SEARCH("Networked",'Proposed Lighting'!T94)),0,IF(ISNUMBER(SEARCH("Strategies",'Proposed Lighting'!T94)),0,IF(ISNUMBER(SEARCH("Removal",'Proposed Lighting'!T94)),0,'Proposed Lighting'!T94))))</f>
        <v/>
      </c>
      <c r="H94" s="1830"/>
      <c r="I94" s="1830"/>
      <c r="J94" s="1830"/>
      <c r="K94" s="1215"/>
      <c r="L94" s="1246">
        <f t="shared" si="17"/>
        <v>0</v>
      </c>
      <c r="M94" s="1224">
        <f t="shared" si="18"/>
        <v>0</v>
      </c>
      <c r="N94" s="1224">
        <f t="shared" si="19"/>
        <v>0</v>
      </c>
      <c r="O94" s="1825" t="str">
        <f>IF(G94=0,0,IF(ISNA('Proposed Lighting'!AT94),0,'Proposed Lighting'!AT94))</f>
        <v/>
      </c>
      <c r="P94" s="1825"/>
      <c r="Q94" s="1247"/>
      <c r="R94" s="1247"/>
      <c r="S94" s="1247"/>
      <c r="T94" s="1211"/>
      <c r="U94" s="1235">
        <f>IF(K94&gt;0.01,'Proposed Lighting'!CU94,0)</f>
        <v>0</v>
      </c>
      <c r="V94" s="1248">
        <f>IF('Proposed Lighting'!CF94=1,0,IF('Proposed Lighting'!AU94=2,0,IF(AND('Proposed Lighting'!AU94=3,'Proposed Lighting'!CF94=0),1,0)))</f>
        <v>0</v>
      </c>
      <c r="W94" s="1836"/>
      <c r="X94" s="1836"/>
      <c r="Y94" s="1836"/>
      <c r="Z94" s="1230" t="str">
        <f t="shared" si="13"/>
        <v/>
      </c>
      <c r="AA94" s="1230">
        <f t="shared" si="14"/>
        <v>0</v>
      </c>
      <c r="AB94" s="1230">
        <f>IF(Q94=0,0,IF(T94=0,0,IF(AA94=0,0,IF(AND(F94=3,V94=0),0,IF(T94=0,0,IF(K94&gt;'Proposed Lighting'!AA94,0,IF('Proposed Lighting'!EJ94&gt;0.01,(K94*O94)*'Proposed Lighting'!EJ94/1000,(K94*O94)*U94/1000)))))))</f>
        <v>0</v>
      </c>
      <c r="AC94" s="1230" t="str">
        <f t="shared" si="20"/>
        <v/>
      </c>
      <c r="AD94" s="1230">
        <f t="shared" si="15"/>
        <v>0</v>
      </c>
      <c r="AE94" s="1230">
        <f>IF(T94=0,0,IF(K94&gt;'Proposed Lighting'!AA94,0,IF(T94&gt;K94,0,IF(AND(AD94&gt;AA94,AA94&gt;0),0,IF(AND(F94&gt;1,W94&lt;0.01),0,IF('Proposed Lighting'!AU94&gt;'Lighting Controls'!F94,0,IF('Proposed Lighting'!AU94&lt;'Lighting Controls'!F94,0,IF(U94=0,0,Summary!AC397))))))))</f>
        <v>0</v>
      </c>
      <c r="AF94" s="1230">
        <f>IF(T94=0,0,IF(AE94=0,0,IF(K94&gt;'Proposed Lighting'!AA94,0,IF(AND(AD94&gt;AA94,AA94&gt;0),0,IF(U94=0,0,Summary!AD397)))))</f>
        <v>0</v>
      </c>
      <c r="AG94" s="1834">
        <f>IF('Proposed Lighting'!AU94=1,0,IF('Proposed Lighting'!CF94=1,0,T94*W94))</f>
        <v>0</v>
      </c>
      <c r="AH94" s="1834"/>
      <c r="AI94" s="1834"/>
      <c r="AJ94" s="1835">
        <f>IF(T94&lt;1,0,IF(K94&gt;'Proposed Lighting'!AA94,0,IF('Proposed Lighting'!CF94=1,0,IF('Proposed Lighting'!AU94=1,0,IF(T94&gt;K94,0,IF(AND(AD94&gt;AA94,AA94&gt;0),0,IF(AND(F94=2,'Proposed Lighting'!AU94=3),0,IF(AND(F94=3,'Proposed Lighting'!AU94=2),0,IF('Proposed Lighting'!CH94=100,0,IF(AND(F94&lt;3,V94=1,AM94=0),0,IF(AND(F94&gt;1,AF94&lt;1,AN94&lt;1),0,IF(AND(F94&gt;1,AE94&lt;0.69,AF94&lt;1,AN94&lt;1),0,IF(ISERROR(AB94-AC94),"",AB94-AC94)))))))))))))</f>
        <v>0</v>
      </c>
      <c r="AK94" s="1835"/>
      <c r="AL94" s="1835"/>
      <c r="AM94" s="1216">
        <f>IF(Q94=0,0,IF(T94=0,0,IF(T94&gt;K94,0,IF(AND(AS94&gt;0.01,BK94=0),0,IF(AND('Proposed Lighting'!DG94=0,'Lighting Controls'!Z94=0.35),0,IF(AND(T94&lt;=K94,AA94&gt;=AD94,'Proposed Lighting'!AU94=2),VLOOKUP(Q94,$AY$9:$AZ$15,2,FALSE),IF(AND(T94&lt;=K94,AA94&gt;=AD94,'Proposed Lighting'!AU94=3),VLOOKUP(Q94,$AY$17:$AZ$23,2,FALSE))))))))</f>
        <v>0</v>
      </c>
      <c r="AN94" s="1248">
        <f>IF(T94=0,0,IF(K94&gt;'Proposed Lighting'!AA94,0,IF(AE94=0,0,IF(AND(AD94&gt;AA94,AA94&gt;0),0,IF(U94=0,0,Summary!AE397)))))</f>
        <v>0</v>
      </c>
      <c r="AO94" s="1248">
        <f t="shared" si="24"/>
        <v>0</v>
      </c>
      <c r="AP94" s="1249">
        <f>IF('Proposed Lighting'!AU94=1,0,IF(K94=0,0,IF(T94&gt;K94,0,IF(G94=0,0,IF(K94&gt;'Proposed Lighting'!AA94,0,IF(AND(AD94&gt;AA94,AA94&gt;0),0,IF(AND('Proposed Lighting'!AU94=3,AM94=0.5),0,IF(AND(AM94&gt;0,AS94&gt;0,BI94&lt;2),0,IF('Proposed Lighting'!CH94=100,0,IF(AV94=1,0,IF(AND(AM94=35,M94+N94&lt;2),0,AM94)))))))))))</f>
        <v>0</v>
      </c>
      <c r="AQ94" s="1249" t="str">
        <f>IFERROR(ROUND(IF(Q94="","",IF('Proposed Lighting'!$X$4=0,0,IF(AND(AM94=35,M94+N94&lt;2),0,IF(T94&gt;K94,0,IF('Proposed Lighting'!AU94=1,0,IF(AJ94=0,0,IF(AND('Proposed Lighting'!AU94=3,AM94=0.5),0,IF(AND(AD94=75,AP94=0,AV94=0),0,IF(AP94&gt;0.01,AP94*T94,IF(AND(F94&gt;1,W94&lt;0.01),0,IF(AND(F94&gt;1,AO94=0),0,IF(AND('Proposed Lighting'!BC94=22,AV94=0),0,IF(AND(AM94&gt;0,AS94&gt;0,BI94&lt;2),0,IF(AND(AS94&gt;0.01,BK94=0),0,IF(AND(AO94=TRUE,AV94=1,F94=3),MIN(AJ94*0.08,L94),IF(AP94&gt;0.01,AP94*T94,IF(AND(AO94=TRUE,AV94=1,F94=2),MIN(AJ94*0.1,L94)))))))))))))))))),2),"")</f>
        <v/>
      </c>
      <c r="AR94" s="1250">
        <f>IF(Q94=0,0,IF('Proposed Lighting'!$X$4=0,0,IF(AND(AM94&gt;0.01,AQ94&gt;0.01),0,IF('Proposed Lighting'!AU94=1,"Missing Interior or Exterior Selection",IF('Proposed Lighting'!CF94=1,"Selection does not match",IF(K94&gt;'Proposed Lighting'!AA94,"Quantity controlled does not match proposed lighting quantity",IF(T94&gt;K94,"Quantity of sensors exceeds proposed lighting quantity",IF(AND(F94&gt;1,'Proposed Lighting'!AU94&lt;&gt;F94),"Selection does not match",IF(AND(AD94&gt;AA94,AA94&gt;0),"Does not meet minimum connected load",IF(AND(O94&gt;0,AS94&gt;0,BK94&gt;0,'Proposed Lighting'!CH94=0),"Select Control Strategies",IF(AND(AC94&gt;0.1,AJ94=0,AQ94=0),"Does not meet incentive criteria",0)))))))))))</f>
        <v>0</v>
      </c>
      <c r="AS94" s="1224">
        <f>IF('Proposed Lighting'!CH94=100,0,IF(ISNUMBER(SEARCH("multiple",Q94)),1,0))</f>
        <v>0</v>
      </c>
      <c r="AT94" s="451">
        <f t="shared" si="21"/>
        <v>0</v>
      </c>
      <c r="AU94" s="451">
        <f t="shared" si="22"/>
        <v>0</v>
      </c>
      <c r="AV94" s="1222">
        <f>IF(ISNUMBER(SEARCH("Networked",'Proposed Lighting'!T94)),0,IF(ISNUMBER(SEARCH("Strategies",'Proposed Lighting'!T94)),0,IF(ISNUMBER(SEARCH("Removal",'Proposed Lighting'!T94)),0,IF(ISNUMBER(SEARCH("non-standard",Q94)),1,0))))</f>
        <v>0</v>
      </c>
      <c r="AW94" s="451">
        <f t="shared" si="25"/>
        <v>0</v>
      </c>
      <c r="AX94" s="451"/>
      <c r="AY94" s="451"/>
      <c r="AZ94" s="451"/>
      <c r="BA94" s="451"/>
      <c r="BB94" s="451"/>
      <c r="BC94" s="1215"/>
      <c r="BD94" s="1215"/>
      <c r="BE94" s="1215"/>
      <c r="BF94" s="1215"/>
      <c r="BG94" s="1215"/>
      <c r="BH94" s="1215"/>
      <c r="BI94">
        <f>IF(AND(AS94=1,BC94="No",BD94="Yes",BE94="Yes",BF94="No",BH94="No"),0,IF(AND('Proposed Lighting'!AU94=2,AS94=1,BC94="Yes",BD94="Yes"),2,IF(AND('Proposed Lighting'!AU94=2,AS94=1,BC94="Yes",BE94="Yes"),2,IF(AND('Proposed Lighting'!AU94=2,AS94=1,BC94="Yes",BF94="Yes"),2,IF(AND('Proposed Lighting'!AU94=2,AS94=1,BC94="Yes",BH94="Yes"),2,IF(AND('Proposed Lighting'!AU94=2,AS94=1,BD94="Yes",BF94="Yes"),2,IF(AND('Proposed Lighting'!AU94=2,AS94=1,BD94="Yes",BH94="Yes"),2,IF(AND('Proposed Lighting'!AU94=3,AS94=1,BC94="Yes",BE94="Yes"),2,IF(AND('Proposed Lighting'!AU94=3,AS94=1,BC94="Yes",BF94="Yes"),2,0)))))))))</f>
        <v>0</v>
      </c>
      <c r="BJ94" s="1025">
        <f t="shared" si="23"/>
        <v>0</v>
      </c>
      <c r="BK94">
        <f>IF(AND('Proposed Lighting'!BC94=22,'Lighting Controls'!N94=1),0,IF(ISNUMBER(SEARCH("LED",G94)),1,0))</f>
        <v>0</v>
      </c>
    </row>
    <row r="95" spans="1:63" ht="34.5" customHeight="1">
      <c r="A95" s="917">
        <v>87</v>
      </c>
      <c r="B95" s="1828" t="str">
        <f>IF('Proposed Lighting'!B95="","",'Proposed Lighting'!B95)</f>
        <v/>
      </c>
      <c r="C95" s="1828"/>
      <c r="D95" s="1828"/>
      <c r="E95" s="1245">
        <f>'Proposed Lighting'!AA95</f>
        <v>0</v>
      </c>
      <c r="F95" s="1245">
        <f t="shared" si="16"/>
        <v>0</v>
      </c>
      <c r="G95" s="1830" t="str">
        <f>IF('Proposed Lighting'!T95="","",IF(ISNUMBER(SEARCH("Networked",'Proposed Lighting'!T95)),0,IF(ISNUMBER(SEARCH("Strategies",'Proposed Lighting'!T95)),0,IF(ISNUMBER(SEARCH("Removal",'Proposed Lighting'!T95)),0,'Proposed Lighting'!T95))))</f>
        <v/>
      </c>
      <c r="H95" s="1830"/>
      <c r="I95" s="1830"/>
      <c r="J95" s="1830"/>
      <c r="K95" s="1215"/>
      <c r="L95" s="1246">
        <f t="shared" si="17"/>
        <v>0</v>
      </c>
      <c r="M95" s="1224">
        <f t="shared" si="18"/>
        <v>0</v>
      </c>
      <c r="N95" s="1224">
        <f t="shared" si="19"/>
        <v>0</v>
      </c>
      <c r="O95" s="1825" t="str">
        <f>IF(G95=0,0,IF(ISNA('Proposed Lighting'!AT95),0,'Proposed Lighting'!AT95))</f>
        <v/>
      </c>
      <c r="P95" s="1825"/>
      <c r="Q95" s="1247"/>
      <c r="R95" s="1247"/>
      <c r="S95" s="1247"/>
      <c r="T95" s="1211"/>
      <c r="U95" s="1235">
        <f>IF(K95&gt;0.01,'Proposed Lighting'!CU95,0)</f>
        <v>0</v>
      </c>
      <c r="V95" s="1248">
        <f>IF('Proposed Lighting'!CF95=1,0,IF('Proposed Lighting'!AU95=2,0,IF(AND('Proposed Lighting'!AU95=3,'Proposed Lighting'!CF95=0),1,0)))</f>
        <v>0</v>
      </c>
      <c r="W95" s="1836"/>
      <c r="X95" s="1836"/>
      <c r="Y95" s="1836"/>
      <c r="Z95" s="1230" t="str">
        <f t="shared" si="13"/>
        <v/>
      </c>
      <c r="AA95" s="1230">
        <f t="shared" si="14"/>
        <v>0</v>
      </c>
      <c r="AB95" s="1230">
        <f>IF(Q95=0,0,IF(T95=0,0,IF(AA95=0,0,IF(AND(F95=3,V95=0),0,IF(T95=0,0,IF(K95&gt;'Proposed Lighting'!AA95,0,IF('Proposed Lighting'!EJ95&gt;0.01,(K95*O95)*'Proposed Lighting'!EJ95/1000,(K95*O95)*U95/1000)))))))</f>
        <v>0</v>
      </c>
      <c r="AC95" s="1230" t="str">
        <f t="shared" si="20"/>
        <v/>
      </c>
      <c r="AD95" s="1230">
        <f t="shared" si="15"/>
        <v>0</v>
      </c>
      <c r="AE95" s="1230">
        <f>IF(T95=0,0,IF(K95&gt;'Proposed Lighting'!AA95,0,IF(T95&gt;K95,0,IF(AND(AD95&gt;AA95,AA95&gt;0),0,IF(AND(F95&gt;1,W95&lt;0.01),0,IF('Proposed Lighting'!AU95&gt;'Lighting Controls'!F95,0,IF('Proposed Lighting'!AU95&lt;'Lighting Controls'!F95,0,IF(U95=0,0,Summary!AC398))))))))</f>
        <v>0</v>
      </c>
      <c r="AF95" s="1230">
        <f>IF(T95=0,0,IF(AE95=0,0,IF(K95&gt;'Proposed Lighting'!AA95,0,IF(AND(AD95&gt;AA95,AA95&gt;0),0,IF(U95=0,0,Summary!AD398)))))</f>
        <v>0</v>
      </c>
      <c r="AG95" s="1834">
        <f>IF('Proposed Lighting'!AU95=1,0,IF('Proposed Lighting'!CF95=1,0,T95*W95))</f>
        <v>0</v>
      </c>
      <c r="AH95" s="1834"/>
      <c r="AI95" s="1834"/>
      <c r="AJ95" s="1835">
        <f>IF(T95&lt;1,0,IF(K95&gt;'Proposed Lighting'!AA95,0,IF('Proposed Lighting'!CF95=1,0,IF('Proposed Lighting'!AU95=1,0,IF(T95&gt;K95,0,IF(AND(AD95&gt;AA95,AA95&gt;0),0,IF(AND(F95=2,'Proposed Lighting'!AU95=3),0,IF(AND(F95=3,'Proposed Lighting'!AU95=2),0,IF('Proposed Lighting'!CH95=100,0,IF(AND(F95&lt;3,V95=1,AM95=0),0,IF(AND(F95&gt;1,AF95&lt;1,AN95&lt;1),0,IF(AND(F95&gt;1,AE95&lt;0.69,AF95&lt;1,AN95&lt;1),0,IF(ISERROR(AB95-AC95),"",AB95-AC95)))))))))))))</f>
        <v>0</v>
      </c>
      <c r="AK95" s="1835"/>
      <c r="AL95" s="1835"/>
      <c r="AM95" s="1216">
        <f>IF(Q95=0,0,IF(T95=0,0,IF(T95&gt;K95,0,IF(AND(AS95&gt;0.01,BK95=0),0,IF(AND('Proposed Lighting'!DG95=0,'Lighting Controls'!Z95=0.35),0,IF(AND(T95&lt;=K95,AA95&gt;=AD95,'Proposed Lighting'!AU95=2),VLOOKUP(Q95,$AY$9:$AZ$15,2,FALSE),IF(AND(T95&lt;=K95,AA95&gt;=AD95,'Proposed Lighting'!AU95=3),VLOOKUP(Q95,$AY$17:$AZ$23,2,FALSE))))))))</f>
        <v>0</v>
      </c>
      <c r="AN95" s="1248">
        <f>IF(T95=0,0,IF(K95&gt;'Proposed Lighting'!AA95,0,IF(AE95=0,0,IF(AND(AD95&gt;AA95,AA95&gt;0),0,IF(U95=0,0,Summary!AE398)))))</f>
        <v>0</v>
      </c>
      <c r="AO95" s="1248">
        <f t="shared" si="24"/>
        <v>0</v>
      </c>
      <c r="AP95" s="1249">
        <f>IF('Proposed Lighting'!AU95=1,0,IF(K95=0,0,IF(T95&gt;K95,0,IF(G95=0,0,IF(K95&gt;'Proposed Lighting'!AA95,0,IF(AND(AD95&gt;AA95,AA95&gt;0),0,IF(AND('Proposed Lighting'!AU95=3,AM95=0.5),0,IF(AND(AM95&gt;0,AS95&gt;0,BI95&lt;2),0,IF('Proposed Lighting'!CH95=100,0,IF(AV95=1,0,IF(AND(AM95=35,M95+N95&lt;2),0,AM95)))))))))))</f>
        <v>0</v>
      </c>
      <c r="AQ95" s="1249" t="str">
        <f>IFERROR(ROUND(IF(Q95="","",IF('Proposed Lighting'!$X$4=0,0,IF(AND(AM95=35,M95+N95&lt;2),0,IF(T95&gt;K95,0,IF('Proposed Lighting'!AU95=1,0,IF(AJ95=0,0,IF(AND('Proposed Lighting'!AU95=3,AM95=0.5),0,IF(AND(AD95=75,AP95=0,AV95=0),0,IF(AP95&gt;0.01,AP95*T95,IF(AND(F95&gt;1,W95&lt;0.01),0,IF(AND(F95&gt;1,AO95=0),0,IF(AND('Proposed Lighting'!BC95=22,AV95=0),0,IF(AND(AM95&gt;0,AS95&gt;0,BI95&lt;2),0,IF(AND(AS95&gt;0.01,BK95=0),0,IF(AND(AO95=TRUE,AV95=1,F95=3),MIN(AJ95*0.08,L95),IF(AP95&gt;0.01,AP95*T95,IF(AND(AO95=TRUE,AV95=1,F95=2),MIN(AJ95*0.1,L95)))))))))))))))))),2),"")</f>
        <v/>
      </c>
      <c r="AR95" s="1250">
        <f>IF(Q95=0,0,IF('Proposed Lighting'!$X$4=0,0,IF(AND(AM95&gt;0.01,AQ95&gt;0.01),0,IF('Proposed Lighting'!AU95=1,"Missing Interior or Exterior Selection",IF('Proposed Lighting'!CF95=1,"Selection does not match",IF(K95&gt;'Proposed Lighting'!AA95,"Quantity controlled does not match proposed lighting quantity",IF(T95&gt;K95,"Quantity of sensors exceeds proposed lighting quantity",IF(AND(F95&gt;1,'Proposed Lighting'!AU95&lt;&gt;F95),"Selection does not match",IF(AND(AD95&gt;AA95,AA95&gt;0),"Does not meet minimum connected load",IF(AND(O95&gt;0,AS95&gt;0,BK95&gt;0,'Proposed Lighting'!CH95=0),"Select Control Strategies",IF(AND(AC95&gt;0.1,AJ95=0,AQ95=0),"Does not meet incentive criteria",0)))))))))))</f>
        <v>0</v>
      </c>
      <c r="AS95" s="1224">
        <f>IF('Proposed Lighting'!CH95=100,0,IF(ISNUMBER(SEARCH("multiple",Q95)),1,0))</f>
        <v>0</v>
      </c>
      <c r="AT95" s="451">
        <f t="shared" si="21"/>
        <v>0</v>
      </c>
      <c r="AU95" s="451">
        <f t="shared" si="22"/>
        <v>0</v>
      </c>
      <c r="AV95" s="1222">
        <f>IF(ISNUMBER(SEARCH("Networked",'Proposed Lighting'!T95)),0,IF(ISNUMBER(SEARCH("Strategies",'Proposed Lighting'!T95)),0,IF(ISNUMBER(SEARCH("Removal",'Proposed Lighting'!T95)),0,IF(ISNUMBER(SEARCH("non-standard",Q95)),1,0))))</f>
        <v>0</v>
      </c>
      <c r="AW95" s="451">
        <f t="shared" si="25"/>
        <v>0</v>
      </c>
      <c r="AX95" s="451"/>
      <c r="AY95" s="451"/>
      <c r="AZ95" s="451"/>
      <c r="BA95" s="451"/>
      <c r="BB95" s="451"/>
      <c r="BC95" s="1215"/>
      <c r="BD95" s="1215"/>
      <c r="BE95" s="1215"/>
      <c r="BF95" s="1215"/>
      <c r="BG95" s="1215"/>
      <c r="BH95" s="1215"/>
      <c r="BI95">
        <f>IF(AND(AS95=1,BC95="No",BD95="Yes",BE95="Yes",BF95="No",BH95="No"),0,IF(AND('Proposed Lighting'!AU95=2,AS95=1,BC95="Yes",BD95="Yes"),2,IF(AND('Proposed Lighting'!AU95=2,AS95=1,BC95="Yes",BE95="Yes"),2,IF(AND('Proposed Lighting'!AU95=2,AS95=1,BC95="Yes",BF95="Yes"),2,IF(AND('Proposed Lighting'!AU95=2,AS95=1,BC95="Yes",BH95="Yes"),2,IF(AND('Proposed Lighting'!AU95=2,AS95=1,BD95="Yes",BF95="Yes"),2,IF(AND('Proposed Lighting'!AU95=2,AS95=1,BD95="Yes",BH95="Yes"),2,IF(AND('Proposed Lighting'!AU95=3,AS95=1,BC95="Yes",BE95="Yes"),2,IF(AND('Proposed Lighting'!AU95=3,AS95=1,BC95="Yes",BF95="Yes"),2,0)))))))))</f>
        <v>0</v>
      </c>
      <c r="BJ95" s="1025">
        <f t="shared" si="23"/>
        <v>0</v>
      </c>
      <c r="BK95">
        <f>IF(AND('Proposed Lighting'!BC95=22,'Lighting Controls'!N95=1),0,IF(ISNUMBER(SEARCH("LED",G95)),1,0))</f>
        <v>0</v>
      </c>
    </row>
    <row r="96" spans="1:63" ht="34.5" customHeight="1">
      <c r="A96" s="917">
        <v>88</v>
      </c>
      <c r="B96" s="1828" t="str">
        <f>IF('Proposed Lighting'!B96="","",'Proposed Lighting'!B96)</f>
        <v/>
      </c>
      <c r="C96" s="1828"/>
      <c r="D96" s="1828"/>
      <c r="E96" s="1245">
        <f>'Proposed Lighting'!AA96</f>
        <v>0</v>
      </c>
      <c r="F96" s="1245">
        <f t="shared" si="16"/>
        <v>0</v>
      </c>
      <c r="G96" s="1830" t="str">
        <f>IF('Proposed Lighting'!T96="","",IF(ISNUMBER(SEARCH("Networked",'Proposed Lighting'!T96)),0,IF(ISNUMBER(SEARCH("Strategies",'Proposed Lighting'!T96)),0,IF(ISNUMBER(SEARCH("Removal",'Proposed Lighting'!T96)),0,'Proposed Lighting'!T96))))</f>
        <v/>
      </c>
      <c r="H96" s="1830"/>
      <c r="I96" s="1830"/>
      <c r="J96" s="1830"/>
      <c r="K96" s="1215"/>
      <c r="L96" s="1246">
        <f t="shared" si="17"/>
        <v>0</v>
      </c>
      <c r="M96" s="1224">
        <f t="shared" si="18"/>
        <v>0</v>
      </c>
      <c r="N96" s="1224">
        <f t="shared" si="19"/>
        <v>0</v>
      </c>
      <c r="O96" s="1825" t="str">
        <f>IF(G96=0,0,IF(ISNA('Proposed Lighting'!AT96),0,'Proposed Lighting'!AT96))</f>
        <v/>
      </c>
      <c r="P96" s="1825"/>
      <c r="Q96" s="1247"/>
      <c r="R96" s="1247"/>
      <c r="S96" s="1247"/>
      <c r="T96" s="1211"/>
      <c r="U96" s="1235">
        <f>IF(K96&gt;0.01,'Proposed Lighting'!CU96,0)</f>
        <v>0</v>
      </c>
      <c r="V96" s="1248">
        <f>IF('Proposed Lighting'!CF96=1,0,IF('Proposed Lighting'!AU96=2,0,IF(AND('Proposed Lighting'!AU96=3,'Proposed Lighting'!CF96=0),1,0)))</f>
        <v>0</v>
      </c>
      <c r="W96" s="1836"/>
      <c r="X96" s="1836"/>
      <c r="Y96" s="1836"/>
      <c r="Z96" s="1230" t="str">
        <f t="shared" si="13"/>
        <v/>
      </c>
      <c r="AA96" s="1230">
        <f t="shared" si="14"/>
        <v>0</v>
      </c>
      <c r="AB96" s="1230">
        <f>IF(Q96=0,0,IF(T96=0,0,IF(AA96=0,0,IF(AND(F96=3,V96=0),0,IF(T96=0,0,IF(K96&gt;'Proposed Lighting'!AA96,0,IF('Proposed Lighting'!EJ96&gt;0.01,(K96*O96)*'Proposed Lighting'!EJ96/1000,(K96*O96)*U96/1000)))))))</f>
        <v>0</v>
      </c>
      <c r="AC96" s="1230" t="str">
        <f t="shared" si="20"/>
        <v/>
      </c>
      <c r="AD96" s="1230">
        <f t="shared" si="15"/>
        <v>0</v>
      </c>
      <c r="AE96" s="1230">
        <f>IF(T96=0,0,IF(K96&gt;'Proposed Lighting'!AA96,0,IF(T96&gt;K96,0,IF(AND(AD96&gt;AA96,AA96&gt;0),0,IF(AND(F96&gt;1,W96&lt;0.01),0,IF('Proposed Lighting'!AU96&gt;'Lighting Controls'!F96,0,IF('Proposed Lighting'!AU96&lt;'Lighting Controls'!F96,0,IF(U96=0,0,Summary!AC399))))))))</f>
        <v>0</v>
      </c>
      <c r="AF96" s="1230">
        <f>IF(T96=0,0,IF(AE96=0,0,IF(K96&gt;'Proposed Lighting'!AA96,0,IF(AND(AD96&gt;AA96,AA96&gt;0),0,IF(U96=0,0,Summary!AD399)))))</f>
        <v>0</v>
      </c>
      <c r="AG96" s="1834">
        <f>IF('Proposed Lighting'!AU96=1,0,IF('Proposed Lighting'!CF96=1,0,T96*W96))</f>
        <v>0</v>
      </c>
      <c r="AH96" s="1834"/>
      <c r="AI96" s="1834"/>
      <c r="AJ96" s="1835">
        <f>IF(T96&lt;1,0,IF(K96&gt;'Proposed Lighting'!AA96,0,IF('Proposed Lighting'!CF96=1,0,IF('Proposed Lighting'!AU96=1,0,IF(T96&gt;K96,0,IF(AND(AD96&gt;AA96,AA96&gt;0),0,IF(AND(F96=2,'Proposed Lighting'!AU96=3),0,IF(AND(F96=3,'Proposed Lighting'!AU96=2),0,IF('Proposed Lighting'!CH96=100,0,IF(AND(F96&lt;3,V96=1,AM96=0),0,IF(AND(F96&gt;1,AF96&lt;1,AN96&lt;1),0,IF(AND(F96&gt;1,AE96&lt;0.69,AF96&lt;1,AN96&lt;1),0,IF(ISERROR(AB96-AC96),"",AB96-AC96)))))))))))))</f>
        <v>0</v>
      </c>
      <c r="AK96" s="1835"/>
      <c r="AL96" s="1835"/>
      <c r="AM96" s="1216">
        <f>IF(Q96=0,0,IF(T96=0,0,IF(T96&gt;K96,0,IF(AND(AS96&gt;0.01,BK96=0),0,IF(AND('Proposed Lighting'!DG96=0,'Lighting Controls'!Z96=0.35),0,IF(AND(T96&lt;=K96,AA96&gt;=AD96,'Proposed Lighting'!AU96=2),VLOOKUP(Q96,$AY$9:$AZ$15,2,FALSE),IF(AND(T96&lt;=K96,AA96&gt;=AD96,'Proposed Lighting'!AU96=3),VLOOKUP(Q96,$AY$17:$AZ$23,2,FALSE))))))))</f>
        <v>0</v>
      </c>
      <c r="AN96" s="1248">
        <f>IF(T96=0,0,IF(K96&gt;'Proposed Lighting'!AA96,0,IF(AE96=0,0,IF(AND(AD96&gt;AA96,AA96&gt;0),0,IF(U96=0,0,Summary!AE399)))))</f>
        <v>0</v>
      </c>
      <c r="AO96" s="1248">
        <f t="shared" si="24"/>
        <v>0</v>
      </c>
      <c r="AP96" s="1249">
        <f>IF('Proposed Lighting'!AU96=1,0,IF(K96=0,0,IF(T96&gt;K96,0,IF(G96=0,0,IF(K96&gt;'Proposed Lighting'!AA96,0,IF(AND(AD96&gt;AA96,AA96&gt;0),0,IF(AND('Proposed Lighting'!AU96=3,AM96=0.5),0,IF(AND(AM96&gt;0,AS96&gt;0,BI96&lt;2),0,IF('Proposed Lighting'!CH96=100,0,IF(AV96=1,0,IF(AND(AM96=35,M96+N96&lt;2),0,AM96)))))))))))</f>
        <v>0</v>
      </c>
      <c r="AQ96" s="1249" t="str">
        <f>IFERROR(ROUND(IF(Q96="","",IF('Proposed Lighting'!$X$4=0,0,IF(AND(AM96=35,M96+N96&lt;2),0,IF(T96&gt;K96,0,IF('Proposed Lighting'!AU96=1,0,IF(AJ96=0,0,IF(AND('Proposed Lighting'!AU96=3,AM96=0.5),0,IF(AND(AD96=75,AP96=0,AV96=0),0,IF(AP96&gt;0.01,AP96*T96,IF(AND(F96&gt;1,W96&lt;0.01),0,IF(AND(F96&gt;1,AO96=0),0,IF(AND('Proposed Lighting'!BC96=22,AV96=0),0,IF(AND(AM96&gt;0,AS96&gt;0,BI96&lt;2),0,IF(AND(AS96&gt;0.01,BK96=0),0,IF(AND(AO96=TRUE,AV96=1,F96=3),MIN(AJ96*0.08,L96),IF(AP96&gt;0.01,AP96*T96,IF(AND(AO96=TRUE,AV96=1,F96=2),MIN(AJ96*0.1,L96)))))))))))))))))),2),"")</f>
        <v/>
      </c>
      <c r="AR96" s="1250">
        <f>IF(Q96=0,0,IF('Proposed Lighting'!$X$4=0,0,IF(AND(AM96&gt;0.01,AQ96&gt;0.01),0,IF('Proposed Lighting'!AU96=1,"Missing Interior or Exterior Selection",IF('Proposed Lighting'!CF96=1,"Selection does not match",IF(K96&gt;'Proposed Lighting'!AA96,"Quantity controlled does not match proposed lighting quantity",IF(T96&gt;K96,"Quantity of sensors exceeds proposed lighting quantity",IF(AND(F96&gt;1,'Proposed Lighting'!AU96&lt;&gt;F96),"Selection does not match",IF(AND(AD96&gt;AA96,AA96&gt;0),"Does not meet minimum connected load",IF(AND(O96&gt;0,AS96&gt;0,BK96&gt;0,'Proposed Lighting'!CH96=0),"Select Control Strategies",IF(AND(AC96&gt;0.1,AJ96=0,AQ96=0),"Does not meet incentive criteria",0)))))))))))</f>
        <v>0</v>
      </c>
      <c r="AS96" s="1224">
        <f>IF('Proposed Lighting'!CH96=100,0,IF(ISNUMBER(SEARCH("multiple",Q96)),1,0))</f>
        <v>0</v>
      </c>
      <c r="AT96" s="451">
        <f t="shared" si="21"/>
        <v>0</v>
      </c>
      <c r="AU96" s="451">
        <f t="shared" si="22"/>
        <v>0</v>
      </c>
      <c r="AV96" s="1222">
        <f>IF(ISNUMBER(SEARCH("Networked",'Proposed Lighting'!T96)),0,IF(ISNUMBER(SEARCH("Strategies",'Proposed Lighting'!T96)),0,IF(ISNUMBER(SEARCH("Removal",'Proposed Lighting'!T96)),0,IF(ISNUMBER(SEARCH("non-standard",Q96)),1,0))))</f>
        <v>0</v>
      </c>
      <c r="AW96" s="451">
        <f t="shared" si="25"/>
        <v>0</v>
      </c>
      <c r="AX96" s="451"/>
      <c r="AY96" s="451"/>
      <c r="AZ96" s="451"/>
      <c r="BA96" s="451"/>
      <c r="BB96" s="451"/>
      <c r="BC96" s="1215"/>
      <c r="BD96" s="1215"/>
      <c r="BE96" s="1215"/>
      <c r="BF96" s="1215"/>
      <c r="BG96" s="1215"/>
      <c r="BH96" s="1215"/>
      <c r="BI96">
        <f>IF(AND(AS96=1,BC96="No",BD96="Yes",BE96="Yes",BF96="No",BH96="No"),0,IF(AND('Proposed Lighting'!AU96=2,AS96=1,BC96="Yes",BD96="Yes"),2,IF(AND('Proposed Lighting'!AU96=2,AS96=1,BC96="Yes",BE96="Yes"),2,IF(AND('Proposed Lighting'!AU96=2,AS96=1,BC96="Yes",BF96="Yes"),2,IF(AND('Proposed Lighting'!AU96=2,AS96=1,BC96="Yes",BH96="Yes"),2,IF(AND('Proposed Lighting'!AU96=2,AS96=1,BD96="Yes",BF96="Yes"),2,IF(AND('Proposed Lighting'!AU96=2,AS96=1,BD96="Yes",BH96="Yes"),2,IF(AND('Proposed Lighting'!AU96=3,AS96=1,BC96="Yes",BE96="Yes"),2,IF(AND('Proposed Lighting'!AU96=3,AS96=1,BC96="Yes",BF96="Yes"),2,0)))))))))</f>
        <v>0</v>
      </c>
      <c r="BJ96" s="1025">
        <f t="shared" si="23"/>
        <v>0</v>
      </c>
      <c r="BK96">
        <f>IF(AND('Proposed Lighting'!BC96=22,'Lighting Controls'!N96=1),0,IF(ISNUMBER(SEARCH("LED",G96)),1,0))</f>
        <v>0</v>
      </c>
    </row>
    <row r="97" spans="1:63" ht="34.5" customHeight="1">
      <c r="A97" s="917">
        <v>89</v>
      </c>
      <c r="B97" s="1828" t="str">
        <f>IF('Proposed Lighting'!B97="","",'Proposed Lighting'!B97)</f>
        <v/>
      </c>
      <c r="C97" s="1828"/>
      <c r="D97" s="1828"/>
      <c r="E97" s="1245">
        <f>'Proposed Lighting'!AA97</f>
        <v>0</v>
      </c>
      <c r="F97" s="1245">
        <f t="shared" si="16"/>
        <v>0</v>
      </c>
      <c r="G97" s="1830" t="str">
        <f>IF('Proposed Lighting'!T97="","",IF(ISNUMBER(SEARCH("Networked",'Proposed Lighting'!T97)),0,IF(ISNUMBER(SEARCH("Strategies",'Proposed Lighting'!T97)),0,IF(ISNUMBER(SEARCH("Removal",'Proposed Lighting'!T97)),0,'Proposed Lighting'!T97))))</f>
        <v/>
      </c>
      <c r="H97" s="1830"/>
      <c r="I97" s="1830"/>
      <c r="J97" s="1830"/>
      <c r="K97" s="1215"/>
      <c r="L97" s="1246">
        <f t="shared" si="17"/>
        <v>0</v>
      </c>
      <c r="M97" s="1224">
        <f t="shared" si="18"/>
        <v>0</v>
      </c>
      <c r="N97" s="1224">
        <f t="shared" si="19"/>
        <v>0</v>
      </c>
      <c r="O97" s="1825" t="str">
        <f>IF(G97=0,0,IF(ISNA('Proposed Lighting'!AT97),0,'Proposed Lighting'!AT97))</f>
        <v/>
      </c>
      <c r="P97" s="1825"/>
      <c r="Q97" s="1247"/>
      <c r="R97" s="1247"/>
      <c r="S97" s="1247"/>
      <c r="T97" s="1211"/>
      <c r="U97" s="1235">
        <f>IF(K97&gt;0.01,'Proposed Lighting'!CU97,0)</f>
        <v>0</v>
      </c>
      <c r="V97" s="1248">
        <f>IF('Proposed Lighting'!CF97=1,0,IF('Proposed Lighting'!AU97=2,0,IF(AND('Proposed Lighting'!AU97=3,'Proposed Lighting'!CF97=0),1,0)))</f>
        <v>0</v>
      </c>
      <c r="W97" s="1836"/>
      <c r="X97" s="1836"/>
      <c r="Y97" s="1836"/>
      <c r="Z97" s="1230" t="str">
        <f t="shared" si="13"/>
        <v/>
      </c>
      <c r="AA97" s="1230">
        <f t="shared" si="14"/>
        <v>0</v>
      </c>
      <c r="AB97" s="1230">
        <f>IF(Q97=0,0,IF(T97=0,0,IF(AA97=0,0,IF(AND(F97=3,V97=0),0,IF(T97=0,0,IF(K97&gt;'Proposed Lighting'!AA97,0,IF('Proposed Lighting'!EJ97&gt;0.01,(K97*O97)*'Proposed Lighting'!EJ97/1000,(K97*O97)*U97/1000)))))))</f>
        <v>0</v>
      </c>
      <c r="AC97" s="1230" t="str">
        <f t="shared" si="20"/>
        <v/>
      </c>
      <c r="AD97" s="1230">
        <f t="shared" si="15"/>
        <v>0</v>
      </c>
      <c r="AE97" s="1230">
        <f>IF(T97=0,0,IF(K97&gt;'Proposed Lighting'!AA97,0,IF(T97&gt;K97,0,IF(AND(AD97&gt;AA97,AA97&gt;0),0,IF(AND(F97&gt;1,W97&lt;0.01),0,IF('Proposed Lighting'!AU97&gt;'Lighting Controls'!F97,0,IF('Proposed Lighting'!AU97&lt;'Lighting Controls'!F97,0,IF(U97=0,0,Summary!AC400))))))))</f>
        <v>0</v>
      </c>
      <c r="AF97" s="1230">
        <f>IF(T97=0,0,IF(AE97=0,0,IF(K97&gt;'Proposed Lighting'!AA97,0,IF(AND(AD97&gt;AA97,AA97&gt;0),0,IF(U97=0,0,Summary!AD400)))))</f>
        <v>0</v>
      </c>
      <c r="AG97" s="1834">
        <f>IF('Proposed Lighting'!AU97=1,0,IF('Proposed Lighting'!CF97=1,0,T97*W97))</f>
        <v>0</v>
      </c>
      <c r="AH97" s="1834"/>
      <c r="AI97" s="1834"/>
      <c r="AJ97" s="1835">
        <f>IF(T97&lt;1,0,IF(K97&gt;'Proposed Lighting'!AA97,0,IF('Proposed Lighting'!CF97=1,0,IF('Proposed Lighting'!AU97=1,0,IF(T97&gt;K97,0,IF(AND(AD97&gt;AA97,AA97&gt;0),0,IF(AND(F97=2,'Proposed Lighting'!AU97=3),0,IF(AND(F97=3,'Proposed Lighting'!AU97=2),0,IF('Proposed Lighting'!CH97=100,0,IF(AND(F97&lt;3,V97=1,AM97=0),0,IF(AND(F97&gt;1,AF97&lt;1,AN97&lt;1),0,IF(AND(F97&gt;1,AE97&lt;0.69,AF97&lt;1,AN97&lt;1),0,IF(ISERROR(AB97-AC97),"",AB97-AC97)))))))))))))</f>
        <v>0</v>
      </c>
      <c r="AK97" s="1835"/>
      <c r="AL97" s="1835"/>
      <c r="AM97" s="1216">
        <f>IF(Q97=0,0,IF(T97=0,0,IF(T97&gt;K97,0,IF(AND(AS97&gt;0.01,BK97=0),0,IF(AND('Proposed Lighting'!DG97=0,'Lighting Controls'!Z97=0.35),0,IF(AND(T97&lt;=K97,AA97&gt;=AD97,'Proposed Lighting'!AU97=2),VLOOKUP(Q97,$AY$9:$AZ$15,2,FALSE),IF(AND(T97&lt;=K97,AA97&gt;=AD97,'Proposed Lighting'!AU97=3),VLOOKUP(Q97,$AY$17:$AZ$23,2,FALSE))))))))</f>
        <v>0</v>
      </c>
      <c r="AN97" s="1248">
        <f>IF(T97=0,0,IF(K97&gt;'Proposed Lighting'!AA97,0,IF(AE97=0,0,IF(AND(AD97&gt;AA97,AA97&gt;0),0,IF(U97=0,0,Summary!AE400)))))</f>
        <v>0</v>
      </c>
      <c r="AO97" s="1248">
        <f t="shared" si="24"/>
        <v>0</v>
      </c>
      <c r="AP97" s="1249">
        <f>IF('Proposed Lighting'!AU97=1,0,IF(K97=0,0,IF(T97&gt;K97,0,IF(G97=0,0,IF(K97&gt;'Proposed Lighting'!AA97,0,IF(AND(AD97&gt;AA97,AA97&gt;0),0,IF(AND('Proposed Lighting'!AU97=3,AM97=0.5),0,IF(AND(AM97&gt;0,AS97&gt;0,BI97&lt;2),0,IF('Proposed Lighting'!CH97=100,0,IF(AV97=1,0,IF(AND(AM97=35,M97+N97&lt;2),0,AM97)))))))))))</f>
        <v>0</v>
      </c>
      <c r="AQ97" s="1249" t="str">
        <f>IFERROR(ROUND(IF(Q97="","",IF('Proposed Lighting'!$X$4=0,0,IF(AND(AM97=35,M97+N97&lt;2),0,IF(T97&gt;K97,0,IF('Proposed Lighting'!AU97=1,0,IF(AJ97=0,0,IF(AND('Proposed Lighting'!AU97=3,AM97=0.5),0,IF(AND(AD97=75,AP97=0,AV97=0),0,IF(AP97&gt;0.01,AP97*T97,IF(AND(F97&gt;1,W97&lt;0.01),0,IF(AND(F97&gt;1,AO97=0),0,IF(AND('Proposed Lighting'!BC97=22,AV97=0),0,IF(AND(AM97&gt;0,AS97&gt;0,BI97&lt;2),0,IF(AND(AS97&gt;0.01,BK97=0),0,IF(AND(AO97=TRUE,AV97=1,F97=3),MIN(AJ97*0.08,L97),IF(AP97&gt;0.01,AP97*T97,IF(AND(AO97=TRUE,AV97=1,F97=2),MIN(AJ97*0.1,L97)))))))))))))))))),2),"")</f>
        <v/>
      </c>
      <c r="AR97" s="1250">
        <f>IF(Q97=0,0,IF('Proposed Lighting'!$X$4=0,0,IF(AND(AM97&gt;0.01,AQ97&gt;0.01),0,IF('Proposed Lighting'!AU97=1,"Missing Interior or Exterior Selection",IF('Proposed Lighting'!CF97=1,"Selection does not match",IF(K97&gt;'Proposed Lighting'!AA97,"Quantity controlled does not match proposed lighting quantity",IF(T97&gt;K97,"Quantity of sensors exceeds proposed lighting quantity",IF(AND(F97&gt;1,'Proposed Lighting'!AU97&lt;&gt;F97),"Selection does not match",IF(AND(AD97&gt;AA97,AA97&gt;0),"Does not meet minimum connected load",IF(AND(O97&gt;0,AS97&gt;0,BK97&gt;0,'Proposed Lighting'!CH97=0),"Select Control Strategies",IF(AND(AC97&gt;0.1,AJ97=0,AQ97=0),"Does not meet incentive criteria",0)))))))))))</f>
        <v>0</v>
      </c>
      <c r="AS97" s="1224">
        <f>IF('Proposed Lighting'!CH97=100,0,IF(ISNUMBER(SEARCH("multiple",Q97)),1,0))</f>
        <v>0</v>
      </c>
      <c r="AT97" s="451">
        <f t="shared" si="21"/>
        <v>0</v>
      </c>
      <c r="AU97" s="451">
        <f t="shared" si="22"/>
        <v>0</v>
      </c>
      <c r="AV97" s="1222">
        <f>IF(ISNUMBER(SEARCH("Networked",'Proposed Lighting'!T97)),0,IF(ISNUMBER(SEARCH("Strategies",'Proposed Lighting'!T97)),0,IF(ISNUMBER(SEARCH("Removal",'Proposed Lighting'!T97)),0,IF(ISNUMBER(SEARCH("non-standard",Q97)),1,0))))</f>
        <v>0</v>
      </c>
      <c r="AW97" s="451">
        <f t="shared" si="25"/>
        <v>0</v>
      </c>
      <c r="AX97" s="451"/>
      <c r="AY97" s="451"/>
      <c r="AZ97" s="451"/>
      <c r="BA97" s="451"/>
      <c r="BB97" s="451"/>
      <c r="BC97" s="1215"/>
      <c r="BD97" s="1215"/>
      <c r="BE97" s="1215"/>
      <c r="BF97" s="1215"/>
      <c r="BG97" s="1215"/>
      <c r="BH97" s="1215"/>
      <c r="BI97">
        <f>IF(AND(AS97=1,BC97="No",BD97="Yes",BE97="Yes",BF97="No",BH97="No"),0,IF(AND('Proposed Lighting'!AU97=2,AS97=1,BC97="Yes",BD97="Yes"),2,IF(AND('Proposed Lighting'!AU97=2,AS97=1,BC97="Yes",BE97="Yes"),2,IF(AND('Proposed Lighting'!AU97=2,AS97=1,BC97="Yes",BF97="Yes"),2,IF(AND('Proposed Lighting'!AU97=2,AS97=1,BC97="Yes",BH97="Yes"),2,IF(AND('Proposed Lighting'!AU97=2,AS97=1,BD97="Yes",BF97="Yes"),2,IF(AND('Proposed Lighting'!AU97=2,AS97=1,BD97="Yes",BH97="Yes"),2,IF(AND('Proposed Lighting'!AU97=3,AS97=1,BC97="Yes",BE97="Yes"),2,IF(AND('Proposed Lighting'!AU97=3,AS97=1,BC97="Yes",BF97="Yes"),2,0)))))))))</f>
        <v>0</v>
      </c>
      <c r="BJ97" s="1025">
        <f t="shared" si="23"/>
        <v>0</v>
      </c>
      <c r="BK97">
        <f>IF(AND('Proposed Lighting'!BC97=22,'Lighting Controls'!N97=1),0,IF(ISNUMBER(SEARCH("LED",G97)),1,0))</f>
        <v>0</v>
      </c>
    </row>
    <row r="98" spans="1:63" ht="34.5" customHeight="1">
      <c r="A98" s="917">
        <v>90</v>
      </c>
      <c r="B98" s="1828" t="str">
        <f>IF('Proposed Lighting'!B98="","",'Proposed Lighting'!B98)</f>
        <v/>
      </c>
      <c r="C98" s="1828"/>
      <c r="D98" s="1828"/>
      <c r="E98" s="1245">
        <f>'Proposed Lighting'!AA98</f>
        <v>0</v>
      </c>
      <c r="F98" s="1245">
        <f t="shared" si="16"/>
        <v>0</v>
      </c>
      <c r="G98" s="1830" t="str">
        <f>IF('Proposed Lighting'!T98="","",IF(ISNUMBER(SEARCH("Networked",'Proposed Lighting'!T98)),0,IF(ISNUMBER(SEARCH("Strategies",'Proposed Lighting'!T98)),0,IF(ISNUMBER(SEARCH("Removal",'Proposed Lighting'!T98)),0,'Proposed Lighting'!T98))))</f>
        <v/>
      </c>
      <c r="H98" s="1830"/>
      <c r="I98" s="1830"/>
      <c r="J98" s="1830"/>
      <c r="K98" s="1215"/>
      <c r="L98" s="1246">
        <f t="shared" si="17"/>
        <v>0</v>
      </c>
      <c r="M98" s="1224">
        <f t="shared" si="18"/>
        <v>0</v>
      </c>
      <c r="N98" s="1224">
        <f t="shared" si="19"/>
        <v>0</v>
      </c>
      <c r="O98" s="1825" t="str">
        <f>IF(G98=0,0,IF(ISNA('Proposed Lighting'!AT98),0,'Proposed Lighting'!AT98))</f>
        <v/>
      </c>
      <c r="P98" s="1825"/>
      <c r="Q98" s="1247"/>
      <c r="R98" s="1247"/>
      <c r="S98" s="1247"/>
      <c r="T98" s="1211"/>
      <c r="U98" s="1235">
        <f>IF(K98&gt;0.01,'Proposed Lighting'!CU98,0)</f>
        <v>0</v>
      </c>
      <c r="V98" s="1248">
        <f>IF('Proposed Lighting'!CF98=1,0,IF('Proposed Lighting'!AU98=2,0,IF(AND('Proposed Lighting'!AU98=3,'Proposed Lighting'!CF98=0),1,0)))</f>
        <v>0</v>
      </c>
      <c r="W98" s="1836"/>
      <c r="X98" s="1836"/>
      <c r="Y98" s="1836"/>
      <c r="Z98" s="1230" t="str">
        <f t="shared" si="13"/>
        <v/>
      </c>
      <c r="AA98" s="1230">
        <f t="shared" si="14"/>
        <v>0</v>
      </c>
      <c r="AB98" s="1230">
        <f>IF(Q98=0,0,IF(T98=0,0,IF(AA98=0,0,IF(AND(F98=3,V98=0),0,IF(T98=0,0,IF(K98&gt;'Proposed Lighting'!AA98,0,IF('Proposed Lighting'!EJ98&gt;0.01,(K98*O98)*'Proposed Lighting'!EJ98/1000,(K98*O98)*U98/1000)))))))</f>
        <v>0</v>
      </c>
      <c r="AC98" s="1230" t="str">
        <f t="shared" si="20"/>
        <v/>
      </c>
      <c r="AD98" s="1230">
        <f t="shared" si="15"/>
        <v>0</v>
      </c>
      <c r="AE98" s="1230">
        <f>IF(T98=0,0,IF(K98&gt;'Proposed Lighting'!AA98,0,IF(T98&gt;K98,0,IF(AND(AD98&gt;AA98,AA98&gt;0),0,IF(AND(F98&gt;1,W98&lt;0.01),0,IF('Proposed Lighting'!AU98&gt;'Lighting Controls'!F98,0,IF('Proposed Lighting'!AU98&lt;'Lighting Controls'!F98,0,IF(U98=0,0,Summary!AC401))))))))</f>
        <v>0</v>
      </c>
      <c r="AF98" s="1230">
        <f>IF(T98=0,0,IF(AE98=0,0,IF(K98&gt;'Proposed Lighting'!AA98,0,IF(AND(AD98&gt;AA98,AA98&gt;0),0,IF(U98=0,0,Summary!AD401)))))</f>
        <v>0</v>
      </c>
      <c r="AG98" s="1834">
        <f>IF('Proposed Lighting'!AU98=1,0,IF('Proposed Lighting'!CF98=1,0,T98*W98))</f>
        <v>0</v>
      </c>
      <c r="AH98" s="1834"/>
      <c r="AI98" s="1834"/>
      <c r="AJ98" s="1835">
        <f>IF(T98&lt;1,0,IF(K98&gt;'Proposed Lighting'!AA98,0,IF('Proposed Lighting'!CF98=1,0,IF('Proposed Lighting'!AU98=1,0,IF(T98&gt;K98,0,IF(AND(AD98&gt;AA98,AA98&gt;0),0,IF(AND(F98=2,'Proposed Lighting'!AU98=3),0,IF(AND(F98=3,'Proposed Lighting'!AU98=2),0,IF('Proposed Lighting'!CH98=100,0,IF(AND(F98&lt;3,V98=1,AM98=0),0,IF(AND(F98&gt;1,AF98&lt;1,AN98&lt;1),0,IF(AND(F98&gt;1,AE98&lt;0.69,AF98&lt;1,AN98&lt;1),0,IF(ISERROR(AB98-AC98),"",AB98-AC98)))))))))))))</f>
        <v>0</v>
      </c>
      <c r="AK98" s="1835"/>
      <c r="AL98" s="1835"/>
      <c r="AM98" s="1216">
        <f>IF(Q98=0,0,IF(T98=0,0,IF(T98&gt;K98,0,IF(AND(AS98&gt;0.01,BK98=0),0,IF(AND('Proposed Lighting'!DG98=0,'Lighting Controls'!Z98=0.35),0,IF(AND(T98&lt;=K98,AA98&gt;=AD98,'Proposed Lighting'!AU98=2),VLOOKUP(Q98,$AY$9:$AZ$15,2,FALSE),IF(AND(T98&lt;=K98,AA98&gt;=AD98,'Proposed Lighting'!AU98=3),VLOOKUP(Q98,$AY$17:$AZ$23,2,FALSE))))))))</f>
        <v>0</v>
      </c>
      <c r="AN98" s="1248">
        <f>IF(T98=0,0,IF(K98&gt;'Proposed Lighting'!AA98,0,IF(AE98=0,0,IF(AND(AD98&gt;AA98,AA98&gt;0),0,IF(U98=0,0,Summary!AE401)))))</f>
        <v>0</v>
      </c>
      <c r="AO98" s="1248">
        <f t="shared" si="24"/>
        <v>0</v>
      </c>
      <c r="AP98" s="1249">
        <f>IF('Proposed Lighting'!AU98=1,0,IF(K98=0,0,IF(T98&gt;K98,0,IF(G98=0,0,IF(K98&gt;'Proposed Lighting'!AA98,0,IF(AND(AD98&gt;AA98,AA98&gt;0),0,IF(AND('Proposed Lighting'!AU98=3,AM98=0.5),0,IF(AND(AM98&gt;0,AS98&gt;0,BI98&lt;2),0,IF('Proposed Lighting'!CH98=100,0,IF(AV98=1,0,IF(AND(AM98=35,M98+N98&lt;2),0,AM98)))))))))))</f>
        <v>0</v>
      </c>
      <c r="AQ98" s="1249" t="str">
        <f>IFERROR(ROUND(IF(Q98="","",IF('Proposed Lighting'!$X$4=0,0,IF(AND(AM98=35,M98+N98&lt;2),0,IF(T98&gt;K98,0,IF('Proposed Lighting'!AU98=1,0,IF(AJ98=0,0,IF(AND('Proposed Lighting'!AU98=3,AM98=0.5),0,IF(AND(AD98=75,AP98=0,AV98=0),0,IF(AP98&gt;0.01,AP98*T98,IF(AND(F98&gt;1,W98&lt;0.01),0,IF(AND(F98&gt;1,AO98=0),0,IF(AND('Proposed Lighting'!BC98=22,AV98=0),0,IF(AND(AM98&gt;0,AS98&gt;0,BI98&lt;2),0,IF(AND(AS98&gt;0.01,BK98=0),0,IF(AND(AO98=TRUE,AV98=1,F98=3),MIN(AJ98*0.08,L98),IF(AP98&gt;0.01,AP98*T98,IF(AND(AO98=TRUE,AV98=1,F98=2),MIN(AJ98*0.1,L98)))))))))))))))))),2),"")</f>
        <v/>
      </c>
      <c r="AR98" s="1250">
        <f>IF(Q98=0,0,IF('Proposed Lighting'!$X$4=0,0,IF(AND(AM98&gt;0.01,AQ98&gt;0.01),0,IF('Proposed Lighting'!AU98=1,"Missing Interior or Exterior Selection",IF('Proposed Lighting'!CF98=1,"Selection does not match",IF(K98&gt;'Proposed Lighting'!AA98,"Quantity controlled does not match proposed lighting quantity",IF(T98&gt;K98,"Quantity of sensors exceeds proposed lighting quantity",IF(AND(F98&gt;1,'Proposed Lighting'!AU98&lt;&gt;F98),"Selection does not match",IF(AND(AD98&gt;AA98,AA98&gt;0),"Does not meet minimum connected load",IF(AND(O98&gt;0,AS98&gt;0,BK98&gt;0,'Proposed Lighting'!CH98=0),"Select Control Strategies",IF(AND(AC98&gt;0.1,AJ98=0,AQ98=0),"Does not meet incentive criteria",0)))))))))))</f>
        <v>0</v>
      </c>
      <c r="AS98" s="1224">
        <f>IF('Proposed Lighting'!CH98=100,0,IF(ISNUMBER(SEARCH("multiple",Q98)),1,0))</f>
        <v>0</v>
      </c>
      <c r="AT98" s="451">
        <f t="shared" si="21"/>
        <v>0</v>
      </c>
      <c r="AU98" s="451">
        <f t="shared" si="22"/>
        <v>0</v>
      </c>
      <c r="AV98" s="1222">
        <f>IF(ISNUMBER(SEARCH("Networked",'Proposed Lighting'!T98)),0,IF(ISNUMBER(SEARCH("Strategies",'Proposed Lighting'!T98)),0,IF(ISNUMBER(SEARCH("Removal",'Proposed Lighting'!T98)),0,IF(ISNUMBER(SEARCH("non-standard",Q98)),1,0))))</f>
        <v>0</v>
      </c>
      <c r="AW98" s="451">
        <f t="shared" si="25"/>
        <v>0</v>
      </c>
      <c r="AX98" s="451"/>
      <c r="AY98" s="451"/>
      <c r="AZ98" s="451"/>
      <c r="BA98" s="451"/>
      <c r="BB98" s="451"/>
      <c r="BC98" s="1215"/>
      <c r="BD98" s="1215"/>
      <c r="BE98" s="1215"/>
      <c r="BF98" s="1215"/>
      <c r="BG98" s="1215"/>
      <c r="BH98" s="1215"/>
      <c r="BI98">
        <f>IF(AND(AS98=1,BC98="No",BD98="Yes",BE98="Yes",BF98="No",BH98="No"),0,IF(AND('Proposed Lighting'!AU98=2,AS98=1,BC98="Yes",BD98="Yes"),2,IF(AND('Proposed Lighting'!AU98=2,AS98=1,BC98="Yes",BE98="Yes"),2,IF(AND('Proposed Lighting'!AU98=2,AS98=1,BC98="Yes",BF98="Yes"),2,IF(AND('Proposed Lighting'!AU98=2,AS98=1,BC98="Yes",BH98="Yes"),2,IF(AND('Proposed Lighting'!AU98=2,AS98=1,BD98="Yes",BF98="Yes"),2,IF(AND('Proposed Lighting'!AU98=2,AS98=1,BD98="Yes",BH98="Yes"),2,IF(AND('Proposed Lighting'!AU98=3,AS98=1,BC98="Yes",BE98="Yes"),2,IF(AND('Proposed Lighting'!AU98=3,AS98=1,BC98="Yes",BF98="Yes"),2,0)))))))))</f>
        <v>0</v>
      </c>
      <c r="BJ98" s="1025">
        <f t="shared" si="23"/>
        <v>0</v>
      </c>
      <c r="BK98">
        <f>IF(AND('Proposed Lighting'!BC98=22,'Lighting Controls'!N98=1),0,IF(ISNUMBER(SEARCH("LED",G98)),1,0))</f>
        <v>0</v>
      </c>
    </row>
    <row r="99" spans="1:63" ht="34.5" customHeight="1">
      <c r="A99" s="917">
        <v>91</v>
      </c>
      <c r="B99" s="1828" t="str">
        <f>IF('Proposed Lighting'!B99="","",'Proposed Lighting'!B99)</f>
        <v/>
      </c>
      <c r="C99" s="1828"/>
      <c r="D99" s="1828"/>
      <c r="E99" s="1245">
        <f>'Proposed Lighting'!AA99</f>
        <v>0</v>
      </c>
      <c r="F99" s="1245">
        <f t="shared" si="16"/>
        <v>0</v>
      </c>
      <c r="G99" s="1830" t="str">
        <f>IF('Proposed Lighting'!T99="","",IF(ISNUMBER(SEARCH("Networked",'Proposed Lighting'!T99)),0,IF(ISNUMBER(SEARCH("Strategies",'Proposed Lighting'!T99)),0,IF(ISNUMBER(SEARCH("Removal",'Proposed Lighting'!T99)),0,'Proposed Lighting'!T99))))</f>
        <v/>
      </c>
      <c r="H99" s="1830"/>
      <c r="I99" s="1830"/>
      <c r="J99" s="1830"/>
      <c r="K99" s="1215"/>
      <c r="L99" s="1246">
        <f t="shared" si="17"/>
        <v>0</v>
      </c>
      <c r="M99" s="1224">
        <f t="shared" si="18"/>
        <v>0</v>
      </c>
      <c r="N99" s="1224">
        <f t="shared" si="19"/>
        <v>0</v>
      </c>
      <c r="O99" s="1825" t="str">
        <f>IF(G99=0,0,IF(ISNA('Proposed Lighting'!AT99),0,'Proposed Lighting'!AT99))</f>
        <v/>
      </c>
      <c r="P99" s="1825"/>
      <c r="Q99" s="1247"/>
      <c r="R99" s="1247"/>
      <c r="S99" s="1247"/>
      <c r="T99" s="1211"/>
      <c r="U99" s="1235">
        <f>IF(K99&gt;0.01,'Proposed Lighting'!CU99,0)</f>
        <v>0</v>
      </c>
      <c r="V99" s="1248">
        <f>IF('Proposed Lighting'!CF99=1,0,IF('Proposed Lighting'!AU99=2,0,IF(AND('Proposed Lighting'!AU99=3,'Proposed Lighting'!CF99=0),1,0)))</f>
        <v>0</v>
      </c>
      <c r="W99" s="1836"/>
      <c r="X99" s="1836"/>
      <c r="Y99" s="1836"/>
      <c r="Z99" s="1230" t="str">
        <f t="shared" si="13"/>
        <v/>
      </c>
      <c r="AA99" s="1230">
        <f t="shared" si="14"/>
        <v>0</v>
      </c>
      <c r="AB99" s="1230">
        <f>IF(Q99=0,0,IF(T99=0,0,IF(AA99=0,0,IF(AND(F99=3,V99=0),0,IF(T99=0,0,IF(K99&gt;'Proposed Lighting'!AA99,0,IF('Proposed Lighting'!EJ99&gt;0.01,(K99*O99)*'Proposed Lighting'!EJ99/1000,(K99*O99)*U99/1000)))))))</f>
        <v>0</v>
      </c>
      <c r="AC99" s="1230" t="str">
        <f t="shared" si="20"/>
        <v/>
      </c>
      <c r="AD99" s="1230">
        <f t="shared" si="15"/>
        <v>0</v>
      </c>
      <c r="AE99" s="1230">
        <f>IF(T99=0,0,IF(K99&gt;'Proposed Lighting'!AA99,0,IF(T99&gt;K99,0,IF(AND(AD99&gt;AA99,AA99&gt;0),0,IF(AND(F99&gt;1,W99&lt;0.01),0,IF('Proposed Lighting'!AU99&gt;'Lighting Controls'!F99,0,IF('Proposed Lighting'!AU99&lt;'Lighting Controls'!F99,0,IF(U99=0,0,Summary!AC402))))))))</f>
        <v>0</v>
      </c>
      <c r="AF99" s="1230">
        <f>IF(T99=0,0,IF(AE99=0,0,IF(K99&gt;'Proposed Lighting'!AA99,0,IF(AND(AD99&gt;AA99,AA99&gt;0),0,IF(U99=0,0,Summary!AD402)))))</f>
        <v>0</v>
      </c>
      <c r="AG99" s="1834">
        <f>IF('Proposed Lighting'!AU99=1,0,IF('Proposed Lighting'!CF99=1,0,T99*W99))</f>
        <v>0</v>
      </c>
      <c r="AH99" s="1834"/>
      <c r="AI99" s="1834"/>
      <c r="AJ99" s="1835">
        <f>IF(T99&lt;1,0,IF(K99&gt;'Proposed Lighting'!AA99,0,IF('Proposed Lighting'!CF99=1,0,IF('Proposed Lighting'!AU99=1,0,IF(T99&gt;K99,0,IF(AND(AD99&gt;AA99,AA99&gt;0),0,IF(AND(F99=2,'Proposed Lighting'!AU99=3),0,IF(AND(F99=3,'Proposed Lighting'!AU99=2),0,IF('Proposed Lighting'!CH99=100,0,IF(AND(F99&lt;3,V99=1,AM99=0),0,IF(AND(F99&gt;1,AF99&lt;1,AN99&lt;1),0,IF(AND(F99&gt;1,AE99&lt;0.69,AF99&lt;1,AN99&lt;1),0,IF(ISERROR(AB99-AC99),"",AB99-AC99)))))))))))))</f>
        <v>0</v>
      </c>
      <c r="AK99" s="1835"/>
      <c r="AL99" s="1835"/>
      <c r="AM99" s="1216">
        <f>IF(Q99=0,0,IF(T99=0,0,IF(T99&gt;K99,0,IF(AND(AS99&gt;0.01,BK99=0),0,IF(AND('Proposed Lighting'!DG99=0,'Lighting Controls'!Z99=0.35),0,IF(AND(T99&lt;=K99,AA99&gt;=AD99,'Proposed Lighting'!AU99=2),VLOOKUP(Q99,$AY$9:$AZ$15,2,FALSE),IF(AND(T99&lt;=K99,AA99&gt;=AD99,'Proposed Lighting'!AU99=3),VLOOKUP(Q99,$AY$17:$AZ$23,2,FALSE))))))))</f>
        <v>0</v>
      </c>
      <c r="AN99" s="1248">
        <f>IF(T99=0,0,IF(K99&gt;'Proposed Lighting'!AA99,0,IF(AE99=0,0,IF(AND(AD99&gt;AA99,AA99&gt;0),0,IF(U99=0,0,Summary!AE402)))))</f>
        <v>0</v>
      </c>
      <c r="AO99" s="1248">
        <f t="shared" si="24"/>
        <v>0</v>
      </c>
      <c r="AP99" s="1249">
        <f>IF('Proposed Lighting'!AU99=1,0,IF(K99=0,0,IF(T99&gt;K99,0,IF(G99=0,0,IF(K99&gt;'Proposed Lighting'!AA99,0,IF(AND(AD99&gt;AA99,AA99&gt;0),0,IF(AND('Proposed Lighting'!AU99=3,AM99=0.5),0,IF(AND(AM99&gt;0,AS99&gt;0,BI99&lt;2),0,IF('Proposed Lighting'!CH99=100,0,IF(AV99=1,0,IF(AND(AM99=35,M99+N99&lt;2),0,AM99)))))))))))</f>
        <v>0</v>
      </c>
      <c r="AQ99" s="1249" t="str">
        <f>IFERROR(ROUND(IF(Q99="","",IF('Proposed Lighting'!$X$4=0,0,IF(AND(AM99=35,M99+N99&lt;2),0,IF(T99&gt;K99,0,IF('Proposed Lighting'!AU99=1,0,IF(AJ99=0,0,IF(AND('Proposed Lighting'!AU99=3,AM99=0.5),0,IF(AND(AD99=75,AP99=0,AV99=0),0,IF(AP99&gt;0.01,AP99*T99,IF(AND(F99&gt;1,W99&lt;0.01),0,IF(AND(F99&gt;1,AO99=0),0,IF(AND('Proposed Lighting'!BC99=22,AV99=0),0,IF(AND(AM99&gt;0,AS99&gt;0,BI99&lt;2),0,IF(AND(AS99&gt;0.01,BK99=0),0,IF(AND(AO99=TRUE,AV99=1,F99=3),MIN(AJ99*0.08,L99),IF(AP99&gt;0.01,AP99*T99,IF(AND(AO99=TRUE,AV99=1,F99=2),MIN(AJ99*0.1,L99)))))))))))))))))),2),"")</f>
        <v/>
      </c>
      <c r="AR99" s="1250">
        <f>IF(Q99=0,0,IF('Proposed Lighting'!$X$4=0,0,IF(AND(AM99&gt;0.01,AQ99&gt;0.01),0,IF('Proposed Lighting'!AU99=1,"Missing Interior or Exterior Selection",IF('Proposed Lighting'!CF99=1,"Selection does not match",IF(K99&gt;'Proposed Lighting'!AA99,"Quantity controlled does not match proposed lighting quantity",IF(T99&gt;K99,"Quantity of sensors exceeds proposed lighting quantity",IF(AND(F99&gt;1,'Proposed Lighting'!AU99&lt;&gt;F99),"Selection does not match",IF(AND(AD99&gt;AA99,AA99&gt;0),"Does not meet minimum connected load",IF(AND(O99&gt;0,AS99&gt;0,BK99&gt;0,'Proposed Lighting'!CH99=0),"Select Control Strategies",IF(AND(AC99&gt;0.1,AJ99=0,AQ99=0),"Does not meet incentive criteria",0)))))))))))</f>
        <v>0</v>
      </c>
      <c r="AS99" s="1224">
        <f>IF('Proposed Lighting'!CH99=100,0,IF(ISNUMBER(SEARCH("multiple",Q99)),1,0))</f>
        <v>0</v>
      </c>
      <c r="AT99" s="451">
        <f t="shared" si="21"/>
        <v>0</v>
      </c>
      <c r="AU99" s="451">
        <f t="shared" si="22"/>
        <v>0</v>
      </c>
      <c r="AV99" s="1222">
        <f>IF(ISNUMBER(SEARCH("Networked",'Proposed Lighting'!T99)),0,IF(ISNUMBER(SEARCH("Strategies",'Proposed Lighting'!T99)),0,IF(ISNUMBER(SEARCH("Removal",'Proposed Lighting'!T99)),0,IF(ISNUMBER(SEARCH("non-standard",Q99)),1,0))))</f>
        <v>0</v>
      </c>
      <c r="AW99" s="451">
        <f t="shared" si="25"/>
        <v>0</v>
      </c>
      <c r="AX99" s="451"/>
      <c r="AY99" s="451"/>
      <c r="AZ99" s="451"/>
      <c r="BA99" s="451"/>
      <c r="BB99" s="451"/>
      <c r="BC99" s="1215"/>
      <c r="BD99" s="1215"/>
      <c r="BE99" s="1215"/>
      <c r="BF99" s="1215"/>
      <c r="BG99" s="1215"/>
      <c r="BH99" s="1215"/>
      <c r="BI99">
        <f>IF(AND(AS99=1,BC99="No",BD99="Yes",BE99="Yes",BF99="No",BH99="No"),0,IF(AND('Proposed Lighting'!AU99=2,AS99=1,BC99="Yes",BD99="Yes"),2,IF(AND('Proposed Lighting'!AU99=2,AS99=1,BC99="Yes",BE99="Yes"),2,IF(AND('Proposed Lighting'!AU99=2,AS99=1,BC99="Yes",BF99="Yes"),2,IF(AND('Proposed Lighting'!AU99=2,AS99=1,BC99="Yes",BH99="Yes"),2,IF(AND('Proposed Lighting'!AU99=2,AS99=1,BD99="Yes",BF99="Yes"),2,IF(AND('Proposed Lighting'!AU99=2,AS99=1,BD99="Yes",BH99="Yes"),2,IF(AND('Proposed Lighting'!AU99=3,AS99=1,BC99="Yes",BE99="Yes"),2,IF(AND('Proposed Lighting'!AU99=3,AS99=1,BC99="Yes",BF99="Yes"),2,0)))))))))</f>
        <v>0</v>
      </c>
      <c r="BJ99" s="1025">
        <f t="shared" si="23"/>
        <v>0</v>
      </c>
      <c r="BK99">
        <f>IF(AND('Proposed Lighting'!BC99=22,'Lighting Controls'!N99=1),0,IF(ISNUMBER(SEARCH("LED",G99)),1,0))</f>
        <v>0</v>
      </c>
    </row>
    <row r="100" spans="1:63" ht="34.5" customHeight="1">
      <c r="A100" s="917">
        <v>92</v>
      </c>
      <c r="B100" s="1828" t="str">
        <f>IF('Proposed Lighting'!B100="","",'Proposed Lighting'!B100)</f>
        <v/>
      </c>
      <c r="C100" s="1828"/>
      <c r="D100" s="1828"/>
      <c r="E100" s="1245">
        <f>'Proposed Lighting'!AA100</f>
        <v>0</v>
      </c>
      <c r="F100" s="1245">
        <f t="shared" si="16"/>
        <v>0</v>
      </c>
      <c r="G100" s="1830" t="str">
        <f>IF('Proposed Lighting'!T100="","",IF(ISNUMBER(SEARCH("Networked",'Proposed Lighting'!T100)),0,IF(ISNUMBER(SEARCH("Strategies",'Proposed Lighting'!T100)),0,IF(ISNUMBER(SEARCH("Removal",'Proposed Lighting'!T100)),0,'Proposed Lighting'!T100))))</f>
        <v/>
      </c>
      <c r="H100" s="1830"/>
      <c r="I100" s="1830"/>
      <c r="J100" s="1830"/>
      <c r="K100" s="1215"/>
      <c r="L100" s="1246">
        <f t="shared" si="17"/>
        <v>0</v>
      </c>
      <c r="M100" s="1224">
        <f t="shared" si="18"/>
        <v>0</v>
      </c>
      <c r="N100" s="1224">
        <f t="shared" si="19"/>
        <v>0</v>
      </c>
      <c r="O100" s="1825" t="str">
        <f>IF(G100=0,0,IF(ISNA('Proposed Lighting'!AT100),0,'Proposed Lighting'!AT100))</f>
        <v/>
      </c>
      <c r="P100" s="1825"/>
      <c r="Q100" s="1247"/>
      <c r="R100" s="1247"/>
      <c r="S100" s="1247"/>
      <c r="T100" s="1211"/>
      <c r="U100" s="1235">
        <f>IF(K100&gt;0.01,'Proposed Lighting'!CU100,0)</f>
        <v>0</v>
      </c>
      <c r="V100" s="1248">
        <f>IF('Proposed Lighting'!CF100=1,0,IF('Proposed Lighting'!AU100=2,0,IF(AND('Proposed Lighting'!AU100=3,'Proposed Lighting'!CF100=0),1,0)))</f>
        <v>0</v>
      </c>
      <c r="W100" s="1836"/>
      <c r="X100" s="1836"/>
      <c r="Y100" s="1836"/>
      <c r="Z100" s="1230" t="str">
        <f t="shared" si="13"/>
        <v/>
      </c>
      <c r="AA100" s="1230">
        <f t="shared" si="14"/>
        <v>0</v>
      </c>
      <c r="AB100" s="1230">
        <f>IF(Q100=0,0,IF(T100=0,0,IF(AA100=0,0,IF(AND(F100=3,V100=0),0,IF(T100=0,0,IF(K100&gt;'Proposed Lighting'!AA100,0,IF('Proposed Lighting'!EJ100&gt;0.01,(K100*O100)*'Proposed Lighting'!EJ100/1000,(K100*O100)*U100/1000)))))))</f>
        <v>0</v>
      </c>
      <c r="AC100" s="1230" t="str">
        <f t="shared" si="20"/>
        <v/>
      </c>
      <c r="AD100" s="1230">
        <f t="shared" si="15"/>
        <v>0</v>
      </c>
      <c r="AE100" s="1230">
        <f>IF(T100=0,0,IF(K100&gt;'Proposed Lighting'!AA100,0,IF(T100&gt;K100,0,IF(AND(AD100&gt;AA100,AA100&gt;0),0,IF(AND(F100&gt;1,W100&lt;0.01),0,IF('Proposed Lighting'!AU100&gt;'Lighting Controls'!F100,0,IF('Proposed Lighting'!AU100&lt;'Lighting Controls'!F100,0,IF(U100=0,0,Summary!AC403))))))))</f>
        <v>0</v>
      </c>
      <c r="AF100" s="1230">
        <f>IF(T100=0,0,IF(AE100=0,0,IF(K100&gt;'Proposed Lighting'!AA100,0,IF(AND(AD100&gt;AA100,AA100&gt;0),0,IF(U100=0,0,Summary!AD403)))))</f>
        <v>0</v>
      </c>
      <c r="AG100" s="1834">
        <f>IF('Proposed Lighting'!AU100=1,0,IF('Proposed Lighting'!CF100=1,0,T100*W100))</f>
        <v>0</v>
      </c>
      <c r="AH100" s="1834"/>
      <c r="AI100" s="1834"/>
      <c r="AJ100" s="1835">
        <f>IF(T100&lt;1,0,IF(K100&gt;'Proposed Lighting'!AA100,0,IF('Proposed Lighting'!CF100=1,0,IF('Proposed Lighting'!AU100=1,0,IF(T100&gt;K100,0,IF(AND(AD100&gt;AA100,AA100&gt;0),0,IF(AND(F100=2,'Proposed Lighting'!AU100=3),0,IF(AND(F100=3,'Proposed Lighting'!AU100=2),0,IF('Proposed Lighting'!CH100=100,0,IF(AND(F100&lt;3,V100=1,AM100=0),0,IF(AND(F100&gt;1,AF100&lt;1,AN100&lt;1),0,IF(AND(F100&gt;1,AE100&lt;0.69,AF100&lt;1,AN100&lt;1),0,IF(ISERROR(AB100-AC100),"",AB100-AC100)))))))))))))</f>
        <v>0</v>
      </c>
      <c r="AK100" s="1835"/>
      <c r="AL100" s="1835"/>
      <c r="AM100" s="1216">
        <f>IF(Q100=0,0,IF(T100=0,0,IF(T100&gt;K100,0,IF(AND(AS100&gt;0.01,BK100=0),0,IF(AND('Proposed Lighting'!DG100=0,'Lighting Controls'!Z100=0.35),0,IF(AND(T100&lt;=K100,AA100&gt;=AD100,'Proposed Lighting'!AU100=2),VLOOKUP(Q100,$AY$9:$AZ$15,2,FALSE),IF(AND(T100&lt;=K100,AA100&gt;=AD100,'Proposed Lighting'!AU100=3),VLOOKUP(Q100,$AY$17:$AZ$23,2,FALSE))))))))</f>
        <v>0</v>
      </c>
      <c r="AN100" s="1248">
        <f>IF(T100=0,0,IF(K100&gt;'Proposed Lighting'!AA100,0,IF(AE100=0,0,IF(AND(AD100&gt;AA100,AA100&gt;0),0,IF(U100=0,0,Summary!AE403)))))</f>
        <v>0</v>
      </c>
      <c r="AO100" s="1248">
        <f t="shared" si="24"/>
        <v>0</v>
      </c>
      <c r="AP100" s="1249">
        <f>IF('Proposed Lighting'!AU100=1,0,IF(K100=0,0,IF(T100&gt;K100,0,IF(G100=0,0,IF(K100&gt;'Proposed Lighting'!AA100,0,IF(AND(AD100&gt;AA100,AA100&gt;0),0,IF(AND('Proposed Lighting'!AU100=3,AM100=0.5),0,IF(AND(AM100&gt;0,AS100&gt;0,BI100&lt;2),0,IF('Proposed Lighting'!CH100=100,0,IF(AV100=1,0,IF(AND(AM100=35,M100+N100&lt;2),0,AM100)))))))))))</f>
        <v>0</v>
      </c>
      <c r="AQ100" s="1249" t="str">
        <f>IFERROR(ROUND(IF(Q100="","",IF('Proposed Lighting'!$X$4=0,0,IF(AND(AM100=35,M100+N100&lt;2),0,IF(T100&gt;K100,0,IF('Proposed Lighting'!AU100=1,0,IF(AJ100=0,0,IF(AND('Proposed Lighting'!AU100=3,AM100=0.5),0,IF(AND(AD100=75,AP100=0,AV100=0),0,IF(AP100&gt;0.01,AP100*T100,IF(AND(F100&gt;1,W100&lt;0.01),0,IF(AND(F100&gt;1,AO100=0),0,IF(AND('Proposed Lighting'!BC100=22,AV100=0),0,IF(AND(AM100&gt;0,AS100&gt;0,BI100&lt;2),0,IF(AND(AS100&gt;0.01,BK100=0),0,IF(AND(AO100=TRUE,AV100=1,F100=3),MIN(AJ100*0.08,L100),IF(AP100&gt;0.01,AP100*T100,IF(AND(AO100=TRUE,AV100=1,F100=2),MIN(AJ100*0.1,L100)))))))))))))))))),2),"")</f>
        <v/>
      </c>
      <c r="AR100" s="1250">
        <f>IF(Q100=0,0,IF('Proposed Lighting'!$X$4=0,0,IF(AND(AM100&gt;0.01,AQ100&gt;0.01),0,IF('Proposed Lighting'!AU100=1,"Missing Interior or Exterior Selection",IF('Proposed Lighting'!CF100=1,"Selection does not match",IF(K100&gt;'Proposed Lighting'!AA100,"Quantity controlled does not match proposed lighting quantity",IF(T100&gt;K100,"Quantity of sensors exceeds proposed lighting quantity",IF(AND(F100&gt;1,'Proposed Lighting'!AU100&lt;&gt;F100),"Selection does not match",IF(AND(AD100&gt;AA100,AA100&gt;0),"Does not meet minimum connected load",IF(AND(O100&gt;0,AS100&gt;0,BK100&gt;0,'Proposed Lighting'!CH100=0),"Select Control Strategies",IF(AND(AC100&gt;0.1,AJ100=0,AQ100=0),"Does not meet incentive criteria",0)))))))))))</f>
        <v>0</v>
      </c>
      <c r="AS100" s="1224">
        <f>IF('Proposed Lighting'!CH100=100,0,IF(ISNUMBER(SEARCH("multiple",Q100)),1,0))</f>
        <v>0</v>
      </c>
      <c r="AT100" s="451">
        <f t="shared" si="21"/>
        <v>0</v>
      </c>
      <c r="AU100" s="451">
        <f t="shared" si="22"/>
        <v>0</v>
      </c>
      <c r="AV100" s="1222">
        <f>IF(ISNUMBER(SEARCH("Networked",'Proposed Lighting'!T100)),0,IF(ISNUMBER(SEARCH("Strategies",'Proposed Lighting'!T100)),0,IF(ISNUMBER(SEARCH("Removal",'Proposed Lighting'!T100)),0,IF(ISNUMBER(SEARCH("non-standard",Q100)),1,0))))</f>
        <v>0</v>
      </c>
      <c r="AW100" s="451">
        <f t="shared" si="25"/>
        <v>0</v>
      </c>
      <c r="AX100" s="451"/>
      <c r="AY100" s="451"/>
      <c r="AZ100" s="451"/>
      <c r="BA100" s="451"/>
      <c r="BB100" s="451"/>
      <c r="BC100" s="1215"/>
      <c r="BD100" s="1215"/>
      <c r="BE100" s="1215"/>
      <c r="BF100" s="1215"/>
      <c r="BG100" s="1215"/>
      <c r="BH100" s="1215"/>
      <c r="BI100">
        <f>IF(AND(AS100=1,BC100="No",BD100="Yes",BE100="Yes",BF100="No",BH100="No"),0,IF(AND('Proposed Lighting'!AU100=2,AS100=1,BC100="Yes",BD100="Yes"),2,IF(AND('Proposed Lighting'!AU100=2,AS100=1,BC100="Yes",BE100="Yes"),2,IF(AND('Proposed Lighting'!AU100=2,AS100=1,BC100="Yes",BF100="Yes"),2,IF(AND('Proposed Lighting'!AU100=2,AS100=1,BC100="Yes",BH100="Yes"),2,IF(AND('Proposed Lighting'!AU100=2,AS100=1,BD100="Yes",BF100="Yes"),2,IF(AND('Proposed Lighting'!AU100=2,AS100=1,BD100="Yes",BH100="Yes"),2,IF(AND('Proposed Lighting'!AU100=3,AS100=1,BC100="Yes",BE100="Yes"),2,IF(AND('Proposed Lighting'!AU100=3,AS100=1,BC100="Yes",BF100="Yes"),2,0)))))))))</f>
        <v>0</v>
      </c>
      <c r="BJ100" s="1025">
        <f t="shared" si="23"/>
        <v>0</v>
      </c>
      <c r="BK100">
        <f>IF(AND('Proposed Lighting'!BC100=22,'Lighting Controls'!N100=1),0,IF(ISNUMBER(SEARCH("LED",G100)),1,0))</f>
        <v>0</v>
      </c>
    </row>
    <row r="101" spans="1:63" ht="34.5" customHeight="1">
      <c r="A101" s="917">
        <v>93</v>
      </c>
      <c r="B101" s="1828" t="str">
        <f>IF('Proposed Lighting'!B101="","",'Proposed Lighting'!B101)</f>
        <v/>
      </c>
      <c r="C101" s="1828"/>
      <c r="D101" s="1828"/>
      <c r="E101" s="1245">
        <f>'Proposed Lighting'!AA101</f>
        <v>0</v>
      </c>
      <c r="F101" s="1245">
        <f t="shared" si="16"/>
        <v>0</v>
      </c>
      <c r="G101" s="1830" t="str">
        <f>IF('Proposed Lighting'!T101="","",IF(ISNUMBER(SEARCH("Networked",'Proposed Lighting'!T101)),0,IF(ISNUMBER(SEARCH("Strategies",'Proposed Lighting'!T101)),0,IF(ISNUMBER(SEARCH("Removal",'Proposed Lighting'!T101)),0,'Proposed Lighting'!T101))))</f>
        <v/>
      </c>
      <c r="H101" s="1830"/>
      <c r="I101" s="1830"/>
      <c r="J101" s="1830"/>
      <c r="K101" s="1215"/>
      <c r="L101" s="1246">
        <f t="shared" si="17"/>
        <v>0</v>
      </c>
      <c r="M101" s="1224">
        <f t="shared" si="18"/>
        <v>0</v>
      </c>
      <c r="N101" s="1224">
        <f t="shared" si="19"/>
        <v>0</v>
      </c>
      <c r="O101" s="1825" t="str">
        <f>IF(G101=0,0,IF(ISNA('Proposed Lighting'!AT101),0,'Proposed Lighting'!AT101))</f>
        <v/>
      </c>
      <c r="P101" s="1825"/>
      <c r="Q101" s="1247"/>
      <c r="R101" s="1247"/>
      <c r="S101" s="1247"/>
      <c r="T101" s="1211"/>
      <c r="U101" s="1235">
        <f>IF(K101&gt;0.01,'Proposed Lighting'!CU101,0)</f>
        <v>0</v>
      </c>
      <c r="V101" s="1248">
        <f>IF('Proposed Lighting'!CF101=1,0,IF('Proposed Lighting'!AU101=2,0,IF(AND('Proposed Lighting'!AU101=3,'Proposed Lighting'!CF101=0),1,0)))</f>
        <v>0</v>
      </c>
      <c r="W101" s="1836"/>
      <c r="X101" s="1836"/>
      <c r="Y101" s="1836"/>
      <c r="Z101" s="1230" t="str">
        <f t="shared" si="13"/>
        <v/>
      </c>
      <c r="AA101" s="1230">
        <f t="shared" si="14"/>
        <v>0</v>
      </c>
      <c r="AB101" s="1230">
        <f>IF(Q101=0,0,IF(T101=0,0,IF(AA101=0,0,IF(AND(F101=3,V101=0),0,IF(T101=0,0,IF(K101&gt;'Proposed Lighting'!AA101,0,IF('Proposed Lighting'!EJ101&gt;0.01,(K101*O101)*'Proposed Lighting'!EJ101/1000,(K101*O101)*U101/1000)))))))</f>
        <v>0</v>
      </c>
      <c r="AC101" s="1230" t="str">
        <f t="shared" si="20"/>
        <v/>
      </c>
      <c r="AD101" s="1230">
        <f t="shared" si="15"/>
        <v>0</v>
      </c>
      <c r="AE101" s="1230">
        <f>IF(T101=0,0,IF(K101&gt;'Proposed Lighting'!AA101,0,IF(T101&gt;K101,0,IF(AND(AD101&gt;AA101,AA101&gt;0),0,IF(AND(F101&gt;1,W101&lt;0.01),0,IF('Proposed Lighting'!AU101&gt;'Lighting Controls'!F101,0,IF('Proposed Lighting'!AU101&lt;'Lighting Controls'!F101,0,IF(U101=0,0,Summary!AC404))))))))</f>
        <v>0</v>
      </c>
      <c r="AF101" s="1230">
        <f>IF(T101=0,0,IF(AE101=0,0,IF(K101&gt;'Proposed Lighting'!AA101,0,IF(AND(AD101&gt;AA101,AA101&gt;0),0,IF(U101=0,0,Summary!AD404)))))</f>
        <v>0</v>
      </c>
      <c r="AG101" s="1834">
        <f>IF('Proposed Lighting'!AU101=1,0,IF('Proposed Lighting'!CF101=1,0,T101*W101))</f>
        <v>0</v>
      </c>
      <c r="AH101" s="1834"/>
      <c r="AI101" s="1834"/>
      <c r="AJ101" s="1835">
        <f>IF(T101&lt;1,0,IF(K101&gt;'Proposed Lighting'!AA101,0,IF('Proposed Lighting'!CF101=1,0,IF('Proposed Lighting'!AU101=1,0,IF(T101&gt;K101,0,IF(AND(AD101&gt;AA101,AA101&gt;0),0,IF(AND(F101=2,'Proposed Lighting'!AU101=3),0,IF(AND(F101=3,'Proposed Lighting'!AU101=2),0,IF('Proposed Lighting'!CH101=100,0,IF(AND(F101&lt;3,V101=1,AM101=0),0,IF(AND(F101&gt;1,AF101&lt;1,AN101&lt;1),0,IF(AND(F101&gt;1,AE101&lt;0.69,AF101&lt;1,AN101&lt;1),0,IF(ISERROR(AB101-AC101),"",AB101-AC101)))))))))))))</f>
        <v>0</v>
      </c>
      <c r="AK101" s="1835"/>
      <c r="AL101" s="1835"/>
      <c r="AM101" s="1216">
        <f>IF(Q101=0,0,IF(T101=0,0,IF(T101&gt;K101,0,IF(AND(AS101&gt;0.01,BK101=0),0,IF(AND('Proposed Lighting'!DG101=0,'Lighting Controls'!Z101=0.35),0,IF(AND(T101&lt;=K101,AA101&gt;=AD101,'Proposed Lighting'!AU101=2),VLOOKUP(Q101,$AY$9:$AZ$15,2,FALSE),IF(AND(T101&lt;=K101,AA101&gt;=AD101,'Proposed Lighting'!AU101=3),VLOOKUP(Q101,$AY$17:$AZ$23,2,FALSE))))))))</f>
        <v>0</v>
      </c>
      <c r="AN101" s="1248">
        <f>IF(T101=0,0,IF(K101&gt;'Proposed Lighting'!AA101,0,IF(AE101=0,0,IF(AND(AD101&gt;AA101,AA101&gt;0),0,IF(U101=0,0,Summary!AE404)))))</f>
        <v>0</v>
      </c>
      <c r="AO101" s="1248">
        <f t="shared" si="24"/>
        <v>0</v>
      </c>
      <c r="AP101" s="1249">
        <f>IF('Proposed Lighting'!AU101=1,0,IF(K101=0,0,IF(T101&gt;K101,0,IF(G101=0,0,IF(K101&gt;'Proposed Lighting'!AA101,0,IF(AND(AD101&gt;AA101,AA101&gt;0),0,IF(AND('Proposed Lighting'!AU101=3,AM101=0.5),0,IF(AND(AM101&gt;0,AS101&gt;0,BI101&lt;2),0,IF('Proposed Lighting'!CH101=100,0,IF(AV101=1,0,IF(AND(AM101=35,M101+N101&lt;2),0,AM101)))))))))))</f>
        <v>0</v>
      </c>
      <c r="AQ101" s="1249" t="str">
        <f>IFERROR(ROUND(IF(Q101="","",IF('Proposed Lighting'!$X$4=0,0,IF(AND(AM101=35,M101+N101&lt;2),0,IF(T101&gt;K101,0,IF('Proposed Lighting'!AU101=1,0,IF(AJ101=0,0,IF(AND('Proposed Lighting'!AU101=3,AM101=0.5),0,IF(AND(AD101=75,AP101=0,AV101=0),0,IF(AP101&gt;0.01,AP101*T101,IF(AND(F101&gt;1,W101&lt;0.01),0,IF(AND(F101&gt;1,AO101=0),0,IF(AND('Proposed Lighting'!BC101=22,AV101=0),0,IF(AND(AM101&gt;0,AS101&gt;0,BI101&lt;2),0,IF(AND(AS101&gt;0.01,BK101=0),0,IF(AND(AO101=TRUE,AV101=1,F101=3),MIN(AJ101*0.08,L101),IF(AP101&gt;0.01,AP101*T101,IF(AND(AO101=TRUE,AV101=1,F101=2),MIN(AJ101*0.1,L101)))))))))))))))))),2),"")</f>
        <v/>
      </c>
      <c r="AR101" s="1250">
        <f>IF(Q101=0,0,IF('Proposed Lighting'!$X$4=0,0,IF(AND(AM101&gt;0.01,AQ101&gt;0.01),0,IF('Proposed Lighting'!AU101=1,"Missing Interior or Exterior Selection",IF('Proposed Lighting'!CF101=1,"Selection does not match",IF(K101&gt;'Proposed Lighting'!AA101,"Quantity controlled does not match proposed lighting quantity",IF(T101&gt;K101,"Quantity of sensors exceeds proposed lighting quantity",IF(AND(F101&gt;1,'Proposed Lighting'!AU101&lt;&gt;F101),"Selection does not match",IF(AND(AD101&gt;AA101,AA101&gt;0),"Does not meet minimum connected load",IF(AND(O101&gt;0,AS101&gt;0,BK101&gt;0,'Proposed Lighting'!CH101=0),"Select Control Strategies",IF(AND(AC101&gt;0.1,AJ101=0,AQ101=0),"Does not meet incentive criteria",0)))))))))))</f>
        <v>0</v>
      </c>
      <c r="AS101" s="1224">
        <f>IF('Proposed Lighting'!CH101=100,0,IF(ISNUMBER(SEARCH("multiple",Q101)),1,0))</f>
        <v>0</v>
      </c>
      <c r="AT101" s="451">
        <f t="shared" si="21"/>
        <v>0</v>
      </c>
      <c r="AU101" s="451">
        <f t="shared" si="22"/>
        <v>0</v>
      </c>
      <c r="AV101" s="1222">
        <f>IF(ISNUMBER(SEARCH("Networked",'Proposed Lighting'!T101)),0,IF(ISNUMBER(SEARCH("Strategies",'Proposed Lighting'!T101)),0,IF(ISNUMBER(SEARCH("Removal",'Proposed Lighting'!T101)),0,IF(ISNUMBER(SEARCH("non-standard",Q101)),1,0))))</f>
        <v>0</v>
      </c>
      <c r="AW101" s="451">
        <f t="shared" si="25"/>
        <v>0</v>
      </c>
      <c r="AX101" s="451"/>
      <c r="AY101" s="451"/>
      <c r="AZ101" s="451"/>
      <c r="BA101" s="451"/>
      <c r="BB101" s="451"/>
      <c r="BC101" s="1215"/>
      <c r="BD101" s="1215"/>
      <c r="BE101" s="1215"/>
      <c r="BF101" s="1215"/>
      <c r="BG101" s="1215"/>
      <c r="BH101" s="1215"/>
      <c r="BI101">
        <f>IF(AND(AS101=1,BC101="No",BD101="Yes",BE101="Yes",BF101="No",BH101="No"),0,IF(AND('Proposed Lighting'!AU101=2,AS101=1,BC101="Yes",BD101="Yes"),2,IF(AND('Proposed Lighting'!AU101=2,AS101=1,BC101="Yes",BE101="Yes"),2,IF(AND('Proposed Lighting'!AU101=2,AS101=1,BC101="Yes",BF101="Yes"),2,IF(AND('Proposed Lighting'!AU101=2,AS101=1,BC101="Yes",BH101="Yes"),2,IF(AND('Proposed Lighting'!AU101=2,AS101=1,BD101="Yes",BF101="Yes"),2,IF(AND('Proposed Lighting'!AU101=2,AS101=1,BD101="Yes",BH101="Yes"),2,IF(AND('Proposed Lighting'!AU101=3,AS101=1,BC101="Yes",BE101="Yes"),2,IF(AND('Proposed Lighting'!AU101=3,AS101=1,BC101="Yes",BF101="Yes"),2,0)))))))))</f>
        <v>0</v>
      </c>
      <c r="BJ101" s="1025">
        <f t="shared" si="23"/>
        <v>0</v>
      </c>
      <c r="BK101">
        <f>IF(AND('Proposed Lighting'!BC101=22,'Lighting Controls'!N101=1),0,IF(ISNUMBER(SEARCH("LED",G101)),1,0))</f>
        <v>0</v>
      </c>
    </row>
    <row r="102" spans="1:63" ht="34.5" customHeight="1">
      <c r="A102" s="917">
        <v>94</v>
      </c>
      <c r="B102" s="1828" t="str">
        <f>IF('Proposed Lighting'!B102="","",'Proposed Lighting'!B102)</f>
        <v/>
      </c>
      <c r="C102" s="1828"/>
      <c r="D102" s="1828"/>
      <c r="E102" s="1245">
        <f>'Proposed Lighting'!AA102</f>
        <v>0</v>
      </c>
      <c r="F102" s="1245">
        <f t="shared" si="16"/>
        <v>0</v>
      </c>
      <c r="G102" s="1830" t="str">
        <f>IF('Proposed Lighting'!T102="","",IF(ISNUMBER(SEARCH("Networked",'Proposed Lighting'!T102)),0,IF(ISNUMBER(SEARCH("Strategies",'Proposed Lighting'!T102)),0,IF(ISNUMBER(SEARCH("Removal",'Proposed Lighting'!T102)),0,'Proposed Lighting'!T102))))</f>
        <v/>
      </c>
      <c r="H102" s="1830"/>
      <c r="I102" s="1830"/>
      <c r="J102" s="1830"/>
      <c r="K102" s="1215"/>
      <c r="L102" s="1246">
        <f t="shared" si="17"/>
        <v>0</v>
      </c>
      <c r="M102" s="1224">
        <f t="shared" si="18"/>
        <v>0</v>
      </c>
      <c r="N102" s="1224">
        <f t="shared" si="19"/>
        <v>0</v>
      </c>
      <c r="O102" s="1825" t="str">
        <f>IF(G102=0,0,IF(ISNA('Proposed Lighting'!AT102),0,'Proposed Lighting'!AT102))</f>
        <v/>
      </c>
      <c r="P102" s="1825"/>
      <c r="Q102" s="1247"/>
      <c r="R102" s="1247"/>
      <c r="S102" s="1247"/>
      <c r="T102" s="1211"/>
      <c r="U102" s="1235">
        <f>IF(K102&gt;0.01,'Proposed Lighting'!CU102,0)</f>
        <v>0</v>
      </c>
      <c r="V102" s="1248">
        <f>IF('Proposed Lighting'!CF102=1,0,IF('Proposed Lighting'!AU102=2,0,IF(AND('Proposed Lighting'!AU102=3,'Proposed Lighting'!CF102=0),1,0)))</f>
        <v>0</v>
      </c>
      <c r="W102" s="1836"/>
      <c r="X102" s="1836"/>
      <c r="Y102" s="1836"/>
      <c r="Z102" s="1230" t="str">
        <f t="shared" si="13"/>
        <v/>
      </c>
      <c r="AA102" s="1230">
        <f t="shared" si="14"/>
        <v>0</v>
      </c>
      <c r="AB102" s="1230">
        <f>IF(Q102=0,0,IF(T102=0,0,IF(AA102=0,0,IF(AND(F102=3,V102=0),0,IF(T102=0,0,IF(K102&gt;'Proposed Lighting'!AA102,0,IF('Proposed Lighting'!EJ102&gt;0.01,(K102*O102)*'Proposed Lighting'!EJ102/1000,(K102*O102)*U102/1000)))))))</f>
        <v>0</v>
      </c>
      <c r="AC102" s="1230" t="str">
        <f t="shared" si="20"/>
        <v/>
      </c>
      <c r="AD102" s="1230">
        <f t="shared" si="15"/>
        <v>0</v>
      </c>
      <c r="AE102" s="1230">
        <f>IF(T102=0,0,IF(K102&gt;'Proposed Lighting'!AA102,0,IF(T102&gt;K102,0,IF(AND(AD102&gt;AA102,AA102&gt;0),0,IF(AND(F102&gt;1,W102&lt;0.01),0,IF('Proposed Lighting'!AU102&gt;'Lighting Controls'!F102,0,IF('Proposed Lighting'!AU102&lt;'Lighting Controls'!F102,0,IF(U102=0,0,Summary!AC405))))))))</f>
        <v>0</v>
      </c>
      <c r="AF102" s="1230">
        <f>IF(T102=0,0,IF(AE102=0,0,IF(K102&gt;'Proposed Lighting'!AA102,0,IF(AND(AD102&gt;AA102,AA102&gt;0),0,IF(U102=0,0,Summary!AD405)))))</f>
        <v>0</v>
      </c>
      <c r="AG102" s="1834">
        <f>IF('Proposed Lighting'!AU102=1,0,IF('Proposed Lighting'!CF102=1,0,T102*W102))</f>
        <v>0</v>
      </c>
      <c r="AH102" s="1834"/>
      <c r="AI102" s="1834"/>
      <c r="AJ102" s="1835">
        <f>IF(T102&lt;1,0,IF(K102&gt;'Proposed Lighting'!AA102,0,IF('Proposed Lighting'!CF102=1,0,IF('Proposed Lighting'!AU102=1,0,IF(T102&gt;K102,0,IF(AND(AD102&gt;AA102,AA102&gt;0),0,IF(AND(F102=2,'Proposed Lighting'!AU102=3),0,IF(AND(F102=3,'Proposed Lighting'!AU102=2),0,IF('Proposed Lighting'!CH102=100,0,IF(AND(F102&lt;3,V102=1,AM102=0),0,IF(AND(F102&gt;1,AF102&lt;1,AN102&lt;1),0,IF(AND(F102&gt;1,AE102&lt;0.69,AF102&lt;1,AN102&lt;1),0,IF(ISERROR(AB102-AC102),"",AB102-AC102)))))))))))))</f>
        <v>0</v>
      </c>
      <c r="AK102" s="1835"/>
      <c r="AL102" s="1835"/>
      <c r="AM102" s="1216">
        <f>IF(Q102=0,0,IF(T102=0,0,IF(T102&gt;K102,0,IF(AND(AS102&gt;0.01,BK102=0),0,IF(AND('Proposed Lighting'!DG102=0,'Lighting Controls'!Z102=0.35),0,IF(AND(T102&lt;=K102,AA102&gt;=AD102,'Proposed Lighting'!AU102=2),VLOOKUP(Q102,$AY$9:$AZ$15,2,FALSE),IF(AND(T102&lt;=K102,AA102&gt;=AD102,'Proposed Lighting'!AU102=3),VLOOKUP(Q102,$AY$17:$AZ$23,2,FALSE))))))))</f>
        <v>0</v>
      </c>
      <c r="AN102" s="1248">
        <f>IF(T102=0,0,IF(K102&gt;'Proposed Lighting'!AA102,0,IF(AE102=0,0,IF(AND(AD102&gt;AA102,AA102&gt;0),0,IF(U102=0,0,Summary!AE405)))))</f>
        <v>0</v>
      </c>
      <c r="AO102" s="1248">
        <f t="shared" si="24"/>
        <v>0</v>
      </c>
      <c r="AP102" s="1249">
        <f>IF('Proposed Lighting'!AU102=1,0,IF(K102=0,0,IF(T102&gt;K102,0,IF(G102=0,0,IF(K102&gt;'Proposed Lighting'!AA102,0,IF(AND(AD102&gt;AA102,AA102&gt;0),0,IF(AND('Proposed Lighting'!AU102=3,AM102=0.5),0,IF(AND(AM102&gt;0,AS102&gt;0,BI102&lt;2),0,IF('Proposed Lighting'!CH102=100,0,IF(AV102=1,0,IF(AND(AM102=35,M102+N102&lt;2),0,AM102)))))))))))</f>
        <v>0</v>
      </c>
      <c r="AQ102" s="1249" t="str">
        <f>IFERROR(ROUND(IF(Q102="","",IF('Proposed Lighting'!$X$4=0,0,IF(AND(AM102=35,M102+N102&lt;2),0,IF(T102&gt;K102,0,IF('Proposed Lighting'!AU102=1,0,IF(AJ102=0,0,IF(AND('Proposed Lighting'!AU102=3,AM102=0.5),0,IF(AND(AD102=75,AP102=0,AV102=0),0,IF(AP102&gt;0.01,AP102*T102,IF(AND(F102&gt;1,W102&lt;0.01),0,IF(AND(F102&gt;1,AO102=0),0,IF(AND('Proposed Lighting'!BC102=22,AV102=0),0,IF(AND(AM102&gt;0,AS102&gt;0,BI102&lt;2),0,IF(AND(AS102&gt;0.01,BK102=0),0,IF(AND(AO102=TRUE,AV102=1,F102=3),MIN(AJ102*0.08,L102),IF(AP102&gt;0.01,AP102*T102,IF(AND(AO102=TRUE,AV102=1,F102=2),MIN(AJ102*0.1,L102)))))))))))))))))),2),"")</f>
        <v/>
      </c>
      <c r="AR102" s="1250">
        <f>IF(Q102=0,0,IF('Proposed Lighting'!$X$4=0,0,IF(AND(AM102&gt;0.01,AQ102&gt;0.01),0,IF('Proposed Lighting'!AU102=1,"Missing Interior or Exterior Selection",IF('Proposed Lighting'!CF102=1,"Selection does not match",IF(K102&gt;'Proposed Lighting'!AA102,"Quantity controlled does not match proposed lighting quantity",IF(T102&gt;K102,"Quantity of sensors exceeds proposed lighting quantity",IF(AND(F102&gt;1,'Proposed Lighting'!AU102&lt;&gt;F102),"Selection does not match",IF(AND(AD102&gt;AA102,AA102&gt;0),"Does not meet minimum connected load",IF(AND(O102&gt;0,AS102&gt;0,BK102&gt;0,'Proposed Lighting'!CH102=0),"Select Control Strategies",IF(AND(AC102&gt;0.1,AJ102=0,AQ102=0),"Does not meet incentive criteria",0)))))))))))</f>
        <v>0</v>
      </c>
      <c r="AS102" s="1224">
        <f>IF('Proposed Lighting'!CH102=100,0,IF(ISNUMBER(SEARCH("multiple",Q102)),1,0))</f>
        <v>0</v>
      </c>
      <c r="AT102" s="451">
        <f t="shared" si="21"/>
        <v>0</v>
      </c>
      <c r="AU102" s="451">
        <f t="shared" si="22"/>
        <v>0</v>
      </c>
      <c r="AV102" s="1222">
        <f>IF(ISNUMBER(SEARCH("Networked",'Proposed Lighting'!T102)),0,IF(ISNUMBER(SEARCH("Strategies",'Proposed Lighting'!T102)),0,IF(ISNUMBER(SEARCH("Removal",'Proposed Lighting'!T102)),0,IF(ISNUMBER(SEARCH("non-standard",Q102)),1,0))))</f>
        <v>0</v>
      </c>
      <c r="AW102" s="451">
        <f t="shared" si="25"/>
        <v>0</v>
      </c>
      <c r="AX102" s="451"/>
      <c r="AY102" s="451"/>
      <c r="AZ102" s="451"/>
      <c r="BA102" s="451"/>
      <c r="BB102" s="451"/>
      <c r="BC102" s="1215"/>
      <c r="BD102" s="1215"/>
      <c r="BE102" s="1215"/>
      <c r="BF102" s="1215"/>
      <c r="BG102" s="1215"/>
      <c r="BH102" s="1215"/>
      <c r="BI102">
        <f>IF(AND(AS102=1,BC102="No",BD102="Yes",BE102="Yes",BF102="No",BH102="No"),0,IF(AND('Proposed Lighting'!AU102=2,AS102=1,BC102="Yes",BD102="Yes"),2,IF(AND('Proposed Lighting'!AU102=2,AS102=1,BC102="Yes",BE102="Yes"),2,IF(AND('Proposed Lighting'!AU102=2,AS102=1,BC102="Yes",BF102="Yes"),2,IF(AND('Proposed Lighting'!AU102=2,AS102=1,BC102="Yes",BH102="Yes"),2,IF(AND('Proposed Lighting'!AU102=2,AS102=1,BD102="Yes",BF102="Yes"),2,IF(AND('Proposed Lighting'!AU102=2,AS102=1,BD102="Yes",BH102="Yes"),2,IF(AND('Proposed Lighting'!AU102=3,AS102=1,BC102="Yes",BE102="Yes"),2,IF(AND('Proposed Lighting'!AU102=3,AS102=1,BC102="Yes",BF102="Yes"),2,0)))))))))</f>
        <v>0</v>
      </c>
      <c r="BJ102" s="1025">
        <f t="shared" si="23"/>
        <v>0</v>
      </c>
      <c r="BK102">
        <f>IF(AND('Proposed Lighting'!BC102=22,'Lighting Controls'!N102=1),0,IF(ISNUMBER(SEARCH("LED",G102)),1,0))</f>
        <v>0</v>
      </c>
    </row>
    <row r="103" spans="1:63" ht="34.5" customHeight="1">
      <c r="A103" s="917">
        <v>95</v>
      </c>
      <c r="B103" s="1828" t="str">
        <f>IF('Proposed Lighting'!B103="","",'Proposed Lighting'!B103)</f>
        <v/>
      </c>
      <c r="C103" s="1828"/>
      <c r="D103" s="1828"/>
      <c r="E103" s="1245">
        <f>'Proposed Lighting'!AA103</f>
        <v>0</v>
      </c>
      <c r="F103" s="1245">
        <f t="shared" si="16"/>
        <v>0</v>
      </c>
      <c r="G103" s="1830" t="str">
        <f>IF('Proposed Lighting'!T103="","",IF(ISNUMBER(SEARCH("Networked",'Proposed Lighting'!T103)),0,IF(ISNUMBER(SEARCH("Strategies",'Proposed Lighting'!T103)),0,IF(ISNUMBER(SEARCH("Removal",'Proposed Lighting'!T103)),0,'Proposed Lighting'!T103))))</f>
        <v/>
      </c>
      <c r="H103" s="1830"/>
      <c r="I103" s="1830"/>
      <c r="J103" s="1830"/>
      <c r="K103" s="1215"/>
      <c r="L103" s="1246">
        <f t="shared" si="17"/>
        <v>0</v>
      </c>
      <c r="M103" s="1224">
        <f t="shared" si="18"/>
        <v>0</v>
      </c>
      <c r="N103" s="1224">
        <f t="shared" si="19"/>
        <v>0</v>
      </c>
      <c r="O103" s="1825" t="str">
        <f>IF(G103=0,0,IF(ISNA('Proposed Lighting'!AT103),0,'Proposed Lighting'!AT103))</f>
        <v/>
      </c>
      <c r="P103" s="1825"/>
      <c r="Q103" s="1247"/>
      <c r="R103" s="1247"/>
      <c r="S103" s="1247"/>
      <c r="T103" s="1211"/>
      <c r="U103" s="1235">
        <f>IF(K103&gt;0.01,'Proposed Lighting'!CU103,0)</f>
        <v>0</v>
      </c>
      <c r="V103" s="1248">
        <f>IF('Proposed Lighting'!CF103=1,0,IF('Proposed Lighting'!AU103=2,0,IF(AND('Proposed Lighting'!AU103=3,'Proposed Lighting'!CF103=0),1,0)))</f>
        <v>0</v>
      </c>
      <c r="W103" s="1836"/>
      <c r="X103" s="1836"/>
      <c r="Y103" s="1836"/>
      <c r="Z103" s="1230" t="str">
        <f t="shared" si="13"/>
        <v/>
      </c>
      <c r="AA103" s="1230">
        <f t="shared" si="14"/>
        <v>0</v>
      </c>
      <c r="AB103" s="1230">
        <f>IF(Q103=0,0,IF(T103=0,0,IF(AA103=0,0,IF(AND(F103=3,V103=0),0,IF(T103=0,0,IF(K103&gt;'Proposed Lighting'!AA103,0,IF('Proposed Lighting'!EJ103&gt;0.01,(K103*O103)*'Proposed Lighting'!EJ103/1000,(K103*O103)*U103/1000)))))))</f>
        <v>0</v>
      </c>
      <c r="AC103" s="1230" t="str">
        <f t="shared" si="20"/>
        <v/>
      </c>
      <c r="AD103" s="1230">
        <f t="shared" si="15"/>
        <v>0</v>
      </c>
      <c r="AE103" s="1230">
        <f>IF(T103=0,0,IF(K103&gt;'Proposed Lighting'!AA103,0,IF(T103&gt;K103,0,IF(AND(AD103&gt;AA103,AA103&gt;0),0,IF(AND(F103&gt;1,W103&lt;0.01),0,IF('Proposed Lighting'!AU103&gt;'Lighting Controls'!F103,0,IF('Proposed Lighting'!AU103&lt;'Lighting Controls'!F103,0,IF(U103=0,0,Summary!AC406))))))))</f>
        <v>0</v>
      </c>
      <c r="AF103" s="1230">
        <f>IF(T103=0,0,IF(AE103=0,0,IF(K103&gt;'Proposed Lighting'!AA103,0,IF(AND(AD103&gt;AA103,AA103&gt;0),0,IF(U103=0,0,Summary!AD406)))))</f>
        <v>0</v>
      </c>
      <c r="AG103" s="1834">
        <f>IF('Proposed Lighting'!AU103=1,0,IF('Proposed Lighting'!CF103=1,0,T103*W103))</f>
        <v>0</v>
      </c>
      <c r="AH103" s="1834"/>
      <c r="AI103" s="1834"/>
      <c r="AJ103" s="1835">
        <f>IF(T103&lt;1,0,IF(K103&gt;'Proposed Lighting'!AA103,0,IF('Proposed Lighting'!CF103=1,0,IF('Proposed Lighting'!AU103=1,0,IF(T103&gt;K103,0,IF(AND(AD103&gt;AA103,AA103&gt;0),0,IF(AND(F103=2,'Proposed Lighting'!AU103=3),0,IF(AND(F103=3,'Proposed Lighting'!AU103=2),0,IF('Proposed Lighting'!CH103=100,0,IF(AND(F103&lt;3,V103=1,AM103=0),0,IF(AND(F103&gt;1,AF103&lt;1,AN103&lt;1),0,IF(AND(F103&gt;1,AE103&lt;0.69,AF103&lt;1,AN103&lt;1),0,IF(ISERROR(AB103-AC103),"",AB103-AC103)))))))))))))</f>
        <v>0</v>
      </c>
      <c r="AK103" s="1835"/>
      <c r="AL103" s="1835"/>
      <c r="AM103" s="1216">
        <f>IF(Q103=0,0,IF(T103=0,0,IF(T103&gt;K103,0,IF(AND(AS103&gt;0.01,BK103=0),0,IF(AND('Proposed Lighting'!DG103=0,'Lighting Controls'!Z103=0.35),0,IF(AND(T103&lt;=K103,AA103&gt;=AD103,'Proposed Lighting'!AU103=2),VLOOKUP(Q103,$AY$9:$AZ$15,2,FALSE),IF(AND(T103&lt;=K103,AA103&gt;=AD103,'Proposed Lighting'!AU103=3),VLOOKUP(Q103,$AY$17:$AZ$23,2,FALSE))))))))</f>
        <v>0</v>
      </c>
      <c r="AN103" s="1248">
        <f>IF(T103=0,0,IF(K103&gt;'Proposed Lighting'!AA103,0,IF(AE103=0,0,IF(AND(AD103&gt;AA103,AA103&gt;0),0,IF(U103=0,0,Summary!AE406)))))</f>
        <v>0</v>
      </c>
      <c r="AO103" s="1248">
        <f t="shared" si="24"/>
        <v>0</v>
      </c>
      <c r="AP103" s="1249">
        <f>IF('Proposed Lighting'!AU103=1,0,IF(K103=0,0,IF(T103&gt;K103,0,IF(G103=0,0,IF(K103&gt;'Proposed Lighting'!AA103,0,IF(AND(AD103&gt;AA103,AA103&gt;0),0,IF(AND('Proposed Lighting'!AU103=3,AM103=0.5),0,IF(AND(AM103&gt;0,AS103&gt;0,BI103&lt;2),0,IF('Proposed Lighting'!CH103=100,0,IF(AV103=1,0,IF(AND(AM103=35,M103+N103&lt;2),0,AM103)))))))))))</f>
        <v>0</v>
      </c>
      <c r="AQ103" s="1249" t="str">
        <f>IFERROR(ROUND(IF(Q103="","",IF('Proposed Lighting'!$X$4=0,0,IF(AND(AM103=35,M103+N103&lt;2),0,IF(T103&gt;K103,0,IF('Proposed Lighting'!AU103=1,0,IF(AJ103=0,0,IF(AND('Proposed Lighting'!AU103=3,AM103=0.5),0,IF(AND(AD103=75,AP103=0,AV103=0),0,IF(AP103&gt;0.01,AP103*T103,IF(AND(F103&gt;1,W103&lt;0.01),0,IF(AND(F103&gt;1,AO103=0),0,IF(AND('Proposed Lighting'!BC103=22,AV103=0),0,IF(AND(AM103&gt;0,AS103&gt;0,BI103&lt;2),0,IF(AND(AS103&gt;0.01,BK103=0),0,IF(AND(AO103=TRUE,AV103=1,F103=3),MIN(AJ103*0.08,L103),IF(AP103&gt;0.01,AP103*T103,IF(AND(AO103=TRUE,AV103=1,F103=2),MIN(AJ103*0.1,L103)))))))))))))))))),2),"")</f>
        <v/>
      </c>
      <c r="AR103" s="1250">
        <f>IF(Q103=0,0,IF('Proposed Lighting'!$X$4=0,0,IF(AND(AM103&gt;0.01,AQ103&gt;0.01),0,IF('Proposed Lighting'!AU103=1,"Missing Interior or Exterior Selection",IF('Proposed Lighting'!CF103=1,"Selection does not match",IF(K103&gt;'Proposed Lighting'!AA103,"Quantity controlled does not match proposed lighting quantity",IF(T103&gt;K103,"Quantity of sensors exceeds proposed lighting quantity",IF(AND(F103&gt;1,'Proposed Lighting'!AU103&lt;&gt;F103),"Selection does not match",IF(AND(AD103&gt;AA103,AA103&gt;0),"Does not meet minimum connected load",IF(AND(O103&gt;0,AS103&gt;0,BK103&gt;0,'Proposed Lighting'!CH103=0),"Select Control Strategies",IF(AND(AC103&gt;0.1,AJ103=0,AQ103=0),"Does not meet incentive criteria",0)))))))))))</f>
        <v>0</v>
      </c>
      <c r="AS103" s="1224">
        <f>IF('Proposed Lighting'!CH103=100,0,IF(ISNUMBER(SEARCH("multiple",Q103)),1,0))</f>
        <v>0</v>
      </c>
      <c r="AT103" s="451">
        <f t="shared" si="21"/>
        <v>0</v>
      </c>
      <c r="AU103" s="451">
        <f t="shared" si="22"/>
        <v>0</v>
      </c>
      <c r="AV103" s="1222">
        <f>IF(ISNUMBER(SEARCH("Networked",'Proposed Lighting'!T103)),0,IF(ISNUMBER(SEARCH("Strategies",'Proposed Lighting'!T103)),0,IF(ISNUMBER(SEARCH("Removal",'Proposed Lighting'!T103)),0,IF(ISNUMBER(SEARCH("non-standard",Q103)),1,0))))</f>
        <v>0</v>
      </c>
      <c r="AW103" s="451">
        <f t="shared" si="25"/>
        <v>0</v>
      </c>
      <c r="AX103" s="451"/>
      <c r="AY103" s="451"/>
      <c r="AZ103" s="451"/>
      <c r="BA103" s="451"/>
      <c r="BB103" s="451"/>
      <c r="BC103" s="1215"/>
      <c r="BD103" s="1215"/>
      <c r="BE103" s="1215"/>
      <c r="BF103" s="1215"/>
      <c r="BG103" s="1215"/>
      <c r="BH103" s="1215"/>
      <c r="BI103">
        <f>IF(AND(AS103=1,BC103="No",BD103="Yes",BE103="Yes",BF103="No",BH103="No"),0,IF(AND('Proposed Lighting'!AU103=2,AS103=1,BC103="Yes",BD103="Yes"),2,IF(AND('Proposed Lighting'!AU103=2,AS103=1,BC103="Yes",BE103="Yes"),2,IF(AND('Proposed Lighting'!AU103=2,AS103=1,BC103="Yes",BF103="Yes"),2,IF(AND('Proposed Lighting'!AU103=2,AS103=1,BC103="Yes",BH103="Yes"),2,IF(AND('Proposed Lighting'!AU103=2,AS103=1,BD103="Yes",BF103="Yes"),2,IF(AND('Proposed Lighting'!AU103=2,AS103=1,BD103="Yes",BH103="Yes"),2,IF(AND('Proposed Lighting'!AU103=3,AS103=1,BC103="Yes",BE103="Yes"),2,IF(AND('Proposed Lighting'!AU103=3,AS103=1,BC103="Yes",BF103="Yes"),2,0)))))))))</f>
        <v>0</v>
      </c>
      <c r="BJ103" s="1025">
        <f t="shared" si="23"/>
        <v>0</v>
      </c>
      <c r="BK103">
        <f>IF(AND('Proposed Lighting'!BC103=22,'Lighting Controls'!N103=1),0,IF(ISNUMBER(SEARCH("LED",G103)),1,0))</f>
        <v>0</v>
      </c>
    </row>
    <row r="104" spans="1:63" ht="34.5" customHeight="1">
      <c r="A104" s="917">
        <v>96</v>
      </c>
      <c r="B104" s="1828" t="str">
        <f>IF('Proposed Lighting'!B104="","",'Proposed Lighting'!B104)</f>
        <v/>
      </c>
      <c r="C104" s="1828"/>
      <c r="D104" s="1828"/>
      <c r="E104" s="1245">
        <f>'Proposed Lighting'!AA104</f>
        <v>0</v>
      </c>
      <c r="F104" s="1245">
        <f t="shared" si="16"/>
        <v>0</v>
      </c>
      <c r="G104" s="1830" t="str">
        <f>IF('Proposed Lighting'!T104="","",IF(ISNUMBER(SEARCH("Networked",'Proposed Lighting'!T104)),0,IF(ISNUMBER(SEARCH("Strategies",'Proposed Lighting'!T104)),0,IF(ISNUMBER(SEARCH("Removal",'Proposed Lighting'!T104)),0,'Proposed Lighting'!T104))))</f>
        <v/>
      </c>
      <c r="H104" s="1830"/>
      <c r="I104" s="1830"/>
      <c r="J104" s="1830"/>
      <c r="K104" s="1215"/>
      <c r="L104" s="1246">
        <f t="shared" si="17"/>
        <v>0</v>
      </c>
      <c r="M104" s="1224">
        <f t="shared" si="18"/>
        <v>0</v>
      </c>
      <c r="N104" s="1224">
        <f t="shared" si="19"/>
        <v>0</v>
      </c>
      <c r="O104" s="1825" t="str">
        <f>IF(G104=0,0,IF(ISNA('Proposed Lighting'!AT104),0,'Proposed Lighting'!AT104))</f>
        <v/>
      </c>
      <c r="P104" s="1825"/>
      <c r="Q104" s="1247"/>
      <c r="R104" s="1247"/>
      <c r="S104" s="1247"/>
      <c r="T104" s="1211"/>
      <c r="U104" s="1235">
        <f>IF(K104&gt;0.01,'Proposed Lighting'!CU104,0)</f>
        <v>0</v>
      </c>
      <c r="V104" s="1248">
        <f>IF('Proposed Lighting'!CF104=1,0,IF('Proposed Lighting'!AU104=2,0,IF(AND('Proposed Lighting'!AU104=3,'Proposed Lighting'!CF104=0),1,0)))</f>
        <v>0</v>
      </c>
      <c r="W104" s="1836"/>
      <c r="X104" s="1836"/>
      <c r="Y104" s="1836"/>
      <c r="Z104" s="1230" t="str">
        <f t="shared" si="13"/>
        <v/>
      </c>
      <c r="AA104" s="1230">
        <f t="shared" si="14"/>
        <v>0</v>
      </c>
      <c r="AB104" s="1230">
        <f>IF(Q104=0,0,IF(T104=0,0,IF(AA104=0,0,IF(AND(F104=3,V104=0),0,IF(T104=0,0,IF(K104&gt;'Proposed Lighting'!AA104,0,IF('Proposed Lighting'!EJ104&gt;0.01,(K104*O104)*'Proposed Lighting'!EJ104/1000,(K104*O104)*U104/1000)))))))</f>
        <v>0</v>
      </c>
      <c r="AC104" s="1230" t="str">
        <f t="shared" si="20"/>
        <v/>
      </c>
      <c r="AD104" s="1230">
        <f t="shared" si="15"/>
        <v>0</v>
      </c>
      <c r="AE104" s="1230">
        <f>IF(T104=0,0,IF(K104&gt;'Proposed Lighting'!AA104,0,IF(T104&gt;K104,0,IF(AND(AD104&gt;AA104,AA104&gt;0),0,IF(AND(F104&gt;1,W104&lt;0.01),0,IF('Proposed Lighting'!AU104&gt;'Lighting Controls'!F104,0,IF('Proposed Lighting'!AU104&lt;'Lighting Controls'!F104,0,IF(U104=0,0,Summary!AC407))))))))</f>
        <v>0</v>
      </c>
      <c r="AF104" s="1230">
        <f>IF(T104=0,0,IF(AE104=0,0,IF(K104&gt;'Proposed Lighting'!AA104,0,IF(AND(AD104&gt;AA104,AA104&gt;0),0,IF(U104=0,0,Summary!AD407)))))</f>
        <v>0</v>
      </c>
      <c r="AG104" s="1834">
        <f>IF('Proposed Lighting'!AU104=1,0,IF('Proposed Lighting'!CF104=1,0,T104*W104))</f>
        <v>0</v>
      </c>
      <c r="AH104" s="1834"/>
      <c r="AI104" s="1834"/>
      <c r="AJ104" s="1835">
        <f>IF(T104&lt;1,0,IF(K104&gt;'Proposed Lighting'!AA104,0,IF('Proposed Lighting'!CF104=1,0,IF('Proposed Lighting'!AU104=1,0,IF(T104&gt;K104,0,IF(AND(AD104&gt;AA104,AA104&gt;0),0,IF(AND(F104=2,'Proposed Lighting'!AU104=3),0,IF(AND(F104=3,'Proposed Lighting'!AU104=2),0,IF('Proposed Lighting'!CH104=100,0,IF(AND(F104&lt;3,V104=1,AM104=0),0,IF(AND(F104&gt;1,AF104&lt;1,AN104&lt;1),0,IF(AND(F104&gt;1,AE104&lt;0.69,AF104&lt;1,AN104&lt;1),0,IF(ISERROR(AB104-AC104),"",AB104-AC104)))))))))))))</f>
        <v>0</v>
      </c>
      <c r="AK104" s="1835"/>
      <c r="AL104" s="1835"/>
      <c r="AM104" s="1216">
        <f>IF(Q104=0,0,IF(T104=0,0,IF(T104&gt;K104,0,IF(AND(AS104&gt;0.01,BK104=0),0,IF(AND('Proposed Lighting'!DG104=0,'Lighting Controls'!Z104=0.35),0,IF(AND(T104&lt;=K104,AA104&gt;=AD104,'Proposed Lighting'!AU104=2),VLOOKUP(Q104,$AY$9:$AZ$15,2,FALSE),IF(AND(T104&lt;=K104,AA104&gt;=AD104,'Proposed Lighting'!AU104=3),VLOOKUP(Q104,$AY$17:$AZ$23,2,FALSE))))))))</f>
        <v>0</v>
      </c>
      <c r="AN104" s="1248">
        <f>IF(T104=0,0,IF(K104&gt;'Proposed Lighting'!AA104,0,IF(AE104=0,0,IF(AND(AD104&gt;AA104,AA104&gt;0),0,IF(U104=0,0,Summary!AE407)))))</f>
        <v>0</v>
      </c>
      <c r="AO104" s="1248">
        <f t="shared" si="24"/>
        <v>0</v>
      </c>
      <c r="AP104" s="1249">
        <f>IF('Proposed Lighting'!AU104=1,0,IF(K104=0,0,IF(T104&gt;K104,0,IF(G104=0,0,IF(K104&gt;'Proposed Lighting'!AA104,0,IF(AND(AD104&gt;AA104,AA104&gt;0),0,IF(AND('Proposed Lighting'!AU104=3,AM104=0.5),0,IF(AND(AM104&gt;0,AS104&gt;0,BI104&lt;2),0,IF('Proposed Lighting'!CH104=100,0,IF(AV104=1,0,IF(AND(AM104=35,M104+N104&lt;2),0,AM104)))))))))))</f>
        <v>0</v>
      </c>
      <c r="AQ104" s="1249" t="str">
        <f>IFERROR(ROUND(IF(Q104="","",IF('Proposed Lighting'!$X$4=0,0,IF(AND(AM104=35,M104+N104&lt;2),0,IF(T104&gt;K104,0,IF('Proposed Lighting'!AU104=1,0,IF(AJ104=0,0,IF(AND('Proposed Lighting'!AU104=3,AM104=0.5),0,IF(AND(AD104=75,AP104=0,AV104=0),0,IF(AP104&gt;0.01,AP104*T104,IF(AND(F104&gt;1,W104&lt;0.01),0,IF(AND(F104&gt;1,AO104=0),0,IF(AND('Proposed Lighting'!BC104=22,AV104=0),0,IF(AND(AM104&gt;0,AS104&gt;0,BI104&lt;2),0,IF(AND(AS104&gt;0.01,BK104=0),0,IF(AND(AO104=TRUE,AV104=1,F104=3),MIN(AJ104*0.08,L104),IF(AP104&gt;0.01,AP104*T104,IF(AND(AO104=TRUE,AV104=1,F104=2),MIN(AJ104*0.1,L104)))))))))))))))))),2),"")</f>
        <v/>
      </c>
      <c r="AR104" s="1250">
        <f>IF(Q104=0,0,IF('Proposed Lighting'!$X$4=0,0,IF(AND(AM104&gt;0.01,AQ104&gt;0.01),0,IF('Proposed Lighting'!AU104=1,"Missing Interior or Exterior Selection",IF('Proposed Lighting'!CF104=1,"Selection does not match",IF(K104&gt;'Proposed Lighting'!AA104,"Quantity controlled does not match proposed lighting quantity",IF(T104&gt;K104,"Quantity of sensors exceeds proposed lighting quantity",IF(AND(F104&gt;1,'Proposed Lighting'!AU104&lt;&gt;F104),"Selection does not match",IF(AND(AD104&gt;AA104,AA104&gt;0),"Does not meet minimum connected load",IF(AND(O104&gt;0,AS104&gt;0,BK104&gt;0,'Proposed Lighting'!CH104=0),"Select Control Strategies",IF(AND(AC104&gt;0.1,AJ104=0,AQ104=0),"Does not meet incentive criteria",0)))))))))))</f>
        <v>0</v>
      </c>
      <c r="AS104" s="1224">
        <f>IF('Proposed Lighting'!CH104=100,0,IF(ISNUMBER(SEARCH("multiple",Q104)),1,0))</f>
        <v>0</v>
      </c>
      <c r="AT104" s="451">
        <f t="shared" si="21"/>
        <v>0</v>
      </c>
      <c r="AU104" s="451">
        <f t="shared" si="22"/>
        <v>0</v>
      </c>
      <c r="AV104" s="1222">
        <f>IF(ISNUMBER(SEARCH("Networked",'Proposed Lighting'!T104)),0,IF(ISNUMBER(SEARCH("Strategies",'Proposed Lighting'!T104)),0,IF(ISNUMBER(SEARCH("Removal",'Proposed Lighting'!T104)),0,IF(ISNUMBER(SEARCH("non-standard",Q104)),1,0))))</f>
        <v>0</v>
      </c>
      <c r="AW104" s="451">
        <f t="shared" si="25"/>
        <v>0</v>
      </c>
      <c r="AX104" s="451"/>
      <c r="AY104" s="451"/>
      <c r="AZ104" s="451"/>
      <c r="BA104" s="451"/>
      <c r="BB104" s="451"/>
      <c r="BC104" s="1215"/>
      <c r="BD104" s="1215"/>
      <c r="BE104" s="1215"/>
      <c r="BF104" s="1215"/>
      <c r="BG104" s="1215"/>
      <c r="BH104" s="1215"/>
      <c r="BI104">
        <f>IF(AND(AS104=1,BC104="No",BD104="Yes",BE104="Yes",BF104="No",BH104="No"),0,IF(AND('Proposed Lighting'!AU104=2,AS104=1,BC104="Yes",BD104="Yes"),2,IF(AND('Proposed Lighting'!AU104=2,AS104=1,BC104="Yes",BE104="Yes"),2,IF(AND('Proposed Lighting'!AU104=2,AS104=1,BC104="Yes",BF104="Yes"),2,IF(AND('Proposed Lighting'!AU104=2,AS104=1,BC104="Yes",BH104="Yes"),2,IF(AND('Proposed Lighting'!AU104=2,AS104=1,BD104="Yes",BF104="Yes"),2,IF(AND('Proposed Lighting'!AU104=2,AS104=1,BD104="Yes",BH104="Yes"),2,IF(AND('Proposed Lighting'!AU104=3,AS104=1,BC104="Yes",BE104="Yes"),2,IF(AND('Proposed Lighting'!AU104=3,AS104=1,BC104="Yes",BF104="Yes"),2,0)))))))))</f>
        <v>0</v>
      </c>
      <c r="BJ104" s="1025">
        <f t="shared" si="23"/>
        <v>0</v>
      </c>
      <c r="BK104">
        <f>IF(AND('Proposed Lighting'!BC104=22,'Lighting Controls'!N104=1),0,IF(ISNUMBER(SEARCH("LED",G104)),1,0))</f>
        <v>0</v>
      </c>
    </row>
    <row r="105" spans="1:63" ht="34.5" customHeight="1">
      <c r="A105" s="917">
        <v>97</v>
      </c>
      <c r="B105" s="1828" t="str">
        <f>IF('Proposed Lighting'!B105="","",'Proposed Lighting'!B105)</f>
        <v/>
      </c>
      <c r="C105" s="1828"/>
      <c r="D105" s="1828"/>
      <c r="E105" s="1245">
        <f>'Proposed Lighting'!AA105</f>
        <v>0</v>
      </c>
      <c r="F105" s="1245">
        <f t="shared" si="16"/>
        <v>0</v>
      </c>
      <c r="G105" s="1830" t="str">
        <f>IF('Proposed Lighting'!T105="","",IF(ISNUMBER(SEARCH("Networked",'Proposed Lighting'!T105)),0,IF(ISNUMBER(SEARCH("Strategies",'Proposed Lighting'!T105)),0,IF(ISNUMBER(SEARCH("Removal",'Proposed Lighting'!T105)),0,'Proposed Lighting'!T105))))</f>
        <v/>
      </c>
      <c r="H105" s="1830"/>
      <c r="I105" s="1830"/>
      <c r="J105" s="1830"/>
      <c r="K105" s="1215"/>
      <c r="L105" s="1246">
        <f t="shared" si="17"/>
        <v>0</v>
      </c>
      <c r="M105" s="1224">
        <f t="shared" si="18"/>
        <v>0</v>
      </c>
      <c r="N105" s="1224">
        <f t="shared" si="19"/>
        <v>0</v>
      </c>
      <c r="O105" s="1825" t="str">
        <f>IF(G105=0,0,IF(ISNA('Proposed Lighting'!AT105),0,'Proposed Lighting'!AT105))</f>
        <v/>
      </c>
      <c r="P105" s="1825"/>
      <c r="Q105" s="1247"/>
      <c r="R105" s="1247"/>
      <c r="S105" s="1247"/>
      <c r="T105" s="1211"/>
      <c r="U105" s="1235">
        <f>IF(K105&gt;0.01,'Proposed Lighting'!CU105,0)</f>
        <v>0</v>
      </c>
      <c r="V105" s="1248">
        <f>IF('Proposed Lighting'!CF105=1,0,IF('Proposed Lighting'!AU105=2,0,IF(AND('Proposed Lighting'!AU105=3,'Proposed Lighting'!CF105=0),1,0)))</f>
        <v>0</v>
      </c>
      <c r="W105" s="1836"/>
      <c r="X105" s="1836"/>
      <c r="Y105" s="1836"/>
      <c r="Z105" s="1230" t="str">
        <f t="shared" si="13"/>
        <v/>
      </c>
      <c r="AA105" s="1230">
        <f t="shared" si="14"/>
        <v>0</v>
      </c>
      <c r="AB105" s="1230">
        <f>IF(Q105=0,0,IF(T105=0,0,IF(AA105=0,0,IF(AND(F105=3,V105=0),0,IF(T105=0,0,IF(K105&gt;'Proposed Lighting'!AA105,0,IF('Proposed Lighting'!EJ105&gt;0.01,(K105*O105)*'Proposed Lighting'!EJ105/1000,(K105*O105)*U105/1000)))))))</f>
        <v>0</v>
      </c>
      <c r="AC105" s="1230" t="str">
        <f t="shared" si="20"/>
        <v/>
      </c>
      <c r="AD105" s="1230">
        <f t="shared" si="15"/>
        <v>0</v>
      </c>
      <c r="AE105" s="1230">
        <f>IF(T105=0,0,IF(K105&gt;'Proposed Lighting'!AA105,0,IF(T105&gt;K105,0,IF(AND(AD105&gt;AA105,AA105&gt;0),0,IF(AND(F105&gt;1,W105&lt;0.01),0,IF('Proposed Lighting'!AU105&gt;'Lighting Controls'!F105,0,IF('Proposed Lighting'!AU105&lt;'Lighting Controls'!F105,0,IF(U105=0,0,Summary!AC408))))))))</f>
        <v>0</v>
      </c>
      <c r="AF105" s="1230">
        <f>IF(T105=0,0,IF(AE105=0,0,IF(K105&gt;'Proposed Lighting'!AA105,0,IF(AND(AD105&gt;AA105,AA105&gt;0),0,IF(U105=0,0,Summary!AD408)))))</f>
        <v>0</v>
      </c>
      <c r="AG105" s="1834">
        <f>IF('Proposed Lighting'!AU105=1,0,IF('Proposed Lighting'!CF105=1,0,T105*W105))</f>
        <v>0</v>
      </c>
      <c r="AH105" s="1834"/>
      <c r="AI105" s="1834"/>
      <c r="AJ105" s="1835">
        <f>IF(T105&lt;1,0,IF(K105&gt;'Proposed Lighting'!AA105,0,IF('Proposed Lighting'!CF105=1,0,IF('Proposed Lighting'!AU105=1,0,IF(T105&gt;K105,0,IF(AND(AD105&gt;AA105,AA105&gt;0),0,IF(AND(F105=2,'Proposed Lighting'!AU105=3),0,IF(AND(F105=3,'Proposed Lighting'!AU105=2),0,IF('Proposed Lighting'!CH105=100,0,IF(AND(F105&lt;3,V105=1,AM105=0),0,IF(AND(F105&gt;1,AF105&lt;1,AN105&lt;1),0,IF(AND(F105&gt;1,AE105&lt;0.69,AF105&lt;1,AN105&lt;1),0,IF(ISERROR(AB105-AC105),"",AB105-AC105)))))))))))))</f>
        <v>0</v>
      </c>
      <c r="AK105" s="1835"/>
      <c r="AL105" s="1835"/>
      <c r="AM105" s="1216">
        <f>IF(Q105=0,0,IF(T105=0,0,IF(T105&gt;K105,0,IF(AND(AS105&gt;0.01,BK105=0),0,IF(AND('Proposed Lighting'!DG105=0,'Lighting Controls'!Z105=0.35),0,IF(AND(T105&lt;=K105,AA105&gt;=AD105,'Proposed Lighting'!AU105=2),VLOOKUP(Q105,$AY$9:$AZ$15,2,FALSE),IF(AND(T105&lt;=K105,AA105&gt;=AD105,'Proposed Lighting'!AU105=3),VLOOKUP(Q105,$AY$17:$AZ$23,2,FALSE))))))))</f>
        <v>0</v>
      </c>
      <c r="AN105" s="1248">
        <f>IF(T105=0,0,IF(K105&gt;'Proposed Lighting'!AA105,0,IF(AE105=0,0,IF(AND(AD105&gt;AA105,AA105&gt;0),0,IF(U105=0,0,Summary!AE408)))))</f>
        <v>0</v>
      </c>
      <c r="AO105" s="1248">
        <f t="shared" si="24"/>
        <v>0</v>
      </c>
      <c r="AP105" s="1249">
        <f>IF('Proposed Lighting'!AU105=1,0,IF(K105=0,0,IF(T105&gt;K105,0,IF(G105=0,0,IF(K105&gt;'Proposed Lighting'!AA105,0,IF(AND(AD105&gt;AA105,AA105&gt;0),0,IF(AND('Proposed Lighting'!AU105=3,AM105=0.5),0,IF(AND(AM105&gt;0,AS105&gt;0,BI105&lt;2),0,IF('Proposed Lighting'!CH105=100,0,IF(AV105=1,0,IF(AND(AM105=35,M105+N105&lt;2),0,AM105)))))))))))</f>
        <v>0</v>
      </c>
      <c r="AQ105" s="1249" t="str">
        <f>IFERROR(ROUND(IF(Q105="","",IF('Proposed Lighting'!$X$4=0,0,IF(AND(AM105=35,M105+N105&lt;2),0,IF(T105&gt;K105,0,IF('Proposed Lighting'!AU105=1,0,IF(AJ105=0,0,IF(AND('Proposed Lighting'!AU105=3,AM105=0.5),0,IF(AND(AD105=75,AP105=0,AV105=0),0,IF(AP105&gt;0.01,AP105*T105,IF(AND(F105&gt;1,W105&lt;0.01),0,IF(AND(F105&gt;1,AO105=0),0,IF(AND('Proposed Lighting'!BC105=22,AV105=0),0,IF(AND(AM105&gt;0,AS105&gt;0,BI105&lt;2),0,IF(AND(AS105&gt;0.01,BK105=0),0,IF(AND(AO105=TRUE,AV105=1,F105=3),MIN(AJ105*0.08,L105),IF(AP105&gt;0.01,AP105*T105,IF(AND(AO105=TRUE,AV105=1,F105=2),MIN(AJ105*0.1,L105)))))))))))))))))),2),"")</f>
        <v/>
      </c>
      <c r="AR105" s="1250">
        <f>IF(Q105=0,0,IF('Proposed Lighting'!$X$4=0,0,IF(AND(AM105&gt;0.01,AQ105&gt;0.01),0,IF('Proposed Lighting'!AU105=1,"Missing Interior or Exterior Selection",IF('Proposed Lighting'!CF105=1,"Selection does not match",IF(K105&gt;'Proposed Lighting'!AA105,"Quantity controlled does not match proposed lighting quantity",IF(T105&gt;K105,"Quantity of sensors exceeds proposed lighting quantity",IF(AND(F105&gt;1,'Proposed Lighting'!AU105&lt;&gt;F105),"Selection does not match",IF(AND(AD105&gt;AA105,AA105&gt;0),"Does not meet minimum connected load",IF(AND(O105&gt;0,AS105&gt;0,BK105&gt;0,'Proposed Lighting'!CH105=0),"Select Control Strategies",IF(AND(AC105&gt;0.1,AJ105=0,AQ105=0),"Does not meet incentive criteria",0)))))))))))</f>
        <v>0</v>
      </c>
      <c r="AS105" s="1224">
        <f>IF('Proposed Lighting'!CH105=100,0,IF(ISNUMBER(SEARCH("multiple",Q105)),1,0))</f>
        <v>0</v>
      </c>
      <c r="AT105" s="451">
        <f t="shared" si="21"/>
        <v>0</v>
      </c>
      <c r="AU105" s="451">
        <f t="shared" si="22"/>
        <v>0</v>
      </c>
      <c r="AV105" s="1222">
        <f>IF(ISNUMBER(SEARCH("Networked",'Proposed Lighting'!T105)),0,IF(ISNUMBER(SEARCH("Strategies",'Proposed Lighting'!T105)),0,IF(ISNUMBER(SEARCH("Removal",'Proposed Lighting'!T105)),0,IF(ISNUMBER(SEARCH("non-standard",Q105)),1,0))))</f>
        <v>0</v>
      </c>
      <c r="AW105" s="451">
        <f t="shared" si="25"/>
        <v>0</v>
      </c>
      <c r="AX105" s="451"/>
      <c r="AY105" s="451"/>
      <c r="AZ105" s="451"/>
      <c r="BA105" s="451"/>
      <c r="BB105" s="451"/>
      <c r="BC105" s="1215"/>
      <c r="BD105" s="1215"/>
      <c r="BE105" s="1215"/>
      <c r="BF105" s="1215"/>
      <c r="BG105" s="1215"/>
      <c r="BH105" s="1215"/>
      <c r="BI105">
        <f>IF(AND(AS105=1,BC105="No",BD105="Yes",BE105="Yes",BF105="No",BH105="No"),0,IF(AND('Proposed Lighting'!AU105=2,AS105=1,BC105="Yes",BD105="Yes"),2,IF(AND('Proposed Lighting'!AU105=2,AS105=1,BC105="Yes",BE105="Yes"),2,IF(AND('Proposed Lighting'!AU105=2,AS105=1,BC105="Yes",BF105="Yes"),2,IF(AND('Proposed Lighting'!AU105=2,AS105=1,BC105="Yes",BH105="Yes"),2,IF(AND('Proposed Lighting'!AU105=2,AS105=1,BD105="Yes",BF105="Yes"),2,IF(AND('Proposed Lighting'!AU105=2,AS105=1,BD105="Yes",BH105="Yes"),2,IF(AND('Proposed Lighting'!AU105=3,AS105=1,BC105="Yes",BE105="Yes"),2,IF(AND('Proposed Lighting'!AU105=3,AS105=1,BC105="Yes",BF105="Yes"),2,0)))))))))</f>
        <v>0</v>
      </c>
      <c r="BJ105" s="1025">
        <f t="shared" si="23"/>
        <v>0</v>
      </c>
      <c r="BK105">
        <f>IF(AND('Proposed Lighting'!BC105=22,'Lighting Controls'!N105=1),0,IF(ISNUMBER(SEARCH("LED",G105)),1,0))</f>
        <v>0</v>
      </c>
    </row>
    <row r="106" spans="1:63" ht="34.5" customHeight="1">
      <c r="A106" s="917">
        <v>98</v>
      </c>
      <c r="B106" s="1828" t="str">
        <f>IF('Proposed Lighting'!B106="","",'Proposed Lighting'!B106)</f>
        <v/>
      </c>
      <c r="C106" s="1828"/>
      <c r="D106" s="1828"/>
      <c r="E106" s="1245">
        <f>'Proposed Lighting'!AA106</f>
        <v>0</v>
      </c>
      <c r="F106" s="1245">
        <f t="shared" si="16"/>
        <v>0</v>
      </c>
      <c r="G106" s="1830" t="str">
        <f>IF('Proposed Lighting'!T106="","",IF(ISNUMBER(SEARCH("Networked",'Proposed Lighting'!T106)),0,IF(ISNUMBER(SEARCH("Strategies",'Proposed Lighting'!T106)),0,IF(ISNUMBER(SEARCH("Removal",'Proposed Lighting'!T106)),0,'Proposed Lighting'!T106))))</f>
        <v/>
      </c>
      <c r="H106" s="1830"/>
      <c r="I106" s="1830"/>
      <c r="J106" s="1830"/>
      <c r="K106" s="1215"/>
      <c r="L106" s="1246">
        <f t="shared" si="17"/>
        <v>0</v>
      </c>
      <c r="M106" s="1224">
        <f t="shared" si="18"/>
        <v>0</v>
      </c>
      <c r="N106" s="1224">
        <f t="shared" si="19"/>
        <v>0</v>
      </c>
      <c r="O106" s="1825" t="str">
        <f>IF(G106=0,0,IF(ISNA('Proposed Lighting'!AT106),0,'Proposed Lighting'!AT106))</f>
        <v/>
      </c>
      <c r="P106" s="1825"/>
      <c r="Q106" s="1247"/>
      <c r="R106" s="1247"/>
      <c r="S106" s="1247"/>
      <c r="T106" s="1211"/>
      <c r="U106" s="1235">
        <f>IF(K106&gt;0.01,'Proposed Lighting'!CU106,0)</f>
        <v>0</v>
      </c>
      <c r="V106" s="1248">
        <f>IF('Proposed Lighting'!CF106=1,0,IF('Proposed Lighting'!AU106=2,0,IF(AND('Proposed Lighting'!AU106=3,'Proposed Lighting'!CF106=0),1,0)))</f>
        <v>0</v>
      </c>
      <c r="W106" s="1836"/>
      <c r="X106" s="1836"/>
      <c r="Y106" s="1836"/>
      <c r="Z106" s="1230" t="str">
        <f t="shared" si="13"/>
        <v/>
      </c>
      <c r="AA106" s="1230">
        <f t="shared" si="14"/>
        <v>0</v>
      </c>
      <c r="AB106" s="1230">
        <f>IF(Q106=0,0,IF(T106=0,0,IF(AA106=0,0,IF(AND(F106=3,V106=0),0,IF(T106=0,0,IF(K106&gt;'Proposed Lighting'!AA106,0,IF('Proposed Lighting'!EJ106&gt;0.01,(K106*O106)*'Proposed Lighting'!EJ106/1000,(K106*O106)*U106/1000)))))))</f>
        <v>0</v>
      </c>
      <c r="AC106" s="1230" t="str">
        <f t="shared" si="20"/>
        <v/>
      </c>
      <c r="AD106" s="1230">
        <f t="shared" si="15"/>
        <v>0</v>
      </c>
      <c r="AE106" s="1230">
        <f>IF(T106=0,0,IF(K106&gt;'Proposed Lighting'!AA106,0,IF(T106&gt;K106,0,IF(AND(AD106&gt;AA106,AA106&gt;0),0,IF(AND(F106&gt;1,W106&lt;0.01),0,IF('Proposed Lighting'!AU106&gt;'Lighting Controls'!F106,0,IF('Proposed Lighting'!AU106&lt;'Lighting Controls'!F106,0,IF(U106=0,0,Summary!AC409))))))))</f>
        <v>0</v>
      </c>
      <c r="AF106" s="1230">
        <f>IF(T106=0,0,IF(AE106=0,0,IF(K106&gt;'Proposed Lighting'!AA106,0,IF(AND(AD106&gt;AA106,AA106&gt;0),0,IF(U106=0,0,Summary!AD409)))))</f>
        <v>0</v>
      </c>
      <c r="AG106" s="1834">
        <f>IF('Proposed Lighting'!AU106=1,0,IF('Proposed Lighting'!CF106=1,0,T106*W106))</f>
        <v>0</v>
      </c>
      <c r="AH106" s="1834"/>
      <c r="AI106" s="1834"/>
      <c r="AJ106" s="1835">
        <f>IF(T106&lt;1,0,IF(K106&gt;'Proposed Lighting'!AA106,0,IF('Proposed Lighting'!CF106=1,0,IF('Proposed Lighting'!AU106=1,0,IF(T106&gt;K106,0,IF(AND(AD106&gt;AA106,AA106&gt;0),0,IF(AND(F106=2,'Proposed Lighting'!AU106=3),0,IF(AND(F106=3,'Proposed Lighting'!AU106=2),0,IF('Proposed Lighting'!CH106=100,0,IF(AND(F106&lt;3,V106=1,AM106=0),0,IF(AND(F106&gt;1,AF106&lt;1,AN106&lt;1),0,IF(AND(F106&gt;1,AE106&lt;0.69,AF106&lt;1,AN106&lt;1),0,IF(ISERROR(AB106-AC106),"",AB106-AC106)))))))))))))</f>
        <v>0</v>
      </c>
      <c r="AK106" s="1835"/>
      <c r="AL106" s="1835"/>
      <c r="AM106" s="1216">
        <f>IF(Q106=0,0,IF(T106=0,0,IF(T106&gt;K106,0,IF(AND(AS106&gt;0.01,BK106=0),0,IF(AND('Proposed Lighting'!DG106=0,'Lighting Controls'!Z106=0.35),0,IF(AND(T106&lt;=K106,AA106&gt;=AD106,'Proposed Lighting'!AU106=2),VLOOKUP(Q106,$AY$9:$AZ$15,2,FALSE),IF(AND(T106&lt;=K106,AA106&gt;=AD106,'Proposed Lighting'!AU106=3),VLOOKUP(Q106,$AY$17:$AZ$23,2,FALSE))))))))</f>
        <v>0</v>
      </c>
      <c r="AN106" s="1248">
        <f>IF(T106=0,0,IF(K106&gt;'Proposed Lighting'!AA106,0,IF(AE106=0,0,IF(AND(AD106&gt;AA106,AA106&gt;0),0,IF(U106=0,0,Summary!AE409)))))</f>
        <v>0</v>
      </c>
      <c r="AO106" s="1248">
        <f t="shared" si="24"/>
        <v>0</v>
      </c>
      <c r="AP106" s="1249">
        <f>IF('Proposed Lighting'!AU106=1,0,IF(K106=0,0,IF(T106&gt;K106,0,IF(G106=0,0,IF(K106&gt;'Proposed Lighting'!AA106,0,IF(AND(AD106&gt;AA106,AA106&gt;0),0,IF(AND('Proposed Lighting'!AU106=3,AM106=0.5),0,IF(AND(AM106&gt;0,AS106&gt;0,BI106&lt;2),0,IF('Proposed Lighting'!CH106=100,0,IF(AV106=1,0,IF(AND(AM106=35,M106+N106&lt;2),0,AM106)))))))))))</f>
        <v>0</v>
      </c>
      <c r="AQ106" s="1249" t="str">
        <f>IFERROR(ROUND(IF(Q106="","",IF('Proposed Lighting'!$X$4=0,0,IF(AND(AM106=35,M106+N106&lt;2),0,IF(T106&gt;K106,0,IF('Proposed Lighting'!AU106=1,0,IF(AJ106=0,0,IF(AND('Proposed Lighting'!AU106=3,AM106=0.5),0,IF(AND(AD106=75,AP106=0,AV106=0),0,IF(AP106&gt;0.01,AP106*T106,IF(AND(F106&gt;1,W106&lt;0.01),0,IF(AND(F106&gt;1,AO106=0),0,IF(AND('Proposed Lighting'!BC106=22,AV106=0),0,IF(AND(AM106&gt;0,AS106&gt;0,BI106&lt;2),0,IF(AND(AS106&gt;0.01,BK106=0),0,IF(AND(AO106=TRUE,AV106=1,F106=3),MIN(AJ106*0.08,L106),IF(AP106&gt;0.01,AP106*T106,IF(AND(AO106=TRUE,AV106=1,F106=2),MIN(AJ106*0.1,L106)))))))))))))))))),2),"")</f>
        <v/>
      </c>
      <c r="AR106" s="1250">
        <f>IF(Q106=0,0,IF('Proposed Lighting'!$X$4=0,0,IF(AND(AM106&gt;0.01,AQ106&gt;0.01),0,IF('Proposed Lighting'!AU106=1,"Missing Interior or Exterior Selection",IF('Proposed Lighting'!CF106=1,"Selection does not match",IF(K106&gt;'Proposed Lighting'!AA106,"Quantity controlled does not match proposed lighting quantity",IF(T106&gt;K106,"Quantity of sensors exceeds proposed lighting quantity",IF(AND(F106&gt;1,'Proposed Lighting'!AU106&lt;&gt;F106),"Selection does not match",IF(AND(AD106&gt;AA106,AA106&gt;0),"Does not meet minimum connected load",IF(AND(O106&gt;0,AS106&gt;0,BK106&gt;0,'Proposed Lighting'!CH106=0),"Select Control Strategies",IF(AND(AC106&gt;0.1,AJ106=0,AQ106=0),"Does not meet incentive criteria",0)))))))))))</f>
        <v>0</v>
      </c>
      <c r="AS106" s="1224">
        <f>IF('Proposed Lighting'!CH106=100,0,IF(ISNUMBER(SEARCH("multiple",Q106)),1,0))</f>
        <v>0</v>
      </c>
      <c r="AT106" s="451">
        <f t="shared" si="21"/>
        <v>0</v>
      </c>
      <c r="AU106" s="451">
        <f t="shared" si="22"/>
        <v>0</v>
      </c>
      <c r="AV106" s="1222">
        <f>IF(ISNUMBER(SEARCH("Networked",'Proposed Lighting'!T106)),0,IF(ISNUMBER(SEARCH("Strategies",'Proposed Lighting'!T106)),0,IF(ISNUMBER(SEARCH("Removal",'Proposed Lighting'!T106)),0,IF(ISNUMBER(SEARCH("non-standard",Q106)),1,0))))</f>
        <v>0</v>
      </c>
      <c r="AW106" s="451">
        <f t="shared" si="25"/>
        <v>0</v>
      </c>
      <c r="AX106" s="451"/>
      <c r="AY106" s="451"/>
      <c r="AZ106" s="451"/>
      <c r="BA106" s="451"/>
      <c r="BB106" s="451"/>
      <c r="BC106" s="1215"/>
      <c r="BD106" s="1215"/>
      <c r="BE106" s="1215"/>
      <c r="BF106" s="1215"/>
      <c r="BG106" s="1215"/>
      <c r="BH106" s="1215"/>
      <c r="BI106">
        <f>IF(AND(AS106=1,BC106="No",BD106="Yes",BE106="Yes",BF106="No",BH106="No"),0,IF(AND('Proposed Lighting'!AU106=2,AS106=1,BC106="Yes",BD106="Yes"),2,IF(AND('Proposed Lighting'!AU106=2,AS106=1,BC106="Yes",BE106="Yes"),2,IF(AND('Proposed Lighting'!AU106=2,AS106=1,BC106="Yes",BF106="Yes"),2,IF(AND('Proposed Lighting'!AU106=2,AS106=1,BC106="Yes",BH106="Yes"),2,IF(AND('Proposed Lighting'!AU106=2,AS106=1,BD106="Yes",BF106="Yes"),2,IF(AND('Proposed Lighting'!AU106=2,AS106=1,BD106="Yes",BH106="Yes"),2,IF(AND('Proposed Lighting'!AU106=3,AS106=1,BC106="Yes",BE106="Yes"),2,IF(AND('Proposed Lighting'!AU106=3,AS106=1,BC106="Yes",BF106="Yes"),2,0)))))))))</f>
        <v>0</v>
      </c>
      <c r="BJ106" s="1025">
        <f t="shared" si="23"/>
        <v>0</v>
      </c>
      <c r="BK106">
        <f>IF(AND('Proposed Lighting'!BC106=22,'Lighting Controls'!N106=1),0,IF(ISNUMBER(SEARCH("LED",G106)),1,0))</f>
        <v>0</v>
      </c>
    </row>
    <row r="107" spans="1:63" ht="34.5" customHeight="1">
      <c r="A107" s="917">
        <v>99</v>
      </c>
      <c r="B107" s="1828" t="str">
        <f>IF('Proposed Lighting'!B107="","",'Proposed Lighting'!B107)</f>
        <v/>
      </c>
      <c r="C107" s="1828"/>
      <c r="D107" s="1828"/>
      <c r="E107" s="1245">
        <f>'Proposed Lighting'!AA107</f>
        <v>0</v>
      </c>
      <c r="F107" s="1245">
        <f t="shared" si="16"/>
        <v>0</v>
      </c>
      <c r="G107" s="1830" t="str">
        <f>IF('Proposed Lighting'!T107="","",IF(ISNUMBER(SEARCH("Networked",'Proposed Lighting'!T107)),0,IF(ISNUMBER(SEARCH("Strategies",'Proposed Lighting'!T107)),0,IF(ISNUMBER(SEARCH("Removal",'Proposed Lighting'!T107)),0,'Proposed Lighting'!T107))))</f>
        <v/>
      </c>
      <c r="H107" s="1830"/>
      <c r="I107" s="1830"/>
      <c r="J107" s="1830"/>
      <c r="K107" s="1215"/>
      <c r="L107" s="1246">
        <f t="shared" si="17"/>
        <v>0</v>
      </c>
      <c r="M107" s="1224">
        <f t="shared" si="18"/>
        <v>0</v>
      </c>
      <c r="N107" s="1224">
        <f t="shared" si="19"/>
        <v>0</v>
      </c>
      <c r="O107" s="1825" t="str">
        <f>IF(G107=0,0,IF(ISNA('Proposed Lighting'!AT107),0,'Proposed Lighting'!AT107))</f>
        <v/>
      </c>
      <c r="P107" s="1825"/>
      <c r="Q107" s="1247"/>
      <c r="R107" s="1247"/>
      <c r="S107" s="1247"/>
      <c r="T107" s="1211"/>
      <c r="U107" s="1235">
        <f>IF(K107&gt;0.01,'Proposed Lighting'!CU107,0)</f>
        <v>0</v>
      </c>
      <c r="V107" s="1248">
        <f>IF('Proposed Lighting'!CF107=1,0,IF('Proposed Lighting'!AU107=2,0,IF(AND('Proposed Lighting'!AU107=3,'Proposed Lighting'!CF107=0),1,0)))</f>
        <v>0</v>
      </c>
      <c r="W107" s="1836"/>
      <c r="X107" s="1836"/>
      <c r="Y107" s="1836"/>
      <c r="Z107" s="1230" t="str">
        <f t="shared" si="13"/>
        <v/>
      </c>
      <c r="AA107" s="1230">
        <f t="shared" si="14"/>
        <v>0</v>
      </c>
      <c r="AB107" s="1230">
        <f>IF(Q107=0,0,IF(T107=0,0,IF(AA107=0,0,IF(AND(F107=3,V107=0),0,IF(T107=0,0,IF(K107&gt;'Proposed Lighting'!AA107,0,IF('Proposed Lighting'!EJ107&gt;0.01,(K107*O107)*'Proposed Lighting'!EJ107/1000,(K107*O107)*U107/1000)))))))</f>
        <v>0</v>
      </c>
      <c r="AC107" s="1230" t="str">
        <f t="shared" si="20"/>
        <v/>
      </c>
      <c r="AD107" s="1230">
        <f t="shared" si="15"/>
        <v>0</v>
      </c>
      <c r="AE107" s="1230">
        <f>IF(T107=0,0,IF(K107&gt;'Proposed Lighting'!AA107,0,IF(T107&gt;K107,0,IF(AND(AD107&gt;AA107,AA107&gt;0),0,IF(AND(F107&gt;1,W107&lt;0.01),0,IF('Proposed Lighting'!AU107&gt;'Lighting Controls'!F107,0,IF('Proposed Lighting'!AU107&lt;'Lighting Controls'!F107,0,IF(U107=0,0,Summary!AC410))))))))</f>
        <v>0</v>
      </c>
      <c r="AF107" s="1230">
        <f>IF(T107=0,0,IF(AE107=0,0,IF(K107&gt;'Proposed Lighting'!AA107,0,IF(AND(AD107&gt;AA107,AA107&gt;0),0,IF(U107=0,0,Summary!AD410)))))</f>
        <v>0</v>
      </c>
      <c r="AG107" s="1834">
        <f>IF('Proposed Lighting'!AU107=1,0,IF('Proposed Lighting'!CF107=1,0,T107*W107))</f>
        <v>0</v>
      </c>
      <c r="AH107" s="1834"/>
      <c r="AI107" s="1834"/>
      <c r="AJ107" s="1835">
        <f>IF(T107&lt;1,0,IF(K107&gt;'Proposed Lighting'!AA107,0,IF('Proposed Lighting'!CF107=1,0,IF('Proposed Lighting'!AU107=1,0,IF(T107&gt;K107,0,IF(AND(AD107&gt;AA107,AA107&gt;0),0,IF(AND(F107=2,'Proposed Lighting'!AU107=3),0,IF(AND(F107=3,'Proposed Lighting'!AU107=2),0,IF('Proposed Lighting'!CH107=100,0,IF(AND(F107&lt;3,V107=1,AM107=0),0,IF(AND(F107&gt;1,AF107&lt;1,AN107&lt;1),0,IF(AND(F107&gt;1,AE107&lt;0.69,AF107&lt;1,AN107&lt;1),0,IF(ISERROR(AB107-AC107),"",AB107-AC107)))))))))))))</f>
        <v>0</v>
      </c>
      <c r="AK107" s="1835"/>
      <c r="AL107" s="1835"/>
      <c r="AM107" s="1216">
        <f>IF(Q107=0,0,IF(T107=0,0,IF(T107&gt;K107,0,IF(AND(AS107&gt;0.01,BK107=0),0,IF(AND('Proposed Lighting'!DG107=0,'Lighting Controls'!Z107=0.35),0,IF(AND(T107&lt;=K107,AA107&gt;=AD107,'Proposed Lighting'!AU107=2),VLOOKUP(Q107,$AY$9:$AZ$15,2,FALSE),IF(AND(T107&lt;=K107,AA107&gt;=AD107,'Proposed Lighting'!AU107=3),VLOOKUP(Q107,$AY$17:$AZ$23,2,FALSE))))))))</f>
        <v>0</v>
      </c>
      <c r="AN107" s="1248">
        <f>IF(T107=0,0,IF(K107&gt;'Proposed Lighting'!AA107,0,IF(AE107=0,0,IF(AND(AD107&gt;AA107,AA107&gt;0),0,IF(U107=0,0,Summary!AE410)))))</f>
        <v>0</v>
      </c>
      <c r="AO107" s="1248">
        <f t="shared" si="24"/>
        <v>0</v>
      </c>
      <c r="AP107" s="1249">
        <f>IF('Proposed Lighting'!AU107=1,0,IF(K107=0,0,IF(T107&gt;K107,0,IF(G107=0,0,IF(K107&gt;'Proposed Lighting'!AA107,0,IF(AND(AD107&gt;AA107,AA107&gt;0),0,IF(AND('Proposed Lighting'!AU107=3,AM107=0.5),0,IF(AND(AM107&gt;0,AS107&gt;0,BI107&lt;2),0,IF('Proposed Lighting'!CH107=100,0,IF(AV107=1,0,IF(AND(AM107=35,M107+N107&lt;2),0,AM107)))))))))))</f>
        <v>0</v>
      </c>
      <c r="AQ107" s="1249" t="str">
        <f>IFERROR(ROUND(IF(Q107="","",IF('Proposed Lighting'!$X$4=0,0,IF(AND(AM107=35,M107+N107&lt;2),0,IF(T107&gt;K107,0,IF('Proposed Lighting'!AU107=1,0,IF(AJ107=0,0,IF(AND('Proposed Lighting'!AU107=3,AM107=0.5),0,IF(AND(AD107=75,AP107=0,AV107=0),0,IF(AP107&gt;0.01,AP107*T107,IF(AND(F107&gt;1,W107&lt;0.01),0,IF(AND(F107&gt;1,AO107=0),0,IF(AND('Proposed Lighting'!BC107=22,AV107=0),0,IF(AND(AM107&gt;0,AS107&gt;0,BI107&lt;2),0,IF(AND(AS107&gt;0.01,BK107=0),0,IF(AND(AO107=TRUE,AV107=1,F107=3),MIN(AJ107*0.08,L107),IF(AP107&gt;0.01,AP107*T107,IF(AND(AO107=TRUE,AV107=1,F107=2),MIN(AJ107*0.1,L107)))))))))))))))))),2),"")</f>
        <v/>
      </c>
      <c r="AR107" s="1250">
        <f>IF(Q107=0,0,IF('Proposed Lighting'!$X$4=0,0,IF(AND(AM107&gt;0.01,AQ107&gt;0.01),0,IF('Proposed Lighting'!AU107=1,"Missing Interior or Exterior Selection",IF('Proposed Lighting'!CF107=1,"Selection does not match",IF(K107&gt;'Proposed Lighting'!AA107,"Quantity controlled does not match proposed lighting quantity",IF(T107&gt;K107,"Quantity of sensors exceeds proposed lighting quantity",IF(AND(F107&gt;1,'Proposed Lighting'!AU107&lt;&gt;F107),"Selection does not match",IF(AND(AD107&gt;AA107,AA107&gt;0),"Does not meet minimum connected load",IF(AND(O107&gt;0,AS107&gt;0,BK107&gt;0,'Proposed Lighting'!CH107=0),"Select Control Strategies",IF(AND(AC107&gt;0.1,AJ107=0,AQ107=0),"Does not meet incentive criteria",0)))))))))))</f>
        <v>0</v>
      </c>
      <c r="AS107" s="1224">
        <f>IF('Proposed Lighting'!CH107=100,0,IF(ISNUMBER(SEARCH("multiple",Q107)),1,0))</f>
        <v>0</v>
      </c>
      <c r="AT107" s="451">
        <f t="shared" si="21"/>
        <v>0</v>
      </c>
      <c r="AU107" s="451">
        <f t="shared" si="22"/>
        <v>0</v>
      </c>
      <c r="AV107" s="1222">
        <f>IF(ISNUMBER(SEARCH("Networked",'Proposed Lighting'!T107)),0,IF(ISNUMBER(SEARCH("Strategies",'Proposed Lighting'!T107)),0,IF(ISNUMBER(SEARCH("Removal",'Proposed Lighting'!T107)),0,IF(ISNUMBER(SEARCH("non-standard",Q107)),1,0))))</f>
        <v>0</v>
      </c>
      <c r="AW107" s="451">
        <f t="shared" si="25"/>
        <v>0</v>
      </c>
      <c r="AX107" s="451"/>
      <c r="AY107" s="451"/>
      <c r="AZ107" s="451"/>
      <c r="BA107" s="451"/>
      <c r="BB107" s="451"/>
      <c r="BC107" s="1215"/>
      <c r="BD107" s="1215"/>
      <c r="BE107" s="1215"/>
      <c r="BF107" s="1215"/>
      <c r="BG107" s="1215"/>
      <c r="BH107" s="1215"/>
      <c r="BI107">
        <f>IF(AND(AS107=1,BC107="No",BD107="Yes",BE107="Yes",BF107="No",BH107="No"),0,IF(AND('Proposed Lighting'!AU107=2,AS107=1,BC107="Yes",BD107="Yes"),2,IF(AND('Proposed Lighting'!AU107=2,AS107=1,BC107="Yes",BE107="Yes"),2,IF(AND('Proposed Lighting'!AU107=2,AS107=1,BC107="Yes",BF107="Yes"),2,IF(AND('Proposed Lighting'!AU107=2,AS107=1,BC107="Yes",BH107="Yes"),2,IF(AND('Proposed Lighting'!AU107=2,AS107=1,BD107="Yes",BF107="Yes"),2,IF(AND('Proposed Lighting'!AU107=2,AS107=1,BD107="Yes",BH107="Yes"),2,IF(AND('Proposed Lighting'!AU107=3,AS107=1,BC107="Yes",BE107="Yes"),2,IF(AND('Proposed Lighting'!AU107=3,AS107=1,BC107="Yes",BF107="Yes"),2,0)))))))))</f>
        <v>0</v>
      </c>
      <c r="BJ107" s="1025">
        <f t="shared" si="23"/>
        <v>0</v>
      </c>
      <c r="BK107">
        <f>IF(AND('Proposed Lighting'!BC107=22,'Lighting Controls'!N107=1),0,IF(ISNUMBER(SEARCH("LED",G107)),1,0))</f>
        <v>0</v>
      </c>
    </row>
    <row r="108" spans="1:63" ht="34.5" customHeight="1">
      <c r="A108" s="917">
        <v>100</v>
      </c>
      <c r="B108" s="1828" t="str">
        <f>IF('Proposed Lighting'!B108="","",'Proposed Lighting'!B108)</f>
        <v/>
      </c>
      <c r="C108" s="1828"/>
      <c r="D108" s="1828"/>
      <c r="E108" s="1245">
        <f>'Proposed Lighting'!AA108</f>
        <v>0</v>
      </c>
      <c r="F108" s="1245">
        <f t="shared" si="16"/>
        <v>0</v>
      </c>
      <c r="G108" s="1830" t="str">
        <f>IF('Proposed Lighting'!T108="","",IF(ISNUMBER(SEARCH("Networked",'Proposed Lighting'!T108)),0,IF(ISNUMBER(SEARCH("Strategies",'Proposed Lighting'!T108)),0,IF(ISNUMBER(SEARCH("Removal",'Proposed Lighting'!T108)),0,'Proposed Lighting'!T108))))</f>
        <v/>
      </c>
      <c r="H108" s="1830"/>
      <c r="I108" s="1830"/>
      <c r="J108" s="1830"/>
      <c r="K108" s="1215"/>
      <c r="L108" s="1246">
        <f t="shared" si="17"/>
        <v>0</v>
      </c>
      <c r="M108" s="1224">
        <f t="shared" si="18"/>
        <v>0</v>
      </c>
      <c r="N108" s="1224">
        <f t="shared" si="19"/>
        <v>0</v>
      </c>
      <c r="O108" s="1825" t="str">
        <f>IF(G108=0,0,IF(ISNA('Proposed Lighting'!AT108),0,'Proposed Lighting'!AT108))</f>
        <v/>
      </c>
      <c r="P108" s="1825"/>
      <c r="Q108" s="1247"/>
      <c r="R108" s="1247"/>
      <c r="S108" s="1247"/>
      <c r="T108" s="1211"/>
      <c r="U108" s="1235">
        <f>IF(K108&gt;0.01,'Proposed Lighting'!CU108,0)</f>
        <v>0</v>
      </c>
      <c r="V108" s="1248">
        <f>IF('Proposed Lighting'!CF108=1,0,IF('Proposed Lighting'!AU108=2,0,IF(AND('Proposed Lighting'!AU108=3,'Proposed Lighting'!CF108=0),1,0)))</f>
        <v>0</v>
      </c>
      <c r="W108" s="1836"/>
      <c r="X108" s="1836"/>
      <c r="Y108" s="1836"/>
      <c r="Z108" s="1230" t="str">
        <f t="shared" si="13"/>
        <v/>
      </c>
      <c r="AA108" s="1230">
        <f t="shared" si="14"/>
        <v>0</v>
      </c>
      <c r="AB108" s="1230">
        <f>IF(Q108=0,0,IF(T108=0,0,IF(AA108=0,0,IF(AND(F108=3,V108=0),0,IF(T108=0,0,IF(K108&gt;'Proposed Lighting'!AA108,0,IF('Proposed Lighting'!EJ108&gt;0.01,(K108*O108)*'Proposed Lighting'!EJ108/1000,(K108*O108)*U108/1000)))))))</f>
        <v>0</v>
      </c>
      <c r="AC108" s="1230" t="str">
        <f t="shared" si="20"/>
        <v/>
      </c>
      <c r="AD108" s="1230">
        <f t="shared" si="15"/>
        <v>0</v>
      </c>
      <c r="AE108" s="1230">
        <f>IF(T108=0,0,IF(K108&gt;'Proposed Lighting'!AA108,0,IF(T108&gt;K108,0,IF(AND(AD108&gt;AA108,AA108&gt;0),0,IF(AND(F108&gt;1,W108&lt;0.01),0,IF('Proposed Lighting'!AU108&gt;'Lighting Controls'!F108,0,IF('Proposed Lighting'!AU108&lt;'Lighting Controls'!F108,0,IF(U108=0,0,Summary!AC411))))))))</f>
        <v>0</v>
      </c>
      <c r="AF108" s="1230">
        <f>IF(T108=0,0,IF(AE108=0,0,IF(K108&gt;'Proposed Lighting'!AA108,0,IF(AND(AD108&gt;AA108,AA108&gt;0),0,IF(U108=0,0,Summary!AD411)))))</f>
        <v>0</v>
      </c>
      <c r="AG108" s="1834">
        <f>IF('Proposed Lighting'!AU108=1,0,IF('Proposed Lighting'!CF108=1,0,T108*W108))</f>
        <v>0</v>
      </c>
      <c r="AH108" s="1834"/>
      <c r="AI108" s="1834"/>
      <c r="AJ108" s="1835">
        <f>IF(T108&lt;1,0,IF(K108&gt;'Proposed Lighting'!AA108,0,IF('Proposed Lighting'!CF108=1,0,IF('Proposed Lighting'!AU108=1,0,IF(T108&gt;K108,0,IF(AND(AD108&gt;AA108,AA108&gt;0),0,IF(AND(F108=2,'Proposed Lighting'!AU108=3),0,IF(AND(F108=3,'Proposed Lighting'!AU108=2),0,IF('Proposed Lighting'!CH108=100,0,IF(AND(F108&lt;3,V108=1,AM108=0),0,IF(AND(F108&gt;1,AF108&lt;1,AN108&lt;1),0,IF(AND(F108&gt;1,AE108&lt;0.69,AF108&lt;1,AN108&lt;1),0,IF(ISERROR(AB108-AC108),"",AB108-AC108)))))))))))))</f>
        <v>0</v>
      </c>
      <c r="AK108" s="1835"/>
      <c r="AL108" s="1835"/>
      <c r="AM108" s="1216">
        <f>IF(Q108=0,0,IF(T108=0,0,IF(T108&gt;K108,0,IF(AND(AS108&gt;0.01,BK108=0),0,IF(AND('Proposed Lighting'!DG108=0,'Lighting Controls'!Z108=0.35),0,IF(AND(T108&lt;=K108,AA108&gt;=AD108,'Proposed Lighting'!AU108=2),VLOOKUP(Q108,$AY$9:$AZ$15,2,FALSE),IF(AND(T108&lt;=K108,AA108&gt;=AD108,'Proposed Lighting'!AU108=3),VLOOKUP(Q108,$AY$17:$AZ$23,2,FALSE))))))))</f>
        <v>0</v>
      </c>
      <c r="AN108" s="1248">
        <f>IF(T108=0,0,IF(K108&gt;'Proposed Lighting'!AA108,0,IF(AE108=0,0,IF(AND(AD108&gt;AA108,AA108&gt;0),0,IF(U108=0,0,Summary!AE411)))))</f>
        <v>0</v>
      </c>
      <c r="AO108" s="1248">
        <f t="shared" si="24"/>
        <v>0</v>
      </c>
      <c r="AP108" s="1249">
        <f>IF('Proposed Lighting'!AU108=1,0,IF(K108=0,0,IF(T108&gt;K108,0,IF(G108=0,0,IF(K108&gt;'Proposed Lighting'!AA108,0,IF(AND(AD108&gt;AA108,AA108&gt;0),0,IF(AND('Proposed Lighting'!AU108=3,AM108=0.5),0,IF(AND(AM108&gt;0,AS108&gt;0,BI108&lt;2),0,IF('Proposed Lighting'!CH108=100,0,IF(AV108=1,0,IF(AND(AM108=35,M108+N108&lt;2),0,AM108)))))))))))</f>
        <v>0</v>
      </c>
      <c r="AQ108" s="1249" t="str">
        <f>IFERROR(ROUND(IF(Q108="","",IF('Proposed Lighting'!$X$4=0,0,IF(AND(AM108=35,M108+N108&lt;2),0,IF(T108&gt;K108,0,IF('Proposed Lighting'!AU108=1,0,IF(AJ108=0,0,IF(AND('Proposed Lighting'!AU108=3,AM108=0.5),0,IF(AND(AD108=75,AP108=0,AV108=0),0,IF(AP108&gt;0.01,AP108*T108,IF(AND(F108&gt;1,W108&lt;0.01),0,IF(AND(F108&gt;1,AO108=0),0,IF(AND('Proposed Lighting'!BC108=22,AV108=0),0,IF(AND(AM108&gt;0,AS108&gt;0,BI108&lt;2),0,IF(AND(AS108&gt;0.01,BK108=0),0,IF(AND(AO108=TRUE,AV108=1,F108=3),MIN(AJ108*0.08,L108),IF(AP108&gt;0.01,AP108*T108,IF(AND(AO108=TRUE,AV108=1,F108=2),MIN(AJ108*0.1,L108)))))))))))))))))),2),"")</f>
        <v/>
      </c>
      <c r="AR108" s="1250">
        <f>IF(Q108=0,0,IF('Proposed Lighting'!$X$4=0,0,IF(AND(AM108&gt;0.01,AQ108&gt;0.01),0,IF('Proposed Lighting'!AU108=1,"Missing Interior or Exterior Selection",IF('Proposed Lighting'!CF108=1,"Selection does not match",IF(K108&gt;'Proposed Lighting'!AA108,"Quantity controlled does not match proposed lighting quantity",IF(T108&gt;K108,"Quantity of sensors exceeds proposed lighting quantity",IF(AND(F108&gt;1,'Proposed Lighting'!AU108&lt;&gt;F108),"Selection does not match",IF(AND(AD108&gt;AA108,AA108&gt;0),"Does not meet minimum connected load",IF(AND(O108&gt;0,AS108&gt;0,BK108&gt;0,'Proposed Lighting'!CH108=0),"Select Control Strategies",IF(AND(AC108&gt;0.1,AJ108=0,AQ108=0),"Does not meet incentive criteria",0)))))))))))</f>
        <v>0</v>
      </c>
      <c r="AS108" s="1224">
        <f>IF('Proposed Lighting'!CH108=100,0,IF(ISNUMBER(SEARCH("multiple",Q108)),1,0))</f>
        <v>0</v>
      </c>
      <c r="AT108" s="451">
        <f t="shared" si="21"/>
        <v>0</v>
      </c>
      <c r="AU108" s="451">
        <f t="shared" si="22"/>
        <v>0</v>
      </c>
      <c r="AV108" s="1222">
        <f>IF(ISNUMBER(SEARCH("Networked",'Proposed Lighting'!T108)),0,IF(ISNUMBER(SEARCH("Strategies",'Proposed Lighting'!T108)),0,IF(ISNUMBER(SEARCH("Removal",'Proposed Lighting'!T108)),0,IF(ISNUMBER(SEARCH("non-standard",Q108)),1,0))))</f>
        <v>0</v>
      </c>
      <c r="AW108" s="451">
        <f t="shared" si="25"/>
        <v>0</v>
      </c>
      <c r="AX108" s="451"/>
      <c r="AY108" s="451"/>
      <c r="AZ108" s="451"/>
      <c r="BA108" s="451"/>
      <c r="BB108" s="451"/>
      <c r="BC108" s="1215"/>
      <c r="BD108" s="1215"/>
      <c r="BE108" s="1215"/>
      <c r="BF108" s="1215"/>
      <c r="BG108" s="1215"/>
      <c r="BH108" s="1215"/>
      <c r="BI108">
        <f>IF(AND(AS108=1,BC108="No",BD108="Yes",BE108="Yes",BF108="No",BH108="No"),0,IF(AND('Proposed Lighting'!AU108=2,AS108=1,BC108="Yes",BD108="Yes"),2,IF(AND('Proposed Lighting'!AU108=2,AS108=1,BC108="Yes",BE108="Yes"),2,IF(AND('Proposed Lighting'!AU108=2,AS108=1,BC108="Yes",BF108="Yes"),2,IF(AND('Proposed Lighting'!AU108=2,AS108=1,BC108="Yes",BH108="Yes"),2,IF(AND('Proposed Lighting'!AU108=2,AS108=1,BD108="Yes",BF108="Yes"),2,IF(AND('Proposed Lighting'!AU108=2,AS108=1,BD108="Yes",BH108="Yes"),2,IF(AND('Proposed Lighting'!AU108=3,AS108=1,BC108="Yes",BE108="Yes"),2,IF(AND('Proposed Lighting'!AU108=3,AS108=1,BC108="Yes",BF108="Yes"),2,0)))))))))</f>
        <v>0</v>
      </c>
      <c r="BJ108" s="1025">
        <f t="shared" si="23"/>
        <v>0</v>
      </c>
      <c r="BK108">
        <f>IF(AND('Proposed Lighting'!BC108=22,'Lighting Controls'!N108=1),0,IF(ISNUMBER(SEARCH("LED",G108)),1,0))</f>
        <v>0</v>
      </c>
    </row>
    <row r="109" spans="1:63" ht="34.5" customHeight="1">
      <c r="A109" s="917">
        <v>101</v>
      </c>
      <c r="B109" s="1828" t="str">
        <f>IF('Proposed Lighting'!B109="","",'Proposed Lighting'!B109)</f>
        <v/>
      </c>
      <c r="C109" s="1828"/>
      <c r="D109" s="1828"/>
      <c r="E109" s="1245">
        <f>'Proposed Lighting'!AA109</f>
        <v>0</v>
      </c>
      <c r="F109" s="1245">
        <f t="shared" si="16"/>
        <v>0</v>
      </c>
      <c r="G109" s="1830" t="str">
        <f>IF('Proposed Lighting'!T109="","",IF(ISNUMBER(SEARCH("Networked",'Proposed Lighting'!T109)),0,IF(ISNUMBER(SEARCH("Strategies",'Proposed Lighting'!T109)),0,IF(ISNUMBER(SEARCH("Removal",'Proposed Lighting'!T109)),0,'Proposed Lighting'!T109))))</f>
        <v/>
      </c>
      <c r="H109" s="1830"/>
      <c r="I109" s="1830"/>
      <c r="J109" s="1830"/>
      <c r="K109" s="1215"/>
      <c r="L109" s="1246">
        <f t="shared" si="17"/>
        <v>0</v>
      </c>
      <c r="M109" s="1224">
        <f t="shared" si="18"/>
        <v>0</v>
      </c>
      <c r="N109" s="1224">
        <f t="shared" si="19"/>
        <v>0</v>
      </c>
      <c r="O109" s="1825" t="str">
        <f>IF(G109=0,0,IF(ISNA('Proposed Lighting'!AT109),0,'Proposed Lighting'!AT109))</f>
        <v/>
      </c>
      <c r="P109" s="1825"/>
      <c r="Q109" s="1247"/>
      <c r="R109" s="1247"/>
      <c r="S109" s="1247"/>
      <c r="T109" s="1211"/>
      <c r="U109" s="1235">
        <f>IF(K109&gt;0.01,'Proposed Lighting'!CU109,0)</f>
        <v>0</v>
      </c>
      <c r="V109" s="1248">
        <f>IF('Proposed Lighting'!CF109=1,0,IF('Proposed Lighting'!AU109=2,0,IF(AND('Proposed Lighting'!AU109=3,'Proposed Lighting'!CF109=0),1,0)))</f>
        <v>0</v>
      </c>
      <c r="W109" s="1836"/>
      <c r="X109" s="1836"/>
      <c r="Y109" s="1836"/>
      <c r="Z109" s="1230" t="str">
        <f t="shared" si="13"/>
        <v/>
      </c>
      <c r="AA109" s="1230">
        <f t="shared" si="14"/>
        <v>0</v>
      </c>
      <c r="AB109" s="1230">
        <f>IF(Q109=0,0,IF(T109=0,0,IF(AA109=0,0,IF(AND(F109=3,V109=0),0,IF(T109=0,0,IF(K109&gt;'Proposed Lighting'!AA109,0,IF('Proposed Lighting'!EJ109&gt;0.01,(K109*O109)*'Proposed Lighting'!EJ109/1000,(K109*O109)*U109/1000)))))))</f>
        <v>0</v>
      </c>
      <c r="AC109" s="1230" t="str">
        <f t="shared" si="20"/>
        <v/>
      </c>
      <c r="AD109" s="1230">
        <f t="shared" si="15"/>
        <v>0</v>
      </c>
      <c r="AE109" s="1230">
        <f>IF(T109=0,0,IF(K109&gt;'Proposed Lighting'!AA109,0,IF(T109&gt;K109,0,IF(AND(AD109&gt;AA109,AA109&gt;0),0,IF(AND(F109&gt;1,W109&lt;0.01),0,IF('Proposed Lighting'!AU109&gt;'Lighting Controls'!F109,0,IF('Proposed Lighting'!AU109&lt;'Lighting Controls'!F109,0,IF(U109=0,0,Summary!AC412))))))))</f>
        <v>0</v>
      </c>
      <c r="AF109" s="1230">
        <f>IF(T109=0,0,IF(AE109=0,0,IF(K109&gt;'Proposed Lighting'!AA109,0,IF(AND(AD109&gt;AA109,AA109&gt;0),0,IF(U109=0,0,Summary!AD412)))))</f>
        <v>0</v>
      </c>
      <c r="AG109" s="1834">
        <f>IF('Proposed Lighting'!AU109=1,0,IF('Proposed Lighting'!CF109=1,0,T109*W109))</f>
        <v>0</v>
      </c>
      <c r="AH109" s="1834"/>
      <c r="AI109" s="1834"/>
      <c r="AJ109" s="1835">
        <f>IF(T109&lt;1,0,IF(K109&gt;'Proposed Lighting'!AA109,0,IF('Proposed Lighting'!CF109=1,0,IF('Proposed Lighting'!AU109=1,0,IF(T109&gt;K109,0,IF(AND(AD109&gt;AA109,AA109&gt;0),0,IF(AND(F109=2,'Proposed Lighting'!AU109=3),0,IF(AND(F109=3,'Proposed Lighting'!AU109=2),0,IF('Proposed Lighting'!CH109=100,0,IF(AND(F109&lt;3,V109=1,AM109=0),0,IF(AND(F109&gt;1,AF109&lt;1,AN109&lt;1),0,IF(AND(F109&gt;1,AE109&lt;0.69,AF109&lt;1,AN109&lt;1),0,IF(ISERROR(AB109-AC109),"",AB109-AC109)))))))))))))</f>
        <v>0</v>
      </c>
      <c r="AK109" s="1835"/>
      <c r="AL109" s="1835"/>
      <c r="AM109" s="1216">
        <f>IF(Q109=0,0,IF(T109=0,0,IF(T109&gt;K109,0,IF(AND(AS109&gt;0.01,BK109=0),0,IF(AND('Proposed Lighting'!DG109=0,'Lighting Controls'!Z109=0.35),0,IF(AND(T109&lt;=K109,AA109&gt;=AD109,'Proposed Lighting'!AU109=2),VLOOKUP(Q109,$AY$9:$AZ$15,2,FALSE),IF(AND(T109&lt;=K109,AA109&gt;=AD109,'Proposed Lighting'!AU109=3),VLOOKUP(Q109,$AY$17:$AZ$23,2,FALSE))))))))</f>
        <v>0</v>
      </c>
      <c r="AN109" s="1248">
        <f>IF(T109=0,0,IF(K109&gt;'Proposed Lighting'!AA109,0,IF(AE109=0,0,IF(AND(AD109&gt;AA109,AA109&gt;0),0,IF(U109=0,0,Summary!AE412)))))</f>
        <v>0</v>
      </c>
      <c r="AO109" s="1248">
        <f t="shared" si="24"/>
        <v>0</v>
      </c>
      <c r="AP109" s="1249">
        <f>IF('Proposed Lighting'!AU109=1,0,IF(K109=0,0,IF(T109&gt;K109,0,IF(G109=0,0,IF(K109&gt;'Proposed Lighting'!AA109,0,IF(AND(AD109&gt;AA109,AA109&gt;0),0,IF(AND('Proposed Lighting'!AU109=3,AM109=0.5),0,IF(AND(AM109&gt;0,AS109&gt;0,BI109&lt;2),0,IF('Proposed Lighting'!CH109=100,0,IF(AV109=1,0,IF(AND(AM109=35,M109+N109&lt;2),0,AM109)))))))))))</f>
        <v>0</v>
      </c>
      <c r="AQ109" s="1249" t="str">
        <f>IFERROR(ROUND(IF(Q109="","",IF('Proposed Lighting'!$X$4=0,0,IF(AND(AM109=35,M109+N109&lt;2),0,IF(T109&gt;K109,0,IF('Proposed Lighting'!AU109=1,0,IF(AJ109=0,0,IF(AND('Proposed Lighting'!AU109=3,AM109=0.5),0,IF(AND(AD109=75,AP109=0,AV109=0),0,IF(AP109&gt;0.01,AP109*T109,IF(AND(F109&gt;1,W109&lt;0.01),0,IF(AND(F109&gt;1,AO109=0),0,IF(AND('Proposed Lighting'!BC109=22,AV109=0),0,IF(AND(AM109&gt;0,AS109&gt;0,BI109&lt;2),0,IF(AND(AS109&gt;0.01,BK109=0),0,IF(AND(AO109=TRUE,AV109=1,F109=3),MIN(AJ109*0.08,L109),IF(AP109&gt;0.01,AP109*T109,IF(AND(AO109=TRUE,AV109=1,F109=2),MIN(AJ109*0.1,L109)))))))))))))))))),2),"")</f>
        <v/>
      </c>
      <c r="AR109" s="1250">
        <f>IF(Q109=0,0,IF('Proposed Lighting'!$X$4=0,0,IF(AND(AM109&gt;0.01,AQ109&gt;0.01),0,IF('Proposed Lighting'!AU109=1,"Missing Interior or Exterior Selection",IF('Proposed Lighting'!CF109=1,"Selection does not match",IF(K109&gt;'Proposed Lighting'!AA109,"Quantity controlled does not match proposed lighting quantity",IF(T109&gt;K109,"Quantity of sensors exceeds proposed lighting quantity",IF(AND(F109&gt;1,'Proposed Lighting'!AU109&lt;&gt;F109),"Selection does not match",IF(AND(AD109&gt;AA109,AA109&gt;0),"Does not meet minimum connected load",IF(AND(O109&gt;0,AS109&gt;0,BK109&gt;0,'Proposed Lighting'!CH109=0),"Select Control Strategies",IF(AND(AC109&gt;0.1,AJ109=0,AQ109=0),"Does not meet incentive criteria",0)))))))))))</f>
        <v>0</v>
      </c>
      <c r="AS109" s="1224">
        <f>IF('Proposed Lighting'!CH109=100,0,IF(ISNUMBER(SEARCH("multiple",Q109)),1,0))</f>
        <v>0</v>
      </c>
      <c r="AT109" s="451">
        <f t="shared" si="21"/>
        <v>0</v>
      </c>
      <c r="AU109" s="451">
        <f t="shared" si="22"/>
        <v>0</v>
      </c>
      <c r="AV109" s="1222">
        <f>IF(ISNUMBER(SEARCH("Networked",'Proposed Lighting'!T109)),0,IF(ISNUMBER(SEARCH("Strategies",'Proposed Lighting'!T109)),0,IF(ISNUMBER(SEARCH("Removal",'Proposed Lighting'!T109)),0,IF(ISNUMBER(SEARCH("non-standard",Q109)),1,0))))</f>
        <v>0</v>
      </c>
      <c r="AW109" s="451">
        <f t="shared" si="25"/>
        <v>0</v>
      </c>
      <c r="AX109" s="451"/>
      <c r="AY109" s="451"/>
      <c r="AZ109" s="451"/>
      <c r="BA109" s="451"/>
      <c r="BB109" s="451"/>
      <c r="BC109" s="1215"/>
      <c r="BD109" s="1215"/>
      <c r="BE109" s="1215"/>
      <c r="BF109" s="1215"/>
      <c r="BG109" s="1215"/>
      <c r="BH109" s="1215"/>
      <c r="BI109">
        <f>IF(AND(AS109=1,BC109="No",BD109="Yes",BE109="Yes",BF109="No",BH109="No"),0,IF(AND('Proposed Lighting'!AU109=2,AS109=1,BC109="Yes",BD109="Yes"),2,IF(AND('Proposed Lighting'!AU109=2,AS109=1,BC109="Yes",BE109="Yes"),2,IF(AND('Proposed Lighting'!AU109=2,AS109=1,BC109="Yes",BF109="Yes"),2,IF(AND('Proposed Lighting'!AU109=2,AS109=1,BC109="Yes",BH109="Yes"),2,IF(AND('Proposed Lighting'!AU109=2,AS109=1,BD109="Yes",BF109="Yes"),2,IF(AND('Proposed Lighting'!AU109=2,AS109=1,BD109="Yes",BH109="Yes"),2,IF(AND('Proposed Lighting'!AU109=3,AS109=1,BC109="Yes",BE109="Yes"),2,IF(AND('Proposed Lighting'!AU109=3,AS109=1,BC109="Yes",BF109="Yes"),2,0)))))))))</f>
        <v>0</v>
      </c>
      <c r="BJ109" s="1025">
        <f t="shared" si="23"/>
        <v>0</v>
      </c>
      <c r="BK109">
        <f>IF(AND('Proposed Lighting'!BC109=22,'Lighting Controls'!N109=1),0,IF(ISNUMBER(SEARCH("LED",G109)),1,0))</f>
        <v>0</v>
      </c>
    </row>
    <row r="110" spans="1:63" ht="34.5" customHeight="1">
      <c r="A110" s="917">
        <v>102</v>
      </c>
      <c r="B110" s="1828" t="str">
        <f>IF('Proposed Lighting'!B110="","",'Proposed Lighting'!B110)</f>
        <v/>
      </c>
      <c r="C110" s="1828"/>
      <c r="D110" s="1828"/>
      <c r="E110" s="1245">
        <f>'Proposed Lighting'!AA110</f>
        <v>0</v>
      </c>
      <c r="F110" s="1245">
        <f t="shared" si="16"/>
        <v>0</v>
      </c>
      <c r="G110" s="1830" t="str">
        <f>IF('Proposed Lighting'!T110="","",IF(ISNUMBER(SEARCH("Networked",'Proposed Lighting'!T110)),0,IF(ISNUMBER(SEARCH("Strategies",'Proposed Lighting'!T110)),0,IF(ISNUMBER(SEARCH("Removal",'Proposed Lighting'!T110)),0,'Proposed Lighting'!T110))))</f>
        <v/>
      </c>
      <c r="H110" s="1830"/>
      <c r="I110" s="1830"/>
      <c r="J110" s="1830"/>
      <c r="K110" s="1215"/>
      <c r="L110" s="1246">
        <f t="shared" si="17"/>
        <v>0</v>
      </c>
      <c r="M110" s="1224">
        <f t="shared" si="18"/>
        <v>0</v>
      </c>
      <c r="N110" s="1224">
        <f t="shared" si="19"/>
        <v>0</v>
      </c>
      <c r="O110" s="1825" t="str">
        <f>IF(G110=0,0,IF(ISNA('Proposed Lighting'!AT110),0,'Proposed Lighting'!AT110))</f>
        <v/>
      </c>
      <c r="P110" s="1825"/>
      <c r="Q110" s="1247"/>
      <c r="R110" s="1247"/>
      <c r="S110" s="1247"/>
      <c r="T110" s="1211"/>
      <c r="U110" s="1235">
        <f>IF(K110&gt;0.01,'Proposed Lighting'!CU110,0)</f>
        <v>0</v>
      </c>
      <c r="V110" s="1248">
        <f>IF('Proposed Lighting'!CF110=1,0,IF('Proposed Lighting'!AU110=2,0,IF(AND('Proposed Lighting'!AU110=3,'Proposed Lighting'!CF110=0),1,0)))</f>
        <v>0</v>
      </c>
      <c r="W110" s="1836"/>
      <c r="X110" s="1836"/>
      <c r="Y110" s="1836"/>
      <c r="Z110" s="1230" t="str">
        <f t="shared" si="13"/>
        <v/>
      </c>
      <c r="AA110" s="1230">
        <f t="shared" si="14"/>
        <v>0</v>
      </c>
      <c r="AB110" s="1230">
        <f>IF(Q110=0,0,IF(T110=0,0,IF(AA110=0,0,IF(AND(F110=3,V110=0),0,IF(T110=0,0,IF(K110&gt;'Proposed Lighting'!AA110,0,IF('Proposed Lighting'!EJ110&gt;0.01,(K110*O110)*'Proposed Lighting'!EJ110/1000,(K110*O110)*U110/1000)))))))</f>
        <v>0</v>
      </c>
      <c r="AC110" s="1230" t="str">
        <f t="shared" si="20"/>
        <v/>
      </c>
      <c r="AD110" s="1230">
        <f t="shared" si="15"/>
        <v>0</v>
      </c>
      <c r="AE110" s="1230">
        <f>IF(T110=0,0,IF(K110&gt;'Proposed Lighting'!AA110,0,IF(T110&gt;K110,0,IF(AND(AD110&gt;AA110,AA110&gt;0),0,IF(AND(F110&gt;1,W110&lt;0.01),0,IF('Proposed Lighting'!AU110&gt;'Lighting Controls'!F110,0,IF('Proposed Lighting'!AU110&lt;'Lighting Controls'!F110,0,IF(U110=0,0,Summary!AC413))))))))</f>
        <v>0</v>
      </c>
      <c r="AF110" s="1230">
        <f>IF(T110=0,0,IF(AE110=0,0,IF(K110&gt;'Proposed Lighting'!AA110,0,IF(AND(AD110&gt;AA110,AA110&gt;0),0,IF(U110=0,0,Summary!AD413)))))</f>
        <v>0</v>
      </c>
      <c r="AG110" s="1834">
        <f>IF('Proposed Lighting'!AU110=1,0,IF('Proposed Lighting'!CF110=1,0,T110*W110))</f>
        <v>0</v>
      </c>
      <c r="AH110" s="1834"/>
      <c r="AI110" s="1834"/>
      <c r="AJ110" s="1835">
        <f>IF(T110&lt;1,0,IF(K110&gt;'Proposed Lighting'!AA110,0,IF('Proposed Lighting'!CF110=1,0,IF('Proposed Lighting'!AU110=1,0,IF(T110&gt;K110,0,IF(AND(AD110&gt;AA110,AA110&gt;0),0,IF(AND(F110=2,'Proposed Lighting'!AU110=3),0,IF(AND(F110=3,'Proposed Lighting'!AU110=2),0,IF('Proposed Lighting'!CH110=100,0,IF(AND(F110&lt;3,V110=1,AM110=0),0,IF(AND(F110&gt;1,AF110&lt;1,AN110&lt;1),0,IF(AND(F110&gt;1,AE110&lt;0.69,AF110&lt;1,AN110&lt;1),0,IF(ISERROR(AB110-AC110),"",AB110-AC110)))))))))))))</f>
        <v>0</v>
      </c>
      <c r="AK110" s="1835"/>
      <c r="AL110" s="1835"/>
      <c r="AM110" s="1216">
        <f>IF(Q110=0,0,IF(T110=0,0,IF(T110&gt;K110,0,IF(AND(AS110&gt;0.01,BK110=0),0,IF(AND('Proposed Lighting'!DG110=0,'Lighting Controls'!Z110=0.35),0,IF(AND(T110&lt;=K110,AA110&gt;=AD110,'Proposed Lighting'!AU110=2),VLOOKUP(Q110,$AY$9:$AZ$15,2,FALSE),IF(AND(T110&lt;=K110,AA110&gt;=AD110,'Proposed Lighting'!AU110=3),VLOOKUP(Q110,$AY$17:$AZ$23,2,FALSE))))))))</f>
        <v>0</v>
      </c>
      <c r="AN110" s="1248">
        <f>IF(T110=0,0,IF(K110&gt;'Proposed Lighting'!AA110,0,IF(AE110=0,0,IF(AND(AD110&gt;AA110,AA110&gt;0),0,IF(U110=0,0,Summary!AE413)))))</f>
        <v>0</v>
      </c>
      <c r="AO110" s="1248">
        <f t="shared" si="24"/>
        <v>0</v>
      </c>
      <c r="AP110" s="1249">
        <f>IF('Proposed Lighting'!AU110=1,0,IF(K110=0,0,IF(T110&gt;K110,0,IF(G110=0,0,IF(K110&gt;'Proposed Lighting'!AA110,0,IF(AND(AD110&gt;AA110,AA110&gt;0),0,IF(AND('Proposed Lighting'!AU110=3,AM110=0.5),0,IF(AND(AM110&gt;0,AS110&gt;0,BI110&lt;2),0,IF('Proposed Lighting'!CH110=100,0,IF(AV110=1,0,IF(AND(AM110=35,M110+N110&lt;2),0,AM110)))))))))))</f>
        <v>0</v>
      </c>
      <c r="AQ110" s="1249" t="str">
        <f>IFERROR(ROUND(IF(Q110="","",IF('Proposed Lighting'!$X$4=0,0,IF(AND(AM110=35,M110+N110&lt;2),0,IF(T110&gt;K110,0,IF('Proposed Lighting'!AU110=1,0,IF(AJ110=0,0,IF(AND('Proposed Lighting'!AU110=3,AM110=0.5),0,IF(AND(AD110=75,AP110=0,AV110=0),0,IF(AP110&gt;0.01,AP110*T110,IF(AND(F110&gt;1,W110&lt;0.01),0,IF(AND(F110&gt;1,AO110=0),0,IF(AND('Proposed Lighting'!BC110=22,AV110=0),0,IF(AND(AM110&gt;0,AS110&gt;0,BI110&lt;2),0,IF(AND(AS110&gt;0.01,BK110=0),0,IF(AND(AO110=TRUE,AV110=1,F110=3),MIN(AJ110*0.08,L110),IF(AP110&gt;0.01,AP110*T110,IF(AND(AO110=TRUE,AV110=1,F110=2),MIN(AJ110*0.1,L110)))))))))))))))))),2),"")</f>
        <v/>
      </c>
      <c r="AR110" s="1250">
        <f>IF(Q110=0,0,IF('Proposed Lighting'!$X$4=0,0,IF(AND(AM110&gt;0.01,AQ110&gt;0.01),0,IF('Proposed Lighting'!AU110=1,"Missing Interior or Exterior Selection",IF('Proposed Lighting'!CF110=1,"Selection does not match",IF(K110&gt;'Proposed Lighting'!AA110,"Quantity controlled does not match proposed lighting quantity",IF(T110&gt;K110,"Quantity of sensors exceeds proposed lighting quantity",IF(AND(F110&gt;1,'Proposed Lighting'!AU110&lt;&gt;F110),"Selection does not match",IF(AND(AD110&gt;AA110,AA110&gt;0),"Does not meet minimum connected load",IF(AND(O110&gt;0,AS110&gt;0,BK110&gt;0,'Proposed Lighting'!CH110=0),"Select Control Strategies",IF(AND(AC110&gt;0.1,AJ110=0,AQ110=0),"Does not meet incentive criteria",0)))))))))))</f>
        <v>0</v>
      </c>
      <c r="AS110" s="1224">
        <f>IF('Proposed Lighting'!CH110=100,0,IF(ISNUMBER(SEARCH("multiple",Q110)),1,0))</f>
        <v>0</v>
      </c>
      <c r="AT110" s="451">
        <f t="shared" si="21"/>
        <v>0</v>
      </c>
      <c r="AU110" s="451">
        <f t="shared" si="22"/>
        <v>0</v>
      </c>
      <c r="AV110" s="1222">
        <f>IF(ISNUMBER(SEARCH("Networked",'Proposed Lighting'!T110)),0,IF(ISNUMBER(SEARCH("Strategies",'Proposed Lighting'!T110)),0,IF(ISNUMBER(SEARCH("Removal",'Proposed Lighting'!T110)),0,IF(ISNUMBER(SEARCH("non-standard",Q110)),1,0))))</f>
        <v>0</v>
      </c>
      <c r="AW110" s="451">
        <f t="shared" si="25"/>
        <v>0</v>
      </c>
      <c r="AX110" s="451"/>
      <c r="AY110" s="451"/>
      <c r="AZ110" s="451"/>
      <c r="BA110" s="451"/>
      <c r="BB110" s="451"/>
      <c r="BC110" s="1215"/>
      <c r="BD110" s="1215"/>
      <c r="BE110" s="1215"/>
      <c r="BF110" s="1215"/>
      <c r="BG110" s="1215"/>
      <c r="BH110" s="1215"/>
      <c r="BI110">
        <f>IF(AND(AS110=1,BC110="No",BD110="Yes",BE110="Yes",BF110="No",BH110="No"),0,IF(AND('Proposed Lighting'!AU110=2,AS110=1,BC110="Yes",BD110="Yes"),2,IF(AND('Proposed Lighting'!AU110=2,AS110=1,BC110="Yes",BE110="Yes"),2,IF(AND('Proposed Lighting'!AU110=2,AS110=1,BC110="Yes",BF110="Yes"),2,IF(AND('Proposed Lighting'!AU110=2,AS110=1,BC110="Yes",BH110="Yes"),2,IF(AND('Proposed Lighting'!AU110=2,AS110=1,BD110="Yes",BF110="Yes"),2,IF(AND('Proposed Lighting'!AU110=2,AS110=1,BD110="Yes",BH110="Yes"),2,IF(AND('Proposed Lighting'!AU110=3,AS110=1,BC110="Yes",BE110="Yes"),2,IF(AND('Proposed Lighting'!AU110=3,AS110=1,BC110="Yes",BF110="Yes"),2,0)))))))))</f>
        <v>0</v>
      </c>
      <c r="BJ110" s="1025">
        <f t="shared" si="23"/>
        <v>0</v>
      </c>
      <c r="BK110">
        <f>IF(AND('Proposed Lighting'!BC110=22,'Lighting Controls'!N110=1),0,IF(ISNUMBER(SEARCH("LED",G110)),1,0))</f>
        <v>0</v>
      </c>
    </row>
    <row r="111" spans="1:63" ht="34.5" customHeight="1">
      <c r="A111" s="917">
        <v>103</v>
      </c>
      <c r="B111" s="1828" t="str">
        <f>IF('Proposed Lighting'!B111="","",'Proposed Lighting'!B111)</f>
        <v/>
      </c>
      <c r="C111" s="1828"/>
      <c r="D111" s="1828"/>
      <c r="E111" s="1245">
        <f>'Proposed Lighting'!AA111</f>
        <v>0</v>
      </c>
      <c r="F111" s="1245">
        <f t="shared" si="16"/>
        <v>0</v>
      </c>
      <c r="G111" s="1830" t="str">
        <f>IF('Proposed Lighting'!T111="","",IF(ISNUMBER(SEARCH("Networked",'Proposed Lighting'!T111)),0,IF(ISNUMBER(SEARCH("Strategies",'Proposed Lighting'!T111)),0,IF(ISNUMBER(SEARCH("Removal",'Proposed Lighting'!T111)),0,'Proposed Lighting'!T111))))</f>
        <v/>
      </c>
      <c r="H111" s="1830"/>
      <c r="I111" s="1830"/>
      <c r="J111" s="1830"/>
      <c r="K111" s="1215"/>
      <c r="L111" s="1246">
        <f t="shared" si="17"/>
        <v>0</v>
      </c>
      <c r="M111" s="1224">
        <f t="shared" si="18"/>
        <v>0</v>
      </c>
      <c r="N111" s="1224">
        <f t="shared" si="19"/>
        <v>0</v>
      </c>
      <c r="O111" s="1825" t="str">
        <f>IF(G111=0,0,IF(ISNA('Proposed Lighting'!AT111),0,'Proposed Lighting'!AT111))</f>
        <v/>
      </c>
      <c r="P111" s="1825"/>
      <c r="Q111" s="1247"/>
      <c r="R111" s="1247"/>
      <c r="S111" s="1247"/>
      <c r="T111" s="1211"/>
      <c r="U111" s="1235">
        <f>IF(K111&gt;0.01,'Proposed Lighting'!CU111,0)</f>
        <v>0</v>
      </c>
      <c r="V111" s="1248">
        <f>IF('Proposed Lighting'!CF111=1,0,IF('Proposed Lighting'!AU111=2,0,IF(AND('Proposed Lighting'!AU111=3,'Proposed Lighting'!CF111=0),1,0)))</f>
        <v>0</v>
      </c>
      <c r="W111" s="1836"/>
      <c r="X111" s="1836"/>
      <c r="Y111" s="1836"/>
      <c r="Z111" s="1230" t="str">
        <f t="shared" si="13"/>
        <v/>
      </c>
      <c r="AA111" s="1230">
        <f t="shared" si="14"/>
        <v>0</v>
      </c>
      <c r="AB111" s="1230">
        <f>IF(Q111=0,0,IF(T111=0,0,IF(AA111=0,0,IF(AND(F111=3,V111=0),0,IF(T111=0,0,IF(K111&gt;'Proposed Lighting'!AA111,0,IF('Proposed Lighting'!EJ111&gt;0.01,(K111*O111)*'Proposed Lighting'!EJ111/1000,(K111*O111)*U111/1000)))))))</f>
        <v>0</v>
      </c>
      <c r="AC111" s="1230" t="str">
        <f t="shared" si="20"/>
        <v/>
      </c>
      <c r="AD111" s="1230">
        <f t="shared" si="15"/>
        <v>0</v>
      </c>
      <c r="AE111" s="1230">
        <f>IF(T111=0,0,IF(K111&gt;'Proposed Lighting'!AA111,0,IF(T111&gt;K111,0,IF(AND(AD111&gt;AA111,AA111&gt;0),0,IF(AND(F111&gt;1,W111&lt;0.01),0,IF('Proposed Lighting'!AU111&gt;'Lighting Controls'!F111,0,IF('Proposed Lighting'!AU111&lt;'Lighting Controls'!F111,0,IF(U111=0,0,Summary!AC414))))))))</f>
        <v>0</v>
      </c>
      <c r="AF111" s="1230">
        <f>IF(T111=0,0,IF(AE111=0,0,IF(K111&gt;'Proposed Lighting'!AA111,0,IF(AND(AD111&gt;AA111,AA111&gt;0),0,IF(U111=0,0,Summary!AD414)))))</f>
        <v>0</v>
      </c>
      <c r="AG111" s="1834">
        <f>IF('Proposed Lighting'!AU111=1,0,IF('Proposed Lighting'!CF111=1,0,T111*W111))</f>
        <v>0</v>
      </c>
      <c r="AH111" s="1834"/>
      <c r="AI111" s="1834"/>
      <c r="AJ111" s="1835">
        <f>IF(T111&lt;1,0,IF(K111&gt;'Proposed Lighting'!AA111,0,IF('Proposed Lighting'!CF111=1,0,IF('Proposed Lighting'!AU111=1,0,IF(T111&gt;K111,0,IF(AND(AD111&gt;AA111,AA111&gt;0),0,IF(AND(F111=2,'Proposed Lighting'!AU111=3),0,IF(AND(F111=3,'Proposed Lighting'!AU111=2),0,IF('Proposed Lighting'!CH111=100,0,IF(AND(F111&lt;3,V111=1,AM111=0),0,IF(AND(F111&gt;1,AF111&lt;1,AN111&lt;1),0,IF(AND(F111&gt;1,AE111&lt;0.69,AF111&lt;1,AN111&lt;1),0,IF(ISERROR(AB111-AC111),"",AB111-AC111)))))))))))))</f>
        <v>0</v>
      </c>
      <c r="AK111" s="1835"/>
      <c r="AL111" s="1835"/>
      <c r="AM111" s="1216">
        <f>IF(Q111=0,0,IF(T111=0,0,IF(T111&gt;K111,0,IF(AND(AS111&gt;0.01,BK111=0),0,IF(AND('Proposed Lighting'!DG111=0,'Lighting Controls'!Z111=0.35),0,IF(AND(T111&lt;=K111,AA111&gt;=AD111,'Proposed Lighting'!AU111=2),VLOOKUP(Q111,$AY$9:$AZ$15,2,FALSE),IF(AND(T111&lt;=K111,AA111&gt;=AD111,'Proposed Lighting'!AU111=3),VLOOKUP(Q111,$AY$17:$AZ$23,2,FALSE))))))))</f>
        <v>0</v>
      </c>
      <c r="AN111" s="1248">
        <f>IF(T111=0,0,IF(K111&gt;'Proposed Lighting'!AA111,0,IF(AE111=0,0,IF(AND(AD111&gt;AA111,AA111&gt;0),0,IF(U111=0,0,Summary!AE414)))))</f>
        <v>0</v>
      </c>
      <c r="AO111" s="1248">
        <f t="shared" si="24"/>
        <v>0</v>
      </c>
      <c r="AP111" s="1249">
        <f>IF('Proposed Lighting'!AU111=1,0,IF(K111=0,0,IF(T111&gt;K111,0,IF(G111=0,0,IF(K111&gt;'Proposed Lighting'!AA111,0,IF(AND(AD111&gt;AA111,AA111&gt;0),0,IF(AND('Proposed Lighting'!AU111=3,AM111=0.5),0,IF(AND(AM111&gt;0,AS111&gt;0,BI111&lt;2),0,IF('Proposed Lighting'!CH111=100,0,IF(AV111=1,0,IF(AND(AM111=35,M111+N111&lt;2),0,AM111)))))))))))</f>
        <v>0</v>
      </c>
      <c r="AQ111" s="1249" t="str">
        <f>IFERROR(ROUND(IF(Q111="","",IF('Proposed Lighting'!$X$4=0,0,IF(AND(AM111=35,M111+N111&lt;2),0,IF(T111&gt;K111,0,IF('Proposed Lighting'!AU111=1,0,IF(AJ111=0,0,IF(AND('Proposed Lighting'!AU111=3,AM111=0.5),0,IF(AND(AD111=75,AP111=0,AV111=0),0,IF(AP111&gt;0.01,AP111*T111,IF(AND(F111&gt;1,W111&lt;0.01),0,IF(AND(F111&gt;1,AO111=0),0,IF(AND('Proposed Lighting'!BC111=22,AV111=0),0,IF(AND(AM111&gt;0,AS111&gt;0,BI111&lt;2),0,IF(AND(AS111&gt;0.01,BK111=0),0,IF(AND(AO111=TRUE,AV111=1,F111=3),MIN(AJ111*0.08,L111),IF(AP111&gt;0.01,AP111*T111,IF(AND(AO111=TRUE,AV111=1,F111=2),MIN(AJ111*0.1,L111)))))))))))))))))),2),"")</f>
        <v/>
      </c>
      <c r="AR111" s="1250">
        <f>IF(Q111=0,0,IF('Proposed Lighting'!$X$4=0,0,IF(AND(AM111&gt;0.01,AQ111&gt;0.01),0,IF('Proposed Lighting'!AU111=1,"Missing Interior or Exterior Selection",IF('Proposed Lighting'!CF111=1,"Selection does not match",IF(K111&gt;'Proposed Lighting'!AA111,"Quantity controlled does not match proposed lighting quantity",IF(T111&gt;K111,"Quantity of sensors exceeds proposed lighting quantity",IF(AND(F111&gt;1,'Proposed Lighting'!AU111&lt;&gt;F111),"Selection does not match",IF(AND(AD111&gt;AA111,AA111&gt;0),"Does not meet minimum connected load",IF(AND(O111&gt;0,AS111&gt;0,BK111&gt;0,'Proposed Lighting'!CH111=0),"Select Control Strategies",IF(AND(AC111&gt;0.1,AJ111=0,AQ111=0),"Does not meet incentive criteria",0)))))))))))</f>
        <v>0</v>
      </c>
      <c r="AS111" s="1224">
        <f>IF('Proposed Lighting'!CH111=100,0,IF(ISNUMBER(SEARCH("multiple",Q111)),1,0))</f>
        <v>0</v>
      </c>
      <c r="AT111" s="451">
        <f t="shared" si="21"/>
        <v>0</v>
      </c>
      <c r="AU111" s="451">
        <f t="shared" si="22"/>
        <v>0</v>
      </c>
      <c r="AV111" s="1222">
        <f>IF(ISNUMBER(SEARCH("Networked",'Proposed Lighting'!T111)),0,IF(ISNUMBER(SEARCH("Strategies",'Proposed Lighting'!T111)),0,IF(ISNUMBER(SEARCH("Removal",'Proposed Lighting'!T111)),0,IF(ISNUMBER(SEARCH("non-standard",Q111)),1,0))))</f>
        <v>0</v>
      </c>
      <c r="AW111" s="451">
        <f t="shared" si="25"/>
        <v>0</v>
      </c>
      <c r="AX111" s="451"/>
      <c r="AY111" s="451"/>
      <c r="AZ111" s="451"/>
      <c r="BA111" s="451"/>
      <c r="BB111" s="451"/>
      <c r="BC111" s="1215"/>
      <c r="BD111" s="1215"/>
      <c r="BE111" s="1215"/>
      <c r="BF111" s="1215"/>
      <c r="BG111" s="1215"/>
      <c r="BH111" s="1215"/>
      <c r="BI111">
        <f>IF(AND(AS111=1,BC111="No",BD111="Yes",BE111="Yes",BF111="No",BH111="No"),0,IF(AND('Proposed Lighting'!AU111=2,AS111=1,BC111="Yes",BD111="Yes"),2,IF(AND('Proposed Lighting'!AU111=2,AS111=1,BC111="Yes",BE111="Yes"),2,IF(AND('Proposed Lighting'!AU111=2,AS111=1,BC111="Yes",BF111="Yes"),2,IF(AND('Proposed Lighting'!AU111=2,AS111=1,BC111="Yes",BH111="Yes"),2,IF(AND('Proposed Lighting'!AU111=2,AS111=1,BD111="Yes",BF111="Yes"),2,IF(AND('Proposed Lighting'!AU111=2,AS111=1,BD111="Yes",BH111="Yes"),2,IF(AND('Proposed Lighting'!AU111=3,AS111=1,BC111="Yes",BE111="Yes"),2,IF(AND('Proposed Lighting'!AU111=3,AS111=1,BC111="Yes",BF111="Yes"),2,0)))))))))</f>
        <v>0</v>
      </c>
      <c r="BJ111" s="1025">
        <f t="shared" si="23"/>
        <v>0</v>
      </c>
      <c r="BK111">
        <f>IF(AND('Proposed Lighting'!BC111=22,'Lighting Controls'!N111=1),0,IF(ISNUMBER(SEARCH("LED",G111)),1,0))</f>
        <v>0</v>
      </c>
    </row>
    <row r="112" spans="1:63" ht="34.5" customHeight="1">
      <c r="A112" s="917">
        <v>104</v>
      </c>
      <c r="B112" s="1828" t="str">
        <f>IF('Proposed Lighting'!B112="","",'Proposed Lighting'!B112)</f>
        <v/>
      </c>
      <c r="C112" s="1828"/>
      <c r="D112" s="1828"/>
      <c r="E112" s="1245">
        <f>'Proposed Lighting'!AA112</f>
        <v>0</v>
      </c>
      <c r="F112" s="1245">
        <f t="shared" si="16"/>
        <v>0</v>
      </c>
      <c r="G112" s="1830" t="str">
        <f>IF('Proposed Lighting'!T112="","",IF(ISNUMBER(SEARCH("Networked",'Proposed Lighting'!T112)),0,IF(ISNUMBER(SEARCH("Strategies",'Proposed Lighting'!T112)),0,IF(ISNUMBER(SEARCH("Removal",'Proposed Lighting'!T112)),0,'Proposed Lighting'!T112))))</f>
        <v/>
      </c>
      <c r="H112" s="1830"/>
      <c r="I112" s="1830"/>
      <c r="J112" s="1830"/>
      <c r="K112" s="1215"/>
      <c r="L112" s="1246">
        <f t="shared" si="17"/>
        <v>0</v>
      </c>
      <c r="M112" s="1224">
        <f t="shared" si="18"/>
        <v>0</v>
      </c>
      <c r="N112" s="1224">
        <f t="shared" si="19"/>
        <v>0</v>
      </c>
      <c r="O112" s="1825" t="str">
        <f>IF(G112=0,0,IF(ISNA('Proposed Lighting'!AT112),0,'Proposed Lighting'!AT112))</f>
        <v/>
      </c>
      <c r="P112" s="1825"/>
      <c r="Q112" s="1247"/>
      <c r="R112" s="1247"/>
      <c r="S112" s="1247"/>
      <c r="T112" s="1211"/>
      <c r="U112" s="1235">
        <f>IF(K112&gt;0.01,'Proposed Lighting'!CU112,0)</f>
        <v>0</v>
      </c>
      <c r="V112" s="1248">
        <f>IF('Proposed Lighting'!CF112=1,0,IF('Proposed Lighting'!AU112=2,0,IF(AND('Proposed Lighting'!AU112=3,'Proposed Lighting'!CF112=0),1,0)))</f>
        <v>0</v>
      </c>
      <c r="W112" s="1836"/>
      <c r="X112" s="1836"/>
      <c r="Y112" s="1836"/>
      <c r="Z112" s="1230" t="str">
        <f t="shared" si="13"/>
        <v/>
      </c>
      <c r="AA112" s="1230">
        <f t="shared" si="14"/>
        <v>0</v>
      </c>
      <c r="AB112" s="1230">
        <f>IF(Q112=0,0,IF(T112=0,0,IF(AA112=0,0,IF(AND(F112=3,V112=0),0,IF(T112=0,0,IF(K112&gt;'Proposed Lighting'!AA112,0,IF('Proposed Lighting'!EJ112&gt;0.01,(K112*O112)*'Proposed Lighting'!EJ112/1000,(K112*O112)*U112/1000)))))))</f>
        <v>0</v>
      </c>
      <c r="AC112" s="1230" t="str">
        <f t="shared" si="20"/>
        <v/>
      </c>
      <c r="AD112" s="1230">
        <f t="shared" si="15"/>
        <v>0</v>
      </c>
      <c r="AE112" s="1230">
        <f>IF(T112=0,0,IF(K112&gt;'Proposed Lighting'!AA112,0,IF(T112&gt;K112,0,IF(AND(AD112&gt;AA112,AA112&gt;0),0,IF(AND(F112&gt;1,W112&lt;0.01),0,IF('Proposed Lighting'!AU112&gt;'Lighting Controls'!F112,0,IF('Proposed Lighting'!AU112&lt;'Lighting Controls'!F112,0,IF(U112=0,0,Summary!AC415))))))))</f>
        <v>0</v>
      </c>
      <c r="AF112" s="1230">
        <f>IF(T112=0,0,IF(AE112=0,0,IF(K112&gt;'Proposed Lighting'!AA112,0,IF(AND(AD112&gt;AA112,AA112&gt;0),0,IF(U112=0,0,Summary!AD415)))))</f>
        <v>0</v>
      </c>
      <c r="AG112" s="1834">
        <f>IF('Proposed Lighting'!AU112=1,0,IF('Proposed Lighting'!CF112=1,0,T112*W112))</f>
        <v>0</v>
      </c>
      <c r="AH112" s="1834"/>
      <c r="AI112" s="1834"/>
      <c r="AJ112" s="1835">
        <f>IF(T112&lt;1,0,IF(K112&gt;'Proposed Lighting'!AA112,0,IF('Proposed Lighting'!CF112=1,0,IF('Proposed Lighting'!AU112=1,0,IF(T112&gt;K112,0,IF(AND(AD112&gt;AA112,AA112&gt;0),0,IF(AND(F112=2,'Proposed Lighting'!AU112=3),0,IF(AND(F112=3,'Proposed Lighting'!AU112=2),0,IF('Proposed Lighting'!CH112=100,0,IF(AND(F112&lt;3,V112=1,AM112=0),0,IF(AND(F112&gt;1,AF112&lt;1,AN112&lt;1),0,IF(AND(F112&gt;1,AE112&lt;0.69,AF112&lt;1,AN112&lt;1),0,IF(ISERROR(AB112-AC112),"",AB112-AC112)))))))))))))</f>
        <v>0</v>
      </c>
      <c r="AK112" s="1835"/>
      <c r="AL112" s="1835"/>
      <c r="AM112" s="1216">
        <f>IF(Q112=0,0,IF(T112=0,0,IF(T112&gt;K112,0,IF(AND(AS112&gt;0.01,BK112=0),0,IF(AND('Proposed Lighting'!DG112=0,'Lighting Controls'!Z112=0.35),0,IF(AND(T112&lt;=K112,AA112&gt;=AD112,'Proposed Lighting'!AU112=2),VLOOKUP(Q112,$AY$9:$AZ$15,2,FALSE),IF(AND(T112&lt;=K112,AA112&gt;=AD112,'Proposed Lighting'!AU112=3),VLOOKUP(Q112,$AY$17:$AZ$23,2,FALSE))))))))</f>
        <v>0</v>
      </c>
      <c r="AN112" s="1248">
        <f>IF(T112=0,0,IF(K112&gt;'Proposed Lighting'!AA112,0,IF(AE112=0,0,IF(AND(AD112&gt;AA112,AA112&gt;0),0,IF(U112=0,0,Summary!AE415)))))</f>
        <v>0</v>
      </c>
      <c r="AO112" s="1248">
        <f t="shared" si="24"/>
        <v>0</v>
      </c>
      <c r="AP112" s="1249">
        <f>IF('Proposed Lighting'!AU112=1,0,IF(K112=0,0,IF(T112&gt;K112,0,IF(G112=0,0,IF(K112&gt;'Proposed Lighting'!AA112,0,IF(AND(AD112&gt;AA112,AA112&gt;0),0,IF(AND('Proposed Lighting'!AU112=3,AM112=0.5),0,IF(AND(AM112&gt;0,AS112&gt;0,BI112&lt;2),0,IF('Proposed Lighting'!CH112=100,0,IF(AV112=1,0,IF(AND(AM112=35,M112+N112&lt;2),0,AM112)))))))))))</f>
        <v>0</v>
      </c>
      <c r="AQ112" s="1249" t="str">
        <f>IFERROR(ROUND(IF(Q112="","",IF('Proposed Lighting'!$X$4=0,0,IF(AND(AM112=35,M112+N112&lt;2),0,IF(T112&gt;K112,0,IF('Proposed Lighting'!AU112=1,0,IF(AJ112=0,0,IF(AND('Proposed Lighting'!AU112=3,AM112=0.5),0,IF(AND(AD112=75,AP112=0,AV112=0),0,IF(AP112&gt;0.01,AP112*T112,IF(AND(F112&gt;1,W112&lt;0.01),0,IF(AND(F112&gt;1,AO112=0),0,IF(AND('Proposed Lighting'!BC112=22,AV112=0),0,IF(AND(AM112&gt;0,AS112&gt;0,BI112&lt;2),0,IF(AND(AS112&gt;0.01,BK112=0),0,IF(AND(AO112=TRUE,AV112=1,F112=3),MIN(AJ112*0.08,L112),IF(AP112&gt;0.01,AP112*T112,IF(AND(AO112=TRUE,AV112=1,F112=2),MIN(AJ112*0.1,L112)))))))))))))))))),2),"")</f>
        <v/>
      </c>
      <c r="AR112" s="1250">
        <f>IF(Q112=0,0,IF('Proposed Lighting'!$X$4=0,0,IF(AND(AM112&gt;0.01,AQ112&gt;0.01),0,IF('Proposed Lighting'!AU112=1,"Missing Interior or Exterior Selection",IF('Proposed Lighting'!CF112=1,"Selection does not match",IF(K112&gt;'Proposed Lighting'!AA112,"Quantity controlled does not match proposed lighting quantity",IF(T112&gt;K112,"Quantity of sensors exceeds proposed lighting quantity",IF(AND(F112&gt;1,'Proposed Lighting'!AU112&lt;&gt;F112),"Selection does not match",IF(AND(AD112&gt;AA112,AA112&gt;0),"Does not meet minimum connected load",IF(AND(O112&gt;0,AS112&gt;0,BK112&gt;0,'Proposed Lighting'!CH112=0),"Select Control Strategies",IF(AND(AC112&gt;0.1,AJ112=0,AQ112=0),"Does not meet incentive criteria",0)))))))))))</f>
        <v>0</v>
      </c>
      <c r="AS112" s="1224">
        <f>IF('Proposed Lighting'!CH112=100,0,IF(ISNUMBER(SEARCH("multiple",Q112)),1,0))</f>
        <v>0</v>
      </c>
      <c r="AT112" s="451">
        <f t="shared" si="21"/>
        <v>0</v>
      </c>
      <c r="AU112" s="451">
        <f t="shared" si="22"/>
        <v>0</v>
      </c>
      <c r="AV112" s="1222">
        <f>IF(ISNUMBER(SEARCH("Networked",'Proposed Lighting'!T112)),0,IF(ISNUMBER(SEARCH("Strategies",'Proposed Lighting'!T112)),0,IF(ISNUMBER(SEARCH("Removal",'Proposed Lighting'!T112)),0,IF(ISNUMBER(SEARCH("non-standard",Q112)),1,0))))</f>
        <v>0</v>
      </c>
      <c r="AW112" s="451">
        <f t="shared" si="25"/>
        <v>0</v>
      </c>
      <c r="AX112" s="451"/>
      <c r="AY112" s="451"/>
      <c r="AZ112" s="451"/>
      <c r="BA112" s="451"/>
      <c r="BB112" s="451"/>
      <c r="BC112" s="1215"/>
      <c r="BD112" s="1215"/>
      <c r="BE112" s="1215"/>
      <c r="BF112" s="1215"/>
      <c r="BG112" s="1215"/>
      <c r="BH112" s="1215"/>
      <c r="BI112">
        <f>IF(AND(AS112=1,BC112="No",BD112="Yes",BE112="Yes",BF112="No",BH112="No"),0,IF(AND('Proposed Lighting'!AU112=2,AS112=1,BC112="Yes",BD112="Yes"),2,IF(AND('Proposed Lighting'!AU112=2,AS112=1,BC112="Yes",BE112="Yes"),2,IF(AND('Proposed Lighting'!AU112=2,AS112=1,BC112="Yes",BF112="Yes"),2,IF(AND('Proposed Lighting'!AU112=2,AS112=1,BC112="Yes",BH112="Yes"),2,IF(AND('Proposed Lighting'!AU112=2,AS112=1,BD112="Yes",BF112="Yes"),2,IF(AND('Proposed Lighting'!AU112=2,AS112=1,BD112="Yes",BH112="Yes"),2,IF(AND('Proposed Lighting'!AU112=3,AS112=1,BC112="Yes",BE112="Yes"),2,IF(AND('Proposed Lighting'!AU112=3,AS112=1,BC112="Yes",BF112="Yes"),2,0)))))))))</f>
        <v>0</v>
      </c>
      <c r="BJ112" s="1025">
        <f t="shared" si="23"/>
        <v>0</v>
      </c>
      <c r="BK112">
        <f>IF(AND('Proposed Lighting'!BC112=22,'Lighting Controls'!N112=1),0,IF(ISNUMBER(SEARCH("LED",G112)),1,0))</f>
        <v>0</v>
      </c>
    </row>
    <row r="113" spans="1:63" ht="34.5" customHeight="1">
      <c r="A113" s="917">
        <v>105</v>
      </c>
      <c r="B113" s="1828" t="str">
        <f>IF('Proposed Lighting'!B113="","",'Proposed Lighting'!B113)</f>
        <v/>
      </c>
      <c r="C113" s="1828"/>
      <c r="D113" s="1828"/>
      <c r="E113" s="1245">
        <f>'Proposed Lighting'!AA113</f>
        <v>0</v>
      </c>
      <c r="F113" s="1245">
        <f t="shared" si="16"/>
        <v>0</v>
      </c>
      <c r="G113" s="1830" t="str">
        <f>IF('Proposed Lighting'!T113="","",IF(ISNUMBER(SEARCH("Networked",'Proposed Lighting'!T113)),0,IF(ISNUMBER(SEARCH("Strategies",'Proposed Lighting'!T113)),0,IF(ISNUMBER(SEARCH("Removal",'Proposed Lighting'!T113)),0,'Proposed Lighting'!T113))))</f>
        <v/>
      </c>
      <c r="H113" s="1830"/>
      <c r="I113" s="1830"/>
      <c r="J113" s="1830"/>
      <c r="K113" s="1215"/>
      <c r="L113" s="1246">
        <f t="shared" si="17"/>
        <v>0</v>
      </c>
      <c r="M113" s="1224">
        <f t="shared" si="18"/>
        <v>0</v>
      </c>
      <c r="N113" s="1224">
        <f t="shared" si="19"/>
        <v>0</v>
      </c>
      <c r="O113" s="1825" t="str">
        <f>IF(G113=0,0,IF(ISNA('Proposed Lighting'!AT113),0,'Proposed Lighting'!AT113))</f>
        <v/>
      </c>
      <c r="P113" s="1825"/>
      <c r="Q113" s="1247"/>
      <c r="R113" s="1247"/>
      <c r="S113" s="1247"/>
      <c r="T113" s="1211"/>
      <c r="U113" s="1235">
        <f>IF(K113&gt;0.01,'Proposed Lighting'!CU113,0)</f>
        <v>0</v>
      </c>
      <c r="V113" s="1248">
        <f>IF('Proposed Lighting'!CF113=1,0,IF('Proposed Lighting'!AU113=2,0,IF(AND('Proposed Lighting'!AU113=3,'Proposed Lighting'!CF113=0),1,0)))</f>
        <v>0</v>
      </c>
      <c r="W113" s="1836"/>
      <c r="X113" s="1836"/>
      <c r="Y113" s="1836"/>
      <c r="Z113" s="1230" t="str">
        <f t="shared" si="13"/>
        <v/>
      </c>
      <c r="AA113" s="1230">
        <f t="shared" si="14"/>
        <v>0</v>
      </c>
      <c r="AB113" s="1230">
        <f>IF(Q113=0,0,IF(T113=0,0,IF(AA113=0,0,IF(AND(F113=3,V113=0),0,IF(T113=0,0,IF(K113&gt;'Proposed Lighting'!AA113,0,IF('Proposed Lighting'!EJ113&gt;0.01,(K113*O113)*'Proposed Lighting'!EJ113/1000,(K113*O113)*U113/1000)))))))</f>
        <v>0</v>
      </c>
      <c r="AC113" s="1230" t="str">
        <f t="shared" si="20"/>
        <v/>
      </c>
      <c r="AD113" s="1230">
        <f t="shared" si="15"/>
        <v>0</v>
      </c>
      <c r="AE113" s="1230">
        <f>IF(T113=0,0,IF(K113&gt;'Proposed Lighting'!AA113,0,IF(T113&gt;K113,0,IF(AND(AD113&gt;AA113,AA113&gt;0),0,IF(AND(F113&gt;1,W113&lt;0.01),0,IF('Proposed Lighting'!AU113&gt;'Lighting Controls'!F113,0,IF('Proposed Lighting'!AU113&lt;'Lighting Controls'!F113,0,IF(U113=0,0,Summary!AC416))))))))</f>
        <v>0</v>
      </c>
      <c r="AF113" s="1230">
        <f>IF(T113=0,0,IF(AE113=0,0,IF(K113&gt;'Proposed Lighting'!AA113,0,IF(AND(AD113&gt;AA113,AA113&gt;0),0,IF(U113=0,0,Summary!AD416)))))</f>
        <v>0</v>
      </c>
      <c r="AG113" s="1834">
        <f>IF('Proposed Lighting'!AU113=1,0,IF('Proposed Lighting'!CF113=1,0,T113*W113))</f>
        <v>0</v>
      </c>
      <c r="AH113" s="1834"/>
      <c r="AI113" s="1834"/>
      <c r="AJ113" s="1835">
        <f>IF(T113&lt;1,0,IF(K113&gt;'Proposed Lighting'!AA113,0,IF('Proposed Lighting'!CF113=1,0,IF('Proposed Lighting'!AU113=1,0,IF(T113&gt;K113,0,IF(AND(AD113&gt;AA113,AA113&gt;0),0,IF(AND(F113=2,'Proposed Lighting'!AU113=3),0,IF(AND(F113=3,'Proposed Lighting'!AU113=2),0,IF('Proposed Lighting'!CH113=100,0,IF(AND(F113&lt;3,V113=1,AM113=0),0,IF(AND(F113&gt;1,AF113&lt;1,AN113&lt;1),0,IF(AND(F113&gt;1,AE113&lt;0.69,AF113&lt;1,AN113&lt;1),0,IF(ISERROR(AB113-AC113),"",AB113-AC113)))))))))))))</f>
        <v>0</v>
      </c>
      <c r="AK113" s="1835"/>
      <c r="AL113" s="1835"/>
      <c r="AM113" s="1216">
        <f>IF(Q113=0,0,IF(T113=0,0,IF(T113&gt;K113,0,IF(AND(AS113&gt;0.01,BK113=0),0,IF(AND('Proposed Lighting'!DG113=0,'Lighting Controls'!Z113=0.35),0,IF(AND(T113&lt;=K113,AA113&gt;=AD113,'Proposed Lighting'!AU113=2),VLOOKUP(Q113,$AY$9:$AZ$15,2,FALSE),IF(AND(T113&lt;=K113,AA113&gt;=AD113,'Proposed Lighting'!AU113=3),VLOOKUP(Q113,$AY$17:$AZ$23,2,FALSE))))))))</f>
        <v>0</v>
      </c>
      <c r="AN113" s="1248">
        <f>IF(T113=0,0,IF(K113&gt;'Proposed Lighting'!AA113,0,IF(AE113=0,0,IF(AND(AD113&gt;AA113,AA113&gt;0),0,IF(U113=0,0,Summary!AE416)))))</f>
        <v>0</v>
      </c>
      <c r="AO113" s="1248">
        <f t="shared" si="24"/>
        <v>0</v>
      </c>
      <c r="AP113" s="1249">
        <f>IF('Proposed Lighting'!AU113=1,0,IF(K113=0,0,IF(T113&gt;K113,0,IF(G113=0,0,IF(K113&gt;'Proposed Lighting'!AA113,0,IF(AND(AD113&gt;AA113,AA113&gt;0),0,IF(AND('Proposed Lighting'!AU113=3,AM113=0.5),0,IF(AND(AM113&gt;0,AS113&gt;0,BI113&lt;2),0,IF('Proposed Lighting'!CH113=100,0,IF(AV113=1,0,IF(AND(AM113=35,M113+N113&lt;2),0,AM113)))))))))))</f>
        <v>0</v>
      </c>
      <c r="AQ113" s="1249" t="str">
        <f>IFERROR(ROUND(IF(Q113="","",IF('Proposed Lighting'!$X$4=0,0,IF(AND(AM113=35,M113+N113&lt;2),0,IF(T113&gt;K113,0,IF('Proposed Lighting'!AU113=1,0,IF(AJ113=0,0,IF(AND('Proposed Lighting'!AU113=3,AM113=0.5),0,IF(AND(AD113=75,AP113=0,AV113=0),0,IF(AP113&gt;0.01,AP113*T113,IF(AND(F113&gt;1,W113&lt;0.01),0,IF(AND(F113&gt;1,AO113=0),0,IF(AND('Proposed Lighting'!BC113=22,AV113=0),0,IF(AND(AM113&gt;0,AS113&gt;0,BI113&lt;2),0,IF(AND(AS113&gt;0.01,BK113=0),0,IF(AND(AO113=TRUE,AV113=1,F113=3),MIN(AJ113*0.08,L113),IF(AP113&gt;0.01,AP113*T113,IF(AND(AO113=TRUE,AV113=1,F113=2),MIN(AJ113*0.1,L113)))))))))))))))))),2),"")</f>
        <v/>
      </c>
      <c r="AR113" s="1250">
        <f>IF(Q113=0,0,IF('Proposed Lighting'!$X$4=0,0,IF(AND(AM113&gt;0.01,AQ113&gt;0.01),0,IF('Proposed Lighting'!AU113=1,"Missing Interior or Exterior Selection",IF('Proposed Lighting'!CF113=1,"Selection does not match",IF(K113&gt;'Proposed Lighting'!AA113,"Quantity controlled does not match proposed lighting quantity",IF(T113&gt;K113,"Quantity of sensors exceeds proposed lighting quantity",IF(AND(F113&gt;1,'Proposed Lighting'!AU113&lt;&gt;F113),"Selection does not match",IF(AND(AD113&gt;AA113,AA113&gt;0),"Does not meet minimum connected load",IF(AND(O113&gt;0,AS113&gt;0,BK113&gt;0,'Proposed Lighting'!CH113=0),"Select Control Strategies",IF(AND(AC113&gt;0.1,AJ113=0,AQ113=0),"Does not meet incentive criteria",0)))))))))))</f>
        <v>0</v>
      </c>
      <c r="AS113" s="1224">
        <f>IF('Proposed Lighting'!CH113=100,0,IF(ISNUMBER(SEARCH("multiple",Q113)),1,0))</f>
        <v>0</v>
      </c>
      <c r="AT113" s="451">
        <f t="shared" si="21"/>
        <v>0</v>
      </c>
      <c r="AU113" s="451">
        <f t="shared" si="22"/>
        <v>0</v>
      </c>
      <c r="AV113" s="1222">
        <f>IF(ISNUMBER(SEARCH("Networked",'Proposed Lighting'!T113)),0,IF(ISNUMBER(SEARCH("Strategies",'Proposed Lighting'!T113)),0,IF(ISNUMBER(SEARCH("Removal",'Proposed Lighting'!T113)),0,IF(ISNUMBER(SEARCH("non-standard",Q113)),1,0))))</f>
        <v>0</v>
      </c>
      <c r="AW113" s="451">
        <f t="shared" si="25"/>
        <v>0</v>
      </c>
      <c r="AX113" s="451"/>
      <c r="AY113" s="451"/>
      <c r="AZ113" s="451"/>
      <c r="BA113" s="451"/>
      <c r="BB113" s="451"/>
      <c r="BC113" s="1215"/>
      <c r="BD113" s="1215"/>
      <c r="BE113" s="1215"/>
      <c r="BF113" s="1215"/>
      <c r="BG113" s="1215"/>
      <c r="BH113" s="1215"/>
      <c r="BI113">
        <f>IF(AND(AS113=1,BC113="No",BD113="Yes",BE113="Yes",BF113="No",BH113="No"),0,IF(AND('Proposed Lighting'!AU113=2,AS113=1,BC113="Yes",BD113="Yes"),2,IF(AND('Proposed Lighting'!AU113=2,AS113=1,BC113="Yes",BE113="Yes"),2,IF(AND('Proposed Lighting'!AU113=2,AS113=1,BC113="Yes",BF113="Yes"),2,IF(AND('Proposed Lighting'!AU113=2,AS113=1,BC113="Yes",BH113="Yes"),2,IF(AND('Proposed Lighting'!AU113=2,AS113=1,BD113="Yes",BF113="Yes"),2,IF(AND('Proposed Lighting'!AU113=2,AS113=1,BD113="Yes",BH113="Yes"),2,IF(AND('Proposed Lighting'!AU113=3,AS113=1,BC113="Yes",BE113="Yes"),2,IF(AND('Proposed Lighting'!AU113=3,AS113=1,BC113="Yes",BF113="Yes"),2,0)))))))))</f>
        <v>0</v>
      </c>
      <c r="BJ113" s="1025">
        <f t="shared" si="23"/>
        <v>0</v>
      </c>
      <c r="BK113">
        <f>IF(AND('Proposed Lighting'!BC113=22,'Lighting Controls'!N113=1),0,IF(ISNUMBER(SEARCH("LED",G113)),1,0))</f>
        <v>0</v>
      </c>
    </row>
    <row r="114" spans="1:63" ht="34.5" customHeight="1">
      <c r="A114" s="917">
        <v>106</v>
      </c>
      <c r="B114" s="1828" t="str">
        <f>IF('Proposed Lighting'!B114="","",'Proposed Lighting'!B114)</f>
        <v/>
      </c>
      <c r="C114" s="1828"/>
      <c r="D114" s="1828"/>
      <c r="E114" s="1245">
        <f>'Proposed Lighting'!AA114</f>
        <v>0</v>
      </c>
      <c r="F114" s="1245">
        <f t="shared" si="16"/>
        <v>0</v>
      </c>
      <c r="G114" s="1830" t="str">
        <f>IF('Proposed Lighting'!T114="","",IF(ISNUMBER(SEARCH("Networked",'Proposed Lighting'!T114)),0,IF(ISNUMBER(SEARCH("Strategies",'Proposed Lighting'!T114)),0,IF(ISNUMBER(SEARCH("Removal",'Proposed Lighting'!T114)),0,'Proposed Lighting'!T114))))</f>
        <v/>
      </c>
      <c r="H114" s="1830"/>
      <c r="I114" s="1830"/>
      <c r="J114" s="1830"/>
      <c r="K114" s="1215"/>
      <c r="L114" s="1246">
        <f t="shared" si="17"/>
        <v>0</v>
      </c>
      <c r="M114" s="1224">
        <f t="shared" si="18"/>
        <v>0</v>
      </c>
      <c r="N114" s="1224">
        <f t="shared" si="19"/>
        <v>0</v>
      </c>
      <c r="O114" s="1825" t="str">
        <f>IF(G114=0,0,IF(ISNA('Proposed Lighting'!AT114),0,'Proposed Lighting'!AT114))</f>
        <v/>
      </c>
      <c r="P114" s="1825"/>
      <c r="Q114" s="1247"/>
      <c r="R114" s="1247"/>
      <c r="S114" s="1247"/>
      <c r="T114" s="1211"/>
      <c r="U114" s="1235">
        <f>IF(K114&gt;0.01,'Proposed Lighting'!CU114,0)</f>
        <v>0</v>
      </c>
      <c r="V114" s="1248">
        <f>IF('Proposed Lighting'!CF114=1,0,IF('Proposed Lighting'!AU114=2,0,IF(AND('Proposed Lighting'!AU114=3,'Proposed Lighting'!CF114=0),1,0)))</f>
        <v>0</v>
      </c>
      <c r="W114" s="1836"/>
      <c r="X114" s="1836"/>
      <c r="Y114" s="1836"/>
      <c r="Z114" s="1230" t="str">
        <f t="shared" si="13"/>
        <v/>
      </c>
      <c r="AA114" s="1230">
        <f t="shared" si="14"/>
        <v>0</v>
      </c>
      <c r="AB114" s="1230">
        <f>IF(Q114=0,0,IF(T114=0,0,IF(AA114=0,0,IF(AND(F114=3,V114=0),0,IF(T114=0,0,IF(K114&gt;'Proposed Lighting'!AA114,0,IF('Proposed Lighting'!EJ114&gt;0.01,(K114*O114)*'Proposed Lighting'!EJ114/1000,(K114*O114)*U114/1000)))))))</f>
        <v>0</v>
      </c>
      <c r="AC114" s="1230" t="str">
        <f t="shared" si="20"/>
        <v/>
      </c>
      <c r="AD114" s="1230">
        <f t="shared" si="15"/>
        <v>0</v>
      </c>
      <c r="AE114" s="1230">
        <f>IF(T114=0,0,IF(K114&gt;'Proposed Lighting'!AA114,0,IF(T114&gt;K114,0,IF(AND(AD114&gt;AA114,AA114&gt;0),0,IF(AND(F114&gt;1,W114&lt;0.01),0,IF('Proposed Lighting'!AU114&gt;'Lighting Controls'!F114,0,IF('Proposed Lighting'!AU114&lt;'Lighting Controls'!F114,0,IF(U114=0,0,Summary!AC417))))))))</f>
        <v>0</v>
      </c>
      <c r="AF114" s="1230">
        <f>IF(T114=0,0,IF(AE114=0,0,IF(K114&gt;'Proposed Lighting'!AA114,0,IF(AND(AD114&gt;AA114,AA114&gt;0),0,IF(U114=0,0,Summary!AD417)))))</f>
        <v>0</v>
      </c>
      <c r="AG114" s="1834">
        <f>IF('Proposed Lighting'!AU114=1,0,IF('Proposed Lighting'!CF114=1,0,T114*W114))</f>
        <v>0</v>
      </c>
      <c r="AH114" s="1834"/>
      <c r="AI114" s="1834"/>
      <c r="AJ114" s="1835">
        <f>IF(T114&lt;1,0,IF(K114&gt;'Proposed Lighting'!AA114,0,IF('Proposed Lighting'!CF114=1,0,IF('Proposed Lighting'!AU114=1,0,IF(T114&gt;K114,0,IF(AND(AD114&gt;AA114,AA114&gt;0),0,IF(AND(F114=2,'Proposed Lighting'!AU114=3),0,IF(AND(F114=3,'Proposed Lighting'!AU114=2),0,IF('Proposed Lighting'!CH114=100,0,IF(AND(F114&lt;3,V114=1,AM114=0),0,IF(AND(F114&gt;1,AF114&lt;1,AN114&lt;1),0,IF(AND(F114&gt;1,AE114&lt;0.69,AF114&lt;1,AN114&lt;1),0,IF(ISERROR(AB114-AC114),"",AB114-AC114)))))))))))))</f>
        <v>0</v>
      </c>
      <c r="AK114" s="1835"/>
      <c r="AL114" s="1835"/>
      <c r="AM114" s="1216">
        <f>IF(Q114=0,0,IF(T114=0,0,IF(T114&gt;K114,0,IF(AND(AS114&gt;0.01,BK114=0),0,IF(AND('Proposed Lighting'!DG114=0,'Lighting Controls'!Z114=0.35),0,IF(AND(T114&lt;=K114,AA114&gt;=AD114,'Proposed Lighting'!AU114=2),VLOOKUP(Q114,$AY$9:$AZ$15,2,FALSE),IF(AND(T114&lt;=K114,AA114&gt;=AD114,'Proposed Lighting'!AU114=3),VLOOKUP(Q114,$AY$17:$AZ$23,2,FALSE))))))))</f>
        <v>0</v>
      </c>
      <c r="AN114" s="1248">
        <f>IF(T114=0,0,IF(K114&gt;'Proposed Lighting'!AA114,0,IF(AE114=0,0,IF(AND(AD114&gt;AA114,AA114&gt;0),0,IF(U114=0,0,Summary!AE417)))))</f>
        <v>0</v>
      </c>
      <c r="AO114" s="1248">
        <f t="shared" si="24"/>
        <v>0</v>
      </c>
      <c r="AP114" s="1249">
        <f>IF('Proposed Lighting'!AU114=1,0,IF(K114=0,0,IF(T114&gt;K114,0,IF(G114=0,0,IF(K114&gt;'Proposed Lighting'!AA114,0,IF(AND(AD114&gt;AA114,AA114&gt;0),0,IF(AND('Proposed Lighting'!AU114=3,AM114=0.5),0,IF(AND(AM114&gt;0,AS114&gt;0,BI114&lt;2),0,IF('Proposed Lighting'!CH114=100,0,IF(AV114=1,0,IF(AND(AM114=35,M114+N114&lt;2),0,AM114)))))))))))</f>
        <v>0</v>
      </c>
      <c r="AQ114" s="1249" t="str">
        <f>IFERROR(ROUND(IF(Q114="","",IF('Proposed Lighting'!$X$4=0,0,IF(AND(AM114=35,M114+N114&lt;2),0,IF(T114&gt;K114,0,IF('Proposed Lighting'!AU114=1,0,IF(AJ114=0,0,IF(AND('Proposed Lighting'!AU114=3,AM114=0.5),0,IF(AND(AD114=75,AP114=0,AV114=0),0,IF(AP114&gt;0.01,AP114*T114,IF(AND(F114&gt;1,W114&lt;0.01),0,IF(AND(F114&gt;1,AO114=0),0,IF(AND('Proposed Lighting'!BC114=22,AV114=0),0,IF(AND(AM114&gt;0,AS114&gt;0,BI114&lt;2),0,IF(AND(AS114&gt;0.01,BK114=0),0,IF(AND(AO114=TRUE,AV114=1,F114=3),MIN(AJ114*0.08,L114),IF(AP114&gt;0.01,AP114*T114,IF(AND(AO114=TRUE,AV114=1,F114=2),MIN(AJ114*0.1,L114)))))))))))))))))),2),"")</f>
        <v/>
      </c>
      <c r="AR114" s="1250">
        <f>IF(Q114=0,0,IF('Proposed Lighting'!$X$4=0,0,IF(AND(AM114&gt;0.01,AQ114&gt;0.01),0,IF('Proposed Lighting'!AU114=1,"Missing Interior or Exterior Selection",IF('Proposed Lighting'!CF114=1,"Selection does not match",IF(K114&gt;'Proposed Lighting'!AA114,"Quantity controlled does not match proposed lighting quantity",IF(T114&gt;K114,"Quantity of sensors exceeds proposed lighting quantity",IF(AND(F114&gt;1,'Proposed Lighting'!AU114&lt;&gt;F114),"Selection does not match",IF(AND(AD114&gt;AA114,AA114&gt;0),"Does not meet minimum connected load",IF(AND(O114&gt;0,AS114&gt;0,BK114&gt;0,'Proposed Lighting'!CH114=0),"Select Control Strategies",IF(AND(AC114&gt;0.1,AJ114=0,AQ114=0),"Does not meet incentive criteria",0)))))))))))</f>
        <v>0</v>
      </c>
      <c r="AS114" s="1224">
        <f>IF('Proposed Lighting'!CH114=100,0,IF(ISNUMBER(SEARCH("multiple",Q114)),1,0))</f>
        <v>0</v>
      </c>
      <c r="AT114" s="451">
        <f t="shared" si="21"/>
        <v>0</v>
      </c>
      <c r="AU114" s="451">
        <f t="shared" si="22"/>
        <v>0</v>
      </c>
      <c r="AV114" s="1222">
        <f>IF(ISNUMBER(SEARCH("Networked",'Proposed Lighting'!T114)),0,IF(ISNUMBER(SEARCH("Strategies",'Proposed Lighting'!T114)),0,IF(ISNUMBER(SEARCH("Removal",'Proposed Lighting'!T114)),0,IF(ISNUMBER(SEARCH("non-standard",Q114)),1,0))))</f>
        <v>0</v>
      </c>
      <c r="AW114" s="451">
        <f t="shared" si="25"/>
        <v>0</v>
      </c>
      <c r="AX114" s="451"/>
      <c r="AY114" s="451"/>
      <c r="AZ114" s="451"/>
      <c r="BA114" s="451"/>
      <c r="BB114" s="451"/>
      <c r="BC114" s="1215"/>
      <c r="BD114" s="1215"/>
      <c r="BE114" s="1215"/>
      <c r="BF114" s="1215"/>
      <c r="BG114" s="1215"/>
      <c r="BH114" s="1215"/>
      <c r="BI114">
        <f>IF(AND(AS114=1,BC114="No",BD114="Yes",BE114="Yes",BF114="No",BH114="No"),0,IF(AND('Proposed Lighting'!AU114=2,AS114=1,BC114="Yes",BD114="Yes"),2,IF(AND('Proposed Lighting'!AU114=2,AS114=1,BC114="Yes",BE114="Yes"),2,IF(AND('Proposed Lighting'!AU114=2,AS114=1,BC114="Yes",BF114="Yes"),2,IF(AND('Proposed Lighting'!AU114=2,AS114=1,BC114="Yes",BH114="Yes"),2,IF(AND('Proposed Lighting'!AU114=2,AS114=1,BD114="Yes",BF114="Yes"),2,IF(AND('Proposed Lighting'!AU114=2,AS114=1,BD114="Yes",BH114="Yes"),2,IF(AND('Proposed Lighting'!AU114=3,AS114=1,BC114="Yes",BE114="Yes"),2,IF(AND('Proposed Lighting'!AU114=3,AS114=1,BC114="Yes",BF114="Yes"),2,0)))))))))</f>
        <v>0</v>
      </c>
      <c r="BJ114" s="1025">
        <f t="shared" si="23"/>
        <v>0</v>
      </c>
      <c r="BK114">
        <f>IF(AND('Proposed Lighting'!BC114=22,'Lighting Controls'!N114=1),0,IF(ISNUMBER(SEARCH("LED",G114)),1,0))</f>
        <v>0</v>
      </c>
    </row>
    <row r="115" spans="1:63" ht="34.5" customHeight="1">
      <c r="A115" s="917">
        <v>107</v>
      </c>
      <c r="B115" s="1828" t="str">
        <f>IF('Proposed Lighting'!B115="","",'Proposed Lighting'!B115)</f>
        <v/>
      </c>
      <c r="C115" s="1828"/>
      <c r="D115" s="1828"/>
      <c r="E115" s="1245">
        <f>'Proposed Lighting'!AA115</f>
        <v>0</v>
      </c>
      <c r="F115" s="1245">
        <f t="shared" si="16"/>
        <v>0</v>
      </c>
      <c r="G115" s="1830" t="str">
        <f>IF('Proposed Lighting'!T115="","",IF(ISNUMBER(SEARCH("Networked",'Proposed Lighting'!T115)),0,IF(ISNUMBER(SEARCH("Strategies",'Proposed Lighting'!T115)),0,IF(ISNUMBER(SEARCH("Removal",'Proposed Lighting'!T115)),0,'Proposed Lighting'!T115))))</f>
        <v/>
      </c>
      <c r="H115" s="1830"/>
      <c r="I115" s="1830"/>
      <c r="J115" s="1830"/>
      <c r="K115" s="1215"/>
      <c r="L115" s="1246">
        <f t="shared" si="17"/>
        <v>0</v>
      </c>
      <c r="M115" s="1224">
        <f t="shared" si="18"/>
        <v>0</v>
      </c>
      <c r="N115" s="1224">
        <f t="shared" si="19"/>
        <v>0</v>
      </c>
      <c r="O115" s="1825" t="str">
        <f>IF(G115=0,0,IF(ISNA('Proposed Lighting'!AT115),0,'Proposed Lighting'!AT115))</f>
        <v/>
      </c>
      <c r="P115" s="1825"/>
      <c r="Q115" s="1247"/>
      <c r="R115" s="1247"/>
      <c r="S115" s="1247"/>
      <c r="T115" s="1211"/>
      <c r="U115" s="1235">
        <f>IF(K115&gt;0.01,'Proposed Lighting'!CU115,0)</f>
        <v>0</v>
      </c>
      <c r="V115" s="1248">
        <f>IF('Proposed Lighting'!CF115=1,0,IF('Proposed Lighting'!AU115=2,0,IF(AND('Proposed Lighting'!AU115=3,'Proposed Lighting'!CF115=0),1,0)))</f>
        <v>0</v>
      </c>
      <c r="W115" s="1836"/>
      <c r="X115" s="1836"/>
      <c r="Y115" s="1836"/>
      <c r="Z115" s="1230" t="str">
        <f t="shared" si="13"/>
        <v/>
      </c>
      <c r="AA115" s="1230">
        <f t="shared" si="14"/>
        <v>0</v>
      </c>
      <c r="AB115" s="1230">
        <f>IF(Q115=0,0,IF(T115=0,0,IF(AA115=0,0,IF(AND(F115=3,V115=0),0,IF(T115=0,0,IF(K115&gt;'Proposed Lighting'!AA115,0,IF('Proposed Lighting'!EJ115&gt;0.01,(K115*O115)*'Proposed Lighting'!EJ115/1000,(K115*O115)*U115/1000)))))))</f>
        <v>0</v>
      </c>
      <c r="AC115" s="1230" t="str">
        <f t="shared" si="20"/>
        <v/>
      </c>
      <c r="AD115" s="1230">
        <f t="shared" si="15"/>
        <v>0</v>
      </c>
      <c r="AE115" s="1230">
        <f>IF(T115=0,0,IF(K115&gt;'Proposed Lighting'!AA115,0,IF(T115&gt;K115,0,IF(AND(AD115&gt;AA115,AA115&gt;0),0,IF(AND(F115&gt;1,W115&lt;0.01),0,IF('Proposed Lighting'!AU115&gt;'Lighting Controls'!F115,0,IF('Proposed Lighting'!AU115&lt;'Lighting Controls'!F115,0,IF(U115=0,0,Summary!AC418))))))))</f>
        <v>0</v>
      </c>
      <c r="AF115" s="1230">
        <f>IF(T115=0,0,IF(AE115=0,0,IF(K115&gt;'Proposed Lighting'!AA115,0,IF(AND(AD115&gt;AA115,AA115&gt;0),0,IF(U115=0,0,Summary!AD418)))))</f>
        <v>0</v>
      </c>
      <c r="AG115" s="1834">
        <f>IF('Proposed Lighting'!AU115=1,0,IF('Proposed Lighting'!CF115=1,0,T115*W115))</f>
        <v>0</v>
      </c>
      <c r="AH115" s="1834"/>
      <c r="AI115" s="1834"/>
      <c r="AJ115" s="1835">
        <f>IF(T115&lt;1,0,IF(K115&gt;'Proposed Lighting'!AA115,0,IF('Proposed Lighting'!CF115=1,0,IF('Proposed Lighting'!AU115=1,0,IF(T115&gt;K115,0,IF(AND(AD115&gt;AA115,AA115&gt;0),0,IF(AND(F115=2,'Proposed Lighting'!AU115=3),0,IF(AND(F115=3,'Proposed Lighting'!AU115=2),0,IF('Proposed Lighting'!CH115=100,0,IF(AND(F115&lt;3,V115=1,AM115=0),0,IF(AND(F115&gt;1,AF115&lt;1,AN115&lt;1),0,IF(AND(F115&gt;1,AE115&lt;0.69,AF115&lt;1,AN115&lt;1),0,IF(ISERROR(AB115-AC115),"",AB115-AC115)))))))))))))</f>
        <v>0</v>
      </c>
      <c r="AK115" s="1835"/>
      <c r="AL115" s="1835"/>
      <c r="AM115" s="1216">
        <f>IF(Q115=0,0,IF(T115=0,0,IF(T115&gt;K115,0,IF(AND(AS115&gt;0.01,BK115=0),0,IF(AND('Proposed Lighting'!DG115=0,'Lighting Controls'!Z115=0.35),0,IF(AND(T115&lt;=K115,AA115&gt;=AD115,'Proposed Lighting'!AU115=2),VLOOKUP(Q115,$AY$9:$AZ$15,2,FALSE),IF(AND(T115&lt;=K115,AA115&gt;=AD115,'Proposed Lighting'!AU115=3),VLOOKUP(Q115,$AY$17:$AZ$23,2,FALSE))))))))</f>
        <v>0</v>
      </c>
      <c r="AN115" s="1248">
        <f>IF(T115=0,0,IF(K115&gt;'Proposed Lighting'!AA115,0,IF(AE115=0,0,IF(AND(AD115&gt;AA115,AA115&gt;0),0,IF(U115=0,0,Summary!AE418)))))</f>
        <v>0</v>
      </c>
      <c r="AO115" s="1248">
        <f t="shared" si="24"/>
        <v>0</v>
      </c>
      <c r="AP115" s="1249">
        <f>IF('Proposed Lighting'!AU115=1,0,IF(K115=0,0,IF(T115&gt;K115,0,IF(G115=0,0,IF(K115&gt;'Proposed Lighting'!AA115,0,IF(AND(AD115&gt;AA115,AA115&gt;0),0,IF(AND('Proposed Lighting'!AU115=3,AM115=0.5),0,IF(AND(AM115&gt;0,AS115&gt;0,BI115&lt;2),0,IF('Proposed Lighting'!CH115=100,0,IF(AV115=1,0,IF(AND(AM115=35,M115+N115&lt;2),0,AM115)))))))))))</f>
        <v>0</v>
      </c>
      <c r="AQ115" s="1249" t="str">
        <f>IFERROR(ROUND(IF(Q115="","",IF('Proposed Lighting'!$X$4=0,0,IF(AND(AM115=35,M115+N115&lt;2),0,IF(T115&gt;K115,0,IF('Proposed Lighting'!AU115=1,0,IF(AJ115=0,0,IF(AND('Proposed Lighting'!AU115=3,AM115=0.5),0,IF(AND(AD115=75,AP115=0,AV115=0),0,IF(AP115&gt;0.01,AP115*T115,IF(AND(F115&gt;1,W115&lt;0.01),0,IF(AND(F115&gt;1,AO115=0),0,IF(AND('Proposed Lighting'!BC115=22,AV115=0),0,IF(AND(AM115&gt;0,AS115&gt;0,BI115&lt;2),0,IF(AND(AS115&gt;0.01,BK115=0),0,IF(AND(AO115=TRUE,AV115=1,F115=3),MIN(AJ115*0.08,L115),IF(AP115&gt;0.01,AP115*T115,IF(AND(AO115=TRUE,AV115=1,F115=2),MIN(AJ115*0.1,L115)))))))))))))))))),2),"")</f>
        <v/>
      </c>
      <c r="AR115" s="1250">
        <f>IF(Q115=0,0,IF('Proposed Lighting'!$X$4=0,0,IF(AND(AM115&gt;0.01,AQ115&gt;0.01),0,IF('Proposed Lighting'!AU115=1,"Missing Interior or Exterior Selection",IF('Proposed Lighting'!CF115=1,"Selection does not match",IF(K115&gt;'Proposed Lighting'!AA115,"Quantity controlled does not match proposed lighting quantity",IF(T115&gt;K115,"Quantity of sensors exceeds proposed lighting quantity",IF(AND(F115&gt;1,'Proposed Lighting'!AU115&lt;&gt;F115),"Selection does not match",IF(AND(AD115&gt;AA115,AA115&gt;0),"Does not meet minimum connected load",IF(AND(O115&gt;0,AS115&gt;0,BK115&gt;0,'Proposed Lighting'!CH115=0),"Select Control Strategies",IF(AND(AC115&gt;0.1,AJ115=0,AQ115=0),"Does not meet incentive criteria",0)))))))))))</f>
        <v>0</v>
      </c>
      <c r="AS115" s="1224">
        <f>IF('Proposed Lighting'!CH115=100,0,IF(ISNUMBER(SEARCH("multiple",Q115)),1,0))</f>
        <v>0</v>
      </c>
      <c r="AT115" s="451">
        <f t="shared" si="21"/>
        <v>0</v>
      </c>
      <c r="AU115" s="451">
        <f t="shared" si="22"/>
        <v>0</v>
      </c>
      <c r="AV115" s="1222">
        <f>IF(ISNUMBER(SEARCH("Networked",'Proposed Lighting'!T115)),0,IF(ISNUMBER(SEARCH("Strategies",'Proposed Lighting'!T115)),0,IF(ISNUMBER(SEARCH("Removal",'Proposed Lighting'!T115)),0,IF(ISNUMBER(SEARCH("non-standard",Q115)),1,0))))</f>
        <v>0</v>
      </c>
      <c r="AW115" s="451">
        <f t="shared" si="25"/>
        <v>0</v>
      </c>
      <c r="AX115" s="451"/>
      <c r="AY115" s="451"/>
      <c r="AZ115" s="451"/>
      <c r="BA115" s="451"/>
      <c r="BB115" s="451"/>
      <c r="BC115" s="1215"/>
      <c r="BD115" s="1215"/>
      <c r="BE115" s="1215"/>
      <c r="BF115" s="1215"/>
      <c r="BG115" s="1215"/>
      <c r="BH115" s="1215"/>
      <c r="BI115">
        <f>IF(AND(AS115=1,BC115="No",BD115="Yes",BE115="Yes",BF115="No",BH115="No"),0,IF(AND('Proposed Lighting'!AU115=2,AS115=1,BC115="Yes",BD115="Yes"),2,IF(AND('Proposed Lighting'!AU115=2,AS115=1,BC115="Yes",BE115="Yes"),2,IF(AND('Proposed Lighting'!AU115=2,AS115=1,BC115="Yes",BF115="Yes"),2,IF(AND('Proposed Lighting'!AU115=2,AS115=1,BC115="Yes",BH115="Yes"),2,IF(AND('Proposed Lighting'!AU115=2,AS115=1,BD115="Yes",BF115="Yes"),2,IF(AND('Proposed Lighting'!AU115=2,AS115=1,BD115="Yes",BH115="Yes"),2,IF(AND('Proposed Lighting'!AU115=3,AS115=1,BC115="Yes",BE115="Yes"),2,IF(AND('Proposed Lighting'!AU115=3,AS115=1,BC115="Yes",BF115="Yes"),2,0)))))))))</f>
        <v>0</v>
      </c>
      <c r="BJ115" s="1025">
        <f t="shared" si="23"/>
        <v>0</v>
      </c>
      <c r="BK115">
        <f>IF(AND('Proposed Lighting'!BC115=22,'Lighting Controls'!N115=1),0,IF(ISNUMBER(SEARCH("LED",G115)),1,0))</f>
        <v>0</v>
      </c>
    </row>
    <row r="116" spans="1:63" ht="34.5" customHeight="1">
      <c r="A116" s="917">
        <v>108</v>
      </c>
      <c r="B116" s="1828" t="str">
        <f>IF('Proposed Lighting'!B116="","",'Proposed Lighting'!B116)</f>
        <v/>
      </c>
      <c r="C116" s="1828"/>
      <c r="D116" s="1828"/>
      <c r="E116" s="1245">
        <f>'Proposed Lighting'!AA116</f>
        <v>0</v>
      </c>
      <c r="F116" s="1245">
        <f t="shared" si="16"/>
        <v>0</v>
      </c>
      <c r="G116" s="1830" t="str">
        <f>IF('Proposed Lighting'!T116="","",IF(ISNUMBER(SEARCH("Networked",'Proposed Lighting'!T116)),0,IF(ISNUMBER(SEARCH("Strategies",'Proposed Lighting'!T116)),0,IF(ISNUMBER(SEARCH("Removal",'Proposed Lighting'!T116)),0,'Proposed Lighting'!T116))))</f>
        <v/>
      </c>
      <c r="H116" s="1830"/>
      <c r="I116" s="1830"/>
      <c r="J116" s="1830"/>
      <c r="K116" s="1215"/>
      <c r="L116" s="1246">
        <f t="shared" si="17"/>
        <v>0</v>
      </c>
      <c r="M116" s="1224">
        <f t="shared" si="18"/>
        <v>0</v>
      </c>
      <c r="N116" s="1224">
        <f t="shared" si="19"/>
        <v>0</v>
      </c>
      <c r="O116" s="1825" t="str">
        <f>IF(G116=0,0,IF(ISNA('Proposed Lighting'!AT116),0,'Proposed Lighting'!AT116))</f>
        <v/>
      </c>
      <c r="P116" s="1825"/>
      <c r="Q116" s="1247"/>
      <c r="R116" s="1247"/>
      <c r="S116" s="1247"/>
      <c r="T116" s="1211"/>
      <c r="U116" s="1235">
        <f>IF(K116&gt;0.01,'Proposed Lighting'!CU116,0)</f>
        <v>0</v>
      </c>
      <c r="V116" s="1248">
        <f>IF('Proposed Lighting'!CF116=1,0,IF('Proposed Lighting'!AU116=2,0,IF(AND('Proposed Lighting'!AU116=3,'Proposed Lighting'!CF116=0),1,0)))</f>
        <v>0</v>
      </c>
      <c r="W116" s="1836"/>
      <c r="X116" s="1836"/>
      <c r="Y116" s="1836"/>
      <c r="Z116" s="1230" t="str">
        <f t="shared" si="13"/>
        <v/>
      </c>
      <c r="AA116" s="1230">
        <f t="shared" si="14"/>
        <v>0</v>
      </c>
      <c r="AB116" s="1230">
        <f>IF(Q116=0,0,IF(T116=0,0,IF(AA116=0,0,IF(AND(F116=3,V116=0),0,IF(T116=0,0,IF(K116&gt;'Proposed Lighting'!AA116,0,IF('Proposed Lighting'!EJ116&gt;0.01,(K116*O116)*'Proposed Lighting'!EJ116/1000,(K116*O116)*U116/1000)))))))</f>
        <v>0</v>
      </c>
      <c r="AC116" s="1230" t="str">
        <f t="shared" si="20"/>
        <v/>
      </c>
      <c r="AD116" s="1230">
        <f t="shared" si="15"/>
        <v>0</v>
      </c>
      <c r="AE116" s="1230">
        <f>IF(T116=0,0,IF(K116&gt;'Proposed Lighting'!AA116,0,IF(T116&gt;K116,0,IF(AND(AD116&gt;AA116,AA116&gt;0),0,IF(AND(F116&gt;1,W116&lt;0.01),0,IF('Proposed Lighting'!AU116&gt;'Lighting Controls'!F116,0,IF('Proposed Lighting'!AU116&lt;'Lighting Controls'!F116,0,IF(U116=0,0,Summary!AC419))))))))</f>
        <v>0</v>
      </c>
      <c r="AF116" s="1230">
        <f>IF(T116=0,0,IF(AE116=0,0,IF(K116&gt;'Proposed Lighting'!AA116,0,IF(AND(AD116&gt;AA116,AA116&gt;0),0,IF(U116=0,0,Summary!AD419)))))</f>
        <v>0</v>
      </c>
      <c r="AG116" s="1834">
        <f>IF('Proposed Lighting'!AU116=1,0,IF('Proposed Lighting'!CF116=1,0,T116*W116))</f>
        <v>0</v>
      </c>
      <c r="AH116" s="1834"/>
      <c r="AI116" s="1834"/>
      <c r="AJ116" s="1835">
        <f>IF(T116&lt;1,0,IF(K116&gt;'Proposed Lighting'!AA116,0,IF('Proposed Lighting'!CF116=1,0,IF('Proposed Lighting'!AU116=1,0,IF(T116&gt;K116,0,IF(AND(AD116&gt;AA116,AA116&gt;0),0,IF(AND(F116=2,'Proposed Lighting'!AU116=3),0,IF(AND(F116=3,'Proposed Lighting'!AU116=2),0,IF('Proposed Lighting'!CH116=100,0,IF(AND(F116&lt;3,V116=1,AM116=0),0,IF(AND(F116&gt;1,AF116&lt;1,AN116&lt;1),0,IF(AND(F116&gt;1,AE116&lt;0.69,AF116&lt;1,AN116&lt;1),0,IF(ISERROR(AB116-AC116),"",AB116-AC116)))))))))))))</f>
        <v>0</v>
      </c>
      <c r="AK116" s="1835"/>
      <c r="AL116" s="1835"/>
      <c r="AM116" s="1216">
        <f>IF(Q116=0,0,IF(T116=0,0,IF(T116&gt;K116,0,IF(AND(AS116&gt;0.01,BK116=0),0,IF(AND('Proposed Lighting'!DG116=0,'Lighting Controls'!Z116=0.35),0,IF(AND(T116&lt;=K116,AA116&gt;=AD116,'Proposed Lighting'!AU116=2),VLOOKUP(Q116,$AY$9:$AZ$15,2,FALSE),IF(AND(T116&lt;=K116,AA116&gt;=AD116,'Proposed Lighting'!AU116=3),VLOOKUP(Q116,$AY$17:$AZ$23,2,FALSE))))))))</f>
        <v>0</v>
      </c>
      <c r="AN116" s="1248">
        <f>IF(T116=0,0,IF(K116&gt;'Proposed Lighting'!AA116,0,IF(AE116=0,0,IF(AND(AD116&gt;AA116,AA116&gt;0),0,IF(U116=0,0,Summary!AE419)))))</f>
        <v>0</v>
      </c>
      <c r="AO116" s="1248">
        <f t="shared" si="24"/>
        <v>0</v>
      </c>
      <c r="AP116" s="1249">
        <f>IF('Proposed Lighting'!AU116=1,0,IF(K116=0,0,IF(T116&gt;K116,0,IF(G116=0,0,IF(K116&gt;'Proposed Lighting'!AA116,0,IF(AND(AD116&gt;AA116,AA116&gt;0),0,IF(AND('Proposed Lighting'!AU116=3,AM116=0.5),0,IF(AND(AM116&gt;0,AS116&gt;0,BI116&lt;2),0,IF('Proposed Lighting'!CH116=100,0,IF(AV116=1,0,IF(AND(AM116=35,M116+N116&lt;2),0,AM116)))))))))))</f>
        <v>0</v>
      </c>
      <c r="AQ116" s="1249" t="str">
        <f>IFERROR(ROUND(IF(Q116="","",IF('Proposed Lighting'!$X$4=0,0,IF(AND(AM116=35,M116+N116&lt;2),0,IF(T116&gt;K116,0,IF('Proposed Lighting'!AU116=1,0,IF(AJ116=0,0,IF(AND('Proposed Lighting'!AU116=3,AM116=0.5),0,IF(AND(AD116=75,AP116=0,AV116=0),0,IF(AP116&gt;0.01,AP116*T116,IF(AND(F116&gt;1,W116&lt;0.01),0,IF(AND(F116&gt;1,AO116=0),0,IF(AND('Proposed Lighting'!BC116=22,AV116=0),0,IF(AND(AM116&gt;0,AS116&gt;0,BI116&lt;2),0,IF(AND(AS116&gt;0.01,BK116=0),0,IF(AND(AO116=TRUE,AV116=1,F116=3),MIN(AJ116*0.08,L116),IF(AP116&gt;0.01,AP116*T116,IF(AND(AO116=TRUE,AV116=1,F116=2),MIN(AJ116*0.1,L116)))))))))))))))))),2),"")</f>
        <v/>
      </c>
      <c r="AR116" s="1250">
        <f>IF(Q116=0,0,IF('Proposed Lighting'!$X$4=0,0,IF(AND(AM116&gt;0.01,AQ116&gt;0.01),0,IF('Proposed Lighting'!AU116=1,"Missing Interior or Exterior Selection",IF('Proposed Lighting'!CF116=1,"Selection does not match",IF(K116&gt;'Proposed Lighting'!AA116,"Quantity controlled does not match proposed lighting quantity",IF(T116&gt;K116,"Quantity of sensors exceeds proposed lighting quantity",IF(AND(F116&gt;1,'Proposed Lighting'!AU116&lt;&gt;F116),"Selection does not match",IF(AND(AD116&gt;AA116,AA116&gt;0),"Does not meet minimum connected load",IF(AND(O116&gt;0,AS116&gt;0,BK116&gt;0,'Proposed Lighting'!CH116=0),"Select Control Strategies",IF(AND(AC116&gt;0.1,AJ116=0,AQ116=0),"Does not meet incentive criteria",0)))))))))))</f>
        <v>0</v>
      </c>
      <c r="AS116" s="1224">
        <f>IF('Proposed Lighting'!CH116=100,0,IF(ISNUMBER(SEARCH("multiple",Q116)),1,0))</f>
        <v>0</v>
      </c>
      <c r="AT116" s="451">
        <f t="shared" si="21"/>
        <v>0</v>
      </c>
      <c r="AU116" s="451">
        <f t="shared" si="22"/>
        <v>0</v>
      </c>
      <c r="AV116" s="1222">
        <f>IF(ISNUMBER(SEARCH("Networked",'Proposed Lighting'!T116)),0,IF(ISNUMBER(SEARCH("Strategies",'Proposed Lighting'!T116)),0,IF(ISNUMBER(SEARCH("Removal",'Proposed Lighting'!T116)),0,IF(ISNUMBER(SEARCH("non-standard",Q116)),1,0))))</f>
        <v>0</v>
      </c>
      <c r="AW116" s="451">
        <f t="shared" si="25"/>
        <v>0</v>
      </c>
      <c r="AX116" s="451"/>
      <c r="AY116" s="451"/>
      <c r="AZ116" s="451"/>
      <c r="BA116" s="451"/>
      <c r="BB116" s="451"/>
      <c r="BC116" s="1215"/>
      <c r="BD116" s="1215"/>
      <c r="BE116" s="1215"/>
      <c r="BF116" s="1215"/>
      <c r="BG116" s="1215"/>
      <c r="BH116" s="1215"/>
      <c r="BI116">
        <f>IF(AND(AS116=1,BC116="No",BD116="Yes",BE116="Yes",BF116="No",BH116="No"),0,IF(AND('Proposed Lighting'!AU116=2,AS116=1,BC116="Yes",BD116="Yes"),2,IF(AND('Proposed Lighting'!AU116=2,AS116=1,BC116="Yes",BE116="Yes"),2,IF(AND('Proposed Lighting'!AU116=2,AS116=1,BC116="Yes",BF116="Yes"),2,IF(AND('Proposed Lighting'!AU116=2,AS116=1,BC116="Yes",BH116="Yes"),2,IF(AND('Proposed Lighting'!AU116=2,AS116=1,BD116="Yes",BF116="Yes"),2,IF(AND('Proposed Lighting'!AU116=2,AS116=1,BD116="Yes",BH116="Yes"),2,IF(AND('Proposed Lighting'!AU116=3,AS116=1,BC116="Yes",BE116="Yes"),2,IF(AND('Proposed Lighting'!AU116=3,AS116=1,BC116="Yes",BF116="Yes"),2,0)))))))))</f>
        <v>0</v>
      </c>
      <c r="BJ116" s="1025">
        <f t="shared" si="23"/>
        <v>0</v>
      </c>
      <c r="BK116">
        <f>IF(AND('Proposed Lighting'!BC116=22,'Lighting Controls'!N116=1),0,IF(ISNUMBER(SEARCH("LED",G116)),1,0))</f>
        <v>0</v>
      </c>
    </row>
    <row r="117" spans="1:63" ht="34.5" customHeight="1">
      <c r="A117" s="917">
        <v>109</v>
      </c>
      <c r="B117" s="1828" t="str">
        <f>IF('Proposed Lighting'!B117="","",'Proposed Lighting'!B117)</f>
        <v/>
      </c>
      <c r="C117" s="1828"/>
      <c r="D117" s="1828"/>
      <c r="E117" s="1245">
        <f>'Proposed Lighting'!AA117</f>
        <v>0</v>
      </c>
      <c r="F117" s="1245">
        <f t="shared" si="16"/>
        <v>0</v>
      </c>
      <c r="G117" s="1830" t="str">
        <f>IF('Proposed Lighting'!T117="","",IF(ISNUMBER(SEARCH("Networked",'Proposed Lighting'!T117)),0,IF(ISNUMBER(SEARCH("Strategies",'Proposed Lighting'!T117)),0,IF(ISNUMBER(SEARCH("Removal",'Proposed Lighting'!T117)),0,'Proposed Lighting'!T117))))</f>
        <v/>
      </c>
      <c r="H117" s="1830"/>
      <c r="I117" s="1830"/>
      <c r="J117" s="1830"/>
      <c r="K117" s="1215"/>
      <c r="L117" s="1246">
        <f t="shared" si="17"/>
        <v>0</v>
      </c>
      <c r="M117" s="1224">
        <f t="shared" si="18"/>
        <v>0</v>
      </c>
      <c r="N117" s="1224">
        <f t="shared" si="19"/>
        <v>0</v>
      </c>
      <c r="O117" s="1825" t="str">
        <f>IF(G117=0,0,IF(ISNA('Proposed Lighting'!AT117),0,'Proposed Lighting'!AT117))</f>
        <v/>
      </c>
      <c r="P117" s="1825"/>
      <c r="Q117" s="1247"/>
      <c r="R117" s="1247"/>
      <c r="S117" s="1247"/>
      <c r="T117" s="1211"/>
      <c r="U117" s="1235">
        <f>IF(K117&gt;0.01,'Proposed Lighting'!CU117,0)</f>
        <v>0</v>
      </c>
      <c r="V117" s="1248">
        <f>IF('Proposed Lighting'!CF117=1,0,IF('Proposed Lighting'!AU117=2,0,IF(AND('Proposed Lighting'!AU117=3,'Proposed Lighting'!CF117=0),1,0)))</f>
        <v>0</v>
      </c>
      <c r="W117" s="1836"/>
      <c r="X117" s="1836"/>
      <c r="Y117" s="1836"/>
      <c r="Z117" s="1230" t="str">
        <f t="shared" si="13"/>
        <v/>
      </c>
      <c r="AA117" s="1230">
        <f t="shared" si="14"/>
        <v>0</v>
      </c>
      <c r="AB117" s="1230">
        <f>IF(Q117=0,0,IF(T117=0,0,IF(AA117=0,0,IF(AND(F117=3,V117=0),0,IF(T117=0,0,IF(K117&gt;'Proposed Lighting'!AA117,0,IF('Proposed Lighting'!EJ117&gt;0.01,(K117*O117)*'Proposed Lighting'!EJ117/1000,(K117*O117)*U117/1000)))))))</f>
        <v>0</v>
      </c>
      <c r="AC117" s="1230" t="str">
        <f t="shared" si="20"/>
        <v/>
      </c>
      <c r="AD117" s="1230">
        <f t="shared" si="15"/>
        <v>0</v>
      </c>
      <c r="AE117" s="1230">
        <f>IF(T117=0,0,IF(K117&gt;'Proposed Lighting'!AA117,0,IF(T117&gt;K117,0,IF(AND(AD117&gt;AA117,AA117&gt;0),0,IF(AND(F117&gt;1,W117&lt;0.01),0,IF('Proposed Lighting'!AU117&gt;'Lighting Controls'!F117,0,IF('Proposed Lighting'!AU117&lt;'Lighting Controls'!F117,0,IF(U117=0,0,Summary!AC420))))))))</f>
        <v>0</v>
      </c>
      <c r="AF117" s="1230">
        <f>IF(T117=0,0,IF(AE117=0,0,IF(K117&gt;'Proposed Lighting'!AA117,0,IF(AND(AD117&gt;AA117,AA117&gt;0),0,IF(U117=0,0,Summary!AD420)))))</f>
        <v>0</v>
      </c>
      <c r="AG117" s="1834">
        <f>IF('Proposed Lighting'!AU117=1,0,IF('Proposed Lighting'!CF117=1,0,T117*W117))</f>
        <v>0</v>
      </c>
      <c r="AH117" s="1834"/>
      <c r="AI117" s="1834"/>
      <c r="AJ117" s="1835">
        <f>IF(T117&lt;1,0,IF(K117&gt;'Proposed Lighting'!AA117,0,IF('Proposed Lighting'!CF117=1,0,IF('Proposed Lighting'!AU117=1,0,IF(T117&gt;K117,0,IF(AND(AD117&gt;AA117,AA117&gt;0),0,IF(AND(F117=2,'Proposed Lighting'!AU117=3),0,IF(AND(F117=3,'Proposed Lighting'!AU117=2),0,IF('Proposed Lighting'!CH117=100,0,IF(AND(F117&lt;3,V117=1,AM117=0),0,IF(AND(F117&gt;1,AF117&lt;1,AN117&lt;1),0,IF(AND(F117&gt;1,AE117&lt;0.69,AF117&lt;1,AN117&lt;1),0,IF(ISERROR(AB117-AC117),"",AB117-AC117)))))))))))))</f>
        <v>0</v>
      </c>
      <c r="AK117" s="1835"/>
      <c r="AL117" s="1835"/>
      <c r="AM117" s="1216">
        <f>IF(Q117=0,0,IF(T117=0,0,IF(T117&gt;K117,0,IF(AND(AS117&gt;0.01,BK117=0),0,IF(AND('Proposed Lighting'!DG117=0,'Lighting Controls'!Z117=0.35),0,IF(AND(T117&lt;=K117,AA117&gt;=AD117,'Proposed Lighting'!AU117=2),VLOOKUP(Q117,$AY$9:$AZ$15,2,FALSE),IF(AND(T117&lt;=K117,AA117&gt;=AD117,'Proposed Lighting'!AU117=3),VLOOKUP(Q117,$AY$17:$AZ$23,2,FALSE))))))))</f>
        <v>0</v>
      </c>
      <c r="AN117" s="1248">
        <f>IF(T117=0,0,IF(K117&gt;'Proposed Lighting'!AA117,0,IF(AE117=0,0,IF(AND(AD117&gt;AA117,AA117&gt;0),0,IF(U117=0,0,Summary!AE420)))))</f>
        <v>0</v>
      </c>
      <c r="AO117" s="1248">
        <f t="shared" si="24"/>
        <v>0</v>
      </c>
      <c r="AP117" s="1249">
        <f>IF('Proposed Lighting'!AU117=1,0,IF(K117=0,0,IF(T117&gt;K117,0,IF(G117=0,0,IF(K117&gt;'Proposed Lighting'!AA117,0,IF(AND(AD117&gt;AA117,AA117&gt;0),0,IF(AND('Proposed Lighting'!AU117=3,AM117=0.5),0,IF(AND(AM117&gt;0,AS117&gt;0,BI117&lt;2),0,IF('Proposed Lighting'!CH117=100,0,IF(AV117=1,0,IF(AND(AM117=35,M117+N117&lt;2),0,AM117)))))))))))</f>
        <v>0</v>
      </c>
      <c r="AQ117" s="1249" t="str">
        <f>IFERROR(ROUND(IF(Q117="","",IF('Proposed Lighting'!$X$4=0,0,IF(AND(AM117=35,M117+N117&lt;2),0,IF(T117&gt;K117,0,IF('Proposed Lighting'!AU117=1,0,IF(AJ117=0,0,IF(AND('Proposed Lighting'!AU117=3,AM117=0.5),0,IF(AND(AD117=75,AP117=0,AV117=0),0,IF(AP117&gt;0.01,AP117*T117,IF(AND(F117&gt;1,W117&lt;0.01),0,IF(AND(F117&gt;1,AO117=0),0,IF(AND('Proposed Lighting'!BC117=22,AV117=0),0,IF(AND(AM117&gt;0,AS117&gt;0,BI117&lt;2),0,IF(AND(AS117&gt;0.01,BK117=0),0,IF(AND(AO117=TRUE,AV117=1,F117=3),MIN(AJ117*0.08,L117),IF(AP117&gt;0.01,AP117*T117,IF(AND(AO117=TRUE,AV117=1,F117=2),MIN(AJ117*0.1,L117)))))))))))))))))),2),"")</f>
        <v/>
      </c>
      <c r="AR117" s="1250">
        <f>IF(Q117=0,0,IF('Proposed Lighting'!$X$4=0,0,IF(AND(AM117&gt;0.01,AQ117&gt;0.01),0,IF('Proposed Lighting'!AU117=1,"Missing Interior or Exterior Selection",IF('Proposed Lighting'!CF117=1,"Selection does not match",IF(K117&gt;'Proposed Lighting'!AA117,"Quantity controlled does not match proposed lighting quantity",IF(T117&gt;K117,"Quantity of sensors exceeds proposed lighting quantity",IF(AND(F117&gt;1,'Proposed Lighting'!AU117&lt;&gt;F117),"Selection does not match",IF(AND(AD117&gt;AA117,AA117&gt;0),"Does not meet minimum connected load",IF(AND(O117&gt;0,AS117&gt;0,BK117&gt;0,'Proposed Lighting'!CH117=0),"Select Control Strategies",IF(AND(AC117&gt;0.1,AJ117=0,AQ117=0),"Does not meet incentive criteria",0)))))))))))</f>
        <v>0</v>
      </c>
      <c r="AS117" s="1224">
        <f>IF('Proposed Lighting'!CH117=100,0,IF(ISNUMBER(SEARCH("multiple",Q117)),1,0))</f>
        <v>0</v>
      </c>
      <c r="AT117" s="451">
        <f t="shared" si="21"/>
        <v>0</v>
      </c>
      <c r="AU117" s="451">
        <f t="shared" si="22"/>
        <v>0</v>
      </c>
      <c r="AV117" s="1222">
        <f>IF(ISNUMBER(SEARCH("Networked",'Proposed Lighting'!T117)),0,IF(ISNUMBER(SEARCH("Strategies",'Proposed Lighting'!T117)),0,IF(ISNUMBER(SEARCH("Removal",'Proposed Lighting'!T117)),0,IF(ISNUMBER(SEARCH("non-standard",Q117)),1,0))))</f>
        <v>0</v>
      </c>
      <c r="AW117" s="451">
        <f t="shared" si="25"/>
        <v>0</v>
      </c>
      <c r="AX117" s="451"/>
      <c r="AY117" s="451"/>
      <c r="AZ117" s="451"/>
      <c r="BA117" s="451"/>
      <c r="BB117" s="451"/>
      <c r="BC117" s="1215"/>
      <c r="BD117" s="1215"/>
      <c r="BE117" s="1215"/>
      <c r="BF117" s="1215"/>
      <c r="BG117" s="1215"/>
      <c r="BH117" s="1215"/>
      <c r="BI117">
        <f>IF(AND(AS117=1,BC117="No",BD117="Yes",BE117="Yes",BF117="No",BH117="No"),0,IF(AND('Proposed Lighting'!AU117=2,AS117=1,BC117="Yes",BD117="Yes"),2,IF(AND('Proposed Lighting'!AU117=2,AS117=1,BC117="Yes",BE117="Yes"),2,IF(AND('Proposed Lighting'!AU117=2,AS117=1,BC117="Yes",BF117="Yes"),2,IF(AND('Proposed Lighting'!AU117=2,AS117=1,BC117="Yes",BH117="Yes"),2,IF(AND('Proposed Lighting'!AU117=2,AS117=1,BD117="Yes",BF117="Yes"),2,IF(AND('Proposed Lighting'!AU117=2,AS117=1,BD117="Yes",BH117="Yes"),2,IF(AND('Proposed Lighting'!AU117=3,AS117=1,BC117="Yes",BE117="Yes"),2,IF(AND('Proposed Lighting'!AU117=3,AS117=1,BC117="Yes",BF117="Yes"),2,0)))))))))</f>
        <v>0</v>
      </c>
      <c r="BJ117" s="1025">
        <f t="shared" si="23"/>
        <v>0</v>
      </c>
      <c r="BK117">
        <f>IF(AND('Proposed Lighting'!BC117=22,'Lighting Controls'!N117=1),0,IF(ISNUMBER(SEARCH("LED",G117)),1,0))</f>
        <v>0</v>
      </c>
    </row>
    <row r="118" spans="1:63" ht="34.5" customHeight="1">
      <c r="A118" s="917">
        <v>110</v>
      </c>
      <c r="B118" s="1828" t="str">
        <f>IF('Proposed Lighting'!B118="","",'Proposed Lighting'!B118)</f>
        <v/>
      </c>
      <c r="C118" s="1828"/>
      <c r="D118" s="1828"/>
      <c r="E118" s="1245">
        <f>'Proposed Lighting'!AA118</f>
        <v>0</v>
      </c>
      <c r="F118" s="1245">
        <f t="shared" si="16"/>
        <v>0</v>
      </c>
      <c r="G118" s="1830" t="str">
        <f>IF('Proposed Lighting'!T118="","",IF(ISNUMBER(SEARCH("Networked",'Proposed Lighting'!T118)),0,IF(ISNUMBER(SEARCH("Strategies",'Proposed Lighting'!T118)),0,IF(ISNUMBER(SEARCH("Removal",'Proposed Lighting'!T118)),0,'Proposed Lighting'!T118))))</f>
        <v/>
      </c>
      <c r="H118" s="1830"/>
      <c r="I118" s="1830"/>
      <c r="J118" s="1830"/>
      <c r="K118" s="1215"/>
      <c r="L118" s="1246">
        <f t="shared" si="17"/>
        <v>0</v>
      </c>
      <c r="M118" s="1224">
        <f t="shared" si="18"/>
        <v>0</v>
      </c>
      <c r="N118" s="1224">
        <f t="shared" si="19"/>
        <v>0</v>
      </c>
      <c r="O118" s="1825" t="str">
        <f>IF(G118=0,0,IF(ISNA('Proposed Lighting'!AT118),0,'Proposed Lighting'!AT118))</f>
        <v/>
      </c>
      <c r="P118" s="1825"/>
      <c r="Q118" s="1247"/>
      <c r="R118" s="1247"/>
      <c r="S118" s="1247"/>
      <c r="T118" s="1211"/>
      <c r="U118" s="1235">
        <f>IF(K118&gt;0.01,'Proposed Lighting'!CU118,0)</f>
        <v>0</v>
      </c>
      <c r="V118" s="1248">
        <f>IF('Proposed Lighting'!CF118=1,0,IF('Proposed Lighting'!AU118=2,0,IF(AND('Proposed Lighting'!AU118=3,'Proposed Lighting'!CF118=0),1,0)))</f>
        <v>0</v>
      </c>
      <c r="W118" s="1836"/>
      <c r="X118" s="1836"/>
      <c r="Y118" s="1836"/>
      <c r="Z118" s="1230" t="str">
        <f t="shared" si="13"/>
        <v/>
      </c>
      <c r="AA118" s="1230">
        <f t="shared" si="14"/>
        <v>0</v>
      </c>
      <c r="AB118" s="1230">
        <f>IF(Q118=0,0,IF(T118=0,0,IF(AA118=0,0,IF(AND(F118=3,V118=0),0,IF(T118=0,0,IF(K118&gt;'Proposed Lighting'!AA118,0,IF('Proposed Lighting'!EJ118&gt;0.01,(K118*O118)*'Proposed Lighting'!EJ118/1000,(K118*O118)*U118/1000)))))))</f>
        <v>0</v>
      </c>
      <c r="AC118" s="1230" t="str">
        <f t="shared" si="20"/>
        <v/>
      </c>
      <c r="AD118" s="1230">
        <f t="shared" si="15"/>
        <v>0</v>
      </c>
      <c r="AE118" s="1230">
        <f>IF(T118=0,0,IF(K118&gt;'Proposed Lighting'!AA118,0,IF(T118&gt;K118,0,IF(AND(AD118&gt;AA118,AA118&gt;0),0,IF(AND(F118&gt;1,W118&lt;0.01),0,IF('Proposed Lighting'!AU118&gt;'Lighting Controls'!F118,0,IF('Proposed Lighting'!AU118&lt;'Lighting Controls'!F118,0,IF(U118=0,0,Summary!AC421))))))))</f>
        <v>0</v>
      </c>
      <c r="AF118" s="1230">
        <f>IF(T118=0,0,IF(AE118=0,0,IF(K118&gt;'Proposed Lighting'!AA118,0,IF(AND(AD118&gt;AA118,AA118&gt;0),0,IF(U118=0,0,Summary!AD421)))))</f>
        <v>0</v>
      </c>
      <c r="AG118" s="1834">
        <f>IF('Proposed Lighting'!AU118=1,0,IF('Proposed Lighting'!CF118=1,0,T118*W118))</f>
        <v>0</v>
      </c>
      <c r="AH118" s="1834"/>
      <c r="AI118" s="1834"/>
      <c r="AJ118" s="1835">
        <f>IF(T118&lt;1,0,IF(K118&gt;'Proposed Lighting'!AA118,0,IF('Proposed Lighting'!CF118=1,0,IF('Proposed Lighting'!AU118=1,0,IF(T118&gt;K118,0,IF(AND(AD118&gt;AA118,AA118&gt;0),0,IF(AND(F118=2,'Proposed Lighting'!AU118=3),0,IF(AND(F118=3,'Proposed Lighting'!AU118=2),0,IF('Proposed Lighting'!CH118=100,0,IF(AND(F118&lt;3,V118=1,AM118=0),0,IF(AND(F118&gt;1,AF118&lt;1,AN118&lt;1),0,IF(AND(F118&gt;1,AE118&lt;0.69,AF118&lt;1,AN118&lt;1),0,IF(ISERROR(AB118-AC118),"",AB118-AC118)))))))))))))</f>
        <v>0</v>
      </c>
      <c r="AK118" s="1835"/>
      <c r="AL118" s="1835"/>
      <c r="AM118" s="1216">
        <f>IF(Q118=0,0,IF(T118=0,0,IF(T118&gt;K118,0,IF(AND(AS118&gt;0.01,BK118=0),0,IF(AND('Proposed Lighting'!DG118=0,'Lighting Controls'!Z118=0.35),0,IF(AND(T118&lt;=K118,AA118&gt;=AD118,'Proposed Lighting'!AU118=2),VLOOKUP(Q118,$AY$9:$AZ$15,2,FALSE),IF(AND(T118&lt;=K118,AA118&gt;=AD118,'Proposed Lighting'!AU118=3),VLOOKUP(Q118,$AY$17:$AZ$23,2,FALSE))))))))</f>
        <v>0</v>
      </c>
      <c r="AN118" s="1248">
        <f>IF(T118=0,0,IF(K118&gt;'Proposed Lighting'!AA118,0,IF(AE118=0,0,IF(AND(AD118&gt;AA118,AA118&gt;0),0,IF(U118=0,0,Summary!AE421)))))</f>
        <v>0</v>
      </c>
      <c r="AO118" s="1248">
        <f t="shared" si="24"/>
        <v>0</v>
      </c>
      <c r="AP118" s="1249">
        <f>IF('Proposed Lighting'!AU118=1,0,IF(K118=0,0,IF(T118&gt;K118,0,IF(G118=0,0,IF(K118&gt;'Proposed Lighting'!AA118,0,IF(AND(AD118&gt;AA118,AA118&gt;0),0,IF(AND('Proposed Lighting'!AU118=3,AM118=0.5),0,IF(AND(AM118&gt;0,AS118&gt;0,BI118&lt;2),0,IF('Proposed Lighting'!CH118=100,0,IF(AV118=1,0,IF(AND(AM118=35,M118+N118&lt;2),0,AM118)))))))))))</f>
        <v>0</v>
      </c>
      <c r="AQ118" s="1249" t="str">
        <f>IFERROR(ROUND(IF(Q118="","",IF('Proposed Lighting'!$X$4=0,0,IF(AND(AM118=35,M118+N118&lt;2),0,IF(T118&gt;K118,0,IF('Proposed Lighting'!AU118=1,0,IF(AJ118=0,0,IF(AND('Proposed Lighting'!AU118=3,AM118=0.5),0,IF(AND(AD118=75,AP118=0,AV118=0),0,IF(AP118&gt;0.01,AP118*T118,IF(AND(F118&gt;1,W118&lt;0.01),0,IF(AND(F118&gt;1,AO118=0),0,IF(AND('Proposed Lighting'!BC118=22,AV118=0),0,IF(AND(AM118&gt;0,AS118&gt;0,BI118&lt;2),0,IF(AND(AS118&gt;0.01,BK118=0),0,IF(AND(AO118=TRUE,AV118=1,F118=3),MIN(AJ118*0.08,L118),IF(AP118&gt;0.01,AP118*T118,IF(AND(AO118=TRUE,AV118=1,F118=2),MIN(AJ118*0.1,L118)))))))))))))))))),2),"")</f>
        <v/>
      </c>
      <c r="AR118" s="1250">
        <f>IF(Q118=0,0,IF('Proposed Lighting'!$X$4=0,0,IF(AND(AM118&gt;0.01,AQ118&gt;0.01),0,IF('Proposed Lighting'!AU118=1,"Missing Interior or Exterior Selection",IF('Proposed Lighting'!CF118=1,"Selection does not match",IF(K118&gt;'Proposed Lighting'!AA118,"Quantity controlled does not match proposed lighting quantity",IF(T118&gt;K118,"Quantity of sensors exceeds proposed lighting quantity",IF(AND(F118&gt;1,'Proposed Lighting'!AU118&lt;&gt;F118),"Selection does not match",IF(AND(AD118&gt;AA118,AA118&gt;0),"Does not meet minimum connected load",IF(AND(O118&gt;0,AS118&gt;0,BK118&gt;0,'Proposed Lighting'!CH118=0),"Select Control Strategies",IF(AND(AC118&gt;0.1,AJ118=0,AQ118=0),"Does not meet incentive criteria",0)))))))))))</f>
        <v>0</v>
      </c>
      <c r="AS118" s="1224">
        <f>IF('Proposed Lighting'!CH118=100,0,IF(ISNUMBER(SEARCH("multiple",Q118)),1,0))</f>
        <v>0</v>
      </c>
      <c r="AT118" s="451">
        <f t="shared" si="21"/>
        <v>0</v>
      </c>
      <c r="AU118" s="451">
        <f t="shared" si="22"/>
        <v>0</v>
      </c>
      <c r="AV118" s="1222">
        <f>IF(ISNUMBER(SEARCH("Networked",'Proposed Lighting'!T118)),0,IF(ISNUMBER(SEARCH("Strategies",'Proposed Lighting'!T118)),0,IF(ISNUMBER(SEARCH("Removal",'Proposed Lighting'!T118)),0,IF(ISNUMBER(SEARCH("non-standard",Q118)),1,0))))</f>
        <v>0</v>
      </c>
      <c r="AW118" s="451">
        <f t="shared" si="25"/>
        <v>0</v>
      </c>
      <c r="AX118" s="451"/>
      <c r="AY118" s="451"/>
      <c r="AZ118" s="451"/>
      <c r="BA118" s="451"/>
      <c r="BB118" s="451"/>
      <c r="BC118" s="1215"/>
      <c r="BD118" s="1215"/>
      <c r="BE118" s="1215"/>
      <c r="BF118" s="1215"/>
      <c r="BG118" s="1215"/>
      <c r="BH118" s="1215"/>
      <c r="BI118">
        <f>IF(AND(AS118=1,BC118="No",BD118="Yes",BE118="Yes",BF118="No",BH118="No"),0,IF(AND('Proposed Lighting'!AU118=2,AS118=1,BC118="Yes",BD118="Yes"),2,IF(AND('Proposed Lighting'!AU118=2,AS118=1,BC118="Yes",BE118="Yes"),2,IF(AND('Proposed Lighting'!AU118=2,AS118=1,BC118="Yes",BF118="Yes"),2,IF(AND('Proposed Lighting'!AU118=2,AS118=1,BC118="Yes",BH118="Yes"),2,IF(AND('Proposed Lighting'!AU118=2,AS118=1,BD118="Yes",BF118="Yes"),2,IF(AND('Proposed Lighting'!AU118=2,AS118=1,BD118="Yes",BH118="Yes"),2,IF(AND('Proposed Lighting'!AU118=3,AS118=1,BC118="Yes",BE118="Yes"),2,IF(AND('Proposed Lighting'!AU118=3,AS118=1,BC118="Yes",BF118="Yes"),2,0)))))))))</f>
        <v>0</v>
      </c>
      <c r="BJ118" s="1025">
        <f t="shared" si="23"/>
        <v>0</v>
      </c>
      <c r="BK118">
        <f>IF(AND('Proposed Lighting'!BC118=22,'Lighting Controls'!N118=1),0,IF(ISNUMBER(SEARCH("LED",G118)),1,0))</f>
        <v>0</v>
      </c>
    </row>
    <row r="119" spans="1:63" ht="34.5" customHeight="1">
      <c r="A119" s="917">
        <v>111</v>
      </c>
      <c r="B119" s="1828" t="str">
        <f>IF('Proposed Lighting'!B119="","",'Proposed Lighting'!B119)</f>
        <v/>
      </c>
      <c r="C119" s="1828"/>
      <c r="D119" s="1828"/>
      <c r="E119" s="1245">
        <f>'Proposed Lighting'!AA119</f>
        <v>0</v>
      </c>
      <c r="F119" s="1245">
        <f t="shared" si="16"/>
        <v>0</v>
      </c>
      <c r="G119" s="1830" t="str">
        <f>IF('Proposed Lighting'!T119="","",IF(ISNUMBER(SEARCH("Networked",'Proposed Lighting'!T119)),0,IF(ISNUMBER(SEARCH("Strategies",'Proposed Lighting'!T119)),0,IF(ISNUMBER(SEARCH("Removal",'Proposed Lighting'!T119)),0,'Proposed Lighting'!T119))))</f>
        <v/>
      </c>
      <c r="H119" s="1830"/>
      <c r="I119" s="1830"/>
      <c r="J119" s="1830"/>
      <c r="K119" s="1215"/>
      <c r="L119" s="1246">
        <f t="shared" si="17"/>
        <v>0</v>
      </c>
      <c r="M119" s="1224">
        <f t="shared" si="18"/>
        <v>0</v>
      </c>
      <c r="N119" s="1224">
        <f t="shared" si="19"/>
        <v>0</v>
      </c>
      <c r="O119" s="1825" t="str">
        <f>IF(G119=0,0,IF(ISNA('Proposed Lighting'!AT119),0,'Proposed Lighting'!AT119))</f>
        <v/>
      </c>
      <c r="P119" s="1825"/>
      <c r="Q119" s="1247"/>
      <c r="R119" s="1247"/>
      <c r="S119" s="1247"/>
      <c r="T119" s="1211"/>
      <c r="U119" s="1235">
        <f>IF(K119&gt;0.01,'Proposed Lighting'!CU119,0)</f>
        <v>0</v>
      </c>
      <c r="V119" s="1248">
        <f>IF('Proposed Lighting'!CF119=1,0,IF('Proposed Lighting'!AU119=2,0,IF(AND('Proposed Lighting'!AU119=3,'Proposed Lighting'!CF119=0),1,0)))</f>
        <v>0</v>
      </c>
      <c r="W119" s="1836"/>
      <c r="X119" s="1836"/>
      <c r="Y119" s="1836"/>
      <c r="Z119" s="1230" t="str">
        <f t="shared" si="13"/>
        <v/>
      </c>
      <c r="AA119" s="1230">
        <f t="shared" si="14"/>
        <v>0</v>
      </c>
      <c r="AB119" s="1230">
        <f>IF(Q119=0,0,IF(T119=0,0,IF(AA119=0,0,IF(AND(F119=3,V119=0),0,IF(T119=0,0,IF(K119&gt;'Proposed Lighting'!AA119,0,IF('Proposed Lighting'!EJ119&gt;0.01,(K119*O119)*'Proposed Lighting'!EJ119/1000,(K119*O119)*U119/1000)))))))</f>
        <v>0</v>
      </c>
      <c r="AC119" s="1230" t="str">
        <f t="shared" si="20"/>
        <v/>
      </c>
      <c r="AD119" s="1230">
        <f t="shared" si="15"/>
        <v>0</v>
      </c>
      <c r="AE119" s="1230">
        <f>IF(T119=0,0,IF(K119&gt;'Proposed Lighting'!AA119,0,IF(T119&gt;K119,0,IF(AND(AD119&gt;AA119,AA119&gt;0),0,IF(AND(F119&gt;1,W119&lt;0.01),0,IF('Proposed Lighting'!AU119&gt;'Lighting Controls'!F119,0,IF('Proposed Lighting'!AU119&lt;'Lighting Controls'!F119,0,IF(U119=0,0,Summary!AC422))))))))</f>
        <v>0</v>
      </c>
      <c r="AF119" s="1230">
        <f>IF(T119=0,0,IF(AE119=0,0,IF(K119&gt;'Proposed Lighting'!AA119,0,IF(AND(AD119&gt;AA119,AA119&gt;0),0,IF(U119=0,0,Summary!AD422)))))</f>
        <v>0</v>
      </c>
      <c r="AG119" s="1834">
        <f>IF('Proposed Lighting'!AU119=1,0,IF('Proposed Lighting'!CF119=1,0,T119*W119))</f>
        <v>0</v>
      </c>
      <c r="AH119" s="1834"/>
      <c r="AI119" s="1834"/>
      <c r="AJ119" s="1835">
        <f>IF(T119&lt;1,0,IF(K119&gt;'Proposed Lighting'!AA119,0,IF('Proposed Lighting'!CF119=1,0,IF('Proposed Lighting'!AU119=1,0,IF(T119&gt;K119,0,IF(AND(AD119&gt;AA119,AA119&gt;0),0,IF(AND(F119=2,'Proposed Lighting'!AU119=3),0,IF(AND(F119=3,'Proposed Lighting'!AU119=2),0,IF('Proposed Lighting'!CH119=100,0,IF(AND(F119&lt;3,V119=1,AM119=0),0,IF(AND(F119&gt;1,AF119&lt;1,AN119&lt;1),0,IF(AND(F119&gt;1,AE119&lt;0.69,AF119&lt;1,AN119&lt;1),0,IF(ISERROR(AB119-AC119),"",AB119-AC119)))))))))))))</f>
        <v>0</v>
      </c>
      <c r="AK119" s="1835"/>
      <c r="AL119" s="1835"/>
      <c r="AM119" s="1216">
        <f>IF(Q119=0,0,IF(T119=0,0,IF(T119&gt;K119,0,IF(AND(AS119&gt;0.01,BK119=0),0,IF(AND('Proposed Lighting'!DG119=0,'Lighting Controls'!Z119=0.35),0,IF(AND(T119&lt;=K119,AA119&gt;=AD119,'Proposed Lighting'!AU119=2),VLOOKUP(Q119,$AY$9:$AZ$15,2,FALSE),IF(AND(T119&lt;=K119,AA119&gt;=AD119,'Proposed Lighting'!AU119=3),VLOOKUP(Q119,$AY$17:$AZ$23,2,FALSE))))))))</f>
        <v>0</v>
      </c>
      <c r="AN119" s="1248">
        <f>IF(T119=0,0,IF(K119&gt;'Proposed Lighting'!AA119,0,IF(AE119=0,0,IF(AND(AD119&gt;AA119,AA119&gt;0),0,IF(U119=0,0,Summary!AE422)))))</f>
        <v>0</v>
      </c>
      <c r="AO119" s="1248">
        <f t="shared" si="24"/>
        <v>0</v>
      </c>
      <c r="AP119" s="1249">
        <f>IF('Proposed Lighting'!AU119=1,0,IF(K119=0,0,IF(T119&gt;K119,0,IF(G119=0,0,IF(K119&gt;'Proposed Lighting'!AA119,0,IF(AND(AD119&gt;AA119,AA119&gt;0),0,IF(AND('Proposed Lighting'!AU119=3,AM119=0.5),0,IF(AND(AM119&gt;0,AS119&gt;0,BI119&lt;2),0,IF('Proposed Lighting'!CH119=100,0,IF(AV119=1,0,IF(AND(AM119=35,M119+N119&lt;2),0,AM119)))))))))))</f>
        <v>0</v>
      </c>
      <c r="AQ119" s="1249" t="str">
        <f>IFERROR(ROUND(IF(Q119="","",IF('Proposed Lighting'!$X$4=0,0,IF(AND(AM119=35,M119+N119&lt;2),0,IF(T119&gt;K119,0,IF('Proposed Lighting'!AU119=1,0,IF(AJ119=0,0,IF(AND('Proposed Lighting'!AU119=3,AM119=0.5),0,IF(AND(AD119=75,AP119=0,AV119=0),0,IF(AP119&gt;0.01,AP119*T119,IF(AND(F119&gt;1,W119&lt;0.01),0,IF(AND(F119&gt;1,AO119=0),0,IF(AND('Proposed Lighting'!BC119=22,AV119=0),0,IF(AND(AM119&gt;0,AS119&gt;0,BI119&lt;2),0,IF(AND(AS119&gt;0.01,BK119=0),0,IF(AND(AO119=TRUE,AV119=1,F119=3),MIN(AJ119*0.08,L119),IF(AP119&gt;0.01,AP119*T119,IF(AND(AO119=TRUE,AV119=1,F119=2),MIN(AJ119*0.1,L119)))))))))))))))))),2),"")</f>
        <v/>
      </c>
      <c r="AR119" s="1250">
        <f>IF(Q119=0,0,IF('Proposed Lighting'!$X$4=0,0,IF(AND(AM119&gt;0.01,AQ119&gt;0.01),0,IF('Proposed Lighting'!AU119=1,"Missing Interior or Exterior Selection",IF('Proposed Lighting'!CF119=1,"Selection does not match",IF(K119&gt;'Proposed Lighting'!AA119,"Quantity controlled does not match proposed lighting quantity",IF(T119&gt;K119,"Quantity of sensors exceeds proposed lighting quantity",IF(AND(F119&gt;1,'Proposed Lighting'!AU119&lt;&gt;F119),"Selection does not match",IF(AND(AD119&gt;AA119,AA119&gt;0),"Does not meet minimum connected load",IF(AND(O119&gt;0,AS119&gt;0,BK119&gt;0,'Proposed Lighting'!CH119=0),"Select Control Strategies",IF(AND(AC119&gt;0.1,AJ119=0,AQ119=0),"Does not meet incentive criteria",0)))))))))))</f>
        <v>0</v>
      </c>
      <c r="AS119" s="1224">
        <f>IF('Proposed Lighting'!CH119=100,0,IF(ISNUMBER(SEARCH("multiple",Q119)),1,0))</f>
        <v>0</v>
      </c>
      <c r="AT119" s="451">
        <f t="shared" si="21"/>
        <v>0</v>
      </c>
      <c r="AU119" s="451">
        <f t="shared" si="22"/>
        <v>0</v>
      </c>
      <c r="AV119" s="1222">
        <f>IF(ISNUMBER(SEARCH("Networked",'Proposed Lighting'!T119)),0,IF(ISNUMBER(SEARCH("Strategies",'Proposed Lighting'!T119)),0,IF(ISNUMBER(SEARCH("Removal",'Proposed Lighting'!T119)),0,IF(ISNUMBER(SEARCH("non-standard",Q119)),1,0))))</f>
        <v>0</v>
      </c>
      <c r="AW119" s="451">
        <f t="shared" si="25"/>
        <v>0</v>
      </c>
      <c r="AX119" s="451"/>
      <c r="AY119" s="451"/>
      <c r="AZ119" s="451"/>
      <c r="BA119" s="451"/>
      <c r="BB119" s="451"/>
      <c r="BC119" s="1215"/>
      <c r="BD119" s="1215"/>
      <c r="BE119" s="1215"/>
      <c r="BF119" s="1215"/>
      <c r="BG119" s="1215"/>
      <c r="BH119" s="1215"/>
      <c r="BI119">
        <f>IF(AND(AS119=1,BC119="No",BD119="Yes",BE119="Yes",BF119="No",BH119="No"),0,IF(AND('Proposed Lighting'!AU119=2,AS119=1,BC119="Yes",BD119="Yes"),2,IF(AND('Proposed Lighting'!AU119=2,AS119=1,BC119="Yes",BE119="Yes"),2,IF(AND('Proposed Lighting'!AU119=2,AS119=1,BC119="Yes",BF119="Yes"),2,IF(AND('Proposed Lighting'!AU119=2,AS119=1,BC119="Yes",BH119="Yes"),2,IF(AND('Proposed Lighting'!AU119=2,AS119=1,BD119="Yes",BF119="Yes"),2,IF(AND('Proposed Lighting'!AU119=2,AS119=1,BD119="Yes",BH119="Yes"),2,IF(AND('Proposed Lighting'!AU119=3,AS119=1,BC119="Yes",BE119="Yes"),2,IF(AND('Proposed Lighting'!AU119=3,AS119=1,BC119="Yes",BF119="Yes"),2,0)))))))))</f>
        <v>0</v>
      </c>
      <c r="BJ119" s="1025">
        <f t="shared" si="23"/>
        <v>0</v>
      </c>
      <c r="BK119">
        <f>IF(AND('Proposed Lighting'!BC119=22,'Lighting Controls'!N119=1),0,IF(ISNUMBER(SEARCH("LED",G119)),1,0))</f>
        <v>0</v>
      </c>
    </row>
    <row r="120" spans="1:63" ht="34.5" customHeight="1">
      <c r="A120" s="917">
        <v>112</v>
      </c>
      <c r="B120" s="1828" t="str">
        <f>IF('Proposed Lighting'!B120="","",'Proposed Lighting'!B120)</f>
        <v/>
      </c>
      <c r="C120" s="1828"/>
      <c r="D120" s="1828"/>
      <c r="E120" s="1245">
        <f>'Proposed Lighting'!AA120</f>
        <v>0</v>
      </c>
      <c r="F120" s="1245">
        <f t="shared" si="16"/>
        <v>0</v>
      </c>
      <c r="G120" s="1830" t="str">
        <f>IF('Proposed Lighting'!T120="","",IF(ISNUMBER(SEARCH("Networked",'Proposed Lighting'!T120)),0,IF(ISNUMBER(SEARCH("Strategies",'Proposed Lighting'!T120)),0,IF(ISNUMBER(SEARCH("Removal",'Proposed Lighting'!T120)),0,'Proposed Lighting'!T120))))</f>
        <v/>
      </c>
      <c r="H120" s="1830"/>
      <c r="I120" s="1830"/>
      <c r="J120" s="1830"/>
      <c r="K120" s="1215"/>
      <c r="L120" s="1246">
        <f t="shared" si="17"/>
        <v>0</v>
      </c>
      <c r="M120" s="1224">
        <f t="shared" si="18"/>
        <v>0</v>
      </c>
      <c r="N120" s="1224">
        <f t="shared" si="19"/>
        <v>0</v>
      </c>
      <c r="O120" s="1825" t="str">
        <f>IF(G120=0,0,IF(ISNA('Proposed Lighting'!AT120),0,'Proposed Lighting'!AT120))</f>
        <v/>
      </c>
      <c r="P120" s="1825"/>
      <c r="Q120" s="1247"/>
      <c r="R120" s="1247"/>
      <c r="S120" s="1247"/>
      <c r="T120" s="1211"/>
      <c r="U120" s="1235">
        <f>IF(K120&gt;0.01,'Proposed Lighting'!CU120,0)</f>
        <v>0</v>
      </c>
      <c r="V120" s="1248">
        <f>IF('Proposed Lighting'!CF120=1,0,IF('Proposed Lighting'!AU120=2,0,IF(AND('Proposed Lighting'!AU120=3,'Proposed Lighting'!CF120=0),1,0)))</f>
        <v>0</v>
      </c>
      <c r="W120" s="1836"/>
      <c r="X120" s="1836"/>
      <c r="Y120" s="1836"/>
      <c r="Z120" s="1230" t="str">
        <f t="shared" si="13"/>
        <v/>
      </c>
      <c r="AA120" s="1230">
        <f t="shared" si="14"/>
        <v>0</v>
      </c>
      <c r="AB120" s="1230">
        <f>IF(Q120=0,0,IF(T120=0,0,IF(AA120=0,0,IF(AND(F120=3,V120=0),0,IF(T120=0,0,IF(K120&gt;'Proposed Lighting'!AA120,0,IF('Proposed Lighting'!EJ120&gt;0.01,(K120*O120)*'Proposed Lighting'!EJ120/1000,(K120*O120)*U120/1000)))))))</f>
        <v>0</v>
      </c>
      <c r="AC120" s="1230" t="str">
        <f t="shared" si="20"/>
        <v/>
      </c>
      <c r="AD120" s="1230">
        <f t="shared" si="15"/>
        <v>0</v>
      </c>
      <c r="AE120" s="1230">
        <f>IF(T120=0,0,IF(K120&gt;'Proposed Lighting'!AA120,0,IF(T120&gt;K120,0,IF(AND(AD120&gt;AA120,AA120&gt;0),0,IF(AND(F120&gt;1,W120&lt;0.01),0,IF('Proposed Lighting'!AU120&gt;'Lighting Controls'!F120,0,IF('Proposed Lighting'!AU120&lt;'Lighting Controls'!F120,0,IF(U120=0,0,Summary!AC423))))))))</f>
        <v>0</v>
      </c>
      <c r="AF120" s="1230">
        <f>IF(T120=0,0,IF(AE120=0,0,IF(K120&gt;'Proposed Lighting'!AA120,0,IF(AND(AD120&gt;AA120,AA120&gt;0),0,IF(U120=0,0,Summary!AD423)))))</f>
        <v>0</v>
      </c>
      <c r="AG120" s="1834">
        <f>IF('Proposed Lighting'!AU120=1,0,IF('Proposed Lighting'!CF120=1,0,T120*W120))</f>
        <v>0</v>
      </c>
      <c r="AH120" s="1834"/>
      <c r="AI120" s="1834"/>
      <c r="AJ120" s="1835">
        <f>IF(T120&lt;1,0,IF(K120&gt;'Proposed Lighting'!AA120,0,IF('Proposed Lighting'!CF120=1,0,IF('Proposed Lighting'!AU120=1,0,IF(T120&gt;K120,0,IF(AND(AD120&gt;AA120,AA120&gt;0),0,IF(AND(F120=2,'Proposed Lighting'!AU120=3),0,IF(AND(F120=3,'Proposed Lighting'!AU120=2),0,IF('Proposed Lighting'!CH120=100,0,IF(AND(F120&lt;3,V120=1,AM120=0),0,IF(AND(F120&gt;1,AF120&lt;1,AN120&lt;1),0,IF(AND(F120&gt;1,AE120&lt;0.69,AF120&lt;1,AN120&lt;1),0,IF(ISERROR(AB120-AC120),"",AB120-AC120)))))))))))))</f>
        <v>0</v>
      </c>
      <c r="AK120" s="1835"/>
      <c r="AL120" s="1835"/>
      <c r="AM120" s="1216">
        <f>IF(Q120=0,0,IF(T120=0,0,IF(T120&gt;K120,0,IF(AND(AS120&gt;0.01,BK120=0),0,IF(AND('Proposed Lighting'!DG120=0,'Lighting Controls'!Z120=0.35),0,IF(AND(T120&lt;=K120,AA120&gt;=AD120,'Proposed Lighting'!AU120=2),VLOOKUP(Q120,$AY$9:$AZ$15,2,FALSE),IF(AND(T120&lt;=K120,AA120&gt;=AD120,'Proposed Lighting'!AU120=3),VLOOKUP(Q120,$AY$17:$AZ$23,2,FALSE))))))))</f>
        <v>0</v>
      </c>
      <c r="AN120" s="1248">
        <f>IF(T120=0,0,IF(K120&gt;'Proposed Lighting'!AA120,0,IF(AE120=0,0,IF(AND(AD120&gt;AA120,AA120&gt;0),0,IF(U120=0,0,Summary!AE423)))))</f>
        <v>0</v>
      </c>
      <c r="AO120" s="1248">
        <f t="shared" si="24"/>
        <v>0</v>
      </c>
      <c r="AP120" s="1249">
        <f>IF('Proposed Lighting'!AU120=1,0,IF(K120=0,0,IF(T120&gt;K120,0,IF(G120=0,0,IF(K120&gt;'Proposed Lighting'!AA120,0,IF(AND(AD120&gt;AA120,AA120&gt;0),0,IF(AND('Proposed Lighting'!AU120=3,AM120=0.5),0,IF(AND(AM120&gt;0,AS120&gt;0,BI120&lt;2),0,IF('Proposed Lighting'!CH120=100,0,IF(AV120=1,0,IF(AND(AM120=35,M120+N120&lt;2),0,AM120)))))))))))</f>
        <v>0</v>
      </c>
      <c r="AQ120" s="1249" t="str">
        <f>IFERROR(ROUND(IF(Q120="","",IF('Proposed Lighting'!$X$4=0,0,IF(AND(AM120=35,M120+N120&lt;2),0,IF(T120&gt;K120,0,IF('Proposed Lighting'!AU120=1,0,IF(AJ120=0,0,IF(AND('Proposed Lighting'!AU120=3,AM120=0.5),0,IF(AND(AD120=75,AP120=0,AV120=0),0,IF(AP120&gt;0.01,AP120*T120,IF(AND(F120&gt;1,W120&lt;0.01),0,IF(AND(F120&gt;1,AO120=0),0,IF(AND('Proposed Lighting'!BC120=22,AV120=0),0,IF(AND(AM120&gt;0,AS120&gt;0,BI120&lt;2),0,IF(AND(AS120&gt;0.01,BK120=0),0,IF(AND(AO120=TRUE,AV120=1,F120=3),MIN(AJ120*0.08,L120),IF(AP120&gt;0.01,AP120*T120,IF(AND(AO120=TRUE,AV120=1,F120=2),MIN(AJ120*0.1,L120)))))))))))))))))),2),"")</f>
        <v/>
      </c>
      <c r="AR120" s="1250">
        <f>IF(Q120=0,0,IF('Proposed Lighting'!$X$4=0,0,IF(AND(AM120&gt;0.01,AQ120&gt;0.01),0,IF('Proposed Lighting'!AU120=1,"Missing Interior or Exterior Selection",IF('Proposed Lighting'!CF120=1,"Selection does not match",IF(K120&gt;'Proposed Lighting'!AA120,"Quantity controlled does not match proposed lighting quantity",IF(T120&gt;K120,"Quantity of sensors exceeds proposed lighting quantity",IF(AND(F120&gt;1,'Proposed Lighting'!AU120&lt;&gt;F120),"Selection does not match",IF(AND(AD120&gt;AA120,AA120&gt;0),"Does not meet minimum connected load",IF(AND(O120&gt;0,AS120&gt;0,BK120&gt;0,'Proposed Lighting'!CH120=0),"Select Control Strategies",IF(AND(AC120&gt;0.1,AJ120=0,AQ120=0),"Does not meet incentive criteria",0)))))))))))</f>
        <v>0</v>
      </c>
      <c r="AS120" s="1224">
        <f>IF('Proposed Lighting'!CH120=100,0,IF(ISNUMBER(SEARCH("multiple",Q120)),1,0))</f>
        <v>0</v>
      </c>
      <c r="AT120" s="451">
        <f t="shared" si="21"/>
        <v>0</v>
      </c>
      <c r="AU120" s="451">
        <f t="shared" si="22"/>
        <v>0</v>
      </c>
      <c r="AV120" s="1222">
        <f>IF(ISNUMBER(SEARCH("Networked",'Proposed Lighting'!T120)),0,IF(ISNUMBER(SEARCH("Strategies",'Proposed Lighting'!T120)),0,IF(ISNUMBER(SEARCH("Removal",'Proposed Lighting'!T120)),0,IF(ISNUMBER(SEARCH("non-standard",Q120)),1,0))))</f>
        <v>0</v>
      </c>
      <c r="AW120" s="451">
        <f t="shared" si="25"/>
        <v>0</v>
      </c>
      <c r="AX120" s="451"/>
      <c r="AY120" s="451"/>
      <c r="AZ120" s="451"/>
      <c r="BA120" s="451"/>
      <c r="BB120" s="451"/>
      <c r="BC120" s="1215"/>
      <c r="BD120" s="1215"/>
      <c r="BE120" s="1215"/>
      <c r="BF120" s="1215"/>
      <c r="BG120" s="1215"/>
      <c r="BH120" s="1215"/>
      <c r="BI120">
        <f>IF(AND(AS120=1,BC120="No",BD120="Yes",BE120="Yes",BF120="No",BH120="No"),0,IF(AND('Proposed Lighting'!AU120=2,AS120=1,BC120="Yes",BD120="Yes"),2,IF(AND('Proposed Lighting'!AU120=2,AS120=1,BC120="Yes",BE120="Yes"),2,IF(AND('Proposed Lighting'!AU120=2,AS120=1,BC120="Yes",BF120="Yes"),2,IF(AND('Proposed Lighting'!AU120=2,AS120=1,BC120="Yes",BH120="Yes"),2,IF(AND('Proposed Lighting'!AU120=2,AS120=1,BD120="Yes",BF120="Yes"),2,IF(AND('Proposed Lighting'!AU120=2,AS120=1,BD120="Yes",BH120="Yes"),2,IF(AND('Proposed Lighting'!AU120=3,AS120=1,BC120="Yes",BE120="Yes"),2,IF(AND('Proposed Lighting'!AU120=3,AS120=1,BC120="Yes",BF120="Yes"),2,0)))))))))</f>
        <v>0</v>
      </c>
      <c r="BJ120" s="1025">
        <f t="shared" si="23"/>
        <v>0</v>
      </c>
      <c r="BK120">
        <f>IF(AND('Proposed Lighting'!BC120=22,'Lighting Controls'!N120=1),0,IF(ISNUMBER(SEARCH("LED",G120)),1,0))</f>
        <v>0</v>
      </c>
    </row>
    <row r="121" spans="1:63" ht="34.5" customHeight="1">
      <c r="A121" s="917">
        <v>113</v>
      </c>
      <c r="B121" s="1828" t="str">
        <f>IF('Proposed Lighting'!B121="","",'Proposed Lighting'!B121)</f>
        <v/>
      </c>
      <c r="C121" s="1828"/>
      <c r="D121" s="1828"/>
      <c r="E121" s="1245">
        <f>'Proposed Lighting'!AA121</f>
        <v>0</v>
      </c>
      <c r="F121" s="1245">
        <f t="shared" si="16"/>
        <v>0</v>
      </c>
      <c r="G121" s="1830" t="str">
        <f>IF('Proposed Lighting'!T121="","",IF(ISNUMBER(SEARCH("Networked",'Proposed Lighting'!T121)),0,IF(ISNUMBER(SEARCH("Strategies",'Proposed Lighting'!T121)),0,IF(ISNUMBER(SEARCH("Removal",'Proposed Lighting'!T121)),0,'Proposed Lighting'!T121))))</f>
        <v/>
      </c>
      <c r="H121" s="1830"/>
      <c r="I121" s="1830"/>
      <c r="J121" s="1830"/>
      <c r="K121" s="1215"/>
      <c r="L121" s="1246">
        <f t="shared" si="17"/>
        <v>0</v>
      </c>
      <c r="M121" s="1224">
        <f t="shared" si="18"/>
        <v>0</v>
      </c>
      <c r="N121" s="1224">
        <f t="shared" si="19"/>
        <v>0</v>
      </c>
      <c r="O121" s="1825" t="str">
        <f>IF(G121=0,0,IF(ISNA('Proposed Lighting'!AT121),0,'Proposed Lighting'!AT121))</f>
        <v/>
      </c>
      <c r="P121" s="1825"/>
      <c r="Q121" s="1247"/>
      <c r="R121" s="1247"/>
      <c r="S121" s="1247"/>
      <c r="T121" s="1211"/>
      <c r="U121" s="1235">
        <f>IF(K121&gt;0.01,'Proposed Lighting'!CU121,0)</f>
        <v>0</v>
      </c>
      <c r="V121" s="1248">
        <f>IF('Proposed Lighting'!CF121=1,0,IF('Proposed Lighting'!AU121=2,0,IF(AND('Proposed Lighting'!AU121=3,'Proposed Lighting'!CF121=0),1,0)))</f>
        <v>0</v>
      </c>
      <c r="W121" s="1836"/>
      <c r="X121" s="1836"/>
      <c r="Y121" s="1836"/>
      <c r="Z121" s="1230" t="str">
        <f t="shared" si="13"/>
        <v/>
      </c>
      <c r="AA121" s="1230">
        <f t="shared" si="14"/>
        <v>0</v>
      </c>
      <c r="AB121" s="1230">
        <f>IF(Q121=0,0,IF(T121=0,0,IF(AA121=0,0,IF(AND(F121=3,V121=0),0,IF(T121=0,0,IF(K121&gt;'Proposed Lighting'!AA121,0,IF('Proposed Lighting'!EJ121&gt;0.01,(K121*O121)*'Proposed Lighting'!EJ121/1000,(K121*O121)*U121/1000)))))))</f>
        <v>0</v>
      </c>
      <c r="AC121" s="1230" t="str">
        <f t="shared" si="20"/>
        <v/>
      </c>
      <c r="AD121" s="1230">
        <f t="shared" si="15"/>
        <v>0</v>
      </c>
      <c r="AE121" s="1230">
        <f>IF(T121=0,0,IF(K121&gt;'Proposed Lighting'!AA121,0,IF(T121&gt;K121,0,IF(AND(AD121&gt;AA121,AA121&gt;0),0,IF(AND(F121&gt;1,W121&lt;0.01),0,IF('Proposed Lighting'!AU121&gt;'Lighting Controls'!F121,0,IF('Proposed Lighting'!AU121&lt;'Lighting Controls'!F121,0,IF(U121=0,0,Summary!AC424))))))))</f>
        <v>0</v>
      </c>
      <c r="AF121" s="1230">
        <f>IF(T121=0,0,IF(AE121=0,0,IF(K121&gt;'Proposed Lighting'!AA121,0,IF(AND(AD121&gt;AA121,AA121&gt;0),0,IF(U121=0,0,Summary!AD424)))))</f>
        <v>0</v>
      </c>
      <c r="AG121" s="1834">
        <f>IF('Proposed Lighting'!AU121=1,0,IF('Proposed Lighting'!CF121=1,0,T121*W121))</f>
        <v>0</v>
      </c>
      <c r="AH121" s="1834"/>
      <c r="AI121" s="1834"/>
      <c r="AJ121" s="1835">
        <f>IF(T121&lt;1,0,IF(K121&gt;'Proposed Lighting'!AA121,0,IF('Proposed Lighting'!CF121=1,0,IF('Proposed Lighting'!AU121=1,0,IF(T121&gt;K121,0,IF(AND(AD121&gt;AA121,AA121&gt;0),0,IF(AND(F121=2,'Proposed Lighting'!AU121=3),0,IF(AND(F121=3,'Proposed Lighting'!AU121=2),0,IF('Proposed Lighting'!CH121=100,0,IF(AND(F121&lt;3,V121=1,AM121=0),0,IF(AND(F121&gt;1,AF121&lt;1,AN121&lt;1),0,IF(AND(F121&gt;1,AE121&lt;0.69,AF121&lt;1,AN121&lt;1),0,IF(ISERROR(AB121-AC121),"",AB121-AC121)))))))))))))</f>
        <v>0</v>
      </c>
      <c r="AK121" s="1835"/>
      <c r="AL121" s="1835"/>
      <c r="AM121" s="1216">
        <f>IF(Q121=0,0,IF(T121=0,0,IF(T121&gt;K121,0,IF(AND(AS121&gt;0.01,BK121=0),0,IF(AND('Proposed Lighting'!DG121=0,'Lighting Controls'!Z121=0.35),0,IF(AND(T121&lt;=K121,AA121&gt;=AD121,'Proposed Lighting'!AU121=2),VLOOKUP(Q121,$AY$9:$AZ$15,2,FALSE),IF(AND(T121&lt;=K121,AA121&gt;=AD121,'Proposed Lighting'!AU121=3),VLOOKUP(Q121,$AY$17:$AZ$23,2,FALSE))))))))</f>
        <v>0</v>
      </c>
      <c r="AN121" s="1248">
        <f>IF(T121=0,0,IF(K121&gt;'Proposed Lighting'!AA121,0,IF(AE121=0,0,IF(AND(AD121&gt;AA121,AA121&gt;0),0,IF(U121=0,0,Summary!AE424)))))</f>
        <v>0</v>
      </c>
      <c r="AO121" s="1248">
        <f t="shared" si="24"/>
        <v>0</v>
      </c>
      <c r="AP121" s="1249">
        <f>IF('Proposed Lighting'!AU121=1,0,IF(K121=0,0,IF(T121&gt;K121,0,IF(G121=0,0,IF(K121&gt;'Proposed Lighting'!AA121,0,IF(AND(AD121&gt;AA121,AA121&gt;0),0,IF(AND('Proposed Lighting'!AU121=3,AM121=0.5),0,IF(AND(AM121&gt;0,AS121&gt;0,BI121&lt;2),0,IF('Proposed Lighting'!CH121=100,0,IF(AV121=1,0,IF(AND(AM121=35,M121+N121&lt;2),0,AM121)))))))))))</f>
        <v>0</v>
      </c>
      <c r="AQ121" s="1249" t="str">
        <f>IFERROR(ROUND(IF(Q121="","",IF('Proposed Lighting'!$X$4=0,0,IF(AND(AM121=35,M121+N121&lt;2),0,IF(T121&gt;K121,0,IF('Proposed Lighting'!AU121=1,0,IF(AJ121=0,0,IF(AND('Proposed Lighting'!AU121=3,AM121=0.5),0,IF(AND(AD121=75,AP121=0,AV121=0),0,IF(AP121&gt;0.01,AP121*T121,IF(AND(F121&gt;1,W121&lt;0.01),0,IF(AND(F121&gt;1,AO121=0),0,IF(AND('Proposed Lighting'!BC121=22,AV121=0),0,IF(AND(AM121&gt;0,AS121&gt;0,BI121&lt;2),0,IF(AND(AS121&gt;0.01,BK121=0),0,IF(AND(AO121=TRUE,AV121=1,F121=3),MIN(AJ121*0.08,L121),IF(AP121&gt;0.01,AP121*T121,IF(AND(AO121=TRUE,AV121=1,F121=2),MIN(AJ121*0.1,L121)))))))))))))))))),2),"")</f>
        <v/>
      </c>
      <c r="AR121" s="1250">
        <f>IF(Q121=0,0,IF('Proposed Lighting'!$X$4=0,0,IF(AND(AM121&gt;0.01,AQ121&gt;0.01),0,IF('Proposed Lighting'!AU121=1,"Missing Interior or Exterior Selection",IF('Proposed Lighting'!CF121=1,"Selection does not match",IF(K121&gt;'Proposed Lighting'!AA121,"Quantity controlled does not match proposed lighting quantity",IF(T121&gt;K121,"Quantity of sensors exceeds proposed lighting quantity",IF(AND(F121&gt;1,'Proposed Lighting'!AU121&lt;&gt;F121),"Selection does not match",IF(AND(AD121&gt;AA121,AA121&gt;0),"Does not meet minimum connected load",IF(AND(O121&gt;0,AS121&gt;0,BK121&gt;0,'Proposed Lighting'!CH121=0),"Select Control Strategies",IF(AND(AC121&gt;0.1,AJ121=0,AQ121=0),"Does not meet incentive criteria",0)))))))))))</f>
        <v>0</v>
      </c>
      <c r="AS121" s="1224">
        <f>IF('Proposed Lighting'!CH121=100,0,IF(ISNUMBER(SEARCH("multiple",Q121)),1,0))</f>
        <v>0</v>
      </c>
      <c r="AT121" s="451">
        <f t="shared" si="21"/>
        <v>0</v>
      </c>
      <c r="AU121" s="451">
        <f t="shared" si="22"/>
        <v>0</v>
      </c>
      <c r="AV121" s="1222">
        <f>IF(ISNUMBER(SEARCH("Networked",'Proposed Lighting'!T121)),0,IF(ISNUMBER(SEARCH("Strategies",'Proposed Lighting'!T121)),0,IF(ISNUMBER(SEARCH("Removal",'Proposed Lighting'!T121)),0,IF(ISNUMBER(SEARCH("non-standard",Q121)),1,0))))</f>
        <v>0</v>
      </c>
      <c r="AW121" s="451">
        <f t="shared" si="25"/>
        <v>0</v>
      </c>
      <c r="AX121" s="451"/>
      <c r="AY121" s="451"/>
      <c r="AZ121" s="451"/>
      <c r="BA121" s="451"/>
      <c r="BB121" s="451"/>
      <c r="BC121" s="1215"/>
      <c r="BD121" s="1215"/>
      <c r="BE121" s="1215"/>
      <c r="BF121" s="1215"/>
      <c r="BG121" s="1215"/>
      <c r="BH121" s="1215"/>
      <c r="BI121">
        <f>IF(AND(AS121=1,BC121="No",BD121="Yes",BE121="Yes",BF121="No",BH121="No"),0,IF(AND('Proposed Lighting'!AU121=2,AS121=1,BC121="Yes",BD121="Yes"),2,IF(AND('Proposed Lighting'!AU121=2,AS121=1,BC121="Yes",BE121="Yes"),2,IF(AND('Proposed Lighting'!AU121=2,AS121=1,BC121="Yes",BF121="Yes"),2,IF(AND('Proposed Lighting'!AU121=2,AS121=1,BC121="Yes",BH121="Yes"),2,IF(AND('Proposed Lighting'!AU121=2,AS121=1,BD121="Yes",BF121="Yes"),2,IF(AND('Proposed Lighting'!AU121=2,AS121=1,BD121="Yes",BH121="Yes"),2,IF(AND('Proposed Lighting'!AU121=3,AS121=1,BC121="Yes",BE121="Yes"),2,IF(AND('Proposed Lighting'!AU121=3,AS121=1,BC121="Yes",BF121="Yes"),2,0)))))))))</f>
        <v>0</v>
      </c>
      <c r="BJ121" s="1025">
        <f t="shared" si="23"/>
        <v>0</v>
      </c>
      <c r="BK121">
        <f>IF(AND('Proposed Lighting'!BC121=22,'Lighting Controls'!N121=1),0,IF(ISNUMBER(SEARCH("LED",G121)),1,0))</f>
        <v>0</v>
      </c>
    </row>
    <row r="122" spans="1:63" ht="34.5" customHeight="1">
      <c r="A122" s="917">
        <v>114</v>
      </c>
      <c r="B122" s="1828" t="str">
        <f>IF('Proposed Lighting'!B122="","",'Proposed Lighting'!B122)</f>
        <v/>
      </c>
      <c r="C122" s="1828"/>
      <c r="D122" s="1828"/>
      <c r="E122" s="1245">
        <f>'Proposed Lighting'!AA122</f>
        <v>0</v>
      </c>
      <c r="F122" s="1245">
        <f t="shared" si="16"/>
        <v>0</v>
      </c>
      <c r="G122" s="1830" t="str">
        <f>IF('Proposed Lighting'!T122="","",IF(ISNUMBER(SEARCH("Networked",'Proposed Lighting'!T122)),0,IF(ISNUMBER(SEARCH("Strategies",'Proposed Lighting'!T122)),0,IF(ISNUMBER(SEARCH("Removal",'Proposed Lighting'!T122)),0,'Proposed Lighting'!T122))))</f>
        <v/>
      </c>
      <c r="H122" s="1830"/>
      <c r="I122" s="1830"/>
      <c r="J122" s="1830"/>
      <c r="K122" s="1215"/>
      <c r="L122" s="1246">
        <f t="shared" si="17"/>
        <v>0</v>
      </c>
      <c r="M122" s="1224">
        <f t="shared" si="18"/>
        <v>0</v>
      </c>
      <c r="N122" s="1224">
        <f t="shared" si="19"/>
        <v>0</v>
      </c>
      <c r="O122" s="1825" t="str">
        <f>IF(G122=0,0,IF(ISNA('Proposed Lighting'!AT122),0,'Proposed Lighting'!AT122))</f>
        <v/>
      </c>
      <c r="P122" s="1825"/>
      <c r="Q122" s="1247"/>
      <c r="R122" s="1247"/>
      <c r="S122" s="1247"/>
      <c r="T122" s="1211"/>
      <c r="U122" s="1235">
        <f>IF(K122&gt;0.01,'Proposed Lighting'!CU122,0)</f>
        <v>0</v>
      </c>
      <c r="V122" s="1248">
        <f>IF('Proposed Lighting'!CF122=1,0,IF('Proposed Lighting'!AU122=2,0,IF(AND('Proposed Lighting'!AU122=3,'Proposed Lighting'!CF122=0),1,0)))</f>
        <v>0</v>
      </c>
      <c r="W122" s="1836"/>
      <c r="X122" s="1836"/>
      <c r="Y122" s="1836"/>
      <c r="Z122" s="1230" t="str">
        <f t="shared" si="13"/>
        <v/>
      </c>
      <c r="AA122" s="1230">
        <f t="shared" si="14"/>
        <v>0</v>
      </c>
      <c r="AB122" s="1230">
        <f>IF(Q122=0,0,IF(T122=0,0,IF(AA122=0,0,IF(AND(F122=3,V122=0),0,IF(T122=0,0,IF(K122&gt;'Proposed Lighting'!AA122,0,IF('Proposed Lighting'!EJ122&gt;0.01,(K122*O122)*'Proposed Lighting'!EJ122/1000,(K122*O122)*U122/1000)))))))</f>
        <v>0</v>
      </c>
      <c r="AC122" s="1230" t="str">
        <f t="shared" si="20"/>
        <v/>
      </c>
      <c r="AD122" s="1230">
        <f t="shared" si="15"/>
        <v>0</v>
      </c>
      <c r="AE122" s="1230">
        <f>IF(T122=0,0,IF(K122&gt;'Proposed Lighting'!AA122,0,IF(T122&gt;K122,0,IF(AND(AD122&gt;AA122,AA122&gt;0),0,IF(AND(F122&gt;1,W122&lt;0.01),0,IF('Proposed Lighting'!AU122&gt;'Lighting Controls'!F122,0,IF('Proposed Lighting'!AU122&lt;'Lighting Controls'!F122,0,IF(U122=0,0,Summary!AC425))))))))</f>
        <v>0</v>
      </c>
      <c r="AF122" s="1230">
        <f>IF(T122=0,0,IF(AE122=0,0,IF(K122&gt;'Proposed Lighting'!AA122,0,IF(AND(AD122&gt;AA122,AA122&gt;0),0,IF(U122=0,0,Summary!AD425)))))</f>
        <v>0</v>
      </c>
      <c r="AG122" s="1834">
        <f>IF('Proposed Lighting'!AU122=1,0,IF('Proposed Lighting'!CF122=1,0,T122*W122))</f>
        <v>0</v>
      </c>
      <c r="AH122" s="1834"/>
      <c r="AI122" s="1834"/>
      <c r="AJ122" s="1835">
        <f>IF(T122&lt;1,0,IF(K122&gt;'Proposed Lighting'!AA122,0,IF('Proposed Lighting'!CF122=1,0,IF('Proposed Lighting'!AU122=1,0,IF(T122&gt;K122,0,IF(AND(AD122&gt;AA122,AA122&gt;0),0,IF(AND(F122=2,'Proposed Lighting'!AU122=3),0,IF(AND(F122=3,'Proposed Lighting'!AU122=2),0,IF('Proposed Lighting'!CH122=100,0,IF(AND(F122&lt;3,V122=1,AM122=0),0,IF(AND(F122&gt;1,AF122&lt;1,AN122&lt;1),0,IF(AND(F122&gt;1,AE122&lt;0.69,AF122&lt;1,AN122&lt;1),0,IF(ISERROR(AB122-AC122),"",AB122-AC122)))))))))))))</f>
        <v>0</v>
      </c>
      <c r="AK122" s="1835"/>
      <c r="AL122" s="1835"/>
      <c r="AM122" s="1216">
        <f>IF(Q122=0,0,IF(T122=0,0,IF(T122&gt;K122,0,IF(AND(AS122&gt;0.01,BK122=0),0,IF(AND('Proposed Lighting'!DG122=0,'Lighting Controls'!Z122=0.35),0,IF(AND(T122&lt;=K122,AA122&gt;=AD122,'Proposed Lighting'!AU122=2),VLOOKUP(Q122,$AY$9:$AZ$15,2,FALSE),IF(AND(T122&lt;=K122,AA122&gt;=AD122,'Proposed Lighting'!AU122=3),VLOOKUP(Q122,$AY$17:$AZ$23,2,FALSE))))))))</f>
        <v>0</v>
      </c>
      <c r="AN122" s="1248">
        <f>IF(T122=0,0,IF(K122&gt;'Proposed Lighting'!AA122,0,IF(AE122=0,0,IF(AND(AD122&gt;AA122,AA122&gt;0),0,IF(U122=0,0,Summary!AE425)))))</f>
        <v>0</v>
      </c>
      <c r="AO122" s="1248">
        <f t="shared" si="24"/>
        <v>0</v>
      </c>
      <c r="AP122" s="1249">
        <f>IF('Proposed Lighting'!AU122=1,0,IF(K122=0,0,IF(T122&gt;K122,0,IF(G122=0,0,IF(K122&gt;'Proposed Lighting'!AA122,0,IF(AND(AD122&gt;AA122,AA122&gt;0),0,IF(AND('Proposed Lighting'!AU122=3,AM122=0.5),0,IF(AND(AM122&gt;0,AS122&gt;0,BI122&lt;2),0,IF('Proposed Lighting'!CH122=100,0,IF(AV122=1,0,IF(AND(AM122=35,M122+N122&lt;2),0,AM122)))))))))))</f>
        <v>0</v>
      </c>
      <c r="AQ122" s="1249" t="str">
        <f>IFERROR(ROUND(IF(Q122="","",IF('Proposed Lighting'!$X$4=0,0,IF(AND(AM122=35,M122+N122&lt;2),0,IF(T122&gt;K122,0,IF('Proposed Lighting'!AU122=1,0,IF(AJ122=0,0,IF(AND('Proposed Lighting'!AU122=3,AM122=0.5),0,IF(AND(AD122=75,AP122=0,AV122=0),0,IF(AP122&gt;0.01,AP122*T122,IF(AND(F122&gt;1,W122&lt;0.01),0,IF(AND(F122&gt;1,AO122=0),0,IF(AND('Proposed Lighting'!BC122=22,AV122=0),0,IF(AND(AM122&gt;0,AS122&gt;0,BI122&lt;2),0,IF(AND(AS122&gt;0.01,BK122=0),0,IF(AND(AO122=TRUE,AV122=1,F122=3),MIN(AJ122*0.08,L122),IF(AP122&gt;0.01,AP122*T122,IF(AND(AO122=TRUE,AV122=1,F122=2),MIN(AJ122*0.1,L122)))))))))))))))))),2),"")</f>
        <v/>
      </c>
      <c r="AR122" s="1250">
        <f>IF(Q122=0,0,IF('Proposed Lighting'!$X$4=0,0,IF(AND(AM122&gt;0.01,AQ122&gt;0.01),0,IF('Proposed Lighting'!AU122=1,"Missing Interior or Exterior Selection",IF('Proposed Lighting'!CF122=1,"Selection does not match",IF(K122&gt;'Proposed Lighting'!AA122,"Quantity controlled does not match proposed lighting quantity",IF(T122&gt;K122,"Quantity of sensors exceeds proposed lighting quantity",IF(AND(F122&gt;1,'Proposed Lighting'!AU122&lt;&gt;F122),"Selection does not match",IF(AND(AD122&gt;AA122,AA122&gt;0),"Does not meet minimum connected load",IF(AND(O122&gt;0,AS122&gt;0,BK122&gt;0,'Proposed Lighting'!CH122=0),"Select Control Strategies",IF(AND(AC122&gt;0.1,AJ122=0,AQ122=0),"Does not meet incentive criteria",0)))))))))))</f>
        <v>0</v>
      </c>
      <c r="AS122" s="1224">
        <f>IF('Proposed Lighting'!CH122=100,0,IF(ISNUMBER(SEARCH("multiple",Q122)),1,0))</f>
        <v>0</v>
      </c>
      <c r="AT122" s="451">
        <f t="shared" si="21"/>
        <v>0</v>
      </c>
      <c r="AU122" s="451">
        <f t="shared" si="22"/>
        <v>0</v>
      </c>
      <c r="AV122" s="1222">
        <f>IF(ISNUMBER(SEARCH("Networked",'Proposed Lighting'!T122)),0,IF(ISNUMBER(SEARCH("Strategies",'Proposed Lighting'!T122)),0,IF(ISNUMBER(SEARCH("Removal",'Proposed Lighting'!T122)),0,IF(ISNUMBER(SEARCH("non-standard",Q122)),1,0))))</f>
        <v>0</v>
      </c>
      <c r="AW122" s="451">
        <f t="shared" si="25"/>
        <v>0</v>
      </c>
      <c r="AX122" s="451"/>
      <c r="AY122" s="451"/>
      <c r="AZ122" s="451"/>
      <c r="BA122" s="451"/>
      <c r="BB122" s="451"/>
      <c r="BC122" s="1215"/>
      <c r="BD122" s="1215"/>
      <c r="BE122" s="1215"/>
      <c r="BF122" s="1215"/>
      <c r="BG122" s="1215"/>
      <c r="BH122" s="1215"/>
      <c r="BI122">
        <f>IF(AND(AS122=1,BC122="No",BD122="Yes",BE122="Yes",BF122="No",BH122="No"),0,IF(AND('Proposed Lighting'!AU122=2,AS122=1,BC122="Yes",BD122="Yes"),2,IF(AND('Proposed Lighting'!AU122=2,AS122=1,BC122="Yes",BE122="Yes"),2,IF(AND('Proposed Lighting'!AU122=2,AS122=1,BC122="Yes",BF122="Yes"),2,IF(AND('Proposed Lighting'!AU122=2,AS122=1,BC122="Yes",BH122="Yes"),2,IF(AND('Proposed Lighting'!AU122=2,AS122=1,BD122="Yes",BF122="Yes"),2,IF(AND('Proposed Lighting'!AU122=2,AS122=1,BD122="Yes",BH122="Yes"),2,IF(AND('Proposed Lighting'!AU122=3,AS122=1,BC122="Yes",BE122="Yes"),2,IF(AND('Proposed Lighting'!AU122=3,AS122=1,BC122="Yes",BF122="Yes"),2,0)))))))))</f>
        <v>0</v>
      </c>
      <c r="BJ122" s="1025">
        <f t="shared" si="23"/>
        <v>0</v>
      </c>
      <c r="BK122">
        <f>IF(AND('Proposed Lighting'!BC122=22,'Lighting Controls'!N122=1),0,IF(ISNUMBER(SEARCH("LED",G122)),1,0))</f>
        <v>0</v>
      </c>
    </row>
    <row r="123" spans="1:63" ht="34.5" customHeight="1">
      <c r="A123" s="917">
        <v>115</v>
      </c>
      <c r="B123" s="1828" t="str">
        <f>IF('Proposed Lighting'!B123="","",'Proposed Lighting'!B123)</f>
        <v/>
      </c>
      <c r="C123" s="1828"/>
      <c r="D123" s="1828"/>
      <c r="E123" s="1245">
        <f>'Proposed Lighting'!AA123</f>
        <v>0</v>
      </c>
      <c r="F123" s="1245">
        <f t="shared" si="16"/>
        <v>0</v>
      </c>
      <c r="G123" s="1830" t="str">
        <f>IF('Proposed Lighting'!T123="","",IF(ISNUMBER(SEARCH("Networked",'Proposed Lighting'!T123)),0,IF(ISNUMBER(SEARCH("Strategies",'Proposed Lighting'!T123)),0,IF(ISNUMBER(SEARCH("Removal",'Proposed Lighting'!T123)),0,'Proposed Lighting'!T123))))</f>
        <v/>
      </c>
      <c r="H123" s="1830"/>
      <c r="I123" s="1830"/>
      <c r="J123" s="1830"/>
      <c r="K123" s="1215"/>
      <c r="L123" s="1246">
        <f t="shared" si="17"/>
        <v>0</v>
      </c>
      <c r="M123" s="1224">
        <f t="shared" si="18"/>
        <v>0</v>
      </c>
      <c r="N123" s="1224">
        <f t="shared" si="19"/>
        <v>0</v>
      </c>
      <c r="O123" s="1825" t="str">
        <f>IF(G123=0,0,IF(ISNA('Proposed Lighting'!AT123),0,'Proposed Lighting'!AT123))</f>
        <v/>
      </c>
      <c r="P123" s="1825"/>
      <c r="Q123" s="1247"/>
      <c r="R123" s="1247"/>
      <c r="S123" s="1247"/>
      <c r="T123" s="1211"/>
      <c r="U123" s="1235">
        <f>IF(K123&gt;0.01,'Proposed Lighting'!CU123,0)</f>
        <v>0</v>
      </c>
      <c r="V123" s="1248">
        <f>IF('Proposed Lighting'!CF123=1,0,IF('Proposed Lighting'!AU123=2,0,IF(AND('Proposed Lighting'!AU123=3,'Proposed Lighting'!CF123=0),1,0)))</f>
        <v>0</v>
      </c>
      <c r="W123" s="1836"/>
      <c r="X123" s="1836"/>
      <c r="Y123" s="1836"/>
      <c r="Z123" s="1230" t="str">
        <f t="shared" si="13"/>
        <v/>
      </c>
      <c r="AA123" s="1230">
        <f t="shared" si="14"/>
        <v>0</v>
      </c>
      <c r="AB123" s="1230">
        <f>IF(Q123=0,0,IF(T123=0,0,IF(AA123=0,0,IF(AND(F123=3,V123=0),0,IF(T123=0,0,IF(K123&gt;'Proposed Lighting'!AA123,0,IF('Proposed Lighting'!EJ123&gt;0.01,(K123*O123)*'Proposed Lighting'!EJ123/1000,(K123*O123)*U123/1000)))))))</f>
        <v>0</v>
      </c>
      <c r="AC123" s="1230" t="str">
        <f t="shared" si="20"/>
        <v/>
      </c>
      <c r="AD123" s="1230">
        <f t="shared" si="15"/>
        <v>0</v>
      </c>
      <c r="AE123" s="1230">
        <f>IF(T123=0,0,IF(K123&gt;'Proposed Lighting'!AA123,0,IF(T123&gt;K123,0,IF(AND(AD123&gt;AA123,AA123&gt;0),0,IF(AND(F123&gt;1,W123&lt;0.01),0,IF('Proposed Lighting'!AU123&gt;'Lighting Controls'!F123,0,IF('Proposed Lighting'!AU123&lt;'Lighting Controls'!F123,0,IF(U123=0,0,Summary!AC426))))))))</f>
        <v>0</v>
      </c>
      <c r="AF123" s="1230">
        <f>IF(T123=0,0,IF(AE123=0,0,IF(K123&gt;'Proposed Lighting'!AA123,0,IF(AND(AD123&gt;AA123,AA123&gt;0),0,IF(U123=0,0,Summary!AD426)))))</f>
        <v>0</v>
      </c>
      <c r="AG123" s="1834">
        <f>IF('Proposed Lighting'!AU123=1,0,IF('Proposed Lighting'!CF123=1,0,T123*W123))</f>
        <v>0</v>
      </c>
      <c r="AH123" s="1834"/>
      <c r="AI123" s="1834"/>
      <c r="AJ123" s="1835">
        <f>IF(T123&lt;1,0,IF(K123&gt;'Proposed Lighting'!AA123,0,IF('Proposed Lighting'!CF123=1,0,IF('Proposed Lighting'!AU123=1,0,IF(T123&gt;K123,0,IF(AND(AD123&gt;AA123,AA123&gt;0),0,IF(AND(F123=2,'Proposed Lighting'!AU123=3),0,IF(AND(F123=3,'Proposed Lighting'!AU123=2),0,IF('Proposed Lighting'!CH123=100,0,IF(AND(F123&lt;3,V123=1,AM123=0),0,IF(AND(F123&gt;1,AF123&lt;1,AN123&lt;1),0,IF(AND(F123&gt;1,AE123&lt;0.69,AF123&lt;1,AN123&lt;1),0,IF(ISERROR(AB123-AC123),"",AB123-AC123)))))))))))))</f>
        <v>0</v>
      </c>
      <c r="AK123" s="1835"/>
      <c r="AL123" s="1835"/>
      <c r="AM123" s="1216">
        <f>IF(Q123=0,0,IF(T123=0,0,IF(T123&gt;K123,0,IF(AND(AS123&gt;0.01,BK123=0),0,IF(AND('Proposed Lighting'!DG123=0,'Lighting Controls'!Z123=0.35),0,IF(AND(T123&lt;=K123,AA123&gt;=AD123,'Proposed Lighting'!AU123=2),VLOOKUP(Q123,$AY$9:$AZ$15,2,FALSE),IF(AND(T123&lt;=K123,AA123&gt;=AD123,'Proposed Lighting'!AU123=3),VLOOKUP(Q123,$AY$17:$AZ$23,2,FALSE))))))))</f>
        <v>0</v>
      </c>
      <c r="AN123" s="1248">
        <f>IF(T123=0,0,IF(K123&gt;'Proposed Lighting'!AA123,0,IF(AE123=0,0,IF(AND(AD123&gt;AA123,AA123&gt;0),0,IF(U123=0,0,Summary!AE426)))))</f>
        <v>0</v>
      </c>
      <c r="AO123" s="1248">
        <f t="shared" si="24"/>
        <v>0</v>
      </c>
      <c r="AP123" s="1249">
        <f>IF('Proposed Lighting'!AU123=1,0,IF(K123=0,0,IF(T123&gt;K123,0,IF(G123=0,0,IF(K123&gt;'Proposed Lighting'!AA123,0,IF(AND(AD123&gt;AA123,AA123&gt;0),0,IF(AND('Proposed Lighting'!AU123=3,AM123=0.5),0,IF(AND(AM123&gt;0,AS123&gt;0,BI123&lt;2),0,IF('Proposed Lighting'!CH123=100,0,IF(AV123=1,0,IF(AND(AM123=35,M123+N123&lt;2),0,AM123)))))))))))</f>
        <v>0</v>
      </c>
      <c r="AQ123" s="1249" t="str">
        <f>IFERROR(ROUND(IF(Q123="","",IF('Proposed Lighting'!$X$4=0,0,IF(AND(AM123=35,M123+N123&lt;2),0,IF(T123&gt;K123,0,IF('Proposed Lighting'!AU123=1,0,IF(AJ123=0,0,IF(AND('Proposed Lighting'!AU123=3,AM123=0.5),0,IF(AND(AD123=75,AP123=0,AV123=0),0,IF(AP123&gt;0.01,AP123*T123,IF(AND(F123&gt;1,W123&lt;0.01),0,IF(AND(F123&gt;1,AO123=0),0,IF(AND('Proposed Lighting'!BC123=22,AV123=0),0,IF(AND(AM123&gt;0,AS123&gt;0,BI123&lt;2),0,IF(AND(AS123&gt;0.01,BK123=0),0,IF(AND(AO123=TRUE,AV123=1,F123=3),MIN(AJ123*0.08,L123),IF(AP123&gt;0.01,AP123*T123,IF(AND(AO123=TRUE,AV123=1,F123=2),MIN(AJ123*0.1,L123)))))))))))))))))),2),"")</f>
        <v/>
      </c>
      <c r="AR123" s="1250">
        <f>IF(Q123=0,0,IF('Proposed Lighting'!$X$4=0,0,IF(AND(AM123&gt;0.01,AQ123&gt;0.01),0,IF('Proposed Lighting'!AU123=1,"Missing Interior or Exterior Selection",IF('Proposed Lighting'!CF123=1,"Selection does not match",IF(K123&gt;'Proposed Lighting'!AA123,"Quantity controlled does not match proposed lighting quantity",IF(T123&gt;K123,"Quantity of sensors exceeds proposed lighting quantity",IF(AND(F123&gt;1,'Proposed Lighting'!AU123&lt;&gt;F123),"Selection does not match",IF(AND(AD123&gt;AA123,AA123&gt;0),"Does not meet minimum connected load",IF(AND(O123&gt;0,AS123&gt;0,BK123&gt;0,'Proposed Lighting'!CH123=0),"Select Control Strategies",IF(AND(AC123&gt;0.1,AJ123=0,AQ123=0),"Does not meet incentive criteria",0)))))))))))</f>
        <v>0</v>
      </c>
      <c r="AS123" s="1224">
        <f>IF('Proposed Lighting'!CH123=100,0,IF(ISNUMBER(SEARCH("multiple",Q123)),1,0))</f>
        <v>0</v>
      </c>
      <c r="AT123" s="451">
        <f t="shared" si="21"/>
        <v>0</v>
      </c>
      <c r="AU123" s="451">
        <f t="shared" si="22"/>
        <v>0</v>
      </c>
      <c r="AV123" s="1222">
        <f>IF(ISNUMBER(SEARCH("Networked",'Proposed Lighting'!T123)),0,IF(ISNUMBER(SEARCH("Strategies",'Proposed Lighting'!T123)),0,IF(ISNUMBER(SEARCH("Removal",'Proposed Lighting'!T123)),0,IF(ISNUMBER(SEARCH("non-standard",Q123)),1,0))))</f>
        <v>0</v>
      </c>
      <c r="AW123" s="451">
        <f t="shared" si="25"/>
        <v>0</v>
      </c>
      <c r="AX123" s="451"/>
      <c r="AY123" s="451"/>
      <c r="AZ123" s="451"/>
      <c r="BA123" s="451"/>
      <c r="BB123" s="451"/>
      <c r="BC123" s="1215"/>
      <c r="BD123" s="1215"/>
      <c r="BE123" s="1215"/>
      <c r="BF123" s="1215"/>
      <c r="BG123" s="1215"/>
      <c r="BH123" s="1215"/>
      <c r="BI123">
        <f>IF(AND(AS123=1,BC123="No",BD123="Yes",BE123="Yes",BF123="No",BH123="No"),0,IF(AND('Proposed Lighting'!AU123=2,AS123=1,BC123="Yes",BD123="Yes"),2,IF(AND('Proposed Lighting'!AU123=2,AS123=1,BC123="Yes",BE123="Yes"),2,IF(AND('Proposed Lighting'!AU123=2,AS123=1,BC123="Yes",BF123="Yes"),2,IF(AND('Proposed Lighting'!AU123=2,AS123=1,BC123="Yes",BH123="Yes"),2,IF(AND('Proposed Lighting'!AU123=2,AS123=1,BD123="Yes",BF123="Yes"),2,IF(AND('Proposed Lighting'!AU123=2,AS123=1,BD123="Yes",BH123="Yes"),2,IF(AND('Proposed Lighting'!AU123=3,AS123=1,BC123="Yes",BE123="Yes"),2,IF(AND('Proposed Lighting'!AU123=3,AS123=1,BC123="Yes",BF123="Yes"),2,0)))))))))</f>
        <v>0</v>
      </c>
      <c r="BJ123" s="1025">
        <f t="shared" si="23"/>
        <v>0</v>
      </c>
      <c r="BK123">
        <f>IF(AND('Proposed Lighting'!BC123=22,'Lighting Controls'!N123=1),0,IF(ISNUMBER(SEARCH("LED",G123)),1,0))</f>
        <v>0</v>
      </c>
    </row>
    <row r="124" spans="1:63" ht="34.5" customHeight="1">
      <c r="A124" s="917">
        <v>116</v>
      </c>
      <c r="B124" s="1828" t="str">
        <f>IF('Proposed Lighting'!B124="","",'Proposed Lighting'!B124)</f>
        <v/>
      </c>
      <c r="C124" s="1828"/>
      <c r="D124" s="1828"/>
      <c r="E124" s="1245">
        <f>'Proposed Lighting'!AA124</f>
        <v>0</v>
      </c>
      <c r="F124" s="1245">
        <f t="shared" si="16"/>
        <v>0</v>
      </c>
      <c r="G124" s="1830" t="str">
        <f>IF('Proposed Lighting'!T124="","",IF(ISNUMBER(SEARCH("Networked",'Proposed Lighting'!T124)),0,IF(ISNUMBER(SEARCH("Strategies",'Proposed Lighting'!T124)),0,IF(ISNUMBER(SEARCH("Removal",'Proposed Lighting'!T124)),0,'Proposed Lighting'!T124))))</f>
        <v/>
      </c>
      <c r="H124" s="1830"/>
      <c r="I124" s="1830"/>
      <c r="J124" s="1830"/>
      <c r="K124" s="1215"/>
      <c r="L124" s="1246">
        <f t="shared" si="17"/>
        <v>0</v>
      </c>
      <c r="M124" s="1224">
        <f t="shared" si="18"/>
        <v>0</v>
      </c>
      <c r="N124" s="1224">
        <f t="shared" si="19"/>
        <v>0</v>
      </c>
      <c r="O124" s="1825" t="str">
        <f>IF(G124=0,0,IF(ISNA('Proposed Lighting'!AT124),0,'Proposed Lighting'!AT124))</f>
        <v/>
      </c>
      <c r="P124" s="1825"/>
      <c r="Q124" s="1247"/>
      <c r="R124" s="1247"/>
      <c r="S124" s="1247"/>
      <c r="T124" s="1211"/>
      <c r="U124" s="1235">
        <f>IF(K124&gt;0.01,'Proposed Lighting'!CU124,0)</f>
        <v>0</v>
      </c>
      <c r="V124" s="1248">
        <f>IF('Proposed Lighting'!CF124=1,0,IF('Proposed Lighting'!AU124=2,0,IF(AND('Proposed Lighting'!AU124=3,'Proposed Lighting'!CF124=0),1,0)))</f>
        <v>0</v>
      </c>
      <c r="W124" s="1836"/>
      <c r="X124" s="1836"/>
      <c r="Y124" s="1836"/>
      <c r="Z124" s="1230" t="str">
        <f t="shared" si="13"/>
        <v/>
      </c>
      <c r="AA124" s="1230">
        <f t="shared" si="14"/>
        <v>0</v>
      </c>
      <c r="AB124" s="1230">
        <f>IF(Q124=0,0,IF(T124=0,0,IF(AA124=0,0,IF(AND(F124=3,V124=0),0,IF(T124=0,0,IF(K124&gt;'Proposed Lighting'!AA124,0,IF('Proposed Lighting'!EJ124&gt;0.01,(K124*O124)*'Proposed Lighting'!EJ124/1000,(K124*O124)*U124/1000)))))))</f>
        <v>0</v>
      </c>
      <c r="AC124" s="1230" t="str">
        <f t="shared" si="20"/>
        <v/>
      </c>
      <c r="AD124" s="1230">
        <f t="shared" si="15"/>
        <v>0</v>
      </c>
      <c r="AE124" s="1230">
        <f>IF(T124=0,0,IF(K124&gt;'Proposed Lighting'!AA124,0,IF(T124&gt;K124,0,IF(AND(AD124&gt;AA124,AA124&gt;0),0,IF(AND(F124&gt;1,W124&lt;0.01),0,IF('Proposed Lighting'!AU124&gt;'Lighting Controls'!F124,0,IF('Proposed Lighting'!AU124&lt;'Lighting Controls'!F124,0,IF(U124=0,0,Summary!AC427))))))))</f>
        <v>0</v>
      </c>
      <c r="AF124" s="1230">
        <f>IF(T124=0,0,IF(AE124=0,0,IF(K124&gt;'Proposed Lighting'!AA124,0,IF(AND(AD124&gt;AA124,AA124&gt;0),0,IF(U124=0,0,Summary!AD427)))))</f>
        <v>0</v>
      </c>
      <c r="AG124" s="1834">
        <f>IF('Proposed Lighting'!AU124=1,0,IF('Proposed Lighting'!CF124=1,0,T124*W124))</f>
        <v>0</v>
      </c>
      <c r="AH124" s="1834"/>
      <c r="AI124" s="1834"/>
      <c r="AJ124" s="1835">
        <f>IF(T124&lt;1,0,IF(K124&gt;'Proposed Lighting'!AA124,0,IF('Proposed Lighting'!CF124=1,0,IF('Proposed Lighting'!AU124=1,0,IF(T124&gt;K124,0,IF(AND(AD124&gt;AA124,AA124&gt;0),0,IF(AND(F124=2,'Proposed Lighting'!AU124=3),0,IF(AND(F124=3,'Proposed Lighting'!AU124=2),0,IF('Proposed Lighting'!CH124=100,0,IF(AND(F124&lt;3,V124=1,AM124=0),0,IF(AND(F124&gt;1,AF124&lt;1,AN124&lt;1),0,IF(AND(F124&gt;1,AE124&lt;0.69,AF124&lt;1,AN124&lt;1),0,IF(ISERROR(AB124-AC124),"",AB124-AC124)))))))))))))</f>
        <v>0</v>
      </c>
      <c r="AK124" s="1835"/>
      <c r="AL124" s="1835"/>
      <c r="AM124" s="1216">
        <f>IF(Q124=0,0,IF(T124=0,0,IF(T124&gt;K124,0,IF(AND(AS124&gt;0.01,BK124=0),0,IF(AND('Proposed Lighting'!DG124=0,'Lighting Controls'!Z124=0.35),0,IF(AND(T124&lt;=K124,AA124&gt;=AD124,'Proposed Lighting'!AU124=2),VLOOKUP(Q124,$AY$9:$AZ$15,2,FALSE),IF(AND(T124&lt;=K124,AA124&gt;=AD124,'Proposed Lighting'!AU124=3),VLOOKUP(Q124,$AY$17:$AZ$23,2,FALSE))))))))</f>
        <v>0</v>
      </c>
      <c r="AN124" s="1248">
        <f>IF(T124=0,0,IF(K124&gt;'Proposed Lighting'!AA124,0,IF(AE124=0,0,IF(AND(AD124&gt;AA124,AA124&gt;0),0,IF(U124=0,0,Summary!AE427)))))</f>
        <v>0</v>
      </c>
      <c r="AO124" s="1248">
        <f t="shared" si="24"/>
        <v>0</v>
      </c>
      <c r="AP124" s="1249">
        <f>IF('Proposed Lighting'!AU124=1,0,IF(K124=0,0,IF(T124&gt;K124,0,IF(G124=0,0,IF(K124&gt;'Proposed Lighting'!AA124,0,IF(AND(AD124&gt;AA124,AA124&gt;0),0,IF(AND('Proposed Lighting'!AU124=3,AM124=0.5),0,IF(AND(AM124&gt;0,AS124&gt;0,BI124&lt;2),0,IF('Proposed Lighting'!CH124=100,0,IF(AV124=1,0,IF(AND(AM124=35,M124+N124&lt;2),0,AM124)))))))))))</f>
        <v>0</v>
      </c>
      <c r="AQ124" s="1249" t="str">
        <f>IFERROR(ROUND(IF(Q124="","",IF('Proposed Lighting'!$X$4=0,0,IF(AND(AM124=35,M124+N124&lt;2),0,IF(T124&gt;K124,0,IF('Proposed Lighting'!AU124=1,0,IF(AJ124=0,0,IF(AND('Proposed Lighting'!AU124=3,AM124=0.5),0,IF(AND(AD124=75,AP124=0,AV124=0),0,IF(AP124&gt;0.01,AP124*T124,IF(AND(F124&gt;1,W124&lt;0.01),0,IF(AND(F124&gt;1,AO124=0),0,IF(AND('Proposed Lighting'!BC124=22,AV124=0),0,IF(AND(AM124&gt;0,AS124&gt;0,BI124&lt;2),0,IF(AND(AS124&gt;0.01,BK124=0),0,IF(AND(AO124=TRUE,AV124=1,F124=3),MIN(AJ124*0.08,L124),IF(AP124&gt;0.01,AP124*T124,IF(AND(AO124=TRUE,AV124=1,F124=2),MIN(AJ124*0.1,L124)))))))))))))))))),2),"")</f>
        <v/>
      </c>
      <c r="AR124" s="1250">
        <f>IF(Q124=0,0,IF('Proposed Lighting'!$X$4=0,0,IF(AND(AM124&gt;0.01,AQ124&gt;0.01),0,IF('Proposed Lighting'!AU124=1,"Missing Interior or Exterior Selection",IF('Proposed Lighting'!CF124=1,"Selection does not match",IF(K124&gt;'Proposed Lighting'!AA124,"Quantity controlled does not match proposed lighting quantity",IF(T124&gt;K124,"Quantity of sensors exceeds proposed lighting quantity",IF(AND(F124&gt;1,'Proposed Lighting'!AU124&lt;&gt;F124),"Selection does not match",IF(AND(AD124&gt;AA124,AA124&gt;0),"Does not meet minimum connected load",IF(AND(O124&gt;0,AS124&gt;0,BK124&gt;0,'Proposed Lighting'!CH124=0),"Select Control Strategies",IF(AND(AC124&gt;0.1,AJ124=0,AQ124=0),"Does not meet incentive criteria",0)))))))))))</f>
        <v>0</v>
      </c>
      <c r="AS124" s="1224">
        <f>IF('Proposed Lighting'!CH124=100,0,IF(ISNUMBER(SEARCH("multiple",Q124)),1,0))</f>
        <v>0</v>
      </c>
      <c r="AT124" s="451">
        <f t="shared" si="21"/>
        <v>0</v>
      </c>
      <c r="AU124" s="451">
        <f t="shared" si="22"/>
        <v>0</v>
      </c>
      <c r="AV124" s="1222">
        <f>IF(ISNUMBER(SEARCH("Networked",'Proposed Lighting'!T124)),0,IF(ISNUMBER(SEARCH("Strategies",'Proposed Lighting'!T124)),0,IF(ISNUMBER(SEARCH("Removal",'Proposed Lighting'!T124)),0,IF(ISNUMBER(SEARCH("non-standard",Q124)),1,0))))</f>
        <v>0</v>
      </c>
      <c r="AW124" s="451">
        <f t="shared" si="25"/>
        <v>0</v>
      </c>
      <c r="AX124" s="451"/>
      <c r="AY124" s="451"/>
      <c r="AZ124" s="451"/>
      <c r="BA124" s="451"/>
      <c r="BB124" s="451"/>
      <c r="BC124" s="1215"/>
      <c r="BD124" s="1215"/>
      <c r="BE124" s="1215"/>
      <c r="BF124" s="1215"/>
      <c r="BG124" s="1215"/>
      <c r="BH124" s="1215"/>
      <c r="BI124">
        <f>IF(AND(AS124=1,BC124="No",BD124="Yes",BE124="Yes",BF124="No",BH124="No"),0,IF(AND('Proposed Lighting'!AU124=2,AS124=1,BC124="Yes",BD124="Yes"),2,IF(AND('Proposed Lighting'!AU124=2,AS124=1,BC124="Yes",BE124="Yes"),2,IF(AND('Proposed Lighting'!AU124=2,AS124=1,BC124="Yes",BF124="Yes"),2,IF(AND('Proposed Lighting'!AU124=2,AS124=1,BC124="Yes",BH124="Yes"),2,IF(AND('Proposed Lighting'!AU124=2,AS124=1,BD124="Yes",BF124="Yes"),2,IF(AND('Proposed Lighting'!AU124=2,AS124=1,BD124="Yes",BH124="Yes"),2,IF(AND('Proposed Lighting'!AU124=3,AS124=1,BC124="Yes",BE124="Yes"),2,IF(AND('Proposed Lighting'!AU124=3,AS124=1,BC124="Yes",BF124="Yes"),2,0)))))))))</f>
        <v>0</v>
      </c>
      <c r="BJ124" s="1025">
        <f t="shared" si="23"/>
        <v>0</v>
      </c>
      <c r="BK124">
        <f>IF(AND('Proposed Lighting'!BC124=22,'Lighting Controls'!N124=1),0,IF(ISNUMBER(SEARCH("LED",G124)),1,0))</f>
        <v>0</v>
      </c>
    </row>
    <row r="125" spans="1:63" ht="34.5" customHeight="1">
      <c r="A125" s="917">
        <v>117</v>
      </c>
      <c r="B125" s="1828" t="str">
        <f>IF('Proposed Lighting'!B125="","",'Proposed Lighting'!B125)</f>
        <v/>
      </c>
      <c r="C125" s="1828"/>
      <c r="D125" s="1828"/>
      <c r="E125" s="1245">
        <f>'Proposed Lighting'!AA125</f>
        <v>0</v>
      </c>
      <c r="F125" s="1245">
        <f t="shared" si="16"/>
        <v>0</v>
      </c>
      <c r="G125" s="1830" t="str">
        <f>IF('Proposed Lighting'!T125="","",IF(ISNUMBER(SEARCH("Networked",'Proposed Lighting'!T125)),0,IF(ISNUMBER(SEARCH("Strategies",'Proposed Lighting'!T125)),0,IF(ISNUMBER(SEARCH("Removal",'Proposed Lighting'!T125)),0,'Proposed Lighting'!T125))))</f>
        <v/>
      </c>
      <c r="H125" s="1830"/>
      <c r="I125" s="1830"/>
      <c r="J125" s="1830"/>
      <c r="K125" s="1215"/>
      <c r="L125" s="1246">
        <f t="shared" si="17"/>
        <v>0</v>
      </c>
      <c r="M125" s="1224">
        <f t="shared" si="18"/>
        <v>0</v>
      </c>
      <c r="N125" s="1224">
        <f t="shared" si="19"/>
        <v>0</v>
      </c>
      <c r="O125" s="1825" t="str">
        <f>IF(G125=0,0,IF(ISNA('Proposed Lighting'!AT125),0,'Proposed Lighting'!AT125))</f>
        <v/>
      </c>
      <c r="P125" s="1825"/>
      <c r="Q125" s="1247"/>
      <c r="R125" s="1247"/>
      <c r="S125" s="1247"/>
      <c r="T125" s="1211"/>
      <c r="U125" s="1235">
        <f>IF(K125&gt;0.01,'Proposed Lighting'!CU125,0)</f>
        <v>0</v>
      </c>
      <c r="V125" s="1248">
        <f>IF('Proposed Lighting'!CF125=1,0,IF('Proposed Lighting'!AU125=2,0,IF(AND('Proposed Lighting'!AU125=3,'Proposed Lighting'!CF125=0),1,0)))</f>
        <v>0</v>
      </c>
      <c r="W125" s="1836"/>
      <c r="X125" s="1836"/>
      <c r="Y125" s="1836"/>
      <c r="Z125" s="1230" t="str">
        <f t="shared" si="13"/>
        <v/>
      </c>
      <c r="AA125" s="1230">
        <f t="shared" si="14"/>
        <v>0</v>
      </c>
      <c r="AB125" s="1230">
        <f>IF(Q125=0,0,IF(T125=0,0,IF(AA125=0,0,IF(AND(F125=3,V125=0),0,IF(T125=0,0,IF(K125&gt;'Proposed Lighting'!AA125,0,IF('Proposed Lighting'!EJ125&gt;0.01,(K125*O125)*'Proposed Lighting'!EJ125/1000,(K125*O125)*U125/1000)))))))</f>
        <v>0</v>
      </c>
      <c r="AC125" s="1230" t="str">
        <f t="shared" si="20"/>
        <v/>
      </c>
      <c r="AD125" s="1230">
        <f t="shared" si="15"/>
        <v>0</v>
      </c>
      <c r="AE125" s="1230">
        <f>IF(T125=0,0,IF(K125&gt;'Proposed Lighting'!AA125,0,IF(T125&gt;K125,0,IF(AND(AD125&gt;AA125,AA125&gt;0),0,IF(AND(F125&gt;1,W125&lt;0.01),0,IF('Proposed Lighting'!AU125&gt;'Lighting Controls'!F125,0,IF('Proposed Lighting'!AU125&lt;'Lighting Controls'!F125,0,IF(U125=0,0,Summary!AC428))))))))</f>
        <v>0</v>
      </c>
      <c r="AF125" s="1230">
        <f>IF(T125=0,0,IF(AE125=0,0,IF(K125&gt;'Proposed Lighting'!AA125,0,IF(AND(AD125&gt;AA125,AA125&gt;0),0,IF(U125=0,0,Summary!AD428)))))</f>
        <v>0</v>
      </c>
      <c r="AG125" s="1834">
        <f>IF('Proposed Lighting'!AU125=1,0,IF('Proposed Lighting'!CF125=1,0,T125*W125))</f>
        <v>0</v>
      </c>
      <c r="AH125" s="1834"/>
      <c r="AI125" s="1834"/>
      <c r="AJ125" s="1835">
        <f>IF(T125&lt;1,0,IF(K125&gt;'Proposed Lighting'!AA125,0,IF('Proposed Lighting'!CF125=1,0,IF('Proposed Lighting'!AU125=1,0,IF(T125&gt;K125,0,IF(AND(AD125&gt;AA125,AA125&gt;0),0,IF(AND(F125=2,'Proposed Lighting'!AU125=3),0,IF(AND(F125=3,'Proposed Lighting'!AU125=2),0,IF('Proposed Lighting'!CH125=100,0,IF(AND(F125&lt;3,V125=1,AM125=0),0,IF(AND(F125&gt;1,AF125&lt;1,AN125&lt;1),0,IF(AND(F125&gt;1,AE125&lt;0.69,AF125&lt;1,AN125&lt;1),0,IF(ISERROR(AB125-AC125),"",AB125-AC125)))))))))))))</f>
        <v>0</v>
      </c>
      <c r="AK125" s="1835"/>
      <c r="AL125" s="1835"/>
      <c r="AM125" s="1216">
        <f>IF(Q125=0,0,IF(T125=0,0,IF(T125&gt;K125,0,IF(AND(AS125&gt;0.01,BK125=0),0,IF(AND('Proposed Lighting'!DG125=0,'Lighting Controls'!Z125=0.35),0,IF(AND(T125&lt;=K125,AA125&gt;=AD125,'Proposed Lighting'!AU125=2),VLOOKUP(Q125,$AY$9:$AZ$15,2,FALSE),IF(AND(T125&lt;=K125,AA125&gt;=AD125,'Proposed Lighting'!AU125=3),VLOOKUP(Q125,$AY$17:$AZ$23,2,FALSE))))))))</f>
        <v>0</v>
      </c>
      <c r="AN125" s="1248">
        <f>IF(T125=0,0,IF(K125&gt;'Proposed Lighting'!AA125,0,IF(AE125=0,0,IF(AND(AD125&gt;AA125,AA125&gt;0),0,IF(U125=0,0,Summary!AE428)))))</f>
        <v>0</v>
      </c>
      <c r="AO125" s="1248">
        <f t="shared" si="24"/>
        <v>0</v>
      </c>
      <c r="AP125" s="1249">
        <f>IF('Proposed Lighting'!AU125=1,0,IF(K125=0,0,IF(T125&gt;K125,0,IF(G125=0,0,IF(K125&gt;'Proposed Lighting'!AA125,0,IF(AND(AD125&gt;AA125,AA125&gt;0),0,IF(AND('Proposed Lighting'!AU125=3,AM125=0.5),0,IF(AND(AM125&gt;0,AS125&gt;0,BI125&lt;2),0,IF('Proposed Lighting'!CH125=100,0,IF(AV125=1,0,IF(AND(AM125=35,M125+N125&lt;2),0,AM125)))))))))))</f>
        <v>0</v>
      </c>
      <c r="AQ125" s="1249" t="str">
        <f>IFERROR(ROUND(IF(Q125="","",IF('Proposed Lighting'!$X$4=0,0,IF(AND(AM125=35,M125+N125&lt;2),0,IF(T125&gt;K125,0,IF('Proposed Lighting'!AU125=1,0,IF(AJ125=0,0,IF(AND('Proposed Lighting'!AU125=3,AM125=0.5),0,IF(AND(AD125=75,AP125=0,AV125=0),0,IF(AP125&gt;0.01,AP125*T125,IF(AND(F125&gt;1,W125&lt;0.01),0,IF(AND(F125&gt;1,AO125=0),0,IF(AND('Proposed Lighting'!BC125=22,AV125=0),0,IF(AND(AM125&gt;0,AS125&gt;0,BI125&lt;2),0,IF(AND(AS125&gt;0.01,BK125=0),0,IF(AND(AO125=TRUE,AV125=1,F125=3),MIN(AJ125*0.08,L125),IF(AP125&gt;0.01,AP125*T125,IF(AND(AO125=TRUE,AV125=1,F125=2),MIN(AJ125*0.1,L125)))))))))))))))))),2),"")</f>
        <v/>
      </c>
      <c r="AR125" s="1250">
        <f>IF(Q125=0,0,IF('Proposed Lighting'!$X$4=0,0,IF(AND(AM125&gt;0.01,AQ125&gt;0.01),0,IF('Proposed Lighting'!AU125=1,"Missing Interior or Exterior Selection",IF('Proposed Lighting'!CF125=1,"Selection does not match",IF(K125&gt;'Proposed Lighting'!AA125,"Quantity controlled does not match proposed lighting quantity",IF(T125&gt;K125,"Quantity of sensors exceeds proposed lighting quantity",IF(AND(F125&gt;1,'Proposed Lighting'!AU125&lt;&gt;F125),"Selection does not match",IF(AND(AD125&gt;AA125,AA125&gt;0),"Does not meet minimum connected load",IF(AND(O125&gt;0,AS125&gt;0,BK125&gt;0,'Proposed Lighting'!CH125=0),"Select Control Strategies",IF(AND(AC125&gt;0.1,AJ125=0,AQ125=0),"Does not meet incentive criteria",0)))))))))))</f>
        <v>0</v>
      </c>
      <c r="AS125" s="1224">
        <f>IF('Proposed Lighting'!CH125=100,0,IF(ISNUMBER(SEARCH("multiple",Q125)),1,0))</f>
        <v>0</v>
      </c>
      <c r="AT125" s="451">
        <f t="shared" si="21"/>
        <v>0</v>
      </c>
      <c r="AU125" s="451">
        <f t="shared" si="22"/>
        <v>0</v>
      </c>
      <c r="AV125" s="1222">
        <f>IF(ISNUMBER(SEARCH("Networked",'Proposed Lighting'!T125)),0,IF(ISNUMBER(SEARCH("Strategies",'Proposed Lighting'!T125)),0,IF(ISNUMBER(SEARCH("Removal",'Proposed Lighting'!T125)),0,IF(ISNUMBER(SEARCH("non-standard",Q125)),1,0))))</f>
        <v>0</v>
      </c>
      <c r="AW125" s="451">
        <f t="shared" si="25"/>
        <v>0</v>
      </c>
      <c r="AX125" s="451"/>
      <c r="AY125" s="451"/>
      <c r="AZ125" s="451"/>
      <c r="BA125" s="451"/>
      <c r="BB125" s="451"/>
      <c r="BC125" s="1215"/>
      <c r="BD125" s="1215"/>
      <c r="BE125" s="1215"/>
      <c r="BF125" s="1215"/>
      <c r="BG125" s="1215"/>
      <c r="BH125" s="1215"/>
      <c r="BI125">
        <f>IF(AND(AS125=1,BC125="No",BD125="Yes",BE125="Yes",BF125="No",BH125="No"),0,IF(AND('Proposed Lighting'!AU125=2,AS125=1,BC125="Yes",BD125="Yes"),2,IF(AND('Proposed Lighting'!AU125=2,AS125=1,BC125="Yes",BE125="Yes"),2,IF(AND('Proposed Lighting'!AU125=2,AS125=1,BC125="Yes",BF125="Yes"),2,IF(AND('Proposed Lighting'!AU125=2,AS125=1,BC125="Yes",BH125="Yes"),2,IF(AND('Proposed Lighting'!AU125=2,AS125=1,BD125="Yes",BF125="Yes"),2,IF(AND('Proposed Lighting'!AU125=2,AS125=1,BD125="Yes",BH125="Yes"),2,IF(AND('Proposed Lighting'!AU125=3,AS125=1,BC125="Yes",BE125="Yes"),2,IF(AND('Proposed Lighting'!AU125=3,AS125=1,BC125="Yes",BF125="Yes"),2,0)))))))))</f>
        <v>0</v>
      </c>
      <c r="BJ125" s="1025">
        <f t="shared" si="23"/>
        <v>0</v>
      </c>
      <c r="BK125">
        <f>IF(AND('Proposed Lighting'!BC125=22,'Lighting Controls'!N125=1),0,IF(ISNUMBER(SEARCH("LED",G125)),1,0))</f>
        <v>0</v>
      </c>
    </row>
    <row r="126" spans="1:63" ht="34.5" customHeight="1">
      <c r="A126" s="917">
        <v>118</v>
      </c>
      <c r="B126" s="1828" t="str">
        <f>IF('Proposed Lighting'!B126="","",'Proposed Lighting'!B126)</f>
        <v/>
      </c>
      <c r="C126" s="1828"/>
      <c r="D126" s="1828"/>
      <c r="E126" s="1245">
        <f>'Proposed Lighting'!AA126</f>
        <v>0</v>
      </c>
      <c r="F126" s="1245">
        <f t="shared" si="16"/>
        <v>0</v>
      </c>
      <c r="G126" s="1830" t="str">
        <f>IF('Proposed Lighting'!T126="","",IF(ISNUMBER(SEARCH("Networked",'Proposed Lighting'!T126)),0,IF(ISNUMBER(SEARCH("Strategies",'Proposed Lighting'!T126)),0,IF(ISNUMBER(SEARCH("Removal",'Proposed Lighting'!T126)),0,'Proposed Lighting'!T126))))</f>
        <v/>
      </c>
      <c r="H126" s="1830"/>
      <c r="I126" s="1830"/>
      <c r="J126" s="1830"/>
      <c r="K126" s="1215"/>
      <c r="L126" s="1246">
        <f t="shared" si="17"/>
        <v>0</v>
      </c>
      <c r="M126" s="1224">
        <f t="shared" si="18"/>
        <v>0</v>
      </c>
      <c r="N126" s="1224">
        <f t="shared" si="19"/>
        <v>0</v>
      </c>
      <c r="O126" s="1825" t="str">
        <f>IF(G126=0,0,IF(ISNA('Proposed Lighting'!AT126),0,'Proposed Lighting'!AT126))</f>
        <v/>
      </c>
      <c r="P126" s="1825"/>
      <c r="Q126" s="1247"/>
      <c r="R126" s="1247"/>
      <c r="S126" s="1247"/>
      <c r="T126" s="1211"/>
      <c r="U126" s="1235">
        <f>IF(K126&gt;0.01,'Proposed Lighting'!CU126,0)</f>
        <v>0</v>
      </c>
      <c r="V126" s="1248">
        <f>IF('Proposed Lighting'!CF126=1,0,IF('Proposed Lighting'!AU126=2,0,IF(AND('Proposed Lighting'!AU126=3,'Proposed Lighting'!CF126=0),1,0)))</f>
        <v>0</v>
      </c>
      <c r="W126" s="1836"/>
      <c r="X126" s="1836"/>
      <c r="Y126" s="1836"/>
      <c r="Z126" s="1230" t="str">
        <f t="shared" si="13"/>
        <v/>
      </c>
      <c r="AA126" s="1230">
        <f t="shared" si="14"/>
        <v>0</v>
      </c>
      <c r="AB126" s="1230">
        <f>IF(Q126=0,0,IF(T126=0,0,IF(AA126=0,0,IF(AND(F126=3,V126=0),0,IF(T126=0,0,IF(K126&gt;'Proposed Lighting'!AA126,0,IF('Proposed Lighting'!EJ126&gt;0.01,(K126*O126)*'Proposed Lighting'!EJ126/1000,(K126*O126)*U126/1000)))))))</f>
        <v>0</v>
      </c>
      <c r="AC126" s="1230" t="str">
        <f t="shared" si="20"/>
        <v/>
      </c>
      <c r="AD126" s="1230">
        <f t="shared" si="15"/>
        <v>0</v>
      </c>
      <c r="AE126" s="1230">
        <f>IF(T126=0,0,IF(K126&gt;'Proposed Lighting'!AA126,0,IF(T126&gt;K126,0,IF(AND(AD126&gt;AA126,AA126&gt;0),0,IF(AND(F126&gt;1,W126&lt;0.01),0,IF('Proposed Lighting'!AU126&gt;'Lighting Controls'!F126,0,IF('Proposed Lighting'!AU126&lt;'Lighting Controls'!F126,0,IF(U126=0,0,Summary!AC429))))))))</f>
        <v>0</v>
      </c>
      <c r="AF126" s="1230">
        <f>IF(T126=0,0,IF(AE126=0,0,IF(K126&gt;'Proposed Lighting'!AA126,0,IF(AND(AD126&gt;AA126,AA126&gt;0),0,IF(U126=0,0,Summary!AD429)))))</f>
        <v>0</v>
      </c>
      <c r="AG126" s="1834">
        <f>IF('Proposed Lighting'!AU126=1,0,IF('Proposed Lighting'!CF126=1,0,T126*W126))</f>
        <v>0</v>
      </c>
      <c r="AH126" s="1834"/>
      <c r="AI126" s="1834"/>
      <c r="AJ126" s="1835">
        <f>IF(T126&lt;1,0,IF(K126&gt;'Proposed Lighting'!AA126,0,IF('Proposed Lighting'!CF126=1,0,IF('Proposed Lighting'!AU126=1,0,IF(T126&gt;K126,0,IF(AND(AD126&gt;AA126,AA126&gt;0),0,IF(AND(F126=2,'Proposed Lighting'!AU126=3),0,IF(AND(F126=3,'Proposed Lighting'!AU126=2),0,IF('Proposed Lighting'!CH126=100,0,IF(AND(F126&lt;3,V126=1,AM126=0),0,IF(AND(F126&gt;1,AF126&lt;1,AN126&lt;1),0,IF(AND(F126&gt;1,AE126&lt;0.69,AF126&lt;1,AN126&lt;1),0,IF(ISERROR(AB126-AC126),"",AB126-AC126)))))))))))))</f>
        <v>0</v>
      </c>
      <c r="AK126" s="1835"/>
      <c r="AL126" s="1835"/>
      <c r="AM126" s="1216">
        <f>IF(Q126=0,0,IF(T126=0,0,IF(T126&gt;K126,0,IF(AND(AS126&gt;0.01,BK126=0),0,IF(AND('Proposed Lighting'!DG126=0,'Lighting Controls'!Z126=0.35),0,IF(AND(T126&lt;=K126,AA126&gt;=AD126,'Proposed Lighting'!AU126=2),VLOOKUP(Q126,$AY$9:$AZ$15,2,FALSE),IF(AND(T126&lt;=K126,AA126&gt;=AD126,'Proposed Lighting'!AU126=3),VLOOKUP(Q126,$AY$17:$AZ$23,2,FALSE))))))))</f>
        <v>0</v>
      </c>
      <c r="AN126" s="1248">
        <f>IF(T126=0,0,IF(K126&gt;'Proposed Lighting'!AA126,0,IF(AE126=0,0,IF(AND(AD126&gt;AA126,AA126&gt;0),0,IF(U126=0,0,Summary!AE429)))))</f>
        <v>0</v>
      </c>
      <c r="AO126" s="1248">
        <f t="shared" si="24"/>
        <v>0</v>
      </c>
      <c r="AP126" s="1249">
        <f>IF('Proposed Lighting'!AU126=1,0,IF(K126=0,0,IF(T126&gt;K126,0,IF(G126=0,0,IF(K126&gt;'Proposed Lighting'!AA126,0,IF(AND(AD126&gt;AA126,AA126&gt;0),0,IF(AND('Proposed Lighting'!AU126=3,AM126=0.5),0,IF(AND(AM126&gt;0,AS126&gt;0,BI126&lt;2),0,IF('Proposed Lighting'!CH126=100,0,IF(AV126=1,0,IF(AND(AM126=35,M126+N126&lt;2),0,AM126)))))))))))</f>
        <v>0</v>
      </c>
      <c r="AQ126" s="1249" t="str">
        <f>IFERROR(ROUND(IF(Q126="","",IF('Proposed Lighting'!$X$4=0,0,IF(AND(AM126=35,M126+N126&lt;2),0,IF(T126&gt;K126,0,IF('Proposed Lighting'!AU126=1,0,IF(AJ126=0,0,IF(AND('Proposed Lighting'!AU126=3,AM126=0.5),0,IF(AND(AD126=75,AP126=0,AV126=0),0,IF(AP126&gt;0.01,AP126*T126,IF(AND(F126&gt;1,W126&lt;0.01),0,IF(AND(F126&gt;1,AO126=0),0,IF(AND('Proposed Lighting'!BC126=22,AV126=0),0,IF(AND(AM126&gt;0,AS126&gt;0,BI126&lt;2),0,IF(AND(AS126&gt;0.01,BK126=0),0,IF(AND(AO126=TRUE,AV126=1,F126=3),MIN(AJ126*0.08,L126),IF(AP126&gt;0.01,AP126*T126,IF(AND(AO126=TRUE,AV126=1,F126=2),MIN(AJ126*0.1,L126)))))))))))))))))),2),"")</f>
        <v/>
      </c>
      <c r="AR126" s="1250">
        <f>IF(Q126=0,0,IF('Proposed Lighting'!$X$4=0,0,IF(AND(AM126&gt;0.01,AQ126&gt;0.01),0,IF('Proposed Lighting'!AU126=1,"Missing Interior or Exterior Selection",IF('Proposed Lighting'!CF126=1,"Selection does not match",IF(K126&gt;'Proposed Lighting'!AA126,"Quantity controlled does not match proposed lighting quantity",IF(T126&gt;K126,"Quantity of sensors exceeds proposed lighting quantity",IF(AND(F126&gt;1,'Proposed Lighting'!AU126&lt;&gt;F126),"Selection does not match",IF(AND(AD126&gt;AA126,AA126&gt;0),"Does not meet minimum connected load",IF(AND(O126&gt;0,AS126&gt;0,BK126&gt;0,'Proposed Lighting'!CH126=0),"Select Control Strategies",IF(AND(AC126&gt;0.1,AJ126=0,AQ126=0),"Does not meet incentive criteria",0)))))))))))</f>
        <v>0</v>
      </c>
      <c r="AS126" s="1224">
        <f>IF('Proposed Lighting'!CH126=100,0,IF(ISNUMBER(SEARCH("multiple",Q126)),1,0))</f>
        <v>0</v>
      </c>
      <c r="AT126" s="451">
        <f t="shared" si="21"/>
        <v>0</v>
      </c>
      <c r="AU126" s="451">
        <f t="shared" si="22"/>
        <v>0</v>
      </c>
      <c r="AV126" s="1222">
        <f>IF(ISNUMBER(SEARCH("Networked",'Proposed Lighting'!T126)),0,IF(ISNUMBER(SEARCH("Strategies",'Proposed Lighting'!T126)),0,IF(ISNUMBER(SEARCH("Removal",'Proposed Lighting'!T126)),0,IF(ISNUMBER(SEARCH("non-standard",Q126)),1,0))))</f>
        <v>0</v>
      </c>
      <c r="AW126" s="451">
        <f t="shared" si="25"/>
        <v>0</v>
      </c>
      <c r="AX126" s="451"/>
      <c r="AY126" s="451"/>
      <c r="AZ126" s="451"/>
      <c r="BA126" s="451"/>
      <c r="BB126" s="451"/>
      <c r="BC126" s="1215"/>
      <c r="BD126" s="1215"/>
      <c r="BE126" s="1215"/>
      <c r="BF126" s="1215"/>
      <c r="BG126" s="1215"/>
      <c r="BH126" s="1215"/>
      <c r="BI126">
        <f>IF(AND(AS126=1,BC126="No",BD126="Yes",BE126="Yes",BF126="No",BH126="No"),0,IF(AND('Proposed Lighting'!AU126=2,AS126=1,BC126="Yes",BD126="Yes"),2,IF(AND('Proposed Lighting'!AU126=2,AS126=1,BC126="Yes",BE126="Yes"),2,IF(AND('Proposed Lighting'!AU126=2,AS126=1,BC126="Yes",BF126="Yes"),2,IF(AND('Proposed Lighting'!AU126=2,AS126=1,BC126="Yes",BH126="Yes"),2,IF(AND('Proposed Lighting'!AU126=2,AS126=1,BD126="Yes",BF126="Yes"),2,IF(AND('Proposed Lighting'!AU126=2,AS126=1,BD126="Yes",BH126="Yes"),2,IF(AND('Proposed Lighting'!AU126=3,AS126=1,BC126="Yes",BE126="Yes"),2,IF(AND('Proposed Lighting'!AU126=3,AS126=1,BC126="Yes",BF126="Yes"),2,0)))))))))</f>
        <v>0</v>
      </c>
      <c r="BJ126" s="1025">
        <f t="shared" si="23"/>
        <v>0</v>
      </c>
      <c r="BK126">
        <f>IF(AND('Proposed Lighting'!BC126=22,'Lighting Controls'!N126=1),0,IF(ISNUMBER(SEARCH("LED",G126)),1,0))</f>
        <v>0</v>
      </c>
    </row>
    <row r="127" spans="1:63" ht="34.5" customHeight="1">
      <c r="A127" s="917">
        <v>119</v>
      </c>
      <c r="B127" s="1828" t="str">
        <f>IF('Proposed Lighting'!B127="","",'Proposed Lighting'!B127)</f>
        <v/>
      </c>
      <c r="C127" s="1828"/>
      <c r="D127" s="1828"/>
      <c r="E127" s="1245">
        <f>'Proposed Lighting'!AA127</f>
        <v>0</v>
      </c>
      <c r="F127" s="1245">
        <f t="shared" si="16"/>
        <v>0</v>
      </c>
      <c r="G127" s="1830" t="str">
        <f>IF('Proposed Lighting'!T127="","",IF(ISNUMBER(SEARCH("Networked",'Proposed Lighting'!T127)),0,IF(ISNUMBER(SEARCH("Strategies",'Proposed Lighting'!T127)),0,IF(ISNUMBER(SEARCH("Removal",'Proposed Lighting'!T127)),0,'Proposed Lighting'!T127))))</f>
        <v/>
      </c>
      <c r="H127" s="1830"/>
      <c r="I127" s="1830"/>
      <c r="J127" s="1830"/>
      <c r="K127" s="1215"/>
      <c r="L127" s="1246">
        <f t="shared" si="17"/>
        <v>0</v>
      </c>
      <c r="M127" s="1224">
        <f t="shared" si="18"/>
        <v>0</v>
      </c>
      <c r="N127" s="1224">
        <f t="shared" si="19"/>
        <v>0</v>
      </c>
      <c r="O127" s="1825" t="str">
        <f>IF(G127=0,0,IF(ISNA('Proposed Lighting'!AT127),0,'Proposed Lighting'!AT127))</f>
        <v/>
      </c>
      <c r="P127" s="1825"/>
      <c r="Q127" s="1247"/>
      <c r="R127" s="1247"/>
      <c r="S127" s="1247"/>
      <c r="T127" s="1211"/>
      <c r="U127" s="1235">
        <f>IF(K127&gt;0.01,'Proposed Lighting'!CU127,0)</f>
        <v>0</v>
      </c>
      <c r="V127" s="1248">
        <f>IF('Proposed Lighting'!CF127=1,0,IF('Proposed Lighting'!AU127=2,0,IF(AND('Proposed Lighting'!AU127=3,'Proposed Lighting'!CF127=0),1,0)))</f>
        <v>0</v>
      </c>
      <c r="W127" s="1836"/>
      <c r="X127" s="1836"/>
      <c r="Y127" s="1836"/>
      <c r="Z127" s="1230" t="str">
        <f t="shared" si="13"/>
        <v/>
      </c>
      <c r="AA127" s="1230">
        <f t="shared" si="14"/>
        <v>0</v>
      </c>
      <c r="AB127" s="1230">
        <f>IF(Q127=0,0,IF(T127=0,0,IF(AA127=0,0,IF(AND(F127=3,V127=0),0,IF(T127=0,0,IF(K127&gt;'Proposed Lighting'!AA127,0,IF('Proposed Lighting'!EJ127&gt;0.01,(K127*O127)*'Proposed Lighting'!EJ127/1000,(K127*O127)*U127/1000)))))))</f>
        <v>0</v>
      </c>
      <c r="AC127" s="1230" t="str">
        <f t="shared" si="20"/>
        <v/>
      </c>
      <c r="AD127" s="1230">
        <f t="shared" si="15"/>
        <v>0</v>
      </c>
      <c r="AE127" s="1230">
        <f>IF(T127=0,0,IF(K127&gt;'Proposed Lighting'!AA127,0,IF(T127&gt;K127,0,IF(AND(AD127&gt;AA127,AA127&gt;0),0,IF(AND(F127&gt;1,W127&lt;0.01),0,IF('Proposed Lighting'!AU127&gt;'Lighting Controls'!F127,0,IF('Proposed Lighting'!AU127&lt;'Lighting Controls'!F127,0,IF(U127=0,0,Summary!AC430))))))))</f>
        <v>0</v>
      </c>
      <c r="AF127" s="1230">
        <f>IF(T127=0,0,IF(AE127=0,0,IF(K127&gt;'Proposed Lighting'!AA127,0,IF(AND(AD127&gt;AA127,AA127&gt;0),0,IF(U127=0,0,Summary!AD430)))))</f>
        <v>0</v>
      </c>
      <c r="AG127" s="1834">
        <f>IF('Proposed Lighting'!AU127=1,0,IF('Proposed Lighting'!CF127=1,0,T127*W127))</f>
        <v>0</v>
      </c>
      <c r="AH127" s="1834"/>
      <c r="AI127" s="1834"/>
      <c r="AJ127" s="1835">
        <f>IF(T127&lt;1,0,IF(K127&gt;'Proposed Lighting'!AA127,0,IF('Proposed Lighting'!CF127=1,0,IF('Proposed Lighting'!AU127=1,0,IF(T127&gt;K127,0,IF(AND(AD127&gt;AA127,AA127&gt;0),0,IF(AND(F127=2,'Proposed Lighting'!AU127=3),0,IF(AND(F127=3,'Proposed Lighting'!AU127=2),0,IF('Proposed Lighting'!CH127=100,0,IF(AND(F127&lt;3,V127=1,AM127=0),0,IF(AND(F127&gt;1,AF127&lt;1,AN127&lt;1),0,IF(AND(F127&gt;1,AE127&lt;0.69,AF127&lt;1,AN127&lt;1),0,IF(ISERROR(AB127-AC127),"",AB127-AC127)))))))))))))</f>
        <v>0</v>
      </c>
      <c r="AK127" s="1835"/>
      <c r="AL127" s="1835"/>
      <c r="AM127" s="1216">
        <f>IF(Q127=0,0,IF(T127=0,0,IF(T127&gt;K127,0,IF(AND(AS127&gt;0.01,BK127=0),0,IF(AND('Proposed Lighting'!DG127=0,'Lighting Controls'!Z127=0.35),0,IF(AND(T127&lt;=K127,AA127&gt;=AD127,'Proposed Lighting'!AU127=2),VLOOKUP(Q127,$AY$9:$AZ$15,2,FALSE),IF(AND(T127&lt;=K127,AA127&gt;=AD127,'Proposed Lighting'!AU127=3),VLOOKUP(Q127,$AY$17:$AZ$23,2,FALSE))))))))</f>
        <v>0</v>
      </c>
      <c r="AN127" s="1248">
        <f>IF(T127=0,0,IF(K127&gt;'Proposed Lighting'!AA127,0,IF(AE127=0,0,IF(AND(AD127&gt;AA127,AA127&gt;0),0,IF(U127=0,0,Summary!AE430)))))</f>
        <v>0</v>
      </c>
      <c r="AO127" s="1248">
        <f t="shared" si="24"/>
        <v>0</v>
      </c>
      <c r="AP127" s="1249">
        <f>IF('Proposed Lighting'!AU127=1,0,IF(K127=0,0,IF(T127&gt;K127,0,IF(G127=0,0,IF(K127&gt;'Proposed Lighting'!AA127,0,IF(AND(AD127&gt;AA127,AA127&gt;0),0,IF(AND('Proposed Lighting'!AU127=3,AM127=0.5),0,IF(AND(AM127&gt;0,AS127&gt;0,BI127&lt;2),0,IF('Proposed Lighting'!CH127=100,0,IF(AV127=1,0,IF(AND(AM127=35,M127+N127&lt;2),0,AM127)))))))))))</f>
        <v>0</v>
      </c>
      <c r="AQ127" s="1249" t="str">
        <f>IFERROR(ROUND(IF(Q127="","",IF('Proposed Lighting'!$X$4=0,0,IF(AND(AM127=35,M127+N127&lt;2),0,IF(T127&gt;K127,0,IF('Proposed Lighting'!AU127=1,0,IF(AJ127=0,0,IF(AND('Proposed Lighting'!AU127=3,AM127=0.5),0,IF(AND(AD127=75,AP127=0,AV127=0),0,IF(AP127&gt;0.01,AP127*T127,IF(AND(F127&gt;1,W127&lt;0.01),0,IF(AND(F127&gt;1,AO127=0),0,IF(AND('Proposed Lighting'!BC127=22,AV127=0),0,IF(AND(AM127&gt;0,AS127&gt;0,BI127&lt;2),0,IF(AND(AS127&gt;0.01,BK127=0),0,IF(AND(AO127=TRUE,AV127=1,F127=3),MIN(AJ127*0.08,L127),IF(AP127&gt;0.01,AP127*T127,IF(AND(AO127=TRUE,AV127=1,F127=2),MIN(AJ127*0.1,L127)))))))))))))))))),2),"")</f>
        <v/>
      </c>
      <c r="AR127" s="1250">
        <f>IF(Q127=0,0,IF('Proposed Lighting'!$X$4=0,0,IF(AND(AM127&gt;0.01,AQ127&gt;0.01),0,IF('Proposed Lighting'!AU127=1,"Missing Interior or Exterior Selection",IF('Proposed Lighting'!CF127=1,"Selection does not match",IF(K127&gt;'Proposed Lighting'!AA127,"Quantity controlled does not match proposed lighting quantity",IF(T127&gt;K127,"Quantity of sensors exceeds proposed lighting quantity",IF(AND(F127&gt;1,'Proposed Lighting'!AU127&lt;&gt;F127),"Selection does not match",IF(AND(AD127&gt;AA127,AA127&gt;0),"Does not meet minimum connected load",IF(AND(O127&gt;0,AS127&gt;0,BK127&gt;0,'Proposed Lighting'!CH127=0),"Select Control Strategies",IF(AND(AC127&gt;0.1,AJ127=0,AQ127=0),"Does not meet incentive criteria",0)))))))))))</f>
        <v>0</v>
      </c>
      <c r="AS127" s="1224">
        <f>IF('Proposed Lighting'!CH127=100,0,IF(ISNUMBER(SEARCH("multiple",Q127)),1,0))</f>
        <v>0</v>
      </c>
      <c r="AT127" s="451">
        <f t="shared" si="21"/>
        <v>0</v>
      </c>
      <c r="AU127" s="451">
        <f t="shared" si="22"/>
        <v>0</v>
      </c>
      <c r="AV127" s="1222">
        <f>IF(ISNUMBER(SEARCH("Networked",'Proposed Lighting'!T127)),0,IF(ISNUMBER(SEARCH("Strategies",'Proposed Lighting'!T127)),0,IF(ISNUMBER(SEARCH("Removal",'Proposed Lighting'!T127)),0,IF(ISNUMBER(SEARCH("non-standard",Q127)),1,0))))</f>
        <v>0</v>
      </c>
      <c r="AW127" s="451">
        <f t="shared" si="25"/>
        <v>0</v>
      </c>
      <c r="AX127" s="451"/>
      <c r="AY127" s="451"/>
      <c r="AZ127" s="451"/>
      <c r="BA127" s="451"/>
      <c r="BB127" s="451"/>
      <c r="BC127" s="1215"/>
      <c r="BD127" s="1215"/>
      <c r="BE127" s="1215"/>
      <c r="BF127" s="1215"/>
      <c r="BG127" s="1215"/>
      <c r="BH127" s="1215"/>
      <c r="BI127">
        <f>IF(AND(AS127=1,BC127="No",BD127="Yes",BE127="Yes",BF127="No",BH127="No"),0,IF(AND('Proposed Lighting'!AU127=2,AS127=1,BC127="Yes",BD127="Yes"),2,IF(AND('Proposed Lighting'!AU127=2,AS127=1,BC127="Yes",BE127="Yes"),2,IF(AND('Proposed Lighting'!AU127=2,AS127=1,BC127="Yes",BF127="Yes"),2,IF(AND('Proposed Lighting'!AU127=2,AS127=1,BC127="Yes",BH127="Yes"),2,IF(AND('Proposed Lighting'!AU127=2,AS127=1,BD127="Yes",BF127="Yes"),2,IF(AND('Proposed Lighting'!AU127=2,AS127=1,BD127="Yes",BH127="Yes"),2,IF(AND('Proposed Lighting'!AU127=3,AS127=1,BC127="Yes",BE127="Yes"),2,IF(AND('Proposed Lighting'!AU127=3,AS127=1,BC127="Yes",BF127="Yes"),2,0)))))))))</f>
        <v>0</v>
      </c>
      <c r="BJ127" s="1025">
        <f t="shared" si="23"/>
        <v>0</v>
      </c>
      <c r="BK127">
        <f>IF(AND('Proposed Lighting'!BC127=22,'Lighting Controls'!N127=1),0,IF(ISNUMBER(SEARCH("LED",G127)),1,0))</f>
        <v>0</v>
      </c>
    </row>
    <row r="128" spans="1:63" ht="34.5" customHeight="1">
      <c r="A128" s="917">
        <v>120</v>
      </c>
      <c r="B128" s="1828" t="str">
        <f>IF('Proposed Lighting'!B128="","",'Proposed Lighting'!B128)</f>
        <v/>
      </c>
      <c r="C128" s="1828"/>
      <c r="D128" s="1828"/>
      <c r="E128" s="1245">
        <f>'Proposed Lighting'!AA128</f>
        <v>0</v>
      </c>
      <c r="F128" s="1245">
        <f t="shared" si="16"/>
        <v>0</v>
      </c>
      <c r="G128" s="1830" t="str">
        <f>IF('Proposed Lighting'!T128="","",IF(ISNUMBER(SEARCH("Networked",'Proposed Lighting'!T128)),0,IF(ISNUMBER(SEARCH("Strategies",'Proposed Lighting'!T128)),0,IF(ISNUMBER(SEARCH("Removal",'Proposed Lighting'!T128)),0,'Proposed Lighting'!T128))))</f>
        <v/>
      </c>
      <c r="H128" s="1830"/>
      <c r="I128" s="1830"/>
      <c r="J128" s="1830"/>
      <c r="K128" s="1215"/>
      <c r="L128" s="1246">
        <f t="shared" si="17"/>
        <v>0</v>
      </c>
      <c r="M128" s="1224">
        <f t="shared" si="18"/>
        <v>0</v>
      </c>
      <c r="N128" s="1224">
        <f t="shared" si="19"/>
        <v>0</v>
      </c>
      <c r="O128" s="1825" t="str">
        <f>IF(G128=0,0,IF(ISNA('Proposed Lighting'!AT128),0,'Proposed Lighting'!AT128))</f>
        <v/>
      </c>
      <c r="P128" s="1825"/>
      <c r="Q128" s="1247"/>
      <c r="R128" s="1247"/>
      <c r="S128" s="1247"/>
      <c r="T128" s="1211"/>
      <c r="U128" s="1235">
        <f>IF(K128&gt;0.01,'Proposed Lighting'!CU128,0)</f>
        <v>0</v>
      </c>
      <c r="V128" s="1248">
        <f>IF('Proposed Lighting'!CF128=1,0,IF('Proposed Lighting'!AU128=2,0,IF(AND('Proposed Lighting'!AU128=3,'Proposed Lighting'!CF128=0),1,0)))</f>
        <v>0</v>
      </c>
      <c r="W128" s="1836"/>
      <c r="X128" s="1836"/>
      <c r="Y128" s="1836"/>
      <c r="Z128" s="1230" t="str">
        <f t="shared" si="13"/>
        <v/>
      </c>
      <c r="AA128" s="1230">
        <f t="shared" si="14"/>
        <v>0</v>
      </c>
      <c r="AB128" s="1230">
        <f>IF(Q128=0,0,IF(T128=0,0,IF(AA128=0,0,IF(AND(F128=3,V128=0),0,IF(T128=0,0,IF(K128&gt;'Proposed Lighting'!AA128,0,IF('Proposed Lighting'!EJ128&gt;0.01,(K128*O128)*'Proposed Lighting'!EJ128/1000,(K128*O128)*U128/1000)))))))</f>
        <v>0</v>
      </c>
      <c r="AC128" s="1230" t="str">
        <f t="shared" si="20"/>
        <v/>
      </c>
      <c r="AD128" s="1230">
        <f t="shared" si="15"/>
        <v>0</v>
      </c>
      <c r="AE128" s="1230">
        <f>IF(T128=0,0,IF(K128&gt;'Proposed Lighting'!AA128,0,IF(T128&gt;K128,0,IF(AND(AD128&gt;AA128,AA128&gt;0),0,IF(AND(F128&gt;1,W128&lt;0.01),0,IF('Proposed Lighting'!AU128&gt;'Lighting Controls'!F128,0,IF('Proposed Lighting'!AU128&lt;'Lighting Controls'!F128,0,IF(U128=0,0,Summary!AC431))))))))</f>
        <v>0</v>
      </c>
      <c r="AF128" s="1230">
        <f>IF(T128=0,0,IF(AE128=0,0,IF(K128&gt;'Proposed Lighting'!AA128,0,IF(AND(AD128&gt;AA128,AA128&gt;0),0,IF(U128=0,0,Summary!AD431)))))</f>
        <v>0</v>
      </c>
      <c r="AG128" s="1834">
        <f>IF('Proposed Lighting'!AU128=1,0,IF('Proposed Lighting'!CF128=1,0,T128*W128))</f>
        <v>0</v>
      </c>
      <c r="AH128" s="1834"/>
      <c r="AI128" s="1834"/>
      <c r="AJ128" s="1835">
        <f>IF(T128&lt;1,0,IF(K128&gt;'Proposed Lighting'!AA128,0,IF('Proposed Lighting'!CF128=1,0,IF('Proposed Lighting'!AU128=1,0,IF(T128&gt;K128,0,IF(AND(AD128&gt;AA128,AA128&gt;0),0,IF(AND(F128=2,'Proposed Lighting'!AU128=3),0,IF(AND(F128=3,'Proposed Lighting'!AU128=2),0,IF('Proposed Lighting'!CH128=100,0,IF(AND(F128&lt;3,V128=1,AM128=0),0,IF(AND(F128&gt;1,AF128&lt;1,AN128&lt;1),0,IF(AND(F128&gt;1,AE128&lt;0.69,AF128&lt;1,AN128&lt;1),0,IF(ISERROR(AB128-AC128),"",AB128-AC128)))))))))))))</f>
        <v>0</v>
      </c>
      <c r="AK128" s="1835"/>
      <c r="AL128" s="1835"/>
      <c r="AM128" s="1216">
        <f>IF(Q128=0,0,IF(T128=0,0,IF(T128&gt;K128,0,IF(AND(AS128&gt;0.01,BK128=0),0,IF(AND('Proposed Lighting'!DG128=0,'Lighting Controls'!Z128=0.35),0,IF(AND(T128&lt;=K128,AA128&gt;=AD128,'Proposed Lighting'!AU128=2),VLOOKUP(Q128,$AY$9:$AZ$15,2,FALSE),IF(AND(T128&lt;=K128,AA128&gt;=AD128,'Proposed Lighting'!AU128=3),VLOOKUP(Q128,$AY$17:$AZ$23,2,FALSE))))))))</f>
        <v>0</v>
      </c>
      <c r="AN128" s="1248">
        <f>IF(T128=0,0,IF(K128&gt;'Proposed Lighting'!AA128,0,IF(AE128=0,0,IF(AND(AD128&gt;AA128,AA128&gt;0),0,IF(U128=0,0,Summary!AE431)))))</f>
        <v>0</v>
      </c>
      <c r="AO128" s="1248">
        <f t="shared" si="24"/>
        <v>0</v>
      </c>
      <c r="AP128" s="1249">
        <f>IF('Proposed Lighting'!AU128=1,0,IF(K128=0,0,IF(T128&gt;K128,0,IF(G128=0,0,IF(K128&gt;'Proposed Lighting'!AA128,0,IF(AND(AD128&gt;AA128,AA128&gt;0),0,IF(AND('Proposed Lighting'!AU128=3,AM128=0.5),0,IF(AND(AM128&gt;0,AS128&gt;0,BI128&lt;2),0,IF('Proposed Lighting'!CH128=100,0,IF(AV128=1,0,IF(AND(AM128=35,M128+N128&lt;2),0,AM128)))))))))))</f>
        <v>0</v>
      </c>
      <c r="AQ128" s="1249" t="str">
        <f>IFERROR(ROUND(IF(Q128="","",IF('Proposed Lighting'!$X$4=0,0,IF(AND(AM128=35,M128+N128&lt;2),0,IF(T128&gt;K128,0,IF('Proposed Lighting'!AU128=1,0,IF(AJ128=0,0,IF(AND('Proposed Lighting'!AU128=3,AM128=0.5),0,IF(AND(AD128=75,AP128=0,AV128=0),0,IF(AP128&gt;0.01,AP128*T128,IF(AND(F128&gt;1,W128&lt;0.01),0,IF(AND(F128&gt;1,AO128=0),0,IF(AND('Proposed Lighting'!BC128=22,AV128=0),0,IF(AND(AM128&gt;0,AS128&gt;0,BI128&lt;2),0,IF(AND(AS128&gt;0.01,BK128=0),0,IF(AND(AO128=TRUE,AV128=1,F128=3),MIN(AJ128*0.08,L128),IF(AP128&gt;0.01,AP128*T128,IF(AND(AO128=TRUE,AV128=1,F128=2),MIN(AJ128*0.1,L128)))))))))))))))))),2),"")</f>
        <v/>
      </c>
      <c r="AR128" s="1250">
        <f>IF(Q128=0,0,IF('Proposed Lighting'!$X$4=0,0,IF(AND(AM128&gt;0.01,AQ128&gt;0.01),0,IF('Proposed Lighting'!AU128=1,"Missing Interior or Exterior Selection",IF('Proposed Lighting'!CF128=1,"Selection does not match",IF(K128&gt;'Proposed Lighting'!AA128,"Quantity controlled does not match proposed lighting quantity",IF(T128&gt;K128,"Quantity of sensors exceeds proposed lighting quantity",IF(AND(F128&gt;1,'Proposed Lighting'!AU128&lt;&gt;F128),"Selection does not match",IF(AND(AD128&gt;AA128,AA128&gt;0),"Does not meet minimum connected load",IF(AND(O128&gt;0,AS128&gt;0,BK128&gt;0,'Proposed Lighting'!CH128=0),"Select Control Strategies",IF(AND(AC128&gt;0.1,AJ128=0,AQ128=0),"Does not meet incentive criteria",0)))))))))))</f>
        <v>0</v>
      </c>
      <c r="AS128" s="1224">
        <f>IF('Proposed Lighting'!CH128=100,0,IF(ISNUMBER(SEARCH("multiple",Q128)),1,0))</f>
        <v>0</v>
      </c>
      <c r="AT128" s="451">
        <f t="shared" si="21"/>
        <v>0</v>
      </c>
      <c r="AU128" s="451">
        <f t="shared" si="22"/>
        <v>0</v>
      </c>
      <c r="AV128" s="1222">
        <f>IF(ISNUMBER(SEARCH("Networked",'Proposed Lighting'!T128)),0,IF(ISNUMBER(SEARCH("Strategies",'Proposed Lighting'!T128)),0,IF(ISNUMBER(SEARCH("Removal",'Proposed Lighting'!T128)),0,IF(ISNUMBER(SEARCH("non-standard",Q128)),1,0))))</f>
        <v>0</v>
      </c>
      <c r="AW128" s="451">
        <f t="shared" si="25"/>
        <v>0</v>
      </c>
      <c r="AX128" s="451"/>
      <c r="AY128" s="451"/>
      <c r="AZ128" s="451"/>
      <c r="BA128" s="451"/>
      <c r="BB128" s="451"/>
      <c r="BC128" s="1215"/>
      <c r="BD128" s="1215"/>
      <c r="BE128" s="1215"/>
      <c r="BF128" s="1215"/>
      <c r="BG128" s="1215"/>
      <c r="BH128" s="1215"/>
      <c r="BI128">
        <f>IF(AND(AS128=1,BC128="No",BD128="Yes",BE128="Yes",BF128="No",BH128="No"),0,IF(AND('Proposed Lighting'!AU128=2,AS128=1,BC128="Yes",BD128="Yes"),2,IF(AND('Proposed Lighting'!AU128=2,AS128=1,BC128="Yes",BE128="Yes"),2,IF(AND('Proposed Lighting'!AU128=2,AS128=1,BC128="Yes",BF128="Yes"),2,IF(AND('Proposed Lighting'!AU128=2,AS128=1,BC128="Yes",BH128="Yes"),2,IF(AND('Proposed Lighting'!AU128=2,AS128=1,BD128="Yes",BF128="Yes"),2,IF(AND('Proposed Lighting'!AU128=2,AS128=1,BD128="Yes",BH128="Yes"),2,IF(AND('Proposed Lighting'!AU128=3,AS128=1,BC128="Yes",BE128="Yes"),2,IF(AND('Proposed Lighting'!AU128=3,AS128=1,BC128="Yes",BF128="Yes"),2,0)))))))))</f>
        <v>0</v>
      </c>
      <c r="BJ128" s="1025">
        <f t="shared" si="23"/>
        <v>0</v>
      </c>
      <c r="BK128">
        <f>IF(AND('Proposed Lighting'!BC128=22,'Lighting Controls'!N128=1),0,IF(ISNUMBER(SEARCH("LED",G128)),1,0))</f>
        <v>0</v>
      </c>
    </row>
    <row r="129" spans="1:63" ht="34.5" customHeight="1">
      <c r="A129" s="917">
        <v>121</v>
      </c>
      <c r="B129" s="1828" t="str">
        <f>IF('Proposed Lighting'!B129="","",'Proposed Lighting'!B129)</f>
        <v/>
      </c>
      <c r="C129" s="1828"/>
      <c r="D129" s="1828"/>
      <c r="E129" s="1245">
        <f>'Proposed Lighting'!AA129</f>
        <v>0</v>
      </c>
      <c r="F129" s="1245">
        <f t="shared" si="16"/>
        <v>0</v>
      </c>
      <c r="G129" s="1830" t="str">
        <f>IF('Proposed Lighting'!T129="","",IF(ISNUMBER(SEARCH("Networked",'Proposed Lighting'!T129)),0,IF(ISNUMBER(SEARCH("Strategies",'Proposed Lighting'!T129)),0,IF(ISNUMBER(SEARCH("Removal",'Proposed Lighting'!T129)),0,'Proposed Lighting'!T129))))</f>
        <v/>
      </c>
      <c r="H129" s="1830"/>
      <c r="I129" s="1830"/>
      <c r="J129" s="1830"/>
      <c r="K129" s="1215"/>
      <c r="L129" s="1246">
        <f t="shared" si="17"/>
        <v>0</v>
      </c>
      <c r="M129" s="1224">
        <f t="shared" si="18"/>
        <v>0</v>
      </c>
      <c r="N129" s="1224">
        <f t="shared" si="19"/>
        <v>0</v>
      </c>
      <c r="O129" s="1825" t="str">
        <f>IF(G129=0,0,IF(ISNA('Proposed Lighting'!AT129),0,'Proposed Lighting'!AT129))</f>
        <v/>
      </c>
      <c r="P129" s="1825"/>
      <c r="Q129" s="1247"/>
      <c r="R129" s="1247"/>
      <c r="S129" s="1247"/>
      <c r="T129" s="1211"/>
      <c r="U129" s="1235">
        <f>IF(K129&gt;0.01,'Proposed Lighting'!CU129,0)</f>
        <v>0</v>
      </c>
      <c r="V129" s="1248">
        <f>IF('Proposed Lighting'!CF129=1,0,IF('Proposed Lighting'!AU129=2,0,IF(AND('Proposed Lighting'!AU129=3,'Proposed Lighting'!CF129=0),1,0)))</f>
        <v>0</v>
      </c>
      <c r="W129" s="1836"/>
      <c r="X129" s="1836"/>
      <c r="Y129" s="1836"/>
      <c r="Z129" s="1230" t="str">
        <f t="shared" si="13"/>
        <v/>
      </c>
      <c r="AA129" s="1230">
        <f t="shared" si="14"/>
        <v>0</v>
      </c>
      <c r="AB129" s="1230">
        <f>IF(Q129=0,0,IF(T129=0,0,IF(AA129=0,0,IF(AND(F129=3,V129=0),0,IF(T129=0,0,IF(K129&gt;'Proposed Lighting'!AA129,0,IF('Proposed Lighting'!EJ129&gt;0.01,(K129*O129)*'Proposed Lighting'!EJ129/1000,(K129*O129)*U129/1000)))))))</f>
        <v>0</v>
      </c>
      <c r="AC129" s="1230" t="str">
        <f t="shared" si="20"/>
        <v/>
      </c>
      <c r="AD129" s="1230">
        <f t="shared" si="15"/>
        <v>0</v>
      </c>
      <c r="AE129" s="1230">
        <f>IF(T129=0,0,IF(K129&gt;'Proposed Lighting'!AA129,0,IF(T129&gt;K129,0,IF(AND(AD129&gt;AA129,AA129&gt;0),0,IF(AND(F129&gt;1,W129&lt;0.01),0,IF('Proposed Lighting'!AU129&gt;'Lighting Controls'!F129,0,IF('Proposed Lighting'!AU129&lt;'Lighting Controls'!F129,0,IF(U129=0,0,Summary!AC432))))))))</f>
        <v>0</v>
      </c>
      <c r="AF129" s="1230">
        <f>IF(T129=0,0,IF(AE129=0,0,IF(K129&gt;'Proposed Lighting'!AA129,0,IF(AND(AD129&gt;AA129,AA129&gt;0),0,IF(U129=0,0,Summary!AD432)))))</f>
        <v>0</v>
      </c>
      <c r="AG129" s="1834">
        <f>IF('Proposed Lighting'!AU129=1,0,IF('Proposed Lighting'!CF129=1,0,T129*W129))</f>
        <v>0</v>
      </c>
      <c r="AH129" s="1834"/>
      <c r="AI129" s="1834"/>
      <c r="AJ129" s="1835">
        <f>IF(T129&lt;1,0,IF(K129&gt;'Proposed Lighting'!AA129,0,IF('Proposed Lighting'!CF129=1,0,IF('Proposed Lighting'!AU129=1,0,IF(T129&gt;K129,0,IF(AND(AD129&gt;AA129,AA129&gt;0),0,IF(AND(F129=2,'Proposed Lighting'!AU129=3),0,IF(AND(F129=3,'Proposed Lighting'!AU129=2),0,IF('Proposed Lighting'!CH129=100,0,IF(AND(F129&lt;3,V129=1,AM129=0),0,IF(AND(F129&gt;1,AF129&lt;1,AN129&lt;1),0,IF(AND(F129&gt;1,AE129&lt;0.69,AF129&lt;1,AN129&lt;1),0,IF(ISERROR(AB129-AC129),"",AB129-AC129)))))))))))))</f>
        <v>0</v>
      </c>
      <c r="AK129" s="1835"/>
      <c r="AL129" s="1835"/>
      <c r="AM129" s="1216">
        <f>IF(Q129=0,0,IF(T129=0,0,IF(T129&gt;K129,0,IF(AND(AS129&gt;0.01,BK129=0),0,IF(AND('Proposed Lighting'!DG129=0,'Lighting Controls'!Z129=0.35),0,IF(AND(T129&lt;=K129,AA129&gt;=AD129,'Proposed Lighting'!AU129=2),VLOOKUP(Q129,$AY$9:$AZ$15,2,FALSE),IF(AND(T129&lt;=K129,AA129&gt;=AD129,'Proposed Lighting'!AU129=3),VLOOKUP(Q129,$AY$17:$AZ$23,2,FALSE))))))))</f>
        <v>0</v>
      </c>
      <c r="AN129" s="1248">
        <f>IF(T129=0,0,IF(K129&gt;'Proposed Lighting'!AA129,0,IF(AE129=0,0,IF(AND(AD129&gt;AA129,AA129&gt;0),0,IF(U129=0,0,Summary!AE432)))))</f>
        <v>0</v>
      </c>
      <c r="AO129" s="1248">
        <f t="shared" si="24"/>
        <v>0</v>
      </c>
      <c r="AP129" s="1249">
        <f>IF('Proposed Lighting'!AU129=1,0,IF(K129=0,0,IF(T129&gt;K129,0,IF(G129=0,0,IF(K129&gt;'Proposed Lighting'!AA129,0,IF(AND(AD129&gt;AA129,AA129&gt;0),0,IF(AND('Proposed Lighting'!AU129=3,AM129=0.5),0,IF(AND(AM129&gt;0,AS129&gt;0,BI129&lt;2),0,IF('Proposed Lighting'!CH129=100,0,IF(AV129=1,0,IF(AND(AM129=35,M129+N129&lt;2),0,AM129)))))))))))</f>
        <v>0</v>
      </c>
      <c r="AQ129" s="1249" t="str">
        <f>IFERROR(ROUND(IF(Q129="","",IF('Proposed Lighting'!$X$4=0,0,IF(AND(AM129=35,M129+N129&lt;2),0,IF(T129&gt;K129,0,IF('Proposed Lighting'!AU129=1,0,IF(AJ129=0,0,IF(AND('Proposed Lighting'!AU129=3,AM129=0.5),0,IF(AND(AD129=75,AP129=0,AV129=0),0,IF(AP129&gt;0.01,AP129*T129,IF(AND(F129&gt;1,W129&lt;0.01),0,IF(AND(F129&gt;1,AO129=0),0,IF(AND('Proposed Lighting'!BC129=22,AV129=0),0,IF(AND(AM129&gt;0,AS129&gt;0,BI129&lt;2),0,IF(AND(AS129&gt;0.01,BK129=0),0,IF(AND(AO129=TRUE,AV129=1,F129=3),MIN(AJ129*0.08,L129),IF(AP129&gt;0.01,AP129*T129,IF(AND(AO129=TRUE,AV129=1,F129=2),MIN(AJ129*0.1,L129)))))))))))))))))),2),"")</f>
        <v/>
      </c>
      <c r="AR129" s="1250">
        <f>IF(Q129=0,0,IF('Proposed Lighting'!$X$4=0,0,IF(AND(AM129&gt;0.01,AQ129&gt;0.01),0,IF('Proposed Lighting'!AU129=1,"Missing Interior or Exterior Selection",IF('Proposed Lighting'!CF129=1,"Selection does not match",IF(K129&gt;'Proposed Lighting'!AA129,"Quantity controlled does not match proposed lighting quantity",IF(T129&gt;K129,"Quantity of sensors exceeds proposed lighting quantity",IF(AND(F129&gt;1,'Proposed Lighting'!AU129&lt;&gt;F129),"Selection does not match",IF(AND(AD129&gt;AA129,AA129&gt;0),"Does not meet minimum connected load",IF(AND(O129&gt;0,AS129&gt;0,BK129&gt;0,'Proposed Lighting'!CH129=0),"Select Control Strategies",IF(AND(AC129&gt;0.1,AJ129=0,AQ129=0),"Does not meet incentive criteria",0)))))))))))</f>
        <v>0</v>
      </c>
      <c r="AS129" s="1224">
        <f>IF('Proposed Lighting'!CH129=100,0,IF(ISNUMBER(SEARCH("multiple",Q129)),1,0))</f>
        <v>0</v>
      </c>
      <c r="AT129" s="451">
        <f t="shared" si="21"/>
        <v>0</v>
      </c>
      <c r="AU129" s="451">
        <f t="shared" si="22"/>
        <v>0</v>
      </c>
      <c r="AV129" s="1222">
        <f>IF(ISNUMBER(SEARCH("Networked",'Proposed Lighting'!T129)),0,IF(ISNUMBER(SEARCH("Strategies",'Proposed Lighting'!T129)),0,IF(ISNUMBER(SEARCH("Removal",'Proposed Lighting'!T129)),0,IF(ISNUMBER(SEARCH("non-standard",Q129)),1,0))))</f>
        <v>0</v>
      </c>
      <c r="AW129" s="451">
        <f t="shared" si="25"/>
        <v>0</v>
      </c>
      <c r="AX129" s="451"/>
      <c r="AY129" s="451"/>
      <c r="AZ129" s="451"/>
      <c r="BA129" s="451"/>
      <c r="BB129" s="451"/>
      <c r="BC129" s="1215"/>
      <c r="BD129" s="1215"/>
      <c r="BE129" s="1215"/>
      <c r="BF129" s="1215"/>
      <c r="BG129" s="1215"/>
      <c r="BH129" s="1215"/>
      <c r="BI129">
        <f>IF(AND(AS129=1,BC129="No",BD129="Yes",BE129="Yes",BF129="No",BH129="No"),0,IF(AND('Proposed Lighting'!AU129=2,AS129=1,BC129="Yes",BD129="Yes"),2,IF(AND('Proposed Lighting'!AU129=2,AS129=1,BC129="Yes",BE129="Yes"),2,IF(AND('Proposed Lighting'!AU129=2,AS129=1,BC129="Yes",BF129="Yes"),2,IF(AND('Proposed Lighting'!AU129=2,AS129=1,BC129="Yes",BH129="Yes"),2,IF(AND('Proposed Lighting'!AU129=2,AS129=1,BD129="Yes",BF129="Yes"),2,IF(AND('Proposed Lighting'!AU129=2,AS129=1,BD129="Yes",BH129="Yes"),2,IF(AND('Proposed Lighting'!AU129=3,AS129=1,BC129="Yes",BE129="Yes"),2,IF(AND('Proposed Lighting'!AU129=3,AS129=1,BC129="Yes",BF129="Yes"),2,0)))))))))</f>
        <v>0</v>
      </c>
      <c r="BJ129" s="1025">
        <f t="shared" si="23"/>
        <v>0</v>
      </c>
      <c r="BK129">
        <f>IF(AND('Proposed Lighting'!BC129=22,'Lighting Controls'!N129=1),0,IF(ISNUMBER(SEARCH("LED",G129)),1,0))</f>
        <v>0</v>
      </c>
    </row>
    <row r="130" spans="1:63" ht="34.5" customHeight="1">
      <c r="A130" s="917">
        <v>122</v>
      </c>
      <c r="B130" s="1828" t="str">
        <f>IF('Proposed Lighting'!B130="","",'Proposed Lighting'!B130)</f>
        <v/>
      </c>
      <c r="C130" s="1828"/>
      <c r="D130" s="1828"/>
      <c r="E130" s="1245">
        <f>'Proposed Lighting'!AA130</f>
        <v>0</v>
      </c>
      <c r="F130" s="1245">
        <f t="shared" si="16"/>
        <v>0</v>
      </c>
      <c r="G130" s="1830" t="str">
        <f>IF('Proposed Lighting'!T130="","",IF(ISNUMBER(SEARCH("Networked",'Proposed Lighting'!T130)),0,IF(ISNUMBER(SEARCH("Strategies",'Proposed Lighting'!T130)),0,IF(ISNUMBER(SEARCH("Removal",'Proposed Lighting'!T130)),0,'Proposed Lighting'!T130))))</f>
        <v/>
      </c>
      <c r="H130" s="1830"/>
      <c r="I130" s="1830"/>
      <c r="J130" s="1830"/>
      <c r="K130" s="1215"/>
      <c r="L130" s="1246">
        <f t="shared" si="17"/>
        <v>0</v>
      </c>
      <c r="M130" s="1224">
        <f t="shared" si="18"/>
        <v>0</v>
      </c>
      <c r="N130" s="1224">
        <f t="shared" si="19"/>
        <v>0</v>
      </c>
      <c r="O130" s="1825" t="str">
        <f>IF(G130=0,0,IF(ISNA('Proposed Lighting'!AT130),0,'Proposed Lighting'!AT130))</f>
        <v/>
      </c>
      <c r="P130" s="1825"/>
      <c r="Q130" s="1247"/>
      <c r="R130" s="1247"/>
      <c r="S130" s="1247"/>
      <c r="T130" s="1211"/>
      <c r="U130" s="1235">
        <f>IF(K130&gt;0.01,'Proposed Lighting'!CU130,0)</f>
        <v>0</v>
      </c>
      <c r="V130" s="1248">
        <f>IF('Proposed Lighting'!CF130=1,0,IF('Proposed Lighting'!AU130=2,0,IF(AND('Proposed Lighting'!AU130=3,'Proposed Lighting'!CF130=0),1,0)))</f>
        <v>0</v>
      </c>
      <c r="W130" s="1836"/>
      <c r="X130" s="1836"/>
      <c r="Y130" s="1836"/>
      <c r="Z130" s="1230" t="str">
        <f t="shared" si="13"/>
        <v/>
      </c>
      <c r="AA130" s="1230">
        <f t="shared" si="14"/>
        <v>0</v>
      </c>
      <c r="AB130" s="1230">
        <f>IF(Q130=0,0,IF(T130=0,0,IF(AA130=0,0,IF(AND(F130=3,V130=0),0,IF(T130=0,0,IF(K130&gt;'Proposed Lighting'!AA130,0,IF('Proposed Lighting'!EJ130&gt;0.01,(K130*O130)*'Proposed Lighting'!EJ130/1000,(K130*O130)*U130/1000)))))))</f>
        <v>0</v>
      </c>
      <c r="AC130" s="1230" t="str">
        <f t="shared" si="20"/>
        <v/>
      </c>
      <c r="AD130" s="1230">
        <f t="shared" si="15"/>
        <v>0</v>
      </c>
      <c r="AE130" s="1230">
        <f>IF(T130=0,0,IF(K130&gt;'Proposed Lighting'!AA130,0,IF(T130&gt;K130,0,IF(AND(AD130&gt;AA130,AA130&gt;0),0,IF(AND(F130&gt;1,W130&lt;0.01),0,IF('Proposed Lighting'!AU130&gt;'Lighting Controls'!F130,0,IF('Proposed Lighting'!AU130&lt;'Lighting Controls'!F130,0,IF(U130=0,0,Summary!AC433))))))))</f>
        <v>0</v>
      </c>
      <c r="AF130" s="1230">
        <f>IF(T130=0,0,IF(AE130=0,0,IF(K130&gt;'Proposed Lighting'!AA130,0,IF(AND(AD130&gt;AA130,AA130&gt;0),0,IF(U130=0,0,Summary!AD433)))))</f>
        <v>0</v>
      </c>
      <c r="AG130" s="1834">
        <f>IF('Proposed Lighting'!AU130=1,0,IF('Proposed Lighting'!CF130=1,0,T130*W130))</f>
        <v>0</v>
      </c>
      <c r="AH130" s="1834"/>
      <c r="AI130" s="1834"/>
      <c r="AJ130" s="1835">
        <f>IF(T130&lt;1,0,IF(K130&gt;'Proposed Lighting'!AA130,0,IF('Proposed Lighting'!CF130=1,0,IF('Proposed Lighting'!AU130=1,0,IF(T130&gt;K130,0,IF(AND(AD130&gt;AA130,AA130&gt;0),0,IF(AND(F130=2,'Proposed Lighting'!AU130=3),0,IF(AND(F130=3,'Proposed Lighting'!AU130=2),0,IF('Proposed Lighting'!CH130=100,0,IF(AND(F130&lt;3,V130=1,AM130=0),0,IF(AND(F130&gt;1,AF130&lt;1,AN130&lt;1),0,IF(AND(F130&gt;1,AE130&lt;0.69,AF130&lt;1,AN130&lt;1),0,IF(ISERROR(AB130-AC130),"",AB130-AC130)))))))))))))</f>
        <v>0</v>
      </c>
      <c r="AK130" s="1835"/>
      <c r="AL130" s="1835"/>
      <c r="AM130" s="1216">
        <f>IF(Q130=0,0,IF(T130=0,0,IF(T130&gt;K130,0,IF(AND(AS130&gt;0.01,BK130=0),0,IF(AND('Proposed Lighting'!DG130=0,'Lighting Controls'!Z130=0.35),0,IF(AND(T130&lt;=K130,AA130&gt;=AD130,'Proposed Lighting'!AU130=2),VLOOKUP(Q130,$AY$9:$AZ$15,2,FALSE),IF(AND(T130&lt;=K130,AA130&gt;=AD130,'Proposed Lighting'!AU130=3),VLOOKUP(Q130,$AY$17:$AZ$23,2,FALSE))))))))</f>
        <v>0</v>
      </c>
      <c r="AN130" s="1248">
        <f>IF(T130=0,0,IF(K130&gt;'Proposed Lighting'!AA130,0,IF(AE130=0,0,IF(AND(AD130&gt;AA130,AA130&gt;0),0,IF(U130=0,0,Summary!AE433)))))</f>
        <v>0</v>
      </c>
      <c r="AO130" s="1248">
        <f t="shared" si="24"/>
        <v>0</v>
      </c>
      <c r="AP130" s="1249">
        <f>IF('Proposed Lighting'!AU130=1,0,IF(K130=0,0,IF(T130&gt;K130,0,IF(G130=0,0,IF(K130&gt;'Proposed Lighting'!AA130,0,IF(AND(AD130&gt;AA130,AA130&gt;0),0,IF(AND('Proposed Lighting'!AU130=3,AM130=0.5),0,IF(AND(AM130&gt;0,AS130&gt;0,BI130&lt;2),0,IF('Proposed Lighting'!CH130=100,0,IF(AV130=1,0,IF(AND(AM130=35,M130+N130&lt;2),0,AM130)))))))))))</f>
        <v>0</v>
      </c>
      <c r="AQ130" s="1249" t="str">
        <f>IFERROR(ROUND(IF(Q130="","",IF('Proposed Lighting'!$X$4=0,0,IF(AND(AM130=35,M130+N130&lt;2),0,IF(T130&gt;K130,0,IF('Proposed Lighting'!AU130=1,0,IF(AJ130=0,0,IF(AND('Proposed Lighting'!AU130=3,AM130=0.5),0,IF(AND(AD130=75,AP130=0,AV130=0),0,IF(AP130&gt;0.01,AP130*T130,IF(AND(F130&gt;1,W130&lt;0.01),0,IF(AND(F130&gt;1,AO130=0),0,IF(AND('Proposed Lighting'!BC130=22,AV130=0),0,IF(AND(AM130&gt;0,AS130&gt;0,BI130&lt;2),0,IF(AND(AS130&gt;0.01,BK130=0),0,IF(AND(AO130=TRUE,AV130=1,F130=3),MIN(AJ130*0.08,L130),IF(AP130&gt;0.01,AP130*T130,IF(AND(AO130=TRUE,AV130=1,F130=2),MIN(AJ130*0.1,L130)))))))))))))))))),2),"")</f>
        <v/>
      </c>
      <c r="AR130" s="1250">
        <f>IF(Q130=0,0,IF('Proposed Lighting'!$X$4=0,0,IF(AND(AM130&gt;0.01,AQ130&gt;0.01),0,IF('Proposed Lighting'!AU130=1,"Missing Interior or Exterior Selection",IF('Proposed Lighting'!CF130=1,"Selection does not match",IF(K130&gt;'Proposed Lighting'!AA130,"Quantity controlled does not match proposed lighting quantity",IF(T130&gt;K130,"Quantity of sensors exceeds proposed lighting quantity",IF(AND(F130&gt;1,'Proposed Lighting'!AU130&lt;&gt;F130),"Selection does not match",IF(AND(AD130&gt;AA130,AA130&gt;0),"Does not meet minimum connected load",IF(AND(O130&gt;0,AS130&gt;0,BK130&gt;0,'Proposed Lighting'!CH130=0),"Select Control Strategies",IF(AND(AC130&gt;0.1,AJ130=0,AQ130=0),"Does not meet incentive criteria",0)))))))))))</f>
        <v>0</v>
      </c>
      <c r="AS130" s="1224">
        <f>IF('Proposed Lighting'!CH130=100,0,IF(ISNUMBER(SEARCH("multiple",Q130)),1,0))</f>
        <v>0</v>
      </c>
      <c r="AT130" s="451">
        <f t="shared" si="21"/>
        <v>0</v>
      </c>
      <c r="AU130" s="451">
        <f t="shared" si="22"/>
        <v>0</v>
      </c>
      <c r="AV130" s="1222">
        <f>IF(ISNUMBER(SEARCH("Networked",'Proposed Lighting'!T130)),0,IF(ISNUMBER(SEARCH("Strategies",'Proposed Lighting'!T130)),0,IF(ISNUMBER(SEARCH("Removal",'Proposed Lighting'!T130)),0,IF(ISNUMBER(SEARCH("non-standard",Q130)),1,0))))</f>
        <v>0</v>
      </c>
      <c r="AW130" s="451">
        <f t="shared" si="25"/>
        <v>0</v>
      </c>
      <c r="AX130" s="451"/>
      <c r="AY130" s="451"/>
      <c r="AZ130" s="451"/>
      <c r="BA130" s="451"/>
      <c r="BB130" s="451"/>
      <c r="BC130" s="1215"/>
      <c r="BD130" s="1215"/>
      <c r="BE130" s="1215"/>
      <c r="BF130" s="1215"/>
      <c r="BG130" s="1215"/>
      <c r="BH130" s="1215"/>
      <c r="BI130">
        <f>IF(AND(AS130=1,BC130="No",BD130="Yes",BE130="Yes",BF130="No",BH130="No"),0,IF(AND('Proposed Lighting'!AU130=2,AS130=1,BC130="Yes",BD130="Yes"),2,IF(AND('Proposed Lighting'!AU130=2,AS130=1,BC130="Yes",BE130="Yes"),2,IF(AND('Proposed Lighting'!AU130=2,AS130=1,BC130="Yes",BF130="Yes"),2,IF(AND('Proposed Lighting'!AU130=2,AS130=1,BC130="Yes",BH130="Yes"),2,IF(AND('Proposed Lighting'!AU130=2,AS130=1,BD130="Yes",BF130="Yes"),2,IF(AND('Proposed Lighting'!AU130=2,AS130=1,BD130="Yes",BH130="Yes"),2,IF(AND('Proposed Lighting'!AU130=3,AS130=1,BC130="Yes",BE130="Yes"),2,IF(AND('Proposed Lighting'!AU130=3,AS130=1,BC130="Yes",BF130="Yes"),2,0)))))))))</f>
        <v>0</v>
      </c>
      <c r="BJ130" s="1025">
        <f t="shared" si="23"/>
        <v>0</v>
      </c>
      <c r="BK130">
        <f>IF(AND('Proposed Lighting'!BC130=22,'Lighting Controls'!N130=1),0,IF(ISNUMBER(SEARCH("LED",G130)),1,0))</f>
        <v>0</v>
      </c>
    </row>
    <row r="131" spans="1:63" ht="34.5" customHeight="1">
      <c r="A131" s="917">
        <v>123</v>
      </c>
      <c r="B131" s="1828" t="str">
        <f>IF('Proposed Lighting'!B131="","",'Proposed Lighting'!B131)</f>
        <v/>
      </c>
      <c r="C131" s="1828"/>
      <c r="D131" s="1828"/>
      <c r="E131" s="1245">
        <f>'Proposed Lighting'!AA131</f>
        <v>0</v>
      </c>
      <c r="F131" s="1245">
        <f t="shared" si="16"/>
        <v>0</v>
      </c>
      <c r="G131" s="1830" t="str">
        <f>IF('Proposed Lighting'!T131="","",IF(ISNUMBER(SEARCH("Networked",'Proposed Lighting'!T131)),0,IF(ISNUMBER(SEARCH("Strategies",'Proposed Lighting'!T131)),0,IF(ISNUMBER(SEARCH("Removal",'Proposed Lighting'!T131)),0,'Proposed Lighting'!T131))))</f>
        <v/>
      </c>
      <c r="H131" s="1830"/>
      <c r="I131" s="1830"/>
      <c r="J131" s="1830"/>
      <c r="K131" s="1215"/>
      <c r="L131" s="1246">
        <f t="shared" si="17"/>
        <v>0</v>
      </c>
      <c r="M131" s="1224">
        <f t="shared" si="18"/>
        <v>0</v>
      </c>
      <c r="N131" s="1224">
        <f t="shared" si="19"/>
        <v>0</v>
      </c>
      <c r="O131" s="1825" t="str">
        <f>IF(G131=0,0,IF(ISNA('Proposed Lighting'!AT131),0,'Proposed Lighting'!AT131))</f>
        <v/>
      </c>
      <c r="P131" s="1825"/>
      <c r="Q131" s="1247"/>
      <c r="R131" s="1247"/>
      <c r="S131" s="1247"/>
      <c r="T131" s="1211"/>
      <c r="U131" s="1235">
        <f>IF(K131&gt;0.01,'Proposed Lighting'!CU131,0)</f>
        <v>0</v>
      </c>
      <c r="V131" s="1248">
        <f>IF('Proposed Lighting'!CF131=1,0,IF('Proposed Lighting'!AU131=2,0,IF(AND('Proposed Lighting'!AU131=3,'Proposed Lighting'!CF131=0),1,0)))</f>
        <v>0</v>
      </c>
      <c r="W131" s="1836"/>
      <c r="X131" s="1836"/>
      <c r="Y131" s="1836"/>
      <c r="Z131" s="1230" t="str">
        <f t="shared" si="13"/>
        <v/>
      </c>
      <c r="AA131" s="1230">
        <f t="shared" si="14"/>
        <v>0</v>
      </c>
      <c r="AB131" s="1230">
        <f>IF(Q131=0,0,IF(T131=0,0,IF(AA131=0,0,IF(AND(F131=3,V131=0),0,IF(T131=0,0,IF(K131&gt;'Proposed Lighting'!AA131,0,IF('Proposed Lighting'!EJ131&gt;0.01,(K131*O131)*'Proposed Lighting'!EJ131/1000,(K131*O131)*U131/1000)))))))</f>
        <v>0</v>
      </c>
      <c r="AC131" s="1230" t="str">
        <f t="shared" si="20"/>
        <v/>
      </c>
      <c r="AD131" s="1230">
        <f t="shared" si="15"/>
        <v>0</v>
      </c>
      <c r="AE131" s="1230">
        <f>IF(T131=0,0,IF(K131&gt;'Proposed Lighting'!AA131,0,IF(T131&gt;K131,0,IF(AND(AD131&gt;AA131,AA131&gt;0),0,IF(AND(F131&gt;1,W131&lt;0.01),0,IF('Proposed Lighting'!AU131&gt;'Lighting Controls'!F131,0,IF('Proposed Lighting'!AU131&lt;'Lighting Controls'!F131,0,IF(U131=0,0,Summary!AC434))))))))</f>
        <v>0</v>
      </c>
      <c r="AF131" s="1230">
        <f>IF(T131=0,0,IF(AE131=0,0,IF(K131&gt;'Proposed Lighting'!AA131,0,IF(AND(AD131&gt;AA131,AA131&gt;0),0,IF(U131=0,0,Summary!AD434)))))</f>
        <v>0</v>
      </c>
      <c r="AG131" s="1834">
        <f>IF('Proposed Lighting'!AU131=1,0,IF('Proposed Lighting'!CF131=1,0,T131*W131))</f>
        <v>0</v>
      </c>
      <c r="AH131" s="1834"/>
      <c r="AI131" s="1834"/>
      <c r="AJ131" s="1835">
        <f>IF(T131&lt;1,0,IF(K131&gt;'Proposed Lighting'!AA131,0,IF('Proposed Lighting'!CF131=1,0,IF('Proposed Lighting'!AU131=1,0,IF(T131&gt;K131,0,IF(AND(AD131&gt;AA131,AA131&gt;0),0,IF(AND(F131=2,'Proposed Lighting'!AU131=3),0,IF(AND(F131=3,'Proposed Lighting'!AU131=2),0,IF('Proposed Lighting'!CH131=100,0,IF(AND(F131&lt;3,V131=1,AM131=0),0,IF(AND(F131&gt;1,AF131&lt;1,AN131&lt;1),0,IF(AND(F131&gt;1,AE131&lt;0.69,AF131&lt;1,AN131&lt;1),0,IF(ISERROR(AB131-AC131),"",AB131-AC131)))))))))))))</f>
        <v>0</v>
      </c>
      <c r="AK131" s="1835"/>
      <c r="AL131" s="1835"/>
      <c r="AM131" s="1216">
        <f>IF(Q131=0,0,IF(T131=0,0,IF(T131&gt;K131,0,IF(AND(AS131&gt;0.01,BK131=0),0,IF(AND('Proposed Lighting'!DG131=0,'Lighting Controls'!Z131=0.35),0,IF(AND(T131&lt;=K131,AA131&gt;=AD131,'Proposed Lighting'!AU131=2),VLOOKUP(Q131,$AY$9:$AZ$15,2,FALSE),IF(AND(T131&lt;=K131,AA131&gt;=AD131,'Proposed Lighting'!AU131=3),VLOOKUP(Q131,$AY$17:$AZ$23,2,FALSE))))))))</f>
        <v>0</v>
      </c>
      <c r="AN131" s="1248">
        <f>IF(T131=0,0,IF(K131&gt;'Proposed Lighting'!AA131,0,IF(AE131=0,0,IF(AND(AD131&gt;AA131,AA131&gt;0),0,IF(U131=0,0,Summary!AE434)))))</f>
        <v>0</v>
      </c>
      <c r="AO131" s="1248">
        <f t="shared" si="24"/>
        <v>0</v>
      </c>
      <c r="AP131" s="1249">
        <f>IF('Proposed Lighting'!AU131=1,0,IF(K131=0,0,IF(T131&gt;K131,0,IF(G131=0,0,IF(K131&gt;'Proposed Lighting'!AA131,0,IF(AND(AD131&gt;AA131,AA131&gt;0),0,IF(AND('Proposed Lighting'!AU131=3,AM131=0.5),0,IF(AND(AM131&gt;0,AS131&gt;0,BI131&lt;2),0,IF('Proposed Lighting'!CH131=100,0,IF(AV131=1,0,IF(AND(AM131=35,M131+N131&lt;2),0,AM131)))))))))))</f>
        <v>0</v>
      </c>
      <c r="AQ131" s="1249" t="str">
        <f>IFERROR(ROUND(IF(Q131="","",IF('Proposed Lighting'!$X$4=0,0,IF(AND(AM131=35,M131+N131&lt;2),0,IF(T131&gt;K131,0,IF('Proposed Lighting'!AU131=1,0,IF(AJ131=0,0,IF(AND('Proposed Lighting'!AU131=3,AM131=0.5),0,IF(AND(AD131=75,AP131=0,AV131=0),0,IF(AP131&gt;0.01,AP131*T131,IF(AND(F131&gt;1,W131&lt;0.01),0,IF(AND(F131&gt;1,AO131=0),0,IF(AND('Proposed Lighting'!BC131=22,AV131=0),0,IF(AND(AM131&gt;0,AS131&gt;0,BI131&lt;2),0,IF(AND(AS131&gt;0.01,BK131=0),0,IF(AND(AO131=TRUE,AV131=1,F131=3),MIN(AJ131*0.08,L131),IF(AP131&gt;0.01,AP131*T131,IF(AND(AO131=TRUE,AV131=1,F131=2),MIN(AJ131*0.1,L131)))))))))))))))))),2),"")</f>
        <v/>
      </c>
      <c r="AR131" s="1250">
        <f>IF(Q131=0,0,IF('Proposed Lighting'!$X$4=0,0,IF(AND(AM131&gt;0.01,AQ131&gt;0.01),0,IF('Proposed Lighting'!AU131=1,"Missing Interior or Exterior Selection",IF('Proposed Lighting'!CF131=1,"Selection does not match",IF(K131&gt;'Proposed Lighting'!AA131,"Quantity controlled does not match proposed lighting quantity",IF(T131&gt;K131,"Quantity of sensors exceeds proposed lighting quantity",IF(AND(F131&gt;1,'Proposed Lighting'!AU131&lt;&gt;F131),"Selection does not match",IF(AND(AD131&gt;AA131,AA131&gt;0),"Does not meet minimum connected load",IF(AND(O131&gt;0,AS131&gt;0,BK131&gt;0,'Proposed Lighting'!CH131=0),"Select Control Strategies",IF(AND(AC131&gt;0.1,AJ131=0,AQ131=0),"Does not meet incentive criteria",0)))))))))))</f>
        <v>0</v>
      </c>
      <c r="AS131" s="1224">
        <f>IF('Proposed Lighting'!CH131=100,0,IF(ISNUMBER(SEARCH("multiple",Q131)),1,0))</f>
        <v>0</v>
      </c>
      <c r="AT131" s="451">
        <f t="shared" si="21"/>
        <v>0</v>
      </c>
      <c r="AU131" s="451">
        <f t="shared" si="22"/>
        <v>0</v>
      </c>
      <c r="AV131" s="1222">
        <f>IF(ISNUMBER(SEARCH("Networked",'Proposed Lighting'!T131)),0,IF(ISNUMBER(SEARCH("Strategies",'Proposed Lighting'!T131)),0,IF(ISNUMBER(SEARCH("Removal",'Proposed Lighting'!T131)),0,IF(ISNUMBER(SEARCH("non-standard",Q131)),1,0))))</f>
        <v>0</v>
      </c>
      <c r="AW131" s="451">
        <f t="shared" si="25"/>
        <v>0</v>
      </c>
      <c r="AX131" s="451"/>
      <c r="AY131" s="451"/>
      <c r="AZ131" s="451"/>
      <c r="BA131" s="451"/>
      <c r="BB131" s="451"/>
      <c r="BC131" s="1215"/>
      <c r="BD131" s="1215"/>
      <c r="BE131" s="1215"/>
      <c r="BF131" s="1215"/>
      <c r="BG131" s="1215"/>
      <c r="BH131" s="1215"/>
      <c r="BI131">
        <f>IF(AND(AS131=1,BC131="No",BD131="Yes",BE131="Yes",BF131="No",BH131="No"),0,IF(AND('Proposed Lighting'!AU131=2,AS131=1,BC131="Yes",BD131="Yes"),2,IF(AND('Proposed Lighting'!AU131=2,AS131=1,BC131="Yes",BE131="Yes"),2,IF(AND('Proposed Lighting'!AU131=2,AS131=1,BC131="Yes",BF131="Yes"),2,IF(AND('Proposed Lighting'!AU131=2,AS131=1,BC131="Yes",BH131="Yes"),2,IF(AND('Proposed Lighting'!AU131=2,AS131=1,BD131="Yes",BF131="Yes"),2,IF(AND('Proposed Lighting'!AU131=2,AS131=1,BD131="Yes",BH131="Yes"),2,IF(AND('Proposed Lighting'!AU131=3,AS131=1,BC131="Yes",BE131="Yes"),2,IF(AND('Proposed Lighting'!AU131=3,AS131=1,BC131="Yes",BF131="Yes"),2,0)))))))))</f>
        <v>0</v>
      </c>
      <c r="BJ131" s="1025">
        <f t="shared" si="23"/>
        <v>0</v>
      </c>
      <c r="BK131">
        <f>IF(AND('Proposed Lighting'!BC131=22,'Lighting Controls'!N131=1),0,IF(ISNUMBER(SEARCH("LED",G131)),1,0))</f>
        <v>0</v>
      </c>
    </row>
    <row r="132" spans="1:63" ht="34.5" customHeight="1">
      <c r="A132" s="917">
        <v>124</v>
      </c>
      <c r="B132" s="1828" t="str">
        <f>IF('Proposed Lighting'!B132="","",'Proposed Lighting'!B132)</f>
        <v/>
      </c>
      <c r="C132" s="1828"/>
      <c r="D132" s="1828"/>
      <c r="E132" s="1245">
        <f>'Proposed Lighting'!AA132</f>
        <v>0</v>
      </c>
      <c r="F132" s="1245">
        <f t="shared" si="16"/>
        <v>0</v>
      </c>
      <c r="G132" s="1830" t="str">
        <f>IF('Proposed Lighting'!T132="","",IF(ISNUMBER(SEARCH("Networked",'Proposed Lighting'!T132)),0,IF(ISNUMBER(SEARCH("Strategies",'Proposed Lighting'!T132)),0,IF(ISNUMBER(SEARCH("Removal",'Proposed Lighting'!T132)),0,'Proposed Lighting'!T132))))</f>
        <v/>
      </c>
      <c r="H132" s="1830"/>
      <c r="I132" s="1830"/>
      <c r="J132" s="1830"/>
      <c r="K132" s="1215"/>
      <c r="L132" s="1246">
        <f t="shared" si="17"/>
        <v>0</v>
      </c>
      <c r="M132" s="1224">
        <f t="shared" si="18"/>
        <v>0</v>
      </c>
      <c r="N132" s="1224">
        <f t="shared" si="19"/>
        <v>0</v>
      </c>
      <c r="O132" s="1825" t="str">
        <f>IF(G132=0,0,IF(ISNA('Proposed Lighting'!AT132),0,'Proposed Lighting'!AT132))</f>
        <v/>
      </c>
      <c r="P132" s="1825"/>
      <c r="Q132" s="1247"/>
      <c r="R132" s="1247"/>
      <c r="S132" s="1247"/>
      <c r="T132" s="1211"/>
      <c r="U132" s="1235">
        <f>IF(K132&gt;0.01,'Proposed Lighting'!CU132,0)</f>
        <v>0</v>
      </c>
      <c r="V132" s="1248">
        <f>IF('Proposed Lighting'!CF132=1,0,IF('Proposed Lighting'!AU132=2,0,IF(AND('Proposed Lighting'!AU132=3,'Proposed Lighting'!CF132=0),1,0)))</f>
        <v>0</v>
      </c>
      <c r="W132" s="1836"/>
      <c r="X132" s="1836"/>
      <c r="Y132" s="1836"/>
      <c r="Z132" s="1230" t="str">
        <f t="shared" si="13"/>
        <v/>
      </c>
      <c r="AA132" s="1230">
        <f t="shared" si="14"/>
        <v>0</v>
      </c>
      <c r="AB132" s="1230">
        <f>IF(Q132=0,0,IF(T132=0,0,IF(AA132=0,0,IF(AND(F132=3,V132=0),0,IF(T132=0,0,IF(K132&gt;'Proposed Lighting'!AA132,0,IF('Proposed Lighting'!EJ132&gt;0.01,(K132*O132)*'Proposed Lighting'!EJ132/1000,(K132*O132)*U132/1000)))))))</f>
        <v>0</v>
      </c>
      <c r="AC132" s="1230" t="str">
        <f t="shared" si="20"/>
        <v/>
      </c>
      <c r="AD132" s="1230">
        <f t="shared" si="15"/>
        <v>0</v>
      </c>
      <c r="AE132" s="1230">
        <f>IF(T132=0,0,IF(K132&gt;'Proposed Lighting'!AA132,0,IF(T132&gt;K132,0,IF(AND(AD132&gt;AA132,AA132&gt;0),0,IF(AND(F132&gt;1,W132&lt;0.01),0,IF('Proposed Lighting'!AU132&gt;'Lighting Controls'!F132,0,IF('Proposed Lighting'!AU132&lt;'Lighting Controls'!F132,0,IF(U132=0,0,Summary!AC435))))))))</f>
        <v>0</v>
      </c>
      <c r="AF132" s="1230">
        <f>IF(T132=0,0,IF(AE132=0,0,IF(K132&gt;'Proposed Lighting'!AA132,0,IF(AND(AD132&gt;AA132,AA132&gt;0),0,IF(U132=0,0,Summary!AD435)))))</f>
        <v>0</v>
      </c>
      <c r="AG132" s="1834">
        <f>IF('Proposed Lighting'!AU132=1,0,IF('Proposed Lighting'!CF132=1,0,T132*W132))</f>
        <v>0</v>
      </c>
      <c r="AH132" s="1834"/>
      <c r="AI132" s="1834"/>
      <c r="AJ132" s="1835">
        <f>IF(T132&lt;1,0,IF(K132&gt;'Proposed Lighting'!AA132,0,IF('Proposed Lighting'!CF132=1,0,IF('Proposed Lighting'!AU132=1,0,IF(T132&gt;K132,0,IF(AND(AD132&gt;AA132,AA132&gt;0),0,IF(AND(F132=2,'Proposed Lighting'!AU132=3),0,IF(AND(F132=3,'Proposed Lighting'!AU132=2),0,IF('Proposed Lighting'!CH132=100,0,IF(AND(F132&lt;3,V132=1,AM132=0),0,IF(AND(F132&gt;1,AF132&lt;1,AN132&lt;1),0,IF(AND(F132&gt;1,AE132&lt;0.69,AF132&lt;1,AN132&lt;1),0,IF(ISERROR(AB132-AC132),"",AB132-AC132)))))))))))))</f>
        <v>0</v>
      </c>
      <c r="AK132" s="1835"/>
      <c r="AL132" s="1835"/>
      <c r="AM132" s="1216">
        <f>IF(Q132=0,0,IF(T132=0,0,IF(T132&gt;K132,0,IF(AND(AS132&gt;0.01,BK132=0),0,IF(AND('Proposed Lighting'!DG132=0,'Lighting Controls'!Z132=0.35),0,IF(AND(T132&lt;=K132,AA132&gt;=AD132,'Proposed Lighting'!AU132=2),VLOOKUP(Q132,$AY$9:$AZ$15,2,FALSE),IF(AND(T132&lt;=K132,AA132&gt;=AD132,'Proposed Lighting'!AU132=3),VLOOKUP(Q132,$AY$17:$AZ$23,2,FALSE))))))))</f>
        <v>0</v>
      </c>
      <c r="AN132" s="1248">
        <f>IF(T132=0,0,IF(K132&gt;'Proposed Lighting'!AA132,0,IF(AE132=0,0,IF(AND(AD132&gt;AA132,AA132&gt;0),0,IF(U132=0,0,Summary!AE435)))))</f>
        <v>0</v>
      </c>
      <c r="AO132" s="1248">
        <f t="shared" si="24"/>
        <v>0</v>
      </c>
      <c r="AP132" s="1249">
        <f>IF('Proposed Lighting'!AU132=1,0,IF(K132=0,0,IF(T132&gt;K132,0,IF(G132=0,0,IF(K132&gt;'Proposed Lighting'!AA132,0,IF(AND(AD132&gt;AA132,AA132&gt;0),0,IF(AND('Proposed Lighting'!AU132=3,AM132=0.5),0,IF(AND(AM132&gt;0,AS132&gt;0,BI132&lt;2),0,IF('Proposed Lighting'!CH132=100,0,IF(AV132=1,0,IF(AND(AM132=35,M132+N132&lt;2),0,AM132)))))))))))</f>
        <v>0</v>
      </c>
      <c r="AQ132" s="1249" t="str">
        <f>IFERROR(ROUND(IF(Q132="","",IF('Proposed Lighting'!$X$4=0,0,IF(AND(AM132=35,M132+N132&lt;2),0,IF(T132&gt;K132,0,IF('Proposed Lighting'!AU132=1,0,IF(AJ132=0,0,IF(AND('Proposed Lighting'!AU132=3,AM132=0.5),0,IF(AND(AD132=75,AP132=0,AV132=0),0,IF(AP132&gt;0.01,AP132*T132,IF(AND(F132&gt;1,W132&lt;0.01),0,IF(AND(F132&gt;1,AO132=0),0,IF(AND('Proposed Lighting'!BC132=22,AV132=0),0,IF(AND(AM132&gt;0,AS132&gt;0,BI132&lt;2),0,IF(AND(AS132&gt;0.01,BK132=0),0,IF(AND(AO132=TRUE,AV132=1,F132=3),MIN(AJ132*0.08,L132),IF(AP132&gt;0.01,AP132*T132,IF(AND(AO132=TRUE,AV132=1,F132=2),MIN(AJ132*0.1,L132)))))))))))))))))),2),"")</f>
        <v/>
      </c>
      <c r="AR132" s="1250">
        <f>IF(Q132=0,0,IF('Proposed Lighting'!$X$4=0,0,IF(AND(AM132&gt;0.01,AQ132&gt;0.01),0,IF('Proposed Lighting'!AU132=1,"Missing Interior or Exterior Selection",IF('Proposed Lighting'!CF132=1,"Selection does not match",IF(K132&gt;'Proposed Lighting'!AA132,"Quantity controlled does not match proposed lighting quantity",IF(T132&gt;K132,"Quantity of sensors exceeds proposed lighting quantity",IF(AND(F132&gt;1,'Proposed Lighting'!AU132&lt;&gt;F132),"Selection does not match",IF(AND(AD132&gt;AA132,AA132&gt;0),"Does not meet minimum connected load",IF(AND(O132&gt;0,AS132&gt;0,BK132&gt;0,'Proposed Lighting'!CH132=0),"Select Control Strategies",IF(AND(AC132&gt;0.1,AJ132=0,AQ132=0),"Does not meet incentive criteria",0)))))))))))</f>
        <v>0</v>
      </c>
      <c r="AS132" s="1224">
        <f>IF('Proposed Lighting'!CH132=100,0,IF(ISNUMBER(SEARCH("multiple",Q132)),1,0))</f>
        <v>0</v>
      </c>
      <c r="AT132" s="451">
        <f t="shared" si="21"/>
        <v>0</v>
      </c>
      <c r="AU132" s="451">
        <f t="shared" si="22"/>
        <v>0</v>
      </c>
      <c r="AV132" s="1222">
        <f>IF(ISNUMBER(SEARCH("Networked",'Proposed Lighting'!T132)),0,IF(ISNUMBER(SEARCH("Strategies",'Proposed Lighting'!T132)),0,IF(ISNUMBER(SEARCH("Removal",'Proposed Lighting'!T132)),0,IF(ISNUMBER(SEARCH("non-standard",Q132)),1,0))))</f>
        <v>0</v>
      </c>
      <c r="AW132" s="451">
        <f t="shared" si="25"/>
        <v>0</v>
      </c>
      <c r="AX132" s="451"/>
      <c r="AY132" s="451"/>
      <c r="AZ132" s="451"/>
      <c r="BA132" s="451"/>
      <c r="BB132" s="451"/>
      <c r="BC132" s="1215"/>
      <c r="BD132" s="1215"/>
      <c r="BE132" s="1215"/>
      <c r="BF132" s="1215"/>
      <c r="BG132" s="1215"/>
      <c r="BH132" s="1215"/>
      <c r="BI132">
        <f>IF(AND(AS132=1,BC132="No",BD132="Yes",BE132="Yes",BF132="No",BH132="No"),0,IF(AND('Proposed Lighting'!AU132=2,AS132=1,BC132="Yes",BD132="Yes"),2,IF(AND('Proposed Lighting'!AU132=2,AS132=1,BC132="Yes",BE132="Yes"),2,IF(AND('Proposed Lighting'!AU132=2,AS132=1,BC132="Yes",BF132="Yes"),2,IF(AND('Proposed Lighting'!AU132=2,AS132=1,BC132="Yes",BH132="Yes"),2,IF(AND('Proposed Lighting'!AU132=2,AS132=1,BD132="Yes",BF132="Yes"),2,IF(AND('Proposed Lighting'!AU132=2,AS132=1,BD132="Yes",BH132="Yes"),2,IF(AND('Proposed Lighting'!AU132=3,AS132=1,BC132="Yes",BE132="Yes"),2,IF(AND('Proposed Lighting'!AU132=3,AS132=1,BC132="Yes",BF132="Yes"),2,0)))))))))</f>
        <v>0</v>
      </c>
      <c r="BJ132" s="1025">
        <f t="shared" si="23"/>
        <v>0</v>
      </c>
      <c r="BK132">
        <f>IF(AND('Proposed Lighting'!BC132=22,'Lighting Controls'!N132=1),0,IF(ISNUMBER(SEARCH("LED",G132)),1,0))</f>
        <v>0</v>
      </c>
    </row>
    <row r="133" spans="1:63" ht="34.5" customHeight="1">
      <c r="A133" s="917">
        <v>125</v>
      </c>
      <c r="B133" s="1828" t="str">
        <f>IF('Proposed Lighting'!B133="","",'Proposed Lighting'!B133)</f>
        <v/>
      </c>
      <c r="C133" s="1828"/>
      <c r="D133" s="1828"/>
      <c r="E133" s="1245">
        <f>'Proposed Lighting'!AA133</f>
        <v>0</v>
      </c>
      <c r="F133" s="1245">
        <f t="shared" si="16"/>
        <v>0</v>
      </c>
      <c r="G133" s="1830" t="str">
        <f>IF('Proposed Lighting'!T133="","",IF(ISNUMBER(SEARCH("Networked",'Proposed Lighting'!T133)),0,IF(ISNUMBER(SEARCH("Strategies",'Proposed Lighting'!T133)),0,IF(ISNUMBER(SEARCH("Removal",'Proposed Lighting'!T133)),0,'Proposed Lighting'!T133))))</f>
        <v/>
      </c>
      <c r="H133" s="1830"/>
      <c r="I133" s="1830"/>
      <c r="J133" s="1830"/>
      <c r="K133" s="1215"/>
      <c r="L133" s="1246">
        <f t="shared" si="17"/>
        <v>0</v>
      </c>
      <c r="M133" s="1224">
        <f t="shared" si="18"/>
        <v>0</v>
      </c>
      <c r="N133" s="1224">
        <f t="shared" si="19"/>
        <v>0</v>
      </c>
      <c r="O133" s="1825" t="str">
        <f>IF(G133=0,0,IF(ISNA('Proposed Lighting'!AT133),0,'Proposed Lighting'!AT133))</f>
        <v/>
      </c>
      <c r="P133" s="1825"/>
      <c r="Q133" s="1247"/>
      <c r="R133" s="1247"/>
      <c r="S133" s="1247"/>
      <c r="T133" s="1211"/>
      <c r="U133" s="1235">
        <f>IF(K133&gt;0.01,'Proposed Lighting'!CU133,0)</f>
        <v>0</v>
      </c>
      <c r="V133" s="1248">
        <f>IF('Proposed Lighting'!CF133=1,0,IF('Proposed Lighting'!AU133=2,0,IF(AND('Proposed Lighting'!AU133=3,'Proposed Lighting'!CF133=0),1,0)))</f>
        <v>0</v>
      </c>
      <c r="W133" s="1836"/>
      <c r="X133" s="1836"/>
      <c r="Y133" s="1836"/>
      <c r="Z133" s="1230" t="str">
        <f t="shared" si="13"/>
        <v/>
      </c>
      <c r="AA133" s="1230">
        <f t="shared" si="14"/>
        <v>0</v>
      </c>
      <c r="AB133" s="1230">
        <f>IF(Q133=0,0,IF(T133=0,0,IF(AA133=0,0,IF(AND(F133=3,V133=0),0,IF(T133=0,0,IF(K133&gt;'Proposed Lighting'!AA133,0,IF('Proposed Lighting'!EJ133&gt;0.01,(K133*O133)*'Proposed Lighting'!EJ133/1000,(K133*O133)*U133/1000)))))))</f>
        <v>0</v>
      </c>
      <c r="AC133" s="1230" t="str">
        <f t="shared" si="20"/>
        <v/>
      </c>
      <c r="AD133" s="1230">
        <f t="shared" si="15"/>
        <v>0</v>
      </c>
      <c r="AE133" s="1230">
        <f>IF(T133=0,0,IF(K133&gt;'Proposed Lighting'!AA133,0,IF(T133&gt;K133,0,IF(AND(AD133&gt;AA133,AA133&gt;0),0,IF(AND(F133&gt;1,W133&lt;0.01),0,IF('Proposed Lighting'!AU133&gt;'Lighting Controls'!F133,0,IF('Proposed Lighting'!AU133&lt;'Lighting Controls'!F133,0,IF(U133=0,0,Summary!AC436))))))))</f>
        <v>0</v>
      </c>
      <c r="AF133" s="1230">
        <f>IF(T133=0,0,IF(AE133=0,0,IF(K133&gt;'Proposed Lighting'!AA133,0,IF(AND(AD133&gt;AA133,AA133&gt;0),0,IF(U133=0,0,Summary!AD436)))))</f>
        <v>0</v>
      </c>
      <c r="AG133" s="1834">
        <f>IF('Proposed Lighting'!AU133=1,0,IF('Proposed Lighting'!CF133=1,0,T133*W133))</f>
        <v>0</v>
      </c>
      <c r="AH133" s="1834"/>
      <c r="AI133" s="1834"/>
      <c r="AJ133" s="1835">
        <f>IF(T133&lt;1,0,IF(K133&gt;'Proposed Lighting'!AA133,0,IF('Proposed Lighting'!CF133=1,0,IF('Proposed Lighting'!AU133=1,0,IF(T133&gt;K133,0,IF(AND(AD133&gt;AA133,AA133&gt;0),0,IF(AND(F133=2,'Proposed Lighting'!AU133=3),0,IF(AND(F133=3,'Proposed Lighting'!AU133=2),0,IF('Proposed Lighting'!CH133=100,0,IF(AND(F133&lt;3,V133=1,AM133=0),0,IF(AND(F133&gt;1,AF133&lt;1,AN133&lt;1),0,IF(AND(F133&gt;1,AE133&lt;0.69,AF133&lt;1,AN133&lt;1),0,IF(ISERROR(AB133-AC133),"",AB133-AC133)))))))))))))</f>
        <v>0</v>
      </c>
      <c r="AK133" s="1835"/>
      <c r="AL133" s="1835"/>
      <c r="AM133" s="1216">
        <f>IF(Q133=0,0,IF(T133=0,0,IF(T133&gt;K133,0,IF(AND(AS133&gt;0.01,BK133=0),0,IF(AND('Proposed Lighting'!DG133=0,'Lighting Controls'!Z133=0.35),0,IF(AND(T133&lt;=K133,AA133&gt;=AD133,'Proposed Lighting'!AU133=2),VLOOKUP(Q133,$AY$9:$AZ$15,2,FALSE),IF(AND(T133&lt;=K133,AA133&gt;=AD133,'Proposed Lighting'!AU133=3),VLOOKUP(Q133,$AY$17:$AZ$23,2,FALSE))))))))</f>
        <v>0</v>
      </c>
      <c r="AN133" s="1248">
        <f>IF(T133=0,0,IF(K133&gt;'Proposed Lighting'!AA133,0,IF(AE133=0,0,IF(AND(AD133&gt;AA133,AA133&gt;0),0,IF(U133=0,0,Summary!AE436)))))</f>
        <v>0</v>
      </c>
      <c r="AO133" s="1248">
        <f t="shared" si="24"/>
        <v>0</v>
      </c>
      <c r="AP133" s="1249">
        <f>IF('Proposed Lighting'!AU133=1,0,IF(K133=0,0,IF(T133&gt;K133,0,IF(G133=0,0,IF(K133&gt;'Proposed Lighting'!AA133,0,IF(AND(AD133&gt;AA133,AA133&gt;0),0,IF(AND('Proposed Lighting'!AU133=3,AM133=0.5),0,IF(AND(AM133&gt;0,AS133&gt;0,BI133&lt;2),0,IF('Proposed Lighting'!CH133=100,0,IF(AV133=1,0,IF(AND(AM133=35,M133+N133&lt;2),0,AM133)))))))))))</f>
        <v>0</v>
      </c>
      <c r="AQ133" s="1249" t="str">
        <f>IFERROR(ROUND(IF(Q133="","",IF('Proposed Lighting'!$X$4=0,0,IF(AND(AM133=35,M133+N133&lt;2),0,IF(T133&gt;K133,0,IF('Proposed Lighting'!AU133=1,0,IF(AJ133=0,0,IF(AND('Proposed Lighting'!AU133=3,AM133=0.5),0,IF(AND(AD133=75,AP133=0,AV133=0),0,IF(AP133&gt;0.01,AP133*T133,IF(AND(F133&gt;1,W133&lt;0.01),0,IF(AND(F133&gt;1,AO133=0),0,IF(AND('Proposed Lighting'!BC133=22,AV133=0),0,IF(AND(AM133&gt;0,AS133&gt;0,BI133&lt;2),0,IF(AND(AS133&gt;0.01,BK133=0),0,IF(AND(AO133=TRUE,AV133=1,F133=3),MIN(AJ133*0.08,L133),IF(AP133&gt;0.01,AP133*T133,IF(AND(AO133=TRUE,AV133=1,F133=2),MIN(AJ133*0.1,L133)))))))))))))))))),2),"")</f>
        <v/>
      </c>
      <c r="AR133" s="1250">
        <f>IF(Q133=0,0,IF('Proposed Lighting'!$X$4=0,0,IF(AND(AM133&gt;0.01,AQ133&gt;0.01),0,IF('Proposed Lighting'!AU133=1,"Missing Interior or Exterior Selection",IF('Proposed Lighting'!CF133=1,"Selection does not match",IF(K133&gt;'Proposed Lighting'!AA133,"Quantity controlled does not match proposed lighting quantity",IF(T133&gt;K133,"Quantity of sensors exceeds proposed lighting quantity",IF(AND(F133&gt;1,'Proposed Lighting'!AU133&lt;&gt;F133),"Selection does not match",IF(AND(AD133&gt;AA133,AA133&gt;0),"Does not meet minimum connected load",IF(AND(O133&gt;0,AS133&gt;0,BK133&gt;0,'Proposed Lighting'!CH133=0),"Select Control Strategies",IF(AND(AC133&gt;0.1,AJ133=0,AQ133=0),"Does not meet incentive criteria",0)))))))))))</f>
        <v>0</v>
      </c>
      <c r="AS133" s="1224">
        <f>IF('Proposed Lighting'!CH133=100,0,IF(ISNUMBER(SEARCH("multiple",Q133)),1,0))</f>
        <v>0</v>
      </c>
      <c r="AT133" s="451">
        <f t="shared" si="21"/>
        <v>0</v>
      </c>
      <c r="AU133" s="451">
        <f t="shared" si="22"/>
        <v>0</v>
      </c>
      <c r="AV133" s="1222">
        <f>IF(ISNUMBER(SEARCH("Networked",'Proposed Lighting'!T133)),0,IF(ISNUMBER(SEARCH("Strategies",'Proposed Lighting'!T133)),0,IF(ISNUMBER(SEARCH("Removal",'Proposed Lighting'!T133)),0,IF(ISNUMBER(SEARCH("non-standard",Q133)),1,0))))</f>
        <v>0</v>
      </c>
      <c r="AW133" s="451">
        <f t="shared" si="25"/>
        <v>0</v>
      </c>
      <c r="AX133" s="451"/>
      <c r="AY133" s="451"/>
      <c r="AZ133" s="451"/>
      <c r="BA133" s="451"/>
      <c r="BB133" s="451"/>
      <c r="BC133" s="1215"/>
      <c r="BD133" s="1215"/>
      <c r="BE133" s="1215"/>
      <c r="BF133" s="1215"/>
      <c r="BG133" s="1215"/>
      <c r="BH133" s="1215"/>
      <c r="BI133">
        <f>IF(AND(AS133=1,BC133="No",BD133="Yes",BE133="Yes",BF133="No",BH133="No"),0,IF(AND('Proposed Lighting'!AU133=2,AS133=1,BC133="Yes",BD133="Yes"),2,IF(AND('Proposed Lighting'!AU133=2,AS133=1,BC133="Yes",BE133="Yes"),2,IF(AND('Proposed Lighting'!AU133=2,AS133=1,BC133="Yes",BF133="Yes"),2,IF(AND('Proposed Lighting'!AU133=2,AS133=1,BC133="Yes",BH133="Yes"),2,IF(AND('Proposed Lighting'!AU133=2,AS133=1,BD133="Yes",BF133="Yes"),2,IF(AND('Proposed Lighting'!AU133=2,AS133=1,BD133="Yes",BH133="Yes"),2,IF(AND('Proposed Lighting'!AU133=3,AS133=1,BC133="Yes",BE133="Yes"),2,IF(AND('Proposed Lighting'!AU133=3,AS133=1,BC133="Yes",BF133="Yes"),2,0)))))))))</f>
        <v>0</v>
      </c>
      <c r="BJ133" s="1025">
        <f t="shared" si="23"/>
        <v>0</v>
      </c>
      <c r="BK133">
        <f>IF(AND('Proposed Lighting'!BC133=22,'Lighting Controls'!N133=1),0,IF(ISNUMBER(SEARCH("LED",G133)),1,0))</f>
        <v>0</v>
      </c>
    </row>
    <row r="134" spans="1:63" ht="34.5" customHeight="1">
      <c r="A134" s="917">
        <v>126</v>
      </c>
      <c r="B134" s="1828" t="str">
        <f>IF('Proposed Lighting'!B134="","",'Proposed Lighting'!B134)</f>
        <v/>
      </c>
      <c r="C134" s="1828"/>
      <c r="D134" s="1828"/>
      <c r="E134" s="1245">
        <f>'Proposed Lighting'!AA134</f>
        <v>0</v>
      </c>
      <c r="F134" s="1245">
        <f t="shared" si="16"/>
        <v>0</v>
      </c>
      <c r="G134" s="1830" t="str">
        <f>IF('Proposed Lighting'!T134="","",IF(ISNUMBER(SEARCH("Networked",'Proposed Lighting'!T134)),0,IF(ISNUMBER(SEARCH("Strategies",'Proposed Lighting'!T134)),0,IF(ISNUMBER(SEARCH("Removal",'Proposed Lighting'!T134)),0,'Proposed Lighting'!T134))))</f>
        <v/>
      </c>
      <c r="H134" s="1830"/>
      <c r="I134" s="1830"/>
      <c r="J134" s="1830"/>
      <c r="K134" s="1215"/>
      <c r="L134" s="1246">
        <f t="shared" si="17"/>
        <v>0</v>
      </c>
      <c r="M134" s="1224">
        <f t="shared" si="18"/>
        <v>0</v>
      </c>
      <c r="N134" s="1224">
        <f t="shared" si="19"/>
        <v>0</v>
      </c>
      <c r="O134" s="1825" t="str">
        <f>IF(G134=0,0,IF(ISNA('Proposed Lighting'!AT134),0,'Proposed Lighting'!AT134))</f>
        <v/>
      </c>
      <c r="P134" s="1825"/>
      <c r="Q134" s="1247"/>
      <c r="R134" s="1247"/>
      <c r="S134" s="1247"/>
      <c r="T134" s="1211"/>
      <c r="U134" s="1235">
        <f>IF(K134&gt;0.01,'Proposed Lighting'!CU134,0)</f>
        <v>0</v>
      </c>
      <c r="V134" s="1248">
        <f>IF('Proposed Lighting'!CF134=1,0,IF('Proposed Lighting'!AU134=2,0,IF(AND('Proposed Lighting'!AU134=3,'Proposed Lighting'!CF134=0),1,0)))</f>
        <v>0</v>
      </c>
      <c r="W134" s="1836"/>
      <c r="X134" s="1836"/>
      <c r="Y134" s="1836"/>
      <c r="Z134" s="1230" t="str">
        <f t="shared" si="13"/>
        <v/>
      </c>
      <c r="AA134" s="1230">
        <f t="shared" si="14"/>
        <v>0</v>
      </c>
      <c r="AB134" s="1230">
        <f>IF(Q134=0,0,IF(T134=0,0,IF(AA134=0,0,IF(AND(F134=3,V134=0),0,IF(T134=0,0,IF(K134&gt;'Proposed Lighting'!AA134,0,IF('Proposed Lighting'!EJ134&gt;0.01,(K134*O134)*'Proposed Lighting'!EJ134/1000,(K134*O134)*U134/1000)))))))</f>
        <v>0</v>
      </c>
      <c r="AC134" s="1230" t="str">
        <f t="shared" si="20"/>
        <v/>
      </c>
      <c r="AD134" s="1230">
        <f t="shared" si="15"/>
        <v>0</v>
      </c>
      <c r="AE134" s="1230">
        <f>IF(T134=0,0,IF(K134&gt;'Proposed Lighting'!AA134,0,IF(T134&gt;K134,0,IF(AND(AD134&gt;AA134,AA134&gt;0),0,IF(AND(F134&gt;1,W134&lt;0.01),0,IF('Proposed Lighting'!AU134&gt;'Lighting Controls'!F134,0,IF('Proposed Lighting'!AU134&lt;'Lighting Controls'!F134,0,IF(U134=0,0,Summary!AC437))))))))</f>
        <v>0</v>
      </c>
      <c r="AF134" s="1230">
        <f>IF(T134=0,0,IF(AE134=0,0,IF(K134&gt;'Proposed Lighting'!AA134,0,IF(AND(AD134&gt;AA134,AA134&gt;0),0,IF(U134=0,0,Summary!AD437)))))</f>
        <v>0</v>
      </c>
      <c r="AG134" s="1834">
        <f>IF('Proposed Lighting'!AU134=1,0,IF('Proposed Lighting'!CF134=1,0,T134*W134))</f>
        <v>0</v>
      </c>
      <c r="AH134" s="1834"/>
      <c r="AI134" s="1834"/>
      <c r="AJ134" s="1835">
        <f>IF(T134&lt;1,0,IF(K134&gt;'Proposed Lighting'!AA134,0,IF('Proposed Lighting'!CF134=1,0,IF('Proposed Lighting'!AU134=1,0,IF(T134&gt;K134,0,IF(AND(AD134&gt;AA134,AA134&gt;0),0,IF(AND(F134=2,'Proposed Lighting'!AU134=3),0,IF(AND(F134=3,'Proposed Lighting'!AU134=2),0,IF('Proposed Lighting'!CH134=100,0,IF(AND(F134&lt;3,V134=1,AM134=0),0,IF(AND(F134&gt;1,AF134&lt;1,AN134&lt;1),0,IF(AND(F134&gt;1,AE134&lt;0.69,AF134&lt;1,AN134&lt;1),0,IF(ISERROR(AB134-AC134),"",AB134-AC134)))))))))))))</f>
        <v>0</v>
      </c>
      <c r="AK134" s="1835"/>
      <c r="AL134" s="1835"/>
      <c r="AM134" s="1216">
        <f>IF(Q134=0,0,IF(T134=0,0,IF(T134&gt;K134,0,IF(AND(AS134&gt;0.01,BK134=0),0,IF(AND('Proposed Lighting'!DG134=0,'Lighting Controls'!Z134=0.35),0,IF(AND(T134&lt;=K134,AA134&gt;=AD134,'Proposed Lighting'!AU134=2),VLOOKUP(Q134,$AY$9:$AZ$15,2,FALSE),IF(AND(T134&lt;=K134,AA134&gt;=AD134,'Proposed Lighting'!AU134=3),VLOOKUP(Q134,$AY$17:$AZ$23,2,FALSE))))))))</f>
        <v>0</v>
      </c>
      <c r="AN134" s="1248">
        <f>IF(T134=0,0,IF(K134&gt;'Proposed Lighting'!AA134,0,IF(AE134=0,0,IF(AND(AD134&gt;AA134,AA134&gt;0),0,IF(U134=0,0,Summary!AE437)))))</f>
        <v>0</v>
      </c>
      <c r="AO134" s="1248">
        <f t="shared" si="24"/>
        <v>0</v>
      </c>
      <c r="AP134" s="1249">
        <f>IF('Proposed Lighting'!AU134=1,0,IF(K134=0,0,IF(T134&gt;K134,0,IF(G134=0,0,IF(K134&gt;'Proposed Lighting'!AA134,0,IF(AND(AD134&gt;AA134,AA134&gt;0),0,IF(AND('Proposed Lighting'!AU134=3,AM134=0.5),0,IF(AND(AM134&gt;0,AS134&gt;0,BI134&lt;2),0,IF('Proposed Lighting'!CH134=100,0,IF(AV134=1,0,IF(AND(AM134=35,M134+N134&lt;2),0,AM134)))))))))))</f>
        <v>0</v>
      </c>
      <c r="AQ134" s="1249" t="str">
        <f>IFERROR(ROUND(IF(Q134="","",IF('Proposed Lighting'!$X$4=0,0,IF(AND(AM134=35,M134+N134&lt;2),0,IF(T134&gt;K134,0,IF('Proposed Lighting'!AU134=1,0,IF(AJ134=0,0,IF(AND('Proposed Lighting'!AU134=3,AM134=0.5),0,IF(AND(AD134=75,AP134=0,AV134=0),0,IF(AP134&gt;0.01,AP134*T134,IF(AND(F134&gt;1,W134&lt;0.01),0,IF(AND(F134&gt;1,AO134=0),0,IF(AND('Proposed Lighting'!BC134=22,AV134=0),0,IF(AND(AM134&gt;0,AS134&gt;0,BI134&lt;2),0,IF(AND(AS134&gt;0.01,BK134=0),0,IF(AND(AO134=TRUE,AV134=1,F134=3),MIN(AJ134*0.08,L134),IF(AP134&gt;0.01,AP134*T134,IF(AND(AO134=TRUE,AV134=1,F134=2),MIN(AJ134*0.1,L134)))))))))))))))))),2),"")</f>
        <v/>
      </c>
      <c r="AR134" s="1250">
        <f>IF(Q134=0,0,IF('Proposed Lighting'!$X$4=0,0,IF(AND(AM134&gt;0.01,AQ134&gt;0.01),0,IF('Proposed Lighting'!AU134=1,"Missing Interior or Exterior Selection",IF('Proposed Lighting'!CF134=1,"Selection does not match",IF(K134&gt;'Proposed Lighting'!AA134,"Quantity controlled does not match proposed lighting quantity",IF(T134&gt;K134,"Quantity of sensors exceeds proposed lighting quantity",IF(AND(F134&gt;1,'Proposed Lighting'!AU134&lt;&gt;F134),"Selection does not match",IF(AND(AD134&gt;AA134,AA134&gt;0),"Does not meet minimum connected load",IF(AND(O134&gt;0,AS134&gt;0,BK134&gt;0,'Proposed Lighting'!CH134=0),"Select Control Strategies",IF(AND(AC134&gt;0.1,AJ134=0,AQ134=0),"Does not meet incentive criteria",0)))))))))))</f>
        <v>0</v>
      </c>
      <c r="AS134" s="1224">
        <f>IF('Proposed Lighting'!CH134=100,0,IF(ISNUMBER(SEARCH("multiple",Q134)),1,0))</f>
        <v>0</v>
      </c>
      <c r="AT134" s="451">
        <f t="shared" si="21"/>
        <v>0</v>
      </c>
      <c r="AU134" s="451">
        <f t="shared" si="22"/>
        <v>0</v>
      </c>
      <c r="AV134" s="1222">
        <f>IF(ISNUMBER(SEARCH("Networked",'Proposed Lighting'!T134)),0,IF(ISNUMBER(SEARCH("Strategies",'Proposed Lighting'!T134)),0,IF(ISNUMBER(SEARCH("Removal",'Proposed Lighting'!T134)),0,IF(ISNUMBER(SEARCH("non-standard",Q134)),1,0))))</f>
        <v>0</v>
      </c>
      <c r="AW134" s="451">
        <f t="shared" si="25"/>
        <v>0</v>
      </c>
      <c r="AX134" s="451"/>
      <c r="AY134" s="451"/>
      <c r="AZ134" s="451"/>
      <c r="BA134" s="451"/>
      <c r="BB134" s="451"/>
      <c r="BC134" s="1215"/>
      <c r="BD134" s="1215"/>
      <c r="BE134" s="1215"/>
      <c r="BF134" s="1215"/>
      <c r="BG134" s="1215"/>
      <c r="BH134" s="1215"/>
      <c r="BI134">
        <f>IF(AND(AS134=1,BC134="No",BD134="Yes",BE134="Yes",BF134="No",BH134="No"),0,IF(AND('Proposed Lighting'!AU134=2,AS134=1,BC134="Yes",BD134="Yes"),2,IF(AND('Proposed Lighting'!AU134=2,AS134=1,BC134="Yes",BE134="Yes"),2,IF(AND('Proposed Lighting'!AU134=2,AS134=1,BC134="Yes",BF134="Yes"),2,IF(AND('Proposed Lighting'!AU134=2,AS134=1,BC134="Yes",BH134="Yes"),2,IF(AND('Proposed Lighting'!AU134=2,AS134=1,BD134="Yes",BF134="Yes"),2,IF(AND('Proposed Lighting'!AU134=2,AS134=1,BD134="Yes",BH134="Yes"),2,IF(AND('Proposed Lighting'!AU134=3,AS134=1,BC134="Yes",BE134="Yes"),2,IF(AND('Proposed Lighting'!AU134=3,AS134=1,BC134="Yes",BF134="Yes"),2,0)))))))))</f>
        <v>0</v>
      </c>
      <c r="BJ134" s="1025">
        <f t="shared" si="23"/>
        <v>0</v>
      </c>
      <c r="BK134">
        <f>IF(AND('Proposed Lighting'!BC134=22,'Lighting Controls'!N134=1),0,IF(ISNUMBER(SEARCH("LED",G134)),1,0))</f>
        <v>0</v>
      </c>
    </row>
    <row r="135" spans="1:63" ht="34.5" customHeight="1">
      <c r="A135" s="917">
        <v>127</v>
      </c>
      <c r="B135" s="1828" t="str">
        <f>IF('Proposed Lighting'!B135="","",'Proposed Lighting'!B135)</f>
        <v/>
      </c>
      <c r="C135" s="1828"/>
      <c r="D135" s="1828"/>
      <c r="E135" s="1245">
        <f>'Proposed Lighting'!AA135</f>
        <v>0</v>
      </c>
      <c r="F135" s="1245">
        <f t="shared" si="16"/>
        <v>0</v>
      </c>
      <c r="G135" s="1830" t="str">
        <f>IF('Proposed Lighting'!T135="","",IF(ISNUMBER(SEARCH("Networked",'Proposed Lighting'!T135)),0,IF(ISNUMBER(SEARCH("Strategies",'Proposed Lighting'!T135)),0,IF(ISNUMBER(SEARCH("Removal",'Proposed Lighting'!T135)),0,'Proposed Lighting'!T135))))</f>
        <v/>
      </c>
      <c r="H135" s="1830"/>
      <c r="I135" s="1830"/>
      <c r="J135" s="1830"/>
      <c r="K135" s="1215"/>
      <c r="L135" s="1246">
        <f t="shared" si="17"/>
        <v>0</v>
      </c>
      <c r="M135" s="1224">
        <f t="shared" si="18"/>
        <v>0</v>
      </c>
      <c r="N135" s="1224">
        <f t="shared" si="19"/>
        <v>0</v>
      </c>
      <c r="O135" s="1825" t="str">
        <f>IF(G135=0,0,IF(ISNA('Proposed Lighting'!AT135),0,'Proposed Lighting'!AT135))</f>
        <v/>
      </c>
      <c r="P135" s="1825"/>
      <c r="Q135" s="1247"/>
      <c r="R135" s="1247"/>
      <c r="S135" s="1247"/>
      <c r="T135" s="1211"/>
      <c r="U135" s="1235">
        <f>IF(K135&gt;0.01,'Proposed Lighting'!CU135,0)</f>
        <v>0</v>
      </c>
      <c r="V135" s="1248">
        <f>IF('Proposed Lighting'!CF135=1,0,IF('Proposed Lighting'!AU135=2,0,IF(AND('Proposed Lighting'!AU135=3,'Proposed Lighting'!CF135=0),1,0)))</f>
        <v>0</v>
      </c>
      <c r="W135" s="1836"/>
      <c r="X135" s="1836"/>
      <c r="Y135" s="1836"/>
      <c r="Z135" s="1230" t="str">
        <f t="shared" si="13"/>
        <v/>
      </c>
      <c r="AA135" s="1230">
        <f t="shared" si="14"/>
        <v>0</v>
      </c>
      <c r="AB135" s="1230">
        <f>IF(Q135=0,0,IF(T135=0,0,IF(AA135=0,0,IF(AND(F135=3,V135=0),0,IF(T135=0,0,IF(K135&gt;'Proposed Lighting'!AA135,0,IF('Proposed Lighting'!EJ135&gt;0.01,(K135*O135)*'Proposed Lighting'!EJ135/1000,(K135*O135)*U135/1000)))))))</f>
        <v>0</v>
      </c>
      <c r="AC135" s="1230" t="str">
        <f t="shared" si="20"/>
        <v/>
      </c>
      <c r="AD135" s="1230">
        <f t="shared" si="15"/>
        <v>0</v>
      </c>
      <c r="AE135" s="1230">
        <f>IF(T135=0,0,IF(K135&gt;'Proposed Lighting'!AA135,0,IF(T135&gt;K135,0,IF(AND(AD135&gt;AA135,AA135&gt;0),0,IF(AND(F135&gt;1,W135&lt;0.01),0,IF('Proposed Lighting'!AU135&gt;'Lighting Controls'!F135,0,IF('Proposed Lighting'!AU135&lt;'Lighting Controls'!F135,0,IF(U135=0,0,Summary!AC438))))))))</f>
        <v>0</v>
      </c>
      <c r="AF135" s="1230">
        <f>IF(T135=0,0,IF(AE135=0,0,IF(K135&gt;'Proposed Lighting'!AA135,0,IF(AND(AD135&gt;AA135,AA135&gt;0),0,IF(U135=0,0,Summary!AD438)))))</f>
        <v>0</v>
      </c>
      <c r="AG135" s="1834">
        <f>IF('Proposed Lighting'!AU135=1,0,IF('Proposed Lighting'!CF135=1,0,T135*W135))</f>
        <v>0</v>
      </c>
      <c r="AH135" s="1834"/>
      <c r="AI135" s="1834"/>
      <c r="AJ135" s="1835">
        <f>IF(T135&lt;1,0,IF(K135&gt;'Proposed Lighting'!AA135,0,IF('Proposed Lighting'!CF135=1,0,IF('Proposed Lighting'!AU135=1,0,IF(T135&gt;K135,0,IF(AND(AD135&gt;AA135,AA135&gt;0),0,IF(AND(F135=2,'Proposed Lighting'!AU135=3),0,IF(AND(F135=3,'Proposed Lighting'!AU135=2),0,IF('Proposed Lighting'!CH135=100,0,IF(AND(F135&lt;3,V135=1,AM135=0),0,IF(AND(F135&gt;1,AF135&lt;1,AN135&lt;1),0,IF(AND(F135&gt;1,AE135&lt;0.69,AF135&lt;1,AN135&lt;1),0,IF(ISERROR(AB135-AC135),"",AB135-AC135)))))))))))))</f>
        <v>0</v>
      </c>
      <c r="AK135" s="1835"/>
      <c r="AL135" s="1835"/>
      <c r="AM135" s="1216">
        <f>IF(Q135=0,0,IF(T135=0,0,IF(T135&gt;K135,0,IF(AND(AS135&gt;0.01,BK135=0),0,IF(AND('Proposed Lighting'!DG135=0,'Lighting Controls'!Z135=0.35),0,IF(AND(T135&lt;=K135,AA135&gt;=AD135,'Proposed Lighting'!AU135=2),VLOOKUP(Q135,$AY$9:$AZ$15,2,FALSE),IF(AND(T135&lt;=K135,AA135&gt;=AD135,'Proposed Lighting'!AU135=3),VLOOKUP(Q135,$AY$17:$AZ$23,2,FALSE))))))))</f>
        <v>0</v>
      </c>
      <c r="AN135" s="1248">
        <f>IF(T135=0,0,IF(K135&gt;'Proposed Lighting'!AA135,0,IF(AE135=0,0,IF(AND(AD135&gt;AA135,AA135&gt;0),0,IF(U135=0,0,Summary!AE438)))))</f>
        <v>0</v>
      </c>
      <c r="AO135" s="1248">
        <f t="shared" si="24"/>
        <v>0</v>
      </c>
      <c r="AP135" s="1249">
        <f>IF('Proposed Lighting'!AU135=1,0,IF(K135=0,0,IF(T135&gt;K135,0,IF(G135=0,0,IF(K135&gt;'Proposed Lighting'!AA135,0,IF(AND(AD135&gt;AA135,AA135&gt;0),0,IF(AND('Proposed Lighting'!AU135=3,AM135=0.5),0,IF(AND(AM135&gt;0,AS135&gt;0,BI135&lt;2),0,IF('Proposed Lighting'!CH135=100,0,IF(AV135=1,0,IF(AND(AM135=35,M135+N135&lt;2),0,AM135)))))))))))</f>
        <v>0</v>
      </c>
      <c r="AQ135" s="1249" t="str">
        <f>IFERROR(ROUND(IF(Q135="","",IF('Proposed Lighting'!$X$4=0,0,IF(AND(AM135=35,M135+N135&lt;2),0,IF(T135&gt;K135,0,IF('Proposed Lighting'!AU135=1,0,IF(AJ135=0,0,IF(AND('Proposed Lighting'!AU135=3,AM135=0.5),0,IF(AND(AD135=75,AP135=0,AV135=0),0,IF(AP135&gt;0.01,AP135*T135,IF(AND(F135&gt;1,W135&lt;0.01),0,IF(AND(F135&gt;1,AO135=0),0,IF(AND('Proposed Lighting'!BC135=22,AV135=0),0,IF(AND(AM135&gt;0,AS135&gt;0,BI135&lt;2),0,IF(AND(AS135&gt;0.01,BK135=0),0,IF(AND(AO135=TRUE,AV135=1,F135=3),MIN(AJ135*0.08,L135),IF(AP135&gt;0.01,AP135*T135,IF(AND(AO135=TRUE,AV135=1,F135=2),MIN(AJ135*0.1,L135)))))))))))))))))),2),"")</f>
        <v/>
      </c>
      <c r="AR135" s="1250">
        <f>IF(Q135=0,0,IF('Proposed Lighting'!$X$4=0,0,IF(AND(AM135&gt;0.01,AQ135&gt;0.01),0,IF('Proposed Lighting'!AU135=1,"Missing Interior or Exterior Selection",IF('Proposed Lighting'!CF135=1,"Selection does not match",IF(K135&gt;'Proposed Lighting'!AA135,"Quantity controlled does not match proposed lighting quantity",IF(T135&gt;K135,"Quantity of sensors exceeds proposed lighting quantity",IF(AND(F135&gt;1,'Proposed Lighting'!AU135&lt;&gt;F135),"Selection does not match",IF(AND(AD135&gt;AA135,AA135&gt;0),"Does not meet minimum connected load",IF(AND(O135&gt;0,AS135&gt;0,BK135&gt;0,'Proposed Lighting'!CH135=0),"Select Control Strategies",IF(AND(AC135&gt;0.1,AJ135=0,AQ135=0),"Does not meet incentive criteria",0)))))))))))</f>
        <v>0</v>
      </c>
      <c r="AS135" s="1224">
        <f>IF('Proposed Lighting'!CH135=100,0,IF(ISNUMBER(SEARCH("multiple",Q135)),1,0))</f>
        <v>0</v>
      </c>
      <c r="AT135" s="451">
        <f t="shared" si="21"/>
        <v>0</v>
      </c>
      <c r="AU135" s="451">
        <f t="shared" si="22"/>
        <v>0</v>
      </c>
      <c r="AV135" s="1222">
        <f>IF(ISNUMBER(SEARCH("Networked",'Proposed Lighting'!T135)),0,IF(ISNUMBER(SEARCH("Strategies",'Proposed Lighting'!T135)),0,IF(ISNUMBER(SEARCH("Removal",'Proposed Lighting'!T135)),0,IF(ISNUMBER(SEARCH("non-standard",Q135)),1,0))))</f>
        <v>0</v>
      </c>
      <c r="AW135" s="451">
        <f t="shared" si="25"/>
        <v>0</v>
      </c>
      <c r="AX135" s="451"/>
      <c r="AY135" s="451"/>
      <c r="AZ135" s="451"/>
      <c r="BA135" s="451"/>
      <c r="BB135" s="451"/>
      <c r="BC135" s="1215"/>
      <c r="BD135" s="1215"/>
      <c r="BE135" s="1215"/>
      <c r="BF135" s="1215"/>
      <c r="BG135" s="1215"/>
      <c r="BH135" s="1215"/>
      <c r="BI135">
        <f>IF(AND(AS135=1,BC135="No",BD135="Yes",BE135="Yes",BF135="No",BH135="No"),0,IF(AND('Proposed Lighting'!AU135=2,AS135=1,BC135="Yes",BD135="Yes"),2,IF(AND('Proposed Lighting'!AU135=2,AS135=1,BC135="Yes",BE135="Yes"),2,IF(AND('Proposed Lighting'!AU135=2,AS135=1,BC135="Yes",BF135="Yes"),2,IF(AND('Proposed Lighting'!AU135=2,AS135=1,BC135="Yes",BH135="Yes"),2,IF(AND('Proposed Lighting'!AU135=2,AS135=1,BD135="Yes",BF135="Yes"),2,IF(AND('Proposed Lighting'!AU135=2,AS135=1,BD135="Yes",BH135="Yes"),2,IF(AND('Proposed Lighting'!AU135=3,AS135=1,BC135="Yes",BE135="Yes"),2,IF(AND('Proposed Lighting'!AU135=3,AS135=1,BC135="Yes",BF135="Yes"),2,0)))))))))</f>
        <v>0</v>
      </c>
      <c r="BJ135" s="1025">
        <f t="shared" si="23"/>
        <v>0</v>
      </c>
      <c r="BK135">
        <f>IF(AND('Proposed Lighting'!BC135=22,'Lighting Controls'!N135=1),0,IF(ISNUMBER(SEARCH("LED",G135)),1,0))</f>
        <v>0</v>
      </c>
    </row>
    <row r="136" spans="1:63" ht="34.5" customHeight="1">
      <c r="A136" s="917">
        <v>128</v>
      </c>
      <c r="B136" s="1828" t="str">
        <f>IF('Proposed Lighting'!B136="","",'Proposed Lighting'!B136)</f>
        <v/>
      </c>
      <c r="C136" s="1828"/>
      <c r="D136" s="1828"/>
      <c r="E136" s="1245">
        <f>'Proposed Lighting'!AA136</f>
        <v>0</v>
      </c>
      <c r="F136" s="1245">
        <f t="shared" si="16"/>
        <v>0</v>
      </c>
      <c r="G136" s="1830" t="str">
        <f>IF('Proposed Lighting'!T136="","",IF(ISNUMBER(SEARCH("Networked",'Proposed Lighting'!T136)),0,IF(ISNUMBER(SEARCH("Strategies",'Proposed Lighting'!T136)),0,IF(ISNUMBER(SEARCH("Removal",'Proposed Lighting'!T136)),0,'Proposed Lighting'!T136))))</f>
        <v/>
      </c>
      <c r="H136" s="1830"/>
      <c r="I136" s="1830"/>
      <c r="J136" s="1830"/>
      <c r="K136" s="1215"/>
      <c r="L136" s="1246">
        <f t="shared" si="17"/>
        <v>0</v>
      </c>
      <c r="M136" s="1224">
        <f t="shared" si="18"/>
        <v>0</v>
      </c>
      <c r="N136" s="1224">
        <f t="shared" si="19"/>
        <v>0</v>
      </c>
      <c r="O136" s="1825" t="str">
        <f>IF(G136=0,0,IF(ISNA('Proposed Lighting'!AT136),0,'Proposed Lighting'!AT136))</f>
        <v/>
      </c>
      <c r="P136" s="1825"/>
      <c r="Q136" s="1247"/>
      <c r="R136" s="1247"/>
      <c r="S136" s="1247"/>
      <c r="T136" s="1211"/>
      <c r="U136" s="1235">
        <f>IF(K136&gt;0.01,'Proposed Lighting'!CU136,0)</f>
        <v>0</v>
      </c>
      <c r="V136" s="1248">
        <f>IF('Proposed Lighting'!CF136=1,0,IF('Proposed Lighting'!AU136=2,0,IF(AND('Proposed Lighting'!AU136=3,'Proposed Lighting'!CF136=0),1,0)))</f>
        <v>0</v>
      </c>
      <c r="W136" s="1836"/>
      <c r="X136" s="1836"/>
      <c r="Y136" s="1836"/>
      <c r="Z136" s="1230" t="str">
        <f t="shared" si="13"/>
        <v/>
      </c>
      <c r="AA136" s="1230">
        <f t="shared" si="14"/>
        <v>0</v>
      </c>
      <c r="AB136" s="1230">
        <f>IF(Q136=0,0,IF(T136=0,0,IF(AA136=0,0,IF(AND(F136=3,V136=0),0,IF(T136=0,0,IF(K136&gt;'Proposed Lighting'!AA136,0,IF('Proposed Lighting'!EJ136&gt;0.01,(K136*O136)*'Proposed Lighting'!EJ136/1000,(K136*O136)*U136/1000)))))))</f>
        <v>0</v>
      </c>
      <c r="AC136" s="1230" t="str">
        <f t="shared" si="20"/>
        <v/>
      </c>
      <c r="AD136" s="1230">
        <f t="shared" si="15"/>
        <v>0</v>
      </c>
      <c r="AE136" s="1230">
        <f>IF(T136=0,0,IF(K136&gt;'Proposed Lighting'!AA136,0,IF(T136&gt;K136,0,IF(AND(AD136&gt;AA136,AA136&gt;0),0,IF(AND(F136&gt;1,W136&lt;0.01),0,IF('Proposed Lighting'!AU136&gt;'Lighting Controls'!F136,0,IF('Proposed Lighting'!AU136&lt;'Lighting Controls'!F136,0,IF(U136=0,0,Summary!AC439))))))))</f>
        <v>0</v>
      </c>
      <c r="AF136" s="1230">
        <f>IF(T136=0,0,IF(AE136=0,0,IF(K136&gt;'Proposed Lighting'!AA136,0,IF(AND(AD136&gt;AA136,AA136&gt;0),0,IF(U136=0,0,Summary!AD439)))))</f>
        <v>0</v>
      </c>
      <c r="AG136" s="1834">
        <f>IF('Proposed Lighting'!AU136=1,0,IF('Proposed Lighting'!CF136=1,0,T136*W136))</f>
        <v>0</v>
      </c>
      <c r="AH136" s="1834"/>
      <c r="AI136" s="1834"/>
      <c r="AJ136" s="1835">
        <f>IF(T136&lt;1,0,IF(K136&gt;'Proposed Lighting'!AA136,0,IF('Proposed Lighting'!CF136=1,0,IF('Proposed Lighting'!AU136=1,0,IF(T136&gt;K136,0,IF(AND(AD136&gt;AA136,AA136&gt;0),0,IF(AND(F136=2,'Proposed Lighting'!AU136=3),0,IF(AND(F136=3,'Proposed Lighting'!AU136=2),0,IF('Proposed Lighting'!CH136=100,0,IF(AND(F136&lt;3,V136=1,AM136=0),0,IF(AND(F136&gt;1,AF136&lt;1,AN136&lt;1),0,IF(AND(F136&gt;1,AE136&lt;0.69,AF136&lt;1,AN136&lt;1),0,IF(ISERROR(AB136-AC136),"",AB136-AC136)))))))))))))</f>
        <v>0</v>
      </c>
      <c r="AK136" s="1835"/>
      <c r="AL136" s="1835"/>
      <c r="AM136" s="1216">
        <f>IF(Q136=0,0,IF(T136=0,0,IF(T136&gt;K136,0,IF(AND(AS136&gt;0.01,BK136=0),0,IF(AND('Proposed Lighting'!DG136=0,'Lighting Controls'!Z136=0.35),0,IF(AND(T136&lt;=K136,AA136&gt;=AD136,'Proposed Lighting'!AU136=2),VLOOKUP(Q136,$AY$9:$AZ$15,2,FALSE),IF(AND(T136&lt;=K136,AA136&gt;=AD136,'Proposed Lighting'!AU136=3),VLOOKUP(Q136,$AY$17:$AZ$23,2,FALSE))))))))</f>
        <v>0</v>
      </c>
      <c r="AN136" s="1248">
        <f>IF(T136=0,0,IF(K136&gt;'Proposed Lighting'!AA136,0,IF(AE136=0,0,IF(AND(AD136&gt;AA136,AA136&gt;0),0,IF(U136=0,0,Summary!AE439)))))</f>
        <v>0</v>
      </c>
      <c r="AO136" s="1248">
        <f t="shared" si="24"/>
        <v>0</v>
      </c>
      <c r="AP136" s="1249">
        <f>IF('Proposed Lighting'!AU136=1,0,IF(K136=0,0,IF(T136&gt;K136,0,IF(G136=0,0,IF(K136&gt;'Proposed Lighting'!AA136,0,IF(AND(AD136&gt;AA136,AA136&gt;0),0,IF(AND('Proposed Lighting'!AU136=3,AM136=0.5),0,IF(AND(AM136&gt;0,AS136&gt;0,BI136&lt;2),0,IF('Proposed Lighting'!CH136=100,0,IF(AV136=1,0,IF(AND(AM136=35,M136+N136&lt;2),0,AM136)))))))))))</f>
        <v>0</v>
      </c>
      <c r="AQ136" s="1249" t="str">
        <f>IFERROR(ROUND(IF(Q136="","",IF('Proposed Lighting'!$X$4=0,0,IF(AND(AM136=35,M136+N136&lt;2),0,IF(T136&gt;K136,0,IF('Proposed Lighting'!AU136=1,0,IF(AJ136=0,0,IF(AND('Proposed Lighting'!AU136=3,AM136=0.5),0,IF(AND(AD136=75,AP136=0,AV136=0),0,IF(AP136&gt;0.01,AP136*T136,IF(AND(F136&gt;1,W136&lt;0.01),0,IF(AND(F136&gt;1,AO136=0),0,IF(AND('Proposed Lighting'!BC136=22,AV136=0),0,IF(AND(AM136&gt;0,AS136&gt;0,BI136&lt;2),0,IF(AND(AS136&gt;0.01,BK136=0),0,IF(AND(AO136=TRUE,AV136=1,F136=3),MIN(AJ136*0.08,L136),IF(AP136&gt;0.01,AP136*T136,IF(AND(AO136=TRUE,AV136=1,F136=2),MIN(AJ136*0.1,L136)))))))))))))))))),2),"")</f>
        <v/>
      </c>
      <c r="AR136" s="1250">
        <f>IF(Q136=0,0,IF('Proposed Lighting'!$X$4=0,0,IF(AND(AM136&gt;0.01,AQ136&gt;0.01),0,IF('Proposed Lighting'!AU136=1,"Missing Interior or Exterior Selection",IF('Proposed Lighting'!CF136=1,"Selection does not match",IF(K136&gt;'Proposed Lighting'!AA136,"Quantity controlled does not match proposed lighting quantity",IF(T136&gt;K136,"Quantity of sensors exceeds proposed lighting quantity",IF(AND(F136&gt;1,'Proposed Lighting'!AU136&lt;&gt;F136),"Selection does not match",IF(AND(AD136&gt;AA136,AA136&gt;0),"Does not meet minimum connected load",IF(AND(O136&gt;0,AS136&gt;0,BK136&gt;0,'Proposed Lighting'!CH136=0),"Select Control Strategies",IF(AND(AC136&gt;0.1,AJ136=0,AQ136=0),"Does not meet incentive criteria",0)))))))))))</f>
        <v>0</v>
      </c>
      <c r="AS136" s="1224">
        <f>IF('Proposed Lighting'!CH136=100,0,IF(ISNUMBER(SEARCH("multiple",Q136)),1,0))</f>
        <v>0</v>
      </c>
      <c r="AT136" s="451">
        <f t="shared" si="21"/>
        <v>0</v>
      </c>
      <c r="AU136" s="451">
        <f t="shared" si="22"/>
        <v>0</v>
      </c>
      <c r="AV136" s="1222">
        <f>IF(ISNUMBER(SEARCH("Networked",'Proposed Lighting'!T136)),0,IF(ISNUMBER(SEARCH("Strategies",'Proposed Lighting'!T136)),0,IF(ISNUMBER(SEARCH("Removal",'Proposed Lighting'!T136)),0,IF(ISNUMBER(SEARCH("non-standard",Q136)),1,0))))</f>
        <v>0</v>
      </c>
      <c r="AW136" s="451">
        <f t="shared" si="25"/>
        <v>0</v>
      </c>
      <c r="AX136" s="451"/>
      <c r="AY136" s="451"/>
      <c r="AZ136" s="451"/>
      <c r="BA136" s="451"/>
      <c r="BB136" s="451"/>
      <c r="BC136" s="1215"/>
      <c r="BD136" s="1215"/>
      <c r="BE136" s="1215"/>
      <c r="BF136" s="1215"/>
      <c r="BG136" s="1215"/>
      <c r="BH136" s="1215"/>
      <c r="BI136">
        <f>IF(AND(AS136=1,BC136="No",BD136="Yes",BE136="Yes",BF136="No",BH136="No"),0,IF(AND('Proposed Lighting'!AU136=2,AS136=1,BC136="Yes",BD136="Yes"),2,IF(AND('Proposed Lighting'!AU136=2,AS136=1,BC136="Yes",BE136="Yes"),2,IF(AND('Proposed Lighting'!AU136=2,AS136=1,BC136="Yes",BF136="Yes"),2,IF(AND('Proposed Lighting'!AU136=2,AS136=1,BC136="Yes",BH136="Yes"),2,IF(AND('Proposed Lighting'!AU136=2,AS136=1,BD136="Yes",BF136="Yes"),2,IF(AND('Proposed Lighting'!AU136=2,AS136=1,BD136="Yes",BH136="Yes"),2,IF(AND('Proposed Lighting'!AU136=3,AS136=1,BC136="Yes",BE136="Yes"),2,IF(AND('Proposed Lighting'!AU136=3,AS136=1,BC136="Yes",BF136="Yes"),2,0)))))))))</f>
        <v>0</v>
      </c>
      <c r="BJ136" s="1025">
        <f t="shared" si="23"/>
        <v>0</v>
      </c>
      <c r="BK136">
        <f>IF(AND('Proposed Lighting'!BC136=22,'Lighting Controls'!N136=1),0,IF(ISNUMBER(SEARCH("LED",G136)),1,0))</f>
        <v>0</v>
      </c>
    </row>
    <row r="137" spans="1:63" ht="34.5" customHeight="1">
      <c r="A137" s="917">
        <v>129</v>
      </c>
      <c r="B137" s="1828" t="str">
        <f>IF('Proposed Lighting'!B137="","",'Proposed Lighting'!B137)</f>
        <v/>
      </c>
      <c r="C137" s="1828"/>
      <c r="D137" s="1828"/>
      <c r="E137" s="1245">
        <f>'Proposed Lighting'!AA137</f>
        <v>0</v>
      </c>
      <c r="F137" s="1245">
        <f t="shared" si="16"/>
        <v>0</v>
      </c>
      <c r="G137" s="1830" t="str">
        <f>IF('Proposed Lighting'!T137="","",IF(ISNUMBER(SEARCH("Networked",'Proposed Lighting'!T137)),0,IF(ISNUMBER(SEARCH("Strategies",'Proposed Lighting'!T137)),0,IF(ISNUMBER(SEARCH("Removal",'Proposed Lighting'!T137)),0,'Proposed Lighting'!T137))))</f>
        <v/>
      </c>
      <c r="H137" s="1830"/>
      <c r="I137" s="1830"/>
      <c r="J137" s="1830"/>
      <c r="K137" s="1215"/>
      <c r="L137" s="1246">
        <f t="shared" si="17"/>
        <v>0</v>
      </c>
      <c r="M137" s="1224">
        <f t="shared" si="18"/>
        <v>0</v>
      </c>
      <c r="N137" s="1224">
        <f t="shared" si="19"/>
        <v>0</v>
      </c>
      <c r="O137" s="1825" t="str">
        <f>IF(G137=0,0,IF(ISNA('Proposed Lighting'!AT137),0,'Proposed Lighting'!AT137))</f>
        <v/>
      </c>
      <c r="P137" s="1825"/>
      <c r="Q137" s="1247"/>
      <c r="R137" s="1247"/>
      <c r="S137" s="1247"/>
      <c r="T137" s="1211"/>
      <c r="U137" s="1235">
        <f>IF(K137&gt;0.01,'Proposed Lighting'!CU137,0)</f>
        <v>0</v>
      </c>
      <c r="V137" s="1248">
        <f>IF('Proposed Lighting'!CF137=1,0,IF('Proposed Lighting'!AU137=2,0,IF(AND('Proposed Lighting'!AU137=3,'Proposed Lighting'!CF137=0),1,0)))</f>
        <v>0</v>
      </c>
      <c r="W137" s="1836"/>
      <c r="X137" s="1836"/>
      <c r="Y137" s="1836"/>
      <c r="Z137" s="1230" t="str">
        <f t="shared" ref="Z137:Z200" si="26">IF(Q137="","",VLOOKUP(Q137,$AW$9:$AX$15,2,FALSE))</f>
        <v/>
      </c>
      <c r="AA137" s="1230">
        <f t="shared" ref="AA137:AA200" si="27">IF(T137=0,0,IF(Q137=0,0,IF(G137=0,0,SUM(K137*O137)/T137)))</f>
        <v>0</v>
      </c>
      <c r="AB137" s="1230">
        <f>IF(Q137=0,0,IF(T137=0,0,IF(AA137=0,0,IF(AND(F137=3,V137=0),0,IF(T137=0,0,IF(K137&gt;'Proposed Lighting'!AA137,0,IF('Proposed Lighting'!EJ137&gt;0.01,(K137*O137)*'Proposed Lighting'!EJ137/1000,(K137*O137)*U137/1000)))))))</f>
        <v>0</v>
      </c>
      <c r="AC137" s="1230" t="str">
        <f t="shared" si="20"/>
        <v/>
      </c>
      <c r="AD137" s="1230">
        <f t="shared" ref="AD137:AD200" si="28">IF(K137=0,0,IF(T137=0,0,IF(V137=1,75,IF(V137=0,VLOOKUP(Q137,$BA$9:$BB$15,2,FALSE)))))</f>
        <v>0</v>
      </c>
      <c r="AE137" s="1230">
        <f>IF(T137=0,0,IF(K137&gt;'Proposed Lighting'!AA137,0,IF(T137&gt;K137,0,IF(AND(AD137&gt;AA137,AA137&gt;0),0,IF(AND(F137&gt;1,W137&lt;0.01),0,IF('Proposed Lighting'!AU137&gt;'Lighting Controls'!F137,0,IF('Proposed Lighting'!AU137&lt;'Lighting Controls'!F137,0,IF(U137=0,0,Summary!AC440))))))))</f>
        <v>0</v>
      </c>
      <c r="AF137" s="1230">
        <f>IF(T137=0,0,IF(AE137=0,0,IF(K137&gt;'Proposed Lighting'!AA137,0,IF(AND(AD137&gt;AA137,AA137&gt;0),0,IF(U137=0,0,Summary!AD440)))))</f>
        <v>0</v>
      </c>
      <c r="AG137" s="1834">
        <f>IF('Proposed Lighting'!AU137=1,0,IF('Proposed Lighting'!CF137=1,0,T137*W137))</f>
        <v>0</v>
      </c>
      <c r="AH137" s="1834"/>
      <c r="AI137" s="1834"/>
      <c r="AJ137" s="1835">
        <f>IF(T137&lt;1,0,IF(K137&gt;'Proposed Lighting'!AA137,0,IF('Proposed Lighting'!CF137=1,0,IF('Proposed Lighting'!AU137=1,0,IF(T137&gt;K137,0,IF(AND(AD137&gt;AA137,AA137&gt;0),0,IF(AND(F137=2,'Proposed Lighting'!AU137=3),0,IF(AND(F137=3,'Proposed Lighting'!AU137=2),0,IF('Proposed Lighting'!CH137=100,0,IF(AND(F137&lt;3,V137=1,AM137=0),0,IF(AND(F137&gt;1,AF137&lt;1,AN137&lt;1),0,IF(AND(F137&gt;1,AE137&lt;0.69,AF137&lt;1,AN137&lt;1),0,IF(ISERROR(AB137-AC137),"",AB137-AC137)))))))))))))</f>
        <v>0</v>
      </c>
      <c r="AK137" s="1835"/>
      <c r="AL137" s="1835"/>
      <c r="AM137" s="1216">
        <f>IF(Q137=0,0,IF(T137=0,0,IF(T137&gt;K137,0,IF(AND(AS137&gt;0.01,BK137=0),0,IF(AND('Proposed Lighting'!DG137=0,'Lighting Controls'!Z137=0.35),0,IF(AND(T137&lt;=K137,AA137&gt;=AD137,'Proposed Lighting'!AU137=2),VLOOKUP(Q137,$AY$9:$AZ$15,2,FALSE),IF(AND(T137&lt;=K137,AA137&gt;=AD137,'Proposed Lighting'!AU137=3),VLOOKUP(Q137,$AY$17:$AZ$23,2,FALSE))))))))</f>
        <v>0</v>
      </c>
      <c r="AN137" s="1248">
        <f>IF(T137=0,0,IF(K137&gt;'Proposed Lighting'!AA137,0,IF(AE137=0,0,IF(AND(AD137&gt;AA137,AA137&gt;0),0,IF(U137=0,0,Summary!AE440)))))</f>
        <v>0</v>
      </c>
      <c r="AO137" s="1248">
        <f t="shared" si="24"/>
        <v>0</v>
      </c>
      <c r="AP137" s="1249">
        <f>IF('Proposed Lighting'!AU137=1,0,IF(K137=0,0,IF(T137&gt;K137,0,IF(G137=0,0,IF(K137&gt;'Proposed Lighting'!AA137,0,IF(AND(AD137&gt;AA137,AA137&gt;0),0,IF(AND('Proposed Lighting'!AU137=3,AM137=0.5),0,IF(AND(AM137&gt;0,AS137&gt;0,BI137&lt;2),0,IF('Proposed Lighting'!CH137=100,0,IF(AV137=1,0,IF(AND(AM137=35,M137+N137&lt;2),0,AM137)))))))))))</f>
        <v>0</v>
      </c>
      <c r="AQ137" s="1249" t="str">
        <f>IFERROR(ROUND(IF(Q137="","",IF('Proposed Lighting'!$X$4=0,0,IF(AND(AM137=35,M137+N137&lt;2),0,IF(T137&gt;K137,0,IF('Proposed Lighting'!AU137=1,0,IF(AJ137=0,0,IF(AND('Proposed Lighting'!AU137=3,AM137=0.5),0,IF(AND(AD137=75,AP137=0,AV137=0),0,IF(AP137&gt;0.01,AP137*T137,IF(AND(F137&gt;1,W137&lt;0.01),0,IF(AND(F137&gt;1,AO137=0),0,IF(AND('Proposed Lighting'!BC137=22,AV137=0),0,IF(AND(AM137&gt;0,AS137&gt;0,BI137&lt;2),0,IF(AND(AS137&gt;0.01,BK137=0),0,IF(AND(AO137=TRUE,AV137=1,F137=3),MIN(AJ137*0.08,L137),IF(AP137&gt;0.01,AP137*T137,IF(AND(AO137=TRUE,AV137=1,F137=2),MIN(AJ137*0.1,L137)))))))))))))))))),2),"")</f>
        <v/>
      </c>
      <c r="AR137" s="1250">
        <f>IF(Q137=0,0,IF('Proposed Lighting'!$X$4=0,0,IF(AND(AM137&gt;0.01,AQ137&gt;0.01),0,IF('Proposed Lighting'!AU137=1,"Missing Interior or Exterior Selection",IF('Proposed Lighting'!CF137=1,"Selection does not match",IF(K137&gt;'Proposed Lighting'!AA137,"Quantity controlled does not match proposed lighting quantity",IF(T137&gt;K137,"Quantity of sensors exceeds proposed lighting quantity",IF(AND(F137&gt;1,'Proposed Lighting'!AU137&lt;&gt;F137),"Selection does not match",IF(AND(AD137&gt;AA137,AA137&gt;0),"Does not meet minimum connected load",IF(AND(O137&gt;0,AS137&gt;0,BK137&gt;0,'Proposed Lighting'!CH137=0),"Select Control Strategies",IF(AND(AC137&gt;0.1,AJ137=0,AQ137=0),"Does not meet incentive criteria",0)))))))))))</f>
        <v>0</v>
      </c>
      <c r="AS137" s="1224">
        <f>IF('Proposed Lighting'!CH137=100,0,IF(ISNUMBER(SEARCH("multiple",Q137)),1,0))</f>
        <v>0</v>
      </c>
      <c r="AT137" s="451">
        <f t="shared" si="21"/>
        <v>0</v>
      </c>
      <c r="AU137" s="451">
        <f t="shared" si="22"/>
        <v>0</v>
      </c>
      <c r="AV137" s="1222">
        <f>IF(ISNUMBER(SEARCH("Networked",'Proposed Lighting'!T137)),0,IF(ISNUMBER(SEARCH("Strategies",'Proposed Lighting'!T137)),0,IF(ISNUMBER(SEARCH("Removal",'Proposed Lighting'!T137)),0,IF(ISNUMBER(SEARCH("non-standard",Q137)),1,0))))</f>
        <v>0</v>
      </c>
      <c r="AW137" s="451">
        <f t="shared" si="25"/>
        <v>0</v>
      </c>
      <c r="AX137" s="451"/>
      <c r="AY137" s="451"/>
      <c r="AZ137" s="451"/>
      <c r="BA137" s="451"/>
      <c r="BB137" s="451"/>
      <c r="BC137" s="1215"/>
      <c r="BD137" s="1215"/>
      <c r="BE137" s="1215"/>
      <c r="BF137" s="1215"/>
      <c r="BG137" s="1215"/>
      <c r="BH137" s="1215"/>
      <c r="BI137">
        <f>IF(AND(AS137=1,BC137="No",BD137="Yes",BE137="Yes",BF137="No",BH137="No"),0,IF(AND('Proposed Lighting'!AU137=2,AS137=1,BC137="Yes",BD137="Yes"),2,IF(AND('Proposed Lighting'!AU137=2,AS137=1,BC137="Yes",BE137="Yes"),2,IF(AND('Proposed Lighting'!AU137=2,AS137=1,BC137="Yes",BF137="Yes"),2,IF(AND('Proposed Lighting'!AU137=2,AS137=1,BC137="Yes",BH137="Yes"),2,IF(AND('Proposed Lighting'!AU137=2,AS137=1,BD137="Yes",BF137="Yes"),2,IF(AND('Proposed Lighting'!AU137=2,AS137=1,BD137="Yes",BH137="Yes"),2,IF(AND('Proposed Lighting'!AU137=3,AS137=1,BC137="Yes",BE137="Yes"),2,IF(AND('Proposed Lighting'!AU137=3,AS137=1,BC137="Yes",BF137="Yes"),2,0)))))))))</f>
        <v>0</v>
      </c>
      <c r="BJ137" s="1025">
        <f t="shared" si="23"/>
        <v>0</v>
      </c>
      <c r="BK137">
        <f>IF(AND('Proposed Lighting'!BC137=22,'Lighting Controls'!N137=1),0,IF(ISNUMBER(SEARCH("LED",G137)),1,0))</f>
        <v>0</v>
      </c>
    </row>
    <row r="138" spans="1:63" ht="34.5" customHeight="1">
      <c r="A138" s="917">
        <v>130</v>
      </c>
      <c r="B138" s="1828" t="str">
        <f>IF('Proposed Lighting'!B138="","",'Proposed Lighting'!B138)</f>
        <v/>
      </c>
      <c r="C138" s="1828"/>
      <c r="D138" s="1828"/>
      <c r="E138" s="1245">
        <f>'Proposed Lighting'!AA138</f>
        <v>0</v>
      </c>
      <c r="F138" s="1245">
        <f t="shared" ref="F138:F201" si="29">IF(ISNUMBER(SEARCH("photocell",Q138)),1,IF(ISNUMBER(SEARCH("EXTERIOR",Q138)),3,IF(ISNUMBER(SEARCH("INTERIOR",Q138)),2,0)))</f>
        <v>0</v>
      </c>
      <c r="G138" s="1830" t="str">
        <f>IF('Proposed Lighting'!T138="","",IF(ISNUMBER(SEARCH("Networked",'Proposed Lighting'!T138)),0,IF(ISNUMBER(SEARCH("Strategies",'Proposed Lighting'!T138)),0,IF(ISNUMBER(SEARCH("Removal",'Proposed Lighting'!T138)),0,'Proposed Lighting'!T138))))</f>
        <v/>
      </c>
      <c r="H138" s="1830"/>
      <c r="I138" s="1830"/>
      <c r="J138" s="1830"/>
      <c r="K138" s="1215"/>
      <c r="L138" s="1246">
        <f t="shared" ref="L138:L201" si="30">AG138*0.7</f>
        <v>0</v>
      </c>
      <c r="M138" s="1224">
        <f t="shared" ref="M138:M201" si="31">IF(ISNUMBER(SEARCH("LED",G138)),1,0)</f>
        <v>0</v>
      </c>
      <c r="N138" s="1224">
        <f t="shared" ref="N138:N201" si="32">IF(ISNUMBER(SEARCH("LED",Q138)),1,0)</f>
        <v>0</v>
      </c>
      <c r="O138" s="1825" t="str">
        <f>IF(G138=0,0,IF(ISNA('Proposed Lighting'!AT138),0,'Proposed Lighting'!AT138))</f>
        <v/>
      </c>
      <c r="P138" s="1825"/>
      <c r="Q138" s="1247"/>
      <c r="R138" s="1247"/>
      <c r="S138" s="1247"/>
      <c r="T138" s="1211"/>
      <c r="U138" s="1235">
        <f>IF(K138&gt;0.01,'Proposed Lighting'!CU138,0)</f>
        <v>0</v>
      </c>
      <c r="V138" s="1248">
        <f>IF('Proposed Lighting'!CF138=1,0,IF('Proposed Lighting'!AU138=2,0,IF(AND('Proposed Lighting'!AU138=3,'Proposed Lighting'!CF138=0),1,0)))</f>
        <v>0</v>
      </c>
      <c r="W138" s="1836"/>
      <c r="X138" s="1836"/>
      <c r="Y138" s="1836"/>
      <c r="Z138" s="1230" t="str">
        <f t="shared" si="26"/>
        <v/>
      </c>
      <c r="AA138" s="1230">
        <f t="shared" si="27"/>
        <v>0</v>
      </c>
      <c r="AB138" s="1230">
        <f>IF(Q138=0,0,IF(T138=0,0,IF(AA138=0,0,IF(AND(F138=3,V138=0),0,IF(T138=0,0,IF(K138&gt;'Proposed Lighting'!AA138,0,IF('Proposed Lighting'!EJ138&gt;0.01,(K138*O138)*'Proposed Lighting'!EJ138/1000,(K138*O138)*U138/1000)))))))</f>
        <v>0</v>
      </c>
      <c r="AC138" s="1230" t="str">
        <f t="shared" ref="AC138:AC201" si="33">IF(Q138="","",K138*O138*(U138*(1-Z138)/1000))</f>
        <v/>
      </c>
      <c r="AD138" s="1230">
        <f t="shared" si="28"/>
        <v>0</v>
      </c>
      <c r="AE138" s="1230">
        <f>IF(T138=0,0,IF(K138&gt;'Proposed Lighting'!AA138,0,IF(T138&gt;K138,0,IF(AND(AD138&gt;AA138,AA138&gt;0),0,IF(AND(F138&gt;1,W138&lt;0.01),0,IF('Proposed Lighting'!AU138&gt;'Lighting Controls'!F138,0,IF('Proposed Lighting'!AU138&lt;'Lighting Controls'!F138,0,IF(U138=0,0,Summary!AC441))))))))</f>
        <v>0</v>
      </c>
      <c r="AF138" s="1230">
        <f>IF(T138=0,0,IF(AE138=0,0,IF(K138&gt;'Proposed Lighting'!AA138,0,IF(AND(AD138&gt;AA138,AA138&gt;0),0,IF(U138=0,0,Summary!AD441)))))</f>
        <v>0</v>
      </c>
      <c r="AG138" s="1834">
        <f>IF('Proposed Lighting'!AU138=1,0,IF('Proposed Lighting'!CF138=1,0,T138*W138))</f>
        <v>0</v>
      </c>
      <c r="AH138" s="1834"/>
      <c r="AI138" s="1834"/>
      <c r="AJ138" s="1835">
        <f>IF(T138&lt;1,0,IF(K138&gt;'Proposed Lighting'!AA138,0,IF('Proposed Lighting'!CF138=1,0,IF('Proposed Lighting'!AU138=1,0,IF(T138&gt;K138,0,IF(AND(AD138&gt;AA138,AA138&gt;0),0,IF(AND(F138=2,'Proposed Lighting'!AU138=3),0,IF(AND(F138=3,'Proposed Lighting'!AU138=2),0,IF('Proposed Lighting'!CH138=100,0,IF(AND(F138&lt;3,V138=1,AM138=0),0,IF(AND(F138&gt;1,AF138&lt;1,AN138&lt;1),0,IF(AND(F138&gt;1,AE138&lt;0.69,AF138&lt;1,AN138&lt;1),0,IF(ISERROR(AB138-AC138),"",AB138-AC138)))))))))))))</f>
        <v>0</v>
      </c>
      <c r="AK138" s="1835"/>
      <c r="AL138" s="1835"/>
      <c r="AM138" s="1216">
        <f>IF(Q138=0,0,IF(T138=0,0,IF(T138&gt;K138,0,IF(AND(AS138&gt;0.01,BK138=0),0,IF(AND('Proposed Lighting'!DG138=0,'Lighting Controls'!Z138=0.35),0,IF(AND(T138&lt;=K138,AA138&gt;=AD138,'Proposed Lighting'!AU138=2),VLOOKUP(Q138,$AY$9:$AZ$15,2,FALSE),IF(AND(T138&lt;=K138,AA138&gt;=AD138,'Proposed Lighting'!AU138=3),VLOOKUP(Q138,$AY$17:$AZ$23,2,FALSE))))))))</f>
        <v>0</v>
      </c>
      <c r="AN138" s="1248">
        <f>IF(T138=0,0,IF(K138&gt;'Proposed Lighting'!AA138,0,IF(AE138=0,0,IF(AND(AD138&gt;AA138,AA138&gt;0),0,IF(U138=0,0,Summary!AE441)))))</f>
        <v>0</v>
      </c>
      <c r="AO138" s="1248">
        <f t="shared" si="24"/>
        <v>0</v>
      </c>
      <c r="AP138" s="1249">
        <f>IF('Proposed Lighting'!AU138=1,0,IF(K138=0,0,IF(T138&gt;K138,0,IF(G138=0,0,IF(K138&gt;'Proposed Lighting'!AA138,0,IF(AND(AD138&gt;AA138,AA138&gt;0),0,IF(AND('Proposed Lighting'!AU138=3,AM138=0.5),0,IF(AND(AM138&gt;0,AS138&gt;0,BI138&lt;2),0,IF('Proposed Lighting'!CH138=100,0,IF(AV138=1,0,IF(AND(AM138=35,M138+N138&lt;2),0,AM138)))))))))))</f>
        <v>0</v>
      </c>
      <c r="AQ138" s="1249" t="str">
        <f>IFERROR(ROUND(IF(Q138="","",IF('Proposed Lighting'!$X$4=0,0,IF(AND(AM138=35,M138+N138&lt;2),0,IF(T138&gt;K138,0,IF('Proposed Lighting'!AU138=1,0,IF(AJ138=0,0,IF(AND('Proposed Lighting'!AU138=3,AM138=0.5),0,IF(AND(AD138=75,AP138=0,AV138=0),0,IF(AP138&gt;0.01,AP138*T138,IF(AND(F138&gt;1,W138&lt;0.01),0,IF(AND(F138&gt;1,AO138=0),0,IF(AND('Proposed Lighting'!BC138=22,AV138=0),0,IF(AND(AM138&gt;0,AS138&gt;0,BI138&lt;2),0,IF(AND(AS138&gt;0.01,BK138=0),0,IF(AND(AO138=TRUE,AV138=1,F138=3),MIN(AJ138*0.08,L138),IF(AP138&gt;0.01,AP138*T138,IF(AND(AO138=TRUE,AV138=1,F138=2),MIN(AJ138*0.1,L138)))))))))))))))))),2),"")</f>
        <v/>
      </c>
      <c r="AR138" s="1250">
        <f>IF(Q138=0,0,IF('Proposed Lighting'!$X$4=0,0,IF(AND(AM138&gt;0.01,AQ138&gt;0.01),0,IF('Proposed Lighting'!AU138=1,"Missing Interior or Exterior Selection",IF('Proposed Lighting'!CF138=1,"Selection does not match",IF(K138&gt;'Proposed Lighting'!AA138,"Quantity controlled does not match proposed lighting quantity",IF(T138&gt;K138,"Quantity of sensors exceeds proposed lighting quantity",IF(AND(F138&gt;1,'Proposed Lighting'!AU138&lt;&gt;F138),"Selection does not match",IF(AND(AD138&gt;AA138,AA138&gt;0),"Does not meet minimum connected load",IF(AND(O138&gt;0,AS138&gt;0,BK138&gt;0,'Proposed Lighting'!CH138=0),"Select Control Strategies",IF(AND(AC138&gt;0.1,AJ138=0,AQ138=0),"Does not meet incentive criteria",0)))))))))))</f>
        <v>0</v>
      </c>
      <c r="AS138" s="1224">
        <f>IF('Proposed Lighting'!CH138=100,0,IF(ISNUMBER(SEARCH("multiple",Q138)),1,0))</f>
        <v>0</v>
      </c>
      <c r="AT138" s="451">
        <f t="shared" ref="AT138:AT201" si="34">IF(AQ138&gt;0.01,T138,0)</f>
        <v>0</v>
      </c>
      <c r="AU138" s="451">
        <f t="shared" ref="AU138:AU201" si="35">IF(AP138&gt;0.01,T138,0)</f>
        <v>0</v>
      </c>
      <c r="AV138" s="1222">
        <f>IF(ISNUMBER(SEARCH("Networked",'Proposed Lighting'!T138)),0,IF(ISNUMBER(SEARCH("Strategies",'Proposed Lighting'!T138)),0,IF(ISNUMBER(SEARCH("Removal",'Proposed Lighting'!T138)),0,IF(ISNUMBER(SEARCH("non-standard",Q138)),1,0))))</f>
        <v>0</v>
      </c>
      <c r="AW138" s="451">
        <f t="shared" si="25"/>
        <v>0</v>
      </c>
      <c r="AX138" s="451"/>
      <c r="AY138" s="451"/>
      <c r="AZ138" s="451"/>
      <c r="BA138" s="451"/>
      <c r="BB138" s="451"/>
      <c r="BC138" s="1215"/>
      <c r="BD138" s="1215"/>
      <c r="BE138" s="1215"/>
      <c r="BF138" s="1215"/>
      <c r="BG138" s="1215"/>
      <c r="BH138" s="1215"/>
      <c r="BI138">
        <f>IF(AND(AS138=1,BC138="No",BD138="Yes",BE138="Yes",BF138="No",BH138="No"),0,IF(AND('Proposed Lighting'!AU138=2,AS138=1,BC138="Yes",BD138="Yes"),2,IF(AND('Proposed Lighting'!AU138=2,AS138=1,BC138="Yes",BE138="Yes"),2,IF(AND('Proposed Lighting'!AU138=2,AS138=1,BC138="Yes",BF138="Yes"),2,IF(AND('Proposed Lighting'!AU138=2,AS138=1,BC138="Yes",BH138="Yes"),2,IF(AND('Proposed Lighting'!AU138=2,AS138=1,BD138="Yes",BF138="Yes"),2,IF(AND('Proposed Lighting'!AU138=2,AS138=1,BD138="Yes",BH138="Yes"),2,IF(AND('Proposed Lighting'!AU138=3,AS138=1,BC138="Yes",BE138="Yes"),2,IF(AND('Proposed Lighting'!AU138=3,AS138=1,BC138="Yes",BF138="Yes"),2,0)))))))))</f>
        <v>0</v>
      </c>
      <c r="BJ138" s="1025">
        <f t="shared" ref="BJ138:BJ201" si="36">IF(AND(AS138=1,BK138=0),0,IF(AND(AS138&gt;0,BI138&lt;2),"Does not meet minimum controls",0))</f>
        <v>0</v>
      </c>
      <c r="BK138">
        <f>IF(AND('Proposed Lighting'!BC138=22,'Lighting Controls'!N138=1),0,IF(ISNUMBER(SEARCH("LED",G138)),1,0))</f>
        <v>0</v>
      </c>
    </row>
    <row r="139" spans="1:63" ht="34.5" customHeight="1">
      <c r="A139" s="917">
        <v>131</v>
      </c>
      <c r="B139" s="1828" t="str">
        <f>IF('Proposed Lighting'!B139="","",'Proposed Lighting'!B139)</f>
        <v/>
      </c>
      <c r="C139" s="1828"/>
      <c r="D139" s="1828"/>
      <c r="E139" s="1245">
        <f>'Proposed Lighting'!AA139</f>
        <v>0</v>
      </c>
      <c r="F139" s="1245">
        <f t="shared" si="29"/>
        <v>0</v>
      </c>
      <c r="G139" s="1830" t="str">
        <f>IF('Proposed Lighting'!T139="","",IF(ISNUMBER(SEARCH("Networked",'Proposed Lighting'!T139)),0,IF(ISNUMBER(SEARCH("Strategies",'Proposed Lighting'!T139)),0,IF(ISNUMBER(SEARCH("Removal",'Proposed Lighting'!T139)),0,'Proposed Lighting'!T139))))</f>
        <v/>
      </c>
      <c r="H139" s="1830"/>
      <c r="I139" s="1830"/>
      <c r="J139" s="1830"/>
      <c r="K139" s="1215"/>
      <c r="L139" s="1246">
        <f t="shared" si="30"/>
        <v>0</v>
      </c>
      <c r="M139" s="1224">
        <f t="shared" si="31"/>
        <v>0</v>
      </c>
      <c r="N139" s="1224">
        <f t="shared" si="32"/>
        <v>0</v>
      </c>
      <c r="O139" s="1825" t="str">
        <f>IF(G139=0,0,IF(ISNA('Proposed Lighting'!AT139),0,'Proposed Lighting'!AT139))</f>
        <v/>
      </c>
      <c r="P139" s="1825"/>
      <c r="Q139" s="1247"/>
      <c r="R139" s="1247"/>
      <c r="S139" s="1247"/>
      <c r="T139" s="1211"/>
      <c r="U139" s="1235">
        <f>IF(K139&gt;0.01,'Proposed Lighting'!CU139,0)</f>
        <v>0</v>
      </c>
      <c r="V139" s="1248">
        <f>IF('Proposed Lighting'!CF139=1,0,IF('Proposed Lighting'!AU139=2,0,IF(AND('Proposed Lighting'!AU139=3,'Proposed Lighting'!CF139=0),1,0)))</f>
        <v>0</v>
      </c>
      <c r="W139" s="1836"/>
      <c r="X139" s="1836"/>
      <c r="Y139" s="1836"/>
      <c r="Z139" s="1230" t="str">
        <f t="shared" si="26"/>
        <v/>
      </c>
      <c r="AA139" s="1230">
        <f t="shared" si="27"/>
        <v>0</v>
      </c>
      <c r="AB139" s="1230">
        <f>IF(Q139=0,0,IF(T139=0,0,IF(AA139=0,0,IF(AND(F139=3,V139=0),0,IF(T139=0,0,IF(K139&gt;'Proposed Lighting'!AA139,0,IF('Proposed Lighting'!EJ139&gt;0.01,(K139*O139)*'Proposed Lighting'!EJ139/1000,(K139*O139)*U139/1000)))))))</f>
        <v>0</v>
      </c>
      <c r="AC139" s="1230" t="str">
        <f t="shared" si="33"/>
        <v/>
      </c>
      <c r="AD139" s="1230">
        <f t="shared" si="28"/>
        <v>0</v>
      </c>
      <c r="AE139" s="1230">
        <f>IF(T139=0,0,IF(K139&gt;'Proposed Lighting'!AA139,0,IF(T139&gt;K139,0,IF(AND(AD139&gt;AA139,AA139&gt;0),0,IF(AND(F139&gt;1,W139&lt;0.01),0,IF('Proposed Lighting'!AU139&gt;'Lighting Controls'!F139,0,IF('Proposed Lighting'!AU139&lt;'Lighting Controls'!F139,0,IF(U139=0,0,Summary!AC442))))))))</f>
        <v>0</v>
      </c>
      <c r="AF139" s="1230">
        <f>IF(T139=0,0,IF(AE139=0,0,IF(K139&gt;'Proposed Lighting'!AA139,0,IF(AND(AD139&gt;AA139,AA139&gt;0),0,IF(U139=0,0,Summary!AD442)))))</f>
        <v>0</v>
      </c>
      <c r="AG139" s="1834">
        <f>IF('Proposed Lighting'!AU139=1,0,IF('Proposed Lighting'!CF139=1,0,T139*W139))</f>
        <v>0</v>
      </c>
      <c r="AH139" s="1834"/>
      <c r="AI139" s="1834"/>
      <c r="AJ139" s="1835">
        <f>IF(T139&lt;1,0,IF(K139&gt;'Proposed Lighting'!AA139,0,IF('Proposed Lighting'!CF139=1,0,IF('Proposed Lighting'!AU139=1,0,IF(T139&gt;K139,0,IF(AND(AD139&gt;AA139,AA139&gt;0),0,IF(AND(F139=2,'Proposed Lighting'!AU139=3),0,IF(AND(F139=3,'Proposed Lighting'!AU139=2),0,IF('Proposed Lighting'!CH139=100,0,IF(AND(F139&lt;3,V139=1,AM139=0),0,IF(AND(F139&gt;1,AF139&lt;1,AN139&lt;1),0,IF(AND(F139&gt;1,AE139&lt;0.69,AF139&lt;1,AN139&lt;1),0,IF(ISERROR(AB139-AC139),"",AB139-AC139)))))))))))))</f>
        <v>0</v>
      </c>
      <c r="AK139" s="1835"/>
      <c r="AL139" s="1835"/>
      <c r="AM139" s="1216">
        <f>IF(Q139=0,0,IF(T139=0,0,IF(T139&gt;K139,0,IF(AND(AS139&gt;0.01,BK139=0),0,IF(AND('Proposed Lighting'!DG139=0,'Lighting Controls'!Z139=0.35),0,IF(AND(T139&lt;=K139,AA139&gt;=AD139,'Proposed Lighting'!AU139=2),VLOOKUP(Q139,$AY$9:$AZ$15,2,FALSE),IF(AND(T139&lt;=K139,AA139&gt;=AD139,'Proposed Lighting'!AU139=3),VLOOKUP(Q139,$AY$17:$AZ$23,2,FALSE))))))))</f>
        <v>0</v>
      </c>
      <c r="AN139" s="1248">
        <f>IF(T139=0,0,IF(K139&gt;'Proposed Lighting'!AA139,0,IF(AE139=0,0,IF(AND(AD139&gt;AA139,AA139&gt;0),0,IF(U139=0,0,Summary!AE442)))))</f>
        <v>0</v>
      </c>
      <c r="AO139" s="1248">
        <f t="shared" ref="AO139:AO202" si="37">IF((AND(AE139&gt;0.69,AF139&gt;=1,AN139&gt;=1)),TRUE,0)</f>
        <v>0</v>
      </c>
      <c r="AP139" s="1249">
        <f>IF('Proposed Lighting'!AU139=1,0,IF(K139=0,0,IF(T139&gt;K139,0,IF(G139=0,0,IF(K139&gt;'Proposed Lighting'!AA139,0,IF(AND(AD139&gt;AA139,AA139&gt;0),0,IF(AND('Proposed Lighting'!AU139=3,AM139=0.5),0,IF(AND(AM139&gt;0,AS139&gt;0,BI139&lt;2),0,IF('Proposed Lighting'!CH139=100,0,IF(AV139=1,0,IF(AND(AM139=35,M139+N139&lt;2),0,AM139)))))))))))</f>
        <v>0</v>
      </c>
      <c r="AQ139" s="1249" t="str">
        <f>IFERROR(ROUND(IF(Q139="","",IF('Proposed Lighting'!$X$4=0,0,IF(AND(AM139=35,M139+N139&lt;2),0,IF(T139&gt;K139,0,IF('Proposed Lighting'!AU139=1,0,IF(AJ139=0,0,IF(AND('Proposed Lighting'!AU139=3,AM139=0.5),0,IF(AND(AD139=75,AP139=0,AV139=0),0,IF(AP139&gt;0.01,AP139*T139,IF(AND(F139&gt;1,W139&lt;0.01),0,IF(AND(F139&gt;1,AO139=0),0,IF(AND('Proposed Lighting'!BC139=22,AV139=0),0,IF(AND(AM139&gt;0,AS139&gt;0,BI139&lt;2),0,IF(AND(AS139&gt;0.01,BK139=0),0,IF(AND(AO139=TRUE,AV139=1,F139=3),MIN(AJ139*0.08,L139),IF(AP139&gt;0.01,AP139*T139,IF(AND(AO139=TRUE,AV139=1,F139=2),MIN(AJ139*0.1,L139)))))))))))))))))),2),"")</f>
        <v/>
      </c>
      <c r="AR139" s="1250">
        <f>IF(Q139=0,0,IF('Proposed Lighting'!$X$4=0,0,IF(AND(AM139&gt;0.01,AQ139&gt;0.01),0,IF('Proposed Lighting'!AU139=1,"Missing Interior or Exterior Selection",IF('Proposed Lighting'!CF139=1,"Selection does not match",IF(K139&gt;'Proposed Lighting'!AA139,"Quantity controlled does not match proposed lighting quantity",IF(T139&gt;K139,"Quantity of sensors exceeds proposed lighting quantity",IF(AND(F139&gt;1,'Proposed Lighting'!AU139&lt;&gt;F139),"Selection does not match",IF(AND(AD139&gt;AA139,AA139&gt;0),"Does not meet minimum connected load",IF(AND(O139&gt;0,AS139&gt;0,BK139&gt;0,'Proposed Lighting'!CH139=0),"Select Control Strategies",IF(AND(AC139&gt;0.1,AJ139=0,AQ139=0),"Does not meet incentive criteria",0)))))))))))</f>
        <v>0</v>
      </c>
      <c r="AS139" s="1224">
        <f>IF('Proposed Lighting'!CH139=100,0,IF(ISNUMBER(SEARCH("multiple",Q139)),1,0))</f>
        <v>0</v>
      </c>
      <c r="AT139" s="451">
        <f t="shared" si="34"/>
        <v>0</v>
      </c>
      <c r="AU139" s="451">
        <f t="shared" si="35"/>
        <v>0</v>
      </c>
      <c r="AV139" s="1222">
        <f>IF(ISNUMBER(SEARCH("Networked",'Proposed Lighting'!T139)),0,IF(ISNUMBER(SEARCH("Strategies",'Proposed Lighting'!T139)),0,IF(ISNUMBER(SEARCH("Removal",'Proposed Lighting'!T139)),0,IF(ISNUMBER(SEARCH("non-standard",Q139)),1,0))))</f>
        <v>0</v>
      </c>
      <c r="AW139" s="451">
        <f t="shared" si="25"/>
        <v>0</v>
      </c>
      <c r="AX139" s="451"/>
      <c r="AY139" s="451"/>
      <c r="AZ139" s="451"/>
      <c r="BA139" s="451"/>
      <c r="BB139" s="451"/>
      <c r="BC139" s="1215"/>
      <c r="BD139" s="1215"/>
      <c r="BE139" s="1215"/>
      <c r="BF139" s="1215"/>
      <c r="BG139" s="1215"/>
      <c r="BH139" s="1215"/>
      <c r="BI139">
        <f>IF(AND(AS139=1,BC139="No",BD139="Yes",BE139="Yes",BF139="No",BH139="No"),0,IF(AND('Proposed Lighting'!AU139=2,AS139=1,BC139="Yes",BD139="Yes"),2,IF(AND('Proposed Lighting'!AU139=2,AS139=1,BC139="Yes",BE139="Yes"),2,IF(AND('Proposed Lighting'!AU139=2,AS139=1,BC139="Yes",BF139="Yes"),2,IF(AND('Proposed Lighting'!AU139=2,AS139=1,BC139="Yes",BH139="Yes"),2,IF(AND('Proposed Lighting'!AU139=2,AS139=1,BD139="Yes",BF139="Yes"),2,IF(AND('Proposed Lighting'!AU139=2,AS139=1,BD139="Yes",BH139="Yes"),2,IF(AND('Proposed Lighting'!AU139=3,AS139=1,BC139="Yes",BE139="Yes"),2,IF(AND('Proposed Lighting'!AU139=3,AS139=1,BC139="Yes",BF139="Yes"),2,0)))))))))</f>
        <v>0</v>
      </c>
      <c r="BJ139" s="1025">
        <f t="shared" si="36"/>
        <v>0</v>
      </c>
      <c r="BK139">
        <f>IF(AND('Proposed Lighting'!BC139=22,'Lighting Controls'!N139=1),0,IF(ISNUMBER(SEARCH("LED",G139)),1,0))</f>
        <v>0</v>
      </c>
    </row>
    <row r="140" spans="1:63" ht="34.5" customHeight="1">
      <c r="A140" s="917">
        <v>132</v>
      </c>
      <c r="B140" s="1828" t="str">
        <f>IF('Proposed Lighting'!B140="","",'Proposed Lighting'!B140)</f>
        <v/>
      </c>
      <c r="C140" s="1828"/>
      <c r="D140" s="1828"/>
      <c r="E140" s="1245">
        <f>'Proposed Lighting'!AA140</f>
        <v>0</v>
      </c>
      <c r="F140" s="1245">
        <f t="shared" si="29"/>
        <v>0</v>
      </c>
      <c r="G140" s="1830" t="str">
        <f>IF('Proposed Lighting'!T140="","",IF(ISNUMBER(SEARCH("Networked",'Proposed Lighting'!T140)),0,IF(ISNUMBER(SEARCH("Strategies",'Proposed Lighting'!T140)),0,IF(ISNUMBER(SEARCH("Removal",'Proposed Lighting'!T140)),0,'Proposed Lighting'!T140))))</f>
        <v/>
      </c>
      <c r="H140" s="1830"/>
      <c r="I140" s="1830"/>
      <c r="J140" s="1830"/>
      <c r="K140" s="1215"/>
      <c r="L140" s="1246">
        <f t="shared" si="30"/>
        <v>0</v>
      </c>
      <c r="M140" s="1224">
        <f t="shared" si="31"/>
        <v>0</v>
      </c>
      <c r="N140" s="1224">
        <f t="shared" si="32"/>
        <v>0</v>
      </c>
      <c r="O140" s="1825" t="str">
        <f>IF(G140=0,0,IF(ISNA('Proposed Lighting'!AT140),0,'Proposed Lighting'!AT140))</f>
        <v/>
      </c>
      <c r="P140" s="1825"/>
      <c r="Q140" s="1247"/>
      <c r="R140" s="1247"/>
      <c r="S140" s="1247"/>
      <c r="T140" s="1211"/>
      <c r="U140" s="1235">
        <f>IF(K140&gt;0.01,'Proposed Lighting'!CU140,0)</f>
        <v>0</v>
      </c>
      <c r="V140" s="1248">
        <f>IF('Proposed Lighting'!CF140=1,0,IF('Proposed Lighting'!AU140=2,0,IF(AND('Proposed Lighting'!AU140=3,'Proposed Lighting'!CF140=0),1,0)))</f>
        <v>0</v>
      </c>
      <c r="W140" s="1836"/>
      <c r="X140" s="1836"/>
      <c r="Y140" s="1836"/>
      <c r="Z140" s="1230" t="str">
        <f t="shared" si="26"/>
        <v/>
      </c>
      <c r="AA140" s="1230">
        <f t="shared" si="27"/>
        <v>0</v>
      </c>
      <c r="AB140" s="1230">
        <f>IF(Q140=0,0,IF(T140=0,0,IF(AA140=0,0,IF(AND(F140=3,V140=0),0,IF(T140=0,0,IF(K140&gt;'Proposed Lighting'!AA140,0,IF('Proposed Lighting'!EJ140&gt;0.01,(K140*O140)*'Proposed Lighting'!EJ140/1000,(K140*O140)*U140/1000)))))))</f>
        <v>0</v>
      </c>
      <c r="AC140" s="1230" t="str">
        <f t="shared" si="33"/>
        <v/>
      </c>
      <c r="AD140" s="1230">
        <f t="shared" si="28"/>
        <v>0</v>
      </c>
      <c r="AE140" s="1230">
        <f>IF(T140=0,0,IF(K140&gt;'Proposed Lighting'!AA140,0,IF(T140&gt;K140,0,IF(AND(AD140&gt;AA140,AA140&gt;0),0,IF(AND(F140&gt;1,W140&lt;0.01),0,IF('Proposed Lighting'!AU140&gt;'Lighting Controls'!F140,0,IF('Proposed Lighting'!AU140&lt;'Lighting Controls'!F140,0,IF(U140=0,0,Summary!AC443))))))))</f>
        <v>0</v>
      </c>
      <c r="AF140" s="1230">
        <f>IF(T140=0,0,IF(AE140=0,0,IF(K140&gt;'Proposed Lighting'!AA140,0,IF(AND(AD140&gt;AA140,AA140&gt;0),0,IF(U140=0,0,Summary!AD443)))))</f>
        <v>0</v>
      </c>
      <c r="AG140" s="1834">
        <f>IF('Proposed Lighting'!AU140=1,0,IF('Proposed Lighting'!CF140=1,0,T140*W140))</f>
        <v>0</v>
      </c>
      <c r="AH140" s="1834"/>
      <c r="AI140" s="1834"/>
      <c r="AJ140" s="1835">
        <f>IF(T140&lt;1,0,IF(K140&gt;'Proposed Lighting'!AA140,0,IF('Proposed Lighting'!CF140=1,0,IF('Proposed Lighting'!AU140=1,0,IF(T140&gt;K140,0,IF(AND(AD140&gt;AA140,AA140&gt;0),0,IF(AND(F140=2,'Proposed Lighting'!AU140=3),0,IF(AND(F140=3,'Proposed Lighting'!AU140=2),0,IF('Proposed Lighting'!CH140=100,0,IF(AND(F140&lt;3,V140=1,AM140=0),0,IF(AND(F140&gt;1,AF140&lt;1,AN140&lt;1),0,IF(AND(F140&gt;1,AE140&lt;0.69,AF140&lt;1,AN140&lt;1),0,IF(ISERROR(AB140-AC140),"",AB140-AC140)))))))))))))</f>
        <v>0</v>
      </c>
      <c r="AK140" s="1835"/>
      <c r="AL140" s="1835"/>
      <c r="AM140" s="1216">
        <f>IF(Q140=0,0,IF(T140=0,0,IF(T140&gt;K140,0,IF(AND(AS140&gt;0.01,BK140=0),0,IF(AND('Proposed Lighting'!DG140=0,'Lighting Controls'!Z140=0.35),0,IF(AND(T140&lt;=K140,AA140&gt;=AD140,'Proposed Lighting'!AU140=2),VLOOKUP(Q140,$AY$9:$AZ$15,2,FALSE),IF(AND(T140&lt;=K140,AA140&gt;=AD140,'Proposed Lighting'!AU140=3),VLOOKUP(Q140,$AY$17:$AZ$23,2,FALSE))))))))</f>
        <v>0</v>
      </c>
      <c r="AN140" s="1248">
        <f>IF(T140=0,0,IF(K140&gt;'Proposed Lighting'!AA140,0,IF(AE140=0,0,IF(AND(AD140&gt;AA140,AA140&gt;0),0,IF(U140=0,0,Summary!AE443)))))</f>
        <v>0</v>
      </c>
      <c r="AO140" s="1248">
        <f t="shared" si="37"/>
        <v>0</v>
      </c>
      <c r="AP140" s="1249">
        <f>IF('Proposed Lighting'!AU140=1,0,IF(K140=0,0,IF(T140&gt;K140,0,IF(G140=0,0,IF(K140&gt;'Proposed Lighting'!AA140,0,IF(AND(AD140&gt;AA140,AA140&gt;0),0,IF(AND('Proposed Lighting'!AU140=3,AM140=0.5),0,IF(AND(AM140&gt;0,AS140&gt;0,BI140&lt;2),0,IF('Proposed Lighting'!CH140=100,0,IF(AV140=1,0,IF(AND(AM140=35,M140+N140&lt;2),0,AM140)))))))))))</f>
        <v>0</v>
      </c>
      <c r="AQ140" s="1249" t="str">
        <f>IFERROR(ROUND(IF(Q140="","",IF('Proposed Lighting'!$X$4=0,0,IF(AND(AM140=35,M140+N140&lt;2),0,IF(T140&gt;K140,0,IF('Proposed Lighting'!AU140=1,0,IF(AJ140=0,0,IF(AND('Proposed Lighting'!AU140=3,AM140=0.5),0,IF(AND(AD140=75,AP140=0,AV140=0),0,IF(AP140&gt;0.01,AP140*T140,IF(AND(F140&gt;1,W140&lt;0.01),0,IF(AND(F140&gt;1,AO140=0),0,IF(AND('Proposed Lighting'!BC140=22,AV140=0),0,IF(AND(AM140&gt;0,AS140&gt;0,BI140&lt;2),0,IF(AND(AS140&gt;0.01,BK140=0),0,IF(AND(AO140=TRUE,AV140=1,F140=3),MIN(AJ140*0.08,L140),IF(AP140&gt;0.01,AP140*T140,IF(AND(AO140=TRUE,AV140=1,F140=2),MIN(AJ140*0.1,L140)))))))))))))))))),2),"")</f>
        <v/>
      </c>
      <c r="AR140" s="1250">
        <f>IF(Q140=0,0,IF('Proposed Lighting'!$X$4=0,0,IF(AND(AM140&gt;0.01,AQ140&gt;0.01),0,IF('Proposed Lighting'!AU140=1,"Missing Interior or Exterior Selection",IF('Proposed Lighting'!CF140=1,"Selection does not match",IF(K140&gt;'Proposed Lighting'!AA140,"Quantity controlled does not match proposed lighting quantity",IF(T140&gt;K140,"Quantity of sensors exceeds proposed lighting quantity",IF(AND(F140&gt;1,'Proposed Lighting'!AU140&lt;&gt;F140),"Selection does not match",IF(AND(AD140&gt;AA140,AA140&gt;0),"Does not meet minimum connected load",IF(AND(O140&gt;0,AS140&gt;0,BK140&gt;0,'Proposed Lighting'!CH140=0),"Select Control Strategies",IF(AND(AC140&gt;0.1,AJ140=0,AQ140=0),"Does not meet incentive criteria",0)))))))))))</f>
        <v>0</v>
      </c>
      <c r="AS140" s="1224">
        <f>IF('Proposed Lighting'!CH140=100,0,IF(ISNUMBER(SEARCH("multiple",Q140)),1,0))</f>
        <v>0</v>
      </c>
      <c r="AT140" s="451">
        <f t="shared" si="34"/>
        <v>0</v>
      </c>
      <c r="AU140" s="451">
        <f t="shared" si="35"/>
        <v>0</v>
      </c>
      <c r="AV140" s="1222">
        <f>IF(ISNUMBER(SEARCH("Networked",'Proposed Lighting'!T140)),0,IF(ISNUMBER(SEARCH("Strategies",'Proposed Lighting'!T140)),0,IF(ISNUMBER(SEARCH("Removal",'Proposed Lighting'!T140)),0,IF(ISNUMBER(SEARCH("non-standard",Q140)),1,0))))</f>
        <v>0</v>
      </c>
      <c r="AW140" s="451">
        <f t="shared" si="25"/>
        <v>0</v>
      </c>
      <c r="AX140" s="451"/>
      <c r="AY140" s="451"/>
      <c r="AZ140" s="451"/>
      <c r="BA140" s="451"/>
      <c r="BB140" s="451"/>
      <c r="BC140" s="1215"/>
      <c r="BD140" s="1215"/>
      <c r="BE140" s="1215"/>
      <c r="BF140" s="1215"/>
      <c r="BG140" s="1215"/>
      <c r="BH140" s="1215"/>
      <c r="BI140">
        <f>IF(AND(AS140=1,BC140="No",BD140="Yes",BE140="Yes",BF140="No",BH140="No"),0,IF(AND('Proposed Lighting'!AU140=2,AS140=1,BC140="Yes",BD140="Yes"),2,IF(AND('Proposed Lighting'!AU140=2,AS140=1,BC140="Yes",BE140="Yes"),2,IF(AND('Proposed Lighting'!AU140=2,AS140=1,BC140="Yes",BF140="Yes"),2,IF(AND('Proposed Lighting'!AU140=2,AS140=1,BC140="Yes",BH140="Yes"),2,IF(AND('Proposed Lighting'!AU140=2,AS140=1,BD140="Yes",BF140="Yes"),2,IF(AND('Proposed Lighting'!AU140=2,AS140=1,BD140="Yes",BH140="Yes"),2,IF(AND('Proposed Lighting'!AU140=3,AS140=1,BC140="Yes",BE140="Yes"),2,IF(AND('Proposed Lighting'!AU140=3,AS140=1,BC140="Yes",BF140="Yes"),2,0)))))))))</f>
        <v>0</v>
      </c>
      <c r="BJ140" s="1025">
        <f t="shared" si="36"/>
        <v>0</v>
      </c>
      <c r="BK140">
        <f>IF(AND('Proposed Lighting'!BC140=22,'Lighting Controls'!N140=1),0,IF(ISNUMBER(SEARCH("LED",G140)),1,0))</f>
        <v>0</v>
      </c>
    </row>
    <row r="141" spans="1:63" ht="34.5" customHeight="1">
      <c r="A141" s="917">
        <v>133</v>
      </c>
      <c r="B141" s="1828" t="str">
        <f>IF('Proposed Lighting'!B141="","",'Proposed Lighting'!B141)</f>
        <v/>
      </c>
      <c r="C141" s="1828"/>
      <c r="D141" s="1828"/>
      <c r="E141" s="1245">
        <f>'Proposed Lighting'!AA141</f>
        <v>0</v>
      </c>
      <c r="F141" s="1245">
        <f t="shared" si="29"/>
        <v>0</v>
      </c>
      <c r="G141" s="1830" t="str">
        <f>IF('Proposed Lighting'!T141="","",IF(ISNUMBER(SEARCH("Networked",'Proposed Lighting'!T141)),0,IF(ISNUMBER(SEARCH("Strategies",'Proposed Lighting'!T141)),0,IF(ISNUMBER(SEARCH("Removal",'Proposed Lighting'!T141)),0,'Proposed Lighting'!T141))))</f>
        <v/>
      </c>
      <c r="H141" s="1830"/>
      <c r="I141" s="1830"/>
      <c r="J141" s="1830"/>
      <c r="K141" s="1215"/>
      <c r="L141" s="1246">
        <f t="shared" si="30"/>
        <v>0</v>
      </c>
      <c r="M141" s="1224">
        <f t="shared" si="31"/>
        <v>0</v>
      </c>
      <c r="N141" s="1224">
        <f t="shared" si="32"/>
        <v>0</v>
      </c>
      <c r="O141" s="1825" t="str">
        <f>IF(G141=0,0,IF(ISNA('Proposed Lighting'!AT141),0,'Proposed Lighting'!AT141))</f>
        <v/>
      </c>
      <c r="P141" s="1825"/>
      <c r="Q141" s="1247"/>
      <c r="R141" s="1247"/>
      <c r="S141" s="1247"/>
      <c r="T141" s="1211"/>
      <c r="U141" s="1235">
        <f>IF(K141&gt;0.01,'Proposed Lighting'!CU141,0)</f>
        <v>0</v>
      </c>
      <c r="V141" s="1248">
        <f>IF('Proposed Lighting'!CF141=1,0,IF('Proposed Lighting'!AU141=2,0,IF(AND('Proposed Lighting'!AU141=3,'Proposed Lighting'!CF141=0),1,0)))</f>
        <v>0</v>
      </c>
      <c r="W141" s="1836"/>
      <c r="X141" s="1836"/>
      <c r="Y141" s="1836"/>
      <c r="Z141" s="1230" t="str">
        <f t="shared" si="26"/>
        <v/>
      </c>
      <c r="AA141" s="1230">
        <f t="shared" si="27"/>
        <v>0</v>
      </c>
      <c r="AB141" s="1230">
        <f>IF(Q141=0,0,IF(T141=0,0,IF(AA141=0,0,IF(AND(F141=3,V141=0),0,IF(T141=0,0,IF(K141&gt;'Proposed Lighting'!AA141,0,IF('Proposed Lighting'!EJ141&gt;0.01,(K141*O141)*'Proposed Lighting'!EJ141/1000,(K141*O141)*U141/1000)))))))</f>
        <v>0</v>
      </c>
      <c r="AC141" s="1230" t="str">
        <f t="shared" si="33"/>
        <v/>
      </c>
      <c r="AD141" s="1230">
        <f t="shared" si="28"/>
        <v>0</v>
      </c>
      <c r="AE141" s="1230">
        <f>IF(T141=0,0,IF(K141&gt;'Proposed Lighting'!AA141,0,IF(T141&gt;K141,0,IF(AND(AD141&gt;AA141,AA141&gt;0),0,IF(AND(F141&gt;1,W141&lt;0.01),0,IF('Proposed Lighting'!AU141&gt;'Lighting Controls'!F141,0,IF('Proposed Lighting'!AU141&lt;'Lighting Controls'!F141,0,IF(U141=0,0,Summary!AC444))))))))</f>
        <v>0</v>
      </c>
      <c r="AF141" s="1230">
        <f>IF(T141=0,0,IF(AE141=0,0,IF(K141&gt;'Proposed Lighting'!AA141,0,IF(AND(AD141&gt;AA141,AA141&gt;0),0,IF(U141=0,0,Summary!AD444)))))</f>
        <v>0</v>
      </c>
      <c r="AG141" s="1834">
        <f>IF('Proposed Lighting'!AU141=1,0,IF('Proposed Lighting'!CF141=1,0,T141*W141))</f>
        <v>0</v>
      </c>
      <c r="AH141" s="1834"/>
      <c r="AI141" s="1834"/>
      <c r="AJ141" s="1835">
        <f>IF(T141&lt;1,0,IF(K141&gt;'Proposed Lighting'!AA141,0,IF('Proposed Lighting'!CF141=1,0,IF('Proposed Lighting'!AU141=1,0,IF(T141&gt;K141,0,IF(AND(AD141&gt;AA141,AA141&gt;0),0,IF(AND(F141=2,'Proposed Lighting'!AU141=3),0,IF(AND(F141=3,'Proposed Lighting'!AU141=2),0,IF('Proposed Lighting'!CH141=100,0,IF(AND(F141&lt;3,V141=1,AM141=0),0,IF(AND(F141&gt;1,AF141&lt;1,AN141&lt;1),0,IF(AND(F141&gt;1,AE141&lt;0.69,AF141&lt;1,AN141&lt;1),0,IF(ISERROR(AB141-AC141),"",AB141-AC141)))))))))))))</f>
        <v>0</v>
      </c>
      <c r="AK141" s="1835"/>
      <c r="AL141" s="1835"/>
      <c r="AM141" s="1216">
        <f>IF(Q141=0,0,IF(T141=0,0,IF(T141&gt;K141,0,IF(AND(AS141&gt;0.01,BK141=0),0,IF(AND('Proposed Lighting'!DG141=0,'Lighting Controls'!Z141=0.35),0,IF(AND(T141&lt;=K141,AA141&gt;=AD141,'Proposed Lighting'!AU141=2),VLOOKUP(Q141,$AY$9:$AZ$15,2,FALSE),IF(AND(T141&lt;=K141,AA141&gt;=AD141,'Proposed Lighting'!AU141=3),VLOOKUP(Q141,$AY$17:$AZ$23,2,FALSE))))))))</f>
        <v>0</v>
      </c>
      <c r="AN141" s="1248">
        <f>IF(T141=0,0,IF(K141&gt;'Proposed Lighting'!AA141,0,IF(AE141=0,0,IF(AND(AD141&gt;AA141,AA141&gt;0),0,IF(U141=0,0,Summary!AE444)))))</f>
        <v>0</v>
      </c>
      <c r="AO141" s="1248">
        <f t="shared" si="37"/>
        <v>0</v>
      </c>
      <c r="AP141" s="1249">
        <f>IF('Proposed Lighting'!AU141=1,0,IF(K141=0,0,IF(T141&gt;K141,0,IF(G141=0,0,IF(K141&gt;'Proposed Lighting'!AA141,0,IF(AND(AD141&gt;AA141,AA141&gt;0),0,IF(AND('Proposed Lighting'!AU141=3,AM141=0.5),0,IF(AND(AM141&gt;0,AS141&gt;0,BI141&lt;2),0,IF('Proposed Lighting'!CH141=100,0,IF(AV141=1,0,IF(AND(AM141=35,M141+N141&lt;2),0,AM141)))))))))))</f>
        <v>0</v>
      </c>
      <c r="AQ141" s="1249" t="str">
        <f>IFERROR(ROUND(IF(Q141="","",IF('Proposed Lighting'!$X$4=0,0,IF(AND(AM141=35,M141+N141&lt;2),0,IF(T141&gt;K141,0,IF('Proposed Lighting'!AU141=1,0,IF(AJ141=0,0,IF(AND('Proposed Lighting'!AU141=3,AM141=0.5),0,IF(AND(AD141=75,AP141=0,AV141=0),0,IF(AP141&gt;0.01,AP141*T141,IF(AND(F141&gt;1,W141&lt;0.01),0,IF(AND(F141&gt;1,AO141=0),0,IF(AND('Proposed Lighting'!BC141=22,AV141=0),0,IF(AND(AM141&gt;0,AS141&gt;0,BI141&lt;2),0,IF(AND(AS141&gt;0.01,BK141=0),0,IF(AND(AO141=TRUE,AV141=1,F141=3),MIN(AJ141*0.08,L141),IF(AP141&gt;0.01,AP141*T141,IF(AND(AO141=TRUE,AV141=1,F141=2),MIN(AJ141*0.1,L141)))))))))))))))))),2),"")</f>
        <v/>
      </c>
      <c r="AR141" s="1250">
        <f>IF(Q141=0,0,IF('Proposed Lighting'!$X$4=0,0,IF(AND(AM141&gt;0.01,AQ141&gt;0.01),0,IF('Proposed Lighting'!AU141=1,"Missing Interior or Exterior Selection",IF('Proposed Lighting'!CF141=1,"Selection does not match",IF(K141&gt;'Proposed Lighting'!AA141,"Quantity controlled does not match proposed lighting quantity",IF(T141&gt;K141,"Quantity of sensors exceeds proposed lighting quantity",IF(AND(F141&gt;1,'Proposed Lighting'!AU141&lt;&gt;F141),"Selection does not match",IF(AND(AD141&gt;AA141,AA141&gt;0),"Does not meet minimum connected load",IF(AND(O141&gt;0,AS141&gt;0,BK141&gt;0,'Proposed Lighting'!CH141=0),"Select Control Strategies",IF(AND(AC141&gt;0.1,AJ141=0,AQ141=0),"Does not meet incentive criteria",0)))))))))))</f>
        <v>0</v>
      </c>
      <c r="AS141" s="1224">
        <f>IF('Proposed Lighting'!CH141=100,0,IF(ISNUMBER(SEARCH("multiple",Q141)),1,0))</f>
        <v>0</v>
      </c>
      <c r="AT141" s="451">
        <f t="shared" si="34"/>
        <v>0</v>
      </c>
      <c r="AU141" s="451">
        <f t="shared" si="35"/>
        <v>0</v>
      </c>
      <c r="AV141" s="1222">
        <f>IF(ISNUMBER(SEARCH("Networked",'Proposed Lighting'!T141)),0,IF(ISNUMBER(SEARCH("Strategies",'Proposed Lighting'!T141)),0,IF(ISNUMBER(SEARCH("Removal",'Proposed Lighting'!T141)),0,IF(ISNUMBER(SEARCH("non-standard",Q141)),1,0))))</f>
        <v>0</v>
      </c>
      <c r="AW141" s="451">
        <f t="shared" si="25"/>
        <v>0</v>
      </c>
      <c r="AX141" s="451"/>
      <c r="AY141" s="451"/>
      <c r="AZ141" s="451"/>
      <c r="BA141" s="451"/>
      <c r="BB141" s="451"/>
      <c r="BC141" s="1215"/>
      <c r="BD141" s="1215"/>
      <c r="BE141" s="1215"/>
      <c r="BF141" s="1215"/>
      <c r="BG141" s="1215"/>
      <c r="BH141" s="1215"/>
      <c r="BI141">
        <f>IF(AND(AS141=1,BC141="No",BD141="Yes",BE141="Yes",BF141="No",BH141="No"),0,IF(AND('Proposed Lighting'!AU141=2,AS141=1,BC141="Yes",BD141="Yes"),2,IF(AND('Proposed Lighting'!AU141=2,AS141=1,BC141="Yes",BE141="Yes"),2,IF(AND('Proposed Lighting'!AU141=2,AS141=1,BC141="Yes",BF141="Yes"),2,IF(AND('Proposed Lighting'!AU141=2,AS141=1,BC141="Yes",BH141="Yes"),2,IF(AND('Proposed Lighting'!AU141=2,AS141=1,BD141="Yes",BF141="Yes"),2,IF(AND('Proposed Lighting'!AU141=2,AS141=1,BD141="Yes",BH141="Yes"),2,IF(AND('Proposed Lighting'!AU141=3,AS141=1,BC141="Yes",BE141="Yes"),2,IF(AND('Proposed Lighting'!AU141=3,AS141=1,BC141="Yes",BF141="Yes"),2,0)))))))))</f>
        <v>0</v>
      </c>
      <c r="BJ141" s="1025">
        <f t="shared" si="36"/>
        <v>0</v>
      </c>
      <c r="BK141">
        <f>IF(AND('Proposed Lighting'!BC141=22,'Lighting Controls'!N141=1),0,IF(ISNUMBER(SEARCH("LED",G141)),1,0))</f>
        <v>0</v>
      </c>
    </row>
    <row r="142" spans="1:63" ht="34.5" customHeight="1">
      <c r="A142" s="917">
        <v>134</v>
      </c>
      <c r="B142" s="1828" t="str">
        <f>IF('Proposed Lighting'!B142="","",'Proposed Lighting'!B142)</f>
        <v/>
      </c>
      <c r="C142" s="1828"/>
      <c r="D142" s="1828"/>
      <c r="E142" s="1245">
        <f>'Proposed Lighting'!AA142</f>
        <v>0</v>
      </c>
      <c r="F142" s="1245">
        <f t="shared" si="29"/>
        <v>0</v>
      </c>
      <c r="G142" s="1830" t="str">
        <f>IF('Proposed Lighting'!T142="","",IF(ISNUMBER(SEARCH("Networked",'Proposed Lighting'!T142)),0,IF(ISNUMBER(SEARCH("Strategies",'Proposed Lighting'!T142)),0,IF(ISNUMBER(SEARCH("Removal",'Proposed Lighting'!T142)),0,'Proposed Lighting'!T142))))</f>
        <v/>
      </c>
      <c r="H142" s="1830"/>
      <c r="I142" s="1830"/>
      <c r="J142" s="1830"/>
      <c r="K142" s="1215"/>
      <c r="L142" s="1246">
        <f t="shared" si="30"/>
        <v>0</v>
      </c>
      <c r="M142" s="1224">
        <f t="shared" si="31"/>
        <v>0</v>
      </c>
      <c r="N142" s="1224">
        <f t="shared" si="32"/>
        <v>0</v>
      </c>
      <c r="O142" s="1825" t="str">
        <f>IF(G142=0,0,IF(ISNA('Proposed Lighting'!AT142),0,'Proposed Lighting'!AT142))</f>
        <v/>
      </c>
      <c r="P142" s="1825"/>
      <c r="Q142" s="1247"/>
      <c r="R142" s="1247"/>
      <c r="S142" s="1247"/>
      <c r="T142" s="1211"/>
      <c r="U142" s="1235">
        <f>IF(K142&gt;0.01,'Proposed Lighting'!CU142,0)</f>
        <v>0</v>
      </c>
      <c r="V142" s="1248">
        <f>IF('Proposed Lighting'!CF142=1,0,IF('Proposed Lighting'!AU142=2,0,IF(AND('Proposed Lighting'!AU142=3,'Proposed Lighting'!CF142=0),1,0)))</f>
        <v>0</v>
      </c>
      <c r="W142" s="1836"/>
      <c r="X142" s="1836"/>
      <c r="Y142" s="1836"/>
      <c r="Z142" s="1230" t="str">
        <f t="shared" si="26"/>
        <v/>
      </c>
      <c r="AA142" s="1230">
        <f t="shared" si="27"/>
        <v>0</v>
      </c>
      <c r="AB142" s="1230">
        <f>IF(Q142=0,0,IF(T142=0,0,IF(AA142=0,0,IF(AND(F142=3,V142=0),0,IF(T142=0,0,IF(K142&gt;'Proposed Lighting'!AA142,0,IF('Proposed Lighting'!EJ142&gt;0.01,(K142*O142)*'Proposed Lighting'!EJ142/1000,(K142*O142)*U142/1000)))))))</f>
        <v>0</v>
      </c>
      <c r="AC142" s="1230" t="str">
        <f t="shared" si="33"/>
        <v/>
      </c>
      <c r="AD142" s="1230">
        <f t="shared" si="28"/>
        <v>0</v>
      </c>
      <c r="AE142" s="1230">
        <f>IF(T142=0,0,IF(K142&gt;'Proposed Lighting'!AA142,0,IF(T142&gt;K142,0,IF(AND(AD142&gt;AA142,AA142&gt;0),0,IF(AND(F142&gt;1,W142&lt;0.01),0,IF('Proposed Lighting'!AU142&gt;'Lighting Controls'!F142,0,IF('Proposed Lighting'!AU142&lt;'Lighting Controls'!F142,0,IF(U142=0,0,Summary!AC445))))))))</f>
        <v>0</v>
      </c>
      <c r="AF142" s="1230">
        <f>IF(T142=0,0,IF(AE142=0,0,IF(K142&gt;'Proposed Lighting'!AA142,0,IF(AND(AD142&gt;AA142,AA142&gt;0),0,IF(U142=0,0,Summary!AD445)))))</f>
        <v>0</v>
      </c>
      <c r="AG142" s="1834">
        <f>IF('Proposed Lighting'!AU142=1,0,IF('Proposed Lighting'!CF142=1,0,T142*W142))</f>
        <v>0</v>
      </c>
      <c r="AH142" s="1834"/>
      <c r="AI142" s="1834"/>
      <c r="AJ142" s="1835">
        <f>IF(T142&lt;1,0,IF(K142&gt;'Proposed Lighting'!AA142,0,IF('Proposed Lighting'!CF142=1,0,IF('Proposed Lighting'!AU142=1,0,IF(T142&gt;K142,0,IF(AND(AD142&gt;AA142,AA142&gt;0),0,IF(AND(F142=2,'Proposed Lighting'!AU142=3),0,IF(AND(F142=3,'Proposed Lighting'!AU142=2),0,IF('Proposed Lighting'!CH142=100,0,IF(AND(F142&lt;3,V142=1,AM142=0),0,IF(AND(F142&gt;1,AF142&lt;1,AN142&lt;1),0,IF(AND(F142&gt;1,AE142&lt;0.69,AF142&lt;1,AN142&lt;1),0,IF(ISERROR(AB142-AC142),"",AB142-AC142)))))))))))))</f>
        <v>0</v>
      </c>
      <c r="AK142" s="1835"/>
      <c r="AL142" s="1835"/>
      <c r="AM142" s="1216">
        <f>IF(Q142=0,0,IF(T142=0,0,IF(T142&gt;K142,0,IF(AND(AS142&gt;0.01,BK142=0),0,IF(AND('Proposed Lighting'!DG142=0,'Lighting Controls'!Z142=0.35),0,IF(AND(T142&lt;=K142,AA142&gt;=AD142,'Proposed Lighting'!AU142=2),VLOOKUP(Q142,$AY$9:$AZ$15,2,FALSE),IF(AND(T142&lt;=K142,AA142&gt;=AD142,'Proposed Lighting'!AU142=3),VLOOKUP(Q142,$AY$17:$AZ$23,2,FALSE))))))))</f>
        <v>0</v>
      </c>
      <c r="AN142" s="1248">
        <f>IF(T142=0,0,IF(K142&gt;'Proposed Lighting'!AA142,0,IF(AE142=0,0,IF(AND(AD142&gt;AA142,AA142&gt;0),0,IF(U142=0,0,Summary!AE445)))))</f>
        <v>0</v>
      </c>
      <c r="AO142" s="1248">
        <f t="shared" si="37"/>
        <v>0</v>
      </c>
      <c r="AP142" s="1249">
        <f>IF('Proposed Lighting'!AU142=1,0,IF(K142=0,0,IF(T142&gt;K142,0,IF(G142=0,0,IF(K142&gt;'Proposed Lighting'!AA142,0,IF(AND(AD142&gt;AA142,AA142&gt;0),0,IF(AND('Proposed Lighting'!AU142=3,AM142=0.5),0,IF(AND(AM142&gt;0,AS142&gt;0,BI142&lt;2),0,IF('Proposed Lighting'!CH142=100,0,IF(AV142=1,0,IF(AND(AM142=35,M142+N142&lt;2),0,AM142)))))))))))</f>
        <v>0</v>
      </c>
      <c r="AQ142" s="1249" t="str">
        <f>IFERROR(ROUND(IF(Q142="","",IF('Proposed Lighting'!$X$4=0,0,IF(AND(AM142=35,M142+N142&lt;2),0,IF(T142&gt;K142,0,IF('Proposed Lighting'!AU142=1,0,IF(AJ142=0,0,IF(AND('Proposed Lighting'!AU142=3,AM142=0.5),0,IF(AND(AD142=75,AP142=0,AV142=0),0,IF(AP142&gt;0.01,AP142*T142,IF(AND(F142&gt;1,W142&lt;0.01),0,IF(AND(F142&gt;1,AO142=0),0,IF(AND('Proposed Lighting'!BC142=22,AV142=0),0,IF(AND(AM142&gt;0,AS142&gt;0,BI142&lt;2),0,IF(AND(AS142&gt;0.01,BK142=0),0,IF(AND(AO142=TRUE,AV142=1,F142=3),MIN(AJ142*0.08,L142),IF(AP142&gt;0.01,AP142*T142,IF(AND(AO142=TRUE,AV142=1,F142=2),MIN(AJ142*0.1,L142)))))))))))))))))),2),"")</f>
        <v/>
      </c>
      <c r="AR142" s="1250">
        <f>IF(Q142=0,0,IF('Proposed Lighting'!$X$4=0,0,IF(AND(AM142&gt;0.01,AQ142&gt;0.01),0,IF('Proposed Lighting'!AU142=1,"Missing Interior or Exterior Selection",IF('Proposed Lighting'!CF142=1,"Selection does not match",IF(K142&gt;'Proposed Lighting'!AA142,"Quantity controlled does not match proposed lighting quantity",IF(T142&gt;K142,"Quantity of sensors exceeds proposed lighting quantity",IF(AND(F142&gt;1,'Proposed Lighting'!AU142&lt;&gt;F142),"Selection does not match",IF(AND(AD142&gt;AA142,AA142&gt;0),"Does not meet minimum connected load",IF(AND(O142&gt;0,AS142&gt;0,BK142&gt;0,'Proposed Lighting'!CH142=0),"Select Control Strategies",IF(AND(AC142&gt;0.1,AJ142=0,AQ142=0),"Does not meet incentive criteria",0)))))))))))</f>
        <v>0</v>
      </c>
      <c r="AS142" s="1224">
        <f>IF('Proposed Lighting'!CH142=100,0,IF(ISNUMBER(SEARCH("multiple",Q142)),1,0))</f>
        <v>0</v>
      </c>
      <c r="AT142" s="451">
        <f t="shared" si="34"/>
        <v>0</v>
      </c>
      <c r="AU142" s="451">
        <f t="shared" si="35"/>
        <v>0</v>
      </c>
      <c r="AV142" s="1222">
        <f>IF(ISNUMBER(SEARCH("Networked",'Proposed Lighting'!T142)),0,IF(ISNUMBER(SEARCH("Strategies",'Proposed Lighting'!T142)),0,IF(ISNUMBER(SEARCH("Removal",'Proposed Lighting'!T142)),0,IF(ISNUMBER(SEARCH("non-standard",Q142)),1,0))))</f>
        <v>0</v>
      </c>
      <c r="AW142" s="451">
        <f t="shared" si="25"/>
        <v>0</v>
      </c>
      <c r="AX142" s="451"/>
      <c r="AY142" s="451"/>
      <c r="AZ142" s="451"/>
      <c r="BA142" s="451"/>
      <c r="BB142" s="451"/>
      <c r="BC142" s="1215"/>
      <c r="BD142" s="1215"/>
      <c r="BE142" s="1215"/>
      <c r="BF142" s="1215"/>
      <c r="BG142" s="1215"/>
      <c r="BH142" s="1215"/>
      <c r="BI142">
        <f>IF(AND(AS142=1,BC142="No",BD142="Yes",BE142="Yes",BF142="No",BH142="No"),0,IF(AND('Proposed Lighting'!AU142=2,AS142=1,BC142="Yes",BD142="Yes"),2,IF(AND('Proposed Lighting'!AU142=2,AS142=1,BC142="Yes",BE142="Yes"),2,IF(AND('Proposed Lighting'!AU142=2,AS142=1,BC142="Yes",BF142="Yes"),2,IF(AND('Proposed Lighting'!AU142=2,AS142=1,BC142="Yes",BH142="Yes"),2,IF(AND('Proposed Lighting'!AU142=2,AS142=1,BD142="Yes",BF142="Yes"),2,IF(AND('Proposed Lighting'!AU142=2,AS142=1,BD142="Yes",BH142="Yes"),2,IF(AND('Proposed Lighting'!AU142=3,AS142=1,BC142="Yes",BE142="Yes"),2,IF(AND('Proposed Lighting'!AU142=3,AS142=1,BC142="Yes",BF142="Yes"),2,0)))))))))</f>
        <v>0</v>
      </c>
      <c r="BJ142" s="1025">
        <f t="shared" si="36"/>
        <v>0</v>
      </c>
      <c r="BK142">
        <f>IF(AND('Proposed Lighting'!BC142=22,'Lighting Controls'!N142=1),0,IF(ISNUMBER(SEARCH("LED",G142)),1,0))</f>
        <v>0</v>
      </c>
    </row>
    <row r="143" spans="1:63" ht="34.5" customHeight="1">
      <c r="A143" s="917">
        <v>135</v>
      </c>
      <c r="B143" s="1828" t="str">
        <f>IF('Proposed Lighting'!B143="","",'Proposed Lighting'!B143)</f>
        <v/>
      </c>
      <c r="C143" s="1828"/>
      <c r="D143" s="1828"/>
      <c r="E143" s="1245">
        <f>'Proposed Lighting'!AA143</f>
        <v>0</v>
      </c>
      <c r="F143" s="1245">
        <f t="shared" si="29"/>
        <v>0</v>
      </c>
      <c r="G143" s="1830" t="str">
        <f>IF('Proposed Lighting'!T143="","",IF(ISNUMBER(SEARCH("Networked",'Proposed Lighting'!T143)),0,IF(ISNUMBER(SEARCH("Strategies",'Proposed Lighting'!T143)),0,IF(ISNUMBER(SEARCH("Removal",'Proposed Lighting'!T143)),0,'Proposed Lighting'!T143))))</f>
        <v/>
      </c>
      <c r="H143" s="1830"/>
      <c r="I143" s="1830"/>
      <c r="J143" s="1830"/>
      <c r="K143" s="1215"/>
      <c r="L143" s="1246">
        <f t="shared" si="30"/>
        <v>0</v>
      </c>
      <c r="M143" s="1224">
        <f t="shared" si="31"/>
        <v>0</v>
      </c>
      <c r="N143" s="1224">
        <f t="shared" si="32"/>
        <v>0</v>
      </c>
      <c r="O143" s="1825" t="str">
        <f>IF(G143=0,0,IF(ISNA('Proposed Lighting'!AT143),0,'Proposed Lighting'!AT143))</f>
        <v/>
      </c>
      <c r="P143" s="1825"/>
      <c r="Q143" s="1247"/>
      <c r="R143" s="1247"/>
      <c r="S143" s="1247"/>
      <c r="T143" s="1211"/>
      <c r="U143" s="1235">
        <f>IF(K143&gt;0.01,'Proposed Lighting'!CU143,0)</f>
        <v>0</v>
      </c>
      <c r="V143" s="1248">
        <f>IF('Proposed Lighting'!CF143=1,0,IF('Proposed Lighting'!AU143=2,0,IF(AND('Proposed Lighting'!AU143=3,'Proposed Lighting'!CF143=0),1,0)))</f>
        <v>0</v>
      </c>
      <c r="W143" s="1836"/>
      <c r="X143" s="1836"/>
      <c r="Y143" s="1836"/>
      <c r="Z143" s="1230" t="str">
        <f t="shared" si="26"/>
        <v/>
      </c>
      <c r="AA143" s="1230">
        <f t="shared" si="27"/>
        <v>0</v>
      </c>
      <c r="AB143" s="1230">
        <f>IF(Q143=0,0,IF(T143=0,0,IF(AA143=0,0,IF(AND(F143=3,V143=0),0,IF(T143=0,0,IF(K143&gt;'Proposed Lighting'!AA143,0,IF('Proposed Lighting'!EJ143&gt;0.01,(K143*O143)*'Proposed Lighting'!EJ143/1000,(K143*O143)*U143/1000)))))))</f>
        <v>0</v>
      </c>
      <c r="AC143" s="1230" t="str">
        <f t="shared" si="33"/>
        <v/>
      </c>
      <c r="AD143" s="1230">
        <f t="shared" si="28"/>
        <v>0</v>
      </c>
      <c r="AE143" s="1230">
        <f>IF(T143=0,0,IF(K143&gt;'Proposed Lighting'!AA143,0,IF(T143&gt;K143,0,IF(AND(AD143&gt;AA143,AA143&gt;0),0,IF(AND(F143&gt;1,W143&lt;0.01),0,IF('Proposed Lighting'!AU143&gt;'Lighting Controls'!F143,0,IF('Proposed Lighting'!AU143&lt;'Lighting Controls'!F143,0,IF(U143=0,0,Summary!AC446))))))))</f>
        <v>0</v>
      </c>
      <c r="AF143" s="1230">
        <f>IF(T143=0,0,IF(AE143=0,0,IF(K143&gt;'Proposed Lighting'!AA143,0,IF(AND(AD143&gt;AA143,AA143&gt;0),0,IF(U143=0,0,Summary!AD446)))))</f>
        <v>0</v>
      </c>
      <c r="AG143" s="1834">
        <f>IF('Proposed Lighting'!AU143=1,0,IF('Proposed Lighting'!CF143=1,0,T143*W143))</f>
        <v>0</v>
      </c>
      <c r="AH143" s="1834"/>
      <c r="AI143" s="1834"/>
      <c r="AJ143" s="1835">
        <f>IF(T143&lt;1,0,IF(K143&gt;'Proposed Lighting'!AA143,0,IF('Proposed Lighting'!CF143=1,0,IF('Proposed Lighting'!AU143=1,0,IF(T143&gt;K143,0,IF(AND(AD143&gt;AA143,AA143&gt;0),0,IF(AND(F143=2,'Proposed Lighting'!AU143=3),0,IF(AND(F143=3,'Proposed Lighting'!AU143=2),0,IF('Proposed Lighting'!CH143=100,0,IF(AND(F143&lt;3,V143=1,AM143=0),0,IF(AND(F143&gt;1,AF143&lt;1,AN143&lt;1),0,IF(AND(F143&gt;1,AE143&lt;0.69,AF143&lt;1,AN143&lt;1),0,IF(ISERROR(AB143-AC143),"",AB143-AC143)))))))))))))</f>
        <v>0</v>
      </c>
      <c r="AK143" s="1835"/>
      <c r="AL143" s="1835"/>
      <c r="AM143" s="1216">
        <f>IF(Q143=0,0,IF(T143=0,0,IF(T143&gt;K143,0,IF(AND(AS143&gt;0.01,BK143=0),0,IF(AND('Proposed Lighting'!DG143=0,'Lighting Controls'!Z143=0.35),0,IF(AND(T143&lt;=K143,AA143&gt;=AD143,'Proposed Lighting'!AU143=2),VLOOKUP(Q143,$AY$9:$AZ$15,2,FALSE),IF(AND(T143&lt;=K143,AA143&gt;=AD143,'Proposed Lighting'!AU143=3),VLOOKUP(Q143,$AY$17:$AZ$23,2,FALSE))))))))</f>
        <v>0</v>
      </c>
      <c r="AN143" s="1248">
        <f>IF(T143=0,0,IF(K143&gt;'Proposed Lighting'!AA143,0,IF(AE143=0,0,IF(AND(AD143&gt;AA143,AA143&gt;0),0,IF(U143=0,0,Summary!AE446)))))</f>
        <v>0</v>
      </c>
      <c r="AO143" s="1248">
        <f t="shared" si="37"/>
        <v>0</v>
      </c>
      <c r="AP143" s="1249">
        <f>IF('Proposed Lighting'!AU143=1,0,IF(K143=0,0,IF(T143&gt;K143,0,IF(G143=0,0,IF(K143&gt;'Proposed Lighting'!AA143,0,IF(AND(AD143&gt;AA143,AA143&gt;0),0,IF(AND('Proposed Lighting'!AU143=3,AM143=0.5),0,IF(AND(AM143&gt;0,AS143&gt;0,BI143&lt;2),0,IF('Proposed Lighting'!CH143=100,0,IF(AV143=1,0,IF(AND(AM143=35,M143+N143&lt;2),0,AM143)))))))))))</f>
        <v>0</v>
      </c>
      <c r="AQ143" s="1249" t="str">
        <f>IFERROR(ROUND(IF(Q143="","",IF('Proposed Lighting'!$X$4=0,0,IF(AND(AM143=35,M143+N143&lt;2),0,IF(T143&gt;K143,0,IF('Proposed Lighting'!AU143=1,0,IF(AJ143=0,0,IF(AND('Proposed Lighting'!AU143=3,AM143=0.5),0,IF(AND(AD143=75,AP143=0,AV143=0),0,IF(AP143&gt;0.01,AP143*T143,IF(AND(F143&gt;1,W143&lt;0.01),0,IF(AND(F143&gt;1,AO143=0),0,IF(AND('Proposed Lighting'!BC143=22,AV143=0),0,IF(AND(AM143&gt;0,AS143&gt;0,BI143&lt;2),0,IF(AND(AS143&gt;0.01,BK143=0),0,IF(AND(AO143=TRUE,AV143=1,F143=3),MIN(AJ143*0.08,L143),IF(AP143&gt;0.01,AP143*T143,IF(AND(AO143=TRUE,AV143=1,F143=2),MIN(AJ143*0.1,L143)))))))))))))))))),2),"")</f>
        <v/>
      </c>
      <c r="AR143" s="1250">
        <f>IF(Q143=0,0,IF('Proposed Lighting'!$X$4=0,0,IF(AND(AM143&gt;0.01,AQ143&gt;0.01),0,IF('Proposed Lighting'!AU143=1,"Missing Interior or Exterior Selection",IF('Proposed Lighting'!CF143=1,"Selection does not match",IF(K143&gt;'Proposed Lighting'!AA143,"Quantity controlled does not match proposed lighting quantity",IF(T143&gt;K143,"Quantity of sensors exceeds proposed lighting quantity",IF(AND(F143&gt;1,'Proposed Lighting'!AU143&lt;&gt;F143),"Selection does not match",IF(AND(AD143&gt;AA143,AA143&gt;0),"Does not meet minimum connected load",IF(AND(O143&gt;0,AS143&gt;0,BK143&gt;0,'Proposed Lighting'!CH143=0),"Select Control Strategies",IF(AND(AC143&gt;0.1,AJ143=0,AQ143=0),"Does not meet incentive criteria",0)))))))))))</f>
        <v>0</v>
      </c>
      <c r="AS143" s="1224">
        <f>IF('Proposed Lighting'!CH143=100,0,IF(ISNUMBER(SEARCH("multiple",Q143)),1,0))</f>
        <v>0</v>
      </c>
      <c r="AT143" s="451">
        <f t="shared" si="34"/>
        <v>0</v>
      </c>
      <c r="AU143" s="451">
        <f t="shared" si="35"/>
        <v>0</v>
      </c>
      <c r="AV143" s="1222">
        <f>IF(ISNUMBER(SEARCH("Networked",'Proposed Lighting'!T143)),0,IF(ISNUMBER(SEARCH("Strategies",'Proposed Lighting'!T143)),0,IF(ISNUMBER(SEARCH("Removal",'Proposed Lighting'!T143)),0,IF(ISNUMBER(SEARCH("non-standard",Q143)),1,0))))</f>
        <v>0</v>
      </c>
      <c r="AW143" s="451">
        <f t="shared" si="25"/>
        <v>0</v>
      </c>
      <c r="AX143" s="451"/>
      <c r="AY143" s="451"/>
      <c r="AZ143" s="451"/>
      <c r="BA143" s="451"/>
      <c r="BB143" s="451"/>
      <c r="BC143" s="1215"/>
      <c r="BD143" s="1215"/>
      <c r="BE143" s="1215"/>
      <c r="BF143" s="1215"/>
      <c r="BG143" s="1215"/>
      <c r="BH143" s="1215"/>
      <c r="BI143">
        <f>IF(AND(AS143=1,BC143="No",BD143="Yes",BE143="Yes",BF143="No",BH143="No"),0,IF(AND('Proposed Lighting'!AU143=2,AS143=1,BC143="Yes",BD143="Yes"),2,IF(AND('Proposed Lighting'!AU143=2,AS143=1,BC143="Yes",BE143="Yes"),2,IF(AND('Proposed Lighting'!AU143=2,AS143=1,BC143="Yes",BF143="Yes"),2,IF(AND('Proposed Lighting'!AU143=2,AS143=1,BC143="Yes",BH143="Yes"),2,IF(AND('Proposed Lighting'!AU143=2,AS143=1,BD143="Yes",BF143="Yes"),2,IF(AND('Proposed Lighting'!AU143=2,AS143=1,BD143="Yes",BH143="Yes"),2,IF(AND('Proposed Lighting'!AU143=3,AS143=1,BC143="Yes",BE143="Yes"),2,IF(AND('Proposed Lighting'!AU143=3,AS143=1,BC143="Yes",BF143="Yes"),2,0)))))))))</f>
        <v>0</v>
      </c>
      <c r="BJ143" s="1025">
        <f t="shared" si="36"/>
        <v>0</v>
      </c>
      <c r="BK143">
        <f>IF(AND('Proposed Lighting'!BC143=22,'Lighting Controls'!N143=1),0,IF(ISNUMBER(SEARCH("LED",G143)),1,0))</f>
        <v>0</v>
      </c>
    </row>
    <row r="144" spans="1:63" ht="34.5" customHeight="1">
      <c r="A144" s="917">
        <v>136</v>
      </c>
      <c r="B144" s="1828" t="str">
        <f>IF('Proposed Lighting'!B144="","",'Proposed Lighting'!B144)</f>
        <v/>
      </c>
      <c r="C144" s="1828"/>
      <c r="D144" s="1828"/>
      <c r="E144" s="1245">
        <f>'Proposed Lighting'!AA144</f>
        <v>0</v>
      </c>
      <c r="F144" s="1245">
        <f t="shared" si="29"/>
        <v>0</v>
      </c>
      <c r="G144" s="1830" t="str">
        <f>IF('Proposed Lighting'!T144="","",IF(ISNUMBER(SEARCH("Networked",'Proposed Lighting'!T144)),0,IF(ISNUMBER(SEARCH("Strategies",'Proposed Lighting'!T144)),0,IF(ISNUMBER(SEARCH("Removal",'Proposed Lighting'!T144)),0,'Proposed Lighting'!T144))))</f>
        <v/>
      </c>
      <c r="H144" s="1830"/>
      <c r="I144" s="1830"/>
      <c r="J144" s="1830"/>
      <c r="K144" s="1215"/>
      <c r="L144" s="1246">
        <f t="shared" si="30"/>
        <v>0</v>
      </c>
      <c r="M144" s="1224">
        <f t="shared" si="31"/>
        <v>0</v>
      </c>
      <c r="N144" s="1224">
        <f t="shared" si="32"/>
        <v>0</v>
      </c>
      <c r="O144" s="1825" t="str">
        <f>IF(G144=0,0,IF(ISNA('Proposed Lighting'!AT144),0,'Proposed Lighting'!AT144))</f>
        <v/>
      </c>
      <c r="P144" s="1825"/>
      <c r="Q144" s="1247"/>
      <c r="R144" s="1247"/>
      <c r="S144" s="1247"/>
      <c r="T144" s="1211"/>
      <c r="U144" s="1235">
        <f>IF(K144&gt;0.01,'Proposed Lighting'!CU144,0)</f>
        <v>0</v>
      </c>
      <c r="V144" s="1248">
        <f>IF('Proposed Lighting'!CF144=1,0,IF('Proposed Lighting'!AU144=2,0,IF(AND('Proposed Lighting'!AU144=3,'Proposed Lighting'!CF144=0),1,0)))</f>
        <v>0</v>
      </c>
      <c r="W144" s="1836"/>
      <c r="X144" s="1836"/>
      <c r="Y144" s="1836"/>
      <c r="Z144" s="1230" t="str">
        <f t="shared" si="26"/>
        <v/>
      </c>
      <c r="AA144" s="1230">
        <f t="shared" si="27"/>
        <v>0</v>
      </c>
      <c r="AB144" s="1230">
        <f>IF(Q144=0,0,IF(T144=0,0,IF(AA144=0,0,IF(AND(F144=3,V144=0),0,IF(T144=0,0,IF(K144&gt;'Proposed Lighting'!AA144,0,IF('Proposed Lighting'!EJ144&gt;0.01,(K144*O144)*'Proposed Lighting'!EJ144/1000,(K144*O144)*U144/1000)))))))</f>
        <v>0</v>
      </c>
      <c r="AC144" s="1230" t="str">
        <f t="shared" si="33"/>
        <v/>
      </c>
      <c r="AD144" s="1230">
        <f t="shared" si="28"/>
        <v>0</v>
      </c>
      <c r="AE144" s="1230">
        <f>IF(T144=0,0,IF(K144&gt;'Proposed Lighting'!AA144,0,IF(T144&gt;K144,0,IF(AND(AD144&gt;AA144,AA144&gt;0),0,IF(AND(F144&gt;1,W144&lt;0.01),0,IF('Proposed Lighting'!AU144&gt;'Lighting Controls'!F144,0,IF('Proposed Lighting'!AU144&lt;'Lighting Controls'!F144,0,IF(U144=0,0,Summary!AC447))))))))</f>
        <v>0</v>
      </c>
      <c r="AF144" s="1230">
        <f>IF(T144=0,0,IF(AE144=0,0,IF(K144&gt;'Proposed Lighting'!AA144,0,IF(AND(AD144&gt;AA144,AA144&gt;0),0,IF(U144=0,0,Summary!AD447)))))</f>
        <v>0</v>
      </c>
      <c r="AG144" s="1834">
        <f>IF('Proposed Lighting'!AU144=1,0,IF('Proposed Lighting'!CF144=1,0,T144*W144))</f>
        <v>0</v>
      </c>
      <c r="AH144" s="1834"/>
      <c r="AI144" s="1834"/>
      <c r="AJ144" s="1835">
        <f>IF(T144&lt;1,0,IF(K144&gt;'Proposed Lighting'!AA144,0,IF('Proposed Lighting'!CF144=1,0,IF('Proposed Lighting'!AU144=1,0,IF(T144&gt;K144,0,IF(AND(AD144&gt;AA144,AA144&gt;0),0,IF(AND(F144=2,'Proposed Lighting'!AU144=3),0,IF(AND(F144=3,'Proposed Lighting'!AU144=2),0,IF('Proposed Lighting'!CH144=100,0,IF(AND(F144&lt;3,V144=1,AM144=0),0,IF(AND(F144&gt;1,AF144&lt;1,AN144&lt;1),0,IF(AND(F144&gt;1,AE144&lt;0.69,AF144&lt;1,AN144&lt;1),0,IF(ISERROR(AB144-AC144),"",AB144-AC144)))))))))))))</f>
        <v>0</v>
      </c>
      <c r="AK144" s="1835"/>
      <c r="AL144" s="1835"/>
      <c r="AM144" s="1216">
        <f>IF(Q144=0,0,IF(T144=0,0,IF(T144&gt;K144,0,IF(AND(AS144&gt;0.01,BK144=0),0,IF(AND('Proposed Lighting'!DG144=0,'Lighting Controls'!Z144=0.35),0,IF(AND(T144&lt;=K144,AA144&gt;=AD144,'Proposed Lighting'!AU144=2),VLOOKUP(Q144,$AY$9:$AZ$15,2,FALSE),IF(AND(T144&lt;=K144,AA144&gt;=AD144,'Proposed Lighting'!AU144=3),VLOOKUP(Q144,$AY$17:$AZ$23,2,FALSE))))))))</f>
        <v>0</v>
      </c>
      <c r="AN144" s="1248">
        <f>IF(T144=0,0,IF(K144&gt;'Proposed Lighting'!AA144,0,IF(AE144=0,0,IF(AND(AD144&gt;AA144,AA144&gt;0),0,IF(U144=0,0,Summary!AE447)))))</f>
        <v>0</v>
      </c>
      <c r="AO144" s="1248">
        <f t="shared" si="37"/>
        <v>0</v>
      </c>
      <c r="AP144" s="1249">
        <f>IF('Proposed Lighting'!AU144=1,0,IF(K144=0,0,IF(T144&gt;K144,0,IF(G144=0,0,IF(K144&gt;'Proposed Lighting'!AA144,0,IF(AND(AD144&gt;AA144,AA144&gt;0),0,IF(AND('Proposed Lighting'!AU144=3,AM144=0.5),0,IF(AND(AM144&gt;0,AS144&gt;0,BI144&lt;2),0,IF('Proposed Lighting'!CH144=100,0,IF(AV144=1,0,IF(AND(AM144=35,M144+N144&lt;2),0,AM144)))))))))))</f>
        <v>0</v>
      </c>
      <c r="AQ144" s="1249" t="str">
        <f>IFERROR(ROUND(IF(Q144="","",IF('Proposed Lighting'!$X$4=0,0,IF(AND(AM144=35,M144+N144&lt;2),0,IF(T144&gt;K144,0,IF('Proposed Lighting'!AU144=1,0,IF(AJ144=0,0,IF(AND('Proposed Lighting'!AU144=3,AM144=0.5),0,IF(AND(AD144=75,AP144=0,AV144=0),0,IF(AP144&gt;0.01,AP144*T144,IF(AND(F144&gt;1,W144&lt;0.01),0,IF(AND(F144&gt;1,AO144=0),0,IF(AND('Proposed Lighting'!BC144=22,AV144=0),0,IF(AND(AM144&gt;0,AS144&gt;0,BI144&lt;2),0,IF(AND(AS144&gt;0.01,BK144=0),0,IF(AND(AO144=TRUE,AV144=1,F144=3),MIN(AJ144*0.08,L144),IF(AP144&gt;0.01,AP144*T144,IF(AND(AO144=TRUE,AV144=1,F144=2),MIN(AJ144*0.1,L144)))))))))))))))))),2),"")</f>
        <v/>
      </c>
      <c r="AR144" s="1250">
        <f>IF(Q144=0,0,IF('Proposed Lighting'!$X$4=0,0,IF(AND(AM144&gt;0.01,AQ144&gt;0.01),0,IF('Proposed Lighting'!AU144=1,"Missing Interior or Exterior Selection",IF('Proposed Lighting'!CF144=1,"Selection does not match",IF(K144&gt;'Proposed Lighting'!AA144,"Quantity controlled does not match proposed lighting quantity",IF(T144&gt;K144,"Quantity of sensors exceeds proposed lighting quantity",IF(AND(F144&gt;1,'Proposed Lighting'!AU144&lt;&gt;F144),"Selection does not match",IF(AND(AD144&gt;AA144,AA144&gt;0),"Does not meet minimum connected load",IF(AND(O144&gt;0,AS144&gt;0,BK144&gt;0,'Proposed Lighting'!CH144=0),"Select Control Strategies",IF(AND(AC144&gt;0.1,AJ144=0,AQ144=0),"Does not meet incentive criteria",0)))))))))))</f>
        <v>0</v>
      </c>
      <c r="AS144" s="1224">
        <f>IF('Proposed Lighting'!CH144=100,0,IF(ISNUMBER(SEARCH("multiple",Q144)),1,0))</f>
        <v>0</v>
      </c>
      <c r="AT144" s="451">
        <f t="shared" si="34"/>
        <v>0</v>
      </c>
      <c r="AU144" s="451">
        <f t="shared" si="35"/>
        <v>0</v>
      </c>
      <c r="AV144" s="1222">
        <f>IF(ISNUMBER(SEARCH("Networked",'Proposed Lighting'!T144)),0,IF(ISNUMBER(SEARCH("Strategies",'Proposed Lighting'!T144)),0,IF(ISNUMBER(SEARCH("Removal",'Proposed Lighting'!T144)),0,IF(ISNUMBER(SEARCH("non-standard",Q144)),1,0))))</f>
        <v>0</v>
      </c>
      <c r="AW144" s="451">
        <f t="shared" si="25"/>
        <v>0</v>
      </c>
      <c r="AX144" s="451"/>
      <c r="AY144" s="451"/>
      <c r="AZ144" s="451"/>
      <c r="BA144" s="451"/>
      <c r="BB144" s="451"/>
      <c r="BC144" s="1215"/>
      <c r="BD144" s="1215"/>
      <c r="BE144" s="1215"/>
      <c r="BF144" s="1215"/>
      <c r="BG144" s="1215"/>
      <c r="BH144" s="1215"/>
      <c r="BI144">
        <f>IF(AND(AS144=1,BC144="No",BD144="Yes",BE144="Yes",BF144="No",BH144="No"),0,IF(AND('Proposed Lighting'!AU144=2,AS144=1,BC144="Yes",BD144="Yes"),2,IF(AND('Proposed Lighting'!AU144=2,AS144=1,BC144="Yes",BE144="Yes"),2,IF(AND('Proposed Lighting'!AU144=2,AS144=1,BC144="Yes",BF144="Yes"),2,IF(AND('Proposed Lighting'!AU144=2,AS144=1,BC144="Yes",BH144="Yes"),2,IF(AND('Proposed Lighting'!AU144=2,AS144=1,BD144="Yes",BF144="Yes"),2,IF(AND('Proposed Lighting'!AU144=2,AS144=1,BD144="Yes",BH144="Yes"),2,IF(AND('Proposed Lighting'!AU144=3,AS144=1,BC144="Yes",BE144="Yes"),2,IF(AND('Proposed Lighting'!AU144=3,AS144=1,BC144="Yes",BF144="Yes"),2,0)))))))))</f>
        <v>0</v>
      </c>
      <c r="BJ144" s="1025">
        <f t="shared" si="36"/>
        <v>0</v>
      </c>
      <c r="BK144">
        <f>IF(AND('Proposed Lighting'!BC144=22,'Lighting Controls'!N144=1),0,IF(ISNUMBER(SEARCH("LED",G144)),1,0))</f>
        <v>0</v>
      </c>
    </row>
    <row r="145" spans="1:63" ht="34.5" customHeight="1">
      <c r="A145" s="917">
        <v>137</v>
      </c>
      <c r="B145" s="1828" t="str">
        <f>IF('Proposed Lighting'!B145="","",'Proposed Lighting'!B145)</f>
        <v/>
      </c>
      <c r="C145" s="1828"/>
      <c r="D145" s="1828"/>
      <c r="E145" s="1245">
        <f>'Proposed Lighting'!AA145</f>
        <v>0</v>
      </c>
      <c r="F145" s="1245">
        <f t="shared" si="29"/>
        <v>0</v>
      </c>
      <c r="G145" s="1830" t="str">
        <f>IF('Proposed Lighting'!T145="","",IF(ISNUMBER(SEARCH("Networked",'Proposed Lighting'!T145)),0,IF(ISNUMBER(SEARCH("Strategies",'Proposed Lighting'!T145)),0,IF(ISNUMBER(SEARCH("Removal",'Proposed Lighting'!T145)),0,'Proposed Lighting'!T145))))</f>
        <v/>
      </c>
      <c r="H145" s="1830"/>
      <c r="I145" s="1830"/>
      <c r="J145" s="1830"/>
      <c r="K145" s="1215"/>
      <c r="L145" s="1246">
        <f t="shared" si="30"/>
        <v>0</v>
      </c>
      <c r="M145" s="1224">
        <f t="shared" si="31"/>
        <v>0</v>
      </c>
      <c r="N145" s="1224">
        <f t="shared" si="32"/>
        <v>0</v>
      </c>
      <c r="O145" s="1825" t="str">
        <f>IF(G145=0,0,IF(ISNA('Proposed Lighting'!AT145),0,'Proposed Lighting'!AT145))</f>
        <v/>
      </c>
      <c r="P145" s="1825"/>
      <c r="Q145" s="1247"/>
      <c r="R145" s="1247"/>
      <c r="S145" s="1247"/>
      <c r="T145" s="1211"/>
      <c r="U145" s="1235">
        <f>IF(K145&gt;0.01,'Proposed Lighting'!CU145,0)</f>
        <v>0</v>
      </c>
      <c r="V145" s="1248">
        <f>IF('Proposed Lighting'!CF145=1,0,IF('Proposed Lighting'!AU145=2,0,IF(AND('Proposed Lighting'!AU145=3,'Proposed Lighting'!CF145=0),1,0)))</f>
        <v>0</v>
      </c>
      <c r="W145" s="1836"/>
      <c r="X145" s="1836"/>
      <c r="Y145" s="1836"/>
      <c r="Z145" s="1230" t="str">
        <f t="shared" si="26"/>
        <v/>
      </c>
      <c r="AA145" s="1230">
        <f t="shared" si="27"/>
        <v>0</v>
      </c>
      <c r="AB145" s="1230">
        <f>IF(Q145=0,0,IF(T145=0,0,IF(AA145=0,0,IF(AND(F145=3,V145=0),0,IF(T145=0,0,IF(K145&gt;'Proposed Lighting'!AA145,0,IF('Proposed Lighting'!EJ145&gt;0.01,(K145*O145)*'Proposed Lighting'!EJ145/1000,(K145*O145)*U145/1000)))))))</f>
        <v>0</v>
      </c>
      <c r="AC145" s="1230" t="str">
        <f t="shared" si="33"/>
        <v/>
      </c>
      <c r="AD145" s="1230">
        <f t="shared" si="28"/>
        <v>0</v>
      </c>
      <c r="AE145" s="1230">
        <f>IF(T145=0,0,IF(K145&gt;'Proposed Lighting'!AA145,0,IF(T145&gt;K145,0,IF(AND(AD145&gt;AA145,AA145&gt;0),0,IF(AND(F145&gt;1,W145&lt;0.01),0,IF('Proposed Lighting'!AU145&gt;'Lighting Controls'!F145,0,IF('Proposed Lighting'!AU145&lt;'Lighting Controls'!F145,0,IF(U145=0,0,Summary!AC448))))))))</f>
        <v>0</v>
      </c>
      <c r="AF145" s="1230">
        <f>IF(T145=0,0,IF(AE145=0,0,IF(K145&gt;'Proposed Lighting'!AA145,0,IF(AND(AD145&gt;AA145,AA145&gt;0),0,IF(U145=0,0,Summary!AD448)))))</f>
        <v>0</v>
      </c>
      <c r="AG145" s="1834">
        <f>IF('Proposed Lighting'!AU145=1,0,IF('Proposed Lighting'!CF145=1,0,T145*W145))</f>
        <v>0</v>
      </c>
      <c r="AH145" s="1834"/>
      <c r="AI145" s="1834"/>
      <c r="AJ145" s="1835">
        <f>IF(T145&lt;1,0,IF(K145&gt;'Proposed Lighting'!AA145,0,IF('Proposed Lighting'!CF145=1,0,IF('Proposed Lighting'!AU145=1,0,IF(T145&gt;K145,0,IF(AND(AD145&gt;AA145,AA145&gt;0),0,IF(AND(F145=2,'Proposed Lighting'!AU145=3),0,IF(AND(F145=3,'Proposed Lighting'!AU145=2),0,IF('Proposed Lighting'!CH145=100,0,IF(AND(F145&lt;3,V145=1,AM145=0),0,IF(AND(F145&gt;1,AF145&lt;1,AN145&lt;1),0,IF(AND(F145&gt;1,AE145&lt;0.69,AF145&lt;1,AN145&lt;1),0,IF(ISERROR(AB145-AC145),"",AB145-AC145)))))))))))))</f>
        <v>0</v>
      </c>
      <c r="AK145" s="1835"/>
      <c r="AL145" s="1835"/>
      <c r="AM145" s="1216">
        <f>IF(Q145=0,0,IF(T145=0,0,IF(T145&gt;K145,0,IF(AND(AS145&gt;0.01,BK145=0),0,IF(AND('Proposed Lighting'!DG145=0,'Lighting Controls'!Z145=0.35),0,IF(AND(T145&lt;=K145,AA145&gt;=AD145,'Proposed Lighting'!AU145=2),VLOOKUP(Q145,$AY$9:$AZ$15,2,FALSE),IF(AND(T145&lt;=K145,AA145&gt;=AD145,'Proposed Lighting'!AU145=3),VLOOKUP(Q145,$AY$17:$AZ$23,2,FALSE))))))))</f>
        <v>0</v>
      </c>
      <c r="AN145" s="1248">
        <f>IF(T145=0,0,IF(K145&gt;'Proposed Lighting'!AA145,0,IF(AE145=0,0,IF(AND(AD145&gt;AA145,AA145&gt;0),0,IF(U145=0,0,Summary!AE448)))))</f>
        <v>0</v>
      </c>
      <c r="AO145" s="1248">
        <f t="shared" si="37"/>
        <v>0</v>
      </c>
      <c r="AP145" s="1249">
        <f>IF('Proposed Lighting'!AU145=1,0,IF(K145=0,0,IF(T145&gt;K145,0,IF(G145=0,0,IF(K145&gt;'Proposed Lighting'!AA145,0,IF(AND(AD145&gt;AA145,AA145&gt;0),0,IF(AND('Proposed Lighting'!AU145=3,AM145=0.5),0,IF(AND(AM145&gt;0,AS145&gt;0,BI145&lt;2),0,IF('Proposed Lighting'!CH145=100,0,IF(AV145=1,0,IF(AND(AM145=35,M145+N145&lt;2),0,AM145)))))))))))</f>
        <v>0</v>
      </c>
      <c r="AQ145" s="1249" t="str">
        <f>IFERROR(ROUND(IF(Q145="","",IF('Proposed Lighting'!$X$4=0,0,IF(AND(AM145=35,M145+N145&lt;2),0,IF(T145&gt;K145,0,IF('Proposed Lighting'!AU145=1,0,IF(AJ145=0,0,IF(AND('Proposed Lighting'!AU145=3,AM145=0.5),0,IF(AND(AD145=75,AP145=0,AV145=0),0,IF(AP145&gt;0.01,AP145*T145,IF(AND(F145&gt;1,W145&lt;0.01),0,IF(AND(F145&gt;1,AO145=0),0,IF(AND('Proposed Lighting'!BC145=22,AV145=0),0,IF(AND(AM145&gt;0,AS145&gt;0,BI145&lt;2),0,IF(AND(AS145&gt;0.01,BK145=0),0,IF(AND(AO145=TRUE,AV145=1,F145=3),MIN(AJ145*0.08,L145),IF(AP145&gt;0.01,AP145*T145,IF(AND(AO145=TRUE,AV145=1,F145=2),MIN(AJ145*0.1,L145)))))))))))))))))),2),"")</f>
        <v/>
      </c>
      <c r="AR145" s="1250">
        <f>IF(Q145=0,0,IF('Proposed Lighting'!$X$4=0,0,IF(AND(AM145&gt;0.01,AQ145&gt;0.01),0,IF('Proposed Lighting'!AU145=1,"Missing Interior or Exterior Selection",IF('Proposed Lighting'!CF145=1,"Selection does not match",IF(K145&gt;'Proposed Lighting'!AA145,"Quantity controlled does not match proposed lighting quantity",IF(T145&gt;K145,"Quantity of sensors exceeds proposed lighting quantity",IF(AND(F145&gt;1,'Proposed Lighting'!AU145&lt;&gt;F145),"Selection does not match",IF(AND(AD145&gt;AA145,AA145&gt;0),"Does not meet minimum connected load",IF(AND(O145&gt;0,AS145&gt;0,BK145&gt;0,'Proposed Lighting'!CH145=0),"Select Control Strategies",IF(AND(AC145&gt;0.1,AJ145=0,AQ145=0),"Does not meet incentive criteria",0)))))))))))</f>
        <v>0</v>
      </c>
      <c r="AS145" s="1224">
        <f>IF('Proposed Lighting'!CH145=100,0,IF(ISNUMBER(SEARCH("multiple",Q145)),1,0))</f>
        <v>0</v>
      </c>
      <c r="AT145" s="451">
        <f t="shared" si="34"/>
        <v>0</v>
      </c>
      <c r="AU145" s="451">
        <f t="shared" si="35"/>
        <v>0</v>
      </c>
      <c r="AV145" s="1222">
        <f>IF(ISNUMBER(SEARCH("Networked",'Proposed Lighting'!T145)),0,IF(ISNUMBER(SEARCH("Strategies",'Proposed Lighting'!T145)),0,IF(ISNUMBER(SEARCH("Removal",'Proposed Lighting'!T145)),0,IF(ISNUMBER(SEARCH("non-standard",Q145)),1,0))))</f>
        <v>0</v>
      </c>
      <c r="AW145" s="451">
        <f t="shared" ref="AW145:AW208" si="38">IF(AQ138&gt;0.01,AJ138,0)</f>
        <v>0</v>
      </c>
      <c r="AX145" s="451"/>
      <c r="AY145" s="451"/>
      <c r="AZ145" s="451"/>
      <c r="BA145" s="451"/>
      <c r="BB145" s="451"/>
      <c r="BC145" s="1215"/>
      <c r="BD145" s="1215"/>
      <c r="BE145" s="1215"/>
      <c r="BF145" s="1215"/>
      <c r="BG145" s="1215"/>
      <c r="BH145" s="1215"/>
      <c r="BI145">
        <f>IF(AND(AS145=1,BC145="No",BD145="Yes",BE145="Yes",BF145="No",BH145="No"),0,IF(AND('Proposed Lighting'!AU145=2,AS145=1,BC145="Yes",BD145="Yes"),2,IF(AND('Proposed Lighting'!AU145=2,AS145=1,BC145="Yes",BE145="Yes"),2,IF(AND('Proposed Lighting'!AU145=2,AS145=1,BC145="Yes",BF145="Yes"),2,IF(AND('Proposed Lighting'!AU145=2,AS145=1,BC145="Yes",BH145="Yes"),2,IF(AND('Proposed Lighting'!AU145=2,AS145=1,BD145="Yes",BF145="Yes"),2,IF(AND('Proposed Lighting'!AU145=2,AS145=1,BD145="Yes",BH145="Yes"),2,IF(AND('Proposed Lighting'!AU145=3,AS145=1,BC145="Yes",BE145="Yes"),2,IF(AND('Proposed Lighting'!AU145=3,AS145=1,BC145="Yes",BF145="Yes"),2,0)))))))))</f>
        <v>0</v>
      </c>
      <c r="BJ145" s="1025">
        <f t="shared" si="36"/>
        <v>0</v>
      </c>
      <c r="BK145">
        <f>IF(AND('Proposed Lighting'!BC145=22,'Lighting Controls'!N145=1),0,IF(ISNUMBER(SEARCH("LED",G145)),1,0))</f>
        <v>0</v>
      </c>
    </row>
    <row r="146" spans="1:63" ht="34.5" customHeight="1">
      <c r="A146" s="917">
        <v>138</v>
      </c>
      <c r="B146" s="1828" t="str">
        <f>IF('Proposed Lighting'!B146="","",'Proposed Lighting'!B146)</f>
        <v/>
      </c>
      <c r="C146" s="1828"/>
      <c r="D146" s="1828"/>
      <c r="E146" s="1245">
        <f>'Proposed Lighting'!AA146</f>
        <v>0</v>
      </c>
      <c r="F146" s="1245">
        <f t="shared" si="29"/>
        <v>0</v>
      </c>
      <c r="G146" s="1830" t="str">
        <f>IF('Proposed Lighting'!T146="","",IF(ISNUMBER(SEARCH("Networked",'Proposed Lighting'!T146)),0,IF(ISNUMBER(SEARCH("Strategies",'Proposed Lighting'!T146)),0,IF(ISNUMBER(SEARCH("Removal",'Proposed Lighting'!T146)),0,'Proposed Lighting'!T146))))</f>
        <v/>
      </c>
      <c r="H146" s="1830"/>
      <c r="I146" s="1830"/>
      <c r="J146" s="1830"/>
      <c r="K146" s="1215"/>
      <c r="L146" s="1246">
        <f t="shared" si="30"/>
        <v>0</v>
      </c>
      <c r="M146" s="1224">
        <f t="shared" si="31"/>
        <v>0</v>
      </c>
      <c r="N146" s="1224">
        <f t="shared" si="32"/>
        <v>0</v>
      </c>
      <c r="O146" s="1825" t="str">
        <f>IF(G146=0,0,IF(ISNA('Proposed Lighting'!AT146),0,'Proposed Lighting'!AT146))</f>
        <v/>
      </c>
      <c r="P146" s="1825"/>
      <c r="Q146" s="1247"/>
      <c r="R146" s="1247"/>
      <c r="S146" s="1247"/>
      <c r="T146" s="1211"/>
      <c r="U146" s="1235">
        <f>IF(K146&gt;0.01,'Proposed Lighting'!CU146,0)</f>
        <v>0</v>
      </c>
      <c r="V146" s="1248">
        <f>IF('Proposed Lighting'!CF146=1,0,IF('Proposed Lighting'!AU146=2,0,IF(AND('Proposed Lighting'!AU146=3,'Proposed Lighting'!CF146=0),1,0)))</f>
        <v>0</v>
      </c>
      <c r="W146" s="1836"/>
      <c r="X146" s="1836"/>
      <c r="Y146" s="1836"/>
      <c r="Z146" s="1230" t="str">
        <f t="shared" si="26"/>
        <v/>
      </c>
      <c r="AA146" s="1230">
        <f t="shared" si="27"/>
        <v>0</v>
      </c>
      <c r="AB146" s="1230">
        <f>IF(Q146=0,0,IF(T146=0,0,IF(AA146=0,0,IF(AND(F146=3,V146=0),0,IF(T146=0,0,IF(K146&gt;'Proposed Lighting'!AA146,0,IF('Proposed Lighting'!EJ146&gt;0.01,(K146*O146)*'Proposed Lighting'!EJ146/1000,(K146*O146)*U146/1000)))))))</f>
        <v>0</v>
      </c>
      <c r="AC146" s="1230" t="str">
        <f t="shared" si="33"/>
        <v/>
      </c>
      <c r="AD146" s="1230">
        <f t="shared" si="28"/>
        <v>0</v>
      </c>
      <c r="AE146" s="1230">
        <f>IF(T146=0,0,IF(K146&gt;'Proposed Lighting'!AA146,0,IF(T146&gt;K146,0,IF(AND(AD146&gt;AA146,AA146&gt;0),0,IF(AND(F146&gt;1,W146&lt;0.01),0,IF('Proposed Lighting'!AU146&gt;'Lighting Controls'!F146,0,IF('Proposed Lighting'!AU146&lt;'Lighting Controls'!F146,0,IF(U146=0,0,Summary!AC449))))))))</f>
        <v>0</v>
      </c>
      <c r="AF146" s="1230">
        <f>IF(T146=0,0,IF(AE146=0,0,IF(K146&gt;'Proposed Lighting'!AA146,0,IF(AND(AD146&gt;AA146,AA146&gt;0),0,IF(U146=0,0,Summary!AD449)))))</f>
        <v>0</v>
      </c>
      <c r="AG146" s="1834">
        <f>IF('Proposed Lighting'!AU146=1,0,IF('Proposed Lighting'!CF146=1,0,T146*W146))</f>
        <v>0</v>
      </c>
      <c r="AH146" s="1834"/>
      <c r="AI146" s="1834"/>
      <c r="AJ146" s="1835">
        <f>IF(T146&lt;1,0,IF(K146&gt;'Proposed Lighting'!AA146,0,IF('Proposed Lighting'!CF146=1,0,IF('Proposed Lighting'!AU146=1,0,IF(T146&gt;K146,0,IF(AND(AD146&gt;AA146,AA146&gt;0),0,IF(AND(F146=2,'Proposed Lighting'!AU146=3),0,IF(AND(F146=3,'Proposed Lighting'!AU146=2),0,IF('Proposed Lighting'!CH146=100,0,IF(AND(F146&lt;3,V146=1,AM146=0),0,IF(AND(F146&gt;1,AF146&lt;1,AN146&lt;1),0,IF(AND(F146&gt;1,AE146&lt;0.69,AF146&lt;1,AN146&lt;1),0,IF(ISERROR(AB146-AC146),"",AB146-AC146)))))))))))))</f>
        <v>0</v>
      </c>
      <c r="AK146" s="1835"/>
      <c r="AL146" s="1835"/>
      <c r="AM146" s="1216">
        <f>IF(Q146=0,0,IF(T146=0,0,IF(T146&gt;K146,0,IF(AND(AS146&gt;0.01,BK146=0),0,IF(AND('Proposed Lighting'!DG146=0,'Lighting Controls'!Z146=0.35),0,IF(AND(T146&lt;=K146,AA146&gt;=AD146,'Proposed Lighting'!AU146=2),VLOOKUP(Q146,$AY$9:$AZ$15,2,FALSE),IF(AND(T146&lt;=K146,AA146&gt;=AD146,'Proposed Lighting'!AU146=3),VLOOKUP(Q146,$AY$17:$AZ$23,2,FALSE))))))))</f>
        <v>0</v>
      </c>
      <c r="AN146" s="1248">
        <f>IF(T146=0,0,IF(K146&gt;'Proposed Lighting'!AA146,0,IF(AE146=0,0,IF(AND(AD146&gt;AA146,AA146&gt;0),0,IF(U146=0,0,Summary!AE449)))))</f>
        <v>0</v>
      </c>
      <c r="AO146" s="1248">
        <f t="shared" si="37"/>
        <v>0</v>
      </c>
      <c r="AP146" s="1249">
        <f>IF('Proposed Lighting'!AU146=1,0,IF(K146=0,0,IF(T146&gt;K146,0,IF(G146=0,0,IF(K146&gt;'Proposed Lighting'!AA146,0,IF(AND(AD146&gt;AA146,AA146&gt;0),0,IF(AND('Proposed Lighting'!AU146=3,AM146=0.5),0,IF(AND(AM146&gt;0,AS146&gt;0,BI146&lt;2),0,IF('Proposed Lighting'!CH146=100,0,IF(AV146=1,0,IF(AND(AM146=35,M146+N146&lt;2),0,AM146)))))))))))</f>
        <v>0</v>
      </c>
      <c r="AQ146" s="1249" t="str">
        <f>IFERROR(ROUND(IF(Q146="","",IF('Proposed Lighting'!$X$4=0,0,IF(AND(AM146=35,M146+N146&lt;2),0,IF(T146&gt;K146,0,IF('Proposed Lighting'!AU146=1,0,IF(AJ146=0,0,IF(AND('Proposed Lighting'!AU146=3,AM146=0.5),0,IF(AND(AD146=75,AP146=0,AV146=0),0,IF(AP146&gt;0.01,AP146*T146,IF(AND(F146&gt;1,W146&lt;0.01),0,IF(AND(F146&gt;1,AO146=0),0,IF(AND('Proposed Lighting'!BC146=22,AV146=0),0,IF(AND(AM146&gt;0,AS146&gt;0,BI146&lt;2),0,IF(AND(AS146&gt;0.01,BK146=0),0,IF(AND(AO146=TRUE,AV146=1,F146=3),MIN(AJ146*0.08,L146),IF(AP146&gt;0.01,AP146*T146,IF(AND(AO146=TRUE,AV146=1,F146=2),MIN(AJ146*0.1,L146)))))))))))))))))),2),"")</f>
        <v/>
      </c>
      <c r="AR146" s="1250">
        <f>IF(Q146=0,0,IF('Proposed Lighting'!$X$4=0,0,IF(AND(AM146&gt;0.01,AQ146&gt;0.01),0,IF('Proposed Lighting'!AU146=1,"Missing Interior or Exterior Selection",IF('Proposed Lighting'!CF146=1,"Selection does not match",IF(K146&gt;'Proposed Lighting'!AA146,"Quantity controlled does not match proposed lighting quantity",IF(T146&gt;K146,"Quantity of sensors exceeds proposed lighting quantity",IF(AND(F146&gt;1,'Proposed Lighting'!AU146&lt;&gt;F146),"Selection does not match",IF(AND(AD146&gt;AA146,AA146&gt;0),"Does not meet minimum connected load",IF(AND(O146&gt;0,AS146&gt;0,BK146&gt;0,'Proposed Lighting'!CH146=0),"Select Control Strategies",IF(AND(AC146&gt;0.1,AJ146=0,AQ146=0),"Does not meet incentive criteria",0)))))))))))</f>
        <v>0</v>
      </c>
      <c r="AS146" s="1224">
        <f>IF('Proposed Lighting'!CH146=100,0,IF(ISNUMBER(SEARCH("multiple",Q146)),1,0))</f>
        <v>0</v>
      </c>
      <c r="AT146" s="451">
        <f t="shared" si="34"/>
        <v>0</v>
      </c>
      <c r="AU146" s="451">
        <f t="shared" si="35"/>
        <v>0</v>
      </c>
      <c r="AV146" s="1222">
        <f>IF(ISNUMBER(SEARCH("Networked",'Proposed Lighting'!T146)),0,IF(ISNUMBER(SEARCH("Strategies",'Proposed Lighting'!T146)),0,IF(ISNUMBER(SEARCH("Removal",'Proposed Lighting'!T146)),0,IF(ISNUMBER(SEARCH("non-standard",Q146)),1,0))))</f>
        <v>0</v>
      </c>
      <c r="AW146" s="451">
        <f t="shared" si="38"/>
        <v>0</v>
      </c>
      <c r="AX146" s="451"/>
      <c r="AY146" s="451"/>
      <c r="AZ146" s="451"/>
      <c r="BA146" s="451"/>
      <c r="BB146" s="451"/>
      <c r="BC146" s="1215"/>
      <c r="BD146" s="1215"/>
      <c r="BE146" s="1215"/>
      <c r="BF146" s="1215"/>
      <c r="BG146" s="1215"/>
      <c r="BH146" s="1215"/>
      <c r="BI146">
        <f>IF(AND(AS146=1,BC146="No",BD146="Yes",BE146="Yes",BF146="No",BH146="No"),0,IF(AND('Proposed Lighting'!AU146=2,AS146=1,BC146="Yes",BD146="Yes"),2,IF(AND('Proposed Lighting'!AU146=2,AS146=1,BC146="Yes",BE146="Yes"),2,IF(AND('Proposed Lighting'!AU146=2,AS146=1,BC146="Yes",BF146="Yes"),2,IF(AND('Proposed Lighting'!AU146=2,AS146=1,BC146="Yes",BH146="Yes"),2,IF(AND('Proposed Lighting'!AU146=2,AS146=1,BD146="Yes",BF146="Yes"),2,IF(AND('Proposed Lighting'!AU146=2,AS146=1,BD146="Yes",BH146="Yes"),2,IF(AND('Proposed Lighting'!AU146=3,AS146=1,BC146="Yes",BE146="Yes"),2,IF(AND('Proposed Lighting'!AU146=3,AS146=1,BC146="Yes",BF146="Yes"),2,0)))))))))</f>
        <v>0</v>
      </c>
      <c r="BJ146" s="1025">
        <f t="shared" si="36"/>
        <v>0</v>
      </c>
      <c r="BK146">
        <f>IF(AND('Proposed Lighting'!BC146=22,'Lighting Controls'!N146=1),0,IF(ISNUMBER(SEARCH("LED",G146)),1,0))</f>
        <v>0</v>
      </c>
    </row>
    <row r="147" spans="1:63" ht="34.5" customHeight="1">
      <c r="A147" s="917">
        <v>139</v>
      </c>
      <c r="B147" s="1828" t="str">
        <f>IF('Proposed Lighting'!B147="","",'Proposed Lighting'!B147)</f>
        <v/>
      </c>
      <c r="C147" s="1828"/>
      <c r="D147" s="1828"/>
      <c r="E147" s="1245">
        <f>'Proposed Lighting'!AA147</f>
        <v>0</v>
      </c>
      <c r="F147" s="1245">
        <f t="shared" si="29"/>
        <v>0</v>
      </c>
      <c r="G147" s="1830" t="str">
        <f>IF('Proposed Lighting'!T147="","",IF(ISNUMBER(SEARCH("Networked",'Proposed Lighting'!T147)),0,IF(ISNUMBER(SEARCH("Strategies",'Proposed Lighting'!T147)),0,IF(ISNUMBER(SEARCH("Removal",'Proposed Lighting'!T147)),0,'Proposed Lighting'!T147))))</f>
        <v/>
      </c>
      <c r="H147" s="1830"/>
      <c r="I147" s="1830"/>
      <c r="J147" s="1830"/>
      <c r="K147" s="1215"/>
      <c r="L147" s="1246">
        <f t="shared" si="30"/>
        <v>0</v>
      </c>
      <c r="M147" s="1224">
        <f t="shared" si="31"/>
        <v>0</v>
      </c>
      <c r="N147" s="1224">
        <f t="shared" si="32"/>
        <v>0</v>
      </c>
      <c r="O147" s="1825" t="str">
        <f>IF(G147=0,0,IF(ISNA('Proposed Lighting'!AT147),0,'Proposed Lighting'!AT147))</f>
        <v/>
      </c>
      <c r="P147" s="1825"/>
      <c r="Q147" s="1247"/>
      <c r="R147" s="1247"/>
      <c r="S147" s="1247"/>
      <c r="T147" s="1211"/>
      <c r="U147" s="1235">
        <f>IF(K147&gt;0.01,'Proposed Lighting'!CU147,0)</f>
        <v>0</v>
      </c>
      <c r="V147" s="1248">
        <f>IF('Proposed Lighting'!CF147=1,0,IF('Proposed Lighting'!AU147=2,0,IF(AND('Proposed Lighting'!AU147=3,'Proposed Lighting'!CF147=0),1,0)))</f>
        <v>0</v>
      </c>
      <c r="W147" s="1836"/>
      <c r="X147" s="1836"/>
      <c r="Y147" s="1836"/>
      <c r="Z147" s="1230" t="str">
        <f t="shared" si="26"/>
        <v/>
      </c>
      <c r="AA147" s="1230">
        <f t="shared" si="27"/>
        <v>0</v>
      </c>
      <c r="AB147" s="1230">
        <f>IF(Q147=0,0,IF(T147=0,0,IF(AA147=0,0,IF(AND(F147=3,V147=0),0,IF(T147=0,0,IF(K147&gt;'Proposed Lighting'!AA147,0,IF('Proposed Lighting'!EJ147&gt;0.01,(K147*O147)*'Proposed Lighting'!EJ147/1000,(K147*O147)*U147/1000)))))))</f>
        <v>0</v>
      </c>
      <c r="AC147" s="1230" t="str">
        <f t="shared" si="33"/>
        <v/>
      </c>
      <c r="AD147" s="1230">
        <f t="shared" si="28"/>
        <v>0</v>
      </c>
      <c r="AE147" s="1230">
        <f>IF(T147=0,0,IF(K147&gt;'Proposed Lighting'!AA147,0,IF(T147&gt;K147,0,IF(AND(AD147&gt;AA147,AA147&gt;0),0,IF(AND(F147&gt;1,W147&lt;0.01),0,IF('Proposed Lighting'!AU147&gt;'Lighting Controls'!F147,0,IF('Proposed Lighting'!AU147&lt;'Lighting Controls'!F147,0,IF(U147=0,0,Summary!AC450))))))))</f>
        <v>0</v>
      </c>
      <c r="AF147" s="1230">
        <f>IF(T147=0,0,IF(AE147=0,0,IF(K147&gt;'Proposed Lighting'!AA147,0,IF(AND(AD147&gt;AA147,AA147&gt;0),0,IF(U147=0,0,Summary!AD450)))))</f>
        <v>0</v>
      </c>
      <c r="AG147" s="1834">
        <f>IF('Proposed Lighting'!AU147=1,0,IF('Proposed Lighting'!CF147=1,0,T147*W147))</f>
        <v>0</v>
      </c>
      <c r="AH147" s="1834"/>
      <c r="AI147" s="1834"/>
      <c r="AJ147" s="1835">
        <f>IF(T147&lt;1,0,IF(K147&gt;'Proposed Lighting'!AA147,0,IF('Proposed Lighting'!CF147=1,0,IF('Proposed Lighting'!AU147=1,0,IF(T147&gt;K147,0,IF(AND(AD147&gt;AA147,AA147&gt;0),0,IF(AND(F147=2,'Proposed Lighting'!AU147=3),0,IF(AND(F147=3,'Proposed Lighting'!AU147=2),0,IF('Proposed Lighting'!CH147=100,0,IF(AND(F147&lt;3,V147=1,AM147=0),0,IF(AND(F147&gt;1,AF147&lt;1,AN147&lt;1),0,IF(AND(F147&gt;1,AE147&lt;0.69,AF147&lt;1,AN147&lt;1),0,IF(ISERROR(AB147-AC147),"",AB147-AC147)))))))))))))</f>
        <v>0</v>
      </c>
      <c r="AK147" s="1835"/>
      <c r="AL147" s="1835"/>
      <c r="AM147" s="1216">
        <f>IF(Q147=0,0,IF(T147=0,0,IF(T147&gt;K147,0,IF(AND(AS147&gt;0.01,BK147=0),0,IF(AND('Proposed Lighting'!DG147=0,'Lighting Controls'!Z147=0.35),0,IF(AND(T147&lt;=K147,AA147&gt;=AD147,'Proposed Lighting'!AU147=2),VLOOKUP(Q147,$AY$9:$AZ$15,2,FALSE),IF(AND(T147&lt;=K147,AA147&gt;=AD147,'Proposed Lighting'!AU147=3),VLOOKUP(Q147,$AY$17:$AZ$23,2,FALSE))))))))</f>
        <v>0</v>
      </c>
      <c r="AN147" s="1248">
        <f>IF(T147=0,0,IF(K147&gt;'Proposed Lighting'!AA147,0,IF(AE147=0,0,IF(AND(AD147&gt;AA147,AA147&gt;0),0,IF(U147=0,0,Summary!AE450)))))</f>
        <v>0</v>
      </c>
      <c r="AO147" s="1248">
        <f t="shared" si="37"/>
        <v>0</v>
      </c>
      <c r="AP147" s="1249">
        <f>IF('Proposed Lighting'!AU147=1,0,IF(K147=0,0,IF(T147&gt;K147,0,IF(G147=0,0,IF(K147&gt;'Proposed Lighting'!AA147,0,IF(AND(AD147&gt;AA147,AA147&gt;0),0,IF(AND('Proposed Lighting'!AU147=3,AM147=0.5),0,IF(AND(AM147&gt;0,AS147&gt;0,BI147&lt;2),0,IF('Proposed Lighting'!CH147=100,0,IF(AV147=1,0,IF(AND(AM147=35,M147+N147&lt;2),0,AM147)))))))))))</f>
        <v>0</v>
      </c>
      <c r="AQ147" s="1249" t="str">
        <f>IFERROR(ROUND(IF(Q147="","",IF('Proposed Lighting'!$X$4=0,0,IF(AND(AM147=35,M147+N147&lt;2),0,IF(T147&gt;K147,0,IF('Proposed Lighting'!AU147=1,0,IF(AJ147=0,0,IF(AND('Proposed Lighting'!AU147=3,AM147=0.5),0,IF(AND(AD147=75,AP147=0,AV147=0),0,IF(AP147&gt;0.01,AP147*T147,IF(AND(F147&gt;1,W147&lt;0.01),0,IF(AND(F147&gt;1,AO147=0),0,IF(AND('Proposed Lighting'!BC147=22,AV147=0),0,IF(AND(AM147&gt;0,AS147&gt;0,BI147&lt;2),0,IF(AND(AS147&gt;0.01,BK147=0),0,IF(AND(AO147=TRUE,AV147=1,F147=3),MIN(AJ147*0.08,L147),IF(AP147&gt;0.01,AP147*T147,IF(AND(AO147=TRUE,AV147=1,F147=2),MIN(AJ147*0.1,L147)))))))))))))))))),2),"")</f>
        <v/>
      </c>
      <c r="AR147" s="1250">
        <f>IF(Q147=0,0,IF('Proposed Lighting'!$X$4=0,0,IF(AND(AM147&gt;0.01,AQ147&gt;0.01),0,IF('Proposed Lighting'!AU147=1,"Missing Interior or Exterior Selection",IF('Proposed Lighting'!CF147=1,"Selection does not match",IF(K147&gt;'Proposed Lighting'!AA147,"Quantity controlled does not match proposed lighting quantity",IF(T147&gt;K147,"Quantity of sensors exceeds proposed lighting quantity",IF(AND(F147&gt;1,'Proposed Lighting'!AU147&lt;&gt;F147),"Selection does not match",IF(AND(AD147&gt;AA147,AA147&gt;0),"Does not meet minimum connected load",IF(AND(O147&gt;0,AS147&gt;0,BK147&gt;0,'Proposed Lighting'!CH147=0),"Select Control Strategies",IF(AND(AC147&gt;0.1,AJ147=0,AQ147=0),"Does not meet incentive criteria",0)))))))))))</f>
        <v>0</v>
      </c>
      <c r="AS147" s="1224">
        <f>IF('Proposed Lighting'!CH147=100,0,IF(ISNUMBER(SEARCH("multiple",Q147)),1,0))</f>
        <v>0</v>
      </c>
      <c r="AT147" s="451">
        <f t="shared" si="34"/>
        <v>0</v>
      </c>
      <c r="AU147" s="451">
        <f t="shared" si="35"/>
        <v>0</v>
      </c>
      <c r="AV147" s="1222">
        <f>IF(ISNUMBER(SEARCH("Networked",'Proposed Lighting'!T147)),0,IF(ISNUMBER(SEARCH("Strategies",'Proposed Lighting'!T147)),0,IF(ISNUMBER(SEARCH("Removal",'Proposed Lighting'!T147)),0,IF(ISNUMBER(SEARCH("non-standard",Q147)),1,0))))</f>
        <v>0</v>
      </c>
      <c r="AW147" s="451">
        <f t="shared" si="38"/>
        <v>0</v>
      </c>
      <c r="AX147" s="451"/>
      <c r="AY147" s="451"/>
      <c r="AZ147" s="451"/>
      <c r="BA147" s="451"/>
      <c r="BB147" s="451"/>
      <c r="BC147" s="1215"/>
      <c r="BD147" s="1215"/>
      <c r="BE147" s="1215"/>
      <c r="BF147" s="1215"/>
      <c r="BG147" s="1215"/>
      <c r="BH147" s="1215"/>
      <c r="BI147">
        <f>IF(AND(AS147=1,BC147="No",BD147="Yes",BE147="Yes",BF147="No",BH147="No"),0,IF(AND('Proposed Lighting'!AU147=2,AS147=1,BC147="Yes",BD147="Yes"),2,IF(AND('Proposed Lighting'!AU147=2,AS147=1,BC147="Yes",BE147="Yes"),2,IF(AND('Proposed Lighting'!AU147=2,AS147=1,BC147="Yes",BF147="Yes"),2,IF(AND('Proposed Lighting'!AU147=2,AS147=1,BC147="Yes",BH147="Yes"),2,IF(AND('Proposed Lighting'!AU147=2,AS147=1,BD147="Yes",BF147="Yes"),2,IF(AND('Proposed Lighting'!AU147=2,AS147=1,BD147="Yes",BH147="Yes"),2,IF(AND('Proposed Lighting'!AU147=3,AS147=1,BC147="Yes",BE147="Yes"),2,IF(AND('Proposed Lighting'!AU147=3,AS147=1,BC147="Yes",BF147="Yes"),2,0)))))))))</f>
        <v>0</v>
      </c>
      <c r="BJ147" s="1025">
        <f t="shared" si="36"/>
        <v>0</v>
      </c>
      <c r="BK147">
        <f>IF(AND('Proposed Lighting'!BC147=22,'Lighting Controls'!N147=1),0,IF(ISNUMBER(SEARCH("LED",G147)),1,0))</f>
        <v>0</v>
      </c>
    </row>
    <row r="148" spans="1:63" ht="34.5" customHeight="1">
      <c r="A148" s="917">
        <v>140</v>
      </c>
      <c r="B148" s="1828" t="str">
        <f>IF('Proposed Lighting'!B148="","",'Proposed Lighting'!B148)</f>
        <v/>
      </c>
      <c r="C148" s="1828"/>
      <c r="D148" s="1828"/>
      <c r="E148" s="1245">
        <f>'Proposed Lighting'!AA148</f>
        <v>0</v>
      </c>
      <c r="F148" s="1245">
        <f t="shared" si="29"/>
        <v>0</v>
      </c>
      <c r="G148" s="1830" t="str">
        <f>IF('Proposed Lighting'!T148="","",IF(ISNUMBER(SEARCH("Networked",'Proposed Lighting'!T148)),0,IF(ISNUMBER(SEARCH("Strategies",'Proposed Lighting'!T148)),0,IF(ISNUMBER(SEARCH("Removal",'Proposed Lighting'!T148)),0,'Proposed Lighting'!T148))))</f>
        <v/>
      </c>
      <c r="H148" s="1830"/>
      <c r="I148" s="1830"/>
      <c r="J148" s="1830"/>
      <c r="K148" s="1215"/>
      <c r="L148" s="1246">
        <f t="shared" si="30"/>
        <v>0</v>
      </c>
      <c r="M148" s="1224">
        <f t="shared" si="31"/>
        <v>0</v>
      </c>
      <c r="N148" s="1224">
        <f t="shared" si="32"/>
        <v>0</v>
      </c>
      <c r="O148" s="1825" t="str">
        <f>IF(G148=0,0,IF(ISNA('Proposed Lighting'!AT148),0,'Proposed Lighting'!AT148))</f>
        <v/>
      </c>
      <c r="P148" s="1825"/>
      <c r="Q148" s="1247"/>
      <c r="R148" s="1247"/>
      <c r="S148" s="1247"/>
      <c r="T148" s="1211"/>
      <c r="U148" s="1235">
        <f>IF(K148&gt;0.01,'Proposed Lighting'!CU148,0)</f>
        <v>0</v>
      </c>
      <c r="V148" s="1248">
        <f>IF('Proposed Lighting'!CF148=1,0,IF('Proposed Lighting'!AU148=2,0,IF(AND('Proposed Lighting'!AU148=3,'Proposed Lighting'!CF148=0),1,0)))</f>
        <v>0</v>
      </c>
      <c r="W148" s="1836"/>
      <c r="X148" s="1836"/>
      <c r="Y148" s="1836"/>
      <c r="Z148" s="1230" t="str">
        <f t="shared" si="26"/>
        <v/>
      </c>
      <c r="AA148" s="1230">
        <f t="shared" si="27"/>
        <v>0</v>
      </c>
      <c r="AB148" s="1230">
        <f>IF(Q148=0,0,IF(T148=0,0,IF(AA148=0,0,IF(AND(F148=3,V148=0),0,IF(T148=0,0,IF(K148&gt;'Proposed Lighting'!AA148,0,IF('Proposed Lighting'!EJ148&gt;0.01,(K148*O148)*'Proposed Lighting'!EJ148/1000,(K148*O148)*U148/1000)))))))</f>
        <v>0</v>
      </c>
      <c r="AC148" s="1230" t="str">
        <f t="shared" si="33"/>
        <v/>
      </c>
      <c r="AD148" s="1230">
        <f t="shared" si="28"/>
        <v>0</v>
      </c>
      <c r="AE148" s="1230">
        <f>IF(T148=0,0,IF(K148&gt;'Proposed Lighting'!AA148,0,IF(T148&gt;K148,0,IF(AND(AD148&gt;AA148,AA148&gt;0),0,IF(AND(F148&gt;1,W148&lt;0.01),0,IF('Proposed Lighting'!AU148&gt;'Lighting Controls'!F148,0,IF('Proposed Lighting'!AU148&lt;'Lighting Controls'!F148,0,IF(U148=0,0,Summary!AC451))))))))</f>
        <v>0</v>
      </c>
      <c r="AF148" s="1230">
        <f>IF(T148=0,0,IF(AE148=0,0,IF(K148&gt;'Proposed Lighting'!AA148,0,IF(AND(AD148&gt;AA148,AA148&gt;0),0,IF(U148=0,0,Summary!AD451)))))</f>
        <v>0</v>
      </c>
      <c r="AG148" s="1834">
        <f>IF('Proposed Lighting'!AU148=1,0,IF('Proposed Lighting'!CF148=1,0,T148*W148))</f>
        <v>0</v>
      </c>
      <c r="AH148" s="1834"/>
      <c r="AI148" s="1834"/>
      <c r="AJ148" s="1835">
        <f>IF(T148&lt;1,0,IF(K148&gt;'Proposed Lighting'!AA148,0,IF('Proposed Lighting'!CF148=1,0,IF('Proposed Lighting'!AU148=1,0,IF(T148&gt;K148,0,IF(AND(AD148&gt;AA148,AA148&gt;0),0,IF(AND(F148=2,'Proposed Lighting'!AU148=3),0,IF(AND(F148=3,'Proposed Lighting'!AU148=2),0,IF('Proposed Lighting'!CH148=100,0,IF(AND(F148&lt;3,V148=1,AM148=0),0,IF(AND(F148&gt;1,AF148&lt;1,AN148&lt;1),0,IF(AND(F148&gt;1,AE148&lt;0.69,AF148&lt;1,AN148&lt;1),0,IF(ISERROR(AB148-AC148),"",AB148-AC148)))))))))))))</f>
        <v>0</v>
      </c>
      <c r="AK148" s="1835"/>
      <c r="AL148" s="1835"/>
      <c r="AM148" s="1216">
        <f>IF(Q148=0,0,IF(T148=0,0,IF(T148&gt;K148,0,IF(AND(AS148&gt;0.01,BK148=0),0,IF(AND('Proposed Lighting'!DG148=0,'Lighting Controls'!Z148=0.35),0,IF(AND(T148&lt;=K148,AA148&gt;=AD148,'Proposed Lighting'!AU148=2),VLOOKUP(Q148,$AY$9:$AZ$15,2,FALSE),IF(AND(T148&lt;=K148,AA148&gt;=AD148,'Proposed Lighting'!AU148=3),VLOOKUP(Q148,$AY$17:$AZ$23,2,FALSE))))))))</f>
        <v>0</v>
      </c>
      <c r="AN148" s="1248">
        <f>IF(T148=0,0,IF(K148&gt;'Proposed Lighting'!AA148,0,IF(AE148=0,0,IF(AND(AD148&gt;AA148,AA148&gt;0),0,IF(U148=0,0,Summary!AE451)))))</f>
        <v>0</v>
      </c>
      <c r="AO148" s="1248">
        <f t="shared" si="37"/>
        <v>0</v>
      </c>
      <c r="AP148" s="1249">
        <f>IF('Proposed Lighting'!AU148=1,0,IF(K148=0,0,IF(T148&gt;K148,0,IF(G148=0,0,IF(K148&gt;'Proposed Lighting'!AA148,0,IF(AND(AD148&gt;AA148,AA148&gt;0),0,IF(AND('Proposed Lighting'!AU148=3,AM148=0.5),0,IF(AND(AM148&gt;0,AS148&gt;0,BI148&lt;2),0,IF('Proposed Lighting'!CH148=100,0,IF(AV148=1,0,IF(AND(AM148=35,M148+N148&lt;2),0,AM148)))))))))))</f>
        <v>0</v>
      </c>
      <c r="AQ148" s="1249" t="str">
        <f>IFERROR(ROUND(IF(Q148="","",IF('Proposed Lighting'!$X$4=0,0,IF(AND(AM148=35,M148+N148&lt;2),0,IF(T148&gt;K148,0,IF('Proposed Lighting'!AU148=1,0,IF(AJ148=0,0,IF(AND('Proposed Lighting'!AU148=3,AM148=0.5),0,IF(AND(AD148=75,AP148=0,AV148=0),0,IF(AP148&gt;0.01,AP148*T148,IF(AND(F148&gt;1,W148&lt;0.01),0,IF(AND(F148&gt;1,AO148=0),0,IF(AND('Proposed Lighting'!BC148=22,AV148=0),0,IF(AND(AM148&gt;0,AS148&gt;0,BI148&lt;2),0,IF(AND(AS148&gt;0.01,BK148=0),0,IF(AND(AO148=TRUE,AV148=1,F148=3),MIN(AJ148*0.08,L148),IF(AP148&gt;0.01,AP148*T148,IF(AND(AO148=TRUE,AV148=1,F148=2),MIN(AJ148*0.1,L148)))))))))))))))))),2),"")</f>
        <v/>
      </c>
      <c r="AR148" s="1250">
        <f>IF(Q148=0,0,IF('Proposed Lighting'!$X$4=0,0,IF(AND(AM148&gt;0.01,AQ148&gt;0.01),0,IF('Proposed Lighting'!AU148=1,"Missing Interior or Exterior Selection",IF('Proposed Lighting'!CF148=1,"Selection does not match",IF(K148&gt;'Proposed Lighting'!AA148,"Quantity controlled does not match proposed lighting quantity",IF(T148&gt;K148,"Quantity of sensors exceeds proposed lighting quantity",IF(AND(F148&gt;1,'Proposed Lighting'!AU148&lt;&gt;F148),"Selection does not match",IF(AND(AD148&gt;AA148,AA148&gt;0),"Does not meet minimum connected load",IF(AND(O148&gt;0,AS148&gt;0,BK148&gt;0,'Proposed Lighting'!CH148=0),"Select Control Strategies",IF(AND(AC148&gt;0.1,AJ148=0,AQ148=0),"Does not meet incentive criteria",0)))))))))))</f>
        <v>0</v>
      </c>
      <c r="AS148" s="1224">
        <f>IF('Proposed Lighting'!CH148=100,0,IF(ISNUMBER(SEARCH("multiple",Q148)),1,0))</f>
        <v>0</v>
      </c>
      <c r="AT148" s="451">
        <f t="shared" si="34"/>
        <v>0</v>
      </c>
      <c r="AU148" s="451">
        <f t="shared" si="35"/>
        <v>0</v>
      </c>
      <c r="AV148" s="1222">
        <f>IF(ISNUMBER(SEARCH("Networked",'Proposed Lighting'!T148)),0,IF(ISNUMBER(SEARCH("Strategies",'Proposed Lighting'!T148)),0,IF(ISNUMBER(SEARCH("Removal",'Proposed Lighting'!T148)),0,IF(ISNUMBER(SEARCH("non-standard",Q148)),1,0))))</f>
        <v>0</v>
      </c>
      <c r="AW148" s="451">
        <f t="shared" si="38"/>
        <v>0</v>
      </c>
      <c r="AX148" s="451"/>
      <c r="AY148" s="451"/>
      <c r="AZ148" s="451"/>
      <c r="BA148" s="451"/>
      <c r="BB148" s="451"/>
      <c r="BC148" s="1215"/>
      <c r="BD148" s="1215"/>
      <c r="BE148" s="1215"/>
      <c r="BF148" s="1215"/>
      <c r="BG148" s="1215"/>
      <c r="BH148" s="1215"/>
      <c r="BI148">
        <f>IF(AND(AS148=1,BC148="No",BD148="Yes",BE148="Yes",BF148="No",BH148="No"),0,IF(AND('Proposed Lighting'!AU148=2,AS148=1,BC148="Yes",BD148="Yes"),2,IF(AND('Proposed Lighting'!AU148=2,AS148=1,BC148="Yes",BE148="Yes"),2,IF(AND('Proposed Lighting'!AU148=2,AS148=1,BC148="Yes",BF148="Yes"),2,IF(AND('Proposed Lighting'!AU148=2,AS148=1,BC148="Yes",BH148="Yes"),2,IF(AND('Proposed Lighting'!AU148=2,AS148=1,BD148="Yes",BF148="Yes"),2,IF(AND('Proposed Lighting'!AU148=2,AS148=1,BD148="Yes",BH148="Yes"),2,IF(AND('Proposed Lighting'!AU148=3,AS148=1,BC148="Yes",BE148="Yes"),2,IF(AND('Proposed Lighting'!AU148=3,AS148=1,BC148="Yes",BF148="Yes"),2,0)))))))))</f>
        <v>0</v>
      </c>
      <c r="BJ148" s="1025">
        <f t="shared" si="36"/>
        <v>0</v>
      </c>
      <c r="BK148">
        <f>IF(AND('Proposed Lighting'!BC148=22,'Lighting Controls'!N148=1),0,IF(ISNUMBER(SEARCH("LED",G148)),1,0))</f>
        <v>0</v>
      </c>
    </row>
    <row r="149" spans="1:63" ht="34.5" customHeight="1">
      <c r="A149" s="917">
        <v>141</v>
      </c>
      <c r="B149" s="1828" t="str">
        <f>IF('Proposed Lighting'!B149="","",'Proposed Lighting'!B149)</f>
        <v/>
      </c>
      <c r="C149" s="1828"/>
      <c r="D149" s="1828"/>
      <c r="E149" s="1245">
        <f>'Proposed Lighting'!AA149</f>
        <v>0</v>
      </c>
      <c r="F149" s="1245">
        <f t="shared" si="29"/>
        <v>0</v>
      </c>
      <c r="G149" s="1830" t="str">
        <f>IF('Proposed Lighting'!T149="","",IF(ISNUMBER(SEARCH("Networked",'Proposed Lighting'!T149)),0,IF(ISNUMBER(SEARCH("Strategies",'Proposed Lighting'!T149)),0,IF(ISNUMBER(SEARCH("Removal",'Proposed Lighting'!T149)),0,'Proposed Lighting'!T149))))</f>
        <v/>
      </c>
      <c r="H149" s="1830"/>
      <c r="I149" s="1830"/>
      <c r="J149" s="1830"/>
      <c r="K149" s="1215"/>
      <c r="L149" s="1246">
        <f t="shared" si="30"/>
        <v>0</v>
      </c>
      <c r="M149" s="1224">
        <f t="shared" si="31"/>
        <v>0</v>
      </c>
      <c r="N149" s="1224">
        <f t="shared" si="32"/>
        <v>0</v>
      </c>
      <c r="O149" s="1825" t="str">
        <f>IF(G149=0,0,IF(ISNA('Proposed Lighting'!AT149),0,'Proposed Lighting'!AT149))</f>
        <v/>
      </c>
      <c r="P149" s="1825"/>
      <c r="Q149" s="1247"/>
      <c r="R149" s="1247"/>
      <c r="S149" s="1247"/>
      <c r="T149" s="1211"/>
      <c r="U149" s="1235">
        <f>IF(K149&gt;0.01,'Proposed Lighting'!CU149,0)</f>
        <v>0</v>
      </c>
      <c r="V149" s="1248">
        <f>IF('Proposed Lighting'!CF149=1,0,IF('Proposed Lighting'!AU149=2,0,IF(AND('Proposed Lighting'!AU149=3,'Proposed Lighting'!CF149=0),1,0)))</f>
        <v>0</v>
      </c>
      <c r="W149" s="1836"/>
      <c r="X149" s="1836"/>
      <c r="Y149" s="1836"/>
      <c r="Z149" s="1230" t="str">
        <f t="shared" si="26"/>
        <v/>
      </c>
      <c r="AA149" s="1230">
        <f t="shared" si="27"/>
        <v>0</v>
      </c>
      <c r="AB149" s="1230">
        <f>IF(Q149=0,0,IF(T149=0,0,IF(AA149=0,0,IF(AND(F149=3,V149=0),0,IF(T149=0,0,IF(K149&gt;'Proposed Lighting'!AA149,0,IF('Proposed Lighting'!EJ149&gt;0.01,(K149*O149)*'Proposed Lighting'!EJ149/1000,(K149*O149)*U149/1000)))))))</f>
        <v>0</v>
      </c>
      <c r="AC149" s="1230" t="str">
        <f t="shared" si="33"/>
        <v/>
      </c>
      <c r="AD149" s="1230">
        <f t="shared" si="28"/>
        <v>0</v>
      </c>
      <c r="AE149" s="1230">
        <f>IF(T149=0,0,IF(K149&gt;'Proposed Lighting'!AA149,0,IF(T149&gt;K149,0,IF(AND(AD149&gt;AA149,AA149&gt;0),0,IF(AND(F149&gt;1,W149&lt;0.01),0,IF('Proposed Lighting'!AU149&gt;'Lighting Controls'!F149,0,IF('Proposed Lighting'!AU149&lt;'Lighting Controls'!F149,0,IF(U149=0,0,Summary!AC452))))))))</f>
        <v>0</v>
      </c>
      <c r="AF149" s="1230">
        <f>IF(T149=0,0,IF(AE149=0,0,IF(K149&gt;'Proposed Lighting'!AA149,0,IF(AND(AD149&gt;AA149,AA149&gt;0),0,IF(U149=0,0,Summary!AD452)))))</f>
        <v>0</v>
      </c>
      <c r="AG149" s="1834">
        <f>IF('Proposed Lighting'!AU149=1,0,IF('Proposed Lighting'!CF149=1,0,T149*W149))</f>
        <v>0</v>
      </c>
      <c r="AH149" s="1834"/>
      <c r="AI149" s="1834"/>
      <c r="AJ149" s="1835">
        <f>IF(T149&lt;1,0,IF(K149&gt;'Proposed Lighting'!AA149,0,IF('Proposed Lighting'!CF149=1,0,IF('Proposed Lighting'!AU149=1,0,IF(T149&gt;K149,0,IF(AND(AD149&gt;AA149,AA149&gt;0),0,IF(AND(F149=2,'Proposed Lighting'!AU149=3),0,IF(AND(F149=3,'Proposed Lighting'!AU149=2),0,IF('Proposed Lighting'!CH149=100,0,IF(AND(F149&lt;3,V149=1,AM149=0),0,IF(AND(F149&gt;1,AF149&lt;1,AN149&lt;1),0,IF(AND(F149&gt;1,AE149&lt;0.69,AF149&lt;1,AN149&lt;1),0,IF(ISERROR(AB149-AC149),"",AB149-AC149)))))))))))))</f>
        <v>0</v>
      </c>
      <c r="AK149" s="1835"/>
      <c r="AL149" s="1835"/>
      <c r="AM149" s="1216">
        <f>IF(Q149=0,0,IF(T149=0,0,IF(T149&gt;K149,0,IF(AND(AS149&gt;0.01,BK149=0),0,IF(AND('Proposed Lighting'!DG149=0,'Lighting Controls'!Z149=0.35),0,IF(AND(T149&lt;=K149,AA149&gt;=AD149,'Proposed Lighting'!AU149=2),VLOOKUP(Q149,$AY$9:$AZ$15,2,FALSE),IF(AND(T149&lt;=K149,AA149&gt;=AD149,'Proposed Lighting'!AU149=3),VLOOKUP(Q149,$AY$17:$AZ$23,2,FALSE))))))))</f>
        <v>0</v>
      </c>
      <c r="AN149" s="1248">
        <f>IF(T149=0,0,IF(K149&gt;'Proposed Lighting'!AA149,0,IF(AE149=0,0,IF(AND(AD149&gt;AA149,AA149&gt;0),0,IF(U149=0,0,Summary!AE452)))))</f>
        <v>0</v>
      </c>
      <c r="AO149" s="1248">
        <f t="shared" si="37"/>
        <v>0</v>
      </c>
      <c r="AP149" s="1249">
        <f>IF('Proposed Lighting'!AU149=1,0,IF(K149=0,0,IF(T149&gt;K149,0,IF(G149=0,0,IF(K149&gt;'Proposed Lighting'!AA149,0,IF(AND(AD149&gt;AA149,AA149&gt;0),0,IF(AND('Proposed Lighting'!AU149=3,AM149=0.5),0,IF(AND(AM149&gt;0,AS149&gt;0,BI149&lt;2),0,IF('Proposed Lighting'!CH149=100,0,IF(AV149=1,0,IF(AND(AM149=35,M149+N149&lt;2),0,AM149)))))))))))</f>
        <v>0</v>
      </c>
      <c r="AQ149" s="1249" t="str">
        <f>IFERROR(ROUND(IF(Q149="","",IF('Proposed Lighting'!$X$4=0,0,IF(AND(AM149=35,M149+N149&lt;2),0,IF(T149&gt;K149,0,IF('Proposed Lighting'!AU149=1,0,IF(AJ149=0,0,IF(AND('Proposed Lighting'!AU149=3,AM149=0.5),0,IF(AND(AD149=75,AP149=0,AV149=0),0,IF(AP149&gt;0.01,AP149*T149,IF(AND(F149&gt;1,W149&lt;0.01),0,IF(AND(F149&gt;1,AO149=0),0,IF(AND('Proposed Lighting'!BC149=22,AV149=0),0,IF(AND(AM149&gt;0,AS149&gt;0,BI149&lt;2),0,IF(AND(AS149&gt;0.01,BK149=0),0,IF(AND(AO149=TRUE,AV149=1,F149=3),MIN(AJ149*0.08,L149),IF(AP149&gt;0.01,AP149*T149,IF(AND(AO149=TRUE,AV149=1,F149=2),MIN(AJ149*0.1,L149)))))))))))))))))),2),"")</f>
        <v/>
      </c>
      <c r="AR149" s="1250">
        <f>IF(Q149=0,0,IF('Proposed Lighting'!$X$4=0,0,IF(AND(AM149&gt;0.01,AQ149&gt;0.01),0,IF('Proposed Lighting'!AU149=1,"Missing Interior or Exterior Selection",IF('Proposed Lighting'!CF149=1,"Selection does not match",IF(K149&gt;'Proposed Lighting'!AA149,"Quantity controlled does not match proposed lighting quantity",IF(T149&gt;K149,"Quantity of sensors exceeds proposed lighting quantity",IF(AND(F149&gt;1,'Proposed Lighting'!AU149&lt;&gt;F149),"Selection does not match",IF(AND(AD149&gt;AA149,AA149&gt;0),"Does not meet minimum connected load",IF(AND(O149&gt;0,AS149&gt;0,BK149&gt;0,'Proposed Lighting'!CH149=0),"Select Control Strategies",IF(AND(AC149&gt;0.1,AJ149=0,AQ149=0),"Does not meet incentive criteria",0)))))))))))</f>
        <v>0</v>
      </c>
      <c r="AS149" s="1224">
        <f>IF('Proposed Lighting'!CH149=100,0,IF(ISNUMBER(SEARCH("multiple",Q149)),1,0))</f>
        <v>0</v>
      </c>
      <c r="AT149" s="451">
        <f t="shared" si="34"/>
        <v>0</v>
      </c>
      <c r="AU149" s="451">
        <f t="shared" si="35"/>
        <v>0</v>
      </c>
      <c r="AV149" s="1222">
        <f>IF(ISNUMBER(SEARCH("Networked",'Proposed Lighting'!T149)),0,IF(ISNUMBER(SEARCH("Strategies",'Proposed Lighting'!T149)),0,IF(ISNUMBER(SEARCH("Removal",'Proposed Lighting'!T149)),0,IF(ISNUMBER(SEARCH("non-standard",Q149)),1,0))))</f>
        <v>0</v>
      </c>
      <c r="AW149" s="451">
        <f t="shared" si="38"/>
        <v>0</v>
      </c>
      <c r="AX149" s="451"/>
      <c r="AY149" s="451"/>
      <c r="AZ149" s="451"/>
      <c r="BA149" s="451"/>
      <c r="BB149" s="451"/>
      <c r="BC149" s="1215"/>
      <c r="BD149" s="1215"/>
      <c r="BE149" s="1215"/>
      <c r="BF149" s="1215"/>
      <c r="BG149" s="1215"/>
      <c r="BH149" s="1215"/>
      <c r="BI149">
        <f>IF(AND(AS149=1,BC149="No",BD149="Yes",BE149="Yes",BF149="No",BH149="No"),0,IF(AND('Proposed Lighting'!AU149=2,AS149=1,BC149="Yes",BD149="Yes"),2,IF(AND('Proposed Lighting'!AU149=2,AS149=1,BC149="Yes",BE149="Yes"),2,IF(AND('Proposed Lighting'!AU149=2,AS149=1,BC149="Yes",BF149="Yes"),2,IF(AND('Proposed Lighting'!AU149=2,AS149=1,BC149="Yes",BH149="Yes"),2,IF(AND('Proposed Lighting'!AU149=2,AS149=1,BD149="Yes",BF149="Yes"),2,IF(AND('Proposed Lighting'!AU149=2,AS149=1,BD149="Yes",BH149="Yes"),2,IF(AND('Proposed Lighting'!AU149=3,AS149=1,BC149="Yes",BE149="Yes"),2,IF(AND('Proposed Lighting'!AU149=3,AS149=1,BC149="Yes",BF149="Yes"),2,0)))))))))</f>
        <v>0</v>
      </c>
      <c r="BJ149" s="1025">
        <f t="shared" si="36"/>
        <v>0</v>
      </c>
      <c r="BK149">
        <f>IF(AND('Proposed Lighting'!BC149=22,'Lighting Controls'!N149=1),0,IF(ISNUMBER(SEARCH("LED",G149)),1,0))</f>
        <v>0</v>
      </c>
    </row>
    <row r="150" spans="1:63" ht="34.5" customHeight="1">
      <c r="A150" s="917">
        <v>142</v>
      </c>
      <c r="B150" s="1828" t="str">
        <f>IF('Proposed Lighting'!B150="","",'Proposed Lighting'!B150)</f>
        <v/>
      </c>
      <c r="C150" s="1828"/>
      <c r="D150" s="1828"/>
      <c r="E150" s="1245">
        <f>'Proposed Lighting'!AA150</f>
        <v>0</v>
      </c>
      <c r="F150" s="1245">
        <f t="shared" si="29"/>
        <v>0</v>
      </c>
      <c r="G150" s="1830" t="str">
        <f>IF('Proposed Lighting'!T150="","",IF(ISNUMBER(SEARCH("Networked",'Proposed Lighting'!T150)),0,IF(ISNUMBER(SEARCH("Strategies",'Proposed Lighting'!T150)),0,IF(ISNUMBER(SEARCH("Removal",'Proposed Lighting'!T150)),0,'Proposed Lighting'!T150))))</f>
        <v/>
      </c>
      <c r="H150" s="1830"/>
      <c r="I150" s="1830"/>
      <c r="J150" s="1830"/>
      <c r="K150" s="1215"/>
      <c r="L150" s="1246">
        <f t="shared" si="30"/>
        <v>0</v>
      </c>
      <c r="M150" s="1224">
        <f t="shared" si="31"/>
        <v>0</v>
      </c>
      <c r="N150" s="1224">
        <f t="shared" si="32"/>
        <v>0</v>
      </c>
      <c r="O150" s="1825" t="str">
        <f>IF(G150=0,0,IF(ISNA('Proposed Lighting'!AT150),0,'Proposed Lighting'!AT150))</f>
        <v/>
      </c>
      <c r="P150" s="1825"/>
      <c r="Q150" s="1247"/>
      <c r="R150" s="1247"/>
      <c r="S150" s="1247"/>
      <c r="T150" s="1211"/>
      <c r="U150" s="1235">
        <f>IF(K150&gt;0.01,'Proposed Lighting'!CU150,0)</f>
        <v>0</v>
      </c>
      <c r="V150" s="1248">
        <f>IF('Proposed Lighting'!CF150=1,0,IF('Proposed Lighting'!AU150=2,0,IF(AND('Proposed Lighting'!AU150=3,'Proposed Lighting'!CF150=0),1,0)))</f>
        <v>0</v>
      </c>
      <c r="W150" s="1836"/>
      <c r="X150" s="1836"/>
      <c r="Y150" s="1836"/>
      <c r="Z150" s="1230" t="str">
        <f t="shared" si="26"/>
        <v/>
      </c>
      <c r="AA150" s="1230">
        <f t="shared" si="27"/>
        <v>0</v>
      </c>
      <c r="AB150" s="1230">
        <f>IF(Q150=0,0,IF(T150=0,0,IF(AA150=0,0,IF(AND(F150=3,V150=0),0,IF(T150=0,0,IF(K150&gt;'Proposed Lighting'!AA150,0,IF('Proposed Lighting'!EJ150&gt;0.01,(K150*O150)*'Proposed Lighting'!EJ150/1000,(K150*O150)*U150/1000)))))))</f>
        <v>0</v>
      </c>
      <c r="AC150" s="1230" t="str">
        <f t="shared" si="33"/>
        <v/>
      </c>
      <c r="AD150" s="1230">
        <f t="shared" si="28"/>
        <v>0</v>
      </c>
      <c r="AE150" s="1230">
        <f>IF(T150=0,0,IF(K150&gt;'Proposed Lighting'!AA150,0,IF(T150&gt;K150,0,IF(AND(AD150&gt;AA150,AA150&gt;0),0,IF(AND(F150&gt;1,W150&lt;0.01),0,IF('Proposed Lighting'!AU150&gt;'Lighting Controls'!F150,0,IF('Proposed Lighting'!AU150&lt;'Lighting Controls'!F150,0,IF(U150=0,0,Summary!AC453))))))))</f>
        <v>0</v>
      </c>
      <c r="AF150" s="1230">
        <f>IF(T150=0,0,IF(AE150=0,0,IF(K150&gt;'Proposed Lighting'!AA150,0,IF(AND(AD150&gt;AA150,AA150&gt;0),0,IF(U150=0,0,Summary!AD453)))))</f>
        <v>0</v>
      </c>
      <c r="AG150" s="1834">
        <f>IF('Proposed Lighting'!AU150=1,0,IF('Proposed Lighting'!CF150=1,0,T150*W150))</f>
        <v>0</v>
      </c>
      <c r="AH150" s="1834"/>
      <c r="AI150" s="1834"/>
      <c r="AJ150" s="1835">
        <f>IF(T150&lt;1,0,IF(K150&gt;'Proposed Lighting'!AA150,0,IF('Proposed Lighting'!CF150=1,0,IF('Proposed Lighting'!AU150=1,0,IF(T150&gt;K150,0,IF(AND(AD150&gt;AA150,AA150&gt;0),0,IF(AND(F150=2,'Proposed Lighting'!AU150=3),0,IF(AND(F150=3,'Proposed Lighting'!AU150=2),0,IF('Proposed Lighting'!CH150=100,0,IF(AND(F150&lt;3,V150=1,AM150=0),0,IF(AND(F150&gt;1,AF150&lt;1,AN150&lt;1),0,IF(AND(F150&gt;1,AE150&lt;0.69,AF150&lt;1,AN150&lt;1),0,IF(ISERROR(AB150-AC150),"",AB150-AC150)))))))))))))</f>
        <v>0</v>
      </c>
      <c r="AK150" s="1835"/>
      <c r="AL150" s="1835"/>
      <c r="AM150" s="1216">
        <f>IF(Q150=0,0,IF(T150=0,0,IF(T150&gt;K150,0,IF(AND(AS150&gt;0.01,BK150=0),0,IF(AND('Proposed Lighting'!DG150=0,'Lighting Controls'!Z150=0.35),0,IF(AND(T150&lt;=K150,AA150&gt;=AD150,'Proposed Lighting'!AU150=2),VLOOKUP(Q150,$AY$9:$AZ$15,2,FALSE),IF(AND(T150&lt;=K150,AA150&gt;=AD150,'Proposed Lighting'!AU150=3),VLOOKUP(Q150,$AY$17:$AZ$23,2,FALSE))))))))</f>
        <v>0</v>
      </c>
      <c r="AN150" s="1248">
        <f>IF(T150=0,0,IF(K150&gt;'Proposed Lighting'!AA150,0,IF(AE150=0,0,IF(AND(AD150&gt;AA150,AA150&gt;0),0,IF(U150=0,0,Summary!AE453)))))</f>
        <v>0</v>
      </c>
      <c r="AO150" s="1248">
        <f t="shared" si="37"/>
        <v>0</v>
      </c>
      <c r="AP150" s="1249">
        <f>IF('Proposed Lighting'!AU150=1,0,IF(K150=0,0,IF(T150&gt;K150,0,IF(G150=0,0,IF(K150&gt;'Proposed Lighting'!AA150,0,IF(AND(AD150&gt;AA150,AA150&gt;0),0,IF(AND('Proposed Lighting'!AU150=3,AM150=0.5),0,IF(AND(AM150&gt;0,AS150&gt;0,BI150&lt;2),0,IF('Proposed Lighting'!CH150=100,0,IF(AV150=1,0,IF(AND(AM150=35,M150+N150&lt;2),0,AM150)))))))))))</f>
        <v>0</v>
      </c>
      <c r="AQ150" s="1249" t="str">
        <f>IFERROR(ROUND(IF(Q150="","",IF('Proposed Lighting'!$X$4=0,0,IF(AND(AM150=35,M150+N150&lt;2),0,IF(T150&gt;K150,0,IF('Proposed Lighting'!AU150=1,0,IF(AJ150=0,0,IF(AND('Proposed Lighting'!AU150=3,AM150=0.5),0,IF(AND(AD150=75,AP150=0,AV150=0),0,IF(AP150&gt;0.01,AP150*T150,IF(AND(F150&gt;1,W150&lt;0.01),0,IF(AND(F150&gt;1,AO150=0),0,IF(AND('Proposed Lighting'!BC150=22,AV150=0),0,IF(AND(AM150&gt;0,AS150&gt;0,BI150&lt;2),0,IF(AND(AS150&gt;0.01,BK150=0),0,IF(AND(AO150=TRUE,AV150=1,F150=3),MIN(AJ150*0.08,L150),IF(AP150&gt;0.01,AP150*T150,IF(AND(AO150=TRUE,AV150=1,F150=2),MIN(AJ150*0.1,L150)))))))))))))))))),2),"")</f>
        <v/>
      </c>
      <c r="AR150" s="1250">
        <f>IF(Q150=0,0,IF('Proposed Lighting'!$X$4=0,0,IF(AND(AM150&gt;0.01,AQ150&gt;0.01),0,IF('Proposed Lighting'!AU150=1,"Missing Interior or Exterior Selection",IF('Proposed Lighting'!CF150=1,"Selection does not match",IF(K150&gt;'Proposed Lighting'!AA150,"Quantity controlled does not match proposed lighting quantity",IF(T150&gt;K150,"Quantity of sensors exceeds proposed lighting quantity",IF(AND(F150&gt;1,'Proposed Lighting'!AU150&lt;&gt;F150),"Selection does not match",IF(AND(AD150&gt;AA150,AA150&gt;0),"Does not meet minimum connected load",IF(AND(O150&gt;0,AS150&gt;0,BK150&gt;0,'Proposed Lighting'!CH150=0),"Select Control Strategies",IF(AND(AC150&gt;0.1,AJ150=0,AQ150=0),"Does not meet incentive criteria",0)))))))))))</f>
        <v>0</v>
      </c>
      <c r="AS150" s="1224">
        <f>IF('Proposed Lighting'!CH150=100,0,IF(ISNUMBER(SEARCH("multiple",Q150)),1,0))</f>
        <v>0</v>
      </c>
      <c r="AT150" s="451">
        <f t="shared" si="34"/>
        <v>0</v>
      </c>
      <c r="AU150" s="451">
        <f t="shared" si="35"/>
        <v>0</v>
      </c>
      <c r="AV150" s="1222">
        <f>IF(ISNUMBER(SEARCH("Networked",'Proposed Lighting'!T150)),0,IF(ISNUMBER(SEARCH("Strategies",'Proposed Lighting'!T150)),0,IF(ISNUMBER(SEARCH("Removal",'Proposed Lighting'!T150)),0,IF(ISNUMBER(SEARCH("non-standard",Q150)),1,0))))</f>
        <v>0</v>
      </c>
      <c r="AW150" s="451">
        <f t="shared" si="38"/>
        <v>0</v>
      </c>
      <c r="AX150" s="451"/>
      <c r="AY150" s="451"/>
      <c r="AZ150" s="451"/>
      <c r="BA150" s="451"/>
      <c r="BB150" s="451"/>
      <c r="BC150" s="1215"/>
      <c r="BD150" s="1215"/>
      <c r="BE150" s="1215"/>
      <c r="BF150" s="1215"/>
      <c r="BG150" s="1215"/>
      <c r="BH150" s="1215"/>
      <c r="BI150">
        <f>IF(AND(AS150=1,BC150="No",BD150="Yes",BE150="Yes",BF150="No",BH150="No"),0,IF(AND('Proposed Lighting'!AU150=2,AS150=1,BC150="Yes",BD150="Yes"),2,IF(AND('Proposed Lighting'!AU150=2,AS150=1,BC150="Yes",BE150="Yes"),2,IF(AND('Proposed Lighting'!AU150=2,AS150=1,BC150="Yes",BF150="Yes"),2,IF(AND('Proposed Lighting'!AU150=2,AS150=1,BC150="Yes",BH150="Yes"),2,IF(AND('Proposed Lighting'!AU150=2,AS150=1,BD150="Yes",BF150="Yes"),2,IF(AND('Proposed Lighting'!AU150=2,AS150=1,BD150="Yes",BH150="Yes"),2,IF(AND('Proposed Lighting'!AU150=3,AS150=1,BC150="Yes",BE150="Yes"),2,IF(AND('Proposed Lighting'!AU150=3,AS150=1,BC150="Yes",BF150="Yes"),2,0)))))))))</f>
        <v>0</v>
      </c>
      <c r="BJ150" s="1025">
        <f t="shared" si="36"/>
        <v>0</v>
      </c>
      <c r="BK150">
        <f>IF(AND('Proposed Lighting'!BC150=22,'Lighting Controls'!N150=1),0,IF(ISNUMBER(SEARCH("LED",G150)),1,0))</f>
        <v>0</v>
      </c>
    </row>
    <row r="151" spans="1:63" ht="34.5" customHeight="1">
      <c r="A151" s="917">
        <v>143</v>
      </c>
      <c r="B151" s="1828" t="str">
        <f>IF('Proposed Lighting'!B151="","",'Proposed Lighting'!B151)</f>
        <v/>
      </c>
      <c r="C151" s="1828"/>
      <c r="D151" s="1828"/>
      <c r="E151" s="1245">
        <f>'Proposed Lighting'!AA151</f>
        <v>0</v>
      </c>
      <c r="F151" s="1245">
        <f t="shared" si="29"/>
        <v>0</v>
      </c>
      <c r="G151" s="1830" t="str">
        <f>IF('Proposed Lighting'!T151="","",IF(ISNUMBER(SEARCH("Networked",'Proposed Lighting'!T151)),0,IF(ISNUMBER(SEARCH("Strategies",'Proposed Lighting'!T151)),0,IF(ISNUMBER(SEARCH("Removal",'Proposed Lighting'!T151)),0,'Proposed Lighting'!T151))))</f>
        <v/>
      </c>
      <c r="H151" s="1830"/>
      <c r="I151" s="1830"/>
      <c r="J151" s="1830"/>
      <c r="K151" s="1215"/>
      <c r="L151" s="1246">
        <f t="shared" si="30"/>
        <v>0</v>
      </c>
      <c r="M151" s="1224">
        <f t="shared" si="31"/>
        <v>0</v>
      </c>
      <c r="N151" s="1224">
        <f t="shared" si="32"/>
        <v>0</v>
      </c>
      <c r="O151" s="1825" t="str">
        <f>IF(G151=0,0,IF(ISNA('Proposed Lighting'!AT151),0,'Proposed Lighting'!AT151))</f>
        <v/>
      </c>
      <c r="P151" s="1825"/>
      <c r="Q151" s="1247"/>
      <c r="R151" s="1247"/>
      <c r="S151" s="1247"/>
      <c r="T151" s="1211"/>
      <c r="U151" s="1235">
        <f>IF(K151&gt;0.01,'Proposed Lighting'!CU151,0)</f>
        <v>0</v>
      </c>
      <c r="V151" s="1248">
        <f>IF('Proposed Lighting'!CF151=1,0,IF('Proposed Lighting'!AU151=2,0,IF(AND('Proposed Lighting'!AU151=3,'Proposed Lighting'!CF151=0),1,0)))</f>
        <v>0</v>
      </c>
      <c r="W151" s="1836"/>
      <c r="X151" s="1836"/>
      <c r="Y151" s="1836"/>
      <c r="Z151" s="1230" t="str">
        <f t="shared" si="26"/>
        <v/>
      </c>
      <c r="AA151" s="1230">
        <f t="shared" si="27"/>
        <v>0</v>
      </c>
      <c r="AB151" s="1230">
        <f>IF(Q151=0,0,IF(T151=0,0,IF(AA151=0,0,IF(AND(F151=3,V151=0),0,IF(T151=0,0,IF(K151&gt;'Proposed Lighting'!AA151,0,IF('Proposed Lighting'!EJ151&gt;0.01,(K151*O151)*'Proposed Lighting'!EJ151/1000,(K151*O151)*U151/1000)))))))</f>
        <v>0</v>
      </c>
      <c r="AC151" s="1230" t="str">
        <f t="shared" si="33"/>
        <v/>
      </c>
      <c r="AD151" s="1230">
        <f t="shared" si="28"/>
        <v>0</v>
      </c>
      <c r="AE151" s="1230">
        <f>IF(T151=0,0,IF(K151&gt;'Proposed Lighting'!AA151,0,IF(T151&gt;K151,0,IF(AND(AD151&gt;AA151,AA151&gt;0),0,IF(AND(F151&gt;1,W151&lt;0.01),0,IF('Proposed Lighting'!AU151&gt;'Lighting Controls'!F151,0,IF('Proposed Lighting'!AU151&lt;'Lighting Controls'!F151,0,IF(U151=0,0,Summary!AC454))))))))</f>
        <v>0</v>
      </c>
      <c r="AF151" s="1230">
        <f>IF(T151=0,0,IF(AE151=0,0,IF(K151&gt;'Proposed Lighting'!AA151,0,IF(AND(AD151&gt;AA151,AA151&gt;0),0,IF(U151=0,0,Summary!AD454)))))</f>
        <v>0</v>
      </c>
      <c r="AG151" s="1834">
        <f>IF('Proposed Lighting'!AU151=1,0,IF('Proposed Lighting'!CF151=1,0,T151*W151))</f>
        <v>0</v>
      </c>
      <c r="AH151" s="1834"/>
      <c r="AI151" s="1834"/>
      <c r="AJ151" s="1835">
        <f>IF(T151&lt;1,0,IF(K151&gt;'Proposed Lighting'!AA151,0,IF('Proposed Lighting'!CF151=1,0,IF('Proposed Lighting'!AU151=1,0,IF(T151&gt;K151,0,IF(AND(AD151&gt;AA151,AA151&gt;0),0,IF(AND(F151=2,'Proposed Lighting'!AU151=3),0,IF(AND(F151=3,'Proposed Lighting'!AU151=2),0,IF('Proposed Lighting'!CH151=100,0,IF(AND(F151&lt;3,V151=1,AM151=0),0,IF(AND(F151&gt;1,AF151&lt;1,AN151&lt;1),0,IF(AND(F151&gt;1,AE151&lt;0.69,AF151&lt;1,AN151&lt;1),0,IF(ISERROR(AB151-AC151),"",AB151-AC151)))))))))))))</f>
        <v>0</v>
      </c>
      <c r="AK151" s="1835"/>
      <c r="AL151" s="1835"/>
      <c r="AM151" s="1216">
        <f>IF(Q151=0,0,IF(T151=0,0,IF(T151&gt;K151,0,IF(AND(AS151&gt;0.01,BK151=0),0,IF(AND('Proposed Lighting'!DG151=0,'Lighting Controls'!Z151=0.35),0,IF(AND(T151&lt;=K151,AA151&gt;=AD151,'Proposed Lighting'!AU151=2),VLOOKUP(Q151,$AY$9:$AZ$15,2,FALSE),IF(AND(T151&lt;=K151,AA151&gt;=AD151,'Proposed Lighting'!AU151=3),VLOOKUP(Q151,$AY$17:$AZ$23,2,FALSE))))))))</f>
        <v>0</v>
      </c>
      <c r="AN151" s="1248">
        <f>IF(T151=0,0,IF(K151&gt;'Proposed Lighting'!AA151,0,IF(AE151=0,0,IF(AND(AD151&gt;AA151,AA151&gt;0),0,IF(U151=0,0,Summary!AE454)))))</f>
        <v>0</v>
      </c>
      <c r="AO151" s="1248">
        <f t="shared" si="37"/>
        <v>0</v>
      </c>
      <c r="AP151" s="1249">
        <f>IF('Proposed Lighting'!AU151=1,0,IF(K151=0,0,IF(T151&gt;K151,0,IF(G151=0,0,IF(K151&gt;'Proposed Lighting'!AA151,0,IF(AND(AD151&gt;AA151,AA151&gt;0),0,IF(AND('Proposed Lighting'!AU151=3,AM151=0.5),0,IF(AND(AM151&gt;0,AS151&gt;0,BI151&lt;2),0,IF('Proposed Lighting'!CH151=100,0,IF(AV151=1,0,IF(AND(AM151=35,M151+N151&lt;2),0,AM151)))))))))))</f>
        <v>0</v>
      </c>
      <c r="AQ151" s="1249" t="str">
        <f>IFERROR(ROUND(IF(Q151="","",IF('Proposed Lighting'!$X$4=0,0,IF(AND(AM151=35,M151+N151&lt;2),0,IF(T151&gt;K151,0,IF('Proposed Lighting'!AU151=1,0,IF(AJ151=0,0,IF(AND('Proposed Lighting'!AU151=3,AM151=0.5),0,IF(AND(AD151=75,AP151=0,AV151=0),0,IF(AP151&gt;0.01,AP151*T151,IF(AND(F151&gt;1,W151&lt;0.01),0,IF(AND(F151&gt;1,AO151=0),0,IF(AND('Proposed Lighting'!BC151=22,AV151=0),0,IF(AND(AM151&gt;0,AS151&gt;0,BI151&lt;2),0,IF(AND(AS151&gt;0.01,BK151=0),0,IF(AND(AO151=TRUE,AV151=1,F151=3),MIN(AJ151*0.08,L151),IF(AP151&gt;0.01,AP151*T151,IF(AND(AO151=TRUE,AV151=1,F151=2),MIN(AJ151*0.1,L151)))))))))))))))))),2),"")</f>
        <v/>
      </c>
      <c r="AR151" s="1250">
        <f>IF(Q151=0,0,IF('Proposed Lighting'!$X$4=0,0,IF(AND(AM151&gt;0.01,AQ151&gt;0.01),0,IF('Proposed Lighting'!AU151=1,"Missing Interior or Exterior Selection",IF('Proposed Lighting'!CF151=1,"Selection does not match",IF(K151&gt;'Proposed Lighting'!AA151,"Quantity controlled does not match proposed lighting quantity",IF(T151&gt;K151,"Quantity of sensors exceeds proposed lighting quantity",IF(AND(F151&gt;1,'Proposed Lighting'!AU151&lt;&gt;F151),"Selection does not match",IF(AND(AD151&gt;AA151,AA151&gt;0),"Does not meet minimum connected load",IF(AND(O151&gt;0,AS151&gt;0,BK151&gt;0,'Proposed Lighting'!CH151=0),"Select Control Strategies",IF(AND(AC151&gt;0.1,AJ151=0,AQ151=0),"Does not meet incentive criteria",0)))))))))))</f>
        <v>0</v>
      </c>
      <c r="AS151" s="1224">
        <f>IF('Proposed Lighting'!CH151=100,0,IF(ISNUMBER(SEARCH("multiple",Q151)),1,0))</f>
        <v>0</v>
      </c>
      <c r="AT151" s="451">
        <f t="shared" si="34"/>
        <v>0</v>
      </c>
      <c r="AU151" s="451">
        <f t="shared" si="35"/>
        <v>0</v>
      </c>
      <c r="AV151" s="1222">
        <f>IF(ISNUMBER(SEARCH("Networked",'Proposed Lighting'!T151)),0,IF(ISNUMBER(SEARCH("Strategies",'Proposed Lighting'!T151)),0,IF(ISNUMBER(SEARCH("Removal",'Proposed Lighting'!T151)),0,IF(ISNUMBER(SEARCH("non-standard",Q151)),1,0))))</f>
        <v>0</v>
      </c>
      <c r="AW151" s="451">
        <f t="shared" si="38"/>
        <v>0</v>
      </c>
      <c r="AX151" s="451"/>
      <c r="AY151" s="451"/>
      <c r="AZ151" s="451"/>
      <c r="BA151" s="451"/>
      <c r="BB151" s="451"/>
      <c r="BC151" s="1215"/>
      <c r="BD151" s="1215"/>
      <c r="BE151" s="1215"/>
      <c r="BF151" s="1215"/>
      <c r="BG151" s="1215"/>
      <c r="BH151" s="1215"/>
      <c r="BI151">
        <f>IF(AND(AS151=1,BC151="No",BD151="Yes",BE151="Yes",BF151="No",BH151="No"),0,IF(AND('Proposed Lighting'!AU151=2,AS151=1,BC151="Yes",BD151="Yes"),2,IF(AND('Proposed Lighting'!AU151=2,AS151=1,BC151="Yes",BE151="Yes"),2,IF(AND('Proposed Lighting'!AU151=2,AS151=1,BC151="Yes",BF151="Yes"),2,IF(AND('Proposed Lighting'!AU151=2,AS151=1,BC151="Yes",BH151="Yes"),2,IF(AND('Proposed Lighting'!AU151=2,AS151=1,BD151="Yes",BF151="Yes"),2,IF(AND('Proposed Lighting'!AU151=2,AS151=1,BD151="Yes",BH151="Yes"),2,IF(AND('Proposed Lighting'!AU151=3,AS151=1,BC151="Yes",BE151="Yes"),2,IF(AND('Proposed Lighting'!AU151=3,AS151=1,BC151="Yes",BF151="Yes"),2,0)))))))))</f>
        <v>0</v>
      </c>
      <c r="BJ151" s="1025">
        <f t="shared" si="36"/>
        <v>0</v>
      </c>
      <c r="BK151">
        <f>IF(AND('Proposed Lighting'!BC151=22,'Lighting Controls'!N151=1),0,IF(ISNUMBER(SEARCH("LED",G151)),1,0))</f>
        <v>0</v>
      </c>
    </row>
    <row r="152" spans="1:63" ht="34.5" customHeight="1">
      <c r="A152" s="917">
        <v>144</v>
      </c>
      <c r="B152" s="1828" t="str">
        <f>IF('Proposed Lighting'!B152="","",'Proposed Lighting'!B152)</f>
        <v/>
      </c>
      <c r="C152" s="1828"/>
      <c r="D152" s="1828"/>
      <c r="E152" s="1245">
        <f>'Proposed Lighting'!AA152</f>
        <v>0</v>
      </c>
      <c r="F152" s="1245">
        <f t="shared" si="29"/>
        <v>0</v>
      </c>
      <c r="G152" s="1830" t="str">
        <f>IF('Proposed Lighting'!T152="","",IF(ISNUMBER(SEARCH("Networked",'Proposed Lighting'!T152)),0,IF(ISNUMBER(SEARCH("Strategies",'Proposed Lighting'!T152)),0,IF(ISNUMBER(SEARCH("Removal",'Proposed Lighting'!T152)),0,'Proposed Lighting'!T152))))</f>
        <v/>
      </c>
      <c r="H152" s="1830"/>
      <c r="I152" s="1830"/>
      <c r="J152" s="1830"/>
      <c r="K152" s="1215"/>
      <c r="L152" s="1246">
        <f t="shared" si="30"/>
        <v>0</v>
      </c>
      <c r="M152" s="1224">
        <f t="shared" si="31"/>
        <v>0</v>
      </c>
      <c r="N152" s="1224">
        <f t="shared" si="32"/>
        <v>0</v>
      </c>
      <c r="O152" s="1825" t="str">
        <f>IF(G152=0,0,IF(ISNA('Proposed Lighting'!AT152),0,'Proposed Lighting'!AT152))</f>
        <v/>
      </c>
      <c r="P152" s="1825"/>
      <c r="Q152" s="1247"/>
      <c r="R152" s="1247"/>
      <c r="S152" s="1247"/>
      <c r="T152" s="1211"/>
      <c r="U152" s="1235">
        <f>IF(K152&gt;0.01,'Proposed Lighting'!CU152,0)</f>
        <v>0</v>
      </c>
      <c r="V152" s="1248">
        <f>IF('Proposed Lighting'!CF152=1,0,IF('Proposed Lighting'!AU152=2,0,IF(AND('Proposed Lighting'!AU152=3,'Proposed Lighting'!CF152=0),1,0)))</f>
        <v>0</v>
      </c>
      <c r="W152" s="1836"/>
      <c r="X152" s="1836"/>
      <c r="Y152" s="1836"/>
      <c r="Z152" s="1230" t="str">
        <f t="shared" si="26"/>
        <v/>
      </c>
      <c r="AA152" s="1230">
        <f t="shared" si="27"/>
        <v>0</v>
      </c>
      <c r="AB152" s="1230">
        <f>IF(Q152=0,0,IF(T152=0,0,IF(AA152=0,0,IF(AND(F152=3,V152=0),0,IF(T152=0,0,IF(K152&gt;'Proposed Lighting'!AA152,0,IF('Proposed Lighting'!EJ152&gt;0.01,(K152*O152)*'Proposed Lighting'!EJ152/1000,(K152*O152)*U152/1000)))))))</f>
        <v>0</v>
      </c>
      <c r="AC152" s="1230" t="str">
        <f t="shared" si="33"/>
        <v/>
      </c>
      <c r="AD152" s="1230">
        <f t="shared" si="28"/>
        <v>0</v>
      </c>
      <c r="AE152" s="1230">
        <f>IF(T152=0,0,IF(K152&gt;'Proposed Lighting'!AA152,0,IF(T152&gt;K152,0,IF(AND(AD152&gt;AA152,AA152&gt;0),0,IF(AND(F152&gt;1,W152&lt;0.01),0,IF('Proposed Lighting'!AU152&gt;'Lighting Controls'!F152,0,IF('Proposed Lighting'!AU152&lt;'Lighting Controls'!F152,0,IF(U152=0,0,Summary!AC455))))))))</f>
        <v>0</v>
      </c>
      <c r="AF152" s="1230">
        <f>IF(T152=0,0,IF(AE152=0,0,IF(K152&gt;'Proposed Lighting'!AA152,0,IF(AND(AD152&gt;AA152,AA152&gt;0),0,IF(U152=0,0,Summary!AD455)))))</f>
        <v>0</v>
      </c>
      <c r="AG152" s="1834">
        <f>IF('Proposed Lighting'!AU152=1,0,IF('Proposed Lighting'!CF152=1,0,T152*W152))</f>
        <v>0</v>
      </c>
      <c r="AH152" s="1834"/>
      <c r="AI152" s="1834"/>
      <c r="AJ152" s="1835">
        <f>IF(T152&lt;1,0,IF(K152&gt;'Proposed Lighting'!AA152,0,IF('Proposed Lighting'!CF152=1,0,IF('Proposed Lighting'!AU152=1,0,IF(T152&gt;K152,0,IF(AND(AD152&gt;AA152,AA152&gt;0),0,IF(AND(F152=2,'Proposed Lighting'!AU152=3),0,IF(AND(F152=3,'Proposed Lighting'!AU152=2),0,IF('Proposed Lighting'!CH152=100,0,IF(AND(F152&lt;3,V152=1,AM152=0),0,IF(AND(F152&gt;1,AF152&lt;1,AN152&lt;1),0,IF(AND(F152&gt;1,AE152&lt;0.69,AF152&lt;1,AN152&lt;1),0,IF(ISERROR(AB152-AC152),"",AB152-AC152)))))))))))))</f>
        <v>0</v>
      </c>
      <c r="AK152" s="1835"/>
      <c r="AL152" s="1835"/>
      <c r="AM152" s="1216">
        <f>IF(Q152=0,0,IF(T152=0,0,IF(T152&gt;K152,0,IF(AND(AS152&gt;0.01,BK152=0),0,IF(AND('Proposed Lighting'!DG152=0,'Lighting Controls'!Z152=0.35),0,IF(AND(T152&lt;=K152,AA152&gt;=AD152,'Proposed Lighting'!AU152=2),VLOOKUP(Q152,$AY$9:$AZ$15,2,FALSE),IF(AND(T152&lt;=K152,AA152&gt;=AD152,'Proposed Lighting'!AU152=3),VLOOKUP(Q152,$AY$17:$AZ$23,2,FALSE))))))))</f>
        <v>0</v>
      </c>
      <c r="AN152" s="1248">
        <f>IF(T152=0,0,IF(K152&gt;'Proposed Lighting'!AA152,0,IF(AE152=0,0,IF(AND(AD152&gt;AA152,AA152&gt;0),0,IF(U152=0,0,Summary!AE455)))))</f>
        <v>0</v>
      </c>
      <c r="AO152" s="1248">
        <f t="shared" si="37"/>
        <v>0</v>
      </c>
      <c r="AP152" s="1249">
        <f>IF('Proposed Lighting'!AU152=1,0,IF(K152=0,0,IF(T152&gt;K152,0,IF(G152=0,0,IF(K152&gt;'Proposed Lighting'!AA152,0,IF(AND(AD152&gt;AA152,AA152&gt;0),0,IF(AND('Proposed Lighting'!AU152=3,AM152=0.5),0,IF(AND(AM152&gt;0,AS152&gt;0,BI152&lt;2),0,IF('Proposed Lighting'!CH152=100,0,IF(AV152=1,0,IF(AND(AM152=35,M152+N152&lt;2),0,AM152)))))))))))</f>
        <v>0</v>
      </c>
      <c r="AQ152" s="1249" t="str">
        <f>IFERROR(ROUND(IF(Q152="","",IF('Proposed Lighting'!$X$4=0,0,IF(AND(AM152=35,M152+N152&lt;2),0,IF(T152&gt;K152,0,IF('Proposed Lighting'!AU152=1,0,IF(AJ152=0,0,IF(AND('Proposed Lighting'!AU152=3,AM152=0.5),0,IF(AND(AD152=75,AP152=0,AV152=0),0,IF(AP152&gt;0.01,AP152*T152,IF(AND(F152&gt;1,W152&lt;0.01),0,IF(AND(F152&gt;1,AO152=0),0,IF(AND('Proposed Lighting'!BC152=22,AV152=0),0,IF(AND(AM152&gt;0,AS152&gt;0,BI152&lt;2),0,IF(AND(AS152&gt;0.01,BK152=0),0,IF(AND(AO152=TRUE,AV152=1,F152=3),MIN(AJ152*0.08,L152),IF(AP152&gt;0.01,AP152*T152,IF(AND(AO152=TRUE,AV152=1,F152=2),MIN(AJ152*0.1,L152)))))))))))))))))),2),"")</f>
        <v/>
      </c>
      <c r="AR152" s="1250">
        <f>IF(Q152=0,0,IF('Proposed Lighting'!$X$4=0,0,IF(AND(AM152&gt;0.01,AQ152&gt;0.01),0,IF('Proposed Lighting'!AU152=1,"Missing Interior or Exterior Selection",IF('Proposed Lighting'!CF152=1,"Selection does not match",IF(K152&gt;'Proposed Lighting'!AA152,"Quantity controlled does not match proposed lighting quantity",IF(T152&gt;K152,"Quantity of sensors exceeds proposed lighting quantity",IF(AND(F152&gt;1,'Proposed Lighting'!AU152&lt;&gt;F152),"Selection does not match",IF(AND(AD152&gt;AA152,AA152&gt;0),"Does not meet minimum connected load",IF(AND(O152&gt;0,AS152&gt;0,BK152&gt;0,'Proposed Lighting'!CH152=0),"Select Control Strategies",IF(AND(AC152&gt;0.1,AJ152=0,AQ152=0),"Does not meet incentive criteria",0)))))))))))</f>
        <v>0</v>
      </c>
      <c r="AS152" s="1224">
        <f>IF('Proposed Lighting'!CH152=100,0,IF(ISNUMBER(SEARCH("multiple",Q152)),1,0))</f>
        <v>0</v>
      </c>
      <c r="AT152" s="451">
        <f t="shared" si="34"/>
        <v>0</v>
      </c>
      <c r="AU152" s="451">
        <f t="shared" si="35"/>
        <v>0</v>
      </c>
      <c r="AV152" s="1222">
        <f>IF(ISNUMBER(SEARCH("Networked",'Proposed Lighting'!T152)),0,IF(ISNUMBER(SEARCH("Strategies",'Proposed Lighting'!T152)),0,IF(ISNUMBER(SEARCH("Removal",'Proposed Lighting'!T152)),0,IF(ISNUMBER(SEARCH("non-standard",Q152)),1,0))))</f>
        <v>0</v>
      </c>
      <c r="AW152" s="451">
        <f t="shared" si="38"/>
        <v>0</v>
      </c>
      <c r="AX152" s="451"/>
      <c r="AY152" s="451"/>
      <c r="AZ152" s="451"/>
      <c r="BA152" s="451"/>
      <c r="BB152" s="451"/>
      <c r="BC152" s="1215"/>
      <c r="BD152" s="1215"/>
      <c r="BE152" s="1215"/>
      <c r="BF152" s="1215"/>
      <c r="BG152" s="1215"/>
      <c r="BH152" s="1215"/>
      <c r="BI152">
        <f>IF(AND(AS152=1,BC152="No",BD152="Yes",BE152="Yes",BF152="No",BH152="No"),0,IF(AND('Proposed Lighting'!AU152=2,AS152=1,BC152="Yes",BD152="Yes"),2,IF(AND('Proposed Lighting'!AU152=2,AS152=1,BC152="Yes",BE152="Yes"),2,IF(AND('Proposed Lighting'!AU152=2,AS152=1,BC152="Yes",BF152="Yes"),2,IF(AND('Proposed Lighting'!AU152=2,AS152=1,BC152="Yes",BH152="Yes"),2,IF(AND('Proposed Lighting'!AU152=2,AS152=1,BD152="Yes",BF152="Yes"),2,IF(AND('Proposed Lighting'!AU152=2,AS152=1,BD152="Yes",BH152="Yes"),2,IF(AND('Proposed Lighting'!AU152=3,AS152=1,BC152="Yes",BE152="Yes"),2,IF(AND('Proposed Lighting'!AU152=3,AS152=1,BC152="Yes",BF152="Yes"),2,0)))))))))</f>
        <v>0</v>
      </c>
      <c r="BJ152" s="1025">
        <f t="shared" si="36"/>
        <v>0</v>
      </c>
      <c r="BK152">
        <f>IF(AND('Proposed Lighting'!BC152=22,'Lighting Controls'!N152=1),0,IF(ISNUMBER(SEARCH("LED",G152)),1,0))</f>
        <v>0</v>
      </c>
    </row>
    <row r="153" spans="1:63" ht="34.5" customHeight="1">
      <c r="A153" s="917">
        <v>145</v>
      </c>
      <c r="B153" s="1828" t="str">
        <f>IF('Proposed Lighting'!B153="","",'Proposed Lighting'!B153)</f>
        <v/>
      </c>
      <c r="C153" s="1828"/>
      <c r="D153" s="1828"/>
      <c r="E153" s="1245">
        <f>'Proposed Lighting'!AA153</f>
        <v>0</v>
      </c>
      <c r="F153" s="1245">
        <f t="shared" si="29"/>
        <v>0</v>
      </c>
      <c r="G153" s="1830" t="str">
        <f>IF('Proposed Lighting'!T153="","",IF(ISNUMBER(SEARCH("Networked",'Proposed Lighting'!T153)),0,IF(ISNUMBER(SEARCH("Strategies",'Proposed Lighting'!T153)),0,IF(ISNUMBER(SEARCH("Removal",'Proposed Lighting'!T153)),0,'Proposed Lighting'!T153))))</f>
        <v/>
      </c>
      <c r="H153" s="1830"/>
      <c r="I153" s="1830"/>
      <c r="J153" s="1830"/>
      <c r="K153" s="1215"/>
      <c r="L153" s="1246">
        <f t="shared" si="30"/>
        <v>0</v>
      </c>
      <c r="M153" s="1224">
        <f t="shared" si="31"/>
        <v>0</v>
      </c>
      <c r="N153" s="1224">
        <f t="shared" si="32"/>
        <v>0</v>
      </c>
      <c r="O153" s="1825" t="str">
        <f>IF(G153=0,0,IF(ISNA('Proposed Lighting'!AT153),0,'Proposed Lighting'!AT153))</f>
        <v/>
      </c>
      <c r="P153" s="1825"/>
      <c r="Q153" s="1247"/>
      <c r="R153" s="1247"/>
      <c r="S153" s="1247"/>
      <c r="T153" s="1211"/>
      <c r="U153" s="1235">
        <f>IF(K153&gt;0.01,'Proposed Lighting'!CU153,0)</f>
        <v>0</v>
      </c>
      <c r="V153" s="1248">
        <f>IF('Proposed Lighting'!CF153=1,0,IF('Proposed Lighting'!AU153=2,0,IF(AND('Proposed Lighting'!AU153=3,'Proposed Lighting'!CF153=0),1,0)))</f>
        <v>0</v>
      </c>
      <c r="W153" s="1836"/>
      <c r="X153" s="1836"/>
      <c r="Y153" s="1836"/>
      <c r="Z153" s="1230" t="str">
        <f t="shared" si="26"/>
        <v/>
      </c>
      <c r="AA153" s="1230">
        <f t="shared" si="27"/>
        <v>0</v>
      </c>
      <c r="AB153" s="1230">
        <f>IF(Q153=0,0,IF(T153=0,0,IF(AA153=0,0,IF(AND(F153=3,V153=0),0,IF(T153=0,0,IF(K153&gt;'Proposed Lighting'!AA153,0,IF('Proposed Lighting'!EJ153&gt;0.01,(K153*O153)*'Proposed Lighting'!EJ153/1000,(K153*O153)*U153/1000)))))))</f>
        <v>0</v>
      </c>
      <c r="AC153" s="1230" t="str">
        <f t="shared" si="33"/>
        <v/>
      </c>
      <c r="AD153" s="1230">
        <f t="shared" si="28"/>
        <v>0</v>
      </c>
      <c r="AE153" s="1230">
        <f>IF(T153=0,0,IF(K153&gt;'Proposed Lighting'!AA153,0,IF(T153&gt;K153,0,IF(AND(AD153&gt;AA153,AA153&gt;0),0,IF(AND(F153&gt;1,W153&lt;0.01),0,IF('Proposed Lighting'!AU153&gt;'Lighting Controls'!F153,0,IF('Proposed Lighting'!AU153&lt;'Lighting Controls'!F153,0,IF(U153=0,0,Summary!AC456))))))))</f>
        <v>0</v>
      </c>
      <c r="AF153" s="1230">
        <f>IF(T153=0,0,IF(AE153=0,0,IF(K153&gt;'Proposed Lighting'!AA153,0,IF(AND(AD153&gt;AA153,AA153&gt;0),0,IF(U153=0,0,Summary!AD456)))))</f>
        <v>0</v>
      </c>
      <c r="AG153" s="1834">
        <f>IF('Proposed Lighting'!AU153=1,0,IF('Proposed Lighting'!CF153=1,0,T153*W153))</f>
        <v>0</v>
      </c>
      <c r="AH153" s="1834"/>
      <c r="AI153" s="1834"/>
      <c r="AJ153" s="1835">
        <f>IF(T153&lt;1,0,IF(K153&gt;'Proposed Lighting'!AA153,0,IF('Proposed Lighting'!CF153=1,0,IF('Proposed Lighting'!AU153=1,0,IF(T153&gt;K153,0,IF(AND(AD153&gt;AA153,AA153&gt;0),0,IF(AND(F153=2,'Proposed Lighting'!AU153=3),0,IF(AND(F153=3,'Proposed Lighting'!AU153=2),0,IF('Proposed Lighting'!CH153=100,0,IF(AND(F153&lt;3,V153=1,AM153=0),0,IF(AND(F153&gt;1,AF153&lt;1,AN153&lt;1),0,IF(AND(F153&gt;1,AE153&lt;0.69,AF153&lt;1,AN153&lt;1),0,IF(ISERROR(AB153-AC153),"",AB153-AC153)))))))))))))</f>
        <v>0</v>
      </c>
      <c r="AK153" s="1835"/>
      <c r="AL153" s="1835"/>
      <c r="AM153" s="1216">
        <f>IF(Q153=0,0,IF(T153=0,0,IF(T153&gt;K153,0,IF(AND(AS153&gt;0.01,BK153=0),0,IF(AND('Proposed Lighting'!DG153=0,'Lighting Controls'!Z153=0.35),0,IF(AND(T153&lt;=K153,AA153&gt;=AD153,'Proposed Lighting'!AU153=2),VLOOKUP(Q153,$AY$9:$AZ$15,2,FALSE),IF(AND(T153&lt;=K153,AA153&gt;=AD153,'Proposed Lighting'!AU153=3),VLOOKUP(Q153,$AY$17:$AZ$23,2,FALSE))))))))</f>
        <v>0</v>
      </c>
      <c r="AN153" s="1248">
        <f>IF(T153=0,0,IF(K153&gt;'Proposed Lighting'!AA153,0,IF(AE153=0,0,IF(AND(AD153&gt;AA153,AA153&gt;0),0,IF(U153=0,0,Summary!AE456)))))</f>
        <v>0</v>
      </c>
      <c r="AO153" s="1248">
        <f t="shared" si="37"/>
        <v>0</v>
      </c>
      <c r="AP153" s="1249">
        <f>IF('Proposed Lighting'!AU153=1,0,IF(K153=0,0,IF(T153&gt;K153,0,IF(G153=0,0,IF(K153&gt;'Proposed Lighting'!AA153,0,IF(AND(AD153&gt;AA153,AA153&gt;0),0,IF(AND('Proposed Lighting'!AU153=3,AM153=0.5),0,IF(AND(AM153&gt;0,AS153&gt;0,BI153&lt;2),0,IF('Proposed Lighting'!CH153=100,0,IF(AV153=1,0,IF(AND(AM153=35,M153+N153&lt;2),0,AM153)))))))))))</f>
        <v>0</v>
      </c>
      <c r="AQ153" s="1249" t="str">
        <f>IFERROR(ROUND(IF(Q153="","",IF('Proposed Lighting'!$X$4=0,0,IF(AND(AM153=35,M153+N153&lt;2),0,IF(T153&gt;K153,0,IF('Proposed Lighting'!AU153=1,0,IF(AJ153=0,0,IF(AND('Proposed Lighting'!AU153=3,AM153=0.5),0,IF(AND(AD153=75,AP153=0,AV153=0),0,IF(AP153&gt;0.01,AP153*T153,IF(AND(F153&gt;1,W153&lt;0.01),0,IF(AND(F153&gt;1,AO153=0),0,IF(AND('Proposed Lighting'!BC153=22,AV153=0),0,IF(AND(AM153&gt;0,AS153&gt;0,BI153&lt;2),0,IF(AND(AS153&gt;0.01,BK153=0),0,IF(AND(AO153=TRUE,AV153=1,F153=3),MIN(AJ153*0.08,L153),IF(AP153&gt;0.01,AP153*T153,IF(AND(AO153=TRUE,AV153=1,F153=2),MIN(AJ153*0.1,L153)))))))))))))))))),2),"")</f>
        <v/>
      </c>
      <c r="AR153" s="1250">
        <f>IF(Q153=0,0,IF('Proposed Lighting'!$X$4=0,0,IF(AND(AM153&gt;0.01,AQ153&gt;0.01),0,IF('Proposed Lighting'!AU153=1,"Missing Interior or Exterior Selection",IF('Proposed Lighting'!CF153=1,"Selection does not match",IF(K153&gt;'Proposed Lighting'!AA153,"Quantity controlled does not match proposed lighting quantity",IF(T153&gt;K153,"Quantity of sensors exceeds proposed lighting quantity",IF(AND(F153&gt;1,'Proposed Lighting'!AU153&lt;&gt;F153),"Selection does not match",IF(AND(AD153&gt;AA153,AA153&gt;0),"Does not meet minimum connected load",IF(AND(O153&gt;0,AS153&gt;0,BK153&gt;0,'Proposed Lighting'!CH153=0),"Select Control Strategies",IF(AND(AC153&gt;0.1,AJ153=0,AQ153=0),"Does not meet incentive criteria",0)))))))))))</f>
        <v>0</v>
      </c>
      <c r="AS153" s="1224">
        <f>IF('Proposed Lighting'!CH153=100,0,IF(ISNUMBER(SEARCH("multiple",Q153)),1,0))</f>
        <v>0</v>
      </c>
      <c r="AT153" s="451">
        <f t="shared" si="34"/>
        <v>0</v>
      </c>
      <c r="AU153" s="451">
        <f t="shared" si="35"/>
        <v>0</v>
      </c>
      <c r="AV153" s="1222">
        <f>IF(ISNUMBER(SEARCH("Networked",'Proposed Lighting'!T153)),0,IF(ISNUMBER(SEARCH("Strategies",'Proposed Lighting'!T153)),0,IF(ISNUMBER(SEARCH("Removal",'Proposed Lighting'!T153)),0,IF(ISNUMBER(SEARCH("non-standard",Q153)),1,0))))</f>
        <v>0</v>
      </c>
      <c r="AW153" s="451">
        <f t="shared" si="38"/>
        <v>0</v>
      </c>
      <c r="AX153" s="451"/>
      <c r="AY153" s="451"/>
      <c r="AZ153" s="451"/>
      <c r="BA153" s="451"/>
      <c r="BB153" s="451"/>
      <c r="BC153" s="1215"/>
      <c r="BD153" s="1215"/>
      <c r="BE153" s="1215"/>
      <c r="BF153" s="1215"/>
      <c r="BG153" s="1215"/>
      <c r="BH153" s="1215"/>
      <c r="BI153">
        <f>IF(AND(AS153=1,BC153="No",BD153="Yes",BE153="Yes",BF153="No",BH153="No"),0,IF(AND('Proposed Lighting'!AU153=2,AS153=1,BC153="Yes",BD153="Yes"),2,IF(AND('Proposed Lighting'!AU153=2,AS153=1,BC153="Yes",BE153="Yes"),2,IF(AND('Proposed Lighting'!AU153=2,AS153=1,BC153="Yes",BF153="Yes"),2,IF(AND('Proposed Lighting'!AU153=2,AS153=1,BC153="Yes",BH153="Yes"),2,IF(AND('Proposed Lighting'!AU153=2,AS153=1,BD153="Yes",BF153="Yes"),2,IF(AND('Proposed Lighting'!AU153=2,AS153=1,BD153="Yes",BH153="Yes"),2,IF(AND('Proposed Lighting'!AU153=3,AS153=1,BC153="Yes",BE153="Yes"),2,IF(AND('Proposed Lighting'!AU153=3,AS153=1,BC153="Yes",BF153="Yes"),2,0)))))))))</f>
        <v>0</v>
      </c>
      <c r="BJ153" s="1025">
        <f t="shared" si="36"/>
        <v>0</v>
      </c>
      <c r="BK153">
        <f>IF(AND('Proposed Lighting'!BC153=22,'Lighting Controls'!N153=1),0,IF(ISNUMBER(SEARCH("LED",G153)),1,0))</f>
        <v>0</v>
      </c>
    </row>
    <row r="154" spans="1:63" ht="34.5" customHeight="1">
      <c r="A154" s="917">
        <v>146</v>
      </c>
      <c r="B154" s="1828" t="str">
        <f>IF('Proposed Lighting'!B154="","",'Proposed Lighting'!B154)</f>
        <v/>
      </c>
      <c r="C154" s="1828"/>
      <c r="D154" s="1828"/>
      <c r="E154" s="1245">
        <f>'Proposed Lighting'!AA154</f>
        <v>0</v>
      </c>
      <c r="F154" s="1245">
        <f t="shared" si="29"/>
        <v>0</v>
      </c>
      <c r="G154" s="1830" t="str">
        <f>IF('Proposed Lighting'!T154="","",IF(ISNUMBER(SEARCH("Networked",'Proposed Lighting'!T154)),0,IF(ISNUMBER(SEARCH("Strategies",'Proposed Lighting'!T154)),0,IF(ISNUMBER(SEARCH("Removal",'Proposed Lighting'!T154)),0,'Proposed Lighting'!T154))))</f>
        <v/>
      </c>
      <c r="H154" s="1830"/>
      <c r="I154" s="1830"/>
      <c r="J154" s="1830"/>
      <c r="K154" s="1215"/>
      <c r="L154" s="1246">
        <f t="shared" si="30"/>
        <v>0</v>
      </c>
      <c r="M154" s="1224">
        <f t="shared" si="31"/>
        <v>0</v>
      </c>
      <c r="N154" s="1224">
        <f t="shared" si="32"/>
        <v>0</v>
      </c>
      <c r="O154" s="1825" t="str">
        <f>IF(G154=0,0,IF(ISNA('Proposed Lighting'!AT154),0,'Proposed Lighting'!AT154))</f>
        <v/>
      </c>
      <c r="P154" s="1825"/>
      <c r="Q154" s="1247"/>
      <c r="R154" s="1247"/>
      <c r="S154" s="1247"/>
      <c r="T154" s="1211"/>
      <c r="U154" s="1235">
        <f>IF(K154&gt;0.01,'Proposed Lighting'!CU154,0)</f>
        <v>0</v>
      </c>
      <c r="V154" s="1248">
        <f>IF('Proposed Lighting'!CF154=1,0,IF('Proposed Lighting'!AU154=2,0,IF(AND('Proposed Lighting'!AU154=3,'Proposed Lighting'!CF154=0),1,0)))</f>
        <v>0</v>
      </c>
      <c r="W154" s="1836"/>
      <c r="X154" s="1836"/>
      <c r="Y154" s="1836"/>
      <c r="Z154" s="1230" t="str">
        <f t="shared" si="26"/>
        <v/>
      </c>
      <c r="AA154" s="1230">
        <f t="shared" si="27"/>
        <v>0</v>
      </c>
      <c r="AB154" s="1230">
        <f>IF(Q154=0,0,IF(T154=0,0,IF(AA154=0,0,IF(AND(F154=3,V154=0),0,IF(T154=0,0,IF(K154&gt;'Proposed Lighting'!AA154,0,IF('Proposed Lighting'!EJ154&gt;0.01,(K154*O154)*'Proposed Lighting'!EJ154/1000,(K154*O154)*U154/1000)))))))</f>
        <v>0</v>
      </c>
      <c r="AC154" s="1230" t="str">
        <f t="shared" si="33"/>
        <v/>
      </c>
      <c r="AD154" s="1230">
        <f t="shared" si="28"/>
        <v>0</v>
      </c>
      <c r="AE154" s="1230">
        <f>IF(T154=0,0,IF(K154&gt;'Proposed Lighting'!AA154,0,IF(T154&gt;K154,0,IF(AND(AD154&gt;AA154,AA154&gt;0),0,IF(AND(F154&gt;1,W154&lt;0.01),0,IF('Proposed Lighting'!AU154&gt;'Lighting Controls'!F154,0,IF('Proposed Lighting'!AU154&lt;'Lighting Controls'!F154,0,IF(U154=0,0,Summary!AC457))))))))</f>
        <v>0</v>
      </c>
      <c r="AF154" s="1230">
        <f>IF(T154=0,0,IF(AE154=0,0,IF(K154&gt;'Proposed Lighting'!AA154,0,IF(AND(AD154&gt;AA154,AA154&gt;0),0,IF(U154=0,0,Summary!AD457)))))</f>
        <v>0</v>
      </c>
      <c r="AG154" s="1834">
        <f>IF('Proposed Lighting'!AU154=1,0,IF('Proposed Lighting'!CF154=1,0,T154*W154))</f>
        <v>0</v>
      </c>
      <c r="AH154" s="1834"/>
      <c r="AI154" s="1834"/>
      <c r="AJ154" s="1835">
        <f>IF(T154&lt;1,0,IF(K154&gt;'Proposed Lighting'!AA154,0,IF('Proposed Lighting'!CF154=1,0,IF('Proposed Lighting'!AU154=1,0,IF(T154&gt;K154,0,IF(AND(AD154&gt;AA154,AA154&gt;0),0,IF(AND(F154=2,'Proposed Lighting'!AU154=3),0,IF(AND(F154=3,'Proposed Lighting'!AU154=2),0,IF('Proposed Lighting'!CH154=100,0,IF(AND(F154&lt;3,V154=1,AM154=0),0,IF(AND(F154&gt;1,AF154&lt;1,AN154&lt;1),0,IF(AND(F154&gt;1,AE154&lt;0.69,AF154&lt;1,AN154&lt;1),0,IF(ISERROR(AB154-AC154),"",AB154-AC154)))))))))))))</f>
        <v>0</v>
      </c>
      <c r="AK154" s="1835"/>
      <c r="AL154" s="1835"/>
      <c r="AM154" s="1216">
        <f>IF(Q154=0,0,IF(T154=0,0,IF(T154&gt;K154,0,IF(AND(AS154&gt;0.01,BK154=0),0,IF(AND('Proposed Lighting'!DG154=0,'Lighting Controls'!Z154=0.35),0,IF(AND(T154&lt;=K154,AA154&gt;=AD154,'Proposed Lighting'!AU154=2),VLOOKUP(Q154,$AY$9:$AZ$15,2,FALSE),IF(AND(T154&lt;=K154,AA154&gt;=AD154,'Proposed Lighting'!AU154=3),VLOOKUP(Q154,$AY$17:$AZ$23,2,FALSE))))))))</f>
        <v>0</v>
      </c>
      <c r="AN154" s="1248">
        <f>IF(T154=0,0,IF(K154&gt;'Proposed Lighting'!AA154,0,IF(AE154=0,0,IF(AND(AD154&gt;AA154,AA154&gt;0),0,IF(U154=0,0,Summary!AE457)))))</f>
        <v>0</v>
      </c>
      <c r="AO154" s="1248">
        <f t="shared" si="37"/>
        <v>0</v>
      </c>
      <c r="AP154" s="1249">
        <f>IF('Proposed Lighting'!AU154=1,0,IF(K154=0,0,IF(T154&gt;K154,0,IF(G154=0,0,IF(K154&gt;'Proposed Lighting'!AA154,0,IF(AND(AD154&gt;AA154,AA154&gt;0),0,IF(AND('Proposed Lighting'!AU154=3,AM154=0.5),0,IF(AND(AM154&gt;0,AS154&gt;0,BI154&lt;2),0,IF('Proposed Lighting'!CH154=100,0,IF(AV154=1,0,IF(AND(AM154=35,M154+N154&lt;2),0,AM154)))))))))))</f>
        <v>0</v>
      </c>
      <c r="AQ154" s="1249" t="str">
        <f>IFERROR(ROUND(IF(Q154="","",IF('Proposed Lighting'!$X$4=0,0,IF(AND(AM154=35,M154+N154&lt;2),0,IF(T154&gt;K154,0,IF('Proposed Lighting'!AU154=1,0,IF(AJ154=0,0,IF(AND('Proposed Lighting'!AU154=3,AM154=0.5),0,IF(AND(AD154=75,AP154=0,AV154=0),0,IF(AP154&gt;0.01,AP154*T154,IF(AND(F154&gt;1,W154&lt;0.01),0,IF(AND(F154&gt;1,AO154=0),0,IF(AND('Proposed Lighting'!BC154=22,AV154=0),0,IF(AND(AM154&gt;0,AS154&gt;0,BI154&lt;2),0,IF(AND(AS154&gt;0.01,BK154=0),0,IF(AND(AO154=TRUE,AV154=1,F154=3),MIN(AJ154*0.08,L154),IF(AP154&gt;0.01,AP154*T154,IF(AND(AO154=TRUE,AV154=1,F154=2),MIN(AJ154*0.1,L154)))))))))))))))))),2),"")</f>
        <v/>
      </c>
      <c r="AR154" s="1250">
        <f>IF(Q154=0,0,IF('Proposed Lighting'!$X$4=0,0,IF(AND(AM154&gt;0.01,AQ154&gt;0.01),0,IF('Proposed Lighting'!AU154=1,"Missing Interior or Exterior Selection",IF('Proposed Lighting'!CF154=1,"Selection does not match",IF(K154&gt;'Proposed Lighting'!AA154,"Quantity controlled does not match proposed lighting quantity",IF(T154&gt;K154,"Quantity of sensors exceeds proposed lighting quantity",IF(AND(F154&gt;1,'Proposed Lighting'!AU154&lt;&gt;F154),"Selection does not match",IF(AND(AD154&gt;AA154,AA154&gt;0),"Does not meet minimum connected load",IF(AND(O154&gt;0,AS154&gt;0,BK154&gt;0,'Proposed Lighting'!CH154=0),"Select Control Strategies",IF(AND(AC154&gt;0.1,AJ154=0,AQ154=0),"Does not meet incentive criteria",0)))))))))))</f>
        <v>0</v>
      </c>
      <c r="AS154" s="1224">
        <f>IF('Proposed Lighting'!CH154=100,0,IF(ISNUMBER(SEARCH("multiple",Q154)),1,0))</f>
        <v>0</v>
      </c>
      <c r="AT154" s="451">
        <f t="shared" si="34"/>
        <v>0</v>
      </c>
      <c r="AU154" s="451">
        <f t="shared" si="35"/>
        <v>0</v>
      </c>
      <c r="AV154" s="1222">
        <f>IF(ISNUMBER(SEARCH("Networked",'Proposed Lighting'!T154)),0,IF(ISNUMBER(SEARCH("Strategies",'Proposed Lighting'!T154)),0,IF(ISNUMBER(SEARCH("Removal",'Proposed Lighting'!T154)),0,IF(ISNUMBER(SEARCH("non-standard",Q154)),1,0))))</f>
        <v>0</v>
      </c>
      <c r="AW154" s="451">
        <f t="shared" si="38"/>
        <v>0</v>
      </c>
      <c r="AX154" s="451"/>
      <c r="AY154" s="451"/>
      <c r="AZ154" s="451"/>
      <c r="BA154" s="451"/>
      <c r="BB154" s="451"/>
      <c r="BC154" s="1215"/>
      <c r="BD154" s="1215"/>
      <c r="BE154" s="1215"/>
      <c r="BF154" s="1215"/>
      <c r="BG154" s="1215"/>
      <c r="BH154" s="1215"/>
      <c r="BI154">
        <f>IF(AND(AS154=1,BC154="No",BD154="Yes",BE154="Yes",BF154="No",BH154="No"),0,IF(AND('Proposed Lighting'!AU154=2,AS154=1,BC154="Yes",BD154="Yes"),2,IF(AND('Proposed Lighting'!AU154=2,AS154=1,BC154="Yes",BE154="Yes"),2,IF(AND('Proposed Lighting'!AU154=2,AS154=1,BC154="Yes",BF154="Yes"),2,IF(AND('Proposed Lighting'!AU154=2,AS154=1,BC154="Yes",BH154="Yes"),2,IF(AND('Proposed Lighting'!AU154=2,AS154=1,BD154="Yes",BF154="Yes"),2,IF(AND('Proposed Lighting'!AU154=2,AS154=1,BD154="Yes",BH154="Yes"),2,IF(AND('Proposed Lighting'!AU154=3,AS154=1,BC154="Yes",BE154="Yes"),2,IF(AND('Proposed Lighting'!AU154=3,AS154=1,BC154="Yes",BF154="Yes"),2,0)))))))))</f>
        <v>0</v>
      </c>
      <c r="BJ154" s="1025">
        <f t="shared" si="36"/>
        <v>0</v>
      </c>
      <c r="BK154">
        <f>IF(AND('Proposed Lighting'!BC154=22,'Lighting Controls'!N154=1),0,IF(ISNUMBER(SEARCH("LED",G154)),1,0))</f>
        <v>0</v>
      </c>
    </row>
    <row r="155" spans="1:63" ht="34.5" customHeight="1">
      <c r="A155" s="917">
        <v>147</v>
      </c>
      <c r="B155" s="1828" t="str">
        <f>IF('Proposed Lighting'!B155="","",'Proposed Lighting'!B155)</f>
        <v/>
      </c>
      <c r="C155" s="1828"/>
      <c r="D155" s="1828"/>
      <c r="E155" s="1245">
        <f>'Proposed Lighting'!AA155</f>
        <v>0</v>
      </c>
      <c r="F155" s="1245">
        <f t="shared" si="29"/>
        <v>0</v>
      </c>
      <c r="G155" s="1830" t="str">
        <f>IF('Proposed Lighting'!T155="","",IF(ISNUMBER(SEARCH("Networked",'Proposed Lighting'!T155)),0,IF(ISNUMBER(SEARCH("Strategies",'Proposed Lighting'!T155)),0,IF(ISNUMBER(SEARCH("Removal",'Proposed Lighting'!T155)),0,'Proposed Lighting'!T155))))</f>
        <v/>
      </c>
      <c r="H155" s="1830"/>
      <c r="I155" s="1830"/>
      <c r="J155" s="1830"/>
      <c r="K155" s="1215"/>
      <c r="L155" s="1246">
        <f t="shared" si="30"/>
        <v>0</v>
      </c>
      <c r="M155" s="1224">
        <f t="shared" si="31"/>
        <v>0</v>
      </c>
      <c r="N155" s="1224">
        <f t="shared" si="32"/>
        <v>0</v>
      </c>
      <c r="O155" s="1825" t="str">
        <f>IF(G155=0,0,IF(ISNA('Proposed Lighting'!AT155),0,'Proposed Lighting'!AT155))</f>
        <v/>
      </c>
      <c r="P155" s="1825"/>
      <c r="Q155" s="1247"/>
      <c r="R155" s="1247"/>
      <c r="S155" s="1247"/>
      <c r="T155" s="1211"/>
      <c r="U155" s="1235">
        <f>IF(K155&gt;0.01,'Proposed Lighting'!CU155,0)</f>
        <v>0</v>
      </c>
      <c r="V155" s="1248">
        <f>IF('Proposed Lighting'!CF155=1,0,IF('Proposed Lighting'!AU155=2,0,IF(AND('Proposed Lighting'!AU155=3,'Proposed Lighting'!CF155=0),1,0)))</f>
        <v>0</v>
      </c>
      <c r="W155" s="1836"/>
      <c r="X155" s="1836"/>
      <c r="Y155" s="1836"/>
      <c r="Z155" s="1230" t="str">
        <f t="shared" si="26"/>
        <v/>
      </c>
      <c r="AA155" s="1230">
        <f t="shared" si="27"/>
        <v>0</v>
      </c>
      <c r="AB155" s="1230">
        <f>IF(Q155=0,0,IF(T155=0,0,IF(AA155=0,0,IF(AND(F155=3,V155=0),0,IF(T155=0,0,IF(K155&gt;'Proposed Lighting'!AA155,0,IF('Proposed Lighting'!EJ155&gt;0.01,(K155*O155)*'Proposed Lighting'!EJ155/1000,(K155*O155)*U155/1000)))))))</f>
        <v>0</v>
      </c>
      <c r="AC155" s="1230" t="str">
        <f t="shared" si="33"/>
        <v/>
      </c>
      <c r="AD155" s="1230">
        <f t="shared" si="28"/>
        <v>0</v>
      </c>
      <c r="AE155" s="1230">
        <f>IF(T155=0,0,IF(K155&gt;'Proposed Lighting'!AA155,0,IF(T155&gt;K155,0,IF(AND(AD155&gt;AA155,AA155&gt;0),0,IF(AND(F155&gt;1,W155&lt;0.01),0,IF('Proposed Lighting'!AU155&gt;'Lighting Controls'!F155,0,IF('Proposed Lighting'!AU155&lt;'Lighting Controls'!F155,0,IF(U155=0,0,Summary!AC458))))))))</f>
        <v>0</v>
      </c>
      <c r="AF155" s="1230">
        <f>IF(T155=0,0,IF(AE155=0,0,IF(K155&gt;'Proposed Lighting'!AA155,0,IF(AND(AD155&gt;AA155,AA155&gt;0),0,IF(U155=0,0,Summary!AD458)))))</f>
        <v>0</v>
      </c>
      <c r="AG155" s="1834">
        <f>IF('Proposed Lighting'!AU155=1,0,IF('Proposed Lighting'!CF155=1,0,T155*W155))</f>
        <v>0</v>
      </c>
      <c r="AH155" s="1834"/>
      <c r="AI155" s="1834"/>
      <c r="AJ155" s="1835">
        <f>IF(T155&lt;1,0,IF(K155&gt;'Proposed Lighting'!AA155,0,IF('Proposed Lighting'!CF155=1,0,IF('Proposed Lighting'!AU155=1,0,IF(T155&gt;K155,0,IF(AND(AD155&gt;AA155,AA155&gt;0),0,IF(AND(F155=2,'Proposed Lighting'!AU155=3),0,IF(AND(F155=3,'Proposed Lighting'!AU155=2),0,IF('Proposed Lighting'!CH155=100,0,IF(AND(F155&lt;3,V155=1,AM155=0),0,IF(AND(F155&gt;1,AF155&lt;1,AN155&lt;1),0,IF(AND(F155&gt;1,AE155&lt;0.69,AF155&lt;1,AN155&lt;1),0,IF(ISERROR(AB155-AC155),"",AB155-AC155)))))))))))))</f>
        <v>0</v>
      </c>
      <c r="AK155" s="1835"/>
      <c r="AL155" s="1835"/>
      <c r="AM155" s="1216">
        <f>IF(Q155=0,0,IF(T155=0,0,IF(T155&gt;K155,0,IF(AND(AS155&gt;0.01,BK155=0),0,IF(AND('Proposed Lighting'!DG155=0,'Lighting Controls'!Z155=0.35),0,IF(AND(T155&lt;=K155,AA155&gt;=AD155,'Proposed Lighting'!AU155=2),VLOOKUP(Q155,$AY$9:$AZ$15,2,FALSE),IF(AND(T155&lt;=K155,AA155&gt;=AD155,'Proposed Lighting'!AU155=3),VLOOKUP(Q155,$AY$17:$AZ$23,2,FALSE))))))))</f>
        <v>0</v>
      </c>
      <c r="AN155" s="1248">
        <f>IF(T155=0,0,IF(K155&gt;'Proposed Lighting'!AA155,0,IF(AE155=0,0,IF(AND(AD155&gt;AA155,AA155&gt;0),0,IF(U155=0,0,Summary!AE458)))))</f>
        <v>0</v>
      </c>
      <c r="AO155" s="1248">
        <f t="shared" si="37"/>
        <v>0</v>
      </c>
      <c r="AP155" s="1249">
        <f>IF('Proposed Lighting'!AU155=1,0,IF(K155=0,0,IF(T155&gt;K155,0,IF(G155=0,0,IF(K155&gt;'Proposed Lighting'!AA155,0,IF(AND(AD155&gt;AA155,AA155&gt;0),0,IF(AND('Proposed Lighting'!AU155=3,AM155=0.5),0,IF(AND(AM155&gt;0,AS155&gt;0,BI155&lt;2),0,IF('Proposed Lighting'!CH155=100,0,IF(AV155=1,0,IF(AND(AM155=35,M155+N155&lt;2),0,AM155)))))))))))</f>
        <v>0</v>
      </c>
      <c r="AQ155" s="1249" t="str">
        <f>IFERROR(ROUND(IF(Q155="","",IF('Proposed Lighting'!$X$4=0,0,IF(AND(AM155=35,M155+N155&lt;2),0,IF(T155&gt;K155,0,IF('Proposed Lighting'!AU155=1,0,IF(AJ155=0,0,IF(AND('Proposed Lighting'!AU155=3,AM155=0.5),0,IF(AND(AD155=75,AP155=0,AV155=0),0,IF(AP155&gt;0.01,AP155*T155,IF(AND(F155&gt;1,W155&lt;0.01),0,IF(AND(F155&gt;1,AO155=0),0,IF(AND('Proposed Lighting'!BC155=22,AV155=0),0,IF(AND(AM155&gt;0,AS155&gt;0,BI155&lt;2),0,IF(AND(AS155&gt;0.01,BK155=0),0,IF(AND(AO155=TRUE,AV155=1,F155=3),MIN(AJ155*0.08,L155),IF(AP155&gt;0.01,AP155*T155,IF(AND(AO155=TRUE,AV155=1,F155=2),MIN(AJ155*0.1,L155)))))))))))))))))),2),"")</f>
        <v/>
      </c>
      <c r="AR155" s="1250">
        <f>IF(Q155=0,0,IF('Proposed Lighting'!$X$4=0,0,IF(AND(AM155&gt;0.01,AQ155&gt;0.01),0,IF('Proposed Lighting'!AU155=1,"Missing Interior or Exterior Selection",IF('Proposed Lighting'!CF155=1,"Selection does not match",IF(K155&gt;'Proposed Lighting'!AA155,"Quantity controlled does not match proposed lighting quantity",IF(T155&gt;K155,"Quantity of sensors exceeds proposed lighting quantity",IF(AND(F155&gt;1,'Proposed Lighting'!AU155&lt;&gt;F155),"Selection does not match",IF(AND(AD155&gt;AA155,AA155&gt;0),"Does not meet minimum connected load",IF(AND(O155&gt;0,AS155&gt;0,BK155&gt;0,'Proposed Lighting'!CH155=0),"Select Control Strategies",IF(AND(AC155&gt;0.1,AJ155=0,AQ155=0),"Does not meet incentive criteria",0)))))))))))</f>
        <v>0</v>
      </c>
      <c r="AS155" s="1224">
        <f>IF('Proposed Lighting'!CH155=100,0,IF(ISNUMBER(SEARCH("multiple",Q155)),1,0))</f>
        <v>0</v>
      </c>
      <c r="AT155" s="451">
        <f t="shared" si="34"/>
        <v>0</v>
      </c>
      <c r="AU155" s="451">
        <f t="shared" si="35"/>
        <v>0</v>
      </c>
      <c r="AV155" s="1222">
        <f>IF(ISNUMBER(SEARCH("Networked",'Proposed Lighting'!T155)),0,IF(ISNUMBER(SEARCH("Strategies",'Proposed Lighting'!T155)),0,IF(ISNUMBER(SEARCH("Removal",'Proposed Lighting'!T155)),0,IF(ISNUMBER(SEARCH("non-standard",Q155)),1,0))))</f>
        <v>0</v>
      </c>
      <c r="AW155" s="451">
        <f t="shared" si="38"/>
        <v>0</v>
      </c>
      <c r="AX155" s="451"/>
      <c r="AY155" s="451"/>
      <c r="AZ155" s="451"/>
      <c r="BA155" s="451"/>
      <c r="BB155" s="451"/>
      <c r="BC155" s="1215"/>
      <c r="BD155" s="1215"/>
      <c r="BE155" s="1215"/>
      <c r="BF155" s="1215"/>
      <c r="BG155" s="1215"/>
      <c r="BH155" s="1215"/>
      <c r="BI155">
        <f>IF(AND(AS155=1,BC155="No",BD155="Yes",BE155="Yes",BF155="No",BH155="No"),0,IF(AND('Proposed Lighting'!AU155=2,AS155=1,BC155="Yes",BD155="Yes"),2,IF(AND('Proposed Lighting'!AU155=2,AS155=1,BC155="Yes",BE155="Yes"),2,IF(AND('Proposed Lighting'!AU155=2,AS155=1,BC155="Yes",BF155="Yes"),2,IF(AND('Proposed Lighting'!AU155=2,AS155=1,BC155="Yes",BH155="Yes"),2,IF(AND('Proposed Lighting'!AU155=2,AS155=1,BD155="Yes",BF155="Yes"),2,IF(AND('Proposed Lighting'!AU155=2,AS155=1,BD155="Yes",BH155="Yes"),2,IF(AND('Proposed Lighting'!AU155=3,AS155=1,BC155="Yes",BE155="Yes"),2,IF(AND('Proposed Lighting'!AU155=3,AS155=1,BC155="Yes",BF155="Yes"),2,0)))))))))</f>
        <v>0</v>
      </c>
      <c r="BJ155" s="1025">
        <f t="shared" si="36"/>
        <v>0</v>
      </c>
      <c r="BK155">
        <f>IF(AND('Proposed Lighting'!BC155=22,'Lighting Controls'!N155=1),0,IF(ISNUMBER(SEARCH("LED",G155)),1,0))</f>
        <v>0</v>
      </c>
    </row>
    <row r="156" spans="1:63" ht="34.5" customHeight="1">
      <c r="A156" s="917">
        <v>148</v>
      </c>
      <c r="B156" s="1828" t="str">
        <f>IF('Proposed Lighting'!B156="","",'Proposed Lighting'!B156)</f>
        <v/>
      </c>
      <c r="C156" s="1828"/>
      <c r="D156" s="1828"/>
      <c r="E156" s="1245">
        <f>'Proposed Lighting'!AA156</f>
        <v>0</v>
      </c>
      <c r="F156" s="1245">
        <f t="shared" si="29"/>
        <v>0</v>
      </c>
      <c r="G156" s="1830" t="str">
        <f>IF('Proposed Lighting'!T156="","",IF(ISNUMBER(SEARCH("Networked",'Proposed Lighting'!T156)),0,IF(ISNUMBER(SEARCH("Strategies",'Proposed Lighting'!T156)),0,IF(ISNUMBER(SEARCH("Removal",'Proposed Lighting'!T156)),0,'Proposed Lighting'!T156))))</f>
        <v/>
      </c>
      <c r="H156" s="1830"/>
      <c r="I156" s="1830"/>
      <c r="J156" s="1830"/>
      <c r="K156" s="1215"/>
      <c r="L156" s="1246">
        <f t="shared" si="30"/>
        <v>0</v>
      </c>
      <c r="M156" s="1224">
        <f t="shared" si="31"/>
        <v>0</v>
      </c>
      <c r="N156" s="1224">
        <f t="shared" si="32"/>
        <v>0</v>
      </c>
      <c r="O156" s="1825" t="str">
        <f>IF(G156=0,0,IF(ISNA('Proposed Lighting'!AT156),0,'Proposed Lighting'!AT156))</f>
        <v/>
      </c>
      <c r="P156" s="1825"/>
      <c r="Q156" s="1247"/>
      <c r="R156" s="1247"/>
      <c r="S156" s="1247"/>
      <c r="T156" s="1211"/>
      <c r="U156" s="1235">
        <f>IF(K156&gt;0.01,'Proposed Lighting'!CU156,0)</f>
        <v>0</v>
      </c>
      <c r="V156" s="1248">
        <f>IF('Proposed Lighting'!CF156=1,0,IF('Proposed Lighting'!AU156=2,0,IF(AND('Proposed Lighting'!AU156=3,'Proposed Lighting'!CF156=0),1,0)))</f>
        <v>0</v>
      </c>
      <c r="W156" s="1836"/>
      <c r="X156" s="1836"/>
      <c r="Y156" s="1836"/>
      <c r="Z156" s="1230" t="str">
        <f t="shared" si="26"/>
        <v/>
      </c>
      <c r="AA156" s="1230">
        <f t="shared" si="27"/>
        <v>0</v>
      </c>
      <c r="AB156" s="1230">
        <f>IF(Q156=0,0,IF(T156=0,0,IF(AA156=0,0,IF(AND(F156=3,V156=0),0,IF(T156=0,0,IF(K156&gt;'Proposed Lighting'!AA156,0,IF('Proposed Lighting'!EJ156&gt;0.01,(K156*O156)*'Proposed Lighting'!EJ156/1000,(K156*O156)*U156/1000)))))))</f>
        <v>0</v>
      </c>
      <c r="AC156" s="1230" t="str">
        <f t="shared" si="33"/>
        <v/>
      </c>
      <c r="AD156" s="1230">
        <f t="shared" si="28"/>
        <v>0</v>
      </c>
      <c r="AE156" s="1230">
        <f>IF(T156=0,0,IF(K156&gt;'Proposed Lighting'!AA156,0,IF(T156&gt;K156,0,IF(AND(AD156&gt;AA156,AA156&gt;0),0,IF(AND(F156&gt;1,W156&lt;0.01),0,IF('Proposed Lighting'!AU156&gt;'Lighting Controls'!F156,0,IF('Proposed Lighting'!AU156&lt;'Lighting Controls'!F156,0,IF(U156=0,0,Summary!AC459))))))))</f>
        <v>0</v>
      </c>
      <c r="AF156" s="1230">
        <f>IF(T156=0,0,IF(AE156=0,0,IF(K156&gt;'Proposed Lighting'!AA156,0,IF(AND(AD156&gt;AA156,AA156&gt;0),0,IF(U156=0,0,Summary!AD459)))))</f>
        <v>0</v>
      </c>
      <c r="AG156" s="1834">
        <f>IF('Proposed Lighting'!AU156=1,0,IF('Proposed Lighting'!CF156=1,0,T156*W156))</f>
        <v>0</v>
      </c>
      <c r="AH156" s="1834"/>
      <c r="AI156" s="1834"/>
      <c r="AJ156" s="1835">
        <f>IF(T156&lt;1,0,IF(K156&gt;'Proposed Lighting'!AA156,0,IF('Proposed Lighting'!CF156=1,0,IF('Proposed Lighting'!AU156=1,0,IF(T156&gt;K156,0,IF(AND(AD156&gt;AA156,AA156&gt;0),0,IF(AND(F156=2,'Proposed Lighting'!AU156=3),0,IF(AND(F156=3,'Proposed Lighting'!AU156=2),0,IF('Proposed Lighting'!CH156=100,0,IF(AND(F156&lt;3,V156=1,AM156=0),0,IF(AND(F156&gt;1,AF156&lt;1,AN156&lt;1),0,IF(AND(F156&gt;1,AE156&lt;0.69,AF156&lt;1,AN156&lt;1),0,IF(ISERROR(AB156-AC156),"",AB156-AC156)))))))))))))</f>
        <v>0</v>
      </c>
      <c r="AK156" s="1835"/>
      <c r="AL156" s="1835"/>
      <c r="AM156" s="1216">
        <f>IF(Q156=0,0,IF(T156=0,0,IF(T156&gt;K156,0,IF(AND(AS156&gt;0.01,BK156=0),0,IF(AND('Proposed Lighting'!DG156=0,'Lighting Controls'!Z156=0.35),0,IF(AND(T156&lt;=K156,AA156&gt;=AD156,'Proposed Lighting'!AU156=2),VLOOKUP(Q156,$AY$9:$AZ$15,2,FALSE),IF(AND(T156&lt;=K156,AA156&gt;=AD156,'Proposed Lighting'!AU156=3),VLOOKUP(Q156,$AY$17:$AZ$23,2,FALSE))))))))</f>
        <v>0</v>
      </c>
      <c r="AN156" s="1248">
        <f>IF(T156=0,0,IF(K156&gt;'Proposed Lighting'!AA156,0,IF(AE156=0,0,IF(AND(AD156&gt;AA156,AA156&gt;0),0,IF(U156=0,0,Summary!AE459)))))</f>
        <v>0</v>
      </c>
      <c r="AO156" s="1248">
        <f t="shared" si="37"/>
        <v>0</v>
      </c>
      <c r="AP156" s="1249">
        <f>IF('Proposed Lighting'!AU156=1,0,IF(K156=0,0,IF(T156&gt;K156,0,IF(G156=0,0,IF(K156&gt;'Proposed Lighting'!AA156,0,IF(AND(AD156&gt;AA156,AA156&gt;0),0,IF(AND('Proposed Lighting'!AU156=3,AM156=0.5),0,IF(AND(AM156&gt;0,AS156&gt;0,BI156&lt;2),0,IF('Proposed Lighting'!CH156=100,0,IF(AV156=1,0,IF(AND(AM156=35,M156+N156&lt;2),0,AM156)))))))))))</f>
        <v>0</v>
      </c>
      <c r="AQ156" s="1249" t="str">
        <f>IFERROR(ROUND(IF(Q156="","",IF('Proposed Lighting'!$X$4=0,0,IF(AND(AM156=35,M156+N156&lt;2),0,IF(T156&gt;K156,0,IF('Proposed Lighting'!AU156=1,0,IF(AJ156=0,0,IF(AND('Proposed Lighting'!AU156=3,AM156=0.5),0,IF(AND(AD156=75,AP156=0,AV156=0),0,IF(AP156&gt;0.01,AP156*T156,IF(AND(F156&gt;1,W156&lt;0.01),0,IF(AND(F156&gt;1,AO156=0),0,IF(AND('Proposed Lighting'!BC156=22,AV156=0),0,IF(AND(AM156&gt;0,AS156&gt;0,BI156&lt;2),0,IF(AND(AS156&gt;0.01,BK156=0),0,IF(AND(AO156=TRUE,AV156=1,F156=3),MIN(AJ156*0.08,L156),IF(AP156&gt;0.01,AP156*T156,IF(AND(AO156=TRUE,AV156=1,F156=2),MIN(AJ156*0.1,L156)))))))))))))))))),2),"")</f>
        <v/>
      </c>
      <c r="AR156" s="1250">
        <f>IF(Q156=0,0,IF('Proposed Lighting'!$X$4=0,0,IF(AND(AM156&gt;0.01,AQ156&gt;0.01),0,IF('Proposed Lighting'!AU156=1,"Missing Interior or Exterior Selection",IF('Proposed Lighting'!CF156=1,"Selection does not match",IF(K156&gt;'Proposed Lighting'!AA156,"Quantity controlled does not match proposed lighting quantity",IF(T156&gt;K156,"Quantity of sensors exceeds proposed lighting quantity",IF(AND(F156&gt;1,'Proposed Lighting'!AU156&lt;&gt;F156),"Selection does not match",IF(AND(AD156&gt;AA156,AA156&gt;0),"Does not meet minimum connected load",IF(AND(O156&gt;0,AS156&gt;0,BK156&gt;0,'Proposed Lighting'!CH156=0),"Select Control Strategies",IF(AND(AC156&gt;0.1,AJ156=0,AQ156=0),"Does not meet incentive criteria",0)))))))))))</f>
        <v>0</v>
      </c>
      <c r="AS156" s="1224">
        <f>IF('Proposed Lighting'!CH156=100,0,IF(ISNUMBER(SEARCH("multiple",Q156)),1,0))</f>
        <v>0</v>
      </c>
      <c r="AT156" s="451">
        <f t="shared" si="34"/>
        <v>0</v>
      </c>
      <c r="AU156" s="451">
        <f t="shared" si="35"/>
        <v>0</v>
      </c>
      <c r="AV156" s="1222">
        <f>IF(ISNUMBER(SEARCH("Networked",'Proposed Lighting'!T156)),0,IF(ISNUMBER(SEARCH("Strategies",'Proposed Lighting'!T156)),0,IF(ISNUMBER(SEARCH("Removal",'Proposed Lighting'!T156)),0,IF(ISNUMBER(SEARCH("non-standard",Q156)),1,0))))</f>
        <v>0</v>
      </c>
      <c r="AW156" s="451">
        <f t="shared" si="38"/>
        <v>0</v>
      </c>
      <c r="AX156" s="451"/>
      <c r="AY156" s="451"/>
      <c r="AZ156" s="451"/>
      <c r="BA156" s="451"/>
      <c r="BB156" s="451"/>
      <c r="BC156" s="1215"/>
      <c r="BD156" s="1215"/>
      <c r="BE156" s="1215"/>
      <c r="BF156" s="1215"/>
      <c r="BG156" s="1215"/>
      <c r="BH156" s="1215"/>
      <c r="BI156">
        <f>IF(AND(AS156=1,BC156="No",BD156="Yes",BE156="Yes",BF156="No",BH156="No"),0,IF(AND('Proposed Lighting'!AU156=2,AS156=1,BC156="Yes",BD156="Yes"),2,IF(AND('Proposed Lighting'!AU156=2,AS156=1,BC156="Yes",BE156="Yes"),2,IF(AND('Proposed Lighting'!AU156=2,AS156=1,BC156="Yes",BF156="Yes"),2,IF(AND('Proposed Lighting'!AU156=2,AS156=1,BC156="Yes",BH156="Yes"),2,IF(AND('Proposed Lighting'!AU156=2,AS156=1,BD156="Yes",BF156="Yes"),2,IF(AND('Proposed Lighting'!AU156=2,AS156=1,BD156="Yes",BH156="Yes"),2,IF(AND('Proposed Lighting'!AU156=3,AS156=1,BC156="Yes",BE156="Yes"),2,IF(AND('Proposed Lighting'!AU156=3,AS156=1,BC156="Yes",BF156="Yes"),2,0)))))))))</f>
        <v>0</v>
      </c>
      <c r="BJ156" s="1025">
        <f t="shared" si="36"/>
        <v>0</v>
      </c>
      <c r="BK156">
        <f>IF(AND('Proposed Lighting'!BC156=22,'Lighting Controls'!N156=1),0,IF(ISNUMBER(SEARCH("LED",G156)),1,0))</f>
        <v>0</v>
      </c>
    </row>
    <row r="157" spans="1:63" ht="34.5" customHeight="1">
      <c r="A157" s="917">
        <v>149</v>
      </c>
      <c r="B157" s="1828" t="str">
        <f>IF('Proposed Lighting'!B157="","",'Proposed Lighting'!B157)</f>
        <v/>
      </c>
      <c r="C157" s="1828"/>
      <c r="D157" s="1828"/>
      <c r="E157" s="1245">
        <f>'Proposed Lighting'!AA157</f>
        <v>0</v>
      </c>
      <c r="F157" s="1245">
        <f t="shared" si="29"/>
        <v>0</v>
      </c>
      <c r="G157" s="1830" t="str">
        <f>IF('Proposed Lighting'!T157="","",IF(ISNUMBER(SEARCH("Networked",'Proposed Lighting'!T157)),0,IF(ISNUMBER(SEARCH("Strategies",'Proposed Lighting'!T157)),0,IF(ISNUMBER(SEARCH("Removal",'Proposed Lighting'!T157)),0,'Proposed Lighting'!T157))))</f>
        <v/>
      </c>
      <c r="H157" s="1830"/>
      <c r="I157" s="1830"/>
      <c r="J157" s="1830"/>
      <c r="K157" s="1215"/>
      <c r="L157" s="1246">
        <f t="shared" si="30"/>
        <v>0</v>
      </c>
      <c r="M157" s="1224">
        <f t="shared" si="31"/>
        <v>0</v>
      </c>
      <c r="N157" s="1224">
        <f t="shared" si="32"/>
        <v>0</v>
      </c>
      <c r="O157" s="1825" t="str">
        <f>IF(G157=0,0,IF(ISNA('Proposed Lighting'!AT157),0,'Proposed Lighting'!AT157))</f>
        <v/>
      </c>
      <c r="P157" s="1825"/>
      <c r="Q157" s="1247"/>
      <c r="R157" s="1247"/>
      <c r="S157" s="1247"/>
      <c r="T157" s="1211"/>
      <c r="U157" s="1235">
        <f>IF(K157&gt;0.01,'Proposed Lighting'!CU157,0)</f>
        <v>0</v>
      </c>
      <c r="V157" s="1248">
        <f>IF('Proposed Lighting'!CF157=1,0,IF('Proposed Lighting'!AU157=2,0,IF(AND('Proposed Lighting'!AU157=3,'Proposed Lighting'!CF157=0),1,0)))</f>
        <v>0</v>
      </c>
      <c r="W157" s="1836"/>
      <c r="X157" s="1836"/>
      <c r="Y157" s="1836"/>
      <c r="Z157" s="1230" t="str">
        <f t="shared" si="26"/>
        <v/>
      </c>
      <c r="AA157" s="1230">
        <f t="shared" si="27"/>
        <v>0</v>
      </c>
      <c r="AB157" s="1230">
        <f>IF(Q157=0,0,IF(T157=0,0,IF(AA157=0,0,IF(AND(F157=3,V157=0),0,IF(T157=0,0,IF(K157&gt;'Proposed Lighting'!AA157,0,IF('Proposed Lighting'!EJ157&gt;0.01,(K157*O157)*'Proposed Lighting'!EJ157/1000,(K157*O157)*U157/1000)))))))</f>
        <v>0</v>
      </c>
      <c r="AC157" s="1230" t="str">
        <f t="shared" si="33"/>
        <v/>
      </c>
      <c r="AD157" s="1230">
        <f t="shared" si="28"/>
        <v>0</v>
      </c>
      <c r="AE157" s="1230">
        <f>IF(T157=0,0,IF(K157&gt;'Proposed Lighting'!AA157,0,IF(T157&gt;K157,0,IF(AND(AD157&gt;AA157,AA157&gt;0),0,IF(AND(F157&gt;1,W157&lt;0.01),0,IF('Proposed Lighting'!AU157&gt;'Lighting Controls'!F157,0,IF('Proposed Lighting'!AU157&lt;'Lighting Controls'!F157,0,IF(U157=0,0,Summary!AC460))))))))</f>
        <v>0</v>
      </c>
      <c r="AF157" s="1230">
        <f>IF(T157=0,0,IF(AE157=0,0,IF(K157&gt;'Proposed Lighting'!AA157,0,IF(AND(AD157&gt;AA157,AA157&gt;0),0,IF(U157=0,0,Summary!AD460)))))</f>
        <v>0</v>
      </c>
      <c r="AG157" s="1834">
        <f>IF('Proposed Lighting'!AU157=1,0,IF('Proposed Lighting'!CF157=1,0,T157*W157))</f>
        <v>0</v>
      </c>
      <c r="AH157" s="1834"/>
      <c r="AI157" s="1834"/>
      <c r="AJ157" s="1835">
        <f>IF(T157&lt;1,0,IF(K157&gt;'Proposed Lighting'!AA157,0,IF('Proposed Lighting'!CF157=1,0,IF('Proposed Lighting'!AU157=1,0,IF(T157&gt;K157,0,IF(AND(AD157&gt;AA157,AA157&gt;0),0,IF(AND(F157=2,'Proposed Lighting'!AU157=3),0,IF(AND(F157=3,'Proposed Lighting'!AU157=2),0,IF('Proposed Lighting'!CH157=100,0,IF(AND(F157&lt;3,V157=1,AM157=0),0,IF(AND(F157&gt;1,AF157&lt;1,AN157&lt;1),0,IF(AND(F157&gt;1,AE157&lt;0.69,AF157&lt;1,AN157&lt;1),0,IF(ISERROR(AB157-AC157),"",AB157-AC157)))))))))))))</f>
        <v>0</v>
      </c>
      <c r="AK157" s="1835"/>
      <c r="AL157" s="1835"/>
      <c r="AM157" s="1216">
        <f>IF(Q157=0,0,IF(T157=0,0,IF(T157&gt;K157,0,IF(AND(AS157&gt;0.01,BK157=0),0,IF(AND('Proposed Lighting'!DG157=0,'Lighting Controls'!Z157=0.35),0,IF(AND(T157&lt;=K157,AA157&gt;=AD157,'Proposed Lighting'!AU157=2),VLOOKUP(Q157,$AY$9:$AZ$15,2,FALSE),IF(AND(T157&lt;=K157,AA157&gt;=AD157,'Proposed Lighting'!AU157=3),VLOOKUP(Q157,$AY$17:$AZ$23,2,FALSE))))))))</f>
        <v>0</v>
      </c>
      <c r="AN157" s="1248">
        <f>IF(T157=0,0,IF(K157&gt;'Proposed Lighting'!AA157,0,IF(AE157=0,0,IF(AND(AD157&gt;AA157,AA157&gt;0),0,IF(U157=0,0,Summary!AE460)))))</f>
        <v>0</v>
      </c>
      <c r="AO157" s="1248">
        <f t="shared" si="37"/>
        <v>0</v>
      </c>
      <c r="AP157" s="1249">
        <f>IF('Proposed Lighting'!AU157=1,0,IF(K157=0,0,IF(T157&gt;K157,0,IF(G157=0,0,IF(K157&gt;'Proposed Lighting'!AA157,0,IF(AND(AD157&gt;AA157,AA157&gt;0),0,IF(AND('Proposed Lighting'!AU157=3,AM157=0.5),0,IF(AND(AM157&gt;0,AS157&gt;0,BI157&lt;2),0,IF('Proposed Lighting'!CH157=100,0,IF(AV157=1,0,IF(AND(AM157=35,M157+N157&lt;2),0,AM157)))))))))))</f>
        <v>0</v>
      </c>
      <c r="AQ157" s="1249" t="str">
        <f>IFERROR(ROUND(IF(Q157="","",IF('Proposed Lighting'!$X$4=0,0,IF(AND(AM157=35,M157+N157&lt;2),0,IF(T157&gt;K157,0,IF('Proposed Lighting'!AU157=1,0,IF(AJ157=0,0,IF(AND('Proposed Lighting'!AU157=3,AM157=0.5),0,IF(AND(AD157=75,AP157=0,AV157=0),0,IF(AP157&gt;0.01,AP157*T157,IF(AND(F157&gt;1,W157&lt;0.01),0,IF(AND(F157&gt;1,AO157=0),0,IF(AND('Proposed Lighting'!BC157=22,AV157=0),0,IF(AND(AM157&gt;0,AS157&gt;0,BI157&lt;2),0,IF(AND(AS157&gt;0.01,BK157=0),0,IF(AND(AO157=TRUE,AV157=1,F157=3),MIN(AJ157*0.08,L157),IF(AP157&gt;0.01,AP157*T157,IF(AND(AO157=TRUE,AV157=1,F157=2),MIN(AJ157*0.1,L157)))))))))))))))))),2),"")</f>
        <v/>
      </c>
      <c r="AR157" s="1250">
        <f>IF(Q157=0,0,IF('Proposed Lighting'!$X$4=0,0,IF(AND(AM157&gt;0.01,AQ157&gt;0.01),0,IF('Proposed Lighting'!AU157=1,"Missing Interior or Exterior Selection",IF('Proposed Lighting'!CF157=1,"Selection does not match",IF(K157&gt;'Proposed Lighting'!AA157,"Quantity controlled does not match proposed lighting quantity",IF(T157&gt;K157,"Quantity of sensors exceeds proposed lighting quantity",IF(AND(F157&gt;1,'Proposed Lighting'!AU157&lt;&gt;F157),"Selection does not match",IF(AND(AD157&gt;AA157,AA157&gt;0),"Does not meet minimum connected load",IF(AND(O157&gt;0,AS157&gt;0,BK157&gt;0,'Proposed Lighting'!CH157=0),"Select Control Strategies",IF(AND(AC157&gt;0.1,AJ157=0,AQ157=0),"Does not meet incentive criteria",0)))))))))))</f>
        <v>0</v>
      </c>
      <c r="AS157" s="1224">
        <f>IF('Proposed Lighting'!CH157=100,0,IF(ISNUMBER(SEARCH("multiple",Q157)),1,0))</f>
        <v>0</v>
      </c>
      <c r="AT157" s="451">
        <f t="shared" si="34"/>
        <v>0</v>
      </c>
      <c r="AU157" s="451">
        <f t="shared" si="35"/>
        <v>0</v>
      </c>
      <c r="AV157" s="1222">
        <f>IF(ISNUMBER(SEARCH("Networked",'Proposed Lighting'!T157)),0,IF(ISNUMBER(SEARCH("Strategies",'Proposed Lighting'!T157)),0,IF(ISNUMBER(SEARCH("Removal",'Proposed Lighting'!T157)),0,IF(ISNUMBER(SEARCH("non-standard",Q157)),1,0))))</f>
        <v>0</v>
      </c>
      <c r="AW157" s="451">
        <f t="shared" si="38"/>
        <v>0</v>
      </c>
      <c r="AX157" s="451"/>
      <c r="AY157" s="451"/>
      <c r="AZ157" s="451"/>
      <c r="BA157" s="451"/>
      <c r="BB157" s="451"/>
      <c r="BC157" s="1215"/>
      <c r="BD157" s="1215"/>
      <c r="BE157" s="1215"/>
      <c r="BF157" s="1215"/>
      <c r="BG157" s="1215"/>
      <c r="BH157" s="1215"/>
      <c r="BI157">
        <f>IF(AND(AS157=1,BC157="No",BD157="Yes",BE157="Yes",BF157="No",BH157="No"),0,IF(AND('Proposed Lighting'!AU157=2,AS157=1,BC157="Yes",BD157="Yes"),2,IF(AND('Proposed Lighting'!AU157=2,AS157=1,BC157="Yes",BE157="Yes"),2,IF(AND('Proposed Lighting'!AU157=2,AS157=1,BC157="Yes",BF157="Yes"),2,IF(AND('Proposed Lighting'!AU157=2,AS157=1,BC157="Yes",BH157="Yes"),2,IF(AND('Proposed Lighting'!AU157=2,AS157=1,BD157="Yes",BF157="Yes"),2,IF(AND('Proposed Lighting'!AU157=2,AS157=1,BD157="Yes",BH157="Yes"),2,IF(AND('Proposed Lighting'!AU157=3,AS157=1,BC157="Yes",BE157="Yes"),2,IF(AND('Proposed Lighting'!AU157=3,AS157=1,BC157="Yes",BF157="Yes"),2,0)))))))))</f>
        <v>0</v>
      </c>
      <c r="BJ157" s="1025">
        <f t="shared" si="36"/>
        <v>0</v>
      </c>
      <c r="BK157">
        <f>IF(AND('Proposed Lighting'!BC157=22,'Lighting Controls'!N157=1),0,IF(ISNUMBER(SEARCH("LED",G157)),1,0))</f>
        <v>0</v>
      </c>
    </row>
    <row r="158" spans="1:63" ht="34.5" customHeight="1">
      <c r="A158" s="917">
        <v>150</v>
      </c>
      <c r="B158" s="1828" t="str">
        <f>IF('Proposed Lighting'!B158="","",'Proposed Lighting'!B158)</f>
        <v/>
      </c>
      <c r="C158" s="1828"/>
      <c r="D158" s="1828"/>
      <c r="E158" s="1245">
        <f>'Proposed Lighting'!AA158</f>
        <v>0</v>
      </c>
      <c r="F158" s="1245">
        <f t="shared" si="29"/>
        <v>0</v>
      </c>
      <c r="G158" s="1830" t="str">
        <f>IF('Proposed Lighting'!T158="","",IF(ISNUMBER(SEARCH("Networked",'Proposed Lighting'!T158)),0,IF(ISNUMBER(SEARCH("Strategies",'Proposed Lighting'!T158)),0,IF(ISNUMBER(SEARCH("Removal",'Proposed Lighting'!T158)),0,'Proposed Lighting'!T158))))</f>
        <v/>
      </c>
      <c r="H158" s="1830"/>
      <c r="I158" s="1830"/>
      <c r="J158" s="1830"/>
      <c r="K158" s="1215"/>
      <c r="L158" s="1246">
        <f t="shared" si="30"/>
        <v>0</v>
      </c>
      <c r="M158" s="1224">
        <f t="shared" si="31"/>
        <v>0</v>
      </c>
      <c r="N158" s="1224">
        <f t="shared" si="32"/>
        <v>0</v>
      </c>
      <c r="O158" s="1825" t="str">
        <f>IF(G158=0,0,IF(ISNA('Proposed Lighting'!AT158),0,'Proposed Lighting'!AT158))</f>
        <v/>
      </c>
      <c r="P158" s="1825"/>
      <c r="Q158" s="1247"/>
      <c r="R158" s="1247"/>
      <c r="S158" s="1247"/>
      <c r="T158" s="1211"/>
      <c r="U158" s="1235">
        <f>IF(K158&gt;0.01,'Proposed Lighting'!CU158,0)</f>
        <v>0</v>
      </c>
      <c r="V158" s="1248">
        <f>IF('Proposed Lighting'!CF158=1,0,IF('Proposed Lighting'!AU158=2,0,IF(AND('Proposed Lighting'!AU158=3,'Proposed Lighting'!CF158=0),1,0)))</f>
        <v>0</v>
      </c>
      <c r="W158" s="1836"/>
      <c r="X158" s="1836"/>
      <c r="Y158" s="1836"/>
      <c r="Z158" s="1230" t="str">
        <f t="shared" si="26"/>
        <v/>
      </c>
      <c r="AA158" s="1230">
        <f t="shared" si="27"/>
        <v>0</v>
      </c>
      <c r="AB158" s="1230">
        <f>IF(Q158=0,0,IF(T158=0,0,IF(AA158=0,0,IF(AND(F158=3,V158=0),0,IF(T158=0,0,IF(K158&gt;'Proposed Lighting'!AA158,0,IF('Proposed Lighting'!EJ158&gt;0.01,(K158*O158)*'Proposed Lighting'!EJ158/1000,(K158*O158)*U158/1000)))))))</f>
        <v>0</v>
      </c>
      <c r="AC158" s="1230" t="str">
        <f t="shared" si="33"/>
        <v/>
      </c>
      <c r="AD158" s="1230">
        <f t="shared" si="28"/>
        <v>0</v>
      </c>
      <c r="AE158" s="1230">
        <f>IF(T158=0,0,IF(K158&gt;'Proposed Lighting'!AA158,0,IF(T158&gt;K158,0,IF(AND(AD158&gt;AA158,AA158&gt;0),0,IF(AND(F158&gt;1,W158&lt;0.01),0,IF('Proposed Lighting'!AU158&gt;'Lighting Controls'!F158,0,IF('Proposed Lighting'!AU158&lt;'Lighting Controls'!F158,0,IF(U158=0,0,Summary!AC461))))))))</f>
        <v>0</v>
      </c>
      <c r="AF158" s="1230">
        <f>IF(T158=0,0,IF(AE158=0,0,IF(K158&gt;'Proposed Lighting'!AA158,0,IF(AND(AD158&gt;AA158,AA158&gt;0),0,IF(U158=0,0,Summary!AD461)))))</f>
        <v>0</v>
      </c>
      <c r="AG158" s="1834">
        <f>IF('Proposed Lighting'!AU158=1,0,IF('Proposed Lighting'!CF158=1,0,T158*W158))</f>
        <v>0</v>
      </c>
      <c r="AH158" s="1834"/>
      <c r="AI158" s="1834"/>
      <c r="AJ158" s="1835">
        <f>IF(T158&lt;1,0,IF(K158&gt;'Proposed Lighting'!AA158,0,IF('Proposed Lighting'!CF158=1,0,IF('Proposed Lighting'!AU158=1,0,IF(T158&gt;K158,0,IF(AND(AD158&gt;AA158,AA158&gt;0),0,IF(AND(F158=2,'Proposed Lighting'!AU158=3),0,IF(AND(F158=3,'Proposed Lighting'!AU158=2),0,IF('Proposed Lighting'!CH158=100,0,IF(AND(F158&lt;3,V158=1,AM158=0),0,IF(AND(F158&gt;1,AF158&lt;1,AN158&lt;1),0,IF(AND(F158&gt;1,AE158&lt;0.69,AF158&lt;1,AN158&lt;1),0,IF(ISERROR(AB158-AC158),"",AB158-AC158)))))))))))))</f>
        <v>0</v>
      </c>
      <c r="AK158" s="1835"/>
      <c r="AL158" s="1835"/>
      <c r="AM158" s="1216">
        <f>IF(Q158=0,0,IF(T158=0,0,IF(T158&gt;K158,0,IF(AND(AS158&gt;0.01,BK158=0),0,IF(AND('Proposed Lighting'!DG158=0,'Lighting Controls'!Z158=0.35),0,IF(AND(T158&lt;=K158,AA158&gt;=AD158,'Proposed Lighting'!AU158=2),VLOOKUP(Q158,$AY$9:$AZ$15,2,FALSE),IF(AND(T158&lt;=K158,AA158&gt;=AD158,'Proposed Lighting'!AU158=3),VLOOKUP(Q158,$AY$17:$AZ$23,2,FALSE))))))))</f>
        <v>0</v>
      </c>
      <c r="AN158" s="1248">
        <f>IF(T158=0,0,IF(K158&gt;'Proposed Lighting'!AA158,0,IF(AE158=0,0,IF(AND(AD158&gt;AA158,AA158&gt;0),0,IF(U158=0,0,Summary!AE461)))))</f>
        <v>0</v>
      </c>
      <c r="AO158" s="1248">
        <f t="shared" si="37"/>
        <v>0</v>
      </c>
      <c r="AP158" s="1249">
        <f>IF('Proposed Lighting'!AU158=1,0,IF(K158=0,0,IF(T158&gt;K158,0,IF(G158=0,0,IF(K158&gt;'Proposed Lighting'!AA158,0,IF(AND(AD158&gt;AA158,AA158&gt;0),0,IF(AND('Proposed Lighting'!AU158=3,AM158=0.5),0,IF(AND(AM158&gt;0,AS158&gt;0,BI158&lt;2),0,IF('Proposed Lighting'!CH158=100,0,IF(AV158=1,0,IF(AND(AM158=35,M158+N158&lt;2),0,AM158)))))))))))</f>
        <v>0</v>
      </c>
      <c r="AQ158" s="1249" t="str">
        <f>IFERROR(ROUND(IF(Q158="","",IF('Proposed Lighting'!$X$4=0,0,IF(AND(AM158=35,M158+N158&lt;2),0,IF(T158&gt;K158,0,IF('Proposed Lighting'!AU158=1,0,IF(AJ158=0,0,IF(AND('Proposed Lighting'!AU158=3,AM158=0.5),0,IF(AND(AD158=75,AP158=0,AV158=0),0,IF(AP158&gt;0.01,AP158*T158,IF(AND(F158&gt;1,W158&lt;0.01),0,IF(AND(F158&gt;1,AO158=0),0,IF(AND('Proposed Lighting'!BC158=22,AV158=0),0,IF(AND(AM158&gt;0,AS158&gt;0,BI158&lt;2),0,IF(AND(AS158&gt;0.01,BK158=0),0,IF(AND(AO158=TRUE,AV158=1,F158=3),MIN(AJ158*0.08,L158),IF(AP158&gt;0.01,AP158*T158,IF(AND(AO158=TRUE,AV158=1,F158=2),MIN(AJ158*0.1,L158)))))))))))))))))),2),"")</f>
        <v/>
      </c>
      <c r="AR158" s="1250">
        <f>IF(Q158=0,0,IF('Proposed Lighting'!$X$4=0,0,IF(AND(AM158&gt;0.01,AQ158&gt;0.01),0,IF('Proposed Lighting'!AU158=1,"Missing Interior or Exterior Selection",IF('Proposed Lighting'!CF158=1,"Selection does not match",IF(K158&gt;'Proposed Lighting'!AA158,"Quantity controlled does not match proposed lighting quantity",IF(T158&gt;K158,"Quantity of sensors exceeds proposed lighting quantity",IF(AND(F158&gt;1,'Proposed Lighting'!AU158&lt;&gt;F158),"Selection does not match",IF(AND(AD158&gt;AA158,AA158&gt;0),"Does not meet minimum connected load",IF(AND(O158&gt;0,AS158&gt;0,BK158&gt;0,'Proposed Lighting'!CH158=0),"Select Control Strategies",IF(AND(AC158&gt;0.1,AJ158=0,AQ158=0),"Does not meet incentive criteria",0)))))))))))</f>
        <v>0</v>
      </c>
      <c r="AS158" s="1224">
        <f>IF('Proposed Lighting'!CH158=100,0,IF(ISNUMBER(SEARCH("multiple",Q158)),1,0))</f>
        <v>0</v>
      </c>
      <c r="AT158" s="451">
        <f t="shared" si="34"/>
        <v>0</v>
      </c>
      <c r="AU158" s="451">
        <f t="shared" si="35"/>
        <v>0</v>
      </c>
      <c r="AV158" s="1222">
        <f>IF(ISNUMBER(SEARCH("Networked",'Proposed Lighting'!T158)),0,IF(ISNUMBER(SEARCH("Strategies",'Proposed Lighting'!T158)),0,IF(ISNUMBER(SEARCH("Removal",'Proposed Lighting'!T158)),0,IF(ISNUMBER(SEARCH("non-standard",Q158)),1,0))))</f>
        <v>0</v>
      </c>
      <c r="AW158" s="451">
        <f t="shared" si="38"/>
        <v>0</v>
      </c>
      <c r="AX158" s="451"/>
      <c r="AY158" s="451"/>
      <c r="AZ158" s="451"/>
      <c r="BA158" s="451"/>
      <c r="BB158" s="451"/>
      <c r="BC158" s="1215"/>
      <c r="BD158" s="1215"/>
      <c r="BE158" s="1215"/>
      <c r="BF158" s="1215"/>
      <c r="BG158" s="1215"/>
      <c r="BH158" s="1215"/>
      <c r="BI158">
        <f>IF(AND(AS158=1,BC158="No",BD158="Yes",BE158="Yes",BF158="No",BH158="No"),0,IF(AND('Proposed Lighting'!AU158=2,AS158=1,BC158="Yes",BD158="Yes"),2,IF(AND('Proposed Lighting'!AU158=2,AS158=1,BC158="Yes",BE158="Yes"),2,IF(AND('Proposed Lighting'!AU158=2,AS158=1,BC158="Yes",BF158="Yes"),2,IF(AND('Proposed Lighting'!AU158=2,AS158=1,BC158="Yes",BH158="Yes"),2,IF(AND('Proposed Lighting'!AU158=2,AS158=1,BD158="Yes",BF158="Yes"),2,IF(AND('Proposed Lighting'!AU158=2,AS158=1,BD158="Yes",BH158="Yes"),2,IF(AND('Proposed Lighting'!AU158=3,AS158=1,BC158="Yes",BE158="Yes"),2,IF(AND('Proposed Lighting'!AU158=3,AS158=1,BC158="Yes",BF158="Yes"),2,0)))))))))</f>
        <v>0</v>
      </c>
      <c r="BJ158" s="1025">
        <f t="shared" si="36"/>
        <v>0</v>
      </c>
      <c r="BK158">
        <f>IF(AND('Proposed Lighting'!BC158=22,'Lighting Controls'!N158=1),0,IF(ISNUMBER(SEARCH("LED",G158)),1,0))</f>
        <v>0</v>
      </c>
    </row>
    <row r="159" spans="1:63" ht="34.5" customHeight="1">
      <c r="A159" s="917">
        <v>151</v>
      </c>
      <c r="B159" s="1828" t="str">
        <f>IF('Proposed Lighting'!B159="","",'Proposed Lighting'!B159)</f>
        <v/>
      </c>
      <c r="C159" s="1828"/>
      <c r="D159" s="1828"/>
      <c r="E159" s="1245">
        <f>'Proposed Lighting'!AA159</f>
        <v>0</v>
      </c>
      <c r="F159" s="1245">
        <f t="shared" si="29"/>
        <v>0</v>
      </c>
      <c r="G159" s="1830" t="str">
        <f>IF('Proposed Lighting'!T159="","",IF(ISNUMBER(SEARCH("Networked",'Proposed Lighting'!T159)),0,IF(ISNUMBER(SEARCH("Strategies",'Proposed Lighting'!T159)),0,IF(ISNUMBER(SEARCH("Removal",'Proposed Lighting'!T159)),0,'Proposed Lighting'!T159))))</f>
        <v/>
      </c>
      <c r="H159" s="1830"/>
      <c r="I159" s="1830"/>
      <c r="J159" s="1830"/>
      <c r="K159" s="1215"/>
      <c r="L159" s="1246">
        <f t="shared" si="30"/>
        <v>0</v>
      </c>
      <c r="M159" s="1224">
        <f t="shared" si="31"/>
        <v>0</v>
      </c>
      <c r="N159" s="1224">
        <f t="shared" si="32"/>
        <v>0</v>
      </c>
      <c r="O159" s="1825" t="str">
        <f>IF(G159=0,0,IF(ISNA('Proposed Lighting'!AT159),0,'Proposed Lighting'!AT159))</f>
        <v/>
      </c>
      <c r="P159" s="1825"/>
      <c r="Q159" s="1247"/>
      <c r="R159" s="1247"/>
      <c r="S159" s="1247"/>
      <c r="T159" s="1211"/>
      <c r="U159" s="1235">
        <f>IF(K159&gt;0.01,'Proposed Lighting'!CU159,0)</f>
        <v>0</v>
      </c>
      <c r="V159" s="1248">
        <f>IF('Proposed Lighting'!CF159=1,0,IF('Proposed Lighting'!AU159=2,0,IF(AND('Proposed Lighting'!AU159=3,'Proposed Lighting'!CF159=0),1,0)))</f>
        <v>0</v>
      </c>
      <c r="W159" s="1836"/>
      <c r="X159" s="1836"/>
      <c r="Y159" s="1836"/>
      <c r="Z159" s="1230" t="str">
        <f t="shared" si="26"/>
        <v/>
      </c>
      <c r="AA159" s="1230">
        <f t="shared" si="27"/>
        <v>0</v>
      </c>
      <c r="AB159" s="1230">
        <f>IF(Q159=0,0,IF(T159=0,0,IF(AA159=0,0,IF(AND(F159=3,V159=0),0,IF(T159=0,0,IF(K159&gt;'Proposed Lighting'!AA159,0,IF('Proposed Lighting'!EJ159&gt;0.01,(K159*O159)*'Proposed Lighting'!EJ159/1000,(K159*O159)*U159/1000)))))))</f>
        <v>0</v>
      </c>
      <c r="AC159" s="1230" t="str">
        <f t="shared" si="33"/>
        <v/>
      </c>
      <c r="AD159" s="1230">
        <f t="shared" si="28"/>
        <v>0</v>
      </c>
      <c r="AE159" s="1230">
        <f>IF(T159=0,0,IF(K159&gt;'Proposed Lighting'!AA159,0,IF(T159&gt;K159,0,IF(AND(AD159&gt;AA159,AA159&gt;0),0,IF(AND(F159&gt;1,W159&lt;0.01),0,IF('Proposed Lighting'!AU159&gt;'Lighting Controls'!F159,0,IF('Proposed Lighting'!AU159&lt;'Lighting Controls'!F159,0,IF(U159=0,0,Summary!AC462))))))))</f>
        <v>0</v>
      </c>
      <c r="AF159" s="1230">
        <f>IF(T159=0,0,IF(AE159=0,0,IF(K159&gt;'Proposed Lighting'!AA159,0,IF(AND(AD159&gt;AA159,AA159&gt;0),0,IF(U159=0,0,Summary!AD462)))))</f>
        <v>0</v>
      </c>
      <c r="AG159" s="1834">
        <f>IF('Proposed Lighting'!AU159=1,0,IF('Proposed Lighting'!CF159=1,0,T159*W159))</f>
        <v>0</v>
      </c>
      <c r="AH159" s="1834"/>
      <c r="AI159" s="1834"/>
      <c r="AJ159" s="1835">
        <f>IF(T159&lt;1,0,IF(K159&gt;'Proposed Lighting'!AA159,0,IF('Proposed Lighting'!CF159=1,0,IF('Proposed Lighting'!AU159=1,0,IF(T159&gt;K159,0,IF(AND(AD159&gt;AA159,AA159&gt;0),0,IF(AND(F159=2,'Proposed Lighting'!AU159=3),0,IF(AND(F159=3,'Proposed Lighting'!AU159=2),0,IF('Proposed Lighting'!CH159=100,0,IF(AND(F159&lt;3,V159=1,AM159=0),0,IF(AND(F159&gt;1,AF159&lt;1,AN159&lt;1),0,IF(AND(F159&gt;1,AE159&lt;0.69,AF159&lt;1,AN159&lt;1),0,IF(ISERROR(AB159-AC159),"",AB159-AC159)))))))))))))</f>
        <v>0</v>
      </c>
      <c r="AK159" s="1835"/>
      <c r="AL159" s="1835"/>
      <c r="AM159" s="1216">
        <f>IF(Q159=0,0,IF(T159=0,0,IF(T159&gt;K159,0,IF(AND(AS159&gt;0.01,BK159=0),0,IF(AND('Proposed Lighting'!DG159=0,'Lighting Controls'!Z159=0.35),0,IF(AND(T159&lt;=K159,AA159&gt;=AD159,'Proposed Lighting'!AU159=2),VLOOKUP(Q159,$AY$9:$AZ$15,2,FALSE),IF(AND(T159&lt;=K159,AA159&gt;=AD159,'Proposed Lighting'!AU159=3),VLOOKUP(Q159,$AY$17:$AZ$23,2,FALSE))))))))</f>
        <v>0</v>
      </c>
      <c r="AN159" s="1248">
        <f>IF(T159=0,0,IF(K159&gt;'Proposed Lighting'!AA159,0,IF(AE159=0,0,IF(AND(AD159&gt;AA159,AA159&gt;0),0,IF(U159=0,0,Summary!AE462)))))</f>
        <v>0</v>
      </c>
      <c r="AO159" s="1248">
        <f t="shared" si="37"/>
        <v>0</v>
      </c>
      <c r="AP159" s="1249">
        <f>IF('Proposed Lighting'!AU159=1,0,IF(K159=0,0,IF(T159&gt;K159,0,IF(G159=0,0,IF(K159&gt;'Proposed Lighting'!AA159,0,IF(AND(AD159&gt;AA159,AA159&gt;0),0,IF(AND('Proposed Lighting'!AU159=3,AM159=0.5),0,IF(AND(AM159&gt;0,AS159&gt;0,BI159&lt;2),0,IF('Proposed Lighting'!CH159=100,0,IF(AV159=1,0,IF(AND(AM159=35,M159+N159&lt;2),0,AM159)))))))))))</f>
        <v>0</v>
      </c>
      <c r="AQ159" s="1249" t="str">
        <f>IFERROR(ROUND(IF(Q159="","",IF('Proposed Lighting'!$X$4=0,0,IF(AND(AM159=35,M159+N159&lt;2),0,IF(T159&gt;K159,0,IF('Proposed Lighting'!AU159=1,0,IF(AJ159=0,0,IF(AND('Proposed Lighting'!AU159=3,AM159=0.5),0,IF(AND(AD159=75,AP159=0,AV159=0),0,IF(AP159&gt;0.01,AP159*T159,IF(AND(F159&gt;1,W159&lt;0.01),0,IF(AND(F159&gt;1,AO159=0),0,IF(AND('Proposed Lighting'!BC159=22,AV159=0),0,IF(AND(AM159&gt;0,AS159&gt;0,BI159&lt;2),0,IF(AND(AS159&gt;0.01,BK159=0),0,IF(AND(AO159=TRUE,AV159=1,F159=3),MIN(AJ159*0.08,L159),IF(AP159&gt;0.01,AP159*T159,IF(AND(AO159=TRUE,AV159=1,F159=2),MIN(AJ159*0.1,L159)))))))))))))))))),2),"")</f>
        <v/>
      </c>
      <c r="AR159" s="1250">
        <f>IF(Q159=0,0,IF('Proposed Lighting'!$X$4=0,0,IF(AND(AM159&gt;0.01,AQ159&gt;0.01),0,IF('Proposed Lighting'!AU159=1,"Missing Interior or Exterior Selection",IF('Proposed Lighting'!CF159=1,"Selection does not match",IF(K159&gt;'Proposed Lighting'!AA159,"Quantity controlled does not match proposed lighting quantity",IF(T159&gt;K159,"Quantity of sensors exceeds proposed lighting quantity",IF(AND(F159&gt;1,'Proposed Lighting'!AU159&lt;&gt;F159),"Selection does not match",IF(AND(AD159&gt;AA159,AA159&gt;0),"Does not meet minimum connected load",IF(AND(O159&gt;0,AS159&gt;0,BK159&gt;0,'Proposed Lighting'!CH159=0),"Select Control Strategies",IF(AND(AC159&gt;0.1,AJ159=0,AQ159=0),"Does not meet incentive criteria",0)))))))))))</f>
        <v>0</v>
      </c>
      <c r="AS159" s="1224">
        <f>IF('Proposed Lighting'!CH159=100,0,IF(ISNUMBER(SEARCH("multiple",Q159)),1,0))</f>
        <v>0</v>
      </c>
      <c r="AT159" s="451">
        <f t="shared" si="34"/>
        <v>0</v>
      </c>
      <c r="AU159" s="451">
        <f t="shared" si="35"/>
        <v>0</v>
      </c>
      <c r="AV159" s="1222">
        <f>IF(ISNUMBER(SEARCH("Networked",'Proposed Lighting'!T159)),0,IF(ISNUMBER(SEARCH("Strategies",'Proposed Lighting'!T159)),0,IF(ISNUMBER(SEARCH("Removal",'Proposed Lighting'!T159)),0,IF(ISNUMBER(SEARCH("non-standard",Q159)),1,0))))</f>
        <v>0</v>
      </c>
      <c r="AW159" s="451">
        <f t="shared" si="38"/>
        <v>0</v>
      </c>
      <c r="AX159" s="451"/>
      <c r="AY159" s="451"/>
      <c r="AZ159" s="451"/>
      <c r="BA159" s="451"/>
      <c r="BB159" s="451"/>
      <c r="BC159" s="1215"/>
      <c r="BD159" s="1215"/>
      <c r="BE159" s="1215"/>
      <c r="BF159" s="1215"/>
      <c r="BG159" s="1215"/>
      <c r="BH159" s="1215"/>
      <c r="BI159">
        <f>IF(AND(AS159=1,BC159="No",BD159="Yes",BE159="Yes",BF159="No",BH159="No"),0,IF(AND('Proposed Lighting'!AU159=2,AS159=1,BC159="Yes",BD159="Yes"),2,IF(AND('Proposed Lighting'!AU159=2,AS159=1,BC159="Yes",BE159="Yes"),2,IF(AND('Proposed Lighting'!AU159=2,AS159=1,BC159="Yes",BF159="Yes"),2,IF(AND('Proposed Lighting'!AU159=2,AS159=1,BC159="Yes",BH159="Yes"),2,IF(AND('Proposed Lighting'!AU159=2,AS159=1,BD159="Yes",BF159="Yes"),2,IF(AND('Proposed Lighting'!AU159=2,AS159=1,BD159="Yes",BH159="Yes"),2,IF(AND('Proposed Lighting'!AU159=3,AS159=1,BC159="Yes",BE159="Yes"),2,IF(AND('Proposed Lighting'!AU159=3,AS159=1,BC159="Yes",BF159="Yes"),2,0)))))))))</f>
        <v>0</v>
      </c>
      <c r="BJ159" s="1025">
        <f t="shared" si="36"/>
        <v>0</v>
      </c>
      <c r="BK159">
        <f>IF(AND('Proposed Lighting'!BC159=22,'Lighting Controls'!N159=1),0,IF(ISNUMBER(SEARCH("LED",G159)),1,0))</f>
        <v>0</v>
      </c>
    </row>
    <row r="160" spans="1:63" ht="34.5" customHeight="1">
      <c r="A160" s="917">
        <v>152</v>
      </c>
      <c r="B160" s="1828" t="str">
        <f>IF('Proposed Lighting'!B160="","",'Proposed Lighting'!B160)</f>
        <v/>
      </c>
      <c r="C160" s="1828"/>
      <c r="D160" s="1828"/>
      <c r="E160" s="1245">
        <f>'Proposed Lighting'!AA160</f>
        <v>0</v>
      </c>
      <c r="F160" s="1245">
        <f t="shared" si="29"/>
        <v>0</v>
      </c>
      <c r="G160" s="1830" t="str">
        <f>IF('Proposed Lighting'!T160="","",IF(ISNUMBER(SEARCH("Networked",'Proposed Lighting'!T160)),0,IF(ISNUMBER(SEARCH("Strategies",'Proposed Lighting'!T160)),0,IF(ISNUMBER(SEARCH("Removal",'Proposed Lighting'!T160)),0,'Proposed Lighting'!T160))))</f>
        <v/>
      </c>
      <c r="H160" s="1830"/>
      <c r="I160" s="1830"/>
      <c r="J160" s="1830"/>
      <c r="K160" s="1215"/>
      <c r="L160" s="1246">
        <f t="shared" si="30"/>
        <v>0</v>
      </c>
      <c r="M160" s="1224">
        <f t="shared" si="31"/>
        <v>0</v>
      </c>
      <c r="N160" s="1224">
        <f t="shared" si="32"/>
        <v>0</v>
      </c>
      <c r="O160" s="1825" t="str">
        <f>IF(G160=0,0,IF(ISNA('Proposed Lighting'!AT160),0,'Proposed Lighting'!AT160))</f>
        <v/>
      </c>
      <c r="P160" s="1825"/>
      <c r="Q160" s="1247"/>
      <c r="R160" s="1247"/>
      <c r="S160" s="1247"/>
      <c r="T160" s="1211"/>
      <c r="U160" s="1235">
        <f>IF(K160&gt;0.01,'Proposed Lighting'!CU160,0)</f>
        <v>0</v>
      </c>
      <c r="V160" s="1248">
        <f>IF('Proposed Lighting'!CF160=1,0,IF('Proposed Lighting'!AU160=2,0,IF(AND('Proposed Lighting'!AU160=3,'Proposed Lighting'!CF160=0),1,0)))</f>
        <v>0</v>
      </c>
      <c r="W160" s="1836"/>
      <c r="X160" s="1836"/>
      <c r="Y160" s="1836"/>
      <c r="Z160" s="1230" t="str">
        <f t="shared" si="26"/>
        <v/>
      </c>
      <c r="AA160" s="1230">
        <f t="shared" si="27"/>
        <v>0</v>
      </c>
      <c r="AB160" s="1230">
        <f>IF(Q160=0,0,IF(T160=0,0,IF(AA160=0,0,IF(AND(F160=3,V160=0),0,IF(T160=0,0,IF(K160&gt;'Proposed Lighting'!AA160,0,IF('Proposed Lighting'!EJ160&gt;0.01,(K160*O160)*'Proposed Lighting'!EJ160/1000,(K160*O160)*U160/1000)))))))</f>
        <v>0</v>
      </c>
      <c r="AC160" s="1230" t="str">
        <f t="shared" si="33"/>
        <v/>
      </c>
      <c r="AD160" s="1230">
        <f t="shared" si="28"/>
        <v>0</v>
      </c>
      <c r="AE160" s="1230">
        <f>IF(T160=0,0,IF(K160&gt;'Proposed Lighting'!AA160,0,IF(T160&gt;K160,0,IF(AND(AD160&gt;AA160,AA160&gt;0),0,IF(AND(F160&gt;1,W160&lt;0.01),0,IF('Proposed Lighting'!AU160&gt;'Lighting Controls'!F160,0,IF('Proposed Lighting'!AU160&lt;'Lighting Controls'!F160,0,IF(U160=0,0,Summary!AC463))))))))</f>
        <v>0</v>
      </c>
      <c r="AF160" s="1230">
        <f>IF(T160=0,0,IF(AE160=0,0,IF(K160&gt;'Proposed Lighting'!AA160,0,IF(AND(AD160&gt;AA160,AA160&gt;0),0,IF(U160=0,0,Summary!AD463)))))</f>
        <v>0</v>
      </c>
      <c r="AG160" s="1834">
        <f>IF('Proposed Lighting'!AU160=1,0,IF('Proposed Lighting'!CF160=1,0,T160*W160))</f>
        <v>0</v>
      </c>
      <c r="AH160" s="1834"/>
      <c r="AI160" s="1834"/>
      <c r="AJ160" s="1835">
        <f>IF(T160&lt;1,0,IF(K160&gt;'Proposed Lighting'!AA160,0,IF('Proposed Lighting'!CF160=1,0,IF('Proposed Lighting'!AU160=1,0,IF(T160&gt;K160,0,IF(AND(AD160&gt;AA160,AA160&gt;0),0,IF(AND(F160=2,'Proposed Lighting'!AU160=3),0,IF(AND(F160=3,'Proposed Lighting'!AU160=2),0,IF('Proposed Lighting'!CH160=100,0,IF(AND(F160&lt;3,V160=1,AM160=0),0,IF(AND(F160&gt;1,AF160&lt;1,AN160&lt;1),0,IF(AND(F160&gt;1,AE160&lt;0.69,AF160&lt;1,AN160&lt;1),0,IF(ISERROR(AB160-AC160),"",AB160-AC160)))))))))))))</f>
        <v>0</v>
      </c>
      <c r="AK160" s="1835"/>
      <c r="AL160" s="1835"/>
      <c r="AM160" s="1216">
        <f>IF(Q160=0,0,IF(T160=0,0,IF(T160&gt;K160,0,IF(AND(AS160&gt;0.01,BK160=0),0,IF(AND('Proposed Lighting'!DG160=0,'Lighting Controls'!Z160=0.35),0,IF(AND(T160&lt;=K160,AA160&gt;=AD160,'Proposed Lighting'!AU160=2),VLOOKUP(Q160,$AY$9:$AZ$15,2,FALSE),IF(AND(T160&lt;=K160,AA160&gt;=AD160,'Proposed Lighting'!AU160=3),VLOOKUP(Q160,$AY$17:$AZ$23,2,FALSE))))))))</f>
        <v>0</v>
      </c>
      <c r="AN160" s="1248">
        <f>IF(T160=0,0,IF(K160&gt;'Proposed Lighting'!AA160,0,IF(AE160=0,0,IF(AND(AD160&gt;AA160,AA160&gt;0),0,IF(U160=0,0,Summary!AE463)))))</f>
        <v>0</v>
      </c>
      <c r="AO160" s="1248">
        <f t="shared" si="37"/>
        <v>0</v>
      </c>
      <c r="AP160" s="1249">
        <f>IF('Proposed Lighting'!AU160=1,0,IF(K160=0,0,IF(T160&gt;K160,0,IF(G160=0,0,IF(K160&gt;'Proposed Lighting'!AA160,0,IF(AND(AD160&gt;AA160,AA160&gt;0),0,IF(AND('Proposed Lighting'!AU160=3,AM160=0.5),0,IF(AND(AM160&gt;0,AS160&gt;0,BI160&lt;2),0,IF('Proposed Lighting'!CH160=100,0,IF(AV160=1,0,IF(AND(AM160=35,M160+N160&lt;2),0,AM160)))))))))))</f>
        <v>0</v>
      </c>
      <c r="AQ160" s="1249" t="str">
        <f>IFERROR(ROUND(IF(Q160="","",IF('Proposed Lighting'!$X$4=0,0,IF(AND(AM160=35,M160+N160&lt;2),0,IF(T160&gt;K160,0,IF('Proposed Lighting'!AU160=1,0,IF(AJ160=0,0,IF(AND('Proposed Lighting'!AU160=3,AM160=0.5),0,IF(AND(AD160=75,AP160=0,AV160=0),0,IF(AP160&gt;0.01,AP160*T160,IF(AND(F160&gt;1,W160&lt;0.01),0,IF(AND(F160&gt;1,AO160=0),0,IF(AND('Proposed Lighting'!BC160=22,AV160=0),0,IF(AND(AM160&gt;0,AS160&gt;0,BI160&lt;2),0,IF(AND(AS160&gt;0.01,BK160=0),0,IF(AND(AO160=TRUE,AV160=1,F160=3),MIN(AJ160*0.08,L160),IF(AP160&gt;0.01,AP160*T160,IF(AND(AO160=TRUE,AV160=1,F160=2),MIN(AJ160*0.1,L160)))))))))))))))))),2),"")</f>
        <v/>
      </c>
      <c r="AR160" s="1250">
        <f>IF(Q160=0,0,IF('Proposed Lighting'!$X$4=0,0,IF(AND(AM160&gt;0.01,AQ160&gt;0.01),0,IF('Proposed Lighting'!AU160=1,"Missing Interior or Exterior Selection",IF('Proposed Lighting'!CF160=1,"Selection does not match",IF(K160&gt;'Proposed Lighting'!AA160,"Quantity controlled does not match proposed lighting quantity",IF(T160&gt;K160,"Quantity of sensors exceeds proposed lighting quantity",IF(AND(F160&gt;1,'Proposed Lighting'!AU160&lt;&gt;F160),"Selection does not match",IF(AND(AD160&gt;AA160,AA160&gt;0),"Does not meet minimum connected load",IF(AND(O160&gt;0,AS160&gt;0,BK160&gt;0,'Proposed Lighting'!CH160=0),"Select Control Strategies",IF(AND(AC160&gt;0.1,AJ160=0,AQ160=0),"Does not meet incentive criteria",0)))))))))))</f>
        <v>0</v>
      </c>
      <c r="AS160" s="1224">
        <f>IF('Proposed Lighting'!CH160=100,0,IF(ISNUMBER(SEARCH("multiple",Q160)),1,0))</f>
        <v>0</v>
      </c>
      <c r="AT160" s="451">
        <f t="shared" si="34"/>
        <v>0</v>
      </c>
      <c r="AU160" s="451">
        <f t="shared" si="35"/>
        <v>0</v>
      </c>
      <c r="AV160" s="1222">
        <f>IF(ISNUMBER(SEARCH("Networked",'Proposed Lighting'!T160)),0,IF(ISNUMBER(SEARCH("Strategies",'Proposed Lighting'!T160)),0,IF(ISNUMBER(SEARCH("Removal",'Proposed Lighting'!T160)),0,IF(ISNUMBER(SEARCH("non-standard",Q160)),1,0))))</f>
        <v>0</v>
      </c>
      <c r="AW160" s="451">
        <f t="shared" si="38"/>
        <v>0</v>
      </c>
      <c r="AX160" s="451"/>
      <c r="AY160" s="451"/>
      <c r="AZ160" s="451"/>
      <c r="BA160" s="451"/>
      <c r="BB160" s="451"/>
      <c r="BC160" s="1215"/>
      <c r="BD160" s="1215"/>
      <c r="BE160" s="1215"/>
      <c r="BF160" s="1215"/>
      <c r="BG160" s="1215"/>
      <c r="BH160" s="1215"/>
      <c r="BI160">
        <f>IF(AND(AS160=1,BC160="No",BD160="Yes",BE160="Yes",BF160="No",BH160="No"),0,IF(AND('Proposed Lighting'!AU160=2,AS160=1,BC160="Yes",BD160="Yes"),2,IF(AND('Proposed Lighting'!AU160=2,AS160=1,BC160="Yes",BE160="Yes"),2,IF(AND('Proposed Lighting'!AU160=2,AS160=1,BC160="Yes",BF160="Yes"),2,IF(AND('Proposed Lighting'!AU160=2,AS160=1,BC160="Yes",BH160="Yes"),2,IF(AND('Proposed Lighting'!AU160=2,AS160=1,BD160="Yes",BF160="Yes"),2,IF(AND('Proposed Lighting'!AU160=2,AS160=1,BD160="Yes",BH160="Yes"),2,IF(AND('Proposed Lighting'!AU160=3,AS160=1,BC160="Yes",BE160="Yes"),2,IF(AND('Proposed Lighting'!AU160=3,AS160=1,BC160="Yes",BF160="Yes"),2,0)))))))))</f>
        <v>0</v>
      </c>
      <c r="BJ160" s="1025">
        <f t="shared" si="36"/>
        <v>0</v>
      </c>
      <c r="BK160">
        <f>IF(AND('Proposed Lighting'!BC160=22,'Lighting Controls'!N160=1),0,IF(ISNUMBER(SEARCH("LED",G160)),1,0))</f>
        <v>0</v>
      </c>
    </row>
    <row r="161" spans="1:63" ht="34.5" customHeight="1">
      <c r="A161" s="917">
        <v>153</v>
      </c>
      <c r="B161" s="1828" t="str">
        <f>IF('Proposed Lighting'!B161="","",'Proposed Lighting'!B161)</f>
        <v/>
      </c>
      <c r="C161" s="1828"/>
      <c r="D161" s="1828"/>
      <c r="E161" s="1245">
        <f>'Proposed Lighting'!AA161</f>
        <v>0</v>
      </c>
      <c r="F161" s="1245">
        <f t="shared" si="29"/>
        <v>0</v>
      </c>
      <c r="G161" s="1830" t="str">
        <f>IF('Proposed Lighting'!T161="","",IF(ISNUMBER(SEARCH("Networked",'Proposed Lighting'!T161)),0,IF(ISNUMBER(SEARCH("Strategies",'Proposed Lighting'!T161)),0,IF(ISNUMBER(SEARCH("Removal",'Proposed Lighting'!T161)),0,'Proposed Lighting'!T161))))</f>
        <v/>
      </c>
      <c r="H161" s="1830"/>
      <c r="I161" s="1830"/>
      <c r="J161" s="1830"/>
      <c r="K161" s="1215"/>
      <c r="L161" s="1246">
        <f t="shared" si="30"/>
        <v>0</v>
      </c>
      <c r="M161" s="1224">
        <f t="shared" si="31"/>
        <v>0</v>
      </c>
      <c r="N161" s="1224">
        <f t="shared" si="32"/>
        <v>0</v>
      </c>
      <c r="O161" s="1825" t="str">
        <f>IF(G161=0,0,IF(ISNA('Proposed Lighting'!AT161),0,'Proposed Lighting'!AT161))</f>
        <v/>
      </c>
      <c r="P161" s="1825"/>
      <c r="Q161" s="1247"/>
      <c r="R161" s="1247"/>
      <c r="S161" s="1247"/>
      <c r="T161" s="1211"/>
      <c r="U161" s="1235">
        <f>IF(K161&gt;0.01,'Proposed Lighting'!CU161,0)</f>
        <v>0</v>
      </c>
      <c r="V161" s="1248">
        <f>IF('Proposed Lighting'!CF161=1,0,IF('Proposed Lighting'!AU161=2,0,IF(AND('Proposed Lighting'!AU161=3,'Proposed Lighting'!CF161=0),1,0)))</f>
        <v>0</v>
      </c>
      <c r="W161" s="1836"/>
      <c r="X161" s="1836"/>
      <c r="Y161" s="1836"/>
      <c r="Z161" s="1230" t="str">
        <f t="shared" si="26"/>
        <v/>
      </c>
      <c r="AA161" s="1230">
        <f t="shared" si="27"/>
        <v>0</v>
      </c>
      <c r="AB161" s="1230">
        <f>IF(Q161=0,0,IF(T161=0,0,IF(AA161=0,0,IF(AND(F161=3,V161=0),0,IF(T161=0,0,IF(K161&gt;'Proposed Lighting'!AA161,0,IF('Proposed Lighting'!EJ161&gt;0.01,(K161*O161)*'Proposed Lighting'!EJ161/1000,(K161*O161)*U161/1000)))))))</f>
        <v>0</v>
      </c>
      <c r="AC161" s="1230" t="str">
        <f t="shared" si="33"/>
        <v/>
      </c>
      <c r="AD161" s="1230">
        <f t="shared" si="28"/>
        <v>0</v>
      </c>
      <c r="AE161" s="1230">
        <f>IF(T161=0,0,IF(K161&gt;'Proposed Lighting'!AA161,0,IF(T161&gt;K161,0,IF(AND(AD161&gt;AA161,AA161&gt;0),0,IF(AND(F161&gt;1,W161&lt;0.01),0,IF('Proposed Lighting'!AU161&gt;'Lighting Controls'!F161,0,IF('Proposed Lighting'!AU161&lt;'Lighting Controls'!F161,0,IF(U161=0,0,Summary!AC464))))))))</f>
        <v>0</v>
      </c>
      <c r="AF161" s="1230">
        <f>IF(T161=0,0,IF(AE161=0,0,IF(K161&gt;'Proposed Lighting'!AA161,0,IF(AND(AD161&gt;AA161,AA161&gt;0),0,IF(U161=0,0,Summary!AD464)))))</f>
        <v>0</v>
      </c>
      <c r="AG161" s="1834">
        <f>IF('Proposed Lighting'!AU161=1,0,IF('Proposed Lighting'!CF161=1,0,T161*W161))</f>
        <v>0</v>
      </c>
      <c r="AH161" s="1834"/>
      <c r="AI161" s="1834"/>
      <c r="AJ161" s="1835">
        <f>IF(T161&lt;1,0,IF(K161&gt;'Proposed Lighting'!AA161,0,IF('Proposed Lighting'!CF161=1,0,IF('Proposed Lighting'!AU161=1,0,IF(T161&gt;K161,0,IF(AND(AD161&gt;AA161,AA161&gt;0),0,IF(AND(F161=2,'Proposed Lighting'!AU161=3),0,IF(AND(F161=3,'Proposed Lighting'!AU161=2),0,IF('Proposed Lighting'!CH161=100,0,IF(AND(F161&lt;3,V161=1,AM161=0),0,IF(AND(F161&gt;1,AF161&lt;1,AN161&lt;1),0,IF(AND(F161&gt;1,AE161&lt;0.69,AF161&lt;1,AN161&lt;1),0,IF(ISERROR(AB161-AC161),"",AB161-AC161)))))))))))))</f>
        <v>0</v>
      </c>
      <c r="AK161" s="1835"/>
      <c r="AL161" s="1835"/>
      <c r="AM161" s="1216">
        <f>IF(Q161=0,0,IF(T161=0,0,IF(T161&gt;K161,0,IF(AND(AS161&gt;0.01,BK161=0),0,IF(AND('Proposed Lighting'!DG161=0,'Lighting Controls'!Z161=0.35),0,IF(AND(T161&lt;=K161,AA161&gt;=AD161,'Proposed Lighting'!AU161=2),VLOOKUP(Q161,$AY$9:$AZ$15,2,FALSE),IF(AND(T161&lt;=K161,AA161&gt;=AD161,'Proposed Lighting'!AU161=3),VLOOKUP(Q161,$AY$17:$AZ$23,2,FALSE))))))))</f>
        <v>0</v>
      </c>
      <c r="AN161" s="1248">
        <f>IF(T161=0,0,IF(K161&gt;'Proposed Lighting'!AA161,0,IF(AE161=0,0,IF(AND(AD161&gt;AA161,AA161&gt;0),0,IF(U161=0,0,Summary!AE464)))))</f>
        <v>0</v>
      </c>
      <c r="AO161" s="1248">
        <f t="shared" si="37"/>
        <v>0</v>
      </c>
      <c r="AP161" s="1249">
        <f>IF('Proposed Lighting'!AU161=1,0,IF(K161=0,0,IF(T161&gt;K161,0,IF(G161=0,0,IF(K161&gt;'Proposed Lighting'!AA161,0,IF(AND(AD161&gt;AA161,AA161&gt;0),0,IF(AND('Proposed Lighting'!AU161=3,AM161=0.5),0,IF(AND(AM161&gt;0,AS161&gt;0,BI161&lt;2),0,IF('Proposed Lighting'!CH161=100,0,IF(AV161=1,0,IF(AND(AM161=35,M161+N161&lt;2),0,AM161)))))))))))</f>
        <v>0</v>
      </c>
      <c r="AQ161" s="1249" t="str">
        <f>IFERROR(ROUND(IF(Q161="","",IF('Proposed Lighting'!$X$4=0,0,IF(AND(AM161=35,M161+N161&lt;2),0,IF(T161&gt;K161,0,IF('Proposed Lighting'!AU161=1,0,IF(AJ161=0,0,IF(AND('Proposed Lighting'!AU161=3,AM161=0.5),0,IF(AND(AD161=75,AP161=0,AV161=0),0,IF(AP161&gt;0.01,AP161*T161,IF(AND(F161&gt;1,W161&lt;0.01),0,IF(AND(F161&gt;1,AO161=0),0,IF(AND('Proposed Lighting'!BC161=22,AV161=0),0,IF(AND(AM161&gt;0,AS161&gt;0,BI161&lt;2),0,IF(AND(AS161&gt;0.01,BK161=0),0,IF(AND(AO161=TRUE,AV161=1,F161=3),MIN(AJ161*0.08,L161),IF(AP161&gt;0.01,AP161*T161,IF(AND(AO161=TRUE,AV161=1,F161=2),MIN(AJ161*0.1,L161)))))))))))))))))),2),"")</f>
        <v/>
      </c>
      <c r="AR161" s="1250">
        <f>IF(Q161=0,0,IF('Proposed Lighting'!$X$4=0,0,IF(AND(AM161&gt;0.01,AQ161&gt;0.01),0,IF('Proposed Lighting'!AU161=1,"Missing Interior or Exterior Selection",IF('Proposed Lighting'!CF161=1,"Selection does not match",IF(K161&gt;'Proposed Lighting'!AA161,"Quantity controlled does not match proposed lighting quantity",IF(T161&gt;K161,"Quantity of sensors exceeds proposed lighting quantity",IF(AND(F161&gt;1,'Proposed Lighting'!AU161&lt;&gt;F161),"Selection does not match",IF(AND(AD161&gt;AA161,AA161&gt;0),"Does not meet minimum connected load",IF(AND(O161&gt;0,AS161&gt;0,BK161&gt;0,'Proposed Lighting'!CH161=0),"Select Control Strategies",IF(AND(AC161&gt;0.1,AJ161=0,AQ161=0),"Does not meet incentive criteria",0)))))))))))</f>
        <v>0</v>
      </c>
      <c r="AS161" s="1224">
        <f>IF('Proposed Lighting'!CH161=100,0,IF(ISNUMBER(SEARCH("multiple",Q161)),1,0))</f>
        <v>0</v>
      </c>
      <c r="AT161" s="451">
        <f t="shared" si="34"/>
        <v>0</v>
      </c>
      <c r="AU161" s="451">
        <f t="shared" si="35"/>
        <v>0</v>
      </c>
      <c r="AV161" s="1222">
        <f>IF(ISNUMBER(SEARCH("Networked",'Proposed Lighting'!T161)),0,IF(ISNUMBER(SEARCH("Strategies",'Proposed Lighting'!T161)),0,IF(ISNUMBER(SEARCH("Removal",'Proposed Lighting'!T161)),0,IF(ISNUMBER(SEARCH("non-standard",Q161)),1,0))))</f>
        <v>0</v>
      </c>
      <c r="AW161" s="451">
        <f t="shared" si="38"/>
        <v>0</v>
      </c>
      <c r="AX161" s="451"/>
      <c r="AY161" s="451"/>
      <c r="AZ161" s="451"/>
      <c r="BA161" s="451"/>
      <c r="BB161" s="451"/>
      <c r="BC161" s="1215"/>
      <c r="BD161" s="1215"/>
      <c r="BE161" s="1215"/>
      <c r="BF161" s="1215"/>
      <c r="BG161" s="1215"/>
      <c r="BH161" s="1215"/>
      <c r="BI161">
        <f>IF(AND(AS161=1,BC161="No",BD161="Yes",BE161="Yes",BF161="No",BH161="No"),0,IF(AND('Proposed Lighting'!AU161=2,AS161=1,BC161="Yes",BD161="Yes"),2,IF(AND('Proposed Lighting'!AU161=2,AS161=1,BC161="Yes",BE161="Yes"),2,IF(AND('Proposed Lighting'!AU161=2,AS161=1,BC161="Yes",BF161="Yes"),2,IF(AND('Proposed Lighting'!AU161=2,AS161=1,BC161="Yes",BH161="Yes"),2,IF(AND('Proposed Lighting'!AU161=2,AS161=1,BD161="Yes",BF161="Yes"),2,IF(AND('Proposed Lighting'!AU161=2,AS161=1,BD161="Yes",BH161="Yes"),2,IF(AND('Proposed Lighting'!AU161=3,AS161=1,BC161="Yes",BE161="Yes"),2,IF(AND('Proposed Lighting'!AU161=3,AS161=1,BC161="Yes",BF161="Yes"),2,0)))))))))</f>
        <v>0</v>
      </c>
      <c r="BJ161" s="1025">
        <f t="shared" si="36"/>
        <v>0</v>
      </c>
      <c r="BK161">
        <f>IF(AND('Proposed Lighting'!BC161=22,'Lighting Controls'!N161=1),0,IF(ISNUMBER(SEARCH("LED",G161)),1,0))</f>
        <v>0</v>
      </c>
    </row>
    <row r="162" spans="1:63" ht="34.5" customHeight="1">
      <c r="A162" s="917">
        <v>154</v>
      </c>
      <c r="B162" s="1828" t="str">
        <f>IF('Proposed Lighting'!B162="","",'Proposed Lighting'!B162)</f>
        <v/>
      </c>
      <c r="C162" s="1828"/>
      <c r="D162" s="1828"/>
      <c r="E162" s="1245">
        <f>'Proposed Lighting'!AA162</f>
        <v>0</v>
      </c>
      <c r="F162" s="1245">
        <f t="shared" si="29"/>
        <v>0</v>
      </c>
      <c r="G162" s="1830" t="str">
        <f>IF('Proposed Lighting'!T162="","",IF(ISNUMBER(SEARCH("Networked",'Proposed Lighting'!T162)),0,IF(ISNUMBER(SEARCH("Strategies",'Proposed Lighting'!T162)),0,IF(ISNUMBER(SEARCH("Removal",'Proposed Lighting'!T162)),0,'Proposed Lighting'!T162))))</f>
        <v/>
      </c>
      <c r="H162" s="1830"/>
      <c r="I162" s="1830"/>
      <c r="J162" s="1830"/>
      <c r="K162" s="1215"/>
      <c r="L162" s="1246">
        <f t="shared" si="30"/>
        <v>0</v>
      </c>
      <c r="M162" s="1224">
        <f t="shared" si="31"/>
        <v>0</v>
      </c>
      <c r="N162" s="1224">
        <f t="shared" si="32"/>
        <v>0</v>
      </c>
      <c r="O162" s="1825" t="str">
        <f>IF(G162=0,0,IF(ISNA('Proposed Lighting'!AT162),0,'Proposed Lighting'!AT162))</f>
        <v/>
      </c>
      <c r="P162" s="1825"/>
      <c r="Q162" s="1247"/>
      <c r="R162" s="1247"/>
      <c r="S162" s="1247"/>
      <c r="T162" s="1211"/>
      <c r="U162" s="1235">
        <f>IF(K162&gt;0.01,'Proposed Lighting'!CU162,0)</f>
        <v>0</v>
      </c>
      <c r="V162" s="1248">
        <f>IF('Proposed Lighting'!CF162=1,0,IF('Proposed Lighting'!AU162=2,0,IF(AND('Proposed Lighting'!AU162=3,'Proposed Lighting'!CF162=0),1,0)))</f>
        <v>0</v>
      </c>
      <c r="W162" s="1836"/>
      <c r="X162" s="1836"/>
      <c r="Y162" s="1836"/>
      <c r="Z162" s="1230" t="str">
        <f t="shared" si="26"/>
        <v/>
      </c>
      <c r="AA162" s="1230">
        <f t="shared" si="27"/>
        <v>0</v>
      </c>
      <c r="AB162" s="1230">
        <f>IF(Q162=0,0,IF(T162=0,0,IF(AA162=0,0,IF(AND(F162=3,V162=0),0,IF(T162=0,0,IF(K162&gt;'Proposed Lighting'!AA162,0,IF('Proposed Lighting'!EJ162&gt;0.01,(K162*O162)*'Proposed Lighting'!EJ162/1000,(K162*O162)*U162/1000)))))))</f>
        <v>0</v>
      </c>
      <c r="AC162" s="1230" t="str">
        <f t="shared" si="33"/>
        <v/>
      </c>
      <c r="AD162" s="1230">
        <f t="shared" si="28"/>
        <v>0</v>
      </c>
      <c r="AE162" s="1230">
        <f>IF(T162=0,0,IF(K162&gt;'Proposed Lighting'!AA162,0,IF(T162&gt;K162,0,IF(AND(AD162&gt;AA162,AA162&gt;0),0,IF(AND(F162&gt;1,W162&lt;0.01),0,IF('Proposed Lighting'!AU162&gt;'Lighting Controls'!F162,0,IF('Proposed Lighting'!AU162&lt;'Lighting Controls'!F162,0,IF(U162=0,0,Summary!AC465))))))))</f>
        <v>0</v>
      </c>
      <c r="AF162" s="1230">
        <f>IF(T162=0,0,IF(AE162=0,0,IF(K162&gt;'Proposed Lighting'!AA162,0,IF(AND(AD162&gt;AA162,AA162&gt;0),0,IF(U162=0,0,Summary!AD465)))))</f>
        <v>0</v>
      </c>
      <c r="AG162" s="1834">
        <f>IF('Proposed Lighting'!AU162=1,0,IF('Proposed Lighting'!CF162=1,0,T162*W162))</f>
        <v>0</v>
      </c>
      <c r="AH162" s="1834"/>
      <c r="AI162" s="1834"/>
      <c r="AJ162" s="1835">
        <f>IF(T162&lt;1,0,IF(K162&gt;'Proposed Lighting'!AA162,0,IF('Proposed Lighting'!CF162=1,0,IF('Proposed Lighting'!AU162=1,0,IF(T162&gt;K162,0,IF(AND(AD162&gt;AA162,AA162&gt;0),0,IF(AND(F162=2,'Proposed Lighting'!AU162=3),0,IF(AND(F162=3,'Proposed Lighting'!AU162=2),0,IF('Proposed Lighting'!CH162=100,0,IF(AND(F162&lt;3,V162=1,AM162=0),0,IF(AND(F162&gt;1,AF162&lt;1,AN162&lt;1),0,IF(AND(F162&gt;1,AE162&lt;0.69,AF162&lt;1,AN162&lt;1),0,IF(ISERROR(AB162-AC162),"",AB162-AC162)))))))))))))</f>
        <v>0</v>
      </c>
      <c r="AK162" s="1835"/>
      <c r="AL162" s="1835"/>
      <c r="AM162" s="1216">
        <f>IF(Q162=0,0,IF(T162=0,0,IF(T162&gt;K162,0,IF(AND(AS162&gt;0.01,BK162=0),0,IF(AND('Proposed Lighting'!DG162=0,'Lighting Controls'!Z162=0.35),0,IF(AND(T162&lt;=K162,AA162&gt;=AD162,'Proposed Lighting'!AU162=2),VLOOKUP(Q162,$AY$9:$AZ$15,2,FALSE),IF(AND(T162&lt;=K162,AA162&gt;=AD162,'Proposed Lighting'!AU162=3),VLOOKUP(Q162,$AY$17:$AZ$23,2,FALSE))))))))</f>
        <v>0</v>
      </c>
      <c r="AN162" s="1248">
        <f>IF(T162=0,0,IF(K162&gt;'Proposed Lighting'!AA162,0,IF(AE162=0,0,IF(AND(AD162&gt;AA162,AA162&gt;0),0,IF(U162=0,0,Summary!AE465)))))</f>
        <v>0</v>
      </c>
      <c r="AO162" s="1248">
        <f t="shared" si="37"/>
        <v>0</v>
      </c>
      <c r="AP162" s="1249">
        <f>IF('Proposed Lighting'!AU162=1,0,IF(K162=0,0,IF(T162&gt;K162,0,IF(G162=0,0,IF(K162&gt;'Proposed Lighting'!AA162,0,IF(AND(AD162&gt;AA162,AA162&gt;0),0,IF(AND('Proposed Lighting'!AU162=3,AM162=0.5),0,IF(AND(AM162&gt;0,AS162&gt;0,BI162&lt;2),0,IF('Proposed Lighting'!CH162=100,0,IF(AV162=1,0,IF(AND(AM162=35,M162+N162&lt;2),0,AM162)))))))))))</f>
        <v>0</v>
      </c>
      <c r="AQ162" s="1249" t="str">
        <f>IFERROR(ROUND(IF(Q162="","",IF('Proposed Lighting'!$X$4=0,0,IF(AND(AM162=35,M162+N162&lt;2),0,IF(T162&gt;K162,0,IF('Proposed Lighting'!AU162=1,0,IF(AJ162=0,0,IF(AND('Proposed Lighting'!AU162=3,AM162=0.5),0,IF(AND(AD162=75,AP162=0,AV162=0),0,IF(AP162&gt;0.01,AP162*T162,IF(AND(F162&gt;1,W162&lt;0.01),0,IF(AND(F162&gt;1,AO162=0),0,IF(AND('Proposed Lighting'!BC162=22,AV162=0),0,IF(AND(AM162&gt;0,AS162&gt;0,BI162&lt;2),0,IF(AND(AS162&gt;0.01,BK162=0),0,IF(AND(AO162=TRUE,AV162=1,F162=3),MIN(AJ162*0.08,L162),IF(AP162&gt;0.01,AP162*T162,IF(AND(AO162=TRUE,AV162=1,F162=2),MIN(AJ162*0.1,L162)))))))))))))))))),2),"")</f>
        <v/>
      </c>
      <c r="AR162" s="1250">
        <f>IF(Q162=0,0,IF('Proposed Lighting'!$X$4=0,0,IF(AND(AM162&gt;0.01,AQ162&gt;0.01),0,IF('Proposed Lighting'!AU162=1,"Missing Interior or Exterior Selection",IF('Proposed Lighting'!CF162=1,"Selection does not match",IF(K162&gt;'Proposed Lighting'!AA162,"Quantity controlled does not match proposed lighting quantity",IF(T162&gt;K162,"Quantity of sensors exceeds proposed lighting quantity",IF(AND(F162&gt;1,'Proposed Lighting'!AU162&lt;&gt;F162),"Selection does not match",IF(AND(AD162&gt;AA162,AA162&gt;0),"Does not meet minimum connected load",IF(AND(O162&gt;0,AS162&gt;0,BK162&gt;0,'Proposed Lighting'!CH162=0),"Select Control Strategies",IF(AND(AC162&gt;0.1,AJ162=0,AQ162=0),"Does not meet incentive criteria",0)))))))))))</f>
        <v>0</v>
      </c>
      <c r="AS162" s="1224">
        <f>IF('Proposed Lighting'!CH162=100,0,IF(ISNUMBER(SEARCH("multiple",Q162)),1,0))</f>
        <v>0</v>
      </c>
      <c r="AT162" s="451">
        <f t="shared" si="34"/>
        <v>0</v>
      </c>
      <c r="AU162" s="451">
        <f t="shared" si="35"/>
        <v>0</v>
      </c>
      <c r="AV162" s="1222">
        <f>IF(ISNUMBER(SEARCH("Networked",'Proposed Lighting'!T162)),0,IF(ISNUMBER(SEARCH("Strategies",'Proposed Lighting'!T162)),0,IF(ISNUMBER(SEARCH("Removal",'Proposed Lighting'!T162)),0,IF(ISNUMBER(SEARCH("non-standard",Q162)),1,0))))</f>
        <v>0</v>
      </c>
      <c r="AW162" s="451">
        <f t="shared" si="38"/>
        <v>0</v>
      </c>
      <c r="AX162" s="451"/>
      <c r="AY162" s="451"/>
      <c r="AZ162" s="451"/>
      <c r="BA162" s="451"/>
      <c r="BB162" s="451"/>
      <c r="BC162" s="1215"/>
      <c r="BD162" s="1215"/>
      <c r="BE162" s="1215"/>
      <c r="BF162" s="1215"/>
      <c r="BG162" s="1215"/>
      <c r="BH162" s="1215"/>
      <c r="BI162">
        <f>IF(AND(AS162=1,BC162="No",BD162="Yes",BE162="Yes",BF162="No",BH162="No"),0,IF(AND('Proposed Lighting'!AU162=2,AS162=1,BC162="Yes",BD162="Yes"),2,IF(AND('Proposed Lighting'!AU162=2,AS162=1,BC162="Yes",BE162="Yes"),2,IF(AND('Proposed Lighting'!AU162=2,AS162=1,BC162="Yes",BF162="Yes"),2,IF(AND('Proposed Lighting'!AU162=2,AS162=1,BC162="Yes",BH162="Yes"),2,IF(AND('Proposed Lighting'!AU162=2,AS162=1,BD162="Yes",BF162="Yes"),2,IF(AND('Proposed Lighting'!AU162=2,AS162=1,BD162="Yes",BH162="Yes"),2,IF(AND('Proposed Lighting'!AU162=3,AS162=1,BC162="Yes",BE162="Yes"),2,IF(AND('Proposed Lighting'!AU162=3,AS162=1,BC162="Yes",BF162="Yes"),2,0)))))))))</f>
        <v>0</v>
      </c>
      <c r="BJ162" s="1025">
        <f t="shared" si="36"/>
        <v>0</v>
      </c>
      <c r="BK162">
        <f>IF(AND('Proposed Lighting'!BC162=22,'Lighting Controls'!N162=1),0,IF(ISNUMBER(SEARCH("LED",G162)),1,0))</f>
        <v>0</v>
      </c>
    </row>
    <row r="163" spans="1:63" ht="34.5" customHeight="1">
      <c r="A163" s="917">
        <v>155</v>
      </c>
      <c r="B163" s="1828" t="str">
        <f>IF('Proposed Lighting'!B163="","",'Proposed Lighting'!B163)</f>
        <v/>
      </c>
      <c r="C163" s="1828"/>
      <c r="D163" s="1828"/>
      <c r="E163" s="1245">
        <f>'Proposed Lighting'!AA163</f>
        <v>0</v>
      </c>
      <c r="F163" s="1245">
        <f t="shared" si="29"/>
        <v>0</v>
      </c>
      <c r="G163" s="1830" t="str">
        <f>IF('Proposed Lighting'!T163="","",IF(ISNUMBER(SEARCH("Networked",'Proposed Lighting'!T163)),0,IF(ISNUMBER(SEARCH("Strategies",'Proposed Lighting'!T163)),0,IF(ISNUMBER(SEARCH("Removal",'Proposed Lighting'!T163)),0,'Proposed Lighting'!T163))))</f>
        <v/>
      </c>
      <c r="H163" s="1830"/>
      <c r="I163" s="1830"/>
      <c r="J163" s="1830"/>
      <c r="K163" s="1215"/>
      <c r="L163" s="1246">
        <f t="shared" si="30"/>
        <v>0</v>
      </c>
      <c r="M163" s="1224">
        <f t="shared" si="31"/>
        <v>0</v>
      </c>
      <c r="N163" s="1224">
        <f t="shared" si="32"/>
        <v>0</v>
      </c>
      <c r="O163" s="1825" t="str">
        <f>IF(G163=0,0,IF(ISNA('Proposed Lighting'!AT163),0,'Proposed Lighting'!AT163))</f>
        <v/>
      </c>
      <c r="P163" s="1825"/>
      <c r="Q163" s="1247"/>
      <c r="R163" s="1247"/>
      <c r="S163" s="1247"/>
      <c r="T163" s="1211"/>
      <c r="U163" s="1235">
        <f>IF(K163&gt;0.01,'Proposed Lighting'!CU163,0)</f>
        <v>0</v>
      </c>
      <c r="V163" s="1248">
        <f>IF('Proposed Lighting'!CF163=1,0,IF('Proposed Lighting'!AU163=2,0,IF(AND('Proposed Lighting'!AU163=3,'Proposed Lighting'!CF163=0),1,0)))</f>
        <v>0</v>
      </c>
      <c r="W163" s="1836"/>
      <c r="X163" s="1836"/>
      <c r="Y163" s="1836"/>
      <c r="Z163" s="1230" t="str">
        <f t="shared" si="26"/>
        <v/>
      </c>
      <c r="AA163" s="1230">
        <f t="shared" si="27"/>
        <v>0</v>
      </c>
      <c r="AB163" s="1230">
        <f>IF(Q163=0,0,IF(T163=0,0,IF(AA163=0,0,IF(AND(F163=3,V163=0),0,IF(T163=0,0,IF(K163&gt;'Proposed Lighting'!AA163,0,IF('Proposed Lighting'!EJ163&gt;0.01,(K163*O163)*'Proposed Lighting'!EJ163/1000,(K163*O163)*U163/1000)))))))</f>
        <v>0</v>
      </c>
      <c r="AC163" s="1230" t="str">
        <f t="shared" si="33"/>
        <v/>
      </c>
      <c r="AD163" s="1230">
        <f t="shared" si="28"/>
        <v>0</v>
      </c>
      <c r="AE163" s="1230">
        <f>IF(T163=0,0,IF(K163&gt;'Proposed Lighting'!AA163,0,IF(T163&gt;K163,0,IF(AND(AD163&gt;AA163,AA163&gt;0),0,IF(AND(F163&gt;1,W163&lt;0.01),0,IF('Proposed Lighting'!AU163&gt;'Lighting Controls'!F163,0,IF('Proposed Lighting'!AU163&lt;'Lighting Controls'!F163,0,IF(U163=0,0,Summary!AC466))))))))</f>
        <v>0</v>
      </c>
      <c r="AF163" s="1230">
        <f>IF(T163=0,0,IF(AE163=0,0,IF(K163&gt;'Proposed Lighting'!AA163,0,IF(AND(AD163&gt;AA163,AA163&gt;0),0,IF(U163=0,0,Summary!AD466)))))</f>
        <v>0</v>
      </c>
      <c r="AG163" s="1834">
        <f>IF('Proposed Lighting'!AU163=1,0,IF('Proposed Lighting'!CF163=1,0,T163*W163))</f>
        <v>0</v>
      </c>
      <c r="AH163" s="1834"/>
      <c r="AI163" s="1834"/>
      <c r="AJ163" s="1835">
        <f>IF(T163&lt;1,0,IF(K163&gt;'Proposed Lighting'!AA163,0,IF('Proposed Lighting'!CF163=1,0,IF('Proposed Lighting'!AU163=1,0,IF(T163&gt;K163,0,IF(AND(AD163&gt;AA163,AA163&gt;0),0,IF(AND(F163=2,'Proposed Lighting'!AU163=3),0,IF(AND(F163=3,'Proposed Lighting'!AU163=2),0,IF('Proposed Lighting'!CH163=100,0,IF(AND(F163&lt;3,V163=1,AM163=0),0,IF(AND(F163&gt;1,AF163&lt;1,AN163&lt;1),0,IF(AND(F163&gt;1,AE163&lt;0.69,AF163&lt;1,AN163&lt;1),0,IF(ISERROR(AB163-AC163),"",AB163-AC163)))))))))))))</f>
        <v>0</v>
      </c>
      <c r="AK163" s="1835"/>
      <c r="AL163" s="1835"/>
      <c r="AM163" s="1216">
        <f>IF(Q163=0,0,IF(T163=0,0,IF(T163&gt;K163,0,IF(AND(AS163&gt;0.01,BK163=0),0,IF(AND('Proposed Lighting'!DG163=0,'Lighting Controls'!Z163=0.35),0,IF(AND(T163&lt;=K163,AA163&gt;=AD163,'Proposed Lighting'!AU163=2),VLOOKUP(Q163,$AY$9:$AZ$15,2,FALSE),IF(AND(T163&lt;=K163,AA163&gt;=AD163,'Proposed Lighting'!AU163=3),VLOOKUP(Q163,$AY$17:$AZ$23,2,FALSE))))))))</f>
        <v>0</v>
      </c>
      <c r="AN163" s="1248">
        <f>IF(T163=0,0,IF(K163&gt;'Proposed Lighting'!AA163,0,IF(AE163=0,0,IF(AND(AD163&gt;AA163,AA163&gt;0),0,IF(U163=0,0,Summary!AE466)))))</f>
        <v>0</v>
      </c>
      <c r="AO163" s="1248">
        <f t="shared" si="37"/>
        <v>0</v>
      </c>
      <c r="AP163" s="1249">
        <f>IF('Proposed Lighting'!AU163=1,0,IF(K163=0,0,IF(T163&gt;K163,0,IF(G163=0,0,IF(K163&gt;'Proposed Lighting'!AA163,0,IF(AND(AD163&gt;AA163,AA163&gt;0),0,IF(AND('Proposed Lighting'!AU163=3,AM163=0.5),0,IF(AND(AM163&gt;0,AS163&gt;0,BI163&lt;2),0,IF('Proposed Lighting'!CH163=100,0,IF(AV163=1,0,IF(AND(AM163=35,M163+N163&lt;2),0,AM163)))))))))))</f>
        <v>0</v>
      </c>
      <c r="AQ163" s="1249" t="str">
        <f>IFERROR(ROUND(IF(Q163="","",IF('Proposed Lighting'!$X$4=0,0,IF(AND(AM163=35,M163+N163&lt;2),0,IF(T163&gt;K163,0,IF('Proposed Lighting'!AU163=1,0,IF(AJ163=0,0,IF(AND('Proposed Lighting'!AU163=3,AM163=0.5),0,IF(AND(AD163=75,AP163=0,AV163=0),0,IF(AP163&gt;0.01,AP163*T163,IF(AND(F163&gt;1,W163&lt;0.01),0,IF(AND(F163&gt;1,AO163=0),0,IF(AND('Proposed Lighting'!BC163=22,AV163=0),0,IF(AND(AM163&gt;0,AS163&gt;0,BI163&lt;2),0,IF(AND(AS163&gt;0.01,BK163=0),0,IF(AND(AO163=TRUE,AV163=1,F163=3),MIN(AJ163*0.08,L163),IF(AP163&gt;0.01,AP163*T163,IF(AND(AO163=TRUE,AV163=1,F163=2),MIN(AJ163*0.1,L163)))))))))))))))))),2),"")</f>
        <v/>
      </c>
      <c r="AR163" s="1250">
        <f>IF(Q163=0,0,IF('Proposed Lighting'!$X$4=0,0,IF(AND(AM163&gt;0.01,AQ163&gt;0.01),0,IF('Proposed Lighting'!AU163=1,"Missing Interior or Exterior Selection",IF('Proposed Lighting'!CF163=1,"Selection does not match",IF(K163&gt;'Proposed Lighting'!AA163,"Quantity controlled does not match proposed lighting quantity",IF(T163&gt;K163,"Quantity of sensors exceeds proposed lighting quantity",IF(AND(F163&gt;1,'Proposed Lighting'!AU163&lt;&gt;F163),"Selection does not match",IF(AND(AD163&gt;AA163,AA163&gt;0),"Does not meet minimum connected load",IF(AND(O163&gt;0,AS163&gt;0,BK163&gt;0,'Proposed Lighting'!CH163=0),"Select Control Strategies",IF(AND(AC163&gt;0.1,AJ163=0,AQ163=0),"Does not meet incentive criteria",0)))))))))))</f>
        <v>0</v>
      </c>
      <c r="AS163" s="1224">
        <f>IF('Proposed Lighting'!CH163=100,0,IF(ISNUMBER(SEARCH("multiple",Q163)),1,0))</f>
        <v>0</v>
      </c>
      <c r="AT163" s="451">
        <f t="shared" si="34"/>
        <v>0</v>
      </c>
      <c r="AU163" s="451">
        <f t="shared" si="35"/>
        <v>0</v>
      </c>
      <c r="AV163" s="1222">
        <f>IF(ISNUMBER(SEARCH("Networked",'Proposed Lighting'!T163)),0,IF(ISNUMBER(SEARCH("Strategies",'Proposed Lighting'!T163)),0,IF(ISNUMBER(SEARCH("Removal",'Proposed Lighting'!T163)),0,IF(ISNUMBER(SEARCH("non-standard",Q163)),1,0))))</f>
        <v>0</v>
      </c>
      <c r="AW163" s="451">
        <f t="shared" si="38"/>
        <v>0</v>
      </c>
      <c r="AX163" s="451"/>
      <c r="AY163" s="451"/>
      <c r="AZ163" s="451"/>
      <c r="BA163" s="451"/>
      <c r="BB163" s="451"/>
      <c r="BC163" s="1215"/>
      <c r="BD163" s="1215"/>
      <c r="BE163" s="1215"/>
      <c r="BF163" s="1215"/>
      <c r="BG163" s="1215"/>
      <c r="BH163" s="1215"/>
      <c r="BI163">
        <f>IF(AND(AS163=1,BC163="No",BD163="Yes",BE163="Yes",BF163="No",BH163="No"),0,IF(AND('Proposed Lighting'!AU163=2,AS163=1,BC163="Yes",BD163="Yes"),2,IF(AND('Proposed Lighting'!AU163=2,AS163=1,BC163="Yes",BE163="Yes"),2,IF(AND('Proposed Lighting'!AU163=2,AS163=1,BC163="Yes",BF163="Yes"),2,IF(AND('Proposed Lighting'!AU163=2,AS163=1,BC163="Yes",BH163="Yes"),2,IF(AND('Proposed Lighting'!AU163=2,AS163=1,BD163="Yes",BF163="Yes"),2,IF(AND('Proposed Lighting'!AU163=2,AS163=1,BD163="Yes",BH163="Yes"),2,IF(AND('Proposed Lighting'!AU163=3,AS163=1,BC163="Yes",BE163="Yes"),2,IF(AND('Proposed Lighting'!AU163=3,AS163=1,BC163="Yes",BF163="Yes"),2,0)))))))))</f>
        <v>0</v>
      </c>
      <c r="BJ163" s="1025">
        <f t="shared" si="36"/>
        <v>0</v>
      </c>
      <c r="BK163">
        <f>IF(AND('Proposed Lighting'!BC163=22,'Lighting Controls'!N163=1),0,IF(ISNUMBER(SEARCH("LED",G163)),1,0))</f>
        <v>0</v>
      </c>
    </row>
    <row r="164" spans="1:63" ht="34.5" customHeight="1">
      <c r="A164" s="917">
        <v>156</v>
      </c>
      <c r="B164" s="1828" t="str">
        <f>IF('Proposed Lighting'!B164="","",'Proposed Lighting'!B164)</f>
        <v/>
      </c>
      <c r="C164" s="1828"/>
      <c r="D164" s="1828"/>
      <c r="E164" s="1245">
        <f>'Proposed Lighting'!AA164</f>
        <v>0</v>
      </c>
      <c r="F164" s="1245">
        <f t="shared" si="29"/>
        <v>0</v>
      </c>
      <c r="G164" s="1830" t="str">
        <f>IF('Proposed Lighting'!T164="","",IF(ISNUMBER(SEARCH("Networked",'Proposed Lighting'!T164)),0,IF(ISNUMBER(SEARCH("Strategies",'Proposed Lighting'!T164)),0,IF(ISNUMBER(SEARCH("Removal",'Proposed Lighting'!T164)),0,'Proposed Lighting'!T164))))</f>
        <v/>
      </c>
      <c r="H164" s="1830"/>
      <c r="I164" s="1830"/>
      <c r="J164" s="1830"/>
      <c r="K164" s="1215"/>
      <c r="L164" s="1246">
        <f t="shared" si="30"/>
        <v>0</v>
      </c>
      <c r="M164" s="1224">
        <f t="shared" si="31"/>
        <v>0</v>
      </c>
      <c r="N164" s="1224">
        <f t="shared" si="32"/>
        <v>0</v>
      </c>
      <c r="O164" s="1825" t="str">
        <f>IF(G164=0,0,IF(ISNA('Proposed Lighting'!AT164),0,'Proposed Lighting'!AT164))</f>
        <v/>
      </c>
      <c r="P164" s="1825"/>
      <c r="Q164" s="1247"/>
      <c r="R164" s="1247"/>
      <c r="S164" s="1247"/>
      <c r="T164" s="1211"/>
      <c r="U164" s="1235">
        <f>IF(K164&gt;0.01,'Proposed Lighting'!CU164,0)</f>
        <v>0</v>
      </c>
      <c r="V164" s="1248">
        <f>IF('Proposed Lighting'!CF164=1,0,IF('Proposed Lighting'!AU164=2,0,IF(AND('Proposed Lighting'!AU164=3,'Proposed Lighting'!CF164=0),1,0)))</f>
        <v>0</v>
      </c>
      <c r="W164" s="1836"/>
      <c r="X164" s="1836"/>
      <c r="Y164" s="1836"/>
      <c r="Z164" s="1230" t="str">
        <f t="shared" si="26"/>
        <v/>
      </c>
      <c r="AA164" s="1230">
        <f t="shared" si="27"/>
        <v>0</v>
      </c>
      <c r="AB164" s="1230">
        <f>IF(Q164=0,0,IF(T164=0,0,IF(AA164=0,0,IF(AND(F164=3,V164=0),0,IF(T164=0,0,IF(K164&gt;'Proposed Lighting'!AA164,0,IF('Proposed Lighting'!EJ164&gt;0.01,(K164*O164)*'Proposed Lighting'!EJ164/1000,(K164*O164)*U164/1000)))))))</f>
        <v>0</v>
      </c>
      <c r="AC164" s="1230" t="str">
        <f t="shared" si="33"/>
        <v/>
      </c>
      <c r="AD164" s="1230">
        <f t="shared" si="28"/>
        <v>0</v>
      </c>
      <c r="AE164" s="1230">
        <f>IF(T164=0,0,IF(K164&gt;'Proposed Lighting'!AA164,0,IF(T164&gt;K164,0,IF(AND(AD164&gt;AA164,AA164&gt;0),0,IF(AND(F164&gt;1,W164&lt;0.01),0,IF('Proposed Lighting'!AU164&gt;'Lighting Controls'!F164,0,IF('Proposed Lighting'!AU164&lt;'Lighting Controls'!F164,0,IF(U164=0,0,Summary!AC467))))))))</f>
        <v>0</v>
      </c>
      <c r="AF164" s="1230">
        <f>IF(T164=0,0,IF(AE164=0,0,IF(K164&gt;'Proposed Lighting'!AA164,0,IF(AND(AD164&gt;AA164,AA164&gt;0),0,IF(U164=0,0,Summary!AD467)))))</f>
        <v>0</v>
      </c>
      <c r="AG164" s="1834">
        <f>IF('Proposed Lighting'!AU164=1,0,IF('Proposed Lighting'!CF164=1,0,T164*W164))</f>
        <v>0</v>
      </c>
      <c r="AH164" s="1834"/>
      <c r="AI164" s="1834"/>
      <c r="AJ164" s="1835">
        <f>IF(T164&lt;1,0,IF(K164&gt;'Proposed Lighting'!AA164,0,IF('Proposed Lighting'!CF164=1,0,IF('Proposed Lighting'!AU164=1,0,IF(T164&gt;K164,0,IF(AND(AD164&gt;AA164,AA164&gt;0),0,IF(AND(F164=2,'Proposed Lighting'!AU164=3),0,IF(AND(F164=3,'Proposed Lighting'!AU164=2),0,IF('Proposed Lighting'!CH164=100,0,IF(AND(F164&lt;3,V164=1,AM164=0),0,IF(AND(F164&gt;1,AF164&lt;1,AN164&lt;1),0,IF(AND(F164&gt;1,AE164&lt;0.69,AF164&lt;1,AN164&lt;1),0,IF(ISERROR(AB164-AC164),"",AB164-AC164)))))))))))))</f>
        <v>0</v>
      </c>
      <c r="AK164" s="1835"/>
      <c r="AL164" s="1835"/>
      <c r="AM164" s="1216">
        <f>IF(Q164=0,0,IF(T164=0,0,IF(T164&gt;K164,0,IF(AND(AS164&gt;0.01,BK164=0),0,IF(AND('Proposed Lighting'!DG164=0,'Lighting Controls'!Z164=0.35),0,IF(AND(T164&lt;=K164,AA164&gt;=AD164,'Proposed Lighting'!AU164=2),VLOOKUP(Q164,$AY$9:$AZ$15,2,FALSE),IF(AND(T164&lt;=K164,AA164&gt;=AD164,'Proposed Lighting'!AU164=3),VLOOKUP(Q164,$AY$17:$AZ$23,2,FALSE))))))))</f>
        <v>0</v>
      </c>
      <c r="AN164" s="1248">
        <f>IF(T164=0,0,IF(K164&gt;'Proposed Lighting'!AA164,0,IF(AE164=0,0,IF(AND(AD164&gt;AA164,AA164&gt;0),0,IF(U164=0,0,Summary!AE467)))))</f>
        <v>0</v>
      </c>
      <c r="AO164" s="1248">
        <f t="shared" si="37"/>
        <v>0</v>
      </c>
      <c r="AP164" s="1249">
        <f>IF('Proposed Lighting'!AU164=1,0,IF(K164=0,0,IF(T164&gt;K164,0,IF(G164=0,0,IF(K164&gt;'Proposed Lighting'!AA164,0,IF(AND(AD164&gt;AA164,AA164&gt;0),0,IF(AND('Proposed Lighting'!AU164=3,AM164=0.5),0,IF(AND(AM164&gt;0,AS164&gt;0,BI164&lt;2),0,IF('Proposed Lighting'!CH164=100,0,IF(AV164=1,0,IF(AND(AM164=35,M164+N164&lt;2),0,AM164)))))))))))</f>
        <v>0</v>
      </c>
      <c r="AQ164" s="1249" t="str">
        <f>IFERROR(ROUND(IF(Q164="","",IF('Proposed Lighting'!$X$4=0,0,IF(AND(AM164=35,M164+N164&lt;2),0,IF(T164&gt;K164,0,IF('Proposed Lighting'!AU164=1,0,IF(AJ164=0,0,IF(AND('Proposed Lighting'!AU164=3,AM164=0.5),0,IF(AND(AD164=75,AP164=0,AV164=0),0,IF(AP164&gt;0.01,AP164*T164,IF(AND(F164&gt;1,W164&lt;0.01),0,IF(AND(F164&gt;1,AO164=0),0,IF(AND('Proposed Lighting'!BC164=22,AV164=0),0,IF(AND(AM164&gt;0,AS164&gt;0,BI164&lt;2),0,IF(AND(AS164&gt;0.01,BK164=0),0,IF(AND(AO164=TRUE,AV164=1,F164=3),MIN(AJ164*0.08,L164),IF(AP164&gt;0.01,AP164*T164,IF(AND(AO164=TRUE,AV164=1,F164=2),MIN(AJ164*0.1,L164)))))))))))))))))),2),"")</f>
        <v/>
      </c>
      <c r="AR164" s="1250">
        <f>IF(Q164=0,0,IF('Proposed Lighting'!$X$4=0,0,IF(AND(AM164&gt;0.01,AQ164&gt;0.01),0,IF('Proposed Lighting'!AU164=1,"Missing Interior or Exterior Selection",IF('Proposed Lighting'!CF164=1,"Selection does not match",IF(K164&gt;'Proposed Lighting'!AA164,"Quantity controlled does not match proposed lighting quantity",IF(T164&gt;K164,"Quantity of sensors exceeds proposed lighting quantity",IF(AND(F164&gt;1,'Proposed Lighting'!AU164&lt;&gt;F164),"Selection does not match",IF(AND(AD164&gt;AA164,AA164&gt;0),"Does not meet minimum connected load",IF(AND(O164&gt;0,AS164&gt;0,BK164&gt;0,'Proposed Lighting'!CH164=0),"Select Control Strategies",IF(AND(AC164&gt;0.1,AJ164=0,AQ164=0),"Does not meet incentive criteria",0)))))))))))</f>
        <v>0</v>
      </c>
      <c r="AS164" s="1224">
        <f>IF('Proposed Lighting'!CH164=100,0,IF(ISNUMBER(SEARCH("multiple",Q164)),1,0))</f>
        <v>0</v>
      </c>
      <c r="AT164" s="451">
        <f t="shared" si="34"/>
        <v>0</v>
      </c>
      <c r="AU164" s="451">
        <f t="shared" si="35"/>
        <v>0</v>
      </c>
      <c r="AV164" s="1222">
        <f>IF(ISNUMBER(SEARCH("Networked",'Proposed Lighting'!T164)),0,IF(ISNUMBER(SEARCH("Strategies",'Proposed Lighting'!T164)),0,IF(ISNUMBER(SEARCH("Removal",'Proposed Lighting'!T164)),0,IF(ISNUMBER(SEARCH("non-standard",Q164)),1,0))))</f>
        <v>0</v>
      </c>
      <c r="AW164" s="451">
        <f t="shared" si="38"/>
        <v>0</v>
      </c>
      <c r="AX164" s="451"/>
      <c r="AY164" s="451"/>
      <c r="AZ164" s="451"/>
      <c r="BA164" s="451"/>
      <c r="BB164" s="451"/>
      <c r="BC164" s="1215"/>
      <c r="BD164" s="1215"/>
      <c r="BE164" s="1215"/>
      <c r="BF164" s="1215"/>
      <c r="BG164" s="1215"/>
      <c r="BH164" s="1215"/>
      <c r="BI164">
        <f>IF(AND(AS164=1,BC164="No",BD164="Yes",BE164="Yes",BF164="No",BH164="No"),0,IF(AND('Proposed Lighting'!AU164=2,AS164=1,BC164="Yes",BD164="Yes"),2,IF(AND('Proposed Lighting'!AU164=2,AS164=1,BC164="Yes",BE164="Yes"),2,IF(AND('Proposed Lighting'!AU164=2,AS164=1,BC164="Yes",BF164="Yes"),2,IF(AND('Proposed Lighting'!AU164=2,AS164=1,BC164="Yes",BH164="Yes"),2,IF(AND('Proposed Lighting'!AU164=2,AS164=1,BD164="Yes",BF164="Yes"),2,IF(AND('Proposed Lighting'!AU164=2,AS164=1,BD164="Yes",BH164="Yes"),2,IF(AND('Proposed Lighting'!AU164=3,AS164=1,BC164="Yes",BE164="Yes"),2,IF(AND('Proposed Lighting'!AU164=3,AS164=1,BC164="Yes",BF164="Yes"),2,0)))))))))</f>
        <v>0</v>
      </c>
      <c r="BJ164" s="1025">
        <f t="shared" si="36"/>
        <v>0</v>
      </c>
      <c r="BK164">
        <f>IF(AND('Proposed Lighting'!BC164=22,'Lighting Controls'!N164=1),0,IF(ISNUMBER(SEARCH("LED",G164)),1,0))</f>
        <v>0</v>
      </c>
    </row>
    <row r="165" spans="1:63" ht="34.5" customHeight="1">
      <c r="A165" s="917">
        <v>157</v>
      </c>
      <c r="B165" s="1828" t="str">
        <f>IF('Proposed Lighting'!B165="","",'Proposed Lighting'!B165)</f>
        <v/>
      </c>
      <c r="C165" s="1828"/>
      <c r="D165" s="1828"/>
      <c r="E165" s="1245">
        <f>'Proposed Lighting'!AA165</f>
        <v>0</v>
      </c>
      <c r="F165" s="1245">
        <f t="shared" si="29"/>
        <v>0</v>
      </c>
      <c r="G165" s="1830" t="str">
        <f>IF('Proposed Lighting'!T165="","",IF(ISNUMBER(SEARCH("Networked",'Proposed Lighting'!T165)),0,IF(ISNUMBER(SEARCH("Strategies",'Proposed Lighting'!T165)),0,IF(ISNUMBER(SEARCH("Removal",'Proposed Lighting'!T165)),0,'Proposed Lighting'!T165))))</f>
        <v/>
      </c>
      <c r="H165" s="1830"/>
      <c r="I165" s="1830"/>
      <c r="J165" s="1830"/>
      <c r="K165" s="1215"/>
      <c r="L165" s="1246">
        <f t="shared" si="30"/>
        <v>0</v>
      </c>
      <c r="M165" s="1224">
        <f t="shared" si="31"/>
        <v>0</v>
      </c>
      <c r="N165" s="1224">
        <f t="shared" si="32"/>
        <v>0</v>
      </c>
      <c r="O165" s="1825" t="str">
        <f>IF(G165=0,0,IF(ISNA('Proposed Lighting'!AT165),0,'Proposed Lighting'!AT165))</f>
        <v/>
      </c>
      <c r="P165" s="1825"/>
      <c r="Q165" s="1247"/>
      <c r="R165" s="1247"/>
      <c r="S165" s="1247"/>
      <c r="T165" s="1211"/>
      <c r="U165" s="1235">
        <f>IF(K165&gt;0.01,'Proposed Lighting'!CU165,0)</f>
        <v>0</v>
      </c>
      <c r="V165" s="1248">
        <f>IF('Proposed Lighting'!CF165=1,0,IF('Proposed Lighting'!AU165=2,0,IF(AND('Proposed Lighting'!AU165=3,'Proposed Lighting'!CF165=0),1,0)))</f>
        <v>0</v>
      </c>
      <c r="W165" s="1836"/>
      <c r="X165" s="1836"/>
      <c r="Y165" s="1836"/>
      <c r="Z165" s="1230" t="str">
        <f t="shared" si="26"/>
        <v/>
      </c>
      <c r="AA165" s="1230">
        <f t="shared" si="27"/>
        <v>0</v>
      </c>
      <c r="AB165" s="1230">
        <f>IF(Q165=0,0,IF(T165=0,0,IF(AA165=0,0,IF(AND(F165=3,V165=0),0,IF(T165=0,0,IF(K165&gt;'Proposed Lighting'!AA165,0,IF('Proposed Lighting'!EJ165&gt;0.01,(K165*O165)*'Proposed Lighting'!EJ165/1000,(K165*O165)*U165/1000)))))))</f>
        <v>0</v>
      </c>
      <c r="AC165" s="1230" t="str">
        <f t="shared" si="33"/>
        <v/>
      </c>
      <c r="AD165" s="1230">
        <f t="shared" si="28"/>
        <v>0</v>
      </c>
      <c r="AE165" s="1230">
        <f>IF(T165=0,0,IF(K165&gt;'Proposed Lighting'!AA165,0,IF(T165&gt;K165,0,IF(AND(AD165&gt;AA165,AA165&gt;0),0,IF(AND(F165&gt;1,W165&lt;0.01),0,IF('Proposed Lighting'!AU165&gt;'Lighting Controls'!F165,0,IF('Proposed Lighting'!AU165&lt;'Lighting Controls'!F165,0,IF(U165=0,0,Summary!AC468))))))))</f>
        <v>0</v>
      </c>
      <c r="AF165" s="1230">
        <f>IF(T165=0,0,IF(AE165=0,0,IF(K165&gt;'Proposed Lighting'!AA165,0,IF(AND(AD165&gt;AA165,AA165&gt;0),0,IF(U165=0,0,Summary!AD468)))))</f>
        <v>0</v>
      </c>
      <c r="AG165" s="1834">
        <f>IF('Proposed Lighting'!AU165=1,0,IF('Proposed Lighting'!CF165=1,0,T165*W165))</f>
        <v>0</v>
      </c>
      <c r="AH165" s="1834"/>
      <c r="AI165" s="1834"/>
      <c r="AJ165" s="1835">
        <f>IF(T165&lt;1,0,IF(K165&gt;'Proposed Lighting'!AA165,0,IF('Proposed Lighting'!CF165=1,0,IF('Proposed Lighting'!AU165=1,0,IF(T165&gt;K165,0,IF(AND(AD165&gt;AA165,AA165&gt;0),0,IF(AND(F165=2,'Proposed Lighting'!AU165=3),0,IF(AND(F165=3,'Proposed Lighting'!AU165=2),0,IF('Proposed Lighting'!CH165=100,0,IF(AND(F165&lt;3,V165=1,AM165=0),0,IF(AND(F165&gt;1,AF165&lt;1,AN165&lt;1),0,IF(AND(F165&gt;1,AE165&lt;0.69,AF165&lt;1,AN165&lt;1),0,IF(ISERROR(AB165-AC165),"",AB165-AC165)))))))))))))</f>
        <v>0</v>
      </c>
      <c r="AK165" s="1835"/>
      <c r="AL165" s="1835"/>
      <c r="AM165" s="1216">
        <f>IF(Q165=0,0,IF(T165=0,0,IF(T165&gt;K165,0,IF(AND(AS165&gt;0.01,BK165=0),0,IF(AND('Proposed Lighting'!DG165=0,'Lighting Controls'!Z165=0.35),0,IF(AND(T165&lt;=K165,AA165&gt;=AD165,'Proposed Lighting'!AU165=2),VLOOKUP(Q165,$AY$9:$AZ$15,2,FALSE),IF(AND(T165&lt;=K165,AA165&gt;=AD165,'Proposed Lighting'!AU165=3),VLOOKUP(Q165,$AY$17:$AZ$23,2,FALSE))))))))</f>
        <v>0</v>
      </c>
      <c r="AN165" s="1248">
        <f>IF(T165=0,0,IF(K165&gt;'Proposed Lighting'!AA165,0,IF(AE165=0,0,IF(AND(AD165&gt;AA165,AA165&gt;0),0,IF(U165=0,0,Summary!AE468)))))</f>
        <v>0</v>
      </c>
      <c r="AO165" s="1248">
        <f t="shared" si="37"/>
        <v>0</v>
      </c>
      <c r="AP165" s="1249">
        <f>IF('Proposed Lighting'!AU165=1,0,IF(K165=0,0,IF(T165&gt;K165,0,IF(G165=0,0,IF(K165&gt;'Proposed Lighting'!AA165,0,IF(AND(AD165&gt;AA165,AA165&gt;0),0,IF(AND('Proposed Lighting'!AU165=3,AM165=0.5),0,IF(AND(AM165&gt;0,AS165&gt;0,BI165&lt;2),0,IF('Proposed Lighting'!CH165=100,0,IF(AV165=1,0,IF(AND(AM165=35,M165+N165&lt;2),0,AM165)))))))))))</f>
        <v>0</v>
      </c>
      <c r="AQ165" s="1249" t="str">
        <f>IFERROR(ROUND(IF(Q165="","",IF('Proposed Lighting'!$X$4=0,0,IF(AND(AM165=35,M165+N165&lt;2),0,IF(T165&gt;K165,0,IF('Proposed Lighting'!AU165=1,0,IF(AJ165=0,0,IF(AND('Proposed Lighting'!AU165=3,AM165=0.5),0,IF(AND(AD165=75,AP165=0,AV165=0),0,IF(AP165&gt;0.01,AP165*T165,IF(AND(F165&gt;1,W165&lt;0.01),0,IF(AND(F165&gt;1,AO165=0),0,IF(AND('Proposed Lighting'!BC165=22,AV165=0),0,IF(AND(AM165&gt;0,AS165&gt;0,BI165&lt;2),0,IF(AND(AS165&gt;0.01,BK165=0),0,IF(AND(AO165=TRUE,AV165=1,F165=3),MIN(AJ165*0.08,L165),IF(AP165&gt;0.01,AP165*T165,IF(AND(AO165=TRUE,AV165=1,F165=2),MIN(AJ165*0.1,L165)))))))))))))))))),2),"")</f>
        <v/>
      </c>
      <c r="AR165" s="1250">
        <f>IF(Q165=0,0,IF('Proposed Lighting'!$X$4=0,0,IF(AND(AM165&gt;0.01,AQ165&gt;0.01),0,IF('Proposed Lighting'!AU165=1,"Missing Interior or Exterior Selection",IF('Proposed Lighting'!CF165=1,"Selection does not match",IF(K165&gt;'Proposed Lighting'!AA165,"Quantity controlled does not match proposed lighting quantity",IF(T165&gt;K165,"Quantity of sensors exceeds proposed lighting quantity",IF(AND(F165&gt;1,'Proposed Lighting'!AU165&lt;&gt;F165),"Selection does not match",IF(AND(AD165&gt;AA165,AA165&gt;0),"Does not meet minimum connected load",IF(AND(O165&gt;0,AS165&gt;0,BK165&gt;0,'Proposed Lighting'!CH165=0),"Select Control Strategies",IF(AND(AC165&gt;0.1,AJ165=0,AQ165=0),"Does not meet incentive criteria",0)))))))))))</f>
        <v>0</v>
      </c>
      <c r="AS165" s="1224">
        <f>IF('Proposed Lighting'!CH165=100,0,IF(ISNUMBER(SEARCH("multiple",Q165)),1,0))</f>
        <v>0</v>
      </c>
      <c r="AT165" s="451">
        <f t="shared" si="34"/>
        <v>0</v>
      </c>
      <c r="AU165" s="451">
        <f t="shared" si="35"/>
        <v>0</v>
      </c>
      <c r="AV165" s="1222">
        <f>IF(ISNUMBER(SEARCH("Networked",'Proposed Lighting'!T165)),0,IF(ISNUMBER(SEARCH("Strategies",'Proposed Lighting'!T165)),0,IF(ISNUMBER(SEARCH("Removal",'Proposed Lighting'!T165)),0,IF(ISNUMBER(SEARCH("non-standard",Q165)),1,0))))</f>
        <v>0</v>
      </c>
      <c r="AW165" s="451">
        <f t="shared" si="38"/>
        <v>0</v>
      </c>
      <c r="AX165" s="451"/>
      <c r="AY165" s="451"/>
      <c r="AZ165" s="451"/>
      <c r="BA165" s="451"/>
      <c r="BB165" s="451"/>
      <c r="BC165" s="1215"/>
      <c r="BD165" s="1215"/>
      <c r="BE165" s="1215"/>
      <c r="BF165" s="1215"/>
      <c r="BG165" s="1215"/>
      <c r="BH165" s="1215"/>
      <c r="BI165">
        <f>IF(AND(AS165=1,BC165="No",BD165="Yes",BE165="Yes",BF165="No",BH165="No"),0,IF(AND('Proposed Lighting'!AU165=2,AS165=1,BC165="Yes",BD165="Yes"),2,IF(AND('Proposed Lighting'!AU165=2,AS165=1,BC165="Yes",BE165="Yes"),2,IF(AND('Proposed Lighting'!AU165=2,AS165=1,BC165="Yes",BF165="Yes"),2,IF(AND('Proposed Lighting'!AU165=2,AS165=1,BC165="Yes",BH165="Yes"),2,IF(AND('Proposed Lighting'!AU165=2,AS165=1,BD165="Yes",BF165="Yes"),2,IF(AND('Proposed Lighting'!AU165=2,AS165=1,BD165="Yes",BH165="Yes"),2,IF(AND('Proposed Lighting'!AU165=3,AS165=1,BC165="Yes",BE165="Yes"),2,IF(AND('Proposed Lighting'!AU165=3,AS165=1,BC165="Yes",BF165="Yes"),2,0)))))))))</f>
        <v>0</v>
      </c>
      <c r="BJ165" s="1025">
        <f t="shared" si="36"/>
        <v>0</v>
      </c>
      <c r="BK165">
        <f>IF(AND('Proposed Lighting'!BC165=22,'Lighting Controls'!N165=1),0,IF(ISNUMBER(SEARCH("LED",G165)),1,0))</f>
        <v>0</v>
      </c>
    </row>
    <row r="166" spans="1:63" ht="34.5" customHeight="1">
      <c r="A166" s="917">
        <v>158</v>
      </c>
      <c r="B166" s="1828" t="str">
        <f>IF('Proposed Lighting'!B166="","",'Proposed Lighting'!B166)</f>
        <v/>
      </c>
      <c r="C166" s="1828"/>
      <c r="D166" s="1828"/>
      <c r="E166" s="1245">
        <f>'Proposed Lighting'!AA166</f>
        <v>0</v>
      </c>
      <c r="F166" s="1245">
        <f t="shared" si="29"/>
        <v>0</v>
      </c>
      <c r="G166" s="1830" t="str">
        <f>IF('Proposed Lighting'!T166="","",IF(ISNUMBER(SEARCH("Networked",'Proposed Lighting'!T166)),0,IF(ISNUMBER(SEARCH("Strategies",'Proposed Lighting'!T166)),0,IF(ISNUMBER(SEARCH("Removal",'Proposed Lighting'!T166)),0,'Proposed Lighting'!T166))))</f>
        <v/>
      </c>
      <c r="H166" s="1830"/>
      <c r="I166" s="1830"/>
      <c r="J166" s="1830"/>
      <c r="K166" s="1215"/>
      <c r="L166" s="1246">
        <f t="shared" si="30"/>
        <v>0</v>
      </c>
      <c r="M166" s="1224">
        <f t="shared" si="31"/>
        <v>0</v>
      </c>
      <c r="N166" s="1224">
        <f t="shared" si="32"/>
        <v>0</v>
      </c>
      <c r="O166" s="1825" t="str">
        <f>IF(G166=0,0,IF(ISNA('Proposed Lighting'!AT166),0,'Proposed Lighting'!AT166))</f>
        <v/>
      </c>
      <c r="P166" s="1825"/>
      <c r="Q166" s="1247"/>
      <c r="R166" s="1247"/>
      <c r="S166" s="1247"/>
      <c r="T166" s="1211"/>
      <c r="U166" s="1235">
        <f>IF(K166&gt;0.01,'Proposed Lighting'!CU166,0)</f>
        <v>0</v>
      </c>
      <c r="V166" s="1248">
        <f>IF('Proposed Lighting'!CF166=1,0,IF('Proposed Lighting'!AU166=2,0,IF(AND('Proposed Lighting'!AU166=3,'Proposed Lighting'!CF166=0),1,0)))</f>
        <v>0</v>
      </c>
      <c r="W166" s="1836"/>
      <c r="X166" s="1836"/>
      <c r="Y166" s="1836"/>
      <c r="Z166" s="1230" t="str">
        <f t="shared" si="26"/>
        <v/>
      </c>
      <c r="AA166" s="1230">
        <f t="shared" si="27"/>
        <v>0</v>
      </c>
      <c r="AB166" s="1230">
        <f>IF(Q166=0,0,IF(T166=0,0,IF(AA166=0,0,IF(AND(F166=3,V166=0),0,IF(T166=0,0,IF(K166&gt;'Proposed Lighting'!AA166,0,IF('Proposed Lighting'!EJ166&gt;0.01,(K166*O166)*'Proposed Lighting'!EJ166/1000,(K166*O166)*U166/1000)))))))</f>
        <v>0</v>
      </c>
      <c r="AC166" s="1230" t="str">
        <f t="shared" si="33"/>
        <v/>
      </c>
      <c r="AD166" s="1230">
        <f t="shared" si="28"/>
        <v>0</v>
      </c>
      <c r="AE166" s="1230">
        <f>IF(T166=0,0,IF(K166&gt;'Proposed Lighting'!AA166,0,IF(T166&gt;K166,0,IF(AND(AD166&gt;AA166,AA166&gt;0),0,IF(AND(F166&gt;1,W166&lt;0.01),0,IF('Proposed Lighting'!AU166&gt;'Lighting Controls'!F166,0,IF('Proposed Lighting'!AU166&lt;'Lighting Controls'!F166,0,IF(U166=0,0,Summary!AC469))))))))</f>
        <v>0</v>
      </c>
      <c r="AF166" s="1230">
        <f>IF(T166=0,0,IF(AE166=0,0,IF(K166&gt;'Proposed Lighting'!AA166,0,IF(AND(AD166&gt;AA166,AA166&gt;0),0,IF(U166=0,0,Summary!AD469)))))</f>
        <v>0</v>
      </c>
      <c r="AG166" s="1834">
        <f>IF('Proposed Lighting'!AU166=1,0,IF('Proposed Lighting'!CF166=1,0,T166*W166))</f>
        <v>0</v>
      </c>
      <c r="AH166" s="1834"/>
      <c r="AI166" s="1834"/>
      <c r="AJ166" s="1835">
        <f>IF(T166&lt;1,0,IF(K166&gt;'Proposed Lighting'!AA166,0,IF('Proposed Lighting'!CF166=1,0,IF('Proposed Lighting'!AU166=1,0,IF(T166&gt;K166,0,IF(AND(AD166&gt;AA166,AA166&gt;0),0,IF(AND(F166=2,'Proposed Lighting'!AU166=3),0,IF(AND(F166=3,'Proposed Lighting'!AU166=2),0,IF('Proposed Lighting'!CH166=100,0,IF(AND(F166&lt;3,V166=1,AM166=0),0,IF(AND(F166&gt;1,AF166&lt;1,AN166&lt;1),0,IF(AND(F166&gt;1,AE166&lt;0.69,AF166&lt;1,AN166&lt;1),0,IF(ISERROR(AB166-AC166),"",AB166-AC166)))))))))))))</f>
        <v>0</v>
      </c>
      <c r="AK166" s="1835"/>
      <c r="AL166" s="1835"/>
      <c r="AM166" s="1216">
        <f>IF(Q166=0,0,IF(T166=0,0,IF(T166&gt;K166,0,IF(AND(AS166&gt;0.01,BK166=0),0,IF(AND('Proposed Lighting'!DG166=0,'Lighting Controls'!Z166=0.35),0,IF(AND(T166&lt;=K166,AA166&gt;=AD166,'Proposed Lighting'!AU166=2),VLOOKUP(Q166,$AY$9:$AZ$15,2,FALSE),IF(AND(T166&lt;=K166,AA166&gt;=AD166,'Proposed Lighting'!AU166=3),VLOOKUP(Q166,$AY$17:$AZ$23,2,FALSE))))))))</f>
        <v>0</v>
      </c>
      <c r="AN166" s="1248">
        <f>IF(T166=0,0,IF(K166&gt;'Proposed Lighting'!AA166,0,IF(AE166=0,0,IF(AND(AD166&gt;AA166,AA166&gt;0),0,IF(U166=0,0,Summary!AE469)))))</f>
        <v>0</v>
      </c>
      <c r="AO166" s="1248">
        <f t="shared" si="37"/>
        <v>0</v>
      </c>
      <c r="AP166" s="1249">
        <f>IF('Proposed Lighting'!AU166=1,0,IF(K166=0,0,IF(T166&gt;K166,0,IF(G166=0,0,IF(K166&gt;'Proposed Lighting'!AA166,0,IF(AND(AD166&gt;AA166,AA166&gt;0),0,IF(AND('Proposed Lighting'!AU166=3,AM166=0.5),0,IF(AND(AM166&gt;0,AS166&gt;0,BI166&lt;2),0,IF('Proposed Lighting'!CH166=100,0,IF(AV166=1,0,IF(AND(AM166=35,M166+N166&lt;2),0,AM166)))))))))))</f>
        <v>0</v>
      </c>
      <c r="AQ166" s="1249" t="str">
        <f>IFERROR(ROUND(IF(Q166="","",IF('Proposed Lighting'!$X$4=0,0,IF(AND(AM166=35,M166+N166&lt;2),0,IF(T166&gt;K166,0,IF('Proposed Lighting'!AU166=1,0,IF(AJ166=0,0,IF(AND('Proposed Lighting'!AU166=3,AM166=0.5),0,IF(AND(AD166=75,AP166=0,AV166=0),0,IF(AP166&gt;0.01,AP166*T166,IF(AND(F166&gt;1,W166&lt;0.01),0,IF(AND(F166&gt;1,AO166=0),0,IF(AND('Proposed Lighting'!BC166=22,AV166=0),0,IF(AND(AM166&gt;0,AS166&gt;0,BI166&lt;2),0,IF(AND(AS166&gt;0.01,BK166=0),0,IF(AND(AO166=TRUE,AV166=1,F166=3),MIN(AJ166*0.08,L166),IF(AP166&gt;0.01,AP166*T166,IF(AND(AO166=TRUE,AV166=1,F166=2),MIN(AJ166*0.1,L166)))))))))))))))))),2),"")</f>
        <v/>
      </c>
      <c r="AR166" s="1250">
        <f>IF(Q166=0,0,IF('Proposed Lighting'!$X$4=0,0,IF(AND(AM166&gt;0.01,AQ166&gt;0.01),0,IF('Proposed Lighting'!AU166=1,"Missing Interior or Exterior Selection",IF('Proposed Lighting'!CF166=1,"Selection does not match",IF(K166&gt;'Proposed Lighting'!AA166,"Quantity controlled does not match proposed lighting quantity",IF(T166&gt;K166,"Quantity of sensors exceeds proposed lighting quantity",IF(AND(F166&gt;1,'Proposed Lighting'!AU166&lt;&gt;F166),"Selection does not match",IF(AND(AD166&gt;AA166,AA166&gt;0),"Does not meet minimum connected load",IF(AND(O166&gt;0,AS166&gt;0,BK166&gt;0,'Proposed Lighting'!CH166=0),"Select Control Strategies",IF(AND(AC166&gt;0.1,AJ166=0,AQ166=0),"Does not meet incentive criteria",0)))))))))))</f>
        <v>0</v>
      </c>
      <c r="AS166" s="1224">
        <f>IF('Proposed Lighting'!CH166=100,0,IF(ISNUMBER(SEARCH("multiple",Q166)),1,0))</f>
        <v>0</v>
      </c>
      <c r="AT166" s="451">
        <f t="shared" si="34"/>
        <v>0</v>
      </c>
      <c r="AU166" s="451">
        <f t="shared" si="35"/>
        <v>0</v>
      </c>
      <c r="AV166" s="1222">
        <f>IF(ISNUMBER(SEARCH("Networked",'Proposed Lighting'!T166)),0,IF(ISNUMBER(SEARCH("Strategies",'Proposed Lighting'!T166)),0,IF(ISNUMBER(SEARCH("Removal",'Proposed Lighting'!T166)),0,IF(ISNUMBER(SEARCH("non-standard",Q166)),1,0))))</f>
        <v>0</v>
      </c>
      <c r="AW166" s="451">
        <f t="shared" si="38"/>
        <v>0</v>
      </c>
      <c r="AX166" s="451"/>
      <c r="AY166" s="451"/>
      <c r="AZ166" s="451"/>
      <c r="BA166" s="451"/>
      <c r="BB166" s="451"/>
      <c r="BC166" s="1215"/>
      <c r="BD166" s="1215"/>
      <c r="BE166" s="1215"/>
      <c r="BF166" s="1215"/>
      <c r="BG166" s="1215"/>
      <c r="BH166" s="1215"/>
      <c r="BI166">
        <f>IF(AND(AS166=1,BC166="No",BD166="Yes",BE166="Yes",BF166="No",BH166="No"),0,IF(AND('Proposed Lighting'!AU166=2,AS166=1,BC166="Yes",BD166="Yes"),2,IF(AND('Proposed Lighting'!AU166=2,AS166=1,BC166="Yes",BE166="Yes"),2,IF(AND('Proposed Lighting'!AU166=2,AS166=1,BC166="Yes",BF166="Yes"),2,IF(AND('Proposed Lighting'!AU166=2,AS166=1,BC166="Yes",BH166="Yes"),2,IF(AND('Proposed Lighting'!AU166=2,AS166=1,BD166="Yes",BF166="Yes"),2,IF(AND('Proposed Lighting'!AU166=2,AS166=1,BD166="Yes",BH166="Yes"),2,IF(AND('Proposed Lighting'!AU166=3,AS166=1,BC166="Yes",BE166="Yes"),2,IF(AND('Proposed Lighting'!AU166=3,AS166=1,BC166="Yes",BF166="Yes"),2,0)))))))))</f>
        <v>0</v>
      </c>
      <c r="BJ166" s="1025">
        <f t="shared" si="36"/>
        <v>0</v>
      </c>
      <c r="BK166">
        <f>IF(AND('Proposed Lighting'!BC166=22,'Lighting Controls'!N166=1),0,IF(ISNUMBER(SEARCH("LED",G166)),1,0))</f>
        <v>0</v>
      </c>
    </row>
    <row r="167" spans="1:63" ht="34.5" customHeight="1">
      <c r="A167" s="917">
        <v>159</v>
      </c>
      <c r="B167" s="1828" t="str">
        <f>IF('Proposed Lighting'!B167="","",'Proposed Lighting'!B167)</f>
        <v/>
      </c>
      <c r="C167" s="1828"/>
      <c r="D167" s="1828"/>
      <c r="E167" s="1245">
        <f>'Proposed Lighting'!AA167</f>
        <v>0</v>
      </c>
      <c r="F167" s="1245">
        <f t="shared" si="29"/>
        <v>0</v>
      </c>
      <c r="G167" s="1830" t="str">
        <f>IF('Proposed Lighting'!T167="","",IF(ISNUMBER(SEARCH("Networked",'Proposed Lighting'!T167)),0,IF(ISNUMBER(SEARCH("Strategies",'Proposed Lighting'!T167)),0,IF(ISNUMBER(SEARCH("Removal",'Proposed Lighting'!T167)),0,'Proposed Lighting'!T167))))</f>
        <v/>
      </c>
      <c r="H167" s="1830"/>
      <c r="I167" s="1830"/>
      <c r="J167" s="1830"/>
      <c r="K167" s="1215"/>
      <c r="L167" s="1246">
        <f t="shared" si="30"/>
        <v>0</v>
      </c>
      <c r="M167" s="1224">
        <f t="shared" si="31"/>
        <v>0</v>
      </c>
      <c r="N167" s="1224">
        <f t="shared" si="32"/>
        <v>0</v>
      </c>
      <c r="O167" s="1825" t="str">
        <f>IF(G167=0,0,IF(ISNA('Proposed Lighting'!AT167),0,'Proposed Lighting'!AT167))</f>
        <v/>
      </c>
      <c r="P167" s="1825"/>
      <c r="Q167" s="1247"/>
      <c r="R167" s="1247"/>
      <c r="S167" s="1247"/>
      <c r="T167" s="1211"/>
      <c r="U167" s="1235">
        <f>IF(K167&gt;0.01,'Proposed Lighting'!CU167,0)</f>
        <v>0</v>
      </c>
      <c r="V167" s="1248">
        <f>IF('Proposed Lighting'!CF167=1,0,IF('Proposed Lighting'!AU167=2,0,IF(AND('Proposed Lighting'!AU167=3,'Proposed Lighting'!CF167=0),1,0)))</f>
        <v>0</v>
      </c>
      <c r="W167" s="1836"/>
      <c r="X167" s="1836"/>
      <c r="Y167" s="1836"/>
      <c r="Z167" s="1230" t="str">
        <f t="shared" si="26"/>
        <v/>
      </c>
      <c r="AA167" s="1230">
        <f t="shared" si="27"/>
        <v>0</v>
      </c>
      <c r="AB167" s="1230">
        <f>IF(Q167=0,0,IF(T167=0,0,IF(AA167=0,0,IF(AND(F167=3,V167=0),0,IF(T167=0,0,IF(K167&gt;'Proposed Lighting'!AA167,0,IF('Proposed Lighting'!EJ167&gt;0.01,(K167*O167)*'Proposed Lighting'!EJ167/1000,(K167*O167)*U167/1000)))))))</f>
        <v>0</v>
      </c>
      <c r="AC167" s="1230" t="str">
        <f t="shared" si="33"/>
        <v/>
      </c>
      <c r="AD167" s="1230">
        <f t="shared" si="28"/>
        <v>0</v>
      </c>
      <c r="AE167" s="1230">
        <f>IF(T167=0,0,IF(K167&gt;'Proposed Lighting'!AA167,0,IF(T167&gt;K167,0,IF(AND(AD167&gt;AA167,AA167&gt;0),0,IF(AND(F167&gt;1,W167&lt;0.01),0,IF('Proposed Lighting'!AU167&gt;'Lighting Controls'!F167,0,IF('Proposed Lighting'!AU167&lt;'Lighting Controls'!F167,0,IF(U167=0,0,Summary!AC470))))))))</f>
        <v>0</v>
      </c>
      <c r="AF167" s="1230">
        <f>IF(T167=0,0,IF(AE167=0,0,IF(K167&gt;'Proposed Lighting'!AA167,0,IF(AND(AD167&gt;AA167,AA167&gt;0),0,IF(U167=0,0,Summary!AD470)))))</f>
        <v>0</v>
      </c>
      <c r="AG167" s="1834">
        <f>IF('Proposed Lighting'!AU167=1,0,IF('Proposed Lighting'!CF167=1,0,T167*W167))</f>
        <v>0</v>
      </c>
      <c r="AH167" s="1834"/>
      <c r="AI167" s="1834"/>
      <c r="AJ167" s="1835">
        <f>IF(T167&lt;1,0,IF(K167&gt;'Proposed Lighting'!AA167,0,IF('Proposed Lighting'!CF167=1,0,IF('Proposed Lighting'!AU167=1,0,IF(T167&gt;K167,0,IF(AND(AD167&gt;AA167,AA167&gt;0),0,IF(AND(F167=2,'Proposed Lighting'!AU167=3),0,IF(AND(F167=3,'Proposed Lighting'!AU167=2),0,IF('Proposed Lighting'!CH167=100,0,IF(AND(F167&lt;3,V167=1,AM167=0),0,IF(AND(F167&gt;1,AF167&lt;1,AN167&lt;1),0,IF(AND(F167&gt;1,AE167&lt;0.69,AF167&lt;1,AN167&lt;1),0,IF(ISERROR(AB167-AC167),"",AB167-AC167)))))))))))))</f>
        <v>0</v>
      </c>
      <c r="AK167" s="1835"/>
      <c r="AL167" s="1835"/>
      <c r="AM167" s="1216">
        <f>IF(Q167=0,0,IF(T167=0,0,IF(T167&gt;K167,0,IF(AND(AS167&gt;0.01,BK167=0),0,IF(AND('Proposed Lighting'!DG167=0,'Lighting Controls'!Z167=0.35),0,IF(AND(T167&lt;=K167,AA167&gt;=AD167,'Proposed Lighting'!AU167=2),VLOOKUP(Q167,$AY$9:$AZ$15,2,FALSE),IF(AND(T167&lt;=K167,AA167&gt;=AD167,'Proposed Lighting'!AU167=3),VLOOKUP(Q167,$AY$17:$AZ$23,2,FALSE))))))))</f>
        <v>0</v>
      </c>
      <c r="AN167" s="1248">
        <f>IF(T167=0,0,IF(K167&gt;'Proposed Lighting'!AA167,0,IF(AE167=0,0,IF(AND(AD167&gt;AA167,AA167&gt;0),0,IF(U167=0,0,Summary!AE470)))))</f>
        <v>0</v>
      </c>
      <c r="AO167" s="1248">
        <f t="shared" si="37"/>
        <v>0</v>
      </c>
      <c r="AP167" s="1249">
        <f>IF('Proposed Lighting'!AU167=1,0,IF(K167=0,0,IF(T167&gt;K167,0,IF(G167=0,0,IF(K167&gt;'Proposed Lighting'!AA167,0,IF(AND(AD167&gt;AA167,AA167&gt;0),0,IF(AND('Proposed Lighting'!AU167=3,AM167=0.5),0,IF(AND(AM167&gt;0,AS167&gt;0,BI167&lt;2),0,IF('Proposed Lighting'!CH167=100,0,IF(AV167=1,0,IF(AND(AM167=35,M167+N167&lt;2),0,AM167)))))))))))</f>
        <v>0</v>
      </c>
      <c r="AQ167" s="1249" t="str">
        <f>IFERROR(ROUND(IF(Q167="","",IF('Proposed Lighting'!$X$4=0,0,IF(AND(AM167=35,M167+N167&lt;2),0,IF(T167&gt;K167,0,IF('Proposed Lighting'!AU167=1,0,IF(AJ167=0,0,IF(AND('Proposed Lighting'!AU167=3,AM167=0.5),0,IF(AND(AD167=75,AP167=0,AV167=0),0,IF(AP167&gt;0.01,AP167*T167,IF(AND(F167&gt;1,W167&lt;0.01),0,IF(AND(F167&gt;1,AO167=0),0,IF(AND('Proposed Lighting'!BC167=22,AV167=0),0,IF(AND(AM167&gt;0,AS167&gt;0,BI167&lt;2),0,IF(AND(AS167&gt;0.01,BK167=0),0,IF(AND(AO167=TRUE,AV167=1,F167=3),MIN(AJ167*0.08,L167),IF(AP167&gt;0.01,AP167*T167,IF(AND(AO167=TRUE,AV167=1,F167=2),MIN(AJ167*0.1,L167)))))))))))))))))),2),"")</f>
        <v/>
      </c>
      <c r="AR167" s="1250">
        <f>IF(Q167=0,0,IF('Proposed Lighting'!$X$4=0,0,IF(AND(AM167&gt;0.01,AQ167&gt;0.01),0,IF('Proposed Lighting'!AU167=1,"Missing Interior or Exterior Selection",IF('Proposed Lighting'!CF167=1,"Selection does not match",IF(K167&gt;'Proposed Lighting'!AA167,"Quantity controlled does not match proposed lighting quantity",IF(T167&gt;K167,"Quantity of sensors exceeds proposed lighting quantity",IF(AND(F167&gt;1,'Proposed Lighting'!AU167&lt;&gt;F167),"Selection does not match",IF(AND(AD167&gt;AA167,AA167&gt;0),"Does not meet minimum connected load",IF(AND(O167&gt;0,AS167&gt;0,BK167&gt;0,'Proposed Lighting'!CH167=0),"Select Control Strategies",IF(AND(AC167&gt;0.1,AJ167=0,AQ167=0),"Does not meet incentive criteria",0)))))))))))</f>
        <v>0</v>
      </c>
      <c r="AS167" s="1224">
        <f>IF('Proposed Lighting'!CH167=100,0,IF(ISNUMBER(SEARCH("multiple",Q167)),1,0))</f>
        <v>0</v>
      </c>
      <c r="AT167" s="451">
        <f t="shared" si="34"/>
        <v>0</v>
      </c>
      <c r="AU167" s="451">
        <f t="shared" si="35"/>
        <v>0</v>
      </c>
      <c r="AV167" s="1222">
        <f>IF(ISNUMBER(SEARCH("Networked",'Proposed Lighting'!T167)),0,IF(ISNUMBER(SEARCH("Strategies",'Proposed Lighting'!T167)),0,IF(ISNUMBER(SEARCH("Removal",'Proposed Lighting'!T167)),0,IF(ISNUMBER(SEARCH("non-standard",Q167)),1,0))))</f>
        <v>0</v>
      </c>
      <c r="AW167" s="451">
        <f t="shared" si="38"/>
        <v>0</v>
      </c>
      <c r="AX167" s="451"/>
      <c r="AY167" s="451"/>
      <c r="AZ167" s="451"/>
      <c r="BA167" s="451"/>
      <c r="BB167" s="451"/>
      <c r="BC167" s="1215"/>
      <c r="BD167" s="1215"/>
      <c r="BE167" s="1215"/>
      <c r="BF167" s="1215"/>
      <c r="BG167" s="1215"/>
      <c r="BH167" s="1215"/>
      <c r="BI167">
        <f>IF(AND(AS167=1,BC167="No",BD167="Yes",BE167="Yes",BF167="No",BH167="No"),0,IF(AND('Proposed Lighting'!AU167=2,AS167=1,BC167="Yes",BD167="Yes"),2,IF(AND('Proposed Lighting'!AU167=2,AS167=1,BC167="Yes",BE167="Yes"),2,IF(AND('Proposed Lighting'!AU167=2,AS167=1,BC167="Yes",BF167="Yes"),2,IF(AND('Proposed Lighting'!AU167=2,AS167=1,BC167="Yes",BH167="Yes"),2,IF(AND('Proposed Lighting'!AU167=2,AS167=1,BD167="Yes",BF167="Yes"),2,IF(AND('Proposed Lighting'!AU167=2,AS167=1,BD167="Yes",BH167="Yes"),2,IF(AND('Proposed Lighting'!AU167=3,AS167=1,BC167="Yes",BE167="Yes"),2,IF(AND('Proposed Lighting'!AU167=3,AS167=1,BC167="Yes",BF167="Yes"),2,0)))))))))</f>
        <v>0</v>
      </c>
      <c r="BJ167" s="1025">
        <f t="shared" si="36"/>
        <v>0</v>
      </c>
      <c r="BK167">
        <f>IF(AND('Proposed Lighting'!BC167=22,'Lighting Controls'!N167=1),0,IF(ISNUMBER(SEARCH("LED",G167)),1,0))</f>
        <v>0</v>
      </c>
    </row>
    <row r="168" spans="1:63" ht="34.5" customHeight="1">
      <c r="A168" s="917">
        <v>160</v>
      </c>
      <c r="B168" s="1828" t="str">
        <f>IF('Proposed Lighting'!B168="","",'Proposed Lighting'!B168)</f>
        <v/>
      </c>
      <c r="C168" s="1828"/>
      <c r="D168" s="1828"/>
      <c r="E168" s="1245">
        <f>'Proposed Lighting'!AA168</f>
        <v>0</v>
      </c>
      <c r="F168" s="1245">
        <f t="shared" si="29"/>
        <v>0</v>
      </c>
      <c r="G168" s="1830" t="str">
        <f>IF('Proposed Lighting'!T168="","",IF(ISNUMBER(SEARCH("Networked",'Proposed Lighting'!T168)),0,IF(ISNUMBER(SEARCH("Strategies",'Proposed Lighting'!T168)),0,IF(ISNUMBER(SEARCH("Removal",'Proposed Lighting'!T168)),0,'Proposed Lighting'!T168))))</f>
        <v/>
      </c>
      <c r="H168" s="1830"/>
      <c r="I168" s="1830"/>
      <c r="J168" s="1830"/>
      <c r="K168" s="1215"/>
      <c r="L168" s="1246">
        <f t="shared" si="30"/>
        <v>0</v>
      </c>
      <c r="M168" s="1224">
        <f t="shared" si="31"/>
        <v>0</v>
      </c>
      <c r="N168" s="1224">
        <f t="shared" si="32"/>
        <v>0</v>
      </c>
      <c r="O168" s="1825" t="str">
        <f>IF(G168=0,0,IF(ISNA('Proposed Lighting'!AT168),0,'Proposed Lighting'!AT168))</f>
        <v/>
      </c>
      <c r="P168" s="1825"/>
      <c r="Q168" s="1247"/>
      <c r="R168" s="1247"/>
      <c r="S168" s="1247"/>
      <c r="T168" s="1211"/>
      <c r="U168" s="1235">
        <f>IF(K168&gt;0.01,'Proposed Lighting'!CU168,0)</f>
        <v>0</v>
      </c>
      <c r="V168" s="1248">
        <f>IF('Proposed Lighting'!CF168=1,0,IF('Proposed Lighting'!AU168=2,0,IF(AND('Proposed Lighting'!AU168=3,'Proposed Lighting'!CF168=0),1,0)))</f>
        <v>0</v>
      </c>
      <c r="W168" s="1836"/>
      <c r="X168" s="1836"/>
      <c r="Y168" s="1836"/>
      <c r="Z168" s="1230" t="str">
        <f t="shared" si="26"/>
        <v/>
      </c>
      <c r="AA168" s="1230">
        <f t="shared" si="27"/>
        <v>0</v>
      </c>
      <c r="AB168" s="1230">
        <f>IF(Q168=0,0,IF(T168=0,0,IF(AA168=0,0,IF(AND(F168=3,V168=0),0,IF(T168=0,0,IF(K168&gt;'Proposed Lighting'!AA168,0,IF('Proposed Lighting'!EJ168&gt;0.01,(K168*O168)*'Proposed Lighting'!EJ168/1000,(K168*O168)*U168/1000)))))))</f>
        <v>0</v>
      </c>
      <c r="AC168" s="1230" t="str">
        <f t="shared" si="33"/>
        <v/>
      </c>
      <c r="AD168" s="1230">
        <f t="shared" si="28"/>
        <v>0</v>
      </c>
      <c r="AE168" s="1230">
        <f>IF(T168=0,0,IF(K168&gt;'Proposed Lighting'!AA168,0,IF(T168&gt;K168,0,IF(AND(AD168&gt;AA168,AA168&gt;0),0,IF(AND(F168&gt;1,W168&lt;0.01),0,IF('Proposed Lighting'!AU168&gt;'Lighting Controls'!F168,0,IF('Proposed Lighting'!AU168&lt;'Lighting Controls'!F168,0,IF(U168=0,0,Summary!AC471))))))))</f>
        <v>0</v>
      </c>
      <c r="AF168" s="1230">
        <f>IF(T168=0,0,IF(AE168=0,0,IF(K168&gt;'Proposed Lighting'!AA168,0,IF(AND(AD168&gt;AA168,AA168&gt;0),0,IF(U168=0,0,Summary!AD471)))))</f>
        <v>0</v>
      </c>
      <c r="AG168" s="1834">
        <f>IF('Proposed Lighting'!AU168=1,0,IF('Proposed Lighting'!CF168=1,0,T168*W168))</f>
        <v>0</v>
      </c>
      <c r="AH168" s="1834"/>
      <c r="AI168" s="1834"/>
      <c r="AJ168" s="1835">
        <f>IF(T168&lt;1,0,IF(K168&gt;'Proposed Lighting'!AA168,0,IF('Proposed Lighting'!CF168=1,0,IF('Proposed Lighting'!AU168=1,0,IF(T168&gt;K168,0,IF(AND(AD168&gt;AA168,AA168&gt;0),0,IF(AND(F168=2,'Proposed Lighting'!AU168=3),0,IF(AND(F168=3,'Proposed Lighting'!AU168=2),0,IF('Proposed Lighting'!CH168=100,0,IF(AND(F168&lt;3,V168=1,AM168=0),0,IF(AND(F168&gt;1,AF168&lt;1,AN168&lt;1),0,IF(AND(F168&gt;1,AE168&lt;0.69,AF168&lt;1,AN168&lt;1),0,IF(ISERROR(AB168-AC168),"",AB168-AC168)))))))))))))</f>
        <v>0</v>
      </c>
      <c r="AK168" s="1835"/>
      <c r="AL168" s="1835"/>
      <c r="AM168" s="1216">
        <f>IF(Q168=0,0,IF(T168=0,0,IF(T168&gt;K168,0,IF(AND(AS168&gt;0.01,BK168=0),0,IF(AND('Proposed Lighting'!DG168=0,'Lighting Controls'!Z168=0.35),0,IF(AND(T168&lt;=K168,AA168&gt;=AD168,'Proposed Lighting'!AU168=2),VLOOKUP(Q168,$AY$9:$AZ$15,2,FALSE),IF(AND(T168&lt;=K168,AA168&gt;=AD168,'Proposed Lighting'!AU168=3),VLOOKUP(Q168,$AY$17:$AZ$23,2,FALSE))))))))</f>
        <v>0</v>
      </c>
      <c r="AN168" s="1248">
        <f>IF(T168=0,0,IF(K168&gt;'Proposed Lighting'!AA168,0,IF(AE168=0,0,IF(AND(AD168&gt;AA168,AA168&gt;0),0,IF(U168=0,0,Summary!AE471)))))</f>
        <v>0</v>
      </c>
      <c r="AO168" s="1248">
        <f t="shared" si="37"/>
        <v>0</v>
      </c>
      <c r="AP168" s="1249">
        <f>IF('Proposed Lighting'!AU168=1,0,IF(K168=0,0,IF(T168&gt;K168,0,IF(G168=0,0,IF(K168&gt;'Proposed Lighting'!AA168,0,IF(AND(AD168&gt;AA168,AA168&gt;0),0,IF(AND('Proposed Lighting'!AU168=3,AM168=0.5),0,IF(AND(AM168&gt;0,AS168&gt;0,BI168&lt;2),0,IF('Proposed Lighting'!CH168=100,0,IF(AV168=1,0,IF(AND(AM168=35,M168+N168&lt;2),0,AM168)))))))))))</f>
        <v>0</v>
      </c>
      <c r="AQ168" s="1249" t="str">
        <f>IFERROR(ROUND(IF(Q168="","",IF('Proposed Lighting'!$X$4=0,0,IF(AND(AM168=35,M168+N168&lt;2),0,IF(T168&gt;K168,0,IF('Proposed Lighting'!AU168=1,0,IF(AJ168=0,0,IF(AND('Proposed Lighting'!AU168=3,AM168=0.5),0,IF(AND(AD168=75,AP168=0,AV168=0),0,IF(AP168&gt;0.01,AP168*T168,IF(AND(F168&gt;1,W168&lt;0.01),0,IF(AND(F168&gt;1,AO168=0),0,IF(AND('Proposed Lighting'!BC168=22,AV168=0),0,IF(AND(AM168&gt;0,AS168&gt;0,BI168&lt;2),0,IF(AND(AS168&gt;0.01,BK168=0),0,IF(AND(AO168=TRUE,AV168=1,F168=3),MIN(AJ168*0.08,L168),IF(AP168&gt;0.01,AP168*T168,IF(AND(AO168=TRUE,AV168=1,F168=2),MIN(AJ168*0.1,L168)))))))))))))))))),2),"")</f>
        <v/>
      </c>
      <c r="AR168" s="1250">
        <f>IF(Q168=0,0,IF('Proposed Lighting'!$X$4=0,0,IF(AND(AM168&gt;0.01,AQ168&gt;0.01),0,IF('Proposed Lighting'!AU168=1,"Missing Interior or Exterior Selection",IF('Proposed Lighting'!CF168=1,"Selection does not match",IF(K168&gt;'Proposed Lighting'!AA168,"Quantity controlled does not match proposed lighting quantity",IF(T168&gt;K168,"Quantity of sensors exceeds proposed lighting quantity",IF(AND(F168&gt;1,'Proposed Lighting'!AU168&lt;&gt;F168),"Selection does not match",IF(AND(AD168&gt;AA168,AA168&gt;0),"Does not meet minimum connected load",IF(AND(O168&gt;0,AS168&gt;0,BK168&gt;0,'Proposed Lighting'!CH168=0),"Select Control Strategies",IF(AND(AC168&gt;0.1,AJ168=0,AQ168=0),"Does not meet incentive criteria",0)))))))))))</f>
        <v>0</v>
      </c>
      <c r="AS168" s="1224">
        <f>IF('Proposed Lighting'!CH168=100,0,IF(ISNUMBER(SEARCH("multiple",Q168)),1,0))</f>
        <v>0</v>
      </c>
      <c r="AT168" s="451">
        <f t="shared" si="34"/>
        <v>0</v>
      </c>
      <c r="AU168" s="451">
        <f t="shared" si="35"/>
        <v>0</v>
      </c>
      <c r="AV168" s="1222">
        <f>IF(ISNUMBER(SEARCH("Networked",'Proposed Lighting'!T168)),0,IF(ISNUMBER(SEARCH("Strategies",'Proposed Lighting'!T168)),0,IF(ISNUMBER(SEARCH("Removal",'Proposed Lighting'!T168)),0,IF(ISNUMBER(SEARCH("non-standard",Q168)),1,0))))</f>
        <v>0</v>
      </c>
      <c r="AW168" s="451">
        <f t="shared" si="38"/>
        <v>0</v>
      </c>
      <c r="AX168" s="451"/>
      <c r="AY168" s="451"/>
      <c r="AZ168" s="451"/>
      <c r="BA168" s="451"/>
      <c r="BB168" s="451"/>
      <c r="BC168" s="1215"/>
      <c r="BD168" s="1215"/>
      <c r="BE168" s="1215"/>
      <c r="BF168" s="1215"/>
      <c r="BG168" s="1215"/>
      <c r="BH168" s="1215"/>
      <c r="BI168">
        <f>IF(AND(AS168=1,BC168="No",BD168="Yes",BE168="Yes",BF168="No",BH168="No"),0,IF(AND('Proposed Lighting'!AU168=2,AS168=1,BC168="Yes",BD168="Yes"),2,IF(AND('Proposed Lighting'!AU168=2,AS168=1,BC168="Yes",BE168="Yes"),2,IF(AND('Proposed Lighting'!AU168=2,AS168=1,BC168="Yes",BF168="Yes"),2,IF(AND('Proposed Lighting'!AU168=2,AS168=1,BC168="Yes",BH168="Yes"),2,IF(AND('Proposed Lighting'!AU168=2,AS168=1,BD168="Yes",BF168="Yes"),2,IF(AND('Proposed Lighting'!AU168=2,AS168=1,BD168="Yes",BH168="Yes"),2,IF(AND('Proposed Lighting'!AU168=3,AS168=1,BC168="Yes",BE168="Yes"),2,IF(AND('Proposed Lighting'!AU168=3,AS168=1,BC168="Yes",BF168="Yes"),2,0)))))))))</f>
        <v>0</v>
      </c>
      <c r="BJ168" s="1025">
        <f t="shared" si="36"/>
        <v>0</v>
      </c>
      <c r="BK168">
        <f>IF(AND('Proposed Lighting'!BC168=22,'Lighting Controls'!N168=1),0,IF(ISNUMBER(SEARCH("LED",G168)),1,0))</f>
        <v>0</v>
      </c>
    </row>
    <row r="169" spans="1:63" ht="34.5" customHeight="1">
      <c r="A169" s="917">
        <v>161</v>
      </c>
      <c r="B169" s="1828" t="str">
        <f>IF('Proposed Lighting'!B169="","",'Proposed Lighting'!B169)</f>
        <v/>
      </c>
      <c r="C169" s="1828"/>
      <c r="D169" s="1828"/>
      <c r="E169" s="1245">
        <f>'Proposed Lighting'!AA169</f>
        <v>0</v>
      </c>
      <c r="F169" s="1245">
        <f t="shared" si="29"/>
        <v>0</v>
      </c>
      <c r="G169" s="1830" t="str">
        <f>IF('Proposed Lighting'!T169="","",IF(ISNUMBER(SEARCH("Networked",'Proposed Lighting'!T169)),0,IF(ISNUMBER(SEARCH("Strategies",'Proposed Lighting'!T169)),0,IF(ISNUMBER(SEARCH("Removal",'Proposed Lighting'!T169)),0,'Proposed Lighting'!T169))))</f>
        <v/>
      </c>
      <c r="H169" s="1830"/>
      <c r="I169" s="1830"/>
      <c r="J169" s="1830"/>
      <c r="K169" s="1215"/>
      <c r="L169" s="1246">
        <f t="shared" si="30"/>
        <v>0</v>
      </c>
      <c r="M169" s="1224">
        <f t="shared" si="31"/>
        <v>0</v>
      </c>
      <c r="N169" s="1224">
        <f t="shared" si="32"/>
        <v>0</v>
      </c>
      <c r="O169" s="1825" t="str">
        <f>IF(G169=0,0,IF(ISNA('Proposed Lighting'!AT169),0,'Proposed Lighting'!AT169))</f>
        <v/>
      </c>
      <c r="P169" s="1825"/>
      <c r="Q169" s="1247"/>
      <c r="R169" s="1247"/>
      <c r="S169" s="1247"/>
      <c r="T169" s="1211"/>
      <c r="U169" s="1235">
        <f>IF(K169&gt;0.01,'Proposed Lighting'!CU169,0)</f>
        <v>0</v>
      </c>
      <c r="V169" s="1248">
        <f>IF('Proposed Lighting'!CF169=1,0,IF('Proposed Lighting'!AU169=2,0,IF(AND('Proposed Lighting'!AU169=3,'Proposed Lighting'!CF169=0),1,0)))</f>
        <v>0</v>
      </c>
      <c r="W169" s="1836"/>
      <c r="X169" s="1836"/>
      <c r="Y169" s="1836"/>
      <c r="Z169" s="1230" t="str">
        <f t="shared" si="26"/>
        <v/>
      </c>
      <c r="AA169" s="1230">
        <f t="shared" si="27"/>
        <v>0</v>
      </c>
      <c r="AB169" s="1230">
        <f>IF(Q169=0,0,IF(T169=0,0,IF(AA169=0,0,IF(AND(F169=3,V169=0),0,IF(T169=0,0,IF(K169&gt;'Proposed Lighting'!AA169,0,IF('Proposed Lighting'!EJ169&gt;0.01,(K169*O169)*'Proposed Lighting'!EJ169/1000,(K169*O169)*U169/1000)))))))</f>
        <v>0</v>
      </c>
      <c r="AC169" s="1230" t="str">
        <f t="shared" si="33"/>
        <v/>
      </c>
      <c r="AD169" s="1230">
        <f t="shared" si="28"/>
        <v>0</v>
      </c>
      <c r="AE169" s="1230">
        <f>IF(T169=0,0,IF(K169&gt;'Proposed Lighting'!AA169,0,IF(T169&gt;K169,0,IF(AND(AD169&gt;AA169,AA169&gt;0),0,IF(AND(F169&gt;1,W169&lt;0.01),0,IF('Proposed Lighting'!AU169&gt;'Lighting Controls'!F169,0,IF('Proposed Lighting'!AU169&lt;'Lighting Controls'!F169,0,IF(U169=0,0,Summary!AC472))))))))</f>
        <v>0</v>
      </c>
      <c r="AF169" s="1230">
        <f>IF(T169=0,0,IF(AE169=0,0,IF(K169&gt;'Proposed Lighting'!AA169,0,IF(AND(AD169&gt;AA169,AA169&gt;0),0,IF(U169=0,0,Summary!AD472)))))</f>
        <v>0</v>
      </c>
      <c r="AG169" s="1834">
        <f>IF('Proposed Lighting'!AU169=1,0,IF('Proposed Lighting'!CF169=1,0,T169*W169))</f>
        <v>0</v>
      </c>
      <c r="AH169" s="1834"/>
      <c r="AI169" s="1834"/>
      <c r="AJ169" s="1835">
        <f>IF(T169&lt;1,0,IF(K169&gt;'Proposed Lighting'!AA169,0,IF('Proposed Lighting'!CF169=1,0,IF('Proposed Lighting'!AU169=1,0,IF(T169&gt;K169,0,IF(AND(AD169&gt;AA169,AA169&gt;0),0,IF(AND(F169=2,'Proposed Lighting'!AU169=3),0,IF(AND(F169=3,'Proposed Lighting'!AU169=2),0,IF('Proposed Lighting'!CH169=100,0,IF(AND(F169&lt;3,V169=1,AM169=0),0,IF(AND(F169&gt;1,AF169&lt;1,AN169&lt;1),0,IF(AND(F169&gt;1,AE169&lt;0.69,AF169&lt;1,AN169&lt;1),0,IF(ISERROR(AB169-AC169),"",AB169-AC169)))))))))))))</f>
        <v>0</v>
      </c>
      <c r="AK169" s="1835"/>
      <c r="AL169" s="1835"/>
      <c r="AM169" s="1216">
        <f>IF(Q169=0,0,IF(T169=0,0,IF(T169&gt;K169,0,IF(AND(AS169&gt;0.01,BK169=0),0,IF(AND('Proposed Lighting'!DG169=0,'Lighting Controls'!Z169=0.35),0,IF(AND(T169&lt;=K169,AA169&gt;=AD169,'Proposed Lighting'!AU169=2),VLOOKUP(Q169,$AY$9:$AZ$15,2,FALSE),IF(AND(T169&lt;=K169,AA169&gt;=AD169,'Proposed Lighting'!AU169=3),VLOOKUP(Q169,$AY$17:$AZ$23,2,FALSE))))))))</f>
        <v>0</v>
      </c>
      <c r="AN169" s="1248">
        <f>IF(T169=0,0,IF(K169&gt;'Proposed Lighting'!AA169,0,IF(AE169=0,0,IF(AND(AD169&gt;AA169,AA169&gt;0),0,IF(U169=0,0,Summary!AE472)))))</f>
        <v>0</v>
      </c>
      <c r="AO169" s="1248">
        <f t="shared" si="37"/>
        <v>0</v>
      </c>
      <c r="AP169" s="1249">
        <f>IF('Proposed Lighting'!AU169=1,0,IF(K169=0,0,IF(T169&gt;K169,0,IF(G169=0,0,IF(K169&gt;'Proposed Lighting'!AA169,0,IF(AND(AD169&gt;AA169,AA169&gt;0),0,IF(AND('Proposed Lighting'!AU169=3,AM169=0.5),0,IF(AND(AM169&gt;0,AS169&gt;0,BI169&lt;2),0,IF('Proposed Lighting'!CH169=100,0,IF(AV169=1,0,IF(AND(AM169=35,M169+N169&lt;2),0,AM169)))))))))))</f>
        <v>0</v>
      </c>
      <c r="AQ169" s="1249" t="str">
        <f>IFERROR(ROUND(IF(Q169="","",IF('Proposed Lighting'!$X$4=0,0,IF(AND(AM169=35,M169+N169&lt;2),0,IF(T169&gt;K169,0,IF('Proposed Lighting'!AU169=1,0,IF(AJ169=0,0,IF(AND('Proposed Lighting'!AU169=3,AM169=0.5),0,IF(AND(AD169=75,AP169=0,AV169=0),0,IF(AP169&gt;0.01,AP169*T169,IF(AND(F169&gt;1,W169&lt;0.01),0,IF(AND(F169&gt;1,AO169=0),0,IF(AND('Proposed Lighting'!BC169=22,AV169=0),0,IF(AND(AM169&gt;0,AS169&gt;0,BI169&lt;2),0,IF(AND(AS169&gt;0.01,BK169=0),0,IF(AND(AO169=TRUE,AV169=1,F169=3),MIN(AJ169*0.08,L169),IF(AP169&gt;0.01,AP169*T169,IF(AND(AO169=TRUE,AV169=1,F169=2),MIN(AJ169*0.1,L169)))))))))))))))))),2),"")</f>
        <v/>
      </c>
      <c r="AR169" s="1250">
        <f>IF(Q169=0,0,IF('Proposed Lighting'!$X$4=0,0,IF(AND(AM169&gt;0.01,AQ169&gt;0.01),0,IF('Proposed Lighting'!AU169=1,"Missing Interior or Exterior Selection",IF('Proposed Lighting'!CF169=1,"Selection does not match",IF(K169&gt;'Proposed Lighting'!AA169,"Quantity controlled does not match proposed lighting quantity",IF(T169&gt;K169,"Quantity of sensors exceeds proposed lighting quantity",IF(AND(F169&gt;1,'Proposed Lighting'!AU169&lt;&gt;F169),"Selection does not match",IF(AND(AD169&gt;AA169,AA169&gt;0),"Does not meet minimum connected load",IF(AND(O169&gt;0,AS169&gt;0,BK169&gt;0,'Proposed Lighting'!CH169=0),"Select Control Strategies",IF(AND(AC169&gt;0.1,AJ169=0,AQ169=0),"Does not meet incentive criteria",0)))))))))))</f>
        <v>0</v>
      </c>
      <c r="AS169" s="1224">
        <f>IF('Proposed Lighting'!CH169=100,0,IF(ISNUMBER(SEARCH("multiple",Q169)),1,0))</f>
        <v>0</v>
      </c>
      <c r="AT169" s="451">
        <f t="shared" si="34"/>
        <v>0</v>
      </c>
      <c r="AU169" s="451">
        <f t="shared" si="35"/>
        <v>0</v>
      </c>
      <c r="AV169" s="1222">
        <f>IF(ISNUMBER(SEARCH("Networked",'Proposed Lighting'!T169)),0,IF(ISNUMBER(SEARCH("Strategies",'Proposed Lighting'!T169)),0,IF(ISNUMBER(SEARCH("Removal",'Proposed Lighting'!T169)),0,IF(ISNUMBER(SEARCH("non-standard",Q169)),1,0))))</f>
        <v>0</v>
      </c>
      <c r="AW169" s="451">
        <f t="shared" si="38"/>
        <v>0</v>
      </c>
      <c r="AX169" s="451"/>
      <c r="AY169" s="451"/>
      <c r="AZ169" s="451"/>
      <c r="BA169" s="451"/>
      <c r="BB169" s="451"/>
      <c r="BC169" s="1215"/>
      <c r="BD169" s="1215"/>
      <c r="BE169" s="1215"/>
      <c r="BF169" s="1215"/>
      <c r="BG169" s="1215"/>
      <c r="BH169" s="1215"/>
      <c r="BI169">
        <f>IF(AND(AS169=1,BC169="No",BD169="Yes",BE169="Yes",BF169="No",BH169="No"),0,IF(AND('Proposed Lighting'!AU169=2,AS169=1,BC169="Yes",BD169="Yes"),2,IF(AND('Proposed Lighting'!AU169=2,AS169=1,BC169="Yes",BE169="Yes"),2,IF(AND('Proposed Lighting'!AU169=2,AS169=1,BC169="Yes",BF169="Yes"),2,IF(AND('Proposed Lighting'!AU169=2,AS169=1,BC169="Yes",BH169="Yes"),2,IF(AND('Proposed Lighting'!AU169=2,AS169=1,BD169="Yes",BF169="Yes"),2,IF(AND('Proposed Lighting'!AU169=2,AS169=1,BD169="Yes",BH169="Yes"),2,IF(AND('Proposed Lighting'!AU169=3,AS169=1,BC169="Yes",BE169="Yes"),2,IF(AND('Proposed Lighting'!AU169=3,AS169=1,BC169="Yes",BF169="Yes"),2,0)))))))))</f>
        <v>0</v>
      </c>
      <c r="BJ169" s="1025">
        <f t="shared" si="36"/>
        <v>0</v>
      </c>
      <c r="BK169">
        <f>IF(AND('Proposed Lighting'!BC169=22,'Lighting Controls'!N169=1),0,IF(ISNUMBER(SEARCH("LED",G169)),1,0))</f>
        <v>0</v>
      </c>
    </row>
    <row r="170" spans="1:63" ht="34.5" customHeight="1">
      <c r="A170" s="917">
        <v>162</v>
      </c>
      <c r="B170" s="1828" t="str">
        <f>IF('Proposed Lighting'!B170="","",'Proposed Lighting'!B170)</f>
        <v/>
      </c>
      <c r="C170" s="1828"/>
      <c r="D170" s="1828"/>
      <c r="E170" s="1245">
        <f>'Proposed Lighting'!AA170</f>
        <v>0</v>
      </c>
      <c r="F170" s="1245">
        <f t="shared" si="29"/>
        <v>0</v>
      </c>
      <c r="G170" s="1830" t="str">
        <f>IF('Proposed Lighting'!T170="","",IF(ISNUMBER(SEARCH("Networked",'Proposed Lighting'!T170)),0,IF(ISNUMBER(SEARCH("Strategies",'Proposed Lighting'!T170)),0,IF(ISNUMBER(SEARCH("Removal",'Proposed Lighting'!T170)),0,'Proposed Lighting'!T170))))</f>
        <v/>
      </c>
      <c r="H170" s="1830"/>
      <c r="I170" s="1830"/>
      <c r="J170" s="1830"/>
      <c r="K170" s="1215"/>
      <c r="L170" s="1246">
        <f t="shared" si="30"/>
        <v>0</v>
      </c>
      <c r="M170" s="1224">
        <f t="shared" si="31"/>
        <v>0</v>
      </c>
      <c r="N170" s="1224">
        <f t="shared" si="32"/>
        <v>0</v>
      </c>
      <c r="O170" s="1825" t="str">
        <f>IF(G170=0,0,IF(ISNA('Proposed Lighting'!AT170),0,'Proposed Lighting'!AT170))</f>
        <v/>
      </c>
      <c r="P170" s="1825"/>
      <c r="Q170" s="1247"/>
      <c r="R170" s="1247"/>
      <c r="S170" s="1247"/>
      <c r="T170" s="1211"/>
      <c r="U170" s="1235">
        <f>IF(K170&gt;0.01,'Proposed Lighting'!CU170,0)</f>
        <v>0</v>
      </c>
      <c r="V170" s="1248">
        <f>IF('Proposed Lighting'!CF170=1,0,IF('Proposed Lighting'!AU170=2,0,IF(AND('Proposed Lighting'!AU170=3,'Proposed Lighting'!CF170=0),1,0)))</f>
        <v>0</v>
      </c>
      <c r="W170" s="1836"/>
      <c r="X170" s="1836"/>
      <c r="Y170" s="1836"/>
      <c r="Z170" s="1230" t="str">
        <f t="shared" si="26"/>
        <v/>
      </c>
      <c r="AA170" s="1230">
        <f t="shared" si="27"/>
        <v>0</v>
      </c>
      <c r="AB170" s="1230">
        <f>IF(Q170=0,0,IF(T170=0,0,IF(AA170=0,0,IF(AND(F170=3,V170=0),0,IF(T170=0,0,IF(K170&gt;'Proposed Lighting'!AA170,0,IF('Proposed Lighting'!EJ170&gt;0.01,(K170*O170)*'Proposed Lighting'!EJ170/1000,(K170*O170)*U170/1000)))))))</f>
        <v>0</v>
      </c>
      <c r="AC170" s="1230" t="str">
        <f t="shared" si="33"/>
        <v/>
      </c>
      <c r="AD170" s="1230">
        <f t="shared" si="28"/>
        <v>0</v>
      </c>
      <c r="AE170" s="1230">
        <f>IF(T170=0,0,IF(K170&gt;'Proposed Lighting'!AA170,0,IF(T170&gt;K170,0,IF(AND(AD170&gt;AA170,AA170&gt;0),0,IF(AND(F170&gt;1,W170&lt;0.01),0,IF('Proposed Lighting'!AU170&gt;'Lighting Controls'!F170,0,IF('Proposed Lighting'!AU170&lt;'Lighting Controls'!F170,0,IF(U170=0,0,Summary!AC473))))))))</f>
        <v>0</v>
      </c>
      <c r="AF170" s="1230">
        <f>IF(T170=0,0,IF(AE170=0,0,IF(K170&gt;'Proposed Lighting'!AA170,0,IF(AND(AD170&gt;AA170,AA170&gt;0),0,IF(U170=0,0,Summary!AD473)))))</f>
        <v>0</v>
      </c>
      <c r="AG170" s="1834">
        <f>IF('Proposed Lighting'!AU170=1,0,IF('Proposed Lighting'!CF170=1,0,T170*W170))</f>
        <v>0</v>
      </c>
      <c r="AH170" s="1834"/>
      <c r="AI170" s="1834"/>
      <c r="AJ170" s="1835">
        <f>IF(T170&lt;1,0,IF(K170&gt;'Proposed Lighting'!AA170,0,IF('Proposed Lighting'!CF170=1,0,IF('Proposed Lighting'!AU170=1,0,IF(T170&gt;K170,0,IF(AND(AD170&gt;AA170,AA170&gt;0),0,IF(AND(F170=2,'Proposed Lighting'!AU170=3),0,IF(AND(F170=3,'Proposed Lighting'!AU170=2),0,IF('Proposed Lighting'!CH170=100,0,IF(AND(F170&lt;3,V170=1,AM170=0),0,IF(AND(F170&gt;1,AF170&lt;1,AN170&lt;1),0,IF(AND(F170&gt;1,AE170&lt;0.69,AF170&lt;1,AN170&lt;1),0,IF(ISERROR(AB170-AC170),"",AB170-AC170)))))))))))))</f>
        <v>0</v>
      </c>
      <c r="AK170" s="1835"/>
      <c r="AL170" s="1835"/>
      <c r="AM170" s="1216">
        <f>IF(Q170=0,0,IF(T170=0,0,IF(T170&gt;K170,0,IF(AND(AS170&gt;0.01,BK170=0),0,IF(AND('Proposed Lighting'!DG170=0,'Lighting Controls'!Z170=0.35),0,IF(AND(T170&lt;=K170,AA170&gt;=AD170,'Proposed Lighting'!AU170=2),VLOOKUP(Q170,$AY$9:$AZ$15,2,FALSE),IF(AND(T170&lt;=K170,AA170&gt;=AD170,'Proposed Lighting'!AU170=3),VLOOKUP(Q170,$AY$17:$AZ$23,2,FALSE))))))))</f>
        <v>0</v>
      </c>
      <c r="AN170" s="1248">
        <f>IF(T170=0,0,IF(K170&gt;'Proposed Lighting'!AA170,0,IF(AE170=0,0,IF(AND(AD170&gt;AA170,AA170&gt;0),0,IF(U170=0,0,Summary!AE473)))))</f>
        <v>0</v>
      </c>
      <c r="AO170" s="1248">
        <f t="shared" si="37"/>
        <v>0</v>
      </c>
      <c r="AP170" s="1249">
        <f>IF('Proposed Lighting'!AU170=1,0,IF(K170=0,0,IF(T170&gt;K170,0,IF(G170=0,0,IF(K170&gt;'Proposed Lighting'!AA170,0,IF(AND(AD170&gt;AA170,AA170&gt;0),0,IF(AND('Proposed Lighting'!AU170=3,AM170=0.5),0,IF(AND(AM170&gt;0,AS170&gt;0,BI170&lt;2),0,IF('Proposed Lighting'!CH170=100,0,IF(AV170=1,0,IF(AND(AM170=35,M170+N170&lt;2),0,AM170)))))))))))</f>
        <v>0</v>
      </c>
      <c r="AQ170" s="1249" t="str">
        <f>IFERROR(ROUND(IF(Q170="","",IF('Proposed Lighting'!$X$4=0,0,IF(AND(AM170=35,M170+N170&lt;2),0,IF(T170&gt;K170,0,IF('Proposed Lighting'!AU170=1,0,IF(AJ170=0,0,IF(AND('Proposed Lighting'!AU170=3,AM170=0.5),0,IF(AND(AD170=75,AP170=0,AV170=0),0,IF(AP170&gt;0.01,AP170*T170,IF(AND(F170&gt;1,W170&lt;0.01),0,IF(AND(F170&gt;1,AO170=0),0,IF(AND('Proposed Lighting'!BC170=22,AV170=0),0,IF(AND(AM170&gt;0,AS170&gt;0,BI170&lt;2),0,IF(AND(AS170&gt;0.01,BK170=0),0,IF(AND(AO170=TRUE,AV170=1,F170=3),MIN(AJ170*0.08,L170),IF(AP170&gt;0.01,AP170*T170,IF(AND(AO170=TRUE,AV170=1,F170=2),MIN(AJ170*0.1,L170)))))))))))))))))),2),"")</f>
        <v/>
      </c>
      <c r="AR170" s="1250">
        <f>IF(Q170=0,0,IF('Proposed Lighting'!$X$4=0,0,IF(AND(AM170&gt;0.01,AQ170&gt;0.01),0,IF('Proposed Lighting'!AU170=1,"Missing Interior or Exterior Selection",IF('Proposed Lighting'!CF170=1,"Selection does not match",IF(K170&gt;'Proposed Lighting'!AA170,"Quantity controlled does not match proposed lighting quantity",IF(T170&gt;K170,"Quantity of sensors exceeds proposed lighting quantity",IF(AND(F170&gt;1,'Proposed Lighting'!AU170&lt;&gt;F170),"Selection does not match",IF(AND(AD170&gt;AA170,AA170&gt;0),"Does not meet minimum connected load",IF(AND(O170&gt;0,AS170&gt;0,BK170&gt;0,'Proposed Lighting'!CH170=0),"Select Control Strategies",IF(AND(AC170&gt;0.1,AJ170=0,AQ170=0),"Does not meet incentive criteria",0)))))))))))</f>
        <v>0</v>
      </c>
      <c r="AS170" s="1224">
        <f>IF('Proposed Lighting'!CH170=100,0,IF(ISNUMBER(SEARCH("multiple",Q170)),1,0))</f>
        <v>0</v>
      </c>
      <c r="AT170" s="451">
        <f t="shared" si="34"/>
        <v>0</v>
      </c>
      <c r="AU170" s="451">
        <f t="shared" si="35"/>
        <v>0</v>
      </c>
      <c r="AV170" s="1222">
        <f>IF(ISNUMBER(SEARCH("Networked",'Proposed Lighting'!T170)),0,IF(ISNUMBER(SEARCH("Strategies",'Proposed Lighting'!T170)),0,IF(ISNUMBER(SEARCH("Removal",'Proposed Lighting'!T170)),0,IF(ISNUMBER(SEARCH("non-standard",Q170)),1,0))))</f>
        <v>0</v>
      </c>
      <c r="AW170" s="451">
        <f t="shared" si="38"/>
        <v>0</v>
      </c>
      <c r="AX170" s="451"/>
      <c r="AY170" s="451"/>
      <c r="AZ170" s="451"/>
      <c r="BA170" s="451"/>
      <c r="BB170" s="451"/>
      <c r="BC170" s="1215"/>
      <c r="BD170" s="1215"/>
      <c r="BE170" s="1215"/>
      <c r="BF170" s="1215"/>
      <c r="BG170" s="1215"/>
      <c r="BH170" s="1215"/>
      <c r="BI170">
        <f>IF(AND(AS170=1,BC170="No",BD170="Yes",BE170="Yes",BF170="No",BH170="No"),0,IF(AND('Proposed Lighting'!AU170=2,AS170=1,BC170="Yes",BD170="Yes"),2,IF(AND('Proposed Lighting'!AU170=2,AS170=1,BC170="Yes",BE170="Yes"),2,IF(AND('Proposed Lighting'!AU170=2,AS170=1,BC170="Yes",BF170="Yes"),2,IF(AND('Proposed Lighting'!AU170=2,AS170=1,BC170="Yes",BH170="Yes"),2,IF(AND('Proposed Lighting'!AU170=2,AS170=1,BD170="Yes",BF170="Yes"),2,IF(AND('Proposed Lighting'!AU170=2,AS170=1,BD170="Yes",BH170="Yes"),2,IF(AND('Proposed Lighting'!AU170=3,AS170=1,BC170="Yes",BE170="Yes"),2,IF(AND('Proposed Lighting'!AU170=3,AS170=1,BC170="Yes",BF170="Yes"),2,0)))))))))</f>
        <v>0</v>
      </c>
      <c r="BJ170" s="1025">
        <f t="shared" si="36"/>
        <v>0</v>
      </c>
      <c r="BK170">
        <f>IF(AND('Proposed Lighting'!BC170=22,'Lighting Controls'!N170=1),0,IF(ISNUMBER(SEARCH("LED",G170)),1,0))</f>
        <v>0</v>
      </c>
    </row>
    <row r="171" spans="1:63" ht="34.5" customHeight="1">
      <c r="A171" s="917">
        <v>163</v>
      </c>
      <c r="B171" s="1828" t="str">
        <f>IF('Proposed Lighting'!B171="","",'Proposed Lighting'!B171)</f>
        <v/>
      </c>
      <c r="C171" s="1828"/>
      <c r="D171" s="1828"/>
      <c r="E171" s="1245">
        <f>'Proposed Lighting'!AA171</f>
        <v>0</v>
      </c>
      <c r="F171" s="1245">
        <f t="shared" si="29"/>
        <v>0</v>
      </c>
      <c r="G171" s="1830" t="str">
        <f>IF('Proposed Lighting'!T171="","",IF(ISNUMBER(SEARCH("Networked",'Proposed Lighting'!T171)),0,IF(ISNUMBER(SEARCH("Strategies",'Proposed Lighting'!T171)),0,IF(ISNUMBER(SEARCH("Removal",'Proposed Lighting'!T171)),0,'Proposed Lighting'!T171))))</f>
        <v/>
      </c>
      <c r="H171" s="1830"/>
      <c r="I171" s="1830"/>
      <c r="J171" s="1830"/>
      <c r="K171" s="1215"/>
      <c r="L171" s="1246">
        <f t="shared" si="30"/>
        <v>0</v>
      </c>
      <c r="M171" s="1224">
        <f t="shared" si="31"/>
        <v>0</v>
      </c>
      <c r="N171" s="1224">
        <f t="shared" si="32"/>
        <v>0</v>
      </c>
      <c r="O171" s="1825" t="str">
        <f>IF(G171=0,0,IF(ISNA('Proposed Lighting'!AT171),0,'Proposed Lighting'!AT171))</f>
        <v/>
      </c>
      <c r="P171" s="1825"/>
      <c r="Q171" s="1247"/>
      <c r="R171" s="1247"/>
      <c r="S171" s="1247"/>
      <c r="T171" s="1211"/>
      <c r="U171" s="1235">
        <f>IF(K171&gt;0.01,'Proposed Lighting'!CU171,0)</f>
        <v>0</v>
      </c>
      <c r="V171" s="1248">
        <f>IF('Proposed Lighting'!CF171=1,0,IF('Proposed Lighting'!AU171=2,0,IF(AND('Proposed Lighting'!AU171=3,'Proposed Lighting'!CF171=0),1,0)))</f>
        <v>0</v>
      </c>
      <c r="W171" s="1836"/>
      <c r="X171" s="1836"/>
      <c r="Y171" s="1836"/>
      <c r="Z171" s="1230" t="str">
        <f t="shared" si="26"/>
        <v/>
      </c>
      <c r="AA171" s="1230">
        <f t="shared" si="27"/>
        <v>0</v>
      </c>
      <c r="AB171" s="1230">
        <f>IF(Q171=0,0,IF(T171=0,0,IF(AA171=0,0,IF(AND(F171=3,V171=0),0,IF(T171=0,0,IF(K171&gt;'Proposed Lighting'!AA171,0,IF('Proposed Lighting'!EJ171&gt;0.01,(K171*O171)*'Proposed Lighting'!EJ171/1000,(K171*O171)*U171/1000)))))))</f>
        <v>0</v>
      </c>
      <c r="AC171" s="1230" t="str">
        <f t="shared" si="33"/>
        <v/>
      </c>
      <c r="AD171" s="1230">
        <f t="shared" si="28"/>
        <v>0</v>
      </c>
      <c r="AE171" s="1230">
        <f>IF(T171=0,0,IF(K171&gt;'Proposed Lighting'!AA171,0,IF(T171&gt;K171,0,IF(AND(AD171&gt;AA171,AA171&gt;0),0,IF(AND(F171&gt;1,W171&lt;0.01),0,IF('Proposed Lighting'!AU171&gt;'Lighting Controls'!F171,0,IF('Proposed Lighting'!AU171&lt;'Lighting Controls'!F171,0,IF(U171=0,0,Summary!AC474))))))))</f>
        <v>0</v>
      </c>
      <c r="AF171" s="1230">
        <f>IF(T171=0,0,IF(AE171=0,0,IF(K171&gt;'Proposed Lighting'!AA171,0,IF(AND(AD171&gt;AA171,AA171&gt;0),0,IF(U171=0,0,Summary!AD474)))))</f>
        <v>0</v>
      </c>
      <c r="AG171" s="1834">
        <f>IF('Proposed Lighting'!AU171=1,0,IF('Proposed Lighting'!CF171=1,0,T171*W171))</f>
        <v>0</v>
      </c>
      <c r="AH171" s="1834"/>
      <c r="AI171" s="1834"/>
      <c r="AJ171" s="1835">
        <f>IF(T171&lt;1,0,IF(K171&gt;'Proposed Lighting'!AA171,0,IF('Proposed Lighting'!CF171=1,0,IF('Proposed Lighting'!AU171=1,0,IF(T171&gt;K171,0,IF(AND(AD171&gt;AA171,AA171&gt;0),0,IF(AND(F171=2,'Proposed Lighting'!AU171=3),0,IF(AND(F171=3,'Proposed Lighting'!AU171=2),0,IF('Proposed Lighting'!CH171=100,0,IF(AND(F171&lt;3,V171=1,AM171=0),0,IF(AND(F171&gt;1,AF171&lt;1,AN171&lt;1),0,IF(AND(F171&gt;1,AE171&lt;0.69,AF171&lt;1,AN171&lt;1),0,IF(ISERROR(AB171-AC171),"",AB171-AC171)))))))))))))</f>
        <v>0</v>
      </c>
      <c r="AK171" s="1835"/>
      <c r="AL171" s="1835"/>
      <c r="AM171" s="1216">
        <f>IF(Q171=0,0,IF(T171=0,0,IF(T171&gt;K171,0,IF(AND(AS171&gt;0.01,BK171=0),0,IF(AND('Proposed Lighting'!DG171=0,'Lighting Controls'!Z171=0.35),0,IF(AND(T171&lt;=K171,AA171&gt;=AD171,'Proposed Lighting'!AU171=2),VLOOKUP(Q171,$AY$9:$AZ$15,2,FALSE),IF(AND(T171&lt;=K171,AA171&gt;=AD171,'Proposed Lighting'!AU171=3),VLOOKUP(Q171,$AY$17:$AZ$23,2,FALSE))))))))</f>
        <v>0</v>
      </c>
      <c r="AN171" s="1248">
        <f>IF(T171=0,0,IF(K171&gt;'Proposed Lighting'!AA171,0,IF(AE171=0,0,IF(AND(AD171&gt;AA171,AA171&gt;0),0,IF(U171=0,0,Summary!AE474)))))</f>
        <v>0</v>
      </c>
      <c r="AO171" s="1248">
        <f t="shared" si="37"/>
        <v>0</v>
      </c>
      <c r="AP171" s="1249">
        <f>IF('Proposed Lighting'!AU171=1,0,IF(K171=0,0,IF(T171&gt;K171,0,IF(G171=0,0,IF(K171&gt;'Proposed Lighting'!AA171,0,IF(AND(AD171&gt;AA171,AA171&gt;0),0,IF(AND('Proposed Lighting'!AU171=3,AM171=0.5),0,IF(AND(AM171&gt;0,AS171&gt;0,BI171&lt;2),0,IF('Proposed Lighting'!CH171=100,0,IF(AV171=1,0,IF(AND(AM171=35,M171+N171&lt;2),0,AM171)))))))))))</f>
        <v>0</v>
      </c>
      <c r="AQ171" s="1249" t="str">
        <f>IFERROR(ROUND(IF(Q171="","",IF('Proposed Lighting'!$X$4=0,0,IF(AND(AM171=35,M171+N171&lt;2),0,IF(T171&gt;K171,0,IF('Proposed Lighting'!AU171=1,0,IF(AJ171=0,0,IF(AND('Proposed Lighting'!AU171=3,AM171=0.5),0,IF(AND(AD171=75,AP171=0,AV171=0),0,IF(AP171&gt;0.01,AP171*T171,IF(AND(F171&gt;1,W171&lt;0.01),0,IF(AND(F171&gt;1,AO171=0),0,IF(AND('Proposed Lighting'!BC171=22,AV171=0),0,IF(AND(AM171&gt;0,AS171&gt;0,BI171&lt;2),0,IF(AND(AS171&gt;0.01,BK171=0),0,IF(AND(AO171=TRUE,AV171=1,F171=3),MIN(AJ171*0.08,L171),IF(AP171&gt;0.01,AP171*T171,IF(AND(AO171=TRUE,AV171=1,F171=2),MIN(AJ171*0.1,L171)))))))))))))))))),2),"")</f>
        <v/>
      </c>
      <c r="AR171" s="1250">
        <f>IF(Q171=0,0,IF('Proposed Lighting'!$X$4=0,0,IF(AND(AM171&gt;0.01,AQ171&gt;0.01),0,IF('Proposed Lighting'!AU171=1,"Missing Interior or Exterior Selection",IF('Proposed Lighting'!CF171=1,"Selection does not match",IF(K171&gt;'Proposed Lighting'!AA171,"Quantity controlled does not match proposed lighting quantity",IF(T171&gt;K171,"Quantity of sensors exceeds proposed lighting quantity",IF(AND(F171&gt;1,'Proposed Lighting'!AU171&lt;&gt;F171),"Selection does not match",IF(AND(AD171&gt;AA171,AA171&gt;0),"Does not meet minimum connected load",IF(AND(O171&gt;0,AS171&gt;0,BK171&gt;0,'Proposed Lighting'!CH171=0),"Select Control Strategies",IF(AND(AC171&gt;0.1,AJ171=0,AQ171=0),"Does not meet incentive criteria",0)))))))))))</f>
        <v>0</v>
      </c>
      <c r="AS171" s="1224">
        <f>IF('Proposed Lighting'!CH171=100,0,IF(ISNUMBER(SEARCH("multiple",Q171)),1,0))</f>
        <v>0</v>
      </c>
      <c r="AT171" s="451">
        <f t="shared" si="34"/>
        <v>0</v>
      </c>
      <c r="AU171" s="451">
        <f t="shared" si="35"/>
        <v>0</v>
      </c>
      <c r="AV171" s="1222">
        <f>IF(ISNUMBER(SEARCH("Networked",'Proposed Lighting'!T171)),0,IF(ISNUMBER(SEARCH("Strategies",'Proposed Lighting'!T171)),0,IF(ISNUMBER(SEARCH("Removal",'Proposed Lighting'!T171)),0,IF(ISNUMBER(SEARCH("non-standard",Q171)),1,0))))</f>
        <v>0</v>
      </c>
      <c r="AW171" s="451">
        <f t="shared" si="38"/>
        <v>0</v>
      </c>
      <c r="AX171" s="451"/>
      <c r="AY171" s="451"/>
      <c r="AZ171" s="451"/>
      <c r="BA171" s="451"/>
      <c r="BB171" s="451"/>
      <c r="BC171" s="1215"/>
      <c r="BD171" s="1215"/>
      <c r="BE171" s="1215"/>
      <c r="BF171" s="1215"/>
      <c r="BG171" s="1215"/>
      <c r="BH171" s="1215"/>
      <c r="BI171">
        <f>IF(AND(AS171=1,BC171="No",BD171="Yes",BE171="Yes",BF171="No",BH171="No"),0,IF(AND('Proposed Lighting'!AU171=2,AS171=1,BC171="Yes",BD171="Yes"),2,IF(AND('Proposed Lighting'!AU171=2,AS171=1,BC171="Yes",BE171="Yes"),2,IF(AND('Proposed Lighting'!AU171=2,AS171=1,BC171="Yes",BF171="Yes"),2,IF(AND('Proposed Lighting'!AU171=2,AS171=1,BC171="Yes",BH171="Yes"),2,IF(AND('Proposed Lighting'!AU171=2,AS171=1,BD171="Yes",BF171="Yes"),2,IF(AND('Proposed Lighting'!AU171=2,AS171=1,BD171="Yes",BH171="Yes"),2,IF(AND('Proposed Lighting'!AU171=3,AS171=1,BC171="Yes",BE171="Yes"),2,IF(AND('Proposed Lighting'!AU171=3,AS171=1,BC171="Yes",BF171="Yes"),2,0)))))))))</f>
        <v>0</v>
      </c>
      <c r="BJ171" s="1025">
        <f t="shared" si="36"/>
        <v>0</v>
      </c>
      <c r="BK171">
        <f>IF(AND('Proposed Lighting'!BC171=22,'Lighting Controls'!N171=1),0,IF(ISNUMBER(SEARCH("LED",G171)),1,0))</f>
        <v>0</v>
      </c>
    </row>
    <row r="172" spans="1:63" ht="34.5" customHeight="1">
      <c r="A172" s="917">
        <v>164</v>
      </c>
      <c r="B172" s="1828" t="str">
        <f>IF('Proposed Lighting'!B172="","",'Proposed Lighting'!B172)</f>
        <v/>
      </c>
      <c r="C172" s="1828"/>
      <c r="D172" s="1828"/>
      <c r="E172" s="1245">
        <f>'Proposed Lighting'!AA172</f>
        <v>0</v>
      </c>
      <c r="F172" s="1245">
        <f t="shared" si="29"/>
        <v>0</v>
      </c>
      <c r="G172" s="1830" t="str">
        <f>IF('Proposed Lighting'!T172="","",IF(ISNUMBER(SEARCH("Networked",'Proposed Lighting'!T172)),0,IF(ISNUMBER(SEARCH("Strategies",'Proposed Lighting'!T172)),0,IF(ISNUMBER(SEARCH("Removal",'Proposed Lighting'!T172)),0,'Proposed Lighting'!T172))))</f>
        <v/>
      </c>
      <c r="H172" s="1830"/>
      <c r="I172" s="1830"/>
      <c r="J172" s="1830"/>
      <c r="K172" s="1215"/>
      <c r="L172" s="1246">
        <f t="shared" si="30"/>
        <v>0</v>
      </c>
      <c r="M172" s="1224">
        <f t="shared" si="31"/>
        <v>0</v>
      </c>
      <c r="N172" s="1224">
        <f t="shared" si="32"/>
        <v>0</v>
      </c>
      <c r="O172" s="1825" t="str">
        <f>IF(G172=0,0,IF(ISNA('Proposed Lighting'!AT172),0,'Proposed Lighting'!AT172))</f>
        <v/>
      </c>
      <c r="P172" s="1825"/>
      <c r="Q172" s="1247"/>
      <c r="R172" s="1247"/>
      <c r="S172" s="1247"/>
      <c r="T172" s="1211"/>
      <c r="U172" s="1235">
        <f>IF(K172&gt;0.01,'Proposed Lighting'!CU172,0)</f>
        <v>0</v>
      </c>
      <c r="V172" s="1248">
        <f>IF('Proposed Lighting'!CF172=1,0,IF('Proposed Lighting'!AU172=2,0,IF(AND('Proposed Lighting'!AU172=3,'Proposed Lighting'!CF172=0),1,0)))</f>
        <v>0</v>
      </c>
      <c r="W172" s="1836"/>
      <c r="X172" s="1836"/>
      <c r="Y172" s="1836"/>
      <c r="Z172" s="1230" t="str">
        <f t="shared" si="26"/>
        <v/>
      </c>
      <c r="AA172" s="1230">
        <f t="shared" si="27"/>
        <v>0</v>
      </c>
      <c r="AB172" s="1230">
        <f>IF(Q172=0,0,IF(T172=0,0,IF(AA172=0,0,IF(AND(F172=3,V172=0),0,IF(T172=0,0,IF(K172&gt;'Proposed Lighting'!AA172,0,IF('Proposed Lighting'!EJ172&gt;0.01,(K172*O172)*'Proposed Lighting'!EJ172/1000,(K172*O172)*U172/1000)))))))</f>
        <v>0</v>
      </c>
      <c r="AC172" s="1230" t="str">
        <f t="shared" si="33"/>
        <v/>
      </c>
      <c r="AD172" s="1230">
        <f t="shared" si="28"/>
        <v>0</v>
      </c>
      <c r="AE172" s="1230">
        <f>IF(T172=0,0,IF(K172&gt;'Proposed Lighting'!AA172,0,IF(T172&gt;K172,0,IF(AND(AD172&gt;AA172,AA172&gt;0),0,IF(AND(F172&gt;1,W172&lt;0.01),0,IF('Proposed Lighting'!AU172&gt;'Lighting Controls'!F172,0,IF('Proposed Lighting'!AU172&lt;'Lighting Controls'!F172,0,IF(U172=0,0,Summary!AC475))))))))</f>
        <v>0</v>
      </c>
      <c r="AF172" s="1230">
        <f>IF(T172=0,0,IF(AE172=0,0,IF(K172&gt;'Proposed Lighting'!AA172,0,IF(AND(AD172&gt;AA172,AA172&gt;0),0,IF(U172=0,0,Summary!AD475)))))</f>
        <v>0</v>
      </c>
      <c r="AG172" s="1834">
        <f>IF('Proposed Lighting'!AU172=1,0,IF('Proposed Lighting'!CF172=1,0,T172*W172))</f>
        <v>0</v>
      </c>
      <c r="AH172" s="1834"/>
      <c r="AI172" s="1834"/>
      <c r="AJ172" s="1835">
        <f>IF(T172&lt;1,0,IF(K172&gt;'Proposed Lighting'!AA172,0,IF('Proposed Lighting'!CF172=1,0,IF('Proposed Lighting'!AU172=1,0,IF(T172&gt;K172,0,IF(AND(AD172&gt;AA172,AA172&gt;0),0,IF(AND(F172=2,'Proposed Lighting'!AU172=3),0,IF(AND(F172=3,'Proposed Lighting'!AU172=2),0,IF('Proposed Lighting'!CH172=100,0,IF(AND(F172&lt;3,V172=1,AM172=0),0,IF(AND(F172&gt;1,AF172&lt;1,AN172&lt;1),0,IF(AND(F172&gt;1,AE172&lt;0.69,AF172&lt;1,AN172&lt;1),0,IF(ISERROR(AB172-AC172),"",AB172-AC172)))))))))))))</f>
        <v>0</v>
      </c>
      <c r="AK172" s="1835"/>
      <c r="AL172" s="1835"/>
      <c r="AM172" s="1216">
        <f>IF(Q172=0,0,IF(T172=0,0,IF(T172&gt;K172,0,IF(AND(AS172&gt;0.01,BK172=0),0,IF(AND('Proposed Lighting'!DG172=0,'Lighting Controls'!Z172=0.35),0,IF(AND(T172&lt;=K172,AA172&gt;=AD172,'Proposed Lighting'!AU172=2),VLOOKUP(Q172,$AY$9:$AZ$15,2,FALSE),IF(AND(T172&lt;=K172,AA172&gt;=AD172,'Proposed Lighting'!AU172=3),VLOOKUP(Q172,$AY$17:$AZ$23,2,FALSE))))))))</f>
        <v>0</v>
      </c>
      <c r="AN172" s="1248">
        <f>IF(T172=0,0,IF(K172&gt;'Proposed Lighting'!AA172,0,IF(AE172=0,0,IF(AND(AD172&gt;AA172,AA172&gt;0),0,IF(U172=0,0,Summary!AE475)))))</f>
        <v>0</v>
      </c>
      <c r="AO172" s="1248">
        <f t="shared" si="37"/>
        <v>0</v>
      </c>
      <c r="AP172" s="1249">
        <f>IF('Proposed Lighting'!AU172=1,0,IF(K172=0,0,IF(T172&gt;K172,0,IF(G172=0,0,IF(K172&gt;'Proposed Lighting'!AA172,0,IF(AND(AD172&gt;AA172,AA172&gt;0),0,IF(AND('Proposed Lighting'!AU172=3,AM172=0.5),0,IF(AND(AM172&gt;0,AS172&gt;0,BI172&lt;2),0,IF('Proposed Lighting'!CH172=100,0,IF(AV172=1,0,IF(AND(AM172=35,M172+N172&lt;2),0,AM172)))))))))))</f>
        <v>0</v>
      </c>
      <c r="AQ172" s="1249" t="str">
        <f>IFERROR(ROUND(IF(Q172="","",IF('Proposed Lighting'!$X$4=0,0,IF(AND(AM172=35,M172+N172&lt;2),0,IF(T172&gt;K172,0,IF('Proposed Lighting'!AU172=1,0,IF(AJ172=0,0,IF(AND('Proposed Lighting'!AU172=3,AM172=0.5),0,IF(AND(AD172=75,AP172=0,AV172=0),0,IF(AP172&gt;0.01,AP172*T172,IF(AND(F172&gt;1,W172&lt;0.01),0,IF(AND(F172&gt;1,AO172=0),0,IF(AND('Proposed Lighting'!BC172=22,AV172=0),0,IF(AND(AM172&gt;0,AS172&gt;0,BI172&lt;2),0,IF(AND(AS172&gt;0.01,BK172=0),0,IF(AND(AO172=TRUE,AV172=1,F172=3),MIN(AJ172*0.08,L172),IF(AP172&gt;0.01,AP172*T172,IF(AND(AO172=TRUE,AV172=1,F172=2),MIN(AJ172*0.1,L172)))))))))))))))))),2),"")</f>
        <v/>
      </c>
      <c r="AR172" s="1250">
        <f>IF(Q172=0,0,IF('Proposed Lighting'!$X$4=0,0,IF(AND(AM172&gt;0.01,AQ172&gt;0.01),0,IF('Proposed Lighting'!AU172=1,"Missing Interior or Exterior Selection",IF('Proposed Lighting'!CF172=1,"Selection does not match",IF(K172&gt;'Proposed Lighting'!AA172,"Quantity controlled does not match proposed lighting quantity",IF(T172&gt;K172,"Quantity of sensors exceeds proposed lighting quantity",IF(AND(F172&gt;1,'Proposed Lighting'!AU172&lt;&gt;F172),"Selection does not match",IF(AND(AD172&gt;AA172,AA172&gt;0),"Does not meet minimum connected load",IF(AND(O172&gt;0,AS172&gt;0,BK172&gt;0,'Proposed Lighting'!CH172=0),"Select Control Strategies",IF(AND(AC172&gt;0.1,AJ172=0,AQ172=0),"Does not meet incentive criteria",0)))))))))))</f>
        <v>0</v>
      </c>
      <c r="AS172" s="1224">
        <f>IF('Proposed Lighting'!CH172=100,0,IF(ISNUMBER(SEARCH("multiple",Q172)),1,0))</f>
        <v>0</v>
      </c>
      <c r="AT172" s="451">
        <f t="shared" si="34"/>
        <v>0</v>
      </c>
      <c r="AU172" s="451">
        <f t="shared" si="35"/>
        <v>0</v>
      </c>
      <c r="AV172" s="1222">
        <f>IF(ISNUMBER(SEARCH("Networked",'Proposed Lighting'!T172)),0,IF(ISNUMBER(SEARCH("Strategies",'Proposed Lighting'!T172)),0,IF(ISNUMBER(SEARCH("Removal",'Proposed Lighting'!T172)),0,IF(ISNUMBER(SEARCH("non-standard",Q172)),1,0))))</f>
        <v>0</v>
      </c>
      <c r="AW172" s="451">
        <f t="shared" si="38"/>
        <v>0</v>
      </c>
      <c r="AX172" s="451"/>
      <c r="AY172" s="451"/>
      <c r="AZ172" s="451"/>
      <c r="BA172" s="451"/>
      <c r="BB172" s="451"/>
      <c r="BC172" s="1215"/>
      <c r="BD172" s="1215"/>
      <c r="BE172" s="1215"/>
      <c r="BF172" s="1215"/>
      <c r="BG172" s="1215"/>
      <c r="BH172" s="1215"/>
      <c r="BI172">
        <f>IF(AND(AS172=1,BC172="No",BD172="Yes",BE172="Yes",BF172="No",BH172="No"),0,IF(AND('Proposed Lighting'!AU172=2,AS172=1,BC172="Yes",BD172="Yes"),2,IF(AND('Proposed Lighting'!AU172=2,AS172=1,BC172="Yes",BE172="Yes"),2,IF(AND('Proposed Lighting'!AU172=2,AS172=1,BC172="Yes",BF172="Yes"),2,IF(AND('Proposed Lighting'!AU172=2,AS172=1,BC172="Yes",BH172="Yes"),2,IF(AND('Proposed Lighting'!AU172=2,AS172=1,BD172="Yes",BF172="Yes"),2,IF(AND('Proposed Lighting'!AU172=2,AS172=1,BD172="Yes",BH172="Yes"),2,IF(AND('Proposed Lighting'!AU172=3,AS172=1,BC172="Yes",BE172="Yes"),2,IF(AND('Proposed Lighting'!AU172=3,AS172=1,BC172="Yes",BF172="Yes"),2,0)))))))))</f>
        <v>0</v>
      </c>
      <c r="BJ172" s="1025">
        <f t="shared" si="36"/>
        <v>0</v>
      </c>
      <c r="BK172">
        <f>IF(AND('Proposed Lighting'!BC172=22,'Lighting Controls'!N172=1),0,IF(ISNUMBER(SEARCH("LED",G172)),1,0))</f>
        <v>0</v>
      </c>
    </row>
    <row r="173" spans="1:63" ht="34.5" customHeight="1">
      <c r="A173" s="917">
        <v>165</v>
      </c>
      <c r="B173" s="1828" t="str">
        <f>IF('Proposed Lighting'!B173="","",'Proposed Lighting'!B173)</f>
        <v/>
      </c>
      <c r="C173" s="1828"/>
      <c r="D173" s="1828"/>
      <c r="E173" s="1245">
        <f>'Proposed Lighting'!AA173</f>
        <v>0</v>
      </c>
      <c r="F173" s="1245">
        <f t="shared" si="29"/>
        <v>0</v>
      </c>
      <c r="G173" s="1830" t="str">
        <f>IF('Proposed Lighting'!T173="","",IF(ISNUMBER(SEARCH("Networked",'Proposed Lighting'!T173)),0,IF(ISNUMBER(SEARCH("Strategies",'Proposed Lighting'!T173)),0,IF(ISNUMBER(SEARCH("Removal",'Proposed Lighting'!T173)),0,'Proposed Lighting'!T173))))</f>
        <v/>
      </c>
      <c r="H173" s="1830"/>
      <c r="I173" s="1830"/>
      <c r="J173" s="1830"/>
      <c r="K173" s="1215"/>
      <c r="L173" s="1246">
        <f t="shared" si="30"/>
        <v>0</v>
      </c>
      <c r="M173" s="1224">
        <f t="shared" si="31"/>
        <v>0</v>
      </c>
      <c r="N173" s="1224">
        <f t="shared" si="32"/>
        <v>0</v>
      </c>
      <c r="O173" s="1825" t="str">
        <f>IF(G173=0,0,IF(ISNA('Proposed Lighting'!AT173),0,'Proposed Lighting'!AT173))</f>
        <v/>
      </c>
      <c r="P173" s="1825"/>
      <c r="Q173" s="1247"/>
      <c r="R173" s="1247"/>
      <c r="S173" s="1247"/>
      <c r="T173" s="1211"/>
      <c r="U173" s="1235">
        <f>IF(K173&gt;0.01,'Proposed Lighting'!CU173,0)</f>
        <v>0</v>
      </c>
      <c r="V173" s="1248">
        <f>IF('Proposed Lighting'!CF173=1,0,IF('Proposed Lighting'!AU173=2,0,IF(AND('Proposed Lighting'!AU173=3,'Proposed Lighting'!CF173=0),1,0)))</f>
        <v>0</v>
      </c>
      <c r="W173" s="1836"/>
      <c r="X173" s="1836"/>
      <c r="Y173" s="1836"/>
      <c r="Z173" s="1230" t="str">
        <f t="shared" si="26"/>
        <v/>
      </c>
      <c r="AA173" s="1230">
        <f t="shared" si="27"/>
        <v>0</v>
      </c>
      <c r="AB173" s="1230">
        <f>IF(Q173=0,0,IF(T173=0,0,IF(AA173=0,0,IF(AND(F173=3,V173=0),0,IF(T173=0,0,IF(K173&gt;'Proposed Lighting'!AA173,0,IF('Proposed Lighting'!EJ173&gt;0.01,(K173*O173)*'Proposed Lighting'!EJ173/1000,(K173*O173)*U173/1000)))))))</f>
        <v>0</v>
      </c>
      <c r="AC173" s="1230" t="str">
        <f t="shared" si="33"/>
        <v/>
      </c>
      <c r="AD173" s="1230">
        <f t="shared" si="28"/>
        <v>0</v>
      </c>
      <c r="AE173" s="1230">
        <f>IF(T173=0,0,IF(K173&gt;'Proposed Lighting'!AA173,0,IF(T173&gt;K173,0,IF(AND(AD173&gt;AA173,AA173&gt;0),0,IF(AND(F173&gt;1,W173&lt;0.01),0,IF('Proposed Lighting'!AU173&gt;'Lighting Controls'!F173,0,IF('Proposed Lighting'!AU173&lt;'Lighting Controls'!F173,0,IF(U173=0,0,Summary!AC476))))))))</f>
        <v>0</v>
      </c>
      <c r="AF173" s="1230">
        <f>IF(T173=0,0,IF(AE173=0,0,IF(K173&gt;'Proposed Lighting'!AA173,0,IF(AND(AD173&gt;AA173,AA173&gt;0),0,IF(U173=0,0,Summary!AD476)))))</f>
        <v>0</v>
      </c>
      <c r="AG173" s="1834">
        <f>IF('Proposed Lighting'!AU173=1,0,IF('Proposed Lighting'!CF173=1,0,T173*W173))</f>
        <v>0</v>
      </c>
      <c r="AH173" s="1834"/>
      <c r="AI173" s="1834"/>
      <c r="AJ173" s="1835">
        <f>IF(T173&lt;1,0,IF(K173&gt;'Proposed Lighting'!AA173,0,IF('Proposed Lighting'!CF173=1,0,IF('Proposed Lighting'!AU173=1,0,IF(T173&gt;K173,0,IF(AND(AD173&gt;AA173,AA173&gt;0),0,IF(AND(F173=2,'Proposed Lighting'!AU173=3),0,IF(AND(F173=3,'Proposed Lighting'!AU173=2),0,IF('Proposed Lighting'!CH173=100,0,IF(AND(F173&lt;3,V173=1,AM173=0),0,IF(AND(F173&gt;1,AF173&lt;1,AN173&lt;1),0,IF(AND(F173&gt;1,AE173&lt;0.69,AF173&lt;1,AN173&lt;1),0,IF(ISERROR(AB173-AC173),"",AB173-AC173)))))))))))))</f>
        <v>0</v>
      </c>
      <c r="AK173" s="1835"/>
      <c r="AL173" s="1835"/>
      <c r="AM173" s="1216">
        <f>IF(Q173=0,0,IF(T173=0,0,IF(T173&gt;K173,0,IF(AND(AS173&gt;0.01,BK173=0),0,IF(AND('Proposed Lighting'!DG173=0,'Lighting Controls'!Z173=0.35),0,IF(AND(T173&lt;=K173,AA173&gt;=AD173,'Proposed Lighting'!AU173=2),VLOOKUP(Q173,$AY$9:$AZ$15,2,FALSE),IF(AND(T173&lt;=K173,AA173&gt;=AD173,'Proposed Lighting'!AU173=3),VLOOKUP(Q173,$AY$17:$AZ$23,2,FALSE))))))))</f>
        <v>0</v>
      </c>
      <c r="AN173" s="1248">
        <f>IF(T173=0,0,IF(K173&gt;'Proposed Lighting'!AA173,0,IF(AE173=0,0,IF(AND(AD173&gt;AA173,AA173&gt;0),0,IF(U173=0,0,Summary!AE476)))))</f>
        <v>0</v>
      </c>
      <c r="AO173" s="1248">
        <f t="shared" si="37"/>
        <v>0</v>
      </c>
      <c r="AP173" s="1249">
        <f>IF('Proposed Lighting'!AU173=1,0,IF(K173=0,0,IF(T173&gt;K173,0,IF(G173=0,0,IF(K173&gt;'Proposed Lighting'!AA173,0,IF(AND(AD173&gt;AA173,AA173&gt;0),0,IF(AND('Proposed Lighting'!AU173=3,AM173=0.5),0,IF(AND(AM173&gt;0,AS173&gt;0,BI173&lt;2),0,IF('Proposed Lighting'!CH173=100,0,IF(AV173=1,0,IF(AND(AM173=35,M173+N173&lt;2),0,AM173)))))))))))</f>
        <v>0</v>
      </c>
      <c r="AQ173" s="1249" t="str">
        <f>IFERROR(ROUND(IF(Q173="","",IF('Proposed Lighting'!$X$4=0,0,IF(AND(AM173=35,M173+N173&lt;2),0,IF(T173&gt;K173,0,IF('Proposed Lighting'!AU173=1,0,IF(AJ173=0,0,IF(AND('Proposed Lighting'!AU173=3,AM173=0.5),0,IF(AND(AD173=75,AP173=0,AV173=0),0,IF(AP173&gt;0.01,AP173*T173,IF(AND(F173&gt;1,W173&lt;0.01),0,IF(AND(F173&gt;1,AO173=0),0,IF(AND('Proposed Lighting'!BC173=22,AV173=0),0,IF(AND(AM173&gt;0,AS173&gt;0,BI173&lt;2),0,IF(AND(AS173&gt;0.01,BK173=0),0,IF(AND(AO173=TRUE,AV173=1,F173=3),MIN(AJ173*0.08,L173),IF(AP173&gt;0.01,AP173*T173,IF(AND(AO173=TRUE,AV173=1,F173=2),MIN(AJ173*0.1,L173)))))))))))))))))),2),"")</f>
        <v/>
      </c>
      <c r="AR173" s="1250">
        <f>IF(Q173=0,0,IF('Proposed Lighting'!$X$4=0,0,IF(AND(AM173&gt;0.01,AQ173&gt;0.01),0,IF('Proposed Lighting'!AU173=1,"Missing Interior or Exterior Selection",IF('Proposed Lighting'!CF173=1,"Selection does not match",IF(K173&gt;'Proposed Lighting'!AA173,"Quantity controlled does not match proposed lighting quantity",IF(T173&gt;K173,"Quantity of sensors exceeds proposed lighting quantity",IF(AND(F173&gt;1,'Proposed Lighting'!AU173&lt;&gt;F173),"Selection does not match",IF(AND(AD173&gt;AA173,AA173&gt;0),"Does not meet minimum connected load",IF(AND(O173&gt;0,AS173&gt;0,BK173&gt;0,'Proposed Lighting'!CH173=0),"Select Control Strategies",IF(AND(AC173&gt;0.1,AJ173=0,AQ173=0),"Does not meet incentive criteria",0)))))))))))</f>
        <v>0</v>
      </c>
      <c r="AS173" s="1224">
        <f>IF('Proposed Lighting'!CH173=100,0,IF(ISNUMBER(SEARCH("multiple",Q173)),1,0))</f>
        <v>0</v>
      </c>
      <c r="AT173" s="451">
        <f t="shared" si="34"/>
        <v>0</v>
      </c>
      <c r="AU173" s="451">
        <f t="shared" si="35"/>
        <v>0</v>
      </c>
      <c r="AV173" s="1222">
        <f>IF(ISNUMBER(SEARCH("Networked",'Proposed Lighting'!T173)),0,IF(ISNUMBER(SEARCH("Strategies",'Proposed Lighting'!T173)),0,IF(ISNUMBER(SEARCH("Removal",'Proposed Lighting'!T173)),0,IF(ISNUMBER(SEARCH("non-standard",Q173)),1,0))))</f>
        <v>0</v>
      </c>
      <c r="AW173" s="451">
        <f t="shared" si="38"/>
        <v>0</v>
      </c>
      <c r="AX173" s="451"/>
      <c r="AY173" s="451"/>
      <c r="AZ173" s="451"/>
      <c r="BA173" s="451"/>
      <c r="BB173" s="451"/>
      <c r="BC173" s="1215"/>
      <c r="BD173" s="1215"/>
      <c r="BE173" s="1215"/>
      <c r="BF173" s="1215"/>
      <c r="BG173" s="1215"/>
      <c r="BH173" s="1215"/>
      <c r="BI173">
        <f>IF(AND(AS173=1,BC173="No",BD173="Yes",BE173="Yes",BF173="No",BH173="No"),0,IF(AND('Proposed Lighting'!AU173=2,AS173=1,BC173="Yes",BD173="Yes"),2,IF(AND('Proposed Lighting'!AU173=2,AS173=1,BC173="Yes",BE173="Yes"),2,IF(AND('Proposed Lighting'!AU173=2,AS173=1,BC173="Yes",BF173="Yes"),2,IF(AND('Proposed Lighting'!AU173=2,AS173=1,BC173="Yes",BH173="Yes"),2,IF(AND('Proposed Lighting'!AU173=2,AS173=1,BD173="Yes",BF173="Yes"),2,IF(AND('Proposed Lighting'!AU173=2,AS173=1,BD173="Yes",BH173="Yes"),2,IF(AND('Proposed Lighting'!AU173=3,AS173=1,BC173="Yes",BE173="Yes"),2,IF(AND('Proposed Lighting'!AU173=3,AS173=1,BC173="Yes",BF173="Yes"),2,0)))))))))</f>
        <v>0</v>
      </c>
      <c r="BJ173" s="1025">
        <f t="shared" si="36"/>
        <v>0</v>
      </c>
      <c r="BK173">
        <f>IF(AND('Proposed Lighting'!BC173=22,'Lighting Controls'!N173=1),0,IF(ISNUMBER(SEARCH("LED",G173)),1,0))</f>
        <v>0</v>
      </c>
    </row>
    <row r="174" spans="1:63" ht="34.5" customHeight="1">
      <c r="A174" s="917">
        <v>166</v>
      </c>
      <c r="B174" s="1828" t="str">
        <f>IF('Proposed Lighting'!B174="","",'Proposed Lighting'!B174)</f>
        <v/>
      </c>
      <c r="C174" s="1828"/>
      <c r="D174" s="1828"/>
      <c r="E174" s="1245">
        <f>'Proposed Lighting'!AA174</f>
        <v>0</v>
      </c>
      <c r="F174" s="1245">
        <f t="shared" si="29"/>
        <v>0</v>
      </c>
      <c r="G174" s="1830" t="str">
        <f>IF('Proposed Lighting'!T174="","",IF(ISNUMBER(SEARCH("Networked",'Proposed Lighting'!T174)),0,IF(ISNUMBER(SEARCH("Strategies",'Proposed Lighting'!T174)),0,IF(ISNUMBER(SEARCH("Removal",'Proposed Lighting'!T174)),0,'Proposed Lighting'!T174))))</f>
        <v/>
      </c>
      <c r="H174" s="1830"/>
      <c r="I174" s="1830"/>
      <c r="J174" s="1830"/>
      <c r="K174" s="1215"/>
      <c r="L174" s="1246">
        <f t="shared" si="30"/>
        <v>0</v>
      </c>
      <c r="M174" s="1224">
        <f t="shared" si="31"/>
        <v>0</v>
      </c>
      <c r="N174" s="1224">
        <f t="shared" si="32"/>
        <v>0</v>
      </c>
      <c r="O174" s="1825" t="str">
        <f>IF(G174=0,0,IF(ISNA('Proposed Lighting'!AT174),0,'Proposed Lighting'!AT174))</f>
        <v/>
      </c>
      <c r="P174" s="1825"/>
      <c r="Q174" s="1247"/>
      <c r="R174" s="1247"/>
      <c r="S174" s="1247"/>
      <c r="T174" s="1211"/>
      <c r="U174" s="1235">
        <f>IF(K174&gt;0.01,'Proposed Lighting'!CU174,0)</f>
        <v>0</v>
      </c>
      <c r="V174" s="1248">
        <f>IF('Proposed Lighting'!CF174=1,0,IF('Proposed Lighting'!AU174=2,0,IF(AND('Proposed Lighting'!AU174=3,'Proposed Lighting'!CF174=0),1,0)))</f>
        <v>0</v>
      </c>
      <c r="W174" s="1836"/>
      <c r="X174" s="1836"/>
      <c r="Y174" s="1836"/>
      <c r="Z174" s="1230" t="str">
        <f t="shared" si="26"/>
        <v/>
      </c>
      <c r="AA174" s="1230">
        <f t="shared" si="27"/>
        <v>0</v>
      </c>
      <c r="AB174" s="1230">
        <f>IF(Q174=0,0,IF(T174=0,0,IF(AA174=0,0,IF(AND(F174=3,V174=0),0,IF(T174=0,0,IF(K174&gt;'Proposed Lighting'!AA174,0,IF('Proposed Lighting'!EJ174&gt;0.01,(K174*O174)*'Proposed Lighting'!EJ174/1000,(K174*O174)*U174/1000)))))))</f>
        <v>0</v>
      </c>
      <c r="AC174" s="1230" t="str">
        <f t="shared" si="33"/>
        <v/>
      </c>
      <c r="AD174" s="1230">
        <f t="shared" si="28"/>
        <v>0</v>
      </c>
      <c r="AE174" s="1230">
        <f>IF(T174=0,0,IF(K174&gt;'Proposed Lighting'!AA174,0,IF(T174&gt;K174,0,IF(AND(AD174&gt;AA174,AA174&gt;0),0,IF(AND(F174&gt;1,W174&lt;0.01),0,IF('Proposed Lighting'!AU174&gt;'Lighting Controls'!F174,0,IF('Proposed Lighting'!AU174&lt;'Lighting Controls'!F174,0,IF(U174=0,0,Summary!AC477))))))))</f>
        <v>0</v>
      </c>
      <c r="AF174" s="1230">
        <f>IF(T174=0,0,IF(AE174=0,0,IF(K174&gt;'Proposed Lighting'!AA174,0,IF(AND(AD174&gt;AA174,AA174&gt;0),0,IF(U174=0,0,Summary!AD477)))))</f>
        <v>0</v>
      </c>
      <c r="AG174" s="1834">
        <f>IF('Proposed Lighting'!AU174=1,0,IF('Proposed Lighting'!CF174=1,0,T174*W174))</f>
        <v>0</v>
      </c>
      <c r="AH174" s="1834"/>
      <c r="AI174" s="1834"/>
      <c r="AJ174" s="1835">
        <f>IF(T174&lt;1,0,IF(K174&gt;'Proposed Lighting'!AA174,0,IF('Proposed Lighting'!CF174=1,0,IF('Proposed Lighting'!AU174=1,0,IF(T174&gt;K174,0,IF(AND(AD174&gt;AA174,AA174&gt;0),0,IF(AND(F174=2,'Proposed Lighting'!AU174=3),0,IF(AND(F174=3,'Proposed Lighting'!AU174=2),0,IF('Proposed Lighting'!CH174=100,0,IF(AND(F174&lt;3,V174=1,AM174=0),0,IF(AND(F174&gt;1,AF174&lt;1,AN174&lt;1),0,IF(AND(F174&gt;1,AE174&lt;0.69,AF174&lt;1,AN174&lt;1),0,IF(ISERROR(AB174-AC174),"",AB174-AC174)))))))))))))</f>
        <v>0</v>
      </c>
      <c r="AK174" s="1835"/>
      <c r="AL174" s="1835"/>
      <c r="AM174" s="1216">
        <f>IF(Q174=0,0,IF(T174=0,0,IF(T174&gt;K174,0,IF(AND(AS174&gt;0.01,BK174=0),0,IF(AND('Proposed Lighting'!DG174=0,'Lighting Controls'!Z174=0.35),0,IF(AND(T174&lt;=K174,AA174&gt;=AD174,'Proposed Lighting'!AU174=2),VLOOKUP(Q174,$AY$9:$AZ$15,2,FALSE),IF(AND(T174&lt;=K174,AA174&gt;=AD174,'Proposed Lighting'!AU174=3),VLOOKUP(Q174,$AY$17:$AZ$23,2,FALSE))))))))</f>
        <v>0</v>
      </c>
      <c r="AN174" s="1248">
        <f>IF(T174=0,0,IF(K174&gt;'Proposed Lighting'!AA174,0,IF(AE174=0,0,IF(AND(AD174&gt;AA174,AA174&gt;0),0,IF(U174=0,0,Summary!AE477)))))</f>
        <v>0</v>
      </c>
      <c r="AO174" s="1248">
        <f t="shared" si="37"/>
        <v>0</v>
      </c>
      <c r="AP174" s="1249">
        <f>IF('Proposed Lighting'!AU174=1,0,IF(K174=0,0,IF(T174&gt;K174,0,IF(G174=0,0,IF(K174&gt;'Proposed Lighting'!AA174,0,IF(AND(AD174&gt;AA174,AA174&gt;0),0,IF(AND('Proposed Lighting'!AU174=3,AM174=0.5),0,IF(AND(AM174&gt;0,AS174&gt;0,BI174&lt;2),0,IF('Proposed Lighting'!CH174=100,0,IF(AV174=1,0,IF(AND(AM174=35,M174+N174&lt;2),0,AM174)))))))))))</f>
        <v>0</v>
      </c>
      <c r="AQ174" s="1249" t="str">
        <f>IFERROR(ROUND(IF(Q174="","",IF('Proposed Lighting'!$X$4=0,0,IF(AND(AM174=35,M174+N174&lt;2),0,IF(T174&gt;K174,0,IF('Proposed Lighting'!AU174=1,0,IF(AJ174=0,0,IF(AND('Proposed Lighting'!AU174=3,AM174=0.5),0,IF(AND(AD174=75,AP174=0,AV174=0),0,IF(AP174&gt;0.01,AP174*T174,IF(AND(F174&gt;1,W174&lt;0.01),0,IF(AND(F174&gt;1,AO174=0),0,IF(AND('Proposed Lighting'!BC174=22,AV174=0),0,IF(AND(AM174&gt;0,AS174&gt;0,BI174&lt;2),0,IF(AND(AS174&gt;0.01,BK174=0),0,IF(AND(AO174=TRUE,AV174=1,F174=3),MIN(AJ174*0.08,L174),IF(AP174&gt;0.01,AP174*T174,IF(AND(AO174=TRUE,AV174=1,F174=2),MIN(AJ174*0.1,L174)))))))))))))))))),2),"")</f>
        <v/>
      </c>
      <c r="AR174" s="1250">
        <f>IF(Q174=0,0,IF('Proposed Lighting'!$X$4=0,0,IF(AND(AM174&gt;0.01,AQ174&gt;0.01),0,IF('Proposed Lighting'!AU174=1,"Missing Interior or Exterior Selection",IF('Proposed Lighting'!CF174=1,"Selection does not match",IF(K174&gt;'Proposed Lighting'!AA174,"Quantity controlled does not match proposed lighting quantity",IF(T174&gt;K174,"Quantity of sensors exceeds proposed lighting quantity",IF(AND(F174&gt;1,'Proposed Lighting'!AU174&lt;&gt;F174),"Selection does not match",IF(AND(AD174&gt;AA174,AA174&gt;0),"Does not meet minimum connected load",IF(AND(O174&gt;0,AS174&gt;0,BK174&gt;0,'Proposed Lighting'!CH174=0),"Select Control Strategies",IF(AND(AC174&gt;0.1,AJ174=0,AQ174=0),"Does not meet incentive criteria",0)))))))))))</f>
        <v>0</v>
      </c>
      <c r="AS174" s="1224">
        <f>IF('Proposed Lighting'!CH174=100,0,IF(ISNUMBER(SEARCH("multiple",Q174)),1,0))</f>
        <v>0</v>
      </c>
      <c r="AT174" s="451">
        <f t="shared" si="34"/>
        <v>0</v>
      </c>
      <c r="AU174" s="451">
        <f t="shared" si="35"/>
        <v>0</v>
      </c>
      <c r="AV174" s="1222">
        <f>IF(ISNUMBER(SEARCH("Networked",'Proposed Lighting'!T174)),0,IF(ISNUMBER(SEARCH("Strategies",'Proposed Lighting'!T174)),0,IF(ISNUMBER(SEARCH("Removal",'Proposed Lighting'!T174)),0,IF(ISNUMBER(SEARCH("non-standard",Q174)),1,0))))</f>
        <v>0</v>
      </c>
      <c r="AW174" s="451">
        <f t="shared" si="38"/>
        <v>0</v>
      </c>
      <c r="AX174" s="451"/>
      <c r="AY174" s="451"/>
      <c r="AZ174" s="451"/>
      <c r="BA174" s="451"/>
      <c r="BB174" s="451"/>
      <c r="BC174" s="1215"/>
      <c r="BD174" s="1215"/>
      <c r="BE174" s="1215"/>
      <c r="BF174" s="1215"/>
      <c r="BG174" s="1215"/>
      <c r="BH174" s="1215"/>
      <c r="BI174">
        <f>IF(AND(AS174=1,BC174="No",BD174="Yes",BE174="Yes",BF174="No",BH174="No"),0,IF(AND('Proposed Lighting'!AU174=2,AS174=1,BC174="Yes",BD174="Yes"),2,IF(AND('Proposed Lighting'!AU174=2,AS174=1,BC174="Yes",BE174="Yes"),2,IF(AND('Proposed Lighting'!AU174=2,AS174=1,BC174="Yes",BF174="Yes"),2,IF(AND('Proposed Lighting'!AU174=2,AS174=1,BC174="Yes",BH174="Yes"),2,IF(AND('Proposed Lighting'!AU174=2,AS174=1,BD174="Yes",BF174="Yes"),2,IF(AND('Proposed Lighting'!AU174=2,AS174=1,BD174="Yes",BH174="Yes"),2,IF(AND('Proposed Lighting'!AU174=3,AS174=1,BC174="Yes",BE174="Yes"),2,IF(AND('Proposed Lighting'!AU174=3,AS174=1,BC174="Yes",BF174="Yes"),2,0)))))))))</f>
        <v>0</v>
      </c>
      <c r="BJ174" s="1025">
        <f t="shared" si="36"/>
        <v>0</v>
      </c>
      <c r="BK174">
        <f>IF(AND('Proposed Lighting'!BC174=22,'Lighting Controls'!N174=1),0,IF(ISNUMBER(SEARCH("LED",G174)),1,0))</f>
        <v>0</v>
      </c>
    </row>
    <row r="175" spans="1:63" ht="34.5" customHeight="1">
      <c r="A175" s="917">
        <v>167</v>
      </c>
      <c r="B175" s="1828" t="str">
        <f>IF('Proposed Lighting'!B175="","",'Proposed Lighting'!B175)</f>
        <v/>
      </c>
      <c r="C175" s="1828"/>
      <c r="D175" s="1828"/>
      <c r="E175" s="1245">
        <f>'Proposed Lighting'!AA175</f>
        <v>0</v>
      </c>
      <c r="F175" s="1245">
        <f t="shared" si="29"/>
        <v>0</v>
      </c>
      <c r="G175" s="1830" t="str">
        <f>IF('Proposed Lighting'!T175="","",IF(ISNUMBER(SEARCH("Networked",'Proposed Lighting'!T175)),0,IF(ISNUMBER(SEARCH("Strategies",'Proposed Lighting'!T175)),0,IF(ISNUMBER(SEARCH("Removal",'Proposed Lighting'!T175)),0,'Proposed Lighting'!T175))))</f>
        <v/>
      </c>
      <c r="H175" s="1830"/>
      <c r="I175" s="1830"/>
      <c r="J175" s="1830"/>
      <c r="K175" s="1215"/>
      <c r="L175" s="1246">
        <f t="shared" si="30"/>
        <v>0</v>
      </c>
      <c r="M175" s="1224">
        <f t="shared" si="31"/>
        <v>0</v>
      </c>
      <c r="N175" s="1224">
        <f t="shared" si="32"/>
        <v>0</v>
      </c>
      <c r="O175" s="1825" t="str">
        <f>IF(G175=0,0,IF(ISNA('Proposed Lighting'!AT175),0,'Proposed Lighting'!AT175))</f>
        <v/>
      </c>
      <c r="P175" s="1825"/>
      <c r="Q175" s="1247"/>
      <c r="R175" s="1247"/>
      <c r="S175" s="1247"/>
      <c r="T175" s="1211"/>
      <c r="U175" s="1235">
        <f>IF(K175&gt;0.01,'Proposed Lighting'!CU175,0)</f>
        <v>0</v>
      </c>
      <c r="V175" s="1248">
        <f>IF('Proposed Lighting'!CF175=1,0,IF('Proposed Lighting'!AU175=2,0,IF(AND('Proposed Lighting'!AU175=3,'Proposed Lighting'!CF175=0),1,0)))</f>
        <v>0</v>
      </c>
      <c r="W175" s="1836"/>
      <c r="X175" s="1836"/>
      <c r="Y175" s="1836"/>
      <c r="Z175" s="1230" t="str">
        <f t="shared" si="26"/>
        <v/>
      </c>
      <c r="AA175" s="1230">
        <f t="shared" si="27"/>
        <v>0</v>
      </c>
      <c r="AB175" s="1230">
        <f>IF(Q175=0,0,IF(T175=0,0,IF(AA175=0,0,IF(AND(F175=3,V175=0),0,IF(T175=0,0,IF(K175&gt;'Proposed Lighting'!AA175,0,IF('Proposed Lighting'!EJ175&gt;0.01,(K175*O175)*'Proposed Lighting'!EJ175/1000,(K175*O175)*U175/1000)))))))</f>
        <v>0</v>
      </c>
      <c r="AC175" s="1230" t="str">
        <f t="shared" si="33"/>
        <v/>
      </c>
      <c r="AD175" s="1230">
        <f t="shared" si="28"/>
        <v>0</v>
      </c>
      <c r="AE175" s="1230">
        <f>IF(T175=0,0,IF(K175&gt;'Proposed Lighting'!AA175,0,IF(T175&gt;K175,0,IF(AND(AD175&gt;AA175,AA175&gt;0),0,IF(AND(F175&gt;1,W175&lt;0.01),0,IF('Proposed Lighting'!AU175&gt;'Lighting Controls'!F175,0,IF('Proposed Lighting'!AU175&lt;'Lighting Controls'!F175,0,IF(U175=0,0,Summary!AC478))))))))</f>
        <v>0</v>
      </c>
      <c r="AF175" s="1230">
        <f>IF(T175=0,0,IF(AE175=0,0,IF(K175&gt;'Proposed Lighting'!AA175,0,IF(AND(AD175&gt;AA175,AA175&gt;0),0,IF(U175=0,0,Summary!AD478)))))</f>
        <v>0</v>
      </c>
      <c r="AG175" s="1834">
        <f>IF('Proposed Lighting'!AU175=1,0,IF('Proposed Lighting'!CF175=1,0,T175*W175))</f>
        <v>0</v>
      </c>
      <c r="AH175" s="1834"/>
      <c r="AI175" s="1834"/>
      <c r="AJ175" s="1835">
        <f>IF(T175&lt;1,0,IF(K175&gt;'Proposed Lighting'!AA175,0,IF('Proposed Lighting'!CF175=1,0,IF('Proposed Lighting'!AU175=1,0,IF(T175&gt;K175,0,IF(AND(AD175&gt;AA175,AA175&gt;0),0,IF(AND(F175=2,'Proposed Lighting'!AU175=3),0,IF(AND(F175=3,'Proposed Lighting'!AU175=2),0,IF('Proposed Lighting'!CH175=100,0,IF(AND(F175&lt;3,V175=1,AM175=0),0,IF(AND(F175&gt;1,AF175&lt;1,AN175&lt;1),0,IF(AND(F175&gt;1,AE175&lt;0.69,AF175&lt;1,AN175&lt;1),0,IF(ISERROR(AB175-AC175),"",AB175-AC175)))))))))))))</f>
        <v>0</v>
      </c>
      <c r="AK175" s="1835"/>
      <c r="AL175" s="1835"/>
      <c r="AM175" s="1216">
        <f>IF(Q175=0,0,IF(T175=0,0,IF(T175&gt;K175,0,IF(AND(AS175&gt;0.01,BK175=0),0,IF(AND('Proposed Lighting'!DG175=0,'Lighting Controls'!Z175=0.35),0,IF(AND(T175&lt;=K175,AA175&gt;=AD175,'Proposed Lighting'!AU175=2),VLOOKUP(Q175,$AY$9:$AZ$15,2,FALSE),IF(AND(T175&lt;=K175,AA175&gt;=AD175,'Proposed Lighting'!AU175=3),VLOOKUP(Q175,$AY$17:$AZ$23,2,FALSE))))))))</f>
        <v>0</v>
      </c>
      <c r="AN175" s="1248">
        <f>IF(T175=0,0,IF(K175&gt;'Proposed Lighting'!AA175,0,IF(AE175=0,0,IF(AND(AD175&gt;AA175,AA175&gt;0),0,IF(U175=0,0,Summary!AE478)))))</f>
        <v>0</v>
      </c>
      <c r="AO175" s="1248">
        <f t="shared" si="37"/>
        <v>0</v>
      </c>
      <c r="AP175" s="1249">
        <f>IF('Proposed Lighting'!AU175=1,0,IF(K175=0,0,IF(T175&gt;K175,0,IF(G175=0,0,IF(K175&gt;'Proposed Lighting'!AA175,0,IF(AND(AD175&gt;AA175,AA175&gt;0),0,IF(AND('Proposed Lighting'!AU175=3,AM175=0.5),0,IF(AND(AM175&gt;0,AS175&gt;0,BI175&lt;2),0,IF('Proposed Lighting'!CH175=100,0,IF(AV175=1,0,IF(AND(AM175=35,M175+N175&lt;2),0,AM175)))))))))))</f>
        <v>0</v>
      </c>
      <c r="AQ175" s="1249" t="str">
        <f>IFERROR(ROUND(IF(Q175="","",IF('Proposed Lighting'!$X$4=0,0,IF(AND(AM175=35,M175+N175&lt;2),0,IF(T175&gt;K175,0,IF('Proposed Lighting'!AU175=1,0,IF(AJ175=0,0,IF(AND('Proposed Lighting'!AU175=3,AM175=0.5),0,IF(AND(AD175=75,AP175=0,AV175=0),0,IF(AP175&gt;0.01,AP175*T175,IF(AND(F175&gt;1,W175&lt;0.01),0,IF(AND(F175&gt;1,AO175=0),0,IF(AND('Proposed Lighting'!BC175=22,AV175=0),0,IF(AND(AM175&gt;0,AS175&gt;0,BI175&lt;2),0,IF(AND(AS175&gt;0.01,BK175=0),0,IF(AND(AO175=TRUE,AV175=1,F175=3),MIN(AJ175*0.08,L175),IF(AP175&gt;0.01,AP175*T175,IF(AND(AO175=TRUE,AV175=1,F175=2),MIN(AJ175*0.1,L175)))))))))))))))))),2),"")</f>
        <v/>
      </c>
      <c r="AR175" s="1250">
        <f>IF(Q175=0,0,IF('Proposed Lighting'!$X$4=0,0,IF(AND(AM175&gt;0.01,AQ175&gt;0.01),0,IF('Proposed Lighting'!AU175=1,"Missing Interior or Exterior Selection",IF('Proposed Lighting'!CF175=1,"Selection does not match",IF(K175&gt;'Proposed Lighting'!AA175,"Quantity controlled does not match proposed lighting quantity",IF(T175&gt;K175,"Quantity of sensors exceeds proposed lighting quantity",IF(AND(F175&gt;1,'Proposed Lighting'!AU175&lt;&gt;F175),"Selection does not match",IF(AND(AD175&gt;AA175,AA175&gt;0),"Does not meet minimum connected load",IF(AND(O175&gt;0,AS175&gt;0,BK175&gt;0,'Proposed Lighting'!CH175=0),"Select Control Strategies",IF(AND(AC175&gt;0.1,AJ175=0,AQ175=0),"Does not meet incentive criteria",0)))))))))))</f>
        <v>0</v>
      </c>
      <c r="AS175" s="1224">
        <f>IF('Proposed Lighting'!CH175=100,0,IF(ISNUMBER(SEARCH("multiple",Q175)),1,0))</f>
        <v>0</v>
      </c>
      <c r="AT175" s="451">
        <f t="shared" si="34"/>
        <v>0</v>
      </c>
      <c r="AU175" s="451">
        <f t="shared" si="35"/>
        <v>0</v>
      </c>
      <c r="AV175" s="1222">
        <f>IF(ISNUMBER(SEARCH("Networked",'Proposed Lighting'!T175)),0,IF(ISNUMBER(SEARCH("Strategies",'Proposed Lighting'!T175)),0,IF(ISNUMBER(SEARCH("Removal",'Proposed Lighting'!T175)),0,IF(ISNUMBER(SEARCH("non-standard",Q175)),1,0))))</f>
        <v>0</v>
      </c>
      <c r="AW175" s="451">
        <f t="shared" si="38"/>
        <v>0</v>
      </c>
      <c r="AX175" s="451"/>
      <c r="AY175" s="451"/>
      <c r="AZ175" s="451"/>
      <c r="BA175" s="451"/>
      <c r="BB175" s="451"/>
      <c r="BC175" s="1215"/>
      <c r="BD175" s="1215"/>
      <c r="BE175" s="1215"/>
      <c r="BF175" s="1215"/>
      <c r="BG175" s="1215"/>
      <c r="BH175" s="1215"/>
      <c r="BI175">
        <f>IF(AND(AS175=1,BC175="No",BD175="Yes",BE175="Yes",BF175="No",BH175="No"),0,IF(AND('Proposed Lighting'!AU175=2,AS175=1,BC175="Yes",BD175="Yes"),2,IF(AND('Proposed Lighting'!AU175=2,AS175=1,BC175="Yes",BE175="Yes"),2,IF(AND('Proposed Lighting'!AU175=2,AS175=1,BC175="Yes",BF175="Yes"),2,IF(AND('Proposed Lighting'!AU175=2,AS175=1,BC175="Yes",BH175="Yes"),2,IF(AND('Proposed Lighting'!AU175=2,AS175=1,BD175="Yes",BF175="Yes"),2,IF(AND('Proposed Lighting'!AU175=2,AS175=1,BD175="Yes",BH175="Yes"),2,IF(AND('Proposed Lighting'!AU175=3,AS175=1,BC175="Yes",BE175="Yes"),2,IF(AND('Proposed Lighting'!AU175=3,AS175=1,BC175="Yes",BF175="Yes"),2,0)))))))))</f>
        <v>0</v>
      </c>
      <c r="BJ175" s="1025">
        <f t="shared" si="36"/>
        <v>0</v>
      </c>
      <c r="BK175">
        <f>IF(AND('Proposed Lighting'!BC175=22,'Lighting Controls'!N175=1),0,IF(ISNUMBER(SEARCH("LED",G175)),1,0))</f>
        <v>0</v>
      </c>
    </row>
    <row r="176" spans="1:63" ht="34.5" customHeight="1">
      <c r="A176" s="917">
        <v>168</v>
      </c>
      <c r="B176" s="1828" t="str">
        <f>IF('Proposed Lighting'!B176="","",'Proposed Lighting'!B176)</f>
        <v/>
      </c>
      <c r="C176" s="1828"/>
      <c r="D176" s="1828"/>
      <c r="E176" s="1245">
        <f>'Proposed Lighting'!AA176</f>
        <v>0</v>
      </c>
      <c r="F176" s="1245">
        <f t="shared" si="29"/>
        <v>0</v>
      </c>
      <c r="G176" s="1830" t="str">
        <f>IF('Proposed Lighting'!T176="","",IF(ISNUMBER(SEARCH("Networked",'Proposed Lighting'!T176)),0,IF(ISNUMBER(SEARCH("Strategies",'Proposed Lighting'!T176)),0,IF(ISNUMBER(SEARCH("Removal",'Proposed Lighting'!T176)),0,'Proposed Lighting'!T176))))</f>
        <v/>
      </c>
      <c r="H176" s="1830"/>
      <c r="I176" s="1830"/>
      <c r="J176" s="1830"/>
      <c r="K176" s="1215"/>
      <c r="L176" s="1246">
        <f t="shared" si="30"/>
        <v>0</v>
      </c>
      <c r="M176" s="1224">
        <f t="shared" si="31"/>
        <v>0</v>
      </c>
      <c r="N176" s="1224">
        <f t="shared" si="32"/>
        <v>0</v>
      </c>
      <c r="O176" s="1825" t="str">
        <f>IF(G176=0,0,IF(ISNA('Proposed Lighting'!AT176),0,'Proposed Lighting'!AT176))</f>
        <v/>
      </c>
      <c r="P176" s="1825"/>
      <c r="Q176" s="1247"/>
      <c r="R176" s="1247"/>
      <c r="S176" s="1247"/>
      <c r="T176" s="1211"/>
      <c r="U176" s="1235">
        <f>IF(K176&gt;0.01,'Proposed Lighting'!CU176,0)</f>
        <v>0</v>
      </c>
      <c r="V176" s="1248">
        <f>IF('Proposed Lighting'!CF176=1,0,IF('Proposed Lighting'!AU176=2,0,IF(AND('Proposed Lighting'!AU176=3,'Proposed Lighting'!CF176=0),1,0)))</f>
        <v>0</v>
      </c>
      <c r="W176" s="1836"/>
      <c r="X176" s="1836"/>
      <c r="Y176" s="1836"/>
      <c r="Z176" s="1230" t="str">
        <f t="shared" si="26"/>
        <v/>
      </c>
      <c r="AA176" s="1230">
        <f t="shared" si="27"/>
        <v>0</v>
      </c>
      <c r="AB176" s="1230">
        <f>IF(Q176=0,0,IF(T176=0,0,IF(AA176=0,0,IF(AND(F176=3,V176=0),0,IF(T176=0,0,IF(K176&gt;'Proposed Lighting'!AA176,0,IF('Proposed Lighting'!EJ176&gt;0.01,(K176*O176)*'Proposed Lighting'!EJ176/1000,(K176*O176)*U176/1000)))))))</f>
        <v>0</v>
      </c>
      <c r="AC176" s="1230" t="str">
        <f t="shared" si="33"/>
        <v/>
      </c>
      <c r="AD176" s="1230">
        <f t="shared" si="28"/>
        <v>0</v>
      </c>
      <c r="AE176" s="1230">
        <f>IF(T176=0,0,IF(K176&gt;'Proposed Lighting'!AA176,0,IF(T176&gt;K176,0,IF(AND(AD176&gt;AA176,AA176&gt;0),0,IF(AND(F176&gt;1,W176&lt;0.01),0,IF('Proposed Lighting'!AU176&gt;'Lighting Controls'!F176,0,IF('Proposed Lighting'!AU176&lt;'Lighting Controls'!F176,0,IF(U176=0,0,Summary!AC479))))))))</f>
        <v>0</v>
      </c>
      <c r="AF176" s="1230">
        <f>IF(T176=0,0,IF(AE176=0,0,IF(K176&gt;'Proposed Lighting'!AA176,0,IF(AND(AD176&gt;AA176,AA176&gt;0),0,IF(U176=0,0,Summary!AD479)))))</f>
        <v>0</v>
      </c>
      <c r="AG176" s="1834">
        <f>IF('Proposed Lighting'!AU176=1,0,IF('Proposed Lighting'!CF176=1,0,T176*W176))</f>
        <v>0</v>
      </c>
      <c r="AH176" s="1834"/>
      <c r="AI176" s="1834"/>
      <c r="AJ176" s="1835">
        <f>IF(T176&lt;1,0,IF(K176&gt;'Proposed Lighting'!AA176,0,IF('Proposed Lighting'!CF176=1,0,IF('Proposed Lighting'!AU176=1,0,IF(T176&gt;K176,0,IF(AND(AD176&gt;AA176,AA176&gt;0),0,IF(AND(F176=2,'Proposed Lighting'!AU176=3),0,IF(AND(F176=3,'Proposed Lighting'!AU176=2),0,IF('Proposed Lighting'!CH176=100,0,IF(AND(F176&lt;3,V176=1,AM176=0),0,IF(AND(F176&gt;1,AF176&lt;1,AN176&lt;1),0,IF(AND(F176&gt;1,AE176&lt;0.69,AF176&lt;1,AN176&lt;1),0,IF(ISERROR(AB176-AC176),"",AB176-AC176)))))))))))))</f>
        <v>0</v>
      </c>
      <c r="AK176" s="1835"/>
      <c r="AL176" s="1835"/>
      <c r="AM176" s="1216">
        <f>IF(Q176=0,0,IF(T176=0,0,IF(T176&gt;K176,0,IF(AND(AS176&gt;0.01,BK176=0),0,IF(AND('Proposed Lighting'!DG176=0,'Lighting Controls'!Z176=0.35),0,IF(AND(T176&lt;=K176,AA176&gt;=AD176,'Proposed Lighting'!AU176=2),VLOOKUP(Q176,$AY$9:$AZ$15,2,FALSE),IF(AND(T176&lt;=K176,AA176&gt;=AD176,'Proposed Lighting'!AU176=3),VLOOKUP(Q176,$AY$17:$AZ$23,2,FALSE))))))))</f>
        <v>0</v>
      </c>
      <c r="AN176" s="1248">
        <f>IF(T176=0,0,IF(K176&gt;'Proposed Lighting'!AA176,0,IF(AE176=0,0,IF(AND(AD176&gt;AA176,AA176&gt;0),0,IF(U176=0,0,Summary!AE479)))))</f>
        <v>0</v>
      </c>
      <c r="AO176" s="1248">
        <f t="shared" si="37"/>
        <v>0</v>
      </c>
      <c r="AP176" s="1249">
        <f>IF('Proposed Lighting'!AU176=1,0,IF(K176=0,0,IF(T176&gt;K176,0,IF(G176=0,0,IF(K176&gt;'Proposed Lighting'!AA176,0,IF(AND(AD176&gt;AA176,AA176&gt;0),0,IF(AND('Proposed Lighting'!AU176=3,AM176=0.5),0,IF(AND(AM176&gt;0,AS176&gt;0,BI176&lt;2),0,IF('Proposed Lighting'!CH176=100,0,IF(AV176=1,0,IF(AND(AM176=35,M176+N176&lt;2),0,AM176)))))))))))</f>
        <v>0</v>
      </c>
      <c r="AQ176" s="1249" t="str">
        <f>IFERROR(ROUND(IF(Q176="","",IF('Proposed Lighting'!$X$4=0,0,IF(AND(AM176=35,M176+N176&lt;2),0,IF(T176&gt;K176,0,IF('Proposed Lighting'!AU176=1,0,IF(AJ176=0,0,IF(AND('Proposed Lighting'!AU176=3,AM176=0.5),0,IF(AND(AD176=75,AP176=0,AV176=0),0,IF(AP176&gt;0.01,AP176*T176,IF(AND(F176&gt;1,W176&lt;0.01),0,IF(AND(F176&gt;1,AO176=0),0,IF(AND('Proposed Lighting'!BC176=22,AV176=0),0,IF(AND(AM176&gt;0,AS176&gt;0,BI176&lt;2),0,IF(AND(AS176&gt;0.01,BK176=0),0,IF(AND(AO176=TRUE,AV176=1,F176=3),MIN(AJ176*0.08,L176),IF(AP176&gt;0.01,AP176*T176,IF(AND(AO176=TRUE,AV176=1,F176=2),MIN(AJ176*0.1,L176)))))))))))))))))),2),"")</f>
        <v/>
      </c>
      <c r="AR176" s="1250">
        <f>IF(Q176=0,0,IF('Proposed Lighting'!$X$4=0,0,IF(AND(AM176&gt;0.01,AQ176&gt;0.01),0,IF('Proposed Lighting'!AU176=1,"Missing Interior or Exterior Selection",IF('Proposed Lighting'!CF176=1,"Selection does not match",IF(K176&gt;'Proposed Lighting'!AA176,"Quantity controlled does not match proposed lighting quantity",IF(T176&gt;K176,"Quantity of sensors exceeds proposed lighting quantity",IF(AND(F176&gt;1,'Proposed Lighting'!AU176&lt;&gt;F176),"Selection does not match",IF(AND(AD176&gt;AA176,AA176&gt;0),"Does not meet minimum connected load",IF(AND(O176&gt;0,AS176&gt;0,BK176&gt;0,'Proposed Lighting'!CH176=0),"Select Control Strategies",IF(AND(AC176&gt;0.1,AJ176=0,AQ176=0),"Does not meet incentive criteria",0)))))))))))</f>
        <v>0</v>
      </c>
      <c r="AS176" s="1224">
        <f>IF('Proposed Lighting'!CH176=100,0,IF(ISNUMBER(SEARCH("multiple",Q176)),1,0))</f>
        <v>0</v>
      </c>
      <c r="AT176" s="451">
        <f t="shared" si="34"/>
        <v>0</v>
      </c>
      <c r="AU176" s="451">
        <f t="shared" si="35"/>
        <v>0</v>
      </c>
      <c r="AV176" s="1222">
        <f>IF(ISNUMBER(SEARCH("Networked",'Proposed Lighting'!T176)),0,IF(ISNUMBER(SEARCH("Strategies",'Proposed Lighting'!T176)),0,IF(ISNUMBER(SEARCH("Removal",'Proposed Lighting'!T176)),0,IF(ISNUMBER(SEARCH("non-standard",Q176)),1,0))))</f>
        <v>0</v>
      </c>
      <c r="AW176" s="451">
        <f t="shared" si="38"/>
        <v>0</v>
      </c>
      <c r="AX176" s="451"/>
      <c r="AY176" s="451"/>
      <c r="AZ176" s="451"/>
      <c r="BA176" s="451"/>
      <c r="BB176" s="451"/>
      <c r="BC176" s="1215"/>
      <c r="BD176" s="1215"/>
      <c r="BE176" s="1215"/>
      <c r="BF176" s="1215"/>
      <c r="BG176" s="1215"/>
      <c r="BH176" s="1215"/>
      <c r="BI176">
        <f>IF(AND(AS176=1,BC176="No",BD176="Yes",BE176="Yes",BF176="No",BH176="No"),0,IF(AND('Proposed Lighting'!AU176=2,AS176=1,BC176="Yes",BD176="Yes"),2,IF(AND('Proposed Lighting'!AU176=2,AS176=1,BC176="Yes",BE176="Yes"),2,IF(AND('Proposed Lighting'!AU176=2,AS176=1,BC176="Yes",BF176="Yes"),2,IF(AND('Proposed Lighting'!AU176=2,AS176=1,BC176="Yes",BH176="Yes"),2,IF(AND('Proposed Lighting'!AU176=2,AS176=1,BD176="Yes",BF176="Yes"),2,IF(AND('Proposed Lighting'!AU176=2,AS176=1,BD176="Yes",BH176="Yes"),2,IF(AND('Proposed Lighting'!AU176=3,AS176=1,BC176="Yes",BE176="Yes"),2,IF(AND('Proposed Lighting'!AU176=3,AS176=1,BC176="Yes",BF176="Yes"),2,0)))))))))</f>
        <v>0</v>
      </c>
      <c r="BJ176" s="1025">
        <f t="shared" si="36"/>
        <v>0</v>
      </c>
      <c r="BK176">
        <f>IF(AND('Proposed Lighting'!BC176=22,'Lighting Controls'!N176=1),0,IF(ISNUMBER(SEARCH("LED",G176)),1,0))</f>
        <v>0</v>
      </c>
    </row>
    <row r="177" spans="1:63" ht="34.5" customHeight="1">
      <c r="A177" s="917">
        <v>169</v>
      </c>
      <c r="B177" s="1828" t="str">
        <f>IF('Proposed Lighting'!B177="","",'Proposed Lighting'!B177)</f>
        <v/>
      </c>
      <c r="C177" s="1828"/>
      <c r="D177" s="1828"/>
      <c r="E177" s="1245">
        <f>'Proposed Lighting'!AA177</f>
        <v>0</v>
      </c>
      <c r="F177" s="1245">
        <f t="shared" si="29"/>
        <v>0</v>
      </c>
      <c r="G177" s="1830" t="str">
        <f>IF('Proposed Lighting'!T177="","",IF(ISNUMBER(SEARCH("Networked",'Proposed Lighting'!T177)),0,IF(ISNUMBER(SEARCH("Strategies",'Proposed Lighting'!T177)),0,IF(ISNUMBER(SEARCH("Removal",'Proposed Lighting'!T177)),0,'Proposed Lighting'!T177))))</f>
        <v/>
      </c>
      <c r="H177" s="1830"/>
      <c r="I177" s="1830"/>
      <c r="J177" s="1830"/>
      <c r="K177" s="1215"/>
      <c r="L177" s="1246">
        <f t="shared" si="30"/>
        <v>0</v>
      </c>
      <c r="M177" s="1224">
        <f t="shared" si="31"/>
        <v>0</v>
      </c>
      <c r="N177" s="1224">
        <f t="shared" si="32"/>
        <v>0</v>
      </c>
      <c r="O177" s="1825" t="str">
        <f>IF(G177=0,0,IF(ISNA('Proposed Lighting'!AT177),0,'Proposed Lighting'!AT177))</f>
        <v/>
      </c>
      <c r="P177" s="1825"/>
      <c r="Q177" s="1247"/>
      <c r="R177" s="1247"/>
      <c r="S177" s="1247"/>
      <c r="T177" s="1211"/>
      <c r="U177" s="1235">
        <f>IF(K177&gt;0.01,'Proposed Lighting'!CU177,0)</f>
        <v>0</v>
      </c>
      <c r="V177" s="1248">
        <f>IF('Proposed Lighting'!CF177=1,0,IF('Proposed Lighting'!AU177=2,0,IF(AND('Proposed Lighting'!AU177=3,'Proposed Lighting'!CF177=0),1,0)))</f>
        <v>0</v>
      </c>
      <c r="W177" s="1836"/>
      <c r="X177" s="1836"/>
      <c r="Y177" s="1836"/>
      <c r="Z177" s="1230" t="str">
        <f t="shared" si="26"/>
        <v/>
      </c>
      <c r="AA177" s="1230">
        <f t="shared" si="27"/>
        <v>0</v>
      </c>
      <c r="AB177" s="1230">
        <f>IF(Q177=0,0,IF(T177=0,0,IF(AA177=0,0,IF(AND(F177=3,V177=0),0,IF(T177=0,0,IF(K177&gt;'Proposed Lighting'!AA177,0,IF('Proposed Lighting'!EJ177&gt;0.01,(K177*O177)*'Proposed Lighting'!EJ177/1000,(K177*O177)*U177/1000)))))))</f>
        <v>0</v>
      </c>
      <c r="AC177" s="1230" t="str">
        <f t="shared" si="33"/>
        <v/>
      </c>
      <c r="AD177" s="1230">
        <f t="shared" si="28"/>
        <v>0</v>
      </c>
      <c r="AE177" s="1230">
        <f>IF(T177=0,0,IF(K177&gt;'Proposed Lighting'!AA177,0,IF(T177&gt;K177,0,IF(AND(AD177&gt;AA177,AA177&gt;0),0,IF(AND(F177&gt;1,W177&lt;0.01),0,IF('Proposed Lighting'!AU177&gt;'Lighting Controls'!F177,0,IF('Proposed Lighting'!AU177&lt;'Lighting Controls'!F177,0,IF(U177=0,0,Summary!AC480))))))))</f>
        <v>0</v>
      </c>
      <c r="AF177" s="1230">
        <f>IF(T177=0,0,IF(AE177=0,0,IF(K177&gt;'Proposed Lighting'!AA177,0,IF(AND(AD177&gt;AA177,AA177&gt;0),0,IF(U177=0,0,Summary!AD480)))))</f>
        <v>0</v>
      </c>
      <c r="AG177" s="1834">
        <f>IF('Proposed Lighting'!AU177=1,0,IF('Proposed Lighting'!CF177=1,0,T177*W177))</f>
        <v>0</v>
      </c>
      <c r="AH177" s="1834"/>
      <c r="AI177" s="1834"/>
      <c r="AJ177" s="1835">
        <f>IF(T177&lt;1,0,IF(K177&gt;'Proposed Lighting'!AA177,0,IF('Proposed Lighting'!CF177=1,0,IF('Proposed Lighting'!AU177=1,0,IF(T177&gt;K177,0,IF(AND(AD177&gt;AA177,AA177&gt;0),0,IF(AND(F177=2,'Proposed Lighting'!AU177=3),0,IF(AND(F177=3,'Proposed Lighting'!AU177=2),0,IF('Proposed Lighting'!CH177=100,0,IF(AND(F177&lt;3,V177=1,AM177=0),0,IF(AND(F177&gt;1,AF177&lt;1,AN177&lt;1),0,IF(AND(F177&gt;1,AE177&lt;0.69,AF177&lt;1,AN177&lt;1),0,IF(ISERROR(AB177-AC177),"",AB177-AC177)))))))))))))</f>
        <v>0</v>
      </c>
      <c r="AK177" s="1835"/>
      <c r="AL177" s="1835"/>
      <c r="AM177" s="1216">
        <f>IF(Q177=0,0,IF(T177=0,0,IF(T177&gt;K177,0,IF(AND(AS177&gt;0.01,BK177=0),0,IF(AND('Proposed Lighting'!DG177=0,'Lighting Controls'!Z177=0.35),0,IF(AND(T177&lt;=K177,AA177&gt;=AD177,'Proposed Lighting'!AU177=2),VLOOKUP(Q177,$AY$9:$AZ$15,2,FALSE),IF(AND(T177&lt;=K177,AA177&gt;=AD177,'Proposed Lighting'!AU177=3),VLOOKUP(Q177,$AY$17:$AZ$23,2,FALSE))))))))</f>
        <v>0</v>
      </c>
      <c r="AN177" s="1248">
        <f>IF(T177=0,0,IF(K177&gt;'Proposed Lighting'!AA177,0,IF(AE177=0,0,IF(AND(AD177&gt;AA177,AA177&gt;0),0,IF(U177=0,0,Summary!AE480)))))</f>
        <v>0</v>
      </c>
      <c r="AO177" s="1248">
        <f t="shared" si="37"/>
        <v>0</v>
      </c>
      <c r="AP177" s="1249">
        <f>IF('Proposed Lighting'!AU177=1,0,IF(K177=0,0,IF(T177&gt;K177,0,IF(G177=0,0,IF(K177&gt;'Proposed Lighting'!AA177,0,IF(AND(AD177&gt;AA177,AA177&gt;0),0,IF(AND('Proposed Lighting'!AU177=3,AM177=0.5),0,IF(AND(AM177&gt;0,AS177&gt;0,BI177&lt;2),0,IF('Proposed Lighting'!CH177=100,0,IF(AV177=1,0,IF(AND(AM177=35,M177+N177&lt;2),0,AM177)))))))))))</f>
        <v>0</v>
      </c>
      <c r="AQ177" s="1249" t="str">
        <f>IFERROR(ROUND(IF(Q177="","",IF('Proposed Lighting'!$X$4=0,0,IF(AND(AM177=35,M177+N177&lt;2),0,IF(T177&gt;K177,0,IF('Proposed Lighting'!AU177=1,0,IF(AJ177=0,0,IF(AND('Proposed Lighting'!AU177=3,AM177=0.5),0,IF(AND(AD177=75,AP177=0,AV177=0),0,IF(AP177&gt;0.01,AP177*T177,IF(AND(F177&gt;1,W177&lt;0.01),0,IF(AND(F177&gt;1,AO177=0),0,IF(AND('Proposed Lighting'!BC177=22,AV177=0),0,IF(AND(AM177&gt;0,AS177&gt;0,BI177&lt;2),0,IF(AND(AS177&gt;0.01,BK177=0),0,IF(AND(AO177=TRUE,AV177=1,F177=3),MIN(AJ177*0.08,L177),IF(AP177&gt;0.01,AP177*T177,IF(AND(AO177=TRUE,AV177=1,F177=2),MIN(AJ177*0.1,L177)))))))))))))))))),2),"")</f>
        <v/>
      </c>
      <c r="AR177" s="1250">
        <f>IF(Q177=0,0,IF('Proposed Lighting'!$X$4=0,0,IF(AND(AM177&gt;0.01,AQ177&gt;0.01),0,IF('Proposed Lighting'!AU177=1,"Missing Interior or Exterior Selection",IF('Proposed Lighting'!CF177=1,"Selection does not match",IF(K177&gt;'Proposed Lighting'!AA177,"Quantity controlled does not match proposed lighting quantity",IF(T177&gt;K177,"Quantity of sensors exceeds proposed lighting quantity",IF(AND(F177&gt;1,'Proposed Lighting'!AU177&lt;&gt;F177),"Selection does not match",IF(AND(AD177&gt;AA177,AA177&gt;0),"Does not meet minimum connected load",IF(AND(O177&gt;0,AS177&gt;0,BK177&gt;0,'Proposed Lighting'!CH177=0),"Select Control Strategies",IF(AND(AC177&gt;0.1,AJ177=0,AQ177=0),"Does not meet incentive criteria",0)))))))))))</f>
        <v>0</v>
      </c>
      <c r="AS177" s="1224">
        <f>IF('Proposed Lighting'!CH177=100,0,IF(ISNUMBER(SEARCH("multiple",Q177)),1,0))</f>
        <v>0</v>
      </c>
      <c r="AT177" s="451">
        <f t="shared" si="34"/>
        <v>0</v>
      </c>
      <c r="AU177" s="451">
        <f t="shared" si="35"/>
        <v>0</v>
      </c>
      <c r="AV177" s="1222">
        <f>IF(ISNUMBER(SEARCH("Networked",'Proposed Lighting'!T177)),0,IF(ISNUMBER(SEARCH("Strategies",'Proposed Lighting'!T177)),0,IF(ISNUMBER(SEARCH("Removal",'Proposed Lighting'!T177)),0,IF(ISNUMBER(SEARCH("non-standard",Q177)),1,0))))</f>
        <v>0</v>
      </c>
      <c r="AW177" s="451">
        <f t="shared" si="38"/>
        <v>0</v>
      </c>
      <c r="AX177" s="451"/>
      <c r="AY177" s="451"/>
      <c r="AZ177" s="451"/>
      <c r="BA177" s="451"/>
      <c r="BB177" s="451"/>
      <c r="BC177" s="1215"/>
      <c r="BD177" s="1215"/>
      <c r="BE177" s="1215"/>
      <c r="BF177" s="1215"/>
      <c r="BG177" s="1215"/>
      <c r="BH177" s="1215"/>
      <c r="BI177">
        <f>IF(AND(AS177=1,BC177="No",BD177="Yes",BE177="Yes",BF177="No",BH177="No"),0,IF(AND('Proposed Lighting'!AU177=2,AS177=1,BC177="Yes",BD177="Yes"),2,IF(AND('Proposed Lighting'!AU177=2,AS177=1,BC177="Yes",BE177="Yes"),2,IF(AND('Proposed Lighting'!AU177=2,AS177=1,BC177="Yes",BF177="Yes"),2,IF(AND('Proposed Lighting'!AU177=2,AS177=1,BC177="Yes",BH177="Yes"),2,IF(AND('Proposed Lighting'!AU177=2,AS177=1,BD177="Yes",BF177="Yes"),2,IF(AND('Proposed Lighting'!AU177=2,AS177=1,BD177="Yes",BH177="Yes"),2,IF(AND('Proposed Lighting'!AU177=3,AS177=1,BC177="Yes",BE177="Yes"),2,IF(AND('Proposed Lighting'!AU177=3,AS177=1,BC177="Yes",BF177="Yes"),2,0)))))))))</f>
        <v>0</v>
      </c>
      <c r="BJ177" s="1025">
        <f t="shared" si="36"/>
        <v>0</v>
      </c>
      <c r="BK177">
        <f>IF(AND('Proposed Lighting'!BC177=22,'Lighting Controls'!N177=1),0,IF(ISNUMBER(SEARCH("LED",G177)),1,0))</f>
        <v>0</v>
      </c>
    </row>
    <row r="178" spans="1:63" ht="34.5" customHeight="1">
      <c r="A178" s="917">
        <v>170</v>
      </c>
      <c r="B178" s="1828" t="str">
        <f>IF('Proposed Lighting'!B178="","",'Proposed Lighting'!B178)</f>
        <v/>
      </c>
      <c r="C178" s="1828"/>
      <c r="D178" s="1828"/>
      <c r="E178" s="1245">
        <f>'Proposed Lighting'!AA178</f>
        <v>0</v>
      </c>
      <c r="F178" s="1245">
        <f t="shared" si="29"/>
        <v>0</v>
      </c>
      <c r="G178" s="1830" t="str">
        <f>IF('Proposed Lighting'!T178="","",IF(ISNUMBER(SEARCH("Networked",'Proposed Lighting'!T178)),0,IF(ISNUMBER(SEARCH("Strategies",'Proposed Lighting'!T178)),0,IF(ISNUMBER(SEARCH("Removal",'Proposed Lighting'!T178)),0,'Proposed Lighting'!T178))))</f>
        <v/>
      </c>
      <c r="H178" s="1830"/>
      <c r="I178" s="1830"/>
      <c r="J178" s="1830"/>
      <c r="K178" s="1215"/>
      <c r="L178" s="1246">
        <f t="shared" si="30"/>
        <v>0</v>
      </c>
      <c r="M178" s="1224">
        <f t="shared" si="31"/>
        <v>0</v>
      </c>
      <c r="N178" s="1224">
        <f t="shared" si="32"/>
        <v>0</v>
      </c>
      <c r="O178" s="1825" t="str">
        <f>IF(G178=0,0,IF(ISNA('Proposed Lighting'!AT178),0,'Proposed Lighting'!AT178))</f>
        <v/>
      </c>
      <c r="P178" s="1825"/>
      <c r="Q178" s="1247"/>
      <c r="R178" s="1247"/>
      <c r="S178" s="1247"/>
      <c r="T178" s="1211"/>
      <c r="U178" s="1235">
        <f>IF(K178&gt;0.01,'Proposed Lighting'!CU178,0)</f>
        <v>0</v>
      </c>
      <c r="V178" s="1248">
        <f>IF('Proposed Lighting'!CF178=1,0,IF('Proposed Lighting'!AU178=2,0,IF(AND('Proposed Lighting'!AU178=3,'Proposed Lighting'!CF178=0),1,0)))</f>
        <v>0</v>
      </c>
      <c r="W178" s="1836"/>
      <c r="X178" s="1836"/>
      <c r="Y178" s="1836"/>
      <c r="Z178" s="1230" t="str">
        <f t="shared" si="26"/>
        <v/>
      </c>
      <c r="AA178" s="1230">
        <f t="shared" si="27"/>
        <v>0</v>
      </c>
      <c r="AB178" s="1230">
        <f>IF(Q178=0,0,IF(T178=0,0,IF(AA178=0,0,IF(AND(F178=3,V178=0),0,IF(T178=0,0,IF(K178&gt;'Proposed Lighting'!AA178,0,IF('Proposed Lighting'!EJ178&gt;0.01,(K178*O178)*'Proposed Lighting'!EJ178/1000,(K178*O178)*U178/1000)))))))</f>
        <v>0</v>
      </c>
      <c r="AC178" s="1230" t="str">
        <f t="shared" si="33"/>
        <v/>
      </c>
      <c r="AD178" s="1230">
        <f t="shared" si="28"/>
        <v>0</v>
      </c>
      <c r="AE178" s="1230">
        <f>IF(T178=0,0,IF(K178&gt;'Proposed Lighting'!AA178,0,IF(T178&gt;K178,0,IF(AND(AD178&gt;AA178,AA178&gt;0),0,IF(AND(F178&gt;1,W178&lt;0.01),0,IF('Proposed Lighting'!AU178&gt;'Lighting Controls'!F178,0,IF('Proposed Lighting'!AU178&lt;'Lighting Controls'!F178,0,IF(U178=0,0,Summary!AC481))))))))</f>
        <v>0</v>
      </c>
      <c r="AF178" s="1230">
        <f>IF(T178=0,0,IF(AE178=0,0,IF(K178&gt;'Proposed Lighting'!AA178,0,IF(AND(AD178&gt;AA178,AA178&gt;0),0,IF(U178=0,0,Summary!AD481)))))</f>
        <v>0</v>
      </c>
      <c r="AG178" s="1834">
        <f>IF('Proposed Lighting'!AU178=1,0,IF('Proposed Lighting'!CF178=1,0,T178*W178))</f>
        <v>0</v>
      </c>
      <c r="AH178" s="1834"/>
      <c r="AI178" s="1834"/>
      <c r="AJ178" s="1835">
        <f>IF(T178&lt;1,0,IF(K178&gt;'Proposed Lighting'!AA178,0,IF('Proposed Lighting'!CF178=1,0,IF('Proposed Lighting'!AU178=1,0,IF(T178&gt;K178,0,IF(AND(AD178&gt;AA178,AA178&gt;0),0,IF(AND(F178=2,'Proposed Lighting'!AU178=3),0,IF(AND(F178=3,'Proposed Lighting'!AU178=2),0,IF('Proposed Lighting'!CH178=100,0,IF(AND(F178&lt;3,V178=1,AM178=0),0,IF(AND(F178&gt;1,AF178&lt;1,AN178&lt;1),0,IF(AND(F178&gt;1,AE178&lt;0.69,AF178&lt;1,AN178&lt;1),0,IF(ISERROR(AB178-AC178),"",AB178-AC178)))))))))))))</f>
        <v>0</v>
      </c>
      <c r="AK178" s="1835"/>
      <c r="AL178" s="1835"/>
      <c r="AM178" s="1216">
        <f>IF(Q178=0,0,IF(T178=0,0,IF(T178&gt;K178,0,IF(AND(AS178&gt;0.01,BK178=0),0,IF(AND('Proposed Lighting'!DG178=0,'Lighting Controls'!Z178=0.35),0,IF(AND(T178&lt;=K178,AA178&gt;=AD178,'Proposed Lighting'!AU178=2),VLOOKUP(Q178,$AY$9:$AZ$15,2,FALSE),IF(AND(T178&lt;=K178,AA178&gt;=AD178,'Proposed Lighting'!AU178=3),VLOOKUP(Q178,$AY$17:$AZ$23,2,FALSE))))))))</f>
        <v>0</v>
      </c>
      <c r="AN178" s="1248">
        <f>IF(T178=0,0,IF(K178&gt;'Proposed Lighting'!AA178,0,IF(AE178=0,0,IF(AND(AD178&gt;AA178,AA178&gt;0),0,IF(U178=0,0,Summary!AE481)))))</f>
        <v>0</v>
      </c>
      <c r="AO178" s="1248">
        <f t="shared" si="37"/>
        <v>0</v>
      </c>
      <c r="AP178" s="1249">
        <f>IF('Proposed Lighting'!AU178=1,0,IF(K178=0,0,IF(T178&gt;K178,0,IF(G178=0,0,IF(K178&gt;'Proposed Lighting'!AA178,0,IF(AND(AD178&gt;AA178,AA178&gt;0),0,IF(AND('Proposed Lighting'!AU178=3,AM178=0.5),0,IF(AND(AM178&gt;0,AS178&gt;0,BI178&lt;2),0,IF('Proposed Lighting'!CH178=100,0,IF(AV178=1,0,IF(AND(AM178=35,M178+N178&lt;2),0,AM178)))))))))))</f>
        <v>0</v>
      </c>
      <c r="AQ178" s="1249" t="str">
        <f>IFERROR(ROUND(IF(Q178="","",IF('Proposed Lighting'!$X$4=0,0,IF(AND(AM178=35,M178+N178&lt;2),0,IF(T178&gt;K178,0,IF('Proposed Lighting'!AU178=1,0,IF(AJ178=0,0,IF(AND('Proposed Lighting'!AU178=3,AM178=0.5),0,IF(AND(AD178=75,AP178=0,AV178=0),0,IF(AP178&gt;0.01,AP178*T178,IF(AND(F178&gt;1,W178&lt;0.01),0,IF(AND(F178&gt;1,AO178=0),0,IF(AND('Proposed Lighting'!BC178=22,AV178=0),0,IF(AND(AM178&gt;0,AS178&gt;0,BI178&lt;2),0,IF(AND(AS178&gt;0.01,BK178=0),0,IF(AND(AO178=TRUE,AV178=1,F178=3),MIN(AJ178*0.08,L178),IF(AP178&gt;0.01,AP178*T178,IF(AND(AO178=TRUE,AV178=1,F178=2),MIN(AJ178*0.1,L178)))))))))))))))))),2),"")</f>
        <v/>
      </c>
      <c r="AR178" s="1250">
        <f>IF(Q178=0,0,IF('Proposed Lighting'!$X$4=0,0,IF(AND(AM178&gt;0.01,AQ178&gt;0.01),0,IF('Proposed Lighting'!AU178=1,"Missing Interior or Exterior Selection",IF('Proposed Lighting'!CF178=1,"Selection does not match",IF(K178&gt;'Proposed Lighting'!AA178,"Quantity controlled does not match proposed lighting quantity",IF(T178&gt;K178,"Quantity of sensors exceeds proposed lighting quantity",IF(AND(F178&gt;1,'Proposed Lighting'!AU178&lt;&gt;F178),"Selection does not match",IF(AND(AD178&gt;AA178,AA178&gt;0),"Does not meet minimum connected load",IF(AND(O178&gt;0,AS178&gt;0,BK178&gt;0,'Proposed Lighting'!CH178=0),"Select Control Strategies",IF(AND(AC178&gt;0.1,AJ178=0,AQ178=0),"Does not meet incentive criteria",0)))))))))))</f>
        <v>0</v>
      </c>
      <c r="AS178" s="1224">
        <f>IF('Proposed Lighting'!CH178=100,0,IF(ISNUMBER(SEARCH("multiple",Q178)),1,0))</f>
        <v>0</v>
      </c>
      <c r="AT178" s="451">
        <f t="shared" si="34"/>
        <v>0</v>
      </c>
      <c r="AU178" s="451">
        <f t="shared" si="35"/>
        <v>0</v>
      </c>
      <c r="AV178" s="1222">
        <f>IF(ISNUMBER(SEARCH("Networked",'Proposed Lighting'!T178)),0,IF(ISNUMBER(SEARCH("Strategies",'Proposed Lighting'!T178)),0,IF(ISNUMBER(SEARCH("Removal",'Proposed Lighting'!T178)),0,IF(ISNUMBER(SEARCH("non-standard",Q178)),1,0))))</f>
        <v>0</v>
      </c>
      <c r="AW178" s="451">
        <f t="shared" si="38"/>
        <v>0</v>
      </c>
      <c r="AX178" s="451"/>
      <c r="AY178" s="451"/>
      <c r="AZ178" s="451"/>
      <c r="BA178" s="451"/>
      <c r="BB178" s="451"/>
      <c r="BC178" s="1215"/>
      <c r="BD178" s="1215"/>
      <c r="BE178" s="1215"/>
      <c r="BF178" s="1215"/>
      <c r="BG178" s="1215"/>
      <c r="BH178" s="1215"/>
      <c r="BI178">
        <f>IF(AND(AS178=1,BC178="No",BD178="Yes",BE178="Yes",BF178="No",BH178="No"),0,IF(AND('Proposed Lighting'!AU178=2,AS178=1,BC178="Yes",BD178="Yes"),2,IF(AND('Proposed Lighting'!AU178=2,AS178=1,BC178="Yes",BE178="Yes"),2,IF(AND('Proposed Lighting'!AU178=2,AS178=1,BC178="Yes",BF178="Yes"),2,IF(AND('Proposed Lighting'!AU178=2,AS178=1,BC178="Yes",BH178="Yes"),2,IF(AND('Proposed Lighting'!AU178=2,AS178=1,BD178="Yes",BF178="Yes"),2,IF(AND('Proposed Lighting'!AU178=2,AS178=1,BD178="Yes",BH178="Yes"),2,IF(AND('Proposed Lighting'!AU178=3,AS178=1,BC178="Yes",BE178="Yes"),2,IF(AND('Proposed Lighting'!AU178=3,AS178=1,BC178="Yes",BF178="Yes"),2,0)))))))))</f>
        <v>0</v>
      </c>
      <c r="BJ178" s="1025">
        <f t="shared" si="36"/>
        <v>0</v>
      </c>
      <c r="BK178">
        <f>IF(AND('Proposed Lighting'!BC178=22,'Lighting Controls'!N178=1),0,IF(ISNUMBER(SEARCH("LED",G178)),1,0))</f>
        <v>0</v>
      </c>
    </row>
    <row r="179" spans="1:63" ht="34.5" customHeight="1">
      <c r="A179" s="917">
        <v>171</v>
      </c>
      <c r="B179" s="1828" t="str">
        <f>IF('Proposed Lighting'!B179="","",'Proposed Lighting'!B179)</f>
        <v/>
      </c>
      <c r="C179" s="1828"/>
      <c r="D179" s="1828"/>
      <c r="E179" s="1245">
        <f>'Proposed Lighting'!AA179</f>
        <v>0</v>
      </c>
      <c r="F179" s="1245">
        <f t="shared" si="29"/>
        <v>0</v>
      </c>
      <c r="G179" s="1830" t="str">
        <f>IF('Proposed Lighting'!T179="","",IF(ISNUMBER(SEARCH("Networked",'Proposed Lighting'!T179)),0,IF(ISNUMBER(SEARCH("Strategies",'Proposed Lighting'!T179)),0,IF(ISNUMBER(SEARCH("Removal",'Proposed Lighting'!T179)),0,'Proposed Lighting'!T179))))</f>
        <v/>
      </c>
      <c r="H179" s="1830"/>
      <c r="I179" s="1830"/>
      <c r="J179" s="1830"/>
      <c r="K179" s="1215"/>
      <c r="L179" s="1246">
        <f t="shared" si="30"/>
        <v>0</v>
      </c>
      <c r="M179" s="1224">
        <f t="shared" si="31"/>
        <v>0</v>
      </c>
      <c r="N179" s="1224">
        <f t="shared" si="32"/>
        <v>0</v>
      </c>
      <c r="O179" s="1825" t="str">
        <f>IF(G179=0,0,IF(ISNA('Proposed Lighting'!AT179),0,'Proposed Lighting'!AT179))</f>
        <v/>
      </c>
      <c r="P179" s="1825"/>
      <c r="Q179" s="1247"/>
      <c r="R179" s="1247"/>
      <c r="S179" s="1247"/>
      <c r="T179" s="1211"/>
      <c r="U179" s="1235">
        <f>IF(K179&gt;0.01,'Proposed Lighting'!CU179,0)</f>
        <v>0</v>
      </c>
      <c r="V179" s="1248">
        <f>IF('Proposed Lighting'!CF179=1,0,IF('Proposed Lighting'!AU179=2,0,IF(AND('Proposed Lighting'!AU179=3,'Proposed Lighting'!CF179=0),1,0)))</f>
        <v>0</v>
      </c>
      <c r="W179" s="1836"/>
      <c r="X179" s="1836"/>
      <c r="Y179" s="1836"/>
      <c r="Z179" s="1230" t="str">
        <f t="shared" si="26"/>
        <v/>
      </c>
      <c r="AA179" s="1230">
        <f t="shared" si="27"/>
        <v>0</v>
      </c>
      <c r="AB179" s="1230">
        <f>IF(Q179=0,0,IF(T179=0,0,IF(AA179=0,0,IF(AND(F179=3,V179=0),0,IF(T179=0,0,IF(K179&gt;'Proposed Lighting'!AA179,0,IF('Proposed Lighting'!EJ179&gt;0.01,(K179*O179)*'Proposed Lighting'!EJ179/1000,(K179*O179)*U179/1000)))))))</f>
        <v>0</v>
      </c>
      <c r="AC179" s="1230" t="str">
        <f t="shared" si="33"/>
        <v/>
      </c>
      <c r="AD179" s="1230">
        <f t="shared" si="28"/>
        <v>0</v>
      </c>
      <c r="AE179" s="1230">
        <f>IF(T179=0,0,IF(K179&gt;'Proposed Lighting'!AA179,0,IF(T179&gt;K179,0,IF(AND(AD179&gt;AA179,AA179&gt;0),0,IF(AND(F179&gt;1,W179&lt;0.01),0,IF('Proposed Lighting'!AU179&gt;'Lighting Controls'!F179,0,IF('Proposed Lighting'!AU179&lt;'Lighting Controls'!F179,0,IF(U179=0,0,Summary!AC482))))))))</f>
        <v>0</v>
      </c>
      <c r="AF179" s="1230">
        <f>IF(T179=0,0,IF(AE179=0,0,IF(K179&gt;'Proposed Lighting'!AA179,0,IF(AND(AD179&gt;AA179,AA179&gt;0),0,IF(U179=0,0,Summary!AD482)))))</f>
        <v>0</v>
      </c>
      <c r="AG179" s="1834">
        <f>IF('Proposed Lighting'!AU179=1,0,IF('Proposed Lighting'!CF179=1,0,T179*W179))</f>
        <v>0</v>
      </c>
      <c r="AH179" s="1834"/>
      <c r="AI179" s="1834"/>
      <c r="AJ179" s="1835">
        <f>IF(T179&lt;1,0,IF(K179&gt;'Proposed Lighting'!AA179,0,IF('Proposed Lighting'!CF179=1,0,IF('Proposed Lighting'!AU179=1,0,IF(T179&gt;K179,0,IF(AND(AD179&gt;AA179,AA179&gt;0),0,IF(AND(F179=2,'Proposed Lighting'!AU179=3),0,IF(AND(F179=3,'Proposed Lighting'!AU179=2),0,IF('Proposed Lighting'!CH179=100,0,IF(AND(F179&lt;3,V179=1,AM179=0),0,IF(AND(F179&gt;1,AF179&lt;1,AN179&lt;1),0,IF(AND(F179&gt;1,AE179&lt;0.69,AF179&lt;1,AN179&lt;1),0,IF(ISERROR(AB179-AC179),"",AB179-AC179)))))))))))))</f>
        <v>0</v>
      </c>
      <c r="AK179" s="1835"/>
      <c r="AL179" s="1835"/>
      <c r="AM179" s="1216">
        <f>IF(Q179=0,0,IF(T179=0,0,IF(T179&gt;K179,0,IF(AND(AS179&gt;0.01,BK179=0),0,IF(AND('Proposed Lighting'!DG179=0,'Lighting Controls'!Z179=0.35),0,IF(AND(T179&lt;=K179,AA179&gt;=AD179,'Proposed Lighting'!AU179=2),VLOOKUP(Q179,$AY$9:$AZ$15,2,FALSE),IF(AND(T179&lt;=K179,AA179&gt;=AD179,'Proposed Lighting'!AU179=3),VLOOKUP(Q179,$AY$17:$AZ$23,2,FALSE))))))))</f>
        <v>0</v>
      </c>
      <c r="AN179" s="1248">
        <f>IF(T179=0,0,IF(K179&gt;'Proposed Lighting'!AA179,0,IF(AE179=0,0,IF(AND(AD179&gt;AA179,AA179&gt;0),0,IF(U179=0,0,Summary!AE482)))))</f>
        <v>0</v>
      </c>
      <c r="AO179" s="1248">
        <f t="shared" si="37"/>
        <v>0</v>
      </c>
      <c r="AP179" s="1249">
        <f>IF('Proposed Lighting'!AU179=1,0,IF(K179=0,0,IF(T179&gt;K179,0,IF(G179=0,0,IF(K179&gt;'Proposed Lighting'!AA179,0,IF(AND(AD179&gt;AA179,AA179&gt;0),0,IF(AND('Proposed Lighting'!AU179=3,AM179=0.5),0,IF(AND(AM179&gt;0,AS179&gt;0,BI179&lt;2),0,IF('Proposed Lighting'!CH179=100,0,IF(AV179=1,0,IF(AND(AM179=35,M179+N179&lt;2),0,AM179)))))))))))</f>
        <v>0</v>
      </c>
      <c r="AQ179" s="1249" t="str">
        <f>IFERROR(ROUND(IF(Q179="","",IF('Proposed Lighting'!$X$4=0,0,IF(AND(AM179=35,M179+N179&lt;2),0,IF(T179&gt;K179,0,IF('Proposed Lighting'!AU179=1,0,IF(AJ179=0,0,IF(AND('Proposed Lighting'!AU179=3,AM179=0.5),0,IF(AND(AD179=75,AP179=0,AV179=0),0,IF(AP179&gt;0.01,AP179*T179,IF(AND(F179&gt;1,W179&lt;0.01),0,IF(AND(F179&gt;1,AO179=0),0,IF(AND('Proposed Lighting'!BC179=22,AV179=0),0,IF(AND(AM179&gt;0,AS179&gt;0,BI179&lt;2),0,IF(AND(AS179&gt;0.01,BK179=0),0,IF(AND(AO179=TRUE,AV179=1,F179=3),MIN(AJ179*0.08,L179),IF(AP179&gt;0.01,AP179*T179,IF(AND(AO179=TRUE,AV179=1,F179=2),MIN(AJ179*0.1,L179)))))))))))))))))),2),"")</f>
        <v/>
      </c>
      <c r="AR179" s="1250">
        <f>IF(Q179=0,0,IF('Proposed Lighting'!$X$4=0,0,IF(AND(AM179&gt;0.01,AQ179&gt;0.01),0,IF('Proposed Lighting'!AU179=1,"Missing Interior or Exterior Selection",IF('Proposed Lighting'!CF179=1,"Selection does not match",IF(K179&gt;'Proposed Lighting'!AA179,"Quantity controlled does not match proposed lighting quantity",IF(T179&gt;K179,"Quantity of sensors exceeds proposed lighting quantity",IF(AND(F179&gt;1,'Proposed Lighting'!AU179&lt;&gt;F179),"Selection does not match",IF(AND(AD179&gt;AA179,AA179&gt;0),"Does not meet minimum connected load",IF(AND(O179&gt;0,AS179&gt;0,BK179&gt;0,'Proposed Lighting'!CH179=0),"Select Control Strategies",IF(AND(AC179&gt;0.1,AJ179=0,AQ179=0),"Does not meet incentive criteria",0)))))))))))</f>
        <v>0</v>
      </c>
      <c r="AS179" s="1224">
        <f>IF('Proposed Lighting'!CH179=100,0,IF(ISNUMBER(SEARCH("multiple",Q179)),1,0))</f>
        <v>0</v>
      </c>
      <c r="AT179" s="451">
        <f t="shared" si="34"/>
        <v>0</v>
      </c>
      <c r="AU179" s="451">
        <f t="shared" si="35"/>
        <v>0</v>
      </c>
      <c r="AV179" s="1222">
        <f>IF(ISNUMBER(SEARCH("Networked",'Proposed Lighting'!T179)),0,IF(ISNUMBER(SEARCH("Strategies",'Proposed Lighting'!T179)),0,IF(ISNUMBER(SEARCH("Removal",'Proposed Lighting'!T179)),0,IF(ISNUMBER(SEARCH("non-standard",Q179)),1,0))))</f>
        <v>0</v>
      </c>
      <c r="AW179" s="451">
        <f t="shared" si="38"/>
        <v>0</v>
      </c>
      <c r="AX179" s="451"/>
      <c r="AY179" s="451"/>
      <c r="AZ179" s="451"/>
      <c r="BA179" s="451"/>
      <c r="BB179" s="451"/>
      <c r="BC179" s="1215"/>
      <c r="BD179" s="1215"/>
      <c r="BE179" s="1215"/>
      <c r="BF179" s="1215"/>
      <c r="BG179" s="1215"/>
      <c r="BH179" s="1215"/>
      <c r="BI179">
        <f>IF(AND(AS179=1,BC179="No",BD179="Yes",BE179="Yes",BF179="No",BH179="No"),0,IF(AND('Proposed Lighting'!AU179=2,AS179=1,BC179="Yes",BD179="Yes"),2,IF(AND('Proposed Lighting'!AU179=2,AS179=1,BC179="Yes",BE179="Yes"),2,IF(AND('Proposed Lighting'!AU179=2,AS179=1,BC179="Yes",BF179="Yes"),2,IF(AND('Proposed Lighting'!AU179=2,AS179=1,BC179="Yes",BH179="Yes"),2,IF(AND('Proposed Lighting'!AU179=2,AS179=1,BD179="Yes",BF179="Yes"),2,IF(AND('Proposed Lighting'!AU179=2,AS179=1,BD179="Yes",BH179="Yes"),2,IF(AND('Proposed Lighting'!AU179=3,AS179=1,BC179="Yes",BE179="Yes"),2,IF(AND('Proposed Lighting'!AU179=3,AS179=1,BC179="Yes",BF179="Yes"),2,0)))))))))</f>
        <v>0</v>
      </c>
      <c r="BJ179" s="1025">
        <f t="shared" si="36"/>
        <v>0</v>
      </c>
      <c r="BK179">
        <f>IF(AND('Proposed Lighting'!BC179=22,'Lighting Controls'!N179=1),0,IF(ISNUMBER(SEARCH("LED",G179)),1,0))</f>
        <v>0</v>
      </c>
    </row>
    <row r="180" spans="1:63" ht="34.5" customHeight="1">
      <c r="A180" s="917">
        <v>172</v>
      </c>
      <c r="B180" s="1828" t="str">
        <f>IF('Proposed Lighting'!B180="","",'Proposed Lighting'!B180)</f>
        <v/>
      </c>
      <c r="C180" s="1828"/>
      <c r="D180" s="1828"/>
      <c r="E180" s="1245">
        <f>'Proposed Lighting'!AA180</f>
        <v>0</v>
      </c>
      <c r="F180" s="1245">
        <f t="shared" si="29"/>
        <v>0</v>
      </c>
      <c r="G180" s="1830" t="str">
        <f>IF('Proposed Lighting'!T180="","",IF(ISNUMBER(SEARCH("Networked",'Proposed Lighting'!T180)),0,IF(ISNUMBER(SEARCH("Strategies",'Proposed Lighting'!T180)),0,IF(ISNUMBER(SEARCH("Removal",'Proposed Lighting'!T180)),0,'Proposed Lighting'!T180))))</f>
        <v/>
      </c>
      <c r="H180" s="1830"/>
      <c r="I180" s="1830"/>
      <c r="J180" s="1830"/>
      <c r="K180" s="1215"/>
      <c r="L180" s="1246">
        <f t="shared" si="30"/>
        <v>0</v>
      </c>
      <c r="M180" s="1224">
        <f t="shared" si="31"/>
        <v>0</v>
      </c>
      <c r="N180" s="1224">
        <f t="shared" si="32"/>
        <v>0</v>
      </c>
      <c r="O180" s="1825" t="str">
        <f>IF(G180=0,0,IF(ISNA('Proposed Lighting'!AT180),0,'Proposed Lighting'!AT180))</f>
        <v/>
      </c>
      <c r="P180" s="1825"/>
      <c r="Q180" s="1247"/>
      <c r="R180" s="1247"/>
      <c r="S180" s="1247"/>
      <c r="T180" s="1211"/>
      <c r="U180" s="1235">
        <f>IF(K180&gt;0.01,'Proposed Lighting'!CU180,0)</f>
        <v>0</v>
      </c>
      <c r="V180" s="1248">
        <f>IF('Proposed Lighting'!CF180=1,0,IF('Proposed Lighting'!AU180=2,0,IF(AND('Proposed Lighting'!AU180=3,'Proposed Lighting'!CF180=0),1,0)))</f>
        <v>0</v>
      </c>
      <c r="W180" s="1836"/>
      <c r="X180" s="1836"/>
      <c r="Y180" s="1836"/>
      <c r="Z180" s="1230" t="str">
        <f t="shared" si="26"/>
        <v/>
      </c>
      <c r="AA180" s="1230">
        <f t="shared" si="27"/>
        <v>0</v>
      </c>
      <c r="AB180" s="1230">
        <f>IF(Q180=0,0,IF(T180=0,0,IF(AA180=0,0,IF(AND(F180=3,V180=0),0,IF(T180=0,0,IF(K180&gt;'Proposed Lighting'!AA180,0,IF('Proposed Lighting'!EJ180&gt;0.01,(K180*O180)*'Proposed Lighting'!EJ180/1000,(K180*O180)*U180/1000)))))))</f>
        <v>0</v>
      </c>
      <c r="AC180" s="1230" t="str">
        <f t="shared" si="33"/>
        <v/>
      </c>
      <c r="AD180" s="1230">
        <f t="shared" si="28"/>
        <v>0</v>
      </c>
      <c r="AE180" s="1230">
        <f>IF(T180=0,0,IF(K180&gt;'Proposed Lighting'!AA180,0,IF(T180&gt;K180,0,IF(AND(AD180&gt;AA180,AA180&gt;0),0,IF(AND(F180&gt;1,W180&lt;0.01),0,IF('Proposed Lighting'!AU180&gt;'Lighting Controls'!F180,0,IF('Proposed Lighting'!AU180&lt;'Lighting Controls'!F180,0,IF(U180=0,0,Summary!AC483))))))))</f>
        <v>0</v>
      </c>
      <c r="AF180" s="1230">
        <f>IF(T180=0,0,IF(AE180=0,0,IF(K180&gt;'Proposed Lighting'!AA180,0,IF(AND(AD180&gt;AA180,AA180&gt;0),0,IF(U180=0,0,Summary!AD483)))))</f>
        <v>0</v>
      </c>
      <c r="AG180" s="1834">
        <f>IF('Proposed Lighting'!AU180=1,0,IF('Proposed Lighting'!CF180=1,0,T180*W180))</f>
        <v>0</v>
      </c>
      <c r="AH180" s="1834"/>
      <c r="AI180" s="1834"/>
      <c r="AJ180" s="1835">
        <f>IF(T180&lt;1,0,IF(K180&gt;'Proposed Lighting'!AA180,0,IF('Proposed Lighting'!CF180=1,0,IF('Proposed Lighting'!AU180=1,0,IF(T180&gt;K180,0,IF(AND(AD180&gt;AA180,AA180&gt;0),0,IF(AND(F180=2,'Proposed Lighting'!AU180=3),0,IF(AND(F180=3,'Proposed Lighting'!AU180=2),0,IF('Proposed Lighting'!CH180=100,0,IF(AND(F180&lt;3,V180=1,AM180=0),0,IF(AND(F180&gt;1,AF180&lt;1,AN180&lt;1),0,IF(AND(F180&gt;1,AE180&lt;0.69,AF180&lt;1,AN180&lt;1),0,IF(ISERROR(AB180-AC180),"",AB180-AC180)))))))))))))</f>
        <v>0</v>
      </c>
      <c r="AK180" s="1835"/>
      <c r="AL180" s="1835"/>
      <c r="AM180" s="1216">
        <f>IF(Q180=0,0,IF(T180=0,0,IF(T180&gt;K180,0,IF(AND(AS180&gt;0.01,BK180=0),0,IF(AND('Proposed Lighting'!DG180=0,'Lighting Controls'!Z180=0.35),0,IF(AND(T180&lt;=K180,AA180&gt;=AD180,'Proposed Lighting'!AU180=2),VLOOKUP(Q180,$AY$9:$AZ$15,2,FALSE),IF(AND(T180&lt;=K180,AA180&gt;=AD180,'Proposed Lighting'!AU180=3),VLOOKUP(Q180,$AY$17:$AZ$23,2,FALSE))))))))</f>
        <v>0</v>
      </c>
      <c r="AN180" s="1248">
        <f>IF(T180=0,0,IF(K180&gt;'Proposed Lighting'!AA180,0,IF(AE180=0,0,IF(AND(AD180&gt;AA180,AA180&gt;0),0,IF(U180=0,0,Summary!AE483)))))</f>
        <v>0</v>
      </c>
      <c r="AO180" s="1248">
        <f t="shared" si="37"/>
        <v>0</v>
      </c>
      <c r="AP180" s="1249">
        <f>IF('Proposed Lighting'!AU180=1,0,IF(K180=0,0,IF(T180&gt;K180,0,IF(G180=0,0,IF(K180&gt;'Proposed Lighting'!AA180,0,IF(AND(AD180&gt;AA180,AA180&gt;0),0,IF(AND('Proposed Lighting'!AU180=3,AM180=0.5),0,IF(AND(AM180&gt;0,AS180&gt;0,BI180&lt;2),0,IF('Proposed Lighting'!CH180=100,0,IF(AV180=1,0,IF(AND(AM180=35,M180+N180&lt;2),0,AM180)))))))))))</f>
        <v>0</v>
      </c>
      <c r="AQ180" s="1249" t="str">
        <f>IFERROR(ROUND(IF(Q180="","",IF('Proposed Lighting'!$X$4=0,0,IF(AND(AM180=35,M180+N180&lt;2),0,IF(T180&gt;K180,0,IF('Proposed Lighting'!AU180=1,0,IF(AJ180=0,0,IF(AND('Proposed Lighting'!AU180=3,AM180=0.5),0,IF(AND(AD180=75,AP180=0,AV180=0),0,IF(AP180&gt;0.01,AP180*T180,IF(AND(F180&gt;1,W180&lt;0.01),0,IF(AND(F180&gt;1,AO180=0),0,IF(AND('Proposed Lighting'!BC180=22,AV180=0),0,IF(AND(AM180&gt;0,AS180&gt;0,BI180&lt;2),0,IF(AND(AS180&gt;0.01,BK180=0),0,IF(AND(AO180=TRUE,AV180=1,F180=3),MIN(AJ180*0.08,L180),IF(AP180&gt;0.01,AP180*T180,IF(AND(AO180=TRUE,AV180=1,F180=2),MIN(AJ180*0.1,L180)))))))))))))))))),2),"")</f>
        <v/>
      </c>
      <c r="AR180" s="1250">
        <f>IF(Q180=0,0,IF('Proposed Lighting'!$X$4=0,0,IF(AND(AM180&gt;0.01,AQ180&gt;0.01),0,IF('Proposed Lighting'!AU180=1,"Missing Interior or Exterior Selection",IF('Proposed Lighting'!CF180=1,"Selection does not match",IF(K180&gt;'Proposed Lighting'!AA180,"Quantity controlled does not match proposed lighting quantity",IF(T180&gt;K180,"Quantity of sensors exceeds proposed lighting quantity",IF(AND(F180&gt;1,'Proposed Lighting'!AU180&lt;&gt;F180),"Selection does not match",IF(AND(AD180&gt;AA180,AA180&gt;0),"Does not meet minimum connected load",IF(AND(O180&gt;0,AS180&gt;0,BK180&gt;0,'Proposed Lighting'!CH180=0),"Select Control Strategies",IF(AND(AC180&gt;0.1,AJ180=0,AQ180=0),"Does not meet incentive criteria",0)))))))))))</f>
        <v>0</v>
      </c>
      <c r="AS180" s="1224">
        <f>IF('Proposed Lighting'!CH180=100,0,IF(ISNUMBER(SEARCH("multiple",Q180)),1,0))</f>
        <v>0</v>
      </c>
      <c r="AT180" s="451">
        <f t="shared" si="34"/>
        <v>0</v>
      </c>
      <c r="AU180" s="451">
        <f t="shared" si="35"/>
        <v>0</v>
      </c>
      <c r="AV180" s="1222">
        <f>IF(ISNUMBER(SEARCH("Networked",'Proposed Lighting'!T180)),0,IF(ISNUMBER(SEARCH("Strategies",'Proposed Lighting'!T180)),0,IF(ISNUMBER(SEARCH("Removal",'Proposed Lighting'!T180)),0,IF(ISNUMBER(SEARCH("non-standard",Q180)),1,0))))</f>
        <v>0</v>
      </c>
      <c r="AW180" s="451">
        <f t="shared" si="38"/>
        <v>0</v>
      </c>
      <c r="AX180" s="451"/>
      <c r="AY180" s="451"/>
      <c r="AZ180" s="451"/>
      <c r="BA180" s="451"/>
      <c r="BB180" s="451"/>
      <c r="BC180" s="1215"/>
      <c r="BD180" s="1215"/>
      <c r="BE180" s="1215"/>
      <c r="BF180" s="1215"/>
      <c r="BG180" s="1215"/>
      <c r="BH180" s="1215"/>
      <c r="BI180">
        <f>IF(AND(AS180=1,BC180="No",BD180="Yes",BE180="Yes",BF180="No",BH180="No"),0,IF(AND('Proposed Lighting'!AU180=2,AS180=1,BC180="Yes",BD180="Yes"),2,IF(AND('Proposed Lighting'!AU180=2,AS180=1,BC180="Yes",BE180="Yes"),2,IF(AND('Proposed Lighting'!AU180=2,AS180=1,BC180="Yes",BF180="Yes"),2,IF(AND('Proposed Lighting'!AU180=2,AS180=1,BC180="Yes",BH180="Yes"),2,IF(AND('Proposed Lighting'!AU180=2,AS180=1,BD180="Yes",BF180="Yes"),2,IF(AND('Proposed Lighting'!AU180=2,AS180=1,BD180="Yes",BH180="Yes"),2,IF(AND('Proposed Lighting'!AU180=3,AS180=1,BC180="Yes",BE180="Yes"),2,IF(AND('Proposed Lighting'!AU180=3,AS180=1,BC180="Yes",BF180="Yes"),2,0)))))))))</f>
        <v>0</v>
      </c>
      <c r="BJ180" s="1025">
        <f t="shared" si="36"/>
        <v>0</v>
      </c>
      <c r="BK180">
        <f>IF(AND('Proposed Lighting'!BC180=22,'Lighting Controls'!N180=1),0,IF(ISNUMBER(SEARCH("LED",G180)),1,0))</f>
        <v>0</v>
      </c>
    </row>
    <row r="181" spans="1:63" ht="34.5" customHeight="1">
      <c r="A181" s="917">
        <v>173</v>
      </c>
      <c r="B181" s="1828" t="str">
        <f>IF('Proposed Lighting'!B181="","",'Proposed Lighting'!B181)</f>
        <v/>
      </c>
      <c r="C181" s="1828"/>
      <c r="D181" s="1828"/>
      <c r="E181" s="1245">
        <f>'Proposed Lighting'!AA181</f>
        <v>0</v>
      </c>
      <c r="F181" s="1245">
        <f t="shared" si="29"/>
        <v>0</v>
      </c>
      <c r="G181" s="1830" t="str">
        <f>IF('Proposed Lighting'!T181="","",IF(ISNUMBER(SEARCH("Networked",'Proposed Lighting'!T181)),0,IF(ISNUMBER(SEARCH("Strategies",'Proposed Lighting'!T181)),0,IF(ISNUMBER(SEARCH("Removal",'Proposed Lighting'!T181)),0,'Proposed Lighting'!T181))))</f>
        <v/>
      </c>
      <c r="H181" s="1830"/>
      <c r="I181" s="1830"/>
      <c r="J181" s="1830"/>
      <c r="K181" s="1215"/>
      <c r="L181" s="1246">
        <f t="shared" si="30"/>
        <v>0</v>
      </c>
      <c r="M181" s="1224">
        <f t="shared" si="31"/>
        <v>0</v>
      </c>
      <c r="N181" s="1224">
        <f t="shared" si="32"/>
        <v>0</v>
      </c>
      <c r="O181" s="1825" t="str">
        <f>IF(G181=0,0,IF(ISNA('Proposed Lighting'!AT181),0,'Proposed Lighting'!AT181))</f>
        <v/>
      </c>
      <c r="P181" s="1825"/>
      <c r="Q181" s="1247"/>
      <c r="R181" s="1247"/>
      <c r="S181" s="1247"/>
      <c r="T181" s="1211"/>
      <c r="U181" s="1235">
        <f>IF(K181&gt;0.01,'Proposed Lighting'!CU181,0)</f>
        <v>0</v>
      </c>
      <c r="V181" s="1248">
        <f>IF('Proposed Lighting'!CF181=1,0,IF('Proposed Lighting'!AU181=2,0,IF(AND('Proposed Lighting'!AU181=3,'Proposed Lighting'!CF181=0),1,0)))</f>
        <v>0</v>
      </c>
      <c r="W181" s="1836"/>
      <c r="X181" s="1836"/>
      <c r="Y181" s="1836"/>
      <c r="Z181" s="1230" t="str">
        <f t="shared" si="26"/>
        <v/>
      </c>
      <c r="AA181" s="1230">
        <f t="shared" si="27"/>
        <v>0</v>
      </c>
      <c r="AB181" s="1230">
        <f>IF(Q181=0,0,IF(T181=0,0,IF(AA181=0,0,IF(AND(F181=3,V181=0),0,IF(T181=0,0,IF(K181&gt;'Proposed Lighting'!AA181,0,IF('Proposed Lighting'!EJ181&gt;0.01,(K181*O181)*'Proposed Lighting'!EJ181/1000,(K181*O181)*U181/1000)))))))</f>
        <v>0</v>
      </c>
      <c r="AC181" s="1230" t="str">
        <f t="shared" si="33"/>
        <v/>
      </c>
      <c r="AD181" s="1230">
        <f t="shared" si="28"/>
        <v>0</v>
      </c>
      <c r="AE181" s="1230">
        <f>IF(T181=0,0,IF(K181&gt;'Proposed Lighting'!AA181,0,IF(T181&gt;K181,0,IF(AND(AD181&gt;AA181,AA181&gt;0),0,IF(AND(F181&gt;1,W181&lt;0.01),0,IF('Proposed Lighting'!AU181&gt;'Lighting Controls'!F181,0,IF('Proposed Lighting'!AU181&lt;'Lighting Controls'!F181,0,IF(U181=0,0,Summary!AC484))))))))</f>
        <v>0</v>
      </c>
      <c r="AF181" s="1230">
        <f>IF(T181=0,0,IF(AE181=0,0,IF(K181&gt;'Proposed Lighting'!AA181,0,IF(AND(AD181&gt;AA181,AA181&gt;0),0,IF(U181=0,0,Summary!AD484)))))</f>
        <v>0</v>
      </c>
      <c r="AG181" s="1834">
        <f>IF('Proposed Lighting'!AU181=1,0,IF('Proposed Lighting'!CF181=1,0,T181*W181))</f>
        <v>0</v>
      </c>
      <c r="AH181" s="1834"/>
      <c r="AI181" s="1834"/>
      <c r="AJ181" s="1835">
        <f>IF(T181&lt;1,0,IF(K181&gt;'Proposed Lighting'!AA181,0,IF('Proposed Lighting'!CF181=1,0,IF('Proposed Lighting'!AU181=1,0,IF(T181&gt;K181,0,IF(AND(AD181&gt;AA181,AA181&gt;0),0,IF(AND(F181=2,'Proposed Lighting'!AU181=3),0,IF(AND(F181=3,'Proposed Lighting'!AU181=2),0,IF('Proposed Lighting'!CH181=100,0,IF(AND(F181&lt;3,V181=1,AM181=0),0,IF(AND(F181&gt;1,AF181&lt;1,AN181&lt;1),0,IF(AND(F181&gt;1,AE181&lt;0.69,AF181&lt;1,AN181&lt;1),0,IF(ISERROR(AB181-AC181),"",AB181-AC181)))))))))))))</f>
        <v>0</v>
      </c>
      <c r="AK181" s="1835"/>
      <c r="AL181" s="1835"/>
      <c r="AM181" s="1216">
        <f>IF(Q181=0,0,IF(T181=0,0,IF(T181&gt;K181,0,IF(AND(AS181&gt;0.01,BK181=0),0,IF(AND('Proposed Lighting'!DG181=0,'Lighting Controls'!Z181=0.35),0,IF(AND(T181&lt;=K181,AA181&gt;=AD181,'Proposed Lighting'!AU181=2),VLOOKUP(Q181,$AY$9:$AZ$15,2,FALSE),IF(AND(T181&lt;=K181,AA181&gt;=AD181,'Proposed Lighting'!AU181=3),VLOOKUP(Q181,$AY$17:$AZ$23,2,FALSE))))))))</f>
        <v>0</v>
      </c>
      <c r="AN181" s="1248">
        <f>IF(T181=0,0,IF(K181&gt;'Proposed Lighting'!AA181,0,IF(AE181=0,0,IF(AND(AD181&gt;AA181,AA181&gt;0),0,IF(U181=0,0,Summary!AE484)))))</f>
        <v>0</v>
      </c>
      <c r="AO181" s="1248">
        <f t="shared" si="37"/>
        <v>0</v>
      </c>
      <c r="AP181" s="1249">
        <f>IF('Proposed Lighting'!AU181=1,0,IF(K181=0,0,IF(T181&gt;K181,0,IF(G181=0,0,IF(K181&gt;'Proposed Lighting'!AA181,0,IF(AND(AD181&gt;AA181,AA181&gt;0),0,IF(AND('Proposed Lighting'!AU181=3,AM181=0.5),0,IF(AND(AM181&gt;0,AS181&gt;0,BI181&lt;2),0,IF('Proposed Lighting'!CH181=100,0,IF(AV181=1,0,IF(AND(AM181=35,M181+N181&lt;2),0,AM181)))))))))))</f>
        <v>0</v>
      </c>
      <c r="AQ181" s="1249" t="str">
        <f>IFERROR(ROUND(IF(Q181="","",IF('Proposed Lighting'!$X$4=0,0,IF(AND(AM181=35,M181+N181&lt;2),0,IF(T181&gt;K181,0,IF('Proposed Lighting'!AU181=1,0,IF(AJ181=0,0,IF(AND('Proposed Lighting'!AU181=3,AM181=0.5),0,IF(AND(AD181=75,AP181=0,AV181=0),0,IF(AP181&gt;0.01,AP181*T181,IF(AND(F181&gt;1,W181&lt;0.01),0,IF(AND(F181&gt;1,AO181=0),0,IF(AND('Proposed Lighting'!BC181=22,AV181=0),0,IF(AND(AM181&gt;0,AS181&gt;0,BI181&lt;2),0,IF(AND(AS181&gt;0.01,BK181=0),0,IF(AND(AO181=TRUE,AV181=1,F181=3),MIN(AJ181*0.08,L181),IF(AP181&gt;0.01,AP181*T181,IF(AND(AO181=TRUE,AV181=1,F181=2),MIN(AJ181*0.1,L181)))))))))))))))))),2),"")</f>
        <v/>
      </c>
      <c r="AR181" s="1250">
        <f>IF(Q181=0,0,IF('Proposed Lighting'!$X$4=0,0,IF(AND(AM181&gt;0.01,AQ181&gt;0.01),0,IF('Proposed Lighting'!AU181=1,"Missing Interior or Exterior Selection",IF('Proposed Lighting'!CF181=1,"Selection does not match",IF(K181&gt;'Proposed Lighting'!AA181,"Quantity controlled does not match proposed lighting quantity",IF(T181&gt;K181,"Quantity of sensors exceeds proposed lighting quantity",IF(AND(F181&gt;1,'Proposed Lighting'!AU181&lt;&gt;F181),"Selection does not match",IF(AND(AD181&gt;AA181,AA181&gt;0),"Does not meet minimum connected load",IF(AND(O181&gt;0,AS181&gt;0,BK181&gt;0,'Proposed Lighting'!CH181=0),"Select Control Strategies",IF(AND(AC181&gt;0.1,AJ181=0,AQ181=0),"Does not meet incentive criteria",0)))))))))))</f>
        <v>0</v>
      </c>
      <c r="AS181" s="1224">
        <f>IF('Proposed Lighting'!CH181=100,0,IF(ISNUMBER(SEARCH("multiple",Q181)),1,0))</f>
        <v>0</v>
      </c>
      <c r="AT181" s="451">
        <f t="shared" si="34"/>
        <v>0</v>
      </c>
      <c r="AU181" s="451">
        <f t="shared" si="35"/>
        <v>0</v>
      </c>
      <c r="AV181" s="1222">
        <f>IF(ISNUMBER(SEARCH("Networked",'Proposed Lighting'!T181)),0,IF(ISNUMBER(SEARCH("Strategies",'Proposed Lighting'!T181)),0,IF(ISNUMBER(SEARCH("Removal",'Proposed Lighting'!T181)),0,IF(ISNUMBER(SEARCH("non-standard",Q181)),1,0))))</f>
        <v>0</v>
      </c>
      <c r="AW181" s="451">
        <f t="shared" si="38"/>
        <v>0</v>
      </c>
      <c r="AX181" s="451"/>
      <c r="AY181" s="451"/>
      <c r="AZ181" s="451"/>
      <c r="BA181" s="451"/>
      <c r="BB181" s="451"/>
      <c r="BC181" s="1215"/>
      <c r="BD181" s="1215"/>
      <c r="BE181" s="1215"/>
      <c r="BF181" s="1215"/>
      <c r="BG181" s="1215"/>
      <c r="BH181" s="1215"/>
      <c r="BI181">
        <f>IF(AND(AS181=1,BC181="No",BD181="Yes",BE181="Yes",BF181="No",BH181="No"),0,IF(AND('Proposed Lighting'!AU181=2,AS181=1,BC181="Yes",BD181="Yes"),2,IF(AND('Proposed Lighting'!AU181=2,AS181=1,BC181="Yes",BE181="Yes"),2,IF(AND('Proposed Lighting'!AU181=2,AS181=1,BC181="Yes",BF181="Yes"),2,IF(AND('Proposed Lighting'!AU181=2,AS181=1,BC181="Yes",BH181="Yes"),2,IF(AND('Proposed Lighting'!AU181=2,AS181=1,BD181="Yes",BF181="Yes"),2,IF(AND('Proposed Lighting'!AU181=2,AS181=1,BD181="Yes",BH181="Yes"),2,IF(AND('Proposed Lighting'!AU181=3,AS181=1,BC181="Yes",BE181="Yes"),2,IF(AND('Proposed Lighting'!AU181=3,AS181=1,BC181="Yes",BF181="Yes"),2,0)))))))))</f>
        <v>0</v>
      </c>
      <c r="BJ181" s="1025">
        <f t="shared" si="36"/>
        <v>0</v>
      </c>
      <c r="BK181">
        <f>IF(AND('Proposed Lighting'!BC181=22,'Lighting Controls'!N181=1),0,IF(ISNUMBER(SEARCH("LED",G181)),1,0))</f>
        <v>0</v>
      </c>
    </row>
    <row r="182" spans="1:63" ht="34.5" customHeight="1">
      <c r="A182" s="917">
        <v>174</v>
      </c>
      <c r="B182" s="1828" t="str">
        <f>IF('Proposed Lighting'!B182="","",'Proposed Lighting'!B182)</f>
        <v/>
      </c>
      <c r="C182" s="1828"/>
      <c r="D182" s="1828"/>
      <c r="E182" s="1245">
        <f>'Proposed Lighting'!AA182</f>
        <v>0</v>
      </c>
      <c r="F182" s="1245">
        <f t="shared" si="29"/>
        <v>0</v>
      </c>
      <c r="G182" s="1830" t="str">
        <f>IF('Proposed Lighting'!T182="","",IF(ISNUMBER(SEARCH("Networked",'Proposed Lighting'!T182)),0,IF(ISNUMBER(SEARCH("Strategies",'Proposed Lighting'!T182)),0,IF(ISNUMBER(SEARCH("Removal",'Proposed Lighting'!T182)),0,'Proposed Lighting'!T182))))</f>
        <v/>
      </c>
      <c r="H182" s="1830"/>
      <c r="I182" s="1830"/>
      <c r="J182" s="1830"/>
      <c r="K182" s="1215"/>
      <c r="L182" s="1246">
        <f t="shared" si="30"/>
        <v>0</v>
      </c>
      <c r="M182" s="1224">
        <f t="shared" si="31"/>
        <v>0</v>
      </c>
      <c r="N182" s="1224">
        <f t="shared" si="32"/>
        <v>0</v>
      </c>
      <c r="O182" s="1825" t="str">
        <f>IF(G182=0,0,IF(ISNA('Proposed Lighting'!AT182),0,'Proposed Lighting'!AT182))</f>
        <v/>
      </c>
      <c r="P182" s="1825"/>
      <c r="Q182" s="1247"/>
      <c r="R182" s="1247"/>
      <c r="S182" s="1247"/>
      <c r="T182" s="1211"/>
      <c r="U182" s="1235">
        <f>IF(K182&gt;0.01,'Proposed Lighting'!CU182,0)</f>
        <v>0</v>
      </c>
      <c r="V182" s="1248">
        <f>IF('Proposed Lighting'!CF182=1,0,IF('Proposed Lighting'!AU182=2,0,IF(AND('Proposed Lighting'!AU182=3,'Proposed Lighting'!CF182=0),1,0)))</f>
        <v>0</v>
      </c>
      <c r="W182" s="1836"/>
      <c r="X182" s="1836"/>
      <c r="Y182" s="1836"/>
      <c r="Z182" s="1230" t="str">
        <f t="shared" si="26"/>
        <v/>
      </c>
      <c r="AA182" s="1230">
        <f t="shared" si="27"/>
        <v>0</v>
      </c>
      <c r="AB182" s="1230">
        <f>IF(Q182=0,0,IF(T182=0,0,IF(AA182=0,0,IF(AND(F182=3,V182=0),0,IF(T182=0,0,IF(K182&gt;'Proposed Lighting'!AA182,0,IF('Proposed Lighting'!EJ182&gt;0.01,(K182*O182)*'Proposed Lighting'!EJ182/1000,(K182*O182)*U182/1000)))))))</f>
        <v>0</v>
      </c>
      <c r="AC182" s="1230" t="str">
        <f t="shared" si="33"/>
        <v/>
      </c>
      <c r="AD182" s="1230">
        <f t="shared" si="28"/>
        <v>0</v>
      </c>
      <c r="AE182" s="1230">
        <f>IF(T182=0,0,IF(K182&gt;'Proposed Lighting'!AA182,0,IF(T182&gt;K182,0,IF(AND(AD182&gt;AA182,AA182&gt;0),0,IF(AND(F182&gt;1,W182&lt;0.01),0,IF('Proposed Lighting'!AU182&gt;'Lighting Controls'!F182,0,IF('Proposed Lighting'!AU182&lt;'Lighting Controls'!F182,0,IF(U182=0,0,Summary!AC485))))))))</f>
        <v>0</v>
      </c>
      <c r="AF182" s="1230">
        <f>IF(T182=0,0,IF(AE182=0,0,IF(K182&gt;'Proposed Lighting'!AA182,0,IF(AND(AD182&gt;AA182,AA182&gt;0),0,IF(U182=0,0,Summary!AD485)))))</f>
        <v>0</v>
      </c>
      <c r="AG182" s="1834">
        <f>IF('Proposed Lighting'!AU182=1,0,IF('Proposed Lighting'!CF182=1,0,T182*W182))</f>
        <v>0</v>
      </c>
      <c r="AH182" s="1834"/>
      <c r="AI182" s="1834"/>
      <c r="AJ182" s="1835">
        <f>IF(T182&lt;1,0,IF(K182&gt;'Proposed Lighting'!AA182,0,IF('Proposed Lighting'!CF182=1,0,IF('Proposed Lighting'!AU182=1,0,IF(T182&gt;K182,0,IF(AND(AD182&gt;AA182,AA182&gt;0),0,IF(AND(F182=2,'Proposed Lighting'!AU182=3),0,IF(AND(F182=3,'Proposed Lighting'!AU182=2),0,IF('Proposed Lighting'!CH182=100,0,IF(AND(F182&lt;3,V182=1,AM182=0),0,IF(AND(F182&gt;1,AF182&lt;1,AN182&lt;1),0,IF(AND(F182&gt;1,AE182&lt;0.69,AF182&lt;1,AN182&lt;1),0,IF(ISERROR(AB182-AC182),"",AB182-AC182)))))))))))))</f>
        <v>0</v>
      </c>
      <c r="AK182" s="1835"/>
      <c r="AL182" s="1835"/>
      <c r="AM182" s="1216">
        <f>IF(Q182=0,0,IF(T182=0,0,IF(T182&gt;K182,0,IF(AND(AS182&gt;0.01,BK182=0),0,IF(AND('Proposed Lighting'!DG182=0,'Lighting Controls'!Z182=0.35),0,IF(AND(T182&lt;=K182,AA182&gt;=AD182,'Proposed Lighting'!AU182=2),VLOOKUP(Q182,$AY$9:$AZ$15,2,FALSE),IF(AND(T182&lt;=K182,AA182&gt;=AD182,'Proposed Lighting'!AU182=3),VLOOKUP(Q182,$AY$17:$AZ$23,2,FALSE))))))))</f>
        <v>0</v>
      </c>
      <c r="AN182" s="1248">
        <f>IF(T182=0,0,IF(K182&gt;'Proposed Lighting'!AA182,0,IF(AE182=0,0,IF(AND(AD182&gt;AA182,AA182&gt;0),0,IF(U182=0,0,Summary!AE485)))))</f>
        <v>0</v>
      </c>
      <c r="AO182" s="1248">
        <f t="shared" si="37"/>
        <v>0</v>
      </c>
      <c r="AP182" s="1249">
        <f>IF('Proposed Lighting'!AU182=1,0,IF(K182=0,0,IF(T182&gt;K182,0,IF(G182=0,0,IF(K182&gt;'Proposed Lighting'!AA182,0,IF(AND(AD182&gt;AA182,AA182&gt;0),0,IF(AND('Proposed Lighting'!AU182=3,AM182=0.5),0,IF(AND(AM182&gt;0,AS182&gt;0,BI182&lt;2),0,IF('Proposed Lighting'!CH182=100,0,IF(AV182=1,0,IF(AND(AM182=35,M182+N182&lt;2),0,AM182)))))))))))</f>
        <v>0</v>
      </c>
      <c r="AQ182" s="1249" t="str">
        <f>IFERROR(ROUND(IF(Q182="","",IF('Proposed Lighting'!$X$4=0,0,IF(AND(AM182=35,M182+N182&lt;2),0,IF(T182&gt;K182,0,IF('Proposed Lighting'!AU182=1,0,IF(AJ182=0,0,IF(AND('Proposed Lighting'!AU182=3,AM182=0.5),0,IF(AND(AD182=75,AP182=0,AV182=0),0,IF(AP182&gt;0.01,AP182*T182,IF(AND(F182&gt;1,W182&lt;0.01),0,IF(AND(F182&gt;1,AO182=0),0,IF(AND('Proposed Lighting'!BC182=22,AV182=0),0,IF(AND(AM182&gt;0,AS182&gt;0,BI182&lt;2),0,IF(AND(AS182&gt;0.01,BK182=0),0,IF(AND(AO182=TRUE,AV182=1,F182=3),MIN(AJ182*0.08,L182),IF(AP182&gt;0.01,AP182*T182,IF(AND(AO182=TRUE,AV182=1,F182=2),MIN(AJ182*0.1,L182)))))))))))))))))),2),"")</f>
        <v/>
      </c>
      <c r="AR182" s="1250">
        <f>IF(Q182=0,0,IF('Proposed Lighting'!$X$4=0,0,IF(AND(AM182&gt;0.01,AQ182&gt;0.01),0,IF('Proposed Lighting'!AU182=1,"Missing Interior or Exterior Selection",IF('Proposed Lighting'!CF182=1,"Selection does not match",IF(K182&gt;'Proposed Lighting'!AA182,"Quantity controlled does not match proposed lighting quantity",IF(T182&gt;K182,"Quantity of sensors exceeds proposed lighting quantity",IF(AND(F182&gt;1,'Proposed Lighting'!AU182&lt;&gt;F182),"Selection does not match",IF(AND(AD182&gt;AA182,AA182&gt;0),"Does not meet minimum connected load",IF(AND(O182&gt;0,AS182&gt;0,BK182&gt;0,'Proposed Lighting'!CH182=0),"Select Control Strategies",IF(AND(AC182&gt;0.1,AJ182=0,AQ182=0),"Does not meet incentive criteria",0)))))))))))</f>
        <v>0</v>
      </c>
      <c r="AS182" s="1224">
        <f>IF('Proposed Lighting'!CH182=100,0,IF(ISNUMBER(SEARCH("multiple",Q182)),1,0))</f>
        <v>0</v>
      </c>
      <c r="AT182" s="451">
        <f t="shared" si="34"/>
        <v>0</v>
      </c>
      <c r="AU182" s="451">
        <f t="shared" si="35"/>
        <v>0</v>
      </c>
      <c r="AV182" s="1222">
        <f>IF(ISNUMBER(SEARCH("Networked",'Proposed Lighting'!T182)),0,IF(ISNUMBER(SEARCH("Strategies",'Proposed Lighting'!T182)),0,IF(ISNUMBER(SEARCH("Removal",'Proposed Lighting'!T182)),0,IF(ISNUMBER(SEARCH("non-standard",Q182)),1,0))))</f>
        <v>0</v>
      </c>
      <c r="AW182" s="451">
        <f t="shared" si="38"/>
        <v>0</v>
      </c>
      <c r="AX182" s="451"/>
      <c r="AY182" s="451"/>
      <c r="AZ182" s="451"/>
      <c r="BA182" s="451"/>
      <c r="BB182" s="451"/>
      <c r="BC182" s="1215"/>
      <c r="BD182" s="1215"/>
      <c r="BE182" s="1215"/>
      <c r="BF182" s="1215"/>
      <c r="BG182" s="1215"/>
      <c r="BH182" s="1215"/>
      <c r="BI182">
        <f>IF(AND(AS182=1,BC182="No",BD182="Yes",BE182="Yes",BF182="No",BH182="No"),0,IF(AND('Proposed Lighting'!AU182=2,AS182=1,BC182="Yes",BD182="Yes"),2,IF(AND('Proposed Lighting'!AU182=2,AS182=1,BC182="Yes",BE182="Yes"),2,IF(AND('Proposed Lighting'!AU182=2,AS182=1,BC182="Yes",BF182="Yes"),2,IF(AND('Proposed Lighting'!AU182=2,AS182=1,BC182="Yes",BH182="Yes"),2,IF(AND('Proposed Lighting'!AU182=2,AS182=1,BD182="Yes",BF182="Yes"),2,IF(AND('Proposed Lighting'!AU182=2,AS182=1,BD182="Yes",BH182="Yes"),2,IF(AND('Proposed Lighting'!AU182=3,AS182=1,BC182="Yes",BE182="Yes"),2,IF(AND('Proposed Lighting'!AU182=3,AS182=1,BC182="Yes",BF182="Yes"),2,0)))))))))</f>
        <v>0</v>
      </c>
      <c r="BJ182" s="1025">
        <f t="shared" si="36"/>
        <v>0</v>
      </c>
      <c r="BK182">
        <f>IF(AND('Proposed Lighting'!BC182=22,'Lighting Controls'!N182=1),0,IF(ISNUMBER(SEARCH("LED",G182)),1,0))</f>
        <v>0</v>
      </c>
    </row>
    <row r="183" spans="1:63" ht="34.5" customHeight="1">
      <c r="A183" s="917">
        <v>175</v>
      </c>
      <c r="B183" s="1828" t="str">
        <f>IF('Proposed Lighting'!B183="","",'Proposed Lighting'!B183)</f>
        <v/>
      </c>
      <c r="C183" s="1828"/>
      <c r="D183" s="1828"/>
      <c r="E183" s="1245">
        <f>'Proposed Lighting'!AA183</f>
        <v>0</v>
      </c>
      <c r="F183" s="1245">
        <f t="shared" si="29"/>
        <v>0</v>
      </c>
      <c r="G183" s="1830" t="str">
        <f>IF('Proposed Lighting'!T183="","",IF(ISNUMBER(SEARCH("Networked",'Proposed Lighting'!T183)),0,IF(ISNUMBER(SEARCH("Strategies",'Proposed Lighting'!T183)),0,IF(ISNUMBER(SEARCH("Removal",'Proposed Lighting'!T183)),0,'Proposed Lighting'!T183))))</f>
        <v/>
      </c>
      <c r="H183" s="1830"/>
      <c r="I183" s="1830"/>
      <c r="J183" s="1830"/>
      <c r="K183" s="1215"/>
      <c r="L183" s="1246">
        <f t="shared" si="30"/>
        <v>0</v>
      </c>
      <c r="M183" s="1224">
        <f t="shared" si="31"/>
        <v>0</v>
      </c>
      <c r="N183" s="1224">
        <f t="shared" si="32"/>
        <v>0</v>
      </c>
      <c r="O183" s="1825" t="str">
        <f>IF(G183=0,0,IF(ISNA('Proposed Lighting'!AT183),0,'Proposed Lighting'!AT183))</f>
        <v/>
      </c>
      <c r="P183" s="1825"/>
      <c r="Q183" s="1247"/>
      <c r="R183" s="1247"/>
      <c r="S183" s="1247"/>
      <c r="T183" s="1211"/>
      <c r="U183" s="1235">
        <f>IF(K183&gt;0.01,'Proposed Lighting'!CU183,0)</f>
        <v>0</v>
      </c>
      <c r="V183" s="1248">
        <f>IF('Proposed Lighting'!CF183=1,0,IF('Proposed Lighting'!AU183=2,0,IF(AND('Proposed Lighting'!AU183=3,'Proposed Lighting'!CF183=0),1,0)))</f>
        <v>0</v>
      </c>
      <c r="W183" s="1836"/>
      <c r="X183" s="1836"/>
      <c r="Y183" s="1836"/>
      <c r="Z183" s="1230" t="str">
        <f t="shared" si="26"/>
        <v/>
      </c>
      <c r="AA183" s="1230">
        <f t="shared" si="27"/>
        <v>0</v>
      </c>
      <c r="AB183" s="1230">
        <f>IF(Q183=0,0,IF(T183=0,0,IF(AA183=0,0,IF(AND(F183=3,V183=0),0,IF(T183=0,0,IF(K183&gt;'Proposed Lighting'!AA183,0,IF('Proposed Lighting'!EJ183&gt;0.01,(K183*O183)*'Proposed Lighting'!EJ183/1000,(K183*O183)*U183/1000)))))))</f>
        <v>0</v>
      </c>
      <c r="AC183" s="1230" t="str">
        <f t="shared" si="33"/>
        <v/>
      </c>
      <c r="AD183" s="1230">
        <f t="shared" si="28"/>
        <v>0</v>
      </c>
      <c r="AE183" s="1230">
        <f>IF(T183=0,0,IF(K183&gt;'Proposed Lighting'!AA183,0,IF(T183&gt;K183,0,IF(AND(AD183&gt;AA183,AA183&gt;0),0,IF(AND(F183&gt;1,W183&lt;0.01),0,IF('Proposed Lighting'!AU183&gt;'Lighting Controls'!F183,0,IF('Proposed Lighting'!AU183&lt;'Lighting Controls'!F183,0,IF(U183=0,0,Summary!AC486))))))))</f>
        <v>0</v>
      </c>
      <c r="AF183" s="1230">
        <f>IF(T183=0,0,IF(AE183=0,0,IF(K183&gt;'Proposed Lighting'!AA183,0,IF(AND(AD183&gt;AA183,AA183&gt;0),0,IF(U183=0,0,Summary!AD486)))))</f>
        <v>0</v>
      </c>
      <c r="AG183" s="1834">
        <f>IF('Proposed Lighting'!AU183=1,0,IF('Proposed Lighting'!CF183=1,0,T183*W183))</f>
        <v>0</v>
      </c>
      <c r="AH183" s="1834"/>
      <c r="AI183" s="1834"/>
      <c r="AJ183" s="1835">
        <f>IF(T183&lt;1,0,IF(K183&gt;'Proposed Lighting'!AA183,0,IF('Proposed Lighting'!CF183=1,0,IF('Proposed Lighting'!AU183=1,0,IF(T183&gt;K183,0,IF(AND(AD183&gt;AA183,AA183&gt;0),0,IF(AND(F183=2,'Proposed Lighting'!AU183=3),0,IF(AND(F183=3,'Proposed Lighting'!AU183=2),0,IF('Proposed Lighting'!CH183=100,0,IF(AND(F183&lt;3,V183=1,AM183=0),0,IF(AND(F183&gt;1,AF183&lt;1,AN183&lt;1),0,IF(AND(F183&gt;1,AE183&lt;0.69,AF183&lt;1,AN183&lt;1),0,IF(ISERROR(AB183-AC183),"",AB183-AC183)))))))))))))</f>
        <v>0</v>
      </c>
      <c r="AK183" s="1835"/>
      <c r="AL183" s="1835"/>
      <c r="AM183" s="1216">
        <f>IF(Q183=0,0,IF(T183=0,0,IF(T183&gt;K183,0,IF(AND(AS183&gt;0.01,BK183=0),0,IF(AND('Proposed Lighting'!DG183=0,'Lighting Controls'!Z183=0.35),0,IF(AND(T183&lt;=K183,AA183&gt;=AD183,'Proposed Lighting'!AU183=2),VLOOKUP(Q183,$AY$9:$AZ$15,2,FALSE),IF(AND(T183&lt;=K183,AA183&gt;=AD183,'Proposed Lighting'!AU183=3),VLOOKUP(Q183,$AY$17:$AZ$23,2,FALSE))))))))</f>
        <v>0</v>
      </c>
      <c r="AN183" s="1248">
        <f>IF(T183=0,0,IF(K183&gt;'Proposed Lighting'!AA183,0,IF(AE183=0,0,IF(AND(AD183&gt;AA183,AA183&gt;0),0,IF(U183=0,0,Summary!AE486)))))</f>
        <v>0</v>
      </c>
      <c r="AO183" s="1248">
        <f t="shared" si="37"/>
        <v>0</v>
      </c>
      <c r="AP183" s="1249">
        <f>IF('Proposed Lighting'!AU183=1,0,IF(K183=0,0,IF(T183&gt;K183,0,IF(G183=0,0,IF(K183&gt;'Proposed Lighting'!AA183,0,IF(AND(AD183&gt;AA183,AA183&gt;0),0,IF(AND('Proposed Lighting'!AU183=3,AM183=0.5),0,IF(AND(AM183&gt;0,AS183&gt;0,BI183&lt;2),0,IF('Proposed Lighting'!CH183=100,0,IF(AV183=1,0,IF(AND(AM183=35,M183+N183&lt;2),0,AM183)))))))))))</f>
        <v>0</v>
      </c>
      <c r="AQ183" s="1249" t="str">
        <f>IFERROR(ROUND(IF(Q183="","",IF('Proposed Lighting'!$X$4=0,0,IF(AND(AM183=35,M183+N183&lt;2),0,IF(T183&gt;K183,0,IF('Proposed Lighting'!AU183=1,0,IF(AJ183=0,0,IF(AND('Proposed Lighting'!AU183=3,AM183=0.5),0,IF(AND(AD183=75,AP183=0,AV183=0),0,IF(AP183&gt;0.01,AP183*T183,IF(AND(F183&gt;1,W183&lt;0.01),0,IF(AND(F183&gt;1,AO183=0),0,IF(AND('Proposed Lighting'!BC183=22,AV183=0),0,IF(AND(AM183&gt;0,AS183&gt;0,BI183&lt;2),0,IF(AND(AS183&gt;0.01,BK183=0),0,IF(AND(AO183=TRUE,AV183=1,F183=3),MIN(AJ183*0.08,L183),IF(AP183&gt;0.01,AP183*T183,IF(AND(AO183=TRUE,AV183=1,F183=2),MIN(AJ183*0.1,L183)))))))))))))))))),2),"")</f>
        <v/>
      </c>
      <c r="AR183" s="1250">
        <f>IF(Q183=0,0,IF('Proposed Lighting'!$X$4=0,0,IF(AND(AM183&gt;0.01,AQ183&gt;0.01),0,IF('Proposed Lighting'!AU183=1,"Missing Interior or Exterior Selection",IF('Proposed Lighting'!CF183=1,"Selection does not match",IF(K183&gt;'Proposed Lighting'!AA183,"Quantity controlled does not match proposed lighting quantity",IF(T183&gt;K183,"Quantity of sensors exceeds proposed lighting quantity",IF(AND(F183&gt;1,'Proposed Lighting'!AU183&lt;&gt;F183),"Selection does not match",IF(AND(AD183&gt;AA183,AA183&gt;0),"Does not meet minimum connected load",IF(AND(O183&gt;0,AS183&gt;0,BK183&gt;0,'Proposed Lighting'!CH183=0),"Select Control Strategies",IF(AND(AC183&gt;0.1,AJ183=0,AQ183=0),"Does not meet incentive criteria",0)))))))))))</f>
        <v>0</v>
      </c>
      <c r="AS183" s="1224">
        <f>IF('Proposed Lighting'!CH183=100,0,IF(ISNUMBER(SEARCH("multiple",Q183)),1,0))</f>
        <v>0</v>
      </c>
      <c r="AT183" s="451">
        <f t="shared" si="34"/>
        <v>0</v>
      </c>
      <c r="AU183" s="451">
        <f t="shared" si="35"/>
        <v>0</v>
      </c>
      <c r="AV183" s="1222">
        <f>IF(ISNUMBER(SEARCH("Networked",'Proposed Lighting'!T183)),0,IF(ISNUMBER(SEARCH("Strategies",'Proposed Lighting'!T183)),0,IF(ISNUMBER(SEARCH("Removal",'Proposed Lighting'!T183)),0,IF(ISNUMBER(SEARCH("non-standard",Q183)),1,0))))</f>
        <v>0</v>
      </c>
      <c r="AW183" s="451">
        <f t="shared" si="38"/>
        <v>0</v>
      </c>
      <c r="AX183" s="451"/>
      <c r="AY183" s="451"/>
      <c r="AZ183" s="451"/>
      <c r="BA183" s="451"/>
      <c r="BB183" s="451"/>
      <c r="BC183" s="1215"/>
      <c r="BD183" s="1215"/>
      <c r="BE183" s="1215"/>
      <c r="BF183" s="1215"/>
      <c r="BG183" s="1215"/>
      <c r="BH183" s="1215"/>
      <c r="BI183">
        <f>IF(AND(AS183=1,BC183="No",BD183="Yes",BE183="Yes",BF183="No",BH183="No"),0,IF(AND('Proposed Lighting'!AU183=2,AS183=1,BC183="Yes",BD183="Yes"),2,IF(AND('Proposed Lighting'!AU183=2,AS183=1,BC183="Yes",BE183="Yes"),2,IF(AND('Proposed Lighting'!AU183=2,AS183=1,BC183="Yes",BF183="Yes"),2,IF(AND('Proposed Lighting'!AU183=2,AS183=1,BC183="Yes",BH183="Yes"),2,IF(AND('Proposed Lighting'!AU183=2,AS183=1,BD183="Yes",BF183="Yes"),2,IF(AND('Proposed Lighting'!AU183=2,AS183=1,BD183="Yes",BH183="Yes"),2,IF(AND('Proposed Lighting'!AU183=3,AS183=1,BC183="Yes",BE183="Yes"),2,IF(AND('Proposed Lighting'!AU183=3,AS183=1,BC183="Yes",BF183="Yes"),2,0)))))))))</f>
        <v>0</v>
      </c>
      <c r="BJ183" s="1025">
        <f t="shared" si="36"/>
        <v>0</v>
      </c>
      <c r="BK183">
        <f>IF(AND('Proposed Lighting'!BC183=22,'Lighting Controls'!N183=1),0,IF(ISNUMBER(SEARCH("LED",G183)),1,0))</f>
        <v>0</v>
      </c>
    </row>
    <row r="184" spans="1:63" ht="34.5" customHeight="1">
      <c r="A184" s="917">
        <v>176</v>
      </c>
      <c r="B184" s="1828" t="str">
        <f>IF('Proposed Lighting'!B184="","",'Proposed Lighting'!B184)</f>
        <v/>
      </c>
      <c r="C184" s="1828"/>
      <c r="D184" s="1828"/>
      <c r="E184" s="1245">
        <f>'Proposed Lighting'!AA184</f>
        <v>0</v>
      </c>
      <c r="F184" s="1245">
        <f t="shared" si="29"/>
        <v>0</v>
      </c>
      <c r="G184" s="1830" t="str">
        <f>IF('Proposed Lighting'!T184="","",IF(ISNUMBER(SEARCH("Networked",'Proposed Lighting'!T184)),0,IF(ISNUMBER(SEARCH("Strategies",'Proposed Lighting'!T184)),0,IF(ISNUMBER(SEARCH("Removal",'Proposed Lighting'!T184)),0,'Proposed Lighting'!T184))))</f>
        <v/>
      </c>
      <c r="H184" s="1830"/>
      <c r="I184" s="1830"/>
      <c r="J184" s="1830"/>
      <c r="K184" s="1215"/>
      <c r="L184" s="1246">
        <f t="shared" si="30"/>
        <v>0</v>
      </c>
      <c r="M184" s="1224">
        <f t="shared" si="31"/>
        <v>0</v>
      </c>
      <c r="N184" s="1224">
        <f t="shared" si="32"/>
        <v>0</v>
      </c>
      <c r="O184" s="1825" t="str">
        <f>IF(G184=0,0,IF(ISNA('Proposed Lighting'!AT184),0,'Proposed Lighting'!AT184))</f>
        <v/>
      </c>
      <c r="P184" s="1825"/>
      <c r="Q184" s="1247"/>
      <c r="R184" s="1247"/>
      <c r="S184" s="1247"/>
      <c r="T184" s="1211"/>
      <c r="U184" s="1235">
        <f>IF(K184&gt;0.01,'Proposed Lighting'!CU184,0)</f>
        <v>0</v>
      </c>
      <c r="V184" s="1248">
        <f>IF('Proposed Lighting'!CF184=1,0,IF('Proposed Lighting'!AU184=2,0,IF(AND('Proposed Lighting'!AU184=3,'Proposed Lighting'!CF184=0),1,0)))</f>
        <v>0</v>
      </c>
      <c r="W184" s="1836"/>
      <c r="X184" s="1836"/>
      <c r="Y184" s="1836"/>
      <c r="Z184" s="1230" t="str">
        <f t="shared" si="26"/>
        <v/>
      </c>
      <c r="AA184" s="1230">
        <f t="shared" si="27"/>
        <v>0</v>
      </c>
      <c r="AB184" s="1230">
        <f>IF(Q184=0,0,IF(T184=0,0,IF(AA184=0,0,IF(AND(F184=3,V184=0),0,IF(T184=0,0,IF(K184&gt;'Proposed Lighting'!AA184,0,IF('Proposed Lighting'!EJ184&gt;0.01,(K184*O184)*'Proposed Lighting'!EJ184/1000,(K184*O184)*U184/1000)))))))</f>
        <v>0</v>
      </c>
      <c r="AC184" s="1230" t="str">
        <f t="shared" si="33"/>
        <v/>
      </c>
      <c r="AD184" s="1230">
        <f t="shared" si="28"/>
        <v>0</v>
      </c>
      <c r="AE184" s="1230">
        <f>IF(T184=0,0,IF(K184&gt;'Proposed Lighting'!AA184,0,IF(T184&gt;K184,0,IF(AND(AD184&gt;AA184,AA184&gt;0),0,IF(AND(F184&gt;1,W184&lt;0.01),0,IF('Proposed Lighting'!AU184&gt;'Lighting Controls'!F184,0,IF('Proposed Lighting'!AU184&lt;'Lighting Controls'!F184,0,IF(U184=0,0,Summary!AC487))))))))</f>
        <v>0</v>
      </c>
      <c r="AF184" s="1230">
        <f>IF(T184=0,0,IF(AE184=0,0,IF(K184&gt;'Proposed Lighting'!AA184,0,IF(AND(AD184&gt;AA184,AA184&gt;0),0,IF(U184=0,0,Summary!AD487)))))</f>
        <v>0</v>
      </c>
      <c r="AG184" s="1834">
        <f>IF('Proposed Lighting'!AU184=1,0,IF('Proposed Lighting'!CF184=1,0,T184*W184))</f>
        <v>0</v>
      </c>
      <c r="AH184" s="1834"/>
      <c r="AI184" s="1834"/>
      <c r="AJ184" s="1835">
        <f>IF(T184&lt;1,0,IF(K184&gt;'Proposed Lighting'!AA184,0,IF('Proposed Lighting'!CF184=1,0,IF('Proposed Lighting'!AU184=1,0,IF(T184&gt;K184,0,IF(AND(AD184&gt;AA184,AA184&gt;0),0,IF(AND(F184=2,'Proposed Lighting'!AU184=3),0,IF(AND(F184=3,'Proposed Lighting'!AU184=2),0,IF('Proposed Lighting'!CH184=100,0,IF(AND(F184&lt;3,V184=1,AM184=0),0,IF(AND(F184&gt;1,AF184&lt;1,AN184&lt;1),0,IF(AND(F184&gt;1,AE184&lt;0.69,AF184&lt;1,AN184&lt;1),0,IF(ISERROR(AB184-AC184),"",AB184-AC184)))))))))))))</f>
        <v>0</v>
      </c>
      <c r="AK184" s="1835"/>
      <c r="AL184" s="1835"/>
      <c r="AM184" s="1216">
        <f>IF(Q184=0,0,IF(T184=0,0,IF(T184&gt;K184,0,IF(AND(AS184&gt;0.01,BK184=0),0,IF(AND('Proposed Lighting'!DG184=0,'Lighting Controls'!Z184=0.35),0,IF(AND(T184&lt;=K184,AA184&gt;=AD184,'Proposed Lighting'!AU184=2),VLOOKUP(Q184,$AY$9:$AZ$15,2,FALSE),IF(AND(T184&lt;=K184,AA184&gt;=AD184,'Proposed Lighting'!AU184=3),VLOOKUP(Q184,$AY$17:$AZ$23,2,FALSE))))))))</f>
        <v>0</v>
      </c>
      <c r="AN184" s="1248">
        <f>IF(T184=0,0,IF(K184&gt;'Proposed Lighting'!AA184,0,IF(AE184=0,0,IF(AND(AD184&gt;AA184,AA184&gt;0),0,IF(U184=0,0,Summary!AE487)))))</f>
        <v>0</v>
      </c>
      <c r="AO184" s="1248">
        <f t="shared" si="37"/>
        <v>0</v>
      </c>
      <c r="AP184" s="1249">
        <f>IF('Proposed Lighting'!AU184=1,0,IF(K184=0,0,IF(T184&gt;K184,0,IF(G184=0,0,IF(K184&gt;'Proposed Lighting'!AA184,0,IF(AND(AD184&gt;AA184,AA184&gt;0),0,IF(AND('Proposed Lighting'!AU184=3,AM184=0.5),0,IF(AND(AM184&gt;0,AS184&gt;0,BI184&lt;2),0,IF('Proposed Lighting'!CH184=100,0,IF(AV184=1,0,IF(AND(AM184=35,M184+N184&lt;2),0,AM184)))))))))))</f>
        <v>0</v>
      </c>
      <c r="AQ184" s="1249" t="str">
        <f>IFERROR(ROUND(IF(Q184="","",IF('Proposed Lighting'!$X$4=0,0,IF(AND(AM184=35,M184+N184&lt;2),0,IF(T184&gt;K184,0,IF('Proposed Lighting'!AU184=1,0,IF(AJ184=0,0,IF(AND('Proposed Lighting'!AU184=3,AM184=0.5),0,IF(AND(AD184=75,AP184=0,AV184=0),0,IF(AP184&gt;0.01,AP184*T184,IF(AND(F184&gt;1,W184&lt;0.01),0,IF(AND(F184&gt;1,AO184=0),0,IF(AND('Proposed Lighting'!BC184=22,AV184=0),0,IF(AND(AM184&gt;0,AS184&gt;0,BI184&lt;2),0,IF(AND(AS184&gt;0.01,BK184=0),0,IF(AND(AO184=TRUE,AV184=1,F184=3),MIN(AJ184*0.08,L184),IF(AP184&gt;0.01,AP184*T184,IF(AND(AO184=TRUE,AV184=1,F184=2),MIN(AJ184*0.1,L184)))))))))))))))))),2),"")</f>
        <v/>
      </c>
      <c r="AR184" s="1250">
        <f>IF(Q184=0,0,IF('Proposed Lighting'!$X$4=0,0,IF(AND(AM184&gt;0.01,AQ184&gt;0.01),0,IF('Proposed Lighting'!AU184=1,"Missing Interior or Exterior Selection",IF('Proposed Lighting'!CF184=1,"Selection does not match",IF(K184&gt;'Proposed Lighting'!AA184,"Quantity controlled does not match proposed lighting quantity",IF(T184&gt;K184,"Quantity of sensors exceeds proposed lighting quantity",IF(AND(F184&gt;1,'Proposed Lighting'!AU184&lt;&gt;F184),"Selection does not match",IF(AND(AD184&gt;AA184,AA184&gt;0),"Does not meet minimum connected load",IF(AND(O184&gt;0,AS184&gt;0,BK184&gt;0,'Proposed Lighting'!CH184=0),"Select Control Strategies",IF(AND(AC184&gt;0.1,AJ184=0,AQ184=0),"Does not meet incentive criteria",0)))))))))))</f>
        <v>0</v>
      </c>
      <c r="AS184" s="1224">
        <f>IF('Proposed Lighting'!CH184=100,0,IF(ISNUMBER(SEARCH("multiple",Q184)),1,0))</f>
        <v>0</v>
      </c>
      <c r="AT184" s="451">
        <f t="shared" si="34"/>
        <v>0</v>
      </c>
      <c r="AU184" s="451">
        <f t="shared" si="35"/>
        <v>0</v>
      </c>
      <c r="AV184" s="1222">
        <f>IF(ISNUMBER(SEARCH("Networked",'Proposed Lighting'!T184)),0,IF(ISNUMBER(SEARCH("Strategies",'Proposed Lighting'!T184)),0,IF(ISNUMBER(SEARCH("Removal",'Proposed Lighting'!T184)),0,IF(ISNUMBER(SEARCH("non-standard",Q184)),1,0))))</f>
        <v>0</v>
      </c>
      <c r="AW184" s="451">
        <f t="shared" si="38"/>
        <v>0</v>
      </c>
      <c r="AX184" s="451"/>
      <c r="AY184" s="451"/>
      <c r="AZ184" s="451"/>
      <c r="BA184" s="451"/>
      <c r="BB184" s="451"/>
      <c r="BC184" s="1215"/>
      <c r="BD184" s="1215"/>
      <c r="BE184" s="1215"/>
      <c r="BF184" s="1215"/>
      <c r="BG184" s="1215"/>
      <c r="BH184" s="1215"/>
      <c r="BI184">
        <f>IF(AND(AS184=1,BC184="No",BD184="Yes",BE184="Yes",BF184="No",BH184="No"),0,IF(AND('Proposed Lighting'!AU184=2,AS184=1,BC184="Yes",BD184="Yes"),2,IF(AND('Proposed Lighting'!AU184=2,AS184=1,BC184="Yes",BE184="Yes"),2,IF(AND('Proposed Lighting'!AU184=2,AS184=1,BC184="Yes",BF184="Yes"),2,IF(AND('Proposed Lighting'!AU184=2,AS184=1,BC184="Yes",BH184="Yes"),2,IF(AND('Proposed Lighting'!AU184=2,AS184=1,BD184="Yes",BF184="Yes"),2,IF(AND('Proposed Lighting'!AU184=2,AS184=1,BD184="Yes",BH184="Yes"),2,IF(AND('Proposed Lighting'!AU184=3,AS184=1,BC184="Yes",BE184="Yes"),2,IF(AND('Proposed Lighting'!AU184=3,AS184=1,BC184="Yes",BF184="Yes"),2,0)))))))))</f>
        <v>0</v>
      </c>
      <c r="BJ184" s="1025">
        <f t="shared" si="36"/>
        <v>0</v>
      </c>
      <c r="BK184">
        <f>IF(AND('Proposed Lighting'!BC184=22,'Lighting Controls'!N184=1),0,IF(ISNUMBER(SEARCH("LED",G184)),1,0))</f>
        <v>0</v>
      </c>
    </row>
    <row r="185" spans="1:63" ht="34.5" customHeight="1">
      <c r="A185" s="917">
        <v>177</v>
      </c>
      <c r="B185" s="1828" t="str">
        <f>IF('Proposed Lighting'!B185="","",'Proposed Lighting'!B185)</f>
        <v/>
      </c>
      <c r="C185" s="1828"/>
      <c r="D185" s="1828"/>
      <c r="E185" s="1245">
        <f>'Proposed Lighting'!AA185</f>
        <v>0</v>
      </c>
      <c r="F185" s="1245">
        <f t="shared" si="29"/>
        <v>0</v>
      </c>
      <c r="G185" s="1830" t="str">
        <f>IF('Proposed Lighting'!T185="","",IF(ISNUMBER(SEARCH("Networked",'Proposed Lighting'!T185)),0,IF(ISNUMBER(SEARCH("Strategies",'Proposed Lighting'!T185)),0,IF(ISNUMBER(SEARCH("Removal",'Proposed Lighting'!T185)),0,'Proposed Lighting'!T185))))</f>
        <v/>
      </c>
      <c r="H185" s="1830"/>
      <c r="I185" s="1830"/>
      <c r="J185" s="1830"/>
      <c r="K185" s="1215"/>
      <c r="L185" s="1246">
        <f t="shared" si="30"/>
        <v>0</v>
      </c>
      <c r="M185" s="1224">
        <f t="shared" si="31"/>
        <v>0</v>
      </c>
      <c r="N185" s="1224">
        <f t="shared" si="32"/>
        <v>0</v>
      </c>
      <c r="O185" s="1825" t="str">
        <f>IF(G185=0,0,IF(ISNA('Proposed Lighting'!AT185),0,'Proposed Lighting'!AT185))</f>
        <v/>
      </c>
      <c r="P185" s="1825"/>
      <c r="Q185" s="1247"/>
      <c r="R185" s="1247"/>
      <c r="S185" s="1247"/>
      <c r="T185" s="1211"/>
      <c r="U185" s="1235">
        <f>IF(K185&gt;0.01,'Proposed Lighting'!CU185,0)</f>
        <v>0</v>
      </c>
      <c r="V185" s="1248">
        <f>IF('Proposed Lighting'!CF185=1,0,IF('Proposed Lighting'!AU185=2,0,IF(AND('Proposed Lighting'!AU185=3,'Proposed Lighting'!CF185=0),1,0)))</f>
        <v>0</v>
      </c>
      <c r="W185" s="1836"/>
      <c r="X185" s="1836"/>
      <c r="Y185" s="1836"/>
      <c r="Z185" s="1230" t="str">
        <f t="shared" si="26"/>
        <v/>
      </c>
      <c r="AA185" s="1230">
        <f t="shared" si="27"/>
        <v>0</v>
      </c>
      <c r="AB185" s="1230">
        <f>IF(Q185=0,0,IF(T185=0,0,IF(AA185=0,0,IF(AND(F185=3,V185=0),0,IF(T185=0,0,IF(K185&gt;'Proposed Lighting'!AA185,0,IF('Proposed Lighting'!EJ185&gt;0.01,(K185*O185)*'Proposed Lighting'!EJ185/1000,(K185*O185)*U185/1000)))))))</f>
        <v>0</v>
      </c>
      <c r="AC185" s="1230" t="str">
        <f t="shared" si="33"/>
        <v/>
      </c>
      <c r="AD185" s="1230">
        <f t="shared" si="28"/>
        <v>0</v>
      </c>
      <c r="AE185" s="1230">
        <f>IF(T185=0,0,IF(K185&gt;'Proposed Lighting'!AA185,0,IF(T185&gt;K185,0,IF(AND(AD185&gt;AA185,AA185&gt;0),0,IF(AND(F185&gt;1,W185&lt;0.01),0,IF('Proposed Lighting'!AU185&gt;'Lighting Controls'!F185,0,IF('Proposed Lighting'!AU185&lt;'Lighting Controls'!F185,0,IF(U185=0,0,Summary!AC488))))))))</f>
        <v>0</v>
      </c>
      <c r="AF185" s="1230">
        <f>IF(T185=0,0,IF(AE185=0,0,IF(K185&gt;'Proposed Lighting'!AA185,0,IF(AND(AD185&gt;AA185,AA185&gt;0),0,IF(U185=0,0,Summary!AD488)))))</f>
        <v>0</v>
      </c>
      <c r="AG185" s="1834">
        <f>IF('Proposed Lighting'!AU185=1,0,IF('Proposed Lighting'!CF185=1,0,T185*W185))</f>
        <v>0</v>
      </c>
      <c r="AH185" s="1834"/>
      <c r="AI185" s="1834"/>
      <c r="AJ185" s="1835">
        <f>IF(T185&lt;1,0,IF(K185&gt;'Proposed Lighting'!AA185,0,IF('Proposed Lighting'!CF185=1,0,IF('Proposed Lighting'!AU185=1,0,IF(T185&gt;K185,0,IF(AND(AD185&gt;AA185,AA185&gt;0),0,IF(AND(F185=2,'Proposed Lighting'!AU185=3),0,IF(AND(F185=3,'Proposed Lighting'!AU185=2),0,IF('Proposed Lighting'!CH185=100,0,IF(AND(F185&lt;3,V185=1,AM185=0),0,IF(AND(F185&gt;1,AF185&lt;1,AN185&lt;1),0,IF(AND(F185&gt;1,AE185&lt;0.69,AF185&lt;1,AN185&lt;1),0,IF(ISERROR(AB185-AC185),"",AB185-AC185)))))))))))))</f>
        <v>0</v>
      </c>
      <c r="AK185" s="1835"/>
      <c r="AL185" s="1835"/>
      <c r="AM185" s="1216">
        <f>IF(Q185=0,0,IF(T185=0,0,IF(T185&gt;K185,0,IF(AND(AS185&gt;0.01,BK185=0),0,IF(AND('Proposed Lighting'!DG185=0,'Lighting Controls'!Z185=0.35),0,IF(AND(T185&lt;=K185,AA185&gt;=AD185,'Proposed Lighting'!AU185=2),VLOOKUP(Q185,$AY$9:$AZ$15,2,FALSE),IF(AND(T185&lt;=K185,AA185&gt;=AD185,'Proposed Lighting'!AU185=3),VLOOKUP(Q185,$AY$17:$AZ$23,2,FALSE))))))))</f>
        <v>0</v>
      </c>
      <c r="AN185" s="1248">
        <f>IF(T185=0,0,IF(K185&gt;'Proposed Lighting'!AA185,0,IF(AE185=0,0,IF(AND(AD185&gt;AA185,AA185&gt;0),0,IF(U185=0,0,Summary!AE488)))))</f>
        <v>0</v>
      </c>
      <c r="AO185" s="1248">
        <f t="shared" si="37"/>
        <v>0</v>
      </c>
      <c r="AP185" s="1249">
        <f>IF('Proposed Lighting'!AU185=1,0,IF(K185=0,0,IF(T185&gt;K185,0,IF(G185=0,0,IF(K185&gt;'Proposed Lighting'!AA185,0,IF(AND(AD185&gt;AA185,AA185&gt;0),0,IF(AND('Proposed Lighting'!AU185=3,AM185=0.5),0,IF(AND(AM185&gt;0,AS185&gt;0,BI185&lt;2),0,IF('Proposed Lighting'!CH185=100,0,IF(AV185=1,0,IF(AND(AM185=35,M185+N185&lt;2),0,AM185)))))))))))</f>
        <v>0</v>
      </c>
      <c r="AQ185" s="1249" t="str">
        <f>IFERROR(ROUND(IF(Q185="","",IF('Proposed Lighting'!$X$4=0,0,IF(AND(AM185=35,M185+N185&lt;2),0,IF(T185&gt;K185,0,IF('Proposed Lighting'!AU185=1,0,IF(AJ185=0,0,IF(AND('Proposed Lighting'!AU185=3,AM185=0.5),0,IF(AND(AD185=75,AP185=0,AV185=0),0,IF(AP185&gt;0.01,AP185*T185,IF(AND(F185&gt;1,W185&lt;0.01),0,IF(AND(F185&gt;1,AO185=0),0,IF(AND('Proposed Lighting'!BC185=22,AV185=0),0,IF(AND(AM185&gt;0,AS185&gt;0,BI185&lt;2),0,IF(AND(AS185&gt;0.01,BK185=0),0,IF(AND(AO185=TRUE,AV185=1,F185=3),MIN(AJ185*0.08,L185),IF(AP185&gt;0.01,AP185*T185,IF(AND(AO185=TRUE,AV185=1,F185=2),MIN(AJ185*0.1,L185)))))))))))))))))),2),"")</f>
        <v/>
      </c>
      <c r="AR185" s="1250">
        <f>IF(Q185=0,0,IF('Proposed Lighting'!$X$4=0,0,IF(AND(AM185&gt;0.01,AQ185&gt;0.01),0,IF('Proposed Lighting'!AU185=1,"Missing Interior or Exterior Selection",IF('Proposed Lighting'!CF185=1,"Selection does not match",IF(K185&gt;'Proposed Lighting'!AA185,"Quantity controlled does not match proposed lighting quantity",IF(T185&gt;K185,"Quantity of sensors exceeds proposed lighting quantity",IF(AND(F185&gt;1,'Proposed Lighting'!AU185&lt;&gt;F185),"Selection does not match",IF(AND(AD185&gt;AA185,AA185&gt;0),"Does not meet minimum connected load",IF(AND(O185&gt;0,AS185&gt;0,BK185&gt;0,'Proposed Lighting'!CH185=0),"Select Control Strategies",IF(AND(AC185&gt;0.1,AJ185=0,AQ185=0),"Does not meet incentive criteria",0)))))))))))</f>
        <v>0</v>
      </c>
      <c r="AS185" s="1224">
        <f>IF('Proposed Lighting'!CH185=100,0,IF(ISNUMBER(SEARCH("multiple",Q185)),1,0))</f>
        <v>0</v>
      </c>
      <c r="AT185" s="451">
        <f t="shared" si="34"/>
        <v>0</v>
      </c>
      <c r="AU185" s="451">
        <f t="shared" si="35"/>
        <v>0</v>
      </c>
      <c r="AV185" s="1222">
        <f>IF(ISNUMBER(SEARCH("Networked",'Proposed Lighting'!T185)),0,IF(ISNUMBER(SEARCH("Strategies",'Proposed Lighting'!T185)),0,IF(ISNUMBER(SEARCH("Removal",'Proposed Lighting'!T185)),0,IF(ISNUMBER(SEARCH("non-standard",Q185)),1,0))))</f>
        <v>0</v>
      </c>
      <c r="AW185" s="451">
        <f t="shared" si="38"/>
        <v>0</v>
      </c>
      <c r="AX185" s="451"/>
      <c r="AY185" s="451"/>
      <c r="AZ185" s="451"/>
      <c r="BA185" s="451"/>
      <c r="BB185" s="451"/>
      <c r="BC185" s="1215"/>
      <c r="BD185" s="1215"/>
      <c r="BE185" s="1215"/>
      <c r="BF185" s="1215"/>
      <c r="BG185" s="1215"/>
      <c r="BH185" s="1215"/>
      <c r="BI185">
        <f>IF(AND(AS185=1,BC185="No",BD185="Yes",BE185="Yes",BF185="No",BH185="No"),0,IF(AND('Proposed Lighting'!AU185=2,AS185=1,BC185="Yes",BD185="Yes"),2,IF(AND('Proposed Lighting'!AU185=2,AS185=1,BC185="Yes",BE185="Yes"),2,IF(AND('Proposed Lighting'!AU185=2,AS185=1,BC185="Yes",BF185="Yes"),2,IF(AND('Proposed Lighting'!AU185=2,AS185=1,BC185="Yes",BH185="Yes"),2,IF(AND('Proposed Lighting'!AU185=2,AS185=1,BD185="Yes",BF185="Yes"),2,IF(AND('Proposed Lighting'!AU185=2,AS185=1,BD185="Yes",BH185="Yes"),2,IF(AND('Proposed Lighting'!AU185=3,AS185=1,BC185="Yes",BE185="Yes"),2,IF(AND('Proposed Lighting'!AU185=3,AS185=1,BC185="Yes",BF185="Yes"),2,0)))))))))</f>
        <v>0</v>
      </c>
      <c r="BJ185" s="1025">
        <f t="shared" si="36"/>
        <v>0</v>
      </c>
      <c r="BK185">
        <f>IF(AND('Proposed Lighting'!BC185=22,'Lighting Controls'!N185=1),0,IF(ISNUMBER(SEARCH("LED",G185)),1,0))</f>
        <v>0</v>
      </c>
    </row>
    <row r="186" spans="1:63" ht="34.5" customHeight="1">
      <c r="A186" s="917">
        <v>178</v>
      </c>
      <c r="B186" s="1828" t="str">
        <f>IF('Proposed Lighting'!B186="","",'Proposed Lighting'!B186)</f>
        <v/>
      </c>
      <c r="C186" s="1828"/>
      <c r="D186" s="1828"/>
      <c r="E186" s="1245">
        <f>'Proposed Lighting'!AA186</f>
        <v>0</v>
      </c>
      <c r="F186" s="1245">
        <f t="shared" si="29"/>
        <v>0</v>
      </c>
      <c r="G186" s="1830" t="str">
        <f>IF('Proposed Lighting'!T186="","",IF(ISNUMBER(SEARCH("Networked",'Proposed Lighting'!T186)),0,IF(ISNUMBER(SEARCH("Strategies",'Proposed Lighting'!T186)),0,IF(ISNUMBER(SEARCH("Removal",'Proposed Lighting'!T186)),0,'Proposed Lighting'!T186))))</f>
        <v/>
      </c>
      <c r="H186" s="1830"/>
      <c r="I186" s="1830"/>
      <c r="J186" s="1830"/>
      <c r="K186" s="1215"/>
      <c r="L186" s="1246">
        <f t="shared" si="30"/>
        <v>0</v>
      </c>
      <c r="M186" s="1224">
        <f t="shared" si="31"/>
        <v>0</v>
      </c>
      <c r="N186" s="1224">
        <f t="shared" si="32"/>
        <v>0</v>
      </c>
      <c r="O186" s="1825" t="str">
        <f>IF(G186=0,0,IF(ISNA('Proposed Lighting'!AT186),0,'Proposed Lighting'!AT186))</f>
        <v/>
      </c>
      <c r="P186" s="1825"/>
      <c r="Q186" s="1247"/>
      <c r="R186" s="1247"/>
      <c r="S186" s="1247"/>
      <c r="T186" s="1211"/>
      <c r="U186" s="1235">
        <f>IF(K186&gt;0.01,'Proposed Lighting'!CU186,0)</f>
        <v>0</v>
      </c>
      <c r="V186" s="1248">
        <f>IF('Proposed Lighting'!CF186=1,0,IF('Proposed Lighting'!AU186=2,0,IF(AND('Proposed Lighting'!AU186=3,'Proposed Lighting'!CF186=0),1,0)))</f>
        <v>0</v>
      </c>
      <c r="W186" s="1836"/>
      <c r="X186" s="1836"/>
      <c r="Y186" s="1836"/>
      <c r="Z186" s="1230" t="str">
        <f t="shared" si="26"/>
        <v/>
      </c>
      <c r="AA186" s="1230">
        <f t="shared" si="27"/>
        <v>0</v>
      </c>
      <c r="AB186" s="1230">
        <f>IF(Q186=0,0,IF(T186=0,0,IF(AA186=0,0,IF(AND(F186=3,V186=0),0,IF(T186=0,0,IF(K186&gt;'Proposed Lighting'!AA186,0,IF('Proposed Lighting'!EJ186&gt;0.01,(K186*O186)*'Proposed Lighting'!EJ186/1000,(K186*O186)*U186/1000)))))))</f>
        <v>0</v>
      </c>
      <c r="AC186" s="1230" t="str">
        <f t="shared" si="33"/>
        <v/>
      </c>
      <c r="AD186" s="1230">
        <f t="shared" si="28"/>
        <v>0</v>
      </c>
      <c r="AE186" s="1230">
        <f>IF(T186=0,0,IF(K186&gt;'Proposed Lighting'!AA186,0,IF(T186&gt;K186,0,IF(AND(AD186&gt;AA186,AA186&gt;0),0,IF(AND(F186&gt;1,W186&lt;0.01),0,IF('Proposed Lighting'!AU186&gt;'Lighting Controls'!F186,0,IF('Proposed Lighting'!AU186&lt;'Lighting Controls'!F186,0,IF(U186=0,0,Summary!AC489))))))))</f>
        <v>0</v>
      </c>
      <c r="AF186" s="1230">
        <f>IF(T186=0,0,IF(AE186=0,0,IF(K186&gt;'Proposed Lighting'!AA186,0,IF(AND(AD186&gt;AA186,AA186&gt;0),0,IF(U186=0,0,Summary!AD489)))))</f>
        <v>0</v>
      </c>
      <c r="AG186" s="1834">
        <f>IF('Proposed Lighting'!AU186=1,0,IF('Proposed Lighting'!CF186=1,0,T186*W186))</f>
        <v>0</v>
      </c>
      <c r="AH186" s="1834"/>
      <c r="AI186" s="1834"/>
      <c r="AJ186" s="1835">
        <f>IF(T186&lt;1,0,IF(K186&gt;'Proposed Lighting'!AA186,0,IF('Proposed Lighting'!CF186=1,0,IF('Proposed Lighting'!AU186=1,0,IF(T186&gt;K186,0,IF(AND(AD186&gt;AA186,AA186&gt;0),0,IF(AND(F186=2,'Proposed Lighting'!AU186=3),0,IF(AND(F186=3,'Proposed Lighting'!AU186=2),0,IF('Proposed Lighting'!CH186=100,0,IF(AND(F186&lt;3,V186=1,AM186=0),0,IF(AND(F186&gt;1,AF186&lt;1,AN186&lt;1),0,IF(AND(F186&gt;1,AE186&lt;0.69,AF186&lt;1,AN186&lt;1),0,IF(ISERROR(AB186-AC186),"",AB186-AC186)))))))))))))</f>
        <v>0</v>
      </c>
      <c r="AK186" s="1835"/>
      <c r="AL186" s="1835"/>
      <c r="AM186" s="1216">
        <f>IF(Q186=0,0,IF(T186=0,0,IF(T186&gt;K186,0,IF(AND(AS186&gt;0.01,BK186=0),0,IF(AND('Proposed Lighting'!DG186=0,'Lighting Controls'!Z186=0.35),0,IF(AND(T186&lt;=K186,AA186&gt;=AD186,'Proposed Lighting'!AU186=2),VLOOKUP(Q186,$AY$9:$AZ$15,2,FALSE),IF(AND(T186&lt;=K186,AA186&gt;=AD186,'Proposed Lighting'!AU186=3),VLOOKUP(Q186,$AY$17:$AZ$23,2,FALSE))))))))</f>
        <v>0</v>
      </c>
      <c r="AN186" s="1248">
        <f>IF(T186=0,0,IF(K186&gt;'Proposed Lighting'!AA186,0,IF(AE186=0,0,IF(AND(AD186&gt;AA186,AA186&gt;0),0,IF(U186=0,0,Summary!AE489)))))</f>
        <v>0</v>
      </c>
      <c r="AO186" s="1248">
        <f t="shared" si="37"/>
        <v>0</v>
      </c>
      <c r="AP186" s="1249">
        <f>IF('Proposed Lighting'!AU186=1,0,IF(K186=0,0,IF(T186&gt;K186,0,IF(G186=0,0,IF(K186&gt;'Proposed Lighting'!AA186,0,IF(AND(AD186&gt;AA186,AA186&gt;0),0,IF(AND('Proposed Lighting'!AU186=3,AM186=0.5),0,IF(AND(AM186&gt;0,AS186&gt;0,BI186&lt;2),0,IF('Proposed Lighting'!CH186=100,0,IF(AV186=1,0,IF(AND(AM186=35,M186+N186&lt;2),0,AM186)))))))))))</f>
        <v>0</v>
      </c>
      <c r="AQ186" s="1249" t="str">
        <f>IFERROR(ROUND(IF(Q186="","",IF('Proposed Lighting'!$X$4=0,0,IF(AND(AM186=35,M186+N186&lt;2),0,IF(T186&gt;K186,0,IF('Proposed Lighting'!AU186=1,0,IF(AJ186=0,0,IF(AND('Proposed Lighting'!AU186=3,AM186=0.5),0,IF(AND(AD186=75,AP186=0,AV186=0),0,IF(AP186&gt;0.01,AP186*T186,IF(AND(F186&gt;1,W186&lt;0.01),0,IF(AND(F186&gt;1,AO186=0),0,IF(AND('Proposed Lighting'!BC186=22,AV186=0),0,IF(AND(AM186&gt;0,AS186&gt;0,BI186&lt;2),0,IF(AND(AS186&gt;0.01,BK186=0),0,IF(AND(AO186=TRUE,AV186=1,F186=3),MIN(AJ186*0.08,L186),IF(AP186&gt;0.01,AP186*T186,IF(AND(AO186=TRUE,AV186=1,F186=2),MIN(AJ186*0.1,L186)))))))))))))))))),2),"")</f>
        <v/>
      </c>
      <c r="AR186" s="1250">
        <f>IF(Q186=0,0,IF('Proposed Lighting'!$X$4=0,0,IF(AND(AM186&gt;0.01,AQ186&gt;0.01),0,IF('Proposed Lighting'!AU186=1,"Missing Interior or Exterior Selection",IF('Proposed Lighting'!CF186=1,"Selection does not match",IF(K186&gt;'Proposed Lighting'!AA186,"Quantity controlled does not match proposed lighting quantity",IF(T186&gt;K186,"Quantity of sensors exceeds proposed lighting quantity",IF(AND(F186&gt;1,'Proposed Lighting'!AU186&lt;&gt;F186),"Selection does not match",IF(AND(AD186&gt;AA186,AA186&gt;0),"Does not meet minimum connected load",IF(AND(O186&gt;0,AS186&gt;0,BK186&gt;0,'Proposed Lighting'!CH186=0),"Select Control Strategies",IF(AND(AC186&gt;0.1,AJ186=0,AQ186=0),"Does not meet incentive criteria",0)))))))))))</f>
        <v>0</v>
      </c>
      <c r="AS186" s="1224">
        <f>IF('Proposed Lighting'!CH186=100,0,IF(ISNUMBER(SEARCH("multiple",Q186)),1,0))</f>
        <v>0</v>
      </c>
      <c r="AT186" s="451">
        <f t="shared" si="34"/>
        <v>0</v>
      </c>
      <c r="AU186" s="451">
        <f t="shared" si="35"/>
        <v>0</v>
      </c>
      <c r="AV186" s="1222">
        <f>IF(ISNUMBER(SEARCH("Networked",'Proposed Lighting'!T186)),0,IF(ISNUMBER(SEARCH("Strategies",'Proposed Lighting'!T186)),0,IF(ISNUMBER(SEARCH("Removal",'Proposed Lighting'!T186)),0,IF(ISNUMBER(SEARCH("non-standard",Q186)),1,0))))</f>
        <v>0</v>
      </c>
      <c r="AW186" s="451">
        <f t="shared" si="38"/>
        <v>0</v>
      </c>
      <c r="AX186" s="451"/>
      <c r="AY186" s="451"/>
      <c r="AZ186" s="451"/>
      <c r="BA186" s="451"/>
      <c r="BB186" s="451"/>
      <c r="BC186" s="1215"/>
      <c r="BD186" s="1215"/>
      <c r="BE186" s="1215"/>
      <c r="BF186" s="1215"/>
      <c r="BG186" s="1215"/>
      <c r="BH186" s="1215"/>
      <c r="BI186">
        <f>IF(AND(AS186=1,BC186="No",BD186="Yes",BE186="Yes",BF186="No",BH186="No"),0,IF(AND('Proposed Lighting'!AU186=2,AS186=1,BC186="Yes",BD186="Yes"),2,IF(AND('Proposed Lighting'!AU186=2,AS186=1,BC186="Yes",BE186="Yes"),2,IF(AND('Proposed Lighting'!AU186=2,AS186=1,BC186="Yes",BF186="Yes"),2,IF(AND('Proposed Lighting'!AU186=2,AS186=1,BC186="Yes",BH186="Yes"),2,IF(AND('Proposed Lighting'!AU186=2,AS186=1,BD186="Yes",BF186="Yes"),2,IF(AND('Proposed Lighting'!AU186=2,AS186=1,BD186="Yes",BH186="Yes"),2,IF(AND('Proposed Lighting'!AU186=3,AS186=1,BC186="Yes",BE186="Yes"),2,IF(AND('Proposed Lighting'!AU186=3,AS186=1,BC186="Yes",BF186="Yes"),2,0)))))))))</f>
        <v>0</v>
      </c>
      <c r="BJ186" s="1025">
        <f t="shared" si="36"/>
        <v>0</v>
      </c>
      <c r="BK186">
        <f>IF(AND('Proposed Lighting'!BC186=22,'Lighting Controls'!N186=1),0,IF(ISNUMBER(SEARCH("LED",G186)),1,0))</f>
        <v>0</v>
      </c>
    </row>
    <row r="187" spans="1:63" ht="34.5" customHeight="1">
      <c r="A187" s="917">
        <v>179</v>
      </c>
      <c r="B187" s="1828" t="str">
        <f>IF('Proposed Lighting'!B187="","",'Proposed Lighting'!B187)</f>
        <v/>
      </c>
      <c r="C187" s="1828"/>
      <c r="D187" s="1828"/>
      <c r="E187" s="1245">
        <f>'Proposed Lighting'!AA187</f>
        <v>0</v>
      </c>
      <c r="F187" s="1245">
        <f t="shared" si="29"/>
        <v>0</v>
      </c>
      <c r="G187" s="1830" t="str">
        <f>IF('Proposed Lighting'!T187="","",IF(ISNUMBER(SEARCH("Networked",'Proposed Lighting'!T187)),0,IF(ISNUMBER(SEARCH("Strategies",'Proposed Lighting'!T187)),0,IF(ISNUMBER(SEARCH("Removal",'Proposed Lighting'!T187)),0,'Proposed Lighting'!T187))))</f>
        <v/>
      </c>
      <c r="H187" s="1830"/>
      <c r="I187" s="1830"/>
      <c r="J187" s="1830"/>
      <c r="K187" s="1215"/>
      <c r="L187" s="1246">
        <f t="shared" si="30"/>
        <v>0</v>
      </c>
      <c r="M187" s="1224">
        <f t="shared" si="31"/>
        <v>0</v>
      </c>
      <c r="N187" s="1224">
        <f t="shared" si="32"/>
        <v>0</v>
      </c>
      <c r="O187" s="1825" t="str">
        <f>IF(G187=0,0,IF(ISNA('Proposed Lighting'!AT187),0,'Proposed Lighting'!AT187))</f>
        <v/>
      </c>
      <c r="P187" s="1825"/>
      <c r="Q187" s="1247"/>
      <c r="R187" s="1247"/>
      <c r="S187" s="1247"/>
      <c r="T187" s="1211"/>
      <c r="U187" s="1235">
        <f>IF(K187&gt;0.01,'Proposed Lighting'!CU187,0)</f>
        <v>0</v>
      </c>
      <c r="V187" s="1248">
        <f>IF('Proposed Lighting'!CF187=1,0,IF('Proposed Lighting'!AU187=2,0,IF(AND('Proposed Lighting'!AU187=3,'Proposed Lighting'!CF187=0),1,0)))</f>
        <v>0</v>
      </c>
      <c r="W187" s="1836"/>
      <c r="X187" s="1836"/>
      <c r="Y187" s="1836"/>
      <c r="Z187" s="1230" t="str">
        <f t="shared" si="26"/>
        <v/>
      </c>
      <c r="AA187" s="1230">
        <f t="shared" si="27"/>
        <v>0</v>
      </c>
      <c r="AB187" s="1230">
        <f>IF(Q187=0,0,IF(T187=0,0,IF(AA187=0,0,IF(AND(F187=3,V187=0),0,IF(T187=0,0,IF(K187&gt;'Proposed Lighting'!AA187,0,IF('Proposed Lighting'!EJ187&gt;0.01,(K187*O187)*'Proposed Lighting'!EJ187/1000,(K187*O187)*U187/1000)))))))</f>
        <v>0</v>
      </c>
      <c r="AC187" s="1230" t="str">
        <f t="shared" si="33"/>
        <v/>
      </c>
      <c r="AD187" s="1230">
        <f t="shared" si="28"/>
        <v>0</v>
      </c>
      <c r="AE187" s="1230">
        <f>IF(T187=0,0,IF(K187&gt;'Proposed Lighting'!AA187,0,IF(T187&gt;K187,0,IF(AND(AD187&gt;AA187,AA187&gt;0),0,IF(AND(F187&gt;1,W187&lt;0.01),0,IF('Proposed Lighting'!AU187&gt;'Lighting Controls'!F187,0,IF('Proposed Lighting'!AU187&lt;'Lighting Controls'!F187,0,IF(U187=0,0,Summary!AC490))))))))</f>
        <v>0</v>
      </c>
      <c r="AF187" s="1230">
        <f>IF(T187=0,0,IF(AE187=0,0,IF(K187&gt;'Proposed Lighting'!AA187,0,IF(AND(AD187&gt;AA187,AA187&gt;0),0,IF(U187=0,0,Summary!AD490)))))</f>
        <v>0</v>
      </c>
      <c r="AG187" s="1834">
        <f>IF('Proposed Lighting'!AU187=1,0,IF('Proposed Lighting'!CF187=1,0,T187*W187))</f>
        <v>0</v>
      </c>
      <c r="AH187" s="1834"/>
      <c r="AI187" s="1834"/>
      <c r="AJ187" s="1835">
        <f>IF(T187&lt;1,0,IF(K187&gt;'Proposed Lighting'!AA187,0,IF('Proposed Lighting'!CF187=1,0,IF('Proposed Lighting'!AU187=1,0,IF(T187&gt;K187,0,IF(AND(AD187&gt;AA187,AA187&gt;0),0,IF(AND(F187=2,'Proposed Lighting'!AU187=3),0,IF(AND(F187=3,'Proposed Lighting'!AU187=2),0,IF('Proposed Lighting'!CH187=100,0,IF(AND(F187&lt;3,V187=1,AM187=0),0,IF(AND(F187&gt;1,AF187&lt;1,AN187&lt;1),0,IF(AND(F187&gt;1,AE187&lt;0.69,AF187&lt;1,AN187&lt;1),0,IF(ISERROR(AB187-AC187),"",AB187-AC187)))))))))))))</f>
        <v>0</v>
      </c>
      <c r="AK187" s="1835"/>
      <c r="AL187" s="1835"/>
      <c r="AM187" s="1216">
        <f>IF(Q187=0,0,IF(T187=0,0,IF(T187&gt;K187,0,IF(AND(AS187&gt;0.01,BK187=0),0,IF(AND('Proposed Lighting'!DG187=0,'Lighting Controls'!Z187=0.35),0,IF(AND(T187&lt;=K187,AA187&gt;=AD187,'Proposed Lighting'!AU187=2),VLOOKUP(Q187,$AY$9:$AZ$15,2,FALSE),IF(AND(T187&lt;=K187,AA187&gt;=AD187,'Proposed Lighting'!AU187=3),VLOOKUP(Q187,$AY$17:$AZ$23,2,FALSE))))))))</f>
        <v>0</v>
      </c>
      <c r="AN187" s="1248">
        <f>IF(T187=0,0,IF(K187&gt;'Proposed Lighting'!AA187,0,IF(AE187=0,0,IF(AND(AD187&gt;AA187,AA187&gt;0),0,IF(U187=0,0,Summary!AE490)))))</f>
        <v>0</v>
      </c>
      <c r="AO187" s="1248">
        <f t="shared" si="37"/>
        <v>0</v>
      </c>
      <c r="AP187" s="1249">
        <f>IF('Proposed Lighting'!AU187=1,0,IF(K187=0,0,IF(T187&gt;K187,0,IF(G187=0,0,IF(K187&gt;'Proposed Lighting'!AA187,0,IF(AND(AD187&gt;AA187,AA187&gt;0),0,IF(AND('Proposed Lighting'!AU187=3,AM187=0.5),0,IF(AND(AM187&gt;0,AS187&gt;0,BI187&lt;2),0,IF('Proposed Lighting'!CH187=100,0,IF(AV187=1,0,IF(AND(AM187=35,M187+N187&lt;2),0,AM187)))))))))))</f>
        <v>0</v>
      </c>
      <c r="AQ187" s="1249" t="str">
        <f>IFERROR(ROUND(IF(Q187="","",IF('Proposed Lighting'!$X$4=0,0,IF(AND(AM187=35,M187+N187&lt;2),0,IF(T187&gt;K187,0,IF('Proposed Lighting'!AU187=1,0,IF(AJ187=0,0,IF(AND('Proposed Lighting'!AU187=3,AM187=0.5),0,IF(AND(AD187=75,AP187=0,AV187=0),0,IF(AP187&gt;0.01,AP187*T187,IF(AND(F187&gt;1,W187&lt;0.01),0,IF(AND(F187&gt;1,AO187=0),0,IF(AND('Proposed Lighting'!BC187=22,AV187=0),0,IF(AND(AM187&gt;0,AS187&gt;0,BI187&lt;2),0,IF(AND(AS187&gt;0.01,BK187=0),0,IF(AND(AO187=TRUE,AV187=1,F187=3),MIN(AJ187*0.08,L187),IF(AP187&gt;0.01,AP187*T187,IF(AND(AO187=TRUE,AV187=1,F187=2),MIN(AJ187*0.1,L187)))))))))))))))))),2),"")</f>
        <v/>
      </c>
      <c r="AR187" s="1250">
        <f>IF(Q187=0,0,IF('Proposed Lighting'!$X$4=0,0,IF(AND(AM187&gt;0.01,AQ187&gt;0.01),0,IF('Proposed Lighting'!AU187=1,"Missing Interior or Exterior Selection",IF('Proposed Lighting'!CF187=1,"Selection does not match",IF(K187&gt;'Proposed Lighting'!AA187,"Quantity controlled does not match proposed lighting quantity",IF(T187&gt;K187,"Quantity of sensors exceeds proposed lighting quantity",IF(AND(F187&gt;1,'Proposed Lighting'!AU187&lt;&gt;F187),"Selection does not match",IF(AND(AD187&gt;AA187,AA187&gt;0),"Does not meet minimum connected load",IF(AND(O187&gt;0,AS187&gt;0,BK187&gt;0,'Proposed Lighting'!CH187=0),"Select Control Strategies",IF(AND(AC187&gt;0.1,AJ187=0,AQ187=0),"Does not meet incentive criteria",0)))))))))))</f>
        <v>0</v>
      </c>
      <c r="AS187" s="1224">
        <f>IF('Proposed Lighting'!CH187=100,0,IF(ISNUMBER(SEARCH("multiple",Q187)),1,0))</f>
        <v>0</v>
      </c>
      <c r="AT187" s="451">
        <f t="shared" si="34"/>
        <v>0</v>
      </c>
      <c r="AU187" s="451">
        <f t="shared" si="35"/>
        <v>0</v>
      </c>
      <c r="AV187" s="1222">
        <f>IF(ISNUMBER(SEARCH("Networked",'Proposed Lighting'!T187)),0,IF(ISNUMBER(SEARCH("Strategies",'Proposed Lighting'!T187)),0,IF(ISNUMBER(SEARCH("Removal",'Proposed Lighting'!T187)),0,IF(ISNUMBER(SEARCH("non-standard",Q187)),1,0))))</f>
        <v>0</v>
      </c>
      <c r="AW187" s="451">
        <f t="shared" si="38"/>
        <v>0</v>
      </c>
      <c r="AX187" s="451"/>
      <c r="AY187" s="451"/>
      <c r="AZ187" s="451"/>
      <c r="BA187" s="451"/>
      <c r="BB187" s="451"/>
      <c r="BC187" s="1215"/>
      <c r="BD187" s="1215"/>
      <c r="BE187" s="1215"/>
      <c r="BF187" s="1215"/>
      <c r="BG187" s="1215"/>
      <c r="BH187" s="1215"/>
      <c r="BI187">
        <f>IF(AND(AS187=1,BC187="No",BD187="Yes",BE187="Yes",BF187="No",BH187="No"),0,IF(AND('Proposed Lighting'!AU187=2,AS187=1,BC187="Yes",BD187="Yes"),2,IF(AND('Proposed Lighting'!AU187=2,AS187=1,BC187="Yes",BE187="Yes"),2,IF(AND('Proposed Lighting'!AU187=2,AS187=1,BC187="Yes",BF187="Yes"),2,IF(AND('Proposed Lighting'!AU187=2,AS187=1,BC187="Yes",BH187="Yes"),2,IF(AND('Proposed Lighting'!AU187=2,AS187=1,BD187="Yes",BF187="Yes"),2,IF(AND('Proposed Lighting'!AU187=2,AS187=1,BD187="Yes",BH187="Yes"),2,IF(AND('Proposed Lighting'!AU187=3,AS187=1,BC187="Yes",BE187="Yes"),2,IF(AND('Proposed Lighting'!AU187=3,AS187=1,BC187="Yes",BF187="Yes"),2,0)))))))))</f>
        <v>0</v>
      </c>
      <c r="BJ187" s="1025">
        <f t="shared" si="36"/>
        <v>0</v>
      </c>
      <c r="BK187">
        <f>IF(AND('Proposed Lighting'!BC187=22,'Lighting Controls'!N187=1),0,IF(ISNUMBER(SEARCH("LED",G187)),1,0))</f>
        <v>0</v>
      </c>
    </row>
    <row r="188" spans="1:63" ht="34.5" customHeight="1">
      <c r="A188" s="917">
        <v>180</v>
      </c>
      <c r="B188" s="1828" t="str">
        <f>IF('Proposed Lighting'!B188="","",'Proposed Lighting'!B188)</f>
        <v/>
      </c>
      <c r="C188" s="1828"/>
      <c r="D188" s="1828"/>
      <c r="E188" s="1245">
        <f>'Proposed Lighting'!AA188</f>
        <v>0</v>
      </c>
      <c r="F188" s="1245">
        <f t="shared" si="29"/>
        <v>0</v>
      </c>
      <c r="G188" s="1830" t="str">
        <f>IF('Proposed Lighting'!T188="","",IF(ISNUMBER(SEARCH("Networked",'Proposed Lighting'!T188)),0,IF(ISNUMBER(SEARCH("Strategies",'Proposed Lighting'!T188)),0,IF(ISNUMBER(SEARCH("Removal",'Proposed Lighting'!T188)),0,'Proposed Lighting'!T188))))</f>
        <v/>
      </c>
      <c r="H188" s="1830"/>
      <c r="I188" s="1830"/>
      <c r="J188" s="1830"/>
      <c r="K188" s="1215"/>
      <c r="L188" s="1246">
        <f t="shared" si="30"/>
        <v>0</v>
      </c>
      <c r="M188" s="1224">
        <f t="shared" si="31"/>
        <v>0</v>
      </c>
      <c r="N188" s="1224">
        <f t="shared" si="32"/>
        <v>0</v>
      </c>
      <c r="O188" s="1825" t="str">
        <f>IF(G188=0,0,IF(ISNA('Proposed Lighting'!AT188),0,'Proposed Lighting'!AT188))</f>
        <v/>
      </c>
      <c r="P188" s="1825"/>
      <c r="Q188" s="1247"/>
      <c r="R188" s="1247"/>
      <c r="S188" s="1247"/>
      <c r="T188" s="1211"/>
      <c r="U188" s="1235">
        <f>IF(K188&gt;0.01,'Proposed Lighting'!CU188,0)</f>
        <v>0</v>
      </c>
      <c r="V188" s="1248">
        <f>IF('Proposed Lighting'!CF188=1,0,IF('Proposed Lighting'!AU188=2,0,IF(AND('Proposed Lighting'!AU188=3,'Proposed Lighting'!CF188=0),1,0)))</f>
        <v>0</v>
      </c>
      <c r="W188" s="1836"/>
      <c r="X188" s="1836"/>
      <c r="Y188" s="1836"/>
      <c r="Z188" s="1230" t="str">
        <f t="shared" si="26"/>
        <v/>
      </c>
      <c r="AA188" s="1230">
        <f t="shared" si="27"/>
        <v>0</v>
      </c>
      <c r="AB188" s="1230">
        <f>IF(Q188=0,0,IF(T188=0,0,IF(AA188=0,0,IF(AND(F188=3,V188=0),0,IF(T188=0,0,IF(K188&gt;'Proposed Lighting'!AA188,0,IF('Proposed Lighting'!EJ188&gt;0.01,(K188*O188)*'Proposed Lighting'!EJ188/1000,(K188*O188)*U188/1000)))))))</f>
        <v>0</v>
      </c>
      <c r="AC188" s="1230" t="str">
        <f t="shared" si="33"/>
        <v/>
      </c>
      <c r="AD188" s="1230">
        <f t="shared" si="28"/>
        <v>0</v>
      </c>
      <c r="AE188" s="1230">
        <f>IF(T188=0,0,IF(K188&gt;'Proposed Lighting'!AA188,0,IF(T188&gt;K188,0,IF(AND(AD188&gt;AA188,AA188&gt;0),0,IF(AND(F188&gt;1,W188&lt;0.01),0,IF('Proposed Lighting'!AU188&gt;'Lighting Controls'!F188,0,IF('Proposed Lighting'!AU188&lt;'Lighting Controls'!F188,0,IF(U188=0,0,Summary!AC491))))))))</f>
        <v>0</v>
      </c>
      <c r="AF188" s="1230">
        <f>IF(T188=0,0,IF(AE188=0,0,IF(K188&gt;'Proposed Lighting'!AA188,0,IF(AND(AD188&gt;AA188,AA188&gt;0),0,IF(U188=0,0,Summary!AD491)))))</f>
        <v>0</v>
      </c>
      <c r="AG188" s="1834">
        <f>IF('Proposed Lighting'!AU188=1,0,IF('Proposed Lighting'!CF188=1,0,T188*W188))</f>
        <v>0</v>
      </c>
      <c r="AH188" s="1834"/>
      <c r="AI188" s="1834"/>
      <c r="AJ188" s="1835">
        <f>IF(T188&lt;1,0,IF(K188&gt;'Proposed Lighting'!AA188,0,IF('Proposed Lighting'!CF188=1,0,IF('Proposed Lighting'!AU188=1,0,IF(T188&gt;K188,0,IF(AND(AD188&gt;AA188,AA188&gt;0),0,IF(AND(F188=2,'Proposed Lighting'!AU188=3),0,IF(AND(F188=3,'Proposed Lighting'!AU188=2),0,IF('Proposed Lighting'!CH188=100,0,IF(AND(F188&lt;3,V188=1,AM188=0),0,IF(AND(F188&gt;1,AF188&lt;1,AN188&lt;1),0,IF(AND(F188&gt;1,AE188&lt;0.69,AF188&lt;1,AN188&lt;1),0,IF(ISERROR(AB188-AC188),"",AB188-AC188)))))))))))))</f>
        <v>0</v>
      </c>
      <c r="AK188" s="1835"/>
      <c r="AL188" s="1835"/>
      <c r="AM188" s="1216">
        <f>IF(Q188=0,0,IF(T188=0,0,IF(T188&gt;K188,0,IF(AND(AS188&gt;0.01,BK188=0),0,IF(AND('Proposed Lighting'!DG188=0,'Lighting Controls'!Z188=0.35),0,IF(AND(T188&lt;=K188,AA188&gt;=AD188,'Proposed Lighting'!AU188=2),VLOOKUP(Q188,$AY$9:$AZ$15,2,FALSE),IF(AND(T188&lt;=K188,AA188&gt;=AD188,'Proposed Lighting'!AU188=3),VLOOKUP(Q188,$AY$17:$AZ$23,2,FALSE))))))))</f>
        <v>0</v>
      </c>
      <c r="AN188" s="1248">
        <f>IF(T188=0,0,IF(K188&gt;'Proposed Lighting'!AA188,0,IF(AE188=0,0,IF(AND(AD188&gt;AA188,AA188&gt;0),0,IF(U188=0,0,Summary!AE491)))))</f>
        <v>0</v>
      </c>
      <c r="AO188" s="1248">
        <f t="shared" si="37"/>
        <v>0</v>
      </c>
      <c r="AP188" s="1249">
        <f>IF('Proposed Lighting'!AU188=1,0,IF(K188=0,0,IF(T188&gt;K188,0,IF(G188=0,0,IF(K188&gt;'Proposed Lighting'!AA188,0,IF(AND(AD188&gt;AA188,AA188&gt;0),0,IF(AND('Proposed Lighting'!AU188=3,AM188=0.5),0,IF(AND(AM188&gt;0,AS188&gt;0,BI188&lt;2),0,IF('Proposed Lighting'!CH188=100,0,IF(AV188=1,0,IF(AND(AM188=35,M188+N188&lt;2),0,AM188)))))))))))</f>
        <v>0</v>
      </c>
      <c r="AQ188" s="1249" t="str">
        <f>IFERROR(ROUND(IF(Q188="","",IF('Proposed Lighting'!$X$4=0,0,IF(AND(AM188=35,M188+N188&lt;2),0,IF(T188&gt;K188,0,IF('Proposed Lighting'!AU188=1,0,IF(AJ188=0,0,IF(AND('Proposed Lighting'!AU188=3,AM188=0.5),0,IF(AND(AD188=75,AP188=0,AV188=0),0,IF(AP188&gt;0.01,AP188*T188,IF(AND(F188&gt;1,W188&lt;0.01),0,IF(AND(F188&gt;1,AO188=0),0,IF(AND('Proposed Lighting'!BC188=22,AV188=0),0,IF(AND(AM188&gt;0,AS188&gt;0,BI188&lt;2),0,IF(AND(AS188&gt;0.01,BK188=0),0,IF(AND(AO188=TRUE,AV188=1,F188=3),MIN(AJ188*0.08,L188),IF(AP188&gt;0.01,AP188*T188,IF(AND(AO188=TRUE,AV188=1,F188=2),MIN(AJ188*0.1,L188)))))))))))))))))),2),"")</f>
        <v/>
      </c>
      <c r="AR188" s="1250">
        <f>IF(Q188=0,0,IF('Proposed Lighting'!$X$4=0,0,IF(AND(AM188&gt;0.01,AQ188&gt;0.01),0,IF('Proposed Lighting'!AU188=1,"Missing Interior or Exterior Selection",IF('Proposed Lighting'!CF188=1,"Selection does not match",IF(K188&gt;'Proposed Lighting'!AA188,"Quantity controlled does not match proposed lighting quantity",IF(T188&gt;K188,"Quantity of sensors exceeds proposed lighting quantity",IF(AND(F188&gt;1,'Proposed Lighting'!AU188&lt;&gt;F188),"Selection does not match",IF(AND(AD188&gt;AA188,AA188&gt;0),"Does not meet minimum connected load",IF(AND(O188&gt;0,AS188&gt;0,BK188&gt;0,'Proposed Lighting'!CH188=0),"Select Control Strategies",IF(AND(AC188&gt;0.1,AJ188=0,AQ188=0),"Does not meet incentive criteria",0)))))))))))</f>
        <v>0</v>
      </c>
      <c r="AS188" s="1224">
        <f>IF('Proposed Lighting'!CH188=100,0,IF(ISNUMBER(SEARCH("multiple",Q188)),1,0))</f>
        <v>0</v>
      </c>
      <c r="AT188" s="451">
        <f t="shared" si="34"/>
        <v>0</v>
      </c>
      <c r="AU188" s="451">
        <f t="shared" si="35"/>
        <v>0</v>
      </c>
      <c r="AV188" s="1222">
        <f>IF(ISNUMBER(SEARCH("Networked",'Proposed Lighting'!T188)),0,IF(ISNUMBER(SEARCH("Strategies",'Proposed Lighting'!T188)),0,IF(ISNUMBER(SEARCH("Removal",'Proposed Lighting'!T188)),0,IF(ISNUMBER(SEARCH("non-standard",Q188)),1,0))))</f>
        <v>0</v>
      </c>
      <c r="AW188" s="451">
        <f t="shared" si="38"/>
        <v>0</v>
      </c>
      <c r="AX188" s="451"/>
      <c r="AY188" s="451"/>
      <c r="AZ188" s="451"/>
      <c r="BA188" s="451"/>
      <c r="BB188" s="451"/>
      <c r="BC188" s="1215"/>
      <c r="BD188" s="1215"/>
      <c r="BE188" s="1215"/>
      <c r="BF188" s="1215"/>
      <c r="BG188" s="1215"/>
      <c r="BH188" s="1215"/>
      <c r="BI188">
        <f>IF(AND(AS188=1,BC188="No",BD188="Yes",BE188="Yes",BF188="No",BH188="No"),0,IF(AND('Proposed Lighting'!AU188=2,AS188=1,BC188="Yes",BD188="Yes"),2,IF(AND('Proposed Lighting'!AU188=2,AS188=1,BC188="Yes",BE188="Yes"),2,IF(AND('Proposed Lighting'!AU188=2,AS188=1,BC188="Yes",BF188="Yes"),2,IF(AND('Proposed Lighting'!AU188=2,AS188=1,BC188="Yes",BH188="Yes"),2,IF(AND('Proposed Lighting'!AU188=2,AS188=1,BD188="Yes",BF188="Yes"),2,IF(AND('Proposed Lighting'!AU188=2,AS188=1,BD188="Yes",BH188="Yes"),2,IF(AND('Proposed Lighting'!AU188=3,AS188=1,BC188="Yes",BE188="Yes"),2,IF(AND('Proposed Lighting'!AU188=3,AS188=1,BC188="Yes",BF188="Yes"),2,0)))))))))</f>
        <v>0</v>
      </c>
      <c r="BJ188" s="1025">
        <f t="shared" si="36"/>
        <v>0</v>
      </c>
      <c r="BK188">
        <f>IF(AND('Proposed Lighting'!BC188=22,'Lighting Controls'!N188=1),0,IF(ISNUMBER(SEARCH("LED",G188)),1,0))</f>
        <v>0</v>
      </c>
    </row>
    <row r="189" spans="1:63" ht="34.5" customHeight="1">
      <c r="A189" s="917">
        <v>181</v>
      </c>
      <c r="B189" s="1828" t="str">
        <f>IF('Proposed Lighting'!B189="","",'Proposed Lighting'!B189)</f>
        <v/>
      </c>
      <c r="C189" s="1828"/>
      <c r="D189" s="1828"/>
      <c r="E189" s="1245">
        <f>'Proposed Lighting'!AA189</f>
        <v>0</v>
      </c>
      <c r="F189" s="1245">
        <f t="shared" si="29"/>
        <v>0</v>
      </c>
      <c r="G189" s="1830" t="str">
        <f>IF('Proposed Lighting'!T189="","",IF(ISNUMBER(SEARCH("Networked",'Proposed Lighting'!T189)),0,IF(ISNUMBER(SEARCH("Strategies",'Proposed Lighting'!T189)),0,IF(ISNUMBER(SEARCH("Removal",'Proposed Lighting'!T189)),0,'Proposed Lighting'!T189))))</f>
        <v/>
      </c>
      <c r="H189" s="1830"/>
      <c r="I189" s="1830"/>
      <c r="J189" s="1830"/>
      <c r="K189" s="1215"/>
      <c r="L189" s="1246">
        <f t="shared" si="30"/>
        <v>0</v>
      </c>
      <c r="M189" s="1224">
        <f t="shared" si="31"/>
        <v>0</v>
      </c>
      <c r="N189" s="1224">
        <f t="shared" si="32"/>
        <v>0</v>
      </c>
      <c r="O189" s="1825" t="str">
        <f>IF(G189=0,0,IF(ISNA('Proposed Lighting'!AT189),0,'Proposed Lighting'!AT189))</f>
        <v/>
      </c>
      <c r="P189" s="1825"/>
      <c r="Q189" s="1247"/>
      <c r="R189" s="1247"/>
      <c r="S189" s="1247"/>
      <c r="T189" s="1211"/>
      <c r="U189" s="1235">
        <f>IF(K189&gt;0.01,'Proposed Lighting'!CU189,0)</f>
        <v>0</v>
      </c>
      <c r="V189" s="1248">
        <f>IF('Proposed Lighting'!CF189=1,0,IF('Proposed Lighting'!AU189=2,0,IF(AND('Proposed Lighting'!AU189=3,'Proposed Lighting'!CF189=0),1,0)))</f>
        <v>0</v>
      </c>
      <c r="W189" s="1836"/>
      <c r="X189" s="1836"/>
      <c r="Y189" s="1836"/>
      <c r="Z189" s="1230" t="str">
        <f t="shared" si="26"/>
        <v/>
      </c>
      <c r="AA189" s="1230">
        <f t="shared" si="27"/>
        <v>0</v>
      </c>
      <c r="AB189" s="1230">
        <f>IF(Q189=0,0,IF(T189=0,0,IF(AA189=0,0,IF(AND(F189=3,V189=0),0,IF(T189=0,0,IF(K189&gt;'Proposed Lighting'!AA189,0,IF('Proposed Lighting'!EJ189&gt;0.01,(K189*O189)*'Proposed Lighting'!EJ189/1000,(K189*O189)*U189/1000)))))))</f>
        <v>0</v>
      </c>
      <c r="AC189" s="1230" t="str">
        <f t="shared" si="33"/>
        <v/>
      </c>
      <c r="AD189" s="1230">
        <f t="shared" si="28"/>
        <v>0</v>
      </c>
      <c r="AE189" s="1230">
        <f>IF(T189=0,0,IF(K189&gt;'Proposed Lighting'!AA189,0,IF(T189&gt;K189,0,IF(AND(AD189&gt;AA189,AA189&gt;0),0,IF(AND(F189&gt;1,W189&lt;0.01),0,IF('Proposed Lighting'!AU189&gt;'Lighting Controls'!F189,0,IF('Proposed Lighting'!AU189&lt;'Lighting Controls'!F189,0,IF(U189=0,0,Summary!AC492))))))))</f>
        <v>0</v>
      </c>
      <c r="AF189" s="1230">
        <f>IF(T189=0,0,IF(AE189=0,0,IF(K189&gt;'Proposed Lighting'!AA189,0,IF(AND(AD189&gt;AA189,AA189&gt;0),0,IF(U189=0,0,Summary!AD492)))))</f>
        <v>0</v>
      </c>
      <c r="AG189" s="1834">
        <f>IF('Proposed Lighting'!AU189=1,0,IF('Proposed Lighting'!CF189=1,0,T189*W189))</f>
        <v>0</v>
      </c>
      <c r="AH189" s="1834"/>
      <c r="AI189" s="1834"/>
      <c r="AJ189" s="1835">
        <f>IF(T189&lt;1,0,IF(K189&gt;'Proposed Lighting'!AA189,0,IF('Proposed Lighting'!CF189=1,0,IF('Proposed Lighting'!AU189=1,0,IF(T189&gt;K189,0,IF(AND(AD189&gt;AA189,AA189&gt;0),0,IF(AND(F189=2,'Proposed Lighting'!AU189=3),0,IF(AND(F189=3,'Proposed Lighting'!AU189=2),0,IF('Proposed Lighting'!CH189=100,0,IF(AND(F189&lt;3,V189=1,AM189=0),0,IF(AND(F189&gt;1,AF189&lt;1,AN189&lt;1),0,IF(AND(F189&gt;1,AE189&lt;0.69,AF189&lt;1,AN189&lt;1),0,IF(ISERROR(AB189-AC189),"",AB189-AC189)))))))))))))</f>
        <v>0</v>
      </c>
      <c r="AK189" s="1835"/>
      <c r="AL189" s="1835"/>
      <c r="AM189" s="1216">
        <f>IF(Q189=0,0,IF(T189=0,0,IF(T189&gt;K189,0,IF(AND(AS189&gt;0.01,BK189=0),0,IF(AND('Proposed Lighting'!DG189=0,'Lighting Controls'!Z189=0.35),0,IF(AND(T189&lt;=K189,AA189&gt;=AD189,'Proposed Lighting'!AU189=2),VLOOKUP(Q189,$AY$9:$AZ$15,2,FALSE),IF(AND(T189&lt;=K189,AA189&gt;=AD189,'Proposed Lighting'!AU189=3),VLOOKUP(Q189,$AY$17:$AZ$23,2,FALSE))))))))</f>
        <v>0</v>
      </c>
      <c r="AN189" s="1248">
        <f>IF(T189=0,0,IF(K189&gt;'Proposed Lighting'!AA189,0,IF(AE189=0,0,IF(AND(AD189&gt;AA189,AA189&gt;0),0,IF(U189=0,0,Summary!AE492)))))</f>
        <v>0</v>
      </c>
      <c r="AO189" s="1248">
        <f t="shared" si="37"/>
        <v>0</v>
      </c>
      <c r="AP189" s="1249">
        <f>IF('Proposed Lighting'!AU189=1,0,IF(K189=0,0,IF(T189&gt;K189,0,IF(G189=0,0,IF(K189&gt;'Proposed Lighting'!AA189,0,IF(AND(AD189&gt;AA189,AA189&gt;0),0,IF(AND('Proposed Lighting'!AU189=3,AM189=0.5),0,IF(AND(AM189&gt;0,AS189&gt;0,BI189&lt;2),0,IF('Proposed Lighting'!CH189=100,0,IF(AV189=1,0,IF(AND(AM189=35,M189+N189&lt;2),0,AM189)))))))))))</f>
        <v>0</v>
      </c>
      <c r="AQ189" s="1249" t="str">
        <f>IFERROR(ROUND(IF(Q189="","",IF('Proposed Lighting'!$X$4=0,0,IF(AND(AM189=35,M189+N189&lt;2),0,IF(T189&gt;K189,0,IF('Proposed Lighting'!AU189=1,0,IF(AJ189=0,0,IF(AND('Proposed Lighting'!AU189=3,AM189=0.5),0,IF(AND(AD189=75,AP189=0,AV189=0),0,IF(AP189&gt;0.01,AP189*T189,IF(AND(F189&gt;1,W189&lt;0.01),0,IF(AND(F189&gt;1,AO189=0),0,IF(AND('Proposed Lighting'!BC189=22,AV189=0),0,IF(AND(AM189&gt;0,AS189&gt;0,BI189&lt;2),0,IF(AND(AS189&gt;0.01,BK189=0),0,IF(AND(AO189=TRUE,AV189=1,F189=3),MIN(AJ189*0.08,L189),IF(AP189&gt;0.01,AP189*T189,IF(AND(AO189=TRUE,AV189=1,F189=2),MIN(AJ189*0.1,L189)))))))))))))))))),2),"")</f>
        <v/>
      </c>
      <c r="AR189" s="1250">
        <f>IF(Q189=0,0,IF('Proposed Lighting'!$X$4=0,0,IF(AND(AM189&gt;0.01,AQ189&gt;0.01),0,IF('Proposed Lighting'!AU189=1,"Missing Interior or Exterior Selection",IF('Proposed Lighting'!CF189=1,"Selection does not match",IF(K189&gt;'Proposed Lighting'!AA189,"Quantity controlled does not match proposed lighting quantity",IF(T189&gt;K189,"Quantity of sensors exceeds proposed lighting quantity",IF(AND(F189&gt;1,'Proposed Lighting'!AU189&lt;&gt;F189),"Selection does not match",IF(AND(AD189&gt;AA189,AA189&gt;0),"Does not meet minimum connected load",IF(AND(O189&gt;0,AS189&gt;0,BK189&gt;0,'Proposed Lighting'!CH189=0),"Select Control Strategies",IF(AND(AC189&gt;0.1,AJ189=0,AQ189=0),"Does not meet incentive criteria",0)))))))))))</f>
        <v>0</v>
      </c>
      <c r="AS189" s="1224">
        <f>IF('Proposed Lighting'!CH189=100,0,IF(ISNUMBER(SEARCH("multiple",Q189)),1,0))</f>
        <v>0</v>
      </c>
      <c r="AT189" s="451">
        <f t="shared" si="34"/>
        <v>0</v>
      </c>
      <c r="AU189" s="451">
        <f t="shared" si="35"/>
        <v>0</v>
      </c>
      <c r="AV189" s="1222">
        <f>IF(ISNUMBER(SEARCH("Networked",'Proposed Lighting'!T189)),0,IF(ISNUMBER(SEARCH("Strategies",'Proposed Lighting'!T189)),0,IF(ISNUMBER(SEARCH("Removal",'Proposed Lighting'!T189)),0,IF(ISNUMBER(SEARCH("non-standard",Q189)),1,0))))</f>
        <v>0</v>
      </c>
      <c r="AW189" s="451">
        <f t="shared" si="38"/>
        <v>0</v>
      </c>
      <c r="AX189" s="451"/>
      <c r="AY189" s="451"/>
      <c r="AZ189" s="451"/>
      <c r="BA189" s="451"/>
      <c r="BB189" s="451"/>
      <c r="BC189" s="1215"/>
      <c r="BD189" s="1215"/>
      <c r="BE189" s="1215"/>
      <c r="BF189" s="1215"/>
      <c r="BG189" s="1215"/>
      <c r="BH189" s="1215"/>
      <c r="BI189">
        <f>IF(AND(AS189=1,BC189="No",BD189="Yes",BE189="Yes",BF189="No",BH189="No"),0,IF(AND('Proposed Lighting'!AU189=2,AS189=1,BC189="Yes",BD189="Yes"),2,IF(AND('Proposed Lighting'!AU189=2,AS189=1,BC189="Yes",BE189="Yes"),2,IF(AND('Proposed Lighting'!AU189=2,AS189=1,BC189="Yes",BF189="Yes"),2,IF(AND('Proposed Lighting'!AU189=2,AS189=1,BC189="Yes",BH189="Yes"),2,IF(AND('Proposed Lighting'!AU189=2,AS189=1,BD189="Yes",BF189="Yes"),2,IF(AND('Proposed Lighting'!AU189=2,AS189=1,BD189="Yes",BH189="Yes"),2,IF(AND('Proposed Lighting'!AU189=3,AS189=1,BC189="Yes",BE189="Yes"),2,IF(AND('Proposed Lighting'!AU189=3,AS189=1,BC189="Yes",BF189="Yes"),2,0)))))))))</f>
        <v>0</v>
      </c>
      <c r="BJ189" s="1025">
        <f t="shared" si="36"/>
        <v>0</v>
      </c>
      <c r="BK189">
        <f>IF(AND('Proposed Lighting'!BC189=22,'Lighting Controls'!N189=1),0,IF(ISNUMBER(SEARCH("LED",G189)),1,0))</f>
        <v>0</v>
      </c>
    </row>
    <row r="190" spans="1:63" ht="34.5" customHeight="1">
      <c r="A190" s="917">
        <v>182</v>
      </c>
      <c r="B190" s="1828" t="str">
        <f>IF('Proposed Lighting'!B190="","",'Proposed Lighting'!B190)</f>
        <v/>
      </c>
      <c r="C190" s="1828"/>
      <c r="D190" s="1828"/>
      <c r="E190" s="1245">
        <f>'Proposed Lighting'!AA190</f>
        <v>0</v>
      </c>
      <c r="F190" s="1245">
        <f t="shared" si="29"/>
        <v>0</v>
      </c>
      <c r="G190" s="1830" t="str">
        <f>IF('Proposed Lighting'!T190="","",IF(ISNUMBER(SEARCH("Networked",'Proposed Lighting'!T190)),0,IF(ISNUMBER(SEARCH("Strategies",'Proposed Lighting'!T190)),0,IF(ISNUMBER(SEARCH("Removal",'Proposed Lighting'!T190)),0,'Proposed Lighting'!T190))))</f>
        <v/>
      </c>
      <c r="H190" s="1830"/>
      <c r="I190" s="1830"/>
      <c r="J190" s="1830"/>
      <c r="K190" s="1215"/>
      <c r="L190" s="1246">
        <f t="shared" si="30"/>
        <v>0</v>
      </c>
      <c r="M190" s="1224">
        <f t="shared" si="31"/>
        <v>0</v>
      </c>
      <c r="N190" s="1224">
        <f t="shared" si="32"/>
        <v>0</v>
      </c>
      <c r="O190" s="1825" t="str">
        <f>IF(G190=0,0,IF(ISNA('Proposed Lighting'!AT190),0,'Proposed Lighting'!AT190))</f>
        <v/>
      </c>
      <c r="P190" s="1825"/>
      <c r="Q190" s="1247"/>
      <c r="R190" s="1247"/>
      <c r="S190" s="1247"/>
      <c r="T190" s="1211"/>
      <c r="U190" s="1235">
        <f>IF(K190&gt;0.01,'Proposed Lighting'!CU190,0)</f>
        <v>0</v>
      </c>
      <c r="V190" s="1248">
        <f>IF('Proposed Lighting'!CF190=1,0,IF('Proposed Lighting'!AU190=2,0,IF(AND('Proposed Lighting'!AU190=3,'Proposed Lighting'!CF190=0),1,0)))</f>
        <v>0</v>
      </c>
      <c r="W190" s="1836"/>
      <c r="X190" s="1836"/>
      <c r="Y190" s="1836"/>
      <c r="Z190" s="1230" t="str">
        <f t="shared" si="26"/>
        <v/>
      </c>
      <c r="AA190" s="1230">
        <f t="shared" si="27"/>
        <v>0</v>
      </c>
      <c r="AB190" s="1230">
        <f>IF(Q190=0,0,IF(T190=0,0,IF(AA190=0,0,IF(AND(F190=3,V190=0),0,IF(T190=0,0,IF(K190&gt;'Proposed Lighting'!AA190,0,IF('Proposed Lighting'!EJ190&gt;0.01,(K190*O190)*'Proposed Lighting'!EJ190/1000,(K190*O190)*U190/1000)))))))</f>
        <v>0</v>
      </c>
      <c r="AC190" s="1230" t="str">
        <f t="shared" si="33"/>
        <v/>
      </c>
      <c r="AD190" s="1230">
        <f t="shared" si="28"/>
        <v>0</v>
      </c>
      <c r="AE190" s="1230">
        <f>IF(T190=0,0,IF(K190&gt;'Proposed Lighting'!AA190,0,IF(T190&gt;K190,0,IF(AND(AD190&gt;AA190,AA190&gt;0),0,IF(AND(F190&gt;1,W190&lt;0.01),0,IF('Proposed Lighting'!AU190&gt;'Lighting Controls'!F190,0,IF('Proposed Lighting'!AU190&lt;'Lighting Controls'!F190,0,IF(U190=0,0,Summary!AC493))))))))</f>
        <v>0</v>
      </c>
      <c r="AF190" s="1230">
        <f>IF(T190=0,0,IF(AE190=0,0,IF(K190&gt;'Proposed Lighting'!AA190,0,IF(AND(AD190&gt;AA190,AA190&gt;0),0,IF(U190=0,0,Summary!AD493)))))</f>
        <v>0</v>
      </c>
      <c r="AG190" s="1834">
        <f>IF('Proposed Lighting'!AU190=1,0,IF('Proposed Lighting'!CF190=1,0,T190*W190))</f>
        <v>0</v>
      </c>
      <c r="AH190" s="1834"/>
      <c r="AI190" s="1834"/>
      <c r="AJ190" s="1835">
        <f>IF(T190&lt;1,0,IF(K190&gt;'Proposed Lighting'!AA190,0,IF('Proposed Lighting'!CF190=1,0,IF('Proposed Lighting'!AU190=1,0,IF(T190&gt;K190,0,IF(AND(AD190&gt;AA190,AA190&gt;0),0,IF(AND(F190=2,'Proposed Lighting'!AU190=3),0,IF(AND(F190=3,'Proposed Lighting'!AU190=2),0,IF('Proposed Lighting'!CH190=100,0,IF(AND(F190&lt;3,V190=1,AM190=0),0,IF(AND(F190&gt;1,AF190&lt;1,AN190&lt;1),0,IF(AND(F190&gt;1,AE190&lt;0.69,AF190&lt;1,AN190&lt;1),0,IF(ISERROR(AB190-AC190),"",AB190-AC190)))))))))))))</f>
        <v>0</v>
      </c>
      <c r="AK190" s="1835"/>
      <c r="AL190" s="1835"/>
      <c r="AM190" s="1216">
        <f>IF(Q190=0,0,IF(T190=0,0,IF(T190&gt;K190,0,IF(AND(AS190&gt;0.01,BK190=0),0,IF(AND('Proposed Lighting'!DG190=0,'Lighting Controls'!Z190=0.35),0,IF(AND(T190&lt;=K190,AA190&gt;=AD190,'Proposed Lighting'!AU190=2),VLOOKUP(Q190,$AY$9:$AZ$15,2,FALSE),IF(AND(T190&lt;=K190,AA190&gt;=AD190,'Proposed Lighting'!AU190=3),VLOOKUP(Q190,$AY$17:$AZ$23,2,FALSE))))))))</f>
        <v>0</v>
      </c>
      <c r="AN190" s="1248">
        <f>IF(T190=0,0,IF(K190&gt;'Proposed Lighting'!AA190,0,IF(AE190=0,0,IF(AND(AD190&gt;AA190,AA190&gt;0),0,IF(U190=0,0,Summary!AE493)))))</f>
        <v>0</v>
      </c>
      <c r="AO190" s="1248">
        <f t="shared" si="37"/>
        <v>0</v>
      </c>
      <c r="AP190" s="1249">
        <f>IF('Proposed Lighting'!AU190=1,0,IF(K190=0,0,IF(T190&gt;K190,0,IF(G190=0,0,IF(K190&gt;'Proposed Lighting'!AA190,0,IF(AND(AD190&gt;AA190,AA190&gt;0),0,IF(AND('Proposed Lighting'!AU190=3,AM190=0.5),0,IF(AND(AM190&gt;0,AS190&gt;0,BI190&lt;2),0,IF('Proposed Lighting'!CH190=100,0,IF(AV190=1,0,IF(AND(AM190=35,M190+N190&lt;2),0,AM190)))))))))))</f>
        <v>0</v>
      </c>
      <c r="AQ190" s="1249" t="str">
        <f>IFERROR(ROUND(IF(Q190="","",IF('Proposed Lighting'!$X$4=0,0,IF(AND(AM190=35,M190+N190&lt;2),0,IF(T190&gt;K190,0,IF('Proposed Lighting'!AU190=1,0,IF(AJ190=0,0,IF(AND('Proposed Lighting'!AU190=3,AM190=0.5),0,IF(AND(AD190=75,AP190=0,AV190=0),0,IF(AP190&gt;0.01,AP190*T190,IF(AND(F190&gt;1,W190&lt;0.01),0,IF(AND(F190&gt;1,AO190=0),0,IF(AND('Proposed Lighting'!BC190=22,AV190=0),0,IF(AND(AM190&gt;0,AS190&gt;0,BI190&lt;2),0,IF(AND(AS190&gt;0.01,BK190=0),0,IF(AND(AO190=TRUE,AV190=1,F190=3),MIN(AJ190*0.08,L190),IF(AP190&gt;0.01,AP190*T190,IF(AND(AO190=TRUE,AV190=1,F190=2),MIN(AJ190*0.1,L190)))))))))))))))))),2),"")</f>
        <v/>
      </c>
      <c r="AR190" s="1250">
        <f>IF(Q190=0,0,IF('Proposed Lighting'!$X$4=0,0,IF(AND(AM190&gt;0.01,AQ190&gt;0.01),0,IF('Proposed Lighting'!AU190=1,"Missing Interior or Exterior Selection",IF('Proposed Lighting'!CF190=1,"Selection does not match",IF(K190&gt;'Proposed Lighting'!AA190,"Quantity controlled does not match proposed lighting quantity",IF(T190&gt;K190,"Quantity of sensors exceeds proposed lighting quantity",IF(AND(F190&gt;1,'Proposed Lighting'!AU190&lt;&gt;F190),"Selection does not match",IF(AND(AD190&gt;AA190,AA190&gt;0),"Does not meet minimum connected load",IF(AND(O190&gt;0,AS190&gt;0,BK190&gt;0,'Proposed Lighting'!CH190=0),"Select Control Strategies",IF(AND(AC190&gt;0.1,AJ190=0,AQ190=0),"Does not meet incentive criteria",0)))))))))))</f>
        <v>0</v>
      </c>
      <c r="AS190" s="1224">
        <f>IF('Proposed Lighting'!CH190=100,0,IF(ISNUMBER(SEARCH("multiple",Q190)),1,0))</f>
        <v>0</v>
      </c>
      <c r="AT190" s="451">
        <f t="shared" si="34"/>
        <v>0</v>
      </c>
      <c r="AU190" s="451">
        <f t="shared" si="35"/>
        <v>0</v>
      </c>
      <c r="AV190" s="1222">
        <f>IF(ISNUMBER(SEARCH("Networked",'Proposed Lighting'!T190)),0,IF(ISNUMBER(SEARCH("Strategies",'Proposed Lighting'!T190)),0,IF(ISNUMBER(SEARCH("Removal",'Proposed Lighting'!T190)),0,IF(ISNUMBER(SEARCH("non-standard",Q190)),1,0))))</f>
        <v>0</v>
      </c>
      <c r="AW190" s="451">
        <f t="shared" si="38"/>
        <v>0</v>
      </c>
      <c r="AX190" s="451"/>
      <c r="AY190" s="451"/>
      <c r="AZ190" s="451"/>
      <c r="BA190" s="451"/>
      <c r="BB190" s="451"/>
      <c r="BC190" s="1215"/>
      <c r="BD190" s="1215"/>
      <c r="BE190" s="1215"/>
      <c r="BF190" s="1215"/>
      <c r="BG190" s="1215"/>
      <c r="BH190" s="1215"/>
      <c r="BI190">
        <f>IF(AND(AS190=1,BC190="No",BD190="Yes",BE190="Yes",BF190="No",BH190="No"),0,IF(AND('Proposed Lighting'!AU190=2,AS190=1,BC190="Yes",BD190="Yes"),2,IF(AND('Proposed Lighting'!AU190=2,AS190=1,BC190="Yes",BE190="Yes"),2,IF(AND('Proposed Lighting'!AU190=2,AS190=1,BC190="Yes",BF190="Yes"),2,IF(AND('Proposed Lighting'!AU190=2,AS190=1,BC190="Yes",BH190="Yes"),2,IF(AND('Proposed Lighting'!AU190=2,AS190=1,BD190="Yes",BF190="Yes"),2,IF(AND('Proposed Lighting'!AU190=2,AS190=1,BD190="Yes",BH190="Yes"),2,IF(AND('Proposed Lighting'!AU190=3,AS190=1,BC190="Yes",BE190="Yes"),2,IF(AND('Proposed Lighting'!AU190=3,AS190=1,BC190="Yes",BF190="Yes"),2,0)))))))))</f>
        <v>0</v>
      </c>
      <c r="BJ190" s="1025">
        <f t="shared" si="36"/>
        <v>0</v>
      </c>
      <c r="BK190">
        <f>IF(AND('Proposed Lighting'!BC190=22,'Lighting Controls'!N190=1),0,IF(ISNUMBER(SEARCH("LED",G190)),1,0))</f>
        <v>0</v>
      </c>
    </row>
    <row r="191" spans="1:63" ht="34.5" customHeight="1">
      <c r="A191" s="917">
        <v>183</v>
      </c>
      <c r="B191" s="1828" t="str">
        <f>IF('Proposed Lighting'!B191="","",'Proposed Lighting'!B191)</f>
        <v/>
      </c>
      <c r="C191" s="1828"/>
      <c r="D191" s="1828"/>
      <c r="E191" s="1245">
        <f>'Proposed Lighting'!AA191</f>
        <v>0</v>
      </c>
      <c r="F191" s="1245">
        <f t="shared" si="29"/>
        <v>0</v>
      </c>
      <c r="G191" s="1830" t="str">
        <f>IF('Proposed Lighting'!T191="","",IF(ISNUMBER(SEARCH("Networked",'Proposed Lighting'!T191)),0,IF(ISNUMBER(SEARCH("Strategies",'Proposed Lighting'!T191)),0,IF(ISNUMBER(SEARCH("Removal",'Proposed Lighting'!T191)),0,'Proposed Lighting'!T191))))</f>
        <v/>
      </c>
      <c r="H191" s="1830"/>
      <c r="I191" s="1830"/>
      <c r="J191" s="1830"/>
      <c r="K191" s="1215"/>
      <c r="L191" s="1246">
        <f t="shared" si="30"/>
        <v>0</v>
      </c>
      <c r="M191" s="1224">
        <f t="shared" si="31"/>
        <v>0</v>
      </c>
      <c r="N191" s="1224">
        <f t="shared" si="32"/>
        <v>0</v>
      </c>
      <c r="O191" s="1825" t="str">
        <f>IF(G191=0,0,IF(ISNA('Proposed Lighting'!AT191),0,'Proposed Lighting'!AT191))</f>
        <v/>
      </c>
      <c r="P191" s="1825"/>
      <c r="Q191" s="1247"/>
      <c r="R191" s="1247"/>
      <c r="S191" s="1247"/>
      <c r="T191" s="1211"/>
      <c r="U191" s="1235">
        <f>IF(K191&gt;0.01,'Proposed Lighting'!CU191,0)</f>
        <v>0</v>
      </c>
      <c r="V191" s="1248">
        <f>IF('Proposed Lighting'!CF191=1,0,IF('Proposed Lighting'!AU191=2,0,IF(AND('Proposed Lighting'!AU191=3,'Proposed Lighting'!CF191=0),1,0)))</f>
        <v>0</v>
      </c>
      <c r="W191" s="1836"/>
      <c r="X191" s="1836"/>
      <c r="Y191" s="1836"/>
      <c r="Z191" s="1230" t="str">
        <f t="shared" si="26"/>
        <v/>
      </c>
      <c r="AA191" s="1230">
        <f t="shared" si="27"/>
        <v>0</v>
      </c>
      <c r="AB191" s="1230">
        <f>IF(Q191=0,0,IF(T191=0,0,IF(AA191=0,0,IF(AND(F191=3,V191=0),0,IF(T191=0,0,IF(K191&gt;'Proposed Lighting'!AA191,0,IF('Proposed Lighting'!EJ191&gt;0.01,(K191*O191)*'Proposed Lighting'!EJ191/1000,(K191*O191)*U191/1000)))))))</f>
        <v>0</v>
      </c>
      <c r="AC191" s="1230" t="str">
        <f t="shared" si="33"/>
        <v/>
      </c>
      <c r="AD191" s="1230">
        <f t="shared" si="28"/>
        <v>0</v>
      </c>
      <c r="AE191" s="1230">
        <f>IF(T191=0,0,IF(K191&gt;'Proposed Lighting'!AA191,0,IF(T191&gt;K191,0,IF(AND(AD191&gt;AA191,AA191&gt;0),0,IF(AND(F191&gt;1,W191&lt;0.01),0,IF('Proposed Lighting'!AU191&gt;'Lighting Controls'!F191,0,IF('Proposed Lighting'!AU191&lt;'Lighting Controls'!F191,0,IF(U191=0,0,Summary!AC494))))))))</f>
        <v>0</v>
      </c>
      <c r="AF191" s="1230">
        <f>IF(T191=0,0,IF(AE191=0,0,IF(K191&gt;'Proposed Lighting'!AA191,0,IF(AND(AD191&gt;AA191,AA191&gt;0),0,IF(U191=0,0,Summary!AD494)))))</f>
        <v>0</v>
      </c>
      <c r="AG191" s="1834">
        <f>IF('Proposed Lighting'!AU191=1,0,IF('Proposed Lighting'!CF191=1,0,T191*W191))</f>
        <v>0</v>
      </c>
      <c r="AH191" s="1834"/>
      <c r="AI191" s="1834"/>
      <c r="AJ191" s="1835">
        <f>IF(T191&lt;1,0,IF(K191&gt;'Proposed Lighting'!AA191,0,IF('Proposed Lighting'!CF191=1,0,IF('Proposed Lighting'!AU191=1,0,IF(T191&gt;K191,0,IF(AND(AD191&gt;AA191,AA191&gt;0),0,IF(AND(F191=2,'Proposed Lighting'!AU191=3),0,IF(AND(F191=3,'Proposed Lighting'!AU191=2),0,IF('Proposed Lighting'!CH191=100,0,IF(AND(F191&lt;3,V191=1,AM191=0),0,IF(AND(F191&gt;1,AF191&lt;1,AN191&lt;1),0,IF(AND(F191&gt;1,AE191&lt;0.69,AF191&lt;1,AN191&lt;1),0,IF(ISERROR(AB191-AC191),"",AB191-AC191)))))))))))))</f>
        <v>0</v>
      </c>
      <c r="AK191" s="1835"/>
      <c r="AL191" s="1835"/>
      <c r="AM191" s="1216">
        <f>IF(Q191=0,0,IF(T191=0,0,IF(T191&gt;K191,0,IF(AND(AS191&gt;0.01,BK191=0),0,IF(AND('Proposed Lighting'!DG191=0,'Lighting Controls'!Z191=0.35),0,IF(AND(T191&lt;=K191,AA191&gt;=AD191,'Proposed Lighting'!AU191=2),VLOOKUP(Q191,$AY$9:$AZ$15,2,FALSE),IF(AND(T191&lt;=K191,AA191&gt;=AD191,'Proposed Lighting'!AU191=3),VLOOKUP(Q191,$AY$17:$AZ$23,2,FALSE))))))))</f>
        <v>0</v>
      </c>
      <c r="AN191" s="1248">
        <f>IF(T191=0,0,IF(K191&gt;'Proposed Lighting'!AA191,0,IF(AE191=0,0,IF(AND(AD191&gt;AA191,AA191&gt;0),0,IF(U191=0,0,Summary!AE494)))))</f>
        <v>0</v>
      </c>
      <c r="AO191" s="1248">
        <f t="shared" si="37"/>
        <v>0</v>
      </c>
      <c r="AP191" s="1249">
        <f>IF('Proposed Lighting'!AU191=1,0,IF(K191=0,0,IF(T191&gt;K191,0,IF(G191=0,0,IF(K191&gt;'Proposed Lighting'!AA191,0,IF(AND(AD191&gt;AA191,AA191&gt;0),0,IF(AND('Proposed Lighting'!AU191=3,AM191=0.5),0,IF(AND(AM191&gt;0,AS191&gt;0,BI191&lt;2),0,IF('Proposed Lighting'!CH191=100,0,IF(AV191=1,0,IF(AND(AM191=35,M191+N191&lt;2),0,AM191)))))))))))</f>
        <v>0</v>
      </c>
      <c r="AQ191" s="1249" t="str">
        <f>IFERROR(ROUND(IF(Q191="","",IF('Proposed Lighting'!$X$4=0,0,IF(AND(AM191=35,M191+N191&lt;2),0,IF(T191&gt;K191,0,IF('Proposed Lighting'!AU191=1,0,IF(AJ191=0,0,IF(AND('Proposed Lighting'!AU191=3,AM191=0.5),0,IF(AND(AD191=75,AP191=0,AV191=0),0,IF(AP191&gt;0.01,AP191*T191,IF(AND(F191&gt;1,W191&lt;0.01),0,IF(AND(F191&gt;1,AO191=0),0,IF(AND('Proposed Lighting'!BC191=22,AV191=0),0,IF(AND(AM191&gt;0,AS191&gt;0,BI191&lt;2),0,IF(AND(AS191&gt;0.01,BK191=0),0,IF(AND(AO191=TRUE,AV191=1,F191=3),MIN(AJ191*0.08,L191),IF(AP191&gt;0.01,AP191*T191,IF(AND(AO191=TRUE,AV191=1,F191=2),MIN(AJ191*0.1,L191)))))))))))))))))),2),"")</f>
        <v/>
      </c>
      <c r="AR191" s="1250">
        <f>IF(Q191=0,0,IF('Proposed Lighting'!$X$4=0,0,IF(AND(AM191&gt;0.01,AQ191&gt;0.01),0,IF('Proposed Lighting'!AU191=1,"Missing Interior or Exterior Selection",IF('Proposed Lighting'!CF191=1,"Selection does not match",IF(K191&gt;'Proposed Lighting'!AA191,"Quantity controlled does not match proposed lighting quantity",IF(T191&gt;K191,"Quantity of sensors exceeds proposed lighting quantity",IF(AND(F191&gt;1,'Proposed Lighting'!AU191&lt;&gt;F191),"Selection does not match",IF(AND(AD191&gt;AA191,AA191&gt;0),"Does not meet minimum connected load",IF(AND(O191&gt;0,AS191&gt;0,BK191&gt;0,'Proposed Lighting'!CH191=0),"Select Control Strategies",IF(AND(AC191&gt;0.1,AJ191=0,AQ191=0),"Does not meet incentive criteria",0)))))))))))</f>
        <v>0</v>
      </c>
      <c r="AS191" s="1224">
        <f>IF('Proposed Lighting'!CH191=100,0,IF(ISNUMBER(SEARCH("multiple",Q191)),1,0))</f>
        <v>0</v>
      </c>
      <c r="AT191" s="451">
        <f t="shared" si="34"/>
        <v>0</v>
      </c>
      <c r="AU191" s="451">
        <f t="shared" si="35"/>
        <v>0</v>
      </c>
      <c r="AV191" s="1222">
        <f>IF(ISNUMBER(SEARCH("Networked",'Proposed Lighting'!T191)),0,IF(ISNUMBER(SEARCH("Strategies",'Proposed Lighting'!T191)),0,IF(ISNUMBER(SEARCH("Removal",'Proposed Lighting'!T191)),0,IF(ISNUMBER(SEARCH("non-standard",Q191)),1,0))))</f>
        <v>0</v>
      </c>
      <c r="AW191" s="451">
        <f t="shared" si="38"/>
        <v>0</v>
      </c>
      <c r="AX191" s="451"/>
      <c r="AY191" s="451"/>
      <c r="AZ191" s="451"/>
      <c r="BA191" s="451"/>
      <c r="BB191" s="451"/>
      <c r="BC191" s="1215"/>
      <c r="BD191" s="1215"/>
      <c r="BE191" s="1215"/>
      <c r="BF191" s="1215"/>
      <c r="BG191" s="1215"/>
      <c r="BH191" s="1215"/>
      <c r="BI191">
        <f>IF(AND(AS191=1,BC191="No",BD191="Yes",BE191="Yes",BF191="No",BH191="No"),0,IF(AND('Proposed Lighting'!AU191=2,AS191=1,BC191="Yes",BD191="Yes"),2,IF(AND('Proposed Lighting'!AU191=2,AS191=1,BC191="Yes",BE191="Yes"),2,IF(AND('Proposed Lighting'!AU191=2,AS191=1,BC191="Yes",BF191="Yes"),2,IF(AND('Proposed Lighting'!AU191=2,AS191=1,BC191="Yes",BH191="Yes"),2,IF(AND('Proposed Lighting'!AU191=2,AS191=1,BD191="Yes",BF191="Yes"),2,IF(AND('Proposed Lighting'!AU191=2,AS191=1,BD191="Yes",BH191="Yes"),2,IF(AND('Proposed Lighting'!AU191=3,AS191=1,BC191="Yes",BE191="Yes"),2,IF(AND('Proposed Lighting'!AU191=3,AS191=1,BC191="Yes",BF191="Yes"),2,0)))))))))</f>
        <v>0</v>
      </c>
      <c r="BJ191" s="1025">
        <f t="shared" si="36"/>
        <v>0</v>
      </c>
      <c r="BK191">
        <f>IF(AND('Proposed Lighting'!BC191=22,'Lighting Controls'!N191=1),0,IF(ISNUMBER(SEARCH("LED",G191)),1,0))</f>
        <v>0</v>
      </c>
    </row>
    <row r="192" spans="1:63" ht="34.5" customHeight="1">
      <c r="A192" s="917">
        <v>184</v>
      </c>
      <c r="B192" s="1828" t="str">
        <f>IF('Proposed Lighting'!B192="","",'Proposed Lighting'!B192)</f>
        <v/>
      </c>
      <c r="C192" s="1828"/>
      <c r="D192" s="1828"/>
      <c r="E192" s="1245">
        <f>'Proposed Lighting'!AA192</f>
        <v>0</v>
      </c>
      <c r="F192" s="1245">
        <f t="shared" si="29"/>
        <v>0</v>
      </c>
      <c r="G192" s="1830" t="str">
        <f>IF('Proposed Lighting'!T192="","",IF(ISNUMBER(SEARCH("Networked",'Proposed Lighting'!T192)),0,IF(ISNUMBER(SEARCH("Strategies",'Proposed Lighting'!T192)),0,IF(ISNUMBER(SEARCH("Removal",'Proposed Lighting'!T192)),0,'Proposed Lighting'!T192))))</f>
        <v/>
      </c>
      <c r="H192" s="1830"/>
      <c r="I192" s="1830"/>
      <c r="J192" s="1830"/>
      <c r="K192" s="1215"/>
      <c r="L192" s="1246">
        <f t="shared" si="30"/>
        <v>0</v>
      </c>
      <c r="M192" s="1224">
        <f t="shared" si="31"/>
        <v>0</v>
      </c>
      <c r="N192" s="1224">
        <f t="shared" si="32"/>
        <v>0</v>
      </c>
      <c r="O192" s="1825" t="str">
        <f>IF(G192=0,0,IF(ISNA('Proposed Lighting'!AT192),0,'Proposed Lighting'!AT192))</f>
        <v/>
      </c>
      <c r="P192" s="1825"/>
      <c r="Q192" s="1247"/>
      <c r="R192" s="1247"/>
      <c r="S192" s="1247"/>
      <c r="T192" s="1211"/>
      <c r="U192" s="1235">
        <f>IF(K192&gt;0.01,'Proposed Lighting'!CU192,0)</f>
        <v>0</v>
      </c>
      <c r="V192" s="1248">
        <f>IF('Proposed Lighting'!CF192=1,0,IF('Proposed Lighting'!AU192=2,0,IF(AND('Proposed Lighting'!AU192=3,'Proposed Lighting'!CF192=0),1,0)))</f>
        <v>0</v>
      </c>
      <c r="W192" s="1836"/>
      <c r="X192" s="1836"/>
      <c r="Y192" s="1836"/>
      <c r="Z192" s="1230" t="str">
        <f t="shared" si="26"/>
        <v/>
      </c>
      <c r="AA192" s="1230">
        <f t="shared" si="27"/>
        <v>0</v>
      </c>
      <c r="AB192" s="1230">
        <f>IF(Q192=0,0,IF(T192=0,0,IF(AA192=0,0,IF(AND(F192=3,V192=0),0,IF(T192=0,0,IF(K192&gt;'Proposed Lighting'!AA192,0,IF('Proposed Lighting'!EJ192&gt;0.01,(K192*O192)*'Proposed Lighting'!EJ192/1000,(K192*O192)*U192/1000)))))))</f>
        <v>0</v>
      </c>
      <c r="AC192" s="1230" t="str">
        <f t="shared" si="33"/>
        <v/>
      </c>
      <c r="AD192" s="1230">
        <f t="shared" si="28"/>
        <v>0</v>
      </c>
      <c r="AE192" s="1230">
        <f>IF(T192=0,0,IF(K192&gt;'Proposed Lighting'!AA192,0,IF(T192&gt;K192,0,IF(AND(AD192&gt;AA192,AA192&gt;0),0,IF(AND(F192&gt;1,W192&lt;0.01),0,IF('Proposed Lighting'!AU192&gt;'Lighting Controls'!F192,0,IF('Proposed Lighting'!AU192&lt;'Lighting Controls'!F192,0,IF(U192=0,0,Summary!AC495))))))))</f>
        <v>0</v>
      </c>
      <c r="AF192" s="1230">
        <f>IF(T192=0,0,IF(AE192=0,0,IF(K192&gt;'Proposed Lighting'!AA192,0,IF(AND(AD192&gt;AA192,AA192&gt;0),0,IF(U192=0,0,Summary!AD495)))))</f>
        <v>0</v>
      </c>
      <c r="AG192" s="1834">
        <f>IF('Proposed Lighting'!AU192=1,0,IF('Proposed Lighting'!CF192=1,0,T192*W192))</f>
        <v>0</v>
      </c>
      <c r="AH192" s="1834"/>
      <c r="AI192" s="1834"/>
      <c r="AJ192" s="1835">
        <f>IF(T192&lt;1,0,IF(K192&gt;'Proposed Lighting'!AA192,0,IF('Proposed Lighting'!CF192=1,0,IF('Proposed Lighting'!AU192=1,0,IF(T192&gt;K192,0,IF(AND(AD192&gt;AA192,AA192&gt;0),0,IF(AND(F192=2,'Proposed Lighting'!AU192=3),0,IF(AND(F192=3,'Proposed Lighting'!AU192=2),0,IF('Proposed Lighting'!CH192=100,0,IF(AND(F192&lt;3,V192=1,AM192=0),0,IF(AND(F192&gt;1,AF192&lt;1,AN192&lt;1),0,IF(AND(F192&gt;1,AE192&lt;0.69,AF192&lt;1,AN192&lt;1),0,IF(ISERROR(AB192-AC192),"",AB192-AC192)))))))))))))</f>
        <v>0</v>
      </c>
      <c r="AK192" s="1835"/>
      <c r="AL192" s="1835"/>
      <c r="AM192" s="1216">
        <f>IF(Q192=0,0,IF(T192=0,0,IF(T192&gt;K192,0,IF(AND(AS192&gt;0.01,BK192=0),0,IF(AND('Proposed Lighting'!DG192=0,'Lighting Controls'!Z192=0.35),0,IF(AND(T192&lt;=K192,AA192&gt;=AD192,'Proposed Lighting'!AU192=2),VLOOKUP(Q192,$AY$9:$AZ$15,2,FALSE),IF(AND(T192&lt;=K192,AA192&gt;=AD192,'Proposed Lighting'!AU192=3),VLOOKUP(Q192,$AY$17:$AZ$23,2,FALSE))))))))</f>
        <v>0</v>
      </c>
      <c r="AN192" s="1248">
        <f>IF(T192=0,0,IF(K192&gt;'Proposed Lighting'!AA192,0,IF(AE192=0,0,IF(AND(AD192&gt;AA192,AA192&gt;0),0,IF(U192=0,0,Summary!AE495)))))</f>
        <v>0</v>
      </c>
      <c r="AO192" s="1248">
        <f t="shared" si="37"/>
        <v>0</v>
      </c>
      <c r="AP192" s="1249">
        <f>IF('Proposed Lighting'!AU192=1,0,IF(K192=0,0,IF(T192&gt;K192,0,IF(G192=0,0,IF(K192&gt;'Proposed Lighting'!AA192,0,IF(AND(AD192&gt;AA192,AA192&gt;0),0,IF(AND('Proposed Lighting'!AU192=3,AM192=0.5),0,IF(AND(AM192&gt;0,AS192&gt;0,BI192&lt;2),0,IF('Proposed Lighting'!CH192=100,0,IF(AV192=1,0,IF(AND(AM192=35,M192+N192&lt;2),0,AM192)))))))))))</f>
        <v>0</v>
      </c>
      <c r="AQ192" s="1249" t="str">
        <f>IFERROR(ROUND(IF(Q192="","",IF('Proposed Lighting'!$X$4=0,0,IF(AND(AM192=35,M192+N192&lt;2),0,IF(T192&gt;K192,0,IF('Proposed Lighting'!AU192=1,0,IF(AJ192=0,0,IF(AND('Proposed Lighting'!AU192=3,AM192=0.5),0,IF(AND(AD192=75,AP192=0,AV192=0),0,IF(AP192&gt;0.01,AP192*T192,IF(AND(F192&gt;1,W192&lt;0.01),0,IF(AND(F192&gt;1,AO192=0),0,IF(AND('Proposed Lighting'!BC192=22,AV192=0),0,IF(AND(AM192&gt;0,AS192&gt;0,BI192&lt;2),0,IF(AND(AS192&gt;0.01,BK192=0),0,IF(AND(AO192=TRUE,AV192=1,F192=3),MIN(AJ192*0.08,L192),IF(AP192&gt;0.01,AP192*T192,IF(AND(AO192=TRUE,AV192=1,F192=2),MIN(AJ192*0.1,L192)))))))))))))))))),2),"")</f>
        <v/>
      </c>
      <c r="AR192" s="1250">
        <f>IF(Q192=0,0,IF('Proposed Lighting'!$X$4=0,0,IF(AND(AM192&gt;0.01,AQ192&gt;0.01),0,IF('Proposed Lighting'!AU192=1,"Missing Interior or Exterior Selection",IF('Proposed Lighting'!CF192=1,"Selection does not match",IF(K192&gt;'Proposed Lighting'!AA192,"Quantity controlled does not match proposed lighting quantity",IF(T192&gt;K192,"Quantity of sensors exceeds proposed lighting quantity",IF(AND(F192&gt;1,'Proposed Lighting'!AU192&lt;&gt;F192),"Selection does not match",IF(AND(AD192&gt;AA192,AA192&gt;0),"Does not meet minimum connected load",IF(AND(O192&gt;0,AS192&gt;0,BK192&gt;0,'Proposed Lighting'!CH192=0),"Select Control Strategies",IF(AND(AC192&gt;0.1,AJ192=0,AQ192=0),"Does not meet incentive criteria",0)))))))))))</f>
        <v>0</v>
      </c>
      <c r="AS192" s="1224">
        <f>IF('Proposed Lighting'!CH192=100,0,IF(ISNUMBER(SEARCH("multiple",Q192)),1,0))</f>
        <v>0</v>
      </c>
      <c r="AT192" s="451">
        <f t="shared" si="34"/>
        <v>0</v>
      </c>
      <c r="AU192" s="451">
        <f t="shared" si="35"/>
        <v>0</v>
      </c>
      <c r="AV192" s="1222">
        <f>IF(ISNUMBER(SEARCH("Networked",'Proposed Lighting'!T192)),0,IF(ISNUMBER(SEARCH("Strategies",'Proposed Lighting'!T192)),0,IF(ISNUMBER(SEARCH("Removal",'Proposed Lighting'!T192)),0,IF(ISNUMBER(SEARCH("non-standard",Q192)),1,0))))</f>
        <v>0</v>
      </c>
      <c r="AW192" s="451">
        <f t="shared" si="38"/>
        <v>0</v>
      </c>
      <c r="AX192" s="451"/>
      <c r="AY192" s="451"/>
      <c r="AZ192" s="451"/>
      <c r="BA192" s="451"/>
      <c r="BB192" s="451"/>
      <c r="BC192" s="1215"/>
      <c r="BD192" s="1215"/>
      <c r="BE192" s="1215"/>
      <c r="BF192" s="1215"/>
      <c r="BG192" s="1215"/>
      <c r="BH192" s="1215"/>
      <c r="BI192">
        <f>IF(AND(AS192=1,BC192="No",BD192="Yes",BE192="Yes",BF192="No",BH192="No"),0,IF(AND('Proposed Lighting'!AU192=2,AS192=1,BC192="Yes",BD192="Yes"),2,IF(AND('Proposed Lighting'!AU192=2,AS192=1,BC192="Yes",BE192="Yes"),2,IF(AND('Proposed Lighting'!AU192=2,AS192=1,BC192="Yes",BF192="Yes"),2,IF(AND('Proposed Lighting'!AU192=2,AS192=1,BC192="Yes",BH192="Yes"),2,IF(AND('Proposed Lighting'!AU192=2,AS192=1,BD192="Yes",BF192="Yes"),2,IF(AND('Proposed Lighting'!AU192=2,AS192=1,BD192="Yes",BH192="Yes"),2,IF(AND('Proposed Lighting'!AU192=3,AS192=1,BC192="Yes",BE192="Yes"),2,IF(AND('Proposed Lighting'!AU192=3,AS192=1,BC192="Yes",BF192="Yes"),2,0)))))))))</f>
        <v>0</v>
      </c>
      <c r="BJ192" s="1025">
        <f t="shared" si="36"/>
        <v>0</v>
      </c>
      <c r="BK192">
        <f>IF(AND('Proposed Lighting'!BC192=22,'Lighting Controls'!N192=1),0,IF(ISNUMBER(SEARCH("LED",G192)),1,0))</f>
        <v>0</v>
      </c>
    </row>
    <row r="193" spans="1:63" ht="34.5" customHeight="1">
      <c r="A193" s="917">
        <v>185</v>
      </c>
      <c r="B193" s="1828" t="str">
        <f>IF('Proposed Lighting'!B193="","",'Proposed Lighting'!B193)</f>
        <v/>
      </c>
      <c r="C193" s="1828"/>
      <c r="D193" s="1828"/>
      <c r="E193" s="1245">
        <f>'Proposed Lighting'!AA193</f>
        <v>0</v>
      </c>
      <c r="F193" s="1245">
        <f t="shared" si="29"/>
        <v>0</v>
      </c>
      <c r="G193" s="1830" t="str">
        <f>IF('Proposed Lighting'!T193="","",IF(ISNUMBER(SEARCH("Networked",'Proposed Lighting'!T193)),0,IF(ISNUMBER(SEARCH("Strategies",'Proposed Lighting'!T193)),0,IF(ISNUMBER(SEARCH("Removal",'Proposed Lighting'!T193)),0,'Proposed Lighting'!T193))))</f>
        <v/>
      </c>
      <c r="H193" s="1830"/>
      <c r="I193" s="1830"/>
      <c r="J193" s="1830"/>
      <c r="K193" s="1215"/>
      <c r="L193" s="1246">
        <f t="shared" si="30"/>
        <v>0</v>
      </c>
      <c r="M193" s="1224">
        <f t="shared" si="31"/>
        <v>0</v>
      </c>
      <c r="N193" s="1224">
        <f t="shared" si="32"/>
        <v>0</v>
      </c>
      <c r="O193" s="1825" t="str">
        <f>IF(G193=0,0,IF(ISNA('Proposed Lighting'!AT193),0,'Proposed Lighting'!AT193))</f>
        <v/>
      </c>
      <c r="P193" s="1825"/>
      <c r="Q193" s="1247"/>
      <c r="R193" s="1247"/>
      <c r="S193" s="1247"/>
      <c r="T193" s="1211"/>
      <c r="U193" s="1235">
        <f>IF(K193&gt;0.01,'Proposed Lighting'!CU193,0)</f>
        <v>0</v>
      </c>
      <c r="V193" s="1248">
        <f>IF('Proposed Lighting'!CF193=1,0,IF('Proposed Lighting'!AU193=2,0,IF(AND('Proposed Lighting'!AU193=3,'Proposed Lighting'!CF193=0),1,0)))</f>
        <v>0</v>
      </c>
      <c r="W193" s="1836"/>
      <c r="X193" s="1836"/>
      <c r="Y193" s="1836"/>
      <c r="Z193" s="1230" t="str">
        <f t="shared" si="26"/>
        <v/>
      </c>
      <c r="AA193" s="1230">
        <f t="shared" si="27"/>
        <v>0</v>
      </c>
      <c r="AB193" s="1230">
        <f>IF(Q193=0,0,IF(T193=0,0,IF(AA193=0,0,IF(AND(F193=3,V193=0),0,IF(T193=0,0,IF(K193&gt;'Proposed Lighting'!AA193,0,IF('Proposed Lighting'!EJ193&gt;0.01,(K193*O193)*'Proposed Lighting'!EJ193/1000,(K193*O193)*U193/1000)))))))</f>
        <v>0</v>
      </c>
      <c r="AC193" s="1230" t="str">
        <f t="shared" si="33"/>
        <v/>
      </c>
      <c r="AD193" s="1230">
        <f t="shared" si="28"/>
        <v>0</v>
      </c>
      <c r="AE193" s="1230">
        <f>IF(T193=0,0,IF(K193&gt;'Proposed Lighting'!AA193,0,IF(T193&gt;K193,0,IF(AND(AD193&gt;AA193,AA193&gt;0),0,IF(AND(F193&gt;1,W193&lt;0.01),0,IF('Proposed Lighting'!AU193&gt;'Lighting Controls'!F193,0,IF('Proposed Lighting'!AU193&lt;'Lighting Controls'!F193,0,IF(U193=0,0,Summary!AC496))))))))</f>
        <v>0</v>
      </c>
      <c r="AF193" s="1230">
        <f>IF(T193=0,0,IF(AE193=0,0,IF(K193&gt;'Proposed Lighting'!AA193,0,IF(AND(AD193&gt;AA193,AA193&gt;0),0,IF(U193=0,0,Summary!AD496)))))</f>
        <v>0</v>
      </c>
      <c r="AG193" s="1834">
        <f>IF('Proposed Lighting'!AU193=1,0,IF('Proposed Lighting'!CF193=1,0,T193*W193))</f>
        <v>0</v>
      </c>
      <c r="AH193" s="1834"/>
      <c r="AI193" s="1834"/>
      <c r="AJ193" s="1835">
        <f>IF(T193&lt;1,0,IF(K193&gt;'Proposed Lighting'!AA193,0,IF('Proposed Lighting'!CF193=1,0,IF('Proposed Lighting'!AU193=1,0,IF(T193&gt;K193,0,IF(AND(AD193&gt;AA193,AA193&gt;0),0,IF(AND(F193=2,'Proposed Lighting'!AU193=3),0,IF(AND(F193=3,'Proposed Lighting'!AU193=2),0,IF('Proposed Lighting'!CH193=100,0,IF(AND(F193&lt;3,V193=1,AM193=0),0,IF(AND(F193&gt;1,AF193&lt;1,AN193&lt;1),0,IF(AND(F193&gt;1,AE193&lt;0.69,AF193&lt;1,AN193&lt;1),0,IF(ISERROR(AB193-AC193),"",AB193-AC193)))))))))))))</f>
        <v>0</v>
      </c>
      <c r="AK193" s="1835"/>
      <c r="AL193" s="1835"/>
      <c r="AM193" s="1216">
        <f>IF(Q193=0,0,IF(T193=0,0,IF(T193&gt;K193,0,IF(AND(AS193&gt;0.01,BK193=0),0,IF(AND('Proposed Lighting'!DG193=0,'Lighting Controls'!Z193=0.35),0,IF(AND(T193&lt;=K193,AA193&gt;=AD193,'Proposed Lighting'!AU193=2),VLOOKUP(Q193,$AY$9:$AZ$15,2,FALSE),IF(AND(T193&lt;=K193,AA193&gt;=AD193,'Proposed Lighting'!AU193=3),VLOOKUP(Q193,$AY$17:$AZ$23,2,FALSE))))))))</f>
        <v>0</v>
      </c>
      <c r="AN193" s="1248">
        <f>IF(T193=0,0,IF(K193&gt;'Proposed Lighting'!AA193,0,IF(AE193=0,0,IF(AND(AD193&gt;AA193,AA193&gt;0),0,IF(U193=0,0,Summary!AE496)))))</f>
        <v>0</v>
      </c>
      <c r="AO193" s="1248">
        <f t="shared" si="37"/>
        <v>0</v>
      </c>
      <c r="AP193" s="1249">
        <f>IF('Proposed Lighting'!AU193=1,0,IF(K193=0,0,IF(T193&gt;K193,0,IF(G193=0,0,IF(K193&gt;'Proposed Lighting'!AA193,0,IF(AND(AD193&gt;AA193,AA193&gt;0),0,IF(AND('Proposed Lighting'!AU193=3,AM193=0.5),0,IF(AND(AM193&gt;0,AS193&gt;0,BI193&lt;2),0,IF('Proposed Lighting'!CH193=100,0,IF(AV193=1,0,IF(AND(AM193=35,M193+N193&lt;2),0,AM193)))))))))))</f>
        <v>0</v>
      </c>
      <c r="AQ193" s="1249" t="str">
        <f>IFERROR(ROUND(IF(Q193="","",IF('Proposed Lighting'!$X$4=0,0,IF(AND(AM193=35,M193+N193&lt;2),0,IF(T193&gt;K193,0,IF('Proposed Lighting'!AU193=1,0,IF(AJ193=0,0,IF(AND('Proposed Lighting'!AU193=3,AM193=0.5),0,IF(AND(AD193=75,AP193=0,AV193=0),0,IF(AP193&gt;0.01,AP193*T193,IF(AND(F193&gt;1,W193&lt;0.01),0,IF(AND(F193&gt;1,AO193=0),0,IF(AND('Proposed Lighting'!BC193=22,AV193=0),0,IF(AND(AM193&gt;0,AS193&gt;0,BI193&lt;2),0,IF(AND(AS193&gt;0.01,BK193=0),0,IF(AND(AO193=TRUE,AV193=1,F193=3),MIN(AJ193*0.08,L193),IF(AP193&gt;0.01,AP193*T193,IF(AND(AO193=TRUE,AV193=1,F193=2),MIN(AJ193*0.1,L193)))))))))))))))))),2),"")</f>
        <v/>
      </c>
      <c r="AR193" s="1250">
        <f>IF(Q193=0,0,IF('Proposed Lighting'!$X$4=0,0,IF(AND(AM193&gt;0.01,AQ193&gt;0.01),0,IF('Proposed Lighting'!AU193=1,"Missing Interior or Exterior Selection",IF('Proposed Lighting'!CF193=1,"Selection does not match",IF(K193&gt;'Proposed Lighting'!AA193,"Quantity controlled does not match proposed lighting quantity",IF(T193&gt;K193,"Quantity of sensors exceeds proposed lighting quantity",IF(AND(F193&gt;1,'Proposed Lighting'!AU193&lt;&gt;F193),"Selection does not match",IF(AND(AD193&gt;AA193,AA193&gt;0),"Does not meet minimum connected load",IF(AND(O193&gt;0,AS193&gt;0,BK193&gt;0,'Proposed Lighting'!CH193=0),"Select Control Strategies",IF(AND(AC193&gt;0.1,AJ193=0,AQ193=0),"Does not meet incentive criteria",0)))))))))))</f>
        <v>0</v>
      </c>
      <c r="AS193" s="1224">
        <f>IF('Proposed Lighting'!CH193=100,0,IF(ISNUMBER(SEARCH("multiple",Q193)),1,0))</f>
        <v>0</v>
      </c>
      <c r="AT193" s="451">
        <f t="shared" si="34"/>
        <v>0</v>
      </c>
      <c r="AU193" s="451">
        <f t="shared" si="35"/>
        <v>0</v>
      </c>
      <c r="AV193" s="1222">
        <f>IF(ISNUMBER(SEARCH("Networked",'Proposed Lighting'!T193)),0,IF(ISNUMBER(SEARCH("Strategies",'Proposed Lighting'!T193)),0,IF(ISNUMBER(SEARCH("Removal",'Proposed Lighting'!T193)),0,IF(ISNUMBER(SEARCH("non-standard",Q193)),1,0))))</f>
        <v>0</v>
      </c>
      <c r="AW193" s="451">
        <f t="shared" si="38"/>
        <v>0</v>
      </c>
      <c r="AX193" s="451"/>
      <c r="AY193" s="451"/>
      <c r="AZ193" s="451"/>
      <c r="BA193" s="451"/>
      <c r="BB193" s="451"/>
      <c r="BC193" s="1215"/>
      <c r="BD193" s="1215"/>
      <c r="BE193" s="1215"/>
      <c r="BF193" s="1215"/>
      <c r="BG193" s="1215"/>
      <c r="BH193" s="1215"/>
      <c r="BI193">
        <f>IF(AND(AS193=1,BC193="No",BD193="Yes",BE193="Yes",BF193="No",BH193="No"),0,IF(AND('Proposed Lighting'!AU193=2,AS193=1,BC193="Yes",BD193="Yes"),2,IF(AND('Proposed Lighting'!AU193=2,AS193=1,BC193="Yes",BE193="Yes"),2,IF(AND('Proposed Lighting'!AU193=2,AS193=1,BC193="Yes",BF193="Yes"),2,IF(AND('Proposed Lighting'!AU193=2,AS193=1,BC193="Yes",BH193="Yes"),2,IF(AND('Proposed Lighting'!AU193=2,AS193=1,BD193="Yes",BF193="Yes"),2,IF(AND('Proposed Lighting'!AU193=2,AS193=1,BD193="Yes",BH193="Yes"),2,IF(AND('Proposed Lighting'!AU193=3,AS193=1,BC193="Yes",BE193="Yes"),2,IF(AND('Proposed Lighting'!AU193=3,AS193=1,BC193="Yes",BF193="Yes"),2,0)))))))))</f>
        <v>0</v>
      </c>
      <c r="BJ193" s="1025">
        <f t="shared" si="36"/>
        <v>0</v>
      </c>
      <c r="BK193">
        <f>IF(AND('Proposed Lighting'!BC193=22,'Lighting Controls'!N193=1),0,IF(ISNUMBER(SEARCH("LED",G193)),1,0))</f>
        <v>0</v>
      </c>
    </row>
    <row r="194" spans="1:63" ht="34.5" customHeight="1">
      <c r="A194" s="917">
        <v>186</v>
      </c>
      <c r="B194" s="1828" t="str">
        <f>IF('Proposed Lighting'!B194="","",'Proposed Lighting'!B194)</f>
        <v/>
      </c>
      <c r="C194" s="1828"/>
      <c r="D194" s="1828"/>
      <c r="E194" s="1245">
        <f>'Proposed Lighting'!AA194</f>
        <v>0</v>
      </c>
      <c r="F194" s="1245">
        <f t="shared" si="29"/>
        <v>0</v>
      </c>
      <c r="G194" s="1830" t="str">
        <f>IF('Proposed Lighting'!T194="","",IF(ISNUMBER(SEARCH("Networked",'Proposed Lighting'!T194)),0,IF(ISNUMBER(SEARCH("Strategies",'Proposed Lighting'!T194)),0,IF(ISNUMBER(SEARCH("Removal",'Proposed Lighting'!T194)),0,'Proposed Lighting'!T194))))</f>
        <v/>
      </c>
      <c r="H194" s="1830"/>
      <c r="I194" s="1830"/>
      <c r="J194" s="1830"/>
      <c r="K194" s="1215"/>
      <c r="L194" s="1246">
        <f t="shared" si="30"/>
        <v>0</v>
      </c>
      <c r="M194" s="1224">
        <f t="shared" si="31"/>
        <v>0</v>
      </c>
      <c r="N194" s="1224">
        <f t="shared" si="32"/>
        <v>0</v>
      </c>
      <c r="O194" s="1825" t="str">
        <f>IF(G194=0,0,IF(ISNA('Proposed Lighting'!AT194),0,'Proposed Lighting'!AT194))</f>
        <v/>
      </c>
      <c r="P194" s="1825"/>
      <c r="Q194" s="1247"/>
      <c r="R194" s="1247"/>
      <c r="S194" s="1247"/>
      <c r="T194" s="1211"/>
      <c r="U194" s="1235">
        <f>IF(K194&gt;0.01,'Proposed Lighting'!CU194,0)</f>
        <v>0</v>
      </c>
      <c r="V194" s="1248">
        <f>IF('Proposed Lighting'!CF194=1,0,IF('Proposed Lighting'!AU194=2,0,IF(AND('Proposed Lighting'!AU194=3,'Proposed Lighting'!CF194=0),1,0)))</f>
        <v>0</v>
      </c>
      <c r="W194" s="1836"/>
      <c r="X194" s="1836"/>
      <c r="Y194" s="1836"/>
      <c r="Z194" s="1230" t="str">
        <f t="shared" si="26"/>
        <v/>
      </c>
      <c r="AA194" s="1230">
        <f t="shared" si="27"/>
        <v>0</v>
      </c>
      <c r="AB194" s="1230">
        <f>IF(Q194=0,0,IF(T194=0,0,IF(AA194=0,0,IF(AND(F194=3,V194=0),0,IF(T194=0,0,IF(K194&gt;'Proposed Lighting'!AA194,0,IF('Proposed Lighting'!EJ194&gt;0.01,(K194*O194)*'Proposed Lighting'!EJ194/1000,(K194*O194)*U194/1000)))))))</f>
        <v>0</v>
      </c>
      <c r="AC194" s="1230" t="str">
        <f t="shared" si="33"/>
        <v/>
      </c>
      <c r="AD194" s="1230">
        <f t="shared" si="28"/>
        <v>0</v>
      </c>
      <c r="AE194" s="1230">
        <f>IF(T194=0,0,IF(K194&gt;'Proposed Lighting'!AA194,0,IF(T194&gt;K194,0,IF(AND(AD194&gt;AA194,AA194&gt;0),0,IF(AND(F194&gt;1,W194&lt;0.01),0,IF('Proposed Lighting'!AU194&gt;'Lighting Controls'!F194,0,IF('Proposed Lighting'!AU194&lt;'Lighting Controls'!F194,0,IF(U194=0,0,Summary!AC497))))))))</f>
        <v>0</v>
      </c>
      <c r="AF194" s="1230">
        <f>IF(T194=0,0,IF(AE194=0,0,IF(K194&gt;'Proposed Lighting'!AA194,0,IF(AND(AD194&gt;AA194,AA194&gt;0),0,IF(U194=0,0,Summary!AD497)))))</f>
        <v>0</v>
      </c>
      <c r="AG194" s="1834">
        <f>IF('Proposed Lighting'!AU194=1,0,IF('Proposed Lighting'!CF194=1,0,T194*W194))</f>
        <v>0</v>
      </c>
      <c r="AH194" s="1834"/>
      <c r="AI194" s="1834"/>
      <c r="AJ194" s="1835">
        <f>IF(T194&lt;1,0,IF(K194&gt;'Proposed Lighting'!AA194,0,IF('Proposed Lighting'!CF194=1,0,IF('Proposed Lighting'!AU194=1,0,IF(T194&gt;K194,0,IF(AND(AD194&gt;AA194,AA194&gt;0),0,IF(AND(F194=2,'Proposed Lighting'!AU194=3),0,IF(AND(F194=3,'Proposed Lighting'!AU194=2),0,IF('Proposed Lighting'!CH194=100,0,IF(AND(F194&lt;3,V194=1,AM194=0),0,IF(AND(F194&gt;1,AF194&lt;1,AN194&lt;1),0,IF(AND(F194&gt;1,AE194&lt;0.69,AF194&lt;1,AN194&lt;1),0,IF(ISERROR(AB194-AC194),"",AB194-AC194)))))))))))))</f>
        <v>0</v>
      </c>
      <c r="AK194" s="1835"/>
      <c r="AL194" s="1835"/>
      <c r="AM194" s="1216">
        <f>IF(Q194=0,0,IF(T194=0,0,IF(T194&gt;K194,0,IF(AND(AS194&gt;0.01,BK194=0),0,IF(AND('Proposed Lighting'!DG194=0,'Lighting Controls'!Z194=0.35),0,IF(AND(T194&lt;=K194,AA194&gt;=AD194,'Proposed Lighting'!AU194=2),VLOOKUP(Q194,$AY$9:$AZ$15,2,FALSE),IF(AND(T194&lt;=K194,AA194&gt;=AD194,'Proposed Lighting'!AU194=3),VLOOKUP(Q194,$AY$17:$AZ$23,2,FALSE))))))))</f>
        <v>0</v>
      </c>
      <c r="AN194" s="1248">
        <f>IF(T194=0,0,IF(K194&gt;'Proposed Lighting'!AA194,0,IF(AE194=0,0,IF(AND(AD194&gt;AA194,AA194&gt;0),0,IF(U194=0,0,Summary!AE497)))))</f>
        <v>0</v>
      </c>
      <c r="AO194" s="1248">
        <f t="shared" si="37"/>
        <v>0</v>
      </c>
      <c r="AP194" s="1249">
        <f>IF('Proposed Lighting'!AU194=1,0,IF(K194=0,0,IF(T194&gt;K194,0,IF(G194=0,0,IF(K194&gt;'Proposed Lighting'!AA194,0,IF(AND(AD194&gt;AA194,AA194&gt;0),0,IF(AND('Proposed Lighting'!AU194=3,AM194=0.5),0,IF(AND(AM194&gt;0,AS194&gt;0,BI194&lt;2),0,IF('Proposed Lighting'!CH194=100,0,IF(AV194=1,0,IF(AND(AM194=35,M194+N194&lt;2),0,AM194)))))))))))</f>
        <v>0</v>
      </c>
      <c r="AQ194" s="1249" t="str">
        <f>IFERROR(ROUND(IF(Q194="","",IF('Proposed Lighting'!$X$4=0,0,IF(AND(AM194=35,M194+N194&lt;2),0,IF(T194&gt;K194,0,IF('Proposed Lighting'!AU194=1,0,IF(AJ194=0,0,IF(AND('Proposed Lighting'!AU194=3,AM194=0.5),0,IF(AND(AD194=75,AP194=0,AV194=0),0,IF(AP194&gt;0.01,AP194*T194,IF(AND(F194&gt;1,W194&lt;0.01),0,IF(AND(F194&gt;1,AO194=0),0,IF(AND('Proposed Lighting'!BC194=22,AV194=0),0,IF(AND(AM194&gt;0,AS194&gt;0,BI194&lt;2),0,IF(AND(AS194&gt;0.01,BK194=0),0,IF(AND(AO194=TRUE,AV194=1,F194=3),MIN(AJ194*0.08,L194),IF(AP194&gt;0.01,AP194*T194,IF(AND(AO194=TRUE,AV194=1,F194=2),MIN(AJ194*0.1,L194)))))))))))))))))),2),"")</f>
        <v/>
      </c>
      <c r="AR194" s="1250">
        <f>IF(Q194=0,0,IF('Proposed Lighting'!$X$4=0,0,IF(AND(AM194&gt;0.01,AQ194&gt;0.01),0,IF('Proposed Lighting'!AU194=1,"Missing Interior or Exterior Selection",IF('Proposed Lighting'!CF194=1,"Selection does not match",IF(K194&gt;'Proposed Lighting'!AA194,"Quantity controlled does not match proposed lighting quantity",IF(T194&gt;K194,"Quantity of sensors exceeds proposed lighting quantity",IF(AND(F194&gt;1,'Proposed Lighting'!AU194&lt;&gt;F194),"Selection does not match",IF(AND(AD194&gt;AA194,AA194&gt;0),"Does not meet minimum connected load",IF(AND(O194&gt;0,AS194&gt;0,BK194&gt;0,'Proposed Lighting'!CH194=0),"Select Control Strategies",IF(AND(AC194&gt;0.1,AJ194=0,AQ194=0),"Does not meet incentive criteria",0)))))))))))</f>
        <v>0</v>
      </c>
      <c r="AS194" s="1224">
        <f>IF('Proposed Lighting'!CH194=100,0,IF(ISNUMBER(SEARCH("multiple",Q194)),1,0))</f>
        <v>0</v>
      </c>
      <c r="AT194" s="451">
        <f t="shared" si="34"/>
        <v>0</v>
      </c>
      <c r="AU194" s="451">
        <f t="shared" si="35"/>
        <v>0</v>
      </c>
      <c r="AV194" s="1222">
        <f>IF(ISNUMBER(SEARCH("Networked",'Proposed Lighting'!T194)),0,IF(ISNUMBER(SEARCH("Strategies",'Proposed Lighting'!T194)),0,IF(ISNUMBER(SEARCH("Removal",'Proposed Lighting'!T194)),0,IF(ISNUMBER(SEARCH("non-standard",Q194)),1,0))))</f>
        <v>0</v>
      </c>
      <c r="AW194" s="451">
        <f t="shared" si="38"/>
        <v>0</v>
      </c>
      <c r="AX194" s="451"/>
      <c r="AY194" s="451"/>
      <c r="AZ194" s="451"/>
      <c r="BA194" s="451"/>
      <c r="BB194" s="451"/>
      <c r="BC194" s="1215"/>
      <c r="BD194" s="1215"/>
      <c r="BE194" s="1215"/>
      <c r="BF194" s="1215"/>
      <c r="BG194" s="1215"/>
      <c r="BH194" s="1215"/>
      <c r="BI194">
        <f>IF(AND(AS194=1,BC194="No",BD194="Yes",BE194="Yes",BF194="No",BH194="No"),0,IF(AND('Proposed Lighting'!AU194=2,AS194=1,BC194="Yes",BD194="Yes"),2,IF(AND('Proposed Lighting'!AU194=2,AS194=1,BC194="Yes",BE194="Yes"),2,IF(AND('Proposed Lighting'!AU194=2,AS194=1,BC194="Yes",BF194="Yes"),2,IF(AND('Proposed Lighting'!AU194=2,AS194=1,BC194="Yes",BH194="Yes"),2,IF(AND('Proposed Lighting'!AU194=2,AS194=1,BD194="Yes",BF194="Yes"),2,IF(AND('Proposed Lighting'!AU194=2,AS194=1,BD194="Yes",BH194="Yes"),2,IF(AND('Proposed Lighting'!AU194=3,AS194=1,BC194="Yes",BE194="Yes"),2,IF(AND('Proposed Lighting'!AU194=3,AS194=1,BC194="Yes",BF194="Yes"),2,0)))))))))</f>
        <v>0</v>
      </c>
      <c r="BJ194" s="1025">
        <f t="shared" si="36"/>
        <v>0</v>
      </c>
      <c r="BK194">
        <f>IF(AND('Proposed Lighting'!BC194=22,'Lighting Controls'!N194=1),0,IF(ISNUMBER(SEARCH("LED",G194)),1,0))</f>
        <v>0</v>
      </c>
    </row>
    <row r="195" spans="1:63" ht="34.5" customHeight="1">
      <c r="A195" s="917">
        <v>187</v>
      </c>
      <c r="B195" s="1828" t="str">
        <f>IF('Proposed Lighting'!B195="","",'Proposed Lighting'!B195)</f>
        <v/>
      </c>
      <c r="C195" s="1828"/>
      <c r="D195" s="1828"/>
      <c r="E195" s="1245">
        <f>'Proposed Lighting'!AA195</f>
        <v>0</v>
      </c>
      <c r="F195" s="1245">
        <f t="shared" si="29"/>
        <v>0</v>
      </c>
      <c r="G195" s="1830" t="str">
        <f>IF('Proposed Lighting'!T195="","",IF(ISNUMBER(SEARCH("Networked",'Proposed Lighting'!T195)),0,IF(ISNUMBER(SEARCH("Strategies",'Proposed Lighting'!T195)),0,IF(ISNUMBER(SEARCH("Removal",'Proposed Lighting'!T195)),0,'Proposed Lighting'!T195))))</f>
        <v/>
      </c>
      <c r="H195" s="1830"/>
      <c r="I195" s="1830"/>
      <c r="J195" s="1830"/>
      <c r="K195" s="1215"/>
      <c r="L195" s="1246">
        <f t="shared" si="30"/>
        <v>0</v>
      </c>
      <c r="M195" s="1224">
        <f t="shared" si="31"/>
        <v>0</v>
      </c>
      <c r="N195" s="1224">
        <f t="shared" si="32"/>
        <v>0</v>
      </c>
      <c r="O195" s="1825" t="str">
        <f>IF(G195=0,0,IF(ISNA('Proposed Lighting'!AT195),0,'Proposed Lighting'!AT195))</f>
        <v/>
      </c>
      <c r="P195" s="1825"/>
      <c r="Q195" s="1247"/>
      <c r="R195" s="1247"/>
      <c r="S195" s="1247"/>
      <c r="T195" s="1211"/>
      <c r="U195" s="1235">
        <f>IF(K195&gt;0.01,'Proposed Lighting'!CU195,0)</f>
        <v>0</v>
      </c>
      <c r="V195" s="1248">
        <f>IF('Proposed Lighting'!CF195=1,0,IF('Proposed Lighting'!AU195=2,0,IF(AND('Proposed Lighting'!AU195=3,'Proposed Lighting'!CF195=0),1,0)))</f>
        <v>0</v>
      </c>
      <c r="W195" s="1836"/>
      <c r="X195" s="1836"/>
      <c r="Y195" s="1836"/>
      <c r="Z195" s="1230" t="str">
        <f t="shared" si="26"/>
        <v/>
      </c>
      <c r="AA195" s="1230">
        <f t="shared" si="27"/>
        <v>0</v>
      </c>
      <c r="AB195" s="1230">
        <f>IF(Q195=0,0,IF(T195=0,0,IF(AA195=0,0,IF(AND(F195=3,V195=0),0,IF(T195=0,0,IF(K195&gt;'Proposed Lighting'!AA195,0,IF('Proposed Lighting'!EJ195&gt;0.01,(K195*O195)*'Proposed Lighting'!EJ195/1000,(K195*O195)*U195/1000)))))))</f>
        <v>0</v>
      </c>
      <c r="AC195" s="1230" t="str">
        <f t="shared" si="33"/>
        <v/>
      </c>
      <c r="AD195" s="1230">
        <f t="shared" si="28"/>
        <v>0</v>
      </c>
      <c r="AE195" s="1230">
        <f>IF(T195=0,0,IF(K195&gt;'Proposed Lighting'!AA195,0,IF(T195&gt;K195,0,IF(AND(AD195&gt;AA195,AA195&gt;0),0,IF(AND(F195&gt;1,W195&lt;0.01),0,IF('Proposed Lighting'!AU195&gt;'Lighting Controls'!F195,0,IF('Proposed Lighting'!AU195&lt;'Lighting Controls'!F195,0,IF(U195=0,0,Summary!AC498))))))))</f>
        <v>0</v>
      </c>
      <c r="AF195" s="1230">
        <f>IF(T195=0,0,IF(AE195=0,0,IF(K195&gt;'Proposed Lighting'!AA195,0,IF(AND(AD195&gt;AA195,AA195&gt;0),0,IF(U195=0,0,Summary!AD498)))))</f>
        <v>0</v>
      </c>
      <c r="AG195" s="1834">
        <f>IF('Proposed Lighting'!AU195=1,0,IF('Proposed Lighting'!CF195=1,0,T195*W195))</f>
        <v>0</v>
      </c>
      <c r="AH195" s="1834"/>
      <c r="AI195" s="1834"/>
      <c r="AJ195" s="1835">
        <f>IF(T195&lt;1,0,IF(K195&gt;'Proposed Lighting'!AA195,0,IF('Proposed Lighting'!CF195=1,0,IF('Proposed Lighting'!AU195=1,0,IF(T195&gt;K195,0,IF(AND(AD195&gt;AA195,AA195&gt;0),0,IF(AND(F195=2,'Proposed Lighting'!AU195=3),0,IF(AND(F195=3,'Proposed Lighting'!AU195=2),0,IF('Proposed Lighting'!CH195=100,0,IF(AND(F195&lt;3,V195=1,AM195=0),0,IF(AND(F195&gt;1,AF195&lt;1,AN195&lt;1),0,IF(AND(F195&gt;1,AE195&lt;0.69,AF195&lt;1,AN195&lt;1),0,IF(ISERROR(AB195-AC195),"",AB195-AC195)))))))))))))</f>
        <v>0</v>
      </c>
      <c r="AK195" s="1835"/>
      <c r="AL195" s="1835"/>
      <c r="AM195" s="1216">
        <f>IF(Q195=0,0,IF(T195=0,0,IF(T195&gt;K195,0,IF(AND(AS195&gt;0.01,BK195=0),0,IF(AND('Proposed Lighting'!DG195=0,'Lighting Controls'!Z195=0.35),0,IF(AND(T195&lt;=K195,AA195&gt;=AD195,'Proposed Lighting'!AU195=2),VLOOKUP(Q195,$AY$9:$AZ$15,2,FALSE),IF(AND(T195&lt;=K195,AA195&gt;=AD195,'Proposed Lighting'!AU195=3),VLOOKUP(Q195,$AY$17:$AZ$23,2,FALSE))))))))</f>
        <v>0</v>
      </c>
      <c r="AN195" s="1248">
        <f>IF(T195=0,0,IF(K195&gt;'Proposed Lighting'!AA195,0,IF(AE195=0,0,IF(AND(AD195&gt;AA195,AA195&gt;0),0,IF(U195=0,0,Summary!AE498)))))</f>
        <v>0</v>
      </c>
      <c r="AO195" s="1248">
        <f t="shared" si="37"/>
        <v>0</v>
      </c>
      <c r="AP195" s="1249">
        <f>IF('Proposed Lighting'!AU195=1,0,IF(K195=0,0,IF(T195&gt;K195,0,IF(G195=0,0,IF(K195&gt;'Proposed Lighting'!AA195,0,IF(AND(AD195&gt;AA195,AA195&gt;0),0,IF(AND('Proposed Lighting'!AU195=3,AM195=0.5),0,IF(AND(AM195&gt;0,AS195&gt;0,BI195&lt;2),0,IF('Proposed Lighting'!CH195=100,0,IF(AV195=1,0,IF(AND(AM195=35,M195+N195&lt;2),0,AM195)))))))))))</f>
        <v>0</v>
      </c>
      <c r="AQ195" s="1249" t="str">
        <f>IFERROR(ROUND(IF(Q195="","",IF('Proposed Lighting'!$X$4=0,0,IF(AND(AM195=35,M195+N195&lt;2),0,IF(T195&gt;K195,0,IF('Proposed Lighting'!AU195=1,0,IF(AJ195=0,0,IF(AND('Proposed Lighting'!AU195=3,AM195=0.5),0,IF(AND(AD195=75,AP195=0,AV195=0),0,IF(AP195&gt;0.01,AP195*T195,IF(AND(F195&gt;1,W195&lt;0.01),0,IF(AND(F195&gt;1,AO195=0),0,IF(AND('Proposed Lighting'!BC195=22,AV195=0),0,IF(AND(AM195&gt;0,AS195&gt;0,BI195&lt;2),0,IF(AND(AS195&gt;0.01,BK195=0),0,IF(AND(AO195=TRUE,AV195=1,F195=3),MIN(AJ195*0.08,L195),IF(AP195&gt;0.01,AP195*T195,IF(AND(AO195=TRUE,AV195=1,F195=2),MIN(AJ195*0.1,L195)))))))))))))))))),2),"")</f>
        <v/>
      </c>
      <c r="AR195" s="1250">
        <f>IF(Q195=0,0,IF('Proposed Lighting'!$X$4=0,0,IF(AND(AM195&gt;0.01,AQ195&gt;0.01),0,IF('Proposed Lighting'!AU195=1,"Missing Interior or Exterior Selection",IF('Proposed Lighting'!CF195=1,"Selection does not match",IF(K195&gt;'Proposed Lighting'!AA195,"Quantity controlled does not match proposed lighting quantity",IF(T195&gt;K195,"Quantity of sensors exceeds proposed lighting quantity",IF(AND(F195&gt;1,'Proposed Lighting'!AU195&lt;&gt;F195),"Selection does not match",IF(AND(AD195&gt;AA195,AA195&gt;0),"Does not meet minimum connected load",IF(AND(O195&gt;0,AS195&gt;0,BK195&gt;0,'Proposed Lighting'!CH195=0),"Select Control Strategies",IF(AND(AC195&gt;0.1,AJ195=0,AQ195=0),"Does not meet incentive criteria",0)))))))))))</f>
        <v>0</v>
      </c>
      <c r="AS195" s="1224">
        <f>IF('Proposed Lighting'!CH195=100,0,IF(ISNUMBER(SEARCH("multiple",Q195)),1,0))</f>
        <v>0</v>
      </c>
      <c r="AT195" s="451">
        <f t="shared" si="34"/>
        <v>0</v>
      </c>
      <c r="AU195" s="451">
        <f t="shared" si="35"/>
        <v>0</v>
      </c>
      <c r="AV195" s="1222">
        <f>IF(ISNUMBER(SEARCH("Networked",'Proposed Lighting'!T195)),0,IF(ISNUMBER(SEARCH("Strategies",'Proposed Lighting'!T195)),0,IF(ISNUMBER(SEARCH("Removal",'Proposed Lighting'!T195)),0,IF(ISNUMBER(SEARCH("non-standard",Q195)),1,0))))</f>
        <v>0</v>
      </c>
      <c r="AW195" s="451">
        <f t="shared" si="38"/>
        <v>0</v>
      </c>
      <c r="AX195" s="451"/>
      <c r="AY195" s="451"/>
      <c r="AZ195" s="451"/>
      <c r="BA195" s="451"/>
      <c r="BB195" s="451"/>
      <c r="BC195" s="1215"/>
      <c r="BD195" s="1215"/>
      <c r="BE195" s="1215"/>
      <c r="BF195" s="1215"/>
      <c r="BG195" s="1215"/>
      <c r="BH195" s="1215"/>
      <c r="BI195">
        <f>IF(AND(AS195=1,BC195="No",BD195="Yes",BE195="Yes",BF195="No",BH195="No"),0,IF(AND('Proposed Lighting'!AU195=2,AS195=1,BC195="Yes",BD195="Yes"),2,IF(AND('Proposed Lighting'!AU195=2,AS195=1,BC195="Yes",BE195="Yes"),2,IF(AND('Proposed Lighting'!AU195=2,AS195=1,BC195="Yes",BF195="Yes"),2,IF(AND('Proposed Lighting'!AU195=2,AS195=1,BC195="Yes",BH195="Yes"),2,IF(AND('Proposed Lighting'!AU195=2,AS195=1,BD195="Yes",BF195="Yes"),2,IF(AND('Proposed Lighting'!AU195=2,AS195=1,BD195="Yes",BH195="Yes"),2,IF(AND('Proposed Lighting'!AU195=3,AS195=1,BC195="Yes",BE195="Yes"),2,IF(AND('Proposed Lighting'!AU195=3,AS195=1,BC195="Yes",BF195="Yes"),2,0)))))))))</f>
        <v>0</v>
      </c>
      <c r="BJ195" s="1025">
        <f t="shared" si="36"/>
        <v>0</v>
      </c>
      <c r="BK195">
        <f>IF(AND('Proposed Lighting'!BC195=22,'Lighting Controls'!N195=1),0,IF(ISNUMBER(SEARCH("LED",G195)),1,0))</f>
        <v>0</v>
      </c>
    </row>
    <row r="196" spans="1:63" ht="34.5" customHeight="1">
      <c r="A196" s="917">
        <v>188</v>
      </c>
      <c r="B196" s="1828" t="str">
        <f>IF('Proposed Lighting'!B196="","",'Proposed Lighting'!B196)</f>
        <v/>
      </c>
      <c r="C196" s="1828"/>
      <c r="D196" s="1828"/>
      <c r="E196" s="1245">
        <f>'Proposed Lighting'!AA196</f>
        <v>0</v>
      </c>
      <c r="F196" s="1245">
        <f t="shared" si="29"/>
        <v>0</v>
      </c>
      <c r="G196" s="1830" t="str">
        <f>IF('Proposed Lighting'!T196="","",IF(ISNUMBER(SEARCH("Networked",'Proposed Lighting'!T196)),0,IF(ISNUMBER(SEARCH("Strategies",'Proposed Lighting'!T196)),0,IF(ISNUMBER(SEARCH("Removal",'Proposed Lighting'!T196)),0,'Proposed Lighting'!T196))))</f>
        <v/>
      </c>
      <c r="H196" s="1830"/>
      <c r="I196" s="1830"/>
      <c r="J196" s="1830"/>
      <c r="K196" s="1215"/>
      <c r="L196" s="1246">
        <f t="shared" si="30"/>
        <v>0</v>
      </c>
      <c r="M196" s="1224">
        <f t="shared" si="31"/>
        <v>0</v>
      </c>
      <c r="N196" s="1224">
        <f t="shared" si="32"/>
        <v>0</v>
      </c>
      <c r="O196" s="1825" t="str">
        <f>IF(G196=0,0,IF(ISNA('Proposed Lighting'!AT196),0,'Proposed Lighting'!AT196))</f>
        <v/>
      </c>
      <c r="P196" s="1825"/>
      <c r="Q196" s="1247"/>
      <c r="R196" s="1247"/>
      <c r="S196" s="1247"/>
      <c r="T196" s="1211"/>
      <c r="U196" s="1235">
        <f>IF(K196&gt;0.01,'Proposed Lighting'!CU196,0)</f>
        <v>0</v>
      </c>
      <c r="V196" s="1248">
        <f>IF('Proposed Lighting'!CF196=1,0,IF('Proposed Lighting'!AU196=2,0,IF(AND('Proposed Lighting'!AU196=3,'Proposed Lighting'!CF196=0),1,0)))</f>
        <v>0</v>
      </c>
      <c r="W196" s="1836"/>
      <c r="X196" s="1836"/>
      <c r="Y196" s="1836"/>
      <c r="Z196" s="1230" t="str">
        <f t="shared" si="26"/>
        <v/>
      </c>
      <c r="AA196" s="1230">
        <f t="shared" si="27"/>
        <v>0</v>
      </c>
      <c r="AB196" s="1230">
        <f>IF(Q196=0,0,IF(T196=0,0,IF(AA196=0,0,IF(AND(F196=3,V196=0),0,IF(T196=0,0,IF(K196&gt;'Proposed Lighting'!AA196,0,IF('Proposed Lighting'!EJ196&gt;0.01,(K196*O196)*'Proposed Lighting'!EJ196/1000,(K196*O196)*U196/1000)))))))</f>
        <v>0</v>
      </c>
      <c r="AC196" s="1230" t="str">
        <f t="shared" si="33"/>
        <v/>
      </c>
      <c r="AD196" s="1230">
        <f t="shared" si="28"/>
        <v>0</v>
      </c>
      <c r="AE196" s="1230">
        <f>IF(T196=0,0,IF(K196&gt;'Proposed Lighting'!AA196,0,IF(T196&gt;K196,0,IF(AND(AD196&gt;AA196,AA196&gt;0),0,IF(AND(F196&gt;1,W196&lt;0.01),0,IF('Proposed Lighting'!AU196&gt;'Lighting Controls'!F196,0,IF('Proposed Lighting'!AU196&lt;'Lighting Controls'!F196,0,IF(U196=0,0,Summary!AC499))))))))</f>
        <v>0</v>
      </c>
      <c r="AF196" s="1230">
        <f>IF(T196=0,0,IF(AE196=0,0,IF(K196&gt;'Proposed Lighting'!AA196,0,IF(AND(AD196&gt;AA196,AA196&gt;0),0,IF(U196=0,0,Summary!AD499)))))</f>
        <v>0</v>
      </c>
      <c r="AG196" s="1834">
        <f>IF('Proposed Lighting'!AU196=1,0,IF('Proposed Lighting'!CF196=1,0,T196*W196))</f>
        <v>0</v>
      </c>
      <c r="AH196" s="1834"/>
      <c r="AI196" s="1834"/>
      <c r="AJ196" s="1835">
        <f>IF(T196&lt;1,0,IF(K196&gt;'Proposed Lighting'!AA196,0,IF('Proposed Lighting'!CF196=1,0,IF('Proposed Lighting'!AU196=1,0,IF(T196&gt;K196,0,IF(AND(AD196&gt;AA196,AA196&gt;0),0,IF(AND(F196=2,'Proposed Lighting'!AU196=3),0,IF(AND(F196=3,'Proposed Lighting'!AU196=2),0,IF('Proposed Lighting'!CH196=100,0,IF(AND(F196&lt;3,V196=1,AM196=0),0,IF(AND(F196&gt;1,AF196&lt;1,AN196&lt;1),0,IF(AND(F196&gt;1,AE196&lt;0.69,AF196&lt;1,AN196&lt;1),0,IF(ISERROR(AB196-AC196),"",AB196-AC196)))))))))))))</f>
        <v>0</v>
      </c>
      <c r="AK196" s="1835"/>
      <c r="AL196" s="1835"/>
      <c r="AM196" s="1216">
        <f>IF(Q196=0,0,IF(T196=0,0,IF(T196&gt;K196,0,IF(AND(AS196&gt;0.01,BK196=0),0,IF(AND('Proposed Lighting'!DG196=0,'Lighting Controls'!Z196=0.35),0,IF(AND(T196&lt;=K196,AA196&gt;=AD196,'Proposed Lighting'!AU196=2),VLOOKUP(Q196,$AY$9:$AZ$15,2,FALSE),IF(AND(T196&lt;=K196,AA196&gt;=AD196,'Proposed Lighting'!AU196=3),VLOOKUP(Q196,$AY$17:$AZ$23,2,FALSE))))))))</f>
        <v>0</v>
      </c>
      <c r="AN196" s="1248">
        <f>IF(T196=0,0,IF(K196&gt;'Proposed Lighting'!AA196,0,IF(AE196=0,0,IF(AND(AD196&gt;AA196,AA196&gt;0),0,IF(U196=0,0,Summary!AE499)))))</f>
        <v>0</v>
      </c>
      <c r="AO196" s="1248">
        <f t="shared" si="37"/>
        <v>0</v>
      </c>
      <c r="AP196" s="1249">
        <f>IF('Proposed Lighting'!AU196=1,0,IF(K196=0,0,IF(T196&gt;K196,0,IF(G196=0,0,IF(K196&gt;'Proposed Lighting'!AA196,0,IF(AND(AD196&gt;AA196,AA196&gt;0),0,IF(AND('Proposed Lighting'!AU196=3,AM196=0.5),0,IF(AND(AM196&gt;0,AS196&gt;0,BI196&lt;2),0,IF('Proposed Lighting'!CH196=100,0,IF(AV196=1,0,IF(AND(AM196=35,M196+N196&lt;2),0,AM196)))))))))))</f>
        <v>0</v>
      </c>
      <c r="AQ196" s="1249" t="str">
        <f>IFERROR(ROUND(IF(Q196="","",IF('Proposed Lighting'!$X$4=0,0,IF(AND(AM196=35,M196+N196&lt;2),0,IF(T196&gt;K196,0,IF('Proposed Lighting'!AU196=1,0,IF(AJ196=0,0,IF(AND('Proposed Lighting'!AU196=3,AM196=0.5),0,IF(AND(AD196=75,AP196=0,AV196=0),0,IF(AP196&gt;0.01,AP196*T196,IF(AND(F196&gt;1,W196&lt;0.01),0,IF(AND(F196&gt;1,AO196=0),0,IF(AND('Proposed Lighting'!BC196=22,AV196=0),0,IF(AND(AM196&gt;0,AS196&gt;0,BI196&lt;2),0,IF(AND(AS196&gt;0.01,BK196=0),0,IF(AND(AO196=TRUE,AV196=1,F196=3),MIN(AJ196*0.08,L196),IF(AP196&gt;0.01,AP196*T196,IF(AND(AO196=TRUE,AV196=1,F196=2),MIN(AJ196*0.1,L196)))))))))))))))))),2),"")</f>
        <v/>
      </c>
      <c r="AR196" s="1250">
        <f>IF(Q196=0,0,IF('Proposed Lighting'!$X$4=0,0,IF(AND(AM196&gt;0.01,AQ196&gt;0.01),0,IF('Proposed Lighting'!AU196=1,"Missing Interior or Exterior Selection",IF('Proposed Lighting'!CF196=1,"Selection does not match",IF(K196&gt;'Proposed Lighting'!AA196,"Quantity controlled does not match proposed lighting quantity",IF(T196&gt;K196,"Quantity of sensors exceeds proposed lighting quantity",IF(AND(F196&gt;1,'Proposed Lighting'!AU196&lt;&gt;F196),"Selection does not match",IF(AND(AD196&gt;AA196,AA196&gt;0),"Does not meet minimum connected load",IF(AND(O196&gt;0,AS196&gt;0,BK196&gt;0,'Proposed Lighting'!CH196=0),"Select Control Strategies",IF(AND(AC196&gt;0.1,AJ196=0,AQ196=0),"Does not meet incentive criteria",0)))))))))))</f>
        <v>0</v>
      </c>
      <c r="AS196" s="1224">
        <f>IF('Proposed Lighting'!CH196=100,0,IF(ISNUMBER(SEARCH("multiple",Q196)),1,0))</f>
        <v>0</v>
      </c>
      <c r="AT196" s="451">
        <f t="shared" si="34"/>
        <v>0</v>
      </c>
      <c r="AU196" s="451">
        <f t="shared" si="35"/>
        <v>0</v>
      </c>
      <c r="AV196" s="1222">
        <f>IF(ISNUMBER(SEARCH("Networked",'Proposed Lighting'!T196)),0,IF(ISNUMBER(SEARCH("Strategies",'Proposed Lighting'!T196)),0,IF(ISNUMBER(SEARCH("Removal",'Proposed Lighting'!T196)),0,IF(ISNUMBER(SEARCH("non-standard",Q196)),1,0))))</f>
        <v>0</v>
      </c>
      <c r="AW196" s="451">
        <f t="shared" si="38"/>
        <v>0</v>
      </c>
      <c r="AX196" s="451"/>
      <c r="AY196" s="451"/>
      <c r="AZ196" s="451"/>
      <c r="BA196" s="451"/>
      <c r="BB196" s="451"/>
      <c r="BC196" s="1215"/>
      <c r="BD196" s="1215"/>
      <c r="BE196" s="1215"/>
      <c r="BF196" s="1215"/>
      <c r="BG196" s="1215"/>
      <c r="BH196" s="1215"/>
      <c r="BI196">
        <f>IF(AND(AS196=1,BC196="No",BD196="Yes",BE196="Yes",BF196="No",BH196="No"),0,IF(AND('Proposed Lighting'!AU196=2,AS196=1,BC196="Yes",BD196="Yes"),2,IF(AND('Proposed Lighting'!AU196=2,AS196=1,BC196="Yes",BE196="Yes"),2,IF(AND('Proposed Lighting'!AU196=2,AS196=1,BC196="Yes",BF196="Yes"),2,IF(AND('Proposed Lighting'!AU196=2,AS196=1,BC196="Yes",BH196="Yes"),2,IF(AND('Proposed Lighting'!AU196=2,AS196=1,BD196="Yes",BF196="Yes"),2,IF(AND('Proposed Lighting'!AU196=2,AS196=1,BD196="Yes",BH196="Yes"),2,IF(AND('Proposed Lighting'!AU196=3,AS196=1,BC196="Yes",BE196="Yes"),2,IF(AND('Proposed Lighting'!AU196=3,AS196=1,BC196="Yes",BF196="Yes"),2,0)))))))))</f>
        <v>0</v>
      </c>
      <c r="BJ196" s="1025">
        <f t="shared" si="36"/>
        <v>0</v>
      </c>
      <c r="BK196">
        <f>IF(AND('Proposed Lighting'!BC196=22,'Lighting Controls'!N196=1),0,IF(ISNUMBER(SEARCH("LED",G196)),1,0))</f>
        <v>0</v>
      </c>
    </row>
    <row r="197" spans="1:63" ht="34.5" customHeight="1">
      <c r="A197" s="917">
        <v>189</v>
      </c>
      <c r="B197" s="1828" t="str">
        <f>IF('Proposed Lighting'!B197="","",'Proposed Lighting'!B197)</f>
        <v/>
      </c>
      <c r="C197" s="1828"/>
      <c r="D197" s="1828"/>
      <c r="E197" s="1245">
        <f>'Proposed Lighting'!AA197</f>
        <v>0</v>
      </c>
      <c r="F197" s="1245">
        <f t="shared" si="29"/>
        <v>0</v>
      </c>
      <c r="G197" s="1830" t="str">
        <f>IF('Proposed Lighting'!T197="","",IF(ISNUMBER(SEARCH("Networked",'Proposed Lighting'!T197)),0,IF(ISNUMBER(SEARCH("Strategies",'Proposed Lighting'!T197)),0,IF(ISNUMBER(SEARCH("Removal",'Proposed Lighting'!T197)),0,'Proposed Lighting'!T197))))</f>
        <v/>
      </c>
      <c r="H197" s="1830"/>
      <c r="I197" s="1830"/>
      <c r="J197" s="1830"/>
      <c r="K197" s="1215"/>
      <c r="L197" s="1246">
        <f t="shared" si="30"/>
        <v>0</v>
      </c>
      <c r="M197" s="1224">
        <f t="shared" si="31"/>
        <v>0</v>
      </c>
      <c r="N197" s="1224">
        <f t="shared" si="32"/>
        <v>0</v>
      </c>
      <c r="O197" s="1825" t="str">
        <f>IF(G197=0,0,IF(ISNA('Proposed Lighting'!AT197),0,'Proposed Lighting'!AT197))</f>
        <v/>
      </c>
      <c r="P197" s="1825"/>
      <c r="Q197" s="1247"/>
      <c r="R197" s="1247"/>
      <c r="S197" s="1247"/>
      <c r="T197" s="1211"/>
      <c r="U197" s="1235">
        <f>IF(K197&gt;0.01,'Proposed Lighting'!CU197,0)</f>
        <v>0</v>
      </c>
      <c r="V197" s="1248">
        <f>IF('Proposed Lighting'!CF197=1,0,IF('Proposed Lighting'!AU197=2,0,IF(AND('Proposed Lighting'!AU197=3,'Proposed Lighting'!CF197=0),1,0)))</f>
        <v>0</v>
      </c>
      <c r="W197" s="1836"/>
      <c r="X197" s="1836"/>
      <c r="Y197" s="1836"/>
      <c r="Z197" s="1230" t="str">
        <f t="shared" si="26"/>
        <v/>
      </c>
      <c r="AA197" s="1230">
        <f t="shared" si="27"/>
        <v>0</v>
      </c>
      <c r="AB197" s="1230">
        <f>IF(Q197=0,0,IF(T197=0,0,IF(AA197=0,0,IF(AND(F197=3,V197=0),0,IF(T197=0,0,IF(K197&gt;'Proposed Lighting'!AA197,0,IF('Proposed Lighting'!EJ197&gt;0.01,(K197*O197)*'Proposed Lighting'!EJ197/1000,(K197*O197)*U197/1000)))))))</f>
        <v>0</v>
      </c>
      <c r="AC197" s="1230" t="str">
        <f t="shared" si="33"/>
        <v/>
      </c>
      <c r="AD197" s="1230">
        <f t="shared" si="28"/>
        <v>0</v>
      </c>
      <c r="AE197" s="1230">
        <f>IF(T197=0,0,IF(K197&gt;'Proposed Lighting'!AA197,0,IF(T197&gt;K197,0,IF(AND(AD197&gt;AA197,AA197&gt;0),0,IF(AND(F197&gt;1,W197&lt;0.01),0,IF('Proposed Lighting'!AU197&gt;'Lighting Controls'!F197,0,IF('Proposed Lighting'!AU197&lt;'Lighting Controls'!F197,0,IF(U197=0,0,Summary!AC500))))))))</f>
        <v>0</v>
      </c>
      <c r="AF197" s="1230">
        <f>IF(T197=0,0,IF(AE197=0,0,IF(K197&gt;'Proposed Lighting'!AA197,0,IF(AND(AD197&gt;AA197,AA197&gt;0),0,IF(U197=0,0,Summary!AD500)))))</f>
        <v>0</v>
      </c>
      <c r="AG197" s="1834">
        <f>IF('Proposed Lighting'!AU197=1,0,IF('Proposed Lighting'!CF197=1,0,T197*W197))</f>
        <v>0</v>
      </c>
      <c r="AH197" s="1834"/>
      <c r="AI197" s="1834"/>
      <c r="AJ197" s="1835">
        <f>IF(T197&lt;1,0,IF(K197&gt;'Proposed Lighting'!AA197,0,IF('Proposed Lighting'!CF197=1,0,IF('Proposed Lighting'!AU197=1,0,IF(T197&gt;K197,0,IF(AND(AD197&gt;AA197,AA197&gt;0),0,IF(AND(F197=2,'Proposed Lighting'!AU197=3),0,IF(AND(F197=3,'Proposed Lighting'!AU197=2),0,IF('Proposed Lighting'!CH197=100,0,IF(AND(F197&lt;3,V197=1,AM197=0),0,IF(AND(F197&gt;1,AF197&lt;1,AN197&lt;1),0,IF(AND(F197&gt;1,AE197&lt;0.69,AF197&lt;1,AN197&lt;1),0,IF(ISERROR(AB197-AC197),"",AB197-AC197)))))))))))))</f>
        <v>0</v>
      </c>
      <c r="AK197" s="1835"/>
      <c r="AL197" s="1835"/>
      <c r="AM197" s="1216">
        <f>IF(Q197=0,0,IF(T197=0,0,IF(T197&gt;K197,0,IF(AND(AS197&gt;0.01,BK197=0),0,IF(AND('Proposed Lighting'!DG197=0,'Lighting Controls'!Z197=0.35),0,IF(AND(T197&lt;=K197,AA197&gt;=AD197,'Proposed Lighting'!AU197=2),VLOOKUP(Q197,$AY$9:$AZ$15,2,FALSE),IF(AND(T197&lt;=K197,AA197&gt;=AD197,'Proposed Lighting'!AU197=3),VLOOKUP(Q197,$AY$17:$AZ$23,2,FALSE))))))))</f>
        <v>0</v>
      </c>
      <c r="AN197" s="1248">
        <f>IF(T197=0,0,IF(K197&gt;'Proposed Lighting'!AA197,0,IF(AE197=0,0,IF(AND(AD197&gt;AA197,AA197&gt;0),0,IF(U197=0,0,Summary!AE500)))))</f>
        <v>0</v>
      </c>
      <c r="AO197" s="1248">
        <f t="shared" si="37"/>
        <v>0</v>
      </c>
      <c r="AP197" s="1249">
        <f>IF('Proposed Lighting'!AU197=1,0,IF(K197=0,0,IF(T197&gt;K197,0,IF(G197=0,0,IF(K197&gt;'Proposed Lighting'!AA197,0,IF(AND(AD197&gt;AA197,AA197&gt;0),0,IF(AND('Proposed Lighting'!AU197=3,AM197=0.5),0,IF(AND(AM197&gt;0,AS197&gt;0,BI197&lt;2),0,IF('Proposed Lighting'!CH197=100,0,IF(AV197=1,0,IF(AND(AM197=35,M197+N197&lt;2),0,AM197)))))))))))</f>
        <v>0</v>
      </c>
      <c r="AQ197" s="1249" t="str">
        <f>IFERROR(ROUND(IF(Q197="","",IF('Proposed Lighting'!$X$4=0,0,IF(AND(AM197=35,M197+N197&lt;2),0,IF(T197&gt;K197,0,IF('Proposed Lighting'!AU197=1,0,IF(AJ197=0,0,IF(AND('Proposed Lighting'!AU197=3,AM197=0.5),0,IF(AND(AD197=75,AP197=0,AV197=0),0,IF(AP197&gt;0.01,AP197*T197,IF(AND(F197&gt;1,W197&lt;0.01),0,IF(AND(F197&gt;1,AO197=0),0,IF(AND('Proposed Lighting'!BC197=22,AV197=0),0,IF(AND(AM197&gt;0,AS197&gt;0,BI197&lt;2),0,IF(AND(AS197&gt;0.01,BK197=0),0,IF(AND(AO197=TRUE,AV197=1,F197=3),MIN(AJ197*0.08,L197),IF(AP197&gt;0.01,AP197*T197,IF(AND(AO197=TRUE,AV197=1,F197=2),MIN(AJ197*0.1,L197)))))))))))))))))),2),"")</f>
        <v/>
      </c>
      <c r="AR197" s="1250">
        <f>IF(Q197=0,0,IF('Proposed Lighting'!$X$4=0,0,IF(AND(AM197&gt;0.01,AQ197&gt;0.01),0,IF('Proposed Lighting'!AU197=1,"Missing Interior or Exterior Selection",IF('Proposed Lighting'!CF197=1,"Selection does not match",IF(K197&gt;'Proposed Lighting'!AA197,"Quantity controlled does not match proposed lighting quantity",IF(T197&gt;K197,"Quantity of sensors exceeds proposed lighting quantity",IF(AND(F197&gt;1,'Proposed Lighting'!AU197&lt;&gt;F197),"Selection does not match",IF(AND(AD197&gt;AA197,AA197&gt;0),"Does not meet minimum connected load",IF(AND(O197&gt;0,AS197&gt;0,BK197&gt;0,'Proposed Lighting'!CH197=0),"Select Control Strategies",IF(AND(AC197&gt;0.1,AJ197=0,AQ197=0),"Does not meet incentive criteria",0)))))))))))</f>
        <v>0</v>
      </c>
      <c r="AS197" s="1224">
        <f>IF('Proposed Lighting'!CH197=100,0,IF(ISNUMBER(SEARCH("multiple",Q197)),1,0))</f>
        <v>0</v>
      </c>
      <c r="AT197" s="451">
        <f t="shared" si="34"/>
        <v>0</v>
      </c>
      <c r="AU197" s="451">
        <f t="shared" si="35"/>
        <v>0</v>
      </c>
      <c r="AV197" s="1222">
        <f>IF(ISNUMBER(SEARCH("Networked",'Proposed Lighting'!T197)),0,IF(ISNUMBER(SEARCH("Strategies",'Proposed Lighting'!T197)),0,IF(ISNUMBER(SEARCH("Removal",'Proposed Lighting'!T197)),0,IF(ISNUMBER(SEARCH("non-standard",Q197)),1,0))))</f>
        <v>0</v>
      </c>
      <c r="AW197" s="451">
        <f t="shared" si="38"/>
        <v>0</v>
      </c>
      <c r="AX197" s="451"/>
      <c r="AY197" s="451"/>
      <c r="AZ197" s="451"/>
      <c r="BA197" s="451"/>
      <c r="BB197" s="451"/>
      <c r="BC197" s="1215"/>
      <c r="BD197" s="1215"/>
      <c r="BE197" s="1215"/>
      <c r="BF197" s="1215"/>
      <c r="BG197" s="1215"/>
      <c r="BH197" s="1215"/>
      <c r="BI197">
        <f>IF(AND(AS197=1,BC197="No",BD197="Yes",BE197="Yes",BF197="No",BH197="No"),0,IF(AND('Proposed Lighting'!AU197=2,AS197=1,BC197="Yes",BD197="Yes"),2,IF(AND('Proposed Lighting'!AU197=2,AS197=1,BC197="Yes",BE197="Yes"),2,IF(AND('Proposed Lighting'!AU197=2,AS197=1,BC197="Yes",BF197="Yes"),2,IF(AND('Proposed Lighting'!AU197=2,AS197=1,BC197="Yes",BH197="Yes"),2,IF(AND('Proposed Lighting'!AU197=2,AS197=1,BD197="Yes",BF197="Yes"),2,IF(AND('Proposed Lighting'!AU197=2,AS197=1,BD197="Yes",BH197="Yes"),2,IF(AND('Proposed Lighting'!AU197=3,AS197=1,BC197="Yes",BE197="Yes"),2,IF(AND('Proposed Lighting'!AU197=3,AS197=1,BC197="Yes",BF197="Yes"),2,0)))))))))</f>
        <v>0</v>
      </c>
      <c r="BJ197" s="1025">
        <f t="shared" si="36"/>
        <v>0</v>
      </c>
      <c r="BK197">
        <f>IF(AND('Proposed Lighting'!BC197=22,'Lighting Controls'!N197=1),0,IF(ISNUMBER(SEARCH("LED",G197)),1,0))</f>
        <v>0</v>
      </c>
    </row>
    <row r="198" spans="1:63" ht="34.5" customHeight="1">
      <c r="A198" s="917">
        <v>190</v>
      </c>
      <c r="B198" s="1828" t="str">
        <f>IF('Proposed Lighting'!B198="","",'Proposed Lighting'!B198)</f>
        <v/>
      </c>
      <c r="C198" s="1828"/>
      <c r="D198" s="1828"/>
      <c r="E198" s="1245">
        <f>'Proposed Lighting'!AA198</f>
        <v>0</v>
      </c>
      <c r="F198" s="1245">
        <f t="shared" si="29"/>
        <v>0</v>
      </c>
      <c r="G198" s="1830" t="str">
        <f>IF('Proposed Lighting'!T198="","",IF(ISNUMBER(SEARCH("Networked",'Proposed Lighting'!T198)),0,IF(ISNUMBER(SEARCH("Strategies",'Proposed Lighting'!T198)),0,IF(ISNUMBER(SEARCH("Removal",'Proposed Lighting'!T198)),0,'Proposed Lighting'!T198))))</f>
        <v/>
      </c>
      <c r="H198" s="1830"/>
      <c r="I198" s="1830"/>
      <c r="J198" s="1830"/>
      <c r="K198" s="1215"/>
      <c r="L198" s="1246">
        <f t="shared" si="30"/>
        <v>0</v>
      </c>
      <c r="M198" s="1224">
        <f t="shared" si="31"/>
        <v>0</v>
      </c>
      <c r="N198" s="1224">
        <f t="shared" si="32"/>
        <v>0</v>
      </c>
      <c r="O198" s="1825" t="str">
        <f>IF(G198=0,0,IF(ISNA('Proposed Lighting'!AT198),0,'Proposed Lighting'!AT198))</f>
        <v/>
      </c>
      <c r="P198" s="1825"/>
      <c r="Q198" s="1247"/>
      <c r="R198" s="1247"/>
      <c r="S198" s="1247"/>
      <c r="T198" s="1211"/>
      <c r="U198" s="1235">
        <f>IF(K198&gt;0.01,'Proposed Lighting'!CU198,0)</f>
        <v>0</v>
      </c>
      <c r="V198" s="1248">
        <f>IF('Proposed Lighting'!CF198=1,0,IF('Proposed Lighting'!AU198=2,0,IF(AND('Proposed Lighting'!AU198=3,'Proposed Lighting'!CF198=0),1,0)))</f>
        <v>0</v>
      </c>
      <c r="W198" s="1836"/>
      <c r="X198" s="1836"/>
      <c r="Y198" s="1836"/>
      <c r="Z198" s="1230" t="str">
        <f t="shared" si="26"/>
        <v/>
      </c>
      <c r="AA198" s="1230">
        <f t="shared" si="27"/>
        <v>0</v>
      </c>
      <c r="AB198" s="1230">
        <f>IF(Q198=0,0,IF(T198=0,0,IF(AA198=0,0,IF(AND(F198=3,V198=0),0,IF(T198=0,0,IF(K198&gt;'Proposed Lighting'!AA198,0,IF('Proposed Lighting'!EJ198&gt;0.01,(K198*O198)*'Proposed Lighting'!EJ198/1000,(K198*O198)*U198/1000)))))))</f>
        <v>0</v>
      </c>
      <c r="AC198" s="1230" t="str">
        <f t="shared" si="33"/>
        <v/>
      </c>
      <c r="AD198" s="1230">
        <f t="shared" si="28"/>
        <v>0</v>
      </c>
      <c r="AE198" s="1230">
        <f>IF(T198=0,0,IF(K198&gt;'Proposed Lighting'!AA198,0,IF(T198&gt;K198,0,IF(AND(AD198&gt;AA198,AA198&gt;0),0,IF(AND(F198&gt;1,W198&lt;0.01),0,IF('Proposed Lighting'!AU198&gt;'Lighting Controls'!F198,0,IF('Proposed Lighting'!AU198&lt;'Lighting Controls'!F198,0,IF(U198=0,0,Summary!AC501))))))))</f>
        <v>0</v>
      </c>
      <c r="AF198" s="1230">
        <f>IF(T198=0,0,IF(AE198=0,0,IF(K198&gt;'Proposed Lighting'!AA198,0,IF(AND(AD198&gt;AA198,AA198&gt;0),0,IF(U198=0,0,Summary!AD501)))))</f>
        <v>0</v>
      </c>
      <c r="AG198" s="1834">
        <f>IF('Proposed Lighting'!AU198=1,0,IF('Proposed Lighting'!CF198=1,0,T198*W198))</f>
        <v>0</v>
      </c>
      <c r="AH198" s="1834"/>
      <c r="AI198" s="1834"/>
      <c r="AJ198" s="1835">
        <f>IF(T198&lt;1,0,IF(K198&gt;'Proposed Lighting'!AA198,0,IF('Proposed Lighting'!CF198=1,0,IF('Proposed Lighting'!AU198=1,0,IF(T198&gt;K198,0,IF(AND(AD198&gt;AA198,AA198&gt;0),0,IF(AND(F198=2,'Proposed Lighting'!AU198=3),0,IF(AND(F198=3,'Proposed Lighting'!AU198=2),0,IF('Proposed Lighting'!CH198=100,0,IF(AND(F198&lt;3,V198=1,AM198=0),0,IF(AND(F198&gt;1,AF198&lt;1,AN198&lt;1),0,IF(AND(F198&gt;1,AE198&lt;0.69,AF198&lt;1,AN198&lt;1),0,IF(ISERROR(AB198-AC198),"",AB198-AC198)))))))))))))</f>
        <v>0</v>
      </c>
      <c r="AK198" s="1835"/>
      <c r="AL198" s="1835"/>
      <c r="AM198" s="1216">
        <f>IF(Q198=0,0,IF(T198=0,0,IF(T198&gt;K198,0,IF(AND(AS198&gt;0.01,BK198=0),0,IF(AND('Proposed Lighting'!DG198=0,'Lighting Controls'!Z198=0.35),0,IF(AND(T198&lt;=K198,AA198&gt;=AD198,'Proposed Lighting'!AU198=2),VLOOKUP(Q198,$AY$9:$AZ$15,2,FALSE),IF(AND(T198&lt;=K198,AA198&gt;=AD198,'Proposed Lighting'!AU198=3),VLOOKUP(Q198,$AY$17:$AZ$23,2,FALSE))))))))</f>
        <v>0</v>
      </c>
      <c r="AN198" s="1248">
        <f>IF(T198=0,0,IF(K198&gt;'Proposed Lighting'!AA198,0,IF(AE198=0,0,IF(AND(AD198&gt;AA198,AA198&gt;0),0,IF(U198=0,0,Summary!AE501)))))</f>
        <v>0</v>
      </c>
      <c r="AO198" s="1248">
        <f t="shared" si="37"/>
        <v>0</v>
      </c>
      <c r="AP198" s="1249">
        <f>IF('Proposed Lighting'!AU198=1,0,IF(K198=0,0,IF(T198&gt;K198,0,IF(G198=0,0,IF(K198&gt;'Proposed Lighting'!AA198,0,IF(AND(AD198&gt;AA198,AA198&gt;0),0,IF(AND('Proposed Lighting'!AU198=3,AM198=0.5),0,IF(AND(AM198&gt;0,AS198&gt;0,BI198&lt;2),0,IF('Proposed Lighting'!CH198=100,0,IF(AV198=1,0,IF(AND(AM198=35,M198+N198&lt;2),0,AM198)))))))))))</f>
        <v>0</v>
      </c>
      <c r="AQ198" s="1249" t="str">
        <f>IFERROR(ROUND(IF(Q198="","",IF('Proposed Lighting'!$X$4=0,0,IF(AND(AM198=35,M198+N198&lt;2),0,IF(T198&gt;K198,0,IF('Proposed Lighting'!AU198=1,0,IF(AJ198=0,0,IF(AND('Proposed Lighting'!AU198=3,AM198=0.5),0,IF(AND(AD198=75,AP198=0,AV198=0),0,IF(AP198&gt;0.01,AP198*T198,IF(AND(F198&gt;1,W198&lt;0.01),0,IF(AND(F198&gt;1,AO198=0),0,IF(AND('Proposed Lighting'!BC198=22,AV198=0),0,IF(AND(AM198&gt;0,AS198&gt;0,BI198&lt;2),0,IF(AND(AS198&gt;0.01,BK198=0),0,IF(AND(AO198=TRUE,AV198=1,F198=3),MIN(AJ198*0.08,L198),IF(AP198&gt;0.01,AP198*T198,IF(AND(AO198=TRUE,AV198=1,F198=2),MIN(AJ198*0.1,L198)))))))))))))))))),2),"")</f>
        <v/>
      </c>
      <c r="AR198" s="1250">
        <f>IF(Q198=0,0,IF('Proposed Lighting'!$X$4=0,0,IF(AND(AM198&gt;0.01,AQ198&gt;0.01),0,IF('Proposed Lighting'!AU198=1,"Missing Interior or Exterior Selection",IF('Proposed Lighting'!CF198=1,"Selection does not match",IF(K198&gt;'Proposed Lighting'!AA198,"Quantity controlled does not match proposed lighting quantity",IF(T198&gt;K198,"Quantity of sensors exceeds proposed lighting quantity",IF(AND(F198&gt;1,'Proposed Lighting'!AU198&lt;&gt;F198),"Selection does not match",IF(AND(AD198&gt;AA198,AA198&gt;0),"Does not meet minimum connected load",IF(AND(O198&gt;0,AS198&gt;0,BK198&gt;0,'Proposed Lighting'!CH198=0),"Select Control Strategies",IF(AND(AC198&gt;0.1,AJ198=0,AQ198=0),"Does not meet incentive criteria",0)))))))))))</f>
        <v>0</v>
      </c>
      <c r="AS198" s="1224">
        <f>IF('Proposed Lighting'!CH198=100,0,IF(ISNUMBER(SEARCH("multiple",Q198)),1,0))</f>
        <v>0</v>
      </c>
      <c r="AT198" s="451">
        <f t="shared" si="34"/>
        <v>0</v>
      </c>
      <c r="AU198" s="451">
        <f t="shared" si="35"/>
        <v>0</v>
      </c>
      <c r="AV198" s="1222">
        <f>IF(ISNUMBER(SEARCH("Networked",'Proposed Lighting'!T198)),0,IF(ISNUMBER(SEARCH("Strategies",'Proposed Lighting'!T198)),0,IF(ISNUMBER(SEARCH("Removal",'Proposed Lighting'!T198)),0,IF(ISNUMBER(SEARCH("non-standard",Q198)),1,0))))</f>
        <v>0</v>
      </c>
      <c r="AW198" s="451">
        <f t="shared" si="38"/>
        <v>0</v>
      </c>
      <c r="AX198" s="451"/>
      <c r="AY198" s="451"/>
      <c r="AZ198" s="451"/>
      <c r="BA198" s="451"/>
      <c r="BB198" s="451"/>
      <c r="BC198" s="1215"/>
      <c r="BD198" s="1215"/>
      <c r="BE198" s="1215"/>
      <c r="BF198" s="1215"/>
      <c r="BG198" s="1215"/>
      <c r="BH198" s="1215"/>
      <c r="BI198">
        <f>IF(AND(AS198=1,BC198="No",BD198="Yes",BE198="Yes",BF198="No",BH198="No"),0,IF(AND('Proposed Lighting'!AU198=2,AS198=1,BC198="Yes",BD198="Yes"),2,IF(AND('Proposed Lighting'!AU198=2,AS198=1,BC198="Yes",BE198="Yes"),2,IF(AND('Proposed Lighting'!AU198=2,AS198=1,BC198="Yes",BF198="Yes"),2,IF(AND('Proposed Lighting'!AU198=2,AS198=1,BC198="Yes",BH198="Yes"),2,IF(AND('Proposed Lighting'!AU198=2,AS198=1,BD198="Yes",BF198="Yes"),2,IF(AND('Proposed Lighting'!AU198=2,AS198=1,BD198="Yes",BH198="Yes"),2,IF(AND('Proposed Lighting'!AU198=3,AS198=1,BC198="Yes",BE198="Yes"),2,IF(AND('Proposed Lighting'!AU198=3,AS198=1,BC198="Yes",BF198="Yes"),2,0)))))))))</f>
        <v>0</v>
      </c>
      <c r="BJ198" s="1025">
        <f t="shared" si="36"/>
        <v>0</v>
      </c>
      <c r="BK198">
        <f>IF(AND('Proposed Lighting'!BC198=22,'Lighting Controls'!N198=1),0,IF(ISNUMBER(SEARCH("LED",G198)),1,0))</f>
        <v>0</v>
      </c>
    </row>
    <row r="199" spans="1:63" ht="34.5" customHeight="1">
      <c r="A199" s="917">
        <v>191</v>
      </c>
      <c r="B199" s="1828" t="str">
        <f>IF('Proposed Lighting'!B199="","",'Proposed Lighting'!B199)</f>
        <v/>
      </c>
      <c r="C199" s="1828"/>
      <c r="D199" s="1828"/>
      <c r="E199" s="1245">
        <f>'Proposed Lighting'!AA199</f>
        <v>0</v>
      </c>
      <c r="F199" s="1245">
        <f t="shared" si="29"/>
        <v>0</v>
      </c>
      <c r="G199" s="1830" t="str">
        <f>IF('Proposed Lighting'!T199="","",IF(ISNUMBER(SEARCH("Networked",'Proposed Lighting'!T199)),0,IF(ISNUMBER(SEARCH("Strategies",'Proposed Lighting'!T199)),0,IF(ISNUMBER(SEARCH("Removal",'Proposed Lighting'!T199)),0,'Proposed Lighting'!T199))))</f>
        <v/>
      </c>
      <c r="H199" s="1830"/>
      <c r="I199" s="1830"/>
      <c r="J199" s="1830"/>
      <c r="K199" s="1215"/>
      <c r="L199" s="1246">
        <f t="shared" si="30"/>
        <v>0</v>
      </c>
      <c r="M199" s="1224">
        <f t="shared" si="31"/>
        <v>0</v>
      </c>
      <c r="N199" s="1224">
        <f t="shared" si="32"/>
        <v>0</v>
      </c>
      <c r="O199" s="1825" t="str">
        <f>IF(G199=0,0,IF(ISNA('Proposed Lighting'!AT199),0,'Proposed Lighting'!AT199))</f>
        <v/>
      </c>
      <c r="P199" s="1825"/>
      <c r="Q199" s="1247"/>
      <c r="R199" s="1247"/>
      <c r="S199" s="1247"/>
      <c r="T199" s="1211"/>
      <c r="U199" s="1235">
        <f>IF(K199&gt;0.01,'Proposed Lighting'!CU199,0)</f>
        <v>0</v>
      </c>
      <c r="V199" s="1248">
        <f>IF('Proposed Lighting'!CF199=1,0,IF('Proposed Lighting'!AU199=2,0,IF(AND('Proposed Lighting'!AU199=3,'Proposed Lighting'!CF199=0),1,0)))</f>
        <v>0</v>
      </c>
      <c r="W199" s="1836"/>
      <c r="X199" s="1836"/>
      <c r="Y199" s="1836"/>
      <c r="Z199" s="1230" t="str">
        <f t="shared" si="26"/>
        <v/>
      </c>
      <c r="AA199" s="1230">
        <f t="shared" si="27"/>
        <v>0</v>
      </c>
      <c r="AB199" s="1230">
        <f>IF(Q199=0,0,IF(T199=0,0,IF(AA199=0,0,IF(AND(F199=3,V199=0),0,IF(T199=0,0,IF(K199&gt;'Proposed Lighting'!AA199,0,IF('Proposed Lighting'!EJ199&gt;0.01,(K199*O199)*'Proposed Lighting'!EJ199/1000,(K199*O199)*U199/1000)))))))</f>
        <v>0</v>
      </c>
      <c r="AC199" s="1230" t="str">
        <f t="shared" si="33"/>
        <v/>
      </c>
      <c r="AD199" s="1230">
        <f t="shared" si="28"/>
        <v>0</v>
      </c>
      <c r="AE199" s="1230">
        <f>IF(T199=0,0,IF(K199&gt;'Proposed Lighting'!AA199,0,IF(T199&gt;K199,0,IF(AND(AD199&gt;AA199,AA199&gt;0),0,IF(AND(F199&gt;1,W199&lt;0.01),0,IF('Proposed Lighting'!AU199&gt;'Lighting Controls'!F199,0,IF('Proposed Lighting'!AU199&lt;'Lighting Controls'!F199,0,IF(U199=0,0,Summary!AC502))))))))</f>
        <v>0</v>
      </c>
      <c r="AF199" s="1230">
        <f>IF(T199=0,0,IF(AE199=0,0,IF(K199&gt;'Proposed Lighting'!AA199,0,IF(AND(AD199&gt;AA199,AA199&gt;0),0,IF(U199=0,0,Summary!AD502)))))</f>
        <v>0</v>
      </c>
      <c r="AG199" s="1834">
        <f>IF('Proposed Lighting'!AU199=1,0,IF('Proposed Lighting'!CF199=1,0,T199*W199))</f>
        <v>0</v>
      </c>
      <c r="AH199" s="1834"/>
      <c r="AI199" s="1834"/>
      <c r="AJ199" s="1835">
        <f>IF(T199&lt;1,0,IF(K199&gt;'Proposed Lighting'!AA199,0,IF('Proposed Lighting'!CF199=1,0,IF('Proposed Lighting'!AU199=1,0,IF(T199&gt;K199,0,IF(AND(AD199&gt;AA199,AA199&gt;0),0,IF(AND(F199=2,'Proposed Lighting'!AU199=3),0,IF(AND(F199=3,'Proposed Lighting'!AU199=2),0,IF('Proposed Lighting'!CH199=100,0,IF(AND(F199&lt;3,V199=1,AM199=0),0,IF(AND(F199&gt;1,AF199&lt;1,AN199&lt;1),0,IF(AND(F199&gt;1,AE199&lt;0.69,AF199&lt;1,AN199&lt;1),0,IF(ISERROR(AB199-AC199),"",AB199-AC199)))))))))))))</f>
        <v>0</v>
      </c>
      <c r="AK199" s="1835"/>
      <c r="AL199" s="1835"/>
      <c r="AM199" s="1216">
        <f>IF(Q199=0,0,IF(T199=0,0,IF(T199&gt;K199,0,IF(AND(AS199&gt;0.01,BK199=0),0,IF(AND('Proposed Lighting'!DG199=0,'Lighting Controls'!Z199=0.35),0,IF(AND(T199&lt;=K199,AA199&gt;=AD199,'Proposed Lighting'!AU199=2),VLOOKUP(Q199,$AY$9:$AZ$15,2,FALSE),IF(AND(T199&lt;=K199,AA199&gt;=AD199,'Proposed Lighting'!AU199=3),VLOOKUP(Q199,$AY$17:$AZ$23,2,FALSE))))))))</f>
        <v>0</v>
      </c>
      <c r="AN199" s="1248">
        <f>IF(T199=0,0,IF(K199&gt;'Proposed Lighting'!AA199,0,IF(AE199=0,0,IF(AND(AD199&gt;AA199,AA199&gt;0),0,IF(U199=0,0,Summary!AE502)))))</f>
        <v>0</v>
      </c>
      <c r="AO199" s="1248">
        <f t="shared" si="37"/>
        <v>0</v>
      </c>
      <c r="AP199" s="1249">
        <f>IF('Proposed Lighting'!AU199=1,0,IF(K199=0,0,IF(T199&gt;K199,0,IF(G199=0,0,IF(K199&gt;'Proposed Lighting'!AA199,0,IF(AND(AD199&gt;AA199,AA199&gt;0),0,IF(AND('Proposed Lighting'!AU199=3,AM199=0.5),0,IF(AND(AM199&gt;0,AS199&gt;0,BI199&lt;2),0,IF('Proposed Lighting'!CH199=100,0,IF(AV199=1,0,IF(AND(AM199=35,M199+N199&lt;2),0,AM199)))))))))))</f>
        <v>0</v>
      </c>
      <c r="AQ199" s="1249" t="str">
        <f>IFERROR(ROUND(IF(Q199="","",IF('Proposed Lighting'!$X$4=0,0,IF(AND(AM199=35,M199+N199&lt;2),0,IF(T199&gt;K199,0,IF('Proposed Lighting'!AU199=1,0,IF(AJ199=0,0,IF(AND('Proposed Lighting'!AU199=3,AM199=0.5),0,IF(AND(AD199=75,AP199=0,AV199=0),0,IF(AP199&gt;0.01,AP199*T199,IF(AND(F199&gt;1,W199&lt;0.01),0,IF(AND(F199&gt;1,AO199=0),0,IF(AND('Proposed Lighting'!BC199=22,AV199=0),0,IF(AND(AM199&gt;0,AS199&gt;0,BI199&lt;2),0,IF(AND(AS199&gt;0.01,BK199=0),0,IF(AND(AO199=TRUE,AV199=1,F199=3),MIN(AJ199*0.08,L199),IF(AP199&gt;0.01,AP199*T199,IF(AND(AO199=TRUE,AV199=1,F199=2),MIN(AJ199*0.1,L199)))))))))))))))))),2),"")</f>
        <v/>
      </c>
      <c r="AR199" s="1250">
        <f>IF(Q199=0,0,IF('Proposed Lighting'!$X$4=0,0,IF(AND(AM199&gt;0.01,AQ199&gt;0.01),0,IF('Proposed Lighting'!AU199=1,"Missing Interior or Exterior Selection",IF('Proposed Lighting'!CF199=1,"Selection does not match",IF(K199&gt;'Proposed Lighting'!AA199,"Quantity controlled does not match proposed lighting quantity",IF(T199&gt;K199,"Quantity of sensors exceeds proposed lighting quantity",IF(AND(F199&gt;1,'Proposed Lighting'!AU199&lt;&gt;F199),"Selection does not match",IF(AND(AD199&gt;AA199,AA199&gt;0),"Does not meet minimum connected load",IF(AND(O199&gt;0,AS199&gt;0,BK199&gt;0,'Proposed Lighting'!CH199=0),"Select Control Strategies",IF(AND(AC199&gt;0.1,AJ199=0,AQ199=0),"Does not meet incentive criteria",0)))))))))))</f>
        <v>0</v>
      </c>
      <c r="AS199" s="1224">
        <f>IF('Proposed Lighting'!CH199=100,0,IF(ISNUMBER(SEARCH("multiple",Q199)),1,0))</f>
        <v>0</v>
      </c>
      <c r="AT199" s="451">
        <f t="shared" si="34"/>
        <v>0</v>
      </c>
      <c r="AU199" s="451">
        <f t="shared" si="35"/>
        <v>0</v>
      </c>
      <c r="AV199" s="1222">
        <f>IF(ISNUMBER(SEARCH("Networked",'Proposed Lighting'!T199)),0,IF(ISNUMBER(SEARCH("Strategies",'Proposed Lighting'!T199)),0,IF(ISNUMBER(SEARCH("Removal",'Proposed Lighting'!T199)),0,IF(ISNUMBER(SEARCH("non-standard",Q199)),1,0))))</f>
        <v>0</v>
      </c>
      <c r="AW199" s="451">
        <f t="shared" si="38"/>
        <v>0</v>
      </c>
      <c r="AX199" s="451"/>
      <c r="AY199" s="451"/>
      <c r="AZ199" s="451"/>
      <c r="BA199" s="451"/>
      <c r="BB199" s="451"/>
      <c r="BC199" s="1215"/>
      <c r="BD199" s="1215"/>
      <c r="BE199" s="1215"/>
      <c r="BF199" s="1215"/>
      <c r="BG199" s="1215"/>
      <c r="BH199" s="1215"/>
      <c r="BI199">
        <f>IF(AND(AS199=1,BC199="No",BD199="Yes",BE199="Yes",BF199="No",BH199="No"),0,IF(AND('Proposed Lighting'!AU199=2,AS199=1,BC199="Yes",BD199="Yes"),2,IF(AND('Proposed Lighting'!AU199=2,AS199=1,BC199="Yes",BE199="Yes"),2,IF(AND('Proposed Lighting'!AU199=2,AS199=1,BC199="Yes",BF199="Yes"),2,IF(AND('Proposed Lighting'!AU199=2,AS199=1,BC199="Yes",BH199="Yes"),2,IF(AND('Proposed Lighting'!AU199=2,AS199=1,BD199="Yes",BF199="Yes"),2,IF(AND('Proposed Lighting'!AU199=2,AS199=1,BD199="Yes",BH199="Yes"),2,IF(AND('Proposed Lighting'!AU199=3,AS199=1,BC199="Yes",BE199="Yes"),2,IF(AND('Proposed Lighting'!AU199=3,AS199=1,BC199="Yes",BF199="Yes"),2,0)))))))))</f>
        <v>0</v>
      </c>
      <c r="BJ199" s="1025">
        <f t="shared" si="36"/>
        <v>0</v>
      </c>
      <c r="BK199">
        <f>IF(AND('Proposed Lighting'!BC199=22,'Lighting Controls'!N199=1),0,IF(ISNUMBER(SEARCH("LED",G199)),1,0))</f>
        <v>0</v>
      </c>
    </row>
    <row r="200" spans="1:63" ht="34.5" customHeight="1">
      <c r="A200" s="917">
        <v>192</v>
      </c>
      <c r="B200" s="1828" t="str">
        <f>IF('Proposed Lighting'!B200="","",'Proposed Lighting'!B200)</f>
        <v/>
      </c>
      <c r="C200" s="1828"/>
      <c r="D200" s="1828"/>
      <c r="E200" s="1245">
        <f>'Proposed Lighting'!AA200</f>
        <v>0</v>
      </c>
      <c r="F200" s="1245">
        <f t="shared" si="29"/>
        <v>0</v>
      </c>
      <c r="G200" s="1830" t="str">
        <f>IF('Proposed Lighting'!T200="","",IF(ISNUMBER(SEARCH("Networked",'Proposed Lighting'!T200)),0,IF(ISNUMBER(SEARCH("Strategies",'Proposed Lighting'!T200)),0,IF(ISNUMBER(SEARCH("Removal",'Proposed Lighting'!T200)),0,'Proposed Lighting'!T200))))</f>
        <v/>
      </c>
      <c r="H200" s="1830"/>
      <c r="I200" s="1830"/>
      <c r="J200" s="1830"/>
      <c r="K200" s="1215"/>
      <c r="L200" s="1246">
        <f t="shared" si="30"/>
        <v>0</v>
      </c>
      <c r="M200" s="1224">
        <f t="shared" si="31"/>
        <v>0</v>
      </c>
      <c r="N200" s="1224">
        <f t="shared" si="32"/>
        <v>0</v>
      </c>
      <c r="O200" s="1825" t="str">
        <f>IF(G200=0,0,IF(ISNA('Proposed Lighting'!AT200),0,'Proposed Lighting'!AT200))</f>
        <v/>
      </c>
      <c r="P200" s="1825"/>
      <c r="Q200" s="1247"/>
      <c r="R200" s="1247"/>
      <c r="S200" s="1247"/>
      <c r="T200" s="1211"/>
      <c r="U200" s="1235">
        <f>IF(K200&gt;0.01,'Proposed Lighting'!CU200,0)</f>
        <v>0</v>
      </c>
      <c r="V200" s="1248">
        <f>IF('Proposed Lighting'!CF200=1,0,IF('Proposed Lighting'!AU200=2,0,IF(AND('Proposed Lighting'!AU200=3,'Proposed Lighting'!CF200=0),1,0)))</f>
        <v>0</v>
      </c>
      <c r="W200" s="1836"/>
      <c r="X200" s="1836"/>
      <c r="Y200" s="1836"/>
      <c r="Z200" s="1230" t="str">
        <f t="shared" si="26"/>
        <v/>
      </c>
      <c r="AA200" s="1230">
        <f t="shared" si="27"/>
        <v>0</v>
      </c>
      <c r="AB200" s="1230">
        <f>IF(Q200=0,0,IF(T200=0,0,IF(AA200=0,0,IF(AND(F200=3,V200=0),0,IF(T200=0,0,IF(K200&gt;'Proposed Lighting'!AA200,0,IF('Proposed Lighting'!EJ200&gt;0.01,(K200*O200)*'Proposed Lighting'!EJ200/1000,(K200*O200)*U200/1000)))))))</f>
        <v>0</v>
      </c>
      <c r="AC200" s="1230" t="str">
        <f t="shared" si="33"/>
        <v/>
      </c>
      <c r="AD200" s="1230">
        <f t="shared" si="28"/>
        <v>0</v>
      </c>
      <c r="AE200" s="1230">
        <f>IF(T200=0,0,IF(K200&gt;'Proposed Lighting'!AA200,0,IF(T200&gt;K200,0,IF(AND(AD200&gt;AA200,AA200&gt;0),0,IF(AND(F200&gt;1,W200&lt;0.01),0,IF('Proposed Lighting'!AU200&gt;'Lighting Controls'!F200,0,IF('Proposed Lighting'!AU200&lt;'Lighting Controls'!F200,0,IF(U200=0,0,Summary!AC503))))))))</f>
        <v>0</v>
      </c>
      <c r="AF200" s="1230">
        <f>IF(T200=0,0,IF(AE200=0,0,IF(K200&gt;'Proposed Lighting'!AA200,0,IF(AND(AD200&gt;AA200,AA200&gt;0),0,IF(U200=0,0,Summary!AD503)))))</f>
        <v>0</v>
      </c>
      <c r="AG200" s="1834">
        <f>IF('Proposed Lighting'!AU200=1,0,IF('Proposed Lighting'!CF200=1,0,T200*W200))</f>
        <v>0</v>
      </c>
      <c r="AH200" s="1834"/>
      <c r="AI200" s="1834"/>
      <c r="AJ200" s="1835">
        <f>IF(T200&lt;1,0,IF(K200&gt;'Proposed Lighting'!AA200,0,IF('Proposed Lighting'!CF200=1,0,IF('Proposed Lighting'!AU200=1,0,IF(T200&gt;K200,0,IF(AND(AD200&gt;AA200,AA200&gt;0),0,IF(AND(F200=2,'Proposed Lighting'!AU200=3),0,IF(AND(F200=3,'Proposed Lighting'!AU200=2),0,IF('Proposed Lighting'!CH200=100,0,IF(AND(F200&lt;3,V200=1,AM200=0),0,IF(AND(F200&gt;1,AF200&lt;1,AN200&lt;1),0,IF(AND(F200&gt;1,AE200&lt;0.69,AF200&lt;1,AN200&lt;1),0,IF(ISERROR(AB200-AC200),"",AB200-AC200)))))))))))))</f>
        <v>0</v>
      </c>
      <c r="AK200" s="1835"/>
      <c r="AL200" s="1835"/>
      <c r="AM200" s="1216">
        <f>IF(Q200=0,0,IF(T200=0,0,IF(T200&gt;K200,0,IF(AND(AS200&gt;0.01,BK200=0),0,IF(AND('Proposed Lighting'!DG200=0,'Lighting Controls'!Z200=0.35),0,IF(AND(T200&lt;=K200,AA200&gt;=AD200,'Proposed Lighting'!AU200=2),VLOOKUP(Q200,$AY$9:$AZ$15,2,FALSE),IF(AND(T200&lt;=K200,AA200&gt;=AD200,'Proposed Lighting'!AU200=3),VLOOKUP(Q200,$AY$17:$AZ$23,2,FALSE))))))))</f>
        <v>0</v>
      </c>
      <c r="AN200" s="1248">
        <f>IF(T200=0,0,IF(K200&gt;'Proposed Lighting'!AA200,0,IF(AE200=0,0,IF(AND(AD200&gt;AA200,AA200&gt;0),0,IF(U200=0,0,Summary!AE503)))))</f>
        <v>0</v>
      </c>
      <c r="AO200" s="1248">
        <f t="shared" si="37"/>
        <v>0</v>
      </c>
      <c r="AP200" s="1249">
        <f>IF('Proposed Lighting'!AU200=1,0,IF(K200=0,0,IF(T200&gt;K200,0,IF(G200=0,0,IF(K200&gt;'Proposed Lighting'!AA200,0,IF(AND(AD200&gt;AA200,AA200&gt;0),0,IF(AND('Proposed Lighting'!AU200=3,AM200=0.5),0,IF(AND(AM200&gt;0,AS200&gt;0,BI200&lt;2),0,IF('Proposed Lighting'!CH200=100,0,IF(AV200=1,0,IF(AND(AM200=35,M200+N200&lt;2),0,AM200)))))))))))</f>
        <v>0</v>
      </c>
      <c r="AQ200" s="1249" t="str">
        <f>IFERROR(ROUND(IF(Q200="","",IF('Proposed Lighting'!$X$4=0,0,IF(AND(AM200=35,M200+N200&lt;2),0,IF(T200&gt;K200,0,IF('Proposed Lighting'!AU200=1,0,IF(AJ200=0,0,IF(AND('Proposed Lighting'!AU200=3,AM200=0.5),0,IF(AND(AD200=75,AP200=0,AV200=0),0,IF(AP200&gt;0.01,AP200*T200,IF(AND(F200&gt;1,W200&lt;0.01),0,IF(AND(F200&gt;1,AO200=0),0,IF(AND('Proposed Lighting'!BC200=22,AV200=0),0,IF(AND(AM200&gt;0,AS200&gt;0,BI200&lt;2),0,IF(AND(AS200&gt;0.01,BK200=0),0,IF(AND(AO200=TRUE,AV200=1,F200=3),MIN(AJ200*0.08,L200),IF(AP200&gt;0.01,AP200*T200,IF(AND(AO200=TRUE,AV200=1,F200=2),MIN(AJ200*0.1,L200)))))))))))))))))),2),"")</f>
        <v/>
      </c>
      <c r="AR200" s="1250">
        <f>IF(Q200=0,0,IF('Proposed Lighting'!$X$4=0,0,IF(AND(AM200&gt;0.01,AQ200&gt;0.01),0,IF('Proposed Lighting'!AU200=1,"Missing Interior or Exterior Selection",IF('Proposed Lighting'!CF200=1,"Selection does not match",IF(K200&gt;'Proposed Lighting'!AA200,"Quantity controlled does not match proposed lighting quantity",IF(T200&gt;K200,"Quantity of sensors exceeds proposed lighting quantity",IF(AND(F200&gt;1,'Proposed Lighting'!AU200&lt;&gt;F200),"Selection does not match",IF(AND(AD200&gt;AA200,AA200&gt;0),"Does not meet minimum connected load",IF(AND(O200&gt;0,AS200&gt;0,BK200&gt;0,'Proposed Lighting'!CH200=0),"Select Control Strategies",IF(AND(AC200&gt;0.1,AJ200=0,AQ200=0),"Does not meet incentive criteria",0)))))))))))</f>
        <v>0</v>
      </c>
      <c r="AS200" s="1224">
        <f>IF('Proposed Lighting'!CH200=100,0,IF(ISNUMBER(SEARCH("multiple",Q200)),1,0))</f>
        <v>0</v>
      </c>
      <c r="AT200" s="451">
        <f t="shared" si="34"/>
        <v>0</v>
      </c>
      <c r="AU200" s="451">
        <f t="shared" si="35"/>
        <v>0</v>
      </c>
      <c r="AV200" s="1222">
        <f>IF(ISNUMBER(SEARCH("Networked",'Proposed Lighting'!T200)),0,IF(ISNUMBER(SEARCH("Strategies",'Proposed Lighting'!T200)),0,IF(ISNUMBER(SEARCH("Removal",'Proposed Lighting'!T200)),0,IF(ISNUMBER(SEARCH("non-standard",Q200)),1,0))))</f>
        <v>0</v>
      </c>
      <c r="AW200" s="451">
        <f t="shared" si="38"/>
        <v>0</v>
      </c>
      <c r="AX200" s="451"/>
      <c r="AY200" s="451"/>
      <c r="AZ200" s="451"/>
      <c r="BA200" s="451"/>
      <c r="BB200" s="451"/>
      <c r="BC200" s="1215"/>
      <c r="BD200" s="1215"/>
      <c r="BE200" s="1215"/>
      <c r="BF200" s="1215"/>
      <c r="BG200" s="1215"/>
      <c r="BH200" s="1215"/>
      <c r="BI200">
        <f>IF(AND(AS200=1,BC200="No",BD200="Yes",BE200="Yes",BF200="No",BH200="No"),0,IF(AND('Proposed Lighting'!AU200=2,AS200=1,BC200="Yes",BD200="Yes"),2,IF(AND('Proposed Lighting'!AU200=2,AS200=1,BC200="Yes",BE200="Yes"),2,IF(AND('Proposed Lighting'!AU200=2,AS200=1,BC200="Yes",BF200="Yes"),2,IF(AND('Proposed Lighting'!AU200=2,AS200=1,BC200="Yes",BH200="Yes"),2,IF(AND('Proposed Lighting'!AU200=2,AS200=1,BD200="Yes",BF200="Yes"),2,IF(AND('Proposed Lighting'!AU200=2,AS200=1,BD200="Yes",BH200="Yes"),2,IF(AND('Proposed Lighting'!AU200=3,AS200=1,BC200="Yes",BE200="Yes"),2,IF(AND('Proposed Lighting'!AU200=3,AS200=1,BC200="Yes",BF200="Yes"),2,0)))))))))</f>
        <v>0</v>
      </c>
      <c r="BJ200" s="1025">
        <f t="shared" si="36"/>
        <v>0</v>
      </c>
      <c r="BK200">
        <f>IF(AND('Proposed Lighting'!BC200=22,'Lighting Controls'!N200=1),0,IF(ISNUMBER(SEARCH("LED",G200)),1,0))</f>
        <v>0</v>
      </c>
    </row>
    <row r="201" spans="1:63" ht="34.5" customHeight="1">
      <c r="A201" s="917">
        <v>193</v>
      </c>
      <c r="B201" s="1828" t="str">
        <f>IF('Proposed Lighting'!B201="","",'Proposed Lighting'!B201)</f>
        <v/>
      </c>
      <c r="C201" s="1828"/>
      <c r="D201" s="1828"/>
      <c r="E201" s="1245">
        <f>'Proposed Lighting'!AA201</f>
        <v>0</v>
      </c>
      <c r="F201" s="1245">
        <f t="shared" si="29"/>
        <v>0</v>
      </c>
      <c r="G201" s="1830" t="str">
        <f>IF('Proposed Lighting'!T201="","",IF(ISNUMBER(SEARCH("Networked",'Proposed Lighting'!T201)),0,IF(ISNUMBER(SEARCH("Strategies",'Proposed Lighting'!T201)),0,IF(ISNUMBER(SEARCH("Removal",'Proposed Lighting'!T201)),0,'Proposed Lighting'!T201))))</f>
        <v/>
      </c>
      <c r="H201" s="1830"/>
      <c r="I201" s="1830"/>
      <c r="J201" s="1830"/>
      <c r="K201" s="1215"/>
      <c r="L201" s="1246">
        <f t="shared" si="30"/>
        <v>0</v>
      </c>
      <c r="M201" s="1224">
        <f t="shared" si="31"/>
        <v>0</v>
      </c>
      <c r="N201" s="1224">
        <f t="shared" si="32"/>
        <v>0</v>
      </c>
      <c r="O201" s="1825" t="str">
        <f>IF(G201=0,0,IF(ISNA('Proposed Lighting'!AT201),0,'Proposed Lighting'!AT201))</f>
        <v/>
      </c>
      <c r="P201" s="1825"/>
      <c r="Q201" s="1247"/>
      <c r="R201" s="1247"/>
      <c r="S201" s="1247"/>
      <c r="T201" s="1211"/>
      <c r="U201" s="1235">
        <f>IF(K201&gt;0.01,'Proposed Lighting'!CU201,0)</f>
        <v>0</v>
      </c>
      <c r="V201" s="1248">
        <f>IF('Proposed Lighting'!CF201=1,0,IF('Proposed Lighting'!AU201=2,0,IF(AND('Proposed Lighting'!AU201=3,'Proposed Lighting'!CF201=0),1,0)))</f>
        <v>0</v>
      </c>
      <c r="W201" s="1836"/>
      <c r="X201" s="1836"/>
      <c r="Y201" s="1836"/>
      <c r="Z201" s="1230" t="str">
        <f t="shared" ref="Z201:Z264" si="39">IF(Q201="","",VLOOKUP(Q201,$AW$9:$AX$15,2,FALSE))</f>
        <v/>
      </c>
      <c r="AA201" s="1230">
        <f t="shared" ref="AA201:AA264" si="40">IF(T201=0,0,IF(Q201=0,0,IF(G201=0,0,SUM(K201*O201)/T201)))</f>
        <v>0</v>
      </c>
      <c r="AB201" s="1230">
        <f>IF(Q201=0,0,IF(T201=0,0,IF(AA201=0,0,IF(AND(F201=3,V201=0),0,IF(T201=0,0,IF(K201&gt;'Proposed Lighting'!AA201,0,IF('Proposed Lighting'!EJ201&gt;0.01,(K201*O201)*'Proposed Lighting'!EJ201/1000,(K201*O201)*U201/1000)))))))</f>
        <v>0</v>
      </c>
      <c r="AC201" s="1230" t="str">
        <f t="shared" si="33"/>
        <v/>
      </c>
      <c r="AD201" s="1230">
        <f t="shared" ref="AD201:AD264" si="41">IF(K201=0,0,IF(T201=0,0,IF(V201=1,75,IF(V201=0,VLOOKUP(Q201,$BA$9:$BB$15,2,FALSE)))))</f>
        <v>0</v>
      </c>
      <c r="AE201" s="1230">
        <f>IF(T201=0,0,IF(K201&gt;'Proposed Lighting'!AA201,0,IF(T201&gt;K201,0,IF(AND(AD201&gt;AA201,AA201&gt;0),0,IF(AND(F201&gt;1,W201&lt;0.01),0,IF('Proposed Lighting'!AU201&gt;'Lighting Controls'!F201,0,IF('Proposed Lighting'!AU201&lt;'Lighting Controls'!F201,0,IF(U201=0,0,Summary!AC504))))))))</f>
        <v>0</v>
      </c>
      <c r="AF201" s="1230">
        <f>IF(T201=0,0,IF(AE201=0,0,IF(K201&gt;'Proposed Lighting'!AA201,0,IF(AND(AD201&gt;AA201,AA201&gt;0),0,IF(U201=0,0,Summary!AD504)))))</f>
        <v>0</v>
      </c>
      <c r="AG201" s="1834">
        <f>IF('Proposed Lighting'!AU201=1,0,IF('Proposed Lighting'!CF201=1,0,T201*W201))</f>
        <v>0</v>
      </c>
      <c r="AH201" s="1834"/>
      <c r="AI201" s="1834"/>
      <c r="AJ201" s="1835">
        <f>IF(T201&lt;1,0,IF(K201&gt;'Proposed Lighting'!AA201,0,IF('Proposed Lighting'!CF201=1,0,IF('Proposed Lighting'!AU201=1,0,IF(T201&gt;K201,0,IF(AND(AD201&gt;AA201,AA201&gt;0),0,IF(AND(F201=2,'Proposed Lighting'!AU201=3),0,IF(AND(F201=3,'Proposed Lighting'!AU201=2),0,IF('Proposed Lighting'!CH201=100,0,IF(AND(F201&lt;3,V201=1,AM201=0),0,IF(AND(F201&gt;1,AF201&lt;1,AN201&lt;1),0,IF(AND(F201&gt;1,AE201&lt;0.69,AF201&lt;1,AN201&lt;1),0,IF(ISERROR(AB201-AC201),"",AB201-AC201)))))))))))))</f>
        <v>0</v>
      </c>
      <c r="AK201" s="1835"/>
      <c r="AL201" s="1835"/>
      <c r="AM201" s="1216">
        <f>IF(Q201=0,0,IF(T201=0,0,IF(T201&gt;K201,0,IF(AND(AS201&gt;0.01,BK201=0),0,IF(AND('Proposed Lighting'!DG201=0,'Lighting Controls'!Z201=0.35),0,IF(AND(T201&lt;=K201,AA201&gt;=AD201,'Proposed Lighting'!AU201=2),VLOOKUP(Q201,$AY$9:$AZ$15,2,FALSE),IF(AND(T201&lt;=K201,AA201&gt;=AD201,'Proposed Lighting'!AU201=3),VLOOKUP(Q201,$AY$17:$AZ$23,2,FALSE))))))))</f>
        <v>0</v>
      </c>
      <c r="AN201" s="1248">
        <f>IF(T201=0,0,IF(K201&gt;'Proposed Lighting'!AA201,0,IF(AE201=0,0,IF(AND(AD201&gt;AA201,AA201&gt;0),0,IF(U201=0,0,Summary!AE504)))))</f>
        <v>0</v>
      </c>
      <c r="AO201" s="1248">
        <f t="shared" si="37"/>
        <v>0</v>
      </c>
      <c r="AP201" s="1249">
        <f>IF('Proposed Lighting'!AU201=1,0,IF(K201=0,0,IF(T201&gt;K201,0,IF(G201=0,0,IF(K201&gt;'Proposed Lighting'!AA201,0,IF(AND(AD201&gt;AA201,AA201&gt;0),0,IF(AND('Proposed Lighting'!AU201=3,AM201=0.5),0,IF(AND(AM201&gt;0,AS201&gt;0,BI201&lt;2),0,IF('Proposed Lighting'!CH201=100,0,IF(AV201=1,0,IF(AND(AM201=35,M201+N201&lt;2),0,AM201)))))))))))</f>
        <v>0</v>
      </c>
      <c r="AQ201" s="1249" t="str">
        <f>IFERROR(ROUND(IF(Q201="","",IF('Proposed Lighting'!$X$4=0,0,IF(AND(AM201=35,M201+N201&lt;2),0,IF(T201&gt;K201,0,IF('Proposed Lighting'!AU201=1,0,IF(AJ201=0,0,IF(AND('Proposed Lighting'!AU201=3,AM201=0.5),0,IF(AND(AD201=75,AP201=0,AV201=0),0,IF(AP201&gt;0.01,AP201*T201,IF(AND(F201&gt;1,W201&lt;0.01),0,IF(AND(F201&gt;1,AO201=0),0,IF(AND('Proposed Lighting'!BC201=22,AV201=0),0,IF(AND(AM201&gt;0,AS201&gt;0,BI201&lt;2),0,IF(AND(AS201&gt;0.01,BK201=0),0,IF(AND(AO201=TRUE,AV201=1,F201=3),MIN(AJ201*0.08,L201),IF(AP201&gt;0.01,AP201*T201,IF(AND(AO201=TRUE,AV201=1,F201=2),MIN(AJ201*0.1,L201)))))))))))))))))),2),"")</f>
        <v/>
      </c>
      <c r="AR201" s="1250">
        <f>IF(Q201=0,0,IF('Proposed Lighting'!$X$4=0,0,IF(AND(AM201&gt;0.01,AQ201&gt;0.01),0,IF('Proposed Lighting'!AU201=1,"Missing Interior or Exterior Selection",IF('Proposed Lighting'!CF201=1,"Selection does not match",IF(K201&gt;'Proposed Lighting'!AA201,"Quantity controlled does not match proposed lighting quantity",IF(T201&gt;K201,"Quantity of sensors exceeds proposed lighting quantity",IF(AND(F201&gt;1,'Proposed Lighting'!AU201&lt;&gt;F201),"Selection does not match",IF(AND(AD201&gt;AA201,AA201&gt;0),"Does not meet minimum connected load",IF(AND(O201&gt;0,AS201&gt;0,BK201&gt;0,'Proposed Lighting'!CH201=0),"Select Control Strategies",IF(AND(AC201&gt;0.1,AJ201=0,AQ201=0),"Does not meet incentive criteria",0)))))))))))</f>
        <v>0</v>
      </c>
      <c r="AS201" s="1224">
        <f>IF('Proposed Lighting'!CH201=100,0,IF(ISNUMBER(SEARCH("multiple",Q201)),1,0))</f>
        <v>0</v>
      </c>
      <c r="AT201" s="451">
        <f t="shared" si="34"/>
        <v>0</v>
      </c>
      <c r="AU201" s="451">
        <f t="shared" si="35"/>
        <v>0</v>
      </c>
      <c r="AV201" s="1222">
        <f>IF(ISNUMBER(SEARCH("Networked",'Proposed Lighting'!T201)),0,IF(ISNUMBER(SEARCH("Strategies",'Proposed Lighting'!T201)),0,IF(ISNUMBER(SEARCH("Removal",'Proposed Lighting'!T201)),0,IF(ISNUMBER(SEARCH("non-standard",Q201)),1,0))))</f>
        <v>0</v>
      </c>
      <c r="AW201" s="451">
        <f t="shared" si="38"/>
        <v>0</v>
      </c>
      <c r="AX201" s="451"/>
      <c r="AY201" s="451"/>
      <c r="AZ201" s="451"/>
      <c r="BA201" s="451"/>
      <c r="BB201" s="451"/>
      <c r="BC201" s="1215"/>
      <c r="BD201" s="1215"/>
      <c r="BE201" s="1215"/>
      <c r="BF201" s="1215"/>
      <c r="BG201" s="1215"/>
      <c r="BH201" s="1215"/>
      <c r="BI201">
        <f>IF(AND(AS201=1,BC201="No",BD201="Yes",BE201="Yes",BF201="No",BH201="No"),0,IF(AND('Proposed Lighting'!AU201=2,AS201=1,BC201="Yes",BD201="Yes"),2,IF(AND('Proposed Lighting'!AU201=2,AS201=1,BC201="Yes",BE201="Yes"),2,IF(AND('Proposed Lighting'!AU201=2,AS201=1,BC201="Yes",BF201="Yes"),2,IF(AND('Proposed Lighting'!AU201=2,AS201=1,BC201="Yes",BH201="Yes"),2,IF(AND('Proposed Lighting'!AU201=2,AS201=1,BD201="Yes",BF201="Yes"),2,IF(AND('Proposed Lighting'!AU201=2,AS201=1,BD201="Yes",BH201="Yes"),2,IF(AND('Proposed Lighting'!AU201=3,AS201=1,BC201="Yes",BE201="Yes"),2,IF(AND('Proposed Lighting'!AU201=3,AS201=1,BC201="Yes",BF201="Yes"),2,0)))))))))</f>
        <v>0</v>
      </c>
      <c r="BJ201" s="1025">
        <f t="shared" si="36"/>
        <v>0</v>
      </c>
      <c r="BK201">
        <f>IF(AND('Proposed Lighting'!BC201=22,'Lighting Controls'!N201=1),0,IF(ISNUMBER(SEARCH("LED",G201)),1,0))</f>
        <v>0</v>
      </c>
    </row>
    <row r="202" spans="1:63" ht="34.5" customHeight="1">
      <c r="A202" s="917">
        <v>194</v>
      </c>
      <c r="B202" s="1828" t="str">
        <f>IF('Proposed Lighting'!B202="","",'Proposed Lighting'!B202)</f>
        <v/>
      </c>
      <c r="C202" s="1828"/>
      <c r="D202" s="1828"/>
      <c r="E202" s="1245">
        <f>'Proposed Lighting'!AA202</f>
        <v>0</v>
      </c>
      <c r="F202" s="1245">
        <f t="shared" ref="F202:F265" si="42">IF(ISNUMBER(SEARCH("photocell",Q202)),1,IF(ISNUMBER(SEARCH("EXTERIOR",Q202)),3,IF(ISNUMBER(SEARCH("INTERIOR",Q202)),2,0)))</f>
        <v>0</v>
      </c>
      <c r="G202" s="1830" t="str">
        <f>IF('Proposed Lighting'!T202="","",IF(ISNUMBER(SEARCH("Networked",'Proposed Lighting'!T202)),0,IF(ISNUMBER(SEARCH("Strategies",'Proposed Lighting'!T202)),0,IF(ISNUMBER(SEARCH("Removal",'Proposed Lighting'!T202)),0,'Proposed Lighting'!T202))))</f>
        <v/>
      </c>
      <c r="H202" s="1830"/>
      <c r="I202" s="1830"/>
      <c r="J202" s="1830"/>
      <c r="K202" s="1215"/>
      <c r="L202" s="1246">
        <f t="shared" ref="L202:L265" si="43">AG202*0.7</f>
        <v>0</v>
      </c>
      <c r="M202" s="1224">
        <f t="shared" ref="M202:M265" si="44">IF(ISNUMBER(SEARCH("LED",G202)),1,0)</f>
        <v>0</v>
      </c>
      <c r="N202" s="1224">
        <f t="shared" ref="N202:N265" si="45">IF(ISNUMBER(SEARCH("LED",Q202)),1,0)</f>
        <v>0</v>
      </c>
      <c r="O202" s="1825" t="str">
        <f>IF(G202=0,0,IF(ISNA('Proposed Lighting'!AT202),0,'Proposed Lighting'!AT202))</f>
        <v/>
      </c>
      <c r="P202" s="1825"/>
      <c r="Q202" s="1247"/>
      <c r="R202" s="1247"/>
      <c r="S202" s="1247"/>
      <c r="T202" s="1211"/>
      <c r="U202" s="1235">
        <f>IF(K202&gt;0.01,'Proposed Lighting'!CU202,0)</f>
        <v>0</v>
      </c>
      <c r="V202" s="1248">
        <f>IF('Proposed Lighting'!CF202=1,0,IF('Proposed Lighting'!AU202=2,0,IF(AND('Proposed Lighting'!AU202=3,'Proposed Lighting'!CF202=0),1,0)))</f>
        <v>0</v>
      </c>
      <c r="W202" s="1836"/>
      <c r="X202" s="1836"/>
      <c r="Y202" s="1836"/>
      <c r="Z202" s="1230" t="str">
        <f t="shared" si="39"/>
        <v/>
      </c>
      <c r="AA202" s="1230">
        <f t="shared" si="40"/>
        <v>0</v>
      </c>
      <c r="AB202" s="1230">
        <f>IF(Q202=0,0,IF(T202=0,0,IF(AA202=0,0,IF(AND(F202=3,V202=0),0,IF(T202=0,0,IF(K202&gt;'Proposed Lighting'!AA202,0,IF('Proposed Lighting'!EJ202&gt;0.01,(K202*O202)*'Proposed Lighting'!EJ202/1000,(K202*O202)*U202/1000)))))))</f>
        <v>0</v>
      </c>
      <c r="AC202" s="1230" t="str">
        <f t="shared" ref="AC202:AC265" si="46">IF(Q202="","",K202*O202*(U202*(1-Z202)/1000))</f>
        <v/>
      </c>
      <c r="AD202" s="1230">
        <f t="shared" si="41"/>
        <v>0</v>
      </c>
      <c r="AE202" s="1230">
        <f>IF(T202=0,0,IF(K202&gt;'Proposed Lighting'!AA202,0,IF(T202&gt;K202,0,IF(AND(AD202&gt;AA202,AA202&gt;0),0,IF(AND(F202&gt;1,W202&lt;0.01),0,IF('Proposed Lighting'!AU202&gt;'Lighting Controls'!F202,0,IF('Proposed Lighting'!AU202&lt;'Lighting Controls'!F202,0,IF(U202=0,0,Summary!AC505))))))))</f>
        <v>0</v>
      </c>
      <c r="AF202" s="1230">
        <f>IF(T202=0,0,IF(AE202=0,0,IF(K202&gt;'Proposed Lighting'!AA202,0,IF(AND(AD202&gt;AA202,AA202&gt;0),0,IF(U202=0,0,Summary!AD505)))))</f>
        <v>0</v>
      </c>
      <c r="AG202" s="1834">
        <f>IF('Proposed Lighting'!AU202=1,0,IF('Proposed Lighting'!CF202=1,0,T202*W202))</f>
        <v>0</v>
      </c>
      <c r="AH202" s="1834"/>
      <c r="AI202" s="1834"/>
      <c r="AJ202" s="1835">
        <f>IF(T202&lt;1,0,IF(K202&gt;'Proposed Lighting'!AA202,0,IF('Proposed Lighting'!CF202=1,0,IF('Proposed Lighting'!AU202=1,0,IF(T202&gt;K202,0,IF(AND(AD202&gt;AA202,AA202&gt;0),0,IF(AND(F202=2,'Proposed Lighting'!AU202=3),0,IF(AND(F202=3,'Proposed Lighting'!AU202=2),0,IF('Proposed Lighting'!CH202=100,0,IF(AND(F202&lt;3,V202=1,AM202=0),0,IF(AND(F202&gt;1,AF202&lt;1,AN202&lt;1),0,IF(AND(F202&gt;1,AE202&lt;0.69,AF202&lt;1,AN202&lt;1),0,IF(ISERROR(AB202-AC202),"",AB202-AC202)))))))))))))</f>
        <v>0</v>
      </c>
      <c r="AK202" s="1835"/>
      <c r="AL202" s="1835"/>
      <c r="AM202" s="1216">
        <f>IF(Q202=0,0,IF(T202=0,0,IF(T202&gt;K202,0,IF(AND(AS202&gt;0.01,BK202=0),0,IF(AND('Proposed Lighting'!DG202=0,'Lighting Controls'!Z202=0.35),0,IF(AND(T202&lt;=K202,AA202&gt;=AD202,'Proposed Lighting'!AU202=2),VLOOKUP(Q202,$AY$9:$AZ$15,2,FALSE),IF(AND(T202&lt;=K202,AA202&gt;=AD202,'Proposed Lighting'!AU202=3),VLOOKUP(Q202,$AY$17:$AZ$23,2,FALSE))))))))</f>
        <v>0</v>
      </c>
      <c r="AN202" s="1248">
        <f>IF(T202=0,0,IF(K202&gt;'Proposed Lighting'!AA202,0,IF(AE202=0,0,IF(AND(AD202&gt;AA202,AA202&gt;0),0,IF(U202=0,0,Summary!AE505)))))</f>
        <v>0</v>
      </c>
      <c r="AO202" s="1248">
        <f t="shared" si="37"/>
        <v>0</v>
      </c>
      <c r="AP202" s="1249">
        <f>IF('Proposed Lighting'!AU202=1,0,IF(K202=0,0,IF(T202&gt;K202,0,IF(G202=0,0,IF(K202&gt;'Proposed Lighting'!AA202,0,IF(AND(AD202&gt;AA202,AA202&gt;0),0,IF(AND('Proposed Lighting'!AU202=3,AM202=0.5),0,IF(AND(AM202&gt;0,AS202&gt;0,BI202&lt;2),0,IF('Proposed Lighting'!CH202=100,0,IF(AV202=1,0,IF(AND(AM202=35,M202+N202&lt;2),0,AM202)))))))))))</f>
        <v>0</v>
      </c>
      <c r="AQ202" s="1249" t="str">
        <f>IFERROR(ROUND(IF(Q202="","",IF('Proposed Lighting'!$X$4=0,0,IF(AND(AM202=35,M202+N202&lt;2),0,IF(T202&gt;K202,0,IF('Proposed Lighting'!AU202=1,0,IF(AJ202=0,0,IF(AND('Proposed Lighting'!AU202=3,AM202=0.5),0,IF(AND(AD202=75,AP202=0,AV202=0),0,IF(AP202&gt;0.01,AP202*T202,IF(AND(F202&gt;1,W202&lt;0.01),0,IF(AND(F202&gt;1,AO202=0),0,IF(AND('Proposed Lighting'!BC202=22,AV202=0),0,IF(AND(AM202&gt;0,AS202&gt;0,BI202&lt;2),0,IF(AND(AS202&gt;0.01,BK202=0),0,IF(AND(AO202=TRUE,AV202=1,F202=3),MIN(AJ202*0.08,L202),IF(AP202&gt;0.01,AP202*T202,IF(AND(AO202=TRUE,AV202=1,F202=2),MIN(AJ202*0.1,L202)))))))))))))))))),2),"")</f>
        <v/>
      </c>
      <c r="AR202" s="1250">
        <f>IF(Q202=0,0,IF('Proposed Lighting'!$X$4=0,0,IF(AND(AM202&gt;0.01,AQ202&gt;0.01),0,IF('Proposed Lighting'!AU202=1,"Missing Interior or Exterior Selection",IF('Proposed Lighting'!CF202=1,"Selection does not match",IF(K202&gt;'Proposed Lighting'!AA202,"Quantity controlled does not match proposed lighting quantity",IF(T202&gt;K202,"Quantity of sensors exceeds proposed lighting quantity",IF(AND(F202&gt;1,'Proposed Lighting'!AU202&lt;&gt;F202),"Selection does not match",IF(AND(AD202&gt;AA202,AA202&gt;0),"Does not meet minimum connected load",IF(AND(O202&gt;0,AS202&gt;0,BK202&gt;0,'Proposed Lighting'!CH202=0),"Select Control Strategies",IF(AND(AC202&gt;0.1,AJ202=0,AQ202=0),"Does not meet incentive criteria",0)))))))))))</f>
        <v>0</v>
      </c>
      <c r="AS202" s="1224">
        <f>IF('Proposed Lighting'!CH202=100,0,IF(ISNUMBER(SEARCH("multiple",Q202)),1,0))</f>
        <v>0</v>
      </c>
      <c r="AT202" s="451">
        <f t="shared" ref="AT202:AT265" si="47">IF(AQ202&gt;0.01,T202,0)</f>
        <v>0</v>
      </c>
      <c r="AU202" s="451">
        <f t="shared" ref="AU202:AU265" si="48">IF(AP202&gt;0.01,T202,0)</f>
        <v>0</v>
      </c>
      <c r="AV202" s="1222">
        <f>IF(ISNUMBER(SEARCH("Networked",'Proposed Lighting'!T202)),0,IF(ISNUMBER(SEARCH("Strategies",'Proposed Lighting'!T202)),0,IF(ISNUMBER(SEARCH("Removal",'Proposed Lighting'!T202)),0,IF(ISNUMBER(SEARCH("non-standard",Q202)),1,0))))</f>
        <v>0</v>
      </c>
      <c r="AW202" s="451">
        <f t="shared" si="38"/>
        <v>0</v>
      </c>
      <c r="AX202" s="451"/>
      <c r="AY202" s="451"/>
      <c r="AZ202" s="451"/>
      <c r="BA202" s="451"/>
      <c r="BB202" s="451"/>
      <c r="BC202" s="1215"/>
      <c r="BD202" s="1215"/>
      <c r="BE202" s="1215"/>
      <c r="BF202" s="1215"/>
      <c r="BG202" s="1215"/>
      <c r="BH202" s="1215"/>
      <c r="BI202">
        <f>IF(AND(AS202=1,BC202="No",BD202="Yes",BE202="Yes",BF202="No",BH202="No"),0,IF(AND('Proposed Lighting'!AU202=2,AS202=1,BC202="Yes",BD202="Yes"),2,IF(AND('Proposed Lighting'!AU202=2,AS202=1,BC202="Yes",BE202="Yes"),2,IF(AND('Proposed Lighting'!AU202=2,AS202=1,BC202="Yes",BF202="Yes"),2,IF(AND('Proposed Lighting'!AU202=2,AS202=1,BC202="Yes",BH202="Yes"),2,IF(AND('Proposed Lighting'!AU202=2,AS202=1,BD202="Yes",BF202="Yes"),2,IF(AND('Proposed Lighting'!AU202=2,AS202=1,BD202="Yes",BH202="Yes"),2,IF(AND('Proposed Lighting'!AU202=3,AS202=1,BC202="Yes",BE202="Yes"),2,IF(AND('Proposed Lighting'!AU202=3,AS202=1,BC202="Yes",BF202="Yes"),2,0)))))))))</f>
        <v>0</v>
      </c>
      <c r="BJ202" s="1025">
        <f t="shared" ref="BJ202:BJ265" si="49">IF(AND(AS202=1,BK202=0),0,IF(AND(AS202&gt;0,BI202&lt;2),"Does not meet minimum controls",0))</f>
        <v>0</v>
      </c>
      <c r="BK202">
        <f>IF(AND('Proposed Lighting'!BC202=22,'Lighting Controls'!N202=1),0,IF(ISNUMBER(SEARCH("LED",G202)),1,0))</f>
        <v>0</v>
      </c>
    </row>
    <row r="203" spans="1:63" ht="34.5" customHeight="1">
      <c r="A203" s="917">
        <v>195</v>
      </c>
      <c r="B203" s="1828" t="str">
        <f>IF('Proposed Lighting'!B203="","",'Proposed Lighting'!B203)</f>
        <v/>
      </c>
      <c r="C203" s="1828"/>
      <c r="D203" s="1828"/>
      <c r="E203" s="1245">
        <f>'Proposed Lighting'!AA203</f>
        <v>0</v>
      </c>
      <c r="F203" s="1245">
        <f t="shared" si="42"/>
        <v>0</v>
      </c>
      <c r="G203" s="1830" t="str">
        <f>IF('Proposed Lighting'!T203="","",IF(ISNUMBER(SEARCH("Networked",'Proposed Lighting'!T203)),0,IF(ISNUMBER(SEARCH("Strategies",'Proposed Lighting'!T203)),0,IF(ISNUMBER(SEARCH("Removal",'Proposed Lighting'!T203)),0,'Proposed Lighting'!T203))))</f>
        <v/>
      </c>
      <c r="H203" s="1830"/>
      <c r="I203" s="1830"/>
      <c r="J203" s="1830"/>
      <c r="K203" s="1215"/>
      <c r="L203" s="1246">
        <f t="shared" si="43"/>
        <v>0</v>
      </c>
      <c r="M203" s="1224">
        <f t="shared" si="44"/>
        <v>0</v>
      </c>
      <c r="N203" s="1224">
        <f t="shared" si="45"/>
        <v>0</v>
      </c>
      <c r="O203" s="1825" t="str">
        <f>IF(G203=0,0,IF(ISNA('Proposed Lighting'!AT203),0,'Proposed Lighting'!AT203))</f>
        <v/>
      </c>
      <c r="P203" s="1825"/>
      <c r="Q203" s="1247"/>
      <c r="R203" s="1247"/>
      <c r="S203" s="1247"/>
      <c r="T203" s="1211"/>
      <c r="U203" s="1235">
        <f>IF(K203&gt;0.01,'Proposed Lighting'!CU203,0)</f>
        <v>0</v>
      </c>
      <c r="V203" s="1248">
        <f>IF('Proposed Lighting'!CF203=1,0,IF('Proposed Lighting'!AU203=2,0,IF(AND('Proposed Lighting'!AU203=3,'Proposed Lighting'!CF203=0),1,0)))</f>
        <v>0</v>
      </c>
      <c r="W203" s="1836"/>
      <c r="X203" s="1836"/>
      <c r="Y203" s="1836"/>
      <c r="Z203" s="1230" t="str">
        <f t="shared" si="39"/>
        <v/>
      </c>
      <c r="AA203" s="1230">
        <f t="shared" si="40"/>
        <v>0</v>
      </c>
      <c r="AB203" s="1230">
        <f>IF(Q203=0,0,IF(T203=0,0,IF(AA203=0,0,IF(AND(F203=3,V203=0),0,IF(T203=0,0,IF(K203&gt;'Proposed Lighting'!AA203,0,IF('Proposed Lighting'!EJ203&gt;0.01,(K203*O203)*'Proposed Lighting'!EJ203/1000,(K203*O203)*U203/1000)))))))</f>
        <v>0</v>
      </c>
      <c r="AC203" s="1230" t="str">
        <f t="shared" si="46"/>
        <v/>
      </c>
      <c r="AD203" s="1230">
        <f t="shared" si="41"/>
        <v>0</v>
      </c>
      <c r="AE203" s="1230">
        <f>IF(T203=0,0,IF(K203&gt;'Proposed Lighting'!AA203,0,IF(T203&gt;K203,0,IF(AND(AD203&gt;AA203,AA203&gt;0),0,IF(AND(F203&gt;1,W203&lt;0.01),0,IF('Proposed Lighting'!AU203&gt;'Lighting Controls'!F203,0,IF('Proposed Lighting'!AU203&lt;'Lighting Controls'!F203,0,IF(U203=0,0,Summary!AC506))))))))</f>
        <v>0</v>
      </c>
      <c r="AF203" s="1230">
        <f>IF(T203=0,0,IF(AE203=0,0,IF(K203&gt;'Proposed Lighting'!AA203,0,IF(AND(AD203&gt;AA203,AA203&gt;0),0,IF(U203=0,0,Summary!AD506)))))</f>
        <v>0</v>
      </c>
      <c r="AG203" s="1834">
        <f>IF('Proposed Lighting'!AU203=1,0,IF('Proposed Lighting'!CF203=1,0,T203*W203))</f>
        <v>0</v>
      </c>
      <c r="AH203" s="1834"/>
      <c r="AI203" s="1834"/>
      <c r="AJ203" s="1835">
        <f>IF(T203&lt;1,0,IF(K203&gt;'Proposed Lighting'!AA203,0,IF('Proposed Lighting'!CF203=1,0,IF('Proposed Lighting'!AU203=1,0,IF(T203&gt;K203,0,IF(AND(AD203&gt;AA203,AA203&gt;0),0,IF(AND(F203=2,'Proposed Lighting'!AU203=3),0,IF(AND(F203=3,'Proposed Lighting'!AU203=2),0,IF('Proposed Lighting'!CH203=100,0,IF(AND(F203&lt;3,V203=1,AM203=0),0,IF(AND(F203&gt;1,AF203&lt;1,AN203&lt;1),0,IF(AND(F203&gt;1,AE203&lt;0.69,AF203&lt;1,AN203&lt;1),0,IF(ISERROR(AB203-AC203),"",AB203-AC203)))))))))))))</f>
        <v>0</v>
      </c>
      <c r="AK203" s="1835"/>
      <c r="AL203" s="1835"/>
      <c r="AM203" s="1216">
        <f>IF(Q203=0,0,IF(T203=0,0,IF(T203&gt;K203,0,IF(AND(AS203&gt;0.01,BK203=0),0,IF(AND('Proposed Lighting'!DG203=0,'Lighting Controls'!Z203=0.35),0,IF(AND(T203&lt;=K203,AA203&gt;=AD203,'Proposed Lighting'!AU203=2),VLOOKUP(Q203,$AY$9:$AZ$15,2,FALSE),IF(AND(T203&lt;=K203,AA203&gt;=AD203,'Proposed Lighting'!AU203=3),VLOOKUP(Q203,$AY$17:$AZ$23,2,FALSE))))))))</f>
        <v>0</v>
      </c>
      <c r="AN203" s="1248">
        <f>IF(T203=0,0,IF(K203&gt;'Proposed Lighting'!AA203,0,IF(AE203=0,0,IF(AND(AD203&gt;AA203,AA203&gt;0),0,IF(U203=0,0,Summary!AE506)))))</f>
        <v>0</v>
      </c>
      <c r="AO203" s="1248">
        <f t="shared" ref="AO203:AO266" si="50">IF((AND(AE203&gt;0.69,AF203&gt;=1,AN203&gt;=1)),TRUE,0)</f>
        <v>0</v>
      </c>
      <c r="AP203" s="1249">
        <f>IF('Proposed Lighting'!AU203=1,0,IF(K203=0,0,IF(T203&gt;K203,0,IF(G203=0,0,IF(K203&gt;'Proposed Lighting'!AA203,0,IF(AND(AD203&gt;AA203,AA203&gt;0),0,IF(AND('Proposed Lighting'!AU203=3,AM203=0.5),0,IF(AND(AM203&gt;0,AS203&gt;0,BI203&lt;2),0,IF('Proposed Lighting'!CH203=100,0,IF(AV203=1,0,IF(AND(AM203=35,M203+N203&lt;2),0,AM203)))))))))))</f>
        <v>0</v>
      </c>
      <c r="AQ203" s="1249" t="str">
        <f>IFERROR(ROUND(IF(Q203="","",IF('Proposed Lighting'!$X$4=0,0,IF(AND(AM203=35,M203+N203&lt;2),0,IF(T203&gt;K203,0,IF('Proposed Lighting'!AU203=1,0,IF(AJ203=0,0,IF(AND('Proposed Lighting'!AU203=3,AM203=0.5),0,IF(AND(AD203=75,AP203=0,AV203=0),0,IF(AP203&gt;0.01,AP203*T203,IF(AND(F203&gt;1,W203&lt;0.01),0,IF(AND(F203&gt;1,AO203=0),0,IF(AND('Proposed Lighting'!BC203=22,AV203=0),0,IF(AND(AM203&gt;0,AS203&gt;0,BI203&lt;2),0,IF(AND(AS203&gt;0.01,BK203=0),0,IF(AND(AO203=TRUE,AV203=1,F203=3),MIN(AJ203*0.08,L203),IF(AP203&gt;0.01,AP203*T203,IF(AND(AO203=TRUE,AV203=1,F203=2),MIN(AJ203*0.1,L203)))))))))))))))))),2),"")</f>
        <v/>
      </c>
      <c r="AR203" s="1250">
        <f>IF(Q203=0,0,IF('Proposed Lighting'!$X$4=0,0,IF(AND(AM203&gt;0.01,AQ203&gt;0.01),0,IF('Proposed Lighting'!AU203=1,"Missing Interior or Exterior Selection",IF('Proposed Lighting'!CF203=1,"Selection does not match",IF(K203&gt;'Proposed Lighting'!AA203,"Quantity controlled does not match proposed lighting quantity",IF(T203&gt;K203,"Quantity of sensors exceeds proposed lighting quantity",IF(AND(F203&gt;1,'Proposed Lighting'!AU203&lt;&gt;F203),"Selection does not match",IF(AND(AD203&gt;AA203,AA203&gt;0),"Does not meet minimum connected load",IF(AND(O203&gt;0,AS203&gt;0,BK203&gt;0,'Proposed Lighting'!CH203=0),"Select Control Strategies",IF(AND(AC203&gt;0.1,AJ203=0,AQ203=0),"Does not meet incentive criteria",0)))))))))))</f>
        <v>0</v>
      </c>
      <c r="AS203" s="1224">
        <f>IF('Proposed Lighting'!CH203=100,0,IF(ISNUMBER(SEARCH("multiple",Q203)),1,0))</f>
        <v>0</v>
      </c>
      <c r="AT203" s="451">
        <f t="shared" si="47"/>
        <v>0</v>
      </c>
      <c r="AU203" s="451">
        <f t="shared" si="48"/>
        <v>0</v>
      </c>
      <c r="AV203" s="1222">
        <f>IF(ISNUMBER(SEARCH("Networked",'Proposed Lighting'!T203)),0,IF(ISNUMBER(SEARCH("Strategies",'Proposed Lighting'!T203)),0,IF(ISNUMBER(SEARCH("Removal",'Proposed Lighting'!T203)),0,IF(ISNUMBER(SEARCH("non-standard",Q203)),1,0))))</f>
        <v>0</v>
      </c>
      <c r="AW203" s="451">
        <f t="shared" si="38"/>
        <v>0</v>
      </c>
      <c r="AX203" s="451"/>
      <c r="AY203" s="451"/>
      <c r="AZ203" s="451"/>
      <c r="BA203" s="451"/>
      <c r="BB203" s="451"/>
      <c r="BC203" s="1215"/>
      <c r="BD203" s="1215"/>
      <c r="BE203" s="1215"/>
      <c r="BF203" s="1215"/>
      <c r="BG203" s="1215"/>
      <c r="BH203" s="1215"/>
      <c r="BI203">
        <f>IF(AND(AS203=1,BC203="No",BD203="Yes",BE203="Yes",BF203="No",BH203="No"),0,IF(AND('Proposed Lighting'!AU203=2,AS203=1,BC203="Yes",BD203="Yes"),2,IF(AND('Proposed Lighting'!AU203=2,AS203=1,BC203="Yes",BE203="Yes"),2,IF(AND('Proposed Lighting'!AU203=2,AS203=1,BC203="Yes",BF203="Yes"),2,IF(AND('Proposed Lighting'!AU203=2,AS203=1,BC203="Yes",BH203="Yes"),2,IF(AND('Proposed Lighting'!AU203=2,AS203=1,BD203="Yes",BF203="Yes"),2,IF(AND('Proposed Lighting'!AU203=2,AS203=1,BD203="Yes",BH203="Yes"),2,IF(AND('Proposed Lighting'!AU203=3,AS203=1,BC203="Yes",BE203="Yes"),2,IF(AND('Proposed Lighting'!AU203=3,AS203=1,BC203="Yes",BF203="Yes"),2,0)))))))))</f>
        <v>0</v>
      </c>
      <c r="BJ203" s="1025">
        <f t="shared" si="49"/>
        <v>0</v>
      </c>
      <c r="BK203">
        <f>IF(AND('Proposed Lighting'!BC203=22,'Lighting Controls'!N203=1),0,IF(ISNUMBER(SEARCH("LED",G203)),1,0))</f>
        <v>0</v>
      </c>
    </row>
    <row r="204" spans="1:63" ht="34.5" customHeight="1">
      <c r="A204" s="917">
        <v>196</v>
      </c>
      <c r="B204" s="1828" t="str">
        <f>IF('Proposed Lighting'!B204="","",'Proposed Lighting'!B204)</f>
        <v/>
      </c>
      <c r="C204" s="1828"/>
      <c r="D204" s="1828"/>
      <c r="E204" s="1245">
        <f>'Proposed Lighting'!AA204</f>
        <v>0</v>
      </c>
      <c r="F204" s="1245">
        <f t="shared" si="42"/>
        <v>0</v>
      </c>
      <c r="G204" s="1830" t="str">
        <f>IF('Proposed Lighting'!T204="","",IF(ISNUMBER(SEARCH("Networked",'Proposed Lighting'!T204)),0,IF(ISNUMBER(SEARCH("Strategies",'Proposed Lighting'!T204)),0,IF(ISNUMBER(SEARCH("Removal",'Proposed Lighting'!T204)),0,'Proposed Lighting'!T204))))</f>
        <v/>
      </c>
      <c r="H204" s="1830"/>
      <c r="I204" s="1830"/>
      <c r="J204" s="1830"/>
      <c r="K204" s="1215"/>
      <c r="L204" s="1246">
        <f t="shared" si="43"/>
        <v>0</v>
      </c>
      <c r="M204" s="1224">
        <f t="shared" si="44"/>
        <v>0</v>
      </c>
      <c r="N204" s="1224">
        <f t="shared" si="45"/>
        <v>0</v>
      </c>
      <c r="O204" s="1825" t="str">
        <f>IF(G204=0,0,IF(ISNA('Proposed Lighting'!AT204),0,'Proposed Lighting'!AT204))</f>
        <v/>
      </c>
      <c r="P204" s="1825"/>
      <c r="Q204" s="1247"/>
      <c r="R204" s="1247"/>
      <c r="S204" s="1247"/>
      <c r="T204" s="1211"/>
      <c r="U204" s="1235">
        <f>IF(K204&gt;0.01,'Proposed Lighting'!CU204,0)</f>
        <v>0</v>
      </c>
      <c r="V204" s="1248">
        <f>IF('Proposed Lighting'!CF204=1,0,IF('Proposed Lighting'!AU204=2,0,IF(AND('Proposed Lighting'!AU204=3,'Proposed Lighting'!CF204=0),1,0)))</f>
        <v>0</v>
      </c>
      <c r="W204" s="1836"/>
      <c r="X204" s="1836"/>
      <c r="Y204" s="1836"/>
      <c r="Z204" s="1230" t="str">
        <f t="shared" si="39"/>
        <v/>
      </c>
      <c r="AA204" s="1230">
        <f t="shared" si="40"/>
        <v>0</v>
      </c>
      <c r="AB204" s="1230">
        <f>IF(Q204=0,0,IF(T204=0,0,IF(AA204=0,0,IF(AND(F204=3,V204=0),0,IF(T204=0,0,IF(K204&gt;'Proposed Lighting'!AA204,0,IF('Proposed Lighting'!EJ204&gt;0.01,(K204*O204)*'Proposed Lighting'!EJ204/1000,(K204*O204)*U204/1000)))))))</f>
        <v>0</v>
      </c>
      <c r="AC204" s="1230" t="str">
        <f t="shared" si="46"/>
        <v/>
      </c>
      <c r="AD204" s="1230">
        <f t="shared" si="41"/>
        <v>0</v>
      </c>
      <c r="AE204" s="1230">
        <f>IF(T204=0,0,IF(K204&gt;'Proposed Lighting'!AA204,0,IF(T204&gt;K204,0,IF(AND(AD204&gt;AA204,AA204&gt;0),0,IF(AND(F204&gt;1,W204&lt;0.01),0,IF('Proposed Lighting'!AU204&gt;'Lighting Controls'!F204,0,IF('Proposed Lighting'!AU204&lt;'Lighting Controls'!F204,0,IF(U204=0,0,Summary!AC507))))))))</f>
        <v>0</v>
      </c>
      <c r="AF204" s="1230">
        <f>IF(T204=0,0,IF(AE204=0,0,IF(K204&gt;'Proposed Lighting'!AA204,0,IF(AND(AD204&gt;AA204,AA204&gt;0),0,IF(U204=0,0,Summary!AD507)))))</f>
        <v>0</v>
      </c>
      <c r="AG204" s="1834">
        <f>IF('Proposed Lighting'!AU204=1,0,IF('Proposed Lighting'!CF204=1,0,T204*W204))</f>
        <v>0</v>
      </c>
      <c r="AH204" s="1834"/>
      <c r="AI204" s="1834"/>
      <c r="AJ204" s="1835">
        <f>IF(T204&lt;1,0,IF(K204&gt;'Proposed Lighting'!AA204,0,IF('Proposed Lighting'!CF204=1,0,IF('Proposed Lighting'!AU204=1,0,IF(T204&gt;K204,0,IF(AND(AD204&gt;AA204,AA204&gt;0),0,IF(AND(F204=2,'Proposed Lighting'!AU204=3),0,IF(AND(F204=3,'Proposed Lighting'!AU204=2),0,IF('Proposed Lighting'!CH204=100,0,IF(AND(F204&lt;3,V204=1,AM204=0),0,IF(AND(F204&gt;1,AF204&lt;1,AN204&lt;1),0,IF(AND(F204&gt;1,AE204&lt;0.69,AF204&lt;1,AN204&lt;1),0,IF(ISERROR(AB204-AC204),"",AB204-AC204)))))))))))))</f>
        <v>0</v>
      </c>
      <c r="AK204" s="1835"/>
      <c r="AL204" s="1835"/>
      <c r="AM204" s="1216">
        <f>IF(Q204=0,0,IF(T204=0,0,IF(T204&gt;K204,0,IF(AND(AS204&gt;0.01,BK204=0),0,IF(AND('Proposed Lighting'!DG204=0,'Lighting Controls'!Z204=0.35),0,IF(AND(T204&lt;=K204,AA204&gt;=AD204,'Proposed Lighting'!AU204=2),VLOOKUP(Q204,$AY$9:$AZ$15,2,FALSE),IF(AND(T204&lt;=K204,AA204&gt;=AD204,'Proposed Lighting'!AU204=3),VLOOKUP(Q204,$AY$17:$AZ$23,2,FALSE))))))))</f>
        <v>0</v>
      </c>
      <c r="AN204" s="1248">
        <f>IF(T204=0,0,IF(K204&gt;'Proposed Lighting'!AA204,0,IF(AE204=0,0,IF(AND(AD204&gt;AA204,AA204&gt;0),0,IF(U204=0,0,Summary!AE507)))))</f>
        <v>0</v>
      </c>
      <c r="AO204" s="1248">
        <f t="shared" si="50"/>
        <v>0</v>
      </c>
      <c r="AP204" s="1249">
        <f>IF('Proposed Lighting'!AU204=1,0,IF(K204=0,0,IF(T204&gt;K204,0,IF(G204=0,0,IF(K204&gt;'Proposed Lighting'!AA204,0,IF(AND(AD204&gt;AA204,AA204&gt;0),0,IF(AND('Proposed Lighting'!AU204=3,AM204=0.5),0,IF(AND(AM204&gt;0,AS204&gt;0,BI204&lt;2),0,IF('Proposed Lighting'!CH204=100,0,IF(AV204=1,0,IF(AND(AM204=35,M204+N204&lt;2),0,AM204)))))))))))</f>
        <v>0</v>
      </c>
      <c r="AQ204" s="1249" t="str">
        <f>IFERROR(ROUND(IF(Q204="","",IF('Proposed Lighting'!$X$4=0,0,IF(AND(AM204=35,M204+N204&lt;2),0,IF(T204&gt;K204,0,IF('Proposed Lighting'!AU204=1,0,IF(AJ204=0,0,IF(AND('Proposed Lighting'!AU204=3,AM204=0.5),0,IF(AND(AD204=75,AP204=0,AV204=0),0,IF(AP204&gt;0.01,AP204*T204,IF(AND(F204&gt;1,W204&lt;0.01),0,IF(AND(F204&gt;1,AO204=0),0,IF(AND('Proposed Lighting'!BC204=22,AV204=0),0,IF(AND(AM204&gt;0,AS204&gt;0,BI204&lt;2),0,IF(AND(AS204&gt;0.01,BK204=0),0,IF(AND(AO204=TRUE,AV204=1,F204=3),MIN(AJ204*0.08,L204),IF(AP204&gt;0.01,AP204*T204,IF(AND(AO204=TRUE,AV204=1,F204=2),MIN(AJ204*0.1,L204)))))))))))))))))),2),"")</f>
        <v/>
      </c>
      <c r="AR204" s="1250">
        <f>IF(Q204=0,0,IF('Proposed Lighting'!$X$4=0,0,IF(AND(AM204&gt;0.01,AQ204&gt;0.01),0,IF('Proposed Lighting'!AU204=1,"Missing Interior or Exterior Selection",IF('Proposed Lighting'!CF204=1,"Selection does not match",IF(K204&gt;'Proposed Lighting'!AA204,"Quantity controlled does not match proposed lighting quantity",IF(T204&gt;K204,"Quantity of sensors exceeds proposed lighting quantity",IF(AND(F204&gt;1,'Proposed Lighting'!AU204&lt;&gt;F204),"Selection does not match",IF(AND(AD204&gt;AA204,AA204&gt;0),"Does not meet minimum connected load",IF(AND(O204&gt;0,AS204&gt;0,BK204&gt;0,'Proposed Lighting'!CH204=0),"Select Control Strategies",IF(AND(AC204&gt;0.1,AJ204=0,AQ204=0),"Does not meet incentive criteria",0)))))))))))</f>
        <v>0</v>
      </c>
      <c r="AS204" s="1224">
        <f>IF('Proposed Lighting'!CH204=100,0,IF(ISNUMBER(SEARCH("multiple",Q204)),1,0))</f>
        <v>0</v>
      </c>
      <c r="AT204" s="451">
        <f t="shared" si="47"/>
        <v>0</v>
      </c>
      <c r="AU204" s="451">
        <f t="shared" si="48"/>
        <v>0</v>
      </c>
      <c r="AV204" s="1222">
        <f>IF(ISNUMBER(SEARCH("Networked",'Proposed Lighting'!T204)),0,IF(ISNUMBER(SEARCH("Strategies",'Proposed Lighting'!T204)),0,IF(ISNUMBER(SEARCH("Removal",'Proposed Lighting'!T204)),0,IF(ISNUMBER(SEARCH("non-standard",Q204)),1,0))))</f>
        <v>0</v>
      </c>
      <c r="AW204" s="451">
        <f t="shared" si="38"/>
        <v>0</v>
      </c>
      <c r="AX204" s="451"/>
      <c r="AY204" s="451"/>
      <c r="AZ204" s="451"/>
      <c r="BA204" s="451"/>
      <c r="BB204" s="451"/>
      <c r="BC204" s="1215"/>
      <c r="BD204" s="1215"/>
      <c r="BE204" s="1215"/>
      <c r="BF204" s="1215"/>
      <c r="BG204" s="1215"/>
      <c r="BH204" s="1215"/>
      <c r="BI204">
        <f>IF(AND(AS204=1,BC204="No",BD204="Yes",BE204="Yes",BF204="No",BH204="No"),0,IF(AND('Proposed Lighting'!AU204=2,AS204=1,BC204="Yes",BD204="Yes"),2,IF(AND('Proposed Lighting'!AU204=2,AS204=1,BC204="Yes",BE204="Yes"),2,IF(AND('Proposed Lighting'!AU204=2,AS204=1,BC204="Yes",BF204="Yes"),2,IF(AND('Proposed Lighting'!AU204=2,AS204=1,BC204="Yes",BH204="Yes"),2,IF(AND('Proposed Lighting'!AU204=2,AS204=1,BD204="Yes",BF204="Yes"),2,IF(AND('Proposed Lighting'!AU204=2,AS204=1,BD204="Yes",BH204="Yes"),2,IF(AND('Proposed Lighting'!AU204=3,AS204=1,BC204="Yes",BE204="Yes"),2,IF(AND('Proposed Lighting'!AU204=3,AS204=1,BC204="Yes",BF204="Yes"),2,0)))))))))</f>
        <v>0</v>
      </c>
      <c r="BJ204" s="1025">
        <f t="shared" si="49"/>
        <v>0</v>
      </c>
      <c r="BK204">
        <f>IF(AND('Proposed Lighting'!BC204=22,'Lighting Controls'!N204=1),0,IF(ISNUMBER(SEARCH("LED",G204)),1,0))</f>
        <v>0</v>
      </c>
    </row>
    <row r="205" spans="1:63" ht="34.5" customHeight="1">
      <c r="A205" s="917">
        <v>197</v>
      </c>
      <c r="B205" s="1828" t="str">
        <f>IF('Proposed Lighting'!B205="","",'Proposed Lighting'!B205)</f>
        <v/>
      </c>
      <c r="C205" s="1828"/>
      <c r="D205" s="1828"/>
      <c r="E205" s="1245">
        <f>'Proposed Lighting'!AA205</f>
        <v>0</v>
      </c>
      <c r="F205" s="1245">
        <f t="shared" si="42"/>
        <v>0</v>
      </c>
      <c r="G205" s="1830" t="str">
        <f>IF('Proposed Lighting'!T205="","",IF(ISNUMBER(SEARCH("Networked",'Proposed Lighting'!T205)),0,IF(ISNUMBER(SEARCH("Strategies",'Proposed Lighting'!T205)),0,IF(ISNUMBER(SEARCH("Removal",'Proposed Lighting'!T205)),0,'Proposed Lighting'!T205))))</f>
        <v/>
      </c>
      <c r="H205" s="1830"/>
      <c r="I205" s="1830"/>
      <c r="J205" s="1830"/>
      <c r="K205" s="1215"/>
      <c r="L205" s="1246">
        <f t="shared" si="43"/>
        <v>0</v>
      </c>
      <c r="M205" s="1224">
        <f t="shared" si="44"/>
        <v>0</v>
      </c>
      <c r="N205" s="1224">
        <f t="shared" si="45"/>
        <v>0</v>
      </c>
      <c r="O205" s="1825" t="str">
        <f>IF(G205=0,0,IF(ISNA('Proposed Lighting'!AT205),0,'Proposed Lighting'!AT205))</f>
        <v/>
      </c>
      <c r="P205" s="1825"/>
      <c r="Q205" s="1247"/>
      <c r="R205" s="1247"/>
      <c r="S205" s="1247"/>
      <c r="T205" s="1211"/>
      <c r="U205" s="1235">
        <f>IF(K205&gt;0.01,'Proposed Lighting'!CU205,0)</f>
        <v>0</v>
      </c>
      <c r="V205" s="1248">
        <f>IF('Proposed Lighting'!CF205=1,0,IF('Proposed Lighting'!AU205=2,0,IF(AND('Proposed Lighting'!AU205=3,'Proposed Lighting'!CF205=0),1,0)))</f>
        <v>0</v>
      </c>
      <c r="W205" s="1836"/>
      <c r="X205" s="1836"/>
      <c r="Y205" s="1836"/>
      <c r="Z205" s="1230" t="str">
        <f t="shared" si="39"/>
        <v/>
      </c>
      <c r="AA205" s="1230">
        <f t="shared" si="40"/>
        <v>0</v>
      </c>
      <c r="AB205" s="1230">
        <f>IF(Q205=0,0,IF(T205=0,0,IF(AA205=0,0,IF(AND(F205=3,V205=0),0,IF(T205=0,0,IF(K205&gt;'Proposed Lighting'!AA205,0,IF('Proposed Lighting'!EJ205&gt;0.01,(K205*O205)*'Proposed Lighting'!EJ205/1000,(K205*O205)*U205/1000)))))))</f>
        <v>0</v>
      </c>
      <c r="AC205" s="1230" t="str">
        <f t="shared" si="46"/>
        <v/>
      </c>
      <c r="AD205" s="1230">
        <f t="shared" si="41"/>
        <v>0</v>
      </c>
      <c r="AE205" s="1230">
        <f>IF(T205=0,0,IF(K205&gt;'Proposed Lighting'!AA205,0,IF(T205&gt;K205,0,IF(AND(AD205&gt;AA205,AA205&gt;0),0,IF(AND(F205&gt;1,W205&lt;0.01),0,IF('Proposed Lighting'!AU205&gt;'Lighting Controls'!F205,0,IF('Proposed Lighting'!AU205&lt;'Lighting Controls'!F205,0,IF(U205=0,0,Summary!AC508))))))))</f>
        <v>0</v>
      </c>
      <c r="AF205" s="1230">
        <f>IF(T205=0,0,IF(AE205=0,0,IF(K205&gt;'Proposed Lighting'!AA205,0,IF(AND(AD205&gt;AA205,AA205&gt;0),0,IF(U205=0,0,Summary!AD508)))))</f>
        <v>0</v>
      </c>
      <c r="AG205" s="1834">
        <f>IF('Proposed Lighting'!AU205=1,0,IF('Proposed Lighting'!CF205=1,0,T205*W205))</f>
        <v>0</v>
      </c>
      <c r="AH205" s="1834"/>
      <c r="AI205" s="1834"/>
      <c r="AJ205" s="1835">
        <f>IF(T205&lt;1,0,IF(K205&gt;'Proposed Lighting'!AA205,0,IF('Proposed Lighting'!CF205=1,0,IF('Proposed Lighting'!AU205=1,0,IF(T205&gt;K205,0,IF(AND(AD205&gt;AA205,AA205&gt;0),0,IF(AND(F205=2,'Proposed Lighting'!AU205=3),0,IF(AND(F205=3,'Proposed Lighting'!AU205=2),0,IF('Proposed Lighting'!CH205=100,0,IF(AND(F205&lt;3,V205=1,AM205=0),0,IF(AND(F205&gt;1,AF205&lt;1,AN205&lt;1),0,IF(AND(F205&gt;1,AE205&lt;0.69,AF205&lt;1,AN205&lt;1),0,IF(ISERROR(AB205-AC205),"",AB205-AC205)))))))))))))</f>
        <v>0</v>
      </c>
      <c r="AK205" s="1835"/>
      <c r="AL205" s="1835"/>
      <c r="AM205" s="1216">
        <f>IF(Q205=0,0,IF(T205=0,0,IF(T205&gt;K205,0,IF(AND(AS205&gt;0.01,BK205=0),0,IF(AND('Proposed Lighting'!DG205=0,'Lighting Controls'!Z205=0.35),0,IF(AND(T205&lt;=K205,AA205&gt;=AD205,'Proposed Lighting'!AU205=2),VLOOKUP(Q205,$AY$9:$AZ$15,2,FALSE),IF(AND(T205&lt;=K205,AA205&gt;=AD205,'Proposed Lighting'!AU205=3),VLOOKUP(Q205,$AY$17:$AZ$23,2,FALSE))))))))</f>
        <v>0</v>
      </c>
      <c r="AN205" s="1248">
        <f>IF(T205=0,0,IF(K205&gt;'Proposed Lighting'!AA205,0,IF(AE205=0,0,IF(AND(AD205&gt;AA205,AA205&gt;0),0,IF(U205=0,0,Summary!AE508)))))</f>
        <v>0</v>
      </c>
      <c r="AO205" s="1248">
        <f t="shared" si="50"/>
        <v>0</v>
      </c>
      <c r="AP205" s="1249">
        <f>IF('Proposed Lighting'!AU205=1,0,IF(K205=0,0,IF(T205&gt;K205,0,IF(G205=0,0,IF(K205&gt;'Proposed Lighting'!AA205,0,IF(AND(AD205&gt;AA205,AA205&gt;0),0,IF(AND('Proposed Lighting'!AU205=3,AM205=0.5),0,IF(AND(AM205&gt;0,AS205&gt;0,BI205&lt;2),0,IF('Proposed Lighting'!CH205=100,0,IF(AV205=1,0,IF(AND(AM205=35,M205+N205&lt;2),0,AM205)))))))))))</f>
        <v>0</v>
      </c>
      <c r="AQ205" s="1249" t="str">
        <f>IFERROR(ROUND(IF(Q205="","",IF('Proposed Lighting'!$X$4=0,0,IF(AND(AM205=35,M205+N205&lt;2),0,IF(T205&gt;K205,0,IF('Proposed Lighting'!AU205=1,0,IF(AJ205=0,0,IF(AND('Proposed Lighting'!AU205=3,AM205=0.5),0,IF(AND(AD205=75,AP205=0,AV205=0),0,IF(AP205&gt;0.01,AP205*T205,IF(AND(F205&gt;1,W205&lt;0.01),0,IF(AND(F205&gt;1,AO205=0),0,IF(AND('Proposed Lighting'!BC205=22,AV205=0),0,IF(AND(AM205&gt;0,AS205&gt;0,BI205&lt;2),0,IF(AND(AS205&gt;0.01,BK205=0),0,IF(AND(AO205=TRUE,AV205=1,F205=3),MIN(AJ205*0.08,L205),IF(AP205&gt;0.01,AP205*T205,IF(AND(AO205=TRUE,AV205=1,F205=2),MIN(AJ205*0.1,L205)))))))))))))))))),2),"")</f>
        <v/>
      </c>
      <c r="AR205" s="1250">
        <f>IF(Q205=0,0,IF('Proposed Lighting'!$X$4=0,0,IF(AND(AM205&gt;0.01,AQ205&gt;0.01),0,IF('Proposed Lighting'!AU205=1,"Missing Interior or Exterior Selection",IF('Proposed Lighting'!CF205=1,"Selection does not match",IF(K205&gt;'Proposed Lighting'!AA205,"Quantity controlled does not match proposed lighting quantity",IF(T205&gt;K205,"Quantity of sensors exceeds proposed lighting quantity",IF(AND(F205&gt;1,'Proposed Lighting'!AU205&lt;&gt;F205),"Selection does not match",IF(AND(AD205&gt;AA205,AA205&gt;0),"Does not meet minimum connected load",IF(AND(O205&gt;0,AS205&gt;0,BK205&gt;0,'Proposed Lighting'!CH205=0),"Select Control Strategies",IF(AND(AC205&gt;0.1,AJ205=0,AQ205=0),"Does not meet incentive criteria",0)))))))))))</f>
        <v>0</v>
      </c>
      <c r="AS205" s="1224">
        <f>IF('Proposed Lighting'!CH205=100,0,IF(ISNUMBER(SEARCH("multiple",Q205)),1,0))</f>
        <v>0</v>
      </c>
      <c r="AT205" s="451">
        <f t="shared" si="47"/>
        <v>0</v>
      </c>
      <c r="AU205" s="451">
        <f t="shared" si="48"/>
        <v>0</v>
      </c>
      <c r="AV205" s="1222">
        <f>IF(ISNUMBER(SEARCH("Networked",'Proposed Lighting'!T205)),0,IF(ISNUMBER(SEARCH("Strategies",'Proposed Lighting'!T205)),0,IF(ISNUMBER(SEARCH("Removal",'Proposed Lighting'!T205)),0,IF(ISNUMBER(SEARCH("non-standard",Q205)),1,0))))</f>
        <v>0</v>
      </c>
      <c r="AW205" s="451">
        <f t="shared" si="38"/>
        <v>0</v>
      </c>
      <c r="AX205" s="451"/>
      <c r="AY205" s="451"/>
      <c r="AZ205" s="451"/>
      <c r="BA205" s="451"/>
      <c r="BB205" s="451"/>
      <c r="BC205" s="1215"/>
      <c r="BD205" s="1215"/>
      <c r="BE205" s="1215"/>
      <c r="BF205" s="1215"/>
      <c r="BG205" s="1215"/>
      <c r="BH205" s="1215"/>
      <c r="BI205">
        <f>IF(AND(AS205=1,BC205="No",BD205="Yes",BE205="Yes",BF205="No",BH205="No"),0,IF(AND('Proposed Lighting'!AU205=2,AS205=1,BC205="Yes",BD205="Yes"),2,IF(AND('Proposed Lighting'!AU205=2,AS205=1,BC205="Yes",BE205="Yes"),2,IF(AND('Proposed Lighting'!AU205=2,AS205=1,BC205="Yes",BF205="Yes"),2,IF(AND('Proposed Lighting'!AU205=2,AS205=1,BC205="Yes",BH205="Yes"),2,IF(AND('Proposed Lighting'!AU205=2,AS205=1,BD205="Yes",BF205="Yes"),2,IF(AND('Proposed Lighting'!AU205=2,AS205=1,BD205="Yes",BH205="Yes"),2,IF(AND('Proposed Lighting'!AU205=3,AS205=1,BC205="Yes",BE205="Yes"),2,IF(AND('Proposed Lighting'!AU205=3,AS205=1,BC205="Yes",BF205="Yes"),2,0)))))))))</f>
        <v>0</v>
      </c>
      <c r="BJ205" s="1025">
        <f t="shared" si="49"/>
        <v>0</v>
      </c>
      <c r="BK205">
        <f>IF(AND('Proposed Lighting'!BC205=22,'Lighting Controls'!N205=1),0,IF(ISNUMBER(SEARCH("LED",G205)),1,0))</f>
        <v>0</v>
      </c>
    </row>
    <row r="206" spans="1:63" ht="34.5" customHeight="1">
      <c r="A206" s="917">
        <v>198</v>
      </c>
      <c r="B206" s="1828" t="str">
        <f>IF('Proposed Lighting'!B206="","",'Proposed Lighting'!B206)</f>
        <v/>
      </c>
      <c r="C206" s="1828"/>
      <c r="D206" s="1828"/>
      <c r="E206" s="1245">
        <f>'Proposed Lighting'!AA206</f>
        <v>0</v>
      </c>
      <c r="F206" s="1245">
        <f t="shared" si="42"/>
        <v>0</v>
      </c>
      <c r="G206" s="1830" t="str">
        <f>IF('Proposed Lighting'!T206="","",IF(ISNUMBER(SEARCH("Networked",'Proposed Lighting'!T206)),0,IF(ISNUMBER(SEARCH("Strategies",'Proposed Lighting'!T206)),0,IF(ISNUMBER(SEARCH("Removal",'Proposed Lighting'!T206)),0,'Proposed Lighting'!T206))))</f>
        <v/>
      </c>
      <c r="H206" s="1830"/>
      <c r="I206" s="1830"/>
      <c r="J206" s="1830"/>
      <c r="K206" s="1215"/>
      <c r="L206" s="1246">
        <f t="shared" si="43"/>
        <v>0</v>
      </c>
      <c r="M206" s="1224">
        <f t="shared" si="44"/>
        <v>0</v>
      </c>
      <c r="N206" s="1224">
        <f t="shared" si="45"/>
        <v>0</v>
      </c>
      <c r="O206" s="1825" t="str">
        <f>IF(G206=0,0,IF(ISNA('Proposed Lighting'!AT206),0,'Proposed Lighting'!AT206))</f>
        <v/>
      </c>
      <c r="P206" s="1825"/>
      <c r="Q206" s="1247"/>
      <c r="R206" s="1247"/>
      <c r="S206" s="1247"/>
      <c r="T206" s="1211"/>
      <c r="U206" s="1235">
        <f>IF(K206&gt;0.01,'Proposed Lighting'!CU206,0)</f>
        <v>0</v>
      </c>
      <c r="V206" s="1248">
        <f>IF('Proposed Lighting'!CF206=1,0,IF('Proposed Lighting'!AU206=2,0,IF(AND('Proposed Lighting'!AU206=3,'Proposed Lighting'!CF206=0),1,0)))</f>
        <v>0</v>
      </c>
      <c r="W206" s="1836"/>
      <c r="X206" s="1836"/>
      <c r="Y206" s="1836"/>
      <c r="Z206" s="1230" t="str">
        <f t="shared" si="39"/>
        <v/>
      </c>
      <c r="AA206" s="1230">
        <f t="shared" si="40"/>
        <v>0</v>
      </c>
      <c r="AB206" s="1230">
        <f>IF(Q206=0,0,IF(T206=0,0,IF(AA206=0,0,IF(AND(F206=3,V206=0),0,IF(T206=0,0,IF(K206&gt;'Proposed Lighting'!AA206,0,IF('Proposed Lighting'!EJ206&gt;0.01,(K206*O206)*'Proposed Lighting'!EJ206/1000,(K206*O206)*U206/1000)))))))</f>
        <v>0</v>
      </c>
      <c r="AC206" s="1230" t="str">
        <f t="shared" si="46"/>
        <v/>
      </c>
      <c r="AD206" s="1230">
        <f t="shared" si="41"/>
        <v>0</v>
      </c>
      <c r="AE206" s="1230">
        <f>IF(T206=0,0,IF(K206&gt;'Proposed Lighting'!AA206,0,IF(T206&gt;K206,0,IF(AND(AD206&gt;AA206,AA206&gt;0),0,IF(AND(F206&gt;1,W206&lt;0.01),0,IF('Proposed Lighting'!AU206&gt;'Lighting Controls'!F206,0,IF('Proposed Lighting'!AU206&lt;'Lighting Controls'!F206,0,IF(U206=0,0,Summary!AC509))))))))</f>
        <v>0</v>
      </c>
      <c r="AF206" s="1230">
        <f>IF(T206=0,0,IF(AE206=0,0,IF(K206&gt;'Proposed Lighting'!AA206,0,IF(AND(AD206&gt;AA206,AA206&gt;0),0,IF(U206=0,0,Summary!AD509)))))</f>
        <v>0</v>
      </c>
      <c r="AG206" s="1834">
        <f>IF('Proposed Lighting'!AU206=1,0,IF('Proposed Lighting'!CF206=1,0,T206*W206))</f>
        <v>0</v>
      </c>
      <c r="AH206" s="1834"/>
      <c r="AI206" s="1834"/>
      <c r="AJ206" s="1835">
        <f>IF(T206&lt;1,0,IF(K206&gt;'Proposed Lighting'!AA206,0,IF('Proposed Lighting'!CF206=1,0,IF('Proposed Lighting'!AU206=1,0,IF(T206&gt;K206,0,IF(AND(AD206&gt;AA206,AA206&gt;0),0,IF(AND(F206=2,'Proposed Lighting'!AU206=3),0,IF(AND(F206=3,'Proposed Lighting'!AU206=2),0,IF('Proposed Lighting'!CH206=100,0,IF(AND(F206&lt;3,V206=1,AM206=0),0,IF(AND(F206&gt;1,AF206&lt;1,AN206&lt;1),0,IF(AND(F206&gt;1,AE206&lt;0.69,AF206&lt;1,AN206&lt;1),0,IF(ISERROR(AB206-AC206),"",AB206-AC206)))))))))))))</f>
        <v>0</v>
      </c>
      <c r="AK206" s="1835"/>
      <c r="AL206" s="1835"/>
      <c r="AM206" s="1216">
        <f>IF(Q206=0,0,IF(T206=0,0,IF(T206&gt;K206,0,IF(AND(AS206&gt;0.01,BK206=0),0,IF(AND('Proposed Lighting'!DG206=0,'Lighting Controls'!Z206=0.35),0,IF(AND(T206&lt;=K206,AA206&gt;=AD206,'Proposed Lighting'!AU206=2),VLOOKUP(Q206,$AY$9:$AZ$15,2,FALSE),IF(AND(T206&lt;=K206,AA206&gt;=AD206,'Proposed Lighting'!AU206=3),VLOOKUP(Q206,$AY$17:$AZ$23,2,FALSE))))))))</f>
        <v>0</v>
      </c>
      <c r="AN206" s="1248">
        <f>IF(T206=0,0,IF(K206&gt;'Proposed Lighting'!AA206,0,IF(AE206=0,0,IF(AND(AD206&gt;AA206,AA206&gt;0),0,IF(U206=0,0,Summary!AE509)))))</f>
        <v>0</v>
      </c>
      <c r="AO206" s="1248">
        <f t="shared" si="50"/>
        <v>0</v>
      </c>
      <c r="AP206" s="1249">
        <f>IF('Proposed Lighting'!AU206=1,0,IF(K206=0,0,IF(T206&gt;K206,0,IF(G206=0,0,IF(K206&gt;'Proposed Lighting'!AA206,0,IF(AND(AD206&gt;AA206,AA206&gt;0),0,IF(AND('Proposed Lighting'!AU206=3,AM206=0.5),0,IF(AND(AM206&gt;0,AS206&gt;0,BI206&lt;2),0,IF('Proposed Lighting'!CH206=100,0,IF(AV206=1,0,IF(AND(AM206=35,M206+N206&lt;2),0,AM206)))))))))))</f>
        <v>0</v>
      </c>
      <c r="AQ206" s="1249" t="str">
        <f>IFERROR(ROUND(IF(Q206="","",IF('Proposed Lighting'!$X$4=0,0,IF(AND(AM206=35,M206+N206&lt;2),0,IF(T206&gt;K206,0,IF('Proposed Lighting'!AU206=1,0,IF(AJ206=0,0,IF(AND('Proposed Lighting'!AU206=3,AM206=0.5),0,IF(AND(AD206=75,AP206=0,AV206=0),0,IF(AP206&gt;0.01,AP206*T206,IF(AND(F206&gt;1,W206&lt;0.01),0,IF(AND(F206&gt;1,AO206=0),0,IF(AND('Proposed Lighting'!BC206=22,AV206=0),0,IF(AND(AM206&gt;0,AS206&gt;0,BI206&lt;2),0,IF(AND(AS206&gt;0.01,BK206=0),0,IF(AND(AO206=TRUE,AV206=1,F206=3),MIN(AJ206*0.08,L206),IF(AP206&gt;0.01,AP206*T206,IF(AND(AO206=TRUE,AV206=1,F206=2),MIN(AJ206*0.1,L206)))))))))))))))))),2),"")</f>
        <v/>
      </c>
      <c r="AR206" s="1250">
        <f>IF(Q206=0,0,IF('Proposed Lighting'!$X$4=0,0,IF(AND(AM206&gt;0.01,AQ206&gt;0.01),0,IF('Proposed Lighting'!AU206=1,"Missing Interior or Exterior Selection",IF('Proposed Lighting'!CF206=1,"Selection does not match",IF(K206&gt;'Proposed Lighting'!AA206,"Quantity controlled does not match proposed lighting quantity",IF(T206&gt;K206,"Quantity of sensors exceeds proposed lighting quantity",IF(AND(F206&gt;1,'Proposed Lighting'!AU206&lt;&gt;F206),"Selection does not match",IF(AND(AD206&gt;AA206,AA206&gt;0),"Does not meet minimum connected load",IF(AND(O206&gt;0,AS206&gt;0,BK206&gt;0,'Proposed Lighting'!CH206=0),"Select Control Strategies",IF(AND(AC206&gt;0.1,AJ206=0,AQ206=0),"Does not meet incentive criteria",0)))))))))))</f>
        <v>0</v>
      </c>
      <c r="AS206" s="1224">
        <f>IF('Proposed Lighting'!CH206=100,0,IF(ISNUMBER(SEARCH("multiple",Q206)),1,0))</f>
        <v>0</v>
      </c>
      <c r="AT206" s="451">
        <f t="shared" si="47"/>
        <v>0</v>
      </c>
      <c r="AU206" s="451">
        <f t="shared" si="48"/>
        <v>0</v>
      </c>
      <c r="AV206" s="1222">
        <f>IF(ISNUMBER(SEARCH("Networked",'Proposed Lighting'!T206)),0,IF(ISNUMBER(SEARCH("Strategies",'Proposed Lighting'!T206)),0,IF(ISNUMBER(SEARCH("Removal",'Proposed Lighting'!T206)),0,IF(ISNUMBER(SEARCH("non-standard",Q206)),1,0))))</f>
        <v>0</v>
      </c>
      <c r="AW206" s="451">
        <f t="shared" si="38"/>
        <v>0</v>
      </c>
      <c r="AX206" s="451"/>
      <c r="AY206" s="451"/>
      <c r="AZ206" s="451"/>
      <c r="BA206" s="451"/>
      <c r="BB206" s="451"/>
      <c r="BC206" s="1215"/>
      <c r="BD206" s="1215"/>
      <c r="BE206" s="1215"/>
      <c r="BF206" s="1215"/>
      <c r="BG206" s="1215"/>
      <c r="BH206" s="1215"/>
      <c r="BI206">
        <f>IF(AND(AS206=1,BC206="No",BD206="Yes",BE206="Yes",BF206="No",BH206="No"),0,IF(AND('Proposed Lighting'!AU206=2,AS206=1,BC206="Yes",BD206="Yes"),2,IF(AND('Proposed Lighting'!AU206=2,AS206=1,BC206="Yes",BE206="Yes"),2,IF(AND('Proposed Lighting'!AU206=2,AS206=1,BC206="Yes",BF206="Yes"),2,IF(AND('Proposed Lighting'!AU206=2,AS206=1,BC206="Yes",BH206="Yes"),2,IF(AND('Proposed Lighting'!AU206=2,AS206=1,BD206="Yes",BF206="Yes"),2,IF(AND('Proposed Lighting'!AU206=2,AS206=1,BD206="Yes",BH206="Yes"),2,IF(AND('Proposed Lighting'!AU206=3,AS206=1,BC206="Yes",BE206="Yes"),2,IF(AND('Proposed Lighting'!AU206=3,AS206=1,BC206="Yes",BF206="Yes"),2,0)))))))))</f>
        <v>0</v>
      </c>
      <c r="BJ206" s="1025">
        <f t="shared" si="49"/>
        <v>0</v>
      </c>
      <c r="BK206">
        <f>IF(AND('Proposed Lighting'!BC206=22,'Lighting Controls'!N206=1),0,IF(ISNUMBER(SEARCH("LED",G206)),1,0))</f>
        <v>0</v>
      </c>
    </row>
    <row r="207" spans="1:63" ht="34.5" customHeight="1">
      <c r="A207" s="917">
        <v>199</v>
      </c>
      <c r="B207" s="1828" t="str">
        <f>IF('Proposed Lighting'!B207="","",'Proposed Lighting'!B207)</f>
        <v/>
      </c>
      <c r="C207" s="1828"/>
      <c r="D207" s="1828"/>
      <c r="E207" s="1245">
        <f>'Proposed Lighting'!AA207</f>
        <v>0</v>
      </c>
      <c r="F207" s="1245">
        <f t="shared" si="42"/>
        <v>0</v>
      </c>
      <c r="G207" s="1830" t="str">
        <f>IF('Proposed Lighting'!T207="","",IF(ISNUMBER(SEARCH("Networked",'Proposed Lighting'!T207)),0,IF(ISNUMBER(SEARCH("Strategies",'Proposed Lighting'!T207)),0,IF(ISNUMBER(SEARCH("Removal",'Proposed Lighting'!T207)),0,'Proposed Lighting'!T207))))</f>
        <v/>
      </c>
      <c r="H207" s="1830"/>
      <c r="I207" s="1830"/>
      <c r="J207" s="1830"/>
      <c r="K207" s="1215"/>
      <c r="L207" s="1246">
        <f t="shared" si="43"/>
        <v>0</v>
      </c>
      <c r="M207" s="1224">
        <f t="shared" si="44"/>
        <v>0</v>
      </c>
      <c r="N207" s="1224">
        <f t="shared" si="45"/>
        <v>0</v>
      </c>
      <c r="O207" s="1825" t="str">
        <f>IF(G207=0,0,IF(ISNA('Proposed Lighting'!AT207),0,'Proposed Lighting'!AT207))</f>
        <v/>
      </c>
      <c r="P207" s="1825"/>
      <c r="Q207" s="1247"/>
      <c r="R207" s="1247"/>
      <c r="S207" s="1247"/>
      <c r="T207" s="1211"/>
      <c r="U207" s="1235">
        <f>IF(K207&gt;0.01,'Proposed Lighting'!CU207,0)</f>
        <v>0</v>
      </c>
      <c r="V207" s="1248">
        <f>IF('Proposed Lighting'!CF207=1,0,IF('Proposed Lighting'!AU207=2,0,IF(AND('Proposed Lighting'!AU207=3,'Proposed Lighting'!CF207=0),1,0)))</f>
        <v>0</v>
      </c>
      <c r="W207" s="1836"/>
      <c r="X207" s="1836"/>
      <c r="Y207" s="1836"/>
      <c r="Z207" s="1230" t="str">
        <f t="shared" si="39"/>
        <v/>
      </c>
      <c r="AA207" s="1230">
        <f t="shared" si="40"/>
        <v>0</v>
      </c>
      <c r="AB207" s="1230">
        <f>IF(Q207=0,0,IF(T207=0,0,IF(AA207=0,0,IF(AND(F207=3,V207=0),0,IF(T207=0,0,IF(K207&gt;'Proposed Lighting'!AA207,0,IF('Proposed Lighting'!EJ207&gt;0.01,(K207*O207)*'Proposed Lighting'!EJ207/1000,(K207*O207)*U207/1000)))))))</f>
        <v>0</v>
      </c>
      <c r="AC207" s="1230" t="str">
        <f t="shared" si="46"/>
        <v/>
      </c>
      <c r="AD207" s="1230">
        <f t="shared" si="41"/>
        <v>0</v>
      </c>
      <c r="AE207" s="1230">
        <f>IF(T207=0,0,IF(K207&gt;'Proposed Lighting'!AA207,0,IF(T207&gt;K207,0,IF(AND(AD207&gt;AA207,AA207&gt;0),0,IF(AND(F207&gt;1,W207&lt;0.01),0,IF('Proposed Lighting'!AU207&gt;'Lighting Controls'!F207,0,IF('Proposed Lighting'!AU207&lt;'Lighting Controls'!F207,0,IF(U207=0,0,Summary!AC510))))))))</f>
        <v>0</v>
      </c>
      <c r="AF207" s="1230">
        <f>IF(T207=0,0,IF(AE207=0,0,IF(K207&gt;'Proposed Lighting'!AA207,0,IF(AND(AD207&gt;AA207,AA207&gt;0),0,IF(U207=0,0,Summary!AD510)))))</f>
        <v>0</v>
      </c>
      <c r="AG207" s="1834">
        <f>IF('Proposed Lighting'!AU207=1,0,IF('Proposed Lighting'!CF207=1,0,T207*W207))</f>
        <v>0</v>
      </c>
      <c r="AH207" s="1834"/>
      <c r="AI207" s="1834"/>
      <c r="AJ207" s="1835">
        <f>IF(T207&lt;1,0,IF(K207&gt;'Proposed Lighting'!AA207,0,IF('Proposed Lighting'!CF207=1,0,IF('Proposed Lighting'!AU207=1,0,IF(T207&gt;K207,0,IF(AND(AD207&gt;AA207,AA207&gt;0),0,IF(AND(F207=2,'Proposed Lighting'!AU207=3),0,IF(AND(F207=3,'Proposed Lighting'!AU207=2),0,IF('Proposed Lighting'!CH207=100,0,IF(AND(F207&lt;3,V207=1,AM207=0),0,IF(AND(F207&gt;1,AF207&lt;1,AN207&lt;1),0,IF(AND(F207&gt;1,AE207&lt;0.69,AF207&lt;1,AN207&lt;1),0,IF(ISERROR(AB207-AC207),"",AB207-AC207)))))))))))))</f>
        <v>0</v>
      </c>
      <c r="AK207" s="1835"/>
      <c r="AL207" s="1835"/>
      <c r="AM207" s="1216">
        <f>IF(Q207=0,0,IF(T207=0,0,IF(T207&gt;K207,0,IF(AND(AS207&gt;0.01,BK207=0),0,IF(AND('Proposed Lighting'!DG207=0,'Lighting Controls'!Z207=0.35),0,IF(AND(T207&lt;=K207,AA207&gt;=AD207,'Proposed Lighting'!AU207=2),VLOOKUP(Q207,$AY$9:$AZ$15,2,FALSE),IF(AND(T207&lt;=K207,AA207&gt;=AD207,'Proposed Lighting'!AU207=3),VLOOKUP(Q207,$AY$17:$AZ$23,2,FALSE))))))))</f>
        <v>0</v>
      </c>
      <c r="AN207" s="1248">
        <f>IF(T207=0,0,IF(K207&gt;'Proposed Lighting'!AA207,0,IF(AE207=0,0,IF(AND(AD207&gt;AA207,AA207&gt;0),0,IF(U207=0,0,Summary!AE510)))))</f>
        <v>0</v>
      </c>
      <c r="AO207" s="1248">
        <f t="shared" si="50"/>
        <v>0</v>
      </c>
      <c r="AP207" s="1249">
        <f>IF('Proposed Lighting'!AU207=1,0,IF(K207=0,0,IF(T207&gt;K207,0,IF(G207=0,0,IF(K207&gt;'Proposed Lighting'!AA207,0,IF(AND(AD207&gt;AA207,AA207&gt;0),0,IF(AND('Proposed Lighting'!AU207=3,AM207=0.5),0,IF(AND(AM207&gt;0,AS207&gt;0,BI207&lt;2),0,IF('Proposed Lighting'!CH207=100,0,IF(AV207=1,0,IF(AND(AM207=35,M207+N207&lt;2),0,AM207)))))))))))</f>
        <v>0</v>
      </c>
      <c r="AQ207" s="1249" t="str">
        <f>IFERROR(ROUND(IF(Q207="","",IF('Proposed Lighting'!$X$4=0,0,IF(AND(AM207=35,M207+N207&lt;2),0,IF(T207&gt;K207,0,IF('Proposed Lighting'!AU207=1,0,IF(AJ207=0,0,IF(AND('Proposed Lighting'!AU207=3,AM207=0.5),0,IF(AND(AD207=75,AP207=0,AV207=0),0,IF(AP207&gt;0.01,AP207*T207,IF(AND(F207&gt;1,W207&lt;0.01),0,IF(AND(F207&gt;1,AO207=0),0,IF(AND('Proposed Lighting'!BC207=22,AV207=0),0,IF(AND(AM207&gt;0,AS207&gt;0,BI207&lt;2),0,IF(AND(AS207&gt;0.01,BK207=0),0,IF(AND(AO207=TRUE,AV207=1,F207=3),MIN(AJ207*0.08,L207),IF(AP207&gt;0.01,AP207*T207,IF(AND(AO207=TRUE,AV207=1,F207=2),MIN(AJ207*0.1,L207)))))))))))))))))),2),"")</f>
        <v/>
      </c>
      <c r="AR207" s="1250">
        <f>IF(Q207=0,0,IF('Proposed Lighting'!$X$4=0,0,IF(AND(AM207&gt;0.01,AQ207&gt;0.01),0,IF('Proposed Lighting'!AU207=1,"Missing Interior or Exterior Selection",IF('Proposed Lighting'!CF207=1,"Selection does not match",IF(K207&gt;'Proposed Lighting'!AA207,"Quantity controlled does not match proposed lighting quantity",IF(T207&gt;K207,"Quantity of sensors exceeds proposed lighting quantity",IF(AND(F207&gt;1,'Proposed Lighting'!AU207&lt;&gt;F207),"Selection does not match",IF(AND(AD207&gt;AA207,AA207&gt;0),"Does not meet minimum connected load",IF(AND(O207&gt;0,AS207&gt;0,BK207&gt;0,'Proposed Lighting'!CH207=0),"Select Control Strategies",IF(AND(AC207&gt;0.1,AJ207=0,AQ207=0),"Does not meet incentive criteria",0)))))))))))</f>
        <v>0</v>
      </c>
      <c r="AS207" s="1224">
        <f>IF('Proposed Lighting'!CH207=100,0,IF(ISNUMBER(SEARCH("multiple",Q207)),1,0))</f>
        <v>0</v>
      </c>
      <c r="AT207" s="451">
        <f t="shared" si="47"/>
        <v>0</v>
      </c>
      <c r="AU207" s="451">
        <f t="shared" si="48"/>
        <v>0</v>
      </c>
      <c r="AV207" s="1222">
        <f>IF(ISNUMBER(SEARCH("Networked",'Proposed Lighting'!T207)),0,IF(ISNUMBER(SEARCH("Strategies",'Proposed Lighting'!T207)),0,IF(ISNUMBER(SEARCH("Removal",'Proposed Lighting'!T207)),0,IF(ISNUMBER(SEARCH("non-standard",Q207)),1,0))))</f>
        <v>0</v>
      </c>
      <c r="AW207" s="451">
        <f t="shared" si="38"/>
        <v>0</v>
      </c>
      <c r="AX207" s="451"/>
      <c r="AY207" s="451"/>
      <c r="AZ207" s="451"/>
      <c r="BA207" s="451"/>
      <c r="BB207" s="451"/>
      <c r="BC207" s="1215"/>
      <c r="BD207" s="1215"/>
      <c r="BE207" s="1215"/>
      <c r="BF207" s="1215"/>
      <c r="BG207" s="1215"/>
      <c r="BH207" s="1215"/>
      <c r="BI207">
        <f>IF(AND(AS207=1,BC207="No",BD207="Yes",BE207="Yes",BF207="No",BH207="No"),0,IF(AND('Proposed Lighting'!AU207=2,AS207=1,BC207="Yes",BD207="Yes"),2,IF(AND('Proposed Lighting'!AU207=2,AS207=1,BC207="Yes",BE207="Yes"),2,IF(AND('Proposed Lighting'!AU207=2,AS207=1,BC207="Yes",BF207="Yes"),2,IF(AND('Proposed Lighting'!AU207=2,AS207=1,BC207="Yes",BH207="Yes"),2,IF(AND('Proposed Lighting'!AU207=2,AS207=1,BD207="Yes",BF207="Yes"),2,IF(AND('Proposed Lighting'!AU207=2,AS207=1,BD207="Yes",BH207="Yes"),2,IF(AND('Proposed Lighting'!AU207=3,AS207=1,BC207="Yes",BE207="Yes"),2,IF(AND('Proposed Lighting'!AU207=3,AS207=1,BC207="Yes",BF207="Yes"),2,0)))))))))</f>
        <v>0</v>
      </c>
      <c r="BJ207" s="1025">
        <f t="shared" si="49"/>
        <v>0</v>
      </c>
      <c r="BK207">
        <f>IF(AND('Proposed Lighting'!BC207=22,'Lighting Controls'!N207=1),0,IF(ISNUMBER(SEARCH("LED",G207)),1,0))</f>
        <v>0</v>
      </c>
    </row>
    <row r="208" spans="1:63" ht="34.5" customHeight="1">
      <c r="A208" s="917">
        <v>200</v>
      </c>
      <c r="B208" s="1828" t="str">
        <f>IF('Proposed Lighting'!B208="","",'Proposed Lighting'!B208)</f>
        <v/>
      </c>
      <c r="C208" s="1828"/>
      <c r="D208" s="1828"/>
      <c r="E208" s="1245">
        <f>'Proposed Lighting'!AA208</f>
        <v>0</v>
      </c>
      <c r="F208" s="1245">
        <f t="shared" si="42"/>
        <v>0</v>
      </c>
      <c r="G208" s="1830" t="str">
        <f>IF('Proposed Lighting'!T208="","",IF(ISNUMBER(SEARCH("Networked",'Proposed Lighting'!T208)),0,IF(ISNUMBER(SEARCH("Strategies",'Proposed Lighting'!T208)),0,IF(ISNUMBER(SEARCH("Removal",'Proposed Lighting'!T208)),0,'Proposed Lighting'!T208))))</f>
        <v/>
      </c>
      <c r="H208" s="1830"/>
      <c r="I208" s="1830"/>
      <c r="J208" s="1830"/>
      <c r="K208" s="1215"/>
      <c r="L208" s="1246">
        <f t="shared" si="43"/>
        <v>0</v>
      </c>
      <c r="M208" s="1224">
        <f t="shared" si="44"/>
        <v>0</v>
      </c>
      <c r="N208" s="1224">
        <f t="shared" si="45"/>
        <v>0</v>
      </c>
      <c r="O208" s="1825" t="str">
        <f>IF(G208=0,0,IF(ISNA('Proposed Lighting'!AT208),0,'Proposed Lighting'!AT208))</f>
        <v/>
      </c>
      <c r="P208" s="1825"/>
      <c r="Q208" s="1247"/>
      <c r="R208" s="1247"/>
      <c r="S208" s="1247"/>
      <c r="T208" s="1211"/>
      <c r="U208" s="1235">
        <f>IF(K208&gt;0.01,'Proposed Lighting'!CU208,0)</f>
        <v>0</v>
      </c>
      <c r="V208" s="1248">
        <f>IF('Proposed Lighting'!CF208=1,0,IF('Proposed Lighting'!AU208=2,0,IF(AND('Proposed Lighting'!AU208=3,'Proposed Lighting'!CF208=0),1,0)))</f>
        <v>0</v>
      </c>
      <c r="W208" s="1836"/>
      <c r="X208" s="1836"/>
      <c r="Y208" s="1836"/>
      <c r="Z208" s="1230" t="str">
        <f t="shared" si="39"/>
        <v/>
      </c>
      <c r="AA208" s="1230">
        <f t="shared" si="40"/>
        <v>0</v>
      </c>
      <c r="AB208" s="1230">
        <f>IF(Q208=0,0,IF(T208=0,0,IF(AA208=0,0,IF(AND(F208=3,V208=0),0,IF(T208=0,0,IF(K208&gt;'Proposed Lighting'!AA208,0,IF('Proposed Lighting'!EJ208&gt;0.01,(K208*O208)*'Proposed Lighting'!EJ208/1000,(K208*O208)*U208/1000)))))))</f>
        <v>0</v>
      </c>
      <c r="AC208" s="1230" t="str">
        <f t="shared" si="46"/>
        <v/>
      </c>
      <c r="AD208" s="1230">
        <f t="shared" si="41"/>
        <v>0</v>
      </c>
      <c r="AE208" s="1230">
        <f>IF(T208=0,0,IF(K208&gt;'Proposed Lighting'!AA208,0,IF(T208&gt;K208,0,IF(AND(AD208&gt;AA208,AA208&gt;0),0,IF(AND(F208&gt;1,W208&lt;0.01),0,IF('Proposed Lighting'!AU208&gt;'Lighting Controls'!F208,0,IF('Proposed Lighting'!AU208&lt;'Lighting Controls'!F208,0,IF(U208=0,0,Summary!AC511))))))))</f>
        <v>0</v>
      </c>
      <c r="AF208" s="1230">
        <f>IF(T208=0,0,IF(AE208=0,0,IF(K208&gt;'Proposed Lighting'!AA208,0,IF(AND(AD208&gt;AA208,AA208&gt;0),0,IF(U208=0,0,Summary!AD511)))))</f>
        <v>0</v>
      </c>
      <c r="AG208" s="1834">
        <f>IF('Proposed Lighting'!AU208=1,0,IF('Proposed Lighting'!CF208=1,0,T208*W208))</f>
        <v>0</v>
      </c>
      <c r="AH208" s="1834"/>
      <c r="AI208" s="1834"/>
      <c r="AJ208" s="1835">
        <f>IF(T208&lt;1,0,IF(K208&gt;'Proposed Lighting'!AA208,0,IF('Proposed Lighting'!CF208=1,0,IF('Proposed Lighting'!AU208=1,0,IF(T208&gt;K208,0,IF(AND(AD208&gt;AA208,AA208&gt;0),0,IF(AND(F208=2,'Proposed Lighting'!AU208=3),0,IF(AND(F208=3,'Proposed Lighting'!AU208=2),0,IF('Proposed Lighting'!CH208=100,0,IF(AND(F208&lt;3,V208=1,AM208=0),0,IF(AND(F208&gt;1,AF208&lt;1,AN208&lt;1),0,IF(AND(F208&gt;1,AE208&lt;0.69,AF208&lt;1,AN208&lt;1),0,IF(ISERROR(AB208-AC208),"",AB208-AC208)))))))))))))</f>
        <v>0</v>
      </c>
      <c r="AK208" s="1835"/>
      <c r="AL208" s="1835"/>
      <c r="AM208" s="1216">
        <f>IF(Q208=0,0,IF(T208=0,0,IF(T208&gt;K208,0,IF(AND(AS208&gt;0.01,BK208=0),0,IF(AND('Proposed Lighting'!DG208=0,'Lighting Controls'!Z208=0.35),0,IF(AND(T208&lt;=K208,AA208&gt;=AD208,'Proposed Lighting'!AU208=2),VLOOKUP(Q208,$AY$9:$AZ$15,2,FALSE),IF(AND(T208&lt;=K208,AA208&gt;=AD208,'Proposed Lighting'!AU208=3),VLOOKUP(Q208,$AY$17:$AZ$23,2,FALSE))))))))</f>
        <v>0</v>
      </c>
      <c r="AN208" s="1248">
        <f>IF(T208=0,0,IF(K208&gt;'Proposed Lighting'!AA208,0,IF(AE208=0,0,IF(AND(AD208&gt;AA208,AA208&gt;0),0,IF(U208=0,0,Summary!AE511)))))</f>
        <v>0</v>
      </c>
      <c r="AO208" s="1248">
        <f t="shared" si="50"/>
        <v>0</v>
      </c>
      <c r="AP208" s="1249">
        <f>IF('Proposed Lighting'!AU208=1,0,IF(K208=0,0,IF(T208&gt;K208,0,IF(G208=0,0,IF(K208&gt;'Proposed Lighting'!AA208,0,IF(AND(AD208&gt;AA208,AA208&gt;0),0,IF(AND('Proposed Lighting'!AU208=3,AM208=0.5),0,IF(AND(AM208&gt;0,AS208&gt;0,BI208&lt;2),0,IF('Proposed Lighting'!CH208=100,0,IF(AV208=1,0,IF(AND(AM208=35,M208+N208&lt;2),0,AM208)))))))))))</f>
        <v>0</v>
      </c>
      <c r="AQ208" s="1249" t="str">
        <f>IFERROR(ROUND(IF(Q208="","",IF('Proposed Lighting'!$X$4=0,0,IF(AND(AM208=35,M208+N208&lt;2),0,IF(T208&gt;K208,0,IF('Proposed Lighting'!AU208=1,0,IF(AJ208=0,0,IF(AND('Proposed Lighting'!AU208=3,AM208=0.5),0,IF(AND(AD208=75,AP208=0,AV208=0),0,IF(AP208&gt;0.01,AP208*T208,IF(AND(F208&gt;1,W208&lt;0.01),0,IF(AND(F208&gt;1,AO208=0),0,IF(AND('Proposed Lighting'!BC208=22,AV208=0),0,IF(AND(AM208&gt;0,AS208&gt;0,BI208&lt;2),0,IF(AND(AS208&gt;0.01,BK208=0),0,IF(AND(AO208=TRUE,AV208=1,F208=3),MIN(AJ208*0.08,L208),IF(AP208&gt;0.01,AP208*T208,IF(AND(AO208=TRUE,AV208=1,F208=2),MIN(AJ208*0.1,L208)))))))))))))))))),2),"")</f>
        <v/>
      </c>
      <c r="AR208" s="1250">
        <f>IF(Q208=0,0,IF('Proposed Lighting'!$X$4=0,0,IF(AND(AM208&gt;0.01,AQ208&gt;0.01),0,IF('Proposed Lighting'!AU208=1,"Missing Interior or Exterior Selection",IF('Proposed Lighting'!CF208=1,"Selection does not match",IF(K208&gt;'Proposed Lighting'!AA208,"Quantity controlled does not match proposed lighting quantity",IF(T208&gt;K208,"Quantity of sensors exceeds proposed lighting quantity",IF(AND(F208&gt;1,'Proposed Lighting'!AU208&lt;&gt;F208),"Selection does not match",IF(AND(AD208&gt;AA208,AA208&gt;0),"Does not meet minimum connected load",IF(AND(O208&gt;0,AS208&gt;0,BK208&gt;0,'Proposed Lighting'!CH208=0),"Select Control Strategies",IF(AND(AC208&gt;0.1,AJ208=0,AQ208=0),"Does not meet incentive criteria",0)))))))))))</f>
        <v>0</v>
      </c>
      <c r="AS208" s="1224">
        <f>IF('Proposed Lighting'!CH208=100,0,IF(ISNUMBER(SEARCH("multiple",Q208)),1,0))</f>
        <v>0</v>
      </c>
      <c r="AT208" s="451">
        <f t="shared" si="47"/>
        <v>0</v>
      </c>
      <c r="AU208" s="451">
        <f t="shared" si="48"/>
        <v>0</v>
      </c>
      <c r="AV208" s="1222">
        <f>IF(ISNUMBER(SEARCH("Networked",'Proposed Lighting'!T208)),0,IF(ISNUMBER(SEARCH("Strategies",'Proposed Lighting'!T208)),0,IF(ISNUMBER(SEARCH("Removal",'Proposed Lighting'!T208)),0,IF(ISNUMBER(SEARCH("non-standard",Q208)),1,0))))</f>
        <v>0</v>
      </c>
      <c r="AW208" s="451">
        <f t="shared" si="38"/>
        <v>0</v>
      </c>
      <c r="AX208" s="451"/>
      <c r="AY208" s="451"/>
      <c r="AZ208" s="451"/>
      <c r="BA208" s="451"/>
      <c r="BB208" s="451"/>
      <c r="BC208" s="1215"/>
      <c r="BD208" s="1215"/>
      <c r="BE208" s="1215"/>
      <c r="BF208" s="1215"/>
      <c r="BG208" s="1215"/>
      <c r="BH208" s="1215"/>
      <c r="BI208">
        <f>IF(AND(AS208=1,BC208="No",BD208="Yes",BE208="Yes",BF208="No",BH208="No"),0,IF(AND('Proposed Lighting'!AU208=2,AS208=1,BC208="Yes",BD208="Yes"),2,IF(AND('Proposed Lighting'!AU208=2,AS208=1,BC208="Yes",BE208="Yes"),2,IF(AND('Proposed Lighting'!AU208=2,AS208=1,BC208="Yes",BF208="Yes"),2,IF(AND('Proposed Lighting'!AU208=2,AS208=1,BC208="Yes",BH208="Yes"),2,IF(AND('Proposed Lighting'!AU208=2,AS208=1,BD208="Yes",BF208="Yes"),2,IF(AND('Proposed Lighting'!AU208=2,AS208=1,BD208="Yes",BH208="Yes"),2,IF(AND('Proposed Lighting'!AU208=3,AS208=1,BC208="Yes",BE208="Yes"),2,IF(AND('Proposed Lighting'!AU208=3,AS208=1,BC208="Yes",BF208="Yes"),2,0)))))))))</f>
        <v>0</v>
      </c>
      <c r="BJ208" s="1025">
        <f t="shared" si="49"/>
        <v>0</v>
      </c>
      <c r="BK208">
        <f>IF(AND('Proposed Lighting'!BC208=22,'Lighting Controls'!N208=1),0,IF(ISNUMBER(SEARCH("LED",G208)),1,0))</f>
        <v>0</v>
      </c>
    </row>
    <row r="209" spans="1:63" ht="34.5" customHeight="1">
      <c r="A209" s="917">
        <v>201</v>
      </c>
      <c r="B209" s="1828" t="str">
        <f>IF('Proposed Lighting'!B209="","",'Proposed Lighting'!B209)</f>
        <v/>
      </c>
      <c r="C209" s="1828"/>
      <c r="D209" s="1828"/>
      <c r="E209" s="1245">
        <f>'Proposed Lighting'!AA209</f>
        <v>0</v>
      </c>
      <c r="F209" s="1245">
        <f t="shared" si="42"/>
        <v>0</v>
      </c>
      <c r="G209" s="1830" t="str">
        <f>IF('Proposed Lighting'!T209="","",IF(ISNUMBER(SEARCH("Networked",'Proposed Lighting'!T209)),0,IF(ISNUMBER(SEARCH("Strategies",'Proposed Lighting'!T209)),0,IF(ISNUMBER(SEARCH("Removal",'Proposed Lighting'!T209)),0,'Proposed Lighting'!T209))))</f>
        <v/>
      </c>
      <c r="H209" s="1830"/>
      <c r="I209" s="1830"/>
      <c r="J209" s="1830"/>
      <c r="K209" s="1215"/>
      <c r="L209" s="1246">
        <f t="shared" si="43"/>
        <v>0</v>
      </c>
      <c r="M209" s="1224">
        <f t="shared" si="44"/>
        <v>0</v>
      </c>
      <c r="N209" s="1224">
        <f t="shared" si="45"/>
        <v>0</v>
      </c>
      <c r="O209" s="1825" t="str">
        <f>IF(G209=0,0,IF(ISNA('Proposed Lighting'!AT209),0,'Proposed Lighting'!AT209))</f>
        <v/>
      </c>
      <c r="P209" s="1825"/>
      <c r="Q209" s="1247"/>
      <c r="R209" s="1247"/>
      <c r="S209" s="1247"/>
      <c r="T209" s="1211"/>
      <c r="U209" s="1235">
        <f>IF(K209&gt;0.01,'Proposed Lighting'!CU209,0)</f>
        <v>0</v>
      </c>
      <c r="V209" s="1248">
        <f>IF('Proposed Lighting'!CF209=1,0,IF('Proposed Lighting'!AU209=2,0,IF(AND('Proposed Lighting'!AU209=3,'Proposed Lighting'!CF209=0),1,0)))</f>
        <v>0</v>
      </c>
      <c r="W209" s="1836"/>
      <c r="X209" s="1836"/>
      <c r="Y209" s="1836"/>
      <c r="Z209" s="1230" t="str">
        <f t="shared" si="39"/>
        <v/>
      </c>
      <c r="AA209" s="1230">
        <f t="shared" si="40"/>
        <v>0</v>
      </c>
      <c r="AB209" s="1230">
        <f>IF(Q209=0,0,IF(T209=0,0,IF(AA209=0,0,IF(AND(F209=3,V209=0),0,IF(T209=0,0,IF(K209&gt;'Proposed Lighting'!AA209,0,IF('Proposed Lighting'!EJ209&gt;0.01,(K209*O209)*'Proposed Lighting'!EJ209/1000,(K209*O209)*U209/1000)))))))</f>
        <v>0</v>
      </c>
      <c r="AC209" s="1230" t="str">
        <f t="shared" si="46"/>
        <v/>
      </c>
      <c r="AD209" s="1230">
        <f t="shared" si="41"/>
        <v>0</v>
      </c>
      <c r="AE209" s="1230">
        <f>IF(T209=0,0,IF(K209&gt;'Proposed Lighting'!AA209,0,IF(T209&gt;K209,0,IF(AND(AD209&gt;AA209,AA209&gt;0),0,IF(AND(F209&gt;1,W209&lt;0.01),0,IF('Proposed Lighting'!AU209&gt;'Lighting Controls'!F209,0,IF('Proposed Lighting'!AU209&lt;'Lighting Controls'!F209,0,IF(U209=0,0,Summary!AC512))))))))</f>
        <v>0</v>
      </c>
      <c r="AF209" s="1230">
        <f>IF(T209=0,0,IF(AE209=0,0,IF(K209&gt;'Proposed Lighting'!AA209,0,IF(AND(AD209&gt;AA209,AA209&gt;0),0,IF(U209=0,0,Summary!AD512)))))</f>
        <v>0</v>
      </c>
      <c r="AG209" s="1834">
        <f>IF('Proposed Lighting'!AU209=1,0,IF('Proposed Lighting'!CF209=1,0,T209*W209))</f>
        <v>0</v>
      </c>
      <c r="AH209" s="1834"/>
      <c r="AI209" s="1834"/>
      <c r="AJ209" s="1835">
        <f>IF(T209&lt;1,0,IF(K209&gt;'Proposed Lighting'!AA209,0,IF('Proposed Lighting'!CF209=1,0,IF('Proposed Lighting'!AU209=1,0,IF(T209&gt;K209,0,IF(AND(AD209&gt;AA209,AA209&gt;0),0,IF(AND(F209=2,'Proposed Lighting'!AU209=3),0,IF(AND(F209=3,'Proposed Lighting'!AU209=2),0,IF('Proposed Lighting'!CH209=100,0,IF(AND(F209&lt;3,V209=1,AM209=0),0,IF(AND(F209&gt;1,AF209&lt;1,AN209&lt;1),0,IF(AND(F209&gt;1,AE209&lt;0.69,AF209&lt;1,AN209&lt;1),0,IF(ISERROR(AB209-AC209),"",AB209-AC209)))))))))))))</f>
        <v>0</v>
      </c>
      <c r="AK209" s="1835"/>
      <c r="AL209" s="1835"/>
      <c r="AM209" s="1216">
        <f>IF(Q209=0,0,IF(T209=0,0,IF(T209&gt;K209,0,IF(AND(AS209&gt;0.01,BK209=0),0,IF(AND('Proposed Lighting'!DG209=0,'Lighting Controls'!Z209=0.35),0,IF(AND(T209&lt;=K209,AA209&gt;=AD209,'Proposed Lighting'!AU209=2),VLOOKUP(Q209,$AY$9:$AZ$15,2,FALSE),IF(AND(T209&lt;=K209,AA209&gt;=AD209,'Proposed Lighting'!AU209=3),VLOOKUP(Q209,$AY$17:$AZ$23,2,FALSE))))))))</f>
        <v>0</v>
      </c>
      <c r="AN209" s="1248">
        <f>IF(T209=0,0,IF(K209&gt;'Proposed Lighting'!AA209,0,IF(AE209=0,0,IF(AND(AD209&gt;AA209,AA209&gt;0),0,IF(U209=0,0,Summary!AE512)))))</f>
        <v>0</v>
      </c>
      <c r="AO209" s="1248">
        <f t="shared" si="50"/>
        <v>0</v>
      </c>
      <c r="AP209" s="1249">
        <f>IF('Proposed Lighting'!AU209=1,0,IF(K209=0,0,IF(T209&gt;K209,0,IF(G209=0,0,IF(K209&gt;'Proposed Lighting'!AA209,0,IF(AND(AD209&gt;AA209,AA209&gt;0),0,IF(AND('Proposed Lighting'!AU209=3,AM209=0.5),0,IF(AND(AM209&gt;0,AS209&gt;0,BI209&lt;2),0,IF('Proposed Lighting'!CH209=100,0,IF(AV209=1,0,IF(AND(AM209=35,M209+N209&lt;2),0,AM209)))))))))))</f>
        <v>0</v>
      </c>
      <c r="AQ209" s="1249" t="str">
        <f>IFERROR(ROUND(IF(Q209="","",IF('Proposed Lighting'!$X$4=0,0,IF(AND(AM209=35,M209+N209&lt;2),0,IF(T209&gt;K209,0,IF('Proposed Lighting'!AU209=1,0,IF(AJ209=0,0,IF(AND('Proposed Lighting'!AU209=3,AM209=0.5),0,IF(AND(AD209=75,AP209=0,AV209=0),0,IF(AP209&gt;0.01,AP209*T209,IF(AND(F209&gt;1,W209&lt;0.01),0,IF(AND(F209&gt;1,AO209=0),0,IF(AND('Proposed Lighting'!BC209=22,AV209=0),0,IF(AND(AM209&gt;0,AS209&gt;0,BI209&lt;2),0,IF(AND(AS209&gt;0.01,BK209=0),0,IF(AND(AO209=TRUE,AV209=1,F209=3),MIN(AJ209*0.08,L209),IF(AP209&gt;0.01,AP209*T209,IF(AND(AO209=TRUE,AV209=1,F209=2),MIN(AJ209*0.1,L209)))))))))))))))))),2),"")</f>
        <v/>
      </c>
      <c r="AR209" s="1250">
        <f>IF(Q209=0,0,IF('Proposed Lighting'!$X$4=0,0,IF(AND(AM209&gt;0.01,AQ209&gt;0.01),0,IF('Proposed Lighting'!AU209=1,"Missing Interior or Exterior Selection",IF('Proposed Lighting'!CF209=1,"Selection does not match",IF(K209&gt;'Proposed Lighting'!AA209,"Quantity controlled does not match proposed lighting quantity",IF(T209&gt;K209,"Quantity of sensors exceeds proposed lighting quantity",IF(AND(F209&gt;1,'Proposed Lighting'!AU209&lt;&gt;F209),"Selection does not match",IF(AND(AD209&gt;AA209,AA209&gt;0),"Does not meet minimum connected load",IF(AND(O209&gt;0,AS209&gt;0,BK209&gt;0,'Proposed Lighting'!CH209=0),"Select Control Strategies",IF(AND(AC209&gt;0.1,AJ209=0,AQ209=0),"Does not meet incentive criteria",0)))))))))))</f>
        <v>0</v>
      </c>
      <c r="AS209" s="1224">
        <f>IF('Proposed Lighting'!CH209=100,0,IF(ISNUMBER(SEARCH("multiple",Q209)),1,0))</f>
        <v>0</v>
      </c>
      <c r="AT209" s="451">
        <f t="shared" si="47"/>
        <v>0</v>
      </c>
      <c r="AU209" s="451">
        <f t="shared" si="48"/>
        <v>0</v>
      </c>
      <c r="AV209" s="1222">
        <f>IF(ISNUMBER(SEARCH("Networked",'Proposed Lighting'!T209)),0,IF(ISNUMBER(SEARCH("Strategies",'Proposed Lighting'!T209)),0,IF(ISNUMBER(SEARCH("Removal",'Proposed Lighting'!T209)),0,IF(ISNUMBER(SEARCH("non-standard",Q209)),1,0))))</f>
        <v>0</v>
      </c>
      <c r="AW209" s="451">
        <f t="shared" ref="AW209:AW272" si="51">IF(AQ202&gt;0.01,AJ202,0)</f>
        <v>0</v>
      </c>
      <c r="AX209" s="451"/>
      <c r="AY209" s="451"/>
      <c r="AZ209" s="451"/>
      <c r="BA209" s="451"/>
      <c r="BB209" s="451"/>
      <c r="BC209" s="1215"/>
      <c r="BD209" s="1215"/>
      <c r="BE209" s="1215"/>
      <c r="BF209" s="1215"/>
      <c r="BG209" s="1215"/>
      <c r="BH209" s="1215"/>
      <c r="BI209">
        <f>IF(AND(AS209=1,BC209="No",BD209="Yes",BE209="Yes",BF209="No",BH209="No"),0,IF(AND('Proposed Lighting'!AU209=2,AS209=1,BC209="Yes",BD209="Yes"),2,IF(AND('Proposed Lighting'!AU209=2,AS209=1,BC209="Yes",BE209="Yes"),2,IF(AND('Proposed Lighting'!AU209=2,AS209=1,BC209="Yes",BF209="Yes"),2,IF(AND('Proposed Lighting'!AU209=2,AS209=1,BC209="Yes",BH209="Yes"),2,IF(AND('Proposed Lighting'!AU209=2,AS209=1,BD209="Yes",BF209="Yes"),2,IF(AND('Proposed Lighting'!AU209=2,AS209=1,BD209="Yes",BH209="Yes"),2,IF(AND('Proposed Lighting'!AU209=3,AS209=1,BC209="Yes",BE209="Yes"),2,IF(AND('Proposed Lighting'!AU209=3,AS209=1,BC209="Yes",BF209="Yes"),2,0)))))))))</f>
        <v>0</v>
      </c>
      <c r="BJ209" s="1025">
        <f t="shared" si="49"/>
        <v>0</v>
      </c>
      <c r="BK209">
        <f>IF(AND('Proposed Lighting'!BC209=22,'Lighting Controls'!N209=1),0,IF(ISNUMBER(SEARCH("LED",G209)),1,0))</f>
        <v>0</v>
      </c>
    </row>
    <row r="210" spans="1:63" ht="34.5" customHeight="1">
      <c r="A210" s="917">
        <v>202</v>
      </c>
      <c r="B210" s="1828" t="str">
        <f>IF('Proposed Lighting'!B210="","",'Proposed Lighting'!B210)</f>
        <v/>
      </c>
      <c r="C210" s="1828"/>
      <c r="D210" s="1828"/>
      <c r="E210" s="1245">
        <f>'Proposed Lighting'!AA210</f>
        <v>0</v>
      </c>
      <c r="F210" s="1245">
        <f t="shared" si="42"/>
        <v>0</v>
      </c>
      <c r="G210" s="1830" t="str">
        <f>IF('Proposed Lighting'!T210="","",IF(ISNUMBER(SEARCH("Networked",'Proposed Lighting'!T210)),0,IF(ISNUMBER(SEARCH("Strategies",'Proposed Lighting'!T210)),0,IF(ISNUMBER(SEARCH("Removal",'Proposed Lighting'!T210)),0,'Proposed Lighting'!T210))))</f>
        <v/>
      </c>
      <c r="H210" s="1830"/>
      <c r="I210" s="1830"/>
      <c r="J210" s="1830"/>
      <c r="K210" s="1215"/>
      <c r="L210" s="1246">
        <f t="shared" si="43"/>
        <v>0</v>
      </c>
      <c r="M210" s="1224">
        <f t="shared" si="44"/>
        <v>0</v>
      </c>
      <c r="N210" s="1224">
        <f t="shared" si="45"/>
        <v>0</v>
      </c>
      <c r="O210" s="1825" t="str">
        <f>IF(G210=0,0,IF(ISNA('Proposed Lighting'!AT210),0,'Proposed Lighting'!AT210))</f>
        <v/>
      </c>
      <c r="P210" s="1825"/>
      <c r="Q210" s="1247"/>
      <c r="R210" s="1247"/>
      <c r="S210" s="1247"/>
      <c r="T210" s="1211"/>
      <c r="U210" s="1235">
        <f>IF(K210&gt;0.01,'Proposed Lighting'!CU210,0)</f>
        <v>0</v>
      </c>
      <c r="V210" s="1248">
        <f>IF('Proposed Lighting'!CF210=1,0,IF('Proposed Lighting'!AU210=2,0,IF(AND('Proposed Lighting'!AU210=3,'Proposed Lighting'!CF210=0),1,0)))</f>
        <v>0</v>
      </c>
      <c r="W210" s="1836"/>
      <c r="X210" s="1836"/>
      <c r="Y210" s="1836"/>
      <c r="Z210" s="1230" t="str">
        <f t="shared" si="39"/>
        <v/>
      </c>
      <c r="AA210" s="1230">
        <f t="shared" si="40"/>
        <v>0</v>
      </c>
      <c r="AB210" s="1230">
        <f>IF(Q210=0,0,IF(T210=0,0,IF(AA210=0,0,IF(AND(F210=3,V210=0),0,IF(T210=0,0,IF(K210&gt;'Proposed Lighting'!AA210,0,IF('Proposed Lighting'!EJ210&gt;0.01,(K210*O210)*'Proposed Lighting'!EJ210/1000,(K210*O210)*U210/1000)))))))</f>
        <v>0</v>
      </c>
      <c r="AC210" s="1230" t="str">
        <f t="shared" si="46"/>
        <v/>
      </c>
      <c r="AD210" s="1230">
        <f t="shared" si="41"/>
        <v>0</v>
      </c>
      <c r="AE210" s="1230">
        <f>IF(T210=0,0,IF(K210&gt;'Proposed Lighting'!AA210,0,IF(T210&gt;K210,0,IF(AND(AD210&gt;AA210,AA210&gt;0),0,IF(AND(F210&gt;1,W210&lt;0.01),0,IF('Proposed Lighting'!AU210&gt;'Lighting Controls'!F210,0,IF('Proposed Lighting'!AU210&lt;'Lighting Controls'!F210,0,IF(U210=0,0,Summary!AC513))))))))</f>
        <v>0</v>
      </c>
      <c r="AF210" s="1230">
        <f>IF(T210=0,0,IF(AE210=0,0,IF(K210&gt;'Proposed Lighting'!AA210,0,IF(AND(AD210&gt;AA210,AA210&gt;0),0,IF(U210=0,0,Summary!AD513)))))</f>
        <v>0</v>
      </c>
      <c r="AG210" s="1834">
        <f>IF('Proposed Lighting'!AU210=1,0,IF('Proposed Lighting'!CF210=1,0,T210*W210))</f>
        <v>0</v>
      </c>
      <c r="AH210" s="1834"/>
      <c r="AI210" s="1834"/>
      <c r="AJ210" s="1835">
        <f>IF(T210&lt;1,0,IF(K210&gt;'Proposed Lighting'!AA210,0,IF('Proposed Lighting'!CF210=1,0,IF('Proposed Lighting'!AU210=1,0,IF(T210&gt;K210,0,IF(AND(AD210&gt;AA210,AA210&gt;0),0,IF(AND(F210=2,'Proposed Lighting'!AU210=3),0,IF(AND(F210=3,'Proposed Lighting'!AU210=2),0,IF('Proposed Lighting'!CH210=100,0,IF(AND(F210&lt;3,V210=1,AM210=0),0,IF(AND(F210&gt;1,AF210&lt;1,AN210&lt;1),0,IF(AND(F210&gt;1,AE210&lt;0.69,AF210&lt;1,AN210&lt;1),0,IF(ISERROR(AB210-AC210),"",AB210-AC210)))))))))))))</f>
        <v>0</v>
      </c>
      <c r="AK210" s="1835"/>
      <c r="AL210" s="1835"/>
      <c r="AM210" s="1216">
        <f>IF(Q210=0,0,IF(T210=0,0,IF(T210&gt;K210,0,IF(AND(AS210&gt;0.01,BK210=0),0,IF(AND('Proposed Lighting'!DG210=0,'Lighting Controls'!Z210=0.35),0,IF(AND(T210&lt;=K210,AA210&gt;=AD210,'Proposed Lighting'!AU210=2),VLOOKUP(Q210,$AY$9:$AZ$15,2,FALSE),IF(AND(T210&lt;=K210,AA210&gt;=AD210,'Proposed Lighting'!AU210=3),VLOOKUP(Q210,$AY$17:$AZ$23,2,FALSE))))))))</f>
        <v>0</v>
      </c>
      <c r="AN210" s="1248">
        <f>IF(T210=0,0,IF(K210&gt;'Proposed Lighting'!AA210,0,IF(AE210=0,0,IF(AND(AD210&gt;AA210,AA210&gt;0),0,IF(U210=0,0,Summary!AE513)))))</f>
        <v>0</v>
      </c>
      <c r="AO210" s="1248">
        <f t="shared" si="50"/>
        <v>0</v>
      </c>
      <c r="AP210" s="1249">
        <f>IF('Proposed Lighting'!AU210=1,0,IF(K210=0,0,IF(T210&gt;K210,0,IF(G210=0,0,IF(K210&gt;'Proposed Lighting'!AA210,0,IF(AND(AD210&gt;AA210,AA210&gt;0),0,IF(AND('Proposed Lighting'!AU210=3,AM210=0.5),0,IF(AND(AM210&gt;0,AS210&gt;0,BI210&lt;2),0,IF('Proposed Lighting'!CH210=100,0,IF(AV210=1,0,IF(AND(AM210=35,M210+N210&lt;2),0,AM210)))))))))))</f>
        <v>0</v>
      </c>
      <c r="AQ210" s="1249" t="str">
        <f>IFERROR(ROUND(IF(Q210="","",IF('Proposed Lighting'!$X$4=0,0,IF(AND(AM210=35,M210+N210&lt;2),0,IF(T210&gt;K210,0,IF('Proposed Lighting'!AU210=1,0,IF(AJ210=0,0,IF(AND('Proposed Lighting'!AU210=3,AM210=0.5),0,IF(AND(AD210=75,AP210=0,AV210=0),0,IF(AP210&gt;0.01,AP210*T210,IF(AND(F210&gt;1,W210&lt;0.01),0,IF(AND(F210&gt;1,AO210=0),0,IF(AND('Proposed Lighting'!BC210=22,AV210=0),0,IF(AND(AM210&gt;0,AS210&gt;0,BI210&lt;2),0,IF(AND(AS210&gt;0.01,BK210=0),0,IF(AND(AO210=TRUE,AV210=1,F210=3),MIN(AJ210*0.08,L210),IF(AP210&gt;0.01,AP210*T210,IF(AND(AO210=TRUE,AV210=1,F210=2),MIN(AJ210*0.1,L210)))))))))))))))))),2),"")</f>
        <v/>
      </c>
      <c r="AR210" s="1250">
        <f>IF(Q210=0,0,IF('Proposed Lighting'!$X$4=0,0,IF(AND(AM210&gt;0.01,AQ210&gt;0.01),0,IF('Proposed Lighting'!AU210=1,"Missing Interior or Exterior Selection",IF('Proposed Lighting'!CF210=1,"Selection does not match",IF(K210&gt;'Proposed Lighting'!AA210,"Quantity controlled does not match proposed lighting quantity",IF(T210&gt;K210,"Quantity of sensors exceeds proposed lighting quantity",IF(AND(F210&gt;1,'Proposed Lighting'!AU210&lt;&gt;F210),"Selection does not match",IF(AND(AD210&gt;AA210,AA210&gt;0),"Does not meet minimum connected load",IF(AND(O210&gt;0,AS210&gt;0,BK210&gt;0,'Proposed Lighting'!CH210=0),"Select Control Strategies",IF(AND(AC210&gt;0.1,AJ210=0,AQ210=0),"Does not meet incentive criteria",0)))))))))))</f>
        <v>0</v>
      </c>
      <c r="AS210" s="1224">
        <f>IF('Proposed Lighting'!CH210=100,0,IF(ISNUMBER(SEARCH("multiple",Q210)),1,0))</f>
        <v>0</v>
      </c>
      <c r="AT210" s="451">
        <f t="shared" si="47"/>
        <v>0</v>
      </c>
      <c r="AU210" s="451">
        <f t="shared" si="48"/>
        <v>0</v>
      </c>
      <c r="AV210" s="1222">
        <f>IF(ISNUMBER(SEARCH("Networked",'Proposed Lighting'!T210)),0,IF(ISNUMBER(SEARCH("Strategies",'Proposed Lighting'!T210)),0,IF(ISNUMBER(SEARCH("Removal",'Proposed Lighting'!T210)),0,IF(ISNUMBER(SEARCH("non-standard",Q210)),1,0))))</f>
        <v>0</v>
      </c>
      <c r="AW210" s="451">
        <f t="shared" si="51"/>
        <v>0</v>
      </c>
      <c r="AX210" s="451"/>
      <c r="AY210" s="451"/>
      <c r="AZ210" s="451"/>
      <c r="BA210" s="451"/>
      <c r="BB210" s="451"/>
      <c r="BC210" s="1215"/>
      <c r="BD210" s="1215"/>
      <c r="BE210" s="1215"/>
      <c r="BF210" s="1215"/>
      <c r="BG210" s="1215"/>
      <c r="BH210" s="1215"/>
      <c r="BI210">
        <f>IF(AND(AS210=1,BC210="No",BD210="Yes",BE210="Yes",BF210="No",BH210="No"),0,IF(AND('Proposed Lighting'!AU210=2,AS210=1,BC210="Yes",BD210="Yes"),2,IF(AND('Proposed Lighting'!AU210=2,AS210=1,BC210="Yes",BE210="Yes"),2,IF(AND('Proposed Lighting'!AU210=2,AS210=1,BC210="Yes",BF210="Yes"),2,IF(AND('Proposed Lighting'!AU210=2,AS210=1,BC210="Yes",BH210="Yes"),2,IF(AND('Proposed Lighting'!AU210=2,AS210=1,BD210="Yes",BF210="Yes"),2,IF(AND('Proposed Lighting'!AU210=2,AS210=1,BD210="Yes",BH210="Yes"),2,IF(AND('Proposed Lighting'!AU210=3,AS210=1,BC210="Yes",BE210="Yes"),2,IF(AND('Proposed Lighting'!AU210=3,AS210=1,BC210="Yes",BF210="Yes"),2,0)))))))))</f>
        <v>0</v>
      </c>
      <c r="BJ210" s="1025">
        <f t="shared" si="49"/>
        <v>0</v>
      </c>
      <c r="BK210">
        <f>IF(AND('Proposed Lighting'!BC210=22,'Lighting Controls'!N210=1),0,IF(ISNUMBER(SEARCH("LED",G210)),1,0))</f>
        <v>0</v>
      </c>
    </row>
    <row r="211" spans="1:63" ht="34.5" customHeight="1">
      <c r="A211" s="917">
        <v>203</v>
      </c>
      <c r="B211" s="1828" t="str">
        <f>IF('Proposed Lighting'!B211="","",'Proposed Lighting'!B211)</f>
        <v/>
      </c>
      <c r="C211" s="1828"/>
      <c r="D211" s="1828"/>
      <c r="E211" s="1245">
        <f>'Proposed Lighting'!AA211</f>
        <v>0</v>
      </c>
      <c r="F211" s="1245">
        <f t="shared" si="42"/>
        <v>0</v>
      </c>
      <c r="G211" s="1830" t="str">
        <f>IF('Proposed Lighting'!T211="","",IF(ISNUMBER(SEARCH("Networked",'Proposed Lighting'!T211)),0,IF(ISNUMBER(SEARCH("Strategies",'Proposed Lighting'!T211)),0,IF(ISNUMBER(SEARCH("Removal",'Proposed Lighting'!T211)),0,'Proposed Lighting'!T211))))</f>
        <v/>
      </c>
      <c r="H211" s="1830"/>
      <c r="I211" s="1830"/>
      <c r="J211" s="1830"/>
      <c r="K211" s="1215"/>
      <c r="L211" s="1246">
        <f t="shared" si="43"/>
        <v>0</v>
      </c>
      <c r="M211" s="1224">
        <f t="shared" si="44"/>
        <v>0</v>
      </c>
      <c r="N211" s="1224">
        <f t="shared" si="45"/>
        <v>0</v>
      </c>
      <c r="O211" s="1825" t="str">
        <f>IF(G211=0,0,IF(ISNA('Proposed Lighting'!AT211),0,'Proposed Lighting'!AT211))</f>
        <v/>
      </c>
      <c r="P211" s="1825"/>
      <c r="Q211" s="1247"/>
      <c r="R211" s="1247"/>
      <c r="S211" s="1247"/>
      <c r="T211" s="1211"/>
      <c r="U211" s="1235">
        <f>IF(K211&gt;0.01,'Proposed Lighting'!CU211,0)</f>
        <v>0</v>
      </c>
      <c r="V211" s="1248">
        <f>IF('Proposed Lighting'!CF211=1,0,IF('Proposed Lighting'!AU211=2,0,IF(AND('Proposed Lighting'!AU211=3,'Proposed Lighting'!CF211=0),1,0)))</f>
        <v>0</v>
      </c>
      <c r="W211" s="1836"/>
      <c r="X211" s="1836"/>
      <c r="Y211" s="1836"/>
      <c r="Z211" s="1230" t="str">
        <f t="shared" si="39"/>
        <v/>
      </c>
      <c r="AA211" s="1230">
        <f t="shared" si="40"/>
        <v>0</v>
      </c>
      <c r="AB211" s="1230">
        <f>IF(Q211=0,0,IF(T211=0,0,IF(AA211=0,0,IF(AND(F211=3,V211=0),0,IF(T211=0,0,IF(K211&gt;'Proposed Lighting'!AA211,0,IF('Proposed Lighting'!EJ211&gt;0.01,(K211*O211)*'Proposed Lighting'!EJ211/1000,(K211*O211)*U211/1000)))))))</f>
        <v>0</v>
      </c>
      <c r="AC211" s="1230" t="str">
        <f t="shared" si="46"/>
        <v/>
      </c>
      <c r="AD211" s="1230">
        <f t="shared" si="41"/>
        <v>0</v>
      </c>
      <c r="AE211" s="1230">
        <f>IF(T211=0,0,IF(K211&gt;'Proposed Lighting'!AA211,0,IF(T211&gt;K211,0,IF(AND(AD211&gt;AA211,AA211&gt;0),0,IF(AND(F211&gt;1,W211&lt;0.01),0,IF('Proposed Lighting'!AU211&gt;'Lighting Controls'!F211,0,IF('Proposed Lighting'!AU211&lt;'Lighting Controls'!F211,0,IF(U211=0,0,Summary!AC514))))))))</f>
        <v>0</v>
      </c>
      <c r="AF211" s="1230">
        <f>IF(T211=0,0,IF(AE211=0,0,IF(K211&gt;'Proposed Lighting'!AA211,0,IF(AND(AD211&gt;AA211,AA211&gt;0),0,IF(U211=0,0,Summary!AD514)))))</f>
        <v>0</v>
      </c>
      <c r="AG211" s="1834">
        <f>IF('Proposed Lighting'!AU211=1,0,IF('Proposed Lighting'!CF211=1,0,T211*W211))</f>
        <v>0</v>
      </c>
      <c r="AH211" s="1834"/>
      <c r="AI211" s="1834"/>
      <c r="AJ211" s="1835">
        <f>IF(T211&lt;1,0,IF(K211&gt;'Proposed Lighting'!AA211,0,IF('Proposed Lighting'!CF211=1,0,IF('Proposed Lighting'!AU211=1,0,IF(T211&gt;K211,0,IF(AND(AD211&gt;AA211,AA211&gt;0),0,IF(AND(F211=2,'Proposed Lighting'!AU211=3),0,IF(AND(F211=3,'Proposed Lighting'!AU211=2),0,IF('Proposed Lighting'!CH211=100,0,IF(AND(F211&lt;3,V211=1,AM211=0),0,IF(AND(F211&gt;1,AF211&lt;1,AN211&lt;1),0,IF(AND(F211&gt;1,AE211&lt;0.69,AF211&lt;1,AN211&lt;1),0,IF(ISERROR(AB211-AC211),"",AB211-AC211)))))))))))))</f>
        <v>0</v>
      </c>
      <c r="AK211" s="1835"/>
      <c r="AL211" s="1835"/>
      <c r="AM211" s="1216">
        <f>IF(Q211=0,0,IF(T211=0,0,IF(T211&gt;K211,0,IF(AND(AS211&gt;0.01,BK211=0),0,IF(AND('Proposed Lighting'!DG211=0,'Lighting Controls'!Z211=0.35),0,IF(AND(T211&lt;=K211,AA211&gt;=AD211,'Proposed Lighting'!AU211=2),VLOOKUP(Q211,$AY$9:$AZ$15,2,FALSE),IF(AND(T211&lt;=K211,AA211&gt;=AD211,'Proposed Lighting'!AU211=3),VLOOKUP(Q211,$AY$17:$AZ$23,2,FALSE))))))))</f>
        <v>0</v>
      </c>
      <c r="AN211" s="1248">
        <f>IF(T211=0,0,IF(K211&gt;'Proposed Lighting'!AA211,0,IF(AE211=0,0,IF(AND(AD211&gt;AA211,AA211&gt;0),0,IF(U211=0,0,Summary!AE514)))))</f>
        <v>0</v>
      </c>
      <c r="AO211" s="1248">
        <f t="shared" si="50"/>
        <v>0</v>
      </c>
      <c r="AP211" s="1249">
        <f>IF('Proposed Lighting'!AU211=1,0,IF(K211=0,0,IF(T211&gt;K211,0,IF(G211=0,0,IF(K211&gt;'Proposed Lighting'!AA211,0,IF(AND(AD211&gt;AA211,AA211&gt;0),0,IF(AND('Proposed Lighting'!AU211=3,AM211=0.5),0,IF(AND(AM211&gt;0,AS211&gt;0,BI211&lt;2),0,IF('Proposed Lighting'!CH211=100,0,IF(AV211=1,0,IF(AND(AM211=35,M211+N211&lt;2),0,AM211)))))))))))</f>
        <v>0</v>
      </c>
      <c r="AQ211" s="1249" t="str">
        <f>IFERROR(ROUND(IF(Q211="","",IF('Proposed Lighting'!$X$4=0,0,IF(AND(AM211=35,M211+N211&lt;2),0,IF(T211&gt;K211,0,IF('Proposed Lighting'!AU211=1,0,IF(AJ211=0,0,IF(AND('Proposed Lighting'!AU211=3,AM211=0.5),0,IF(AND(AD211=75,AP211=0,AV211=0),0,IF(AP211&gt;0.01,AP211*T211,IF(AND(F211&gt;1,W211&lt;0.01),0,IF(AND(F211&gt;1,AO211=0),0,IF(AND('Proposed Lighting'!BC211=22,AV211=0),0,IF(AND(AM211&gt;0,AS211&gt;0,BI211&lt;2),0,IF(AND(AS211&gt;0.01,BK211=0),0,IF(AND(AO211=TRUE,AV211=1,F211=3),MIN(AJ211*0.08,L211),IF(AP211&gt;0.01,AP211*T211,IF(AND(AO211=TRUE,AV211=1,F211=2),MIN(AJ211*0.1,L211)))))))))))))))))),2),"")</f>
        <v/>
      </c>
      <c r="AR211" s="1250">
        <f>IF(Q211=0,0,IF('Proposed Lighting'!$X$4=0,0,IF(AND(AM211&gt;0.01,AQ211&gt;0.01),0,IF('Proposed Lighting'!AU211=1,"Missing Interior or Exterior Selection",IF('Proposed Lighting'!CF211=1,"Selection does not match",IF(K211&gt;'Proposed Lighting'!AA211,"Quantity controlled does not match proposed lighting quantity",IF(T211&gt;K211,"Quantity of sensors exceeds proposed lighting quantity",IF(AND(F211&gt;1,'Proposed Lighting'!AU211&lt;&gt;F211),"Selection does not match",IF(AND(AD211&gt;AA211,AA211&gt;0),"Does not meet minimum connected load",IF(AND(O211&gt;0,AS211&gt;0,BK211&gt;0,'Proposed Lighting'!CH211=0),"Select Control Strategies",IF(AND(AC211&gt;0.1,AJ211=0,AQ211=0),"Does not meet incentive criteria",0)))))))))))</f>
        <v>0</v>
      </c>
      <c r="AS211" s="1224">
        <f>IF('Proposed Lighting'!CH211=100,0,IF(ISNUMBER(SEARCH("multiple",Q211)),1,0))</f>
        <v>0</v>
      </c>
      <c r="AT211" s="451">
        <f t="shared" si="47"/>
        <v>0</v>
      </c>
      <c r="AU211" s="451">
        <f t="shared" si="48"/>
        <v>0</v>
      </c>
      <c r="AV211" s="1222">
        <f>IF(ISNUMBER(SEARCH("Networked",'Proposed Lighting'!T211)),0,IF(ISNUMBER(SEARCH("Strategies",'Proposed Lighting'!T211)),0,IF(ISNUMBER(SEARCH("Removal",'Proposed Lighting'!T211)),0,IF(ISNUMBER(SEARCH("non-standard",Q211)),1,0))))</f>
        <v>0</v>
      </c>
      <c r="AW211" s="451">
        <f t="shared" si="51"/>
        <v>0</v>
      </c>
      <c r="AX211" s="451"/>
      <c r="AY211" s="451"/>
      <c r="AZ211" s="451"/>
      <c r="BA211" s="451"/>
      <c r="BB211" s="451"/>
      <c r="BC211" s="1215"/>
      <c r="BD211" s="1215"/>
      <c r="BE211" s="1215"/>
      <c r="BF211" s="1215"/>
      <c r="BG211" s="1215"/>
      <c r="BH211" s="1215"/>
      <c r="BI211">
        <f>IF(AND(AS211=1,BC211="No",BD211="Yes",BE211="Yes",BF211="No",BH211="No"),0,IF(AND('Proposed Lighting'!AU211=2,AS211=1,BC211="Yes",BD211="Yes"),2,IF(AND('Proposed Lighting'!AU211=2,AS211=1,BC211="Yes",BE211="Yes"),2,IF(AND('Proposed Lighting'!AU211=2,AS211=1,BC211="Yes",BF211="Yes"),2,IF(AND('Proposed Lighting'!AU211=2,AS211=1,BC211="Yes",BH211="Yes"),2,IF(AND('Proposed Lighting'!AU211=2,AS211=1,BD211="Yes",BF211="Yes"),2,IF(AND('Proposed Lighting'!AU211=2,AS211=1,BD211="Yes",BH211="Yes"),2,IF(AND('Proposed Lighting'!AU211=3,AS211=1,BC211="Yes",BE211="Yes"),2,IF(AND('Proposed Lighting'!AU211=3,AS211=1,BC211="Yes",BF211="Yes"),2,0)))))))))</f>
        <v>0</v>
      </c>
      <c r="BJ211" s="1025">
        <f t="shared" si="49"/>
        <v>0</v>
      </c>
      <c r="BK211">
        <f>IF(AND('Proposed Lighting'!BC211=22,'Lighting Controls'!N211=1),0,IF(ISNUMBER(SEARCH("LED",G211)),1,0))</f>
        <v>0</v>
      </c>
    </row>
    <row r="212" spans="1:63" ht="34.5" customHeight="1">
      <c r="A212" s="917">
        <v>204</v>
      </c>
      <c r="B212" s="1828" t="str">
        <f>IF('Proposed Lighting'!B212="","",'Proposed Lighting'!B212)</f>
        <v/>
      </c>
      <c r="C212" s="1828"/>
      <c r="D212" s="1828"/>
      <c r="E212" s="1245">
        <f>'Proposed Lighting'!AA212</f>
        <v>0</v>
      </c>
      <c r="F212" s="1245">
        <f t="shared" si="42"/>
        <v>0</v>
      </c>
      <c r="G212" s="1830" t="str">
        <f>IF('Proposed Lighting'!T212="","",IF(ISNUMBER(SEARCH("Networked",'Proposed Lighting'!T212)),0,IF(ISNUMBER(SEARCH("Strategies",'Proposed Lighting'!T212)),0,IF(ISNUMBER(SEARCH("Removal",'Proposed Lighting'!T212)),0,'Proposed Lighting'!T212))))</f>
        <v/>
      </c>
      <c r="H212" s="1830"/>
      <c r="I212" s="1830"/>
      <c r="J212" s="1830"/>
      <c r="K212" s="1215"/>
      <c r="L212" s="1246">
        <f t="shared" si="43"/>
        <v>0</v>
      </c>
      <c r="M212" s="1224">
        <f t="shared" si="44"/>
        <v>0</v>
      </c>
      <c r="N212" s="1224">
        <f t="shared" si="45"/>
        <v>0</v>
      </c>
      <c r="O212" s="1825" t="str">
        <f>IF(G212=0,0,IF(ISNA('Proposed Lighting'!AT212),0,'Proposed Lighting'!AT212))</f>
        <v/>
      </c>
      <c r="P212" s="1825"/>
      <c r="Q212" s="1247"/>
      <c r="R212" s="1247"/>
      <c r="S212" s="1247"/>
      <c r="T212" s="1211"/>
      <c r="U212" s="1235">
        <f>IF(K212&gt;0.01,'Proposed Lighting'!CU212,0)</f>
        <v>0</v>
      </c>
      <c r="V212" s="1248">
        <f>IF('Proposed Lighting'!CF212=1,0,IF('Proposed Lighting'!AU212=2,0,IF(AND('Proposed Lighting'!AU212=3,'Proposed Lighting'!CF212=0),1,0)))</f>
        <v>0</v>
      </c>
      <c r="W212" s="1836"/>
      <c r="X212" s="1836"/>
      <c r="Y212" s="1836"/>
      <c r="Z212" s="1230" t="str">
        <f t="shared" si="39"/>
        <v/>
      </c>
      <c r="AA212" s="1230">
        <f t="shared" si="40"/>
        <v>0</v>
      </c>
      <c r="AB212" s="1230">
        <f>IF(Q212=0,0,IF(T212=0,0,IF(AA212=0,0,IF(AND(F212=3,V212=0),0,IF(T212=0,0,IF(K212&gt;'Proposed Lighting'!AA212,0,IF('Proposed Lighting'!EJ212&gt;0.01,(K212*O212)*'Proposed Lighting'!EJ212/1000,(K212*O212)*U212/1000)))))))</f>
        <v>0</v>
      </c>
      <c r="AC212" s="1230" t="str">
        <f t="shared" si="46"/>
        <v/>
      </c>
      <c r="AD212" s="1230">
        <f t="shared" si="41"/>
        <v>0</v>
      </c>
      <c r="AE212" s="1230">
        <f>IF(T212=0,0,IF(K212&gt;'Proposed Lighting'!AA212,0,IF(T212&gt;K212,0,IF(AND(AD212&gt;AA212,AA212&gt;0),0,IF(AND(F212&gt;1,W212&lt;0.01),0,IF('Proposed Lighting'!AU212&gt;'Lighting Controls'!F212,0,IF('Proposed Lighting'!AU212&lt;'Lighting Controls'!F212,0,IF(U212=0,0,Summary!AC515))))))))</f>
        <v>0</v>
      </c>
      <c r="AF212" s="1230">
        <f>IF(T212=0,0,IF(AE212=0,0,IF(K212&gt;'Proposed Lighting'!AA212,0,IF(AND(AD212&gt;AA212,AA212&gt;0),0,IF(U212=0,0,Summary!AD515)))))</f>
        <v>0</v>
      </c>
      <c r="AG212" s="1834">
        <f>IF('Proposed Lighting'!AU212=1,0,IF('Proposed Lighting'!CF212=1,0,T212*W212))</f>
        <v>0</v>
      </c>
      <c r="AH212" s="1834"/>
      <c r="AI212" s="1834"/>
      <c r="AJ212" s="1835">
        <f>IF(T212&lt;1,0,IF(K212&gt;'Proposed Lighting'!AA212,0,IF('Proposed Lighting'!CF212=1,0,IF('Proposed Lighting'!AU212=1,0,IF(T212&gt;K212,0,IF(AND(AD212&gt;AA212,AA212&gt;0),0,IF(AND(F212=2,'Proposed Lighting'!AU212=3),0,IF(AND(F212=3,'Proposed Lighting'!AU212=2),0,IF('Proposed Lighting'!CH212=100,0,IF(AND(F212&lt;3,V212=1,AM212=0),0,IF(AND(F212&gt;1,AF212&lt;1,AN212&lt;1),0,IF(AND(F212&gt;1,AE212&lt;0.69,AF212&lt;1,AN212&lt;1),0,IF(ISERROR(AB212-AC212),"",AB212-AC212)))))))))))))</f>
        <v>0</v>
      </c>
      <c r="AK212" s="1835"/>
      <c r="AL212" s="1835"/>
      <c r="AM212" s="1216">
        <f>IF(Q212=0,0,IF(T212=0,0,IF(T212&gt;K212,0,IF(AND(AS212&gt;0.01,BK212=0),0,IF(AND('Proposed Lighting'!DG212=0,'Lighting Controls'!Z212=0.35),0,IF(AND(T212&lt;=K212,AA212&gt;=AD212,'Proposed Lighting'!AU212=2),VLOOKUP(Q212,$AY$9:$AZ$15,2,FALSE),IF(AND(T212&lt;=K212,AA212&gt;=AD212,'Proposed Lighting'!AU212=3),VLOOKUP(Q212,$AY$17:$AZ$23,2,FALSE))))))))</f>
        <v>0</v>
      </c>
      <c r="AN212" s="1248">
        <f>IF(T212=0,0,IF(K212&gt;'Proposed Lighting'!AA212,0,IF(AE212=0,0,IF(AND(AD212&gt;AA212,AA212&gt;0),0,IF(U212=0,0,Summary!AE515)))))</f>
        <v>0</v>
      </c>
      <c r="AO212" s="1248">
        <f t="shared" si="50"/>
        <v>0</v>
      </c>
      <c r="AP212" s="1249">
        <f>IF('Proposed Lighting'!AU212=1,0,IF(K212=0,0,IF(T212&gt;K212,0,IF(G212=0,0,IF(K212&gt;'Proposed Lighting'!AA212,0,IF(AND(AD212&gt;AA212,AA212&gt;0),0,IF(AND('Proposed Lighting'!AU212=3,AM212=0.5),0,IF(AND(AM212&gt;0,AS212&gt;0,BI212&lt;2),0,IF('Proposed Lighting'!CH212=100,0,IF(AV212=1,0,IF(AND(AM212=35,M212+N212&lt;2),0,AM212)))))))))))</f>
        <v>0</v>
      </c>
      <c r="AQ212" s="1249" t="str">
        <f>IFERROR(ROUND(IF(Q212="","",IF('Proposed Lighting'!$X$4=0,0,IF(AND(AM212=35,M212+N212&lt;2),0,IF(T212&gt;K212,0,IF('Proposed Lighting'!AU212=1,0,IF(AJ212=0,0,IF(AND('Proposed Lighting'!AU212=3,AM212=0.5),0,IF(AND(AD212=75,AP212=0,AV212=0),0,IF(AP212&gt;0.01,AP212*T212,IF(AND(F212&gt;1,W212&lt;0.01),0,IF(AND(F212&gt;1,AO212=0),0,IF(AND('Proposed Lighting'!BC212=22,AV212=0),0,IF(AND(AM212&gt;0,AS212&gt;0,BI212&lt;2),0,IF(AND(AS212&gt;0.01,BK212=0),0,IF(AND(AO212=TRUE,AV212=1,F212=3),MIN(AJ212*0.08,L212),IF(AP212&gt;0.01,AP212*T212,IF(AND(AO212=TRUE,AV212=1,F212=2),MIN(AJ212*0.1,L212)))))))))))))))))),2),"")</f>
        <v/>
      </c>
      <c r="AR212" s="1250">
        <f>IF(Q212=0,0,IF('Proposed Lighting'!$X$4=0,0,IF(AND(AM212&gt;0.01,AQ212&gt;0.01),0,IF('Proposed Lighting'!AU212=1,"Missing Interior or Exterior Selection",IF('Proposed Lighting'!CF212=1,"Selection does not match",IF(K212&gt;'Proposed Lighting'!AA212,"Quantity controlled does not match proposed lighting quantity",IF(T212&gt;K212,"Quantity of sensors exceeds proposed lighting quantity",IF(AND(F212&gt;1,'Proposed Lighting'!AU212&lt;&gt;F212),"Selection does not match",IF(AND(AD212&gt;AA212,AA212&gt;0),"Does not meet minimum connected load",IF(AND(O212&gt;0,AS212&gt;0,BK212&gt;0,'Proposed Lighting'!CH212=0),"Select Control Strategies",IF(AND(AC212&gt;0.1,AJ212=0,AQ212=0),"Does not meet incentive criteria",0)))))))))))</f>
        <v>0</v>
      </c>
      <c r="AS212" s="1224">
        <f>IF('Proposed Lighting'!CH212=100,0,IF(ISNUMBER(SEARCH("multiple",Q212)),1,0))</f>
        <v>0</v>
      </c>
      <c r="AT212" s="451">
        <f t="shared" si="47"/>
        <v>0</v>
      </c>
      <c r="AU212" s="451">
        <f t="shared" si="48"/>
        <v>0</v>
      </c>
      <c r="AV212" s="1222">
        <f>IF(ISNUMBER(SEARCH("Networked",'Proposed Lighting'!T212)),0,IF(ISNUMBER(SEARCH("Strategies",'Proposed Lighting'!T212)),0,IF(ISNUMBER(SEARCH("Removal",'Proposed Lighting'!T212)),0,IF(ISNUMBER(SEARCH("non-standard",Q212)),1,0))))</f>
        <v>0</v>
      </c>
      <c r="AW212" s="451">
        <f t="shared" si="51"/>
        <v>0</v>
      </c>
      <c r="AX212" s="451"/>
      <c r="AY212" s="451"/>
      <c r="AZ212" s="451"/>
      <c r="BA212" s="451"/>
      <c r="BB212" s="451"/>
      <c r="BC212" s="1215"/>
      <c r="BD212" s="1215"/>
      <c r="BE212" s="1215"/>
      <c r="BF212" s="1215"/>
      <c r="BG212" s="1215"/>
      <c r="BH212" s="1215"/>
      <c r="BI212">
        <f>IF(AND(AS212=1,BC212="No",BD212="Yes",BE212="Yes",BF212="No",BH212="No"),0,IF(AND('Proposed Lighting'!AU212=2,AS212=1,BC212="Yes",BD212="Yes"),2,IF(AND('Proposed Lighting'!AU212=2,AS212=1,BC212="Yes",BE212="Yes"),2,IF(AND('Proposed Lighting'!AU212=2,AS212=1,BC212="Yes",BF212="Yes"),2,IF(AND('Proposed Lighting'!AU212=2,AS212=1,BC212="Yes",BH212="Yes"),2,IF(AND('Proposed Lighting'!AU212=2,AS212=1,BD212="Yes",BF212="Yes"),2,IF(AND('Proposed Lighting'!AU212=2,AS212=1,BD212="Yes",BH212="Yes"),2,IF(AND('Proposed Lighting'!AU212=3,AS212=1,BC212="Yes",BE212="Yes"),2,IF(AND('Proposed Lighting'!AU212=3,AS212=1,BC212="Yes",BF212="Yes"),2,0)))))))))</f>
        <v>0</v>
      </c>
      <c r="BJ212" s="1025">
        <f t="shared" si="49"/>
        <v>0</v>
      </c>
      <c r="BK212">
        <f>IF(AND('Proposed Lighting'!BC212=22,'Lighting Controls'!N212=1),0,IF(ISNUMBER(SEARCH("LED",G212)),1,0))</f>
        <v>0</v>
      </c>
    </row>
    <row r="213" spans="1:63" ht="34.5" customHeight="1">
      <c r="A213" s="917">
        <v>205</v>
      </c>
      <c r="B213" s="1828" t="str">
        <f>IF('Proposed Lighting'!B213="","",'Proposed Lighting'!B213)</f>
        <v/>
      </c>
      <c r="C213" s="1828"/>
      <c r="D213" s="1828"/>
      <c r="E213" s="1245">
        <f>'Proposed Lighting'!AA213</f>
        <v>0</v>
      </c>
      <c r="F213" s="1245">
        <f t="shared" si="42"/>
        <v>0</v>
      </c>
      <c r="G213" s="1830" t="str">
        <f>IF('Proposed Lighting'!T213="","",IF(ISNUMBER(SEARCH("Networked",'Proposed Lighting'!T213)),0,IF(ISNUMBER(SEARCH("Strategies",'Proposed Lighting'!T213)),0,IF(ISNUMBER(SEARCH("Removal",'Proposed Lighting'!T213)),0,'Proposed Lighting'!T213))))</f>
        <v/>
      </c>
      <c r="H213" s="1830"/>
      <c r="I213" s="1830"/>
      <c r="J213" s="1830"/>
      <c r="K213" s="1215"/>
      <c r="L213" s="1246">
        <f t="shared" si="43"/>
        <v>0</v>
      </c>
      <c r="M213" s="1224">
        <f t="shared" si="44"/>
        <v>0</v>
      </c>
      <c r="N213" s="1224">
        <f t="shared" si="45"/>
        <v>0</v>
      </c>
      <c r="O213" s="1825" t="str">
        <f>IF(G213=0,0,IF(ISNA('Proposed Lighting'!AT213),0,'Proposed Lighting'!AT213))</f>
        <v/>
      </c>
      <c r="P213" s="1825"/>
      <c r="Q213" s="1247"/>
      <c r="R213" s="1247"/>
      <c r="S213" s="1247"/>
      <c r="T213" s="1211"/>
      <c r="U213" s="1235">
        <f>IF(K213&gt;0.01,'Proposed Lighting'!CU213,0)</f>
        <v>0</v>
      </c>
      <c r="V213" s="1248">
        <f>IF('Proposed Lighting'!CF213=1,0,IF('Proposed Lighting'!AU213=2,0,IF(AND('Proposed Lighting'!AU213=3,'Proposed Lighting'!CF213=0),1,0)))</f>
        <v>0</v>
      </c>
      <c r="W213" s="1836"/>
      <c r="X213" s="1836"/>
      <c r="Y213" s="1836"/>
      <c r="Z213" s="1230" t="str">
        <f t="shared" si="39"/>
        <v/>
      </c>
      <c r="AA213" s="1230">
        <f t="shared" si="40"/>
        <v>0</v>
      </c>
      <c r="AB213" s="1230">
        <f>IF(Q213=0,0,IF(T213=0,0,IF(AA213=0,0,IF(AND(F213=3,V213=0),0,IF(T213=0,0,IF(K213&gt;'Proposed Lighting'!AA213,0,IF('Proposed Lighting'!EJ213&gt;0.01,(K213*O213)*'Proposed Lighting'!EJ213/1000,(K213*O213)*U213/1000)))))))</f>
        <v>0</v>
      </c>
      <c r="AC213" s="1230" t="str">
        <f t="shared" si="46"/>
        <v/>
      </c>
      <c r="AD213" s="1230">
        <f t="shared" si="41"/>
        <v>0</v>
      </c>
      <c r="AE213" s="1230">
        <f>IF(T213=0,0,IF(K213&gt;'Proposed Lighting'!AA213,0,IF(T213&gt;K213,0,IF(AND(AD213&gt;AA213,AA213&gt;0),0,IF(AND(F213&gt;1,W213&lt;0.01),0,IF('Proposed Lighting'!AU213&gt;'Lighting Controls'!F213,0,IF('Proposed Lighting'!AU213&lt;'Lighting Controls'!F213,0,IF(U213=0,0,Summary!AC516))))))))</f>
        <v>0</v>
      </c>
      <c r="AF213" s="1230">
        <f>IF(T213=0,0,IF(AE213=0,0,IF(K213&gt;'Proposed Lighting'!AA213,0,IF(AND(AD213&gt;AA213,AA213&gt;0),0,IF(U213=0,0,Summary!AD516)))))</f>
        <v>0</v>
      </c>
      <c r="AG213" s="1834">
        <f>IF('Proposed Lighting'!AU213=1,0,IF('Proposed Lighting'!CF213=1,0,T213*W213))</f>
        <v>0</v>
      </c>
      <c r="AH213" s="1834"/>
      <c r="AI213" s="1834"/>
      <c r="AJ213" s="1835">
        <f>IF(T213&lt;1,0,IF(K213&gt;'Proposed Lighting'!AA213,0,IF('Proposed Lighting'!CF213=1,0,IF('Proposed Lighting'!AU213=1,0,IF(T213&gt;K213,0,IF(AND(AD213&gt;AA213,AA213&gt;0),0,IF(AND(F213=2,'Proposed Lighting'!AU213=3),0,IF(AND(F213=3,'Proposed Lighting'!AU213=2),0,IF('Proposed Lighting'!CH213=100,0,IF(AND(F213&lt;3,V213=1,AM213=0),0,IF(AND(F213&gt;1,AF213&lt;1,AN213&lt;1),0,IF(AND(F213&gt;1,AE213&lt;0.69,AF213&lt;1,AN213&lt;1),0,IF(ISERROR(AB213-AC213),"",AB213-AC213)))))))))))))</f>
        <v>0</v>
      </c>
      <c r="AK213" s="1835"/>
      <c r="AL213" s="1835"/>
      <c r="AM213" s="1216">
        <f>IF(Q213=0,0,IF(T213=0,0,IF(T213&gt;K213,0,IF(AND(AS213&gt;0.01,BK213=0),0,IF(AND('Proposed Lighting'!DG213=0,'Lighting Controls'!Z213=0.35),0,IF(AND(T213&lt;=K213,AA213&gt;=AD213,'Proposed Lighting'!AU213=2),VLOOKUP(Q213,$AY$9:$AZ$15,2,FALSE),IF(AND(T213&lt;=K213,AA213&gt;=AD213,'Proposed Lighting'!AU213=3),VLOOKUP(Q213,$AY$17:$AZ$23,2,FALSE))))))))</f>
        <v>0</v>
      </c>
      <c r="AN213" s="1248">
        <f>IF(T213=0,0,IF(K213&gt;'Proposed Lighting'!AA213,0,IF(AE213=0,0,IF(AND(AD213&gt;AA213,AA213&gt;0),0,IF(U213=0,0,Summary!AE516)))))</f>
        <v>0</v>
      </c>
      <c r="AO213" s="1248">
        <f t="shared" si="50"/>
        <v>0</v>
      </c>
      <c r="AP213" s="1249">
        <f>IF('Proposed Lighting'!AU213=1,0,IF(K213=0,0,IF(T213&gt;K213,0,IF(G213=0,0,IF(K213&gt;'Proposed Lighting'!AA213,0,IF(AND(AD213&gt;AA213,AA213&gt;0),0,IF(AND('Proposed Lighting'!AU213=3,AM213=0.5),0,IF(AND(AM213&gt;0,AS213&gt;0,BI213&lt;2),0,IF('Proposed Lighting'!CH213=100,0,IF(AV213=1,0,IF(AND(AM213=35,M213+N213&lt;2),0,AM213)))))))))))</f>
        <v>0</v>
      </c>
      <c r="AQ213" s="1249" t="str">
        <f>IFERROR(ROUND(IF(Q213="","",IF('Proposed Lighting'!$X$4=0,0,IF(AND(AM213=35,M213+N213&lt;2),0,IF(T213&gt;K213,0,IF('Proposed Lighting'!AU213=1,0,IF(AJ213=0,0,IF(AND('Proposed Lighting'!AU213=3,AM213=0.5),0,IF(AND(AD213=75,AP213=0,AV213=0),0,IF(AP213&gt;0.01,AP213*T213,IF(AND(F213&gt;1,W213&lt;0.01),0,IF(AND(F213&gt;1,AO213=0),0,IF(AND('Proposed Lighting'!BC213=22,AV213=0),0,IF(AND(AM213&gt;0,AS213&gt;0,BI213&lt;2),0,IF(AND(AS213&gt;0.01,BK213=0),0,IF(AND(AO213=TRUE,AV213=1,F213=3),MIN(AJ213*0.08,L213),IF(AP213&gt;0.01,AP213*T213,IF(AND(AO213=TRUE,AV213=1,F213=2),MIN(AJ213*0.1,L213)))))))))))))))))),2),"")</f>
        <v/>
      </c>
      <c r="AR213" s="1250">
        <f>IF(Q213=0,0,IF('Proposed Lighting'!$X$4=0,0,IF(AND(AM213&gt;0.01,AQ213&gt;0.01),0,IF('Proposed Lighting'!AU213=1,"Missing Interior or Exterior Selection",IF('Proposed Lighting'!CF213=1,"Selection does not match",IF(K213&gt;'Proposed Lighting'!AA213,"Quantity controlled does not match proposed lighting quantity",IF(T213&gt;K213,"Quantity of sensors exceeds proposed lighting quantity",IF(AND(F213&gt;1,'Proposed Lighting'!AU213&lt;&gt;F213),"Selection does not match",IF(AND(AD213&gt;AA213,AA213&gt;0),"Does not meet minimum connected load",IF(AND(O213&gt;0,AS213&gt;0,BK213&gt;0,'Proposed Lighting'!CH213=0),"Select Control Strategies",IF(AND(AC213&gt;0.1,AJ213=0,AQ213=0),"Does not meet incentive criteria",0)))))))))))</f>
        <v>0</v>
      </c>
      <c r="AS213" s="1224">
        <f>IF('Proposed Lighting'!CH213=100,0,IF(ISNUMBER(SEARCH("multiple",Q213)),1,0))</f>
        <v>0</v>
      </c>
      <c r="AT213" s="451">
        <f t="shared" si="47"/>
        <v>0</v>
      </c>
      <c r="AU213" s="451">
        <f t="shared" si="48"/>
        <v>0</v>
      </c>
      <c r="AV213" s="1222">
        <f>IF(ISNUMBER(SEARCH("Networked",'Proposed Lighting'!T213)),0,IF(ISNUMBER(SEARCH("Strategies",'Proposed Lighting'!T213)),0,IF(ISNUMBER(SEARCH("Removal",'Proposed Lighting'!T213)),0,IF(ISNUMBER(SEARCH("non-standard",Q213)),1,0))))</f>
        <v>0</v>
      </c>
      <c r="AW213" s="451">
        <f t="shared" si="51"/>
        <v>0</v>
      </c>
      <c r="AX213" s="451"/>
      <c r="AY213" s="451"/>
      <c r="AZ213" s="451"/>
      <c r="BA213" s="451"/>
      <c r="BB213" s="451"/>
      <c r="BC213" s="1215"/>
      <c r="BD213" s="1215"/>
      <c r="BE213" s="1215"/>
      <c r="BF213" s="1215"/>
      <c r="BG213" s="1215"/>
      <c r="BH213" s="1215"/>
      <c r="BI213">
        <f>IF(AND(AS213=1,BC213="No",BD213="Yes",BE213="Yes",BF213="No",BH213="No"),0,IF(AND('Proposed Lighting'!AU213=2,AS213=1,BC213="Yes",BD213="Yes"),2,IF(AND('Proposed Lighting'!AU213=2,AS213=1,BC213="Yes",BE213="Yes"),2,IF(AND('Proposed Lighting'!AU213=2,AS213=1,BC213="Yes",BF213="Yes"),2,IF(AND('Proposed Lighting'!AU213=2,AS213=1,BC213="Yes",BH213="Yes"),2,IF(AND('Proposed Lighting'!AU213=2,AS213=1,BD213="Yes",BF213="Yes"),2,IF(AND('Proposed Lighting'!AU213=2,AS213=1,BD213="Yes",BH213="Yes"),2,IF(AND('Proposed Lighting'!AU213=3,AS213=1,BC213="Yes",BE213="Yes"),2,IF(AND('Proposed Lighting'!AU213=3,AS213=1,BC213="Yes",BF213="Yes"),2,0)))))))))</f>
        <v>0</v>
      </c>
      <c r="BJ213" s="1025">
        <f t="shared" si="49"/>
        <v>0</v>
      </c>
      <c r="BK213">
        <f>IF(AND('Proposed Lighting'!BC213=22,'Lighting Controls'!N213=1),0,IF(ISNUMBER(SEARCH("LED",G213)),1,0))</f>
        <v>0</v>
      </c>
    </row>
    <row r="214" spans="1:63" ht="34.5" customHeight="1">
      <c r="A214" s="917">
        <v>206</v>
      </c>
      <c r="B214" s="1828" t="str">
        <f>IF('Proposed Lighting'!B214="","",'Proposed Lighting'!B214)</f>
        <v/>
      </c>
      <c r="C214" s="1828"/>
      <c r="D214" s="1828"/>
      <c r="E214" s="1245">
        <f>'Proposed Lighting'!AA214</f>
        <v>0</v>
      </c>
      <c r="F214" s="1245">
        <f t="shared" si="42"/>
        <v>0</v>
      </c>
      <c r="G214" s="1830" t="str">
        <f>IF('Proposed Lighting'!T214="","",IF(ISNUMBER(SEARCH("Networked",'Proposed Lighting'!T214)),0,IF(ISNUMBER(SEARCH("Strategies",'Proposed Lighting'!T214)),0,IF(ISNUMBER(SEARCH("Removal",'Proposed Lighting'!T214)),0,'Proposed Lighting'!T214))))</f>
        <v/>
      </c>
      <c r="H214" s="1830"/>
      <c r="I214" s="1830"/>
      <c r="J214" s="1830"/>
      <c r="K214" s="1215"/>
      <c r="L214" s="1246">
        <f t="shared" si="43"/>
        <v>0</v>
      </c>
      <c r="M214" s="1224">
        <f t="shared" si="44"/>
        <v>0</v>
      </c>
      <c r="N214" s="1224">
        <f t="shared" si="45"/>
        <v>0</v>
      </c>
      <c r="O214" s="1825" t="str">
        <f>IF(G214=0,0,IF(ISNA('Proposed Lighting'!AT214),0,'Proposed Lighting'!AT214))</f>
        <v/>
      </c>
      <c r="P214" s="1825"/>
      <c r="Q214" s="1247"/>
      <c r="R214" s="1247"/>
      <c r="S214" s="1247"/>
      <c r="T214" s="1211"/>
      <c r="U214" s="1235">
        <f>IF(K214&gt;0.01,'Proposed Lighting'!CU214,0)</f>
        <v>0</v>
      </c>
      <c r="V214" s="1248">
        <f>IF('Proposed Lighting'!CF214=1,0,IF('Proposed Lighting'!AU214=2,0,IF(AND('Proposed Lighting'!AU214=3,'Proposed Lighting'!CF214=0),1,0)))</f>
        <v>0</v>
      </c>
      <c r="W214" s="1836"/>
      <c r="X214" s="1836"/>
      <c r="Y214" s="1836"/>
      <c r="Z214" s="1230" t="str">
        <f t="shared" si="39"/>
        <v/>
      </c>
      <c r="AA214" s="1230">
        <f t="shared" si="40"/>
        <v>0</v>
      </c>
      <c r="AB214" s="1230">
        <f>IF(Q214=0,0,IF(T214=0,0,IF(AA214=0,0,IF(AND(F214=3,V214=0),0,IF(T214=0,0,IF(K214&gt;'Proposed Lighting'!AA214,0,IF('Proposed Lighting'!EJ214&gt;0.01,(K214*O214)*'Proposed Lighting'!EJ214/1000,(K214*O214)*U214/1000)))))))</f>
        <v>0</v>
      </c>
      <c r="AC214" s="1230" t="str">
        <f t="shared" si="46"/>
        <v/>
      </c>
      <c r="AD214" s="1230">
        <f t="shared" si="41"/>
        <v>0</v>
      </c>
      <c r="AE214" s="1230">
        <f>IF(T214=0,0,IF(K214&gt;'Proposed Lighting'!AA214,0,IF(T214&gt;K214,0,IF(AND(AD214&gt;AA214,AA214&gt;0),0,IF(AND(F214&gt;1,W214&lt;0.01),0,IF('Proposed Lighting'!AU214&gt;'Lighting Controls'!F214,0,IF('Proposed Lighting'!AU214&lt;'Lighting Controls'!F214,0,IF(U214=0,0,Summary!AC517))))))))</f>
        <v>0</v>
      </c>
      <c r="AF214" s="1230">
        <f>IF(T214=0,0,IF(AE214=0,0,IF(K214&gt;'Proposed Lighting'!AA214,0,IF(AND(AD214&gt;AA214,AA214&gt;0),0,IF(U214=0,0,Summary!AD517)))))</f>
        <v>0</v>
      </c>
      <c r="AG214" s="1834">
        <f>IF('Proposed Lighting'!AU214=1,0,IF('Proposed Lighting'!CF214=1,0,T214*W214))</f>
        <v>0</v>
      </c>
      <c r="AH214" s="1834"/>
      <c r="AI214" s="1834"/>
      <c r="AJ214" s="1835">
        <f>IF(T214&lt;1,0,IF(K214&gt;'Proposed Lighting'!AA214,0,IF('Proposed Lighting'!CF214=1,0,IF('Proposed Lighting'!AU214=1,0,IF(T214&gt;K214,0,IF(AND(AD214&gt;AA214,AA214&gt;0),0,IF(AND(F214=2,'Proposed Lighting'!AU214=3),0,IF(AND(F214=3,'Proposed Lighting'!AU214=2),0,IF('Proposed Lighting'!CH214=100,0,IF(AND(F214&lt;3,V214=1,AM214=0),0,IF(AND(F214&gt;1,AF214&lt;1,AN214&lt;1),0,IF(AND(F214&gt;1,AE214&lt;0.69,AF214&lt;1,AN214&lt;1),0,IF(ISERROR(AB214-AC214),"",AB214-AC214)))))))))))))</f>
        <v>0</v>
      </c>
      <c r="AK214" s="1835"/>
      <c r="AL214" s="1835"/>
      <c r="AM214" s="1216">
        <f>IF(Q214=0,0,IF(T214=0,0,IF(T214&gt;K214,0,IF(AND(AS214&gt;0.01,BK214=0),0,IF(AND('Proposed Lighting'!DG214=0,'Lighting Controls'!Z214=0.35),0,IF(AND(T214&lt;=K214,AA214&gt;=AD214,'Proposed Lighting'!AU214=2),VLOOKUP(Q214,$AY$9:$AZ$15,2,FALSE),IF(AND(T214&lt;=K214,AA214&gt;=AD214,'Proposed Lighting'!AU214=3),VLOOKUP(Q214,$AY$17:$AZ$23,2,FALSE))))))))</f>
        <v>0</v>
      </c>
      <c r="AN214" s="1248">
        <f>IF(T214=0,0,IF(K214&gt;'Proposed Lighting'!AA214,0,IF(AE214=0,0,IF(AND(AD214&gt;AA214,AA214&gt;0),0,IF(U214=0,0,Summary!AE517)))))</f>
        <v>0</v>
      </c>
      <c r="AO214" s="1248">
        <f t="shared" si="50"/>
        <v>0</v>
      </c>
      <c r="AP214" s="1249">
        <f>IF('Proposed Lighting'!AU214=1,0,IF(K214=0,0,IF(T214&gt;K214,0,IF(G214=0,0,IF(K214&gt;'Proposed Lighting'!AA214,0,IF(AND(AD214&gt;AA214,AA214&gt;0),0,IF(AND('Proposed Lighting'!AU214=3,AM214=0.5),0,IF(AND(AM214&gt;0,AS214&gt;0,BI214&lt;2),0,IF('Proposed Lighting'!CH214=100,0,IF(AV214=1,0,IF(AND(AM214=35,M214+N214&lt;2),0,AM214)))))))))))</f>
        <v>0</v>
      </c>
      <c r="AQ214" s="1249" t="str">
        <f>IFERROR(ROUND(IF(Q214="","",IF('Proposed Lighting'!$X$4=0,0,IF(AND(AM214=35,M214+N214&lt;2),0,IF(T214&gt;K214,0,IF('Proposed Lighting'!AU214=1,0,IF(AJ214=0,0,IF(AND('Proposed Lighting'!AU214=3,AM214=0.5),0,IF(AND(AD214=75,AP214=0,AV214=0),0,IF(AP214&gt;0.01,AP214*T214,IF(AND(F214&gt;1,W214&lt;0.01),0,IF(AND(F214&gt;1,AO214=0),0,IF(AND('Proposed Lighting'!BC214=22,AV214=0),0,IF(AND(AM214&gt;0,AS214&gt;0,BI214&lt;2),0,IF(AND(AS214&gt;0.01,BK214=0),0,IF(AND(AO214=TRUE,AV214=1,F214=3),MIN(AJ214*0.08,L214),IF(AP214&gt;0.01,AP214*T214,IF(AND(AO214=TRUE,AV214=1,F214=2),MIN(AJ214*0.1,L214)))))))))))))))))),2),"")</f>
        <v/>
      </c>
      <c r="AR214" s="1250">
        <f>IF(Q214=0,0,IF('Proposed Lighting'!$X$4=0,0,IF(AND(AM214&gt;0.01,AQ214&gt;0.01),0,IF('Proposed Lighting'!AU214=1,"Missing Interior or Exterior Selection",IF('Proposed Lighting'!CF214=1,"Selection does not match",IF(K214&gt;'Proposed Lighting'!AA214,"Quantity controlled does not match proposed lighting quantity",IF(T214&gt;K214,"Quantity of sensors exceeds proposed lighting quantity",IF(AND(F214&gt;1,'Proposed Lighting'!AU214&lt;&gt;F214),"Selection does not match",IF(AND(AD214&gt;AA214,AA214&gt;0),"Does not meet minimum connected load",IF(AND(O214&gt;0,AS214&gt;0,BK214&gt;0,'Proposed Lighting'!CH214=0),"Select Control Strategies",IF(AND(AC214&gt;0.1,AJ214=0,AQ214=0),"Does not meet incentive criteria",0)))))))))))</f>
        <v>0</v>
      </c>
      <c r="AS214" s="1224">
        <f>IF('Proposed Lighting'!CH214=100,0,IF(ISNUMBER(SEARCH("multiple",Q214)),1,0))</f>
        <v>0</v>
      </c>
      <c r="AT214" s="451">
        <f t="shared" si="47"/>
        <v>0</v>
      </c>
      <c r="AU214" s="451">
        <f t="shared" si="48"/>
        <v>0</v>
      </c>
      <c r="AV214" s="1222">
        <f>IF(ISNUMBER(SEARCH("Networked",'Proposed Lighting'!T214)),0,IF(ISNUMBER(SEARCH("Strategies",'Proposed Lighting'!T214)),0,IF(ISNUMBER(SEARCH("Removal",'Proposed Lighting'!T214)),0,IF(ISNUMBER(SEARCH("non-standard",Q214)),1,0))))</f>
        <v>0</v>
      </c>
      <c r="AW214" s="451">
        <f t="shared" si="51"/>
        <v>0</v>
      </c>
      <c r="AX214" s="451"/>
      <c r="AY214" s="451"/>
      <c r="AZ214" s="451"/>
      <c r="BA214" s="451"/>
      <c r="BB214" s="451"/>
      <c r="BC214" s="1215"/>
      <c r="BD214" s="1215"/>
      <c r="BE214" s="1215"/>
      <c r="BF214" s="1215"/>
      <c r="BG214" s="1215"/>
      <c r="BH214" s="1215"/>
      <c r="BI214">
        <f>IF(AND(AS214=1,BC214="No",BD214="Yes",BE214="Yes",BF214="No",BH214="No"),0,IF(AND('Proposed Lighting'!AU214=2,AS214=1,BC214="Yes",BD214="Yes"),2,IF(AND('Proposed Lighting'!AU214=2,AS214=1,BC214="Yes",BE214="Yes"),2,IF(AND('Proposed Lighting'!AU214=2,AS214=1,BC214="Yes",BF214="Yes"),2,IF(AND('Proposed Lighting'!AU214=2,AS214=1,BC214="Yes",BH214="Yes"),2,IF(AND('Proposed Lighting'!AU214=2,AS214=1,BD214="Yes",BF214="Yes"),2,IF(AND('Proposed Lighting'!AU214=2,AS214=1,BD214="Yes",BH214="Yes"),2,IF(AND('Proposed Lighting'!AU214=3,AS214=1,BC214="Yes",BE214="Yes"),2,IF(AND('Proposed Lighting'!AU214=3,AS214=1,BC214="Yes",BF214="Yes"),2,0)))))))))</f>
        <v>0</v>
      </c>
      <c r="BJ214" s="1025">
        <f t="shared" si="49"/>
        <v>0</v>
      </c>
      <c r="BK214">
        <f>IF(AND('Proposed Lighting'!BC214=22,'Lighting Controls'!N214=1),0,IF(ISNUMBER(SEARCH("LED",G214)),1,0))</f>
        <v>0</v>
      </c>
    </row>
    <row r="215" spans="1:63" ht="34.5" customHeight="1">
      <c r="A215" s="917">
        <v>207</v>
      </c>
      <c r="B215" s="1828" t="str">
        <f>IF('Proposed Lighting'!B215="","",'Proposed Lighting'!B215)</f>
        <v/>
      </c>
      <c r="C215" s="1828"/>
      <c r="D215" s="1828"/>
      <c r="E215" s="1245">
        <f>'Proposed Lighting'!AA215</f>
        <v>0</v>
      </c>
      <c r="F215" s="1245">
        <f t="shared" si="42"/>
        <v>0</v>
      </c>
      <c r="G215" s="1830" t="str">
        <f>IF('Proposed Lighting'!T215="","",IF(ISNUMBER(SEARCH("Networked",'Proposed Lighting'!T215)),0,IF(ISNUMBER(SEARCH("Strategies",'Proposed Lighting'!T215)),0,IF(ISNUMBER(SEARCH("Removal",'Proposed Lighting'!T215)),0,'Proposed Lighting'!T215))))</f>
        <v/>
      </c>
      <c r="H215" s="1830"/>
      <c r="I215" s="1830"/>
      <c r="J215" s="1830"/>
      <c r="K215" s="1215"/>
      <c r="L215" s="1246">
        <f t="shared" si="43"/>
        <v>0</v>
      </c>
      <c r="M215" s="1224">
        <f t="shared" si="44"/>
        <v>0</v>
      </c>
      <c r="N215" s="1224">
        <f t="shared" si="45"/>
        <v>0</v>
      </c>
      <c r="O215" s="1825" t="str">
        <f>IF(G215=0,0,IF(ISNA('Proposed Lighting'!AT215),0,'Proposed Lighting'!AT215))</f>
        <v/>
      </c>
      <c r="P215" s="1825"/>
      <c r="Q215" s="1247"/>
      <c r="R215" s="1247"/>
      <c r="S215" s="1247"/>
      <c r="T215" s="1211"/>
      <c r="U215" s="1235">
        <f>IF(K215&gt;0.01,'Proposed Lighting'!CU215,0)</f>
        <v>0</v>
      </c>
      <c r="V215" s="1248">
        <f>IF('Proposed Lighting'!CF215=1,0,IF('Proposed Lighting'!AU215=2,0,IF(AND('Proposed Lighting'!AU215=3,'Proposed Lighting'!CF215=0),1,0)))</f>
        <v>0</v>
      </c>
      <c r="W215" s="1836"/>
      <c r="X215" s="1836"/>
      <c r="Y215" s="1836"/>
      <c r="Z215" s="1230" t="str">
        <f t="shared" si="39"/>
        <v/>
      </c>
      <c r="AA215" s="1230">
        <f t="shared" si="40"/>
        <v>0</v>
      </c>
      <c r="AB215" s="1230">
        <f>IF(Q215=0,0,IF(T215=0,0,IF(AA215=0,0,IF(AND(F215=3,V215=0),0,IF(T215=0,0,IF(K215&gt;'Proposed Lighting'!AA215,0,IF('Proposed Lighting'!EJ215&gt;0.01,(K215*O215)*'Proposed Lighting'!EJ215/1000,(K215*O215)*U215/1000)))))))</f>
        <v>0</v>
      </c>
      <c r="AC215" s="1230" t="str">
        <f t="shared" si="46"/>
        <v/>
      </c>
      <c r="AD215" s="1230">
        <f t="shared" si="41"/>
        <v>0</v>
      </c>
      <c r="AE215" s="1230">
        <f>IF(T215=0,0,IF(K215&gt;'Proposed Lighting'!AA215,0,IF(T215&gt;K215,0,IF(AND(AD215&gt;AA215,AA215&gt;0),0,IF(AND(F215&gt;1,W215&lt;0.01),0,IF('Proposed Lighting'!AU215&gt;'Lighting Controls'!F215,0,IF('Proposed Lighting'!AU215&lt;'Lighting Controls'!F215,0,IF(U215=0,0,Summary!AC518))))))))</f>
        <v>0</v>
      </c>
      <c r="AF215" s="1230">
        <f>IF(T215=0,0,IF(AE215=0,0,IF(K215&gt;'Proposed Lighting'!AA215,0,IF(AND(AD215&gt;AA215,AA215&gt;0),0,IF(U215=0,0,Summary!AD518)))))</f>
        <v>0</v>
      </c>
      <c r="AG215" s="1834">
        <f>IF('Proposed Lighting'!AU215=1,0,IF('Proposed Lighting'!CF215=1,0,T215*W215))</f>
        <v>0</v>
      </c>
      <c r="AH215" s="1834"/>
      <c r="AI215" s="1834"/>
      <c r="AJ215" s="1835">
        <f>IF(T215&lt;1,0,IF(K215&gt;'Proposed Lighting'!AA215,0,IF('Proposed Lighting'!CF215=1,0,IF('Proposed Lighting'!AU215=1,0,IF(T215&gt;K215,0,IF(AND(AD215&gt;AA215,AA215&gt;0),0,IF(AND(F215=2,'Proposed Lighting'!AU215=3),0,IF(AND(F215=3,'Proposed Lighting'!AU215=2),0,IF('Proposed Lighting'!CH215=100,0,IF(AND(F215&lt;3,V215=1,AM215=0),0,IF(AND(F215&gt;1,AF215&lt;1,AN215&lt;1),0,IF(AND(F215&gt;1,AE215&lt;0.69,AF215&lt;1,AN215&lt;1),0,IF(ISERROR(AB215-AC215),"",AB215-AC215)))))))))))))</f>
        <v>0</v>
      </c>
      <c r="AK215" s="1835"/>
      <c r="AL215" s="1835"/>
      <c r="AM215" s="1216">
        <f>IF(Q215=0,0,IF(T215=0,0,IF(T215&gt;K215,0,IF(AND(AS215&gt;0.01,BK215=0),0,IF(AND('Proposed Lighting'!DG215=0,'Lighting Controls'!Z215=0.35),0,IF(AND(T215&lt;=K215,AA215&gt;=AD215,'Proposed Lighting'!AU215=2),VLOOKUP(Q215,$AY$9:$AZ$15,2,FALSE),IF(AND(T215&lt;=K215,AA215&gt;=AD215,'Proposed Lighting'!AU215=3),VLOOKUP(Q215,$AY$17:$AZ$23,2,FALSE))))))))</f>
        <v>0</v>
      </c>
      <c r="AN215" s="1248">
        <f>IF(T215=0,0,IF(K215&gt;'Proposed Lighting'!AA215,0,IF(AE215=0,0,IF(AND(AD215&gt;AA215,AA215&gt;0),0,IF(U215=0,0,Summary!AE518)))))</f>
        <v>0</v>
      </c>
      <c r="AO215" s="1248">
        <f t="shared" si="50"/>
        <v>0</v>
      </c>
      <c r="AP215" s="1249">
        <f>IF('Proposed Lighting'!AU215=1,0,IF(K215=0,0,IF(T215&gt;K215,0,IF(G215=0,0,IF(K215&gt;'Proposed Lighting'!AA215,0,IF(AND(AD215&gt;AA215,AA215&gt;0),0,IF(AND('Proposed Lighting'!AU215=3,AM215=0.5),0,IF(AND(AM215&gt;0,AS215&gt;0,BI215&lt;2),0,IF('Proposed Lighting'!CH215=100,0,IF(AV215=1,0,IF(AND(AM215=35,M215+N215&lt;2),0,AM215)))))))))))</f>
        <v>0</v>
      </c>
      <c r="AQ215" s="1249" t="str">
        <f>IFERROR(ROUND(IF(Q215="","",IF('Proposed Lighting'!$X$4=0,0,IF(AND(AM215=35,M215+N215&lt;2),0,IF(T215&gt;K215,0,IF('Proposed Lighting'!AU215=1,0,IF(AJ215=0,0,IF(AND('Proposed Lighting'!AU215=3,AM215=0.5),0,IF(AND(AD215=75,AP215=0,AV215=0),0,IF(AP215&gt;0.01,AP215*T215,IF(AND(F215&gt;1,W215&lt;0.01),0,IF(AND(F215&gt;1,AO215=0),0,IF(AND('Proposed Lighting'!BC215=22,AV215=0),0,IF(AND(AM215&gt;0,AS215&gt;0,BI215&lt;2),0,IF(AND(AS215&gt;0.01,BK215=0),0,IF(AND(AO215=TRUE,AV215=1,F215=3),MIN(AJ215*0.08,L215),IF(AP215&gt;0.01,AP215*T215,IF(AND(AO215=TRUE,AV215=1,F215=2),MIN(AJ215*0.1,L215)))))))))))))))))),2),"")</f>
        <v/>
      </c>
      <c r="AR215" s="1250">
        <f>IF(Q215=0,0,IF('Proposed Lighting'!$X$4=0,0,IF(AND(AM215&gt;0.01,AQ215&gt;0.01),0,IF('Proposed Lighting'!AU215=1,"Missing Interior or Exterior Selection",IF('Proposed Lighting'!CF215=1,"Selection does not match",IF(K215&gt;'Proposed Lighting'!AA215,"Quantity controlled does not match proposed lighting quantity",IF(T215&gt;K215,"Quantity of sensors exceeds proposed lighting quantity",IF(AND(F215&gt;1,'Proposed Lighting'!AU215&lt;&gt;F215),"Selection does not match",IF(AND(AD215&gt;AA215,AA215&gt;0),"Does not meet minimum connected load",IF(AND(O215&gt;0,AS215&gt;0,BK215&gt;0,'Proposed Lighting'!CH215=0),"Select Control Strategies",IF(AND(AC215&gt;0.1,AJ215=0,AQ215=0),"Does not meet incentive criteria",0)))))))))))</f>
        <v>0</v>
      </c>
      <c r="AS215" s="1224">
        <f>IF('Proposed Lighting'!CH215=100,0,IF(ISNUMBER(SEARCH("multiple",Q215)),1,0))</f>
        <v>0</v>
      </c>
      <c r="AT215" s="451">
        <f t="shared" si="47"/>
        <v>0</v>
      </c>
      <c r="AU215" s="451">
        <f t="shared" si="48"/>
        <v>0</v>
      </c>
      <c r="AV215" s="1222">
        <f>IF(ISNUMBER(SEARCH("Networked",'Proposed Lighting'!T215)),0,IF(ISNUMBER(SEARCH("Strategies",'Proposed Lighting'!T215)),0,IF(ISNUMBER(SEARCH("Removal",'Proposed Lighting'!T215)),0,IF(ISNUMBER(SEARCH("non-standard",Q215)),1,0))))</f>
        <v>0</v>
      </c>
      <c r="AW215" s="451">
        <f t="shared" si="51"/>
        <v>0</v>
      </c>
      <c r="AX215" s="451"/>
      <c r="AY215" s="451"/>
      <c r="AZ215" s="451"/>
      <c r="BA215" s="451"/>
      <c r="BB215" s="451"/>
      <c r="BC215" s="1215"/>
      <c r="BD215" s="1215"/>
      <c r="BE215" s="1215"/>
      <c r="BF215" s="1215"/>
      <c r="BG215" s="1215"/>
      <c r="BH215" s="1215"/>
      <c r="BI215">
        <f>IF(AND(AS215=1,BC215="No",BD215="Yes",BE215="Yes",BF215="No",BH215="No"),0,IF(AND('Proposed Lighting'!AU215=2,AS215=1,BC215="Yes",BD215="Yes"),2,IF(AND('Proposed Lighting'!AU215=2,AS215=1,BC215="Yes",BE215="Yes"),2,IF(AND('Proposed Lighting'!AU215=2,AS215=1,BC215="Yes",BF215="Yes"),2,IF(AND('Proposed Lighting'!AU215=2,AS215=1,BC215="Yes",BH215="Yes"),2,IF(AND('Proposed Lighting'!AU215=2,AS215=1,BD215="Yes",BF215="Yes"),2,IF(AND('Proposed Lighting'!AU215=2,AS215=1,BD215="Yes",BH215="Yes"),2,IF(AND('Proposed Lighting'!AU215=3,AS215=1,BC215="Yes",BE215="Yes"),2,IF(AND('Proposed Lighting'!AU215=3,AS215=1,BC215="Yes",BF215="Yes"),2,0)))))))))</f>
        <v>0</v>
      </c>
      <c r="BJ215" s="1025">
        <f t="shared" si="49"/>
        <v>0</v>
      </c>
      <c r="BK215">
        <f>IF(AND('Proposed Lighting'!BC215=22,'Lighting Controls'!N215=1),0,IF(ISNUMBER(SEARCH("LED",G215)),1,0))</f>
        <v>0</v>
      </c>
    </row>
    <row r="216" spans="1:63" ht="34.5" customHeight="1">
      <c r="A216" s="917">
        <v>208</v>
      </c>
      <c r="B216" s="1828" t="str">
        <f>IF('Proposed Lighting'!B216="","",'Proposed Lighting'!B216)</f>
        <v/>
      </c>
      <c r="C216" s="1828"/>
      <c r="D216" s="1828"/>
      <c r="E216" s="1245">
        <f>'Proposed Lighting'!AA216</f>
        <v>0</v>
      </c>
      <c r="F216" s="1245">
        <f t="shared" si="42"/>
        <v>0</v>
      </c>
      <c r="G216" s="1830" t="str">
        <f>IF('Proposed Lighting'!T216="","",IF(ISNUMBER(SEARCH("Networked",'Proposed Lighting'!T216)),0,IF(ISNUMBER(SEARCH("Strategies",'Proposed Lighting'!T216)),0,IF(ISNUMBER(SEARCH("Removal",'Proposed Lighting'!T216)),0,'Proposed Lighting'!T216))))</f>
        <v/>
      </c>
      <c r="H216" s="1830"/>
      <c r="I216" s="1830"/>
      <c r="J216" s="1830"/>
      <c r="K216" s="1215"/>
      <c r="L216" s="1246">
        <f t="shared" si="43"/>
        <v>0</v>
      </c>
      <c r="M216" s="1224">
        <f t="shared" si="44"/>
        <v>0</v>
      </c>
      <c r="N216" s="1224">
        <f t="shared" si="45"/>
        <v>0</v>
      </c>
      <c r="O216" s="1825" t="str">
        <f>IF(G216=0,0,IF(ISNA('Proposed Lighting'!AT216),0,'Proposed Lighting'!AT216))</f>
        <v/>
      </c>
      <c r="P216" s="1825"/>
      <c r="Q216" s="1247"/>
      <c r="R216" s="1247"/>
      <c r="S216" s="1247"/>
      <c r="T216" s="1211"/>
      <c r="U216" s="1235">
        <f>IF(K216&gt;0.01,'Proposed Lighting'!CU216,0)</f>
        <v>0</v>
      </c>
      <c r="V216" s="1248">
        <f>IF('Proposed Lighting'!CF216=1,0,IF('Proposed Lighting'!AU216=2,0,IF(AND('Proposed Lighting'!AU216=3,'Proposed Lighting'!CF216=0),1,0)))</f>
        <v>0</v>
      </c>
      <c r="W216" s="1836"/>
      <c r="X216" s="1836"/>
      <c r="Y216" s="1836"/>
      <c r="Z216" s="1230" t="str">
        <f t="shared" si="39"/>
        <v/>
      </c>
      <c r="AA216" s="1230">
        <f t="shared" si="40"/>
        <v>0</v>
      </c>
      <c r="AB216" s="1230">
        <f>IF(Q216=0,0,IF(T216=0,0,IF(AA216=0,0,IF(AND(F216=3,V216=0),0,IF(T216=0,0,IF(K216&gt;'Proposed Lighting'!AA216,0,IF('Proposed Lighting'!EJ216&gt;0.01,(K216*O216)*'Proposed Lighting'!EJ216/1000,(K216*O216)*U216/1000)))))))</f>
        <v>0</v>
      </c>
      <c r="AC216" s="1230" t="str">
        <f t="shared" si="46"/>
        <v/>
      </c>
      <c r="AD216" s="1230">
        <f t="shared" si="41"/>
        <v>0</v>
      </c>
      <c r="AE216" s="1230">
        <f>IF(T216=0,0,IF(K216&gt;'Proposed Lighting'!AA216,0,IF(T216&gt;K216,0,IF(AND(AD216&gt;AA216,AA216&gt;0),0,IF(AND(F216&gt;1,W216&lt;0.01),0,IF('Proposed Lighting'!AU216&gt;'Lighting Controls'!F216,0,IF('Proposed Lighting'!AU216&lt;'Lighting Controls'!F216,0,IF(U216=0,0,Summary!AC519))))))))</f>
        <v>0</v>
      </c>
      <c r="AF216" s="1230">
        <f>IF(T216=0,0,IF(AE216=0,0,IF(K216&gt;'Proposed Lighting'!AA216,0,IF(AND(AD216&gt;AA216,AA216&gt;0),0,IF(U216=0,0,Summary!AD519)))))</f>
        <v>0</v>
      </c>
      <c r="AG216" s="1834">
        <f>IF('Proposed Lighting'!AU216=1,0,IF('Proposed Lighting'!CF216=1,0,T216*W216))</f>
        <v>0</v>
      </c>
      <c r="AH216" s="1834"/>
      <c r="AI216" s="1834"/>
      <c r="AJ216" s="1835">
        <f>IF(T216&lt;1,0,IF(K216&gt;'Proposed Lighting'!AA216,0,IF('Proposed Lighting'!CF216=1,0,IF('Proposed Lighting'!AU216=1,0,IF(T216&gt;K216,0,IF(AND(AD216&gt;AA216,AA216&gt;0),0,IF(AND(F216=2,'Proposed Lighting'!AU216=3),0,IF(AND(F216=3,'Proposed Lighting'!AU216=2),0,IF('Proposed Lighting'!CH216=100,0,IF(AND(F216&lt;3,V216=1,AM216=0),0,IF(AND(F216&gt;1,AF216&lt;1,AN216&lt;1),0,IF(AND(F216&gt;1,AE216&lt;0.69,AF216&lt;1,AN216&lt;1),0,IF(ISERROR(AB216-AC216),"",AB216-AC216)))))))))))))</f>
        <v>0</v>
      </c>
      <c r="AK216" s="1835"/>
      <c r="AL216" s="1835"/>
      <c r="AM216" s="1216">
        <f>IF(Q216=0,0,IF(T216=0,0,IF(T216&gt;K216,0,IF(AND(AS216&gt;0.01,BK216=0),0,IF(AND('Proposed Lighting'!DG216=0,'Lighting Controls'!Z216=0.35),0,IF(AND(T216&lt;=K216,AA216&gt;=AD216,'Proposed Lighting'!AU216=2),VLOOKUP(Q216,$AY$9:$AZ$15,2,FALSE),IF(AND(T216&lt;=K216,AA216&gt;=AD216,'Proposed Lighting'!AU216=3),VLOOKUP(Q216,$AY$17:$AZ$23,2,FALSE))))))))</f>
        <v>0</v>
      </c>
      <c r="AN216" s="1248">
        <f>IF(T216=0,0,IF(K216&gt;'Proposed Lighting'!AA216,0,IF(AE216=0,0,IF(AND(AD216&gt;AA216,AA216&gt;0),0,IF(U216=0,0,Summary!AE519)))))</f>
        <v>0</v>
      </c>
      <c r="AO216" s="1248">
        <f t="shared" si="50"/>
        <v>0</v>
      </c>
      <c r="AP216" s="1249">
        <f>IF('Proposed Lighting'!AU216=1,0,IF(K216=0,0,IF(T216&gt;K216,0,IF(G216=0,0,IF(K216&gt;'Proposed Lighting'!AA216,0,IF(AND(AD216&gt;AA216,AA216&gt;0),0,IF(AND('Proposed Lighting'!AU216=3,AM216=0.5),0,IF(AND(AM216&gt;0,AS216&gt;0,BI216&lt;2),0,IF('Proposed Lighting'!CH216=100,0,IF(AV216=1,0,IF(AND(AM216=35,M216+N216&lt;2),0,AM216)))))))))))</f>
        <v>0</v>
      </c>
      <c r="AQ216" s="1249" t="str">
        <f>IFERROR(ROUND(IF(Q216="","",IF('Proposed Lighting'!$X$4=0,0,IF(AND(AM216=35,M216+N216&lt;2),0,IF(T216&gt;K216,0,IF('Proposed Lighting'!AU216=1,0,IF(AJ216=0,0,IF(AND('Proposed Lighting'!AU216=3,AM216=0.5),0,IF(AND(AD216=75,AP216=0,AV216=0),0,IF(AP216&gt;0.01,AP216*T216,IF(AND(F216&gt;1,W216&lt;0.01),0,IF(AND(F216&gt;1,AO216=0),0,IF(AND('Proposed Lighting'!BC216=22,AV216=0),0,IF(AND(AM216&gt;0,AS216&gt;0,BI216&lt;2),0,IF(AND(AS216&gt;0.01,BK216=0),0,IF(AND(AO216=TRUE,AV216=1,F216=3),MIN(AJ216*0.08,L216),IF(AP216&gt;0.01,AP216*T216,IF(AND(AO216=TRUE,AV216=1,F216=2),MIN(AJ216*0.1,L216)))))))))))))))))),2),"")</f>
        <v/>
      </c>
      <c r="AR216" s="1250">
        <f>IF(Q216=0,0,IF('Proposed Lighting'!$X$4=0,0,IF(AND(AM216&gt;0.01,AQ216&gt;0.01),0,IF('Proposed Lighting'!AU216=1,"Missing Interior or Exterior Selection",IF('Proposed Lighting'!CF216=1,"Selection does not match",IF(K216&gt;'Proposed Lighting'!AA216,"Quantity controlled does not match proposed lighting quantity",IF(T216&gt;K216,"Quantity of sensors exceeds proposed lighting quantity",IF(AND(F216&gt;1,'Proposed Lighting'!AU216&lt;&gt;F216),"Selection does not match",IF(AND(AD216&gt;AA216,AA216&gt;0),"Does not meet minimum connected load",IF(AND(O216&gt;0,AS216&gt;0,BK216&gt;0,'Proposed Lighting'!CH216=0),"Select Control Strategies",IF(AND(AC216&gt;0.1,AJ216=0,AQ216=0),"Does not meet incentive criteria",0)))))))))))</f>
        <v>0</v>
      </c>
      <c r="AS216" s="1224">
        <f>IF('Proposed Lighting'!CH216=100,0,IF(ISNUMBER(SEARCH("multiple",Q216)),1,0))</f>
        <v>0</v>
      </c>
      <c r="AT216" s="451">
        <f t="shared" si="47"/>
        <v>0</v>
      </c>
      <c r="AU216" s="451">
        <f t="shared" si="48"/>
        <v>0</v>
      </c>
      <c r="AV216" s="1222">
        <f>IF(ISNUMBER(SEARCH("Networked",'Proposed Lighting'!T216)),0,IF(ISNUMBER(SEARCH("Strategies",'Proposed Lighting'!T216)),0,IF(ISNUMBER(SEARCH("Removal",'Proposed Lighting'!T216)),0,IF(ISNUMBER(SEARCH("non-standard",Q216)),1,0))))</f>
        <v>0</v>
      </c>
      <c r="AW216" s="451">
        <f t="shared" si="51"/>
        <v>0</v>
      </c>
      <c r="AX216" s="451"/>
      <c r="AY216" s="451"/>
      <c r="AZ216" s="451"/>
      <c r="BA216" s="451"/>
      <c r="BB216" s="451"/>
      <c r="BC216" s="1215"/>
      <c r="BD216" s="1215"/>
      <c r="BE216" s="1215"/>
      <c r="BF216" s="1215"/>
      <c r="BG216" s="1215"/>
      <c r="BH216" s="1215"/>
      <c r="BI216">
        <f>IF(AND(AS216=1,BC216="No",BD216="Yes",BE216="Yes",BF216="No",BH216="No"),0,IF(AND('Proposed Lighting'!AU216=2,AS216=1,BC216="Yes",BD216="Yes"),2,IF(AND('Proposed Lighting'!AU216=2,AS216=1,BC216="Yes",BE216="Yes"),2,IF(AND('Proposed Lighting'!AU216=2,AS216=1,BC216="Yes",BF216="Yes"),2,IF(AND('Proposed Lighting'!AU216=2,AS216=1,BC216="Yes",BH216="Yes"),2,IF(AND('Proposed Lighting'!AU216=2,AS216=1,BD216="Yes",BF216="Yes"),2,IF(AND('Proposed Lighting'!AU216=2,AS216=1,BD216="Yes",BH216="Yes"),2,IF(AND('Proposed Lighting'!AU216=3,AS216=1,BC216="Yes",BE216="Yes"),2,IF(AND('Proposed Lighting'!AU216=3,AS216=1,BC216="Yes",BF216="Yes"),2,0)))))))))</f>
        <v>0</v>
      </c>
      <c r="BJ216" s="1025">
        <f t="shared" si="49"/>
        <v>0</v>
      </c>
      <c r="BK216">
        <f>IF(AND('Proposed Lighting'!BC216=22,'Lighting Controls'!N216=1),0,IF(ISNUMBER(SEARCH("LED",G216)),1,0))</f>
        <v>0</v>
      </c>
    </row>
    <row r="217" spans="1:63" ht="34.5" customHeight="1">
      <c r="A217" s="917">
        <v>209</v>
      </c>
      <c r="B217" s="1828" t="str">
        <f>IF('Proposed Lighting'!B217="","",'Proposed Lighting'!B217)</f>
        <v/>
      </c>
      <c r="C217" s="1828"/>
      <c r="D217" s="1828"/>
      <c r="E217" s="1245">
        <f>'Proposed Lighting'!AA217</f>
        <v>0</v>
      </c>
      <c r="F217" s="1245">
        <f t="shared" si="42"/>
        <v>0</v>
      </c>
      <c r="G217" s="1830" t="str">
        <f>IF('Proposed Lighting'!T217="","",IF(ISNUMBER(SEARCH("Networked",'Proposed Lighting'!T217)),0,IF(ISNUMBER(SEARCH("Strategies",'Proposed Lighting'!T217)),0,IF(ISNUMBER(SEARCH("Removal",'Proposed Lighting'!T217)),0,'Proposed Lighting'!T217))))</f>
        <v/>
      </c>
      <c r="H217" s="1830"/>
      <c r="I217" s="1830"/>
      <c r="J217" s="1830"/>
      <c r="K217" s="1215"/>
      <c r="L217" s="1246">
        <f t="shared" si="43"/>
        <v>0</v>
      </c>
      <c r="M217" s="1224">
        <f t="shared" si="44"/>
        <v>0</v>
      </c>
      <c r="N217" s="1224">
        <f t="shared" si="45"/>
        <v>0</v>
      </c>
      <c r="O217" s="1825" t="str">
        <f>IF(G217=0,0,IF(ISNA('Proposed Lighting'!AT217),0,'Proposed Lighting'!AT217))</f>
        <v/>
      </c>
      <c r="P217" s="1825"/>
      <c r="Q217" s="1247"/>
      <c r="R217" s="1247"/>
      <c r="S217" s="1247"/>
      <c r="T217" s="1211"/>
      <c r="U217" s="1235">
        <f>IF(K217&gt;0.01,'Proposed Lighting'!CU217,0)</f>
        <v>0</v>
      </c>
      <c r="V217" s="1248">
        <f>IF('Proposed Lighting'!CF217=1,0,IF('Proposed Lighting'!AU217=2,0,IF(AND('Proposed Lighting'!AU217=3,'Proposed Lighting'!CF217=0),1,0)))</f>
        <v>0</v>
      </c>
      <c r="W217" s="1836"/>
      <c r="X217" s="1836"/>
      <c r="Y217" s="1836"/>
      <c r="Z217" s="1230" t="str">
        <f t="shared" si="39"/>
        <v/>
      </c>
      <c r="AA217" s="1230">
        <f t="shared" si="40"/>
        <v>0</v>
      </c>
      <c r="AB217" s="1230">
        <f>IF(Q217=0,0,IF(T217=0,0,IF(AA217=0,0,IF(AND(F217=3,V217=0),0,IF(T217=0,0,IF(K217&gt;'Proposed Lighting'!AA217,0,IF('Proposed Lighting'!EJ217&gt;0.01,(K217*O217)*'Proposed Lighting'!EJ217/1000,(K217*O217)*U217/1000)))))))</f>
        <v>0</v>
      </c>
      <c r="AC217" s="1230" t="str">
        <f t="shared" si="46"/>
        <v/>
      </c>
      <c r="AD217" s="1230">
        <f t="shared" si="41"/>
        <v>0</v>
      </c>
      <c r="AE217" s="1230">
        <f>IF(T217=0,0,IF(K217&gt;'Proposed Lighting'!AA217,0,IF(T217&gt;K217,0,IF(AND(AD217&gt;AA217,AA217&gt;0),0,IF(AND(F217&gt;1,W217&lt;0.01),0,IF('Proposed Lighting'!AU217&gt;'Lighting Controls'!F217,0,IF('Proposed Lighting'!AU217&lt;'Lighting Controls'!F217,0,IF(U217=0,0,Summary!AC520))))))))</f>
        <v>0</v>
      </c>
      <c r="AF217" s="1230">
        <f>IF(T217=0,0,IF(AE217=0,0,IF(K217&gt;'Proposed Lighting'!AA217,0,IF(AND(AD217&gt;AA217,AA217&gt;0),0,IF(U217=0,0,Summary!AD520)))))</f>
        <v>0</v>
      </c>
      <c r="AG217" s="1834">
        <f>IF('Proposed Lighting'!AU217=1,0,IF('Proposed Lighting'!CF217=1,0,T217*W217))</f>
        <v>0</v>
      </c>
      <c r="AH217" s="1834"/>
      <c r="AI217" s="1834"/>
      <c r="AJ217" s="1835">
        <f>IF(T217&lt;1,0,IF(K217&gt;'Proposed Lighting'!AA217,0,IF('Proposed Lighting'!CF217=1,0,IF('Proposed Lighting'!AU217=1,0,IF(T217&gt;K217,0,IF(AND(AD217&gt;AA217,AA217&gt;0),0,IF(AND(F217=2,'Proposed Lighting'!AU217=3),0,IF(AND(F217=3,'Proposed Lighting'!AU217=2),0,IF('Proposed Lighting'!CH217=100,0,IF(AND(F217&lt;3,V217=1,AM217=0),0,IF(AND(F217&gt;1,AF217&lt;1,AN217&lt;1),0,IF(AND(F217&gt;1,AE217&lt;0.69,AF217&lt;1,AN217&lt;1),0,IF(ISERROR(AB217-AC217),"",AB217-AC217)))))))))))))</f>
        <v>0</v>
      </c>
      <c r="AK217" s="1835"/>
      <c r="AL217" s="1835"/>
      <c r="AM217" s="1216">
        <f>IF(Q217=0,0,IF(T217=0,0,IF(T217&gt;K217,0,IF(AND(AS217&gt;0.01,BK217=0),0,IF(AND('Proposed Lighting'!DG217=0,'Lighting Controls'!Z217=0.35),0,IF(AND(T217&lt;=K217,AA217&gt;=AD217,'Proposed Lighting'!AU217=2),VLOOKUP(Q217,$AY$9:$AZ$15,2,FALSE),IF(AND(T217&lt;=K217,AA217&gt;=AD217,'Proposed Lighting'!AU217=3),VLOOKUP(Q217,$AY$17:$AZ$23,2,FALSE))))))))</f>
        <v>0</v>
      </c>
      <c r="AN217" s="1248">
        <f>IF(T217=0,0,IF(K217&gt;'Proposed Lighting'!AA217,0,IF(AE217=0,0,IF(AND(AD217&gt;AA217,AA217&gt;0),0,IF(U217=0,0,Summary!AE520)))))</f>
        <v>0</v>
      </c>
      <c r="AO217" s="1248">
        <f t="shared" si="50"/>
        <v>0</v>
      </c>
      <c r="AP217" s="1249">
        <f>IF('Proposed Lighting'!AU217=1,0,IF(K217=0,0,IF(T217&gt;K217,0,IF(G217=0,0,IF(K217&gt;'Proposed Lighting'!AA217,0,IF(AND(AD217&gt;AA217,AA217&gt;0),0,IF(AND('Proposed Lighting'!AU217=3,AM217=0.5),0,IF(AND(AM217&gt;0,AS217&gt;0,BI217&lt;2),0,IF('Proposed Lighting'!CH217=100,0,IF(AV217=1,0,IF(AND(AM217=35,M217+N217&lt;2),0,AM217)))))))))))</f>
        <v>0</v>
      </c>
      <c r="AQ217" s="1249" t="str">
        <f>IFERROR(ROUND(IF(Q217="","",IF('Proposed Lighting'!$X$4=0,0,IF(AND(AM217=35,M217+N217&lt;2),0,IF(T217&gt;K217,0,IF('Proposed Lighting'!AU217=1,0,IF(AJ217=0,0,IF(AND('Proposed Lighting'!AU217=3,AM217=0.5),0,IF(AND(AD217=75,AP217=0,AV217=0),0,IF(AP217&gt;0.01,AP217*T217,IF(AND(F217&gt;1,W217&lt;0.01),0,IF(AND(F217&gt;1,AO217=0),0,IF(AND('Proposed Lighting'!BC217=22,AV217=0),0,IF(AND(AM217&gt;0,AS217&gt;0,BI217&lt;2),0,IF(AND(AS217&gt;0.01,BK217=0),0,IF(AND(AO217=TRUE,AV217=1,F217=3),MIN(AJ217*0.08,L217),IF(AP217&gt;0.01,AP217*T217,IF(AND(AO217=TRUE,AV217=1,F217=2),MIN(AJ217*0.1,L217)))))))))))))))))),2),"")</f>
        <v/>
      </c>
      <c r="AR217" s="1250">
        <f>IF(Q217=0,0,IF('Proposed Lighting'!$X$4=0,0,IF(AND(AM217&gt;0.01,AQ217&gt;0.01),0,IF('Proposed Lighting'!AU217=1,"Missing Interior or Exterior Selection",IF('Proposed Lighting'!CF217=1,"Selection does not match",IF(K217&gt;'Proposed Lighting'!AA217,"Quantity controlled does not match proposed lighting quantity",IF(T217&gt;K217,"Quantity of sensors exceeds proposed lighting quantity",IF(AND(F217&gt;1,'Proposed Lighting'!AU217&lt;&gt;F217),"Selection does not match",IF(AND(AD217&gt;AA217,AA217&gt;0),"Does not meet minimum connected load",IF(AND(O217&gt;0,AS217&gt;0,BK217&gt;0,'Proposed Lighting'!CH217=0),"Select Control Strategies",IF(AND(AC217&gt;0.1,AJ217=0,AQ217=0),"Does not meet incentive criteria",0)))))))))))</f>
        <v>0</v>
      </c>
      <c r="AS217" s="1224">
        <f>IF('Proposed Lighting'!CH217=100,0,IF(ISNUMBER(SEARCH("multiple",Q217)),1,0))</f>
        <v>0</v>
      </c>
      <c r="AT217" s="451">
        <f t="shared" si="47"/>
        <v>0</v>
      </c>
      <c r="AU217" s="451">
        <f t="shared" si="48"/>
        <v>0</v>
      </c>
      <c r="AV217" s="1222">
        <f>IF(ISNUMBER(SEARCH("Networked",'Proposed Lighting'!T217)),0,IF(ISNUMBER(SEARCH("Strategies",'Proposed Lighting'!T217)),0,IF(ISNUMBER(SEARCH("Removal",'Proposed Lighting'!T217)),0,IF(ISNUMBER(SEARCH("non-standard",Q217)),1,0))))</f>
        <v>0</v>
      </c>
      <c r="AW217" s="451">
        <f t="shared" si="51"/>
        <v>0</v>
      </c>
      <c r="AX217" s="451"/>
      <c r="AY217" s="451"/>
      <c r="AZ217" s="451"/>
      <c r="BA217" s="451"/>
      <c r="BB217" s="451"/>
      <c r="BC217" s="1215"/>
      <c r="BD217" s="1215"/>
      <c r="BE217" s="1215"/>
      <c r="BF217" s="1215"/>
      <c r="BG217" s="1215"/>
      <c r="BH217" s="1215"/>
      <c r="BI217">
        <f>IF(AND(AS217=1,BC217="No",BD217="Yes",BE217="Yes",BF217="No",BH217="No"),0,IF(AND('Proposed Lighting'!AU217=2,AS217=1,BC217="Yes",BD217="Yes"),2,IF(AND('Proposed Lighting'!AU217=2,AS217=1,BC217="Yes",BE217="Yes"),2,IF(AND('Proposed Lighting'!AU217=2,AS217=1,BC217="Yes",BF217="Yes"),2,IF(AND('Proposed Lighting'!AU217=2,AS217=1,BC217="Yes",BH217="Yes"),2,IF(AND('Proposed Lighting'!AU217=2,AS217=1,BD217="Yes",BF217="Yes"),2,IF(AND('Proposed Lighting'!AU217=2,AS217=1,BD217="Yes",BH217="Yes"),2,IF(AND('Proposed Lighting'!AU217=3,AS217=1,BC217="Yes",BE217="Yes"),2,IF(AND('Proposed Lighting'!AU217=3,AS217=1,BC217="Yes",BF217="Yes"),2,0)))))))))</f>
        <v>0</v>
      </c>
      <c r="BJ217" s="1025">
        <f t="shared" si="49"/>
        <v>0</v>
      </c>
      <c r="BK217">
        <f>IF(AND('Proposed Lighting'!BC217=22,'Lighting Controls'!N217=1),0,IF(ISNUMBER(SEARCH("LED",G217)),1,0))</f>
        <v>0</v>
      </c>
    </row>
    <row r="218" spans="1:63" ht="34.5" customHeight="1">
      <c r="A218" s="917">
        <v>210</v>
      </c>
      <c r="B218" s="1828" t="str">
        <f>IF('Proposed Lighting'!B218="","",'Proposed Lighting'!B218)</f>
        <v/>
      </c>
      <c r="C218" s="1828"/>
      <c r="D218" s="1828"/>
      <c r="E218" s="1245">
        <f>'Proposed Lighting'!AA218</f>
        <v>0</v>
      </c>
      <c r="F218" s="1245">
        <f t="shared" si="42"/>
        <v>0</v>
      </c>
      <c r="G218" s="1830" t="str">
        <f>IF('Proposed Lighting'!T218="","",IF(ISNUMBER(SEARCH("Networked",'Proposed Lighting'!T218)),0,IF(ISNUMBER(SEARCH("Strategies",'Proposed Lighting'!T218)),0,IF(ISNUMBER(SEARCH("Removal",'Proposed Lighting'!T218)),0,'Proposed Lighting'!T218))))</f>
        <v/>
      </c>
      <c r="H218" s="1830"/>
      <c r="I218" s="1830"/>
      <c r="J218" s="1830"/>
      <c r="K218" s="1215"/>
      <c r="L218" s="1246">
        <f t="shared" si="43"/>
        <v>0</v>
      </c>
      <c r="M218" s="1224">
        <f t="shared" si="44"/>
        <v>0</v>
      </c>
      <c r="N218" s="1224">
        <f t="shared" si="45"/>
        <v>0</v>
      </c>
      <c r="O218" s="1825" t="str">
        <f>IF(G218=0,0,IF(ISNA('Proposed Lighting'!AT218),0,'Proposed Lighting'!AT218))</f>
        <v/>
      </c>
      <c r="P218" s="1825"/>
      <c r="Q218" s="1247"/>
      <c r="R218" s="1247"/>
      <c r="S218" s="1247"/>
      <c r="T218" s="1211"/>
      <c r="U218" s="1235">
        <f>IF(K218&gt;0.01,'Proposed Lighting'!CU218,0)</f>
        <v>0</v>
      </c>
      <c r="V218" s="1248">
        <f>IF('Proposed Lighting'!CF218=1,0,IF('Proposed Lighting'!AU218=2,0,IF(AND('Proposed Lighting'!AU218=3,'Proposed Lighting'!CF218=0),1,0)))</f>
        <v>0</v>
      </c>
      <c r="W218" s="1836"/>
      <c r="X218" s="1836"/>
      <c r="Y218" s="1836"/>
      <c r="Z218" s="1230" t="str">
        <f t="shared" si="39"/>
        <v/>
      </c>
      <c r="AA218" s="1230">
        <f t="shared" si="40"/>
        <v>0</v>
      </c>
      <c r="AB218" s="1230">
        <f>IF(Q218=0,0,IF(T218=0,0,IF(AA218=0,0,IF(AND(F218=3,V218=0),0,IF(T218=0,0,IF(K218&gt;'Proposed Lighting'!AA218,0,IF('Proposed Lighting'!EJ218&gt;0.01,(K218*O218)*'Proposed Lighting'!EJ218/1000,(K218*O218)*U218/1000)))))))</f>
        <v>0</v>
      </c>
      <c r="AC218" s="1230" t="str">
        <f t="shared" si="46"/>
        <v/>
      </c>
      <c r="AD218" s="1230">
        <f t="shared" si="41"/>
        <v>0</v>
      </c>
      <c r="AE218" s="1230">
        <f>IF(T218=0,0,IF(K218&gt;'Proposed Lighting'!AA218,0,IF(T218&gt;K218,0,IF(AND(AD218&gt;AA218,AA218&gt;0),0,IF(AND(F218&gt;1,W218&lt;0.01),0,IF('Proposed Lighting'!AU218&gt;'Lighting Controls'!F218,0,IF('Proposed Lighting'!AU218&lt;'Lighting Controls'!F218,0,IF(U218=0,0,Summary!AC521))))))))</f>
        <v>0</v>
      </c>
      <c r="AF218" s="1230">
        <f>IF(T218=0,0,IF(AE218=0,0,IF(K218&gt;'Proposed Lighting'!AA218,0,IF(AND(AD218&gt;AA218,AA218&gt;0),0,IF(U218=0,0,Summary!AD521)))))</f>
        <v>0</v>
      </c>
      <c r="AG218" s="1834">
        <f>IF('Proposed Lighting'!AU218=1,0,IF('Proposed Lighting'!CF218=1,0,T218*W218))</f>
        <v>0</v>
      </c>
      <c r="AH218" s="1834"/>
      <c r="AI218" s="1834"/>
      <c r="AJ218" s="1835">
        <f>IF(T218&lt;1,0,IF(K218&gt;'Proposed Lighting'!AA218,0,IF('Proposed Lighting'!CF218=1,0,IF('Proposed Lighting'!AU218=1,0,IF(T218&gt;K218,0,IF(AND(AD218&gt;AA218,AA218&gt;0),0,IF(AND(F218=2,'Proposed Lighting'!AU218=3),0,IF(AND(F218=3,'Proposed Lighting'!AU218=2),0,IF('Proposed Lighting'!CH218=100,0,IF(AND(F218&lt;3,V218=1,AM218=0),0,IF(AND(F218&gt;1,AF218&lt;1,AN218&lt;1),0,IF(AND(F218&gt;1,AE218&lt;0.69,AF218&lt;1,AN218&lt;1),0,IF(ISERROR(AB218-AC218),"",AB218-AC218)))))))))))))</f>
        <v>0</v>
      </c>
      <c r="AK218" s="1835"/>
      <c r="AL218" s="1835"/>
      <c r="AM218" s="1216">
        <f>IF(Q218=0,0,IF(T218=0,0,IF(T218&gt;K218,0,IF(AND(AS218&gt;0.01,BK218=0),0,IF(AND('Proposed Lighting'!DG218=0,'Lighting Controls'!Z218=0.35),0,IF(AND(T218&lt;=K218,AA218&gt;=AD218,'Proposed Lighting'!AU218=2),VLOOKUP(Q218,$AY$9:$AZ$15,2,FALSE),IF(AND(T218&lt;=K218,AA218&gt;=AD218,'Proposed Lighting'!AU218=3),VLOOKUP(Q218,$AY$17:$AZ$23,2,FALSE))))))))</f>
        <v>0</v>
      </c>
      <c r="AN218" s="1248">
        <f>IF(T218=0,0,IF(K218&gt;'Proposed Lighting'!AA218,0,IF(AE218=0,0,IF(AND(AD218&gt;AA218,AA218&gt;0),0,IF(U218=0,0,Summary!AE521)))))</f>
        <v>0</v>
      </c>
      <c r="AO218" s="1248">
        <f t="shared" si="50"/>
        <v>0</v>
      </c>
      <c r="AP218" s="1249">
        <f>IF('Proposed Lighting'!AU218=1,0,IF(K218=0,0,IF(T218&gt;K218,0,IF(G218=0,0,IF(K218&gt;'Proposed Lighting'!AA218,0,IF(AND(AD218&gt;AA218,AA218&gt;0),0,IF(AND('Proposed Lighting'!AU218=3,AM218=0.5),0,IF(AND(AM218&gt;0,AS218&gt;0,BI218&lt;2),0,IF('Proposed Lighting'!CH218=100,0,IF(AV218=1,0,IF(AND(AM218=35,M218+N218&lt;2),0,AM218)))))))))))</f>
        <v>0</v>
      </c>
      <c r="AQ218" s="1249" t="str">
        <f>IFERROR(ROUND(IF(Q218="","",IF('Proposed Lighting'!$X$4=0,0,IF(AND(AM218=35,M218+N218&lt;2),0,IF(T218&gt;K218,0,IF('Proposed Lighting'!AU218=1,0,IF(AJ218=0,0,IF(AND('Proposed Lighting'!AU218=3,AM218=0.5),0,IF(AND(AD218=75,AP218=0,AV218=0),0,IF(AP218&gt;0.01,AP218*T218,IF(AND(F218&gt;1,W218&lt;0.01),0,IF(AND(F218&gt;1,AO218=0),0,IF(AND('Proposed Lighting'!BC218=22,AV218=0),0,IF(AND(AM218&gt;0,AS218&gt;0,BI218&lt;2),0,IF(AND(AS218&gt;0.01,BK218=0),0,IF(AND(AO218=TRUE,AV218=1,F218=3),MIN(AJ218*0.08,L218),IF(AP218&gt;0.01,AP218*T218,IF(AND(AO218=TRUE,AV218=1,F218=2),MIN(AJ218*0.1,L218)))))))))))))))))),2),"")</f>
        <v/>
      </c>
      <c r="AR218" s="1250">
        <f>IF(Q218=0,0,IF('Proposed Lighting'!$X$4=0,0,IF(AND(AM218&gt;0.01,AQ218&gt;0.01),0,IF('Proposed Lighting'!AU218=1,"Missing Interior or Exterior Selection",IF('Proposed Lighting'!CF218=1,"Selection does not match",IF(K218&gt;'Proposed Lighting'!AA218,"Quantity controlled does not match proposed lighting quantity",IF(T218&gt;K218,"Quantity of sensors exceeds proposed lighting quantity",IF(AND(F218&gt;1,'Proposed Lighting'!AU218&lt;&gt;F218),"Selection does not match",IF(AND(AD218&gt;AA218,AA218&gt;0),"Does not meet minimum connected load",IF(AND(O218&gt;0,AS218&gt;0,BK218&gt;0,'Proposed Lighting'!CH218=0),"Select Control Strategies",IF(AND(AC218&gt;0.1,AJ218=0,AQ218=0),"Does not meet incentive criteria",0)))))))))))</f>
        <v>0</v>
      </c>
      <c r="AS218" s="1224">
        <f>IF('Proposed Lighting'!CH218=100,0,IF(ISNUMBER(SEARCH("multiple",Q218)),1,0))</f>
        <v>0</v>
      </c>
      <c r="AT218" s="451">
        <f t="shared" si="47"/>
        <v>0</v>
      </c>
      <c r="AU218" s="451">
        <f t="shared" si="48"/>
        <v>0</v>
      </c>
      <c r="AV218" s="1222">
        <f>IF(ISNUMBER(SEARCH("Networked",'Proposed Lighting'!T218)),0,IF(ISNUMBER(SEARCH("Strategies",'Proposed Lighting'!T218)),0,IF(ISNUMBER(SEARCH("Removal",'Proposed Lighting'!T218)),0,IF(ISNUMBER(SEARCH("non-standard",Q218)),1,0))))</f>
        <v>0</v>
      </c>
      <c r="AW218" s="451">
        <f t="shared" si="51"/>
        <v>0</v>
      </c>
      <c r="AX218" s="451"/>
      <c r="AY218" s="451"/>
      <c r="AZ218" s="451"/>
      <c r="BA218" s="451"/>
      <c r="BB218" s="451"/>
      <c r="BC218" s="1215"/>
      <c r="BD218" s="1215"/>
      <c r="BE218" s="1215"/>
      <c r="BF218" s="1215"/>
      <c r="BG218" s="1215"/>
      <c r="BH218" s="1215"/>
      <c r="BI218">
        <f>IF(AND(AS218=1,BC218="No",BD218="Yes",BE218="Yes",BF218="No",BH218="No"),0,IF(AND('Proposed Lighting'!AU218=2,AS218=1,BC218="Yes",BD218="Yes"),2,IF(AND('Proposed Lighting'!AU218=2,AS218=1,BC218="Yes",BE218="Yes"),2,IF(AND('Proposed Lighting'!AU218=2,AS218=1,BC218="Yes",BF218="Yes"),2,IF(AND('Proposed Lighting'!AU218=2,AS218=1,BC218="Yes",BH218="Yes"),2,IF(AND('Proposed Lighting'!AU218=2,AS218=1,BD218="Yes",BF218="Yes"),2,IF(AND('Proposed Lighting'!AU218=2,AS218=1,BD218="Yes",BH218="Yes"),2,IF(AND('Proposed Lighting'!AU218=3,AS218=1,BC218="Yes",BE218="Yes"),2,IF(AND('Proposed Lighting'!AU218=3,AS218=1,BC218="Yes",BF218="Yes"),2,0)))))))))</f>
        <v>0</v>
      </c>
      <c r="BJ218" s="1025">
        <f t="shared" si="49"/>
        <v>0</v>
      </c>
      <c r="BK218">
        <f>IF(AND('Proposed Lighting'!BC218=22,'Lighting Controls'!N218=1),0,IF(ISNUMBER(SEARCH("LED",G218)),1,0))</f>
        <v>0</v>
      </c>
    </row>
    <row r="219" spans="1:63" ht="34.5" customHeight="1">
      <c r="A219" s="917">
        <v>211</v>
      </c>
      <c r="B219" s="1828" t="str">
        <f>IF('Proposed Lighting'!B219="","",'Proposed Lighting'!B219)</f>
        <v/>
      </c>
      <c r="C219" s="1828"/>
      <c r="D219" s="1828"/>
      <c r="E219" s="1245">
        <f>'Proposed Lighting'!AA219</f>
        <v>0</v>
      </c>
      <c r="F219" s="1245">
        <f t="shared" si="42"/>
        <v>0</v>
      </c>
      <c r="G219" s="1830" t="str">
        <f>IF('Proposed Lighting'!T219="","",IF(ISNUMBER(SEARCH("Networked",'Proposed Lighting'!T219)),0,IF(ISNUMBER(SEARCH("Strategies",'Proposed Lighting'!T219)),0,IF(ISNUMBER(SEARCH("Removal",'Proposed Lighting'!T219)),0,'Proposed Lighting'!T219))))</f>
        <v/>
      </c>
      <c r="H219" s="1830"/>
      <c r="I219" s="1830"/>
      <c r="J219" s="1830"/>
      <c r="K219" s="1215"/>
      <c r="L219" s="1246">
        <f t="shared" si="43"/>
        <v>0</v>
      </c>
      <c r="M219" s="1224">
        <f t="shared" si="44"/>
        <v>0</v>
      </c>
      <c r="N219" s="1224">
        <f t="shared" si="45"/>
        <v>0</v>
      </c>
      <c r="O219" s="1825" t="str">
        <f>IF(G219=0,0,IF(ISNA('Proposed Lighting'!AT219),0,'Proposed Lighting'!AT219))</f>
        <v/>
      </c>
      <c r="P219" s="1825"/>
      <c r="Q219" s="1247"/>
      <c r="R219" s="1247"/>
      <c r="S219" s="1247"/>
      <c r="T219" s="1211"/>
      <c r="U219" s="1235">
        <f>IF(K219&gt;0.01,'Proposed Lighting'!CU219,0)</f>
        <v>0</v>
      </c>
      <c r="V219" s="1248">
        <f>IF('Proposed Lighting'!CF219=1,0,IF('Proposed Lighting'!AU219=2,0,IF(AND('Proposed Lighting'!AU219=3,'Proposed Lighting'!CF219=0),1,0)))</f>
        <v>0</v>
      </c>
      <c r="W219" s="1836"/>
      <c r="X219" s="1836"/>
      <c r="Y219" s="1836"/>
      <c r="Z219" s="1230" t="str">
        <f t="shared" si="39"/>
        <v/>
      </c>
      <c r="AA219" s="1230">
        <f t="shared" si="40"/>
        <v>0</v>
      </c>
      <c r="AB219" s="1230">
        <f>IF(Q219=0,0,IF(T219=0,0,IF(AA219=0,0,IF(AND(F219=3,V219=0),0,IF(T219=0,0,IF(K219&gt;'Proposed Lighting'!AA219,0,IF('Proposed Lighting'!EJ219&gt;0.01,(K219*O219)*'Proposed Lighting'!EJ219/1000,(K219*O219)*U219/1000)))))))</f>
        <v>0</v>
      </c>
      <c r="AC219" s="1230" t="str">
        <f t="shared" si="46"/>
        <v/>
      </c>
      <c r="AD219" s="1230">
        <f t="shared" si="41"/>
        <v>0</v>
      </c>
      <c r="AE219" s="1230">
        <f>IF(T219=0,0,IF(K219&gt;'Proposed Lighting'!AA219,0,IF(T219&gt;K219,0,IF(AND(AD219&gt;AA219,AA219&gt;0),0,IF(AND(F219&gt;1,W219&lt;0.01),0,IF('Proposed Lighting'!AU219&gt;'Lighting Controls'!F219,0,IF('Proposed Lighting'!AU219&lt;'Lighting Controls'!F219,0,IF(U219=0,0,Summary!AC522))))))))</f>
        <v>0</v>
      </c>
      <c r="AF219" s="1230">
        <f>IF(T219=0,0,IF(AE219=0,0,IF(K219&gt;'Proposed Lighting'!AA219,0,IF(AND(AD219&gt;AA219,AA219&gt;0),0,IF(U219=0,0,Summary!AD522)))))</f>
        <v>0</v>
      </c>
      <c r="AG219" s="1834">
        <f>IF('Proposed Lighting'!AU219=1,0,IF('Proposed Lighting'!CF219=1,0,T219*W219))</f>
        <v>0</v>
      </c>
      <c r="AH219" s="1834"/>
      <c r="AI219" s="1834"/>
      <c r="AJ219" s="1835">
        <f>IF(T219&lt;1,0,IF(K219&gt;'Proposed Lighting'!AA219,0,IF('Proposed Lighting'!CF219=1,0,IF('Proposed Lighting'!AU219=1,0,IF(T219&gt;K219,0,IF(AND(AD219&gt;AA219,AA219&gt;0),0,IF(AND(F219=2,'Proposed Lighting'!AU219=3),0,IF(AND(F219=3,'Proposed Lighting'!AU219=2),0,IF('Proposed Lighting'!CH219=100,0,IF(AND(F219&lt;3,V219=1,AM219=0),0,IF(AND(F219&gt;1,AF219&lt;1,AN219&lt;1),0,IF(AND(F219&gt;1,AE219&lt;0.69,AF219&lt;1,AN219&lt;1),0,IF(ISERROR(AB219-AC219),"",AB219-AC219)))))))))))))</f>
        <v>0</v>
      </c>
      <c r="AK219" s="1835"/>
      <c r="AL219" s="1835"/>
      <c r="AM219" s="1216">
        <f>IF(Q219=0,0,IF(T219=0,0,IF(T219&gt;K219,0,IF(AND(AS219&gt;0.01,BK219=0),0,IF(AND('Proposed Lighting'!DG219=0,'Lighting Controls'!Z219=0.35),0,IF(AND(T219&lt;=K219,AA219&gt;=AD219,'Proposed Lighting'!AU219=2),VLOOKUP(Q219,$AY$9:$AZ$15,2,FALSE),IF(AND(T219&lt;=K219,AA219&gt;=AD219,'Proposed Lighting'!AU219=3),VLOOKUP(Q219,$AY$17:$AZ$23,2,FALSE))))))))</f>
        <v>0</v>
      </c>
      <c r="AN219" s="1248">
        <f>IF(T219=0,0,IF(K219&gt;'Proposed Lighting'!AA219,0,IF(AE219=0,0,IF(AND(AD219&gt;AA219,AA219&gt;0),0,IF(U219=0,0,Summary!AE522)))))</f>
        <v>0</v>
      </c>
      <c r="AO219" s="1248">
        <f t="shared" si="50"/>
        <v>0</v>
      </c>
      <c r="AP219" s="1249">
        <f>IF('Proposed Lighting'!AU219=1,0,IF(K219=0,0,IF(T219&gt;K219,0,IF(G219=0,0,IF(K219&gt;'Proposed Lighting'!AA219,0,IF(AND(AD219&gt;AA219,AA219&gt;0),0,IF(AND('Proposed Lighting'!AU219=3,AM219=0.5),0,IF(AND(AM219&gt;0,AS219&gt;0,BI219&lt;2),0,IF('Proposed Lighting'!CH219=100,0,IF(AV219=1,0,IF(AND(AM219=35,M219+N219&lt;2),0,AM219)))))))))))</f>
        <v>0</v>
      </c>
      <c r="AQ219" s="1249" t="str">
        <f>IFERROR(ROUND(IF(Q219="","",IF('Proposed Lighting'!$X$4=0,0,IF(AND(AM219=35,M219+N219&lt;2),0,IF(T219&gt;K219,0,IF('Proposed Lighting'!AU219=1,0,IF(AJ219=0,0,IF(AND('Proposed Lighting'!AU219=3,AM219=0.5),0,IF(AND(AD219=75,AP219=0,AV219=0),0,IF(AP219&gt;0.01,AP219*T219,IF(AND(F219&gt;1,W219&lt;0.01),0,IF(AND(F219&gt;1,AO219=0),0,IF(AND('Proposed Lighting'!BC219=22,AV219=0),0,IF(AND(AM219&gt;0,AS219&gt;0,BI219&lt;2),0,IF(AND(AS219&gt;0.01,BK219=0),0,IF(AND(AO219=TRUE,AV219=1,F219=3),MIN(AJ219*0.08,L219),IF(AP219&gt;0.01,AP219*T219,IF(AND(AO219=TRUE,AV219=1,F219=2),MIN(AJ219*0.1,L219)))))))))))))))))),2),"")</f>
        <v/>
      </c>
      <c r="AR219" s="1250">
        <f>IF(Q219=0,0,IF('Proposed Lighting'!$X$4=0,0,IF(AND(AM219&gt;0.01,AQ219&gt;0.01),0,IF('Proposed Lighting'!AU219=1,"Missing Interior or Exterior Selection",IF('Proposed Lighting'!CF219=1,"Selection does not match",IF(K219&gt;'Proposed Lighting'!AA219,"Quantity controlled does not match proposed lighting quantity",IF(T219&gt;K219,"Quantity of sensors exceeds proposed lighting quantity",IF(AND(F219&gt;1,'Proposed Lighting'!AU219&lt;&gt;F219),"Selection does not match",IF(AND(AD219&gt;AA219,AA219&gt;0),"Does not meet minimum connected load",IF(AND(O219&gt;0,AS219&gt;0,BK219&gt;0,'Proposed Lighting'!CH219=0),"Select Control Strategies",IF(AND(AC219&gt;0.1,AJ219=0,AQ219=0),"Does not meet incentive criteria",0)))))))))))</f>
        <v>0</v>
      </c>
      <c r="AS219" s="1224">
        <f>IF('Proposed Lighting'!CH219=100,0,IF(ISNUMBER(SEARCH("multiple",Q219)),1,0))</f>
        <v>0</v>
      </c>
      <c r="AT219" s="451">
        <f t="shared" si="47"/>
        <v>0</v>
      </c>
      <c r="AU219" s="451">
        <f t="shared" si="48"/>
        <v>0</v>
      </c>
      <c r="AV219" s="1222">
        <f>IF(ISNUMBER(SEARCH("Networked",'Proposed Lighting'!T219)),0,IF(ISNUMBER(SEARCH("Strategies",'Proposed Lighting'!T219)),0,IF(ISNUMBER(SEARCH("Removal",'Proposed Lighting'!T219)),0,IF(ISNUMBER(SEARCH("non-standard",Q219)),1,0))))</f>
        <v>0</v>
      </c>
      <c r="AW219" s="451">
        <f t="shared" si="51"/>
        <v>0</v>
      </c>
      <c r="AX219" s="451"/>
      <c r="AY219" s="451"/>
      <c r="AZ219" s="451"/>
      <c r="BA219" s="451"/>
      <c r="BB219" s="451"/>
      <c r="BC219" s="1215"/>
      <c r="BD219" s="1215"/>
      <c r="BE219" s="1215"/>
      <c r="BF219" s="1215"/>
      <c r="BG219" s="1215"/>
      <c r="BH219" s="1215"/>
      <c r="BI219">
        <f>IF(AND(AS219=1,BC219="No",BD219="Yes",BE219="Yes",BF219="No",BH219="No"),0,IF(AND('Proposed Lighting'!AU219=2,AS219=1,BC219="Yes",BD219="Yes"),2,IF(AND('Proposed Lighting'!AU219=2,AS219=1,BC219="Yes",BE219="Yes"),2,IF(AND('Proposed Lighting'!AU219=2,AS219=1,BC219="Yes",BF219="Yes"),2,IF(AND('Proposed Lighting'!AU219=2,AS219=1,BC219="Yes",BH219="Yes"),2,IF(AND('Proposed Lighting'!AU219=2,AS219=1,BD219="Yes",BF219="Yes"),2,IF(AND('Proposed Lighting'!AU219=2,AS219=1,BD219="Yes",BH219="Yes"),2,IF(AND('Proposed Lighting'!AU219=3,AS219=1,BC219="Yes",BE219="Yes"),2,IF(AND('Proposed Lighting'!AU219=3,AS219=1,BC219="Yes",BF219="Yes"),2,0)))))))))</f>
        <v>0</v>
      </c>
      <c r="BJ219" s="1025">
        <f t="shared" si="49"/>
        <v>0</v>
      </c>
      <c r="BK219">
        <f>IF(AND('Proposed Lighting'!BC219=22,'Lighting Controls'!N219=1),0,IF(ISNUMBER(SEARCH("LED",G219)),1,0))</f>
        <v>0</v>
      </c>
    </row>
    <row r="220" spans="1:63" ht="34.5" customHeight="1">
      <c r="A220" s="917">
        <v>212</v>
      </c>
      <c r="B220" s="1828" t="str">
        <f>IF('Proposed Lighting'!B220="","",'Proposed Lighting'!B220)</f>
        <v/>
      </c>
      <c r="C220" s="1828"/>
      <c r="D220" s="1828"/>
      <c r="E220" s="1245">
        <f>'Proposed Lighting'!AA220</f>
        <v>0</v>
      </c>
      <c r="F220" s="1245">
        <f t="shared" si="42"/>
        <v>0</v>
      </c>
      <c r="G220" s="1830" t="str">
        <f>IF('Proposed Lighting'!T220="","",IF(ISNUMBER(SEARCH("Networked",'Proposed Lighting'!T220)),0,IF(ISNUMBER(SEARCH("Strategies",'Proposed Lighting'!T220)),0,IF(ISNUMBER(SEARCH("Removal",'Proposed Lighting'!T220)),0,'Proposed Lighting'!T220))))</f>
        <v/>
      </c>
      <c r="H220" s="1830"/>
      <c r="I220" s="1830"/>
      <c r="J220" s="1830"/>
      <c r="K220" s="1215"/>
      <c r="L220" s="1246">
        <f t="shared" si="43"/>
        <v>0</v>
      </c>
      <c r="M220" s="1224">
        <f t="shared" si="44"/>
        <v>0</v>
      </c>
      <c r="N220" s="1224">
        <f t="shared" si="45"/>
        <v>0</v>
      </c>
      <c r="O220" s="1825" t="str">
        <f>IF(G220=0,0,IF(ISNA('Proposed Lighting'!AT220),0,'Proposed Lighting'!AT220))</f>
        <v/>
      </c>
      <c r="P220" s="1825"/>
      <c r="Q220" s="1247"/>
      <c r="R220" s="1247"/>
      <c r="S220" s="1247"/>
      <c r="T220" s="1211"/>
      <c r="U220" s="1235">
        <f>IF(K220&gt;0.01,'Proposed Lighting'!CU220,0)</f>
        <v>0</v>
      </c>
      <c r="V220" s="1248">
        <f>IF('Proposed Lighting'!CF220=1,0,IF('Proposed Lighting'!AU220=2,0,IF(AND('Proposed Lighting'!AU220=3,'Proposed Lighting'!CF220=0),1,0)))</f>
        <v>0</v>
      </c>
      <c r="W220" s="1836"/>
      <c r="X220" s="1836"/>
      <c r="Y220" s="1836"/>
      <c r="Z220" s="1230" t="str">
        <f t="shared" si="39"/>
        <v/>
      </c>
      <c r="AA220" s="1230">
        <f t="shared" si="40"/>
        <v>0</v>
      </c>
      <c r="AB220" s="1230">
        <f>IF(Q220=0,0,IF(T220=0,0,IF(AA220=0,0,IF(AND(F220=3,V220=0),0,IF(T220=0,0,IF(K220&gt;'Proposed Lighting'!AA220,0,IF('Proposed Lighting'!EJ220&gt;0.01,(K220*O220)*'Proposed Lighting'!EJ220/1000,(K220*O220)*U220/1000)))))))</f>
        <v>0</v>
      </c>
      <c r="AC220" s="1230" t="str">
        <f t="shared" si="46"/>
        <v/>
      </c>
      <c r="AD220" s="1230">
        <f t="shared" si="41"/>
        <v>0</v>
      </c>
      <c r="AE220" s="1230">
        <f>IF(T220=0,0,IF(K220&gt;'Proposed Lighting'!AA220,0,IF(T220&gt;K220,0,IF(AND(AD220&gt;AA220,AA220&gt;0),0,IF(AND(F220&gt;1,W220&lt;0.01),0,IF('Proposed Lighting'!AU220&gt;'Lighting Controls'!F220,0,IF('Proposed Lighting'!AU220&lt;'Lighting Controls'!F220,0,IF(U220=0,0,Summary!AC523))))))))</f>
        <v>0</v>
      </c>
      <c r="AF220" s="1230">
        <f>IF(T220=0,0,IF(AE220=0,0,IF(K220&gt;'Proposed Lighting'!AA220,0,IF(AND(AD220&gt;AA220,AA220&gt;0),0,IF(U220=0,0,Summary!AD523)))))</f>
        <v>0</v>
      </c>
      <c r="AG220" s="1834">
        <f>IF('Proposed Lighting'!AU220=1,0,IF('Proposed Lighting'!CF220=1,0,T220*W220))</f>
        <v>0</v>
      </c>
      <c r="AH220" s="1834"/>
      <c r="AI220" s="1834"/>
      <c r="AJ220" s="1835">
        <f>IF(T220&lt;1,0,IF(K220&gt;'Proposed Lighting'!AA220,0,IF('Proposed Lighting'!CF220=1,0,IF('Proposed Lighting'!AU220=1,0,IF(T220&gt;K220,0,IF(AND(AD220&gt;AA220,AA220&gt;0),0,IF(AND(F220=2,'Proposed Lighting'!AU220=3),0,IF(AND(F220=3,'Proposed Lighting'!AU220=2),0,IF('Proposed Lighting'!CH220=100,0,IF(AND(F220&lt;3,V220=1,AM220=0),0,IF(AND(F220&gt;1,AF220&lt;1,AN220&lt;1),0,IF(AND(F220&gt;1,AE220&lt;0.69,AF220&lt;1,AN220&lt;1),0,IF(ISERROR(AB220-AC220),"",AB220-AC220)))))))))))))</f>
        <v>0</v>
      </c>
      <c r="AK220" s="1835"/>
      <c r="AL220" s="1835"/>
      <c r="AM220" s="1216">
        <f>IF(Q220=0,0,IF(T220=0,0,IF(T220&gt;K220,0,IF(AND(AS220&gt;0.01,BK220=0),0,IF(AND('Proposed Lighting'!DG220=0,'Lighting Controls'!Z220=0.35),0,IF(AND(T220&lt;=K220,AA220&gt;=AD220,'Proposed Lighting'!AU220=2),VLOOKUP(Q220,$AY$9:$AZ$15,2,FALSE),IF(AND(T220&lt;=K220,AA220&gt;=AD220,'Proposed Lighting'!AU220=3),VLOOKUP(Q220,$AY$17:$AZ$23,2,FALSE))))))))</f>
        <v>0</v>
      </c>
      <c r="AN220" s="1248">
        <f>IF(T220=0,0,IF(K220&gt;'Proposed Lighting'!AA220,0,IF(AE220=0,0,IF(AND(AD220&gt;AA220,AA220&gt;0),0,IF(U220=0,0,Summary!AE523)))))</f>
        <v>0</v>
      </c>
      <c r="AO220" s="1248">
        <f t="shared" si="50"/>
        <v>0</v>
      </c>
      <c r="AP220" s="1249">
        <f>IF('Proposed Lighting'!AU220=1,0,IF(K220=0,0,IF(T220&gt;K220,0,IF(G220=0,0,IF(K220&gt;'Proposed Lighting'!AA220,0,IF(AND(AD220&gt;AA220,AA220&gt;0),0,IF(AND('Proposed Lighting'!AU220=3,AM220=0.5),0,IF(AND(AM220&gt;0,AS220&gt;0,BI220&lt;2),0,IF('Proposed Lighting'!CH220=100,0,IF(AV220=1,0,IF(AND(AM220=35,M220+N220&lt;2),0,AM220)))))))))))</f>
        <v>0</v>
      </c>
      <c r="AQ220" s="1249" t="str">
        <f>IFERROR(ROUND(IF(Q220="","",IF('Proposed Lighting'!$X$4=0,0,IF(AND(AM220=35,M220+N220&lt;2),0,IF(T220&gt;K220,0,IF('Proposed Lighting'!AU220=1,0,IF(AJ220=0,0,IF(AND('Proposed Lighting'!AU220=3,AM220=0.5),0,IF(AND(AD220=75,AP220=0,AV220=0),0,IF(AP220&gt;0.01,AP220*T220,IF(AND(F220&gt;1,W220&lt;0.01),0,IF(AND(F220&gt;1,AO220=0),0,IF(AND('Proposed Lighting'!BC220=22,AV220=0),0,IF(AND(AM220&gt;0,AS220&gt;0,BI220&lt;2),0,IF(AND(AS220&gt;0.01,BK220=0),0,IF(AND(AO220=TRUE,AV220=1,F220=3),MIN(AJ220*0.08,L220),IF(AP220&gt;0.01,AP220*T220,IF(AND(AO220=TRUE,AV220=1,F220=2),MIN(AJ220*0.1,L220)))))))))))))))))),2),"")</f>
        <v/>
      </c>
      <c r="AR220" s="1250">
        <f>IF(Q220=0,0,IF('Proposed Lighting'!$X$4=0,0,IF(AND(AM220&gt;0.01,AQ220&gt;0.01),0,IF('Proposed Lighting'!AU220=1,"Missing Interior or Exterior Selection",IF('Proposed Lighting'!CF220=1,"Selection does not match",IF(K220&gt;'Proposed Lighting'!AA220,"Quantity controlled does not match proposed lighting quantity",IF(T220&gt;K220,"Quantity of sensors exceeds proposed lighting quantity",IF(AND(F220&gt;1,'Proposed Lighting'!AU220&lt;&gt;F220),"Selection does not match",IF(AND(AD220&gt;AA220,AA220&gt;0),"Does not meet minimum connected load",IF(AND(O220&gt;0,AS220&gt;0,BK220&gt;0,'Proposed Lighting'!CH220=0),"Select Control Strategies",IF(AND(AC220&gt;0.1,AJ220=0,AQ220=0),"Does not meet incentive criteria",0)))))))))))</f>
        <v>0</v>
      </c>
      <c r="AS220" s="1224">
        <f>IF('Proposed Lighting'!CH220=100,0,IF(ISNUMBER(SEARCH("multiple",Q220)),1,0))</f>
        <v>0</v>
      </c>
      <c r="AT220" s="451">
        <f t="shared" si="47"/>
        <v>0</v>
      </c>
      <c r="AU220" s="451">
        <f t="shared" si="48"/>
        <v>0</v>
      </c>
      <c r="AV220" s="1222">
        <f>IF(ISNUMBER(SEARCH("Networked",'Proposed Lighting'!T220)),0,IF(ISNUMBER(SEARCH("Strategies",'Proposed Lighting'!T220)),0,IF(ISNUMBER(SEARCH("Removal",'Proposed Lighting'!T220)),0,IF(ISNUMBER(SEARCH("non-standard",Q220)),1,0))))</f>
        <v>0</v>
      </c>
      <c r="AW220" s="451">
        <f t="shared" si="51"/>
        <v>0</v>
      </c>
      <c r="AX220" s="451"/>
      <c r="AY220" s="451"/>
      <c r="AZ220" s="451"/>
      <c r="BA220" s="451"/>
      <c r="BB220" s="451"/>
      <c r="BC220" s="1215"/>
      <c r="BD220" s="1215"/>
      <c r="BE220" s="1215"/>
      <c r="BF220" s="1215"/>
      <c r="BG220" s="1215"/>
      <c r="BH220" s="1215"/>
      <c r="BI220">
        <f>IF(AND(AS220=1,BC220="No",BD220="Yes",BE220="Yes",BF220="No",BH220="No"),0,IF(AND('Proposed Lighting'!AU220=2,AS220=1,BC220="Yes",BD220="Yes"),2,IF(AND('Proposed Lighting'!AU220=2,AS220=1,BC220="Yes",BE220="Yes"),2,IF(AND('Proposed Lighting'!AU220=2,AS220=1,BC220="Yes",BF220="Yes"),2,IF(AND('Proposed Lighting'!AU220=2,AS220=1,BC220="Yes",BH220="Yes"),2,IF(AND('Proposed Lighting'!AU220=2,AS220=1,BD220="Yes",BF220="Yes"),2,IF(AND('Proposed Lighting'!AU220=2,AS220=1,BD220="Yes",BH220="Yes"),2,IF(AND('Proposed Lighting'!AU220=3,AS220=1,BC220="Yes",BE220="Yes"),2,IF(AND('Proposed Lighting'!AU220=3,AS220=1,BC220="Yes",BF220="Yes"),2,0)))))))))</f>
        <v>0</v>
      </c>
      <c r="BJ220" s="1025">
        <f t="shared" si="49"/>
        <v>0</v>
      </c>
      <c r="BK220">
        <f>IF(AND('Proposed Lighting'!BC220=22,'Lighting Controls'!N220=1),0,IF(ISNUMBER(SEARCH("LED",G220)),1,0))</f>
        <v>0</v>
      </c>
    </row>
    <row r="221" spans="1:63" ht="34.5" customHeight="1">
      <c r="A221" s="917">
        <v>213</v>
      </c>
      <c r="B221" s="1828" t="str">
        <f>IF('Proposed Lighting'!B221="","",'Proposed Lighting'!B221)</f>
        <v/>
      </c>
      <c r="C221" s="1828"/>
      <c r="D221" s="1828"/>
      <c r="E221" s="1245">
        <f>'Proposed Lighting'!AA221</f>
        <v>0</v>
      </c>
      <c r="F221" s="1245">
        <f t="shared" si="42"/>
        <v>0</v>
      </c>
      <c r="G221" s="1830" t="str">
        <f>IF('Proposed Lighting'!T221="","",IF(ISNUMBER(SEARCH("Networked",'Proposed Lighting'!T221)),0,IF(ISNUMBER(SEARCH("Strategies",'Proposed Lighting'!T221)),0,IF(ISNUMBER(SEARCH("Removal",'Proposed Lighting'!T221)),0,'Proposed Lighting'!T221))))</f>
        <v/>
      </c>
      <c r="H221" s="1830"/>
      <c r="I221" s="1830"/>
      <c r="J221" s="1830"/>
      <c r="K221" s="1215"/>
      <c r="L221" s="1246">
        <f t="shared" si="43"/>
        <v>0</v>
      </c>
      <c r="M221" s="1224">
        <f t="shared" si="44"/>
        <v>0</v>
      </c>
      <c r="N221" s="1224">
        <f t="shared" si="45"/>
        <v>0</v>
      </c>
      <c r="O221" s="1825" t="str">
        <f>IF(G221=0,0,IF(ISNA('Proposed Lighting'!AT221),0,'Proposed Lighting'!AT221))</f>
        <v/>
      </c>
      <c r="P221" s="1825"/>
      <c r="Q221" s="1247"/>
      <c r="R221" s="1247"/>
      <c r="S221" s="1247"/>
      <c r="T221" s="1211"/>
      <c r="U221" s="1235">
        <f>IF(K221&gt;0.01,'Proposed Lighting'!CU221,0)</f>
        <v>0</v>
      </c>
      <c r="V221" s="1248">
        <f>IF('Proposed Lighting'!CF221=1,0,IF('Proposed Lighting'!AU221=2,0,IF(AND('Proposed Lighting'!AU221=3,'Proposed Lighting'!CF221=0),1,0)))</f>
        <v>0</v>
      </c>
      <c r="W221" s="1836"/>
      <c r="X221" s="1836"/>
      <c r="Y221" s="1836"/>
      <c r="Z221" s="1230" t="str">
        <f t="shared" si="39"/>
        <v/>
      </c>
      <c r="AA221" s="1230">
        <f t="shared" si="40"/>
        <v>0</v>
      </c>
      <c r="AB221" s="1230">
        <f>IF(Q221=0,0,IF(T221=0,0,IF(AA221=0,0,IF(AND(F221=3,V221=0),0,IF(T221=0,0,IF(K221&gt;'Proposed Lighting'!AA221,0,IF('Proposed Lighting'!EJ221&gt;0.01,(K221*O221)*'Proposed Lighting'!EJ221/1000,(K221*O221)*U221/1000)))))))</f>
        <v>0</v>
      </c>
      <c r="AC221" s="1230" t="str">
        <f t="shared" si="46"/>
        <v/>
      </c>
      <c r="AD221" s="1230">
        <f t="shared" si="41"/>
        <v>0</v>
      </c>
      <c r="AE221" s="1230">
        <f>IF(T221=0,0,IF(K221&gt;'Proposed Lighting'!AA221,0,IF(T221&gt;K221,0,IF(AND(AD221&gt;AA221,AA221&gt;0),0,IF(AND(F221&gt;1,W221&lt;0.01),0,IF('Proposed Lighting'!AU221&gt;'Lighting Controls'!F221,0,IF('Proposed Lighting'!AU221&lt;'Lighting Controls'!F221,0,IF(U221=0,0,Summary!AC524))))))))</f>
        <v>0</v>
      </c>
      <c r="AF221" s="1230">
        <f>IF(T221=0,0,IF(AE221=0,0,IF(K221&gt;'Proposed Lighting'!AA221,0,IF(AND(AD221&gt;AA221,AA221&gt;0),0,IF(U221=0,0,Summary!AD524)))))</f>
        <v>0</v>
      </c>
      <c r="AG221" s="1834">
        <f>IF('Proposed Lighting'!AU221=1,0,IF('Proposed Lighting'!CF221=1,0,T221*W221))</f>
        <v>0</v>
      </c>
      <c r="AH221" s="1834"/>
      <c r="AI221" s="1834"/>
      <c r="AJ221" s="1835">
        <f>IF(T221&lt;1,0,IF(K221&gt;'Proposed Lighting'!AA221,0,IF('Proposed Lighting'!CF221=1,0,IF('Proposed Lighting'!AU221=1,0,IF(T221&gt;K221,0,IF(AND(AD221&gt;AA221,AA221&gt;0),0,IF(AND(F221=2,'Proposed Lighting'!AU221=3),0,IF(AND(F221=3,'Proposed Lighting'!AU221=2),0,IF('Proposed Lighting'!CH221=100,0,IF(AND(F221&lt;3,V221=1,AM221=0),0,IF(AND(F221&gt;1,AF221&lt;1,AN221&lt;1),0,IF(AND(F221&gt;1,AE221&lt;0.69,AF221&lt;1,AN221&lt;1),0,IF(ISERROR(AB221-AC221),"",AB221-AC221)))))))))))))</f>
        <v>0</v>
      </c>
      <c r="AK221" s="1835"/>
      <c r="AL221" s="1835"/>
      <c r="AM221" s="1216">
        <f>IF(Q221=0,0,IF(T221=0,0,IF(T221&gt;K221,0,IF(AND(AS221&gt;0.01,BK221=0),0,IF(AND('Proposed Lighting'!DG221=0,'Lighting Controls'!Z221=0.35),0,IF(AND(T221&lt;=K221,AA221&gt;=AD221,'Proposed Lighting'!AU221=2),VLOOKUP(Q221,$AY$9:$AZ$15,2,FALSE),IF(AND(T221&lt;=K221,AA221&gt;=AD221,'Proposed Lighting'!AU221=3),VLOOKUP(Q221,$AY$17:$AZ$23,2,FALSE))))))))</f>
        <v>0</v>
      </c>
      <c r="AN221" s="1248">
        <f>IF(T221=0,0,IF(K221&gt;'Proposed Lighting'!AA221,0,IF(AE221=0,0,IF(AND(AD221&gt;AA221,AA221&gt;0),0,IF(U221=0,0,Summary!AE524)))))</f>
        <v>0</v>
      </c>
      <c r="AO221" s="1248">
        <f t="shared" si="50"/>
        <v>0</v>
      </c>
      <c r="AP221" s="1249">
        <f>IF('Proposed Lighting'!AU221=1,0,IF(K221=0,0,IF(T221&gt;K221,0,IF(G221=0,0,IF(K221&gt;'Proposed Lighting'!AA221,0,IF(AND(AD221&gt;AA221,AA221&gt;0),0,IF(AND('Proposed Lighting'!AU221=3,AM221=0.5),0,IF(AND(AM221&gt;0,AS221&gt;0,BI221&lt;2),0,IF('Proposed Lighting'!CH221=100,0,IF(AV221=1,0,IF(AND(AM221=35,M221+N221&lt;2),0,AM221)))))))))))</f>
        <v>0</v>
      </c>
      <c r="AQ221" s="1249" t="str">
        <f>IFERROR(ROUND(IF(Q221="","",IF('Proposed Lighting'!$X$4=0,0,IF(AND(AM221=35,M221+N221&lt;2),0,IF(T221&gt;K221,0,IF('Proposed Lighting'!AU221=1,0,IF(AJ221=0,0,IF(AND('Proposed Lighting'!AU221=3,AM221=0.5),0,IF(AND(AD221=75,AP221=0,AV221=0),0,IF(AP221&gt;0.01,AP221*T221,IF(AND(F221&gt;1,W221&lt;0.01),0,IF(AND(F221&gt;1,AO221=0),0,IF(AND('Proposed Lighting'!BC221=22,AV221=0),0,IF(AND(AM221&gt;0,AS221&gt;0,BI221&lt;2),0,IF(AND(AS221&gt;0.01,BK221=0),0,IF(AND(AO221=TRUE,AV221=1,F221=3),MIN(AJ221*0.08,L221),IF(AP221&gt;0.01,AP221*T221,IF(AND(AO221=TRUE,AV221=1,F221=2),MIN(AJ221*0.1,L221)))))))))))))))))),2),"")</f>
        <v/>
      </c>
      <c r="AR221" s="1250">
        <f>IF(Q221=0,0,IF('Proposed Lighting'!$X$4=0,0,IF(AND(AM221&gt;0.01,AQ221&gt;0.01),0,IF('Proposed Lighting'!AU221=1,"Missing Interior or Exterior Selection",IF('Proposed Lighting'!CF221=1,"Selection does not match",IF(K221&gt;'Proposed Lighting'!AA221,"Quantity controlled does not match proposed lighting quantity",IF(T221&gt;K221,"Quantity of sensors exceeds proposed lighting quantity",IF(AND(F221&gt;1,'Proposed Lighting'!AU221&lt;&gt;F221),"Selection does not match",IF(AND(AD221&gt;AA221,AA221&gt;0),"Does not meet minimum connected load",IF(AND(O221&gt;0,AS221&gt;0,BK221&gt;0,'Proposed Lighting'!CH221=0),"Select Control Strategies",IF(AND(AC221&gt;0.1,AJ221=0,AQ221=0),"Does not meet incentive criteria",0)))))))))))</f>
        <v>0</v>
      </c>
      <c r="AS221" s="1224">
        <f>IF('Proposed Lighting'!CH221=100,0,IF(ISNUMBER(SEARCH("multiple",Q221)),1,0))</f>
        <v>0</v>
      </c>
      <c r="AT221" s="451">
        <f t="shared" si="47"/>
        <v>0</v>
      </c>
      <c r="AU221" s="451">
        <f t="shared" si="48"/>
        <v>0</v>
      </c>
      <c r="AV221" s="1222">
        <f>IF(ISNUMBER(SEARCH("Networked",'Proposed Lighting'!T221)),0,IF(ISNUMBER(SEARCH("Strategies",'Proposed Lighting'!T221)),0,IF(ISNUMBER(SEARCH("Removal",'Proposed Lighting'!T221)),0,IF(ISNUMBER(SEARCH("non-standard",Q221)),1,0))))</f>
        <v>0</v>
      </c>
      <c r="AW221" s="451">
        <f t="shared" si="51"/>
        <v>0</v>
      </c>
      <c r="AX221" s="451"/>
      <c r="AY221" s="451"/>
      <c r="AZ221" s="451"/>
      <c r="BA221" s="451"/>
      <c r="BB221" s="451"/>
      <c r="BC221" s="1215"/>
      <c r="BD221" s="1215"/>
      <c r="BE221" s="1215"/>
      <c r="BF221" s="1215"/>
      <c r="BG221" s="1215"/>
      <c r="BH221" s="1215"/>
      <c r="BI221">
        <f>IF(AND(AS221=1,BC221="No",BD221="Yes",BE221="Yes",BF221="No",BH221="No"),0,IF(AND('Proposed Lighting'!AU221=2,AS221=1,BC221="Yes",BD221="Yes"),2,IF(AND('Proposed Lighting'!AU221=2,AS221=1,BC221="Yes",BE221="Yes"),2,IF(AND('Proposed Lighting'!AU221=2,AS221=1,BC221="Yes",BF221="Yes"),2,IF(AND('Proposed Lighting'!AU221=2,AS221=1,BC221="Yes",BH221="Yes"),2,IF(AND('Proposed Lighting'!AU221=2,AS221=1,BD221="Yes",BF221="Yes"),2,IF(AND('Proposed Lighting'!AU221=2,AS221=1,BD221="Yes",BH221="Yes"),2,IF(AND('Proposed Lighting'!AU221=3,AS221=1,BC221="Yes",BE221="Yes"),2,IF(AND('Proposed Lighting'!AU221=3,AS221=1,BC221="Yes",BF221="Yes"),2,0)))))))))</f>
        <v>0</v>
      </c>
      <c r="BJ221" s="1025">
        <f t="shared" si="49"/>
        <v>0</v>
      </c>
      <c r="BK221">
        <f>IF(AND('Proposed Lighting'!BC221=22,'Lighting Controls'!N221=1),0,IF(ISNUMBER(SEARCH("LED",G221)),1,0))</f>
        <v>0</v>
      </c>
    </row>
    <row r="222" spans="1:63" ht="34.5" customHeight="1">
      <c r="A222" s="917">
        <v>214</v>
      </c>
      <c r="B222" s="1828" t="str">
        <f>IF('Proposed Lighting'!B222="","",'Proposed Lighting'!B222)</f>
        <v/>
      </c>
      <c r="C222" s="1828"/>
      <c r="D222" s="1828"/>
      <c r="E222" s="1245">
        <f>'Proposed Lighting'!AA222</f>
        <v>0</v>
      </c>
      <c r="F222" s="1245">
        <f t="shared" si="42"/>
        <v>0</v>
      </c>
      <c r="G222" s="1830" t="str">
        <f>IF('Proposed Lighting'!T222="","",IF(ISNUMBER(SEARCH("Networked",'Proposed Lighting'!T222)),0,IF(ISNUMBER(SEARCH("Strategies",'Proposed Lighting'!T222)),0,IF(ISNUMBER(SEARCH("Removal",'Proposed Lighting'!T222)),0,'Proposed Lighting'!T222))))</f>
        <v/>
      </c>
      <c r="H222" s="1830"/>
      <c r="I222" s="1830"/>
      <c r="J222" s="1830"/>
      <c r="K222" s="1215"/>
      <c r="L222" s="1246">
        <f t="shared" si="43"/>
        <v>0</v>
      </c>
      <c r="M222" s="1224">
        <f t="shared" si="44"/>
        <v>0</v>
      </c>
      <c r="N222" s="1224">
        <f t="shared" si="45"/>
        <v>0</v>
      </c>
      <c r="O222" s="1825" t="str">
        <f>IF(G222=0,0,IF(ISNA('Proposed Lighting'!AT222),0,'Proposed Lighting'!AT222))</f>
        <v/>
      </c>
      <c r="P222" s="1825"/>
      <c r="Q222" s="1247"/>
      <c r="R222" s="1247"/>
      <c r="S222" s="1247"/>
      <c r="T222" s="1211"/>
      <c r="U222" s="1235">
        <f>IF(K222&gt;0.01,'Proposed Lighting'!CU222,0)</f>
        <v>0</v>
      </c>
      <c r="V222" s="1248">
        <f>IF('Proposed Lighting'!CF222=1,0,IF('Proposed Lighting'!AU222=2,0,IF(AND('Proposed Lighting'!AU222=3,'Proposed Lighting'!CF222=0),1,0)))</f>
        <v>0</v>
      </c>
      <c r="W222" s="1836"/>
      <c r="X222" s="1836"/>
      <c r="Y222" s="1836"/>
      <c r="Z222" s="1230" t="str">
        <f t="shared" si="39"/>
        <v/>
      </c>
      <c r="AA222" s="1230">
        <f t="shared" si="40"/>
        <v>0</v>
      </c>
      <c r="AB222" s="1230">
        <f>IF(Q222=0,0,IF(T222=0,0,IF(AA222=0,0,IF(AND(F222=3,V222=0),0,IF(T222=0,0,IF(K222&gt;'Proposed Lighting'!AA222,0,IF('Proposed Lighting'!EJ222&gt;0.01,(K222*O222)*'Proposed Lighting'!EJ222/1000,(K222*O222)*U222/1000)))))))</f>
        <v>0</v>
      </c>
      <c r="AC222" s="1230" t="str">
        <f t="shared" si="46"/>
        <v/>
      </c>
      <c r="AD222" s="1230">
        <f t="shared" si="41"/>
        <v>0</v>
      </c>
      <c r="AE222" s="1230">
        <f>IF(T222=0,0,IF(K222&gt;'Proposed Lighting'!AA222,0,IF(T222&gt;K222,0,IF(AND(AD222&gt;AA222,AA222&gt;0),0,IF(AND(F222&gt;1,W222&lt;0.01),0,IF('Proposed Lighting'!AU222&gt;'Lighting Controls'!F222,0,IF('Proposed Lighting'!AU222&lt;'Lighting Controls'!F222,0,IF(U222=0,0,Summary!AC525))))))))</f>
        <v>0</v>
      </c>
      <c r="AF222" s="1230">
        <f>IF(T222=0,0,IF(AE222=0,0,IF(K222&gt;'Proposed Lighting'!AA222,0,IF(AND(AD222&gt;AA222,AA222&gt;0),0,IF(U222=0,0,Summary!AD525)))))</f>
        <v>0</v>
      </c>
      <c r="AG222" s="1834">
        <f>IF('Proposed Lighting'!AU222=1,0,IF('Proposed Lighting'!CF222=1,0,T222*W222))</f>
        <v>0</v>
      </c>
      <c r="AH222" s="1834"/>
      <c r="AI222" s="1834"/>
      <c r="AJ222" s="1835">
        <f>IF(T222&lt;1,0,IF(K222&gt;'Proposed Lighting'!AA222,0,IF('Proposed Lighting'!CF222=1,0,IF('Proposed Lighting'!AU222=1,0,IF(T222&gt;K222,0,IF(AND(AD222&gt;AA222,AA222&gt;0),0,IF(AND(F222=2,'Proposed Lighting'!AU222=3),0,IF(AND(F222=3,'Proposed Lighting'!AU222=2),0,IF('Proposed Lighting'!CH222=100,0,IF(AND(F222&lt;3,V222=1,AM222=0),0,IF(AND(F222&gt;1,AF222&lt;1,AN222&lt;1),0,IF(AND(F222&gt;1,AE222&lt;0.69,AF222&lt;1,AN222&lt;1),0,IF(ISERROR(AB222-AC222),"",AB222-AC222)))))))))))))</f>
        <v>0</v>
      </c>
      <c r="AK222" s="1835"/>
      <c r="AL222" s="1835"/>
      <c r="AM222" s="1216">
        <f>IF(Q222=0,0,IF(T222=0,0,IF(T222&gt;K222,0,IF(AND(AS222&gt;0.01,BK222=0),0,IF(AND('Proposed Lighting'!DG222=0,'Lighting Controls'!Z222=0.35),0,IF(AND(T222&lt;=K222,AA222&gt;=AD222,'Proposed Lighting'!AU222=2),VLOOKUP(Q222,$AY$9:$AZ$15,2,FALSE),IF(AND(T222&lt;=K222,AA222&gt;=AD222,'Proposed Lighting'!AU222=3),VLOOKUP(Q222,$AY$17:$AZ$23,2,FALSE))))))))</f>
        <v>0</v>
      </c>
      <c r="AN222" s="1248">
        <f>IF(T222=0,0,IF(K222&gt;'Proposed Lighting'!AA222,0,IF(AE222=0,0,IF(AND(AD222&gt;AA222,AA222&gt;0),0,IF(U222=0,0,Summary!AE525)))))</f>
        <v>0</v>
      </c>
      <c r="AO222" s="1248">
        <f t="shared" si="50"/>
        <v>0</v>
      </c>
      <c r="AP222" s="1249">
        <f>IF('Proposed Lighting'!AU222=1,0,IF(K222=0,0,IF(T222&gt;K222,0,IF(G222=0,0,IF(K222&gt;'Proposed Lighting'!AA222,0,IF(AND(AD222&gt;AA222,AA222&gt;0),0,IF(AND('Proposed Lighting'!AU222=3,AM222=0.5),0,IF(AND(AM222&gt;0,AS222&gt;0,BI222&lt;2),0,IF('Proposed Lighting'!CH222=100,0,IF(AV222=1,0,IF(AND(AM222=35,M222+N222&lt;2),0,AM222)))))))))))</f>
        <v>0</v>
      </c>
      <c r="AQ222" s="1249" t="str">
        <f>IFERROR(ROUND(IF(Q222="","",IF('Proposed Lighting'!$X$4=0,0,IF(AND(AM222=35,M222+N222&lt;2),0,IF(T222&gt;K222,0,IF('Proposed Lighting'!AU222=1,0,IF(AJ222=0,0,IF(AND('Proposed Lighting'!AU222=3,AM222=0.5),0,IF(AND(AD222=75,AP222=0,AV222=0),0,IF(AP222&gt;0.01,AP222*T222,IF(AND(F222&gt;1,W222&lt;0.01),0,IF(AND(F222&gt;1,AO222=0),0,IF(AND('Proposed Lighting'!BC222=22,AV222=0),0,IF(AND(AM222&gt;0,AS222&gt;0,BI222&lt;2),0,IF(AND(AS222&gt;0.01,BK222=0),0,IF(AND(AO222=TRUE,AV222=1,F222=3),MIN(AJ222*0.08,L222),IF(AP222&gt;0.01,AP222*T222,IF(AND(AO222=TRUE,AV222=1,F222=2),MIN(AJ222*0.1,L222)))))))))))))))))),2),"")</f>
        <v/>
      </c>
      <c r="AR222" s="1250">
        <f>IF(Q222=0,0,IF('Proposed Lighting'!$X$4=0,0,IF(AND(AM222&gt;0.01,AQ222&gt;0.01),0,IF('Proposed Lighting'!AU222=1,"Missing Interior or Exterior Selection",IF('Proposed Lighting'!CF222=1,"Selection does not match",IF(K222&gt;'Proposed Lighting'!AA222,"Quantity controlled does not match proposed lighting quantity",IF(T222&gt;K222,"Quantity of sensors exceeds proposed lighting quantity",IF(AND(F222&gt;1,'Proposed Lighting'!AU222&lt;&gt;F222),"Selection does not match",IF(AND(AD222&gt;AA222,AA222&gt;0),"Does not meet minimum connected load",IF(AND(O222&gt;0,AS222&gt;0,BK222&gt;0,'Proposed Lighting'!CH222=0),"Select Control Strategies",IF(AND(AC222&gt;0.1,AJ222=0,AQ222=0),"Does not meet incentive criteria",0)))))))))))</f>
        <v>0</v>
      </c>
      <c r="AS222" s="1224">
        <f>IF('Proposed Lighting'!CH222=100,0,IF(ISNUMBER(SEARCH("multiple",Q222)),1,0))</f>
        <v>0</v>
      </c>
      <c r="AT222" s="451">
        <f t="shared" si="47"/>
        <v>0</v>
      </c>
      <c r="AU222" s="451">
        <f t="shared" si="48"/>
        <v>0</v>
      </c>
      <c r="AV222" s="1222">
        <f>IF(ISNUMBER(SEARCH("Networked",'Proposed Lighting'!T222)),0,IF(ISNUMBER(SEARCH("Strategies",'Proposed Lighting'!T222)),0,IF(ISNUMBER(SEARCH("Removal",'Proposed Lighting'!T222)),0,IF(ISNUMBER(SEARCH("non-standard",Q222)),1,0))))</f>
        <v>0</v>
      </c>
      <c r="AW222" s="451">
        <f t="shared" si="51"/>
        <v>0</v>
      </c>
      <c r="AX222" s="451"/>
      <c r="AY222" s="451"/>
      <c r="AZ222" s="451"/>
      <c r="BA222" s="451"/>
      <c r="BB222" s="451"/>
      <c r="BC222" s="1215"/>
      <c r="BD222" s="1215"/>
      <c r="BE222" s="1215"/>
      <c r="BF222" s="1215"/>
      <c r="BG222" s="1215"/>
      <c r="BH222" s="1215"/>
      <c r="BI222">
        <f>IF(AND(AS222=1,BC222="No",BD222="Yes",BE222="Yes",BF222="No",BH222="No"),0,IF(AND('Proposed Lighting'!AU222=2,AS222=1,BC222="Yes",BD222="Yes"),2,IF(AND('Proposed Lighting'!AU222=2,AS222=1,BC222="Yes",BE222="Yes"),2,IF(AND('Proposed Lighting'!AU222=2,AS222=1,BC222="Yes",BF222="Yes"),2,IF(AND('Proposed Lighting'!AU222=2,AS222=1,BC222="Yes",BH222="Yes"),2,IF(AND('Proposed Lighting'!AU222=2,AS222=1,BD222="Yes",BF222="Yes"),2,IF(AND('Proposed Lighting'!AU222=2,AS222=1,BD222="Yes",BH222="Yes"),2,IF(AND('Proposed Lighting'!AU222=3,AS222=1,BC222="Yes",BE222="Yes"),2,IF(AND('Proposed Lighting'!AU222=3,AS222=1,BC222="Yes",BF222="Yes"),2,0)))))))))</f>
        <v>0</v>
      </c>
      <c r="BJ222" s="1025">
        <f t="shared" si="49"/>
        <v>0</v>
      </c>
      <c r="BK222">
        <f>IF(AND('Proposed Lighting'!BC222=22,'Lighting Controls'!N222=1),0,IF(ISNUMBER(SEARCH("LED",G222)),1,0))</f>
        <v>0</v>
      </c>
    </row>
    <row r="223" spans="1:63" ht="34.5" customHeight="1">
      <c r="A223" s="917">
        <v>215</v>
      </c>
      <c r="B223" s="1828" t="str">
        <f>IF('Proposed Lighting'!B223="","",'Proposed Lighting'!B223)</f>
        <v/>
      </c>
      <c r="C223" s="1828"/>
      <c r="D223" s="1828"/>
      <c r="E223" s="1245">
        <f>'Proposed Lighting'!AA223</f>
        <v>0</v>
      </c>
      <c r="F223" s="1245">
        <f t="shared" si="42"/>
        <v>0</v>
      </c>
      <c r="G223" s="1830" t="str">
        <f>IF('Proposed Lighting'!T223="","",IF(ISNUMBER(SEARCH("Networked",'Proposed Lighting'!T223)),0,IF(ISNUMBER(SEARCH("Strategies",'Proposed Lighting'!T223)),0,IF(ISNUMBER(SEARCH("Removal",'Proposed Lighting'!T223)),0,'Proposed Lighting'!T223))))</f>
        <v/>
      </c>
      <c r="H223" s="1830"/>
      <c r="I223" s="1830"/>
      <c r="J223" s="1830"/>
      <c r="K223" s="1215"/>
      <c r="L223" s="1246">
        <f t="shared" si="43"/>
        <v>0</v>
      </c>
      <c r="M223" s="1224">
        <f t="shared" si="44"/>
        <v>0</v>
      </c>
      <c r="N223" s="1224">
        <f t="shared" si="45"/>
        <v>0</v>
      </c>
      <c r="O223" s="1825" t="str">
        <f>IF(G223=0,0,IF(ISNA('Proposed Lighting'!AT223),0,'Proposed Lighting'!AT223))</f>
        <v/>
      </c>
      <c r="P223" s="1825"/>
      <c r="Q223" s="1247"/>
      <c r="R223" s="1247"/>
      <c r="S223" s="1247"/>
      <c r="T223" s="1211"/>
      <c r="U223" s="1235">
        <f>IF(K223&gt;0.01,'Proposed Lighting'!CU223,0)</f>
        <v>0</v>
      </c>
      <c r="V223" s="1248">
        <f>IF('Proposed Lighting'!CF223=1,0,IF('Proposed Lighting'!AU223=2,0,IF(AND('Proposed Lighting'!AU223=3,'Proposed Lighting'!CF223=0),1,0)))</f>
        <v>0</v>
      </c>
      <c r="W223" s="1836"/>
      <c r="X223" s="1836"/>
      <c r="Y223" s="1836"/>
      <c r="Z223" s="1230" t="str">
        <f t="shared" si="39"/>
        <v/>
      </c>
      <c r="AA223" s="1230">
        <f t="shared" si="40"/>
        <v>0</v>
      </c>
      <c r="AB223" s="1230">
        <f>IF(Q223=0,0,IF(T223=0,0,IF(AA223=0,0,IF(AND(F223=3,V223=0),0,IF(T223=0,0,IF(K223&gt;'Proposed Lighting'!AA223,0,IF('Proposed Lighting'!EJ223&gt;0.01,(K223*O223)*'Proposed Lighting'!EJ223/1000,(K223*O223)*U223/1000)))))))</f>
        <v>0</v>
      </c>
      <c r="AC223" s="1230" t="str">
        <f t="shared" si="46"/>
        <v/>
      </c>
      <c r="AD223" s="1230">
        <f t="shared" si="41"/>
        <v>0</v>
      </c>
      <c r="AE223" s="1230">
        <f>IF(T223=0,0,IF(K223&gt;'Proposed Lighting'!AA223,0,IF(T223&gt;K223,0,IF(AND(AD223&gt;AA223,AA223&gt;0),0,IF(AND(F223&gt;1,W223&lt;0.01),0,IF('Proposed Lighting'!AU223&gt;'Lighting Controls'!F223,0,IF('Proposed Lighting'!AU223&lt;'Lighting Controls'!F223,0,IF(U223=0,0,Summary!AC526))))))))</f>
        <v>0</v>
      </c>
      <c r="AF223" s="1230">
        <f>IF(T223=0,0,IF(AE223=0,0,IF(K223&gt;'Proposed Lighting'!AA223,0,IF(AND(AD223&gt;AA223,AA223&gt;0),0,IF(U223=0,0,Summary!AD526)))))</f>
        <v>0</v>
      </c>
      <c r="AG223" s="1834">
        <f>IF('Proposed Lighting'!AU223=1,0,IF('Proposed Lighting'!CF223=1,0,T223*W223))</f>
        <v>0</v>
      </c>
      <c r="AH223" s="1834"/>
      <c r="AI223" s="1834"/>
      <c r="AJ223" s="1835">
        <f>IF(T223&lt;1,0,IF(K223&gt;'Proposed Lighting'!AA223,0,IF('Proposed Lighting'!CF223=1,0,IF('Proposed Lighting'!AU223=1,0,IF(T223&gt;K223,0,IF(AND(AD223&gt;AA223,AA223&gt;0),0,IF(AND(F223=2,'Proposed Lighting'!AU223=3),0,IF(AND(F223=3,'Proposed Lighting'!AU223=2),0,IF('Proposed Lighting'!CH223=100,0,IF(AND(F223&lt;3,V223=1,AM223=0),0,IF(AND(F223&gt;1,AF223&lt;1,AN223&lt;1),0,IF(AND(F223&gt;1,AE223&lt;0.69,AF223&lt;1,AN223&lt;1),0,IF(ISERROR(AB223-AC223),"",AB223-AC223)))))))))))))</f>
        <v>0</v>
      </c>
      <c r="AK223" s="1835"/>
      <c r="AL223" s="1835"/>
      <c r="AM223" s="1216">
        <f>IF(Q223=0,0,IF(T223=0,0,IF(T223&gt;K223,0,IF(AND(AS223&gt;0.01,BK223=0),0,IF(AND('Proposed Lighting'!DG223=0,'Lighting Controls'!Z223=0.35),0,IF(AND(T223&lt;=K223,AA223&gt;=AD223,'Proposed Lighting'!AU223=2),VLOOKUP(Q223,$AY$9:$AZ$15,2,FALSE),IF(AND(T223&lt;=K223,AA223&gt;=AD223,'Proposed Lighting'!AU223=3),VLOOKUP(Q223,$AY$17:$AZ$23,2,FALSE))))))))</f>
        <v>0</v>
      </c>
      <c r="AN223" s="1248">
        <f>IF(T223=0,0,IF(K223&gt;'Proposed Lighting'!AA223,0,IF(AE223=0,0,IF(AND(AD223&gt;AA223,AA223&gt;0),0,IF(U223=0,0,Summary!AE526)))))</f>
        <v>0</v>
      </c>
      <c r="AO223" s="1248">
        <f t="shared" si="50"/>
        <v>0</v>
      </c>
      <c r="AP223" s="1249">
        <f>IF('Proposed Lighting'!AU223=1,0,IF(K223=0,0,IF(T223&gt;K223,0,IF(G223=0,0,IF(K223&gt;'Proposed Lighting'!AA223,0,IF(AND(AD223&gt;AA223,AA223&gt;0),0,IF(AND('Proposed Lighting'!AU223=3,AM223=0.5),0,IF(AND(AM223&gt;0,AS223&gt;0,BI223&lt;2),0,IF('Proposed Lighting'!CH223=100,0,IF(AV223=1,0,IF(AND(AM223=35,M223+N223&lt;2),0,AM223)))))))))))</f>
        <v>0</v>
      </c>
      <c r="AQ223" s="1249" t="str">
        <f>IFERROR(ROUND(IF(Q223="","",IF('Proposed Lighting'!$X$4=0,0,IF(AND(AM223=35,M223+N223&lt;2),0,IF(T223&gt;K223,0,IF('Proposed Lighting'!AU223=1,0,IF(AJ223=0,0,IF(AND('Proposed Lighting'!AU223=3,AM223=0.5),0,IF(AND(AD223=75,AP223=0,AV223=0),0,IF(AP223&gt;0.01,AP223*T223,IF(AND(F223&gt;1,W223&lt;0.01),0,IF(AND(F223&gt;1,AO223=0),0,IF(AND('Proposed Lighting'!BC223=22,AV223=0),0,IF(AND(AM223&gt;0,AS223&gt;0,BI223&lt;2),0,IF(AND(AS223&gt;0.01,BK223=0),0,IF(AND(AO223=TRUE,AV223=1,F223=3),MIN(AJ223*0.08,L223),IF(AP223&gt;0.01,AP223*T223,IF(AND(AO223=TRUE,AV223=1,F223=2),MIN(AJ223*0.1,L223)))))))))))))))))),2),"")</f>
        <v/>
      </c>
      <c r="AR223" s="1250">
        <f>IF(Q223=0,0,IF('Proposed Lighting'!$X$4=0,0,IF(AND(AM223&gt;0.01,AQ223&gt;0.01),0,IF('Proposed Lighting'!AU223=1,"Missing Interior or Exterior Selection",IF('Proposed Lighting'!CF223=1,"Selection does not match",IF(K223&gt;'Proposed Lighting'!AA223,"Quantity controlled does not match proposed lighting quantity",IF(T223&gt;K223,"Quantity of sensors exceeds proposed lighting quantity",IF(AND(F223&gt;1,'Proposed Lighting'!AU223&lt;&gt;F223),"Selection does not match",IF(AND(AD223&gt;AA223,AA223&gt;0),"Does not meet minimum connected load",IF(AND(O223&gt;0,AS223&gt;0,BK223&gt;0,'Proposed Lighting'!CH223=0),"Select Control Strategies",IF(AND(AC223&gt;0.1,AJ223=0,AQ223=0),"Does not meet incentive criteria",0)))))))))))</f>
        <v>0</v>
      </c>
      <c r="AS223" s="1224">
        <f>IF('Proposed Lighting'!CH223=100,0,IF(ISNUMBER(SEARCH("multiple",Q223)),1,0))</f>
        <v>0</v>
      </c>
      <c r="AT223" s="451">
        <f t="shared" si="47"/>
        <v>0</v>
      </c>
      <c r="AU223" s="451">
        <f t="shared" si="48"/>
        <v>0</v>
      </c>
      <c r="AV223" s="1222">
        <f>IF(ISNUMBER(SEARCH("Networked",'Proposed Lighting'!T223)),0,IF(ISNUMBER(SEARCH("Strategies",'Proposed Lighting'!T223)),0,IF(ISNUMBER(SEARCH("Removal",'Proposed Lighting'!T223)),0,IF(ISNUMBER(SEARCH("non-standard",Q223)),1,0))))</f>
        <v>0</v>
      </c>
      <c r="AW223" s="451">
        <f t="shared" si="51"/>
        <v>0</v>
      </c>
      <c r="AX223" s="451"/>
      <c r="AY223" s="451"/>
      <c r="AZ223" s="451"/>
      <c r="BA223" s="451"/>
      <c r="BB223" s="451"/>
      <c r="BC223" s="1215"/>
      <c r="BD223" s="1215"/>
      <c r="BE223" s="1215"/>
      <c r="BF223" s="1215"/>
      <c r="BG223" s="1215"/>
      <c r="BH223" s="1215"/>
      <c r="BI223">
        <f>IF(AND(AS223=1,BC223="No",BD223="Yes",BE223="Yes",BF223="No",BH223="No"),0,IF(AND('Proposed Lighting'!AU223=2,AS223=1,BC223="Yes",BD223="Yes"),2,IF(AND('Proposed Lighting'!AU223=2,AS223=1,BC223="Yes",BE223="Yes"),2,IF(AND('Proposed Lighting'!AU223=2,AS223=1,BC223="Yes",BF223="Yes"),2,IF(AND('Proposed Lighting'!AU223=2,AS223=1,BC223="Yes",BH223="Yes"),2,IF(AND('Proposed Lighting'!AU223=2,AS223=1,BD223="Yes",BF223="Yes"),2,IF(AND('Proposed Lighting'!AU223=2,AS223=1,BD223="Yes",BH223="Yes"),2,IF(AND('Proposed Lighting'!AU223=3,AS223=1,BC223="Yes",BE223="Yes"),2,IF(AND('Proposed Lighting'!AU223=3,AS223=1,BC223="Yes",BF223="Yes"),2,0)))))))))</f>
        <v>0</v>
      </c>
      <c r="BJ223" s="1025">
        <f t="shared" si="49"/>
        <v>0</v>
      </c>
      <c r="BK223">
        <f>IF(AND('Proposed Lighting'!BC223=22,'Lighting Controls'!N223=1),0,IF(ISNUMBER(SEARCH("LED",G223)),1,0))</f>
        <v>0</v>
      </c>
    </row>
    <row r="224" spans="1:63" ht="34.5" customHeight="1">
      <c r="A224" s="917">
        <v>216</v>
      </c>
      <c r="B224" s="1828" t="str">
        <f>IF('Proposed Lighting'!B224="","",'Proposed Lighting'!B224)</f>
        <v/>
      </c>
      <c r="C224" s="1828"/>
      <c r="D224" s="1828"/>
      <c r="E224" s="1245">
        <f>'Proposed Lighting'!AA224</f>
        <v>0</v>
      </c>
      <c r="F224" s="1245">
        <f t="shared" si="42"/>
        <v>0</v>
      </c>
      <c r="G224" s="1830" t="str">
        <f>IF('Proposed Lighting'!T224="","",IF(ISNUMBER(SEARCH("Networked",'Proposed Lighting'!T224)),0,IF(ISNUMBER(SEARCH("Strategies",'Proposed Lighting'!T224)),0,IF(ISNUMBER(SEARCH("Removal",'Proposed Lighting'!T224)),0,'Proposed Lighting'!T224))))</f>
        <v/>
      </c>
      <c r="H224" s="1830"/>
      <c r="I224" s="1830"/>
      <c r="J224" s="1830"/>
      <c r="K224" s="1215"/>
      <c r="L224" s="1246">
        <f t="shared" si="43"/>
        <v>0</v>
      </c>
      <c r="M224" s="1224">
        <f t="shared" si="44"/>
        <v>0</v>
      </c>
      <c r="N224" s="1224">
        <f t="shared" si="45"/>
        <v>0</v>
      </c>
      <c r="O224" s="1825" t="str">
        <f>IF(G224=0,0,IF(ISNA('Proposed Lighting'!AT224),0,'Proposed Lighting'!AT224))</f>
        <v/>
      </c>
      <c r="P224" s="1825"/>
      <c r="Q224" s="1247"/>
      <c r="R224" s="1247"/>
      <c r="S224" s="1247"/>
      <c r="T224" s="1211"/>
      <c r="U224" s="1235">
        <f>IF(K224&gt;0.01,'Proposed Lighting'!CU224,0)</f>
        <v>0</v>
      </c>
      <c r="V224" s="1248">
        <f>IF('Proposed Lighting'!CF224=1,0,IF('Proposed Lighting'!AU224=2,0,IF(AND('Proposed Lighting'!AU224=3,'Proposed Lighting'!CF224=0),1,0)))</f>
        <v>0</v>
      </c>
      <c r="W224" s="1836"/>
      <c r="X224" s="1836"/>
      <c r="Y224" s="1836"/>
      <c r="Z224" s="1230" t="str">
        <f t="shared" si="39"/>
        <v/>
      </c>
      <c r="AA224" s="1230">
        <f t="shared" si="40"/>
        <v>0</v>
      </c>
      <c r="AB224" s="1230">
        <f>IF(Q224=0,0,IF(T224=0,0,IF(AA224=0,0,IF(AND(F224=3,V224=0),0,IF(T224=0,0,IF(K224&gt;'Proposed Lighting'!AA224,0,IF('Proposed Lighting'!EJ224&gt;0.01,(K224*O224)*'Proposed Lighting'!EJ224/1000,(K224*O224)*U224/1000)))))))</f>
        <v>0</v>
      </c>
      <c r="AC224" s="1230" t="str">
        <f t="shared" si="46"/>
        <v/>
      </c>
      <c r="AD224" s="1230">
        <f t="shared" si="41"/>
        <v>0</v>
      </c>
      <c r="AE224" s="1230">
        <f>IF(T224=0,0,IF(K224&gt;'Proposed Lighting'!AA224,0,IF(T224&gt;K224,0,IF(AND(AD224&gt;AA224,AA224&gt;0),0,IF(AND(F224&gt;1,W224&lt;0.01),0,IF('Proposed Lighting'!AU224&gt;'Lighting Controls'!F224,0,IF('Proposed Lighting'!AU224&lt;'Lighting Controls'!F224,0,IF(U224=0,0,Summary!AC527))))))))</f>
        <v>0</v>
      </c>
      <c r="AF224" s="1230">
        <f>IF(T224=0,0,IF(AE224=0,0,IF(K224&gt;'Proposed Lighting'!AA224,0,IF(AND(AD224&gt;AA224,AA224&gt;0),0,IF(U224=0,0,Summary!AD527)))))</f>
        <v>0</v>
      </c>
      <c r="AG224" s="1834">
        <f>IF('Proposed Lighting'!AU224=1,0,IF('Proposed Lighting'!CF224=1,0,T224*W224))</f>
        <v>0</v>
      </c>
      <c r="AH224" s="1834"/>
      <c r="AI224" s="1834"/>
      <c r="AJ224" s="1835">
        <f>IF(T224&lt;1,0,IF(K224&gt;'Proposed Lighting'!AA224,0,IF('Proposed Lighting'!CF224=1,0,IF('Proposed Lighting'!AU224=1,0,IF(T224&gt;K224,0,IF(AND(AD224&gt;AA224,AA224&gt;0),0,IF(AND(F224=2,'Proposed Lighting'!AU224=3),0,IF(AND(F224=3,'Proposed Lighting'!AU224=2),0,IF('Proposed Lighting'!CH224=100,0,IF(AND(F224&lt;3,V224=1,AM224=0),0,IF(AND(F224&gt;1,AF224&lt;1,AN224&lt;1),0,IF(AND(F224&gt;1,AE224&lt;0.69,AF224&lt;1,AN224&lt;1),0,IF(ISERROR(AB224-AC224),"",AB224-AC224)))))))))))))</f>
        <v>0</v>
      </c>
      <c r="AK224" s="1835"/>
      <c r="AL224" s="1835"/>
      <c r="AM224" s="1216">
        <f>IF(Q224=0,0,IF(T224=0,0,IF(T224&gt;K224,0,IF(AND(AS224&gt;0.01,BK224=0),0,IF(AND('Proposed Lighting'!DG224=0,'Lighting Controls'!Z224=0.35),0,IF(AND(T224&lt;=K224,AA224&gt;=AD224,'Proposed Lighting'!AU224=2),VLOOKUP(Q224,$AY$9:$AZ$15,2,FALSE),IF(AND(T224&lt;=K224,AA224&gt;=AD224,'Proposed Lighting'!AU224=3),VLOOKUP(Q224,$AY$17:$AZ$23,2,FALSE))))))))</f>
        <v>0</v>
      </c>
      <c r="AN224" s="1248">
        <f>IF(T224=0,0,IF(K224&gt;'Proposed Lighting'!AA224,0,IF(AE224=0,0,IF(AND(AD224&gt;AA224,AA224&gt;0),0,IF(U224=0,0,Summary!AE527)))))</f>
        <v>0</v>
      </c>
      <c r="AO224" s="1248">
        <f t="shared" si="50"/>
        <v>0</v>
      </c>
      <c r="AP224" s="1249">
        <f>IF('Proposed Lighting'!AU224=1,0,IF(K224=0,0,IF(T224&gt;K224,0,IF(G224=0,0,IF(K224&gt;'Proposed Lighting'!AA224,0,IF(AND(AD224&gt;AA224,AA224&gt;0),0,IF(AND('Proposed Lighting'!AU224=3,AM224=0.5),0,IF(AND(AM224&gt;0,AS224&gt;0,BI224&lt;2),0,IF('Proposed Lighting'!CH224=100,0,IF(AV224=1,0,IF(AND(AM224=35,M224+N224&lt;2),0,AM224)))))))))))</f>
        <v>0</v>
      </c>
      <c r="AQ224" s="1249" t="str">
        <f>IFERROR(ROUND(IF(Q224="","",IF('Proposed Lighting'!$X$4=0,0,IF(AND(AM224=35,M224+N224&lt;2),0,IF(T224&gt;K224,0,IF('Proposed Lighting'!AU224=1,0,IF(AJ224=0,0,IF(AND('Proposed Lighting'!AU224=3,AM224=0.5),0,IF(AND(AD224=75,AP224=0,AV224=0),0,IF(AP224&gt;0.01,AP224*T224,IF(AND(F224&gt;1,W224&lt;0.01),0,IF(AND(F224&gt;1,AO224=0),0,IF(AND('Proposed Lighting'!BC224=22,AV224=0),0,IF(AND(AM224&gt;0,AS224&gt;0,BI224&lt;2),0,IF(AND(AS224&gt;0.01,BK224=0),0,IF(AND(AO224=TRUE,AV224=1,F224=3),MIN(AJ224*0.08,L224),IF(AP224&gt;0.01,AP224*T224,IF(AND(AO224=TRUE,AV224=1,F224=2),MIN(AJ224*0.1,L224)))))))))))))))))),2),"")</f>
        <v/>
      </c>
      <c r="AR224" s="1250">
        <f>IF(Q224=0,0,IF('Proposed Lighting'!$X$4=0,0,IF(AND(AM224&gt;0.01,AQ224&gt;0.01),0,IF('Proposed Lighting'!AU224=1,"Missing Interior or Exterior Selection",IF('Proposed Lighting'!CF224=1,"Selection does not match",IF(K224&gt;'Proposed Lighting'!AA224,"Quantity controlled does not match proposed lighting quantity",IF(T224&gt;K224,"Quantity of sensors exceeds proposed lighting quantity",IF(AND(F224&gt;1,'Proposed Lighting'!AU224&lt;&gt;F224),"Selection does not match",IF(AND(AD224&gt;AA224,AA224&gt;0),"Does not meet minimum connected load",IF(AND(O224&gt;0,AS224&gt;0,BK224&gt;0,'Proposed Lighting'!CH224=0),"Select Control Strategies",IF(AND(AC224&gt;0.1,AJ224=0,AQ224=0),"Does not meet incentive criteria",0)))))))))))</f>
        <v>0</v>
      </c>
      <c r="AS224" s="1224">
        <f>IF('Proposed Lighting'!CH224=100,0,IF(ISNUMBER(SEARCH("multiple",Q224)),1,0))</f>
        <v>0</v>
      </c>
      <c r="AT224" s="451">
        <f t="shared" si="47"/>
        <v>0</v>
      </c>
      <c r="AU224" s="451">
        <f t="shared" si="48"/>
        <v>0</v>
      </c>
      <c r="AV224" s="1222">
        <f>IF(ISNUMBER(SEARCH("Networked",'Proposed Lighting'!T224)),0,IF(ISNUMBER(SEARCH("Strategies",'Proposed Lighting'!T224)),0,IF(ISNUMBER(SEARCH("Removal",'Proposed Lighting'!T224)),0,IF(ISNUMBER(SEARCH("non-standard",Q224)),1,0))))</f>
        <v>0</v>
      </c>
      <c r="AW224" s="451">
        <f t="shared" si="51"/>
        <v>0</v>
      </c>
      <c r="AX224" s="451"/>
      <c r="AY224" s="451"/>
      <c r="AZ224" s="451"/>
      <c r="BA224" s="451"/>
      <c r="BB224" s="451"/>
      <c r="BC224" s="1215"/>
      <c r="BD224" s="1215"/>
      <c r="BE224" s="1215"/>
      <c r="BF224" s="1215"/>
      <c r="BG224" s="1215"/>
      <c r="BH224" s="1215"/>
      <c r="BI224">
        <f>IF(AND(AS224=1,BC224="No",BD224="Yes",BE224="Yes",BF224="No",BH224="No"),0,IF(AND('Proposed Lighting'!AU224=2,AS224=1,BC224="Yes",BD224="Yes"),2,IF(AND('Proposed Lighting'!AU224=2,AS224=1,BC224="Yes",BE224="Yes"),2,IF(AND('Proposed Lighting'!AU224=2,AS224=1,BC224="Yes",BF224="Yes"),2,IF(AND('Proposed Lighting'!AU224=2,AS224=1,BC224="Yes",BH224="Yes"),2,IF(AND('Proposed Lighting'!AU224=2,AS224=1,BD224="Yes",BF224="Yes"),2,IF(AND('Proposed Lighting'!AU224=2,AS224=1,BD224="Yes",BH224="Yes"),2,IF(AND('Proposed Lighting'!AU224=3,AS224=1,BC224="Yes",BE224="Yes"),2,IF(AND('Proposed Lighting'!AU224=3,AS224=1,BC224="Yes",BF224="Yes"),2,0)))))))))</f>
        <v>0</v>
      </c>
      <c r="BJ224" s="1025">
        <f t="shared" si="49"/>
        <v>0</v>
      </c>
      <c r="BK224">
        <f>IF(AND('Proposed Lighting'!BC224=22,'Lighting Controls'!N224=1),0,IF(ISNUMBER(SEARCH("LED",G224)),1,0))</f>
        <v>0</v>
      </c>
    </row>
    <row r="225" spans="1:63" ht="34.5" customHeight="1">
      <c r="A225" s="917">
        <v>217</v>
      </c>
      <c r="B225" s="1828" t="str">
        <f>IF('Proposed Lighting'!B225="","",'Proposed Lighting'!B225)</f>
        <v/>
      </c>
      <c r="C225" s="1828"/>
      <c r="D225" s="1828"/>
      <c r="E225" s="1245">
        <f>'Proposed Lighting'!AA225</f>
        <v>0</v>
      </c>
      <c r="F225" s="1245">
        <f t="shared" si="42"/>
        <v>0</v>
      </c>
      <c r="G225" s="1830" t="str">
        <f>IF('Proposed Lighting'!T225="","",IF(ISNUMBER(SEARCH("Networked",'Proposed Lighting'!T225)),0,IF(ISNUMBER(SEARCH("Strategies",'Proposed Lighting'!T225)),0,IF(ISNUMBER(SEARCH("Removal",'Proposed Lighting'!T225)),0,'Proposed Lighting'!T225))))</f>
        <v/>
      </c>
      <c r="H225" s="1830"/>
      <c r="I225" s="1830"/>
      <c r="J225" s="1830"/>
      <c r="K225" s="1215"/>
      <c r="L225" s="1246">
        <f t="shared" si="43"/>
        <v>0</v>
      </c>
      <c r="M225" s="1224">
        <f t="shared" si="44"/>
        <v>0</v>
      </c>
      <c r="N225" s="1224">
        <f t="shared" si="45"/>
        <v>0</v>
      </c>
      <c r="O225" s="1825" t="str">
        <f>IF(G225=0,0,IF(ISNA('Proposed Lighting'!AT225),0,'Proposed Lighting'!AT225))</f>
        <v/>
      </c>
      <c r="P225" s="1825"/>
      <c r="Q225" s="1247"/>
      <c r="R225" s="1247"/>
      <c r="S225" s="1247"/>
      <c r="T225" s="1211"/>
      <c r="U225" s="1235">
        <f>IF(K225&gt;0.01,'Proposed Lighting'!CU225,0)</f>
        <v>0</v>
      </c>
      <c r="V225" s="1248">
        <f>IF('Proposed Lighting'!CF225=1,0,IF('Proposed Lighting'!AU225=2,0,IF(AND('Proposed Lighting'!AU225=3,'Proposed Lighting'!CF225=0),1,0)))</f>
        <v>0</v>
      </c>
      <c r="W225" s="1836"/>
      <c r="X225" s="1836"/>
      <c r="Y225" s="1836"/>
      <c r="Z225" s="1230" t="str">
        <f t="shared" si="39"/>
        <v/>
      </c>
      <c r="AA225" s="1230">
        <f t="shared" si="40"/>
        <v>0</v>
      </c>
      <c r="AB225" s="1230">
        <f>IF(Q225=0,0,IF(T225=0,0,IF(AA225=0,0,IF(AND(F225=3,V225=0),0,IF(T225=0,0,IF(K225&gt;'Proposed Lighting'!AA225,0,IF('Proposed Lighting'!EJ225&gt;0.01,(K225*O225)*'Proposed Lighting'!EJ225/1000,(K225*O225)*U225/1000)))))))</f>
        <v>0</v>
      </c>
      <c r="AC225" s="1230" t="str">
        <f t="shared" si="46"/>
        <v/>
      </c>
      <c r="AD225" s="1230">
        <f t="shared" si="41"/>
        <v>0</v>
      </c>
      <c r="AE225" s="1230">
        <f>IF(T225=0,0,IF(K225&gt;'Proposed Lighting'!AA225,0,IF(T225&gt;K225,0,IF(AND(AD225&gt;AA225,AA225&gt;0),0,IF(AND(F225&gt;1,W225&lt;0.01),0,IF('Proposed Lighting'!AU225&gt;'Lighting Controls'!F225,0,IF('Proposed Lighting'!AU225&lt;'Lighting Controls'!F225,0,IF(U225=0,0,Summary!AC528))))))))</f>
        <v>0</v>
      </c>
      <c r="AF225" s="1230">
        <f>IF(T225=0,0,IF(AE225=0,0,IF(K225&gt;'Proposed Lighting'!AA225,0,IF(AND(AD225&gt;AA225,AA225&gt;0),0,IF(U225=0,0,Summary!AD528)))))</f>
        <v>0</v>
      </c>
      <c r="AG225" s="1834">
        <f>IF('Proposed Lighting'!AU225=1,0,IF('Proposed Lighting'!CF225=1,0,T225*W225))</f>
        <v>0</v>
      </c>
      <c r="AH225" s="1834"/>
      <c r="AI225" s="1834"/>
      <c r="AJ225" s="1835">
        <f>IF(T225&lt;1,0,IF(K225&gt;'Proposed Lighting'!AA225,0,IF('Proposed Lighting'!CF225=1,0,IF('Proposed Lighting'!AU225=1,0,IF(T225&gt;K225,0,IF(AND(AD225&gt;AA225,AA225&gt;0),0,IF(AND(F225=2,'Proposed Lighting'!AU225=3),0,IF(AND(F225=3,'Proposed Lighting'!AU225=2),0,IF('Proposed Lighting'!CH225=100,0,IF(AND(F225&lt;3,V225=1,AM225=0),0,IF(AND(F225&gt;1,AF225&lt;1,AN225&lt;1),0,IF(AND(F225&gt;1,AE225&lt;0.69,AF225&lt;1,AN225&lt;1),0,IF(ISERROR(AB225-AC225),"",AB225-AC225)))))))))))))</f>
        <v>0</v>
      </c>
      <c r="AK225" s="1835"/>
      <c r="AL225" s="1835"/>
      <c r="AM225" s="1216">
        <f>IF(Q225=0,0,IF(T225=0,0,IF(T225&gt;K225,0,IF(AND(AS225&gt;0.01,BK225=0),0,IF(AND('Proposed Lighting'!DG225=0,'Lighting Controls'!Z225=0.35),0,IF(AND(T225&lt;=K225,AA225&gt;=AD225,'Proposed Lighting'!AU225=2),VLOOKUP(Q225,$AY$9:$AZ$15,2,FALSE),IF(AND(T225&lt;=K225,AA225&gt;=AD225,'Proposed Lighting'!AU225=3),VLOOKUP(Q225,$AY$17:$AZ$23,2,FALSE))))))))</f>
        <v>0</v>
      </c>
      <c r="AN225" s="1248">
        <f>IF(T225=0,0,IF(K225&gt;'Proposed Lighting'!AA225,0,IF(AE225=0,0,IF(AND(AD225&gt;AA225,AA225&gt;0),0,IF(U225=0,0,Summary!AE528)))))</f>
        <v>0</v>
      </c>
      <c r="AO225" s="1248">
        <f t="shared" si="50"/>
        <v>0</v>
      </c>
      <c r="AP225" s="1249">
        <f>IF('Proposed Lighting'!AU225=1,0,IF(K225=0,0,IF(T225&gt;K225,0,IF(G225=0,0,IF(K225&gt;'Proposed Lighting'!AA225,0,IF(AND(AD225&gt;AA225,AA225&gt;0),0,IF(AND('Proposed Lighting'!AU225=3,AM225=0.5),0,IF(AND(AM225&gt;0,AS225&gt;0,BI225&lt;2),0,IF('Proposed Lighting'!CH225=100,0,IF(AV225=1,0,IF(AND(AM225=35,M225+N225&lt;2),0,AM225)))))))))))</f>
        <v>0</v>
      </c>
      <c r="AQ225" s="1249" t="str">
        <f>IFERROR(ROUND(IF(Q225="","",IF('Proposed Lighting'!$X$4=0,0,IF(AND(AM225=35,M225+N225&lt;2),0,IF(T225&gt;K225,0,IF('Proposed Lighting'!AU225=1,0,IF(AJ225=0,0,IF(AND('Proposed Lighting'!AU225=3,AM225=0.5),0,IF(AND(AD225=75,AP225=0,AV225=0),0,IF(AP225&gt;0.01,AP225*T225,IF(AND(F225&gt;1,W225&lt;0.01),0,IF(AND(F225&gt;1,AO225=0),0,IF(AND('Proposed Lighting'!BC225=22,AV225=0),0,IF(AND(AM225&gt;0,AS225&gt;0,BI225&lt;2),0,IF(AND(AS225&gt;0.01,BK225=0),0,IF(AND(AO225=TRUE,AV225=1,F225=3),MIN(AJ225*0.08,L225),IF(AP225&gt;0.01,AP225*T225,IF(AND(AO225=TRUE,AV225=1,F225=2),MIN(AJ225*0.1,L225)))))))))))))))))),2),"")</f>
        <v/>
      </c>
      <c r="AR225" s="1250">
        <f>IF(Q225=0,0,IF('Proposed Lighting'!$X$4=0,0,IF(AND(AM225&gt;0.01,AQ225&gt;0.01),0,IF('Proposed Lighting'!AU225=1,"Missing Interior or Exterior Selection",IF('Proposed Lighting'!CF225=1,"Selection does not match",IF(K225&gt;'Proposed Lighting'!AA225,"Quantity controlled does not match proposed lighting quantity",IF(T225&gt;K225,"Quantity of sensors exceeds proposed lighting quantity",IF(AND(F225&gt;1,'Proposed Lighting'!AU225&lt;&gt;F225),"Selection does not match",IF(AND(AD225&gt;AA225,AA225&gt;0),"Does not meet minimum connected load",IF(AND(O225&gt;0,AS225&gt;0,BK225&gt;0,'Proposed Lighting'!CH225=0),"Select Control Strategies",IF(AND(AC225&gt;0.1,AJ225=0,AQ225=0),"Does not meet incentive criteria",0)))))))))))</f>
        <v>0</v>
      </c>
      <c r="AS225" s="1224">
        <f>IF('Proposed Lighting'!CH225=100,0,IF(ISNUMBER(SEARCH("multiple",Q225)),1,0))</f>
        <v>0</v>
      </c>
      <c r="AT225" s="451">
        <f t="shared" si="47"/>
        <v>0</v>
      </c>
      <c r="AU225" s="451">
        <f t="shared" si="48"/>
        <v>0</v>
      </c>
      <c r="AV225" s="1222">
        <f>IF(ISNUMBER(SEARCH("Networked",'Proposed Lighting'!T225)),0,IF(ISNUMBER(SEARCH("Strategies",'Proposed Lighting'!T225)),0,IF(ISNUMBER(SEARCH("Removal",'Proposed Lighting'!T225)),0,IF(ISNUMBER(SEARCH("non-standard",Q225)),1,0))))</f>
        <v>0</v>
      </c>
      <c r="AW225" s="451">
        <f t="shared" si="51"/>
        <v>0</v>
      </c>
      <c r="AX225" s="451"/>
      <c r="AY225" s="451"/>
      <c r="AZ225" s="451"/>
      <c r="BA225" s="451"/>
      <c r="BB225" s="451"/>
      <c r="BC225" s="1215"/>
      <c r="BD225" s="1215"/>
      <c r="BE225" s="1215"/>
      <c r="BF225" s="1215"/>
      <c r="BG225" s="1215"/>
      <c r="BH225" s="1215"/>
      <c r="BI225">
        <f>IF(AND(AS225=1,BC225="No",BD225="Yes",BE225="Yes",BF225="No",BH225="No"),0,IF(AND('Proposed Lighting'!AU225=2,AS225=1,BC225="Yes",BD225="Yes"),2,IF(AND('Proposed Lighting'!AU225=2,AS225=1,BC225="Yes",BE225="Yes"),2,IF(AND('Proposed Lighting'!AU225=2,AS225=1,BC225="Yes",BF225="Yes"),2,IF(AND('Proposed Lighting'!AU225=2,AS225=1,BC225="Yes",BH225="Yes"),2,IF(AND('Proposed Lighting'!AU225=2,AS225=1,BD225="Yes",BF225="Yes"),2,IF(AND('Proposed Lighting'!AU225=2,AS225=1,BD225="Yes",BH225="Yes"),2,IF(AND('Proposed Lighting'!AU225=3,AS225=1,BC225="Yes",BE225="Yes"),2,IF(AND('Proposed Lighting'!AU225=3,AS225=1,BC225="Yes",BF225="Yes"),2,0)))))))))</f>
        <v>0</v>
      </c>
      <c r="BJ225" s="1025">
        <f t="shared" si="49"/>
        <v>0</v>
      </c>
      <c r="BK225">
        <f>IF(AND('Proposed Lighting'!BC225=22,'Lighting Controls'!N225=1),0,IF(ISNUMBER(SEARCH("LED",G225)),1,0))</f>
        <v>0</v>
      </c>
    </row>
    <row r="226" spans="1:63" ht="34.5" customHeight="1">
      <c r="A226" s="917">
        <v>218</v>
      </c>
      <c r="B226" s="1828" t="str">
        <f>IF('Proposed Lighting'!B226="","",'Proposed Lighting'!B226)</f>
        <v/>
      </c>
      <c r="C226" s="1828"/>
      <c r="D226" s="1828"/>
      <c r="E226" s="1245">
        <f>'Proposed Lighting'!AA226</f>
        <v>0</v>
      </c>
      <c r="F226" s="1245">
        <f t="shared" si="42"/>
        <v>0</v>
      </c>
      <c r="G226" s="1830" t="str">
        <f>IF('Proposed Lighting'!T226="","",IF(ISNUMBER(SEARCH("Networked",'Proposed Lighting'!T226)),0,IF(ISNUMBER(SEARCH("Strategies",'Proposed Lighting'!T226)),0,IF(ISNUMBER(SEARCH("Removal",'Proposed Lighting'!T226)),0,'Proposed Lighting'!T226))))</f>
        <v/>
      </c>
      <c r="H226" s="1830"/>
      <c r="I226" s="1830"/>
      <c r="J226" s="1830"/>
      <c r="K226" s="1215"/>
      <c r="L226" s="1246">
        <f t="shared" si="43"/>
        <v>0</v>
      </c>
      <c r="M226" s="1224">
        <f t="shared" si="44"/>
        <v>0</v>
      </c>
      <c r="N226" s="1224">
        <f t="shared" si="45"/>
        <v>0</v>
      </c>
      <c r="O226" s="1825" t="str">
        <f>IF(G226=0,0,IF(ISNA('Proposed Lighting'!AT226),0,'Proposed Lighting'!AT226))</f>
        <v/>
      </c>
      <c r="P226" s="1825"/>
      <c r="Q226" s="1247"/>
      <c r="R226" s="1247"/>
      <c r="S226" s="1247"/>
      <c r="T226" s="1211"/>
      <c r="U226" s="1235">
        <f>IF(K226&gt;0.01,'Proposed Lighting'!CU226,0)</f>
        <v>0</v>
      </c>
      <c r="V226" s="1248">
        <f>IF('Proposed Lighting'!CF226=1,0,IF('Proposed Lighting'!AU226=2,0,IF(AND('Proposed Lighting'!AU226=3,'Proposed Lighting'!CF226=0),1,0)))</f>
        <v>0</v>
      </c>
      <c r="W226" s="1836"/>
      <c r="X226" s="1836"/>
      <c r="Y226" s="1836"/>
      <c r="Z226" s="1230" t="str">
        <f t="shared" si="39"/>
        <v/>
      </c>
      <c r="AA226" s="1230">
        <f t="shared" si="40"/>
        <v>0</v>
      </c>
      <c r="AB226" s="1230">
        <f>IF(Q226=0,0,IF(T226=0,0,IF(AA226=0,0,IF(AND(F226=3,V226=0),0,IF(T226=0,0,IF(K226&gt;'Proposed Lighting'!AA226,0,IF('Proposed Lighting'!EJ226&gt;0.01,(K226*O226)*'Proposed Lighting'!EJ226/1000,(K226*O226)*U226/1000)))))))</f>
        <v>0</v>
      </c>
      <c r="AC226" s="1230" t="str">
        <f t="shared" si="46"/>
        <v/>
      </c>
      <c r="AD226" s="1230">
        <f t="shared" si="41"/>
        <v>0</v>
      </c>
      <c r="AE226" s="1230">
        <f>IF(T226=0,0,IF(K226&gt;'Proposed Lighting'!AA226,0,IF(T226&gt;K226,0,IF(AND(AD226&gt;AA226,AA226&gt;0),0,IF(AND(F226&gt;1,W226&lt;0.01),0,IF('Proposed Lighting'!AU226&gt;'Lighting Controls'!F226,0,IF('Proposed Lighting'!AU226&lt;'Lighting Controls'!F226,0,IF(U226=0,0,Summary!AC529))))))))</f>
        <v>0</v>
      </c>
      <c r="AF226" s="1230">
        <f>IF(T226=0,0,IF(AE226=0,0,IF(K226&gt;'Proposed Lighting'!AA226,0,IF(AND(AD226&gt;AA226,AA226&gt;0),0,IF(U226=0,0,Summary!AD529)))))</f>
        <v>0</v>
      </c>
      <c r="AG226" s="1834">
        <f>IF('Proposed Lighting'!AU226=1,0,IF('Proposed Lighting'!CF226=1,0,T226*W226))</f>
        <v>0</v>
      </c>
      <c r="AH226" s="1834"/>
      <c r="AI226" s="1834"/>
      <c r="AJ226" s="1835">
        <f>IF(T226&lt;1,0,IF(K226&gt;'Proposed Lighting'!AA226,0,IF('Proposed Lighting'!CF226=1,0,IF('Proposed Lighting'!AU226=1,0,IF(T226&gt;K226,0,IF(AND(AD226&gt;AA226,AA226&gt;0),0,IF(AND(F226=2,'Proposed Lighting'!AU226=3),0,IF(AND(F226=3,'Proposed Lighting'!AU226=2),0,IF('Proposed Lighting'!CH226=100,0,IF(AND(F226&lt;3,V226=1,AM226=0),0,IF(AND(F226&gt;1,AF226&lt;1,AN226&lt;1),0,IF(AND(F226&gt;1,AE226&lt;0.69,AF226&lt;1,AN226&lt;1),0,IF(ISERROR(AB226-AC226),"",AB226-AC226)))))))))))))</f>
        <v>0</v>
      </c>
      <c r="AK226" s="1835"/>
      <c r="AL226" s="1835"/>
      <c r="AM226" s="1216">
        <f>IF(Q226=0,0,IF(T226=0,0,IF(T226&gt;K226,0,IF(AND(AS226&gt;0.01,BK226=0),0,IF(AND('Proposed Lighting'!DG226=0,'Lighting Controls'!Z226=0.35),0,IF(AND(T226&lt;=K226,AA226&gt;=AD226,'Proposed Lighting'!AU226=2),VLOOKUP(Q226,$AY$9:$AZ$15,2,FALSE),IF(AND(T226&lt;=K226,AA226&gt;=AD226,'Proposed Lighting'!AU226=3),VLOOKUP(Q226,$AY$17:$AZ$23,2,FALSE))))))))</f>
        <v>0</v>
      </c>
      <c r="AN226" s="1248">
        <f>IF(T226=0,0,IF(K226&gt;'Proposed Lighting'!AA226,0,IF(AE226=0,0,IF(AND(AD226&gt;AA226,AA226&gt;0),0,IF(U226=0,0,Summary!AE529)))))</f>
        <v>0</v>
      </c>
      <c r="AO226" s="1248">
        <f t="shared" si="50"/>
        <v>0</v>
      </c>
      <c r="AP226" s="1249">
        <f>IF('Proposed Lighting'!AU226=1,0,IF(K226=0,0,IF(T226&gt;K226,0,IF(G226=0,0,IF(K226&gt;'Proposed Lighting'!AA226,0,IF(AND(AD226&gt;AA226,AA226&gt;0),0,IF(AND('Proposed Lighting'!AU226=3,AM226=0.5),0,IF(AND(AM226&gt;0,AS226&gt;0,BI226&lt;2),0,IF('Proposed Lighting'!CH226=100,0,IF(AV226=1,0,IF(AND(AM226=35,M226+N226&lt;2),0,AM226)))))))))))</f>
        <v>0</v>
      </c>
      <c r="AQ226" s="1249" t="str">
        <f>IFERROR(ROUND(IF(Q226="","",IF('Proposed Lighting'!$X$4=0,0,IF(AND(AM226=35,M226+N226&lt;2),0,IF(T226&gt;K226,0,IF('Proposed Lighting'!AU226=1,0,IF(AJ226=0,0,IF(AND('Proposed Lighting'!AU226=3,AM226=0.5),0,IF(AND(AD226=75,AP226=0,AV226=0),0,IF(AP226&gt;0.01,AP226*T226,IF(AND(F226&gt;1,W226&lt;0.01),0,IF(AND(F226&gt;1,AO226=0),0,IF(AND('Proposed Lighting'!BC226=22,AV226=0),0,IF(AND(AM226&gt;0,AS226&gt;0,BI226&lt;2),0,IF(AND(AS226&gt;0.01,BK226=0),0,IF(AND(AO226=TRUE,AV226=1,F226=3),MIN(AJ226*0.08,L226),IF(AP226&gt;0.01,AP226*T226,IF(AND(AO226=TRUE,AV226=1,F226=2),MIN(AJ226*0.1,L226)))))))))))))))))),2),"")</f>
        <v/>
      </c>
      <c r="AR226" s="1250">
        <f>IF(Q226=0,0,IF('Proposed Lighting'!$X$4=0,0,IF(AND(AM226&gt;0.01,AQ226&gt;0.01),0,IF('Proposed Lighting'!AU226=1,"Missing Interior or Exterior Selection",IF('Proposed Lighting'!CF226=1,"Selection does not match",IF(K226&gt;'Proposed Lighting'!AA226,"Quantity controlled does not match proposed lighting quantity",IF(T226&gt;K226,"Quantity of sensors exceeds proposed lighting quantity",IF(AND(F226&gt;1,'Proposed Lighting'!AU226&lt;&gt;F226),"Selection does not match",IF(AND(AD226&gt;AA226,AA226&gt;0),"Does not meet minimum connected load",IF(AND(O226&gt;0,AS226&gt;0,BK226&gt;0,'Proposed Lighting'!CH226=0),"Select Control Strategies",IF(AND(AC226&gt;0.1,AJ226=0,AQ226=0),"Does not meet incentive criteria",0)))))))))))</f>
        <v>0</v>
      </c>
      <c r="AS226" s="1224">
        <f>IF('Proposed Lighting'!CH226=100,0,IF(ISNUMBER(SEARCH("multiple",Q226)),1,0))</f>
        <v>0</v>
      </c>
      <c r="AT226" s="451">
        <f t="shared" si="47"/>
        <v>0</v>
      </c>
      <c r="AU226" s="451">
        <f t="shared" si="48"/>
        <v>0</v>
      </c>
      <c r="AV226" s="1222">
        <f>IF(ISNUMBER(SEARCH("Networked",'Proposed Lighting'!T226)),0,IF(ISNUMBER(SEARCH("Strategies",'Proposed Lighting'!T226)),0,IF(ISNUMBER(SEARCH("Removal",'Proposed Lighting'!T226)),0,IF(ISNUMBER(SEARCH("non-standard",Q226)),1,0))))</f>
        <v>0</v>
      </c>
      <c r="AW226" s="451">
        <f t="shared" si="51"/>
        <v>0</v>
      </c>
      <c r="AX226" s="451"/>
      <c r="AY226" s="451"/>
      <c r="AZ226" s="451"/>
      <c r="BA226" s="451"/>
      <c r="BB226" s="451"/>
      <c r="BC226" s="1215"/>
      <c r="BD226" s="1215"/>
      <c r="BE226" s="1215"/>
      <c r="BF226" s="1215"/>
      <c r="BG226" s="1215"/>
      <c r="BH226" s="1215"/>
      <c r="BI226">
        <f>IF(AND(AS226=1,BC226="No",BD226="Yes",BE226="Yes",BF226="No",BH226="No"),0,IF(AND('Proposed Lighting'!AU226=2,AS226=1,BC226="Yes",BD226="Yes"),2,IF(AND('Proposed Lighting'!AU226=2,AS226=1,BC226="Yes",BE226="Yes"),2,IF(AND('Proposed Lighting'!AU226=2,AS226=1,BC226="Yes",BF226="Yes"),2,IF(AND('Proposed Lighting'!AU226=2,AS226=1,BC226="Yes",BH226="Yes"),2,IF(AND('Proposed Lighting'!AU226=2,AS226=1,BD226="Yes",BF226="Yes"),2,IF(AND('Proposed Lighting'!AU226=2,AS226=1,BD226="Yes",BH226="Yes"),2,IF(AND('Proposed Lighting'!AU226=3,AS226=1,BC226="Yes",BE226="Yes"),2,IF(AND('Proposed Lighting'!AU226=3,AS226=1,BC226="Yes",BF226="Yes"),2,0)))))))))</f>
        <v>0</v>
      </c>
      <c r="BJ226" s="1025">
        <f t="shared" si="49"/>
        <v>0</v>
      </c>
      <c r="BK226">
        <f>IF(AND('Proposed Lighting'!BC226=22,'Lighting Controls'!N226=1),0,IF(ISNUMBER(SEARCH("LED",G226)),1,0))</f>
        <v>0</v>
      </c>
    </row>
    <row r="227" spans="1:63" ht="34.5" customHeight="1">
      <c r="A227" s="917">
        <v>219</v>
      </c>
      <c r="B227" s="1828" t="str">
        <f>IF('Proposed Lighting'!B227="","",'Proposed Lighting'!B227)</f>
        <v/>
      </c>
      <c r="C227" s="1828"/>
      <c r="D227" s="1828"/>
      <c r="E227" s="1245">
        <f>'Proposed Lighting'!AA227</f>
        <v>0</v>
      </c>
      <c r="F227" s="1245">
        <f t="shared" si="42"/>
        <v>0</v>
      </c>
      <c r="G227" s="1830" t="str">
        <f>IF('Proposed Lighting'!T227="","",IF(ISNUMBER(SEARCH("Networked",'Proposed Lighting'!T227)),0,IF(ISNUMBER(SEARCH("Strategies",'Proposed Lighting'!T227)),0,IF(ISNUMBER(SEARCH("Removal",'Proposed Lighting'!T227)),0,'Proposed Lighting'!T227))))</f>
        <v/>
      </c>
      <c r="H227" s="1830"/>
      <c r="I227" s="1830"/>
      <c r="J227" s="1830"/>
      <c r="K227" s="1215"/>
      <c r="L227" s="1246">
        <f t="shared" si="43"/>
        <v>0</v>
      </c>
      <c r="M227" s="1224">
        <f t="shared" si="44"/>
        <v>0</v>
      </c>
      <c r="N227" s="1224">
        <f t="shared" si="45"/>
        <v>0</v>
      </c>
      <c r="O227" s="1825" t="str">
        <f>IF(G227=0,0,IF(ISNA('Proposed Lighting'!AT227),0,'Proposed Lighting'!AT227))</f>
        <v/>
      </c>
      <c r="P227" s="1825"/>
      <c r="Q227" s="1247"/>
      <c r="R227" s="1247"/>
      <c r="S227" s="1247"/>
      <c r="T227" s="1211"/>
      <c r="U227" s="1235">
        <f>IF(K227&gt;0.01,'Proposed Lighting'!CU227,0)</f>
        <v>0</v>
      </c>
      <c r="V227" s="1248">
        <f>IF('Proposed Lighting'!CF227=1,0,IF('Proposed Lighting'!AU227=2,0,IF(AND('Proposed Lighting'!AU227=3,'Proposed Lighting'!CF227=0),1,0)))</f>
        <v>0</v>
      </c>
      <c r="W227" s="1836"/>
      <c r="X227" s="1836"/>
      <c r="Y227" s="1836"/>
      <c r="Z227" s="1230" t="str">
        <f t="shared" si="39"/>
        <v/>
      </c>
      <c r="AA227" s="1230">
        <f t="shared" si="40"/>
        <v>0</v>
      </c>
      <c r="AB227" s="1230">
        <f>IF(Q227=0,0,IF(T227=0,0,IF(AA227=0,0,IF(AND(F227=3,V227=0),0,IF(T227=0,0,IF(K227&gt;'Proposed Lighting'!AA227,0,IF('Proposed Lighting'!EJ227&gt;0.01,(K227*O227)*'Proposed Lighting'!EJ227/1000,(K227*O227)*U227/1000)))))))</f>
        <v>0</v>
      </c>
      <c r="AC227" s="1230" t="str">
        <f t="shared" si="46"/>
        <v/>
      </c>
      <c r="AD227" s="1230">
        <f t="shared" si="41"/>
        <v>0</v>
      </c>
      <c r="AE227" s="1230">
        <f>IF(T227=0,0,IF(K227&gt;'Proposed Lighting'!AA227,0,IF(T227&gt;K227,0,IF(AND(AD227&gt;AA227,AA227&gt;0),0,IF(AND(F227&gt;1,W227&lt;0.01),0,IF('Proposed Lighting'!AU227&gt;'Lighting Controls'!F227,0,IF('Proposed Lighting'!AU227&lt;'Lighting Controls'!F227,0,IF(U227=0,0,Summary!AC530))))))))</f>
        <v>0</v>
      </c>
      <c r="AF227" s="1230">
        <f>IF(T227=0,0,IF(AE227=0,0,IF(K227&gt;'Proposed Lighting'!AA227,0,IF(AND(AD227&gt;AA227,AA227&gt;0),0,IF(U227=0,0,Summary!AD530)))))</f>
        <v>0</v>
      </c>
      <c r="AG227" s="1834">
        <f>IF('Proposed Lighting'!AU227=1,0,IF('Proposed Lighting'!CF227=1,0,T227*W227))</f>
        <v>0</v>
      </c>
      <c r="AH227" s="1834"/>
      <c r="AI227" s="1834"/>
      <c r="AJ227" s="1835">
        <f>IF(T227&lt;1,0,IF(K227&gt;'Proposed Lighting'!AA227,0,IF('Proposed Lighting'!CF227=1,0,IF('Proposed Lighting'!AU227=1,0,IF(T227&gt;K227,0,IF(AND(AD227&gt;AA227,AA227&gt;0),0,IF(AND(F227=2,'Proposed Lighting'!AU227=3),0,IF(AND(F227=3,'Proposed Lighting'!AU227=2),0,IF('Proposed Lighting'!CH227=100,0,IF(AND(F227&lt;3,V227=1,AM227=0),0,IF(AND(F227&gt;1,AF227&lt;1,AN227&lt;1),0,IF(AND(F227&gt;1,AE227&lt;0.69,AF227&lt;1,AN227&lt;1),0,IF(ISERROR(AB227-AC227),"",AB227-AC227)))))))))))))</f>
        <v>0</v>
      </c>
      <c r="AK227" s="1835"/>
      <c r="AL227" s="1835"/>
      <c r="AM227" s="1216">
        <f>IF(Q227=0,0,IF(T227=0,0,IF(T227&gt;K227,0,IF(AND(AS227&gt;0.01,BK227=0),0,IF(AND('Proposed Lighting'!DG227=0,'Lighting Controls'!Z227=0.35),0,IF(AND(T227&lt;=K227,AA227&gt;=AD227,'Proposed Lighting'!AU227=2),VLOOKUP(Q227,$AY$9:$AZ$15,2,FALSE),IF(AND(T227&lt;=K227,AA227&gt;=AD227,'Proposed Lighting'!AU227=3),VLOOKUP(Q227,$AY$17:$AZ$23,2,FALSE))))))))</f>
        <v>0</v>
      </c>
      <c r="AN227" s="1248">
        <f>IF(T227=0,0,IF(K227&gt;'Proposed Lighting'!AA227,0,IF(AE227=0,0,IF(AND(AD227&gt;AA227,AA227&gt;0),0,IF(U227=0,0,Summary!AE530)))))</f>
        <v>0</v>
      </c>
      <c r="AO227" s="1248">
        <f t="shared" si="50"/>
        <v>0</v>
      </c>
      <c r="AP227" s="1249">
        <f>IF('Proposed Lighting'!AU227=1,0,IF(K227=0,0,IF(T227&gt;K227,0,IF(G227=0,0,IF(K227&gt;'Proposed Lighting'!AA227,0,IF(AND(AD227&gt;AA227,AA227&gt;0),0,IF(AND('Proposed Lighting'!AU227=3,AM227=0.5),0,IF(AND(AM227&gt;0,AS227&gt;0,BI227&lt;2),0,IF('Proposed Lighting'!CH227=100,0,IF(AV227=1,0,IF(AND(AM227=35,M227+N227&lt;2),0,AM227)))))))))))</f>
        <v>0</v>
      </c>
      <c r="AQ227" s="1249" t="str">
        <f>IFERROR(ROUND(IF(Q227="","",IF('Proposed Lighting'!$X$4=0,0,IF(AND(AM227=35,M227+N227&lt;2),0,IF(T227&gt;K227,0,IF('Proposed Lighting'!AU227=1,0,IF(AJ227=0,0,IF(AND('Proposed Lighting'!AU227=3,AM227=0.5),0,IF(AND(AD227=75,AP227=0,AV227=0),0,IF(AP227&gt;0.01,AP227*T227,IF(AND(F227&gt;1,W227&lt;0.01),0,IF(AND(F227&gt;1,AO227=0),0,IF(AND('Proposed Lighting'!BC227=22,AV227=0),0,IF(AND(AM227&gt;0,AS227&gt;0,BI227&lt;2),0,IF(AND(AS227&gt;0.01,BK227=0),0,IF(AND(AO227=TRUE,AV227=1,F227=3),MIN(AJ227*0.08,L227),IF(AP227&gt;0.01,AP227*T227,IF(AND(AO227=TRUE,AV227=1,F227=2),MIN(AJ227*0.1,L227)))))))))))))))))),2),"")</f>
        <v/>
      </c>
      <c r="AR227" s="1250">
        <f>IF(Q227=0,0,IF('Proposed Lighting'!$X$4=0,0,IF(AND(AM227&gt;0.01,AQ227&gt;0.01),0,IF('Proposed Lighting'!AU227=1,"Missing Interior or Exterior Selection",IF('Proposed Lighting'!CF227=1,"Selection does not match",IF(K227&gt;'Proposed Lighting'!AA227,"Quantity controlled does not match proposed lighting quantity",IF(T227&gt;K227,"Quantity of sensors exceeds proposed lighting quantity",IF(AND(F227&gt;1,'Proposed Lighting'!AU227&lt;&gt;F227),"Selection does not match",IF(AND(AD227&gt;AA227,AA227&gt;0),"Does not meet minimum connected load",IF(AND(O227&gt;0,AS227&gt;0,BK227&gt;0,'Proposed Lighting'!CH227=0),"Select Control Strategies",IF(AND(AC227&gt;0.1,AJ227=0,AQ227=0),"Does not meet incentive criteria",0)))))))))))</f>
        <v>0</v>
      </c>
      <c r="AS227" s="1224">
        <f>IF('Proposed Lighting'!CH227=100,0,IF(ISNUMBER(SEARCH("multiple",Q227)),1,0))</f>
        <v>0</v>
      </c>
      <c r="AT227" s="451">
        <f t="shared" si="47"/>
        <v>0</v>
      </c>
      <c r="AU227" s="451">
        <f t="shared" si="48"/>
        <v>0</v>
      </c>
      <c r="AV227" s="1222">
        <f>IF(ISNUMBER(SEARCH("Networked",'Proposed Lighting'!T227)),0,IF(ISNUMBER(SEARCH("Strategies",'Proposed Lighting'!T227)),0,IF(ISNUMBER(SEARCH("Removal",'Proposed Lighting'!T227)),0,IF(ISNUMBER(SEARCH("non-standard",Q227)),1,0))))</f>
        <v>0</v>
      </c>
      <c r="AW227" s="451">
        <f t="shared" si="51"/>
        <v>0</v>
      </c>
      <c r="AX227" s="451"/>
      <c r="AY227" s="451"/>
      <c r="AZ227" s="451"/>
      <c r="BA227" s="451"/>
      <c r="BB227" s="451"/>
      <c r="BC227" s="1215"/>
      <c r="BD227" s="1215"/>
      <c r="BE227" s="1215"/>
      <c r="BF227" s="1215"/>
      <c r="BG227" s="1215"/>
      <c r="BH227" s="1215"/>
      <c r="BI227">
        <f>IF(AND(AS227=1,BC227="No",BD227="Yes",BE227="Yes",BF227="No",BH227="No"),0,IF(AND('Proposed Lighting'!AU227=2,AS227=1,BC227="Yes",BD227="Yes"),2,IF(AND('Proposed Lighting'!AU227=2,AS227=1,BC227="Yes",BE227="Yes"),2,IF(AND('Proposed Lighting'!AU227=2,AS227=1,BC227="Yes",BF227="Yes"),2,IF(AND('Proposed Lighting'!AU227=2,AS227=1,BC227="Yes",BH227="Yes"),2,IF(AND('Proposed Lighting'!AU227=2,AS227=1,BD227="Yes",BF227="Yes"),2,IF(AND('Proposed Lighting'!AU227=2,AS227=1,BD227="Yes",BH227="Yes"),2,IF(AND('Proposed Lighting'!AU227=3,AS227=1,BC227="Yes",BE227="Yes"),2,IF(AND('Proposed Lighting'!AU227=3,AS227=1,BC227="Yes",BF227="Yes"),2,0)))))))))</f>
        <v>0</v>
      </c>
      <c r="BJ227" s="1025">
        <f t="shared" si="49"/>
        <v>0</v>
      </c>
      <c r="BK227">
        <f>IF(AND('Proposed Lighting'!BC227=22,'Lighting Controls'!N227=1),0,IF(ISNUMBER(SEARCH("LED",G227)),1,0))</f>
        <v>0</v>
      </c>
    </row>
    <row r="228" spans="1:63" ht="34.5" customHeight="1">
      <c r="A228" s="917">
        <v>220</v>
      </c>
      <c r="B228" s="1828" t="str">
        <f>IF('Proposed Lighting'!B228="","",'Proposed Lighting'!B228)</f>
        <v/>
      </c>
      <c r="C228" s="1828"/>
      <c r="D228" s="1828"/>
      <c r="E228" s="1245">
        <f>'Proposed Lighting'!AA228</f>
        <v>0</v>
      </c>
      <c r="F228" s="1245">
        <f t="shared" si="42"/>
        <v>0</v>
      </c>
      <c r="G228" s="1830" t="str">
        <f>IF('Proposed Lighting'!T228="","",IF(ISNUMBER(SEARCH("Networked",'Proposed Lighting'!T228)),0,IF(ISNUMBER(SEARCH("Strategies",'Proposed Lighting'!T228)),0,IF(ISNUMBER(SEARCH("Removal",'Proposed Lighting'!T228)),0,'Proposed Lighting'!T228))))</f>
        <v/>
      </c>
      <c r="H228" s="1830"/>
      <c r="I228" s="1830"/>
      <c r="J228" s="1830"/>
      <c r="K228" s="1215"/>
      <c r="L228" s="1246">
        <f t="shared" si="43"/>
        <v>0</v>
      </c>
      <c r="M228" s="1224">
        <f t="shared" si="44"/>
        <v>0</v>
      </c>
      <c r="N228" s="1224">
        <f t="shared" si="45"/>
        <v>0</v>
      </c>
      <c r="O228" s="1825" t="str">
        <f>IF(G228=0,0,IF(ISNA('Proposed Lighting'!AT228),0,'Proposed Lighting'!AT228))</f>
        <v/>
      </c>
      <c r="P228" s="1825"/>
      <c r="Q228" s="1247"/>
      <c r="R228" s="1247"/>
      <c r="S228" s="1247"/>
      <c r="T228" s="1211"/>
      <c r="U228" s="1235">
        <f>IF(K228&gt;0.01,'Proposed Lighting'!CU228,0)</f>
        <v>0</v>
      </c>
      <c r="V228" s="1248">
        <f>IF('Proposed Lighting'!CF228=1,0,IF('Proposed Lighting'!AU228=2,0,IF(AND('Proposed Lighting'!AU228=3,'Proposed Lighting'!CF228=0),1,0)))</f>
        <v>0</v>
      </c>
      <c r="W228" s="1836"/>
      <c r="X228" s="1836"/>
      <c r="Y228" s="1836"/>
      <c r="Z228" s="1230" t="str">
        <f t="shared" si="39"/>
        <v/>
      </c>
      <c r="AA228" s="1230">
        <f t="shared" si="40"/>
        <v>0</v>
      </c>
      <c r="AB228" s="1230">
        <f>IF(Q228=0,0,IF(T228=0,0,IF(AA228=0,0,IF(AND(F228=3,V228=0),0,IF(T228=0,0,IF(K228&gt;'Proposed Lighting'!AA228,0,IF('Proposed Lighting'!EJ228&gt;0.01,(K228*O228)*'Proposed Lighting'!EJ228/1000,(K228*O228)*U228/1000)))))))</f>
        <v>0</v>
      </c>
      <c r="AC228" s="1230" t="str">
        <f t="shared" si="46"/>
        <v/>
      </c>
      <c r="AD228" s="1230">
        <f t="shared" si="41"/>
        <v>0</v>
      </c>
      <c r="AE228" s="1230">
        <f>IF(T228=0,0,IF(K228&gt;'Proposed Lighting'!AA228,0,IF(T228&gt;K228,0,IF(AND(AD228&gt;AA228,AA228&gt;0),0,IF(AND(F228&gt;1,W228&lt;0.01),0,IF('Proposed Lighting'!AU228&gt;'Lighting Controls'!F228,0,IF('Proposed Lighting'!AU228&lt;'Lighting Controls'!F228,0,IF(U228=0,0,Summary!AC531))))))))</f>
        <v>0</v>
      </c>
      <c r="AF228" s="1230">
        <f>IF(T228=0,0,IF(AE228=0,0,IF(K228&gt;'Proposed Lighting'!AA228,0,IF(AND(AD228&gt;AA228,AA228&gt;0),0,IF(U228=0,0,Summary!AD531)))))</f>
        <v>0</v>
      </c>
      <c r="AG228" s="1834">
        <f>IF('Proposed Lighting'!AU228=1,0,IF('Proposed Lighting'!CF228=1,0,T228*W228))</f>
        <v>0</v>
      </c>
      <c r="AH228" s="1834"/>
      <c r="AI228" s="1834"/>
      <c r="AJ228" s="1835">
        <f>IF(T228&lt;1,0,IF(K228&gt;'Proposed Lighting'!AA228,0,IF('Proposed Lighting'!CF228=1,0,IF('Proposed Lighting'!AU228=1,0,IF(T228&gt;K228,0,IF(AND(AD228&gt;AA228,AA228&gt;0),0,IF(AND(F228=2,'Proposed Lighting'!AU228=3),0,IF(AND(F228=3,'Proposed Lighting'!AU228=2),0,IF('Proposed Lighting'!CH228=100,0,IF(AND(F228&lt;3,V228=1,AM228=0),0,IF(AND(F228&gt;1,AF228&lt;1,AN228&lt;1),0,IF(AND(F228&gt;1,AE228&lt;0.69,AF228&lt;1,AN228&lt;1),0,IF(ISERROR(AB228-AC228),"",AB228-AC228)))))))))))))</f>
        <v>0</v>
      </c>
      <c r="AK228" s="1835"/>
      <c r="AL228" s="1835"/>
      <c r="AM228" s="1216">
        <f>IF(Q228=0,0,IF(T228=0,0,IF(T228&gt;K228,0,IF(AND(AS228&gt;0.01,BK228=0),0,IF(AND('Proposed Lighting'!DG228=0,'Lighting Controls'!Z228=0.35),0,IF(AND(T228&lt;=K228,AA228&gt;=AD228,'Proposed Lighting'!AU228=2),VLOOKUP(Q228,$AY$9:$AZ$15,2,FALSE),IF(AND(T228&lt;=K228,AA228&gt;=AD228,'Proposed Lighting'!AU228=3),VLOOKUP(Q228,$AY$17:$AZ$23,2,FALSE))))))))</f>
        <v>0</v>
      </c>
      <c r="AN228" s="1248">
        <f>IF(T228=0,0,IF(K228&gt;'Proposed Lighting'!AA228,0,IF(AE228=0,0,IF(AND(AD228&gt;AA228,AA228&gt;0),0,IF(U228=0,0,Summary!AE531)))))</f>
        <v>0</v>
      </c>
      <c r="AO228" s="1248">
        <f t="shared" si="50"/>
        <v>0</v>
      </c>
      <c r="AP228" s="1249">
        <f>IF('Proposed Lighting'!AU228=1,0,IF(K228=0,0,IF(T228&gt;K228,0,IF(G228=0,0,IF(K228&gt;'Proposed Lighting'!AA228,0,IF(AND(AD228&gt;AA228,AA228&gt;0),0,IF(AND('Proposed Lighting'!AU228=3,AM228=0.5),0,IF(AND(AM228&gt;0,AS228&gt;0,BI228&lt;2),0,IF('Proposed Lighting'!CH228=100,0,IF(AV228=1,0,IF(AND(AM228=35,M228+N228&lt;2),0,AM228)))))))))))</f>
        <v>0</v>
      </c>
      <c r="AQ228" s="1249" t="str">
        <f>IFERROR(ROUND(IF(Q228="","",IF('Proposed Lighting'!$X$4=0,0,IF(AND(AM228=35,M228+N228&lt;2),0,IF(T228&gt;K228,0,IF('Proposed Lighting'!AU228=1,0,IF(AJ228=0,0,IF(AND('Proposed Lighting'!AU228=3,AM228=0.5),0,IF(AND(AD228=75,AP228=0,AV228=0),0,IF(AP228&gt;0.01,AP228*T228,IF(AND(F228&gt;1,W228&lt;0.01),0,IF(AND(F228&gt;1,AO228=0),0,IF(AND('Proposed Lighting'!BC228=22,AV228=0),0,IF(AND(AM228&gt;0,AS228&gt;0,BI228&lt;2),0,IF(AND(AS228&gt;0.01,BK228=0),0,IF(AND(AO228=TRUE,AV228=1,F228=3),MIN(AJ228*0.08,L228),IF(AP228&gt;0.01,AP228*T228,IF(AND(AO228=TRUE,AV228=1,F228=2),MIN(AJ228*0.1,L228)))))))))))))))))),2),"")</f>
        <v/>
      </c>
      <c r="AR228" s="1250">
        <f>IF(Q228=0,0,IF('Proposed Lighting'!$X$4=0,0,IF(AND(AM228&gt;0.01,AQ228&gt;0.01),0,IF('Proposed Lighting'!AU228=1,"Missing Interior or Exterior Selection",IF('Proposed Lighting'!CF228=1,"Selection does not match",IF(K228&gt;'Proposed Lighting'!AA228,"Quantity controlled does not match proposed lighting quantity",IF(T228&gt;K228,"Quantity of sensors exceeds proposed lighting quantity",IF(AND(F228&gt;1,'Proposed Lighting'!AU228&lt;&gt;F228),"Selection does not match",IF(AND(AD228&gt;AA228,AA228&gt;0),"Does not meet minimum connected load",IF(AND(O228&gt;0,AS228&gt;0,BK228&gt;0,'Proposed Lighting'!CH228=0),"Select Control Strategies",IF(AND(AC228&gt;0.1,AJ228=0,AQ228=0),"Does not meet incentive criteria",0)))))))))))</f>
        <v>0</v>
      </c>
      <c r="AS228" s="1224">
        <f>IF('Proposed Lighting'!CH228=100,0,IF(ISNUMBER(SEARCH("multiple",Q228)),1,0))</f>
        <v>0</v>
      </c>
      <c r="AT228" s="451">
        <f t="shared" si="47"/>
        <v>0</v>
      </c>
      <c r="AU228" s="451">
        <f t="shared" si="48"/>
        <v>0</v>
      </c>
      <c r="AV228" s="1222">
        <f>IF(ISNUMBER(SEARCH("Networked",'Proposed Lighting'!T228)),0,IF(ISNUMBER(SEARCH("Strategies",'Proposed Lighting'!T228)),0,IF(ISNUMBER(SEARCH("Removal",'Proposed Lighting'!T228)),0,IF(ISNUMBER(SEARCH("non-standard",Q228)),1,0))))</f>
        <v>0</v>
      </c>
      <c r="AW228" s="451">
        <f t="shared" si="51"/>
        <v>0</v>
      </c>
      <c r="AX228" s="451"/>
      <c r="AY228" s="451"/>
      <c r="AZ228" s="451"/>
      <c r="BA228" s="451"/>
      <c r="BB228" s="451"/>
      <c r="BC228" s="1215"/>
      <c r="BD228" s="1215"/>
      <c r="BE228" s="1215"/>
      <c r="BF228" s="1215"/>
      <c r="BG228" s="1215"/>
      <c r="BH228" s="1215"/>
      <c r="BI228">
        <f>IF(AND(AS228=1,BC228="No",BD228="Yes",BE228="Yes",BF228="No",BH228="No"),0,IF(AND('Proposed Lighting'!AU228=2,AS228=1,BC228="Yes",BD228="Yes"),2,IF(AND('Proposed Lighting'!AU228=2,AS228=1,BC228="Yes",BE228="Yes"),2,IF(AND('Proposed Lighting'!AU228=2,AS228=1,BC228="Yes",BF228="Yes"),2,IF(AND('Proposed Lighting'!AU228=2,AS228=1,BC228="Yes",BH228="Yes"),2,IF(AND('Proposed Lighting'!AU228=2,AS228=1,BD228="Yes",BF228="Yes"),2,IF(AND('Proposed Lighting'!AU228=2,AS228=1,BD228="Yes",BH228="Yes"),2,IF(AND('Proposed Lighting'!AU228=3,AS228=1,BC228="Yes",BE228="Yes"),2,IF(AND('Proposed Lighting'!AU228=3,AS228=1,BC228="Yes",BF228="Yes"),2,0)))))))))</f>
        <v>0</v>
      </c>
      <c r="BJ228" s="1025">
        <f t="shared" si="49"/>
        <v>0</v>
      </c>
      <c r="BK228">
        <f>IF(AND('Proposed Lighting'!BC228=22,'Lighting Controls'!N228=1),0,IF(ISNUMBER(SEARCH("LED",G228)),1,0))</f>
        <v>0</v>
      </c>
    </row>
    <row r="229" spans="1:63" ht="34.5" customHeight="1">
      <c r="A229" s="917">
        <v>221</v>
      </c>
      <c r="B229" s="1828" t="str">
        <f>IF('Proposed Lighting'!B229="","",'Proposed Lighting'!B229)</f>
        <v/>
      </c>
      <c r="C229" s="1828"/>
      <c r="D229" s="1828"/>
      <c r="E229" s="1245">
        <f>'Proposed Lighting'!AA229</f>
        <v>0</v>
      </c>
      <c r="F229" s="1245">
        <f t="shared" si="42"/>
        <v>0</v>
      </c>
      <c r="G229" s="1830" t="str">
        <f>IF('Proposed Lighting'!T229="","",IF(ISNUMBER(SEARCH("Networked",'Proposed Lighting'!T229)),0,IF(ISNUMBER(SEARCH("Strategies",'Proposed Lighting'!T229)),0,IF(ISNUMBER(SEARCH("Removal",'Proposed Lighting'!T229)),0,'Proposed Lighting'!T229))))</f>
        <v/>
      </c>
      <c r="H229" s="1830"/>
      <c r="I229" s="1830"/>
      <c r="J229" s="1830"/>
      <c r="K229" s="1215"/>
      <c r="L229" s="1246">
        <f t="shared" si="43"/>
        <v>0</v>
      </c>
      <c r="M229" s="1224">
        <f t="shared" si="44"/>
        <v>0</v>
      </c>
      <c r="N229" s="1224">
        <f t="shared" si="45"/>
        <v>0</v>
      </c>
      <c r="O229" s="1825" t="str">
        <f>IF(G229=0,0,IF(ISNA('Proposed Lighting'!AT229),0,'Proposed Lighting'!AT229))</f>
        <v/>
      </c>
      <c r="P229" s="1825"/>
      <c r="Q229" s="1247"/>
      <c r="R229" s="1247"/>
      <c r="S229" s="1247"/>
      <c r="T229" s="1211"/>
      <c r="U229" s="1235">
        <f>IF(K229&gt;0.01,'Proposed Lighting'!CU229,0)</f>
        <v>0</v>
      </c>
      <c r="V229" s="1248">
        <f>IF('Proposed Lighting'!CF229=1,0,IF('Proposed Lighting'!AU229=2,0,IF(AND('Proposed Lighting'!AU229=3,'Proposed Lighting'!CF229=0),1,0)))</f>
        <v>0</v>
      </c>
      <c r="W229" s="1836"/>
      <c r="X229" s="1836"/>
      <c r="Y229" s="1836"/>
      <c r="Z229" s="1230" t="str">
        <f t="shared" si="39"/>
        <v/>
      </c>
      <c r="AA229" s="1230">
        <f t="shared" si="40"/>
        <v>0</v>
      </c>
      <c r="AB229" s="1230">
        <f>IF(Q229=0,0,IF(T229=0,0,IF(AA229=0,0,IF(AND(F229=3,V229=0),0,IF(T229=0,0,IF(K229&gt;'Proposed Lighting'!AA229,0,IF('Proposed Lighting'!EJ229&gt;0.01,(K229*O229)*'Proposed Lighting'!EJ229/1000,(K229*O229)*U229/1000)))))))</f>
        <v>0</v>
      </c>
      <c r="AC229" s="1230" t="str">
        <f t="shared" si="46"/>
        <v/>
      </c>
      <c r="AD229" s="1230">
        <f t="shared" si="41"/>
        <v>0</v>
      </c>
      <c r="AE229" s="1230">
        <f>IF(T229=0,0,IF(K229&gt;'Proposed Lighting'!AA229,0,IF(T229&gt;K229,0,IF(AND(AD229&gt;AA229,AA229&gt;0),0,IF(AND(F229&gt;1,W229&lt;0.01),0,IF('Proposed Lighting'!AU229&gt;'Lighting Controls'!F229,0,IF('Proposed Lighting'!AU229&lt;'Lighting Controls'!F229,0,IF(U229=0,0,Summary!AC532))))))))</f>
        <v>0</v>
      </c>
      <c r="AF229" s="1230">
        <f>IF(T229=0,0,IF(AE229=0,0,IF(K229&gt;'Proposed Lighting'!AA229,0,IF(AND(AD229&gt;AA229,AA229&gt;0),0,IF(U229=0,0,Summary!AD532)))))</f>
        <v>0</v>
      </c>
      <c r="AG229" s="1834">
        <f>IF('Proposed Lighting'!AU229=1,0,IF('Proposed Lighting'!CF229=1,0,T229*W229))</f>
        <v>0</v>
      </c>
      <c r="AH229" s="1834"/>
      <c r="AI229" s="1834"/>
      <c r="AJ229" s="1835">
        <f>IF(T229&lt;1,0,IF(K229&gt;'Proposed Lighting'!AA229,0,IF('Proposed Lighting'!CF229=1,0,IF('Proposed Lighting'!AU229=1,0,IF(T229&gt;K229,0,IF(AND(AD229&gt;AA229,AA229&gt;0),0,IF(AND(F229=2,'Proposed Lighting'!AU229=3),0,IF(AND(F229=3,'Proposed Lighting'!AU229=2),0,IF('Proposed Lighting'!CH229=100,0,IF(AND(F229&lt;3,V229=1,AM229=0),0,IF(AND(F229&gt;1,AF229&lt;1,AN229&lt;1),0,IF(AND(F229&gt;1,AE229&lt;0.69,AF229&lt;1,AN229&lt;1),0,IF(ISERROR(AB229-AC229),"",AB229-AC229)))))))))))))</f>
        <v>0</v>
      </c>
      <c r="AK229" s="1835"/>
      <c r="AL229" s="1835"/>
      <c r="AM229" s="1216">
        <f>IF(Q229=0,0,IF(T229=0,0,IF(T229&gt;K229,0,IF(AND(AS229&gt;0.01,BK229=0),0,IF(AND('Proposed Lighting'!DG229=0,'Lighting Controls'!Z229=0.35),0,IF(AND(T229&lt;=K229,AA229&gt;=AD229,'Proposed Lighting'!AU229=2),VLOOKUP(Q229,$AY$9:$AZ$15,2,FALSE),IF(AND(T229&lt;=K229,AA229&gt;=AD229,'Proposed Lighting'!AU229=3),VLOOKUP(Q229,$AY$17:$AZ$23,2,FALSE))))))))</f>
        <v>0</v>
      </c>
      <c r="AN229" s="1248">
        <f>IF(T229=0,0,IF(K229&gt;'Proposed Lighting'!AA229,0,IF(AE229=0,0,IF(AND(AD229&gt;AA229,AA229&gt;0),0,IF(U229=0,0,Summary!AE532)))))</f>
        <v>0</v>
      </c>
      <c r="AO229" s="1248">
        <f t="shared" si="50"/>
        <v>0</v>
      </c>
      <c r="AP229" s="1249">
        <f>IF('Proposed Lighting'!AU229=1,0,IF(K229=0,0,IF(T229&gt;K229,0,IF(G229=0,0,IF(K229&gt;'Proposed Lighting'!AA229,0,IF(AND(AD229&gt;AA229,AA229&gt;0),0,IF(AND('Proposed Lighting'!AU229=3,AM229=0.5),0,IF(AND(AM229&gt;0,AS229&gt;0,BI229&lt;2),0,IF('Proposed Lighting'!CH229=100,0,IF(AV229=1,0,IF(AND(AM229=35,M229+N229&lt;2),0,AM229)))))))))))</f>
        <v>0</v>
      </c>
      <c r="AQ229" s="1249" t="str">
        <f>IFERROR(ROUND(IF(Q229="","",IF('Proposed Lighting'!$X$4=0,0,IF(AND(AM229=35,M229+N229&lt;2),0,IF(T229&gt;K229,0,IF('Proposed Lighting'!AU229=1,0,IF(AJ229=0,0,IF(AND('Proposed Lighting'!AU229=3,AM229=0.5),0,IF(AND(AD229=75,AP229=0,AV229=0),0,IF(AP229&gt;0.01,AP229*T229,IF(AND(F229&gt;1,W229&lt;0.01),0,IF(AND(F229&gt;1,AO229=0),0,IF(AND('Proposed Lighting'!BC229=22,AV229=0),0,IF(AND(AM229&gt;0,AS229&gt;0,BI229&lt;2),0,IF(AND(AS229&gt;0.01,BK229=0),0,IF(AND(AO229=TRUE,AV229=1,F229=3),MIN(AJ229*0.08,L229),IF(AP229&gt;0.01,AP229*T229,IF(AND(AO229=TRUE,AV229=1,F229=2),MIN(AJ229*0.1,L229)))))))))))))))))),2),"")</f>
        <v/>
      </c>
      <c r="AR229" s="1250">
        <f>IF(Q229=0,0,IF('Proposed Lighting'!$X$4=0,0,IF(AND(AM229&gt;0.01,AQ229&gt;0.01),0,IF('Proposed Lighting'!AU229=1,"Missing Interior or Exterior Selection",IF('Proposed Lighting'!CF229=1,"Selection does not match",IF(K229&gt;'Proposed Lighting'!AA229,"Quantity controlled does not match proposed lighting quantity",IF(T229&gt;K229,"Quantity of sensors exceeds proposed lighting quantity",IF(AND(F229&gt;1,'Proposed Lighting'!AU229&lt;&gt;F229),"Selection does not match",IF(AND(AD229&gt;AA229,AA229&gt;0),"Does not meet minimum connected load",IF(AND(O229&gt;0,AS229&gt;0,BK229&gt;0,'Proposed Lighting'!CH229=0),"Select Control Strategies",IF(AND(AC229&gt;0.1,AJ229=0,AQ229=0),"Does not meet incentive criteria",0)))))))))))</f>
        <v>0</v>
      </c>
      <c r="AS229" s="1224">
        <f>IF('Proposed Lighting'!CH229=100,0,IF(ISNUMBER(SEARCH("multiple",Q229)),1,0))</f>
        <v>0</v>
      </c>
      <c r="AT229" s="451">
        <f t="shared" si="47"/>
        <v>0</v>
      </c>
      <c r="AU229" s="451">
        <f t="shared" si="48"/>
        <v>0</v>
      </c>
      <c r="AV229" s="1222">
        <f>IF(ISNUMBER(SEARCH("Networked",'Proposed Lighting'!T229)),0,IF(ISNUMBER(SEARCH("Strategies",'Proposed Lighting'!T229)),0,IF(ISNUMBER(SEARCH("Removal",'Proposed Lighting'!T229)),0,IF(ISNUMBER(SEARCH("non-standard",Q229)),1,0))))</f>
        <v>0</v>
      </c>
      <c r="AW229" s="451">
        <f t="shared" si="51"/>
        <v>0</v>
      </c>
      <c r="AX229" s="451"/>
      <c r="AY229" s="451"/>
      <c r="AZ229" s="451"/>
      <c r="BA229" s="451"/>
      <c r="BB229" s="451"/>
      <c r="BC229" s="1215"/>
      <c r="BD229" s="1215"/>
      <c r="BE229" s="1215"/>
      <c r="BF229" s="1215"/>
      <c r="BG229" s="1215"/>
      <c r="BH229" s="1215"/>
      <c r="BI229">
        <f>IF(AND(AS229=1,BC229="No",BD229="Yes",BE229="Yes",BF229="No",BH229="No"),0,IF(AND('Proposed Lighting'!AU229=2,AS229=1,BC229="Yes",BD229="Yes"),2,IF(AND('Proposed Lighting'!AU229=2,AS229=1,BC229="Yes",BE229="Yes"),2,IF(AND('Proposed Lighting'!AU229=2,AS229=1,BC229="Yes",BF229="Yes"),2,IF(AND('Proposed Lighting'!AU229=2,AS229=1,BC229="Yes",BH229="Yes"),2,IF(AND('Proposed Lighting'!AU229=2,AS229=1,BD229="Yes",BF229="Yes"),2,IF(AND('Proposed Lighting'!AU229=2,AS229=1,BD229="Yes",BH229="Yes"),2,IF(AND('Proposed Lighting'!AU229=3,AS229=1,BC229="Yes",BE229="Yes"),2,IF(AND('Proposed Lighting'!AU229=3,AS229=1,BC229="Yes",BF229="Yes"),2,0)))))))))</f>
        <v>0</v>
      </c>
      <c r="BJ229" s="1025">
        <f t="shared" si="49"/>
        <v>0</v>
      </c>
      <c r="BK229">
        <f>IF(AND('Proposed Lighting'!BC229=22,'Lighting Controls'!N229=1),0,IF(ISNUMBER(SEARCH("LED",G229)),1,0))</f>
        <v>0</v>
      </c>
    </row>
    <row r="230" spans="1:63" ht="34.5" customHeight="1">
      <c r="A230" s="917">
        <v>222</v>
      </c>
      <c r="B230" s="1828" t="str">
        <f>IF('Proposed Lighting'!B230="","",'Proposed Lighting'!B230)</f>
        <v/>
      </c>
      <c r="C230" s="1828"/>
      <c r="D230" s="1828"/>
      <c r="E230" s="1245">
        <f>'Proposed Lighting'!AA230</f>
        <v>0</v>
      </c>
      <c r="F230" s="1245">
        <f t="shared" si="42"/>
        <v>0</v>
      </c>
      <c r="G230" s="1830" t="str">
        <f>IF('Proposed Lighting'!T230="","",IF(ISNUMBER(SEARCH("Networked",'Proposed Lighting'!T230)),0,IF(ISNUMBER(SEARCH("Strategies",'Proposed Lighting'!T230)),0,IF(ISNUMBER(SEARCH("Removal",'Proposed Lighting'!T230)),0,'Proposed Lighting'!T230))))</f>
        <v/>
      </c>
      <c r="H230" s="1830"/>
      <c r="I230" s="1830"/>
      <c r="J230" s="1830"/>
      <c r="K230" s="1215"/>
      <c r="L230" s="1246">
        <f t="shared" si="43"/>
        <v>0</v>
      </c>
      <c r="M230" s="1224">
        <f t="shared" si="44"/>
        <v>0</v>
      </c>
      <c r="N230" s="1224">
        <f t="shared" si="45"/>
        <v>0</v>
      </c>
      <c r="O230" s="1825" t="str">
        <f>IF(G230=0,0,IF(ISNA('Proposed Lighting'!AT230),0,'Proposed Lighting'!AT230))</f>
        <v/>
      </c>
      <c r="P230" s="1825"/>
      <c r="Q230" s="1247"/>
      <c r="R230" s="1247"/>
      <c r="S230" s="1247"/>
      <c r="T230" s="1211"/>
      <c r="U230" s="1235">
        <f>IF(K230&gt;0.01,'Proposed Lighting'!CU230,0)</f>
        <v>0</v>
      </c>
      <c r="V230" s="1248">
        <f>IF('Proposed Lighting'!CF230=1,0,IF('Proposed Lighting'!AU230=2,0,IF(AND('Proposed Lighting'!AU230=3,'Proposed Lighting'!CF230=0),1,0)))</f>
        <v>0</v>
      </c>
      <c r="W230" s="1836"/>
      <c r="X230" s="1836"/>
      <c r="Y230" s="1836"/>
      <c r="Z230" s="1230" t="str">
        <f t="shared" si="39"/>
        <v/>
      </c>
      <c r="AA230" s="1230">
        <f t="shared" si="40"/>
        <v>0</v>
      </c>
      <c r="AB230" s="1230">
        <f>IF(Q230=0,0,IF(T230=0,0,IF(AA230=0,0,IF(AND(F230=3,V230=0),0,IF(T230=0,0,IF(K230&gt;'Proposed Lighting'!AA230,0,IF('Proposed Lighting'!EJ230&gt;0.01,(K230*O230)*'Proposed Lighting'!EJ230/1000,(K230*O230)*U230/1000)))))))</f>
        <v>0</v>
      </c>
      <c r="AC230" s="1230" t="str">
        <f t="shared" si="46"/>
        <v/>
      </c>
      <c r="AD230" s="1230">
        <f t="shared" si="41"/>
        <v>0</v>
      </c>
      <c r="AE230" s="1230">
        <f>IF(T230=0,0,IF(K230&gt;'Proposed Lighting'!AA230,0,IF(T230&gt;K230,0,IF(AND(AD230&gt;AA230,AA230&gt;0),0,IF(AND(F230&gt;1,W230&lt;0.01),0,IF('Proposed Lighting'!AU230&gt;'Lighting Controls'!F230,0,IF('Proposed Lighting'!AU230&lt;'Lighting Controls'!F230,0,IF(U230=0,0,Summary!AC533))))))))</f>
        <v>0</v>
      </c>
      <c r="AF230" s="1230">
        <f>IF(T230=0,0,IF(AE230=0,0,IF(K230&gt;'Proposed Lighting'!AA230,0,IF(AND(AD230&gt;AA230,AA230&gt;0),0,IF(U230=0,0,Summary!AD533)))))</f>
        <v>0</v>
      </c>
      <c r="AG230" s="1834">
        <f>IF('Proposed Lighting'!AU230=1,0,IF('Proposed Lighting'!CF230=1,0,T230*W230))</f>
        <v>0</v>
      </c>
      <c r="AH230" s="1834"/>
      <c r="AI230" s="1834"/>
      <c r="AJ230" s="1835">
        <f>IF(T230&lt;1,0,IF(K230&gt;'Proposed Lighting'!AA230,0,IF('Proposed Lighting'!CF230=1,0,IF('Proposed Lighting'!AU230=1,0,IF(T230&gt;K230,0,IF(AND(AD230&gt;AA230,AA230&gt;0),0,IF(AND(F230=2,'Proposed Lighting'!AU230=3),0,IF(AND(F230=3,'Proposed Lighting'!AU230=2),0,IF('Proposed Lighting'!CH230=100,0,IF(AND(F230&lt;3,V230=1,AM230=0),0,IF(AND(F230&gt;1,AF230&lt;1,AN230&lt;1),0,IF(AND(F230&gt;1,AE230&lt;0.69,AF230&lt;1,AN230&lt;1),0,IF(ISERROR(AB230-AC230),"",AB230-AC230)))))))))))))</f>
        <v>0</v>
      </c>
      <c r="AK230" s="1835"/>
      <c r="AL230" s="1835"/>
      <c r="AM230" s="1216">
        <f>IF(Q230=0,0,IF(T230=0,0,IF(T230&gt;K230,0,IF(AND(AS230&gt;0.01,BK230=0),0,IF(AND('Proposed Lighting'!DG230=0,'Lighting Controls'!Z230=0.35),0,IF(AND(T230&lt;=K230,AA230&gt;=AD230,'Proposed Lighting'!AU230=2),VLOOKUP(Q230,$AY$9:$AZ$15,2,FALSE),IF(AND(T230&lt;=K230,AA230&gt;=AD230,'Proposed Lighting'!AU230=3),VLOOKUP(Q230,$AY$17:$AZ$23,2,FALSE))))))))</f>
        <v>0</v>
      </c>
      <c r="AN230" s="1248">
        <f>IF(T230=0,0,IF(K230&gt;'Proposed Lighting'!AA230,0,IF(AE230=0,0,IF(AND(AD230&gt;AA230,AA230&gt;0),0,IF(U230=0,0,Summary!AE533)))))</f>
        <v>0</v>
      </c>
      <c r="AO230" s="1248">
        <f t="shared" si="50"/>
        <v>0</v>
      </c>
      <c r="AP230" s="1249">
        <f>IF('Proposed Lighting'!AU230=1,0,IF(K230=0,0,IF(T230&gt;K230,0,IF(G230=0,0,IF(K230&gt;'Proposed Lighting'!AA230,0,IF(AND(AD230&gt;AA230,AA230&gt;0),0,IF(AND('Proposed Lighting'!AU230=3,AM230=0.5),0,IF(AND(AM230&gt;0,AS230&gt;0,BI230&lt;2),0,IF('Proposed Lighting'!CH230=100,0,IF(AV230=1,0,IF(AND(AM230=35,M230+N230&lt;2),0,AM230)))))))))))</f>
        <v>0</v>
      </c>
      <c r="AQ230" s="1249" t="str">
        <f>IFERROR(ROUND(IF(Q230="","",IF('Proposed Lighting'!$X$4=0,0,IF(AND(AM230=35,M230+N230&lt;2),0,IF(T230&gt;K230,0,IF('Proposed Lighting'!AU230=1,0,IF(AJ230=0,0,IF(AND('Proposed Lighting'!AU230=3,AM230=0.5),0,IF(AND(AD230=75,AP230=0,AV230=0),0,IF(AP230&gt;0.01,AP230*T230,IF(AND(F230&gt;1,W230&lt;0.01),0,IF(AND(F230&gt;1,AO230=0),0,IF(AND('Proposed Lighting'!BC230=22,AV230=0),0,IF(AND(AM230&gt;0,AS230&gt;0,BI230&lt;2),0,IF(AND(AS230&gt;0.01,BK230=0),0,IF(AND(AO230=TRUE,AV230=1,F230=3),MIN(AJ230*0.08,L230),IF(AP230&gt;0.01,AP230*T230,IF(AND(AO230=TRUE,AV230=1,F230=2),MIN(AJ230*0.1,L230)))))))))))))))))),2),"")</f>
        <v/>
      </c>
      <c r="AR230" s="1250">
        <f>IF(Q230=0,0,IF('Proposed Lighting'!$X$4=0,0,IF(AND(AM230&gt;0.01,AQ230&gt;0.01),0,IF('Proposed Lighting'!AU230=1,"Missing Interior or Exterior Selection",IF('Proposed Lighting'!CF230=1,"Selection does not match",IF(K230&gt;'Proposed Lighting'!AA230,"Quantity controlled does not match proposed lighting quantity",IF(T230&gt;K230,"Quantity of sensors exceeds proposed lighting quantity",IF(AND(F230&gt;1,'Proposed Lighting'!AU230&lt;&gt;F230),"Selection does not match",IF(AND(AD230&gt;AA230,AA230&gt;0),"Does not meet minimum connected load",IF(AND(O230&gt;0,AS230&gt;0,BK230&gt;0,'Proposed Lighting'!CH230=0),"Select Control Strategies",IF(AND(AC230&gt;0.1,AJ230=0,AQ230=0),"Does not meet incentive criteria",0)))))))))))</f>
        <v>0</v>
      </c>
      <c r="AS230" s="1224">
        <f>IF('Proposed Lighting'!CH230=100,0,IF(ISNUMBER(SEARCH("multiple",Q230)),1,0))</f>
        <v>0</v>
      </c>
      <c r="AT230" s="451">
        <f t="shared" si="47"/>
        <v>0</v>
      </c>
      <c r="AU230" s="451">
        <f t="shared" si="48"/>
        <v>0</v>
      </c>
      <c r="AV230" s="1222">
        <f>IF(ISNUMBER(SEARCH("Networked",'Proposed Lighting'!T230)),0,IF(ISNUMBER(SEARCH("Strategies",'Proposed Lighting'!T230)),0,IF(ISNUMBER(SEARCH("Removal",'Proposed Lighting'!T230)),0,IF(ISNUMBER(SEARCH("non-standard",Q230)),1,0))))</f>
        <v>0</v>
      </c>
      <c r="AW230" s="451">
        <f t="shared" si="51"/>
        <v>0</v>
      </c>
      <c r="AX230" s="451"/>
      <c r="AY230" s="451"/>
      <c r="AZ230" s="451"/>
      <c r="BA230" s="451"/>
      <c r="BB230" s="451"/>
      <c r="BC230" s="1215"/>
      <c r="BD230" s="1215"/>
      <c r="BE230" s="1215"/>
      <c r="BF230" s="1215"/>
      <c r="BG230" s="1215"/>
      <c r="BH230" s="1215"/>
      <c r="BI230">
        <f>IF(AND(AS230=1,BC230="No",BD230="Yes",BE230="Yes",BF230="No",BH230="No"),0,IF(AND('Proposed Lighting'!AU230=2,AS230=1,BC230="Yes",BD230="Yes"),2,IF(AND('Proposed Lighting'!AU230=2,AS230=1,BC230="Yes",BE230="Yes"),2,IF(AND('Proposed Lighting'!AU230=2,AS230=1,BC230="Yes",BF230="Yes"),2,IF(AND('Proposed Lighting'!AU230=2,AS230=1,BC230="Yes",BH230="Yes"),2,IF(AND('Proposed Lighting'!AU230=2,AS230=1,BD230="Yes",BF230="Yes"),2,IF(AND('Proposed Lighting'!AU230=2,AS230=1,BD230="Yes",BH230="Yes"),2,IF(AND('Proposed Lighting'!AU230=3,AS230=1,BC230="Yes",BE230="Yes"),2,IF(AND('Proposed Lighting'!AU230=3,AS230=1,BC230="Yes",BF230="Yes"),2,0)))))))))</f>
        <v>0</v>
      </c>
      <c r="BJ230" s="1025">
        <f t="shared" si="49"/>
        <v>0</v>
      </c>
      <c r="BK230">
        <f>IF(AND('Proposed Lighting'!BC230=22,'Lighting Controls'!N230=1),0,IF(ISNUMBER(SEARCH("LED",G230)),1,0))</f>
        <v>0</v>
      </c>
    </row>
    <row r="231" spans="1:63" ht="34.5" customHeight="1">
      <c r="A231" s="917">
        <v>223</v>
      </c>
      <c r="B231" s="1828" t="str">
        <f>IF('Proposed Lighting'!B231="","",'Proposed Lighting'!B231)</f>
        <v/>
      </c>
      <c r="C231" s="1828"/>
      <c r="D231" s="1828"/>
      <c r="E231" s="1245">
        <f>'Proposed Lighting'!AA231</f>
        <v>0</v>
      </c>
      <c r="F231" s="1245">
        <f t="shared" si="42"/>
        <v>0</v>
      </c>
      <c r="G231" s="1830" t="str">
        <f>IF('Proposed Lighting'!T231="","",IF(ISNUMBER(SEARCH("Networked",'Proposed Lighting'!T231)),0,IF(ISNUMBER(SEARCH("Strategies",'Proposed Lighting'!T231)),0,IF(ISNUMBER(SEARCH("Removal",'Proposed Lighting'!T231)),0,'Proposed Lighting'!T231))))</f>
        <v/>
      </c>
      <c r="H231" s="1830"/>
      <c r="I231" s="1830"/>
      <c r="J231" s="1830"/>
      <c r="K231" s="1215"/>
      <c r="L231" s="1246">
        <f t="shared" si="43"/>
        <v>0</v>
      </c>
      <c r="M231" s="1224">
        <f t="shared" si="44"/>
        <v>0</v>
      </c>
      <c r="N231" s="1224">
        <f t="shared" si="45"/>
        <v>0</v>
      </c>
      <c r="O231" s="1825" t="str">
        <f>IF(G231=0,0,IF(ISNA('Proposed Lighting'!AT231),0,'Proposed Lighting'!AT231))</f>
        <v/>
      </c>
      <c r="P231" s="1825"/>
      <c r="Q231" s="1247"/>
      <c r="R231" s="1247"/>
      <c r="S231" s="1247"/>
      <c r="T231" s="1211"/>
      <c r="U231" s="1235">
        <f>IF(K231&gt;0.01,'Proposed Lighting'!CU231,0)</f>
        <v>0</v>
      </c>
      <c r="V231" s="1248">
        <f>IF('Proposed Lighting'!CF231=1,0,IF('Proposed Lighting'!AU231=2,0,IF(AND('Proposed Lighting'!AU231=3,'Proposed Lighting'!CF231=0),1,0)))</f>
        <v>0</v>
      </c>
      <c r="W231" s="1836"/>
      <c r="X231" s="1836"/>
      <c r="Y231" s="1836"/>
      <c r="Z231" s="1230" t="str">
        <f t="shared" si="39"/>
        <v/>
      </c>
      <c r="AA231" s="1230">
        <f t="shared" si="40"/>
        <v>0</v>
      </c>
      <c r="AB231" s="1230">
        <f>IF(Q231=0,0,IF(T231=0,0,IF(AA231=0,0,IF(AND(F231=3,V231=0),0,IF(T231=0,0,IF(K231&gt;'Proposed Lighting'!AA231,0,IF('Proposed Lighting'!EJ231&gt;0.01,(K231*O231)*'Proposed Lighting'!EJ231/1000,(K231*O231)*U231/1000)))))))</f>
        <v>0</v>
      </c>
      <c r="AC231" s="1230" t="str">
        <f t="shared" si="46"/>
        <v/>
      </c>
      <c r="AD231" s="1230">
        <f t="shared" si="41"/>
        <v>0</v>
      </c>
      <c r="AE231" s="1230">
        <f>IF(T231=0,0,IF(K231&gt;'Proposed Lighting'!AA231,0,IF(T231&gt;K231,0,IF(AND(AD231&gt;AA231,AA231&gt;0),0,IF(AND(F231&gt;1,W231&lt;0.01),0,IF('Proposed Lighting'!AU231&gt;'Lighting Controls'!F231,0,IF('Proposed Lighting'!AU231&lt;'Lighting Controls'!F231,0,IF(U231=0,0,Summary!AC534))))))))</f>
        <v>0</v>
      </c>
      <c r="AF231" s="1230">
        <f>IF(T231=0,0,IF(AE231=0,0,IF(K231&gt;'Proposed Lighting'!AA231,0,IF(AND(AD231&gt;AA231,AA231&gt;0),0,IF(U231=0,0,Summary!AD534)))))</f>
        <v>0</v>
      </c>
      <c r="AG231" s="1834">
        <f>IF('Proposed Lighting'!AU231=1,0,IF('Proposed Lighting'!CF231=1,0,T231*W231))</f>
        <v>0</v>
      </c>
      <c r="AH231" s="1834"/>
      <c r="AI231" s="1834"/>
      <c r="AJ231" s="1835">
        <f>IF(T231&lt;1,0,IF(K231&gt;'Proposed Lighting'!AA231,0,IF('Proposed Lighting'!CF231=1,0,IF('Proposed Lighting'!AU231=1,0,IF(T231&gt;K231,0,IF(AND(AD231&gt;AA231,AA231&gt;0),0,IF(AND(F231=2,'Proposed Lighting'!AU231=3),0,IF(AND(F231=3,'Proposed Lighting'!AU231=2),0,IF('Proposed Lighting'!CH231=100,0,IF(AND(F231&lt;3,V231=1,AM231=0),0,IF(AND(F231&gt;1,AF231&lt;1,AN231&lt;1),0,IF(AND(F231&gt;1,AE231&lt;0.69,AF231&lt;1,AN231&lt;1),0,IF(ISERROR(AB231-AC231),"",AB231-AC231)))))))))))))</f>
        <v>0</v>
      </c>
      <c r="AK231" s="1835"/>
      <c r="AL231" s="1835"/>
      <c r="AM231" s="1216">
        <f>IF(Q231=0,0,IF(T231=0,0,IF(T231&gt;K231,0,IF(AND(AS231&gt;0.01,BK231=0),0,IF(AND('Proposed Lighting'!DG231=0,'Lighting Controls'!Z231=0.35),0,IF(AND(T231&lt;=K231,AA231&gt;=AD231,'Proposed Lighting'!AU231=2),VLOOKUP(Q231,$AY$9:$AZ$15,2,FALSE),IF(AND(T231&lt;=K231,AA231&gt;=AD231,'Proposed Lighting'!AU231=3),VLOOKUP(Q231,$AY$17:$AZ$23,2,FALSE))))))))</f>
        <v>0</v>
      </c>
      <c r="AN231" s="1248">
        <f>IF(T231=0,0,IF(K231&gt;'Proposed Lighting'!AA231,0,IF(AE231=0,0,IF(AND(AD231&gt;AA231,AA231&gt;0),0,IF(U231=0,0,Summary!AE534)))))</f>
        <v>0</v>
      </c>
      <c r="AO231" s="1248">
        <f t="shared" si="50"/>
        <v>0</v>
      </c>
      <c r="AP231" s="1249">
        <f>IF('Proposed Lighting'!AU231=1,0,IF(K231=0,0,IF(T231&gt;K231,0,IF(G231=0,0,IF(K231&gt;'Proposed Lighting'!AA231,0,IF(AND(AD231&gt;AA231,AA231&gt;0),0,IF(AND('Proposed Lighting'!AU231=3,AM231=0.5),0,IF(AND(AM231&gt;0,AS231&gt;0,BI231&lt;2),0,IF('Proposed Lighting'!CH231=100,0,IF(AV231=1,0,IF(AND(AM231=35,M231+N231&lt;2),0,AM231)))))))))))</f>
        <v>0</v>
      </c>
      <c r="AQ231" s="1249" t="str">
        <f>IFERROR(ROUND(IF(Q231="","",IF('Proposed Lighting'!$X$4=0,0,IF(AND(AM231=35,M231+N231&lt;2),0,IF(T231&gt;K231,0,IF('Proposed Lighting'!AU231=1,0,IF(AJ231=0,0,IF(AND('Proposed Lighting'!AU231=3,AM231=0.5),0,IF(AND(AD231=75,AP231=0,AV231=0),0,IF(AP231&gt;0.01,AP231*T231,IF(AND(F231&gt;1,W231&lt;0.01),0,IF(AND(F231&gt;1,AO231=0),0,IF(AND('Proposed Lighting'!BC231=22,AV231=0),0,IF(AND(AM231&gt;0,AS231&gt;0,BI231&lt;2),0,IF(AND(AS231&gt;0.01,BK231=0),0,IF(AND(AO231=TRUE,AV231=1,F231=3),MIN(AJ231*0.08,L231),IF(AP231&gt;0.01,AP231*T231,IF(AND(AO231=TRUE,AV231=1,F231=2),MIN(AJ231*0.1,L231)))))))))))))))))),2),"")</f>
        <v/>
      </c>
      <c r="AR231" s="1250">
        <f>IF(Q231=0,0,IF('Proposed Lighting'!$X$4=0,0,IF(AND(AM231&gt;0.01,AQ231&gt;0.01),0,IF('Proposed Lighting'!AU231=1,"Missing Interior or Exterior Selection",IF('Proposed Lighting'!CF231=1,"Selection does not match",IF(K231&gt;'Proposed Lighting'!AA231,"Quantity controlled does not match proposed lighting quantity",IF(T231&gt;K231,"Quantity of sensors exceeds proposed lighting quantity",IF(AND(F231&gt;1,'Proposed Lighting'!AU231&lt;&gt;F231),"Selection does not match",IF(AND(AD231&gt;AA231,AA231&gt;0),"Does not meet minimum connected load",IF(AND(O231&gt;0,AS231&gt;0,BK231&gt;0,'Proposed Lighting'!CH231=0),"Select Control Strategies",IF(AND(AC231&gt;0.1,AJ231=0,AQ231=0),"Does not meet incentive criteria",0)))))))))))</f>
        <v>0</v>
      </c>
      <c r="AS231" s="1224">
        <f>IF('Proposed Lighting'!CH231=100,0,IF(ISNUMBER(SEARCH("multiple",Q231)),1,0))</f>
        <v>0</v>
      </c>
      <c r="AT231" s="451">
        <f t="shared" si="47"/>
        <v>0</v>
      </c>
      <c r="AU231" s="451">
        <f t="shared" si="48"/>
        <v>0</v>
      </c>
      <c r="AV231" s="1222">
        <f>IF(ISNUMBER(SEARCH("Networked",'Proposed Lighting'!T231)),0,IF(ISNUMBER(SEARCH("Strategies",'Proposed Lighting'!T231)),0,IF(ISNUMBER(SEARCH("Removal",'Proposed Lighting'!T231)),0,IF(ISNUMBER(SEARCH("non-standard",Q231)),1,0))))</f>
        <v>0</v>
      </c>
      <c r="AW231" s="451">
        <f t="shared" si="51"/>
        <v>0</v>
      </c>
      <c r="AX231" s="451"/>
      <c r="AY231" s="451"/>
      <c r="AZ231" s="451"/>
      <c r="BA231" s="451"/>
      <c r="BB231" s="451"/>
      <c r="BC231" s="1215"/>
      <c r="BD231" s="1215"/>
      <c r="BE231" s="1215"/>
      <c r="BF231" s="1215"/>
      <c r="BG231" s="1215"/>
      <c r="BH231" s="1215"/>
      <c r="BI231">
        <f>IF(AND(AS231=1,BC231="No",BD231="Yes",BE231="Yes",BF231="No",BH231="No"),0,IF(AND('Proposed Lighting'!AU231=2,AS231=1,BC231="Yes",BD231="Yes"),2,IF(AND('Proposed Lighting'!AU231=2,AS231=1,BC231="Yes",BE231="Yes"),2,IF(AND('Proposed Lighting'!AU231=2,AS231=1,BC231="Yes",BF231="Yes"),2,IF(AND('Proposed Lighting'!AU231=2,AS231=1,BC231="Yes",BH231="Yes"),2,IF(AND('Proposed Lighting'!AU231=2,AS231=1,BD231="Yes",BF231="Yes"),2,IF(AND('Proposed Lighting'!AU231=2,AS231=1,BD231="Yes",BH231="Yes"),2,IF(AND('Proposed Lighting'!AU231=3,AS231=1,BC231="Yes",BE231="Yes"),2,IF(AND('Proposed Lighting'!AU231=3,AS231=1,BC231="Yes",BF231="Yes"),2,0)))))))))</f>
        <v>0</v>
      </c>
      <c r="BJ231" s="1025">
        <f t="shared" si="49"/>
        <v>0</v>
      </c>
      <c r="BK231">
        <f>IF(AND('Proposed Lighting'!BC231=22,'Lighting Controls'!N231=1),0,IF(ISNUMBER(SEARCH("LED",G231)),1,0))</f>
        <v>0</v>
      </c>
    </row>
    <row r="232" spans="1:63" ht="34.5" customHeight="1">
      <c r="A232" s="917">
        <v>224</v>
      </c>
      <c r="B232" s="1828" t="str">
        <f>IF('Proposed Lighting'!B232="","",'Proposed Lighting'!B232)</f>
        <v/>
      </c>
      <c r="C232" s="1828"/>
      <c r="D232" s="1828"/>
      <c r="E232" s="1245">
        <f>'Proposed Lighting'!AA232</f>
        <v>0</v>
      </c>
      <c r="F232" s="1245">
        <f t="shared" si="42"/>
        <v>0</v>
      </c>
      <c r="G232" s="1830" t="str">
        <f>IF('Proposed Lighting'!T232="","",IF(ISNUMBER(SEARCH("Networked",'Proposed Lighting'!T232)),0,IF(ISNUMBER(SEARCH("Strategies",'Proposed Lighting'!T232)),0,IF(ISNUMBER(SEARCH("Removal",'Proposed Lighting'!T232)),0,'Proposed Lighting'!T232))))</f>
        <v/>
      </c>
      <c r="H232" s="1830"/>
      <c r="I232" s="1830"/>
      <c r="J232" s="1830"/>
      <c r="K232" s="1215"/>
      <c r="L232" s="1246">
        <f t="shared" si="43"/>
        <v>0</v>
      </c>
      <c r="M232" s="1224">
        <f t="shared" si="44"/>
        <v>0</v>
      </c>
      <c r="N232" s="1224">
        <f t="shared" si="45"/>
        <v>0</v>
      </c>
      <c r="O232" s="1825" t="str">
        <f>IF(G232=0,0,IF(ISNA('Proposed Lighting'!AT232),0,'Proposed Lighting'!AT232))</f>
        <v/>
      </c>
      <c r="P232" s="1825"/>
      <c r="Q232" s="1247"/>
      <c r="R232" s="1247"/>
      <c r="S232" s="1247"/>
      <c r="T232" s="1211"/>
      <c r="U232" s="1235">
        <f>IF(K232&gt;0.01,'Proposed Lighting'!CU232,0)</f>
        <v>0</v>
      </c>
      <c r="V232" s="1248">
        <f>IF('Proposed Lighting'!CF232=1,0,IF('Proposed Lighting'!AU232=2,0,IF(AND('Proposed Lighting'!AU232=3,'Proposed Lighting'!CF232=0),1,0)))</f>
        <v>0</v>
      </c>
      <c r="W232" s="1836"/>
      <c r="X232" s="1836"/>
      <c r="Y232" s="1836"/>
      <c r="Z232" s="1230" t="str">
        <f t="shared" si="39"/>
        <v/>
      </c>
      <c r="AA232" s="1230">
        <f t="shared" si="40"/>
        <v>0</v>
      </c>
      <c r="AB232" s="1230">
        <f>IF(Q232=0,0,IF(T232=0,0,IF(AA232=0,0,IF(AND(F232=3,V232=0),0,IF(T232=0,0,IF(K232&gt;'Proposed Lighting'!AA232,0,IF('Proposed Lighting'!EJ232&gt;0.01,(K232*O232)*'Proposed Lighting'!EJ232/1000,(K232*O232)*U232/1000)))))))</f>
        <v>0</v>
      </c>
      <c r="AC232" s="1230" t="str">
        <f t="shared" si="46"/>
        <v/>
      </c>
      <c r="AD232" s="1230">
        <f t="shared" si="41"/>
        <v>0</v>
      </c>
      <c r="AE232" s="1230">
        <f>IF(T232=0,0,IF(K232&gt;'Proposed Lighting'!AA232,0,IF(T232&gt;K232,0,IF(AND(AD232&gt;AA232,AA232&gt;0),0,IF(AND(F232&gt;1,W232&lt;0.01),0,IF('Proposed Lighting'!AU232&gt;'Lighting Controls'!F232,0,IF('Proposed Lighting'!AU232&lt;'Lighting Controls'!F232,0,IF(U232=0,0,Summary!AC535))))))))</f>
        <v>0</v>
      </c>
      <c r="AF232" s="1230">
        <f>IF(T232=0,0,IF(AE232=0,0,IF(K232&gt;'Proposed Lighting'!AA232,0,IF(AND(AD232&gt;AA232,AA232&gt;0),0,IF(U232=0,0,Summary!AD535)))))</f>
        <v>0</v>
      </c>
      <c r="AG232" s="1834">
        <f>IF('Proposed Lighting'!AU232=1,0,IF('Proposed Lighting'!CF232=1,0,T232*W232))</f>
        <v>0</v>
      </c>
      <c r="AH232" s="1834"/>
      <c r="AI232" s="1834"/>
      <c r="AJ232" s="1835">
        <f>IF(T232&lt;1,0,IF(K232&gt;'Proposed Lighting'!AA232,0,IF('Proposed Lighting'!CF232=1,0,IF('Proposed Lighting'!AU232=1,0,IF(T232&gt;K232,0,IF(AND(AD232&gt;AA232,AA232&gt;0),0,IF(AND(F232=2,'Proposed Lighting'!AU232=3),0,IF(AND(F232=3,'Proposed Lighting'!AU232=2),0,IF('Proposed Lighting'!CH232=100,0,IF(AND(F232&lt;3,V232=1,AM232=0),0,IF(AND(F232&gt;1,AF232&lt;1,AN232&lt;1),0,IF(AND(F232&gt;1,AE232&lt;0.69,AF232&lt;1,AN232&lt;1),0,IF(ISERROR(AB232-AC232),"",AB232-AC232)))))))))))))</f>
        <v>0</v>
      </c>
      <c r="AK232" s="1835"/>
      <c r="AL232" s="1835"/>
      <c r="AM232" s="1216">
        <f>IF(Q232=0,0,IF(T232=0,0,IF(T232&gt;K232,0,IF(AND(AS232&gt;0.01,BK232=0),0,IF(AND('Proposed Lighting'!DG232=0,'Lighting Controls'!Z232=0.35),0,IF(AND(T232&lt;=K232,AA232&gt;=AD232,'Proposed Lighting'!AU232=2),VLOOKUP(Q232,$AY$9:$AZ$15,2,FALSE),IF(AND(T232&lt;=K232,AA232&gt;=AD232,'Proposed Lighting'!AU232=3),VLOOKUP(Q232,$AY$17:$AZ$23,2,FALSE))))))))</f>
        <v>0</v>
      </c>
      <c r="AN232" s="1248">
        <f>IF(T232=0,0,IF(K232&gt;'Proposed Lighting'!AA232,0,IF(AE232=0,0,IF(AND(AD232&gt;AA232,AA232&gt;0),0,IF(U232=0,0,Summary!AE535)))))</f>
        <v>0</v>
      </c>
      <c r="AO232" s="1248">
        <f t="shared" si="50"/>
        <v>0</v>
      </c>
      <c r="AP232" s="1249">
        <f>IF('Proposed Lighting'!AU232=1,0,IF(K232=0,0,IF(T232&gt;K232,0,IF(G232=0,0,IF(K232&gt;'Proposed Lighting'!AA232,0,IF(AND(AD232&gt;AA232,AA232&gt;0),0,IF(AND('Proposed Lighting'!AU232=3,AM232=0.5),0,IF(AND(AM232&gt;0,AS232&gt;0,BI232&lt;2),0,IF('Proposed Lighting'!CH232=100,0,IF(AV232=1,0,IF(AND(AM232=35,M232+N232&lt;2),0,AM232)))))))))))</f>
        <v>0</v>
      </c>
      <c r="AQ232" s="1249" t="str">
        <f>IFERROR(ROUND(IF(Q232="","",IF('Proposed Lighting'!$X$4=0,0,IF(AND(AM232=35,M232+N232&lt;2),0,IF(T232&gt;K232,0,IF('Proposed Lighting'!AU232=1,0,IF(AJ232=0,0,IF(AND('Proposed Lighting'!AU232=3,AM232=0.5),0,IF(AND(AD232=75,AP232=0,AV232=0),0,IF(AP232&gt;0.01,AP232*T232,IF(AND(F232&gt;1,W232&lt;0.01),0,IF(AND(F232&gt;1,AO232=0),0,IF(AND('Proposed Lighting'!BC232=22,AV232=0),0,IF(AND(AM232&gt;0,AS232&gt;0,BI232&lt;2),0,IF(AND(AS232&gt;0.01,BK232=0),0,IF(AND(AO232=TRUE,AV232=1,F232=3),MIN(AJ232*0.08,L232),IF(AP232&gt;0.01,AP232*T232,IF(AND(AO232=TRUE,AV232=1,F232=2),MIN(AJ232*0.1,L232)))))))))))))))))),2),"")</f>
        <v/>
      </c>
      <c r="AR232" s="1250">
        <f>IF(Q232=0,0,IF('Proposed Lighting'!$X$4=0,0,IF(AND(AM232&gt;0.01,AQ232&gt;0.01),0,IF('Proposed Lighting'!AU232=1,"Missing Interior or Exterior Selection",IF('Proposed Lighting'!CF232=1,"Selection does not match",IF(K232&gt;'Proposed Lighting'!AA232,"Quantity controlled does not match proposed lighting quantity",IF(T232&gt;K232,"Quantity of sensors exceeds proposed lighting quantity",IF(AND(F232&gt;1,'Proposed Lighting'!AU232&lt;&gt;F232),"Selection does not match",IF(AND(AD232&gt;AA232,AA232&gt;0),"Does not meet minimum connected load",IF(AND(O232&gt;0,AS232&gt;0,BK232&gt;0,'Proposed Lighting'!CH232=0),"Select Control Strategies",IF(AND(AC232&gt;0.1,AJ232=0,AQ232=0),"Does not meet incentive criteria",0)))))))))))</f>
        <v>0</v>
      </c>
      <c r="AS232" s="1224">
        <f>IF('Proposed Lighting'!CH232=100,0,IF(ISNUMBER(SEARCH("multiple",Q232)),1,0))</f>
        <v>0</v>
      </c>
      <c r="AT232" s="451">
        <f t="shared" si="47"/>
        <v>0</v>
      </c>
      <c r="AU232" s="451">
        <f t="shared" si="48"/>
        <v>0</v>
      </c>
      <c r="AV232" s="1222">
        <f>IF(ISNUMBER(SEARCH("Networked",'Proposed Lighting'!T232)),0,IF(ISNUMBER(SEARCH("Strategies",'Proposed Lighting'!T232)),0,IF(ISNUMBER(SEARCH("Removal",'Proposed Lighting'!T232)),0,IF(ISNUMBER(SEARCH("non-standard",Q232)),1,0))))</f>
        <v>0</v>
      </c>
      <c r="AW232" s="451">
        <f t="shared" si="51"/>
        <v>0</v>
      </c>
      <c r="AX232" s="451"/>
      <c r="AY232" s="451"/>
      <c r="AZ232" s="451"/>
      <c r="BA232" s="451"/>
      <c r="BB232" s="451"/>
      <c r="BC232" s="1215"/>
      <c r="BD232" s="1215"/>
      <c r="BE232" s="1215"/>
      <c r="BF232" s="1215"/>
      <c r="BG232" s="1215"/>
      <c r="BH232" s="1215"/>
      <c r="BI232">
        <f>IF(AND(AS232=1,BC232="No",BD232="Yes",BE232="Yes",BF232="No",BH232="No"),0,IF(AND('Proposed Lighting'!AU232=2,AS232=1,BC232="Yes",BD232="Yes"),2,IF(AND('Proposed Lighting'!AU232=2,AS232=1,BC232="Yes",BE232="Yes"),2,IF(AND('Proposed Lighting'!AU232=2,AS232=1,BC232="Yes",BF232="Yes"),2,IF(AND('Proposed Lighting'!AU232=2,AS232=1,BC232="Yes",BH232="Yes"),2,IF(AND('Proposed Lighting'!AU232=2,AS232=1,BD232="Yes",BF232="Yes"),2,IF(AND('Proposed Lighting'!AU232=2,AS232=1,BD232="Yes",BH232="Yes"),2,IF(AND('Proposed Lighting'!AU232=3,AS232=1,BC232="Yes",BE232="Yes"),2,IF(AND('Proposed Lighting'!AU232=3,AS232=1,BC232="Yes",BF232="Yes"),2,0)))))))))</f>
        <v>0</v>
      </c>
      <c r="BJ232" s="1025">
        <f t="shared" si="49"/>
        <v>0</v>
      </c>
      <c r="BK232">
        <f>IF(AND('Proposed Lighting'!BC232=22,'Lighting Controls'!N232=1),0,IF(ISNUMBER(SEARCH("LED",G232)),1,0))</f>
        <v>0</v>
      </c>
    </row>
    <row r="233" spans="1:63" ht="34.5" customHeight="1">
      <c r="A233" s="917">
        <v>225</v>
      </c>
      <c r="B233" s="1828" t="str">
        <f>IF('Proposed Lighting'!B233="","",'Proposed Lighting'!B233)</f>
        <v/>
      </c>
      <c r="C233" s="1828"/>
      <c r="D233" s="1828"/>
      <c r="E233" s="1245">
        <f>'Proposed Lighting'!AA233</f>
        <v>0</v>
      </c>
      <c r="F233" s="1245">
        <f t="shared" si="42"/>
        <v>0</v>
      </c>
      <c r="G233" s="1830" t="str">
        <f>IF('Proposed Lighting'!T233="","",IF(ISNUMBER(SEARCH("Networked",'Proposed Lighting'!T233)),0,IF(ISNUMBER(SEARCH("Strategies",'Proposed Lighting'!T233)),0,IF(ISNUMBER(SEARCH("Removal",'Proposed Lighting'!T233)),0,'Proposed Lighting'!T233))))</f>
        <v/>
      </c>
      <c r="H233" s="1830"/>
      <c r="I233" s="1830"/>
      <c r="J233" s="1830"/>
      <c r="K233" s="1215"/>
      <c r="L233" s="1246">
        <f t="shared" si="43"/>
        <v>0</v>
      </c>
      <c r="M233" s="1224">
        <f t="shared" si="44"/>
        <v>0</v>
      </c>
      <c r="N233" s="1224">
        <f t="shared" si="45"/>
        <v>0</v>
      </c>
      <c r="O233" s="1825" t="str">
        <f>IF(G233=0,0,IF(ISNA('Proposed Lighting'!AT233),0,'Proposed Lighting'!AT233))</f>
        <v/>
      </c>
      <c r="P233" s="1825"/>
      <c r="Q233" s="1247"/>
      <c r="R233" s="1247"/>
      <c r="S233" s="1247"/>
      <c r="T233" s="1211"/>
      <c r="U233" s="1235">
        <f>IF(K233&gt;0.01,'Proposed Lighting'!CU233,0)</f>
        <v>0</v>
      </c>
      <c r="V233" s="1248">
        <f>IF('Proposed Lighting'!CF233=1,0,IF('Proposed Lighting'!AU233=2,0,IF(AND('Proposed Lighting'!AU233=3,'Proposed Lighting'!CF233=0),1,0)))</f>
        <v>0</v>
      </c>
      <c r="W233" s="1836"/>
      <c r="X233" s="1836"/>
      <c r="Y233" s="1836"/>
      <c r="Z233" s="1230" t="str">
        <f t="shared" si="39"/>
        <v/>
      </c>
      <c r="AA233" s="1230">
        <f t="shared" si="40"/>
        <v>0</v>
      </c>
      <c r="AB233" s="1230">
        <f>IF(Q233=0,0,IF(T233=0,0,IF(AA233=0,0,IF(AND(F233=3,V233=0),0,IF(T233=0,0,IF(K233&gt;'Proposed Lighting'!AA233,0,IF('Proposed Lighting'!EJ233&gt;0.01,(K233*O233)*'Proposed Lighting'!EJ233/1000,(K233*O233)*U233/1000)))))))</f>
        <v>0</v>
      </c>
      <c r="AC233" s="1230" t="str">
        <f t="shared" si="46"/>
        <v/>
      </c>
      <c r="AD233" s="1230">
        <f t="shared" si="41"/>
        <v>0</v>
      </c>
      <c r="AE233" s="1230">
        <f>IF(T233=0,0,IF(K233&gt;'Proposed Lighting'!AA233,0,IF(T233&gt;K233,0,IF(AND(AD233&gt;AA233,AA233&gt;0),0,IF(AND(F233&gt;1,W233&lt;0.01),0,IF('Proposed Lighting'!AU233&gt;'Lighting Controls'!F233,0,IF('Proposed Lighting'!AU233&lt;'Lighting Controls'!F233,0,IF(U233=0,0,Summary!AC536))))))))</f>
        <v>0</v>
      </c>
      <c r="AF233" s="1230">
        <f>IF(T233=0,0,IF(AE233=0,0,IF(K233&gt;'Proposed Lighting'!AA233,0,IF(AND(AD233&gt;AA233,AA233&gt;0),0,IF(U233=0,0,Summary!AD536)))))</f>
        <v>0</v>
      </c>
      <c r="AG233" s="1834">
        <f>IF('Proposed Lighting'!AU233=1,0,IF('Proposed Lighting'!CF233=1,0,T233*W233))</f>
        <v>0</v>
      </c>
      <c r="AH233" s="1834"/>
      <c r="AI233" s="1834"/>
      <c r="AJ233" s="1835">
        <f>IF(T233&lt;1,0,IF(K233&gt;'Proposed Lighting'!AA233,0,IF('Proposed Lighting'!CF233=1,0,IF('Proposed Lighting'!AU233=1,0,IF(T233&gt;K233,0,IF(AND(AD233&gt;AA233,AA233&gt;0),0,IF(AND(F233=2,'Proposed Lighting'!AU233=3),0,IF(AND(F233=3,'Proposed Lighting'!AU233=2),0,IF('Proposed Lighting'!CH233=100,0,IF(AND(F233&lt;3,V233=1,AM233=0),0,IF(AND(F233&gt;1,AF233&lt;1,AN233&lt;1),0,IF(AND(F233&gt;1,AE233&lt;0.69,AF233&lt;1,AN233&lt;1),0,IF(ISERROR(AB233-AC233),"",AB233-AC233)))))))))))))</f>
        <v>0</v>
      </c>
      <c r="AK233" s="1835"/>
      <c r="AL233" s="1835"/>
      <c r="AM233" s="1216">
        <f>IF(Q233=0,0,IF(T233=0,0,IF(T233&gt;K233,0,IF(AND(AS233&gt;0.01,BK233=0),0,IF(AND('Proposed Lighting'!DG233=0,'Lighting Controls'!Z233=0.35),0,IF(AND(T233&lt;=K233,AA233&gt;=AD233,'Proposed Lighting'!AU233=2),VLOOKUP(Q233,$AY$9:$AZ$15,2,FALSE),IF(AND(T233&lt;=K233,AA233&gt;=AD233,'Proposed Lighting'!AU233=3),VLOOKUP(Q233,$AY$17:$AZ$23,2,FALSE))))))))</f>
        <v>0</v>
      </c>
      <c r="AN233" s="1248">
        <f>IF(T233=0,0,IF(K233&gt;'Proposed Lighting'!AA233,0,IF(AE233=0,0,IF(AND(AD233&gt;AA233,AA233&gt;0),0,IF(U233=0,0,Summary!AE536)))))</f>
        <v>0</v>
      </c>
      <c r="AO233" s="1248">
        <f t="shared" si="50"/>
        <v>0</v>
      </c>
      <c r="AP233" s="1249">
        <f>IF('Proposed Lighting'!AU233=1,0,IF(K233=0,0,IF(T233&gt;K233,0,IF(G233=0,0,IF(K233&gt;'Proposed Lighting'!AA233,0,IF(AND(AD233&gt;AA233,AA233&gt;0),0,IF(AND('Proposed Lighting'!AU233=3,AM233=0.5),0,IF(AND(AM233&gt;0,AS233&gt;0,BI233&lt;2),0,IF('Proposed Lighting'!CH233=100,0,IF(AV233=1,0,IF(AND(AM233=35,M233+N233&lt;2),0,AM233)))))))))))</f>
        <v>0</v>
      </c>
      <c r="AQ233" s="1249" t="str">
        <f>IFERROR(ROUND(IF(Q233="","",IF('Proposed Lighting'!$X$4=0,0,IF(AND(AM233=35,M233+N233&lt;2),0,IF(T233&gt;K233,0,IF('Proposed Lighting'!AU233=1,0,IF(AJ233=0,0,IF(AND('Proposed Lighting'!AU233=3,AM233=0.5),0,IF(AND(AD233=75,AP233=0,AV233=0),0,IF(AP233&gt;0.01,AP233*T233,IF(AND(F233&gt;1,W233&lt;0.01),0,IF(AND(F233&gt;1,AO233=0),0,IF(AND('Proposed Lighting'!BC233=22,AV233=0),0,IF(AND(AM233&gt;0,AS233&gt;0,BI233&lt;2),0,IF(AND(AS233&gt;0.01,BK233=0),0,IF(AND(AO233=TRUE,AV233=1,F233=3),MIN(AJ233*0.08,L233),IF(AP233&gt;0.01,AP233*T233,IF(AND(AO233=TRUE,AV233=1,F233=2),MIN(AJ233*0.1,L233)))))))))))))))))),2),"")</f>
        <v/>
      </c>
      <c r="AR233" s="1250">
        <f>IF(Q233=0,0,IF('Proposed Lighting'!$X$4=0,0,IF(AND(AM233&gt;0.01,AQ233&gt;0.01),0,IF('Proposed Lighting'!AU233=1,"Missing Interior or Exterior Selection",IF('Proposed Lighting'!CF233=1,"Selection does not match",IF(K233&gt;'Proposed Lighting'!AA233,"Quantity controlled does not match proposed lighting quantity",IF(T233&gt;K233,"Quantity of sensors exceeds proposed lighting quantity",IF(AND(F233&gt;1,'Proposed Lighting'!AU233&lt;&gt;F233),"Selection does not match",IF(AND(AD233&gt;AA233,AA233&gt;0),"Does not meet minimum connected load",IF(AND(O233&gt;0,AS233&gt;0,BK233&gt;0,'Proposed Lighting'!CH233=0),"Select Control Strategies",IF(AND(AC233&gt;0.1,AJ233=0,AQ233=0),"Does not meet incentive criteria",0)))))))))))</f>
        <v>0</v>
      </c>
      <c r="AS233" s="1224">
        <f>IF('Proposed Lighting'!CH233=100,0,IF(ISNUMBER(SEARCH("multiple",Q233)),1,0))</f>
        <v>0</v>
      </c>
      <c r="AT233" s="451">
        <f t="shared" si="47"/>
        <v>0</v>
      </c>
      <c r="AU233" s="451">
        <f t="shared" si="48"/>
        <v>0</v>
      </c>
      <c r="AV233" s="1222">
        <f>IF(ISNUMBER(SEARCH("Networked",'Proposed Lighting'!T233)),0,IF(ISNUMBER(SEARCH("Strategies",'Proposed Lighting'!T233)),0,IF(ISNUMBER(SEARCH("Removal",'Proposed Lighting'!T233)),0,IF(ISNUMBER(SEARCH("non-standard",Q233)),1,0))))</f>
        <v>0</v>
      </c>
      <c r="AW233" s="451">
        <f t="shared" si="51"/>
        <v>0</v>
      </c>
      <c r="AX233" s="451"/>
      <c r="AY233" s="451"/>
      <c r="AZ233" s="451"/>
      <c r="BA233" s="451"/>
      <c r="BB233" s="451"/>
      <c r="BC233" s="1215"/>
      <c r="BD233" s="1215"/>
      <c r="BE233" s="1215"/>
      <c r="BF233" s="1215"/>
      <c r="BG233" s="1215"/>
      <c r="BH233" s="1215"/>
      <c r="BI233">
        <f>IF(AND(AS233=1,BC233="No",BD233="Yes",BE233="Yes",BF233="No",BH233="No"),0,IF(AND('Proposed Lighting'!AU233=2,AS233=1,BC233="Yes",BD233="Yes"),2,IF(AND('Proposed Lighting'!AU233=2,AS233=1,BC233="Yes",BE233="Yes"),2,IF(AND('Proposed Lighting'!AU233=2,AS233=1,BC233="Yes",BF233="Yes"),2,IF(AND('Proposed Lighting'!AU233=2,AS233=1,BC233="Yes",BH233="Yes"),2,IF(AND('Proposed Lighting'!AU233=2,AS233=1,BD233="Yes",BF233="Yes"),2,IF(AND('Proposed Lighting'!AU233=2,AS233=1,BD233="Yes",BH233="Yes"),2,IF(AND('Proposed Lighting'!AU233=3,AS233=1,BC233="Yes",BE233="Yes"),2,IF(AND('Proposed Lighting'!AU233=3,AS233=1,BC233="Yes",BF233="Yes"),2,0)))))))))</f>
        <v>0</v>
      </c>
      <c r="BJ233" s="1025">
        <f t="shared" si="49"/>
        <v>0</v>
      </c>
      <c r="BK233">
        <f>IF(AND('Proposed Lighting'!BC233=22,'Lighting Controls'!N233=1),0,IF(ISNUMBER(SEARCH("LED",G233)),1,0))</f>
        <v>0</v>
      </c>
    </row>
    <row r="234" spans="1:63" ht="34.5" customHeight="1">
      <c r="A234" s="917">
        <v>226</v>
      </c>
      <c r="B234" s="1828" t="str">
        <f>IF('Proposed Lighting'!B234="","",'Proposed Lighting'!B234)</f>
        <v/>
      </c>
      <c r="C234" s="1828"/>
      <c r="D234" s="1828"/>
      <c r="E234" s="1245">
        <f>'Proposed Lighting'!AA234</f>
        <v>0</v>
      </c>
      <c r="F234" s="1245">
        <f t="shared" si="42"/>
        <v>0</v>
      </c>
      <c r="G234" s="1830" t="str">
        <f>IF('Proposed Lighting'!T234="","",IF(ISNUMBER(SEARCH("Networked",'Proposed Lighting'!T234)),0,IF(ISNUMBER(SEARCH("Strategies",'Proposed Lighting'!T234)),0,IF(ISNUMBER(SEARCH("Removal",'Proposed Lighting'!T234)),0,'Proposed Lighting'!T234))))</f>
        <v/>
      </c>
      <c r="H234" s="1830"/>
      <c r="I234" s="1830"/>
      <c r="J234" s="1830"/>
      <c r="K234" s="1215"/>
      <c r="L234" s="1246">
        <f t="shared" si="43"/>
        <v>0</v>
      </c>
      <c r="M234" s="1224">
        <f t="shared" si="44"/>
        <v>0</v>
      </c>
      <c r="N234" s="1224">
        <f t="shared" si="45"/>
        <v>0</v>
      </c>
      <c r="O234" s="1825" t="str">
        <f>IF(G234=0,0,IF(ISNA('Proposed Lighting'!AT234),0,'Proposed Lighting'!AT234))</f>
        <v/>
      </c>
      <c r="P234" s="1825"/>
      <c r="Q234" s="1247"/>
      <c r="R234" s="1247"/>
      <c r="S234" s="1247"/>
      <c r="T234" s="1211"/>
      <c r="U234" s="1235">
        <f>IF(K234&gt;0.01,'Proposed Lighting'!CU234,0)</f>
        <v>0</v>
      </c>
      <c r="V234" s="1248">
        <f>IF('Proposed Lighting'!CF234=1,0,IF('Proposed Lighting'!AU234=2,0,IF(AND('Proposed Lighting'!AU234=3,'Proposed Lighting'!CF234=0),1,0)))</f>
        <v>0</v>
      </c>
      <c r="W234" s="1836"/>
      <c r="X234" s="1836"/>
      <c r="Y234" s="1836"/>
      <c r="Z234" s="1230" t="str">
        <f t="shared" si="39"/>
        <v/>
      </c>
      <c r="AA234" s="1230">
        <f t="shared" si="40"/>
        <v>0</v>
      </c>
      <c r="AB234" s="1230">
        <f>IF(Q234=0,0,IF(T234=0,0,IF(AA234=0,0,IF(AND(F234=3,V234=0),0,IF(T234=0,0,IF(K234&gt;'Proposed Lighting'!AA234,0,IF('Proposed Lighting'!EJ234&gt;0.01,(K234*O234)*'Proposed Lighting'!EJ234/1000,(K234*O234)*U234/1000)))))))</f>
        <v>0</v>
      </c>
      <c r="AC234" s="1230" t="str">
        <f t="shared" si="46"/>
        <v/>
      </c>
      <c r="AD234" s="1230">
        <f t="shared" si="41"/>
        <v>0</v>
      </c>
      <c r="AE234" s="1230">
        <f>IF(T234=0,0,IF(K234&gt;'Proposed Lighting'!AA234,0,IF(T234&gt;K234,0,IF(AND(AD234&gt;AA234,AA234&gt;0),0,IF(AND(F234&gt;1,W234&lt;0.01),0,IF('Proposed Lighting'!AU234&gt;'Lighting Controls'!F234,0,IF('Proposed Lighting'!AU234&lt;'Lighting Controls'!F234,0,IF(U234=0,0,Summary!AC537))))))))</f>
        <v>0</v>
      </c>
      <c r="AF234" s="1230">
        <f>IF(T234=0,0,IF(AE234=0,0,IF(K234&gt;'Proposed Lighting'!AA234,0,IF(AND(AD234&gt;AA234,AA234&gt;0),0,IF(U234=0,0,Summary!AD537)))))</f>
        <v>0</v>
      </c>
      <c r="AG234" s="1834">
        <f>IF('Proposed Lighting'!AU234=1,0,IF('Proposed Lighting'!CF234=1,0,T234*W234))</f>
        <v>0</v>
      </c>
      <c r="AH234" s="1834"/>
      <c r="AI234" s="1834"/>
      <c r="AJ234" s="1835">
        <f>IF(T234&lt;1,0,IF(K234&gt;'Proposed Lighting'!AA234,0,IF('Proposed Lighting'!CF234=1,0,IF('Proposed Lighting'!AU234=1,0,IF(T234&gt;K234,0,IF(AND(AD234&gt;AA234,AA234&gt;0),0,IF(AND(F234=2,'Proposed Lighting'!AU234=3),0,IF(AND(F234=3,'Proposed Lighting'!AU234=2),0,IF('Proposed Lighting'!CH234=100,0,IF(AND(F234&lt;3,V234=1,AM234=0),0,IF(AND(F234&gt;1,AF234&lt;1,AN234&lt;1),0,IF(AND(F234&gt;1,AE234&lt;0.69,AF234&lt;1,AN234&lt;1),0,IF(ISERROR(AB234-AC234),"",AB234-AC234)))))))))))))</f>
        <v>0</v>
      </c>
      <c r="AK234" s="1835"/>
      <c r="AL234" s="1835"/>
      <c r="AM234" s="1216">
        <f>IF(Q234=0,0,IF(T234=0,0,IF(T234&gt;K234,0,IF(AND(AS234&gt;0.01,BK234=0),0,IF(AND('Proposed Lighting'!DG234=0,'Lighting Controls'!Z234=0.35),0,IF(AND(T234&lt;=K234,AA234&gt;=AD234,'Proposed Lighting'!AU234=2),VLOOKUP(Q234,$AY$9:$AZ$15,2,FALSE),IF(AND(T234&lt;=K234,AA234&gt;=AD234,'Proposed Lighting'!AU234=3),VLOOKUP(Q234,$AY$17:$AZ$23,2,FALSE))))))))</f>
        <v>0</v>
      </c>
      <c r="AN234" s="1248">
        <f>IF(T234=0,0,IF(K234&gt;'Proposed Lighting'!AA234,0,IF(AE234=0,0,IF(AND(AD234&gt;AA234,AA234&gt;0),0,IF(U234=0,0,Summary!AE537)))))</f>
        <v>0</v>
      </c>
      <c r="AO234" s="1248">
        <f t="shared" si="50"/>
        <v>0</v>
      </c>
      <c r="AP234" s="1249">
        <f>IF('Proposed Lighting'!AU234=1,0,IF(K234=0,0,IF(T234&gt;K234,0,IF(G234=0,0,IF(K234&gt;'Proposed Lighting'!AA234,0,IF(AND(AD234&gt;AA234,AA234&gt;0),0,IF(AND('Proposed Lighting'!AU234=3,AM234=0.5),0,IF(AND(AM234&gt;0,AS234&gt;0,BI234&lt;2),0,IF('Proposed Lighting'!CH234=100,0,IF(AV234=1,0,IF(AND(AM234=35,M234+N234&lt;2),0,AM234)))))))))))</f>
        <v>0</v>
      </c>
      <c r="AQ234" s="1249" t="str">
        <f>IFERROR(ROUND(IF(Q234="","",IF('Proposed Lighting'!$X$4=0,0,IF(AND(AM234=35,M234+N234&lt;2),0,IF(T234&gt;K234,0,IF('Proposed Lighting'!AU234=1,0,IF(AJ234=0,0,IF(AND('Proposed Lighting'!AU234=3,AM234=0.5),0,IF(AND(AD234=75,AP234=0,AV234=0),0,IF(AP234&gt;0.01,AP234*T234,IF(AND(F234&gt;1,W234&lt;0.01),0,IF(AND(F234&gt;1,AO234=0),0,IF(AND('Proposed Lighting'!BC234=22,AV234=0),0,IF(AND(AM234&gt;0,AS234&gt;0,BI234&lt;2),0,IF(AND(AS234&gt;0.01,BK234=0),0,IF(AND(AO234=TRUE,AV234=1,F234=3),MIN(AJ234*0.08,L234),IF(AP234&gt;0.01,AP234*T234,IF(AND(AO234=TRUE,AV234=1,F234=2),MIN(AJ234*0.1,L234)))))))))))))))))),2),"")</f>
        <v/>
      </c>
      <c r="AR234" s="1250">
        <f>IF(Q234=0,0,IF('Proposed Lighting'!$X$4=0,0,IF(AND(AM234&gt;0.01,AQ234&gt;0.01),0,IF('Proposed Lighting'!AU234=1,"Missing Interior or Exterior Selection",IF('Proposed Lighting'!CF234=1,"Selection does not match",IF(K234&gt;'Proposed Lighting'!AA234,"Quantity controlled does not match proposed lighting quantity",IF(T234&gt;K234,"Quantity of sensors exceeds proposed lighting quantity",IF(AND(F234&gt;1,'Proposed Lighting'!AU234&lt;&gt;F234),"Selection does not match",IF(AND(AD234&gt;AA234,AA234&gt;0),"Does not meet minimum connected load",IF(AND(O234&gt;0,AS234&gt;0,BK234&gt;0,'Proposed Lighting'!CH234=0),"Select Control Strategies",IF(AND(AC234&gt;0.1,AJ234=0,AQ234=0),"Does not meet incentive criteria",0)))))))))))</f>
        <v>0</v>
      </c>
      <c r="AS234" s="1224">
        <f>IF('Proposed Lighting'!CH234=100,0,IF(ISNUMBER(SEARCH("multiple",Q234)),1,0))</f>
        <v>0</v>
      </c>
      <c r="AT234" s="451">
        <f t="shared" si="47"/>
        <v>0</v>
      </c>
      <c r="AU234" s="451">
        <f t="shared" si="48"/>
        <v>0</v>
      </c>
      <c r="AV234" s="1222">
        <f>IF(ISNUMBER(SEARCH("Networked",'Proposed Lighting'!T234)),0,IF(ISNUMBER(SEARCH("Strategies",'Proposed Lighting'!T234)),0,IF(ISNUMBER(SEARCH("Removal",'Proposed Lighting'!T234)),0,IF(ISNUMBER(SEARCH("non-standard",Q234)),1,0))))</f>
        <v>0</v>
      </c>
      <c r="AW234" s="451">
        <f t="shared" si="51"/>
        <v>0</v>
      </c>
      <c r="AX234" s="451"/>
      <c r="AY234" s="451"/>
      <c r="AZ234" s="451"/>
      <c r="BA234" s="451"/>
      <c r="BB234" s="451"/>
      <c r="BC234" s="1215"/>
      <c r="BD234" s="1215"/>
      <c r="BE234" s="1215"/>
      <c r="BF234" s="1215"/>
      <c r="BG234" s="1215"/>
      <c r="BH234" s="1215"/>
      <c r="BI234">
        <f>IF(AND(AS234=1,BC234="No",BD234="Yes",BE234="Yes",BF234="No",BH234="No"),0,IF(AND('Proposed Lighting'!AU234=2,AS234=1,BC234="Yes",BD234="Yes"),2,IF(AND('Proposed Lighting'!AU234=2,AS234=1,BC234="Yes",BE234="Yes"),2,IF(AND('Proposed Lighting'!AU234=2,AS234=1,BC234="Yes",BF234="Yes"),2,IF(AND('Proposed Lighting'!AU234=2,AS234=1,BC234="Yes",BH234="Yes"),2,IF(AND('Proposed Lighting'!AU234=2,AS234=1,BD234="Yes",BF234="Yes"),2,IF(AND('Proposed Lighting'!AU234=2,AS234=1,BD234="Yes",BH234="Yes"),2,IF(AND('Proposed Lighting'!AU234=3,AS234=1,BC234="Yes",BE234="Yes"),2,IF(AND('Proposed Lighting'!AU234=3,AS234=1,BC234="Yes",BF234="Yes"),2,0)))))))))</f>
        <v>0</v>
      </c>
      <c r="BJ234" s="1025">
        <f t="shared" si="49"/>
        <v>0</v>
      </c>
      <c r="BK234">
        <f>IF(AND('Proposed Lighting'!BC234=22,'Lighting Controls'!N234=1),0,IF(ISNUMBER(SEARCH("LED",G234)),1,0))</f>
        <v>0</v>
      </c>
    </row>
    <row r="235" spans="1:63" ht="34.5" customHeight="1">
      <c r="A235" s="917">
        <v>227</v>
      </c>
      <c r="B235" s="1828" t="str">
        <f>IF('Proposed Lighting'!B235="","",'Proposed Lighting'!B235)</f>
        <v/>
      </c>
      <c r="C235" s="1828"/>
      <c r="D235" s="1828"/>
      <c r="E235" s="1245">
        <f>'Proposed Lighting'!AA235</f>
        <v>0</v>
      </c>
      <c r="F235" s="1245">
        <f t="shared" si="42"/>
        <v>0</v>
      </c>
      <c r="G235" s="1830" t="str">
        <f>IF('Proposed Lighting'!T235="","",IF(ISNUMBER(SEARCH("Networked",'Proposed Lighting'!T235)),0,IF(ISNUMBER(SEARCH("Strategies",'Proposed Lighting'!T235)),0,IF(ISNUMBER(SEARCH("Removal",'Proposed Lighting'!T235)),0,'Proposed Lighting'!T235))))</f>
        <v/>
      </c>
      <c r="H235" s="1830"/>
      <c r="I235" s="1830"/>
      <c r="J235" s="1830"/>
      <c r="K235" s="1215"/>
      <c r="L235" s="1246">
        <f t="shared" si="43"/>
        <v>0</v>
      </c>
      <c r="M235" s="1224">
        <f t="shared" si="44"/>
        <v>0</v>
      </c>
      <c r="N235" s="1224">
        <f t="shared" si="45"/>
        <v>0</v>
      </c>
      <c r="O235" s="1825" t="str">
        <f>IF(G235=0,0,IF(ISNA('Proposed Lighting'!AT235),0,'Proposed Lighting'!AT235))</f>
        <v/>
      </c>
      <c r="P235" s="1825"/>
      <c r="Q235" s="1247"/>
      <c r="R235" s="1247"/>
      <c r="S235" s="1247"/>
      <c r="T235" s="1211"/>
      <c r="U235" s="1235">
        <f>IF(K235&gt;0.01,'Proposed Lighting'!CU235,0)</f>
        <v>0</v>
      </c>
      <c r="V235" s="1248">
        <f>IF('Proposed Lighting'!CF235=1,0,IF('Proposed Lighting'!AU235=2,0,IF(AND('Proposed Lighting'!AU235=3,'Proposed Lighting'!CF235=0),1,0)))</f>
        <v>0</v>
      </c>
      <c r="W235" s="1836"/>
      <c r="X235" s="1836"/>
      <c r="Y235" s="1836"/>
      <c r="Z235" s="1230" t="str">
        <f t="shared" si="39"/>
        <v/>
      </c>
      <c r="AA235" s="1230">
        <f t="shared" si="40"/>
        <v>0</v>
      </c>
      <c r="AB235" s="1230">
        <f>IF(Q235=0,0,IF(T235=0,0,IF(AA235=0,0,IF(AND(F235=3,V235=0),0,IF(T235=0,0,IF(K235&gt;'Proposed Lighting'!AA235,0,IF('Proposed Lighting'!EJ235&gt;0.01,(K235*O235)*'Proposed Lighting'!EJ235/1000,(K235*O235)*U235/1000)))))))</f>
        <v>0</v>
      </c>
      <c r="AC235" s="1230" t="str">
        <f t="shared" si="46"/>
        <v/>
      </c>
      <c r="AD235" s="1230">
        <f t="shared" si="41"/>
        <v>0</v>
      </c>
      <c r="AE235" s="1230">
        <f>IF(T235=0,0,IF(K235&gt;'Proposed Lighting'!AA235,0,IF(T235&gt;K235,0,IF(AND(AD235&gt;AA235,AA235&gt;0),0,IF(AND(F235&gt;1,W235&lt;0.01),0,IF('Proposed Lighting'!AU235&gt;'Lighting Controls'!F235,0,IF('Proposed Lighting'!AU235&lt;'Lighting Controls'!F235,0,IF(U235=0,0,Summary!AC538))))))))</f>
        <v>0</v>
      </c>
      <c r="AF235" s="1230">
        <f>IF(T235=0,0,IF(AE235=0,0,IF(K235&gt;'Proposed Lighting'!AA235,0,IF(AND(AD235&gt;AA235,AA235&gt;0),0,IF(U235=0,0,Summary!AD538)))))</f>
        <v>0</v>
      </c>
      <c r="AG235" s="1834">
        <f>IF('Proposed Lighting'!AU235=1,0,IF('Proposed Lighting'!CF235=1,0,T235*W235))</f>
        <v>0</v>
      </c>
      <c r="AH235" s="1834"/>
      <c r="AI235" s="1834"/>
      <c r="AJ235" s="1835">
        <f>IF(T235&lt;1,0,IF(K235&gt;'Proposed Lighting'!AA235,0,IF('Proposed Lighting'!CF235=1,0,IF('Proposed Lighting'!AU235=1,0,IF(T235&gt;K235,0,IF(AND(AD235&gt;AA235,AA235&gt;0),0,IF(AND(F235=2,'Proposed Lighting'!AU235=3),0,IF(AND(F235=3,'Proposed Lighting'!AU235=2),0,IF('Proposed Lighting'!CH235=100,0,IF(AND(F235&lt;3,V235=1,AM235=0),0,IF(AND(F235&gt;1,AF235&lt;1,AN235&lt;1),0,IF(AND(F235&gt;1,AE235&lt;0.69,AF235&lt;1,AN235&lt;1),0,IF(ISERROR(AB235-AC235),"",AB235-AC235)))))))))))))</f>
        <v>0</v>
      </c>
      <c r="AK235" s="1835"/>
      <c r="AL235" s="1835"/>
      <c r="AM235" s="1216">
        <f>IF(Q235=0,0,IF(T235=0,0,IF(T235&gt;K235,0,IF(AND(AS235&gt;0.01,BK235=0),0,IF(AND('Proposed Lighting'!DG235=0,'Lighting Controls'!Z235=0.35),0,IF(AND(T235&lt;=K235,AA235&gt;=AD235,'Proposed Lighting'!AU235=2),VLOOKUP(Q235,$AY$9:$AZ$15,2,FALSE),IF(AND(T235&lt;=K235,AA235&gt;=AD235,'Proposed Lighting'!AU235=3),VLOOKUP(Q235,$AY$17:$AZ$23,2,FALSE))))))))</f>
        <v>0</v>
      </c>
      <c r="AN235" s="1248">
        <f>IF(T235=0,0,IF(K235&gt;'Proposed Lighting'!AA235,0,IF(AE235=0,0,IF(AND(AD235&gt;AA235,AA235&gt;0),0,IF(U235=0,0,Summary!AE538)))))</f>
        <v>0</v>
      </c>
      <c r="AO235" s="1248">
        <f t="shared" si="50"/>
        <v>0</v>
      </c>
      <c r="AP235" s="1249">
        <f>IF('Proposed Lighting'!AU235=1,0,IF(K235=0,0,IF(T235&gt;K235,0,IF(G235=0,0,IF(K235&gt;'Proposed Lighting'!AA235,0,IF(AND(AD235&gt;AA235,AA235&gt;0),0,IF(AND('Proposed Lighting'!AU235=3,AM235=0.5),0,IF(AND(AM235&gt;0,AS235&gt;0,BI235&lt;2),0,IF('Proposed Lighting'!CH235=100,0,IF(AV235=1,0,IF(AND(AM235=35,M235+N235&lt;2),0,AM235)))))))))))</f>
        <v>0</v>
      </c>
      <c r="AQ235" s="1249" t="str">
        <f>IFERROR(ROUND(IF(Q235="","",IF('Proposed Lighting'!$X$4=0,0,IF(AND(AM235=35,M235+N235&lt;2),0,IF(T235&gt;K235,0,IF('Proposed Lighting'!AU235=1,0,IF(AJ235=0,0,IF(AND('Proposed Lighting'!AU235=3,AM235=0.5),0,IF(AND(AD235=75,AP235=0,AV235=0),0,IF(AP235&gt;0.01,AP235*T235,IF(AND(F235&gt;1,W235&lt;0.01),0,IF(AND(F235&gt;1,AO235=0),0,IF(AND('Proposed Lighting'!BC235=22,AV235=0),0,IF(AND(AM235&gt;0,AS235&gt;0,BI235&lt;2),0,IF(AND(AS235&gt;0.01,BK235=0),0,IF(AND(AO235=TRUE,AV235=1,F235=3),MIN(AJ235*0.08,L235),IF(AP235&gt;0.01,AP235*T235,IF(AND(AO235=TRUE,AV235=1,F235=2),MIN(AJ235*0.1,L235)))))))))))))))))),2),"")</f>
        <v/>
      </c>
      <c r="AR235" s="1250">
        <f>IF(Q235=0,0,IF('Proposed Lighting'!$X$4=0,0,IF(AND(AM235&gt;0.01,AQ235&gt;0.01),0,IF('Proposed Lighting'!AU235=1,"Missing Interior or Exterior Selection",IF('Proposed Lighting'!CF235=1,"Selection does not match",IF(K235&gt;'Proposed Lighting'!AA235,"Quantity controlled does not match proposed lighting quantity",IF(T235&gt;K235,"Quantity of sensors exceeds proposed lighting quantity",IF(AND(F235&gt;1,'Proposed Lighting'!AU235&lt;&gt;F235),"Selection does not match",IF(AND(AD235&gt;AA235,AA235&gt;0),"Does not meet minimum connected load",IF(AND(O235&gt;0,AS235&gt;0,BK235&gt;0,'Proposed Lighting'!CH235=0),"Select Control Strategies",IF(AND(AC235&gt;0.1,AJ235=0,AQ235=0),"Does not meet incentive criteria",0)))))))))))</f>
        <v>0</v>
      </c>
      <c r="AS235" s="1224">
        <f>IF('Proposed Lighting'!CH235=100,0,IF(ISNUMBER(SEARCH("multiple",Q235)),1,0))</f>
        <v>0</v>
      </c>
      <c r="AT235" s="451">
        <f t="shared" si="47"/>
        <v>0</v>
      </c>
      <c r="AU235" s="451">
        <f t="shared" si="48"/>
        <v>0</v>
      </c>
      <c r="AV235" s="1222">
        <f>IF(ISNUMBER(SEARCH("Networked",'Proposed Lighting'!T235)),0,IF(ISNUMBER(SEARCH("Strategies",'Proposed Lighting'!T235)),0,IF(ISNUMBER(SEARCH("Removal",'Proposed Lighting'!T235)),0,IF(ISNUMBER(SEARCH("non-standard",Q235)),1,0))))</f>
        <v>0</v>
      </c>
      <c r="AW235" s="451">
        <f t="shared" si="51"/>
        <v>0</v>
      </c>
      <c r="AX235" s="451"/>
      <c r="AY235" s="451"/>
      <c r="AZ235" s="451"/>
      <c r="BA235" s="451"/>
      <c r="BB235" s="451"/>
      <c r="BC235" s="1215"/>
      <c r="BD235" s="1215"/>
      <c r="BE235" s="1215"/>
      <c r="BF235" s="1215"/>
      <c r="BG235" s="1215"/>
      <c r="BH235" s="1215"/>
      <c r="BI235">
        <f>IF(AND(AS235=1,BC235="No",BD235="Yes",BE235="Yes",BF235="No",BH235="No"),0,IF(AND('Proposed Lighting'!AU235=2,AS235=1,BC235="Yes",BD235="Yes"),2,IF(AND('Proposed Lighting'!AU235=2,AS235=1,BC235="Yes",BE235="Yes"),2,IF(AND('Proposed Lighting'!AU235=2,AS235=1,BC235="Yes",BF235="Yes"),2,IF(AND('Proposed Lighting'!AU235=2,AS235=1,BC235="Yes",BH235="Yes"),2,IF(AND('Proposed Lighting'!AU235=2,AS235=1,BD235="Yes",BF235="Yes"),2,IF(AND('Proposed Lighting'!AU235=2,AS235=1,BD235="Yes",BH235="Yes"),2,IF(AND('Proposed Lighting'!AU235=3,AS235=1,BC235="Yes",BE235="Yes"),2,IF(AND('Proposed Lighting'!AU235=3,AS235=1,BC235="Yes",BF235="Yes"),2,0)))))))))</f>
        <v>0</v>
      </c>
      <c r="BJ235" s="1025">
        <f t="shared" si="49"/>
        <v>0</v>
      </c>
      <c r="BK235">
        <f>IF(AND('Proposed Lighting'!BC235=22,'Lighting Controls'!N235=1),0,IF(ISNUMBER(SEARCH("LED",G235)),1,0))</f>
        <v>0</v>
      </c>
    </row>
    <row r="236" spans="1:63" ht="34.5" customHeight="1">
      <c r="A236" s="917">
        <v>228</v>
      </c>
      <c r="B236" s="1828" t="str">
        <f>IF('Proposed Lighting'!B236="","",'Proposed Lighting'!B236)</f>
        <v/>
      </c>
      <c r="C236" s="1828"/>
      <c r="D236" s="1828"/>
      <c r="E236" s="1245">
        <f>'Proposed Lighting'!AA236</f>
        <v>0</v>
      </c>
      <c r="F236" s="1245">
        <f t="shared" si="42"/>
        <v>0</v>
      </c>
      <c r="G236" s="1830" t="str">
        <f>IF('Proposed Lighting'!T236="","",IF(ISNUMBER(SEARCH("Networked",'Proposed Lighting'!T236)),0,IF(ISNUMBER(SEARCH("Strategies",'Proposed Lighting'!T236)),0,IF(ISNUMBER(SEARCH("Removal",'Proposed Lighting'!T236)),0,'Proposed Lighting'!T236))))</f>
        <v/>
      </c>
      <c r="H236" s="1830"/>
      <c r="I236" s="1830"/>
      <c r="J236" s="1830"/>
      <c r="K236" s="1215"/>
      <c r="L236" s="1246">
        <f t="shared" si="43"/>
        <v>0</v>
      </c>
      <c r="M236" s="1224">
        <f t="shared" si="44"/>
        <v>0</v>
      </c>
      <c r="N236" s="1224">
        <f t="shared" si="45"/>
        <v>0</v>
      </c>
      <c r="O236" s="1825" t="str">
        <f>IF(G236=0,0,IF(ISNA('Proposed Lighting'!AT236),0,'Proposed Lighting'!AT236))</f>
        <v/>
      </c>
      <c r="P236" s="1825"/>
      <c r="Q236" s="1247"/>
      <c r="R236" s="1247"/>
      <c r="S236" s="1247"/>
      <c r="T236" s="1211"/>
      <c r="U236" s="1235">
        <f>IF(K236&gt;0.01,'Proposed Lighting'!CU236,0)</f>
        <v>0</v>
      </c>
      <c r="V236" s="1248">
        <f>IF('Proposed Lighting'!CF236=1,0,IF('Proposed Lighting'!AU236=2,0,IF(AND('Proposed Lighting'!AU236=3,'Proposed Lighting'!CF236=0),1,0)))</f>
        <v>0</v>
      </c>
      <c r="W236" s="1836"/>
      <c r="X236" s="1836"/>
      <c r="Y236" s="1836"/>
      <c r="Z236" s="1230" t="str">
        <f t="shared" si="39"/>
        <v/>
      </c>
      <c r="AA236" s="1230">
        <f t="shared" si="40"/>
        <v>0</v>
      </c>
      <c r="AB236" s="1230">
        <f>IF(Q236=0,0,IF(T236=0,0,IF(AA236=0,0,IF(AND(F236=3,V236=0),0,IF(T236=0,0,IF(K236&gt;'Proposed Lighting'!AA236,0,IF('Proposed Lighting'!EJ236&gt;0.01,(K236*O236)*'Proposed Lighting'!EJ236/1000,(K236*O236)*U236/1000)))))))</f>
        <v>0</v>
      </c>
      <c r="AC236" s="1230" t="str">
        <f t="shared" si="46"/>
        <v/>
      </c>
      <c r="AD236" s="1230">
        <f t="shared" si="41"/>
        <v>0</v>
      </c>
      <c r="AE236" s="1230">
        <f>IF(T236=0,0,IF(K236&gt;'Proposed Lighting'!AA236,0,IF(T236&gt;K236,0,IF(AND(AD236&gt;AA236,AA236&gt;0),0,IF(AND(F236&gt;1,W236&lt;0.01),0,IF('Proposed Lighting'!AU236&gt;'Lighting Controls'!F236,0,IF('Proposed Lighting'!AU236&lt;'Lighting Controls'!F236,0,IF(U236=0,0,Summary!AC539))))))))</f>
        <v>0</v>
      </c>
      <c r="AF236" s="1230">
        <f>IF(T236=0,0,IF(AE236=0,0,IF(K236&gt;'Proposed Lighting'!AA236,0,IF(AND(AD236&gt;AA236,AA236&gt;0),0,IF(U236=0,0,Summary!AD539)))))</f>
        <v>0</v>
      </c>
      <c r="AG236" s="1834">
        <f>IF('Proposed Lighting'!AU236=1,0,IF('Proposed Lighting'!CF236=1,0,T236*W236))</f>
        <v>0</v>
      </c>
      <c r="AH236" s="1834"/>
      <c r="AI236" s="1834"/>
      <c r="AJ236" s="1835">
        <f>IF(T236&lt;1,0,IF(K236&gt;'Proposed Lighting'!AA236,0,IF('Proposed Lighting'!CF236=1,0,IF('Proposed Lighting'!AU236=1,0,IF(T236&gt;K236,0,IF(AND(AD236&gt;AA236,AA236&gt;0),0,IF(AND(F236=2,'Proposed Lighting'!AU236=3),0,IF(AND(F236=3,'Proposed Lighting'!AU236=2),0,IF('Proposed Lighting'!CH236=100,0,IF(AND(F236&lt;3,V236=1,AM236=0),0,IF(AND(F236&gt;1,AF236&lt;1,AN236&lt;1),0,IF(AND(F236&gt;1,AE236&lt;0.69,AF236&lt;1,AN236&lt;1),0,IF(ISERROR(AB236-AC236),"",AB236-AC236)))))))))))))</f>
        <v>0</v>
      </c>
      <c r="AK236" s="1835"/>
      <c r="AL236" s="1835"/>
      <c r="AM236" s="1216">
        <f>IF(Q236=0,0,IF(T236=0,0,IF(T236&gt;K236,0,IF(AND(AS236&gt;0.01,BK236=0),0,IF(AND('Proposed Lighting'!DG236=0,'Lighting Controls'!Z236=0.35),0,IF(AND(T236&lt;=K236,AA236&gt;=AD236,'Proposed Lighting'!AU236=2),VLOOKUP(Q236,$AY$9:$AZ$15,2,FALSE),IF(AND(T236&lt;=K236,AA236&gt;=AD236,'Proposed Lighting'!AU236=3),VLOOKUP(Q236,$AY$17:$AZ$23,2,FALSE))))))))</f>
        <v>0</v>
      </c>
      <c r="AN236" s="1248">
        <f>IF(T236=0,0,IF(K236&gt;'Proposed Lighting'!AA236,0,IF(AE236=0,0,IF(AND(AD236&gt;AA236,AA236&gt;0),0,IF(U236=0,0,Summary!AE539)))))</f>
        <v>0</v>
      </c>
      <c r="AO236" s="1248">
        <f t="shared" si="50"/>
        <v>0</v>
      </c>
      <c r="AP236" s="1249">
        <f>IF('Proposed Lighting'!AU236=1,0,IF(K236=0,0,IF(T236&gt;K236,0,IF(G236=0,0,IF(K236&gt;'Proposed Lighting'!AA236,0,IF(AND(AD236&gt;AA236,AA236&gt;0),0,IF(AND('Proposed Lighting'!AU236=3,AM236=0.5),0,IF(AND(AM236&gt;0,AS236&gt;0,BI236&lt;2),0,IF('Proposed Lighting'!CH236=100,0,IF(AV236=1,0,IF(AND(AM236=35,M236+N236&lt;2),0,AM236)))))))))))</f>
        <v>0</v>
      </c>
      <c r="AQ236" s="1249" t="str">
        <f>IFERROR(ROUND(IF(Q236="","",IF('Proposed Lighting'!$X$4=0,0,IF(AND(AM236=35,M236+N236&lt;2),0,IF(T236&gt;K236,0,IF('Proposed Lighting'!AU236=1,0,IF(AJ236=0,0,IF(AND('Proposed Lighting'!AU236=3,AM236=0.5),0,IF(AND(AD236=75,AP236=0,AV236=0),0,IF(AP236&gt;0.01,AP236*T236,IF(AND(F236&gt;1,W236&lt;0.01),0,IF(AND(F236&gt;1,AO236=0),0,IF(AND('Proposed Lighting'!BC236=22,AV236=0),0,IF(AND(AM236&gt;0,AS236&gt;0,BI236&lt;2),0,IF(AND(AS236&gt;0.01,BK236=0),0,IF(AND(AO236=TRUE,AV236=1,F236=3),MIN(AJ236*0.08,L236),IF(AP236&gt;0.01,AP236*T236,IF(AND(AO236=TRUE,AV236=1,F236=2),MIN(AJ236*0.1,L236)))))))))))))))))),2),"")</f>
        <v/>
      </c>
      <c r="AR236" s="1250">
        <f>IF(Q236=0,0,IF('Proposed Lighting'!$X$4=0,0,IF(AND(AM236&gt;0.01,AQ236&gt;0.01),0,IF('Proposed Lighting'!AU236=1,"Missing Interior or Exterior Selection",IF('Proposed Lighting'!CF236=1,"Selection does not match",IF(K236&gt;'Proposed Lighting'!AA236,"Quantity controlled does not match proposed lighting quantity",IF(T236&gt;K236,"Quantity of sensors exceeds proposed lighting quantity",IF(AND(F236&gt;1,'Proposed Lighting'!AU236&lt;&gt;F236),"Selection does not match",IF(AND(AD236&gt;AA236,AA236&gt;0),"Does not meet minimum connected load",IF(AND(O236&gt;0,AS236&gt;0,BK236&gt;0,'Proposed Lighting'!CH236=0),"Select Control Strategies",IF(AND(AC236&gt;0.1,AJ236=0,AQ236=0),"Does not meet incentive criteria",0)))))))))))</f>
        <v>0</v>
      </c>
      <c r="AS236" s="1224">
        <f>IF('Proposed Lighting'!CH236=100,0,IF(ISNUMBER(SEARCH("multiple",Q236)),1,0))</f>
        <v>0</v>
      </c>
      <c r="AT236" s="451">
        <f t="shared" si="47"/>
        <v>0</v>
      </c>
      <c r="AU236" s="451">
        <f t="shared" si="48"/>
        <v>0</v>
      </c>
      <c r="AV236" s="1222">
        <f>IF(ISNUMBER(SEARCH("Networked",'Proposed Lighting'!T236)),0,IF(ISNUMBER(SEARCH("Strategies",'Proposed Lighting'!T236)),0,IF(ISNUMBER(SEARCH("Removal",'Proposed Lighting'!T236)),0,IF(ISNUMBER(SEARCH("non-standard",Q236)),1,0))))</f>
        <v>0</v>
      </c>
      <c r="AW236" s="451">
        <f t="shared" si="51"/>
        <v>0</v>
      </c>
      <c r="AX236" s="451"/>
      <c r="AY236" s="451"/>
      <c r="AZ236" s="451"/>
      <c r="BA236" s="451"/>
      <c r="BB236" s="451"/>
      <c r="BC236" s="1215"/>
      <c r="BD236" s="1215"/>
      <c r="BE236" s="1215"/>
      <c r="BF236" s="1215"/>
      <c r="BG236" s="1215"/>
      <c r="BH236" s="1215"/>
      <c r="BI236">
        <f>IF(AND(AS236=1,BC236="No",BD236="Yes",BE236="Yes",BF236="No",BH236="No"),0,IF(AND('Proposed Lighting'!AU236=2,AS236=1,BC236="Yes",BD236="Yes"),2,IF(AND('Proposed Lighting'!AU236=2,AS236=1,BC236="Yes",BE236="Yes"),2,IF(AND('Proposed Lighting'!AU236=2,AS236=1,BC236="Yes",BF236="Yes"),2,IF(AND('Proposed Lighting'!AU236=2,AS236=1,BC236="Yes",BH236="Yes"),2,IF(AND('Proposed Lighting'!AU236=2,AS236=1,BD236="Yes",BF236="Yes"),2,IF(AND('Proposed Lighting'!AU236=2,AS236=1,BD236="Yes",BH236="Yes"),2,IF(AND('Proposed Lighting'!AU236=3,AS236=1,BC236="Yes",BE236="Yes"),2,IF(AND('Proposed Lighting'!AU236=3,AS236=1,BC236="Yes",BF236="Yes"),2,0)))))))))</f>
        <v>0</v>
      </c>
      <c r="BJ236" s="1025">
        <f t="shared" si="49"/>
        <v>0</v>
      </c>
      <c r="BK236">
        <f>IF(AND('Proposed Lighting'!BC236=22,'Lighting Controls'!N236=1),0,IF(ISNUMBER(SEARCH("LED",G236)),1,0))</f>
        <v>0</v>
      </c>
    </row>
    <row r="237" spans="1:63" ht="34.5" customHeight="1">
      <c r="A237" s="917">
        <v>229</v>
      </c>
      <c r="B237" s="1828" t="str">
        <f>IF('Proposed Lighting'!B237="","",'Proposed Lighting'!B237)</f>
        <v/>
      </c>
      <c r="C237" s="1828"/>
      <c r="D237" s="1828"/>
      <c r="E237" s="1245">
        <f>'Proposed Lighting'!AA237</f>
        <v>0</v>
      </c>
      <c r="F237" s="1245">
        <f t="shared" si="42"/>
        <v>0</v>
      </c>
      <c r="G237" s="1830" t="str">
        <f>IF('Proposed Lighting'!T237="","",IF(ISNUMBER(SEARCH("Networked",'Proposed Lighting'!T237)),0,IF(ISNUMBER(SEARCH("Strategies",'Proposed Lighting'!T237)),0,IF(ISNUMBER(SEARCH("Removal",'Proposed Lighting'!T237)),0,'Proposed Lighting'!T237))))</f>
        <v/>
      </c>
      <c r="H237" s="1830"/>
      <c r="I237" s="1830"/>
      <c r="J237" s="1830"/>
      <c r="K237" s="1215"/>
      <c r="L237" s="1246">
        <f t="shared" si="43"/>
        <v>0</v>
      </c>
      <c r="M237" s="1224">
        <f t="shared" si="44"/>
        <v>0</v>
      </c>
      <c r="N237" s="1224">
        <f t="shared" si="45"/>
        <v>0</v>
      </c>
      <c r="O237" s="1825" t="str">
        <f>IF(G237=0,0,IF(ISNA('Proposed Lighting'!AT237),0,'Proposed Lighting'!AT237))</f>
        <v/>
      </c>
      <c r="P237" s="1825"/>
      <c r="Q237" s="1247"/>
      <c r="R237" s="1247"/>
      <c r="S237" s="1247"/>
      <c r="T237" s="1211"/>
      <c r="U237" s="1235">
        <f>IF(K237&gt;0.01,'Proposed Lighting'!CU237,0)</f>
        <v>0</v>
      </c>
      <c r="V237" s="1248">
        <f>IF('Proposed Lighting'!CF237=1,0,IF('Proposed Lighting'!AU237=2,0,IF(AND('Proposed Lighting'!AU237=3,'Proposed Lighting'!CF237=0),1,0)))</f>
        <v>0</v>
      </c>
      <c r="W237" s="1836"/>
      <c r="X237" s="1836"/>
      <c r="Y237" s="1836"/>
      <c r="Z237" s="1230" t="str">
        <f t="shared" si="39"/>
        <v/>
      </c>
      <c r="AA237" s="1230">
        <f t="shared" si="40"/>
        <v>0</v>
      </c>
      <c r="AB237" s="1230">
        <f>IF(Q237=0,0,IF(T237=0,0,IF(AA237=0,0,IF(AND(F237=3,V237=0),0,IF(T237=0,0,IF(K237&gt;'Proposed Lighting'!AA237,0,IF('Proposed Lighting'!EJ237&gt;0.01,(K237*O237)*'Proposed Lighting'!EJ237/1000,(K237*O237)*U237/1000)))))))</f>
        <v>0</v>
      </c>
      <c r="AC237" s="1230" t="str">
        <f t="shared" si="46"/>
        <v/>
      </c>
      <c r="AD237" s="1230">
        <f t="shared" si="41"/>
        <v>0</v>
      </c>
      <c r="AE237" s="1230">
        <f>IF(T237=0,0,IF(K237&gt;'Proposed Lighting'!AA237,0,IF(T237&gt;K237,0,IF(AND(AD237&gt;AA237,AA237&gt;0),0,IF(AND(F237&gt;1,W237&lt;0.01),0,IF('Proposed Lighting'!AU237&gt;'Lighting Controls'!F237,0,IF('Proposed Lighting'!AU237&lt;'Lighting Controls'!F237,0,IF(U237=0,0,Summary!AC540))))))))</f>
        <v>0</v>
      </c>
      <c r="AF237" s="1230">
        <f>IF(T237=0,0,IF(AE237=0,0,IF(K237&gt;'Proposed Lighting'!AA237,0,IF(AND(AD237&gt;AA237,AA237&gt;0),0,IF(U237=0,0,Summary!AD540)))))</f>
        <v>0</v>
      </c>
      <c r="AG237" s="1834">
        <f>IF('Proposed Lighting'!AU237=1,0,IF('Proposed Lighting'!CF237=1,0,T237*W237))</f>
        <v>0</v>
      </c>
      <c r="AH237" s="1834"/>
      <c r="AI237" s="1834"/>
      <c r="AJ237" s="1835">
        <f>IF(T237&lt;1,0,IF(K237&gt;'Proposed Lighting'!AA237,0,IF('Proposed Lighting'!CF237=1,0,IF('Proposed Lighting'!AU237=1,0,IF(T237&gt;K237,0,IF(AND(AD237&gt;AA237,AA237&gt;0),0,IF(AND(F237=2,'Proposed Lighting'!AU237=3),0,IF(AND(F237=3,'Proposed Lighting'!AU237=2),0,IF('Proposed Lighting'!CH237=100,0,IF(AND(F237&lt;3,V237=1,AM237=0),0,IF(AND(F237&gt;1,AF237&lt;1,AN237&lt;1),0,IF(AND(F237&gt;1,AE237&lt;0.69,AF237&lt;1,AN237&lt;1),0,IF(ISERROR(AB237-AC237),"",AB237-AC237)))))))))))))</f>
        <v>0</v>
      </c>
      <c r="AK237" s="1835"/>
      <c r="AL237" s="1835"/>
      <c r="AM237" s="1216">
        <f>IF(Q237=0,0,IF(T237=0,0,IF(T237&gt;K237,0,IF(AND(AS237&gt;0.01,BK237=0),0,IF(AND('Proposed Lighting'!DG237=0,'Lighting Controls'!Z237=0.35),0,IF(AND(T237&lt;=K237,AA237&gt;=AD237,'Proposed Lighting'!AU237=2),VLOOKUP(Q237,$AY$9:$AZ$15,2,FALSE),IF(AND(T237&lt;=K237,AA237&gt;=AD237,'Proposed Lighting'!AU237=3),VLOOKUP(Q237,$AY$17:$AZ$23,2,FALSE))))))))</f>
        <v>0</v>
      </c>
      <c r="AN237" s="1248">
        <f>IF(T237=0,0,IF(K237&gt;'Proposed Lighting'!AA237,0,IF(AE237=0,0,IF(AND(AD237&gt;AA237,AA237&gt;0),0,IF(U237=0,0,Summary!AE540)))))</f>
        <v>0</v>
      </c>
      <c r="AO237" s="1248">
        <f t="shared" si="50"/>
        <v>0</v>
      </c>
      <c r="AP237" s="1249">
        <f>IF('Proposed Lighting'!AU237=1,0,IF(K237=0,0,IF(T237&gt;K237,0,IF(G237=0,0,IF(K237&gt;'Proposed Lighting'!AA237,0,IF(AND(AD237&gt;AA237,AA237&gt;0),0,IF(AND('Proposed Lighting'!AU237=3,AM237=0.5),0,IF(AND(AM237&gt;0,AS237&gt;0,BI237&lt;2),0,IF('Proposed Lighting'!CH237=100,0,IF(AV237=1,0,IF(AND(AM237=35,M237+N237&lt;2),0,AM237)))))))))))</f>
        <v>0</v>
      </c>
      <c r="AQ237" s="1249" t="str">
        <f>IFERROR(ROUND(IF(Q237="","",IF('Proposed Lighting'!$X$4=0,0,IF(AND(AM237=35,M237+N237&lt;2),0,IF(T237&gt;K237,0,IF('Proposed Lighting'!AU237=1,0,IF(AJ237=0,0,IF(AND('Proposed Lighting'!AU237=3,AM237=0.5),0,IF(AND(AD237=75,AP237=0,AV237=0),0,IF(AP237&gt;0.01,AP237*T237,IF(AND(F237&gt;1,W237&lt;0.01),0,IF(AND(F237&gt;1,AO237=0),0,IF(AND('Proposed Lighting'!BC237=22,AV237=0),0,IF(AND(AM237&gt;0,AS237&gt;0,BI237&lt;2),0,IF(AND(AS237&gt;0.01,BK237=0),0,IF(AND(AO237=TRUE,AV237=1,F237=3),MIN(AJ237*0.08,L237),IF(AP237&gt;0.01,AP237*T237,IF(AND(AO237=TRUE,AV237=1,F237=2),MIN(AJ237*0.1,L237)))))))))))))))))),2),"")</f>
        <v/>
      </c>
      <c r="AR237" s="1250">
        <f>IF(Q237=0,0,IF('Proposed Lighting'!$X$4=0,0,IF(AND(AM237&gt;0.01,AQ237&gt;0.01),0,IF('Proposed Lighting'!AU237=1,"Missing Interior or Exterior Selection",IF('Proposed Lighting'!CF237=1,"Selection does not match",IF(K237&gt;'Proposed Lighting'!AA237,"Quantity controlled does not match proposed lighting quantity",IF(T237&gt;K237,"Quantity of sensors exceeds proposed lighting quantity",IF(AND(F237&gt;1,'Proposed Lighting'!AU237&lt;&gt;F237),"Selection does not match",IF(AND(AD237&gt;AA237,AA237&gt;0),"Does not meet minimum connected load",IF(AND(O237&gt;0,AS237&gt;0,BK237&gt;0,'Proposed Lighting'!CH237=0),"Select Control Strategies",IF(AND(AC237&gt;0.1,AJ237=0,AQ237=0),"Does not meet incentive criteria",0)))))))))))</f>
        <v>0</v>
      </c>
      <c r="AS237" s="1224">
        <f>IF('Proposed Lighting'!CH237=100,0,IF(ISNUMBER(SEARCH("multiple",Q237)),1,0))</f>
        <v>0</v>
      </c>
      <c r="AT237" s="451">
        <f t="shared" si="47"/>
        <v>0</v>
      </c>
      <c r="AU237" s="451">
        <f t="shared" si="48"/>
        <v>0</v>
      </c>
      <c r="AV237" s="1222">
        <f>IF(ISNUMBER(SEARCH("Networked",'Proposed Lighting'!T237)),0,IF(ISNUMBER(SEARCH("Strategies",'Proposed Lighting'!T237)),0,IF(ISNUMBER(SEARCH("Removal",'Proposed Lighting'!T237)),0,IF(ISNUMBER(SEARCH("non-standard",Q237)),1,0))))</f>
        <v>0</v>
      </c>
      <c r="AW237" s="451">
        <f t="shared" si="51"/>
        <v>0</v>
      </c>
      <c r="AX237" s="451"/>
      <c r="AY237" s="451"/>
      <c r="AZ237" s="451"/>
      <c r="BA237" s="451"/>
      <c r="BB237" s="451"/>
      <c r="BC237" s="1215"/>
      <c r="BD237" s="1215"/>
      <c r="BE237" s="1215"/>
      <c r="BF237" s="1215"/>
      <c r="BG237" s="1215"/>
      <c r="BH237" s="1215"/>
      <c r="BI237">
        <f>IF(AND(AS237=1,BC237="No",BD237="Yes",BE237="Yes",BF237="No",BH237="No"),0,IF(AND('Proposed Lighting'!AU237=2,AS237=1,BC237="Yes",BD237="Yes"),2,IF(AND('Proposed Lighting'!AU237=2,AS237=1,BC237="Yes",BE237="Yes"),2,IF(AND('Proposed Lighting'!AU237=2,AS237=1,BC237="Yes",BF237="Yes"),2,IF(AND('Proposed Lighting'!AU237=2,AS237=1,BC237="Yes",BH237="Yes"),2,IF(AND('Proposed Lighting'!AU237=2,AS237=1,BD237="Yes",BF237="Yes"),2,IF(AND('Proposed Lighting'!AU237=2,AS237=1,BD237="Yes",BH237="Yes"),2,IF(AND('Proposed Lighting'!AU237=3,AS237=1,BC237="Yes",BE237="Yes"),2,IF(AND('Proposed Lighting'!AU237=3,AS237=1,BC237="Yes",BF237="Yes"),2,0)))))))))</f>
        <v>0</v>
      </c>
      <c r="BJ237" s="1025">
        <f t="shared" si="49"/>
        <v>0</v>
      </c>
      <c r="BK237">
        <f>IF(AND('Proposed Lighting'!BC237=22,'Lighting Controls'!N237=1),0,IF(ISNUMBER(SEARCH("LED",G237)),1,0))</f>
        <v>0</v>
      </c>
    </row>
    <row r="238" spans="1:63" ht="34.5" customHeight="1">
      <c r="A238" s="917">
        <v>230</v>
      </c>
      <c r="B238" s="1828" t="str">
        <f>IF('Proposed Lighting'!B238="","",'Proposed Lighting'!B238)</f>
        <v/>
      </c>
      <c r="C238" s="1828"/>
      <c r="D238" s="1828"/>
      <c r="E238" s="1245">
        <f>'Proposed Lighting'!AA238</f>
        <v>0</v>
      </c>
      <c r="F238" s="1245">
        <f t="shared" si="42"/>
        <v>0</v>
      </c>
      <c r="G238" s="1830" t="str">
        <f>IF('Proposed Lighting'!T238="","",IF(ISNUMBER(SEARCH("Networked",'Proposed Lighting'!T238)),0,IF(ISNUMBER(SEARCH("Strategies",'Proposed Lighting'!T238)),0,IF(ISNUMBER(SEARCH("Removal",'Proposed Lighting'!T238)),0,'Proposed Lighting'!T238))))</f>
        <v/>
      </c>
      <c r="H238" s="1830"/>
      <c r="I238" s="1830"/>
      <c r="J238" s="1830"/>
      <c r="K238" s="1215"/>
      <c r="L238" s="1246">
        <f t="shared" si="43"/>
        <v>0</v>
      </c>
      <c r="M238" s="1224">
        <f t="shared" si="44"/>
        <v>0</v>
      </c>
      <c r="N238" s="1224">
        <f t="shared" si="45"/>
        <v>0</v>
      </c>
      <c r="O238" s="1825" t="str">
        <f>IF(G238=0,0,IF(ISNA('Proposed Lighting'!AT238),0,'Proposed Lighting'!AT238))</f>
        <v/>
      </c>
      <c r="P238" s="1825"/>
      <c r="Q238" s="1247"/>
      <c r="R238" s="1247"/>
      <c r="S238" s="1247"/>
      <c r="T238" s="1211"/>
      <c r="U238" s="1235">
        <f>IF(K238&gt;0.01,'Proposed Lighting'!CU238,0)</f>
        <v>0</v>
      </c>
      <c r="V238" s="1248">
        <f>IF('Proposed Lighting'!CF238=1,0,IF('Proposed Lighting'!AU238=2,0,IF(AND('Proposed Lighting'!AU238=3,'Proposed Lighting'!CF238=0),1,0)))</f>
        <v>0</v>
      </c>
      <c r="W238" s="1836"/>
      <c r="X238" s="1836"/>
      <c r="Y238" s="1836"/>
      <c r="Z238" s="1230" t="str">
        <f t="shared" si="39"/>
        <v/>
      </c>
      <c r="AA238" s="1230">
        <f t="shared" si="40"/>
        <v>0</v>
      </c>
      <c r="AB238" s="1230">
        <f>IF(Q238=0,0,IF(T238=0,0,IF(AA238=0,0,IF(AND(F238=3,V238=0),0,IF(T238=0,0,IF(K238&gt;'Proposed Lighting'!AA238,0,IF('Proposed Lighting'!EJ238&gt;0.01,(K238*O238)*'Proposed Lighting'!EJ238/1000,(K238*O238)*U238/1000)))))))</f>
        <v>0</v>
      </c>
      <c r="AC238" s="1230" t="str">
        <f t="shared" si="46"/>
        <v/>
      </c>
      <c r="AD238" s="1230">
        <f t="shared" si="41"/>
        <v>0</v>
      </c>
      <c r="AE238" s="1230">
        <f>IF(T238=0,0,IF(K238&gt;'Proposed Lighting'!AA238,0,IF(T238&gt;K238,0,IF(AND(AD238&gt;AA238,AA238&gt;0),0,IF(AND(F238&gt;1,W238&lt;0.01),0,IF('Proposed Lighting'!AU238&gt;'Lighting Controls'!F238,0,IF('Proposed Lighting'!AU238&lt;'Lighting Controls'!F238,0,IF(U238=0,0,Summary!AC541))))))))</f>
        <v>0</v>
      </c>
      <c r="AF238" s="1230">
        <f>IF(T238=0,0,IF(AE238=0,0,IF(K238&gt;'Proposed Lighting'!AA238,0,IF(AND(AD238&gt;AA238,AA238&gt;0),0,IF(U238=0,0,Summary!AD541)))))</f>
        <v>0</v>
      </c>
      <c r="AG238" s="1834">
        <f>IF('Proposed Lighting'!AU238=1,0,IF('Proposed Lighting'!CF238=1,0,T238*W238))</f>
        <v>0</v>
      </c>
      <c r="AH238" s="1834"/>
      <c r="AI238" s="1834"/>
      <c r="AJ238" s="1835">
        <f>IF(T238&lt;1,0,IF(K238&gt;'Proposed Lighting'!AA238,0,IF('Proposed Lighting'!CF238=1,0,IF('Proposed Lighting'!AU238=1,0,IF(T238&gt;K238,0,IF(AND(AD238&gt;AA238,AA238&gt;0),0,IF(AND(F238=2,'Proposed Lighting'!AU238=3),0,IF(AND(F238=3,'Proposed Lighting'!AU238=2),0,IF('Proposed Lighting'!CH238=100,0,IF(AND(F238&lt;3,V238=1,AM238=0),0,IF(AND(F238&gt;1,AF238&lt;1,AN238&lt;1),0,IF(AND(F238&gt;1,AE238&lt;0.69,AF238&lt;1,AN238&lt;1),0,IF(ISERROR(AB238-AC238),"",AB238-AC238)))))))))))))</f>
        <v>0</v>
      </c>
      <c r="AK238" s="1835"/>
      <c r="AL238" s="1835"/>
      <c r="AM238" s="1216">
        <f>IF(Q238=0,0,IF(T238=0,0,IF(T238&gt;K238,0,IF(AND(AS238&gt;0.01,BK238=0),0,IF(AND('Proposed Lighting'!DG238=0,'Lighting Controls'!Z238=0.35),0,IF(AND(T238&lt;=K238,AA238&gt;=AD238,'Proposed Lighting'!AU238=2),VLOOKUP(Q238,$AY$9:$AZ$15,2,FALSE),IF(AND(T238&lt;=K238,AA238&gt;=AD238,'Proposed Lighting'!AU238=3),VLOOKUP(Q238,$AY$17:$AZ$23,2,FALSE))))))))</f>
        <v>0</v>
      </c>
      <c r="AN238" s="1248">
        <f>IF(T238=0,0,IF(K238&gt;'Proposed Lighting'!AA238,0,IF(AE238=0,0,IF(AND(AD238&gt;AA238,AA238&gt;0),0,IF(U238=0,0,Summary!AE541)))))</f>
        <v>0</v>
      </c>
      <c r="AO238" s="1248">
        <f t="shared" si="50"/>
        <v>0</v>
      </c>
      <c r="AP238" s="1249">
        <f>IF('Proposed Lighting'!AU238=1,0,IF(K238=0,0,IF(T238&gt;K238,0,IF(G238=0,0,IF(K238&gt;'Proposed Lighting'!AA238,0,IF(AND(AD238&gt;AA238,AA238&gt;0),0,IF(AND('Proposed Lighting'!AU238=3,AM238=0.5),0,IF(AND(AM238&gt;0,AS238&gt;0,BI238&lt;2),0,IF('Proposed Lighting'!CH238=100,0,IF(AV238=1,0,IF(AND(AM238=35,M238+N238&lt;2),0,AM238)))))))))))</f>
        <v>0</v>
      </c>
      <c r="AQ238" s="1249" t="str">
        <f>IFERROR(ROUND(IF(Q238="","",IF('Proposed Lighting'!$X$4=0,0,IF(AND(AM238=35,M238+N238&lt;2),0,IF(T238&gt;K238,0,IF('Proposed Lighting'!AU238=1,0,IF(AJ238=0,0,IF(AND('Proposed Lighting'!AU238=3,AM238=0.5),0,IF(AND(AD238=75,AP238=0,AV238=0),0,IF(AP238&gt;0.01,AP238*T238,IF(AND(F238&gt;1,W238&lt;0.01),0,IF(AND(F238&gt;1,AO238=0),0,IF(AND('Proposed Lighting'!BC238=22,AV238=0),0,IF(AND(AM238&gt;0,AS238&gt;0,BI238&lt;2),0,IF(AND(AS238&gt;0.01,BK238=0),0,IF(AND(AO238=TRUE,AV238=1,F238=3),MIN(AJ238*0.08,L238),IF(AP238&gt;0.01,AP238*T238,IF(AND(AO238=TRUE,AV238=1,F238=2),MIN(AJ238*0.1,L238)))))))))))))))))),2),"")</f>
        <v/>
      </c>
      <c r="AR238" s="1250">
        <f>IF(Q238=0,0,IF('Proposed Lighting'!$X$4=0,0,IF(AND(AM238&gt;0.01,AQ238&gt;0.01),0,IF('Proposed Lighting'!AU238=1,"Missing Interior or Exterior Selection",IF('Proposed Lighting'!CF238=1,"Selection does not match",IF(K238&gt;'Proposed Lighting'!AA238,"Quantity controlled does not match proposed lighting quantity",IF(T238&gt;K238,"Quantity of sensors exceeds proposed lighting quantity",IF(AND(F238&gt;1,'Proposed Lighting'!AU238&lt;&gt;F238),"Selection does not match",IF(AND(AD238&gt;AA238,AA238&gt;0),"Does not meet minimum connected load",IF(AND(O238&gt;0,AS238&gt;0,BK238&gt;0,'Proposed Lighting'!CH238=0),"Select Control Strategies",IF(AND(AC238&gt;0.1,AJ238=0,AQ238=0),"Does not meet incentive criteria",0)))))))))))</f>
        <v>0</v>
      </c>
      <c r="AS238" s="1224">
        <f>IF('Proposed Lighting'!CH238=100,0,IF(ISNUMBER(SEARCH("multiple",Q238)),1,0))</f>
        <v>0</v>
      </c>
      <c r="AT238" s="451">
        <f t="shared" si="47"/>
        <v>0</v>
      </c>
      <c r="AU238" s="451">
        <f t="shared" si="48"/>
        <v>0</v>
      </c>
      <c r="AV238" s="1222">
        <f>IF(ISNUMBER(SEARCH("Networked",'Proposed Lighting'!T238)),0,IF(ISNUMBER(SEARCH("Strategies",'Proposed Lighting'!T238)),0,IF(ISNUMBER(SEARCH("Removal",'Proposed Lighting'!T238)),0,IF(ISNUMBER(SEARCH("non-standard",Q238)),1,0))))</f>
        <v>0</v>
      </c>
      <c r="AW238" s="451">
        <f t="shared" si="51"/>
        <v>0</v>
      </c>
      <c r="AX238" s="451"/>
      <c r="AY238" s="451"/>
      <c r="AZ238" s="451"/>
      <c r="BA238" s="451"/>
      <c r="BB238" s="451"/>
      <c r="BC238" s="1215"/>
      <c r="BD238" s="1215"/>
      <c r="BE238" s="1215"/>
      <c r="BF238" s="1215"/>
      <c r="BG238" s="1215"/>
      <c r="BH238" s="1215"/>
      <c r="BI238">
        <f>IF(AND(AS238=1,BC238="No",BD238="Yes",BE238="Yes",BF238="No",BH238="No"),0,IF(AND('Proposed Lighting'!AU238=2,AS238=1,BC238="Yes",BD238="Yes"),2,IF(AND('Proposed Lighting'!AU238=2,AS238=1,BC238="Yes",BE238="Yes"),2,IF(AND('Proposed Lighting'!AU238=2,AS238=1,BC238="Yes",BF238="Yes"),2,IF(AND('Proposed Lighting'!AU238=2,AS238=1,BC238="Yes",BH238="Yes"),2,IF(AND('Proposed Lighting'!AU238=2,AS238=1,BD238="Yes",BF238="Yes"),2,IF(AND('Proposed Lighting'!AU238=2,AS238=1,BD238="Yes",BH238="Yes"),2,IF(AND('Proposed Lighting'!AU238=3,AS238=1,BC238="Yes",BE238="Yes"),2,IF(AND('Proposed Lighting'!AU238=3,AS238=1,BC238="Yes",BF238="Yes"),2,0)))))))))</f>
        <v>0</v>
      </c>
      <c r="BJ238" s="1025">
        <f t="shared" si="49"/>
        <v>0</v>
      </c>
      <c r="BK238">
        <f>IF(AND('Proposed Lighting'!BC238=22,'Lighting Controls'!N238=1),0,IF(ISNUMBER(SEARCH("LED",G238)),1,0))</f>
        <v>0</v>
      </c>
    </row>
    <row r="239" spans="1:63" ht="34.5" customHeight="1">
      <c r="A239" s="917">
        <v>231</v>
      </c>
      <c r="B239" s="1828" t="str">
        <f>IF('Proposed Lighting'!B239="","",'Proposed Lighting'!B239)</f>
        <v/>
      </c>
      <c r="C239" s="1828"/>
      <c r="D239" s="1828"/>
      <c r="E239" s="1245">
        <f>'Proposed Lighting'!AA239</f>
        <v>0</v>
      </c>
      <c r="F239" s="1245">
        <f t="shared" si="42"/>
        <v>0</v>
      </c>
      <c r="G239" s="1830" t="str">
        <f>IF('Proposed Lighting'!T239="","",IF(ISNUMBER(SEARCH("Networked",'Proposed Lighting'!T239)),0,IF(ISNUMBER(SEARCH("Strategies",'Proposed Lighting'!T239)),0,IF(ISNUMBER(SEARCH("Removal",'Proposed Lighting'!T239)),0,'Proposed Lighting'!T239))))</f>
        <v/>
      </c>
      <c r="H239" s="1830"/>
      <c r="I239" s="1830"/>
      <c r="J239" s="1830"/>
      <c r="K239" s="1215"/>
      <c r="L239" s="1246">
        <f t="shared" si="43"/>
        <v>0</v>
      </c>
      <c r="M239" s="1224">
        <f t="shared" si="44"/>
        <v>0</v>
      </c>
      <c r="N239" s="1224">
        <f t="shared" si="45"/>
        <v>0</v>
      </c>
      <c r="O239" s="1825" t="str">
        <f>IF(G239=0,0,IF(ISNA('Proposed Lighting'!AT239),0,'Proposed Lighting'!AT239))</f>
        <v/>
      </c>
      <c r="P239" s="1825"/>
      <c r="Q239" s="1247"/>
      <c r="R239" s="1247"/>
      <c r="S239" s="1247"/>
      <c r="T239" s="1211"/>
      <c r="U239" s="1235">
        <f>IF(K239&gt;0.01,'Proposed Lighting'!CU239,0)</f>
        <v>0</v>
      </c>
      <c r="V239" s="1248">
        <f>IF('Proposed Lighting'!CF239=1,0,IF('Proposed Lighting'!AU239=2,0,IF(AND('Proposed Lighting'!AU239=3,'Proposed Lighting'!CF239=0),1,0)))</f>
        <v>0</v>
      </c>
      <c r="W239" s="1836"/>
      <c r="X239" s="1836"/>
      <c r="Y239" s="1836"/>
      <c r="Z239" s="1230" t="str">
        <f t="shared" si="39"/>
        <v/>
      </c>
      <c r="AA239" s="1230">
        <f t="shared" si="40"/>
        <v>0</v>
      </c>
      <c r="AB239" s="1230">
        <f>IF(Q239=0,0,IF(T239=0,0,IF(AA239=0,0,IF(AND(F239=3,V239=0),0,IF(T239=0,0,IF(K239&gt;'Proposed Lighting'!AA239,0,IF('Proposed Lighting'!EJ239&gt;0.01,(K239*O239)*'Proposed Lighting'!EJ239/1000,(K239*O239)*U239/1000)))))))</f>
        <v>0</v>
      </c>
      <c r="AC239" s="1230" t="str">
        <f t="shared" si="46"/>
        <v/>
      </c>
      <c r="AD239" s="1230">
        <f t="shared" si="41"/>
        <v>0</v>
      </c>
      <c r="AE239" s="1230">
        <f>IF(T239=0,0,IF(K239&gt;'Proposed Lighting'!AA239,0,IF(T239&gt;K239,0,IF(AND(AD239&gt;AA239,AA239&gt;0),0,IF(AND(F239&gt;1,W239&lt;0.01),0,IF('Proposed Lighting'!AU239&gt;'Lighting Controls'!F239,0,IF('Proposed Lighting'!AU239&lt;'Lighting Controls'!F239,0,IF(U239=0,0,Summary!AC542))))))))</f>
        <v>0</v>
      </c>
      <c r="AF239" s="1230">
        <f>IF(T239=0,0,IF(AE239=0,0,IF(K239&gt;'Proposed Lighting'!AA239,0,IF(AND(AD239&gt;AA239,AA239&gt;0),0,IF(U239=0,0,Summary!AD542)))))</f>
        <v>0</v>
      </c>
      <c r="AG239" s="1834">
        <f>IF('Proposed Lighting'!AU239=1,0,IF('Proposed Lighting'!CF239=1,0,T239*W239))</f>
        <v>0</v>
      </c>
      <c r="AH239" s="1834"/>
      <c r="AI239" s="1834"/>
      <c r="AJ239" s="1835">
        <f>IF(T239&lt;1,0,IF(K239&gt;'Proposed Lighting'!AA239,0,IF('Proposed Lighting'!CF239=1,0,IF('Proposed Lighting'!AU239=1,0,IF(T239&gt;K239,0,IF(AND(AD239&gt;AA239,AA239&gt;0),0,IF(AND(F239=2,'Proposed Lighting'!AU239=3),0,IF(AND(F239=3,'Proposed Lighting'!AU239=2),0,IF('Proposed Lighting'!CH239=100,0,IF(AND(F239&lt;3,V239=1,AM239=0),0,IF(AND(F239&gt;1,AF239&lt;1,AN239&lt;1),0,IF(AND(F239&gt;1,AE239&lt;0.69,AF239&lt;1,AN239&lt;1),0,IF(ISERROR(AB239-AC239),"",AB239-AC239)))))))))))))</f>
        <v>0</v>
      </c>
      <c r="AK239" s="1835"/>
      <c r="AL239" s="1835"/>
      <c r="AM239" s="1216">
        <f>IF(Q239=0,0,IF(T239=0,0,IF(T239&gt;K239,0,IF(AND(AS239&gt;0.01,BK239=0),0,IF(AND('Proposed Lighting'!DG239=0,'Lighting Controls'!Z239=0.35),0,IF(AND(T239&lt;=K239,AA239&gt;=AD239,'Proposed Lighting'!AU239=2),VLOOKUP(Q239,$AY$9:$AZ$15,2,FALSE),IF(AND(T239&lt;=K239,AA239&gt;=AD239,'Proposed Lighting'!AU239=3),VLOOKUP(Q239,$AY$17:$AZ$23,2,FALSE))))))))</f>
        <v>0</v>
      </c>
      <c r="AN239" s="1248">
        <f>IF(T239=0,0,IF(K239&gt;'Proposed Lighting'!AA239,0,IF(AE239=0,0,IF(AND(AD239&gt;AA239,AA239&gt;0),0,IF(U239=0,0,Summary!AE542)))))</f>
        <v>0</v>
      </c>
      <c r="AO239" s="1248">
        <f t="shared" si="50"/>
        <v>0</v>
      </c>
      <c r="AP239" s="1249">
        <f>IF('Proposed Lighting'!AU239=1,0,IF(K239=0,0,IF(T239&gt;K239,0,IF(G239=0,0,IF(K239&gt;'Proposed Lighting'!AA239,0,IF(AND(AD239&gt;AA239,AA239&gt;0),0,IF(AND('Proposed Lighting'!AU239=3,AM239=0.5),0,IF(AND(AM239&gt;0,AS239&gt;0,BI239&lt;2),0,IF('Proposed Lighting'!CH239=100,0,IF(AV239=1,0,IF(AND(AM239=35,M239+N239&lt;2),0,AM239)))))))))))</f>
        <v>0</v>
      </c>
      <c r="AQ239" s="1249" t="str">
        <f>IFERROR(ROUND(IF(Q239="","",IF('Proposed Lighting'!$X$4=0,0,IF(AND(AM239=35,M239+N239&lt;2),0,IF(T239&gt;K239,0,IF('Proposed Lighting'!AU239=1,0,IF(AJ239=0,0,IF(AND('Proposed Lighting'!AU239=3,AM239=0.5),0,IF(AND(AD239=75,AP239=0,AV239=0),0,IF(AP239&gt;0.01,AP239*T239,IF(AND(F239&gt;1,W239&lt;0.01),0,IF(AND(F239&gt;1,AO239=0),0,IF(AND('Proposed Lighting'!BC239=22,AV239=0),0,IF(AND(AM239&gt;0,AS239&gt;0,BI239&lt;2),0,IF(AND(AS239&gt;0.01,BK239=0),0,IF(AND(AO239=TRUE,AV239=1,F239=3),MIN(AJ239*0.08,L239),IF(AP239&gt;0.01,AP239*T239,IF(AND(AO239=TRUE,AV239=1,F239=2),MIN(AJ239*0.1,L239)))))))))))))))))),2),"")</f>
        <v/>
      </c>
      <c r="AR239" s="1250">
        <f>IF(Q239=0,0,IF('Proposed Lighting'!$X$4=0,0,IF(AND(AM239&gt;0.01,AQ239&gt;0.01),0,IF('Proposed Lighting'!AU239=1,"Missing Interior or Exterior Selection",IF('Proposed Lighting'!CF239=1,"Selection does not match",IF(K239&gt;'Proposed Lighting'!AA239,"Quantity controlled does not match proposed lighting quantity",IF(T239&gt;K239,"Quantity of sensors exceeds proposed lighting quantity",IF(AND(F239&gt;1,'Proposed Lighting'!AU239&lt;&gt;F239),"Selection does not match",IF(AND(AD239&gt;AA239,AA239&gt;0),"Does not meet minimum connected load",IF(AND(O239&gt;0,AS239&gt;0,BK239&gt;0,'Proposed Lighting'!CH239=0),"Select Control Strategies",IF(AND(AC239&gt;0.1,AJ239=0,AQ239=0),"Does not meet incentive criteria",0)))))))))))</f>
        <v>0</v>
      </c>
      <c r="AS239" s="1224">
        <f>IF('Proposed Lighting'!CH239=100,0,IF(ISNUMBER(SEARCH("multiple",Q239)),1,0))</f>
        <v>0</v>
      </c>
      <c r="AT239" s="451">
        <f t="shared" si="47"/>
        <v>0</v>
      </c>
      <c r="AU239" s="451">
        <f t="shared" si="48"/>
        <v>0</v>
      </c>
      <c r="AV239" s="1222">
        <f>IF(ISNUMBER(SEARCH("Networked",'Proposed Lighting'!T239)),0,IF(ISNUMBER(SEARCH("Strategies",'Proposed Lighting'!T239)),0,IF(ISNUMBER(SEARCH("Removal",'Proposed Lighting'!T239)),0,IF(ISNUMBER(SEARCH("non-standard",Q239)),1,0))))</f>
        <v>0</v>
      </c>
      <c r="AW239" s="451">
        <f t="shared" si="51"/>
        <v>0</v>
      </c>
      <c r="AX239" s="451"/>
      <c r="AY239" s="451"/>
      <c r="AZ239" s="451"/>
      <c r="BA239" s="451"/>
      <c r="BB239" s="451"/>
      <c r="BC239" s="1215"/>
      <c r="BD239" s="1215"/>
      <c r="BE239" s="1215"/>
      <c r="BF239" s="1215"/>
      <c r="BG239" s="1215"/>
      <c r="BH239" s="1215"/>
      <c r="BI239">
        <f>IF(AND(AS239=1,BC239="No",BD239="Yes",BE239="Yes",BF239="No",BH239="No"),0,IF(AND('Proposed Lighting'!AU239=2,AS239=1,BC239="Yes",BD239="Yes"),2,IF(AND('Proposed Lighting'!AU239=2,AS239=1,BC239="Yes",BE239="Yes"),2,IF(AND('Proposed Lighting'!AU239=2,AS239=1,BC239="Yes",BF239="Yes"),2,IF(AND('Proposed Lighting'!AU239=2,AS239=1,BC239="Yes",BH239="Yes"),2,IF(AND('Proposed Lighting'!AU239=2,AS239=1,BD239="Yes",BF239="Yes"),2,IF(AND('Proposed Lighting'!AU239=2,AS239=1,BD239="Yes",BH239="Yes"),2,IF(AND('Proposed Lighting'!AU239=3,AS239=1,BC239="Yes",BE239="Yes"),2,IF(AND('Proposed Lighting'!AU239=3,AS239=1,BC239="Yes",BF239="Yes"),2,0)))))))))</f>
        <v>0</v>
      </c>
      <c r="BJ239" s="1025">
        <f t="shared" si="49"/>
        <v>0</v>
      </c>
      <c r="BK239">
        <f>IF(AND('Proposed Lighting'!BC239=22,'Lighting Controls'!N239=1),0,IF(ISNUMBER(SEARCH("LED",G239)),1,0))</f>
        <v>0</v>
      </c>
    </row>
    <row r="240" spans="1:63" ht="34.5" customHeight="1">
      <c r="A240" s="917">
        <v>232</v>
      </c>
      <c r="B240" s="1828" t="str">
        <f>IF('Proposed Lighting'!B240="","",'Proposed Lighting'!B240)</f>
        <v/>
      </c>
      <c r="C240" s="1828"/>
      <c r="D240" s="1828"/>
      <c r="E240" s="1245">
        <f>'Proposed Lighting'!AA240</f>
        <v>0</v>
      </c>
      <c r="F240" s="1245">
        <f t="shared" si="42"/>
        <v>0</v>
      </c>
      <c r="G240" s="1830" t="str">
        <f>IF('Proposed Lighting'!T240="","",IF(ISNUMBER(SEARCH("Networked",'Proposed Lighting'!T240)),0,IF(ISNUMBER(SEARCH("Strategies",'Proposed Lighting'!T240)),0,IF(ISNUMBER(SEARCH("Removal",'Proposed Lighting'!T240)),0,'Proposed Lighting'!T240))))</f>
        <v/>
      </c>
      <c r="H240" s="1830"/>
      <c r="I240" s="1830"/>
      <c r="J240" s="1830"/>
      <c r="K240" s="1215"/>
      <c r="L240" s="1246">
        <f t="shared" si="43"/>
        <v>0</v>
      </c>
      <c r="M240" s="1224">
        <f t="shared" si="44"/>
        <v>0</v>
      </c>
      <c r="N240" s="1224">
        <f t="shared" si="45"/>
        <v>0</v>
      </c>
      <c r="O240" s="1825" t="str">
        <f>IF(G240=0,0,IF(ISNA('Proposed Lighting'!AT240),0,'Proposed Lighting'!AT240))</f>
        <v/>
      </c>
      <c r="P240" s="1825"/>
      <c r="Q240" s="1247"/>
      <c r="R240" s="1247"/>
      <c r="S240" s="1247"/>
      <c r="T240" s="1211"/>
      <c r="U240" s="1235">
        <f>IF(K240&gt;0.01,'Proposed Lighting'!CU240,0)</f>
        <v>0</v>
      </c>
      <c r="V240" s="1248">
        <f>IF('Proposed Lighting'!CF240=1,0,IF('Proposed Lighting'!AU240=2,0,IF(AND('Proposed Lighting'!AU240=3,'Proposed Lighting'!CF240=0),1,0)))</f>
        <v>0</v>
      </c>
      <c r="W240" s="1836"/>
      <c r="X240" s="1836"/>
      <c r="Y240" s="1836"/>
      <c r="Z240" s="1230" t="str">
        <f t="shared" si="39"/>
        <v/>
      </c>
      <c r="AA240" s="1230">
        <f t="shared" si="40"/>
        <v>0</v>
      </c>
      <c r="AB240" s="1230">
        <f>IF(Q240=0,0,IF(T240=0,0,IF(AA240=0,0,IF(AND(F240=3,V240=0),0,IF(T240=0,0,IF(K240&gt;'Proposed Lighting'!AA240,0,IF('Proposed Lighting'!EJ240&gt;0.01,(K240*O240)*'Proposed Lighting'!EJ240/1000,(K240*O240)*U240/1000)))))))</f>
        <v>0</v>
      </c>
      <c r="AC240" s="1230" t="str">
        <f t="shared" si="46"/>
        <v/>
      </c>
      <c r="AD240" s="1230">
        <f t="shared" si="41"/>
        <v>0</v>
      </c>
      <c r="AE240" s="1230">
        <f>IF(T240=0,0,IF(K240&gt;'Proposed Lighting'!AA240,0,IF(T240&gt;K240,0,IF(AND(AD240&gt;AA240,AA240&gt;0),0,IF(AND(F240&gt;1,W240&lt;0.01),0,IF('Proposed Lighting'!AU240&gt;'Lighting Controls'!F240,0,IF('Proposed Lighting'!AU240&lt;'Lighting Controls'!F240,0,IF(U240=0,0,Summary!AC543))))))))</f>
        <v>0</v>
      </c>
      <c r="AF240" s="1230">
        <f>IF(T240=0,0,IF(AE240=0,0,IF(K240&gt;'Proposed Lighting'!AA240,0,IF(AND(AD240&gt;AA240,AA240&gt;0),0,IF(U240=0,0,Summary!AD543)))))</f>
        <v>0</v>
      </c>
      <c r="AG240" s="1834">
        <f>IF('Proposed Lighting'!AU240=1,0,IF('Proposed Lighting'!CF240=1,0,T240*W240))</f>
        <v>0</v>
      </c>
      <c r="AH240" s="1834"/>
      <c r="AI240" s="1834"/>
      <c r="AJ240" s="1835">
        <f>IF(T240&lt;1,0,IF(K240&gt;'Proposed Lighting'!AA240,0,IF('Proposed Lighting'!CF240=1,0,IF('Proposed Lighting'!AU240=1,0,IF(T240&gt;K240,0,IF(AND(AD240&gt;AA240,AA240&gt;0),0,IF(AND(F240=2,'Proposed Lighting'!AU240=3),0,IF(AND(F240=3,'Proposed Lighting'!AU240=2),0,IF('Proposed Lighting'!CH240=100,0,IF(AND(F240&lt;3,V240=1,AM240=0),0,IF(AND(F240&gt;1,AF240&lt;1,AN240&lt;1),0,IF(AND(F240&gt;1,AE240&lt;0.69,AF240&lt;1,AN240&lt;1),0,IF(ISERROR(AB240-AC240),"",AB240-AC240)))))))))))))</f>
        <v>0</v>
      </c>
      <c r="AK240" s="1835"/>
      <c r="AL240" s="1835"/>
      <c r="AM240" s="1216">
        <f>IF(Q240=0,0,IF(T240=0,0,IF(T240&gt;K240,0,IF(AND(AS240&gt;0.01,BK240=0),0,IF(AND('Proposed Lighting'!DG240=0,'Lighting Controls'!Z240=0.35),0,IF(AND(T240&lt;=K240,AA240&gt;=AD240,'Proposed Lighting'!AU240=2),VLOOKUP(Q240,$AY$9:$AZ$15,2,FALSE),IF(AND(T240&lt;=K240,AA240&gt;=AD240,'Proposed Lighting'!AU240=3),VLOOKUP(Q240,$AY$17:$AZ$23,2,FALSE))))))))</f>
        <v>0</v>
      </c>
      <c r="AN240" s="1248">
        <f>IF(T240=0,0,IF(K240&gt;'Proposed Lighting'!AA240,0,IF(AE240=0,0,IF(AND(AD240&gt;AA240,AA240&gt;0),0,IF(U240=0,0,Summary!AE543)))))</f>
        <v>0</v>
      </c>
      <c r="AO240" s="1248">
        <f t="shared" si="50"/>
        <v>0</v>
      </c>
      <c r="AP240" s="1249">
        <f>IF('Proposed Lighting'!AU240=1,0,IF(K240=0,0,IF(T240&gt;K240,0,IF(G240=0,0,IF(K240&gt;'Proposed Lighting'!AA240,0,IF(AND(AD240&gt;AA240,AA240&gt;0),0,IF(AND('Proposed Lighting'!AU240=3,AM240=0.5),0,IF(AND(AM240&gt;0,AS240&gt;0,BI240&lt;2),0,IF('Proposed Lighting'!CH240=100,0,IF(AV240=1,0,IF(AND(AM240=35,M240+N240&lt;2),0,AM240)))))))))))</f>
        <v>0</v>
      </c>
      <c r="AQ240" s="1249" t="str">
        <f>IFERROR(ROUND(IF(Q240="","",IF('Proposed Lighting'!$X$4=0,0,IF(AND(AM240=35,M240+N240&lt;2),0,IF(T240&gt;K240,0,IF('Proposed Lighting'!AU240=1,0,IF(AJ240=0,0,IF(AND('Proposed Lighting'!AU240=3,AM240=0.5),0,IF(AND(AD240=75,AP240=0,AV240=0),0,IF(AP240&gt;0.01,AP240*T240,IF(AND(F240&gt;1,W240&lt;0.01),0,IF(AND(F240&gt;1,AO240=0),0,IF(AND('Proposed Lighting'!BC240=22,AV240=0),0,IF(AND(AM240&gt;0,AS240&gt;0,BI240&lt;2),0,IF(AND(AS240&gt;0.01,BK240=0),0,IF(AND(AO240=TRUE,AV240=1,F240=3),MIN(AJ240*0.08,L240),IF(AP240&gt;0.01,AP240*T240,IF(AND(AO240=TRUE,AV240=1,F240=2),MIN(AJ240*0.1,L240)))))))))))))))))),2),"")</f>
        <v/>
      </c>
      <c r="AR240" s="1250">
        <f>IF(Q240=0,0,IF('Proposed Lighting'!$X$4=0,0,IF(AND(AM240&gt;0.01,AQ240&gt;0.01),0,IF('Proposed Lighting'!AU240=1,"Missing Interior or Exterior Selection",IF('Proposed Lighting'!CF240=1,"Selection does not match",IF(K240&gt;'Proposed Lighting'!AA240,"Quantity controlled does not match proposed lighting quantity",IF(T240&gt;K240,"Quantity of sensors exceeds proposed lighting quantity",IF(AND(F240&gt;1,'Proposed Lighting'!AU240&lt;&gt;F240),"Selection does not match",IF(AND(AD240&gt;AA240,AA240&gt;0),"Does not meet minimum connected load",IF(AND(O240&gt;0,AS240&gt;0,BK240&gt;0,'Proposed Lighting'!CH240=0),"Select Control Strategies",IF(AND(AC240&gt;0.1,AJ240=0,AQ240=0),"Does not meet incentive criteria",0)))))))))))</f>
        <v>0</v>
      </c>
      <c r="AS240" s="1224">
        <f>IF('Proposed Lighting'!CH240=100,0,IF(ISNUMBER(SEARCH("multiple",Q240)),1,0))</f>
        <v>0</v>
      </c>
      <c r="AT240" s="451">
        <f t="shared" si="47"/>
        <v>0</v>
      </c>
      <c r="AU240" s="451">
        <f t="shared" si="48"/>
        <v>0</v>
      </c>
      <c r="AV240" s="1222">
        <f>IF(ISNUMBER(SEARCH("Networked",'Proposed Lighting'!T240)),0,IF(ISNUMBER(SEARCH("Strategies",'Proposed Lighting'!T240)),0,IF(ISNUMBER(SEARCH("Removal",'Proposed Lighting'!T240)),0,IF(ISNUMBER(SEARCH("non-standard",Q240)),1,0))))</f>
        <v>0</v>
      </c>
      <c r="AW240" s="451">
        <f t="shared" si="51"/>
        <v>0</v>
      </c>
      <c r="AX240" s="451"/>
      <c r="AY240" s="451"/>
      <c r="AZ240" s="451"/>
      <c r="BA240" s="451"/>
      <c r="BB240" s="451"/>
      <c r="BC240" s="1215"/>
      <c r="BD240" s="1215"/>
      <c r="BE240" s="1215"/>
      <c r="BF240" s="1215"/>
      <c r="BG240" s="1215"/>
      <c r="BH240" s="1215"/>
      <c r="BI240">
        <f>IF(AND(AS240=1,BC240="No",BD240="Yes",BE240="Yes",BF240="No",BH240="No"),0,IF(AND('Proposed Lighting'!AU240=2,AS240=1,BC240="Yes",BD240="Yes"),2,IF(AND('Proposed Lighting'!AU240=2,AS240=1,BC240="Yes",BE240="Yes"),2,IF(AND('Proposed Lighting'!AU240=2,AS240=1,BC240="Yes",BF240="Yes"),2,IF(AND('Proposed Lighting'!AU240=2,AS240=1,BC240="Yes",BH240="Yes"),2,IF(AND('Proposed Lighting'!AU240=2,AS240=1,BD240="Yes",BF240="Yes"),2,IF(AND('Proposed Lighting'!AU240=2,AS240=1,BD240="Yes",BH240="Yes"),2,IF(AND('Proposed Lighting'!AU240=3,AS240=1,BC240="Yes",BE240="Yes"),2,IF(AND('Proposed Lighting'!AU240=3,AS240=1,BC240="Yes",BF240="Yes"),2,0)))))))))</f>
        <v>0</v>
      </c>
      <c r="BJ240" s="1025">
        <f t="shared" si="49"/>
        <v>0</v>
      </c>
      <c r="BK240">
        <f>IF(AND('Proposed Lighting'!BC240=22,'Lighting Controls'!N240=1),0,IF(ISNUMBER(SEARCH("LED",G240)),1,0))</f>
        <v>0</v>
      </c>
    </row>
    <row r="241" spans="1:63" ht="34.5" customHeight="1">
      <c r="A241" s="917">
        <v>233</v>
      </c>
      <c r="B241" s="1828" t="str">
        <f>IF('Proposed Lighting'!B241="","",'Proposed Lighting'!B241)</f>
        <v/>
      </c>
      <c r="C241" s="1828"/>
      <c r="D241" s="1828"/>
      <c r="E241" s="1245">
        <f>'Proposed Lighting'!AA241</f>
        <v>0</v>
      </c>
      <c r="F241" s="1245">
        <f t="shared" si="42"/>
        <v>0</v>
      </c>
      <c r="G241" s="1830" t="str">
        <f>IF('Proposed Lighting'!T241="","",IF(ISNUMBER(SEARCH("Networked",'Proposed Lighting'!T241)),0,IF(ISNUMBER(SEARCH("Strategies",'Proposed Lighting'!T241)),0,IF(ISNUMBER(SEARCH("Removal",'Proposed Lighting'!T241)),0,'Proposed Lighting'!T241))))</f>
        <v/>
      </c>
      <c r="H241" s="1830"/>
      <c r="I241" s="1830"/>
      <c r="J241" s="1830"/>
      <c r="K241" s="1215"/>
      <c r="L241" s="1246">
        <f t="shared" si="43"/>
        <v>0</v>
      </c>
      <c r="M241" s="1224">
        <f t="shared" si="44"/>
        <v>0</v>
      </c>
      <c r="N241" s="1224">
        <f t="shared" si="45"/>
        <v>0</v>
      </c>
      <c r="O241" s="1825" t="str">
        <f>IF(G241=0,0,IF(ISNA('Proposed Lighting'!AT241),0,'Proposed Lighting'!AT241))</f>
        <v/>
      </c>
      <c r="P241" s="1825"/>
      <c r="Q241" s="1247"/>
      <c r="R241" s="1247"/>
      <c r="S241" s="1247"/>
      <c r="T241" s="1211"/>
      <c r="U241" s="1235">
        <f>IF(K241&gt;0.01,'Proposed Lighting'!CU241,0)</f>
        <v>0</v>
      </c>
      <c r="V241" s="1248">
        <f>IF('Proposed Lighting'!CF241=1,0,IF('Proposed Lighting'!AU241=2,0,IF(AND('Proposed Lighting'!AU241=3,'Proposed Lighting'!CF241=0),1,0)))</f>
        <v>0</v>
      </c>
      <c r="W241" s="1836"/>
      <c r="X241" s="1836"/>
      <c r="Y241" s="1836"/>
      <c r="Z241" s="1230" t="str">
        <f t="shared" si="39"/>
        <v/>
      </c>
      <c r="AA241" s="1230">
        <f t="shared" si="40"/>
        <v>0</v>
      </c>
      <c r="AB241" s="1230">
        <f>IF(Q241=0,0,IF(T241=0,0,IF(AA241=0,0,IF(AND(F241=3,V241=0),0,IF(T241=0,0,IF(K241&gt;'Proposed Lighting'!AA241,0,IF('Proposed Lighting'!EJ241&gt;0.01,(K241*O241)*'Proposed Lighting'!EJ241/1000,(K241*O241)*U241/1000)))))))</f>
        <v>0</v>
      </c>
      <c r="AC241" s="1230" t="str">
        <f t="shared" si="46"/>
        <v/>
      </c>
      <c r="AD241" s="1230">
        <f t="shared" si="41"/>
        <v>0</v>
      </c>
      <c r="AE241" s="1230">
        <f>IF(T241=0,0,IF(K241&gt;'Proposed Lighting'!AA241,0,IF(T241&gt;K241,0,IF(AND(AD241&gt;AA241,AA241&gt;0),0,IF(AND(F241&gt;1,W241&lt;0.01),0,IF('Proposed Lighting'!AU241&gt;'Lighting Controls'!F241,0,IF('Proposed Lighting'!AU241&lt;'Lighting Controls'!F241,0,IF(U241=0,0,Summary!AC544))))))))</f>
        <v>0</v>
      </c>
      <c r="AF241" s="1230">
        <f>IF(T241=0,0,IF(AE241=0,0,IF(K241&gt;'Proposed Lighting'!AA241,0,IF(AND(AD241&gt;AA241,AA241&gt;0),0,IF(U241=0,0,Summary!AD544)))))</f>
        <v>0</v>
      </c>
      <c r="AG241" s="1834">
        <f>IF('Proposed Lighting'!AU241=1,0,IF('Proposed Lighting'!CF241=1,0,T241*W241))</f>
        <v>0</v>
      </c>
      <c r="AH241" s="1834"/>
      <c r="AI241" s="1834"/>
      <c r="AJ241" s="1835">
        <f>IF(T241&lt;1,0,IF(K241&gt;'Proposed Lighting'!AA241,0,IF('Proposed Lighting'!CF241=1,0,IF('Proposed Lighting'!AU241=1,0,IF(T241&gt;K241,0,IF(AND(AD241&gt;AA241,AA241&gt;0),0,IF(AND(F241=2,'Proposed Lighting'!AU241=3),0,IF(AND(F241=3,'Proposed Lighting'!AU241=2),0,IF('Proposed Lighting'!CH241=100,0,IF(AND(F241&lt;3,V241=1,AM241=0),0,IF(AND(F241&gt;1,AF241&lt;1,AN241&lt;1),0,IF(AND(F241&gt;1,AE241&lt;0.69,AF241&lt;1,AN241&lt;1),0,IF(ISERROR(AB241-AC241),"",AB241-AC241)))))))))))))</f>
        <v>0</v>
      </c>
      <c r="AK241" s="1835"/>
      <c r="AL241" s="1835"/>
      <c r="AM241" s="1216">
        <f>IF(Q241=0,0,IF(T241=0,0,IF(T241&gt;K241,0,IF(AND(AS241&gt;0.01,BK241=0),0,IF(AND('Proposed Lighting'!DG241=0,'Lighting Controls'!Z241=0.35),0,IF(AND(T241&lt;=K241,AA241&gt;=AD241,'Proposed Lighting'!AU241=2),VLOOKUP(Q241,$AY$9:$AZ$15,2,FALSE),IF(AND(T241&lt;=K241,AA241&gt;=AD241,'Proposed Lighting'!AU241=3),VLOOKUP(Q241,$AY$17:$AZ$23,2,FALSE))))))))</f>
        <v>0</v>
      </c>
      <c r="AN241" s="1248">
        <f>IF(T241=0,0,IF(K241&gt;'Proposed Lighting'!AA241,0,IF(AE241=0,0,IF(AND(AD241&gt;AA241,AA241&gt;0),0,IF(U241=0,0,Summary!AE544)))))</f>
        <v>0</v>
      </c>
      <c r="AO241" s="1248">
        <f t="shared" si="50"/>
        <v>0</v>
      </c>
      <c r="AP241" s="1249">
        <f>IF('Proposed Lighting'!AU241=1,0,IF(K241=0,0,IF(T241&gt;K241,0,IF(G241=0,0,IF(K241&gt;'Proposed Lighting'!AA241,0,IF(AND(AD241&gt;AA241,AA241&gt;0),0,IF(AND('Proposed Lighting'!AU241=3,AM241=0.5),0,IF(AND(AM241&gt;0,AS241&gt;0,BI241&lt;2),0,IF('Proposed Lighting'!CH241=100,0,IF(AV241=1,0,IF(AND(AM241=35,M241+N241&lt;2),0,AM241)))))))))))</f>
        <v>0</v>
      </c>
      <c r="AQ241" s="1249" t="str">
        <f>IFERROR(ROUND(IF(Q241="","",IF('Proposed Lighting'!$X$4=0,0,IF(AND(AM241=35,M241+N241&lt;2),0,IF(T241&gt;K241,0,IF('Proposed Lighting'!AU241=1,0,IF(AJ241=0,0,IF(AND('Proposed Lighting'!AU241=3,AM241=0.5),0,IF(AND(AD241=75,AP241=0,AV241=0),0,IF(AP241&gt;0.01,AP241*T241,IF(AND(F241&gt;1,W241&lt;0.01),0,IF(AND(F241&gt;1,AO241=0),0,IF(AND('Proposed Lighting'!BC241=22,AV241=0),0,IF(AND(AM241&gt;0,AS241&gt;0,BI241&lt;2),0,IF(AND(AS241&gt;0.01,BK241=0),0,IF(AND(AO241=TRUE,AV241=1,F241=3),MIN(AJ241*0.08,L241),IF(AP241&gt;0.01,AP241*T241,IF(AND(AO241=TRUE,AV241=1,F241=2),MIN(AJ241*0.1,L241)))))))))))))))))),2),"")</f>
        <v/>
      </c>
      <c r="AR241" s="1250">
        <f>IF(Q241=0,0,IF('Proposed Lighting'!$X$4=0,0,IF(AND(AM241&gt;0.01,AQ241&gt;0.01),0,IF('Proposed Lighting'!AU241=1,"Missing Interior or Exterior Selection",IF('Proposed Lighting'!CF241=1,"Selection does not match",IF(K241&gt;'Proposed Lighting'!AA241,"Quantity controlled does not match proposed lighting quantity",IF(T241&gt;K241,"Quantity of sensors exceeds proposed lighting quantity",IF(AND(F241&gt;1,'Proposed Lighting'!AU241&lt;&gt;F241),"Selection does not match",IF(AND(AD241&gt;AA241,AA241&gt;0),"Does not meet minimum connected load",IF(AND(O241&gt;0,AS241&gt;0,BK241&gt;0,'Proposed Lighting'!CH241=0),"Select Control Strategies",IF(AND(AC241&gt;0.1,AJ241=0,AQ241=0),"Does not meet incentive criteria",0)))))))))))</f>
        <v>0</v>
      </c>
      <c r="AS241" s="1224">
        <f>IF('Proposed Lighting'!CH241=100,0,IF(ISNUMBER(SEARCH("multiple",Q241)),1,0))</f>
        <v>0</v>
      </c>
      <c r="AT241" s="451">
        <f t="shared" si="47"/>
        <v>0</v>
      </c>
      <c r="AU241" s="451">
        <f t="shared" si="48"/>
        <v>0</v>
      </c>
      <c r="AV241" s="1222">
        <f>IF(ISNUMBER(SEARCH("Networked",'Proposed Lighting'!T241)),0,IF(ISNUMBER(SEARCH("Strategies",'Proposed Lighting'!T241)),0,IF(ISNUMBER(SEARCH("Removal",'Proposed Lighting'!T241)),0,IF(ISNUMBER(SEARCH("non-standard",Q241)),1,0))))</f>
        <v>0</v>
      </c>
      <c r="AW241" s="451">
        <f t="shared" si="51"/>
        <v>0</v>
      </c>
      <c r="AX241" s="451"/>
      <c r="AY241" s="451"/>
      <c r="AZ241" s="451"/>
      <c r="BA241" s="451"/>
      <c r="BB241" s="451"/>
      <c r="BC241" s="1215"/>
      <c r="BD241" s="1215"/>
      <c r="BE241" s="1215"/>
      <c r="BF241" s="1215"/>
      <c r="BG241" s="1215"/>
      <c r="BH241" s="1215"/>
      <c r="BI241">
        <f>IF(AND(AS241=1,BC241="No",BD241="Yes",BE241="Yes",BF241="No",BH241="No"),0,IF(AND('Proposed Lighting'!AU241=2,AS241=1,BC241="Yes",BD241="Yes"),2,IF(AND('Proposed Lighting'!AU241=2,AS241=1,BC241="Yes",BE241="Yes"),2,IF(AND('Proposed Lighting'!AU241=2,AS241=1,BC241="Yes",BF241="Yes"),2,IF(AND('Proposed Lighting'!AU241=2,AS241=1,BC241="Yes",BH241="Yes"),2,IF(AND('Proposed Lighting'!AU241=2,AS241=1,BD241="Yes",BF241="Yes"),2,IF(AND('Proposed Lighting'!AU241=2,AS241=1,BD241="Yes",BH241="Yes"),2,IF(AND('Proposed Lighting'!AU241=3,AS241=1,BC241="Yes",BE241="Yes"),2,IF(AND('Proposed Lighting'!AU241=3,AS241=1,BC241="Yes",BF241="Yes"),2,0)))))))))</f>
        <v>0</v>
      </c>
      <c r="BJ241" s="1025">
        <f t="shared" si="49"/>
        <v>0</v>
      </c>
      <c r="BK241">
        <f>IF(AND('Proposed Lighting'!BC241=22,'Lighting Controls'!N241=1),0,IF(ISNUMBER(SEARCH("LED",G241)),1,0))</f>
        <v>0</v>
      </c>
    </row>
    <row r="242" spans="1:63" ht="34.5" customHeight="1">
      <c r="A242" s="917">
        <v>234</v>
      </c>
      <c r="B242" s="1828" t="str">
        <f>IF('Proposed Lighting'!B242="","",'Proposed Lighting'!B242)</f>
        <v/>
      </c>
      <c r="C242" s="1828"/>
      <c r="D242" s="1828"/>
      <c r="E242" s="1245">
        <f>'Proposed Lighting'!AA242</f>
        <v>0</v>
      </c>
      <c r="F242" s="1245">
        <f t="shared" si="42"/>
        <v>0</v>
      </c>
      <c r="G242" s="1830" t="str">
        <f>IF('Proposed Lighting'!T242="","",IF(ISNUMBER(SEARCH("Networked",'Proposed Lighting'!T242)),0,IF(ISNUMBER(SEARCH("Strategies",'Proposed Lighting'!T242)),0,IF(ISNUMBER(SEARCH("Removal",'Proposed Lighting'!T242)),0,'Proposed Lighting'!T242))))</f>
        <v/>
      </c>
      <c r="H242" s="1830"/>
      <c r="I242" s="1830"/>
      <c r="J242" s="1830"/>
      <c r="K242" s="1215"/>
      <c r="L242" s="1246">
        <f t="shared" si="43"/>
        <v>0</v>
      </c>
      <c r="M242" s="1224">
        <f t="shared" si="44"/>
        <v>0</v>
      </c>
      <c r="N242" s="1224">
        <f t="shared" si="45"/>
        <v>0</v>
      </c>
      <c r="O242" s="1825" t="str">
        <f>IF(G242=0,0,IF(ISNA('Proposed Lighting'!AT242),0,'Proposed Lighting'!AT242))</f>
        <v/>
      </c>
      <c r="P242" s="1825"/>
      <c r="Q242" s="1247"/>
      <c r="R242" s="1247"/>
      <c r="S242" s="1247"/>
      <c r="T242" s="1211"/>
      <c r="U242" s="1235">
        <f>IF(K242&gt;0.01,'Proposed Lighting'!CU242,0)</f>
        <v>0</v>
      </c>
      <c r="V242" s="1248">
        <f>IF('Proposed Lighting'!CF242=1,0,IF('Proposed Lighting'!AU242=2,0,IF(AND('Proposed Lighting'!AU242=3,'Proposed Lighting'!CF242=0),1,0)))</f>
        <v>0</v>
      </c>
      <c r="W242" s="1836"/>
      <c r="X242" s="1836"/>
      <c r="Y242" s="1836"/>
      <c r="Z242" s="1230" t="str">
        <f t="shared" si="39"/>
        <v/>
      </c>
      <c r="AA242" s="1230">
        <f t="shared" si="40"/>
        <v>0</v>
      </c>
      <c r="AB242" s="1230">
        <f>IF(Q242=0,0,IF(T242=0,0,IF(AA242=0,0,IF(AND(F242=3,V242=0),0,IF(T242=0,0,IF(K242&gt;'Proposed Lighting'!AA242,0,IF('Proposed Lighting'!EJ242&gt;0.01,(K242*O242)*'Proposed Lighting'!EJ242/1000,(K242*O242)*U242/1000)))))))</f>
        <v>0</v>
      </c>
      <c r="AC242" s="1230" t="str">
        <f t="shared" si="46"/>
        <v/>
      </c>
      <c r="AD242" s="1230">
        <f t="shared" si="41"/>
        <v>0</v>
      </c>
      <c r="AE242" s="1230">
        <f>IF(T242=0,0,IF(K242&gt;'Proposed Lighting'!AA242,0,IF(T242&gt;K242,0,IF(AND(AD242&gt;AA242,AA242&gt;0),0,IF(AND(F242&gt;1,W242&lt;0.01),0,IF('Proposed Lighting'!AU242&gt;'Lighting Controls'!F242,0,IF('Proposed Lighting'!AU242&lt;'Lighting Controls'!F242,0,IF(U242=0,0,Summary!AC545))))))))</f>
        <v>0</v>
      </c>
      <c r="AF242" s="1230">
        <f>IF(T242=0,0,IF(AE242=0,0,IF(K242&gt;'Proposed Lighting'!AA242,0,IF(AND(AD242&gt;AA242,AA242&gt;0),0,IF(U242=0,0,Summary!AD545)))))</f>
        <v>0</v>
      </c>
      <c r="AG242" s="1834">
        <f>IF('Proposed Lighting'!AU242=1,0,IF('Proposed Lighting'!CF242=1,0,T242*W242))</f>
        <v>0</v>
      </c>
      <c r="AH242" s="1834"/>
      <c r="AI242" s="1834"/>
      <c r="AJ242" s="1835">
        <f>IF(T242&lt;1,0,IF(K242&gt;'Proposed Lighting'!AA242,0,IF('Proposed Lighting'!CF242=1,0,IF('Proposed Lighting'!AU242=1,0,IF(T242&gt;K242,0,IF(AND(AD242&gt;AA242,AA242&gt;0),0,IF(AND(F242=2,'Proposed Lighting'!AU242=3),0,IF(AND(F242=3,'Proposed Lighting'!AU242=2),0,IF('Proposed Lighting'!CH242=100,0,IF(AND(F242&lt;3,V242=1,AM242=0),0,IF(AND(F242&gt;1,AF242&lt;1,AN242&lt;1),0,IF(AND(F242&gt;1,AE242&lt;0.69,AF242&lt;1,AN242&lt;1),0,IF(ISERROR(AB242-AC242),"",AB242-AC242)))))))))))))</f>
        <v>0</v>
      </c>
      <c r="AK242" s="1835"/>
      <c r="AL242" s="1835"/>
      <c r="AM242" s="1216">
        <f>IF(Q242=0,0,IF(T242=0,0,IF(T242&gt;K242,0,IF(AND(AS242&gt;0.01,BK242=0),0,IF(AND('Proposed Lighting'!DG242=0,'Lighting Controls'!Z242=0.35),0,IF(AND(T242&lt;=K242,AA242&gt;=AD242,'Proposed Lighting'!AU242=2),VLOOKUP(Q242,$AY$9:$AZ$15,2,FALSE),IF(AND(T242&lt;=K242,AA242&gt;=AD242,'Proposed Lighting'!AU242=3),VLOOKUP(Q242,$AY$17:$AZ$23,2,FALSE))))))))</f>
        <v>0</v>
      </c>
      <c r="AN242" s="1248">
        <f>IF(T242=0,0,IF(K242&gt;'Proposed Lighting'!AA242,0,IF(AE242=0,0,IF(AND(AD242&gt;AA242,AA242&gt;0),0,IF(U242=0,0,Summary!AE545)))))</f>
        <v>0</v>
      </c>
      <c r="AO242" s="1248">
        <f t="shared" si="50"/>
        <v>0</v>
      </c>
      <c r="AP242" s="1249">
        <f>IF('Proposed Lighting'!AU242=1,0,IF(K242=0,0,IF(T242&gt;K242,0,IF(G242=0,0,IF(K242&gt;'Proposed Lighting'!AA242,0,IF(AND(AD242&gt;AA242,AA242&gt;0),0,IF(AND('Proposed Lighting'!AU242=3,AM242=0.5),0,IF(AND(AM242&gt;0,AS242&gt;0,BI242&lt;2),0,IF('Proposed Lighting'!CH242=100,0,IF(AV242=1,0,IF(AND(AM242=35,M242+N242&lt;2),0,AM242)))))))))))</f>
        <v>0</v>
      </c>
      <c r="AQ242" s="1249" t="str">
        <f>IFERROR(ROUND(IF(Q242="","",IF('Proposed Lighting'!$X$4=0,0,IF(AND(AM242=35,M242+N242&lt;2),0,IF(T242&gt;K242,0,IF('Proposed Lighting'!AU242=1,0,IF(AJ242=0,0,IF(AND('Proposed Lighting'!AU242=3,AM242=0.5),0,IF(AND(AD242=75,AP242=0,AV242=0),0,IF(AP242&gt;0.01,AP242*T242,IF(AND(F242&gt;1,W242&lt;0.01),0,IF(AND(F242&gt;1,AO242=0),0,IF(AND('Proposed Lighting'!BC242=22,AV242=0),0,IF(AND(AM242&gt;0,AS242&gt;0,BI242&lt;2),0,IF(AND(AS242&gt;0.01,BK242=0),0,IF(AND(AO242=TRUE,AV242=1,F242=3),MIN(AJ242*0.08,L242),IF(AP242&gt;0.01,AP242*T242,IF(AND(AO242=TRUE,AV242=1,F242=2),MIN(AJ242*0.1,L242)))))))))))))))))),2),"")</f>
        <v/>
      </c>
      <c r="AR242" s="1250">
        <f>IF(Q242=0,0,IF('Proposed Lighting'!$X$4=0,0,IF(AND(AM242&gt;0.01,AQ242&gt;0.01),0,IF('Proposed Lighting'!AU242=1,"Missing Interior or Exterior Selection",IF('Proposed Lighting'!CF242=1,"Selection does not match",IF(K242&gt;'Proposed Lighting'!AA242,"Quantity controlled does not match proposed lighting quantity",IF(T242&gt;K242,"Quantity of sensors exceeds proposed lighting quantity",IF(AND(F242&gt;1,'Proposed Lighting'!AU242&lt;&gt;F242),"Selection does not match",IF(AND(AD242&gt;AA242,AA242&gt;0),"Does not meet minimum connected load",IF(AND(O242&gt;0,AS242&gt;0,BK242&gt;0,'Proposed Lighting'!CH242=0),"Select Control Strategies",IF(AND(AC242&gt;0.1,AJ242=0,AQ242=0),"Does not meet incentive criteria",0)))))))))))</f>
        <v>0</v>
      </c>
      <c r="AS242" s="1224">
        <f>IF('Proposed Lighting'!CH242=100,0,IF(ISNUMBER(SEARCH("multiple",Q242)),1,0))</f>
        <v>0</v>
      </c>
      <c r="AT242" s="451">
        <f t="shared" si="47"/>
        <v>0</v>
      </c>
      <c r="AU242" s="451">
        <f t="shared" si="48"/>
        <v>0</v>
      </c>
      <c r="AV242" s="1222">
        <f>IF(ISNUMBER(SEARCH("Networked",'Proposed Lighting'!T242)),0,IF(ISNUMBER(SEARCH("Strategies",'Proposed Lighting'!T242)),0,IF(ISNUMBER(SEARCH("Removal",'Proposed Lighting'!T242)),0,IF(ISNUMBER(SEARCH("non-standard",Q242)),1,0))))</f>
        <v>0</v>
      </c>
      <c r="AW242" s="451">
        <f t="shared" si="51"/>
        <v>0</v>
      </c>
      <c r="AX242" s="451"/>
      <c r="AY242" s="451"/>
      <c r="AZ242" s="451"/>
      <c r="BA242" s="451"/>
      <c r="BB242" s="451"/>
      <c r="BC242" s="1215"/>
      <c r="BD242" s="1215"/>
      <c r="BE242" s="1215"/>
      <c r="BF242" s="1215"/>
      <c r="BG242" s="1215"/>
      <c r="BH242" s="1215"/>
      <c r="BI242">
        <f>IF(AND(AS242=1,BC242="No",BD242="Yes",BE242="Yes",BF242="No",BH242="No"),0,IF(AND('Proposed Lighting'!AU242=2,AS242=1,BC242="Yes",BD242="Yes"),2,IF(AND('Proposed Lighting'!AU242=2,AS242=1,BC242="Yes",BE242="Yes"),2,IF(AND('Proposed Lighting'!AU242=2,AS242=1,BC242="Yes",BF242="Yes"),2,IF(AND('Proposed Lighting'!AU242=2,AS242=1,BC242="Yes",BH242="Yes"),2,IF(AND('Proposed Lighting'!AU242=2,AS242=1,BD242="Yes",BF242="Yes"),2,IF(AND('Proposed Lighting'!AU242=2,AS242=1,BD242="Yes",BH242="Yes"),2,IF(AND('Proposed Lighting'!AU242=3,AS242=1,BC242="Yes",BE242="Yes"),2,IF(AND('Proposed Lighting'!AU242=3,AS242=1,BC242="Yes",BF242="Yes"),2,0)))))))))</f>
        <v>0</v>
      </c>
      <c r="BJ242" s="1025">
        <f t="shared" si="49"/>
        <v>0</v>
      </c>
      <c r="BK242">
        <f>IF(AND('Proposed Lighting'!BC242=22,'Lighting Controls'!N242=1),0,IF(ISNUMBER(SEARCH("LED",G242)),1,0))</f>
        <v>0</v>
      </c>
    </row>
    <row r="243" spans="1:63" ht="34.5" customHeight="1">
      <c r="A243" s="917">
        <v>235</v>
      </c>
      <c r="B243" s="1828" t="str">
        <f>IF('Proposed Lighting'!B243="","",'Proposed Lighting'!B243)</f>
        <v/>
      </c>
      <c r="C243" s="1828"/>
      <c r="D243" s="1828"/>
      <c r="E243" s="1245">
        <f>'Proposed Lighting'!AA243</f>
        <v>0</v>
      </c>
      <c r="F243" s="1245">
        <f t="shared" si="42"/>
        <v>0</v>
      </c>
      <c r="G243" s="1830" t="str">
        <f>IF('Proposed Lighting'!T243="","",IF(ISNUMBER(SEARCH("Networked",'Proposed Lighting'!T243)),0,IF(ISNUMBER(SEARCH("Strategies",'Proposed Lighting'!T243)),0,IF(ISNUMBER(SEARCH("Removal",'Proposed Lighting'!T243)),0,'Proposed Lighting'!T243))))</f>
        <v/>
      </c>
      <c r="H243" s="1830"/>
      <c r="I243" s="1830"/>
      <c r="J243" s="1830"/>
      <c r="K243" s="1215"/>
      <c r="L243" s="1246">
        <f t="shared" si="43"/>
        <v>0</v>
      </c>
      <c r="M243" s="1224">
        <f t="shared" si="44"/>
        <v>0</v>
      </c>
      <c r="N243" s="1224">
        <f t="shared" si="45"/>
        <v>0</v>
      </c>
      <c r="O243" s="1825" t="str">
        <f>IF(G243=0,0,IF(ISNA('Proposed Lighting'!AT243),0,'Proposed Lighting'!AT243))</f>
        <v/>
      </c>
      <c r="P243" s="1825"/>
      <c r="Q243" s="1247"/>
      <c r="R243" s="1247"/>
      <c r="S243" s="1247"/>
      <c r="T243" s="1211"/>
      <c r="U243" s="1235">
        <f>IF(K243&gt;0.01,'Proposed Lighting'!CU243,0)</f>
        <v>0</v>
      </c>
      <c r="V243" s="1248">
        <f>IF('Proposed Lighting'!CF243=1,0,IF('Proposed Lighting'!AU243=2,0,IF(AND('Proposed Lighting'!AU243=3,'Proposed Lighting'!CF243=0),1,0)))</f>
        <v>0</v>
      </c>
      <c r="W243" s="1836"/>
      <c r="X243" s="1836"/>
      <c r="Y243" s="1836"/>
      <c r="Z243" s="1230" t="str">
        <f t="shared" si="39"/>
        <v/>
      </c>
      <c r="AA243" s="1230">
        <f t="shared" si="40"/>
        <v>0</v>
      </c>
      <c r="AB243" s="1230">
        <f>IF(Q243=0,0,IF(T243=0,0,IF(AA243=0,0,IF(AND(F243=3,V243=0),0,IF(T243=0,0,IF(K243&gt;'Proposed Lighting'!AA243,0,IF('Proposed Lighting'!EJ243&gt;0.01,(K243*O243)*'Proposed Lighting'!EJ243/1000,(K243*O243)*U243/1000)))))))</f>
        <v>0</v>
      </c>
      <c r="AC243" s="1230" t="str">
        <f t="shared" si="46"/>
        <v/>
      </c>
      <c r="AD243" s="1230">
        <f t="shared" si="41"/>
        <v>0</v>
      </c>
      <c r="AE243" s="1230">
        <f>IF(T243=0,0,IF(K243&gt;'Proposed Lighting'!AA243,0,IF(T243&gt;K243,0,IF(AND(AD243&gt;AA243,AA243&gt;0),0,IF(AND(F243&gt;1,W243&lt;0.01),0,IF('Proposed Lighting'!AU243&gt;'Lighting Controls'!F243,0,IF('Proposed Lighting'!AU243&lt;'Lighting Controls'!F243,0,IF(U243=0,0,Summary!AC546))))))))</f>
        <v>0</v>
      </c>
      <c r="AF243" s="1230">
        <f>IF(T243=0,0,IF(AE243=0,0,IF(K243&gt;'Proposed Lighting'!AA243,0,IF(AND(AD243&gt;AA243,AA243&gt;0),0,IF(U243=0,0,Summary!AD546)))))</f>
        <v>0</v>
      </c>
      <c r="AG243" s="1834">
        <f>IF('Proposed Lighting'!AU243=1,0,IF('Proposed Lighting'!CF243=1,0,T243*W243))</f>
        <v>0</v>
      </c>
      <c r="AH243" s="1834"/>
      <c r="AI243" s="1834"/>
      <c r="AJ243" s="1835">
        <f>IF(T243&lt;1,0,IF(K243&gt;'Proposed Lighting'!AA243,0,IF('Proposed Lighting'!CF243=1,0,IF('Proposed Lighting'!AU243=1,0,IF(T243&gt;K243,0,IF(AND(AD243&gt;AA243,AA243&gt;0),0,IF(AND(F243=2,'Proposed Lighting'!AU243=3),0,IF(AND(F243=3,'Proposed Lighting'!AU243=2),0,IF('Proposed Lighting'!CH243=100,0,IF(AND(F243&lt;3,V243=1,AM243=0),0,IF(AND(F243&gt;1,AF243&lt;1,AN243&lt;1),0,IF(AND(F243&gt;1,AE243&lt;0.69,AF243&lt;1,AN243&lt;1),0,IF(ISERROR(AB243-AC243),"",AB243-AC243)))))))))))))</f>
        <v>0</v>
      </c>
      <c r="AK243" s="1835"/>
      <c r="AL243" s="1835"/>
      <c r="AM243" s="1216">
        <f>IF(Q243=0,0,IF(T243=0,0,IF(T243&gt;K243,0,IF(AND(AS243&gt;0.01,BK243=0),0,IF(AND('Proposed Lighting'!DG243=0,'Lighting Controls'!Z243=0.35),0,IF(AND(T243&lt;=K243,AA243&gt;=AD243,'Proposed Lighting'!AU243=2),VLOOKUP(Q243,$AY$9:$AZ$15,2,FALSE),IF(AND(T243&lt;=K243,AA243&gt;=AD243,'Proposed Lighting'!AU243=3),VLOOKUP(Q243,$AY$17:$AZ$23,2,FALSE))))))))</f>
        <v>0</v>
      </c>
      <c r="AN243" s="1248">
        <f>IF(T243=0,0,IF(K243&gt;'Proposed Lighting'!AA243,0,IF(AE243=0,0,IF(AND(AD243&gt;AA243,AA243&gt;0),0,IF(U243=0,0,Summary!AE546)))))</f>
        <v>0</v>
      </c>
      <c r="AO243" s="1248">
        <f t="shared" si="50"/>
        <v>0</v>
      </c>
      <c r="AP243" s="1249">
        <f>IF('Proposed Lighting'!AU243=1,0,IF(K243=0,0,IF(T243&gt;K243,0,IF(G243=0,0,IF(K243&gt;'Proposed Lighting'!AA243,0,IF(AND(AD243&gt;AA243,AA243&gt;0),0,IF(AND('Proposed Lighting'!AU243=3,AM243=0.5),0,IF(AND(AM243&gt;0,AS243&gt;0,BI243&lt;2),0,IF('Proposed Lighting'!CH243=100,0,IF(AV243=1,0,IF(AND(AM243=35,M243+N243&lt;2),0,AM243)))))))))))</f>
        <v>0</v>
      </c>
      <c r="AQ243" s="1249" t="str">
        <f>IFERROR(ROUND(IF(Q243="","",IF('Proposed Lighting'!$X$4=0,0,IF(AND(AM243=35,M243+N243&lt;2),0,IF(T243&gt;K243,0,IF('Proposed Lighting'!AU243=1,0,IF(AJ243=0,0,IF(AND('Proposed Lighting'!AU243=3,AM243=0.5),0,IF(AND(AD243=75,AP243=0,AV243=0),0,IF(AP243&gt;0.01,AP243*T243,IF(AND(F243&gt;1,W243&lt;0.01),0,IF(AND(F243&gt;1,AO243=0),0,IF(AND('Proposed Lighting'!BC243=22,AV243=0),0,IF(AND(AM243&gt;0,AS243&gt;0,BI243&lt;2),0,IF(AND(AS243&gt;0.01,BK243=0),0,IF(AND(AO243=TRUE,AV243=1,F243=3),MIN(AJ243*0.08,L243),IF(AP243&gt;0.01,AP243*T243,IF(AND(AO243=TRUE,AV243=1,F243=2),MIN(AJ243*0.1,L243)))))))))))))))))),2),"")</f>
        <v/>
      </c>
      <c r="AR243" s="1250">
        <f>IF(Q243=0,0,IF('Proposed Lighting'!$X$4=0,0,IF(AND(AM243&gt;0.01,AQ243&gt;0.01),0,IF('Proposed Lighting'!AU243=1,"Missing Interior or Exterior Selection",IF('Proposed Lighting'!CF243=1,"Selection does not match",IF(K243&gt;'Proposed Lighting'!AA243,"Quantity controlled does not match proposed lighting quantity",IF(T243&gt;K243,"Quantity of sensors exceeds proposed lighting quantity",IF(AND(F243&gt;1,'Proposed Lighting'!AU243&lt;&gt;F243),"Selection does not match",IF(AND(AD243&gt;AA243,AA243&gt;0),"Does not meet minimum connected load",IF(AND(O243&gt;0,AS243&gt;0,BK243&gt;0,'Proposed Lighting'!CH243=0),"Select Control Strategies",IF(AND(AC243&gt;0.1,AJ243=0,AQ243=0),"Does not meet incentive criteria",0)))))))))))</f>
        <v>0</v>
      </c>
      <c r="AS243" s="1224">
        <f>IF('Proposed Lighting'!CH243=100,0,IF(ISNUMBER(SEARCH("multiple",Q243)),1,0))</f>
        <v>0</v>
      </c>
      <c r="AT243" s="451">
        <f t="shared" si="47"/>
        <v>0</v>
      </c>
      <c r="AU243" s="451">
        <f t="shared" si="48"/>
        <v>0</v>
      </c>
      <c r="AV243" s="1222">
        <f>IF(ISNUMBER(SEARCH("Networked",'Proposed Lighting'!T243)),0,IF(ISNUMBER(SEARCH("Strategies",'Proposed Lighting'!T243)),0,IF(ISNUMBER(SEARCH("Removal",'Proposed Lighting'!T243)),0,IF(ISNUMBER(SEARCH("non-standard",Q243)),1,0))))</f>
        <v>0</v>
      </c>
      <c r="AW243" s="451">
        <f t="shared" si="51"/>
        <v>0</v>
      </c>
      <c r="AX243" s="451"/>
      <c r="AY243" s="451"/>
      <c r="AZ243" s="451"/>
      <c r="BA243" s="451"/>
      <c r="BB243" s="451"/>
      <c r="BC243" s="1215"/>
      <c r="BD243" s="1215"/>
      <c r="BE243" s="1215"/>
      <c r="BF243" s="1215"/>
      <c r="BG243" s="1215"/>
      <c r="BH243" s="1215"/>
      <c r="BI243">
        <f>IF(AND(AS243=1,BC243="No",BD243="Yes",BE243="Yes",BF243="No",BH243="No"),0,IF(AND('Proposed Lighting'!AU243=2,AS243=1,BC243="Yes",BD243="Yes"),2,IF(AND('Proposed Lighting'!AU243=2,AS243=1,BC243="Yes",BE243="Yes"),2,IF(AND('Proposed Lighting'!AU243=2,AS243=1,BC243="Yes",BF243="Yes"),2,IF(AND('Proposed Lighting'!AU243=2,AS243=1,BC243="Yes",BH243="Yes"),2,IF(AND('Proposed Lighting'!AU243=2,AS243=1,BD243="Yes",BF243="Yes"),2,IF(AND('Proposed Lighting'!AU243=2,AS243=1,BD243="Yes",BH243="Yes"),2,IF(AND('Proposed Lighting'!AU243=3,AS243=1,BC243="Yes",BE243="Yes"),2,IF(AND('Proposed Lighting'!AU243=3,AS243=1,BC243="Yes",BF243="Yes"),2,0)))))))))</f>
        <v>0</v>
      </c>
      <c r="BJ243" s="1025">
        <f t="shared" si="49"/>
        <v>0</v>
      </c>
      <c r="BK243">
        <f>IF(AND('Proposed Lighting'!BC243=22,'Lighting Controls'!N243=1),0,IF(ISNUMBER(SEARCH("LED",G243)),1,0))</f>
        <v>0</v>
      </c>
    </row>
    <row r="244" spans="1:63" ht="34.5" customHeight="1">
      <c r="A244" s="917">
        <v>236</v>
      </c>
      <c r="B244" s="1828" t="str">
        <f>IF('Proposed Lighting'!B244="","",'Proposed Lighting'!B244)</f>
        <v/>
      </c>
      <c r="C244" s="1828"/>
      <c r="D244" s="1828"/>
      <c r="E244" s="1245">
        <f>'Proposed Lighting'!AA244</f>
        <v>0</v>
      </c>
      <c r="F244" s="1245">
        <f t="shared" si="42"/>
        <v>0</v>
      </c>
      <c r="G244" s="1830" t="str">
        <f>IF('Proposed Lighting'!T244="","",IF(ISNUMBER(SEARCH("Networked",'Proposed Lighting'!T244)),0,IF(ISNUMBER(SEARCH("Strategies",'Proposed Lighting'!T244)),0,IF(ISNUMBER(SEARCH("Removal",'Proposed Lighting'!T244)),0,'Proposed Lighting'!T244))))</f>
        <v/>
      </c>
      <c r="H244" s="1830"/>
      <c r="I244" s="1830"/>
      <c r="J244" s="1830"/>
      <c r="K244" s="1215"/>
      <c r="L244" s="1246">
        <f t="shared" si="43"/>
        <v>0</v>
      </c>
      <c r="M244" s="1224">
        <f t="shared" si="44"/>
        <v>0</v>
      </c>
      <c r="N244" s="1224">
        <f t="shared" si="45"/>
        <v>0</v>
      </c>
      <c r="O244" s="1825" t="str">
        <f>IF(G244=0,0,IF(ISNA('Proposed Lighting'!AT244),0,'Proposed Lighting'!AT244))</f>
        <v/>
      </c>
      <c r="P244" s="1825"/>
      <c r="Q244" s="1247"/>
      <c r="R244" s="1247"/>
      <c r="S244" s="1247"/>
      <c r="T244" s="1211"/>
      <c r="U244" s="1235">
        <f>IF(K244&gt;0.01,'Proposed Lighting'!CU244,0)</f>
        <v>0</v>
      </c>
      <c r="V244" s="1248">
        <f>IF('Proposed Lighting'!CF244=1,0,IF('Proposed Lighting'!AU244=2,0,IF(AND('Proposed Lighting'!AU244=3,'Proposed Lighting'!CF244=0),1,0)))</f>
        <v>0</v>
      </c>
      <c r="W244" s="1836"/>
      <c r="X244" s="1836"/>
      <c r="Y244" s="1836"/>
      <c r="Z244" s="1230" t="str">
        <f t="shared" si="39"/>
        <v/>
      </c>
      <c r="AA244" s="1230">
        <f t="shared" si="40"/>
        <v>0</v>
      </c>
      <c r="AB244" s="1230">
        <f>IF(Q244=0,0,IF(T244=0,0,IF(AA244=0,0,IF(AND(F244=3,V244=0),0,IF(T244=0,0,IF(K244&gt;'Proposed Lighting'!AA244,0,IF('Proposed Lighting'!EJ244&gt;0.01,(K244*O244)*'Proposed Lighting'!EJ244/1000,(K244*O244)*U244/1000)))))))</f>
        <v>0</v>
      </c>
      <c r="AC244" s="1230" t="str">
        <f t="shared" si="46"/>
        <v/>
      </c>
      <c r="AD244" s="1230">
        <f t="shared" si="41"/>
        <v>0</v>
      </c>
      <c r="AE244" s="1230">
        <f>IF(T244=0,0,IF(K244&gt;'Proposed Lighting'!AA244,0,IF(T244&gt;K244,0,IF(AND(AD244&gt;AA244,AA244&gt;0),0,IF(AND(F244&gt;1,W244&lt;0.01),0,IF('Proposed Lighting'!AU244&gt;'Lighting Controls'!F244,0,IF('Proposed Lighting'!AU244&lt;'Lighting Controls'!F244,0,IF(U244=0,0,Summary!AC547))))))))</f>
        <v>0</v>
      </c>
      <c r="AF244" s="1230">
        <f>IF(T244=0,0,IF(AE244=0,0,IF(K244&gt;'Proposed Lighting'!AA244,0,IF(AND(AD244&gt;AA244,AA244&gt;0),0,IF(U244=0,0,Summary!AD547)))))</f>
        <v>0</v>
      </c>
      <c r="AG244" s="1834">
        <f>IF('Proposed Lighting'!AU244=1,0,IF('Proposed Lighting'!CF244=1,0,T244*W244))</f>
        <v>0</v>
      </c>
      <c r="AH244" s="1834"/>
      <c r="AI244" s="1834"/>
      <c r="AJ244" s="1835">
        <f>IF(T244&lt;1,0,IF(K244&gt;'Proposed Lighting'!AA244,0,IF('Proposed Lighting'!CF244=1,0,IF('Proposed Lighting'!AU244=1,0,IF(T244&gt;K244,0,IF(AND(AD244&gt;AA244,AA244&gt;0),0,IF(AND(F244=2,'Proposed Lighting'!AU244=3),0,IF(AND(F244=3,'Proposed Lighting'!AU244=2),0,IF('Proposed Lighting'!CH244=100,0,IF(AND(F244&lt;3,V244=1,AM244=0),0,IF(AND(F244&gt;1,AF244&lt;1,AN244&lt;1),0,IF(AND(F244&gt;1,AE244&lt;0.69,AF244&lt;1,AN244&lt;1),0,IF(ISERROR(AB244-AC244),"",AB244-AC244)))))))))))))</f>
        <v>0</v>
      </c>
      <c r="AK244" s="1835"/>
      <c r="AL244" s="1835"/>
      <c r="AM244" s="1216">
        <f>IF(Q244=0,0,IF(T244=0,0,IF(T244&gt;K244,0,IF(AND(AS244&gt;0.01,BK244=0),0,IF(AND('Proposed Lighting'!DG244=0,'Lighting Controls'!Z244=0.35),0,IF(AND(T244&lt;=K244,AA244&gt;=AD244,'Proposed Lighting'!AU244=2),VLOOKUP(Q244,$AY$9:$AZ$15,2,FALSE),IF(AND(T244&lt;=K244,AA244&gt;=AD244,'Proposed Lighting'!AU244=3),VLOOKUP(Q244,$AY$17:$AZ$23,2,FALSE))))))))</f>
        <v>0</v>
      </c>
      <c r="AN244" s="1248">
        <f>IF(T244=0,0,IF(K244&gt;'Proposed Lighting'!AA244,0,IF(AE244=0,0,IF(AND(AD244&gt;AA244,AA244&gt;0),0,IF(U244=0,0,Summary!AE547)))))</f>
        <v>0</v>
      </c>
      <c r="AO244" s="1248">
        <f t="shared" si="50"/>
        <v>0</v>
      </c>
      <c r="AP244" s="1249">
        <f>IF('Proposed Lighting'!AU244=1,0,IF(K244=0,0,IF(T244&gt;K244,0,IF(G244=0,0,IF(K244&gt;'Proposed Lighting'!AA244,0,IF(AND(AD244&gt;AA244,AA244&gt;0),0,IF(AND('Proposed Lighting'!AU244=3,AM244=0.5),0,IF(AND(AM244&gt;0,AS244&gt;0,BI244&lt;2),0,IF('Proposed Lighting'!CH244=100,0,IF(AV244=1,0,IF(AND(AM244=35,M244+N244&lt;2),0,AM244)))))))))))</f>
        <v>0</v>
      </c>
      <c r="AQ244" s="1249" t="str">
        <f>IFERROR(ROUND(IF(Q244="","",IF('Proposed Lighting'!$X$4=0,0,IF(AND(AM244=35,M244+N244&lt;2),0,IF(T244&gt;K244,0,IF('Proposed Lighting'!AU244=1,0,IF(AJ244=0,0,IF(AND('Proposed Lighting'!AU244=3,AM244=0.5),0,IF(AND(AD244=75,AP244=0,AV244=0),0,IF(AP244&gt;0.01,AP244*T244,IF(AND(F244&gt;1,W244&lt;0.01),0,IF(AND(F244&gt;1,AO244=0),0,IF(AND('Proposed Lighting'!BC244=22,AV244=0),0,IF(AND(AM244&gt;0,AS244&gt;0,BI244&lt;2),0,IF(AND(AS244&gt;0.01,BK244=0),0,IF(AND(AO244=TRUE,AV244=1,F244=3),MIN(AJ244*0.08,L244),IF(AP244&gt;0.01,AP244*T244,IF(AND(AO244=TRUE,AV244=1,F244=2),MIN(AJ244*0.1,L244)))))))))))))))))),2),"")</f>
        <v/>
      </c>
      <c r="AR244" s="1250">
        <f>IF(Q244=0,0,IF('Proposed Lighting'!$X$4=0,0,IF(AND(AM244&gt;0.01,AQ244&gt;0.01),0,IF('Proposed Lighting'!AU244=1,"Missing Interior or Exterior Selection",IF('Proposed Lighting'!CF244=1,"Selection does not match",IF(K244&gt;'Proposed Lighting'!AA244,"Quantity controlled does not match proposed lighting quantity",IF(T244&gt;K244,"Quantity of sensors exceeds proposed lighting quantity",IF(AND(F244&gt;1,'Proposed Lighting'!AU244&lt;&gt;F244),"Selection does not match",IF(AND(AD244&gt;AA244,AA244&gt;0),"Does not meet minimum connected load",IF(AND(O244&gt;0,AS244&gt;0,BK244&gt;0,'Proposed Lighting'!CH244=0),"Select Control Strategies",IF(AND(AC244&gt;0.1,AJ244=0,AQ244=0),"Does not meet incentive criteria",0)))))))))))</f>
        <v>0</v>
      </c>
      <c r="AS244" s="1224">
        <f>IF('Proposed Lighting'!CH244=100,0,IF(ISNUMBER(SEARCH("multiple",Q244)),1,0))</f>
        <v>0</v>
      </c>
      <c r="AT244" s="451">
        <f t="shared" si="47"/>
        <v>0</v>
      </c>
      <c r="AU244" s="451">
        <f t="shared" si="48"/>
        <v>0</v>
      </c>
      <c r="AV244" s="1222">
        <f>IF(ISNUMBER(SEARCH("Networked",'Proposed Lighting'!T244)),0,IF(ISNUMBER(SEARCH("Strategies",'Proposed Lighting'!T244)),0,IF(ISNUMBER(SEARCH("Removal",'Proposed Lighting'!T244)),0,IF(ISNUMBER(SEARCH("non-standard",Q244)),1,0))))</f>
        <v>0</v>
      </c>
      <c r="AW244" s="451">
        <f t="shared" si="51"/>
        <v>0</v>
      </c>
      <c r="AX244" s="451"/>
      <c r="AY244" s="451"/>
      <c r="AZ244" s="451"/>
      <c r="BA244" s="451"/>
      <c r="BB244" s="451"/>
      <c r="BC244" s="1215"/>
      <c r="BD244" s="1215"/>
      <c r="BE244" s="1215"/>
      <c r="BF244" s="1215"/>
      <c r="BG244" s="1215"/>
      <c r="BH244" s="1215"/>
      <c r="BI244">
        <f>IF(AND(AS244=1,BC244="No",BD244="Yes",BE244="Yes",BF244="No",BH244="No"),0,IF(AND('Proposed Lighting'!AU244=2,AS244=1,BC244="Yes",BD244="Yes"),2,IF(AND('Proposed Lighting'!AU244=2,AS244=1,BC244="Yes",BE244="Yes"),2,IF(AND('Proposed Lighting'!AU244=2,AS244=1,BC244="Yes",BF244="Yes"),2,IF(AND('Proposed Lighting'!AU244=2,AS244=1,BC244="Yes",BH244="Yes"),2,IF(AND('Proposed Lighting'!AU244=2,AS244=1,BD244="Yes",BF244="Yes"),2,IF(AND('Proposed Lighting'!AU244=2,AS244=1,BD244="Yes",BH244="Yes"),2,IF(AND('Proposed Lighting'!AU244=3,AS244=1,BC244="Yes",BE244="Yes"),2,IF(AND('Proposed Lighting'!AU244=3,AS244=1,BC244="Yes",BF244="Yes"),2,0)))))))))</f>
        <v>0</v>
      </c>
      <c r="BJ244" s="1025">
        <f t="shared" si="49"/>
        <v>0</v>
      </c>
      <c r="BK244">
        <f>IF(AND('Proposed Lighting'!BC244=22,'Lighting Controls'!N244=1),0,IF(ISNUMBER(SEARCH("LED",G244)),1,0))</f>
        <v>0</v>
      </c>
    </row>
    <row r="245" spans="1:63" ht="34.5" customHeight="1">
      <c r="A245" s="917">
        <v>237</v>
      </c>
      <c r="B245" s="1828" t="str">
        <f>IF('Proposed Lighting'!B245="","",'Proposed Lighting'!B245)</f>
        <v/>
      </c>
      <c r="C245" s="1828"/>
      <c r="D245" s="1828"/>
      <c r="E245" s="1245">
        <f>'Proposed Lighting'!AA245</f>
        <v>0</v>
      </c>
      <c r="F245" s="1245">
        <f t="shared" si="42"/>
        <v>0</v>
      </c>
      <c r="G245" s="1830" t="str">
        <f>IF('Proposed Lighting'!T245="","",IF(ISNUMBER(SEARCH("Networked",'Proposed Lighting'!T245)),0,IF(ISNUMBER(SEARCH("Strategies",'Proposed Lighting'!T245)),0,IF(ISNUMBER(SEARCH("Removal",'Proposed Lighting'!T245)),0,'Proposed Lighting'!T245))))</f>
        <v/>
      </c>
      <c r="H245" s="1830"/>
      <c r="I245" s="1830"/>
      <c r="J245" s="1830"/>
      <c r="K245" s="1215"/>
      <c r="L245" s="1246">
        <f t="shared" si="43"/>
        <v>0</v>
      </c>
      <c r="M245" s="1224">
        <f t="shared" si="44"/>
        <v>0</v>
      </c>
      <c r="N245" s="1224">
        <f t="shared" si="45"/>
        <v>0</v>
      </c>
      <c r="O245" s="1825" t="str">
        <f>IF(G245=0,0,IF(ISNA('Proposed Lighting'!AT245),0,'Proposed Lighting'!AT245))</f>
        <v/>
      </c>
      <c r="P245" s="1825"/>
      <c r="Q245" s="1247"/>
      <c r="R245" s="1247"/>
      <c r="S245" s="1247"/>
      <c r="T245" s="1211"/>
      <c r="U245" s="1235">
        <f>IF(K245&gt;0.01,'Proposed Lighting'!CU245,0)</f>
        <v>0</v>
      </c>
      <c r="V245" s="1248">
        <f>IF('Proposed Lighting'!CF245=1,0,IF('Proposed Lighting'!AU245=2,0,IF(AND('Proposed Lighting'!AU245=3,'Proposed Lighting'!CF245=0),1,0)))</f>
        <v>0</v>
      </c>
      <c r="W245" s="1836"/>
      <c r="X245" s="1836"/>
      <c r="Y245" s="1836"/>
      <c r="Z245" s="1230" t="str">
        <f t="shared" si="39"/>
        <v/>
      </c>
      <c r="AA245" s="1230">
        <f t="shared" si="40"/>
        <v>0</v>
      </c>
      <c r="AB245" s="1230">
        <f>IF(Q245=0,0,IF(T245=0,0,IF(AA245=0,0,IF(AND(F245=3,V245=0),0,IF(T245=0,0,IF(K245&gt;'Proposed Lighting'!AA245,0,IF('Proposed Lighting'!EJ245&gt;0.01,(K245*O245)*'Proposed Lighting'!EJ245/1000,(K245*O245)*U245/1000)))))))</f>
        <v>0</v>
      </c>
      <c r="AC245" s="1230" t="str">
        <f t="shared" si="46"/>
        <v/>
      </c>
      <c r="AD245" s="1230">
        <f t="shared" si="41"/>
        <v>0</v>
      </c>
      <c r="AE245" s="1230">
        <f>IF(T245=0,0,IF(K245&gt;'Proposed Lighting'!AA245,0,IF(T245&gt;K245,0,IF(AND(AD245&gt;AA245,AA245&gt;0),0,IF(AND(F245&gt;1,W245&lt;0.01),0,IF('Proposed Lighting'!AU245&gt;'Lighting Controls'!F245,0,IF('Proposed Lighting'!AU245&lt;'Lighting Controls'!F245,0,IF(U245=0,0,Summary!AC548))))))))</f>
        <v>0</v>
      </c>
      <c r="AF245" s="1230">
        <f>IF(T245=0,0,IF(AE245=0,0,IF(K245&gt;'Proposed Lighting'!AA245,0,IF(AND(AD245&gt;AA245,AA245&gt;0),0,IF(U245=0,0,Summary!AD548)))))</f>
        <v>0</v>
      </c>
      <c r="AG245" s="1834">
        <f>IF('Proposed Lighting'!AU245=1,0,IF('Proposed Lighting'!CF245=1,0,T245*W245))</f>
        <v>0</v>
      </c>
      <c r="AH245" s="1834"/>
      <c r="AI245" s="1834"/>
      <c r="AJ245" s="1835">
        <f>IF(T245&lt;1,0,IF(K245&gt;'Proposed Lighting'!AA245,0,IF('Proposed Lighting'!CF245=1,0,IF('Proposed Lighting'!AU245=1,0,IF(T245&gt;K245,0,IF(AND(AD245&gt;AA245,AA245&gt;0),0,IF(AND(F245=2,'Proposed Lighting'!AU245=3),0,IF(AND(F245=3,'Proposed Lighting'!AU245=2),0,IF('Proposed Lighting'!CH245=100,0,IF(AND(F245&lt;3,V245=1,AM245=0),0,IF(AND(F245&gt;1,AF245&lt;1,AN245&lt;1),0,IF(AND(F245&gt;1,AE245&lt;0.69,AF245&lt;1,AN245&lt;1),0,IF(ISERROR(AB245-AC245),"",AB245-AC245)))))))))))))</f>
        <v>0</v>
      </c>
      <c r="AK245" s="1835"/>
      <c r="AL245" s="1835"/>
      <c r="AM245" s="1216">
        <f>IF(Q245=0,0,IF(T245=0,0,IF(T245&gt;K245,0,IF(AND(AS245&gt;0.01,BK245=0),0,IF(AND('Proposed Lighting'!DG245=0,'Lighting Controls'!Z245=0.35),0,IF(AND(T245&lt;=K245,AA245&gt;=AD245,'Proposed Lighting'!AU245=2),VLOOKUP(Q245,$AY$9:$AZ$15,2,FALSE),IF(AND(T245&lt;=K245,AA245&gt;=AD245,'Proposed Lighting'!AU245=3),VLOOKUP(Q245,$AY$17:$AZ$23,2,FALSE))))))))</f>
        <v>0</v>
      </c>
      <c r="AN245" s="1248">
        <f>IF(T245=0,0,IF(K245&gt;'Proposed Lighting'!AA245,0,IF(AE245=0,0,IF(AND(AD245&gt;AA245,AA245&gt;0),0,IF(U245=0,0,Summary!AE548)))))</f>
        <v>0</v>
      </c>
      <c r="AO245" s="1248">
        <f t="shared" si="50"/>
        <v>0</v>
      </c>
      <c r="AP245" s="1249">
        <f>IF('Proposed Lighting'!AU245=1,0,IF(K245=0,0,IF(T245&gt;K245,0,IF(G245=0,0,IF(K245&gt;'Proposed Lighting'!AA245,0,IF(AND(AD245&gt;AA245,AA245&gt;0),0,IF(AND('Proposed Lighting'!AU245=3,AM245=0.5),0,IF(AND(AM245&gt;0,AS245&gt;0,BI245&lt;2),0,IF('Proposed Lighting'!CH245=100,0,IF(AV245=1,0,IF(AND(AM245=35,M245+N245&lt;2),0,AM245)))))))))))</f>
        <v>0</v>
      </c>
      <c r="AQ245" s="1249" t="str">
        <f>IFERROR(ROUND(IF(Q245="","",IF('Proposed Lighting'!$X$4=0,0,IF(AND(AM245=35,M245+N245&lt;2),0,IF(T245&gt;K245,0,IF('Proposed Lighting'!AU245=1,0,IF(AJ245=0,0,IF(AND('Proposed Lighting'!AU245=3,AM245=0.5),0,IF(AND(AD245=75,AP245=0,AV245=0),0,IF(AP245&gt;0.01,AP245*T245,IF(AND(F245&gt;1,W245&lt;0.01),0,IF(AND(F245&gt;1,AO245=0),0,IF(AND('Proposed Lighting'!BC245=22,AV245=0),0,IF(AND(AM245&gt;0,AS245&gt;0,BI245&lt;2),0,IF(AND(AS245&gt;0.01,BK245=0),0,IF(AND(AO245=TRUE,AV245=1,F245=3),MIN(AJ245*0.08,L245),IF(AP245&gt;0.01,AP245*T245,IF(AND(AO245=TRUE,AV245=1,F245=2),MIN(AJ245*0.1,L245)))))))))))))))))),2),"")</f>
        <v/>
      </c>
      <c r="AR245" s="1250">
        <f>IF(Q245=0,0,IF('Proposed Lighting'!$X$4=0,0,IF(AND(AM245&gt;0.01,AQ245&gt;0.01),0,IF('Proposed Lighting'!AU245=1,"Missing Interior or Exterior Selection",IF('Proposed Lighting'!CF245=1,"Selection does not match",IF(K245&gt;'Proposed Lighting'!AA245,"Quantity controlled does not match proposed lighting quantity",IF(T245&gt;K245,"Quantity of sensors exceeds proposed lighting quantity",IF(AND(F245&gt;1,'Proposed Lighting'!AU245&lt;&gt;F245),"Selection does not match",IF(AND(AD245&gt;AA245,AA245&gt;0),"Does not meet minimum connected load",IF(AND(O245&gt;0,AS245&gt;0,BK245&gt;0,'Proposed Lighting'!CH245=0),"Select Control Strategies",IF(AND(AC245&gt;0.1,AJ245=0,AQ245=0),"Does not meet incentive criteria",0)))))))))))</f>
        <v>0</v>
      </c>
      <c r="AS245" s="1224">
        <f>IF('Proposed Lighting'!CH245=100,0,IF(ISNUMBER(SEARCH("multiple",Q245)),1,0))</f>
        <v>0</v>
      </c>
      <c r="AT245" s="451">
        <f t="shared" si="47"/>
        <v>0</v>
      </c>
      <c r="AU245" s="451">
        <f t="shared" si="48"/>
        <v>0</v>
      </c>
      <c r="AV245" s="1222">
        <f>IF(ISNUMBER(SEARCH("Networked",'Proposed Lighting'!T245)),0,IF(ISNUMBER(SEARCH("Strategies",'Proposed Lighting'!T245)),0,IF(ISNUMBER(SEARCH("Removal",'Proposed Lighting'!T245)),0,IF(ISNUMBER(SEARCH("non-standard",Q245)),1,0))))</f>
        <v>0</v>
      </c>
      <c r="AW245" s="451">
        <f t="shared" si="51"/>
        <v>0</v>
      </c>
      <c r="AX245" s="451"/>
      <c r="AY245" s="451"/>
      <c r="AZ245" s="451"/>
      <c r="BA245" s="451"/>
      <c r="BB245" s="451"/>
      <c r="BC245" s="1215"/>
      <c r="BD245" s="1215"/>
      <c r="BE245" s="1215"/>
      <c r="BF245" s="1215"/>
      <c r="BG245" s="1215"/>
      <c r="BH245" s="1215"/>
      <c r="BI245">
        <f>IF(AND(AS245=1,BC245="No",BD245="Yes",BE245="Yes",BF245="No",BH245="No"),0,IF(AND('Proposed Lighting'!AU245=2,AS245=1,BC245="Yes",BD245="Yes"),2,IF(AND('Proposed Lighting'!AU245=2,AS245=1,BC245="Yes",BE245="Yes"),2,IF(AND('Proposed Lighting'!AU245=2,AS245=1,BC245="Yes",BF245="Yes"),2,IF(AND('Proposed Lighting'!AU245=2,AS245=1,BC245="Yes",BH245="Yes"),2,IF(AND('Proposed Lighting'!AU245=2,AS245=1,BD245="Yes",BF245="Yes"),2,IF(AND('Proposed Lighting'!AU245=2,AS245=1,BD245="Yes",BH245="Yes"),2,IF(AND('Proposed Lighting'!AU245=3,AS245=1,BC245="Yes",BE245="Yes"),2,IF(AND('Proposed Lighting'!AU245=3,AS245=1,BC245="Yes",BF245="Yes"),2,0)))))))))</f>
        <v>0</v>
      </c>
      <c r="BJ245" s="1025">
        <f t="shared" si="49"/>
        <v>0</v>
      </c>
      <c r="BK245">
        <f>IF(AND('Proposed Lighting'!BC245=22,'Lighting Controls'!N245=1),0,IF(ISNUMBER(SEARCH("LED",G245)),1,0))</f>
        <v>0</v>
      </c>
    </row>
    <row r="246" spans="1:63" ht="34.5" customHeight="1">
      <c r="A246" s="917">
        <v>238</v>
      </c>
      <c r="B246" s="1828" t="str">
        <f>IF('Proposed Lighting'!B246="","",'Proposed Lighting'!B246)</f>
        <v/>
      </c>
      <c r="C246" s="1828"/>
      <c r="D246" s="1828"/>
      <c r="E246" s="1245">
        <f>'Proposed Lighting'!AA246</f>
        <v>0</v>
      </c>
      <c r="F246" s="1245">
        <f t="shared" si="42"/>
        <v>0</v>
      </c>
      <c r="G246" s="1830" t="str">
        <f>IF('Proposed Lighting'!T246="","",IF(ISNUMBER(SEARCH("Networked",'Proposed Lighting'!T246)),0,IF(ISNUMBER(SEARCH("Strategies",'Proposed Lighting'!T246)),0,IF(ISNUMBER(SEARCH("Removal",'Proposed Lighting'!T246)),0,'Proposed Lighting'!T246))))</f>
        <v/>
      </c>
      <c r="H246" s="1830"/>
      <c r="I246" s="1830"/>
      <c r="J246" s="1830"/>
      <c r="K246" s="1215"/>
      <c r="L246" s="1246">
        <f t="shared" si="43"/>
        <v>0</v>
      </c>
      <c r="M246" s="1224">
        <f t="shared" si="44"/>
        <v>0</v>
      </c>
      <c r="N246" s="1224">
        <f t="shared" si="45"/>
        <v>0</v>
      </c>
      <c r="O246" s="1825" t="str">
        <f>IF(G246=0,0,IF(ISNA('Proposed Lighting'!AT246),0,'Proposed Lighting'!AT246))</f>
        <v/>
      </c>
      <c r="P246" s="1825"/>
      <c r="Q246" s="1247"/>
      <c r="R246" s="1247"/>
      <c r="S246" s="1247"/>
      <c r="T246" s="1211"/>
      <c r="U246" s="1235">
        <f>IF(K246&gt;0.01,'Proposed Lighting'!CU246,0)</f>
        <v>0</v>
      </c>
      <c r="V246" s="1248">
        <f>IF('Proposed Lighting'!CF246=1,0,IF('Proposed Lighting'!AU246=2,0,IF(AND('Proposed Lighting'!AU246=3,'Proposed Lighting'!CF246=0),1,0)))</f>
        <v>0</v>
      </c>
      <c r="W246" s="1836"/>
      <c r="X246" s="1836"/>
      <c r="Y246" s="1836"/>
      <c r="Z246" s="1230" t="str">
        <f t="shared" si="39"/>
        <v/>
      </c>
      <c r="AA246" s="1230">
        <f t="shared" si="40"/>
        <v>0</v>
      </c>
      <c r="AB246" s="1230">
        <f>IF(Q246=0,0,IF(T246=0,0,IF(AA246=0,0,IF(AND(F246=3,V246=0),0,IF(T246=0,0,IF(K246&gt;'Proposed Lighting'!AA246,0,IF('Proposed Lighting'!EJ246&gt;0.01,(K246*O246)*'Proposed Lighting'!EJ246/1000,(K246*O246)*U246/1000)))))))</f>
        <v>0</v>
      </c>
      <c r="AC246" s="1230" t="str">
        <f t="shared" si="46"/>
        <v/>
      </c>
      <c r="AD246" s="1230">
        <f t="shared" si="41"/>
        <v>0</v>
      </c>
      <c r="AE246" s="1230">
        <f>IF(T246=0,0,IF(K246&gt;'Proposed Lighting'!AA246,0,IF(T246&gt;K246,0,IF(AND(AD246&gt;AA246,AA246&gt;0),0,IF(AND(F246&gt;1,W246&lt;0.01),0,IF('Proposed Lighting'!AU246&gt;'Lighting Controls'!F246,0,IF('Proposed Lighting'!AU246&lt;'Lighting Controls'!F246,0,IF(U246=0,0,Summary!AC549))))))))</f>
        <v>0</v>
      </c>
      <c r="AF246" s="1230">
        <f>IF(T246=0,0,IF(AE246=0,0,IF(K246&gt;'Proposed Lighting'!AA246,0,IF(AND(AD246&gt;AA246,AA246&gt;0),0,IF(U246=0,0,Summary!AD549)))))</f>
        <v>0</v>
      </c>
      <c r="AG246" s="1834">
        <f>IF('Proposed Lighting'!AU246=1,0,IF('Proposed Lighting'!CF246=1,0,T246*W246))</f>
        <v>0</v>
      </c>
      <c r="AH246" s="1834"/>
      <c r="AI246" s="1834"/>
      <c r="AJ246" s="1835">
        <f>IF(T246&lt;1,0,IF(K246&gt;'Proposed Lighting'!AA246,0,IF('Proposed Lighting'!CF246=1,0,IF('Proposed Lighting'!AU246=1,0,IF(T246&gt;K246,0,IF(AND(AD246&gt;AA246,AA246&gt;0),0,IF(AND(F246=2,'Proposed Lighting'!AU246=3),0,IF(AND(F246=3,'Proposed Lighting'!AU246=2),0,IF('Proposed Lighting'!CH246=100,0,IF(AND(F246&lt;3,V246=1,AM246=0),0,IF(AND(F246&gt;1,AF246&lt;1,AN246&lt;1),0,IF(AND(F246&gt;1,AE246&lt;0.69,AF246&lt;1,AN246&lt;1),0,IF(ISERROR(AB246-AC246),"",AB246-AC246)))))))))))))</f>
        <v>0</v>
      </c>
      <c r="AK246" s="1835"/>
      <c r="AL246" s="1835"/>
      <c r="AM246" s="1216">
        <f>IF(Q246=0,0,IF(T246=0,0,IF(T246&gt;K246,0,IF(AND(AS246&gt;0.01,BK246=0),0,IF(AND('Proposed Lighting'!DG246=0,'Lighting Controls'!Z246=0.35),0,IF(AND(T246&lt;=K246,AA246&gt;=AD246,'Proposed Lighting'!AU246=2),VLOOKUP(Q246,$AY$9:$AZ$15,2,FALSE),IF(AND(T246&lt;=K246,AA246&gt;=AD246,'Proposed Lighting'!AU246=3),VLOOKUP(Q246,$AY$17:$AZ$23,2,FALSE))))))))</f>
        <v>0</v>
      </c>
      <c r="AN246" s="1248">
        <f>IF(T246=0,0,IF(K246&gt;'Proposed Lighting'!AA246,0,IF(AE246=0,0,IF(AND(AD246&gt;AA246,AA246&gt;0),0,IF(U246=0,0,Summary!AE549)))))</f>
        <v>0</v>
      </c>
      <c r="AO246" s="1248">
        <f t="shared" si="50"/>
        <v>0</v>
      </c>
      <c r="AP246" s="1249">
        <f>IF('Proposed Lighting'!AU246=1,0,IF(K246=0,0,IF(T246&gt;K246,0,IF(G246=0,0,IF(K246&gt;'Proposed Lighting'!AA246,0,IF(AND(AD246&gt;AA246,AA246&gt;0),0,IF(AND('Proposed Lighting'!AU246=3,AM246=0.5),0,IF(AND(AM246&gt;0,AS246&gt;0,BI246&lt;2),0,IF('Proposed Lighting'!CH246=100,0,IF(AV246=1,0,IF(AND(AM246=35,M246+N246&lt;2),0,AM246)))))))))))</f>
        <v>0</v>
      </c>
      <c r="AQ246" s="1249" t="str">
        <f>IFERROR(ROUND(IF(Q246="","",IF('Proposed Lighting'!$X$4=0,0,IF(AND(AM246=35,M246+N246&lt;2),0,IF(T246&gt;K246,0,IF('Proposed Lighting'!AU246=1,0,IF(AJ246=0,0,IF(AND('Proposed Lighting'!AU246=3,AM246=0.5),0,IF(AND(AD246=75,AP246=0,AV246=0),0,IF(AP246&gt;0.01,AP246*T246,IF(AND(F246&gt;1,W246&lt;0.01),0,IF(AND(F246&gt;1,AO246=0),0,IF(AND('Proposed Lighting'!BC246=22,AV246=0),0,IF(AND(AM246&gt;0,AS246&gt;0,BI246&lt;2),0,IF(AND(AS246&gt;0.01,BK246=0),0,IF(AND(AO246=TRUE,AV246=1,F246=3),MIN(AJ246*0.08,L246),IF(AP246&gt;0.01,AP246*T246,IF(AND(AO246=TRUE,AV246=1,F246=2),MIN(AJ246*0.1,L246)))))))))))))))))),2),"")</f>
        <v/>
      </c>
      <c r="AR246" s="1250">
        <f>IF(Q246=0,0,IF('Proposed Lighting'!$X$4=0,0,IF(AND(AM246&gt;0.01,AQ246&gt;0.01),0,IF('Proposed Lighting'!AU246=1,"Missing Interior or Exterior Selection",IF('Proposed Lighting'!CF246=1,"Selection does not match",IF(K246&gt;'Proposed Lighting'!AA246,"Quantity controlled does not match proposed lighting quantity",IF(T246&gt;K246,"Quantity of sensors exceeds proposed lighting quantity",IF(AND(F246&gt;1,'Proposed Lighting'!AU246&lt;&gt;F246),"Selection does not match",IF(AND(AD246&gt;AA246,AA246&gt;0),"Does not meet minimum connected load",IF(AND(O246&gt;0,AS246&gt;0,BK246&gt;0,'Proposed Lighting'!CH246=0),"Select Control Strategies",IF(AND(AC246&gt;0.1,AJ246=0,AQ246=0),"Does not meet incentive criteria",0)))))))))))</f>
        <v>0</v>
      </c>
      <c r="AS246" s="1224">
        <f>IF('Proposed Lighting'!CH246=100,0,IF(ISNUMBER(SEARCH("multiple",Q246)),1,0))</f>
        <v>0</v>
      </c>
      <c r="AT246" s="451">
        <f t="shared" si="47"/>
        <v>0</v>
      </c>
      <c r="AU246" s="451">
        <f t="shared" si="48"/>
        <v>0</v>
      </c>
      <c r="AV246" s="1222">
        <f>IF(ISNUMBER(SEARCH("Networked",'Proposed Lighting'!T246)),0,IF(ISNUMBER(SEARCH("Strategies",'Proposed Lighting'!T246)),0,IF(ISNUMBER(SEARCH("Removal",'Proposed Lighting'!T246)),0,IF(ISNUMBER(SEARCH("non-standard",Q246)),1,0))))</f>
        <v>0</v>
      </c>
      <c r="AW246" s="451">
        <f t="shared" si="51"/>
        <v>0</v>
      </c>
      <c r="AX246" s="451"/>
      <c r="AY246" s="451"/>
      <c r="AZ246" s="451"/>
      <c r="BA246" s="451"/>
      <c r="BB246" s="451"/>
      <c r="BC246" s="1215"/>
      <c r="BD246" s="1215"/>
      <c r="BE246" s="1215"/>
      <c r="BF246" s="1215"/>
      <c r="BG246" s="1215"/>
      <c r="BH246" s="1215"/>
      <c r="BI246">
        <f>IF(AND(AS246=1,BC246="No",BD246="Yes",BE246="Yes",BF246="No",BH246="No"),0,IF(AND('Proposed Lighting'!AU246=2,AS246=1,BC246="Yes",BD246="Yes"),2,IF(AND('Proposed Lighting'!AU246=2,AS246=1,BC246="Yes",BE246="Yes"),2,IF(AND('Proposed Lighting'!AU246=2,AS246=1,BC246="Yes",BF246="Yes"),2,IF(AND('Proposed Lighting'!AU246=2,AS246=1,BC246="Yes",BH246="Yes"),2,IF(AND('Proposed Lighting'!AU246=2,AS246=1,BD246="Yes",BF246="Yes"),2,IF(AND('Proposed Lighting'!AU246=2,AS246=1,BD246="Yes",BH246="Yes"),2,IF(AND('Proposed Lighting'!AU246=3,AS246=1,BC246="Yes",BE246="Yes"),2,IF(AND('Proposed Lighting'!AU246=3,AS246=1,BC246="Yes",BF246="Yes"),2,0)))))))))</f>
        <v>0</v>
      </c>
      <c r="BJ246" s="1025">
        <f t="shared" si="49"/>
        <v>0</v>
      </c>
      <c r="BK246">
        <f>IF(AND('Proposed Lighting'!BC246=22,'Lighting Controls'!N246=1),0,IF(ISNUMBER(SEARCH("LED",G246)),1,0))</f>
        <v>0</v>
      </c>
    </row>
    <row r="247" spans="1:63" ht="34.5" customHeight="1">
      <c r="A247" s="917">
        <v>239</v>
      </c>
      <c r="B247" s="1828" t="str">
        <f>IF('Proposed Lighting'!B247="","",'Proposed Lighting'!B247)</f>
        <v/>
      </c>
      <c r="C247" s="1828"/>
      <c r="D247" s="1828"/>
      <c r="E247" s="1245">
        <f>'Proposed Lighting'!AA247</f>
        <v>0</v>
      </c>
      <c r="F247" s="1245">
        <f t="shared" si="42"/>
        <v>0</v>
      </c>
      <c r="G247" s="1830" t="str">
        <f>IF('Proposed Lighting'!T247="","",IF(ISNUMBER(SEARCH("Networked",'Proposed Lighting'!T247)),0,IF(ISNUMBER(SEARCH("Strategies",'Proposed Lighting'!T247)),0,IF(ISNUMBER(SEARCH("Removal",'Proposed Lighting'!T247)),0,'Proposed Lighting'!T247))))</f>
        <v/>
      </c>
      <c r="H247" s="1830"/>
      <c r="I247" s="1830"/>
      <c r="J247" s="1830"/>
      <c r="K247" s="1215"/>
      <c r="L247" s="1246">
        <f t="shared" si="43"/>
        <v>0</v>
      </c>
      <c r="M247" s="1224">
        <f t="shared" si="44"/>
        <v>0</v>
      </c>
      <c r="N247" s="1224">
        <f t="shared" si="45"/>
        <v>0</v>
      </c>
      <c r="O247" s="1825" t="str">
        <f>IF(G247=0,0,IF(ISNA('Proposed Lighting'!AT247),0,'Proposed Lighting'!AT247))</f>
        <v/>
      </c>
      <c r="P247" s="1825"/>
      <c r="Q247" s="1247"/>
      <c r="R247" s="1247"/>
      <c r="S247" s="1247"/>
      <c r="T247" s="1211"/>
      <c r="U247" s="1235">
        <f>IF(K247&gt;0.01,'Proposed Lighting'!CU247,0)</f>
        <v>0</v>
      </c>
      <c r="V247" s="1248">
        <f>IF('Proposed Lighting'!CF247=1,0,IF('Proposed Lighting'!AU247=2,0,IF(AND('Proposed Lighting'!AU247=3,'Proposed Lighting'!CF247=0),1,0)))</f>
        <v>0</v>
      </c>
      <c r="W247" s="1836"/>
      <c r="X247" s="1836"/>
      <c r="Y247" s="1836"/>
      <c r="Z247" s="1230" t="str">
        <f t="shared" si="39"/>
        <v/>
      </c>
      <c r="AA247" s="1230">
        <f t="shared" si="40"/>
        <v>0</v>
      </c>
      <c r="AB247" s="1230">
        <f>IF(Q247=0,0,IF(T247=0,0,IF(AA247=0,0,IF(AND(F247=3,V247=0),0,IF(T247=0,0,IF(K247&gt;'Proposed Lighting'!AA247,0,IF('Proposed Lighting'!EJ247&gt;0.01,(K247*O247)*'Proposed Lighting'!EJ247/1000,(K247*O247)*U247/1000)))))))</f>
        <v>0</v>
      </c>
      <c r="AC247" s="1230" t="str">
        <f t="shared" si="46"/>
        <v/>
      </c>
      <c r="AD247" s="1230">
        <f t="shared" si="41"/>
        <v>0</v>
      </c>
      <c r="AE247" s="1230">
        <f>IF(T247=0,0,IF(K247&gt;'Proposed Lighting'!AA247,0,IF(T247&gt;K247,0,IF(AND(AD247&gt;AA247,AA247&gt;0),0,IF(AND(F247&gt;1,W247&lt;0.01),0,IF('Proposed Lighting'!AU247&gt;'Lighting Controls'!F247,0,IF('Proposed Lighting'!AU247&lt;'Lighting Controls'!F247,0,IF(U247=0,0,Summary!AC550))))))))</f>
        <v>0</v>
      </c>
      <c r="AF247" s="1230">
        <f>IF(T247=0,0,IF(AE247=0,0,IF(K247&gt;'Proposed Lighting'!AA247,0,IF(AND(AD247&gt;AA247,AA247&gt;0),0,IF(U247=0,0,Summary!AD550)))))</f>
        <v>0</v>
      </c>
      <c r="AG247" s="1834">
        <f>IF('Proposed Lighting'!AU247=1,0,IF('Proposed Lighting'!CF247=1,0,T247*W247))</f>
        <v>0</v>
      </c>
      <c r="AH247" s="1834"/>
      <c r="AI247" s="1834"/>
      <c r="AJ247" s="1835">
        <f>IF(T247&lt;1,0,IF(K247&gt;'Proposed Lighting'!AA247,0,IF('Proposed Lighting'!CF247=1,0,IF('Proposed Lighting'!AU247=1,0,IF(T247&gt;K247,0,IF(AND(AD247&gt;AA247,AA247&gt;0),0,IF(AND(F247=2,'Proposed Lighting'!AU247=3),0,IF(AND(F247=3,'Proposed Lighting'!AU247=2),0,IF('Proposed Lighting'!CH247=100,0,IF(AND(F247&lt;3,V247=1,AM247=0),0,IF(AND(F247&gt;1,AF247&lt;1,AN247&lt;1),0,IF(AND(F247&gt;1,AE247&lt;0.69,AF247&lt;1,AN247&lt;1),0,IF(ISERROR(AB247-AC247),"",AB247-AC247)))))))))))))</f>
        <v>0</v>
      </c>
      <c r="AK247" s="1835"/>
      <c r="AL247" s="1835"/>
      <c r="AM247" s="1216">
        <f>IF(Q247=0,0,IF(T247=0,0,IF(T247&gt;K247,0,IF(AND(AS247&gt;0.01,BK247=0),0,IF(AND('Proposed Lighting'!DG247=0,'Lighting Controls'!Z247=0.35),0,IF(AND(T247&lt;=K247,AA247&gt;=AD247,'Proposed Lighting'!AU247=2),VLOOKUP(Q247,$AY$9:$AZ$15,2,FALSE),IF(AND(T247&lt;=K247,AA247&gt;=AD247,'Proposed Lighting'!AU247=3),VLOOKUP(Q247,$AY$17:$AZ$23,2,FALSE))))))))</f>
        <v>0</v>
      </c>
      <c r="AN247" s="1248">
        <f>IF(T247=0,0,IF(K247&gt;'Proposed Lighting'!AA247,0,IF(AE247=0,0,IF(AND(AD247&gt;AA247,AA247&gt;0),0,IF(U247=0,0,Summary!AE550)))))</f>
        <v>0</v>
      </c>
      <c r="AO247" s="1248">
        <f t="shared" si="50"/>
        <v>0</v>
      </c>
      <c r="AP247" s="1249">
        <f>IF('Proposed Lighting'!AU247=1,0,IF(K247=0,0,IF(T247&gt;K247,0,IF(G247=0,0,IF(K247&gt;'Proposed Lighting'!AA247,0,IF(AND(AD247&gt;AA247,AA247&gt;0),0,IF(AND('Proposed Lighting'!AU247=3,AM247=0.5),0,IF(AND(AM247&gt;0,AS247&gt;0,BI247&lt;2),0,IF('Proposed Lighting'!CH247=100,0,IF(AV247=1,0,IF(AND(AM247=35,M247+N247&lt;2),0,AM247)))))))))))</f>
        <v>0</v>
      </c>
      <c r="AQ247" s="1249" t="str">
        <f>IFERROR(ROUND(IF(Q247="","",IF('Proposed Lighting'!$X$4=0,0,IF(AND(AM247=35,M247+N247&lt;2),0,IF(T247&gt;K247,0,IF('Proposed Lighting'!AU247=1,0,IF(AJ247=0,0,IF(AND('Proposed Lighting'!AU247=3,AM247=0.5),0,IF(AND(AD247=75,AP247=0,AV247=0),0,IF(AP247&gt;0.01,AP247*T247,IF(AND(F247&gt;1,W247&lt;0.01),0,IF(AND(F247&gt;1,AO247=0),0,IF(AND('Proposed Lighting'!BC247=22,AV247=0),0,IF(AND(AM247&gt;0,AS247&gt;0,BI247&lt;2),0,IF(AND(AS247&gt;0.01,BK247=0),0,IF(AND(AO247=TRUE,AV247=1,F247=3),MIN(AJ247*0.08,L247),IF(AP247&gt;0.01,AP247*T247,IF(AND(AO247=TRUE,AV247=1,F247=2),MIN(AJ247*0.1,L247)))))))))))))))))),2),"")</f>
        <v/>
      </c>
      <c r="AR247" s="1250">
        <f>IF(Q247=0,0,IF('Proposed Lighting'!$X$4=0,0,IF(AND(AM247&gt;0.01,AQ247&gt;0.01),0,IF('Proposed Lighting'!AU247=1,"Missing Interior or Exterior Selection",IF('Proposed Lighting'!CF247=1,"Selection does not match",IF(K247&gt;'Proposed Lighting'!AA247,"Quantity controlled does not match proposed lighting quantity",IF(T247&gt;K247,"Quantity of sensors exceeds proposed lighting quantity",IF(AND(F247&gt;1,'Proposed Lighting'!AU247&lt;&gt;F247),"Selection does not match",IF(AND(AD247&gt;AA247,AA247&gt;0),"Does not meet minimum connected load",IF(AND(O247&gt;0,AS247&gt;0,BK247&gt;0,'Proposed Lighting'!CH247=0),"Select Control Strategies",IF(AND(AC247&gt;0.1,AJ247=0,AQ247=0),"Does not meet incentive criteria",0)))))))))))</f>
        <v>0</v>
      </c>
      <c r="AS247" s="1224">
        <f>IF('Proposed Lighting'!CH247=100,0,IF(ISNUMBER(SEARCH("multiple",Q247)),1,0))</f>
        <v>0</v>
      </c>
      <c r="AT247" s="451">
        <f t="shared" si="47"/>
        <v>0</v>
      </c>
      <c r="AU247" s="451">
        <f t="shared" si="48"/>
        <v>0</v>
      </c>
      <c r="AV247" s="1222">
        <f>IF(ISNUMBER(SEARCH("Networked",'Proposed Lighting'!T247)),0,IF(ISNUMBER(SEARCH("Strategies",'Proposed Lighting'!T247)),0,IF(ISNUMBER(SEARCH("Removal",'Proposed Lighting'!T247)),0,IF(ISNUMBER(SEARCH("non-standard",Q247)),1,0))))</f>
        <v>0</v>
      </c>
      <c r="AW247" s="451">
        <f t="shared" si="51"/>
        <v>0</v>
      </c>
      <c r="AX247" s="451"/>
      <c r="AY247" s="451"/>
      <c r="AZ247" s="451"/>
      <c r="BA247" s="451"/>
      <c r="BB247" s="451"/>
      <c r="BC247" s="1215"/>
      <c r="BD247" s="1215"/>
      <c r="BE247" s="1215"/>
      <c r="BF247" s="1215"/>
      <c r="BG247" s="1215"/>
      <c r="BH247" s="1215"/>
      <c r="BI247">
        <f>IF(AND(AS247=1,BC247="No",BD247="Yes",BE247="Yes",BF247="No",BH247="No"),0,IF(AND('Proposed Lighting'!AU247=2,AS247=1,BC247="Yes",BD247="Yes"),2,IF(AND('Proposed Lighting'!AU247=2,AS247=1,BC247="Yes",BE247="Yes"),2,IF(AND('Proposed Lighting'!AU247=2,AS247=1,BC247="Yes",BF247="Yes"),2,IF(AND('Proposed Lighting'!AU247=2,AS247=1,BC247="Yes",BH247="Yes"),2,IF(AND('Proposed Lighting'!AU247=2,AS247=1,BD247="Yes",BF247="Yes"),2,IF(AND('Proposed Lighting'!AU247=2,AS247=1,BD247="Yes",BH247="Yes"),2,IF(AND('Proposed Lighting'!AU247=3,AS247=1,BC247="Yes",BE247="Yes"),2,IF(AND('Proposed Lighting'!AU247=3,AS247=1,BC247="Yes",BF247="Yes"),2,0)))))))))</f>
        <v>0</v>
      </c>
      <c r="BJ247" s="1025">
        <f t="shared" si="49"/>
        <v>0</v>
      </c>
      <c r="BK247">
        <f>IF(AND('Proposed Lighting'!BC247=22,'Lighting Controls'!N247=1),0,IF(ISNUMBER(SEARCH("LED",G247)),1,0))</f>
        <v>0</v>
      </c>
    </row>
    <row r="248" spans="1:63" ht="34.5" customHeight="1">
      <c r="A248" s="917">
        <v>240</v>
      </c>
      <c r="B248" s="1828" t="str">
        <f>IF('Proposed Lighting'!B248="","",'Proposed Lighting'!B248)</f>
        <v/>
      </c>
      <c r="C248" s="1828"/>
      <c r="D248" s="1828"/>
      <c r="E248" s="1245">
        <f>'Proposed Lighting'!AA248</f>
        <v>0</v>
      </c>
      <c r="F248" s="1245">
        <f t="shared" si="42"/>
        <v>0</v>
      </c>
      <c r="G248" s="1830" t="str">
        <f>IF('Proposed Lighting'!T248="","",IF(ISNUMBER(SEARCH("Networked",'Proposed Lighting'!T248)),0,IF(ISNUMBER(SEARCH("Strategies",'Proposed Lighting'!T248)),0,IF(ISNUMBER(SEARCH("Removal",'Proposed Lighting'!T248)),0,'Proposed Lighting'!T248))))</f>
        <v/>
      </c>
      <c r="H248" s="1830"/>
      <c r="I248" s="1830"/>
      <c r="J248" s="1830"/>
      <c r="K248" s="1215"/>
      <c r="L248" s="1246">
        <f t="shared" si="43"/>
        <v>0</v>
      </c>
      <c r="M248" s="1224">
        <f t="shared" si="44"/>
        <v>0</v>
      </c>
      <c r="N248" s="1224">
        <f t="shared" si="45"/>
        <v>0</v>
      </c>
      <c r="O248" s="1825" t="str">
        <f>IF(G248=0,0,IF(ISNA('Proposed Lighting'!AT248),0,'Proposed Lighting'!AT248))</f>
        <v/>
      </c>
      <c r="P248" s="1825"/>
      <c r="Q248" s="1247"/>
      <c r="R248" s="1247"/>
      <c r="S248" s="1247"/>
      <c r="T248" s="1211"/>
      <c r="U248" s="1235">
        <f>IF(K248&gt;0.01,'Proposed Lighting'!CU248,0)</f>
        <v>0</v>
      </c>
      <c r="V248" s="1248">
        <f>IF('Proposed Lighting'!CF248=1,0,IF('Proposed Lighting'!AU248=2,0,IF(AND('Proposed Lighting'!AU248=3,'Proposed Lighting'!CF248=0),1,0)))</f>
        <v>0</v>
      </c>
      <c r="W248" s="1836"/>
      <c r="X248" s="1836"/>
      <c r="Y248" s="1836"/>
      <c r="Z248" s="1230" t="str">
        <f t="shared" si="39"/>
        <v/>
      </c>
      <c r="AA248" s="1230">
        <f t="shared" si="40"/>
        <v>0</v>
      </c>
      <c r="AB248" s="1230">
        <f>IF(Q248=0,0,IF(T248=0,0,IF(AA248=0,0,IF(AND(F248=3,V248=0),0,IF(T248=0,0,IF(K248&gt;'Proposed Lighting'!AA248,0,IF('Proposed Lighting'!EJ248&gt;0.01,(K248*O248)*'Proposed Lighting'!EJ248/1000,(K248*O248)*U248/1000)))))))</f>
        <v>0</v>
      </c>
      <c r="AC248" s="1230" t="str">
        <f t="shared" si="46"/>
        <v/>
      </c>
      <c r="AD248" s="1230">
        <f t="shared" si="41"/>
        <v>0</v>
      </c>
      <c r="AE248" s="1230">
        <f>IF(T248=0,0,IF(K248&gt;'Proposed Lighting'!AA248,0,IF(T248&gt;K248,0,IF(AND(AD248&gt;AA248,AA248&gt;0),0,IF(AND(F248&gt;1,W248&lt;0.01),0,IF('Proposed Lighting'!AU248&gt;'Lighting Controls'!F248,0,IF('Proposed Lighting'!AU248&lt;'Lighting Controls'!F248,0,IF(U248=0,0,Summary!AC551))))))))</f>
        <v>0</v>
      </c>
      <c r="AF248" s="1230">
        <f>IF(T248=0,0,IF(AE248=0,0,IF(K248&gt;'Proposed Lighting'!AA248,0,IF(AND(AD248&gt;AA248,AA248&gt;0),0,IF(U248=0,0,Summary!AD551)))))</f>
        <v>0</v>
      </c>
      <c r="AG248" s="1834">
        <f>IF('Proposed Lighting'!AU248=1,0,IF('Proposed Lighting'!CF248=1,0,T248*W248))</f>
        <v>0</v>
      </c>
      <c r="AH248" s="1834"/>
      <c r="AI248" s="1834"/>
      <c r="AJ248" s="1835">
        <f>IF(T248&lt;1,0,IF(K248&gt;'Proposed Lighting'!AA248,0,IF('Proposed Lighting'!CF248=1,0,IF('Proposed Lighting'!AU248=1,0,IF(T248&gt;K248,0,IF(AND(AD248&gt;AA248,AA248&gt;0),0,IF(AND(F248=2,'Proposed Lighting'!AU248=3),0,IF(AND(F248=3,'Proposed Lighting'!AU248=2),0,IF('Proposed Lighting'!CH248=100,0,IF(AND(F248&lt;3,V248=1,AM248=0),0,IF(AND(F248&gt;1,AF248&lt;1,AN248&lt;1),0,IF(AND(F248&gt;1,AE248&lt;0.69,AF248&lt;1,AN248&lt;1),0,IF(ISERROR(AB248-AC248),"",AB248-AC248)))))))))))))</f>
        <v>0</v>
      </c>
      <c r="AK248" s="1835"/>
      <c r="AL248" s="1835"/>
      <c r="AM248" s="1216">
        <f>IF(Q248=0,0,IF(T248=0,0,IF(T248&gt;K248,0,IF(AND(AS248&gt;0.01,BK248=0),0,IF(AND('Proposed Lighting'!DG248=0,'Lighting Controls'!Z248=0.35),0,IF(AND(T248&lt;=K248,AA248&gt;=AD248,'Proposed Lighting'!AU248=2),VLOOKUP(Q248,$AY$9:$AZ$15,2,FALSE),IF(AND(T248&lt;=K248,AA248&gt;=AD248,'Proposed Lighting'!AU248=3),VLOOKUP(Q248,$AY$17:$AZ$23,2,FALSE))))))))</f>
        <v>0</v>
      </c>
      <c r="AN248" s="1248">
        <f>IF(T248=0,0,IF(K248&gt;'Proposed Lighting'!AA248,0,IF(AE248=0,0,IF(AND(AD248&gt;AA248,AA248&gt;0),0,IF(U248=0,0,Summary!AE551)))))</f>
        <v>0</v>
      </c>
      <c r="AO248" s="1248">
        <f t="shared" si="50"/>
        <v>0</v>
      </c>
      <c r="AP248" s="1249">
        <f>IF('Proposed Lighting'!AU248=1,0,IF(K248=0,0,IF(T248&gt;K248,0,IF(G248=0,0,IF(K248&gt;'Proposed Lighting'!AA248,0,IF(AND(AD248&gt;AA248,AA248&gt;0),0,IF(AND('Proposed Lighting'!AU248=3,AM248=0.5),0,IF(AND(AM248&gt;0,AS248&gt;0,BI248&lt;2),0,IF('Proposed Lighting'!CH248=100,0,IF(AV248=1,0,IF(AND(AM248=35,M248+N248&lt;2),0,AM248)))))))))))</f>
        <v>0</v>
      </c>
      <c r="AQ248" s="1249" t="str">
        <f>IFERROR(ROUND(IF(Q248="","",IF('Proposed Lighting'!$X$4=0,0,IF(AND(AM248=35,M248+N248&lt;2),0,IF(T248&gt;K248,0,IF('Proposed Lighting'!AU248=1,0,IF(AJ248=0,0,IF(AND('Proposed Lighting'!AU248=3,AM248=0.5),0,IF(AND(AD248=75,AP248=0,AV248=0),0,IF(AP248&gt;0.01,AP248*T248,IF(AND(F248&gt;1,W248&lt;0.01),0,IF(AND(F248&gt;1,AO248=0),0,IF(AND('Proposed Lighting'!BC248=22,AV248=0),0,IF(AND(AM248&gt;0,AS248&gt;0,BI248&lt;2),0,IF(AND(AS248&gt;0.01,BK248=0),0,IF(AND(AO248=TRUE,AV248=1,F248=3),MIN(AJ248*0.08,L248),IF(AP248&gt;0.01,AP248*T248,IF(AND(AO248=TRUE,AV248=1,F248=2),MIN(AJ248*0.1,L248)))))))))))))))))),2),"")</f>
        <v/>
      </c>
      <c r="AR248" s="1250">
        <f>IF(Q248=0,0,IF('Proposed Lighting'!$X$4=0,0,IF(AND(AM248&gt;0.01,AQ248&gt;0.01),0,IF('Proposed Lighting'!AU248=1,"Missing Interior or Exterior Selection",IF('Proposed Lighting'!CF248=1,"Selection does not match",IF(K248&gt;'Proposed Lighting'!AA248,"Quantity controlled does not match proposed lighting quantity",IF(T248&gt;K248,"Quantity of sensors exceeds proposed lighting quantity",IF(AND(F248&gt;1,'Proposed Lighting'!AU248&lt;&gt;F248),"Selection does not match",IF(AND(AD248&gt;AA248,AA248&gt;0),"Does not meet minimum connected load",IF(AND(O248&gt;0,AS248&gt;0,BK248&gt;0,'Proposed Lighting'!CH248=0),"Select Control Strategies",IF(AND(AC248&gt;0.1,AJ248=0,AQ248=0),"Does not meet incentive criteria",0)))))))))))</f>
        <v>0</v>
      </c>
      <c r="AS248" s="1224">
        <f>IF('Proposed Lighting'!CH248=100,0,IF(ISNUMBER(SEARCH("multiple",Q248)),1,0))</f>
        <v>0</v>
      </c>
      <c r="AT248" s="451">
        <f t="shared" si="47"/>
        <v>0</v>
      </c>
      <c r="AU248" s="451">
        <f t="shared" si="48"/>
        <v>0</v>
      </c>
      <c r="AV248" s="1222">
        <f>IF(ISNUMBER(SEARCH("Networked",'Proposed Lighting'!T248)),0,IF(ISNUMBER(SEARCH("Strategies",'Proposed Lighting'!T248)),0,IF(ISNUMBER(SEARCH("Removal",'Proposed Lighting'!T248)),0,IF(ISNUMBER(SEARCH("non-standard",Q248)),1,0))))</f>
        <v>0</v>
      </c>
      <c r="AW248" s="451">
        <f t="shared" si="51"/>
        <v>0</v>
      </c>
      <c r="AX248" s="451"/>
      <c r="AY248" s="451"/>
      <c r="AZ248" s="451"/>
      <c r="BA248" s="451"/>
      <c r="BB248" s="451"/>
      <c r="BC248" s="1215"/>
      <c r="BD248" s="1215"/>
      <c r="BE248" s="1215"/>
      <c r="BF248" s="1215"/>
      <c r="BG248" s="1215"/>
      <c r="BH248" s="1215"/>
      <c r="BI248">
        <f>IF(AND(AS248=1,BC248="No",BD248="Yes",BE248="Yes",BF248="No",BH248="No"),0,IF(AND('Proposed Lighting'!AU248=2,AS248=1,BC248="Yes",BD248="Yes"),2,IF(AND('Proposed Lighting'!AU248=2,AS248=1,BC248="Yes",BE248="Yes"),2,IF(AND('Proposed Lighting'!AU248=2,AS248=1,BC248="Yes",BF248="Yes"),2,IF(AND('Proposed Lighting'!AU248=2,AS248=1,BC248="Yes",BH248="Yes"),2,IF(AND('Proposed Lighting'!AU248=2,AS248=1,BD248="Yes",BF248="Yes"),2,IF(AND('Proposed Lighting'!AU248=2,AS248=1,BD248="Yes",BH248="Yes"),2,IF(AND('Proposed Lighting'!AU248=3,AS248=1,BC248="Yes",BE248="Yes"),2,IF(AND('Proposed Lighting'!AU248=3,AS248=1,BC248="Yes",BF248="Yes"),2,0)))))))))</f>
        <v>0</v>
      </c>
      <c r="BJ248" s="1025">
        <f t="shared" si="49"/>
        <v>0</v>
      </c>
      <c r="BK248">
        <f>IF(AND('Proposed Lighting'!BC248=22,'Lighting Controls'!N248=1),0,IF(ISNUMBER(SEARCH("LED",G248)),1,0))</f>
        <v>0</v>
      </c>
    </row>
    <row r="249" spans="1:63" ht="34.5" customHeight="1">
      <c r="A249" s="917">
        <v>241</v>
      </c>
      <c r="B249" s="1828" t="str">
        <f>IF('Proposed Lighting'!B249="","",'Proposed Lighting'!B249)</f>
        <v/>
      </c>
      <c r="C249" s="1828"/>
      <c r="D249" s="1828"/>
      <c r="E249" s="1245">
        <f>'Proposed Lighting'!AA249</f>
        <v>0</v>
      </c>
      <c r="F249" s="1245">
        <f t="shared" si="42"/>
        <v>0</v>
      </c>
      <c r="G249" s="1830" t="str">
        <f>IF('Proposed Lighting'!T249="","",IF(ISNUMBER(SEARCH("Networked",'Proposed Lighting'!T249)),0,IF(ISNUMBER(SEARCH("Strategies",'Proposed Lighting'!T249)),0,IF(ISNUMBER(SEARCH("Removal",'Proposed Lighting'!T249)),0,'Proposed Lighting'!T249))))</f>
        <v/>
      </c>
      <c r="H249" s="1830"/>
      <c r="I249" s="1830"/>
      <c r="J249" s="1830"/>
      <c r="K249" s="1215"/>
      <c r="L249" s="1246">
        <f t="shared" si="43"/>
        <v>0</v>
      </c>
      <c r="M249" s="1224">
        <f t="shared" si="44"/>
        <v>0</v>
      </c>
      <c r="N249" s="1224">
        <f t="shared" si="45"/>
        <v>0</v>
      </c>
      <c r="O249" s="1825" t="str">
        <f>IF(G249=0,0,IF(ISNA('Proposed Lighting'!AT249),0,'Proposed Lighting'!AT249))</f>
        <v/>
      </c>
      <c r="P249" s="1825"/>
      <c r="Q249" s="1247"/>
      <c r="R249" s="1247"/>
      <c r="S249" s="1247"/>
      <c r="T249" s="1211"/>
      <c r="U249" s="1235">
        <f>IF(K249&gt;0.01,'Proposed Lighting'!CU249,0)</f>
        <v>0</v>
      </c>
      <c r="V249" s="1248">
        <f>IF('Proposed Lighting'!CF249=1,0,IF('Proposed Lighting'!AU249=2,0,IF(AND('Proposed Lighting'!AU249=3,'Proposed Lighting'!CF249=0),1,0)))</f>
        <v>0</v>
      </c>
      <c r="W249" s="1836"/>
      <c r="X249" s="1836"/>
      <c r="Y249" s="1836"/>
      <c r="Z249" s="1230" t="str">
        <f t="shared" si="39"/>
        <v/>
      </c>
      <c r="AA249" s="1230">
        <f t="shared" si="40"/>
        <v>0</v>
      </c>
      <c r="AB249" s="1230">
        <f>IF(Q249=0,0,IF(T249=0,0,IF(AA249=0,0,IF(AND(F249=3,V249=0),0,IF(T249=0,0,IF(K249&gt;'Proposed Lighting'!AA249,0,IF('Proposed Lighting'!EJ249&gt;0.01,(K249*O249)*'Proposed Lighting'!EJ249/1000,(K249*O249)*U249/1000)))))))</f>
        <v>0</v>
      </c>
      <c r="AC249" s="1230" t="str">
        <f t="shared" si="46"/>
        <v/>
      </c>
      <c r="AD249" s="1230">
        <f t="shared" si="41"/>
        <v>0</v>
      </c>
      <c r="AE249" s="1230">
        <f>IF(T249=0,0,IF(K249&gt;'Proposed Lighting'!AA249,0,IF(T249&gt;K249,0,IF(AND(AD249&gt;AA249,AA249&gt;0),0,IF(AND(F249&gt;1,W249&lt;0.01),0,IF('Proposed Lighting'!AU249&gt;'Lighting Controls'!F249,0,IF('Proposed Lighting'!AU249&lt;'Lighting Controls'!F249,0,IF(U249=0,0,Summary!AC552))))))))</f>
        <v>0</v>
      </c>
      <c r="AF249" s="1230">
        <f>IF(T249=0,0,IF(AE249=0,0,IF(K249&gt;'Proposed Lighting'!AA249,0,IF(AND(AD249&gt;AA249,AA249&gt;0),0,IF(U249=0,0,Summary!AD552)))))</f>
        <v>0</v>
      </c>
      <c r="AG249" s="1834">
        <f>IF('Proposed Lighting'!AU249=1,0,IF('Proposed Lighting'!CF249=1,0,T249*W249))</f>
        <v>0</v>
      </c>
      <c r="AH249" s="1834"/>
      <c r="AI249" s="1834"/>
      <c r="AJ249" s="1835">
        <f>IF(T249&lt;1,0,IF(K249&gt;'Proposed Lighting'!AA249,0,IF('Proposed Lighting'!CF249=1,0,IF('Proposed Lighting'!AU249=1,0,IF(T249&gt;K249,0,IF(AND(AD249&gt;AA249,AA249&gt;0),0,IF(AND(F249=2,'Proposed Lighting'!AU249=3),0,IF(AND(F249=3,'Proposed Lighting'!AU249=2),0,IF('Proposed Lighting'!CH249=100,0,IF(AND(F249&lt;3,V249=1,AM249=0),0,IF(AND(F249&gt;1,AF249&lt;1,AN249&lt;1),0,IF(AND(F249&gt;1,AE249&lt;0.69,AF249&lt;1,AN249&lt;1),0,IF(ISERROR(AB249-AC249),"",AB249-AC249)))))))))))))</f>
        <v>0</v>
      </c>
      <c r="AK249" s="1835"/>
      <c r="AL249" s="1835"/>
      <c r="AM249" s="1216">
        <f>IF(Q249=0,0,IF(T249=0,0,IF(T249&gt;K249,0,IF(AND(AS249&gt;0.01,BK249=0),0,IF(AND('Proposed Lighting'!DG249=0,'Lighting Controls'!Z249=0.35),0,IF(AND(T249&lt;=K249,AA249&gt;=AD249,'Proposed Lighting'!AU249=2),VLOOKUP(Q249,$AY$9:$AZ$15,2,FALSE),IF(AND(T249&lt;=K249,AA249&gt;=AD249,'Proposed Lighting'!AU249=3),VLOOKUP(Q249,$AY$17:$AZ$23,2,FALSE))))))))</f>
        <v>0</v>
      </c>
      <c r="AN249" s="1248">
        <f>IF(T249=0,0,IF(K249&gt;'Proposed Lighting'!AA249,0,IF(AE249=0,0,IF(AND(AD249&gt;AA249,AA249&gt;0),0,IF(U249=0,0,Summary!AE552)))))</f>
        <v>0</v>
      </c>
      <c r="AO249" s="1248">
        <f t="shared" si="50"/>
        <v>0</v>
      </c>
      <c r="AP249" s="1249">
        <f>IF('Proposed Lighting'!AU249=1,0,IF(K249=0,0,IF(T249&gt;K249,0,IF(G249=0,0,IF(K249&gt;'Proposed Lighting'!AA249,0,IF(AND(AD249&gt;AA249,AA249&gt;0),0,IF(AND('Proposed Lighting'!AU249=3,AM249=0.5),0,IF(AND(AM249&gt;0,AS249&gt;0,BI249&lt;2),0,IF('Proposed Lighting'!CH249=100,0,IF(AV249=1,0,IF(AND(AM249=35,M249+N249&lt;2),0,AM249)))))))))))</f>
        <v>0</v>
      </c>
      <c r="AQ249" s="1249" t="str">
        <f>IFERROR(ROUND(IF(Q249="","",IF('Proposed Lighting'!$X$4=0,0,IF(AND(AM249=35,M249+N249&lt;2),0,IF(T249&gt;K249,0,IF('Proposed Lighting'!AU249=1,0,IF(AJ249=0,0,IF(AND('Proposed Lighting'!AU249=3,AM249=0.5),0,IF(AND(AD249=75,AP249=0,AV249=0),0,IF(AP249&gt;0.01,AP249*T249,IF(AND(F249&gt;1,W249&lt;0.01),0,IF(AND(F249&gt;1,AO249=0),0,IF(AND('Proposed Lighting'!BC249=22,AV249=0),0,IF(AND(AM249&gt;0,AS249&gt;0,BI249&lt;2),0,IF(AND(AS249&gt;0.01,BK249=0),0,IF(AND(AO249=TRUE,AV249=1,F249=3),MIN(AJ249*0.08,L249),IF(AP249&gt;0.01,AP249*T249,IF(AND(AO249=TRUE,AV249=1,F249=2),MIN(AJ249*0.1,L249)))))))))))))))))),2),"")</f>
        <v/>
      </c>
      <c r="AR249" s="1250">
        <f>IF(Q249=0,0,IF('Proposed Lighting'!$X$4=0,0,IF(AND(AM249&gt;0.01,AQ249&gt;0.01),0,IF('Proposed Lighting'!AU249=1,"Missing Interior or Exterior Selection",IF('Proposed Lighting'!CF249=1,"Selection does not match",IF(K249&gt;'Proposed Lighting'!AA249,"Quantity controlled does not match proposed lighting quantity",IF(T249&gt;K249,"Quantity of sensors exceeds proposed lighting quantity",IF(AND(F249&gt;1,'Proposed Lighting'!AU249&lt;&gt;F249),"Selection does not match",IF(AND(AD249&gt;AA249,AA249&gt;0),"Does not meet minimum connected load",IF(AND(O249&gt;0,AS249&gt;0,BK249&gt;0,'Proposed Lighting'!CH249=0),"Select Control Strategies",IF(AND(AC249&gt;0.1,AJ249=0,AQ249=0),"Does not meet incentive criteria",0)))))))))))</f>
        <v>0</v>
      </c>
      <c r="AS249" s="1224">
        <f>IF('Proposed Lighting'!CH249=100,0,IF(ISNUMBER(SEARCH("multiple",Q249)),1,0))</f>
        <v>0</v>
      </c>
      <c r="AT249" s="451">
        <f t="shared" si="47"/>
        <v>0</v>
      </c>
      <c r="AU249" s="451">
        <f t="shared" si="48"/>
        <v>0</v>
      </c>
      <c r="AV249" s="1222">
        <f>IF(ISNUMBER(SEARCH("Networked",'Proposed Lighting'!T249)),0,IF(ISNUMBER(SEARCH("Strategies",'Proposed Lighting'!T249)),0,IF(ISNUMBER(SEARCH("Removal",'Proposed Lighting'!T249)),0,IF(ISNUMBER(SEARCH("non-standard",Q249)),1,0))))</f>
        <v>0</v>
      </c>
      <c r="AW249" s="451">
        <f t="shared" si="51"/>
        <v>0</v>
      </c>
      <c r="AX249" s="451"/>
      <c r="AY249" s="451"/>
      <c r="AZ249" s="451"/>
      <c r="BA249" s="451"/>
      <c r="BB249" s="451"/>
      <c r="BC249" s="1215"/>
      <c r="BD249" s="1215"/>
      <c r="BE249" s="1215"/>
      <c r="BF249" s="1215"/>
      <c r="BG249" s="1215"/>
      <c r="BH249" s="1215"/>
      <c r="BI249">
        <f>IF(AND(AS249=1,BC249="No",BD249="Yes",BE249="Yes",BF249="No",BH249="No"),0,IF(AND('Proposed Lighting'!AU249=2,AS249=1,BC249="Yes",BD249="Yes"),2,IF(AND('Proposed Lighting'!AU249=2,AS249=1,BC249="Yes",BE249="Yes"),2,IF(AND('Proposed Lighting'!AU249=2,AS249=1,BC249="Yes",BF249="Yes"),2,IF(AND('Proposed Lighting'!AU249=2,AS249=1,BC249="Yes",BH249="Yes"),2,IF(AND('Proposed Lighting'!AU249=2,AS249=1,BD249="Yes",BF249="Yes"),2,IF(AND('Proposed Lighting'!AU249=2,AS249=1,BD249="Yes",BH249="Yes"),2,IF(AND('Proposed Lighting'!AU249=3,AS249=1,BC249="Yes",BE249="Yes"),2,IF(AND('Proposed Lighting'!AU249=3,AS249=1,BC249="Yes",BF249="Yes"),2,0)))))))))</f>
        <v>0</v>
      </c>
      <c r="BJ249" s="1025">
        <f t="shared" si="49"/>
        <v>0</v>
      </c>
      <c r="BK249">
        <f>IF(AND('Proposed Lighting'!BC249=22,'Lighting Controls'!N249=1),0,IF(ISNUMBER(SEARCH("LED",G249)),1,0))</f>
        <v>0</v>
      </c>
    </row>
    <row r="250" spans="1:63" ht="34.5" customHeight="1">
      <c r="A250" s="917">
        <v>242</v>
      </c>
      <c r="B250" s="1828" t="str">
        <f>IF('Proposed Lighting'!B250="","",'Proposed Lighting'!B250)</f>
        <v/>
      </c>
      <c r="C250" s="1828"/>
      <c r="D250" s="1828"/>
      <c r="E250" s="1245">
        <f>'Proposed Lighting'!AA250</f>
        <v>0</v>
      </c>
      <c r="F250" s="1245">
        <f t="shared" si="42"/>
        <v>0</v>
      </c>
      <c r="G250" s="1830" t="str">
        <f>IF('Proposed Lighting'!T250="","",IF(ISNUMBER(SEARCH("Networked",'Proposed Lighting'!T250)),0,IF(ISNUMBER(SEARCH("Strategies",'Proposed Lighting'!T250)),0,IF(ISNUMBER(SEARCH("Removal",'Proposed Lighting'!T250)),0,'Proposed Lighting'!T250))))</f>
        <v/>
      </c>
      <c r="H250" s="1830"/>
      <c r="I250" s="1830"/>
      <c r="J250" s="1830"/>
      <c r="K250" s="1215"/>
      <c r="L250" s="1246">
        <f t="shared" si="43"/>
        <v>0</v>
      </c>
      <c r="M250" s="1224">
        <f t="shared" si="44"/>
        <v>0</v>
      </c>
      <c r="N250" s="1224">
        <f t="shared" si="45"/>
        <v>0</v>
      </c>
      <c r="O250" s="1825" t="str">
        <f>IF(G250=0,0,IF(ISNA('Proposed Lighting'!AT250),0,'Proposed Lighting'!AT250))</f>
        <v/>
      </c>
      <c r="P250" s="1825"/>
      <c r="Q250" s="1247"/>
      <c r="R250" s="1247"/>
      <c r="S250" s="1247"/>
      <c r="T250" s="1211"/>
      <c r="U250" s="1235">
        <f>IF(K250&gt;0.01,'Proposed Lighting'!CU250,0)</f>
        <v>0</v>
      </c>
      <c r="V250" s="1248">
        <f>IF('Proposed Lighting'!CF250=1,0,IF('Proposed Lighting'!AU250=2,0,IF(AND('Proposed Lighting'!AU250=3,'Proposed Lighting'!CF250=0),1,0)))</f>
        <v>0</v>
      </c>
      <c r="W250" s="1836"/>
      <c r="X250" s="1836"/>
      <c r="Y250" s="1836"/>
      <c r="Z250" s="1230" t="str">
        <f t="shared" si="39"/>
        <v/>
      </c>
      <c r="AA250" s="1230">
        <f t="shared" si="40"/>
        <v>0</v>
      </c>
      <c r="AB250" s="1230">
        <f>IF(Q250=0,0,IF(T250=0,0,IF(AA250=0,0,IF(AND(F250=3,V250=0),0,IF(T250=0,0,IF(K250&gt;'Proposed Lighting'!AA250,0,IF('Proposed Lighting'!EJ250&gt;0.01,(K250*O250)*'Proposed Lighting'!EJ250/1000,(K250*O250)*U250/1000)))))))</f>
        <v>0</v>
      </c>
      <c r="AC250" s="1230" t="str">
        <f t="shared" si="46"/>
        <v/>
      </c>
      <c r="AD250" s="1230">
        <f t="shared" si="41"/>
        <v>0</v>
      </c>
      <c r="AE250" s="1230">
        <f>IF(T250=0,0,IF(K250&gt;'Proposed Lighting'!AA250,0,IF(T250&gt;K250,0,IF(AND(AD250&gt;AA250,AA250&gt;0),0,IF(AND(F250&gt;1,W250&lt;0.01),0,IF('Proposed Lighting'!AU250&gt;'Lighting Controls'!F250,0,IF('Proposed Lighting'!AU250&lt;'Lighting Controls'!F250,0,IF(U250=0,0,Summary!AC553))))))))</f>
        <v>0</v>
      </c>
      <c r="AF250" s="1230">
        <f>IF(T250=0,0,IF(AE250=0,0,IF(K250&gt;'Proposed Lighting'!AA250,0,IF(AND(AD250&gt;AA250,AA250&gt;0),0,IF(U250=0,0,Summary!AD553)))))</f>
        <v>0</v>
      </c>
      <c r="AG250" s="1834">
        <f>IF('Proposed Lighting'!AU250=1,0,IF('Proposed Lighting'!CF250=1,0,T250*W250))</f>
        <v>0</v>
      </c>
      <c r="AH250" s="1834"/>
      <c r="AI250" s="1834"/>
      <c r="AJ250" s="1835">
        <f>IF(T250&lt;1,0,IF(K250&gt;'Proposed Lighting'!AA250,0,IF('Proposed Lighting'!CF250=1,0,IF('Proposed Lighting'!AU250=1,0,IF(T250&gt;K250,0,IF(AND(AD250&gt;AA250,AA250&gt;0),0,IF(AND(F250=2,'Proposed Lighting'!AU250=3),0,IF(AND(F250=3,'Proposed Lighting'!AU250=2),0,IF('Proposed Lighting'!CH250=100,0,IF(AND(F250&lt;3,V250=1,AM250=0),0,IF(AND(F250&gt;1,AF250&lt;1,AN250&lt;1),0,IF(AND(F250&gt;1,AE250&lt;0.69,AF250&lt;1,AN250&lt;1),0,IF(ISERROR(AB250-AC250),"",AB250-AC250)))))))))))))</f>
        <v>0</v>
      </c>
      <c r="AK250" s="1835"/>
      <c r="AL250" s="1835"/>
      <c r="AM250" s="1216">
        <f>IF(Q250=0,0,IF(T250=0,0,IF(T250&gt;K250,0,IF(AND(AS250&gt;0.01,BK250=0),0,IF(AND('Proposed Lighting'!DG250=0,'Lighting Controls'!Z250=0.35),0,IF(AND(T250&lt;=K250,AA250&gt;=AD250,'Proposed Lighting'!AU250=2),VLOOKUP(Q250,$AY$9:$AZ$15,2,FALSE),IF(AND(T250&lt;=K250,AA250&gt;=AD250,'Proposed Lighting'!AU250=3),VLOOKUP(Q250,$AY$17:$AZ$23,2,FALSE))))))))</f>
        <v>0</v>
      </c>
      <c r="AN250" s="1248">
        <f>IF(T250=0,0,IF(K250&gt;'Proposed Lighting'!AA250,0,IF(AE250=0,0,IF(AND(AD250&gt;AA250,AA250&gt;0),0,IF(U250=0,0,Summary!AE553)))))</f>
        <v>0</v>
      </c>
      <c r="AO250" s="1248">
        <f t="shared" si="50"/>
        <v>0</v>
      </c>
      <c r="AP250" s="1249">
        <f>IF('Proposed Lighting'!AU250=1,0,IF(K250=0,0,IF(T250&gt;K250,0,IF(G250=0,0,IF(K250&gt;'Proposed Lighting'!AA250,0,IF(AND(AD250&gt;AA250,AA250&gt;0),0,IF(AND('Proposed Lighting'!AU250=3,AM250=0.5),0,IF(AND(AM250&gt;0,AS250&gt;0,BI250&lt;2),0,IF('Proposed Lighting'!CH250=100,0,IF(AV250=1,0,IF(AND(AM250=35,M250+N250&lt;2),0,AM250)))))))))))</f>
        <v>0</v>
      </c>
      <c r="AQ250" s="1249" t="str">
        <f>IFERROR(ROUND(IF(Q250="","",IF('Proposed Lighting'!$X$4=0,0,IF(AND(AM250=35,M250+N250&lt;2),0,IF(T250&gt;K250,0,IF('Proposed Lighting'!AU250=1,0,IF(AJ250=0,0,IF(AND('Proposed Lighting'!AU250=3,AM250=0.5),0,IF(AND(AD250=75,AP250=0,AV250=0),0,IF(AP250&gt;0.01,AP250*T250,IF(AND(F250&gt;1,W250&lt;0.01),0,IF(AND(F250&gt;1,AO250=0),0,IF(AND('Proposed Lighting'!BC250=22,AV250=0),0,IF(AND(AM250&gt;0,AS250&gt;0,BI250&lt;2),0,IF(AND(AS250&gt;0.01,BK250=0),0,IF(AND(AO250=TRUE,AV250=1,F250=3),MIN(AJ250*0.08,L250),IF(AP250&gt;0.01,AP250*T250,IF(AND(AO250=TRUE,AV250=1,F250=2),MIN(AJ250*0.1,L250)))))))))))))))))),2),"")</f>
        <v/>
      </c>
      <c r="AR250" s="1250">
        <f>IF(Q250=0,0,IF('Proposed Lighting'!$X$4=0,0,IF(AND(AM250&gt;0.01,AQ250&gt;0.01),0,IF('Proposed Lighting'!AU250=1,"Missing Interior or Exterior Selection",IF('Proposed Lighting'!CF250=1,"Selection does not match",IF(K250&gt;'Proposed Lighting'!AA250,"Quantity controlled does not match proposed lighting quantity",IF(T250&gt;K250,"Quantity of sensors exceeds proposed lighting quantity",IF(AND(F250&gt;1,'Proposed Lighting'!AU250&lt;&gt;F250),"Selection does not match",IF(AND(AD250&gt;AA250,AA250&gt;0),"Does not meet minimum connected load",IF(AND(O250&gt;0,AS250&gt;0,BK250&gt;0,'Proposed Lighting'!CH250=0),"Select Control Strategies",IF(AND(AC250&gt;0.1,AJ250=0,AQ250=0),"Does not meet incentive criteria",0)))))))))))</f>
        <v>0</v>
      </c>
      <c r="AS250" s="1224">
        <f>IF('Proposed Lighting'!CH250=100,0,IF(ISNUMBER(SEARCH("multiple",Q250)),1,0))</f>
        <v>0</v>
      </c>
      <c r="AT250" s="451">
        <f t="shared" si="47"/>
        <v>0</v>
      </c>
      <c r="AU250" s="451">
        <f t="shared" si="48"/>
        <v>0</v>
      </c>
      <c r="AV250" s="1222">
        <f>IF(ISNUMBER(SEARCH("Networked",'Proposed Lighting'!T250)),0,IF(ISNUMBER(SEARCH("Strategies",'Proposed Lighting'!T250)),0,IF(ISNUMBER(SEARCH("Removal",'Proposed Lighting'!T250)),0,IF(ISNUMBER(SEARCH("non-standard",Q250)),1,0))))</f>
        <v>0</v>
      </c>
      <c r="AW250" s="451">
        <f t="shared" si="51"/>
        <v>0</v>
      </c>
      <c r="AX250" s="451"/>
      <c r="AY250" s="451"/>
      <c r="AZ250" s="451"/>
      <c r="BA250" s="451"/>
      <c r="BB250" s="451"/>
      <c r="BC250" s="1215"/>
      <c r="BD250" s="1215"/>
      <c r="BE250" s="1215"/>
      <c r="BF250" s="1215"/>
      <c r="BG250" s="1215"/>
      <c r="BH250" s="1215"/>
      <c r="BI250">
        <f>IF(AND(AS250=1,BC250="No",BD250="Yes",BE250="Yes",BF250="No",BH250="No"),0,IF(AND('Proposed Lighting'!AU250=2,AS250=1,BC250="Yes",BD250="Yes"),2,IF(AND('Proposed Lighting'!AU250=2,AS250=1,BC250="Yes",BE250="Yes"),2,IF(AND('Proposed Lighting'!AU250=2,AS250=1,BC250="Yes",BF250="Yes"),2,IF(AND('Proposed Lighting'!AU250=2,AS250=1,BC250="Yes",BH250="Yes"),2,IF(AND('Proposed Lighting'!AU250=2,AS250=1,BD250="Yes",BF250="Yes"),2,IF(AND('Proposed Lighting'!AU250=2,AS250=1,BD250="Yes",BH250="Yes"),2,IF(AND('Proposed Lighting'!AU250=3,AS250=1,BC250="Yes",BE250="Yes"),2,IF(AND('Proposed Lighting'!AU250=3,AS250=1,BC250="Yes",BF250="Yes"),2,0)))))))))</f>
        <v>0</v>
      </c>
      <c r="BJ250" s="1025">
        <f t="shared" si="49"/>
        <v>0</v>
      </c>
      <c r="BK250">
        <f>IF(AND('Proposed Lighting'!BC250=22,'Lighting Controls'!N250=1),0,IF(ISNUMBER(SEARCH("LED",G250)),1,0))</f>
        <v>0</v>
      </c>
    </row>
    <row r="251" spans="1:63" ht="34.5" customHeight="1">
      <c r="A251" s="917">
        <v>243</v>
      </c>
      <c r="B251" s="1828" t="str">
        <f>IF('Proposed Lighting'!B251="","",'Proposed Lighting'!B251)</f>
        <v/>
      </c>
      <c r="C251" s="1828"/>
      <c r="D251" s="1828"/>
      <c r="E251" s="1245">
        <f>'Proposed Lighting'!AA251</f>
        <v>0</v>
      </c>
      <c r="F251" s="1245">
        <f t="shared" si="42"/>
        <v>0</v>
      </c>
      <c r="G251" s="1830" t="str">
        <f>IF('Proposed Lighting'!T251="","",IF(ISNUMBER(SEARCH("Networked",'Proposed Lighting'!T251)),0,IF(ISNUMBER(SEARCH("Strategies",'Proposed Lighting'!T251)),0,IF(ISNUMBER(SEARCH("Removal",'Proposed Lighting'!T251)),0,'Proposed Lighting'!T251))))</f>
        <v/>
      </c>
      <c r="H251" s="1830"/>
      <c r="I251" s="1830"/>
      <c r="J251" s="1830"/>
      <c r="K251" s="1215"/>
      <c r="L251" s="1246">
        <f t="shared" si="43"/>
        <v>0</v>
      </c>
      <c r="M251" s="1224">
        <f t="shared" si="44"/>
        <v>0</v>
      </c>
      <c r="N251" s="1224">
        <f t="shared" si="45"/>
        <v>0</v>
      </c>
      <c r="O251" s="1825" t="str">
        <f>IF(G251=0,0,IF(ISNA('Proposed Lighting'!AT251),0,'Proposed Lighting'!AT251))</f>
        <v/>
      </c>
      <c r="P251" s="1825"/>
      <c r="Q251" s="1247"/>
      <c r="R251" s="1247"/>
      <c r="S251" s="1247"/>
      <c r="T251" s="1211"/>
      <c r="U251" s="1235">
        <f>IF(K251&gt;0.01,'Proposed Lighting'!CU251,0)</f>
        <v>0</v>
      </c>
      <c r="V251" s="1248">
        <f>IF('Proposed Lighting'!CF251=1,0,IF('Proposed Lighting'!AU251=2,0,IF(AND('Proposed Lighting'!AU251=3,'Proposed Lighting'!CF251=0),1,0)))</f>
        <v>0</v>
      </c>
      <c r="W251" s="1836"/>
      <c r="X251" s="1836"/>
      <c r="Y251" s="1836"/>
      <c r="Z251" s="1230" t="str">
        <f t="shared" si="39"/>
        <v/>
      </c>
      <c r="AA251" s="1230">
        <f t="shared" si="40"/>
        <v>0</v>
      </c>
      <c r="AB251" s="1230">
        <f>IF(Q251=0,0,IF(T251=0,0,IF(AA251=0,0,IF(AND(F251=3,V251=0),0,IF(T251=0,0,IF(K251&gt;'Proposed Lighting'!AA251,0,IF('Proposed Lighting'!EJ251&gt;0.01,(K251*O251)*'Proposed Lighting'!EJ251/1000,(K251*O251)*U251/1000)))))))</f>
        <v>0</v>
      </c>
      <c r="AC251" s="1230" t="str">
        <f t="shared" si="46"/>
        <v/>
      </c>
      <c r="AD251" s="1230">
        <f t="shared" si="41"/>
        <v>0</v>
      </c>
      <c r="AE251" s="1230">
        <f>IF(T251=0,0,IF(K251&gt;'Proposed Lighting'!AA251,0,IF(T251&gt;K251,0,IF(AND(AD251&gt;AA251,AA251&gt;0),0,IF(AND(F251&gt;1,W251&lt;0.01),0,IF('Proposed Lighting'!AU251&gt;'Lighting Controls'!F251,0,IF('Proposed Lighting'!AU251&lt;'Lighting Controls'!F251,0,IF(U251=0,0,Summary!AC554))))))))</f>
        <v>0</v>
      </c>
      <c r="AF251" s="1230">
        <f>IF(T251=0,0,IF(AE251=0,0,IF(K251&gt;'Proposed Lighting'!AA251,0,IF(AND(AD251&gt;AA251,AA251&gt;0),0,IF(U251=0,0,Summary!AD554)))))</f>
        <v>0</v>
      </c>
      <c r="AG251" s="1834">
        <f>IF('Proposed Lighting'!AU251=1,0,IF('Proposed Lighting'!CF251=1,0,T251*W251))</f>
        <v>0</v>
      </c>
      <c r="AH251" s="1834"/>
      <c r="AI251" s="1834"/>
      <c r="AJ251" s="1835">
        <f>IF(T251&lt;1,0,IF(K251&gt;'Proposed Lighting'!AA251,0,IF('Proposed Lighting'!CF251=1,0,IF('Proposed Lighting'!AU251=1,0,IF(T251&gt;K251,0,IF(AND(AD251&gt;AA251,AA251&gt;0),0,IF(AND(F251=2,'Proposed Lighting'!AU251=3),0,IF(AND(F251=3,'Proposed Lighting'!AU251=2),0,IF('Proposed Lighting'!CH251=100,0,IF(AND(F251&lt;3,V251=1,AM251=0),0,IF(AND(F251&gt;1,AF251&lt;1,AN251&lt;1),0,IF(AND(F251&gt;1,AE251&lt;0.69,AF251&lt;1,AN251&lt;1),0,IF(ISERROR(AB251-AC251),"",AB251-AC251)))))))))))))</f>
        <v>0</v>
      </c>
      <c r="AK251" s="1835"/>
      <c r="AL251" s="1835"/>
      <c r="AM251" s="1216">
        <f>IF(Q251=0,0,IF(T251=0,0,IF(T251&gt;K251,0,IF(AND(AS251&gt;0.01,BK251=0),0,IF(AND('Proposed Lighting'!DG251=0,'Lighting Controls'!Z251=0.35),0,IF(AND(T251&lt;=K251,AA251&gt;=AD251,'Proposed Lighting'!AU251=2),VLOOKUP(Q251,$AY$9:$AZ$15,2,FALSE),IF(AND(T251&lt;=K251,AA251&gt;=AD251,'Proposed Lighting'!AU251=3),VLOOKUP(Q251,$AY$17:$AZ$23,2,FALSE))))))))</f>
        <v>0</v>
      </c>
      <c r="AN251" s="1248">
        <f>IF(T251=0,0,IF(K251&gt;'Proposed Lighting'!AA251,0,IF(AE251=0,0,IF(AND(AD251&gt;AA251,AA251&gt;0),0,IF(U251=0,0,Summary!AE554)))))</f>
        <v>0</v>
      </c>
      <c r="AO251" s="1248">
        <f t="shared" si="50"/>
        <v>0</v>
      </c>
      <c r="AP251" s="1249">
        <f>IF('Proposed Lighting'!AU251=1,0,IF(K251=0,0,IF(T251&gt;K251,0,IF(G251=0,0,IF(K251&gt;'Proposed Lighting'!AA251,0,IF(AND(AD251&gt;AA251,AA251&gt;0),0,IF(AND('Proposed Lighting'!AU251=3,AM251=0.5),0,IF(AND(AM251&gt;0,AS251&gt;0,BI251&lt;2),0,IF('Proposed Lighting'!CH251=100,0,IF(AV251=1,0,IF(AND(AM251=35,M251+N251&lt;2),0,AM251)))))))))))</f>
        <v>0</v>
      </c>
      <c r="AQ251" s="1249" t="str">
        <f>IFERROR(ROUND(IF(Q251="","",IF('Proposed Lighting'!$X$4=0,0,IF(AND(AM251=35,M251+N251&lt;2),0,IF(T251&gt;K251,0,IF('Proposed Lighting'!AU251=1,0,IF(AJ251=0,0,IF(AND('Proposed Lighting'!AU251=3,AM251=0.5),0,IF(AND(AD251=75,AP251=0,AV251=0),0,IF(AP251&gt;0.01,AP251*T251,IF(AND(F251&gt;1,W251&lt;0.01),0,IF(AND(F251&gt;1,AO251=0),0,IF(AND('Proposed Lighting'!BC251=22,AV251=0),0,IF(AND(AM251&gt;0,AS251&gt;0,BI251&lt;2),0,IF(AND(AS251&gt;0.01,BK251=0),0,IF(AND(AO251=TRUE,AV251=1,F251=3),MIN(AJ251*0.08,L251),IF(AP251&gt;0.01,AP251*T251,IF(AND(AO251=TRUE,AV251=1,F251=2),MIN(AJ251*0.1,L251)))))))))))))))))),2),"")</f>
        <v/>
      </c>
      <c r="AR251" s="1250">
        <f>IF(Q251=0,0,IF('Proposed Lighting'!$X$4=0,0,IF(AND(AM251&gt;0.01,AQ251&gt;0.01),0,IF('Proposed Lighting'!AU251=1,"Missing Interior or Exterior Selection",IF('Proposed Lighting'!CF251=1,"Selection does not match",IF(K251&gt;'Proposed Lighting'!AA251,"Quantity controlled does not match proposed lighting quantity",IF(T251&gt;K251,"Quantity of sensors exceeds proposed lighting quantity",IF(AND(F251&gt;1,'Proposed Lighting'!AU251&lt;&gt;F251),"Selection does not match",IF(AND(AD251&gt;AA251,AA251&gt;0),"Does not meet minimum connected load",IF(AND(O251&gt;0,AS251&gt;0,BK251&gt;0,'Proposed Lighting'!CH251=0),"Select Control Strategies",IF(AND(AC251&gt;0.1,AJ251=0,AQ251=0),"Does not meet incentive criteria",0)))))))))))</f>
        <v>0</v>
      </c>
      <c r="AS251" s="1224">
        <f>IF('Proposed Lighting'!CH251=100,0,IF(ISNUMBER(SEARCH("multiple",Q251)),1,0))</f>
        <v>0</v>
      </c>
      <c r="AT251" s="451">
        <f t="shared" si="47"/>
        <v>0</v>
      </c>
      <c r="AU251" s="451">
        <f t="shared" si="48"/>
        <v>0</v>
      </c>
      <c r="AV251" s="1222">
        <f>IF(ISNUMBER(SEARCH("Networked",'Proposed Lighting'!T251)),0,IF(ISNUMBER(SEARCH("Strategies",'Proposed Lighting'!T251)),0,IF(ISNUMBER(SEARCH("Removal",'Proposed Lighting'!T251)),0,IF(ISNUMBER(SEARCH("non-standard",Q251)),1,0))))</f>
        <v>0</v>
      </c>
      <c r="AW251" s="451">
        <f t="shared" si="51"/>
        <v>0</v>
      </c>
      <c r="AX251" s="451"/>
      <c r="AY251" s="451"/>
      <c r="AZ251" s="451"/>
      <c r="BA251" s="451"/>
      <c r="BB251" s="451"/>
      <c r="BC251" s="1215"/>
      <c r="BD251" s="1215"/>
      <c r="BE251" s="1215"/>
      <c r="BF251" s="1215"/>
      <c r="BG251" s="1215"/>
      <c r="BH251" s="1215"/>
      <c r="BI251">
        <f>IF(AND(AS251=1,BC251="No",BD251="Yes",BE251="Yes",BF251="No",BH251="No"),0,IF(AND('Proposed Lighting'!AU251=2,AS251=1,BC251="Yes",BD251="Yes"),2,IF(AND('Proposed Lighting'!AU251=2,AS251=1,BC251="Yes",BE251="Yes"),2,IF(AND('Proposed Lighting'!AU251=2,AS251=1,BC251="Yes",BF251="Yes"),2,IF(AND('Proposed Lighting'!AU251=2,AS251=1,BC251="Yes",BH251="Yes"),2,IF(AND('Proposed Lighting'!AU251=2,AS251=1,BD251="Yes",BF251="Yes"),2,IF(AND('Proposed Lighting'!AU251=2,AS251=1,BD251="Yes",BH251="Yes"),2,IF(AND('Proposed Lighting'!AU251=3,AS251=1,BC251="Yes",BE251="Yes"),2,IF(AND('Proposed Lighting'!AU251=3,AS251=1,BC251="Yes",BF251="Yes"),2,0)))))))))</f>
        <v>0</v>
      </c>
      <c r="BJ251" s="1025">
        <f t="shared" si="49"/>
        <v>0</v>
      </c>
      <c r="BK251">
        <f>IF(AND('Proposed Lighting'!BC251=22,'Lighting Controls'!N251=1),0,IF(ISNUMBER(SEARCH("LED",G251)),1,0))</f>
        <v>0</v>
      </c>
    </row>
    <row r="252" spans="1:63" ht="34.5" customHeight="1">
      <c r="A252" s="917">
        <v>244</v>
      </c>
      <c r="B252" s="1828" t="str">
        <f>IF('Proposed Lighting'!B252="","",'Proposed Lighting'!B252)</f>
        <v/>
      </c>
      <c r="C252" s="1828"/>
      <c r="D252" s="1828"/>
      <c r="E252" s="1245">
        <f>'Proposed Lighting'!AA252</f>
        <v>0</v>
      </c>
      <c r="F252" s="1245">
        <f t="shared" si="42"/>
        <v>0</v>
      </c>
      <c r="G252" s="1830" t="str">
        <f>IF('Proposed Lighting'!T252="","",IF(ISNUMBER(SEARCH("Networked",'Proposed Lighting'!T252)),0,IF(ISNUMBER(SEARCH("Strategies",'Proposed Lighting'!T252)),0,IF(ISNUMBER(SEARCH("Removal",'Proposed Lighting'!T252)),0,'Proposed Lighting'!T252))))</f>
        <v/>
      </c>
      <c r="H252" s="1830"/>
      <c r="I252" s="1830"/>
      <c r="J252" s="1830"/>
      <c r="K252" s="1215"/>
      <c r="L252" s="1246">
        <f t="shared" si="43"/>
        <v>0</v>
      </c>
      <c r="M252" s="1224">
        <f t="shared" si="44"/>
        <v>0</v>
      </c>
      <c r="N252" s="1224">
        <f t="shared" si="45"/>
        <v>0</v>
      </c>
      <c r="O252" s="1825" t="str">
        <f>IF(G252=0,0,IF(ISNA('Proposed Lighting'!AT252),0,'Proposed Lighting'!AT252))</f>
        <v/>
      </c>
      <c r="P252" s="1825"/>
      <c r="Q252" s="1247"/>
      <c r="R252" s="1247"/>
      <c r="S252" s="1247"/>
      <c r="T252" s="1211"/>
      <c r="U252" s="1235">
        <f>IF(K252&gt;0.01,'Proposed Lighting'!CU252,0)</f>
        <v>0</v>
      </c>
      <c r="V252" s="1248">
        <f>IF('Proposed Lighting'!CF252=1,0,IF('Proposed Lighting'!AU252=2,0,IF(AND('Proposed Lighting'!AU252=3,'Proposed Lighting'!CF252=0),1,0)))</f>
        <v>0</v>
      </c>
      <c r="W252" s="1836"/>
      <c r="X252" s="1836"/>
      <c r="Y252" s="1836"/>
      <c r="Z252" s="1230" t="str">
        <f t="shared" si="39"/>
        <v/>
      </c>
      <c r="AA252" s="1230">
        <f t="shared" si="40"/>
        <v>0</v>
      </c>
      <c r="AB252" s="1230">
        <f>IF(Q252=0,0,IF(T252=0,0,IF(AA252=0,0,IF(AND(F252=3,V252=0),0,IF(T252=0,0,IF(K252&gt;'Proposed Lighting'!AA252,0,IF('Proposed Lighting'!EJ252&gt;0.01,(K252*O252)*'Proposed Lighting'!EJ252/1000,(K252*O252)*U252/1000)))))))</f>
        <v>0</v>
      </c>
      <c r="AC252" s="1230" t="str">
        <f t="shared" si="46"/>
        <v/>
      </c>
      <c r="AD252" s="1230">
        <f t="shared" si="41"/>
        <v>0</v>
      </c>
      <c r="AE252" s="1230">
        <f>IF(T252=0,0,IF(K252&gt;'Proposed Lighting'!AA252,0,IF(T252&gt;K252,0,IF(AND(AD252&gt;AA252,AA252&gt;0),0,IF(AND(F252&gt;1,W252&lt;0.01),0,IF('Proposed Lighting'!AU252&gt;'Lighting Controls'!F252,0,IF('Proposed Lighting'!AU252&lt;'Lighting Controls'!F252,0,IF(U252=0,0,Summary!AC555))))))))</f>
        <v>0</v>
      </c>
      <c r="AF252" s="1230">
        <f>IF(T252=0,0,IF(AE252=0,0,IF(K252&gt;'Proposed Lighting'!AA252,0,IF(AND(AD252&gt;AA252,AA252&gt;0),0,IF(U252=0,0,Summary!AD555)))))</f>
        <v>0</v>
      </c>
      <c r="AG252" s="1834">
        <f>IF('Proposed Lighting'!AU252=1,0,IF('Proposed Lighting'!CF252=1,0,T252*W252))</f>
        <v>0</v>
      </c>
      <c r="AH252" s="1834"/>
      <c r="AI252" s="1834"/>
      <c r="AJ252" s="1835">
        <f>IF(T252&lt;1,0,IF(K252&gt;'Proposed Lighting'!AA252,0,IF('Proposed Lighting'!CF252=1,0,IF('Proposed Lighting'!AU252=1,0,IF(T252&gt;K252,0,IF(AND(AD252&gt;AA252,AA252&gt;0),0,IF(AND(F252=2,'Proposed Lighting'!AU252=3),0,IF(AND(F252=3,'Proposed Lighting'!AU252=2),0,IF('Proposed Lighting'!CH252=100,0,IF(AND(F252&lt;3,V252=1,AM252=0),0,IF(AND(F252&gt;1,AF252&lt;1,AN252&lt;1),0,IF(AND(F252&gt;1,AE252&lt;0.69,AF252&lt;1,AN252&lt;1),0,IF(ISERROR(AB252-AC252),"",AB252-AC252)))))))))))))</f>
        <v>0</v>
      </c>
      <c r="AK252" s="1835"/>
      <c r="AL252" s="1835"/>
      <c r="AM252" s="1216">
        <f>IF(Q252=0,0,IF(T252=0,0,IF(T252&gt;K252,0,IF(AND(AS252&gt;0.01,BK252=0),0,IF(AND('Proposed Lighting'!DG252=0,'Lighting Controls'!Z252=0.35),0,IF(AND(T252&lt;=K252,AA252&gt;=AD252,'Proposed Lighting'!AU252=2),VLOOKUP(Q252,$AY$9:$AZ$15,2,FALSE),IF(AND(T252&lt;=K252,AA252&gt;=AD252,'Proposed Lighting'!AU252=3),VLOOKUP(Q252,$AY$17:$AZ$23,2,FALSE))))))))</f>
        <v>0</v>
      </c>
      <c r="AN252" s="1248">
        <f>IF(T252=0,0,IF(K252&gt;'Proposed Lighting'!AA252,0,IF(AE252=0,0,IF(AND(AD252&gt;AA252,AA252&gt;0),0,IF(U252=0,0,Summary!AE555)))))</f>
        <v>0</v>
      </c>
      <c r="AO252" s="1248">
        <f t="shared" si="50"/>
        <v>0</v>
      </c>
      <c r="AP252" s="1249">
        <f>IF('Proposed Lighting'!AU252=1,0,IF(K252=0,0,IF(T252&gt;K252,0,IF(G252=0,0,IF(K252&gt;'Proposed Lighting'!AA252,0,IF(AND(AD252&gt;AA252,AA252&gt;0),0,IF(AND('Proposed Lighting'!AU252=3,AM252=0.5),0,IF(AND(AM252&gt;0,AS252&gt;0,BI252&lt;2),0,IF('Proposed Lighting'!CH252=100,0,IF(AV252=1,0,IF(AND(AM252=35,M252+N252&lt;2),0,AM252)))))))))))</f>
        <v>0</v>
      </c>
      <c r="AQ252" s="1249" t="str">
        <f>IFERROR(ROUND(IF(Q252="","",IF('Proposed Lighting'!$X$4=0,0,IF(AND(AM252=35,M252+N252&lt;2),0,IF(T252&gt;K252,0,IF('Proposed Lighting'!AU252=1,0,IF(AJ252=0,0,IF(AND('Proposed Lighting'!AU252=3,AM252=0.5),0,IF(AND(AD252=75,AP252=0,AV252=0),0,IF(AP252&gt;0.01,AP252*T252,IF(AND(F252&gt;1,W252&lt;0.01),0,IF(AND(F252&gt;1,AO252=0),0,IF(AND('Proposed Lighting'!BC252=22,AV252=0),0,IF(AND(AM252&gt;0,AS252&gt;0,BI252&lt;2),0,IF(AND(AS252&gt;0.01,BK252=0),0,IF(AND(AO252=TRUE,AV252=1,F252=3),MIN(AJ252*0.08,L252),IF(AP252&gt;0.01,AP252*T252,IF(AND(AO252=TRUE,AV252=1,F252=2),MIN(AJ252*0.1,L252)))))))))))))))))),2),"")</f>
        <v/>
      </c>
      <c r="AR252" s="1250">
        <f>IF(Q252=0,0,IF('Proposed Lighting'!$X$4=0,0,IF(AND(AM252&gt;0.01,AQ252&gt;0.01),0,IF('Proposed Lighting'!AU252=1,"Missing Interior or Exterior Selection",IF('Proposed Lighting'!CF252=1,"Selection does not match",IF(K252&gt;'Proposed Lighting'!AA252,"Quantity controlled does not match proposed lighting quantity",IF(T252&gt;K252,"Quantity of sensors exceeds proposed lighting quantity",IF(AND(F252&gt;1,'Proposed Lighting'!AU252&lt;&gt;F252),"Selection does not match",IF(AND(AD252&gt;AA252,AA252&gt;0),"Does not meet minimum connected load",IF(AND(O252&gt;0,AS252&gt;0,BK252&gt;0,'Proposed Lighting'!CH252=0),"Select Control Strategies",IF(AND(AC252&gt;0.1,AJ252=0,AQ252=0),"Does not meet incentive criteria",0)))))))))))</f>
        <v>0</v>
      </c>
      <c r="AS252" s="1224">
        <f>IF('Proposed Lighting'!CH252=100,0,IF(ISNUMBER(SEARCH("multiple",Q252)),1,0))</f>
        <v>0</v>
      </c>
      <c r="AT252" s="451">
        <f t="shared" si="47"/>
        <v>0</v>
      </c>
      <c r="AU252" s="451">
        <f t="shared" si="48"/>
        <v>0</v>
      </c>
      <c r="AV252" s="1222">
        <f>IF(ISNUMBER(SEARCH("Networked",'Proposed Lighting'!T252)),0,IF(ISNUMBER(SEARCH("Strategies",'Proposed Lighting'!T252)),0,IF(ISNUMBER(SEARCH("Removal",'Proposed Lighting'!T252)),0,IF(ISNUMBER(SEARCH("non-standard",Q252)),1,0))))</f>
        <v>0</v>
      </c>
      <c r="AW252" s="451">
        <f t="shared" si="51"/>
        <v>0</v>
      </c>
      <c r="AX252" s="451"/>
      <c r="AY252" s="451"/>
      <c r="AZ252" s="451"/>
      <c r="BA252" s="451"/>
      <c r="BB252" s="451"/>
      <c r="BC252" s="1215"/>
      <c r="BD252" s="1215"/>
      <c r="BE252" s="1215"/>
      <c r="BF252" s="1215"/>
      <c r="BG252" s="1215"/>
      <c r="BH252" s="1215"/>
      <c r="BI252">
        <f>IF(AND(AS252=1,BC252="No",BD252="Yes",BE252="Yes",BF252="No",BH252="No"),0,IF(AND('Proposed Lighting'!AU252=2,AS252=1,BC252="Yes",BD252="Yes"),2,IF(AND('Proposed Lighting'!AU252=2,AS252=1,BC252="Yes",BE252="Yes"),2,IF(AND('Proposed Lighting'!AU252=2,AS252=1,BC252="Yes",BF252="Yes"),2,IF(AND('Proposed Lighting'!AU252=2,AS252=1,BC252="Yes",BH252="Yes"),2,IF(AND('Proposed Lighting'!AU252=2,AS252=1,BD252="Yes",BF252="Yes"),2,IF(AND('Proposed Lighting'!AU252=2,AS252=1,BD252="Yes",BH252="Yes"),2,IF(AND('Proposed Lighting'!AU252=3,AS252=1,BC252="Yes",BE252="Yes"),2,IF(AND('Proposed Lighting'!AU252=3,AS252=1,BC252="Yes",BF252="Yes"),2,0)))))))))</f>
        <v>0</v>
      </c>
      <c r="BJ252" s="1025">
        <f t="shared" si="49"/>
        <v>0</v>
      </c>
      <c r="BK252">
        <f>IF(AND('Proposed Lighting'!BC252=22,'Lighting Controls'!N252=1),0,IF(ISNUMBER(SEARCH("LED",G252)),1,0))</f>
        <v>0</v>
      </c>
    </row>
    <row r="253" spans="1:63" ht="34.5" customHeight="1">
      <c r="A253" s="917">
        <v>245</v>
      </c>
      <c r="B253" s="1828" t="str">
        <f>IF('Proposed Lighting'!B253="","",'Proposed Lighting'!B253)</f>
        <v/>
      </c>
      <c r="C253" s="1828"/>
      <c r="D253" s="1828"/>
      <c r="E253" s="1245">
        <f>'Proposed Lighting'!AA253</f>
        <v>0</v>
      </c>
      <c r="F253" s="1245">
        <f t="shared" si="42"/>
        <v>0</v>
      </c>
      <c r="G253" s="1830" t="str">
        <f>IF('Proposed Lighting'!T253="","",IF(ISNUMBER(SEARCH("Networked",'Proposed Lighting'!T253)),0,IF(ISNUMBER(SEARCH("Strategies",'Proposed Lighting'!T253)),0,IF(ISNUMBER(SEARCH("Removal",'Proposed Lighting'!T253)),0,'Proposed Lighting'!T253))))</f>
        <v/>
      </c>
      <c r="H253" s="1830"/>
      <c r="I253" s="1830"/>
      <c r="J253" s="1830"/>
      <c r="K253" s="1215"/>
      <c r="L253" s="1246">
        <f t="shared" si="43"/>
        <v>0</v>
      </c>
      <c r="M253" s="1224">
        <f t="shared" si="44"/>
        <v>0</v>
      </c>
      <c r="N253" s="1224">
        <f t="shared" si="45"/>
        <v>0</v>
      </c>
      <c r="O253" s="1825" t="str">
        <f>IF(G253=0,0,IF(ISNA('Proposed Lighting'!AT253),0,'Proposed Lighting'!AT253))</f>
        <v/>
      </c>
      <c r="P253" s="1825"/>
      <c r="Q253" s="1247"/>
      <c r="R253" s="1247"/>
      <c r="S253" s="1247"/>
      <c r="T253" s="1211"/>
      <c r="U253" s="1235">
        <f>IF(K253&gt;0.01,'Proposed Lighting'!CU253,0)</f>
        <v>0</v>
      </c>
      <c r="V253" s="1248">
        <f>IF('Proposed Lighting'!CF253=1,0,IF('Proposed Lighting'!AU253=2,0,IF(AND('Proposed Lighting'!AU253=3,'Proposed Lighting'!CF253=0),1,0)))</f>
        <v>0</v>
      </c>
      <c r="W253" s="1836"/>
      <c r="X253" s="1836"/>
      <c r="Y253" s="1836"/>
      <c r="Z253" s="1230" t="str">
        <f t="shared" si="39"/>
        <v/>
      </c>
      <c r="AA253" s="1230">
        <f t="shared" si="40"/>
        <v>0</v>
      </c>
      <c r="AB253" s="1230">
        <f>IF(Q253=0,0,IF(T253=0,0,IF(AA253=0,0,IF(AND(F253=3,V253=0),0,IF(T253=0,0,IF(K253&gt;'Proposed Lighting'!AA253,0,IF('Proposed Lighting'!EJ253&gt;0.01,(K253*O253)*'Proposed Lighting'!EJ253/1000,(K253*O253)*U253/1000)))))))</f>
        <v>0</v>
      </c>
      <c r="AC253" s="1230" t="str">
        <f t="shared" si="46"/>
        <v/>
      </c>
      <c r="AD253" s="1230">
        <f t="shared" si="41"/>
        <v>0</v>
      </c>
      <c r="AE253" s="1230">
        <f>IF(T253=0,0,IF(K253&gt;'Proposed Lighting'!AA253,0,IF(T253&gt;K253,0,IF(AND(AD253&gt;AA253,AA253&gt;0),0,IF(AND(F253&gt;1,W253&lt;0.01),0,IF('Proposed Lighting'!AU253&gt;'Lighting Controls'!F253,0,IF('Proposed Lighting'!AU253&lt;'Lighting Controls'!F253,0,IF(U253=0,0,Summary!AC556))))))))</f>
        <v>0</v>
      </c>
      <c r="AF253" s="1230">
        <f>IF(T253=0,0,IF(AE253=0,0,IF(K253&gt;'Proposed Lighting'!AA253,0,IF(AND(AD253&gt;AA253,AA253&gt;0),0,IF(U253=0,0,Summary!AD556)))))</f>
        <v>0</v>
      </c>
      <c r="AG253" s="1834">
        <f>IF('Proposed Lighting'!AU253=1,0,IF('Proposed Lighting'!CF253=1,0,T253*W253))</f>
        <v>0</v>
      </c>
      <c r="AH253" s="1834"/>
      <c r="AI253" s="1834"/>
      <c r="AJ253" s="1835">
        <f>IF(T253&lt;1,0,IF(K253&gt;'Proposed Lighting'!AA253,0,IF('Proposed Lighting'!CF253=1,0,IF('Proposed Lighting'!AU253=1,0,IF(T253&gt;K253,0,IF(AND(AD253&gt;AA253,AA253&gt;0),0,IF(AND(F253=2,'Proposed Lighting'!AU253=3),0,IF(AND(F253=3,'Proposed Lighting'!AU253=2),0,IF('Proposed Lighting'!CH253=100,0,IF(AND(F253&lt;3,V253=1,AM253=0),0,IF(AND(F253&gt;1,AF253&lt;1,AN253&lt;1),0,IF(AND(F253&gt;1,AE253&lt;0.69,AF253&lt;1,AN253&lt;1),0,IF(ISERROR(AB253-AC253),"",AB253-AC253)))))))))))))</f>
        <v>0</v>
      </c>
      <c r="AK253" s="1835"/>
      <c r="AL253" s="1835"/>
      <c r="AM253" s="1216">
        <f>IF(Q253=0,0,IF(T253=0,0,IF(T253&gt;K253,0,IF(AND(AS253&gt;0.01,BK253=0),0,IF(AND('Proposed Lighting'!DG253=0,'Lighting Controls'!Z253=0.35),0,IF(AND(T253&lt;=K253,AA253&gt;=AD253,'Proposed Lighting'!AU253=2),VLOOKUP(Q253,$AY$9:$AZ$15,2,FALSE),IF(AND(T253&lt;=K253,AA253&gt;=AD253,'Proposed Lighting'!AU253=3),VLOOKUP(Q253,$AY$17:$AZ$23,2,FALSE))))))))</f>
        <v>0</v>
      </c>
      <c r="AN253" s="1248">
        <f>IF(T253=0,0,IF(K253&gt;'Proposed Lighting'!AA253,0,IF(AE253=0,0,IF(AND(AD253&gt;AA253,AA253&gt;0),0,IF(U253=0,0,Summary!AE556)))))</f>
        <v>0</v>
      </c>
      <c r="AO253" s="1248">
        <f t="shared" si="50"/>
        <v>0</v>
      </c>
      <c r="AP253" s="1249">
        <f>IF('Proposed Lighting'!AU253=1,0,IF(K253=0,0,IF(T253&gt;K253,0,IF(G253=0,0,IF(K253&gt;'Proposed Lighting'!AA253,0,IF(AND(AD253&gt;AA253,AA253&gt;0),0,IF(AND('Proposed Lighting'!AU253=3,AM253=0.5),0,IF(AND(AM253&gt;0,AS253&gt;0,BI253&lt;2),0,IF('Proposed Lighting'!CH253=100,0,IF(AV253=1,0,IF(AND(AM253=35,M253+N253&lt;2),0,AM253)))))))))))</f>
        <v>0</v>
      </c>
      <c r="AQ253" s="1249" t="str">
        <f>IFERROR(ROUND(IF(Q253="","",IF('Proposed Lighting'!$X$4=0,0,IF(AND(AM253=35,M253+N253&lt;2),0,IF(T253&gt;K253,0,IF('Proposed Lighting'!AU253=1,0,IF(AJ253=0,0,IF(AND('Proposed Lighting'!AU253=3,AM253=0.5),0,IF(AND(AD253=75,AP253=0,AV253=0),0,IF(AP253&gt;0.01,AP253*T253,IF(AND(F253&gt;1,W253&lt;0.01),0,IF(AND(F253&gt;1,AO253=0),0,IF(AND('Proposed Lighting'!BC253=22,AV253=0),0,IF(AND(AM253&gt;0,AS253&gt;0,BI253&lt;2),0,IF(AND(AS253&gt;0.01,BK253=0),0,IF(AND(AO253=TRUE,AV253=1,F253=3),MIN(AJ253*0.08,L253),IF(AP253&gt;0.01,AP253*T253,IF(AND(AO253=TRUE,AV253=1,F253=2),MIN(AJ253*0.1,L253)))))))))))))))))),2),"")</f>
        <v/>
      </c>
      <c r="AR253" s="1250">
        <f>IF(Q253=0,0,IF('Proposed Lighting'!$X$4=0,0,IF(AND(AM253&gt;0.01,AQ253&gt;0.01),0,IF('Proposed Lighting'!AU253=1,"Missing Interior or Exterior Selection",IF('Proposed Lighting'!CF253=1,"Selection does not match",IF(K253&gt;'Proposed Lighting'!AA253,"Quantity controlled does not match proposed lighting quantity",IF(T253&gt;K253,"Quantity of sensors exceeds proposed lighting quantity",IF(AND(F253&gt;1,'Proposed Lighting'!AU253&lt;&gt;F253),"Selection does not match",IF(AND(AD253&gt;AA253,AA253&gt;0),"Does not meet minimum connected load",IF(AND(O253&gt;0,AS253&gt;0,BK253&gt;0,'Proposed Lighting'!CH253=0),"Select Control Strategies",IF(AND(AC253&gt;0.1,AJ253=0,AQ253=0),"Does not meet incentive criteria",0)))))))))))</f>
        <v>0</v>
      </c>
      <c r="AS253" s="1224">
        <f>IF('Proposed Lighting'!CH253=100,0,IF(ISNUMBER(SEARCH("multiple",Q253)),1,0))</f>
        <v>0</v>
      </c>
      <c r="AT253" s="451">
        <f t="shared" si="47"/>
        <v>0</v>
      </c>
      <c r="AU253" s="451">
        <f t="shared" si="48"/>
        <v>0</v>
      </c>
      <c r="AV253" s="1222">
        <f>IF(ISNUMBER(SEARCH("Networked",'Proposed Lighting'!T253)),0,IF(ISNUMBER(SEARCH("Strategies",'Proposed Lighting'!T253)),0,IF(ISNUMBER(SEARCH("Removal",'Proposed Lighting'!T253)),0,IF(ISNUMBER(SEARCH("non-standard",Q253)),1,0))))</f>
        <v>0</v>
      </c>
      <c r="AW253" s="451">
        <f t="shared" si="51"/>
        <v>0</v>
      </c>
      <c r="AX253" s="451"/>
      <c r="AY253" s="451"/>
      <c r="AZ253" s="451"/>
      <c r="BA253" s="451"/>
      <c r="BB253" s="451"/>
      <c r="BC253" s="1215"/>
      <c r="BD253" s="1215"/>
      <c r="BE253" s="1215"/>
      <c r="BF253" s="1215"/>
      <c r="BG253" s="1215"/>
      <c r="BH253" s="1215"/>
      <c r="BI253">
        <f>IF(AND(AS253=1,BC253="No",BD253="Yes",BE253="Yes",BF253="No",BH253="No"),0,IF(AND('Proposed Lighting'!AU253=2,AS253=1,BC253="Yes",BD253="Yes"),2,IF(AND('Proposed Lighting'!AU253=2,AS253=1,BC253="Yes",BE253="Yes"),2,IF(AND('Proposed Lighting'!AU253=2,AS253=1,BC253="Yes",BF253="Yes"),2,IF(AND('Proposed Lighting'!AU253=2,AS253=1,BC253="Yes",BH253="Yes"),2,IF(AND('Proposed Lighting'!AU253=2,AS253=1,BD253="Yes",BF253="Yes"),2,IF(AND('Proposed Lighting'!AU253=2,AS253=1,BD253="Yes",BH253="Yes"),2,IF(AND('Proposed Lighting'!AU253=3,AS253=1,BC253="Yes",BE253="Yes"),2,IF(AND('Proposed Lighting'!AU253=3,AS253=1,BC253="Yes",BF253="Yes"),2,0)))))))))</f>
        <v>0</v>
      </c>
      <c r="BJ253" s="1025">
        <f t="shared" si="49"/>
        <v>0</v>
      </c>
      <c r="BK253">
        <f>IF(AND('Proposed Lighting'!BC253=22,'Lighting Controls'!N253=1),0,IF(ISNUMBER(SEARCH("LED",G253)),1,0))</f>
        <v>0</v>
      </c>
    </row>
    <row r="254" spans="1:63" ht="34.5" customHeight="1">
      <c r="A254" s="917">
        <v>246</v>
      </c>
      <c r="B254" s="1828" t="str">
        <f>IF('Proposed Lighting'!B254="","",'Proposed Lighting'!B254)</f>
        <v/>
      </c>
      <c r="C254" s="1828"/>
      <c r="D254" s="1828"/>
      <c r="E254" s="1245">
        <f>'Proposed Lighting'!AA254</f>
        <v>0</v>
      </c>
      <c r="F254" s="1245">
        <f t="shared" si="42"/>
        <v>0</v>
      </c>
      <c r="G254" s="1830" t="str">
        <f>IF('Proposed Lighting'!T254="","",IF(ISNUMBER(SEARCH("Networked",'Proposed Lighting'!T254)),0,IF(ISNUMBER(SEARCH("Strategies",'Proposed Lighting'!T254)),0,IF(ISNUMBER(SEARCH("Removal",'Proposed Lighting'!T254)),0,'Proposed Lighting'!T254))))</f>
        <v/>
      </c>
      <c r="H254" s="1830"/>
      <c r="I254" s="1830"/>
      <c r="J254" s="1830"/>
      <c r="K254" s="1215"/>
      <c r="L254" s="1246">
        <f t="shared" si="43"/>
        <v>0</v>
      </c>
      <c r="M254" s="1224">
        <f t="shared" si="44"/>
        <v>0</v>
      </c>
      <c r="N254" s="1224">
        <f t="shared" si="45"/>
        <v>0</v>
      </c>
      <c r="O254" s="1825" t="str">
        <f>IF(G254=0,0,IF(ISNA('Proposed Lighting'!AT254),0,'Proposed Lighting'!AT254))</f>
        <v/>
      </c>
      <c r="P254" s="1825"/>
      <c r="Q254" s="1247"/>
      <c r="R254" s="1247"/>
      <c r="S254" s="1247"/>
      <c r="T254" s="1211"/>
      <c r="U254" s="1235">
        <f>IF(K254&gt;0.01,'Proposed Lighting'!CU254,0)</f>
        <v>0</v>
      </c>
      <c r="V254" s="1248">
        <f>IF('Proposed Lighting'!CF254=1,0,IF('Proposed Lighting'!AU254=2,0,IF(AND('Proposed Lighting'!AU254=3,'Proposed Lighting'!CF254=0),1,0)))</f>
        <v>0</v>
      </c>
      <c r="W254" s="1836"/>
      <c r="X254" s="1836"/>
      <c r="Y254" s="1836"/>
      <c r="Z254" s="1230" t="str">
        <f t="shared" si="39"/>
        <v/>
      </c>
      <c r="AA254" s="1230">
        <f t="shared" si="40"/>
        <v>0</v>
      </c>
      <c r="AB254" s="1230">
        <f>IF(Q254=0,0,IF(T254=0,0,IF(AA254=0,0,IF(AND(F254=3,V254=0),0,IF(T254=0,0,IF(K254&gt;'Proposed Lighting'!AA254,0,IF('Proposed Lighting'!EJ254&gt;0.01,(K254*O254)*'Proposed Lighting'!EJ254/1000,(K254*O254)*U254/1000)))))))</f>
        <v>0</v>
      </c>
      <c r="AC254" s="1230" t="str">
        <f t="shared" si="46"/>
        <v/>
      </c>
      <c r="AD254" s="1230">
        <f t="shared" si="41"/>
        <v>0</v>
      </c>
      <c r="AE254" s="1230">
        <f>IF(T254=0,0,IF(K254&gt;'Proposed Lighting'!AA254,0,IF(T254&gt;K254,0,IF(AND(AD254&gt;AA254,AA254&gt;0),0,IF(AND(F254&gt;1,W254&lt;0.01),0,IF('Proposed Lighting'!AU254&gt;'Lighting Controls'!F254,0,IF('Proposed Lighting'!AU254&lt;'Lighting Controls'!F254,0,IF(U254=0,0,Summary!AC557))))))))</f>
        <v>0</v>
      </c>
      <c r="AF254" s="1230">
        <f>IF(T254=0,0,IF(AE254=0,0,IF(K254&gt;'Proposed Lighting'!AA254,0,IF(AND(AD254&gt;AA254,AA254&gt;0),0,IF(U254=0,0,Summary!AD557)))))</f>
        <v>0</v>
      </c>
      <c r="AG254" s="1834">
        <f>IF('Proposed Lighting'!AU254=1,0,IF('Proposed Lighting'!CF254=1,0,T254*W254))</f>
        <v>0</v>
      </c>
      <c r="AH254" s="1834"/>
      <c r="AI254" s="1834"/>
      <c r="AJ254" s="1835">
        <f>IF(T254&lt;1,0,IF(K254&gt;'Proposed Lighting'!AA254,0,IF('Proposed Lighting'!CF254=1,0,IF('Proposed Lighting'!AU254=1,0,IF(T254&gt;K254,0,IF(AND(AD254&gt;AA254,AA254&gt;0),0,IF(AND(F254=2,'Proposed Lighting'!AU254=3),0,IF(AND(F254=3,'Proposed Lighting'!AU254=2),0,IF('Proposed Lighting'!CH254=100,0,IF(AND(F254&lt;3,V254=1,AM254=0),0,IF(AND(F254&gt;1,AF254&lt;1,AN254&lt;1),0,IF(AND(F254&gt;1,AE254&lt;0.69,AF254&lt;1,AN254&lt;1),0,IF(ISERROR(AB254-AC254),"",AB254-AC254)))))))))))))</f>
        <v>0</v>
      </c>
      <c r="AK254" s="1835"/>
      <c r="AL254" s="1835"/>
      <c r="AM254" s="1216">
        <f>IF(Q254=0,0,IF(T254=0,0,IF(T254&gt;K254,0,IF(AND(AS254&gt;0.01,BK254=0),0,IF(AND('Proposed Lighting'!DG254=0,'Lighting Controls'!Z254=0.35),0,IF(AND(T254&lt;=K254,AA254&gt;=AD254,'Proposed Lighting'!AU254=2),VLOOKUP(Q254,$AY$9:$AZ$15,2,FALSE),IF(AND(T254&lt;=K254,AA254&gt;=AD254,'Proposed Lighting'!AU254=3),VLOOKUP(Q254,$AY$17:$AZ$23,2,FALSE))))))))</f>
        <v>0</v>
      </c>
      <c r="AN254" s="1248">
        <f>IF(T254=0,0,IF(K254&gt;'Proposed Lighting'!AA254,0,IF(AE254=0,0,IF(AND(AD254&gt;AA254,AA254&gt;0),0,IF(U254=0,0,Summary!AE557)))))</f>
        <v>0</v>
      </c>
      <c r="AO254" s="1248">
        <f t="shared" si="50"/>
        <v>0</v>
      </c>
      <c r="AP254" s="1249">
        <f>IF('Proposed Lighting'!AU254=1,0,IF(K254=0,0,IF(T254&gt;K254,0,IF(G254=0,0,IF(K254&gt;'Proposed Lighting'!AA254,0,IF(AND(AD254&gt;AA254,AA254&gt;0),0,IF(AND('Proposed Lighting'!AU254=3,AM254=0.5),0,IF(AND(AM254&gt;0,AS254&gt;0,BI254&lt;2),0,IF('Proposed Lighting'!CH254=100,0,IF(AV254=1,0,IF(AND(AM254=35,M254+N254&lt;2),0,AM254)))))))))))</f>
        <v>0</v>
      </c>
      <c r="AQ254" s="1249" t="str">
        <f>IFERROR(ROUND(IF(Q254="","",IF('Proposed Lighting'!$X$4=0,0,IF(AND(AM254=35,M254+N254&lt;2),0,IF(T254&gt;K254,0,IF('Proposed Lighting'!AU254=1,0,IF(AJ254=0,0,IF(AND('Proposed Lighting'!AU254=3,AM254=0.5),0,IF(AND(AD254=75,AP254=0,AV254=0),0,IF(AP254&gt;0.01,AP254*T254,IF(AND(F254&gt;1,W254&lt;0.01),0,IF(AND(F254&gt;1,AO254=0),0,IF(AND('Proposed Lighting'!BC254=22,AV254=0),0,IF(AND(AM254&gt;0,AS254&gt;0,BI254&lt;2),0,IF(AND(AS254&gt;0.01,BK254=0),0,IF(AND(AO254=TRUE,AV254=1,F254=3),MIN(AJ254*0.08,L254),IF(AP254&gt;0.01,AP254*T254,IF(AND(AO254=TRUE,AV254=1,F254=2),MIN(AJ254*0.1,L254)))))))))))))))))),2),"")</f>
        <v/>
      </c>
      <c r="AR254" s="1250">
        <f>IF(Q254=0,0,IF('Proposed Lighting'!$X$4=0,0,IF(AND(AM254&gt;0.01,AQ254&gt;0.01),0,IF('Proposed Lighting'!AU254=1,"Missing Interior or Exterior Selection",IF('Proposed Lighting'!CF254=1,"Selection does not match",IF(K254&gt;'Proposed Lighting'!AA254,"Quantity controlled does not match proposed lighting quantity",IF(T254&gt;K254,"Quantity of sensors exceeds proposed lighting quantity",IF(AND(F254&gt;1,'Proposed Lighting'!AU254&lt;&gt;F254),"Selection does not match",IF(AND(AD254&gt;AA254,AA254&gt;0),"Does not meet minimum connected load",IF(AND(O254&gt;0,AS254&gt;0,BK254&gt;0,'Proposed Lighting'!CH254=0),"Select Control Strategies",IF(AND(AC254&gt;0.1,AJ254=0,AQ254=0),"Does not meet incentive criteria",0)))))))))))</f>
        <v>0</v>
      </c>
      <c r="AS254" s="1224">
        <f>IF('Proposed Lighting'!CH254=100,0,IF(ISNUMBER(SEARCH("multiple",Q254)),1,0))</f>
        <v>0</v>
      </c>
      <c r="AT254" s="451">
        <f t="shared" si="47"/>
        <v>0</v>
      </c>
      <c r="AU254" s="451">
        <f t="shared" si="48"/>
        <v>0</v>
      </c>
      <c r="AV254" s="1222">
        <f>IF(ISNUMBER(SEARCH("Networked",'Proposed Lighting'!T254)),0,IF(ISNUMBER(SEARCH("Strategies",'Proposed Lighting'!T254)),0,IF(ISNUMBER(SEARCH("Removal",'Proposed Lighting'!T254)),0,IF(ISNUMBER(SEARCH("non-standard",Q254)),1,0))))</f>
        <v>0</v>
      </c>
      <c r="AW254" s="451">
        <f t="shared" si="51"/>
        <v>0</v>
      </c>
      <c r="AX254" s="451"/>
      <c r="AY254" s="451"/>
      <c r="AZ254" s="451"/>
      <c r="BA254" s="451"/>
      <c r="BB254" s="451"/>
      <c r="BC254" s="1215"/>
      <c r="BD254" s="1215"/>
      <c r="BE254" s="1215"/>
      <c r="BF254" s="1215"/>
      <c r="BG254" s="1215"/>
      <c r="BH254" s="1215"/>
      <c r="BI254">
        <f>IF(AND(AS254=1,BC254="No",BD254="Yes",BE254="Yes",BF254="No",BH254="No"),0,IF(AND('Proposed Lighting'!AU254=2,AS254=1,BC254="Yes",BD254="Yes"),2,IF(AND('Proposed Lighting'!AU254=2,AS254=1,BC254="Yes",BE254="Yes"),2,IF(AND('Proposed Lighting'!AU254=2,AS254=1,BC254="Yes",BF254="Yes"),2,IF(AND('Proposed Lighting'!AU254=2,AS254=1,BC254="Yes",BH254="Yes"),2,IF(AND('Proposed Lighting'!AU254=2,AS254=1,BD254="Yes",BF254="Yes"),2,IF(AND('Proposed Lighting'!AU254=2,AS254=1,BD254="Yes",BH254="Yes"),2,IF(AND('Proposed Lighting'!AU254=3,AS254=1,BC254="Yes",BE254="Yes"),2,IF(AND('Proposed Lighting'!AU254=3,AS254=1,BC254="Yes",BF254="Yes"),2,0)))))))))</f>
        <v>0</v>
      </c>
      <c r="BJ254" s="1025">
        <f t="shared" si="49"/>
        <v>0</v>
      </c>
      <c r="BK254">
        <f>IF(AND('Proposed Lighting'!BC254=22,'Lighting Controls'!N254=1),0,IF(ISNUMBER(SEARCH("LED",G254)),1,0))</f>
        <v>0</v>
      </c>
    </row>
    <row r="255" spans="1:63" ht="34.5" customHeight="1">
      <c r="A255" s="917">
        <v>247</v>
      </c>
      <c r="B255" s="1828" t="str">
        <f>IF('Proposed Lighting'!B255="","",'Proposed Lighting'!B255)</f>
        <v/>
      </c>
      <c r="C255" s="1828"/>
      <c r="D255" s="1828"/>
      <c r="E255" s="1245">
        <f>'Proposed Lighting'!AA255</f>
        <v>0</v>
      </c>
      <c r="F255" s="1245">
        <f t="shared" si="42"/>
        <v>0</v>
      </c>
      <c r="G255" s="1830" t="str">
        <f>IF('Proposed Lighting'!T255="","",IF(ISNUMBER(SEARCH("Networked",'Proposed Lighting'!T255)),0,IF(ISNUMBER(SEARCH("Strategies",'Proposed Lighting'!T255)),0,IF(ISNUMBER(SEARCH("Removal",'Proposed Lighting'!T255)),0,'Proposed Lighting'!T255))))</f>
        <v/>
      </c>
      <c r="H255" s="1830"/>
      <c r="I255" s="1830"/>
      <c r="J255" s="1830"/>
      <c r="K255" s="1215"/>
      <c r="L255" s="1246">
        <f t="shared" si="43"/>
        <v>0</v>
      </c>
      <c r="M255" s="1224">
        <f t="shared" si="44"/>
        <v>0</v>
      </c>
      <c r="N255" s="1224">
        <f t="shared" si="45"/>
        <v>0</v>
      </c>
      <c r="O255" s="1825" t="str">
        <f>IF(G255=0,0,IF(ISNA('Proposed Lighting'!AT255),0,'Proposed Lighting'!AT255))</f>
        <v/>
      </c>
      <c r="P255" s="1825"/>
      <c r="Q255" s="1247"/>
      <c r="R255" s="1247"/>
      <c r="S255" s="1247"/>
      <c r="T255" s="1211"/>
      <c r="U255" s="1235">
        <f>IF(K255&gt;0.01,'Proposed Lighting'!CU255,0)</f>
        <v>0</v>
      </c>
      <c r="V255" s="1248">
        <f>IF('Proposed Lighting'!CF255=1,0,IF('Proposed Lighting'!AU255=2,0,IF(AND('Proposed Lighting'!AU255=3,'Proposed Lighting'!CF255=0),1,0)))</f>
        <v>0</v>
      </c>
      <c r="W255" s="1836"/>
      <c r="X255" s="1836"/>
      <c r="Y255" s="1836"/>
      <c r="Z255" s="1230" t="str">
        <f t="shared" si="39"/>
        <v/>
      </c>
      <c r="AA255" s="1230">
        <f t="shared" si="40"/>
        <v>0</v>
      </c>
      <c r="AB255" s="1230">
        <f>IF(Q255=0,0,IF(T255=0,0,IF(AA255=0,0,IF(AND(F255=3,V255=0),0,IF(T255=0,0,IF(K255&gt;'Proposed Lighting'!AA255,0,IF('Proposed Lighting'!EJ255&gt;0.01,(K255*O255)*'Proposed Lighting'!EJ255/1000,(K255*O255)*U255/1000)))))))</f>
        <v>0</v>
      </c>
      <c r="AC255" s="1230" t="str">
        <f t="shared" si="46"/>
        <v/>
      </c>
      <c r="AD255" s="1230">
        <f t="shared" si="41"/>
        <v>0</v>
      </c>
      <c r="AE255" s="1230">
        <f>IF(T255=0,0,IF(K255&gt;'Proposed Lighting'!AA255,0,IF(T255&gt;K255,0,IF(AND(AD255&gt;AA255,AA255&gt;0),0,IF(AND(F255&gt;1,W255&lt;0.01),0,IF('Proposed Lighting'!AU255&gt;'Lighting Controls'!F255,0,IF('Proposed Lighting'!AU255&lt;'Lighting Controls'!F255,0,IF(U255=0,0,Summary!AC558))))))))</f>
        <v>0</v>
      </c>
      <c r="AF255" s="1230">
        <f>IF(T255=0,0,IF(AE255=0,0,IF(K255&gt;'Proposed Lighting'!AA255,0,IF(AND(AD255&gt;AA255,AA255&gt;0),0,IF(U255=0,0,Summary!AD558)))))</f>
        <v>0</v>
      </c>
      <c r="AG255" s="1834">
        <f>IF('Proposed Lighting'!AU255=1,0,IF('Proposed Lighting'!CF255=1,0,T255*W255))</f>
        <v>0</v>
      </c>
      <c r="AH255" s="1834"/>
      <c r="AI255" s="1834"/>
      <c r="AJ255" s="1835">
        <f>IF(T255&lt;1,0,IF(K255&gt;'Proposed Lighting'!AA255,0,IF('Proposed Lighting'!CF255=1,0,IF('Proposed Lighting'!AU255=1,0,IF(T255&gt;K255,0,IF(AND(AD255&gt;AA255,AA255&gt;0),0,IF(AND(F255=2,'Proposed Lighting'!AU255=3),0,IF(AND(F255=3,'Proposed Lighting'!AU255=2),0,IF('Proposed Lighting'!CH255=100,0,IF(AND(F255&lt;3,V255=1,AM255=0),0,IF(AND(F255&gt;1,AF255&lt;1,AN255&lt;1),0,IF(AND(F255&gt;1,AE255&lt;0.69,AF255&lt;1,AN255&lt;1),0,IF(ISERROR(AB255-AC255),"",AB255-AC255)))))))))))))</f>
        <v>0</v>
      </c>
      <c r="AK255" s="1835"/>
      <c r="AL255" s="1835"/>
      <c r="AM255" s="1216">
        <f>IF(Q255=0,0,IF(T255=0,0,IF(T255&gt;K255,0,IF(AND(AS255&gt;0.01,BK255=0),0,IF(AND('Proposed Lighting'!DG255=0,'Lighting Controls'!Z255=0.35),0,IF(AND(T255&lt;=K255,AA255&gt;=AD255,'Proposed Lighting'!AU255=2),VLOOKUP(Q255,$AY$9:$AZ$15,2,FALSE),IF(AND(T255&lt;=K255,AA255&gt;=AD255,'Proposed Lighting'!AU255=3),VLOOKUP(Q255,$AY$17:$AZ$23,2,FALSE))))))))</f>
        <v>0</v>
      </c>
      <c r="AN255" s="1248">
        <f>IF(T255=0,0,IF(K255&gt;'Proposed Lighting'!AA255,0,IF(AE255=0,0,IF(AND(AD255&gt;AA255,AA255&gt;0),0,IF(U255=0,0,Summary!AE558)))))</f>
        <v>0</v>
      </c>
      <c r="AO255" s="1248">
        <f t="shared" si="50"/>
        <v>0</v>
      </c>
      <c r="AP255" s="1249">
        <f>IF('Proposed Lighting'!AU255=1,0,IF(K255=0,0,IF(T255&gt;K255,0,IF(G255=0,0,IF(K255&gt;'Proposed Lighting'!AA255,0,IF(AND(AD255&gt;AA255,AA255&gt;0),0,IF(AND('Proposed Lighting'!AU255=3,AM255=0.5),0,IF(AND(AM255&gt;0,AS255&gt;0,BI255&lt;2),0,IF('Proposed Lighting'!CH255=100,0,IF(AV255=1,0,IF(AND(AM255=35,M255+N255&lt;2),0,AM255)))))))))))</f>
        <v>0</v>
      </c>
      <c r="AQ255" s="1249" t="str">
        <f>IFERROR(ROUND(IF(Q255="","",IF('Proposed Lighting'!$X$4=0,0,IF(AND(AM255=35,M255+N255&lt;2),0,IF(T255&gt;K255,0,IF('Proposed Lighting'!AU255=1,0,IF(AJ255=0,0,IF(AND('Proposed Lighting'!AU255=3,AM255=0.5),0,IF(AND(AD255=75,AP255=0,AV255=0),0,IF(AP255&gt;0.01,AP255*T255,IF(AND(F255&gt;1,W255&lt;0.01),0,IF(AND(F255&gt;1,AO255=0),0,IF(AND('Proposed Lighting'!BC255=22,AV255=0),0,IF(AND(AM255&gt;0,AS255&gt;0,BI255&lt;2),0,IF(AND(AS255&gt;0.01,BK255=0),0,IF(AND(AO255=TRUE,AV255=1,F255=3),MIN(AJ255*0.08,L255),IF(AP255&gt;0.01,AP255*T255,IF(AND(AO255=TRUE,AV255=1,F255=2),MIN(AJ255*0.1,L255)))))))))))))))))),2),"")</f>
        <v/>
      </c>
      <c r="AR255" s="1250">
        <f>IF(Q255=0,0,IF('Proposed Lighting'!$X$4=0,0,IF(AND(AM255&gt;0.01,AQ255&gt;0.01),0,IF('Proposed Lighting'!AU255=1,"Missing Interior or Exterior Selection",IF('Proposed Lighting'!CF255=1,"Selection does not match",IF(K255&gt;'Proposed Lighting'!AA255,"Quantity controlled does not match proposed lighting quantity",IF(T255&gt;K255,"Quantity of sensors exceeds proposed lighting quantity",IF(AND(F255&gt;1,'Proposed Lighting'!AU255&lt;&gt;F255),"Selection does not match",IF(AND(AD255&gt;AA255,AA255&gt;0),"Does not meet minimum connected load",IF(AND(O255&gt;0,AS255&gt;0,BK255&gt;0,'Proposed Lighting'!CH255=0),"Select Control Strategies",IF(AND(AC255&gt;0.1,AJ255=0,AQ255=0),"Does not meet incentive criteria",0)))))))))))</f>
        <v>0</v>
      </c>
      <c r="AS255" s="1224">
        <f>IF('Proposed Lighting'!CH255=100,0,IF(ISNUMBER(SEARCH("multiple",Q255)),1,0))</f>
        <v>0</v>
      </c>
      <c r="AT255" s="451">
        <f t="shared" si="47"/>
        <v>0</v>
      </c>
      <c r="AU255" s="451">
        <f t="shared" si="48"/>
        <v>0</v>
      </c>
      <c r="AV255" s="1222">
        <f>IF(ISNUMBER(SEARCH("Networked",'Proposed Lighting'!T255)),0,IF(ISNUMBER(SEARCH("Strategies",'Proposed Lighting'!T255)),0,IF(ISNUMBER(SEARCH("Removal",'Proposed Lighting'!T255)),0,IF(ISNUMBER(SEARCH("non-standard",Q255)),1,0))))</f>
        <v>0</v>
      </c>
      <c r="AW255" s="451">
        <f t="shared" si="51"/>
        <v>0</v>
      </c>
      <c r="AX255" s="451"/>
      <c r="AY255" s="451"/>
      <c r="AZ255" s="451"/>
      <c r="BA255" s="451"/>
      <c r="BB255" s="451"/>
      <c r="BC255" s="1215"/>
      <c r="BD255" s="1215"/>
      <c r="BE255" s="1215"/>
      <c r="BF255" s="1215"/>
      <c r="BG255" s="1215"/>
      <c r="BH255" s="1215"/>
      <c r="BI255">
        <f>IF(AND(AS255=1,BC255="No",BD255="Yes",BE255="Yes",BF255="No",BH255="No"),0,IF(AND('Proposed Lighting'!AU255=2,AS255=1,BC255="Yes",BD255="Yes"),2,IF(AND('Proposed Lighting'!AU255=2,AS255=1,BC255="Yes",BE255="Yes"),2,IF(AND('Proposed Lighting'!AU255=2,AS255=1,BC255="Yes",BF255="Yes"),2,IF(AND('Proposed Lighting'!AU255=2,AS255=1,BC255="Yes",BH255="Yes"),2,IF(AND('Proposed Lighting'!AU255=2,AS255=1,BD255="Yes",BF255="Yes"),2,IF(AND('Proposed Lighting'!AU255=2,AS255=1,BD255="Yes",BH255="Yes"),2,IF(AND('Proposed Lighting'!AU255=3,AS255=1,BC255="Yes",BE255="Yes"),2,IF(AND('Proposed Lighting'!AU255=3,AS255=1,BC255="Yes",BF255="Yes"),2,0)))))))))</f>
        <v>0</v>
      </c>
      <c r="BJ255" s="1025">
        <f t="shared" si="49"/>
        <v>0</v>
      </c>
      <c r="BK255">
        <f>IF(AND('Proposed Lighting'!BC255=22,'Lighting Controls'!N255=1),0,IF(ISNUMBER(SEARCH("LED",G255)),1,0))</f>
        <v>0</v>
      </c>
    </row>
    <row r="256" spans="1:63" ht="34.5" customHeight="1">
      <c r="A256" s="917">
        <v>248</v>
      </c>
      <c r="B256" s="1828" t="str">
        <f>IF('Proposed Lighting'!B256="","",'Proposed Lighting'!B256)</f>
        <v/>
      </c>
      <c r="C256" s="1828"/>
      <c r="D256" s="1828"/>
      <c r="E256" s="1245">
        <f>'Proposed Lighting'!AA256</f>
        <v>0</v>
      </c>
      <c r="F256" s="1245">
        <f t="shared" si="42"/>
        <v>0</v>
      </c>
      <c r="G256" s="1830" t="str">
        <f>IF('Proposed Lighting'!T256="","",IF(ISNUMBER(SEARCH("Networked",'Proposed Lighting'!T256)),0,IF(ISNUMBER(SEARCH("Strategies",'Proposed Lighting'!T256)),0,IF(ISNUMBER(SEARCH("Removal",'Proposed Lighting'!T256)),0,'Proposed Lighting'!T256))))</f>
        <v/>
      </c>
      <c r="H256" s="1830"/>
      <c r="I256" s="1830"/>
      <c r="J256" s="1830"/>
      <c r="K256" s="1215"/>
      <c r="L256" s="1246">
        <f t="shared" si="43"/>
        <v>0</v>
      </c>
      <c r="M256" s="1224">
        <f t="shared" si="44"/>
        <v>0</v>
      </c>
      <c r="N256" s="1224">
        <f t="shared" si="45"/>
        <v>0</v>
      </c>
      <c r="O256" s="1825" t="str">
        <f>IF(G256=0,0,IF(ISNA('Proposed Lighting'!AT256),0,'Proposed Lighting'!AT256))</f>
        <v/>
      </c>
      <c r="P256" s="1825"/>
      <c r="Q256" s="1247"/>
      <c r="R256" s="1247"/>
      <c r="S256" s="1247"/>
      <c r="T256" s="1211"/>
      <c r="U256" s="1235">
        <f>IF(K256&gt;0.01,'Proposed Lighting'!CU256,0)</f>
        <v>0</v>
      </c>
      <c r="V256" s="1248">
        <f>IF('Proposed Lighting'!CF256=1,0,IF('Proposed Lighting'!AU256=2,0,IF(AND('Proposed Lighting'!AU256=3,'Proposed Lighting'!CF256=0),1,0)))</f>
        <v>0</v>
      </c>
      <c r="W256" s="1836"/>
      <c r="X256" s="1836"/>
      <c r="Y256" s="1836"/>
      <c r="Z256" s="1230" t="str">
        <f t="shared" si="39"/>
        <v/>
      </c>
      <c r="AA256" s="1230">
        <f t="shared" si="40"/>
        <v>0</v>
      </c>
      <c r="AB256" s="1230">
        <f>IF(Q256=0,0,IF(T256=0,0,IF(AA256=0,0,IF(AND(F256=3,V256=0),0,IF(T256=0,0,IF(K256&gt;'Proposed Lighting'!AA256,0,IF('Proposed Lighting'!EJ256&gt;0.01,(K256*O256)*'Proposed Lighting'!EJ256/1000,(K256*O256)*U256/1000)))))))</f>
        <v>0</v>
      </c>
      <c r="AC256" s="1230" t="str">
        <f t="shared" si="46"/>
        <v/>
      </c>
      <c r="AD256" s="1230">
        <f t="shared" si="41"/>
        <v>0</v>
      </c>
      <c r="AE256" s="1230">
        <f>IF(T256=0,0,IF(K256&gt;'Proposed Lighting'!AA256,0,IF(T256&gt;K256,0,IF(AND(AD256&gt;AA256,AA256&gt;0),0,IF(AND(F256&gt;1,W256&lt;0.01),0,IF('Proposed Lighting'!AU256&gt;'Lighting Controls'!F256,0,IF('Proposed Lighting'!AU256&lt;'Lighting Controls'!F256,0,IF(U256=0,0,Summary!AC559))))))))</f>
        <v>0</v>
      </c>
      <c r="AF256" s="1230">
        <f>IF(T256=0,0,IF(AE256=0,0,IF(K256&gt;'Proposed Lighting'!AA256,0,IF(AND(AD256&gt;AA256,AA256&gt;0),0,IF(U256=0,0,Summary!AD559)))))</f>
        <v>0</v>
      </c>
      <c r="AG256" s="1834">
        <f>IF('Proposed Lighting'!AU256=1,0,IF('Proposed Lighting'!CF256=1,0,T256*W256))</f>
        <v>0</v>
      </c>
      <c r="AH256" s="1834"/>
      <c r="AI256" s="1834"/>
      <c r="AJ256" s="1835">
        <f>IF(T256&lt;1,0,IF(K256&gt;'Proposed Lighting'!AA256,0,IF('Proposed Lighting'!CF256=1,0,IF('Proposed Lighting'!AU256=1,0,IF(T256&gt;K256,0,IF(AND(AD256&gt;AA256,AA256&gt;0),0,IF(AND(F256=2,'Proposed Lighting'!AU256=3),0,IF(AND(F256=3,'Proposed Lighting'!AU256=2),0,IF('Proposed Lighting'!CH256=100,0,IF(AND(F256&lt;3,V256=1,AM256=0),0,IF(AND(F256&gt;1,AF256&lt;1,AN256&lt;1),0,IF(AND(F256&gt;1,AE256&lt;0.69,AF256&lt;1,AN256&lt;1),0,IF(ISERROR(AB256-AC256),"",AB256-AC256)))))))))))))</f>
        <v>0</v>
      </c>
      <c r="AK256" s="1835"/>
      <c r="AL256" s="1835"/>
      <c r="AM256" s="1216">
        <f>IF(Q256=0,0,IF(T256=0,0,IF(T256&gt;K256,0,IF(AND(AS256&gt;0.01,BK256=0),0,IF(AND('Proposed Lighting'!DG256=0,'Lighting Controls'!Z256=0.35),0,IF(AND(T256&lt;=K256,AA256&gt;=AD256,'Proposed Lighting'!AU256=2),VLOOKUP(Q256,$AY$9:$AZ$15,2,FALSE),IF(AND(T256&lt;=K256,AA256&gt;=AD256,'Proposed Lighting'!AU256=3),VLOOKUP(Q256,$AY$17:$AZ$23,2,FALSE))))))))</f>
        <v>0</v>
      </c>
      <c r="AN256" s="1248">
        <f>IF(T256=0,0,IF(K256&gt;'Proposed Lighting'!AA256,0,IF(AE256=0,0,IF(AND(AD256&gt;AA256,AA256&gt;0),0,IF(U256=0,0,Summary!AE559)))))</f>
        <v>0</v>
      </c>
      <c r="AO256" s="1248">
        <f t="shared" si="50"/>
        <v>0</v>
      </c>
      <c r="AP256" s="1249">
        <f>IF('Proposed Lighting'!AU256=1,0,IF(K256=0,0,IF(T256&gt;K256,0,IF(G256=0,0,IF(K256&gt;'Proposed Lighting'!AA256,0,IF(AND(AD256&gt;AA256,AA256&gt;0),0,IF(AND('Proposed Lighting'!AU256=3,AM256=0.5),0,IF(AND(AM256&gt;0,AS256&gt;0,BI256&lt;2),0,IF('Proposed Lighting'!CH256=100,0,IF(AV256=1,0,IF(AND(AM256=35,M256+N256&lt;2),0,AM256)))))))))))</f>
        <v>0</v>
      </c>
      <c r="AQ256" s="1249" t="str">
        <f>IFERROR(ROUND(IF(Q256="","",IF('Proposed Lighting'!$X$4=0,0,IF(AND(AM256=35,M256+N256&lt;2),0,IF(T256&gt;K256,0,IF('Proposed Lighting'!AU256=1,0,IF(AJ256=0,0,IF(AND('Proposed Lighting'!AU256=3,AM256=0.5),0,IF(AND(AD256=75,AP256=0,AV256=0),0,IF(AP256&gt;0.01,AP256*T256,IF(AND(F256&gt;1,W256&lt;0.01),0,IF(AND(F256&gt;1,AO256=0),0,IF(AND('Proposed Lighting'!BC256=22,AV256=0),0,IF(AND(AM256&gt;0,AS256&gt;0,BI256&lt;2),0,IF(AND(AS256&gt;0.01,BK256=0),0,IF(AND(AO256=TRUE,AV256=1,F256=3),MIN(AJ256*0.08,L256),IF(AP256&gt;0.01,AP256*T256,IF(AND(AO256=TRUE,AV256=1,F256=2),MIN(AJ256*0.1,L256)))))))))))))))))),2),"")</f>
        <v/>
      </c>
      <c r="AR256" s="1250">
        <f>IF(Q256=0,0,IF('Proposed Lighting'!$X$4=0,0,IF(AND(AM256&gt;0.01,AQ256&gt;0.01),0,IF('Proposed Lighting'!AU256=1,"Missing Interior or Exterior Selection",IF('Proposed Lighting'!CF256=1,"Selection does not match",IF(K256&gt;'Proposed Lighting'!AA256,"Quantity controlled does not match proposed lighting quantity",IF(T256&gt;K256,"Quantity of sensors exceeds proposed lighting quantity",IF(AND(F256&gt;1,'Proposed Lighting'!AU256&lt;&gt;F256),"Selection does not match",IF(AND(AD256&gt;AA256,AA256&gt;0),"Does not meet minimum connected load",IF(AND(O256&gt;0,AS256&gt;0,BK256&gt;0,'Proposed Lighting'!CH256=0),"Select Control Strategies",IF(AND(AC256&gt;0.1,AJ256=0,AQ256=0),"Does not meet incentive criteria",0)))))))))))</f>
        <v>0</v>
      </c>
      <c r="AS256" s="1224">
        <f>IF('Proposed Lighting'!CH256=100,0,IF(ISNUMBER(SEARCH("multiple",Q256)),1,0))</f>
        <v>0</v>
      </c>
      <c r="AT256" s="451">
        <f t="shared" si="47"/>
        <v>0</v>
      </c>
      <c r="AU256" s="451">
        <f t="shared" si="48"/>
        <v>0</v>
      </c>
      <c r="AV256" s="1222">
        <f>IF(ISNUMBER(SEARCH("Networked",'Proposed Lighting'!T256)),0,IF(ISNUMBER(SEARCH("Strategies",'Proposed Lighting'!T256)),0,IF(ISNUMBER(SEARCH("Removal",'Proposed Lighting'!T256)),0,IF(ISNUMBER(SEARCH("non-standard",Q256)),1,0))))</f>
        <v>0</v>
      </c>
      <c r="AW256" s="451">
        <f t="shared" si="51"/>
        <v>0</v>
      </c>
      <c r="AX256" s="451"/>
      <c r="AY256" s="451"/>
      <c r="AZ256" s="451"/>
      <c r="BA256" s="451"/>
      <c r="BB256" s="451"/>
      <c r="BC256" s="1215"/>
      <c r="BD256" s="1215"/>
      <c r="BE256" s="1215"/>
      <c r="BF256" s="1215"/>
      <c r="BG256" s="1215"/>
      <c r="BH256" s="1215"/>
      <c r="BI256">
        <f>IF(AND(AS256=1,BC256="No",BD256="Yes",BE256="Yes",BF256="No",BH256="No"),0,IF(AND('Proposed Lighting'!AU256=2,AS256=1,BC256="Yes",BD256="Yes"),2,IF(AND('Proposed Lighting'!AU256=2,AS256=1,BC256="Yes",BE256="Yes"),2,IF(AND('Proposed Lighting'!AU256=2,AS256=1,BC256="Yes",BF256="Yes"),2,IF(AND('Proposed Lighting'!AU256=2,AS256=1,BC256="Yes",BH256="Yes"),2,IF(AND('Proposed Lighting'!AU256=2,AS256=1,BD256="Yes",BF256="Yes"),2,IF(AND('Proposed Lighting'!AU256=2,AS256=1,BD256="Yes",BH256="Yes"),2,IF(AND('Proposed Lighting'!AU256=3,AS256=1,BC256="Yes",BE256="Yes"),2,IF(AND('Proposed Lighting'!AU256=3,AS256=1,BC256="Yes",BF256="Yes"),2,0)))))))))</f>
        <v>0</v>
      </c>
      <c r="BJ256" s="1025">
        <f t="shared" si="49"/>
        <v>0</v>
      </c>
      <c r="BK256">
        <f>IF(AND('Proposed Lighting'!BC256=22,'Lighting Controls'!N256=1),0,IF(ISNUMBER(SEARCH("LED",G256)),1,0))</f>
        <v>0</v>
      </c>
    </row>
    <row r="257" spans="1:63" ht="34.5" customHeight="1">
      <c r="A257" s="917">
        <v>249</v>
      </c>
      <c r="B257" s="1828" t="str">
        <f>IF('Proposed Lighting'!B257="","",'Proposed Lighting'!B257)</f>
        <v/>
      </c>
      <c r="C257" s="1828"/>
      <c r="D257" s="1828"/>
      <c r="E257" s="1245">
        <f>'Proposed Lighting'!AA257</f>
        <v>0</v>
      </c>
      <c r="F257" s="1245">
        <f t="shared" si="42"/>
        <v>0</v>
      </c>
      <c r="G257" s="1830" t="str">
        <f>IF('Proposed Lighting'!T257="","",IF(ISNUMBER(SEARCH("Networked",'Proposed Lighting'!T257)),0,IF(ISNUMBER(SEARCH("Strategies",'Proposed Lighting'!T257)),0,IF(ISNUMBER(SEARCH("Removal",'Proposed Lighting'!T257)),0,'Proposed Lighting'!T257))))</f>
        <v/>
      </c>
      <c r="H257" s="1830"/>
      <c r="I257" s="1830"/>
      <c r="J257" s="1830"/>
      <c r="K257" s="1215"/>
      <c r="L257" s="1246">
        <f t="shared" si="43"/>
        <v>0</v>
      </c>
      <c r="M257" s="1224">
        <f t="shared" si="44"/>
        <v>0</v>
      </c>
      <c r="N257" s="1224">
        <f t="shared" si="45"/>
        <v>0</v>
      </c>
      <c r="O257" s="1825" t="str">
        <f>IF(G257=0,0,IF(ISNA('Proposed Lighting'!AT257),0,'Proposed Lighting'!AT257))</f>
        <v/>
      </c>
      <c r="P257" s="1825"/>
      <c r="Q257" s="1247"/>
      <c r="R257" s="1247"/>
      <c r="S257" s="1247"/>
      <c r="T257" s="1211"/>
      <c r="U257" s="1235">
        <f>IF(K257&gt;0.01,'Proposed Lighting'!CU257,0)</f>
        <v>0</v>
      </c>
      <c r="V257" s="1248">
        <f>IF('Proposed Lighting'!CF257=1,0,IF('Proposed Lighting'!AU257=2,0,IF(AND('Proposed Lighting'!AU257=3,'Proposed Lighting'!CF257=0),1,0)))</f>
        <v>0</v>
      </c>
      <c r="W257" s="1836"/>
      <c r="X257" s="1836"/>
      <c r="Y257" s="1836"/>
      <c r="Z257" s="1230" t="str">
        <f t="shared" si="39"/>
        <v/>
      </c>
      <c r="AA257" s="1230">
        <f t="shared" si="40"/>
        <v>0</v>
      </c>
      <c r="AB257" s="1230">
        <f>IF(Q257=0,0,IF(T257=0,0,IF(AA257=0,0,IF(AND(F257=3,V257=0),0,IF(T257=0,0,IF(K257&gt;'Proposed Lighting'!AA257,0,IF('Proposed Lighting'!EJ257&gt;0.01,(K257*O257)*'Proposed Lighting'!EJ257/1000,(K257*O257)*U257/1000)))))))</f>
        <v>0</v>
      </c>
      <c r="AC257" s="1230" t="str">
        <f t="shared" si="46"/>
        <v/>
      </c>
      <c r="AD257" s="1230">
        <f t="shared" si="41"/>
        <v>0</v>
      </c>
      <c r="AE257" s="1230">
        <f>IF(T257=0,0,IF(K257&gt;'Proposed Lighting'!AA257,0,IF(T257&gt;K257,0,IF(AND(AD257&gt;AA257,AA257&gt;0),0,IF(AND(F257&gt;1,W257&lt;0.01),0,IF('Proposed Lighting'!AU257&gt;'Lighting Controls'!F257,0,IF('Proposed Lighting'!AU257&lt;'Lighting Controls'!F257,0,IF(U257=0,0,Summary!AC560))))))))</f>
        <v>0</v>
      </c>
      <c r="AF257" s="1230">
        <f>IF(T257=0,0,IF(AE257=0,0,IF(K257&gt;'Proposed Lighting'!AA257,0,IF(AND(AD257&gt;AA257,AA257&gt;0),0,IF(U257=0,0,Summary!AD560)))))</f>
        <v>0</v>
      </c>
      <c r="AG257" s="1834">
        <f>IF('Proposed Lighting'!AU257=1,0,IF('Proposed Lighting'!CF257=1,0,T257*W257))</f>
        <v>0</v>
      </c>
      <c r="AH257" s="1834"/>
      <c r="AI257" s="1834"/>
      <c r="AJ257" s="1835">
        <f>IF(T257&lt;1,0,IF(K257&gt;'Proposed Lighting'!AA257,0,IF('Proposed Lighting'!CF257=1,0,IF('Proposed Lighting'!AU257=1,0,IF(T257&gt;K257,0,IF(AND(AD257&gt;AA257,AA257&gt;0),0,IF(AND(F257=2,'Proposed Lighting'!AU257=3),0,IF(AND(F257=3,'Proposed Lighting'!AU257=2),0,IF('Proposed Lighting'!CH257=100,0,IF(AND(F257&lt;3,V257=1,AM257=0),0,IF(AND(F257&gt;1,AF257&lt;1,AN257&lt;1),0,IF(AND(F257&gt;1,AE257&lt;0.69,AF257&lt;1,AN257&lt;1),0,IF(ISERROR(AB257-AC257),"",AB257-AC257)))))))))))))</f>
        <v>0</v>
      </c>
      <c r="AK257" s="1835"/>
      <c r="AL257" s="1835"/>
      <c r="AM257" s="1216">
        <f>IF(Q257=0,0,IF(T257=0,0,IF(T257&gt;K257,0,IF(AND(AS257&gt;0.01,BK257=0),0,IF(AND('Proposed Lighting'!DG257=0,'Lighting Controls'!Z257=0.35),0,IF(AND(T257&lt;=K257,AA257&gt;=AD257,'Proposed Lighting'!AU257=2),VLOOKUP(Q257,$AY$9:$AZ$15,2,FALSE),IF(AND(T257&lt;=K257,AA257&gt;=AD257,'Proposed Lighting'!AU257=3),VLOOKUP(Q257,$AY$17:$AZ$23,2,FALSE))))))))</f>
        <v>0</v>
      </c>
      <c r="AN257" s="1248">
        <f>IF(T257=0,0,IF(K257&gt;'Proposed Lighting'!AA257,0,IF(AE257=0,0,IF(AND(AD257&gt;AA257,AA257&gt;0),0,IF(U257=0,0,Summary!AE560)))))</f>
        <v>0</v>
      </c>
      <c r="AO257" s="1248">
        <f t="shared" si="50"/>
        <v>0</v>
      </c>
      <c r="AP257" s="1249">
        <f>IF('Proposed Lighting'!AU257=1,0,IF(K257=0,0,IF(T257&gt;K257,0,IF(G257=0,0,IF(K257&gt;'Proposed Lighting'!AA257,0,IF(AND(AD257&gt;AA257,AA257&gt;0),0,IF(AND('Proposed Lighting'!AU257=3,AM257=0.5),0,IF(AND(AM257&gt;0,AS257&gt;0,BI257&lt;2),0,IF('Proposed Lighting'!CH257=100,0,IF(AV257=1,0,IF(AND(AM257=35,M257+N257&lt;2),0,AM257)))))))))))</f>
        <v>0</v>
      </c>
      <c r="AQ257" s="1249" t="str">
        <f>IFERROR(ROUND(IF(Q257="","",IF('Proposed Lighting'!$X$4=0,0,IF(AND(AM257=35,M257+N257&lt;2),0,IF(T257&gt;K257,0,IF('Proposed Lighting'!AU257=1,0,IF(AJ257=0,0,IF(AND('Proposed Lighting'!AU257=3,AM257=0.5),0,IF(AND(AD257=75,AP257=0,AV257=0),0,IF(AP257&gt;0.01,AP257*T257,IF(AND(F257&gt;1,W257&lt;0.01),0,IF(AND(F257&gt;1,AO257=0),0,IF(AND('Proposed Lighting'!BC257=22,AV257=0),0,IF(AND(AM257&gt;0,AS257&gt;0,BI257&lt;2),0,IF(AND(AS257&gt;0.01,BK257=0),0,IF(AND(AO257=TRUE,AV257=1,F257=3),MIN(AJ257*0.08,L257),IF(AP257&gt;0.01,AP257*T257,IF(AND(AO257=TRUE,AV257=1,F257=2),MIN(AJ257*0.1,L257)))))))))))))))))),2),"")</f>
        <v/>
      </c>
      <c r="AR257" s="1250">
        <f>IF(Q257=0,0,IF('Proposed Lighting'!$X$4=0,0,IF(AND(AM257&gt;0.01,AQ257&gt;0.01),0,IF('Proposed Lighting'!AU257=1,"Missing Interior or Exterior Selection",IF('Proposed Lighting'!CF257=1,"Selection does not match",IF(K257&gt;'Proposed Lighting'!AA257,"Quantity controlled does not match proposed lighting quantity",IF(T257&gt;K257,"Quantity of sensors exceeds proposed lighting quantity",IF(AND(F257&gt;1,'Proposed Lighting'!AU257&lt;&gt;F257),"Selection does not match",IF(AND(AD257&gt;AA257,AA257&gt;0),"Does not meet minimum connected load",IF(AND(O257&gt;0,AS257&gt;0,BK257&gt;0,'Proposed Lighting'!CH257=0),"Select Control Strategies",IF(AND(AC257&gt;0.1,AJ257=0,AQ257=0),"Does not meet incentive criteria",0)))))))))))</f>
        <v>0</v>
      </c>
      <c r="AS257" s="1224">
        <f>IF('Proposed Lighting'!CH257=100,0,IF(ISNUMBER(SEARCH("multiple",Q257)),1,0))</f>
        <v>0</v>
      </c>
      <c r="AT257" s="451">
        <f t="shared" si="47"/>
        <v>0</v>
      </c>
      <c r="AU257" s="451">
        <f t="shared" si="48"/>
        <v>0</v>
      </c>
      <c r="AV257" s="1222">
        <f>IF(ISNUMBER(SEARCH("Networked",'Proposed Lighting'!T257)),0,IF(ISNUMBER(SEARCH("Strategies",'Proposed Lighting'!T257)),0,IF(ISNUMBER(SEARCH("Removal",'Proposed Lighting'!T257)),0,IF(ISNUMBER(SEARCH("non-standard",Q257)),1,0))))</f>
        <v>0</v>
      </c>
      <c r="AW257" s="451">
        <f t="shared" si="51"/>
        <v>0</v>
      </c>
      <c r="AX257" s="451"/>
      <c r="AY257" s="451"/>
      <c r="AZ257" s="451"/>
      <c r="BA257" s="451"/>
      <c r="BB257" s="451"/>
      <c r="BC257" s="1215"/>
      <c r="BD257" s="1215"/>
      <c r="BE257" s="1215"/>
      <c r="BF257" s="1215"/>
      <c r="BG257" s="1215"/>
      <c r="BH257" s="1215"/>
      <c r="BI257">
        <f>IF(AND(AS257=1,BC257="No",BD257="Yes",BE257="Yes",BF257="No",BH257="No"),0,IF(AND('Proposed Lighting'!AU257=2,AS257=1,BC257="Yes",BD257="Yes"),2,IF(AND('Proposed Lighting'!AU257=2,AS257=1,BC257="Yes",BE257="Yes"),2,IF(AND('Proposed Lighting'!AU257=2,AS257=1,BC257="Yes",BF257="Yes"),2,IF(AND('Proposed Lighting'!AU257=2,AS257=1,BC257="Yes",BH257="Yes"),2,IF(AND('Proposed Lighting'!AU257=2,AS257=1,BD257="Yes",BF257="Yes"),2,IF(AND('Proposed Lighting'!AU257=2,AS257=1,BD257="Yes",BH257="Yes"),2,IF(AND('Proposed Lighting'!AU257=3,AS257=1,BC257="Yes",BE257="Yes"),2,IF(AND('Proposed Lighting'!AU257=3,AS257=1,BC257="Yes",BF257="Yes"),2,0)))))))))</f>
        <v>0</v>
      </c>
      <c r="BJ257" s="1025">
        <f t="shared" si="49"/>
        <v>0</v>
      </c>
      <c r="BK257">
        <f>IF(AND('Proposed Lighting'!BC257=22,'Lighting Controls'!N257=1),0,IF(ISNUMBER(SEARCH("LED",G257)),1,0))</f>
        <v>0</v>
      </c>
    </row>
    <row r="258" spans="1:63" ht="34.5" customHeight="1">
      <c r="A258" s="917">
        <v>250</v>
      </c>
      <c r="B258" s="1828" t="str">
        <f>IF('Proposed Lighting'!B258="","",'Proposed Lighting'!B258)</f>
        <v/>
      </c>
      <c r="C258" s="1828"/>
      <c r="D258" s="1828"/>
      <c r="E258" s="1245">
        <f>'Proposed Lighting'!AA258</f>
        <v>0</v>
      </c>
      <c r="F258" s="1245">
        <f t="shared" si="42"/>
        <v>0</v>
      </c>
      <c r="G258" s="1830" t="str">
        <f>IF('Proposed Lighting'!T258="","",IF(ISNUMBER(SEARCH("Networked",'Proposed Lighting'!T258)),0,IF(ISNUMBER(SEARCH("Strategies",'Proposed Lighting'!T258)),0,IF(ISNUMBER(SEARCH("Removal",'Proposed Lighting'!T258)),0,'Proposed Lighting'!T258))))</f>
        <v/>
      </c>
      <c r="H258" s="1830"/>
      <c r="I258" s="1830"/>
      <c r="J258" s="1830"/>
      <c r="K258" s="1215"/>
      <c r="L258" s="1246">
        <f t="shared" si="43"/>
        <v>0</v>
      </c>
      <c r="M258" s="1224">
        <f t="shared" si="44"/>
        <v>0</v>
      </c>
      <c r="N258" s="1224">
        <f t="shared" si="45"/>
        <v>0</v>
      </c>
      <c r="O258" s="1825" t="str">
        <f>IF(G258=0,0,IF(ISNA('Proposed Lighting'!AT258),0,'Proposed Lighting'!AT258))</f>
        <v/>
      </c>
      <c r="P258" s="1825"/>
      <c r="Q258" s="1247"/>
      <c r="R258" s="1247"/>
      <c r="S258" s="1247"/>
      <c r="T258" s="1211"/>
      <c r="U258" s="1235">
        <f>IF(K258&gt;0.01,'Proposed Lighting'!CU258,0)</f>
        <v>0</v>
      </c>
      <c r="V258" s="1248">
        <f>IF('Proposed Lighting'!CF258=1,0,IF('Proposed Lighting'!AU258=2,0,IF(AND('Proposed Lighting'!AU258=3,'Proposed Lighting'!CF258=0),1,0)))</f>
        <v>0</v>
      </c>
      <c r="W258" s="1836"/>
      <c r="X258" s="1836"/>
      <c r="Y258" s="1836"/>
      <c r="Z258" s="1230" t="str">
        <f t="shared" si="39"/>
        <v/>
      </c>
      <c r="AA258" s="1230">
        <f t="shared" si="40"/>
        <v>0</v>
      </c>
      <c r="AB258" s="1230">
        <f>IF(Q258=0,0,IF(T258=0,0,IF(AA258=0,0,IF(AND(F258=3,V258=0),0,IF(T258=0,0,IF(K258&gt;'Proposed Lighting'!AA258,0,IF('Proposed Lighting'!EJ258&gt;0.01,(K258*O258)*'Proposed Lighting'!EJ258/1000,(K258*O258)*U258/1000)))))))</f>
        <v>0</v>
      </c>
      <c r="AC258" s="1230" t="str">
        <f t="shared" si="46"/>
        <v/>
      </c>
      <c r="AD258" s="1230">
        <f t="shared" si="41"/>
        <v>0</v>
      </c>
      <c r="AE258" s="1230">
        <f>IF(T258=0,0,IF(K258&gt;'Proposed Lighting'!AA258,0,IF(T258&gt;K258,0,IF(AND(AD258&gt;AA258,AA258&gt;0),0,IF(AND(F258&gt;1,W258&lt;0.01),0,IF('Proposed Lighting'!AU258&gt;'Lighting Controls'!F258,0,IF('Proposed Lighting'!AU258&lt;'Lighting Controls'!F258,0,IF(U258=0,0,Summary!AC561))))))))</f>
        <v>0</v>
      </c>
      <c r="AF258" s="1230">
        <f>IF(T258=0,0,IF(AE258=0,0,IF(K258&gt;'Proposed Lighting'!AA258,0,IF(AND(AD258&gt;AA258,AA258&gt;0),0,IF(U258=0,0,Summary!AD561)))))</f>
        <v>0</v>
      </c>
      <c r="AG258" s="1834">
        <f>IF('Proposed Lighting'!AU258=1,0,IF('Proposed Lighting'!CF258=1,0,T258*W258))</f>
        <v>0</v>
      </c>
      <c r="AH258" s="1834"/>
      <c r="AI258" s="1834"/>
      <c r="AJ258" s="1835">
        <f>IF(T258&lt;1,0,IF(K258&gt;'Proposed Lighting'!AA258,0,IF('Proposed Lighting'!CF258=1,0,IF('Proposed Lighting'!AU258=1,0,IF(T258&gt;K258,0,IF(AND(AD258&gt;AA258,AA258&gt;0),0,IF(AND(F258=2,'Proposed Lighting'!AU258=3),0,IF(AND(F258=3,'Proposed Lighting'!AU258=2),0,IF('Proposed Lighting'!CH258=100,0,IF(AND(F258&lt;3,V258=1,AM258=0),0,IF(AND(F258&gt;1,AF258&lt;1,AN258&lt;1),0,IF(AND(F258&gt;1,AE258&lt;0.69,AF258&lt;1,AN258&lt;1),0,IF(ISERROR(AB258-AC258),"",AB258-AC258)))))))))))))</f>
        <v>0</v>
      </c>
      <c r="AK258" s="1835"/>
      <c r="AL258" s="1835"/>
      <c r="AM258" s="1216">
        <f>IF(Q258=0,0,IF(T258=0,0,IF(T258&gt;K258,0,IF(AND(AS258&gt;0.01,BK258=0),0,IF(AND('Proposed Lighting'!DG258=0,'Lighting Controls'!Z258=0.35),0,IF(AND(T258&lt;=K258,AA258&gt;=AD258,'Proposed Lighting'!AU258=2),VLOOKUP(Q258,$AY$9:$AZ$15,2,FALSE),IF(AND(T258&lt;=K258,AA258&gt;=AD258,'Proposed Lighting'!AU258=3),VLOOKUP(Q258,$AY$17:$AZ$23,2,FALSE))))))))</f>
        <v>0</v>
      </c>
      <c r="AN258" s="1248">
        <f>IF(T258=0,0,IF(K258&gt;'Proposed Lighting'!AA258,0,IF(AE258=0,0,IF(AND(AD258&gt;AA258,AA258&gt;0),0,IF(U258=0,0,Summary!AE561)))))</f>
        <v>0</v>
      </c>
      <c r="AO258" s="1248">
        <f t="shared" si="50"/>
        <v>0</v>
      </c>
      <c r="AP258" s="1249">
        <f>IF('Proposed Lighting'!AU258=1,0,IF(K258=0,0,IF(T258&gt;K258,0,IF(G258=0,0,IF(K258&gt;'Proposed Lighting'!AA258,0,IF(AND(AD258&gt;AA258,AA258&gt;0),0,IF(AND('Proposed Lighting'!AU258=3,AM258=0.5),0,IF(AND(AM258&gt;0,AS258&gt;0,BI258&lt;2),0,IF('Proposed Lighting'!CH258=100,0,IF(AV258=1,0,IF(AND(AM258=35,M258+N258&lt;2),0,AM258)))))))))))</f>
        <v>0</v>
      </c>
      <c r="AQ258" s="1249" t="str">
        <f>IFERROR(ROUND(IF(Q258="","",IF('Proposed Lighting'!$X$4=0,0,IF(AND(AM258=35,M258+N258&lt;2),0,IF(T258&gt;K258,0,IF('Proposed Lighting'!AU258=1,0,IF(AJ258=0,0,IF(AND('Proposed Lighting'!AU258=3,AM258=0.5),0,IF(AND(AD258=75,AP258=0,AV258=0),0,IF(AP258&gt;0.01,AP258*T258,IF(AND(F258&gt;1,W258&lt;0.01),0,IF(AND(F258&gt;1,AO258=0),0,IF(AND('Proposed Lighting'!BC258=22,AV258=0),0,IF(AND(AM258&gt;0,AS258&gt;0,BI258&lt;2),0,IF(AND(AS258&gt;0.01,BK258=0),0,IF(AND(AO258=TRUE,AV258=1,F258=3),MIN(AJ258*0.08,L258),IF(AP258&gt;0.01,AP258*T258,IF(AND(AO258=TRUE,AV258=1,F258=2),MIN(AJ258*0.1,L258)))))))))))))))))),2),"")</f>
        <v/>
      </c>
      <c r="AR258" s="1250">
        <f>IF(Q258=0,0,IF('Proposed Lighting'!$X$4=0,0,IF(AND(AM258&gt;0.01,AQ258&gt;0.01),0,IF('Proposed Lighting'!AU258=1,"Missing Interior or Exterior Selection",IF('Proposed Lighting'!CF258=1,"Selection does not match",IF(K258&gt;'Proposed Lighting'!AA258,"Quantity controlled does not match proposed lighting quantity",IF(T258&gt;K258,"Quantity of sensors exceeds proposed lighting quantity",IF(AND(F258&gt;1,'Proposed Lighting'!AU258&lt;&gt;F258),"Selection does not match",IF(AND(AD258&gt;AA258,AA258&gt;0),"Does not meet minimum connected load",IF(AND(O258&gt;0,AS258&gt;0,BK258&gt;0,'Proposed Lighting'!CH258=0),"Select Control Strategies",IF(AND(AC258&gt;0.1,AJ258=0,AQ258=0),"Does not meet incentive criteria",0)))))))))))</f>
        <v>0</v>
      </c>
      <c r="AS258" s="1224">
        <f>IF('Proposed Lighting'!CH258=100,0,IF(ISNUMBER(SEARCH("multiple",Q258)),1,0))</f>
        <v>0</v>
      </c>
      <c r="AT258" s="451">
        <f t="shared" si="47"/>
        <v>0</v>
      </c>
      <c r="AU258" s="451">
        <f t="shared" si="48"/>
        <v>0</v>
      </c>
      <c r="AV258" s="1222">
        <f>IF(ISNUMBER(SEARCH("Networked",'Proposed Lighting'!T258)),0,IF(ISNUMBER(SEARCH("Strategies",'Proposed Lighting'!T258)),0,IF(ISNUMBER(SEARCH("Removal",'Proposed Lighting'!T258)),0,IF(ISNUMBER(SEARCH("non-standard",Q258)),1,0))))</f>
        <v>0</v>
      </c>
      <c r="AW258" s="451">
        <f t="shared" si="51"/>
        <v>0</v>
      </c>
      <c r="AX258" s="451"/>
      <c r="AY258" s="451"/>
      <c r="AZ258" s="451"/>
      <c r="BA258" s="451"/>
      <c r="BB258" s="451"/>
      <c r="BC258" s="1215"/>
      <c r="BD258" s="1215"/>
      <c r="BE258" s="1215"/>
      <c r="BF258" s="1215"/>
      <c r="BG258" s="1215"/>
      <c r="BH258" s="1215"/>
      <c r="BI258">
        <f>IF(AND(AS258=1,BC258="No",BD258="Yes",BE258="Yes",BF258="No",BH258="No"),0,IF(AND('Proposed Lighting'!AU258=2,AS258=1,BC258="Yes",BD258="Yes"),2,IF(AND('Proposed Lighting'!AU258=2,AS258=1,BC258="Yes",BE258="Yes"),2,IF(AND('Proposed Lighting'!AU258=2,AS258=1,BC258="Yes",BF258="Yes"),2,IF(AND('Proposed Lighting'!AU258=2,AS258=1,BC258="Yes",BH258="Yes"),2,IF(AND('Proposed Lighting'!AU258=2,AS258=1,BD258="Yes",BF258="Yes"),2,IF(AND('Proposed Lighting'!AU258=2,AS258=1,BD258="Yes",BH258="Yes"),2,IF(AND('Proposed Lighting'!AU258=3,AS258=1,BC258="Yes",BE258="Yes"),2,IF(AND('Proposed Lighting'!AU258=3,AS258=1,BC258="Yes",BF258="Yes"),2,0)))))))))</f>
        <v>0</v>
      </c>
      <c r="BJ258" s="1025">
        <f t="shared" si="49"/>
        <v>0</v>
      </c>
      <c r="BK258">
        <f>IF(AND('Proposed Lighting'!BC258=22,'Lighting Controls'!N258=1),0,IF(ISNUMBER(SEARCH("LED",G258)),1,0))</f>
        <v>0</v>
      </c>
    </row>
    <row r="259" spans="1:63" ht="34.5" customHeight="1">
      <c r="A259" s="917">
        <v>251</v>
      </c>
      <c r="B259" s="1828" t="str">
        <f>IF('Proposed Lighting'!B259="","",'Proposed Lighting'!B259)</f>
        <v/>
      </c>
      <c r="C259" s="1828"/>
      <c r="D259" s="1828"/>
      <c r="E259" s="1245">
        <f>'Proposed Lighting'!AA259</f>
        <v>0</v>
      </c>
      <c r="F259" s="1245">
        <f t="shared" si="42"/>
        <v>0</v>
      </c>
      <c r="G259" s="1830" t="str">
        <f>IF('Proposed Lighting'!T259="","",IF(ISNUMBER(SEARCH("Networked",'Proposed Lighting'!T259)),0,IF(ISNUMBER(SEARCH("Strategies",'Proposed Lighting'!T259)),0,IF(ISNUMBER(SEARCH("Removal",'Proposed Lighting'!T259)),0,'Proposed Lighting'!T259))))</f>
        <v/>
      </c>
      <c r="H259" s="1830"/>
      <c r="I259" s="1830"/>
      <c r="J259" s="1830"/>
      <c r="K259" s="1215"/>
      <c r="L259" s="1246">
        <f t="shared" si="43"/>
        <v>0</v>
      </c>
      <c r="M259" s="1224">
        <f t="shared" si="44"/>
        <v>0</v>
      </c>
      <c r="N259" s="1224">
        <f t="shared" si="45"/>
        <v>0</v>
      </c>
      <c r="O259" s="1825" t="str">
        <f>IF(G259=0,0,IF(ISNA('Proposed Lighting'!AT259),0,'Proposed Lighting'!AT259))</f>
        <v/>
      </c>
      <c r="P259" s="1825"/>
      <c r="Q259" s="1247"/>
      <c r="R259" s="1247"/>
      <c r="S259" s="1247"/>
      <c r="T259" s="1211"/>
      <c r="U259" s="1235">
        <f>IF(K259&gt;0.01,'Proposed Lighting'!CU259,0)</f>
        <v>0</v>
      </c>
      <c r="V259" s="1248">
        <f>IF('Proposed Lighting'!CF259=1,0,IF('Proposed Lighting'!AU259=2,0,IF(AND('Proposed Lighting'!AU259=3,'Proposed Lighting'!CF259=0),1,0)))</f>
        <v>0</v>
      </c>
      <c r="W259" s="1836"/>
      <c r="X259" s="1836"/>
      <c r="Y259" s="1836"/>
      <c r="Z259" s="1230" t="str">
        <f t="shared" si="39"/>
        <v/>
      </c>
      <c r="AA259" s="1230">
        <f t="shared" si="40"/>
        <v>0</v>
      </c>
      <c r="AB259" s="1230">
        <f>IF(Q259=0,0,IF(T259=0,0,IF(AA259=0,0,IF(AND(F259=3,V259=0),0,IF(T259=0,0,IF(K259&gt;'Proposed Lighting'!AA259,0,IF('Proposed Lighting'!EJ259&gt;0.01,(K259*O259)*'Proposed Lighting'!EJ259/1000,(K259*O259)*U259/1000)))))))</f>
        <v>0</v>
      </c>
      <c r="AC259" s="1230" t="str">
        <f t="shared" si="46"/>
        <v/>
      </c>
      <c r="AD259" s="1230">
        <f t="shared" si="41"/>
        <v>0</v>
      </c>
      <c r="AE259" s="1230">
        <f>IF(T259=0,0,IF(K259&gt;'Proposed Lighting'!AA259,0,IF(T259&gt;K259,0,IF(AND(AD259&gt;AA259,AA259&gt;0),0,IF(AND(F259&gt;1,W259&lt;0.01),0,IF('Proposed Lighting'!AU259&gt;'Lighting Controls'!F259,0,IF('Proposed Lighting'!AU259&lt;'Lighting Controls'!F259,0,IF(U259=0,0,Summary!AC562))))))))</f>
        <v>0</v>
      </c>
      <c r="AF259" s="1230">
        <f>IF(T259=0,0,IF(AE259=0,0,IF(K259&gt;'Proposed Lighting'!AA259,0,IF(AND(AD259&gt;AA259,AA259&gt;0),0,IF(U259=0,0,Summary!AD562)))))</f>
        <v>0</v>
      </c>
      <c r="AG259" s="1834">
        <f>IF('Proposed Lighting'!AU259=1,0,IF('Proposed Lighting'!CF259=1,0,T259*W259))</f>
        <v>0</v>
      </c>
      <c r="AH259" s="1834"/>
      <c r="AI259" s="1834"/>
      <c r="AJ259" s="1835">
        <f>IF(T259&lt;1,0,IF(K259&gt;'Proposed Lighting'!AA259,0,IF('Proposed Lighting'!CF259=1,0,IF('Proposed Lighting'!AU259=1,0,IF(T259&gt;K259,0,IF(AND(AD259&gt;AA259,AA259&gt;0),0,IF(AND(F259=2,'Proposed Lighting'!AU259=3),0,IF(AND(F259=3,'Proposed Lighting'!AU259=2),0,IF('Proposed Lighting'!CH259=100,0,IF(AND(F259&lt;3,V259=1,AM259=0),0,IF(AND(F259&gt;1,AF259&lt;1,AN259&lt;1),0,IF(AND(F259&gt;1,AE259&lt;0.69,AF259&lt;1,AN259&lt;1),0,IF(ISERROR(AB259-AC259),"",AB259-AC259)))))))))))))</f>
        <v>0</v>
      </c>
      <c r="AK259" s="1835"/>
      <c r="AL259" s="1835"/>
      <c r="AM259" s="1216">
        <f>IF(Q259=0,0,IF(T259=0,0,IF(T259&gt;K259,0,IF(AND(AS259&gt;0.01,BK259=0),0,IF(AND('Proposed Lighting'!DG259=0,'Lighting Controls'!Z259=0.35),0,IF(AND(T259&lt;=K259,AA259&gt;=AD259,'Proposed Lighting'!AU259=2),VLOOKUP(Q259,$AY$9:$AZ$15,2,FALSE),IF(AND(T259&lt;=K259,AA259&gt;=AD259,'Proposed Lighting'!AU259=3),VLOOKUP(Q259,$AY$17:$AZ$23,2,FALSE))))))))</f>
        <v>0</v>
      </c>
      <c r="AN259" s="1248">
        <f>IF(T259=0,0,IF(K259&gt;'Proposed Lighting'!AA259,0,IF(AE259=0,0,IF(AND(AD259&gt;AA259,AA259&gt;0),0,IF(U259=0,0,Summary!AE562)))))</f>
        <v>0</v>
      </c>
      <c r="AO259" s="1248">
        <f t="shared" si="50"/>
        <v>0</v>
      </c>
      <c r="AP259" s="1249">
        <f>IF('Proposed Lighting'!AU259=1,0,IF(K259=0,0,IF(T259&gt;K259,0,IF(G259=0,0,IF(K259&gt;'Proposed Lighting'!AA259,0,IF(AND(AD259&gt;AA259,AA259&gt;0),0,IF(AND('Proposed Lighting'!AU259=3,AM259=0.5),0,IF(AND(AM259&gt;0,AS259&gt;0,BI259&lt;2),0,IF('Proposed Lighting'!CH259=100,0,IF(AV259=1,0,IF(AND(AM259=35,M259+N259&lt;2),0,AM259)))))))))))</f>
        <v>0</v>
      </c>
      <c r="AQ259" s="1249" t="str">
        <f>IFERROR(ROUND(IF(Q259="","",IF('Proposed Lighting'!$X$4=0,0,IF(AND(AM259=35,M259+N259&lt;2),0,IF(T259&gt;K259,0,IF('Proposed Lighting'!AU259=1,0,IF(AJ259=0,0,IF(AND('Proposed Lighting'!AU259=3,AM259=0.5),0,IF(AND(AD259=75,AP259=0,AV259=0),0,IF(AP259&gt;0.01,AP259*T259,IF(AND(F259&gt;1,W259&lt;0.01),0,IF(AND(F259&gt;1,AO259=0),0,IF(AND('Proposed Lighting'!BC259=22,AV259=0),0,IF(AND(AM259&gt;0,AS259&gt;0,BI259&lt;2),0,IF(AND(AS259&gt;0.01,BK259=0),0,IF(AND(AO259=TRUE,AV259=1,F259=3),MIN(AJ259*0.08,L259),IF(AP259&gt;0.01,AP259*T259,IF(AND(AO259=TRUE,AV259=1,F259=2),MIN(AJ259*0.1,L259)))))))))))))))))),2),"")</f>
        <v/>
      </c>
      <c r="AR259" s="1250">
        <f>IF(Q259=0,0,IF('Proposed Lighting'!$X$4=0,0,IF(AND(AM259&gt;0.01,AQ259&gt;0.01),0,IF('Proposed Lighting'!AU259=1,"Missing Interior or Exterior Selection",IF('Proposed Lighting'!CF259=1,"Selection does not match",IF(K259&gt;'Proposed Lighting'!AA259,"Quantity controlled does not match proposed lighting quantity",IF(T259&gt;K259,"Quantity of sensors exceeds proposed lighting quantity",IF(AND(F259&gt;1,'Proposed Lighting'!AU259&lt;&gt;F259),"Selection does not match",IF(AND(AD259&gt;AA259,AA259&gt;0),"Does not meet minimum connected load",IF(AND(O259&gt;0,AS259&gt;0,BK259&gt;0,'Proposed Lighting'!CH259=0),"Select Control Strategies",IF(AND(AC259&gt;0.1,AJ259=0,AQ259=0),"Does not meet incentive criteria",0)))))))))))</f>
        <v>0</v>
      </c>
      <c r="AS259" s="1224">
        <f>IF('Proposed Lighting'!CH259=100,0,IF(ISNUMBER(SEARCH("multiple",Q259)),1,0))</f>
        <v>0</v>
      </c>
      <c r="AT259" s="451">
        <f t="shared" si="47"/>
        <v>0</v>
      </c>
      <c r="AU259" s="451">
        <f t="shared" si="48"/>
        <v>0</v>
      </c>
      <c r="AV259" s="1222">
        <f>IF(ISNUMBER(SEARCH("Networked",'Proposed Lighting'!T259)),0,IF(ISNUMBER(SEARCH("Strategies",'Proposed Lighting'!T259)),0,IF(ISNUMBER(SEARCH("Removal",'Proposed Lighting'!T259)),0,IF(ISNUMBER(SEARCH("non-standard",Q259)),1,0))))</f>
        <v>0</v>
      </c>
      <c r="AW259" s="451">
        <f t="shared" si="51"/>
        <v>0</v>
      </c>
      <c r="AX259" s="451"/>
      <c r="AY259" s="451"/>
      <c r="AZ259" s="451"/>
      <c r="BA259" s="451"/>
      <c r="BB259" s="451"/>
      <c r="BC259" s="1215"/>
      <c r="BD259" s="1215"/>
      <c r="BE259" s="1215"/>
      <c r="BF259" s="1215"/>
      <c r="BG259" s="1215"/>
      <c r="BH259" s="1215"/>
      <c r="BI259">
        <f>IF(AND(AS259=1,BC259="No",BD259="Yes",BE259="Yes",BF259="No",BH259="No"),0,IF(AND('Proposed Lighting'!AU259=2,AS259=1,BC259="Yes",BD259="Yes"),2,IF(AND('Proposed Lighting'!AU259=2,AS259=1,BC259="Yes",BE259="Yes"),2,IF(AND('Proposed Lighting'!AU259=2,AS259=1,BC259="Yes",BF259="Yes"),2,IF(AND('Proposed Lighting'!AU259=2,AS259=1,BC259="Yes",BH259="Yes"),2,IF(AND('Proposed Lighting'!AU259=2,AS259=1,BD259="Yes",BF259="Yes"),2,IF(AND('Proposed Lighting'!AU259=2,AS259=1,BD259="Yes",BH259="Yes"),2,IF(AND('Proposed Lighting'!AU259=3,AS259=1,BC259="Yes",BE259="Yes"),2,IF(AND('Proposed Lighting'!AU259=3,AS259=1,BC259="Yes",BF259="Yes"),2,0)))))))))</f>
        <v>0</v>
      </c>
      <c r="BJ259" s="1025">
        <f t="shared" si="49"/>
        <v>0</v>
      </c>
      <c r="BK259">
        <f>IF(AND('Proposed Lighting'!BC259=22,'Lighting Controls'!N259=1),0,IF(ISNUMBER(SEARCH("LED",G259)),1,0))</f>
        <v>0</v>
      </c>
    </row>
    <row r="260" spans="1:63" ht="34.5" customHeight="1">
      <c r="A260" s="917">
        <v>252</v>
      </c>
      <c r="B260" s="1828" t="str">
        <f>IF('Proposed Lighting'!B260="","",'Proposed Lighting'!B260)</f>
        <v/>
      </c>
      <c r="C260" s="1828"/>
      <c r="D260" s="1828"/>
      <c r="E260" s="1245">
        <f>'Proposed Lighting'!AA260</f>
        <v>0</v>
      </c>
      <c r="F260" s="1245">
        <f t="shared" si="42"/>
        <v>0</v>
      </c>
      <c r="G260" s="1830" t="str">
        <f>IF('Proposed Lighting'!T260="","",IF(ISNUMBER(SEARCH("Networked",'Proposed Lighting'!T260)),0,IF(ISNUMBER(SEARCH("Strategies",'Proposed Lighting'!T260)),0,IF(ISNUMBER(SEARCH("Removal",'Proposed Lighting'!T260)),0,'Proposed Lighting'!T260))))</f>
        <v/>
      </c>
      <c r="H260" s="1830"/>
      <c r="I260" s="1830"/>
      <c r="J260" s="1830"/>
      <c r="K260" s="1215"/>
      <c r="L260" s="1246">
        <f t="shared" si="43"/>
        <v>0</v>
      </c>
      <c r="M260" s="1224">
        <f t="shared" si="44"/>
        <v>0</v>
      </c>
      <c r="N260" s="1224">
        <f t="shared" si="45"/>
        <v>0</v>
      </c>
      <c r="O260" s="1825" t="str">
        <f>IF(G260=0,0,IF(ISNA('Proposed Lighting'!AT260),0,'Proposed Lighting'!AT260))</f>
        <v/>
      </c>
      <c r="P260" s="1825"/>
      <c r="Q260" s="1247"/>
      <c r="R260" s="1247"/>
      <c r="S260" s="1247"/>
      <c r="T260" s="1211"/>
      <c r="U260" s="1235">
        <f>IF(K260&gt;0.01,'Proposed Lighting'!CU260,0)</f>
        <v>0</v>
      </c>
      <c r="V260" s="1248">
        <f>IF('Proposed Lighting'!CF260=1,0,IF('Proposed Lighting'!AU260=2,0,IF(AND('Proposed Lighting'!AU260=3,'Proposed Lighting'!CF260=0),1,0)))</f>
        <v>0</v>
      </c>
      <c r="W260" s="1836"/>
      <c r="X260" s="1836"/>
      <c r="Y260" s="1836"/>
      <c r="Z260" s="1230" t="str">
        <f t="shared" si="39"/>
        <v/>
      </c>
      <c r="AA260" s="1230">
        <f t="shared" si="40"/>
        <v>0</v>
      </c>
      <c r="AB260" s="1230">
        <f>IF(Q260=0,0,IF(T260=0,0,IF(AA260=0,0,IF(AND(F260=3,V260=0),0,IF(T260=0,0,IF(K260&gt;'Proposed Lighting'!AA260,0,IF('Proposed Lighting'!EJ260&gt;0.01,(K260*O260)*'Proposed Lighting'!EJ260/1000,(K260*O260)*U260/1000)))))))</f>
        <v>0</v>
      </c>
      <c r="AC260" s="1230" t="str">
        <f t="shared" si="46"/>
        <v/>
      </c>
      <c r="AD260" s="1230">
        <f t="shared" si="41"/>
        <v>0</v>
      </c>
      <c r="AE260" s="1230">
        <f>IF(T260=0,0,IF(K260&gt;'Proposed Lighting'!AA260,0,IF(T260&gt;K260,0,IF(AND(AD260&gt;AA260,AA260&gt;0),0,IF(AND(F260&gt;1,W260&lt;0.01),0,IF('Proposed Lighting'!AU260&gt;'Lighting Controls'!F260,0,IF('Proposed Lighting'!AU260&lt;'Lighting Controls'!F260,0,IF(U260=0,0,Summary!AC563))))))))</f>
        <v>0</v>
      </c>
      <c r="AF260" s="1230">
        <f>IF(T260=0,0,IF(AE260=0,0,IF(K260&gt;'Proposed Lighting'!AA260,0,IF(AND(AD260&gt;AA260,AA260&gt;0),0,IF(U260=0,0,Summary!AD563)))))</f>
        <v>0</v>
      </c>
      <c r="AG260" s="1834">
        <f>IF('Proposed Lighting'!AU260=1,0,IF('Proposed Lighting'!CF260=1,0,T260*W260))</f>
        <v>0</v>
      </c>
      <c r="AH260" s="1834"/>
      <c r="AI260" s="1834"/>
      <c r="AJ260" s="1835">
        <f>IF(T260&lt;1,0,IF(K260&gt;'Proposed Lighting'!AA260,0,IF('Proposed Lighting'!CF260=1,0,IF('Proposed Lighting'!AU260=1,0,IF(T260&gt;K260,0,IF(AND(AD260&gt;AA260,AA260&gt;0),0,IF(AND(F260=2,'Proposed Lighting'!AU260=3),0,IF(AND(F260=3,'Proposed Lighting'!AU260=2),0,IF('Proposed Lighting'!CH260=100,0,IF(AND(F260&lt;3,V260=1,AM260=0),0,IF(AND(F260&gt;1,AF260&lt;1,AN260&lt;1),0,IF(AND(F260&gt;1,AE260&lt;0.69,AF260&lt;1,AN260&lt;1),0,IF(ISERROR(AB260-AC260),"",AB260-AC260)))))))))))))</f>
        <v>0</v>
      </c>
      <c r="AK260" s="1835"/>
      <c r="AL260" s="1835"/>
      <c r="AM260" s="1216">
        <f>IF(Q260=0,0,IF(T260=0,0,IF(T260&gt;K260,0,IF(AND(AS260&gt;0.01,BK260=0),0,IF(AND('Proposed Lighting'!DG260=0,'Lighting Controls'!Z260=0.35),0,IF(AND(T260&lt;=K260,AA260&gt;=AD260,'Proposed Lighting'!AU260=2),VLOOKUP(Q260,$AY$9:$AZ$15,2,FALSE),IF(AND(T260&lt;=K260,AA260&gt;=AD260,'Proposed Lighting'!AU260=3),VLOOKUP(Q260,$AY$17:$AZ$23,2,FALSE))))))))</f>
        <v>0</v>
      </c>
      <c r="AN260" s="1248">
        <f>IF(T260=0,0,IF(K260&gt;'Proposed Lighting'!AA260,0,IF(AE260=0,0,IF(AND(AD260&gt;AA260,AA260&gt;0),0,IF(U260=0,0,Summary!AE563)))))</f>
        <v>0</v>
      </c>
      <c r="AO260" s="1248">
        <f t="shared" si="50"/>
        <v>0</v>
      </c>
      <c r="AP260" s="1249">
        <f>IF('Proposed Lighting'!AU260=1,0,IF(K260=0,0,IF(T260&gt;K260,0,IF(G260=0,0,IF(K260&gt;'Proposed Lighting'!AA260,0,IF(AND(AD260&gt;AA260,AA260&gt;0),0,IF(AND('Proposed Lighting'!AU260=3,AM260=0.5),0,IF(AND(AM260&gt;0,AS260&gt;0,BI260&lt;2),0,IF('Proposed Lighting'!CH260=100,0,IF(AV260=1,0,IF(AND(AM260=35,M260+N260&lt;2),0,AM260)))))))))))</f>
        <v>0</v>
      </c>
      <c r="AQ260" s="1249" t="str">
        <f>IFERROR(ROUND(IF(Q260="","",IF('Proposed Lighting'!$X$4=0,0,IF(AND(AM260=35,M260+N260&lt;2),0,IF(T260&gt;K260,0,IF('Proposed Lighting'!AU260=1,0,IF(AJ260=0,0,IF(AND('Proposed Lighting'!AU260=3,AM260=0.5),0,IF(AND(AD260=75,AP260=0,AV260=0),0,IF(AP260&gt;0.01,AP260*T260,IF(AND(F260&gt;1,W260&lt;0.01),0,IF(AND(F260&gt;1,AO260=0),0,IF(AND('Proposed Lighting'!BC260=22,AV260=0),0,IF(AND(AM260&gt;0,AS260&gt;0,BI260&lt;2),0,IF(AND(AS260&gt;0.01,BK260=0),0,IF(AND(AO260=TRUE,AV260=1,F260=3),MIN(AJ260*0.08,L260),IF(AP260&gt;0.01,AP260*T260,IF(AND(AO260=TRUE,AV260=1,F260=2),MIN(AJ260*0.1,L260)))))))))))))))))),2),"")</f>
        <v/>
      </c>
      <c r="AR260" s="1250">
        <f>IF(Q260=0,0,IF('Proposed Lighting'!$X$4=0,0,IF(AND(AM260&gt;0.01,AQ260&gt;0.01),0,IF('Proposed Lighting'!AU260=1,"Missing Interior or Exterior Selection",IF('Proposed Lighting'!CF260=1,"Selection does not match",IF(K260&gt;'Proposed Lighting'!AA260,"Quantity controlled does not match proposed lighting quantity",IF(T260&gt;K260,"Quantity of sensors exceeds proposed lighting quantity",IF(AND(F260&gt;1,'Proposed Lighting'!AU260&lt;&gt;F260),"Selection does not match",IF(AND(AD260&gt;AA260,AA260&gt;0),"Does not meet minimum connected load",IF(AND(O260&gt;0,AS260&gt;0,BK260&gt;0,'Proposed Lighting'!CH260=0),"Select Control Strategies",IF(AND(AC260&gt;0.1,AJ260=0,AQ260=0),"Does not meet incentive criteria",0)))))))))))</f>
        <v>0</v>
      </c>
      <c r="AS260" s="1224">
        <f>IF('Proposed Lighting'!CH260=100,0,IF(ISNUMBER(SEARCH("multiple",Q260)),1,0))</f>
        <v>0</v>
      </c>
      <c r="AT260" s="451">
        <f t="shared" si="47"/>
        <v>0</v>
      </c>
      <c r="AU260" s="451">
        <f t="shared" si="48"/>
        <v>0</v>
      </c>
      <c r="AV260" s="1222">
        <f>IF(ISNUMBER(SEARCH("Networked",'Proposed Lighting'!T260)),0,IF(ISNUMBER(SEARCH("Strategies",'Proposed Lighting'!T260)),0,IF(ISNUMBER(SEARCH("Removal",'Proposed Lighting'!T260)),0,IF(ISNUMBER(SEARCH("non-standard",Q260)),1,0))))</f>
        <v>0</v>
      </c>
      <c r="AW260" s="451">
        <f t="shared" si="51"/>
        <v>0</v>
      </c>
      <c r="AX260" s="451"/>
      <c r="AY260" s="451"/>
      <c r="AZ260" s="451"/>
      <c r="BA260" s="451"/>
      <c r="BB260" s="451"/>
      <c r="BC260" s="1215"/>
      <c r="BD260" s="1215"/>
      <c r="BE260" s="1215"/>
      <c r="BF260" s="1215"/>
      <c r="BG260" s="1215"/>
      <c r="BH260" s="1215"/>
      <c r="BI260">
        <f>IF(AND(AS260=1,BC260="No",BD260="Yes",BE260="Yes",BF260="No",BH260="No"),0,IF(AND('Proposed Lighting'!AU260=2,AS260=1,BC260="Yes",BD260="Yes"),2,IF(AND('Proposed Lighting'!AU260=2,AS260=1,BC260="Yes",BE260="Yes"),2,IF(AND('Proposed Lighting'!AU260=2,AS260=1,BC260="Yes",BF260="Yes"),2,IF(AND('Proposed Lighting'!AU260=2,AS260=1,BC260="Yes",BH260="Yes"),2,IF(AND('Proposed Lighting'!AU260=2,AS260=1,BD260="Yes",BF260="Yes"),2,IF(AND('Proposed Lighting'!AU260=2,AS260=1,BD260="Yes",BH260="Yes"),2,IF(AND('Proposed Lighting'!AU260=3,AS260=1,BC260="Yes",BE260="Yes"),2,IF(AND('Proposed Lighting'!AU260=3,AS260=1,BC260="Yes",BF260="Yes"),2,0)))))))))</f>
        <v>0</v>
      </c>
      <c r="BJ260" s="1025">
        <f t="shared" si="49"/>
        <v>0</v>
      </c>
      <c r="BK260">
        <f>IF(AND('Proposed Lighting'!BC260=22,'Lighting Controls'!N260=1),0,IF(ISNUMBER(SEARCH("LED",G260)),1,0))</f>
        <v>0</v>
      </c>
    </row>
    <row r="261" spans="1:63" ht="34.5" customHeight="1">
      <c r="A261" s="917">
        <v>253</v>
      </c>
      <c r="B261" s="1828" t="str">
        <f>IF('Proposed Lighting'!B261="","",'Proposed Lighting'!B261)</f>
        <v/>
      </c>
      <c r="C261" s="1828"/>
      <c r="D261" s="1828"/>
      <c r="E261" s="1245">
        <f>'Proposed Lighting'!AA261</f>
        <v>0</v>
      </c>
      <c r="F261" s="1245">
        <f t="shared" si="42"/>
        <v>0</v>
      </c>
      <c r="G261" s="1830" t="str">
        <f>IF('Proposed Lighting'!T261="","",IF(ISNUMBER(SEARCH("Networked",'Proposed Lighting'!T261)),0,IF(ISNUMBER(SEARCH("Strategies",'Proposed Lighting'!T261)),0,IF(ISNUMBER(SEARCH("Removal",'Proposed Lighting'!T261)),0,'Proposed Lighting'!T261))))</f>
        <v/>
      </c>
      <c r="H261" s="1830"/>
      <c r="I261" s="1830"/>
      <c r="J261" s="1830"/>
      <c r="K261" s="1215"/>
      <c r="L261" s="1246">
        <f t="shared" si="43"/>
        <v>0</v>
      </c>
      <c r="M261" s="1224">
        <f t="shared" si="44"/>
        <v>0</v>
      </c>
      <c r="N261" s="1224">
        <f t="shared" si="45"/>
        <v>0</v>
      </c>
      <c r="O261" s="1825" t="str">
        <f>IF(G261=0,0,IF(ISNA('Proposed Lighting'!AT261),0,'Proposed Lighting'!AT261))</f>
        <v/>
      </c>
      <c r="P261" s="1825"/>
      <c r="Q261" s="1247"/>
      <c r="R261" s="1247"/>
      <c r="S261" s="1247"/>
      <c r="T261" s="1211"/>
      <c r="U261" s="1235">
        <f>IF(K261&gt;0.01,'Proposed Lighting'!CU261,0)</f>
        <v>0</v>
      </c>
      <c r="V261" s="1248">
        <f>IF('Proposed Lighting'!CF261=1,0,IF('Proposed Lighting'!AU261=2,0,IF(AND('Proposed Lighting'!AU261=3,'Proposed Lighting'!CF261=0),1,0)))</f>
        <v>0</v>
      </c>
      <c r="W261" s="1836"/>
      <c r="X261" s="1836"/>
      <c r="Y261" s="1836"/>
      <c r="Z261" s="1230" t="str">
        <f t="shared" si="39"/>
        <v/>
      </c>
      <c r="AA261" s="1230">
        <f t="shared" si="40"/>
        <v>0</v>
      </c>
      <c r="AB261" s="1230">
        <f>IF(Q261=0,0,IF(T261=0,0,IF(AA261=0,0,IF(AND(F261=3,V261=0),0,IF(T261=0,0,IF(K261&gt;'Proposed Lighting'!AA261,0,IF('Proposed Lighting'!EJ261&gt;0.01,(K261*O261)*'Proposed Lighting'!EJ261/1000,(K261*O261)*U261/1000)))))))</f>
        <v>0</v>
      </c>
      <c r="AC261" s="1230" t="str">
        <f t="shared" si="46"/>
        <v/>
      </c>
      <c r="AD261" s="1230">
        <f t="shared" si="41"/>
        <v>0</v>
      </c>
      <c r="AE261" s="1230">
        <f>IF(T261=0,0,IF(K261&gt;'Proposed Lighting'!AA261,0,IF(T261&gt;K261,0,IF(AND(AD261&gt;AA261,AA261&gt;0),0,IF(AND(F261&gt;1,W261&lt;0.01),0,IF('Proposed Lighting'!AU261&gt;'Lighting Controls'!F261,0,IF('Proposed Lighting'!AU261&lt;'Lighting Controls'!F261,0,IF(U261=0,0,Summary!AC564))))))))</f>
        <v>0</v>
      </c>
      <c r="AF261" s="1230">
        <f>IF(T261=0,0,IF(AE261=0,0,IF(K261&gt;'Proposed Lighting'!AA261,0,IF(AND(AD261&gt;AA261,AA261&gt;0),0,IF(U261=0,0,Summary!AD564)))))</f>
        <v>0</v>
      </c>
      <c r="AG261" s="1834">
        <f>IF('Proposed Lighting'!AU261=1,0,IF('Proposed Lighting'!CF261=1,0,T261*W261))</f>
        <v>0</v>
      </c>
      <c r="AH261" s="1834"/>
      <c r="AI261" s="1834"/>
      <c r="AJ261" s="1835">
        <f>IF(T261&lt;1,0,IF(K261&gt;'Proposed Lighting'!AA261,0,IF('Proposed Lighting'!CF261=1,0,IF('Proposed Lighting'!AU261=1,0,IF(T261&gt;K261,0,IF(AND(AD261&gt;AA261,AA261&gt;0),0,IF(AND(F261=2,'Proposed Lighting'!AU261=3),0,IF(AND(F261=3,'Proposed Lighting'!AU261=2),0,IF('Proposed Lighting'!CH261=100,0,IF(AND(F261&lt;3,V261=1,AM261=0),0,IF(AND(F261&gt;1,AF261&lt;1,AN261&lt;1),0,IF(AND(F261&gt;1,AE261&lt;0.69,AF261&lt;1,AN261&lt;1),0,IF(ISERROR(AB261-AC261),"",AB261-AC261)))))))))))))</f>
        <v>0</v>
      </c>
      <c r="AK261" s="1835"/>
      <c r="AL261" s="1835"/>
      <c r="AM261" s="1216">
        <f>IF(Q261=0,0,IF(T261=0,0,IF(T261&gt;K261,0,IF(AND(AS261&gt;0.01,BK261=0),0,IF(AND('Proposed Lighting'!DG261=0,'Lighting Controls'!Z261=0.35),0,IF(AND(T261&lt;=K261,AA261&gt;=AD261,'Proposed Lighting'!AU261=2),VLOOKUP(Q261,$AY$9:$AZ$15,2,FALSE),IF(AND(T261&lt;=K261,AA261&gt;=AD261,'Proposed Lighting'!AU261=3),VLOOKUP(Q261,$AY$17:$AZ$23,2,FALSE))))))))</f>
        <v>0</v>
      </c>
      <c r="AN261" s="1248">
        <f>IF(T261=0,0,IF(K261&gt;'Proposed Lighting'!AA261,0,IF(AE261=0,0,IF(AND(AD261&gt;AA261,AA261&gt;0),0,IF(U261=0,0,Summary!AE564)))))</f>
        <v>0</v>
      </c>
      <c r="AO261" s="1248">
        <f t="shared" si="50"/>
        <v>0</v>
      </c>
      <c r="AP261" s="1249">
        <f>IF('Proposed Lighting'!AU261=1,0,IF(K261=0,0,IF(T261&gt;K261,0,IF(G261=0,0,IF(K261&gt;'Proposed Lighting'!AA261,0,IF(AND(AD261&gt;AA261,AA261&gt;0),0,IF(AND('Proposed Lighting'!AU261=3,AM261=0.5),0,IF(AND(AM261&gt;0,AS261&gt;0,BI261&lt;2),0,IF('Proposed Lighting'!CH261=100,0,IF(AV261=1,0,IF(AND(AM261=35,M261+N261&lt;2),0,AM261)))))))))))</f>
        <v>0</v>
      </c>
      <c r="AQ261" s="1249" t="str">
        <f>IFERROR(ROUND(IF(Q261="","",IF('Proposed Lighting'!$X$4=0,0,IF(AND(AM261=35,M261+N261&lt;2),0,IF(T261&gt;K261,0,IF('Proposed Lighting'!AU261=1,0,IF(AJ261=0,0,IF(AND('Proposed Lighting'!AU261=3,AM261=0.5),0,IF(AND(AD261=75,AP261=0,AV261=0),0,IF(AP261&gt;0.01,AP261*T261,IF(AND(F261&gt;1,W261&lt;0.01),0,IF(AND(F261&gt;1,AO261=0),0,IF(AND('Proposed Lighting'!BC261=22,AV261=0),0,IF(AND(AM261&gt;0,AS261&gt;0,BI261&lt;2),0,IF(AND(AS261&gt;0.01,BK261=0),0,IF(AND(AO261=TRUE,AV261=1,F261=3),MIN(AJ261*0.08,L261),IF(AP261&gt;0.01,AP261*T261,IF(AND(AO261=TRUE,AV261=1,F261=2),MIN(AJ261*0.1,L261)))))))))))))))))),2),"")</f>
        <v/>
      </c>
      <c r="AR261" s="1250">
        <f>IF(Q261=0,0,IF('Proposed Lighting'!$X$4=0,0,IF(AND(AM261&gt;0.01,AQ261&gt;0.01),0,IF('Proposed Lighting'!AU261=1,"Missing Interior or Exterior Selection",IF('Proposed Lighting'!CF261=1,"Selection does not match",IF(K261&gt;'Proposed Lighting'!AA261,"Quantity controlled does not match proposed lighting quantity",IF(T261&gt;K261,"Quantity of sensors exceeds proposed lighting quantity",IF(AND(F261&gt;1,'Proposed Lighting'!AU261&lt;&gt;F261),"Selection does not match",IF(AND(AD261&gt;AA261,AA261&gt;0),"Does not meet minimum connected load",IF(AND(O261&gt;0,AS261&gt;0,BK261&gt;0,'Proposed Lighting'!CH261=0),"Select Control Strategies",IF(AND(AC261&gt;0.1,AJ261=0,AQ261=0),"Does not meet incentive criteria",0)))))))))))</f>
        <v>0</v>
      </c>
      <c r="AS261" s="1224">
        <f>IF('Proposed Lighting'!CH261=100,0,IF(ISNUMBER(SEARCH("multiple",Q261)),1,0))</f>
        <v>0</v>
      </c>
      <c r="AT261" s="451">
        <f t="shared" si="47"/>
        <v>0</v>
      </c>
      <c r="AU261" s="451">
        <f t="shared" si="48"/>
        <v>0</v>
      </c>
      <c r="AV261" s="1222">
        <f>IF(ISNUMBER(SEARCH("Networked",'Proposed Lighting'!T261)),0,IF(ISNUMBER(SEARCH("Strategies",'Proposed Lighting'!T261)),0,IF(ISNUMBER(SEARCH("Removal",'Proposed Lighting'!T261)),0,IF(ISNUMBER(SEARCH("non-standard",Q261)),1,0))))</f>
        <v>0</v>
      </c>
      <c r="AW261" s="451">
        <f t="shared" si="51"/>
        <v>0</v>
      </c>
      <c r="AX261" s="451"/>
      <c r="AY261" s="451"/>
      <c r="AZ261" s="451"/>
      <c r="BA261" s="451"/>
      <c r="BB261" s="451"/>
      <c r="BC261" s="1215"/>
      <c r="BD261" s="1215"/>
      <c r="BE261" s="1215"/>
      <c r="BF261" s="1215"/>
      <c r="BG261" s="1215"/>
      <c r="BH261" s="1215"/>
      <c r="BI261">
        <f>IF(AND(AS261=1,BC261="No",BD261="Yes",BE261="Yes",BF261="No",BH261="No"),0,IF(AND('Proposed Lighting'!AU261=2,AS261=1,BC261="Yes",BD261="Yes"),2,IF(AND('Proposed Lighting'!AU261=2,AS261=1,BC261="Yes",BE261="Yes"),2,IF(AND('Proposed Lighting'!AU261=2,AS261=1,BC261="Yes",BF261="Yes"),2,IF(AND('Proposed Lighting'!AU261=2,AS261=1,BC261="Yes",BH261="Yes"),2,IF(AND('Proposed Lighting'!AU261=2,AS261=1,BD261="Yes",BF261="Yes"),2,IF(AND('Proposed Lighting'!AU261=2,AS261=1,BD261="Yes",BH261="Yes"),2,IF(AND('Proposed Lighting'!AU261=3,AS261=1,BC261="Yes",BE261="Yes"),2,IF(AND('Proposed Lighting'!AU261=3,AS261=1,BC261="Yes",BF261="Yes"),2,0)))))))))</f>
        <v>0</v>
      </c>
      <c r="BJ261" s="1025">
        <f t="shared" si="49"/>
        <v>0</v>
      </c>
      <c r="BK261">
        <f>IF(AND('Proposed Lighting'!BC261=22,'Lighting Controls'!N261=1),0,IF(ISNUMBER(SEARCH("LED",G261)),1,0))</f>
        <v>0</v>
      </c>
    </row>
    <row r="262" spans="1:63" ht="34.5" customHeight="1">
      <c r="A262" s="917">
        <v>254</v>
      </c>
      <c r="B262" s="1828" t="str">
        <f>IF('Proposed Lighting'!B262="","",'Proposed Lighting'!B262)</f>
        <v/>
      </c>
      <c r="C262" s="1828"/>
      <c r="D262" s="1828"/>
      <c r="E262" s="1245">
        <f>'Proposed Lighting'!AA262</f>
        <v>0</v>
      </c>
      <c r="F262" s="1245">
        <f t="shared" si="42"/>
        <v>0</v>
      </c>
      <c r="G262" s="1830" t="str">
        <f>IF('Proposed Lighting'!T262="","",IF(ISNUMBER(SEARCH("Networked",'Proposed Lighting'!T262)),0,IF(ISNUMBER(SEARCH("Strategies",'Proposed Lighting'!T262)),0,IF(ISNUMBER(SEARCH("Removal",'Proposed Lighting'!T262)),0,'Proposed Lighting'!T262))))</f>
        <v/>
      </c>
      <c r="H262" s="1830"/>
      <c r="I262" s="1830"/>
      <c r="J262" s="1830"/>
      <c r="K262" s="1215"/>
      <c r="L262" s="1246">
        <f t="shared" si="43"/>
        <v>0</v>
      </c>
      <c r="M262" s="1224">
        <f t="shared" si="44"/>
        <v>0</v>
      </c>
      <c r="N262" s="1224">
        <f t="shared" si="45"/>
        <v>0</v>
      </c>
      <c r="O262" s="1825" t="str">
        <f>IF(G262=0,0,IF(ISNA('Proposed Lighting'!AT262),0,'Proposed Lighting'!AT262))</f>
        <v/>
      </c>
      <c r="P262" s="1825"/>
      <c r="Q262" s="1247"/>
      <c r="R262" s="1247"/>
      <c r="S262" s="1247"/>
      <c r="T262" s="1211"/>
      <c r="U262" s="1235">
        <f>IF(K262&gt;0.01,'Proposed Lighting'!CU262,0)</f>
        <v>0</v>
      </c>
      <c r="V262" s="1248">
        <f>IF('Proposed Lighting'!CF262=1,0,IF('Proposed Lighting'!AU262=2,0,IF(AND('Proposed Lighting'!AU262=3,'Proposed Lighting'!CF262=0),1,0)))</f>
        <v>0</v>
      </c>
      <c r="W262" s="1836"/>
      <c r="X262" s="1836"/>
      <c r="Y262" s="1836"/>
      <c r="Z262" s="1230" t="str">
        <f t="shared" si="39"/>
        <v/>
      </c>
      <c r="AA262" s="1230">
        <f t="shared" si="40"/>
        <v>0</v>
      </c>
      <c r="AB262" s="1230">
        <f>IF(Q262=0,0,IF(T262=0,0,IF(AA262=0,0,IF(AND(F262=3,V262=0),0,IF(T262=0,0,IF(K262&gt;'Proposed Lighting'!AA262,0,IF('Proposed Lighting'!EJ262&gt;0.01,(K262*O262)*'Proposed Lighting'!EJ262/1000,(K262*O262)*U262/1000)))))))</f>
        <v>0</v>
      </c>
      <c r="AC262" s="1230" t="str">
        <f t="shared" si="46"/>
        <v/>
      </c>
      <c r="AD262" s="1230">
        <f t="shared" si="41"/>
        <v>0</v>
      </c>
      <c r="AE262" s="1230">
        <f>IF(T262=0,0,IF(K262&gt;'Proposed Lighting'!AA262,0,IF(T262&gt;K262,0,IF(AND(AD262&gt;AA262,AA262&gt;0),0,IF(AND(F262&gt;1,W262&lt;0.01),0,IF('Proposed Lighting'!AU262&gt;'Lighting Controls'!F262,0,IF('Proposed Lighting'!AU262&lt;'Lighting Controls'!F262,0,IF(U262=0,0,Summary!AC565))))))))</f>
        <v>0</v>
      </c>
      <c r="AF262" s="1230">
        <f>IF(T262=0,0,IF(AE262=0,0,IF(K262&gt;'Proposed Lighting'!AA262,0,IF(AND(AD262&gt;AA262,AA262&gt;0),0,IF(U262=0,0,Summary!AD565)))))</f>
        <v>0</v>
      </c>
      <c r="AG262" s="1834">
        <f>IF('Proposed Lighting'!AU262=1,0,IF('Proposed Lighting'!CF262=1,0,T262*W262))</f>
        <v>0</v>
      </c>
      <c r="AH262" s="1834"/>
      <c r="AI262" s="1834"/>
      <c r="AJ262" s="1835">
        <f>IF(T262&lt;1,0,IF(K262&gt;'Proposed Lighting'!AA262,0,IF('Proposed Lighting'!CF262=1,0,IF('Proposed Lighting'!AU262=1,0,IF(T262&gt;K262,0,IF(AND(AD262&gt;AA262,AA262&gt;0),0,IF(AND(F262=2,'Proposed Lighting'!AU262=3),0,IF(AND(F262=3,'Proposed Lighting'!AU262=2),0,IF('Proposed Lighting'!CH262=100,0,IF(AND(F262&lt;3,V262=1,AM262=0),0,IF(AND(F262&gt;1,AF262&lt;1,AN262&lt;1),0,IF(AND(F262&gt;1,AE262&lt;0.69,AF262&lt;1,AN262&lt;1),0,IF(ISERROR(AB262-AC262),"",AB262-AC262)))))))))))))</f>
        <v>0</v>
      </c>
      <c r="AK262" s="1835"/>
      <c r="AL262" s="1835"/>
      <c r="AM262" s="1216">
        <f>IF(Q262=0,0,IF(T262=0,0,IF(T262&gt;K262,0,IF(AND(AS262&gt;0.01,BK262=0),0,IF(AND('Proposed Lighting'!DG262=0,'Lighting Controls'!Z262=0.35),0,IF(AND(T262&lt;=K262,AA262&gt;=AD262,'Proposed Lighting'!AU262=2),VLOOKUP(Q262,$AY$9:$AZ$15,2,FALSE),IF(AND(T262&lt;=K262,AA262&gt;=AD262,'Proposed Lighting'!AU262=3),VLOOKUP(Q262,$AY$17:$AZ$23,2,FALSE))))))))</f>
        <v>0</v>
      </c>
      <c r="AN262" s="1248">
        <f>IF(T262=0,0,IF(K262&gt;'Proposed Lighting'!AA262,0,IF(AE262=0,0,IF(AND(AD262&gt;AA262,AA262&gt;0),0,IF(U262=0,0,Summary!AE565)))))</f>
        <v>0</v>
      </c>
      <c r="AO262" s="1248">
        <f t="shared" si="50"/>
        <v>0</v>
      </c>
      <c r="AP262" s="1249">
        <f>IF('Proposed Lighting'!AU262=1,0,IF(K262=0,0,IF(T262&gt;K262,0,IF(G262=0,0,IF(K262&gt;'Proposed Lighting'!AA262,0,IF(AND(AD262&gt;AA262,AA262&gt;0),0,IF(AND('Proposed Lighting'!AU262=3,AM262=0.5),0,IF(AND(AM262&gt;0,AS262&gt;0,BI262&lt;2),0,IF('Proposed Lighting'!CH262=100,0,IF(AV262=1,0,IF(AND(AM262=35,M262+N262&lt;2),0,AM262)))))))))))</f>
        <v>0</v>
      </c>
      <c r="AQ262" s="1249" t="str">
        <f>IFERROR(ROUND(IF(Q262="","",IF('Proposed Lighting'!$X$4=0,0,IF(AND(AM262=35,M262+N262&lt;2),0,IF(T262&gt;K262,0,IF('Proposed Lighting'!AU262=1,0,IF(AJ262=0,0,IF(AND('Proposed Lighting'!AU262=3,AM262=0.5),0,IF(AND(AD262=75,AP262=0,AV262=0),0,IF(AP262&gt;0.01,AP262*T262,IF(AND(F262&gt;1,W262&lt;0.01),0,IF(AND(F262&gt;1,AO262=0),0,IF(AND('Proposed Lighting'!BC262=22,AV262=0),0,IF(AND(AM262&gt;0,AS262&gt;0,BI262&lt;2),0,IF(AND(AS262&gt;0.01,BK262=0),0,IF(AND(AO262=TRUE,AV262=1,F262=3),MIN(AJ262*0.08,L262),IF(AP262&gt;0.01,AP262*T262,IF(AND(AO262=TRUE,AV262=1,F262=2),MIN(AJ262*0.1,L262)))))))))))))))))),2),"")</f>
        <v/>
      </c>
      <c r="AR262" s="1250">
        <f>IF(Q262=0,0,IF('Proposed Lighting'!$X$4=0,0,IF(AND(AM262&gt;0.01,AQ262&gt;0.01),0,IF('Proposed Lighting'!AU262=1,"Missing Interior or Exterior Selection",IF('Proposed Lighting'!CF262=1,"Selection does not match",IF(K262&gt;'Proposed Lighting'!AA262,"Quantity controlled does not match proposed lighting quantity",IF(T262&gt;K262,"Quantity of sensors exceeds proposed lighting quantity",IF(AND(F262&gt;1,'Proposed Lighting'!AU262&lt;&gt;F262),"Selection does not match",IF(AND(AD262&gt;AA262,AA262&gt;0),"Does not meet minimum connected load",IF(AND(O262&gt;0,AS262&gt;0,BK262&gt;0,'Proposed Lighting'!CH262=0),"Select Control Strategies",IF(AND(AC262&gt;0.1,AJ262=0,AQ262=0),"Does not meet incentive criteria",0)))))))))))</f>
        <v>0</v>
      </c>
      <c r="AS262" s="1224">
        <f>IF('Proposed Lighting'!CH262=100,0,IF(ISNUMBER(SEARCH("multiple",Q262)),1,0))</f>
        <v>0</v>
      </c>
      <c r="AT262" s="451">
        <f t="shared" si="47"/>
        <v>0</v>
      </c>
      <c r="AU262" s="451">
        <f t="shared" si="48"/>
        <v>0</v>
      </c>
      <c r="AV262" s="1222">
        <f>IF(ISNUMBER(SEARCH("Networked",'Proposed Lighting'!T262)),0,IF(ISNUMBER(SEARCH("Strategies",'Proposed Lighting'!T262)),0,IF(ISNUMBER(SEARCH("Removal",'Proposed Lighting'!T262)),0,IF(ISNUMBER(SEARCH("non-standard",Q262)),1,0))))</f>
        <v>0</v>
      </c>
      <c r="AW262" s="451">
        <f t="shared" si="51"/>
        <v>0</v>
      </c>
      <c r="AX262" s="451"/>
      <c r="AY262" s="451"/>
      <c r="AZ262" s="451"/>
      <c r="BA262" s="451"/>
      <c r="BB262" s="451"/>
      <c r="BC262" s="1215"/>
      <c r="BD262" s="1215"/>
      <c r="BE262" s="1215"/>
      <c r="BF262" s="1215"/>
      <c r="BG262" s="1215"/>
      <c r="BH262" s="1215"/>
      <c r="BI262">
        <f>IF(AND(AS262=1,BC262="No",BD262="Yes",BE262="Yes",BF262="No",BH262="No"),0,IF(AND('Proposed Lighting'!AU262=2,AS262=1,BC262="Yes",BD262="Yes"),2,IF(AND('Proposed Lighting'!AU262=2,AS262=1,BC262="Yes",BE262="Yes"),2,IF(AND('Proposed Lighting'!AU262=2,AS262=1,BC262="Yes",BF262="Yes"),2,IF(AND('Proposed Lighting'!AU262=2,AS262=1,BC262="Yes",BH262="Yes"),2,IF(AND('Proposed Lighting'!AU262=2,AS262=1,BD262="Yes",BF262="Yes"),2,IF(AND('Proposed Lighting'!AU262=2,AS262=1,BD262="Yes",BH262="Yes"),2,IF(AND('Proposed Lighting'!AU262=3,AS262=1,BC262="Yes",BE262="Yes"),2,IF(AND('Proposed Lighting'!AU262=3,AS262=1,BC262="Yes",BF262="Yes"),2,0)))))))))</f>
        <v>0</v>
      </c>
      <c r="BJ262" s="1025">
        <f t="shared" si="49"/>
        <v>0</v>
      </c>
      <c r="BK262">
        <f>IF(AND('Proposed Lighting'!BC262=22,'Lighting Controls'!N262=1),0,IF(ISNUMBER(SEARCH("LED",G262)),1,0))</f>
        <v>0</v>
      </c>
    </row>
    <row r="263" spans="1:63" ht="34.5" customHeight="1">
      <c r="A263" s="917">
        <v>255</v>
      </c>
      <c r="B263" s="1828" t="str">
        <f>IF('Proposed Lighting'!B263="","",'Proposed Lighting'!B263)</f>
        <v/>
      </c>
      <c r="C263" s="1828"/>
      <c r="D263" s="1828"/>
      <c r="E263" s="1245">
        <f>'Proposed Lighting'!AA263</f>
        <v>0</v>
      </c>
      <c r="F263" s="1245">
        <f t="shared" si="42"/>
        <v>0</v>
      </c>
      <c r="G263" s="1830" t="str">
        <f>IF('Proposed Lighting'!T263="","",IF(ISNUMBER(SEARCH("Networked",'Proposed Lighting'!T263)),0,IF(ISNUMBER(SEARCH("Strategies",'Proposed Lighting'!T263)),0,IF(ISNUMBER(SEARCH("Removal",'Proposed Lighting'!T263)),0,'Proposed Lighting'!T263))))</f>
        <v/>
      </c>
      <c r="H263" s="1830"/>
      <c r="I263" s="1830"/>
      <c r="J263" s="1830"/>
      <c r="K263" s="1215"/>
      <c r="L263" s="1246">
        <f t="shared" si="43"/>
        <v>0</v>
      </c>
      <c r="M263" s="1224">
        <f t="shared" si="44"/>
        <v>0</v>
      </c>
      <c r="N263" s="1224">
        <f t="shared" si="45"/>
        <v>0</v>
      </c>
      <c r="O263" s="1825" t="str">
        <f>IF(G263=0,0,IF(ISNA('Proposed Lighting'!AT263),0,'Proposed Lighting'!AT263))</f>
        <v/>
      </c>
      <c r="P263" s="1825"/>
      <c r="Q263" s="1247"/>
      <c r="R263" s="1247"/>
      <c r="S263" s="1247"/>
      <c r="T263" s="1211"/>
      <c r="U263" s="1235">
        <f>IF(K263&gt;0.01,'Proposed Lighting'!CU263,0)</f>
        <v>0</v>
      </c>
      <c r="V263" s="1248">
        <f>IF('Proposed Lighting'!CF263=1,0,IF('Proposed Lighting'!AU263=2,0,IF(AND('Proposed Lighting'!AU263=3,'Proposed Lighting'!CF263=0),1,0)))</f>
        <v>0</v>
      </c>
      <c r="W263" s="1836"/>
      <c r="X263" s="1836"/>
      <c r="Y263" s="1836"/>
      <c r="Z263" s="1230" t="str">
        <f t="shared" si="39"/>
        <v/>
      </c>
      <c r="AA263" s="1230">
        <f t="shared" si="40"/>
        <v>0</v>
      </c>
      <c r="AB263" s="1230">
        <f>IF(Q263=0,0,IF(T263=0,0,IF(AA263=0,0,IF(AND(F263=3,V263=0),0,IF(T263=0,0,IF(K263&gt;'Proposed Lighting'!AA263,0,IF('Proposed Lighting'!EJ263&gt;0.01,(K263*O263)*'Proposed Lighting'!EJ263/1000,(K263*O263)*U263/1000)))))))</f>
        <v>0</v>
      </c>
      <c r="AC263" s="1230" t="str">
        <f t="shared" si="46"/>
        <v/>
      </c>
      <c r="AD263" s="1230">
        <f t="shared" si="41"/>
        <v>0</v>
      </c>
      <c r="AE263" s="1230">
        <f>IF(T263=0,0,IF(K263&gt;'Proposed Lighting'!AA263,0,IF(T263&gt;K263,0,IF(AND(AD263&gt;AA263,AA263&gt;0),0,IF(AND(F263&gt;1,W263&lt;0.01),0,IF('Proposed Lighting'!AU263&gt;'Lighting Controls'!F263,0,IF('Proposed Lighting'!AU263&lt;'Lighting Controls'!F263,0,IF(U263=0,0,Summary!AC566))))))))</f>
        <v>0</v>
      </c>
      <c r="AF263" s="1230">
        <f>IF(T263=0,0,IF(AE263=0,0,IF(K263&gt;'Proposed Lighting'!AA263,0,IF(AND(AD263&gt;AA263,AA263&gt;0),0,IF(U263=0,0,Summary!AD566)))))</f>
        <v>0</v>
      </c>
      <c r="AG263" s="1834">
        <f>IF('Proposed Lighting'!AU263=1,0,IF('Proposed Lighting'!CF263=1,0,T263*W263))</f>
        <v>0</v>
      </c>
      <c r="AH263" s="1834"/>
      <c r="AI263" s="1834"/>
      <c r="AJ263" s="1835">
        <f>IF(T263&lt;1,0,IF(K263&gt;'Proposed Lighting'!AA263,0,IF('Proposed Lighting'!CF263=1,0,IF('Proposed Lighting'!AU263=1,0,IF(T263&gt;K263,0,IF(AND(AD263&gt;AA263,AA263&gt;0),0,IF(AND(F263=2,'Proposed Lighting'!AU263=3),0,IF(AND(F263=3,'Proposed Lighting'!AU263=2),0,IF('Proposed Lighting'!CH263=100,0,IF(AND(F263&lt;3,V263=1,AM263=0),0,IF(AND(F263&gt;1,AF263&lt;1,AN263&lt;1),0,IF(AND(F263&gt;1,AE263&lt;0.69,AF263&lt;1,AN263&lt;1),0,IF(ISERROR(AB263-AC263),"",AB263-AC263)))))))))))))</f>
        <v>0</v>
      </c>
      <c r="AK263" s="1835"/>
      <c r="AL263" s="1835"/>
      <c r="AM263" s="1216">
        <f>IF(Q263=0,0,IF(T263=0,0,IF(T263&gt;K263,0,IF(AND(AS263&gt;0.01,BK263=0),0,IF(AND('Proposed Lighting'!DG263=0,'Lighting Controls'!Z263=0.35),0,IF(AND(T263&lt;=K263,AA263&gt;=AD263,'Proposed Lighting'!AU263=2),VLOOKUP(Q263,$AY$9:$AZ$15,2,FALSE),IF(AND(T263&lt;=K263,AA263&gt;=AD263,'Proposed Lighting'!AU263=3),VLOOKUP(Q263,$AY$17:$AZ$23,2,FALSE))))))))</f>
        <v>0</v>
      </c>
      <c r="AN263" s="1248">
        <f>IF(T263=0,0,IF(K263&gt;'Proposed Lighting'!AA263,0,IF(AE263=0,0,IF(AND(AD263&gt;AA263,AA263&gt;0),0,IF(U263=0,0,Summary!AE566)))))</f>
        <v>0</v>
      </c>
      <c r="AO263" s="1248">
        <f t="shared" si="50"/>
        <v>0</v>
      </c>
      <c r="AP263" s="1249">
        <f>IF('Proposed Lighting'!AU263=1,0,IF(K263=0,0,IF(T263&gt;K263,0,IF(G263=0,0,IF(K263&gt;'Proposed Lighting'!AA263,0,IF(AND(AD263&gt;AA263,AA263&gt;0),0,IF(AND('Proposed Lighting'!AU263=3,AM263=0.5),0,IF(AND(AM263&gt;0,AS263&gt;0,BI263&lt;2),0,IF('Proposed Lighting'!CH263=100,0,IF(AV263=1,0,IF(AND(AM263=35,M263+N263&lt;2),0,AM263)))))))))))</f>
        <v>0</v>
      </c>
      <c r="AQ263" s="1249" t="str">
        <f>IFERROR(ROUND(IF(Q263="","",IF('Proposed Lighting'!$X$4=0,0,IF(AND(AM263=35,M263+N263&lt;2),0,IF(T263&gt;K263,0,IF('Proposed Lighting'!AU263=1,0,IF(AJ263=0,0,IF(AND('Proposed Lighting'!AU263=3,AM263=0.5),0,IF(AND(AD263=75,AP263=0,AV263=0),0,IF(AP263&gt;0.01,AP263*T263,IF(AND(F263&gt;1,W263&lt;0.01),0,IF(AND(F263&gt;1,AO263=0),0,IF(AND('Proposed Lighting'!BC263=22,AV263=0),0,IF(AND(AM263&gt;0,AS263&gt;0,BI263&lt;2),0,IF(AND(AS263&gt;0.01,BK263=0),0,IF(AND(AO263=TRUE,AV263=1,F263=3),MIN(AJ263*0.08,L263),IF(AP263&gt;0.01,AP263*T263,IF(AND(AO263=TRUE,AV263=1,F263=2),MIN(AJ263*0.1,L263)))))))))))))))))),2),"")</f>
        <v/>
      </c>
      <c r="AR263" s="1250">
        <f>IF(Q263=0,0,IF('Proposed Lighting'!$X$4=0,0,IF(AND(AM263&gt;0.01,AQ263&gt;0.01),0,IF('Proposed Lighting'!AU263=1,"Missing Interior or Exterior Selection",IF('Proposed Lighting'!CF263=1,"Selection does not match",IF(K263&gt;'Proposed Lighting'!AA263,"Quantity controlled does not match proposed lighting quantity",IF(T263&gt;K263,"Quantity of sensors exceeds proposed lighting quantity",IF(AND(F263&gt;1,'Proposed Lighting'!AU263&lt;&gt;F263),"Selection does not match",IF(AND(AD263&gt;AA263,AA263&gt;0),"Does not meet minimum connected load",IF(AND(O263&gt;0,AS263&gt;0,BK263&gt;0,'Proposed Lighting'!CH263=0),"Select Control Strategies",IF(AND(AC263&gt;0.1,AJ263=0,AQ263=0),"Does not meet incentive criteria",0)))))))))))</f>
        <v>0</v>
      </c>
      <c r="AS263" s="1224">
        <f>IF('Proposed Lighting'!CH263=100,0,IF(ISNUMBER(SEARCH("multiple",Q263)),1,0))</f>
        <v>0</v>
      </c>
      <c r="AT263" s="451">
        <f t="shared" si="47"/>
        <v>0</v>
      </c>
      <c r="AU263" s="451">
        <f t="shared" si="48"/>
        <v>0</v>
      </c>
      <c r="AV263" s="1222">
        <f>IF(ISNUMBER(SEARCH("Networked",'Proposed Lighting'!T263)),0,IF(ISNUMBER(SEARCH("Strategies",'Proposed Lighting'!T263)),0,IF(ISNUMBER(SEARCH("Removal",'Proposed Lighting'!T263)),0,IF(ISNUMBER(SEARCH("non-standard",Q263)),1,0))))</f>
        <v>0</v>
      </c>
      <c r="AW263" s="451">
        <f t="shared" si="51"/>
        <v>0</v>
      </c>
      <c r="AX263" s="451"/>
      <c r="AY263" s="451"/>
      <c r="AZ263" s="451"/>
      <c r="BA263" s="451"/>
      <c r="BB263" s="451"/>
      <c r="BC263" s="1215"/>
      <c r="BD263" s="1215"/>
      <c r="BE263" s="1215"/>
      <c r="BF263" s="1215"/>
      <c r="BG263" s="1215"/>
      <c r="BH263" s="1215"/>
      <c r="BI263">
        <f>IF(AND(AS263=1,BC263="No",BD263="Yes",BE263="Yes",BF263="No",BH263="No"),0,IF(AND('Proposed Lighting'!AU263=2,AS263=1,BC263="Yes",BD263="Yes"),2,IF(AND('Proposed Lighting'!AU263=2,AS263=1,BC263="Yes",BE263="Yes"),2,IF(AND('Proposed Lighting'!AU263=2,AS263=1,BC263="Yes",BF263="Yes"),2,IF(AND('Proposed Lighting'!AU263=2,AS263=1,BC263="Yes",BH263="Yes"),2,IF(AND('Proposed Lighting'!AU263=2,AS263=1,BD263="Yes",BF263="Yes"),2,IF(AND('Proposed Lighting'!AU263=2,AS263=1,BD263="Yes",BH263="Yes"),2,IF(AND('Proposed Lighting'!AU263=3,AS263=1,BC263="Yes",BE263="Yes"),2,IF(AND('Proposed Lighting'!AU263=3,AS263=1,BC263="Yes",BF263="Yes"),2,0)))))))))</f>
        <v>0</v>
      </c>
      <c r="BJ263" s="1025">
        <f t="shared" si="49"/>
        <v>0</v>
      </c>
      <c r="BK263">
        <f>IF(AND('Proposed Lighting'!BC263=22,'Lighting Controls'!N263=1),0,IF(ISNUMBER(SEARCH("LED",G263)),1,0))</f>
        <v>0</v>
      </c>
    </row>
    <row r="264" spans="1:63" ht="34.5" customHeight="1">
      <c r="A264" s="917">
        <v>256</v>
      </c>
      <c r="B264" s="1828" t="str">
        <f>IF('Proposed Lighting'!B264="","",'Proposed Lighting'!B264)</f>
        <v/>
      </c>
      <c r="C264" s="1828"/>
      <c r="D264" s="1828"/>
      <c r="E264" s="1245">
        <f>'Proposed Lighting'!AA264</f>
        <v>0</v>
      </c>
      <c r="F264" s="1245">
        <f t="shared" si="42"/>
        <v>0</v>
      </c>
      <c r="G264" s="1830" t="str">
        <f>IF('Proposed Lighting'!T264="","",IF(ISNUMBER(SEARCH("Networked",'Proposed Lighting'!T264)),0,IF(ISNUMBER(SEARCH("Strategies",'Proposed Lighting'!T264)),0,IF(ISNUMBER(SEARCH("Removal",'Proposed Lighting'!T264)),0,'Proposed Lighting'!T264))))</f>
        <v/>
      </c>
      <c r="H264" s="1830"/>
      <c r="I264" s="1830"/>
      <c r="J264" s="1830"/>
      <c r="K264" s="1215"/>
      <c r="L264" s="1246">
        <f t="shared" si="43"/>
        <v>0</v>
      </c>
      <c r="M264" s="1224">
        <f t="shared" si="44"/>
        <v>0</v>
      </c>
      <c r="N264" s="1224">
        <f t="shared" si="45"/>
        <v>0</v>
      </c>
      <c r="O264" s="1825" t="str">
        <f>IF(G264=0,0,IF(ISNA('Proposed Lighting'!AT264),0,'Proposed Lighting'!AT264))</f>
        <v/>
      </c>
      <c r="P264" s="1825"/>
      <c r="Q264" s="1247"/>
      <c r="R264" s="1247"/>
      <c r="S264" s="1247"/>
      <c r="T264" s="1211"/>
      <c r="U264" s="1235">
        <f>IF(K264&gt;0.01,'Proposed Lighting'!CU264,0)</f>
        <v>0</v>
      </c>
      <c r="V264" s="1248">
        <f>IF('Proposed Lighting'!CF264=1,0,IF('Proposed Lighting'!AU264=2,0,IF(AND('Proposed Lighting'!AU264=3,'Proposed Lighting'!CF264=0),1,0)))</f>
        <v>0</v>
      </c>
      <c r="W264" s="1836"/>
      <c r="X264" s="1836"/>
      <c r="Y264" s="1836"/>
      <c r="Z264" s="1230" t="str">
        <f t="shared" si="39"/>
        <v/>
      </c>
      <c r="AA264" s="1230">
        <f t="shared" si="40"/>
        <v>0</v>
      </c>
      <c r="AB264" s="1230">
        <f>IF(Q264=0,0,IF(T264=0,0,IF(AA264=0,0,IF(AND(F264=3,V264=0),0,IF(T264=0,0,IF(K264&gt;'Proposed Lighting'!AA264,0,IF('Proposed Lighting'!EJ264&gt;0.01,(K264*O264)*'Proposed Lighting'!EJ264/1000,(K264*O264)*U264/1000)))))))</f>
        <v>0</v>
      </c>
      <c r="AC264" s="1230" t="str">
        <f t="shared" si="46"/>
        <v/>
      </c>
      <c r="AD264" s="1230">
        <f t="shared" si="41"/>
        <v>0</v>
      </c>
      <c r="AE264" s="1230">
        <f>IF(T264=0,0,IF(K264&gt;'Proposed Lighting'!AA264,0,IF(T264&gt;K264,0,IF(AND(AD264&gt;AA264,AA264&gt;0),0,IF(AND(F264&gt;1,W264&lt;0.01),0,IF('Proposed Lighting'!AU264&gt;'Lighting Controls'!F264,0,IF('Proposed Lighting'!AU264&lt;'Lighting Controls'!F264,0,IF(U264=0,0,Summary!AC567))))))))</f>
        <v>0</v>
      </c>
      <c r="AF264" s="1230">
        <f>IF(T264=0,0,IF(AE264=0,0,IF(K264&gt;'Proposed Lighting'!AA264,0,IF(AND(AD264&gt;AA264,AA264&gt;0),0,IF(U264=0,0,Summary!AD567)))))</f>
        <v>0</v>
      </c>
      <c r="AG264" s="1834">
        <f>IF('Proposed Lighting'!AU264=1,0,IF('Proposed Lighting'!CF264=1,0,T264*W264))</f>
        <v>0</v>
      </c>
      <c r="AH264" s="1834"/>
      <c r="AI264" s="1834"/>
      <c r="AJ264" s="1835">
        <f>IF(T264&lt;1,0,IF(K264&gt;'Proposed Lighting'!AA264,0,IF('Proposed Lighting'!CF264=1,0,IF('Proposed Lighting'!AU264=1,0,IF(T264&gt;K264,0,IF(AND(AD264&gt;AA264,AA264&gt;0),0,IF(AND(F264=2,'Proposed Lighting'!AU264=3),0,IF(AND(F264=3,'Proposed Lighting'!AU264=2),0,IF('Proposed Lighting'!CH264=100,0,IF(AND(F264&lt;3,V264=1,AM264=0),0,IF(AND(F264&gt;1,AF264&lt;1,AN264&lt;1),0,IF(AND(F264&gt;1,AE264&lt;0.69,AF264&lt;1,AN264&lt;1),0,IF(ISERROR(AB264-AC264),"",AB264-AC264)))))))))))))</f>
        <v>0</v>
      </c>
      <c r="AK264" s="1835"/>
      <c r="AL264" s="1835"/>
      <c r="AM264" s="1216">
        <f>IF(Q264=0,0,IF(T264=0,0,IF(T264&gt;K264,0,IF(AND(AS264&gt;0.01,BK264=0),0,IF(AND('Proposed Lighting'!DG264=0,'Lighting Controls'!Z264=0.35),0,IF(AND(T264&lt;=K264,AA264&gt;=AD264,'Proposed Lighting'!AU264=2),VLOOKUP(Q264,$AY$9:$AZ$15,2,FALSE),IF(AND(T264&lt;=K264,AA264&gt;=AD264,'Proposed Lighting'!AU264=3),VLOOKUP(Q264,$AY$17:$AZ$23,2,FALSE))))))))</f>
        <v>0</v>
      </c>
      <c r="AN264" s="1248">
        <f>IF(T264=0,0,IF(K264&gt;'Proposed Lighting'!AA264,0,IF(AE264=0,0,IF(AND(AD264&gt;AA264,AA264&gt;0),0,IF(U264=0,0,Summary!AE567)))))</f>
        <v>0</v>
      </c>
      <c r="AO264" s="1248">
        <f t="shared" si="50"/>
        <v>0</v>
      </c>
      <c r="AP264" s="1249">
        <f>IF('Proposed Lighting'!AU264=1,0,IF(K264=0,0,IF(T264&gt;K264,0,IF(G264=0,0,IF(K264&gt;'Proposed Lighting'!AA264,0,IF(AND(AD264&gt;AA264,AA264&gt;0),0,IF(AND('Proposed Lighting'!AU264=3,AM264=0.5),0,IF(AND(AM264&gt;0,AS264&gt;0,BI264&lt;2),0,IF('Proposed Lighting'!CH264=100,0,IF(AV264=1,0,IF(AND(AM264=35,M264+N264&lt;2),0,AM264)))))))))))</f>
        <v>0</v>
      </c>
      <c r="AQ264" s="1249" t="str">
        <f>IFERROR(ROUND(IF(Q264="","",IF('Proposed Lighting'!$X$4=0,0,IF(AND(AM264=35,M264+N264&lt;2),0,IF(T264&gt;K264,0,IF('Proposed Lighting'!AU264=1,0,IF(AJ264=0,0,IF(AND('Proposed Lighting'!AU264=3,AM264=0.5),0,IF(AND(AD264=75,AP264=0,AV264=0),0,IF(AP264&gt;0.01,AP264*T264,IF(AND(F264&gt;1,W264&lt;0.01),0,IF(AND(F264&gt;1,AO264=0),0,IF(AND('Proposed Lighting'!BC264=22,AV264=0),0,IF(AND(AM264&gt;0,AS264&gt;0,BI264&lt;2),0,IF(AND(AS264&gt;0.01,BK264=0),0,IF(AND(AO264=TRUE,AV264=1,F264=3),MIN(AJ264*0.08,L264),IF(AP264&gt;0.01,AP264*T264,IF(AND(AO264=TRUE,AV264=1,F264=2),MIN(AJ264*0.1,L264)))))))))))))))))),2),"")</f>
        <v/>
      </c>
      <c r="AR264" s="1250">
        <f>IF(Q264=0,0,IF('Proposed Lighting'!$X$4=0,0,IF(AND(AM264&gt;0.01,AQ264&gt;0.01),0,IF('Proposed Lighting'!AU264=1,"Missing Interior or Exterior Selection",IF('Proposed Lighting'!CF264=1,"Selection does not match",IF(K264&gt;'Proposed Lighting'!AA264,"Quantity controlled does not match proposed lighting quantity",IF(T264&gt;K264,"Quantity of sensors exceeds proposed lighting quantity",IF(AND(F264&gt;1,'Proposed Lighting'!AU264&lt;&gt;F264),"Selection does not match",IF(AND(AD264&gt;AA264,AA264&gt;0),"Does not meet minimum connected load",IF(AND(O264&gt;0,AS264&gt;0,BK264&gt;0,'Proposed Lighting'!CH264=0),"Select Control Strategies",IF(AND(AC264&gt;0.1,AJ264=0,AQ264=0),"Does not meet incentive criteria",0)))))))))))</f>
        <v>0</v>
      </c>
      <c r="AS264" s="1224">
        <f>IF('Proposed Lighting'!CH264=100,0,IF(ISNUMBER(SEARCH("multiple",Q264)),1,0))</f>
        <v>0</v>
      </c>
      <c r="AT264" s="451">
        <f t="shared" si="47"/>
        <v>0</v>
      </c>
      <c r="AU264" s="451">
        <f t="shared" si="48"/>
        <v>0</v>
      </c>
      <c r="AV264" s="1222">
        <f>IF(ISNUMBER(SEARCH("Networked",'Proposed Lighting'!T264)),0,IF(ISNUMBER(SEARCH("Strategies",'Proposed Lighting'!T264)),0,IF(ISNUMBER(SEARCH("Removal",'Proposed Lighting'!T264)),0,IF(ISNUMBER(SEARCH("non-standard",Q264)),1,0))))</f>
        <v>0</v>
      </c>
      <c r="AW264" s="451">
        <f t="shared" si="51"/>
        <v>0</v>
      </c>
      <c r="AX264" s="451"/>
      <c r="AY264" s="451"/>
      <c r="AZ264" s="451"/>
      <c r="BA264" s="451"/>
      <c r="BB264" s="451"/>
      <c r="BC264" s="1215"/>
      <c r="BD264" s="1215"/>
      <c r="BE264" s="1215"/>
      <c r="BF264" s="1215"/>
      <c r="BG264" s="1215"/>
      <c r="BH264" s="1215"/>
      <c r="BI264">
        <f>IF(AND(AS264=1,BC264="No",BD264="Yes",BE264="Yes",BF264="No",BH264="No"),0,IF(AND('Proposed Lighting'!AU264=2,AS264=1,BC264="Yes",BD264="Yes"),2,IF(AND('Proposed Lighting'!AU264=2,AS264=1,BC264="Yes",BE264="Yes"),2,IF(AND('Proposed Lighting'!AU264=2,AS264=1,BC264="Yes",BF264="Yes"),2,IF(AND('Proposed Lighting'!AU264=2,AS264=1,BC264="Yes",BH264="Yes"),2,IF(AND('Proposed Lighting'!AU264=2,AS264=1,BD264="Yes",BF264="Yes"),2,IF(AND('Proposed Lighting'!AU264=2,AS264=1,BD264="Yes",BH264="Yes"),2,IF(AND('Proposed Lighting'!AU264=3,AS264=1,BC264="Yes",BE264="Yes"),2,IF(AND('Proposed Lighting'!AU264=3,AS264=1,BC264="Yes",BF264="Yes"),2,0)))))))))</f>
        <v>0</v>
      </c>
      <c r="BJ264" s="1025">
        <f t="shared" si="49"/>
        <v>0</v>
      </c>
      <c r="BK264">
        <f>IF(AND('Proposed Lighting'!BC264=22,'Lighting Controls'!N264=1),0,IF(ISNUMBER(SEARCH("LED",G264)),1,0))</f>
        <v>0</v>
      </c>
    </row>
    <row r="265" spans="1:63" ht="34.5" customHeight="1">
      <c r="A265" s="917">
        <v>257</v>
      </c>
      <c r="B265" s="1828" t="str">
        <f>IF('Proposed Lighting'!B265="","",'Proposed Lighting'!B265)</f>
        <v/>
      </c>
      <c r="C265" s="1828"/>
      <c r="D265" s="1828"/>
      <c r="E265" s="1245">
        <f>'Proposed Lighting'!AA265</f>
        <v>0</v>
      </c>
      <c r="F265" s="1245">
        <f t="shared" si="42"/>
        <v>0</v>
      </c>
      <c r="G265" s="1830" t="str">
        <f>IF('Proposed Lighting'!T265="","",IF(ISNUMBER(SEARCH("Networked",'Proposed Lighting'!T265)),0,IF(ISNUMBER(SEARCH("Strategies",'Proposed Lighting'!T265)),0,IF(ISNUMBER(SEARCH("Removal",'Proposed Lighting'!T265)),0,'Proposed Lighting'!T265))))</f>
        <v/>
      </c>
      <c r="H265" s="1830"/>
      <c r="I265" s="1830"/>
      <c r="J265" s="1830"/>
      <c r="K265" s="1215"/>
      <c r="L265" s="1246">
        <f t="shared" si="43"/>
        <v>0</v>
      </c>
      <c r="M265" s="1224">
        <f t="shared" si="44"/>
        <v>0</v>
      </c>
      <c r="N265" s="1224">
        <f t="shared" si="45"/>
        <v>0</v>
      </c>
      <c r="O265" s="1825" t="str">
        <f>IF(G265=0,0,IF(ISNA('Proposed Lighting'!AT265),0,'Proposed Lighting'!AT265))</f>
        <v/>
      </c>
      <c r="P265" s="1825"/>
      <c r="Q265" s="1247"/>
      <c r="R265" s="1247"/>
      <c r="S265" s="1247"/>
      <c r="T265" s="1211"/>
      <c r="U265" s="1235">
        <f>IF(K265&gt;0.01,'Proposed Lighting'!CU265,0)</f>
        <v>0</v>
      </c>
      <c r="V265" s="1248">
        <f>IF('Proposed Lighting'!CF265=1,0,IF('Proposed Lighting'!AU265=2,0,IF(AND('Proposed Lighting'!AU265=3,'Proposed Lighting'!CF265=0),1,0)))</f>
        <v>0</v>
      </c>
      <c r="W265" s="1836"/>
      <c r="X265" s="1836"/>
      <c r="Y265" s="1836"/>
      <c r="Z265" s="1230" t="str">
        <f t="shared" ref="Z265:Z328" si="52">IF(Q265="","",VLOOKUP(Q265,$AW$9:$AX$15,2,FALSE))</f>
        <v/>
      </c>
      <c r="AA265" s="1230">
        <f t="shared" ref="AA265:AA328" si="53">IF(T265=0,0,IF(Q265=0,0,IF(G265=0,0,SUM(K265*O265)/T265)))</f>
        <v>0</v>
      </c>
      <c r="AB265" s="1230">
        <f>IF(Q265=0,0,IF(T265=0,0,IF(AA265=0,0,IF(AND(F265=3,V265=0),0,IF(T265=0,0,IF(K265&gt;'Proposed Lighting'!AA265,0,IF('Proposed Lighting'!EJ265&gt;0.01,(K265*O265)*'Proposed Lighting'!EJ265/1000,(K265*O265)*U265/1000)))))))</f>
        <v>0</v>
      </c>
      <c r="AC265" s="1230" t="str">
        <f t="shared" si="46"/>
        <v/>
      </c>
      <c r="AD265" s="1230">
        <f t="shared" ref="AD265:AD328" si="54">IF(K265=0,0,IF(T265=0,0,IF(V265=1,75,IF(V265=0,VLOOKUP(Q265,$BA$9:$BB$15,2,FALSE)))))</f>
        <v>0</v>
      </c>
      <c r="AE265" s="1230">
        <f>IF(T265=0,0,IF(K265&gt;'Proposed Lighting'!AA265,0,IF(T265&gt;K265,0,IF(AND(AD265&gt;AA265,AA265&gt;0),0,IF(AND(F265&gt;1,W265&lt;0.01),0,IF('Proposed Lighting'!AU265&gt;'Lighting Controls'!F265,0,IF('Proposed Lighting'!AU265&lt;'Lighting Controls'!F265,0,IF(U265=0,0,Summary!AC568))))))))</f>
        <v>0</v>
      </c>
      <c r="AF265" s="1230">
        <f>IF(T265=0,0,IF(AE265=0,0,IF(K265&gt;'Proposed Lighting'!AA265,0,IF(AND(AD265&gt;AA265,AA265&gt;0),0,IF(U265=0,0,Summary!AD568)))))</f>
        <v>0</v>
      </c>
      <c r="AG265" s="1834">
        <f>IF('Proposed Lighting'!AU265=1,0,IF('Proposed Lighting'!CF265=1,0,T265*W265))</f>
        <v>0</v>
      </c>
      <c r="AH265" s="1834"/>
      <c r="AI265" s="1834"/>
      <c r="AJ265" s="1835">
        <f>IF(T265&lt;1,0,IF(K265&gt;'Proposed Lighting'!AA265,0,IF('Proposed Lighting'!CF265=1,0,IF('Proposed Lighting'!AU265=1,0,IF(T265&gt;K265,0,IF(AND(AD265&gt;AA265,AA265&gt;0),0,IF(AND(F265=2,'Proposed Lighting'!AU265=3),0,IF(AND(F265=3,'Proposed Lighting'!AU265=2),0,IF('Proposed Lighting'!CH265=100,0,IF(AND(F265&lt;3,V265=1,AM265=0),0,IF(AND(F265&gt;1,AF265&lt;1,AN265&lt;1),0,IF(AND(F265&gt;1,AE265&lt;0.69,AF265&lt;1,AN265&lt;1),0,IF(ISERROR(AB265-AC265),"",AB265-AC265)))))))))))))</f>
        <v>0</v>
      </c>
      <c r="AK265" s="1835"/>
      <c r="AL265" s="1835"/>
      <c r="AM265" s="1216">
        <f>IF(Q265=0,0,IF(T265=0,0,IF(T265&gt;K265,0,IF(AND(AS265&gt;0.01,BK265=0),0,IF(AND('Proposed Lighting'!DG265=0,'Lighting Controls'!Z265=0.35),0,IF(AND(T265&lt;=K265,AA265&gt;=AD265,'Proposed Lighting'!AU265=2),VLOOKUP(Q265,$AY$9:$AZ$15,2,FALSE),IF(AND(T265&lt;=K265,AA265&gt;=AD265,'Proposed Lighting'!AU265=3),VLOOKUP(Q265,$AY$17:$AZ$23,2,FALSE))))))))</f>
        <v>0</v>
      </c>
      <c r="AN265" s="1248">
        <f>IF(T265=0,0,IF(K265&gt;'Proposed Lighting'!AA265,0,IF(AE265=0,0,IF(AND(AD265&gt;AA265,AA265&gt;0),0,IF(U265=0,0,Summary!AE568)))))</f>
        <v>0</v>
      </c>
      <c r="AO265" s="1248">
        <f t="shared" si="50"/>
        <v>0</v>
      </c>
      <c r="AP265" s="1249">
        <f>IF('Proposed Lighting'!AU265=1,0,IF(K265=0,0,IF(T265&gt;K265,0,IF(G265=0,0,IF(K265&gt;'Proposed Lighting'!AA265,0,IF(AND(AD265&gt;AA265,AA265&gt;0),0,IF(AND('Proposed Lighting'!AU265=3,AM265=0.5),0,IF(AND(AM265&gt;0,AS265&gt;0,BI265&lt;2),0,IF('Proposed Lighting'!CH265=100,0,IF(AV265=1,0,IF(AND(AM265=35,M265+N265&lt;2),0,AM265)))))))))))</f>
        <v>0</v>
      </c>
      <c r="AQ265" s="1249" t="str">
        <f>IFERROR(ROUND(IF(Q265="","",IF('Proposed Lighting'!$X$4=0,0,IF(AND(AM265=35,M265+N265&lt;2),0,IF(T265&gt;K265,0,IF('Proposed Lighting'!AU265=1,0,IF(AJ265=0,0,IF(AND('Proposed Lighting'!AU265=3,AM265=0.5),0,IF(AND(AD265=75,AP265=0,AV265=0),0,IF(AP265&gt;0.01,AP265*T265,IF(AND(F265&gt;1,W265&lt;0.01),0,IF(AND(F265&gt;1,AO265=0),0,IF(AND('Proposed Lighting'!BC265=22,AV265=0),0,IF(AND(AM265&gt;0,AS265&gt;0,BI265&lt;2),0,IF(AND(AS265&gt;0.01,BK265=0),0,IF(AND(AO265=TRUE,AV265=1,F265=3),MIN(AJ265*0.08,L265),IF(AP265&gt;0.01,AP265*T265,IF(AND(AO265=TRUE,AV265=1,F265=2),MIN(AJ265*0.1,L265)))))))))))))))))),2),"")</f>
        <v/>
      </c>
      <c r="AR265" s="1250">
        <f>IF(Q265=0,0,IF('Proposed Lighting'!$X$4=0,0,IF(AND(AM265&gt;0.01,AQ265&gt;0.01),0,IF('Proposed Lighting'!AU265=1,"Missing Interior or Exterior Selection",IF('Proposed Lighting'!CF265=1,"Selection does not match",IF(K265&gt;'Proposed Lighting'!AA265,"Quantity controlled does not match proposed lighting quantity",IF(T265&gt;K265,"Quantity of sensors exceeds proposed lighting quantity",IF(AND(F265&gt;1,'Proposed Lighting'!AU265&lt;&gt;F265),"Selection does not match",IF(AND(AD265&gt;AA265,AA265&gt;0),"Does not meet minimum connected load",IF(AND(O265&gt;0,AS265&gt;0,BK265&gt;0,'Proposed Lighting'!CH265=0),"Select Control Strategies",IF(AND(AC265&gt;0.1,AJ265=0,AQ265=0),"Does not meet incentive criteria",0)))))))))))</f>
        <v>0</v>
      </c>
      <c r="AS265" s="1224">
        <f>IF('Proposed Lighting'!CH265=100,0,IF(ISNUMBER(SEARCH("multiple",Q265)),1,0))</f>
        <v>0</v>
      </c>
      <c r="AT265" s="451">
        <f t="shared" si="47"/>
        <v>0</v>
      </c>
      <c r="AU265" s="451">
        <f t="shared" si="48"/>
        <v>0</v>
      </c>
      <c r="AV265" s="1222">
        <f>IF(ISNUMBER(SEARCH("Networked",'Proposed Lighting'!T265)),0,IF(ISNUMBER(SEARCH("Strategies",'Proposed Lighting'!T265)),0,IF(ISNUMBER(SEARCH("Removal",'Proposed Lighting'!T265)),0,IF(ISNUMBER(SEARCH("non-standard",Q265)),1,0))))</f>
        <v>0</v>
      </c>
      <c r="AW265" s="451">
        <f t="shared" si="51"/>
        <v>0</v>
      </c>
      <c r="AX265" s="451"/>
      <c r="AY265" s="451"/>
      <c r="AZ265" s="451"/>
      <c r="BA265" s="451"/>
      <c r="BB265" s="451"/>
      <c r="BC265" s="1215"/>
      <c r="BD265" s="1215"/>
      <c r="BE265" s="1215"/>
      <c r="BF265" s="1215"/>
      <c r="BG265" s="1215"/>
      <c r="BH265" s="1215"/>
      <c r="BI265">
        <f>IF(AND(AS265=1,BC265="No",BD265="Yes",BE265="Yes",BF265="No",BH265="No"),0,IF(AND('Proposed Lighting'!AU265=2,AS265=1,BC265="Yes",BD265="Yes"),2,IF(AND('Proposed Lighting'!AU265=2,AS265=1,BC265="Yes",BE265="Yes"),2,IF(AND('Proposed Lighting'!AU265=2,AS265=1,BC265="Yes",BF265="Yes"),2,IF(AND('Proposed Lighting'!AU265=2,AS265=1,BC265="Yes",BH265="Yes"),2,IF(AND('Proposed Lighting'!AU265=2,AS265=1,BD265="Yes",BF265="Yes"),2,IF(AND('Proposed Lighting'!AU265=2,AS265=1,BD265="Yes",BH265="Yes"),2,IF(AND('Proposed Lighting'!AU265=3,AS265=1,BC265="Yes",BE265="Yes"),2,IF(AND('Proposed Lighting'!AU265=3,AS265=1,BC265="Yes",BF265="Yes"),2,0)))))))))</f>
        <v>0</v>
      </c>
      <c r="BJ265" s="1025">
        <f t="shared" si="49"/>
        <v>0</v>
      </c>
      <c r="BK265">
        <f>IF(AND('Proposed Lighting'!BC265=22,'Lighting Controls'!N265=1),0,IF(ISNUMBER(SEARCH("LED",G265)),1,0))</f>
        <v>0</v>
      </c>
    </row>
    <row r="266" spans="1:63" ht="34.5" customHeight="1">
      <c r="A266" s="917">
        <v>258</v>
      </c>
      <c r="B266" s="1828" t="str">
        <f>IF('Proposed Lighting'!B266="","",'Proposed Lighting'!B266)</f>
        <v/>
      </c>
      <c r="C266" s="1828"/>
      <c r="D266" s="1828"/>
      <c r="E266" s="1245">
        <f>'Proposed Lighting'!AA266</f>
        <v>0</v>
      </c>
      <c r="F266" s="1245">
        <f t="shared" ref="F266:F329" si="55">IF(ISNUMBER(SEARCH("photocell",Q266)),1,IF(ISNUMBER(SEARCH("EXTERIOR",Q266)),3,IF(ISNUMBER(SEARCH("INTERIOR",Q266)),2,0)))</f>
        <v>0</v>
      </c>
      <c r="G266" s="1830" t="str">
        <f>IF('Proposed Lighting'!T266="","",IF(ISNUMBER(SEARCH("Networked",'Proposed Lighting'!T266)),0,IF(ISNUMBER(SEARCH("Strategies",'Proposed Lighting'!T266)),0,IF(ISNUMBER(SEARCH("Removal",'Proposed Lighting'!T266)),0,'Proposed Lighting'!T266))))</f>
        <v/>
      </c>
      <c r="H266" s="1830"/>
      <c r="I266" s="1830"/>
      <c r="J266" s="1830"/>
      <c r="K266" s="1215"/>
      <c r="L266" s="1246">
        <f t="shared" ref="L266:L329" si="56">AG266*0.7</f>
        <v>0</v>
      </c>
      <c r="M266" s="1224">
        <f t="shared" ref="M266:M329" si="57">IF(ISNUMBER(SEARCH("LED",G266)),1,0)</f>
        <v>0</v>
      </c>
      <c r="N266" s="1224">
        <f t="shared" ref="N266:N329" si="58">IF(ISNUMBER(SEARCH("LED",Q266)),1,0)</f>
        <v>0</v>
      </c>
      <c r="O266" s="1825" t="str">
        <f>IF(G266=0,0,IF(ISNA('Proposed Lighting'!AT266),0,'Proposed Lighting'!AT266))</f>
        <v/>
      </c>
      <c r="P266" s="1825"/>
      <c r="Q266" s="1247"/>
      <c r="R266" s="1247"/>
      <c r="S266" s="1247"/>
      <c r="T266" s="1211"/>
      <c r="U266" s="1235">
        <f>IF(K266&gt;0.01,'Proposed Lighting'!CU266,0)</f>
        <v>0</v>
      </c>
      <c r="V266" s="1248">
        <f>IF('Proposed Lighting'!CF266=1,0,IF('Proposed Lighting'!AU266=2,0,IF(AND('Proposed Lighting'!AU266=3,'Proposed Lighting'!CF266=0),1,0)))</f>
        <v>0</v>
      </c>
      <c r="W266" s="1836"/>
      <c r="X266" s="1836"/>
      <c r="Y266" s="1836"/>
      <c r="Z266" s="1230" t="str">
        <f t="shared" si="52"/>
        <v/>
      </c>
      <c r="AA266" s="1230">
        <f t="shared" si="53"/>
        <v>0</v>
      </c>
      <c r="AB266" s="1230">
        <f>IF(Q266=0,0,IF(T266=0,0,IF(AA266=0,0,IF(AND(F266=3,V266=0),0,IF(T266=0,0,IF(K266&gt;'Proposed Lighting'!AA266,0,IF('Proposed Lighting'!EJ266&gt;0.01,(K266*O266)*'Proposed Lighting'!EJ266/1000,(K266*O266)*U266/1000)))))))</f>
        <v>0</v>
      </c>
      <c r="AC266" s="1230" t="str">
        <f t="shared" ref="AC266:AC329" si="59">IF(Q266="","",K266*O266*(U266*(1-Z266)/1000))</f>
        <v/>
      </c>
      <c r="AD266" s="1230">
        <f t="shared" si="54"/>
        <v>0</v>
      </c>
      <c r="AE266" s="1230">
        <f>IF(T266=0,0,IF(K266&gt;'Proposed Lighting'!AA266,0,IF(T266&gt;K266,0,IF(AND(AD266&gt;AA266,AA266&gt;0),0,IF(AND(F266&gt;1,W266&lt;0.01),0,IF('Proposed Lighting'!AU266&gt;'Lighting Controls'!F266,0,IF('Proposed Lighting'!AU266&lt;'Lighting Controls'!F266,0,IF(U266=0,0,Summary!AC569))))))))</f>
        <v>0</v>
      </c>
      <c r="AF266" s="1230">
        <f>IF(T266=0,0,IF(AE266=0,0,IF(K266&gt;'Proposed Lighting'!AA266,0,IF(AND(AD266&gt;AA266,AA266&gt;0),0,IF(U266=0,0,Summary!AD569)))))</f>
        <v>0</v>
      </c>
      <c r="AG266" s="1834">
        <f>IF('Proposed Lighting'!AU266=1,0,IF('Proposed Lighting'!CF266=1,0,T266*W266))</f>
        <v>0</v>
      </c>
      <c r="AH266" s="1834"/>
      <c r="AI266" s="1834"/>
      <c r="AJ266" s="1835">
        <f>IF(T266&lt;1,0,IF(K266&gt;'Proposed Lighting'!AA266,0,IF('Proposed Lighting'!CF266=1,0,IF('Proposed Lighting'!AU266=1,0,IF(T266&gt;K266,0,IF(AND(AD266&gt;AA266,AA266&gt;0),0,IF(AND(F266=2,'Proposed Lighting'!AU266=3),0,IF(AND(F266=3,'Proposed Lighting'!AU266=2),0,IF('Proposed Lighting'!CH266=100,0,IF(AND(F266&lt;3,V266=1,AM266=0),0,IF(AND(F266&gt;1,AF266&lt;1,AN266&lt;1),0,IF(AND(F266&gt;1,AE266&lt;0.69,AF266&lt;1,AN266&lt;1),0,IF(ISERROR(AB266-AC266),"",AB266-AC266)))))))))))))</f>
        <v>0</v>
      </c>
      <c r="AK266" s="1835"/>
      <c r="AL266" s="1835"/>
      <c r="AM266" s="1216">
        <f>IF(Q266=0,0,IF(T266=0,0,IF(T266&gt;K266,0,IF(AND(AS266&gt;0.01,BK266=0),0,IF(AND('Proposed Lighting'!DG266=0,'Lighting Controls'!Z266=0.35),0,IF(AND(T266&lt;=K266,AA266&gt;=AD266,'Proposed Lighting'!AU266=2),VLOOKUP(Q266,$AY$9:$AZ$15,2,FALSE),IF(AND(T266&lt;=K266,AA266&gt;=AD266,'Proposed Lighting'!AU266=3),VLOOKUP(Q266,$AY$17:$AZ$23,2,FALSE))))))))</f>
        <v>0</v>
      </c>
      <c r="AN266" s="1248">
        <f>IF(T266=0,0,IF(K266&gt;'Proposed Lighting'!AA266,0,IF(AE266=0,0,IF(AND(AD266&gt;AA266,AA266&gt;0),0,IF(U266=0,0,Summary!AE569)))))</f>
        <v>0</v>
      </c>
      <c r="AO266" s="1248">
        <f t="shared" si="50"/>
        <v>0</v>
      </c>
      <c r="AP266" s="1249">
        <f>IF('Proposed Lighting'!AU266=1,0,IF(K266=0,0,IF(T266&gt;K266,0,IF(G266=0,0,IF(K266&gt;'Proposed Lighting'!AA266,0,IF(AND(AD266&gt;AA266,AA266&gt;0),0,IF(AND('Proposed Lighting'!AU266=3,AM266=0.5),0,IF(AND(AM266&gt;0,AS266&gt;0,BI266&lt;2),0,IF('Proposed Lighting'!CH266=100,0,IF(AV266=1,0,IF(AND(AM266=35,M266+N266&lt;2),0,AM266)))))))))))</f>
        <v>0</v>
      </c>
      <c r="AQ266" s="1249" t="str">
        <f>IFERROR(ROUND(IF(Q266="","",IF('Proposed Lighting'!$X$4=0,0,IF(AND(AM266=35,M266+N266&lt;2),0,IF(T266&gt;K266,0,IF('Proposed Lighting'!AU266=1,0,IF(AJ266=0,0,IF(AND('Proposed Lighting'!AU266=3,AM266=0.5),0,IF(AND(AD266=75,AP266=0,AV266=0),0,IF(AP266&gt;0.01,AP266*T266,IF(AND(F266&gt;1,W266&lt;0.01),0,IF(AND(F266&gt;1,AO266=0),0,IF(AND('Proposed Lighting'!BC266=22,AV266=0),0,IF(AND(AM266&gt;0,AS266&gt;0,BI266&lt;2),0,IF(AND(AS266&gt;0.01,BK266=0),0,IF(AND(AO266=TRUE,AV266=1,F266=3),MIN(AJ266*0.08,L266),IF(AP266&gt;0.01,AP266*T266,IF(AND(AO266=TRUE,AV266=1,F266=2),MIN(AJ266*0.1,L266)))))))))))))))))),2),"")</f>
        <v/>
      </c>
      <c r="AR266" s="1250">
        <f>IF(Q266=0,0,IF('Proposed Lighting'!$X$4=0,0,IF(AND(AM266&gt;0.01,AQ266&gt;0.01),0,IF('Proposed Lighting'!AU266=1,"Missing Interior or Exterior Selection",IF('Proposed Lighting'!CF266=1,"Selection does not match",IF(K266&gt;'Proposed Lighting'!AA266,"Quantity controlled does not match proposed lighting quantity",IF(T266&gt;K266,"Quantity of sensors exceeds proposed lighting quantity",IF(AND(F266&gt;1,'Proposed Lighting'!AU266&lt;&gt;F266),"Selection does not match",IF(AND(AD266&gt;AA266,AA266&gt;0),"Does not meet minimum connected load",IF(AND(O266&gt;0,AS266&gt;0,BK266&gt;0,'Proposed Lighting'!CH266=0),"Select Control Strategies",IF(AND(AC266&gt;0.1,AJ266=0,AQ266=0),"Does not meet incentive criteria",0)))))))))))</f>
        <v>0</v>
      </c>
      <c r="AS266" s="1224">
        <f>IF('Proposed Lighting'!CH266=100,0,IF(ISNUMBER(SEARCH("multiple",Q266)),1,0))</f>
        <v>0</v>
      </c>
      <c r="AT266" s="451">
        <f t="shared" ref="AT266:AT329" si="60">IF(AQ266&gt;0.01,T266,0)</f>
        <v>0</v>
      </c>
      <c r="AU266" s="451">
        <f t="shared" ref="AU266:AU329" si="61">IF(AP266&gt;0.01,T266,0)</f>
        <v>0</v>
      </c>
      <c r="AV266" s="1222">
        <f>IF(ISNUMBER(SEARCH("Networked",'Proposed Lighting'!T266)),0,IF(ISNUMBER(SEARCH("Strategies",'Proposed Lighting'!T266)),0,IF(ISNUMBER(SEARCH("Removal",'Proposed Lighting'!T266)),0,IF(ISNUMBER(SEARCH("non-standard",Q266)),1,0))))</f>
        <v>0</v>
      </c>
      <c r="AW266" s="451">
        <f t="shared" si="51"/>
        <v>0</v>
      </c>
      <c r="AX266" s="451"/>
      <c r="AY266" s="451"/>
      <c r="AZ266" s="451"/>
      <c r="BA266" s="451"/>
      <c r="BB266" s="451"/>
      <c r="BC266" s="1215"/>
      <c r="BD266" s="1215"/>
      <c r="BE266" s="1215"/>
      <c r="BF266" s="1215"/>
      <c r="BG266" s="1215"/>
      <c r="BH266" s="1215"/>
      <c r="BI266">
        <f>IF(AND(AS266=1,BC266="No",BD266="Yes",BE266="Yes",BF266="No",BH266="No"),0,IF(AND('Proposed Lighting'!AU266=2,AS266=1,BC266="Yes",BD266="Yes"),2,IF(AND('Proposed Lighting'!AU266=2,AS266=1,BC266="Yes",BE266="Yes"),2,IF(AND('Proposed Lighting'!AU266=2,AS266=1,BC266="Yes",BF266="Yes"),2,IF(AND('Proposed Lighting'!AU266=2,AS266=1,BC266="Yes",BH266="Yes"),2,IF(AND('Proposed Lighting'!AU266=2,AS266=1,BD266="Yes",BF266="Yes"),2,IF(AND('Proposed Lighting'!AU266=2,AS266=1,BD266="Yes",BH266="Yes"),2,IF(AND('Proposed Lighting'!AU266=3,AS266=1,BC266="Yes",BE266="Yes"),2,IF(AND('Proposed Lighting'!AU266=3,AS266=1,BC266="Yes",BF266="Yes"),2,0)))))))))</f>
        <v>0</v>
      </c>
      <c r="BJ266" s="1025">
        <f t="shared" ref="BJ266:BJ329" si="62">IF(AND(AS266=1,BK266=0),0,IF(AND(AS266&gt;0,BI266&lt;2),"Does not meet minimum controls",0))</f>
        <v>0</v>
      </c>
      <c r="BK266">
        <f>IF(AND('Proposed Lighting'!BC266=22,'Lighting Controls'!N266=1),0,IF(ISNUMBER(SEARCH("LED",G266)),1,0))</f>
        <v>0</v>
      </c>
    </row>
    <row r="267" spans="1:63" ht="34.5" customHeight="1">
      <c r="A267" s="917">
        <v>259</v>
      </c>
      <c r="B267" s="1828" t="str">
        <f>IF('Proposed Lighting'!B267="","",'Proposed Lighting'!B267)</f>
        <v/>
      </c>
      <c r="C267" s="1828"/>
      <c r="D267" s="1828"/>
      <c r="E267" s="1245">
        <f>'Proposed Lighting'!AA267</f>
        <v>0</v>
      </c>
      <c r="F267" s="1245">
        <f t="shared" si="55"/>
        <v>0</v>
      </c>
      <c r="G267" s="1830" t="str">
        <f>IF('Proposed Lighting'!T267="","",IF(ISNUMBER(SEARCH("Networked",'Proposed Lighting'!T267)),0,IF(ISNUMBER(SEARCH("Strategies",'Proposed Lighting'!T267)),0,IF(ISNUMBER(SEARCH("Removal",'Proposed Lighting'!T267)),0,'Proposed Lighting'!T267))))</f>
        <v/>
      </c>
      <c r="H267" s="1830"/>
      <c r="I267" s="1830"/>
      <c r="J267" s="1830"/>
      <c r="K267" s="1215"/>
      <c r="L267" s="1246">
        <f t="shared" si="56"/>
        <v>0</v>
      </c>
      <c r="M267" s="1224">
        <f t="shared" si="57"/>
        <v>0</v>
      </c>
      <c r="N267" s="1224">
        <f t="shared" si="58"/>
        <v>0</v>
      </c>
      <c r="O267" s="1825" t="str">
        <f>IF(G267=0,0,IF(ISNA('Proposed Lighting'!AT267),0,'Proposed Lighting'!AT267))</f>
        <v/>
      </c>
      <c r="P267" s="1825"/>
      <c r="Q267" s="1247"/>
      <c r="R267" s="1247"/>
      <c r="S267" s="1247"/>
      <c r="T267" s="1211"/>
      <c r="U267" s="1235">
        <f>IF(K267&gt;0.01,'Proposed Lighting'!CU267,0)</f>
        <v>0</v>
      </c>
      <c r="V267" s="1248">
        <f>IF('Proposed Lighting'!CF267=1,0,IF('Proposed Lighting'!AU267=2,0,IF(AND('Proposed Lighting'!AU267=3,'Proposed Lighting'!CF267=0),1,0)))</f>
        <v>0</v>
      </c>
      <c r="W267" s="1836"/>
      <c r="X267" s="1836"/>
      <c r="Y267" s="1836"/>
      <c r="Z267" s="1230" t="str">
        <f t="shared" si="52"/>
        <v/>
      </c>
      <c r="AA267" s="1230">
        <f t="shared" si="53"/>
        <v>0</v>
      </c>
      <c r="AB267" s="1230">
        <f>IF(Q267=0,0,IF(T267=0,0,IF(AA267=0,0,IF(AND(F267=3,V267=0),0,IF(T267=0,0,IF(K267&gt;'Proposed Lighting'!AA267,0,IF('Proposed Lighting'!EJ267&gt;0.01,(K267*O267)*'Proposed Lighting'!EJ267/1000,(K267*O267)*U267/1000)))))))</f>
        <v>0</v>
      </c>
      <c r="AC267" s="1230" t="str">
        <f t="shared" si="59"/>
        <v/>
      </c>
      <c r="AD267" s="1230">
        <f t="shared" si="54"/>
        <v>0</v>
      </c>
      <c r="AE267" s="1230">
        <f>IF(T267=0,0,IF(K267&gt;'Proposed Lighting'!AA267,0,IF(T267&gt;K267,0,IF(AND(AD267&gt;AA267,AA267&gt;0),0,IF(AND(F267&gt;1,W267&lt;0.01),0,IF('Proposed Lighting'!AU267&gt;'Lighting Controls'!F267,0,IF('Proposed Lighting'!AU267&lt;'Lighting Controls'!F267,0,IF(U267=0,0,Summary!AC570))))))))</f>
        <v>0</v>
      </c>
      <c r="AF267" s="1230">
        <f>IF(T267=0,0,IF(AE267=0,0,IF(K267&gt;'Proposed Lighting'!AA267,0,IF(AND(AD267&gt;AA267,AA267&gt;0),0,IF(U267=0,0,Summary!AD570)))))</f>
        <v>0</v>
      </c>
      <c r="AG267" s="1834">
        <f>IF('Proposed Lighting'!AU267=1,0,IF('Proposed Lighting'!CF267=1,0,T267*W267))</f>
        <v>0</v>
      </c>
      <c r="AH267" s="1834"/>
      <c r="AI267" s="1834"/>
      <c r="AJ267" s="1835">
        <f>IF(T267&lt;1,0,IF(K267&gt;'Proposed Lighting'!AA267,0,IF('Proposed Lighting'!CF267=1,0,IF('Proposed Lighting'!AU267=1,0,IF(T267&gt;K267,0,IF(AND(AD267&gt;AA267,AA267&gt;0),0,IF(AND(F267=2,'Proposed Lighting'!AU267=3),0,IF(AND(F267=3,'Proposed Lighting'!AU267=2),0,IF('Proposed Lighting'!CH267=100,0,IF(AND(F267&lt;3,V267=1,AM267=0),0,IF(AND(F267&gt;1,AF267&lt;1,AN267&lt;1),0,IF(AND(F267&gt;1,AE267&lt;0.69,AF267&lt;1,AN267&lt;1),0,IF(ISERROR(AB267-AC267),"",AB267-AC267)))))))))))))</f>
        <v>0</v>
      </c>
      <c r="AK267" s="1835"/>
      <c r="AL267" s="1835"/>
      <c r="AM267" s="1216">
        <f>IF(Q267=0,0,IF(T267=0,0,IF(T267&gt;K267,0,IF(AND(AS267&gt;0.01,BK267=0),0,IF(AND('Proposed Lighting'!DG267=0,'Lighting Controls'!Z267=0.35),0,IF(AND(T267&lt;=K267,AA267&gt;=AD267,'Proposed Lighting'!AU267=2),VLOOKUP(Q267,$AY$9:$AZ$15,2,FALSE),IF(AND(T267&lt;=K267,AA267&gt;=AD267,'Proposed Lighting'!AU267=3),VLOOKUP(Q267,$AY$17:$AZ$23,2,FALSE))))))))</f>
        <v>0</v>
      </c>
      <c r="AN267" s="1248">
        <f>IF(T267=0,0,IF(K267&gt;'Proposed Lighting'!AA267,0,IF(AE267=0,0,IF(AND(AD267&gt;AA267,AA267&gt;0),0,IF(U267=0,0,Summary!AE570)))))</f>
        <v>0</v>
      </c>
      <c r="AO267" s="1248">
        <f t="shared" ref="AO267:AO330" si="63">IF((AND(AE267&gt;0.69,AF267&gt;=1,AN267&gt;=1)),TRUE,0)</f>
        <v>0</v>
      </c>
      <c r="AP267" s="1249">
        <f>IF('Proposed Lighting'!AU267=1,0,IF(K267=0,0,IF(T267&gt;K267,0,IF(G267=0,0,IF(K267&gt;'Proposed Lighting'!AA267,0,IF(AND(AD267&gt;AA267,AA267&gt;0),0,IF(AND('Proposed Lighting'!AU267=3,AM267=0.5),0,IF(AND(AM267&gt;0,AS267&gt;0,BI267&lt;2),0,IF('Proposed Lighting'!CH267=100,0,IF(AV267=1,0,IF(AND(AM267=35,M267+N267&lt;2),0,AM267)))))))))))</f>
        <v>0</v>
      </c>
      <c r="AQ267" s="1249" t="str">
        <f>IFERROR(ROUND(IF(Q267="","",IF('Proposed Lighting'!$X$4=0,0,IF(AND(AM267=35,M267+N267&lt;2),0,IF(T267&gt;K267,0,IF('Proposed Lighting'!AU267=1,0,IF(AJ267=0,0,IF(AND('Proposed Lighting'!AU267=3,AM267=0.5),0,IF(AND(AD267=75,AP267=0,AV267=0),0,IF(AP267&gt;0.01,AP267*T267,IF(AND(F267&gt;1,W267&lt;0.01),0,IF(AND(F267&gt;1,AO267=0),0,IF(AND('Proposed Lighting'!BC267=22,AV267=0),0,IF(AND(AM267&gt;0,AS267&gt;0,BI267&lt;2),0,IF(AND(AS267&gt;0.01,BK267=0),0,IF(AND(AO267=TRUE,AV267=1,F267=3),MIN(AJ267*0.08,L267),IF(AP267&gt;0.01,AP267*T267,IF(AND(AO267=TRUE,AV267=1,F267=2),MIN(AJ267*0.1,L267)))))))))))))))))),2),"")</f>
        <v/>
      </c>
      <c r="AR267" s="1250">
        <f>IF(Q267=0,0,IF('Proposed Lighting'!$X$4=0,0,IF(AND(AM267&gt;0.01,AQ267&gt;0.01),0,IF('Proposed Lighting'!AU267=1,"Missing Interior or Exterior Selection",IF('Proposed Lighting'!CF267=1,"Selection does not match",IF(K267&gt;'Proposed Lighting'!AA267,"Quantity controlled does not match proposed lighting quantity",IF(T267&gt;K267,"Quantity of sensors exceeds proposed lighting quantity",IF(AND(F267&gt;1,'Proposed Lighting'!AU267&lt;&gt;F267),"Selection does not match",IF(AND(AD267&gt;AA267,AA267&gt;0),"Does not meet minimum connected load",IF(AND(O267&gt;0,AS267&gt;0,BK267&gt;0,'Proposed Lighting'!CH267=0),"Select Control Strategies",IF(AND(AC267&gt;0.1,AJ267=0,AQ267=0),"Does not meet incentive criteria",0)))))))))))</f>
        <v>0</v>
      </c>
      <c r="AS267" s="1224">
        <f>IF('Proposed Lighting'!CH267=100,0,IF(ISNUMBER(SEARCH("multiple",Q267)),1,0))</f>
        <v>0</v>
      </c>
      <c r="AT267" s="451">
        <f t="shared" si="60"/>
        <v>0</v>
      </c>
      <c r="AU267" s="451">
        <f t="shared" si="61"/>
        <v>0</v>
      </c>
      <c r="AV267" s="1222">
        <f>IF(ISNUMBER(SEARCH("Networked",'Proposed Lighting'!T267)),0,IF(ISNUMBER(SEARCH("Strategies",'Proposed Lighting'!T267)),0,IF(ISNUMBER(SEARCH("Removal",'Proposed Lighting'!T267)),0,IF(ISNUMBER(SEARCH("non-standard",Q267)),1,0))))</f>
        <v>0</v>
      </c>
      <c r="AW267" s="451">
        <f t="shared" si="51"/>
        <v>0</v>
      </c>
      <c r="AX267" s="451"/>
      <c r="AY267" s="451"/>
      <c r="AZ267" s="451"/>
      <c r="BA267" s="451"/>
      <c r="BB267" s="451"/>
      <c r="BC267" s="1215"/>
      <c r="BD267" s="1215"/>
      <c r="BE267" s="1215"/>
      <c r="BF267" s="1215"/>
      <c r="BG267" s="1215"/>
      <c r="BH267" s="1215"/>
      <c r="BI267">
        <f>IF(AND(AS267=1,BC267="No",BD267="Yes",BE267="Yes",BF267="No",BH267="No"),0,IF(AND('Proposed Lighting'!AU267=2,AS267=1,BC267="Yes",BD267="Yes"),2,IF(AND('Proposed Lighting'!AU267=2,AS267=1,BC267="Yes",BE267="Yes"),2,IF(AND('Proposed Lighting'!AU267=2,AS267=1,BC267="Yes",BF267="Yes"),2,IF(AND('Proposed Lighting'!AU267=2,AS267=1,BC267="Yes",BH267="Yes"),2,IF(AND('Proposed Lighting'!AU267=2,AS267=1,BD267="Yes",BF267="Yes"),2,IF(AND('Proposed Lighting'!AU267=2,AS267=1,BD267="Yes",BH267="Yes"),2,IF(AND('Proposed Lighting'!AU267=3,AS267=1,BC267="Yes",BE267="Yes"),2,IF(AND('Proposed Lighting'!AU267=3,AS267=1,BC267="Yes",BF267="Yes"),2,0)))))))))</f>
        <v>0</v>
      </c>
      <c r="BJ267" s="1025">
        <f t="shared" si="62"/>
        <v>0</v>
      </c>
      <c r="BK267">
        <f>IF(AND('Proposed Lighting'!BC267=22,'Lighting Controls'!N267=1),0,IF(ISNUMBER(SEARCH("LED",G267)),1,0))</f>
        <v>0</v>
      </c>
    </row>
    <row r="268" spans="1:63" ht="34.5" customHeight="1">
      <c r="A268" s="917">
        <v>260</v>
      </c>
      <c r="B268" s="1828" t="str">
        <f>IF('Proposed Lighting'!B268="","",'Proposed Lighting'!B268)</f>
        <v/>
      </c>
      <c r="C268" s="1828"/>
      <c r="D268" s="1828"/>
      <c r="E268" s="1245">
        <f>'Proposed Lighting'!AA268</f>
        <v>0</v>
      </c>
      <c r="F268" s="1245">
        <f t="shared" si="55"/>
        <v>0</v>
      </c>
      <c r="G268" s="1830" t="str">
        <f>IF('Proposed Lighting'!T268="","",IF(ISNUMBER(SEARCH("Networked",'Proposed Lighting'!T268)),0,IF(ISNUMBER(SEARCH("Strategies",'Proposed Lighting'!T268)),0,IF(ISNUMBER(SEARCH("Removal",'Proposed Lighting'!T268)),0,'Proposed Lighting'!T268))))</f>
        <v/>
      </c>
      <c r="H268" s="1830"/>
      <c r="I268" s="1830"/>
      <c r="J268" s="1830"/>
      <c r="K268" s="1215"/>
      <c r="L268" s="1246">
        <f t="shared" si="56"/>
        <v>0</v>
      </c>
      <c r="M268" s="1224">
        <f t="shared" si="57"/>
        <v>0</v>
      </c>
      <c r="N268" s="1224">
        <f t="shared" si="58"/>
        <v>0</v>
      </c>
      <c r="O268" s="1825" t="str">
        <f>IF(G268=0,0,IF(ISNA('Proposed Lighting'!AT268),0,'Proposed Lighting'!AT268))</f>
        <v/>
      </c>
      <c r="P268" s="1825"/>
      <c r="Q268" s="1247"/>
      <c r="R268" s="1247"/>
      <c r="S268" s="1247"/>
      <c r="T268" s="1211"/>
      <c r="U268" s="1235">
        <f>IF(K268&gt;0.01,'Proposed Lighting'!CU268,0)</f>
        <v>0</v>
      </c>
      <c r="V268" s="1248">
        <f>IF('Proposed Lighting'!CF268=1,0,IF('Proposed Lighting'!AU268=2,0,IF(AND('Proposed Lighting'!AU268=3,'Proposed Lighting'!CF268=0),1,0)))</f>
        <v>0</v>
      </c>
      <c r="W268" s="1836"/>
      <c r="X268" s="1836"/>
      <c r="Y268" s="1836"/>
      <c r="Z268" s="1230" t="str">
        <f t="shared" si="52"/>
        <v/>
      </c>
      <c r="AA268" s="1230">
        <f t="shared" si="53"/>
        <v>0</v>
      </c>
      <c r="AB268" s="1230">
        <f>IF(Q268=0,0,IF(T268=0,0,IF(AA268=0,0,IF(AND(F268=3,V268=0),0,IF(T268=0,0,IF(K268&gt;'Proposed Lighting'!AA268,0,IF('Proposed Lighting'!EJ268&gt;0.01,(K268*O268)*'Proposed Lighting'!EJ268/1000,(K268*O268)*U268/1000)))))))</f>
        <v>0</v>
      </c>
      <c r="AC268" s="1230" t="str">
        <f t="shared" si="59"/>
        <v/>
      </c>
      <c r="AD268" s="1230">
        <f t="shared" si="54"/>
        <v>0</v>
      </c>
      <c r="AE268" s="1230">
        <f>IF(T268=0,0,IF(K268&gt;'Proposed Lighting'!AA268,0,IF(T268&gt;K268,0,IF(AND(AD268&gt;AA268,AA268&gt;0),0,IF(AND(F268&gt;1,W268&lt;0.01),0,IF('Proposed Lighting'!AU268&gt;'Lighting Controls'!F268,0,IF('Proposed Lighting'!AU268&lt;'Lighting Controls'!F268,0,IF(U268=0,0,Summary!AC571))))))))</f>
        <v>0</v>
      </c>
      <c r="AF268" s="1230">
        <f>IF(T268=0,0,IF(AE268=0,0,IF(K268&gt;'Proposed Lighting'!AA268,0,IF(AND(AD268&gt;AA268,AA268&gt;0),0,IF(U268=0,0,Summary!AD571)))))</f>
        <v>0</v>
      </c>
      <c r="AG268" s="1834">
        <f>IF('Proposed Lighting'!AU268=1,0,IF('Proposed Lighting'!CF268=1,0,T268*W268))</f>
        <v>0</v>
      </c>
      <c r="AH268" s="1834"/>
      <c r="AI268" s="1834"/>
      <c r="AJ268" s="1835">
        <f>IF(T268&lt;1,0,IF(K268&gt;'Proposed Lighting'!AA268,0,IF('Proposed Lighting'!CF268=1,0,IF('Proposed Lighting'!AU268=1,0,IF(T268&gt;K268,0,IF(AND(AD268&gt;AA268,AA268&gt;0),0,IF(AND(F268=2,'Proposed Lighting'!AU268=3),0,IF(AND(F268=3,'Proposed Lighting'!AU268=2),0,IF('Proposed Lighting'!CH268=100,0,IF(AND(F268&lt;3,V268=1,AM268=0),0,IF(AND(F268&gt;1,AF268&lt;1,AN268&lt;1),0,IF(AND(F268&gt;1,AE268&lt;0.69,AF268&lt;1,AN268&lt;1),0,IF(ISERROR(AB268-AC268),"",AB268-AC268)))))))))))))</f>
        <v>0</v>
      </c>
      <c r="AK268" s="1835"/>
      <c r="AL268" s="1835"/>
      <c r="AM268" s="1216">
        <f>IF(Q268=0,0,IF(T268=0,0,IF(T268&gt;K268,0,IF(AND(AS268&gt;0.01,BK268=0),0,IF(AND('Proposed Lighting'!DG268=0,'Lighting Controls'!Z268=0.35),0,IF(AND(T268&lt;=K268,AA268&gt;=AD268,'Proposed Lighting'!AU268=2),VLOOKUP(Q268,$AY$9:$AZ$15,2,FALSE),IF(AND(T268&lt;=K268,AA268&gt;=AD268,'Proposed Lighting'!AU268=3),VLOOKUP(Q268,$AY$17:$AZ$23,2,FALSE))))))))</f>
        <v>0</v>
      </c>
      <c r="AN268" s="1248">
        <f>IF(T268=0,0,IF(K268&gt;'Proposed Lighting'!AA268,0,IF(AE268=0,0,IF(AND(AD268&gt;AA268,AA268&gt;0),0,IF(U268=0,0,Summary!AE571)))))</f>
        <v>0</v>
      </c>
      <c r="AO268" s="1248">
        <f t="shared" si="63"/>
        <v>0</v>
      </c>
      <c r="AP268" s="1249">
        <f>IF('Proposed Lighting'!AU268=1,0,IF(K268=0,0,IF(T268&gt;K268,0,IF(G268=0,0,IF(K268&gt;'Proposed Lighting'!AA268,0,IF(AND(AD268&gt;AA268,AA268&gt;0),0,IF(AND('Proposed Lighting'!AU268=3,AM268=0.5),0,IF(AND(AM268&gt;0,AS268&gt;0,BI268&lt;2),0,IF('Proposed Lighting'!CH268=100,0,IF(AV268=1,0,IF(AND(AM268=35,M268+N268&lt;2),0,AM268)))))))))))</f>
        <v>0</v>
      </c>
      <c r="AQ268" s="1249" t="str">
        <f>IFERROR(ROUND(IF(Q268="","",IF('Proposed Lighting'!$X$4=0,0,IF(AND(AM268=35,M268+N268&lt;2),0,IF(T268&gt;K268,0,IF('Proposed Lighting'!AU268=1,0,IF(AJ268=0,0,IF(AND('Proposed Lighting'!AU268=3,AM268=0.5),0,IF(AND(AD268=75,AP268=0,AV268=0),0,IF(AP268&gt;0.01,AP268*T268,IF(AND(F268&gt;1,W268&lt;0.01),0,IF(AND(F268&gt;1,AO268=0),0,IF(AND('Proposed Lighting'!BC268=22,AV268=0),0,IF(AND(AM268&gt;0,AS268&gt;0,BI268&lt;2),0,IF(AND(AS268&gt;0.01,BK268=0),0,IF(AND(AO268=TRUE,AV268=1,F268=3),MIN(AJ268*0.08,L268),IF(AP268&gt;0.01,AP268*T268,IF(AND(AO268=TRUE,AV268=1,F268=2),MIN(AJ268*0.1,L268)))))))))))))))))),2),"")</f>
        <v/>
      </c>
      <c r="AR268" s="1250">
        <f>IF(Q268=0,0,IF('Proposed Lighting'!$X$4=0,0,IF(AND(AM268&gt;0.01,AQ268&gt;0.01),0,IF('Proposed Lighting'!AU268=1,"Missing Interior or Exterior Selection",IF('Proposed Lighting'!CF268=1,"Selection does not match",IF(K268&gt;'Proposed Lighting'!AA268,"Quantity controlled does not match proposed lighting quantity",IF(T268&gt;K268,"Quantity of sensors exceeds proposed lighting quantity",IF(AND(F268&gt;1,'Proposed Lighting'!AU268&lt;&gt;F268),"Selection does not match",IF(AND(AD268&gt;AA268,AA268&gt;0),"Does not meet minimum connected load",IF(AND(O268&gt;0,AS268&gt;0,BK268&gt;0,'Proposed Lighting'!CH268=0),"Select Control Strategies",IF(AND(AC268&gt;0.1,AJ268=0,AQ268=0),"Does not meet incentive criteria",0)))))))))))</f>
        <v>0</v>
      </c>
      <c r="AS268" s="1224">
        <f>IF('Proposed Lighting'!CH268=100,0,IF(ISNUMBER(SEARCH("multiple",Q268)),1,0))</f>
        <v>0</v>
      </c>
      <c r="AT268" s="451">
        <f t="shared" si="60"/>
        <v>0</v>
      </c>
      <c r="AU268" s="451">
        <f t="shared" si="61"/>
        <v>0</v>
      </c>
      <c r="AV268" s="1222">
        <f>IF(ISNUMBER(SEARCH("Networked",'Proposed Lighting'!T268)),0,IF(ISNUMBER(SEARCH("Strategies",'Proposed Lighting'!T268)),0,IF(ISNUMBER(SEARCH("Removal",'Proposed Lighting'!T268)),0,IF(ISNUMBER(SEARCH("non-standard",Q268)),1,0))))</f>
        <v>0</v>
      </c>
      <c r="AW268" s="451">
        <f t="shared" si="51"/>
        <v>0</v>
      </c>
      <c r="AX268" s="451"/>
      <c r="AY268" s="451"/>
      <c r="AZ268" s="451"/>
      <c r="BA268" s="451"/>
      <c r="BB268" s="451"/>
      <c r="BC268" s="1215"/>
      <c r="BD268" s="1215"/>
      <c r="BE268" s="1215"/>
      <c r="BF268" s="1215"/>
      <c r="BG268" s="1215"/>
      <c r="BH268" s="1215"/>
      <c r="BI268">
        <f>IF(AND(AS268=1,BC268="No",BD268="Yes",BE268="Yes",BF268="No",BH268="No"),0,IF(AND('Proposed Lighting'!AU268=2,AS268=1,BC268="Yes",BD268="Yes"),2,IF(AND('Proposed Lighting'!AU268=2,AS268=1,BC268="Yes",BE268="Yes"),2,IF(AND('Proposed Lighting'!AU268=2,AS268=1,BC268="Yes",BF268="Yes"),2,IF(AND('Proposed Lighting'!AU268=2,AS268=1,BC268="Yes",BH268="Yes"),2,IF(AND('Proposed Lighting'!AU268=2,AS268=1,BD268="Yes",BF268="Yes"),2,IF(AND('Proposed Lighting'!AU268=2,AS268=1,BD268="Yes",BH268="Yes"),2,IF(AND('Proposed Lighting'!AU268=3,AS268=1,BC268="Yes",BE268="Yes"),2,IF(AND('Proposed Lighting'!AU268=3,AS268=1,BC268="Yes",BF268="Yes"),2,0)))))))))</f>
        <v>0</v>
      </c>
      <c r="BJ268" s="1025">
        <f t="shared" si="62"/>
        <v>0</v>
      </c>
      <c r="BK268">
        <f>IF(AND('Proposed Lighting'!BC268=22,'Lighting Controls'!N268=1),0,IF(ISNUMBER(SEARCH("LED",G268)),1,0))</f>
        <v>0</v>
      </c>
    </row>
    <row r="269" spans="1:63" ht="34.5" customHeight="1">
      <c r="A269" s="917">
        <v>261</v>
      </c>
      <c r="B269" s="1828" t="str">
        <f>IF('Proposed Lighting'!B269="","",'Proposed Lighting'!B269)</f>
        <v/>
      </c>
      <c r="C269" s="1828"/>
      <c r="D269" s="1828"/>
      <c r="E269" s="1245">
        <f>'Proposed Lighting'!AA269</f>
        <v>0</v>
      </c>
      <c r="F269" s="1245">
        <f t="shared" si="55"/>
        <v>0</v>
      </c>
      <c r="G269" s="1830" t="str">
        <f>IF('Proposed Lighting'!T269="","",IF(ISNUMBER(SEARCH("Networked",'Proposed Lighting'!T269)),0,IF(ISNUMBER(SEARCH("Strategies",'Proposed Lighting'!T269)),0,IF(ISNUMBER(SEARCH("Removal",'Proposed Lighting'!T269)),0,'Proposed Lighting'!T269))))</f>
        <v/>
      </c>
      <c r="H269" s="1830"/>
      <c r="I269" s="1830"/>
      <c r="J269" s="1830"/>
      <c r="K269" s="1215"/>
      <c r="L269" s="1246">
        <f t="shared" si="56"/>
        <v>0</v>
      </c>
      <c r="M269" s="1224">
        <f t="shared" si="57"/>
        <v>0</v>
      </c>
      <c r="N269" s="1224">
        <f t="shared" si="58"/>
        <v>0</v>
      </c>
      <c r="O269" s="1825" t="str">
        <f>IF(G269=0,0,IF(ISNA('Proposed Lighting'!AT269),0,'Proposed Lighting'!AT269))</f>
        <v/>
      </c>
      <c r="P269" s="1825"/>
      <c r="Q269" s="1247"/>
      <c r="R269" s="1247"/>
      <c r="S269" s="1247"/>
      <c r="T269" s="1211"/>
      <c r="U269" s="1235">
        <f>IF(K269&gt;0.01,'Proposed Lighting'!CU269,0)</f>
        <v>0</v>
      </c>
      <c r="V269" s="1248">
        <f>IF('Proposed Lighting'!CF269=1,0,IF('Proposed Lighting'!AU269=2,0,IF(AND('Proposed Lighting'!AU269=3,'Proposed Lighting'!CF269=0),1,0)))</f>
        <v>0</v>
      </c>
      <c r="W269" s="1836"/>
      <c r="X269" s="1836"/>
      <c r="Y269" s="1836"/>
      <c r="Z269" s="1230" t="str">
        <f t="shared" si="52"/>
        <v/>
      </c>
      <c r="AA269" s="1230">
        <f t="shared" si="53"/>
        <v>0</v>
      </c>
      <c r="AB269" s="1230">
        <f>IF(Q269=0,0,IF(T269=0,0,IF(AA269=0,0,IF(AND(F269=3,V269=0),0,IF(T269=0,0,IF(K269&gt;'Proposed Lighting'!AA269,0,IF('Proposed Lighting'!EJ269&gt;0.01,(K269*O269)*'Proposed Lighting'!EJ269/1000,(K269*O269)*U269/1000)))))))</f>
        <v>0</v>
      </c>
      <c r="AC269" s="1230" t="str">
        <f t="shared" si="59"/>
        <v/>
      </c>
      <c r="AD269" s="1230">
        <f t="shared" si="54"/>
        <v>0</v>
      </c>
      <c r="AE269" s="1230">
        <f>IF(T269=0,0,IF(K269&gt;'Proposed Lighting'!AA269,0,IF(T269&gt;K269,0,IF(AND(AD269&gt;AA269,AA269&gt;0),0,IF(AND(F269&gt;1,W269&lt;0.01),0,IF('Proposed Lighting'!AU269&gt;'Lighting Controls'!F269,0,IF('Proposed Lighting'!AU269&lt;'Lighting Controls'!F269,0,IF(U269=0,0,Summary!AC572))))))))</f>
        <v>0</v>
      </c>
      <c r="AF269" s="1230">
        <f>IF(T269=0,0,IF(AE269=0,0,IF(K269&gt;'Proposed Lighting'!AA269,0,IF(AND(AD269&gt;AA269,AA269&gt;0),0,IF(U269=0,0,Summary!AD572)))))</f>
        <v>0</v>
      </c>
      <c r="AG269" s="1834">
        <f>IF('Proposed Lighting'!AU269=1,0,IF('Proposed Lighting'!CF269=1,0,T269*W269))</f>
        <v>0</v>
      </c>
      <c r="AH269" s="1834"/>
      <c r="AI269" s="1834"/>
      <c r="AJ269" s="1835">
        <f>IF(T269&lt;1,0,IF(K269&gt;'Proposed Lighting'!AA269,0,IF('Proposed Lighting'!CF269=1,0,IF('Proposed Lighting'!AU269=1,0,IF(T269&gt;K269,0,IF(AND(AD269&gt;AA269,AA269&gt;0),0,IF(AND(F269=2,'Proposed Lighting'!AU269=3),0,IF(AND(F269=3,'Proposed Lighting'!AU269=2),0,IF('Proposed Lighting'!CH269=100,0,IF(AND(F269&lt;3,V269=1,AM269=0),0,IF(AND(F269&gt;1,AF269&lt;1,AN269&lt;1),0,IF(AND(F269&gt;1,AE269&lt;0.69,AF269&lt;1,AN269&lt;1),0,IF(ISERROR(AB269-AC269),"",AB269-AC269)))))))))))))</f>
        <v>0</v>
      </c>
      <c r="AK269" s="1835"/>
      <c r="AL269" s="1835"/>
      <c r="AM269" s="1216">
        <f>IF(Q269=0,0,IF(T269=0,0,IF(T269&gt;K269,0,IF(AND(AS269&gt;0.01,BK269=0),0,IF(AND('Proposed Lighting'!DG269=0,'Lighting Controls'!Z269=0.35),0,IF(AND(T269&lt;=K269,AA269&gt;=AD269,'Proposed Lighting'!AU269=2),VLOOKUP(Q269,$AY$9:$AZ$15,2,FALSE),IF(AND(T269&lt;=K269,AA269&gt;=AD269,'Proposed Lighting'!AU269=3),VLOOKUP(Q269,$AY$17:$AZ$23,2,FALSE))))))))</f>
        <v>0</v>
      </c>
      <c r="AN269" s="1248">
        <f>IF(T269=0,0,IF(K269&gt;'Proposed Lighting'!AA269,0,IF(AE269=0,0,IF(AND(AD269&gt;AA269,AA269&gt;0),0,IF(U269=0,0,Summary!AE572)))))</f>
        <v>0</v>
      </c>
      <c r="AO269" s="1248">
        <f t="shared" si="63"/>
        <v>0</v>
      </c>
      <c r="AP269" s="1249">
        <f>IF('Proposed Lighting'!AU269=1,0,IF(K269=0,0,IF(T269&gt;K269,0,IF(G269=0,0,IF(K269&gt;'Proposed Lighting'!AA269,0,IF(AND(AD269&gt;AA269,AA269&gt;0),0,IF(AND('Proposed Lighting'!AU269=3,AM269=0.5),0,IF(AND(AM269&gt;0,AS269&gt;0,BI269&lt;2),0,IF('Proposed Lighting'!CH269=100,0,IF(AV269=1,0,IF(AND(AM269=35,M269+N269&lt;2),0,AM269)))))))))))</f>
        <v>0</v>
      </c>
      <c r="AQ269" s="1249" t="str">
        <f>IFERROR(ROUND(IF(Q269="","",IF('Proposed Lighting'!$X$4=0,0,IF(AND(AM269=35,M269+N269&lt;2),0,IF(T269&gt;K269,0,IF('Proposed Lighting'!AU269=1,0,IF(AJ269=0,0,IF(AND('Proposed Lighting'!AU269=3,AM269=0.5),0,IF(AND(AD269=75,AP269=0,AV269=0),0,IF(AP269&gt;0.01,AP269*T269,IF(AND(F269&gt;1,W269&lt;0.01),0,IF(AND(F269&gt;1,AO269=0),0,IF(AND('Proposed Lighting'!BC269=22,AV269=0),0,IF(AND(AM269&gt;0,AS269&gt;0,BI269&lt;2),0,IF(AND(AS269&gt;0.01,BK269=0),0,IF(AND(AO269=TRUE,AV269=1,F269=3),MIN(AJ269*0.08,L269),IF(AP269&gt;0.01,AP269*T269,IF(AND(AO269=TRUE,AV269=1,F269=2),MIN(AJ269*0.1,L269)))))))))))))))))),2),"")</f>
        <v/>
      </c>
      <c r="AR269" s="1250">
        <f>IF(Q269=0,0,IF('Proposed Lighting'!$X$4=0,0,IF(AND(AM269&gt;0.01,AQ269&gt;0.01),0,IF('Proposed Lighting'!AU269=1,"Missing Interior or Exterior Selection",IF('Proposed Lighting'!CF269=1,"Selection does not match",IF(K269&gt;'Proposed Lighting'!AA269,"Quantity controlled does not match proposed lighting quantity",IF(T269&gt;K269,"Quantity of sensors exceeds proposed lighting quantity",IF(AND(F269&gt;1,'Proposed Lighting'!AU269&lt;&gt;F269),"Selection does not match",IF(AND(AD269&gt;AA269,AA269&gt;0),"Does not meet minimum connected load",IF(AND(O269&gt;0,AS269&gt;0,BK269&gt;0,'Proposed Lighting'!CH269=0),"Select Control Strategies",IF(AND(AC269&gt;0.1,AJ269=0,AQ269=0),"Does not meet incentive criteria",0)))))))))))</f>
        <v>0</v>
      </c>
      <c r="AS269" s="1224">
        <f>IF('Proposed Lighting'!CH269=100,0,IF(ISNUMBER(SEARCH("multiple",Q269)),1,0))</f>
        <v>0</v>
      </c>
      <c r="AT269" s="451">
        <f t="shared" si="60"/>
        <v>0</v>
      </c>
      <c r="AU269" s="451">
        <f t="shared" si="61"/>
        <v>0</v>
      </c>
      <c r="AV269" s="1222">
        <f>IF(ISNUMBER(SEARCH("Networked",'Proposed Lighting'!T269)),0,IF(ISNUMBER(SEARCH("Strategies",'Proposed Lighting'!T269)),0,IF(ISNUMBER(SEARCH("Removal",'Proposed Lighting'!T269)),0,IF(ISNUMBER(SEARCH("non-standard",Q269)),1,0))))</f>
        <v>0</v>
      </c>
      <c r="AW269" s="451">
        <f t="shared" si="51"/>
        <v>0</v>
      </c>
      <c r="AX269" s="451"/>
      <c r="AY269" s="451"/>
      <c r="AZ269" s="451"/>
      <c r="BA269" s="451"/>
      <c r="BB269" s="451"/>
      <c r="BC269" s="1215"/>
      <c r="BD269" s="1215"/>
      <c r="BE269" s="1215"/>
      <c r="BF269" s="1215"/>
      <c r="BG269" s="1215"/>
      <c r="BH269" s="1215"/>
      <c r="BI269">
        <f>IF(AND(AS269=1,BC269="No",BD269="Yes",BE269="Yes",BF269="No",BH269="No"),0,IF(AND('Proposed Lighting'!AU269=2,AS269=1,BC269="Yes",BD269="Yes"),2,IF(AND('Proposed Lighting'!AU269=2,AS269=1,BC269="Yes",BE269="Yes"),2,IF(AND('Proposed Lighting'!AU269=2,AS269=1,BC269="Yes",BF269="Yes"),2,IF(AND('Proposed Lighting'!AU269=2,AS269=1,BC269="Yes",BH269="Yes"),2,IF(AND('Proposed Lighting'!AU269=2,AS269=1,BD269="Yes",BF269="Yes"),2,IF(AND('Proposed Lighting'!AU269=2,AS269=1,BD269="Yes",BH269="Yes"),2,IF(AND('Proposed Lighting'!AU269=3,AS269=1,BC269="Yes",BE269="Yes"),2,IF(AND('Proposed Lighting'!AU269=3,AS269=1,BC269="Yes",BF269="Yes"),2,0)))))))))</f>
        <v>0</v>
      </c>
      <c r="BJ269" s="1025">
        <f t="shared" si="62"/>
        <v>0</v>
      </c>
      <c r="BK269">
        <f>IF(AND('Proposed Lighting'!BC269=22,'Lighting Controls'!N269=1),0,IF(ISNUMBER(SEARCH("LED",G269)),1,0))</f>
        <v>0</v>
      </c>
    </row>
    <row r="270" spans="1:63" ht="34.5" customHeight="1">
      <c r="A270" s="917">
        <v>262</v>
      </c>
      <c r="B270" s="1828" t="str">
        <f>IF('Proposed Lighting'!B270="","",'Proposed Lighting'!B270)</f>
        <v/>
      </c>
      <c r="C270" s="1828"/>
      <c r="D270" s="1828"/>
      <c r="E270" s="1245">
        <f>'Proposed Lighting'!AA270</f>
        <v>0</v>
      </c>
      <c r="F270" s="1245">
        <f t="shared" si="55"/>
        <v>0</v>
      </c>
      <c r="G270" s="1830" t="str">
        <f>IF('Proposed Lighting'!T270="","",IF(ISNUMBER(SEARCH("Networked",'Proposed Lighting'!T270)),0,IF(ISNUMBER(SEARCH("Strategies",'Proposed Lighting'!T270)),0,IF(ISNUMBER(SEARCH("Removal",'Proposed Lighting'!T270)),0,'Proposed Lighting'!T270))))</f>
        <v/>
      </c>
      <c r="H270" s="1830"/>
      <c r="I270" s="1830"/>
      <c r="J270" s="1830"/>
      <c r="K270" s="1215"/>
      <c r="L270" s="1246">
        <f t="shared" si="56"/>
        <v>0</v>
      </c>
      <c r="M270" s="1224">
        <f t="shared" si="57"/>
        <v>0</v>
      </c>
      <c r="N270" s="1224">
        <f t="shared" si="58"/>
        <v>0</v>
      </c>
      <c r="O270" s="1825" t="str">
        <f>IF(G270=0,0,IF(ISNA('Proposed Lighting'!AT270),0,'Proposed Lighting'!AT270))</f>
        <v/>
      </c>
      <c r="P270" s="1825"/>
      <c r="Q270" s="1247"/>
      <c r="R270" s="1247"/>
      <c r="S270" s="1247"/>
      <c r="T270" s="1211"/>
      <c r="U270" s="1235">
        <f>IF(K270&gt;0.01,'Proposed Lighting'!CU270,0)</f>
        <v>0</v>
      </c>
      <c r="V270" s="1248">
        <f>IF('Proposed Lighting'!CF270=1,0,IF('Proposed Lighting'!AU270=2,0,IF(AND('Proposed Lighting'!AU270=3,'Proposed Lighting'!CF270=0),1,0)))</f>
        <v>0</v>
      </c>
      <c r="W270" s="1836"/>
      <c r="X270" s="1836"/>
      <c r="Y270" s="1836"/>
      <c r="Z270" s="1230" t="str">
        <f t="shared" si="52"/>
        <v/>
      </c>
      <c r="AA270" s="1230">
        <f t="shared" si="53"/>
        <v>0</v>
      </c>
      <c r="AB270" s="1230">
        <f>IF(Q270=0,0,IF(T270=0,0,IF(AA270=0,0,IF(AND(F270=3,V270=0),0,IF(T270=0,0,IF(K270&gt;'Proposed Lighting'!AA270,0,IF('Proposed Lighting'!EJ270&gt;0.01,(K270*O270)*'Proposed Lighting'!EJ270/1000,(K270*O270)*U270/1000)))))))</f>
        <v>0</v>
      </c>
      <c r="AC270" s="1230" t="str">
        <f t="shared" si="59"/>
        <v/>
      </c>
      <c r="AD270" s="1230">
        <f t="shared" si="54"/>
        <v>0</v>
      </c>
      <c r="AE270" s="1230">
        <f>IF(T270=0,0,IF(K270&gt;'Proposed Lighting'!AA270,0,IF(T270&gt;K270,0,IF(AND(AD270&gt;AA270,AA270&gt;0),0,IF(AND(F270&gt;1,W270&lt;0.01),0,IF('Proposed Lighting'!AU270&gt;'Lighting Controls'!F270,0,IF('Proposed Lighting'!AU270&lt;'Lighting Controls'!F270,0,IF(U270=0,0,Summary!AC573))))))))</f>
        <v>0</v>
      </c>
      <c r="AF270" s="1230">
        <f>IF(T270=0,0,IF(AE270=0,0,IF(K270&gt;'Proposed Lighting'!AA270,0,IF(AND(AD270&gt;AA270,AA270&gt;0),0,IF(U270=0,0,Summary!AD573)))))</f>
        <v>0</v>
      </c>
      <c r="AG270" s="1834">
        <f>IF('Proposed Lighting'!AU270=1,0,IF('Proposed Lighting'!CF270=1,0,T270*W270))</f>
        <v>0</v>
      </c>
      <c r="AH270" s="1834"/>
      <c r="AI270" s="1834"/>
      <c r="AJ270" s="1835">
        <f>IF(T270&lt;1,0,IF(K270&gt;'Proposed Lighting'!AA270,0,IF('Proposed Lighting'!CF270=1,0,IF('Proposed Lighting'!AU270=1,0,IF(T270&gt;K270,0,IF(AND(AD270&gt;AA270,AA270&gt;0),0,IF(AND(F270=2,'Proposed Lighting'!AU270=3),0,IF(AND(F270=3,'Proposed Lighting'!AU270=2),0,IF('Proposed Lighting'!CH270=100,0,IF(AND(F270&lt;3,V270=1,AM270=0),0,IF(AND(F270&gt;1,AF270&lt;1,AN270&lt;1),0,IF(AND(F270&gt;1,AE270&lt;0.69,AF270&lt;1,AN270&lt;1),0,IF(ISERROR(AB270-AC270),"",AB270-AC270)))))))))))))</f>
        <v>0</v>
      </c>
      <c r="AK270" s="1835"/>
      <c r="AL270" s="1835"/>
      <c r="AM270" s="1216">
        <f>IF(Q270=0,0,IF(T270=0,0,IF(T270&gt;K270,0,IF(AND(AS270&gt;0.01,BK270=0),0,IF(AND('Proposed Lighting'!DG270=0,'Lighting Controls'!Z270=0.35),0,IF(AND(T270&lt;=K270,AA270&gt;=AD270,'Proposed Lighting'!AU270=2),VLOOKUP(Q270,$AY$9:$AZ$15,2,FALSE),IF(AND(T270&lt;=K270,AA270&gt;=AD270,'Proposed Lighting'!AU270=3),VLOOKUP(Q270,$AY$17:$AZ$23,2,FALSE))))))))</f>
        <v>0</v>
      </c>
      <c r="AN270" s="1248">
        <f>IF(T270=0,0,IF(K270&gt;'Proposed Lighting'!AA270,0,IF(AE270=0,0,IF(AND(AD270&gt;AA270,AA270&gt;0),0,IF(U270=0,0,Summary!AE573)))))</f>
        <v>0</v>
      </c>
      <c r="AO270" s="1248">
        <f t="shared" si="63"/>
        <v>0</v>
      </c>
      <c r="AP270" s="1249">
        <f>IF('Proposed Lighting'!AU270=1,0,IF(K270=0,0,IF(T270&gt;K270,0,IF(G270=0,0,IF(K270&gt;'Proposed Lighting'!AA270,0,IF(AND(AD270&gt;AA270,AA270&gt;0),0,IF(AND('Proposed Lighting'!AU270=3,AM270=0.5),0,IF(AND(AM270&gt;0,AS270&gt;0,BI270&lt;2),0,IF('Proposed Lighting'!CH270=100,0,IF(AV270=1,0,IF(AND(AM270=35,M270+N270&lt;2),0,AM270)))))))))))</f>
        <v>0</v>
      </c>
      <c r="AQ270" s="1249" t="str">
        <f>IFERROR(ROUND(IF(Q270="","",IF('Proposed Lighting'!$X$4=0,0,IF(AND(AM270=35,M270+N270&lt;2),0,IF(T270&gt;K270,0,IF('Proposed Lighting'!AU270=1,0,IF(AJ270=0,0,IF(AND('Proposed Lighting'!AU270=3,AM270=0.5),0,IF(AND(AD270=75,AP270=0,AV270=0),0,IF(AP270&gt;0.01,AP270*T270,IF(AND(F270&gt;1,W270&lt;0.01),0,IF(AND(F270&gt;1,AO270=0),0,IF(AND('Proposed Lighting'!BC270=22,AV270=0),0,IF(AND(AM270&gt;0,AS270&gt;0,BI270&lt;2),0,IF(AND(AS270&gt;0.01,BK270=0),0,IF(AND(AO270=TRUE,AV270=1,F270=3),MIN(AJ270*0.08,L270),IF(AP270&gt;0.01,AP270*T270,IF(AND(AO270=TRUE,AV270=1,F270=2),MIN(AJ270*0.1,L270)))))))))))))))))),2),"")</f>
        <v/>
      </c>
      <c r="AR270" s="1250">
        <f>IF(Q270=0,0,IF('Proposed Lighting'!$X$4=0,0,IF(AND(AM270&gt;0.01,AQ270&gt;0.01),0,IF('Proposed Lighting'!AU270=1,"Missing Interior or Exterior Selection",IF('Proposed Lighting'!CF270=1,"Selection does not match",IF(K270&gt;'Proposed Lighting'!AA270,"Quantity controlled does not match proposed lighting quantity",IF(T270&gt;K270,"Quantity of sensors exceeds proposed lighting quantity",IF(AND(F270&gt;1,'Proposed Lighting'!AU270&lt;&gt;F270),"Selection does not match",IF(AND(AD270&gt;AA270,AA270&gt;0),"Does not meet minimum connected load",IF(AND(O270&gt;0,AS270&gt;0,BK270&gt;0,'Proposed Lighting'!CH270=0),"Select Control Strategies",IF(AND(AC270&gt;0.1,AJ270=0,AQ270=0),"Does not meet incentive criteria",0)))))))))))</f>
        <v>0</v>
      </c>
      <c r="AS270" s="1224">
        <f>IF('Proposed Lighting'!CH270=100,0,IF(ISNUMBER(SEARCH("multiple",Q270)),1,0))</f>
        <v>0</v>
      </c>
      <c r="AT270" s="451">
        <f t="shared" si="60"/>
        <v>0</v>
      </c>
      <c r="AU270" s="451">
        <f t="shared" si="61"/>
        <v>0</v>
      </c>
      <c r="AV270" s="1222">
        <f>IF(ISNUMBER(SEARCH("Networked",'Proposed Lighting'!T270)),0,IF(ISNUMBER(SEARCH("Strategies",'Proposed Lighting'!T270)),0,IF(ISNUMBER(SEARCH("Removal",'Proposed Lighting'!T270)),0,IF(ISNUMBER(SEARCH("non-standard",Q270)),1,0))))</f>
        <v>0</v>
      </c>
      <c r="AW270" s="451">
        <f t="shared" si="51"/>
        <v>0</v>
      </c>
      <c r="AX270" s="451"/>
      <c r="AY270" s="451"/>
      <c r="AZ270" s="451"/>
      <c r="BA270" s="451"/>
      <c r="BB270" s="451"/>
      <c r="BC270" s="1215"/>
      <c r="BD270" s="1215"/>
      <c r="BE270" s="1215"/>
      <c r="BF270" s="1215"/>
      <c r="BG270" s="1215"/>
      <c r="BH270" s="1215"/>
      <c r="BI270">
        <f>IF(AND(AS270=1,BC270="No",BD270="Yes",BE270="Yes",BF270="No",BH270="No"),0,IF(AND('Proposed Lighting'!AU270=2,AS270=1,BC270="Yes",BD270="Yes"),2,IF(AND('Proposed Lighting'!AU270=2,AS270=1,BC270="Yes",BE270="Yes"),2,IF(AND('Proposed Lighting'!AU270=2,AS270=1,BC270="Yes",BF270="Yes"),2,IF(AND('Proposed Lighting'!AU270=2,AS270=1,BC270="Yes",BH270="Yes"),2,IF(AND('Proposed Lighting'!AU270=2,AS270=1,BD270="Yes",BF270="Yes"),2,IF(AND('Proposed Lighting'!AU270=2,AS270=1,BD270="Yes",BH270="Yes"),2,IF(AND('Proposed Lighting'!AU270=3,AS270=1,BC270="Yes",BE270="Yes"),2,IF(AND('Proposed Lighting'!AU270=3,AS270=1,BC270="Yes",BF270="Yes"),2,0)))))))))</f>
        <v>0</v>
      </c>
      <c r="BJ270" s="1025">
        <f t="shared" si="62"/>
        <v>0</v>
      </c>
      <c r="BK270">
        <f>IF(AND('Proposed Lighting'!BC270=22,'Lighting Controls'!N270=1),0,IF(ISNUMBER(SEARCH("LED",G270)),1,0))</f>
        <v>0</v>
      </c>
    </row>
    <row r="271" spans="1:63" ht="34.5" customHeight="1">
      <c r="A271" s="917">
        <v>263</v>
      </c>
      <c r="B271" s="1828" t="str">
        <f>IF('Proposed Lighting'!B271="","",'Proposed Lighting'!B271)</f>
        <v/>
      </c>
      <c r="C271" s="1828"/>
      <c r="D271" s="1828"/>
      <c r="E271" s="1245">
        <f>'Proposed Lighting'!AA271</f>
        <v>0</v>
      </c>
      <c r="F271" s="1245">
        <f t="shared" si="55"/>
        <v>0</v>
      </c>
      <c r="G271" s="1830" t="str">
        <f>IF('Proposed Lighting'!T271="","",IF(ISNUMBER(SEARCH("Networked",'Proposed Lighting'!T271)),0,IF(ISNUMBER(SEARCH("Strategies",'Proposed Lighting'!T271)),0,IF(ISNUMBER(SEARCH("Removal",'Proposed Lighting'!T271)),0,'Proposed Lighting'!T271))))</f>
        <v/>
      </c>
      <c r="H271" s="1830"/>
      <c r="I271" s="1830"/>
      <c r="J271" s="1830"/>
      <c r="K271" s="1215"/>
      <c r="L271" s="1246">
        <f t="shared" si="56"/>
        <v>0</v>
      </c>
      <c r="M271" s="1224">
        <f t="shared" si="57"/>
        <v>0</v>
      </c>
      <c r="N271" s="1224">
        <f t="shared" si="58"/>
        <v>0</v>
      </c>
      <c r="O271" s="1825" t="str">
        <f>IF(G271=0,0,IF(ISNA('Proposed Lighting'!AT271),0,'Proposed Lighting'!AT271))</f>
        <v/>
      </c>
      <c r="P271" s="1825"/>
      <c r="Q271" s="1247"/>
      <c r="R271" s="1247"/>
      <c r="S271" s="1247"/>
      <c r="T271" s="1211"/>
      <c r="U271" s="1235">
        <f>IF(K271&gt;0.01,'Proposed Lighting'!CU271,0)</f>
        <v>0</v>
      </c>
      <c r="V271" s="1248">
        <f>IF('Proposed Lighting'!CF271=1,0,IF('Proposed Lighting'!AU271=2,0,IF(AND('Proposed Lighting'!AU271=3,'Proposed Lighting'!CF271=0),1,0)))</f>
        <v>0</v>
      </c>
      <c r="W271" s="1836"/>
      <c r="X271" s="1836"/>
      <c r="Y271" s="1836"/>
      <c r="Z271" s="1230" t="str">
        <f t="shared" si="52"/>
        <v/>
      </c>
      <c r="AA271" s="1230">
        <f t="shared" si="53"/>
        <v>0</v>
      </c>
      <c r="AB271" s="1230">
        <f>IF(Q271=0,0,IF(T271=0,0,IF(AA271=0,0,IF(AND(F271=3,V271=0),0,IF(T271=0,0,IF(K271&gt;'Proposed Lighting'!AA271,0,IF('Proposed Lighting'!EJ271&gt;0.01,(K271*O271)*'Proposed Lighting'!EJ271/1000,(K271*O271)*U271/1000)))))))</f>
        <v>0</v>
      </c>
      <c r="AC271" s="1230" t="str">
        <f t="shared" si="59"/>
        <v/>
      </c>
      <c r="AD271" s="1230">
        <f t="shared" si="54"/>
        <v>0</v>
      </c>
      <c r="AE271" s="1230">
        <f>IF(T271=0,0,IF(K271&gt;'Proposed Lighting'!AA271,0,IF(T271&gt;K271,0,IF(AND(AD271&gt;AA271,AA271&gt;0),0,IF(AND(F271&gt;1,W271&lt;0.01),0,IF('Proposed Lighting'!AU271&gt;'Lighting Controls'!F271,0,IF('Proposed Lighting'!AU271&lt;'Lighting Controls'!F271,0,IF(U271=0,0,Summary!AC574))))))))</f>
        <v>0</v>
      </c>
      <c r="AF271" s="1230">
        <f>IF(T271=0,0,IF(AE271=0,0,IF(K271&gt;'Proposed Lighting'!AA271,0,IF(AND(AD271&gt;AA271,AA271&gt;0),0,IF(U271=0,0,Summary!AD574)))))</f>
        <v>0</v>
      </c>
      <c r="AG271" s="1834">
        <f>IF('Proposed Lighting'!AU271=1,0,IF('Proposed Lighting'!CF271=1,0,T271*W271))</f>
        <v>0</v>
      </c>
      <c r="AH271" s="1834"/>
      <c r="AI271" s="1834"/>
      <c r="AJ271" s="1835">
        <f>IF(T271&lt;1,0,IF(K271&gt;'Proposed Lighting'!AA271,0,IF('Proposed Lighting'!CF271=1,0,IF('Proposed Lighting'!AU271=1,0,IF(T271&gt;K271,0,IF(AND(AD271&gt;AA271,AA271&gt;0),0,IF(AND(F271=2,'Proposed Lighting'!AU271=3),0,IF(AND(F271=3,'Proposed Lighting'!AU271=2),0,IF('Proposed Lighting'!CH271=100,0,IF(AND(F271&lt;3,V271=1,AM271=0),0,IF(AND(F271&gt;1,AF271&lt;1,AN271&lt;1),0,IF(AND(F271&gt;1,AE271&lt;0.69,AF271&lt;1,AN271&lt;1),0,IF(ISERROR(AB271-AC271),"",AB271-AC271)))))))))))))</f>
        <v>0</v>
      </c>
      <c r="AK271" s="1835"/>
      <c r="AL271" s="1835"/>
      <c r="AM271" s="1216">
        <f>IF(Q271=0,0,IF(T271=0,0,IF(T271&gt;K271,0,IF(AND(AS271&gt;0.01,BK271=0),0,IF(AND('Proposed Lighting'!DG271=0,'Lighting Controls'!Z271=0.35),0,IF(AND(T271&lt;=K271,AA271&gt;=AD271,'Proposed Lighting'!AU271=2),VLOOKUP(Q271,$AY$9:$AZ$15,2,FALSE),IF(AND(T271&lt;=K271,AA271&gt;=AD271,'Proposed Lighting'!AU271=3),VLOOKUP(Q271,$AY$17:$AZ$23,2,FALSE))))))))</f>
        <v>0</v>
      </c>
      <c r="AN271" s="1248">
        <f>IF(T271=0,0,IF(K271&gt;'Proposed Lighting'!AA271,0,IF(AE271=0,0,IF(AND(AD271&gt;AA271,AA271&gt;0),0,IF(U271=0,0,Summary!AE574)))))</f>
        <v>0</v>
      </c>
      <c r="AO271" s="1248">
        <f t="shared" si="63"/>
        <v>0</v>
      </c>
      <c r="AP271" s="1249">
        <f>IF('Proposed Lighting'!AU271=1,0,IF(K271=0,0,IF(T271&gt;K271,0,IF(G271=0,0,IF(K271&gt;'Proposed Lighting'!AA271,0,IF(AND(AD271&gt;AA271,AA271&gt;0),0,IF(AND('Proposed Lighting'!AU271=3,AM271=0.5),0,IF(AND(AM271&gt;0,AS271&gt;0,BI271&lt;2),0,IF('Proposed Lighting'!CH271=100,0,IF(AV271=1,0,IF(AND(AM271=35,M271+N271&lt;2),0,AM271)))))))))))</f>
        <v>0</v>
      </c>
      <c r="AQ271" s="1249" t="str">
        <f>IFERROR(ROUND(IF(Q271="","",IF('Proposed Lighting'!$X$4=0,0,IF(AND(AM271=35,M271+N271&lt;2),0,IF(T271&gt;K271,0,IF('Proposed Lighting'!AU271=1,0,IF(AJ271=0,0,IF(AND('Proposed Lighting'!AU271=3,AM271=0.5),0,IF(AND(AD271=75,AP271=0,AV271=0),0,IF(AP271&gt;0.01,AP271*T271,IF(AND(F271&gt;1,W271&lt;0.01),0,IF(AND(F271&gt;1,AO271=0),0,IF(AND('Proposed Lighting'!BC271=22,AV271=0),0,IF(AND(AM271&gt;0,AS271&gt;0,BI271&lt;2),0,IF(AND(AS271&gt;0.01,BK271=0),0,IF(AND(AO271=TRUE,AV271=1,F271=3),MIN(AJ271*0.08,L271),IF(AP271&gt;0.01,AP271*T271,IF(AND(AO271=TRUE,AV271=1,F271=2),MIN(AJ271*0.1,L271)))))))))))))))))),2),"")</f>
        <v/>
      </c>
      <c r="AR271" s="1250">
        <f>IF(Q271=0,0,IF('Proposed Lighting'!$X$4=0,0,IF(AND(AM271&gt;0.01,AQ271&gt;0.01),0,IF('Proposed Lighting'!AU271=1,"Missing Interior or Exterior Selection",IF('Proposed Lighting'!CF271=1,"Selection does not match",IF(K271&gt;'Proposed Lighting'!AA271,"Quantity controlled does not match proposed lighting quantity",IF(T271&gt;K271,"Quantity of sensors exceeds proposed lighting quantity",IF(AND(F271&gt;1,'Proposed Lighting'!AU271&lt;&gt;F271),"Selection does not match",IF(AND(AD271&gt;AA271,AA271&gt;0),"Does not meet minimum connected load",IF(AND(O271&gt;0,AS271&gt;0,BK271&gt;0,'Proposed Lighting'!CH271=0),"Select Control Strategies",IF(AND(AC271&gt;0.1,AJ271=0,AQ271=0),"Does not meet incentive criteria",0)))))))))))</f>
        <v>0</v>
      </c>
      <c r="AS271" s="1224">
        <f>IF('Proposed Lighting'!CH271=100,0,IF(ISNUMBER(SEARCH("multiple",Q271)),1,0))</f>
        <v>0</v>
      </c>
      <c r="AT271" s="451">
        <f t="shared" si="60"/>
        <v>0</v>
      </c>
      <c r="AU271" s="451">
        <f t="shared" si="61"/>
        <v>0</v>
      </c>
      <c r="AV271" s="1222">
        <f>IF(ISNUMBER(SEARCH("Networked",'Proposed Lighting'!T271)),0,IF(ISNUMBER(SEARCH("Strategies",'Proposed Lighting'!T271)),0,IF(ISNUMBER(SEARCH("Removal",'Proposed Lighting'!T271)),0,IF(ISNUMBER(SEARCH("non-standard",Q271)),1,0))))</f>
        <v>0</v>
      </c>
      <c r="AW271" s="451">
        <f t="shared" si="51"/>
        <v>0</v>
      </c>
      <c r="AX271" s="451"/>
      <c r="AY271" s="451"/>
      <c r="AZ271" s="451"/>
      <c r="BA271" s="451"/>
      <c r="BB271" s="451"/>
      <c r="BC271" s="1215"/>
      <c r="BD271" s="1215"/>
      <c r="BE271" s="1215"/>
      <c r="BF271" s="1215"/>
      <c r="BG271" s="1215"/>
      <c r="BH271" s="1215"/>
      <c r="BI271">
        <f>IF(AND(AS271=1,BC271="No",BD271="Yes",BE271="Yes",BF271="No",BH271="No"),0,IF(AND('Proposed Lighting'!AU271=2,AS271=1,BC271="Yes",BD271="Yes"),2,IF(AND('Proposed Lighting'!AU271=2,AS271=1,BC271="Yes",BE271="Yes"),2,IF(AND('Proposed Lighting'!AU271=2,AS271=1,BC271="Yes",BF271="Yes"),2,IF(AND('Proposed Lighting'!AU271=2,AS271=1,BC271="Yes",BH271="Yes"),2,IF(AND('Proposed Lighting'!AU271=2,AS271=1,BD271="Yes",BF271="Yes"),2,IF(AND('Proposed Lighting'!AU271=2,AS271=1,BD271="Yes",BH271="Yes"),2,IF(AND('Proposed Lighting'!AU271=3,AS271=1,BC271="Yes",BE271="Yes"),2,IF(AND('Proposed Lighting'!AU271=3,AS271=1,BC271="Yes",BF271="Yes"),2,0)))))))))</f>
        <v>0</v>
      </c>
      <c r="BJ271" s="1025">
        <f t="shared" si="62"/>
        <v>0</v>
      </c>
      <c r="BK271">
        <f>IF(AND('Proposed Lighting'!BC271=22,'Lighting Controls'!N271=1),0,IF(ISNUMBER(SEARCH("LED",G271)),1,0))</f>
        <v>0</v>
      </c>
    </row>
    <row r="272" spans="1:63" ht="34.5" customHeight="1">
      <c r="A272" s="917">
        <v>264</v>
      </c>
      <c r="B272" s="1828" t="str">
        <f>IF('Proposed Lighting'!B272="","",'Proposed Lighting'!B272)</f>
        <v/>
      </c>
      <c r="C272" s="1828"/>
      <c r="D272" s="1828"/>
      <c r="E272" s="1245">
        <f>'Proposed Lighting'!AA272</f>
        <v>0</v>
      </c>
      <c r="F272" s="1245">
        <f t="shared" si="55"/>
        <v>0</v>
      </c>
      <c r="G272" s="1830" t="str">
        <f>IF('Proposed Lighting'!T272="","",IF(ISNUMBER(SEARCH("Networked",'Proposed Lighting'!T272)),0,IF(ISNUMBER(SEARCH("Strategies",'Proposed Lighting'!T272)),0,IF(ISNUMBER(SEARCH("Removal",'Proposed Lighting'!T272)),0,'Proposed Lighting'!T272))))</f>
        <v/>
      </c>
      <c r="H272" s="1830"/>
      <c r="I272" s="1830"/>
      <c r="J272" s="1830"/>
      <c r="K272" s="1215"/>
      <c r="L272" s="1246">
        <f t="shared" si="56"/>
        <v>0</v>
      </c>
      <c r="M272" s="1224">
        <f t="shared" si="57"/>
        <v>0</v>
      </c>
      <c r="N272" s="1224">
        <f t="shared" si="58"/>
        <v>0</v>
      </c>
      <c r="O272" s="1825" t="str">
        <f>IF(G272=0,0,IF(ISNA('Proposed Lighting'!AT272),0,'Proposed Lighting'!AT272))</f>
        <v/>
      </c>
      <c r="P272" s="1825"/>
      <c r="Q272" s="1247"/>
      <c r="R272" s="1247"/>
      <c r="S272" s="1247"/>
      <c r="T272" s="1211"/>
      <c r="U272" s="1235">
        <f>IF(K272&gt;0.01,'Proposed Lighting'!CU272,0)</f>
        <v>0</v>
      </c>
      <c r="V272" s="1248">
        <f>IF('Proposed Lighting'!CF272=1,0,IF('Proposed Lighting'!AU272=2,0,IF(AND('Proposed Lighting'!AU272=3,'Proposed Lighting'!CF272=0),1,0)))</f>
        <v>0</v>
      </c>
      <c r="W272" s="1836"/>
      <c r="X272" s="1836"/>
      <c r="Y272" s="1836"/>
      <c r="Z272" s="1230" t="str">
        <f t="shared" si="52"/>
        <v/>
      </c>
      <c r="AA272" s="1230">
        <f t="shared" si="53"/>
        <v>0</v>
      </c>
      <c r="AB272" s="1230">
        <f>IF(Q272=0,0,IF(T272=0,0,IF(AA272=0,0,IF(AND(F272=3,V272=0),0,IF(T272=0,0,IF(K272&gt;'Proposed Lighting'!AA272,0,IF('Proposed Lighting'!EJ272&gt;0.01,(K272*O272)*'Proposed Lighting'!EJ272/1000,(K272*O272)*U272/1000)))))))</f>
        <v>0</v>
      </c>
      <c r="AC272" s="1230" t="str">
        <f t="shared" si="59"/>
        <v/>
      </c>
      <c r="AD272" s="1230">
        <f t="shared" si="54"/>
        <v>0</v>
      </c>
      <c r="AE272" s="1230">
        <f>IF(T272=0,0,IF(K272&gt;'Proposed Lighting'!AA272,0,IF(T272&gt;K272,0,IF(AND(AD272&gt;AA272,AA272&gt;0),0,IF(AND(F272&gt;1,W272&lt;0.01),0,IF('Proposed Lighting'!AU272&gt;'Lighting Controls'!F272,0,IF('Proposed Lighting'!AU272&lt;'Lighting Controls'!F272,0,IF(U272=0,0,Summary!AC575))))))))</f>
        <v>0</v>
      </c>
      <c r="AF272" s="1230">
        <f>IF(T272=0,0,IF(AE272=0,0,IF(K272&gt;'Proposed Lighting'!AA272,0,IF(AND(AD272&gt;AA272,AA272&gt;0),0,IF(U272=0,0,Summary!AD575)))))</f>
        <v>0</v>
      </c>
      <c r="AG272" s="1834">
        <f>IF('Proposed Lighting'!AU272=1,0,IF('Proposed Lighting'!CF272=1,0,T272*W272))</f>
        <v>0</v>
      </c>
      <c r="AH272" s="1834"/>
      <c r="AI272" s="1834"/>
      <c r="AJ272" s="1835">
        <f>IF(T272&lt;1,0,IF(K272&gt;'Proposed Lighting'!AA272,0,IF('Proposed Lighting'!CF272=1,0,IF('Proposed Lighting'!AU272=1,0,IF(T272&gt;K272,0,IF(AND(AD272&gt;AA272,AA272&gt;0),0,IF(AND(F272=2,'Proposed Lighting'!AU272=3),0,IF(AND(F272=3,'Proposed Lighting'!AU272=2),0,IF('Proposed Lighting'!CH272=100,0,IF(AND(F272&lt;3,V272=1,AM272=0),0,IF(AND(F272&gt;1,AF272&lt;1,AN272&lt;1),0,IF(AND(F272&gt;1,AE272&lt;0.69,AF272&lt;1,AN272&lt;1),0,IF(ISERROR(AB272-AC272),"",AB272-AC272)))))))))))))</f>
        <v>0</v>
      </c>
      <c r="AK272" s="1835"/>
      <c r="AL272" s="1835"/>
      <c r="AM272" s="1216">
        <f>IF(Q272=0,0,IF(T272=0,0,IF(T272&gt;K272,0,IF(AND(AS272&gt;0.01,BK272=0),0,IF(AND('Proposed Lighting'!DG272=0,'Lighting Controls'!Z272=0.35),0,IF(AND(T272&lt;=K272,AA272&gt;=AD272,'Proposed Lighting'!AU272=2),VLOOKUP(Q272,$AY$9:$AZ$15,2,FALSE),IF(AND(T272&lt;=K272,AA272&gt;=AD272,'Proposed Lighting'!AU272=3),VLOOKUP(Q272,$AY$17:$AZ$23,2,FALSE))))))))</f>
        <v>0</v>
      </c>
      <c r="AN272" s="1248">
        <f>IF(T272=0,0,IF(K272&gt;'Proposed Lighting'!AA272,0,IF(AE272=0,0,IF(AND(AD272&gt;AA272,AA272&gt;0),0,IF(U272=0,0,Summary!AE575)))))</f>
        <v>0</v>
      </c>
      <c r="AO272" s="1248">
        <f t="shared" si="63"/>
        <v>0</v>
      </c>
      <c r="AP272" s="1249">
        <f>IF('Proposed Lighting'!AU272=1,0,IF(K272=0,0,IF(T272&gt;K272,0,IF(G272=0,0,IF(K272&gt;'Proposed Lighting'!AA272,0,IF(AND(AD272&gt;AA272,AA272&gt;0),0,IF(AND('Proposed Lighting'!AU272=3,AM272=0.5),0,IF(AND(AM272&gt;0,AS272&gt;0,BI272&lt;2),0,IF('Proposed Lighting'!CH272=100,0,IF(AV272=1,0,IF(AND(AM272=35,M272+N272&lt;2),0,AM272)))))))))))</f>
        <v>0</v>
      </c>
      <c r="AQ272" s="1249" t="str">
        <f>IFERROR(ROUND(IF(Q272="","",IF('Proposed Lighting'!$X$4=0,0,IF(AND(AM272=35,M272+N272&lt;2),0,IF(T272&gt;K272,0,IF('Proposed Lighting'!AU272=1,0,IF(AJ272=0,0,IF(AND('Proposed Lighting'!AU272=3,AM272=0.5),0,IF(AND(AD272=75,AP272=0,AV272=0),0,IF(AP272&gt;0.01,AP272*T272,IF(AND(F272&gt;1,W272&lt;0.01),0,IF(AND(F272&gt;1,AO272=0),0,IF(AND('Proposed Lighting'!BC272=22,AV272=0),0,IF(AND(AM272&gt;0,AS272&gt;0,BI272&lt;2),0,IF(AND(AS272&gt;0.01,BK272=0),0,IF(AND(AO272=TRUE,AV272=1,F272=3),MIN(AJ272*0.08,L272),IF(AP272&gt;0.01,AP272*T272,IF(AND(AO272=TRUE,AV272=1,F272=2),MIN(AJ272*0.1,L272)))))))))))))))))),2),"")</f>
        <v/>
      </c>
      <c r="AR272" s="1250">
        <f>IF(Q272=0,0,IF('Proposed Lighting'!$X$4=0,0,IF(AND(AM272&gt;0.01,AQ272&gt;0.01),0,IF('Proposed Lighting'!AU272=1,"Missing Interior or Exterior Selection",IF('Proposed Lighting'!CF272=1,"Selection does not match",IF(K272&gt;'Proposed Lighting'!AA272,"Quantity controlled does not match proposed lighting quantity",IF(T272&gt;K272,"Quantity of sensors exceeds proposed lighting quantity",IF(AND(F272&gt;1,'Proposed Lighting'!AU272&lt;&gt;F272),"Selection does not match",IF(AND(AD272&gt;AA272,AA272&gt;0),"Does not meet minimum connected load",IF(AND(O272&gt;0,AS272&gt;0,BK272&gt;0,'Proposed Lighting'!CH272=0),"Select Control Strategies",IF(AND(AC272&gt;0.1,AJ272=0,AQ272=0),"Does not meet incentive criteria",0)))))))))))</f>
        <v>0</v>
      </c>
      <c r="AS272" s="1224">
        <f>IF('Proposed Lighting'!CH272=100,0,IF(ISNUMBER(SEARCH("multiple",Q272)),1,0))</f>
        <v>0</v>
      </c>
      <c r="AT272" s="451">
        <f t="shared" si="60"/>
        <v>0</v>
      </c>
      <c r="AU272" s="451">
        <f t="shared" si="61"/>
        <v>0</v>
      </c>
      <c r="AV272" s="1222">
        <f>IF(ISNUMBER(SEARCH("Networked",'Proposed Lighting'!T272)),0,IF(ISNUMBER(SEARCH("Strategies",'Proposed Lighting'!T272)),0,IF(ISNUMBER(SEARCH("Removal",'Proposed Lighting'!T272)),0,IF(ISNUMBER(SEARCH("non-standard",Q272)),1,0))))</f>
        <v>0</v>
      </c>
      <c r="AW272" s="451">
        <f t="shared" si="51"/>
        <v>0</v>
      </c>
      <c r="AX272" s="451"/>
      <c r="AY272" s="451"/>
      <c r="AZ272" s="451"/>
      <c r="BA272" s="451"/>
      <c r="BB272" s="451"/>
      <c r="BC272" s="1215"/>
      <c r="BD272" s="1215"/>
      <c r="BE272" s="1215"/>
      <c r="BF272" s="1215"/>
      <c r="BG272" s="1215"/>
      <c r="BH272" s="1215"/>
      <c r="BI272">
        <f>IF(AND(AS272=1,BC272="No",BD272="Yes",BE272="Yes",BF272="No",BH272="No"),0,IF(AND('Proposed Lighting'!AU272=2,AS272=1,BC272="Yes",BD272="Yes"),2,IF(AND('Proposed Lighting'!AU272=2,AS272=1,BC272="Yes",BE272="Yes"),2,IF(AND('Proposed Lighting'!AU272=2,AS272=1,BC272="Yes",BF272="Yes"),2,IF(AND('Proposed Lighting'!AU272=2,AS272=1,BC272="Yes",BH272="Yes"),2,IF(AND('Proposed Lighting'!AU272=2,AS272=1,BD272="Yes",BF272="Yes"),2,IF(AND('Proposed Lighting'!AU272=2,AS272=1,BD272="Yes",BH272="Yes"),2,IF(AND('Proposed Lighting'!AU272=3,AS272=1,BC272="Yes",BE272="Yes"),2,IF(AND('Proposed Lighting'!AU272=3,AS272=1,BC272="Yes",BF272="Yes"),2,0)))))))))</f>
        <v>0</v>
      </c>
      <c r="BJ272" s="1025">
        <f t="shared" si="62"/>
        <v>0</v>
      </c>
      <c r="BK272">
        <f>IF(AND('Proposed Lighting'!BC272=22,'Lighting Controls'!N272=1),0,IF(ISNUMBER(SEARCH("LED",G272)),1,0))</f>
        <v>0</v>
      </c>
    </row>
    <row r="273" spans="1:63" ht="34.5" customHeight="1">
      <c r="A273" s="917">
        <v>265</v>
      </c>
      <c r="B273" s="1828" t="str">
        <f>IF('Proposed Lighting'!B273="","",'Proposed Lighting'!B273)</f>
        <v/>
      </c>
      <c r="C273" s="1828"/>
      <c r="D273" s="1828"/>
      <c r="E273" s="1245">
        <f>'Proposed Lighting'!AA273</f>
        <v>0</v>
      </c>
      <c r="F273" s="1245">
        <f t="shared" si="55"/>
        <v>0</v>
      </c>
      <c r="G273" s="1830" t="str">
        <f>IF('Proposed Lighting'!T273="","",IF(ISNUMBER(SEARCH("Networked",'Proposed Lighting'!T273)),0,IF(ISNUMBER(SEARCH("Strategies",'Proposed Lighting'!T273)),0,IF(ISNUMBER(SEARCH("Removal",'Proposed Lighting'!T273)),0,'Proposed Lighting'!T273))))</f>
        <v/>
      </c>
      <c r="H273" s="1830"/>
      <c r="I273" s="1830"/>
      <c r="J273" s="1830"/>
      <c r="K273" s="1215"/>
      <c r="L273" s="1246">
        <f t="shared" si="56"/>
        <v>0</v>
      </c>
      <c r="M273" s="1224">
        <f t="shared" si="57"/>
        <v>0</v>
      </c>
      <c r="N273" s="1224">
        <f t="shared" si="58"/>
        <v>0</v>
      </c>
      <c r="O273" s="1825" t="str">
        <f>IF(G273=0,0,IF(ISNA('Proposed Lighting'!AT273),0,'Proposed Lighting'!AT273))</f>
        <v/>
      </c>
      <c r="P273" s="1825"/>
      <c r="Q273" s="1247"/>
      <c r="R273" s="1247"/>
      <c r="S273" s="1247"/>
      <c r="T273" s="1211"/>
      <c r="U273" s="1235">
        <f>IF(K273&gt;0.01,'Proposed Lighting'!CU273,0)</f>
        <v>0</v>
      </c>
      <c r="V273" s="1248">
        <f>IF('Proposed Lighting'!CF273=1,0,IF('Proposed Lighting'!AU273=2,0,IF(AND('Proposed Lighting'!AU273=3,'Proposed Lighting'!CF273=0),1,0)))</f>
        <v>0</v>
      </c>
      <c r="W273" s="1836"/>
      <c r="X273" s="1836"/>
      <c r="Y273" s="1836"/>
      <c r="Z273" s="1230" t="str">
        <f t="shared" si="52"/>
        <v/>
      </c>
      <c r="AA273" s="1230">
        <f t="shared" si="53"/>
        <v>0</v>
      </c>
      <c r="AB273" s="1230">
        <f>IF(Q273=0,0,IF(T273=0,0,IF(AA273=0,0,IF(AND(F273=3,V273=0),0,IF(T273=0,0,IF(K273&gt;'Proposed Lighting'!AA273,0,IF('Proposed Lighting'!EJ273&gt;0.01,(K273*O273)*'Proposed Lighting'!EJ273/1000,(K273*O273)*U273/1000)))))))</f>
        <v>0</v>
      </c>
      <c r="AC273" s="1230" t="str">
        <f t="shared" si="59"/>
        <v/>
      </c>
      <c r="AD273" s="1230">
        <f t="shared" si="54"/>
        <v>0</v>
      </c>
      <c r="AE273" s="1230">
        <f>IF(T273=0,0,IF(K273&gt;'Proposed Lighting'!AA273,0,IF(T273&gt;K273,0,IF(AND(AD273&gt;AA273,AA273&gt;0),0,IF(AND(F273&gt;1,W273&lt;0.01),0,IF('Proposed Lighting'!AU273&gt;'Lighting Controls'!F273,0,IF('Proposed Lighting'!AU273&lt;'Lighting Controls'!F273,0,IF(U273=0,0,Summary!AC576))))))))</f>
        <v>0</v>
      </c>
      <c r="AF273" s="1230">
        <f>IF(T273=0,0,IF(AE273=0,0,IF(K273&gt;'Proposed Lighting'!AA273,0,IF(AND(AD273&gt;AA273,AA273&gt;0),0,IF(U273=0,0,Summary!AD576)))))</f>
        <v>0</v>
      </c>
      <c r="AG273" s="1834">
        <f>IF('Proposed Lighting'!AU273=1,0,IF('Proposed Lighting'!CF273=1,0,T273*W273))</f>
        <v>0</v>
      </c>
      <c r="AH273" s="1834"/>
      <c r="AI273" s="1834"/>
      <c r="AJ273" s="1835">
        <f>IF(T273&lt;1,0,IF(K273&gt;'Proposed Lighting'!AA273,0,IF('Proposed Lighting'!CF273=1,0,IF('Proposed Lighting'!AU273=1,0,IF(T273&gt;K273,0,IF(AND(AD273&gt;AA273,AA273&gt;0),0,IF(AND(F273=2,'Proposed Lighting'!AU273=3),0,IF(AND(F273=3,'Proposed Lighting'!AU273=2),0,IF('Proposed Lighting'!CH273=100,0,IF(AND(F273&lt;3,V273=1,AM273=0),0,IF(AND(F273&gt;1,AF273&lt;1,AN273&lt;1),0,IF(AND(F273&gt;1,AE273&lt;0.69,AF273&lt;1,AN273&lt;1),0,IF(ISERROR(AB273-AC273),"",AB273-AC273)))))))))))))</f>
        <v>0</v>
      </c>
      <c r="AK273" s="1835"/>
      <c r="AL273" s="1835"/>
      <c r="AM273" s="1216">
        <f>IF(Q273=0,0,IF(T273=0,0,IF(T273&gt;K273,0,IF(AND(AS273&gt;0.01,BK273=0),0,IF(AND('Proposed Lighting'!DG273=0,'Lighting Controls'!Z273=0.35),0,IF(AND(T273&lt;=K273,AA273&gt;=AD273,'Proposed Lighting'!AU273=2),VLOOKUP(Q273,$AY$9:$AZ$15,2,FALSE),IF(AND(T273&lt;=K273,AA273&gt;=AD273,'Proposed Lighting'!AU273=3),VLOOKUP(Q273,$AY$17:$AZ$23,2,FALSE))))))))</f>
        <v>0</v>
      </c>
      <c r="AN273" s="1248">
        <f>IF(T273=0,0,IF(K273&gt;'Proposed Lighting'!AA273,0,IF(AE273=0,0,IF(AND(AD273&gt;AA273,AA273&gt;0),0,IF(U273=0,0,Summary!AE576)))))</f>
        <v>0</v>
      </c>
      <c r="AO273" s="1248">
        <f t="shared" si="63"/>
        <v>0</v>
      </c>
      <c r="AP273" s="1249">
        <f>IF('Proposed Lighting'!AU273=1,0,IF(K273=0,0,IF(T273&gt;K273,0,IF(G273=0,0,IF(K273&gt;'Proposed Lighting'!AA273,0,IF(AND(AD273&gt;AA273,AA273&gt;0),0,IF(AND('Proposed Lighting'!AU273=3,AM273=0.5),0,IF(AND(AM273&gt;0,AS273&gt;0,BI273&lt;2),0,IF('Proposed Lighting'!CH273=100,0,IF(AV273=1,0,IF(AND(AM273=35,M273+N273&lt;2),0,AM273)))))))))))</f>
        <v>0</v>
      </c>
      <c r="AQ273" s="1249" t="str">
        <f>IFERROR(ROUND(IF(Q273="","",IF('Proposed Lighting'!$X$4=0,0,IF(AND(AM273=35,M273+N273&lt;2),0,IF(T273&gt;K273,0,IF('Proposed Lighting'!AU273=1,0,IF(AJ273=0,0,IF(AND('Proposed Lighting'!AU273=3,AM273=0.5),0,IF(AND(AD273=75,AP273=0,AV273=0),0,IF(AP273&gt;0.01,AP273*T273,IF(AND(F273&gt;1,W273&lt;0.01),0,IF(AND(F273&gt;1,AO273=0),0,IF(AND('Proposed Lighting'!BC273=22,AV273=0),0,IF(AND(AM273&gt;0,AS273&gt;0,BI273&lt;2),0,IF(AND(AS273&gt;0.01,BK273=0),0,IF(AND(AO273=TRUE,AV273=1,F273=3),MIN(AJ273*0.08,L273),IF(AP273&gt;0.01,AP273*T273,IF(AND(AO273=TRUE,AV273=1,F273=2),MIN(AJ273*0.1,L273)))))))))))))))))),2),"")</f>
        <v/>
      </c>
      <c r="AR273" s="1250">
        <f>IF(Q273=0,0,IF('Proposed Lighting'!$X$4=0,0,IF(AND(AM273&gt;0.01,AQ273&gt;0.01),0,IF('Proposed Lighting'!AU273=1,"Missing Interior or Exterior Selection",IF('Proposed Lighting'!CF273=1,"Selection does not match",IF(K273&gt;'Proposed Lighting'!AA273,"Quantity controlled does not match proposed lighting quantity",IF(T273&gt;K273,"Quantity of sensors exceeds proposed lighting quantity",IF(AND(F273&gt;1,'Proposed Lighting'!AU273&lt;&gt;F273),"Selection does not match",IF(AND(AD273&gt;AA273,AA273&gt;0),"Does not meet minimum connected load",IF(AND(O273&gt;0,AS273&gt;0,BK273&gt;0,'Proposed Lighting'!CH273=0),"Select Control Strategies",IF(AND(AC273&gt;0.1,AJ273=0,AQ273=0),"Does not meet incentive criteria",0)))))))))))</f>
        <v>0</v>
      </c>
      <c r="AS273" s="1224">
        <f>IF('Proposed Lighting'!CH273=100,0,IF(ISNUMBER(SEARCH("multiple",Q273)),1,0))</f>
        <v>0</v>
      </c>
      <c r="AT273" s="451">
        <f t="shared" si="60"/>
        <v>0</v>
      </c>
      <c r="AU273" s="451">
        <f t="shared" si="61"/>
        <v>0</v>
      </c>
      <c r="AV273" s="1222">
        <f>IF(ISNUMBER(SEARCH("Networked",'Proposed Lighting'!T273)),0,IF(ISNUMBER(SEARCH("Strategies",'Proposed Lighting'!T273)),0,IF(ISNUMBER(SEARCH("Removal",'Proposed Lighting'!T273)),0,IF(ISNUMBER(SEARCH("non-standard",Q273)),1,0))))</f>
        <v>0</v>
      </c>
      <c r="AW273" s="451">
        <f t="shared" ref="AW273:AW336" si="64">IF(AQ266&gt;0.01,AJ266,0)</f>
        <v>0</v>
      </c>
      <c r="AX273" s="451"/>
      <c r="AY273" s="451"/>
      <c r="AZ273" s="451"/>
      <c r="BA273" s="451"/>
      <c r="BB273" s="451"/>
      <c r="BC273" s="1215"/>
      <c r="BD273" s="1215"/>
      <c r="BE273" s="1215"/>
      <c r="BF273" s="1215"/>
      <c r="BG273" s="1215"/>
      <c r="BH273" s="1215"/>
      <c r="BI273">
        <f>IF(AND(AS273=1,BC273="No",BD273="Yes",BE273="Yes",BF273="No",BH273="No"),0,IF(AND('Proposed Lighting'!AU273=2,AS273=1,BC273="Yes",BD273="Yes"),2,IF(AND('Proposed Lighting'!AU273=2,AS273=1,BC273="Yes",BE273="Yes"),2,IF(AND('Proposed Lighting'!AU273=2,AS273=1,BC273="Yes",BF273="Yes"),2,IF(AND('Proposed Lighting'!AU273=2,AS273=1,BC273="Yes",BH273="Yes"),2,IF(AND('Proposed Lighting'!AU273=2,AS273=1,BD273="Yes",BF273="Yes"),2,IF(AND('Proposed Lighting'!AU273=2,AS273=1,BD273="Yes",BH273="Yes"),2,IF(AND('Proposed Lighting'!AU273=3,AS273=1,BC273="Yes",BE273="Yes"),2,IF(AND('Proposed Lighting'!AU273=3,AS273=1,BC273="Yes",BF273="Yes"),2,0)))))))))</f>
        <v>0</v>
      </c>
      <c r="BJ273" s="1025">
        <f t="shared" si="62"/>
        <v>0</v>
      </c>
      <c r="BK273">
        <f>IF(AND('Proposed Lighting'!BC273=22,'Lighting Controls'!N273=1),0,IF(ISNUMBER(SEARCH("LED",G273)),1,0))</f>
        <v>0</v>
      </c>
    </row>
    <row r="274" spans="1:63" ht="34.5" customHeight="1">
      <c r="A274" s="917">
        <v>266</v>
      </c>
      <c r="B274" s="1828" t="str">
        <f>IF('Proposed Lighting'!B274="","",'Proposed Lighting'!B274)</f>
        <v/>
      </c>
      <c r="C274" s="1828"/>
      <c r="D274" s="1828"/>
      <c r="E274" s="1245">
        <f>'Proposed Lighting'!AA274</f>
        <v>0</v>
      </c>
      <c r="F274" s="1245">
        <f t="shared" si="55"/>
        <v>0</v>
      </c>
      <c r="G274" s="1830" t="str">
        <f>IF('Proposed Lighting'!T274="","",IF(ISNUMBER(SEARCH("Networked",'Proposed Lighting'!T274)),0,IF(ISNUMBER(SEARCH("Strategies",'Proposed Lighting'!T274)),0,IF(ISNUMBER(SEARCH("Removal",'Proposed Lighting'!T274)),0,'Proposed Lighting'!T274))))</f>
        <v/>
      </c>
      <c r="H274" s="1830"/>
      <c r="I274" s="1830"/>
      <c r="J274" s="1830"/>
      <c r="K274" s="1215"/>
      <c r="L274" s="1246">
        <f t="shared" si="56"/>
        <v>0</v>
      </c>
      <c r="M274" s="1224">
        <f t="shared" si="57"/>
        <v>0</v>
      </c>
      <c r="N274" s="1224">
        <f t="shared" si="58"/>
        <v>0</v>
      </c>
      <c r="O274" s="1825" t="str">
        <f>IF(G274=0,0,IF(ISNA('Proposed Lighting'!AT274),0,'Proposed Lighting'!AT274))</f>
        <v/>
      </c>
      <c r="P274" s="1825"/>
      <c r="Q274" s="1247"/>
      <c r="R274" s="1247"/>
      <c r="S274" s="1247"/>
      <c r="T274" s="1211"/>
      <c r="U274" s="1235">
        <f>IF(K274&gt;0.01,'Proposed Lighting'!CU274,0)</f>
        <v>0</v>
      </c>
      <c r="V274" s="1248">
        <f>IF('Proposed Lighting'!CF274=1,0,IF('Proposed Lighting'!AU274=2,0,IF(AND('Proposed Lighting'!AU274=3,'Proposed Lighting'!CF274=0),1,0)))</f>
        <v>0</v>
      </c>
      <c r="W274" s="1836"/>
      <c r="X274" s="1836"/>
      <c r="Y274" s="1836"/>
      <c r="Z274" s="1230" t="str">
        <f t="shared" si="52"/>
        <v/>
      </c>
      <c r="AA274" s="1230">
        <f t="shared" si="53"/>
        <v>0</v>
      </c>
      <c r="AB274" s="1230">
        <f>IF(Q274=0,0,IF(T274=0,0,IF(AA274=0,0,IF(AND(F274=3,V274=0),0,IF(T274=0,0,IF(K274&gt;'Proposed Lighting'!AA274,0,IF('Proposed Lighting'!EJ274&gt;0.01,(K274*O274)*'Proposed Lighting'!EJ274/1000,(K274*O274)*U274/1000)))))))</f>
        <v>0</v>
      </c>
      <c r="AC274" s="1230" t="str">
        <f t="shared" si="59"/>
        <v/>
      </c>
      <c r="AD274" s="1230">
        <f t="shared" si="54"/>
        <v>0</v>
      </c>
      <c r="AE274" s="1230">
        <f>IF(T274=0,0,IF(K274&gt;'Proposed Lighting'!AA274,0,IF(T274&gt;K274,0,IF(AND(AD274&gt;AA274,AA274&gt;0),0,IF(AND(F274&gt;1,W274&lt;0.01),0,IF('Proposed Lighting'!AU274&gt;'Lighting Controls'!F274,0,IF('Proposed Lighting'!AU274&lt;'Lighting Controls'!F274,0,IF(U274=0,0,Summary!AC577))))))))</f>
        <v>0</v>
      </c>
      <c r="AF274" s="1230">
        <f>IF(T274=0,0,IF(AE274=0,0,IF(K274&gt;'Proposed Lighting'!AA274,0,IF(AND(AD274&gt;AA274,AA274&gt;0),0,IF(U274=0,0,Summary!AD577)))))</f>
        <v>0</v>
      </c>
      <c r="AG274" s="1834">
        <f>IF('Proposed Lighting'!AU274=1,0,IF('Proposed Lighting'!CF274=1,0,T274*W274))</f>
        <v>0</v>
      </c>
      <c r="AH274" s="1834"/>
      <c r="AI274" s="1834"/>
      <c r="AJ274" s="1835">
        <f>IF(T274&lt;1,0,IF(K274&gt;'Proposed Lighting'!AA274,0,IF('Proposed Lighting'!CF274=1,0,IF('Proposed Lighting'!AU274=1,0,IF(T274&gt;K274,0,IF(AND(AD274&gt;AA274,AA274&gt;0),0,IF(AND(F274=2,'Proposed Lighting'!AU274=3),0,IF(AND(F274=3,'Proposed Lighting'!AU274=2),0,IF('Proposed Lighting'!CH274=100,0,IF(AND(F274&lt;3,V274=1,AM274=0),0,IF(AND(F274&gt;1,AF274&lt;1,AN274&lt;1),0,IF(AND(F274&gt;1,AE274&lt;0.69,AF274&lt;1,AN274&lt;1),0,IF(ISERROR(AB274-AC274),"",AB274-AC274)))))))))))))</f>
        <v>0</v>
      </c>
      <c r="AK274" s="1835"/>
      <c r="AL274" s="1835"/>
      <c r="AM274" s="1216">
        <f>IF(Q274=0,0,IF(T274=0,0,IF(T274&gt;K274,0,IF(AND(AS274&gt;0.01,BK274=0),0,IF(AND('Proposed Lighting'!DG274=0,'Lighting Controls'!Z274=0.35),0,IF(AND(T274&lt;=K274,AA274&gt;=AD274,'Proposed Lighting'!AU274=2),VLOOKUP(Q274,$AY$9:$AZ$15,2,FALSE),IF(AND(T274&lt;=K274,AA274&gt;=AD274,'Proposed Lighting'!AU274=3),VLOOKUP(Q274,$AY$17:$AZ$23,2,FALSE))))))))</f>
        <v>0</v>
      </c>
      <c r="AN274" s="1248">
        <f>IF(T274=0,0,IF(K274&gt;'Proposed Lighting'!AA274,0,IF(AE274=0,0,IF(AND(AD274&gt;AA274,AA274&gt;0),0,IF(U274=0,0,Summary!AE577)))))</f>
        <v>0</v>
      </c>
      <c r="AO274" s="1248">
        <f t="shared" si="63"/>
        <v>0</v>
      </c>
      <c r="AP274" s="1249">
        <f>IF('Proposed Lighting'!AU274=1,0,IF(K274=0,0,IF(T274&gt;K274,0,IF(G274=0,0,IF(K274&gt;'Proposed Lighting'!AA274,0,IF(AND(AD274&gt;AA274,AA274&gt;0),0,IF(AND('Proposed Lighting'!AU274=3,AM274=0.5),0,IF(AND(AM274&gt;0,AS274&gt;0,BI274&lt;2),0,IF('Proposed Lighting'!CH274=100,0,IF(AV274=1,0,IF(AND(AM274=35,M274+N274&lt;2),0,AM274)))))))))))</f>
        <v>0</v>
      </c>
      <c r="AQ274" s="1249" t="str">
        <f>IFERROR(ROUND(IF(Q274="","",IF('Proposed Lighting'!$X$4=0,0,IF(AND(AM274=35,M274+N274&lt;2),0,IF(T274&gt;K274,0,IF('Proposed Lighting'!AU274=1,0,IF(AJ274=0,0,IF(AND('Proposed Lighting'!AU274=3,AM274=0.5),0,IF(AND(AD274=75,AP274=0,AV274=0),0,IF(AP274&gt;0.01,AP274*T274,IF(AND(F274&gt;1,W274&lt;0.01),0,IF(AND(F274&gt;1,AO274=0),0,IF(AND('Proposed Lighting'!BC274=22,AV274=0),0,IF(AND(AM274&gt;0,AS274&gt;0,BI274&lt;2),0,IF(AND(AS274&gt;0.01,BK274=0),0,IF(AND(AO274=TRUE,AV274=1,F274=3),MIN(AJ274*0.08,L274),IF(AP274&gt;0.01,AP274*T274,IF(AND(AO274=TRUE,AV274=1,F274=2),MIN(AJ274*0.1,L274)))))))))))))))))),2),"")</f>
        <v/>
      </c>
      <c r="AR274" s="1250">
        <f>IF(Q274=0,0,IF('Proposed Lighting'!$X$4=0,0,IF(AND(AM274&gt;0.01,AQ274&gt;0.01),0,IF('Proposed Lighting'!AU274=1,"Missing Interior or Exterior Selection",IF('Proposed Lighting'!CF274=1,"Selection does not match",IF(K274&gt;'Proposed Lighting'!AA274,"Quantity controlled does not match proposed lighting quantity",IF(T274&gt;K274,"Quantity of sensors exceeds proposed lighting quantity",IF(AND(F274&gt;1,'Proposed Lighting'!AU274&lt;&gt;F274),"Selection does not match",IF(AND(AD274&gt;AA274,AA274&gt;0),"Does not meet minimum connected load",IF(AND(O274&gt;0,AS274&gt;0,BK274&gt;0,'Proposed Lighting'!CH274=0),"Select Control Strategies",IF(AND(AC274&gt;0.1,AJ274=0,AQ274=0),"Does not meet incentive criteria",0)))))))))))</f>
        <v>0</v>
      </c>
      <c r="AS274" s="1224">
        <f>IF('Proposed Lighting'!CH274=100,0,IF(ISNUMBER(SEARCH("multiple",Q274)),1,0))</f>
        <v>0</v>
      </c>
      <c r="AT274" s="451">
        <f t="shared" si="60"/>
        <v>0</v>
      </c>
      <c r="AU274" s="451">
        <f t="shared" si="61"/>
        <v>0</v>
      </c>
      <c r="AV274" s="1222">
        <f>IF(ISNUMBER(SEARCH("Networked",'Proposed Lighting'!T274)),0,IF(ISNUMBER(SEARCH("Strategies",'Proposed Lighting'!T274)),0,IF(ISNUMBER(SEARCH("Removal",'Proposed Lighting'!T274)),0,IF(ISNUMBER(SEARCH("non-standard",Q274)),1,0))))</f>
        <v>0</v>
      </c>
      <c r="AW274" s="451">
        <f t="shared" si="64"/>
        <v>0</v>
      </c>
      <c r="AX274" s="451"/>
      <c r="AY274" s="451"/>
      <c r="AZ274" s="451"/>
      <c r="BA274" s="451"/>
      <c r="BB274" s="451"/>
      <c r="BC274" s="1215"/>
      <c r="BD274" s="1215"/>
      <c r="BE274" s="1215"/>
      <c r="BF274" s="1215"/>
      <c r="BG274" s="1215"/>
      <c r="BH274" s="1215"/>
      <c r="BI274">
        <f>IF(AND(AS274=1,BC274="No",BD274="Yes",BE274="Yes",BF274="No",BH274="No"),0,IF(AND('Proposed Lighting'!AU274=2,AS274=1,BC274="Yes",BD274="Yes"),2,IF(AND('Proposed Lighting'!AU274=2,AS274=1,BC274="Yes",BE274="Yes"),2,IF(AND('Proposed Lighting'!AU274=2,AS274=1,BC274="Yes",BF274="Yes"),2,IF(AND('Proposed Lighting'!AU274=2,AS274=1,BC274="Yes",BH274="Yes"),2,IF(AND('Proposed Lighting'!AU274=2,AS274=1,BD274="Yes",BF274="Yes"),2,IF(AND('Proposed Lighting'!AU274=2,AS274=1,BD274="Yes",BH274="Yes"),2,IF(AND('Proposed Lighting'!AU274=3,AS274=1,BC274="Yes",BE274="Yes"),2,IF(AND('Proposed Lighting'!AU274=3,AS274=1,BC274="Yes",BF274="Yes"),2,0)))))))))</f>
        <v>0</v>
      </c>
      <c r="BJ274" s="1025">
        <f t="shared" si="62"/>
        <v>0</v>
      </c>
      <c r="BK274">
        <f>IF(AND('Proposed Lighting'!BC274=22,'Lighting Controls'!N274=1),0,IF(ISNUMBER(SEARCH("LED",G274)),1,0))</f>
        <v>0</v>
      </c>
    </row>
    <row r="275" spans="1:63" ht="34.5" customHeight="1">
      <c r="A275" s="917">
        <v>267</v>
      </c>
      <c r="B275" s="1828" t="str">
        <f>IF('Proposed Lighting'!B275="","",'Proposed Lighting'!B275)</f>
        <v/>
      </c>
      <c r="C275" s="1828"/>
      <c r="D275" s="1828"/>
      <c r="E275" s="1245">
        <f>'Proposed Lighting'!AA275</f>
        <v>0</v>
      </c>
      <c r="F275" s="1245">
        <f t="shared" si="55"/>
        <v>0</v>
      </c>
      <c r="G275" s="1830" t="str">
        <f>IF('Proposed Lighting'!T275="","",IF(ISNUMBER(SEARCH("Networked",'Proposed Lighting'!T275)),0,IF(ISNUMBER(SEARCH("Strategies",'Proposed Lighting'!T275)),0,IF(ISNUMBER(SEARCH("Removal",'Proposed Lighting'!T275)),0,'Proposed Lighting'!T275))))</f>
        <v/>
      </c>
      <c r="H275" s="1830"/>
      <c r="I275" s="1830"/>
      <c r="J275" s="1830"/>
      <c r="K275" s="1215"/>
      <c r="L275" s="1246">
        <f t="shared" si="56"/>
        <v>0</v>
      </c>
      <c r="M275" s="1224">
        <f t="shared" si="57"/>
        <v>0</v>
      </c>
      <c r="N275" s="1224">
        <f t="shared" si="58"/>
        <v>0</v>
      </c>
      <c r="O275" s="1825" t="str">
        <f>IF(G275=0,0,IF(ISNA('Proposed Lighting'!AT275),0,'Proposed Lighting'!AT275))</f>
        <v/>
      </c>
      <c r="P275" s="1825"/>
      <c r="Q275" s="1247"/>
      <c r="R275" s="1247"/>
      <c r="S275" s="1247"/>
      <c r="T275" s="1211"/>
      <c r="U275" s="1235">
        <f>IF(K275&gt;0.01,'Proposed Lighting'!CU275,0)</f>
        <v>0</v>
      </c>
      <c r="V275" s="1248">
        <f>IF('Proposed Lighting'!CF275=1,0,IF('Proposed Lighting'!AU275=2,0,IF(AND('Proposed Lighting'!AU275=3,'Proposed Lighting'!CF275=0),1,0)))</f>
        <v>0</v>
      </c>
      <c r="W275" s="1836"/>
      <c r="X275" s="1836"/>
      <c r="Y275" s="1836"/>
      <c r="Z275" s="1230" t="str">
        <f t="shared" si="52"/>
        <v/>
      </c>
      <c r="AA275" s="1230">
        <f t="shared" si="53"/>
        <v>0</v>
      </c>
      <c r="AB275" s="1230">
        <f>IF(Q275=0,0,IF(T275=0,0,IF(AA275=0,0,IF(AND(F275=3,V275=0),0,IF(T275=0,0,IF(K275&gt;'Proposed Lighting'!AA275,0,IF('Proposed Lighting'!EJ275&gt;0.01,(K275*O275)*'Proposed Lighting'!EJ275/1000,(K275*O275)*U275/1000)))))))</f>
        <v>0</v>
      </c>
      <c r="AC275" s="1230" t="str">
        <f t="shared" si="59"/>
        <v/>
      </c>
      <c r="AD275" s="1230">
        <f t="shared" si="54"/>
        <v>0</v>
      </c>
      <c r="AE275" s="1230">
        <f>IF(T275=0,0,IF(K275&gt;'Proposed Lighting'!AA275,0,IF(T275&gt;K275,0,IF(AND(AD275&gt;AA275,AA275&gt;0),0,IF(AND(F275&gt;1,W275&lt;0.01),0,IF('Proposed Lighting'!AU275&gt;'Lighting Controls'!F275,0,IF('Proposed Lighting'!AU275&lt;'Lighting Controls'!F275,0,IF(U275=0,0,Summary!AC578))))))))</f>
        <v>0</v>
      </c>
      <c r="AF275" s="1230">
        <f>IF(T275=0,0,IF(AE275=0,0,IF(K275&gt;'Proposed Lighting'!AA275,0,IF(AND(AD275&gt;AA275,AA275&gt;0),0,IF(U275=0,0,Summary!AD578)))))</f>
        <v>0</v>
      </c>
      <c r="AG275" s="1834">
        <f>IF('Proposed Lighting'!AU275=1,0,IF('Proposed Lighting'!CF275=1,0,T275*W275))</f>
        <v>0</v>
      </c>
      <c r="AH275" s="1834"/>
      <c r="AI275" s="1834"/>
      <c r="AJ275" s="1835">
        <f>IF(T275&lt;1,0,IF(K275&gt;'Proposed Lighting'!AA275,0,IF('Proposed Lighting'!CF275=1,0,IF('Proposed Lighting'!AU275=1,0,IF(T275&gt;K275,0,IF(AND(AD275&gt;AA275,AA275&gt;0),0,IF(AND(F275=2,'Proposed Lighting'!AU275=3),0,IF(AND(F275=3,'Proposed Lighting'!AU275=2),0,IF('Proposed Lighting'!CH275=100,0,IF(AND(F275&lt;3,V275=1,AM275=0),0,IF(AND(F275&gt;1,AF275&lt;1,AN275&lt;1),0,IF(AND(F275&gt;1,AE275&lt;0.69,AF275&lt;1,AN275&lt;1),0,IF(ISERROR(AB275-AC275),"",AB275-AC275)))))))))))))</f>
        <v>0</v>
      </c>
      <c r="AK275" s="1835"/>
      <c r="AL275" s="1835"/>
      <c r="AM275" s="1216">
        <f>IF(Q275=0,0,IF(T275=0,0,IF(T275&gt;K275,0,IF(AND(AS275&gt;0.01,BK275=0),0,IF(AND('Proposed Lighting'!DG275=0,'Lighting Controls'!Z275=0.35),0,IF(AND(T275&lt;=K275,AA275&gt;=AD275,'Proposed Lighting'!AU275=2),VLOOKUP(Q275,$AY$9:$AZ$15,2,FALSE),IF(AND(T275&lt;=K275,AA275&gt;=AD275,'Proposed Lighting'!AU275=3),VLOOKUP(Q275,$AY$17:$AZ$23,2,FALSE))))))))</f>
        <v>0</v>
      </c>
      <c r="AN275" s="1248">
        <f>IF(T275=0,0,IF(K275&gt;'Proposed Lighting'!AA275,0,IF(AE275=0,0,IF(AND(AD275&gt;AA275,AA275&gt;0),0,IF(U275=0,0,Summary!AE578)))))</f>
        <v>0</v>
      </c>
      <c r="AO275" s="1248">
        <f t="shared" si="63"/>
        <v>0</v>
      </c>
      <c r="AP275" s="1249">
        <f>IF('Proposed Lighting'!AU275=1,0,IF(K275=0,0,IF(T275&gt;K275,0,IF(G275=0,0,IF(K275&gt;'Proposed Lighting'!AA275,0,IF(AND(AD275&gt;AA275,AA275&gt;0),0,IF(AND('Proposed Lighting'!AU275=3,AM275=0.5),0,IF(AND(AM275&gt;0,AS275&gt;0,BI275&lt;2),0,IF('Proposed Lighting'!CH275=100,0,IF(AV275=1,0,IF(AND(AM275=35,M275+N275&lt;2),0,AM275)))))))))))</f>
        <v>0</v>
      </c>
      <c r="AQ275" s="1249" t="str">
        <f>IFERROR(ROUND(IF(Q275="","",IF('Proposed Lighting'!$X$4=0,0,IF(AND(AM275=35,M275+N275&lt;2),0,IF(T275&gt;K275,0,IF('Proposed Lighting'!AU275=1,0,IF(AJ275=0,0,IF(AND('Proposed Lighting'!AU275=3,AM275=0.5),0,IF(AND(AD275=75,AP275=0,AV275=0),0,IF(AP275&gt;0.01,AP275*T275,IF(AND(F275&gt;1,W275&lt;0.01),0,IF(AND(F275&gt;1,AO275=0),0,IF(AND('Proposed Lighting'!BC275=22,AV275=0),0,IF(AND(AM275&gt;0,AS275&gt;0,BI275&lt;2),0,IF(AND(AS275&gt;0.01,BK275=0),0,IF(AND(AO275=TRUE,AV275=1,F275=3),MIN(AJ275*0.08,L275),IF(AP275&gt;0.01,AP275*T275,IF(AND(AO275=TRUE,AV275=1,F275=2),MIN(AJ275*0.1,L275)))))))))))))))))),2),"")</f>
        <v/>
      </c>
      <c r="AR275" s="1250">
        <f>IF(Q275=0,0,IF('Proposed Lighting'!$X$4=0,0,IF(AND(AM275&gt;0.01,AQ275&gt;0.01),0,IF('Proposed Lighting'!AU275=1,"Missing Interior or Exterior Selection",IF('Proposed Lighting'!CF275=1,"Selection does not match",IF(K275&gt;'Proposed Lighting'!AA275,"Quantity controlled does not match proposed lighting quantity",IF(T275&gt;K275,"Quantity of sensors exceeds proposed lighting quantity",IF(AND(F275&gt;1,'Proposed Lighting'!AU275&lt;&gt;F275),"Selection does not match",IF(AND(AD275&gt;AA275,AA275&gt;0),"Does not meet minimum connected load",IF(AND(O275&gt;0,AS275&gt;0,BK275&gt;0,'Proposed Lighting'!CH275=0),"Select Control Strategies",IF(AND(AC275&gt;0.1,AJ275=0,AQ275=0),"Does not meet incentive criteria",0)))))))))))</f>
        <v>0</v>
      </c>
      <c r="AS275" s="1224">
        <f>IF('Proposed Lighting'!CH275=100,0,IF(ISNUMBER(SEARCH("multiple",Q275)),1,0))</f>
        <v>0</v>
      </c>
      <c r="AT275" s="451">
        <f t="shared" si="60"/>
        <v>0</v>
      </c>
      <c r="AU275" s="451">
        <f t="shared" si="61"/>
        <v>0</v>
      </c>
      <c r="AV275" s="1222">
        <f>IF(ISNUMBER(SEARCH("Networked",'Proposed Lighting'!T275)),0,IF(ISNUMBER(SEARCH("Strategies",'Proposed Lighting'!T275)),0,IF(ISNUMBER(SEARCH("Removal",'Proposed Lighting'!T275)),0,IF(ISNUMBER(SEARCH("non-standard",Q275)),1,0))))</f>
        <v>0</v>
      </c>
      <c r="AW275" s="451">
        <f t="shared" si="64"/>
        <v>0</v>
      </c>
      <c r="AX275" s="451"/>
      <c r="AY275" s="451"/>
      <c r="AZ275" s="451"/>
      <c r="BA275" s="451"/>
      <c r="BB275" s="451"/>
      <c r="BC275" s="1215"/>
      <c r="BD275" s="1215"/>
      <c r="BE275" s="1215"/>
      <c r="BF275" s="1215"/>
      <c r="BG275" s="1215"/>
      <c r="BH275" s="1215"/>
      <c r="BI275">
        <f>IF(AND(AS275=1,BC275="No",BD275="Yes",BE275="Yes",BF275="No",BH275="No"),0,IF(AND('Proposed Lighting'!AU275=2,AS275=1,BC275="Yes",BD275="Yes"),2,IF(AND('Proposed Lighting'!AU275=2,AS275=1,BC275="Yes",BE275="Yes"),2,IF(AND('Proposed Lighting'!AU275=2,AS275=1,BC275="Yes",BF275="Yes"),2,IF(AND('Proposed Lighting'!AU275=2,AS275=1,BC275="Yes",BH275="Yes"),2,IF(AND('Proposed Lighting'!AU275=2,AS275=1,BD275="Yes",BF275="Yes"),2,IF(AND('Proposed Lighting'!AU275=2,AS275=1,BD275="Yes",BH275="Yes"),2,IF(AND('Proposed Lighting'!AU275=3,AS275=1,BC275="Yes",BE275="Yes"),2,IF(AND('Proposed Lighting'!AU275=3,AS275=1,BC275="Yes",BF275="Yes"),2,0)))))))))</f>
        <v>0</v>
      </c>
      <c r="BJ275" s="1025">
        <f t="shared" si="62"/>
        <v>0</v>
      </c>
      <c r="BK275">
        <f>IF(AND('Proposed Lighting'!BC275=22,'Lighting Controls'!N275=1),0,IF(ISNUMBER(SEARCH("LED",G275)),1,0))</f>
        <v>0</v>
      </c>
    </row>
    <row r="276" spans="1:63" ht="34.5" customHeight="1">
      <c r="A276" s="917">
        <v>268</v>
      </c>
      <c r="B276" s="1828" t="str">
        <f>IF('Proposed Lighting'!B276="","",'Proposed Lighting'!B276)</f>
        <v/>
      </c>
      <c r="C276" s="1828"/>
      <c r="D276" s="1828"/>
      <c r="E276" s="1245">
        <f>'Proposed Lighting'!AA276</f>
        <v>0</v>
      </c>
      <c r="F276" s="1245">
        <f t="shared" si="55"/>
        <v>0</v>
      </c>
      <c r="G276" s="1830" t="str">
        <f>IF('Proposed Lighting'!T276="","",IF(ISNUMBER(SEARCH("Networked",'Proposed Lighting'!T276)),0,IF(ISNUMBER(SEARCH("Strategies",'Proposed Lighting'!T276)),0,IF(ISNUMBER(SEARCH("Removal",'Proposed Lighting'!T276)),0,'Proposed Lighting'!T276))))</f>
        <v/>
      </c>
      <c r="H276" s="1830"/>
      <c r="I276" s="1830"/>
      <c r="J276" s="1830"/>
      <c r="K276" s="1215"/>
      <c r="L276" s="1246">
        <f t="shared" si="56"/>
        <v>0</v>
      </c>
      <c r="M276" s="1224">
        <f t="shared" si="57"/>
        <v>0</v>
      </c>
      <c r="N276" s="1224">
        <f t="shared" si="58"/>
        <v>0</v>
      </c>
      <c r="O276" s="1825" t="str">
        <f>IF(G276=0,0,IF(ISNA('Proposed Lighting'!AT276),0,'Proposed Lighting'!AT276))</f>
        <v/>
      </c>
      <c r="P276" s="1825"/>
      <c r="Q276" s="1247"/>
      <c r="R276" s="1247"/>
      <c r="S276" s="1247"/>
      <c r="T276" s="1211"/>
      <c r="U276" s="1235">
        <f>IF(K276&gt;0.01,'Proposed Lighting'!CU276,0)</f>
        <v>0</v>
      </c>
      <c r="V276" s="1248">
        <f>IF('Proposed Lighting'!CF276=1,0,IF('Proposed Lighting'!AU276=2,0,IF(AND('Proposed Lighting'!AU276=3,'Proposed Lighting'!CF276=0),1,0)))</f>
        <v>0</v>
      </c>
      <c r="W276" s="1836"/>
      <c r="X276" s="1836"/>
      <c r="Y276" s="1836"/>
      <c r="Z276" s="1230" t="str">
        <f t="shared" si="52"/>
        <v/>
      </c>
      <c r="AA276" s="1230">
        <f t="shared" si="53"/>
        <v>0</v>
      </c>
      <c r="AB276" s="1230">
        <f>IF(Q276=0,0,IF(T276=0,0,IF(AA276=0,0,IF(AND(F276=3,V276=0),0,IF(T276=0,0,IF(K276&gt;'Proposed Lighting'!AA276,0,IF('Proposed Lighting'!EJ276&gt;0.01,(K276*O276)*'Proposed Lighting'!EJ276/1000,(K276*O276)*U276/1000)))))))</f>
        <v>0</v>
      </c>
      <c r="AC276" s="1230" t="str">
        <f t="shared" si="59"/>
        <v/>
      </c>
      <c r="AD276" s="1230">
        <f t="shared" si="54"/>
        <v>0</v>
      </c>
      <c r="AE276" s="1230">
        <f>IF(T276=0,0,IF(K276&gt;'Proposed Lighting'!AA276,0,IF(T276&gt;K276,0,IF(AND(AD276&gt;AA276,AA276&gt;0),0,IF(AND(F276&gt;1,W276&lt;0.01),0,IF('Proposed Lighting'!AU276&gt;'Lighting Controls'!F276,0,IF('Proposed Lighting'!AU276&lt;'Lighting Controls'!F276,0,IF(U276=0,0,Summary!AC579))))))))</f>
        <v>0</v>
      </c>
      <c r="AF276" s="1230">
        <f>IF(T276=0,0,IF(AE276=0,0,IF(K276&gt;'Proposed Lighting'!AA276,0,IF(AND(AD276&gt;AA276,AA276&gt;0),0,IF(U276=0,0,Summary!AD579)))))</f>
        <v>0</v>
      </c>
      <c r="AG276" s="1834">
        <f>IF('Proposed Lighting'!AU276=1,0,IF('Proposed Lighting'!CF276=1,0,T276*W276))</f>
        <v>0</v>
      </c>
      <c r="AH276" s="1834"/>
      <c r="AI276" s="1834"/>
      <c r="AJ276" s="1835">
        <f>IF(T276&lt;1,0,IF(K276&gt;'Proposed Lighting'!AA276,0,IF('Proposed Lighting'!CF276=1,0,IF('Proposed Lighting'!AU276=1,0,IF(T276&gt;K276,0,IF(AND(AD276&gt;AA276,AA276&gt;0),0,IF(AND(F276=2,'Proposed Lighting'!AU276=3),0,IF(AND(F276=3,'Proposed Lighting'!AU276=2),0,IF('Proposed Lighting'!CH276=100,0,IF(AND(F276&lt;3,V276=1,AM276=0),0,IF(AND(F276&gt;1,AF276&lt;1,AN276&lt;1),0,IF(AND(F276&gt;1,AE276&lt;0.69,AF276&lt;1,AN276&lt;1),0,IF(ISERROR(AB276-AC276),"",AB276-AC276)))))))))))))</f>
        <v>0</v>
      </c>
      <c r="AK276" s="1835"/>
      <c r="AL276" s="1835"/>
      <c r="AM276" s="1216">
        <f>IF(Q276=0,0,IF(T276=0,0,IF(T276&gt;K276,0,IF(AND(AS276&gt;0.01,BK276=0),0,IF(AND('Proposed Lighting'!DG276=0,'Lighting Controls'!Z276=0.35),0,IF(AND(T276&lt;=K276,AA276&gt;=AD276,'Proposed Lighting'!AU276=2),VLOOKUP(Q276,$AY$9:$AZ$15,2,FALSE),IF(AND(T276&lt;=K276,AA276&gt;=AD276,'Proposed Lighting'!AU276=3),VLOOKUP(Q276,$AY$17:$AZ$23,2,FALSE))))))))</f>
        <v>0</v>
      </c>
      <c r="AN276" s="1248">
        <f>IF(T276=0,0,IF(K276&gt;'Proposed Lighting'!AA276,0,IF(AE276=0,0,IF(AND(AD276&gt;AA276,AA276&gt;0),0,IF(U276=0,0,Summary!AE579)))))</f>
        <v>0</v>
      </c>
      <c r="AO276" s="1248">
        <f t="shared" si="63"/>
        <v>0</v>
      </c>
      <c r="AP276" s="1249">
        <f>IF('Proposed Lighting'!AU276=1,0,IF(K276=0,0,IF(T276&gt;K276,0,IF(G276=0,0,IF(K276&gt;'Proposed Lighting'!AA276,0,IF(AND(AD276&gt;AA276,AA276&gt;0),0,IF(AND('Proposed Lighting'!AU276=3,AM276=0.5),0,IF(AND(AM276&gt;0,AS276&gt;0,BI276&lt;2),0,IF('Proposed Lighting'!CH276=100,0,IF(AV276=1,0,IF(AND(AM276=35,M276+N276&lt;2),0,AM276)))))))))))</f>
        <v>0</v>
      </c>
      <c r="AQ276" s="1249" t="str">
        <f>IFERROR(ROUND(IF(Q276="","",IF('Proposed Lighting'!$X$4=0,0,IF(AND(AM276=35,M276+N276&lt;2),0,IF(T276&gt;K276,0,IF('Proposed Lighting'!AU276=1,0,IF(AJ276=0,0,IF(AND('Proposed Lighting'!AU276=3,AM276=0.5),0,IF(AND(AD276=75,AP276=0,AV276=0),0,IF(AP276&gt;0.01,AP276*T276,IF(AND(F276&gt;1,W276&lt;0.01),0,IF(AND(F276&gt;1,AO276=0),0,IF(AND('Proposed Lighting'!BC276=22,AV276=0),0,IF(AND(AM276&gt;0,AS276&gt;0,BI276&lt;2),0,IF(AND(AS276&gt;0.01,BK276=0),0,IF(AND(AO276=TRUE,AV276=1,F276=3),MIN(AJ276*0.08,L276),IF(AP276&gt;0.01,AP276*T276,IF(AND(AO276=TRUE,AV276=1,F276=2),MIN(AJ276*0.1,L276)))))))))))))))))),2),"")</f>
        <v/>
      </c>
      <c r="AR276" s="1250">
        <f>IF(Q276=0,0,IF('Proposed Lighting'!$X$4=0,0,IF(AND(AM276&gt;0.01,AQ276&gt;0.01),0,IF('Proposed Lighting'!AU276=1,"Missing Interior or Exterior Selection",IF('Proposed Lighting'!CF276=1,"Selection does not match",IF(K276&gt;'Proposed Lighting'!AA276,"Quantity controlled does not match proposed lighting quantity",IF(T276&gt;K276,"Quantity of sensors exceeds proposed lighting quantity",IF(AND(F276&gt;1,'Proposed Lighting'!AU276&lt;&gt;F276),"Selection does not match",IF(AND(AD276&gt;AA276,AA276&gt;0),"Does not meet minimum connected load",IF(AND(O276&gt;0,AS276&gt;0,BK276&gt;0,'Proposed Lighting'!CH276=0),"Select Control Strategies",IF(AND(AC276&gt;0.1,AJ276=0,AQ276=0),"Does not meet incentive criteria",0)))))))))))</f>
        <v>0</v>
      </c>
      <c r="AS276" s="1224">
        <f>IF('Proposed Lighting'!CH276=100,0,IF(ISNUMBER(SEARCH("multiple",Q276)),1,0))</f>
        <v>0</v>
      </c>
      <c r="AT276" s="451">
        <f t="shared" si="60"/>
        <v>0</v>
      </c>
      <c r="AU276" s="451">
        <f t="shared" si="61"/>
        <v>0</v>
      </c>
      <c r="AV276" s="1222">
        <f>IF(ISNUMBER(SEARCH("Networked",'Proposed Lighting'!T276)),0,IF(ISNUMBER(SEARCH("Strategies",'Proposed Lighting'!T276)),0,IF(ISNUMBER(SEARCH("Removal",'Proposed Lighting'!T276)),0,IF(ISNUMBER(SEARCH("non-standard",Q276)),1,0))))</f>
        <v>0</v>
      </c>
      <c r="AW276" s="451">
        <f t="shared" si="64"/>
        <v>0</v>
      </c>
      <c r="AX276" s="451"/>
      <c r="AY276" s="451"/>
      <c r="AZ276" s="451"/>
      <c r="BA276" s="451"/>
      <c r="BB276" s="451"/>
      <c r="BC276" s="1215"/>
      <c r="BD276" s="1215"/>
      <c r="BE276" s="1215"/>
      <c r="BF276" s="1215"/>
      <c r="BG276" s="1215"/>
      <c r="BH276" s="1215"/>
      <c r="BI276">
        <f>IF(AND(AS276=1,BC276="No",BD276="Yes",BE276="Yes",BF276="No",BH276="No"),0,IF(AND('Proposed Lighting'!AU276=2,AS276=1,BC276="Yes",BD276="Yes"),2,IF(AND('Proposed Lighting'!AU276=2,AS276=1,BC276="Yes",BE276="Yes"),2,IF(AND('Proposed Lighting'!AU276=2,AS276=1,BC276="Yes",BF276="Yes"),2,IF(AND('Proposed Lighting'!AU276=2,AS276=1,BC276="Yes",BH276="Yes"),2,IF(AND('Proposed Lighting'!AU276=2,AS276=1,BD276="Yes",BF276="Yes"),2,IF(AND('Proposed Lighting'!AU276=2,AS276=1,BD276="Yes",BH276="Yes"),2,IF(AND('Proposed Lighting'!AU276=3,AS276=1,BC276="Yes",BE276="Yes"),2,IF(AND('Proposed Lighting'!AU276=3,AS276=1,BC276="Yes",BF276="Yes"),2,0)))))))))</f>
        <v>0</v>
      </c>
      <c r="BJ276" s="1025">
        <f t="shared" si="62"/>
        <v>0</v>
      </c>
      <c r="BK276">
        <f>IF(AND('Proposed Lighting'!BC276=22,'Lighting Controls'!N276=1),0,IF(ISNUMBER(SEARCH("LED",G276)),1,0))</f>
        <v>0</v>
      </c>
    </row>
    <row r="277" spans="1:63" ht="34.5" customHeight="1">
      <c r="A277" s="917">
        <v>269</v>
      </c>
      <c r="B277" s="1828" t="str">
        <f>IF('Proposed Lighting'!B277="","",'Proposed Lighting'!B277)</f>
        <v/>
      </c>
      <c r="C277" s="1828"/>
      <c r="D277" s="1828"/>
      <c r="E277" s="1245">
        <f>'Proposed Lighting'!AA277</f>
        <v>0</v>
      </c>
      <c r="F277" s="1245">
        <f t="shared" si="55"/>
        <v>0</v>
      </c>
      <c r="G277" s="1830" t="str">
        <f>IF('Proposed Lighting'!T277="","",IF(ISNUMBER(SEARCH("Networked",'Proposed Lighting'!T277)),0,IF(ISNUMBER(SEARCH("Strategies",'Proposed Lighting'!T277)),0,IF(ISNUMBER(SEARCH("Removal",'Proposed Lighting'!T277)),0,'Proposed Lighting'!T277))))</f>
        <v/>
      </c>
      <c r="H277" s="1830"/>
      <c r="I277" s="1830"/>
      <c r="J277" s="1830"/>
      <c r="K277" s="1215"/>
      <c r="L277" s="1246">
        <f t="shared" si="56"/>
        <v>0</v>
      </c>
      <c r="M277" s="1224">
        <f t="shared" si="57"/>
        <v>0</v>
      </c>
      <c r="N277" s="1224">
        <f t="shared" si="58"/>
        <v>0</v>
      </c>
      <c r="O277" s="1825" t="str">
        <f>IF(G277=0,0,IF(ISNA('Proposed Lighting'!AT277),0,'Proposed Lighting'!AT277))</f>
        <v/>
      </c>
      <c r="P277" s="1825"/>
      <c r="Q277" s="1247"/>
      <c r="R277" s="1247"/>
      <c r="S277" s="1247"/>
      <c r="T277" s="1211"/>
      <c r="U277" s="1235">
        <f>IF(K277&gt;0.01,'Proposed Lighting'!CU277,0)</f>
        <v>0</v>
      </c>
      <c r="V277" s="1248">
        <f>IF('Proposed Lighting'!CF277=1,0,IF('Proposed Lighting'!AU277=2,0,IF(AND('Proposed Lighting'!AU277=3,'Proposed Lighting'!CF277=0),1,0)))</f>
        <v>0</v>
      </c>
      <c r="W277" s="1836"/>
      <c r="X277" s="1836"/>
      <c r="Y277" s="1836"/>
      <c r="Z277" s="1230" t="str">
        <f t="shared" si="52"/>
        <v/>
      </c>
      <c r="AA277" s="1230">
        <f t="shared" si="53"/>
        <v>0</v>
      </c>
      <c r="AB277" s="1230">
        <f>IF(Q277=0,0,IF(T277=0,0,IF(AA277=0,0,IF(AND(F277=3,V277=0),0,IF(T277=0,0,IF(K277&gt;'Proposed Lighting'!AA277,0,IF('Proposed Lighting'!EJ277&gt;0.01,(K277*O277)*'Proposed Lighting'!EJ277/1000,(K277*O277)*U277/1000)))))))</f>
        <v>0</v>
      </c>
      <c r="AC277" s="1230" t="str">
        <f t="shared" si="59"/>
        <v/>
      </c>
      <c r="AD277" s="1230">
        <f t="shared" si="54"/>
        <v>0</v>
      </c>
      <c r="AE277" s="1230">
        <f>IF(T277=0,0,IF(K277&gt;'Proposed Lighting'!AA277,0,IF(T277&gt;K277,0,IF(AND(AD277&gt;AA277,AA277&gt;0),0,IF(AND(F277&gt;1,W277&lt;0.01),0,IF('Proposed Lighting'!AU277&gt;'Lighting Controls'!F277,0,IF('Proposed Lighting'!AU277&lt;'Lighting Controls'!F277,0,IF(U277=0,0,Summary!AC580))))))))</f>
        <v>0</v>
      </c>
      <c r="AF277" s="1230">
        <f>IF(T277=0,0,IF(AE277=0,0,IF(K277&gt;'Proposed Lighting'!AA277,0,IF(AND(AD277&gt;AA277,AA277&gt;0),0,IF(U277=0,0,Summary!AD580)))))</f>
        <v>0</v>
      </c>
      <c r="AG277" s="1834">
        <f>IF('Proposed Lighting'!AU277=1,0,IF('Proposed Lighting'!CF277=1,0,T277*W277))</f>
        <v>0</v>
      </c>
      <c r="AH277" s="1834"/>
      <c r="AI277" s="1834"/>
      <c r="AJ277" s="1835">
        <f>IF(T277&lt;1,0,IF(K277&gt;'Proposed Lighting'!AA277,0,IF('Proposed Lighting'!CF277=1,0,IF('Proposed Lighting'!AU277=1,0,IF(T277&gt;K277,0,IF(AND(AD277&gt;AA277,AA277&gt;0),0,IF(AND(F277=2,'Proposed Lighting'!AU277=3),0,IF(AND(F277=3,'Proposed Lighting'!AU277=2),0,IF('Proposed Lighting'!CH277=100,0,IF(AND(F277&lt;3,V277=1,AM277=0),0,IF(AND(F277&gt;1,AF277&lt;1,AN277&lt;1),0,IF(AND(F277&gt;1,AE277&lt;0.69,AF277&lt;1,AN277&lt;1),0,IF(ISERROR(AB277-AC277),"",AB277-AC277)))))))))))))</f>
        <v>0</v>
      </c>
      <c r="AK277" s="1835"/>
      <c r="AL277" s="1835"/>
      <c r="AM277" s="1216">
        <f>IF(Q277=0,0,IF(T277=0,0,IF(T277&gt;K277,0,IF(AND(AS277&gt;0.01,BK277=0),0,IF(AND('Proposed Lighting'!DG277=0,'Lighting Controls'!Z277=0.35),0,IF(AND(T277&lt;=K277,AA277&gt;=AD277,'Proposed Lighting'!AU277=2),VLOOKUP(Q277,$AY$9:$AZ$15,2,FALSE),IF(AND(T277&lt;=K277,AA277&gt;=AD277,'Proposed Lighting'!AU277=3),VLOOKUP(Q277,$AY$17:$AZ$23,2,FALSE))))))))</f>
        <v>0</v>
      </c>
      <c r="AN277" s="1248">
        <f>IF(T277=0,0,IF(K277&gt;'Proposed Lighting'!AA277,0,IF(AE277=0,0,IF(AND(AD277&gt;AA277,AA277&gt;0),0,IF(U277=0,0,Summary!AE580)))))</f>
        <v>0</v>
      </c>
      <c r="AO277" s="1248">
        <f t="shared" si="63"/>
        <v>0</v>
      </c>
      <c r="AP277" s="1249">
        <f>IF('Proposed Lighting'!AU277=1,0,IF(K277=0,0,IF(T277&gt;K277,0,IF(G277=0,0,IF(K277&gt;'Proposed Lighting'!AA277,0,IF(AND(AD277&gt;AA277,AA277&gt;0),0,IF(AND('Proposed Lighting'!AU277=3,AM277=0.5),0,IF(AND(AM277&gt;0,AS277&gt;0,BI277&lt;2),0,IF('Proposed Lighting'!CH277=100,0,IF(AV277=1,0,IF(AND(AM277=35,M277+N277&lt;2),0,AM277)))))))))))</f>
        <v>0</v>
      </c>
      <c r="AQ277" s="1249" t="str">
        <f>IFERROR(ROUND(IF(Q277="","",IF('Proposed Lighting'!$X$4=0,0,IF(AND(AM277=35,M277+N277&lt;2),0,IF(T277&gt;K277,0,IF('Proposed Lighting'!AU277=1,0,IF(AJ277=0,0,IF(AND('Proposed Lighting'!AU277=3,AM277=0.5),0,IF(AND(AD277=75,AP277=0,AV277=0),0,IF(AP277&gt;0.01,AP277*T277,IF(AND(F277&gt;1,W277&lt;0.01),0,IF(AND(F277&gt;1,AO277=0),0,IF(AND('Proposed Lighting'!BC277=22,AV277=0),0,IF(AND(AM277&gt;0,AS277&gt;0,BI277&lt;2),0,IF(AND(AS277&gt;0.01,BK277=0),0,IF(AND(AO277=TRUE,AV277=1,F277=3),MIN(AJ277*0.08,L277),IF(AP277&gt;0.01,AP277*T277,IF(AND(AO277=TRUE,AV277=1,F277=2),MIN(AJ277*0.1,L277)))))))))))))))))),2),"")</f>
        <v/>
      </c>
      <c r="AR277" s="1250">
        <f>IF(Q277=0,0,IF('Proposed Lighting'!$X$4=0,0,IF(AND(AM277&gt;0.01,AQ277&gt;0.01),0,IF('Proposed Lighting'!AU277=1,"Missing Interior or Exterior Selection",IF('Proposed Lighting'!CF277=1,"Selection does not match",IF(K277&gt;'Proposed Lighting'!AA277,"Quantity controlled does not match proposed lighting quantity",IF(T277&gt;K277,"Quantity of sensors exceeds proposed lighting quantity",IF(AND(F277&gt;1,'Proposed Lighting'!AU277&lt;&gt;F277),"Selection does not match",IF(AND(AD277&gt;AA277,AA277&gt;0),"Does not meet minimum connected load",IF(AND(O277&gt;0,AS277&gt;0,BK277&gt;0,'Proposed Lighting'!CH277=0),"Select Control Strategies",IF(AND(AC277&gt;0.1,AJ277=0,AQ277=0),"Does not meet incentive criteria",0)))))))))))</f>
        <v>0</v>
      </c>
      <c r="AS277" s="1224">
        <f>IF('Proposed Lighting'!CH277=100,0,IF(ISNUMBER(SEARCH("multiple",Q277)),1,0))</f>
        <v>0</v>
      </c>
      <c r="AT277" s="451">
        <f t="shared" si="60"/>
        <v>0</v>
      </c>
      <c r="AU277" s="451">
        <f t="shared" si="61"/>
        <v>0</v>
      </c>
      <c r="AV277" s="1222">
        <f>IF(ISNUMBER(SEARCH("Networked",'Proposed Lighting'!T277)),0,IF(ISNUMBER(SEARCH("Strategies",'Proposed Lighting'!T277)),0,IF(ISNUMBER(SEARCH("Removal",'Proposed Lighting'!T277)),0,IF(ISNUMBER(SEARCH("non-standard",Q277)),1,0))))</f>
        <v>0</v>
      </c>
      <c r="AW277" s="451">
        <f t="shared" si="64"/>
        <v>0</v>
      </c>
      <c r="AX277" s="451"/>
      <c r="AY277" s="451"/>
      <c r="AZ277" s="451"/>
      <c r="BA277" s="451"/>
      <c r="BB277" s="451"/>
      <c r="BC277" s="1215"/>
      <c r="BD277" s="1215"/>
      <c r="BE277" s="1215"/>
      <c r="BF277" s="1215"/>
      <c r="BG277" s="1215"/>
      <c r="BH277" s="1215"/>
      <c r="BI277">
        <f>IF(AND(AS277=1,BC277="No",BD277="Yes",BE277="Yes",BF277="No",BH277="No"),0,IF(AND('Proposed Lighting'!AU277=2,AS277=1,BC277="Yes",BD277="Yes"),2,IF(AND('Proposed Lighting'!AU277=2,AS277=1,BC277="Yes",BE277="Yes"),2,IF(AND('Proposed Lighting'!AU277=2,AS277=1,BC277="Yes",BF277="Yes"),2,IF(AND('Proposed Lighting'!AU277=2,AS277=1,BC277="Yes",BH277="Yes"),2,IF(AND('Proposed Lighting'!AU277=2,AS277=1,BD277="Yes",BF277="Yes"),2,IF(AND('Proposed Lighting'!AU277=2,AS277=1,BD277="Yes",BH277="Yes"),2,IF(AND('Proposed Lighting'!AU277=3,AS277=1,BC277="Yes",BE277="Yes"),2,IF(AND('Proposed Lighting'!AU277=3,AS277=1,BC277="Yes",BF277="Yes"),2,0)))))))))</f>
        <v>0</v>
      </c>
      <c r="BJ277" s="1025">
        <f t="shared" si="62"/>
        <v>0</v>
      </c>
      <c r="BK277">
        <f>IF(AND('Proposed Lighting'!BC277=22,'Lighting Controls'!N277=1),0,IF(ISNUMBER(SEARCH("LED",G277)),1,0))</f>
        <v>0</v>
      </c>
    </row>
    <row r="278" spans="1:63" ht="34.5" customHeight="1">
      <c r="A278" s="917">
        <v>270</v>
      </c>
      <c r="B278" s="1828" t="str">
        <f>IF('Proposed Lighting'!B278="","",'Proposed Lighting'!B278)</f>
        <v/>
      </c>
      <c r="C278" s="1828"/>
      <c r="D278" s="1828"/>
      <c r="E278" s="1245">
        <f>'Proposed Lighting'!AA278</f>
        <v>0</v>
      </c>
      <c r="F278" s="1245">
        <f t="shared" si="55"/>
        <v>0</v>
      </c>
      <c r="G278" s="1830" t="str">
        <f>IF('Proposed Lighting'!T278="","",IF(ISNUMBER(SEARCH("Networked",'Proposed Lighting'!T278)),0,IF(ISNUMBER(SEARCH("Strategies",'Proposed Lighting'!T278)),0,IF(ISNUMBER(SEARCH("Removal",'Proposed Lighting'!T278)),0,'Proposed Lighting'!T278))))</f>
        <v/>
      </c>
      <c r="H278" s="1830"/>
      <c r="I278" s="1830"/>
      <c r="J278" s="1830"/>
      <c r="K278" s="1215"/>
      <c r="L278" s="1246">
        <f t="shared" si="56"/>
        <v>0</v>
      </c>
      <c r="M278" s="1224">
        <f t="shared" si="57"/>
        <v>0</v>
      </c>
      <c r="N278" s="1224">
        <f t="shared" si="58"/>
        <v>0</v>
      </c>
      <c r="O278" s="1825" t="str">
        <f>IF(G278=0,0,IF(ISNA('Proposed Lighting'!AT278),0,'Proposed Lighting'!AT278))</f>
        <v/>
      </c>
      <c r="P278" s="1825"/>
      <c r="Q278" s="1247"/>
      <c r="R278" s="1247"/>
      <c r="S278" s="1247"/>
      <c r="T278" s="1211"/>
      <c r="U278" s="1235">
        <f>IF(K278&gt;0.01,'Proposed Lighting'!CU278,0)</f>
        <v>0</v>
      </c>
      <c r="V278" s="1248">
        <f>IF('Proposed Lighting'!CF278=1,0,IF('Proposed Lighting'!AU278=2,0,IF(AND('Proposed Lighting'!AU278=3,'Proposed Lighting'!CF278=0),1,0)))</f>
        <v>0</v>
      </c>
      <c r="W278" s="1836"/>
      <c r="X278" s="1836"/>
      <c r="Y278" s="1836"/>
      <c r="Z278" s="1230" t="str">
        <f t="shared" si="52"/>
        <v/>
      </c>
      <c r="AA278" s="1230">
        <f t="shared" si="53"/>
        <v>0</v>
      </c>
      <c r="AB278" s="1230">
        <f>IF(Q278=0,0,IF(T278=0,0,IF(AA278=0,0,IF(AND(F278=3,V278=0),0,IF(T278=0,0,IF(K278&gt;'Proposed Lighting'!AA278,0,IF('Proposed Lighting'!EJ278&gt;0.01,(K278*O278)*'Proposed Lighting'!EJ278/1000,(K278*O278)*U278/1000)))))))</f>
        <v>0</v>
      </c>
      <c r="AC278" s="1230" t="str">
        <f t="shared" si="59"/>
        <v/>
      </c>
      <c r="AD278" s="1230">
        <f t="shared" si="54"/>
        <v>0</v>
      </c>
      <c r="AE278" s="1230">
        <f>IF(T278=0,0,IF(K278&gt;'Proposed Lighting'!AA278,0,IF(T278&gt;K278,0,IF(AND(AD278&gt;AA278,AA278&gt;0),0,IF(AND(F278&gt;1,W278&lt;0.01),0,IF('Proposed Lighting'!AU278&gt;'Lighting Controls'!F278,0,IF('Proposed Lighting'!AU278&lt;'Lighting Controls'!F278,0,IF(U278=0,0,Summary!AC581))))))))</f>
        <v>0</v>
      </c>
      <c r="AF278" s="1230">
        <f>IF(T278=0,0,IF(AE278=0,0,IF(K278&gt;'Proposed Lighting'!AA278,0,IF(AND(AD278&gt;AA278,AA278&gt;0),0,IF(U278=0,0,Summary!AD581)))))</f>
        <v>0</v>
      </c>
      <c r="AG278" s="1834">
        <f>IF('Proposed Lighting'!AU278=1,0,IF('Proposed Lighting'!CF278=1,0,T278*W278))</f>
        <v>0</v>
      </c>
      <c r="AH278" s="1834"/>
      <c r="AI278" s="1834"/>
      <c r="AJ278" s="1835">
        <f>IF(T278&lt;1,0,IF(K278&gt;'Proposed Lighting'!AA278,0,IF('Proposed Lighting'!CF278=1,0,IF('Proposed Lighting'!AU278=1,0,IF(T278&gt;K278,0,IF(AND(AD278&gt;AA278,AA278&gt;0),0,IF(AND(F278=2,'Proposed Lighting'!AU278=3),0,IF(AND(F278=3,'Proposed Lighting'!AU278=2),0,IF('Proposed Lighting'!CH278=100,0,IF(AND(F278&lt;3,V278=1,AM278=0),0,IF(AND(F278&gt;1,AF278&lt;1,AN278&lt;1),0,IF(AND(F278&gt;1,AE278&lt;0.69,AF278&lt;1,AN278&lt;1),0,IF(ISERROR(AB278-AC278),"",AB278-AC278)))))))))))))</f>
        <v>0</v>
      </c>
      <c r="AK278" s="1835"/>
      <c r="AL278" s="1835"/>
      <c r="AM278" s="1216">
        <f>IF(Q278=0,0,IF(T278=0,0,IF(T278&gt;K278,0,IF(AND(AS278&gt;0.01,BK278=0),0,IF(AND('Proposed Lighting'!DG278=0,'Lighting Controls'!Z278=0.35),0,IF(AND(T278&lt;=K278,AA278&gt;=AD278,'Proposed Lighting'!AU278=2),VLOOKUP(Q278,$AY$9:$AZ$15,2,FALSE),IF(AND(T278&lt;=K278,AA278&gt;=AD278,'Proposed Lighting'!AU278=3),VLOOKUP(Q278,$AY$17:$AZ$23,2,FALSE))))))))</f>
        <v>0</v>
      </c>
      <c r="AN278" s="1248">
        <f>IF(T278=0,0,IF(K278&gt;'Proposed Lighting'!AA278,0,IF(AE278=0,0,IF(AND(AD278&gt;AA278,AA278&gt;0),0,IF(U278=0,0,Summary!AE581)))))</f>
        <v>0</v>
      </c>
      <c r="AO278" s="1248">
        <f t="shared" si="63"/>
        <v>0</v>
      </c>
      <c r="AP278" s="1249">
        <f>IF('Proposed Lighting'!AU278=1,0,IF(K278=0,0,IF(T278&gt;K278,0,IF(G278=0,0,IF(K278&gt;'Proposed Lighting'!AA278,0,IF(AND(AD278&gt;AA278,AA278&gt;0),0,IF(AND('Proposed Lighting'!AU278=3,AM278=0.5),0,IF(AND(AM278&gt;0,AS278&gt;0,BI278&lt;2),0,IF('Proposed Lighting'!CH278=100,0,IF(AV278=1,0,IF(AND(AM278=35,M278+N278&lt;2),0,AM278)))))))))))</f>
        <v>0</v>
      </c>
      <c r="AQ278" s="1249" t="str">
        <f>IFERROR(ROUND(IF(Q278="","",IF('Proposed Lighting'!$X$4=0,0,IF(AND(AM278=35,M278+N278&lt;2),0,IF(T278&gt;K278,0,IF('Proposed Lighting'!AU278=1,0,IF(AJ278=0,0,IF(AND('Proposed Lighting'!AU278=3,AM278=0.5),0,IF(AND(AD278=75,AP278=0,AV278=0),0,IF(AP278&gt;0.01,AP278*T278,IF(AND(F278&gt;1,W278&lt;0.01),0,IF(AND(F278&gt;1,AO278=0),0,IF(AND('Proposed Lighting'!BC278=22,AV278=0),0,IF(AND(AM278&gt;0,AS278&gt;0,BI278&lt;2),0,IF(AND(AS278&gt;0.01,BK278=0),0,IF(AND(AO278=TRUE,AV278=1,F278=3),MIN(AJ278*0.08,L278),IF(AP278&gt;0.01,AP278*T278,IF(AND(AO278=TRUE,AV278=1,F278=2),MIN(AJ278*0.1,L278)))))))))))))))))),2),"")</f>
        <v/>
      </c>
      <c r="AR278" s="1250">
        <f>IF(Q278=0,0,IF('Proposed Lighting'!$X$4=0,0,IF(AND(AM278&gt;0.01,AQ278&gt;0.01),0,IF('Proposed Lighting'!AU278=1,"Missing Interior or Exterior Selection",IF('Proposed Lighting'!CF278=1,"Selection does not match",IF(K278&gt;'Proposed Lighting'!AA278,"Quantity controlled does not match proposed lighting quantity",IF(T278&gt;K278,"Quantity of sensors exceeds proposed lighting quantity",IF(AND(F278&gt;1,'Proposed Lighting'!AU278&lt;&gt;F278),"Selection does not match",IF(AND(AD278&gt;AA278,AA278&gt;0),"Does not meet minimum connected load",IF(AND(O278&gt;0,AS278&gt;0,BK278&gt;0,'Proposed Lighting'!CH278=0),"Select Control Strategies",IF(AND(AC278&gt;0.1,AJ278=0,AQ278=0),"Does not meet incentive criteria",0)))))))))))</f>
        <v>0</v>
      </c>
      <c r="AS278" s="1224">
        <f>IF('Proposed Lighting'!CH278=100,0,IF(ISNUMBER(SEARCH("multiple",Q278)),1,0))</f>
        <v>0</v>
      </c>
      <c r="AT278" s="451">
        <f t="shared" si="60"/>
        <v>0</v>
      </c>
      <c r="AU278" s="451">
        <f t="shared" si="61"/>
        <v>0</v>
      </c>
      <c r="AV278" s="1222">
        <f>IF(ISNUMBER(SEARCH("Networked",'Proposed Lighting'!T278)),0,IF(ISNUMBER(SEARCH("Strategies",'Proposed Lighting'!T278)),0,IF(ISNUMBER(SEARCH("Removal",'Proposed Lighting'!T278)),0,IF(ISNUMBER(SEARCH("non-standard",Q278)),1,0))))</f>
        <v>0</v>
      </c>
      <c r="AW278" s="451">
        <f t="shared" si="64"/>
        <v>0</v>
      </c>
      <c r="AX278" s="451"/>
      <c r="AY278" s="451"/>
      <c r="AZ278" s="451"/>
      <c r="BA278" s="451"/>
      <c r="BB278" s="451"/>
      <c r="BC278" s="1215"/>
      <c r="BD278" s="1215"/>
      <c r="BE278" s="1215"/>
      <c r="BF278" s="1215"/>
      <c r="BG278" s="1215"/>
      <c r="BH278" s="1215"/>
      <c r="BI278">
        <f>IF(AND(AS278=1,BC278="No",BD278="Yes",BE278="Yes",BF278="No",BH278="No"),0,IF(AND('Proposed Lighting'!AU278=2,AS278=1,BC278="Yes",BD278="Yes"),2,IF(AND('Proposed Lighting'!AU278=2,AS278=1,BC278="Yes",BE278="Yes"),2,IF(AND('Proposed Lighting'!AU278=2,AS278=1,BC278="Yes",BF278="Yes"),2,IF(AND('Proposed Lighting'!AU278=2,AS278=1,BC278="Yes",BH278="Yes"),2,IF(AND('Proposed Lighting'!AU278=2,AS278=1,BD278="Yes",BF278="Yes"),2,IF(AND('Proposed Lighting'!AU278=2,AS278=1,BD278="Yes",BH278="Yes"),2,IF(AND('Proposed Lighting'!AU278=3,AS278=1,BC278="Yes",BE278="Yes"),2,IF(AND('Proposed Lighting'!AU278=3,AS278=1,BC278="Yes",BF278="Yes"),2,0)))))))))</f>
        <v>0</v>
      </c>
      <c r="BJ278" s="1025">
        <f t="shared" si="62"/>
        <v>0</v>
      </c>
      <c r="BK278">
        <f>IF(AND('Proposed Lighting'!BC278=22,'Lighting Controls'!N278=1),0,IF(ISNUMBER(SEARCH("LED",G278)),1,0))</f>
        <v>0</v>
      </c>
    </row>
    <row r="279" spans="1:63" ht="34.5" customHeight="1">
      <c r="A279" s="917">
        <v>271</v>
      </c>
      <c r="B279" s="1828" t="str">
        <f>IF('Proposed Lighting'!B279="","",'Proposed Lighting'!B279)</f>
        <v/>
      </c>
      <c r="C279" s="1828"/>
      <c r="D279" s="1828"/>
      <c r="E279" s="1245">
        <f>'Proposed Lighting'!AA279</f>
        <v>0</v>
      </c>
      <c r="F279" s="1245">
        <f t="shared" si="55"/>
        <v>0</v>
      </c>
      <c r="G279" s="1830" t="str">
        <f>IF('Proposed Lighting'!T279="","",IF(ISNUMBER(SEARCH("Networked",'Proposed Lighting'!T279)),0,IF(ISNUMBER(SEARCH("Strategies",'Proposed Lighting'!T279)),0,IF(ISNUMBER(SEARCH("Removal",'Proposed Lighting'!T279)),0,'Proposed Lighting'!T279))))</f>
        <v/>
      </c>
      <c r="H279" s="1830"/>
      <c r="I279" s="1830"/>
      <c r="J279" s="1830"/>
      <c r="K279" s="1215"/>
      <c r="L279" s="1246">
        <f t="shared" si="56"/>
        <v>0</v>
      </c>
      <c r="M279" s="1224">
        <f t="shared" si="57"/>
        <v>0</v>
      </c>
      <c r="N279" s="1224">
        <f t="shared" si="58"/>
        <v>0</v>
      </c>
      <c r="O279" s="1825" t="str">
        <f>IF(G279=0,0,IF(ISNA('Proposed Lighting'!AT279),0,'Proposed Lighting'!AT279))</f>
        <v/>
      </c>
      <c r="P279" s="1825"/>
      <c r="Q279" s="1247"/>
      <c r="R279" s="1247"/>
      <c r="S279" s="1247"/>
      <c r="T279" s="1211"/>
      <c r="U279" s="1235">
        <f>IF(K279&gt;0.01,'Proposed Lighting'!CU279,0)</f>
        <v>0</v>
      </c>
      <c r="V279" s="1248">
        <f>IF('Proposed Lighting'!CF279=1,0,IF('Proposed Lighting'!AU279=2,0,IF(AND('Proposed Lighting'!AU279=3,'Proposed Lighting'!CF279=0),1,0)))</f>
        <v>0</v>
      </c>
      <c r="W279" s="1836"/>
      <c r="X279" s="1836"/>
      <c r="Y279" s="1836"/>
      <c r="Z279" s="1230" t="str">
        <f t="shared" si="52"/>
        <v/>
      </c>
      <c r="AA279" s="1230">
        <f t="shared" si="53"/>
        <v>0</v>
      </c>
      <c r="AB279" s="1230">
        <f>IF(Q279=0,0,IF(T279=0,0,IF(AA279=0,0,IF(AND(F279=3,V279=0),0,IF(T279=0,0,IF(K279&gt;'Proposed Lighting'!AA279,0,IF('Proposed Lighting'!EJ279&gt;0.01,(K279*O279)*'Proposed Lighting'!EJ279/1000,(K279*O279)*U279/1000)))))))</f>
        <v>0</v>
      </c>
      <c r="AC279" s="1230" t="str">
        <f t="shared" si="59"/>
        <v/>
      </c>
      <c r="AD279" s="1230">
        <f t="shared" si="54"/>
        <v>0</v>
      </c>
      <c r="AE279" s="1230">
        <f>IF(T279=0,0,IF(K279&gt;'Proposed Lighting'!AA279,0,IF(T279&gt;K279,0,IF(AND(AD279&gt;AA279,AA279&gt;0),0,IF(AND(F279&gt;1,W279&lt;0.01),0,IF('Proposed Lighting'!AU279&gt;'Lighting Controls'!F279,0,IF('Proposed Lighting'!AU279&lt;'Lighting Controls'!F279,0,IF(U279=0,0,Summary!AC582))))))))</f>
        <v>0</v>
      </c>
      <c r="AF279" s="1230">
        <f>IF(T279=0,0,IF(AE279=0,0,IF(K279&gt;'Proposed Lighting'!AA279,0,IF(AND(AD279&gt;AA279,AA279&gt;0),0,IF(U279=0,0,Summary!AD582)))))</f>
        <v>0</v>
      </c>
      <c r="AG279" s="1834">
        <f>IF('Proposed Lighting'!AU279=1,0,IF('Proposed Lighting'!CF279=1,0,T279*W279))</f>
        <v>0</v>
      </c>
      <c r="AH279" s="1834"/>
      <c r="AI279" s="1834"/>
      <c r="AJ279" s="1835">
        <f>IF(T279&lt;1,0,IF(K279&gt;'Proposed Lighting'!AA279,0,IF('Proposed Lighting'!CF279=1,0,IF('Proposed Lighting'!AU279=1,0,IF(T279&gt;K279,0,IF(AND(AD279&gt;AA279,AA279&gt;0),0,IF(AND(F279=2,'Proposed Lighting'!AU279=3),0,IF(AND(F279=3,'Proposed Lighting'!AU279=2),0,IF('Proposed Lighting'!CH279=100,0,IF(AND(F279&lt;3,V279=1,AM279=0),0,IF(AND(F279&gt;1,AF279&lt;1,AN279&lt;1),0,IF(AND(F279&gt;1,AE279&lt;0.69,AF279&lt;1,AN279&lt;1),0,IF(ISERROR(AB279-AC279),"",AB279-AC279)))))))))))))</f>
        <v>0</v>
      </c>
      <c r="AK279" s="1835"/>
      <c r="AL279" s="1835"/>
      <c r="AM279" s="1216">
        <f>IF(Q279=0,0,IF(T279=0,0,IF(T279&gt;K279,0,IF(AND(AS279&gt;0.01,BK279=0),0,IF(AND('Proposed Lighting'!DG279=0,'Lighting Controls'!Z279=0.35),0,IF(AND(T279&lt;=K279,AA279&gt;=AD279,'Proposed Lighting'!AU279=2),VLOOKUP(Q279,$AY$9:$AZ$15,2,FALSE),IF(AND(T279&lt;=K279,AA279&gt;=AD279,'Proposed Lighting'!AU279=3),VLOOKUP(Q279,$AY$17:$AZ$23,2,FALSE))))))))</f>
        <v>0</v>
      </c>
      <c r="AN279" s="1248">
        <f>IF(T279=0,0,IF(K279&gt;'Proposed Lighting'!AA279,0,IF(AE279=0,0,IF(AND(AD279&gt;AA279,AA279&gt;0),0,IF(U279=0,0,Summary!AE582)))))</f>
        <v>0</v>
      </c>
      <c r="AO279" s="1248">
        <f t="shared" si="63"/>
        <v>0</v>
      </c>
      <c r="AP279" s="1249">
        <f>IF('Proposed Lighting'!AU279=1,0,IF(K279=0,0,IF(T279&gt;K279,0,IF(G279=0,0,IF(K279&gt;'Proposed Lighting'!AA279,0,IF(AND(AD279&gt;AA279,AA279&gt;0),0,IF(AND('Proposed Lighting'!AU279=3,AM279=0.5),0,IF(AND(AM279&gt;0,AS279&gt;0,BI279&lt;2),0,IF('Proposed Lighting'!CH279=100,0,IF(AV279=1,0,IF(AND(AM279=35,M279+N279&lt;2),0,AM279)))))))))))</f>
        <v>0</v>
      </c>
      <c r="AQ279" s="1249" t="str">
        <f>IFERROR(ROUND(IF(Q279="","",IF('Proposed Lighting'!$X$4=0,0,IF(AND(AM279=35,M279+N279&lt;2),0,IF(T279&gt;K279,0,IF('Proposed Lighting'!AU279=1,0,IF(AJ279=0,0,IF(AND('Proposed Lighting'!AU279=3,AM279=0.5),0,IF(AND(AD279=75,AP279=0,AV279=0),0,IF(AP279&gt;0.01,AP279*T279,IF(AND(F279&gt;1,W279&lt;0.01),0,IF(AND(F279&gt;1,AO279=0),0,IF(AND('Proposed Lighting'!BC279=22,AV279=0),0,IF(AND(AM279&gt;0,AS279&gt;0,BI279&lt;2),0,IF(AND(AS279&gt;0.01,BK279=0),0,IF(AND(AO279=TRUE,AV279=1,F279=3),MIN(AJ279*0.08,L279),IF(AP279&gt;0.01,AP279*T279,IF(AND(AO279=TRUE,AV279=1,F279=2),MIN(AJ279*0.1,L279)))))))))))))))))),2),"")</f>
        <v/>
      </c>
      <c r="AR279" s="1250">
        <f>IF(Q279=0,0,IF('Proposed Lighting'!$X$4=0,0,IF(AND(AM279&gt;0.01,AQ279&gt;0.01),0,IF('Proposed Lighting'!AU279=1,"Missing Interior or Exterior Selection",IF('Proposed Lighting'!CF279=1,"Selection does not match",IF(K279&gt;'Proposed Lighting'!AA279,"Quantity controlled does not match proposed lighting quantity",IF(T279&gt;K279,"Quantity of sensors exceeds proposed lighting quantity",IF(AND(F279&gt;1,'Proposed Lighting'!AU279&lt;&gt;F279),"Selection does not match",IF(AND(AD279&gt;AA279,AA279&gt;0),"Does not meet minimum connected load",IF(AND(O279&gt;0,AS279&gt;0,BK279&gt;0,'Proposed Lighting'!CH279=0),"Select Control Strategies",IF(AND(AC279&gt;0.1,AJ279=0,AQ279=0),"Does not meet incentive criteria",0)))))))))))</f>
        <v>0</v>
      </c>
      <c r="AS279" s="1224">
        <f>IF('Proposed Lighting'!CH279=100,0,IF(ISNUMBER(SEARCH("multiple",Q279)),1,0))</f>
        <v>0</v>
      </c>
      <c r="AT279" s="451">
        <f t="shared" si="60"/>
        <v>0</v>
      </c>
      <c r="AU279" s="451">
        <f t="shared" si="61"/>
        <v>0</v>
      </c>
      <c r="AV279" s="1222">
        <f>IF(ISNUMBER(SEARCH("Networked",'Proposed Lighting'!T279)),0,IF(ISNUMBER(SEARCH("Strategies",'Proposed Lighting'!T279)),0,IF(ISNUMBER(SEARCH("Removal",'Proposed Lighting'!T279)),0,IF(ISNUMBER(SEARCH("non-standard",Q279)),1,0))))</f>
        <v>0</v>
      </c>
      <c r="AW279" s="451">
        <f t="shared" si="64"/>
        <v>0</v>
      </c>
      <c r="AX279" s="451"/>
      <c r="AY279" s="451"/>
      <c r="AZ279" s="451"/>
      <c r="BA279" s="451"/>
      <c r="BB279" s="451"/>
      <c r="BC279" s="1215"/>
      <c r="BD279" s="1215"/>
      <c r="BE279" s="1215"/>
      <c r="BF279" s="1215"/>
      <c r="BG279" s="1215"/>
      <c r="BH279" s="1215"/>
      <c r="BI279">
        <f>IF(AND(AS279=1,BC279="No",BD279="Yes",BE279="Yes",BF279="No",BH279="No"),0,IF(AND('Proposed Lighting'!AU279=2,AS279=1,BC279="Yes",BD279="Yes"),2,IF(AND('Proposed Lighting'!AU279=2,AS279=1,BC279="Yes",BE279="Yes"),2,IF(AND('Proposed Lighting'!AU279=2,AS279=1,BC279="Yes",BF279="Yes"),2,IF(AND('Proposed Lighting'!AU279=2,AS279=1,BC279="Yes",BH279="Yes"),2,IF(AND('Proposed Lighting'!AU279=2,AS279=1,BD279="Yes",BF279="Yes"),2,IF(AND('Proposed Lighting'!AU279=2,AS279=1,BD279="Yes",BH279="Yes"),2,IF(AND('Proposed Lighting'!AU279=3,AS279=1,BC279="Yes",BE279="Yes"),2,IF(AND('Proposed Lighting'!AU279=3,AS279=1,BC279="Yes",BF279="Yes"),2,0)))))))))</f>
        <v>0</v>
      </c>
      <c r="BJ279" s="1025">
        <f t="shared" si="62"/>
        <v>0</v>
      </c>
      <c r="BK279">
        <f>IF(AND('Proposed Lighting'!BC279=22,'Lighting Controls'!N279=1),0,IF(ISNUMBER(SEARCH("LED",G279)),1,0))</f>
        <v>0</v>
      </c>
    </row>
    <row r="280" spans="1:63" ht="34.5" customHeight="1">
      <c r="A280" s="917">
        <v>272</v>
      </c>
      <c r="B280" s="1828" t="str">
        <f>IF('Proposed Lighting'!B280="","",'Proposed Lighting'!B280)</f>
        <v/>
      </c>
      <c r="C280" s="1828"/>
      <c r="D280" s="1828"/>
      <c r="E280" s="1245">
        <f>'Proposed Lighting'!AA280</f>
        <v>0</v>
      </c>
      <c r="F280" s="1245">
        <f t="shared" si="55"/>
        <v>0</v>
      </c>
      <c r="G280" s="1830" t="str">
        <f>IF('Proposed Lighting'!T280="","",IF(ISNUMBER(SEARCH("Networked",'Proposed Lighting'!T280)),0,IF(ISNUMBER(SEARCH("Strategies",'Proposed Lighting'!T280)),0,IF(ISNUMBER(SEARCH("Removal",'Proposed Lighting'!T280)),0,'Proposed Lighting'!T280))))</f>
        <v/>
      </c>
      <c r="H280" s="1830"/>
      <c r="I280" s="1830"/>
      <c r="J280" s="1830"/>
      <c r="K280" s="1215"/>
      <c r="L280" s="1246">
        <f t="shared" si="56"/>
        <v>0</v>
      </c>
      <c r="M280" s="1224">
        <f t="shared" si="57"/>
        <v>0</v>
      </c>
      <c r="N280" s="1224">
        <f t="shared" si="58"/>
        <v>0</v>
      </c>
      <c r="O280" s="1825" t="str">
        <f>IF(G280=0,0,IF(ISNA('Proposed Lighting'!AT280),0,'Proposed Lighting'!AT280))</f>
        <v/>
      </c>
      <c r="P280" s="1825"/>
      <c r="Q280" s="1247"/>
      <c r="R280" s="1247"/>
      <c r="S280" s="1247"/>
      <c r="T280" s="1211"/>
      <c r="U280" s="1235">
        <f>IF(K280&gt;0.01,'Proposed Lighting'!CU280,0)</f>
        <v>0</v>
      </c>
      <c r="V280" s="1248">
        <f>IF('Proposed Lighting'!CF280=1,0,IF('Proposed Lighting'!AU280=2,0,IF(AND('Proposed Lighting'!AU280=3,'Proposed Lighting'!CF280=0),1,0)))</f>
        <v>0</v>
      </c>
      <c r="W280" s="1836"/>
      <c r="X280" s="1836"/>
      <c r="Y280" s="1836"/>
      <c r="Z280" s="1230" t="str">
        <f t="shared" si="52"/>
        <v/>
      </c>
      <c r="AA280" s="1230">
        <f t="shared" si="53"/>
        <v>0</v>
      </c>
      <c r="AB280" s="1230">
        <f>IF(Q280=0,0,IF(T280=0,0,IF(AA280=0,0,IF(AND(F280=3,V280=0),0,IF(T280=0,0,IF(K280&gt;'Proposed Lighting'!AA280,0,IF('Proposed Lighting'!EJ280&gt;0.01,(K280*O280)*'Proposed Lighting'!EJ280/1000,(K280*O280)*U280/1000)))))))</f>
        <v>0</v>
      </c>
      <c r="AC280" s="1230" t="str">
        <f t="shared" si="59"/>
        <v/>
      </c>
      <c r="AD280" s="1230">
        <f t="shared" si="54"/>
        <v>0</v>
      </c>
      <c r="AE280" s="1230">
        <f>IF(T280=0,0,IF(K280&gt;'Proposed Lighting'!AA280,0,IF(T280&gt;K280,0,IF(AND(AD280&gt;AA280,AA280&gt;0),0,IF(AND(F280&gt;1,W280&lt;0.01),0,IF('Proposed Lighting'!AU280&gt;'Lighting Controls'!F280,0,IF('Proposed Lighting'!AU280&lt;'Lighting Controls'!F280,0,IF(U280=0,0,Summary!AC583))))))))</f>
        <v>0</v>
      </c>
      <c r="AF280" s="1230">
        <f>IF(T280=0,0,IF(AE280=0,0,IF(K280&gt;'Proposed Lighting'!AA280,0,IF(AND(AD280&gt;AA280,AA280&gt;0),0,IF(U280=0,0,Summary!AD583)))))</f>
        <v>0</v>
      </c>
      <c r="AG280" s="1834">
        <f>IF('Proposed Lighting'!AU280=1,0,IF('Proposed Lighting'!CF280=1,0,T280*W280))</f>
        <v>0</v>
      </c>
      <c r="AH280" s="1834"/>
      <c r="AI280" s="1834"/>
      <c r="AJ280" s="1835">
        <f>IF(T280&lt;1,0,IF(K280&gt;'Proposed Lighting'!AA280,0,IF('Proposed Lighting'!CF280=1,0,IF('Proposed Lighting'!AU280=1,0,IF(T280&gt;K280,0,IF(AND(AD280&gt;AA280,AA280&gt;0),0,IF(AND(F280=2,'Proposed Lighting'!AU280=3),0,IF(AND(F280=3,'Proposed Lighting'!AU280=2),0,IF('Proposed Lighting'!CH280=100,0,IF(AND(F280&lt;3,V280=1,AM280=0),0,IF(AND(F280&gt;1,AF280&lt;1,AN280&lt;1),0,IF(AND(F280&gt;1,AE280&lt;0.69,AF280&lt;1,AN280&lt;1),0,IF(ISERROR(AB280-AC280),"",AB280-AC280)))))))))))))</f>
        <v>0</v>
      </c>
      <c r="AK280" s="1835"/>
      <c r="AL280" s="1835"/>
      <c r="AM280" s="1216">
        <f>IF(Q280=0,0,IF(T280=0,0,IF(T280&gt;K280,0,IF(AND(AS280&gt;0.01,BK280=0),0,IF(AND('Proposed Lighting'!DG280=0,'Lighting Controls'!Z280=0.35),0,IF(AND(T280&lt;=K280,AA280&gt;=AD280,'Proposed Lighting'!AU280=2),VLOOKUP(Q280,$AY$9:$AZ$15,2,FALSE),IF(AND(T280&lt;=K280,AA280&gt;=AD280,'Proposed Lighting'!AU280=3),VLOOKUP(Q280,$AY$17:$AZ$23,2,FALSE))))))))</f>
        <v>0</v>
      </c>
      <c r="AN280" s="1248">
        <f>IF(T280=0,0,IF(K280&gt;'Proposed Lighting'!AA280,0,IF(AE280=0,0,IF(AND(AD280&gt;AA280,AA280&gt;0),0,IF(U280=0,0,Summary!AE583)))))</f>
        <v>0</v>
      </c>
      <c r="AO280" s="1248">
        <f t="shared" si="63"/>
        <v>0</v>
      </c>
      <c r="AP280" s="1249">
        <f>IF('Proposed Lighting'!AU280=1,0,IF(K280=0,0,IF(T280&gt;K280,0,IF(G280=0,0,IF(K280&gt;'Proposed Lighting'!AA280,0,IF(AND(AD280&gt;AA280,AA280&gt;0),0,IF(AND('Proposed Lighting'!AU280=3,AM280=0.5),0,IF(AND(AM280&gt;0,AS280&gt;0,BI280&lt;2),0,IF('Proposed Lighting'!CH280=100,0,IF(AV280=1,0,IF(AND(AM280=35,M280+N280&lt;2),0,AM280)))))))))))</f>
        <v>0</v>
      </c>
      <c r="AQ280" s="1249" t="str">
        <f>IFERROR(ROUND(IF(Q280="","",IF('Proposed Lighting'!$X$4=0,0,IF(AND(AM280=35,M280+N280&lt;2),0,IF(T280&gt;K280,0,IF('Proposed Lighting'!AU280=1,0,IF(AJ280=0,0,IF(AND('Proposed Lighting'!AU280=3,AM280=0.5),0,IF(AND(AD280=75,AP280=0,AV280=0),0,IF(AP280&gt;0.01,AP280*T280,IF(AND(F280&gt;1,W280&lt;0.01),0,IF(AND(F280&gt;1,AO280=0),0,IF(AND('Proposed Lighting'!BC280=22,AV280=0),0,IF(AND(AM280&gt;0,AS280&gt;0,BI280&lt;2),0,IF(AND(AS280&gt;0.01,BK280=0),0,IF(AND(AO280=TRUE,AV280=1,F280=3),MIN(AJ280*0.08,L280),IF(AP280&gt;0.01,AP280*T280,IF(AND(AO280=TRUE,AV280=1,F280=2),MIN(AJ280*0.1,L280)))))))))))))))))),2),"")</f>
        <v/>
      </c>
      <c r="AR280" s="1250">
        <f>IF(Q280=0,0,IF('Proposed Lighting'!$X$4=0,0,IF(AND(AM280&gt;0.01,AQ280&gt;0.01),0,IF('Proposed Lighting'!AU280=1,"Missing Interior or Exterior Selection",IF('Proposed Lighting'!CF280=1,"Selection does not match",IF(K280&gt;'Proposed Lighting'!AA280,"Quantity controlled does not match proposed lighting quantity",IF(T280&gt;K280,"Quantity of sensors exceeds proposed lighting quantity",IF(AND(F280&gt;1,'Proposed Lighting'!AU280&lt;&gt;F280),"Selection does not match",IF(AND(AD280&gt;AA280,AA280&gt;0),"Does not meet minimum connected load",IF(AND(O280&gt;0,AS280&gt;0,BK280&gt;0,'Proposed Lighting'!CH280=0),"Select Control Strategies",IF(AND(AC280&gt;0.1,AJ280=0,AQ280=0),"Does not meet incentive criteria",0)))))))))))</f>
        <v>0</v>
      </c>
      <c r="AS280" s="1224">
        <f>IF('Proposed Lighting'!CH280=100,0,IF(ISNUMBER(SEARCH("multiple",Q280)),1,0))</f>
        <v>0</v>
      </c>
      <c r="AT280" s="451">
        <f t="shared" si="60"/>
        <v>0</v>
      </c>
      <c r="AU280" s="451">
        <f t="shared" si="61"/>
        <v>0</v>
      </c>
      <c r="AV280" s="1222">
        <f>IF(ISNUMBER(SEARCH("Networked",'Proposed Lighting'!T280)),0,IF(ISNUMBER(SEARCH("Strategies",'Proposed Lighting'!T280)),0,IF(ISNUMBER(SEARCH("Removal",'Proposed Lighting'!T280)),0,IF(ISNUMBER(SEARCH("non-standard",Q280)),1,0))))</f>
        <v>0</v>
      </c>
      <c r="AW280" s="451">
        <f t="shared" si="64"/>
        <v>0</v>
      </c>
      <c r="AX280" s="451"/>
      <c r="AY280" s="451"/>
      <c r="AZ280" s="451"/>
      <c r="BA280" s="451"/>
      <c r="BB280" s="451"/>
      <c r="BC280" s="1215"/>
      <c r="BD280" s="1215"/>
      <c r="BE280" s="1215"/>
      <c r="BF280" s="1215"/>
      <c r="BG280" s="1215"/>
      <c r="BH280" s="1215"/>
      <c r="BI280">
        <f>IF(AND(AS280=1,BC280="No",BD280="Yes",BE280="Yes",BF280="No",BH280="No"),0,IF(AND('Proposed Lighting'!AU280=2,AS280=1,BC280="Yes",BD280="Yes"),2,IF(AND('Proposed Lighting'!AU280=2,AS280=1,BC280="Yes",BE280="Yes"),2,IF(AND('Proposed Lighting'!AU280=2,AS280=1,BC280="Yes",BF280="Yes"),2,IF(AND('Proposed Lighting'!AU280=2,AS280=1,BC280="Yes",BH280="Yes"),2,IF(AND('Proposed Lighting'!AU280=2,AS280=1,BD280="Yes",BF280="Yes"),2,IF(AND('Proposed Lighting'!AU280=2,AS280=1,BD280="Yes",BH280="Yes"),2,IF(AND('Proposed Lighting'!AU280=3,AS280=1,BC280="Yes",BE280="Yes"),2,IF(AND('Proposed Lighting'!AU280=3,AS280=1,BC280="Yes",BF280="Yes"),2,0)))))))))</f>
        <v>0</v>
      </c>
      <c r="BJ280" s="1025">
        <f t="shared" si="62"/>
        <v>0</v>
      </c>
      <c r="BK280">
        <f>IF(AND('Proposed Lighting'!BC280=22,'Lighting Controls'!N280=1),0,IF(ISNUMBER(SEARCH("LED",G280)),1,0))</f>
        <v>0</v>
      </c>
    </row>
    <row r="281" spans="1:63" ht="34.5" customHeight="1">
      <c r="A281" s="917">
        <v>273</v>
      </c>
      <c r="B281" s="1828" t="str">
        <f>IF('Proposed Lighting'!B281="","",'Proposed Lighting'!B281)</f>
        <v/>
      </c>
      <c r="C281" s="1828"/>
      <c r="D281" s="1828"/>
      <c r="E281" s="1245">
        <f>'Proposed Lighting'!AA281</f>
        <v>0</v>
      </c>
      <c r="F281" s="1245">
        <f t="shared" si="55"/>
        <v>0</v>
      </c>
      <c r="G281" s="1830" t="str">
        <f>IF('Proposed Lighting'!T281="","",IF(ISNUMBER(SEARCH("Networked",'Proposed Lighting'!T281)),0,IF(ISNUMBER(SEARCH("Strategies",'Proposed Lighting'!T281)),0,IF(ISNUMBER(SEARCH("Removal",'Proposed Lighting'!T281)),0,'Proposed Lighting'!T281))))</f>
        <v/>
      </c>
      <c r="H281" s="1830"/>
      <c r="I281" s="1830"/>
      <c r="J281" s="1830"/>
      <c r="K281" s="1215"/>
      <c r="L281" s="1246">
        <f t="shared" si="56"/>
        <v>0</v>
      </c>
      <c r="M281" s="1224">
        <f t="shared" si="57"/>
        <v>0</v>
      </c>
      <c r="N281" s="1224">
        <f t="shared" si="58"/>
        <v>0</v>
      </c>
      <c r="O281" s="1825" t="str">
        <f>IF(G281=0,0,IF(ISNA('Proposed Lighting'!AT281),0,'Proposed Lighting'!AT281))</f>
        <v/>
      </c>
      <c r="P281" s="1825"/>
      <c r="Q281" s="1247"/>
      <c r="R281" s="1247"/>
      <c r="S281" s="1247"/>
      <c r="T281" s="1211"/>
      <c r="U281" s="1235">
        <f>IF(K281&gt;0.01,'Proposed Lighting'!CU281,0)</f>
        <v>0</v>
      </c>
      <c r="V281" s="1248">
        <f>IF('Proposed Lighting'!CF281=1,0,IF('Proposed Lighting'!AU281=2,0,IF(AND('Proposed Lighting'!AU281=3,'Proposed Lighting'!CF281=0),1,0)))</f>
        <v>0</v>
      </c>
      <c r="W281" s="1836"/>
      <c r="X281" s="1836"/>
      <c r="Y281" s="1836"/>
      <c r="Z281" s="1230" t="str">
        <f t="shared" si="52"/>
        <v/>
      </c>
      <c r="AA281" s="1230">
        <f t="shared" si="53"/>
        <v>0</v>
      </c>
      <c r="AB281" s="1230">
        <f>IF(Q281=0,0,IF(T281=0,0,IF(AA281=0,0,IF(AND(F281=3,V281=0),0,IF(T281=0,0,IF(K281&gt;'Proposed Lighting'!AA281,0,IF('Proposed Lighting'!EJ281&gt;0.01,(K281*O281)*'Proposed Lighting'!EJ281/1000,(K281*O281)*U281/1000)))))))</f>
        <v>0</v>
      </c>
      <c r="AC281" s="1230" t="str">
        <f t="shared" si="59"/>
        <v/>
      </c>
      <c r="AD281" s="1230">
        <f t="shared" si="54"/>
        <v>0</v>
      </c>
      <c r="AE281" s="1230">
        <f>IF(T281=0,0,IF(K281&gt;'Proposed Lighting'!AA281,0,IF(T281&gt;K281,0,IF(AND(AD281&gt;AA281,AA281&gt;0),0,IF(AND(F281&gt;1,W281&lt;0.01),0,IF('Proposed Lighting'!AU281&gt;'Lighting Controls'!F281,0,IF('Proposed Lighting'!AU281&lt;'Lighting Controls'!F281,0,IF(U281=0,0,Summary!AC584))))))))</f>
        <v>0</v>
      </c>
      <c r="AF281" s="1230">
        <f>IF(T281=0,0,IF(AE281=0,0,IF(K281&gt;'Proposed Lighting'!AA281,0,IF(AND(AD281&gt;AA281,AA281&gt;0),0,IF(U281=0,0,Summary!AD584)))))</f>
        <v>0</v>
      </c>
      <c r="AG281" s="1834">
        <f>IF('Proposed Lighting'!AU281=1,0,IF('Proposed Lighting'!CF281=1,0,T281*W281))</f>
        <v>0</v>
      </c>
      <c r="AH281" s="1834"/>
      <c r="AI281" s="1834"/>
      <c r="AJ281" s="1835">
        <f>IF(T281&lt;1,0,IF(K281&gt;'Proposed Lighting'!AA281,0,IF('Proposed Lighting'!CF281=1,0,IF('Proposed Lighting'!AU281=1,0,IF(T281&gt;K281,0,IF(AND(AD281&gt;AA281,AA281&gt;0),0,IF(AND(F281=2,'Proposed Lighting'!AU281=3),0,IF(AND(F281=3,'Proposed Lighting'!AU281=2),0,IF('Proposed Lighting'!CH281=100,0,IF(AND(F281&lt;3,V281=1,AM281=0),0,IF(AND(F281&gt;1,AF281&lt;1,AN281&lt;1),0,IF(AND(F281&gt;1,AE281&lt;0.69,AF281&lt;1,AN281&lt;1),0,IF(ISERROR(AB281-AC281),"",AB281-AC281)))))))))))))</f>
        <v>0</v>
      </c>
      <c r="AK281" s="1835"/>
      <c r="AL281" s="1835"/>
      <c r="AM281" s="1216">
        <f>IF(Q281=0,0,IF(T281=0,0,IF(T281&gt;K281,0,IF(AND(AS281&gt;0.01,BK281=0),0,IF(AND('Proposed Lighting'!DG281=0,'Lighting Controls'!Z281=0.35),0,IF(AND(T281&lt;=K281,AA281&gt;=AD281,'Proposed Lighting'!AU281=2),VLOOKUP(Q281,$AY$9:$AZ$15,2,FALSE),IF(AND(T281&lt;=K281,AA281&gt;=AD281,'Proposed Lighting'!AU281=3),VLOOKUP(Q281,$AY$17:$AZ$23,2,FALSE))))))))</f>
        <v>0</v>
      </c>
      <c r="AN281" s="1248">
        <f>IF(T281=0,0,IF(K281&gt;'Proposed Lighting'!AA281,0,IF(AE281=0,0,IF(AND(AD281&gt;AA281,AA281&gt;0),0,IF(U281=0,0,Summary!AE584)))))</f>
        <v>0</v>
      </c>
      <c r="AO281" s="1248">
        <f t="shared" si="63"/>
        <v>0</v>
      </c>
      <c r="AP281" s="1249">
        <f>IF('Proposed Lighting'!AU281=1,0,IF(K281=0,0,IF(T281&gt;K281,0,IF(G281=0,0,IF(K281&gt;'Proposed Lighting'!AA281,0,IF(AND(AD281&gt;AA281,AA281&gt;0),0,IF(AND('Proposed Lighting'!AU281=3,AM281=0.5),0,IF(AND(AM281&gt;0,AS281&gt;0,BI281&lt;2),0,IF('Proposed Lighting'!CH281=100,0,IF(AV281=1,0,IF(AND(AM281=35,M281+N281&lt;2),0,AM281)))))))))))</f>
        <v>0</v>
      </c>
      <c r="AQ281" s="1249" t="str">
        <f>IFERROR(ROUND(IF(Q281="","",IF('Proposed Lighting'!$X$4=0,0,IF(AND(AM281=35,M281+N281&lt;2),0,IF(T281&gt;K281,0,IF('Proposed Lighting'!AU281=1,0,IF(AJ281=0,0,IF(AND('Proposed Lighting'!AU281=3,AM281=0.5),0,IF(AND(AD281=75,AP281=0,AV281=0),0,IF(AP281&gt;0.01,AP281*T281,IF(AND(F281&gt;1,W281&lt;0.01),0,IF(AND(F281&gt;1,AO281=0),0,IF(AND('Proposed Lighting'!BC281=22,AV281=0),0,IF(AND(AM281&gt;0,AS281&gt;0,BI281&lt;2),0,IF(AND(AS281&gt;0.01,BK281=0),0,IF(AND(AO281=TRUE,AV281=1,F281=3),MIN(AJ281*0.08,L281),IF(AP281&gt;0.01,AP281*T281,IF(AND(AO281=TRUE,AV281=1,F281=2),MIN(AJ281*0.1,L281)))))))))))))))))),2),"")</f>
        <v/>
      </c>
      <c r="AR281" s="1250">
        <f>IF(Q281=0,0,IF('Proposed Lighting'!$X$4=0,0,IF(AND(AM281&gt;0.01,AQ281&gt;0.01),0,IF('Proposed Lighting'!AU281=1,"Missing Interior or Exterior Selection",IF('Proposed Lighting'!CF281=1,"Selection does not match",IF(K281&gt;'Proposed Lighting'!AA281,"Quantity controlled does not match proposed lighting quantity",IF(T281&gt;K281,"Quantity of sensors exceeds proposed lighting quantity",IF(AND(F281&gt;1,'Proposed Lighting'!AU281&lt;&gt;F281),"Selection does not match",IF(AND(AD281&gt;AA281,AA281&gt;0),"Does not meet minimum connected load",IF(AND(O281&gt;0,AS281&gt;0,BK281&gt;0,'Proposed Lighting'!CH281=0),"Select Control Strategies",IF(AND(AC281&gt;0.1,AJ281=0,AQ281=0),"Does not meet incentive criteria",0)))))))))))</f>
        <v>0</v>
      </c>
      <c r="AS281" s="1224">
        <f>IF('Proposed Lighting'!CH281=100,0,IF(ISNUMBER(SEARCH("multiple",Q281)),1,0))</f>
        <v>0</v>
      </c>
      <c r="AT281" s="451">
        <f t="shared" si="60"/>
        <v>0</v>
      </c>
      <c r="AU281" s="451">
        <f t="shared" si="61"/>
        <v>0</v>
      </c>
      <c r="AV281" s="1222">
        <f>IF(ISNUMBER(SEARCH("Networked",'Proposed Lighting'!T281)),0,IF(ISNUMBER(SEARCH("Strategies",'Proposed Lighting'!T281)),0,IF(ISNUMBER(SEARCH("Removal",'Proposed Lighting'!T281)),0,IF(ISNUMBER(SEARCH("non-standard",Q281)),1,0))))</f>
        <v>0</v>
      </c>
      <c r="AW281" s="451">
        <f t="shared" si="64"/>
        <v>0</v>
      </c>
      <c r="AX281" s="451"/>
      <c r="AY281" s="451"/>
      <c r="AZ281" s="451"/>
      <c r="BA281" s="451"/>
      <c r="BB281" s="451"/>
      <c r="BC281" s="1215"/>
      <c r="BD281" s="1215"/>
      <c r="BE281" s="1215"/>
      <c r="BF281" s="1215"/>
      <c r="BG281" s="1215"/>
      <c r="BH281" s="1215"/>
      <c r="BI281">
        <f>IF(AND(AS281=1,BC281="No",BD281="Yes",BE281="Yes",BF281="No",BH281="No"),0,IF(AND('Proposed Lighting'!AU281=2,AS281=1,BC281="Yes",BD281="Yes"),2,IF(AND('Proposed Lighting'!AU281=2,AS281=1,BC281="Yes",BE281="Yes"),2,IF(AND('Proposed Lighting'!AU281=2,AS281=1,BC281="Yes",BF281="Yes"),2,IF(AND('Proposed Lighting'!AU281=2,AS281=1,BC281="Yes",BH281="Yes"),2,IF(AND('Proposed Lighting'!AU281=2,AS281=1,BD281="Yes",BF281="Yes"),2,IF(AND('Proposed Lighting'!AU281=2,AS281=1,BD281="Yes",BH281="Yes"),2,IF(AND('Proposed Lighting'!AU281=3,AS281=1,BC281="Yes",BE281="Yes"),2,IF(AND('Proposed Lighting'!AU281=3,AS281=1,BC281="Yes",BF281="Yes"),2,0)))))))))</f>
        <v>0</v>
      </c>
      <c r="BJ281" s="1025">
        <f t="shared" si="62"/>
        <v>0</v>
      </c>
      <c r="BK281">
        <f>IF(AND('Proposed Lighting'!BC281=22,'Lighting Controls'!N281=1),0,IF(ISNUMBER(SEARCH("LED",G281)),1,0))</f>
        <v>0</v>
      </c>
    </row>
    <row r="282" spans="1:63" ht="34.5" customHeight="1">
      <c r="A282" s="917">
        <v>274</v>
      </c>
      <c r="B282" s="1828" t="str">
        <f>IF('Proposed Lighting'!B282="","",'Proposed Lighting'!B282)</f>
        <v/>
      </c>
      <c r="C282" s="1828"/>
      <c r="D282" s="1828"/>
      <c r="E282" s="1245">
        <f>'Proposed Lighting'!AA282</f>
        <v>0</v>
      </c>
      <c r="F282" s="1245">
        <f t="shared" si="55"/>
        <v>0</v>
      </c>
      <c r="G282" s="1830" t="str">
        <f>IF('Proposed Lighting'!T282="","",IF(ISNUMBER(SEARCH("Networked",'Proposed Lighting'!T282)),0,IF(ISNUMBER(SEARCH("Strategies",'Proposed Lighting'!T282)),0,IF(ISNUMBER(SEARCH("Removal",'Proposed Lighting'!T282)),0,'Proposed Lighting'!T282))))</f>
        <v/>
      </c>
      <c r="H282" s="1830"/>
      <c r="I282" s="1830"/>
      <c r="J282" s="1830"/>
      <c r="K282" s="1215"/>
      <c r="L282" s="1246">
        <f t="shared" si="56"/>
        <v>0</v>
      </c>
      <c r="M282" s="1224">
        <f t="shared" si="57"/>
        <v>0</v>
      </c>
      <c r="N282" s="1224">
        <f t="shared" si="58"/>
        <v>0</v>
      </c>
      <c r="O282" s="1825" t="str">
        <f>IF(G282=0,0,IF(ISNA('Proposed Lighting'!AT282),0,'Proposed Lighting'!AT282))</f>
        <v/>
      </c>
      <c r="P282" s="1825"/>
      <c r="Q282" s="1247"/>
      <c r="R282" s="1247"/>
      <c r="S282" s="1247"/>
      <c r="T282" s="1211"/>
      <c r="U282" s="1235">
        <f>IF(K282&gt;0.01,'Proposed Lighting'!CU282,0)</f>
        <v>0</v>
      </c>
      <c r="V282" s="1248">
        <f>IF('Proposed Lighting'!CF282=1,0,IF('Proposed Lighting'!AU282=2,0,IF(AND('Proposed Lighting'!AU282=3,'Proposed Lighting'!CF282=0),1,0)))</f>
        <v>0</v>
      </c>
      <c r="W282" s="1836"/>
      <c r="X282" s="1836"/>
      <c r="Y282" s="1836"/>
      <c r="Z282" s="1230" t="str">
        <f t="shared" si="52"/>
        <v/>
      </c>
      <c r="AA282" s="1230">
        <f t="shared" si="53"/>
        <v>0</v>
      </c>
      <c r="AB282" s="1230">
        <f>IF(Q282=0,0,IF(T282=0,0,IF(AA282=0,0,IF(AND(F282=3,V282=0),0,IF(T282=0,0,IF(K282&gt;'Proposed Lighting'!AA282,0,IF('Proposed Lighting'!EJ282&gt;0.01,(K282*O282)*'Proposed Lighting'!EJ282/1000,(K282*O282)*U282/1000)))))))</f>
        <v>0</v>
      </c>
      <c r="AC282" s="1230" t="str">
        <f t="shared" si="59"/>
        <v/>
      </c>
      <c r="AD282" s="1230">
        <f t="shared" si="54"/>
        <v>0</v>
      </c>
      <c r="AE282" s="1230">
        <f>IF(T282=0,0,IF(K282&gt;'Proposed Lighting'!AA282,0,IF(T282&gt;K282,0,IF(AND(AD282&gt;AA282,AA282&gt;0),0,IF(AND(F282&gt;1,W282&lt;0.01),0,IF('Proposed Lighting'!AU282&gt;'Lighting Controls'!F282,0,IF('Proposed Lighting'!AU282&lt;'Lighting Controls'!F282,0,IF(U282=0,0,Summary!AC585))))))))</f>
        <v>0</v>
      </c>
      <c r="AF282" s="1230">
        <f>IF(T282=0,0,IF(AE282=0,0,IF(K282&gt;'Proposed Lighting'!AA282,0,IF(AND(AD282&gt;AA282,AA282&gt;0),0,IF(U282=0,0,Summary!AD585)))))</f>
        <v>0</v>
      </c>
      <c r="AG282" s="1834">
        <f>IF('Proposed Lighting'!AU282=1,0,IF('Proposed Lighting'!CF282=1,0,T282*W282))</f>
        <v>0</v>
      </c>
      <c r="AH282" s="1834"/>
      <c r="AI282" s="1834"/>
      <c r="AJ282" s="1835">
        <f>IF(T282&lt;1,0,IF(K282&gt;'Proposed Lighting'!AA282,0,IF('Proposed Lighting'!CF282=1,0,IF('Proposed Lighting'!AU282=1,0,IF(T282&gt;K282,0,IF(AND(AD282&gt;AA282,AA282&gt;0),0,IF(AND(F282=2,'Proposed Lighting'!AU282=3),0,IF(AND(F282=3,'Proposed Lighting'!AU282=2),0,IF('Proposed Lighting'!CH282=100,0,IF(AND(F282&lt;3,V282=1,AM282=0),0,IF(AND(F282&gt;1,AF282&lt;1,AN282&lt;1),0,IF(AND(F282&gt;1,AE282&lt;0.69,AF282&lt;1,AN282&lt;1),0,IF(ISERROR(AB282-AC282),"",AB282-AC282)))))))))))))</f>
        <v>0</v>
      </c>
      <c r="AK282" s="1835"/>
      <c r="AL282" s="1835"/>
      <c r="AM282" s="1216">
        <f>IF(Q282=0,0,IF(T282=0,0,IF(T282&gt;K282,0,IF(AND(AS282&gt;0.01,BK282=0),0,IF(AND('Proposed Lighting'!DG282=0,'Lighting Controls'!Z282=0.35),0,IF(AND(T282&lt;=K282,AA282&gt;=AD282,'Proposed Lighting'!AU282=2),VLOOKUP(Q282,$AY$9:$AZ$15,2,FALSE),IF(AND(T282&lt;=K282,AA282&gt;=AD282,'Proposed Lighting'!AU282=3),VLOOKUP(Q282,$AY$17:$AZ$23,2,FALSE))))))))</f>
        <v>0</v>
      </c>
      <c r="AN282" s="1248">
        <f>IF(T282=0,0,IF(K282&gt;'Proposed Lighting'!AA282,0,IF(AE282=0,0,IF(AND(AD282&gt;AA282,AA282&gt;0),0,IF(U282=0,0,Summary!AE585)))))</f>
        <v>0</v>
      </c>
      <c r="AO282" s="1248">
        <f t="shared" si="63"/>
        <v>0</v>
      </c>
      <c r="AP282" s="1249">
        <f>IF('Proposed Lighting'!AU282=1,0,IF(K282=0,0,IF(T282&gt;K282,0,IF(G282=0,0,IF(K282&gt;'Proposed Lighting'!AA282,0,IF(AND(AD282&gt;AA282,AA282&gt;0),0,IF(AND('Proposed Lighting'!AU282=3,AM282=0.5),0,IF(AND(AM282&gt;0,AS282&gt;0,BI282&lt;2),0,IF('Proposed Lighting'!CH282=100,0,IF(AV282=1,0,IF(AND(AM282=35,M282+N282&lt;2),0,AM282)))))))))))</f>
        <v>0</v>
      </c>
      <c r="AQ282" s="1249" t="str">
        <f>IFERROR(ROUND(IF(Q282="","",IF('Proposed Lighting'!$X$4=0,0,IF(AND(AM282=35,M282+N282&lt;2),0,IF(T282&gt;K282,0,IF('Proposed Lighting'!AU282=1,0,IF(AJ282=0,0,IF(AND('Proposed Lighting'!AU282=3,AM282=0.5),0,IF(AND(AD282=75,AP282=0,AV282=0),0,IF(AP282&gt;0.01,AP282*T282,IF(AND(F282&gt;1,W282&lt;0.01),0,IF(AND(F282&gt;1,AO282=0),0,IF(AND('Proposed Lighting'!BC282=22,AV282=0),0,IF(AND(AM282&gt;0,AS282&gt;0,BI282&lt;2),0,IF(AND(AS282&gt;0.01,BK282=0),0,IF(AND(AO282=TRUE,AV282=1,F282=3),MIN(AJ282*0.08,L282),IF(AP282&gt;0.01,AP282*T282,IF(AND(AO282=TRUE,AV282=1,F282=2),MIN(AJ282*0.1,L282)))))))))))))))))),2),"")</f>
        <v/>
      </c>
      <c r="AR282" s="1250">
        <f>IF(Q282=0,0,IF('Proposed Lighting'!$X$4=0,0,IF(AND(AM282&gt;0.01,AQ282&gt;0.01),0,IF('Proposed Lighting'!AU282=1,"Missing Interior or Exterior Selection",IF('Proposed Lighting'!CF282=1,"Selection does not match",IF(K282&gt;'Proposed Lighting'!AA282,"Quantity controlled does not match proposed lighting quantity",IF(T282&gt;K282,"Quantity of sensors exceeds proposed lighting quantity",IF(AND(F282&gt;1,'Proposed Lighting'!AU282&lt;&gt;F282),"Selection does not match",IF(AND(AD282&gt;AA282,AA282&gt;0),"Does not meet minimum connected load",IF(AND(O282&gt;0,AS282&gt;0,BK282&gt;0,'Proposed Lighting'!CH282=0),"Select Control Strategies",IF(AND(AC282&gt;0.1,AJ282=0,AQ282=0),"Does not meet incentive criteria",0)))))))))))</f>
        <v>0</v>
      </c>
      <c r="AS282" s="1224">
        <f>IF('Proposed Lighting'!CH282=100,0,IF(ISNUMBER(SEARCH("multiple",Q282)),1,0))</f>
        <v>0</v>
      </c>
      <c r="AT282" s="451">
        <f t="shared" si="60"/>
        <v>0</v>
      </c>
      <c r="AU282" s="451">
        <f t="shared" si="61"/>
        <v>0</v>
      </c>
      <c r="AV282" s="1222">
        <f>IF(ISNUMBER(SEARCH("Networked",'Proposed Lighting'!T282)),0,IF(ISNUMBER(SEARCH("Strategies",'Proposed Lighting'!T282)),0,IF(ISNUMBER(SEARCH("Removal",'Proposed Lighting'!T282)),0,IF(ISNUMBER(SEARCH("non-standard",Q282)),1,0))))</f>
        <v>0</v>
      </c>
      <c r="AW282" s="451">
        <f t="shared" si="64"/>
        <v>0</v>
      </c>
      <c r="AX282" s="451"/>
      <c r="AY282" s="451"/>
      <c r="AZ282" s="451"/>
      <c r="BA282" s="451"/>
      <c r="BB282" s="451"/>
      <c r="BC282" s="1215"/>
      <c r="BD282" s="1215"/>
      <c r="BE282" s="1215"/>
      <c r="BF282" s="1215"/>
      <c r="BG282" s="1215"/>
      <c r="BH282" s="1215"/>
      <c r="BI282">
        <f>IF(AND(AS282=1,BC282="No",BD282="Yes",BE282="Yes",BF282="No",BH282="No"),0,IF(AND('Proposed Lighting'!AU282=2,AS282=1,BC282="Yes",BD282="Yes"),2,IF(AND('Proposed Lighting'!AU282=2,AS282=1,BC282="Yes",BE282="Yes"),2,IF(AND('Proposed Lighting'!AU282=2,AS282=1,BC282="Yes",BF282="Yes"),2,IF(AND('Proposed Lighting'!AU282=2,AS282=1,BC282="Yes",BH282="Yes"),2,IF(AND('Proposed Lighting'!AU282=2,AS282=1,BD282="Yes",BF282="Yes"),2,IF(AND('Proposed Lighting'!AU282=2,AS282=1,BD282="Yes",BH282="Yes"),2,IF(AND('Proposed Lighting'!AU282=3,AS282=1,BC282="Yes",BE282="Yes"),2,IF(AND('Proposed Lighting'!AU282=3,AS282=1,BC282="Yes",BF282="Yes"),2,0)))))))))</f>
        <v>0</v>
      </c>
      <c r="BJ282" s="1025">
        <f t="shared" si="62"/>
        <v>0</v>
      </c>
      <c r="BK282">
        <f>IF(AND('Proposed Lighting'!BC282=22,'Lighting Controls'!N282=1),0,IF(ISNUMBER(SEARCH("LED",G282)),1,0))</f>
        <v>0</v>
      </c>
    </row>
    <row r="283" spans="1:63" ht="34.5" customHeight="1">
      <c r="A283" s="917">
        <v>275</v>
      </c>
      <c r="B283" s="1828" t="str">
        <f>IF('Proposed Lighting'!B283="","",'Proposed Lighting'!B283)</f>
        <v/>
      </c>
      <c r="C283" s="1828"/>
      <c r="D283" s="1828"/>
      <c r="E283" s="1245">
        <f>'Proposed Lighting'!AA283</f>
        <v>0</v>
      </c>
      <c r="F283" s="1245">
        <f t="shared" si="55"/>
        <v>0</v>
      </c>
      <c r="G283" s="1830" t="str">
        <f>IF('Proposed Lighting'!T283="","",IF(ISNUMBER(SEARCH("Networked",'Proposed Lighting'!T283)),0,IF(ISNUMBER(SEARCH("Strategies",'Proposed Lighting'!T283)),0,IF(ISNUMBER(SEARCH("Removal",'Proposed Lighting'!T283)),0,'Proposed Lighting'!T283))))</f>
        <v/>
      </c>
      <c r="H283" s="1830"/>
      <c r="I283" s="1830"/>
      <c r="J283" s="1830"/>
      <c r="K283" s="1215"/>
      <c r="L283" s="1246">
        <f t="shared" si="56"/>
        <v>0</v>
      </c>
      <c r="M283" s="1224">
        <f t="shared" si="57"/>
        <v>0</v>
      </c>
      <c r="N283" s="1224">
        <f t="shared" si="58"/>
        <v>0</v>
      </c>
      <c r="O283" s="1825" t="str">
        <f>IF(G283=0,0,IF(ISNA('Proposed Lighting'!AT283),0,'Proposed Lighting'!AT283))</f>
        <v/>
      </c>
      <c r="P283" s="1825"/>
      <c r="Q283" s="1247"/>
      <c r="R283" s="1247"/>
      <c r="S283" s="1247"/>
      <c r="T283" s="1211"/>
      <c r="U283" s="1235">
        <f>IF(K283&gt;0.01,'Proposed Lighting'!CU283,0)</f>
        <v>0</v>
      </c>
      <c r="V283" s="1248">
        <f>IF('Proposed Lighting'!CF283=1,0,IF('Proposed Lighting'!AU283=2,0,IF(AND('Proposed Lighting'!AU283=3,'Proposed Lighting'!CF283=0),1,0)))</f>
        <v>0</v>
      </c>
      <c r="W283" s="1836"/>
      <c r="X283" s="1836"/>
      <c r="Y283" s="1836"/>
      <c r="Z283" s="1230" t="str">
        <f t="shared" si="52"/>
        <v/>
      </c>
      <c r="AA283" s="1230">
        <f t="shared" si="53"/>
        <v>0</v>
      </c>
      <c r="AB283" s="1230">
        <f>IF(Q283=0,0,IF(T283=0,0,IF(AA283=0,0,IF(AND(F283=3,V283=0),0,IF(T283=0,0,IF(K283&gt;'Proposed Lighting'!AA283,0,IF('Proposed Lighting'!EJ283&gt;0.01,(K283*O283)*'Proposed Lighting'!EJ283/1000,(K283*O283)*U283/1000)))))))</f>
        <v>0</v>
      </c>
      <c r="AC283" s="1230" t="str">
        <f t="shared" si="59"/>
        <v/>
      </c>
      <c r="AD283" s="1230">
        <f t="shared" si="54"/>
        <v>0</v>
      </c>
      <c r="AE283" s="1230">
        <f>IF(T283=0,0,IF(K283&gt;'Proposed Lighting'!AA283,0,IF(T283&gt;K283,0,IF(AND(AD283&gt;AA283,AA283&gt;0),0,IF(AND(F283&gt;1,W283&lt;0.01),0,IF('Proposed Lighting'!AU283&gt;'Lighting Controls'!F283,0,IF('Proposed Lighting'!AU283&lt;'Lighting Controls'!F283,0,IF(U283=0,0,Summary!AC586))))))))</f>
        <v>0</v>
      </c>
      <c r="AF283" s="1230">
        <f>IF(T283=0,0,IF(AE283=0,0,IF(K283&gt;'Proposed Lighting'!AA283,0,IF(AND(AD283&gt;AA283,AA283&gt;0),0,IF(U283=0,0,Summary!AD586)))))</f>
        <v>0</v>
      </c>
      <c r="AG283" s="1834">
        <f>IF('Proposed Lighting'!AU283=1,0,IF('Proposed Lighting'!CF283=1,0,T283*W283))</f>
        <v>0</v>
      </c>
      <c r="AH283" s="1834"/>
      <c r="AI283" s="1834"/>
      <c r="AJ283" s="1835">
        <f>IF(T283&lt;1,0,IF(K283&gt;'Proposed Lighting'!AA283,0,IF('Proposed Lighting'!CF283=1,0,IF('Proposed Lighting'!AU283=1,0,IF(T283&gt;K283,0,IF(AND(AD283&gt;AA283,AA283&gt;0),0,IF(AND(F283=2,'Proposed Lighting'!AU283=3),0,IF(AND(F283=3,'Proposed Lighting'!AU283=2),0,IF('Proposed Lighting'!CH283=100,0,IF(AND(F283&lt;3,V283=1,AM283=0),0,IF(AND(F283&gt;1,AF283&lt;1,AN283&lt;1),0,IF(AND(F283&gt;1,AE283&lt;0.69,AF283&lt;1,AN283&lt;1),0,IF(ISERROR(AB283-AC283),"",AB283-AC283)))))))))))))</f>
        <v>0</v>
      </c>
      <c r="AK283" s="1835"/>
      <c r="AL283" s="1835"/>
      <c r="AM283" s="1216">
        <f>IF(Q283=0,0,IF(T283=0,0,IF(T283&gt;K283,0,IF(AND(AS283&gt;0.01,BK283=0),0,IF(AND('Proposed Lighting'!DG283=0,'Lighting Controls'!Z283=0.35),0,IF(AND(T283&lt;=K283,AA283&gt;=AD283,'Proposed Lighting'!AU283=2),VLOOKUP(Q283,$AY$9:$AZ$15,2,FALSE),IF(AND(T283&lt;=K283,AA283&gt;=AD283,'Proposed Lighting'!AU283=3),VLOOKUP(Q283,$AY$17:$AZ$23,2,FALSE))))))))</f>
        <v>0</v>
      </c>
      <c r="AN283" s="1248">
        <f>IF(T283=0,0,IF(K283&gt;'Proposed Lighting'!AA283,0,IF(AE283=0,0,IF(AND(AD283&gt;AA283,AA283&gt;0),0,IF(U283=0,0,Summary!AE586)))))</f>
        <v>0</v>
      </c>
      <c r="AO283" s="1248">
        <f t="shared" si="63"/>
        <v>0</v>
      </c>
      <c r="AP283" s="1249">
        <f>IF('Proposed Lighting'!AU283=1,0,IF(K283=0,0,IF(T283&gt;K283,0,IF(G283=0,0,IF(K283&gt;'Proposed Lighting'!AA283,0,IF(AND(AD283&gt;AA283,AA283&gt;0),0,IF(AND('Proposed Lighting'!AU283=3,AM283=0.5),0,IF(AND(AM283&gt;0,AS283&gt;0,BI283&lt;2),0,IF('Proposed Lighting'!CH283=100,0,IF(AV283=1,0,IF(AND(AM283=35,M283+N283&lt;2),0,AM283)))))))))))</f>
        <v>0</v>
      </c>
      <c r="AQ283" s="1249" t="str">
        <f>IFERROR(ROUND(IF(Q283="","",IF('Proposed Lighting'!$X$4=0,0,IF(AND(AM283=35,M283+N283&lt;2),0,IF(T283&gt;K283,0,IF('Proposed Lighting'!AU283=1,0,IF(AJ283=0,0,IF(AND('Proposed Lighting'!AU283=3,AM283=0.5),0,IF(AND(AD283=75,AP283=0,AV283=0),0,IF(AP283&gt;0.01,AP283*T283,IF(AND(F283&gt;1,W283&lt;0.01),0,IF(AND(F283&gt;1,AO283=0),0,IF(AND('Proposed Lighting'!BC283=22,AV283=0),0,IF(AND(AM283&gt;0,AS283&gt;0,BI283&lt;2),0,IF(AND(AS283&gt;0.01,BK283=0),0,IF(AND(AO283=TRUE,AV283=1,F283=3),MIN(AJ283*0.08,L283),IF(AP283&gt;0.01,AP283*T283,IF(AND(AO283=TRUE,AV283=1,F283=2),MIN(AJ283*0.1,L283)))))))))))))))))),2),"")</f>
        <v/>
      </c>
      <c r="AR283" s="1250">
        <f>IF(Q283=0,0,IF('Proposed Lighting'!$X$4=0,0,IF(AND(AM283&gt;0.01,AQ283&gt;0.01),0,IF('Proposed Lighting'!AU283=1,"Missing Interior or Exterior Selection",IF('Proposed Lighting'!CF283=1,"Selection does not match",IF(K283&gt;'Proposed Lighting'!AA283,"Quantity controlled does not match proposed lighting quantity",IF(T283&gt;K283,"Quantity of sensors exceeds proposed lighting quantity",IF(AND(F283&gt;1,'Proposed Lighting'!AU283&lt;&gt;F283),"Selection does not match",IF(AND(AD283&gt;AA283,AA283&gt;0),"Does not meet minimum connected load",IF(AND(O283&gt;0,AS283&gt;0,BK283&gt;0,'Proposed Lighting'!CH283=0),"Select Control Strategies",IF(AND(AC283&gt;0.1,AJ283=0,AQ283=0),"Does not meet incentive criteria",0)))))))))))</f>
        <v>0</v>
      </c>
      <c r="AS283" s="1224">
        <f>IF('Proposed Lighting'!CH283=100,0,IF(ISNUMBER(SEARCH("multiple",Q283)),1,0))</f>
        <v>0</v>
      </c>
      <c r="AT283" s="451">
        <f t="shared" si="60"/>
        <v>0</v>
      </c>
      <c r="AU283" s="451">
        <f t="shared" si="61"/>
        <v>0</v>
      </c>
      <c r="AV283" s="1222">
        <f>IF(ISNUMBER(SEARCH("Networked",'Proposed Lighting'!T283)),0,IF(ISNUMBER(SEARCH("Strategies",'Proposed Lighting'!T283)),0,IF(ISNUMBER(SEARCH("Removal",'Proposed Lighting'!T283)),0,IF(ISNUMBER(SEARCH("non-standard",Q283)),1,0))))</f>
        <v>0</v>
      </c>
      <c r="AW283" s="451">
        <f t="shared" si="64"/>
        <v>0</v>
      </c>
      <c r="AX283" s="451"/>
      <c r="AY283" s="451"/>
      <c r="AZ283" s="451"/>
      <c r="BA283" s="451"/>
      <c r="BB283" s="451"/>
      <c r="BC283" s="1215"/>
      <c r="BD283" s="1215"/>
      <c r="BE283" s="1215"/>
      <c r="BF283" s="1215"/>
      <c r="BG283" s="1215"/>
      <c r="BH283" s="1215"/>
      <c r="BI283">
        <f>IF(AND(AS283=1,BC283="No",BD283="Yes",BE283="Yes",BF283="No",BH283="No"),0,IF(AND('Proposed Lighting'!AU283=2,AS283=1,BC283="Yes",BD283="Yes"),2,IF(AND('Proposed Lighting'!AU283=2,AS283=1,BC283="Yes",BE283="Yes"),2,IF(AND('Proposed Lighting'!AU283=2,AS283=1,BC283="Yes",BF283="Yes"),2,IF(AND('Proposed Lighting'!AU283=2,AS283=1,BC283="Yes",BH283="Yes"),2,IF(AND('Proposed Lighting'!AU283=2,AS283=1,BD283="Yes",BF283="Yes"),2,IF(AND('Proposed Lighting'!AU283=2,AS283=1,BD283="Yes",BH283="Yes"),2,IF(AND('Proposed Lighting'!AU283=3,AS283=1,BC283="Yes",BE283="Yes"),2,IF(AND('Proposed Lighting'!AU283=3,AS283=1,BC283="Yes",BF283="Yes"),2,0)))))))))</f>
        <v>0</v>
      </c>
      <c r="BJ283" s="1025">
        <f t="shared" si="62"/>
        <v>0</v>
      </c>
      <c r="BK283">
        <f>IF(AND('Proposed Lighting'!BC283=22,'Lighting Controls'!N283=1),0,IF(ISNUMBER(SEARCH("LED",G283)),1,0))</f>
        <v>0</v>
      </c>
    </row>
    <row r="284" spans="1:63" ht="34.5" customHeight="1">
      <c r="A284" s="917">
        <v>276</v>
      </c>
      <c r="B284" s="1828" t="str">
        <f>IF('Proposed Lighting'!B284="","",'Proposed Lighting'!B284)</f>
        <v/>
      </c>
      <c r="C284" s="1828"/>
      <c r="D284" s="1828"/>
      <c r="E284" s="1245">
        <f>'Proposed Lighting'!AA284</f>
        <v>0</v>
      </c>
      <c r="F284" s="1245">
        <f t="shared" si="55"/>
        <v>0</v>
      </c>
      <c r="G284" s="1830" t="str">
        <f>IF('Proposed Lighting'!T284="","",IF(ISNUMBER(SEARCH("Networked",'Proposed Lighting'!T284)),0,IF(ISNUMBER(SEARCH("Strategies",'Proposed Lighting'!T284)),0,IF(ISNUMBER(SEARCH("Removal",'Proposed Lighting'!T284)),0,'Proposed Lighting'!T284))))</f>
        <v/>
      </c>
      <c r="H284" s="1830"/>
      <c r="I284" s="1830"/>
      <c r="J284" s="1830"/>
      <c r="K284" s="1215"/>
      <c r="L284" s="1246">
        <f t="shared" si="56"/>
        <v>0</v>
      </c>
      <c r="M284" s="1224">
        <f t="shared" si="57"/>
        <v>0</v>
      </c>
      <c r="N284" s="1224">
        <f t="shared" si="58"/>
        <v>0</v>
      </c>
      <c r="O284" s="1825" t="str">
        <f>IF(G284=0,0,IF(ISNA('Proposed Lighting'!AT284),0,'Proposed Lighting'!AT284))</f>
        <v/>
      </c>
      <c r="P284" s="1825"/>
      <c r="Q284" s="1247"/>
      <c r="R284" s="1247"/>
      <c r="S284" s="1247"/>
      <c r="T284" s="1211"/>
      <c r="U284" s="1235">
        <f>IF(K284&gt;0.01,'Proposed Lighting'!CU284,0)</f>
        <v>0</v>
      </c>
      <c r="V284" s="1248">
        <f>IF('Proposed Lighting'!CF284=1,0,IF('Proposed Lighting'!AU284=2,0,IF(AND('Proposed Lighting'!AU284=3,'Proposed Lighting'!CF284=0),1,0)))</f>
        <v>0</v>
      </c>
      <c r="W284" s="1836"/>
      <c r="X284" s="1836"/>
      <c r="Y284" s="1836"/>
      <c r="Z284" s="1230" t="str">
        <f t="shared" si="52"/>
        <v/>
      </c>
      <c r="AA284" s="1230">
        <f t="shared" si="53"/>
        <v>0</v>
      </c>
      <c r="AB284" s="1230">
        <f>IF(Q284=0,0,IF(T284=0,0,IF(AA284=0,0,IF(AND(F284=3,V284=0),0,IF(T284=0,0,IF(K284&gt;'Proposed Lighting'!AA284,0,IF('Proposed Lighting'!EJ284&gt;0.01,(K284*O284)*'Proposed Lighting'!EJ284/1000,(K284*O284)*U284/1000)))))))</f>
        <v>0</v>
      </c>
      <c r="AC284" s="1230" t="str">
        <f t="shared" si="59"/>
        <v/>
      </c>
      <c r="AD284" s="1230">
        <f t="shared" si="54"/>
        <v>0</v>
      </c>
      <c r="AE284" s="1230">
        <f>IF(T284=0,0,IF(K284&gt;'Proposed Lighting'!AA284,0,IF(T284&gt;K284,0,IF(AND(AD284&gt;AA284,AA284&gt;0),0,IF(AND(F284&gt;1,W284&lt;0.01),0,IF('Proposed Lighting'!AU284&gt;'Lighting Controls'!F284,0,IF('Proposed Lighting'!AU284&lt;'Lighting Controls'!F284,0,IF(U284=0,0,Summary!AC587))))))))</f>
        <v>0</v>
      </c>
      <c r="AF284" s="1230">
        <f>IF(T284=0,0,IF(AE284=0,0,IF(K284&gt;'Proposed Lighting'!AA284,0,IF(AND(AD284&gt;AA284,AA284&gt;0),0,IF(U284=0,0,Summary!AD587)))))</f>
        <v>0</v>
      </c>
      <c r="AG284" s="1834">
        <f>IF('Proposed Lighting'!AU284=1,0,IF('Proposed Lighting'!CF284=1,0,T284*W284))</f>
        <v>0</v>
      </c>
      <c r="AH284" s="1834"/>
      <c r="AI284" s="1834"/>
      <c r="AJ284" s="1835">
        <f>IF(T284&lt;1,0,IF(K284&gt;'Proposed Lighting'!AA284,0,IF('Proposed Lighting'!CF284=1,0,IF('Proposed Lighting'!AU284=1,0,IF(T284&gt;K284,0,IF(AND(AD284&gt;AA284,AA284&gt;0),0,IF(AND(F284=2,'Proposed Lighting'!AU284=3),0,IF(AND(F284=3,'Proposed Lighting'!AU284=2),0,IF('Proposed Lighting'!CH284=100,0,IF(AND(F284&lt;3,V284=1,AM284=0),0,IF(AND(F284&gt;1,AF284&lt;1,AN284&lt;1),0,IF(AND(F284&gt;1,AE284&lt;0.69,AF284&lt;1,AN284&lt;1),0,IF(ISERROR(AB284-AC284),"",AB284-AC284)))))))))))))</f>
        <v>0</v>
      </c>
      <c r="AK284" s="1835"/>
      <c r="AL284" s="1835"/>
      <c r="AM284" s="1216">
        <f>IF(Q284=0,0,IF(T284=0,0,IF(T284&gt;K284,0,IF(AND(AS284&gt;0.01,BK284=0),0,IF(AND('Proposed Lighting'!DG284=0,'Lighting Controls'!Z284=0.35),0,IF(AND(T284&lt;=K284,AA284&gt;=AD284,'Proposed Lighting'!AU284=2),VLOOKUP(Q284,$AY$9:$AZ$15,2,FALSE),IF(AND(T284&lt;=K284,AA284&gt;=AD284,'Proposed Lighting'!AU284=3),VLOOKUP(Q284,$AY$17:$AZ$23,2,FALSE))))))))</f>
        <v>0</v>
      </c>
      <c r="AN284" s="1248">
        <f>IF(T284=0,0,IF(K284&gt;'Proposed Lighting'!AA284,0,IF(AE284=0,0,IF(AND(AD284&gt;AA284,AA284&gt;0),0,IF(U284=0,0,Summary!AE587)))))</f>
        <v>0</v>
      </c>
      <c r="AO284" s="1248">
        <f t="shared" si="63"/>
        <v>0</v>
      </c>
      <c r="AP284" s="1249">
        <f>IF('Proposed Lighting'!AU284=1,0,IF(K284=0,0,IF(T284&gt;K284,0,IF(G284=0,0,IF(K284&gt;'Proposed Lighting'!AA284,0,IF(AND(AD284&gt;AA284,AA284&gt;0),0,IF(AND('Proposed Lighting'!AU284=3,AM284=0.5),0,IF(AND(AM284&gt;0,AS284&gt;0,BI284&lt;2),0,IF('Proposed Lighting'!CH284=100,0,IF(AV284=1,0,IF(AND(AM284=35,M284+N284&lt;2),0,AM284)))))))))))</f>
        <v>0</v>
      </c>
      <c r="AQ284" s="1249" t="str">
        <f>IFERROR(ROUND(IF(Q284="","",IF('Proposed Lighting'!$X$4=0,0,IF(AND(AM284=35,M284+N284&lt;2),0,IF(T284&gt;K284,0,IF('Proposed Lighting'!AU284=1,0,IF(AJ284=0,0,IF(AND('Proposed Lighting'!AU284=3,AM284=0.5),0,IF(AND(AD284=75,AP284=0,AV284=0),0,IF(AP284&gt;0.01,AP284*T284,IF(AND(F284&gt;1,W284&lt;0.01),0,IF(AND(F284&gt;1,AO284=0),0,IF(AND('Proposed Lighting'!BC284=22,AV284=0),0,IF(AND(AM284&gt;0,AS284&gt;0,BI284&lt;2),0,IF(AND(AS284&gt;0.01,BK284=0),0,IF(AND(AO284=TRUE,AV284=1,F284=3),MIN(AJ284*0.08,L284),IF(AP284&gt;0.01,AP284*T284,IF(AND(AO284=TRUE,AV284=1,F284=2),MIN(AJ284*0.1,L284)))))))))))))))))),2),"")</f>
        <v/>
      </c>
      <c r="AR284" s="1250">
        <f>IF(Q284=0,0,IF('Proposed Lighting'!$X$4=0,0,IF(AND(AM284&gt;0.01,AQ284&gt;0.01),0,IF('Proposed Lighting'!AU284=1,"Missing Interior or Exterior Selection",IF('Proposed Lighting'!CF284=1,"Selection does not match",IF(K284&gt;'Proposed Lighting'!AA284,"Quantity controlled does not match proposed lighting quantity",IF(T284&gt;K284,"Quantity of sensors exceeds proposed lighting quantity",IF(AND(F284&gt;1,'Proposed Lighting'!AU284&lt;&gt;F284),"Selection does not match",IF(AND(AD284&gt;AA284,AA284&gt;0),"Does not meet minimum connected load",IF(AND(O284&gt;0,AS284&gt;0,BK284&gt;0,'Proposed Lighting'!CH284=0),"Select Control Strategies",IF(AND(AC284&gt;0.1,AJ284=0,AQ284=0),"Does not meet incentive criteria",0)))))))))))</f>
        <v>0</v>
      </c>
      <c r="AS284" s="1224">
        <f>IF('Proposed Lighting'!CH284=100,0,IF(ISNUMBER(SEARCH("multiple",Q284)),1,0))</f>
        <v>0</v>
      </c>
      <c r="AT284" s="451">
        <f t="shared" si="60"/>
        <v>0</v>
      </c>
      <c r="AU284" s="451">
        <f t="shared" si="61"/>
        <v>0</v>
      </c>
      <c r="AV284" s="1222">
        <f>IF(ISNUMBER(SEARCH("Networked",'Proposed Lighting'!T284)),0,IF(ISNUMBER(SEARCH("Strategies",'Proposed Lighting'!T284)),0,IF(ISNUMBER(SEARCH("Removal",'Proposed Lighting'!T284)),0,IF(ISNUMBER(SEARCH("non-standard",Q284)),1,0))))</f>
        <v>0</v>
      </c>
      <c r="AW284" s="451">
        <f t="shared" si="64"/>
        <v>0</v>
      </c>
      <c r="AX284" s="451"/>
      <c r="AY284" s="451"/>
      <c r="AZ284" s="451"/>
      <c r="BA284" s="451"/>
      <c r="BB284" s="451"/>
      <c r="BC284" s="1215"/>
      <c r="BD284" s="1215"/>
      <c r="BE284" s="1215"/>
      <c r="BF284" s="1215"/>
      <c r="BG284" s="1215"/>
      <c r="BH284" s="1215"/>
      <c r="BI284">
        <f>IF(AND(AS284=1,BC284="No",BD284="Yes",BE284="Yes",BF284="No",BH284="No"),0,IF(AND('Proposed Lighting'!AU284=2,AS284=1,BC284="Yes",BD284="Yes"),2,IF(AND('Proposed Lighting'!AU284=2,AS284=1,BC284="Yes",BE284="Yes"),2,IF(AND('Proposed Lighting'!AU284=2,AS284=1,BC284="Yes",BF284="Yes"),2,IF(AND('Proposed Lighting'!AU284=2,AS284=1,BC284="Yes",BH284="Yes"),2,IF(AND('Proposed Lighting'!AU284=2,AS284=1,BD284="Yes",BF284="Yes"),2,IF(AND('Proposed Lighting'!AU284=2,AS284=1,BD284="Yes",BH284="Yes"),2,IF(AND('Proposed Lighting'!AU284=3,AS284=1,BC284="Yes",BE284="Yes"),2,IF(AND('Proposed Lighting'!AU284=3,AS284=1,BC284="Yes",BF284="Yes"),2,0)))))))))</f>
        <v>0</v>
      </c>
      <c r="BJ284" s="1025">
        <f t="shared" si="62"/>
        <v>0</v>
      </c>
      <c r="BK284">
        <f>IF(AND('Proposed Lighting'!BC284=22,'Lighting Controls'!N284=1),0,IF(ISNUMBER(SEARCH("LED",G284)),1,0))</f>
        <v>0</v>
      </c>
    </row>
    <row r="285" spans="1:63" ht="34.5" customHeight="1">
      <c r="A285" s="917">
        <v>277</v>
      </c>
      <c r="B285" s="1828" t="str">
        <f>IF('Proposed Lighting'!B285="","",'Proposed Lighting'!B285)</f>
        <v/>
      </c>
      <c r="C285" s="1828"/>
      <c r="D285" s="1828"/>
      <c r="E285" s="1245">
        <f>'Proposed Lighting'!AA285</f>
        <v>0</v>
      </c>
      <c r="F285" s="1245">
        <f t="shared" si="55"/>
        <v>0</v>
      </c>
      <c r="G285" s="1830" t="str">
        <f>IF('Proposed Lighting'!T285="","",IF(ISNUMBER(SEARCH("Networked",'Proposed Lighting'!T285)),0,IF(ISNUMBER(SEARCH("Strategies",'Proposed Lighting'!T285)),0,IF(ISNUMBER(SEARCH("Removal",'Proposed Lighting'!T285)),0,'Proposed Lighting'!T285))))</f>
        <v/>
      </c>
      <c r="H285" s="1830"/>
      <c r="I285" s="1830"/>
      <c r="J285" s="1830"/>
      <c r="K285" s="1215"/>
      <c r="L285" s="1246">
        <f t="shared" si="56"/>
        <v>0</v>
      </c>
      <c r="M285" s="1224">
        <f t="shared" si="57"/>
        <v>0</v>
      </c>
      <c r="N285" s="1224">
        <f t="shared" si="58"/>
        <v>0</v>
      </c>
      <c r="O285" s="1825" t="str">
        <f>IF(G285=0,0,IF(ISNA('Proposed Lighting'!AT285),0,'Proposed Lighting'!AT285))</f>
        <v/>
      </c>
      <c r="P285" s="1825"/>
      <c r="Q285" s="1247"/>
      <c r="R285" s="1247"/>
      <c r="S285" s="1247"/>
      <c r="T285" s="1211"/>
      <c r="U285" s="1235">
        <f>IF(K285&gt;0.01,'Proposed Lighting'!CU285,0)</f>
        <v>0</v>
      </c>
      <c r="V285" s="1248">
        <f>IF('Proposed Lighting'!CF285=1,0,IF('Proposed Lighting'!AU285=2,0,IF(AND('Proposed Lighting'!AU285=3,'Proposed Lighting'!CF285=0),1,0)))</f>
        <v>0</v>
      </c>
      <c r="W285" s="1836"/>
      <c r="X285" s="1836"/>
      <c r="Y285" s="1836"/>
      <c r="Z285" s="1230" t="str">
        <f t="shared" si="52"/>
        <v/>
      </c>
      <c r="AA285" s="1230">
        <f t="shared" si="53"/>
        <v>0</v>
      </c>
      <c r="AB285" s="1230">
        <f>IF(Q285=0,0,IF(T285=0,0,IF(AA285=0,0,IF(AND(F285=3,V285=0),0,IF(T285=0,0,IF(K285&gt;'Proposed Lighting'!AA285,0,IF('Proposed Lighting'!EJ285&gt;0.01,(K285*O285)*'Proposed Lighting'!EJ285/1000,(K285*O285)*U285/1000)))))))</f>
        <v>0</v>
      </c>
      <c r="AC285" s="1230" t="str">
        <f t="shared" si="59"/>
        <v/>
      </c>
      <c r="AD285" s="1230">
        <f t="shared" si="54"/>
        <v>0</v>
      </c>
      <c r="AE285" s="1230">
        <f>IF(T285=0,0,IF(K285&gt;'Proposed Lighting'!AA285,0,IF(T285&gt;K285,0,IF(AND(AD285&gt;AA285,AA285&gt;0),0,IF(AND(F285&gt;1,W285&lt;0.01),0,IF('Proposed Lighting'!AU285&gt;'Lighting Controls'!F285,0,IF('Proposed Lighting'!AU285&lt;'Lighting Controls'!F285,0,IF(U285=0,0,Summary!AC588))))))))</f>
        <v>0</v>
      </c>
      <c r="AF285" s="1230">
        <f>IF(T285=0,0,IF(AE285=0,0,IF(K285&gt;'Proposed Lighting'!AA285,0,IF(AND(AD285&gt;AA285,AA285&gt;0),0,IF(U285=0,0,Summary!AD588)))))</f>
        <v>0</v>
      </c>
      <c r="AG285" s="1834">
        <f>IF('Proposed Lighting'!AU285=1,0,IF('Proposed Lighting'!CF285=1,0,T285*W285))</f>
        <v>0</v>
      </c>
      <c r="AH285" s="1834"/>
      <c r="AI285" s="1834"/>
      <c r="AJ285" s="1835">
        <f>IF(T285&lt;1,0,IF(K285&gt;'Proposed Lighting'!AA285,0,IF('Proposed Lighting'!CF285=1,0,IF('Proposed Lighting'!AU285=1,0,IF(T285&gt;K285,0,IF(AND(AD285&gt;AA285,AA285&gt;0),0,IF(AND(F285=2,'Proposed Lighting'!AU285=3),0,IF(AND(F285=3,'Proposed Lighting'!AU285=2),0,IF('Proposed Lighting'!CH285=100,0,IF(AND(F285&lt;3,V285=1,AM285=0),0,IF(AND(F285&gt;1,AF285&lt;1,AN285&lt;1),0,IF(AND(F285&gt;1,AE285&lt;0.69,AF285&lt;1,AN285&lt;1),0,IF(ISERROR(AB285-AC285),"",AB285-AC285)))))))))))))</f>
        <v>0</v>
      </c>
      <c r="AK285" s="1835"/>
      <c r="AL285" s="1835"/>
      <c r="AM285" s="1216">
        <f>IF(Q285=0,0,IF(T285=0,0,IF(T285&gt;K285,0,IF(AND(AS285&gt;0.01,BK285=0),0,IF(AND('Proposed Lighting'!DG285=0,'Lighting Controls'!Z285=0.35),0,IF(AND(T285&lt;=K285,AA285&gt;=AD285,'Proposed Lighting'!AU285=2),VLOOKUP(Q285,$AY$9:$AZ$15,2,FALSE),IF(AND(T285&lt;=K285,AA285&gt;=AD285,'Proposed Lighting'!AU285=3),VLOOKUP(Q285,$AY$17:$AZ$23,2,FALSE))))))))</f>
        <v>0</v>
      </c>
      <c r="AN285" s="1248">
        <f>IF(T285=0,0,IF(K285&gt;'Proposed Lighting'!AA285,0,IF(AE285=0,0,IF(AND(AD285&gt;AA285,AA285&gt;0),0,IF(U285=0,0,Summary!AE588)))))</f>
        <v>0</v>
      </c>
      <c r="AO285" s="1248">
        <f t="shared" si="63"/>
        <v>0</v>
      </c>
      <c r="AP285" s="1249">
        <f>IF('Proposed Lighting'!AU285=1,0,IF(K285=0,0,IF(T285&gt;K285,0,IF(G285=0,0,IF(K285&gt;'Proposed Lighting'!AA285,0,IF(AND(AD285&gt;AA285,AA285&gt;0),0,IF(AND('Proposed Lighting'!AU285=3,AM285=0.5),0,IF(AND(AM285&gt;0,AS285&gt;0,BI285&lt;2),0,IF('Proposed Lighting'!CH285=100,0,IF(AV285=1,0,IF(AND(AM285=35,M285+N285&lt;2),0,AM285)))))))))))</f>
        <v>0</v>
      </c>
      <c r="AQ285" s="1249" t="str">
        <f>IFERROR(ROUND(IF(Q285="","",IF('Proposed Lighting'!$X$4=0,0,IF(AND(AM285=35,M285+N285&lt;2),0,IF(T285&gt;K285,0,IF('Proposed Lighting'!AU285=1,0,IF(AJ285=0,0,IF(AND('Proposed Lighting'!AU285=3,AM285=0.5),0,IF(AND(AD285=75,AP285=0,AV285=0),0,IF(AP285&gt;0.01,AP285*T285,IF(AND(F285&gt;1,W285&lt;0.01),0,IF(AND(F285&gt;1,AO285=0),0,IF(AND('Proposed Lighting'!BC285=22,AV285=0),0,IF(AND(AM285&gt;0,AS285&gt;0,BI285&lt;2),0,IF(AND(AS285&gt;0.01,BK285=0),0,IF(AND(AO285=TRUE,AV285=1,F285=3),MIN(AJ285*0.08,L285),IF(AP285&gt;0.01,AP285*T285,IF(AND(AO285=TRUE,AV285=1,F285=2),MIN(AJ285*0.1,L285)))))))))))))))))),2),"")</f>
        <v/>
      </c>
      <c r="AR285" s="1250">
        <f>IF(Q285=0,0,IF('Proposed Lighting'!$X$4=0,0,IF(AND(AM285&gt;0.01,AQ285&gt;0.01),0,IF('Proposed Lighting'!AU285=1,"Missing Interior or Exterior Selection",IF('Proposed Lighting'!CF285=1,"Selection does not match",IF(K285&gt;'Proposed Lighting'!AA285,"Quantity controlled does not match proposed lighting quantity",IF(T285&gt;K285,"Quantity of sensors exceeds proposed lighting quantity",IF(AND(F285&gt;1,'Proposed Lighting'!AU285&lt;&gt;F285),"Selection does not match",IF(AND(AD285&gt;AA285,AA285&gt;0),"Does not meet minimum connected load",IF(AND(O285&gt;0,AS285&gt;0,BK285&gt;0,'Proposed Lighting'!CH285=0),"Select Control Strategies",IF(AND(AC285&gt;0.1,AJ285=0,AQ285=0),"Does not meet incentive criteria",0)))))))))))</f>
        <v>0</v>
      </c>
      <c r="AS285" s="1224">
        <f>IF('Proposed Lighting'!CH285=100,0,IF(ISNUMBER(SEARCH("multiple",Q285)),1,0))</f>
        <v>0</v>
      </c>
      <c r="AT285" s="451">
        <f t="shared" si="60"/>
        <v>0</v>
      </c>
      <c r="AU285" s="451">
        <f t="shared" si="61"/>
        <v>0</v>
      </c>
      <c r="AV285" s="1222">
        <f>IF(ISNUMBER(SEARCH("Networked",'Proposed Lighting'!T285)),0,IF(ISNUMBER(SEARCH("Strategies",'Proposed Lighting'!T285)),0,IF(ISNUMBER(SEARCH("Removal",'Proposed Lighting'!T285)),0,IF(ISNUMBER(SEARCH("non-standard",Q285)),1,0))))</f>
        <v>0</v>
      </c>
      <c r="AW285" s="451">
        <f t="shared" si="64"/>
        <v>0</v>
      </c>
      <c r="AX285" s="451"/>
      <c r="AY285" s="451"/>
      <c r="AZ285" s="451"/>
      <c r="BA285" s="451"/>
      <c r="BB285" s="451"/>
      <c r="BC285" s="1215"/>
      <c r="BD285" s="1215"/>
      <c r="BE285" s="1215"/>
      <c r="BF285" s="1215"/>
      <c r="BG285" s="1215"/>
      <c r="BH285" s="1215"/>
      <c r="BI285">
        <f>IF(AND(AS285=1,BC285="No",BD285="Yes",BE285="Yes",BF285="No",BH285="No"),0,IF(AND('Proposed Lighting'!AU285=2,AS285=1,BC285="Yes",BD285="Yes"),2,IF(AND('Proposed Lighting'!AU285=2,AS285=1,BC285="Yes",BE285="Yes"),2,IF(AND('Proposed Lighting'!AU285=2,AS285=1,BC285="Yes",BF285="Yes"),2,IF(AND('Proposed Lighting'!AU285=2,AS285=1,BC285="Yes",BH285="Yes"),2,IF(AND('Proposed Lighting'!AU285=2,AS285=1,BD285="Yes",BF285="Yes"),2,IF(AND('Proposed Lighting'!AU285=2,AS285=1,BD285="Yes",BH285="Yes"),2,IF(AND('Proposed Lighting'!AU285=3,AS285=1,BC285="Yes",BE285="Yes"),2,IF(AND('Proposed Lighting'!AU285=3,AS285=1,BC285="Yes",BF285="Yes"),2,0)))))))))</f>
        <v>0</v>
      </c>
      <c r="BJ285" s="1025">
        <f t="shared" si="62"/>
        <v>0</v>
      </c>
      <c r="BK285">
        <f>IF(AND('Proposed Lighting'!BC285=22,'Lighting Controls'!N285=1),0,IF(ISNUMBER(SEARCH("LED",G285)),1,0))</f>
        <v>0</v>
      </c>
    </row>
    <row r="286" spans="1:63" ht="34.5" customHeight="1">
      <c r="A286" s="917">
        <v>278</v>
      </c>
      <c r="B286" s="1828" t="str">
        <f>IF('Proposed Lighting'!B286="","",'Proposed Lighting'!B286)</f>
        <v/>
      </c>
      <c r="C286" s="1828"/>
      <c r="D286" s="1828"/>
      <c r="E286" s="1245">
        <f>'Proposed Lighting'!AA286</f>
        <v>0</v>
      </c>
      <c r="F286" s="1245">
        <f t="shared" si="55"/>
        <v>0</v>
      </c>
      <c r="G286" s="1830" t="str">
        <f>IF('Proposed Lighting'!T286="","",IF(ISNUMBER(SEARCH("Networked",'Proposed Lighting'!T286)),0,IF(ISNUMBER(SEARCH("Strategies",'Proposed Lighting'!T286)),0,IF(ISNUMBER(SEARCH("Removal",'Proposed Lighting'!T286)),0,'Proposed Lighting'!T286))))</f>
        <v/>
      </c>
      <c r="H286" s="1830"/>
      <c r="I286" s="1830"/>
      <c r="J286" s="1830"/>
      <c r="K286" s="1215"/>
      <c r="L286" s="1246">
        <f t="shared" si="56"/>
        <v>0</v>
      </c>
      <c r="M286" s="1224">
        <f t="shared" si="57"/>
        <v>0</v>
      </c>
      <c r="N286" s="1224">
        <f t="shared" si="58"/>
        <v>0</v>
      </c>
      <c r="O286" s="1825" t="str">
        <f>IF(G286=0,0,IF(ISNA('Proposed Lighting'!AT286),0,'Proposed Lighting'!AT286))</f>
        <v/>
      </c>
      <c r="P286" s="1825"/>
      <c r="Q286" s="1247"/>
      <c r="R286" s="1247"/>
      <c r="S286" s="1247"/>
      <c r="T286" s="1211"/>
      <c r="U286" s="1235">
        <f>IF(K286&gt;0.01,'Proposed Lighting'!CU286,0)</f>
        <v>0</v>
      </c>
      <c r="V286" s="1248">
        <f>IF('Proposed Lighting'!CF286=1,0,IF('Proposed Lighting'!AU286=2,0,IF(AND('Proposed Lighting'!AU286=3,'Proposed Lighting'!CF286=0),1,0)))</f>
        <v>0</v>
      </c>
      <c r="W286" s="1836"/>
      <c r="X286" s="1836"/>
      <c r="Y286" s="1836"/>
      <c r="Z286" s="1230" t="str">
        <f t="shared" si="52"/>
        <v/>
      </c>
      <c r="AA286" s="1230">
        <f t="shared" si="53"/>
        <v>0</v>
      </c>
      <c r="AB286" s="1230">
        <f>IF(Q286=0,0,IF(T286=0,0,IF(AA286=0,0,IF(AND(F286=3,V286=0),0,IF(T286=0,0,IF(K286&gt;'Proposed Lighting'!AA286,0,IF('Proposed Lighting'!EJ286&gt;0.01,(K286*O286)*'Proposed Lighting'!EJ286/1000,(K286*O286)*U286/1000)))))))</f>
        <v>0</v>
      </c>
      <c r="AC286" s="1230" t="str">
        <f t="shared" si="59"/>
        <v/>
      </c>
      <c r="AD286" s="1230">
        <f t="shared" si="54"/>
        <v>0</v>
      </c>
      <c r="AE286" s="1230">
        <f>IF(T286=0,0,IF(K286&gt;'Proposed Lighting'!AA286,0,IF(T286&gt;K286,0,IF(AND(AD286&gt;AA286,AA286&gt;0),0,IF(AND(F286&gt;1,W286&lt;0.01),0,IF('Proposed Lighting'!AU286&gt;'Lighting Controls'!F286,0,IF('Proposed Lighting'!AU286&lt;'Lighting Controls'!F286,0,IF(U286=0,0,Summary!AC589))))))))</f>
        <v>0</v>
      </c>
      <c r="AF286" s="1230">
        <f>IF(T286=0,0,IF(AE286=0,0,IF(K286&gt;'Proposed Lighting'!AA286,0,IF(AND(AD286&gt;AA286,AA286&gt;0),0,IF(U286=0,0,Summary!AD589)))))</f>
        <v>0</v>
      </c>
      <c r="AG286" s="1834">
        <f>IF('Proposed Lighting'!AU286=1,0,IF('Proposed Lighting'!CF286=1,0,T286*W286))</f>
        <v>0</v>
      </c>
      <c r="AH286" s="1834"/>
      <c r="AI286" s="1834"/>
      <c r="AJ286" s="1835">
        <f>IF(T286&lt;1,0,IF(K286&gt;'Proposed Lighting'!AA286,0,IF('Proposed Lighting'!CF286=1,0,IF('Proposed Lighting'!AU286=1,0,IF(T286&gt;K286,0,IF(AND(AD286&gt;AA286,AA286&gt;0),0,IF(AND(F286=2,'Proposed Lighting'!AU286=3),0,IF(AND(F286=3,'Proposed Lighting'!AU286=2),0,IF('Proposed Lighting'!CH286=100,0,IF(AND(F286&lt;3,V286=1,AM286=0),0,IF(AND(F286&gt;1,AF286&lt;1,AN286&lt;1),0,IF(AND(F286&gt;1,AE286&lt;0.69,AF286&lt;1,AN286&lt;1),0,IF(ISERROR(AB286-AC286),"",AB286-AC286)))))))))))))</f>
        <v>0</v>
      </c>
      <c r="AK286" s="1835"/>
      <c r="AL286" s="1835"/>
      <c r="AM286" s="1216">
        <f>IF(Q286=0,0,IF(T286=0,0,IF(T286&gt;K286,0,IF(AND(AS286&gt;0.01,BK286=0),0,IF(AND('Proposed Lighting'!DG286=0,'Lighting Controls'!Z286=0.35),0,IF(AND(T286&lt;=K286,AA286&gt;=AD286,'Proposed Lighting'!AU286=2),VLOOKUP(Q286,$AY$9:$AZ$15,2,FALSE),IF(AND(T286&lt;=K286,AA286&gt;=AD286,'Proposed Lighting'!AU286=3),VLOOKUP(Q286,$AY$17:$AZ$23,2,FALSE))))))))</f>
        <v>0</v>
      </c>
      <c r="AN286" s="1248">
        <f>IF(T286=0,0,IF(K286&gt;'Proposed Lighting'!AA286,0,IF(AE286=0,0,IF(AND(AD286&gt;AA286,AA286&gt;0),0,IF(U286=0,0,Summary!AE589)))))</f>
        <v>0</v>
      </c>
      <c r="AO286" s="1248">
        <f t="shared" si="63"/>
        <v>0</v>
      </c>
      <c r="AP286" s="1249">
        <f>IF('Proposed Lighting'!AU286=1,0,IF(K286=0,0,IF(T286&gt;K286,0,IF(G286=0,0,IF(K286&gt;'Proposed Lighting'!AA286,0,IF(AND(AD286&gt;AA286,AA286&gt;0),0,IF(AND('Proposed Lighting'!AU286=3,AM286=0.5),0,IF(AND(AM286&gt;0,AS286&gt;0,BI286&lt;2),0,IF('Proposed Lighting'!CH286=100,0,IF(AV286=1,0,IF(AND(AM286=35,M286+N286&lt;2),0,AM286)))))))))))</f>
        <v>0</v>
      </c>
      <c r="AQ286" s="1249" t="str">
        <f>IFERROR(ROUND(IF(Q286="","",IF('Proposed Lighting'!$X$4=0,0,IF(AND(AM286=35,M286+N286&lt;2),0,IF(T286&gt;K286,0,IF('Proposed Lighting'!AU286=1,0,IF(AJ286=0,0,IF(AND('Proposed Lighting'!AU286=3,AM286=0.5),0,IF(AND(AD286=75,AP286=0,AV286=0),0,IF(AP286&gt;0.01,AP286*T286,IF(AND(F286&gt;1,W286&lt;0.01),0,IF(AND(F286&gt;1,AO286=0),0,IF(AND('Proposed Lighting'!BC286=22,AV286=0),0,IF(AND(AM286&gt;0,AS286&gt;0,BI286&lt;2),0,IF(AND(AS286&gt;0.01,BK286=0),0,IF(AND(AO286=TRUE,AV286=1,F286=3),MIN(AJ286*0.08,L286),IF(AP286&gt;0.01,AP286*T286,IF(AND(AO286=TRUE,AV286=1,F286=2),MIN(AJ286*0.1,L286)))))))))))))))))),2),"")</f>
        <v/>
      </c>
      <c r="AR286" s="1250">
        <f>IF(Q286=0,0,IF('Proposed Lighting'!$X$4=0,0,IF(AND(AM286&gt;0.01,AQ286&gt;0.01),0,IF('Proposed Lighting'!AU286=1,"Missing Interior or Exterior Selection",IF('Proposed Lighting'!CF286=1,"Selection does not match",IF(K286&gt;'Proposed Lighting'!AA286,"Quantity controlled does not match proposed lighting quantity",IF(T286&gt;K286,"Quantity of sensors exceeds proposed lighting quantity",IF(AND(F286&gt;1,'Proposed Lighting'!AU286&lt;&gt;F286),"Selection does not match",IF(AND(AD286&gt;AA286,AA286&gt;0),"Does not meet minimum connected load",IF(AND(O286&gt;0,AS286&gt;0,BK286&gt;0,'Proposed Lighting'!CH286=0),"Select Control Strategies",IF(AND(AC286&gt;0.1,AJ286=0,AQ286=0),"Does not meet incentive criteria",0)))))))))))</f>
        <v>0</v>
      </c>
      <c r="AS286" s="1224">
        <f>IF('Proposed Lighting'!CH286=100,0,IF(ISNUMBER(SEARCH("multiple",Q286)),1,0))</f>
        <v>0</v>
      </c>
      <c r="AT286" s="451">
        <f t="shared" si="60"/>
        <v>0</v>
      </c>
      <c r="AU286" s="451">
        <f t="shared" si="61"/>
        <v>0</v>
      </c>
      <c r="AV286" s="1222">
        <f>IF(ISNUMBER(SEARCH("Networked",'Proposed Lighting'!T286)),0,IF(ISNUMBER(SEARCH("Strategies",'Proposed Lighting'!T286)),0,IF(ISNUMBER(SEARCH("Removal",'Proposed Lighting'!T286)),0,IF(ISNUMBER(SEARCH("non-standard",Q286)),1,0))))</f>
        <v>0</v>
      </c>
      <c r="AW286" s="451">
        <f t="shared" si="64"/>
        <v>0</v>
      </c>
      <c r="AX286" s="451"/>
      <c r="AY286" s="451"/>
      <c r="AZ286" s="451"/>
      <c r="BA286" s="451"/>
      <c r="BB286" s="451"/>
      <c r="BC286" s="1215"/>
      <c r="BD286" s="1215"/>
      <c r="BE286" s="1215"/>
      <c r="BF286" s="1215"/>
      <c r="BG286" s="1215"/>
      <c r="BH286" s="1215"/>
      <c r="BI286">
        <f>IF(AND(AS286=1,BC286="No",BD286="Yes",BE286="Yes",BF286="No",BH286="No"),0,IF(AND('Proposed Lighting'!AU286=2,AS286=1,BC286="Yes",BD286="Yes"),2,IF(AND('Proposed Lighting'!AU286=2,AS286=1,BC286="Yes",BE286="Yes"),2,IF(AND('Proposed Lighting'!AU286=2,AS286=1,BC286="Yes",BF286="Yes"),2,IF(AND('Proposed Lighting'!AU286=2,AS286=1,BC286="Yes",BH286="Yes"),2,IF(AND('Proposed Lighting'!AU286=2,AS286=1,BD286="Yes",BF286="Yes"),2,IF(AND('Proposed Lighting'!AU286=2,AS286=1,BD286="Yes",BH286="Yes"),2,IF(AND('Proposed Lighting'!AU286=3,AS286=1,BC286="Yes",BE286="Yes"),2,IF(AND('Proposed Lighting'!AU286=3,AS286=1,BC286="Yes",BF286="Yes"),2,0)))))))))</f>
        <v>0</v>
      </c>
      <c r="BJ286" s="1025">
        <f t="shared" si="62"/>
        <v>0</v>
      </c>
      <c r="BK286">
        <f>IF(AND('Proposed Lighting'!BC286=22,'Lighting Controls'!N286=1),0,IF(ISNUMBER(SEARCH("LED",G286)),1,0))</f>
        <v>0</v>
      </c>
    </row>
    <row r="287" spans="1:63" ht="34.5" customHeight="1">
      <c r="A287" s="917">
        <v>279</v>
      </c>
      <c r="B287" s="1828" t="str">
        <f>IF('Proposed Lighting'!B287="","",'Proposed Lighting'!B287)</f>
        <v/>
      </c>
      <c r="C287" s="1828"/>
      <c r="D287" s="1828"/>
      <c r="E287" s="1245">
        <f>'Proposed Lighting'!AA287</f>
        <v>0</v>
      </c>
      <c r="F287" s="1245">
        <f t="shared" si="55"/>
        <v>0</v>
      </c>
      <c r="G287" s="1830" t="str">
        <f>IF('Proposed Lighting'!T287="","",IF(ISNUMBER(SEARCH("Networked",'Proposed Lighting'!T287)),0,IF(ISNUMBER(SEARCH("Strategies",'Proposed Lighting'!T287)),0,IF(ISNUMBER(SEARCH("Removal",'Proposed Lighting'!T287)),0,'Proposed Lighting'!T287))))</f>
        <v/>
      </c>
      <c r="H287" s="1830"/>
      <c r="I287" s="1830"/>
      <c r="J287" s="1830"/>
      <c r="K287" s="1215"/>
      <c r="L287" s="1246">
        <f t="shared" si="56"/>
        <v>0</v>
      </c>
      <c r="M287" s="1224">
        <f t="shared" si="57"/>
        <v>0</v>
      </c>
      <c r="N287" s="1224">
        <f t="shared" si="58"/>
        <v>0</v>
      </c>
      <c r="O287" s="1825" t="str">
        <f>IF(G287=0,0,IF(ISNA('Proposed Lighting'!AT287),0,'Proposed Lighting'!AT287))</f>
        <v/>
      </c>
      <c r="P287" s="1825"/>
      <c r="Q287" s="1247"/>
      <c r="R287" s="1247"/>
      <c r="S287" s="1247"/>
      <c r="T287" s="1211"/>
      <c r="U287" s="1235">
        <f>IF(K287&gt;0.01,'Proposed Lighting'!CU287,0)</f>
        <v>0</v>
      </c>
      <c r="V287" s="1248">
        <f>IF('Proposed Lighting'!CF287=1,0,IF('Proposed Lighting'!AU287=2,0,IF(AND('Proposed Lighting'!AU287=3,'Proposed Lighting'!CF287=0),1,0)))</f>
        <v>0</v>
      </c>
      <c r="W287" s="1836"/>
      <c r="X287" s="1836"/>
      <c r="Y287" s="1836"/>
      <c r="Z287" s="1230" t="str">
        <f t="shared" si="52"/>
        <v/>
      </c>
      <c r="AA287" s="1230">
        <f t="shared" si="53"/>
        <v>0</v>
      </c>
      <c r="AB287" s="1230">
        <f>IF(Q287=0,0,IF(T287=0,0,IF(AA287=0,0,IF(AND(F287=3,V287=0),0,IF(T287=0,0,IF(K287&gt;'Proposed Lighting'!AA287,0,IF('Proposed Lighting'!EJ287&gt;0.01,(K287*O287)*'Proposed Lighting'!EJ287/1000,(K287*O287)*U287/1000)))))))</f>
        <v>0</v>
      </c>
      <c r="AC287" s="1230" t="str">
        <f t="shared" si="59"/>
        <v/>
      </c>
      <c r="AD287" s="1230">
        <f t="shared" si="54"/>
        <v>0</v>
      </c>
      <c r="AE287" s="1230">
        <f>IF(T287=0,0,IF(K287&gt;'Proposed Lighting'!AA287,0,IF(T287&gt;K287,0,IF(AND(AD287&gt;AA287,AA287&gt;0),0,IF(AND(F287&gt;1,W287&lt;0.01),0,IF('Proposed Lighting'!AU287&gt;'Lighting Controls'!F287,0,IF('Proposed Lighting'!AU287&lt;'Lighting Controls'!F287,0,IF(U287=0,0,Summary!AC590))))))))</f>
        <v>0</v>
      </c>
      <c r="AF287" s="1230">
        <f>IF(T287=0,0,IF(AE287=0,0,IF(K287&gt;'Proposed Lighting'!AA287,0,IF(AND(AD287&gt;AA287,AA287&gt;0),0,IF(U287=0,0,Summary!AD590)))))</f>
        <v>0</v>
      </c>
      <c r="AG287" s="1834">
        <f>IF('Proposed Lighting'!AU287=1,0,IF('Proposed Lighting'!CF287=1,0,T287*W287))</f>
        <v>0</v>
      </c>
      <c r="AH287" s="1834"/>
      <c r="AI287" s="1834"/>
      <c r="AJ287" s="1835">
        <f>IF(T287&lt;1,0,IF(K287&gt;'Proposed Lighting'!AA287,0,IF('Proposed Lighting'!CF287=1,0,IF('Proposed Lighting'!AU287=1,0,IF(T287&gt;K287,0,IF(AND(AD287&gt;AA287,AA287&gt;0),0,IF(AND(F287=2,'Proposed Lighting'!AU287=3),0,IF(AND(F287=3,'Proposed Lighting'!AU287=2),0,IF('Proposed Lighting'!CH287=100,0,IF(AND(F287&lt;3,V287=1,AM287=0),0,IF(AND(F287&gt;1,AF287&lt;1,AN287&lt;1),0,IF(AND(F287&gt;1,AE287&lt;0.69,AF287&lt;1,AN287&lt;1),0,IF(ISERROR(AB287-AC287),"",AB287-AC287)))))))))))))</f>
        <v>0</v>
      </c>
      <c r="AK287" s="1835"/>
      <c r="AL287" s="1835"/>
      <c r="AM287" s="1216">
        <f>IF(Q287=0,0,IF(T287=0,0,IF(T287&gt;K287,0,IF(AND(AS287&gt;0.01,BK287=0),0,IF(AND('Proposed Lighting'!DG287=0,'Lighting Controls'!Z287=0.35),0,IF(AND(T287&lt;=K287,AA287&gt;=AD287,'Proposed Lighting'!AU287=2),VLOOKUP(Q287,$AY$9:$AZ$15,2,FALSE),IF(AND(T287&lt;=K287,AA287&gt;=AD287,'Proposed Lighting'!AU287=3),VLOOKUP(Q287,$AY$17:$AZ$23,2,FALSE))))))))</f>
        <v>0</v>
      </c>
      <c r="AN287" s="1248">
        <f>IF(T287=0,0,IF(K287&gt;'Proposed Lighting'!AA287,0,IF(AE287=0,0,IF(AND(AD287&gt;AA287,AA287&gt;0),0,IF(U287=0,0,Summary!AE590)))))</f>
        <v>0</v>
      </c>
      <c r="AO287" s="1248">
        <f t="shared" si="63"/>
        <v>0</v>
      </c>
      <c r="AP287" s="1249">
        <f>IF('Proposed Lighting'!AU287=1,0,IF(K287=0,0,IF(T287&gt;K287,0,IF(G287=0,0,IF(K287&gt;'Proposed Lighting'!AA287,0,IF(AND(AD287&gt;AA287,AA287&gt;0),0,IF(AND('Proposed Lighting'!AU287=3,AM287=0.5),0,IF(AND(AM287&gt;0,AS287&gt;0,BI287&lt;2),0,IF('Proposed Lighting'!CH287=100,0,IF(AV287=1,0,IF(AND(AM287=35,M287+N287&lt;2),0,AM287)))))))))))</f>
        <v>0</v>
      </c>
      <c r="AQ287" s="1249" t="str">
        <f>IFERROR(ROUND(IF(Q287="","",IF('Proposed Lighting'!$X$4=0,0,IF(AND(AM287=35,M287+N287&lt;2),0,IF(T287&gt;K287,0,IF('Proposed Lighting'!AU287=1,0,IF(AJ287=0,0,IF(AND('Proposed Lighting'!AU287=3,AM287=0.5),0,IF(AND(AD287=75,AP287=0,AV287=0),0,IF(AP287&gt;0.01,AP287*T287,IF(AND(F287&gt;1,W287&lt;0.01),0,IF(AND(F287&gt;1,AO287=0),0,IF(AND('Proposed Lighting'!BC287=22,AV287=0),0,IF(AND(AM287&gt;0,AS287&gt;0,BI287&lt;2),0,IF(AND(AS287&gt;0.01,BK287=0),0,IF(AND(AO287=TRUE,AV287=1,F287=3),MIN(AJ287*0.08,L287),IF(AP287&gt;0.01,AP287*T287,IF(AND(AO287=TRUE,AV287=1,F287=2),MIN(AJ287*0.1,L287)))))))))))))))))),2),"")</f>
        <v/>
      </c>
      <c r="AR287" s="1250">
        <f>IF(Q287=0,0,IF('Proposed Lighting'!$X$4=0,0,IF(AND(AM287&gt;0.01,AQ287&gt;0.01),0,IF('Proposed Lighting'!AU287=1,"Missing Interior or Exterior Selection",IF('Proposed Lighting'!CF287=1,"Selection does not match",IF(K287&gt;'Proposed Lighting'!AA287,"Quantity controlled does not match proposed lighting quantity",IF(T287&gt;K287,"Quantity of sensors exceeds proposed lighting quantity",IF(AND(F287&gt;1,'Proposed Lighting'!AU287&lt;&gt;F287),"Selection does not match",IF(AND(AD287&gt;AA287,AA287&gt;0),"Does not meet minimum connected load",IF(AND(O287&gt;0,AS287&gt;0,BK287&gt;0,'Proposed Lighting'!CH287=0),"Select Control Strategies",IF(AND(AC287&gt;0.1,AJ287=0,AQ287=0),"Does not meet incentive criteria",0)))))))))))</f>
        <v>0</v>
      </c>
      <c r="AS287" s="1224">
        <f>IF('Proposed Lighting'!CH287=100,0,IF(ISNUMBER(SEARCH("multiple",Q287)),1,0))</f>
        <v>0</v>
      </c>
      <c r="AT287" s="451">
        <f t="shared" si="60"/>
        <v>0</v>
      </c>
      <c r="AU287" s="451">
        <f t="shared" si="61"/>
        <v>0</v>
      </c>
      <c r="AV287" s="1222">
        <f>IF(ISNUMBER(SEARCH("Networked",'Proposed Lighting'!T287)),0,IF(ISNUMBER(SEARCH("Strategies",'Proposed Lighting'!T287)),0,IF(ISNUMBER(SEARCH("Removal",'Proposed Lighting'!T287)),0,IF(ISNUMBER(SEARCH("non-standard",Q287)),1,0))))</f>
        <v>0</v>
      </c>
      <c r="AW287" s="451">
        <f t="shared" si="64"/>
        <v>0</v>
      </c>
      <c r="AX287" s="451"/>
      <c r="AY287" s="451"/>
      <c r="AZ287" s="451"/>
      <c r="BA287" s="451"/>
      <c r="BB287" s="451"/>
      <c r="BC287" s="1215"/>
      <c r="BD287" s="1215"/>
      <c r="BE287" s="1215"/>
      <c r="BF287" s="1215"/>
      <c r="BG287" s="1215"/>
      <c r="BH287" s="1215"/>
      <c r="BI287">
        <f>IF(AND(AS287=1,BC287="No",BD287="Yes",BE287="Yes",BF287="No",BH287="No"),0,IF(AND('Proposed Lighting'!AU287=2,AS287=1,BC287="Yes",BD287="Yes"),2,IF(AND('Proposed Lighting'!AU287=2,AS287=1,BC287="Yes",BE287="Yes"),2,IF(AND('Proposed Lighting'!AU287=2,AS287=1,BC287="Yes",BF287="Yes"),2,IF(AND('Proposed Lighting'!AU287=2,AS287=1,BC287="Yes",BH287="Yes"),2,IF(AND('Proposed Lighting'!AU287=2,AS287=1,BD287="Yes",BF287="Yes"),2,IF(AND('Proposed Lighting'!AU287=2,AS287=1,BD287="Yes",BH287="Yes"),2,IF(AND('Proposed Lighting'!AU287=3,AS287=1,BC287="Yes",BE287="Yes"),2,IF(AND('Proposed Lighting'!AU287=3,AS287=1,BC287="Yes",BF287="Yes"),2,0)))))))))</f>
        <v>0</v>
      </c>
      <c r="BJ287" s="1025">
        <f t="shared" si="62"/>
        <v>0</v>
      </c>
      <c r="BK287">
        <f>IF(AND('Proposed Lighting'!BC287=22,'Lighting Controls'!N287=1),0,IF(ISNUMBER(SEARCH("LED",G287)),1,0))</f>
        <v>0</v>
      </c>
    </row>
    <row r="288" spans="1:63" ht="34.5" customHeight="1">
      <c r="A288" s="917">
        <v>280</v>
      </c>
      <c r="B288" s="1828" t="str">
        <f>IF('Proposed Lighting'!B288="","",'Proposed Lighting'!B288)</f>
        <v/>
      </c>
      <c r="C288" s="1828"/>
      <c r="D288" s="1828"/>
      <c r="E288" s="1245">
        <f>'Proposed Lighting'!AA288</f>
        <v>0</v>
      </c>
      <c r="F288" s="1245">
        <f t="shared" si="55"/>
        <v>0</v>
      </c>
      <c r="G288" s="1830" t="str">
        <f>IF('Proposed Lighting'!T288="","",IF(ISNUMBER(SEARCH("Networked",'Proposed Lighting'!T288)),0,IF(ISNUMBER(SEARCH("Strategies",'Proposed Lighting'!T288)),0,IF(ISNUMBER(SEARCH("Removal",'Proposed Lighting'!T288)),0,'Proposed Lighting'!T288))))</f>
        <v/>
      </c>
      <c r="H288" s="1830"/>
      <c r="I288" s="1830"/>
      <c r="J288" s="1830"/>
      <c r="K288" s="1215"/>
      <c r="L288" s="1246">
        <f t="shared" si="56"/>
        <v>0</v>
      </c>
      <c r="M288" s="1224">
        <f t="shared" si="57"/>
        <v>0</v>
      </c>
      <c r="N288" s="1224">
        <f t="shared" si="58"/>
        <v>0</v>
      </c>
      <c r="O288" s="1825" t="str">
        <f>IF(G288=0,0,IF(ISNA('Proposed Lighting'!AT288),0,'Proposed Lighting'!AT288))</f>
        <v/>
      </c>
      <c r="P288" s="1825"/>
      <c r="Q288" s="1247"/>
      <c r="R288" s="1247"/>
      <c r="S288" s="1247"/>
      <c r="T288" s="1211"/>
      <c r="U288" s="1235">
        <f>IF(K288&gt;0.01,'Proposed Lighting'!CU288,0)</f>
        <v>0</v>
      </c>
      <c r="V288" s="1248">
        <f>IF('Proposed Lighting'!CF288=1,0,IF('Proposed Lighting'!AU288=2,0,IF(AND('Proposed Lighting'!AU288=3,'Proposed Lighting'!CF288=0),1,0)))</f>
        <v>0</v>
      </c>
      <c r="W288" s="1836"/>
      <c r="X288" s="1836"/>
      <c r="Y288" s="1836"/>
      <c r="Z288" s="1230" t="str">
        <f t="shared" si="52"/>
        <v/>
      </c>
      <c r="AA288" s="1230">
        <f t="shared" si="53"/>
        <v>0</v>
      </c>
      <c r="AB288" s="1230">
        <f>IF(Q288=0,0,IF(T288=0,0,IF(AA288=0,0,IF(AND(F288=3,V288=0),0,IF(T288=0,0,IF(K288&gt;'Proposed Lighting'!AA288,0,IF('Proposed Lighting'!EJ288&gt;0.01,(K288*O288)*'Proposed Lighting'!EJ288/1000,(K288*O288)*U288/1000)))))))</f>
        <v>0</v>
      </c>
      <c r="AC288" s="1230" t="str">
        <f t="shared" si="59"/>
        <v/>
      </c>
      <c r="AD288" s="1230">
        <f t="shared" si="54"/>
        <v>0</v>
      </c>
      <c r="AE288" s="1230">
        <f>IF(T288=0,0,IF(K288&gt;'Proposed Lighting'!AA288,0,IF(T288&gt;K288,0,IF(AND(AD288&gt;AA288,AA288&gt;0),0,IF(AND(F288&gt;1,W288&lt;0.01),0,IF('Proposed Lighting'!AU288&gt;'Lighting Controls'!F288,0,IF('Proposed Lighting'!AU288&lt;'Lighting Controls'!F288,0,IF(U288=0,0,Summary!AC591))))))))</f>
        <v>0</v>
      </c>
      <c r="AF288" s="1230">
        <f>IF(T288=0,0,IF(AE288=0,0,IF(K288&gt;'Proposed Lighting'!AA288,0,IF(AND(AD288&gt;AA288,AA288&gt;0),0,IF(U288=0,0,Summary!AD591)))))</f>
        <v>0</v>
      </c>
      <c r="AG288" s="1834">
        <f>IF('Proposed Lighting'!AU288=1,0,IF('Proposed Lighting'!CF288=1,0,T288*W288))</f>
        <v>0</v>
      </c>
      <c r="AH288" s="1834"/>
      <c r="AI288" s="1834"/>
      <c r="AJ288" s="1835">
        <f>IF(T288&lt;1,0,IF(K288&gt;'Proposed Lighting'!AA288,0,IF('Proposed Lighting'!CF288=1,0,IF('Proposed Lighting'!AU288=1,0,IF(T288&gt;K288,0,IF(AND(AD288&gt;AA288,AA288&gt;0),0,IF(AND(F288=2,'Proposed Lighting'!AU288=3),0,IF(AND(F288=3,'Proposed Lighting'!AU288=2),0,IF('Proposed Lighting'!CH288=100,0,IF(AND(F288&lt;3,V288=1,AM288=0),0,IF(AND(F288&gt;1,AF288&lt;1,AN288&lt;1),0,IF(AND(F288&gt;1,AE288&lt;0.69,AF288&lt;1,AN288&lt;1),0,IF(ISERROR(AB288-AC288),"",AB288-AC288)))))))))))))</f>
        <v>0</v>
      </c>
      <c r="AK288" s="1835"/>
      <c r="AL288" s="1835"/>
      <c r="AM288" s="1216">
        <f>IF(Q288=0,0,IF(T288=0,0,IF(T288&gt;K288,0,IF(AND(AS288&gt;0.01,BK288=0),0,IF(AND('Proposed Lighting'!DG288=0,'Lighting Controls'!Z288=0.35),0,IF(AND(T288&lt;=K288,AA288&gt;=AD288,'Proposed Lighting'!AU288=2),VLOOKUP(Q288,$AY$9:$AZ$15,2,FALSE),IF(AND(T288&lt;=K288,AA288&gt;=AD288,'Proposed Lighting'!AU288=3),VLOOKUP(Q288,$AY$17:$AZ$23,2,FALSE))))))))</f>
        <v>0</v>
      </c>
      <c r="AN288" s="1248">
        <f>IF(T288=0,0,IF(K288&gt;'Proposed Lighting'!AA288,0,IF(AE288=0,0,IF(AND(AD288&gt;AA288,AA288&gt;0),0,IF(U288=0,0,Summary!AE591)))))</f>
        <v>0</v>
      </c>
      <c r="AO288" s="1248">
        <f t="shared" si="63"/>
        <v>0</v>
      </c>
      <c r="AP288" s="1249">
        <f>IF('Proposed Lighting'!AU288=1,0,IF(K288=0,0,IF(T288&gt;K288,0,IF(G288=0,0,IF(K288&gt;'Proposed Lighting'!AA288,0,IF(AND(AD288&gt;AA288,AA288&gt;0),0,IF(AND('Proposed Lighting'!AU288=3,AM288=0.5),0,IF(AND(AM288&gt;0,AS288&gt;0,BI288&lt;2),0,IF('Proposed Lighting'!CH288=100,0,IF(AV288=1,0,IF(AND(AM288=35,M288+N288&lt;2),0,AM288)))))))))))</f>
        <v>0</v>
      </c>
      <c r="AQ288" s="1249" t="str">
        <f>IFERROR(ROUND(IF(Q288="","",IF('Proposed Lighting'!$X$4=0,0,IF(AND(AM288=35,M288+N288&lt;2),0,IF(T288&gt;K288,0,IF('Proposed Lighting'!AU288=1,0,IF(AJ288=0,0,IF(AND('Proposed Lighting'!AU288=3,AM288=0.5),0,IF(AND(AD288=75,AP288=0,AV288=0),0,IF(AP288&gt;0.01,AP288*T288,IF(AND(F288&gt;1,W288&lt;0.01),0,IF(AND(F288&gt;1,AO288=0),0,IF(AND('Proposed Lighting'!BC288=22,AV288=0),0,IF(AND(AM288&gt;0,AS288&gt;0,BI288&lt;2),0,IF(AND(AS288&gt;0.01,BK288=0),0,IF(AND(AO288=TRUE,AV288=1,F288=3),MIN(AJ288*0.08,L288),IF(AP288&gt;0.01,AP288*T288,IF(AND(AO288=TRUE,AV288=1,F288=2),MIN(AJ288*0.1,L288)))))))))))))))))),2),"")</f>
        <v/>
      </c>
      <c r="AR288" s="1250">
        <f>IF(Q288=0,0,IF('Proposed Lighting'!$X$4=0,0,IF(AND(AM288&gt;0.01,AQ288&gt;0.01),0,IF('Proposed Lighting'!AU288=1,"Missing Interior or Exterior Selection",IF('Proposed Lighting'!CF288=1,"Selection does not match",IF(K288&gt;'Proposed Lighting'!AA288,"Quantity controlled does not match proposed lighting quantity",IF(T288&gt;K288,"Quantity of sensors exceeds proposed lighting quantity",IF(AND(F288&gt;1,'Proposed Lighting'!AU288&lt;&gt;F288),"Selection does not match",IF(AND(AD288&gt;AA288,AA288&gt;0),"Does not meet minimum connected load",IF(AND(O288&gt;0,AS288&gt;0,BK288&gt;0,'Proposed Lighting'!CH288=0),"Select Control Strategies",IF(AND(AC288&gt;0.1,AJ288=0,AQ288=0),"Does not meet incentive criteria",0)))))))))))</f>
        <v>0</v>
      </c>
      <c r="AS288" s="1224">
        <f>IF('Proposed Lighting'!CH288=100,0,IF(ISNUMBER(SEARCH("multiple",Q288)),1,0))</f>
        <v>0</v>
      </c>
      <c r="AT288" s="451">
        <f t="shared" si="60"/>
        <v>0</v>
      </c>
      <c r="AU288" s="451">
        <f t="shared" si="61"/>
        <v>0</v>
      </c>
      <c r="AV288" s="1222">
        <f>IF(ISNUMBER(SEARCH("Networked",'Proposed Lighting'!T288)),0,IF(ISNUMBER(SEARCH("Strategies",'Proposed Lighting'!T288)),0,IF(ISNUMBER(SEARCH("Removal",'Proposed Lighting'!T288)),0,IF(ISNUMBER(SEARCH("non-standard",Q288)),1,0))))</f>
        <v>0</v>
      </c>
      <c r="AW288" s="451">
        <f t="shared" si="64"/>
        <v>0</v>
      </c>
      <c r="AX288" s="451"/>
      <c r="AY288" s="451"/>
      <c r="AZ288" s="451"/>
      <c r="BA288" s="451"/>
      <c r="BB288" s="451"/>
      <c r="BC288" s="1215"/>
      <c r="BD288" s="1215"/>
      <c r="BE288" s="1215"/>
      <c r="BF288" s="1215"/>
      <c r="BG288" s="1215"/>
      <c r="BH288" s="1215"/>
      <c r="BI288">
        <f>IF(AND(AS288=1,BC288="No",BD288="Yes",BE288="Yes",BF288="No",BH288="No"),0,IF(AND('Proposed Lighting'!AU288=2,AS288=1,BC288="Yes",BD288="Yes"),2,IF(AND('Proposed Lighting'!AU288=2,AS288=1,BC288="Yes",BE288="Yes"),2,IF(AND('Proposed Lighting'!AU288=2,AS288=1,BC288="Yes",BF288="Yes"),2,IF(AND('Proposed Lighting'!AU288=2,AS288=1,BC288="Yes",BH288="Yes"),2,IF(AND('Proposed Lighting'!AU288=2,AS288=1,BD288="Yes",BF288="Yes"),2,IF(AND('Proposed Lighting'!AU288=2,AS288=1,BD288="Yes",BH288="Yes"),2,IF(AND('Proposed Lighting'!AU288=3,AS288=1,BC288="Yes",BE288="Yes"),2,IF(AND('Proposed Lighting'!AU288=3,AS288=1,BC288="Yes",BF288="Yes"),2,0)))))))))</f>
        <v>0</v>
      </c>
      <c r="BJ288" s="1025">
        <f t="shared" si="62"/>
        <v>0</v>
      </c>
      <c r="BK288">
        <f>IF(AND('Proposed Lighting'!BC288=22,'Lighting Controls'!N288=1),0,IF(ISNUMBER(SEARCH("LED",G288)),1,0))</f>
        <v>0</v>
      </c>
    </row>
    <row r="289" spans="1:63" ht="34.5" customHeight="1">
      <c r="A289" s="917">
        <v>281</v>
      </c>
      <c r="B289" s="1828" t="str">
        <f>IF('Proposed Lighting'!B289="","",'Proposed Lighting'!B289)</f>
        <v/>
      </c>
      <c r="C289" s="1828"/>
      <c r="D289" s="1828"/>
      <c r="E289" s="1245">
        <f>'Proposed Lighting'!AA289</f>
        <v>0</v>
      </c>
      <c r="F289" s="1245">
        <f t="shared" si="55"/>
        <v>0</v>
      </c>
      <c r="G289" s="1830" t="str">
        <f>IF('Proposed Lighting'!T289="","",IF(ISNUMBER(SEARCH("Networked",'Proposed Lighting'!T289)),0,IF(ISNUMBER(SEARCH("Strategies",'Proposed Lighting'!T289)),0,IF(ISNUMBER(SEARCH("Removal",'Proposed Lighting'!T289)),0,'Proposed Lighting'!T289))))</f>
        <v/>
      </c>
      <c r="H289" s="1830"/>
      <c r="I289" s="1830"/>
      <c r="J289" s="1830"/>
      <c r="K289" s="1215"/>
      <c r="L289" s="1246">
        <f t="shared" si="56"/>
        <v>0</v>
      </c>
      <c r="M289" s="1224">
        <f t="shared" si="57"/>
        <v>0</v>
      </c>
      <c r="N289" s="1224">
        <f t="shared" si="58"/>
        <v>0</v>
      </c>
      <c r="O289" s="1825" t="str">
        <f>IF(G289=0,0,IF(ISNA('Proposed Lighting'!AT289),0,'Proposed Lighting'!AT289))</f>
        <v/>
      </c>
      <c r="P289" s="1825"/>
      <c r="Q289" s="1247"/>
      <c r="R289" s="1247"/>
      <c r="S289" s="1247"/>
      <c r="T289" s="1211"/>
      <c r="U289" s="1235">
        <f>IF(K289&gt;0.01,'Proposed Lighting'!CU289,0)</f>
        <v>0</v>
      </c>
      <c r="V289" s="1248">
        <f>IF('Proposed Lighting'!CF289=1,0,IF('Proposed Lighting'!AU289=2,0,IF(AND('Proposed Lighting'!AU289=3,'Proposed Lighting'!CF289=0),1,0)))</f>
        <v>0</v>
      </c>
      <c r="W289" s="1836"/>
      <c r="X289" s="1836"/>
      <c r="Y289" s="1836"/>
      <c r="Z289" s="1230" t="str">
        <f t="shared" si="52"/>
        <v/>
      </c>
      <c r="AA289" s="1230">
        <f t="shared" si="53"/>
        <v>0</v>
      </c>
      <c r="AB289" s="1230">
        <f>IF(Q289=0,0,IF(T289=0,0,IF(AA289=0,0,IF(AND(F289=3,V289=0),0,IF(T289=0,0,IF(K289&gt;'Proposed Lighting'!AA289,0,IF('Proposed Lighting'!EJ289&gt;0.01,(K289*O289)*'Proposed Lighting'!EJ289/1000,(K289*O289)*U289/1000)))))))</f>
        <v>0</v>
      </c>
      <c r="AC289" s="1230" t="str">
        <f t="shared" si="59"/>
        <v/>
      </c>
      <c r="AD289" s="1230">
        <f t="shared" si="54"/>
        <v>0</v>
      </c>
      <c r="AE289" s="1230">
        <f>IF(T289=0,0,IF(K289&gt;'Proposed Lighting'!AA289,0,IF(T289&gt;K289,0,IF(AND(AD289&gt;AA289,AA289&gt;0),0,IF(AND(F289&gt;1,W289&lt;0.01),0,IF('Proposed Lighting'!AU289&gt;'Lighting Controls'!F289,0,IF('Proposed Lighting'!AU289&lt;'Lighting Controls'!F289,0,IF(U289=0,0,Summary!AC592))))))))</f>
        <v>0</v>
      </c>
      <c r="AF289" s="1230">
        <f>IF(T289=0,0,IF(AE289=0,0,IF(K289&gt;'Proposed Lighting'!AA289,0,IF(AND(AD289&gt;AA289,AA289&gt;0),0,IF(U289=0,0,Summary!AD592)))))</f>
        <v>0</v>
      </c>
      <c r="AG289" s="1834">
        <f>IF('Proposed Lighting'!AU289=1,0,IF('Proposed Lighting'!CF289=1,0,T289*W289))</f>
        <v>0</v>
      </c>
      <c r="AH289" s="1834"/>
      <c r="AI289" s="1834"/>
      <c r="AJ289" s="1835">
        <f>IF(T289&lt;1,0,IF(K289&gt;'Proposed Lighting'!AA289,0,IF('Proposed Lighting'!CF289=1,0,IF('Proposed Lighting'!AU289=1,0,IF(T289&gt;K289,0,IF(AND(AD289&gt;AA289,AA289&gt;0),0,IF(AND(F289=2,'Proposed Lighting'!AU289=3),0,IF(AND(F289=3,'Proposed Lighting'!AU289=2),0,IF('Proposed Lighting'!CH289=100,0,IF(AND(F289&lt;3,V289=1,AM289=0),0,IF(AND(F289&gt;1,AF289&lt;1,AN289&lt;1),0,IF(AND(F289&gt;1,AE289&lt;0.69,AF289&lt;1,AN289&lt;1),0,IF(ISERROR(AB289-AC289),"",AB289-AC289)))))))))))))</f>
        <v>0</v>
      </c>
      <c r="AK289" s="1835"/>
      <c r="AL289" s="1835"/>
      <c r="AM289" s="1216">
        <f>IF(Q289=0,0,IF(T289=0,0,IF(T289&gt;K289,0,IF(AND(AS289&gt;0.01,BK289=0),0,IF(AND('Proposed Lighting'!DG289=0,'Lighting Controls'!Z289=0.35),0,IF(AND(T289&lt;=K289,AA289&gt;=AD289,'Proposed Lighting'!AU289=2),VLOOKUP(Q289,$AY$9:$AZ$15,2,FALSE),IF(AND(T289&lt;=K289,AA289&gt;=AD289,'Proposed Lighting'!AU289=3),VLOOKUP(Q289,$AY$17:$AZ$23,2,FALSE))))))))</f>
        <v>0</v>
      </c>
      <c r="AN289" s="1248">
        <f>IF(T289=0,0,IF(K289&gt;'Proposed Lighting'!AA289,0,IF(AE289=0,0,IF(AND(AD289&gt;AA289,AA289&gt;0),0,IF(U289=0,0,Summary!AE592)))))</f>
        <v>0</v>
      </c>
      <c r="AO289" s="1248">
        <f t="shared" si="63"/>
        <v>0</v>
      </c>
      <c r="AP289" s="1249">
        <f>IF('Proposed Lighting'!AU289=1,0,IF(K289=0,0,IF(T289&gt;K289,0,IF(G289=0,0,IF(K289&gt;'Proposed Lighting'!AA289,0,IF(AND(AD289&gt;AA289,AA289&gt;0),0,IF(AND('Proposed Lighting'!AU289=3,AM289=0.5),0,IF(AND(AM289&gt;0,AS289&gt;0,BI289&lt;2),0,IF('Proposed Lighting'!CH289=100,0,IF(AV289=1,0,IF(AND(AM289=35,M289+N289&lt;2),0,AM289)))))))))))</f>
        <v>0</v>
      </c>
      <c r="AQ289" s="1249" t="str">
        <f>IFERROR(ROUND(IF(Q289="","",IF('Proposed Lighting'!$X$4=0,0,IF(AND(AM289=35,M289+N289&lt;2),0,IF(T289&gt;K289,0,IF('Proposed Lighting'!AU289=1,0,IF(AJ289=0,0,IF(AND('Proposed Lighting'!AU289=3,AM289=0.5),0,IF(AND(AD289=75,AP289=0,AV289=0),0,IF(AP289&gt;0.01,AP289*T289,IF(AND(F289&gt;1,W289&lt;0.01),0,IF(AND(F289&gt;1,AO289=0),0,IF(AND('Proposed Lighting'!BC289=22,AV289=0),0,IF(AND(AM289&gt;0,AS289&gt;0,BI289&lt;2),0,IF(AND(AS289&gt;0.01,BK289=0),0,IF(AND(AO289=TRUE,AV289=1,F289=3),MIN(AJ289*0.08,L289),IF(AP289&gt;0.01,AP289*T289,IF(AND(AO289=TRUE,AV289=1,F289=2),MIN(AJ289*0.1,L289)))))))))))))))))),2),"")</f>
        <v/>
      </c>
      <c r="AR289" s="1250">
        <f>IF(Q289=0,0,IF('Proposed Lighting'!$X$4=0,0,IF(AND(AM289&gt;0.01,AQ289&gt;0.01),0,IF('Proposed Lighting'!AU289=1,"Missing Interior or Exterior Selection",IF('Proposed Lighting'!CF289=1,"Selection does not match",IF(K289&gt;'Proposed Lighting'!AA289,"Quantity controlled does not match proposed lighting quantity",IF(T289&gt;K289,"Quantity of sensors exceeds proposed lighting quantity",IF(AND(F289&gt;1,'Proposed Lighting'!AU289&lt;&gt;F289),"Selection does not match",IF(AND(AD289&gt;AA289,AA289&gt;0),"Does not meet minimum connected load",IF(AND(O289&gt;0,AS289&gt;0,BK289&gt;0,'Proposed Lighting'!CH289=0),"Select Control Strategies",IF(AND(AC289&gt;0.1,AJ289=0,AQ289=0),"Does not meet incentive criteria",0)))))))))))</f>
        <v>0</v>
      </c>
      <c r="AS289" s="1224">
        <f>IF('Proposed Lighting'!CH289=100,0,IF(ISNUMBER(SEARCH("multiple",Q289)),1,0))</f>
        <v>0</v>
      </c>
      <c r="AT289" s="451">
        <f t="shared" si="60"/>
        <v>0</v>
      </c>
      <c r="AU289" s="451">
        <f t="shared" si="61"/>
        <v>0</v>
      </c>
      <c r="AV289" s="1222">
        <f>IF(ISNUMBER(SEARCH("Networked",'Proposed Lighting'!T289)),0,IF(ISNUMBER(SEARCH("Strategies",'Proposed Lighting'!T289)),0,IF(ISNUMBER(SEARCH("Removal",'Proposed Lighting'!T289)),0,IF(ISNUMBER(SEARCH("non-standard",Q289)),1,0))))</f>
        <v>0</v>
      </c>
      <c r="AW289" s="451">
        <f t="shared" si="64"/>
        <v>0</v>
      </c>
      <c r="AX289" s="451"/>
      <c r="AY289" s="451"/>
      <c r="AZ289" s="451"/>
      <c r="BA289" s="451"/>
      <c r="BB289" s="451"/>
      <c r="BC289" s="1215"/>
      <c r="BD289" s="1215"/>
      <c r="BE289" s="1215"/>
      <c r="BF289" s="1215"/>
      <c r="BG289" s="1215"/>
      <c r="BH289" s="1215"/>
      <c r="BI289">
        <f>IF(AND(AS289=1,BC289="No",BD289="Yes",BE289="Yes",BF289="No",BH289="No"),0,IF(AND('Proposed Lighting'!AU289=2,AS289=1,BC289="Yes",BD289="Yes"),2,IF(AND('Proposed Lighting'!AU289=2,AS289=1,BC289="Yes",BE289="Yes"),2,IF(AND('Proposed Lighting'!AU289=2,AS289=1,BC289="Yes",BF289="Yes"),2,IF(AND('Proposed Lighting'!AU289=2,AS289=1,BC289="Yes",BH289="Yes"),2,IF(AND('Proposed Lighting'!AU289=2,AS289=1,BD289="Yes",BF289="Yes"),2,IF(AND('Proposed Lighting'!AU289=2,AS289=1,BD289="Yes",BH289="Yes"),2,IF(AND('Proposed Lighting'!AU289=3,AS289=1,BC289="Yes",BE289="Yes"),2,IF(AND('Proposed Lighting'!AU289=3,AS289=1,BC289="Yes",BF289="Yes"),2,0)))))))))</f>
        <v>0</v>
      </c>
      <c r="BJ289" s="1025">
        <f t="shared" si="62"/>
        <v>0</v>
      </c>
      <c r="BK289">
        <f>IF(AND('Proposed Lighting'!BC289=22,'Lighting Controls'!N289=1),0,IF(ISNUMBER(SEARCH("LED",G289)),1,0))</f>
        <v>0</v>
      </c>
    </row>
    <row r="290" spans="1:63" ht="34.5" customHeight="1">
      <c r="A290" s="917">
        <v>282</v>
      </c>
      <c r="B290" s="1828" t="str">
        <f>IF('Proposed Lighting'!B290="","",'Proposed Lighting'!B290)</f>
        <v/>
      </c>
      <c r="C290" s="1828"/>
      <c r="D290" s="1828"/>
      <c r="E290" s="1245">
        <f>'Proposed Lighting'!AA290</f>
        <v>0</v>
      </c>
      <c r="F290" s="1245">
        <f t="shared" si="55"/>
        <v>0</v>
      </c>
      <c r="G290" s="1830" t="str">
        <f>IF('Proposed Lighting'!T290="","",IF(ISNUMBER(SEARCH("Networked",'Proposed Lighting'!T290)),0,IF(ISNUMBER(SEARCH("Strategies",'Proposed Lighting'!T290)),0,IF(ISNUMBER(SEARCH("Removal",'Proposed Lighting'!T290)),0,'Proposed Lighting'!T290))))</f>
        <v/>
      </c>
      <c r="H290" s="1830"/>
      <c r="I290" s="1830"/>
      <c r="J290" s="1830"/>
      <c r="K290" s="1215"/>
      <c r="L290" s="1246">
        <f t="shared" si="56"/>
        <v>0</v>
      </c>
      <c r="M290" s="1224">
        <f t="shared" si="57"/>
        <v>0</v>
      </c>
      <c r="N290" s="1224">
        <f t="shared" si="58"/>
        <v>0</v>
      </c>
      <c r="O290" s="1825" t="str">
        <f>IF(G290=0,0,IF(ISNA('Proposed Lighting'!AT290),0,'Proposed Lighting'!AT290))</f>
        <v/>
      </c>
      <c r="P290" s="1825"/>
      <c r="Q290" s="1247"/>
      <c r="R290" s="1247"/>
      <c r="S290" s="1247"/>
      <c r="T290" s="1211"/>
      <c r="U290" s="1235">
        <f>IF(K290&gt;0.01,'Proposed Lighting'!CU290,0)</f>
        <v>0</v>
      </c>
      <c r="V290" s="1248">
        <f>IF('Proposed Lighting'!CF290=1,0,IF('Proposed Lighting'!AU290=2,0,IF(AND('Proposed Lighting'!AU290=3,'Proposed Lighting'!CF290=0),1,0)))</f>
        <v>0</v>
      </c>
      <c r="W290" s="1836"/>
      <c r="X290" s="1836"/>
      <c r="Y290" s="1836"/>
      <c r="Z290" s="1230" t="str">
        <f t="shared" si="52"/>
        <v/>
      </c>
      <c r="AA290" s="1230">
        <f t="shared" si="53"/>
        <v>0</v>
      </c>
      <c r="AB290" s="1230">
        <f>IF(Q290=0,0,IF(T290=0,0,IF(AA290=0,0,IF(AND(F290=3,V290=0),0,IF(T290=0,0,IF(K290&gt;'Proposed Lighting'!AA290,0,IF('Proposed Lighting'!EJ290&gt;0.01,(K290*O290)*'Proposed Lighting'!EJ290/1000,(K290*O290)*U290/1000)))))))</f>
        <v>0</v>
      </c>
      <c r="AC290" s="1230" t="str">
        <f t="shared" si="59"/>
        <v/>
      </c>
      <c r="AD290" s="1230">
        <f t="shared" si="54"/>
        <v>0</v>
      </c>
      <c r="AE290" s="1230">
        <f>IF(T290=0,0,IF(K290&gt;'Proposed Lighting'!AA290,0,IF(T290&gt;K290,0,IF(AND(AD290&gt;AA290,AA290&gt;0),0,IF(AND(F290&gt;1,W290&lt;0.01),0,IF('Proposed Lighting'!AU290&gt;'Lighting Controls'!F290,0,IF('Proposed Lighting'!AU290&lt;'Lighting Controls'!F290,0,IF(U290=0,0,Summary!AC593))))))))</f>
        <v>0</v>
      </c>
      <c r="AF290" s="1230">
        <f>IF(T290=0,0,IF(AE290=0,0,IF(K290&gt;'Proposed Lighting'!AA290,0,IF(AND(AD290&gt;AA290,AA290&gt;0),0,IF(U290=0,0,Summary!AD593)))))</f>
        <v>0</v>
      </c>
      <c r="AG290" s="1834">
        <f>IF('Proposed Lighting'!AU290=1,0,IF('Proposed Lighting'!CF290=1,0,T290*W290))</f>
        <v>0</v>
      </c>
      <c r="AH290" s="1834"/>
      <c r="AI290" s="1834"/>
      <c r="AJ290" s="1835">
        <f>IF(T290&lt;1,0,IF(K290&gt;'Proposed Lighting'!AA290,0,IF('Proposed Lighting'!CF290=1,0,IF('Proposed Lighting'!AU290=1,0,IF(T290&gt;K290,0,IF(AND(AD290&gt;AA290,AA290&gt;0),0,IF(AND(F290=2,'Proposed Lighting'!AU290=3),0,IF(AND(F290=3,'Proposed Lighting'!AU290=2),0,IF('Proposed Lighting'!CH290=100,0,IF(AND(F290&lt;3,V290=1,AM290=0),0,IF(AND(F290&gt;1,AF290&lt;1,AN290&lt;1),0,IF(AND(F290&gt;1,AE290&lt;0.69,AF290&lt;1,AN290&lt;1),0,IF(ISERROR(AB290-AC290),"",AB290-AC290)))))))))))))</f>
        <v>0</v>
      </c>
      <c r="AK290" s="1835"/>
      <c r="AL290" s="1835"/>
      <c r="AM290" s="1216">
        <f>IF(Q290=0,0,IF(T290=0,0,IF(T290&gt;K290,0,IF(AND(AS290&gt;0.01,BK290=0),0,IF(AND('Proposed Lighting'!DG290=0,'Lighting Controls'!Z290=0.35),0,IF(AND(T290&lt;=K290,AA290&gt;=AD290,'Proposed Lighting'!AU290=2),VLOOKUP(Q290,$AY$9:$AZ$15,2,FALSE),IF(AND(T290&lt;=K290,AA290&gt;=AD290,'Proposed Lighting'!AU290=3),VLOOKUP(Q290,$AY$17:$AZ$23,2,FALSE))))))))</f>
        <v>0</v>
      </c>
      <c r="AN290" s="1248">
        <f>IF(T290=0,0,IF(K290&gt;'Proposed Lighting'!AA290,0,IF(AE290=0,0,IF(AND(AD290&gt;AA290,AA290&gt;0),0,IF(U290=0,0,Summary!AE593)))))</f>
        <v>0</v>
      </c>
      <c r="AO290" s="1248">
        <f t="shared" si="63"/>
        <v>0</v>
      </c>
      <c r="AP290" s="1249">
        <f>IF('Proposed Lighting'!AU290=1,0,IF(K290=0,0,IF(T290&gt;K290,0,IF(G290=0,0,IF(K290&gt;'Proposed Lighting'!AA290,0,IF(AND(AD290&gt;AA290,AA290&gt;0),0,IF(AND('Proposed Lighting'!AU290=3,AM290=0.5),0,IF(AND(AM290&gt;0,AS290&gt;0,BI290&lt;2),0,IF('Proposed Lighting'!CH290=100,0,IF(AV290=1,0,IF(AND(AM290=35,M290+N290&lt;2),0,AM290)))))))))))</f>
        <v>0</v>
      </c>
      <c r="AQ290" s="1249" t="str">
        <f>IFERROR(ROUND(IF(Q290="","",IF('Proposed Lighting'!$X$4=0,0,IF(AND(AM290=35,M290+N290&lt;2),0,IF(T290&gt;K290,0,IF('Proposed Lighting'!AU290=1,0,IF(AJ290=0,0,IF(AND('Proposed Lighting'!AU290=3,AM290=0.5),0,IF(AND(AD290=75,AP290=0,AV290=0),0,IF(AP290&gt;0.01,AP290*T290,IF(AND(F290&gt;1,W290&lt;0.01),0,IF(AND(F290&gt;1,AO290=0),0,IF(AND('Proposed Lighting'!BC290=22,AV290=0),0,IF(AND(AM290&gt;0,AS290&gt;0,BI290&lt;2),0,IF(AND(AS290&gt;0.01,BK290=0),0,IF(AND(AO290=TRUE,AV290=1,F290=3),MIN(AJ290*0.08,L290),IF(AP290&gt;0.01,AP290*T290,IF(AND(AO290=TRUE,AV290=1,F290=2),MIN(AJ290*0.1,L290)))))))))))))))))),2),"")</f>
        <v/>
      </c>
      <c r="AR290" s="1250">
        <f>IF(Q290=0,0,IF('Proposed Lighting'!$X$4=0,0,IF(AND(AM290&gt;0.01,AQ290&gt;0.01),0,IF('Proposed Lighting'!AU290=1,"Missing Interior or Exterior Selection",IF('Proposed Lighting'!CF290=1,"Selection does not match",IF(K290&gt;'Proposed Lighting'!AA290,"Quantity controlled does not match proposed lighting quantity",IF(T290&gt;K290,"Quantity of sensors exceeds proposed lighting quantity",IF(AND(F290&gt;1,'Proposed Lighting'!AU290&lt;&gt;F290),"Selection does not match",IF(AND(AD290&gt;AA290,AA290&gt;0),"Does not meet minimum connected load",IF(AND(O290&gt;0,AS290&gt;0,BK290&gt;0,'Proposed Lighting'!CH290=0),"Select Control Strategies",IF(AND(AC290&gt;0.1,AJ290=0,AQ290=0),"Does not meet incentive criteria",0)))))))))))</f>
        <v>0</v>
      </c>
      <c r="AS290" s="1224">
        <f>IF('Proposed Lighting'!CH290=100,0,IF(ISNUMBER(SEARCH("multiple",Q290)),1,0))</f>
        <v>0</v>
      </c>
      <c r="AT290" s="451">
        <f t="shared" si="60"/>
        <v>0</v>
      </c>
      <c r="AU290" s="451">
        <f t="shared" si="61"/>
        <v>0</v>
      </c>
      <c r="AV290" s="1222">
        <f>IF(ISNUMBER(SEARCH("Networked",'Proposed Lighting'!T290)),0,IF(ISNUMBER(SEARCH("Strategies",'Proposed Lighting'!T290)),0,IF(ISNUMBER(SEARCH("Removal",'Proposed Lighting'!T290)),0,IF(ISNUMBER(SEARCH("non-standard",Q290)),1,0))))</f>
        <v>0</v>
      </c>
      <c r="AW290" s="451">
        <f t="shared" si="64"/>
        <v>0</v>
      </c>
      <c r="AX290" s="451"/>
      <c r="AY290" s="451"/>
      <c r="AZ290" s="451"/>
      <c r="BA290" s="451"/>
      <c r="BB290" s="451"/>
      <c r="BC290" s="1215"/>
      <c r="BD290" s="1215"/>
      <c r="BE290" s="1215"/>
      <c r="BF290" s="1215"/>
      <c r="BG290" s="1215"/>
      <c r="BH290" s="1215"/>
      <c r="BI290">
        <f>IF(AND(AS290=1,BC290="No",BD290="Yes",BE290="Yes",BF290="No",BH290="No"),0,IF(AND('Proposed Lighting'!AU290=2,AS290=1,BC290="Yes",BD290="Yes"),2,IF(AND('Proposed Lighting'!AU290=2,AS290=1,BC290="Yes",BE290="Yes"),2,IF(AND('Proposed Lighting'!AU290=2,AS290=1,BC290="Yes",BF290="Yes"),2,IF(AND('Proposed Lighting'!AU290=2,AS290=1,BC290="Yes",BH290="Yes"),2,IF(AND('Proposed Lighting'!AU290=2,AS290=1,BD290="Yes",BF290="Yes"),2,IF(AND('Proposed Lighting'!AU290=2,AS290=1,BD290="Yes",BH290="Yes"),2,IF(AND('Proposed Lighting'!AU290=3,AS290=1,BC290="Yes",BE290="Yes"),2,IF(AND('Proposed Lighting'!AU290=3,AS290=1,BC290="Yes",BF290="Yes"),2,0)))))))))</f>
        <v>0</v>
      </c>
      <c r="BJ290" s="1025">
        <f t="shared" si="62"/>
        <v>0</v>
      </c>
      <c r="BK290">
        <f>IF(AND('Proposed Lighting'!BC290=22,'Lighting Controls'!N290=1),0,IF(ISNUMBER(SEARCH("LED",G290)),1,0))</f>
        <v>0</v>
      </c>
    </row>
    <row r="291" spans="1:63" ht="34.5" customHeight="1">
      <c r="A291" s="917">
        <v>283</v>
      </c>
      <c r="B291" s="1828" t="str">
        <f>IF('Proposed Lighting'!B291="","",'Proposed Lighting'!B291)</f>
        <v/>
      </c>
      <c r="C291" s="1828"/>
      <c r="D291" s="1828"/>
      <c r="E291" s="1245">
        <f>'Proposed Lighting'!AA291</f>
        <v>0</v>
      </c>
      <c r="F291" s="1245">
        <f t="shared" si="55"/>
        <v>0</v>
      </c>
      <c r="G291" s="1830" t="str">
        <f>IF('Proposed Lighting'!T291="","",IF(ISNUMBER(SEARCH("Networked",'Proposed Lighting'!T291)),0,IF(ISNUMBER(SEARCH("Strategies",'Proposed Lighting'!T291)),0,IF(ISNUMBER(SEARCH("Removal",'Proposed Lighting'!T291)),0,'Proposed Lighting'!T291))))</f>
        <v/>
      </c>
      <c r="H291" s="1830"/>
      <c r="I291" s="1830"/>
      <c r="J291" s="1830"/>
      <c r="K291" s="1215"/>
      <c r="L291" s="1246">
        <f t="shared" si="56"/>
        <v>0</v>
      </c>
      <c r="M291" s="1224">
        <f t="shared" si="57"/>
        <v>0</v>
      </c>
      <c r="N291" s="1224">
        <f t="shared" si="58"/>
        <v>0</v>
      </c>
      <c r="O291" s="1825" t="str">
        <f>IF(G291=0,0,IF(ISNA('Proposed Lighting'!AT291),0,'Proposed Lighting'!AT291))</f>
        <v/>
      </c>
      <c r="P291" s="1825"/>
      <c r="Q291" s="1247"/>
      <c r="R291" s="1247"/>
      <c r="S291" s="1247"/>
      <c r="T291" s="1211"/>
      <c r="U291" s="1235">
        <f>IF(K291&gt;0.01,'Proposed Lighting'!CU291,0)</f>
        <v>0</v>
      </c>
      <c r="V291" s="1248">
        <f>IF('Proposed Lighting'!CF291=1,0,IF('Proposed Lighting'!AU291=2,0,IF(AND('Proposed Lighting'!AU291=3,'Proposed Lighting'!CF291=0),1,0)))</f>
        <v>0</v>
      </c>
      <c r="W291" s="1836"/>
      <c r="X291" s="1836"/>
      <c r="Y291" s="1836"/>
      <c r="Z291" s="1230" t="str">
        <f t="shared" si="52"/>
        <v/>
      </c>
      <c r="AA291" s="1230">
        <f t="shared" si="53"/>
        <v>0</v>
      </c>
      <c r="AB291" s="1230">
        <f>IF(Q291=0,0,IF(T291=0,0,IF(AA291=0,0,IF(AND(F291=3,V291=0),0,IF(T291=0,0,IF(K291&gt;'Proposed Lighting'!AA291,0,IF('Proposed Lighting'!EJ291&gt;0.01,(K291*O291)*'Proposed Lighting'!EJ291/1000,(K291*O291)*U291/1000)))))))</f>
        <v>0</v>
      </c>
      <c r="AC291" s="1230" t="str">
        <f t="shared" si="59"/>
        <v/>
      </c>
      <c r="AD291" s="1230">
        <f t="shared" si="54"/>
        <v>0</v>
      </c>
      <c r="AE291" s="1230">
        <f>IF(T291=0,0,IF(K291&gt;'Proposed Lighting'!AA291,0,IF(T291&gt;K291,0,IF(AND(AD291&gt;AA291,AA291&gt;0),0,IF(AND(F291&gt;1,W291&lt;0.01),0,IF('Proposed Lighting'!AU291&gt;'Lighting Controls'!F291,0,IF('Proposed Lighting'!AU291&lt;'Lighting Controls'!F291,0,IF(U291=0,0,Summary!AC594))))))))</f>
        <v>0</v>
      </c>
      <c r="AF291" s="1230">
        <f>IF(T291=0,0,IF(AE291=0,0,IF(K291&gt;'Proposed Lighting'!AA291,0,IF(AND(AD291&gt;AA291,AA291&gt;0),0,IF(U291=0,0,Summary!AD594)))))</f>
        <v>0</v>
      </c>
      <c r="AG291" s="1834">
        <f>IF('Proposed Lighting'!AU291=1,0,IF('Proposed Lighting'!CF291=1,0,T291*W291))</f>
        <v>0</v>
      </c>
      <c r="AH291" s="1834"/>
      <c r="AI291" s="1834"/>
      <c r="AJ291" s="1835">
        <f>IF(T291&lt;1,0,IF(K291&gt;'Proposed Lighting'!AA291,0,IF('Proposed Lighting'!CF291=1,0,IF('Proposed Lighting'!AU291=1,0,IF(T291&gt;K291,0,IF(AND(AD291&gt;AA291,AA291&gt;0),0,IF(AND(F291=2,'Proposed Lighting'!AU291=3),0,IF(AND(F291=3,'Proposed Lighting'!AU291=2),0,IF('Proposed Lighting'!CH291=100,0,IF(AND(F291&lt;3,V291=1,AM291=0),0,IF(AND(F291&gt;1,AF291&lt;1,AN291&lt;1),0,IF(AND(F291&gt;1,AE291&lt;0.69,AF291&lt;1,AN291&lt;1),0,IF(ISERROR(AB291-AC291),"",AB291-AC291)))))))))))))</f>
        <v>0</v>
      </c>
      <c r="AK291" s="1835"/>
      <c r="AL291" s="1835"/>
      <c r="AM291" s="1216">
        <f>IF(Q291=0,0,IF(T291=0,0,IF(T291&gt;K291,0,IF(AND(AS291&gt;0.01,BK291=0),0,IF(AND('Proposed Lighting'!DG291=0,'Lighting Controls'!Z291=0.35),0,IF(AND(T291&lt;=K291,AA291&gt;=AD291,'Proposed Lighting'!AU291=2),VLOOKUP(Q291,$AY$9:$AZ$15,2,FALSE),IF(AND(T291&lt;=K291,AA291&gt;=AD291,'Proposed Lighting'!AU291=3),VLOOKUP(Q291,$AY$17:$AZ$23,2,FALSE))))))))</f>
        <v>0</v>
      </c>
      <c r="AN291" s="1248">
        <f>IF(T291=0,0,IF(K291&gt;'Proposed Lighting'!AA291,0,IF(AE291=0,0,IF(AND(AD291&gt;AA291,AA291&gt;0),0,IF(U291=0,0,Summary!AE594)))))</f>
        <v>0</v>
      </c>
      <c r="AO291" s="1248">
        <f t="shared" si="63"/>
        <v>0</v>
      </c>
      <c r="AP291" s="1249">
        <f>IF('Proposed Lighting'!AU291=1,0,IF(K291=0,0,IF(T291&gt;K291,0,IF(G291=0,0,IF(K291&gt;'Proposed Lighting'!AA291,0,IF(AND(AD291&gt;AA291,AA291&gt;0),0,IF(AND('Proposed Lighting'!AU291=3,AM291=0.5),0,IF(AND(AM291&gt;0,AS291&gt;0,BI291&lt;2),0,IF('Proposed Lighting'!CH291=100,0,IF(AV291=1,0,IF(AND(AM291=35,M291+N291&lt;2),0,AM291)))))))))))</f>
        <v>0</v>
      </c>
      <c r="AQ291" s="1249" t="str">
        <f>IFERROR(ROUND(IF(Q291="","",IF('Proposed Lighting'!$X$4=0,0,IF(AND(AM291=35,M291+N291&lt;2),0,IF(T291&gt;K291,0,IF('Proposed Lighting'!AU291=1,0,IF(AJ291=0,0,IF(AND('Proposed Lighting'!AU291=3,AM291=0.5),0,IF(AND(AD291=75,AP291=0,AV291=0),0,IF(AP291&gt;0.01,AP291*T291,IF(AND(F291&gt;1,W291&lt;0.01),0,IF(AND(F291&gt;1,AO291=0),0,IF(AND('Proposed Lighting'!BC291=22,AV291=0),0,IF(AND(AM291&gt;0,AS291&gt;0,BI291&lt;2),0,IF(AND(AS291&gt;0.01,BK291=0),0,IF(AND(AO291=TRUE,AV291=1,F291=3),MIN(AJ291*0.08,L291),IF(AP291&gt;0.01,AP291*T291,IF(AND(AO291=TRUE,AV291=1,F291=2),MIN(AJ291*0.1,L291)))))))))))))))))),2),"")</f>
        <v/>
      </c>
      <c r="AR291" s="1250">
        <f>IF(Q291=0,0,IF('Proposed Lighting'!$X$4=0,0,IF(AND(AM291&gt;0.01,AQ291&gt;0.01),0,IF('Proposed Lighting'!AU291=1,"Missing Interior or Exterior Selection",IF('Proposed Lighting'!CF291=1,"Selection does not match",IF(K291&gt;'Proposed Lighting'!AA291,"Quantity controlled does not match proposed lighting quantity",IF(T291&gt;K291,"Quantity of sensors exceeds proposed lighting quantity",IF(AND(F291&gt;1,'Proposed Lighting'!AU291&lt;&gt;F291),"Selection does not match",IF(AND(AD291&gt;AA291,AA291&gt;0),"Does not meet minimum connected load",IF(AND(O291&gt;0,AS291&gt;0,BK291&gt;0,'Proposed Lighting'!CH291=0),"Select Control Strategies",IF(AND(AC291&gt;0.1,AJ291=0,AQ291=0),"Does not meet incentive criteria",0)))))))))))</f>
        <v>0</v>
      </c>
      <c r="AS291" s="1224">
        <f>IF('Proposed Lighting'!CH291=100,0,IF(ISNUMBER(SEARCH("multiple",Q291)),1,0))</f>
        <v>0</v>
      </c>
      <c r="AT291" s="451">
        <f t="shared" si="60"/>
        <v>0</v>
      </c>
      <c r="AU291" s="451">
        <f t="shared" si="61"/>
        <v>0</v>
      </c>
      <c r="AV291" s="1222">
        <f>IF(ISNUMBER(SEARCH("Networked",'Proposed Lighting'!T291)),0,IF(ISNUMBER(SEARCH("Strategies",'Proposed Lighting'!T291)),0,IF(ISNUMBER(SEARCH("Removal",'Proposed Lighting'!T291)),0,IF(ISNUMBER(SEARCH("non-standard",Q291)),1,0))))</f>
        <v>0</v>
      </c>
      <c r="AW291" s="451">
        <f t="shared" si="64"/>
        <v>0</v>
      </c>
      <c r="AX291" s="451"/>
      <c r="AY291" s="451"/>
      <c r="AZ291" s="451"/>
      <c r="BA291" s="451"/>
      <c r="BB291" s="451"/>
      <c r="BC291" s="1215"/>
      <c r="BD291" s="1215"/>
      <c r="BE291" s="1215"/>
      <c r="BF291" s="1215"/>
      <c r="BG291" s="1215"/>
      <c r="BH291" s="1215"/>
      <c r="BI291">
        <f>IF(AND(AS291=1,BC291="No",BD291="Yes",BE291="Yes",BF291="No",BH291="No"),0,IF(AND('Proposed Lighting'!AU291=2,AS291=1,BC291="Yes",BD291="Yes"),2,IF(AND('Proposed Lighting'!AU291=2,AS291=1,BC291="Yes",BE291="Yes"),2,IF(AND('Proposed Lighting'!AU291=2,AS291=1,BC291="Yes",BF291="Yes"),2,IF(AND('Proposed Lighting'!AU291=2,AS291=1,BC291="Yes",BH291="Yes"),2,IF(AND('Proposed Lighting'!AU291=2,AS291=1,BD291="Yes",BF291="Yes"),2,IF(AND('Proposed Lighting'!AU291=2,AS291=1,BD291="Yes",BH291="Yes"),2,IF(AND('Proposed Lighting'!AU291=3,AS291=1,BC291="Yes",BE291="Yes"),2,IF(AND('Proposed Lighting'!AU291=3,AS291=1,BC291="Yes",BF291="Yes"),2,0)))))))))</f>
        <v>0</v>
      </c>
      <c r="BJ291" s="1025">
        <f t="shared" si="62"/>
        <v>0</v>
      </c>
      <c r="BK291">
        <f>IF(AND('Proposed Lighting'!BC291=22,'Lighting Controls'!N291=1),0,IF(ISNUMBER(SEARCH("LED",G291)),1,0))</f>
        <v>0</v>
      </c>
    </row>
    <row r="292" spans="1:63" ht="34.5" customHeight="1">
      <c r="A292" s="917">
        <v>284</v>
      </c>
      <c r="B292" s="1828" t="str">
        <f>IF('Proposed Lighting'!B292="","",'Proposed Lighting'!B292)</f>
        <v/>
      </c>
      <c r="C292" s="1828"/>
      <c r="D292" s="1828"/>
      <c r="E292" s="1245">
        <f>'Proposed Lighting'!AA292</f>
        <v>0</v>
      </c>
      <c r="F292" s="1245">
        <f t="shared" si="55"/>
        <v>0</v>
      </c>
      <c r="G292" s="1830" t="str">
        <f>IF('Proposed Lighting'!T292="","",IF(ISNUMBER(SEARCH("Networked",'Proposed Lighting'!T292)),0,IF(ISNUMBER(SEARCH("Strategies",'Proposed Lighting'!T292)),0,IF(ISNUMBER(SEARCH("Removal",'Proposed Lighting'!T292)),0,'Proposed Lighting'!T292))))</f>
        <v/>
      </c>
      <c r="H292" s="1830"/>
      <c r="I292" s="1830"/>
      <c r="J292" s="1830"/>
      <c r="K292" s="1215"/>
      <c r="L292" s="1246">
        <f t="shared" si="56"/>
        <v>0</v>
      </c>
      <c r="M292" s="1224">
        <f t="shared" si="57"/>
        <v>0</v>
      </c>
      <c r="N292" s="1224">
        <f t="shared" si="58"/>
        <v>0</v>
      </c>
      <c r="O292" s="1825" t="str">
        <f>IF(G292=0,0,IF(ISNA('Proposed Lighting'!AT292),0,'Proposed Lighting'!AT292))</f>
        <v/>
      </c>
      <c r="P292" s="1825"/>
      <c r="Q292" s="1247"/>
      <c r="R292" s="1247"/>
      <c r="S292" s="1247"/>
      <c r="T292" s="1211"/>
      <c r="U292" s="1235">
        <f>IF(K292&gt;0.01,'Proposed Lighting'!CU292,0)</f>
        <v>0</v>
      </c>
      <c r="V292" s="1248">
        <f>IF('Proposed Lighting'!CF292=1,0,IF('Proposed Lighting'!AU292=2,0,IF(AND('Proposed Lighting'!AU292=3,'Proposed Lighting'!CF292=0),1,0)))</f>
        <v>0</v>
      </c>
      <c r="W292" s="1836"/>
      <c r="X292" s="1836"/>
      <c r="Y292" s="1836"/>
      <c r="Z292" s="1230" t="str">
        <f t="shared" si="52"/>
        <v/>
      </c>
      <c r="AA292" s="1230">
        <f t="shared" si="53"/>
        <v>0</v>
      </c>
      <c r="AB292" s="1230">
        <f>IF(Q292=0,0,IF(T292=0,0,IF(AA292=0,0,IF(AND(F292=3,V292=0),0,IF(T292=0,0,IF(K292&gt;'Proposed Lighting'!AA292,0,IF('Proposed Lighting'!EJ292&gt;0.01,(K292*O292)*'Proposed Lighting'!EJ292/1000,(K292*O292)*U292/1000)))))))</f>
        <v>0</v>
      </c>
      <c r="AC292" s="1230" t="str">
        <f t="shared" si="59"/>
        <v/>
      </c>
      <c r="AD292" s="1230">
        <f t="shared" si="54"/>
        <v>0</v>
      </c>
      <c r="AE292" s="1230">
        <f>IF(T292=0,0,IF(K292&gt;'Proposed Lighting'!AA292,0,IF(T292&gt;K292,0,IF(AND(AD292&gt;AA292,AA292&gt;0),0,IF(AND(F292&gt;1,W292&lt;0.01),0,IF('Proposed Lighting'!AU292&gt;'Lighting Controls'!F292,0,IF('Proposed Lighting'!AU292&lt;'Lighting Controls'!F292,0,IF(U292=0,0,Summary!AC595))))))))</f>
        <v>0</v>
      </c>
      <c r="AF292" s="1230">
        <f>IF(T292=0,0,IF(AE292=0,0,IF(K292&gt;'Proposed Lighting'!AA292,0,IF(AND(AD292&gt;AA292,AA292&gt;0),0,IF(U292=0,0,Summary!AD595)))))</f>
        <v>0</v>
      </c>
      <c r="AG292" s="1834">
        <f>IF('Proposed Lighting'!AU292=1,0,IF('Proposed Lighting'!CF292=1,0,T292*W292))</f>
        <v>0</v>
      </c>
      <c r="AH292" s="1834"/>
      <c r="AI292" s="1834"/>
      <c r="AJ292" s="1835">
        <f>IF(T292&lt;1,0,IF(K292&gt;'Proposed Lighting'!AA292,0,IF('Proposed Lighting'!CF292=1,0,IF('Proposed Lighting'!AU292=1,0,IF(T292&gt;K292,0,IF(AND(AD292&gt;AA292,AA292&gt;0),0,IF(AND(F292=2,'Proposed Lighting'!AU292=3),0,IF(AND(F292=3,'Proposed Lighting'!AU292=2),0,IF('Proposed Lighting'!CH292=100,0,IF(AND(F292&lt;3,V292=1,AM292=0),0,IF(AND(F292&gt;1,AF292&lt;1,AN292&lt;1),0,IF(AND(F292&gt;1,AE292&lt;0.69,AF292&lt;1,AN292&lt;1),0,IF(ISERROR(AB292-AC292),"",AB292-AC292)))))))))))))</f>
        <v>0</v>
      </c>
      <c r="AK292" s="1835"/>
      <c r="AL292" s="1835"/>
      <c r="AM292" s="1216">
        <f>IF(Q292=0,0,IF(T292=0,0,IF(T292&gt;K292,0,IF(AND(AS292&gt;0.01,BK292=0),0,IF(AND('Proposed Lighting'!DG292=0,'Lighting Controls'!Z292=0.35),0,IF(AND(T292&lt;=K292,AA292&gt;=AD292,'Proposed Lighting'!AU292=2),VLOOKUP(Q292,$AY$9:$AZ$15,2,FALSE),IF(AND(T292&lt;=K292,AA292&gt;=AD292,'Proposed Lighting'!AU292=3),VLOOKUP(Q292,$AY$17:$AZ$23,2,FALSE))))))))</f>
        <v>0</v>
      </c>
      <c r="AN292" s="1248">
        <f>IF(T292=0,0,IF(K292&gt;'Proposed Lighting'!AA292,0,IF(AE292=0,0,IF(AND(AD292&gt;AA292,AA292&gt;0),0,IF(U292=0,0,Summary!AE595)))))</f>
        <v>0</v>
      </c>
      <c r="AO292" s="1248">
        <f t="shared" si="63"/>
        <v>0</v>
      </c>
      <c r="AP292" s="1249">
        <f>IF('Proposed Lighting'!AU292=1,0,IF(K292=0,0,IF(T292&gt;K292,0,IF(G292=0,0,IF(K292&gt;'Proposed Lighting'!AA292,0,IF(AND(AD292&gt;AA292,AA292&gt;0),0,IF(AND('Proposed Lighting'!AU292=3,AM292=0.5),0,IF(AND(AM292&gt;0,AS292&gt;0,BI292&lt;2),0,IF('Proposed Lighting'!CH292=100,0,IF(AV292=1,0,IF(AND(AM292=35,M292+N292&lt;2),0,AM292)))))))))))</f>
        <v>0</v>
      </c>
      <c r="AQ292" s="1249" t="str">
        <f>IFERROR(ROUND(IF(Q292="","",IF('Proposed Lighting'!$X$4=0,0,IF(AND(AM292=35,M292+N292&lt;2),0,IF(T292&gt;K292,0,IF('Proposed Lighting'!AU292=1,0,IF(AJ292=0,0,IF(AND('Proposed Lighting'!AU292=3,AM292=0.5),0,IF(AND(AD292=75,AP292=0,AV292=0),0,IF(AP292&gt;0.01,AP292*T292,IF(AND(F292&gt;1,W292&lt;0.01),0,IF(AND(F292&gt;1,AO292=0),0,IF(AND('Proposed Lighting'!BC292=22,AV292=0),0,IF(AND(AM292&gt;0,AS292&gt;0,BI292&lt;2),0,IF(AND(AS292&gt;0.01,BK292=0),0,IF(AND(AO292=TRUE,AV292=1,F292=3),MIN(AJ292*0.08,L292),IF(AP292&gt;0.01,AP292*T292,IF(AND(AO292=TRUE,AV292=1,F292=2),MIN(AJ292*0.1,L292)))))))))))))))))),2),"")</f>
        <v/>
      </c>
      <c r="AR292" s="1250">
        <f>IF(Q292=0,0,IF('Proposed Lighting'!$X$4=0,0,IF(AND(AM292&gt;0.01,AQ292&gt;0.01),0,IF('Proposed Lighting'!AU292=1,"Missing Interior or Exterior Selection",IF('Proposed Lighting'!CF292=1,"Selection does not match",IF(K292&gt;'Proposed Lighting'!AA292,"Quantity controlled does not match proposed lighting quantity",IF(T292&gt;K292,"Quantity of sensors exceeds proposed lighting quantity",IF(AND(F292&gt;1,'Proposed Lighting'!AU292&lt;&gt;F292),"Selection does not match",IF(AND(AD292&gt;AA292,AA292&gt;0),"Does not meet minimum connected load",IF(AND(O292&gt;0,AS292&gt;0,BK292&gt;0,'Proposed Lighting'!CH292=0),"Select Control Strategies",IF(AND(AC292&gt;0.1,AJ292=0,AQ292=0),"Does not meet incentive criteria",0)))))))))))</f>
        <v>0</v>
      </c>
      <c r="AS292" s="1224">
        <f>IF('Proposed Lighting'!CH292=100,0,IF(ISNUMBER(SEARCH("multiple",Q292)),1,0))</f>
        <v>0</v>
      </c>
      <c r="AT292" s="451">
        <f t="shared" si="60"/>
        <v>0</v>
      </c>
      <c r="AU292" s="451">
        <f t="shared" si="61"/>
        <v>0</v>
      </c>
      <c r="AV292" s="1222">
        <f>IF(ISNUMBER(SEARCH("Networked",'Proposed Lighting'!T292)),0,IF(ISNUMBER(SEARCH("Strategies",'Proposed Lighting'!T292)),0,IF(ISNUMBER(SEARCH("Removal",'Proposed Lighting'!T292)),0,IF(ISNUMBER(SEARCH("non-standard",Q292)),1,0))))</f>
        <v>0</v>
      </c>
      <c r="AW292" s="451">
        <f t="shared" si="64"/>
        <v>0</v>
      </c>
      <c r="AX292" s="451"/>
      <c r="AY292" s="451"/>
      <c r="AZ292" s="451"/>
      <c r="BA292" s="451"/>
      <c r="BB292" s="451"/>
      <c r="BC292" s="1215"/>
      <c r="BD292" s="1215"/>
      <c r="BE292" s="1215"/>
      <c r="BF292" s="1215"/>
      <c r="BG292" s="1215"/>
      <c r="BH292" s="1215"/>
      <c r="BI292">
        <f>IF(AND(AS292=1,BC292="No",BD292="Yes",BE292="Yes",BF292="No",BH292="No"),0,IF(AND('Proposed Lighting'!AU292=2,AS292=1,BC292="Yes",BD292="Yes"),2,IF(AND('Proposed Lighting'!AU292=2,AS292=1,BC292="Yes",BE292="Yes"),2,IF(AND('Proposed Lighting'!AU292=2,AS292=1,BC292="Yes",BF292="Yes"),2,IF(AND('Proposed Lighting'!AU292=2,AS292=1,BC292="Yes",BH292="Yes"),2,IF(AND('Proposed Lighting'!AU292=2,AS292=1,BD292="Yes",BF292="Yes"),2,IF(AND('Proposed Lighting'!AU292=2,AS292=1,BD292="Yes",BH292="Yes"),2,IF(AND('Proposed Lighting'!AU292=3,AS292=1,BC292="Yes",BE292="Yes"),2,IF(AND('Proposed Lighting'!AU292=3,AS292=1,BC292="Yes",BF292="Yes"),2,0)))))))))</f>
        <v>0</v>
      </c>
      <c r="BJ292" s="1025">
        <f t="shared" si="62"/>
        <v>0</v>
      </c>
      <c r="BK292">
        <f>IF(AND('Proposed Lighting'!BC292=22,'Lighting Controls'!N292=1),0,IF(ISNUMBER(SEARCH("LED",G292)),1,0))</f>
        <v>0</v>
      </c>
    </row>
    <row r="293" spans="1:63" ht="34.5" customHeight="1">
      <c r="A293" s="917">
        <v>285</v>
      </c>
      <c r="B293" s="1828" t="str">
        <f>IF('Proposed Lighting'!B293="","",'Proposed Lighting'!B293)</f>
        <v/>
      </c>
      <c r="C293" s="1828"/>
      <c r="D293" s="1828"/>
      <c r="E293" s="1245">
        <f>'Proposed Lighting'!AA293</f>
        <v>0</v>
      </c>
      <c r="F293" s="1245">
        <f t="shared" si="55"/>
        <v>0</v>
      </c>
      <c r="G293" s="1830" t="str">
        <f>IF('Proposed Lighting'!T293="","",IF(ISNUMBER(SEARCH("Networked",'Proposed Lighting'!T293)),0,IF(ISNUMBER(SEARCH("Strategies",'Proposed Lighting'!T293)),0,IF(ISNUMBER(SEARCH("Removal",'Proposed Lighting'!T293)),0,'Proposed Lighting'!T293))))</f>
        <v/>
      </c>
      <c r="H293" s="1830"/>
      <c r="I293" s="1830"/>
      <c r="J293" s="1830"/>
      <c r="K293" s="1215"/>
      <c r="L293" s="1246">
        <f t="shared" si="56"/>
        <v>0</v>
      </c>
      <c r="M293" s="1224">
        <f t="shared" si="57"/>
        <v>0</v>
      </c>
      <c r="N293" s="1224">
        <f t="shared" si="58"/>
        <v>0</v>
      </c>
      <c r="O293" s="1825" t="str">
        <f>IF(G293=0,0,IF(ISNA('Proposed Lighting'!AT293),0,'Proposed Lighting'!AT293))</f>
        <v/>
      </c>
      <c r="P293" s="1825"/>
      <c r="Q293" s="1247"/>
      <c r="R293" s="1247"/>
      <c r="S293" s="1247"/>
      <c r="T293" s="1211"/>
      <c r="U293" s="1235">
        <f>IF(K293&gt;0.01,'Proposed Lighting'!CU293,0)</f>
        <v>0</v>
      </c>
      <c r="V293" s="1248">
        <f>IF('Proposed Lighting'!CF293=1,0,IF('Proposed Lighting'!AU293=2,0,IF(AND('Proposed Lighting'!AU293=3,'Proposed Lighting'!CF293=0),1,0)))</f>
        <v>0</v>
      </c>
      <c r="W293" s="1836"/>
      <c r="X293" s="1836"/>
      <c r="Y293" s="1836"/>
      <c r="Z293" s="1230" t="str">
        <f t="shared" si="52"/>
        <v/>
      </c>
      <c r="AA293" s="1230">
        <f t="shared" si="53"/>
        <v>0</v>
      </c>
      <c r="AB293" s="1230">
        <f>IF(Q293=0,0,IF(T293=0,0,IF(AA293=0,0,IF(AND(F293=3,V293=0),0,IF(T293=0,0,IF(K293&gt;'Proposed Lighting'!AA293,0,IF('Proposed Lighting'!EJ293&gt;0.01,(K293*O293)*'Proposed Lighting'!EJ293/1000,(K293*O293)*U293/1000)))))))</f>
        <v>0</v>
      </c>
      <c r="AC293" s="1230" t="str">
        <f t="shared" si="59"/>
        <v/>
      </c>
      <c r="AD293" s="1230">
        <f t="shared" si="54"/>
        <v>0</v>
      </c>
      <c r="AE293" s="1230">
        <f>IF(T293=0,0,IF(K293&gt;'Proposed Lighting'!AA293,0,IF(T293&gt;K293,0,IF(AND(AD293&gt;AA293,AA293&gt;0),0,IF(AND(F293&gt;1,W293&lt;0.01),0,IF('Proposed Lighting'!AU293&gt;'Lighting Controls'!F293,0,IF('Proposed Lighting'!AU293&lt;'Lighting Controls'!F293,0,IF(U293=0,0,Summary!AC596))))))))</f>
        <v>0</v>
      </c>
      <c r="AF293" s="1230">
        <f>IF(T293=0,0,IF(AE293=0,0,IF(K293&gt;'Proposed Lighting'!AA293,0,IF(AND(AD293&gt;AA293,AA293&gt;0),0,IF(U293=0,0,Summary!AD596)))))</f>
        <v>0</v>
      </c>
      <c r="AG293" s="1834">
        <f>IF('Proposed Lighting'!AU293=1,0,IF('Proposed Lighting'!CF293=1,0,T293*W293))</f>
        <v>0</v>
      </c>
      <c r="AH293" s="1834"/>
      <c r="AI293" s="1834"/>
      <c r="AJ293" s="1835">
        <f>IF(T293&lt;1,0,IF(K293&gt;'Proposed Lighting'!AA293,0,IF('Proposed Lighting'!CF293=1,0,IF('Proposed Lighting'!AU293=1,0,IF(T293&gt;K293,0,IF(AND(AD293&gt;AA293,AA293&gt;0),0,IF(AND(F293=2,'Proposed Lighting'!AU293=3),0,IF(AND(F293=3,'Proposed Lighting'!AU293=2),0,IF('Proposed Lighting'!CH293=100,0,IF(AND(F293&lt;3,V293=1,AM293=0),0,IF(AND(F293&gt;1,AF293&lt;1,AN293&lt;1),0,IF(AND(F293&gt;1,AE293&lt;0.69,AF293&lt;1,AN293&lt;1),0,IF(ISERROR(AB293-AC293),"",AB293-AC293)))))))))))))</f>
        <v>0</v>
      </c>
      <c r="AK293" s="1835"/>
      <c r="AL293" s="1835"/>
      <c r="AM293" s="1216">
        <f>IF(Q293=0,0,IF(T293=0,0,IF(T293&gt;K293,0,IF(AND(AS293&gt;0.01,BK293=0),0,IF(AND('Proposed Lighting'!DG293=0,'Lighting Controls'!Z293=0.35),0,IF(AND(T293&lt;=K293,AA293&gt;=AD293,'Proposed Lighting'!AU293=2),VLOOKUP(Q293,$AY$9:$AZ$15,2,FALSE),IF(AND(T293&lt;=K293,AA293&gt;=AD293,'Proposed Lighting'!AU293=3),VLOOKUP(Q293,$AY$17:$AZ$23,2,FALSE))))))))</f>
        <v>0</v>
      </c>
      <c r="AN293" s="1248">
        <f>IF(T293=0,0,IF(K293&gt;'Proposed Lighting'!AA293,0,IF(AE293=0,0,IF(AND(AD293&gt;AA293,AA293&gt;0),0,IF(U293=0,0,Summary!AE596)))))</f>
        <v>0</v>
      </c>
      <c r="AO293" s="1248">
        <f t="shared" si="63"/>
        <v>0</v>
      </c>
      <c r="AP293" s="1249">
        <f>IF('Proposed Lighting'!AU293=1,0,IF(K293=0,0,IF(T293&gt;K293,0,IF(G293=0,0,IF(K293&gt;'Proposed Lighting'!AA293,0,IF(AND(AD293&gt;AA293,AA293&gt;0),0,IF(AND('Proposed Lighting'!AU293=3,AM293=0.5),0,IF(AND(AM293&gt;0,AS293&gt;0,BI293&lt;2),0,IF('Proposed Lighting'!CH293=100,0,IF(AV293=1,0,IF(AND(AM293=35,M293+N293&lt;2),0,AM293)))))))))))</f>
        <v>0</v>
      </c>
      <c r="AQ293" s="1249" t="str">
        <f>IFERROR(ROUND(IF(Q293="","",IF('Proposed Lighting'!$X$4=0,0,IF(AND(AM293=35,M293+N293&lt;2),0,IF(T293&gt;K293,0,IF('Proposed Lighting'!AU293=1,0,IF(AJ293=0,0,IF(AND('Proposed Lighting'!AU293=3,AM293=0.5),0,IF(AND(AD293=75,AP293=0,AV293=0),0,IF(AP293&gt;0.01,AP293*T293,IF(AND(F293&gt;1,W293&lt;0.01),0,IF(AND(F293&gt;1,AO293=0),0,IF(AND('Proposed Lighting'!BC293=22,AV293=0),0,IF(AND(AM293&gt;0,AS293&gt;0,BI293&lt;2),0,IF(AND(AS293&gt;0.01,BK293=0),0,IF(AND(AO293=TRUE,AV293=1,F293=3),MIN(AJ293*0.08,L293),IF(AP293&gt;0.01,AP293*T293,IF(AND(AO293=TRUE,AV293=1,F293=2),MIN(AJ293*0.1,L293)))))))))))))))))),2),"")</f>
        <v/>
      </c>
      <c r="AR293" s="1250">
        <f>IF(Q293=0,0,IF('Proposed Lighting'!$X$4=0,0,IF(AND(AM293&gt;0.01,AQ293&gt;0.01),0,IF('Proposed Lighting'!AU293=1,"Missing Interior or Exterior Selection",IF('Proposed Lighting'!CF293=1,"Selection does not match",IF(K293&gt;'Proposed Lighting'!AA293,"Quantity controlled does not match proposed lighting quantity",IF(T293&gt;K293,"Quantity of sensors exceeds proposed lighting quantity",IF(AND(F293&gt;1,'Proposed Lighting'!AU293&lt;&gt;F293),"Selection does not match",IF(AND(AD293&gt;AA293,AA293&gt;0),"Does not meet minimum connected load",IF(AND(O293&gt;0,AS293&gt;0,BK293&gt;0,'Proposed Lighting'!CH293=0),"Select Control Strategies",IF(AND(AC293&gt;0.1,AJ293=0,AQ293=0),"Does not meet incentive criteria",0)))))))))))</f>
        <v>0</v>
      </c>
      <c r="AS293" s="1224">
        <f>IF('Proposed Lighting'!CH293=100,0,IF(ISNUMBER(SEARCH("multiple",Q293)),1,0))</f>
        <v>0</v>
      </c>
      <c r="AT293" s="451">
        <f t="shared" si="60"/>
        <v>0</v>
      </c>
      <c r="AU293" s="451">
        <f t="shared" si="61"/>
        <v>0</v>
      </c>
      <c r="AV293" s="1222">
        <f>IF(ISNUMBER(SEARCH("Networked",'Proposed Lighting'!T293)),0,IF(ISNUMBER(SEARCH("Strategies",'Proposed Lighting'!T293)),0,IF(ISNUMBER(SEARCH("Removal",'Proposed Lighting'!T293)),0,IF(ISNUMBER(SEARCH("non-standard",Q293)),1,0))))</f>
        <v>0</v>
      </c>
      <c r="AW293" s="451">
        <f t="shared" si="64"/>
        <v>0</v>
      </c>
      <c r="AX293" s="451"/>
      <c r="AY293" s="451"/>
      <c r="AZ293" s="451"/>
      <c r="BA293" s="451"/>
      <c r="BB293" s="451"/>
      <c r="BC293" s="1215"/>
      <c r="BD293" s="1215"/>
      <c r="BE293" s="1215"/>
      <c r="BF293" s="1215"/>
      <c r="BG293" s="1215"/>
      <c r="BH293" s="1215"/>
      <c r="BI293">
        <f>IF(AND(AS293=1,BC293="No",BD293="Yes",BE293="Yes",BF293="No",BH293="No"),0,IF(AND('Proposed Lighting'!AU293=2,AS293=1,BC293="Yes",BD293="Yes"),2,IF(AND('Proposed Lighting'!AU293=2,AS293=1,BC293="Yes",BE293="Yes"),2,IF(AND('Proposed Lighting'!AU293=2,AS293=1,BC293="Yes",BF293="Yes"),2,IF(AND('Proposed Lighting'!AU293=2,AS293=1,BC293="Yes",BH293="Yes"),2,IF(AND('Proposed Lighting'!AU293=2,AS293=1,BD293="Yes",BF293="Yes"),2,IF(AND('Proposed Lighting'!AU293=2,AS293=1,BD293="Yes",BH293="Yes"),2,IF(AND('Proposed Lighting'!AU293=3,AS293=1,BC293="Yes",BE293="Yes"),2,IF(AND('Proposed Lighting'!AU293=3,AS293=1,BC293="Yes",BF293="Yes"),2,0)))))))))</f>
        <v>0</v>
      </c>
      <c r="BJ293" s="1025">
        <f t="shared" si="62"/>
        <v>0</v>
      </c>
      <c r="BK293">
        <f>IF(AND('Proposed Lighting'!BC293=22,'Lighting Controls'!N293=1),0,IF(ISNUMBER(SEARCH("LED",G293)),1,0))</f>
        <v>0</v>
      </c>
    </row>
    <row r="294" spans="1:63" ht="34.5" customHeight="1">
      <c r="A294" s="917">
        <v>286</v>
      </c>
      <c r="B294" s="1828" t="str">
        <f>IF('Proposed Lighting'!B294="","",'Proposed Lighting'!B294)</f>
        <v/>
      </c>
      <c r="C294" s="1828"/>
      <c r="D294" s="1828"/>
      <c r="E294" s="1245">
        <f>'Proposed Lighting'!AA294</f>
        <v>0</v>
      </c>
      <c r="F294" s="1245">
        <f t="shared" si="55"/>
        <v>0</v>
      </c>
      <c r="G294" s="1830" t="str">
        <f>IF('Proposed Lighting'!T294="","",IF(ISNUMBER(SEARCH("Networked",'Proposed Lighting'!T294)),0,IF(ISNUMBER(SEARCH("Strategies",'Proposed Lighting'!T294)),0,IF(ISNUMBER(SEARCH("Removal",'Proposed Lighting'!T294)),0,'Proposed Lighting'!T294))))</f>
        <v/>
      </c>
      <c r="H294" s="1830"/>
      <c r="I294" s="1830"/>
      <c r="J294" s="1830"/>
      <c r="K294" s="1215"/>
      <c r="L294" s="1246">
        <f t="shared" si="56"/>
        <v>0</v>
      </c>
      <c r="M294" s="1224">
        <f t="shared" si="57"/>
        <v>0</v>
      </c>
      <c r="N294" s="1224">
        <f t="shared" si="58"/>
        <v>0</v>
      </c>
      <c r="O294" s="1825" t="str">
        <f>IF(G294=0,0,IF(ISNA('Proposed Lighting'!AT294),0,'Proposed Lighting'!AT294))</f>
        <v/>
      </c>
      <c r="P294" s="1825"/>
      <c r="Q294" s="1247"/>
      <c r="R294" s="1247"/>
      <c r="S294" s="1247"/>
      <c r="T294" s="1211"/>
      <c r="U294" s="1235">
        <f>IF(K294&gt;0.01,'Proposed Lighting'!CU294,0)</f>
        <v>0</v>
      </c>
      <c r="V294" s="1248">
        <f>IF('Proposed Lighting'!CF294=1,0,IF('Proposed Lighting'!AU294=2,0,IF(AND('Proposed Lighting'!AU294=3,'Proposed Lighting'!CF294=0),1,0)))</f>
        <v>0</v>
      </c>
      <c r="W294" s="1836"/>
      <c r="X294" s="1836"/>
      <c r="Y294" s="1836"/>
      <c r="Z294" s="1230" t="str">
        <f t="shared" si="52"/>
        <v/>
      </c>
      <c r="AA294" s="1230">
        <f t="shared" si="53"/>
        <v>0</v>
      </c>
      <c r="AB294" s="1230">
        <f>IF(Q294=0,0,IF(T294=0,0,IF(AA294=0,0,IF(AND(F294=3,V294=0),0,IF(T294=0,0,IF(K294&gt;'Proposed Lighting'!AA294,0,IF('Proposed Lighting'!EJ294&gt;0.01,(K294*O294)*'Proposed Lighting'!EJ294/1000,(K294*O294)*U294/1000)))))))</f>
        <v>0</v>
      </c>
      <c r="AC294" s="1230" t="str">
        <f t="shared" si="59"/>
        <v/>
      </c>
      <c r="AD294" s="1230">
        <f t="shared" si="54"/>
        <v>0</v>
      </c>
      <c r="AE294" s="1230">
        <f>IF(T294=0,0,IF(K294&gt;'Proposed Lighting'!AA294,0,IF(T294&gt;K294,0,IF(AND(AD294&gt;AA294,AA294&gt;0),0,IF(AND(F294&gt;1,W294&lt;0.01),0,IF('Proposed Lighting'!AU294&gt;'Lighting Controls'!F294,0,IF('Proposed Lighting'!AU294&lt;'Lighting Controls'!F294,0,IF(U294=0,0,Summary!AC597))))))))</f>
        <v>0</v>
      </c>
      <c r="AF294" s="1230">
        <f>IF(T294=0,0,IF(AE294=0,0,IF(K294&gt;'Proposed Lighting'!AA294,0,IF(AND(AD294&gt;AA294,AA294&gt;0),0,IF(U294=0,0,Summary!AD597)))))</f>
        <v>0</v>
      </c>
      <c r="AG294" s="1834">
        <f>IF('Proposed Lighting'!AU294=1,0,IF('Proposed Lighting'!CF294=1,0,T294*W294))</f>
        <v>0</v>
      </c>
      <c r="AH294" s="1834"/>
      <c r="AI294" s="1834"/>
      <c r="AJ294" s="1835">
        <f>IF(T294&lt;1,0,IF(K294&gt;'Proposed Lighting'!AA294,0,IF('Proposed Lighting'!CF294=1,0,IF('Proposed Lighting'!AU294=1,0,IF(T294&gt;K294,0,IF(AND(AD294&gt;AA294,AA294&gt;0),0,IF(AND(F294=2,'Proposed Lighting'!AU294=3),0,IF(AND(F294=3,'Proposed Lighting'!AU294=2),0,IF('Proposed Lighting'!CH294=100,0,IF(AND(F294&lt;3,V294=1,AM294=0),0,IF(AND(F294&gt;1,AF294&lt;1,AN294&lt;1),0,IF(AND(F294&gt;1,AE294&lt;0.69,AF294&lt;1,AN294&lt;1),0,IF(ISERROR(AB294-AC294),"",AB294-AC294)))))))))))))</f>
        <v>0</v>
      </c>
      <c r="AK294" s="1835"/>
      <c r="AL294" s="1835"/>
      <c r="AM294" s="1216">
        <f>IF(Q294=0,0,IF(T294=0,0,IF(T294&gt;K294,0,IF(AND(AS294&gt;0.01,BK294=0),0,IF(AND('Proposed Lighting'!DG294=0,'Lighting Controls'!Z294=0.35),0,IF(AND(T294&lt;=K294,AA294&gt;=AD294,'Proposed Lighting'!AU294=2),VLOOKUP(Q294,$AY$9:$AZ$15,2,FALSE),IF(AND(T294&lt;=K294,AA294&gt;=AD294,'Proposed Lighting'!AU294=3),VLOOKUP(Q294,$AY$17:$AZ$23,2,FALSE))))))))</f>
        <v>0</v>
      </c>
      <c r="AN294" s="1248">
        <f>IF(T294=0,0,IF(K294&gt;'Proposed Lighting'!AA294,0,IF(AE294=0,0,IF(AND(AD294&gt;AA294,AA294&gt;0),0,IF(U294=0,0,Summary!AE597)))))</f>
        <v>0</v>
      </c>
      <c r="AO294" s="1248">
        <f t="shared" si="63"/>
        <v>0</v>
      </c>
      <c r="AP294" s="1249">
        <f>IF('Proposed Lighting'!AU294=1,0,IF(K294=0,0,IF(T294&gt;K294,0,IF(G294=0,0,IF(K294&gt;'Proposed Lighting'!AA294,0,IF(AND(AD294&gt;AA294,AA294&gt;0),0,IF(AND('Proposed Lighting'!AU294=3,AM294=0.5),0,IF(AND(AM294&gt;0,AS294&gt;0,BI294&lt;2),0,IF('Proposed Lighting'!CH294=100,0,IF(AV294=1,0,IF(AND(AM294=35,M294+N294&lt;2),0,AM294)))))))))))</f>
        <v>0</v>
      </c>
      <c r="AQ294" s="1249" t="str">
        <f>IFERROR(ROUND(IF(Q294="","",IF('Proposed Lighting'!$X$4=0,0,IF(AND(AM294=35,M294+N294&lt;2),0,IF(T294&gt;K294,0,IF('Proposed Lighting'!AU294=1,0,IF(AJ294=0,0,IF(AND('Proposed Lighting'!AU294=3,AM294=0.5),0,IF(AND(AD294=75,AP294=0,AV294=0),0,IF(AP294&gt;0.01,AP294*T294,IF(AND(F294&gt;1,W294&lt;0.01),0,IF(AND(F294&gt;1,AO294=0),0,IF(AND('Proposed Lighting'!BC294=22,AV294=0),0,IF(AND(AM294&gt;0,AS294&gt;0,BI294&lt;2),0,IF(AND(AS294&gt;0.01,BK294=0),0,IF(AND(AO294=TRUE,AV294=1,F294=3),MIN(AJ294*0.08,L294),IF(AP294&gt;0.01,AP294*T294,IF(AND(AO294=TRUE,AV294=1,F294=2),MIN(AJ294*0.1,L294)))))))))))))))))),2),"")</f>
        <v/>
      </c>
      <c r="AR294" s="1250">
        <f>IF(Q294=0,0,IF('Proposed Lighting'!$X$4=0,0,IF(AND(AM294&gt;0.01,AQ294&gt;0.01),0,IF('Proposed Lighting'!AU294=1,"Missing Interior or Exterior Selection",IF('Proposed Lighting'!CF294=1,"Selection does not match",IF(K294&gt;'Proposed Lighting'!AA294,"Quantity controlled does not match proposed lighting quantity",IF(T294&gt;K294,"Quantity of sensors exceeds proposed lighting quantity",IF(AND(F294&gt;1,'Proposed Lighting'!AU294&lt;&gt;F294),"Selection does not match",IF(AND(AD294&gt;AA294,AA294&gt;0),"Does not meet minimum connected load",IF(AND(O294&gt;0,AS294&gt;0,BK294&gt;0,'Proposed Lighting'!CH294=0),"Select Control Strategies",IF(AND(AC294&gt;0.1,AJ294=0,AQ294=0),"Does not meet incentive criteria",0)))))))))))</f>
        <v>0</v>
      </c>
      <c r="AS294" s="1224">
        <f>IF('Proposed Lighting'!CH294=100,0,IF(ISNUMBER(SEARCH("multiple",Q294)),1,0))</f>
        <v>0</v>
      </c>
      <c r="AT294" s="451">
        <f t="shared" si="60"/>
        <v>0</v>
      </c>
      <c r="AU294" s="451">
        <f t="shared" si="61"/>
        <v>0</v>
      </c>
      <c r="AV294" s="1222">
        <f>IF(ISNUMBER(SEARCH("Networked",'Proposed Lighting'!T294)),0,IF(ISNUMBER(SEARCH("Strategies",'Proposed Lighting'!T294)),0,IF(ISNUMBER(SEARCH("Removal",'Proposed Lighting'!T294)),0,IF(ISNUMBER(SEARCH("non-standard",Q294)),1,0))))</f>
        <v>0</v>
      </c>
      <c r="AW294" s="451">
        <f t="shared" si="64"/>
        <v>0</v>
      </c>
      <c r="AX294" s="451"/>
      <c r="AY294" s="451"/>
      <c r="AZ294" s="451"/>
      <c r="BA294" s="451"/>
      <c r="BB294" s="451"/>
      <c r="BC294" s="1215"/>
      <c r="BD294" s="1215"/>
      <c r="BE294" s="1215"/>
      <c r="BF294" s="1215"/>
      <c r="BG294" s="1215"/>
      <c r="BH294" s="1215"/>
      <c r="BI294">
        <f>IF(AND(AS294=1,BC294="No",BD294="Yes",BE294="Yes",BF294="No",BH294="No"),0,IF(AND('Proposed Lighting'!AU294=2,AS294=1,BC294="Yes",BD294="Yes"),2,IF(AND('Proposed Lighting'!AU294=2,AS294=1,BC294="Yes",BE294="Yes"),2,IF(AND('Proposed Lighting'!AU294=2,AS294=1,BC294="Yes",BF294="Yes"),2,IF(AND('Proposed Lighting'!AU294=2,AS294=1,BC294="Yes",BH294="Yes"),2,IF(AND('Proposed Lighting'!AU294=2,AS294=1,BD294="Yes",BF294="Yes"),2,IF(AND('Proposed Lighting'!AU294=2,AS294=1,BD294="Yes",BH294="Yes"),2,IF(AND('Proposed Lighting'!AU294=3,AS294=1,BC294="Yes",BE294="Yes"),2,IF(AND('Proposed Lighting'!AU294=3,AS294=1,BC294="Yes",BF294="Yes"),2,0)))))))))</f>
        <v>0</v>
      </c>
      <c r="BJ294" s="1025">
        <f t="shared" si="62"/>
        <v>0</v>
      </c>
      <c r="BK294">
        <f>IF(AND('Proposed Lighting'!BC294=22,'Lighting Controls'!N294=1),0,IF(ISNUMBER(SEARCH("LED",G294)),1,0))</f>
        <v>0</v>
      </c>
    </row>
    <row r="295" spans="1:63" ht="34.5" customHeight="1">
      <c r="A295" s="917">
        <v>287</v>
      </c>
      <c r="B295" s="1828" t="str">
        <f>IF('Proposed Lighting'!B295="","",'Proposed Lighting'!B295)</f>
        <v/>
      </c>
      <c r="C295" s="1828"/>
      <c r="D295" s="1828"/>
      <c r="E295" s="1245">
        <f>'Proposed Lighting'!AA295</f>
        <v>0</v>
      </c>
      <c r="F295" s="1245">
        <f t="shared" si="55"/>
        <v>0</v>
      </c>
      <c r="G295" s="1830" t="str">
        <f>IF('Proposed Lighting'!T295="","",IF(ISNUMBER(SEARCH("Networked",'Proposed Lighting'!T295)),0,IF(ISNUMBER(SEARCH("Strategies",'Proposed Lighting'!T295)),0,IF(ISNUMBER(SEARCH("Removal",'Proposed Lighting'!T295)),0,'Proposed Lighting'!T295))))</f>
        <v/>
      </c>
      <c r="H295" s="1830"/>
      <c r="I295" s="1830"/>
      <c r="J295" s="1830"/>
      <c r="K295" s="1215"/>
      <c r="L295" s="1246">
        <f t="shared" si="56"/>
        <v>0</v>
      </c>
      <c r="M295" s="1224">
        <f t="shared" si="57"/>
        <v>0</v>
      </c>
      <c r="N295" s="1224">
        <f t="shared" si="58"/>
        <v>0</v>
      </c>
      <c r="O295" s="1825" t="str">
        <f>IF(G295=0,0,IF(ISNA('Proposed Lighting'!AT295),0,'Proposed Lighting'!AT295))</f>
        <v/>
      </c>
      <c r="P295" s="1825"/>
      <c r="Q295" s="1247"/>
      <c r="R295" s="1247"/>
      <c r="S295" s="1247"/>
      <c r="T295" s="1211"/>
      <c r="U295" s="1235">
        <f>IF(K295&gt;0.01,'Proposed Lighting'!CU295,0)</f>
        <v>0</v>
      </c>
      <c r="V295" s="1248">
        <f>IF('Proposed Lighting'!CF295=1,0,IF('Proposed Lighting'!AU295=2,0,IF(AND('Proposed Lighting'!AU295=3,'Proposed Lighting'!CF295=0),1,0)))</f>
        <v>0</v>
      </c>
      <c r="W295" s="1836"/>
      <c r="X295" s="1836"/>
      <c r="Y295" s="1836"/>
      <c r="Z295" s="1230" t="str">
        <f t="shared" si="52"/>
        <v/>
      </c>
      <c r="AA295" s="1230">
        <f t="shared" si="53"/>
        <v>0</v>
      </c>
      <c r="AB295" s="1230">
        <f>IF(Q295=0,0,IF(T295=0,0,IF(AA295=0,0,IF(AND(F295=3,V295=0),0,IF(T295=0,0,IF(K295&gt;'Proposed Lighting'!AA295,0,IF('Proposed Lighting'!EJ295&gt;0.01,(K295*O295)*'Proposed Lighting'!EJ295/1000,(K295*O295)*U295/1000)))))))</f>
        <v>0</v>
      </c>
      <c r="AC295" s="1230" t="str">
        <f t="shared" si="59"/>
        <v/>
      </c>
      <c r="AD295" s="1230">
        <f t="shared" si="54"/>
        <v>0</v>
      </c>
      <c r="AE295" s="1230">
        <f>IF(T295=0,0,IF(K295&gt;'Proposed Lighting'!AA295,0,IF(T295&gt;K295,0,IF(AND(AD295&gt;AA295,AA295&gt;0),0,IF(AND(F295&gt;1,W295&lt;0.01),0,IF('Proposed Lighting'!AU295&gt;'Lighting Controls'!F295,0,IF('Proposed Lighting'!AU295&lt;'Lighting Controls'!F295,0,IF(U295=0,0,Summary!AC598))))))))</f>
        <v>0</v>
      </c>
      <c r="AF295" s="1230">
        <f>IF(T295=0,0,IF(AE295=0,0,IF(K295&gt;'Proposed Lighting'!AA295,0,IF(AND(AD295&gt;AA295,AA295&gt;0),0,IF(U295=0,0,Summary!AD598)))))</f>
        <v>0</v>
      </c>
      <c r="AG295" s="1834">
        <f>IF('Proposed Lighting'!AU295=1,0,IF('Proposed Lighting'!CF295=1,0,T295*W295))</f>
        <v>0</v>
      </c>
      <c r="AH295" s="1834"/>
      <c r="AI295" s="1834"/>
      <c r="AJ295" s="1835">
        <f>IF(T295&lt;1,0,IF(K295&gt;'Proposed Lighting'!AA295,0,IF('Proposed Lighting'!CF295=1,0,IF('Proposed Lighting'!AU295=1,0,IF(T295&gt;K295,0,IF(AND(AD295&gt;AA295,AA295&gt;0),0,IF(AND(F295=2,'Proposed Lighting'!AU295=3),0,IF(AND(F295=3,'Proposed Lighting'!AU295=2),0,IF('Proposed Lighting'!CH295=100,0,IF(AND(F295&lt;3,V295=1,AM295=0),0,IF(AND(F295&gt;1,AF295&lt;1,AN295&lt;1),0,IF(AND(F295&gt;1,AE295&lt;0.69,AF295&lt;1,AN295&lt;1),0,IF(ISERROR(AB295-AC295),"",AB295-AC295)))))))))))))</f>
        <v>0</v>
      </c>
      <c r="AK295" s="1835"/>
      <c r="AL295" s="1835"/>
      <c r="AM295" s="1216">
        <f>IF(Q295=0,0,IF(T295=0,0,IF(T295&gt;K295,0,IF(AND(AS295&gt;0.01,BK295=0),0,IF(AND('Proposed Lighting'!DG295=0,'Lighting Controls'!Z295=0.35),0,IF(AND(T295&lt;=K295,AA295&gt;=AD295,'Proposed Lighting'!AU295=2),VLOOKUP(Q295,$AY$9:$AZ$15,2,FALSE),IF(AND(T295&lt;=K295,AA295&gt;=AD295,'Proposed Lighting'!AU295=3),VLOOKUP(Q295,$AY$17:$AZ$23,2,FALSE))))))))</f>
        <v>0</v>
      </c>
      <c r="AN295" s="1248">
        <f>IF(T295=0,0,IF(K295&gt;'Proposed Lighting'!AA295,0,IF(AE295=0,0,IF(AND(AD295&gt;AA295,AA295&gt;0),0,IF(U295=0,0,Summary!AE598)))))</f>
        <v>0</v>
      </c>
      <c r="AO295" s="1248">
        <f t="shared" si="63"/>
        <v>0</v>
      </c>
      <c r="AP295" s="1249">
        <f>IF('Proposed Lighting'!AU295=1,0,IF(K295=0,0,IF(T295&gt;K295,0,IF(G295=0,0,IF(K295&gt;'Proposed Lighting'!AA295,0,IF(AND(AD295&gt;AA295,AA295&gt;0),0,IF(AND('Proposed Lighting'!AU295=3,AM295=0.5),0,IF(AND(AM295&gt;0,AS295&gt;0,BI295&lt;2),0,IF('Proposed Lighting'!CH295=100,0,IF(AV295=1,0,IF(AND(AM295=35,M295+N295&lt;2),0,AM295)))))))))))</f>
        <v>0</v>
      </c>
      <c r="AQ295" s="1249" t="str">
        <f>IFERROR(ROUND(IF(Q295="","",IF('Proposed Lighting'!$X$4=0,0,IF(AND(AM295=35,M295+N295&lt;2),0,IF(T295&gt;K295,0,IF('Proposed Lighting'!AU295=1,0,IF(AJ295=0,0,IF(AND('Proposed Lighting'!AU295=3,AM295=0.5),0,IF(AND(AD295=75,AP295=0,AV295=0),0,IF(AP295&gt;0.01,AP295*T295,IF(AND(F295&gt;1,W295&lt;0.01),0,IF(AND(F295&gt;1,AO295=0),0,IF(AND('Proposed Lighting'!BC295=22,AV295=0),0,IF(AND(AM295&gt;0,AS295&gt;0,BI295&lt;2),0,IF(AND(AS295&gt;0.01,BK295=0),0,IF(AND(AO295=TRUE,AV295=1,F295=3),MIN(AJ295*0.08,L295),IF(AP295&gt;0.01,AP295*T295,IF(AND(AO295=TRUE,AV295=1,F295=2),MIN(AJ295*0.1,L295)))))))))))))))))),2),"")</f>
        <v/>
      </c>
      <c r="AR295" s="1250">
        <f>IF(Q295=0,0,IF('Proposed Lighting'!$X$4=0,0,IF(AND(AM295&gt;0.01,AQ295&gt;0.01),0,IF('Proposed Lighting'!AU295=1,"Missing Interior or Exterior Selection",IF('Proposed Lighting'!CF295=1,"Selection does not match",IF(K295&gt;'Proposed Lighting'!AA295,"Quantity controlled does not match proposed lighting quantity",IF(T295&gt;K295,"Quantity of sensors exceeds proposed lighting quantity",IF(AND(F295&gt;1,'Proposed Lighting'!AU295&lt;&gt;F295),"Selection does not match",IF(AND(AD295&gt;AA295,AA295&gt;0),"Does not meet minimum connected load",IF(AND(O295&gt;0,AS295&gt;0,BK295&gt;0,'Proposed Lighting'!CH295=0),"Select Control Strategies",IF(AND(AC295&gt;0.1,AJ295=0,AQ295=0),"Does not meet incentive criteria",0)))))))))))</f>
        <v>0</v>
      </c>
      <c r="AS295" s="1224">
        <f>IF('Proposed Lighting'!CH295=100,0,IF(ISNUMBER(SEARCH("multiple",Q295)),1,0))</f>
        <v>0</v>
      </c>
      <c r="AT295" s="451">
        <f t="shared" si="60"/>
        <v>0</v>
      </c>
      <c r="AU295" s="451">
        <f t="shared" si="61"/>
        <v>0</v>
      </c>
      <c r="AV295" s="1222">
        <f>IF(ISNUMBER(SEARCH("Networked",'Proposed Lighting'!T295)),0,IF(ISNUMBER(SEARCH("Strategies",'Proposed Lighting'!T295)),0,IF(ISNUMBER(SEARCH("Removal",'Proposed Lighting'!T295)),0,IF(ISNUMBER(SEARCH("non-standard",Q295)),1,0))))</f>
        <v>0</v>
      </c>
      <c r="AW295" s="451">
        <f t="shared" si="64"/>
        <v>0</v>
      </c>
      <c r="AX295" s="451"/>
      <c r="AY295" s="451"/>
      <c r="AZ295" s="451"/>
      <c r="BA295" s="451"/>
      <c r="BB295" s="451"/>
      <c r="BC295" s="1215"/>
      <c r="BD295" s="1215"/>
      <c r="BE295" s="1215"/>
      <c r="BF295" s="1215"/>
      <c r="BG295" s="1215"/>
      <c r="BH295" s="1215"/>
      <c r="BI295">
        <f>IF(AND(AS295=1,BC295="No",BD295="Yes",BE295="Yes",BF295="No",BH295="No"),0,IF(AND('Proposed Lighting'!AU295=2,AS295=1,BC295="Yes",BD295="Yes"),2,IF(AND('Proposed Lighting'!AU295=2,AS295=1,BC295="Yes",BE295="Yes"),2,IF(AND('Proposed Lighting'!AU295=2,AS295=1,BC295="Yes",BF295="Yes"),2,IF(AND('Proposed Lighting'!AU295=2,AS295=1,BC295="Yes",BH295="Yes"),2,IF(AND('Proposed Lighting'!AU295=2,AS295=1,BD295="Yes",BF295="Yes"),2,IF(AND('Proposed Lighting'!AU295=2,AS295=1,BD295="Yes",BH295="Yes"),2,IF(AND('Proposed Lighting'!AU295=3,AS295=1,BC295="Yes",BE295="Yes"),2,IF(AND('Proposed Lighting'!AU295=3,AS295=1,BC295="Yes",BF295="Yes"),2,0)))))))))</f>
        <v>0</v>
      </c>
      <c r="BJ295" s="1025">
        <f t="shared" si="62"/>
        <v>0</v>
      </c>
      <c r="BK295">
        <f>IF(AND('Proposed Lighting'!BC295=22,'Lighting Controls'!N295=1),0,IF(ISNUMBER(SEARCH("LED",G295)),1,0))</f>
        <v>0</v>
      </c>
    </row>
    <row r="296" spans="1:63" ht="34.5" customHeight="1">
      <c r="A296" s="917">
        <v>288</v>
      </c>
      <c r="B296" s="1828" t="str">
        <f>IF('Proposed Lighting'!B296="","",'Proposed Lighting'!B296)</f>
        <v/>
      </c>
      <c r="C296" s="1828"/>
      <c r="D296" s="1828"/>
      <c r="E296" s="1245">
        <f>'Proposed Lighting'!AA296</f>
        <v>0</v>
      </c>
      <c r="F296" s="1245">
        <f t="shared" si="55"/>
        <v>0</v>
      </c>
      <c r="G296" s="1830" t="str">
        <f>IF('Proposed Lighting'!T296="","",IF(ISNUMBER(SEARCH("Networked",'Proposed Lighting'!T296)),0,IF(ISNUMBER(SEARCH("Strategies",'Proposed Lighting'!T296)),0,IF(ISNUMBER(SEARCH("Removal",'Proposed Lighting'!T296)),0,'Proposed Lighting'!T296))))</f>
        <v/>
      </c>
      <c r="H296" s="1830"/>
      <c r="I296" s="1830"/>
      <c r="J296" s="1830"/>
      <c r="K296" s="1215"/>
      <c r="L296" s="1246">
        <f t="shared" si="56"/>
        <v>0</v>
      </c>
      <c r="M296" s="1224">
        <f t="shared" si="57"/>
        <v>0</v>
      </c>
      <c r="N296" s="1224">
        <f t="shared" si="58"/>
        <v>0</v>
      </c>
      <c r="O296" s="1825" t="str">
        <f>IF(G296=0,0,IF(ISNA('Proposed Lighting'!AT296),0,'Proposed Lighting'!AT296))</f>
        <v/>
      </c>
      <c r="P296" s="1825"/>
      <c r="Q296" s="1247"/>
      <c r="R296" s="1247"/>
      <c r="S296" s="1247"/>
      <c r="T296" s="1211"/>
      <c r="U296" s="1235">
        <f>IF(K296&gt;0.01,'Proposed Lighting'!CU296,0)</f>
        <v>0</v>
      </c>
      <c r="V296" s="1248">
        <f>IF('Proposed Lighting'!CF296=1,0,IF('Proposed Lighting'!AU296=2,0,IF(AND('Proposed Lighting'!AU296=3,'Proposed Lighting'!CF296=0),1,0)))</f>
        <v>0</v>
      </c>
      <c r="W296" s="1836"/>
      <c r="X296" s="1836"/>
      <c r="Y296" s="1836"/>
      <c r="Z296" s="1230" t="str">
        <f t="shared" si="52"/>
        <v/>
      </c>
      <c r="AA296" s="1230">
        <f t="shared" si="53"/>
        <v>0</v>
      </c>
      <c r="AB296" s="1230">
        <f>IF(Q296=0,0,IF(T296=0,0,IF(AA296=0,0,IF(AND(F296=3,V296=0),0,IF(T296=0,0,IF(K296&gt;'Proposed Lighting'!AA296,0,IF('Proposed Lighting'!EJ296&gt;0.01,(K296*O296)*'Proposed Lighting'!EJ296/1000,(K296*O296)*U296/1000)))))))</f>
        <v>0</v>
      </c>
      <c r="AC296" s="1230" t="str">
        <f t="shared" si="59"/>
        <v/>
      </c>
      <c r="AD296" s="1230">
        <f t="shared" si="54"/>
        <v>0</v>
      </c>
      <c r="AE296" s="1230">
        <f>IF(T296=0,0,IF(K296&gt;'Proposed Lighting'!AA296,0,IF(T296&gt;K296,0,IF(AND(AD296&gt;AA296,AA296&gt;0),0,IF(AND(F296&gt;1,W296&lt;0.01),0,IF('Proposed Lighting'!AU296&gt;'Lighting Controls'!F296,0,IF('Proposed Lighting'!AU296&lt;'Lighting Controls'!F296,0,IF(U296=0,0,Summary!AC599))))))))</f>
        <v>0</v>
      </c>
      <c r="AF296" s="1230">
        <f>IF(T296=0,0,IF(AE296=0,0,IF(K296&gt;'Proposed Lighting'!AA296,0,IF(AND(AD296&gt;AA296,AA296&gt;0),0,IF(U296=0,0,Summary!AD599)))))</f>
        <v>0</v>
      </c>
      <c r="AG296" s="1834">
        <f>IF('Proposed Lighting'!AU296=1,0,IF('Proposed Lighting'!CF296=1,0,T296*W296))</f>
        <v>0</v>
      </c>
      <c r="AH296" s="1834"/>
      <c r="AI296" s="1834"/>
      <c r="AJ296" s="1835">
        <f>IF(T296&lt;1,0,IF(K296&gt;'Proposed Lighting'!AA296,0,IF('Proposed Lighting'!CF296=1,0,IF('Proposed Lighting'!AU296=1,0,IF(T296&gt;K296,0,IF(AND(AD296&gt;AA296,AA296&gt;0),0,IF(AND(F296=2,'Proposed Lighting'!AU296=3),0,IF(AND(F296=3,'Proposed Lighting'!AU296=2),0,IF('Proposed Lighting'!CH296=100,0,IF(AND(F296&lt;3,V296=1,AM296=0),0,IF(AND(F296&gt;1,AF296&lt;1,AN296&lt;1),0,IF(AND(F296&gt;1,AE296&lt;0.69,AF296&lt;1,AN296&lt;1),0,IF(ISERROR(AB296-AC296),"",AB296-AC296)))))))))))))</f>
        <v>0</v>
      </c>
      <c r="AK296" s="1835"/>
      <c r="AL296" s="1835"/>
      <c r="AM296" s="1216">
        <f>IF(Q296=0,0,IF(T296=0,0,IF(T296&gt;K296,0,IF(AND(AS296&gt;0.01,BK296=0),0,IF(AND('Proposed Lighting'!DG296=0,'Lighting Controls'!Z296=0.35),0,IF(AND(T296&lt;=K296,AA296&gt;=AD296,'Proposed Lighting'!AU296=2),VLOOKUP(Q296,$AY$9:$AZ$15,2,FALSE),IF(AND(T296&lt;=K296,AA296&gt;=AD296,'Proposed Lighting'!AU296=3),VLOOKUP(Q296,$AY$17:$AZ$23,2,FALSE))))))))</f>
        <v>0</v>
      </c>
      <c r="AN296" s="1248">
        <f>IF(T296=0,0,IF(K296&gt;'Proposed Lighting'!AA296,0,IF(AE296=0,0,IF(AND(AD296&gt;AA296,AA296&gt;0),0,IF(U296=0,0,Summary!AE599)))))</f>
        <v>0</v>
      </c>
      <c r="AO296" s="1248">
        <f t="shared" si="63"/>
        <v>0</v>
      </c>
      <c r="AP296" s="1249">
        <f>IF('Proposed Lighting'!AU296=1,0,IF(K296=0,0,IF(T296&gt;K296,0,IF(G296=0,0,IF(K296&gt;'Proposed Lighting'!AA296,0,IF(AND(AD296&gt;AA296,AA296&gt;0),0,IF(AND('Proposed Lighting'!AU296=3,AM296=0.5),0,IF(AND(AM296&gt;0,AS296&gt;0,BI296&lt;2),0,IF('Proposed Lighting'!CH296=100,0,IF(AV296=1,0,IF(AND(AM296=35,M296+N296&lt;2),0,AM296)))))))))))</f>
        <v>0</v>
      </c>
      <c r="AQ296" s="1249" t="str">
        <f>IFERROR(ROUND(IF(Q296="","",IF('Proposed Lighting'!$X$4=0,0,IF(AND(AM296=35,M296+N296&lt;2),0,IF(T296&gt;K296,0,IF('Proposed Lighting'!AU296=1,0,IF(AJ296=0,0,IF(AND('Proposed Lighting'!AU296=3,AM296=0.5),0,IF(AND(AD296=75,AP296=0,AV296=0),0,IF(AP296&gt;0.01,AP296*T296,IF(AND(F296&gt;1,W296&lt;0.01),0,IF(AND(F296&gt;1,AO296=0),0,IF(AND('Proposed Lighting'!BC296=22,AV296=0),0,IF(AND(AM296&gt;0,AS296&gt;0,BI296&lt;2),0,IF(AND(AS296&gt;0.01,BK296=0),0,IF(AND(AO296=TRUE,AV296=1,F296=3),MIN(AJ296*0.08,L296),IF(AP296&gt;0.01,AP296*T296,IF(AND(AO296=TRUE,AV296=1,F296=2),MIN(AJ296*0.1,L296)))))))))))))))))),2),"")</f>
        <v/>
      </c>
      <c r="AR296" s="1250">
        <f>IF(Q296=0,0,IF('Proposed Lighting'!$X$4=0,0,IF(AND(AM296&gt;0.01,AQ296&gt;0.01),0,IF('Proposed Lighting'!AU296=1,"Missing Interior or Exterior Selection",IF('Proposed Lighting'!CF296=1,"Selection does not match",IF(K296&gt;'Proposed Lighting'!AA296,"Quantity controlled does not match proposed lighting quantity",IF(T296&gt;K296,"Quantity of sensors exceeds proposed lighting quantity",IF(AND(F296&gt;1,'Proposed Lighting'!AU296&lt;&gt;F296),"Selection does not match",IF(AND(AD296&gt;AA296,AA296&gt;0),"Does not meet minimum connected load",IF(AND(O296&gt;0,AS296&gt;0,BK296&gt;0,'Proposed Lighting'!CH296=0),"Select Control Strategies",IF(AND(AC296&gt;0.1,AJ296=0,AQ296=0),"Does not meet incentive criteria",0)))))))))))</f>
        <v>0</v>
      </c>
      <c r="AS296" s="1224">
        <f>IF('Proposed Lighting'!CH296=100,0,IF(ISNUMBER(SEARCH("multiple",Q296)),1,0))</f>
        <v>0</v>
      </c>
      <c r="AT296" s="451">
        <f t="shared" si="60"/>
        <v>0</v>
      </c>
      <c r="AU296" s="451">
        <f t="shared" si="61"/>
        <v>0</v>
      </c>
      <c r="AV296" s="1222">
        <f>IF(ISNUMBER(SEARCH("Networked",'Proposed Lighting'!T296)),0,IF(ISNUMBER(SEARCH("Strategies",'Proposed Lighting'!T296)),0,IF(ISNUMBER(SEARCH("Removal",'Proposed Lighting'!T296)),0,IF(ISNUMBER(SEARCH("non-standard",Q296)),1,0))))</f>
        <v>0</v>
      </c>
      <c r="AW296" s="451">
        <f t="shared" si="64"/>
        <v>0</v>
      </c>
      <c r="AX296" s="451"/>
      <c r="AY296" s="451"/>
      <c r="AZ296" s="451"/>
      <c r="BA296" s="451"/>
      <c r="BB296" s="451"/>
      <c r="BC296" s="1215"/>
      <c r="BD296" s="1215"/>
      <c r="BE296" s="1215"/>
      <c r="BF296" s="1215"/>
      <c r="BG296" s="1215"/>
      <c r="BH296" s="1215"/>
      <c r="BI296">
        <f>IF(AND(AS296=1,BC296="No",BD296="Yes",BE296="Yes",BF296="No",BH296="No"),0,IF(AND('Proposed Lighting'!AU296=2,AS296=1,BC296="Yes",BD296="Yes"),2,IF(AND('Proposed Lighting'!AU296=2,AS296=1,BC296="Yes",BE296="Yes"),2,IF(AND('Proposed Lighting'!AU296=2,AS296=1,BC296="Yes",BF296="Yes"),2,IF(AND('Proposed Lighting'!AU296=2,AS296=1,BC296="Yes",BH296="Yes"),2,IF(AND('Proposed Lighting'!AU296=2,AS296=1,BD296="Yes",BF296="Yes"),2,IF(AND('Proposed Lighting'!AU296=2,AS296=1,BD296="Yes",BH296="Yes"),2,IF(AND('Proposed Lighting'!AU296=3,AS296=1,BC296="Yes",BE296="Yes"),2,IF(AND('Proposed Lighting'!AU296=3,AS296=1,BC296="Yes",BF296="Yes"),2,0)))))))))</f>
        <v>0</v>
      </c>
      <c r="BJ296" s="1025">
        <f t="shared" si="62"/>
        <v>0</v>
      </c>
      <c r="BK296">
        <f>IF(AND('Proposed Lighting'!BC296=22,'Lighting Controls'!N296=1),0,IF(ISNUMBER(SEARCH("LED",G296)),1,0))</f>
        <v>0</v>
      </c>
    </row>
    <row r="297" spans="1:63" ht="34.5" customHeight="1">
      <c r="A297" s="917">
        <v>289</v>
      </c>
      <c r="B297" s="1828" t="str">
        <f>IF('Proposed Lighting'!B297="","",'Proposed Lighting'!B297)</f>
        <v/>
      </c>
      <c r="C297" s="1828"/>
      <c r="D297" s="1828"/>
      <c r="E297" s="1245">
        <f>'Proposed Lighting'!AA297</f>
        <v>0</v>
      </c>
      <c r="F297" s="1245">
        <f t="shared" si="55"/>
        <v>0</v>
      </c>
      <c r="G297" s="1830" t="str">
        <f>IF('Proposed Lighting'!T297="","",IF(ISNUMBER(SEARCH("Networked",'Proposed Lighting'!T297)),0,IF(ISNUMBER(SEARCH("Strategies",'Proposed Lighting'!T297)),0,IF(ISNUMBER(SEARCH("Removal",'Proposed Lighting'!T297)),0,'Proposed Lighting'!T297))))</f>
        <v/>
      </c>
      <c r="H297" s="1830"/>
      <c r="I297" s="1830"/>
      <c r="J297" s="1830"/>
      <c r="K297" s="1215"/>
      <c r="L297" s="1246">
        <f t="shared" si="56"/>
        <v>0</v>
      </c>
      <c r="M297" s="1224">
        <f t="shared" si="57"/>
        <v>0</v>
      </c>
      <c r="N297" s="1224">
        <f t="shared" si="58"/>
        <v>0</v>
      </c>
      <c r="O297" s="1825" t="str">
        <f>IF(G297=0,0,IF(ISNA('Proposed Lighting'!AT297),0,'Proposed Lighting'!AT297))</f>
        <v/>
      </c>
      <c r="P297" s="1825"/>
      <c r="Q297" s="1247"/>
      <c r="R297" s="1247"/>
      <c r="S297" s="1247"/>
      <c r="T297" s="1211"/>
      <c r="U297" s="1235">
        <f>IF(K297&gt;0.01,'Proposed Lighting'!CU297,0)</f>
        <v>0</v>
      </c>
      <c r="V297" s="1248">
        <f>IF('Proposed Lighting'!CF297=1,0,IF('Proposed Lighting'!AU297=2,0,IF(AND('Proposed Lighting'!AU297=3,'Proposed Lighting'!CF297=0),1,0)))</f>
        <v>0</v>
      </c>
      <c r="W297" s="1836"/>
      <c r="X297" s="1836"/>
      <c r="Y297" s="1836"/>
      <c r="Z297" s="1230" t="str">
        <f t="shared" si="52"/>
        <v/>
      </c>
      <c r="AA297" s="1230">
        <f t="shared" si="53"/>
        <v>0</v>
      </c>
      <c r="AB297" s="1230">
        <f>IF(Q297=0,0,IF(T297=0,0,IF(AA297=0,0,IF(AND(F297=3,V297=0),0,IF(T297=0,0,IF(K297&gt;'Proposed Lighting'!AA297,0,IF('Proposed Lighting'!EJ297&gt;0.01,(K297*O297)*'Proposed Lighting'!EJ297/1000,(K297*O297)*U297/1000)))))))</f>
        <v>0</v>
      </c>
      <c r="AC297" s="1230" t="str">
        <f t="shared" si="59"/>
        <v/>
      </c>
      <c r="AD297" s="1230">
        <f t="shared" si="54"/>
        <v>0</v>
      </c>
      <c r="AE297" s="1230">
        <f>IF(T297=0,0,IF(K297&gt;'Proposed Lighting'!AA297,0,IF(T297&gt;K297,0,IF(AND(AD297&gt;AA297,AA297&gt;0),0,IF(AND(F297&gt;1,W297&lt;0.01),0,IF('Proposed Lighting'!AU297&gt;'Lighting Controls'!F297,0,IF('Proposed Lighting'!AU297&lt;'Lighting Controls'!F297,0,IF(U297=0,0,Summary!AC600))))))))</f>
        <v>0</v>
      </c>
      <c r="AF297" s="1230">
        <f>IF(T297=0,0,IF(AE297=0,0,IF(K297&gt;'Proposed Lighting'!AA297,0,IF(AND(AD297&gt;AA297,AA297&gt;0),0,IF(U297=0,0,Summary!AD600)))))</f>
        <v>0</v>
      </c>
      <c r="AG297" s="1834">
        <f>IF('Proposed Lighting'!AU297=1,0,IF('Proposed Lighting'!CF297=1,0,T297*W297))</f>
        <v>0</v>
      </c>
      <c r="AH297" s="1834"/>
      <c r="AI297" s="1834"/>
      <c r="AJ297" s="1835">
        <f>IF(T297&lt;1,0,IF(K297&gt;'Proposed Lighting'!AA297,0,IF('Proposed Lighting'!CF297=1,0,IF('Proposed Lighting'!AU297=1,0,IF(T297&gt;K297,0,IF(AND(AD297&gt;AA297,AA297&gt;0),0,IF(AND(F297=2,'Proposed Lighting'!AU297=3),0,IF(AND(F297=3,'Proposed Lighting'!AU297=2),0,IF('Proposed Lighting'!CH297=100,0,IF(AND(F297&lt;3,V297=1,AM297=0),0,IF(AND(F297&gt;1,AF297&lt;1,AN297&lt;1),0,IF(AND(F297&gt;1,AE297&lt;0.69,AF297&lt;1,AN297&lt;1),0,IF(ISERROR(AB297-AC297),"",AB297-AC297)))))))))))))</f>
        <v>0</v>
      </c>
      <c r="AK297" s="1835"/>
      <c r="AL297" s="1835"/>
      <c r="AM297" s="1216">
        <f>IF(Q297=0,0,IF(T297=0,0,IF(T297&gt;K297,0,IF(AND(AS297&gt;0.01,BK297=0),0,IF(AND('Proposed Lighting'!DG297=0,'Lighting Controls'!Z297=0.35),0,IF(AND(T297&lt;=K297,AA297&gt;=AD297,'Proposed Lighting'!AU297=2),VLOOKUP(Q297,$AY$9:$AZ$15,2,FALSE),IF(AND(T297&lt;=K297,AA297&gt;=AD297,'Proposed Lighting'!AU297=3),VLOOKUP(Q297,$AY$17:$AZ$23,2,FALSE))))))))</f>
        <v>0</v>
      </c>
      <c r="AN297" s="1248">
        <f>IF(T297=0,0,IF(K297&gt;'Proposed Lighting'!AA297,0,IF(AE297=0,0,IF(AND(AD297&gt;AA297,AA297&gt;0),0,IF(U297=0,0,Summary!AE600)))))</f>
        <v>0</v>
      </c>
      <c r="AO297" s="1248">
        <f t="shared" si="63"/>
        <v>0</v>
      </c>
      <c r="AP297" s="1249">
        <f>IF('Proposed Lighting'!AU297=1,0,IF(K297=0,0,IF(T297&gt;K297,0,IF(G297=0,0,IF(K297&gt;'Proposed Lighting'!AA297,0,IF(AND(AD297&gt;AA297,AA297&gt;0),0,IF(AND('Proposed Lighting'!AU297=3,AM297=0.5),0,IF(AND(AM297&gt;0,AS297&gt;0,BI297&lt;2),0,IF('Proposed Lighting'!CH297=100,0,IF(AV297=1,0,IF(AND(AM297=35,M297+N297&lt;2),0,AM297)))))))))))</f>
        <v>0</v>
      </c>
      <c r="AQ297" s="1249" t="str">
        <f>IFERROR(ROUND(IF(Q297="","",IF('Proposed Lighting'!$X$4=0,0,IF(AND(AM297=35,M297+N297&lt;2),0,IF(T297&gt;K297,0,IF('Proposed Lighting'!AU297=1,0,IF(AJ297=0,0,IF(AND('Proposed Lighting'!AU297=3,AM297=0.5),0,IF(AND(AD297=75,AP297=0,AV297=0),0,IF(AP297&gt;0.01,AP297*T297,IF(AND(F297&gt;1,W297&lt;0.01),0,IF(AND(F297&gt;1,AO297=0),0,IF(AND('Proposed Lighting'!BC297=22,AV297=0),0,IF(AND(AM297&gt;0,AS297&gt;0,BI297&lt;2),0,IF(AND(AS297&gt;0.01,BK297=0),0,IF(AND(AO297=TRUE,AV297=1,F297=3),MIN(AJ297*0.08,L297),IF(AP297&gt;0.01,AP297*T297,IF(AND(AO297=TRUE,AV297=1,F297=2),MIN(AJ297*0.1,L297)))))))))))))))))),2),"")</f>
        <v/>
      </c>
      <c r="AR297" s="1250">
        <f>IF(Q297=0,0,IF('Proposed Lighting'!$X$4=0,0,IF(AND(AM297&gt;0.01,AQ297&gt;0.01),0,IF('Proposed Lighting'!AU297=1,"Missing Interior or Exterior Selection",IF('Proposed Lighting'!CF297=1,"Selection does not match",IF(K297&gt;'Proposed Lighting'!AA297,"Quantity controlled does not match proposed lighting quantity",IF(T297&gt;K297,"Quantity of sensors exceeds proposed lighting quantity",IF(AND(F297&gt;1,'Proposed Lighting'!AU297&lt;&gt;F297),"Selection does not match",IF(AND(AD297&gt;AA297,AA297&gt;0),"Does not meet minimum connected load",IF(AND(O297&gt;0,AS297&gt;0,BK297&gt;0,'Proposed Lighting'!CH297=0),"Select Control Strategies",IF(AND(AC297&gt;0.1,AJ297=0,AQ297=0),"Does not meet incentive criteria",0)))))))))))</f>
        <v>0</v>
      </c>
      <c r="AS297" s="1224">
        <f>IF('Proposed Lighting'!CH297=100,0,IF(ISNUMBER(SEARCH("multiple",Q297)),1,0))</f>
        <v>0</v>
      </c>
      <c r="AT297" s="451">
        <f t="shared" si="60"/>
        <v>0</v>
      </c>
      <c r="AU297" s="451">
        <f t="shared" si="61"/>
        <v>0</v>
      </c>
      <c r="AV297" s="1222">
        <f>IF(ISNUMBER(SEARCH("Networked",'Proposed Lighting'!T297)),0,IF(ISNUMBER(SEARCH("Strategies",'Proposed Lighting'!T297)),0,IF(ISNUMBER(SEARCH("Removal",'Proposed Lighting'!T297)),0,IF(ISNUMBER(SEARCH("non-standard",Q297)),1,0))))</f>
        <v>0</v>
      </c>
      <c r="AW297" s="451">
        <f t="shared" si="64"/>
        <v>0</v>
      </c>
      <c r="AX297" s="451"/>
      <c r="AY297" s="451"/>
      <c r="AZ297" s="451"/>
      <c r="BA297" s="451"/>
      <c r="BB297" s="451"/>
      <c r="BC297" s="1215"/>
      <c r="BD297" s="1215"/>
      <c r="BE297" s="1215"/>
      <c r="BF297" s="1215"/>
      <c r="BG297" s="1215"/>
      <c r="BH297" s="1215"/>
      <c r="BI297">
        <f>IF(AND(AS297=1,BC297="No",BD297="Yes",BE297="Yes",BF297="No",BH297="No"),0,IF(AND('Proposed Lighting'!AU297=2,AS297=1,BC297="Yes",BD297="Yes"),2,IF(AND('Proposed Lighting'!AU297=2,AS297=1,BC297="Yes",BE297="Yes"),2,IF(AND('Proposed Lighting'!AU297=2,AS297=1,BC297="Yes",BF297="Yes"),2,IF(AND('Proposed Lighting'!AU297=2,AS297=1,BC297="Yes",BH297="Yes"),2,IF(AND('Proposed Lighting'!AU297=2,AS297=1,BD297="Yes",BF297="Yes"),2,IF(AND('Proposed Lighting'!AU297=2,AS297=1,BD297="Yes",BH297="Yes"),2,IF(AND('Proposed Lighting'!AU297=3,AS297=1,BC297="Yes",BE297="Yes"),2,IF(AND('Proposed Lighting'!AU297=3,AS297=1,BC297="Yes",BF297="Yes"),2,0)))))))))</f>
        <v>0</v>
      </c>
      <c r="BJ297" s="1025">
        <f t="shared" si="62"/>
        <v>0</v>
      </c>
      <c r="BK297">
        <f>IF(AND('Proposed Lighting'!BC297=22,'Lighting Controls'!N297=1),0,IF(ISNUMBER(SEARCH("LED",G297)),1,0))</f>
        <v>0</v>
      </c>
    </row>
    <row r="298" spans="1:63" ht="34.5" customHeight="1">
      <c r="A298" s="917">
        <v>290</v>
      </c>
      <c r="B298" s="1828" t="str">
        <f>IF('Proposed Lighting'!B298="","",'Proposed Lighting'!B298)</f>
        <v/>
      </c>
      <c r="C298" s="1828"/>
      <c r="D298" s="1828"/>
      <c r="E298" s="1245">
        <f>'Proposed Lighting'!AA298</f>
        <v>0</v>
      </c>
      <c r="F298" s="1245">
        <f t="shared" si="55"/>
        <v>0</v>
      </c>
      <c r="G298" s="1830" t="str">
        <f>IF('Proposed Lighting'!T298="","",IF(ISNUMBER(SEARCH("Networked",'Proposed Lighting'!T298)),0,IF(ISNUMBER(SEARCH("Strategies",'Proposed Lighting'!T298)),0,IF(ISNUMBER(SEARCH("Removal",'Proposed Lighting'!T298)),0,'Proposed Lighting'!T298))))</f>
        <v/>
      </c>
      <c r="H298" s="1830"/>
      <c r="I298" s="1830"/>
      <c r="J298" s="1830"/>
      <c r="K298" s="1215"/>
      <c r="L298" s="1246">
        <f t="shared" si="56"/>
        <v>0</v>
      </c>
      <c r="M298" s="1224">
        <f t="shared" si="57"/>
        <v>0</v>
      </c>
      <c r="N298" s="1224">
        <f t="shared" si="58"/>
        <v>0</v>
      </c>
      <c r="O298" s="1825" t="str">
        <f>IF(G298=0,0,IF(ISNA('Proposed Lighting'!AT298),0,'Proposed Lighting'!AT298))</f>
        <v/>
      </c>
      <c r="P298" s="1825"/>
      <c r="Q298" s="1247"/>
      <c r="R298" s="1247"/>
      <c r="S298" s="1247"/>
      <c r="T298" s="1211"/>
      <c r="U298" s="1235">
        <f>IF(K298&gt;0.01,'Proposed Lighting'!CU298,0)</f>
        <v>0</v>
      </c>
      <c r="V298" s="1248">
        <f>IF('Proposed Lighting'!CF298=1,0,IF('Proposed Lighting'!AU298=2,0,IF(AND('Proposed Lighting'!AU298=3,'Proposed Lighting'!CF298=0),1,0)))</f>
        <v>0</v>
      </c>
      <c r="W298" s="1836"/>
      <c r="X298" s="1836"/>
      <c r="Y298" s="1836"/>
      <c r="Z298" s="1230" t="str">
        <f t="shared" si="52"/>
        <v/>
      </c>
      <c r="AA298" s="1230">
        <f t="shared" si="53"/>
        <v>0</v>
      </c>
      <c r="AB298" s="1230">
        <f>IF(Q298=0,0,IF(T298=0,0,IF(AA298=0,0,IF(AND(F298=3,V298=0),0,IF(T298=0,0,IF(K298&gt;'Proposed Lighting'!AA298,0,IF('Proposed Lighting'!EJ298&gt;0.01,(K298*O298)*'Proposed Lighting'!EJ298/1000,(K298*O298)*U298/1000)))))))</f>
        <v>0</v>
      </c>
      <c r="AC298" s="1230" t="str">
        <f t="shared" si="59"/>
        <v/>
      </c>
      <c r="AD298" s="1230">
        <f t="shared" si="54"/>
        <v>0</v>
      </c>
      <c r="AE298" s="1230">
        <f>IF(T298=0,0,IF(K298&gt;'Proposed Lighting'!AA298,0,IF(T298&gt;K298,0,IF(AND(AD298&gt;AA298,AA298&gt;0),0,IF(AND(F298&gt;1,W298&lt;0.01),0,IF('Proposed Lighting'!AU298&gt;'Lighting Controls'!F298,0,IF('Proposed Lighting'!AU298&lt;'Lighting Controls'!F298,0,IF(U298=0,0,Summary!AC601))))))))</f>
        <v>0</v>
      </c>
      <c r="AF298" s="1230">
        <f>IF(T298=0,0,IF(AE298=0,0,IF(K298&gt;'Proposed Lighting'!AA298,0,IF(AND(AD298&gt;AA298,AA298&gt;0),0,IF(U298=0,0,Summary!AD601)))))</f>
        <v>0</v>
      </c>
      <c r="AG298" s="1834">
        <f>IF('Proposed Lighting'!AU298=1,0,IF('Proposed Lighting'!CF298=1,0,T298*W298))</f>
        <v>0</v>
      </c>
      <c r="AH298" s="1834"/>
      <c r="AI298" s="1834"/>
      <c r="AJ298" s="1835">
        <f>IF(T298&lt;1,0,IF(K298&gt;'Proposed Lighting'!AA298,0,IF('Proposed Lighting'!CF298=1,0,IF('Proposed Lighting'!AU298=1,0,IF(T298&gt;K298,0,IF(AND(AD298&gt;AA298,AA298&gt;0),0,IF(AND(F298=2,'Proposed Lighting'!AU298=3),0,IF(AND(F298=3,'Proposed Lighting'!AU298=2),0,IF('Proposed Lighting'!CH298=100,0,IF(AND(F298&lt;3,V298=1,AM298=0),0,IF(AND(F298&gt;1,AF298&lt;1,AN298&lt;1),0,IF(AND(F298&gt;1,AE298&lt;0.69,AF298&lt;1,AN298&lt;1),0,IF(ISERROR(AB298-AC298),"",AB298-AC298)))))))))))))</f>
        <v>0</v>
      </c>
      <c r="AK298" s="1835"/>
      <c r="AL298" s="1835"/>
      <c r="AM298" s="1216">
        <f>IF(Q298=0,0,IF(T298=0,0,IF(T298&gt;K298,0,IF(AND(AS298&gt;0.01,BK298=0),0,IF(AND('Proposed Lighting'!DG298=0,'Lighting Controls'!Z298=0.35),0,IF(AND(T298&lt;=K298,AA298&gt;=AD298,'Proposed Lighting'!AU298=2),VLOOKUP(Q298,$AY$9:$AZ$15,2,FALSE),IF(AND(T298&lt;=K298,AA298&gt;=AD298,'Proposed Lighting'!AU298=3),VLOOKUP(Q298,$AY$17:$AZ$23,2,FALSE))))))))</f>
        <v>0</v>
      </c>
      <c r="AN298" s="1248">
        <f>IF(T298=0,0,IF(K298&gt;'Proposed Lighting'!AA298,0,IF(AE298=0,0,IF(AND(AD298&gt;AA298,AA298&gt;0),0,IF(U298=0,0,Summary!AE601)))))</f>
        <v>0</v>
      </c>
      <c r="AO298" s="1248">
        <f t="shared" si="63"/>
        <v>0</v>
      </c>
      <c r="AP298" s="1249">
        <f>IF('Proposed Lighting'!AU298=1,0,IF(K298=0,0,IF(T298&gt;K298,0,IF(G298=0,0,IF(K298&gt;'Proposed Lighting'!AA298,0,IF(AND(AD298&gt;AA298,AA298&gt;0),0,IF(AND('Proposed Lighting'!AU298=3,AM298=0.5),0,IF(AND(AM298&gt;0,AS298&gt;0,BI298&lt;2),0,IF('Proposed Lighting'!CH298=100,0,IF(AV298=1,0,IF(AND(AM298=35,M298+N298&lt;2),0,AM298)))))))))))</f>
        <v>0</v>
      </c>
      <c r="AQ298" s="1249" t="str">
        <f>IFERROR(ROUND(IF(Q298="","",IF('Proposed Lighting'!$X$4=0,0,IF(AND(AM298=35,M298+N298&lt;2),0,IF(T298&gt;K298,0,IF('Proposed Lighting'!AU298=1,0,IF(AJ298=0,0,IF(AND('Proposed Lighting'!AU298=3,AM298=0.5),0,IF(AND(AD298=75,AP298=0,AV298=0),0,IF(AP298&gt;0.01,AP298*T298,IF(AND(F298&gt;1,W298&lt;0.01),0,IF(AND(F298&gt;1,AO298=0),0,IF(AND('Proposed Lighting'!BC298=22,AV298=0),0,IF(AND(AM298&gt;0,AS298&gt;0,BI298&lt;2),0,IF(AND(AS298&gt;0.01,BK298=0),0,IF(AND(AO298=TRUE,AV298=1,F298=3),MIN(AJ298*0.08,L298),IF(AP298&gt;0.01,AP298*T298,IF(AND(AO298=TRUE,AV298=1,F298=2),MIN(AJ298*0.1,L298)))))))))))))))))),2),"")</f>
        <v/>
      </c>
      <c r="AR298" s="1250">
        <f>IF(Q298=0,0,IF('Proposed Lighting'!$X$4=0,0,IF(AND(AM298&gt;0.01,AQ298&gt;0.01),0,IF('Proposed Lighting'!AU298=1,"Missing Interior or Exterior Selection",IF('Proposed Lighting'!CF298=1,"Selection does not match",IF(K298&gt;'Proposed Lighting'!AA298,"Quantity controlled does not match proposed lighting quantity",IF(T298&gt;K298,"Quantity of sensors exceeds proposed lighting quantity",IF(AND(F298&gt;1,'Proposed Lighting'!AU298&lt;&gt;F298),"Selection does not match",IF(AND(AD298&gt;AA298,AA298&gt;0),"Does not meet minimum connected load",IF(AND(O298&gt;0,AS298&gt;0,BK298&gt;0,'Proposed Lighting'!CH298=0),"Select Control Strategies",IF(AND(AC298&gt;0.1,AJ298=0,AQ298=0),"Does not meet incentive criteria",0)))))))))))</f>
        <v>0</v>
      </c>
      <c r="AS298" s="1224">
        <f>IF('Proposed Lighting'!CH298=100,0,IF(ISNUMBER(SEARCH("multiple",Q298)),1,0))</f>
        <v>0</v>
      </c>
      <c r="AT298" s="451">
        <f t="shared" si="60"/>
        <v>0</v>
      </c>
      <c r="AU298" s="451">
        <f t="shared" si="61"/>
        <v>0</v>
      </c>
      <c r="AV298" s="1222">
        <f>IF(ISNUMBER(SEARCH("Networked",'Proposed Lighting'!T298)),0,IF(ISNUMBER(SEARCH("Strategies",'Proposed Lighting'!T298)),0,IF(ISNUMBER(SEARCH("Removal",'Proposed Lighting'!T298)),0,IF(ISNUMBER(SEARCH("non-standard",Q298)),1,0))))</f>
        <v>0</v>
      </c>
      <c r="AW298" s="451">
        <f t="shared" si="64"/>
        <v>0</v>
      </c>
      <c r="AX298" s="451"/>
      <c r="AY298" s="451"/>
      <c r="AZ298" s="451"/>
      <c r="BA298" s="451"/>
      <c r="BB298" s="451"/>
      <c r="BC298" s="1215"/>
      <c r="BD298" s="1215"/>
      <c r="BE298" s="1215"/>
      <c r="BF298" s="1215"/>
      <c r="BG298" s="1215"/>
      <c r="BH298" s="1215"/>
      <c r="BI298">
        <f>IF(AND(AS298=1,BC298="No",BD298="Yes",BE298="Yes",BF298="No",BH298="No"),0,IF(AND('Proposed Lighting'!AU298=2,AS298=1,BC298="Yes",BD298="Yes"),2,IF(AND('Proposed Lighting'!AU298=2,AS298=1,BC298="Yes",BE298="Yes"),2,IF(AND('Proposed Lighting'!AU298=2,AS298=1,BC298="Yes",BF298="Yes"),2,IF(AND('Proposed Lighting'!AU298=2,AS298=1,BC298="Yes",BH298="Yes"),2,IF(AND('Proposed Lighting'!AU298=2,AS298=1,BD298="Yes",BF298="Yes"),2,IF(AND('Proposed Lighting'!AU298=2,AS298=1,BD298="Yes",BH298="Yes"),2,IF(AND('Proposed Lighting'!AU298=3,AS298=1,BC298="Yes",BE298="Yes"),2,IF(AND('Proposed Lighting'!AU298=3,AS298=1,BC298="Yes",BF298="Yes"),2,0)))))))))</f>
        <v>0</v>
      </c>
      <c r="BJ298" s="1025">
        <f t="shared" si="62"/>
        <v>0</v>
      </c>
      <c r="BK298">
        <f>IF(AND('Proposed Lighting'!BC298=22,'Lighting Controls'!N298=1),0,IF(ISNUMBER(SEARCH("LED",G298)),1,0))</f>
        <v>0</v>
      </c>
    </row>
    <row r="299" spans="1:63" ht="34.5" customHeight="1">
      <c r="A299" s="917">
        <v>291</v>
      </c>
      <c r="B299" s="1828" t="str">
        <f>IF('Proposed Lighting'!B299="","",'Proposed Lighting'!B299)</f>
        <v/>
      </c>
      <c r="C299" s="1828"/>
      <c r="D299" s="1828"/>
      <c r="E299" s="1245">
        <f>'Proposed Lighting'!AA299</f>
        <v>0</v>
      </c>
      <c r="F299" s="1245">
        <f t="shared" si="55"/>
        <v>0</v>
      </c>
      <c r="G299" s="1830" t="str">
        <f>IF('Proposed Lighting'!T299="","",IF(ISNUMBER(SEARCH("Networked",'Proposed Lighting'!T299)),0,IF(ISNUMBER(SEARCH("Strategies",'Proposed Lighting'!T299)),0,IF(ISNUMBER(SEARCH("Removal",'Proposed Lighting'!T299)),0,'Proposed Lighting'!T299))))</f>
        <v/>
      </c>
      <c r="H299" s="1830"/>
      <c r="I299" s="1830"/>
      <c r="J299" s="1830"/>
      <c r="K299" s="1215"/>
      <c r="L299" s="1246">
        <f t="shared" si="56"/>
        <v>0</v>
      </c>
      <c r="M299" s="1224">
        <f t="shared" si="57"/>
        <v>0</v>
      </c>
      <c r="N299" s="1224">
        <f t="shared" si="58"/>
        <v>0</v>
      </c>
      <c r="O299" s="1825" t="str">
        <f>IF(G299=0,0,IF(ISNA('Proposed Lighting'!AT299),0,'Proposed Lighting'!AT299))</f>
        <v/>
      </c>
      <c r="P299" s="1825"/>
      <c r="Q299" s="1247"/>
      <c r="R299" s="1247"/>
      <c r="S299" s="1247"/>
      <c r="T299" s="1211"/>
      <c r="U299" s="1235">
        <f>IF(K299&gt;0.01,'Proposed Lighting'!CU299,0)</f>
        <v>0</v>
      </c>
      <c r="V299" s="1248">
        <f>IF('Proposed Lighting'!CF299=1,0,IF('Proposed Lighting'!AU299=2,0,IF(AND('Proposed Lighting'!AU299=3,'Proposed Lighting'!CF299=0),1,0)))</f>
        <v>0</v>
      </c>
      <c r="W299" s="1836"/>
      <c r="X299" s="1836"/>
      <c r="Y299" s="1836"/>
      <c r="Z299" s="1230" t="str">
        <f t="shared" si="52"/>
        <v/>
      </c>
      <c r="AA299" s="1230">
        <f t="shared" si="53"/>
        <v>0</v>
      </c>
      <c r="AB299" s="1230">
        <f>IF(Q299=0,0,IF(T299=0,0,IF(AA299=0,0,IF(AND(F299=3,V299=0),0,IF(T299=0,0,IF(K299&gt;'Proposed Lighting'!AA299,0,IF('Proposed Lighting'!EJ299&gt;0.01,(K299*O299)*'Proposed Lighting'!EJ299/1000,(K299*O299)*U299/1000)))))))</f>
        <v>0</v>
      </c>
      <c r="AC299" s="1230" t="str">
        <f t="shared" si="59"/>
        <v/>
      </c>
      <c r="AD299" s="1230">
        <f t="shared" si="54"/>
        <v>0</v>
      </c>
      <c r="AE299" s="1230">
        <f>IF(T299=0,0,IF(K299&gt;'Proposed Lighting'!AA299,0,IF(T299&gt;K299,0,IF(AND(AD299&gt;AA299,AA299&gt;0),0,IF(AND(F299&gt;1,W299&lt;0.01),0,IF('Proposed Lighting'!AU299&gt;'Lighting Controls'!F299,0,IF('Proposed Lighting'!AU299&lt;'Lighting Controls'!F299,0,IF(U299=0,0,Summary!AC602))))))))</f>
        <v>0</v>
      </c>
      <c r="AF299" s="1230">
        <f>IF(T299=0,0,IF(AE299=0,0,IF(K299&gt;'Proposed Lighting'!AA299,0,IF(AND(AD299&gt;AA299,AA299&gt;0),0,IF(U299=0,0,Summary!AD602)))))</f>
        <v>0</v>
      </c>
      <c r="AG299" s="1834">
        <f>IF('Proposed Lighting'!AU299=1,0,IF('Proposed Lighting'!CF299=1,0,T299*W299))</f>
        <v>0</v>
      </c>
      <c r="AH299" s="1834"/>
      <c r="AI299" s="1834"/>
      <c r="AJ299" s="1835">
        <f>IF(T299&lt;1,0,IF(K299&gt;'Proposed Lighting'!AA299,0,IF('Proposed Lighting'!CF299=1,0,IF('Proposed Lighting'!AU299=1,0,IF(T299&gt;K299,0,IF(AND(AD299&gt;AA299,AA299&gt;0),0,IF(AND(F299=2,'Proposed Lighting'!AU299=3),0,IF(AND(F299=3,'Proposed Lighting'!AU299=2),0,IF('Proposed Lighting'!CH299=100,0,IF(AND(F299&lt;3,V299=1,AM299=0),0,IF(AND(F299&gt;1,AF299&lt;1,AN299&lt;1),0,IF(AND(F299&gt;1,AE299&lt;0.69,AF299&lt;1,AN299&lt;1),0,IF(ISERROR(AB299-AC299),"",AB299-AC299)))))))))))))</f>
        <v>0</v>
      </c>
      <c r="AK299" s="1835"/>
      <c r="AL299" s="1835"/>
      <c r="AM299" s="1216">
        <f>IF(Q299=0,0,IF(T299=0,0,IF(T299&gt;K299,0,IF(AND(AS299&gt;0.01,BK299=0),0,IF(AND('Proposed Lighting'!DG299=0,'Lighting Controls'!Z299=0.35),0,IF(AND(T299&lt;=K299,AA299&gt;=AD299,'Proposed Lighting'!AU299=2),VLOOKUP(Q299,$AY$9:$AZ$15,2,FALSE),IF(AND(T299&lt;=K299,AA299&gt;=AD299,'Proposed Lighting'!AU299=3),VLOOKUP(Q299,$AY$17:$AZ$23,2,FALSE))))))))</f>
        <v>0</v>
      </c>
      <c r="AN299" s="1248">
        <f>IF(T299=0,0,IF(K299&gt;'Proposed Lighting'!AA299,0,IF(AE299=0,0,IF(AND(AD299&gt;AA299,AA299&gt;0),0,IF(U299=0,0,Summary!AE602)))))</f>
        <v>0</v>
      </c>
      <c r="AO299" s="1248">
        <f t="shared" si="63"/>
        <v>0</v>
      </c>
      <c r="AP299" s="1249">
        <f>IF('Proposed Lighting'!AU299=1,0,IF(K299=0,0,IF(T299&gt;K299,0,IF(G299=0,0,IF(K299&gt;'Proposed Lighting'!AA299,0,IF(AND(AD299&gt;AA299,AA299&gt;0),0,IF(AND('Proposed Lighting'!AU299=3,AM299=0.5),0,IF(AND(AM299&gt;0,AS299&gt;0,BI299&lt;2),0,IF('Proposed Lighting'!CH299=100,0,IF(AV299=1,0,IF(AND(AM299=35,M299+N299&lt;2),0,AM299)))))))))))</f>
        <v>0</v>
      </c>
      <c r="AQ299" s="1249" t="str">
        <f>IFERROR(ROUND(IF(Q299="","",IF('Proposed Lighting'!$X$4=0,0,IF(AND(AM299=35,M299+N299&lt;2),0,IF(T299&gt;K299,0,IF('Proposed Lighting'!AU299=1,0,IF(AJ299=0,0,IF(AND('Proposed Lighting'!AU299=3,AM299=0.5),0,IF(AND(AD299=75,AP299=0,AV299=0),0,IF(AP299&gt;0.01,AP299*T299,IF(AND(F299&gt;1,W299&lt;0.01),0,IF(AND(F299&gt;1,AO299=0),0,IF(AND('Proposed Lighting'!BC299=22,AV299=0),0,IF(AND(AM299&gt;0,AS299&gt;0,BI299&lt;2),0,IF(AND(AS299&gt;0.01,BK299=0),0,IF(AND(AO299=TRUE,AV299=1,F299=3),MIN(AJ299*0.08,L299),IF(AP299&gt;0.01,AP299*T299,IF(AND(AO299=TRUE,AV299=1,F299=2),MIN(AJ299*0.1,L299)))))))))))))))))),2),"")</f>
        <v/>
      </c>
      <c r="AR299" s="1250">
        <f>IF(Q299=0,0,IF('Proposed Lighting'!$X$4=0,0,IF(AND(AM299&gt;0.01,AQ299&gt;0.01),0,IF('Proposed Lighting'!AU299=1,"Missing Interior or Exterior Selection",IF('Proposed Lighting'!CF299=1,"Selection does not match",IF(K299&gt;'Proposed Lighting'!AA299,"Quantity controlled does not match proposed lighting quantity",IF(T299&gt;K299,"Quantity of sensors exceeds proposed lighting quantity",IF(AND(F299&gt;1,'Proposed Lighting'!AU299&lt;&gt;F299),"Selection does not match",IF(AND(AD299&gt;AA299,AA299&gt;0),"Does not meet minimum connected load",IF(AND(O299&gt;0,AS299&gt;0,BK299&gt;0,'Proposed Lighting'!CH299=0),"Select Control Strategies",IF(AND(AC299&gt;0.1,AJ299=0,AQ299=0),"Does not meet incentive criteria",0)))))))))))</f>
        <v>0</v>
      </c>
      <c r="AS299" s="1224">
        <f>IF('Proposed Lighting'!CH299=100,0,IF(ISNUMBER(SEARCH("multiple",Q299)),1,0))</f>
        <v>0</v>
      </c>
      <c r="AT299" s="451">
        <f t="shared" si="60"/>
        <v>0</v>
      </c>
      <c r="AU299" s="451">
        <f t="shared" si="61"/>
        <v>0</v>
      </c>
      <c r="AV299" s="1222">
        <f>IF(ISNUMBER(SEARCH("Networked",'Proposed Lighting'!T299)),0,IF(ISNUMBER(SEARCH("Strategies",'Proposed Lighting'!T299)),0,IF(ISNUMBER(SEARCH("Removal",'Proposed Lighting'!T299)),0,IF(ISNUMBER(SEARCH("non-standard",Q299)),1,0))))</f>
        <v>0</v>
      </c>
      <c r="AW299" s="451">
        <f t="shared" si="64"/>
        <v>0</v>
      </c>
      <c r="AX299" s="451"/>
      <c r="AY299" s="451"/>
      <c r="AZ299" s="451"/>
      <c r="BA299" s="451"/>
      <c r="BB299" s="451"/>
      <c r="BC299" s="1215"/>
      <c r="BD299" s="1215"/>
      <c r="BE299" s="1215"/>
      <c r="BF299" s="1215"/>
      <c r="BG299" s="1215"/>
      <c r="BH299" s="1215"/>
      <c r="BI299">
        <f>IF(AND(AS299=1,BC299="No",BD299="Yes",BE299="Yes",BF299="No",BH299="No"),0,IF(AND('Proposed Lighting'!AU299=2,AS299=1,BC299="Yes",BD299="Yes"),2,IF(AND('Proposed Lighting'!AU299=2,AS299=1,BC299="Yes",BE299="Yes"),2,IF(AND('Proposed Lighting'!AU299=2,AS299=1,BC299="Yes",BF299="Yes"),2,IF(AND('Proposed Lighting'!AU299=2,AS299=1,BC299="Yes",BH299="Yes"),2,IF(AND('Proposed Lighting'!AU299=2,AS299=1,BD299="Yes",BF299="Yes"),2,IF(AND('Proposed Lighting'!AU299=2,AS299=1,BD299="Yes",BH299="Yes"),2,IF(AND('Proposed Lighting'!AU299=3,AS299=1,BC299="Yes",BE299="Yes"),2,IF(AND('Proposed Lighting'!AU299=3,AS299=1,BC299="Yes",BF299="Yes"),2,0)))))))))</f>
        <v>0</v>
      </c>
      <c r="BJ299" s="1025">
        <f t="shared" si="62"/>
        <v>0</v>
      </c>
      <c r="BK299">
        <f>IF(AND('Proposed Lighting'!BC299=22,'Lighting Controls'!N299=1),0,IF(ISNUMBER(SEARCH("LED",G299)),1,0))</f>
        <v>0</v>
      </c>
    </row>
    <row r="300" spans="1:63" ht="34.5" customHeight="1">
      <c r="A300" s="917">
        <v>292</v>
      </c>
      <c r="B300" s="1828" t="str">
        <f>IF('Proposed Lighting'!B300="","",'Proposed Lighting'!B300)</f>
        <v/>
      </c>
      <c r="C300" s="1828"/>
      <c r="D300" s="1828"/>
      <c r="E300" s="1245">
        <f>'Proposed Lighting'!AA300</f>
        <v>0</v>
      </c>
      <c r="F300" s="1245">
        <f t="shared" si="55"/>
        <v>0</v>
      </c>
      <c r="G300" s="1830" t="str">
        <f>IF('Proposed Lighting'!T300="","",IF(ISNUMBER(SEARCH("Networked",'Proposed Lighting'!T300)),0,IF(ISNUMBER(SEARCH("Strategies",'Proposed Lighting'!T300)),0,IF(ISNUMBER(SEARCH("Removal",'Proposed Lighting'!T300)),0,'Proposed Lighting'!T300))))</f>
        <v/>
      </c>
      <c r="H300" s="1830"/>
      <c r="I300" s="1830"/>
      <c r="J300" s="1830"/>
      <c r="K300" s="1215"/>
      <c r="L300" s="1246">
        <f t="shared" si="56"/>
        <v>0</v>
      </c>
      <c r="M300" s="1224">
        <f t="shared" si="57"/>
        <v>0</v>
      </c>
      <c r="N300" s="1224">
        <f t="shared" si="58"/>
        <v>0</v>
      </c>
      <c r="O300" s="1825" t="str">
        <f>IF(G300=0,0,IF(ISNA('Proposed Lighting'!AT300),0,'Proposed Lighting'!AT300))</f>
        <v/>
      </c>
      <c r="P300" s="1825"/>
      <c r="Q300" s="1247"/>
      <c r="R300" s="1247"/>
      <c r="S300" s="1247"/>
      <c r="T300" s="1211"/>
      <c r="U300" s="1235">
        <f>IF(K300&gt;0.01,'Proposed Lighting'!CU300,0)</f>
        <v>0</v>
      </c>
      <c r="V300" s="1248">
        <f>IF('Proposed Lighting'!CF300=1,0,IF('Proposed Lighting'!AU300=2,0,IF(AND('Proposed Lighting'!AU300=3,'Proposed Lighting'!CF300=0),1,0)))</f>
        <v>0</v>
      </c>
      <c r="W300" s="1836"/>
      <c r="X300" s="1836"/>
      <c r="Y300" s="1836"/>
      <c r="Z300" s="1230" t="str">
        <f t="shared" si="52"/>
        <v/>
      </c>
      <c r="AA300" s="1230">
        <f t="shared" si="53"/>
        <v>0</v>
      </c>
      <c r="AB300" s="1230">
        <f>IF(Q300=0,0,IF(T300=0,0,IF(AA300=0,0,IF(AND(F300=3,V300=0),0,IF(T300=0,0,IF(K300&gt;'Proposed Lighting'!AA300,0,IF('Proposed Lighting'!EJ300&gt;0.01,(K300*O300)*'Proposed Lighting'!EJ300/1000,(K300*O300)*U300/1000)))))))</f>
        <v>0</v>
      </c>
      <c r="AC300" s="1230" t="str">
        <f t="shared" si="59"/>
        <v/>
      </c>
      <c r="AD300" s="1230">
        <f t="shared" si="54"/>
        <v>0</v>
      </c>
      <c r="AE300" s="1230">
        <f>IF(T300=0,0,IF(K300&gt;'Proposed Lighting'!AA300,0,IF(T300&gt;K300,0,IF(AND(AD300&gt;AA300,AA300&gt;0),0,IF(AND(F300&gt;1,W300&lt;0.01),0,IF('Proposed Lighting'!AU300&gt;'Lighting Controls'!F300,0,IF('Proposed Lighting'!AU300&lt;'Lighting Controls'!F300,0,IF(U300=0,0,Summary!AC603))))))))</f>
        <v>0</v>
      </c>
      <c r="AF300" s="1230">
        <f>IF(T300=0,0,IF(AE300=0,0,IF(K300&gt;'Proposed Lighting'!AA300,0,IF(AND(AD300&gt;AA300,AA300&gt;0),0,IF(U300=0,0,Summary!AD603)))))</f>
        <v>0</v>
      </c>
      <c r="AG300" s="1834">
        <f>IF('Proposed Lighting'!AU300=1,0,IF('Proposed Lighting'!CF300=1,0,T300*W300))</f>
        <v>0</v>
      </c>
      <c r="AH300" s="1834"/>
      <c r="AI300" s="1834"/>
      <c r="AJ300" s="1835">
        <f>IF(T300&lt;1,0,IF(K300&gt;'Proposed Lighting'!AA300,0,IF('Proposed Lighting'!CF300=1,0,IF('Proposed Lighting'!AU300=1,0,IF(T300&gt;K300,0,IF(AND(AD300&gt;AA300,AA300&gt;0),0,IF(AND(F300=2,'Proposed Lighting'!AU300=3),0,IF(AND(F300=3,'Proposed Lighting'!AU300=2),0,IF('Proposed Lighting'!CH300=100,0,IF(AND(F300&lt;3,V300=1,AM300=0),0,IF(AND(F300&gt;1,AF300&lt;1,AN300&lt;1),0,IF(AND(F300&gt;1,AE300&lt;0.69,AF300&lt;1,AN300&lt;1),0,IF(ISERROR(AB300-AC300),"",AB300-AC300)))))))))))))</f>
        <v>0</v>
      </c>
      <c r="AK300" s="1835"/>
      <c r="AL300" s="1835"/>
      <c r="AM300" s="1216">
        <f>IF(Q300=0,0,IF(T300=0,0,IF(T300&gt;K300,0,IF(AND(AS300&gt;0.01,BK300=0),0,IF(AND('Proposed Lighting'!DG300=0,'Lighting Controls'!Z300=0.35),0,IF(AND(T300&lt;=K300,AA300&gt;=AD300,'Proposed Lighting'!AU300=2),VLOOKUP(Q300,$AY$9:$AZ$15,2,FALSE),IF(AND(T300&lt;=K300,AA300&gt;=AD300,'Proposed Lighting'!AU300=3),VLOOKUP(Q300,$AY$17:$AZ$23,2,FALSE))))))))</f>
        <v>0</v>
      </c>
      <c r="AN300" s="1248">
        <f>IF(T300=0,0,IF(K300&gt;'Proposed Lighting'!AA300,0,IF(AE300=0,0,IF(AND(AD300&gt;AA300,AA300&gt;0),0,IF(U300=0,0,Summary!AE603)))))</f>
        <v>0</v>
      </c>
      <c r="AO300" s="1248">
        <f t="shared" si="63"/>
        <v>0</v>
      </c>
      <c r="AP300" s="1249">
        <f>IF('Proposed Lighting'!AU300=1,0,IF(K300=0,0,IF(T300&gt;K300,0,IF(G300=0,0,IF(K300&gt;'Proposed Lighting'!AA300,0,IF(AND(AD300&gt;AA300,AA300&gt;0),0,IF(AND('Proposed Lighting'!AU300=3,AM300=0.5),0,IF(AND(AM300&gt;0,AS300&gt;0,BI300&lt;2),0,IF('Proposed Lighting'!CH300=100,0,IF(AV300=1,0,IF(AND(AM300=35,M300+N300&lt;2),0,AM300)))))))))))</f>
        <v>0</v>
      </c>
      <c r="AQ300" s="1249" t="str">
        <f>IFERROR(ROUND(IF(Q300="","",IF('Proposed Lighting'!$X$4=0,0,IF(AND(AM300=35,M300+N300&lt;2),0,IF(T300&gt;K300,0,IF('Proposed Lighting'!AU300=1,0,IF(AJ300=0,0,IF(AND('Proposed Lighting'!AU300=3,AM300=0.5),0,IF(AND(AD300=75,AP300=0,AV300=0),0,IF(AP300&gt;0.01,AP300*T300,IF(AND(F300&gt;1,W300&lt;0.01),0,IF(AND(F300&gt;1,AO300=0),0,IF(AND('Proposed Lighting'!BC300=22,AV300=0),0,IF(AND(AM300&gt;0,AS300&gt;0,BI300&lt;2),0,IF(AND(AS300&gt;0.01,BK300=0),0,IF(AND(AO300=TRUE,AV300=1,F300=3),MIN(AJ300*0.08,L300),IF(AP300&gt;0.01,AP300*T300,IF(AND(AO300=TRUE,AV300=1,F300=2),MIN(AJ300*0.1,L300)))))))))))))))))),2),"")</f>
        <v/>
      </c>
      <c r="AR300" s="1250">
        <f>IF(Q300=0,0,IF('Proposed Lighting'!$X$4=0,0,IF(AND(AM300&gt;0.01,AQ300&gt;0.01),0,IF('Proposed Lighting'!AU300=1,"Missing Interior or Exterior Selection",IF('Proposed Lighting'!CF300=1,"Selection does not match",IF(K300&gt;'Proposed Lighting'!AA300,"Quantity controlled does not match proposed lighting quantity",IF(T300&gt;K300,"Quantity of sensors exceeds proposed lighting quantity",IF(AND(F300&gt;1,'Proposed Lighting'!AU300&lt;&gt;F300),"Selection does not match",IF(AND(AD300&gt;AA300,AA300&gt;0),"Does not meet minimum connected load",IF(AND(O300&gt;0,AS300&gt;0,BK300&gt;0,'Proposed Lighting'!CH300=0),"Select Control Strategies",IF(AND(AC300&gt;0.1,AJ300=0,AQ300=0),"Does not meet incentive criteria",0)))))))))))</f>
        <v>0</v>
      </c>
      <c r="AS300" s="1224">
        <f>IF('Proposed Lighting'!CH300=100,0,IF(ISNUMBER(SEARCH("multiple",Q300)),1,0))</f>
        <v>0</v>
      </c>
      <c r="AT300" s="451">
        <f t="shared" si="60"/>
        <v>0</v>
      </c>
      <c r="AU300" s="451">
        <f t="shared" si="61"/>
        <v>0</v>
      </c>
      <c r="AV300" s="1222">
        <f>IF(ISNUMBER(SEARCH("Networked",'Proposed Lighting'!T300)),0,IF(ISNUMBER(SEARCH("Strategies",'Proposed Lighting'!T300)),0,IF(ISNUMBER(SEARCH("Removal",'Proposed Lighting'!T300)),0,IF(ISNUMBER(SEARCH("non-standard",Q300)),1,0))))</f>
        <v>0</v>
      </c>
      <c r="AW300" s="451">
        <f t="shared" si="64"/>
        <v>0</v>
      </c>
      <c r="AX300" s="451"/>
      <c r="AY300" s="451"/>
      <c r="AZ300" s="451"/>
      <c r="BA300" s="451"/>
      <c r="BB300" s="451"/>
      <c r="BC300" s="1215"/>
      <c r="BD300" s="1215"/>
      <c r="BE300" s="1215"/>
      <c r="BF300" s="1215"/>
      <c r="BG300" s="1215"/>
      <c r="BH300" s="1215"/>
      <c r="BI300">
        <f>IF(AND(AS300=1,BC300="No",BD300="Yes",BE300="Yes",BF300="No",BH300="No"),0,IF(AND('Proposed Lighting'!AU300=2,AS300=1,BC300="Yes",BD300="Yes"),2,IF(AND('Proposed Lighting'!AU300=2,AS300=1,BC300="Yes",BE300="Yes"),2,IF(AND('Proposed Lighting'!AU300=2,AS300=1,BC300="Yes",BF300="Yes"),2,IF(AND('Proposed Lighting'!AU300=2,AS300=1,BC300="Yes",BH300="Yes"),2,IF(AND('Proposed Lighting'!AU300=2,AS300=1,BD300="Yes",BF300="Yes"),2,IF(AND('Proposed Lighting'!AU300=2,AS300=1,BD300="Yes",BH300="Yes"),2,IF(AND('Proposed Lighting'!AU300=3,AS300=1,BC300="Yes",BE300="Yes"),2,IF(AND('Proposed Lighting'!AU300=3,AS300=1,BC300="Yes",BF300="Yes"),2,0)))))))))</f>
        <v>0</v>
      </c>
      <c r="BJ300" s="1025">
        <f t="shared" si="62"/>
        <v>0</v>
      </c>
      <c r="BK300">
        <f>IF(AND('Proposed Lighting'!BC300=22,'Lighting Controls'!N300=1),0,IF(ISNUMBER(SEARCH("LED",G300)),1,0))</f>
        <v>0</v>
      </c>
    </row>
    <row r="301" spans="1:63" ht="34.5" customHeight="1">
      <c r="A301" s="917">
        <v>293</v>
      </c>
      <c r="B301" s="1828" t="str">
        <f>IF('Proposed Lighting'!B301="","",'Proposed Lighting'!B301)</f>
        <v/>
      </c>
      <c r="C301" s="1828"/>
      <c r="D301" s="1828"/>
      <c r="E301" s="1245">
        <f>'Proposed Lighting'!AA301</f>
        <v>0</v>
      </c>
      <c r="F301" s="1245">
        <f t="shared" si="55"/>
        <v>0</v>
      </c>
      <c r="G301" s="1830" t="str">
        <f>IF('Proposed Lighting'!T301="","",IF(ISNUMBER(SEARCH("Networked",'Proposed Lighting'!T301)),0,IF(ISNUMBER(SEARCH("Strategies",'Proposed Lighting'!T301)),0,IF(ISNUMBER(SEARCH("Removal",'Proposed Lighting'!T301)),0,'Proposed Lighting'!T301))))</f>
        <v/>
      </c>
      <c r="H301" s="1830"/>
      <c r="I301" s="1830"/>
      <c r="J301" s="1830"/>
      <c r="K301" s="1215"/>
      <c r="L301" s="1246">
        <f t="shared" si="56"/>
        <v>0</v>
      </c>
      <c r="M301" s="1224">
        <f t="shared" si="57"/>
        <v>0</v>
      </c>
      <c r="N301" s="1224">
        <f t="shared" si="58"/>
        <v>0</v>
      </c>
      <c r="O301" s="1825" t="str">
        <f>IF(G301=0,0,IF(ISNA('Proposed Lighting'!AT301),0,'Proposed Lighting'!AT301))</f>
        <v/>
      </c>
      <c r="P301" s="1825"/>
      <c r="Q301" s="1247"/>
      <c r="R301" s="1247"/>
      <c r="S301" s="1247"/>
      <c r="T301" s="1211"/>
      <c r="U301" s="1235">
        <f>IF(K301&gt;0.01,'Proposed Lighting'!CU301,0)</f>
        <v>0</v>
      </c>
      <c r="V301" s="1248">
        <f>IF('Proposed Lighting'!CF301=1,0,IF('Proposed Lighting'!AU301=2,0,IF(AND('Proposed Lighting'!AU301=3,'Proposed Lighting'!CF301=0),1,0)))</f>
        <v>0</v>
      </c>
      <c r="W301" s="1836"/>
      <c r="X301" s="1836"/>
      <c r="Y301" s="1836"/>
      <c r="Z301" s="1230" t="str">
        <f t="shared" si="52"/>
        <v/>
      </c>
      <c r="AA301" s="1230">
        <f t="shared" si="53"/>
        <v>0</v>
      </c>
      <c r="AB301" s="1230">
        <f>IF(Q301=0,0,IF(T301=0,0,IF(AA301=0,0,IF(AND(F301=3,V301=0),0,IF(T301=0,0,IF(K301&gt;'Proposed Lighting'!AA301,0,IF('Proposed Lighting'!EJ301&gt;0.01,(K301*O301)*'Proposed Lighting'!EJ301/1000,(K301*O301)*U301/1000)))))))</f>
        <v>0</v>
      </c>
      <c r="AC301" s="1230" t="str">
        <f t="shared" si="59"/>
        <v/>
      </c>
      <c r="AD301" s="1230">
        <f t="shared" si="54"/>
        <v>0</v>
      </c>
      <c r="AE301" s="1230">
        <f>IF(T301=0,0,IF(K301&gt;'Proposed Lighting'!AA301,0,IF(T301&gt;K301,0,IF(AND(AD301&gt;AA301,AA301&gt;0),0,IF(AND(F301&gt;1,W301&lt;0.01),0,IF('Proposed Lighting'!AU301&gt;'Lighting Controls'!F301,0,IF('Proposed Lighting'!AU301&lt;'Lighting Controls'!F301,0,IF(U301=0,0,Summary!AC604))))))))</f>
        <v>0</v>
      </c>
      <c r="AF301" s="1230">
        <f>IF(T301=0,0,IF(AE301=0,0,IF(K301&gt;'Proposed Lighting'!AA301,0,IF(AND(AD301&gt;AA301,AA301&gt;0),0,IF(U301=0,0,Summary!AD604)))))</f>
        <v>0</v>
      </c>
      <c r="AG301" s="1834">
        <f>IF('Proposed Lighting'!AU301=1,0,IF('Proposed Lighting'!CF301=1,0,T301*W301))</f>
        <v>0</v>
      </c>
      <c r="AH301" s="1834"/>
      <c r="AI301" s="1834"/>
      <c r="AJ301" s="1835">
        <f>IF(T301&lt;1,0,IF(K301&gt;'Proposed Lighting'!AA301,0,IF('Proposed Lighting'!CF301=1,0,IF('Proposed Lighting'!AU301=1,0,IF(T301&gt;K301,0,IF(AND(AD301&gt;AA301,AA301&gt;0),0,IF(AND(F301=2,'Proposed Lighting'!AU301=3),0,IF(AND(F301=3,'Proposed Lighting'!AU301=2),0,IF('Proposed Lighting'!CH301=100,0,IF(AND(F301&lt;3,V301=1,AM301=0),0,IF(AND(F301&gt;1,AF301&lt;1,AN301&lt;1),0,IF(AND(F301&gt;1,AE301&lt;0.69,AF301&lt;1,AN301&lt;1),0,IF(ISERROR(AB301-AC301),"",AB301-AC301)))))))))))))</f>
        <v>0</v>
      </c>
      <c r="AK301" s="1835"/>
      <c r="AL301" s="1835"/>
      <c r="AM301" s="1216">
        <f>IF(Q301=0,0,IF(T301=0,0,IF(T301&gt;K301,0,IF(AND(AS301&gt;0.01,BK301=0),0,IF(AND('Proposed Lighting'!DG301=0,'Lighting Controls'!Z301=0.35),0,IF(AND(T301&lt;=K301,AA301&gt;=AD301,'Proposed Lighting'!AU301=2),VLOOKUP(Q301,$AY$9:$AZ$15,2,FALSE),IF(AND(T301&lt;=K301,AA301&gt;=AD301,'Proposed Lighting'!AU301=3),VLOOKUP(Q301,$AY$17:$AZ$23,2,FALSE))))))))</f>
        <v>0</v>
      </c>
      <c r="AN301" s="1248">
        <f>IF(T301=0,0,IF(K301&gt;'Proposed Lighting'!AA301,0,IF(AE301=0,0,IF(AND(AD301&gt;AA301,AA301&gt;0),0,IF(U301=0,0,Summary!AE604)))))</f>
        <v>0</v>
      </c>
      <c r="AO301" s="1248">
        <f t="shared" si="63"/>
        <v>0</v>
      </c>
      <c r="AP301" s="1249">
        <f>IF('Proposed Lighting'!AU301=1,0,IF(K301=0,0,IF(T301&gt;K301,0,IF(G301=0,0,IF(K301&gt;'Proposed Lighting'!AA301,0,IF(AND(AD301&gt;AA301,AA301&gt;0),0,IF(AND('Proposed Lighting'!AU301=3,AM301=0.5),0,IF(AND(AM301&gt;0,AS301&gt;0,BI301&lt;2),0,IF('Proposed Lighting'!CH301=100,0,IF(AV301=1,0,IF(AND(AM301=35,M301+N301&lt;2),0,AM301)))))))))))</f>
        <v>0</v>
      </c>
      <c r="AQ301" s="1249" t="str">
        <f>IFERROR(ROUND(IF(Q301="","",IF('Proposed Lighting'!$X$4=0,0,IF(AND(AM301=35,M301+N301&lt;2),0,IF(T301&gt;K301,0,IF('Proposed Lighting'!AU301=1,0,IF(AJ301=0,0,IF(AND('Proposed Lighting'!AU301=3,AM301=0.5),0,IF(AND(AD301=75,AP301=0,AV301=0),0,IF(AP301&gt;0.01,AP301*T301,IF(AND(F301&gt;1,W301&lt;0.01),0,IF(AND(F301&gt;1,AO301=0),0,IF(AND('Proposed Lighting'!BC301=22,AV301=0),0,IF(AND(AM301&gt;0,AS301&gt;0,BI301&lt;2),0,IF(AND(AS301&gt;0.01,BK301=0),0,IF(AND(AO301=TRUE,AV301=1,F301=3),MIN(AJ301*0.08,L301),IF(AP301&gt;0.01,AP301*T301,IF(AND(AO301=TRUE,AV301=1,F301=2),MIN(AJ301*0.1,L301)))))))))))))))))),2),"")</f>
        <v/>
      </c>
      <c r="AR301" s="1250">
        <f>IF(Q301=0,0,IF('Proposed Lighting'!$X$4=0,0,IF(AND(AM301&gt;0.01,AQ301&gt;0.01),0,IF('Proposed Lighting'!AU301=1,"Missing Interior or Exterior Selection",IF('Proposed Lighting'!CF301=1,"Selection does not match",IF(K301&gt;'Proposed Lighting'!AA301,"Quantity controlled does not match proposed lighting quantity",IF(T301&gt;K301,"Quantity of sensors exceeds proposed lighting quantity",IF(AND(F301&gt;1,'Proposed Lighting'!AU301&lt;&gt;F301),"Selection does not match",IF(AND(AD301&gt;AA301,AA301&gt;0),"Does not meet minimum connected load",IF(AND(O301&gt;0,AS301&gt;0,BK301&gt;0,'Proposed Lighting'!CH301=0),"Select Control Strategies",IF(AND(AC301&gt;0.1,AJ301=0,AQ301=0),"Does not meet incentive criteria",0)))))))))))</f>
        <v>0</v>
      </c>
      <c r="AS301" s="1224">
        <f>IF('Proposed Lighting'!CH301=100,0,IF(ISNUMBER(SEARCH("multiple",Q301)),1,0))</f>
        <v>0</v>
      </c>
      <c r="AT301" s="451">
        <f t="shared" si="60"/>
        <v>0</v>
      </c>
      <c r="AU301" s="451">
        <f t="shared" si="61"/>
        <v>0</v>
      </c>
      <c r="AV301" s="1222">
        <f>IF(ISNUMBER(SEARCH("Networked",'Proposed Lighting'!T301)),0,IF(ISNUMBER(SEARCH("Strategies",'Proposed Lighting'!T301)),0,IF(ISNUMBER(SEARCH("Removal",'Proposed Lighting'!T301)),0,IF(ISNUMBER(SEARCH("non-standard",Q301)),1,0))))</f>
        <v>0</v>
      </c>
      <c r="AW301" s="451">
        <f t="shared" si="64"/>
        <v>0</v>
      </c>
      <c r="AX301" s="451"/>
      <c r="AY301" s="451"/>
      <c r="AZ301" s="451"/>
      <c r="BA301" s="451"/>
      <c r="BB301" s="451"/>
      <c r="BC301" s="1215"/>
      <c r="BD301" s="1215"/>
      <c r="BE301" s="1215"/>
      <c r="BF301" s="1215"/>
      <c r="BG301" s="1215"/>
      <c r="BH301" s="1215"/>
      <c r="BI301">
        <f>IF(AND(AS301=1,BC301="No",BD301="Yes",BE301="Yes",BF301="No",BH301="No"),0,IF(AND('Proposed Lighting'!AU301=2,AS301=1,BC301="Yes",BD301="Yes"),2,IF(AND('Proposed Lighting'!AU301=2,AS301=1,BC301="Yes",BE301="Yes"),2,IF(AND('Proposed Lighting'!AU301=2,AS301=1,BC301="Yes",BF301="Yes"),2,IF(AND('Proposed Lighting'!AU301=2,AS301=1,BC301="Yes",BH301="Yes"),2,IF(AND('Proposed Lighting'!AU301=2,AS301=1,BD301="Yes",BF301="Yes"),2,IF(AND('Proposed Lighting'!AU301=2,AS301=1,BD301="Yes",BH301="Yes"),2,IF(AND('Proposed Lighting'!AU301=3,AS301=1,BC301="Yes",BE301="Yes"),2,IF(AND('Proposed Lighting'!AU301=3,AS301=1,BC301="Yes",BF301="Yes"),2,0)))))))))</f>
        <v>0</v>
      </c>
      <c r="BJ301" s="1025">
        <f t="shared" si="62"/>
        <v>0</v>
      </c>
      <c r="BK301">
        <f>IF(AND('Proposed Lighting'!BC301=22,'Lighting Controls'!N301=1),0,IF(ISNUMBER(SEARCH("LED",G301)),1,0))</f>
        <v>0</v>
      </c>
    </row>
    <row r="302" spans="1:63" ht="34.5" customHeight="1">
      <c r="A302" s="917">
        <v>294</v>
      </c>
      <c r="B302" s="1828" t="str">
        <f>IF('Proposed Lighting'!B302="","",'Proposed Lighting'!B302)</f>
        <v/>
      </c>
      <c r="C302" s="1828"/>
      <c r="D302" s="1828"/>
      <c r="E302" s="1245">
        <f>'Proposed Lighting'!AA302</f>
        <v>0</v>
      </c>
      <c r="F302" s="1245">
        <f t="shared" si="55"/>
        <v>0</v>
      </c>
      <c r="G302" s="1830" t="str">
        <f>IF('Proposed Lighting'!T302="","",IF(ISNUMBER(SEARCH("Networked",'Proposed Lighting'!T302)),0,IF(ISNUMBER(SEARCH("Strategies",'Proposed Lighting'!T302)),0,IF(ISNUMBER(SEARCH("Removal",'Proposed Lighting'!T302)),0,'Proposed Lighting'!T302))))</f>
        <v/>
      </c>
      <c r="H302" s="1830"/>
      <c r="I302" s="1830"/>
      <c r="J302" s="1830"/>
      <c r="K302" s="1215"/>
      <c r="L302" s="1246">
        <f t="shared" si="56"/>
        <v>0</v>
      </c>
      <c r="M302" s="1224">
        <f t="shared" si="57"/>
        <v>0</v>
      </c>
      <c r="N302" s="1224">
        <f t="shared" si="58"/>
        <v>0</v>
      </c>
      <c r="O302" s="1825" t="str">
        <f>IF(G302=0,0,IF(ISNA('Proposed Lighting'!AT302),0,'Proposed Lighting'!AT302))</f>
        <v/>
      </c>
      <c r="P302" s="1825"/>
      <c r="Q302" s="1247"/>
      <c r="R302" s="1247"/>
      <c r="S302" s="1247"/>
      <c r="T302" s="1211"/>
      <c r="U302" s="1235">
        <f>IF(K302&gt;0.01,'Proposed Lighting'!CU302,0)</f>
        <v>0</v>
      </c>
      <c r="V302" s="1248">
        <f>IF('Proposed Lighting'!CF302=1,0,IF('Proposed Lighting'!AU302=2,0,IF(AND('Proposed Lighting'!AU302=3,'Proposed Lighting'!CF302=0),1,0)))</f>
        <v>0</v>
      </c>
      <c r="W302" s="1836"/>
      <c r="X302" s="1836"/>
      <c r="Y302" s="1836"/>
      <c r="Z302" s="1230" t="str">
        <f t="shared" si="52"/>
        <v/>
      </c>
      <c r="AA302" s="1230">
        <f t="shared" si="53"/>
        <v>0</v>
      </c>
      <c r="AB302" s="1230">
        <f>IF(Q302=0,0,IF(T302=0,0,IF(AA302=0,0,IF(AND(F302=3,V302=0),0,IF(T302=0,0,IF(K302&gt;'Proposed Lighting'!AA302,0,IF('Proposed Lighting'!EJ302&gt;0.01,(K302*O302)*'Proposed Lighting'!EJ302/1000,(K302*O302)*U302/1000)))))))</f>
        <v>0</v>
      </c>
      <c r="AC302" s="1230" t="str">
        <f t="shared" si="59"/>
        <v/>
      </c>
      <c r="AD302" s="1230">
        <f t="shared" si="54"/>
        <v>0</v>
      </c>
      <c r="AE302" s="1230">
        <f>IF(T302=0,0,IF(K302&gt;'Proposed Lighting'!AA302,0,IF(T302&gt;K302,0,IF(AND(AD302&gt;AA302,AA302&gt;0),0,IF(AND(F302&gt;1,W302&lt;0.01),0,IF('Proposed Lighting'!AU302&gt;'Lighting Controls'!F302,0,IF('Proposed Lighting'!AU302&lt;'Lighting Controls'!F302,0,IF(U302=0,0,Summary!AC605))))))))</f>
        <v>0</v>
      </c>
      <c r="AF302" s="1230">
        <f>IF(T302=0,0,IF(AE302=0,0,IF(K302&gt;'Proposed Lighting'!AA302,0,IF(AND(AD302&gt;AA302,AA302&gt;0),0,IF(U302=0,0,Summary!AD605)))))</f>
        <v>0</v>
      </c>
      <c r="AG302" s="1834">
        <f>IF('Proposed Lighting'!AU302=1,0,IF('Proposed Lighting'!CF302=1,0,T302*W302))</f>
        <v>0</v>
      </c>
      <c r="AH302" s="1834"/>
      <c r="AI302" s="1834"/>
      <c r="AJ302" s="1835">
        <f>IF(T302&lt;1,0,IF(K302&gt;'Proposed Lighting'!AA302,0,IF('Proposed Lighting'!CF302=1,0,IF('Proposed Lighting'!AU302=1,0,IF(T302&gt;K302,0,IF(AND(AD302&gt;AA302,AA302&gt;0),0,IF(AND(F302=2,'Proposed Lighting'!AU302=3),0,IF(AND(F302=3,'Proposed Lighting'!AU302=2),0,IF('Proposed Lighting'!CH302=100,0,IF(AND(F302&lt;3,V302=1,AM302=0),0,IF(AND(F302&gt;1,AF302&lt;1,AN302&lt;1),0,IF(AND(F302&gt;1,AE302&lt;0.69,AF302&lt;1,AN302&lt;1),0,IF(ISERROR(AB302-AC302),"",AB302-AC302)))))))))))))</f>
        <v>0</v>
      </c>
      <c r="AK302" s="1835"/>
      <c r="AL302" s="1835"/>
      <c r="AM302" s="1216">
        <f>IF(Q302=0,0,IF(T302=0,0,IF(T302&gt;K302,0,IF(AND(AS302&gt;0.01,BK302=0),0,IF(AND('Proposed Lighting'!DG302=0,'Lighting Controls'!Z302=0.35),0,IF(AND(T302&lt;=K302,AA302&gt;=AD302,'Proposed Lighting'!AU302=2),VLOOKUP(Q302,$AY$9:$AZ$15,2,FALSE),IF(AND(T302&lt;=K302,AA302&gt;=AD302,'Proposed Lighting'!AU302=3),VLOOKUP(Q302,$AY$17:$AZ$23,2,FALSE))))))))</f>
        <v>0</v>
      </c>
      <c r="AN302" s="1248">
        <f>IF(T302=0,0,IF(K302&gt;'Proposed Lighting'!AA302,0,IF(AE302=0,0,IF(AND(AD302&gt;AA302,AA302&gt;0),0,IF(U302=0,0,Summary!AE605)))))</f>
        <v>0</v>
      </c>
      <c r="AO302" s="1248">
        <f t="shared" si="63"/>
        <v>0</v>
      </c>
      <c r="AP302" s="1249">
        <f>IF('Proposed Lighting'!AU302=1,0,IF(K302=0,0,IF(T302&gt;K302,0,IF(G302=0,0,IF(K302&gt;'Proposed Lighting'!AA302,0,IF(AND(AD302&gt;AA302,AA302&gt;0),0,IF(AND('Proposed Lighting'!AU302=3,AM302=0.5),0,IF(AND(AM302&gt;0,AS302&gt;0,BI302&lt;2),0,IF('Proposed Lighting'!CH302=100,0,IF(AV302=1,0,IF(AND(AM302=35,M302+N302&lt;2),0,AM302)))))))))))</f>
        <v>0</v>
      </c>
      <c r="AQ302" s="1249" t="str">
        <f>IFERROR(ROUND(IF(Q302="","",IF('Proposed Lighting'!$X$4=0,0,IF(AND(AM302=35,M302+N302&lt;2),0,IF(T302&gt;K302,0,IF('Proposed Lighting'!AU302=1,0,IF(AJ302=0,0,IF(AND('Proposed Lighting'!AU302=3,AM302=0.5),0,IF(AND(AD302=75,AP302=0,AV302=0),0,IF(AP302&gt;0.01,AP302*T302,IF(AND(F302&gt;1,W302&lt;0.01),0,IF(AND(F302&gt;1,AO302=0),0,IF(AND('Proposed Lighting'!BC302=22,AV302=0),0,IF(AND(AM302&gt;0,AS302&gt;0,BI302&lt;2),0,IF(AND(AS302&gt;0.01,BK302=0),0,IF(AND(AO302=TRUE,AV302=1,F302=3),MIN(AJ302*0.08,L302),IF(AP302&gt;0.01,AP302*T302,IF(AND(AO302=TRUE,AV302=1,F302=2),MIN(AJ302*0.1,L302)))))))))))))))))),2),"")</f>
        <v/>
      </c>
      <c r="AR302" s="1250">
        <f>IF(Q302=0,0,IF('Proposed Lighting'!$X$4=0,0,IF(AND(AM302&gt;0.01,AQ302&gt;0.01),0,IF('Proposed Lighting'!AU302=1,"Missing Interior or Exterior Selection",IF('Proposed Lighting'!CF302=1,"Selection does not match",IF(K302&gt;'Proposed Lighting'!AA302,"Quantity controlled does not match proposed lighting quantity",IF(T302&gt;K302,"Quantity of sensors exceeds proposed lighting quantity",IF(AND(F302&gt;1,'Proposed Lighting'!AU302&lt;&gt;F302),"Selection does not match",IF(AND(AD302&gt;AA302,AA302&gt;0),"Does not meet minimum connected load",IF(AND(O302&gt;0,AS302&gt;0,BK302&gt;0,'Proposed Lighting'!CH302=0),"Select Control Strategies",IF(AND(AC302&gt;0.1,AJ302=0,AQ302=0),"Does not meet incentive criteria",0)))))))))))</f>
        <v>0</v>
      </c>
      <c r="AS302" s="1224">
        <f>IF('Proposed Lighting'!CH302=100,0,IF(ISNUMBER(SEARCH("multiple",Q302)),1,0))</f>
        <v>0</v>
      </c>
      <c r="AT302" s="451">
        <f t="shared" si="60"/>
        <v>0</v>
      </c>
      <c r="AU302" s="451">
        <f t="shared" si="61"/>
        <v>0</v>
      </c>
      <c r="AV302" s="1222">
        <f>IF(ISNUMBER(SEARCH("Networked",'Proposed Lighting'!T302)),0,IF(ISNUMBER(SEARCH("Strategies",'Proposed Lighting'!T302)),0,IF(ISNUMBER(SEARCH("Removal",'Proposed Lighting'!T302)),0,IF(ISNUMBER(SEARCH("non-standard",Q302)),1,0))))</f>
        <v>0</v>
      </c>
      <c r="AW302" s="451">
        <f t="shared" si="64"/>
        <v>0</v>
      </c>
      <c r="AX302" s="451"/>
      <c r="AY302" s="451"/>
      <c r="AZ302" s="451"/>
      <c r="BA302" s="451"/>
      <c r="BB302" s="451"/>
      <c r="BC302" s="1215"/>
      <c r="BD302" s="1215"/>
      <c r="BE302" s="1215"/>
      <c r="BF302" s="1215"/>
      <c r="BG302" s="1215"/>
      <c r="BH302" s="1215"/>
      <c r="BI302">
        <f>IF(AND(AS302=1,BC302="No",BD302="Yes",BE302="Yes",BF302="No",BH302="No"),0,IF(AND('Proposed Lighting'!AU302=2,AS302=1,BC302="Yes",BD302="Yes"),2,IF(AND('Proposed Lighting'!AU302=2,AS302=1,BC302="Yes",BE302="Yes"),2,IF(AND('Proposed Lighting'!AU302=2,AS302=1,BC302="Yes",BF302="Yes"),2,IF(AND('Proposed Lighting'!AU302=2,AS302=1,BC302="Yes",BH302="Yes"),2,IF(AND('Proposed Lighting'!AU302=2,AS302=1,BD302="Yes",BF302="Yes"),2,IF(AND('Proposed Lighting'!AU302=2,AS302=1,BD302="Yes",BH302="Yes"),2,IF(AND('Proposed Lighting'!AU302=3,AS302=1,BC302="Yes",BE302="Yes"),2,IF(AND('Proposed Lighting'!AU302=3,AS302=1,BC302="Yes",BF302="Yes"),2,0)))))))))</f>
        <v>0</v>
      </c>
      <c r="BJ302" s="1025">
        <f t="shared" si="62"/>
        <v>0</v>
      </c>
      <c r="BK302">
        <f>IF(AND('Proposed Lighting'!BC302=22,'Lighting Controls'!N302=1),0,IF(ISNUMBER(SEARCH("LED",G302)),1,0))</f>
        <v>0</v>
      </c>
    </row>
    <row r="303" spans="1:63" ht="34.5" customHeight="1">
      <c r="A303" s="917">
        <v>295</v>
      </c>
      <c r="B303" s="1828" t="str">
        <f>IF('Proposed Lighting'!B303="","",'Proposed Lighting'!B303)</f>
        <v/>
      </c>
      <c r="C303" s="1828"/>
      <c r="D303" s="1828"/>
      <c r="E303" s="1245">
        <f>'Proposed Lighting'!AA303</f>
        <v>0</v>
      </c>
      <c r="F303" s="1245">
        <f t="shared" si="55"/>
        <v>0</v>
      </c>
      <c r="G303" s="1830" t="str">
        <f>IF('Proposed Lighting'!T303="","",IF(ISNUMBER(SEARCH("Networked",'Proposed Lighting'!T303)),0,IF(ISNUMBER(SEARCH("Strategies",'Proposed Lighting'!T303)),0,IF(ISNUMBER(SEARCH("Removal",'Proposed Lighting'!T303)),0,'Proposed Lighting'!T303))))</f>
        <v/>
      </c>
      <c r="H303" s="1830"/>
      <c r="I303" s="1830"/>
      <c r="J303" s="1830"/>
      <c r="K303" s="1215"/>
      <c r="L303" s="1246">
        <f t="shared" si="56"/>
        <v>0</v>
      </c>
      <c r="M303" s="1224">
        <f t="shared" si="57"/>
        <v>0</v>
      </c>
      <c r="N303" s="1224">
        <f t="shared" si="58"/>
        <v>0</v>
      </c>
      <c r="O303" s="1825" t="str">
        <f>IF(G303=0,0,IF(ISNA('Proposed Lighting'!AT303),0,'Proposed Lighting'!AT303))</f>
        <v/>
      </c>
      <c r="P303" s="1825"/>
      <c r="Q303" s="1247"/>
      <c r="R303" s="1247"/>
      <c r="S303" s="1247"/>
      <c r="T303" s="1211"/>
      <c r="U303" s="1235">
        <f>IF(K303&gt;0.01,'Proposed Lighting'!CU303,0)</f>
        <v>0</v>
      </c>
      <c r="V303" s="1248">
        <f>IF('Proposed Lighting'!CF303=1,0,IF('Proposed Lighting'!AU303=2,0,IF(AND('Proposed Lighting'!AU303=3,'Proposed Lighting'!CF303=0),1,0)))</f>
        <v>0</v>
      </c>
      <c r="W303" s="1836"/>
      <c r="X303" s="1836"/>
      <c r="Y303" s="1836"/>
      <c r="Z303" s="1230" t="str">
        <f t="shared" si="52"/>
        <v/>
      </c>
      <c r="AA303" s="1230">
        <f t="shared" si="53"/>
        <v>0</v>
      </c>
      <c r="AB303" s="1230">
        <f>IF(Q303=0,0,IF(T303=0,0,IF(AA303=0,0,IF(AND(F303=3,V303=0),0,IF(T303=0,0,IF(K303&gt;'Proposed Lighting'!AA303,0,IF('Proposed Lighting'!EJ303&gt;0.01,(K303*O303)*'Proposed Lighting'!EJ303/1000,(K303*O303)*U303/1000)))))))</f>
        <v>0</v>
      </c>
      <c r="AC303" s="1230" t="str">
        <f t="shared" si="59"/>
        <v/>
      </c>
      <c r="AD303" s="1230">
        <f t="shared" si="54"/>
        <v>0</v>
      </c>
      <c r="AE303" s="1230">
        <f>IF(T303=0,0,IF(K303&gt;'Proposed Lighting'!AA303,0,IF(T303&gt;K303,0,IF(AND(AD303&gt;AA303,AA303&gt;0),0,IF(AND(F303&gt;1,W303&lt;0.01),0,IF('Proposed Lighting'!AU303&gt;'Lighting Controls'!F303,0,IF('Proposed Lighting'!AU303&lt;'Lighting Controls'!F303,0,IF(U303=0,0,Summary!AC606))))))))</f>
        <v>0</v>
      </c>
      <c r="AF303" s="1230">
        <f>IF(T303=0,0,IF(AE303=0,0,IF(K303&gt;'Proposed Lighting'!AA303,0,IF(AND(AD303&gt;AA303,AA303&gt;0),0,IF(U303=0,0,Summary!AD606)))))</f>
        <v>0</v>
      </c>
      <c r="AG303" s="1834">
        <f>IF('Proposed Lighting'!AU303=1,0,IF('Proposed Lighting'!CF303=1,0,T303*W303))</f>
        <v>0</v>
      </c>
      <c r="AH303" s="1834"/>
      <c r="AI303" s="1834"/>
      <c r="AJ303" s="1835">
        <f>IF(T303&lt;1,0,IF(K303&gt;'Proposed Lighting'!AA303,0,IF('Proposed Lighting'!CF303=1,0,IF('Proposed Lighting'!AU303=1,0,IF(T303&gt;K303,0,IF(AND(AD303&gt;AA303,AA303&gt;0),0,IF(AND(F303=2,'Proposed Lighting'!AU303=3),0,IF(AND(F303=3,'Proposed Lighting'!AU303=2),0,IF('Proposed Lighting'!CH303=100,0,IF(AND(F303&lt;3,V303=1,AM303=0),0,IF(AND(F303&gt;1,AF303&lt;1,AN303&lt;1),0,IF(AND(F303&gt;1,AE303&lt;0.69,AF303&lt;1,AN303&lt;1),0,IF(ISERROR(AB303-AC303),"",AB303-AC303)))))))))))))</f>
        <v>0</v>
      </c>
      <c r="AK303" s="1835"/>
      <c r="AL303" s="1835"/>
      <c r="AM303" s="1216">
        <f>IF(Q303=0,0,IF(T303=0,0,IF(T303&gt;K303,0,IF(AND(AS303&gt;0.01,BK303=0),0,IF(AND('Proposed Lighting'!DG303=0,'Lighting Controls'!Z303=0.35),0,IF(AND(T303&lt;=K303,AA303&gt;=AD303,'Proposed Lighting'!AU303=2),VLOOKUP(Q303,$AY$9:$AZ$15,2,FALSE),IF(AND(T303&lt;=K303,AA303&gt;=AD303,'Proposed Lighting'!AU303=3),VLOOKUP(Q303,$AY$17:$AZ$23,2,FALSE))))))))</f>
        <v>0</v>
      </c>
      <c r="AN303" s="1248">
        <f>IF(T303=0,0,IF(K303&gt;'Proposed Lighting'!AA303,0,IF(AE303=0,0,IF(AND(AD303&gt;AA303,AA303&gt;0),0,IF(U303=0,0,Summary!AE606)))))</f>
        <v>0</v>
      </c>
      <c r="AO303" s="1248">
        <f t="shared" si="63"/>
        <v>0</v>
      </c>
      <c r="AP303" s="1249">
        <f>IF('Proposed Lighting'!AU303=1,0,IF(K303=0,0,IF(T303&gt;K303,0,IF(G303=0,0,IF(K303&gt;'Proposed Lighting'!AA303,0,IF(AND(AD303&gt;AA303,AA303&gt;0),0,IF(AND('Proposed Lighting'!AU303=3,AM303=0.5),0,IF(AND(AM303&gt;0,AS303&gt;0,BI303&lt;2),0,IF('Proposed Lighting'!CH303=100,0,IF(AV303=1,0,IF(AND(AM303=35,M303+N303&lt;2),0,AM303)))))))))))</f>
        <v>0</v>
      </c>
      <c r="AQ303" s="1249" t="str">
        <f>IFERROR(ROUND(IF(Q303="","",IF('Proposed Lighting'!$X$4=0,0,IF(AND(AM303=35,M303+N303&lt;2),0,IF(T303&gt;K303,0,IF('Proposed Lighting'!AU303=1,0,IF(AJ303=0,0,IF(AND('Proposed Lighting'!AU303=3,AM303=0.5),0,IF(AND(AD303=75,AP303=0,AV303=0),0,IF(AP303&gt;0.01,AP303*T303,IF(AND(F303&gt;1,W303&lt;0.01),0,IF(AND(F303&gt;1,AO303=0),0,IF(AND('Proposed Lighting'!BC303=22,AV303=0),0,IF(AND(AM303&gt;0,AS303&gt;0,BI303&lt;2),0,IF(AND(AS303&gt;0.01,BK303=0),0,IF(AND(AO303=TRUE,AV303=1,F303=3),MIN(AJ303*0.08,L303),IF(AP303&gt;0.01,AP303*T303,IF(AND(AO303=TRUE,AV303=1,F303=2),MIN(AJ303*0.1,L303)))))))))))))))))),2),"")</f>
        <v/>
      </c>
      <c r="AR303" s="1250">
        <f>IF(Q303=0,0,IF('Proposed Lighting'!$X$4=0,0,IF(AND(AM303&gt;0.01,AQ303&gt;0.01),0,IF('Proposed Lighting'!AU303=1,"Missing Interior or Exterior Selection",IF('Proposed Lighting'!CF303=1,"Selection does not match",IF(K303&gt;'Proposed Lighting'!AA303,"Quantity controlled does not match proposed lighting quantity",IF(T303&gt;K303,"Quantity of sensors exceeds proposed lighting quantity",IF(AND(F303&gt;1,'Proposed Lighting'!AU303&lt;&gt;F303),"Selection does not match",IF(AND(AD303&gt;AA303,AA303&gt;0),"Does not meet minimum connected load",IF(AND(O303&gt;0,AS303&gt;0,BK303&gt;0,'Proposed Lighting'!CH303=0),"Select Control Strategies",IF(AND(AC303&gt;0.1,AJ303=0,AQ303=0),"Does not meet incentive criteria",0)))))))))))</f>
        <v>0</v>
      </c>
      <c r="AS303" s="1224">
        <f>IF('Proposed Lighting'!CH303=100,0,IF(ISNUMBER(SEARCH("multiple",Q303)),1,0))</f>
        <v>0</v>
      </c>
      <c r="AT303" s="451">
        <f t="shared" si="60"/>
        <v>0</v>
      </c>
      <c r="AU303" s="451">
        <f t="shared" si="61"/>
        <v>0</v>
      </c>
      <c r="AV303" s="1222">
        <f>IF(ISNUMBER(SEARCH("Networked",'Proposed Lighting'!T303)),0,IF(ISNUMBER(SEARCH("Strategies",'Proposed Lighting'!T303)),0,IF(ISNUMBER(SEARCH("Removal",'Proposed Lighting'!T303)),0,IF(ISNUMBER(SEARCH("non-standard",Q303)),1,0))))</f>
        <v>0</v>
      </c>
      <c r="AW303" s="451">
        <f t="shared" si="64"/>
        <v>0</v>
      </c>
      <c r="AX303" s="451"/>
      <c r="AY303" s="451"/>
      <c r="AZ303" s="451"/>
      <c r="BA303" s="451"/>
      <c r="BB303" s="451"/>
      <c r="BC303" s="1215"/>
      <c r="BD303" s="1215"/>
      <c r="BE303" s="1215"/>
      <c r="BF303" s="1215"/>
      <c r="BG303" s="1215"/>
      <c r="BH303" s="1215"/>
      <c r="BI303">
        <f>IF(AND(AS303=1,BC303="No",BD303="Yes",BE303="Yes",BF303="No",BH303="No"),0,IF(AND('Proposed Lighting'!AU303=2,AS303=1,BC303="Yes",BD303="Yes"),2,IF(AND('Proposed Lighting'!AU303=2,AS303=1,BC303="Yes",BE303="Yes"),2,IF(AND('Proposed Lighting'!AU303=2,AS303=1,BC303="Yes",BF303="Yes"),2,IF(AND('Proposed Lighting'!AU303=2,AS303=1,BC303="Yes",BH303="Yes"),2,IF(AND('Proposed Lighting'!AU303=2,AS303=1,BD303="Yes",BF303="Yes"),2,IF(AND('Proposed Lighting'!AU303=2,AS303=1,BD303="Yes",BH303="Yes"),2,IF(AND('Proposed Lighting'!AU303=3,AS303=1,BC303="Yes",BE303="Yes"),2,IF(AND('Proposed Lighting'!AU303=3,AS303=1,BC303="Yes",BF303="Yes"),2,0)))))))))</f>
        <v>0</v>
      </c>
      <c r="BJ303" s="1025">
        <f t="shared" si="62"/>
        <v>0</v>
      </c>
      <c r="BK303">
        <f>IF(AND('Proposed Lighting'!BC303=22,'Lighting Controls'!N303=1),0,IF(ISNUMBER(SEARCH("LED",G303)),1,0))</f>
        <v>0</v>
      </c>
    </row>
    <row r="304" spans="1:63" ht="34.5" customHeight="1">
      <c r="A304" s="917">
        <v>296</v>
      </c>
      <c r="B304" s="1828" t="str">
        <f>IF('Proposed Lighting'!B304="","",'Proposed Lighting'!B304)</f>
        <v/>
      </c>
      <c r="C304" s="1828"/>
      <c r="D304" s="1828"/>
      <c r="E304" s="1245">
        <f>'Proposed Lighting'!AA304</f>
        <v>0</v>
      </c>
      <c r="F304" s="1245">
        <f t="shared" si="55"/>
        <v>0</v>
      </c>
      <c r="G304" s="1830" t="str">
        <f>IF('Proposed Lighting'!T304="","",IF(ISNUMBER(SEARCH("Networked",'Proposed Lighting'!T304)),0,IF(ISNUMBER(SEARCH("Strategies",'Proposed Lighting'!T304)),0,IF(ISNUMBER(SEARCH("Removal",'Proposed Lighting'!T304)),0,'Proposed Lighting'!T304))))</f>
        <v/>
      </c>
      <c r="H304" s="1830"/>
      <c r="I304" s="1830"/>
      <c r="J304" s="1830"/>
      <c r="K304" s="1215"/>
      <c r="L304" s="1246">
        <f t="shared" si="56"/>
        <v>0</v>
      </c>
      <c r="M304" s="1224">
        <f t="shared" si="57"/>
        <v>0</v>
      </c>
      <c r="N304" s="1224">
        <f t="shared" si="58"/>
        <v>0</v>
      </c>
      <c r="O304" s="1825" t="str">
        <f>IF(G304=0,0,IF(ISNA('Proposed Lighting'!AT304),0,'Proposed Lighting'!AT304))</f>
        <v/>
      </c>
      <c r="P304" s="1825"/>
      <c r="Q304" s="1247"/>
      <c r="R304" s="1247"/>
      <c r="S304" s="1247"/>
      <c r="T304" s="1211"/>
      <c r="U304" s="1235">
        <f>IF(K304&gt;0.01,'Proposed Lighting'!CU304,0)</f>
        <v>0</v>
      </c>
      <c r="V304" s="1248">
        <f>IF('Proposed Lighting'!CF304=1,0,IF('Proposed Lighting'!AU304=2,0,IF(AND('Proposed Lighting'!AU304=3,'Proposed Lighting'!CF304=0),1,0)))</f>
        <v>0</v>
      </c>
      <c r="W304" s="1836"/>
      <c r="X304" s="1836"/>
      <c r="Y304" s="1836"/>
      <c r="Z304" s="1230" t="str">
        <f t="shared" si="52"/>
        <v/>
      </c>
      <c r="AA304" s="1230">
        <f t="shared" si="53"/>
        <v>0</v>
      </c>
      <c r="AB304" s="1230">
        <f>IF(Q304=0,0,IF(T304=0,0,IF(AA304=0,0,IF(AND(F304=3,V304=0),0,IF(T304=0,0,IF(K304&gt;'Proposed Lighting'!AA304,0,IF('Proposed Lighting'!EJ304&gt;0.01,(K304*O304)*'Proposed Lighting'!EJ304/1000,(K304*O304)*U304/1000)))))))</f>
        <v>0</v>
      </c>
      <c r="AC304" s="1230" t="str">
        <f t="shared" si="59"/>
        <v/>
      </c>
      <c r="AD304" s="1230">
        <f t="shared" si="54"/>
        <v>0</v>
      </c>
      <c r="AE304" s="1230">
        <f>IF(T304=0,0,IF(K304&gt;'Proposed Lighting'!AA304,0,IF(T304&gt;K304,0,IF(AND(AD304&gt;AA304,AA304&gt;0),0,IF(AND(F304&gt;1,W304&lt;0.01),0,IF('Proposed Lighting'!AU304&gt;'Lighting Controls'!F304,0,IF('Proposed Lighting'!AU304&lt;'Lighting Controls'!F304,0,IF(U304=0,0,Summary!AC607))))))))</f>
        <v>0</v>
      </c>
      <c r="AF304" s="1230">
        <f>IF(T304=0,0,IF(AE304=0,0,IF(K304&gt;'Proposed Lighting'!AA304,0,IF(AND(AD304&gt;AA304,AA304&gt;0),0,IF(U304=0,0,Summary!AD607)))))</f>
        <v>0</v>
      </c>
      <c r="AG304" s="1834">
        <f>IF('Proposed Lighting'!AU304=1,0,IF('Proposed Lighting'!CF304=1,0,T304*W304))</f>
        <v>0</v>
      </c>
      <c r="AH304" s="1834"/>
      <c r="AI304" s="1834"/>
      <c r="AJ304" s="1835">
        <f>IF(T304&lt;1,0,IF(K304&gt;'Proposed Lighting'!AA304,0,IF('Proposed Lighting'!CF304=1,0,IF('Proposed Lighting'!AU304=1,0,IF(T304&gt;K304,0,IF(AND(AD304&gt;AA304,AA304&gt;0),0,IF(AND(F304=2,'Proposed Lighting'!AU304=3),0,IF(AND(F304=3,'Proposed Lighting'!AU304=2),0,IF('Proposed Lighting'!CH304=100,0,IF(AND(F304&lt;3,V304=1,AM304=0),0,IF(AND(F304&gt;1,AF304&lt;1,AN304&lt;1),0,IF(AND(F304&gt;1,AE304&lt;0.69,AF304&lt;1,AN304&lt;1),0,IF(ISERROR(AB304-AC304),"",AB304-AC304)))))))))))))</f>
        <v>0</v>
      </c>
      <c r="AK304" s="1835"/>
      <c r="AL304" s="1835"/>
      <c r="AM304" s="1216">
        <f>IF(Q304=0,0,IF(T304=0,0,IF(T304&gt;K304,0,IF(AND(AS304&gt;0.01,BK304=0),0,IF(AND('Proposed Lighting'!DG304=0,'Lighting Controls'!Z304=0.35),0,IF(AND(T304&lt;=K304,AA304&gt;=AD304,'Proposed Lighting'!AU304=2),VLOOKUP(Q304,$AY$9:$AZ$15,2,FALSE),IF(AND(T304&lt;=K304,AA304&gt;=AD304,'Proposed Lighting'!AU304=3),VLOOKUP(Q304,$AY$17:$AZ$23,2,FALSE))))))))</f>
        <v>0</v>
      </c>
      <c r="AN304" s="1248">
        <f>IF(T304=0,0,IF(K304&gt;'Proposed Lighting'!AA304,0,IF(AE304=0,0,IF(AND(AD304&gt;AA304,AA304&gt;0),0,IF(U304=0,0,Summary!AE607)))))</f>
        <v>0</v>
      </c>
      <c r="AO304" s="1248">
        <f t="shared" si="63"/>
        <v>0</v>
      </c>
      <c r="AP304" s="1249">
        <f>IF('Proposed Lighting'!AU304=1,0,IF(K304=0,0,IF(T304&gt;K304,0,IF(G304=0,0,IF(K304&gt;'Proposed Lighting'!AA304,0,IF(AND(AD304&gt;AA304,AA304&gt;0),0,IF(AND('Proposed Lighting'!AU304=3,AM304=0.5),0,IF(AND(AM304&gt;0,AS304&gt;0,BI304&lt;2),0,IF('Proposed Lighting'!CH304=100,0,IF(AV304=1,0,IF(AND(AM304=35,M304+N304&lt;2),0,AM304)))))))))))</f>
        <v>0</v>
      </c>
      <c r="AQ304" s="1249" t="str">
        <f>IFERROR(ROUND(IF(Q304="","",IF('Proposed Lighting'!$X$4=0,0,IF(AND(AM304=35,M304+N304&lt;2),0,IF(T304&gt;K304,0,IF('Proposed Lighting'!AU304=1,0,IF(AJ304=0,0,IF(AND('Proposed Lighting'!AU304=3,AM304=0.5),0,IF(AND(AD304=75,AP304=0,AV304=0),0,IF(AP304&gt;0.01,AP304*T304,IF(AND(F304&gt;1,W304&lt;0.01),0,IF(AND(F304&gt;1,AO304=0),0,IF(AND('Proposed Lighting'!BC304=22,AV304=0),0,IF(AND(AM304&gt;0,AS304&gt;0,BI304&lt;2),0,IF(AND(AS304&gt;0.01,BK304=0),0,IF(AND(AO304=TRUE,AV304=1,F304=3),MIN(AJ304*0.08,L304),IF(AP304&gt;0.01,AP304*T304,IF(AND(AO304=TRUE,AV304=1,F304=2),MIN(AJ304*0.1,L304)))))))))))))))))),2),"")</f>
        <v/>
      </c>
      <c r="AR304" s="1250">
        <f>IF(Q304=0,0,IF('Proposed Lighting'!$X$4=0,0,IF(AND(AM304&gt;0.01,AQ304&gt;0.01),0,IF('Proposed Lighting'!AU304=1,"Missing Interior or Exterior Selection",IF('Proposed Lighting'!CF304=1,"Selection does not match",IF(K304&gt;'Proposed Lighting'!AA304,"Quantity controlled does not match proposed lighting quantity",IF(T304&gt;K304,"Quantity of sensors exceeds proposed lighting quantity",IF(AND(F304&gt;1,'Proposed Lighting'!AU304&lt;&gt;F304),"Selection does not match",IF(AND(AD304&gt;AA304,AA304&gt;0),"Does not meet minimum connected load",IF(AND(O304&gt;0,AS304&gt;0,BK304&gt;0,'Proposed Lighting'!CH304=0),"Select Control Strategies",IF(AND(AC304&gt;0.1,AJ304=0,AQ304=0),"Does not meet incentive criteria",0)))))))))))</f>
        <v>0</v>
      </c>
      <c r="AS304" s="1224">
        <f>IF('Proposed Lighting'!CH304=100,0,IF(ISNUMBER(SEARCH("multiple",Q304)),1,0))</f>
        <v>0</v>
      </c>
      <c r="AT304" s="451">
        <f t="shared" si="60"/>
        <v>0</v>
      </c>
      <c r="AU304" s="451">
        <f t="shared" si="61"/>
        <v>0</v>
      </c>
      <c r="AV304" s="1222">
        <f>IF(ISNUMBER(SEARCH("Networked",'Proposed Lighting'!T304)),0,IF(ISNUMBER(SEARCH("Strategies",'Proposed Lighting'!T304)),0,IF(ISNUMBER(SEARCH("Removal",'Proposed Lighting'!T304)),0,IF(ISNUMBER(SEARCH("non-standard",Q304)),1,0))))</f>
        <v>0</v>
      </c>
      <c r="AW304" s="451">
        <f t="shared" si="64"/>
        <v>0</v>
      </c>
      <c r="AX304" s="451"/>
      <c r="AY304" s="451"/>
      <c r="AZ304" s="451"/>
      <c r="BA304" s="451"/>
      <c r="BB304" s="451"/>
      <c r="BC304" s="1215"/>
      <c r="BD304" s="1215"/>
      <c r="BE304" s="1215"/>
      <c r="BF304" s="1215"/>
      <c r="BG304" s="1215"/>
      <c r="BH304" s="1215"/>
      <c r="BI304">
        <f>IF(AND(AS304=1,BC304="No",BD304="Yes",BE304="Yes",BF304="No",BH304="No"),0,IF(AND('Proposed Lighting'!AU304=2,AS304=1,BC304="Yes",BD304="Yes"),2,IF(AND('Proposed Lighting'!AU304=2,AS304=1,BC304="Yes",BE304="Yes"),2,IF(AND('Proposed Lighting'!AU304=2,AS304=1,BC304="Yes",BF304="Yes"),2,IF(AND('Proposed Lighting'!AU304=2,AS304=1,BC304="Yes",BH304="Yes"),2,IF(AND('Proposed Lighting'!AU304=2,AS304=1,BD304="Yes",BF304="Yes"),2,IF(AND('Proposed Lighting'!AU304=2,AS304=1,BD304="Yes",BH304="Yes"),2,IF(AND('Proposed Lighting'!AU304=3,AS304=1,BC304="Yes",BE304="Yes"),2,IF(AND('Proposed Lighting'!AU304=3,AS304=1,BC304="Yes",BF304="Yes"),2,0)))))))))</f>
        <v>0</v>
      </c>
      <c r="BJ304" s="1025">
        <f t="shared" si="62"/>
        <v>0</v>
      </c>
      <c r="BK304">
        <f>IF(AND('Proposed Lighting'!BC304=22,'Lighting Controls'!N304=1),0,IF(ISNUMBER(SEARCH("LED",G304)),1,0))</f>
        <v>0</v>
      </c>
    </row>
    <row r="305" spans="1:63" ht="34.5" customHeight="1">
      <c r="A305" s="917">
        <v>297</v>
      </c>
      <c r="B305" s="1828" t="str">
        <f>IF('Proposed Lighting'!B305="","",'Proposed Lighting'!B305)</f>
        <v/>
      </c>
      <c r="C305" s="1828"/>
      <c r="D305" s="1828"/>
      <c r="E305" s="1245">
        <f>'Proposed Lighting'!AA305</f>
        <v>0</v>
      </c>
      <c r="F305" s="1245">
        <f t="shared" si="55"/>
        <v>0</v>
      </c>
      <c r="G305" s="1830" t="str">
        <f>IF('Proposed Lighting'!T305="","",IF(ISNUMBER(SEARCH("Networked",'Proposed Lighting'!T305)),0,IF(ISNUMBER(SEARCH("Strategies",'Proposed Lighting'!T305)),0,IF(ISNUMBER(SEARCH("Removal",'Proposed Lighting'!T305)),0,'Proposed Lighting'!T305))))</f>
        <v/>
      </c>
      <c r="H305" s="1830"/>
      <c r="I305" s="1830"/>
      <c r="J305" s="1830"/>
      <c r="K305" s="1215"/>
      <c r="L305" s="1246">
        <f t="shared" si="56"/>
        <v>0</v>
      </c>
      <c r="M305" s="1224">
        <f t="shared" si="57"/>
        <v>0</v>
      </c>
      <c r="N305" s="1224">
        <f t="shared" si="58"/>
        <v>0</v>
      </c>
      <c r="O305" s="1825" t="str">
        <f>IF(G305=0,0,IF(ISNA('Proposed Lighting'!AT305),0,'Proposed Lighting'!AT305))</f>
        <v/>
      </c>
      <c r="P305" s="1825"/>
      <c r="Q305" s="1247"/>
      <c r="R305" s="1247"/>
      <c r="S305" s="1247"/>
      <c r="T305" s="1211"/>
      <c r="U305" s="1235">
        <f>IF(K305&gt;0.01,'Proposed Lighting'!CU305,0)</f>
        <v>0</v>
      </c>
      <c r="V305" s="1248">
        <f>IF('Proposed Lighting'!CF305=1,0,IF('Proposed Lighting'!AU305=2,0,IF(AND('Proposed Lighting'!AU305=3,'Proposed Lighting'!CF305=0),1,0)))</f>
        <v>0</v>
      </c>
      <c r="W305" s="1836"/>
      <c r="X305" s="1836"/>
      <c r="Y305" s="1836"/>
      <c r="Z305" s="1230" t="str">
        <f t="shared" si="52"/>
        <v/>
      </c>
      <c r="AA305" s="1230">
        <f t="shared" si="53"/>
        <v>0</v>
      </c>
      <c r="AB305" s="1230">
        <f>IF(Q305=0,0,IF(T305=0,0,IF(AA305=0,0,IF(AND(F305=3,V305=0),0,IF(T305=0,0,IF(K305&gt;'Proposed Lighting'!AA305,0,IF('Proposed Lighting'!EJ305&gt;0.01,(K305*O305)*'Proposed Lighting'!EJ305/1000,(K305*O305)*U305/1000)))))))</f>
        <v>0</v>
      </c>
      <c r="AC305" s="1230" t="str">
        <f t="shared" si="59"/>
        <v/>
      </c>
      <c r="AD305" s="1230">
        <f t="shared" si="54"/>
        <v>0</v>
      </c>
      <c r="AE305" s="1230">
        <f>IF(T305=0,0,IF(K305&gt;'Proposed Lighting'!AA305,0,IF(T305&gt;K305,0,IF(AND(AD305&gt;AA305,AA305&gt;0),0,IF(AND(F305&gt;1,W305&lt;0.01),0,IF('Proposed Lighting'!AU305&gt;'Lighting Controls'!F305,0,IF('Proposed Lighting'!AU305&lt;'Lighting Controls'!F305,0,IF(U305=0,0,Summary!AC608))))))))</f>
        <v>0</v>
      </c>
      <c r="AF305" s="1230">
        <f>IF(T305=0,0,IF(AE305=0,0,IF(K305&gt;'Proposed Lighting'!AA305,0,IF(AND(AD305&gt;AA305,AA305&gt;0),0,IF(U305=0,0,Summary!AD608)))))</f>
        <v>0</v>
      </c>
      <c r="AG305" s="1834">
        <f>IF('Proposed Lighting'!AU305=1,0,IF('Proposed Lighting'!CF305=1,0,T305*W305))</f>
        <v>0</v>
      </c>
      <c r="AH305" s="1834"/>
      <c r="AI305" s="1834"/>
      <c r="AJ305" s="1835">
        <f>IF(T305&lt;1,0,IF(K305&gt;'Proposed Lighting'!AA305,0,IF('Proposed Lighting'!CF305=1,0,IF('Proposed Lighting'!AU305=1,0,IF(T305&gt;K305,0,IF(AND(AD305&gt;AA305,AA305&gt;0),0,IF(AND(F305=2,'Proposed Lighting'!AU305=3),0,IF(AND(F305=3,'Proposed Lighting'!AU305=2),0,IF('Proposed Lighting'!CH305=100,0,IF(AND(F305&lt;3,V305=1,AM305=0),0,IF(AND(F305&gt;1,AF305&lt;1,AN305&lt;1),0,IF(AND(F305&gt;1,AE305&lt;0.69,AF305&lt;1,AN305&lt;1),0,IF(ISERROR(AB305-AC305),"",AB305-AC305)))))))))))))</f>
        <v>0</v>
      </c>
      <c r="AK305" s="1835"/>
      <c r="AL305" s="1835"/>
      <c r="AM305" s="1216">
        <f>IF(Q305=0,0,IF(T305=0,0,IF(T305&gt;K305,0,IF(AND(AS305&gt;0.01,BK305=0),0,IF(AND('Proposed Lighting'!DG305=0,'Lighting Controls'!Z305=0.35),0,IF(AND(T305&lt;=K305,AA305&gt;=AD305,'Proposed Lighting'!AU305=2),VLOOKUP(Q305,$AY$9:$AZ$15,2,FALSE),IF(AND(T305&lt;=K305,AA305&gt;=AD305,'Proposed Lighting'!AU305=3),VLOOKUP(Q305,$AY$17:$AZ$23,2,FALSE))))))))</f>
        <v>0</v>
      </c>
      <c r="AN305" s="1248">
        <f>IF(T305=0,0,IF(K305&gt;'Proposed Lighting'!AA305,0,IF(AE305=0,0,IF(AND(AD305&gt;AA305,AA305&gt;0),0,IF(U305=0,0,Summary!AE608)))))</f>
        <v>0</v>
      </c>
      <c r="AO305" s="1248">
        <f t="shared" si="63"/>
        <v>0</v>
      </c>
      <c r="AP305" s="1249">
        <f>IF('Proposed Lighting'!AU305=1,0,IF(K305=0,0,IF(T305&gt;K305,0,IF(G305=0,0,IF(K305&gt;'Proposed Lighting'!AA305,0,IF(AND(AD305&gt;AA305,AA305&gt;0),0,IF(AND('Proposed Lighting'!AU305=3,AM305=0.5),0,IF(AND(AM305&gt;0,AS305&gt;0,BI305&lt;2),0,IF('Proposed Lighting'!CH305=100,0,IF(AV305=1,0,IF(AND(AM305=35,M305+N305&lt;2),0,AM305)))))))))))</f>
        <v>0</v>
      </c>
      <c r="AQ305" s="1249" t="str">
        <f>IFERROR(ROUND(IF(Q305="","",IF('Proposed Lighting'!$X$4=0,0,IF(AND(AM305=35,M305+N305&lt;2),0,IF(T305&gt;K305,0,IF('Proposed Lighting'!AU305=1,0,IF(AJ305=0,0,IF(AND('Proposed Lighting'!AU305=3,AM305=0.5),0,IF(AND(AD305=75,AP305=0,AV305=0),0,IF(AP305&gt;0.01,AP305*T305,IF(AND(F305&gt;1,W305&lt;0.01),0,IF(AND(F305&gt;1,AO305=0),0,IF(AND('Proposed Lighting'!BC305=22,AV305=0),0,IF(AND(AM305&gt;0,AS305&gt;0,BI305&lt;2),0,IF(AND(AS305&gt;0.01,BK305=0),0,IF(AND(AO305=TRUE,AV305=1,F305=3),MIN(AJ305*0.08,L305),IF(AP305&gt;0.01,AP305*T305,IF(AND(AO305=TRUE,AV305=1,F305=2),MIN(AJ305*0.1,L305)))))))))))))))))),2),"")</f>
        <v/>
      </c>
      <c r="AR305" s="1250">
        <f>IF(Q305=0,0,IF('Proposed Lighting'!$X$4=0,0,IF(AND(AM305&gt;0.01,AQ305&gt;0.01),0,IF('Proposed Lighting'!AU305=1,"Missing Interior or Exterior Selection",IF('Proposed Lighting'!CF305=1,"Selection does not match",IF(K305&gt;'Proposed Lighting'!AA305,"Quantity controlled does not match proposed lighting quantity",IF(T305&gt;K305,"Quantity of sensors exceeds proposed lighting quantity",IF(AND(F305&gt;1,'Proposed Lighting'!AU305&lt;&gt;F305),"Selection does not match",IF(AND(AD305&gt;AA305,AA305&gt;0),"Does not meet minimum connected load",IF(AND(O305&gt;0,AS305&gt;0,BK305&gt;0,'Proposed Lighting'!CH305=0),"Select Control Strategies",IF(AND(AC305&gt;0.1,AJ305=0,AQ305=0),"Does not meet incentive criteria",0)))))))))))</f>
        <v>0</v>
      </c>
      <c r="AS305" s="1224">
        <f>IF('Proposed Lighting'!CH305=100,0,IF(ISNUMBER(SEARCH("multiple",Q305)),1,0))</f>
        <v>0</v>
      </c>
      <c r="AT305" s="451">
        <f t="shared" si="60"/>
        <v>0</v>
      </c>
      <c r="AU305" s="451">
        <f t="shared" si="61"/>
        <v>0</v>
      </c>
      <c r="AV305" s="1222">
        <f>IF(ISNUMBER(SEARCH("Networked",'Proposed Lighting'!T305)),0,IF(ISNUMBER(SEARCH("Strategies",'Proposed Lighting'!T305)),0,IF(ISNUMBER(SEARCH("Removal",'Proposed Lighting'!T305)),0,IF(ISNUMBER(SEARCH("non-standard",Q305)),1,0))))</f>
        <v>0</v>
      </c>
      <c r="AW305" s="451">
        <f t="shared" si="64"/>
        <v>0</v>
      </c>
      <c r="AX305" s="451"/>
      <c r="AY305" s="451"/>
      <c r="AZ305" s="451"/>
      <c r="BA305" s="451"/>
      <c r="BB305" s="451"/>
      <c r="BC305" s="1215"/>
      <c r="BD305" s="1215"/>
      <c r="BE305" s="1215"/>
      <c r="BF305" s="1215"/>
      <c r="BG305" s="1215"/>
      <c r="BH305" s="1215"/>
      <c r="BI305">
        <f>IF(AND(AS305=1,BC305="No",BD305="Yes",BE305="Yes",BF305="No",BH305="No"),0,IF(AND('Proposed Lighting'!AU305=2,AS305=1,BC305="Yes",BD305="Yes"),2,IF(AND('Proposed Lighting'!AU305=2,AS305=1,BC305="Yes",BE305="Yes"),2,IF(AND('Proposed Lighting'!AU305=2,AS305=1,BC305="Yes",BF305="Yes"),2,IF(AND('Proposed Lighting'!AU305=2,AS305=1,BC305="Yes",BH305="Yes"),2,IF(AND('Proposed Lighting'!AU305=2,AS305=1,BD305="Yes",BF305="Yes"),2,IF(AND('Proposed Lighting'!AU305=2,AS305=1,BD305="Yes",BH305="Yes"),2,IF(AND('Proposed Lighting'!AU305=3,AS305=1,BC305="Yes",BE305="Yes"),2,IF(AND('Proposed Lighting'!AU305=3,AS305=1,BC305="Yes",BF305="Yes"),2,0)))))))))</f>
        <v>0</v>
      </c>
      <c r="BJ305" s="1025">
        <f t="shared" si="62"/>
        <v>0</v>
      </c>
      <c r="BK305">
        <f>IF(AND('Proposed Lighting'!BC305=22,'Lighting Controls'!N305=1),0,IF(ISNUMBER(SEARCH("LED",G305)),1,0))</f>
        <v>0</v>
      </c>
    </row>
    <row r="306" spans="1:63" ht="34.5" customHeight="1">
      <c r="A306" s="917">
        <v>298</v>
      </c>
      <c r="B306" s="1828" t="str">
        <f>IF('Proposed Lighting'!B306="","",'Proposed Lighting'!B306)</f>
        <v/>
      </c>
      <c r="C306" s="1828"/>
      <c r="D306" s="1828"/>
      <c r="E306" s="1245">
        <f>'Proposed Lighting'!AA306</f>
        <v>0</v>
      </c>
      <c r="F306" s="1245">
        <f t="shared" si="55"/>
        <v>0</v>
      </c>
      <c r="G306" s="1830" t="str">
        <f>IF('Proposed Lighting'!T306="","",IF(ISNUMBER(SEARCH("Networked",'Proposed Lighting'!T306)),0,IF(ISNUMBER(SEARCH("Strategies",'Proposed Lighting'!T306)),0,IF(ISNUMBER(SEARCH("Removal",'Proposed Lighting'!T306)),0,'Proposed Lighting'!T306))))</f>
        <v/>
      </c>
      <c r="H306" s="1830"/>
      <c r="I306" s="1830"/>
      <c r="J306" s="1830"/>
      <c r="K306" s="1215"/>
      <c r="L306" s="1246">
        <f t="shared" si="56"/>
        <v>0</v>
      </c>
      <c r="M306" s="1224">
        <f t="shared" si="57"/>
        <v>0</v>
      </c>
      <c r="N306" s="1224">
        <f t="shared" si="58"/>
        <v>0</v>
      </c>
      <c r="O306" s="1825" t="str">
        <f>IF(G306=0,0,IF(ISNA('Proposed Lighting'!AT306),0,'Proposed Lighting'!AT306))</f>
        <v/>
      </c>
      <c r="P306" s="1825"/>
      <c r="Q306" s="1247"/>
      <c r="R306" s="1247"/>
      <c r="S306" s="1247"/>
      <c r="T306" s="1211"/>
      <c r="U306" s="1235">
        <f>IF(K306&gt;0.01,'Proposed Lighting'!CU306,0)</f>
        <v>0</v>
      </c>
      <c r="V306" s="1248">
        <f>IF('Proposed Lighting'!CF306=1,0,IF('Proposed Lighting'!AU306=2,0,IF(AND('Proposed Lighting'!AU306=3,'Proposed Lighting'!CF306=0),1,0)))</f>
        <v>0</v>
      </c>
      <c r="W306" s="1836"/>
      <c r="X306" s="1836"/>
      <c r="Y306" s="1836"/>
      <c r="Z306" s="1230" t="str">
        <f t="shared" si="52"/>
        <v/>
      </c>
      <c r="AA306" s="1230">
        <f t="shared" si="53"/>
        <v>0</v>
      </c>
      <c r="AB306" s="1230">
        <f>IF(Q306=0,0,IF(T306=0,0,IF(AA306=0,0,IF(AND(F306=3,V306=0),0,IF(T306=0,0,IF(K306&gt;'Proposed Lighting'!AA306,0,IF('Proposed Lighting'!EJ306&gt;0.01,(K306*O306)*'Proposed Lighting'!EJ306/1000,(K306*O306)*U306/1000)))))))</f>
        <v>0</v>
      </c>
      <c r="AC306" s="1230" t="str">
        <f t="shared" si="59"/>
        <v/>
      </c>
      <c r="AD306" s="1230">
        <f t="shared" si="54"/>
        <v>0</v>
      </c>
      <c r="AE306" s="1230">
        <f>IF(T306=0,0,IF(K306&gt;'Proposed Lighting'!AA306,0,IF(T306&gt;K306,0,IF(AND(AD306&gt;AA306,AA306&gt;0),0,IF(AND(F306&gt;1,W306&lt;0.01),0,IF('Proposed Lighting'!AU306&gt;'Lighting Controls'!F306,0,IF('Proposed Lighting'!AU306&lt;'Lighting Controls'!F306,0,IF(U306=0,0,Summary!AC609))))))))</f>
        <v>0</v>
      </c>
      <c r="AF306" s="1230">
        <f>IF(T306=0,0,IF(AE306=0,0,IF(K306&gt;'Proposed Lighting'!AA306,0,IF(AND(AD306&gt;AA306,AA306&gt;0),0,IF(U306=0,0,Summary!AD609)))))</f>
        <v>0</v>
      </c>
      <c r="AG306" s="1834">
        <f>IF('Proposed Lighting'!AU306=1,0,IF('Proposed Lighting'!CF306=1,0,T306*W306))</f>
        <v>0</v>
      </c>
      <c r="AH306" s="1834"/>
      <c r="AI306" s="1834"/>
      <c r="AJ306" s="1835">
        <f>IF(T306&lt;1,0,IF(K306&gt;'Proposed Lighting'!AA306,0,IF('Proposed Lighting'!CF306=1,0,IF('Proposed Lighting'!AU306=1,0,IF(T306&gt;K306,0,IF(AND(AD306&gt;AA306,AA306&gt;0),0,IF(AND(F306=2,'Proposed Lighting'!AU306=3),0,IF(AND(F306=3,'Proposed Lighting'!AU306=2),0,IF('Proposed Lighting'!CH306=100,0,IF(AND(F306&lt;3,V306=1,AM306=0),0,IF(AND(F306&gt;1,AF306&lt;1,AN306&lt;1),0,IF(AND(F306&gt;1,AE306&lt;0.69,AF306&lt;1,AN306&lt;1),0,IF(ISERROR(AB306-AC306),"",AB306-AC306)))))))))))))</f>
        <v>0</v>
      </c>
      <c r="AK306" s="1835"/>
      <c r="AL306" s="1835"/>
      <c r="AM306" s="1216">
        <f>IF(Q306=0,0,IF(T306=0,0,IF(T306&gt;K306,0,IF(AND(AS306&gt;0.01,BK306=0),0,IF(AND('Proposed Lighting'!DG306=0,'Lighting Controls'!Z306=0.35),0,IF(AND(T306&lt;=K306,AA306&gt;=AD306,'Proposed Lighting'!AU306=2),VLOOKUP(Q306,$AY$9:$AZ$15,2,FALSE),IF(AND(T306&lt;=K306,AA306&gt;=AD306,'Proposed Lighting'!AU306=3),VLOOKUP(Q306,$AY$17:$AZ$23,2,FALSE))))))))</f>
        <v>0</v>
      </c>
      <c r="AN306" s="1248">
        <f>IF(T306=0,0,IF(K306&gt;'Proposed Lighting'!AA306,0,IF(AE306=0,0,IF(AND(AD306&gt;AA306,AA306&gt;0),0,IF(U306=0,0,Summary!AE609)))))</f>
        <v>0</v>
      </c>
      <c r="AO306" s="1248">
        <f t="shared" si="63"/>
        <v>0</v>
      </c>
      <c r="AP306" s="1249">
        <f>IF('Proposed Lighting'!AU306=1,0,IF(K306=0,0,IF(T306&gt;K306,0,IF(G306=0,0,IF(K306&gt;'Proposed Lighting'!AA306,0,IF(AND(AD306&gt;AA306,AA306&gt;0),0,IF(AND('Proposed Lighting'!AU306=3,AM306=0.5),0,IF(AND(AM306&gt;0,AS306&gt;0,BI306&lt;2),0,IF('Proposed Lighting'!CH306=100,0,IF(AV306=1,0,IF(AND(AM306=35,M306+N306&lt;2),0,AM306)))))))))))</f>
        <v>0</v>
      </c>
      <c r="AQ306" s="1249" t="str">
        <f>IFERROR(ROUND(IF(Q306="","",IF('Proposed Lighting'!$X$4=0,0,IF(AND(AM306=35,M306+N306&lt;2),0,IF(T306&gt;K306,0,IF('Proposed Lighting'!AU306=1,0,IF(AJ306=0,0,IF(AND('Proposed Lighting'!AU306=3,AM306=0.5),0,IF(AND(AD306=75,AP306=0,AV306=0),0,IF(AP306&gt;0.01,AP306*T306,IF(AND(F306&gt;1,W306&lt;0.01),0,IF(AND(F306&gt;1,AO306=0),0,IF(AND('Proposed Lighting'!BC306=22,AV306=0),0,IF(AND(AM306&gt;0,AS306&gt;0,BI306&lt;2),0,IF(AND(AS306&gt;0.01,BK306=0),0,IF(AND(AO306=TRUE,AV306=1,F306=3),MIN(AJ306*0.08,L306),IF(AP306&gt;0.01,AP306*T306,IF(AND(AO306=TRUE,AV306=1,F306=2),MIN(AJ306*0.1,L306)))))))))))))))))),2),"")</f>
        <v/>
      </c>
      <c r="AR306" s="1250">
        <f>IF(Q306=0,0,IF('Proposed Lighting'!$X$4=0,0,IF(AND(AM306&gt;0.01,AQ306&gt;0.01),0,IF('Proposed Lighting'!AU306=1,"Missing Interior or Exterior Selection",IF('Proposed Lighting'!CF306=1,"Selection does not match",IF(K306&gt;'Proposed Lighting'!AA306,"Quantity controlled does not match proposed lighting quantity",IF(T306&gt;K306,"Quantity of sensors exceeds proposed lighting quantity",IF(AND(F306&gt;1,'Proposed Lighting'!AU306&lt;&gt;F306),"Selection does not match",IF(AND(AD306&gt;AA306,AA306&gt;0),"Does not meet minimum connected load",IF(AND(O306&gt;0,AS306&gt;0,BK306&gt;0,'Proposed Lighting'!CH306=0),"Select Control Strategies",IF(AND(AC306&gt;0.1,AJ306=0,AQ306=0),"Does not meet incentive criteria",0)))))))))))</f>
        <v>0</v>
      </c>
      <c r="AS306" s="1224">
        <f>IF('Proposed Lighting'!CH306=100,0,IF(ISNUMBER(SEARCH("multiple",Q306)),1,0))</f>
        <v>0</v>
      </c>
      <c r="AT306" s="451">
        <f t="shared" si="60"/>
        <v>0</v>
      </c>
      <c r="AU306" s="451">
        <f t="shared" si="61"/>
        <v>0</v>
      </c>
      <c r="AV306" s="1222">
        <f>IF(ISNUMBER(SEARCH("Networked",'Proposed Lighting'!T306)),0,IF(ISNUMBER(SEARCH("Strategies",'Proposed Lighting'!T306)),0,IF(ISNUMBER(SEARCH("Removal",'Proposed Lighting'!T306)),0,IF(ISNUMBER(SEARCH("non-standard",Q306)),1,0))))</f>
        <v>0</v>
      </c>
      <c r="AW306" s="451">
        <f t="shared" si="64"/>
        <v>0</v>
      </c>
      <c r="AX306" s="451"/>
      <c r="AY306" s="451"/>
      <c r="AZ306" s="451"/>
      <c r="BA306" s="451"/>
      <c r="BB306" s="451"/>
      <c r="BC306" s="1215"/>
      <c r="BD306" s="1215"/>
      <c r="BE306" s="1215"/>
      <c r="BF306" s="1215"/>
      <c r="BG306" s="1215"/>
      <c r="BH306" s="1215"/>
      <c r="BI306">
        <f>IF(AND(AS306=1,BC306="No",BD306="Yes",BE306="Yes",BF306="No",BH306="No"),0,IF(AND('Proposed Lighting'!AU306=2,AS306=1,BC306="Yes",BD306="Yes"),2,IF(AND('Proposed Lighting'!AU306=2,AS306=1,BC306="Yes",BE306="Yes"),2,IF(AND('Proposed Lighting'!AU306=2,AS306=1,BC306="Yes",BF306="Yes"),2,IF(AND('Proposed Lighting'!AU306=2,AS306=1,BC306="Yes",BH306="Yes"),2,IF(AND('Proposed Lighting'!AU306=2,AS306=1,BD306="Yes",BF306="Yes"),2,IF(AND('Proposed Lighting'!AU306=2,AS306=1,BD306="Yes",BH306="Yes"),2,IF(AND('Proposed Lighting'!AU306=3,AS306=1,BC306="Yes",BE306="Yes"),2,IF(AND('Proposed Lighting'!AU306=3,AS306=1,BC306="Yes",BF306="Yes"),2,0)))))))))</f>
        <v>0</v>
      </c>
      <c r="BJ306" s="1025">
        <f t="shared" si="62"/>
        <v>0</v>
      </c>
      <c r="BK306">
        <f>IF(AND('Proposed Lighting'!BC306=22,'Lighting Controls'!N306=1),0,IF(ISNUMBER(SEARCH("LED",G306)),1,0))</f>
        <v>0</v>
      </c>
    </row>
    <row r="307" spans="1:63" ht="34.5" customHeight="1">
      <c r="A307" s="917">
        <v>299</v>
      </c>
      <c r="B307" s="1828" t="str">
        <f>IF('Proposed Lighting'!B307="","",'Proposed Lighting'!B307)</f>
        <v/>
      </c>
      <c r="C307" s="1828"/>
      <c r="D307" s="1828"/>
      <c r="E307" s="1245">
        <f>'Proposed Lighting'!AA307</f>
        <v>0</v>
      </c>
      <c r="F307" s="1245">
        <f t="shared" si="55"/>
        <v>0</v>
      </c>
      <c r="G307" s="1830" t="str">
        <f>IF('Proposed Lighting'!T307="","",IF(ISNUMBER(SEARCH("Networked",'Proposed Lighting'!T307)),0,IF(ISNUMBER(SEARCH("Strategies",'Proposed Lighting'!T307)),0,IF(ISNUMBER(SEARCH("Removal",'Proposed Lighting'!T307)),0,'Proposed Lighting'!T307))))</f>
        <v/>
      </c>
      <c r="H307" s="1830"/>
      <c r="I307" s="1830"/>
      <c r="J307" s="1830"/>
      <c r="K307" s="1215"/>
      <c r="L307" s="1246">
        <f t="shared" si="56"/>
        <v>0</v>
      </c>
      <c r="M307" s="1224">
        <f t="shared" si="57"/>
        <v>0</v>
      </c>
      <c r="N307" s="1224">
        <f t="shared" si="58"/>
        <v>0</v>
      </c>
      <c r="O307" s="1825" t="str">
        <f>IF(G307=0,0,IF(ISNA('Proposed Lighting'!AT307),0,'Proposed Lighting'!AT307))</f>
        <v/>
      </c>
      <c r="P307" s="1825"/>
      <c r="Q307" s="1247"/>
      <c r="R307" s="1247"/>
      <c r="S307" s="1247"/>
      <c r="T307" s="1211"/>
      <c r="U307" s="1235">
        <f>IF(K307&gt;0.01,'Proposed Lighting'!CU307,0)</f>
        <v>0</v>
      </c>
      <c r="V307" s="1248">
        <f>IF('Proposed Lighting'!CF307=1,0,IF('Proposed Lighting'!AU307=2,0,IF(AND('Proposed Lighting'!AU307=3,'Proposed Lighting'!CF307=0),1,0)))</f>
        <v>0</v>
      </c>
      <c r="W307" s="1836"/>
      <c r="X307" s="1836"/>
      <c r="Y307" s="1836"/>
      <c r="Z307" s="1230" t="str">
        <f t="shared" si="52"/>
        <v/>
      </c>
      <c r="AA307" s="1230">
        <f t="shared" si="53"/>
        <v>0</v>
      </c>
      <c r="AB307" s="1230">
        <f>IF(Q307=0,0,IF(T307=0,0,IF(AA307=0,0,IF(AND(F307=3,V307=0),0,IF(T307=0,0,IF(K307&gt;'Proposed Lighting'!AA307,0,IF('Proposed Lighting'!EJ307&gt;0.01,(K307*O307)*'Proposed Lighting'!EJ307/1000,(K307*O307)*U307/1000)))))))</f>
        <v>0</v>
      </c>
      <c r="AC307" s="1230" t="str">
        <f t="shared" si="59"/>
        <v/>
      </c>
      <c r="AD307" s="1230">
        <f t="shared" si="54"/>
        <v>0</v>
      </c>
      <c r="AE307" s="1230">
        <f>IF(T307=0,0,IF(K307&gt;'Proposed Lighting'!AA307,0,IF(T307&gt;K307,0,IF(AND(AD307&gt;AA307,AA307&gt;0),0,IF(AND(F307&gt;1,W307&lt;0.01),0,IF('Proposed Lighting'!AU307&gt;'Lighting Controls'!F307,0,IF('Proposed Lighting'!AU307&lt;'Lighting Controls'!F307,0,IF(U307=0,0,Summary!AC610))))))))</f>
        <v>0</v>
      </c>
      <c r="AF307" s="1230">
        <f>IF(T307=0,0,IF(AE307=0,0,IF(K307&gt;'Proposed Lighting'!AA307,0,IF(AND(AD307&gt;AA307,AA307&gt;0),0,IF(U307=0,0,Summary!AD610)))))</f>
        <v>0</v>
      </c>
      <c r="AG307" s="1834">
        <f>IF('Proposed Lighting'!AU307=1,0,IF('Proposed Lighting'!CF307=1,0,T307*W307))</f>
        <v>0</v>
      </c>
      <c r="AH307" s="1834"/>
      <c r="AI307" s="1834"/>
      <c r="AJ307" s="1835">
        <f>IF(T307&lt;1,0,IF(K307&gt;'Proposed Lighting'!AA307,0,IF('Proposed Lighting'!CF307=1,0,IF('Proposed Lighting'!AU307=1,0,IF(T307&gt;K307,0,IF(AND(AD307&gt;AA307,AA307&gt;0),0,IF(AND(F307=2,'Proposed Lighting'!AU307=3),0,IF(AND(F307=3,'Proposed Lighting'!AU307=2),0,IF('Proposed Lighting'!CH307=100,0,IF(AND(F307&lt;3,V307=1,AM307=0),0,IF(AND(F307&gt;1,AF307&lt;1,AN307&lt;1),0,IF(AND(F307&gt;1,AE307&lt;0.69,AF307&lt;1,AN307&lt;1),0,IF(ISERROR(AB307-AC307),"",AB307-AC307)))))))))))))</f>
        <v>0</v>
      </c>
      <c r="AK307" s="1835"/>
      <c r="AL307" s="1835"/>
      <c r="AM307" s="1216">
        <f>IF(Q307=0,0,IF(T307=0,0,IF(T307&gt;K307,0,IF(AND(AS307&gt;0.01,BK307=0),0,IF(AND('Proposed Lighting'!DG307=0,'Lighting Controls'!Z307=0.35),0,IF(AND(T307&lt;=K307,AA307&gt;=AD307,'Proposed Lighting'!AU307=2),VLOOKUP(Q307,$AY$9:$AZ$15,2,FALSE),IF(AND(T307&lt;=K307,AA307&gt;=AD307,'Proposed Lighting'!AU307=3),VLOOKUP(Q307,$AY$17:$AZ$23,2,FALSE))))))))</f>
        <v>0</v>
      </c>
      <c r="AN307" s="1248">
        <f>IF(T307=0,0,IF(K307&gt;'Proposed Lighting'!AA307,0,IF(AE307=0,0,IF(AND(AD307&gt;AA307,AA307&gt;0),0,IF(U307=0,0,Summary!AE610)))))</f>
        <v>0</v>
      </c>
      <c r="AO307" s="1248">
        <f t="shared" si="63"/>
        <v>0</v>
      </c>
      <c r="AP307" s="1249">
        <f>IF('Proposed Lighting'!AU307=1,0,IF(K307=0,0,IF(T307&gt;K307,0,IF(G307=0,0,IF(K307&gt;'Proposed Lighting'!AA307,0,IF(AND(AD307&gt;AA307,AA307&gt;0),0,IF(AND('Proposed Lighting'!AU307=3,AM307=0.5),0,IF(AND(AM307&gt;0,AS307&gt;0,BI307&lt;2),0,IF('Proposed Lighting'!CH307=100,0,IF(AV307=1,0,IF(AND(AM307=35,M307+N307&lt;2),0,AM307)))))))))))</f>
        <v>0</v>
      </c>
      <c r="AQ307" s="1249" t="str">
        <f>IFERROR(ROUND(IF(Q307="","",IF('Proposed Lighting'!$X$4=0,0,IF(AND(AM307=35,M307+N307&lt;2),0,IF(T307&gt;K307,0,IF('Proposed Lighting'!AU307=1,0,IF(AJ307=0,0,IF(AND('Proposed Lighting'!AU307=3,AM307=0.5),0,IF(AND(AD307=75,AP307=0,AV307=0),0,IF(AP307&gt;0.01,AP307*T307,IF(AND(F307&gt;1,W307&lt;0.01),0,IF(AND(F307&gt;1,AO307=0),0,IF(AND('Proposed Lighting'!BC307=22,AV307=0),0,IF(AND(AM307&gt;0,AS307&gt;0,BI307&lt;2),0,IF(AND(AS307&gt;0.01,BK307=0),0,IF(AND(AO307=TRUE,AV307=1,F307=3),MIN(AJ307*0.08,L307),IF(AP307&gt;0.01,AP307*T307,IF(AND(AO307=TRUE,AV307=1,F307=2),MIN(AJ307*0.1,L307)))))))))))))))))),2),"")</f>
        <v/>
      </c>
      <c r="AR307" s="1250">
        <f>IF(Q307=0,0,IF('Proposed Lighting'!$X$4=0,0,IF(AND(AM307&gt;0.01,AQ307&gt;0.01),0,IF('Proposed Lighting'!AU307=1,"Missing Interior or Exterior Selection",IF('Proposed Lighting'!CF307=1,"Selection does not match",IF(K307&gt;'Proposed Lighting'!AA307,"Quantity controlled does not match proposed lighting quantity",IF(T307&gt;K307,"Quantity of sensors exceeds proposed lighting quantity",IF(AND(F307&gt;1,'Proposed Lighting'!AU307&lt;&gt;F307),"Selection does not match",IF(AND(AD307&gt;AA307,AA307&gt;0),"Does not meet minimum connected load",IF(AND(O307&gt;0,AS307&gt;0,BK307&gt;0,'Proposed Lighting'!CH307=0),"Select Control Strategies",IF(AND(AC307&gt;0.1,AJ307=0,AQ307=0),"Does not meet incentive criteria",0)))))))))))</f>
        <v>0</v>
      </c>
      <c r="AS307" s="1224">
        <f>IF('Proposed Lighting'!CH307=100,0,IF(ISNUMBER(SEARCH("multiple",Q307)),1,0))</f>
        <v>0</v>
      </c>
      <c r="AT307" s="451">
        <f t="shared" si="60"/>
        <v>0</v>
      </c>
      <c r="AU307" s="451">
        <f t="shared" si="61"/>
        <v>0</v>
      </c>
      <c r="AV307" s="1222">
        <f>IF(ISNUMBER(SEARCH("Networked",'Proposed Lighting'!T307)),0,IF(ISNUMBER(SEARCH("Strategies",'Proposed Lighting'!T307)),0,IF(ISNUMBER(SEARCH("Removal",'Proposed Lighting'!T307)),0,IF(ISNUMBER(SEARCH("non-standard",Q307)),1,0))))</f>
        <v>0</v>
      </c>
      <c r="AW307" s="451">
        <f t="shared" si="64"/>
        <v>0</v>
      </c>
      <c r="AX307" s="451"/>
      <c r="AY307" s="451"/>
      <c r="AZ307" s="451"/>
      <c r="BA307" s="451"/>
      <c r="BB307" s="451"/>
      <c r="BC307" s="1215"/>
      <c r="BD307" s="1215"/>
      <c r="BE307" s="1215"/>
      <c r="BF307" s="1215"/>
      <c r="BG307" s="1215"/>
      <c r="BH307" s="1215"/>
      <c r="BI307">
        <f>IF(AND(AS307=1,BC307="No",BD307="Yes",BE307="Yes",BF307="No",BH307="No"),0,IF(AND('Proposed Lighting'!AU307=2,AS307=1,BC307="Yes",BD307="Yes"),2,IF(AND('Proposed Lighting'!AU307=2,AS307=1,BC307="Yes",BE307="Yes"),2,IF(AND('Proposed Lighting'!AU307=2,AS307=1,BC307="Yes",BF307="Yes"),2,IF(AND('Proposed Lighting'!AU307=2,AS307=1,BC307="Yes",BH307="Yes"),2,IF(AND('Proposed Lighting'!AU307=2,AS307=1,BD307="Yes",BF307="Yes"),2,IF(AND('Proposed Lighting'!AU307=2,AS307=1,BD307="Yes",BH307="Yes"),2,IF(AND('Proposed Lighting'!AU307=3,AS307=1,BC307="Yes",BE307="Yes"),2,IF(AND('Proposed Lighting'!AU307=3,AS307=1,BC307="Yes",BF307="Yes"),2,0)))))))))</f>
        <v>0</v>
      </c>
      <c r="BJ307" s="1025">
        <f t="shared" si="62"/>
        <v>0</v>
      </c>
      <c r="BK307">
        <f>IF(AND('Proposed Lighting'!BC307=22,'Lighting Controls'!N307=1),0,IF(ISNUMBER(SEARCH("LED",G307)),1,0))</f>
        <v>0</v>
      </c>
    </row>
    <row r="308" spans="1:63" ht="34.5" customHeight="1">
      <c r="A308" s="917">
        <v>300</v>
      </c>
      <c r="B308" s="1828" t="str">
        <f>IF('Proposed Lighting'!B308="","",'Proposed Lighting'!B308)</f>
        <v/>
      </c>
      <c r="C308" s="1828"/>
      <c r="D308" s="1828"/>
      <c r="E308" s="1245">
        <f>'Proposed Lighting'!AA308</f>
        <v>0</v>
      </c>
      <c r="F308" s="1245">
        <f t="shared" si="55"/>
        <v>0</v>
      </c>
      <c r="G308" s="1830" t="str">
        <f>IF('Proposed Lighting'!T308="","",IF(ISNUMBER(SEARCH("Networked",'Proposed Lighting'!T308)),0,IF(ISNUMBER(SEARCH("Strategies",'Proposed Lighting'!T308)),0,IF(ISNUMBER(SEARCH("Removal",'Proposed Lighting'!T308)),0,'Proposed Lighting'!T308))))</f>
        <v/>
      </c>
      <c r="H308" s="1830"/>
      <c r="I308" s="1830"/>
      <c r="J308" s="1830"/>
      <c r="K308" s="1215"/>
      <c r="L308" s="1246">
        <f t="shared" si="56"/>
        <v>0</v>
      </c>
      <c r="M308" s="1224">
        <f t="shared" si="57"/>
        <v>0</v>
      </c>
      <c r="N308" s="1224">
        <f t="shared" si="58"/>
        <v>0</v>
      </c>
      <c r="O308" s="1825" t="str">
        <f>IF(G308=0,0,IF(ISNA('Proposed Lighting'!AT308),0,'Proposed Lighting'!AT308))</f>
        <v/>
      </c>
      <c r="P308" s="1825"/>
      <c r="Q308" s="1247"/>
      <c r="R308" s="1247"/>
      <c r="S308" s="1247"/>
      <c r="T308" s="1211"/>
      <c r="U308" s="1235">
        <f>IF(K308&gt;0.01,'Proposed Lighting'!CU308,0)</f>
        <v>0</v>
      </c>
      <c r="V308" s="1248">
        <f>IF('Proposed Lighting'!CF308=1,0,IF('Proposed Lighting'!AU308=2,0,IF(AND('Proposed Lighting'!AU308=3,'Proposed Lighting'!CF308=0),1,0)))</f>
        <v>0</v>
      </c>
      <c r="W308" s="1836"/>
      <c r="X308" s="1836"/>
      <c r="Y308" s="1836"/>
      <c r="Z308" s="1230" t="str">
        <f t="shared" si="52"/>
        <v/>
      </c>
      <c r="AA308" s="1230">
        <f t="shared" si="53"/>
        <v>0</v>
      </c>
      <c r="AB308" s="1230">
        <f>IF(Q308=0,0,IF(T308=0,0,IF(AA308=0,0,IF(AND(F308=3,V308=0),0,IF(T308=0,0,IF(K308&gt;'Proposed Lighting'!AA308,0,IF('Proposed Lighting'!EJ308&gt;0.01,(K308*O308)*'Proposed Lighting'!EJ308/1000,(K308*O308)*U308/1000)))))))</f>
        <v>0</v>
      </c>
      <c r="AC308" s="1230" t="str">
        <f t="shared" si="59"/>
        <v/>
      </c>
      <c r="AD308" s="1230">
        <f t="shared" si="54"/>
        <v>0</v>
      </c>
      <c r="AE308" s="1230">
        <f>IF(T308=0,0,IF(K308&gt;'Proposed Lighting'!AA308,0,IF(T308&gt;K308,0,IF(AND(AD308&gt;AA308,AA308&gt;0),0,IF(AND(F308&gt;1,W308&lt;0.01),0,IF('Proposed Lighting'!AU308&gt;'Lighting Controls'!F308,0,IF('Proposed Lighting'!AU308&lt;'Lighting Controls'!F308,0,IF(U308=0,0,Summary!AC611))))))))</f>
        <v>0</v>
      </c>
      <c r="AF308" s="1230">
        <f>IF(T308=0,0,IF(AE308=0,0,IF(K308&gt;'Proposed Lighting'!AA308,0,IF(AND(AD308&gt;AA308,AA308&gt;0),0,IF(U308=0,0,Summary!AD611)))))</f>
        <v>0</v>
      </c>
      <c r="AG308" s="1834">
        <f>IF('Proposed Lighting'!AU308=1,0,IF('Proposed Lighting'!CF308=1,0,T308*W308))</f>
        <v>0</v>
      </c>
      <c r="AH308" s="1834"/>
      <c r="AI308" s="1834"/>
      <c r="AJ308" s="1835">
        <f>IF(T308&lt;1,0,IF(K308&gt;'Proposed Lighting'!AA308,0,IF('Proposed Lighting'!CF308=1,0,IF('Proposed Lighting'!AU308=1,0,IF(T308&gt;K308,0,IF(AND(AD308&gt;AA308,AA308&gt;0),0,IF(AND(F308=2,'Proposed Lighting'!AU308=3),0,IF(AND(F308=3,'Proposed Lighting'!AU308=2),0,IF('Proposed Lighting'!CH308=100,0,IF(AND(F308&lt;3,V308=1,AM308=0),0,IF(AND(F308&gt;1,AF308&lt;1,AN308&lt;1),0,IF(AND(F308&gt;1,AE308&lt;0.69,AF308&lt;1,AN308&lt;1),0,IF(ISERROR(AB308-AC308),"",AB308-AC308)))))))))))))</f>
        <v>0</v>
      </c>
      <c r="AK308" s="1835"/>
      <c r="AL308" s="1835"/>
      <c r="AM308" s="1216">
        <f>IF(Q308=0,0,IF(T308=0,0,IF(T308&gt;K308,0,IF(AND(AS308&gt;0.01,BK308=0),0,IF(AND('Proposed Lighting'!DG308=0,'Lighting Controls'!Z308=0.35),0,IF(AND(T308&lt;=K308,AA308&gt;=AD308,'Proposed Lighting'!AU308=2),VLOOKUP(Q308,$AY$9:$AZ$15,2,FALSE),IF(AND(T308&lt;=K308,AA308&gt;=AD308,'Proposed Lighting'!AU308=3),VLOOKUP(Q308,$AY$17:$AZ$23,2,FALSE))))))))</f>
        <v>0</v>
      </c>
      <c r="AN308" s="1248">
        <f>IF(T308=0,0,IF(K308&gt;'Proposed Lighting'!AA308,0,IF(AE308=0,0,IF(AND(AD308&gt;AA308,AA308&gt;0),0,IF(U308=0,0,Summary!AE611)))))</f>
        <v>0</v>
      </c>
      <c r="AO308" s="1248">
        <f t="shared" si="63"/>
        <v>0</v>
      </c>
      <c r="AP308" s="1249">
        <f>IF('Proposed Lighting'!AU308=1,0,IF(K308=0,0,IF(T308&gt;K308,0,IF(G308=0,0,IF(K308&gt;'Proposed Lighting'!AA308,0,IF(AND(AD308&gt;AA308,AA308&gt;0),0,IF(AND('Proposed Lighting'!AU308=3,AM308=0.5),0,IF(AND(AM308&gt;0,AS308&gt;0,BI308&lt;2),0,IF('Proposed Lighting'!CH308=100,0,IF(AV308=1,0,IF(AND(AM308=35,M308+N308&lt;2),0,AM308)))))))))))</f>
        <v>0</v>
      </c>
      <c r="AQ308" s="1249" t="str">
        <f>IFERROR(ROUND(IF(Q308="","",IF('Proposed Lighting'!$X$4=0,0,IF(AND(AM308=35,M308+N308&lt;2),0,IF(T308&gt;K308,0,IF('Proposed Lighting'!AU308=1,0,IF(AJ308=0,0,IF(AND('Proposed Lighting'!AU308=3,AM308=0.5),0,IF(AND(AD308=75,AP308=0,AV308=0),0,IF(AP308&gt;0.01,AP308*T308,IF(AND(F308&gt;1,W308&lt;0.01),0,IF(AND(F308&gt;1,AO308=0),0,IF(AND('Proposed Lighting'!BC308=22,AV308=0),0,IF(AND(AM308&gt;0,AS308&gt;0,BI308&lt;2),0,IF(AND(AS308&gt;0.01,BK308=0),0,IF(AND(AO308=TRUE,AV308=1,F308=3),MIN(AJ308*0.08,L308),IF(AP308&gt;0.01,AP308*T308,IF(AND(AO308=TRUE,AV308=1,F308=2),MIN(AJ308*0.1,L308)))))))))))))))))),2),"")</f>
        <v/>
      </c>
      <c r="AR308" s="1250">
        <f>IF(Q308=0,0,IF('Proposed Lighting'!$X$4=0,0,IF(AND(AM308&gt;0.01,AQ308&gt;0.01),0,IF('Proposed Lighting'!AU308=1,"Missing Interior or Exterior Selection",IF('Proposed Lighting'!CF308=1,"Selection does not match",IF(K308&gt;'Proposed Lighting'!AA308,"Quantity controlled does not match proposed lighting quantity",IF(T308&gt;K308,"Quantity of sensors exceeds proposed lighting quantity",IF(AND(F308&gt;1,'Proposed Lighting'!AU308&lt;&gt;F308),"Selection does not match",IF(AND(AD308&gt;AA308,AA308&gt;0),"Does not meet minimum connected load",IF(AND(O308&gt;0,AS308&gt;0,BK308&gt;0,'Proposed Lighting'!CH308=0),"Select Control Strategies",IF(AND(AC308&gt;0.1,AJ308=0,AQ308=0),"Does not meet incentive criteria",0)))))))))))</f>
        <v>0</v>
      </c>
      <c r="AS308" s="1224">
        <f>IF('Proposed Lighting'!CH308=100,0,IF(ISNUMBER(SEARCH("multiple",Q308)),1,0))</f>
        <v>0</v>
      </c>
      <c r="AT308" s="451">
        <f t="shared" si="60"/>
        <v>0</v>
      </c>
      <c r="AU308" s="451">
        <f t="shared" si="61"/>
        <v>0</v>
      </c>
      <c r="AV308" s="1222">
        <f>IF(ISNUMBER(SEARCH("Networked",'Proposed Lighting'!T308)),0,IF(ISNUMBER(SEARCH("Strategies",'Proposed Lighting'!T308)),0,IF(ISNUMBER(SEARCH("Removal",'Proposed Lighting'!T308)),0,IF(ISNUMBER(SEARCH("non-standard",Q308)),1,0))))</f>
        <v>0</v>
      </c>
      <c r="AW308" s="451">
        <f t="shared" si="64"/>
        <v>0</v>
      </c>
      <c r="AX308" s="451"/>
      <c r="AY308" s="451"/>
      <c r="AZ308" s="451"/>
      <c r="BA308" s="451"/>
      <c r="BB308" s="451"/>
      <c r="BC308" s="1215"/>
      <c r="BD308" s="1215"/>
      <c r="BE308" s="1215"/>
      <c r="BF308" s="1215"/>
      <c r="BG308" s="1215"/>
      <c r="BH308" s="1215"/>
      <c r="BI308">
        <f>IF(AND(AS308=1,BC308="No",BD308="Yes",BE308="Yes",BF308="No",BH308="No"),0,IF(AND('Proposed Lighting'!AU308=2,AS308=1,BC308="Yes",BD308="Yes"),2,IF(AND('Proposed Lighting'!AU308=2,AS308=1,BC308="Yes",BE308="Yes"),2,IF(AND('Proposed Lighting'!AU308=2,AS308=1,BC308="Yes",BF308="Yes"),2,IF(AND('Proposed Lighting'!AU308=2,AS308=1,BC308="Yes",BH308="Yes"),2,IF(AND('Proposed Lighting'!AU308=2,AS308=1,BD308="Yes",BF308="Yes"),2,IF(AND('Proposed Lighting'!AU308=2,AS308=1,BD308="Yes",BH308="Yes"),2,IF(AND('Proposed Lighting'!AU308=3,AS308=1,BC308="Yes",BE308="Yes"),2,IF(AND('Proposed Lighting'!AU308=3,AS308=1,BC308="Yes",BF308="Yes"),2,0)))))))))</f>
        <v>0</v>
      </c>
      <c r="BJ308" s="1025">
        <f t="shared" si="62"/>
        <v>0</v>
      </c>
      <c r="BK308">
        <f>IF(AND('Proposed Lighting'!BC308=22,'Lighting Controls'!N308=1),0,IF(ISNUMBER(SEARCH("LED",G308)),1,0))</f>
        <v>0</v>
      </c>
    </row>
    <row r="309" spans="1:63" ht="34.5" customHeight="1">
      <c r="A309" s="917">
        <v>301</v>
      </c>
      <c r="B309" s="1828" t="e">
        <f>IF('Proposed Lighting'!#REF!="","",'Proposed Lighting'!#REF!)</f>
        <v>#REF!</v>
      </c>
      <c r="C309" s="1828"/>
      <c r="D309" s="1828"/>
      <c r="E309" s="1245" t="e">
        <f>'Proposed Lighting'!#REF!</f>
        <v>#REF!</v>
      </c>
      <c r="F309" s="1245">
        <f t="shared" si="55"/>
        <v>0</v>
      </c>
      <c r="G309" s="1830" t="e">
        <f>IF('Proposed Lighting'!#REF!="","",IF(ISNUMBER(SEARCH("Networked",'Proposed Lighting'!#REF!)),0,IF(ISNUMBER(SEARCH("Strategies",'Proposed Lighting'!#REF!)),0,IF(ISNUMBER(SEARCH("Removal",'Proposed Lighting'!#REF!)),0,'Proposed Lighting'!#REF!))))</f>
        <v>#REF!</v>
      </c>
      <c r="H309" s="1830"/>
      <c r="I309" s="1830"/>
      <c r="J309" s="1830"/>
      <c r="K309" s="1215"/>
      <c r="L309" s="1246" t="e">
        <f t="shared" si="56"/>
        <v>#REF!</v>
      </c>
      <c r="M309" s="1224">
        <f t="shared" si="57"/>
        <v>0</v>
      </c>
      <c r="N309" s="1224">
        <f t="shared" si="58"/>
        <v>0</v>
      </c>
      <c r="O309" s="1825" t="e">
        <f>IF(G309=0,0,IF(ISNA('Proposed Lighting'!#REF!),0,'Proposed Lighting'!#REF!))</f>
        <v>#REF!</v>
      </c>
      <c r="P309" s="1825"/>
      <c r="Q309" s="1247"/>
      <c r="R309" s="1247"/>
      <c r="S309" s="1247"/>
      <c r="T309" s="1211"/>
      <c r="U309" s="1235">
        <f>IF(K309&gt;0.01,'Proposed Lighting'!#REF!,0)</f>
        <v>0</v>
      </c>
      <c r="V309" s="1248" t="e">
        <f>IF('Proposed Lighting'!#REF!=1,0,IF('Proposed Lighting'!#REF!=2,0,IF(AND('Proposed Lighting'!#REF!=3,'Proposed Lighting'!#REF!=0),1,0)))</f>
        <v>#REF!</v>
      </c>
      <c r="W309" s="1836"/>
      <c r="X309" s="1836"/>
      <c r="Y309" s="1836"/>
      <c r="Z309" s="1230" t="str">
        <f t="shared" si="52"/>
        <v/>
      </c>
      <c r="AA309" s="1230">
        <f t="shared" si="53"/>
        <v>0</v>
      </c>
      <c r="AB309" s="1230">
        <f>IF(Q309=0,0,IF(T309=0,0,IF(AA309=0,0,IF(AND(F309=3,V309=0),0,IF(T309=0,0,IF(K309&gt;'Proposed Lighting'!#REF!,0,IF('Proposed Lighting'!#REF!&gt;0.01,(K309*O309)*'Proposed Lighting'!#REF!/1000,(K309*O309)*U309/1000)))))))</f>
        <v>0</v>
      </c>
      <c r="AC309" s="1230" t="str">
        <f t="shared" si="59"/>
        <v/>
      </c>
      <c r="AD309" s="1230">
        <f t="shared" si="54"/>
        <v>0</v>
      </c>
      <c r="AE309" s="1230">
        <f>IF(T309=0,0,IF(K309&gt;'Proposed Lighting'!#REF!,0,IF(T309&gt;K309,0,IF(AND(AD309&gt;AA309,AA309&gt;0),0,IF(AND(F309&gt;1,W309&lt;0.01),0,IF('Proposed Lighting'!#REF!&gt;'Lighting Controls'!F309,0,IF('Proposed Lighting'!#REF!&lt;'Lighting Controls'!F309,0,IF(U309=0,0,Summary!#REF!))))))))</f>
        <v>0</v>
      </c>
      <c r="AF309" s="1230">
        <f>IF(T309=0,0,IF(AE309=0,0,IF(K309&gt;'Proposed Lighting'!#REF!,0,IF(AND(AD309&gt;AA309,AA309&gt;0),0,IF(U309=0,0,Summary!#REF!)))))</f>
        <v>0</v>
      </c>
      <c r="AG309" s="1834" t="e">
        <f>IF('Proposed Lighting'!#REF!=1,0,IF('Proposed Lighting'!#REF!=1,0,T309*W309))</f>
        <v>#REF!</v>
      </c>
      <c r="AH309" s="1834"/>
      <c r="AI309" s="1834"/>
      <c r="AJ309" s="1835">
        <f>IF(T309&lt;1,0,IF(K309&gt;'Proposed Lighting'!#REF!,0,IF('Proposed Lighting'!#REF!=1,0,IF('Proposed Lighting'!#REF!=1,0,IF(T309&gt;K309,0,IF(AND(AD309&gt;AA309,AA309&gt;0),0,IF(AND(F309=2,'Proposed Lighting'!#REF!=3),0,IF(AND(F309=3,'Proposed Lighting'!#REF!=2),0,IF('Proposed Lighting'!#REF!=100,0,IF(AND(F309&lt;3,V309=1,AM309=0),0,IF(AND(F309&gt;1,AF309&lt;1,AN309&lt;1),0,IF(AND(F309&gt;1,AE309&lt;0.69,AF309&lt;1,AN309&lt;1),0,IF(ISERROR(AB309-AC309),"",AB309-AC309)))))))))))))</f>
        <v>0</v>
      </c>
      <c r="AK309" s="1835"/>
      <c r="AL309" s="1835"/>
      <c r="AM309" s="1216">
        <f>IF(Q309=0,0,IF(T309=0,0,IF(T309&gt;K309,0,IF(AND(AS309&gt;0.01,BK309=0),0,IF(AND('Proposed Lighting'!#REF!=0,'Lighting Controls'!Z309=0.35),0,IF(AND(T309&lt;=K309,AA309&gt;=AD309,'Proposed Lighting'!#REF!=2),VLOOKUP(Q309,$AY$9:$AZ$15,2,FALSE),IF(AND(T309&lt;=K309,AA309&gt;=AD309,'Proposed Lighting'!#REF!=3),VLOOKUP(Q309,$AY$17:$AZ$23,2,FALSE))))))))</f>
        <v>0</v>
      </c>
      <c r="AN309" s="1248">
        <f>IF(T309=0,0,IF(K309&gt;'Proposed Lighting'!#REF!,0,IF(AE309=0,0,IF(AND(AD309&gt;AA309,AA309&gt;0),0,IF(U309=0,0,Summary!#REF!)))))</f>
        <v>0</v>
      </c>
      <c r="AO309" s="1248">
        <f t="shared" si="63"/>
        <v>0</v>
      </c>
      <c r="AP309" s="1249" t="e">
        <f>IF('Proposed Lighting'!#REF!=1,0,IF(K309=0,0,IF(T309&gt;K309,0,IF(G309=0,0,IF(K309&gt;'Proposed Lighting'!#REF!,0,IF(AND(AD309&gt;AA309,AA309&gt;0),0,IF(AND('Proposed Lighting'!#REF!=3,AM309=0.5),0,IF(AND(AM309&gt;0,AS309&gt;0,BI309&lt;2),0,IF('Proposed Lighting'!#REF!=100,0,IF(AV309=1,0,IF(AND(AM309=35,M309+N309&lt;2),0,AM309)))))))))))</f>
        <v>#REF!</v>
      </c>
      <c r="AQ309" s="1249" t="str">
        <f>IFERROR(ROUND(IF(Q309="","",IF('Proposed Lighting'!$X$4=0,0,IF(AND(AM309=35,M309+N309&lt;2),0,IF(T309&gt;K309,0,IF('Proposed Lighting'!#REF!=1,0,IF(AJ309=0,0,IF(AND('Proposed Lighting'!#REF!=3,AM309=0.5),0,IF(AND(AD309=75,AP309=0,AV309=0),0,IF(AP309&gt;0.01,AP309*T309,IF(AND(F309&gt;1,W309&lt;0.01),0,IF(AND(F309&gt;1,AO309=0),0,IF(AND('Proposed Lighting'!#REF!=22,AV309=0),0,IF(AND(AM309&gt;0,AS309&gt;0,BI309&lt;2),0,IF(AND(AS309&gt;0.01,BK309=0),0,IF(AND(AO309=TRUE,AV309=1,F309=3),MIN(AJ309*0.08,L309),IF(AP309&gt;0.01,AP309*T309,IF(AND(AO309=TRUE,AV309=1,F309=2),MIN(AJ309*0.1,L309)))))))))))))))))),2),"")</f>
        <v/>
      </c>
      <c r="AR309" s="1250">
        <f>IF(Q309=0,0,IF('Proposed Lighting'!$X$4=0,0,IF(AND(AM309&gt;0.01,AQ309&gt;0.01),0,IF('Proposed Lighting'!#REF!=1,"Missing Interior or Exterior Selection",IF('Proposed Lighting'!#REF!=1,"Selection does not match",IF(K309&gt;'Proposed Lighting'!#REF!,"Quantity controlled does not match proposed lighting quantity",IF(T309&gt;K309,"Quantity of sensors exceeds proposed lighting quantity",IF(AND(F309&gt;1,'Proposed Lighting'!#REF!&lt;&gt;F309),"Selection does not match",IF(AND(AD309&gt;AA309,AA309&gt;0),"Does not meet minimum connected load",IF(AND(O309&gt;0,AS309&gt;0,BK309&gt;0,'Proposed Lighting'!#REF!=0),"Select Control Strategies",IF(AND(AC309&gt;0.1,AJ309=0,AQ309=0),"Does not meet incentive criteria",0)))))))))))</f>
        <v>0</v>
      </c>
      <c r="AS309" s="1224" t="e">
        <f>IF('Proposed Lighting'!#REF!=100,0,IF(ISNUMBER(SEARCH("multiple",Q309)),1,0))</f>
        <v>#REF!</v>
      </c>
      <c r="AT309" s="451">
        <f t="shared" si="60"/>
        <v>0</v>
      </c>
      <c r="AU309" s="451" t="e">
        <f t="shared" si="61"/>
        <v>#REF!</v>
      </c>
      <c r="AV309" s="1222">
        <f>IF(ISNUMBER(SEARCH("Networked",'Proposed Lighting'!#REF!)),0,IF(ISNUMBER(SEARCH("Strategies",'Proposed Lighting'!#REF!)),0,IF(ISNUMBER(SEARCH("Removal",'Proposed Lighting'!#REF!)),0,IF(ISNUMBER(SEARCH("non-standard",Q309)),1,0))))</f>
        <v>0</v>
      </c>
      <c r="AW309" s="451">
        <f t="shared" si="64"/>
        <v>0</v>
      </c>
      <c r="AX309" s="451"/>
      <c r="AY309" s="451"/>
      <c r="AZ309" s="451"/>
      <c r="BA309" s="451"/>
      <c r="BB309" s="451"/>
      <c r="BC309" s="1215"/>
      <c r="BD309" s="1215"/>
      <c r="BE309" s="1215"/>
      <c r="BF309" s="1215"/>
      <c r="BG309" s="1215"/>
      <c r="BH309" s="1215"/>
      <c r="BI309" t="e">
        <f>IF(AND(AS309=1,BC309="No",BD309="Yes",BE309="Yes",BF309="No",BH309="No"),0,IF(AND('Proposed Lighting'!#REF!=2,AS309=1,BC309="Yes",BD309="Yes"),2,IF(AND('Proposed Lighting'!#REF!=2,AS309=1,BC309="Yes",BE309="Yes"),2,IF(AND('Proposed Lighting'!#REF!=2,AS309=1,BC309="Yes",BF309="Yes"),2,IF(AND('Proposed Lighting'!#REF!=2,AS309=1,BC309="Yes",BH309="Yes"),2,IF(AND('Proposed Lighting'!#REF!=2,AS309=1,BD309="Yes",BF309="Yes"),2,IF(AND('Proposed Lighting'!#REF!=2,AS309=1,BD309="Yes",BH309="Yes"),2,IF(AND('Proposed Lighting'!#REF!=3,AS309=1,BC309="Yes",BE309="Yes"),2,IF(AND('Proposed Lighting'!#REF!=3,AS309=1,BC309="Yes",BF309="Yes"),2,0)))))))))</f>
        <v>#REF!</v>
      </c>
      <c r="BJ309" s="1025" t="e">
        <f t="shared" si="62"/>
        <v>#REF!</v>
      </c>
      <c r="BK309" t="e">
        <f>IF(AND('Proposed Lighting'!#REF!=22,'Lighting Controls'!N309=1),0,IF(ISNUMBER(SEARCH("LED",G309)),1,0))</f>
        <v>#REF!</v>
      </c>
    </row>
    <row r="310" spans="1:63" ht="34.5" customHeight="1">
      <c r="A310" s="917">
        <v>302</v>
      </c>
      <c r="B310" s="1828" t="e">
        <f>IF('Proposed Lighting'!#REF!="","",'Proposed Lighting'!#REF!)</f>
        <v>#REF!</v>
      </c>
      <c r="C310" s="1828"/>
      <c r="D310" s="1828"/>
      <c r="E310" s="1245" t="e">
        <f>'Proposed Lighting'!#REF!</f>
        <v>#REF!</v>
      </c>
      <c r="F310" s="1245">
        <f t="shared" si="55"/>
        <v>0</v>
      </c>
      <c r="G310" s="1830" t="e">
        <f>IF('Proposed Lighting'!#REF!="","",IF(ISNUMBER(SEARCH("Networked",'Proposed Lighting'!#REF!)),0,IF(ISNUMBER(SEARCH("Strategies",'Proposed Lighting'!#REF!)),0,IF(ISNUMBER(SEARCH("Removal",'Proposed Lighting'!#REF!)),0,'Proposed Lighting'!#REF!))))</f>
        <v>#REF!</v>
      </c>
      <c r="H310" s="1830"/>
      <c r="I310" s="1830"/>
      <c r="J310" s="1830"/>
      <c r="K310" s="1215"/>
      <c r="L310" s="1246" t="e">
        <f t="shared" si="56"/>
        <v>#REF!</v>
      </c>
      <c r="M310" s="1224">
        <f t="shared" si="57"/>
        <v>0</v>
      </c>
      <c r="N310" s="1224">
        <f t="shared" si="58"/>
        <v>0</v>
      </c>
      <c r="O310" s="1825" t="e">
        <f>IF(G310=0,0,IF(ISNA('Proposed Lighting'!#REF!),0,'Proposed Lighting'!#REF!))</f>
        <v>#REF!</v>
      </c>
      <c r="P310" s="1825"/>
      <c r="Q310" s="1247"/>
      <c r="R310" s="1247"/>
      <c r="S310" s="1247"/>
      <c r="T310" s="1211"/>
      <c r="U310" s="1235">
        <f>IF(K310&gt;0.01,'Proposed Lighting'!#REF!,0)</f>
        <v>0</v>
      </c>
      <c r="V310" s="1248" t="e">
        <f>IF('Proposed Lighting'!#REF!=1,0,IF('Proposed Lighting'!#REF!=2,0,IF(AND('Proposed Lighting'!#REF!=3,'Proposed Lighting'!#REF!=0),1,0)))</f>
        <v>#REF!</v>
      </c>
      <c r="W310" s="1836"/>
      <c r="X310" s="1836"/>
      <c r="Y310" s="1836"/>
      <c r="Z310" s="1230" t="str">
        <f t="shared" si="52"/>
        <v/>
      </c>
      <c r="AA310" s="1230">
        <f t="shared" si="53"/>
        <v>0</v>
      </c>
      <c r="AB310" s="1230">
        <f>IF(Q310=0,0,IF(T310=0,0,IF(AA310=0,0,IF(AND(F310=3,V310=0),0,IF(T310=0,0,IF(K310&gt;'Proposed Lighting'!#REF!,0,IF('Proposed Lighting'!#REF!&gt;0.01,(K310*O310)*'Proposed Lighting'!#REF!/1000,(K310*O310)*U310/1000)))))))</f>
        <v>0</v>
      </c>
      <c r="AC310" s="1230" t="str">
        <f t="shared" si="59"/>
        <v/>
      </c>
      <c r="AD310" s="1230">
        <f t="shared" si="54"/>
        <v>0</v>
      </c>
      <c r="AE310" s="1230">
        <f>IF(T310=0,0,IF(K310&gt;'Proposed Lighting'!#REF!,0,IF(T310&gt;K310,0,IF(AND(AD310&gt;AA310,AA310&gt;0),0,IF(AND(F310&gt;1,W310&lt;0.01),0,IF('Proposed Lighting'!#REF!&gt;'Lighting Controls'!F310,0,IF('Proposed Lighting'!#REF!&lt;'Lighting Controls'!F310,0,IF(U310=0,0,Summary!#REF!))))))))</f>
        <v>0</v>
      </c>
      <c r="AF310" s="1230">
        <f>IF(T310=0,0,IF(AE310=0,0,IF(K310&gt;'Proposed Lighting'!#REF!,0,IF(AND(AD310&gt;AA310,AA310&gt;0),0,IF(U310=0,0,Summary!#REF!)))))</f>
        <v>0</v>
      </c>
      <c r="AG310" s="1834" t="e">
        <f>IF('Proposed Lighting'!#REF!=1,0,IF('Proposed Lighting'!#REF!=1,0,T310*W310))</f>
        <v>#REF!</v>
      </c>
      <c r="AH310" s="1834"/>
      <c r="AI310" s="1834"/>
      <c r="AJ310" s="1835">
        <f>IF(T310&lt;1,0,IF(K310&gt;'Proposed Lighting'!#REF!,0,IF('Proposed Lighting'!#REF!=1,0,IF('Proposed Lighting'!#REF!=1,0,IF(T310&gt;K310,0,IF(AND(AD310&gt;AA310,AA310&gt;0),0,IF(AND(F310=2,'Proposed Lighting'!#REF!=3),0,IF(AND(F310=3,'Proposed Lighting'!#REF!=2),0,IF('Proposed Lighting'!#REF!=100,0,IF(AND(F310&lt;3,V310=1,AM310=0),0,IF(AND(F310&gt;1,AF310&lt;1,AN310&lt;1),0,IF(AND(F310&gt;1,AE310&lt;0.69,AF310&lt;1,AN310&lt;1),0,IF(ISERROR(AB310-AC310),"",AB310-AC310)))))))))))))</f>
        <v>0</v>
      </c>
      <c r="AK310" s="1835"/>
      <c r="AL310" s="1835"/>
      <c r="AM310" s="1216">
        <f>IF(Q310=0,0,IF(T310=0,0,IF(T310&gt;K310,0,IF(AND(AS310&gt;0.01,BK310=0),0,IF(AND('Proposed Lighting'!#REF!=0,'Lighting Controls'!Z310=0.35),0,IF(AND(T310&lt;=K310,AA310&gt;=AD310,'Proposed Lighting'!#REF!=2),VLOOKUP(Q310,$AY$9:$AZ$15,2,FALSE),IF(AND(T310&lt;=K310,AA310&gt;=AD310,'Proposed Lighting'!#REF!=3),VLOOKUP(Q310,$AY$17:$AZ$23,2,FALSE))))))))</f>
        <v>0</v>
      </c>
      <c r="AN310" s="1248">
        <f>IF(T310=0,0,IF(K310&gt;'Proposed Lighting'!#REF!,0,IF(AE310=0,0,IF(AND(AD310&gt;AA310,AA310&gt;0),0,IF(U310=0,0,Summary!#REF!)))))</f>
        <v>0</v>
      </c>
      <c r="AO310" s="1248">
        <f t="shared" si="63"/>
        <v>0</v>
      </c>
      <c r="AP310" s="1249" t="e">
        <f>IF('Proposed Lighting'!#REF!=1,0,IF(K310=0,0,IF(T310&gt;K310,0,IF(G310=0,0,IF(K310&gt;'Proposed Lighting'!#REF!,0,IF(AND(AD310&gt;AA310,AA310&gt;0),0,IF(AND('Proposed Lighting'!#REF!=3,AM310=0.5),0,IF(AND(AM310&gt;0,AS310&gt;0,BI310&lt;2),0,IF('Proposed Lighting'!#REF!=100,0,IF(AV310=1,0,IF(AND(AM310=35,M310+N310&lt;2),0,AM310)))))))))))</f>
        <v>#REF!</v>
      </c>
      <c r="AQ310" s="1249" t="str">
        <f>IFERROR(ROUND(IF(Q310="","",IF('Proposed Lighting'!$X$4=0,0,IF(AND(AM310=35,M310+N310&lt;2),0,IF(T310&gt;K310,0,IF('Proposed Lighting'!#REF!=1,0,IF(AJ310=0,0,IF(AND('Proposed Lighting'!#REF!=3,AM310=0.5),0,IF(AND(AD310=75,AP310=0,AV310=0),0,IF(AP310&gt;0.01,AP310*T310,IF(AND(F310&gt;1,W310&lt;0.01),0,IF(AND(F310&gt;1,AO310=0),0,IF(AND('Proposed Lighting'!#REF!=22,AV310=0),0,IF(AND(AM310&gt;0,AS310&gt;0,BI310&lt;2),0,IF(AND(AS310&gt;0.01,BK310=0),0,IF(AND(AO310=TRUE,AV310=1,F310=3),MIN(AJ310*0.08,L310),IF(AP310&gt;0.01,AP310*T310,IF(AND(AO310=TRUE,AV310=1,F310=2),MIN(AJ310*0.1,L310)))))))))))))))))),2),"")</f>
        <v/>
      </c>
      <c r="AR310" s="1250">
        <f>IF(Q310=0,0,IF('Proposed Lighting'!$X$4=0,0,IF(AND(AM310&gt;0.01,AQ310&gt;0.01),0,IF('Proposed Lighting'!#REF!=1,"Missing Interior or Exterior Selection",IF('Proposed Lighting'!#REF!=1,"Selection does not match",IF(K310&gt;'Proposed Lighting'!#REF!,"Quantity controlled does not match proposed lighting quantity",IF(T310&gt;K310,"Quantity of sensors exceeds proposed lighting quantity",IF(AND(F310&gt;1,'Proposed Lighting'!#REF!&lt;&gt;F310),"Selection does not match",IF(AND(AD310&gt;AA310,AA310&gt;0),"Does not meet minimum connected load",IF(AND(O310&gt;0,AS310&gt;0,BK310&gt;0,'Proposed Lighting'!#REF!=0),"Select Control Strategies",IF(AND(AC310&gt;0.1,AJ310=0,AQ310=0),"Does not meet incentive criteria",0)))))))))))</f>
        <v>0</v>
      </c>
      <c r="AS310" s="1224" t="e">
        <f>IF('Proposed Lighting'!#REF!=100,0,IF(ISNUMBER(SEARCH("multiple",Q310)),1,0))</f>
        <v>#REF!</v>
      </c>
      <c r="AT310" s="451">
        <f t="shared" si="60"/>
        <v>0</v>
      </c>
      <c r="AU310" s="451" t="e">
        <f t="shared" si="61"/>
        <v>#REF!</v>
      </c>
      <c r="AV310" s="1222">
        <f>IF(ISNUMBER(SEARCH("Networked",'Proposed Lighting'!#REF!)),0,IF(ISNUMBER(SEARCH("Strategies",'Proposed Lighting'!#REF!)),0,IF(ISNUMBER(SEARCH("Removal",'Proposed Lighting'!#REF!)),0,IF(ISNUMBER(SEARCH("non-standard",Q310)),1,0))))</f>
        <v>0</v>
      </c>
      <c r="AW310" s="451">
        <f t="shared" si="64"/>
        <v>0</v>
      </c>
      <c r="AX310" s="451"/>
      <c r="AY310" s="451"/>
      <c r="AZ310" s="451"/>
      <c r="BA310" s="451"/>
      <c r="BB310" s="451"/>
      <c r="BC310" s="1215"/>
      <c r="BD310" s="1215"/>
      <c r="BE310" s="1215"/>
      <c r="BF310" s="1215"/>
      <c r="BG310" s="1215"/>
      <c r="BH310" s="1215"/>
      <c r="BI310" t="e">
        <f>IF(AND(AS310=1,BC310="No",BD310="Yes",BE310="Yes",BF310="No",BH310="No"),0,IF(AND('Proposed Lighting'!#REF!=2,AS310=1,BC310="Yes",BD310="Yes"),2,IF(AND('Proposed Lighting'!#REF!=2,AS310=1,BC310="Yes",BE310="Yes"),2,IF(AND('Proposed Lighting'!#REF!=2,AS310=1,BC310="Yes",BF310="Yes"),2,IF(AND('Proposed Lighting'!#REF!=2,AS310=1,BC310="Yes",BH310="Yes"),2,IF(AND('Proposed Lighting'!#REF!=2,AS310=1,BD310="Yes",BF310="Yes"),2,IF(AND('Proposed Lighting'!#REF!=2,AS310=1,BD310="Yes",BH310="Yes"),2,IF(AND('Proposed Lighting'!#REF!=3,AS310=1,BC310="Yes",BE310="Yes"),2,IF(AND('Proposed Lighting'!#REF!=3,AS310=1,BC310="Yes",BF310="Yes"),2,0)))))))))</f>
        <v>#REF!</v>
      </c>
      <c r="BJ310" s="1025" t="e">
        <f t="shared" si="62"/>
        <v>#REF!</v>
      </c>
      <c r="BK310" t="e">
        <f>IF(AND('Proposed Lighting'!#REF!=22,'Lighting Controls'!N310=1),0,IF(ISNUMBER(SEARCH("LED",G310)),1,0))</f>
        <v>#REF!</v>
      </c>
    </row>
    <row r="311" spans="1:63" ht="34.5" customHeight="1">
      <c r="A311" s="917">
        <v>303</v>
      </c>
      <c r="B311" s="1828" t="e">
        <f>IF('Proposed Lighting'!#REF!="","",'Proposed Lighting'!#REF!)</f>
        <v>#REF!</v>
      </c>
      <c r="C311" s="1828"/>
      <c r="D311" s="1828"/>
      <c r="E311" s="1245" t="e">
        <f>'Proposed Lighting'!#REF!</f>
        <v>#REF!</v>
      </c>
      <c r="F311" s="1245">
        <f t="shared" si="55"/>
        <v>0</v>
      </c>
      <c r="G311" s="1830" t="e">
        <f>IF('Proposed Lighting'!#REF!="","",IF(ISNUMBER(SEARCH("Networked",'Proposed Lighting'!#REF!)),0,IF(ISNUMBER(SEARCH("Strategies",'Proposed Lighting'!#REF!)),0,IF(ISNUMBER(SEARCH("Removal",'Proposed Lighting'!#REF!)),0,'Proposed Lighting'!#REF!))))</f>
        <v>#REF!</v>
      </c>
      <c r="H311" s="1830"/>
      <c r="I311" s="1830"/>
      <c r="J311" s="1830"/>
      <c r="K311" s="1215"/>
      <c r="L311" s="1246" t="e">
        <f t="shared" si="56"/>
        <v>#REF!</v>
      </c>
      <c r="M311" s="1224">
        <f t="shared" si="57"/>
        <v>0</v>
      </c>
      <c r="N311" s="1224">
        <f t="shared" si="58"/>
        <v>0</v>
      </c>
      <c r="O311" s="1825" t="e">
        <f>IF(G311=0,0,IF(ISNA('Proposed Lighting'!#REF!),0,'Proposed Lighting'!#REF!))</f>
        <v>#REF!</v>
      </c>
      <c r="P311" s="1825"/>
      <c r="Q311" s="1247"/>
      <c r="R311" s="1247"/>
      <c r="S311" s="1247"/>
      <c r="T311" s="1211"/>
      <c r="U311" s="1235">
        <f>IF(K311&gt;0.01,'Proposed Lighting'!#REF!,0)</f>
        <v>0</v>
      </c>
      <c r="V311" s="1248" t="e">
        <f>IF('Proposed Lighting'!#REF!=1,0,IF('Proposed Lighting'!#REF!=2,0,IF(AND('Proposed Lighting'!#REF!=3,'Proposed Lighting'!#REF!=0),1,0)))</f>
        <v>#REF!</v>
      </c>
      <c r="W311" s="1836"/>
      <c r="X311" s="1836"/>
      <c r="Y311" s="1836"/>
      <c r="Z311" s="1230" t="str">
        <f t="shared" si="52"/>
        <v/>
      </c>
      <c r="AA311" s="1230">
        <f t="shared" si="53"/>
        <v>0</v>
      </c>
      <c r="AB311" s="1230">
        <f>IF(Q311=0,0,IF(T311=0,0,IF(AA311=0,0,IF(AND(F311=3,V311=0),0,IF(T311=0,0,IF(K311&gt;'Proposed Lighting'!#REF!,0,IF('Proposed Lighting'!#REF!&gt;0.01,(K311*O311)*'Proposed Lighting'!#REF!/1000,(K311*O311)*U311/1000)))))))</f>
        <v>0</v>
      </c>
      <c r="AC311" s="1230" t="str">
        <f t="shared" si="59"/>
        <v/>
      </c>
      <c r="AD311" s="1230">
        <f t="shared" si="54"/>
        <v>0</v>
      </c>
      <c r="AE311" s="1230">
        <f>IF(T311=0,0,IF(K311&gt;'Proposed Lighting'!#REF!,0,IF(T311&gt;K311,0,IF(AND(AD311&gt;AA311,AA311&gt;0),0,IF(AND(F311&gt;1,W311&lt;0.01),0,IF('Proposed Lighting'!#REF!&gt;'Lighting Controls'!F311,0,IF('Proposed Lighting'!#REF!&lt;'Lighting Controls'!F311,0,IF(U311=0,0,Summary!#REF!))))))))</f>
        <v>0</v>
      </c>
      <c r="AF311" s="1230">
        <f>IF(T311=0,0,IF(AE311=0,0,IF(K311&gt;'Proposed Lighting'!#REF!,0,IF(AND(AD311&gt;AA311,AA311&gt;0),0,IF(U311=0,0,Summary!#REF!)))))</f>
        <v>0</v>
      </c>
      <c r="AG311" s="1834" t="e">
        <f>IF('Proposed Lighting'!#REF!=1,0,IF('Proposed Lighting'!#REF!=1,0,T311*W311))</f>
        <v>#REF!</v>
      </c>
      <c r="AH311" s="1834"/>
      <c r="AI311" s="1834"/>
      <c r="AJ311" s="1835">
        <f>IF(T311&lt;1,0,IF(K311&gt;'Proposed Lighting'!#REF!,0,IF('Proposed Lighting'!#REF!=1,0,IF('Proposed Lighting'!#REF!=1,0,IF(T311&gt;K311,0,IF(AND(AD311&gt;AA311,AA311&gt;0),0,IF(AND(F311=2,'Proposed Lighting'!#REF!=3),0,IF(AND(F311=3,'Proposed Lighting'!#REF!=2),0,IF('Proposed Lighting'!#REF!=100,0,IF(AND(F311&lt;3,V311=1,AM311=0),0,IF(AND(F311&gt;1,AF311&lt;1,AN311&lt;1),0,IF(AND(F311&gt;1,AE311&lt;0.69,AF311&lt;1,AN311&lt;1),0,IF(ISERROR(AB311-AC311),"",AB311-AC311)))))))))))))</f>
        <v>0</v>
      </c>
      <c r="AK311" s="1835"/>
      <c r="AL311" s="1835"/>
      <c r="AM311" s="1216">
        <f>IF(Q311=0,0,IF(T311=0,0,IF(T311&gt;K311,0,IF(AND(AS311&gt;0.01,BK311=0),0,IF(AND('Proposed Lighting'!#REF!=0,'Lighting Controls'!Z311=0.35),0,IF(AND(T311&lt;=K311,AA311&gt;=AD311,'Proposed Lighting'!#REF!=2),VLOOKUP(Q311,$AY$9:$AZ$15,2,FALSE),IF(AND(T311&lt;=K311,AA311&gt;=AD311,'Proposed Lighting'!#REF!=3),VLOOKUP(Q311,$AY$17:$AZ$23,2,FALSE))))))))</f>
        <v>0</v>
      </c>
      <c r="AN311" s="1248">
        <f>IF(T311=0,0,IF(K311&gt;'Proposed Lighting'!#REF!,0,IF(AE311=0,0,IF(AND(AD311&gt;AA311,AA311&gt;0),0,IF(U311=0,0,Summary!#REF!)))))</f>
        <v>0</v>
      </c>
      <c r="AO311" s="1248">
        <f t="shared" si="63"/>
        <v>0</v>
      </c>
      <c r="AP311" s="1249" t="e">
        <f>IF('Proposed Lighting'!#REF!=1,0,IF(K311=0,0,IF(T311&gt;K311,0,IF(G311=0,0,IF(K311&gt;'Proposed Lighting'!#REF!,0,IF(AND(AD311&gt;AA311,AA311&gt;0),0,IF(AND('Proposed Lighting'!#REF!=3,AM311=0.5),0,IF(AND(AM311&gt;0,AS311&gt;0,BI311&lt;2),0,IF('Proposed Lighting'!#REF!=100,0,IF(AV311=1,0,IF(AND(AM311=35,M311+N311&lt;2),0,AM311)))))))))))</f>
        <v>#REF!</v>
      </c>
      <c r="AQ311" s="1249" t="str">
        <f>IFERROR(ROUND(IF(Q311="","",IF('Proposed Lighting'!$X$4=0,0,IF(AND(AM311=35,M311+N311&lt;2),0,IF(T311&gt;K311,0,IF('Proposed Lighting'!#REF!=1,0,IF(AJ311=0,0,IF(AND('Proposed Lighting'!#REF!=3,AM311=0.5),0,IF(AND(AD311=75,AP311=0,AV311=0),0,IF(AP311&gt;0.01,AP311*T311,IF(AND(F311&gt;1,W311&lt;0.01),0,IF(AND(F311&gt;1,AO311=0),0,IF(AND('Proposed Lighting'!#REF!=22,AV311=0),0,IF(AND(AM311&gt;0,AS311&gt;0,BI311&lt;2),0,IF(AND(AS311&gt;0.01,BK311=0),0,IF(AND(AO311=TRUE,AV311=1,F311=3),MIN(AJ311*0.08,L311),IF(AP311&gt;0.01,AP311*T311,IF(AND(AO311=TRUE,AV311=1,F311=2),MIN(AJ311*0.1,L311)))))))))))))))))),2),"")</f>
        <v/>
      </c>
      <c r="AR311" s="1250">
        <f>IF(Q311=0,0,IF('Proposed Lighting'!$X$4=0,0,IF(AND(AM311&gt;0.01,AQ311&gt;0.01),0,IF('Proposed Lighting'!#REF!=1,"Missing Interior or Exterior Selection",IF('Proposed Lighting'!#REF!=1,"Selection does not match",IF(K311&gt;'Proposed Lighting'!#REF!,"Quantity controlled does not match proposed lighting quantity",IF(T311&gt;K311,"Quantity of sensors exceeds proposed lighting quantity",IF(AND(F311&gt;1,'Proposed Lighting'!#REF!&lt;&gt;F311),"Selection does not match",IF(AND(AD311&gt;AA311,AA311&gt;0),"Does not meet minimum connected load",IF(AND(O311&gt;0,AS311&gt;0,BK311&gt;0,'Proposed Lighting'!#REF!=0),"Select Control Strategies",IF(AND(AC311&gt;0.1,AJ311=0,AQ311=0),"Does not meet incentive criteria",0)))))))))))</f>
        <v>0</v>
      </c>
      <c r="AS311" s="1224" t="e">
        <f>IF('Proposed Lighting'!#REF!=100,0,IF(ISNUMBER(SEARCH("multiple",Q311)),1,0))</f>
        <v>#REF!</v>
      </c>
      <c r="AT311" s="451">
        <f t="shared" si="60"/>
        <v>0</v>
      </c>
      <c r="AU311" s="451" t="e">
        <f t="shared" si="61"/>
        <v>#REF!</v>
      </c>
      <c r="AV311" s="1222">
        <f>IF(ISNUMBER(SEARCH("Networked",'Proposed Lighting'!#REF!)),0,IF(ISNUMBER(SEARCH("Strategies",'Proposed Lighting'!#REF!)),0,IF(ISNUMBER(SEARCH("Removal",'Proposed Lighting'!#REF!)),0,IF(ISNUMBER(SEARCH("non-standard",Q311)),1,0))))</f>
        <v>0</v>
      </c>
      <c r="AW311" s="451">
        <f t="shared" si="64"/>
        <v>0</v>
      </c>
      <c r="AX311" s="451"/>
      <c r="AY311" s="451"/>
      <c r="AZ311" s="451"/>
      <c r="BA311" s="451"/>
      <c r="BB311" s="451"/>
      <c r="BC311" s="1215"/>
      <c r="BD311" s="1215"/>
      <c r="BE311" s="1215"/>
      <c r="BF311" s="1215"/>
      <c r="BG311" s="1215"/>
      <c r="BH311" s="1215"/>
      <c r="BI311" t="e">
        <f>IF(AND(AS311=1,BC311="No",BD311="Yes",BE311="Yes",BF311="No",BH311="No"),0,IF(AND('Proposed Lighting'!#REF!=2,AS311=1,BC311="Yes",BD311="Yes"),2,IF(AND('Proposed Lighting'!#REF!=2,AS311=1,BC311="Yes",BE311="Yes"),2,IF(AND('Proposed Lighting'!#REF!=2,AS311=1,BC311="Yes",BF311="Yes"),2,IF(AND('Proposed Lighting'!#REF!=2,AS311=1,BC311="Yes",BH311="Yes"),2,IF(AND('Proposed Lighting'!#REF!=2,AS311=1,BD311="Yes",BF311="Yes"),2,IF(AND('Proposed Lighting'!#REF!=2,AS311=1,BD311="Yes",BH311="Yes"),2,IF(AND('Proposed Lighting'!#REF!=3,AS311=1,BC311="Yes",BE311="Yes"),2,IF(AND('Proposed Lighting'!#REF!=3,AS311=1,BC311="Yes",BF311="Yes"),2,0)))))))))</f>
        <v>#REF!</v>
      </c>
      <c r="BJ311" s="1025" t="e">
        <f t="shared" si="62"/>
        <v>#REF!</v>
      </c>
      <c r="BK311" t="e">
        <f>IF(AND('Proposed Lighting'!#REF!=22,'Lighting Controls'!N311=1),0,IF(ISNUMBER(SEARCH("LED",G311)),1,0))</f>
        <v>#REF!</v>
      </c>
    </row>
    <row r="312" spans="1:63" ht="34.5" customHeight="1">
      <c r="A312" s="917">
        <v>304</v>
      </c>
      <c r="B312" s="1828" t="e">
        <f>IF('Proposed Lighting'!#REF!="","",'Proposed Lighting'!#REF!)</f>
        <v>#REF!</v>
      </c>
      <c r="C312" s="1828"/>
      <c r="D312" s="1828"/>
      <c r="E312" s="1245" t="e">
        <f>'Proposed Lighting'!#REF!</f>
        <v>#REF!</v>
      </c>
      <c r="F312" s="1245">
        <f t="shared" si="55"/>
        <v>0</v>
      </c>
      <c r="G312" s="1830" t="e">
        <f>IF('Proposed Lighting'!#REF!="","",IF(ISNUMBER(SEARCH("Networked",'Proposed Lighting'!#REF!)),0,IF(ISNUMBER(SEARCH("Strategies",'Proposed Lighting'!#REF!)),0,IF(ISNUMBER(SEARCH("Removal",'Proposed Lighting'!#REF!)),0,'Proposed Lighting'!#REF!))))</f>
        <v>#REF!</v>
      </c>
      <c r="H312" s="1830"/>
      <c r="I312" s="1830"/>
      <c r="J312" s="1830"/>
      <c r="K312" s="1215"/>
      <c r="L312" s="1246" t="e">
        <f t="shared" si="56"/>
        <v>#REF!</v>
      </c>
      <c r="M312" s="1224">
        <f t="shared" si="57"/>
        <v>0</v>
      </c>
      <c r="N312" s="1224">
        <f t="shared" si="58"/>
        <v>0</v>
      </c>
      <c r="O312" s="1825" t="e">
        <f>IF(G312=0,0,IF(ISNA('Proposed Lighting'!#REF!),0,'Proposed Lighting'!#REF!))</f>
        <v>#REF!</v>
      </c>
      <c r="P312" s="1825"/>
      <c r="Q312" s="1247"/>
      <c r="R312" s="1247"/>
      <c r="S312" s="1247"/>
      <c r="T312" s="1211"/>
      <c r="U312" s="1235">
        <f>IF(K312&gt;0.01,'Proposed Lighting'!#REF!,0)</f>
        <v>0</v>
      </c>
      <c r="V312" s="1248" t="e">
        <f>IF('Proposed Lighting'!#REF!=1,0,IF('Proposed Lighting'!#REF!=2,0,IF(AND('Proposed Lighting'!#REF!=3,'Proposed Lighting'!#REF!=0),1,0)))</f>
        <v>#REF!</v>
      </c>
      <c r="W312" s="1836"/>
      <c r="X312" s="1836"/>
      <c r="Y312" s="1836"/>
      <c r="Z312" s="1230" t="str">
        <f t="shared" si="52"/>
        <v/>
      </c>
      <c r="AA312" s="1230">
        <f t="shared" si="53"/>
        <v>0</v>
      </c>
      <c r="AB312" s="1230">
        <f>IF(Q312=0,0,IF(T312=0,0,IF(AA312=0,0,IF(AND(F312=3,V312=0),0,IF(T312=0,0,IF(K312&gt;'Proposed Lighting'!#REF!,0,IF('Proposed Lighting'!#REF!&gt;0.01,(K312*O312)*'Proposed Lighting'!#REF!/1000,(K312*O312)*U312/1000)))))))</f>
        <v>0</v>
      </c>
      <c r="AC312" s="1230" t="str">
        <f t="shared" si="59"/>
        <v/>
      </c>
      <c r="AD312" s="1230">
        <f t="shared" si="54"/>
        <v>0</v>
      </c>
      <c r="AE312" s="1230">
        <f>IF(T312=0,0,IF(K312&gt;'Proposed Lighting'!#REF!,0,IF(T312&gt;K312,0,IF(AND(AD312&gt;AA312,AA312&gt;0),0,IF(AND(F312&gt;1,W312&lt;0.01),0,IF('Proposed Lighting'!#REF!&gt;'Lighting Controls'!F312,0,IF('Proposed Lighting'!#REF!&lt;'Lighting Controls'!F312,0,IF(U312=0,0,Summary!#REF!))))))))</f>
        <v>0</v>
      </c>
      <c r="AF312" s="1230">
        <f>IF(T312=0,0,IF(AE312=0,0,IF(K312&gt;'Proposed Lighting'!#REF!,0,IF(AND(AD312&gt;AA312,AA312&gt;0),0,IF(U312=0,0,Summary!#REF!)))))</f>
        <v>0</v>
      </c>
      <c r="AG312" s="1834" t="e">
        <f>IF('Proposed Lighting'!#REF!=1,0,IF('Proposed Lighting'!#REF!=1,0,T312*W312))</f>
        <v>#REF!</v>
      </c>
      <c r="AH312" s="1834"/>
      <c r="AI312" s="1834"/>
      <c r="AJ312" s="1835">
        <f>IF(T312&lt;1,0,IF(K312&gt;'Proposed Lighting'!#REF!,0,IF('Proposed Lighting'!#REF!=1,0,IF('Proposed Lighting'!#REF!=1,0,IF(T312&gt;K312,0,IF(AND(AD312&gt;AA312,AA312&gt;0),0,IF(AND(F312=2,'Proposed Lighting'!#REF!=3),0,IF(AND(F312=3,'Proposed Lighting'!#REF!=2),0,IF('Proposed Lighting'!#REF!=100,0,IF(AND(F312&lt;3,V312=1,AM312=0),0,IF(AND(F312&gt;1,AF312&lt;1,AN312&lt;1),0,IF(AND(F312&gt;1,AE312&lt;0.69,AF312&lt;1,AN312&lt;1),0,IF(ISERROR(AB312-AC312),"",AB312-AC312)))))))))))))</f>
        <v>0</v>
      </c>
      <c r="AK312" s="1835"/>
      <c r="AL312" s="1835"/>
      <c r="AM312" s="1216">
        <f>IF(Q312=0,0,IF(T312=0,0,IF(T312&gt;K312,0,IF(AND(AS312&gt;0.01,BK312=0),0,IF(AND('Proposed Lighting'!#REF!=0,'Lighting Controls'!Z312=0.35),0,IF(AND(T312&lt;=K312,AA312&gt;=AD312,'Proposed Lighting'!#REF!=2),VLOOKUP(Q312,$AY$9:$AZ$15,2,FALSE),IF(AND(T312&lt;=K312,AA312&gt;=AD312,'Proposed Lighting'!#REF!=3),VLOOKUP(Q312,$AY$17:$AZ$23,2,FALSE))))))))</f>
        <v>0</v>
      </c>
      <c r="AN312" s="1248">
        <f>IF(T312=0,0,IF(K312&gt;'Proposed Lighting'!#REF!,0,IF(AE312=0,0,IF(AND(AD312&gt;AA312,AA312&gt;0),0,IF(U312=0,0,Summary!#REF!)))))</f>
        <v>0</v>
      </c>
      <c r="AO312" s="1248">
        <f t="shared" si="63"/>
        <v>0</v>
      </c>
      <c r="AP312" s="1249" t="e">
        <f>IF('Proposed Lighting'!#REF!=1,0,IF(K312=0,0,IF(T312&gt;K312,0,IF(G312=0,0,IF(K312&gt;'Proposed Lighting'!#REF!,0,IF(AND(AD312&gt;AA312,AA312&gt;0),0,IF(AND('Proposed Lighting'!#REF!=3,AM312=0.5),0,IF(AND(AM312&gt;0,AS312&gt;0,BI312&lt;2),0,IF('Proposed Lighting'!#REF!=100,0,IF(AV312=1,0,IF(AND(AM312=35,M312+N312&lt;2),0,AM312)))))))))))</f>
        <v>#REF!</v>
      </c>
      <c r="AQ312" s="1249" t="str">
        <f>IFERROR(ROUND(IF(Q312="","",IF('Proposed Lighting'!$X$4=0,0,IF(AND(AM312=35,M312+N312&lt;2),0,IF(T312&gt;K312,0,IF('Proposed Lighting'!#REF!=1,0,IF(AJ312=0,0,IF(AND('Proposed Lighting'!#REF!=3,AM312=0.5),0,IF(AND(AD312=75,AP312=0,AV312=0),0,IF(AP312&gt;0.01,AP312*T312,IF(AND(F312&gt;1,W312&lt;0.01),0,IF(AND(F312&gt;1,AO312=0),0,IF(AND('Proposed Lighting'!#REF!=22,AV312=0),0,IF(AND(AM312&gt;0,AS312&gt;0,BI312&lt;2),0,IF(AND(AS312&gt;0.01,BK312=0),0,IF(AND(AO312=TRUE,AV312=1,F312=3),MIN(AJ312*0.08,L312),IF(AP312&gt;0.01,AP312*T312,IF(AND(AO312=TRUE,AV312=1,F312=2),MIN(AJ312*0.1,L312)))))))))))))))))),2),"")</f>
        <v/>
      </c>
      <c r="AR312" s="1250">
        <f>IF(Q312=0,0,IF('Proposed Lighting'!$X$4=0,0,IF(AND(AM312&gt;0.01,AQ312&gt;0.01),0,IF('Proposed Lighting'!#REF!=1,"Missing Interior or Exterior Selection",IF('Proposed Lighting'!#REF!=1,"Selection does not match",IF(K312&gt;'Proposed Lighting'!#REF!,"Quantity controlled does not match proposed lighting quantity",IF(T312&gt;K312,"Quantity of sensors exceeds proposed lighting quantity",IF(AND(F312&gt;1,'Proposed Lighting'!#REF!&lt;&gt;F312),"Selection does not match",IF(AND(AD312&gt;AA312,AA312&gt;0),"Does not meet minimum connected load",IF(AND(O312&gt;0,AS312&gt;0,BK312&gt;0,'Proposed Lighting'!#REF!=0),"Select Control Strategies",IF(AND(AC312&gt;0.1,AJ312=0,AQ312=0),"Does not meet incentive criteria",0)))))))))))</f>
        <v>0</v>
      </c>
      <c r="AS312" s="1224" t="e">
        <f>IF('Proposed Lighting'!#REF!=100,0,IF(ISNUMBER(SEARCH("multiple",Q312)),1,0))</f>
        <v>#REF!</v>
      </c>
      <c r="AT312" s="451">
        <f t="shared" si="60"/>
        <v>0</v>
      </c>
      <c r="AU312" s="451" t="e">
        <f t="shared" si="61"/>
        <v>#REF!</v>
      </c>
      <c r="AV312" s="1222">
        <f>IF(ISNUMBER(SEARCH("Networked",'Proposed Lighting'!#REF!)),0,IF(ISNUMBER(SEARCH("Strategies",'Proposed Lighting'!#REF!)),0,IF(ISNUMBER(SEARCH("Removal",'Proposed Lighting'!#REF!)),0,IF(ISNUMBER(SEARCH("non-standard",Q312)),1,0))))</f>
        <v>0</v>
      </c>
      <c r="AW312" s="451">
        <f t="shared" si="64"/>
        <v>0</v>
      </c>
      <c r="AX312" s="451"/>
      <c r="AY312" s="451"/>
      <c r="AZ312" s="451"/>
      <c r="BA312" s="451"/>
      <c r="BB312" s="451"/>
      <c r="BC312" s="1215"/>
      <c r="BD312" s="1215"/>
      <c r="BE312" s="1215"/>
      <c r="BF312" s="1215"/>
      <c r="BG312" s="1215"/>
      <c r="BH312" s="1215"/>
      <c r="BI312" t="e">
        <f>IF(AND(AS312=1,BC312="No",BD312="Yes",BE312="Yes",BF312="No",BH312="No"),0,IF(AND('Proposed Lighting'!#REF!=2,AS312=1,BC312="Yes",BD312="Yes"),2,IF(AND('Proposed Lighting'!#REF!=2,AS312=1,BC312="Yes",BE312="Yes"),2,IF(AND('Proposed Lighting'!#REF!=2,AS312=1,BC312="Yes",BF312="Yes"),2,IF(AND('Proposed Lighting'!#REF!=2,AS312=1,BC312="Yes",BH312="Yes"),2,IF(AND('Proposed Lighting'!#REF!=2,AS312=1,BD312="Yes",BF312="Yes"),2,IF(AND('Proposed Lighting'!#REF!=2,AS312=1,BD312="Yes",BH312="Yes"),2,IF(AND('Proposed Lighting'!#REF!=3,AS312=1,BC312="Yes",BE312="Yes"),2,IF(AND('Proposed Lighting'!#REF!=3,AS312=1,BC312="Yes",BF312="Yes"),2,0)))))))))</f>
        <v>#REF!</v>
      </c>
      <c r="BJ312" s="1025" t="e">
        <f t="shared" si="62"/>
        <v>#REF!</v>
      </c>
      <c r="BK312" t="e">
        <f>IF(AND('Proposed Lighting'!#REF!=22,'Lighting Controls'!N312=1),0,IF(ISNUMBER(SEARCH("LED",G312)),1,0))</f>
        <v>#REF!</v>
      </c>
    </row>
    <row r="313" spans="1:63" ht="34.5" customHeight="1">
      <c r="A313" s="917">
        <v>305</v>
      </c>
      <c r="B313" s="1828" t="e">
        <f>IF('Proposed Lighting'!#REF!="","",'Proposed Lighting'!#REF!)</f>
        <v>#REF!</v>
      </c>
      <c r="C313" s="1828"/>
      <c r="D313" s="1828"/>
      <c r="E313" s="1245" t="e">
        <f>'Proposed Lighting'!#REF!</f>
        <v>#REF!</v>
      </c>
      <c r="F313" s="1245">
        <f t="shared" si="55"/>
        <v>0</v>
      </c>
      <c r="G313" s="1830" t="e">
        <f>IF('Proposed Lighting'!#REF!="","",IF(ISNUMBER(SEARCH("Networked",'Proposed Lighting'!#REF!)),0,IF(ISNUMBER(SEARCH("Strategies",'Proposed Lighting'!#REF!)),0,IF(ISNUMBER(SEARCH("Removal",'Proposed Lighting'!#REF!)),0,'Proposed Lighting'!#REF!))))</f>
        <v>#REF!</v>
      </c>
      <c r="H313" s="1830"/>
      <c r="I313" s="1830"/>
      <c r="J313" s="1830"/>
      <c r="K313" s="1215"/>
      <c r="L313" s="1246" t="e">
        <f t="shared" si="56"/>
        <v>#REF!</v>
      </c>
      <c r="M313" s="1224">
        <f t="shared" si="57"/>
        <v>0</v>
      </c>
      <c r="N313" s="1224">
        <f t="shared" si="58"/>
        <v>0</v>
      </c>
      <c r="O313" s="1825" t="e">
        <f>IF(G313=0,0,IF(ISNA('Proposed Lighting'!#REF!),0,'Proposed Lighting'!#REF!))</f>
        <v>#REF!</v>
      </c>
      <c r="P313" s="1825"/>
      <c r="Q313" s="1247"/>
      <c r="R313" s="1247"/>
      <c r="S313" s="1247"/>
      <c r="T313" s="1211"/>
      <c r="U313" s="1235">
        <f>IF(K313&gt;0.01,'Proposed Lighting'!#REF!,0)</f>
        <v>0</v>
      </c>
      <c r="V313" s="1248" t="e">
        <f>IF('Proposed Lighting'!#REF!=1,0,IF('Proposed Lighting'!#REF!=2,0,IF(AND('Proposed Lighting'!#REF!=3,'Proposed Lighting'!#REF!=0),1,0)))</f>
        <v>#REF!</v>
      </c>
      <c r="W313" s="1836"/>
      <c r="X313" s="1836"/>
      <c r="Y313" s="1836"/>
      <c r="Z313" s="1230" t="str">
        <f t="shared" si="52"/>
        <v/>
      </c>
      <c r="AA313" s="1230">
        <f t="shared" si="53"/>
        <v>0</v>
      </c>
      <c r="AB313" s="1230">
        <f>IF(Q313=0,0,IF(T313=0,0,IF(AA313=0,0,IF(AND(F313=3,V313=0),0,IF(T313=0,0,IF(K313&gt;'Proposed Lighting'!#REF!,0,IF('Proposed Lighting'!#REF!&gt;0.01,(K313*O313)*'Proposed Lighting'!#REF!/1000,(K313*O313)*U313/1000)))))))</f>
        <v>0</v>
      </c>
      <c r="AC313" s="1230" t="str">
        <f t="shared" si="59"/>
        <v/>
      </c>
      <c r="AD313" s="1230">
        <f t="shared" si="54"/>
        <v>0</v>
      </c>
      <c r="AE313" s="1230">
        <f>IF(T313=0,0,IF(K313&gt;'Proposed Lighting'!#REF!,0,IF(T313&gt;K313,0,IF(AND(AD313&gt;AA313,AA313&gt;0),0,IF(AND(F313&gt;1,W313&lt;0.01),0,IF('Proposed Lighting'!#REF!&gt;'Lighting Controls'!F313,0,IF('Proposed Lighting'!#REF!&lt;'Lighting Controls'!F313,0,IF(U313=0,0,Summary!#REF!))))))))</f>
        <v>0</v>
      </c>
      <c r="AF313" s="1230">
        <f>IF(T313=0,0,IF(AE313=0,0,IF(K313&gt;'Proposed Lighting'!#REF!,0,IF(AND(AD313&gt;AA313,AA313&gt;0),0,IF(U313=0,0,Summary!#REF!)))))</f>
        <v>0</v>
      </c>
      <c r="AG313" s="1834" t="e">
        <f>IF('Proposed Lighting'!#REF!=1,0,IF('Proposed Lighting'!#REF!=1,0,T313*W313))</f>
        <v>#REF!</v>
      </c>
      <c r="AH313" s="1834"/>
      <c r="AI313" s="1834"/>
      <c r="AJ313" s="1835">
        <f>IF(T313&lt;1,0,IF(K313&gt;'Proposed Lighting'!#REF!,0,IF('Proposed Lighting'!#REF!=1,0,IF('Proposed Lighting'!#REF!=1,0,IF(T313&gt;K313,0,IF(AND(AD313&gt;AA313,AA313&gt;0),0,IF(AND(F313=2,'Proposed Lighting'!#REF!=3),0,IF(AND(F313=3,'Proposed Lighting'!#REF!=2),0,IF('Proposed Lighting'!#REF!=100,0,IF(AND(F313&lt;3,V313=1,AM313=0),0,IF(AND(F313&gt;1,AF313&lt;1,AN313&lt;1),0,IF(AND(F313&gt;1,AE313&lt;0.69,AF313&lt;1,AN313&lt;1),0,IF(ISERROR(AB313-AC313),"",AB313-AC313)))))))))))))</f>
        <v>0</v>
      </c>
      <c r="AK313" s="1835"/>
      <c r="AL313" s="1835"/>
      <c r="AM313" s="1216">
        <f>IF(Q313=0,0,IF(T313=0,0,IF(T313&gt;K313,0,IF(AND(AS313&gt;0.01,BK313=0),0,IF(AND('Proposed Lighting'!#REF!=0,'Lighting Controls'!Z313=0.35),0,IF(AND(T313&lt;=K313,AA313&gt;=AD313,'Proposed Lighting'!#REF!=2),VLOOKUP(Q313,$AY$9:$AZ$15,2,FALSE),IF(AND(T313&lt;=K313,AA313&gt;=AD313,'Proposed Lighting'!#REF!=3),VLOOKUP(Q313,$AY$17:$AZ$23,2,FALSE))))))))</f>
        <v>0</v>
      </c>
      <c r="AN313" s="1248">
        <f>IF(T313=0,0,IF(K313&gt;'Proposed Lighting'!#REF!,0,IF(AE313=0,0,IF(AND(AD313&gt;AA313,AA313&gt;0),0,IF(U313=0,0,Summary!#REF!)))))</f>
        <v>0</v>
      </c>
      <c r="AO313" s="1248">
        <f t="shared" si="63"/>
        <v>0</v>
      </c>
      <c r="AP313" s="1249" t="e">
        <f>IF('Proposed Lighting'!#REF!=1,0,IF(K313=0,0,IF(T313&gt;K313,0,IF(G313=0,0,IF(K313&gt;'Proposed Lighting'!#REF!,0,IF(AND(AD313&gt;AA313,AA313&gt;0),0,IF(AND('Proposed Lighting'!#REF!=3,AM313=0.5),0,IF(AND(AM313&gt;0,AS313&gt;0,BI313&lt;2),0,IF('Proposed Lighting'!#REF!=100,0,IF(AV313=1,0,IF(AND(AM313=35,M313+N313&lt;2),0,AM313)))))))))))</f>
        <v>#REF!</v>
      </c>
      <c r="AQ313" s="1249" t="str">
        <f>IFERROR(ROUND(IF(Q313="","",IF('Proposed Lighting'!$X$4=0,0,IF(AND(AM313=35,M313+N313&lt;2),0,IF(T313&gt;K313,0,IF('Proposed Lighting'!#REF!=1,0,IF(AJ313=0,0,IF(AND('Proposed Lighting'!#REF!=3,AM313=0.5),0,IF(AND(AD313=75,AP313=0,AV313=0),0,IF(AP313&gt;0.01,AP313*T313,IF(AND(F313&gt;1,W313&lt;0.01),0,IF(AND(F313&gt;1,AO313=0),0,IF(AND('Proposed Lighting'!#REF!=22,AV313=0),0,IF(AND(AM313&gt;0,AS313&gt;0,BI313&lt;2),0,IF(AND(AS313&gt;0.01,BK313=0),0,IF(AND(AO313=TRUE,AV313=1,F313=3),MIN(AJ313*0.08,L313),IF(AP313&gt;0.01,AP313*T313,IF(AND(AO313=TRUE,AV313=1,F313=2),MIN(AJ313*0.1,L313)))))))))))))))))),2),"")</f>
        <v/>
      </c>
      <c r="AR313" s="1250">
        <f>IF(Q313=0,0,IF('Proposed Lighting'!$X$4=0,0,IF(AND(AM313&gt;0.01,AQ313&gt;0.01),0,IF('Proposed Lighting'!#REF!=1,"Missing Interior or Exterior Selection",IF('Proposed Lighting'!#REF!=1,"Selection does not match",IF(K313&gt;'Proposed Lighting'!#REF!,"Quantity controlled does not match proposed lighting quantity",IF(T313&gt;K313,"Quantity of sensors exceeds proposed lighting quantity",IF(AND(F313&gt;1,'Proposed Lighting'!#REF!&lt;&gt;F313),"Selection does not match",IF(AND(AD313&gt;AA313,AA313&gt;0),"Does not meet minimum connected load",IF(AND(O313&gt;0,AS313&gt;0,BK313&gt;0,'Proposed Lighting'!#REF!=0),"Select Control Strategies",IF(AND(AC313&gt;0.1,AJ313=0,AQ313=0),"Does not meet incentive criteria",0)))))))))))</f>
        <v>0</v>
      </c>
      <c r="AS313" s="1224" t="e">
        <f>IF('Proposed Lighting'!#REF!=100,0,IF(ISNUMBER(SEARCH("multiple",Q313)),1,0))</f>
        <v>#REF!</v>
      </c>
      <c r="AT313" s="451">
        <f t="shared" si="60"/>
        <v>0</v>
      </c>
      <c r="AU313" s="451" t="e">
        <f t="shared" si="61"/>
        <v>#REF!</v>
      </c>
      <c r="AV313" s="1222">
        <f>IF(ISNUMBER(SEARCH("Networked",'Proposed Lighting'!#REF!)),0,IF(ISNUMBER(SEARCH("Strategies",'Proposed Lighting'!#REF!)),0,IF(ISNUMBER(SEARCH("Removal",'Proposed Lighting'!#REF!)),0,IF(ISNUMBER(SEARCH("non-standard",Q313)),1,0))))</f>
        <v>0</v>
      </c>
      <c r="AW313" s="451">
        <f t="shared" si="64"/>
        <v>0</v>
      </c>
      <c r="AX313" s="451"/>
      <c r="AY313" s="451"/>
      <c r="AZ313" s="451"/>
      <c r="BA313" s="451"/>
      <c r="BB313" s="451"/>
      <c r="BC313" s="1215"/>
      <c r="BD313" s="1215"/>
      <c r="BE313" s="1215"/>
      <c r="BF313" s="1215"/>
      <c r="BG313" s="1215"/>
      <c r="BH313" s="1215"/>
      <c r="BI313" t="e">
        <f>IF(AND(AS313=1,BC313="No",BD313="Yes",BE313="Yes",BF313="No",BH313="No"),0,IF(AND('Proposed Lighting'!#REF!=2,AS313=1,BC313="Yes",BD313="Yes"),2,IF(AND('Proposed Lighting'!#REF!=2,AS313=1,BC313="Yes",BE313="Yes"),2,IF(AND('Proposed Lighting'!#REF!=2,AS313=1,BC313="Yes",BF313="Yes"),2,IF(AND('Proposed Lighting'!#REF!=2,AS313=1,BC313="Yes",BH313="Yes"),2,IF(AND('Proposed Lighting'!#REF!=2,AS313=1,BD313="Yes",BF313="Yes"),2,IF(AND('Proposed Lighting'!#REF!=2,AS313=1,BD313="Yes",BH313="Yes"),2,IF(AND('Proposed Lighting'!#REF!=3,AS313=1,BC313="Yes",BE313="Yes"),2,IF(AND('Proposed Lighting'!#REF!=3,AS313=1,BC313="Yes",BF313="Yes"),2,0)))))))))</f>
        <v>#REF!</v>
      </c>
      <c r="BJ313" s="1025" t="e">
        <f t="shared" si="62"/>
        <v>#REF!</v>
      </c>
      <c r="BK313" t="e">
        <f>IF(AND('Proposed Lighting'!#REF!=22,'Lighting Controls'!N313=1),0,IF(ISNUMBER(SEARCH("LED",G313)),1,0))</f>
        <v>#REF!</v>
      </c>
    </row>
    <row r="314" spans="1:63" ht="34.5" customHeight="1">
      <c r="A314" s="917">
        <v>306</v>
      </c>
      <c r="B314" s="1828" t="e">
        <f>IF('Proposed Lighting'!#REF!="","",'Proposed Lighting'!#REF!)</f>
        <v>#REF!</v>
      </c>
      <c r="C314" s="1828"/>
      <c r="D314" s="1828"/>
      <c r="E314" s="1245" t="e">
        <f>'Proposed Lighting'!#REF!</f>
        <v>#REF!</v>
      </c>
      <c r="F314" s="1245">
        <f t="shared" si="55"/>
        <v>0</v>
      </c>
      <c r="G314" s="1830" t="e">
        <f>IF('Proposed Lighting'!#REF!="","",IF(ISNUMBER(SEARCH("Networked",'Proposed Lighting'!#REF!)),0,IF(ISNUMBER(SEARCH("Strategies",'Proposed Lighting'!#REF!)),0,IF(ISNUMBER(SEARCH("Removal",'Proposed Lighting'!#REF!)),0,'Proposed Lighting'!#REF!))))</f>
        <v>#REF!</v>
      </c>
      <c r="H314" s="1830"/>
      <c r="I314" s="1830"/>
      <c r="J314" s="1830"/>
      <c r="K314" s="1215"/>
      <c r="L314" s="1246" t="e">
        <f t="shared" si="56"/>
        <v>#REF!</v>
      </c>
      <c r="M314" s="1224">
        <f t="shared" si="57"/>
        <v>0</v>
      </c>
      <c r="N314" s="1224">
        <f t="shared" si="58"/>
        <v>0</v>
      </c>
      <c r="O314" s="1825" t="e">
        <f>IF(G314=0,0,IF(ISNA('Proposed Lighting'!#REF!),0,'Proposed Lighting'!#REF!))</f>
        <v>#REF!</v>
      </c>
      <c r="P314" s="1825"/>
      <c r="Q314" s="1247"/>
      <c r="R314" s="1247"/>
      <c r="S314" s="1247"/>
      <c r="T314" s="1211"/>
      <c r="U314" s="1235">
        <f>IF(K314&gt;0.01,'Proposed Lighting'!#REF!,0)</f>
        <v>0</v>
      </c>
      <c r="V314" s="1248" t="e">
        <f>IF('Proposed Lighting'!#REF!=1,0,IF('Proposed Lighting'!#REF!=2,0,IF(AND('Proposed Lighting'!#REF!=3,'Proposed Lighting'!#REF!=0),1,0)))</f>
        <v>#REF!</v>
      </c>
      <c r="W314" s="1836"/>
      <c r="X314" s="1836"/>
      <c r="Y314" s="1836"/>
      <c r="Z314" s="1230" t="str">
        <f t="shared" si="52"/>
        <v/>
      </c>
      <c r="AA314" s="1230">
        <f t="shared" si="53"/>
        <v>0</v>
      </c>
      <c r="AB314" s="1230">
        <f>IF(Q314=0,0,IF(T314=0,0,IF(AA314=0,0,IF(AND(F314=3,V314=0),0,IF(T314=0,0,IF(K314&gt;'Proposed Lighting'!#REF!,0,IF('Proposed Lighting'!#REF!&gt;0.01,(K314*O314)*'Proposed Lighting'!#REF!/1000,(K314*O314)*U314/1000)))))))</f>
        <v>0</v>
      </c>
      <c r="AC314" s="1230" t="str">
        <f t="shared" si="59"/>
        <v/>
      </c>
      <c r="AD314" s="1230">
        <f t="shared" si="54"/>
        <v>0</v>
      </c>
      <c r="AE314" s="1230">
        <f>IF(T314=0,0,IF(K314&gt;'Proposed Lighting'!#REF!,0,IF(T314&gt;K314,0,IF(AND(AD314&gt;AA314,AA314&gt;0),0,IF(AND(F314&gt;1,W314&lt;0.01),0,IF('Proposed Lighting'!#REF!&gt;'Lighting Controls'!F314,0,IF('Proposed Lighting'!#REF!&lt;'Lighting Controls'!F314,0,IF(U314=0,0,Summary!#REF!))))))))</f>
        <v>0</v>
      </c>
      <c r="AF314" s="1230">
        <f>IF(T314=0,0,IF(AE314=0,0,IF(K314&gt;'Proposed Lighting'!#REF!,0,IF(AND(AD314&gt;AA314,AA314&gt;0),0,IF(U314=0,0,Summary!#REF!)))))</f>
        <v>0</v>
      </c>
      <c r="AG314" s="1834" t="e">
        <f>IF('Proposed Lighting'!#REF!=1,0,IF('Proposed Lighting'!#REF!=1,0,T314*W314))</f>
        <v>#REF!</v>
      </c>
      <c r="AH314" s="1834"/>
      <c r="AI314" s="1834"/>
      <c r="AJ314" s="1835">
        <f>IF(T314&lt;1,0,IF(K314&gt;'Proposed Lighting'!#REF!,0,IF('Proposed Lighting'!#REF!=1,0,IF('Proposed Lighting'!#REF!=1,0,IF(T314&gt;K314,0,IF(AND(AD314&gt;AA314,AA314&gt;0),0,IF(AND(F314=2,'Proposed Lighting'!#REF!=3),0,IF(AND(F314=3,'Proposed Lighting'!#REF!=2),0,IF('Proposed Lighting'!#REF!=100,0,IF(AND(F314&lt;3,V314=1,AM314=0),0,IF(AND(F314&gt;1,AF314&lt;1,AN314&lt;1),0,IF(AND(F314&gt;1,AE314&lt;0.69,AF314&lt;1,AN314&lt;1),0,IF(ISERROR(AB314-AC314),"",AB314-AC314)))))))))))))</f>
        <v>0</v>
      </c>
      <c r="AK314" s="1835"/>
      <c r="AL314" s="1835"/>
      <c r="AM314" s="1216">
        <f>IF(Q314=0,0,IF(T314=0,0,IF(T314&gt;K314,0,IF(AND(AS314&gt;0.01,BK314=0),0,IF(AND('Proposed Lighting'!#REF!=0,'Lighting Controls'!Z314=0.35),0,IF(AND(T314&lt;=K314,AA314&gt;=AD314,'Proposed Lighting'!#REF!=2),VLOOKUP(Q314,$AY$9:$AZ$15,2,FALSE),IF(AND(T314&lt;=K314,AA314&gt;=AD314,'Proposed Lighting'!#REF!=3),VLOOKUP(Q314,$AY$17:$AZ$23,2,FALSE))))))))</f>
        <v>0</v>
      </c>
      <c r="AN314" s="1248">
        <f>IF(T314=0,0,IF(K314&gt;'Proposed Lighting'!#REF!,0,IF(AE314=0,0,IF(AND(AD314&gt;AA314,AA314&gt;0),0,IF(U314=0,0,Summary!#REF!)))))</f>
        <v>0</v>
      </c>
      <c r="AO314" s="1248">
        <f t="shared" si="63"/>
        <v>0</v>
      </c>
      <c r="AP314" s="1249" t="e">
        <f>IF('Proposed Lighting'!#REF!=1,0,IF(K314=0,0,IF(T314&gt;K314,0,IF(G314=0,0,IF(K314&gt;'Proposed Lighting'!#REF!,0,IF(AND(AD314&gt;AA314,AA314&gt;0),0,IF(AND('Proposed Lighting'!#REF!=3,AM314=0.5),0,IF(AND(AM314&gt;0,AS314&gt;0,BI314&lt;2),0,IF('Proposed Lighting'!#REF!=100,0,IF(AV314=1,0,IF(AND(AM314=35,M314+N314&lt;2),0,AM314)))))))))))</f>
        <v>#REF!</v>
      </c>
      <c r="AQ314" s="1249" t="str">
        <f>IFERROR(ROUND(IF(Q314="","",IF('Proposed Lighting'!$X$4=0,0,IF(AND(AM314=35,M314+N314&lt;2),0,IF(T314&gt;K314,0,IF('Proposed Lighting'!#REF!=1,0,IF(AJ314=0,0,IF(AND('Proposed Lighting'!#REF!=3,AM314=0.5),0,IF(AND(AD314=75,AP314=0,AV314=0),0,IF(AP314&gt;0.01,AP314*T314,IF(AND(F314&gt;1,W314&lt;0.01),0,IF(AND(F314&gt;1,AO314=0),0,IF(AND('Proposed Lighting'!#REF!=22,AV314=0),0,IF(AND(AM314&gt;0,AS314&gt;0,BI314&lt;2),0,IF(AND(AS314&gt;0.01,BK314=0),0,IF(AND(AO314=TRUE,AV314=1,F314=3),MIN(AJ314*0.08,L314),IF(AP314&gt;0.01,AP314*T314,IF(AND(AO314=TRUE,AV314=1,F314=2),MIN(AJ314*0.1,L314)))))))))))))))))),2),"")</f>
        <v/>
      </c>
      <c r="AR314" s="1250">
        <f>IF(Q314=0,0,IF('Proposed Lighting'!$X$4=0,0,IF(AND(AM314&gt;0.01,AQ314&gt;0.01),0,IF('Proposed Lighting'!#REF!=1,"Missing Interior or Exterior Selection",IF('Proposed Lighting'!#REF!=1,"Selection does not match",IF(K314&gt;'Proposed Lighting'!#REF!,"Quantity controlled does not match proposed lighting quantity",IF(T314&gt;K314,"Quantity of sensors exceeds proposed lighting quantity",IF(AND(F314&gt;1,'Proposed Lighting'!#REF!&lt;&gt;F314),"Selection does not match",IF(AND(AD314&gt;AA314,AA314&gt;0),"Does not meet minimum connected load",IF(AND(O314&gt;0,AS314&gt;0,BK314&gt;0,'Proposed Lighting'!#REF!=0),"Select Control Strategies",IF(AND(AC314&gt;0.1,AJ314=0,AQ314=0),"Does not meet incentive criteria",0)))))))))))</f>
        <v>0</v>
      </c>
      <c r="AS314" s="1224" t="e">
        <f>IF('Proposed Lighting'!#REF!=100,0,IF(ISNUMBER(SEARCH("multiple",Q314)),1,0))</f>
        <v>#REF!</v>
      </c>
      <c r="AT314" s="451">
        <f t="shared" si="60"/>
        <v>0</v>
      </c>
      <c r="AU314" s="451" t="e">
        <f t="shared" si="61"/>
        <v>#REF!</v>
      </c>
      <c r="AV314" s="1222">
        <f>IF(ISNUMBER(SEARCH("Networked",'Proposed Lighting'!#REF!)),0,IF(ISNUMBER(SEARCH("Strategies",'Proposed Lighting'!#REF!)),0,IF(ISNUMBER(SEARCH("Removal",'Proposed Lighting'!#REF!)),0,IF(ISNUMBER(SEARCH("non-standard",Q314)),1,0))))</f>
        <v>0</v>
      </c>
      <c r="AW314" s="451">
        <f t="shared" si="64"/>
        <v>0</v>
      </c>
      <c r="AX314" s="451"/>
      <c r="AY314" s="451"/>
      <c r="AZ314" s="451"/>
      <c r="BA314" s="451"/>
      <c r="BB314" s="451"/>
      <c r="BC314" s="1215"/>
      <c r="BD314" s="1215"/>
      <c r="BE314" s="1215"/>
      <c r="BF314" s="1215"/>
      <c r="BG314" s="1215"/>
      <c r="BH314" s="1215"/>
      <c r="BI314" t="e">
        <f>IF(AND(AS314=1,BC314="No",BD314="Yes",BE314="Yes",BF314="No",BH314="No"),0,IF(AND('Proposed Lighting'!#REF!=2,AS314=1,BC314="Yes",BD314="Yes"),2,IF(AND('Proposed Lighting'!#REF!=2,AS314=1,BC314="Yes",BE314="Yes"),2,IF(AND('Proposed Lighting'!#REF!=2,AS314=1,BC314="Yes",BF314="Yes"),2,IF(AND('Proposed Lighting'!#REF!=2,AS314=1,BC314="Yes",BH314="Yes"),2,IF(AND('Proposed Lighting'!#REF!=2,AS314=1,BD314="Yes",BF314="Yes"),2,IF(AND('Proposed Lighting'!#REF!=2,AS314=1,BD314="Yes",BH314="Yes"),2,IF(AND('Proposed Lighting'!#REF!=3,AS314=1,BC314="Yes",BE314="Yes"),2,IF(AND('Proposed Lighting'!#REF!=3,AS314=1,BC314="Yes",BF314="Yes"),2,0)))))))))</f>
        <v>#REF!</v>
      </c>
      <c r="BJ314" s="1025" t="e">
        <f t="shared" si="62"/>
        <v>#REF!</v>
      </c>
      <c r="BK314" t="e">
        <f>IF(AND('Proposed Lighting'!#REF!=22,'Lighting Controls'!N314=1),0,IF(ISNUMBER(SEARCH("LED",G314)),1,0))</f>
        <v>#REF!</v>
      </c>
    </row>
    <row r="315" spans="1:63" ht="34.5" customHeight="1">
      <c r="A315" s="917">
        <v>307</v>
      </c>
      <c r="B315" s="1828" t="e">
        <f>IF('Proposed Lighting'!#REF!="","",'Proposed Lighting'!#REF!)</f>
        <v>#REF!</v>
      </c>
      <c r="C315" s="1828"/>
      <c r="D315" s="1828"/>
      <c r="E315" s="1245" t="e">
        <f>'Proposed Lighting'!#REF!</f>
        <v>#REF!</v>
      </c>
      <c r="F315" s="1245">
        <f t="shared" si="55"/>
        <v>0</v>
      </c>
      <c r="G315" s="1830" t="e">
        <f>IF('Proposed Lighting'!#REF!="","",IF(ISNUMBER(SEARCH("Networked",'Proposed Lighting'!#REF!)),0,IF(ISNUMBER(SEARCH("Strategies",'Proposed Lighting'!#REF!)),0,IF(ISNUMBER(SEARCH("Removal",'Proposed Lighting'!#REF!)),0,'Proposed Lighting'!#REF!))))</f>
        <v>#REF!</v>
      </c>
      <c r="H315" s="1830"/>
      <c r="I315" s="1830"/>
      <c r="J315" s="1830"/>
      <c r="K315" s="1215"/>
      <c r="L315" s="1246" t="e">
        <f t="shared" si="56"/>
        <v>#REF!</v>
      </c>
      <c r="M315" s="1224">
        <f t="shared" si="57"/>
        <v>0</v>
      </c>
      <c r="N315" s="1224">
        <f t="shared" si="58"/>
        <v>0</v>
      </c>
      <c r="O315" s="1825" t="e">
        <f>IF(G315=0,0,IF(ISNA('Proposed Lighting'!#REF!),0,'Proposed Lighting'!#REF!))</f>
        <v>#REF!</v>
      </c>
      <c r="P315" s="1825"/>
      <c r="Q315" s="1247"/>
      <c r="R315" s="1247"/>
      <c r="S315" s="1247"/>
      <c r="T315" s="1211"/>
      <c r="U315" s="1235">
        <f>IF(K315&gt;0.01,'Proposed Lighting'!#REF!,0)</f>
        <v>0</v>
      </c>
      <c r="V315" s="1248" t="e">
        <f>IF('Proposed Lighting'!#REF!=1,0,IF('Proposed Lighting'!#REF!=2,0,IF(AND('Proposed Lighting'!#REF!=3,'Proposed Lighting'!#REF!=0),1,0)))</f>
        <v>#REF!</v>
      </c>
      <c r="W315" s="1836"/>
      <c r="X315" s="1836"/>
      <c r="Y315" s="1836"/>
      <c r="Z315" s="1230" t="str">
        <f t="shared" si="52"/>
        <v/>
      </c>
      <c r="AA315" s="1230">
        <f t="shared" si="53"/>
        <v>0</v>
      </c>
      <c r="AB315" s="1230">
        <f>IF(Q315=0,0,IF(T315=0,0,IF(AA315=0,0,IF(AND(F315=3,V315=0),0,IF(T315=0,0,IF(K315&gt;'Proposed Lighting'!#REF!,0,IF('Proposed Lighting'!#REF!&gt;0.01,(K315*O315)*'Proposed Lighting'!#REF!/1000,(K315*O315)*U315/1000)))))))</f>
        <v>0</v>
      </c>
      <c r="AC315" s="1230" t="str">
        <f t="shared" si="59"/>
        <v/>
      </c>
      <c r="AD315" s="1230">
        <f t="shared" si="54"/>
        <v>0</v>
      </c>
      <c r="AE315" s="1230">
        <f>IF(T315=0,0,IF(K315&gt;'Proposed Lighting'!#REF!,0,IF(T315&gt;K315,0,IF(AND(AD315&gt;AA315,AA315&gt;0),0,IF(AND(F315&gt;1,W315&lt;0.01),0,IF('Proposed Lighting'!#REF!&gt;'Lighting Controls'!F315,0,IF('Proposed Lighting'!#REF!&lt;'Lighting Controls'!F315,0,IF(U315=0,0,Summary!#REF!))))))))</f>
        <v>0</v>
      </c>
      <c r="AF315" s="1230">
        <f>IF(T315=0,0,IF(AE315=0,0,IF(K315&gt;'Proposed Lighting'!#REF!,0,IF(AND(AD315&gt;AA315,AA315&gt;0),0,IF(U315=0,0,Summary!#REF!)))))</f>
        <v>0</v>
      </c>
      <c r="AG315" s="1834" t="e">
        <f>IF('Proposed Lighting'!#REF!=1,0,IF('Proposed Lighting'!#REF!=1,0,T315*W315))</f>
        <v>#REF!</v>
      </c>
      <c r="AH315" s="1834"/>
      <c r="AI315" s="1834"/>
      <c r="AJ315" s="1835">
        <f>IF(T315&lt;1,0,IF(K315&gt;'Proposed Lighting'!#REF!,0,IF('Proposed Lighting'!#REF!=1,0,IF('Proposed Lighting'!#REF!=1,0,IF(T315&gt;K315,0,IF(AND(AD315&gt;AA315,AA315&gt;0),0,IF(AND(F315=2,'Proposed Lighting'!#REF!=3),0,IF(AND(F315=3,'Proposed Lighting'!#REF!=2),0,IF('Proposed Lighting'!#REF!=100,0,IF(AND(F315&lt;3,V315=1,AM315=0),0,IF(AND(F315&gt;1,AF315&lt;1,AN315&lt;1),0,IF(AND(F315&gt;1,AE315&lt;0.69,AF315&lt;1,AN315&lt;1),0,IF(ISERROR(AB315-AC315),"",AB315-AC315)))))))))))))</f>
        <v>0</v>
      </c>
      <c r="AK315" s="1835"/>
      <c r="AL315" s="1835"/>
      <c r="AM315" s="1216">
        <f>IF(Q315=0,0,IF(T315=0,0,IF(T315&gt;K315,0,IF(AND(AS315&gt;0.01,BK315=0),0,IF(AND('Proposed Lighting'!#REF!=0,'Lighting Controls'!Z315=0.35),0,IF(AND(T315&lt;=K315,AA315&gt;=AD315,'Proposed Lighting'!#REF!=2),VLOOKUP(Q315,$AY$9:$AZ$15,2,FALSE),IF(AND(T315&lt;=K315,AA315&gt;=AD315,'Proposed Lighting'!#REF!=3),VLOOKUP(Q315,$AY$17:$AZ$23,2,FALSE))))))))</f>
        <v>0</v>
      </c>
      <c r="AN315" s="1248">
        <f>IF(T315=0,0,IF(K315&gt;'Proposed Lighting'!#REF!,0,IF(AE315=0,0,IF(AND(AD315&gt;AA315,AA315&gt;0),0,IF(U315=0,0,Summary!#REF!)))))</f>
        <v>0</v>
      </c>
      <c r="AO315" s="1248">
        <f t="shared" si="63"/>
        <v>0</v>
      </c>
      <c r="AP315" s="1249" t="e">
        <f>IF('Proposed Lighting'!#REF!=1,0,IF(K315=0,0,IF(T315&gt;K315,0,IF(G315=0,0,IF(K315&gt;'Proposed Lighting'!#REF!,0,IF(AND(AD315&gt;AA315,AA315&gt;0),0,IF(AND('Proposed Lighting'!#REF!=3,AM315=0.5),0,IF(AND(AM315&gt;0,AS315&gt;0,BI315&lt;2),0,IF('Proposed Lighting'!#REF!=100,0,IF(AV315=1,0,IF(AND(AM315=35,M315+N315&lt;2),0,AM315)))))))))))</f>
        <v>#REF!</v>
      </c>
      <c r="AQ315" s="1249" t="str">
        <f>IFERROR(ROUND(IF(Q315="","",IF('Proposed Lighting'!$X$4=0,0,IF(AND(AM315=35,M315+N315&lt;2),0,IF(T315&gt;K315,0,IF('Proposed Lighting'!#REF!=1,0,IF(AJ315=0,0,IF(AND('Proposed Lighting'!#REF!=3,AM315=0.5),0,IF(AND(AD315=75,AP315=0,AV315=0),0,IF(AP315&gt;0.01,AP315*T315,IF(AND(F315&gt;1,W315&lt;0.01),0,IF(AND(F315&gt;1,AO315=0),0,IF(AND('Proposed Lighting'!#REF!=22,AV315=0),0,IF(AND(AM315&gt;0,AS315&gt;0,BI315&lt;2),0,IF(AND(AS315&gt;0.01,BK315=0),0,IF(AND(AO315=TRUE,AV315=1,F315=3),MIN(AJ315*0.08,L315),IF(AP315&gt;0.01,AP315*T315,IF(AND(AO315=TRUE,AV315=1,F315=2),MIN(AJ315*0.1,L315)))))))))))))))))),2),"")</f>
        <v/>
      </c>
      <c r="AR315" s="1250">
        <f>IF(Q315=0,0,IF('Proposed Lighting'!$X$4=0,0,IF(AND(AM315&gt;0.01,AQ315&gt;0.01),0,IF('Proposed Lighting'!#REF!=1,"Missing Interior or Exterior Selection",IF('Proposed Lighting'!#REF!=1,"Selection does not match",IF(K315&gt;'Proposed Lighting'!#REF!,"Quantity controlled does not match proposed lighting quantity",IF(T315&gt;K315,"Quantity of sensors exceeds proposed lighting quantity",IF(AND(F315&gt;1,'Proposed Lighting'!#REF!&lt;&gt;F315),"Selection does not match",IF(AND(AD315&gt;AA315,AA315&gt;0),"Does not meet minimum connected load",IF(AND(O315&gt;0,AS315&gt;0,BK315&gt;0,'Proposed Lighting'!#REF!=0),"Select Control Strategies",IF(AND(AC315&gt;0.1,AJ315=0,AQ315=0),"Does not meet incentive criteria",0)))))))))))</f>
        <v>0</v>
      </c>
      <c r="AS315" s="1224" t="e">
        <f>IF('Proposed Lighting'!#REF!=100,0,IF(ISNUMBER(SEARCH("multiple",Q315)),1,0))</f>
        <v>#REF!</v>
      </c>
      <c r="AT315" s="451">
        <f t="shared" si="60"/>
        <v>0</v>
      </c>
      <c r="AU315" s="451" t="e">
        <f t="shared" si="61"/>
        <v>#REF!</v>
      </c>
      <c r="AV315" s="1222">
        <f>IF(ISNUMBER(SEARCH("Networked",'Proposed Lighting'!#REF!)),0,IF(ISNUMBER(SEARCH("Strategies",'Proposed Lighting'!#REF!)),0,IF(ISNUMBER(SEARCH("Removal",'Proposed Lighting'!#REF!)),0,IF(ISNUMBER(SEARCH("non-standard",Q315)),1,0))))</f>
        <v>0</v>
      </c>
      <c r="AW315" s="451">
        <f t="shared" si="64"/>
        <v>0</v>
      </c>
      <c r="AX315" s="451"/>
      <c r="AY315" s="451"/>
      <c r="AZ315" s="451"/>
      <c r="BA315" s="451"/>
      <c r="BB315" s="451"/>
      <c r="BC315" s="1215"/>
      <c r="BD315" s="1215"/>
      <c r="BE315" s="1215"/>
      <c r="BF315" s="1215"/>
      <c r="BG315" s="1215"/>
      <c r="BH315" s="1215"/>
      <c r="BI315" t="e">
        <f>IF(AND(AS315=1,BC315="No",BD315="Yes",BE315="Yes",BF315="No",BH315="No"),0,IF(AND('Proposed Lighting'!#REF!=2,AS315=1,BC315="Yes",BD315="Yes"),2,IF(AND('Proposed Lighting'!#REF!=2,AS315=1,BC315="Yes",BE315="Yes"),2,IF(AND('Proposed Lighting'!#REF!=2,AS315=1,BC315="Yes",BF315="Yes"),2,IF(AND('Proposed Lighting'!#REF!=2,AS315=1,BC315="Yes",BH315="Yes"),2,IF(AND('Proposed Lighting'!#REF!=2,AS315=1,BD315="Yes",BF315="Yes"),2,IF(AND('Proposed Lighting'!#REF!=2,AS315=1,BD315="Yes",BH315="Yes"),2,IF(AND('Proposed Lighting'!#REF!=3,AS315=1,BC315="Yes",BE315="Yes"),2,IF(AND('Proposed Lighting'!#REF!=3,AS315=1,BC315="Yes",BF315="Yes"),2,0)))))))))</f>
        <v>#REF!</v>
      </c>
      <c r="BJ315" s="1025" t="e">
        <f t="shared" si="62"/>
        <v>#REF!</v>
      </c>
      <c r="BK315" t="e">
        <f>IF(AND('Proposed Lighting'!#REF!=22,'Lighting Controls'!N315=1),0,IF(ISNUMBER(SEARCH("LED",G315)),1,0))</f>
        <v>#REF!</v>
      </c>
    </row>
    <row r="316" spans="1:63" ht="34.5" customHeight="1">
      <c r="A316" s="917">
        <v>308</v>
      </c>
      <c r="B316" s="1828" t="e">
        <f>IF('Proposed Lighting'!#REF!="","",'Proposed Lighting'!#REF!)</f>
        <v>#REF!</v>
      </c>
      <c r="C316" s="1828"/>
      <c r="D316" s="1828"/>
      <c r="E316" s="1245" t="e">
        <f>'Proposed Lighting'!#REF!</f>
        <v>#REF!</v>
      </c>
      <c r="F316" s="1245">
        <f t="shared" si="55"/>
        <v>0</v>
      </c>
      <c r="G316" s="1830" t="e">
        <f>IF('Proposed Lighting'!#REF!="","",IF(ISNUMBER(SEARCH("Networked",'Proposed Lighting'!#REF!)),0,IF(ISNUMBER(SEARCH("Strategies",'Proposed Lighting'!#REF!)),0,IF(ISNUMBER(SEARCH("Removal",'Proposed Lighting'!#REF!)),0,'Proposed Lighting'!#REF!))))</f>
        <v>#REF!</v>
      </c>
      <c r="H316" s="1830"/>
      <c r="I316" s="1830"/>
      <c r="J316" s="1830"/>
      <c r="K316" s="1215"/>
      <c r="L316" s="1246" t="e">
        <f t="shared" si="56"/>
        <v>#REF!</v>
      </c>
      <c r="M316" s="1224">
        <f t="shared" si="57"/>
        <v>0</v>
      </c>
      <c r="N316" s="1224">
        <f t="shared" si="58"/>
        <v>0</v>
      </c>
      <c r="O316" s="1825" t="e">
        <f>IF(G316=0,0,IF(ISNA('Proposed Lighting'!#REF!),0,'Proposed Lighting'!#REF!))</f>
        <v>#REF!</v>
      </c>
      <c r="P316" s="1825"/>
      <c r="Q316" s="1247"/>
      <c r="R316" s="1247"/>
      <c r="S316" s="1247"/>
      <c r="T316" s="1211"/>
      <c r="U316" s="1235">
        <f>IF(K316&gt;0.01,'Proposed Lighting'!#REF!,0)</f>
        <v>0</v>
      </c>
      <c r="V316" s="1248" t="e">
        <f>IF('Proposed Lighting'!#REF!=1,0,IF('Proposed Lighting'!#REF!=2,0,IF(AND('Proposed Lighting'!#REF!=3,'Proposed Lighting'!#REF!=0),1,0)))</f>
        <v>#REF!</v>
      </c>
      <c r="W316" s="1836"/>
      <c r="X316" s="1836"/>
      <c r="Y316" s="1836"/>
      <c r="Z316" s="1230" t="str">
        <f t="shared" si="52"/>
        <v/>
      </c>
      <c r="AA316" s="1230">
        <f t="shared" si="53"/>
        <v>0</v>
      </c>
      <c r="AB316" s="1230">
        <f>IF(Q316=0,0,IF(T316=0,0,IF(AA316=0,0,IF(AND(F316=3,V316=0),0,IF(T316=0,0,IF(K316&gt;'Proposed Lighting'!#REF!,0,IF('Proposed Lighting'!#REF!&gt;0.01,(K316*O316)*'Proposed Lighting'!#REF!/1000,(K316*O316)*U316/1000)))))))</f>
        <v>0</v>
      </c>
      <c r="AC316" s="1230" t="str">
        <f t="shared" si="59"/>
        <v/>
      </c>
      <c r="AD316" s="1230">
        <f t="shared" si="54"/>
        <v>0</v>
      </c>
      <c r="AE316" s="1230">
        <f>IF(T316=0,0,IF(K316&gt;'Proposed Lighting'!#REF!,0,IF(T316&gt;K316,0,IF(AND(AD316&gt;AA316,AA316&gt;0),0,IF(AND(F316&gt;1,W316&lt;0.01),0,IF('Proposed Lighting'!#REF!&gt;'Lighting Controls'!F316,0,IF('Proposed Lighting'!#REF!&lt;'Lighting Controls'!F316,0,IF(U316=0,0,Summary!#REF!))))))))</f>
        <v>0</v>
      </c>
      <c r="AF316" s="1230">
        <f>IF(T316=0,0,IF(AE316=0,0,IF(K316&gt;'Proposed Lighting'!#REF!,0,IF(AND(AD316&gt;AA316,AA316&gt;0),0,IF(U316=0,0,Summary!#REF!)))))</f>
        <v>0</v>
      </c>
      <c r="AG316" s="1834" t="e">
        <f>IF('Proposed Lighting'!#REF!=1,0,IF('Proposed Lighting'!#REF!=1,0,T316*W316))</f>
        <v>#REF!</v>
      </c>
      <c r="AH316" s="1834"/>
      <c r="AI316" s="1834"/>
      <c r="AJ316" s="1835">
        <f>IF(T316&lt;1,0,IF(K316&gt;'Proposed Lighting'!#REF!,0,IF('Proposed Lighting'!#REF!=1,0,IF('Proposed Lighting'!#REF!=1,0,IF(T316&gt;K316,0,IF(AND(AD316&gt;AA316,AA316&gt;0),0,IF(AND(F316=2,'Proposed Lighting'!#REF!=3),0,IF(AND(F316=3,'Proposed Lighting'!#REF!=2),0,IF('Proposed Lighting'!#REF!=100,0,IF(AND(F316&lt;3,V316=1,AM316=0),0,IF(AND(F316&gt;1,AF316&lt;1,AN316&lt;1),0,IF(AND(F316&gt;1,AE316&lt;0.69,AF316&lt;1,AN316&lt;1),0,IF(ISERROR(AB316-AC316),"",AB316-AC316)))))))))))))</f>
        <v>0</v>
      </c>
      <c r="AK316" s="1835"/>
      <c r="AL316" s="1835"/>
      <c r="AM316" s="1216">
        <f>IF(Q316=0,0,IF(T316=0,0,IF(T316&gt;K316,0,IF(AND(AS316&gt;0.01,BK316=0),0,IF(AND('Proposed Lighting'!#REF!=0,'Lighting Controls'!Z316=0.35),0,IF(AND(T316&lt;=K316,AA316&gt;=AD316,'Proposed Lighting'!#REF!=2),VLOOKUP(Q316,$AY$9:$AZ$15,2,FALSE),IF(AND(T316&lt;=K316,AA316&gt;=AD316,'Proposed Lighting'!#REF!=3),VLOOKUP(Q316,$AY$17:$AZ$23,2,FALSE))))))))</f>
        <v>0</v>
      </c>
      <c r="AN316" s="1248">
        <f>IF(T316=0,0,IF(K316&gt;'Proposed Lighting'!#REF!,0,IF(AE316=0,0,IF(AND(AD316&gt;AA316,AA316&gt;0),0,IF(U316=0,0,Summary!#REF!)))))</f>
        <v>0</v>
      </c>
      <c r="AO316" s="1248">
        <f t="shared" si="63"/>
        <v>0</v>
      </c>
      <c r="AP316" s="1249" t="e">
        <f>IF('Proposed Lighting'!#REF!=1,0,IF(K316=0,0,IF(T316&gt;K316,0,IF(G316=0,0,IF(K316&gt;'Proposed Lighting'!#REF!,0,IF(AND(AD316&gt;AA316,AA316&gt;0),0,IF(AND('Proposed Lighting'!#REF!=3,AM316=0.5),0,IF(AND(AM316&gt;0,AS316&gt;0,BI316&lt;2),0,IF('Proposed Lighting'!#REF!=100,0,IF(AV316=1,0,IF(AND(AM316=35,M316+N316&lt;2),0,AM316)))))))))))</f>
        <v>#REF!</v>
      </c>
      <c r="AQ316" s="1249" t="str">
        <f>IFERROR(ROUND(IF(Q316="","",IF('Proposed Lighting'!$X$4=0,0,IF(AND(AM316=35,M316+N316&lt;2),0,IF(T316&gt;K316,0,IF('Proposed Lighting'!#REF!=1,0,IF(AJ316=0,0,IF(AND('Proposed Lighting'!#REF!=3,AM316=0.5),0,IF(AND(AD316=75,AP316=0,AV316=0),0,IF(AP316&gt;0.01,AP316*T316,IF(AND(F316&gt;1,W316&lt;0.01),0,IF(AND(F316&gt;1,AO316=0),0,IF(AND('Proposed Lighting'!#REF!=22,AV316=0),0,IF(AND(AM316&gt;0,AS316&gt;0,BI316&lt;2),0,IF(AND(AS316&gt;0.01,BK316=0),0,IF(AND(AO316=TRUE,AV316=1,F316=3),MIN(AJ316*0.08,L316),IF(AP316&gt;0.01,AP316*T316,IF(AND(AO316=TRUE,AV316=1,F316=2),MIN(AJ316*0.1,L316)))))))))))))))))),2),"")</f>
        <v/>
      </c>
      <c r="AR316" s="1250">
        <f>IF(Q316=0,0,IF('Proposed Lighting'!$X$4=0,0,IF(AND(AM316&gt;0.01,AQ316&gt;0.01),0,IF('Proposed Lighting'!#REF!=1,"Missing Interior or Exterior Selection",IF('Proposed Lighting'!#REF!=1,"Selection does not match",IF(K316&gt;'Proposed Lighting'!#REF!,"Quantity controlled does not match proposed lighting quantity",IF(T316&gt;K316,"Quantity of sensors exceeds proposed lighting quantity",IF(AND(F316&gt;1,'Proposed Lighting'!#REF!&lt;&gt;F316),"Selection does not match",IF(AND(AD316&gt;AA316,AA316&gt;0),"Does not meet minimum connected load",IF(AND(O316&gt;0,AS316&gt;0,BK316&gt;0,'Proposed Lighting'!#REF!=0),"Select Control Strategies",IF(AND(AC316&gt;0.1,AJ316=0,AQ316=0),"Does not meet incentive criteria",0)))))))))))</f>
        <v>0</v>
      </c>
      <c r="AS316" s="1224" t="e">
        <f>IF('Proposed Lighting'!#REF!=100,0,IF(ISNUMBER(SEARCH("multiple",Q316)),1,0))</f>
        <v>#REF!</v>
      </c>
      <c r="AT316" s="451">
        <f t="shared" si="60"/>
        <v>0</v>
      </c>
      <c r="AU316" s="451" t="e">
        <f t="shared" si="61"/>
        <v>#REF!</v>
      </c>
      <c r="AV316" s="1222">
        <f>IF(ISNUMBER(SEARCH("Networked",'Proposed Lighting'!#REF!)),0,IF(ISNUMBER(SEARCH("Strategies",'Proposed Lighting'!#REF!)),0,IF(ISNUMBER(SEARCH("Removal",'Proposed Lighting'!#REF!)),0,IF(ISNUMBER(SEARCH("non-standard",Q316)),1,0))))</f>
        <v>0</v>
      </c>
      <c r="AW316" s="451">
        <f t="shared" si="64"/>
        <v>0</v>
      </c>
      <c r="AX316" s="451"/>
      <c r="AY316" s="451"/>
      <c r="AZ316" s="451"/>
      <c r="BA316" s="451"/>
      <c r="BB316" s="451"/>
      <c r="BC316" s="1215"/>
      <c r="BD316" s="1215"/>
      <c r="BE316" s="1215"/>
      <c r="BF316" s="1215"/>
      <c r="BG316" s="1215"/>
      <c r="BH316" s="1215"/>
      <c r="BI316" t="e">
        <f>IF(AND(AS316=1,BC316="No",BD316="Yes",BE316="Yes",BF316="No",BH316="No"),0,IF(AND('Proposed Lighting'!#REF!=2,AS316=1,BC316="Yes",BD316="Yes"),2,IF(AND('Proposed Lighting'!#REF!=2,AS316=1,BC316="Yes",BE316="Yes"),2,IF(AND('Proposed Lighting'!#REF!=2,AS316=1,BC316="Yes",BF316="Yes"),2,IF(AND('Proposed Lighting'!#REF!=2,AS316=1,BC316="Yes",BH316="Yes"),2,IF(AND('Proposed Lighting'!#REF!=2,AS316=1,BD316="Yes",BF316="Yes"),2,IF(AND('Proposed Lighting'!#REF!=2,AS316=1,BD316="Yes",BH316="Yes"),2,IF(AND('Proposed Lighting'!#REF!=3,AS316=1,BC316="Yes",BE316="Yes"),2,IF(AND('Proposed Lighting'!#REF!=3,AS316=1,BC316="Yes",BF316="Yes"),2,0)))))))))</f>
        <v>#REF!</v>
      </c>
      <c r="BJ316" s="1025" t="e">
        <f t="shared" si="62"/>
        <v>#REF!</v>
      </c>
      <c r="BK316" t="e">
        <f>IF(AND('Proposed Lighting'!#REF!=22,'Lighting Controls'!N316=1),0,IF(ISNUMBER(SEARCH("LED",G316)),1,0))</f>
        <v>#REF!</v>
      </c>
    </row>
    <row r="317" spans="1:63" ht="34.5" customHeight="1">
      <c r="A317" s="917">
        <v>309</v>
      </c>
      <c r="B317" s="1828" t="e">
        <f>IF('Proposed Lighting'!#REF!="","",'Proposed Lighting'!#REF!)</f>
        <v>#REF!</v>
      </c>
      <c r="C317" s="1828"/>
      <c r="D317" s="1828"/>
      <c r="E317" s="1245" t="e">
        <f>'Proposed Lighting'!#REF!</f>
        <v>#REF!</v>
      </c>
      <c r="F317" s="1245">
        <f t="shared" si="55"/>
        <v>0</v>
      </c>
      <c r="G317" s="1830" t="e">
        <f>IF('Proposed Lighting'!#REF!="","",IF(ISNUMBER(SEARCH("Networked",'Proposed Lighting'!#REF!)),0,IF(ISNUMBER(SEARCH("Strategies",'Proposed Lighting'!#REF!)),0,IF(ISNUMBER(SEARCH("Removal",'Proposed Lighting'!#REF!)),0,'Proposed Lighting'!#REF!))))</f>
        <v>#REF!</v>
      </c>
      <c r="H317" s="1830"/>
      <c r="I317" s="1830"/>
      <c r="J317" s="1830"/>
      <c r="K317" s="1215"/>
      <c r="L317" s="1246" t="e">
        <f t="shared" si="56"/>
        <v>#REF!</v>
      </c>
      <c r="M317" s="1224">
        <f t="shared" si="57"/>
        <v>0</v>
      </c>
      <c r="N317" s="1224">
        <f t="shared" si="58"/>
        <v>0</v>
      </c>
      <c r="O317" s="1825" t="e">
        <f>IF(G317=0,0,IF(ISNA('Proposed Lighting'!#REF!),0,'Proposed Lighting'!#REF!))</f>
        <v>#REF!</v>
      </c>
      <c r="P317" s="1825"/>
      <c r="Q317" s="1247"/>
      <c r="R317" s="1247"/>
      <c r="S317" s="1247"/>
      <c r="T317" s="1211"/>
      <c r="U317" s="1235">
        <f>IF(K317&gt;0.01,'Proposed Lighting'!#REF!,0)</f>
        <v>0</v>
      </c>
      <c r="V317" s="1248" t="e">
        <f>IF('Proposed Lighting'!#REF!=1,0,IF('Proposed Lighting'!#REF!=2,0,IF(AND('Proposed Lighting'!#REF!=3,'Proposed Lighting'!#REF!=0),1,0)))</f>
        <v>#REF!</v>
      </c>
      <c r="W317" s="1836"/>
      <c r="X317" s="1836"/>
      <c r="Y317" s="1836"/>
      <c r="Z317" s="1230" t="str">
        <f t="shared" si="52"/>
        <v/>
      </c>
      <c r="AA317" s="1230">
        <f t="shared" si="53"/>
        <v>0</v>
      </c>
      <c r="AB317" s="1230">
        <f>IF(Q317=0,0,IF(T317=0,0,IF(AA317=0,0,IF(AND(F317=3,V317=0),0,IF(T317=0,0,IF(K317&gt;'Proposed Lighting'!#REF!,0,IF('Proposed Lighting'!#REF!&gt;0.01,(K317*O317)*'Proposed Lighting'!#REF!/1000,(K317*O317)*U317/1000)))))))</f>
        <v>0</v>
      </c>
      <c r="AC317" s="1230" t="str">
        <f t="shared" si="59"/>
        <v/>
      </c>
      <c r="AD317" s="1230">
        <f t="shared" si="54"/>
        <v>0</v>
      </c>
      <c r="AE317" s="1230">
        <f>IF(T317=0,0,IF(K317&gt;'Proposed Lighting'!#REF!,0,IF(T317&gt;K317,0,IF(AND(AD317&gt;AA317,AA317&gt;0),0,IF(AND(F317&gt;1,W317&lt;0.01),0,IF('Proposed Lighting'!#REF!&gt;'Lighting Controls'!F317,0,IF('Proposed Lighting'!#REF!&lt;'Lighting Controls'!F317,0,IF(U317=0,0,Summary!#REF!))))))))</f>
        <v>0</v>
      </c>
      <c r="AF317" s="1230">
        <f>IF(T317=0,0,IF(AE317=0,0,IF(K317&gt;'Proposed Lighting'!#REF!,0,IF(AND(AD317&gt;AA317,AA317&gt;0),0,IF(U317=0,0,Summary!#REF!)))))</f>
        <v>0</v>
      </c>
      <c r="AG317" s="1834" t="e">
        <f>IF('Proposed Lighting'!#REF!=1,0,IF('Proposed Lighting'!#REF!=1,0,T317*W317))</f>
        <v>#REF!</v>
      </c>
      <c r="AH317" s="1834"/>
      <c r="AI317" s="1834"/>
      <c r="AJ317" s="1835">
        <f>IF(T317&lt;1,0,IF(K317&gt;'Proposed Lighting'!#REF!,0,IF('Proposed Lighting'!#REF!=1,0,IF('Proposed Lighting'!#REF!=1,0,IF(T317&gt;K317,0,IF(AND(AD317&gt;AA317,AA317&gt;0),0,IF(AND(F317=2,'Proposed Lighting'!#REF!=3),0,IF(AND(F317=3,'Proposed Lighting'!#REF!=2),0,IF('Proposed Lighting'!#REF!=100,0,IF(AND(F317&lt;3,V317=1,AM317=0),0,IF(AND(F317&gt;1,AF317&lt;1,AN317&lt;1),0,IF(AND(F317&gt;1,AE317&lt;0.69,AF317&lt;1,AN317&lt;1),0,IF(ISERROR(AB317-AC317),"",AB317-AC317)))))))))))))</f>
        <v>0</v>
      </c>
      <c r="AK317" s="1835"/>
      <c r="AL317" s="1835"/>
      <c r="AM317" s="1216">
        <f>IF(Q317=0,0,IF(T317=0,0,IF(T317&gt;K317,0,IF(AND(AS317&gt;0.01,BK317=0),0,IF(AND('Proposed Lighting'!#REF!=0,'Lighting Controls'!Z317=0.35),0,IF(AND(T317&lt;=K317,AA317&gt;=AD317,'Proposed Lighting'!#REF!=2),VLOOKUP(Q317,$AY$9:$AZ$15,2,FALSE),IF(AND(T317&lt;=K317,AA317&gt;=AD317,'Proposed Lighting'!#REF!=3),VLOOKUP(Q317,$AY$17:$AZ$23,2,FALSE))))))))</f>
        <v>0</v>
      </c>
      <c r="AN317" s="1248">
        <f>IF(T317=0,0,IF(K317&gt;'Proposed Lighting'!#REF!,0,IF(AE317=0,0,IF(AND(AD317&gt;AA317,AA317&gt;0),0,IF(U317=0,0,Summary!#REF!)))))</f>
        <v>0</v>
      </c>
      <c r="AO317" s="1248">
        <f t="shared" si="63"/>
        <v>0</v>
      </c>
      <c r="AP317" s="1249" t="e">
        <f>IF('Proposed Lighting'!#REF!=1,0,IF(K317=0,0,IF(T317&gt;K317,0,IF(G317=0,0,IF(K317&gt;'Proposed Lighting'!#REF!,0,IF(AND(AD317&gt;AA317,AA317&gt;0),0,IF(AND('Proposed Lighting'!#REF!=3,AM317=0.5),0,IF(AND(AM317&gt;0,AS317&gt;0,BI317&lt;2),0,IF('Proposed Lighting'!#REF!=100,0,IF(AV317=1,0,IF(AND(AM317=35,M317+N317&lt;2),0,AM317)))))))))))</f>
        <v>#REF!</v>
      </c>
      <c r="AQ317" s="1249" t="str">
        <f>IFERROR(ROUND(IF(Q317="","",IF('Proposed Lighting'!$X$4=0,0,IF(AND(AM317=35,M317+N317&lt;2),0,IF(T317&gt;K317,0,IF('Proposed Lighting'!#REF!=1,0,IF(AJ317=0,0,IF(AND('Proposed Lighting'!#REF!=3,AM317=0.5),0,IF(AND(AD317=75,AP317=0,AV317=0),0,IF(AP317&gt;0.01,AP317*T317,IF(AND(F317&gt;1,W317&lt;0.01),0,IF(AND(F317&gt;1,AO317=0),0,IF(AND('Proposed Lighting'!#REF!=22,AV317=0),0,IF(AND(AM317&gt;0,AS317&gt;0,BI317&lt;2),0,IF(AND(AS317&gt;0.01,BK317=0),0,IF(AND(AO317=TRUE,AV317=1,F317=3),MIN(AJ317*0.08,L317),IF(AP317&gt;0.01,AP317*T317,IF(AND(AO317=TRUE,AV317=1,F317=2),MIN(AJ317*0.1,L317)))))))))))))))))),2),"")</f>
        <v/>
      </c>
      <c r="AR317" s="1250">
        <f>IF(Q317=0,0,IF('Proposed Lighting'!$X$4=0,0,IF(AND(AM317&gt;0.01,AQ317&gt;0.01),0,IF('Proposed Lighting'!#REF!=1,"Missing Interior or Exterior Selection",IF('Proposed Lighting'!#REF!=1,"Selection does not match",IF(K317&gt;'Proposed Lighting'!#REF!,"Quantity controlled does not match proposed lighting quantity",IF(T317&gt;K317,"Quantity of sensors exceeds proposed lighting quantity",IF(AND(F317&gt;1,'Proposed Lighting'!#REF!&lt;&gt;F317),"Selection does not match",IF(AND(AD317&gt;AA317,AA317&gt;0),"Does not meet minimum connected load",IF(AND(O317&gt;0,AS317&gt;0,BK317&gt;0,'Proposed Lighting'!#REF!=0),"Select Control Strategies",IF(AND(AC317&gt;0.1,AJ317=0,AQ317=0),"Does not meet incentive criteria",0)))))))))))</f>
        <v>0</v>
      </c>
      <c r="AS317" s="1224" t="e">
        <f>IF('Proposed Lighting'!#REF!=100,0,IF(ISNUMBER(SEARCH("multiple",Q317)),1,0))</f>
        <v>#REF!</v>
      </c>
      <c r="AT317" s="451">
        <f t="shared" si="60"/>
        <v>0</v>
      </c>
      <c r="AU317" s="451" t="e">
        <f t="shared" si="61"/>
        <v>#REF!</v>
      </c>
      <c r="AV317" s="1222">
        <f>IF(ISNUMBER(SEARCH("Networked",'Proposed Lighting'!#REF!)),0,IF(ISNUMBER(SEARCH("Strategies",'Proposed Lighting'!#REF!)),0,IF(ISNUMBER(SEARCH("Removal",'Proposed Lighting'!#REF!)),0,IF(ISNUMBER(SEARCH("non-standard",Q317)),1,0))))</f>
        <v>0</v>
      </c>
      <c r="AW317" s="451">
        <f t="shared" si="64"/>
        <v>0</v>
      </c>
      <c r="AX317" s="451"/>
      <c r="AY317" s="451"/>
      <c r="AZ317" s="451"/>
      <c r="BA317" s="451"/>
      <c r="BB317" s="451"/>
      <c r="BC317" s="1215"/>
      <c r="BD317" s="1215"/>
      <c r="BE317" s="1215"/>
      <c r="BF317" s="1215"/>
      <c r="BG317" s="1215"/>
      <c r="BH317" s="1215"/>
      <c r="BI317" t="e">
        <f>IF(AND(AS317=1,BC317="No",BD317="Yes",BE317="Yes",BF317="No",BH317="No"),0,IF(AND('Proposed Lighting'!#REF!=2,AS317=1,BC317="Yes",BD317="Yes"),2,IF(AND('Proposed Lighting'!#REF!=2,AS317=1,BC317="Yes",BE317="Yes"),2,IF(AND('Proposed Lighting'!#REF!=2,AS317=1,BC317="Yes",BF317="Yes"),2,IF(AND('Proposed Lighting'!#REF!=2,AS317=1,BC317="Yes",BH317="Yes"),2,IF(AND('Proposed Lighting'!#REF!=2,AS317=1,BD317="Yes",BF317="Yes"),2,IF(AND('Proposed Lighting'!#REF!=2,AS317=1,BD317="Yes",BH317="Yes"),2,IF(AND('Proposed Lighting'!#REF!=3,AS317=1,BC317="Yes",BE317="Yes"),2,IF(AND('Proposed Lighting'!#REF!=3,AS317=1,BC317="Yes",BF317="Yes"),2,0)))))))))</f>
        <v>#REF!</v>
      </c>
      <c r="BJ317" s="1025" t="e">
        <f t="shared" si="62"/>
        <v>#REF!</v>
      </c>
      <c r="BK317" t="e">
        <f>IF(AND('Proposed Lighting'!#REF!=22,'Lighting Controls'!N317=1),0,IF(ISNUMBER(SEARCH("LED",G317)),1,0))</f>
        <v>#REF!</v>
      </c>
    </row>
    <row r="318" spans="1:63" ht="34.5" customHeight="1">
      <c r="A318" s="917">
        <v>310</v>
      </c>
      <c r="B318" s="1828" t="e">
        <f>IF('Proposed Lighting'!#REF!="","",'Proposed Lighting'!#REF!)</f>
        <v>#REF!</v>
      </c>
      <c r="C318" s="1828"/>
      <c r="D318" s="1828"/>
      <c r="E318" s="1245" t="e">
        <f>'Proposed Lighting'!#REF!</f>
        <v>#REF!</v>
      </c>
      <c r="F318" s="1245">
        <f t="shared" si="55"/>
        <v>0</v>
      </c>
      <c r="G318" s="1830" t="e">
        <f>IF('Proposed Lighting'!#REF!="","",IF(ISNUMBER(SEARCH("Networked",'Proposed Lighting'!#REF!)),0,IF(ISNUMBER(SEARCH("Strategies",'Proposed Lighting'!#REF!)),0,IF(ISNUMBER(SEARCH("Removal",'Proposed Lighting'!#REF!)),0,'Proposed Lighting'!#REF!))))</f>
        <v>#REF!</v>
      </c>
      <c r="H318" s="1830"/>
      <c r="I318" s="1830"/>
      <c r="J318" s="1830"/>
      <c r="K318" s="1215"/>
      <c r="L318" s="1246" t="e">
        <f t="shared" si="56"/>
        <v>#REF!</v>
      </c>
      <c r="M318" s="1224">
        <f t="shared" si="57"/>
        <v>0</v>
      </c>
      <c r="N318" s="1224">
        <f t="shared" si="58"/>
        <v>0</v>
      </c>
      <c r="O318" s="1825" t="e">
        <f>IF(G318=0,0,IF(ISNA('Proposed Lighting'!#REF!),0,'Proposed Lighting'!#REF!))</f>
        <v>#REF!</v>
      </c>
      <c r="P318" s="1825"/>
      <c r="Q318" s="1247"/>
      <c r="R318" s="1247"/>
      <c r="S318" s="1247"/>
      <c r="T318" s="1211"/>
      <c r="U318" s="1235">
        <f>IF(K318&gt;0.01,'Proposed Lighting'!#REF!,0)</f>
        <v>0</v>
      </c>
      <c r="V318" s="1248" t="e">
        <f>IF('Proposed Lighting'!#REF!=1,0,IF('Proposed Lighting'!#REF!=2,0,IF(AND('Proposed Lighting'!#REF!=3,'Proposed Lighting'!#REF!=0),1,0)))</f>
        <v>#REF!</v>
      </c>
      <c r="W318" s="1836"/>
      <c r="X318" s="1836"/>
      <c r="Y318" s="1836"/>
      <c r="Z318" s="1230" t="str">
        <f t="shared" si="52"/>
        <v/>
      </c>
      <c r="AA318" s="1230">
        <f t="shared" si="53"/>
        <v>0</v>
      </c>
      <c r="AB318" s="1230">
        <f>IF(Q318=0,0,IF(T318=0,0,IF(AA318=0,0,IF(AND(F318=3,V318=0),0,IF(T318=0,0,IF(K318&gt;'Proposed Lighting'!#REF!,0,IF('Proposed Lighting'!#REF!&gt;0.01,(K318*O318)*'Proposed Lighting'!#REF!/1000,(K318*O318)*U318/1000)))))))</f>
        <v>0</v>
      </c>
      <c r="AC318" s="1230" t="str">
        <f t="shared" si="59"/>
        <v/>
      </c>
      <c r="AD318" s="1230">
        <f t="shared" si="54"/>
        <v>0</v>
      </c>
      <c r="AE318" s="1230">
        <f>IF(T318=0,0,IF(K318&gt;'Proposed Lighting'!#REF!,0,IF(T318&gt;K318,0,IF(AND(AD318&gt;AA318,AA318&gt;0),0,IF(AND(F318&gt;1,W318&lt;0.01),0,IF('Proposed Lighting'!#REF!&gt;'Lighting Controls'!F318,0,IF('Proposed Lighting'!#REF!&lt;'Lighting Controls'!F318,0,IF(U318=0,0,Summary!#REF!))))))))</f>
        <v>0</v>
      </c>
      <c r="AF318" s="1230">
        <f>IF(T318=0,0,IF(AE318=0,0,IF(K318&gt;'Proposed Lighting'!#REF!,0,IF(AND(AD318&gt;AA318,AA318&gt;0),0,IF(U318=0,0,Summary!#REF!)))))</f>
        <v>0</v>
      </c>
      <c r="AG318" s="1834" t="e">
        <f>IF('Proposed Lighting'!#REF!=1,0,IF('Proposed Lighting'!#REF!=1,0,T318*W318))</f>
        <v>#REF!</v>
      </c>
      <c r="AH318" s="1834"/>
      <c r="AI318" s="1834"/>
      <c r="AJ318" s="1835">
        <f>IF(T318&lt;1,0,IF(K318&gt;'Proposed Lighting'!#REF!,0,IF('Proposed Lighting'!#REF!=1,0,IF('Proposed Lighting'!#REF!=1,0,IF(T318&gt;K318,0,IF(AND(AD318&gt;AA318,AA318&gt;0),0,IF(AND(F318=2,'Proposed Lighting'!#REF!=3),0,IF(AND(F318=3,'Proposed Lighting'!#REF!=2),0,IF('Proposed Lighting'!#REF!=100,0,IF(AND(F318&lt;3,V318=1,AM318=0),0,IF(AND(F318&gt;1,AF318&lt;1,AN318&lt;1),0,IF(AND(F318&gt;1,AE318&lt;0.69,AF318&lt;1,AN318&lt;1),0,IF(ISERROR(AB318-AC318),"",AB318-AC318)))))))))))))</f>
        <v>0</v>
      </c>
      <c r="AK318" s="1835"/>
      <c r="AL318" s="1835"/>
      <c r="AM318" s="1216">
        <f>IF(Q318=0,0,IF(T318=0,0,IF(T318&gt;K318,0,IF(AND(AS318&gt;0.01,BK318=0),0,IF(AND('Proposed Lighting'!#REF!=0,'Lighting Controls'!Z318=0.35),0,IF(AND(T318&lt;=K318,AA318&gt;=AD318,'Proposed Lighting'!#REF!=2),VLOOKUP(Q318,$AY$9:$AZ$15,2,FALSE),IF(AND(T318&lt;=K318,AA318&gt;=AD318,'Proposed Lighting'!#REF!=3),VLOOKUP(Q318,$AY$17:$AZ$23,2,FALSE))))))))</f>
        <v>0</v>
      </c>
      <c r="AN318" s="1248">
        <f>IF(T318=0,0,IF(K318&gt;'Proposed Lighting'!#REF!,0,IF(AE318=0,0,IF(AND(AD318&gt;AA318,AA318&gt;0),0,IF(U318=0,0,Summary!#REF!)))))</f>
        <v>0</v>
      </c>
      <c r="AO318" s="1248">
        <f t="shared" si="63"/>
        <v>0</v>
      </c>
      <c r="AP318" s="1249" t="e">
        <f>IF('Proposed Lighting'!#REF!=1,0,IF(K318=0,0,IF(T318&gt;K318,0,IF(G318=0,0,IF(K318&gt;'Proposed Lighting'!#REF!,0,IF(AND(AD318&gt;AA318,AA318&gt;0),0,IF(AND('Proposed Lighting'!#REF!=3,AM318=0.5),0,IF(AND(AM318&gt;0,AS318&gt;0,BI318&lt;2),0,IF('Proposed Lighting'!#REF!=100,0,IF(AV318=1,0,IF(AND(AM318=35,M318+N318&lt;2),0,AM318)))))))))))</f>
        <v>#REF!</v>
      </c>
      <c r="AQ318" s="1249" t="str">
        <f>IFERROR(ROUND(IF(Q318="","",IF('Proposed Lighting'!$X$4=0,0,IF(AND(AM318=35,M318+N318&lt;2),0,IF(T318&gt;K318,0,IF('Proposed Lighting'!#REF!=1,0,IF(AJ318=0,0,IF(AND('Proposed Lighting'!#REF!=3,AM318=0.5),0,IF(AND(AD318=75,AP318=0,AV318=0),0,IF(AP318&gt;0.01,AP318*T318,IF(AND(F318&gt;1,W318&lt;0.01),0,IF(AND(F318&gt;1,AO318=0),0,IF(AND('Proposed Lighting'!#REF!=22,AV318=0),0,IF(AND(AM318&gt;0,AS318&gt;0,BI318&lt;2),0,IF(AND(AS318&gt;0.01,BK318=0),0,IF(AND(AO318=TRUE,AV318=1,F318=3),MIN(AJ318*0.08,L318),IF(AP318&gt;0.01,AP318*T318,IF(AND(AO318=TRUE,AV318=1,F318=2),MIN(AJ318*0.1,L318)))))))))))))))))),2),"")</f>
        <v/>
      </c>
      <c r="AR318" s="1250">
        <f>IF(Q318=0,0,IF('Proposed Lighting'!$X$4=0,0,IF(AND(AM318&gt;0.01,AQ318&gt;0.01),0,IF('Proposed Lighting'!#REF!=1,"Missing Interior or Exterior Selection",IF('Proposed Lighting'!#REF!=1,"Selection does not match",IF(K318&gt;'Proposed Lighting'!#REF!,"Quantity controlled does not match proposed lighting quantity",IF(T318&gt;K318,"Quantity of sensors exceeds proposed lighting quantity",IF(AND(F318&gt;1,'Proposed Lighting'!#REF!&lt;&gt;F318),"Selection does not match",IF(AND(AD318&gt;AA318,AA318&gt;0),"Does not meet minimum connected load",IF(AND(O318&gt;0,AS318&gt;0,BK318&gt;0,'Proposed Lighting'!#REF!=0),"Select Control Strategies",IF(AND(AC318&gt;0.1,AJ318=0,AQ318=0),"Does not meet incentive criteria",0)))))))))))</f>
        <v>0</v>
      </c>
      <c r="AS318" s="1224" t="e">
        <f>IF('Proposed Lighting'!#REF!=100,0,IF(ISNUMBER(SEARCH("multiple",Q318)),1,0))</f>
        <v>#REF!</v>
      </c>
      <c r="AT318" s="451">
        <f t="shared" si="60"/>
        <v>0</v>
      </c>
      <c r="AU318" s="451" t="e">
        <f t="shared" si="61"/>
        <v>#REF!</v>
      </c>
      <c r="AV318" s="1222">
        <f>IF(ISNUMBER(SEARCH("Networked",'Proposed Lighting'!#REF!)),0,IF(ISNUMBER(SEARCH("Strategies",'Proposed Lighting'!#REF!)),0,IF(ISNUMBER(SEARCH("Removal",'Proposed Lighting'!#REF!)),0,IF(ISNUMBER(SEARCH("non-standard",Q318)),1,0))))</f>
        <v>0</v>
      </c>
      <c r="AW318" s="451">
        <f t="shared" si="64"/>
        <v>0</v>
      </c>
      <c r="AX318" s="451"/>
      <c r="AY318" s="451"/>
      <c r="AZ318" s="451"/>
      <c r="BA318" s="451"/>
      <c r="BB318" s="451"/>
      <c r="BC318" s="1215"/>
      <c r="BD318" s="1215"/>
      <c r="BE318" s="1215"/>
      <c r="BF318" s="1215"/>
      <c r="BG318" s="1215"/>
      <c r="BH318" s="1215"/>
      <c r="BI318" t="e">
        <f>IF(AND(AS318=1,BC318="No",BD318="Yes",BE318="Yes",BF318="No",BH318="No"),0,IF(AND('Proposed Lighting'!#REF!=2,AS318=1,BC318="Yes",BD318="Yes"),2,IF(AND('Proposed Lighting'!#REF!=2,AS318=1,BC318="Yes",BE318="Yes"),2,IF(AND('Proposed Lighting'!#REF!=2,AS318=1,BC318="Yes",BF318="Yes"),2,IF(AND('Proposed Lighting'!#REF!=2,AS318=1,BC318="Yes",BH318="Yes"),2,IF(AND('Proposed Lighting'!#REF!=2,AS318=1,BD318="Yes",BF318="Yes"),2,IF(AND('Proposed Lighting'!#REF!=2,AS318=1,BD318="Yes",BH318="Yes"),2,IF(AND('Proposed Lighting'!#REF!=3,AS318=1,BC318="Yes",BE318="Yes"),2,IF(AND('Proposed Lighting'!#REF!=3,AS318=1,BC318="Yes",BF318="Yes"),2,0)))))))))</f>
        <v>#REF!</v>
      </c>
      <c r="BJ318" s="1025" t="e">
        <f t="shared" si="62"/>
        <v>#REF!</v>
      </c>
      <c r="BK318" t="e">
        <f>IF(AND('Proposed Lighting'!#REF!=22,'Lighting Controls'!N318=1),0,IF(ISNUMBER(SEARCH("LED",G318)),1,0))</f>
        <v>#REF!</v>
      </c>
    </row>
    <row r="319" spans="1:63" ht="34.5" customHeight="1">
      <c r="A319" s="917">
        <v>311</v>
      </c>
      <c r="B319" s="1828" t="e">
        <f>IF('Proposed Lighting'!#REF!="","",'Proposed Lighting'!#REF!)</f>
        <v>#REF!</v>
      </c>
      <c r="C319" s="1828"/>
      <c r="D319" s="1828"/>
      <c r="E319" s="1245" t="e">
        <f>'Proposed Lighting'!#REF!</f>
        <v>#REF!</v>
      </c>
      <c r="F319" s="1245">
        <f t="shared" si="55"/>
        <v>0</v>
      </c>
      <c r="G319" s="1830" t="e">
        <f>IF('Proposed Lighting'!#REF!="","",IF(ISNUMBER(SEARCH("Networked",'Proposed Lighting'!#REF!)),0,IF(ISNUMBER(SEARCH("Strategies",'Proposed Lighting'!#REF!)),0,IF(ISNUMBER(SEARCH("Removal",'Proposed Lighting'!#REF!)),0,'Proposed Lighting'!#REF!))))</f>
        <v>#REF!</v>
      </c>
      <c r="H319" s="1830"/>
      <c r="I319" s="1830"/>
      <c r="J319" s="1830"/>
      <c r="K319" s="1215"/>
      <c r="L319" s="1246" t="e">
        <f t="shared" si="56"/>
        <v>#REF!</v>
      </c>
      <c r="M319" s="1224">
        <f t="shared" si="57"/>
        <v>0</v>
      </c>
      <c r="N319" s="1224">
        <f t="shared" si="58"/>
        <v>0</v>
      </c>
      <c r="O319" s="1825" t="e">
        <f>IF(G319=0,0,IF(ISNA('Proposed Lighting'!#REF!),0,'Proposed Lighting'!#REF!))</f>
        <v>#REF!</v>
      </c>
      <c r="P319" s="1825"/>
      <c r="Q319" s="1247"/>
      <c r="R319" s="1247"/>
      <c r="S319" s="1247"/>
      <c r="T319" s="1211"/>
      <c r="U319" s="1235">
        <f>IF(K319&gt;0.01,'Proposed Lighting'!#REF!,0)</f>
        <v>0</v>
      </c>
      <c r="V319" s="1248" t="e">
        <f>IF('Proposed Lighting'!#REF!=1,0,IF('Proposed Lighting'!#REF!=2,0,IF(AND('Proposed Lighting'!#REF!=3,'Proposed Lighting'!#REF!=0),1,0)))</f>
        <v>#REF!</v>
      </c>
      <c r="W319" s="1836"/>
      <c r="X319" s="1836"/>
      <c r="Y319" s="1836"/>
      <c r="Z319" s="1230" t="str">
        <f t="shared" si="52"/>
        <v/>
      </c>
      <c r="AA319" s="1230">
        <f t="shared" si="53"/>
        <v>0</v>
      </c>
      <c r="AB319" s="1230">
        <f>IF(Q319=0,0,IF(T319=0,0,IF(AA319=0,0,IF(AND(F319=3,V319=0),0,IF(T319=0,0,IF(K319&gt;'Proposed Lighting'!#REF!,0,IF('Proposed Lighting'!#REF!&gt;0.01,(K319*O319)*'Proposed Lighting'!#REF!/1000,(K319*O319)*U319/1000)))))))</f>
        <v>0</v>
      </c>
      <c r="AC319" s="1230" t="str">
        <f t="shared" si="59"/>
        <v/>
      </c>
      <c r="AD319" s="1230">
        <f t="shared" si="54"/>
        <v>0</v>
      </c>
      <c r="AE319" s="1230">
        <f>IF(T319=0,0,IF(K319&gt;'Proposed Lighting'!#REF!,0,IF(T319&gt;K319,0,IF(AND(AD319&gt;AA319,AA319&gt;0),0,IF(AND(F319&gt;1,W319&lt;0.01),0,IF('Proposed Lighting'!#REF!&gt;'Lighting Controls'!F319,0,IF('Proposed Lighting'!#REF!&lt;'Lighting Controls'!F319,0,IF(U319=0,0,Summary!#REF!))))))))</f>
        <v>0</v>
      </c>
      <c r="AF319" s="1230">
        <f>IF(T319=0,0,IF(AE319=0,0,IF(K319&gt;'Proposed Lighting'!#REF!,0,IF(AND(AD319&gt;AA319,AA319&gt;0),0,IF(U319=0,0,Summary!#REF!)))))</f>
        <v>0</v>
      </c>
      <c r="AG319" s="1834" t="e">
        <f>IF('Proposed Lighting'!#REF!=1,0,IF('Proposed Lighting'!#REF!=1,0,T319*W319))</f>
        <v>#REF!</v>
      </c>
      <c r="AH319" s="1834"/>
      <c r="AI319" s="1834"/>
      <c r="AJ319" s="1835">
        <f>IF(T319&lt;1,0,IF(K319&gt;'Proposed Lighting'!#REF!,0,IF('Proposed Lighting'!#REF!=1,0,IF('Proposed Lighting'!#REF!=1,0,IF(T319&gt;K319,0,IF(AND(AD319&gt;AA319,AA319&gt;0),0,IF(AND(F319=2,'Proposed Lighting'!#REF!=3),0,IF(AND(F319=3,'Proposed Lighting'!#REF!=2),0,IF('Proposed Lighting'!#REF!=100,0,IF(AND(F319&lt;3,V319=1,AM319=0),0,IF(AND(F319&gt;1,AF319&lt;1,AN319&lt;1),0,IF(AND(F319&gt;1,AE319&lt;0.69,AF319&lt;1,AN319&lt;1),0,IF(ISERROR(AB319-AC319),"",AB319-AC319)))))))))))))</f>
        <v>0</v>
      </c>
      <c r="AK319" s="1835"/>
      <c r="AL319" s="1835"/>
      <c r="AM319" s="1216">
        <f>IF(Q319=0,0,IF(T319=0,0,IF(T319&gt;K319,0,IF(AND(AS319&gt;0.01,BK319=0),0,IF(AND('Proposed Lighting'!#REF!=0,'Lighting Controls'!Z319=0.35),0,IF(AND(T319&lt;=K319,AA319&gt;=AD319,'Proposed Lighting'!#REF!=2),VLOOKUP(Q319,$AY$9:$AZ$15,2,FALSE),IF(AND(T319&lt;=K319,AA319&gt;=AD319,'Proposed Lighting'!#REF!=3),VLOOKUP(Q319,$AY$17:$AZ$23,2,FALSE))))))))</f>
        <v>0</v>
      </c>
      <c r="AN319" s="1248">
        <f>IF(T319=0,0,IF(K319&gt;'Proposed Lighting'!#REF!,0,IF(AE319=0,0,IF(AND(AD319&gt;AA319,AA319&gt;0),0,IF(U319=0,0,Summary!#REF!)))))</f>
        <v>0</v>
      </c>
      <c r="AO319" s="1248">
        <f t="shared" si="63"/>
        <v>0</v>
      </c>
      <c r="AP319" s="1249" t="e">
        <f>IF('Proposed Lighting'!#REF!=1,0,IF(K319=0,0,IF(T319&gt;K319,0,IF(G319=0,0,IF(K319&gt;'Proposed Lighting'!#REF!,0,IF(AND(AD319&gt;AA319,AA319&gt;0),0,IF(AND('Proposed Lighting'!#REF!=3,AM319=0.5),0,IF(AND(AM319&gt;0,AS319&gt;0,BI319&lt;2),0,IF('Proposed Lighting'!#REF!=100,0,IF(AV319=1,0,IF(AND(AM319=35,M319+N319&lt;2),0,AM319)))))))))))</f>
        <v>#REF!</v>
      </c>
      <c r="AQ319" s="1249" t="str">
        <f>IFERROR(ROUND(IF(Q319="","",IF('Proposed Lighting'!$X$4=0,0,IF(AND(AM319=35,M319+N319&lt;2),0,IF(T319&gt;K319,0,IF('Proposed Lighting'!#REF!=1,0,IF(AJ319=0,0,IF(AND('Proposed Lighting'!#REF!=3,AM319=0.5),0,IF(AND(AD319=75,AP319=0,AV319=0),0,IF(AP319&gt;0.01,AP319*T319,IF(AND(F319&gt;1,W319&lt;0.01),0,IF(AND(F319&gt;1,AO319=0),0,IF(AND('Proposed Lighting'!#REF!=22,AV319=0),0,IF(AND(AM319&gt;0,AS319&gt;0,BI319&lt;2),0,IF(AND(AS319&gt;0.01,BK319=0),0,IF(AND(AO319=TRUE,AV319=1,F319=3),MIN(AJ319*0.08,L319),IF(AP319&gt;0.01,AP319*T319,IF(AND(AO319=TRUE,AV319=1,F319=2),MIN(AJ319*0.1,L319)))))))))))))))))),2),"")</f>
        <v/>
      </c>
      <c r="AR319" s="1250">
        <f>IF(Q319=0,0,IF('Proposed Lighting'!$X$4=0,0,IF(AND(AM319&gt;0.01,AQ319&gt;0.01),0,IF('Proposed Lighting'!#REF!=1,"Missing Interior or Exterior Selection",IF('Proposed Lighting'!#REF!=1,"Selection does not match",IF(K319&gt;'Proposed Lighting'!#REF!,"Quantity controlled does not match proposed lighting quantity",IF(T319&gt;K319,"Quantity of sensors exceeds proposed lighting quantity",IF(AND(F319&gt;1,'Proposed Lighting'!#REF!&lt;&gt;F319),"Selection does not match",IF(AND(AD319&gt;AA319,AA319&gt;0),"Does not meet minimum connected load",IF(AND(O319&gt;0,AS319&gt;0,BK319&gt;0,'Proposed Lighting'!#REF!=0),"Select Control Strategies",IF(AND(AC319&gt;0.1,AJ319=0,AQ319=0),"Does not meet incentive criteria",0)))))))))))</f>
        <v>0</v>
      </c>
      <c r="AS319" s="1224" t="e">
        <f>IF('Proposed Lighting'!#REF!=100,0,IF(ISNUMBER(SEARCH("multiple",Q319)),1,0))</f>
        <v>#REF!</v>
      </c>
      <c r="AT319" s="451">
        <f t="shared" si="60"/>
        <v>0</v>
      </c>
      <c r="AU319" s="451" t="e">
        <f t="shared" si="61"/>
        <v>#REF!</v>
      </c>
      <c r="AV319" s="1222">
        <f>IF(ISNUMBER(SEARCH("Networked",'Proposed Lighting'!#REF!)),0,IF(ISNUMBER(SEARCH("Strategies",'Proposed Lighting'!#REF!)),0,IF(ISNUMBER(SEARCH("Removal",'Proposed Lighting'!#REF!)),0,IF(ISNUMBER(SEARCH("non-standard",Q319)),1,0))))</f>
        <v>0</v>
      </c>
      <c r="AW319" s="451">
        <f t="shared" si="64"/>
        <v>0</v>
      </c>
      <c r="AX319" s="451"/>
      <c r="AY319" s="451"/>
      <c r="AZ319" s="451"/>
      <c r="BA319" s="451"/>
      <c r="BB319" s="451"/>
      <c r="BC319" s="1215"/>
      <c r="BD319" s="1215"/>
      <c r="BE319" s="1215"/>
      <c r="BF319" s="1215"/>
      <c r="BG319" s="1215"/>
      <c r="BH319" s="1215"/>
      <c r="BI319" t="e">
        <f>IF(AND(AS319=1,BC319="No",BD319="Yes",BE319="Yes",BF319="No",BH319="No"),0,IF(AND('Proposed Lighting'!#REF!=2,AS319=1,BC319="Yes",BD319="Yes"),2,IF(AND('Proposed Lighting'!#REF!=2,AS319=1,BC319="Yes",BE319="Yes"),2,IF(AND('Proposed Lighting'!#REF!=2,AS319=1,BC319="Yes",BF319="Yes"),2,IF(AND('Proposed Lighting'!#REF!=2,AS319=1,BC319="Yes",BH319="Yes"),2,IF(AND('Proposed Lighting'!#REF!=2,AS319=1,BD319="Yes",BF319="Yes"),2,IF(AND('Proposed Lighting'!#REF!=2,AS319=1,BD319="Yes",BH319="Yes"),2,IF(AND('Proposed Lighting'!#REF!=3,AS319=1,BC319="Yes",BE319="Yes"),2,IF(AND('Proposed Lighting'!#REF!=3,AS319=1,BC319="Yes",BF319="Yes"),2,0)))))))))</f>
        <v>#REF!</v>
      </c>
      <c r="BJ319" s="1025" t="e">
        <f t="shared" si="62"/>
        <v>#REF!</v>
      </c>
      <c r="BK319" t="e">
        <f>IF(AND('Proposed Lighting'!#REF!=22,'Lighting Controls'!N319=1),0,IF(ISNUMBER(SEARCH("LED",G319)),1,0))</f>
        <v>#REF!</v>
      </c>
    </row>
    <row r="320" spans="1:63" ht="34.5" customHeight="1">
      <c r="A320" s="917">
        <v>312</v>
      </c>
      <c r="B320" s="1828" t="e">
        <f>IF('Proposed Lighting'!#REF!="","",'Proposed Lighting'!#REF!)</f>
        <v>#REF!</v>
      </c>
      <c r="C320" s="1828"/>
      <c r="D320" s="1828"/>
      <c r="E320" s="1245" t="e">
        <f>'Proposed Lighting'!#REF!</f>
        <v>#REF!</v>
      </c>
      <c r="F320" s="1245">
        <f t="shared" si="55"/>
        <v>0</v>
      </c>
      <c r="G320" s="1830" t="e">
        <f>IF('Proposed Lighting'!#REF!="","",IF(ISNUMBER(SEARCH("Networked",'Proposed Lighting'!#REF!)),0,IF(ISNUMBER(SEARCH("Strategies",'Proposed Lighting'!#REF!)),0,IF(ISNUMBER(SEARCH("Removal",'Proposed Lighting'!#REF!)),0,'Proposed Lighting'!#REF!))))</f>
        <v>#REF!</v>
      </c>
      <c r="H320" s="1830"/>
      <c r="I320" s="1830"/>
      <c r="J320" s="1830"/>
      <c r="K320" s="1215"/>
      <c r="L320" s="1246" t="e">
        <f t="shared" si="56"/>
        <v>#REF!</v>
      </c>
      <c r="M320" s="1224">
        <f t="shared" si="57"/>
        <v>0</v>
      </c>
      <c r="N320" s="1224">
        <f t="shared" si="58"/>
        <v>0</v>
      </c>
      <c r="O320" s="1825" t="e">
        <f>IF(G320=0,0,IF(ISNA('Proposed Lighting'!#REF!),0,'Proposed Lighting'!#REF!))</f>
        <v>#REF!</v>
      </c>
      <c r="P320" s="1825"/>
      <c r="Q320" s="1247"/>
      <c r="R320" s="1247"/>
      <c r="S320" s="1247"/>
      <c r="T320" s="1211"/>
      <c r="U320" s="1235">
        <f>IF(K320&gt;0.01,'Proposed Lighting'!#REF!,0)</f>
        <v>0</v>
      </c>
      <c r="V320" s="1248" t="e">
        <f>IF('Proposed Lighting'!#REF!=1,0,IF('Proposed Lighting'!#REF!=2,0,IF(AND('Proposed Lighting'!#REF!=3,'Proposed Lighting'!#REF!=0),1,0)))</f>
        <v>#REF!</v>
      </c>
      <c r="W320" s="1836"/>
      <c r="X320" s="1836"/>
      <c r="Y320" s="1836"/>
      <c r="Z320" s="1230" t="str">
        <f t="shared" si="52"/>
        <v/>
      </c>
      <c r="AA320" s="1230">
        <f t="shared" si="53"/>
        <v>0</v>
      </c>
      <c r="AB320" s="1230">
        <f>IF(Q320=0,0,IF(T320=0,0,IF(AA320=0,0,IF(AND(F320=3,V320=0),0,IF(T320=0,0,IF(K320&gt;'Proposed Lighting'!#REF!,0,IF('Proposed Lighting'!#REF!&gt;0.01,(K320*O320)*'Proposed Lighting'!#REF!/1000,(K320*O320)*U320/1000)))))))</f>
        <v>0</v>
      </c>
      <c r="AC320" s="1230" t="str">
        <f t="shared" si="59"/>
        <v/>
      </c>
      <c r="AD320" s="1230">
        <f t="shared" si="54"/>
        <v>0</v>
      </c>
      <c r="AE320" s="1230">
        <f>IF(T320=0,0,IF(K320&gt;'Proposed Lighting'!#REF!,0,IF(T320&gt;K320,0,IF(AND(AD320&gt;AA320,AA320&gt;0),0,IF(AND(F320&gt;1,W320&lt;0.01),0,IF('Proposed Lighting'!#REF!&gt;'Lighting Controls'!F320,0,IF('Proposed Lighting'!#REF!&lt;'Lighting Controls'!F320,0,IF(U320=0,0,Summary!#REF!))))))))</f>
        <v>0</v>
      </c>
      <c r="AF320" s="1230">
        <f>IF(T320=0,0,IF(AE320=0,0,IF(K320&gt;'Proposed Lighting'!#REF!,0,IF(AND(AD320&gt;AA320,AA320&gt;0),0,IF(U320=0,0,Summary!#REF!)))))</f>
        <v>0</v>
      </c>
      <c r="AG320" s="1834" t="e">
        <f>IF('Proposed Lighting'!#REF!=1,0,IF('Proposed Lighting'!#REF!=1,0,T320*W320))</f>
        <v>#REF!</v>
      </c>
      <c r="AH320" s="1834"/>
      <c r="AI320" s="1834"/>
      <c r="AJ320" s="1835">
        <f>IF(T320&lt;1,0,IF(K320&gt;'Proposed Lighting'!#REF!,0,IF('Proposed Lighting'!#REF!=1,0,IF('Proposed Lighting'!#REF!=1,0,IF(T320&gt;K320,0,IF(AND(AD320&gt;AA320,AA320&gt;0),0,IF(AND(F320=2,'Proposed Lighting'!#REF!=3),0,IF(AND(F320=3,'Proposed Lighting'!#REF!=2),0,IF('Proposed Lighting'!#REF!=100,0,IF(AND(F320&lt;3,V320=1,AM320=0),0,IF(AND(F320&gt;1,AF320&lt;1,AN320&lt;1),0,IF(AND(F320&gt;1,AE320&lt;0.69,AF320&lt;1,AN320&lt;1),0,IF(ISERROR(AB320-AC320),"",AB320-AC320)))))))))))))</f>
        <v>0</v>
      </c>
      <c r="AK320" s="1835"/>
      <c r="AL320" s="1835"/>
      <c r="AM320" s="1216">
        <f>IF(Q320=0,0,IF(T320=0,0,IF(T320&gt;K320,0,IF(AND(AS320&gt;0.01,BK320=0),0,IF(AND('Proposed Lighting'!#REF!=0,'Lighting Controls'!Z320=0.35),0,IF(AND(T320&lt;=K320,AA320&gt;=AD320,'Proposed Lighting'!#REF!=2),VLOOKUP(Q320,$AY$9:$AZ$15,2,FALSE),IF(AND(T320&lt;=K320,AA320&gt;=AD320,'Proposed Lighting'!#REF!=3),VLOOKUP(Q320,$AY$17:$AZ$23,2,FALSE))))))))</f>
        <v>0</v>
      </c>
      <c r="AN320" s="1248">
        <f>IF(T320=0,0,IF(K320&gt;'Proposed Lighting'!#REF!,0,IF(AE320=0,0,IF(AND(AD320&gt;AA320,AA320&gt;0),0,IF(U320=0,0,Summary!#REF!)))))</f>
        <v>0</v>
      </c>
      <c r="AO320" s="1248">
        <f t="shared" si="63"/>
        <v>0</v>
      </c>
      <c r="AP320" s="1249" t="e">
        <f>IF('Proposed Lighting'!#REF!=1,0,IF(K320=0,0,IF(T320&gt;K320,0,IF(G320=0,0,IF(K320&gt;'Proposed Lighting'!#REF!,0,IF(AND(AD320&gt;AA320,AA320&gt;0),0,IF(AND('Proposed Lighting'!#REF!=3,AM320=0.5),0,IF(AND(AM320&gt;0,AS320&gt;0,BI320&lt;2),0,IF('Proposed Lighting'!#REF!=100,0,IF(AV320=1,0,IF(AND(AM320=35,M320+N320&lt;2),0,AM320)))))))))))</f>
        <v>#REF!</v>
      </c>
      <c r="AQ320" s="1249" t="str">
        <f>IFERROR(ROUND(IF(Q320="","",IF('Proposed Lighting'!$X$4=0,0,IF(AND(AM320=35,M320+N320&lt;2),0,IF(T320&gt;K320,0,IF('Proposed Lighting'!#REF!=1,0,IF(AJ320=0,0,IF(AND('Proposed Lighting'!#REF!=3,AM320=0.5),0,IF(AND(AD320=75,AP320=0,AV320=0),0,IF(AP320&gt;0.01,AP320*T320,IF(AND(F320&gt;1,W320&lt;0.01),0,IF(AND(F320&gt;1,AO320=0),0,IF(AND('Proposed Lighting'!#REF!=22,AV320=0),0,IF(AND(AM320&gt;0,AS320&gt;0,BI320&lt;2),0,IF(AND(AS320&gt;0.01,BK320=0),0,IF(AND(AO320=TRUE,AV320=1,F320=3),MIN(AJ320*0.08,L320),IF(AP320&gt;0.01,AP320*T320,IF(AND(AO320=TRUE,AV320=1,F320=2),MIN(AJ320*0.1,L320)))))))))))))))))),2),"")</f>
        <v/>
      </c>
      <c r="AR320" s="1250">
        <f>IF(Q320=0,0,IF('Proposed Lighting'!$X$4=0,0,IF(AND(AM320&gt;0.01,AQ320&gt;0.01),0,IF('Proposed Lighting'!#REF!=1,"Missing Interior or Exterior Selection",IF('Proposed Lighting'!#REF!=1,"Selection does not match",IF(K320&gt;'Proposed Lighting'!#REF!,"Quantity controlled does not match proposed lighting quantity",IF(T320&gt;K320,"Quantity of sensors exceeds proposed lighting quantity",IF(AND(F320&gt;1,'Proposed Lighting'!#REF!&lt;&gt;F320),"Selection does not match",IF(AND(AD320&gt;AA320,AA320&gt;0),"Does not meet minimum connected load",IF(AND(O320&gt;0,AS320&gt;0,BK320&gt;0,'Proposed Lighting'!#REF!=0),"Select Control Strategies",IF(AND(AC320&gt;0.1,AJ320=0,AQ320=0),"Does not meet incentive criteria",0)))))))))))</f>
        <v>0</v>
      </c>
      <c r="AS320" s="1224" t="e">
        <f>IF('Proposed Lighting'!#REF!=100,0,IF(ISNUMBER(SEARCH("multiple",Q320)),1,0))</f>
        <v>#REF!</v>
      </c>
      <c r="AT320" s="451">
        <f t="shared" si="60"/>
        <v>0</v>
      </c>
      <c r="AU320" s="451" t="e">
        <f t="shared" si="61"/>
        <v>#REF!</v>
      </c>
      <c r="AV320" s="1222">
        <f>IF(ISNUMBER(SEARCH("Networked",'Proposed Lighting'!#REF!)),0,IF(ISNUMBER(SEARCH("Strategies",'Proposed Lighting'!#REF!)),0,IF(ISNUMBER(SEARCH("Removal",'Proposed Lighting'!#REF!)),0,IF(ISNUMBER(SEARCH("non-standard",Q320)),1,0))))</f>
        <v>0</v>
      </c>
      <c r="AW320" s="451">
        <f t="shared" si="64"/>
        <v>0</v>
      </c>
      <c r="AX320" s="451"/>
      <c r="AY320" s="451"/>
      <c r="AZ320" s="451"/>
      <c r="BA320" s="451"/>
      <c r="BB320" s="451"/>
      <c r="BC320" s="1215"/>
      <c r="BD320" s="1215"/>
      <c r="BE320" s="1215"/>
      <c r="BF320" s="1215"/>
      <c r="BG320" s="1215"/>
      <c r="BH320" s="1215"/>
      <c r="BI320" t="e">
        <f>IF(AND(AS320=1,BC320="No",BD320="Yes",BE320="Yes",BF320="No",BH320="No"),0,IF(AND('Proposed Lighting'!#REF!=2,AS320=1,BC320="Yes",BD320="Yes"),2,IF(AND('Proposed Lighting'!#REF!=2,AS320=1,BC320="Yes",BE320="Yes"),2,IF(AND('Proposed Lighting'!#REF!=2,AS320=1,BC320="Yes",BF320="Yes"),2,IF(AND('Proposed Lighting'!#REF!=2,AS320=1,BC320="Yes",BH320="Yes"),2,IF(AND('Proposed Lighting'!#REF!=2,AS320=1,BD320="Yes",BF320="Yes"),2,IF(AND('Proposed Lighting'!#REF!=2,AS320=1,BD320="Yes",BH320="Yes"),2,IF(AND('Proposed Lighting'!#REF!=3,AS320=1,BC320="Yes",BE320="Yes"),2,IF(AND('Proposed Lighting'!#REF!=3,AS320=1,BC320="Yes",BF320="Yes"),2,0)))))))))</f>
        <v>#REF!</v>
      </c>
      <c r="BJ320" s="1025" t="e">
        <f t="shared" si="62"/>
        <v>#REF!</v>
      </c>
      <c r="BK320" t="e">
        <f>IF(AND('Proposed Lighting'!#REF!=22,'Lighting Controls'!N320=1),0,IF(ISNUMBER(SEARCH("LED",G320)),1,0))</f>
        <v>#REF!</v>
      </c>
    </row>
    <row r="321" spans="1:63" ht="34.5" customHeight="1">
      <c r="A321" s="917">
        <v>313</v>
      </c>
      <c r="B321" s="1828" t="e">
        <f>IF('Proposed Lighting'!#REF!="","",'Proposed Lighting'!#REF!)</f>
        <v>#REF!</v>
      </c>
      <c r="C321" s="1828"/>
      <c r="D321" s="1828"/>
      <c r="E321" s="1245" t="e">
        <f>'Proposed Lighting'!#REF!</f>
        <v>#REF!</v>
      </c>
      <c r="F321" s="1245">
        <f t="shared" si="55"/>
        <v>0</v>
      </c>
      <c r="G321" s="1830" t="e">
        <f>IF('Proposed Lighting'!#REF!="","",IF(ISNUMBER(SEARCH("Networked",'Proposed Lighting'!#REF!)),0,IF(ISNUMBER(SEARCH("Strategies",'Proposed Lighting'!#REF!)),0,IF(ISNUMBER(SEARCH("Removal",'Proposed Lighting'!#REF!)),0,'Proposed Lighting'!#REF!))))</f>
        <v>#REF!</v>
      </c>
      <c r="H321" s="1830"/>
      <c r="I321" s="1830"/>
      <c r="J321" s="1830"/>
      <c r="K321" s="1215"/>
      <c r="L321" s="1246" t="e">
        <f t="shared" si="56"/>
        <v>#REF!</v>
      </c>
      <c r="M321" s="1224">
        <f t="shared" si="57"/>
        <v>0</v>
      </c>
      <c r="N321" s="1224">
        <f t="shared" si="58"/>
        <v>0</v>
      </c>
      <c r="O321" s="1825" t="e">
        <f>IF(G321=0,0,IF(ISNA('Proposed Lighting'!#REF!),0,'Proposed Lighting'!#REF!))</f>
        <v>#REF!</v>
      </c>
      <c r="P321" s="1825"/>
      <c r="Q321" s="1247"/>
      <c r="R321" s="1247"/>
      <c r="S321" s="1247"/>
      <c r="T321" s="1211"/>
      <c r="U321" s="1235">
        <f>IF(K321&gt;0.01,'Proposed Lighting'!#REF!,0)</f>
        <v>0</v>
      </c>
      <c r="V321" s="1248" t="e">
        <f>IF('Proposed Lighting'!#REF!=1,0,IF('Proposed Lighting'!#REF!=2,0,IF(AND('Proposed Lighting'!#REF!=3,'Proposed Lighting'!#REF!=0),1,0)))</f>
        <v>#REF!</v>
      </c>
      <c r="W321" s="1836"/>
      <c r="X321" s="1836"/>
      <c r="Y321" s="1836"/>
      <c r="Z321" s="1230" t="str">
        <f t="shared" si="52"/>
        <v/>
      </c>
      <c r="AA321" s="1230">
        <f t="shared" si="53"/>
        <v>0</v>
      </c>
      <c r="AB321" s="1230">
        <f>IF(Q321=0,0,IF(T321=0,0,IF(AA321=0,0,IF(AND(F321=3,V321=0),0,IF(T321=0,0,IF(K321&gt;'Proposed Lighting'!#REF!,0,IF('Proposed Lighting'!#REF!&gt;0.01,(K321*O321)*'Proposed Lighting'!#REF!/1000,(K321*O321)*U321/1000)))))))</f>
        <v>0</v>
      </c>
      <c r="AC321" s="1230" t="str">
        <f t="shared" si="59"/>
        <v/>
      </c>
      <c r="AD321" s="1230">
        <f t="shared" si="54"/>
        <v>0</v>
      </c>
      <c r="AE321" s="1230">
        <f>IF(T321=0,0,IF(K321&gt;'Proposed Lighting'!#REF!,0,IF(T321&gt;K321,0,IF(AND(AD321&gt;AA321,AA321&gt;0),0,IF(AND(F321&gt;1,W321&lt;0.01),0,IF('Proposed Lighting'!#REF!&gt;'Lighting Controls'!F321,0,IF('Proposed Lighting'!#REF!&lt;'Lighting Controls'!F321,0,IF(U321=0,0,Summary!#REF!))))))))</f>
        <v>0</v>
      </c>
      <c r="AF321" s="1230">
        <f>IF(T321=0,0,IF(AE321=0,0,IF(K321&gt;'Proposed Lighting'!#REF!,0,IF(AND(AD321&gt;AA321,AA321&gt;0),0,IF(U321=0,0,Summary!#REF!)))))</f>
        <v>0</v>
      </c>
      <c r="AG321" s="1834" t="e">
        <f>IF('Proposed Lighting'!#REF!=1,0,IF('Proposed Lighting'!#REF!=1,0,T321*W321))</f>
        <v>#REF!</v>
      </c>
      <c r="AH321" s="1834"/>
      <c r="AI321" s="1834"/>
      <c r="AJ321" s="1835">
        <f>IF(T321&lt;1,0,IF(K321&gt;'Proposed Lighting'!#REF!,0,IF('Proposed Lighting'!#REF!=1,0,IF('Proposed Lighting'!#REF!=1,0,IF(T321&gt;K321,0,IF(AND(AD321&gt;AA321,AA321&gt;0),0,IF(AND(F321=2,'Proposed Lighting'!#REF!=3),0,IF(AND(F321=3,'Proposed Lighting'!#REF!=2),0,IF('Proposed Lighting'!#REF!=100,0,IF(AND(F321&lt;3,V321=1,AM321=0),0,IF(AND(F321&gt;1,AF321&lt;1,AN321&lt;1),0,IF(AND(F321&gt;1,AE321&lt;0.69,AF321&lt;1,AN321&lt;1),0,IF(ISERROR(AB321-AC321),"",AB321-AC321)))))))))))))</f>
        <v>0</v>
      </c>
      <c r="AK321" s="1835"/>
      <c r="AL321" s="1835"/>
      <c r="AM321" s="1216">
        <f>IF(Q321=0,0,IF(T321=0,0,IF(T321&gt;K321,0,IF(AND(AS321&gt;0.01,BK321=0),0,IF(AND('Proposed Lighting'!#REF!=0,'Lighting Controls'!Z321=0.35),0,IF(AND(T321&lt;=K321,AA321&gt;=AD321,'Proposed Lighting'!#REF!=2),VLOOKUP(Q321,$AY$9:$AZ$15,2,FALSE),IF(AND(T321&lt;=K321,AA321&gt;=AD321,'Proposed Lighting'!#REF!=3),VLOOKUP(Q321,$AY$17:$AZ$23,2,FALSE))))))))</f>
        <v>0</v>
      </c>
      <c r="AN321" s="1248">
        <f>IF(T321=0,0,IF(K321&gt;'Proposed Lighting'!#REF!,0,IF(AE321=0,0,IF(AND(AD321&gt;AA321,AA321&gt;0),0,IF(U321=0,0,Summary!#REF!)))))</f>
        <v>0</v>
      </c>
      <c r="AO321" s="1248">
        <f t="shared" si="63"/>
        <v>0</v>
      </c>
      <c r="AP321" s="1249" t="e">
        <f>IF('Proposed Lighting'!#REF!=1,0,IF(K321=0,0,IF(T321&gt;K321,0,IF(G321=0,0,IF(K321&gt;'Proposed Lighting'!#REF!,0,IF(AND(AD321&gt;AA321,AA321&gt;0),0,IF(AND('Proposed Lighting'!#REF!=3,AM321=0.5),0,IF(AND(AM321&gt;0,AS321&gt;0,BI321&lt;2),0,IF('Proposed Lighting'!#REF!=100,0,IF(AV321=1,0,IF(AND(AM321=35,M321+N321&lt;2),0,AM321)))))))))))</f>
        <v>#REF!</v>
      </c>
      <c r="AQ321" s="1249" t="str">
        <f>IFERROR(ROUND(IF(Q321="","",IF('Proposed Lighting'!$X$4=0,0,IF(AND(AM321=35,M321+N321&lt;2),0,IF(T321&gt;K321,0,IF('Proposed Lighting'!#REF!=1,0,IF(AJ321=0,0,IF(AND('Proposed Lighting'!#REF!=3,AM321=0.5),0,IF(AND(AD321=75,AP321=0,AV321=0),0,IF(AP321&gt;0.01,AP321*T321,IF(AND(F321&gt;1,W321&lt;0.01),0,IF(AND(F321&gt;1,AO321=0),0,IF(AND('Proposed Lighting'!#REF!=22,AV321=0),0,IF(AND(AM321&gt;0,AS321&gt;0,BI321&lt;2),0,IF(AND(AS321&gt;0.01,BK321=0),0,IF(AND(AO321=TRUE,AV321=1,F321=3),MIN(AJ321*0.08,L321),IF(AP321&gt;0.01,AP321*T321,IF(AND(AO321=TRUE,AV321=1,F321=2),MIN(AJ321*0.1,L321)))))))))))))))))),2),"")</f>
        <v/>
      </c>
      <c r="AR321" s="1250">
        <f>IF(Q321=0,0,IF('Proposed Lighting'!$X$4=0,0,IF(AND(AM321&gt;0.01,AQ321&gt;0.01),0,IF('Proposed Lighting'!#REF!=1,"Missing Interior or Exterior Selection",IF('Proposed Lighting'!#REF!=1,"Selection does not match",IF(K321&gt;'Proposed Lighting'!#REF!,"Quantity controlled does not match proposed lighting quantity",IF(T321&gt;K321,"Quantity of sensors exceeds proposed lighting quantity",IF(AND(F321&gt;1,'Proposed Lighting'!#REF!&lt;&gt;F321),"Selection does not match",IF(AND(AD321&gt;AA321,AA321&gt;0),"Does not meet minimum connected load",IF(AND(O321&gt;0,AS321&gt;0,BK321&gt;0,'Proposed Lighting'!#REF!=0),"Select Control Strategies",IF(AND(AC321&gt;0.1,AJ321=0,AQ321=0),"Does not meet incentive criteria",0)))))))))))</f>
        <v>0</v>
      </c>
      <c r="AS321" s="1224" t="e">
        <f>IF('Proposed Lighting'!#REF!=100,0,IF(ISNUMBER(SEARCH("multiple",Q321)),1,0))</f>
        <v>#REF!</v>
      </c>
      <c r="AT321" s="451">
        <f t="shared" si="60"/>
        <v>0</v>
      </c>
      <c r="AU321" s="451" t="e">
        <f t="shared" si="61"/>
        <v>#REF!</v>
      </c>
      <c r="AV321" s="1222">
        <f>IF(ISNUMBER(SEARCH("Networked",'Proposed Lighting'!#REF!)),0,IF(ISNUMBER(SEARCH("Strategies",'Proposed Lighting'!#REF!)),0,IF(ISNUMBER(SEARCH("Removal",'Proposed Lighting'!#REF!)),0,IF(ISNUMBER(SEARCH("non-standard",Q321)),1,0))))</f>
        <v>0</v>
      </c>
      <c r="AW321" s="451">
        <f t="shared" si="64"/>
        <v>0</v>
      </c>
      <c r="AX321" s="451"/>
      <c r="AY321" s="451"/>
      <c r="AZ321" s="451"/>
      <c r="BA321" s="451"/>
      <c r="BB321" s="451"/>
      <c r="BC321" s="1215"/>
      <c r="BD321" s="1215"/>
      <c r="BE321" s="1215"/>
      <c r="BF321" s="1215"/>
      <c r="BG321" s="1215"/>
      <c r="BH321" s="1215"/>
      <c r="BI321" t="e">
        <f>IF(AND(AS321=1,BC321="No",BD321="Yes",BE321="Yes",BF321="No",BH321="No"),0,IF(AND('Proposed Lighting'!#REF!=2,AS321=1,BC321="Yes",BD321="Yes"),2,IF(AND('Proposed Lighting'!#REF!=2,AS321=1,BC321="Yes",BE321="Yes"),2,IF(AND('Proposed Lighting'!#REF!=2,AS321=1,BC321="Yes",BF321="Yes"),2,IF(AND('Proposed Lighting'!#REF!=2,AS321=1,BC321="Yes",BH321="Yes"),2,IF(AND('Proposed Lighting'!#REF!=2,AS321=1,BD321="Yes",BF321="Yes"),2,IF(AND('Proposed Lighting'!#REF!=2,AS321=1,BD321="Yes",BH321="Yes"),2,IF(AND('Proposed Lighting'!#REF!=3,AS321=1,BC321="Yes",BE321="Yes"),2,IF(AND('Proposed Lighting'!#REF!=3,AS321=1,BC321="Yes",BF321="Yes"),2,0)))))))))</f>
        <v>#REF!</v>
      </c>
      <c r="BJ321" s="1025" t="e">
        <f t="shared" si="62"/>
        <v>#REF!</v>
      </c>
      <c r="BK321" t="e">
        <f>IF(AND('Proposed Lighting'!#REF!=22,'Lighting Controls'!N321=1),0,IF(ISNUMBER(SEARCH("LED",G321)),1,0))</f>
        <v>#REF!</v>
      </c>
    </row>
    <row r="322" spans="1:63" ht="34.5" customHeight="1">
      <c r="A322" s="917">
        <v>314</v>
      </c>
      <c r="B322" s="1828" t="e">
        <f>IF('Proposed Lighting'!#REF!="","",'Proposed Lighting'!#REF!)</f>
        <v>#REF!</v>
      </c>
      <c r="C322" s="1828"/>
      <c r="D322" s="1828"/>
      <c r="E322" s="1245" t="e">
        <f>'Proposed Lighting'!#REF!</f>
        <v>#REF!</v>
      </c>
      <c r="F322" s="1245">
        <f t="shared" si="55"/>
        <v>0</v>
      </c>
      <c r="G322" s="1830" t="e">
        <f>IF('Proposed Lighting'!#REF!="","",IF(ISNUMBER(SEARCH("Networked",'Proposed Lighting'!#REF!)),0,IF(ISNUMBER(SEARCH("Strategies",'Proposed Lighting'!#REF!)),0,IF(ISNUMBER(SEARCH("Removal",'Proposed Lighting'!#REF!)),0,'Proposed Lighting'!#REF!))))</f>
        <v>#REF!</v>
      </c>
      <c r="H322" s="1830"/>
      <c r="I322" s="1830"/>
      <c r="J322" s="1830"/>
      <c r="K322" s="1215"/>
      <c r="L322" s="1246" t="e">
        <f t="shared" si="56"/>
        <v>#REF!</v>
      </c>
      <c r="M322" s="1224">
        <f t="shared" si="57"/>
        <v>0</v>
      </c>
      <c r="N322" s="1224">
        <f t="shared" si="58"/>
        <v>0</v>
      </c>
      <c r="O322" s="1825" t="e">
        <f>IF(G322=0,0,IF(ISNA('Proposed Lighting'!#REF!),0,'Proposed Lighting'!#REF!))</f>
        <v>#REF!</v>
      </c>
      <c r="P322" s="1825"/>
      <c r="Q322" s="1247"/>
      <c r="R322" s="1247"/>
      <c r="S322" s="1247"/>
      <c r="T322" s="1211"/>
      <c r="U322" s="1235">
        <f>IF(K322&gt;0.01,'Proposed Lighting'!#REF!,0)</f>
        <v>0</v>
      </c>
      <c r="V322" s="1248" t="e">
        <f>IF('Proposed Lighting'!#REF!=1,0,IF('Proposed Lighting'!#REF!=2,0,IF(AND('Proposed Lighting'!#REF!=3,'Proposed Lighting'!#REF!=0),1,0)))</f>
        <v>#REF!</v>
      </c>
      <c r="W322" s="1836"/>
      <c r="X322" s="1836"/>
      <c r="Y322" s="1836"/>
      <c r="Z322" s="1230" t="str">
        <f t="shared" si="52"/>
        <v/>
      </c>
      <c r="AA322" s="1230">
        <f t="shared" si="53"/>
        <v>0</v>
      </c>
      <c r="AB322" s="1230">
        <f>IF(Q322=0,0,IF(T322=0,0,IF(AA322=0,0,IF(AND(F322=3,V322=0),0,IF(T322=0,0,IF(K322&gt;'Proposed Lighting'!#REF!,0,IF('Proposed Lighting'!#REF!&gt;0.01,(K322*O322)*'Proposed Lighting'!#REF!/1000,(K322*O322)*U322/1000)))))))</f>
        <v>0</v>
      </c>
      <c r="AC322" s="1230" t="str">
        <f t="shared" si="59"/>
        <v/>
      </c>
      <c r="AD322" s="1230">
        <f t="shared" si="54"/>
        <v>0</v>
      </c>
      <c r="AE322" s="1230">
        <f>IF(T322=0,0,IF(K322&gt;'Proposed Lighting'!#REF!,0,IF(T322&gt;K322,0,IF(AND(AD322&gt;AA322,AA322&gt;0),0,IF(AND(F322&gt;1,W322&lt;0.01),0,IF('Proposed Lighting'!#REF!&gt;'Lighting Controls'!F322,0,IF('Proposed Lighting'!#REF!&lt;'Lighting Controls'!F322,0,IF(U322=0,0,Summary!#REF!))))))))</f>
        <v>0</v>
      </c>
      <c r="AF322" s="1230">
        <f>IF(T322=0,0,IF(AE322=0,0,IF(K322&gt;'Proposed Lighting'!#REF!,0,IF(AND(AD322&gt;AA322,AA322&gt;0),0,IF(U322=0,0,Summary!#REF!)))))</f>
        <v>0</v>
      </c>
      <c r="AG322" s="1834" t="e">
        <f>IF('Proposed Lighting'!#REF!=1,0,IF('Proposed Lighting'!#REF!=1,0,T322*W322))</f>
        <v>#REF!</v>
      </c>
      <c r="AH322" s="1834"/>
      <c r="AI322" s="1834"/>
      <c r="AJ322" s="1835">
        <f>IF(T322&lt;1,0,IF(K322&gt;'Proposed Lighting'!#REF!,0,IF('Proposed Lighting'!#REF!=1,0,IF('Proposed Lighting'!#REF!=1,0,IF(T322&gt;K322,0,IF(AND(AD322&gt;AA322,AA322&gt;0),0,IF(AND(F322=2,'Proposed Lighting'!#REF!=3),0,IF(AND(F322=3,'Proposed Lighting'!#REF!=2),0,IF('Proposed Lighting'!#REF!=100,0,IF(AND(F322&lt;3,V322=1,AM322=0),0,IF(AND(F322&gt;1,AF322&lt;1,AN322&lt;1),0,IF(AND(F322&gt;1,AE322&lt;0.69,AF322&lt;1,AN322&lt;1),0,IF(ISERROR(AB322-AC322),"",AB322-AC322)))))))))))))</f>
        <v>0</v>
      </c>
      <c r="AK322" s="1835"/>
      <c r="AL322" s="1835"/>
      <c r="AM322" s="1216">
        <f>IF(Q322=0,0,IF(T322=0,0,IF(T322&gt;K322,0,IF(AND(AS322&gt;0.01,BK322=0),0,IF(AND('Proposed Lighting'!#REF!=0,'Lighting Controls'!Z322=0.35),0,IF(AND(T322&lt;=K322,AA322&gt;=AD322,'Proposed Lighting'!#REF!=2),VLOOKUP(Q322,$AY$9:$AZ$15,2,FALSE),IF(AND(T322&lt;=K322,AA322&gt;=AD322,'Proposed Lighting'!#REF!=3),VLOOKUP(Q322,$AY$17:$AZ$23,2,FALSE))))))))</f>
        <v>0</v>
      </c>
      <c r="AN322" s="1248">
        <f>IF(T322=0,0,IF(K322&gt;'Proposed Lighting'!#REF!,0,IF(AE322=0,0,IF(AND(AD322&gt;AA322,AA322&gt;0),0,IF(U322=0,0,Summary!#REF!)))))</f>
        <v>0</v>
      </c>
      <c r="AO322" s="1248">
        <f t="shared" si="63"/>
        <v>0</v>
      </c>
      <c r="AP322" s="1249" t="e">
        <f>IF('Proposed Lighting'!#REF!=1,0,IF(K322=0,0,IF(T322&gt;K322,0,IF(G322=0,0,IF(K322&gt;'Proposed Lighting'!#REF!,0,IF(AND(AD322&gt;AA322,AA322&gt;0),0,IF(AND('Proposed Lighting'!#REF!=3,AM322=0.5),0,IF(AND(AM322&gt;0,AS322&gt;0,BI322&lt;2),0,IF('Proposed Lighting'!#REF!=100,0,IF(AV322=1,0,IF(AND(AM322=35,M322+N322&lt;2),0,AM322)))))))))))</f>
        <v>#REF!</v>
      </c>
      <c r="AQ322" s="1249" t="str">
        <f>IFERROR(ROUND(IF(Q322="","",IF('Proposed Lighting'!$X$4=0,0,IF(AND(AM322=35,M322+N322&lt;2),0,IF(T322&gt;K322,0,IF('Proposed Lighting'!#REF!=1,0,IF(AJ322=0,0,IF(AND('Proposed Lighting'!#REF!=3,AM322=0.5),0,IF(AND(AD322=75,AP322=0,AV322=0),0,IF(AP322&gt;0.01,AP322*T322,IF(AND(F322&gt;1,W322&lt;0.01),0,IF(AND(F322&gt;1,AO322=0),0,IF(AND('Proposed Lighting'!#REF!=22,AV322=0),0,IF(AND(AM322&gt;0,AS322&gt;0,BI322&lt;2),0,IF(AND(AS322&gt;0.01,BK322=0),0,IF(AND(AO322=TRUE,AV322=1,F322=3),MIN(AJ322*0.08,L322),IF(AP322&gt;0.01,AP322*T322,IF(AND(AO322=TRUE,AV322=1,F322=2),MIN(AJ322*0.1,L322)))))))))))))))))),2),"")</f>
        <v/>
      </c>
      <c r="AR322" s="1250">
        <f>IF(Q322=0,0,IF('Proposed Lighting'!$X$4=0,0,IF(AND(AM322&gt;0.01,AQ322&gt;0.01),0,IF('Proposed Lighting'!#REF!=1,"Missing Interior or Exterior Selection",IF('Proposed Lighting'!#REF!=1,"Selection does not match",IF(K322&gt;'Proposed Lighting'!#REF!,"Quantity controlled does not match proposed lighting quantity",IF(T322&gt;K322,"Quantity of sensors exceeds proposed lighting quantity",IF(AND(F322&gt;1,'Proposed Lighting'!#REF!&lt;&gt;F322),"Selection does not match",IF(AND(AD322&gt;AA322,AA322&gt;0),"Does not meet minimum connected load",IF(AND(O322&gt;0,AS322&gt;0,BK322&gt;0,'Proposed Lighting'!#REF!=0),"Select Control Strategies",IF(AND(AC322&gt;0.1,AJ322=0,AQ322=0),"Does not meet incentive criteria",0)))))))))))</f>
        <v>0</v>
      </c>
      <c r="AS322" s="1224" t="e">
        <f>IF('Proposed Lighting'!#REF!=100,0,IF(ISNUMBER(SEARCH("multiple",Q322)),1,0))</f>
        <v>#REF!</v>
      </c>
      <c r="AT322" s="451">
        <f t="shared" si="60"/>
        <v>0</v>
      </c>
      <c r="AU322" s="451" t="e">
        <f t="shared" si="61"/>
        <v>#REF!</v>
      </c>
      <c r="AV322" s="1222">
        <f>IF(ISNUMBER(SEARCH("Networked",'Proposed Lighting'!#REF!)),0,IF(ISNUMBER(SEARCH("Strategies",'Proposed Lighting'!#REF!)),0,IF(ISNUMBER(SEARCH("Removal",'Proposed Lighting'!#REF!)),0,IF(ISNUMBER(SEARCH("non-standard",Q322)),1,0))))</f>
        <v>0</v>
      </c>
      <c r="AW322" s="451">
        <f t="shared" si="64"/>
        <v>0</v>
      </c>
      <c r="AX322" s="451"/>
      <c r="AY322" s="451"/>
      <c r="AZ322" s="451"/>
      <c r="BA322" s="451"/>
      <c r="BB322" s="451"/>
      <c r="BC322" s="1215"/>
      <c r="BD322" s="1215"/>
      <c r="BE322" s="1215"/>
      <c r="BF322" s="1215"/>
      <c r="BG322" s="1215"/>
      <c r="BH322" s="1215"/>
      <c r="BI322" t="e">
        <f>IF(AND(AS322=1,BC322="No",BD322="Yes",BE322="Yes",BF322="No",BH322="No"),0,IF(AND('Proposed Lighting'!#REF!=2,AS322=1,BC322="Yes",BD322="Yes"),2,IF(AND('Proposed Lighting'!#REF!=2,AS322=1,BC322="Yes",BE322="Yes"),2,IF(AND('Proposed Lighting'!#REF!=2,AS322=1,BC322="Yes",BF322="Yes"),2,IF(AND('Proposed Lighting'!#REF!=2,AS322=1,BC322="Yes",BH322="Yes"),2,IF(AND('Proposed Lighting'!#REF!=2,AS322=1,BD322="Yes",BF322="Yes"),2,IF(AND('Proposed Lighting'!#REF!=2,AS322=1,BD322="Yes",BH322="Yes"),2,IF(AND('Proposed Lighting'!#REF!=3,AS322=1,BC322="Yes",BE322="Yes"),2,IF(AND('Proposed Lighting'!#REF!=3,AS322=1,BC322="Yes",BF322="Yes"),2,0)))))))))</f>
        <v>#REF!</v>
      </c>
      <c r="BJ322" s="1025" t="e">
        <f t="shared" si="62"/>
        <v>#REF!</v>
      </c>
      <c r="BK322" t="e">
        <f>IF(AND('Proposed Lighting'!#REF!=22,'Lighting Controls'!N322=1),0,IF(ISNUMBER(SEARCH("LED",G322)),1,0))</f>
        <v>#REF!</v>
      </c>
    </row>
    <row r="323" spans="1:63" ht="34.5" customHeight="1">
      <c r="A323" s="917">
        <v>315</v>
      </c>
      <c r="B323" s="1828" t="e">
        <f>IF('Proposed Lighting'!#REF!="","",'Proposed Lighting'!#REF!)</f>
        <v>#REF!</v>
      </c>
      <c r="C323" s="1828"/>
      <c r="D323" s="1828"/>
      <c r="E323" s="1245" t="e">
        <f>'Proposed Lighting'!#REF!</f>
        <v>#REF!</v>
      </c>
      <c r="F323" s="1245">
        <f t="shared" si="55"/>
        <v>0</v>
      </c>
      <c r="G323" s="1830" t="e">
        <f>IF('Proposed Lighting'!#REF!="","",IF(ISNUMBER(SEARCH("Networked",'Proposed Lighting'!#REF!)),0,IF(ISNUMBER(SEARCH("Strategies",'Proposed Lighting'!#REF!)),0,IF(ISNUMBER(SEARCH("Removal",'Proposed Lighting'!#REF!)),0,'Proposed Lighting'!#REF!))))</f>
        <v>#REF!</v>
      </c>
      <c r="H323" s="1830"/>
      <c r="I323" s="1830"/>
      <c r="J323" s="1830"/>
      <c r="K323" s="1215"/>
      <c r="L323" s="1246" t="e">
        <f t="shared" si="56"/>
        <v>#REF!</v>
      </c>
      <c r="M323" s="1224">
        <f t="shared" si="57"/>
        <v>0</v>
      </c>
      <c r="N323" s="1224">
        <f t="shared" si="58"/>
        <v>0</v>
      </c>
      <c r="O323" s="1825" t="e">
        <f>IF(G323=0,0,IF(ISNA('Proposed Lighting'!#REF!),0,'Proposed Lighting'!#REF!))</f>
        <v>#REF!</v>
      </c>
      <c r="P323" s="1825"/>
      <c r="Q323" s="1247"/>
      <c r="R323" s="1247"/>
      <c r="S323" s="1247"/>
      <c r="T323" s="1211"/>
      <c r="U323" s="1235">
        <f>IF(K323&gt;0.01,'Proposed Lighting'!#REF!,0)</f>
        <v>0</v>
      </c>
      <c r="V323" s="1248" t="e">
        <f>IF('Proposed Lighting'!#REF!=1,0,IF('Proposed Lighting'!#REF!=2,0,IF(AND('Proposed Lighting'!#REF!=3,'Proposed Lighting'!#REF!=0),1,0)))</f>
        <v>#REF!</v>
      </c>
      <c r="W323" s="1836"/>
      <c r="X323" s="1836"/>
      <c r="Y323" s="1836"/>
      <c r="Z323" s="1230" t="str">
        <f t="shared" si="52"/>
        <v/>
      </c>
      <c r="AA323" s="1230">
        <f t="shared" si="53"/>
        <v>0</v>
      </c>
      <c r="AB323" s="1230">
        <f>IF(Q323=0,0,IF(T323=0,0,IF(AA323=0,0,IF(AND(F323=3,V323=0),0,IF(T323=0,0,IF(K323&gt;'Proposed Lighting'!#REF!,0,IF('Proposed Lighting'!#REF!&gt;0.01,(K323*O323)*'Proposed Lighting'!#REF!/1000,(K323*O323)*U323/1000)))))))</f>
        <v>0</v>
      </c>
      <c r="AC323" s="1230" t="str">
        <f t="shared" si="59"/>
        <v/>
      </c>
      <c r="AD323" s="1230">
        <f t="shared" si="54"/>
        <v>0</v>
      </c>
      <c r="AE323" s="1230">
        <f>IF(T323=0,0,IF(K323&gt;'Proposed Lighting'!#REF!,0,IF(T323&gt;K323,0,IF(AND(AD323&gt;AA323,AA323&gt;0),0,IF(AND(F323&gt;1,W323&lt;0.01),0,IF('Proposed Lighting'!#REF!&gt;'Lighting Controls'!F323,0,IF('Proposed Lighting'!#REF!&lt;'Lighting Controls'!F323,0,IF(U323=0,0,Summary!#REF!))))))))</f>
        <v>0</v>
      </c>
      <c r="AF323" s="1230">
        <f>IF(T323=0,0,IF(AE323=0,0,IF(K323&gt;'Proposed Lighting'!#REF!,0,IF(AND(AD323&gt;AA323,AA323&gt;0),0,IF(U323=0,0,Summary!#REF!)))))</f>
        <v>0</v>
      </c>
      <c r="AG323" s="1834" t="e">
        <f>IF('Proposed Lighting'!#REF!=1,0,IF('Proposed Lighting'!#REF!=1,0,T323*W323))</f>
        <v>#REF!</v>
      </c>
      <c r="AH323" s="1834"/>
      <c r="AI323" s="1834"/>
      <c r="AJ323" s="1835">
        <f>IF(T323&lt;1,0,IF(K323&gt;'Proposed Lighting'!#REF!,0,IF('Proposed Lighting'!#REF!=1,0,IF('Proposed Lighting'!#REF!=1,0,IF(T323&gt;K323,0,IF(AND(AD323&gt;AA323,AA323&gt;0),0,IF(AND(F323=2,'Proposed Lighting'!#REF!=3),0,IF(AND(F323=3,'Proposed Lighting'!#REF!=2),0,IF('Proposed Lighting'!#REF!=100,0,IF(AND(F323&lt;3,V323=1,AM323=0),0,IF(AND(F323&gt;1,AF323&lt;1,AN323&lt;1),0,IF(AND(F323&gt;1,AE323&lt;0.69,AF323&lt;1,AN323&lt;1),0,IF(ISERROR(AB323-AC323),"",AB323-AC323)))))))))))))</f>
        <v>0</v>
      </c>
      <c r="AK323" s="1835"/>
      <c r="AL323" s="1835"/>
      <c r="AM323" s="1216">
        <f>IF(Q323=0,0,IF(T323=0,0,IF(T323&gt;K323,0,IF(AND(AS323&gt;0.01,BK323=0),0,IF(AND('Proposed Lighting'!#REF!=0,'Lighting Controls'!Z323=0.35),0,IF(AND(T323&lt;=K323,AA323&gt;=AD323,'Proposed Lighting'!#REF!=2),VLOOKUP(Q323,$AY$9:$AZ$15,2,FALSE),IF(AND(T323&lt;=K323,AA323&gt;=AD323,'Proposed Lighting'!#REF!=3),VLOOKUP(Q323,$AY$17:$AZ$23,2,FALSE))))))))</f>
        <v>0</v>
      </c>
      <c r="AN323" s="1248">
        <f>IF(T323=0,0,IF(K323&gt;'Proposed Lighting'!#REF!,0,IF(AE323=0,0,IF(AND(AD323&gt;AA323,AA323&gt;0),0,IF(U323=0,0,Summary!#REF!)))))</f>
        <v>0</v>
      </c>
      <c r="AO323" s="1248">
        <f t="shared" si="63"/>
        <v>0</v>
      </c>
      <c r="AP323" s="1249" t="e">
        <f>IF('Proposed Lighting'!#REF!=1,0,IF(K323=0,0,IF(T323&gt;K323,0,IF(G323=0,0,IF(K323&gt;'Proposed Lighting'!#REF!,0,IF(AND(AD323&gt;AA323,AA323&gt;0),0,IF(AND('Proposed Lighting'!#REF!=3,AM323=0.5),0,IF(AND(AM323&gt;0,AS323&gt;0,BI323&lt;2),0,IF('Proposed Lighting'!#REF!=100,0,IF(AV323=1,0,IF(AND(AM323=35,M323+N323&lt;2),0,AM323)))))))))))</f>
        <v>#REF!</v>
      </c>
      <c r="AQ323" s="1249" t="str">
        <f>IFERROR(ROUND(IF(Q323="","",IF('Proposed Lighting'!$X$4=0,0,IF(AND(AM323=35,M323+N323&lt;2),0,IF(T323&gt;K323,0,IF('Proposed Lighting'!#REF!=1,0,IF(AJ323=0,0,IF(AND('Proposed Lighting'!#REF!=3,AM323=0.5),0,IF(AND(AD323=75,AP323=0,AV323=0),0,IF(AP323&gt;0.01,AP323*T323,IF(AND(F323&gt;1,W323&lt;0.01),0,IF(AND(F323&gt;1,AO323=0),0,IF(AND('Proposed Lighting'!#REF!=22,AV323=0),0,IF(AND(AM323&gt;0,AS323&gt;0,BI323&lt;2),0,IF(AND(AS323&gt;0.01,BK323=0),0,IF(AND(AO323=TRUE,AV323=1,F323=3),MIN(AJ323*0.08,L323),IF(AP323&gt;0.01,AP323*T323,IF(AND(AO323=TRUE,AV323=1,F323=2),MIN(AJ323*0.1,L323)))))))))))))))))),2),"")</f>
        <v/>
      </c>
      <c r="AR323" s="1250">
        <f>IF(Q323=0,0,IF('Proposed Lighting'!$X$4=0,0,IF(AND(AM323&gt;0.01,AQ323&gt;0.01),0,IF('Proposed Lighting'!#REF!=1,"Missing Interior or Exterior Selection",IF('Proposed Lighting'!#REF!=1,"Selection does not match",IF(K323&gt;'Proposed Lighting'!#REF!,"Quantity controlled does not match proposed lighting quantity",IF(T323&gt;K323,"Quantity of sensors exceeds proposed lighting quantity",IF(AND(F323&gt;1,'Proposed Lighting'!#REF!&lt;&gt;F323),"Selection does not match",IF(AND(AD323&gt;AA323,AA323&gt;0),"Does not meet minimum connected load",IF(AND(O323&gt;0,AS323&gt;0,BK323&gt;0,'Proposed Lighting'!#REF!=0),"Select Control Strategies",IF(AND(AC323&gt;0.1,AJ323=0,AQ323=0),"Does not meet incentive criteria",0)))))))))))</f>
        <v>0</v>
      </c>
      <c r="AS323" s="1224" t="e">
        <f>IF('Proposed Lighting'!#REF!=100,0,IF(ISNUMBER(SEARCH("multiple",Q323)),1,0))</f>
        <v>#REF!</v>
      </c>
      <c r="AT323" s="451">
        <f t="shared" si="60"/>
        <v>0</v>
      </c>
      <c r="AU323" s="451" t="e">
        <f t="shared" si="61"/>
        <v>#REF!</v>
      </c>
      <c r="AV323" s="1222">
        <f>IF(ISNUMBER(SEARCH("Networked",'Proposed Lighting'!#REF!)),0,IF(ISNUMBER(SEARCH("Strategies",'Proposed Lighting'!#REF!)),0,IF(ISNUMBER(SEARCH("Removal",'Proposed Lighting'!#REF!)),0,IF(ISNUMBER(SEARCH("non-standard",Q323)),1,0))))</f>
        <v>0</v>
      </c>
      <c r="AW323" s="451">
        <f t="shared" si="64"/>
        <v>0</v>
      </c>
      <c r="AX323" s="451"/>
      <c r="AY323" s="451"/>
      <c r="AZ323" s="451"/>
      <c r="BA323" s="451"/>
      <c r="BB323" s="451"/>
      <c r="BC323" s="1215"/>
      <c r="BD323" s="1215"/>
      <c r="BE323" s="1215"/>
      <c r="BF323" s="1215"/>
      <c r="BG323" s="1215"/>
      <c r="BH323" s="1215"/>
      <c r="BI323" t="e">
        <f>IF(AND(AS323=1,BC323="No",BD323="Yes",BE323="Yes",BF323="No",BH323="No"),0,IF(AND('Proposed Lighting'!#REF!=2,AS323=1,BC323="Yes",BD323="Yes"),2,IF(AND('Proposed Lighting'!#REF!=2,AS323=1,BC323="Yes",BE323="Yes"),2,IF(AND('Proposed Lighting'!#REF!=2,AS323=1,BC323="Yes",BF323="Yes"),2,IF(AND('Proposed Lighting'!#REF!=2,AS323=1,BC323="Yes",BH323="Yes"),2,IF(AND('Proposed Lighting'!#REF!=2,AS323=1,BD323="Yes",BF323="Yes"),2,IF(AND('Proposed Lighting'!#REF!=2,AS323=1,BD323="Yes",BH323="Yes"),2,IF(AND('Proposed Lighting'!#REF!=3,AS323=1,BC323="Yes",BE323="Yes"),2,IF(AND('Proposed Lighting'!#REF!=3,AS323=1,BC323="Yes",BF323="Yes"),2,0)))))))))</f>
        <v>#REF!</v>
      </c>
      <c r="BJ323" s="1025" t="e">
        <f t="shared" si="62"/>
        <v>#REF!</v>
      </c>
      <c r="BK323" t="e">
        <f>IF(AND('Proposed Lighting'!#REF!=22,'Lighting Controls'!N323=1),0,IF(ISNUMBER(SEARCH("LED",G323)),1,0))</f>
        <v>#REF!</v>
      </c>
    </row>
    <row r="324" spans="1:63" ht="34.5" customHeight="1">
      <c r="A324" s="917">
        <v>316</v>
      </c>
      <c r="B324" s="1828" t="e">
        <f>IF('Proposed Lighting'!#REF!="","",'Proposed Lighting'!#REF!)</f>
        <v>#REF!</v>
      </c>
      <c r="C324" s="1828"/>
      <c r="D324" s="1828"/>
      <c r="E324" s="1245" t="e">
        <f>'Proposed Lighting'!#REF!</f>
        <v>#REF!</v>
      </c>
      <c r="F324" s="1245">
        <f t="shared" si="55"/>
        <v>0</v>
      </c>
      <c r="G324" s="1830" t="e">
        <f>IF('Proposed Lighting'!#REF!="","",IF(ISNUMBER(SEARCH("Networked",'Proposed Lighting'!#REF!)),0,IF(ISNUMBER(SEARCH("Strategies",'Proposed Lighting'!#REF!)),0,IF(ISNUMBER(SEARCH("Removal",'Proposed Lighting'!#REF!)),0,'Proposed Lighting'!#REF!))))</f>
        <v>#REF!</v>
      </c>
      <c r="H324" s="1830"/>
      <c r="I324" s="1830"/>
      <c r="J324" s="1830"/>
      <c r="K324" s="1215"/>
      <c r="L324" s="1246" t="e">
        <f t="shared" si="56"/>
        <v>#REF!</v>
      </c>
      <c r="M324" s="1224">
        <f t="shared" si="57"/>
        <v>0</v>
      </c>
      <c r="N324" s="1224">
        <f t="shared" si="58"/>
        <v>0</v>
      </c>
      <c r="O324" s="1825" t="e">
        <f>IF(G324=0,0,IF(ISNA('Proposed Lighting'!#REF!),0,'Proposed Lighting'!#REF!))</f>
        <v>#REF!</v>
      </c>
      <c r="P324" s="1825"/>
      <c r="Q324" s="1247"/>
      <c r="R324" s="1247"/>
      <c r="S324" s="1247"/>
      <c r="T324" s="1211"/>
      <c r="U324" s="1235">
        <f>IF(K324&gt;0.01,'Proposed Lighting'!#REF!,0)</f>
        <v>0</v>
      </c>
      <c r="V324" s="1248" t="e">
        <f>IF('Proposed Lighting'!#REF!=1,0,IF('Proposed Lighting'!#REF!=2,0,IF(AND('Proposed Lighting'!#REF!=3,'Proposed Lighting'!#REF!=0),1,0)))</f>
        <v>#REF!</v>
      </c>
      <c r="W324" s="1836"/>
      <c r="X324" s="1836"/>
      <c r="Y324" s="1836"/>
      <c r="Z324" s="1230" t="str">
        <f t="shared" si="52"/>
        <v/>
      </c>
      <c r="AA324" s="1230">
        <f t="shared" si="53"/>
        <v>0</v>
      </c>
      <c r="AB324" s="1230">
        <f>IF(Q324=0,0,IF(T324=0,0,IF(AA324=0,0,IF(AND(F324=3,V324=0),0,IF(T324=0,0,IF(K324&gt;'Proposed Lighting'!#REF!,0,IF('Proposed Lighting'!#REF!&gt;0.01,(K324*O324)*'Proposed Lighting'!#REF!/1000,(K324*O324)*U324/1000)))))))</f>
        <v>0</v>
      </c>
      <c r="AC324" s="1230" t="str">
        <f t="shared" si="59"/>
        <v/>
      </c>
      <c r="AD324" s="1230">
        <f t="shared" si="54"/>
        <v>0</v>
      </c>
      <c r="AE324" s="1230">
        <f>IF(T324=0,0,IF(K324&gt;'Proposed Lighting'!#REF!,0,IF(T324&gt;K324,0,IF(AND(AD324&gt;AA324,AA324&gt;0),0,IF(AND(F324&gt;1,W324&lt;0.01),0,IF('Proposed Lighting'!#REF!&gt;'Lighting Controls'!F324,0,IF('Proposed Lighting'!#REF!&lt;'Lighting Controls'!F324,0,IF(U324=0,0,Summary!#REF!))))))))</f>
        <v>0</v>
      </c>
      <c r="AF324" s="1230">
        <f>IF(T324=0,0,IF(AE324=0,0,IF(K324&gt;'Proposed Lighting'!#REF!,0,IF(AND(AD324&gt;AA324,AA324&gt;0),0,IF(U324=0,0,Summary!#REF!)))))</f>
        <v>0</v>
      </c>
      <c r="AG324" s="1834" t="e">
        <f>IF('Proposed Lighting'!#REF!=1,0,IF('Proposed Lighting'!#REF!=1,0,T324*W324))</f>
        <v>#REF!</v>
      </c>
      <c r="AH324" s="1834"/>
      <c r="AI324" s="1834"/>
      <c r="AJ324" s="1835">
        <f>IF(T324&lt;1,0,IF(K324&gt;'Proposed Lighting'!#REF!,0,IF('Proposed Lighting'!#REF!=1,0,IF('Proposed Lighting'!#REF!=1,0,IF(T324&gt;K324,0,IF(AND(AD324&gt;AA324,AA324&gt;0),0,IF(AND(F324=2,'Proposed Lighting'!#REF!=3),0,IF(AND(F324=3,'Proposed Lighting'!#REF!=2),0,IF('Proposed Lighting'!#REF!=100,0,IF(AND(F324&lt;3,V324=1,AM324=0),0,IF(AND(F324&gt;1,AF324&lt;1,AN324&lt;1),0,IF(AND(F324&gt;1,AE324&lt;0.69,AF324&lt;1,AN324&lt;1),0,IF(ISERROR(AB324-AC324),"",AB324-AC324)))))))))))))</f>
        <v>0</v>
      </c>
      <c r="AK324" s="1835"/>
      <c r="AL324" s="1835"/>
      <c r="AM324" s="1216">
        <f>IF(Q324=0,0,IF(T324=0,0,IF(T324&gt;K324,0,IF(AND(AS324&gt;0.01,BK324=0),0,IF(AND('Proposed Lighting'!#REF!=0,'Lighting Controls'!Z324=0.35),0,IF(AND(T324&lt;=K324,AA324&gt;=AD324,'Proposed Lighting'!#REF!=2),VLOOKUP(Q324,$AY$9:$AZ$15,2,FALSE),IF(AND(T324&lt;=K324,AA324&gt;=AD324,'Proposed Lighting'!#REF!=3),VLOOKUP(Q324,$AY$17:$AZ$23,2,FALSE))))))))</f>
        <v>0</v>
      </c>
      <c r="AN324" s="1248">
        <f>IF(T324=0,0,IF(K324&gt;'Proposed Lighting'!#REF!,0,IF(AE324=0,0,IF(AND(AD324&gt;AA324,AA324&gt;0),0,IF(U324=0,0,Summary!#REF!)))))</f>
        <v>0</v>
      </c>
      <c r="AO324" s="1248">
        <f t="shared" si="63"/>
        <v>0</v>
      </c>
      <c r="AP324" s="1249" t="e">
        <f>IF('Proposed Lighting'!#REF!=1,0,IF(K324=0,0,IF(T324&gt;K324,0,IF(G324=0,0,IF(K324&gt;'Proposed Lighting'!#REF!,0,IF(AND(AD324&gt;AA324,AA324&gt;0),0,IF(AND('Proposed Lighting'!#REF!=3,AM324=0.5),0,IF(AND(AM324&gt;0,AS324&gt;0,BI324&lt;2),0,IF('Proposed Lighting'!#REF!=100,0,IF(AV324=1,0,IF(AND(AM324=35,M324+N324&lt;2),0,AM324)))))))))))</f>
        <v>#REF!</v>
      </c>
      <c r="AQ324" s="1249" t="str">
        <f>IFERROR(ROUND(IF(Q324="","",IF('Proposed Lighting'!$X$4=0,0,IF(AND(AM324=35,M324+N324&lt;2),0,IF(T324&gt;K324,0,IF('Proposed Lighting'!#REF!=1,0,IF(AJ324=0,0,IF(AND('Proposed Lighting'!#REF!=3,AM324=0.5),0,IF(AND(AD324=75,AP324=0,AV324=0),0,IF(AP324&gt;0.01,AP324*T324,IF(AND(F324&gt;1,W324&lt;0.01),0,IF(AND(F324&gt;1,AO324=0),0,IF(AND('Proposed Lighting'!#REF!=22,AV324=0),0,IF(AND(AM324&gt;0,AS324&gt;0,BI324&lt;2),0,IF(AND(AS324&gt;0.01,BK324=0),0,IF(AND(AO324=TRUE,AV324=1,F324=3),MIN(AJ324*0.08,L324),IF(AP324&gt;0.01,AP324*T324,IF(AND(AO324=TRUE,AV324=1,F324=2),MIN(AJ324*0.1,L324)))))))))))))))))),2),"")</f>
        <v/>
      </c>
      <c r="AR324" s="1250">
        <f>IF(Q324=0,0,IF('Proposed Lighting'!$X$4=0,0,IF(AND(AM324&gt;0.01,AQ324&gt;0.01),0,IF('Proposed Lighting'!#REF!=1,"Missing Interior or Exterior Selection",IF('Proposed Lighting'!#REF!=1,"Selection does not match",IF(K324&gt;'Proposed Lighting'!#REF!,"Quantity controlled does not match proposed lighting quantity",IF(T324&gt;K324,"Quantity of sensors exceeds proposed lighting quantity",IF(AND(F324&gt;1,'Proposed Lighting'!#REF!&lt;&gt;F324),"Selection does not match",IF(AND(AD324&gt;AA324,AA324&gt;0),"Does not meet minimum connected load",IF(AND(O324&gt;0,AS324&gt;0,BK324&gt;0,'Proposed Lighting'!#REF!=0),"Select Control Strategies",IF(AND(AC324&gt;0.1,AJ324=0,AQ324=0),"Does not meet incentive criteria",0)))))))))))</f>
        <v>0</v>
      </c>
      <c r="AS324" s="1224" t="e">
        <f>IF('Proposed Lighting'!#REF!=100,0,IF(ISNUMBER(SEARCH("multiple",Q324)),1,0))</f>
        <v>#REF!</v>
      </c>
      <c r="AT324" s="451">
        <f t="shared" si="60"/>
        <v>0</v>
      </c>
      <c r="AU324" s="451" t="e">
        <f t="shared" si="61"/>
        <v>#REF!</v>
      </c>
      <c r="AV324" s="1222">
        <f>IF(ISNUMBER(SEARCH("Networked",'Proposed Lighting'!#REF!)),0,IF(ISNUMBER(SEARCH("Strategies",'Proposed Lighting'!#REF!)),0,IF(ISNUMBER(SEARCH("Removal",'Proposed Lighting'!#REF!)),0,IF(ISNUMBER(SEARCH("non-standard",Q324)),1,0))))</f>
        <v>0</v>
      </c>
      <c r="AW324" s="451">
        <f t="shared" si="64"/>
        <v>0</v>
      </c>
      <c r="AX324" s="451"/>
      <c r="AY324" s="451"/>
      <c r="AZ324" s="451"/>
      <c r="BA324" s="451"/>
      <c r="BB324" s="451"/>
      <c r="BC324" s="1215"/>
      <c r="BD324" s="1215"/>
      <c r="BE324" s="1215"/>
      <c r="BF324" s="1215"/>
      <c r="BG324" s="1215"/>
      <c r="BH324" s="1215"/>
      <c r="BI324" t="e">
        <f>IF(AND(AS324=1,BC324="No",BD324="Yes",BE324="Yes",BF324="No",BH324="No"),0,IF(AND('Proposed Lighting'!#REF!=2,AS324=1,BC324="Yes",BD324="Yes"),2,IF(AND('Proposed Lighting'!#REF!=2,AS324=1,BC324="Yes",BE324="Yes"),2,IF(AND('Proposed Lighting'!#REF!=2,AS324=1,BC324="Yes",BF324="Yes"),2,IF(AND('Proposed Lighting'!#REF!=2,AS324=1,BC324="Yes",BH324="Yes"),2,IF(AND('Proposed Lighting'!#REF!=2,AS324=1,BD324="Yes",BF324="Yes"),2,IF(AND('Proposed Lighting'!#REF!=2,AS324=1,BD324="Yes",BH324="Yes"),2,IF(AND('Proposed Lighting'!#REF!=3,AS324=1,BC324="Yes",BE324="Yes"),2,IF(AND('Proposed Lighting'!#REF!=3,AS324=1,BC324="Yes",BF324="Yes"),2,0)))))))))</f>
        <v>#REF!</v>
      </c>
      <c r="BJ324" s="1025" t="e">
        <f t="shared" si="62"/>
        <v>#REF!</v>
      </c>
      <c r="BK324" t="e">
        <f>IF(AND('Proposed Lighting'!#REF!=22,'Lighting Controls'!N324=1),0,IF(ISNUMBER(SEARCH("LED",G324)),1,0))</f>
        <v>#REF!</v>
      </c>
    </row>
    <row r="325" spans="1:63" ht="34.5" customHeight="1">
      <c r="A325" s="917">
        <v>317</v>
      </c>
      <c r="B325" s="1828" t="e">
        <f>IF('Proposed Lighting'!#REF!="","",'Proposed Lighting'!#REF!)</f>
        <v>#REF!</v>
      </c>
      <c r="C325" s="1828"/>
      <c r="D325" s="1828"/>
      <c r="E325" s="1245" t="e">
        <f>'Proposed Lighting'!#REF!</f>
        <v>#REF!</v>
      </c>
      <c r="F325" s="1245">
        <f t="shared" si="55"/>
        <v>0</v>
      </c>
      <c r="G325" s="1830" t="e">
        <f>IF('Proposed Lighting'!#REF!="","",IF(ISNUMBER(SEARCH("Networked",'Proposed Lighting'!#REF!)),0,IF(ISNUMBER(SEARCH("Strategies",'Proposed Lighting'!#REF!)),0,IF(ISNUMBER(SEARCH("Removal",'Proposed Lighting'!#REF!)),0,'Proposed Lighting'!#REF!))))</f>
        <v>#REF!</v>
      </c>
      <c r="H325" s="1830"/>
      <c r="I325" s="1830"/>
      <c r="J325" s="1830"/>
      <c r="K325" s="1215"/>
      <c r="L325" s="1246" t="e">
        <f t="shared" si="56"/>
        <v>#REF!</v>
      </c>
      <c r="M325" s="1224">
        <f t="shared" si="57"/>
        <v>0</v>
      </c>
      <c r="N325" s="1224">
        <f t="shared" si="58"/>
        <v>0</v>
      </c>
      <c r="O325" s="1825" t="e">
        <f>IF(G325=0,0,IF(ISNA('Proposed Lighting'!#REF!),0,'Proposed Lighting'!#REF!))</f>
        <v>#REF!</v>
      </c>
      <c r="P325" s="1825"/>
      <c r="Q325" s="1247"/>
      <c r="R325" s="1247"/>
      <c r="S325" s="1247"/>
      <c r="T325" s="1211"/>
      <c r="U325" s="1235">
        <f>IF(K325&gt;0.01,'Proposed Lighting'!#REF!,0)</f>
        <v>0</v>
      </c>
      <c r="V325" s="1248" t="e">
        <f>IF('Proposed Lighting'!#REF!=1,0,IF('Proposed Lighting'!#REF!=2,0,IF(AND('Proposed Lighting'!#REF!=3,'Proposed Lighting'!#REF!=0),1,0)))</f>
        <v>#REF!</v>
      </c>
      <c r="W325" s="1836"/>
      <c r="X325" s="1836"/>
      <c r="Y325" s="1836"/>
      <c r="Z325" s="1230" t="str">
        <f t="shared" si="52"/>
        <v/>
      </c>
      <c r="AA325" s="1230">
        <f t="shared" si="53"/>
        <v>0</v>
      </c>
      <c r="AB325" s="1230">
        <f>IF(Q325=0,0,IF(T325=0,0,IF(AA325=0,0,IF(AND(F325=3,V325=0),0,IF(T325=0,0,IF(K325&gt;'Proposed Lighting'!#REF!,0,IF('Proposed Lighting'!#REF!&gt;0.01,(K325*O325)*'Proposed Lighting'!#REF!/1000,(K325*O325)*U325/1000)))))))</f>
        <v>0</v>
      </c>
      <c r="AC325" s="1230" t="str">
        <f t="shared" si="59"/>
        <v/>
      </c>
      <c r="AD325" s="1230">
        <f t="shared" si="54"/>
        <v>0</v>
      </c>
      <c r="AE325" s="1230">
        <f>IF(T325=0,0,IF(K325&gt;'Proposed Lighting'!#REF!,0,IF(T325&gt;K325,0,IF(AND(AD325&gt;AA325,AA325&gt;0),0,IF(AND(F325&gt;1,W325&lt;0.01),0,IF('Proposed Lighting'!#REF!&gt;'Lighting Controls'!F325,0,IF('Proposed Lighting'!#REF!&lt;'Lighting Controls'!F325,0,IF(U325=0,0,Summary!#REF!))))))))</f>
        <v>0</v>
      </c>
      <c r="AF325" s="1230">
        <f>IF(T325=0,0,IF(AE325=0,0,IF(K325&gt;'Proposed Lighting'!#REF!,0,IF(AND(AD325&gt;AA325,AA325&gt;0),0,IF(U325=0,0,Summary!#REF!)))))</f>
        <v>0</v>
      </c>
      <c r="AG325" s="1834" t="e">
        <f>IF('Proposed Lighting'!#REF!=1,0,IF('Proposed Lighting'!#REF!=1,0,T325*W325))</f>
        <v>#REF!</v>
      </c>
      <c r="AH325" s="1834"/>
      <c r="AI325" s="1834"/>
      <c r="AJ325" s="1835">
        <f>IF(T325&lt;1,0,IF(K325&gt;'Proposed Lighting'!#REF!,0,IF('Proposed Lighting'!#REF!=1,0,IF('Proposed Lighting'!#REF!=1,0,IF(T325&gt;K325,0,IF(AND(AD325&gt;AA325,AA325&gt;0),0,IF(AND(F325=2,'Proposed Lighting'!#REF!=3),0,IF(AND(F325=3,'Proposed Lighting'!#REF!=2),0,IF('Proposed Lighting'!#REF!=100,0,IF(AND(F325&lt;3,V325=1,AM325=0),0,IF(AND(F325&gt;1,AF325&lt;1,AN325&lt;1),0,IF(AND(F325&gt;1,AE325&lt;0.69,AF325&lt;1,AN325&lt;1),0,IF(ISERROR(AB325-AC325),"",AB325-AC325)))))))))))))</f>
        <v>0</v>
      </c>
      <c r="AK325" s="1835"/>
      <c r="AL325" s="1835"/>
      <c r="AM325" s="1216">
        <f>IF(Q325=0,0,IF(T325=0,0,IF(T325&gt;K325,0,IF(AND(AS325&gt;0.01,BK325=0),0,IF(AND('Proposed Lighting'!#REF!=0,'Lighting Controls'!Z325=0.35),0,IF(AND(T325&lt;=K325,AA325&gt;=AD325,'Proposed Lighting'!#REF!=2),VLOOKUP(Q325,$AY$9:$AZ$15,2,FALSE),IF(AND(T325&lt;=K325,AA325&gt;=AD325,'Proposed Lighting'!#REF!=3),VLOOKUP(Q325,$AY$17:$AZ$23,2,FALSE))))))))</f>
        <v>0</v>
      </c>
      <c r="AN325" s="1248">
        <f>IF(T325=0,0,IF(K325&gt;'Proposed Lighting'!#REF!,0,IF(AE325=0,0,IF(AND(AD325&gt;AA325,AA325&gt;0),0,IF(U325=0,0,Summary!#REF!)))))</f>
        <v>0</v>
      </c>
      <c r="AO325" s="1248">
        <f t="shared" si="63"/>
        <v>0</v>
      </c>
      <c r="AP325" s="1249" t="e">
        <f>IF('Proposed Lighting'!#REF!=1,0,IF(K325=0,0,IF(T325&gt;K325,0,IF(G325=0,0,IF(K325&gt;'Proposed Lighting'!#REF!,0,IF(AND(AD325&gt;AA325,AA325&gt;0),0,IF(AND('Proposed Lighting'!#REF!=3,AM325=0.5),0,IF(AND(AM325&gt;0,AS325&gt;0,BI325&lt;2),0,IF('Proposed Lighting'!#REF!=100,0,IF(AV325=1,0,IF(AND(AM325=35,M325+N325&lt;2),0,AM325)))))))))))</f>
        <v>#REF!</v>
      </c>
      <c r="AQ325" s="1249" t="str">
        <f>IFERROR(ROUND(IF(Q325="","",IF('Proposed Lighting'!$X$4=0,0,IF(AND(AM325=35,M325+N325&lt;2),0,IF(T325&gt;K325,0,IF('Proposed Lighting'!#REF!=1,0,IF(AJ325=0,0,IF(AND('Proposed Lighting'!#REF!=3,AM325=0.5),0,IF(AND(AD325=75,AP325=0,AV325=0),0,IF(AP325&gt;0.01,AP325*T325,IF(AND(F325&gt;1,W325&lt;0.01),0,IF(AND(F325&gt;1,AO325=0),0,IF(AND('Proposed Lighting'!#REF!=22,AV325=0),0,IF(AND(AM325&gt;0,AS325&gt;0,BI325&lt;2),0,IF(AND(AS325&gt;0.01,BK325=0),0,IF(AND(AO325=TRUE,AV325=1,F325=3),MIN(AJ325*0.08,L325),IF(AP325&gt;0.01,AP325*T325,IF(AND(AO325=TRUE,AV325=1,F325=2),MIN(AJ325*0.1,L325)))))))))))))))))),2),"")</f>
        <v/>
      </c>
      <c r="AR325" s="1250">
        <f>IF(Q325=0,0,IF('Proposed Lighting'!$X$4=0,0,IF(AND(AM325&gt;0.01,AQ325&gt;0.01),0,IF('Proposed Lighting'!#REF!=1,"Missing Interior or Exterior Selection",IF('Proposed Lighting'!#REF!=1,"Selection does not match",IF(K325&gt;'Proposed Lighting'!#REF!,"Quantity controlled does not match proposed lighting quantity",IF(T325&gt;K325,"Quantity of sensors exceeds proposed lighting quantity",IF(AND(F325&gt;1,'Proposed Lighting'!#REF!&lt;&gt;F325),"Selection does not match",IF(AND(AD325&gt;AA325,AA325&gt;0),"Does not meet minimum connected load",IF(AND(O325&gt;0,AS325&gt;0,BK325&gt;0,'Proposed Lighting'!#REF!=0),"Select Control Strategies",IF(AND(AC325&gt;0.1,AJ325=0,AQ325=0),"Does not meet incentive criteria",0)))))))))))</f>
        <v>0</v>
      </c>
      <c r="AS325" s="1224" t="e">
        <f>IF('Proposed Lighting'!#REF!=100,0,IF(ISNUMBER(SEARCH("multiple",Q325)),1,0))</f>
        <v>#REF!</v>
      </c>
      <c r="AT325" s="451">
        <f t="shared" si="60"/>
        <v>0</v>
      </c>
      <c r="AU325" s="451" t="e">
        <f t="shared" si="61"/>
        <v>#REF!</v>
      </c>
      <c r="AV325" s="1222">
        <f>IF(ISNUMBER(SEARCH("Networked",'Proposed Lighting'!#REF!)),0,IF(ISNUMBER(SEARCH("Strategies",'Proposed Lighting'!#REF!)),0,IF(ISNUMBER(SEARCH("Removal",'Proposed Lighting'!#REF!)),0,IF(ISNUMBER(SEARCH("non-standard",Q325)),1,0))))</f>
        <v>0</v>
      </c>
      <c r="AW325" s="451">
        <f t="shared" si="64"/>
        <v>0</v>
      </c>
      <c r="AX325" s="451"/>
      <c r="AY325" s="451"/>
      <c r="AZ325" s="451"/>
      <c r="BA325" s="451"/>
      <c r="BB325" s="451"/>
      <c r="BC325" s="1215"/>
      <c r="BD325" s="1215"/>
      <c r="BE325" s="1215"/>
      <c r="BF325" s="1215"/>
      <c r="BG325" s="1215"/>
      <c r="BH325" s="1215"/>
      <c r="BI325" t="e">
        <f>IF(AND(AS325=1,BC325="No",BD325="Yes",BE325="Yes",BF325="No",BH325="No"),0,IF(AND('Proposed Lighting'!#REF!=2,AS325=1,BC325="Yes",BD325="Yes"),2,IF(AND('Proposed Lighting'!#REF!=2,AS325=1,BC325="Yes",BE325="Yes"),2,IF(AND('Proposed Lighting'!#REF!=2,AS325=1,BC325="Yes",BF325="Yes"),2,IF(AND('Proposed Lighting'!#REF!=2,AS325=1,BC325="Yes",BH325="Yes"),2,IF(AND('Proposed Lighting'!#REF!=2,AS325=1,BD325="Yes",BF325="Yes"),2,IF(AND('Proposed Lighting'!#REF!=2,AS325=1,BD325="Yes",BH325="Yes"),2,IF(AND('Proposed Lighting'!#REF!=3,AS325=1,BC325="Yes",BE325="Yes"),2,IF(AND('Proposed Lighting'!#REF!=3,AS325=1,BC325="Yes",BF325="Yes"),2,0)))))))))</f>
        <v>#REF!</v>
      </c>
      <c r="BJ325" s="1025" t="e">
        <f t="shared" si="62"/>
        <v>#REF!</v>
      </c>
      <c r="BK325" t="e">
        <f>IF(AND('Proposed Lighting'!#REF!=22,'Lighting Controls'!N325=1),0,IF(ISNUMBER(SEARCH("LED",G325)),1,0))</f>
        <v>#REF!</v>
      </c>
    </row>
    <row r="326" spans="1:63" ht="34.5" customHeight="1">
      <c r="A326" s="917">
        <v>318</v>
      </c>
      <c r="B326" s="1828" t="e">
        <f>IF('Proposed Lighting'!#REF!="","",'Proposed Lighting'!#REF!)</f>
        <v>#REF!</v>
      </c>
      <c r="C326" s="1828"/>
      <c r="D326" s="1828"/>
      <c r="E326" s="1245" t="e">
        <f>'Proposed Lighting'!#REF!</f>
        <v>#REF!</v>
      </c>
      <c r="F326" s="1245">
        <f t="shared" si="55"/>
        <v>0</v>
      </c>
      <c r="G326" s="1830" t="e">
        <f>IF('Proposed Lighting'!#REF!="","",IF(ISNUMBER(SEARCH("Networked",'Proposed Lighting'!#REF!)),0,IF(ISNUMBER(SEARCH("Strategies",'Proposed Lighting'!#REF!)),0,IF(ISNUMBER(SEARCH("Removal",'Proposed Lighting'!#REF!)),0,'Proposed Lighting'!#REF!))))</f>
        <v>#REF!</v>
      </c>
      <c r="H326" s="1830"/>
      <c r="I326" s="1830"/>
      <c r="J326" s="1830"/>
      <c r="K326" s="1215"/>
      <c r="L326" s="1246" t="e">
        <f t="shared" si="56"/>
        <v>#REF!</v>
      </c>
      <c r="M326" s="1224">
        <f t="shared" si="57"/>
        <v>0</v>
      </c>
      <c r="N326" s="1224">
        <f t="shared" si="58"/>
        <v>0</v>
      </c>
      <c r="O326" s="1825" t="e">
        <f>IF(G326=0,0,IF(ISNA('Proposed Lighting'!#REF!),0,'Proposed Lighting'!#REF!))</f>
        <v>#REF!</v>
      </c>
      <c r="P326" s="1825"/>
      <c r="Q326" s="1247"/>
      <c r="R326" s="1247"/>
      <c r="S326" s="1247"/>
      <c r="T326" s="1211"/>
      <c r="U326" s="1235">
        <f>IF(K326&gt;0.01,'Proposed Lighting'!#REF!,0)</f>
        <v>0</v>
      </c>
      <c r="V326" s="1248" t="e">
        <f>IF('Proposed Lighting'!#REF!=1,0,IF('Proposed Lighting'!#REF!=2,0,IF(AND('Proposed Lighting'!#REF!=3,'Proposed Lighting'!#REF!=0),1,0)))</f>
        <v>#REF!</v>
      </c>
      <c r="W326" s="1836"/>
      <c r="X326" s="1836"/>
      <c r="Y326" s="1836"/>
      <c r="Z326" s="1230" t="str">
        <f t="shared" si="52"/>
        <v/>
      </c>
      <c r="AA326" s="1230">
        <f t="shared" si="53"/>
        <v>0</v>
      </c>
      <c r="AB326" s="1230">
        <f>IF(Q326=0,0,IF(T326=0,0,IF(AA326=0,0,IF(AND(F326=3,V326=0),0,IF(T326=0,0,IF(K326&gt;'Proposed Lighting'!#REF!,0,IF('Proposed Lighting'!#REF!&gt;0.01,(K326*O326)*'Proposed Lighting'!#REF!/1000,(K326*O326)*U326/1000)))))))</f>
        <v>0</v>
      </c>
      <c r="AC326" s="1230" t="str">
        <f t="shared" si="59"/>
        <v/>
      </c>
      <c r="AD326" s="1230">
        <f t="shared" si="54"/>
        <v>0</v>
      </c>
      <c r="AE326" s="1230">
        <f>IF(T326=0,0,IF(K326&gt;'Proposed Lighting'!#REF!,0,IF(T326&gt;K326,0,IF(AND(AD326&gt;AA326,AA326&gt;0),0,IF(AND(F326&gt;1,W326&lt;0.01),0,IF('Proposed Lighting'!#REF!&gt;'Lighting Controls'!F326,0,IF('Proposed Lighting'!#REF!&lt;'Lighting Controls'!F326,0,IF(U326=0,0,Summary!#REF!))))))))</f>
        <v>0</v>
      </c>
      <c r="AF326" s="1230">
        <f>IF(T326=0,0,IF(AE326=0,0,IF(K326&gt;'Proposed Lighting'!#REF!,0,IF(AND(AD326&gt;AA326,AA326&gt;0),0,IF(U326=0,0,Summary!#REF!)))))</f>
        <v>0</v>
      </c>
      <c r="AG326" s="1834" t="e">
        <f>IF('Proposed Lighting'!#REF!=1,0,IF('Proposed Lighting'!#REF!=1,0,T326*W326))</f>
        <v>#REF!</v>
      </c>
      <c r="AH326" s="1834"/>
      <c r="AI326" s="1834"/>
      <c r="AJ326" s="1835">
        <f>IF(T326&lt;1,0,IF(K326&gt;'Proposed Lighting'!#REF!,0,IF('Proposed Lighting'!#REF!=1,0,IF('Proposed Lighting'!#REF!=1,0,IF(T326&gt;K326,0,IF(AND(AD326&gt;AA326,AA326&gt;0),0,IF(AND(F326=2,'Proposed Lighting'!#REF!=3),0,IF(AND(F326=3,'Proposed Lighting'!#REF!=2),0,IF('Proposed Lighting'!#REF!=100,0,IF(AND(F326&lt;3,V326=1,AM326=0),0,IF(AND(F326&gt;1,AF326&lt;1,AN326&lt;1),0,IF(AND(F326&gt;1,AE326&lt;0.69,AF326&lt;1,AN326&lt;1),0,IF(ISERROR(AB326-AC326),"",AB326-AC326)))))))))))))</f>
        <v>0</v>
      </c>
      <c r="AK326" s="1835"/>
      <c r="AL326" s="1835"/>
      <c r="AM326" s="1216">
        <f>IF(Q326=0,0,IF(T326=0,0,IF(T326&gt;K326,0,IF(AND(AS326&gt;0.01,BK326=0),0,IF(AND('Proposed Lighting'!#REF!=0,'Lighting Controls'!Z326=0.35),0,IF(AND(T326&lt;=K326,AA326&gt;=AD326,'Proposed Lighting'!#REF!=2),VLOOKUP(Q326,$AY$9:$AZ$15,2,FALSE),IF(AND(T326&lt;=K326,AA326&gt;=AD326,'Proposed Lighting'!#REF!=3),VLOOKUP(Q326,$AY$17:$AZ$23,2,FALSE))))))))</f>
        <v>0</v>
      </c>
      <c r="AN326" s="1248">
        <f>IF(T326=0,0,IF(K326&gt;'Proposed Lighting'!#REF!,0,IF(AE326=0,0,IF(AND(AD326&gt;AA326,AA326&gt;0),0,IF(U326=0,0,Summary!#REF!)))))</f>
        <v>0</v>
      </c>
      <c r="AO326" s="1248">
        <f t="shared" si="63"/>
        <v>0</v>
      </c>
      <c r="AP326" s="1249" t="e">
        <f>IF('Proposed Lighting'!#REF!=1,0,IF(K326=0,0,IF(T326&gt;K326,0,IF(G326=0,0,IF(K326&gt;'Proposed Lighting'!#REF!,0,IF(AND(AD326&gt;AA326,AA326&gt;0),0,IF(AND('Proposed Lighting'!#REF!=3,AM326=0.5),0,IF(AND(AM326&gt;0,AS326&gt;0,BI326&lt;2),0,IF('Proposed Lighting'!#REF!=100,0,IF(AV326=1,0,IF(AND(AM326=35,M326+N326&lt;2),0,AM326)))))))))))</f>
        <v>#REF!</v>
      </c>
      <c r="AQ326" s="1249" t="str">
        <f>IFERROR(ROUND(IF(Q326="","",IF('Proposed Lighting'!$X$4=0,0,IF(AND(AM326=35,M326+N326&lt;2),0,IF(T326&gt;K326,0,IF('Proposed Lighting'!#REF!=1,0,IF(AJ326=0,0,IF(AND('Proposed Lighting'!#REF!=3,AM326=0.5),0,IF(AND(AD326=75,AP326=0,AV326=0),0,IF(AP326&gt;0.01,AP326*T326,IF(AND(F326&gt;1,W326&lt;0.01),0,IF(AND(F326&gt;1,AO326=0),0,IF(AND('Proposed Lighting'!#REF!=22,AV326=0),0,IF(AND(AM326&gt;0,AS326&gt;0,BI326&lt;2),0,IF(AND(AS326&gt;0.01,BK326=0),0,IF(AND(AO326=TRUE,AV326=1,F326=3),MIN(AJ326*0.08,L326),IF(AP326&gt;0.01,AP326*T326,IF(AND(AO326=TRUE,AV326=1,F326=2),MIN(AJ326*0.1,L326)))))))))))))))))),2),"")</f>
        <v/>
      </c>
      <c r="AR326" s="1250">
        <f>IF(Q326=0,0,IF('Proposed Lighting'!$X$4=0,0,IF(AND(AM326&gt;0.01,AQ326&gt;0.01),0,IF('Proposed Lighting'!#REF!=1,"Missing Interior or Exterior Selection",IF('Proposed Lighting'!#REF!=1,"Selection does not match",IF(K326&gt;'Proposed Lighting'!#REF!,"Quantity controlled does not match proposed lighting quantity",IF(T326&gt;K326,"Quantity of sensors exceeds proposed lighting quantity",IF(AND(F326&gt;1,'Proposed Lighting'!#REF!&lt;&gt;F326),"Selection does not match",IF(AND(AD326&gt;AA326,AA326&gt;0),"Does not meet minimum connected load",IF(AND(O326&gt;0,AS326&gt;0,BK326&gt;0,'Proposed Lighting'!#REF!=0),"Select Control Strategies",IF(AND(AC326&gt;0.1,AJ326=0,AQ326=0),"Does not meet incentive criteria",0)))))))))))</f>
        <v>0</v>
      </c>
      <c r="AS326" s="1224" t="e">
        <f>IF('Proposed Lighting'!#REF!=100,0,IF(ISNUMBER(SEARCH("multiple",Q326)),1,0))</f>
        <v>#REF!</v>
      </c>
      <c r="AT326" s="451">
        <f t="shared" si="60"/>
        <v>0</v>
      </c>
      <c r="AU326" s="451" t="e">
        <f t="shared" si="61"/>
        <v>#REF!</v>
      </c>
      <c r="AV326" s="1222">
        <f>IF(ISNUMBER(SEARCH("Networked",'Proposed Lighting'!#REF!)),0,IF(ISNUMBER(SEARCH("Strategies",'Proposed Lighting'!#REF!)),0,IF(ISNUMBER(SEARCH("Removal",'Proposed Lighting'!#REF!)),0,IF(ISNUMBER(SEARCH("non-standard",Q326)),1,0))))</f>
        <v>0</v>
      </c>
      <c r="AW326" s="451">
        <f t="shared" si="64"/>
        <v>0</v>
      </c>
      <c r="AX326" s="451"/>
      <c r="AY326" s="451"/>
      <c r="AZ326" s="451"/>
      <c r="BA326" s="451"/>
      <c r="BB326" s="451"/>
      <c r="BC326" s="1215"/>
      <c r="BD326" s="1215"/>
      <c r="BE326" s="1215"/>
      <c r="BF326" s="1215"/>
      <c r="BG326" s="1215"/>
      <c r="BH326" s="1215"/>
      <c r="BI326" t="e">
        <f>IF(AND(AS326=1,BC326="No",BD326="Yes",BE326="Yes",BF326="No",BH326="No"),0,IF(AND('Proposed Lighting'!#REF!=2,AS326=1,BC326="Yes",BD326="Yes"),2,IF(AND('Proposed Lighting'!#REF!=2,AS326=1,BC326="Yes",BE326="Yes"),2,IF(AND('Proposed Lighting'!#REF!=2,AS326=1,BC326="Yes",BF326="Yes"),2,IF(AND('Proposed Lighting'!#REF!=2,AS326=1,BC326="Yes",BH326="Yes"),2,IF(AND('Proposed Lighting'!#REF!=2,AS326=1,BD326="Yes",BF326="Yes"),2,IF(AND('Proposed Lighting'!#REF!=2,AS326=1,BD326="Yes",BH326="Yes"),2,IF(AND('Proposed Lighting'!#REF!=3,AS326=1,BC326="Yes",BE326="Yes"),2,IF(AND('Proposed Lighting'!#REF!=3,AS326=1,BC326="Yes",BF326="Yes"),2,0)))))))))</f>
        <v>#REF!</v>
      </c>
      <c r="BJ326" s="1025" t="e">
        <f t="shared" si="62"/>
        <v>#REF!</v>
      </c>
      <c r="BK326" t="e">
        <f>IF(AND('Proposed Lighting'!#REF!=22,'Lighting Controls'!N326=1),0,IF(ISNUMBER(SEARCH("LED",G326)),1,0))</f>
        <v>#REF!</v>
      </c>
    </row>
    <row r="327" spans="1:63" ht="34.5" customHeight="1">
      <c r="A327" s="917">
        <v>319</v>
      </c>
      <c r="B327" s="1828" t="e">
        <f>IF('Proposed Lighting'!#REF!="","",'Proposed Lighting'!#REF!)</f>
        <v>#REF!</v>
      </c>
      <c r="C327" s="1828"/>
      <c r="D327" s="1828"/>
      <c r="E327" s="1245" t="e">
        <f>'Proposed Lighting'!#REF!</f>
        <v>#REF!</v>
      </c>
      <c r="F327" s="1245">
        <f t="shared" si="55"/>
        <v>0</v>
      </c>
      <c r="G327" s="1830" t="e">
        <f>IF('Proposed Lighting'!#REF!="","",IF(ISNUMBER(SEARCH("Networked",'Proposed Lighting'!#REF!)),0,IF(ISNUMBER(SEARCH("Strategies",'Proposed Lighting'!#REF!)),0,IF(ISNUMBER(SEARCH("Removal",'Proposed Lighting'!#REF!)),0,'Proposed Lighting'!#REF!))))</f>
        <v>#REF!</v>
      </c>
      <c r="H327" s="1830"/>
      <c r="I327" s="1830"/>
      <c r="J327" s="1830"/>
      <c r="K327" s="1215"/>
      <c r="L327" s="1246" t="e">
        <f t="shared" si="56"/>
        <v>#REF!</v>
      </c>
      <c r="M327" s="1224">
        <f t="shared" si="57"/>
        <v>0</v>
      </c>
      <c r="N327" s="1224">
        <f t="shared" si="58"/>
        <v>0</v>
      </c>
      <c r="O327" s="1825" t="e">
        <f>IF(G327=0,0,IF(ISNA('Proposed Lighting'!#REF!),0,'Proposed Lighting'!#REF!))</f>
        <v>#REF!</v>
      </c>
      <c r="P327" s="1825"/>
      <c r="Q327" s="1247"/>
      <c r="R327" s="1247"/>
      <c r="S327" s="1247"/>
      <c r="T327" s="1211"/>
      <c r="U327" s="1235">
        <f>IF(K327&gt;0.01,'Proposed Lighting'!#REF!,0)</f>
        <v>0</v>
      </c>
      <c r="V327" s="1248" t="e">
        <f>IF('Proposed Lighting'!#REF!=1,0,IF('Proposed Lighting'!#REF!=2,0,IF(AND('Proposed Lighting'!#REF!=3,'Proposed Lighting'!#REF!=0),1,0)))</f>
        <v>#REF!</v>
      </c>
      <c r="W327" s="1836"/>
      <c r="X327" s="1836"/>
      <c r="Y327" s="1836"/>
      <c r="Z327" s="1230" t="str">
        <f t="shared" si="52"/>
        <v/>
      </c>
      <c r="AA327" s="1230">
        <f t="shared" si="53"/>
        <v>0</v>
      </c>
      <c r="AB327" s="1230">
        <f>IF(Q327=0,0,IF(T327=0,0,IF(AA327=0,0,IF(AND(F327=3,V327=0),0,IF(T327=0,0,IF(K327&gt;'Proposed Lighting'!#REF!,0,IF('Proposed Lighting'!#REF!&gt;0.01,(K327*O327)*'Proposed Lighting'!#REF!/1000,(K327*O327)*U327/1000)))))))</f>
        <v>0</v>
      </c>
      <c r="AC327" s="1230" t="str">
        <f t="shared" si="59"/>
        <v/>
      </c>
      <c r="AD327" s="1230">
        <f t="shared" si="54"/>
        <v>0</v>
      </c>
      <c r="AE327" s="1230">
        <f>IF(T327=0,0,IF(K327&gt;'Proposed Lighting'!#REF!,0,IF(T327&gt;K327,0,IF(AND(AD327&gt;AA327,AA327&gt;0),0,IF(AND(F327&gt;1,W327&lt;0.01),0,IF('Proposed Lighting'!#REF!&gt;'Lighting Controls'!F327,0,IF('Proposed Lighting'!#REF!&lt;'Lighting Controls'!F327,0,IF(U327=0,0,Summary!#REF!))))))))</f>
        <v>0</v>
      </c>
      <c r="AF327" s="1230">
        <f>IF(T327=0,0,IF(AE327=0,0,IF(K327&gt;'Proposed Lighting'!#REF!,0,IF(AND(AD327&gt;AA327,AA327&gt;0),0,IF(U327=0,0,Summary!#REF!)))))</f>
        <v>0</v>
      </c>
      <c r="AG327" s="1834" t="e">
        <f>IF('Proposed Lighting'!#REF!=1,0,IF('Proposed Lighting'!#REF!=1,0,T327*W327))</f>
        <v>#REF!</v>
      </c>
      <c r="AH327" s="1834"/>
      <c r="AI327" s="1834"/>
      <c r="AJ327" s="1835">
        <f>IF(T327&lt;1,0,IF(K327&gt;'Proposed Lighting'!#REF!,0,IF('Proposed Lighting'!#REF!=1,0,IF('Proposed Lighting'!#REF!=1,0,IF(T327&gt;K327,0,IF(AND(AD327&gt;AA327,AA327&gt;0),0,IF(AND(F327=2,'Proposed Lighting'!#REF!=3),0,IF(AND(F327=3,'Proposed Lighting'!#REF!=2),0,IF('Proposed Lighting'!#REF!=100,0,IF(AND(F327&lt;3,V327=1,AM327=0),0,IF(AND(F327&gt;1,AF327&lt;1,AN327&lt;1),0,IF(AND(F327&gt;1,AE327&lt;0.69,AF327&lt;1,AN327&lt;1),0,IF(ISERROR(AB327-AC327),"",AB327-AC327)))))))))))))</f>
        <v>0</v>
      </c>
      <c r="AK327" s="1835"/>
      <c r="AL327" s="1835"/>
      <c r="AM327" s="1216">
        <f>IF(Q327=0,0,IF(T327=0,0,IF(T327&gt;K327,0,IF(AND(AS327&gt;0.01,BK327=0),0,IF(AND('Proposed Lighting'!#REF!=0,'Lighting Controls'!Z327=0.35),0,IF(AND(T327&lt;=K327,AA327&gt;=AD327,'Proposed Lighting'!#REF!=2),VLOOKUP(Q327,$AY$9:$AZ$15,2,FALSE),IF(AND(T327&lt;=K327,AA327&gt;=AD327,'Proposed Lighting'!#REF!=3),VLOOKUP(Q327,$AY$17:$AZ$23,2,FALSE))))))))</f>
        <v>0</v>
      </c>
      <c r="AN327" s="1248">
        <f>IF(T327=0,0,IF(K327&gt;'Proposed Lighting'!#REF!,0,IF(AE327=0,0,IF(AND(AD327&gt;AA327,AA327&gt;0),0,IF(U327=0,0,Summary!#REF!)))))</f>
        <v>0</v>
      </c>
      <c r="AO327" s="1248">
        <f t="shared" si="63"/>
        <v>0</v>
      </c>
      <c r="AP327" s="1249" t="e">
        <f>IF('Proposed Lighting'!#REF!=1,0,IF(K327=0,0,IF(T327&gt;K327,0,IF(G327=0,0,IF(K327&gt;'Proposed Lighting'!#REF!,0,IF(AND(AD327&gt;AA327,AA327&gt;0),0,IF(AND('Proposed Lighting'!#REF!=3,AM327=0.5),0,IF(AND(AM327&gt;0,AS327&gt;0,BI327&lt;2),0,IF('Proposed Lighting'!#REF!=100,0,IF(AV327=1,0,IF(AND(AM327=35,M327+N327&lt;2),0,AM327)))))))))))</f>
        <v>#REF!</v>
      </c>
      <c r="AQ327" s="1249" t="str">
        <f>IFERROR(ROUND(IF(Q327="","",IF('Proposed Lighting'!$X$4=0,0,IF(AND(AM327=35,M327+N327&lt;2),0,IF(T327&gt;K327,0,IF('Proposed Lighting'!#REF!=1,0,IF(AJ327=0,0,IF(AND('Proposed Lighting'!#REF!=3,AM327=0.5),0,IF(AND(AD327=75,AP327=0,AV327=0),0,IF(AP327&gt;0.01,AP327*T327,IF(AND(F327&gt;1,W327&lt;0.01),0,IF(AND(F327&gt;1,AO327=0),0,IF(AND('Proposed Lighting'!#REF!=22,AV327=0),0,IF(AND(AM327&gt;0,AS327&gt;0,BI327&lt;2),0,IF(AND(AS327&gt;0.01,BK327=0),0,IF(AND(AO327=TRUE,AV327=1,F327=3),MIN(AJ327*0.08,L327),IF(AP327&gt;0.01,AP327*T327,IF(AND(AO327=TRUE,AV327=1,F327=2),MIN(AJ327*0.1,L327)))))))))))))))))),2),"")</f>
        <v/>
      </c>
      <c r="AR327" s="1250">
        <f>IF(Q327=0,0,IF('Proposed Lighting'!$X$4=0,0,IF(AND(AM327&gt;0.01,AQ327&gt;0.01),0,IF('Proposed Lighting'!#REF!=1,"Missing Interior or Exterior Selection",IF('Proposed Lighting'!#REF!=1,"Selection does not match",IF(K327&gt;'Proposed Lighting'!#REF!,"Quantity controlled does not match proposed lighting quantity",IF(T327&gt;K327,"Quantity of sensors exceeds proposed lighting quantity",IF(AND(F327&gt;1,'Proposed Lighting'!#REF!&lt;&gt;F327),"Selection does not match",IF(AND(AD327&gt;AA327,AA327&gt;0),"Does not meet minimum connected load",IF(AND(O327&gt;0,AS327&gt;0,BK327&gt;0,'Proposed Lighting'!#REF!=0),"Select Control Strategies",IF(AND(AC327&gt;0.1,AJ327=0,AQ327=0),"Does not meet incentive criteria",0)))))))))))</f>
        <v>0</v>
      </c>
      <c r="AS327" s="1224" t="e">
        <f>IF('Proposed Lighting'!#REF!=100,0,IF(ISNUMBER(SEARCH("multiple",Q327)),1,0))</f>
        <v>#REF!</v>
      </c>
      <c r="AT327" s="451">
        <f t="shared" si="60"/>
        <v>0</v>
      </c>
      <c r="AU327" s="451" t="e">
        <f t="shared" si="61"/>
        <v>#REF!</v>
      </c>
      <c r="AV327" s="1222">
        <f>IF(ISNUMBER(SEARCH("Networked",'Proposed Lighting'!#REF!)),0,IF(ISNUMBER(SEARCH("Strategies",'Proposed Lighting'!#REF!)),0,IF(ISNUMBER(SEARCH("Removal",'Proposed Lighting'!#REF!)),0,IF(ISNUMBER(SEARCH("non-standard",Q327)),1,0))))</f>
        <v>0</v>
      </c>
      <c r="AW327" s="451">
        <f t="shared" si="64"/>
        <v>0</v>
      </c>
      <c r="AX327" s="451"/>
      <c r="AY327" s="451"/>
      <c r="AZ327" s="451"/>
      <c r="BA327" s="451"/>
      <c r="BB327" s="451"/>
      <c r="BC327" s="1215"/>
      <c r="BD327" s="1215"/>
      <c r="BE327" s="1215"/>
      <c r="BF327" s="1215"/>
      <c r="BG327" s="1215"/>
      <c r="BH327" s="1215"/>
      <c r="BI327" t="e">
        <f>IF(AND(AS327=1,BC327="No",BD327="Yes",BE327="Yes",BF327="No",BH327="No"),0,IF(AND('Proposed Lighting'!#REF!=2,AS327=1,BC327="Yes",BD327="Yes"),2,IF(AND('Proposed Lighting'!#REF!=2,AS327=1,BC327="Yes",BE327="Yes"),2,IF(AND('Proposed Lighting'!#REF!=2,AS327=1,BC327="Yes",BF327="Yes"),2,IF(AND('Proposed Lighting'!#REF!=2,AS327=1,BC327="Yes",BH327="Yes"),2,IF(AND('Proposed Lighting'!#REF!=2,AS327=1,BD327="Yes",BF327="Yes"),2,IF(AND('Proposed Lighting'!#REF!=2,AS327=1,BD327="Yes",BH327="Yes"),2,IF(AND('Proposed Lighting'!#REF!=3,AS327=1,BC327="Yes",BE327="Yes"),2,IF(AND('Proposed Lighting'!#REF!=3,AS327=1,BC327="Yes",BF327="Yes"),2,0)))))))))</f>
        <v>#REF!</v>
      </c>
      <c r="BJ327" s="1025" t="e">
        <f t="shared" si="62"/>
        <v>#REF!</v>
      </c>
      <c r="BK327" t="e">
        <f>IF(AND('Proposed Lighting'!#REF!=22,'Lighting Controls'!N327=1),0,IF(ISNUMBER(SEARCH("LED",G327)),1,0))</f>
        <v>#REF!</v>
      </c>
    </row>
    <row r="328" spans="1:63" ht="34.5" customHeight="1">
      <c r="A328" s="917">
        <v>320</v>
      </c>
      <c r="B328" s="1828" t="e">
        <f>IF('Proposed Lighting'!#REF!="","",'Proposed Lighting'!#REF!)</f>
        <v>#REF!</v>
      </c>
      <c r="C328" s="1828"/>
      <c r="D328" s="1828"/>
      <c r="E328" s="1245" t="e">
        <f>'Proposed Lighting'!#REF!</f>
        <v>#REF!</v>
      </c>
      <c r="F328" s="1245">
        <f t="shared" si="55"/>
        <v>0</v>
      </c>
      <c r="G328" s="1830" t="e">
        <f>IF('Proposed Lighting'!#REF!="","",IF(ISNUMBER(SEARCH("Networked",'Proposed Lighting'!#REF!)),0,IF(ISNUMBER(SEARCH("Strategies",'Proposed Lighting'!#REF!)),0,IF(ISNUMBER(SEARCH("Removal",'Proposed Lighting'!#REF!)),0,'Proposed Lighting'!#REF!))))</f>
        <v>#REF!</v>
      </c>
      <c r="H328" s="1830"/>
      <c r="I328" s="1830"/>
      <c r="J328" s="1830"/>
      <c r="K328" s="1215"/>
      <c r="L328" s="1246" t="e">
        <f t="shared" si="56"/>
        <v>#REF!</v>
      </c>
      <c r="M328" s="1224">
        <f t="shared" si="57"/>
        <v>0</v>
      </c>
      <c r="N328" s="1224">
        <f t="shared" si="58"/>
        <v>0</v>
      </c>
      <c r="O328" s="1825" t="e">
        <f>IF(G328=0,0,IF(ISNA('Proposed Lighting'!#REF!),0,'Proposed Lighting'!#REF!))</f>
        <v>#REF!</v>
      </c>
      <c r="P328" s="1825"/>
      <c r="Q328" s="1247"/>
      <c r="R328" s="1247"/>
      <c r="S328" s="1247"/>
      <c r="T328" s="1211"/>
      <c r="U328" s="1235">
        <f>IF(K328&gt;0.01,'Proposed Lighting'!#REF!,0)</f>
        <v>0</v>
      </c>
      <c r="V328" s="1248" t="e">
        <f>IF('Proposed Lighting'!#REF!=1,0,IF('Proposed Lighting'!#REF!=2,0,IF(AND('Proposed Lighting'!#REF!=3,'Proposed Lighting'!#REF!=0),1,0)))</f>
        <v>#REF!</v>
      </c>
      <c r="W328" s="1836"/>
      <c r="X328" s="1836"/>
      <c r="Y328" s="1836"/>
      <c r="Z328" s="1230" t="str">
        <f t="shared" si="52"/>
        <v/>
      </c>
      <c r="AA328" s="1230">
        <f t="shared" si="53"/>
        <v>0</v>
      </c>
      <c r="AB328" s="1230">
        <f>IF(Q328=0,0,IF(T328=0,0,IF(AA328=0,0,IF(AND(F328=3,V328=0),0,IF(T328=0,0,IF(K328&gt;'Proposed Lighting'!#REF!,0,IF('Proposed Lighting'!#REF!&gt;0.01,(K328*O328)*'Proposed Lighting'!#REF!/1000,(K328*O328)*U328/1000)))))))</f>
        <v>0</v>
      </c>
      <c r="AC328" s="1230" t="str">
        <f t="shared" si="59"/>
        <v/>
      </c>
      <c r="AD328" s="1230">
        <f t="shared" si="54"/>
        <v>0</v>
      </c>
      <c r="AE328" s="1230">
        <f>IF(T328=0,0,IF(K328&gt;'Proposed Lighting'!#REF!,0,IF(T328&gt;K328,0,IF(AND(AD328&gt;AA328,AA328&gt;0),0,IF(AND(F328&gt;1,W328&lt;0.01),0,IF('Proposed Lighting'!#REF!&gt;'Lighting Controls'!F328,0,IF('Proposed Lighting'!#REF!&lt;'Lighting Controls'!F328,0,IF(U328=0,0,Summary!#REF!))))))))</f>
        <v>0</v>
      </c>
      <c r="AF328" s="1230">
        <f>IF(T328=0,0,IF(AE328=0,0,IF(K328&gt;'Proposed Lighting'!#REF!,0,IF(AND(AD328&gt;AA328,AA328&gt;0),0,IF(U328=0,0,Summary!#REF!)))))</f>
        <v>0</v>
      </c>
      <c r="AG328" s="1834" t="e">
        <f>IF('Proposed Lighting'!#REF!=1,0,IF('Proposed Lighting'!#REF!=1,0,T328*W328))</f>
        <v>#REF!</v>
      </c>
      <c r="AH328" s="1834"/>
      <c r="AI328" s="1834"/>
      <c r="AJ328" s="1835">
        <f>IF(T328&lt;1,0,IF(K328&gt;'Proposed Lighting'!#REF!,0,IF('Proposed Lighting'!#REF!=1,0,IF('Proposed Lighting'!#REF!=1,0,IF(T328&gt;K328,0,IF(AND(AD328&gt;AA328,AA328&gt;0),0,IF(AND(F328=2,'Proposed Lighting'!#REF!=3),0,IF(AND(F328=3,'Proposed Lighting'!#REF!=2),0,IF('Proposed Lighting'!#REF!=100,0,IF(AND(F328&lt;3,V328=1,AM328=0),0,IF(AND(F328&gt;1,AF328&lt;1,AN328&lt;1),0,IF(AND(F328&gt;1,AE328&lt;0.69,AF328&lt;1,AN328&lt;1),0,IF(ISERROR(AB328-AC328),"",AB328-AC328)))))))))))))</f>
        <v>0</v>
      </c>
      <c r="AK328" s="1835"/>
      <c r="AL328" s="1835"/>
      <c r="AM328" s="1216">
        <f>IF(Q328=0,0,IF(T328=0,0,IF(T328&gt;K328,0,IF(AND(AS328&gt;0.01,BK328=0),0,IF(AND('Proposed Lighting'!#REF!=0,'Lighting Controls'!Z328=0.35),0,IF(AND(T328&lt;=K328,AA328&gt;=AD328,'Proposed Lighting'!#REF!=2),VLOOKUP(Q328,$AY$9:$AZ$15,2,FALSE),IF(AND(T328&lt;=K328,AA328&gt;=AD328,'Proposed Lighting'!#REF!=3),VLOOKUP(Q328,$AY$17:$AZ$23,2,FALSE))))))))</f>
        <v>0</v>
      </c>
      <c r="AN328" s="1248">
        <f>IF(T328=0,0,IF(K328&gt;'Proposed Lighting'!#REF!,0,IF(AE328=0,0,IF(AND(AD328&gt;AA328,AA328&gt;0),0,IF(U328=0,0,Summary!#REF!)))))</f>
        <v>0</v>
      </c>
      <c r="AO328" s="1248">
        <f t="shared" si="63"/>
        <v>0</v>
      </c>
      <c r="AP328" s="1249" t="e">
        <f>IF('Proposed Lighting'!#REF!=1,0,IF(K328=0,0,IF(T328&gt;K328,0,IF(G328=0,0,IF(K328&gt;'Proposed Lighting'!#REF!,0,IF(AND(AD328&gt;AA328,AA328&gt;0),0,IF(AND('Proposed Lighting'!#REF!=3,AM328=0.5),0,IF(AND(AM328&gt;0,AS328&gt;0,BI328&lt;2),0,IF('Proposed Lighting'!#REF!=100,0,IF(AV328=1,0,IF(AND(AM328=35,M328+N328&lt;2),0,AM328)))))))))))</f>
        <v>#REF!</v>
      </c>
      <c r="AQ328" s="1249" t="str">
        <f>IFERROR(ROUND(IF(Q328="","",IF('Proposed Lighting'!$X$4=0,0,IF(AND(AM328=35,M328+N328&lt;2),0,IF(T328&gt;K328,0,IF('Proposed Lighting'!#REF!=1,0,IF(AJ328=0,0,IF(AND('Proposed Lighting'!#REF!=3,AM328=0.5),0,IF(AND(AD328=75,AP328=0,AV328=0),0,IF(AP328&gt;0.01,AP328*T328,IF(AND(F328&gt;1,W328&lt;0.01),0,IF(AND(F328&gt;1,AO328=0),0,IF(AND('Proposed Lighting'!#REF!=22,AV328=0),0,IF(AND(AM328&gt;0,AS328&gt;0,BI328&lt;2),0,IF(AND(AS328&gt;0.01,BK328=0),0,IF(AND(AO328=TRUE,AV328=1,F328=3),MIN(AJ328*0.08,L328),IF(AP328&gt;0.01,AP328*T328,IF(AND(AO328=TRUE,AV328=1,F328=2),MIN(AJ328*0.1,L328)))))))))))))))))),2),"")</f>
        <v/>
      </c>
      <c r="AR328" s="1250">
        <f>IF(Q328=0,0,IF('Proposed Lighting'!$X$4=0,0,IF(AND(AM328&gt;0.01,AQ328&gt;0.01),0,IF('Proposed Lighting'!#REF!=1,"Missing Interior or Exterior Selection",IF('Proposed Lighting'!#REF!=1,"Selection does not match",IF(K328&gt;'Proposed Lighting'!#REF!,"Quantity controlled does not match proposed lighting quantity",IF(T328&gt;K328,"Quantity of sensors exceeds proposed lighting quantity",IF(AND(F328&gt;1,'Proposed Lighting'!#REF!&lt;&gt;F328),"Selection does not match",IF(AND(AD328&gt;AA328,AA328&gt;0),"Does not meet minimum connected load",IF(AND(O328&gt;0,AS328&gt;0,BK328&gt;0,'Proposed Lighting'!#REF!=0),"Select Control Strategies",IF(AND(AC328&gt;0.1,AJ328=0,AQ328=0),"Does not meet incentive criteria",0)))))))))))</f>
        <v>0</v>
      </c>
      <c r="AS328" s="1224" t="e">
        <f>IF('Proposed Lighting'!#REF!=100,0,IF(ISNUMBER(SEARCH("multiple",Q328)),1,0))</f>
        <v>#REF!</v>
      </c>
      <c r="AT328" s="451">
        <f t="shared" si="60"/>
        <v>0</v>
      </c>
      <c r="AU328" s="451" t="e">
        <f t="shared" si="61"/>
        <v>#REF!</v>
      </c>
      <c r="AV328" s="1222">
        <f>IF(ISNUMBER(SEARCH("Networked",'Proposed Lighting'!#REF!)),0,IF(ISNUMBER(SEARCH("Strategies",'Proposed Lighting'!#REF!)),0,IF(ISNUMBER(SEARCH("Removal",'Proposed Lighting'!#REF!)),0,IF(ISNUMBER(SEARCH("non-standard",Q328)),1,0))))</f>
        <v>0</v>
      </c>
      <c r="AW328" s="451">
        <f t="shared" si="64"/>
        <v>0</v>
      </c>
      <c r="AX328" s="451"/>
      <c r="AY328" s="451"/>
      <c r="AZ328" s="451"/>
      <c r="BA328" s="451"/>
      <c r="BB328" s="451"/>
      <c r="BC328" s="1215"/>
      <c r="BD328" s="1215"/>
      <c r="BE328" s="1215"/>
      <c r="BF328" s="1215"/>
      <c r="BG328" s="1215"/>
      <c r="BH328" s="1215"/>
      <c r="BI328" t="e">
        <f>IF(AND(AS328=1,BC328="No",BD328="Yes",BE328="Yes",BF328="No",BH328="No"),0,IF(AND('Proposed Lighting'!#REF!=2,AS328=1,BC328="Yes",BD328="Yes"),2,IF(AND('Proposed Lighting'!#REF!=2,AS328=1,BC328="Yes",BE328="Yes"),2,IF(AND('Proposed Lighting'!#REF!=2,AS328=1,BC328="Yes",BF328="Yes"),2,IF(AND('Proposed Lighting'!#REF!=2,AS328=1,BC328="Yes",BH328="Yes"),2,IF(AND('Proposed Lighting'!#REF!=2,AS328=1,BD328="Yes",BF328="Yes"),2,IF(AND('Proposed Lighting'!#REF!=2,AS328=1,BD328="Yes",BH328="Yes"),2,IF(AND('Proposed Lighting'!#REF!=3,AS328=1,BC328="Yes",BE328="Yes"),2,IF(AND('Proposed Lighting'!#REF!=3,AS328=1,BC328="Yes",BF328="Yes"),2,0)))))))))</f>
        <v>#REF!</v>
      </c>
      <c r="BJ328" s="1025" t="e">
        <f t="shared" si="62"/>
        <v>#REF!</v>
      </c>
      <c r="BK328" t="e">
        <f>IF(AND('Proposed Lighting'!#REF!=22,'Lighting Controls'!N328=1),0,IF(ISNUMBER(SEARCH("LED",G328)),1,0))</f>
        <v>#REF!</v>
      </c>
    </row>
    <row r="329" spans="1:63" ht="34.5" customHeight="1">
      <c r="A329" s="917">
        <v>321</v>
      </c>
      <c r="B329" s="1828" t="e">
        <f>IF('Proposed Lighting'!#REF!="","",'Proposed Lighting'!#REF!)</f>
        <v>#REF!</v>
      </c>
      <c r="C329" s="1828"/>
      <c r="D329" s="1828"/>
      <c r="E329" s="1245" t="e">
        <f>'Proposed Lighting'!#REF!</f>
        <v>#REF!</v>
      </c>
      <c r="F329" s="1245">
        <f t="shared" si="55"/>
        <v>0</v>
      </c>
      <c r="G329" s="1830" t="e">
        <f>IF('Proposed Lighting'!#REF!="","",IF(ISNUMBER(SEARCH("Networked",'Proposed Lighting'!#REF!)),0,IF(ISNUMBER(SEARCH("Strategies",'Proposed Lighting'!#REF!)),0,IF(ISNUMBER(SEARCH("Removal",'Proposed Lighting'!#REF!)),0,'Proposed Lighting'!#REF!))))</f>
        <v>#REF!</v>
      </c>
      <c r="H329" s="1830"/>
      <c r="I329" s="1830"/>
      <c r="J329" s="1830"/>
      <c r="K329" s="1215"/>
      <c r="L329" s="1246" t="e">
        <f t="shared" si="56"/>
        <v>#REF!</v>
      </c>
      <c r="M329" s="1224">
        <f t="shared" si="57"/>
        <v>0</v>
      </c>
      <c r="N329" s="1224">
        <f t="shared" si="58"/>
        <v>0</v>
      </c>
      <c r="O329" s="1825" t="e">
        <f>IF(G329=0,0,IF(ISNA('Proposed Lighting'!#REF!),0,'Proposed Lighting'!#REF!))</f>
        <v>#REF!</v>
      </c>
      <c r="P329" s="1825"/>
      <c r="Q329" s="1247"/>
      <c r="R329" s="1247"/>
      <c r="S329" s="1247"/>
      <c r="T329" s="1211"/>
      <c r="U329" s="1235">
        <f>IF(K329&gt;0.01,'Proposed Lighting'!#REF!,0)</f>
        <v>0</v>
      </c>
      <c r="V329" s="1248" t="e">
        <f>IF('Proposed Lighting'!#REF!=1,0,IF('Proposed Lighting'!#REF!=2,0,IF(AND('Proposed Lighting'!#REF!=3,'Proposed Lighting'!#REF!=0),1,0)))</f>
        <v>#REF!</v>
      </c>
      <c r="W329" s="1836"/>
      <c r="X329" s="1836"/>
      <c r="Y329" s="1836"/>
      <c r="Z329" s="1230" t="str">
        <f t="shared" ref="Z329:Z392" si="65">IF(Q329="","",VLOOKUP(Q329,$AW$9:$AX$15,2,FALSE))</f>
        <v/>
      </c>
      <c r="AA329" s="1230">
        <f t="shared" ref="AA329:AA392" si="66">IF(T329=0,0,IF(Q329=0,0,IF(G329=0,0,SUM(K329*O329)/T329)))</f>
        <v>0</v>
      </c>
      <c r="AB329" s="1230">
        <f>IF(Q329=0,0,IF(T329=0,0,IF(AA329=0,0,IF(AND(F329=3,V329=0),0,IF(T329=0,0,IF(K329&gt;'Proposed Lighting'!#REF!,0,IF('Proposed Lighting'!#REF!&gt;0.01,(K329*O329)*'Proposed Lighting'!#REF!/1000,(K329*O329)*U329/1000)))))))</f>
        <v>0</v>
      </c>
      <c r="AC329" s="1230" t="str">
        <f t="shared" si="59"/>
        <v/>
      </c>
      <c r="AD329" s="1230">
        <f t="shared" ref="AD329:AD392" si="67">IF(K329=0,0,IF(T329=0,0,IF(V329=1,75,IF(V329=0,VLOOKUP(Q329,$BA$9:$BB$15,2,FALSE)))))</f>
        <v>0</v>
      </c>
      <c r="AE329" s="1230">
        <f>IF(T329=0,0,IF(K329&gt;'Proposed Lighting'!#REF!,0,IF(T329&gt;K329,0,IF(AND(AD329&gt;AA329,AA329&gt;0),0,IF(AND(F329&gt;1,W329&lt;0.01),0,IF('Proposed Lighting'!#REF!&gt;'Lighting Controls'!F329,0,IF('Proposed Lighting'!#REF!&lt;'Lighting Controls'!F329,0,IF(U329=0,0,Summary!#REF!))))))))</f>
        <v>0</v>
      </c>
      <c r="AF329" s="1230">
        <f>IF(T329=0,0,IF(AE329=0,0,IF(K329&gt;'Proposed Lighting'!#REF!,0,IF(AND(AD329&gt;AA329,AA329&gt;0),0,IF(U329=0,0,Summary!#REF!)))))</f>
        <v>0</v>
      </c>
      <c r="AG329" s="1834" t="e">
        <f>IF('Proposed Lighting'!#REF!=1,0,IF('Proposed Lighting'!#REF!=1,0,T329*W329))</f>
        <v>#REF!</v>
      </c>
      <c r="AH329" s="1834"/>
      <c r="AI329" s="1834"/>
      <c r="AJ329" s="1835">
        <f>IF(T329&lt;1,0,IF(K329&gt;'Proposed Lighting'!#REF!,0,IF('Proposed Lighting'!#REF!=1,0,IF('Proposed Lighting'!#REF!=1,0,IF(T329&gt;K329,0,IF(AND(AD329&gt;AA329,AA329&gt;0),0,IF(AND(F329=2,'Proposed Lighting'!#REF!=3),0,IF(AND(F329=3,'Proposed Lighting'!#REF!=2),0,IF('Proposed Lighting'!#REF!=100,0,IF(AND(F329&lt;3,V329=1,AM329=0),0,IF(AND(F329&gt;1,AF329&lt;1,AN329&lt;1),0,IF(AND(F329&gt;1,AE329&lt;0.69,AF329&lt;1,AN329&lt;1),0,IF(ISERROR(AB329-AC329),"",AB329-AC329)))))))))))))</f>
        <v>0</v>
      </c>
      <c r="AK329" s="1835"/>
      <c r="AL329" s="1835"/>
      <c r="AM329" s="1216">
        <f>IF(Q329=0,0,IF(T329=0,0,IF(T329&gt;K329,0,IF(AND(AS329&gt;0.01,BK329=0),0,IF(AND('Proposed Lighting'!#REF!=0,'Lighting Controls'!Z329=0.35),0,IF(AND(T329&lt;=K329,AA329&gt;=AD329,'Proposed Lighting'!#REF!=2),VLOOKUP(Q329,$AY$9:$AZ$15,2,FALSE),IF(AND(T329&lt;=K329,AA329&gt;=AD329,'Proposed Lighting'!#REF!=3),VLOOKUP(Q329,$AY$17:$AZ$23,2,FALSE))))))))</f>
        <v>0</v>
      </c>
      <c r="AN329" s="1248">
        <f>IF(T329=0,0,IF(K329&gt;'Proposed Lighting'!#REF!,0,IF(AE329=0,0,IF(AND(AD329&gt;AA329,AA329&gt;0),0,IF(U329=0,0,Summary!#REF!)))))</f>
        <v>0</v>
      </c>
      <c r="AO329" s="1248">
        <f t="shared" si="63"/>
        <v>0</v>
      </c>
      <c r="AP329" s="1249" t="e">
        <f>IF('Proposed Lighting'!#REF!=1,0,IF(K329=0,0,IF(T329&gt;K329,0,IF(G329=0,0,IF(K329&gt;'Proposed Lighting'!#REF!,0,IF(AND(AD329&gt;AA329,AA329&gt;0),0,IF(AND('Proposed Lighting'!#REF!=3,AM329=0.5),0,IF(AND(AM329&gt;0,AS329&gt;0,BI329&lt;2),0,IF('Proposed Lighting'!#REF!=100,0,IF(AV329=1,0,IF(AND(AM329=35,M329+N329&lt;2),0,AM329)))))))))))</f>
        <v>#REF!</v>
      </c>
      <c r="AQ329" s="1249" t="str">
        <f>IFERROR(ROUND(IF(Q329="","",IF('Proposed Lighting'!$X$4=0,0,IF(AND(AM329=35,M329+N329&lt;2),0,IF(T329&gt;K329,0,IF('Proposed Lighting'!#REF!=1,0,IF(AJ329=0,0,IF(AND('Proposed Lighting'!#REF!=3,AM329=0.5),0,IF(AND(AD329=75,AP329=0,AV329=0),0,IF(AP329&gt;0.01,AP329*T329,IF(AND(F329&gt;1,W329&lt;0.01),0,IF(AND(F329&gt;1,AO329=0),0,IF(AND('Proposed Lighting'!#REF!=22,AV329=0),0,IF(AND(AM329&gt;0,AS329&gt;0,BI329&lt;2),0,IF(AND(AS329&gt;0.01,BK329=0),0,IF(AND(AO329=TRUE,AV329=1,F329=3),MIN(AJ329*0.08,L329),IF(AP329&gt;0.01,AP329*T329,IF(AND(AO329=TRUE,AV329=1,F329=2),MIN(AJ329*0.1,L329)))))))))))))))))),2),"")</f>
        <v/>
      </c>
      <c r="AR329" s="1250">
        <f>IF(Q329=0,0,IF('Proposed Lighting'!$X$4=0,0,IF(AND(AM329&gt;0.01,AQ329&gt;0.01),0,IF('Proposed Lighting'!#REF!=1,"Missing Interior or Exterior Selection",IF('Proposed Lighting'!#REF!=1,"Selection does not match",IF(K329&gt;'Proposed Lighting'!#REF!,"Quantity controlled does not match proposed lighting quantity",IF(T329&gt;K329,"Quantity of sensors exceeds proposed lighting quantity",IF(AND(F329&gt;1,'Proposed Lighting'!#REF!&lt;&gt;F329),"Selection does not match",IF(AND(AD329&gt;AA329,AA329&gt;0),"Does not meet minimum connected load",IF(AND(O329&gt;0,AS329&gt;0,BK329&gt;0,'Proposed Lighting'!#REF!=0),"Select Control Strategies",IF(AND(AC329&gt;0.1,AJ329=0,AQ329=0),"Does not meet incentive criteria",0)))))))))))</f>
        <v>0</v>
      </c>
      <c r="AS329" s="1224" t="e">
        <f>IF('Proposed Lighting'!#REF!=100,0,IF(ISNUMBER(SEARCH("multiple",Q329)),1,0))</f>
        <v>#REF!</v>
      </c>
      <c r="AT329" s="451">
        <f t="shared" si="60"/>
        <v>0</v>
      </c>
      <c r="AU329" s="451" t="e">
        <f t="shared" si="61"/>
        <v>#REF!</v>
      </c>
      <c r="AV329" s="1222">
        <f>IF(ISNUMBER(SEARCH("Networked",'Proposed Lighting'!#REF!)),0,IF(ISNUMBER(SEARCH("Strategies",'Proposed Lighting'!#REF!)),0,IF(ISNUMBER(SEARCH("Removal",'Proposed Lighting'!#REF!)),0,IF(ISNUMBER(SEARCH("non-standard",Q329)),1,0))))</f>
        <v>0</v>
      </c>
      <c r="AW329" s="451">
        <f t="shared" si="64"/>
        <v>0</v>
      </c>
      <c r="AX329" s="451"/>
      <c r="AY329" s="451"/>
      <c r="AZ329" s="451"/>
      <c r="BA329" s="451"/>
      <c r="BB329" s="451"/>
      <c r="BC329" s="1215"/>
      <c r="BD329" s="1215"/>
      <c r="BE329" s="1215"/>
      <c r="BF329" s="1215"/>
      <c r="BG329" s="1215"/>
      <c r="BH329" s="1215"/>
      <c r="BI329" t="e">
        <f>IF(AND(AS329=1,BC329="No",BD329="Yes",BE329="Yes",BF329="No",BH329="No"),0,IF(AND('Proposed Lighting'!#REF!=2,AS329=1,BC329="Yes",BD329="Yes"),2,IF(AND('Proposed Lighting'!#REF!=2,AS329=1,BC329="Yes",BE329="Yes"),2,IF(AND('Proposed Lighting'!#REF!=2,AS329=1,BC329="Yes",BF329="Yes"),2,IF(AND('Proposed Lighting'!#REF!=2,AS329=1,BC329="Yes",BH329="Yes"),2,IF(AND('Proposed Lighting'!#REF!=2,AS329=1,BD329="Yes",BF329="Yes"),2,IF(AND('Proposed Lighting'!#REF!=2,AS329=1,BD329="Yes",BH329="Yes"),2,IF(AND('Proposed Lighting'!#REF!=3,AS329=1,BC329="Yes",BE329="Yes"),2,IF(AND('Proposed Lighting'!#REF!=3,AS329=1,BC329="Yes",BF329="Yes"),2,0)))))))))</f>
        <v>#REF!</v>
      </c>
      <c r="BJ329" s="1025" t="e">
        <f t="shared" si="62"/>
        <v>#REF!</v>
      </c>
      <c r="BK329" t="e">
        <f>IF(AND('Proposed Lighting'!#REF!=22,'Lighting Controls'!N329=1),0,IF(ISNUMBER(SEARCH("LED",G329)),1,0))</f>
        <v>#REF!</v>
      </c>
    </row>
    <row r="330" spans="1:63" ht="34.5" customHeight="1">
      <c r="A330" s="917">
        <v>322</v>
      </c>
      <c r="B330" s="1828" t="e">
        <f>IF('Proposed Lighting'!#REF!="","",'Proposed Lighting'!#REF!)</f>
        <v>#REF!</v>
      </c>
      <c r="C330" s="1828"/>
      <c r="D330" s="1828"/>
      <c r="E330" s="1245" t="e">
        <f>'Proposed Lighting'!#REF!</f>
        <v>#REF!</v>
      </c>
      <c r="F330" s="1245">
        <f t="shared" ref="F330:F393" si="68">IF(ISNUMBER(SEARCH("photocell",Q330)),1,IF(ISNUMBER(SEARCH("EXTERIOR",Q330)),3,IF(ISNUMBER(SEARCH("INTERIOR",Q330)),2,0)))</f>
        <v>0</v>
      </c>
      <c r="G330" s="1830" t="e">
        <f>IF('Proposed Lighting'!#REF!="","",IF(ISNUMBER(SEARCH("Networked",'Proposed Lighting'!#REF!)),0,IF(ISNUMBER(SEARCH("Strategies",'Proposed Lighting'!#REF!)),0,IF(ISNUMBER(SEARCH("Removal",'Proposed Lighting'!#REF!)),0,'Proposed Lighting'!#REF!))))</f>
        <v>#REF!</v>
      </c>
      <c r="H330" s="1830"/>
      <c r="I330" s="1830"/>
      <c r="J330" s="1830"/>
      <c r="K330" s="1215"/>
      <c r="L330" s="1246" t="e">
        <f t="shared" ref="L330:L393" si="69">AG330*0.7</f>
        <v>#REF!</v>
      </c>
      <c r="M330" s="1224">
        <f t="shared" ref="M330:M393" si="70">IF(ISNUMBER(SEARCH("LED",G330)),1,0)</f>
        <v>0</v>
      </c>
      <c r="N330" s="1224">
        <f t="shared" ref="N330:N393" si="71">IF(ISNUMBER(SEARCH("LED",Q330)),1,0)</f>
        <v>0</v>
      </c>
      <c r="O330" s="1825" t="e">
        <f>IF(G330=0,0,IF(ISNA('Proposed Lighting'!#REF!),0,'Proposed Lighting'!#REF!))</f>
        <v>#REF!</v>
      </c>
      <c r="P330" s="1825"/>
      <c r="Q330" s="1247"/>
      <c r="R330" s="1247"/>
      <c r="S330" s="1247"/>
      <c r="T330" s="1211"/>
      <c r="U330" s="1235">
        <f>IF(K330&gt;0.01,'Proposed Lighting'!#REF!,0)</f>
        <v>0</v>
      </c>
      <c r="V330" s="1248" t="e">
        <f>IF('Proposed Lighting'!#REF!=1,0,IF('Proposed Lighting'!#REF!=2,0,IF(AND('Proposed Lighting'!#REF!=3,'Proposed Lighting'!#REF!=0),1,0)))</f>
        <v>#REF!</v>
      </c>
      <c r="W330" s="1836"/>
      <c r="X330" s="1836"/>
      <c r="Y330" s="1836"/>
      <c r="Z330" s="1230" t="str">
        <f t="shared" si="65"/>
        <v/>
      </c>
      <c r="AA330" s="1230">
        <f t="shared" si="66"/>
        <v>0</v>
      </c>
      <c r="AB330" s="1230">
        <f>IF(Q330=0,0,IF(T330=0,0,IF(AA330=0,0,IF(AND(F330=3,V330=0),0,IF(T330=0,0,IF(K330&gt;'Proposed Lighting'!#REF!,0,IF('Proposed Lighting'!#REF!&gt;0.01,(K330*O330)*'Proposed Lighting'!#REF!/1000,(K330*O330)*U330/1000)))))))</f>
        <v>0</v>
      </c>
      <c r="AC330" s="1230" t="str">
        <f t="shared" ref="AC330:AC393" si="72">IF(Q330="","",K330*O330*(U330*(1-Z330)/1000))</f>
        <v/>
      </c>
      <c r="AD330" s="1230">
        <f t="shared" si="67"/>
        <v>0</v>
      </c>
      <c r="AE330" s="1230">
        <f>IF(T330=0,0,IF(K330&gt;'Proposed Lighting'!#REF!,0,IF(T330&gt;K330,0,IF(AND(AD330&gt;AA330,AA330&gt;0),0,IF(AND(F330&gt;1,W330&lt;0.01),0,IF('Proposed Lighting'!#REF!&gt;'Lighting Controls'!F330,0,IF('Proposed Lighting'!#REF!&lt;'Lighting Controls'!F330,0,IF(U330=0,0,Summary!#REF!))))))))</f>
        <v>0</v>
      </c>
      <c r="AF330" s="1230">
        <f>IF(T330=0,0,IF(AE330=0,0,IF(K330&gt;'Proposed Lighting'!#REF!,0,IF(AND(AD330&gt;AA330,AA330&gt;0),0,IF(U330=0,0,Summary!#REF!)))))</f>
        <v>0</v>
      </c>
      <c r="AG330" s="1834" t="e">
        <f>IF('Proposed Lighting'!#REF!=1,0,IF('Proposed Lighting'!#REF!=1,0,T330*W330))</f>
        <v>#REF!</v>
      </c>
      <c r="AH330" s="1834"/>
      <c r="AI330" s="1834"/>
      <c r="AJ330" s="1835">
        <f>IF(T330&lt;1,0,IF(K330&gt;'Proposed Lighting'!#REF!,0,IF('Proposed Lighting'!#REF!=1,0,IF('Proposed Lighting'!#REF!=1,0,IF(T330&gt;K330,0,IF(AND(AD330&gt;AA330,AA330&gt;0),0,IF(AND(F330=2,'Proposed Lighting'!#REF!=3),0,IF(AND(F330=3,'Proposed Lighting'!#REF!=2),0,IF('Proposed Lighting'!#REF!=100,0,IF(AND(F330&lt;3,V330=1,AM330=0),0,IF(AND(F330&gt;1,AF330&lt;1,AN330&lt;1),0,IF(AND(F330&gt;1,AE330&lt;0.69,AF330&lt;1,AN330&lt;1),0,IF(ISERROR(AB330-AC330),"",AB330-AC330)))))))))))))</f>
        <v>0</v>
      </c>
      <c r="AK330" s="1835"/>
      <c r="AL330" s="1835"/>
      <c r="AM330" s="1216">
        <f>IF(Q330=0,0,IF(T330=0,0,IF(T330&gt;K330,0,IF(AND(AS330&gt;0.01,BK330=0),0,IF(AND('Proposed Lighting'!#REF!=0,'Lighting Controls'!Z330=0.35),0,IF(AND(T330&lt;=K330,AA330&gt;=AD330,'Proposed Lighting'!#REF!=2),VLOOKUP(Q330,$AY$9:$AZ$15,2,FALSE),IF(AND(T330&lt;=K330,AA330&gt;=AD330,'Proposed Lighting'!#REF!=3),VLOOKUP(Q330,$AY$17:$AZ$23,2,FALSE))))))))</f>
        <v>0</v>
      </c>
      <c r="AN330" s="1248">
        <f>IF(T330=0,0,IF(K330&gt;'Proposed Lighting'!#REF!,0,IF(AE330=0,0,IF(AND(AD330&gt;AA330,AA330&gt;0),0,IF(U330=0,0,Summary!#REF!)))))</f>
        <v>0</v>
      </c>
      <c r="AO330" s="1248">
        <f t="shared" si="63"/>
        <v>0</v>
      </c>
      <c r="AP330" s="1249" t="e">
        <f>IF('Proposed Lighting'!#REF!=1,0,IF(K330=0,0,IF(T330&gt;K330,0,IF(G330=0,0,IF(K330&gt;'Proposed Lighting'!#REF!,0,IF(AND(AD330&gt;AA330,AA330&gt;0),0,IF(AND('Proposed Lighting'!#REF!=3,AM330=0.5),0,IF(AND(AM330&gt;0,AS330&gt;0,BI330&lt;2),0,IF('Proposed Lighting'!#REF!=100,0,IF(AV330=1,0,IF(AND(AM330=35,M330+N330&lt;2),0,AM330)))))))))))</f>
        <v>#REF!</v>
      </c>
      <c r="AQ330" s="1249" t="str">
        <f>IFERROR(ROUND(IF(Q330="","",IF('Proposed Lighting'!$X$4=0,0,IF(AND(AM330=35,M330+N330&lt;2),0,IF(T330&gt;K330,0,IF('Proposed Lighting'!#REF!=1,0,IF(AJ330=0,0,IF(AND('Proposed Lighting'!#REF!=3,AM330=0.5),0,IF(AND(AD330=75,AP330=0,AV330=0),0,IF(AP330&gt;0.01,AP330*T330,IF(AND(F330&gt;1,W330&lt;0.01),0,IF(AND(F330&gt;1,AO330=0),0,IF(AND('Proposed Lighting'!#REF!=22,AV330=0),0,IF(AND(AM330&gt;0,AS330&gt;0,BI330&lt;2),0,IF(AND(AS330&gt;0.01,BK330=0),0,IF(AND(AO330=TRUE,AV330=1,F330=3),MIN(AJ330*0.08,L330),IF(AP330&gt;0.01,AP330*T330,IF(AND(AO330=TRUE,AV330=1,F330=2),MIN(AJ330*0.1,L330)))))))))))))))))),2),"")</f>
        <v/>
      </c>
      <c r="AR330" s="1250">
        <f>IF(Q330=0,0,IF('Proposed Lighting'!$X$4=0,0,IF(AND(AM330&gt;0.01,AQ330&gt;0.01),0,IF('Proposed Lighting'!#REF!=1,"Missing Interior or Exterior Selection",IF('Proposed Lighting'!#REF!=1,"Selection does not match",IF(K330&gt;'Proposed Lighting'!#REF!,"Quantity controlled does not match proposed lighting quantity",IF(T330&gt;K330,"Quantity of sensors exceeds proposed lighting quantity",IF(AND(F330&gt;1,'Proposed Lighting'!#REF!&lt;&gt;F330),"Selection does not match",IF(AND(AD330&gt;AA330,AA330&gt;0),"Does not meet minimum connected load",IF(AND(O330&gt;0,AS330&gt;0,BK330&gt;0,'Proposed Lighting'!#REF!=0),"Select Control Strategies",IF(AND(AC330&gt;0.1,AJ330=0,AQ330=0),"Does not meet incentive criteria",0)))))))))))</f>
        <v>0</v>
      </c>
      <c r="AS330" s="1224" t="e">
        <f>IF('Proposed Lighting'!#REF!=100,0,IF(ISNUMBER(SEARCH("multiple",Q330)),1,0))</f>
        <v>#REF!</v>
      </c>
      <c r="AT330" s="451">
        <f t="shared" ref="AT330:AT393" si="73">IF(AQ330&gt;0.01,T330,0)</f>
        <v>0</v>
      </c>
      <c r="AU330" s="451" t="e">
        <f t="shared" ref="AU330:AU393" si="74">IF(AP330&gt;0.01,T330,0)</f>
        <v>#REF!</v>
      </c>
      <c r="AV330" s="1222">
        <f>IF(ISNUMBER(SEARCH("Networked",'Proposed Lighting'!#REF!)),0,IF(ISNUMBER(SEARCH("Strategies",'Proposed Lighting'!#REF!)),0,IF(ISNUMBER(SEARCH("Removal",'Proposed Lighting'!#REF!)),0,IF(ISNUMBER(SEARCH("non-standard",Q330)),1,0))))</f>
        <v>0</v>
      </c>
      <c r="AW330" s="451">
        <f t="shared" si="64"/>
        <v>0</v>
      </c>
      <c r="AX330" s="451"/>
      <c r="AY330" s="451"/>
      <c r="AZ330" s="451"/>
      <c r="BA330" s="451"/>
      <c r="BB330" s="451"/>
      <c r="BC330" s="1215"/>
      <c r="BD330" s="1215"/>
      <c r="BE330" s="1215"/>
      <c r="BF330" s="1215"/>
      <c r="BG330" s="1215"/>
      <c r="BH330" s="1215"/>
      <c r="BI330" t="e">
        <f>IF(AND(AS330=1,BC330="No",BD330="Yes",BE330="Yes",BF330="No",BH330="No"),0,IF(AND('Proposed Lighting'!#REF!=2,AS330=1,BC330="Yes",BD330="Yes"),2,IF(AND('Proposed Lighting'!#REF!=2,AS330=1,BC330="Yes",BE330="Yes"),2,IF(AND('Proposed Lighting'!#REF!=2,AS330=1,BC330="Yes",BF330="Yes"),2,IF(AND('Proposed Lighting'!#REF!=2,AS330=1,BC330="Yes",BH330="Yes"),2,IF(AND('Proposed Lighting'!#REF!=2,AS330=1,BD330="Yes",BF330="Yes"),2,IF(AND('Proposed Lighting'!#REF!=2,AS330=1,BD330="Yes",BH330="Yes"),2,IF(AND('Proposed Lighting'!#REF!=3,AS330=1,BC330="Yes",BE330="Yes"),2,IF(AND('Proposed Lighting'!#REF!=3,AS330=1,BC330="Yes",BF330="Yes"),2,0)))))))))</f>
        <v>#REF!</v>
      </c>
      <c r="BJ330" s="1025" t="e">
        <f t="shared" ref="BJ330:BJ393" si="75">IF(AND(AS330=1,BK330=0),0,IF(AND(AS330&gt;0,BI330&lt;2),"Does not meet minimum controls",0))</f>
        <v>#REF!</v>
      </c>
      <c r="BK330" t="e">
        <f>IF(AND('Proposed Lighting'!#REF!=22,'Lighting Controls'!N330=1),0,IF(ISNUMBER(SEARCH("LED",G330)),1,0))</f>
        <v>#REF!</v>
      </c>
    </row>
    <row r="331" spans="1:63" ht="34.5" customHeight="1">
      <c r="A331" s="917">
        <v>323</v>
      </c>
      <c r="B331" s="1828" t="e">
        <f>IF('Proposed Lighting'!#REF!="","",'Proposed Lighting'!#REF!)</f>
        <v>#REF!</v>
      </c>
      <c r="C331" s="1828"/>
      <c r="D331" s="1828"/>
      <c r="E331" s="1245" t="e">
        <f>'Proposed Lighting'!#REF!</f>
        <v>#REF!</v>
      </c>
      <c r="F331" s="1245">
        <f t="shared" si="68"/>
        <v>0</v>
      </c>
      <c r="G331" s="1830" t="e">
        <f>IF('Proposed Lighting'!#REF!="","",IF(ISNUMBER(SEARCH("Networked",'Proposed Lighting'!#REF!)),0,IF(ISNUMBER(SEARCH("Strategies",'Proposed Lighting'!#REF!)),0,IF(ISNUMBER(SEARCH("Removal",'Proposed Lighting'!#REF!)),0,'Proposed Lighting'!#REF!))))</f>
        <v>#REF!</v>
      </c>
      <c r="H331" s="1830"/>
      <c r="I331" s="1830"/>
      <c r="J331" s="1830"/>
      <c r="K331" s="1215"/>
      <c r="L331" s="1246" t="e">
        <f t="shared" si="69"/>
        <v>#REF!</v>
      </c>
      <c r="M331" s="1224">
        <f t="shared" si="70"/>
        <v>0</v>
      </c>
      <c r="N331" s="1224">
        <f t="shared" si="71"/>
        <v>0</v>
      </c>
      <c r="O331" s="1825" t="e">
        <f>IF(G331=0,0,IF(ISNA('Proposed Lighting'!#REF!),0,'Proposed Lighting'!#REF!))</f>
        <v>#REF!</v>
      </c>
      <c r="P331" s="1825"/>
      <c r="Q331" s="1247"/>
      <c r="R331" s="1247"/>
      <c r="S331" s="1247"/>
      <c r="T331" s="1211"/>
      <c r="U331" s="1235">
        <f>IF(K331&gt;0.01,'Proposed Lighting'!#REF!,0)</f>
        <v>0</v>
      </c>
      <c r="V331" s="1248" t="e">
        <f>IF('Proposed Lighting'!#REF!=1,0,IF('Proposed Lighting'!#REF!=2,0,IF(AND('Proposed Lighting'!#REF!=3,'Proposed Lighting'!#REF!=0),1,0)))</f>
        <v>#REF!</v>
      </c>
      <c r="W331" s="1836"/>
      <c r="X331" s="1836"/>
      <c r="Y331" s="1836"/>
      <c r="Z331" s="1230" t="str">
        <f t="shared" si="65"/>
        <v/>
      </c>
      <c r="AA331" s="1230">
        <f t="shared" si="66"/>
        <v>0</v>
      </c>
      <c r="AB331" s="1230">
        <f>IF(Q331=0,0,IF(T331=0,0,IF(AA331=0,0,IF(AND(F331=3,V331=0),0,IF(T331=0,0,IF(K331&gt;'Proposed Lighting'!#REF!,0,IF('Proposed Lighting'!#REF!&gt;0.01,(K331*O331)*'Proposed Lighting'!#REF!/1000,(K331*O331)*U331/1000)))))))</f>
        <v>0</v>
      </c>
      <c r="AC331" s="1230" t="str">
        <f t="shared" si="72"/>
        <v/>
      </c>
      <c r="AD331" s="1230">
        <f t="shared" si="67"/>
        <v>0</v>
      </c>
      <c r="AE331" s="1230">
        <f>IF(T331=0,0,IF(K331&gt;'Proposed Lighting'!#REF!,0,IF(T331&gt;K331,0,IF(AND(AD331&gt;AA331,AA331&gt;0),0,IF(AND(F331&gt;1,W331&lt;0.01),0,IF('Proposed Lighting'!#REF!&gt;'Lighting Controls'!F331,0,IF('Proposed Lighting'!#REF!&lt;'Lighting Controls'!F331,0,IF(U331=0,0,Summary!#REF!))))))))</f>
        <v>0</v>
      </c>
      <c r="AF331" s="1230">
        <f>IF(T331=0,0,IF(AE331=0,0,IF(K331&gt;'Proposed Lighting'!#REF!,0,IF(AND(AD331&gt;AA331,AA331&gt;0),0,IF(U331=0,0,Summary!#REF!)))))</f>
        <v>0</v>
      </c>
      <c r="AG331" s="1834" t="e">
        <f>IF('Proposed Lighting'!#REF!=1,0,IF('Proposed Lighting'!#REF!=1,0,T331*W331))</f>
        <v>#REF!</v>
      </c>
      <c r="AH331" s="1834"/>
      <c r="AI331" s="1834"/>
      <c r="AJ331" s="1835">
        <f>IF(T331&lt;1,0,IF(K331&gt;'Proposed Lighting'!#REF!,0,IF('Proposed Lighting'!#REF!=1,0,IF('Proposed Lighting'!#REF!=1,0,IF(T331&gt;K331,0,IF(AND(AD331&gt;AA331,AA331&gt;0),0,IF(AND(F331=2,'Proposed Lighting'!#REF!=3),0,IF(AND(F331=3,'Proposed Lighting'!#REF!=2),0,IF('Proposed Lighting'!#REF!=100,0,IF(AND(F331&lt;3,V331=1,AM331=0),0,IF(AND(F331&gt;1,AF331&lt;1,AN331&lt;1),0,IF(AND(F331&gt;1,AE331&lt;0.69,AF331&lt;1,AN331&lt;1),0,IF(ISERROR(AB331-AC331),"",AB331-AC331)))))))))))))</f>
        <v>0</v>
      </c>
      <c r="AK331" s="1835"/>
      <c r="AL331" s="1835"/>
      <c r="AM331" s="1216">
        <f>IF(Q331=0,0,IF(T331=0,0,IF(T331&gt;K331,0,IF(AND(AS331&gt;0.01,BK331=0),0,IF(AND('Proposed Lighting'!#REF!=0,'Lighting Controls'!Z331=0.35),0,IF(AND(T331&lt;=K331,AA331&gt;=AD331,'Proposed Lighting'!#REF!=2),VLOOKUP(Q331,$AY$9:$AZ$15,2,FALSE),IF(AND(T331&lt;=K331,AA331&gt;=AD331,'Proposed Lighting'!#REF!=3),VLOOKUP(Q331,$AY$17:$AZ$23,2,FALSE))))))))</f>
        <v>0</v>
      </c>
      <c r="AN331" s="1248">
        <f>IF(T331=0,0,IF(K331&gt;'Proposed Lighting'!#REF!,0,IF(AE331=0,0,IF(AND(AD331&gt;AA331,AA331&gt;0),0,IF(U331=0,0,Summary!#REF!)))))</f>
        <v>0</v>
      </c>
      <c r="AO331" s="1248">
        <f t="shared" ref="AO331:AO394" si="76">IF((AND(AE331&gt;0.69,AF331&gt;=1,AN331&gt;=1)),TRUE,0)</f>
        <v>0</v>
      </c>
      <c r="AP331" s="1249" t="e">
        <f>IF('Proposed Lighting'!#REF!=1,0,IF(K331=0,0,IF(T331&gt;K331,0,IF(G331=0,0,IF(K331&gt;'Proposed Lighting'!#REF!,0,IF(AND(AD331&gt;AA331,AA331&gt;0),0,IF(AND('Proposed Lighting'!#REF!=3,AM331=0.5),0,IF(AND(AM331&gt;0,AS331&gt;0,BI331&lt;2),0,IF('Proposed Lighting'!#REF!=100,0,IF(AV331=1,0,IF(AND(AM331=35,M331+N331&lt;2),0,AM331)))))))))))</f>
        <v>#REF!</v>
      </c>
      <c r="AQ331" s="1249" t="str">
        <f>IFERROR(ROUND(IF(Q331="","",IF('Proposed Lighting'!$X$4=0,0,IF(AND(AM331=35,M331+N331&lt;2),0,IF(T331&gt;K331,0,IF('Proposed Lighting'!#REF!=1,0,IF(AJ331=0,0,IF(AND('Proposed Lighting'!#REF!=3,AM331=0.5),0,IF(AND(AD331=75,AP331=0,AV331=0),0,IF(AP331&gt;0.01,AP331*T331,IF(AND(F331&gt;1,W331&lt;0.01),0,IF(AND(F331&gt;1,AO331=0),0,IF(AND('Proposed Lighting'!#REF!=22,AV331=0),0,IF(AND(AM331&gt;0,AS331&gt;0,BI331&lt;2),0,IF(AND(AS331&gt;0.01,BK331=0),0,IF(AND(AO331=TRUE,AV331=1,F331=3),MIN(AJ331*0.08,L331),IF(AP331&gt;0.01,AP331*T331,IF(AND(AO331=TRUE,AV331=1,F331=2),MIN(AJ331*0.1,L331)))))))))))))))))),2),"")</f>
        <v/>
      </c>
      <c r="AR331" s="1250">
        <f>IF(Q331=0,0,IF('Proposed Lighting'!$X$4=0,0,IF(AND(AM331&gt;0.01,AQ331&gt;0.01),0,IF('Proposed Lighting'!#REF!=1,"Missing Interior or Exterior Selection",IF('Proposed Lighting'!#REF!=1,"Selection does not match",IF(K331&gt;'Proposed Lighting'!#REF!,"Quantity controlled does not match proposed lighting quantity",IF(T331&gt;K331,"Quantity of sensors exceeds proposed lighting quantity",IF(AND(F331&gt;1,'Proposed Lighting'!#REF!&lt;&gt;F331),"Selection does not match",IF(AND(AD331&gt;AA331,AA331&gt;0),"Does not meet minimum connected load",IF(AND(O331&gt;0,AS331&gt;0,BK331&gt;0,'Proposed Lighting'!#REF!=0),"Select Control Strategies",IF(AND(AC331&gt;0.1,AJ331=0,AQ331=0),"Does not meet incentive criteria",0)))))))))))</f>
        <v>0</v>
      </c>
      <c r="AS331" s="1224" t="e">
        <f>IF('Proposed Lighting'!#REF!=100,0,IF(ISNUMBER(SEARCH("multiple",Q331)),1,0))</f>
        <v>#REF!</v>
      </c>
      <c r="AT331" s="451">
        <f t="shared" si="73"/>
        <v>0</v>
      </c>
      <c r="AU331" s="451" t="e">
        <f t="shared" si="74"/>
        <v>#REF!</v>
      </c>
      <c r="AV331" s="1222">
        <f>IF(ISNUMBER(SEARCH("Networked",'Proposed Lighting'!#REF!)),0,IF(ISNUMBER(SEARCH("Strategies",'Proposed Lighting'!#REF!)),0,IF(ISNUMBER(SEARCH("Removal",'Proposed Lighting'!#REF!)),0,IF(ISNUMBER(SEARCH("non-standard",Q331)),1,0))))</f>
        <v>0</v>
      </c>
      <c r="AW331" s="451">
        <f t="shared" si="64"/>
        <v>0</v>
      </c>
      <c r="AX331" s="451"/>
      <c r="AY331" s="451"/>
      <c r="AZ331" s="451"/>
      <c r="BA331" s="451"/>
      <c r="BB331" s="451"/>
      <c r="BC331" s="1215"/>
      <c r="BD331" s="1215"/>
      <c r="BE331" s="1215"/>
      <c r="BF331" s="1215"/>
      <c r="BG331" s="1215"/>
      <c r="BH331" s="1215"/>
      <c r="BI331" t="e">
        <f>IF(AND(AS331=1,BC331="No",BD331="Yes",BE331="Yes",BF331="No",BH331="No"),0,IF(AND('Proposed Lighting'!#REF!=2,AS331=1,BC331="Yes",BD331="Yes"),2,IF(AND('Proposed Lighting'!#REF!=2,AS331=1,BC331="Yes",BE331="Yes"),2,IF(AND('Proposed Lighting'!#REF!=2,AS331=1,BC331="Yes",BF331="Yes"),2,IF(AND('Proposed Lighting'!#REF!=2,AS331=1,BC331="Yes",BH331="Yes"),2,IF(AND('Proposed Lighting'!#REF!=2,AS331=1,BD331="Yes",BF331="Yes"),2,IF(AND('Proposed Lighting'!#REF!=2,AS331=1,BD331="Yes",BH331="Yes"),2,IF(AND('Proposed Lighting'!#REF!=3,AS331=1,BC331="Yes",BE331="Yes"),2,IF(AND('Proposed Lighting'!#REF!=3,AS331=1,BC331="Yes",BF331="Yes"),2,0)))))))))</f>
        <v>#REF!</v>
      </c>
      <c r="BJ331" s="1025" t="e">
        <f t="shared" si="75"/>
        <v>#REF!</v>
      </c>
      <c r="BK331" t="e">
        <f>IF(AND('Proposed Lighting'!#REF!=22,'Lighting Controls'!N331=1),0,IF(ISNUMBER(SEARCH("LED",G331)),1,0))</f>
        <v>#REF!</v>
      </c>
    </row>
    <row r="332" spans="1:63" ht="34.5" customHeight="1">
      <c r="A332" s="917">
        <v>324</v>
      </c>
      <c r="B332" s="1828" t="e">
        <f>IF('Proposed Lighting'!#REF!="","",'Proposed Lighting'!#REF!)</f>
        <v>#REF!</v>
      </c>
      <c r="C332" s="1828"/>
      <c r="D332" s="1828"/>
      <c r="E332" s="1245" t="e">
        <f>'Proposed Lighting'!#REF!</f>
        <v>#REF!</v>
      </c>
      <c r="F332" s="1245">
        <f t="shared" si="68"/>
        <v>0</v>
      </c>
      <c r="G332" s="1830" t="e">
        <f>IF('Proposed Lighting'!#REF!="","",IF(ISNUMBER(SEARCH("Networked",'Proposed Lighting'!#REF!)),0,IF(ISNUMBER(SEARCH("Strategies",'Proposed Lighting'!#REF!)),0,IF(ISNUMBER(SEARCH("Removal",'Proposed Lighting'!#REF!)),0,'Proposed Lighting'!#REF!))))</f>
        <v>#REF!</v>
      </c>
      <c r="H332" s="1830"/>
      <c r="I332" s="1830"/>
      <c r="J332" s="1830"/>
      <c r="K332" s="1215"/>
      <c r="L332" s="1246" t="e">
        <f t="shared" si="69"/>
        <v>#REF!</v>
      </c>
      <c r="M332" s="1224">
        <f t="shared" si="70"/>
        <v>0</v>
      </c>
      <c r="N332" s="1224">
        <f t="shared" si="71"/>
        <v>0</v>
      </c>
      <c r="O332" s="1825" t="e">
        <f>IF(G332=0,0,IF(ISNA('Proposed Lighting'!#REF!),0,'Proposed Lighting'!#REF!))</f>
        <v>#REF!</v>
      </c>
      <c r="P332" s="1825"/>
      <c r="Q332" s="1247"/>
      <c r="R332" s="1247"/>
      <c r="S332" s="1247"/>
      <c r="T332" s="1211"/>
      <c r="U332" s="1235">
        <f>IF(K332&gt;0.01,'Proposed Lighting'!#REF!,0)</f>
        <v>0</v>
      </c>
      <c r="V332" s="1248" t="e">
        <f>IF('Proposed Lighting'!#REF!=1,0,IF('Proposed Lighting'!#REF!=2,0,IF(AND('Proposed Lighting'!#REF!=3,'Proposed Lighting'!#REF!=0),1,0)))</f>
        <v>#REF!</v>
      </c>
      <c r="W332" s="1836"/>
      <c r="X332" s="1836"/>
      <c r="Y332" s="1836"/>
      <c r="Z332" s="1230" t="str">
        <f t="shared" si="65"/>
        <v/>
      </c>
      <c r="AA332" s="1230">
        <f t="shared" si="66"/>
        <v>0</v>
      </c>
      <c r="AB332" s="1230">
        <f>IF(Q332=0,0,IF(T332=0,0,IF(AA332=0,0,IF(AND(F332=3,V332=0),0,IF(T332=0,0,IF(K332&gt;'Proposed Lighting'!#REF!,0,IF('Proposed Lighting'!#REF!&gt;0.01,(K332*O332)*'Proposed Lighting'!#REF!/1000,(K332*O332)*U332/1000)))))))</f>
        <v>0</v>
      </c>
      <c r="AC332" s="1230" t="str">
        <f t="shared" si="72"/>
        <v/>
      </c>
      <c r="AD332" s="1230">
        <f t="shared" si="67"/>
        <v>0</v>
      </c>
      <c r="AE332" s="1230">
        <f>IF(T332=0,0,IF(K332&gt;'Proposed Lighting'!#REF!,0,IF(T332&gt;K332,0,IF(AND(AD332&gt;AA332,AA332&gt;0),0,IF(AND(F332&gt;1,W332&lt;0.01),0,IF('Proposed Lighting'!#REF!&gt;'Lighting Controls'!F332,0,IF('Proposed Lighting'!#REF!&lt;'Lighting Controls'!F332,0,IF(U332=0,0,Summary!#REF!))))))))</f>
        <v>0</v>
      </c>
      <c r="AF332" s="1230">
        <f>IF(T332=0,0,IF(AE332=0,0,IF(K332&gt;'Proposed Lighting'!#REF!,0,IF(AND(AD332&gt;AA332,AA332&gt;0),0,IF(U332=0,0,Summary!#REF!)))))</f>
        <v>0</v>
      </c>
      <c r="AG332" s="1834" t="e">
        <f>IF('Proposed Lighting'!#REF!=1,0,IF('Proposed Lighting'!#REF!=1,0,T332*W332))</f>
        <v>#REF!</v>
      </c>
      <c r="AH332" s="1834"/>
      <c r="AI332" s="1834"/>
      <c r="AJ332" s="1835">
        <f>IF(T332&lt;1,0,IF(K332&gt;'Proposed Lighting'!#REF!,0,IF('Proposed Lighting'!#REF!=1,0,IF('Proposed Lighting'!#REF!=1,0,IF(T332&gt;K332,0,IF(AND(AD332&gt;AA332,AA332&gt;0),0,IF(AND(F332=2,'Proposed Lighting'!#REF!=3),0,IF(AND(F332=3,'Proposed Lighting'!#REF!=2),0,IF('Proposed Lighting'!#REF!=100,0,IF(AND(F332&lt;3,V332=1,AM332=0),0,IF(AND(F332&gt;1,AF332&lt;1,AN332&lt;1),0,IF(AND(F332&gt;1,AE332&lt;0.69,AF332&lt;1,AN332&lt;1),0,IF(ISERROR(AB332-AC332),"",AB332-AC332)))))))))))))</f>
        <v>0</v>
      </c>
      <c r="AK332" s="1835"/>
      <c r="AL332" s="1835"/>
      <c r="AM332" s="1216">
        <f>IF(Q332=0,0,IF(T332=0,0,IF(T332&gt;K332,0,IF(AND(AS332&gt;0.01,BK332=0),0,IF(AND('Proposed Lighting'!#REF!=0,'Lighting Controls'!Z332=0.35),0,IF(AND(T332&lt;=K332,AA332&gt;=AD332,'Proposed Lighting'!#REF!=2),VLOOKUP(Q332,$AY$9:$AZ$15,2,FALSE),IF(AND(T332&lt;=K332,AA332&gt;=AD332,'Proposed Lighting'!#REF!=3),VLOOKUP(Q332,$AY$17:$AZ$23,2,FALSE))))))))</f>
        <v>0</v>
      </c>
      <c r="AN332" s="1248">
        <f>IF(T332=0,0,IF(K332&gt;'Proposed Lighting'!#REF!,0,IF(AE332=0,0,IF(AND(AD332&gt;AA332,AA332&gt;0),0,IF(U332=0,0,Summary!#REF!)))))</f>
        <v>0</v>
      </c>
      <c r="AO332" s="1248">
        <f t="shared" si="76"/>
        <v>0</v>
      </c>
      <c r="AP332" s="1249" t="e">
        <f>IF('Proposed Lighting'!#REF!=1,0,IF(K332=0,0,IF(T332&gt;K332,0,IF(G332=0,0,IF(K332&gt;'Proposed Lighting'!#REF!,0,IF(AND(AD332&gt;AA332,AA332&gt;0),0,IF(AND('Proposed Lighting'!#REF!=3,AM332=0.5),0,IF(AND(AM332&gt;0,AS332&gt;0,BI332&lt;2),0,IF('Proposed Lighting'!#REF!=100,0,IF(AV332=1,0,IF(AND(AM332=35,M332+N332&lt;2),0,AM332)))))))))))</f>
        <v>#REF!</v>
      </c>
      <c r="AQ332" s="1249" t="str">
        <f>IFERROR(ROUND(IF(Q332="","",IF('Proposed Lighting'!$X$4=0,0,IF(AND(AM332=35,M332+N332&lt;2),0,IF(T332&gt;K332,0,IF('Proposed Lighting'!#REF!=1,0,IF(AJ332=0,0,IF(AND('Proposed Lighting'!#REF!=3,AM332=0.5),0,IF(AND(AD332=75,AP332=0,AV332=0),0,IF(AP332&gt;0.01,AP332*T332,IF(AND(F332&gt;1,W332&lt;0.01),0,IF(AND(F332&gt;1,AO332=0),0,IF(AND('Proposed Lighting'!#REF!=22,AV332=0),0,IF(AND(AM332&gt;0,AS332&gt;0,BI332&lt;2),0,IF(AND(AS332&gt;0.01,BK332=0),0,IF(AND(AO332=TRUE,AV332=1,F332=3),MIN(AJ332*0.08,L332),IF(AP332&gt;0.01,AP332*T332,IF(AND(AO332=TRUE,AV332=1,F332=2),MIN(AJ332*0.1,L332)))))))))))))))))),2),"")</f>
        <v/>
      </c>
      <c r="AR332" s="1250">
        <f>IF(Q332=0,0,IF('Proposed Lighting'!$X$4=0,0,IF(AND(AM332&gt;0.01,AQ332&gt;0.01),0,IF('Proposed Lighting'!#REF!=1,"Missing Interior or Exterior Selection",IF('Proposed Lighting'!#REF!=1,"Selection does not match",IF(K332&gt;'Proposed Lighting'!#REF!,"Quantity controlled does not match proposed lighting quantity",IF(T332&gt;K332,"Quantity of sensors exceeds proposed lighting quantity",IF(AND(F332&gt;1,'Proposed Lighting'!#REF!&lt;&gt;F332),"Selection does not match",IF(AND(AD332&gt;AA332,AA332&gt;0),"Does not meet minimum connected load",IF(AND(O332&gt;0,AS332&gt;0,BK332&gt;0,'Proposed Lighting'!#REF!=0),"Select Control Strategies",IF(AND(AC332&gt;0.1,AJ332=0,AQ332=0),"Does not meet incentive criteria",0)))))))))))</f>
        <v>0</v>
      </c>
      <c r="AS332" s="1224" t="e">
        <f>IF('Proposed Lighting'!#REF!=100,0,IF(ISNUMBER(SEARCH("multiple",Q332)),1,0))</f>
        <v>#REF!</v>
      </c>
      <c r="AT332" s="451">
        <f t="shared" si="73"/>
        <v>0</v>
      </c>
      <c r="AU332" s="451" t="e">
        <f t="shared" si="74"/>
        <v>#REF!</v>
      </c>
      <c r="AV332" s="1222">
        <f>IF(ISNUMBER(SEARCH("Networked",'Proposed Lighting'!#REF!)),0,IF(ISNUMBER(SEARCH("Strategies",'Proposed Lighting'!#REF!)),0,IF(ISNUMBER(SEARCH("Removal",'Proposed Lighting'!#REF!)),0,IF(ISNUMBER(SEARCH("non-standard",Q332)),1,0))))</f>
        <v>0</v>
      </c>
      <c r="AW332" s="451">
        <f t="shared" si="64"/>
        <v>0</v>
      </c>
      <c r="AX332" s="451"/>
      <c r="AY332" s="451"/>
      <c r="AZ332" s="451"/>
      <c r="BA332" s="451"/>
      <c r="BB332" s="451"/>
      <c r="BC332" s="1215"/>
      <c r="BD332" s="1215"/>
      <c r="BE332" s="1215"/>
      <c r="BF332" s="1215"/>
      <c r="BG332" s="1215"/>
      <c r="BH332" s="1215"/>
      <c r="BI332" t="e">
        <f>IF(AND(AS332=1,BC332="No",BD332="Yes",BE332="Yes",BF332="No",BH332="No"),0,IF(AND('Proposed Lighting'!#REF!=2,AS332=1,BC332="Yes",BD332="Yes"),2,IF(AND('Proposed Lighting'!#REF!=2,AS332=1,BC332="Yes",BE332="Yes"),2,IF(AND('Proposed Lighting'!#REF!=2,AS332=1,BC332="Yes",BF332="Yes"),2,IF(AND('Proposed Lighting'!#REF!=2,AS332=1,BC332="Yes",BH332="Yes"),2,IF(AND('Proposed Lighting'!#REF!=2,AS332=1,BD332="Yes",BF332="Yes"),2,IF(AND('Proposed Lighting'!#REF!=2,AS332=1,BD332="Yes",BH332="Yes"),2,IF(AND('Proposed Lighting'!#REF!=3,AS332=1,BC332="Yes",BE332="Yes"),2,IF(AND('Proposed Lighting'!#REF!=3,AS332=1,BC332="Yes",BF332="Yes"),2,0)))))))))</f>
        <v>#REF!</v>
      </c>
      <c r="BJ332" s="1025" t="e">
        <f t="shared" si="75"/>
        <v>#REF!</v>
      </c>
      <c r="BK332" t="e">
        <f>IF(AND('Proposed Lighting'!#REF!=22,'Lighting Controls'!N332=1),0,IF(ISNUMBER(SEARCH("LED",G332)),1,0))</f>
        <v>#REF!</v>
      </c>
    </row>
    <row r="333" spans="1:63" ht="34.5" customHeight="1">
      <c r="A333" s="917">
        <v>325</v>
      </c>
      <c r="B333" s="1828" t="e">
        <f>IF('Proposed Lighting'!#REF!="","",'Proposed Lighting'!#REF!)</f>
        <v>#REF!</v>
      </c>
      <c r="C333" s="1828"/>
      <c r="D333" s="1828"/>
      <c r="E333" s="1245" t="e">
        <f>'Proposed Lighting'!#REF!</f>
        <v>#REF!</v>
      </c>
      <c r="F333" s="1245">
        <f t="shared" si="68"/>
        <v>0</v>
      </c>
      <c r="G333" s="1830" t="e">
        <f>IF('Proposed Lighting'!#REF!="","",IF(ISNUMBER(SEARCH("Networked",'Proposed Lighting'!#REF!)),0,IF(ISNUMBER(SEARCH("Strategies",'Proposed Lighting'!#REF!)),0,IF(ISNUMBER(SEARCH("Removal",'Proposed Lighting'!#REF!)),0,'Proposed Lighting'!#REF!))))</f>
        <v>#REF!</v>
      </c>
      <c r="H333" s="1830"/>
      <c r="I333" s="1830"/>
      <c r="J333" s="1830"/>
      <c r="K333" s="1215"/>
      <c r="L333" s="1246" t="e">
        <f t="shared" si="69"/>
        <v>#REF!</v>
      </c>
      <c r="M333" s="1224">
        <f t="shared" si="70"/>
        <v>0</v>
      </c>
      <c r="N333" s="1224">
        <f t="shared" si="71"/>
        <v>0</v>
      </c>
      <c r="O333" s="1825" t="e">
        <f>IF(G333=0,0,IF(ISNA('Proposed Lighting'!#REF!),0,'Proposed Lighting'!#REF!))</f>
        <v>#REF!</v>
      </c>
      <c r="P333" s="1825"/>
      <c r="Q333" s="1247"/>
      <c r="R333" s="1247"/>
      <c r="S333" s="1247"/>
      <c r="T333" s="1211"/>
      <c r="U333" s="1235">
        <f>IF(K333&gt;0.01,'Proposed Lighting'!#REF!,0)</f>
        <v>0</v>
      </c>
      <c r="V333" s="1248" t="e">
        <f>IF('Proposed Lighting'!#REF!=1,0,IF('Proposed Lighting'!#REF!=2,0,IF(AND('Proposed Lighting'!#REF!=3,'Proposed Lighting'!#REF!=0),1,0)))</f>
        <v>#REF!</v>
      </c>
      <c r="W333" s="1836"/>
      <c r="X333" s="1836"/>
      <c r="Y333" s="1836"/>
      <c r="Z333" s="1230" t="str">
        <f t="shared" si="65"/>
        <v/>
      </c>
      <c r="AA333" s="1230">
        <f t="shared" si="66"/>
        <v>0</v>
      </c>
      <c r="AB333" s="1230">
        <f>IF(Q333=0,0,IF(T333=0,0,IF(AA333=0,0,IF(AND(F333=3,V333=0),0,IF(T333=0,0,IF(K333&gt;'Proposed Lighting'!#REF!,0,IF('Proposed Lighting'!#REF!&gt;0.01,(K333*O333)*'Proposed Lighting'!#REF!/1000,(K333*O333)*U333/1000)))))))</f>
        <v>0</v>
      </c>
      <c r="AC333" s="1230" t="str">
        <f t="shared" si="72"/>
        <v/>
      </c>
      <c r="AD333" s="1230">
        <f t="shared" si="67"/>
        <v>0</v>
      </c>
      <c r="AE333" s="1230">
        <f>IF(T333=0,0,IF(K333&gt;'Proposed Lighting'!#REF!,0,IF(T333&gt;K333,0,IF(AND(AD333&gt;AA333,AA333&gt;0),0,IF(AND(F333&gt;1,W333&lt;0.01),0,IF('Proposed Lighting'!#REF!&gt;'Lighting Controls'!F333,0,IF('Proposed Lighting'!#REF!&lt;'Lighting Controls'!F333,0,IF(U333=0,0,Summary!#REF!))))))))</f>
        <v>0</v>
      </c>
      <c r="AF333" s="1230">
        <f>IF(T333=0,0,IF(AE333=0,0,IF(K333&gt;'Proposed Lighting'!#REF!,0,IF(AND(AD333&gt;AA333,AA333&gt;0),0,IF(U333=0,0,Summary!#REF!)))))</f>
        <v>0</v>
      </c>
      <c r="AG333" s="1834" t="e">
        <f>IF('Proposed Lighting'!#REF!=1,0,IF('Proposed Lighting'!#REF!=1,0,T333*W333))</f>
        <v>#REF!</v>
      </c>
      <c r="AH333" s="1834"/>
      <c r="AI333" s="1834"/>
      <c r="AJ333" s="1835">
        <f>IF(T333&lt;1,0,IF(K333&gt;'Proposed Lighting'!#REF!,0,IF('Proposed Lighting'!#REF!=1,0,IF('Proposed Lighting'!#REF!=1,0,IF(T333&gt;K333,0,IF(AND(AD333&gt;AA333,AA333&gt;0),0,IF(AND(F333=2,'Proposed Lighting'!#REF!=3),0,IF(AND(F333=3,'Proposed Lighting'!#REF!=2),0,IF('Proposed Lighting'!#REF!=100,0,IF(AND(F333&lt;3,V333=1,AM333=0),0,IF(AND(F333&gt;1,AF333&lt;1,AN333&lt;1),0,IF(AND(F333&gt;1,AE333&lt;0.69,AF333&lt;1,AN333&lt;1),0,IF(ISERROR(AB333-AC333),"",AB333-AC333)))))))))))))</f>
        <v>0</v>
      </c>
      <c r="AK333" s="1835"/>
      <c r="AL333" s="1835"/>
      <c r="AM333" s="1216">
        <f>IF(Q333=0,0,IF(T333=0,0,IF(T333&gt;K333,0,IF(AND(AS333&gt;0.01,BK333=0),0,IF(AND('Proposed Lighting'!#REF!=0,'Lighting Controls'!Z333=0.35),0,IF(AND(T333&lt;=K333,AA333&gt;=AD333,'Proposed Lighting'!#REF!=2),VLOOKUP(Q333,$AY$9:$AZ$15,2,FALSE),IF(AND(T333&lt;=K333,AA333&gt;=AD333,'Proposed Lighting'!#REF!=3),VLOOKUP(Q333,$AY$17:$AZ$23,2,FALSE))))))))</f>
        <v>0</v>
      </c>
      <c r="AN333" s="1248">
        <f>IF(T333=0,0,IF(K333&gt;'Proposed Lighting'!#REF!,0,IF(AE333=0,0,IF(AND(AD333&gt;AA333,AA333&gt;0),0,IF(U333=0,0,Summary!#REF!)))))</f>
        <v>0</v>
      </c>
      <c r="AO333" s="1248">
        <f t="shared" si="76"/>
        <v>0</v>
      </c>
      <c r="AP333" s="1249" t="e">
        <f>IF('Proposed Lighting'!#REF!=1,0,IF(K333=0,0,IF(T333&gt;K333,0,IF(G333=0,0,IF(K333&gt;'Proposed Lighting'!#REF!,0,IF(AND(AD333&gt;AA333,AA333&gt;0),0,IF(AND('Proposed Lighting'!#REF!=3,AM333=0.5),0,IF(AND(AM333&gt;0,AS333&gt;0,BI333&lt;2),0,IF('Proposed Lighting'!#REF!=100,0,IF(AV333=1,0,IF(AND(AM333=35,M333+N333&lt;2),0,AM333)))))))))))</f>
        <v>#REF!</v>
      </c>
      <c r="AQ333" s="1249" t="str">
        <f>IFERROR(ROUND(IF(Q333="","",IF('Proposed Lighting'!$X$4=0,0,IF(AND(AM333=35,M333+N333&lt;2),0,IF(T333&gt;K333,0,IF('Proposed Lighting'!#REF!=1,0,IF(AJ333=0,0,IF(AND('Proposed Lighting'!#REF!=3,AM333=0.5),0,IF(AND(AD333=75,AP333=0,AV333=0),0,IF(AP333&gt;0.01,AP333*T333,IF(AND(F333&gt;1,W333&lt;0.01),0,IF(AND(F333&gt;1,AO333=0),0,IF(AND('Proposed Lighting'!#REF!=22,AV333=0),0,IF(AND(AM333&gt;0,AS333&gt;0,BI333&lt;2),0,IF(AND(AS333&gt;0.01,BK333=0),0,IF(AND(AO333=TRUE,AV333=1,F333=3),MIN(AJ333*0.08,L333),IF(AP333&gt;0.01,AP333*T333,IF(AND(AO333=TRUE,AV333=1,F333=2),MIN(AJ333*0.1,L333)))))))))))))))))),2),"")</f>
        <v/>
      </c>
      <c r="AR333" s="1250">
        <f>IF(Q333=0,0,IF('Proposed Lighting'!$X$4=0,0,IF(AND(AM333&gt;0.01,AQ333&gt;0.01),0,IF('Proposed Lighting'!#REF!=1,"Missing Interior or Exterior Selection",IF('Proposed Lighting'!#REF!=1,"Selection does not match",IF(K333&gt;'Proposed Lighting'!#REF!,"Quantity controlled does not match proposed lighting quantity",IF(T333&gt;K333,"Quantity of sensors exceeds proposed lighting quantity",IF(AND(F333&gt;1,'Proposed Lighting'!#REF!&lt;&gt;F333),"Selection does not match",IF(AND(AD333&gt;AA333,AA333&gt;0),"Does not meet minimum connected load",IF(AND(O333&gt;0,AS333&gt;0,BK333&gt;0,'Proposed Lighting'!#REF!=0),"Select Control Strategies",IF(AND(AC333&gt;0.1,AJ333=0,AQ333=0),"Does not meet incentive criteria",0)))))))))))</f>
        <v>0</v>
      </c>
      <c r="AS333" s="1224" t="e">
        <f>IF('Proposed Lighting'!#REF!=100,0,IF(ISNUMBER(SEARCH("multiple",Q333)),1,0))</f>
        <v>#REF!</v>
      </c>
      <c r="AT333" s="451">
        <f t="shared" si="73"/>
        <v>0</v>
      </c>
      <c r="AU333" s="451" t="e">
        <f t="shared" si="74"/>
        <v>#REF!</v>
      </c>
      <c r="AV333" s="1222">
        <f>IF(ISNUMBER(SEARCH("Networked",'Proposed Lighting'!#REF!)),0,IF(ISNUMBER(SEARCH("Strategies",'Proposed Lighting'!#REF!)),0,IF(ISNUMBER(SEARCH("Removal",'Proposed Lighting'!#REF!)),0,IF(ISNUMBER(SEARCH("non-standard",Q333)),1,0))))</f>
        <v>0</v>
      </c>
      <c r="AW333" s="451">
        <f t="shared" si="64"/>
        <v>0</v>
      </c>
      <c r="AX333" s="451"/>
      <c r="AY333" s="451"/>
      <c r="AZ333" s="451"/>
      <c r="BA333" s="451"/>
      <c r="BB333" s="451"/>
      <c r="BC333" s="1215"/>
      <c r="BD333" s="1215"/>
      <c r="BE333" s="1215"/>
      <c r="BF333" s="1215"/>
      <c r="BG333" s="1215"/>
      <c r="BH333" s="1215"/>
      <c r="BI333" t="e">
        <f>IF(AND(AS333=1,BC333="No",BD333="Yes",BE333="Yes",BF333="No",BH333="No"),0,IF(AND('Proposed Lighting'!#REF!=2,AS333=1,BC333="Yes",BD333="Yes"),2,IF(AND('Proposed Lighting'!#REF!=2,AS333=1,BC333="Yes",BE333="Yes"),2,IF(AND('Proposed Lighting'!#REF!=2,AS333=1,BC333="Yes",BF333="Yes"),2,IF(AND('Proposed Lighting'!#REF!=2,AS333=1,BC333="Yes",BH333="Yes"),2,IF(AND('Proposed Lighting'!#REF!=2,AS333=1,BD333="Yes",BF333="Yes"),2,IF(AND('Proposed Lighting'!#REF!=2,AS333=1,BD333="Yes",BH333="Yes"),2,IF(AND('Proposed Lighting'!#REF!=3,AS333=1,BC333="Yes",BE333="Yes"),2,IF(AND('Proposed Lighting'!#REF!=3,AS333=1,BC333="Yes",BF333="Yes"),2,0)))))))))</f>
        <v>#REF!</v>
      </c>
      <c r="BJ333" s="1025" t="e">
        <f t="shared" si="75"/>
        <v>#REF!</v>
      </c>
      <c r="BK333" t="e">
        <f>IF(AND('Proposed Lighting'!#REF!=22,'Lighting Controls'!N333=1),0,IF(ISNUMBER(SEARCH("LED",G333)),1,0))</f>
        <v>#REF!</v>
      </c>
    </row>
    <row r="334" spans="1:63" ht="34.5" customHeight="1">
      <c r="A334" s="917">
        <v>326</v>
      </c>
      <c r="B334" s="1828" t="e">
        <f>IF('Proposed Lighting'!#REF!="","",'Proposed Lighting'!#REF!)</f>
        <v>#REF!</v>
      </c>
      <c r="C334" s="1828"/>
      <c r="D334" s="1828"/>
      <c r="E334" s="1245" t="e">
        <f>'Proposed Lighting'!#REF!</f>
        <v>#REF!</v>
      </c>
      <c r="F334" s="1245">
        <f t="shared" si="68"/>
        <v>0</v>
      </c>
      <c r="G334" s="1830" t="e">
        <f>IF('Proposed Lighting'!#REF!="","",IF(ISNUMBER(SEARCH("Networked",'Proposed Lighting'!#REF!)),0,IF(ISNUMBER(SEARCH("Strategies",'Proposed Lighting'!#REF!)),0,IF(ISNUMBER(SEARCH("Removal",'Proposed Lighting'!#REF!)),0,'Proposed Lighting'!#REF!))))</f>
        <v>#REF!</v>
      </c>
      <c r="H334" s="1830"/>
      <c r="I334" s="1830"/>
      <c r="J334" s="1830"/>
      <c r="K334" s="1215"/>
      <c r="L334" s="1246" t="e">
        <f t="shared" si="69"/>
        <v>#REF!</v>
      </c>
      <c r="M334" s="1224">
        <f t="shared" si="70"/>
        <v>0</v>
      </c>
      <c r="N334" s="1224">
        <f t="shared" si="71"/>
        <v>0</v>
      </c>
      <c r="O334" s="1825" t="e">
        <f>IF(G334=0,0,IF(ISNA('Proposed Lighting'!#REF!),0,'Proposed Lighting'!#REF!))</f>
        <v>#REF!</v>
      </c>
      <c r="P334" s="1825"/>
      <c r="Q334" s="1247"/>
      <c r="R334" s="1247"/>
      <c r="S334" s="1247"/>
      <c r="T334" s="1211"/>
      <c r="U334" s="1235">
        <f>IF(K334&gt;0.01,'Proposed Lighting'!#REF!,0)</f>
        <v>0</v>
      </c>
      <c r="V334" s="1248" t="e">
        <f>IF('Proposed Lighting'!#REF!=1,0,IF('Proposed Lighting'!#REF!=2,0,IF(AND('Proposed Lighting'!#REF!=3,'Proposed Lighting'!#REF!=0),1,0)))</f>
        <v>#REF!</v>
      </c>
      <c r="W334" s="1836"/>
      <c r="X334" s="1836"/>
      <c r="Y334" s="1836"/>
      <c r="Z334" s="1230" t="str">
        <f t="shared" si="65"/>
        <v/>
      </c>
      <c r="AA334" s="1230">
        <f t="shared" si="66"/>
        <v>0</v>
      </c>
      <c r="AB334" s="1230">
        <f>IF(Q334=0,0,IF(T334=0,0,IF(AA334=0,0,IF(AND(F334=3,V334=0),0,IF(T334=0,0,IF(K334&gt;'Proposed Lighting'!#REF!,0,IF('Proposed Lighting'!#REF!&gt;0.01,(K334*O334)*'Proposed Lighting'!#REF!/1000,(K334*O334)*U334/1000)))))))</f>
        <v>0</v>
      </c>
      <c r="AC334" s="1230" t="str">
        <f t="shared" si="72"/>
        <v/>
      </c>
      <c r="AD334" s="1230">
        <f t="shared" si="67"/>
        <v>0</v>
      </c>
      <c r="AE334" s="1230">
        <f>IF(T334=0,0,IF(K334&gt;'Proposed Lighting'!#REF!,0,IF(T334&gt;K334,0,IF(AND(AD334&gt;AA334,AA334&gt;0),0,IF(AND(F334&gt;1,W334&lt;0.01),0,IF('Proposed Lighting'!#REF!&gt;'Lighting Controls'!F334,0,IF('Proposed Lighting'!#REF!&lt;'Lighting Controls'!F334,0,IF(U334=0,0,Summary!#REF!))))))))</f>
        <v>0</v>
      </c>
      <c r="AF334" s="1230">
        <f>IF(T334=0,0,IF(AE334=0,0,IF(K334&gt;'Proposed Lighting'!#REF!,0,IF(AND(AD334&gt;AA334,AA334&gt;0),0,IF(U334=0,0,Summary!#REF!)))))</f>
        <v>0</v>
      </c>
      <c r="AG334" s="1834" t="e">
        <f>IF('Proposed Lighting'!#REF!=1,0,IF('Proposed Lighting'!#REF!=1,0,T334*W334))</f>
        <v>#REF!</v>
      </c>
      <c r="AH334" s="1834"/>
      <c r="AI334" s="1834"/>
      <c r="AJ334" s="1835">
        <f>IF(T334&lt;1,0,IF(K334&gt;'Proposed Lighting'!#REF!,0,IF('Proposed Lighting'!#REF!=1,0,IF('Proposed Lighting'!#REF!=1,0,IF(T334&gt;K334,0,IF(AND(AD334&gt;AA334,AA334&gt;0),0,IF(AND(F334=2,'Proposed Lighting'!#REF!=3),0,IF(AND(F334=3,'Proposed Lighting'!#REF!=2),0,IF('Proposed Lighting'!#REF!=100,0,IF(AND(F334&lt;3,V334=1,AM334=0),0,IF(AND(F334&gt;1,AF334&lt;1,AN334&lt;1),0,IF(AND(F334&gt;1,AE334&lt;0.69,AF334&lt;1,AN334&lt;1),0,IF(ISERROR(AB334-AC334),"",AB334-AC334)))))))))))))</f>
        <v>0</v>
      </c>
      <c r="AK334" s="1835"/>
      <c r="AL334" s="1835"/>
      <c r="AM334" s="1216">
        <f>IF(Q334=0,0,IF(T334=0,0,IF(T334&gt;K334,0,IF(AND(AS334&gt;0.01,BK334=0),0,IF(AND('Proposed Lighting'!#REF!=0,'Lighting Controls'!Z334=0.35),0,IF(AND(T334&lt;=K334,AA334&gt;=AD334,'Proposed Lighting'!#REF!=2),VLOOKUP(Q334,$AY$9:$AZ$15,2,FALSE),IF(AND(T334&lt;=K334,AA334&gt;=AD334,'Proposed Lighting'!#REF!=3),VLOOKUP(Q334,$AY$17:$AZ$23,2,FALSE))))))))</f>
        <v>0</v>
      </c>
      <c r="AN334" s="1248">
        <f>IF(T334=0,0,IF(K334&gt;'Proposed Lighting'!#REF!,0,IF(AE334=0,0,IF(AND(AD334&gt;AA334,AA334&gt;0),0,IF(U334=0,0,Summary!#REF!)))))</f>
        <v>0</v>
      </c>
      <c r="AO334" s="1248">
        <f t="shared" si="76"/>
        <v>0</v>
      </c>
      <c r="AP334" s="1249" t="e">
        <f>IF('Proposed Lighting'!#REF!=1,0,IF(K334=0,0,IF(T334&gt;K334,0,IF(G334=0,0,IF(K334&gt;'Proposed Lighting'!#REF!,0,IF(AND(AD334&gt;AA334,AA334&gt;0),0,IF(AND('Proposed Lighting'!#REF!=3,AM334=0.5),0,IF(AND(AM334&gt;0,AS334&gt;0,BI334&lt;2),0,IF('Proposed Lighting'!#REF!=100,0,IF(AV334=1,0,IF(AND(AM334=35,M334+N334&lt;2),0,AM334)))))))))))</f>
        <v>#REF!</v>
      </c>
      <c r="AQ334" s="1249" t="str">
        <f>IFERROR(ROUND(IF(Q334="","",IF('Proposed Lighting'!$X$4=0,0,IF(AND(AM334=35,M334+N334&lt;2),0,IF(T334&gt;K334,0,IF('Proposed Lighting'!#REF!=1,0,IF(AJ334=0,0,IF(AND('Proposed Lighting'!#REF!=3,AM334=0.5),0,IF(AND(AD334=75,AP334=0,AV334=0),0,IF(AP334&gt;0.01,AP334*T334,IF(AND(F334&gt;1,W334&lt;0.01),0,IF(AND(F334&gt;1,AO334=0),0,IF(AND('Proposed Lighting'!#REF!=22,AV334=0),0,IF(AND(AM334&gt;0,AS334&gt;0,BI334&lt;2),0,IF(AND(AS334&gt;0.01,BK334=0),0,IF(AND(AO334=TRUE,AV334=1,F334=3),MIN(AJ334*0.08,L334),IF(AP334&gt;0.01,AP334*T334,IF(AND(AO334=TRUE,AV334=1,F334=2),MIN(AJ334*0.1,L334)))))))))))))))))),2),"")</f>
        <v/>
      </c>
      <c r="AR334" s="1250">
        <f>IF(Q334=0,0,IF('Proposed Lighting'!$X$4=0,0,IF(AND(AM334&gt;0.01,AQ334&gt;0.01),0,IF('Proposed Lighting'!#REF!=1,"Missing Interior or Exterior Selection",IF('Proposed Lighting'!#REF!=1,"Selection does not match",IF(K334&gt;'Proposed Lighting'!#REF!,"Quantity controlled does not match proposed lighting quantity",IF(T334&gt;K334,"Quantity of sensors exceeds proposed lighting quantity",IF(AND(F334&gt;1,'Proposed Lighting'!#REF!&lt;&gt;F334),"Selection does not match",IF(AND(AD334&gt;AA334,AA334&gt;0),"Does not meet minimum connected load",IF(AND(O334&gt;0,AS334&gt;0,BK334&gt;0,'Proposed Lighting'!#REF!=0),"Select Control Strategies",IF(AND(AC334&gt;0.1,AJ334=0,AQ334=0),"Does not meet incentive criteria",0)))))))))))</f>
        <v>0</v>
      </c>
      <c r="AS334" s="1224" t="e">
        <f>IF('Proposed Lighting'!#REF!=100,0,IF(ISNUMBER(SEARCH("multiple",Q334)),1,0))</f>
        <v>#REF!</v>
      </c>
      <c r="AT334" s="451">
        <f t="shared" si="73"/>
        <v>0</v>
      </c>
      <c r="AU334" s="451" t="e">
        <f t="shared" si="74"/>
        <v>#REF!</v>
      </c>
      <c r="AV334" s="1222">
        <f>IF(ISNUMBER(SEARCH("Networked",'Proposed Lighting'!#REF!)),0,IF(ISNUMBER(SEARCH("Strategies",'Proposed Lighting'!#REF!)),0,IF(ISNUMBER(SEARCH("Removal",'Proposed Lighting'!#REF!)),0,IF(ISNUMBER(SEARCH("non-standard",Q334)),1,0))))</f>
        <v>0</v>
      </c>
      <c r="AW334" s="451">
        <f t="shared" si="64"/>
        <v>0</v>
      </c>
      <c r="AX334" s="451"/>
      <c r="AY334" s="451"/>
      <c r="AZ334" s="451"/>
      <c r="BA334" s="451"/>
      <c r="BB334" s="451"/>
      <c r="BC334" s="1215"/>
      <c r="BD334" s="1215"/>
      <c r="BE334" s="1215"/>
      <c r="BF334" s="1215"/>
      <c r="BG334" s="1215"/>
      <c r="BH334" s="1215"/>
      <c r="BI334" t="e">
        <f>IF(AND(AS334=1,BC334="No",BD334="Yes",BE334="Yes",BF334="No",BH334="No"),0,IF(AND('Proposed Lighting'!#REF!=2,AS334=1,BC334="Yes",BD334="Yes"),2,IF(AND('Proposed Lighting'!#REF!=2,AS334=1,BC334="Yes",BE334="Yes"),2,IF(AND('Proposed Lighting'!#REF!=2,AS334=1,BC334="Yes",BF334="Yes"),2,IF(AND('Proposed Lighting'!#REF!=2,AS334=1,BC334="Yes",BH334="Yes"),2,IF(AND('Proposed Lighting'!#REF!=2,AS334=1,BD334="Yes",BF334="Yes"),2,IF(AND('Proposed Lighting'!#REF!=2,AS334=1,BD334="Yes",BH334="Yes"),2,IF(AND('Proposed Lighting'!#REF!=3,AS334=1,BC334="Yes",BE334="Yes"),2,IF(AND('Proposed Lighting'!#REF!=3,AS334=1,BC334="Yes",BF334="Yes"),2,0)))))))))</f>
        <v>#REF!</v>
      </c>
      <c r="BJ334" s="1025" t="e">
        <f t="shared" si="75"/>
        <v>#REF!</v>
      </c>
      <c r="BK334" t="e">
        <f>IF(AND('Proposed Lighting'!#REF!=22,'Lighting Controls'!N334=1),0,IF(ISNUMBER(SEARCH("LED",G334)),1,0))</f>
        <v>#REF!</v>
      </c>
    </row>
    <row r="335" spans="1:63" ht="34.5" customHeight="1">
      <c r="A335" s="917">
        <v>327</v>
      </c>
      <c r="B335" s="1828" t="e">
        <f>IF('Proposed Lighting'!#REF!="","",'Proposed Lighting'!#REF!)</f>
        <v>#REF!</v>
      </c>
      <c r="C335" s="1828"/>
      <c r="D335" s="1828"/>
      <c r="E335" s="1245" t="e">
        <f>'Proposed Lighting'!#REF!</f>
        <v>#REF!</v>
      </c>
      <c r="F335" s="1245">
        <f t="shared" si="68"/>
        <v>0</v>
      </c>
      <c r="G335" s="1830" t="e">
        <f>IF('Proposed Lighting'!#REF!="","",IF(ISNUMBER(SEARCH("Networked",'Proposed Lighting'!#REF!)),0,IF(ISNUMBER(SEARCH("Strategies",'Proposed Lighting'!#REF!)),0,IF(ISNUMBER(SEARCH("Removal",'Proposed Lighting'!#REF!)),0,'Proposed Lighting'!#REF!))))</f>
        <v>#REF!</v>
      </c>
      <c r="H335" s="1830"/>
      <c r="I335" s="1830"/>
      <c r="J335" s="1830"/>
      <c r="K335" s="1215"/>
      <c r="L335" s="1246" t="e">
        <f t="shared" si="69"/>
        <v>#REF!</v>
      </c>
      <c r="M335" s="1224">
        <f t="shared" si="70"/>
        <v>0</v>
      </c>
      <c r="N335" s="1224">
        <f t="shared" si="71"/>
        <v>0</v>
      </c>
      <c r="O335" s="1825" t="e">
        <f>IF(G335=0,0,IF(ISNA('Proposed Lighting'!#REF!),0,'Proposed Lighting'!#REF!))</f>
        <v>#REF!</v>
      </c>
      <c r="P335" s="1825"/>
      <c r="Q335" s="1247"/>
      <c r="R335" s="1247"/>
      <c r="S335" s="1247"/>
      <c r="T335" s="1211"/>
      <c r="U335" s="1235">
        <f>IF(K335&gt;0.01,'Proposed Lighting'!#REF!,0)</f>
        <v>0</v>
      </c>
      <c r="V335" s="1248" t="e">
        <f>IF('Proposed Lighting'!#REF!=1,0,IF('Proposed Lighting'!#REF!=2,0,IF(AND('Proposed Lighting'!#REF!=3,'Proposed Lighting'!#REF!=0),1,0)))</f>
        <v>#REF!</v>
      </c>
      <c r="W335" s="1836"/>
      <c r="X335" s="1836"/>
      <c r="Y335" s="1836"/>
      <c r="Z335" s="1230" t="str">
        <f t="shared" si="65"/>
        <v/>
      </c>
      <c r="AA335" s="1230">
        <f t="shared" si="66"/>
        <v>0</v>
      </c>
      <c r="AB335" s="1230">
        <f>IF(Q335=0,0,IF(T335=0,0,IF(AA335=0,0,IF(AND(F335=3,V335=0),0,IF(T335=0,0,IF(K335&gt;'Proposed Lighting'!#REF!,0,IF('Proposed Lighting'!#REF!&gt;0.01,(K335*O335)*'Proposed Lighting'!#REF!/1000,(K335*O335)*U335/1000)))))))</f>
        <v>0</v>
      </c>
      <c r="AC335" s="1230" t="str">
        <f t="shared" si="72"/>
        <v/>
      </c>
      <c r="AD335" s="1230">
        <f t="shared" si="67"/>
        <v>0</v>
      </c>
      <c r="AE335" s="1230">
        <f>IF(T335=0,0,IF(K335&gt;'Proposed Lighting'!#REF!,0,IF(T335&gt;K335,0,IF(AND(AD335&gt;AA335,AA335&gt;0),0,IF(AND(F335&gt;1,W335&lt;0.01),0,IF('Proposed Lighting'!#REF!&gt;'Lighting Controls'!F335,0,IF('Proposed Lighting'!#REF!&lt;'Lighting Controls'!F335,0,IF(U335=0,0,Summary!#REF!))))))))</f>
        <v>0</v>
      </c>
      <c r="AF335" s="1230">
        <f>IF(T335=0,0,IF(AE335=0,0,IF(K335&gt;'Proposed Lighting'!#REF!,0,IF(AND(AD335&gt;AA335,AA335&gt;0),0,IF(U335=0,0,Summary!#REF!)))))</f>
        <v>0</v>
      </c>
      <c r="AG335" s="1834" t="e">
        <f>IF('Proposed Lighting'!#REF!=1,0,IF('Proposed Lighting'!#REF!=1,0,T335*W335))</f>
        <v>#REF!</v>
      </c>
      <c r="AH335" s="1834"/>
      <c r="AI335" s="1834"/>
      <c r="AJ335" s="1835">
        <f>IF(T335&lt;1,0,IF(K335&gt;'Proposed Lighting'!#REF!,0,IF('Proposed Lighting'!#REF!=1,0,IF('Proposed Lighting'!#REF!=1,0,IF(T335&gt;K335,0,IF(AND(AD335&gt;AA335,AA335&gt;0),0,IF(AND(F335=2,'Proposed Lighting'!#REF!=3),0,IF(AND(F335=3,'Proposed Lighting'!#REF!=2),0,IF('Proposed Lighting'!#REF!=100,0,IF(AND(F335&lt;3,V335=1,AM335=0),0,IF(AND(F335&gt;1,AF335&lt;1,AN335&lt;1),0,IF(AND(F335&gt;1,AE335&lt;0.69,AF335&lt;1,AN335&lt;1),0,IF(ISERROR(AB335-AC335),"",AB335-AC335)))))))))))))</f>
        <v>0</v>
      </c>
      <c r="AK335" s="1835"/>
      <c r="AL335" s="1835"/>
      <c r="AM335" s="1216">
        <f>IF(Q335=0,0,IF(T335=0,0,IF(T335&gt;K335,0,IF(AND(AS335&gt;0.01,BK335=0),0,IF(AND('Proposed Lighting'!#REF!=0,'Lighting Controls'!Z335=0.35),0,IF(AND(T335&lt;=K335,AA335&gt;=AD335,'Proposed Lighting'!#REF!=2),VLOOKUP(Q335,$AY$9:$AZ$15,2,FALSE),IF(AND(T335&lt;=K335,AA335&gt;=AD335,'Proposed Lighting'!#REF!=3),VLOOKUP(Q335,$AY$17:$AZ$23,2,FALSE))))))))</f>
        <v>0</v>
      </c>
      <c r="AN335" s="1248">
        <f>IF(T335=0,0,IF(K335&gt;'Proposed Lighting'!#REF!,0,IF(AE335=0,0,IF(AND(AD335&gt;AA335,AA335&gt;0),0,IF(U335=0,0,Summary!#REF!)))))</f>
        <v>0</v>
      </c>
      <c r="AO335" s="1248">
        <f t="shared" si="76"/>
        <v>0</v>
      </c>
      <c r="AP335" s="1249" t="e">
        <f>IF('Proposed Lighting'!#REF!=1,0,IF(K335=0,0,IF(T335&gt;K335,0,IF(G335=0,0,IF(K335&gt;'Proposed Lighting'!#REF!,0,IF(AND(AD335&gt;AA335,AA335&gt;0),0,IF(AND('Proposed Lighting'!#REF!=3,AM335=0.5),0,IF(AND(AM335&gt;0,AS335&gt;0,BI335&lt;2),0,IF('Proposed Lighting'!#REF!=100,0,IF(AV335=1,0,IF(AND(AM335=35,M335+N335&lt;2),0,AM335)))))))))))</f>
        <v>#REF!</v>
      </c>
      <c r="AQ335" s="1249" t="str">
        <f>IFERROR(ROUND(IF(Q335="","",IF('Proposed Lighting'!$X$4=0,0,IF(AND(AM335=35,M335+N335&lt;2),0,IF(T335&gt;K335,0,IF('Proposed Lighting'!#REF!=1,0,IF(AJ335=0,0,IF(AND('Proposed Lighting'!#REF!=3,AM335=0.5),0,IF(AND(AD335=75,AP335=0,AV335=0),0,IF(AP335&gt;0.01,AP335*T335,IF(AND(F335&gt;1,W335&lt;0.01),0,IF(AND(F335&gt;1,AO335=0),0,IF(AND('Proposed Lighting'!#REF!=22,AV335=0),0,IF(AND(AM335&gt;0,AS335&gt;0,BI335&lt;2),0,IF(AND(AS335&gt;0.01,BK335=0),0,IF(AND(AO335=TRUE,AV335=1,F335=3),MIN(AJ335*0.08,L335),IF(AP335&gt;0.01,AP335*T335,IF(AND(AO335=TRUE,AV335=1,F335=2),MIN(AJ335*0.1,L335)))))))))))))))))),2),"")</f>
        <v/>
      </c>
      <c r="AR335" s="1250">
        <f>IF(Q335=0,0,IF('Proposed Lighting'!$X$4=0,0,IF(AND(AM335&gt;0.01,AQ335&gt;0.01),0,IF('Proposed Lighting'!#REF!=1,"Missing Interior or Exterior Selection",IF('Proposed Lighting'!#REF!=1,"Selection does not match",IF(K335&gt;'Proposed Lighting'!#REF!,"Quantity controlled does not match proposed lighting quantity",IF(T335&gt;K335,"Quantity of sensors exceeds proposed lighting quantity",IF(AND(F335&gt;1,'Proposed Lighting'!#REF!&lt;&gt;F335),"Selection does not match",IF(AND(AD335&gt;AA335,AA335&gt;0),"Does not meet minimum connected load",IF(AND(O335&gt;0,AS335&gt;0,BK335&gt;0,'Proposed Lighting'!#REF!=0),"Select Control Strategies",IF(AND(AC335&gt;0.1,AJ335=0,AQ335=0),"Does not meet incentive criteria",0)))))))))))</f>
        <v>0</v>
      </c>
      <c r="AS335" s="1224" t="e">
        <f>IF('Proposed Lighting'!#REF!=100,0,IF(ISNUMBER(SEARCH("multiple",Q335)),1,0))</f>
        <v>#REF!</v>
      </c>
      <c r="AT335" s="451">
        <f t="shared" si="73"/>
        <v>0</v>
      </c>
      <c r="AU335" s="451" t="e">
        <f t="shared" si="74"/>
        <v>#REF!</v>
      </c>
      <c r="AV335" s="1222">
        <f>IF(ISNUMBER(SEARCH("Networked",'Proposed Lighting'!#REF!)),0,IF(ISNUMBER(SEARCH("Strategies",'Proposed Lighting'!#REF!)),0,IF(ISNUMBER(SEARCH("Removal",'Proposed Lighting'!#REF!)),0,IF(ISNUMBER(SEARCH("non-standard",Q335)),1,0))))</f>
        <v>0</v>
      </c>
      <c r="AW335" s="451">
        <f t="shared" si="64"/>
        <v>0</v>
      </c>
      <c r="AX335" s="451"/>
      <c r="AY335" s="451"/>
      <c r="AZ335" s="451"/>
      <c r="BA335" s="451"/>
      <c r="BB335" s="451"/>
      <c r="BC335" s="1215"/>
      <c r="BD335" s="1215"/>
      <c r="BE335" s="1215"/>
      <c r="BF335" s="1215"/>
      <c r="BG335" s="1215"/>
      <c r="BH335" s="1215"/>
      <c r="BI335" t="e">
        <f>IF(AND(AS335=1,BC335="No",BD335="Yes",BE335="Yes",BF335="No",BH335="No"),0,IF(AND('Proposed Lighting'!#REF!=2,AS335=1,BC335="Yes",BD335="Yes"),2,IF(AND('Proposed Lighting'!#REF!=2,AS335=1,BC335="Yes",BE335="Yes"),2,IF(AND('Proposed Lighting'!#REF!=2,AS335=1,BC335="Yes",BF335="Yes"),2,IF(AND('Proposed Lighting'!#REF!=2,AS335=1,BC335="Yes",BH335="Yes"),2,IF(AND('Proposed Lighting'!#REF!=2,AS335=1,BD335="Yes",BF335="Yes"),2,IF(AND('Proposed Lighting'!#REF!=2,AS335=1,BD335="Yes",BH335="Yes"),2,IF(AND('Proposed Lighting'!#REF!=3,AS335=1,BC335="Yes",BE335="Yes"),2,IF(AND('Proposed Lighting'!#REF!=3,AS335=1,BC335="Yes",BF335="Yes"),2,0)))))))))</f>
        <v>#REF!</v>
      </c>
      <c r="BJ335" s="1025" t="e">
        <f t="shared" si="75"/>
        <v>#REF!</v>
      </c>
      <c r="BK335" t="e">
        <f>IF(AND('Proposed Lighting'!#REF!=22,'Lighting Controls'!N335=1),0,IF(ISNUMBER(SEARCH("LED",G335)),1,0))</f>
        <v>#REF!</v>
      </c>
    </row>
    <row r="336" spans="1:63" ht="34.5" customHeight="1">
      <c r="A336" s="917">
        <v>328</v>
      </c>
      <c r="B336" s="1828" t="e">
        <f>IF('Proposed Lighting'!#REF!="","",'Proposed Lighting'!#REF!)</f>
        <v>#REF!</v>
      </c>
      <c r="C336" s="1828"/>
      <c r="D336" s="1828"/>
      <c r="E336" s="1245" t="e">
        <f>'Proposed Lighting'!#REF!</f>
        <v>#REF!</v>
      </c>
      <c r="F336" s="1245">
        <f t="shared" si="68"/>
        <v>0</v>
      </c>
      <c r="G336" s="1830" t="e">
        <f>IF('Proposed Lighting'!#REF!="","",IF(ISNUMBER(SEARCH("Networked",'Proposed Lighting'!#REF!)),0,IF(ISNUMBER(SEARCH("Strategies",'Proposed Lighting'!#REF!)),0,IF(ISNUMBER(SEARCH("Removal",'Proposed Lighting'!#REF!)),0,'Proposed Lighting'!#REF!))))</f>
        <v>#REF!</v>
      </c>
      <c r="H336" s="1830"/>
      <c r="I336" s="1830"/>
      <c r="J336" s="1830"/>
      <c r="K336" s="1215"/>
      <c r="L336" s="1246" t="e">
        <f t="shared" si="69"/>
        <v>#REF!</v>
      </c>
      <c r="M336" s="1224">
        <f t="shared" si="70"/>
        <v>0</v>
      </c>
      <c r="N336" s="1224">
        <f t="shared" si="71"/>
        <v>0</v>
      </c>
      <c r="O336" s="1825" t="e">
        <f>IF(G336=0,0,IF(ISNA('Proposed Lighting'!#REF!),0,'Proposed Lighting'!#REF!))</f>
        <v>#REF!</v>
      </c>
      <c r="P336" s="1825"/>
      <c r="Q336" s="1247"/>
      <c r="R336" s="1247"/>
      <c r="S336" s="1247"/>
      <c r="T336" s="1211"/>
      <c r="U336" s="1235">
        <f>IF(K336&gt;0.01,'Proposed Lighting'!#REF!,0)</f>
        <v>0</v>
      </c>
      <c r="V336" s="1248" t="e">
        <f>IF('Proposed Lighting'!#REF!=1,0,IF('Proposed Lighting'!#REF!=2,0,IF(AND('Proposed Lighting'!#REF!=3,'Proposed Lighting'!#REF!=0),1,0)))</f>
        <v>#REF!</v>
      </c>
      <c r="W336" s="1836"/>
      <c r="X336" s="1836"/>
      <c r="Y336" s="1836"/>
      <c r="Z336" s="1230" t="str">
        <f t="shared" si="65"/>
        <v/>
      </c>
      <c r="AA336" s="1230">
        <f t="shared" si="66"/>
        <v>0</v>
      </c>
      <c r="AB336" s="1230">
        <f>IF(Q336=0,0,IF(T336=0,0,IF(AA336=0,0,IF(AND(F336=3,V336=0),0,IF(T336=0,0,IF(K336&gt;'Proposed Lighting'!#REF!,0,IF('Proposed Lighting'!#REF!&gt;0.01,(K336*O336)*'Proposed Lighting'!#REF!/1000,(K336*O336)*U336/1000)))))))</f>
        <v>0</v>
      </c>
      <c r="AC336" s="1230" t="str">
        <f t="shared" si="72"/>
        <v/>
      </c>
      <c r="AD336" s="1230">
        <f t="shared" si="67"/>
        <v>0</v>
      </c>
      <c r="AE336" s="1230">
        <f>IF(T336=0,0,IF(K336&gt;'Proposed Lighting'!#REF!,0,IF(T336&gt;K336,0,IF(AND(AD336&gt;AA336,AA336&gt;0),0,IF(AND(F336&gt;1,W336&lt;0.01),0,IF('Proposed Lighting'!#REF!&gt;'Lighting Controls'!F336,0,IF('Proposed Lighting'!#REF!&lt;'Lighting Controls'!F336,0,IF(U336=0,0,Summary!#REF!))))))))</f>
        <v>0</v>
      </c>
      <c r="AF336" s="1230">
        <f>IF(T336=0,0,IF(AE336=0,0,IF(K336&gt;'Proposed Lighting'!#REF!,0,IF(AND(AD336&gt;AA336,AA336&gt;0),0,IF(U336=0,0,Summary!#REF!)))))</f>
        <v>0</v>
      </c>
      <c r="AG336" s="1834" t="e">
        <f>IF('Proposed Lighting'!#REF!=1,0,IF('Proposed Lighting'!#REF!=1,0,T336*W336))</f>
        <v>#REF!</v>
      </c>
      <c r="AH336" s="1834"/>
      <c r="AI336" s="1834"/>
      <c r="AJ336" s="1835">
        <f>IF(T336&lt;1,0,IF(K336&gt;'Proposed Lighting'!#REF!,0,IF('Proposed Lighting'!#REF!=1,0,IF('Proposed Lighting'!#REF!=1,0,IF(T336&gt;K336,0,IF(AND(AD336&gt;AA336,AA336&gt;0),0,IF(AND(F336=2,'Proposed Lighting'!#REF!=3),0,IF(AND(F336=3,'Proposed Lighting'!#REF!=2),0,IF('Proposed Lighting'!#REF!=100,0,IF(AND(F336&lt;3,V336=1,AM336=0),0,IF(AND(F336&gt;1,AF336&lt;1,AN336&lt;1),0,IF(AND(F336&gt;1,AE336&lt;0.69,AF336&lt;1,AN336&lt;1),0,IF(ISERROR(AB336-AC336),"",AB336-AC336)))))))))))))</f>
        <v>0</v>
      </c>
      <c r="AK336" s="1835"/>
      <c r="AL336" s="1835"/>
      <c r="AM336" s="1216">
        <f>IF(Q336=0,0,IF(T336=0,0,IF(T336&gt;K336,0,IF(AND(AS336&gt;0.01,BK336=0),0,IF(AND('Proposed Lighting'!#REF!=0,'Lighting Controls'!Z336=0.35),0,IF(AND(T336&lt;=K336,AA336&gt;=AD336,'Proposed Lighting'!#REF!=2),VLOOKUP(Q336,$AY$9:$AZ$15,2,FALSE),IF(AND(T336&lt;=K336,AA336&gt;=AD336,'Proposed Lighting'!#REF!=3),VLOOKUP(Q336,$AY$17:$AZ$23,2,FALSE))))))))</f>
        <v>0</v>
      </c>
      <c r="AN336" s="1248">
        <f>IF(T336=0,0,IF(K336&gt;'Proposed Lighting'!#REF!,0,IF(AE336=0,0,IF(AND(AD336&gt;AA336,AA336&gt;0),0,IF(U336=0,0,Summary!#REF!)))))</f>
        <v>0</v>
      </c>
      <c r="AO336" s="1248">
        <f t="shared" si="76"/>
        <v>0</v>
      </c>
      <c r="AP336" s="1249" t="e">
        <f>IF('Proposed Lighting'!#REF!=1,0,IF(K336=0,0,IF(T336&gt;K336,0,IF(G336=0,0,IF(K336&gt;'Proposed Lighting'!#REF!,0,IF(AND(AD336&gt;AA336,AA336&gt;0),0,IF(AND('Proposed Lighting'!#REF!=3,AM336=0.5),0,IF(AND(AM336&gt;0,AS336&gt;0,BI336&lt;2),0,IF('Proposed Lighting'!#REF!=100,0,IF(AV336=1,0,IF(AND(AM336=35,M336+N336&lt;2),0,AM336)))))))))))</f>
        <v>#REF!</v>
      </c>
      <c r="AQ336" s="1249" t="str">
        <f>IFERROR(ROUND(IF(Q336="","",IF('Proposed Lighting'!$X$4=0,0,IF(AND(AM336=35,M336+N336&lt;2),0,IF(T336&gt;K336,0,IF('Proposed Lighting'!#REF!=1,0,IF(AJ336=0,0,IF(AND('Proposed Lighting'!#REF!=3,AM336=0.5),0,IF(AND(AD336=75,AP336=0,AV336=0),0,IF(AP336&gt;0.01,AP336*T336,IF(AND(F336&gt;1,W336&lt;0.01),0,IF(AND(F336&gt;1,AO336=0),0,IF(AND('Proposed Lighting'!#REF!=22,AV336=0),0,IF(AND(AM336&gt;0,AS336&gt;0,BI336&lt;2),0,IF(AND(AS336&gt;0.01,BK336=0),0,IF(AND(AO336=TRUE,AV336=1,F336=3),MIN(AJ336*0.08,L336),IF(AP336&gt;0.01,AP336*T336,IF(AND(AO336=TRUE,AV336=1,F336=2),MIN(AJ336*0.1,L336)))))))))))))))))),2),"")</f>
        <v/>
      </c>
      <c r="AR336" s="1250">
        <f>IF(Q336=0,0,IF('Proposed Lighting'!$X$4=0,0,IF(AND(AM336&gt;0.01,AQ336&gt;0.01),0,IF('Proposed Lighting'!#REF!=1,"Missing Interior or Exterior Selection",IF('Proposed Lighting'!#REF!=1,"Selection does not match",IF(K336&gt;'Proposed Lighting'!#REF!,"Quantity controlled does not match proposed lighting quantity",IF(T336&gt;K336,"Quantity of sensors exceeds proposed lighting quantity",IF(AND(F336&gt;1,'Proposed Lighting'!#REF!&lt;&gt;F336),"Selection does not match",IF(AND(AD336&gt;AA336,AA336&gt;0),"Does not meet minimum connected load",IF(AND(O336&gt;0,AS336&gt;0,BK336&gt;0,'Proposed Lighting'!#REF!=0),"Select Control Strategies",IF(AND(AC336&gt;0.1,AJ336=0,AQ336=0),"Does not meet incentive criteria",0)))))))))))</f>
        <v>0</v>
      </c>
      <c r="AS336" s="1224" t="e">
        <f>IF('Proposed Lighting'!#REF!=100,0,IF(ISNUMBER(SEARCH("multiple",Q336)),1,0))</f>
        <v>#REF!</v>
      </c>
      <c r="AT336" s="451">
        <f t="shared" si="73"/>
        <v>0</v>
      </c>
      <c r="AU336" s="451" t="e">
        <f t="shared" si="74"/>
        <v>#REF!</v>
      </c>
      <c r="AV336" s="1222">
        <f>IF(ISNUMBER(SEARCH("Networked",'Proposed Lighting'!#REF!)),0,IF(ISNUMBER(SEARCH("Strategies",'Proposed Lighting'!#REF!)),0,IF(ISNUMBER(SEARCH("Removal",'Proposed Lighting'!#REF!)),0,IF(ISNUMBER(SEARCH("non-standard",Q336)),1,0))))</f>
        <v>0</v>
      </c>
      <c r="AW336" s="451">
        <f t="shared" si="64"/>
        <v>0</v>
      </c>
      <c r="AX336" s="451"/>
      <c r="AY336" s="451"/>
      <c r="AZ336" s="451"/>
      <c r="BA336" s="451"/>
      <c r="BB336" s="451"/>
      <c r="BC336" s="1215"/>
      <c r="BD336" s="1215"/>
      <c r="BE336" s="1215"/>
      <c r="BF336" s="1215"/>
      <c r="BG336" s="1215"/>
      <c r="BH336" s="1215"/>
      <c r="BI336" t="e">
        <f>IF(AND(AS336=1,BC336="No",BD336="Yes",BE336="Yes",BF336="No",BH336="No"),0,IF(AND('Proposed Lighting'!#REF!=2,AS336=1,BC336="Yes",BD336="Yes"),2,IF(AND('Proposed Lighting'!#REF!=2,AS336=1,BC336="Yes",BE336="Yes"),2,IF(AND('Proposed Lighting'!#REF!=2,AS336=1,BC336="Yes",BF336="Yes"),2,IF(AND('Proposed Lighting'!#REF!=2,AS336=1,BC336="Yes",BH336="Yes"),2,IF(AND('Proposed Lighting'!#REF!=2,AS336=1,BD336="Yes",BF336="Yes"),2,IF(AND('Proposed Lighting'!#REF!=2,AS336=1,BD336="Yes",BH336="Yes"),2,IF(AND('Proposed Lighting'!#REF!=3,AS336=1,BC336="Yes",BE336="Yes"),2,IF(AND('Proposed Lighting'!#REF!=3,AS336=1,BC336="Yes",BF336="Yes"),2,0)))))))))</f>
        <v>#REF!</v>
      </c>
      <c r="BJ336" s="1025" t="e">
        <f t="shared" si="75"/>
        <v>#REF!</v>
      </c>
      <c r="BK336" t="e">
        <f>IF(AND('Proposed Lighting'!#REF!=22,'Lighting Controls'!N336=1),0,IF(ISNUMBER(SEARCH("LED",G336)),1,0))</f>
        <v>#REF!</v>
      </c>
    </row>
    <row r="337" spans="1:63" ht="34.5" customHeight="1">
      <c r="A337" s="917">
        <v>329</v>
      </c>
      <c r="B337" s="1828" t="e">
        <f>IF('Proposed Lighting'!#REF!="","",'Proposed Lighting'!#REF!)</f>
        <v>#REF!</v>
      </c>
      <c r="C337" s="1828"/>
      <c r="D337" s="1828"/>
      <c r="E337" s="1245" t="e">
        <f>'Proposed Lighting'!#REF!</f>
        <v>#REF!</v>
      </c>
      <c r="F337" s="1245">
        <f t="shared" si="68"/>
        <v>0</v>
      </c>
      <c r="G337" s="1830" t="e">
        <f>IF('Proposed Lighting'!#REF!="","",IF(ISNUMBER(SEARCH("Networked",'Proposed Lighting'!#REF!)),0,IF(ISNUMBER(SEARCH("Strategies",'Proposed Lighting'!#REF!)),0,IF(ISNUMBER(SEARCH("Removal",'Proposed Lighting'!#REF!)),0,'Proposed Lighting'!#REF!))))</f>
        <v>#REF!</v>
      </c>
      <c r="H337" s="1830"/>
      <c r="I337" s="1830"/>
      <c r="J337" s="1830"/>
      <c r="K337" s="1215"/>
      <c r="L337" s="1246" t="e">
        <f t="shared" si="69"/>
        <v>#REF!</v>
      </c>
      <c r="M337" s="1224">
        <f t="shared" si="70"/>
        <v>0</v>
      </c>
      <c r="N337" s="1224">
        <f t="shared" si="71"/>
        <v>0</v>
      </c>
      <c r="O337" s="1825" t="e">
        <f>IF(G337=0,0,IF(ISNA('Proposed Lighting'!#REF!),0,'Proposed Lighting'!#REF!))</f>
        <v>#REF!</v>
      </c>
      <c r="P337" s="1825"/>
      <c r="Q337" s="1247"/>
      <c r="R337" s="1247"/>
      <c r="S337" s="1247"/>
      <c r="T337" s="1211"/>
      <c r="U337" s="1235">
        <f>IF(K337&gt;0.01,'Proposed Lighting'!#REF!,0)</f>
        <v>0</v>
      </c>
      <c r="V337" s="1248" t="e">
        <f>IF('Proposed Lighting'!#REF!=1,0,IF('Proposed Lighting'!#REF!=2,0,IF(AND('Proposed Lighting'!#REF!=3,'Proposed Lighting'!#REF!=0),1,0)))</f>
        <v>#REF!</v>
      </c>
      <c r="W337" s="1836"/>
      <c r="X337" s="1836"/>
      <c r="Y337" s="1836"/>
      <c r="Z337" s="1230" t="str">
        <f t="shared" si="65"/>
        <v/>
      </c>
      <c r="AA337" s="1230">
        <f t="shared" si="66"/>
        <v>0</v>
      </c>
      <c r="AB337" s="1230">
        <f>IF(Q337=0,0,IF(T337=0,0,IF(AA337=0,0,IF(AND(F337=3,V337=0),0,IF(T337=0,0,IF(K337&gt;'Proposed Lighting'!#REF!,0,IF('Proposed Lighting'!#REF!&gt;0.01,(K337*O337)*'Proposed Lighting'!#REF!/1000,(K337*O337)*U337/1000)))))))</f>
        <v>0</v>
      </c>
      <c r="AC337" s="1230" t="str">
        <f t="shared" si="72"/>
        <v/>
      </c>
      <c r="AD337" s="1230">
        <f t="shared" si="67"/>
        <v>0</v>
      </c>
      <c r="AE337" s="1230">
        <f>IF(T337=0,0,IF(K337&gt;'Proposed Lighting'!#REF!,0,IF(T337&gt;K337,0,IF(AND(AD337&gt;AA337,AA337&gt;0),0,IF(AND(F337&gt;1,W337&lt;0.01),0,IF('Proposed Lighting'!#REF!&gt;'Lighting Controls'!F337,0,IF('Proposed Lighting'!#REF!&lt;'Lighting Controls'!F337,0,IF(U337=0,0,Summary!#REF!))))))))</f>
        <v>0</v>
      </c>
      <c r="AF337" s="1230">
        <f>IF(T337=0,0,IF(AE337=0,0,IF(K337&gt;'Proposed Lighting'!#REF!,0,IF(AND(AD337&gt;AA337,AA337&gt;0),0,IF(U337=0,0,Summary!#REF!)))))</f>
        <v>0</v>
      </c>
      <c r="AG337" s="1834" t="e">
        <f>IF('Proposed Lighting'!#REF!=1,0,IF('Proposed Lighting'!#REF!=1,0,T337*W337))</f>
        <v>#REF!</v>
      </c>
      <c r="AH337" s="1834"/>
      <c r="AI337" s="1834"/>
      <c r="AJ337" s="1835">
        <f>IF(T337&lt;1,0,IF(K337&gt;'Proposed Lighting'!#REF!,0,IF('Proposed Lighting'!#REF!=1,0,IF('Proposed Lighting'!#REF!=1,0,IF(T337&gt;K337,0,IF(AND(AD337&gt;AA337,AA337&gt;0),0,IF(AND(F337=2,'Proposed Lighting'!#REF!=3),0,IF(AND(F337=3,'Proposed Lighting'!#REF!=2),0,IF('Proposed Lighting'!#REF!=100,0,IF(AND(F337&lt;3,V337=1,AM337=0),0,IF(AND(F337&gt;1,AF337&lt;1,AN337&lt;1),0,IF(AND(F337&gt;1,AE337&lt;0.69,AF337&lt;1,AN337&lt;1),0,IF(ISERROR(AB337-AC337),"",AB337-AC337)))))))))))))</f>
        <v>0</v>
      </c>
      <c r="AK337" s="1835"/>
      <c r="AL337" s="1835"/>
      <c r="AM337" s="1216">
        <f>IF(Q337=0,0,IF(T337=0,0,IF(T337&gt;K337,0,IF(AND(AS337&gt;0.01,BK337=0),0,IF(AND('Proposed Lighting'!#REF!=0,'Lighting Controls'!Z337=0.35),0,IF(AND(T337&lt;=K337,AA337&gt;=AD337,'Proposed Lighting'!#REF!=2),VLOOKUP(Q337,$AY$9:$AZ$15,2,FALSE),IF(AND(T337&lt;=K337,AA337&gt;=AD337,'Proposed Lighting'!#REF!=3),VLOOKUP(Q337,$AY$17:$AZ$23,2,FALSE))))))))</f>
        <v>0</v>
      </c>
      <c r="AN337" s="1248">
        <f>IF(T337=0,0,IF(K337&gt;'Proposed Lighting'!#REF!,0,IF(AE337=0,0,IF(AND(AD337&gt;AA337,AA337&gt;0),0,IF(U337=0,0,Summary!#REF!)))))</f>
        <v>0</v>
      </c>
      <c r="AO337" s="1248">
        <f t="shared" si="76"/>
        <v>0</v>
      </c>
      <c r="AP337" s="1249" t="e">
        <f>IF('Proposed Lighting'!#REF!=1,0,IF(K337=0,0,IF(T337&gt;K337,0,IF(G337=0,0,IF(K337&gt;'Proposed Lighting'!#REF!,0,IF(AND(AD337&gt;AA337,AA337&gt;0),0,IF(AND('Proposed Lighting'!#REF!=3,AM337=0.5),0,IF(AND(AM337&gt;0,AS337&gt;0,BI337&lt;2),0,IF('Proposed Lighting'!#REF!=100,0,IF(AV337=1,0,IF(AND(AM337=35,M337+N337&lt;2),0,AM337)))))))))))</f>
        <v>#REF!</v>
      </c>
      <c r="AQ337" s="1249" t="str">
        <f>IFERROR(ROUND(IF(Q337="","",IF('Proposed Lighting'!$X$4=0,0,IF(AND(AM337=35,M337+N337&lt;2),0,IF(T337&gt;K337,0,IF('Proposed Lighting'!#REF!=1,0,IF(AJ337=0,0,IF(AND('Proposed Lighting'!#REF!=3,AM337=0.5),0,IF(AND(AD337=75,AP337=0,AV337=0),0,IF(AP337&gt;0.01,AP337*T337,IF(AND(F337&gt;1,W337&lt;0.01),0,IF(AND(F337&gt;1,AO337=0),0,IF(AND('Proposed Lighting'!#REF!=22,AV337=0),0,IF(AND(AM337&gt;0,AS337&gt;0,BI337&lt;2),0,IF(AND(AS337&gt;0.01,BK337=0),0,IF(AND(AO337=TRUE,AV337=1,F337=3),MIN(AJ337*0.08,L337),IF(AP337&gt;0.01,AP337*T337,IF(AND(AO337=TRUE,AV337=1,F337=2),MIN(AJ337*0.1,L337)))))))))))))))))),2),"")</f>
        <v/>
      </c>
      <c r="AR337" s="1250">
        <f>IF(Q337=0,0,IF('Proposed Lighting'!$X$4=0,0,IF(AND(AM337&gt;0.01,AQ337&gt;0.01),0,IF('Proposed Lighting'!#REF!=1,"Missing Interior or Exterior Selection",IF('Proposed Lighting'!#REF!=1,"Selection does not match",IF(K337&gt;'Proposed Lighting'!#REF!,"Quantity controlled does not match proposed lighting quantity",IF(T337&gt;K337,"Quantity of sensors exceeds proposed lighting quantity",IF(AND(F337&gt;1,'Proposed Lighting'!#REF!&lt;&gt;F337),"Selection does not match",IF(AND(AD337&gt;AA337,AA337&gt;0),"Does not meet minimum connected load",IF(AND(O337&gt;0,AS337&gt;0,BK337&gt;0,'Proposed Lighting'!#REF!=0),"Select Control Strategies",IF(AND(AC337&gt;0.1,AJ337=0,AQ337=0),"Does not meet incentive criteria",0)))))))))))</f>
        <v>0</v>
      </c>
      <c r="AS337" s="1224" t="e">
        <f>IF('Proposed Lighting'!#REF!=100,0,IF(ISNUMBER(SEARCH("multiple",Q337)),1,0))</f>
        <v>#REF!</v>
      </c>
      <c r="AT337" s="451">
        <f t="shared" si="73"/>
        <v>0</v>
      </c>
      <c r="AU337" s="451" t="e">
        <f t="shared" si="74"/>
        <v>#REF!</v>
      </c>
      <c r="AV337" s="1222">
        <f>IF(ISNUMBER(SEARCH("Networked",'Proposed Lighting'!#REF!)),0,IF(ISNUMBER(SEARCH("Strategies",'Proposed Lighting'!#REF!)),0,IF(ISNUMBER(SEARCH("Removal",'Proposed Lighting'!#REF!)),0,IF(ISNUMBER(SEARCH("non-standard",Q337)),1,0))))</f>
        <v>0</v>
      </c>
      <c r="AW337" s="451">
        <f t="shared" ref="AW337:AW400" si="77">IF(AQ330&gt;0.01,AJ330,0)</f>
        <v>0</v>
      </c>
      <c r="AX337" s="451"/>
      <c r="AY337" s="451"/>
      <c r="AZ337" s="451"/>
      <c r="BA337" s="451"/>
      <c r="BB337" s="451"/>
      <c r="BC337" s="1215"/>
      <c r="BD337" s="1215"/>
      <c r="BE337" s="1215"/>
      <c r="BF337" s="1215"/>
      <c r="BG337" s="1215"/>
      <c r="BH337" s="1215"/>
      <c r="BI337" t="e">
        <f>IF(AND(AS337=1,BC337="No",BD337="Yes",BE337="Yes",BF337="No",BH337="No"),0,IF(AND('Proposed Lighting'!#REF!=2,AS337=1,BC337="Yes",BD337="Yes"),2,IF(AND('Proposed Lighting'!#REF!=2,AS337=1,BC337="Yes",BE337="Yes"),2,IF(AND('Proposed Lighting'!#REF!=2,AS337=1,BC337="Yes",BF337="Yes"),2,IF(AND('Proposed Lighting'!#REF!=2,AS337=1,BC337="Yes",BH337="Yes"),2,IF(AND('Proposed Lighting'!#REF!=2,AS337=1,BD337="Yes",BF337="Yes"),2,IF(AND('Proposed Lighting'!#REF!=2,AS337=1,BD337="Yes",BH337="Yes"),2,IF(AND('Proposed Lighting'!#REF!=3,AS337=1,BC337="Yes",BE337="Yes"),2,IF(AND('Proposed Lighting'!#REF!=3,AS337=1,BC337="Yes",BF337="Yes"),2,0)))))))))</f>
        <v>#REF!</v>
      </c>
      <c r="BJ337" s="1025" t="e">
        <f t="shared" si="75"/>
        <v>#REF!</v>
      </c>
      <c r="BK337" t="e">
        <f>IF(AND('Proposed Lighting'!#REF!=22,'Lighting Controls'!N337=1),0,IF(ISNUMBER(SEARCH("LED",G337)),1,0))</f>
        <v>#REF!</v>
      </c>
    </row>
    <row r="338" spans="1:63" ht="34.5" customHeight="1">
      <c r="A338" s="917">
        <v>330</v>
      </c>
      <c r="B338" s="1828" t="e">
        <f>IF('Proposed Lighting'!#REF!="","",'Proposed Lighting'!#REF!)</f>
        <v>#REF!</v>
      </c>
      <c r="C338" s="1828"/>
      <c r="D338" s="1828"/>
      <c r="E338" s="1245" t="e">
        <f>'Proposed Lighting'!#REF!</f>
        <v>#REF!</v>
      </c>
      <c r="F338" s="1245">
        <f t="shared" si="68"/>
        <v>0</v>
      </c>
      <c r="G338" s="1830" t="e">
        <f>IF('Proposed Lighting'!#REF!="","",IF(ISNUMBER(SEARCH("Networked",'Proposed Lighting'!#REF!)),0,IF(ISNUMBER(SEARCH("Strategies",'Proposed Lighting'!#REF!)),0,IF(ISNUMBER(SEARCH("Removal",'Proposed Lighting'!#REF!)),0,'Proposed Lighting'!#REF!))))</f>
        <v>#REF!</v>
      </c>
      <c r="H338" s="1830"/>
      <c r="I338" s="1830"/>
      <c r="J338" s="1830"/>
      <c r="K338" s="1215"/>
      <c r="L338" s="1246" t="e">
        <f t="shared" si="69"/>
        <v>#REF!</v>
      </c>
      <c r="M338" s="1224">
        <f t="shared" si="70"/>
        <v>0</v>
      </c>
      <c r="N338" s="1224">
        <f t="shared" si="71"/>
        <v>0</v>
      </c>
      <c r="O338" s="1825" t="e">
        <f>IF(G338=0,0,IF(ISNA('Proposed Lighting'!#REF!),0,'Proposed Lighting'!#REF!))</f>
        <v>#REF!</v>
      </c>
      <c r="P338" s="1825"/>
      <c r="Q338" s="1247"/>
      <c r="R338" s="1247"/>
      <c r="S338" s="1247"/>
      <c r="T338" s="1211"/>
      <c r="U338" s="1235">
        <f>IF(K338&gt;0.01,'Proposed Lighting'!#REF!,0)</f>
        <v>0</v>
      </c>
      <c r="V338" s="1248" t="e">
        <f>IF('Proposed Lighting'!#REF!=1,0,IF('Proposed Lighting'!#REF!=2,0,IF(AND('Proposed Lighting'!#REF!=3,'Proposed Lighting'!#REF!=0),1,0)))</f>
        <v>#REF!</v>
      </c>
      <c r="W338" s="1836"/>
      <c r="X338" s="1836"/>
      <c r="Y338" s="1836"/>
      <c r="Z338" s="1230" t="str">
        <f t="shared" si="65"/>
        <v/>
      </c>
      <c r="AA338" s="1230">
        <f t="shared" si="66"/>
        <v>0</v>
      </c>
      <c r="AB338" s="1230">
        <f>IF(Q338=0,0,IF(T338=0,0,IF(AA338=0,0,IF(AND(F338=3,V338=0),0,IF(T338=0,0,IF(K338&gt;'Proposed Lighting'!#REF!,0,IF('Proposed Lighting'!#REF!&gt;0.01,(K338*O338)*'Proposed Lighting'!#REF!/1000,(K338*O338)*U338/1000)))))))</f>
        <v>0</v>
      </c>
      <c r="AC338" s="1230" t="str">
        <f t="shared" si="72"/>
        <v/>
      </c>
      <c r="AD338" s="1230">
        <f t="shared" si="67"/>
        <v>0</v>
      </c>
      <c r="AE338" s="1230">
        <f>IF(T338=0,0,IF(K338&gt;'Proposed Lighting'!#REF!,0,IF(T338&gt;K338,0,IF(AND(AD338&gt;AA338,AA338&gt;0),0,IF(AND(F338&gt;1,W338&lt;0.01),0,IF('Proposed Lighting'!#REF!&gt;'Lighting Controls'!F338,0,IF('Proposed Lighting'!#REF!&lt;'Lighting Controls'!F338,0,IF(U338=0,0,Summary!#REF!))))))))</f>
        <v>0</v>
      </c>
      <c r="AF338" s="1230">
        <f>IF(T338=0,0,IF(AE338=0,0,IF(K338&gt;'Proposed Lighting'!#REF!,0,IF(AND(AD338&gt;AA338,AA338&gt;0),0,IF(U338=0,0,Summary!#REF!)))))</f>
        <v>0</v>
      </c>
      <c r="AG338" s="1834" t="e">
        <f>IF('Proposed Lighting'!#REF!=1,0,IF('Proposed Lighting'!#REF!=1,0,T338*W338))</f>
        <v>#REF!</v>
      </c>
      <c r="AH338" s="1834"/>
      <c r="AI338" s="1834"/>
      <c r="AJ338" s="1835">
        <f>IF(T338&lt;1,0,IF(K338&gt;'Proposed Lighting'!#REF!,0,IF('Proposed Lighting'!#REF!=1,0,IF('Proposed Lighting'!#REF!=1,0,IF(T338&gt;K338,0,IF(AND(AD338&gt;AA338,AA338&gt;0),0,IF(AND(F338=2,'Proposed Lighting'!#REF!=3),0,IF(AND(F338=3,'Proposed Lighting'!#REF!=2),0,IF('Proposed Lighting'!#REF!=100,0,IF(AND(F338&lt;3,V338=1,AM338=0),0,IF(AND(F338&gt;1,AF338&lt;1,AN338&lt;1),0,IF(AND(F338&gt;1,AE338&lt;0.69,AF338&lt;1,AN338&lt;1),0,IF(ISERROR(AB338-AC338),"",AB338-AC338)))))))))))))</f>
        <v>0</v>
      </c>
      <c r="AK338" s="1835"/>
      <c r="AL338" s="1835"/>
      <c r="AM338" s="1216">
        <f>IF(Q338=0,0,IF(T338=0,0,IF(T338&gt;K338,0,IF(AND(AS338&gt;0.01,BK338=0),0,IF(AND('Proposed Lighting'!#REF!=0,'Lighting Controls'!Z338=0.35),0,IF(AND(T338&lt;=K338,AA338&gt;=AD338,'Proposed Lighting'!#REF!=2),VLOOKUP(Q338,$AY$9:$AZ$15,2,FALSE),IF(AND(T338&lt;=K338,AA338&gt;=AD338,'Proposed Lighting'!#REF!=3),VLOOKUP(Q338,$AY$17:$AZ$23,2,FALSE))))))))</f>
        <v>0</v>
      </c>
      <c r="AN338" s="1248">
        <f>IF(T338=0,0,IF(K338&gt;'Proposed Lighting'!#REF!,0,IF(AE338=0,0,IF(AND(AD338&gt;AA338,AA338&gt;0),0,IF(U338=0,0,Summary!#REF!)))))</f>
        <v>0</v>
      </c>
      <c r="AO338" s="1248">
        <f t="shared" si="76"/>
        <v>0</v>
      </c>
      <c r="AP338" s="1249" t="e">
        <f>IF('Proposed Lighting'!#REF!=1,0,IF(K338=0,0,IF(T338&gt;K338,0,IF(G338=0,0,IF(K338&gt;'Proposed Lighting'!#REF!,0,IF(AND(AD338&gt;AA338,AA338&gt;0),0,IF(AND('Proposed Lighting'!#REF!=3,AM338=0.5),0,IF(AND(AM338&gt;0,AS338&gt;0,BI338&lt;2),0,IF('Proposed Lighting'!#REF!=100,0,IF(AV338=1,0,IF(AND(AM338=35,M338+N338&lt;2),0,AM338)))))))))))</f>
        <v>#REF!</v>
      </c>
      <c r="AQ338" s="1249" t="str">
        <f>IFERROR(ROUND(IF(Q338="","",IF('Proposed Lighting'!$X$4=0,0,IF(AND(AM338=35,M338+N338&lt;2),0,IF(T338&gt;K338,0,IF('Proposed Lighting'!#REF!=1,0,IF(AJ338=0,0,IF(AND('Proposed Lighting'!#REF!=3,AM338=0.5),0,IF(AND(AD338=75,AP338=0,AV338=0),0,IF(AP338&gt;0.01,AP338*T338,IF(AND(F338&gt;1,W338&lt;0.01),0,IF(AND(F338&gt;1,AO338=0),0,IF(AND('Proposed Lighting'!#REF!=22,AV338=0),0,IF(AND(AM338&gt;0,AS338&gt;0,BI338&lt;2),0,IF(AND(AS338&gt;0.01,BK338=0),0,IF(AND(AO338=TRUE,AV338=1,F338=3),MIN(AJ338*0.08,L338),IF(AP338&gt;0.01,AP338*T338,IF(AND(AO338=TRUE,AV338=1,F338=2),MIN(AJ338*0.1,L338)))))))))))))))))),2),"")</f>
        <v/>
      </c>
      <c r="AR338" s="1250">
        <f>IF(Q338=0,0,IF('Proposed Lighting'!$X$4=0,0,IF(AND(AM338&gt;0.01,AQ338&gt;0.01),0,IF('Proposed Lighting'!#REF!=1,"Missing Interior or Exterior Selection",IF('Proposed Lighting'!#REF!=1,"Selection does not match",IF(K338&gt;'Proposed Lighting'!#REF!,"Quantity controlled does not match proposed lighting quantity",IF(T338&gt;K338,"Quantity of sensors exceeds proposed lighting quantity",IF(AND(F338&gt;1,'Proposed Lighting'!#REF!&lt;&gt;F338),"Selection does not match",IF(AND(AD338&gt;AA338,AA338&gt;0),"Does not meet minimum connected load",IF(AND(O338&gt;0,AS338&gt;0,BK338&gt;0,'Proposed Lighting'!#REF!=0),"Select Control Strategies",IF(AND(AC338&gt;0.1,AJ338=0,AQ338=0),"Does not meet incentive criteria",0)))))))))))</f>
        <v>0</v>
      </c>
      <c r="AS338" s="1224" t="e">
        <f>IF('Proposed Lighting'!#REF!=100,0,IF(ISNUMBER(SEARCH("multiple",Q338)),1,0))</f>
        <v>#REF!</v>
      </c>
      <c r="AT338" s="451">
        <f t="shared" si="73"/>
        <v>0</v>
      </c>
      <c r="AU338" s="451" t="e">
        <f t="shared" si="74"/>
        <v>#REF!</v>
      </c>
      <c r="AV338" s="1222">
        <f>IF(ISNUMBER(SEARCH("Networked",'Proposed Lighting'!#REF!)),0,IF(ISNUMBER(SEARCH("Strategies",'Proposed Lighting'!#REF!)),0,IF(ISNUMBER(SEARCH("Removal",'Proposed Lighting'!#REF!)),0,IF(ISNUMBER(SEARCH("non-standard",Q338)),1,0))))</f>
        <v>0</v>
      </c>
      <c r="AW338" s="451">
        <f t="shared" si="77"/>
        <v>0</v>
      </c>
      <c r="AX338" s="451"/>
      <c r="AY338" s="451"/>
      <c r="AZ338" s="451"/>
      <c r="BA338" s="451"/>
      <c r="BB338" s="451"/>
      <c r="BC338" s="1215"/>
      <c r="BD338" s="1215"/>
      <c r="BE338" s="1215"/>
      <c r="BF338" s="1215"/>
      <c r="BG338" s="1215"/>
      <c r="BH338" s="1215"/>
      <c r="BI338" t="e">
        <f>IF(AND(AS338=1,BC338="No",BD338="Yes",BE338="Yes",BF338="No",BH338="No"),0,IF(AND('Proposed Lighting'!#REF!=2,AS338=1,BC338="Yes",BD338="Yes"),2,IF(AND('Proposed Lighting'!#REF!=2,AS338=1,BC338="Yes",BE338="Yes"),2,IF(AND('Proposed Lighting'!#REF!=2,AS338=1,BC338="Yes",BF338="Yes"),2,IF(AND('Proposed Lighting'!#REF!=2,AS338=1,BC338="Yes",BH338="Yes"),2,IF(AND('Proposed Lighting'!#REF!=2,AS338=1,BD338="Yes",BF338="Yes"),2,IF(AND('Proposed Lighting'!#REF!=2,AS338=1,BD338="Yes",BH338="Yes"),2,IF(AND('Proposed Lighting'!#REF!=3,AS338=1,BC338="Yes",BE338="Yes"),2,IF(AND('Proposed Lighting'!#REF!=3,AS338=1,BC338="Yes",BF338="Yes"),2,0)))))))))</f>
        <v>#REF!</v>
      </c>
      <c r="BJ338" s="1025" t="e">
        <f t="shared" si="75"/>
        <v>#REF!</v>
      </c>
      <c r="BK338" t="e">
        <f>IF(AND('Proposed Lighting'!#REF!=22,'Lighting Controls'!N338=1),0,IF(ISNUMBER(SEARCH("LED",G338)),1,0))</f>
        <v>#REF!</v>
      </c>
    </row>
    <row r="339" spans="1:63" ht="34.5" customHeight="1">
      <c r="A339" s="917">
        <v>331</v>
      </c>
      <c r="B339" s="1828" t="e">
        <f>IF('Proposed Lighting'!#REF!="","",'Proposed Lighting'!#REF!)</f>
        <v>#REF!</v>
      </c>
      <c r="C339" s="1828"/>
      <c r="D339" s="1828"/>
      <c r="E339" s="1245" t="e">
        <f>'Proposed Lighting'!#REF!</f>
        <v>#REF!</v>
      </c>
      <c r="F339" s="1245">
        <f t="shared" si="68"/>
        <v>0</v>
      </c>
      <c r="G339" s="1830" t="e">
        <f>IF('Proposed Lighting'!#REF!="","",IF(ISNUMBER(SEARCH("Networked",'Proposed Lighting'!#REF!)),0,IF(ISNUMBER(SEARCH("Strategies",'Proposed Lighting'!#REF!)),0,IF(ISNUMBER(SEARCH("Removal",'Proposed Lighting'!#REF!)),0,'Proposed Lighting'!#REF!))))</f>
        <v>#REF!</v>
      </c>
      <c r="H339" s="1830"/>
      <c r="I339" s="1830"/>
      <c r="J339" s="1830"/>
      <c r="K339" s="1215"/>
      <c r="L339" s="1246" t="e">
        <f t="shared" si="69"/>
        <v>#REF!</v>
      </c>
      <c r="M339" s="1224">
        <f t="shared" si="70"/>
        <v>0</v>
      </c>
      <c r="N339" s="1224">
        <f t="shared" si="71"/>
        <v>0</v>
      </c>
      <c r="O339" s="1825" t="e">
        <f>IF(G339=0,0,IF(ISNA('Proposed Lighting'!#REF!),0,'Proposed Lighting'!#REF!))</f>
        <v>#REF!</v>
      </c>
      <c r="P339" s="1825"/>
      <c r="Q339" s="1247"/>
      <c r="R339" s="1247"/>
      <c r="S339" s="1247"/>
      <c r="T339" s="1211"/>
      <c r="U339" s="1235">
        <f>IF(K339&gt;0.01,'Proposed Lighting'!#REF!,0)</f>
        <v>0</v>
      </c>
      <c r="V339" s="1248" t="e">
        <f>IF('Proposed Lighting'!#REF!=1,0,IF('Proposed Lighting'!#REF!=2,0,IF(AND('Proposed Lighting'!#REF!=3,'Proposed Lighting'!#REF!=0),1,0)))</f>
        <v>#REF!</v>
      </c>
      <c r="W339" s="1836"/>
      <c r="X339" s="1836"/>
      <c r="Y339" s="1836"/>
      <c r="Z339" s="1230" t="str">
        <f t="shared" si="65"/>
        <v/>
      </c>
      <c r="AA339" s="1230">
        <f t="shared" si="66"/>
        <v>0</v>
      </c>
      <c r="AB339" s="1230">
        <f>IF(Q339=0,0,IF(T339=0,0,IF(AA339=0,0,IF(AND(F339=3,V339=0),0,IF(T339=0,0,IF(K339&gt;'Proposed Lighting'!#REF!,0,IF('Proposed Lighting'!#REF!&gt;0.01,(K339*O339)*'Proposed Lighting'!#REF!/1000,(K339*O339)*U339/1000)))))))</f>
        <v>0</v>
      </c>
      <c r="AC339" s="1230" t="str">
        <f t="shared" si="72"/>
        <v/>
      </c>
      <c r="AD339" s="1230">
        <f t="shared" si="67"/>
        <v>0</v>
      </c>
      <c r="AE339" s="1230">
        <f>IF(T339=0,0,IF(K339&gt;'Proposed Lighting'!#REF!,0,IF(T339&gt;K339,0,IF(AND(AD339&gt;AA339,AA339&gt;0),0,IF(AND(F339&gt;1,W339&lt;0.01),0,IF('Proposed Lighting'!#REF!&gt;'Lighting Controls'!F339,0,IF('Proposed Lighting'!#REF!&lt;'Lighting Controls'!F339,0,IF(U339=0,0,Summary!#REF!))))))))</f>
        <v>0</v>
      </c>
      <c r="AF339" s="1230">
        <f>IF(T339=0,0,IF(AE339=0,0,IF(K339&gt;'Proposed Lighting'!#REF!,0,IF(AND(AD339&gt;AA339,AA339&gt;0),0,IF(U339=0,0,Summary!#REF!)))))</f>
        <v>0</v>
      </c>
      <c r="AG339" s="1834" t="e">
        <f>IF('Proposed Lighting'!#REF!=1,0,IF('Proposed Lighting'!#REF!=1,0,T339*W339))</f>
        <v>#REF!</v>
      </c>
      <c r="AH339" s="1834"/>
      <c r="AI339" s="1834"/>
      <c r="AJ339" s="1835">
        <f>IF(T339&lt;1,0,IF(K339&gt;'Proposed Lighting'!#REF!,0,IF('Proposed Lighting'!#REF!=1,0,IF('Proposed Lighting'!#REF!=1,0,IF(T339&gt;K339,0,IF(AND(AD339&gt;AA339,AA339&gt;0),0,IF(AND(F339=2,'Proposed Lighting'!#REF!=3),0,IF(AND(F339=3,'Proposed Lighting'!#REF!=2),0,IF('Proposed Lighting'!#REF!=100,0,IF(AND(F339&lt;3,V339=1,AM339=0),0,IF(AND(F339&gt;1,AF339&lt;1,AN339&lt;1),0,IF(AND(F339&gt;1,AE339&lt;0.69,AF339&lt;1,AN339&lt;1),0,IF(ISERROR(AB339-AC339),"",AB339-AC339)))))))))))))</f>
        <v>0</v>
      </c>
      <c r="AK339" s="1835"/>
      <c r="AL339" s="1835"/>
      <c r="AM339" s="1216">
        <f>IF(Q339=0,0,IF(T339=0,0,IF(T339&gt;K339,0,IF(AND(AS339&gt;0.01,BK339=0),0,IF(AND('Proposed Lighting'!#REF!=0,'Lighting Controls'!Z339=0.35),0,IF(AND(T339&lt;=K339,AA339&gt;=AD339,'Proposed Lighting'!#REF!=2),VLOOKUP(Q339,$AY$9:$AZ$15,2,FALSE),IF(AND(T339&lt;=K339,AA339&gt;=AD339,'Proposed Lighting'!#REF!=3),VLOOKUP(Q339,$AY$17:$AZ$23,2,FALSE))))))))</f>
        <v>0</v>
      </c>
      <c r="AN339" s="1248">
        <f>IF(T339=0,0,IF(K339&gt;'Proposed Lighting'!#REF!,0,IF(AE339=0,0,IF(AND(AD339&gt;AA339,AA339&gt;0),0,IF(U339=0,0,Summary!#REF!)))))</f>
        <v>0</v>
      </c>
      <c r="AO339" s="1248">
        <f t="shared" si="76"/>
        <v>0</v>
      </c>
      <c r="AP339" s="1249" t="e">
        <f>IF('Proposed Lighting'!#REF!=1,0,IF(K339=0,0,IF(T339&gt;K339,0,IF(G339=0,0,IF(K339&gt;'Proposed Lighting'!#REF!,0,IF(AND(AD339&gt;AA339,AA339&gt;0),0,IF(AND('Proposed Lighting'!#REF!=3,AM339=0.5),0,IF(AND(AM339&gt;0,AS339&gt;0,BI339&lt;2),0,IF('Proposed Lighting'!#REF!=100,0,IF(AV339=1,0,IF(AND(AM339=35,M339+N339&lt;2),0,AM339)))))))))))</f>
        <v>#REF!</v>
      </c>
      <c r="AQ339" s="1249" t="str">
        <f>IFERROR(ROUND(IF(Q339="","",IF('Proposed Lighting'!$X$4=0,0,IF(AND(AM339=35,M339+N339&lt;2),0,IF(T339&gt;K339,0,IF('Proposed Lighting'!#REF!=1,0,IF(AJ339=0,0,IF(AND('Proposed Lighting'!#REF!=3,AM339=0.5),0,IF(AND(AD339=75,AP339=0,AV339=0),0,IF(AP339&gt;0.01,AP339*T339,IF(AND(F339&gt;1,W339&lt;0.01),0,IF(AND(F339&gt;1,AO339=0),0,IF(AND('Proposed Lighting'!#REF!=22,AV339=0),0,IF(AND(AM339&gt;0,AS339&gt;0,BI339&lt;2),0,IF(AND(AS339&gt;0.01,BK339=0),0,IF(AND(AO339=TRUE,AV339=1,F339=3),MIN(AJ339*0.08,L339),IF(AP339&gt;0.01,AP339*T339,IF(AND(AO339=TRUE,AV339=1,F339=2),MIN(AJ339*0.1,L339)))))))))))))))))),2),"")</f>
        <v/>
      </c>
      <c r="AR339" s="1250">
        <f>IF(Q339=0,0,IF('Proposed Lighting'!$X$4=0,0,IF(AND(AM339&gt;0.01,AQ339&gt;0.01),0,IF('Proposed Lighting'!#REF!=1,"Missing Interior or Exterior Selection",IF('Proposed Lighting'!#REF!=1,"Selection does not match",IF(K339&gt;'Proposed Lighting'!#REF!,"Quantity controlled does not match proposed lighting quantity",IF(T339&gt;K339,"Quantity of sensors exceeds proposed lighting quantity",IF(AND(F339&gt;1,'Proposed Lighting'!#REF!&lt;&gt;F339),"Selection does not match",IF(AND(AD339&gt;AA339,AA339&gt;0),"Does not meet minimum connected load",IF(AND(O339&gt;0,AS339&gt;0,BK339&gt;0,'Proposed Lighting'!#REF!=0),"Select Control Strategies",IF(AND(AC339&gt;0.1,AJ339=0,AQ339=0),"Does not meet incentive criteria",0)))))))))))</f>
        <v>0</v>
      </c>
      <c r="AS339" s="1224" t="e">
        <f>IF('Proposed Lighting'!#REF!=100,0,IF(ISNUMBER(SEARCH("multiple",Q339)),1,0))</f>
        <v>#REF!</v>
      </c>
      <c r="AT339" s="451">
        <f t="shared" si="73"/>
        <v>0</v>
      </c>
      <c r="AU339" s="451" t="e">
        <f t="shared" si="74"/>
        <v>#REF!</v>
      </c>
      <c r="AV339" s="1222">
        <f>IF(ISNUMBER(SEARCH("Networked",'Proposed Lighting'!#REF!)),0,IF(ISNUMBER(SEARCH("Strategies",'Proposed Lighting'!#REF!)),0,IF(ISNUMBER(SEARCH("Removal",'Proposed Lighting'!#REF!)),0,IF(ISNUMBER(SEARCH("non-standard",Q339)),1,0))))</f>
        <v>0</v>
      </c>
      <c r="AW339" s="451">
        <f t="shared" si="77"/>
        <v>0</v>
      </c>
      <c r="AX339" s="451"/>
      <c r="AY339" s="451"/>
      <c r="AZ339" s="451"/>
      <c r="BA339" s="451"/>
      <c r="BB339" s="451"/>
      <c r="BC339" s="1215"/>
      <c r="BD339" s="1215"/>
      <c r="BE339" s="1215"/>
      <c r="BF339" s="1215"/>
      <c r="BG339" s="1215"/>
      <c r="BH339" s="1215"/>
      <c r="BI339" t="e">
        <f>IF(AND(AS339=1,BC339="No",BD339="Yes",BE339="Yes",BF339="No",BH339="No"),0,IF(AND('Proposed Lighting'!#REF!=2,AS339=1,BC339="Yes",BD339="Yes"),2,IF(AND('Proposed Lighting'!#REF!=2,AS339=1,BC339="Yes",BE339="Yes"),2,IF(AND('Proposed Lighting'!#REF!=2,AS339=1,BC339="Yes",BF339="Yes"),2,IF(AND('Proposed Lighting'!#REF!=2,AS339=1,BC339="Yes",BH339="Yes"),2,IF(AND('Proposed Lighting'!#REF!=2,AS339=1,BD339="Yes",BF339="Yes"),2,IF(AND('Proposed Lighting'!#REF!=2,AS339=1,BD339="Yes",BH339="Yes"),2,IF(AND('Proposed Lighting'!#REF!=3,AS339=1,BC339="Yes",BE339="Yes"),2,IF(AND('Proposed Lighting'!#REF!=3,AS339=1,BC339="Yes",BF339="Yes"),2,0)))))))))</f>
        <v>#REF!</v>
      </c>
      <c r="BJ339" s="1025" t="e">
        <f t="shared" si="75"/>
        <v>#REF!</v>
      </c>
      <c r="BK339" t="e">
        <f>IF(AND('Proposed Lighting'!#REF!=22,'Lighting Controls'!N339=1),0,IF(ISNUMBER(SEARCH("LED",G339)),1,0))</f>
        <v>#REF!</v>
      </c>
    </row>
    <row r="340" spans="1:63" ht="34.5" customHeight="1">
      <c r="A340" s="917">
        <v>332</v>
      </c>
      <c r="B340" s="1828" t="e">
        <f>IF('Proposed Lighting'!#REF!="","",'Proposed Lighting'!#REF!)</f>
        <v>#REF!</v>
      </c>
      <c r="C340" s="1828"/>
      <c r="D340" s="1828"/>
      <c r="E340" s="1245" t="e">
        <f>'Proposed Lighting'!#REF!</f>
        <v>#REF!</v>
      </c>
      <c r="F340" s="1245">
        <f t="shared" si="68"/>
        <v>0</v>
      </c>
      <c r="G340" s="1830" t="e">
        <f>IF('Proposed Lighting'!#REF!="","",IF(ISNUMBER(SEARCH("Networked",'Proposed Lighting'!#REF!)),0,IF(ISNUMBER(SEARCH("Strategies",'Proposed Lighting'!#REF!)),0,IF(ISNUMBER(SEARCH("Removal",'Proposed Lighting'!#REF!)),0,'Proposed Lighting'!#REF!))))</f>
        <v>#REF!</v>
      </c>
      <c r="H340" s="1830"/>
      <c r="I340" s="1830"/>
      <c r="J340" s="1830"/>
      <c r="K340" s="1215"/>
      <c r="L340" s="1246" t="e">
        <f t="shared" si="69"/>
        <v>#REF!</v>
      </c>
      <c r="M340" s="1224">
        <f t="shared" si="70"/>
        <v>0</v>
      </c>
      <c r="N340" s="1224">
        <f t="shared" si="71"/>
        <v>0</v>
      </c>
      <c r="O340" s="1825" t="e">
        <f>IF(G340=0,0,IF(ISNA('Proposed Lighting'!#REF!),0,'Proposed Lighting'!#REF!))</f>
        <v>#REF!</v>
      </c>
      <c r="P340" s="1825"/>
      <c r="Q340" s="1247"/>
      <c r="R340" s="1247"/>
      <c r="S340" s="1247"/>
      <c r="T340" s="1211"/>
      <c r="U340" s="1235">
        <f>IF(K340&gt;0.01,'Proposed Lighting'!#REF!,0)</f>
        <v>0</v>
      </c>
      <c r="V340" s="1248" t="e">
        <f>IF('Proposed Lighting'!#REF!=1,0,IF('Proposed Lighting'!#REF!=2,0,IF(AND('Proposed Lighting'!#REF!=3,'Proposed Lighting'!#REF!=0),1,0)))</f>
        <v>#REF!</v>
      </c>
      <c r="W340" s="1836"/>
      <c r="X340" s="1836"/>
      <c r="Y340" s="1836"/>
      <c r="Z340" s="1230" t="str">
        <f t="shared" si="65"/>
        <v/>
      </c>
      <c r="AA340" s="1230">
        <f t="shared" si="66"/>
        <v>0</v>
      </c>
      <c r="AB340" s="1230">
        <f>IF(Q340=0,0,IF(T340=0,0,IF(AA340=0,0,IF(AND(F340=3,V340=0),0,IF(T340=0,0,IF(K340&gt;'Proposed Lighting'!#REF!,0,IF('Proposed Lighting'!#REF!&gt;0.01,(K340*O340)*'Proposed Lighting'!#REF!/1000,(K340*O340)*U340/1000)))))))</f>
        <v>0</v>
      </c>
      <c r="AC340" s="1230" t="str">
        <f t="shared" si="72"/>
        <v/>
      </c>
      <c r="AD340" s="1230">
        <f t="shared" si="67"/>
        <v>0</v>
      </c>
      <c r="AE340" s="1230">
        <f>IF(T340=0,0,IF(K340&gt;'Proposed Lighting'!#REF!,0,IF(T340&gt;K340,0,IF(AND(AD340&gt;AA340,AA340&gt;0),0,IF(AND(F340&gt;1,W340&lt;0.01),0,IF('Proposed Lighting'!#REF!&gt;'Lighting Controls'!F340,0,IF('Proposed Lighting'!#REF!&lt;'Lighting Controls'!F340,0,IF(U340=0,0,Summary!#REF!))))))))</f>
        <v>0</v>
      </c>
      <c r="AF340" s="1230">
        <f>IF(T340=0,0,IF(AE340=0,0,IF(K340&gt;'Proposed Lighting'!#REF!,0,IF(AND(AD340&gt;AA340,AA340&gt;0),0,IF(U340=0,0,Summary!#REF!)))))</f>
        <v>0</v>
      </c>
      <c r="AG340" s="1834" t="e">
        <f>IF('Proposed Lighting'!#REF!=1,0,IF('Proposed Lighting'!#REF!=1,0,T340*W340))</f>
        <v>#REF!</v>
      </c>
      <c r="AH340" s="1834"/>
      <c r="AI340" s="1834"/>
      <c r="AJ340" s="1835">
        <f>IF(T340&lt;1,0,IF(K340&gt;'Proposed Lighting'!#REF!,0,IF('Proposed Lighting'!#REF!=1,0,IF('Proposed Lighting'!#REF!=1,0,IF(T340&gt;K340,0,IF(AND(AD340&gt;AA340,AA340&gt;0),0,IF(AND(F340=2,'Proposed Lighting'!#REF!=3),0,IF(AND(F340=3,'Proposed Lighting'!#REF!=2),0,IF('Proposed Lighting'!#REF!=100,0,IF(AND(F340&lt;3,V340=1,AM340=0),0,IF(AND(F340&gt;1,AF340&lt;1,AN340&lt;1),0,IF(AND(F340&gt;1,AE340&lt;0.69,AF340&lt;1,AN340&lt;1),0,IF(ISERROR(AB340-AC340),"",AB340-AC340)))))))))))))</f>
        <v>0</v>
      </c>
      <c r="AK340" s="1835"/>
      <c r="AL340" s="1835"/>
      <c r="AM340" s="1216">
        <f>IF(Q340=0,0,IF(T340=0,0,IF(T340&gt;K340,0,IF(AND(AS340&gt;0.01,BK340=0),0,IF(AND('Proposed Lighting'!#REF!=0,'Lighting Controls'!Z340=0.35),0,IF(AND(T340&lt;=K340,AA340&gt;=AD340,'Proposed Lighting'!#REF!=2),VLOOKUP(Q340,$AY$9:$AZ$15,2,FALSE),IF(AND(T340&lt;=K340,AA340&gt;=AD340,'Proposed Lighting'!#REF!=3),VLOOKUP(Q340,$AY$17:$AZ$23,2,FALSE))))))))</f>
        <v>0</v>
      </c>
      <c r="AN340" s="1248">
        <f>IF(T340=0,0,IF(K340&gt;'Proposed Lighting'!#REF!,0,IF(AE340=0,0,IF(AND(AD340&gt;AA340,AA340&gt;0),0,IF(U340=0,0,Summary!#REF!)))))</f>
        <v>0</v>
      </c>
      <c r="AO340" s="1248">
        <f t="shared" si="76"/>
        <v>0</v>
      </c>
      <c r="AP340" s="1249" t="e">
        <f>IF('Proposed Lighting'!#REF!=1,0,IF(K340=0,0,IF(T340&gt;K340,0,IF(G340=0,0,IF(K340&gt;'Proposed Lighting'!#REF!,0,IF(AND(AD340&gt;AA340,AA340&gt;0),0,IF(AND('Proposed Lighting'!#REF!=3,AM340=0.5),0,IF(AND(AM340&gt;0,AS340&gt;0,BI340&lt;2),0,IF('Proposed Lighting'!#REF!=100,0,IF(AV340=1,0,IF(AND(AM340=35,M340+N340&lt;2),0,AM340)))))))))))</f>
        <v>#REF!</v>
      </c>
      <c r="AQ340" s="1249" t="str">
        <f>IFERROR(ROUND(IF(Q340="","",IF('Proposed Lighting'!$X$4=0,0,IF(AND(AM340=35,M340+N340&lt;2),0,IF(T340&gt;K340,0,IF('Proposed Lighting'!#REF!=1,0,IF(AJ340=0,0,IF(AND('Proposed Lighting'!#REF!=3,AM340=0.5),0,IF(AND(AD340=75,AP340=0,AV340=0),0,IF(AP340&gt;0.01,AP340*T340,IF(AND(F340&gt;1,W340&lt;0.01),0,IF(AND(F340&gt;1,AO340=0),0,IF(AND('Proposed Lighting'!#REF!=22,AV340=0),0,IF(AND(AM340&gt;0,AS340&gt;0,BI340&lt;2),0,IF(AND(AS340&gt;0.01,BK340=0),0,IF(AND(AO340=TRUE,AV340=1,F340=3),MIN(AJ340*0.08,L340),IF(AP340&gt;0.01,AP340*T340,IF(AND(AO340=TRUE,AV340=1,F340=2),MIN(AJ340*0.1,L340)))))))))))))))))),2),"")</f>
        <v/>
      </c>
      <c r="AR340" s="1250">
        <f>IF(Q340=0,0,IF('Proposed Lighting'!$X$4=0,0,IF(AND(AM340&gt;0.01,AQ340&gt;0.01),0,IF('Proposed Lighting'!#REF!=1,"Missing Interior or Exterior Selection",IF('Proposed Lighting'!#REF!=1,"Selection does not match",IF(K340&gt;'Proposed Lighting'!#REF!,"Quantity controlled does not match proposed lighting quantity",IF(T340&gt;K340,"Quantity of sensors exceeds proposed lighting quantity",IF(AND(F340&gt;1,'Proposed Lighting'!#REF!&lt;&gt;F340),"Selection does not match",IF(AND(AD340&gt;AA340,AA340&gt;0),"Does not meet minimum connected load",IF(AND(O340&gt;0,AS340&gt;0,BK340&gt;0,'Proposed Lighting'!#REF!=0),"Select Control Strategies",IF(AND(AC340&gt;0.1,AJ340=0,AQ340=0),"Does not meet incentive criteria",0)))))))))))</f>
        <v>0</v>
      </c>
      <c r="AS340" s="1224" t="e">
        <f>IF('Proposed Lighting'!#REF!=100,0,IF(ISNUMBER(SEARCH("multiple",Q340)),1,0))</f>
        <v>#REF!</v>
      </c>
      <c r="AT340" s="451">
        <f t="shared" si="73"/>
        <v>0</v>
      </c>
      <c r="AU340" s="451" t="e">
        <f t="shared" si="74"/>
        <v>#REF!</v>
      </c>
      <c r="AV340" s="1222">
        <f>IF(ISNUMBER(SEARCH("Networked",'Proposed Lighting'!#REF!)),0,IF(ISNUMBER(SEARCH("Strategies",'Proposed Lighting'!#REF!)),0,IF(ISNUMBER(SEARCH("Removal",'Proposed Lighting'!#REF!)),0,IF(ISNUMBER(SEARCH("non-standard",Q340)),1,0))))</f>
        <v>0</v>
      </c>
      <c r="AW340" s="451">
        <f t="shared" si="77"/>
        <v>0</v>
      </c>
      <c r="AX340" s="451"/>
      <c r="AY340" s="451"/>
      <c r="AZ340" s="451"/>
      <c r="BA340" s="451"/>
      <c r="BB340" s="451"/>
      <c r="BC340" s="1215"/>
      <c r="BD340" s="1215"/>
      <c r="BE340" s="1215"/>
      <c r="BF340" s="1215"/>
      <c r="BG340" s="1215"/>
      <c r="BH340" s="1215"/>
      <c r="BI340" t="e">
        <f>IF(AND(AS340=1,BC340="No",BD340="Yes",BE340="Yes",BF340="No",BH340="No"),0,IF(AND('Proposed Lighting'!#REF!=2,AS340=1,BC340="Yes",BD340="Yes"),2,IF(AND('Proposed Lighting'!#REF!=2,AS340=1,BC340="Yes",BE340="Yes"),2,IF(AND('Proposed Lighting'!#REF!=2,AS340=1,BC340="Yes",BF340="Yes"),2,IF(AND('Proposed Lighting'!#REF!=2,AS340=1,BC340="Yes",BH340="Yes"),2,IF(AND('Proposed Lighting'!#REF!=2,AS340=1,BD340="Yes",BF340="Yes"),2,IF(AND('Proposed Lighting'!#REF!=2,AS340=1,BD340="Yes",BH340="Yes"),2,IF(AND('Proposed Lighting'!#REF!=3,AS340=1,BC340="Yes",BE340="Yes"),2,IF(AND('Proposed Lighting'!#REF!=3,AS340=1,BC340="Yes",BF340="Yes"),2,0)))))))))</f>
        <v>#REF!</v>
      </c>
      <c r="BJ340" s="1025" t="e">
        <f t="shared" si="75"/>
        <v>#REF!</v>
      </c>
      <c r="BK340" t="e">
        <f>IF(AND('Proposed Lighting'!#REF!=22,'Lighting Controls'!N340=1),0,IF(ISNUMBER(SEARCH("LED",G340)),1,0))</f>
        <v>#REF!</v>
      </c>
    </row>
    <row r="341" spans="1:63" ht="34.5" customHeight="1">
      <c r="A341" s="917">
        <v>333</v>
      </c>
      <c r="B341" s="1828" t="e">
        <f>IF('Proposed Lighting'!#REF!="","",'Proposed Lighting'!#REF!)</f>
        <v>#REF!</v>
      </c>
      <c r="C341" s="1828"/>
      <c r="D341" s="1828"/>
      <c r="E341" s="1245" t="e">
        <f>'Proposed Lighting'!#REF!</f>
        <v>#REF!</v>
      </c>
      <c r="F341" s="1245">
        <f t="shared" si="68"/>
        <v>0</v>
      </c>
      <c r="G341" s="1830" t="e">
        <f>IF('Proposed Lighting'!#REF!="","",IF(ISNUMBER(SEARCH("Networked",'Proposed Lighting'!#REF!)),0,IF(ISNUMBER(SEARCH("Strategies",'Proposed Lighting'!#REF!)),0,IF(ISNUMBER(SEARCH("Removal",'Proposed Lighting'!#REF!)),0,'Proposed Lighting'!#REF!))))</f>
        <v>#REF!</v>
      </c>
      <c r="H341" s="1830"/>
      <c r="I341" s="1830"/>
      <c r="J341" s="1830"/>
      <c r="K341" s="1215"/>
      <c r="L341" s="1246" t="e">
        <f t="shared" si="69"/>
        <v>#REF!</v>
      </c>
      <c r="M341" s="1224">
        <f t="shared" si="70"/>
        <v>0</v>
      </c>
      <c r="N341" s="1224">
        <f t="shared" si="71"/>
        <v>0</v>
      </c>
      <c r="O341" s="1825" t="e">
        <f>IF(G341=0,0,IF(ISNA('Proposed Lighting'!#REF!),0,'Proposed Lighting'!#REF!))</f>
        <v>#REF!</v>
      </c>
      <c r="P341" s="1825"/>
      <c r="Q341" s="1247"/>
      <c r="R341" s="1247"/>
      <c r="S341" s="1247"/>
      <c r="T341" s="1211"/>
      <c r="U341" s="1235">
        <f>IF(K341&gt;0.01,'Proposed Lighting'!#REF!,0)</f>
        <v>0</v>
      </c>
      <c r="V341" s="1248" t="e">
        <f>IF('Proposed Lighting'!#REF!=1,0,IF('Proposed Lighting'!#REF!=2,0,IF(AND('Proposed Lighting'!#REF!=3,'Proposed Lighting'!#REF!=0),1,0)))</f>
        <v>#REF!</v>
      </c>
      <c r="W341" s="1836"/>
      <c r="X341" s="1836"/>
      <c r="Y341" s="1836"/>
      <c r="Z341" s="1230" t="str">
        <f t="shared" si="65"/>
        <v/>
      </c>
      <c r="AA341" s="1230">
        <f t="shared" si="66"/>
        <v>0</v>
      </c>
      <c r="AB341" s="1230">
        <f>IF(Q341=0,0,IF(T341=0,0,IF(AA341=0,0,IF(AND(F341=3,V341=0),0,IF(T341=0,0,IF(K341&gt;'Proposed Lighting'!#REF!,0,IF('Proposed Lighting'!#REF!&gt;0.01,(K341*O341)*'Proposed Lighting'!#REF!/1000,(K341*O341)*U341/1000)))))))</f>
        <v>0</v>
      </c>
      <c r="AC341" s="1230" t="str">
        <f t="shared" si="72"/>
        <v/>
      </c>
      <c r="AD341" s="1230">
        <f t="shared" si="67"/>
        <v>0</v>
      </c>
      <c r="AE341" s="1230">
        <f>IF(T341=0,0,IF(K341&gt;'Proposed Lighting'!#REF!,0,IF(T341&gt;K341,0,IF(AND(AD341&gt;AA341,AA341&gt;0),0,IF(AND(F341&gt;1,W341&lt;0.01),0,IF('Proposed Lighting'!#REF!&gt;'Lighting Controls'!F341,0,IF('Proposed Lighting'!#REF!&lt;'Lighting Controls'!F341,0,IF(U341=0,0,Summary!#REF!))))))))</f>
        <v>0</v>
      </c>
      <c r="AF341" s="1230">
        <f>IF(T341=0,0,IF(AE341=0,0,IF(K341&gt;'Proposed Lighting'!#REF!,0,IF(AND(AD341&gt;AA341,AA341&gt;0),0,IF(U341=0,0,Summary!#REF!)))))</f>
        <v>0</v>
      </c>
      <c r="AG341" s="1834" t="e">
        <f>IF('Proposed Lighting'!#REF!=1,0,IF('Proposed Lighting'!#REF!=1,0,T341*W341))</f>
        <v>#REF!</v>
      </c>
      <c r="AH341" s="1834"/>
      <c r="AI341" s="1834"/>
      <c r="AJ341" s="1835">
        <f>IF(T341&lt;1,0,IF(K341&gt;'Proposed Lighting'!#REF!,0,IF('Proposed Lighting'!#REF!=1,0,IF('Proposed Lighting'!#REF!=1,0,IF(T341&gt;K341,0,IF(AND(AD341&gt;AA341,AA341&gt;0),0,IF(AND(F341=2,'Proposed Lighting'!#REF!=3),0,IF(AND(F341=3,'Proposed Lighting'!#REF!=2),0,IF('Proposed Lighting'!#REF!=100,0,IF(AND(F341&lt;3,V341=1,AM341=0),0,IF(AND(F341&gt;1,AF341&lt;1,AN341&lt;1),0,IF(AND(F341&gt;1,AE341&lt;0.69,AF341&lt;1,AN341&lt;1),0,IF(ISERROR(AB341-AC341),"",AB341-AC341)))))))))))))</f>
        <v>0</v>
      </c>
      <c r="AK341" s="1835"/>
      <c r="AL341" s="1835"/>
      <c r="AM341" s="1216">
        <f>IF(Q341=0,0,IF(T341=0,0,IF(T341&gt;K341,0,IF(AND(AS341&gt;0.01,BK341=0),0,IF(AND('Proposed Lighting'!#REF!=0,'Lighting Controls'!Z341=0.35),0,IF(AND(T341&lt;=K341,AA341&gt;=AD341,'Proposed Lighting'!#REF!=2),VLOOKUP(Q341,$AY$9:$AZ$15,2,FALSE),IF(AND(T341&lt;=K341,AA341&gt;=AD341,'Proposed Lighting'!#REF!=3),VLOOKUP(Q341,$AY$17:$AZ$23,2,FALSE))))))))</f>
        <v>0</v>
      </c>
      <c r="AN341" s="1248">
        <f>IF(T341=0,0,IF(K341&gt;'Proposed Lighting'!#REF!,0,IF(AE341=0,0,IF(AND(AD341&gt;AA341,AA341&gt;0),0,IF(U341=0,0,Summary!#REF!)))))</f>
        <v>0</v>
      </c>
      <c r="AO341" s="1248">
        <f t="shared" si="76"/>
        <v>0</v>
      </c>
      <c r="AP341" s="1249" t="e">
        <f>IF('Proposed Lighting'!#REF!=1,0,IF(K341=0,0,IF(T341&gt;K341,0,IF(G341=0,0,IF(K341&gt;'Proposed Lighting'!#REF!,0,IF(AND(AD341&gt;AA341,AA341&gt;0),0,IF(AND('Proposed Lighting'!#REF!=3,AM341=0.5),0,IF(AND(AM341&gt;0,AS341&gt;0,BI341&lt;2),0,IF('Proposed Lighting'!#REF!=100,0,IF(AV341=1,0,IF(AND(AM341=35,M341+N341&lt;2),0,AM341)))))))))))</f>
        <v>#REF!</v>
      </c>
      <c r="AQ341" s="1249" t="str">
        <f>IFERROR(ROUND(IF(Q341="","",IF('Proposed Lighting'!$X$4=0,0,IF(AND(AM341=35,M341+N341&lt;2),0,IF(T341&gt;K341,0,IF('Proposed Lighting'!#REF!=1,0,IF(AJ341=0,0,IF(AND('Proposed Lighting'!#REF!=3,AM341=0.5),0,IF(AND(AD341=75,AP341=0,AV341=0),0,IF(AP341&gt;0.01,AP341*T341,IF(AND(F341&gt;1,W341&lt;0.01),0,IF(AND(F341&gt;1,AO341=0),0,IF(AND('Proposed Lighting'!#REF!=22,AV341=0),0,IF(AND(AM341&gt;0,AS341&gt;0,BI341&lt;2),0,IF(AND(AS341&gt;0.01,BK341=0),0,IF(AND(AO341=TRUE,AV341=1,F341=3),MIN(AJ341*0.08,L341),IF(AP341&gt;0.01,AP341*T341,IF(AND(AO341=TRUE,AV341=1,F341=2),MIN(AJ341*0.1,L341)))))))))))))))))),2),"")</f>
        <v/>
      </c>
      <c r="AR341" s="1250">
        <f>IF(Q341=0,0,IF('Proposed Lighting'!$X$4=0,0,IF(AND(AM341&gt;0.01,AQ341&gt;0.01),0,IF('Proposed Lighting'!#REF!=1,"Missing Interior or Exterior Selection",IF('Proposed Lighting'!#REF!=1,"Selection does not match",IF(K341&gt;'Proposed Lighting'!#REF!,"Quantity controlled does not match proposed lighting quantity",IF(T341&gt;K341,"Quantity of sensors exceeds proposed lighting quantity",IF(AND(F341&gt;1,'Proposed Lighting'!#REF!&lt;&gt;F341),"Selection does not match",IF(AND(AD341&gt;AA341,AA341&gt;0),"Does not meet minimum connected load",IF(AND(O341&gt;0,AS341&gt;0,BK341&gt;0,'Proposed Lighting'!#REF!=0),"Select Control Strategies",IF(AND(AC341&gt;0.1,AJ341=0,AQ341=0),"Does not meet incentive criteria",0)))))))))))</f>
        <v>0</v>
      </c>
      <c r="AS341" s="1224" t="e">
        <f>IF('Proposed Lighting'!#REF!=100,0,IF(ISNUMBER(SEARCH("multiple",Q341)),1,0))</f>
        <v>#REF!</v>
      </c>
      <c r="AT341" s="451">
        <f t="shared" si="73"/>
        <v>0</v>
      </c>
      <c r="AU341" s="451" t="e">
        <f t="shared" si="74"/>
        <v>#REF!</v>
      </c>
      <c r="AV341" s="1222">
        <f>IF(ISNUMBER(SEARCH("Networked",'Proposed Lighting'!#REF!)),0,IF(ISNUMBER(SEARCH("Strategies",'Proposed Lighting'!#REF!)),0,IF(ISNUMBER(SEARCH("Removal",'Proposed Lighting'!#REF!)),0,IF(ISNUMBER(SEARCH("non-standard",Q341)),1,0))))</f>
        <v>0</v>
      </c>
      <c r="AW341" s="451">
        <f t="shared" si="77"/>
        <v>0</v>
      </c>
      <c r="AX341" s="451"/>
      <c r="AY341" s="451"/>
      <c r="AZ341" s="451"/>
      <c r="BA341" s="451"/>
      <c r="BB341" s="451"/>
      <c r="BC341" s="1215"/>
      <c r="BD341" s="1215"/>
      <c r="BE341" s="1215"/>
      <c r="BF341" s="1215"/>
      <c r="BG341" s="1215"/>
      <c r="BH341" s="1215"/>
      <c r="BI341" t="e">
        <f>IF(AND(AS341=1,BC341="No",BD341="Yes",BE341="Yes",BF341="No",BH341="No"),0,IF(AND('Proposed Lighting'!#REF!=2,AS341=1,BC341="Yes",BD341="Yes"),2,IF(AND('Proposed Lighting'!#REF!=2,AS341=1,BC341="Yes",BE341="Yes"),2,IF(AND('Proposed Lighting'!#REF!=2,AS341=1,BC341="Yes",BF341="Yes"),2,IF(AND('Proposed Lighting'!#REF!=2,AS341=1,BC341="Yes",BH341="Yes"),2,IF(AND('Proposed Lighting'!#REF!=2,AS341=1,BD341="Yes",BF341="Yes"),2,IF(AND('Proposed Lighting'!#REF!=2,AS341=1,BD341="Yes",BH341="Yes"),2,IF(AND('Proposed Lighting'!#REF!=3,AS341=1,BC341="Yes",BE341="Yes"),2,IF(AND('Proposed Lighting'!#REF!=3,AS341=1,BC341="Yes",BF341="Yes"),2,0)))))))))</f>
        <v>#REF!</v>
      </c>
      <c r="BJ341" s="1025" t="e">
        <f t="shared" si="75"/>
        <v>#REF!</v>
      </c>
      <c r="BK341" t="e">
        <f>IF(AND('Proposed Lighting'!#REF!=22,'Lighting Controls'!N341=1),0,IF(ISNUMBER(SEARCH("LED",G341)),1,0))</f>
        <v>#REF!</v>
      </c>
    </row>
    <row r="342" spans="1:63" ht="34.5" customHeight="1">
      <c r="A342" s="917">
        <v>334</v>
      </c>
      <c r="B342" s="1828" t="e">
        <f>IF('Proposed Lighting'!#REF!="","",'Proposed Lighting'!#REF!)</f>
        <v>#REF!</v>
      </c>
      <c r="C342" s="1828"/>
      <c r="D342" s="1828"/>
      <c r="E342" s="1245" t="e">
        <f>'Proposed Lighting'!#REF!</f>
        <v>#REF!</v>
      </c>
      <c r="F342" s="1245">
        <f t="shared" si="68"/>
        <v>0</v>
      </c>
      <c r="G342" s="1830" t="e">
        <f>IF('Proposed Lighting'!#REF!="","",IF(ISNUMBER(SEARCH("Networked",'Proposed Lighting'!#REF!)),0,IF(ISNUMBER(SEARCH("Strategies",'Proposed Lighting'!#REF!)),0,IF(ISNUMBER(SEARCH("Removal",'Proposed Lighting'!#REF!)),0,'Proposed Lighting'!#REF!))))</f>
        <v>#REF!</v>
      </c>
      <c r="H342" s="1830"/>
      <c r="I342" s="1830"/>
      <c r="J342" s="1830"/>
      <c r="K342" s="1215"/>
      <c r="L342" s="1246" t="e">
        <f t="shared" si="69"/>
        <v>#REF!</v>
      </c>
      <c r="M342" s="1224">
        <f t="shared" si="70"/>
        <v>0</v>
      </c>
      <c r="N342" s="1224">
        <f t="shared" si="71"/>
        <v>0</v>
      </c>
      <c r="O342" s="1825" t="e">
        <f>IF(G342=0,0,IF(ISNA('Proposed Lighting'!#REF!),0,'Proposed Lighting'!#REF!))</f>
        <v>#REF!</v>
      </c>
      <c r="P342" s="1825"/>
      <c r="Q342" s="1247"/>
      <c r="R342" s="1247"/>
      <c r="S342" s="1247"/>
      <c r="T342" s="1211"/>
      <c r="U342" s="1235">
        <f>IF(K342&gt;0.01,'Proposed Lighting'!#REF!,0)</f>
        <v>0</v>
      </c>
      <c r="V342" s="1248" t="e">
        <f>IF('Proposed Lighting'!#REF!=1,0,IF('Proposed Lighting'!#REF!=2,0,IF(AND('Proposed Lighting'!#REF!=3,'Proposed Lighting'!#REF!=0),1,0)))</f>
        <v>#REF!</v>
      </c>
      <c r="W342" s="1836"/>
      <c r="X342" s="1836"/>
      <c r="Y342" s="1836"/>
      <c r="Z342" s="1230" t="str">
        <f t="shared" si="65"/>
        <v/>
      </c>
      <c r="AA342" s="1230">
        <f t="shared" si="66"/>
        <v>0</v>
      </c>
      <c r="AB342" s="1230">
        <f>IF(Q342=0,0,IF(T342=0,0,IF(AA342=0,0,IF(AND(F342=3,V342=0),0,IF(T342=0,0,IF(K342&gt;'Proposed Lighting'!#REF!,0,IF('Proposed Lighting'!#REF!&gt;0.01,(K342*O342)*'Proposed Lighting'!#REF!/1000,(K342*O342)*U342/1000)))))))</f>
        <v>0</v>
      </c>
      <c r="AC342" s="1230" t="str">
        <f t="shared" si="72"/>
        <v/>
      </c>
      <c r="AD342" s="1230">
        <f t="shared" si="67"/>
        <v>0</v>
      </c>
      <c r="AE342" s="1230">
        <f>IF(T342=0,0,IF(K342&gt;'Proposed Lighting'!#REF!,0,IF(T342&gt;K342,0,IF(AND(AD342&gt;AA342,AA342&gt;0),0,IF(AND(F342&gt;1,W342&lt;0.01),0,IF('Proposed Lighting'!#REF!&gt;'Lighting Controls'!F342,0,IF('Proposed Lighting'!#REF!&lt;'Lighting Controls'!F342,0,IF(U342=0,0,Summary!#REF!))))))))</f>
        <v>0</v>
      </c>
      <c r="AF342" s="1230">
        <f>IF(T342=0,0,IF(AE342=0,0,IF(K342&gt;'Proposed Lighting'!#REF!,0,IF(AND(AD342&gt;AA342,AA342&gt;0),0,IF(U342=0,0,Summary!#REF!)))))</f>
        <v>0</v>
      </c>
      <c r="AG342" s="1834" t="e">
        <f>IF('Proposed Lighting'!#REF!=1,0,IF('Proposed Lighting'!#REF!=1,0,T342*W342))</f>
        <v>#REF!</v>
      </c>
      <c r="AH342" s="1834"/>
      <c r="AI342" s="1834"/>
      <c r="AJ342" s="1835">
        <f>IF(T342&lt;1,0,IF(K342&gt;'Proposed Lighting'!#REF!,0,IF('Proposed Lighting'!#REF!=1,0,IF('Proposed Lighting'!#REF!=1,0,IF(T342&gt;K342,0,IF(AND(AD342&gt;AA342,AA342&gt;0),0,IF(AND(F342=2,'Proposed Lighting'!#REF!=3),0,IF(AND(F342=3,'Proposed Lighting'!#REF!=2),0,IF('Proposed Lighting'!#REF!=100,0,IF(AND(F342&lt;3,V342=1,AM342=0),0,IF(AND(F342&gt;1,AF342&lt;1,AN342&lt;1),0,IF(AND(F342&gt;1,AE342&lt;0.69,AF342&lt;1,AN342&lt;1),0,IF(ISERROR(AB342-AC342),"",AB342-AC342)))))))))))))</f>
        <v>0</v>
      </c>
      <c r="AK342" s="1835"/>
      <c r="AL342" s="1835"/>
      <c r="AM342" s="1216">
        <f>IF(Q342=0,0,IF(T342=0,0,IF(T342&gt;K342,0,IF(AND(AS342&gt;0.01,BK342=0),0,IF(AND('Proposed Lighting'!#REF!=0,'Lighting Controls'!Z342=0.35),0,IF(AND(T342&lt;=K342,AA342&gt;=AD342,'Proposed Lighting'!#REF!=2),VLOOKUP(Q342,$AY$9:$AZ$15,2,FALSE),IF(AND(T342&lt;=K342,AA342&gt;=AD342,'Proposed Lighting'!#REF!=3),VLOOKUP(Q342,$AY$17:$AZ$23,2,FALSE))))))))</f>
        <v>0</v>
      </c>
      <c r="AN342" s="1248">
        <f>IF(T342=0,0,IF(K342&gt;'Proposed Lighting'!#REF!,0,IF(AE342=0,0,IF(AND(AD342&gt;AA342,AA342&gt;0),0,IF(U342=0,0,Summary!#REF!)))))</f>
        <v>0</v>
      </c>
      <c r="AO342" s="1248">
        <f t="shared" si="76"/>
        <v>0</v>
      </c>
      <c r="AP342" s="1249" t="e">
        <f>IF('Proposed Lighting'!#REF!=1,0,IF(K342=0,0,IF(T342&gt;K342,0,IF(G342=0,0,IF(K342&gt;'Proposed Lighting'!#REF!,0,IF(AND(AD342&gt;AA342,AA342&gt;0),0,IF(AND('Proposed Lighting'!#REF!=3,AM342=0.5),0,IF(AND(AM342&gt;0,AS342&gt;0,BI342&lt;2),0,IF('Proposed Lighting'!#REF!=100,0,IF(AV342=1,0,IF(AND(AM342=35,M342+N342&lt;2),0,AM342)))))))))))</f>
        <v>#REF!</v>
      </c>
      <c r="AQ342" s="1249" t="str">
        <f>IFERROR(ROUND(IF(Q342="","",IF('Proposed Lighting'!$X$4=0,0,IF(AND(AM342=35,M342+N342&lt;2),0,IF(T342&gt;K342,0,IF('Proposed Lighting'!#REF!=1,0,IF(AJ342=0,0,IF(AND('Proposed Lighting'!#REF!=3,AM342=0.5),0,IF(AND(AD342=75,AP342=0,AV342=0),0,IF(AP342&gt;0.01,AP342*T342,IF(AND(F342&gt;1,W342&lt;0.01),0,IF(AND(F342&gt;1,AO342=0),0,IF(AND('Proposed Lighting'!#REF!=22,AV342=0),0,IF(AND(AM342&gt;0,AS342&gt;0,BI342&lt;2),0,IF(AND(AS342&gt;0.01,BK342=0),0,IF(AND(AO342=TRUE,AV342=1,F342=3),MIN(AJ342*0.08,L342),IF(AP342&gt;0.01,AP342*T342,IF(AND(AO342=TRUE,AV342=1,F342=2),MIN(AJ342*0.1,L342)))))))))))))))))),2),"")</f>
        <v/>
      </c>
      <c r="AR342" s="1250">
        <f>IF(Q342=0,0,IF('Proposed Lighting'!$X$4=0,0,IF(AND(AM342&gt;0.01,AQ342&gt;0.01),0,IF('Proposed Lighting'!#REF!=1,"Missing Interior or Exterior Selection",IF('Proposed Lighting'!#REF!=1,"Selection does not match",IF(K342&gt;'Proposed Lighting'!#REF!,"Quantity controlled does not match proposed lighting quantity",IF(T342&gt;K342,"Quantity of sensors exceeds proposed lighting quantity",IF(AND(F342&gt;1,'Proposed Lighting'!#REF!&lt;&gt;F342),"Selection does not match",IF(AND(AD342&gt;AA342,AA342&gt;0),"Does not meet minimum connected load",IF(AND(O342&gt;0,AS342&gt;0,BK342&gt;0,'Proposed Lighting'!#REF!=0),"Select Control Strategies",IF(AND(AC342&gt;0.1,AJ342=0,AQ342=0),"Does not meet incentive criteria",0)))))))))))</f>
        <v>0</v>
      </c>
      <c r="AS342" s="1224" t="e">
        <f>IF('Proposed Lighting'!#REF!=100,0,IF(ISNUMBER(SEARCH("multiple",Q342)),1,0))</f>
        <v>#REF!</v>
      </c>
      <c r="AT342" s="451">
        <f t="shared" si="73"/>
        <v>0</v>
      </c>
      <c r="AU342" s="451" t="e">
        <f t="shared" si="74"/>
        <v>#REF!</v>
      </c>
      <c r="AV342" s="1222">
        <f>IF(ISNUMBER(SEARCH("Networked",'Proposed Lighting'!#REF!)),0,IF(ISNUMBER(SEARCH("Strategies",'Proposed Lighting'!#REF!)),0,IF(ISNUMBER(SEARCH("Removal",'Proposed Lighting'!#REF!)),0,IF(ISNUMBER(SEARCH("non-standard",Q342)),1,0))))</f>
        <v>0</v>
      </c>
      <c r="AW342" s="451">
        <f t="shared" si="77"/>
        <v>0</v>
      </c>
      <c r="AX342" s="451"/>
      <c r="AY342" s="451"/>
      <c r="AZ342" s="451"/>
      <c r="BA342" s="451"/>
      <c r="BB342" s="451"/>
      <c r="BC342" s="1215"/>
      <c r="BD342" s="1215"/>
      <c r="BE342" s="1215"/>
      <c r="BF342" s="1215"/>
      <c r="BG342" s="1215"/>
      <c r="BH342" s="1215"/>
      <c r="BI342" t="e">
        <f>IF(AND(AS342=1,BC342="No",BD342="Yes",BE342="Yes",BF342="No",BH342="No"),0,IF(AND('Proposed Lighting'!#REF!=2,AS342=1,BC342="Yes",BD342="Yes"),2,IF(AND('Proposed Lighting'!#REF!=2,AS342=1,BC342="Yes",BE342="Yes"),2,IF(AND('Proposed Lighting'!#REF!=2,AS342=1,BC342="Yes",BF342="Yes"),2,IF(AND('Proposed Lighting'!#REF!=2,AS342=1,BC342="Yes",BH342="Yes"),2,IF(AND('Proposed Lighting'!#REF!=2,AS342=1,BD342="Yes",BF342="Yes"),2,IF(AND('Proposed Lighting'!#REF!=2,AS342=1,BD342="Yes",BH342="Yes"),2,IF(AND('Proposed Lighting'!#REF!=3,AS342=1,BC342="Yes",BE342="Yes"),2,IF(AND('Proposed Lighting'!#REF!=3,AS342=1,BC342="Yes",BF342="Yes"),2,0)))))))))</f>
        <v>#REF!</v>
      </c>
      <c r="BJ342" s="1025" t="e">
        <f t="shared" si="75"/>
        <v>#REF!</v>
      </c>
      <c r="BK342" t="e">
        <f>IF(AND('Proposed Lighting'!#REF!=22,'Lighting Controls'!N342=1),0,IF(ISNUMBER(SEARCH("LED",G342)),1,0))</f>
        <v>#REF!</v>
      </c>
    </row>
    <row r="343" spans="1:63" ht="34.5" customHeight="1">
      <c r="A343" s="917">
        <v>335</v>
      </c>
      <c r="B343" s="1828" t="e">
        <f>IF('Proposed Lighting'!#REF!="","",'Proposed Lighting'!#REF!)</f>
        <v>#REF!</v>
      </c>
      <c r="C343" s="1828"/>
      <c r="D343" s="1828"/>
      <c r="E343" s="1245" t="e">
        <f>'Proposed Lighting'!#REF!</f>
        <v>#REF!</v>
      </c>
      <c r="F343" s="1245">
        <f t="shared" si="68"/>
        <v>0</v>
      </c>
      <c r="G343" s="1830" t="e">
        <f>IF('Proposed Lighting'!#REF!="","",IF(ISNUMBER(SEARCH("Networked",'Proposed Lighting'!#REF!)),0,IF(ISNUMBER(SEARCH("Strategies",'Proposed Lighting'!#REF!)),0,IF(ISNUMBER(SEARCH("Removal",'Proposed Lighting'!#REF!)),0,'Proposed Lighting'!#REF!))))</f>
        <v>#REF!</v>
      </c>
      <c r="H343" s="1830"/>
      <c r="I343" s="1830"/>
      <c r="J343" s="1830"/>
      <c r="K343" s="1215"/>
      <c r="L343" s="1246" t="e">
        <f t="shared" si="69"/>
        <v>#REF!</v>
      </c>
      <c r="M343" s="1224">
        <f t="shared" si="70"/>
        <v>0</v>
      </c>
      <c r="N343" s="1224">
        <f t="shared" si="71"/>
        <v>0</v>
      </c>
      <c r="O343" s="1825" t="e">
        <f>IF(G343=0,0,IF(ISNA('Proposed Lighting'!#REF!),0,'Proposed Lighting'!#REF!))</f>
        <v>#REF!</v>
      </c>
      <c r="P343" s="1825"/>
      <c r="Q343" s="1247"/>
      <c r="R343" s="1247"/>
      <c r="S343" s="1247"/>
      <c r="T343" s="1211"/>
      <c r="U343" s="1235">
        <f>IF(K343&gt;0.01,'Proposed Lighting'!#REF!,0)</f>
        <v>0</v>
      </c>
      <c r="V343" s="1248" t="e">
        <f>IF('Proposed Lighting'!#REF!=1,0,IF('Proposed Lighting'!#REF!=2,0,IF(AND('Proposed Lighting'!#REF!=3,'Proposed Lighting'!#REF!=0),1,0)))</f>
        <v>#REF!</v>
      </c>
      <c r="W343" s="1836"/>
      <c r="X343" s="1836"/>
      <c r="Y343" s="1836"/>
      <c r="Z343" s="1230" t="str">
        <f t="shared" si="65"/>
        <v/>
      </c>
      <c r="AA343" s="1230">
        <f t="shared" si="66"/>
        <v>0</v>
      </c>
      <c r="AB343" s="1230">
        <f>IF(Q343=0,0,IF(T343=0,0,IF(AA343=0,0,IF(AND(F343=3,V343=0),0,IF(T343=0,0,IF(K343&gt;'Proposed Lighting'!#REF!,0,IF('Proposed Lighting'!#REF!&gt;0.01,(K343*O343)*'Proposed Lighting'!#REF!/1000,(K343*O343)*U343/1000)))))))</f>
        <v>0</v>
      </c>
      <c r="AC343" s="1230" t="str">
        <f t="shared" si="72"/>
        <v/>
      </c>
      <c r="AD343" s="1230">
        <f t="shared" si="67"/>
        <v>0</v>
      </c>
      <c r="AE343" s="1230">
        <f>IF(T343=0,0,IF(K343&gt;'Proposed Lighting'!#REF!,0,IF(T343&gt;K343,0,IF(AND(AD343&gt;AA343,AA343&gt;0),0,IF(AND(F343&gt;1,W343&lt;0.01),0,IF('Proposed Lighting'!#REF!&gt;'Lighting Controls'!F343,0,IF('Proposed Lighting'!#REF!&lt;'Lighting Controls'!F343,0,IF(U343=0,0,Summary!#REF!))))))))</f>
        <v>0</v>
      </c>
      <c r="AF343" s="1230">
        <f>IF(T343=0,0,IF(AE343=0,0,IF(K343&gt;'Proposed Lighting'!#REF!,0,IF(AND(AD343&gt;AA343,AA343&gt;0),0,IF(U343=0,0,Summary!#REF!)))))</f>
        <v>0</v>
      </c>
      <c r="AG343" s="1834" t="e">
        <f>IF('Proposed Lighting'!#REF!=1,0,IF('Proposed Lighting'!#REF!=1,0,T343*W343))</f>
        <v>#REF!</v>
      </c>
      <c r="AH343" s="1834"/>
      <c r="AI343" s="1834"/>
      <c r="AJ343" s="1835">
        <f>IF(T343&lt;1,0,IF(K343&gt;'Proposed Lighting'!#REF!,0,IF('Proposed Lighting'!#REF!=1,0,IF('Proposed Lighting'!#REF!=1,0,IF(T343&gt;K343,0,IF(AND(AD343&gt;AA343,AA343&gt;0),0,IF(AND(F343=2,'Proposed Lighting'!#REF!=3),0,IF(AND(F343=3,'Proposed Lighting'!#REF!=2),0,IF('Proposed Lighting'!#REF!=100,0,IF(AND(F343&lt;3,V343=1,AM343=0),0,IF(AND(F343&gt;1,AF343&lt;1,AN343&lt;1),0,IF(AND(F343&gt;1,AE343&lt;0.69,AF343&lt;1,AN343&lt;1),0,IF(ISERROR(AB343-AC343),"",AB343-AC343)))))))))))))</f>
        <v>0</v>
      </c>
      <c r="AK343" s="1835"/>
      <c r="AL343" s="1835"/>
      <c r="AM343" s="1216">
        <f>IF(Q343=0,0,IF(T343=0,0,IF(T343&gt;K343,0,IF(AND(AS343&gt;0.01,BK343=0),0,IF(AND('Proposed Lighting'!#REF!=0,'Lighting Controls'!Z343=0.35),0,IF(AND(T343&lt;=K343,AA343&gt;=AD343,'Proposed Lighting'!#REF!=2),VLOOKUP(Q343,$AY$9:$AZ$15,2,FALSE),IF(AND(T343&lt;=K343,AA343&gt;=AD343,'Proposed Lighting'!#REF!=3),VLOOKUP(Q343,$AY$17:$AZ$23,2,FALSE))))))))</f>
        <v>0</v>
      </c>
      <c r="AN343" s="1248">
        <f>IF(T343=0,0,IF(K343&gt;'Proposed Lighting'!#REF!,0,IF(AE343=0,0,IF(AND(AD343&gt;AA343,AA343&gt;0),0,IF(U343=0,0,Summary!#REF!)))))</f>
        <v>0</v>
      </c>
      <c r="AO343" s="1248">
        <f t="shared" si="76"/>
        <v>0</v>
      </c>
      <c r="AP343" s="1249" t="e">
        <f>IF('Proposed Lighting'!#REF!=1,0,IF(K343=0,0,IF(T343&gt;K343,0,IF(G343=0,0,IF(K343&gt;'Proposed Lighting'!#REF!,0,IF(AND(AD343&gt;AA343,AA343&gt;0),0,IF(AND('Proposed Lighting'!#REF!=3,AM343=0.5),0,IF(AND(AM343&gt;0,AS343&gt;0,BI343&lt;2),0,IF('Proposed Lighting'!#REF!=100,0,IF(AV343=1,0,IF(AND(AM343=35,M343+N343&lt;2),0,AM343)))))))))))</f>
        <v>#REF!</v>
      </c>
      <c r="AQ343" s="1249" t="str">
        <f>IFERROR(ROUND(IF(Q343="","",IF('Proposed Lighting'!$X$4=0,0,IF(AND(AM343=35,M343+N343&lt;2),0,IF(T343&gt;K343,0,IF('Proposed Lighting'!#REF!=1,0,IF(AJ343=0,0,IF(AND('Proposed Lighting'!#REF!=3,AM343=0.5),0,IF(AND(AD343=75,AP343=0,AV343=0),0,IF(AP343&gt;0.01,AP343*T343,IF(AND(F343&gt;1,W343&lt;0.01),0,IF(AND(F343&gt;1,AO343=0),0,IF(AND('Proposed Lighting'!#REF!=22,AV343=0),0,IF(AND(AM343&gt;0,AS343&gt;0,BI343&lt;2),0,IF(AND(AS343&gt;0.01,BK343=0),0,IF(AND(AO343=TRUE,AV343=1,F343=3),MIN(AJ343*0.08,L343),IF(AP343&gt;0.01,AP343*T343,IF(AND(AO343=TRUE,AV343=1,F343=2),MIN(AJ343*0.1,L343)))))))))))))))))),2),"")</f>
        <v/>
      </c>
      <c r="AR343" s="1250">
        <f>IF(Q343=0,0,IF('Proposed Lighting'!$X$4=0,0,IF(AND(AM343&gt;0.01,AQ343&gt;0.01),0,IF('Proposed Lighting'!#REF!=1,"Missing Interior or Exterior Selection",IF('Proposed Lighting'!#REF!=1,"Selection does not match",IF(K343&gt;'Proposed Lighting'!#REF!,"Quantity controlled does not match proposed lighting quantity",IF(T343&gt;K343,"Quantity of sensors exceeds proposed lighting quantity",IF(AND(F343&gt;1,'Proposed Lighting'!#REF!&lt;&gt;F343),"Selection does not match",IF(AND(AD343&gt;AA343,AA343&gt;0),"Does not meet minimum connected load",IF(AND(O343&gt;0,AS343&gt;0,BK343&gt;0,'Proposed Lighting'!#REF!=0),"Select Control Strategies",IF(AND(AC343&gt;0.1,AJ343=0,AQ343=0),"Does not meet incentive criteria",0)))))))))))</f>
        <v>0</v>
      </c>
      <c r="AS343" s="1224" t="e">
        <f>IF('Proposed Lighting'!#REF!=100,0,IF(ISNUMBER(SEARCH("multiple",Q343)),1,0))</f>
        <v>#REF!</v>
      </c>
      <c r="AT343" s="451">
        <f t="shared" si="73"/>
        <v>0</v>
      </c>
      <c r="AU343" s="451" t="e">
        <f t="shared" si="74"/>
        <v>#REF!</v>
      </c>
      <c r="AV343" s="1222">
        <f>IF(ISNUMBER(SEARCH("Networked",'Proposed Lighting'!#REF!)),0,IF(ISNUMBER(SEARCH("Strategies",'Proposed Lighting'!#REF!)),0,IF(ISNUMBER(SEARCH("Removal",'Proposed Lighting'!#REF!)),0,IF(ISNUMBER(SEARCH("non-standard",Q343)),1,0))))</f>
        <v>0</v>
      </c>
      <c r="AW343" s="451">
        <f t="shared" si="77"/>
        <v>0</v>
      </c>
      <c r="AX343" s="451"/>
      <c r="AY343" s="451"/>
      <c r="AZ343" s="451"/>
      <c r="BA343" s="451"/>
      <c r="BB343" s="451"/>
      <c r="BC343" s="1215"/>
      <c r="BD343" s="1215"/>
      <c r="BE343" s="1215"/>
      <c r="BF343" s="1215"/>
      <c r="BG343" s="1215"/>
      <c r="BH343" s="1215"/>
      <c r="BI343" t="e">
        <f>IF(AND(AS343=1,BC343="No",BD343="Yes",BE343="Yes",BF343="No",BH343="No"),0,IF(AND('Proposed Lighting'!#REF!=2,AS343=1,BC343="Yes",BD343="Yes"),2,IF(AND('Proposed Lighting'!#REF!=2,AS343=1,BC343="Yes",BE343="Yes"),2,IF(AND('Proposed Lighting'!#REF!=2,AS343=1,BC343="Yes",BF343="Yes"),2,IF(AND('Proposed Lighting'!#REF!=2,AS343=1,BC343="Yes",BH343="Yes"),2,IF(AND('Proposed Lighting'!#REF!=2,AS343=1,BD343="Yes",BF343="Yes"),2,IF(AND('Proposed Lighting'!#REF!=2,AS343=1,BD343="Yes",BH343="Yes"),2,IF(AND('Proposed Lighting'!#REF!=3,AS343=1,BC343="Yes",BE343="Yes"),2,IF(AND('Proposed Lighting'!#REF!=3,AS343=1,BC343="Yes",BF343="Yes"),2,0)))))))))</f>
        <v>#REF!</v>
      </c>
      <c r="BJ343" s="1025" t="e">
        <f t="shared" si="75"/>
        <v>#REF!</v>
      </c>
      <c r="BK343" t="e">
        <f>IF(AND('Proposed Lighting'!#REF!=22,'Lighting Controls'!N343=1),0,IF(ISNUMBER(SEARCH("LED",G343)),1,0))</f>
        <v>#REF!</v>
      </c>
    </row>
    <row r="344" spans="1:63" ht="34.5" customHeight="1">
      <c r="A344" s="917">
        <v>336</v>
      </c>
      <c r="B344" s="1828" t="e">
        <f>IF('Proposed Lighting'!#REF!="","",'Proposed Lighting'!#REF!)</f>
        <v>#REF!</v>
      </c>
      <c r="C344" s="1828"/>
      <c r="D344" s="1828"/>
      <c r="E344" s="1245" t="e">
        <f>'Proposed Lighting'!#REF!</f>
        <v>#REF!</v>
      </c>
      <c r="F344" s="1245">
        <f t="shared" si="68"/>
        <v>0</v>
      </c>
      <c r="G344" s="1830" t="e">
        <f>IF('Proposed Lighting'!#REF!="","",IF(ISNUMBER(SEARCH("Networked",'Proposed Lighting'!#REF!)),0,IF(ISNUMBER(SEARCH("Strategies",'Proposed Lighting'!#REF!)),0,IF(ISNUMBER(SEARCH("Removal",'Proposed Lighting'!#REF!)),0,'Proposed Lighting'!#REF!))))</f>
        <v>#REF!</v>
      </c>
      <c r="H344" s="1830"/>
      <c r="I344" s="1830"/>
      <c r="J344" s="1830"/>
      <c r="K344" s="1215"/>
      <c r="L344" s="1246" t="e">
        <f t="shared" si="69"/>
        <v>#REF!</v>
      </c>
      <c r="M344" s="1224">
        <f t="shared" si="70"/>
        <v>0</v>
      </c>
      <c r="N344" s="1224">
        <f t="shared" si="71"/>
        <v>0</v>
      </c>
      <c r="O344" s="1825" t="e">
        <f>IF(G344=0,0,IF(ISNA('Proposed Lighting'!#REF!),0,'Proposed Lighting'!#REF!))</f>
        <v>#REF!</v>
      </c>
      <c r="P344" s="1825"/>
      <c r="Q344" s="1247"/>
      <c r="R344" s="1247"/>
      <c r="S344" s="1247"/>
      <c r="T344" s="1211"/>
      <c r="U344" s="1235">
        <f>IF(K344&gt;0.01,'Proposed Lighting'!#REF!,0)</f>
        <v>0</v>
      </c>
      <c r="V344" s="1248" t="e">
        <f>IF('Proposed Lighting'!#REF!=1,0,IF('Proposed Lighting'!#REF!=2,0,IF(AND('Proposed Lighting'!#REF!=3,'Proposed Lighting'!#REF!=0),1,0)))</f>
        <v>#REF!</v>
      </c>
      <c r="W344" s="1836"/>
      <c r="X344" s="1836"/>
      <c r="Y344" s="1836"/>
      <c r="Z344" s="1230" t="str">
        <f t="shared" si="65"/>
        <v/>
      </c>
      <c r="AA344" s="1230">
        <f t="shared" si="66"/>
        <v>0</v>
      </c>
      <c r="AB344" s="1230">
        <f>IF(Q344=0,0,IF(T344=0,0,IF(AA344=0,0,IF(AND(F344=3,V344=0),0,IF(T344=0,0,IF(K344&gt;'Proposed Lighting'!#REF!,0,IF('Proposed Lighting'!#REF!&gt;0.01,(K344*O344)*'Proposed Lighting'!#REF!/1000,(K344*O344)*U344/1000)))))))</f>
        <v>0</v>
      </c>
      <c r="AC344" s="1230" t="str">
        <f t="shared" si="72"/>
        <v/>
      </c>
      <c r="AD344" s="1230">
        <f t="shared" si="67"/>
        <v>0</v>
      </c>
      <c r="AE344" s="1230">
        <f>IF(T344=0,0,IF(K344&gt;'Proposed Lighting'!#REF!,0,IF(T344&gt;K344,0,IF(AND(AD344&gt;AA344,AA344&gt;0),0,IF(AND(F344&gt;1,W344&lt;0.01),0,IF('Proposed Lighting'!#REF!&gt;'Lighting Controls'!F344,0,IF('Proposed Lighting'!#REF!&lt;'Lighting Controls'!F344,0,IF(U344=0,0,Summary!#REF!))))))))</f>
        <v>0</v>
      </c>
      <c r="AF344" s="1230">
        <f>IF(T344=0,0,IF(AE344=0,0,IF(K344&gt;'Proposed Lighting'!#REF!,0,IF(AND(AD344&gt;AA344,AA344&gt;0),0,IF(U344=0,0,Summary!#REF!)))))</f>
        <v>0</v>
      </c>
      <c r="AG344" s="1834" t="e">
        <f>IF('Proposed Lighting'!#REF!=1,0,IF('Proposed Lighting'!#REF!=1,0,T344*W344))</f>
        <v>#REF!</v>
      </c>
      <c r="AH344" s="1834"/>
      <c r="AI344" s="1834"/>
      <c r="AJ344" s="1835">
        <f>IF(T344&lt;1,0,IF(K344&gt;'Proposed Lighting'!#REF!,0,IF('Proposed Lighting'!#REF!=1,0,IF('Proposed Lighting'!#REF!=1,0,IF(T344&gt;K344,0,IF(AND(AD344&gt;AA344,AA344&gt;0),0,IF(AND(F344=2,'Proposed Lighting'!#REF!=3),0,IF(AND(F344=3,'Proposed Lighting'!#REF!=2),0,IF('Proposed Lighting'!#REF!=100,0,IF(AND(F344&lt;3,V344=1,AM344=0),0,IF(AND(F344&gt;1,AF344&lt;1,AN344&lt;1),0,IF(AND(F344&gt;1,AE344&lt;0.69,AF344&lt;1,AN344&lt;1),0,IF(ISERROR(AB344-AC344),"",AB344-AC344)))))))))))))</f>
        <v>0</v>
      </c>
      <c r="AK344" s="1835"/>
      <c r="AL344" s="1835"/>
      <c r="AM344" s="1216">
        <f>IF(Q344=0,0,IF(T344=0,0,IF(T344&gt;K344,0,IF(AND(AS344&gt;0.01,BK344=0),0,IF(AND('Proposed Lighting'!#REF!=0,'Lighting Controls'!Z344=0.35),0,IF(AND(T344&lt;=K344,AA344&gt;=AD344,'Proposed Lighting'!#REF!=2),VLOOKUP(Q344,$AY$9:$AZ$15,2,FALSE),IF(AND(T344&lt;=K344,AA344&gt;=AD344,'Proposed Lighting'!#REF!=3),VLOOKUP(Q344,$AY$17:$AZ$23,2,FALSE))))))))</f>
        <v>0</v>
      </c>
      <c r="AN344" s="1248">
        <f>IF(T344=0,0,IF(K344&gt;'Proposed Lighting'!#REF!,0,IF(AE344=0,0,IF(AND(AD344&gt;AA344,AA344&gt;0),0,IF(U344=0,0,Summary!#REF!)))))</f>
        <v>0</v>
      </c>
      <c r="AO344" s="1248">
        <f t="shared" si="76"/>
        <v>0</v>
      </c>
      <c r="AP344" s="1249" t="e">
        <f>IF('Proposed Lighting'!#REF!=1,0,IF(K344=0,0,IF(T344&gt;K344,0,IF(G344=0,0,IF(K344&gt;'Proposed Lighting'!#REF!,0,IF(AND(AD344&gt;AA344,AA344&gt;0),0,IF(AND('Proposed Lighting'!#REF!=3,AM344=0.5),0,IF(AND(AM344&gt;0,AS344&gt;0,BI344&lt;2),0,IF('Proposed Lighting'!#REF!=100,0,IF(AV344=1,0,IF(AND(AM344=35,M344+N344&lt;2),0,AM344)))))))))))</f>
        <v>#REF!</v>
      </c>
      <c r="AQ344" s="1249" t="str">
        <f>IFERROR(ROUND(IF(Q344="","",IF('Proposed Lighting'!$X$4=0,0,IF(AND(AM344=35,M344+N344&lt;2),0,IF(T344&gt;K344,0,IF('Proposed Lighting'!#REF!=1,0,IF(AJ344=0,0,IF(AND('Proposed Lighting'!#REF!=3,AM344=0.5),0,IF(AND(AD344=75,AP344=0,AV344=0),0,IF(AP344&gt;0.01,AP344*T344,IF(AND(F344&gt;1,W344&lt;0.01),0,IF(AND(F344&gt;1,AO344=0),0,IF(AND('Proposed Lighting'!#REF!=22,AV344=0),0,IF(AND(AM344&gt;0,AS344&gt;0,BI344&lt;2),0,IF(AND(AS344&gt;0.01,BK344=0),0,IF(AND(AO344=TRUE,AV344=1,F344=3),MIN(AJ344*0.08,L344),IF(AP344&gt;0.01,AP344*T344,IF(AND(AO344=TRUE,AV344=1,F344=2),MIN(AJ344*0.1,L344)))))))))))))))))),2),"")</f>
        <v/>
      </c>
      <c r="AR344" s="1250">
        <f>IF(Q344=0,0,IF('Proposed Lighting'!$X$4=0,0,IF(AND(AM344&gt;0.01,AQ344&gt;0.01),0,IF('Proposed Lighting'!#REF!=1,"Missing Interior or Exterior Selection",IF('Proposed Lighting'!#REF!=1,"Selection does not match",IF(K344&gt;'Proposed Lighting'!#REF!,"Quantity controlled does not match proposed lighting quantity",IF(T344&gt;K344,"Quantity of sensors exceeds proposed lighting quantity",IF(AND(F344&gt;1,'Proposed Lighting'!#REF!&lt;&gt;F344),"Selection does not match",IF(AND(AD344&gt;AA344,AA344&gt;0),"Does not meet minimum connected load",IF(AND(O344&gt;0,AS344&gt;0,BK344&gt;0,'Proposed Lighting'!#REF!=0),"Select Control Strategies",IF(AND(AC344&gt;0.1,AJ344=0,AQ344=0),"Does not meet incentive criteria",0)))))))))))</f>
        <v>0</v>
      </c>
      <c r="AS344" s="1224" t="e">
        <f>IF('Proposed Lighting'!#REF!=100,0,IF(ISNUMBER(SEARCH("multiple",Q344)),1,0))</f>
        <v>#REF!</v>
      </c>
      <c r="AT344" s="451">
        <f t="shared" si="73"/>
        <v>0</v>
      </c>
      <c r="AU344" s="451" t="e">
        <f t="shared" si="74"/>
        <v>#REF!</v>
      </c>
      <c r="AV344" s="1222">
        <f>IF(ISNUMBER(SEARCH("Networked",'Proposed Lighting'!#REF!)),0,IF(ISNUMBER(SEARCH("Strategies",'Proposed Lighting'!#REF!)),0,IF(ISNUMBER(SEARCH("Removal",'Proposed Lighting'!#REF!)),0,IF(ISNUMBER(SEARCH("non-standard",Q344)),1,0))))</f>
        <v>0</v>
      </c>
      <c r="AW344" s="451">
        <f t="shared" si="77"/>
        <v>0</v>
      </c>
      <c r="AX344" s="451"/>
      <c r="AY344" s="451"/>
      <c r="AZ344" s="451"/>
      <c r="BA344" s="451"/>
      <c r="BB344" s="451"/>
      <c r="BC344" s="1215"/>
      <c r="BD344" s="1215"/>
      <c r="BE344" s="1215"/>
      <c r="BF344" s="1215"/>
      <c r="BG344" s="1215"/>
      <c r="BH344" s="1215"/>
      <c r="BI344" t="e">
        <f>IF(AND(AS344=1,BC344="No",BD344="Yes",BE344="Yes",BF344="No",BH344="No"),0,IF(AND('Proposed Lighting'!#REF!=2,AS344=1,BC344="Yes",BD344="Yes"),2,IF(AND('Proposed Lighting'!#REF!=2,AS344=1,BC344="Yes",BE344="Yes"),2,IF(AND('Proposed Lighting'!#REF!=2,AS344=1,BC344="Yes",BF344="Yes"),2,IF(AND('Proposed Lighting'!#REF!=2,AS344=1,BC344="Yes",BH344="Yes"),2,IF(AND('Proposed Lighting'!#REF!=2,AS344=1,BD344="Yes",BF344="Yes"),2,IF(AND('Proposed Lighting'!#REF!=2,AS344=1,BD344="Yes",BH344="Yes"),2,IF(AND('Proposed Lighting'!#REF!=3,AS344=1,BC344="Yes",BE344="Yes"),2,IF(AND('Proposed Lighting'!#REF!=3,AS344=1,BC344="Yes",BF344="Yes"),2,0)))))))))</f>
        <v>#REF!</v>
      </c>
      <c r="BJ344" s="1025" t="e">
        <f t="shared" si="75"/>
        <v>#REF!</v>
      </c>
      <c r="BK344" t="e">
        <f>IF(AND('Proposed Lighting'!#REF!=22,'Lighting Controls'!N344=1),0,IF(ISNUMBER(SEARCH("LED",G344)),1,0))</f>
        <v>#REF!</v>
      </c>
    </row>
    <row r="345" spans="1:63" ht="34.5" customHeight="1">
      <c r="A345" s="917">
        <v>337</v>
      </c>
      <c r="B345" s="1828" t="e">
        <f>IF('Proposed Lighting'!#REF!="","",'Proposed Lighting'!#REF!)</f>
        <v>#REF!</v>
      </c>
      <c r="C345" s="1828"/>
      <c r="D345" s="1828"/>
      <c r="E345" s="1245" t="e">
        <f>'Proposed Lighting'!#REF!</f>
        <v>#REF!</v>
      </c>
      <c r="F345" s="1245">
        <f t="shared" si="68"/>
        <v>0</v>
      </c>
      <c r="G345" s="1830" t="e">
        <f>IF('Proposed Lighting'!#REF!="","",IF(ISNUMBER(SEARCH("Networked",'Proposed Lighting'!#REF!)),0,IF(ISNUMBER(SEARCH("Strategies",'Proposed Lighting'!#REF!)),0,IF(ISNUMBER(SEARCH("Removal",'Proposed Lighting'!#REF!)),0,'Proposed Lighting'!#REF!))))</f>
        <v>#REF!</v>
      </c>
      <c r="H345" s="1830"/>
      <c r="I345" s="1830"/>
      <c r="J345" s="1830"/>
      <c r="K345" s="1215"/>
      <c r="L345" s="1246" t="e">
        <f t="shared" si="69"/>
        <v>#REF!</v>
      </c>
      <c r="M345" s="1224">
        <f t="shared" si="70"/>
        <v>0</v>
      </c>
      <c r="N345" s="1224">
        <f t="shared" si="71"/>
        <v>0</v>
      </c>
      <c r="O345" s="1825" t="e">
        <f>IF(G345=0,0,IF(ISNA('Proposed Lighting'!#REF!),0,'Proposed Lighting'!#REF!))</f>
        <v>#REF!</v>
      </c>
      <c r="P345" s="1825"/>
      <c r="Q345" s="1247"/>
      <c r="R345" s="1247"/>
      <c r="S345" s="1247"/>
      <c r="T345" s="1211"/>
      <c r="U345" s="1235">
        <f>IF(K345&gt;0.01,'Proposed Lighting'!#REF!,0)</f>
        <v>0</v>
      </c>
      <c r="V345" s="1248" t="e">
        <f>IF('Proposed Lighting'!#REF!=1,0,IF('Proposed Lighting'!#REF!=2,0,IF(AND('Proposed Lighting'!#REF!=3,'Proposed Lighting'!#REF!=0),1,0)))</f>
        <v>#REF!</v>
      </c>
      <c r="W345" s="1836"/>
      <c r="X345" s="1836"/>
      <c r="Y345" s="1836"/>
      <c r="Z345" s="1230" t="str">
        <f t="shared" si="65"/>
        <v/>
      </c>
      <c r="AA345" s="1230">
        <f t="shared" si="66"/>
        <v>0</v>
      </c>
      <c r="AB345" s="1230">
        <f>IF(Q345=0,0,IF(T345=0,0,IF(AA345=0,0,IF(AND(F345=3,V345=0),0,IF(T345=0,0,IF(K345&gt;'Proposed Lighting'!#REF!,0,IF('Proposed Lighting'!#REF!&gt;0.01,(K345*O345)*'Proposed Lighting'!#REF!/1000,(K345*O345)*U345/1000)))))))</f>
        <v>0</v>
      </c>
      <c r="AC345" s="1230" t="str">
        <f t="shared" si="72"/>
        <v/>
      </c>
      <c r="AD345" s="1230">
        <f t="shared" si="67"/>
        <v>0</v>
      </c>
      <c r="AE345" s="1230">
        <f>IF(T345=0,0,IF(K345&gt;'Proposed Lighting'!#REF!,0,IF(T345&gt;K345,0,IF(AND(AD345&gt;AA345,AA345&gt;0),0,IF(AND(F345&gt;1,W345&lt;0.01),0,IF('Proposed Lighting'!#REF!&gt;'Lighting Controls'!F345,0,IF('Proposed Lighting'!#REF!&lt;'Lighting Controls'!F345,0,IF(U345=0,0,Summary!#REF!))))))))</f>
        <v>0</v>
      </c>
      <c r="AF345" s="1230">
        <f>IF(T345=0,0,IF(AE345=0,0,IF(K345&gt;'Proposed Lighting'!#REF!,0,IF(AND(AD345&gt;AA345,AA345&gt;0),0,IF(U345=0,0,Summary!#REF!)))))</f>
        <v>0</v>
      </c>
      <c r="AG345" s="1834" t="e">
        <f>IF('Proposed Lighting'!#REF!=1,0,IF('Proposed Lighting'!#REF!=1,0,T345*W345))</f>
        <v>#REF!</v>
      </c>
      <c r="AH345" s="1834"/>
      <c r="AI345" s="1834"/>
      <c r="AJ345" s="1835">
        <f>IF(T345&lt;1,0,IF(K345&gt;'Proposed Lighting'!#REF!,0,IF('Proposed Lighting'!#REF!=1,0,IF('Proposed Lighting'!#REF!=1,0,IF(T345&gt;K345,0,IF(AND(AD345&gt;AA345,AA345&gt;0),0,IF(AND(F345=2,'Proposed Lighting'!#REF!=3),0,IF(AND(F345=3,'Proposed Lighting'!#REF!=2),0,IF('Proposed Lighting'!#REF!=100,0,IF(AND(F345&lt;3,V345=1,AM345=0),0,IF(AND(F345&gt;1,AF345&lt;1,AN345&lt;1),0,IF(AND(F345&gt;1,AE345&lt;0.69,AF345&lt;1,AN345&lt;1),0,IF(ISERROR(AB345-AC345),"",AB345-AC345)))))))))))))</f>
        <v>0</v>
      </c>
      <c r="AK345" s="1835"/>
      <c r="AL345" s="1835"/>
      <c r="AM345" s="1216">
        <f>IF(Q345=0,0,IF(T345=0,0,IF(T345&gt;K345,0,IF(AND(AS345&gt;0.01,BK345=0),0,IF(AND('Proposed Lighting'!#REF!=0,'Lighting Controls'!Z345=0.35),0,IF(AND(T345&lt;=K345,AA345&gt;=AD345,'Proposed Lighting'!#REF!=2),VLOOKUP(Q345,$AY$9:$AZ$15,2,FALSE),IF(AND(T345&lt;=K345,AA345&gt;=AD345,'Proposed Lighting'!#REF!=3),VLOOKUP(Q345,$AY$17:$AZ$23,2,FALSE))))))))</f>
        <v>0</v>
      </c>
      <c r="AN345" s="1248">
        <f>IF(T345=0,0,IF(K345&gt;'Proposed Lighting'!#REF!,0,IF(AE345=0,0,IF(AND(AD345&gt;AA345,AA345&gt;0),0,IF(U345=0,0,Summary!#REF!)))))</f>
        <v>0</v>
      </c>
      <c r="AO345" s="1248">
        <f t="shared" si="76"/>
        <v>0</v>
      </c>
      <c r="AP345" s="1249" t="e">
        <f>IF('Proposed Lighting'!#REF!=1,0,IF(K345=0,0,IF(T345&gt;K345,0,IF(G345=0,0,IF(K345&gt;'Proposed Lighting'!#REF!,0,IF(AND(AD345&gt;AA345,AA345&gt;0),0,IF(AND('Proposed Lighting'!#REF!=3,AM345=0.5),0,IF(AND(AM345&gt;0,AS345&gt;0,BI345&lt;2),0,IF('Proposed Lighting'!#REF!=100,0,IF(AV345=1,0,IF(AND(AM345=35,M345+N345&lt;2),0,AM345)))))))))))</f>
        <v>#REF!</v>
      </c>
      <c r="AQ345" s="1249" t="str">
        <f>IFERROR(ROUND(IF(Q345="","",IF('Proposed Lighting'!$X$4=0,0,IF(AND(AM345=35,M345+N345&lt;2),0,IF(T345&gt;K345,0,IF('Proposed Lighting'!#REF!=1,0,IF(AJ345=0,0,IF(AND('Proposed Lighting'!#REF!=3,AM345=0.5),0,IF(AND(AD345=75,AP345=0,AV345=0),0,IF(AP345&gt;0.01,AP345*T345,IF(AND(F345&gt;1,W345&lt;0.01),0,IF(AND(F345&gt;1,AO345=0),0,IF(AND('Proposed Lighting'!#REF!=22,AV345=0),0,IF(AND(AM345&gt;0,AS345&gt;0,BI345&lt;2),0,IF(AND(AS345&gt;0.01,BK345=0),0,IF(AND(AO345=TRUE,AV345=1,F345=3),MIN(AJ345*0.08,L345),IF(AP345&gt;0.01,AP345*T345,IF(AND(AO345=TRUE,AV345=1,F345=2),MIN(AJ345*0.1,L345)))))))))))))))))),2),"")</f>
        <v/>
      </c>
      <c r="AR345" s="1250">
        <f>IF(Q345=0,0,IF('Proposed Lighting'!$X$4=0,0,IF(AND(AM345&gt;0.01,AQ345&gt;0.01),0,IF('Proposed Lighting'!#REF!=1,"Missing Interior or Exterior Selection",IF('Proposed Lighting'!#REF!=1,"Selection does not match",IF(K345&gt;'Proposed Lighting'!#REF!,"Quantity controlled does not match proposed lighting quantity",IF(T345&gt;K345,"Quantity of sensors exceeds proposed lighting quantity",IF(AND(F345&gt;1,'Proposed Lighting'!#REF!&lt;&gt;F345),"Selection does not match",IF(AND(AD345&gt;AA345,AA345&gt;0),"Does not meet minimum connected load",IF(AND(O345&gt;0,AS345&gt;0,BK345&gt;0,'Proposed Lighting'!#REF!=0),"Select Control Strategies",IF(AND(AC345&gt;0.1,AJ345=0,AQ345=0),"Does not meet incentive criteria",0)))))))))))</f>
        <v>0</v>
      </c>
      <c r="AS345" s="1224" t="e">
        <f>IF('Proposed Lighting'!#REF!=100,0,IF(ISNUMBER(SEARCH("multiple",Q345)),1,0))</f>
        <v>#REF!</v>
      </c>
      <c r="AT345" s="451">
        <f t="shared" si="73"/>
        <v>0</v>
      </c>
      <c r="AU345" s="451" t="e">
        <f t="shared" si="74"/>
        <v>#REF!</v>
      </c>
      <c r="AV345" s="1222">
        <f>IF(ISNUMBER(SEARCH("Networked",'Proposed Lighting'!#REF!)),0,IF(ISNUMBER(SEARCH("Strategies",'Proposed Lighting'!#REF!)),0,IF(ISNUMBER(SEARCH("Removal",'Proposed Lighting'!#REF!)),0,IF(ISNUMBER(SEARCH("non-standard",Q345)),1,0))))</f>
        <v>0</v>
      </c>
      <c r="AW345" s="451">
        <f t="shared" si="77"/>
        <v>0</v>
      </c>
      <c r="AX345" s="451"/>
      <c r="AY345" s="451"/>
      <c r="AZ345" s="451"/>
      <c r="BA345" s="451"/>
      <c r="BB345" s="451"/>
      <c r="BC345" s="1215"/>
      <c r="BD345" s="1215"/>
      <c r="BE345" s="1215"/>
      <c r="BF345" s="1215"/>
      <c r="BG345" s="1215"/>
      <c r="BH345" s="1215"/>
      <c r="BI345" t="e">
        <f>IF(AND(AS345=1,BC345="No",BD345="Yes",BE345="Yes",BF345="No",BH345="No"),0,IF(AND('Proposed Lighting'!#REF!=2,AS345=1,BC345="Yes",BD345="Yes"),2,IF(AND('Proposed Lighting'!#REF!=2,AS345=1,BC345="Yes",BE345="Yes"),2,IF(AND('Proposed Lighting'!#REF!=2,AS345=1,BC345="Yes",BF345="Yes"),2,IF(AND('Proposed Lighting'!#REF!=2,AS345=1,BC345="Yes",BH345="Yes"),2,IF(AND('Proposed Lighting'!#REF!=2,AS345=1,BD345="Yes",BF345="Yes"),2,IF(AND('Proposed Lighting'!#REF!=2,AS345=1,BD345="Yes",BH345="Yes"),2,IF(AND('Proposed Lighting'!#REF!=3,AS345=1,BC345="Yes",BE345="Yes"),2,IF(AND('Proposed Lighting'!#REF!=3,AS345=1,BC345="Yes",BF345="Yes"),2,0)))))))))</f>
        <v>#REF!</v>
      </c>
      <c r="BJ345" s="1025" t="e">
        <f t="shared" si="75"/>
        <v>#REF!</v>
      </c>
      <c r="BK345" t="e">
        <f>IF(AND('Proposed Lighting'!#REF!=22,'Lighting Controls'!N345=1),0,IF(ISNUMBER(SEARCH("LED",G345)),1,0))</f>
        <v>#REF!</v>
      </c>
    </row>
    <row r="346" spans="1:63" ht="34.5" customHeight="1">
      <c r="A346" s="917">
        <v>338</v>
      </c>
      <c r="B346" s="1828" t="e">
        <f>IF('Proposed Lighting'!#REF!="","",'Proposed Lighting'!#REF!)</f>
        <v>#REF!</v>
      </c>
      <c r="C346" s="1828"/>
      <c r="D346" s="1828"/>
      <c r="E346" s="1245" t="e">
        <f>'Proposed Lighting'!#REF!</f>
        <v>#REF!</v>
      </c>
      <c r="F346" s="1245">
        <f t="shared" si="68"/>
        <v>0</v>
      </c>
      <c r="G346" s="1830" t="e">
        <f>IF('Proposed Lighting'!#REF!="","",IF(ISNUMBER(SEARCH("Networked",'Proposed Lighting'!#REF!)),0,IF(ISNUMBER(SEARCH("Strategies",'Proposed Lighting'!#REF!)),0,IF(ISNUMBER(SEARCH("Removal",'Proposed Lighting'!#REF!)),0,'Proposed Lighting'!#REF!))))</f>
        <v>#REF!</v>
      </c>
      <c r="H346" s="1830"/>
      <c r="I346" s="1830"/>
      <c r="J346" s="1830"/>
      <c r="K346" s="1215"/>
      <c r="L346" s="1246" t="e">
        <f t="shared" si="69"/>
        <v>#REF!</v>
      </c>
      <c r="M346" s="1224">
        <f t="shared" si="70"/>
        <v>0</v>
      </c>
      <c r="N346" s="1224">
        <f t="shared" si="71"/>
        <v>0</v>
      </c>
      <c r="O346" s="1825" t="e">
        <f>IF(G346=0,0,IF(ISNA('Proposed Lighting'!#REF!),0,'Proposed Lighting'!#REF!))</f>
        <v>#REF!</v>
      </c>
      <c r="P346" s="1825"/>
      <c r="Q346" s="1247"/>
      <c r="R346" s="1247"/>
      <c r="S346" s="1247"/>
      <c r="T346" s="1211"/>
      <c r="U346" s="1235">
        <f>IF(K346&gt;0.01,'Proposed Lighting'!#REF!,0)</f>
        <v>0</v>
      </c>
      <c r="V346" s="1248" t="e">
        <f>IF('Proposed Lighting'!#REF!=1,0,IF('Proposed Lighting'!#REF!=2,0,IF(AND('Proposed Lighting'!#REF!=3,'Proposed Lighting'!#REF!=0),1,0)))</f>
        <v>#REF!</v>
      </c>
      <c r="W346" s="1836"/>
      <c r="X346" s="1836"/>
      <c r="Y346" s="1836"/>
      <c r="Z346" s="1230" t="str">
        <f t="shared" si="65"/>
        <v/>
      </c>
      <c r="AA346" s="1230">
        <f t="shared" si="66"/>
        <v>0</v>
      </c>
      <c r="AB346" s="1230">
        <f>IF(Q346=0,0,IF(T346=0,0,IF(AA346=0,0,IF(AND(F346=3,V346=0),0,IF(T346=0,0,IF(K346&gt;'Proposed Lighting'!#REF!,0,IF('Proposed Lighting'!#REF!&gt;0.01,(K346*O346)*'Proposed Lighting'!#REF!/1000,(K346*O346)*U346/1000)))))))</f>
        <v>0</v>
      </c>
      <c r="AC346" s="1230" t="str">
        <f t="shared" si="72"/>
        <v/>
      </c>
      <c r="AD346" s="1230">
        <f t="shared" si="67"/>
        <v>0</v>
      </c>
      <c r="AE346" s="1230">
        <f>IF(T346=0,0,IF(K346&gt;'Proposed Lighting'!#REF!,0,IF(T346&gt;K346,0,IF(AND(AD346&gt;AA346,AA346&gt;0),0,IF(AND(F346&gt;1,W346&lt;0.01),0,IF('Proposed Lighting'!#REF!&gt;'Lighting Controls'!F346,0,IF('Proposed Lighting'!#REF!&lt;'Lighting Controls'!F346,0,IF(U346=0,0,Summary!#REF!))))))))</f>
        <v>0</v>
      </c>
      <c r="AF346" s="1230">
        <f>IF(T346=0,0,IF(AE346=0,0,IF(K346&gt;'Proposed Lighting'!#REF!,0,IF(AND(AD346&gt;AA346,AA346&gt;0),0,IF(U346=0,0,Summary!#REF!)))))</f>
        <v>0</v>
      </c>
      <c r="AG346" s="1834" t="e">
        <f>IF('Proposed Lighting'!#REF!=1,0,IF('Proposed Lighting'!#REF!=1,0,T346*W346))</f>
        <v>#REF!</v>
      </c>
      <c r="AH346" s="1834"/>
      <c r="AI346" s="1834"/>
      <c r="AJ346" s="1835">
        <f>IF(T346&lt;1,0,IF(K346&gt;'Proposed Lighting'!#REF!,0,IF('Proposed Lighting'!#REF!=1,0,IF('Proposed Lighting'!#REF!=1,0,IF(T346&gt;K346,0,IF(AND(AD346&gt;AA346,AA346&gt;0),0,IF(AND(F346=2,'Proposed Lighting'!#REF!=3),0,IF(AND(F346=3,'Proposed Lighting'!#REF!=2),0,IF('Proposed Lighting'!#REF!=100,0,IF(AND(F346&lt;3,V346=1,AM346=0),0,IF(AND(F346&gt;1,AF346&lt;1,AN346&lt;1),0,IF(AND(F346&gt;1,AE346&lt;0.69,AF346&lt;1,AN346&lt;1),0,IF(ISERROR(AB346-AC346),"",AB346-AC346)))))))))))))</f>
        <v>0</v>
      </c>
      <c r="AK346" s="1835"/>
      <c r="AL346" s="1835"/>
      <c r="AM346" s="1216">
        <f>IF(Q346=0,0,IF(T346=0,0,IF(T346&gt;K346,0,IF(AND(AS346&gt;0.01,BK346=0),0,IF(AND('Proposed Lighting'!#REF!=0,'Lighting Controls'!Z346=0.35),0,IF(AND(T346&lt;=K346,AA346&gt;=AD346,'Proposed Lighting'!#REF!=2),VLOOKUP(Q346,$AY$9:$AZ$15,2,FALSE),IF(AND(T346&lt;=K346,AA346&gt;=AD346,'Proposed Lighting'!#REF!=3),VLOOKUP(Q346,$AY$17:$AZ$23,2,FALSE))))))))</f>
        <v>0</v>
      </c>
      <c r="AN346" s="1248">
        <f>IF(T346=0,0,IF(K346&gt;'Proposed Lighting'!#REF!,0,IF(AE346=0,0,IF(AND(AD346&gt;AA346,AA346&gt;0),0,IF(U346=0,0,Summary!#REF!)))))</f>
        <v>0</v>
      </c>
      <c r="AO346" s="1248">
        <f t="shared" si="76"/>
        <v>0</v>
      </c>
      <c r="AP346" s="1249" t="e">
        <f>IF('Proposed Lighting'!#REF!=1,0,IF(K346=0,0,IF(T346&gt;K346,0,IF(G346=0,0,IF(K346&gt;'Proposed Lighting'!#REF!,0,IF(AND(AD346&gt;AA346,AA346&gt;0),0,IF(AND('Proposed Lighting'!#REF!=3,AM346=0.5),0,IF(AND(AM346&gt;0,AS346&gt;0,BI346&lt;2),0,IF('Proposed Lighting'!#REF!=100,0,IF(AV346=1,0,IF(AND(AM346=35,M346+N346&lt;2),0,AM346)))))))))))</f>
        <v>#REF!</v>
      </c>
      <c r="AQ346" s="1249" t="str">
        <f>IFERROR(ROUND(IF(Q346="","",IF('Proposed Lighting'!$X$4=0,0,IF(AND(AM346=35,M346+N346&lt;2),0,IF(T346&gt;K346,0,IF('Proposed Lighting'!#REF!=1,0,IF(AJ346=0,0,IF(AND('Proposed Lighting'!#REF!=3,AM346=0.5),0,IF(AND(AD346=75,AP346=0,AV346=0),0,IF(AP346&gt;0.01,AP346*T346,IF(AND(F346&gt;1,W346&lt;0.01),0,IF(AND(F346&gt;1,AO346=0),0,IF(AND('Proposed Lighting'!#REF!=22,AV346=0),0,IF(AND(AM346&gt;0,AS346&gt;0,BI346&lt;2),0,IF(AND(AS346&gt;0.01,BK346=0),0,IF(AND(AO346=TRUE,AV346=1,F346=3),MIN(AJ346*0.08,L346),IF(AP346&gt;0.01,AP346*T346,IF(AND(AO346=TRUE,AV346=1,F346=2),MIN(AJ346*0.1,L346)))))))))))))))))),2),"")</f>
        <v/>
      </c>
      <c r="AR346" s="1250">
        <f>IF(Q346=0,0,IF('Proposed Lighting'!$X$4=0,0,IF(AND(AM346&gt;0.01,AQ346&gt;0.01),0,IF('Proposed Lighting'!#REF!=1,"Missing Interior or Exterior Selection",IF('Proposed Lighting'!#REF!=1,"Selection does not match",IF(K346&gt;'Proposed Lighting'!#REF!,"Quantity controlled does not match proposed lighting quantity",IF(T346&gt;K346,"Quantity of sensors exceeds proposed lighting quantity",IF(AND(F346&gt;1,'Proposed Lighting'!#REF!&lt;&gt;F346),"Selection does not match",IF(AND(AD346&gt;AA346,AA346&gt;0),"Does not meet minimum connected load",IF(AND(O346&gt;0,AS346&gt;0,BK346&gt;0,'Proposed Lighting'!#REF!=0),"Select Control Strategies",IF(AND(AC346&gt;0.1,AJ346=0,AQ346=0),"Does not meet incentive criteria",0)))))))))))</f>
        <v>0</v>
      </c>
      <c r="AS346" s="1224" t="e">
        <f>IF('Proposed Lighting'!#REF!=100,0,IF(ISNUMBER(SEARCH("multiple",Q346)),1,0))</f>
        <v>#REF!</v>
      </c>
      <c r="AT346" s="451">
        <f t="shared" si="73"/>
        <v>0</v>
      </c>
      <c r="AU346" s="451" t="e">
        <f t="shared" si="74"/>
        <v>#REF!</v>
      </c>
      <c r="AV346" s="1222">
        <f>IF(ISNUMBER(SEARCH("Networked",'Proposed Lighting'!#REF!)),0,IF(ISNUMBER(SEARCH("Strategies",'Proposed Lighting'!#REF!)),0,IF(ISNUMBER(SEARCH("Removal",'Proposed Lighting'!#REF!)),0,IF(ISNUMBER(SEARCH("non-standard",Q346)),1,0))))</f>
        <v>0</v>
      </c>
      <c r="AW346" s="451">
        <f t="shared" si="77"/>
        <v>0</v>
      </c>
      <c r="AX346" s="451"/>
      <c r="AY346" s="451"/>
      <c r="AZ346" s="451"/>
      <c r="BA346" s="451"/>
      <c r="BB346" s="451"/>
      <c r="BC346" s="1215"/>
      <c r="BD346" s="1215"/>
      <c r="BE346" s="1215"/>
      <c r="BF346" s="1215"/>
      <c r="BG346" s="1215"/>
      <c r="BH346" s="1215"/>
      <c r="BI346" t="e">
        <f>IF(AND(AS346=1,BC346="No",BD346="Yes",BE346="Yes",BF346="No",BH346="No"),0,IF(AND('Proposed Lighting'!#REF!=2,AS346=1,BC346="Yes",BD346="Yes"),2,IF(AND('Proposed Lighting'!#REF!=2,AS346=1,BC346="Yes",BE346="Yes"),2,IF(AND('Proposed Lighting'!#REF!=2,AS346=1,BC346="Yes",BF346="Yes"),2,IF(AND('Proposed Lighting'!#REF!=2,AS346=1,BC346="Yes",BH346="Yes"),2,IF(AND('Proposed Lighting'!#REF!=2,AS346=1,BD346="Yes",BF346="Yes"),2,IF(AND('Proposed Lighting'!#REF!=2,AS346=1,BD346="Yes",BH346="Yes"),2,IF(AND('Proposed Lighting'!#REF!=3,AS346=1,BC346="Yes",BE346="Yes"),2,IF(AND('Proposed Lighting'!#REF!=3,AS346=1,BC346="Yes",BF346="Yes"),2,0)))))))))</f>
        <v>#REF!</v>
      </c>
      <c r="BJ346" s="1025" t="e">
        <f t="shared" si="75"/>
        <v>#REF!</v>
      </c>
      <c r="BK346" t="e">
        <f>IF(AND('Proposed Lighting'!#REF!=22,'Lighting Controls'!N346=1),0,IF(ISNUMBER(SEARCH("LED",G346)),1,0))</f>
        <v>#REF!</v>
      </c>
    </row>
    <row r="347" spans="1:63" ht="34.5" customHeight="1">
      <c r="A347" s="917">
        <v>339</v>
      </c>
      <c r="B347" s="1828" t="e">
        <f>IF('Proposed Lighting'!#REF!="","",'Proposed Lighting'!#REF!)</f>
        <v>#REF!</v>
      </c>
      <c r="C347" s="1828"/>
      <c r="D347" s="1828"/>
      <c r="E347" s="1245" t="e">
        <f>'Proposed Lighting'!#REF!</f>
        <v>#REF!</v>
      </c>
      <c r="F347" s="1245">
        <f t="shared" si="68"/>
        <v>0</v>
      </c>
      <c r="G347" s="1830" t="e">
        <f>IF('Proposed Lighting'!#REF!="","",IF(ISNUMBER(SEARCH("Networked",'Proposed Lighting'!#REF!)),0,IF(ISNUMBER(SEARCH("Strategies",'Proposed Lighting'!#REF!)),0,IF(ISNUMBER(SEARCH("Removal",'Proposed Lighting'!#REF!)),0,'Proposed Lighting'!#REF!))))</f>
        <v>#REF!</v>
      </c>
      <c r="H347" s="1830"/>
      <c r="I347" s="1830"/>
      <c r="J347" s="1830"/>
      <c r="K347" s="1215"/>
      <c r="L347" s="1246" t="e">
        <f t="shared" si="69"/>
        <v>#REF!</v>
      </c>
      <c r="M347" s="1224">
        <f t="shared" si="70"/>
        <v>0</v>
      </c>
      <c r="N347" s="1224">
        <f t="shared" si="71"/>
        <v>0</v>
      </c>
      <c r="O347" s="1825" t="e">
        <f>IF(G347=0,0,IF(ISNA('Proposed Lighting'!#REF!),0,'Proposed Lighting'!#REF!))</f>
        <v>#REF!</v>
      </c>
      <c r="P347" s="1825"/>
      <c r="Q347" s="1247"/>
      <c r="R347" s="1247"/>
      <c r="S347" s="1247"/>
      <c r="T347" s="1211"/>
      <c r="U347" s="1235">
        <f>IF(K347&gt;0.01,'Proposed Lighting'!#REF!,0)</f>
        <v>0</v>
      </c>
      <c r="V347" s="1248" t="e">
        <f>IF('Proposed Lighting'!#REF!=1,0,IF('Proposed Lighting'!#REF!=2,0,IF(AND('Proposed Lighting'!#REF!=3,'Proposed Lighting'!#REF!=0),1,0)))</f>
        <v>#REF!</v>
      </c>
      <c r="W347" s="1836"/>
      <c r="X347" s="1836"/>
      <c r="Y347" s="1836"/>
      <c r="Z347" s="1230" t="str">
        <f t="shared" si="65"/>
        <v/>
      </c>
      <c r="AA347" s="1230">
        <f t="shared" si="66"/>
        <v>0</v>
      </c>
      <c r="AB347" s="1230">
        <f>IF(Q347=0,0,IF(T347=0,0,IF(AA347=0,0,IF(AND(F347=3,V347=0),0,IF(T347=0,0,IF(K347&gt;'Proposed Lighting'!#REF!,0,IF('Proposed Lighting'!#REF!&gt;0.01,(K347*O347)*'Proposed Lighting'!#REF!/1000,(K347*O347)*U347/1000)))))))</f>
        <v>0</v>
      </c>
      <c r="AC347" s="1230" t="str">
        <f t="shared" si="72"/>
        <v/>
      </c>
      <c r="AD347" s="1230">
        <f t="shared" si="67"/>
        <v>0</v>
      </c>
      <c r="AE347" s="1230">
        <f>IF(T347=0,0,IF(K347&gt;'Proposed Lighting'!#REF!,0,IF(T347&gt;K347,0,IF(AND(AD347&gt;AA347,AA347&gt;0),0,IF(AND(F347&gt;1,W347&lt;0.01),0,IF('Proposed Lighting'!#REF!&gt;'Lighting Controls'!F347,0,IF('Proposed Lighting'!#REF!&lt;'Lighting Controls'!F347,0,IF(U347=0,0,Summary!#REF!))))))))</f>
        <v>0</v>
      </c>
      <c r="AF347" s="1230">
        <f>IF(T347=0,0,IF(AE347=0,0,IF(K347&gt;'Proposed Lighting'!#REF!,0,IF(AND(AD347&gt;AA347,AA347&gt;0),0,IF(U347=0,0,Summary!#REF!)))))</f>
        <v>0</v>
      </c>
      <c r="AG347" s="1834" t="e">
        <f>IF('Proposed Lighting'!#REF!=1,0,IF('Proposed Lighting'!#REF!=1,0,T347*W347))</f>
        <v>#REF!</v>
      </c>
      <c r="AH347" s="1834"/>
      <c r="AI347" s="1834"/>
      <c r="AJ347" s="1835">
        <f>IF(T347&lt;1,0,IF(K347&gt;'Proposed Lighting'!#REF!,0,IF('Proposed Lighting'!#REF!=1,0,IF('Proposed Lighting'!#REF!=1,0,IF(T347&gt;K347,0,IF(AND(AD347&gt;AA347,AA347&gt;0),0,IF(AND(F347=2,'Proposed Lighting'!#REF!=3),0,IF(AND(F347=3,'Proposed Lighting'!#REF!=2),0,IF('Proposed Lighting'!#REF!=100,0,IF(AND(F347&lt;3,V347=1,AM347=0),0,IF(AND(F347&gt;1,AF347&lt;1,AN347&lt;1),0,IF(AND(F347&gt;1,AE347&lt;0.69,AF347&lt;1,AN347&lt;1),0,IF(ISERROR(AB347-AC347),"",AB347-AC347)))))))))))))</f>
        <v>0</v>
      </c>
      <c r="AK347" s="1835"/>
      <c r="AL347" s="1835"/>
      <c r="AM347" s="1216">
        <f>IF(Q347=0,0,IF(T347=0,0,IF(T347&gt;K347,0,IF(AND(AS347&gt;0.01,BK347=0),0,IF(AND('Proposed Lighting'!#REF!=0,'Lighting Controls'!Z347=0.35),0,IF(AND(T347&lt;=K347,AA347&gt;=AD347,'Proposed Lighting'!#REF!=2),VLOOKUP(Q347,$AY$9:$AZ$15,2,FALSE),IF(AND(T347&lt;=K347,AA347&gt;=AD347,'Proposed Lighting'!#REF!=3),VLOOKUP(Q347,$AY$17:$AZ$23,2,FALSE))))))))</f>
        <v>0</v>
      </c>
      <c r="AN347" s="1248">
        <f>IF(T347=0,0,IF(K347&gt;'Proposed Lighting'!#REF!,0,IF(AE347=0,0,IF(AND(AD347&gt;AA347,AA347&gt;0),0,IF(U347=0,0,Summary!#REF!)))))</f>
        <v>0</v>
      </c>
      <c r="AO347" s="1248">
        <f t="shared" si="76"/>
        <v>0</v>
      </c>
      <c r="AP347" s="1249" t="e">
        <f>IF('Proposed Lighting'!#REF!=1,0,IF(K347=0,0,IF(T347&gt;K347,0,IF(G347=0,0,IF(K347&gt;'Proposed Lighting'!#REF!,0,IF(AND(AD347&gt;AA347,AA347&gt;0),0,IF(AND('Proposed Lighting'!#REF!=3,AM347=0.5),0,IF(AND(AM347&gt;0,AS347&gt;0,BI347&lt;2),0,IF('Proposed Lighting'!#REF!=100,0,IF(AV347=1,0,IF(AND(AM347=35,M347+N347&lt;2),0,AM347)))))))))))</f>
        <v>#REF!</v>
      </c>
      <c r="AQ347" s="1249" t="str">
        <f>IFERROR(ROUND(IF(Q347="","",IF('Proposed Lighting'!$X$4=0,0,IF(AND(AM347=35,M347+N347&lt;2),0,IF(T347&gt;K347,0,IF('Proposed Lighting'!#REF!=1,0,IF(AJ347=0,0,IF(AND('Proposed Lighting'!#REF!=3,AM347=0.5),0,IF(AND(AD347=75,AP347=0,AV347=0),0,IF(AP347&gt;0.01,AP347*T347,IF(AND(F347&gt;1,W347&lt;0.01),0,IF(AND(F347&gt;1,AO347=0),0,IF(AND('Proposed Lighting'!#REF!=22,AV347=0),0,IF(AND(AM347&gt;0,AS347&gt;0,BI347&lt;2),0,IF(AND(AS347&gt;0.01,BK347=0),0,IF(AND(AO347=TRUE,AV347=1,F347=3),MIN(AJ347*0.08,L347),IF(AP347&gt;0.01,AP347*T347,IF(AND(AO347=TRUE,AV347=1,F347=2),MIN(AJ347*0.1,L347)))))))))))))))))),2),"")</f>
        <v/>
      </c>
      <c r="AR347" s="1250">
        <f>IF(Q347=0,0,IF('Proposed Lighting'!$X$4=0,0,IF(AND(AM347&gt;0.01,AQ347&gt;0.01),0,IF('Proposed Lighting'!#REF!=1,"Missing Interior or Exterior Selection",IF('Proposed Lighting'!#REF!=1,"Selection does not match",IF(K347&gt;'Proposed Lighting'!#REF!,"Quantity controlled does not match proposed lighting quantity",IF(T347&gt;K347,"Quantity of sensors exceeds proposed lighting quantity",IF(AND(F347&gt;1,'Proposed Lighting'!#REF!&lt;&gt;F347),"Selection does not match",IF(AND(AD347&gt;AA347,AA347&gt;0),"Does not meet minimum connected load",IF(AND(O347&gt;0,AS347&gt;0,BK347&gt;0,'Proposed Lighting'!#REF!=0),"Select Control Strategies",IF(AND(AC347&gt;0.1,AJ347=0,AQ347=0),"Does not meet incentive criteria",0)))))))))))</f>
        <v>0</v>
      </c>
      <c r="AS347" s="1224" t="e">
        <f>IF('Proposed Lighting'!#REF!=100,0,IF(ISNUMBER(SEARCH("multiple",Q347)),1,0))</f>
        <v>#REF!</v>
      </c>
      <c r="AT347" s="451">
        <f t="shared" si="73"/>
        <v>0</v>
      </c>
      <c r="AU347" s="451" t="e">
        <f t="shared" si="74"/>
        <v>#REF!</v>
      </c>
      <c r="AV347" s="1222">
        <f>IF(ISNUMBER(SEARCH("Networked",'Proposed Lighting'!#REF!)),0,IF(ISNUMBER(SEARCH("Strategies",'Proposed Lighting'!#REF!)),0,IF(ISNUMBER(SEARCH("Removal",'Proposed Lighting'!#REF!)),0,IF(ISNUMBER(SEARCH("non-standard",Q347)),1,0))))</f>
        <v>0</v>
      </c>
      <c r="AW347" s="451">
        <f t="shared" si="77"/>
        <v>0</v>
      </c>
      <c r="AX347" s="451"/>
      <c r="AY347" s="451"/>
      <c r="AZ347" s="451"/>
      <c r="BA347" s="451"/>
      <c r="BB347" s="451"/>
      <c r="BC347" s="1215"/>
      <c r="BD347" s="1215"/>
      <c r="BE347" s="1215"/>
      <c r="BF347" s="1215"/>
      <c r="BG347" s="1215"/>
      <c r="BH347" s="1215"/>
      <c r="BI347" t="e">
        <f>IF(AND(AS347=1,BC347="No",BD347="Yes",BE347="Yes",BF347="No",BH347="No"),0,IF(AND('Proposed Lighting'!#REF!=2,AS347=1,BC347="Yes",BD347="Yes"),2,IF(AND('Proposed Lighting'!#REF!=2,AS347=1,BC347="Yes",BE347="Yes"),2,IF(AND('Proposed Lighting'!#REF!=2,AS347=1,BC347="Yes",BF347="Yes"),2,IF(AND('Proposed Lighting'!#REF!=2,AS347=1,BC347="Yes",BH347="Yes"),2,IF(AND('Proposed Lighting'!#REF!=2,AS347=1,BD347="Yes",BF347="Yes"),2,IF(AND('Proposed Lighting'!#REF!=2,AS347=1,BD347="Yes",BH347="Yes"),2,IF(AND('Proposed Lighting'!#REF!=3,AS347=1,BC347="Yes",BE347="Yes"),2,IF(AND('Proposed Lighting'!#REF!=3,AS347=1,BC347="Yes",BF347="Yes"),2,0)))))))))</f>
        <v>#REF!</v>
      </c>
      <c r="BJ347" s="1025" t="e">
        <f t="shared" si="75"/>
        <v>#REF!</v>
      </c>
      <c r="BK347" t="e">
        <f>IF(AND('Proposed Lighting'!#REF!=22,'Lighting Controls'!N347=1),0,IF(ISNUMBER(SEARCH("LED",G347)),1,0))</f>
        <v>#REF!</v>
      </c>
    </row>
    <row r="348" spans="1:63" ht="34.5" customHeight="1">
      <c r="A348" s="917">
        <v>340</v>
      </c>
      <c r="B348" s="1828" t="e">
        <f>IF('Proposed Lighting'!#REF!="","",'Proposed Lighting'!#REF!)</f>
        <v>#REF!</v>
      </c>
      <c r="C348" s="1828"/>
      <c r="D348" s="1828"/>
      <c r="E348" s="1245" t="e">
        <f>'Proposed Lighting'!#REF!</f>
        <v>#REF!</v>
      </c>
      <c r="F348" s="1245">
        <f t="shared" si="68"/>
        <v>0</v>
      </c>
      <c r="G348" s="1830" t="e">
        <f>IF('Proposed Lighting'!#REF!="","",IF(ISNUMBER(SEARCH("Networked",'Proposed Lighting'!#REF!)),0,IF(ISNUMBER(SEARCH("Strategies",'Proposed Lighting'!#REF!)),0,IF(ISNUMBER(SEARCH("Removal",'Proposed Lighting'!#REF!)),0,'Proposed Lighting'!#REF!))))</f>
        <v>#REF!</v>
      </c>
      <c r="H348" s="1830"/>
      <c r="I348" s="1830"/>
      <c r="J348" s="1830"/>
      <c r="K348" s="1215"/>
      <c r="L348" s="1246" t="e">
        <f t="shared" si="69"/>
        <v>#REF!</v>
      </c>
      <c r="M348" s="1224">
        <f t="shared" si="70"/>
        <v>0</v>
      </c>
      <c r="N348" s="1224">
        <f t="shared" si="71"/>
        <v>0</v>
      </c>
      <c r="O348" s="1825" t="e">
        <f>IF(G348=0,0,IF(ISNA('Proposed Lighting'!#REF!),0,'Proposed Lighting'!#REF!))</f>
        <v>#REF!</v>
      </c>
      <c r="P348" s="1825"/>
      <c r="Q348" s="1247"/>
      <c r="R348" s="1247"/>
      <c r="S348" s="1247"/>
      <c r="T348" s="1211"/>
      <c r="U348" s="1235">
        <f>IF(K348&gt;0.01,'Proposed Lighting'!#REF!,0)</f>
        <v>0</v>
      </c>
      <c r="V348" s="1248" t="e">
        <f>IF('Proposed Lighting'!#REF!=1,0,IF('Proposed Lighting'!#REF!=2,0,IF(AND('Proposed Lighting'!#REF!=3,'Proposed Lighting'!#REF!=0),1,0)))</f>
        <v>#REF!</v>
      </c>
      <c r="W348" s="1836"/>
      <c r="X348" s="1836"/>
      <c r="Y348" s="1836"/>
      <c r="Z348" s="1230" t="str">
        <f t="shared" si="65"/>
        <v/>
      </c>
      <c r="AA348" s="1230">
        <f t="shared" si="66"/>
        <v>0</v>
      </c>
      <c r="AB348" s="1230">
        <f>IF(Q348=0,0,IF(T348=0,0,IF(AA348=0,0,IF(AND(F348=3,V348=0),0,IF(T348=0,0,IF(K348&gt;'Proposed Lighting'!#REF!,0,IF('Proposed Lighting'!#REF!&gt;0.01,(K348*O348)*'Proposed Lighting'!#REF!/1000,(K348*O348)*U348/1000)))))))</f>
        <v>0</v>
      </c>
      <c r="AC348" s="1230" t="str">
        <f t="shared" si="72"/>
        <v/>
      </c>
      <c r="AD348" s="1230">
        <f t="shared" si="67"/>
        <v>0</v>
      </c>
      <c r="AE348" s="1230">
        <f>IF(T348=0,0,IF(K348&gt;'Proposed Lighting'!#REF!,0,IF(T348&gt;K348,0,IF(AND(AD348&gt;AA348,AA348&gt;0),0,IF(AND(F348&gt;1,W348&lt;0.01),0,IF('Proposed Lighting'!#REF!&gt;'Lighting Controls'!F348,0,IF('Proposed Lighting'!#REF!&lt;'Lighting Controls'!F348,0,IF(U348=0,0,Summary!#REF!))))))))</f>
        <v>0</v>
      </c>
      <c r="AF348" s="1230">
        <f>IF(T348=0,0,IF(AE348=0,0,IF(K348&gt;'Proposed Lighting'!#REF!,0,IF(AND(AD348&gt;AA348,AA348&gt;0),0,IF(U348=0,0,Summary!#REF!)))))</f>
        <v>0</v>
      </c>
      <c r="AG348" s="1834" t="e">
        <f>IF('Proposed Lighting'!#REF!=1,0,IF('Proposed Lighting'!#REF!=1,0,T348*W348))</f>
        <v>#REF!</v>
      </c>
      <c r="AH348" s="1834"/>
      <c r="AI348" s="1834"/>
      <c r="AJ348" s="1835">
        <f>IF(T348&lt;1,0,IF(K348&gt;'Proposed Lighting'!#REF!,0,IF('Proposed Lighting'!#REF!=1,0,IF('Proposed Lighting'!#REF!=1,0,IF(T348&gt;K348,0,IF(AND(AD348&gt;AA348,AA348&gt;0),0,IF(AND(F348=2,'Proposed Lighting'!#REF!=3),0,IF(AND(F348=3,'Proposed Lighting'!#REF!=2),0,IF('Proposed Lighting'!#REF!=100,0,IF(AND(F348&lt;3,V348=1,AM348=0),0,IF(AND(F348&gt;1,AF348&lt;1,AN348&lt;1),0,IF(AND(F348&gt;1,AE348&lt;0.69,AF348&lt;1,AN348&lt;1),0,IF(ISERROR(AB348-AC348),"",AB348-AC348)))))))))))))</f>
        <v>0</v>
      </c>
      <c r="AK348" s="1835"/>
      <c r="AL348" s="1835"/>
      <c r="AM348" s="1216">
        <f>IF(Q348=0,0,IF(T348=0,0,IF(T348&gt;K348,0,IF(AND(AS348&gt;0.01,BK348=0),0,IF(AND('Proposed Lighting'!#REF!=0,'Lighting Controls'!Z348=0.35),0,IF(AND(T348&lt;=K348,AA348&gt;=AD348,'Proposed Lighting'!#REF!=2),VLOOKUP(Q348,$AY$9:$AZ$15,2,FALSE),IF(AND(T348&lt;=K348,AA348&gt;=AD348,'Proposed Lighting'!#REF!=3),VLOOKUP(Q348,$AY$17:$AZ$23,2,FALSE))))))))</f>
        <v>0</v>
      </c>
      <c r="AN348" s="1248">
        <f>IF(T348=0,0,IF(K348&gt;'Proposed Lighting'!#REF!,0,IF(AE348=0,0,IF(AND(AD348&gt;AA348,AA348&gt;0),0,IF(U348=0,0,Summary!#REF!)))))</f>
        <v>0</v>
      </c>
      <c r="AO348" s="1248">
        <f t="shared" si="76"/>
        <v>0</v>
      </c>
      <c r="AP348" s="1249" t="e">
        <f>IF('Proposed Lighting'!#REF!=1,0,IF(K348=0,0,IF(T348&gt;K348,0,IF(G348=0,0,IF(K348&gt;'Proposed Lighting'!#REF!,0,IF(AND(AD348&gt;AA348,AA348&gt;0),0,IF(AND('Proposed Lighting'!#REF!=3,AM348=0.5),0,IF(AND(AM348&gt;0,AS348&gt;0,BI348&lt;2),0,IF('Proposed Lighting'!#REF!=100,0,IF(AV348=1,0,IF(AND(AM348=35,M348+N348&lt;2),0,AM348)))))))))))</f>
        <v>#REF!</v>
      </c>
      <c r="AQ348" s="1249" t="str">
        <f>IFERROR(ROUND(IF(Q348="","",IF('Proposed Lighting'!$X$4=0,0,IF(AND(AM348=35,M348+N348&lt;2),0,IF(T348&gt;K348,0,IF('Proposed Lighting'!#REF!=1,0,IF(AJ348=0,0,IF(AND('Proposed Lighting'!#REF!=3,AM348=0.5),0,IF(AND(AD348=75,AP348=0,AV348=0),0,IF(AP348&gt;0.01,AP348*T348,IF(AND(F348&gt;1,W348&lt;0.01),0,IF(AND(F348&gt;1,AO348=0),0,IF(AND('Proposed Lighting'!#REF!=22,AV348=0),0,IF(AND(AM348&gt;0,AS348&gt;0,BI348&lt;2),0,IF(AND(AS348&gt;0.01,BK348=0),0,IF(AND(AO348=TRUE,AV348=1,F348=3),MIN(AJ348*0.08,L348),IF(AP348&gt;0.01,AP348*T348,IF(AND(AO348=TRUE,AV348=1,F348=2),MIN(AJ348*0.1,L348)))))))))))))))))),2),"")</f>
        <v/>
      </c>
      <c r="AR348" s="1250">
        <f>IF(Q348=0,0,IF('Proposed Lighting'!$X$4=0,0,IF(AND(AM348&gt;0.01,AQ348&gt;0.01),0,IF('Proposed Lighting'!#REF!=1,"Missing Interior or Exterior Selection",IF('Proposed Lighting'!#REF!=1,"Selection does not match",IF(K348&gt;'Proposed Lighting'!#REF!,"Quantity controlled does not match proposed lighting quantity",IF(T348&gt;K348,"Quantity of sensors exceeds proposed lighting quantity",IF(AND(F348&gt;1,'Proposed Lighting'!#REF!&lt;&gt;F348),"Selection does not match",IF(AND(AD348&gt;AA348,AA348&gt;0),"Does not meet minimum connected load",IF(AND(O348&gt;0,AS348&gt;0,BK348&gt;0,'Proposed Lighting'!#REF!=0),"Select Control Strategies",IF(AND(AC348&gt;0.1,AJ348=0,AQ348=0),"Does not meet incentive criteria",0)))))))))))</f>
        <v>0</v>
      </c>
      <c r="AS348" s="1224" t="e">
        <f>IF('Proposed Lighting'!#REF!=100,0,IF(ISNUMBER(SEARCH("multiple",Q348)),1,0))</f>
        <v>#REF!</v>
      </c>
      <c r="AT348" s="451">
        <f t="shared" si="73"/>
        <v>0</v>
      </c>
      <c r="AU348" s="451" t="e">
        <f t="shared" si="74"/>
        <v>#REF!</v>
      </c>
      <c r="AV348" s="1222">
        <f>IF(ISNUMBER(SEARCH("Networked",'Proposed Lighting'!#REF!)),0,IF(ISNUMBER(SEARCH("Strategies",'Proposed Lighting'!#REF!)),0,IF(ISNUMBER(SEARCH("Removal",'Proposed Lighting'!#REF!)),0,IF(ISNUMBER(SEARCH("non-standard",Q348)),1,0))))</f>
        <v>0</v>
      </c>
      <c r="AW348" s="451">
        <f t="shared" si="77"/>
        <v>0</v>
      </c>
      <c r="AX348" s="451"/>
      <c r="AY348" s="451"/>
      <c r="AZ348" s="451"/>
      <c r="BA348" s="451"/>
      <c r="BB348" s="451"/>
      <c r="BC348" s="1215"/>
      <c r="BD348" s="1215"/>
      <c r="BE348" s="1215"/>
      <c r="BF348" s="1215"/>
      <c r="BG348" s="1215"/>
      <c r="BH348" s="1215"/>
      <c r="BI348" t="e">
        <f>IF(AND(AS348=1,BC348="No",BD348="Yes",BE348="Yes",BF348="No",BH348="No"),0,IF(AND('Proposed Lighting'!#REF!=2,AS348=1,BC348="Yes",BD348="Yes"),2,IF(AND('Proposed Lighting'!#REF!=2,AS348=1,BC348="Yes",BE348="Yes"),2,IF(AND('Proposed Lighting'!#REF!=2,AS348=1,BC348="Yes",BF348="Yes"),2,IF(AND('Proposed Lighting'!#REF!=2,AS348=1,BC348="Yes",BH348="Yes"),2,IF(AND('Proposed Lighting'!#REF!=2,AS348=1,BD348="Yes",BF348="Yes"),2,IF(AND('Proposed Lighting'!#REF!=2,AS348=1,BD348="Yes",BH348="Yes"),2,IF(AND('Proposed Lighting'!#REF!=3,AS348=1,BC348="Yes",BE348="Yes"),2,IF(AND('Proposed Lighting'!#REF!=3,AS348=1,BC348="Yes",BF348="Yes"),2,0)))))))))</f>
        <v>#REF!</v>
      </c>
      <c r="BJ348" s="1025" t="e">
        <f t="shared" si="75"/>
        <v>#REF!</v>
      </c>
      <c r="BK348" t="e">
        <f>IF(AND('Proposed Lighting'!#REF!=22,'Lighting Controls'!N348=1),0,IF(ISNUMBER(SEARCH("LED",G348)),1,0))</f>
        <v>#REF!</v>
      </c>
    </row>
    <row r="349" spans="1:63" ht="34.5" customHeight="1">
      <c r="A349" s="917">
        <v>341</v>
      </c>
      <c r="B349" s="1828" t="e">
        <f>IF('Proposed Lighting'!#REF!="","",'Proposed Lighting'!#REF!)</f>
        <v>#REF!</v>
      </c>
      <c r="C349" s="1828"/>
      <c r="D349" s="1828"/>
      <c r="E349" s="1245" t="e">
        <f>'Proposed Lighting'!#REF!</f>
        <v>#REF!</v>
      </c>
      <c r="F349" s="1245">
        <f t="shared" si="68"/>
        <v>0</v>
      </c>
      <c r="G349" s="1830" t="e">
        <f>IF('Proposed Lighting'!#REF!="","",IF(ISNUMBER(SEARCH("Networked",'Proposed Lighting'!#REF!)),0,IF(ISNUMBER(SEARCH("Strategies",'Proposed Lighting'!#REF!)),0,IF(ISNUMBER(SEARCH("Removal",'Proposed Lighting'!#REF!)),0,'Proposed Lighting'!#REF!))))</f>
        <v>#REF!</v>
      </c>
      <c r="H349" s="1830"/>
      <c r="I349" s="1830"/>
      <c r="J349" s="1830"/>
      <c r="K349" s="1215"/>
      <c r="L349" s="1246" t="e">
        <f t="shared" si="69"/>
        <v>#REF!</v>
      </c>
      <c r="M349" s="1224">
        <f t="shared" si="70"/>
        <v>0</v>
      </c>
      <c r="N349" s="1224">
        <f t="shared" si="71"/>
        <v>0</v>
      </c>
      <c r="O349" s="1825" t="e">
        <f>IF(G349=0,0,IF(ISNA('Proposed Lighting'!#REF!),0,'Proposed Lighting'!#REF!))</f>
        <v>#REF!</v>
      </c>
      <c r="P349" s="1825"/>
      <c r="Q349" s="1247"/>
      <c r="R349" s="1247"/>
      <c r="S349" s="1247"/>
      <c r="T349" s="1211"/>
      <c r="U349" s="1235">
        <f>IF(K349&gt;0.01,'Proposed Lighting'!#REF!,0)</f>
        <v>0</v>
      </c>
      <c r="V349" s="1248" t="e">
        <f>IF('Proposed Lighting'!#REF!=1,0,IF('Proposed Lighting'!#REF!=2,0,IF(AND('Proposed Lighting'!#REF!=3,'Proposed Lighting'!#REF!=0),1,0)))</f>
        <v>#REF!</v>
      </c>
      <c r="W349" s="1836"/>
      <c r="X349" s="1836"/>
      <c r="Y349" s="1836"/>
      <c r="Z349" s="1230" t="str">
        <f t="shared" si="65"/>
        <v/>
      </c>
      <c r="AA349" s="1230">
        <f t="shared" si="66"/>
        <v>0</v>
      </c>
      <c r="AB349" s="1230">
        <f>IF(Q349=0,0,IF(T349=0,0,IF(AA349=0,0,IF(AND(F349=3,V349=0),0,IF(T349=0,0,IF(K349&gt;'Proposed Lighting'!#REF!,0,IF('Proposed Lighting'!#REF!&gt;0.01,(K349*O349)*'Proposed Lighting'!#REF!/1000,(K349*O349)*U349/1000)))))))</f>
        <v>0</v>
      </c>
      <c r="AC349" s="1230" t="str">
        <f t="shared" si="72"/>
        <v/>
      </c>
      <c r="AD349" s="1230">
        <f t="shared" si="67"/>
        <v>0</v>
      </c>
      <c r="AE349" s="1230">
        <f>IF(T349=0,0,IF(K349&gt;'Proposed Lighting'!#REF!,0,IF(T349&gt;K349,0,IF(AND(AD349&gt;AA349,AA349&gt;0),0,IF(AND(F349&gt;1,W349&lt;0.01),0,IF('Proposed Lighting'!#REF!&gt;'Lighting Controls'!F349,0,IF('Proposed Lighting'!#REF!&lt;'Lighting Controls'!F349,0,IF(U349=0,0,Summary!#REF!))))))))</f>
        <v>0</v>
      </c>
      <c r="AF349" s="1230">
        <f>IF(T349=0,0,IF(AE349=0,0,IF(K349&gt;'Proposed Lighting'!#REF!,0,IF(AND(AD349&gt;AA349,AA349&gt;0),0,IF(U349=0,0,Summary!#REF!)))))</f>
        <v>0</v>
      </c>
      <c r="AG349" s="1834" t="e">
        <f>IF('Proposed Lighting'!#REF!=1,0,IF('Proposed Lighting'!#REF!=1,0,T349*W349))</f>
        <v>#REF!</v>
      </c>
      <c r="AH349" s="1834"/>
      <c r="AI349" s="1834"/>
      <c r="AJ349" s="1835">
        <f>IF(T349&lt;1,0,IF(K349&gt;'Proposed Lighting'!#REF!,0,IF('Proposed Lighting'!#REF!=1,0,IF('Proposed Lighting'!#REF!=1,0,IF(T349&gt;K349,0,IF(AND(AD349&gt;AA349,AA349&gt;0),0,IF(AND(F349=2,'Proposed Lighting'!#REF!=3),0,IF(AND(F349=3,'Proposed Lighting'!#REF!=2),0,IF('Proposed Lighting'!#REF!=100,0,IF(AND(F349&lt;3,V349=1,AM349=0),0,IF(AND(F349&gt;1,AF349&lt;1,AN349&lt;1),0,IF(AND(F349&gt;1,AE349&lt;0.69,AF349&lt;1,AN349&lt;1),0,IF(ISERROR(AB349-AC349),"",AB349-AC349)))))))))))))</f>
        <v>0</v>
      </c>
      <c r="AK349" s="1835"/>
      <c r="AL349" s="1835"/>
      <c r="AM349" s="1216">
        <f>IF(Q349=0,0,IF(T349=0,0,IF(T349&gt;K349,0,IF(AND(AS349&gt;0.01,BK349=0),0,IF(AND('Proposed Lighting'!#REF!=0,'Lighting Controls'!Z349=0.35),0,IF(AND(T349&lt;=K349,AA349&gt;=AD349,'Proposed Lighting'!#REF!=2),VLOOKUP(Q349,$AY$9:$AZ$15,2,FALSE),IF(AND(T349&lt;=K349,AA349&gt;=AD349,'Proposed Lighting'!#REF!=3),VLOOKUP(Q349,$AY$17:$AZ$23,2,FALSE))))))))</f>
        <v>0</v>
      </c>
      <c r="AN349" s="1248">
        <f>IF(T349=0,0,IF(K349&gt;'Proposed Lighting'!#REF!,0,IF(AE349=0,0,IF(AND(AD349&gt;AA349,AA349&gt;0),0,IF(U349=0,0,Summary!#REF!)))))</f>
        <v>0</v>
      </c>
      <c r="AO349" s="1248">
        <f t="shared" si="76"/>
        <v>0</v>
      </c>
      <c r="AP349" s="1249" t="e">
        <f>IF('Proposed Lighting'!#REF!=1,0,IF(K349=0,0,IF(T349&gt;K349,0,IF(G349=0,0,IF(K349&gt;'Proposed Lighting'!#REF!,0,IF(AND(AD349&gt;AA349,AA349&gt;0),0,IF(AND('Proposed Lighting'!#REF!=3,AM349=0.5),0,IF(AND(AM349&gt;0,AS349&gt;0,BI349&lt;2),0,IF('Proposed Lighting'!#REF!=100,0,IF(AV349=1,0,IF(AND(AM349=35,M349+N349&lt;2),0,AM349)))))))))))</f>
        <v>#REF!</v>
      </c>
      <c r="AQ349" s="1249" t="str">
        <f>IFERROR(ROUND(IF(Q349="","",IF('Proposed Lighting'!$X$4=0,0,IF(AND(AM349=35,M349+N349&lt;2),0,IF(T349&gt;K349,0,IF('Proposed Lighting'!#REF!=1,0,IF(AJ349=0,0,IF(AND('Proposed Lighting'!#REF!=3,AM349=0.5),0,IF(AND(AD349=75,AP349=0,AV349=0),0,IF(AP349&gt;0.01,AP349*T349,IF(AND(F349&gt;1,W349&lt;0.01),0,IF(AND(F349&gt;1,AO349=0),0,IF(AND('Proposed Lighting'!#REF!=22,AV349=0),0,IF(AND(AM349&gt;0,AS349&gt;0,BI349&lt;2),0,IF(AND(AS349&gt;0.01,BK349=0),0,IF(AND(AO349=TRUE,AV349=1,F349=3),MIN(AJ349*0.08,L349),IF(AP349&gt;0.01,AP349*T349,IF(AND(AO349=TRUE,AV349=1,F349=2),MIN(AJ349*0.1,L349)))))))))))))))))),2),"")</f>
        <v/>
      </c>
      <c r="AR349" s="1250">
        <f>IF(Q349=0,0,IF('Proposed Lighting'!$X$4=0,0,IF(AND(AM349&gt;0.01,AQ349&gt;0.01),0,IF('Proposed Lighting'!#REF!=1,"Missing Interior or Exterior Selection",IF('Proposed Lighting'!#REF!=1,"Selection does not match",IF(K349&gt;'Proposed Lighting'!#REF!,"Quantity controlled does not match proposed lighting quantity",IF(T349&gt;K349,"Quantity of sensors exceeds proposed lighting quantity",IF(AND(F349&gt;1,'Proposed Lighting'!#REF!&lt;&gt;F349),"Selection does not match",IF(AND(AD349&gt;AA349,AA349&gt;0),"Does not meet minimum connected load",IF(AND(O349&gt;0,AS349&gt;0,BK349&gt;0,'Proposed Lighting'!#REF!=0),"Select Control Strategies",IF(AND(AC349&gt;0.1,AJ349=0,AQ349=0),"Does not meet incentive criteria",0)))))))))))</f>
        <v>0</v>
      </c>
      <c r="AS349" s="1224" t="e">
        <f>IF('Proposed Lighting'!#REF!=100,0,IF(ISNUMBER(SEARCH("multiple",Q349)),1,0))</f>
        <v>#REF!</v>
      </c>
      <c r="AT349" s="451">
        <f t="shared" si="73"/>
        <v>0</v>
      </c>
      <c r="AU349" s="451" t="e">
        <f t="shared" si="74"/>
        <v>#REF!</v>
      </c>
      <c r="AV349" s="1222">
        <f>IF(ISNUMBER(SEARCH("Networked",'Proposed Lighting'!#REF!)),0,IF(ISNUMBER(SEARCH("Strategies",'Proposed Lighting'!#REF!)),0,IF(ISNUMBER(SEARCH("Removal",'Proposed Lighting'!#REF!)),0,IF(ISNUMBER(SEARCH("non-standard",Q349)),1,0))))</f>
        <v>0</v>
      </c>
      <c r="AW349" s="451">
        <f t="shared" si="77"/>
        <v>0</v>
      </c>
      <c r="AX349" s="451"/>
      <c r="AY349" s="451"/>
      <c r="AZ349" s="451"/>
      <c r="BA349" s="451"/>
      <c r="BB349" s="451"/>
      <c r="BC349" s="1215"/>
      <c r="BD349" s="1215"/>
      <c r="BE349" s="1215"/>
      <c r="BF349" s="1215"/>
      <c r="BG349" s="1215"/>
      <c r="BH349" s="1215"/>
      <c r="BI349" t="e">
        <f>IF(AND(AS349=1,BC349="No",BD349="Yes",BE349="Yes",BF349="No",BH349="No"),0,IF(AND('Proposed Lighting'!#REF!=2,AS349=1,BC349="Yes",BD349="Yes"),2,IF(AND('Proposed Lighting'!#REF!=2,AS349=1,BC349="Yes",BE349="Yes"),2,IF(AND('Proposed Lighting'!#REF!=2,AS349=1,BC349="Yes",BF349="Yes"),2,IF(AND('Proposed Lighting'!#REF!=2,AS349=1,BC349="Yes",BH349="Yes"),2,IF(AND('Proposed Lighting'!#REF!=2,AS349=1,BD349="Yes",BF349="Yes"),2,IF(AND('Proposed Lighting'!#REF!=2,AS349=1,BD349="Yes",BH349="Yes"),2,IF(AND('Proposed Lighting'!#REF!=3,AS349=1,BC349="Yes",BE349="Yes"),2,IF(AND('Proposed Lighting'!#REF!=3,AS349=1,BC349="Yes",BF349="Yes"),2,0)))))))))</f>
        <v>#REF!</v>
      </c>
      <c r="BJ349" s="1025" t="e">
        <f t="shared" si="75"/>
        <v>#REF!</v>
      </c>
      <c r="BK349" t="e">
        <f>IF(AND('Proposed Lighting'!#REF!=22,'Lighting Controls'!N349=1),0,IF(ISNUMBER(SEARCH("LED",G349)),1,0))</f>
        <v>#REF!</v>
      </c>
    </row>
    <row r="350" spans="1:63" ht="34.5" customHeight="1">
      <c r="A350" s="917">
        <v>342</v>
      </c>
      <c r="B350" s="1828" t="e">
        <f>IF('Proposed Lighting'!#REF!="","",'Proposed Lighting'!#REF!)</f>
        <v>#REF!</v>
      </c>
      <c r="C350" s="1828"/>
      <c r="D350" s="1828"/>
      <c r="E350" s="1245" t="e">
        <f>'Proposed Lighting'!#REF!</f>
        <v>#REF!</v>
      </c>
      <c r="F350" s="1245">
        <f t="shared" si="68"/>
        <v>0</v>
      </c>
      <c r="G350" s="1830" t="e">
        <f>IF('Proposed Lighting'!#REF!="","",IF(ISNUMBER(SEARCH("Networked",'Proposed Lighting'!#REF!)),0,IF(ISNUMBER(SEARCH("Strategies",'Proposed Lighting'!#REF!)),0,IF(ISNUMBER(SEARCH("Removal",'Proposed Lighting'!#REF!)),0,'Proposed Lighting'!#REF!))))</f>
        <v>#REF!</v>
      </c>
      <c r="H350" s="1830"/>
      <c r="I350" s="1830"/>
      <c r="J350" s="1830"/>
      <c r="K350" s="1215"/>
      <c r="L350" s="1246" t="e">
        <f t="shared" si="69"/>
        <v>#REF!</v>
      </c>
      <c r="M350" s="1224">
        <f t="shared" si="70"/>
        <v>0</v>
      </c>
      <c r="N350" s="1224">
        <f t="shared" si="71"/>
        <v>0</v>
      </c>
      <c r="O350" s="1825" t="e">
        <f>IF(G350=0,0,IF(ISNA('Proposed Lighting'!#REF!),0,'Proposed Lighting'!#REF!))</f>
        <v>#REF!</v>
      </c>
      <c r="P350" s="1825"/>
      <c r="Q350" s="1247"/>
      <c r="R350" s="1247"/>
      <c r="S350" s="1247"/>
      <c r="T350" s="1211"/>
      <c r="U350" s="1235">
        <f>IF(K350&gt;0.01,'Proposed Lighting'!#REF!,0)</f>
        <v>0</v>
      </c>
      <c r="V350" s="1248" t="e">
        <f>IF('Proposed Lighting'!#REF!=1,0,IF('Proposed Lighting'!#REF!=2,0,IF(AND('Proposed Lighting'!#REF!=3,'Proposed Lighting'!#REF!=0),1,0)))</f>
        <v>#REF!</v>
      </c>
      <c r="W350" s="1836"/>
      <c r="X350" s="1836"/>
      <c r="Y350" s="1836"/>
      <c r="Z350" s="1230" t="str">
        <f t="shared" si="65"/>
        <v/>
      </c>
      <c r="AA350" s="1230">
        <f t="shared" si="66"/>
        <v>0</v>
      </c>
      <c r="AB350" s="1230">
        <f>IF(Q350=0,0,IF(T350=0,0,IF(AA350=0,0,IF(AND(F350=3,V350=0),0,IF(T350=0,0,IF(K350&gt;'Proposed Lighting'!#REF!,0,IF('Proposed Lighting'!#REF!&gt;0.01,(K350*O350)*'Proposed Lighting'!#REF!/1000,(K350*O350)*U350/1000)))))))</f>
        <v>0</v>
      </c>
      <c r="AC350" s="1230" t="str">
        <f t="shared" si="72"/>
        <v/>
      </c>
      <c r="AD350" s="1230">
        <f t="shared" si="67"/>
        <v>0</v>
      </c>
      <c r="AE350" s="1230">
        <f>IF(T350=0,0,IF(K350&gt;'Proposed Lighting'!#REF!,0,IF(T350&gt;K350,0,IF(AND(AD350&gt;AA350,AA350&gt;0),0,IF(AND(F350&gt;1,W350&lt;0.01),0,IF('Proposed Lighting'!#REF!&gt;'Lighting Controls'!F350,0,IF('Proposed Lighting'!#REF!&lt;'Lighting Controls'!F350,0,IF(U350=0,0,Summary!#REF!))))))))</f>
        <v>0</v>
      </c>
      <c r="AF350" s="1230">
        <f>IF(T350=0,0,IF(AE350=0,0,IF(K350&gt;'Proposed Lighting'!#REF!,0,IF(AND(AD350&gt;AA350,AA350&gt;0),0,IF(U350=0,0,Summary!#REF!)))))</f>
        <v>0</v>
      </c>
      <c r="AG350" s="1834" t="e">
        <f>IF('Proposed Lighting'!#REF!=1,0,IF('Proposed Lighting'!#REF!=1,0,T350*W350))</f>
        <v>#REF!</v>
      </c>
      <c r="AH350" s="1834"/>
      <c r="AI350" s="1834"/>
      <c r="AJ350" s="1835">
        <f>IF(T350&lt;1,0,IF(K350&gt;'Proposed Lighting'!#REF!,0,IF('Proposed Lighting'!#REF!=1,0,IF('Proposed Lighting'!#REF!=1,0,IF(T350&gt;K350,0,IF(AND(AD350&gt;AA350,AA350&gt;0),0,IF(AND(F350=2,'Proposed Lighting'!#REF!=3),0,IF(AND(F350=3,'Proposed Lighting'!#REF!=2),0,IF('Proposed Lighting'!#REF!=100,0,IF(AND(F350&lt;3,V350=1,AM350=0),0,IF(AND(F350&gt;1,AF350&lt;1,AN350&lt;1),0,IF(AND(F350&gt;1,AE350&lt;0.69,AF350&lt;1,AN350&lt;1),0,IF(ISERROR(AB350-AC350),"",AB350-AC350)))))))))))))</f>
        <v>0</v>
      </c>
      <c r="AK350" s="1835"/>
      <c r="AL350" s="1835"/>
      <c r="AM350" s="1216">
        <f>IF(Q350=0,0,IF(T350=0,0,IF(T350&gt;K350,0,IF(AND(AS350&gt;0.01,BK350=0),0,IF(AND('Proposed Lighting'!#REF!=0,'Lighting Controls'!Z350=0.35),0,IF(AND(T350&lt;=K350,AA350&gt;=AD350,'Proposed Lighting'!#REF!=2),VLOOKUP(Q350,$AY$9:$AZ$15,2,FALSE),IF(AND(T350&lt;=K350,AA350&gt;=AD350,'Proposed Lighting'!#REF!=3),VLOOKUP(Q350,$AY$17:$AZ$23,2,FALSE))))))))</f>
        <v>0</v>
      </c>
      <c r="AN350" s="1248">
        <f>IF(T350=0,0,IF(K350&gt;'Proposed Lighting'!#REF!,0,IF(AE350=0,0,IF(AND(AD350&gt;AA350,AA350&gt;0),0,IF(U350=0,0,Summary!#REF!)))))</f>
        <v>0</v>
      </c>
      <c r="AO350" s="1248">
        <f t="shared" si="76"/>
        <v>0</v>
      </c>
      <c r="AP350" s="1249" t="e">
        <f>IF('Proposed Lighting'!#REF!=1,0,IF(K350=0,0,IF(T350&gt;K350,0,IF(G350=0,0,IF(K350&gt;'Proposed Lighting'!#REF!,0,IF(AND(AD350&gt;AA350,AA350&gt;0),0,IF(AND('Proposed Lighting'!#REF!=3,AM350=0.5),0,IF(AND(AM350&gt;0,AS350&gt;0,BI350&lt;2),0,IF('Proposed Lighting'!#REF!=100,0,IF(AV350=1,0,IF(AND(AM350=35,M350+N350&lt;2),0,AM350)))))))))))</f>
        <v>#REF!</v>
      </c>
      <c r="AQ350" s="1249" t="str">
        <f>IFERROR(ROUND(IF(Q350="","",IF('Proposed Lighting'!$X$4=0,0,IF(AND(AM350=35,M350+N350&lt;2),0,IF(T350&gt;K350,0,IF('Proposed Lighting'!#REF!=1,0,IF(AJ350=0,0,IF(AND('Proposed Lighting'!#REF!=3,AM350=0.5),0,IF(AND(AD350=75,AP350=0,AV350=0),0,IF(AP350&gt;0.01,AP350*T350,IF(AND(F350&gt;1,W350&lt;0.01),0,IF(AND(F350&gt;1,AO350=0),0,IF(AND('Proposed Lighting'!#REF!=22,AV350=0),0,IF(AND(AM350&gt;0,AS350&gt;0,BI350&lt;2),0,IF(AND(AS350&gt;0.01,BK350=0),0,IF(AND(AO350=TRUE,AV350=1,F350=3),MIN(AJ350*0.08,L350),IF(AP350&gt;0.01,AP350*T350,IF(AND(AO350=TRUE,AV350=1,F350=2),MIN(AJ350*0.1,L350)))))))))))))))))),2),"")</f>
        <v/>
      </c>
      <c r="AR350" s="1250">
        <f>IF(Q350=0,0,IF('Proposed Lighting'!$X$4=0,0,IF(AND(AM350&gt;0.01,AQ350&gt;0.01),0,IF('Proposed Lighting'!#REF!=1,"Missing Interior or Exterior Selection",IF('Proposed Lighting'!#REF!=1,"Selection does not match",IF(K350&gt;'Proposed Lighting'!#REF!,"Quantity controlled does not match proposed lighting quantity",IF(T350&gt;K350,"Quantity of sensors exceeds proposed lighting quantity",IF(AND(F350&gt;1,'Proposed Lighting'!#REF!&lt;&gt;F350),"Selection does not match",IF(AND(AD350&gt;AA350,AA350&gt;0),"Does not meet minimum connected load",IF(AND(O350&gt;0,AS350&gt;0,BK350&gt;0,'Proposed Lighting'!#REF!=0),"Select Control Strategies",IF(AND(AC350&gt;0.1,AJ350=0,AQ350=0),"Does not meet incentive criteria",0)))))))))))</f>
        <v>0</v>
      </c>
      <c r="AS350" s="1224" t="e">
        <f>IF('Proposed Lighting'!#REF!=100,0,IF(ISNUMBER(SEARCH("multiple",Q350)),1,0))</f>
        <v>#REF!</v>
      </c>
      <c r="AT350" s="451">
        <f t="shared" si="73"/>
        <v>0</v>
      </c>
      <c r="AU350" s="451" t="e">
        <f t="shared" si="74"/>
        <v>#REF!</v>
      </c>
      <c r="AV350" s="1222">
        <f>IF(ISNUMBER(SEARCH("Networked",'Proposed Lighting'!#REF!)),0,IF(ISNUMBER(SEARCH("Strategies",'Proposed Lighting'!#REF!)),0,IF(ISNUMBER(SEARCH("Removal",'Proposed Lighting'!#REF!)),0,IF(ISNUMBER(SEARCH("non-standard",Q350)),1,0))))</f>
        <v>0</v>
      </c>
      <c r="AW350" s="451">
        <f t="shared" si="77"/>
        <v>0</v>
      </c>
      <c r="AX350" s="451"/>
      <c r="AY350" s="451"/>
      <c r="AZ350" s="451"/>
      <c r="BA350" s="451"/>
      <c r="BB350" s="451"/>
      <c r="BC350" s="1215"/>
      <c r="BD350" s="1215"/>
      <c r="BE350" s="1215"/>
      <c r="BF350" s="1215"/>
      <c r="BG350" s="1215"/>
      <c r="BH350" s="1215"/>
      <c r="BI350" t="e">
        <f>IF(AND(AS350=1,BC350="No",BD350="Yes",BE350="Yes",BF350="No",BH350="No"),0,IF(AND('Proposed Lighting'!#REF!=2,AS350=1,BC350="Yes",BD350="Yes"),2,IF(AND('Proposed Lighting'!#REF!=2,AS350=1,BC350="Yes",BE350="Yes"),2,IF(AND('Proposed Lighting'!#REF!=2,AS350=1,BC350="Yes",BF350="Yes"),2,IF(AND('Proposed Lighting'!#REF!=2,AS350=1,BC350="Yes",BH350="Yes"),2,IF(AND('Proposed Lighting'!#REF!=2,AS350=1,BD350="Yes",BF350="Yes"),2,IF(AND('Proposed Lighting'!#REF!=2,AS350=1,BD350="Yes",BH350="Yes"),2,IF(AND('Proposed Lighting'!#REF!=3,AS350=1,BC350="Yes",BE350="Yes"),2,IF(AND('Proposed Lighting'!#REF!=3,AS350=1,BC350="Yes",BF350="Yes"),2,0)))))))))</f>
        <v>#REF!</v>
      </c>
      <c r="BJ350" s="1025" t="e">
        <f t="shared" si="75"/>
        <v>#REF!</v>
      </c>
      <c r="BK350" t="e">
        <f>IF(AND('Proposed Lighting'!#REF!=22,'Lighting Controls'!N350=1),0,IF(ISNUMBER(SEARCH("LED",G350)),1,0))</f>
        <v>#REF!</v>
      </c>
    </row>
    <row r="351" spans="1:63" ht="34.5" customHeight="1">
      <c r="A351" s="917">
        <v>343</v>
      </c>
      <c r="B351" s="1828" t="e">
        <f>IF('Proposed Lighting'!#REF!="","",'Proposed Lighting'!#REF!)</f>
        <v>#REF!</v>
      </c>
      <c r="C351" s="1828"/>
      <c r="D351" s="1828"/>
      <c r="E351" s="1245" t="e">
        <f>'Proposed Lighting'!#REF!</f>
        <v>#REF!</v>
      </c>
      <c r="F351" s="1245">
        <f t="shared" si="68"/>
        <v>0</v>
      </c>
      <c r="G351" s="1830" t="e">
        <f>IF('Proposed Lighting'!#REF!="","",IF(ISNUMBER(SEARCH("Networked",'Proposed Lighting'!#REF!)),0,IF(ISNUMBER(SEARCH("Strategies",'Proposed Lighting'!#REF!)),0,IF(ISNUMBER(SEARCH("Removal",'Proposed Lighting'!#REF!)),0,'Proposed Lighting'!#REF!))))</f>
        <v>#REF!</v>
      </c>
      <c r="H351" s="1830"/>
      <c r="I351" s="1830"/>
      <c r="J351" s="1830"/>
      <c r="K351" s="1215"/>
      <c r="L351" s="1246" t="e">
        <f t="shared" si="69"/>
        <v>#REF!</v>
      </c>
      <c r="M351" s="1224">
        <f t="shared" si="70"/>
        <v>0</v>
      </c>
      <c r="N351" s="1224">
        <f t="shared" si="71"/>
        <v>0</v>
      </c>
      <c r="O351" s="1825" t="e">
        <f>IF(G351=0,0,IF(ISNA('Proposed Lighting'!#REF!),0,'Proposed Lighting'!#REF!))</f>
        <v>#REF!</v>
      </c>
      <c r="P351" s="1825"/>
      <c r="Q351" s="1247"/>
      <c r="R351" s="1247"/>
      <c r="S351" s="1247"/>
      <c r="T351" s="1211"/>
      <c r="U351" s="1235">
        <f>IF(K351&gt;0.01,'Proposed Lighting'!#REF!,0)</f>
        <v>0</v>
      </c>
      <c r="V351" s="1248" t="e">
        <f>IF('Proposed Lighting'!#REF!=1,0,IF('Proposed Lighting'!#REF!=2,0,IF(AND('Proposed Lighting'!#REF!=3,'Proposed Lighting'!#REF!=0),1,0)))</f>
        <v>#REF!</v>
      </c>
      <c r="W351" s="1836"/>
      <c r="X351" s="1836"/>
      <c r="Y351" s="1836"/>
      <c r="Z351" s="1230" t="str">
        <f t="shared" si="65"/>
        <v/>
      </c>
      <c r="AA351" s="1230">
        <f t="shared" si="66"/>
        <v>0</v>
      </c>
      <c r="AB351" s="1230">
        <f>IF(Q351=0,0,IF(T351=0,0,IF(AA351=0,0,IF(AND(F351=3,V351=0),0,IF(T351=0,0,IF(K351&gt;'Proposed Lighting'!#REF!,0,IF('Proposed Lighting'!#REF!&gt;0.01,(K351*O351)*'Proposed Lighting'!#REF!/1000,(K351*O351)*U351/1000)))))))</f>
        <v>0</v>
      </c>
      <c r="AC351" s="1230" t="str">
        <f t="shared" si="72"/>
        <v/>
      </c>
      <c r="AD351" s="1230">
        <f t="shared" si="67"/>
        <v>0</v>
      </c>
      <c r="AE351" s="1230">
        <f>IF(T351=0,0,IF(K351&gt;'Proposed Lighting'!#REF!,0,IF(T351&gt;K351,0,IF(AND(AD351&gt;AA351,AA351&gt;0),0,IF(AND(F351&gt;1,W351&lt;0.01),0,IF('Proposed Lighting'!#REF!&gt;'Lighting Controls'!F351,0,IF('Proposed Lighting'!#REF!&lt;'Lighting Controls'!F351,0,IF(U351=0,0,Summary!#REF!))))))))</f>
        <v>0</v>
      </c>
      <c r="AF351" s="1230">
        <f>IF(T351=0,0,IF(AE351=0,0,IF(K351&gt;'Proposed Lighting'!#REF!,0,IF(AND(AD351&gt;AA351,AA351&gt;0),0,IF(U351=0,0,Summary!#REF!)))))</f>
        <v>0</v>
      </c>
      <c r="AG351" s="1834" t="e">
        <f>IF('Proposed Lighting'!#REF!=1,0,IF('Proposed Lighting'!#REF!=1,0,T351*W351))</f>
        <v>#REF!</v>
      </c>
      <c r="AH351" s="1834"/>
      <c r="AI351" s="1834"/>
      <c r="AJ351" s="1835">
        <f>IF(T351&lt;1,0,IF(K351&gt;'Proposed Lighting'!#REF!,0,IF('Proposed Lighting'!#REF!=1,0,IF('Proposed Lighting'!#REF!=1,0,IF(T351&gt;K351,0,IF(AND(AD351&gt;AA351,AA351&gt;0),0,IF(AND(F351=2,'Proposed Lighting'!#REF!=3),0,IF(AND(F351=3,'Proposed Lighting'!#REF!=2),0,IF('Proposed Lighting'!#REF!=100,0,IF(AND(F351&lt;3,V351=1,AM351=0),0,IF(AND(F351&gt;1,AF351&lt;1,AN351&lt;1),0,IF(AND(F351&gt;1,AE351&lt;0.69,AF351&lt;1,AN351&lt;1),0,IF(ISERROR(AB351-AC351),"",AB351-AC351)))))))))))))</f>
        <v>0</v>
      </c>
      <c r="AK351" s="1835"/>
      <c r="AL351" s="1835"/>
      <c r="AM351" s="1216">
        <f>IF(Q351=0,0,IF(T351=0,0,IF(T351&gt;K351,0,IF(AND(AS351&gt;0.01,BK351=0),0,IF(AND('Proposed Lighting'!#REF!=0,'Lighting Controls'!Z351=0.35),0,IF(AND(T351&lt;=K351,AA351&gt;=AD351,'Proposed Lighting'!#REF!=2),VLOOKUP(Q351,$AY$9:$AZ$15,2,FALSE),IF(AND(T351&lt;=K351,AA351&gt;=AD351,'Proposed Lighting'!#REF!=3),VLOOKUP(Q351,$AY$17:$AZ$23,2,FALSE))))))))</f>
        <v>0</v>
      </c>
      <c r="AN351" s="1248">
        <f>IF(T351=0,0,IF(K351&gt;'Proposed Lighting'!#REF!,0,IF(AE351=0,0,IF(AND(AD351&gt;AA351,AA351&gt;0),0,IF(U351=0,0,Summary!#REF!)))))</f>
        <v>0</v>
      </c>
      <c r="AO351" s="1248">
        <f t="shared" si="76"/>
        <v>0</v>
      </c>
      <c r="AP351" s="1249" t="e">
        <f>IF('Proposed Lighting'!#REF!=1,0,IF(K351=0,0,IF(T351&gt;K351,0,IF(G351=0,0,IF(K351&gt;'Proposed Lighting'!#REF!,0,IF(AND(AD351&gt;AA351,AA351&gt;0),0,IF(AND('Proposed Lighting'!#REF!=3,AM351=0.5),0,IF(AND(AM351&gt;0,AS351&gt;0,BI351&lt;2),0,IF('Proposed Lighting'!#REF!=100,0,IF(AV351=1,0,IF(AND(AM351=35,M351+N351&lt;2),0,AM351)))))))))))</f>
        <v>#REF!</v>
      </c>
      <c r="AQ351" s="1249" t="str">
        <f>IFERROR(ROUND(IF(Q351="","",IF('Proposed Lighting'!$X$4=0,0,IF(AND(AM351=35,M351+N351&lt;2),0,IF(T351&gt;K351,0,IF('Proposed Lighting'!#REF!=1,0,IF(AJ351=0,0,IF(AND('Proposed Lighting'!#REF!=3,AM351=0.5),0,IF(AND(AD351=75,AP351=0,AV351=0),0,IF(AP351&gt;0.01,AP351*T351,IF(AND(F351&gt;1,W351&lt;0.01),0,IF(AND(F351&gt;1,AO351=0),0,IF(AND('Proposed Lighting'!#REF!=22,AV351=0),0,IF(AND(AM351&gt;0,AS351&gt;0,BI351&lt;2),0,IF(AND(AS351&gt;0.01,BK351=0),0,IF(AND(AO351=TRUE,AV351=1,F351=3),MIN(AJ351*0.08,L351),IF(AP351&gt;0.01,AP351*T351,IF(AND(AO351=TRUE,AV351=1,F351=2),MIN(AJ351*0.1,L351)))))))))))))))))),2),"")</f>
        <v/>
      </c>
      <c r="AR351" s="1250">
        <f>IF(Q351=0,0,IF('Proposed Lighting'!$X$4=0,0,IF(AND(AM351&gt;0.01,AQ351&gt;0.01),0,IF('Proposed Lighting'!#REF!=1,"Missing Interior or Exterior Selection",IF('Proposed Lighting'!#REF!=1,"Selection does not match",IF(K351&gt;'Proposed Lighting'!#REF!,"Quantity controlled does not match proposed lighting quantity",IF(T351&gt;K351,"Quantity of sensors exceeds proposed lighting quantity",IF(AND(F351&gt;1,'Proposed Lighting'!#REF!&lt;&gt;F351),"Selection does not match",IF(AND(AD351&gt;AA351,AA351&gt;0),"Does not meet minimum connected load",IF(AND(O351&gt;0,AS351&gt;0,BK351&gt;0,'Proposed Lighting'!#REF!=0),"Select Control Strategies",IF(AND(AC351&gt;0.1,AJ351=0,AQ351=0),"Does not meet incentive criteria",0)))))))))))</f>
        <v>0</v>
      </c>
      <c r="AS351" s="1224" t="e">
        <f>IF('Proposed Lighting'!#REF!=100,0,IF(ISNUMBER(SEARCH("multiple",Q351)),1,0))</f>
        <v>#REF!</v>
      </c>
      <c r="AT351" s="451">
        <f t="shared" si="73"/>
        <v>0</v>
      </c>
      <c r="AU351" s="451" t="e">
        <f t="shared" si="74"/>
        <v>#REF!</v>
      </c>
      <c r="AV351" s="1222">
        <f>IF(ISNUMBER(SEARCH("Networked",'Proposed Lighting'!#REF!)),0,IF(ISNUMBER(SEARCH("Strategies",'Proposed Lighting'!#REF!)),0,IF(ISNUMBER(SEARCH("Removal",'Proposed Lighting'!#REF!)),0,IF(ISNUMBER(SEARCH("non-standard",Q351)),1,0))))</f>
        <v>0</v>
      </c>
      <c r="AW351" s="451">
        <f t="shared" si="77"/>
        <v>0</v>
      </c>
      <c r="AX351" s="451"/>
      <c r="AY351" s="451"/>
      <c r="AZ351" s="451"/>
      <c r="BA351" s="451"/>
      <c r="BB351" s="451"/>
      <c r="BC351" s="1215"/>
      <c r="BD351" s="1215"/>
      <c r="BE351" s="1215"/>
      <c r="BF351" s="1215"/>
      <c r="BG351" s="1215"/>
      <c r="BH351" s="1215"/>
      <c r="BI351" t="e">
        <f>IF(AND(AS351=1,BC351="No",BD351="Yes",BE351="Yes",BF351="No",BH351="No"),0,IF(AND('Proposed Lighting'!#REF!=2,AS351=1,BC351="Yes",BD351="Yes"),2,IF(AND('Proposed Lighting'!#REF!=2,AS351=1,BC351="Yes",BE351="Yes"),2,IF(AND('Proposed Lighting'!#REF!=2,AS351=1,BC351="Yes",BF351="Yes"),2,IF(AND('Proposed Lighting'!#REF!=2,AS351=1,BC351="Yes",BH351="Yes"),2,IF(AND('Proposed Lighting'!#REF!=2,AS351=1,BD351="Yes",BF351="Yes"),2,IF(AND('Proposed Lighting'!#REF!=2,AS351=1,BD351="Yes",BH351="Yes"),2,IF(AND('Proposed Lighting'!#REF!=3,AS351=1,BC351="Yes",BE351="Yes"),2,IF(AND('Proposed Lighting'!#REF!=3,AS351=1,BC351="Yes",BF351="Yes"),2,0)))))))))</f>
        <v>#REF!</v>
      </c>
      <c r="BJ351" s="1025" t="e">
        <f t="shared" si="75"/>
        <v>#REF!</v>
      </c>
      <c r="BK351" t="e">
        <f>IF(AND('Proposed Lighting'!#REF!=22,'Lighting Controls'!N351=1),0,IF(ISNUMBER(SEARCH("LED",G351)),1,0))</f>
        <v>#REF!</v>
      </c>
    </row>
    <row r="352" spans="1:63" ht="34.5" customHeight="1">
      <c r="A352" s="917">
        <v>344</v>
      </c>
      <c r="B352" s="1828" t="e">
        <f>IF('Proposed Lighting'!#REF!="","",'Proposed Lighting'!#REF!)</f>
        <v>#REF!</v>
      </c>
      <c r="C352" s="1828"/>
      <c r="D352" s="1828"/>
      <c r="E352" s="1245" t="e">
        <f>'Proposed Lighting'!#REF!</f>
        <v>#REF!</v>
      </c>
      <c r="F352" s="1245">
        <f t="shared" si="68"/>
        <v>0</v>
      </c>
      <c r="G352" s="1830" t="e">
        <f>IF('Proposed Lighting'!#REF!="","",IF(ISNUMBER(SEARCH("Networked",'Proposed Lighting'!#REF!)),0,IF(ISNUMBER(SEARCH("Strategies",'Proposed Lighting'!#REF!)),0,IF(ISNUMBER(SEARCH("Removal",'Proposed Lighting'!#REF!)),0,'Proposed Lighting'!#REF!))))</f>
        <v>#REF!</v>
      </c>
      <c r="H352" s="1830"/>
      <c r="I352" s="1830"/>
      <c r="J352" s="1830"/>
      <c r="K352" s="1215"/>
      <c r="L352" s="1246" t="e">
        <f t="shared" si="69"/>
        <v>#REF!</v>
      </c>
      <c r="M352" s="1224">
        <f t="shared" si="70"/>
        <v>0</v>
      </c>
      <c r="N352" s="1224">
        <f t="shared" si="71"/>
        <v>0</v>
      </c>
      <c r="O352" s="1825" t="e">
        <f>IF(G352=0,0,IF(ISNA('Proposed Lighting'!#REF!),0,'Proposed Lighting'!#REF!))</f>
        <v>#REF!</v>
      </c>
      <c r="P352" s="1825"/>
      <c r="Q352" s="1247"/>
      <c r="R352" s="1247"/>
      <c r="S352" s="1247"/>
      <c r="T352" s="1211"/>
      <c r="U352" s="1235">
        <f>IF(K352&gt;0.01,'Proposed Lighting'!#REF!,0)</f>
        <v>0</v>
      </c>
      <c r="V352" s="1248" t="e">
        <f>IF('Proposed Lighting'!#REF!=1,0,IF('Proposed Lighting'!#REF!=2,0,IF(AND('Proposed Lighting'!#REF!=3,'Proposed Lighting'!#REF!=0),1,0)))</f>
        <v>#REF!</v>
      </c>
      <c r="W352" s="1836"/>
      <c r="X352" s="1836"/>
      <c r="Y352" s="1836"/>
      <c r="Z352" s="1230" t="str">
        <f t="shared" si="65"/>
        <v/>
      </c>
      <c r="AA352" s="1230">
        <f t="shared" si="66"/>
        <v>0</v>
      </c>
      <c r="AB352" s="1230">
        <f>IF(Q352=0,0,IF(T352=0,0,IF(AA352=0,0,IF(AND(F352=3,V352=0),0,IF(T352=0,0,IF(K352&gt;'Proposed Lighting'!#REF!,0,IF('Proposed Lighting'!#REF!&gt;0.01,(K352*O352)*'Proposed Lighting'!#REF!/1000,(K352*O352)*U352/1000)))))))</f>
        <v>0</v>
      </c>
      <c r="AC352" s="1230" t="str">
        <f t="shared" si="72"/>
        <v/>
      </c>
      <c r="AD352" s="1230">
        <f t="shared" si="67"/>
        <v>0</v>
      </c>
      <c r="AE352" s="1230">
        <f>IF(T352=0,0,IF(K352&gt;'Proposed Lighting'!#REF!,0,IF(T352&gt;K352,0,IF(AND(AD352&gt;AA352,AA352&gt;0),0,IF(AND(F352&gt;1,W352&lt;0.01),0,IF('Proposed Lighting'!#REF!&gt;'Lighting Controls'!F352,0,IF('Proposed Lighting'!#REF!&lt;'Lighting Controls'!F352,0,IF(U352=0,0,Summary!#REF!))))))))</f>
        <v>0</v>
      </c>
      <c r="AF352" s="1230">
        <f>IF(T352=0,0,IF(AE352=0,0,IF(K352&gt;'Proposed Lighting'!#REF!,0,IF(AND(AD352&gt;AA352,AA352&gt;0),0,IF(U352=0,0,Summary!#REF!)))))</f>
        <v>0</v>
      </c>
      <c r="AG352" s="1834" t="e">
        <f>IF('Proposed Lighting'!#REF!=1,0,IF('Proposed Lighting'!#REF!=1,0,T352*W352))</f>
        <v>#REF!</v>
      </c>
      <c r="AH352" s="1834"/>
      <c r="AI352" s="1834"/>
      <c r="AJ352" s="1835">
        <f>IF(T352&lt;1,0,IF(K352&gt;'Proposed Lighting'!#REF!,0,IF('Proposed Lighting'!#REF!=1,0,IF('Proposed Lighting'!#REF!=1,0,IF(T352&gt;K352,0,IF(AND(AD352&gt;AA352,AA352&gt;0),0,IF(AND(F352=2,'Proposed Lighting'!#REF!=3),0,IF(AND(F352=3,'Proposed Lighting'!#REF!=2),0,IF('Proposed Lighting'!#REF!=100,0,IF(AND(F352&lt;3,V352=1,AM352=0),0,IF(AND(F352&gt;1,AF352&lt;1,AN352&lt;1),0,IF(AND(F352&gt;1,AE352&lt;0.69,AF352&lt;1,AN352&lt;1),0,IF(ISERROR(AB352-AC352),"",AB352-AC352)))))))))))))</f>
        <v>0</v>
      </c>
      <c r="AK352" s="1835"/>
      <c r="AL352" s="1835"/>
      <c r="AM352" s="1216">
        <f>IF(Q352=0,0,IF(T352=0,0,IF(T352&gt;K352,0,IF(AND(AS352&gt;0.01,BK352=0),0,IF(AND('Proposed Lighting'!#REF!=0,'Lighting Controls'!Z352=0.35),0,IF(AND(T352&lt;=K352,AA352&gt;=AD352,'Proposed Lighting'!#REF!=2),VLOOKUP(Q352,$AY$9:$AZ$15,2,FALSE),IF(AND(T352&lt;=K352,AA352&gt;=AD352,'Proposed Lighting'!#REF!=3),VLOOKUP(Q352,$AY$17:$AZ$23,2,FALSE))))))))</f>
        <v>0</v>
      </c>
      <c r="AN352" s="1248">
        <f>IF(T352=0,0,IF(K352&gt;'Proposed Lighting'!#REF!,0,IF(AE352=0,0,IF(AND(AD352&gt;AA352,AA352&gt;0),0,IF(U352=0,0,Summary!#REF!)))))</f>
        <v>0</v>
      </c>
      <c r="AO352" s="1248">
        <f t="shared" si="76"/>
        <v>0</v>
      </c>
      <c r="AP352" s="1249" t="e">
        <f>IF('Proposed Lighting'!#REF!=1,0,IF(K352=0,0,IF(T352&gt;K352,0,IF(G352=0,0,IF(K352&gt;'Proposed Lighting'!#REF!,0,IF(AND(AD352&gt;AA352,AA352&gt;0),0,IF(AND('Proposed Lighting'!#REF!=3,AM352=0.5),0,IF(AND(AM352&gt;0,AS352&gt;0,BI352&lt;2),0,IF('Proposed Lighting'!#REF!=100,0,IF(AV352=1,0,IF(AND(AM352=35,M352+N352&lt;2),0,AM352)))))))))))</f>
        <v>#REF!</v>
      </c>
      <c r="AQ352" s="1249" t="str">
        <f>IFERROR(ROUND(IF(Q352="","",IF('Proposed Lighting'!$X$4=0,0,IF(AND(AM352=35,M352+N352&lt;2),0,IF(T352&gt;K352,0,IF('Proposed Lighting'!#REF!=1,0,IF(AJ352=0,0,IF(AND('Proposed Lighting'!#REF!=3,AM352=0.5),0,IF(AND(AD352=75,AP352=0,AV352=0),0,IF(AP352&gt;0.01,AP352*T352,IF(AND(F352&gt;1,W352&lt;0.01),0,IF(AND(F352&gt;1,AO352=0),0,IF(AND('Proposed Lighting'!#REF!=22,AV352=0),0,IF(AND(AM352&gt;0,AS352&gt;0,BI352&lt;2),0,IF(AND(AS352&gt;0.01,BK352=0),0,IF(AND(AO352=TRUE,AV352=1,F352=3),MIN(AJ352*0.08,L352),IF(AP352&gt;0.01,AP352*T352,IF(AND(AO352=TRUE,AV352=1,F352=2),MIN(AJ352*0.1,L352)))))))))))))))))),2),"")</f>
        <v/>
      </c>
      <c r="AR352" s="1250">
        <f>IF(Q352=0,0,IF('Proposed Lighting'!$X$4=0,0,IF(AND(AM352&gt;0.01,AQ352&gt;0.01),0,IF('Proposed Lighting'!#REF!=1,"Missing Interior or Exterior Selection",IF('Proposed Lighting'!#REF!=1,"Selection does not match",IF(K352&gt;'Proposed Lighting'!#REF!,"Quantity controlled does not match proposed lighting quantity",IF(T352&gt;K352,"Quantity of sensors exceeds proposed lighting quantity",IF(AND(F352&gt;1,'Proposed Lighting'!#REF!&lt;&gt;F352),"Selection does not match",IF(AND(AD352&gt;AA352,AA352&gt;0),"Does not meet minimum connected load",IF(AND(O352&gt;0,AS352&gt;0,BK352&gt;0,'Proposed Lighting'!#REF!=0),"Select Control Strategies",IF(AND(AC352&gt;0.1,AJ352=0,AQ352=0),"Does not meet incentive criteria",0)))))))))))</f>
        <v>0</v>
      </c>
      <c r="AS352" s="1224" t="e">
        <f>IF('Proposed Lighting'!#REF!=100,0,IF(ISNUMBER(SEARCH("multiple",Q352)),1,0))</f>
        <v>#REF!</v>
      </c>
      <c r="AT352" s="451">
        <f t="shared" si="73"/>
        <v>0</v>
      </c>
      <c r="AU352" s="451" t="e">
        <f t="shared" si="74"/>
        <v>#REF!</v>
      </c>
      <c r="AV352" s="1222">
        <f>IF(ISNUMBER(SEARCH("Networked",'Proposed Lighting'!#REF!)),0,IF(ISNUMBER(SEARCH("Strategies",'Proposed Lighting'!#REF!)),0,IF(ISNUMBER(SEARCH("Removal",'Proposed Lighting'!#REF!)),0,IF(ISNUMBER(SEARCH("non-standard",Q352)),1,0))))</f>
        <v>0</v>
      </c>
      <c r="AW352" s="451">
        <f t="shared" si="77"/>
        <v>0</v>
      </c>
      <c r="AX352" s="451"/>
      <c r="AY352" s="451"/>
      <c r="AZ352" s="451"/>
      <c r="BA352" s="451"/>
      <c r="BB352" s="451"/>
      <c r="BC352" s="1215"/>
      <c r="BD352" s="1215"/>
      <c r="BE352" s="1215"/>
      <c r="BF352" s="1215"/>
      <c r="BG352" s="1215"/>
      <c r="BH352" s="1215"/>
      <c r="BI352" t="e">
        <f>IF(AND(AS352=1,BC352="No",BD352="Yes",BE352="Yes",BF352="No",BH352="No"),0,IF(AND('Proposed Lighting'!#REF!=2,AS352=1,BC352="Yes",BD352="Yes"),2,IF(AND('Proposed Lighting'!#REF!=2,AS352=1,BC352="Yes",BE352="Yes"),2,IF(AND('Proposed Lighting'!#REF!=2,AS352=1,BC352="Yes",BF352="Yes"),2,IF(AND('Proposed Lighting'!#REF!=2,AS352=1,BC352="Yes",BH352="Yes"),2,IF(AND('Proposed Lighting'!#REF!=2,AS352=1,BD352="Yes",BF352="Yes"),2,IF(AND('Proposed Lighting'!#REF!=2,AS352=1,BD352="Yes",BH352="Yes"),2,IF(AND('Proposed Lighting'!#REF!=3,AS352=1,BC352="Yes",BE352="Yes"),2,IF(AND('Proposed Lighting'!#REF!=3,AS352=1,BC352="Yes",BF352="Yes"),2,0)))))))))</f>
        <v>#REF!</v>
      </c>
      <c r="BJ352" s="1025" t="e">
        <f t="shared" si="75"/>
        <v>#REF!</v>
      </c>
      <c r="BK352" t="e">
        <f>IF(AND('Proposed Lighting'!#REF!=22,'Lighting Controls'!N352=1),0,IF(ISNUMBER(SEARCH("LED",G352)),1,0))</f>
        <v>#REF!</v>
      </c>
    </row>
    <row r="353" spans="1:63" ht="34.5" customHeight="1">
      <c r="A353" s="917">
        <v>345</v>
      </c>
      <c r="B353" s="1828" t="e">
        <f>IF('Proposed Lighting'!#REF!="","",'Proposed Lighting'!#REF!)</f>
        <v>#REF!</v>
      </c>
      <c r="C353" s="1828"/>
      <c r="D353" s="1828"/>
      <c r="E353" s="1245" t="e">
        <f>'Proposed Lighting'!#REF!</f>
        <v>#REF!</v>
      </c>
      <c r="F353" s="1245">
        <f t="shared" si="68"/>
        <v>0</v>
      </c>
      <c r="G353" s="1830" t="e">
        <f>IF('Proposed Lighting'!#REF!="","",IF(ISNUMBER(SEARCH("Networked",'Proposed Lighting'!#REF!)),0,IF(ISNUMBER(SEARCH("Strategies",'Proposed Lighting'!#REF!)),0,IF(ISNUMBER(SEARCH("Removal",'Proposed Lighting'!#REF!)),0,'Proposed Lighting'!#REF!))))</f>
        <v>#REF!</v>
      </c>
      <c r="H353" s="1830"/>
      <c r="I353" s="1830"/>
      <c r="J353" s="1830"/>
      <c r="K353" s="1215"/>
      <c r="L353" s="1246" t="e">
        <f t="shared" si="69"/>
        <v>#REF!</v>
      </c>
      <c r="M353" s="1224">
        <f t="shared" si="70"/>
        <v>0</v>
      </c>
      <c r="N353" s="1224">
        <f t="shared" si="71"/>
        <v>0</v>
      </c>
      <c r="O353" s="1825" t="e">
        <f>IF(G353=0,0,IF(ISNA('Proposed Lighting'!#REF!),0,'Proposed Lighting'!#REF!))</f>
        <v>#REF!</v>
      </c>
      <c r="P353" s="1825"/>
      <c r="Q353" s="1247"/>
      <c r="R353" s="1247"/>
      <c r="S353" s="1247"/>
      <c r="T353" s="1211"/>
      <c r="U353" s="1235">
        <f>IF(K353&gt;0.01,'Proposed Lighting'!#REF!,0)</f>
        <v>0</v>
      </c>
      <c r="V353" s="1248" t="e">
        <f>IF('Proposed Lighting'!#REF!=1,0,IF('Proposed Lighting'!#REF!=2,0,IF(AND('Proposed Lighting'!#REF!=3,'Proposed Lighting'!#REF!=0),1,0)))</f>
        <v>#REF!</v>
      </c>
      <c r="W353" s="1836"/>
      <c r="X353" s="1836"/>
      <c r="Y353" s="1836"/>
      <c r="Z353" s="1230" t="str">
        <f t="shared" si="65"/>
        <v/>
      </c>
      <c r="AA353" s="1230">
        <f t="shared" si="66"/>
        <v>0</v>
      </c>
      <c r="AB353" s="1230">
        <f>IF(Q353=0,0,IF(T353=0,0,IF(AA353=0,0,IF(AND(F353=3,V353=0),0,IF(T353=0,0,IF(K353&gt;'Proposed Lighting'!#REF!,0,IF('Proposed Lighting'!#REF!&gt;0.01,(K353*O353)*'Proposed Lighting'!#REF!/1000,(K353*O353)*U353/1000)))))))</f>
        <v>0</v>
      </c>
      <c r="AC353" s="1230" t="str">
        <f t="shared" si="72"/>
        <v/>
      </c>
      <c r="AD353" s="1230">
        <f t="shared" si="67"/>
        <v>0</v>
      </c>
      <c r="AE353" s="1230">
        <f>IF(T353=0,0,IF(K353&gt;'Proposed Lighting'!#REF!,0,IF(T353&gt;K353,0,IF(AND(AD353&gt;AA353,AA353&gt;0),0,IF(AND(F353&gt;1,W353&lt;0.01),0,IF('Proposed Lighting'!#REF!&gt;'Lighting Controls'!F353,0,IF('Proposed Lighting'!#REF!&lt;'Lighting Controls'!F353,0,IF(U353=0,0,Summary!#REF!))))))))</f>
        <v>0</v>
      </c>
      <c r="AF353" s="1230">
        <f>IF(T353=0,0,IF(AE353=0,0,IF(K353&gt;'Proposed Lighting'!#REF!,0,IF(AND(AD353&gt;AA353,AA353&gt;0),0,IF(U353=0,0,Summary!#REF!)))))</f>
        <v>0</v>
      </c>
      <c r="AG353" s="1834" t="e">
        <f>IF('Proposed Lighting'!#REF!=1,0,IF('Proposed Lighting'!#REF!=1,0,T353*W353))</f>
        <v>#REF!</v>
      </c>
      <c r="AH353" s="1834"/>
      <c r="AI353" s="1834"/>
      <c r="AJ353" s="1835">
        <f>IF(T353&lt;1,0,IF(K353&gt;'Proposed Lighting'!#REF!,0,IF('Proposed Lighting'!#REF!=1,0,IF('Proposed Lighting'!#REF!=1,0,IF(T353&gt;K353,0,IF(AND(AD353&gt;AA353,AA353&gt;0),0,IF(AND(F353=2,'Proposed Lighting'!#REF!=3),0,IF(AND(F353=3,'Proposed Lighting'!#REF!=2),0,IF('Proposed Lighting'!#REF!=100,0,IF(AND(F353&lt;3,V353=1,AM353=0),0,IF(AND(F353&gt;1,AF353&lt;1,AN353&lt;1),0,IF(AND(F353&gt;1,AE353&lt;0.69,AF353&lt;1,AN353&lt;1),0,IF(ISERROR(AB353-AC353),"",AB353-AC353)))))))))))))</f>
        <v>0</v>
      </c>
      <c r="AK353" s="1835"/>
      <c r="AL353" s="1835"/>
      <c r="AM353" s="1216">
        <f>IF(Q353=0,0,IF(T353=0,0,IF(T353&gt;K353,0,IF(AND(AS353&gt;0.01,BK353=0),0,IF(AND('Proposed Lighting'!#REF!=0,'Lighting Controls'!Z353=0.35),0,IF(AND(T353&lt;=K353,AA353&gt;=AD353,'Proposed Lighting'!#REF!=2),VLOOKUP(Q353,$AY$9:$AZ$15,2,FALSE),IF(AND(T353&lt;=K353,AA353&gt;=AD353,'Proposed Lighting'!#REF!=3),VLOOKUP(Q353,$AY$17:$AZ$23,2,FALSE))))))))</f>
        <v>0</v>
      </c>
      <c r="AN353" s="1248">
        <f>IF(T353=0,0,IF(K353&gt;'Proposed Lighting'!#REF!,0,IF(AE353=0,0,IF(AND(AD353&gt;AA353,AA353&gt;0),0,IF(U353=0,0,Summary!#REF!)))))</f>
        <v>0</v>
      </c>
      <c r="AO353" s="1248">
        <f t="shared" si="76"/>
        <v>0</v>
      </c>
      <c r="AP353" s="1249" t="e">
        <f>IF('Proposed Lighting'!#REF!=1,0,IF(K353=0,0,IF(T353&gt;K353,0,IF(G353=0,0,IF(K353&gt;'Proposed Lighting'!#REF!,0,IF(AND(AD353&gt;AA353,AA353&gt;0),0,IF(AND('Proposed Lighting'!#REF!=3,AM353=0.5),0,IF(AND(AM353&gt;0,AS353&gt;0,BI353&lt;2),0,IF('Proposed Lighting'!#REF!=100,0,IF(AV353=1,0,IF(AND(AM353=35,M353+N353&lt;2),0,AM353)))))))))))</f>
        <v>#REF!</v>
      </c>
      <c r="AQ353" s="1249" t="str">
        <f>IFERROR(ROUND(IF(Q353="","",IF('Proposed Lighting'!$X$4=0,0,IF(AND(AM353=35,M353+N353&lt;2),0,IF(T353&gt;K353,0,IF('Proposed Lighting'!#REF!=1,0,IF(AJ353=0,0,IF(AND('Proposed Lighting'!#REF!=3,AM353=0.5),0,IF(AND(AD353=75,AP353=0,AV353=0),0,IF(AP353&gt;0.01,AP353*T353,IF(AND(F353&gt;1,W353&lt;0.01),0,IF(AND(F353&gt;1,AO353=0),0,IF(AND('Proposed Lighting'!#REF!=22,AV353=0),0,IF(AND(AM353&gt;0,AS353&gt;0,BI353&lt;2),0,IF(AND(AS353&gt;0.01,BK353=0),0,IF(AND(AO353=TRUE,AV353=1,F353=3),MIN(AJ353*0.08,L353),IF(AP353&gt;0.01,AP353*T353,IF(AND(AO353=TRUE,AV353=1,F353=2),MIN(AJ353*0.1,L353)))))))))))))))))),2),"")</f>
        <v/>
      </c>
      <c r="AR353" s="1250">
        <f>IF(Q353=0,0,IF('Proposed Lighting'!$X$4=0,0,IF(AND(AM353&gt;0.01,AQ353&gt;0.01),0,IF('Proposed Lighting'!#REF!=1,"Missing Interior or Exterior Selection",IF('Proposed Lighting'!#REF!=1,"Selection does not match",IF(K353&gt;'Proposed Lighting'!#REF!,"Quantity controlled does not match proposed lighting quantity",IF(T353&gt;K353,"Quantity of sensors exceeds proposed lighting quantity",IF(AND(F353&gt;1,'Proposed Lighting'!#REF!&lt;&gt;F353),"Selection does not match",IF(AND(AD353&gt;AA353,AA353&gt;0),"Does not meet minimum connected load",IF(AND(O353&gt;0,AS353&gt;0,BK353&gt;0,'Proposed Lighting'!#REF!=0),"Select Control Strategies",IF(AND(AC353&gt;0.1,AJ353=0,AQ353=0),"Does not meet incentive criteria",0)))))))))))</f>
        <v>0</v>
      </c>
      <c r="AS353" s="1224" t="e">
        <f>IF('Proposed Lighting'!#REF!=100,0,IF(ISNUMBER(SEARCH("multiple",Q353)),1,0))</f>
        <v>#REF!</v>
      </c>
      <c r="AT353" s="451">
        <f t="shared" si="73"/>
        <v>0</v>
      </c>
      <c r="AU353" s="451" t="e">
        <f t="shared" si="74"/>
        <v>#REF!</v>
      </c>
      <c r="AV353" s="1222">
        <f>IF(ISNUMBER(SEARCH("Networked",'Proposed Lighting'!#REF!)),0,IF(ISNUMBER(SEARCH("Strategies",'Proposed Lighting'!#REF!)),0,IF(ISNUMBER(SEARCH("Removal",'Proposed Lighting'!#REF!)),0,IF(ISNUMBER(SEARCH("non-standard",Q353)),1,0))))</f>
        <v>0</v>
      </c>
      <c r="AW353" s="451">
        <f t="shared" si="77"/>
        <v>0</v>
      </c>
      <c r="AX353" s="451"/>
      <c r="AY353" s="451"/>
      <c r="AZ353" s="451"/>
      <c r="BA353" s="451"/>
      <c r="BB353" s="451"/>
      <c r="BC353" s="1215"/>
      <c r="BD353" s="1215"/>
      <c r="BE353" s="1215"/>
      <c r="BF353" s="1215"/>
      <c r="BG353" s="1215"/>
      <c r="BH353" s="1215"/>
      <c r="BI353" t="e">
        <f>IF(AND(AS353=1,BC353="No",BD353="Yes",BE353="Yes",BF353="No",BH353="No"),0,IF(AND('Proposed Lighting'!#REF!=2,AS353=1,BC353="Yes",BD353="Yes"),2,IF(AND('Proposed Lighting'!#REF!=2,AS353=1,BC353="Yes",BE353="Yes"),2,IF(AND('Proposed Lighting'!#REF!=2,AS353=1,BC353="Yes",BF353="Yes"),2,IF(AND('Proposed Lighting'!#REF!=2,AS353=1,BC353="Yes",BH353="Yes"),2,IF(AND('Proposed Lighting'!#REF!=2,AS353=1,BD353="Yes",BF353="Yes"),2,IF(AND('Proposed Lighting'!#REF!=2,AS353=1,BD353="Yes",BH353="Yes"),2,IF(AND('Proposed Lighting'!#REF!=3,AS353=1,BC353="Yes",BE353="Yes"),2,IF(AND('Proposed Lighting'!#REF!=3,AS353=1,BC353="Yes",BF353="Yes"),2,0)))))))))</f>
        <v>#REF!</v>
      </c>
      <c r="BJ353" s="1025" t="e">
        <f t="shared" si="75"/>
        <v>#REF!</v>
      </c>
      <c r="BK353" t="e">
        <f>IF(AND('Proposed Lighting'!#REF!=22,'Lighting Controls'!N353=1),0,IF(ISNUMBER(SEARCH("LED",G353)),1,0))</f>
        <v>#REF!</v>
      </c>
    </row>
    <row r="354" spans="1:63" ht="34.5" customHeight="1">
      <c r="A354" s="917">
        <v>346</v>
      </c>
      <c r="B354" s="1828" t="e">
        <f>IF('Proposed Lighting'!#REF!="","",'Proposed Lighting'!#REF!)</f>
        <v>#REF!</v>
      </c>
      <c r="C354" s="1828"/>
      <c r="D354" s="1828"/>
      <c r="E354" s="1245" t="e">
        <f>'Proposed Lighting'!#REF!</f>
        <v>#REF!</v>
      </c>
      <c r="F354" s="1245">
        <f t="shared" si="68"/>
        <v>0</v>
      </c>
      <c r="G354" s="1830" t="e">
        <f>IF('Proposed Lighting'!#REF!="","",IF(ISNUMBER(SEARCH("Networked",'Proposed Lighting'!#REF!)),0,IF(ISNUMBER(SEARCH("Strategies",'Proposed Lighting'!#REF!)),0,IF(ISNUMBER(SEARCH("Removal",'Proposed Lighting'!#REF!)),0,'Proposed Lighting'!#REF!))))</f>
        <v>#REF!</v>
      </c>
      <c r="H354" s="1830"/>
      <c r="I354" s="1830"/>
      <c r="J354" s="1830"/>
      <c r="K354" s="1215"/>
      <c r="L354" s="1246" t="e">
        <f t="shared" si="69"/>
        <v>#REF!</v>
      </c>
      <c r="M354" s="1224">
        <f t="shared" si="70"/>
        <v>0</v>
      </c>
      <c r="N354" s="1224">
        <f t="shared" si="71"/>
        <v>0</v>
      </c>
      <c r="O354" s="1825" t="e">
        <f>IF(G354=0,0,IF(ISNA('Proposed Lighting'!#REF!),0,'Proposed Lighting'!#REF!))</f>
        <v>#REF!</v>
      </c>
      <c r="P354" s="1825"/>
      <c r="Q354" s="1247"/>
      <c r="R354" s="1247"/>
      <c r="S354" s="1247"/>
      <c r="T354" s="1211"/>
      <c r="U354" s="1235">
        <f>IF(K354&gt;0.01,'Proposed Lighting'!#REF!,0)</f>
        <v>0</v>
      </c>
      <c r="V354" s="1248" t="e">
        <f>IF('Proposed Lighting'!#REF!=1,0,IF('Proposed Lighting'!#REF!=2,0,IF(AND('Proposed Lighting'!#REF!=3,'Proposed Lighting'!#REF!=0),1,0)))</f>
        <v>#REF!</v>
      </c>
      <c r="W354" s="1836"/>
      <c r="X354" s="1836"/>
      <c r="Y354" s="1836"/>
      <c r="Z354" s="1230" t="str">
        <f t="shared" si="65"/>
        <v/>
      </c>
      <c r="AA354" s="1230">
        <f t="shared" si="66"/>
        <v>0</v>
      </c>
      <c r="AB354" s="1230">
        <f>IF(Q354=0,0,IF(T354=0,0,IF(AA354=0,0,IF(AND(F354=3,V354=0),0,IF(T354=0,0,IF(K354&gt;'Proposed Lighting'!#REF!,0,IF('Proposed Lighting'!#REF!&gt;0.01,(K354*O354)*'Proposed Lighting'!#REF!/1000,(K354*O354)*U354/1000)))))))</f>
        <v>0</v>
      </c>
      <c r="AC354" s="1230" t="str">
        <f t="shared" si="72"/>
        <v/>
      </c>
      <c r="AD354" s="1230">
        <f t="shared" si="67"/>
        <v>0</v>
      </c>
      <c r="AE354" s="1230">
        <f>IF(T354=0,0,IF(K354&gt;'Proposed Lighting'!#REF!,0,IF(T354&gt;K354,0,IF(AND(AD354&gt;AA354,AA354&gt;0),0,IF(AND(F354&gt;1,W354&lt;0.01),0,IF('Proposed Lighting'!#REF!&gt;'Lighting Controls'!F354,0,IF('Proposed Lighting'!#REF!&lt;'Lighting Controls'!F354,0,IF(U354=0,0,Summary!#REF!))))))))</f>
        <v>0</v>
      </c>
      <c r="AF354" s="1230">
        <f>IF(T354=0,0,IF(AE354=0,0,IF(K354&gt;'Proposed Lighting'!#REF!,0,IF(AND(AD354&gt;AA354,AA354&gt;0),0,IF(U354=0,0,Summary!#REF!)))))</f>
        <v>0</v>
      </c>
      <c r="AG354" s="1834" t="e">
        <f>IF('Proposed Lighting'!#REF!=1,0,IF('Proposed Lighting'!#REF!=1,0,T354*W354))</f>
        <v>#REF!</v>
      </c>
      <c r="AH354" s="1834"/>
      <c r="AI354" s="1834"/>
      <c r="AJ354" s="1835">
        <f>IF(T354&lt;1,0,IF(K354&gt;'Proposed Lighting'!#REF!,0,IF('Proposed Lighting'!#REF!=1,0,IF('Proposed Lighting'!#REF!=1,0,IF(T354&gt;K354,0,IF(AND(AD354&gt;AA354,AA354&gt;0),0,IF(AND(F354=2,'Proposed Lighting'!#REF!=3),0,IF(AND(F354=3,'Proposed Lighting'!#REF!=2),0,IF('Proposed Lighting'!#REF!=100,0,IF(AND(F354&lt;3,V354=1,AM354=0),0,IF(AND(F354&gt;1,AF354&lt;1,AN354&lt;1),0,IF(AND(F354&gt;1,AE354&lt;0.69,AF354&lt;1,AN354&lt;1),0,IF(ISERROR(AB354-AC354),"",AB354-AC354)))))))))))))</f>
        <v>0</v>
      </c>
      <c r="AK354" s="1835"/>
      <c r="AL354" s="1835"/>
      <c r="AM354" s="1216">
        <f>IF(Q354=0,0,IF(T354=0,0,IF(T354&gt;K354,0,IF(AND(AS354&gt;0.01,BK354=0),0,IF(AND('Proposed Lighting'!#REF!=0,'Lighting Controls'!Z354=0.35),0,IF(AND(T354&lt;=K354,AA354&gt;=AD354,'Proposed Lighting'!#REF!=2),VLOOKUP(Q354,$AY$9:$AZ$15,2,FALSE),IF(AND(T354&lt;=K354,AA354&gt;=AD354,'Proposed Lighting'!#REF!=3),VLOOKUP(Q354,$AY$17:$AZ$23,2,FALSE))))))))</f>
        <v>0</v>
      </c>
      <c r="AN354" s="1248">
        <f>IF(T354=0,0,IF(K354&gt;'Proposed Lighting'!#REF!,0,IF(AE354=0,0,IF(AND(AD354&gt;AA354,AA354&gt;0),0,IF(U354=0,0,Summary!#REF!)))))</f>
        <v>0</v>
      </c>
      <c r="AO354" s="1248">
        <f t="shared" si="76"/>
        <v>0</v>
      </c>
      <c r="AP354" s="1249" t="e">
        <f>IF('Proposed Lighting'!#REF!=1,0,IF(K354=0,0,IF(T354&gt;K354,0,IF(G354=0,0,IF(K354&gt;'Proposed Lighting'!#REF!,0,IF(AND(AD354&gt;AA354,AA354&gt;0),0,IF(AND('Proposed Lighting'!#REF!=3,AM354=0.5),0,IF(AND(AM354&gt;0,AS354&gt;0,BI354&lt;2),0,IF('Proposed Lighting'!#REF!=100,0,IF(AV354=1,0,IF(AND(AM354=35,M354+N354&lt;2),0,AM354)))))))))))</f>
        <v>#REF!</v>
      </c>
      <c r="AQ354" s="1249" t="str">
        <f>IFERROR(ROUND(IF(Q354="","",IF('Proposed Lighting'!$X$4=0,0,IF(AND(AM354=35,M354+N354&lt;2),0,IF(T354&gt;K354,0,IF('Proposed Lighting'!#REF!=1,0,IF(AJ354=0,0,IF(AND('Proposed Lighting'!#REF!=3,AM354=0.5),0,IF(AND(AD354=75,AP354=0,AV354=0),0,IF(AP354&gt;0.01,AP354*T354,IF(AND(F354&gt;1,W354&lt;0.01),0,IF(AND(F354&gt;1,AO354=0),0,IF(AND('Proposed Lighting'!#REF!=22,AV354=0),0,IF(AND(AM354&gt;0,AS354&gt;0,BI354&lt;2),0,IF(AND(AS354&gt;0.01,BK354=0),0,IF(AND(AO354=TRUE,AV354=1,F354=3),MIN(AJ354*0.08,L354),IF(AP354&gt;0.01,AP354*T354,IF(AND(AO354=TRUE,AV354=1,F354=2),MIN(AJ354*0.1,L354)))))))))))))))))),2),"")</f>
        <v/>
      </c>
      <c r="AR354" s="1250">
        <f>IF(Q354=0,0,IF('Proposed Lighting'!$X$4=0,0,IF(AND(AM354&gt;0.01,AQ354&gt;0.01),0,IF('Proposed Lighting'!#REF!=1,"Missing Interior or Exterior Selection",IF('Proposed Lighting'!#REF!=1,"Selection does not match",IF(K354&gt;'Proposed Lighting'!#REF!,"Quantity controlled does not match proposed lighting quantity",IF(T354&gt;K354,"Quantity of sensors exceeds proposed lighting quantity",IF(AND(F354&gt;1,'Proposed Lighting'!#REF!&lt;&gt;F354),"Selection does not match",IF(AND(AD354&gt;AA354,AA354&gt;0),"Does not meet minimum connected load",IF(AND(O354&gt;0,AS354&gt;0,BK354&gt;0,'Proposed Lighting'!#REF!=0),"Select Control Strategies",IF(AND(AC354&gt;0.1,AJ354=0,AQ354=0),"Does not meet incentive criteria",0)))))))))))</f>
        <v>0</v>
      </c>
      <c r="AS354" s="1224" t="e">
        <f>IF('Proposed Lighting'!#REF!=100,0,IF(ISNUMBER(SEARCH("multiple",Q354)),1,0))</f>
        <v>#REF!</v>
      </c>
      <c r="AT354" s="451">
        <f t="shared" si="73"/>
        <v>0</v>
      </c>
      <c r="AU354" s="451" t="e">
        <f t="shared" si="74"/>
        <v>#REF!</v>
      </c>
      <c r="AV354" s="1222">
        <f>IF(ISNUMBER(SEARCH("Networked",'Proposed Lighting'!#REF!)),0,IF(ISNUMBER(SEARCH("Strategies",'Proposed Lighting'!#REF!)),0,IF(ISNUMBER(SEARCH("Removal",'Proposed Lighting'!#REF!)),0,IF(ISNUMBER(SEARCH("non-standard",Q354)),1,0))))</f>
        <v>0</v>
      </c>
      <c r="AW354" s="451">
        <f t="shared" si="77"/>
        <v>0</v>
      </c>
      <c r="AX354" s="451"/>
      <c r="AY354" s="451"/>
      <c r="AZ354" s="451"/>
      <c r="BA354" s="451"/>
      <c r="BB354" s="451"/>
      <c r="BC354" s="1215"/>
      <c r="BD354" s="1215"/>
      <c r="BE354" s="1215"/>
      <c r="BF354" s="1215"/>
      <c r="BG354" s="1215"/>
      <c r="BH354" s="1215"/>
      <c r="BI354" t="e">
        <f>IF(AND(AS354=1,BC354="No",BD354="Yes",BE354="Yes",BF354="No",BH354="No"),0,IF(AND('Proposed Lighting'!#REF!=2,AS354=1,BC354="Yes",BD354="Yes"),2,IF(AND('Proposed Lighting'!#REF!=2,AS354=1,BC354="Yes",BE354="Yes"),2,IF(AND('Proposed Lighting'!#REF!=2,AS354=1,BC354="Yes",BF354="Yes"),2,IF(AND('Proposed Lighting'!#REF!=2,AS354=1,BC354="Yes",BH354="Yes"),2,IF(AND('Proposed Lighting'!#REF!=2,AS354=1,BD354="Yes",BF354="Yes"),2,IF(AND('Proposed Lighting'!#REF!=2,AS354=1,BD354="Yes",BH354="Yes"),2,IF(AND('Proposed Lighting'!#REF!=3,AS354=1,BC354="Yes",BE354="Yes"),2,IF(AND('Proposed Lighting'!#REF!=3,AS354=1,BC354="Yes",BF354="Yes"),2,0)))))))))</f>
        <v>#REF!</v>
      </c>
      <c r="BJ354" s="1025" t="e">
        <f t="shared" si="75"/>
        <v>#REF!</v>
      </c>
      <c r="BK354" t="e">
        <f>IF(AND('Proposed Lighting'!#REF!=22,'Lighting Controls'!N354=1),0,IF(ISNUMBER(SEARCH("LED",G354)),1,0))</f>
        <v>#REF!</v>
      </c>
    </row>
    <row r="355" spans="1:63" ht="34.5" customHeight="1">
      <c r="A355" s="917">
        <v>347</v>
      </c>
      <c r="B355" s="1828" t="e">
        <f>IF('Proposed Lighting'!#REF!="","",'Proposed Lighting'!#REF!)</f>
        <v>#REF!</v>
      </c>
      <c r="C355" s="1828"/>
      <c r="D355" s="1828"/>
      <c r="E355" s="1245" t="e">
        <f>'Proposed Lighting'!#REF!</f>
        <v>#REF!</v>
      </c>
      <c r="F355" s="1245">
        <f t="shared" si="68"/>
        <v>0</v>
      </c>
      <c r="G355" s="1830" t="e">
        <f>IF('Proposed Lighting'!#REF!="","",IF(ISNUMBER(SEARCH("Networked",'Proposed Lighting'!#REF!)),0,IF(ISNUMBER(SEARCH("Strategies",'Proposed Lighting'!#REF!)),0,IF(ISNUMBER(SEARCH("Removal",'Proposed Lighting'!#REF!)),0,'Proposed Lighting'!#REF!))))</f>
        <v>#REF!</v>
      </c>
      <c r="H355" s="1830"/>
      <c r="I355" s="1830"/>
      <c r="J355" s="1830"/>
      <c r="K355" s="1215"/>
      <c r="L355" s="1246" t="e">
        <f t="shared" si="69"/>
        <v>#REF!</v>
      </c>
      <c r="M355" s="1224">
        <f t="shared" si="70"/>
        <v>0</v>
      </c>
      <c r="N355" s="1224">
        <f t="shared" si="71"/>
        <v>0</v>
      </c>
      <c r="O355" s="1825" t="e">
        <f>IF(G355=0,0,IF(ISNA('Proposed Lighting'!#REF!),0,'Proposed Lighting'!#REF!))</f>
        <v>#REF!</v>
      </c>
      <c r="P355" s="1825"/>
      <c r="Q355" s="1247"/>
      <c r="R355" s="1247"/>
      <c r="S355" s="1247"/>
      <c r="T355" s="1211"/>
      <c r="U355" s="1235">
        <f>IF(K355&gt;0.01,'Proposed Lighting'!#REF!,0)</f>
        <v>0</v>
      </c>
      <c r="V355" s="1248" t="e">
        <f>IF('Proposed Lighting'!#REF!=1,0,IF('Proposed Lighting'!#REF!=2,0,IF(AND('Proposed Lighting'!#REF!=3,'Proposed Lighting'!#REF!=0),1,0)))</f>
        <v>#REF!</v>
      </c>
      <c r="W355" s="1836"/>
      <c r="X355" s="1836"/>
      <c r="Y355" s="1836"/>
      <c r="Z355" s="1230" t="str">
        <f t="shared" si="65"/>
        <v/>
      </c>
      <c r="AA355" s="1230">
        <f t="shared" si="66"/>
        <v>0</v>
      </c>
      <c r="AB355" s="1230">
        <f>IF(Q355=0,0,IF(T355=0,0,IF(AA355=0,0,IF(AND(F355=3,V355=0),0,IF(T355=0,0,IF(K355&gt;'Proposed Lighting'!#REF!,0,IF('Proposed Lighting'!#REF!&gt;0.01,(K355*O355)*'Proposed Lighting'!#REF!/1000,(K355*O355)*U355/1000)))))))</f>
        <v>0</v>
      </c>
      <c r="AC355" s="1230" t="str">
        <f t="shared" si="72"/>
        <v/>
      </c>
      <c r="AD355" s="1230">
        <f t="shared" si="67"/>
        <v>0</v>
      </c>
      <c r="AE355" s="1230">
        <f>IF(T355=0,0,IF(K355&gt;'Proposed Lighting'!#REF!,0,IF(T355&gt;K355,0,IF(AND(AD355&gt;AA355,AA355&gt;0),0,IF(AND(F355&gt;1,W355&lt;0.01),0,IF('Proposed Lighting'!#REF!&gt;'Lighting Controls'!F355,0,IF('Proposed Lighting'!#REF!&lt;'Lighting Controls'!F355,0,IF(U355=0,0,Summary!#REF!))))))))</f>
        <v>0</v>
      </c>
      <c r="AF355" s="1230">
        <f>IF(T355=0,0,IF(AE355=0,0,IF(K355&gt;'Proposed Lighting'!#REF!,0,IF(AND(AD355&gt;AA355,AA355&gt;0),0,IF(U355=0,0,Summary!#REF!)))))</f>
        <v>0</v>
      </c>
      <c r="AG355" s="1834" t="e">
        <f>IF('Proposed Lighting'!#REF!=1,0,IF('Proposed Lighting'!#REF!=1,0,T355*W355))</f>
        <v>#REF!</v>
      </c>
      <c r="AH355" s="1834"/>
      <c r="AI355" s="1834"/>
      <c r="AJ355" s="1835">
        <f>IF(T355&lt;1,0,IF(K355&gt;'Proposed Lighting'!#REF!,0,IF('Proposed Lighting'!#REF!=1,0,IF('Proposed Lighting'!#REF!=1,0,IF(T355&gt;K355,0,IF(AND(AD355&gt;AA355,AA355&gt;0),0,IF(AND(F355=2,'Proposed Lighting'!#REF!=3),0,IF(AND(F355=3,'Proposed Lighting'!#REF!=2),0,IF('Proposed Lighting'!#REF!=100,0,IF(AND(F355&lt;3,V355=1,AM355=0),0,IF(AND(F355&gt;1,AF355&lt;1,AN355&lt;1),0,IF(AND(F355&gt;1,AE355&lt;0.69,AF355&lt;1,AN355&lt;1),0,IF(ISERROR(AB355-AC355),"",AB355-AC355)))))))))))))</f>
        <v>0</v>
      </c>
      <c r="AK355" s="1835"/>
      <c r="AL355" s="1835"/>
      <c r="AM355" s="1216">
        <f>IF(Q355=0,0,IF(T355=0,0,IF(T355&gt;K355,0,IF(AND(AS355&gt;0.01,BK355=0),0,IF(AND('Proposed Lighting'!#REF!=0,'Lighting Controls'!Z355=0.35),0,IF(AND(T355&lt;=K355,AA355&gt;=AD355,'Proposed Lighting'!#REF!=2),VLOOKUP(Q355,$AY$9:$AZ$15,2,FALSE),IF(AND(T355&lt;=K355,AA355&gt;=AD355,'Proposed Lighting'!#REF!=3),VLOOKUP(Q355,$AY$17:$AZ$23,2,FALSE))))))))</f>
        <v>0</v>
      </c>
      <c r="AN355" s="1248">
        <f>IF(T355=0,0,IF(K355&gt;'Proposed Lighting'!#REF!,0,IF(AE355=0,0,IF(AND(AD355&gt;AA355,AA355&gt;0),0,IF(U355=0,0,Summary!#REF!)))))</f>
        <v>0</v>
      </c>
      <c r="AO355" s="1248">
        <f t="shared" si="76"/>
        <v>0</v>
      </c>
      <c r="AP355" s="1249" t="e">
        <f>IF('Proposed Lighting'!#REF!=1,0,IF(K355=0,0,IF(T355&gt;K355,0,IF(G355=0,0,IF(K355&gt;'Proposed Lighting'!#REF!,0,IF(AND(AD355&gt;AA355,AA355&gt;0),0,IF(AND('Proposed Lighting'!#REF!=3,AM355=0.5),0,IF(AND(AM355&gt;0,AS355&gt;0,BI355&lt;2),0,IF('Proposed Lighting'!#REF!=100,0,IF(AV355=1,0,IF(AND(AM355=35,M355+N355&lt;2),0,AM355)))))))))))</f>
        <v>#REF!</v>
      </c>
      <c r="AQ355" s="1249" t="str">
        <f>IFERROR(ROUND(IF(Q355="","",IF('Proposed Lighting'!$X$4=0,0,IF(AND(AM355=35,M355+N355&lt;2),0,IF(T355&gt;K355,0,IF('Proposed Lighting'!#REF!=1,0,IF(AJ355=0,0,IF(AND('Proposed Lighting'!#REF!=3,AM355=0.5),0,IF(AND(AD355=75,AP355=0,AV355=0),0,IF(AP355&gt;0.01,AP355*T355,IF(AND(F355&gt;1,W355&lt;0.01),0,IF(AND(F355&gt;1,AO355=0),0,IF(AND('Proposed Lighting'!#REF!=22,AV355=0),0,IF(AND(AM355&gt;0,AS355&gt;0,BI355&lt;2),0,IF(AND(AS355&gt;0.01,BK355=0),0,IF(AND(AO355=TRUE,AV355=1,F355=3),MIN(AJ355*0.08,L355),IF(AP355&gt;0.01,AP355*T355,IF(AND(AO355=TRUE,AV355=1,F355=2),MIN(AJ355*0.1,L355)))))))))))))))))),2),"")</f>
        <v/>
      </c>
      <c r="AR355" s="1250">
        <f>IF(Q355=0,0,IF('Proposed Lighting'!$X$4=0,0,IF(AND(AM355&gt;0.01,AQ355&gt;0.01),0,IF('Proposed Lighting'!#REF!=1,"Missing Interior or Exterior Selection",IF('Proposed Lighting'!#REF!=1,"Selection does not match",IF(K355&gt;'Proposed Lighting'!#REF!,"Quantity controlled does not match proposed lighting quantity",IF(T355&gt;K355,"Quantity of sensors exceeds proposed lighting quantity",IF(AND(F355&gt;1,'Proposed Lighting'!#REF!&lt;&gt;F355),"Selection does not match",IF(AND(AD355&gt;AA355,AA355&gt;0),"Does not meet minimum connected load",IF(AND(O355&gt;0,AS355&gt;0,BK355&gt;0,'Proposed Lighting'!#REF!=0),"Select Control Strategies",IF(AND(AC355&gt;0.1,AJ355=0,AQ355=0),"Does not meet incentive criteria",0)))))))))))</f>
        <v>0</v>
      </c>
      <c r="AS355" s="1224" t="e">
        <f>IF('Proposed Lighting'!#REF!=100,0,IF(ISNUMBER(SEARCH("multiple",Q355)),1,0))</f>
        <v>#REF!</v>
      </c>
      <c r="AT355" s="451">
        <f t="shared" si="73"/>
        <v>0</v>
      </c>
      <c r="AU355" s="451" t="e">
        <f t="shared" si="74"/>
        <v>#REF!</v>
      </c>
      <c r="AV355" s="1222">
        <f>IF(ISNUMBER(SEARCH("Networked",'Proposed Lighting'!#REF!)),0,IF(ISNUMBER(SEARCH("Strategies",'Proposed Lighting'!#REF!)),0,IF(ISNUMBER(SEARCH("Removal",'Proposed Lighting'!#REF!)),0,IF(ISNUMBER(SEARCH("non-standard",Q355)),1,0))))</f>
        <v>0</v>
      </c>
      <c r="AW355" s="451">
        <f t="shared" si="77"/>
        <v>0</v>
      </c>
      <c r="AX355" s="451"/>
      <c r="AY355" s="451"/>
      <c r="AZ355" s="451"/>
      <c r="BA355" s="451"/>
      <c r="BB355" s="451"/>
      <c r="BC355" s="1215"/>
      <c r="BD355" s="1215"/>
      <c r="BE355" s="1215"/>
      <c r="BF355" s="1215"/>
      <c r="BG355" s="1215"/>
      <c r="BH355" s="1215"/>
      <c r="BI355" t="e">
        <f>IF(AND(AS355=1,BC355="No",BD355="Yes",BE355="Yes",BF355="No",BH355="No"),0,IF(AND('Proposed Lighting'!#REF!=2,AS355=1,BC355="Yes",BD355="Yes"),2,IF(AND('Proposed Lighting'!#REF!=2,AS355=1,BC355="Yes",BE355="Yes"),2,IF(AND('Proposed Lighting'!#REF!=2,AS355=1,BC355="Yes",BF355="Yes"),2,IF(AND('Proposed Lighting'!#REF!=2,AS355=1,BC355="Yes",BH355="Yes"),2,IF(AND('Proposed Lighting'!#REF!=2,AS355=1,BD355="Yes",BF355="Yes"),2,IF(AND('Proposed Lighting'!#REF!=2,AS355=1,BD355="Yes",BH355="Yes"),2,IF(AND('Proposed Lighting'!#REF!=3,AS355=1,BC355="Yes",BE355="Yes"),2,IF(AND('Proposed Lighting'!#REF!=3,AS355=1,BC355="Yes",BF355="Yes"),2,0)))))))))</f>
        <v>#REF!</v>
      </c>
      <c r="BJ355" s="1025" t="e">
        <f t="shared" si="75"/>
        <v>#REF!</v>
      </c>
      <c r="BK355" t="e">
        <f>IF(AND('Proposed Lighting'!#REF!=22,'Lighting Controls'!N355=1),0,IF(ISNUMBER(SEARCH("LED",G355)),1,0))</f>
        <v>#REF!</v>
      </c>
    </row>
    <row r="356" spans="1:63" ht="34.5" customHeight="1">
      <c r="A356" s="917">
        <v>348</v>
      </c>
      <c r="B356" s="1828" t="e">
        <f>IF('Proposed Lighting'!#REF!="","",'Proposed Lighting'!#REF!)</f>
        <v>#REF!</v>
      </c>
      <c r="C356" s="1828"/>
      <c r="D356" s="1828"/>
      <c r="E356" s="1245" t="e">
        <f>'Proposed Lighting'!#REF!</f>
        <v>#REF!</v>
      </c>
      <c r="F356" s="1245">
        <f t="shared" si="68"/>
        <v>0</v>
      </c>
      <c r="G356" s="1830" t="e">
        <f>IF('Proposed Lighting'!#REF!="","",IF(ISNUMBER(SEARCH("Networked",'Proposed Lighting'!#REF!)),0,IF(ISNUMBER(SEARCH("Strategies",'Proposed Lighting'!#REF!)),0,IF(ISNUMBER(SEARCH("Removal",'Proposed Lighting'!#REF!)),0,'Proposed Lighting'!#REF!))))</f>
        <v>#REF!</v>
      </c>
      <c r="H356" s="1830"/>
      <c r="I356" s="1830"/>
      <c r="J356" s="1830"/>
      <c r="K356" s="1215"/>
      <c r="L356" s="1246" t="e">
        <f t="shared" si="69"/>
        <v>#REF!</v>
      </c>
      <c r="M356" s="1224">
        <f t="shared" si="70"/>
        <v>0</v>
      </c>
      <c r="N356" s="1224">
        <f t="shared" si="71"/>
        <v>0</v>
      </c>
      <c r="O356" s="1825" t="e">
        <f>IF(G356=0,0,IF(ISNA('Proposed Lighting'!#REF!),0,'Proposed Lighting'!#REF!))</f>
        <v>#REF!</v>
      </c>
      <c r="P356" s="1825"/>
      <c r="Q356" s="1247"/>
      <c r="R356" s="1247"/>
      <c r="S356" s="1247"/>
      <c r="T356" s="1211"/>
      <c r="U356" s="1235">
        <f>IF(K356&gt;0.01,'Proposed Lighting'!#REF!,0)</f>
        <v>0</v>
      </c>
      <c r="V356" s="1248" t="e">
        <f>IF('Proposed Lighting'!#REF!=1,0,IF('Proposed Lighting'!#REF!=2,0,IF(AND('Proposed Lighting'!#REF!=3,'Proposed Lighting'!#REF!=0),1,0)))</f>
        <v>#REF!</v>
      </c>
      <c r="W356" s="1836"/>
      <c r="X356" s="1836"/>
      <c r="Y356" s="1836"/>
      <c r="Z356" s="1230" t="str">
        <f t="shared" si="65"/>
        <v/>
      </c>
      <c r="AA356" s="1230">
        <f t="shared" si="66"/>
        <v>0</v>
      </c>
      <c r="AB356" s="1230">
        <f>IF(Q356=0,0,IF(T356=0,0,IF(AA356=0,0,IF(AND(F356=3,V356=0),0,IF(T356=0,0,IF(K356&gt;'Proposed Lighting'!#REF!,0,IF('Proposed Lighting'!#REF!&gt;0.01,(K356*O356)*'Proposed Lighting'!#REF!/1000,(K356*O356)*U356/1000)))))))</f>
        <v>0</v>
      </c>
      <c r="AC356" s="1230" t="str">
        <f t="shared" si="72"/>
        <v/>
      </c>
      <c r="AD356" s="1230">
        <f t="shared" si="67"/>
        <v>0</v>
      </c>
      <c r="AE356" s="1230">
        <f>IF(T356=0,0,IF(K356&gt;'Proposed Lighting'!#REF!,0,IF(T356&gt;K356,0,IF(AND(AD356&gt;AA356,AA356&gt;0),0,IF(AND(F356&gt;1,W356&lt;0.01),0,IF('Proposed Lighting'!#REF!&gt;'Lighting Controls'!F356,0,IF('Proposed Lighting'!#REF!&lt;'Lighting Controls'!F356,0,IF(U356=0,0,Summary!#REF!))))))))</f>
        <v>0</v>
      </c>
      <c r="AF356" s="1230">
        <f>IF(T356=0,0,IF(AE356=0,0,IF(K356&gt;'Proposed Lighting'!#REF!,0,IF(AND(AD356&gt;AA356,AA356&gt;0),0,IF(U356=0,0,Summary!#REF!)))))</f>
        <v>0</v>
      </c>
      <c r="AG356" s="1834" t="e">
        <f>IF('Proposed Lighting'!#REF!=1,0,IF('Proposed Lighting'!#REF!=1,0,T356*W356))</f>
        <v>#REF!</v>
      </c>
      <c r="AH356" s="1834"/>
      <c r="AI356" s="1834"/>
      <c r="AJ356" s="1835">
        <f>IF(T356&lt;1,0,IF(K356&gt;'Proposed Lighting'!#REF!,0,IF('Proposed Lighting'!#REF!=1,0,IF('Proposed Lighting'!#REF!=1,0,IF(T356&gt;K356,0,IF(AND(AD356&gt;AA356,AA356&gt;0),0,IF(AND(F356=2,'Proposed Lighting'!#REF!=3),0,IF(AND(F356=3,'Proposed Lighting'!#REF!=2),0,IF('Proposed Lighting'!#REF!=100,0,IF(AND(F356&lt;3,V356=1,AM356=0),0,IF(AND(F356&gt;1,AF356&lt;1,AN356&lt;1),0,IF(AND(F356&gt;1,AE356&lt;0.69,AF356&lt;1,AN356&lt;1),0,IF(ISERROR(AB356-AC356),"",AB356-AC356)))))))))))))</f>
        <v>0</v>
      </c>
      <c r="AK356" s="1835"/>
      <c r="AL356" s="1835"/>
      <c r="AM356" s="1216">
        <f>IF(Q356=0,0,IF(T356=0,0,IF(T356&gt;K356,0,IF(AND(AS356&gt;0.01,BK356=0),0,IF(AND('Proposed Lighting'!#REF!=0,'Lighting Controls'!Z356=0.35),0,IF(AND(T356&lt;=K356,AA356&gt;=AD356,'Proposed Lighting'!#REF!=2),VLOOKUP(Q356,$AY$9:$AZ$15,2,FALSE),IF(AND(T356&lt;=K356,AA356&gt;=AD356,'Proposed Lighting'!#REF!=3),VLOOKUP(Q356,$AY$17:$AZ$23,2,FALSE))))))))</f>
        <v>0</v>
      </c>
      <c r="AN356" s="1248">
        <f>IF(T356=0,0,IF(K356&gt;'Proposed Lighting'!#REF!,0,IF(AE356=0,0,IF(AND(AD356&gt;AA356,AA356&gt;0),0,IF(U356=0,0,Summary!#REF!)))))</f>
        <v>0</v>
      </c>
      <c r="AO356" s="1248">
        <f t="shared" si="76"/>
        <v>0</v>
      </c>
      <c r="AP356" s="1249" t="e">
        <f>IF('Proposed Lighting'!#REF!=1,0,IF(K356=0,0,IF(T356&gt;K356,0,IF(G356=0,0,IF(K356&gt;'Proposed Lighting'!#REF!,0,IF(AND(AD356&gt;AA356,AA356&gt;0),0,IF(AND('Proposed Lighting'!#REF!=3,AM356=0.5),0,IF(AND(AM356&gt;0,AS356&gt;0,BI356&lt;2),0,IF('Proposed Lighting'!#REF!=100,0,IF(AV356=1,0,IF(AND(AM356=35,M356+N356&lt;2),0,AM356)))))))))))</f>
        <v>#REF!</v>
      </c>
      <c r="AQ356" s="1249" t="str">
        <f>IFERROR(ROUND(IF(Q356="","",IF('Proposed Lighting'!$X$4=0,0,IF(AND(AM356=35,M356+N356&lt;2),0,IF(T356&gt;K356,0,IF('Proposed Lighting'!#REF!=1,0,IF(AJ356=0,0,IF(AND('Proposed Lighting'!#REF!=3,AM356=0.5),0,IF(AND(AD356=75,AP356=0,AV356=0),0,IF(AP356&gt;0.01,AP356*T356,IF(AND(F356&gt;1,W356&lt;0.01),0,IF(AND(F356&gt;1,AO356=0),0,IF(AND('Proposed Lighting'!#REF!=22,AV356=0),0,IF(AND(AM356&gt;0,AS356&gt;0,BI356&lt;2),0,IF(AND(AS356&gt;0.01,BK356=0),0,IF(AND(AO356=TRUE,AV356=1,F356=3),MIN(AJ356*0.08,L356),IF(AP356&gt;0.01,AP356*T356,IF(AND(AO356=TRUE,AV356=1,F356=2),MIN(AJ356*0.1,L356)))))))))))))))))),2),"")</f>
        <v/>
      </c>
      <c r="AR356" s="1250">
        <f>IF(Q356=0,0,IF('Proposed Lighting'!$X$4=0,0,IF(AND(AM356&gt;0.01,AQ356&gt;0.01),0,IF('Proposed Lighting'!#REF!=1,"Missing Interior or Exterior Selection",IF('Proposed Lighting'!#REF!=1,"Selection does not match",IF(K356&gt;'Proposed Lighting'!#REF!,"Quantity controlled does not match proposed lighting quantity",IF(T356&gt;K356,"Quantity of sensors exceeds proposed lighting quantity",IF(AND(F356&gt;1,'Proposed Lighting'!#REF!&lt;&gt;F356),"Selection does not match",IF(AND(AD356&gt;AA356,AA356&gt;0),"Does not meet minimum connected load",IF(AND(O356&gt;0,AS356&gt;0,BK356&gt;0,'Proposed Lighting'!#REF!=0),"Select Control Strategies",IF(AND(AC356&gt;0.1,AJ356=0,AQ356=0),"Does not meet incentive criteria",0)))))))))))</f>
        <v>0</v>
      </c>
      <c r="AS356" s="1224" t="e">
        <f>IF('Proposed Lighting'!#REF!=100,0,IF(ISNUMBER(SEARCH("multiple",Q356)),1,0))</f>
        <v>#REF!</v>
      </c>
      <c r="AT356" s="451">
        <f t="shared" si="73"/>
        <v>0</v>
      </c>
      <c r="AU356" s="451" t="e">
        <f t="shared" si="74"/>
        <v>#REF!</v>
      </c>
      <c r="AV356" s="1222">
        <f>IF(ISNUMBER(SEARCH("Networked",'Proposed Lighting'!#REF!)),0,IF(ISNUMBER(SEARCH("Strategies",'Proposed Lighting'!#REF!)),0,IF(ISNUMBER(SEARCH("Removal",'Proposed Lighting'!#REF!)),0,IF(ISNUMBER(SEARCH("non-standard",Q356)),1,0))))</f>
        <v>0</v>
      </c>
      <c r="AW356" s="451">
        <f t="shared" si="77"/>
        <v>0</v>
      </c>
      <c r="AX356" s="451"/>
      <c r="AY356" s="451"/>
      <c r="AZ356" s="451"/>
      <c r="BA356" s="451"/>
      <c r="BB356" s="451"/>
      <c r="BC356" s="1215"/>
      <c r="BD356" s="1215"/>
      <c r="BE356" s="1215"/>
      <c r="BF356" s="1215"/>
      <c r="BG356" s="1215"/>
      <c r="BH356" s="1215"/>
      <c r="BI356" t="e">
        <f>IF(AND(AS356=1,BC356="No",BD356="Yes",BE356="Yes",BF356="No",BH356="No"),0,IF(AND('Proposed Lighting'!#REF!=2,AS356=1,BC356="Yes",BD356="Yes"),2,IF(AND('Proposed Lighting'!#REF!=2,AS356=1,BC356="Yes",BE356="Yes"),2,IF(AND('Proposed Lighting'!#REF!=2,AS356=1,BC356="Yes",BF356="Yes"),2,IF(AND('Proposed Lighting'!#REF!=2,AS356=1,BC356="Yes",BH356="Yes"),2,IF(AND('Proposed Lighting'!#REF!=2,AS356=1,BD356="Yes",BF356="Yes"),2,IF(AND('Proposed Lighting'!#REF!=2,AS356=1,BD356="Yes",BH356="Yes"),2,IF(AND('Proposed Lighting'!#REF!=3,AS356=1,BC356="Yes",BE356="Yes"),2,IF(AND('Proposed Lighting'!#REF!=3,AS356=1,BC356="Yes",BF356="Yes"),2,0)))))))))</f>
        <v>#REF!</v>
      </c>
      <c r="BJ356" s="1025" t="e">
        <f t="shared" si="75"/>
        <v>#REF!</v>
      </c>
      <c r="BK356" t="e">
        <f>IF(AND('Proposed Lighting'!#REF!=22,'Lighting Controls'!N356=1),0,IF(ISNUMBER(SEARCH("LED",G356)),1,0))</f>
        <v>#REF!</v>
      </c>
    </row>
    <row r="357" spans="1:63" ht="34.5" customHeight="1">
      <c r="A357" s="917">
        <v>349</v>
      </c>
      <c r="B357" s="1828" t="e">
        <f>IF('Proposed Lighting'!#REF!="","",'Proposed Lighting'!#REF!)</f>
        <v>#REF!</v>
      </c>
      <c r="C357" s="1828"/>
      <c r="D357" s="1828"/>
      <c r="E357" s="1245" t="e">
        <f>'Proposed Lighting'!#REF!</f>
        <v>#REF!</v>
      </c>
      <c r="F357" s="1245">
        <f t="shared" si="68"/>
        <v>0</v>
      </c>
      <c r="G357" s="1830" t="e">
        <f>IF('Proposed Lighting'!#REF!="","",IF(ISNUMBER(SEARCH("Networked",'Proposed Lighting'!#REF!)),0,IF(ISNUMBER(SEARCH("Strategies",'Proposed Lighting'!#REF!)),0,IF(ISNUMBER(SEARCH("Removal",'Proposed Lighting'!#REF!)),0,'Proposed Lighting'!#REF!))))</f>
        <v>#REF!</v>
      </c>
      <c r="H357" s="1830"/>
      <c r="I357" s="1830"/>
      <c r="J357" s="1830"/>
      <c r="K357" s="1215"/>
      <c r="L357" s="1246" t="e">
        <f t="shared" si="69"/>
        <v>#REF!</v>
      </c>
      <c r="M357" s="1224">
        <f t="shared" si="70"/>
        <v>0</v>
      </c>
      <c r="N357" s="1224">
        <f t="shared" si="71"/>
        <v>0</v>
      </c>
      <c r="O357" s="1825" t="e">
        <f>IF(G357=0,0,IF(ISNA('Proposed Lighting'!#REF!),0,'Proposed Lighting'!#REF!))</f>
        <v>#REF!</v>
      </c>
      <c r="P357" s="1825"/>
      <c r="Q357" s="1247"/>
      <c r="R357" s="1247"/>
      <c r="S357" s="1247"/>
      <c r="T357" s="1211"/>
      <c r="U357" s="1235">
        <f>IF(K357&gt;0.01,'Proposed Lighting'!#REF!,0)</f>
        <v>0</v>
      </c>
      <c r="V357" s="1248" t="e">
        <f>IF('Proposed Lighting'!#REF!=1,0,IF('Proposed Lighting'!#REF!=2,0,IF(AND('Proposed Lighting'!#REF!=3,'Proposed Lighting'!#REF!=0),1,0)))</f>
        <v>#REF!</v>
      </c>
      <c r="W357" s="1836"/>
      <c r="X357" s="1836"/>
      <c r="Y357" s="1836"/>
      <c r="Z357" s="1230" t="str">
        <f t="shared" si="65"/>
        <v/>
      </c>
      <c r="AA357" s="1230">
        <f t="shared" si="66"/>
        <v>0</v>
      </c>
      <c r="AB357" s="1230">
        <f>IF(Q357=0,0,IF(T357=0,0,IF(AA357=0,0,IF(AND(F357=3,V357=0),0,IF(T357=0,0,IF(K357&gt;'Proposed Lighting'!#REF!,0,IF('Proposed Lighting'!#REF!&gt;0.01,(K357*O357)*'Proposed Lighting'!#REF!/1000,(K357*O357)*U357/1000)))))))</f>
        <v>0</v>
      </c>
      <c r="AC357" s="1230" t="str">
        <f t="shared" si="72"/>
        <v/>
      </c>
      <c r="AD357" s="1230">
        <f t="shared" si="67"/>
        <v>0</v>
      </c>
      <c r="AE357" s="1230">
        <f>IF(T357=0,0,IF(K357&gt;'Proposed Lighting'!#REF!,0,IF(T357&gt;K357,0,IF(AND(AD357&gt;AA357,AA357&gt;0),0,IF(AND(F357&gt;1,W357&lt;0.01),0,IF('Proposed Lighting'!#REF!&gt;'Lighting Controls'!F357,0,IF('Proposed Lighting'!#REF!&lt;'Lighting Controls'!F357,0,IF(U357=0,0,Summary!#REF!))))))))</f>
        <v>0</v>
      </c>
      <c r="AF357" s="1230">
        <f>IF(T357=0,0,IF(AE357=0,0,IF(K357&gt;'Proposed Lighting'!#REF!,0,IF(AND(AD357&gt;AA357,AA357&gt;0),0,IF(U357=0,0,Summary!#REF!)))))</f>
        <v>0</v>
      </c>
      <c r="AG357" s="1834" t="e">
        <f>IF('Proposed Lighting'!#REF!=1,0,IF('Proposed Lighting'!#REF!=1,0,T357*W357))</f>
        <v>#REF!</v>
      </c>
      <c r="AH357" s="1834"/>
      <c r="AI357" s="1834"/>
      <c r="AJ357" s="1835">
        <f>IF(T357&lt;1,0,IF(K357&gt;'Proposed Lighting'!#REF!,0,IF('Proposed Lighting'!#REF!=1,0,IF('Proposed Lighting'!#REF!=1,0,IF(T357&gt;K357,0,IF(AND(AD357&gt;AA357,AA357&gt;0),0,IF(AND(F357=2,'Proposed Lighting'!#REF!=3),0,IF(AND(F357=3,'Proposed Lighting'!#REF!=2),0,IF('Proposed Lighting'!#REF!=100,0,IF(AND(F357&lt;3,V357=1,AM357=0),0,IF(AND(F357&gt;1,AF357&lt;1,AN357&lt;1),0,IF(AND(F357&gt;1,AE357&lt;0.69,AF357&lt;1,AN357&lt;1),0,IF(ISERROR(AB357-AC357),"",AB357-AC357)))))))))))))</f>
        <v>0</v>
      </c>
      <c r="AK357" s="1835"/>
      <c r="AL357" s="1835"/>
      <c r="AM357" s="1216">
        <f>IF(Q357=0,0,IF(T357=0,0,IF(T357&gt;K357,0,IF(AND(AS357&gt;0.01,BK357=0),0,IF(AND('Proposed Lighting'!#REF!=0,'Lighting Controls'!Z357=0.35),0,IF(AND(T357&lt;=K357,AA357&gt;=AD357,'Proposed Lighting'!#REF!=2),VLOOKUP(Q357,$AY$9:$AZ$15,2,FALSE),IF(AND(T357&lt;=K357,AA357&gt;=AD357,'Proposed Lighting'!#REF!=3),VLOOKUP(Q357,$AY$17:$AZ$23,2,FALSE))))))))</f>
        <v>0</v>
      </c>
      <c r="AN357" s="1248">
        <f>IF(T357=0,0,IF(K357&gt;'Proposed Lighting'!#REF!,0,IF(AE357=0,0,IF(AND(AD357&gt;AA357,AA357&gt;0),0,IF(U357=0,0,Summary!#REF!)))))</f>
        <v>0</v>
      </c>
      <c r="AO357" s="1248">
        <f t="shared" si="76"/>
        <v>0</v>
      </c>
      <c r="AP357" s="1249" t="e">
        <f>IF('Proposed Lighting'!#REF!=1,0,IF(K357=0,0,IF(T357&gt;K357,0,IF(G357=0,0,IF(K357&gt;'Proposed Lighting'!#REF!,0,IF(AND(AD357&gt;AA357,AA357&gt;0),0,IF(AND('Proposed Lighting'!#REF!=3,AM357=0.5),0,IF(AND(AM357&gt;0,AS357&gt;0,BI357&lt;2),0,IF('Proposed Lighting'!#REF!=100,0,IF(AV357=1,0,IF(AND(AM357=35,M357+N357&lt;2),0,AM357)))))))))))</f>
        <v>#REF!</v>
      </c>
      <c r="AQ357" s="1249" t="str">
        <f>IFERROR(ROUND(IF(Q357="","",IF('Proposed Lighting'!$X$4=0,0,IF(AND(AM357=35,M357+N357&lt;2),0,IF(T357&gt;K357,0,IF('Proposed Lighting'!#REF!=1,0,IF(AJ357=0,0,IF(AND('Proposed Lighting'!#REF!=3,AM357=0.5),0,IF(AND(AD357=75,AP357=0,AV357=0),0,IF(AP357&gt;0.01,AP357*T357,IF(AND(F357&gt;1,W357&lt;0.01),0,IF(AND(F357&gt;1,AO357=0),0,IF(AND('Proposed Lighting'!#REF!=22,AV357=0),0,IF(AND(AM357&gt;0,AS357&gt;0,BI357&lt;2),0,IF(AND(AS357&gt;0.01,BK357=0),0,IF(AND(AO357=TRUE,AV357=1,F357=3),MIN(AJ357*0.08,L357),IF(AP357&gt;0.01,AP357*T357,IF(AND(AO357=TRUE,AV357=1,F357=2),MIN(AJ357*0.1,L357)))))))))))))))))),2),"")</f>
        <v/>
      </c>
      <c r="AR357" s="1250">
        <f>IF(Q357=0,0,IF('Proposed Lighting'!$X$4=0,0,IF(AND(AM357&gt;0.01,AQ357&gt;0.01),0,IF('Proposed Lighting'!#REF!=1,"Missing Interior or Exterior Selection",IF('Proposed Lighting'!#REF!=1,"Selection does not match",IF(K357&gt;'Proposed Lighting'!#REF!,"Quantity controlled does not match proposed lighting quantity",IF(T357&gt;K357,"Quantity of sensors exceeds proposed lighting quantity",IF(AND(F357&gt;1,'Proposed Lighting'!#REF!&lt;&gt;F357),"Selection does not match",IF(AND(AD357&gt;AA357,AA357&gt;0),"Does not meet minimum connected load",IF(AND(O357&gt;0,AS357&gt;0,BK357&gt;0,'Proposed Lighting'!#REF!=0),"Select Control Strategies",IF(AND(AC357&gt;0.1,AJ357=0,AQ357=0),"Does not meet incentive criteria",0)))))))))))</f>
        <v>0</v>
      </c>
      <c r="AS357" s="1224" t="e">
        <f>IF('Proposed Lighting'!#REF!=100,0,IF(ISNUMBER(SEARCH("multiple",Q357)),1,0))</f>
        <v>#REF!</v>
      </c>
      <c r="AT357" s="451">
        <f t="shared" si="73"/>
        <v>0</v>
      </c>
      <c r="AU357" s="451" t="e">
        <f t="shared" si="74"/>
        <v>#REF!</v>
      </c>
      <c r="AV357" s="1222">
        <f>IF(ISNUMBER(SEARCH("Networked",'Proposed Lighting'!#REF!)),0,IF(ISNUMBER(SEARCH("Strategies",'Proposed Lighting'!#REF!)),0,IF(ISNUMBER(SEARCH("Removal",'Proposed Lighting'!#REF!)),0,IF(ISNUMBER(SEARCH("non-standard",Q357)),1,0))))</f>
        <v>0</v>
      </c>
      <c r="AW357" s="451">
        <f t="shared" si="77"/>
        <v>0</v>
      </c>
      <c r="AX357" s="451"/>
      <c r="AY357" s="451"/>
      <c r="AZ357" s="451"/>
      <c r="BA357" s="451"/>
      <c r="BB357" s="451"/>
      <c r="BC357" s="1215"/>
      <c r="BD357" s="1215"/>
      <c r="BE357" s="1215"/>
      <c r="BF357" s="1215"/>
      <c r="BG357" s="1215"/>
      <c r="BH357" s="1215"/>
      <c r="BI357" t="e">
        <f>IF(AND(AS357=1,BC357="No",BD357="Yes",BE357="Yes",BF357="No",BH357="No"),0,IF(AND('Proposed Lighting'!#REF!=2,AS357=1,BC357="Yes",BD357="Yes"),2,IF(AND('Proposed Lighting'!#REF!=2,AS357=1,BC357="Yes",BE357="Yes"),2,IF(AND('Proposed Lighting'!#REF!=2,AS357=1,BC357="Yes",BF357="Yes"),2,IF(AND('Proposed Lighting'!#REF!=2,AS357=1,BC357="Yes",BH357="Yes"),2,IF(AND('Proposed Lighting'!#REF!=2,AS357=1,BD357="Yes",BF357="Yes"),2,IF(AND('Proposed Lighting'!#REF!=2,AS357=1,BD357="Yes",BH357="Yes"),2,IF(AND('Proposed Lighting'!#REF!=3,AS357=1,BC357="Yes",BE357="Yes"),2,IF(AND('Proposed Lighting'!#REF!=3,AS357=1,BC357="Yes",BF357="Yes"),2,0)))))))))</f>
        <v>#REF!</v>
      </c>
      <c r="BJ357" s="1025" t="e">
        <f t="shared" si="75"/>
        <v>#REF!</v>
      </c>
      <c r="BK357" t="e">
        <f>IF(AND('Proposed Lighting'!#REF!=22,'Lighting Controls'!N357=1),0,IF(ISNUMBER(SEARCH("LED",G357)),1,0))</f>
        <v>#REF!</v>
      </c>
    </row>
    <row r="358" spans="1:63" ht="34.5" customHeight="1">
      <c r="A358" s="917">
        <v>350</v>
      </c>
      <c r="B358" s="1828" t="e">
        <f>IF('Proposed Lighting'!#REF!="","",'Proposed Lighting'!#REF!)</f>
        <v>#REF!</v>
      </c>
      <c r="C358" s="1828"/>
      <c r="D358" s="1828"/>
      <c r="E358" s="1245" t="e">
        <f>'Proposed Lighting'!#REF!</f>
        <v>#REF!</v>
      </c>
      <c r="F358" s="1245">
        <f t="shared" si="68"/>
        <v>0</v>
      </c>
      <c r="G358" s="1830" t="e">
        <f>IF('Proposed Lighting'!#REF!="","",IF(ISNUMBER(SEARCH("Networked",'Proposed Lighting'!#REF!)),0,IF(ISNUMBER(SEARCH("Strategies",'Proposed Lighting'!#REF!)),0,IF(ISNUMBER(SEARCH("Removal",'Proposed Lighting'!#REF!)),0,'Proposed Lighting'!#REF!))))</f>
        <v>#REF!</v>
      </c>
      <c r="H358" s="1830"/>
      <c r="I358" s="1830"/>
      <c r="J358" s="1830"/>
      <c r="K358" s="1215"/>
      <c r="L358" s="1246" t="e">
        <f t="shared" si="69"/>
        <v>#REF!</v>
      </c>
      <c r="M358" s="1224">
        <f t="shared" si="70"/>
        <v>0</v>
      </c>
      <c r="N358" s="1224">
        <f t="shared" si="71"/>
        <v>0</v>
      </c>
      <c r="O358" s="1825" t="e">
        <f>IF(G358=0,0,IF(ISNA('Proposed Lighting'!#REF!),0,'Proposed Lighting'!#REF!))</f>
        <v>#REF!</v>
      </c>
      <c r="P358" s="1825"/>
      <c r="Q358" s="1247"/>
      <c r="R358" s="1247"/>
      <c r="S358" s="1247"/>
      <c r="T358" s="1211"/>
      <c r="U358" s="1235">
        <f>IF(K358&gt;0.01,'Proposed Lighting'!#REF!,0)</f>
        <v>0</v>
      </c>
      <c r="V358" s="1248" t="e">
        <f>IF('Proposed Lighting'!#REF!=1,0,IF('Proposed Lighting'!#REF!=2,0,IF(AND('Proposed Lighting'!#REF!=3,'Proposed Lighting'!#REF!=0),1,0)))</f>
        <v>#REF!</v>
      </c>
      <c r="W358" s="1836"/>
      <c r="X358" s="1836"/>
      <c r="Y358" s="1836"/>
      <c r="Z358" s="1230" t="str">
        <f t="shared" si="65"/>
        <v/>
      </c>
      <c r="AA358" s="1230">
        <f t="shared" si="66"/>
        <v>0</v>
      </c>
      <c r="AB358" s="1230">
        <f>IF(Q358=0,0,IF(T358=0,0,IF(AA358=0,0,IF(AND(F358=3,V358=0),0,IF(T358=0,0,IF(K358&gt;'Proposed Lighting'!#REF!,0,IF('Proposed Lighting'!#REF!&gt;0.01,(K358*O358)*'Proposed Lighting'!#REF!/1000,(K358*O358)*U358/1000)))))))</f>
        <v>0</v>
      </c>
      <c r="AC358" s="1230" t="str">
        <f t="shared" si="72"/>
        <v/>
      </c>
      <c r="AD358" s="1230">
        <f t="shared" si="67"/>
        <v>0</v>
      </c>
      <c r="AE358" s="1230">
        <f>IF(T358=0,0,IF(K358&gt;'Proposed Lighting'!#REF!,0,IF(T358&gt;K358,0,IF(AND(AD358&gt;AA358,AA358&gt;0),0,IF(AND(F358&gt;1,W358&lt;0.01),0,IF('Proposed Lighting'!#REF!&gt;'Lighting Controls'!F358,0,IF('Proposed Lighting'!#REF!&lt;'Lighting Controls'!F358,0,IF(U358=0,0,Summary!#REF!))))))))</f>
        <v>0</v>
      </c>
      <c r="AF358" s="1230">
        <f>IF(T358=0,0,IF(AE358=0,0,IF(K358&gt;'Proposed Lighting'!#REF!,0,IF(AND(AD358&gt;AA358,AA358&gt;0),0,IF(U358=0,0,Summary!#REF!)))))</f>
        <v>0</v>
      </c>
      <c r="AG358" s="1834" t="e">
        <f>IF('Proposed Lighting'!#REF!=1,0,IF('Proposed Lighting'!#REF!=1,0,T358*W358))</f>
        <v>#REF!</v>
      </c>
      <c r="AH358" s="1834"/>
      <c r="AI358" s="1834"/>
      <c r="AJ358" s="1835">
        <f>IF(T358&lt;1,0,IF(K358&gt;'Proposed Lighting'!#REF!,0,IF('Proposed Lighting'!#REF!=1,0,IF('Proposed Lighting'!#REF!=1,0,IF(T358&gt;K358,0,IF(AND(AD358&gt;AA358,AA358&gt;0),0,IF(AND(F358=2,'Proposed Lighting'!#REF!=3),0,IF(AND(F358=3,'Proposed Lighting'!#REF!=2),0,IF('Proposed Lighting'!#REF!=100,0,IF(AND(F358&lt;3,V358=1,AM358=0),0,IF(AND(F358&gt;1,AF358&lt;1,AN358&lt;1),0,IF(AND(F358&gt;1,AE358&lt;0.69,AF358&lt;1,AN358&lt;1),0,IF(ISERROR(AB358-AC358),"",AB358-AC358)))))))))))))</f>
        <v>0</v>
      </c>
      <c r="AK358" s="1835"/>
      <c r="AL358" s="1835"/>
      <c r="AM358" s="1216">
        <f>IF(Q358=0,0,IF(T358=0,0,IF(T358&gt;K358,0,IF(AND(AS358&gt;0.01,BK358=0),0,IF(AND('Proposed Lighting'!#REF!=0,'Lighting Controls'!Z358=0.35),0,IF(AND(T358&lt;=K358,AA358&gt;=AD358,'Proposed Lighting'!#REF!=2),VLOOKUP(Q358,$AY$9:$AZ$15,2,FALSE),IF(AND(T358&lt;=K358,AA358&gt;=AD358,'Proposed Lighting'!#REF!=3),VLOOKUP(Q358,$AY$17:$AZ$23,2,FALSE))))))))</f>
        <v>0</v>
      </c>
      <c r="AN358" s="1248">
        <f>IF(T358=0,0,IF(K358&gt;'Proposed Lighting'!#REF!,0,IF(AE358=0,0,IF(AND(AD358&gt;AA358,AA358&gt;0),0,IF(U358=0,0,Summary!#REF!)))))</f>
        <v>0</v>
      </c>
      <c r="AO358" s="1248">
        <f t="shared" si="76"/>
        <v>0</v>
      </c>
      <c r="AP358" s="1249" t="e">
        <f>IF('Proposed Lighting'!#REF!=1,0,IF(K358=0,0,IF(T358&gt;K358,0,IF(G358=0,0,IF(K358&gt;'Proposed Lighting'!#REF!,0,IF(AND(AD358&gt;AA358,AA358&gt;0),0,IF(AND('Proposed Lighting'!#REF!=3,AM358=0.5),0,IF(AND(AM358&gt;0,AS358&gt;0,BI358&lt;2),0,IF('Proposed Lighting'!#REF!=100,0,IF(AV358=1,0,IF(AND(AM358=35,M358+N358&lt;2),0,AM358)))))))))))</f>
        <v>#REF!</v>
      </c>
      <c r="AQ358" s="1249" t="str">
        <f>IFERROR(ROUND(IF(Q358="","",IF('Proposed Lighting'!$X$4=0,0,IF(AND(AM358=35,M358+N358&lt;2),0,IF(T358&gt;K358,0,IF('Proposed Lighting'!#REF!=1,0,IF(AJ358=0,0,IF(AND('Proposed Lighting'!#REF!=3,AM358=0.5),0,IF(AND(AD358=75,AP358=0,AV358=0),0,IF(AP358&gt;0.01,AP358*T358,IF(AND(F358&gt;1,W358&lt;0.01),0,IF(AND(F358&gt;1,AO358=0),0,IF(AND('Proposed Lighting'!#REF!=22,AV358=0),0,IF(AND(AM358&gt;0,AS358&gt;0,BI358&lt;2),0,IF(AND(AS358&gt;0.01,BK358=0),0,IF(AND(AO358=TRUE,AV358=1,F358=3),MIN(AJ358*0.08,L358),IF(AP358&gt;0.01,AP358*T358,IF(AND(AO358=TRUE,AV358=1,F358=2),MIN(AJ358*0.1,L358)))))))))))))))))),2),"")</f>
        <v/>
      </c>
      <c r="AR358" s="1250">
        <f>IF(Q358=0,0,IF('Proposed Lighting'!$X$4=0,0,IF(AND(AM358&gt;0.01,AQ358&gt;0.01),0,IF('Proposed Lighting'!#REF!=1,"Missing Interior or Exterior Selection",IF('Proposed Lighting'!#REF!=1,"Selection does not match",IF(K358&gt;'Proposed Lighting'!#REF!,"Quantity controlled does not match proposed lighting quantity",IF(T358&gt;K358,"Quantity of sensors exceeds proposed lighting quantity",IF(AND(F358&gt;1,'Proposed Lighting'!#REF!&lt;&gt;F358),"Selection does not match",IF(AND(AD358&gt;AA358,AA358&gt;0),"Does not meet minimum connected load",IF(AND(O358&gt;0,AS358&gt;0,BK358&gt;0,'Proposed Lighting'!#REF!=0),"Select Control Strategies",IF(AND(AC358&gt;0.1,AJ358=0,AQ358=0),"Does not meet incentive criteria",0)))))))))))</f>
        <v>0</v>
      </c>
      <c r="AS358" s="1224" t="e">
        <f>IF('Proposed Lighting'!#REF!=100,0,IF(ISNUMBER(SEARCH("multiple",Q358)),1,0))</f>
        <v>#REF!</v>
      </c>
      <c r="AT358" s="451">
        <f t="shared" si="73"/>
        <v>0</v>
      </c>
      <c r="AU358" s="451" t="e">
        <f t="shared" si="74"/>
        <v>#REF!</v>
      </c>
      <c r="AV358" s="1222">
        <f>IF(ISNUMBER(SEARCH("Networked",'Proposed Lighting'!#REF!)),0,IF(ISNUMBER(SEARCH("Strategies",'Proposed Lighting'!#REF!)),0,IF(ISNUMBER(SEARCH("Removal",'Proposed Lighting'!#REF!)),0,IF(ISNUMBER(SEARCH("non-standard",Q358)),1,0))))</f>
        <v>0</v>
      </c>
      <c r="AW358" s="451">
        <f t="shared" si="77"/>
        <v>0</v>
      </c>
      <c r="AX358" s="451"/>
      <c r="AY358" s="451"/>
      <c r="AZ358" s="451"/>
      <c r="BA358" s="451"/>
      <c r="BB358" s="451"/>
      <c r="BC358" s="1215"/>
      <c r="BD358" s="1215"/>
      <c r="BE358" s="1215"/>
      <c r="BF358" s="1215"/>
      <c r="BG358" s="1215"/>
      <c r="BH358" s="1215"/>
      <c r="BI358" t="e">
        <f>IF(AND(AS358=1,BC358="No",BD358="Yes",BE358="Yes",BF358="No",BH358="No"),0,IF(AND('Proposed Lighting'!#REF!=2,AS358=1,BC358="Yes",BD358="Yes"),2,IF(AND('Proposed Lighting'!#REF!=2,AS358=1,BC358="Yes",BE358="Yes"),2,IF(AND('Proposed Lighting'!#REF!=2,AS358=1,BC358="Yes",BF358="Yes"),2,IF(AND('Proposed Lighting'!#REF!=2,AS358=1,BC358="Yes",BH358="Yes"),2,IF(AND('Proposed Lighting'!#REF!=2,AS358=1,BD358="Yes",BF358="Yes"),2,IF(AND('Proposed Lighting'!#REF!=2,AS358=1,BD358="Yes",BH358="Yes"),2,IF(AND('Proposed Lighting'!#REF!=3,AS358=1,BC358="Yes",BE358="Yes"),2,IF(AND('Proposed Lighting'!#REF!=3,AS358=1,BC358="Yes",BF358="Yes"),2,0)))))))))</f>
        <v>#REF!</v>
      </c>
      <c r="BJ358" s="1025" t="e">
        <f t="shared" si="75"/>
        <v>#REF!</v>
      </c>
      <c r="BK358" t="e">
        <f>IF(AND('Proposed Lighting'!#REF!=22,'Lighting Controls'!N358=1),0,IF(ISNUMBER(SEARCH("LED",G358)),1,0))</f>
        <v>#REF!</v>
      </c>
    </row>
    <row r="359" spans="1:63" ht="34.5" customHeight="1">
      <c r="A359" s="917">
        <v>351</v>
      </c>
      <c r="B359" s="1828" t="e">
        <f>IF('Proposed Lighting'!#REF!="","",'Proposed Lighting'!#REF!)</f>
        <v>#REF!</v>
      </c>
      <c r="C359" s="1828"/>
      <c r="D359" s="1828"/>
      <c r="E359" s="1245" t="e">
        <f>'Proposed Lighting'!#REF!</f>
        <v>#REF!</v>
      </c>
      <c r="F359" s="1245">
        <f t="shared" si="68"/>
        <v>0</v>
      </c>
      <c r="G359" s="1830" t="e">
        <f>IF('Proposed Lighting'!#REF!="","",IF(ISNUMBER(SEARCH("Networked",'Proposed Lighting'!#REF!)),0,IF(ISNUMBER(SEARCH("Strategies",'Proposed Lighting'!#REF!)),0,IF(ISNUMBER(SEARCH("Removal",'Proposed Lighting'!#REF!)),0,'Proposed Lighting'!#REF!))))</f>
        <v>#REF!</v>
      </c>
      <c r="H359" s="1830"/>
      <c r="I359" s="1830"/>
      <c r="J359" s="1830"/>
      <c r="K359" s="1215"/>
      <c r="L359" s="1246" t="e">
        <f t="shared" si="69"/>
        <v>#REF!</v>
      </c>
      <c r="M359" s="1224">
        <f t="shared" si="70"/>
        <v>0</v>
      </c>
      <c r="N359" s="1224">
        <f t="shared" si="71"/>
        <v>0</v>
      </c>
      <c r="O359" s="1825" t="e">
        <f>IF(G359=0,0,IF(ISNA('Proposed Lighting'!#REF!),0,'Proposed Lighting'!#REF!))</f>
        <v>#REF!</v>
      </c>
      <c r="P359" s="1825"/>
      <c r="Q359" s="1247"/>
      <c r="R359" s="1247"/>
      <c r="S359" s="1247"/>
      <c r="T359" s="1211"/>
      <c r="U359" s="1235">
        <f>IF(K359&gt;0.01,'Proposed Lighting'!#REF!,0)</f>
        <v>0</v>
      </c>
      <c r="V359" s="1248" t="e">
        <f>IF('Proposed Lighting'!#REF!=1,0,IF('Proposed Lighting'!#REF!=2,0,IF(AND('Proposed Lighting'!#REF!=3,'Proposed Lighting'!#REF!=0),1,0)))</f>
        <v>#REF!</v>
      </c>
      <c r="W359" s="1836"/>
      <c r="X359" s="1836"/>
      <c r="Y359" s="1836"/>
      <c r="Z359" s="1230" t="str">
        <f t="shared" si="65"/>
        <v/>
      </c>
      <c r="AA359" s="1230">
        <f t="shared" si="66"/>
        <v>0</v>
      </c>
      <c r="AB359" s="1230">
        <f>IF(Q359=0,0,IF(T359=0,0,IF(AA359=0,0,IF(AND(F359=3,V359=0),0,IF(T359=0,0,IF(K359&gt;'Proposed Lighting'!#REF!,0,IF('Proposed Lighting'!#REF!&gt;0.01,(K359*O359)*'Proposed Lighting'!#REF!/1000,(K359*O359)*U359/1000)))))))</f>
        <v>0</v>
      </c>
      <c r="AC359" s="1230" t="str">
        <f t="shared" si="72"/>
        <v/>
      </c>
      <c r="AD359" s="1230">
        <f t="shared" si="67"/>
        <v>0</v>
      </c>
      <c r="AE359" s="1230">
        <f>IF(T359=0,0,IF(K359&gt;'Proposed Lighting'!#REF!,0,IF(T359&gt;K359,0,IF(AND(AD359&gt;AA359,AA359&gt;0),0,IF(AND(F359&gt;1,W359&lt;0.01),0,IF('Proposed Lighting'!#REF!&gt;'Lighting Controls'!F359,0,IF('Proposed Lighting'!#REF!&lt;'Lighting Controls'!F359,0,IF(U359=0,0,Summary!#REF!))))))))</f>
        <v>0</v>
      </c>
      <c r="AF359" s="1230">
        <f>IF(T359=0,0,IF(AE359=0,0,IF(K359&gt;'Proposed Lighting'!#REF!,0,IF(AND(AD359&gt;AA359,AA359&gt;0),0,IF(U359=0,0,Summary!#REF!)))))</f>
        <v>0</v>
      </c>
      <c r="AG359" s="1834" t="e">
        <f>IF('Proposed Lighting'!#REF!=1,0,IF('Proposed Lighting'!#REF!=1,0,T359*W359))</f>
        <v>#REF!</v>
      </c>
      <c r="AH359" s="1834"/>
      <c r="AI359" s="1834"/>
      <c r="AJ359" s="1835">
        <f>IF(T359&lt;1,0,IF(K359&gt;'Proposed Lighting'!#REF!,0,IF('Proposed Lighting'!#REF!=1,0,IF('Proposed Lighting'!#REF!=1,0,IF(T359&gt;K359,0,IF(AND(AD359&gt;AA359,AA359&gt;0),0,IF(AND(F359=2,'Proposed Lighting'!#REF!=3),0,IF(AND(F359=3,'Proposed Lighting'!#REF!=2),0,IF('Proposed Lighting'!#REF!=100,0,IF(AND(F359&lt;3,V359=1,AM359=0),0,IF(AND(F359&gt;1,AF359&lt;1,AN359&lt;1),0,IF(AND(F359&gt;1,AE359&lt;0.69,AF359&lt;1,AN359&lt;1),0,IF(ISERROR(AB359-AC359),"",AB359-AC359)))))))))))))</f>
        <v>0</v>
      </c>
      <c r="AK359" s="1835"/>
      <c r="AL359" s="1835"/>
      <c r="AM359" s="1216">
        <f>IF(Q359=0,0,IF(T359=0,0,IF(T359&gt;K359,0,IF(AND(AS359&gt;0.01,BK359=0),0,IF(AND('Proposed Lighting'!#REF!=0,'Lighting Controls'!Z359=0.35),0,IF(AND(T359&lt;=K359,AA359&gt;=AD359,'Proposed Lighting'!#REF!=2),VLOOKUP(Q359,$AY$9:$AZ$15,2,FALSE),IF(AND(T359&lt;=K359,AA359&gt;=AD359,'Proposed Lighting'!#REF!=3),VLOOKUP(Q359,$AY$17:$AZ$23,2,FALSE))))))))</f>
        <v>0</v>
      </c>
      <c r="AN359" s="1248">
        <f>IF(T359=0,0,IF(K359&gt;'Proposed Lighting'!#REF!,0,IF(AE359=0,0,IF(AND(AD359&gt;AA359,AA359&gt;0),0,IF(U359=0,0,Summary!#REF!)))))</f>
        <v>0</v>
      </c>
      <c r="AO359" s="1248">
        <f t="shared" si="76"/>
        <v>0</v>
      </c>
      <c r="AP359" s="1249" t="e">
        <f>IF('Proposed Lighting'!#REF!=1,0,IF(K359=0,0,IF(T359&gt;K359,0,IF(G359=0,0,IF(K359&gt;'Proposed Lighting'!#REF!,0,IF(AND(AD359&gt;AA359,AA359&gt;0),0,IF(AND('Proposed Lighting'!#REF!=3,AM359=0.5),0,IF(AND(AM359&gt;0,AS359&gt;0,BI359&lt;2),0,IF('Proposed Lighting'!#REF!=100,0,IF(AV359=1,0,IF(AND(AM359=35,M359+N359&lt;2),0,AM359)))))))))))</f>
        <v>#REF!</v>
      </c>
      <c r="AQ359" s="1249" t="str">
        <f>IFERROR(ROUND(IF(Q359="","",IF('Proposed Lighting'!$X$4=0,0,IF(AND(AM359=35,M359+N359&lt;2),0,IF(T359&gt;K359,0,IF('Proposed Lighting'!#REF!=1,0,IF(AJ359=0,0,IF(AND('Proposed Lighting'!#REF!=3,AM359=0.5),0,IF(AND(AD359=75,AP359=0,AV359=0),0,IF(AP359&gt;0.01,AP359*T359,IF(AND(F359&gt;1,W359&lt;0.01),0,IF(AND(F359&gt;1,AO359=0),0,IF(AND('Proposed Lighting'!#REF!=22,AV359=0),0,IF(AND(AM359&gt;0,AS359&gt;0,BI359&lt;2),0,IF(AND(AS359&gt;0.01,BK359=0),0,IF(AND(AO359=TRUE,AV359=1,F359=3),MIN(AJ359*0.08,L359),IF(AP359&gt;0.01,AP359*T359,IF(AND(AO359=TRUE,AV359=1,F359=2),MIN(AJ359*0.1,L359)))))))))))))))))),2),"")</f>
        <v/>
      </c>
      <c r="AR359" s="1250">
        <f>IF(Q359=0,0,IF('Proposed Lighting'!$X$4=0,0,IF(AND(AM359&gt;0.01,AQ359&gt;0.01),0,IF('Proposed Lighting'!#REF!=1,"Missing Interior or Exterior Selection",IF('Proposed Lighting'!#REF!=1,"Selection does not match",IF(K359&gt;'Proposed Lighting'!#REF!,"Quantity controlled does not match proposed lighting quantity",IF(T359&gt;K359,"Quantity of sensors exceeds proposed lighting quantity",IF(AND(F359&gt;1,'Proposed Lighting'!#REF!&lt;&gt;F359),"Selection does not match",IF(AND(AD359&gt;AA359,AA359&gt;0),"Does not meet minimum connected load",IF(AND(O359&gt;0,AS359&gt;0,BK359&gt;0,'Proposed Lighting'!#REF!=0),"Select Control Strategies",IF(AND(AC359&gt;0.1,AJ359=0,AQ359=0),"Does not meet incentive criteria",0)))))))))))</f>
        <v>0</v>
      </c>
      <c r="AS359" s="1224" t="e">
        <f>IF('Proposed Lighting'!#REF!=100,0,IF(ISNUMBER(SEARCH("multiple",Q359)),1,0))</f>
        <v>#REF!</v>
      </c>
      <c r="AT359" s="451">
        <f t="shared" si="73"/>
        <v>0</v>
      </c>
      <c r="AU359" s="451" t="e">
        <f t="shared" si="74"/>
        <v>#REF!</v>
      </c>
      <c r="AV359" s="1222">
        <f>IF(ISNUMBER(SEARCH("Networked",'Proposed Lighting'!#REF!)),0,IF(ISNUMBER(SEARCH("Strategies",'Proposed Lighting'!#REF!)),0,IF(ISNUMBER(SEARCH("Removal",'Proposed Lighting'!#REF!)),0,IF(ISNUMBER(SEARCH("non-standard",Q359)),1,0))))</f>
        <v>0</v>
      </c>
      <c r="AW359" s="451">
        <f t="shared" si="77"/>
        <v>0</v>
      </c>
      <c r="AX359" s="451"/>
      <c r="AY359" s="451"/>
      <c r="AZ359" s="451"/>
      <c r="BA359" s="451"/>
      <c r="BB359" s="451"/>
      <c r="BC359" s="1215"/>
      <c r="BD359" s="1215"/>
      <c r="BE359" s="1215"/>
      <c r="BF359" s="1215"/>
      <c r="BG359" s="1215"/>
      <c r="BH359" s="1215"/>
      <c r="BI359" t="e">
        <f>IF(AND(AS359=1,BC359="No",BD359="Yes",BE359="Yes",BF359="No",BH359="No"),0,IF(AND('Proposed Lighting'!#REF!=2,AS359=1,BC359="Yes",BD359="Yes"),2,IF(AND('Proposed Lighting'!#REF!=2,AS359=1,BC359="Yes",BE359="Yes"),2,IF(AND('Proposed Lighting'!#REF!=2,AS359=1,BC359="Yes",BF359="Yes"),2,IF(AND('Proposed Lighting'!#REF!=2,AS359=1,BC359="Yes",BH359="Yes"),2,IF(AND('Proposed Lighting'!#REF!=2,AS359=1,BD359="Yes",BF359="Yes"),2,IF(AND('Proposed Lighting'!#REF!=2,AS359=1,BD359="Yes",BH359="Yes"),2,IF(AND('Proposed Lighting'!#REF!=3,AS359=1,BC359="Yes",BE359="Yes"),2,IF(AND('Proposed Lighting'!#REF!=3,AS359=1,BC359="Yes",BF359="Yes"),2,0)))))))))</f>
        <v>#REF!</v>
      </c>
      <c r="BJ359" s="1025" t="e">
        <f t="shared" si="75"/>
        <v>#REF!</v>
      </c>
      <c r="BK359" t="e">
        <f>IF(AND('Proposed Lighting'!#REF!=22,'Lighting Controls'!N359=1),0,IF(ISNUMBER(SEARCH("LED",G359)),1,0))</f>
        <v>#REF!</v>
      </c>
    </row>
    <row r="360" spans="1:63" ht="34.5" customHeight="1">
      <c r="A360" s="917">
        <v>352</v>
      </c>
      <c r="B360" s="1828" t="e">
        <f>IF('Proposed Lighting'!#REF!="","",'Proposed Lighting'!#REF!)</f>
        <v>#REF!</v>
      </c>
      <c r="C360" s="1828"/>
      <c r="D360" s="1828"/>
      <c r="E360" s="1245" t="e">
        <f>'Proposed Lighting'!#REF!</f>
        <v>#REF!</v>
      </c>
      <c r="F360" s="1245">
        <f t="shared" si="68"/>
        <v>0</v>
      </c>
      <c r="G360" s="1830" t="e">
        <f>IF('Proposed Lighting'!#REF!="","",IF(ISNUMBER(SEARCH("Networked",'Proposed Lighting'!#REF!)),0,IF(ISNUMBER(SEARCH("Strategies",'Proposed Lighting'!#REF!)),0,IF(ISNUMBER(SEARCH("Removal",'Proposed Lighting'!#REF!)),0,'Proposed Lighting'!#REF!))))</f>
        <v>#REF!</v>
      </c>
      <c r="H360" s="1830"/>
      <c r="I360" s="1830"/>
      <c r="J360" s="1830"/>
      <c r="K360" s="1215"/>
      <c r="L360" s="1246" t="e">
        <f t="shared" si="69"/>
        <v>#REF!</v>
      </c>
      <c r="M360" s="1224">
        <f t="shared" si="70"/>
        <v>0</v>
      </c>
      <c r="N360" s="1224">
        <f t="shared" si="71"/>
        <v>0</v>
      </c>
      <c r="O360" s="1825" t="e">
        <f>IF(G360=0,0,IF(ISNA('Proposed Lighting'!#REF!),0,'Proposed Lighting'!#REF!))</f>
        <v>#REF!</v>
      </c>
      <c r="P360" s="1825"/>
      <c r="Q360" s="1247"/>
      <c r="R360" s="1247"/>
      <c r="S360" s="1247"/>
      <c r="T360" s="1211"/>
      <c r="U360" s="1235">
        <f>IF(K360&gt;0.01,'Proposed Lighting'!#REF!,0)</f>
        <v>0</v>
      </c>
      <c r="V360" s="1248" t="e">
        <f>IF('Proposed Lighting'!#REF!=1,0,IF('Proposed Lighting'!#REF!=2,0,IF(AND('Proposed Lighting'!#REF!=3,'Proposed Lighting'!#REF!=0),1,0)))</f>
        <v>#REF!</v>
      </c>
      <c r="W360" s="1836"/>
      <c r="X360" s="1836"/>
      <c r="Y360" s="1836"/>
      <c r="Z360" s="1230" t="str">
        <f t="shared" si="65"/>
        <v/>
      </c>
      <c r="AA360" s="1230">
        <f t="shared" si="66"/>
        <v>0</v>
      </c>
      <c r="AB360" s="1230">
        <f>IF(Q360=0,0,IF(T360=0,0,IF(AA360=0,0,IF(AND(F360=3,V360=0),0,IF(T360=0,0,IF(K360&gt;'Proposed Lighting'!#REF!,0,IF('Proposed Lighting'!#REF!&gt;0.01,(K360*O360)*'Proposed Lighting'!#REF!/1000,(K360*O360)*U360/1000)))))))</f>
        <v>0</v>
      </c>
      <c r="AC360" s="1230" t="str">
        <f t="shared" si="72"/>
        <v/>
      </c>
      <c r="AD360" s="1230">
        <f t="shared" si="67"/>
        <v>0</v>
      </c>
      <c r="AE360" s="1230">
        <f>IF(T360=0,0,IF(K360&gt;'Proposed Lighting'!#REF!,0,IF(T360&gt;K360,0,IF(AND(AD360&gt;AA360,AA360&gt;0),0,IF(AND(F360&gt;1,W360&lt;0.01),0,IF('Proposed Lighting'!#REF!&gt;'Lighting Controls'!F360,0,IF('Proposed Lighting'!#REF!&lt;'Lighting Controls'!F360,0,IF(U360=0,0,Summary!#REF!))))))))</f>
        <v>0</v>
      </c>
      <c r="AF360" s="1230">
        <f>IF(T360=0,0,IF(AE360=0,0,IF(K360&gt;'Proposed Lighting'!#REF!,0,IF(AND(AD360&gt;AA360,AA360&gt;0),0,IF(U360=0,0,Summary!#REF!)))))</f>
        <v>0</v>
      </c>
      <c r="AG360" s="1834" t="e">
        <f>IF('Proposed Lighting'!#REF!=1,0,IF('Proposed Lighting'!#REF!=1,0,T360*W360))</f>
        <v>#REF!</v>
      </c>
      <c r="AH360" s="1834"/>
      <c r="AI360" s="1834"/>
      <c r="AJ360" s="1835">
        <f>IF(T360&lt;1,0,IF(K360&gt;'Proposed Lighting'!#REF!,0,IF('Proposed Lighting'!#REF!=1,0,IF('Proposed Lighting'!#REF!=1,0,IF(T360&gt;K360,0,IF(AND(AD360&gt;AA360,AA360&gt;0),0,IF(AND(F360=2,'Proposed Lighting'!#REF!=3),0,IF(AND(F360=3,'Proposed Lighting'!#REF!=2),0,IF('Proposed Lighting'!#REF!=100,0,IF(AND(F360&lt;3,V360=1,AM360=0),0,IF(AND(F360&gt;1,AF360&lt;1,AN360&lt;1),0,IF(AND(F360&gt;1,AE360&lt;0.69,AF360&lt;1,AN360&lt;1),0,IF(ISERROR(AB360-AC360),"",AB360-AC360)))))))))))))</f>
        <v>0</v>
      </c>
      <c r="AK360" s="1835"/>
      <c r="AL360" s="1835"/>
      <c r="AM360" s="1216">
        <f>IF(Q360=0,0,IF(T360=0,0,IF(T360&gt;K360,0,IF(AND(AS360&gt;0.01,BK360=0),0,IF(AND('Proposed Lighting'!#REF!=0,'Lighting Controls'!Z360=0.35),0,IF(AND(T360&lt;=K360,AA360&gt;=AD360,'Proposed Lighting'!#REF!=2),VLOOKUP(Q360,$AY$9:$AZ$15,2,FALSE),IF(AND(T360&lt;=K360,AA360&gt;=AD360,'Proposed Lighting'!#REF!=3),VLOOKUP(Q360,$AY$17:$AZ$23,2,FALSE))))))))</f>
        <v>0</v>
      </c>
      <c r="AN360" s="1248">
        <f>IF(T360=0,0,IF(K360&gt;'Proposed Lighting'!#REF!,0,IF(AE360=0,0,IF(AND(AD360&gt;AA360,AA360&gt;0),0,IF(U360=0,0,Summary!#REF!)))))</f>
        <v>0</v>
      </c>
      <c r="AO360" s="1248">
        <f t="shared" si="76"/>
        <v>0</v>
      </c>
      <c r="AP360" s="1249" t="e">
        <f>IF('Proposed Lighting'!#REF!=1,0,IF(K360=0,0,IF(T360&gt;K360,0,IF(G360=0,0,IF(K360&gt;'Proposed Lighting'!#REF!,0,IF(AND(AD360&gt;AA360,AA360&gt;0),0,IF(AND('Proposed Lighting'!#REF!=3,AM360=0.5),0,IF(AND(AM360&gt;0,AS360&gt;0,BI360&lt;2),0,IF('Proposed Lighting'!#REF!=100,0,IF(AV360=1,0,IF(AND(AM360=35,M360+N360&lt;2),0,AM360)))))))))))</f>
        <v>#REF!</v>
      </c>
      <c r="AQ360" s="1249" t="str">
        <f>IFERROR(ROUND(IF(Q360="","",IF('Proposed Lighting'!$X$4=0,0,IF(AND(AM360=35,M360+N360&lt;2),0,IF(T360&gt;K360,0,IF('Proposed Lighting'!#REF!=1,0,IF(AJ360=0,0,IF(AND('Proposed Lighting'!#REF!=3,AM360=0.5),0,IF(AND(AD360=75,AP360=0,AV360=0),0,IF(AP360&gt;0.01,AP360*T360,IF(AND(F360&gt;1,W360&lt;0.01),0,IF(AND(F360&gt;1,AO360=0),0,IF(AND('Proposed Lighting'!#REF!=22,AV360=0),0,IF(AND(AM360&gt;0,AS360&gt;0,BI360&lt;2),0,IF(AND(AS360&gt;0.01,BK360=0),0,IF(AND(AO360=TRUE,AV360=1,F360=3),MIN(AJ360*0.08,L360),IF(AP360&gt;0.01,AP360*T360,IF(AND(AO360=TRUE,AV360=1,F360=2),MIN(AJ360*0.1,L360)))))))))))))))))),2),"")</f>
        <v/>
      </c>
      <c r="AR360" s="1250">
        <f>IF(Q360=0,0,IF('Proposed Lighting'!$X$4=0,0,IF(AND(AM360&gt;0.01,AQ360&gt;0.01),0,IF('Proposed Lighting'!#REF!=1,"Missing Interior or Exterior Selection",IF('Proposed Lighting'!#REF!=1,"Selection does not match",IF(K360&gt;'Proposed Lighting'!#REF!,"Quantity controlled does not match proposed lighting quantity",IF(T360&gt;K360,"Quantity of sensors exceeds proposed lighting quantity",IF(AND(F360&gt;1,'Proposed Lighting'!#REF!&lt;&gt;F360),"Selection does not match",IF(AND(AD360&gt;AA360,AA360&gt;0),"Does not meet minimum connected load",IF(AND(O360&gt;0,AS360&gt;0,BK360&gt;0,'Proposed Lighting'!#REF!=0),"Select Control Strategies",IF(AND(AC360&gt;0.1,AJ360=0,AQ360=0),"Does not meet incentive criteria",0)))))))))))</f>
        <v>0</v>
      </c>
      <c r="AS360" s="1224" t="e">
        <f>IF('Proposed Lighting'!#REF!=100,0,IF(ISNUMBER(SEARCH("multiple",Q360)),1,0))</f>
        <v>#REF!</v>
      </c>
      <c r="AT360" s="451">
        <f t="shared" si="73"/>
        <v>0</v>
      </c>
      <c r="AU360" s="451" t="e">
        <f t="shared" si="74"/>
        <v>#REF!</v>
      </c>
      <c r="AV360" s="1222">
        <f>IF(ISNUMBER(SEARCH("Networked",'Proposed Lighting'!#REF!)),0,IF(ISNUMBER(SEARCH("Strategies",'Proposed Lighting'!#REF!)),0,IF(ISNUMBER(SEARCH("Removal",'Proposed Lighting'!#REF!)),0,IF(ISNUMBER(SEARCH("non-standard",Q360)),1,0))))</f>
        <v>0</v>
      </c>
      <c r="AW360" s="451">
        <f t="shared" si="77"/>
        <v>0</v>
      </c>
      <c r="AX360" s="451"/>
      <c r="AY360" s="451"/>
      <c r="AZ360" s="451"/>
      <c r="BA360" s="451"/>
      <c r="BB360" s="451"/>
      <c r="BC360" s="1215"/>
      <c r="BD360" s="1215"/>
      <c r="BE360" s="1215"/>
      <c r="BF360" s="1215"/>
      <c r="BG360" s="1215"/>
      <c r="BH360" s="1215"/>
      <c r="BI360" t="e">
        <f>IF(AND(AS360=1,BC360="No",BD360="Yes",BE360="Yes",BF360="No",BH360="No"),0,IF(AND('Proposed Lighting'!#REF!=2,AS360=1,BC360="Yes",BD360="Yes"),2,IF(AND('Proposed Lighting'!#REF!=2,AS360=1,BC360="Yes",BE360="Yes"),2,IF(AND('Proposed Lighting'!#REF!=2,AS360=1,BC360="Yes",BF360="Yes"),2,IF(AND('Proposed Lighting'!#REF!=2,AS360=1,BC360="Yes",BH360="Yes"),2,IF(AND('Proposed Lighting'!#REF!=2,AS360=1,BD360="Yes",BF360="Yes"),2,IF(AND('Proposed Lighting'!#REF!=2,AS360=1,BD360="Yes",BH360="Yes"),2,IF(AND('Proposed Lighting'!#REF!=3,AS360=1,BC360="Yes",BE360="Yes"),2,IF(AND('Proposed Lighting'!#REF!=3,AS360=1,BC360="Yes",BF360="Yes"),2,0)))))))))</f>
        <v>#REF!</v>
      </c>
      <c r="BJ360" s="1025" t="e">
        <f t="shared" si="75"/>
        <v>#REF!</v>
      </c>
      <c r="BK360" t="e">
        <f>IF(AND('Proposed Lighting'!#REF!=22,'Lighting Controls'!N360=1),0,IF(ISNUMBER(SEARCH("LED",G360)),1,0))</f>
        <v>#REF!</v>
      </c>
    </row>
    <row r="361" spans="1:63" ht="34.5" customHeight="1">
      <c r="A361" s="917">
        <v>353</v>
      </c>
      <c r="B361" s="1828" t="e">
        <f>IF('Proposed Lighting'!#REF!="","",'Proposed Lighting'!#REF!)</f>
        <v>#REF!</v>
      </c>
      <c r="C361" s="1828"/>
      <c r="D361" s="1828"/>
      <c r="E361" s="1245" t="e">
        <f>'Proposed Lighting'!#REF!</f>
        <v>#REF!</v>
      </c>
      <c r="F361" s="1245">
        <f t="shared" si="68"/>
        <v>0</v>
      </c>
      <c r="G361" s="1830" t="e">
        <f>IF('Proposed Lighting'!#REF!="","",IF(ISNUMBER(SEARCH("Networked",'Proposed Lighting'!#REF!)),0,IF(ISNUMBER(SEARCH("Strategies",'Proposed Lighting'!#REF!)),0,IF(ISNUMBER(SEARCH("Removal",'Proposed Lighting'!#REF!)),0,'Proposed Lighting'!#REF!))))</f>
        <v>#REF!</v>
      </c>
      <c r="H361" s="1830"/>
      <c r="I361" s="1830"/>
      <c r="J361" s="1830"/>
      <c r="K361" s="1215"/>
      <c r="L361" s="1246" t="e">
        <f t="shared" si="69"/>
        <v>#REF!</v>
      </c>
      <c r="M361" s="1224">
        <f t="shared" si="70"/>
        <v>0</v>
      </c>
      <c r="N361" s="1224">
        <f t="shared" si="71"/>
        <v>0</v>
      </c>
      <c r="O361" s="1825" t="e">
        <f>IF(G361=0,0,IF(ISNA('Proposed Lighting'!#REF!),0,'Proposed Lighting'!#REF!))</f>
        <v>#REF!</v>
      </c>
      <c r="P361" s="1825"/>
      <c r="Q361" s="1247"/>
      <c r="R361" s="1247"/>
      <c r="S361" s="1247"/>
      <c r="T361" s="1211"/>
      <c r="U361" s="1235">
        <f>IF(K361&gt;0.01,'Proposed Lighting'!#REF!,0)</f>
        <v>0</v>
      </c>
      <c r="V361" s="1248" t="e">
        <f>IF('Proposed Lighting'!#REF!=1,0,IF('Proposed Lighting'!#REF!=2,0,IF(AND('Proposed Lighting'!#REF!=3,'Proposed Lighting'!#REF!=0),1,0)))</f>
        <v>#REF!</v>
      </c>
      <c r="W361" s="1836"/>
      <c r="X361" s="1836"/>
      <c r="Y361" s="1836"/>
      <c r="Z361" s="1230" t="str">
        <f t="shared" si="65"/>
        <v/>
      </c>
      <c r="AA361" s="1230">
        <f t="shared" si="66"/>
        <v>0</v>
      </c>
      <c r="AB361" s="1230">
        <f>IF(Q361=0,0,IF(T361=0,0,IF(AA361=0,0,IF(AND(F361=3,V361=0),0,IF(T361=0,0,IF(K361&gt;'Proposed Lighting'!#REF!,0,IF('Proposed Lighting'!#REF!&gt;0.01,(K361*O361)*'Proposed Lighting'!#REF!/1000,(K361*O361)*U361/1000)))))))</f>
        <v>0</v>
      </c>
      <c r="AC361" s="1230" t="str">
        <f t="shared" si="72"/>
        <v/>
      </c>
      <c r="AD361" s="1230">
        <f t="shared" si="67"/>
        <v>0</v>
      </c>
      <c r="AE361" s="1230">
        <f>IF(T361=0,0,IF(K361&gt;'Proposed Lighting'!#REF!,0,IF(T361&gt;K361,0,IF(AND(AD361&gt;AA361,AA361&gt;0),0,IF(AND(F361&gt;1,W361&lt;0.01),0,IF('Proposed Lighting'!#REF!&gt;'Lighting Controls'!F361,0,IF('Proposed Lighting'!#REF!&lt;'Lighting Controls'!F361,0,IF(U361=0,0,Summary!#REF!))))))))</f>
        <v>0</v>
      </c>
      <c r="AF361" s="1230">
        <f>IF(T361=0,0,IF(AE361=0,0,IF(K361&gt;'Proposed Lighting'!#REF!,0,IF(AND(AD361&gt;AA361,AA361&gt;0),0,IF(U361=0,0,Summary!#REF!)))))</f>
        <v>0</v>
      </c>
      <c r="AG361" s="1834" t="e">
        <f>IF('Proposed Lighting'!#REF!=1,0,IF('Proposed Lighting'!#REF!=1,0,T361*W361))</f>
        <v>#REF!</v>
      </c>
      <c r="AH361" s="1834"/>
      <c r="AI361" s="1834"/>
      <c r="AJ361" s="1835">
        <f>IF(T361&lt;1,0,IF(K361&gt;'Proposed Lighting'!#REF!,0,IF('Proposed Lighting'!#REF!=1,0,IF('Proposed Lighting'!#REF!=1,0,IF(T361&gt;K361,0,IF(AND(AD361&gt;AA361,AA361&gt;0),0,IF(AND(F361=2,'Proposed Lighting'!#REF!=3),0,IF(AND(F361=3,'Proposed Lighting'!#REF!=2),0,IF('Proposed Lighting'!#REF!=100,0,IF(AND(F361&lt;3,V361=1,AM361=0),0,IF(AND(F361&gt;1,AF361&lt;1,AN361&lt;1),0,IF(AND(F361&gt;1,AE361&lt;0.69,AF361&lt;1,AN361&lt;1),0,IF(ISERROR(AB361-AC361),"",AB361-AC361)))))))))))))</f>
        <v>0</v>
      </c>
      <c r="AK361" s="1835"/>
      <c r="AL361" s="1835"/>
      <c r="AM361" s="1216">
        <f>IF(Q361=0,0,IF(T361=0,0,IF(T361&gt;K361,0,IF(AND(AS361&gt;0.01,BK361=0),0,IF(AND('Proposed Lighting'!#REF!=0,'Lighting Controls'!Z361=0.35),0,IF(AND(T361&lt;=K361,AA361&gt;=AD361,'Proposed Lighting'!#REF!=2),VLOOKUP(Q361,$AY$9:$AZ$15,2,FALSE),IF(AND(T361&lt;=K361,AA361&gt;=AD361,'Proposed Lighting'!#REF!=3),VLOOKUP(Q361,$AY$17:$AZ$23,2,FALSE))))))))</f>
        <v>0</v>
      </c>
      <c r="AN361" s="1248">
        <f>IF(T361=0,0,IF(K361&gt;'Proposed Lighting'!#REF!,0,IF(AE361=0,0,IF(AND(AD361&gt;AA361,AA361&gt;0),0,IF(U361=0,0,Summary!#REF!)))))</f>
        <v>0</v>
      </c>
      <c r="AO361" s="1248">
        <f t="shared" si="76"/>
        <v>0</v>
      </c>
      <c r="AP361" s="1249" t="e">
        <f>IF('Proposed Lighting'!#REF!=1,0,IF(K361=0,0,IF(T361&gt;K361,0,IF(G361=0,0,IF(K361&gt;'Proposed Lighting'!#REF!,0,IF(AND(AD361&gt;AA361,AA361&gt;0),0,IF(AND('Proposed Lighting'!#REF!=3,AM361=0.5),0,IF(AND(AM361&gt;0,AS361&gt;0,BI361&lt;2),0,IF('Proposed Lighting'!#REF!=100,0,IF(AV361=1,0,IF(AND(AM361=35,M361+N361&lt;2),0,AM361)))))))))))</f>
        <v>#REF!</v>
      </c>
      <c r="AQ361" s="1249" t="str">
        <f>IFERROR(ROUND(IF(Q361="","",IF('Proposed Lighting'!$X$4=0,0,IF(AND(AM361=35,M361+N361&lt;2),0,IF(T361&gt;K361,0,IF('Proposed Lighting'!#REF!=1,0,IF(AJ361=0,0,IF(AND('Proposed Lighting'!#REF!=3,AM361=0.5),0,IF(AND(AD361=75,AP361=0,AV361=0),0,IF(AP361&gt;0.01,AP361*T361,IF(AND(F361&gt;1,W361&lt;0.01),0,IF(AND(F361&gt;1,AO361=0),0,IF(AND('Proposed Lighting'!#REF!=22,AV361=0),0,IF(AND(AM361&gt;0,AS361&gt;0,BI361&lt;2),0,IF(AND(AS361&gt;0.01,BK361=0),0,IF(AND(AO361=TRUE,AV361=1,F361=3),MIN(AJ361*0.08,L361),IF(AP361&gt;0.01,AP361*T361,IF(AND(AO361=TRUE,AV361=1,F361=2),MIN(AJ361*0.1,L361)))))))))))))))))),2),"")</f>
        <v/>
      </c>
      <c r="AR361" s="1250">
        <f>IF(Q361=0,0,IF('Proposed Lighting'!$X$4=0,0,IF(AND(AM361&gt;0.01,AQ361&gt;0.01),0,IF('Proposed Lighting'!#REF!=1,"Missing Interior or Exterior Selection",IF('Proposed Lighting'!#REF!=1,"Selection does not match",IF(K361&gt;'Proposed Lighting'!#REF!,"Quantity controlled does not match proposed lighting quantity",IF(T361&gt;K361,"Quantity of sensors exceeds proposed lighting quantity",IF(AND(F361&gt;1,'Proposed Lighting'!#REF!&lt;&gt;F361),"Selection does not match",IF(AND(AD361&gt;AA361,AA361&gt;0),"Does not meet minimum connected load",IF(AND(O361&gt;0,AS361&gt;0,BK361&gt;0,'Proposed Lighting'!#REF!=0),"Select Control Strategies",IF(AND(AC361&gt;0.1,AJ361=0,AQ361=0),"Does not meet incentive criteria",0)))))))))))</f>
        <v>0</v>
      </c>
      <c r="AS361" s="1224" t="e">
        <f>IF('Proposed Lighting'!#REF!=100,0,IF(ISNUMBER(SEARCH("multiple",Q361)),1,0))</f>
        <v>#REF!</v>
      </c>
      <c r="AT361" s="451">
        <f t="shared" si="73"/>
        <v>0</v>
      </c>
      <c r="AU361" s="451" t="e">
        <f t="shared" si="74"/>
        <v>#REF!</v>
      </c>
      <c r="AV361" s="1222">
        <f>IF(ISNUMBER(SEARCH("Networked",'Proposed Lighting'!#REF!)),0,IF(ISNUMBER(SEARCH("Strategies",'Proposed Lighting'!#REF!)),0,IF(ISNUMBER(SEARCH("Removal",'Proposed Lighting'!#REF!)),0,IF(ISNUMBER(SEARCH("non-standard",Q361)),1,0))))</f>
        <v>0</v>
      </c>
      <c r="AW361" s="451">
        <f t="shared" si="77"/>
        <v>0</v>
      </c>
      <c r="AX361" s="451"/>
      <c r="AY361" s="451"/>
      <c r="AZ361" s="451"/>
      <c r="BA361" s="451"/>
      <c r="BB361" s="451"/>
      <c r="BC361" s="1215"/>
      <c r="BD361" s="1215"/>
      <c r="BE361" s="1215"/>
      <c r="BF361" s="1215"/>
      <c r="BG361" s="1215"/>
      <c r="BH361" s="1215"/>
      <c r="BI361" t="e">
        <f>IF(AND(AS361=1,BC361="No",BD361="Yes",BE361="Yes",BF361="No",BH361="No"),0,IF(AND('Proposed Lighting'!#REF!=2,AS361=1,BC361="Yes",BD361="Yes"),2,IF(AND('Proposed Lighting'!#REF!=2,AS361=1,BC361="Yes",BE361="Yes"),2,IF(AND('Proposed Lighting'!#REF!=2,AS361=1,BC361="Yes",BF361="Yes"),2,IF(AND('Proposed Lighting'!#REF!=2,AS361=1,BC361="Yes",BH361="Yes"),2,IF(AND('Proposed Lighting'!#REF!=2,AS361=1,BD361="Yes",BF361="Yes"),2,IF(AND('Proposed Lighting'!#REF!=2,AS361=1,BD361="Yes",BH361="Yes"),2,IF(AND('Proposed Lighting'!#REF!=3,AS361=1,BC361="Yes",BE361="Yes"),2,IF(AND('Proposed Lighting'!#REF!=3,AS361=1,BC361="Yes",BF361="Yes"),2,0)))))))))</f>
        <v>#REF!</v>
      </c>
      <c r="BJ361" s="1025" t="e">
        <f t="shared" si="75"/>
        <v>#REF!</v>
      </c>
      <c r="BK361" t="e">
        <f>IF(AND('Proposed Lighting'!#REF!=22,'Lighting Controls'!N361=1),0,IF(ISNUMBER(SEARCH("LED",G361)),1,0))</f>
        <v>#REF!</v>
      </c>
    </row>
    <row r="362" spans="1:63" ht="34.5" customHeight="1">
      <c r="A362" s="917">
        <v>354</v>
      </c>
      <c r="B362" s="1828" t="e">
        <f>IF('Proposed Lighting'!#REF!="","",'Proposed Lighting'!#REF!)</f>
        <v>#REF!</v>
      </c>
      <c r="C362" s="1828"/>
      <c r="D362" s="1828"/>
      <c r="E362" s="1245" t="e">
        <f>'Proposed Lighting'!#REF!</f>
        <v>#REF!</v>
      </c>
      <c r="F362" s="1245">
        <f t="shared" si="68"/>
        <v>0</v>
      </c>
      <c r="G362" s="1830" t="e">
        <f>IF('Proposed Lighting'!#REF!="","",IF(ISNUMBER(SEARCH("Networked",'Proposed Lighting'!#REF!)),0,IF(ISNUMBER(SEARCH("Strategies",'Proposed Lighting'!#REF!)),0,IF(ISNUMBER(SEARCH("Removal",'Proposed Lighting'!#REF!)),0,'Proposed Lighting'!#REF!))))</f>
        <v>#REF!</v>
      </c>
      <c r="H362" s="1830"/>
      <c r="I362" s="1830"/>
      <c r="J362" s="1830"/>
      <c r="K362" s="1215"/>
      <c r="L362" s="1246" t="e">
        <f t="shared" si="69"/>
        <v>#REF!</v>
      </c>
      <c r="M362" s="1224">
        <f t="shared" si="70"/>
        <v>0</v>
      </c>
      <c r="N362" s="1224">
        <f t="shared" si="71"/>
        <v>0</v>
      </c>
      <c r="O362" s="1825" t="e">
        <f>IF(G362=0,0,IF(ISNA('Proposed Lighting'!#REF!),0,'Proposed Lighting'!#REF!))</f>
        <v>#REF!</v>
      </c>
      <c r="P362" s="1825"/>
      <c r="Q362" s="1247"/>
      <c r="R362" s="1247"/>
      <c r="S362" s="1247"/>
      <c r="T362" s="1211"/>
      <c r="U362" s="1235">
        <f>IF(K362&gt;0.01,'Proposed Lighting'!#REF!,0)</f>
        <v>0</v>
      </c>
      <c r="V362" s="1248" t="e">
        <f>IF('Proposed Lighting'!#REF!=1,0,IF('Proposed Lighting'!#REF!=2,0,IF(AND('Proposed Lighting'!#REF!=3,'Proposed Lighting'!#REF!=0),1,0)))</f>
        <v>#REF!</v>
      </c>
      <c r="W362" s="1836"/>
      <c r="X362" s="1836"/>
      <c r="Y362" s="1836"/>
      <c r="Z362" s="1230" t="str">
        <f t="shared" si="65"/>
        <v/>
      </c>
      <c r="AA362" s="1230">
        <f t="shared" si="66"/>
        <v>0</v>
      </c>
      <c r="AB362" s="1230">
        <f>IF(Q362=0,0,IF(T362=0,0,IF(AA362=0,0,IF(AND(F362=3,V362=0),0,IF(T362=0,0,IF(K362&gt;'Proposed Lighting'!#REF!,0,IF('Proposed Lighting'!#REF!&gt;0.01,(K362*O362)*'Proposed Lighting'!#REF!/1000,(K362*O362)*U362/1000)))))))</f>
        <v>0</v>
      </c>
      <c r="AC362" s="1230" t="str">
        <f t="shared" si="72"/>
        <v/>
      </c>
      <c r="AD362" s="1230">
        <f t="shared" si="67"/>
        <v>0</v>
      </c>
      <c r="AE362" s="1230">
        <f>IF(T362=0,0,IF(K362&gt;'Proposed Lighting'!#REF!,0,IF(T362&gt;K362,0,IF(AND(AD362&gt;AA362,AA362&gt;0),0,IF(AND(F362&gt;1,W362&lt;0.01),0,IF('Proposed Lighting'!#REF!&gt;'Lighting Controls'!F362,0,IF('Proposed Lighting'!#REF!&lt;'Lighting Controls'!F362,0,IF(U362=0,0,Summary!#REF!))))))))</f>
        <v>0</v>
      </c>
      <c r="AF362" s="1230">
        <f>IF(T362=0,0,IF(AE362=0,0,IF(K362&gt;'Proposed Lighting'!#REF!,0,IF(AND(AD362&gt;AA362,AA362&gt;0),0,IF(U362=0,0,Summary!#REF!)))))</f>
        <v>0</v>
      </c>
      <c r="AG362" s="1834" t="e">
        <f>IF('Proposed Lighting'!#REF!=1,0,IF('Proposed Lighting'!#REF!=1,0,T362*W362))</f>
        <v>#REF!</v>
      </c>
      <c r="AH362" s="1834"/>
      <c r="AI362" s="1834"/>
      <c r="AJ362" s="1835">
        <f>IF(T362&lt;1,0,IF(K362&gt;'Proposed Lighting'!#REF!,0,IF('Proposed Lighting'!#REF!=1,0,IF('Proposed Lighting'!#REF!=1,0,IF(T362&gt;K362,0,IF(AND(AD362&gt;AA362,AA362&gt;0),0,IF(AND(F362=2,'Proposed Lighting'!#REF!=3),0,IF(AND(F362=3,'Proposed Lighting'!#REF!=2),0,IF('Proposed Lighting'!#REF!=100,0,IF(AND(F362&lt;3,V362=1,AM362=0),0,IF(AND(F362&gt;1,AF362&lt;1,AN362&lt;1),0,IF(AND(F362&gt;1,AE362&lt;0.69,AF362&lt;1,AN362&lt;1),0,IF(ISERROR(AB362-AC362),"",AB362-AC362)))))))))))))</f>
        <v>0</v>
      </c>
      <c r="AK362" s="1835"/>
      <c r="AL362" s="1835"/>
      <c r="AM362" s="1216">
        <f>IF(Q362=0,0,IF(T362=0,0,IF(T362&gt;K362,0,IF(AND(AS362&gt;0.01,BK362=0),0,IF(AND('Proposed Lighting'!#REF!=0,'Lighting Controls'!Z362=0.35),0,IF(AND(T362&lt;=K362,AA362&gt;=AD362,'Proposed Lighting'!#REF!=2),VLOOKUP(Q362,$AY$9:$AZ$15,2,FALSE),IF(AND(T362&lt;=K362,AA362&gt;=AD362,'Proposed Lighting'!#REF!=3),VLOOKUP(Q362,$AY$17:$AZ$23,2,FALSE))))))))</f>
        <v>0</v>
      </c>
      <c r="AN362" s="1248">
        <f>IF(T362=0,0,IF(K362&gt;'Proposed Lighting'!#REF!,0,IF(AE362=0,0,IF(AND(AD362&gt;AA362,AA362&gt;0),0,IF(U362=0,0,Summary!#REF!)))))</f>
        <v>0</v>
      </c>
      <c r="AO362" s="1248">
        <f t="shared" si="76"/>
        <v>0</v>
      </c>
      <c r="AP362" s="1249" t="e">
        <f>IF('Proposed Lighting'!#REF!=1,0,IF(K362=0,0,IF(T362&gt;K362,0,IF(G362=0,0,IF(K362&gt;'Proposed Lighting'!#REF!,0,IF(AND(AD362&gt;AA362,AA362&gt;0),0,IF(AND('Proposed Lighting'!#REF!=3,AM362=0.5),0,IF(AND(AM362&gt;0,AS362&gt;0,BI362&lt;2),0,IF('Proposed Lighting'!#REF!=100,0,IF(AV362=1,0,IF(AND(AM362=35,M362+N362&lt;2),0,AM362)))))))))))</f>
        <v>#REF!</v>
      </c>
      <c r="AQ362" s="1249" t="str">
        <f>IFERROR(ROUND(IF(Q362="","",IF('Proposed Lighting'!$X$4=0,0,IF(AND(AM362=35,M362+N362&lt;2),0,IF(T362&gt;K362,0,IF('Proposed Lighting'!#REF!=1,0,IF(AJ362=0,0,IF(AND('Proposed Lighting'!#REF!=3,AM362=0.5),0,IF(AND(AD362=75,AP362=0,AV362=0),0,IF(AP362&gt;0.01,AP362*T362,IF(AND(F362&gt;1,W362&lt;0.01),0,IF(AND(F362&gt;1,AO362=0),0,IF(AND('Proposed Lighting'!#REF!=22,AV362=0),0,IF(AND(AM362&gt;0,AS362&gt;0,BI362&lt;2),0,IF(AND(AS362&gt;0.01,BK362=0),0,IF(AND(AO362=TRUE,AV362=1,F362=3),MIN(AJ362*0.08,L362),IF(AP362&gt;0.01,AP362*T362,IF(AND(AO362=TRUE,AV362=1,F362=2),MIN(AJ362*0.1,L362)))))))))))))))))),2),"")</f>
        <v/>
      </c>
      <c r="AR362" s="1250">
        <f>IF(Q362=0,0,IF('Proposed Lighting'!$X$4=0,0,IF(AND(AM362&gt;0.01,AQ362&gt;0.01),0,IF('Proposed Lighting'!#REF!=1,"Missing Interior or Exterior Selection",IF('Proposed Lighting'!#REF!=1,"Selection does not match",IF(K362&gt;'Proposed Lighting'!#REF!,"Quantity controlled does not match proposed lighting quantity",IF(T362&gt;K362,"Quantity of sensors exceeds proposed lighting quantity",IF(AND(F362&gt;1,'Proposed Lighting'!#REF!&lt;&gt;F362),"Selection does not match",IF(AND(AD362&gt;AA362,AA362&gt;0),"Does not meet minimum connected load",IF(AND(O362&gt;0,AS362&gt;0,BK362&gt;0,'Proposed Lighting'!#REF!=0),"Select Control Strategies",IF(AND(AC362&gt;0.1,AJ362=0,AQ362=0),"Does not meet incentive criteria",0)))))))))))</f>
        <v>0</v>
      </c>
      <c r="AS362" s="1224" t="e">
        <f>IF('Proposed Lighting'!#REF!=100,0,IF(ISNUMBER(SEARCH("multiple",Q362)),1,0))</f>
        <v>#REF!</v>
      </c>
      <c r="AT362" s="451">
        <f t="shared" si="73"/>
        <v>0</v>
      </c>
      <c r="AU362" s="451" t="e">
        <f t="shared" si="74"/>
        <v>#REF!</v>
      </c>
      <c r="AV362" s="1222">
        <f>IF(ISNUMBER(SEARCH("Networked",'Proposed Lighting'!#REF!)),0,IF(ISNUMBER(SEARCH("Strategies",'Proposed Lighting'!#REF!)),0,IF(ISNUMBER(SEARCH("Removal",'Proposed Lighting'!#REF!)),0,IF(ISNUMBER(SEARCH("non-standard",Q362)),1,0))))</f>
        <v>0</v>
      </c>
      <c r="AW362" s="451">
        <f t="shared" si="77"/>
        <v>0</v>
      </c>
      <c r="AX362" s="451"/>
      <c r="AY362" s="451"/>
      <c r="AZ362" s="451"/>
      <c r="BA362" s="451"/>
      <c r="BB362" s="451"/>
      <c r="BC362" s="1215"/>
      <c r="BD362" s="1215"/>
      <c r="BE362" s="1215"/>
      <c r="BF362" s="1215"/>
      <c r="BG362" s="1215"/>
      <c r="BH362" s="1215"/>
      <c r="BI362" t="e">
        <f>IF(AND(AS362=1,BC362="No",BD362="Yes",BE362="Yes",BF362="No",BH362="No"),0,IF(AND('Proposed Lighting'!#REF!=2,AS362=1,BC362="Yes",BD362="Yes"),2,IF(AND('Proposed Lighting'!#REF!=2,AS362=1,BC362="Yes",BE362="Yes"),2,IF(AND('Proposed Lighting'!#REF!=2,AS362=1,BC362="Yes",BF362="Yes"),2,IF(AND('Proposed Lighting'!#REF!=2,AS362=1,BC362="Yes",BH362="Yes"),2,IF(AND('Proposed Lighting'!#REF!=2,AS362=1,BD362="Yes",BF362="Yes"),2,IF(AND('Proposed Lighting'!#REF!=2,AS362=1,BD362="Yes",BH362="Yes"),2,IF(AND('Proposed Lighting'!#REF!=3,AS362=1,BC362="Yes",BE362="Yes"),2,IF(AND('Proposed Lighting'!#REF!=3,AS362=1,BC362="Yes",BF362="Yes"),2,0)))))))))</f>
        <v>#REF!</v>
      </c>
      <c r="BJ362" s="1025" t="e">
        <f t="shared" si="75"/>
        <v>#REF!</v>
      </c>
      <c r="BK362" t="e">
        <f>IF(AND('Proposed Lighting'!#REF!=22,'Lighting Controls'!N362=1),0,IF(ISNUMBER(SEARCH("LED",G362)),1,0))</f>
        <v>#REF!</v>
      </c>
    </row>
    <row r="363" spans="1:63" ht="34.5" customHeight="1">
      <c r="A363" s="917">
        <v>355</v>
      </c>
      <c r="B363" s="1828" t="e">
        <f>IF('Proposed Lighting'!#REF!="","",'Proposed Lighting'!#REF!)</f>
        <v>#REF!</v>
      </c>
      <c r="C363" s="1828"/>
      <c r="D363" s="1828"/>
      <c r="E363" s="1245" t="e">
        <f>'Proposed Lighting'!#REF!</f>
        <v>#REF!</v>
      </c>
      <c r="F363" s="1245">
        <f t="shared" si="68"/>
        <v>0</v>
      </c>
      <c r="G363" s="1830" t="e">
        <f>IF('Proposed Lighting'!#REF!="","",IF(ISNUMBER(SEARCH("Networked",'Proposed Lighting'!#REF!)),0,IF(ISNUMBER(SEARCH("Strategies",'Proposed Lighting'!#REF!)),0,IF(ISNUMBER(SEARCH("Removal",'Proposed Lighting'!#REF!)),0,'Proposed Lighting'!#REF!))))</f>
        <v>#REF!</v>
      </c>
      <c r="H363" s="1830"/>
      <c r="I363" s="1830"/>
      <c r="J363" s="1830"/>
      <c r="K363" s="1215"/>
      <c r="L363" s="1246" t="e">
        <f t="shared" si="69"/>
        <v>#REF!</v>
      </c>
      <c r="M363" s="1224">
        <f t="shared" si="70"/>
        <v>0</v>
      </c>
      <c r="N363" s="1224">
        <f t="shared" si="71"/>
        <v>0</v>
      </c>
      <c r="O363" s="1825" t="e">
        <f>IF(G363=0,0,IF(ISNA('Proposed Lighting'!#REF!),0,'Proposed Lighting'!#REF!))</f>
        <v>#REF!</v>
      </c>
      <c r="P363" s="1825"/>
      <c r="Q363" s="1247"/>
      <c r="R363" s="1247"/>
      <c r="S363" s="1247"/>
      <c r="T363" s="1211"/>
      <c r="U363" s="1235">
        <f>IF(K363&gt;0.01,'Proposed Lighting'!#REF!,0)</f>
        <v>0</v>
      </c>
      <c r="V363" s="1248" t="e">
        <f>IF('Proposed Lighting'!#REF!=1,0,IF('Proposed Lighting'!#REF!=2,0,IF(AND('Proposed Lighting'!#REF!=3,'Proposed Lighting'!#REF!=0),1,0)))</f>
        <v>#REF!</v>
      </c>
      <c r="W363" s="1836"/>
      <c r="X363" s="1836"/>
      <c r="Y363" s="1836"/>
      <c r="Z363" s="1230" t="str">
        <f t="shared" si="65"/>
        <v/>
      </c>
      <c r="AA363" s="1230">
        <f t="shared" si="66"/>
        <v>0</v>
      </c>
      <c r="AB363" s="1230">
        <f>IF(Q363=0,0,IF(T363=0,0,IF(AA363=0,0,IF(AND(F363=3,V363=0),0,IF(T363=0,0,IF(K363&gt;'Proposed Lighting'!#REF!,0,IF('Proposed Lighting'!#REF!&gt;0.01,(K363*O363)*'Proposed Lighting'!#REF!/1000,(K363*O363)*U363/1000)))))))</f>
        <v>0</v>
      </c>
      <c r="AC363" s="1230" t="str">
        <f t="shared" si="72"/>
        <v/>
      </c>
      <c r="AD363" s="1230">
        <f t="shared" si="67"/>
        <v>0</v>
      </c>
      <c r="AE363" s="1230">
        <f>IF(T363=0,0,IF(K363&gt;'Proposed Lighting'!#REF!,0,IF(T363&gt;K363,0,IF(AND(AD363&gt;AA363,AA363&gt;0),0,IF(AND(F363&gt;1,W363&lt;0.01),0,IF('Proposed Lighting'!#REF!&gt;'Lighting Controls'!F363,0,IF('Proposed Lighting'!#REF!&lt;'Lighting Controls'!F363,0,IF(U363=0,0,Summary!#REF!))))))))</f>
        <v>0</v>
      </c>
      <c r="AF363" s="1230">
        <f>IF(T363=0,0,IF(AE363=0,0,IF(K363&gt;'Proposed Lighting'!#REF!,0,IF(AND(AD363&gt;AA363,AA363&gt;0),0,IF(U363=0,0,Summary!#REF!)))))</f>
        <v>0</v>
      </c>
      <c r="AG363" s="1834" t="e">
        <f>IF('Proposed Lighting'!#REF!=1,0,IF('Proposed Lighting'!#REF!=1,0,T363*W363))</f>
        <v>#REF!</v>
      </c>
      <c r="AH363" s="1834"/>
      <c r="AI363" s="1834"/>
      <c r="AJ363" s="1835">
        <f>IF(T363&lt;1,0,IF(K363&gt;'Proposed Lighting'!#REF!,0,IF('Proposed Lighting'!#REF!=1,0,IF('Proposed Lighting'!#REF!=1,0,IF(T363&gt;K363,0,IF(AND(AD363&gt;AA363,AA363&gt;0),0,IF(AND(F363=2,'Proposed Lighting'!#REF!=3),0,IF(AND(F363=3,'Proposed Lighting'!#REF!=2),0,IF('Proposed Lighting'!#REF!=100,0,IF(AND(F363&lt;3,V363=1,AM363=0),0,IF(AND(F363&gt;1,AF363&lt;1,AN363&lt;1),0,IF(AND(F363&gt;1,AE363&lt;0.69,AF363&lt;1,AN363&lt;1),0,IF(ISERROR(AB363-AC363),"",AB363-AC363)))))))))))))</f>
        <v>0</v>
      </c>
      <c r="AK363" s="1835"/>
      <c r="AL363" s="1835"/>
      <c r="AM363" s="1216">
        <f>IF(Q363=0,0,IF(T363=0,0,IF(T363&gt;K363,0,IF(AND(AS363&gt;0.01,BK363=0),0,IF(AND('Proposed Lighting'!#REF!=0,'Lighting Controls'!Z363=0.35),0,IF(AND(T363&lt;=K363,AA363&gt;=AD363,'Proposed Lighting'!#REF!=2),VLOOKUP(Q363,$AY$9:$AZ$15,2,FALSE),IF(AND(T363&lt;=K363,AA363&gt;=AD363,'Proposed Lighting'!#REF!=3),VLOOKUP(Q363,$AY$17:$AZ$23,2,FALSE))))))))</f>
        <v>0</v>
      </c>
      <c r="AN363" s="1248">
        <f>IF(T363=0,0,IF(K363&gt;'Proposed Lighting'!#REF!,0,IF(AE363=0,0,IF(AND(AD363&gt;AA363,AA363&gt;0),0,IF(U363=0,0,Summary!#REF!)))))</f>
        <v>0</v>
      </c>
      <c r="AO363" s="1248">
        <f t="shared" si="76"/>
        <v>0</v>
      </c>
      <c r="AP363" s="1249" t="e">
        <f>IF('Proposed Lighting'!#REF!=1,0,IF(K363=0,0,IF(T363&gt;K363,0,IF(G363=0,0,IF(K363&gt;'Proposed Lighting'!#REF!,0,IF(AND(AD363&gt;AA363,AA363&gt;0),0,IF(AND('Proposed Lighting'!#REF!=3,AM363=0.5),0,IF(AND(AM363&gt;0,AS363&gt;0,BI363&lt;2),0,IF('Proposed Lighting'!#REF!=100,0,IF(AV363=1,0,IF(AND(AM363=35,M363+N363&lt;2),0,AM363)))))))))))</f>
        <v>#REF!</v>
      </c>
      <c r="AQ363" s="1249" t="str">
        <f>IFERROR(ROUND(IF(Q363="","",IF('Proposed Lighting'!$X$4=0,0,IF(AND(AM363=35,M363+N363&lt;2),0,IF(T363&gt;K363,0,IF('Proposed Lighting'!#REF!=1,0,IF(AJ363=0,0,IF(AND('Proposed Lighting'!#REF!=3,AM363=0.5),0,IF(AND(AD363=75,AP363=0,AV363=0),0,IF(AP363&gt;0.01,AP363*T363,IF(AND(F363&gt;1,W363&lt;0.01),0,IF(AND(F363&gt;1,AO363=0),0,IF(AND('Proposed Lighting'!#REF!=22,AV363=0),0,IF(AND(AM363&gt;0,AS363&gt;0,BI363&lt;2),0,IF(AND(AS363&gt;0.01,BK363=0),0,IF(AND(AO363=TRUE,AV363=1,F363=3),MIN(AJ363*0.08,L363),IF(AP363&gt;0.01,AP363*T363,IF(AND(AO363=TRUE,AV363=1,F363=2),MIN(AJ363*0.1,L363)))))))))))))))))),2),"")</f>
        <v/>
      </c>
      <c r="AR363" s="1250">
        <f>IF(Q363=0,0,IF('Proposed Lighting'!$X$4=0,0,IF(AND(AM363&gt;0.01,AQ363&gt;0.01),0,IF('Proposed Lighting'!#REF!=1,"Missing Interior or Exterior Selection",IF('Proposed Lighting'!#REF!=1,"Selection does not match",IF(K363&gt;'Proposed Lighting'!#REF!,"Quantity controlled does not match proposed lighting quantity",IF(T363&gt;K363,"Quantity of sensors exceeds proposed lighting quantity",IF(AND(F363&gt;1,'Proposed Lighting'!#REF!&lt;&gt;F363),"Selection does not match",IF(AND(AD363&gt;AA363,AA363&gt;0),"Does not meet minimum connected load",IF(AND(O363&gt;0,AS363&gt;0,BK363&gt;0,'Proposed Lighting'!#REF!=0),"Select Control Strategies",IF(AND(AC363&gt;0.1,AJ363=0,AQ363=0),"Does not meet incentive criteria",0)))))))))))</f>
        <v>0</v>
      </c>
      <c r="AS363" s="1224" t="e">
        <f>IF('Proposed Lighting'!#REF!=100,0,IF(ISNUMBER(SEARCH("multiple",Q363)),1,0))</f>
        <v>#REF!</v>
      </c>
      <c r="AT363" s="451">
        <f t="shared" si="73"/>
        <v>0</v>
      </c>
      <c r="AU363" s="451" t="e">
        <f t="shared" si="74"/>
        <v>#REF!</v>
      </c>
      <c r="AV363" s="1222">
        <f>IF(ISNUMBER(SEARCH("Networked",'Proposed Lighting'!#REF!)),0,IF(ISNUMBER(SEARCH("Strategies",'Proposed Lighting'!#REF!)),0,IF(ISNUMBER(SEARCH("Removal",'Proposed Lighting'!#REF!)),0,IF(ISNUMBER(SEARCH("non-standard",Q363)),1,0))))</f>
        <v>0</v>
      </c>
      <c r="AW363" s="451">
        <f t="shared" si="77"/>
        <v>0</v>
      </c>
      <c r="AX363" s="451"/>
      <c r="AY363" s="451"/>
      <c r="AZ363" s="451"/>
      <c r="BA363" s="451"/>
      <c r="BB363" s="451"/>
      <c r="BC363" s="1215"/>
      <c r="BD363" s="1215"/>
      <c r="BE363" s="1215"/>
      <c r="BF363" s="1215"/>
      <c r="BG363" s="1215"/>
      <c r="BH363" s="1215"/>
      <c r="BI363" t="e">
        <f>IF(AND(AS363=1,BC363="No",BD363="Yes",BE363="Yes",BF363="No",BH363="No"),0,IF(AND('Proposed Lighting'!#REF!=2,AS363=1,BC363="Yes",BD363="Yes"),2,IF(AND('Proposed Lighting'!#REF!=2,AS363=1,BC363="Yes",BE363="Yes"),2,IF(AND('Proposed Lighting'!#REF!=2,AS363=1,BC363="Yes",BF363="Yes"),2,IF(AND('Proposed Lighting'!#REF!=2,AS363=1,BC363="Yes",BH363="Yes"),2,IF(AND('Proposed Lighting'!#REF!=2,AS363=1,BD363="Yes",BF363="Yes"),2,IF(AND('Proposed Lighting'!#REF!=2,AS363=1,BD363="Yes",BH363="Yes"),2,IF(AND('Proposed Lighting'!#REF!=3,AS363=1,BC363="Yes",BE363="Yes"),2,IF(AND('Proposed Lighting'!#REF!=3,AS363=1,BC363="Yes",BF363="Yes"),2,0)))))))))</f>
        <v>#REF!</v>
      </c>
      <c r="BJ363" s="1025" t="e">
        <f t="shared" si="75"/>
        <v>#REF!</v>
      </c>
      <c r="BK363" t="e">
        <f>IF(AND('Proposed Lighting'!#REF!=22,'Lighting Controls'!N363=1),0,IF(ISNUMBER(SEARCH("LED",G363)),1,0))</f>
        <v>#REF!</v>
      </c>
    </row>
    <row r="364" spans="1:63" ht="34.5" customHeight="1">
      <c r="A364" s="917">
        <v>356</v>
      </c>
      <c r="B364" s="1828" t="e">
        <f>IF('Proposed Lighting'!#REF!="","",'Proposed Lighting'!#REF!)</f>
        <v>#REF!</v>
      </c>
      <c r="C364" s="1828"/>
      <c r="D364" s="1828"/>
      <c r="E364" s="1245" t="e">
        <f>'Proposed Lighting'!#REF!</f>
        <v>#REF!</v>
      </c>
      <c r="F364" s="1245">
        <f t="shared" si="68"/>
        <v>0</v>
      </c>
      <c r="G364" s="1830" t="e">
        <f>IF('Proposed Lighting'!#REF!="","",IF(ISNUMBER(SEARCH("Networked",'Proposed Lighting'!#REF!)),0,IF(ISNUMBER(SEARCH("Strategies",'Proposed Lighting'!#REF!)),0,IF(ISNUMBER(SEARCH("Removal",'Proposed Lighting'!#REF!)),0,'Proposed Lighting'!#REF!))))</f>
        <v>#REF!</v>
      </c>
      <c r="H364" s="1830"/>
      <c r="I364" s="1830"/>
      <c r="J364" s="1830"/>
      <c r="K364" s="1215"/>
      <c r="L364" s="1246" t="e">
        <f t="shared" si="69"/>
        <v>#REF!</v>
      </c>
      <c r="M364" s="1224">
        <f t="shared" si="70"/>
        <v>0</v>
      </c>
      <c r="N364" s="1224">
        <f t="shared" si="71"/>
        <v>0</v>
      </c>
      <c r="O364" s="1825" t="e">
        <f>IF(G364=0,0,IF(ISNA('Proposed Lighting'!#REF!),0,'Proposed Lighting'!#REF!))</f>
        <v>#REF!</v>
      </c>
      <c r="P364" s="1825"/>
      <c r="Q364" s="1247"/>
      <c r="R364" s="1247"/>
      <c r="S364" s="1247"/>
      <c r="T364" s="1211"/>
      <c r="U364" s="1235">
        <f>IF(K364&gt;0.01,'Proposed Lighting'!#REF!,0)</f>
        <v>0</v>
      </c>
      <c r="V364" s="1248" t="e">
        <f>IF('Proposed Lighting'!#REF!=1,0,IF('Proposed Lighting'!#REF!=2,0,IF(AND('Proposed Lighting'!#REF!=3,'Proposed Lighting'!#REF!=0),1,0)))</f>
        <v>#REF!</v>
      </c>
      <c r="W364" s="1836"/>
      <c r="X364" s="1836"/>
      <c r="Y364" s="1836"/>
      <c r="Z364" s="1230" t="str">
        <f t="shared" si="65"/>
        <v/>
      </c>
      <c r="AA364" s="1230">
        <f t="shared" si="66"/>
        <v>0</v>
      </c>
      <c r="AB364" s="1230">
        <f>IF(Q364=0,0,IF(T364=0,0,IF(AA364=0,0,IF(AND(F364=3,V364=0),0,IF(T364=0,0,IF(K364&gt;'Proposed Lighting'!#REF!,0,IF('Proposed Lighting'!#REF!&gt;0.01,(K364*O364)*'Proposed Lighting'!#REF!/1000,(K364*O364)*U364/1000)))))))</f>
        <v>0</v>
      </c>
      <c r="AC364" s="1230" t="str">
        <f t="shared" si="72"/>
        <v/>
      </c>
      <c r="AD364" s="1230">
        <f t="shared" si="67"/>
        <v>0</v>
      </c>
      <c r="AE364" s="1230">
        <f>IF(T364=0,0,IF(K364&gt;'Proposed Lighting'!#REF!,0,IF(T364&gt;K364,0,IF(AND(AD364&gt;AA364,AA364&gt;0),0,IF(AND(F364&gt;1,W364&lt;0.01),0,IF('Proposed Lighting'!#REF!&gt;'Lighting Controls'!F364,0,IF('Proposed Lighting'!#REF!&lt;'Lighting Controls'!F364,0,IF(U364=0,0,Summary!#REF!))))))))</f>
        <v>0</v>
      </c>
      <c r="AF364" s="1230">
        <f>IF(T364=0,0,IF(AE364=0,0,IF(K364&gt;'Proposed Lighting'!#REF!,0,IF(AND(AD364&gt;AA364,AA364&gt;0),0,IF(U364=0,0,Summary!#REF!)))))</f>
        <v>0</v>
      </c>
      <c r="AG364" s="1834" t="e">
        <f>IF('Proposed Lighting'!#REF!=1,0,IF('Proposed Lighting'!#REF!=1,0,T364*W364))</f>
        <v>#REF!</v>
      </c>
      <c r="AH364" s="1834"/>
      <c r="AI364" s="1834"/>
      <c r="AJ364" s="1835">
        <f>IF(T364&lt;1,0,IF(K364&gt;'Proposed Lighting'!#REF!,0,IF('Proposed Lighting'!#REF!=1,0,IF('Proposed Lighting'!#REF!=1,0,IF(T364&gt;K364,0,IF(AND(AD364&gt;AA364,AA364&gt;0),0,IF(AND(F364=2,'Proposed Lighting'!#REF!=3),0,IF(AND(F364=3,'Proposed Lighting'!#REF!=2),0,IF('Proposed Lighting'!#REF!=100,0,IF(AND(F364&lt;3,V364=1,AM364=0),0,IF(AND(F364&gt;1,AF364&lt;1,AN364&lt;1),0,IF(AND(F364&gt;1,AE364&lt;0.69,AF364&lt;1,AN364&lt;1),0,IF(ISERROR(AB364-AC364),"",AB364-AC364)))))))))))))</f>
        <v>0</v>
      </c>
      <c r="AK364" s="1835"/>
      <c r="AL364" s="1835"/>
      <c r="AM364" s="1216">
        <f>IF(Q364=0,0,IF(T364=0,0,IF(T364&gt;K364,0,IF(AND(AS364&gt;0.01,BK364=0),0,IF(AND('Proposed Lighting'!#REF!=0,'Lighting Controls'!Z364=0.35),0,IF(AND(T364&lt;=K364,AA364&gt;=AD364,'Proposed Lighting'!#REF!=2),VLOOKUP(Q364,$AY$9:$AZ$15,2,FALSE),IF(AND(T364&lt;=K364,AA364&gt;=AD364,'Proposed Lighting'!#REF!=3),VLOOKUP(Q364,$AY$17:$AZ$23,2,FALSE))))))))</f>
        <v>0</v>
      </c>
      <c r="AN364" s="1248">
        <f>IF(T364=0,0,IF(K364&gt;'Proposed Lighting'!#REF!,0,IF(AE364=0,0,IF(AND(AD364&gt;AA364,AA364&gt;0),0,IF(U364=0,0,Summary!#REF!)))))</f>
        <v>0</v>
      </c>
      <c r="AO364" s="1248">
        <f t="shared" si="76"/>
        <v>0</v>
      </c>
      <c r="AP364" s="1249" t="e">
        <f>IF('Proposed Lighting'!#REF!=1,0,IF(K364=0,0,IF(T364&gt;K364,0,IF(G364=0,0,IF(K364&gt;'Proposed Lighting'!#REF!,0,IF(AND(AD364&gt;AA364,AA364&gt;0),0,IF(AND('Proposed Lighting'!#REF!=3,AM364=0.5),0,IF(AND(AM364&gt;0,AS364&gt;0,BI364&lt;2),0,IF('Proposed Lighting'!#REF!=100,0,IF(AV364=1,0,IF(AND(AM364=35,M364+N364&lt;2),0,AM364)))))))))))</f>
        <v>#REF!</v>
      </c>
      <c r="AQ364" s="1249" t="str">
        <f>IFERROR(ROUND(IF(Q364="","",IF('Proposed Lighting'!$X$4=0,0,IF(AND(AM364=35,M364+N364&lt;2),0,IF(T364&gt;K364,0,IF('Proposed Lighting'!#REF!=1,0,IF(AJ364=0,0,IF(AND('Proposed Lighting'!#REF!=3,AM364=0.5),0,IF(AND(AD364=75,AP364=0,AV364=0),0,IF(AP364&gt;0.01,AP364*T364,IF(AND(F364&gt;1,W364&lt;0.01),0,IF(AND(F364&gt;1,AO364=0),0,IF(AND('Proposed Lighting'!#REF!=22,AV364=0),0,IF(AND(AM364&gt;0,AS364&gt;0,BI364&lt;2),0,IF(AND(AS364&gt;0.01,BK364=0),0,IF(AND(AO364=TRUE,AV364=1,F364=3),MIN(AJ364*0.08,L364),IF(AP364&gt;0.01,AP364*T364,IF(AND(AO364=TRUE,AV364=1,F364=2),MIN(AJ364*0.1,L364)))))))))))))))))),2),"")</f>
        <v/>
      </c>
      <c r="AR364" s="1250">
        <f>IF(Q364=0,0,IF('Proposed Lighting'!$X$4=0,0,IF(AND(AM364&gt;0.01,AQ364&gt;0.01),0,IF('Proposed Lighting'!#REF!=1,"Missing Interior or Exterior Selection",IF('Proposed Lighting'!#REF!=1,"Selection does not match",IF(K364&gt;'Proposed Lighting'!#REF!,"Quantity controlled does not match proposed lighting quantity",IF(T364&gt;K364,"Quantity of sensors exceeds proposed lighting quantity",IF(AND(F364&gt;1,'Proposed Lighting'!#REF!&lt;&gt;F364),"Selection does not match",IF(AND(AD364&gt;AA364,AA364&gt;0),"Does not meet minimum connected load",IF(AND(O364&gt;0,AS364&gt;0,BK364&gt;0,'Proposed Lighting'!#REF!=0),"Select Control Strategies",IF(AND(AC364&gt;0.1,AJ364=0,AQ364=0),"Does not meet incentive criteria",0)))))))))))</f>
        <v>0</v>
      </c>
      <c r="AS364" s="1224" t="e">
        <f>IF('Proposed Lighting'!#REF!=100,0,IF(ISNUMBER(SEARCH("multiple",Q364)),1,0))</f>
        <v>#REF!</v>
      </c>
      <c r="AT364" s="451">
        <f t="shared" si="73"/>
        <v>0</v>
      </c>
      <c r="AU364" s="451" t="e">
        <f t="shared" si="74"/>
        <v>#REF!</v>
      </c>
      <c r="AV364" s="1222">
        <f>IF(ISNUMBER(SEARCH("Networked",'Proposed Lighting'!#REF!)),0,IF(ISNUMBER(SEARCH("Strategies",'Proposed Lighting'!#REF!)),0,IF(ISNUMBER(SEARCH("Removal",'Proposed Lighting'!#REF!)),0,IF(ISNUMBER(SEARCH("non-standard",Q364)),1,0))))</f>
        <v>0</v>
      </c>
      <c r="AW364" s="451">
        <f t="shared" si="77"/>
        <v>0</v>
      </c>
      <c r="AX364" s="451"/>
      <c r="AY364" s="451"/>
      <c r="AZ364" s="451"/>
      <c r="BA364" s="451"/>
      <c r="BB364" s="451"/>
      <c r="BC364" s="1215"/>
      <c r="BD364" s="1215"/>
      <c r="BE364" s="1215"/>
      <c r="BF364" s="1215"/>
      <c r="BG364" s="1215"/>
      <c r="BH364" s="1215"/>
      <c r="BI364" t="e">
        <f>IF(AND(AS364=1,BC364="No",BD364="Yes",BE364="Yes",BF364="No",BH364="No"),0,IF(AND('Proposed Lighting'!#REF!=2,AS364=1,BC364="Yes",BD364="Yes"),2,IF(AND('Proposed Lighting'!#REF!=2,AS364=1,BC364="Yes",BE364="Yes"),2,IF(AND('Proposed Lighting'!#REF!=2,AS364=1,BC364="Yes",BF364="Yes"),2,IF(AND('Proposed Lighting'!#REF!=2,AS364=1,BC364="Yes",BH364="Yes"),2,IF(AND('Proposed Lighting'!#REF!=2,AS364=1,BD364="Yes",BF364="Yes"),2,IF(AND('Proposed Lighting'!#REF!=2,AS364=1,BD364="Yes",BH364="Yes"),2,IF(AND('Proposed Lighting'!#REF!=3,AS364=1,BC364="Yes",BE364="Yes"),2,IF(AND('Proposed Lighting'!#REF!=3,AS364=1,BC364="Yes",BF364="Yes"),2,0)))))))))</f>
        <v>#REF!</v>
      </c>
      <c r="BJ364" s="1025" t="e">
        <f t="shared" si="75"/>
        <v>#REF!</v>
      </c>
      <c r="BK364" t="e">
        <f>IF(AND('Proposed Lighting'!#REF!=22,'Lighting Controls'!N364=1),0,IF(ISNUMBER(SEARCH("LED",G364)),1,0))</f>
        <v>#REF!</v>
      </c>
    </row>
    <row r="365" spans="1:63" ht="34.5" customHeight="1">
      <c r="A365" s="917">
        <v>357</v>
      </c>
      <c r="B365" s="1828" t="e">
        <f>IF('Proposed Lighting'!#REF!="","",'Proposed Lighting'!#REF!)</f>
        <v>#REF!</v>
      </c>
      <c r="C365" s="1828"/>
      <c r="D365" s="1828"/>
      <c r="E365" s="1245" t="e">
        <f>'Proposed Lighting'!#REF!</f>
        <v>#REF!</v>
      </c>
      <c r="F365" s="1245">
        <f t="shared" si="68"/>
        <v>0</v>
      </c>
      <c r="G365" s="1830" t="e">
        <f>IF('Proposed Lighting'!#REF!="","",IF(ISNUMBER(SEARCH("Networked",'Proposed Lighting'!#REF!)),0,IF(ISNUMBER(SEARCH("Strategies",'Proposed Lighting'!#REF!)),0,IF(ISNUMBER(SEARCH("Removal",'Proposed Lighting'!#REF!)),0,'Proposed Lighting'!#REF!))))</f>
        <v>#REF!</v>
      </c>
      <c r="H365" s="1830"/>
      <c r="I365" s="1830"/>
      <c r="J365" s="1830"/>
      <c r="K365" s="1215"/>
      <c r="L365" s="1246" t="e">
        <f t="shared" si="69"/>
        <v>#REF!</v>
      </c>
      <c r="M365" s="1224">
        <f t="shared" si="70"/>
        <v>0</v>
      </c>
      <c r="N365" s="1224">
        <f t="shared" si="71"/>
        <v>0</v>
      </c>
      <c r="O365" s="1825" t="e">
        <f>IF(G365=0,0,IF(ISNA('Proposed Lighting'!#REF!),0,'Proposed Lighting'!#REF!))</f>
        <v>#REF!</v>
      </c>
      <c r="P365" s="1825"/>
      <c r="Q365" s="1247"/>
      <c r="R365" s="1247"/>
      <c r="S365" s="1247"/>
      <c r="T365" s="1211"/>
      <c r="U365" s="1235">
        <f>IF(K365&gt;0.01,'Proposed Lighting'!#REF!,0)</f>
        <v>0</v>
      </c>
      <c r="V365" s="1248" t="e">
        <f>IF('Proposed Lighting'!#REF!=1,0,IF('Proposed Lighting'!#REF!=2,0,IF(AND('Proposed Lighting'!#REF!=3,'Proposed Lighting'!#REF!=0),1,0)))</f>
        <v>#REF!</v>
      </c>
      <c r="W365" s="1836"/>
      <c r="X365" s="1836"/>
      <c r="Y365" s="1836"/>
      <c r="Z365" s="1230" t="str">
        <f t="shared" si="65"/>
        <v/>
      </c>
      <c r="AA365" s="1230">
        <f t="shared" si="66"/>
        <v>0</v>
      </c>
      <c r="AB365" s="1230">
        <f>IF(Q365=0,0,IF(T365=0,0,IF(AA365=0,0,IF(AND(F365=3,V365=0),0,IF(T365=0,0,IF(K365&gt;'Proposed Lighting'!#REF!,0,IF('Proposed Lighting'!#REF!&gt;0.01,(K365*O365)*'Proposed Lighting'!#REF!/1000,(K365*O365)*U365/1000)))))))</f>
        <v>0</v>
      </c>
      <c r="AC365" s="1230" t="str">
        <f t="shared" si="72"/>
        <v/>
      </c>
      <c r="AD365" s="1230">
        <f t="shared" si="67"/>
        <v>0</v>
      </c>
      <c r="AE365" s="1230">
        <f>IF(T365=0,0,IF(K365&gt;'Proposed Lighting'!#REF!,0,IF(T365&gt;K365,0,IF(AND(AD365&gt;AA365,AA365&gt;0),0,IF(AND(F365&gt;1,W365&lt;0.01),0,IF('Proposed Lighting'!#REF!&gt;'Lighting Controls'!F365,0,IF('Proposed Lighting'!#REF!&lt;'Lighting Controls'!F365,0,IF(U365=0,0,Summary!#REF!))))))))</f>
        <v>0</v>
      </c>
      <c r="AF365" s="1230">
        <f>IF(T365=0,0,IF(AE365=0,0,IF(K365&gt;'Proposed Lighting'!#REF!,0,IF(AND(AD365&gt;AA365,AA365&gt;0),0,IF(U365=0,0,Summary!#REF!)))))</f>
        <v>0</v>
      </c>
      <c r="AG365" s="1834" t="e">
        <f>IF('Proposed Lighting'!#REF!=1,0,IF('Proposed Lighting'!#REF!=1,0,T365*W365))</f>
        <v>#REF!</v>
      </c>
      <c r="AH365" s="1834"/>
      <c r="AI365" s="1834"/>
      <c r="AJ365" s="1835">
        <f>IF(T365&lt;1,0,IF(K365&gt;'Proposed Lighting'!#REF!,0,IF('Proposed Lighting'!#REF!=1,0,IF('Proposed Lighting'!#REF!=1,0,IF(T365&gt;K365,0,IF(AND(AD365&gt;AA365,AA365&gt;0),0,IF(AND(F365=2,'Proposed Lighting'!#REF!=3),0,IF(AND(F365=3,'Proposed Lighting'!#REF!=2),0,IF('Proposed Lighting'!#REF!=100,0,IF(AND(F365&lt;3,V365=1,AM365=0),0,IF(AND(F365&gt;1,AF365&lt;1,AN365&lt;1),0,IF(AND(F365&gt;1,AE365&lt;0.69,AF365&lt;1,AN365&lt;1),0,IF(ISERROR(AB365-AC365),"",AB365-AC365)))))))))))))</f>
        <v>0</v>
      </c>
      <c r="AK365" s="1835"/>
      <c r="AL365" s="1835"/>
      <c r="AM365" s="1216">
        <f>IF(Q365=0,0,IF(T365=0,0,IF(T365&gt;K365,0,IF(AND(AS365&gt;0.01,BK365=0),0,IF(AND('Proposed Lighting'!#REF!=0,'Lighting Controls'!Z365=0.35),0,IF(AND(T365&lt;=K365,AA365&gt;=AD365,'Proposed Lighting'!#REF!=2),VLOOKUP(Q365,$AY$9:$AZ$15,2,FALSE),IF(AND(T365&lt;=K365,AA365&gt;=AD365,'Proposed Lighting'!#REF!=3),VLOOKUP(Q365,$AY$17:$AZ$23,2,FALSE))))))))</f>
        <v>0</v>
      </c>
      <c r="AN365" s="1248">
        <f>IF(T365=0,0,IF(K365&gt;'Proposed Lighting'!#REF!,0,IF(AE365=0,0,IF(AND(AD365&gt;AA365,AA365&gt;0),0,IF(U365=0,0,Summary!#REF!)))))</f>
        <v>0</v>
      </c>
      <c r="AO365" s="1248">
        <f t="shared" si="76"/>
        <v>0</v>
      </c>
      <c r="AP365" s="1249" t="e">
        <f>IF('Proposed Lighting'!#REF!=1,0,IF(K365=0,0,IF(T365&gt;K365,0,IF(G365=0,0,IF(K365&gt;'Proposed Lighting'!#REF!,0,IF(AND(AD365&gt;AA365,AA365&gt;0),0,IF(AND('Proposed Lighting'!#REF!=3,AM365=0.5),0,IF(AND(AM365&gt;0,AS365&gt;0,BI365&lt;2),0,IF('Proposed Lighting'!#REF!=100,0,IF(AV365=1,0,IF(AND(AM365=35,M365+N365&lt;2),0,AM365)))))))))))</f>
        <v>#REF!</v>
      </c>
      <c r="AQ365" s="1249" t="str">
        <f>IFERROR(ROUND(IF(Q365="","",IF('Proposed Lighting'!$X$4=0,0,IF(AND(AM365=35,M365+N365&lt;2),0,IF(T365&gt;K365,0,IF('Proposed Lighting'!#REF!=1,0,IF(AJ365=0,0,IF(AND('Proposed Lighting'!#REF!=3,AM365=0.5),0,IF(AND(AD365=75,AP365=0,AV365=0),0,IF(AP365&gt;0.01,AP365*T365,IF(AND(F365&gt;1,W365&lt;0.01),0,IF(AND(F365&gt;1,AO365=0),0,IF(AND('Proposed Lighting'!#REF!=22,AV365=0),0,IF(AND(AM365&gt;0,AS365&gt;0,BI365&lt;2),0,IF(AND(AS365&gt;0.01,BK365=0),0,IF(AND(AO365=TRUE,AV365=1,F365=3),MIN(AJ365*0.08,L365),IF(AP365&gt;0.01,AP365*T365,IF(AND(AO365=TRUE,AV365=1,F365=2),MIN(AJ365*0.1,L365)))))))))))))))))),2),"")</f>
        <v/>
      </c>
      <c r="AR365" s="1250">
        <f>IF(Q365=0,0,IF('Proposed Lighting'!$X$4=0,0,IF(AND(AM365&gt;0.01,AQ365&gt;0.01),0,IF('Proposed Lighting'!#REF!=1,"Missing Interior or Exterior Selection",IF('Proposed Lighting'!#REF!=1,"Selection does not match",IF(K365&gt;'Proposed Lighting'!#REF!,"Quantity controlled does not match proposed lighting quantity",IF(T365&gt;K365,"Quantity of sensors exceeds proposed lighting quantity",IF(AND(F365&gt;1,'Proposed Lighting'!#REF!&lt;&gt;F365),"Selection does not match",IF(AND(AD365&gt;AA365,AA365&gt;0),"Does not meet minimum connected load",IF(AND(O365&gt;0,AS365&gt;0,BK365&gt;0,'Proposed Lighting'!#REF!=0),"Select Control Strategies",IF(AND(AC365&gt;0.1,AJ365=0,AQ365=0),"Does not meet incentive criteria",0)))))))))))</f>
        <v>0</v>
      </c>
      <c r="AS365" s="1224" t="e">
        <f>IF('Proposed Lighting'!#REF!=100,0,IF(ISNUMBER(SEARCH("multiple",Q365)),1,0))</f>
        <v>#REF!</v>
      </c>
      <c r="AT365" s="451">
        <f t="shared" si="73"/>
        <v>0</v>
      </c>
      <c r="AU365" s="451" t="e">
        <f t="shared" si="74"/>
        <v>#REF!</v>
      </c>
      <c r="AV365" s="1222">
        <f>IF(ISNUMBER(SEARCH("Networked",'Proposed Lighting'!#REF!)),0,IF(ISNUMBER(SEARCH("Strategies",'Proposed Lighting'!#REF!)),0,IF(ISNUMBER(SEARCH("Removal",'Proposed Lighting'!#REF!)),0,IF(ISNUMBER(SEARCH("non-standard",Q365)),1,0))))</f>
        <v>0</v>
      </c>
      <c r="AW365" s="451">
        <f t="shared" si="77"/>
        <v>0</v>
      </c>
      <c r="AX365" s="451"/>
      <c r="AY365" s="451"/>
      <c r="AZ365" s="451"/>
      <c r="BA365" s="451"/>
      <c r="BB365" s="451"/>
      <c r="BC365" s="1215"/>
      <c r="BD365" s="1215"/>
      <c r="BE365" s="1215"/>
      <c r="BF365" s="1215"/>
      <c r="BG365" s="1215"/>
      <c r="BH365" s="1215"/>
      <c r="BI365" t="e">
        <f>IF(AND(AS365=1,BC365="No",BD365="Yes",BE365="Yes",BF365="No",BH365="No"),0,IF(AND('Proposed Lighting'!#REF!=2,AS365=1,BC365="Yes",BD365="Yes"),2,IF(AND('Proposed Lighting'!#REF!=2,AS365=1,BC365="Yes",BE365="Yes"),2,IF(AND('Proposed Lighting'!#REF!=2,AS365=1,BC365="Yes",BF365="Yes"),2,IF(AND('Proposed Lighting'!#REF!=2,AS365=1,BC365="Yes",BH365="Yes"),2,IF(AND('Proposed Lighting'!#REF!=2,AS365=1,BD365="Yes",BF365="Yes"),2,IF(AND('Proposed Lighting'!#REF!=2,AS365=1,BD365="Yes",BH365="Yes"),2,IF(AND('Proposed Lighting'!#REF!=3,AS365=1,BC365="Yes",BE365="Yes"),2,IF(AND('Proposed Lighting'!#REF!=3,AS365=1,BC365="Yes",BF365="Yes"),2,0)))))))))</f>
        <v>#REF!</v>
      </c>
      <c r="BJ365" s="1025" t="e">
        <f t="shared" si="75"/>
        <v>#REF!</v>
      </c>
      <c r="BK365" t="e">
        <f>IF(AND('Proposed Lighting'!#REF!=22,'Lighting Controls'!N365=1),0,IF(ISNUMBER(SEARCH("LED",G365)),1,0))</f>
        <v>#REF!</v>
      </c>
    </row>
    <row r="366" spans="1:63" ht="34.5" customHeight="1">
      <c r="A366" s="917">
        <v>358</v>
      </c>
      <c r="B366" s="1828" t="e">
        <f>IF('Proposed Lighting'!#REF!="","",'Proposed Lighting'!#REF!)</f>
        <v>#REF!</v>
      </c>
      <c r="C366" s="1828"/>
      <c r="D366" s="1828"/>
      <c r="E366" s="1245" t="e">
        <f>'Proposed Lighting'!#REF!</f>
        <v>#REF!</v>
      </c>
      <c r="F366" s="1245">
        <f t="shared" si="68"/>
        <v>0</v>
      </c>
      <c r="G366" s="1830" t="e">
        <f>IF('Proposed Lighting'!#REF!="","",IF(ISNUMBER(SEARCH("Networked",'Proposed Lighting'!#REF!)),0,IF(ISNUMBER(SEARCH("Strategies",'Proposed Lighting'!#REF!)),0,IF(ISNUMBER(SEARCH("Removal",'Proposed Lighting'!#REF!)),0,'Proposed Lighting'!#REF!))))</f>
        <v>#REF!</v>
      </c>
      <c r="H366" s="1830"/>
      <c r="I366" s="1830"/>
      <c r="J366" s="1830"/>
      <c r="K366" s="1215"/>
      <c r="L366" s="1246" t="e">
        <f t="shared" si="69"/>
        <v>#REF!</v>
      </c>
      <c r="M366" s="1224">
        <f t="shared" si="70"/>
        <v>0</v>
      </c>
      <c r="N366" s="1224">
        <f t="shared" si="71"/>
        <v>0</v>
      </c>
      <c r="O366" s="1825" t="e">
        <f>IF(G366=0,0,IF(ISNA('Proposed Lighting'!#REF!),0,'Proposed Lighting'!#REF!))</f>
        <v>#REF!</v>
      </c>
      <c r="P366" s="1825"/>
      <c r="Q366" s="1247"/>
      <c r="R366" s="1247"/>
      <c r="S366" s="1247"/>
      <c r="T366" s="1211"/>
      <c r="U366" s="1235">
        <f>IF(K366&gt;0.01,'Proposed Lighting'!#REF!,0)</f>
        <v>0</v>
      </c>
      <c r="V366" s="1248" t="e">
        <f>IF('Proposed Lighting'!#REF!=1,0,IF('Proposed Lighting'!#REF!=2,0,IF(AND('Proposed Lighting'!#REF!=3,'Proposed Lighting'!#REF!=0),1,0)))</f>
        <v>#REF!</v>
      </c>
      <c r="W366" s="1836"/>
      <c r="X366" s="1836"/>
      <c r="Y366" s="1836"/>
      <c r="Z366" s="1230" t="str">
        <f t="shared" si="65"/>
        <v/>
      </c>
      <c r="AA366" s="1230">
        <f t="shared" si="66"/>
        <v>0</v>
      </c>
      <c r="AB366" s="1230">
        <f>IF(Q366=0,0,IF(T366=0,0,IF(AA366=0,0,IF(AND(F366=3,V366=0),0,IF(T366=0,0,IF(K366&gt;'Proposed Lighting'!#REF!,0,IF('Proposed Lighting'!#REF!&gt;0.01,(K366*O366)*'Proposed Lighting'!#REF!/1000,(K366*O366)*U366/1000)))))))</f>
        <v>0</v>
      </c>
      <c r="AC366" s="1230" t="str">
        <f t="shared" si="72"/>
        <v/>
      </c>
      <c r="AD366" s="1230">
        <f t="shared" si="67"/>
        <v>0</v>
      </c>
      <c r="AE366" s="1230">
        <f>IF(T366=0,0,IF(K366&gt;'Proposed Lighting'!#REF!,0,IF(T366&gt;K366,0,IF(AND(AD366&gt;AA366,AA366&gt;0),0,IF(AND(F366&gt;1,W366&lt;0.01),0,IF('Proposed Lighting'!#REF!&gt;'Lighting Controls'!F366,0,IF('Proposed Lighting'!#REF!&lt;'Lighting Controls'!F366,0,IF(U366=0,0,Summary!#REF!))))))))</f>
        <v>0</v>
      </c>
      <c r="AF366" s="1230">
        <f>IF(T366=0,0,IF(AE366=0,0,IF(K366&gt;'Proposed Lighting'!#REF!,0,IF(AND(AD366&gt;AA366,AA366&gt;0),0,IF(U366=0,0,Summary!#REF!)))))</f>
        <v>0</v>
      </c>
      <c r="AG366" s="1834" t="e">
        <f>IF('Proposed Lighting'!#REF!=1,0,IF('Proposed Lighting'!#REF!=1,0,T366*W366))</f>
        <v>#REF!</v>
      </c>
      <c r="AH366" s="1834"/>
      <c r="AI366" s="1834"/>
      <c r="AJ366" s="1835">
        <f>IF(T366&lt;1,0,IF(K366&gt;'Proposed Lighting'!#REF!,0,IF('Proposed Lighting'!#REF!=1,0,IF('Proposed Lighting'!#REF!=1,0,IF(T366&gt;K366,0,IF(AND(AD366&gt;AA366,AA366&gt;0),0,IF(AND(F366=2,'Proposed Lighting'!#REF!=3),0,IF(AND(F366=3,'Proposed Lighting'!#REF!=2),0,IF('Proposed Lighting'!#REF!=100,0,IF(AND(F366&lt;3,V366=1,AM366=0),0,IF(AND(F366&gt;1,AF366&lt;1,AN366&lt;1),0,IF(AND(F366&gt;1,AE366&lt;0.69,AF366&lt;1,AN366&lt;1),0,IF(ISERROR(AB366-AC366),"",AB366-AC366)))))))))))))</f>
        <v>0</v>
      </c>
      <c r="AK366" s="1835"/>
      <c r="AL366" s="1835"/>
      <c r="AM366" s="1216">
        <f>IF(Q366=0,0,IF(T366=0,0,IF(T366&gt;K366,0,IF(AND(AS366&gt;0.01,BK366=0),0,IF(AND('Proposed Lighting'!#REF!=0,'Lighting Controls'!Z366=0.35),0,IF(AND(T366&lt;=K366,AA366&gt;=AD366,'Proposed Lighting'!#REF!=2),VLOOKUP(Q366,$AY$9:$AZ$15,2,FALSE),IF(AND(T366&lt;=K366,AA366&gt;=AD366,'Proposed Lighting'!#REF!=3),VLOOKUP(Q366,$AY$17:$AZ$23,2,FALSE))))))))</f>
        <v>0</v>
      </c>
      <c r="AN366" s="1248">
        <f>IF(T366=0,0,IF(K366&gt;'Proposed Lighting'!#REF!,0,IF(AE366=0,0,IF(AND(AD366&gt;AA366,AA366&gt;0),0,IF(U366=0,0,Summary!#REF!)))))</f>
        <v>0</v>
      </c>
      <c r="AO366" s="1248">
        <f t="shared" si="76"/>
        <v>0</v>
      </c>
      <c r="AP366" s="1249" t="e">
        <f>IF('Proposed Lighting'!#REF!=1,0,IF(K366=0,0,IF(T366&gt;K366,0,IF(G366=0,0,IF(K366&gt;'Proposed Lighting'!#REF!,0,IF(AND(AD366&gt;AA366,AA366&gt;0),0,IF(AND('Proposed Lighting'!#REF!=3,AM366=0.5),0,IF(AND(AM366&gt;0,AS366&gt;0,BI366&lt;2),0,IF('Proposed Lighting'!#REF!=100,0,IF(AV366=1,0,IF(AND(AM366=35,M366+N366&lt;2),0,AM366)))))))))))</f>
        <v>#REF!</v>
      </c>
      <c r="AQ366" s="1249" t="str">
        <f>IFERROR(ROUND(IF(Q366="","",IF('Proposed Lighting'!$X$4=0,0,IF(AND(AM366=35,M366+N366&lt;2),0,IF(T366&gt;K366,0,IF('Proposed Lighting'!#REF!=1,0,IF(AJ366=0,0,IF(AND('Proposed Lighting'!#REF!=3,AM366=0.5),0,IF(AND(AD366=75,AP366=0,AV366=0),0,IF(AP366&gt;0.01,AP366*T366,IF(AND(F366&gt;1,W366&lt;0.01),0,IF(AND(F366&gt;1,AO366=0),0,IF(AND('Proposed Lighting'!#REF!=22,AV366=0),0,IF(AND(AM366&gt;0,AS366&gt;0,BI366&lt;2),0,IF(AND(AS366&gt;0.01,BK366=0),0,IF(AND(AO366=TRUE,AV366=1,F366=3),MIN(AJ366*0.08,L366),IF(AP366&gt;0.01,AP366*T366,IF(AND(AO366=TRUE,AV366=1,F366=2),MIN(AJ366*0.1,L366)))))))))))))))))),2),"")</f>
        <v/>
      </c>
      <c r="AR366" s="1250">
        <f>IF(Q366=0,0,IF('Proposed Lighting'!$X$4=0,0,IF(AND(AM366&gt;0.01,AQ366&gt;0.01),0,IF('Proposed Lighting'!#REF!=1,"Missing Interior or Exterior Selection",IF('Proposed Lighting'!#REF!=1,"Selection does not match",IF(K366&gt;'Proposed Lighting'!#REF!,"Quantity controlled does not match proposed lighting quantity",IF(T366&gt;K366,"Quantity of sensors exceeds proposed lighting quantity",IF(AND(F366&gt;1,'Proposed Lighting'!#REF!&lt;&gt;F366),"Selection does not match",IF(AND(AD366&gt;AA366,AA366&gt;0),"Does not meet minimum connected load",IF(AND(O366&gt;0,AS366&gt;0,BK366&gt;0,'Proposed Lighting'!#REF!=0),"Select Control Strategies",IF(AND(AC366&gt;0.1,AJ366=0,AQ366=0),"Does not meet incentive criteria",0)))))))))))</f>
        <v>0</v>
      </c>
      <c r="AS366" s="1224" t="e">
        <f>IF('Proposed Lighting'!#REF!=100,0,IF(ISNUMBER(SEARCH("multiple",Q366)),1,0))</f>
        <v>#REF!</v>
      </c>
      <c r="AT366" s="451">
        <f t="shared" si="73"/>
        <v>0</v>
      </c>
      <c r="AU366" s="451" t="e">
        <f t="shared" si="74"/>
        <v>#REF!</v>
      </c>
      <c r="AV366" s="1222">
        <f>IF(ISNUMBER(SEARCH("Networked",'Proposed Lighting'!#REF!)),0,IF(ISNUMBER(SEARCH("Strategies",'Proposed Lighting'!#REF!)),0,IF(ISNUMBER(SEARCH("Removal",'Proposed Lighting'!#REF!)),0,IF(ISNUMBER(SEARCH("non-standard",Q366)),1,0))))</f>
        <v>0</v>
      </c>
      <c r="AW366" s="451">
        <f t="shared" si="77"/>
        <v>0</v>
      </c>
      <c r="AX366" s="451"/>
      <c r="AY366" s="451"/>
      <c r="AZ366" s="451"/>
      <c r="BA366" s="451"/>
      <c r="BB366" s="451"/>
      <c r="BC366" s="1215"/>
      <c r="BD366" s="1215"/>
      <c r="BE366" s="1215"/>
      <c r="BF366" s="1215"/>
      <c r="BG366" s="1215"/>
      <c r="BH366" s="1215"/>
      <c r="BI366" t="e">
        <f>IF(AND(AS366=1,BC366="No",BD366="Yes",BE366="Yes",BF366="No",BH366="No"),0,IF(AND('Proposed Lighting'!#REF!=2,AS366=1,BC366="Yes",BD366="Yes"),2,IF(AND('Proposed Lighting'!#REF!=2,AS366=1,BC366="Yes",BE366="Yes"),2,IF(AND('Proposed Lighting'!#REF!=2,AS366=1,BC366="Yes",BF366="Yes"),2,IF(AND('Proposed Lighting'!#REF!=2,AS366=1,BC366="Yes",BH366="Yes"),2,IF(AND('Proposed Lighting'!#REF!=2,AS366=1,BD366="Yes",BF366="Yes"),2,IF(AND('Proposed Lighting'!#REF!=2,AS366=1,BD366="Yes",BH366="Yes"),2,IF(AND('Proposed Lighting'!#REF!=3,AS366=1,BC366="Yes",BE366="Yes"),2,IF(AND('Proposed Lighting'!#REF!=3,AS366=1,BC366="Yes",BF366="Yes"),2,0)))))))))</f>
        <v>#REF!</v>
      </c>
      <c r="BJ366" s="1025" t="e">
        <f t="shared" si="75"/>
        <v>#REF!</v>
      </c>
      <c r="BK366" t="e">
        <f>IF(AND('Proposed Lighting'!#REF!=22,'Lighting Controls'!N366=1),0,IF(ISNUMBER(SEARCH("LED",G366)),1,0))</f>
        <v>#REF!</v>
      </c>
    </row>
    <row r="367" spans="1:63" ht="34.5" customHeight="1">
      <c r="A367" s="917">
        <v>359</v>
      </c>
      <c r="B367" s="1828" t="e">
        <f>IF('Proposed Lighting'!#REF!="","",'Proposed Lighting'!#REF!)</f>
        <v>#REF!</v>
      </c>
      <c r="C367" s="1828"/>
      <c r="D367" s="1828"/>
      <c r="E367" s="1245" t="e">
        <f>'Proposed Lighting'!#REF!</f>
        <v>#REF!</v>
      </c>
      <c r="F367" s="1245">
        <f t="shared" si="68"/>
        <v>0</v>
      </c>
      <c r="G367" s="1830" t="e">
        <f>IF('Proposed Lighting'!#REF!="","",IF(ISNUMBER(SEARCH("Networked",'Proposed Lighting'!#REF!)),0,IF(ISNUMBER(SEARCH("Strategies",'Proposed Lighting'!#REF!)),0,IF(ISNUMBER(SEARCH("Removal",'Proposed Lighting'!#REF!)),0,'Proposed Lighting'!#REF!))))</f>
        <v>#REF!</v>
      </c>
      <c r="H367" s="1830"/>
      <c r="I367" s="1830"/>
      <c r="J367" s="1830"/>
      <c r="K367" s="1215"/>
      <c r="L367" s="1246" t="e">
        <f t="shared" si="69"/>
        <v>#REF!</v>
      </c>
      <c r="M367" s="1224">
        <f t="shared" si="70"/>
        <v>0</v>
      </c>
      <c r="N367" s="1224">
        <f t="shared" si="71"/>
        <v>0</v>
      </c>
      <c r="O367" s="1825" t="e">
        <f>IF(G367=0,0,IF(ISNA('Proposed Lighting'!#REF!),0,'Proposed Lighting'!#REF!))</f>
        <v>#REF!</v>
      </c>
      <c r="P367" s="1825"/>
      <c r="Q367" s="1247"/>
      <c r="R367" s="1247"/>
      <c r="S367" s="1247"/>
      <c r="T367" s="1211"/>
      <c r="U367" s="1235">
        <f>IF(K367&gt;0.01,'Proposed Lighting'!#REF!,0)</f>
        <v>0</v>
      </c>
      <c r="V367" s="1248" t="e">
        <f>IF('Proposed Lighting'!#REF!=1,0,IF('Proposed Lighting'!#REF!=2,0,IF(AND('Proposed Lighting'!#REF!=3,'Proposed Lighting'!#REF!=0),1,0)))</f>
        <v>#REF!</v>
      </c>
      <c r="W367" s="1836"/>
      <c r="X367" s="1836"/>
      <c r="Y367" s="1836"/>
      <c r="Z367" s="1230" t="str">
        <f t="shared" si="65"/>
        <v/>
      </c>
      <c r="AA367" s="1230">
        <f t="shared" si="66"/>
        <v>0</v>
      </c>
      <c r="AB367" s="1230">
        <f>IF(Q367=0,0,IF(T367=0,0,IF(AA367=0,0,IF(AND(F367=3,V367=0),0,IF(T367=0,0,IF(K367&gt;'Proposed Lighting'!#REF!,0,IF('Proposed Lighting'!#REF!&gt;0.01,(K367*O367)*'Proposed Lighting'!#REF!/1000,(K367*O367)*U367/1000)))))))</f>
        <v>0</v>
      </c>
      <c r="AC367" s="1230" t="str">
        <f t="shared" si="72"/>
        <v/>
      </c>
      <c r="AD367" s="1230">
        <f t="shared" si="67"/>
        <v>0</v>
      </c>
      <c r="AE367" s="1230">
        <f>IF(T367=0,0,IF(K367&gt;'Proposed Lighting'!#REF!,0,IF(T367&gt;K367,0,IF(AND(AD367&gt;AA367,AA367&gt;0),0,IF(AND(F367&gt;1,W367&lt;0.01),0,IF('Proposed Lighting'!#REF!&gt;'Lighting Controls'!F367,0,IF('Proposed Lighting'!#REF!&lt;'Lighting Controls'!F367,0,IF(U367=0,0,Summary!#REF!))))))))</f>
        <v>0</v>
      </c>
      <c r="AF367" s="1230">
        <f>IF(T367=0,0,IF(AE367=0,0,IF(K367&gt;'Proposed Lighting'!#REF!,0,IF(AND(AD367&gt;AA367,AA367&gt;0),0,IF(U367=0,0,Summary!#REF!)))))</f>
        <v>0</v>
      </c>
      <c r="AG367" s="1834" t="e">
        <f>IF('Proposed Lighting'!#REF!=1,0,IF('Proposed Lighting'!#REF!=1,0,T367*W367))</f>
        <v>#REF!</v>
      </c>
      <c r="AH367" s="1834"/>
      <c r="AI367" s="1834"/>
      <c r="AJ367" s="1835">
        <f>IF(T367&lt;1,0,IF(K367&gt;'Proposed Lighting'!#REF!,0,IF('Proposed Lighting'!#REF!=1,0,IF('Proposed Lighting'!#REF!=1,0,IF(T367&gt;K367,0,IF(AND(AD367&gt;AA367,AA367&gt;0),0,IF(AND(F367=2,'Proposed Lighting'!#REF!=3),0,IF(AND(F367=3,'Proposed Lighting'!#REF!=2),0,IF('Proposed Lighting'!#REF!=100,0,IF(AND(F367&lt;3,V367=1,AM367=0),0,IF(AND(F367&gt;1,AF367&lt;1,AN367&lt;1),0,IF(AND(F367&gt;1,AE367&lt;0.69,AF367&lt;1,AN367&lt;1),0,IF(ISERROR(AB367-AC367),"",AB367-AC367)))))))))))))</f>
        <v>0</v>
      </c>
      <c r="AK367" s="1835"/>
      <c r="AL367" s="1835"/>
      <c r="AM367" s="1216">
        <f>IF(Q367=0,0,IF(T367=0,0,IF(T367&gt;K367,0,IF(AND(AS367&gt;0.01,BK367=0),0,IF(AND('Proposed Lighting'!#REF!=0,'Lighting Controls'!Z367=0.35),0,IF(AND(T367&lt;=K367,AA367&gt;=AD367,'Proposed Lighting'!#REF!=2),VLOOKUP(Q367,$AY$9:$AZ$15,2,FALSE),IF(AND(T367&lt;=K367,AA367&gt;=AD367,'Proposed Lighting'!#REF!=3),VLOOKUP(Q367,$AY$17:$AZ$23,2,FALSE))))))))</f>
        <v>0</v>
      </c>
      <c r="AN367" s="1248">
        <f>IF(T367=0,0,IF(K367&gt;'Proposed Lighting'!#REF!,0,IF(AE367=0,0,IF(AND(AD367&gt;AA367,AA367&gt;0),0,IF(U367=0,0,Summary!#REF!)))))</f>
        <v>0</v>
      </c>
      <c r="AO367" s="1248">
        <f t="shared" si="76"/>
        <v>0</v>
      </c>
      <c r="AP367" s="1249" t="e">
        <f>IF('Proposed Lighting'!#REF!=1,0,IF(K367=0,0,IF(T367&gt;K367,0,IF(G367=0,0,IF(K367&gt;'Proposed Lighting'!#REF!,0,IF(AND(AD367&gt;AA367,AA367&gt;0),0,IF(AND('Proposed Lighting'!#REF!=3,AM367=0.5),0,IF(AND(AM367&gt;0,AS367&gt;0,BI367&lt;2),0,IF('Proposed Lighting'!#REF!=100,0,IF(AV367=1,0,IF(AND(AM367=35,M367+N367&lt;2),0,AM367)))))))))))</f>
        <v>#REF!</v>
      </c>
      <c r="AQ367" s="1249" t="str">
        <f>IFERROR(ROUND(IF(Q367="","",IF('Proposed Lighting'!$X$4=0,0,IF(AND(AM367=35,M367+N367&lt;2),0,IF(T367&gt;K367,0,IF('Proposed Lighting'!#REF!=1,0,IF(AJ367=0,0,IF(AND('Proposed Lighting'!#REF!=3,AM367=0.5),0,IF(AND(AD367=75,AP367=0,AV367=0),0,IF(AP367&gt;0.01,AP367*T367,IF(AND(F367&gt;1,W367&lt;0.01),0,IF(AND(F367&gt;1,AO367=0),0,IF(AND('Proposed Lighting'!#REF!=22,AV367=0),0,IF(AND(AM367&gt;0,AS367&gt;0,BI367&lt;2),0,IF(AND(AS367&gt;0.01,BK367=0),0,IF(AND(AO367=TRUE,AV367=1,F367=3),MIN(AJ367*0.08,L367),IF(AP367&gt;0.01,AP367*T367,IF(AND(AO367=TRUE,AV367=1,F367=2),MIN(AJ367*0.1,L367)))))))))))))))))),2),"")</f>
        <v/>
      </c>
      <c r="AR367" s="1250">
        <f>IF(Q367=0,0,IF('Proposed Lighting'!$X$4=0,0,IF(AND(AM367&gt;0.01,AQ367&gt;0.01),0,IF('Proposed Lighting'!#REF!=1,"Missing Interior or Exterior Selection",IF('Proposed Lighting'!#REF!=1,"Selection does not match",IF(K367&gt;'Proposed Lighting'!#REF!,"Quantity controlled does not match proposed lighting quantity",IF(T367&gt;K367,"Quantity of sensors exceeds proposed lighting quantity",IF(AND(F367&gt;1,'Proposed Lighting'!#REF!&lt;&gt;F367),"Selection does not match",IF(AND(AD367&gt;AA367,AA367&gt;0),"Does not meet minimum connected load",IF(AND(O367&gt;0,AS367&gt;0,BK367&gt;0,'Proposed Lighting'!#REF!=0),"Select Control Strategies",IF(AND(AC367&gt;0.1,AJ367=0,AQ367=0),"Does not meet incentive criteria",0)))))))))))</f>
        <v>0</v>
      </c>
      <c r="AS367" s="1224" t="e">
        <f>IF('Proposed Lighting'!#REF!=100,0,IF(ISNUMBER(SEARCH("multiple",Q367)),1,0))</f>
        <v>#REF!</v>
      </c>
      <c r="AT367" s="451">
        <f t="shared" si="73"/>
        <v>0</v>
      </c>
      <c r="AU367" s="451" t="e">
        <f t="shared" si="74"/>
        <v>#REF!</v>
      </c>
      <c r="AV367" s="1222">
        <f>IF(ISNUMBER(SEARCH("Networked",'Proposed Lighting'!#REF!)),0,IF(ISNUMBER(SEARCH("Strategies",'Proposed Lighting'!#REF!)),0,IF(ISNUMBER(SEARCH("Removal",'Proposed Lighting'!#REF!)),0,IF(ISNUMBER(SEARCH("non-standard",Q367)),1,0))))</f>
        <v>0</v>
      </c>
      <c r="AW367" s="451">
        <f t="shared" si="77"/>
        <v>0</v>
      </c>
      <c r="AX367" s="451"/>
      <c r="AY367" s="451"/>
      <c r="AZ367" s="451"/>
      <c r="BA367" s="451"/>
      <c r="BB367" s="451"/>
      <c r="BC367" s="1215"/>
      <c r="BD367" s="1215"/>
      <c r="BE367" s="1215"/>
      <c r="BF367" s="1215"/>
      <c r="BG367" s="1215"/>
      <c r="BH367" s="1215"/>
      <c r="BI367" t="e">
        <f>IF(AND(AS367=1,BC367="No",BD367="Yes",BE367="Yes",BF367="No",BH367="No"),0,IF(AND('Proposed Lighting'!#REF!=2,AS367=1,BC367="Yes",BD367="Yes"),2,IF(AND('Proposed Lighting'!#REF!=2,AS367=1,BC367="Yes",BE367="Yes"),2,IF(AND('Proposed Lighting'!#REF!=2,AS367=1,BC367="Yes",BF367="Yes"),2,IF(AND('Proposed Lighting'!#REF!=2,AS367=1,BC367="Yes",BH367="Yes"),2,IF(AND('Proposed Lighting'!#REF!=2,AS367=1,BD367="Yes",BF367="Yes"),2,IF(AND('Proposed Lighting'!#REF!=2,AS367=1,BD367="Yes",BH367="Yes"),2,IF(AND('Proposed Lighting'!#REF!=3,AS367=1,BC367="Yes",BE367="Yes"),2,IF(AND('Proposed Lighting'!#REF!=3,AS367=1,BC367="Yes",BF367="Yes"),2,0)))))))))</f>
        <v>#REF!</v>
      </c>
      <c r="BJ367" s="1025" t="e">
        <f t="shared" si="75"/>
        <v>#REF!</v>
      </c>
      <c r="BK367" t="e">
        <f>IF(AND('Proposed Lighting'!#REF!=22,'Lighting Controls'!N367=1),0,IF(ISNUMBER(SEARCH("LED",G367)),1,0))</f>
        <v>#REF!</v>
      </c>
    </row>
    <row r="368" spans="1:63" ht="34.5" customHeight="1">
      <c r="A368" s="917">
        <v>360</v>
      </c>
      <c r="B368" s="1828" t="e">
        <f>IF('Proposed Lighting'!#REF!="","",'Proposed Lighting'!#REF!)</f>
        <v>#REF!</v>
      </c>
      <c r="C368" s="1828"/>
      <c r="D368" s="1828"/>
      <c r="E368" s="1245" t="e">
        <f>'Proposed Lighting'!#REF!</f>
        <v>#REF!</v>
      </c>
      <c r="F368" s="1245">
        <f t="shared" si="68"/>
        <v>0</v>
      </c>
      <c r="G368" s="1830" t="e">
        <f>IF('Proposed Lighting'!#REF!="","",IF(ISNUMBER(SEARCH("Networked",'Proposed Lighting'!#REF!)),0,IF(ISNUMBER(SEARCH("Strategies",'Proposed Lighting'!#REF!)),0,IF(ISNUMBER(SEARCH("Removal",'Proposed Lighting'!#REF!)),0,'Proposed Lighting'!#REF!))))</f>
        <v>#REF!</v>
      </c>
      <c r="H368" s="1830"/>
      <c r="I368" s="1830"/>
      <c r="J368" s="1830"/>
      <c r="K368" s="1215"/>
      <c r="L368" s="1246" t="e">
        <f t="shared" si="69"/>
        <v>#REF!</v>
      </c>
      <c r="M368" s="1224">
        <f t="shared" si="70"/>
        <v>0</v>
      </c>
      <c r="N368" s="1224">
        <f t="shared" si="71"/>
        <v>0</v>
      </c>
      <c r="O368" s="1825" t="e">
        <f>IF(G368=0,0,IF(ISNA('Proposed Lighting'!#REF!),0,'Proposed Lighting'!#REF!))</f>
        <v>#REF!</v>
      </c>
      <c r="P368" s="1825"/>
      <c r="Q368" s="1247"/>
      <c r="R368" s="1247"/>
      <c r="S368" s="1247"/>
      <c r="T368" s="1211"/>
      <c r="U368" s="1235">
        <f>IF(K368&gt;0.01,'Proposed Lighting'!#REF!,0)</f>
        <v>0</v>
      </c>
      <c r="V368" s="1248" t="e">
        <f>IF('Proposed Lighting'!#REF!=1,0,IF('Proposed Lighting'!#REF!=2,0,IF(AND('Proposed Lighting'!#REF!=3,'Proposed Lighting'!#REF!=0),1,0)))</f>
        <v>#REF!</v>
      </c>
      <c r="W368" s="1836"/>
      <c r="X368" s="1836"/>
      <c r="Y368" s="1836"/>
      <c r="Z368" s="1230" t="str">
        <f t="shared" si="65"/>
        <v/>
      </c>
      <c r="AA368" s="1230">
        <f t="shared" si="66"/>
        <v>0</v>
      </c>
      <c r="AB368" s="1230">
        <f>IF(Q368=0,0,IF(T368=0,0,IF(AA368=0,0,IF(AND(F368=3,V368=0),0,IF(T368=0,0,IF(K368&gt;'Proposed Lighting'!#REF!,0,IF('Proposed Lighting'!#REF!&gt;0.01,(K368*O368)*'Proposed Lighting'!#REF!/1000,(K368*O368)*U368/1000)))))))</f>
        <v>0</v>
      </c>
      <c r="AC368" s="1230" t="str">
        <f t="shared" si="72"/>
        <v/>
      </c>
      <c r="AD368" s="1230">
        <f t="shared" si="67"/>
        <v>0</v>
      </c>
      <c r="AE368" s="1230">
        <f>IF(T368=0,0,IF(K368&gt;'Proposed Lighting'!#REF!,0,IF(T368&gt;K368,0,IF(AND(AD368&gt;AA368,AA368&gt;0),0,IF(AND(F368&gt;1,W368&lt;0.01),0,IF('Proposed Lighting'!#REF!&gt;'Lighting Controls'!F368,0,IF('Proposed Lighting'!#REF!&lt;'Lighting Controls'!F368,0,IF(U368=0,0,Summary!#REF!))))))))</f>
        <v>0</v>
      </c>
      <c r="AF368" s="1230">
        <f>IF(T368=0,0,IF(AE368=0,0,IF(K368&gt;'Proposed Lighting'!#REF!,0,IF(AND(AD368&gt;AA368,AA368&gt;0),0,IF(U368=0,0,Summary!#REF!)))))</f>
        <v>0</v>
      </c>
      <c r="AG368" s="1834" t="e">
        <f>IF('Proposed Lighting'!#REF!=1,0,IF('Proposed Lighting'!#REF!=1,0,T368*W368))</f>
        <v>#REF!</v>
      </c>
      <c r="AH368" s="1834"/>
      <c r="AI368" s="1834"/>
      <c r="AJ368" s="1835">
        <f>IF(T368&lt;1,0,IF(K368&gt;'Proposed Lighting'!#REF!,0,IF('Proposed Lighting'!#REF!=1,0,IF('Proposed Lighting'!#REF!=1,0,IF(T368&gt;K368,0,IF(AND(AD368&gt;AA368,AA368&gt;0),0,IF(AND(F368=2,'Proposed Lighting'!#REF!=3),0,IF(AND(F368=3,'Proposed Lighting'!#REF!=2),0,IF('Proposed Lighting'!#REF!=100,0,IF(AND(F368&lt;3,V368=1,AM368=0),0,IF(AND(F368&gt;1,AF368&lt;1,AN368&lt;1),0,IF(AND(F368&gt;1,AE368&lt;0.69,AF368&lt;1,AN368&lt;1),0,IF(ISERROR(AB368-AC368),"",AB368-AC368)))))))))))))</f>
        <v>0</v>
      </c>
      <c r="AK368" s="1835"/>
      <c r="AL368" s="1835"/>
      <c r="AM368" s="1216">
        <f>IF(Q368=0,0,IF(T368=0,0,IF(T368&gt;K368,0,IF(AND(AS368&gt;0.01,BK368=0),0,IF(AND('Proposed Lighting'!#REF!=0,'Lighting Controls'!Z368=0.35),0,IF(AND(T368&lt;=K368,AA368&gt;=AD368,'Proposed Lighting'!#REF!=2),VLOOKUP(Q368,$AY$9:$AZ$15,2,FALSE),IF(AND(T368&lt;=K368,AA368&gt;=AD368,'Proposed Lighting'!#REF!=3),VLOOKUP(Q368,$AY$17:$AZ$23,2,FALSE))))))))</f>
        <v>0</v>
      </c>
      <c r="AN368" s="1248">
        <f>IF(T368=0,0,IF(K368&gt;'Proposed Lighting'!#REF!,0,IF(AE368=0,0,IF(AND(AD368&gt;AA368,AA368&gt;0),0,IF(U368=0,0,Summary!#REF!)))))</f>
        <v>0</v>
      </c>
      <c r="AO368" s="1248">
        <f t="shared" si="76"/>
        <v>0</v>
      </c>
      <c r="AP368" s="1249" t="e">
        <f>IF('Proposed Lighting'!#REF!=1,0,IF(K368=0,0,IF(T368&gt;K368,0,IF(G368=0,0,IF(K368&gt;'Proposed Lighting'!#REF!,0,IF(AND(AD368&gt;AA368,AA368&gt;0),0,IF(AND('Proposed Lighting'!#REF!=3,AM368=0.5),0,IF(AND(AM368&gt;0,AS368&gt;0,BI368&lt;2),0,IF('Proposed Lighting'!#REF!=100,0,IF(AV368=1,0,IF(AND(AM368=35,M368+N368&lt;2),0,AM368)))))))))))</f>
        <v>#REF!</v>
      </c>
      <c r="AQ368" s="1249" t="str">
        <f>IFERROR(ROUND(IF(Q368="","",IF('Proposed Lighting'!$X$4=0,0,IF(AND(AM368=35,M368+N368&lt;2),0,IF(T368&gt;K368,0,IF('Proposed Lighting'!#REF!=1,0,IF(AJ368=0,0,IF(AND('Proposed Lighting'!#REF!=3,AM368=0.5),0,IF(AND(AD368=75,AP368=0,AV368=0),0,IF(AP368&gt;0.01,AP368*T368,IF(AND(F368&gt;1,W368&lt;0.01),0,IF(AND(F368&gt;1,AO368=0),0,IF(AND('Proposed Lighting'!#REF!=22,AV368=0),0,IF(AND(AM368&gt;0,AS368&gt;0,BI368&lt;2),0,IF(AND(AS368&gt;0.01,BK368=0),0,IF(AND(AO368=TRUE,AV368=1,F368=3),MIN(AJ368*0.08,L368),IF(AP368&gt;0.01,AP368*T368,IF(AND(AO368=TRUE,AV368=1,F368=2),MIN(AJ368*0.1,L368)))))))))))))))))),2),"")</f>
        <v/>
      </c>
      <c r="AR368" s="1250">
        <f>IF(Q368=0,0,IF('Proposed Lighting'!$X$4=0,0,IF(AND(AM368&gt;0.01,AQ368&gt;0.01),0,IF('Proposed Lighting'!#REF!=1,"Missing Interior or Exterior Selection",IF('Proposed Lighting'!#REF!=1,"Selection does not match",IF(K368&gt;'Proposed Lighting'!#REF!,"Quantity controlled does not match proposed lighting quantity",IF(T368&gt;K368,"Quantity of sensors exceeds proposed lighting quantity",IF(AND(F368&gt;1,'Proposed Lighting'!#REF!&lt;&gt;F368),"Selection does not match",IF(AND(AD368&gt;AA368,AA368&gt;0),"Does not meet minimum connected load",IF(AND(O368&gt;0,AS368&gt;0,BK368&gt;0,'Proposed Lighting'!#REF!=0),"Select Control Strategies",IF(AND(AC368&gt;0.1,AJ368=0,AQ368=0),"Does not meet incentive criteria",0)))))))))))</f>
        <v>0</v>
      </c>
      <c r="AS368" s="1224" t="e">
        <f>IF('Proposed Lighting'!#REF!=100,0,IF(ISNUMBER(SEARCH("multiple",Q368)),1,0))</f>
        <v>#REF!</v>
      </c>
      <c r="AT368" s="451">
        <f t="shared" si="73"/>
        <v>0</v>
      </c>
      <c r="AU368" s="451" t="e">
        <f t="shared" si="74"/>
        <v>#REF!</v>
      </c>
      <c r="AV368" s="1222">
        <f>IF(ISNUMBER(SEARCH("Networked",'Proposed Lighting'!#REF!)),0,IF(ISNUMBER(SEARCH("Strategies",'Proposed Lighting'!#REF!)),0,IF(ISNUMBER(SEARCH("Removal",'Proposed Lighting'!#REF!)),0,IF(ISNUMBER(SEARCH("non-standard",Q368)),1,0))))</f>
        <v>0</v>
      </c>
      <c r="AW368" s="451">
        <f t="shared" si="77"/>
        <v>0</v>
      </c>
      <c r="AX368" s="451"/>
      <c r="AY368" s="451"/>
      <c r="AZ368" s="451"/>
      <c r="BA368" s="451"/>
      <c r="BB368" s="451"/>
      <c r="BC368" s="1215"/>
      <c r="BD368" s="1215"/>
      <c r="BE368" s="1215"/>
      <c r="BF368" s="1215"/>
      <c r="BG368" s="1215"/>
      <c r="BH368" s="1215"/>
      <c r="BI368" t="e">
        <f>IF(AND(AS368=1,BC368="No",BD368="Yes",BE368="Yes",BF368="No",BH368="No"),0,IF(AND('Proposed Lighting'!#REF!=2,AS368=1,BC368="Yes",BD368="Yes"),2,IF(AND('Proposed Lighting'!#REF!=2,AS368=1,BC368="Yes",BE368="Yes"),2,IF(AND('Proposed Lighting'!#REF!=2,AS368=1,BC368="Yes",BF368="Yes"),2,IF(AND('Proposed Lighting'!#REF!=2,AS368=1,BC368="Yes",BH368="Yes"),2,IF(AND('Proposed Lighting'!#REF!=2,AS368=1,BD368="Yes",BF368="Yes"),2,IF(AND('Proposed Lighting'!#REF!=2,AS368=1,BD368="Yes",BH368="Yes"),2,IF(AND('Proposed Lighting'!#REF!=3,AS368=1,BC368="Yes",BE368="Yes"),2,IF(AND('Proposed Lighting'!#REF!=3,AS368=1,BC368="Yes",BF368="Yes"),2,0)))))))))</f>
        <v>#REF!</v>
      </c>
      <c r="BJ368" s="1025" t="e">
        <f t="shared" si="75"/>
        <v>#REF!</v>
      </c>
      <c r="BK368" t="e">
        <f>IF(AND('Proposed Lighting'!#REF!=22,'Lighting Controls'!N368=1),0,IF(ISNUMBER(SEARCH("LED",G368)),1,0))</f>
        <v>#REF!</v>
      </c>
    </row>
    <row r="369" spans="1:63" ht="34.5" customHeight="1">
      <c r="A369" s="917">
        <v>361</v>
      </c>
      <c r="B369" s="1828" t="e">
        <f>IF('Proposed Lighting'!#REF!="","",'Proposed Lighting'!#REF!)</f>
        <v>#REF!</v>
      </c>
      <c r="C369" s="1828"/>
      <c r="D369" s="1828"/>
      <c r="E369" s="1245" t="e">
        <f>'Proposed Lighting'!#REF!</f>
        <v>#REF!</v>
      </c>
      <c r="F369" s="1245">
        <f t="shared" si="68"/>
        <v>0</v>
      </c>
      <c r="G369" s="1830" t="e">
        <f>IF('Proposed Lighting'!#REF!="","",IF(ISNUMBER(SEARCH("Networked",'Proposed Lighting'!#REF!)),0,IF(ISNUMBER(SEARCH("Strategies",'Proposed Lighting'!#REF!)),0,IF(ISNUMBER(SEARCH("Removal",'Proposed Lighting'!#REF!)),0,'Proposed Lighting'!#REF!))))</f>
        <v>#REF!</v>
      </c>
      <c r="H369" s="1830"/>
      <c r="I369" s="1830"/>
      <c r="J369" s="1830"/>
      <c r="K369" s="1215"/>
      <c r="L369" s="1246" t="e">
        <f t="shared" si="69"/>
        <v>#REF!</v>
      </c>
      <c r="M369" s="1224">
        <f t="shared" si="70"/>
        <v>0</v>
      </c>
      <c r="N369" s="1224">
        <f t="shared" si="71"/>
        <v>0</v>
      </c>
      <c r="O369" s="1825" t="e">
        <f>IF(G369=0,0,IF(ISNA('Proposed Lighting'!#REF!),0,'Proposed Lighting'!#REF!))</f>
        <v>#REF!</v>
      </c>
      <c r="P369" s="1825"/>
      <c r="Q369" s="1247"/>
      <c r="R369" s="1247"/>
      <c r="S369" s="1247"/>
      <c r="T369" s="1211"/>
      <c r="U369" s="1235">
        <f>IF(K369&gt;0.01,'Proposed Lighting'!#REF!,0)</f>
        <v>0</v>
      </c>
      <c r="V369" s="1248" t="e">
        <f>IF('Proposed Lighting'!#REF!=1,0,IF('Proposed Lighting'!#REF!=2,0,IF(AND('Proposed Lighting'!#REF!=3,'Proposed Lighting'!#REF!=0),1,0)))</f>
        <v>#REF!</v>
      </c>
      <c r="W369" s="1836"/>
      <c r="X369" s="1836"/>
      <c r="Y369" s="1836"/>
      <c r="Z369" s="1230" t="str">
        <f t="shared" si="65"/>
        <v/>
      </c>
      <c r="AA369" s="1230">
        <f t="shared" si="66"/>
        <v>0</v>
      </c>
      <c r="AB369" s="1230">
        <f>IF(Q369=0,0,IF(T369=0,0,IF(AA369=0,0,IF(AND(F369=3,V369=0),0,IF(T369=0,0,IF(K369&gt;'Proposed Lighting'!#REF!,0,IF('Proposed Lighting'!#REF!&gt;0.01,(K369*O369)*'Proposed Lighting'!#REF!/1000,(K369*O369)*U369/1000)))))))</f>
        <v>0</v>
      </c>
      <c r="AC369" s="1230" t="str">
        <f t="shared" si="72"/>
        <v/>
      </c>
      <c r="AD369" s="1230">
        <f t="shared" si="67"/>
        <v>0</v>
      </c>
      <c r="AE369" s="1230">
        <f>IF(T369=0,0,IF(K369&gt;'Proposed Lighting'!#REF!,0,IF(T369&gt;K369,0,IF(AND(AD369&gt;AA369,AA369&gt;0),0,IF(AND(F369&gt;1,W369&lt;0.01),0,IF('Proposed Lighting'!#REF!&gt;'Lighting Controls'!F369,0,IF('Proposed Lighting'!#REF!&lt;'Lighting Controls'!F369,0,IF(U369=0,0,Summary!#REF!))))))))</f>
        <v>0</v>
      </c>
      <c r="AF369" s="1230">
        <f>IF(T369=0,0,IF(AE369=0,0,IF(K369&gt;'Proposed Lighting'!#REF!,0,IF(AND(AD369&gt;AA369,AA369&gt;0),0,IF(U369=0,0,Summary!#REF!)))))</f>
        <v>0</v>
      </c>
      <c r="AG369" s="1834" t="e">
        <f>IF('Proposed Lighting'!#REF!=1,0,IF('Proposed Lighting'!#REF!=1,0,T369*W369))</f>
        <v>#REF!</v>
      </c>
      <c r="AH369" s="1834"/>
      <c r="AI369" s="1834"/>
      <c r="AJ369" s="1835">
        <f>IF(T369&lt;1,0,IF(K369&gt;'Proposed Lighting'!#REF!,0,IF('Proposed Lighting'!#REF!=1,0,IF('Proposed Lighting'!#REF!=1,0,IF(T369&gt;K369,0,IF(AND(AD369&gt;AA369,AA369&gt;0),0,IF(AND(F369=2,'Proposed Lighting'!#REF!=3),0,IF(AND(F369=3,'Proposed Lighting'!#REF!=2),0,IF('Proposed Lighting'!#REF!=100,0,IF(AND(F369&lt;3,V369=1,AM369=0),0,IF(AND(F369&gt;1,AF369&lt;1,AN369&lt;1),0,IF(AND(F369&gt;1,AE369&lt;0.69,AF369&lt;1,AN369&lt;1),0,IF(ISERROR(AB369-AC369),"",AB369-AC369)))))))))))))</f>
        <v>0</v>
      </c>
      <c r="AK369" s="1835"/>
      <c r="AL369" s="1835"/>
      <c r="AM369" s="1216">
        <f>IF(Q369=0,0,IF(T369=0,0,IF(T369&gt;K369,0,IF(AND(AS369&gt;0.01,BK369=0),0,IF(AND('Proposed Lighting'!#REF!=0,'Lighting Controls'!Z369=0.35),0,IF(AND(T369&lt;=K369,AA369&gt;=AD369,'Proposed Lighting'!#REF!=2),VLOOKUP(Q369,$AY$9:$AZ$15,2,FALSE),IF(AND(T369&lt;=K369,AA369&gt;=AD369,'Proposed Lighting'!#REF!=3),VLOOKUP(Q369,$AY$17:$AZ$23,2,FALSE))))))))</f>
        <v>0</v>
      </c>
      <c r="AN369" s="1248">
        <f>IF(T369=0,0,IF(K369&gt;'Proposed Lighting'!#REF!,0,IF(AE369=0,0,IF(AND(AD369&gt;AA369,AA369&gt;0),0,IF(U369=0,0,Summary!#REF!)))))</f>
        <v>0</v>
      </c>
      <c r="AO369" s="1248">
        <f t="shared" si="76"/>
        <v>0</v>
      </c>
      <c r="AP369" s="1249" t="e">
        <f>IF('Proposed Lighting'!#REF!=1,0,IF(K369=0,0,IF(T369&gt;K369,0,IF(G369=0,0,IF(K369&gt;'Proposed Lighting'!#REF!,0,IF(AND(AD369&gt;AA369,AA369&gt;0),0,IF(AND('Proposed Lighting'!#REF!=3,AM369=0.5),0,IF(AND(AM369&gt;0,AS369&gt;0,BI369&lt;2),0,IF('Proposed Lighting'!#REF!=100,0,IF(AV369=1,0,IF(AND(AM369=35,M369+N369&lt;2),0,AM369)))))))))))</f>
        <v>#REF!</v>
      </c>
      <c r="AQ369" s="1249" t="str">
        <f>IFERROR(ROUND(IF(Q369="","",IF('Proposed Lighting'!$X$4=0,0,IF(AND(AM369=35,M369+N369&lt;2),0,IF(T369&gt;K369,0,IF('Proposed Lighting'!#REF!=1,0,IF(AJ369=0,0,IF(AND('Proposed Lighting'!#REF!=3,AM369=0.5),0,IF(AND(AD369=75,AP369=0,AV369=0),0,IF(AP369&gt;0.01,AP369*T369,IF(AND(F369&gt;1,W369&lt;0.01),0,IF(AND(F369&gt;1,AO369=0),0,IF(AND('Proposed Lighting'!#REF!=22,AV369=0),0,IF(AND(AM369&gt;0,AS369&gt;0,BI369&lt;2),0,IF(AND(AS369&gt;0.01,BK369=0),0,IF(AND(AO369=TRUE,AV369=1,F369=3),MIN(AJ369*0.08,L369),IF(AP369&gt;0.01,AP369*T369,IF(AND(AO369=TRUE,AV369=1,F369=2),MIN(AJ369*0.1,L369)))))))))))))))))),2),"")</f>
        <v/>
      </c>
      <c r="AR369" s="1250">
        <f>IF(Q369=0,0,IF('Proposed Lighting'!$X$4=0,0,IF(AND(AM369&gt;0.01,AQ369&gt;0.01),0,IF('Proposed Lighting'!#REF!=1,"Missing Interior or Exterior Selection",IF('Proposed Lighting'!#REF!=1,"Selection does not match",IF(K369&gt;'Proposed Lighting'!#REF!,"Quantity controlled does not match proposed lighting quantity",IF(T369&gt;K369,"Quantity of sensors exceeds proposed lighting quantity",IF(AND(F369&gt;1,'Proposed Lighting'!#REF!&lt;&gt;F369),"Selection does not match",IF(AND(AD369&gt;AA369,AA369&gt;0),"Does not meet minimum connected load",IF(AND(O369&gt;0,AS369&gt;0,BK369&gt;0,'Proposed Lighting'!#REF!=0),"Select Control Strategies",IF(AND(AC369&gt;0.1,AJ369=0,AQ369=0),"Does not meet incentive criteria",0)))))))))))</f>
        <v>0</v>
      </c>
      <c r="AS369" s="1224" t="e">
        <f>IF('Proposed Lighting'!#REF!=100,0,IF(ISNUMBER(SEARCH("multiple",Q369)),1,0))</f>
        <v>#REF!</v>
      </c>
      <c r="AT369" s="451">
        <f t="shared" si="73"/>
        <v>0</v>
      </c>
      <c r="AU369" s="451" t="e">
        <f t="shared" si="74"/>
        <v>#REF!</v>
      </c>
      <c r="AV369" s="1222">
        <f>IF(ISNUMBER(SEARCH("Networked",'Proposed Lighting'!#REF!)),0,IF(ISNUMBER(SEARCH("Strategies",'Proposed Lighting'!#REF!)),0,IF(ISNUMBER(SEARCH("Removal",'Proposed Lighting'!#REF!)),0,IF(ISNUMBER(SEARCH("non-standard",Q369)),1,0))))</f>
        <v>0</v>
      </c>
      <c r="AW369" s="451">
        <f t="shared" si="77"/>
        <v>0</v>
      </c>
      <c r="AX369" s="451"/>
      <c r="AY369" s="451"/>
      <c r="AZ369" s="451"/>
      <c r="BA369" s="451"/>
      <c r="BB369" s="451"/>
      <c r="BC369" s="1215"/>
      <c r="BD369" s="1215"/>
      <c r="BE369" s="1215"/>
      <c r="BF369" s="1215"/>
      <c r="BG369" s="1215"/>
      <c r="BH369" s="1215"/>
      <c r="BI369" t="e">
        <f>IF(AND(AS369=1,BC369="No",BD369="Yes",BE369="Yes",BF369="No",BH369="No"),0,IF(AND('Proposed Lighting'!#REF!=2,AS369=1,BC369="Yes",BD369="Yes"),2,IF(AND('Proposed Lighting'!#REF!=2,AS369=1,BC369="Yes",BE369="Yes"),2,IF(AND('Proposed Lighting'!#REF!=2,AS369=1,BC369="Yes",BF369="Yes"),2,IF(AND('Proposed Lighting'!#REF!=2,AS369=1,BC369="Yes",BH369="Yes"),2,IF(AND('Proposed Lighting'!#REF!=2,AS369=1,BD369="Yes",BF369="Yes"),2,IF(AND('Proposed Lighting'!#REF!=2,AS369=1,BD369="Yes",BH369="Yes"),2,IF(AND('Proposed Lighting'!#REF!=3,AS369=1,BC369="Yes",BE369="Yes"),2,IF(AND('Proposed Lighting'!#REF!=3,AS369=1,BC369="Yes",BF369="Yes"),2,0)))))))))</f>
        <v>#REF!</v>
      </c>
      <c r="BJ369" s="1025" t="e">
        <f t="shared" si="75"/>
        <v>#REF!</v>
      </c>
      <c r="BK369" t="e">
        <f>IF(AND('Proposed Lighting'!#REF!=22,'Lighting Controls'!N369=1),0,IF(ISNUMBER(SEARCH("LED",G369)),1,0))</f>
        <v>#REF!</v>
      </c>
    </row>
    <row r="370" spans="1:63" ht="34.5" customHeight="1">
      <c r="A370" s="917">
        <v>362</v>
      </c>
      <c r="B370" s="1828" t="e">
        <f>IF('Proposed Lighting'!#REF!="","",'Proposed Lighting'!#REF!)</f>
        <v>#REF!</v>
      </c>
      <c r="C370" s="1828"/>
      <c r="D370" s="1828"/>
      <c r="E370" s="1245" t="e">
        <f>'Proposed Lighting'!#REF!</f>
        <v>#REF!</v>
      </c>
      <c r="F370" s="1245">
        <f t="shared" si="68"/>
        <v>0</v>
      </c>
      <c r="G370" s="1830" t="e">
        <f>IF('Proposed Lighting'!#REF!="","",IF(ISNUMBER(SEARCH("Networked",'Proposed Lighting'!#REF!)),0,IF(ISNUMBER(SEARCH("Strategies",'Proposed Lighting'!#REF!)),0,IF(ISNUMBER(SEARCH("Removal",'Proposed Lighting'!#REF!)),0,'Proposed Lighting'!#REF!))))</f>
        <v>#REF!</v>
      </c>
      <c r="H370" s="1830"/>
      <c r="I370" s="1830"/>
      <c r="J370" s="1830"/>
      <c r="K370" s="1215"/>
      <c r="L370" s="1246" t="e">
        <f t="shared" si="69"/>
        <v>#REF!</v>
      </c>
      <c r="M370" s="1224">
        <f t="shared" si="70"/>
        <v>0</v>
      </c>
      <c r="N370" s="1224">
        <f t="shared" si="71"/>
        <v>0</v>
      </c>
      <c r="O370" s="1825" t="e">
        <f>IF(G370=0,0,IF(ISNA('Proposed Lighting'!#REF!),0,'Proposed Lighting'!#REF!))</f>
        <v>#REF!</v>
      </c>
      <c r="P370" s="1825"/>
      <c r="Q370" s="1247"/>
      <c r="R370" s="1247"/>
      <c r="S370" s="1247"/>
      <c r="T370" s="1211"/>
      <c r="U370" s="1235">
        <f>IF(K370&gt;0.01,'Proposed Lighting'!#REF!,0)</f>
        <v>0</v>
      </c>
      <c r="V370" s="1248" t="e">
        <f>IF('Proposed Lighting'!#REF!=1,0,IF('Proposed Lighting'!#REF!=2,0,IF(AND('Proposed Lighting'!#REF!=3,'Proposed Lighting'!#REF!=0),1,0)))</f>
        <v>#REF!</v>
      </c>
      <c r="W370" s="1836"/>
      <c r="X370" s="1836"/>
      <c r="Y370" s="1836"/>
      <c r="Z370" s="1230" t="str">
        <f t="shared" si="65"/>
        <v/>
      </c>
      <c r="AA370" s="1230">
        <f t="shared" si="66"/>
        <v>0</v>
      </c>
      <c r="AB370" s="1230">
        <f>IF(Q370=0,0,IF(T370=0,0,IF(AA370=0,0,IF(AND(F370=3,V370=0),0,IF(T370=0,0,IF(K370&gt;'Proposed Lighting'!#REF!,0,IF('Proposed Lighting'!#REF!&gt;0.01,(K370*O370)*'Proposed Lighting'!#REF!/1000,(K370*O370)*U370/1000)))))))</f>
        <v>0</v>
      </c>
      <c r="AC370" s="1230" t="str">
        <f t="shared" si="72"/>
        <v/>
      </c>
      <c r="AD370" s="1230">
        <f t="shared" si="67"/>
        <v>0</v>
      </c>
      <c r="AE370" s="1230">
        <f>IF(T370=0,0,IF(K370&gt;'Proposed Lighting'!#REF!,0,IF(T370&gt;K370,0,IF(AND(AD370&gt;AA370,AA370&gt;0),0,IF(AND(F370&gt;1,W370&lt;0.01),0,IF('Proposed Lighting'!#REF!&gt;'Lighting Controls'!F370,0,IF('Proposed Lighting'!#REF!&lt;'Lighting Controls'!F370,0,IF(U370=0,0,Summary!#REF!))))))))</f>
        <v>0</v>
      </c>
      <c r="AF370" s="1230">
        <f>IF(T370=0,0,IF(AE370=0,0,IF(K370&gt;'Proposed Lighting'!#REF!,0,IF(AND(AD370&gt;AA370,AA370&gt;0),0,IF(U370=0,0,Summary!#REF!)))))</f>
        <v>0</v>
      </c>
      <c r="AG370" s="1834" t="e">
        <f>IF('Proposed Lighting'!#REF!=1,0,IF('Proposed Lighting'!#REF!=1,0,T370*W370))</f>
        <v>#REF!</v>
      </c>
      <c r="AH370" s="1834"/>
      <c r="AI370" s="1834"/>
      <c r="AJ370" s="1835">
        <f>IF(T370&lt;1,0,IF(K370&gt;'Proposed Lighting'!#REF!,0,IF('Proposed Lighting'!#REF!=1,0,IF('Proposed Lighting'!#REF!=1,0,IF(T370&gt;K370,0,IF(AND(AD370&gt;AA370,AA370&gt;0),0,IF(AND(F370=2,'Proposed Lighting'!#REF!=3),0,IF(AND(F370=3,'Proposed Lighting'!#REF!=2),0,IF('Proposed Lighting'!#REF!=100,0,IF(AND(F370&lt;3,V370=1,AM370=0),0,IF(AND(F370&gt;1,AF370&lt;1,AN370&lt;1),0,IF(AND(F370&gt;1,AE370&lt;0.69,AF370&lt;1,AN370&lt;1),0,IF(ISERROR(AB370-AC370),"",AB370-AC370)))))))))))))</f>
        <v>0</v>
      </c>
      <c r="AK370" s="1835"/>
      <c r="AL370" s="1835"/>
      <c r="AM370" s="1216">
        <f>IF(Q370=0,0,IF(T370=0,0,IF(T370&gt;K370,0,IF(AND(AS370&gt;0.01,BK370=0),0,IF(AND('Proposed Lighting'!#REF!=0,'Lighting Controls'!Z370=0.35),0,IF(AND(T370&lt;=K370,AA370&gt;=AD370,'Proposed Lighting'!#REF!=2),VLOOKUP(Q370,$AY$9:$AZ$15,2,FALSE),IF(AND(T370&lt;=K370,AA370&gt;=AD370,'Proposed Lighting'!#REF!=3),VLOOKUP(Q370,$AY$17:$AZ$23,2,FALSE))))))))</f>
        <v>0</v>
      </c>
      <c r="AN370" s="1248">
        <f>IF(T370=0,0,IF(K370&gt;'Proposed Lighting'!#REF!,0,IF(AE370=0,0,IF(AND(AD370&gt;AA370,AA370&gt;0),0,IF(U370=0,0,Summary!#REF!)))))</f>
        <v>0</v>
      </c>
      <c r="AO370" s="1248">
        <f t="shared" si="76"/>
        <v>0</v>
      </c>
      <c r="AP370" s="1249" t="e">
        <f>IF('Proposed Lighting'!#REF!=1,0,IF(K370=0,0,IF(T370&gt;K370,0,IF(G370=0,0,IF(K370&gt;'Proposed Lighting'!#REF!,0,IF(AND(AD370&gt;AA370,AA370&gt;0),0,IF(AND('Proposed Lighting'!#REF!=3,AM370=0.5),0,IF(AND(AM370&gt;0,AS370&gt;0,BI370&lt;2),0,IF('Proposed Lighting'!#REF!=100,0,IF(AV370=1,0,IF(AND(AM370=35,M370+N370&lt;2),0,AM370)))))))))))</f>
        <v>#REF!</v>
      </c>
      <c r="AQ370" s="1249" t="str">
        <f>IFERROR(ROUND(IF(Q370="","",IF('Proposed Lighting'!$X$4=0,0,IF(AND(AM370=35,M370+N370&lt;2),0,IF(T370&gt;K370,0,IF('Proposed Lighting'!#REF!=1,0,IF(AJ370=0,0,IF(AND('Proposed Lighting'!#REF!=3,AM370=0.5),0,IF(AND(AD370=75,AP370=0,AV370=0),0,IF(AP370&gt;0.01,AP370*T370,IF(AND(F370&gt;1,W370&lt;0.01),0,IF(AND(F370&gt;1,AO370=0),0,IF(AND('Proposed Lighting'!#REF!=22,AV370=0),0,IF(AND(AM370&gt;0,AS370&gt;0,BI370&lt;2),0,IF(AND(AS370&gt;0.01,BK370=0),0,IF(AND(AO370=TRUE,AV370=1,F370=3),MIN(AJ370*0.08,L370),IF(AP370&gt;0.01,AP370*T370,IF(AND(AO370=TRUE,AV370=1,F370=2),MIN(AJ370*0.1,L370)))))))))))))))))),2),"")</f>
        <v/>
      </c>
      <c r="AR370" s="1250">
        <f>IF(Q370=0,0,IF('Proposed Lighting'!$X$4=0,0,IF(AND(AM370&gt;0.01,AQ370&gt;0.01),0,IF('Proposed Lighting'!#REF!=1,"Missing Interior or Exterior Selection",IF('Proposed Lighting'!#REF!=1,"Selection does not match",IF(K370&gt;'Proposed Lighting'!#REF!,"Quantity controlled does not match proposed lighting quantity",IF(T370&gt;K370,"Quantity of sensors exceeds proposed lighting quantity",IF(AND(F370&gt;1,'Proposed Lighting'!#REF!&lt;&gt;F370),"Selection does not match",IF(AND(AD370&gt;AA370,AA370&gt;0),"Does not meet minimum connected load",IF(AND(O370&gt;0,AS370&gt;0,BK370&gt;0,'Proposed Lighting'!#REF!=0),"Select Control Strategies",IF(AND(AC370&gt;0.1,AJ370=0,AQ370=0),"Does not meet incentive criteria",0)))))))))))</f>
        <v>0</v>
      </c>
      <c r="AS370" s="1224" t="e">
        <f>IF('Proposed Lighting'!#REF!=100,0,IF(ISNUMBER(SEARCH("multiple",Q370)),1,0))</f>
        <v>#REF!</v>
      </c>
      <c r="AT370" s="451">
        <f t="shared" si="73"/>
        <v>0</v>
      </c>
      <c r="AU370" s="451" t="e">
        <f t="shared" si="74"/>
        <v>#REF!</v>
      </c>
      <c r="AV370" s="1222">
        <f>IF(ISNUMBER(SEARCH("Networked",'Proposed Lighting'!#REF!)),0,IF(ISNUMBER(SEARCH("Strategies",'Proposed Lighting'!#REF!)),0,IF(ISNUMBER(SEARCH("Removal",'Proposed Lighting'!#REF!)),0,IF(ISNUMBER(SEARCH("non-standard",Q370)),1,0))))</f>
        <v>0</v>
      </c>
      <c r="AW370" s="451">
        <f t="shared" si="77"/>
        <v>0</v>
      </c>
      <c r="AX370" s="451"/>
      <c r="AY370" s="451"/>
      <c r="AZ370" s="451"/>
      <c r="BA370" s="451"/>
      <c r="BB370" s="451"/>
      <c r="BC370" s="1215"/>
      <c r="BD370" s="1215"/>
      <c r="BE370" s="1215"/>
      <c r="BF370" s="1215"/>
      <c r="BG370" s="1215"/>
      <c r="BH370" s="1215"/>
      <c r="BI370" t="e">
        <f>IF(AND(AS370=1,BC370="No",BD370="Yes",BE370="Yes",BF370="No",BH370="No"),0,IF(AND('Proposed Lighting'!#REF!=2,AS370=1,BC370="Yes",BD370="Yes"),2,IF(AND('Proposed Lighting'!#REF!=2,AS370=1,BC370="Yes",BE370="Yes"),2,IF(AND('Proposed Lighting'!#REF!=2,AS370=1,BC370="Yes",BF370="Yes"),2,IF(AND('Proposed Lighting'!#REF!=2,AS370=1,BC370="Yes",BH370="Yes"),2,IF(AND('Proposed Lighting'!#REF!=2,AS370=1,BD370="Yes",BF370="Yes"),2,IF(AND('Proposed Lighting'!#REF!=2,AS370=1,BD370="Yes",BH370="Yes"),2,IF(AND('Proposed Lighting'!#REF!=3,AS370=1,BC370="Yes",BE370="Yes"),2,IF(AND('Proposed Lighting'!#REF!=3,AS370=1,BC370="Yes",BF370="Yes"),2,0)))))))))</f>
        <v>#REF!</v>
      </c>
      <c r="BJ370" s="1025" t="e">
        <f t="shared" si="75"/>
        <v>#REF!</v>
      </c>
      <c r="BK370" t="e">
        <f>IF(AND('Proposed Lighting'!#REF!=22,'Lighting Controls'!N370=1),0,IF(ISNUMBER(SEARCH("LED",G370)),1,0))</f>
        <v>#REF!</v>
      </c>
    </row>
    <row r="371" spans="1:63" ht="34.5" customHeight="1">
      <c r="A371" s="917">
        <v>363</v>
      </c>
      <c r="B371" s="1828" t="e">
        <f>IF('Proposed Lighting'!#REF!="","",'Proposed Lighting'!#REF!)</f>
        <v>#REF!</v>
      </c>
      <c r="C371" s="1828"/>
      <c r="D371" s="1828"/>
      <c r="E371" s="1245" t="e">
        <f>'Proposed Lighting'!#REF!</f>
        <v>#REF!</v>
      </c>
      <c r="F371" s="1245">
        <f t="shared" si="68"/>
        <v>0</v>
      </c>
      <c r="G371" s="1830" t="e">
        <f>IF('Proposed Lighting'!#REF!="","",IF(ISNUMBER(SEARCH("Networked",'Proposed Lighting'!#REF!)),0,IF(ISNUMBER(SEARCH("Strategies",'Proposed Lighting'!#REF!)),0,IF(ISNUMBER(SEARCH("Removal",'Proposed Lighting'!#REF!)),0,'Proposed Lighting'!#REF!))))</f>
        <v>#REF!</v>
      </c>
      <c r="H371" s="1830"/>
      <c r="I371" s="1830"/>
      <c r="J371" s="1830"/>
      <c r="K371" s="1215"/>
      <c r="L371" s="1246" t="e">
        <f t="shared" si="69"/>
        <v>#REF!</v>
      </c>
      <c r="M371" s="1224">
        <f t="shared" si="70"/>
        <v>0</v>
      </c>
      <c r="N371" s="1224">
        <f t="shared" si="71"/>
        <v>0</v>
      </c>
      <c r="O371" s="1825" t="e">
        <f>IF(G371=0,0,IF(ISNA('Proposed Lighting'!#REF!),0,'Proposed Lighting'!#REF!))</f>
        <v>#REF!</v>
      </c>
      <c r="P371" s="1825"/>
      <c r="Q371" s="1247"/>
      <c r="R371" s="1247"/>
      <c r="S371" s="1247"/>
      <c r="T371" s="1211"/>
      <c r="U371" s="1235">
        <f>IF(K371&gt;0.01,'Proposed Lighting'!#REF!,0)</f>
        <v>0</v>
      </c>
      <c r="V371" s="1248" t="e">
        <f>IF('Proposed Lighting'!#REF!=1,0,IF('Proposed Lighting'!#REF!=2,0,IF(AND('Proposed Lighting'!#REF!=3,'Proposed Lighting'!#REF!=0),1,0)))</f>
        <v>#REF!</v>
      </c>
      <c r="W371" s="1836"/>
      <c r="X371" s="1836"/>
      <c r="Y371" s="1836"/>
      <c r="Z371" s="1230" t="str">
        <f t="shared" si="65"/>
        <v/>
      </c>
      <c r="AA371" s="1230">
        <f t="shared" si="66"/>
        <v>0</v>
      </c>
      <c r="AB371" s="1230">
        <f>IF(Q371=0,0,IF(T371=0,0,IF(AA371=0,0,IF(AND(F371=3,V371=0),0,IF(T371=0,0,IF(K371&gt;'Proposed Lighting'!#REF!,0,IF('Proposed Lighting'!#REF!&gt;0.01,(K371*O371)*'Proposed Lighting'!#REF!/1000,(K371*O371)*U371/1000)))))))</f>
        <v>0</v>
      </c>
      <c r="AC371" s="1230" t="str">
        <f t="shared" si="72"/>
        <v/>
      </c>
      <c r="AD371" s="1230">
        <f t="shared" si="67"/>
        <v>0</v>
      </c>
      <c r="AE371" s="1230">
        <f>IF(T371=0,0,IF(K371&gt;'Proposed Lighting'!#REF!,0,IF(T371&gt;K371,0,IF(AND(AD371&gt;AA371,AA371&gt;0),0,IF(AND(F371&gt;1,W371&lt;0.01),0,IF('Proposed Lighting'!#REF!&gt;'Lighting Controls'!F371,0,IF('Proposed Lighting'!#REF!&lt;'Lighting Controls'!F371,0,IF(U371=0,0,Summary!#REF!))))))))</f>
        <v>0</v>
      </c>
      <c r="AF371" s="1230">
        <f>IF(T371=0,0,IF(AE371=0,0,IF(K371&gt;'Proposed Lighting'!#REF!,0,IF(AND(AD371&gt;AA371,AA371&gt;0),0,IF(U371=0,0,Summary!#REF!)))))</f>
        <v>0</v>
      </c>
      <c r="AG371" s="1834" t="e">
        <f>IF('Proposed Lighting'!#REF!=1,0,IF('Proposed Lighting'!#REF!=1,0,T371*W371))</f>
        <v>#REF!</v>
      </c>
      <c r="AH371" s="1834"/>
      <c r="AI371" s="1834"/>
      <c r="AJ371" s="1835">
        <f>IF(T371&lt;1,0,IF(K371&gt;'Proposed Lighting'!#REF!,0,IF('Proposed Lighting'!#REF!=1,0,IF('Proposed Lighting'!#REF!=1,0,IF(T371&gt;K371,0,IF(AND(AD371&gt;AA371,AA371&gt;0),0,IF(AND(F371=2,'Proposed Lighting'!#REF!=3),0,IF(AND(F371=3,'Proposed Lighting'!#REF!=2),0,IF('Proposed Lighting'!#REF!=100,0,IF(AND(F371&lt;3,V371=1,AM371=0),0,IF(AND(F371&gt;1,AF371&lt;1,AN371&lt;1),0,IF(AND(F371&gt;1,AE371&lt;0.69,AF371&lt;1,AN371&lt;1),0,IF(ISERROR(AB371-AC371),"",AB371-AC371)))))))))))))</f>
        <v>0</v>
      </c>
      <c r="AK371" s="1835"/>
      <c r="AL371" s="1835"/>
      <c r="AM371" s="1216">
        <f>IF(Q371=0,0,IF(T371=0,0,IF(T371&gt;K371,0,IF(AND(AS371&gt;0.01,BK371=0),0,IF(AND('Proposed Lighting'!#REF!=0,'Lighting Controls'!Z371=0.35),0,IF(AND(T371&lt;=K371,AA371&gt;=AD371,'Proposed Lighting'!#REF!=2),VLOOKUP(Q371,$AY$9:$AZ$15,2,FALSE),IF(AND(T371&lt;=K371,AA371&gt;=AD371,'Proposed Lighting'!#REF!=3),VLOOKUP(Q371,$AY$17:$AZ$23,2,FALSE))))))))</f>
        <v>0</v>
      </c>
      <c r="AN371" s="1248">
        <f>IF(T371=0,0,IF(K371&gt;'Proposed Lighting'!#REF!,0,IF(AE371=0,0,IF(AND(AD371&gt;AA371,AA371&gt;0),0,IF(U371=0,0,Summary!#REF!)))))</f>
        <v>0</v>
      </c>
      <c r="AO371" s="1248">
        <f t="shared" si="76"/>
        <v>0</v>
      </c>
      <c r="AP371" s="1249" t="e">
        <f>IF('Proposed Lighting'!#REF!=1,0,IF(K371=0,0,IF(T371&gt;K371,0,IF(G371=0,0,IF(K371&gt;'Proposed Lighting'!#REF!,0,IF(AND(AD371&gt;AA371,AA371&gt;0),0,IF(AND('Proposed Lighting'!#REF!=3,AM371=0.5),0,IF(AND(AM371&gt;0,AS371&gt;0,BI371&lt;2),0,IF('Proposed Lighting'!#REF!=100,0,IF(AV371=1,0,IF(AND(AM371=35,M371+N371&lt;2),0,AM371)))))))))))</f>
        <v>#REF!</v>
      </c>
      <c r="AQ371" s="1249" t="str">
        <f>IFERROR(ROUND(IF(Q371="","",IF('Proposed Lighting'!$X$4=0,0,IF(AND(AM371=35,M371+N371&lt;2),0,IF(T371&gt;K371,0,IF('Proposed Lighting'!#REF!=1,0,IF(AJ371=0,0,IF(AND('Proposed Lighting'!#REF!=3,AM371=0.5),0,IF(AND(AD371=75,AP371=0,AV371=0),0,IF(AP371&gt;0.01,AP371*T371,IF(AND(F371&gt;1,W371&lt;0.01),0,IF(AND(F371&gt;1,AO371=0),0,IF(AND('Proposed Lighting'!#REF!=22,AV371=0),0,IF(AND(AM371&gt;0,AS371&gt;0,BI371&lt;2),0,IF(AND(AS371&gt;0.01,BK371=0),0,IF(AND(AO371=TRUE,AV371=1,F371=3),MIN(AJ371*0.08,L371),IF(AP371&gt;0.01,AP371*T371,IF(AND(AO371=TRUE,AV371=1,F371=2),MIN(AJ371*0.1,L371)))))))))))))))))),2),"")</f>
        <v/>
      </c>
      <c r="AR371" s="1250">
        <f>IF(Q371=0,0,IF('Proposed Lighting'!$X$4=0,0,IF(AND(AM371&gt;0.01,AQ371&gt;0.01),0,IF('Proposed Lighting'!#REF!=1,"Missing Interior or Exterior Selection",IF('Proposed Lighting'!#REF!=1,"Selection does not match",IF(K371&gt;'Proposed Lighting'!#REF!,"Quantity controlled does not match proposed lighting quantity",IF(T371&gt;K371,"Quantity of sensors exceeds proposed lighting quantity",IF(AND(F371&gt;1,'Proposed Lighting'!#REF!&lt;&gt;F371),"Selection does not match",IF(AND(AD371&gt;AA371,AA371&gt;0),"Does not meet minimum connected load",IF(AND(O371&gt;0,AS371&gt;0,BK371&gt;0,'Proposed Lighting'!#REF!=0),"Select Control Strategies",IF(AND(AC371&gt;0.1,AJ371=0,AQ371=0),"Does not meet incentive criteria",0)))))))))))</f>
        <v>0</v>
      </c>
      <c r="AS371" s="1224" t="e">
        <f>IF('Proposed Lighting'!#REF!=100,0,IF(ISNUMBER(SEARCH("multiple",Q371)),1,0))</f>
        <v>#REF!</v>
      </c>
      <c r="AT371" s="451">
        <f t="shared" si="73"/>
        <v>0</v>
      </c>
      <c r="AU371" s="451" t="e">
        <f t="shared" si="74"/>
        <v>#REF!</v>
      </c>
      <c r="AV371" s="1222">
        <f>IF(ISNUMBER(SEARCH("Networked",'Proposed Lighting'!#REF!)),0,IF(ISNUMBER(SEARCH("Strategies",'Proposed Lighting'!#REF!)),0,IF(ISNUMBER(SEARCH("Removal",'Proposed Lighting'!#REF!)),0,IF(ISNUMBER(SEARCH("non-standard",Q371)),1,0))))</f>
        <v>0</v>
      </c>
      <c r="AW371" s="451">
        <f t="shared" si="77"/>
        <v>0</v>
      </c>
      <c r="AX371" s="451"/>
      <c r="AY371" s="451"/>
      <c r="AZ371" s="451"/>
      <c r="BA371" s="451"/>
      <c r="BB371" s="451"/>
      <c r="BC371" s="1215"/>
      <c r="BD371" s="1215"/>
      <c r="BE371" s="1215"/>
      <c r="BF371" s="1215"/>
      <c r="BG371" s="1215"/>
      <c r="BH371" s="1215"/>
      <c r="BI371" t="e">
        <f>IF(AND(AS371=1,BC371="No",BD371="Yes",BE371="Yes",BF371="No",BH371="No"),0,IF(AND('Proposed Lighting'!#REF!=2,AS371=1,BC371="Yes",BD371="Yes"),2,IF(AND('Proposed Lighting'!#REF!=2,AS371=1,BC371="Yes",BE371="Yes"),2,IF(AND('Proposed Lighting'!#REF!=2,AS371=1,BC371="Yes",BF371="Yes"),2,IF(AND('Proposed Lighting'!#REF!=2,AS371=1,BC371="Yes",BH371="Yes"),2,IF(AND('Proposed Lighting'!#REF!=2,AS371=1,BD371="Yes",BF371="Yes"),2,IF(AND('Proposed Lighting'!#REF!=2,AS371=1,BD371="Yes",BH371="Yes"),2,IF(AND('Proposed Lighting'!#REF!=3,AS371=1,BC371="Yes",BE371="Yes"),2,IF(AND('Proposed Lighting'!#REF!=3,AS371=1,BC371="Yes",BF371="Yes"),2,0)))))))))</f>
        <v>#REF!</v>
      </c>
      <c r="BJ371" s="1025" t="e">
        <f t="shared" si="75"/>
        <v>#REF!</v>
      </c>
      <c r="BK371" t="e">
        <f>IF(AND('Proposed Lighting'!#REF!=22,'Lighting Controls'!N371=1),0,IF(ISNUMBER(SEARCH("LED",G371)),1,0))</f>
        <v>#REF!</v>
      </c>
    </row>
    <row r="372" spans="1:63" ht="34.5" customHeight="1">
      <c r="A372" s="917">
        <v>364</v>
      </c>
      <c r="B372" s="1828" t="e">
        <f>IF('Proposed Lighting'!#REF!="","",'Proposed Lighting'!#REF!)</f>
        <v>#REF!</v>
      </c>
      <c r="C372" s="1828"/>
      <c r="D372" s="1828"/>
      <c r="E372" s="1245" t="e">
        <f>'Proposed Lighting'!#REF!</f>
        <v>#REF!</v>
      </c>
      <c r="F372" s="1245">
        <f t="shared" si="68"/>
        <v>0</v>
      </c>
      <c r="G372" s="1830" t="e">
        <f>IF('Proposed Lighting'!#REF!="","",IF(ISNUMBER(SEARCH("Networked",'Proposed Lighting'!#REF!)),0,IF(ISNUMBER(SEARCH("Strategies",'Proposed Lighting'!#REF!)),0,IF(ISNUMBER(SEARCH("Removal",'Proposed Lighting'!#REF!)),0,'Proposed Lighting'!#REF!))))</f>
        <v>#REF!</v>
      </c>
      <c r="H372" s="1830"/>
      <c r="I372" s="1830"/>
      <c r="J372" s="1830"/>
      <c r="K372" s="1215"/>
      <c r="L372" s="1246" t="e">
        <f t="shared" si="69"/>
        <v>#REF!</v>
      </c>
      <c r="M372" s="1224">
        <f t="shared" si="70"/>
        <v>0</v>
      </c>
      <c r="N372" s="1224">
        <f t="shared" si="71"/>
        <v>0</v>
      </c>
      <c r="O372" s="1825" t="e">
        <f>IF(G372=0,0,IF(ISNA('Proposed Lighting'!#REF!),0,'Proposed Lighting'!#REF!))</f>
        <v>#REF!</v>
      </c>
      <c r="P372" s="1825"/>
      <c r="Q372" s="1247"/>
      <c r="R372" s="1247"/>
      <c r="S372" s="1247"/>
      <c r="T372" s="1211"/>
      <c r="U372" s="1235">
        <f>IF(K372&gt;0.01,'Proposed Lighting'!#REF!,0)</f>
        <v>0</v>
      </c>
      <c r="V372" s="1248" t="e">
        <f>IF('Proposed Lighting'!#REF!=1,0,IF('Proposed Lighting'!#REF!=2,0,IF(AND('Proposed Lighting'!#REF!=3,'Proposed Lighting'!#REF!=0),1,0)))</f>
        <v>#REF!</v>
      </c>
      <c r="W372" s="1836"/>
      <c r="X372" s="1836"/>
      <c r="Y372" s="1836"/>
      <c r="Z372" s="1230" t="str">
        <f t="shared" si="65"/>
        <v/>
      </c>
      <c r="AA372" s="1230">
        <f t="shared" si="66"/>
        <v>0</v>
      </c>
      <c r="AB372" s="1230">
        <f>IF(Q372=0,0,IF(T372=0,0,IF(AA372=0,0,IF(AND(F372=3,V372=0),0,IF(T372=0,0,IF(K372&gt;'Proposed Lighting'!#REF!,0,IF('Proposed Lighting'!#REF!&gt;0.01,(K372*O372)*'Proposed Lighting'!#REF!/1000,(K372*O372)*U372/1000)))))))</f>
        <v>0</v>
      </c>
      <c r="AC372" s="1230" t="str">
        <f t="shared" si="72"/>
        <v/>
      </c>
      <c r="AD372" s="1230">
        <f t="shared" si="67"/>
        <v>0</v>
      </c>
      <c r="AE372" s="1230">
        <f>IF(T372=0,0,IF(K372&gt;'Proposed Lighting'!#REF!,0,IF(T372&gt;K372,0,IF(AND(AD372&gt;AA372,AA372&gt;0),0,IF(AND(F372&gt;1,W372&lt;0.01),0,IF('Proposed Lighting'!#REF!&gt;'Lighting Controls'!F372,0,IF('Proposed Lighting'!#REF!&lt;'Lighting Controls'!F372,0,IF(U372=0,0,Summary!#REF!))))))))</f>
        <v>0</v>
      </c>
      <c r="AF372" s="1230">
        <f>IF(T372=0,0,IF(AE372=0,0,IF(K372&gt;'Proposed Lighting'!#REF!,0,IF(AND(AD372&gt;AA372,AA372&gt;0),0,IF(U372=0,0,Summary!#REF!)))))</f>
        <v>0</v>
      </c>
      <c r="AG372" s="1834" t="e">
        <f>IF('Proposed Lighting'!#REF!=1,0,IF('Proposed Lighting'!#REF!=1,0,T372*W372))</f>
        <v>#REF!</v>
      </c>
      <c r="AH372" s="1834"/>
      <c r="AI372" s="1834"/>
      <c r="AJ372" s="1835">
        <f>IF(T372&lt;1,0,IF(K372&gt;'Proposed Lighting'!#REF!,0,IF('Proposed Lighting'!#REF!=1,0,IF('Proposed Lighting'!#REF!=1,0,IF(T372&gt;K372,0,IF(AND(AD372&gt;AA372,AA372&gt;0),0,IF(AND(F372=2,'Proposed Lighting'!#REF!=3),0,IF(AND(F372=3,'Proposed Lighting'!#REF!=2),0,IF('Proposed Lighting'!#REF!=100,0,IF(AND(F372&lt;3,V372=1,AM372=0),0,IF(AND(F372&gt;1,AF372&lt;1,AN372&lt;1),0,IF(AND(F372&gt;1,AE372&lt;0.69,AF372&lt;1,AN372&lt;1),0,IF(ISERROR(AB372-AC372),"",AB372-AC372)))))))))))))</f>
        <v>0</v>
      </c>
      <c r="AK372" s="1835"/>
      <c r="AL372" s="1835"/>
      <c r="AM372" s="1216">
        <f>IF(Q372=0,0,IF(T372=0,0,IF(T372&gt;K372,0,IF(AND(AS372&gt;0.01,BK372=0),0,IF(AND('Proposed Lighting'!#REF!=0,'Lighting Controls'!Z372=0.35),0,IF(AND(T372&lt;=K372,AA372&gt;=AD372,'Proposed Lighting'!#REF!=2),VLOOKUP(Q372,$AY$9:$AZ$15,2,FALSE),IF(AND(T372&lt;=K372,AA372&gt;=AD372,'Proposed Lighting'!#REF!=3),VLOOKUP(Q372,$AY$17:$AZ$23,2,FALSE))))))))</f>
        <v>0</v>
      </c>
      <c r="AN372" s="1248">
        <f>IF(T372=0,0,IF(K372&gt;'Proposed Lighting'!#REF!,0,IF(AE372=0,0,IF(AND(AD372&gt;AA372,AA372&gt;0),0,IF(U372=0,0,Summary!#REF!)))))</f>
        <v>0</v>
      </c>
      <c r="AO372" s="1248">
        <f t="shared" si="76"/>
        <v>0</v>
      </c>
      <c r="AP372" s="1249" t="e">
        <f>IF('Proposed Lighting'!#REF!=1,0,IF(K372=0,0,IF(T372&gt;K372,0,IF(G372=0,0,IF(K372&gt;'Proposed Lighting'!#REF!,0,IF(AND(AD372&gt;AA372,AA372&gt;0),0,IF(AND('Proposed Lighting'!#REF!=3,AM372=0.5),0,IF(AND(AM372&gt;0,AS372&gt;0,BI372&lt;2),0,IF('Proposed Lighting'!#REF!=100,0,IF(AV372=1,0,IF(AND(AM372=35,M372+N372&lt;2),0,AM372)))))))))))</f>
        <v>#REF!</v>
      </c>
      <c r="AQ372" s="1249" t="str">
        <f>IFERROR(ROUND(IF(Q372="","",IF('Proposed Lighting'!$X$4=0,0,IF(AND(AM372=35,M372+N372&lt;2),0,IF(T372&gt;K372,0,IF('Proposed Lighting'!#REF!=1,0,IF(AJ372=0,0,IF(AND('Proposed Lighting'!#REF!=3,AM372=0.5),0,IF(AND(AD372=75,AP372=0,AV372=0),0,IF(AP372&gt;0.01,AP372*T372,IF(AND(F372&gt;1,W372&lt;0.01),0,IF(AND(F372&gt;1,AO372=0),0,IF(AND('Proposed Lighting'!#REF!=22,AV372=0),0,IF(AND(AM372&gt;0,AS372&gt;0,BI372&lt;2),0,IF(AND(AS372&gt;0.01,BK372=0),0,IF(AND(AO372=TRUE,AV372=1,F372=3),MIN(AJ372*0.08,L372),IF(AP372&gt;0.01,AP372*T372,IF(AND(AO372=TRUE,AV372=1,F372=2),MIN(AJ372*0.1,L372)))))))))))))))))),2),"")</f>
        <v/>
      </c>
      <c r="AR372" s="1250">
        <f>IF(Q372=0,0,IF('Proposed Lighting'!$X$4=0,0,IF(AND(AM372&gt;0.01,AQ372&gt;0.01),0,IF('Proposed Lighting'!#REF!=1,"Missing Interior or Exterior Selection",IF('Proposed Lighting'!#REF!=1,"Selection does not match",IF(K372&gt;'Proposed Lighting'!#REF!,"Quantity controlled does not match proposed lighting quantity",IF(T372&gt;K372,"Quantity of sensors exceeds proposed lighting quantity",IF(AND(F372&gt;1,'Proposed Lighting'!#REF!&lt;&gt;F372),"Selection does not match",IF(AND(AD372&gt;AA372,AA372&gt;0),"Does not meet minimum connected load",IF(AND(O372&gt;0,AS372&gt;0,BK372&gt;0,'Proposed Lighting'!#REF!=0),"Select Control Strategies",IF(AND(AC372&gt;0.1,AJ372=0,AQ372=0),"Does not meet incentive criteria",0)))))))))))</f>
        <v>0</v>
      </c>
      <c r="AS372" s="1224" t="e">
        <f>IF('Proposed Lighting'!#REF!=100,0,IF(ISNUMBER(SEARCH("multiple",Q372)),1,0))</f>
        <v>#REF!</v>
      </c>
      <c r="AT372" s="451">
        <f t="shared" si="73"/>
        <v>0</v>
      </c>
      <c r="AU372" s="451" t="e">
        <f t="shared" si="74"/>
        <v>#REF!</v>
      </c>
      <c r="AV372" s="1222">
        <f>IF(ISNUMBER(SEARCH("Networked",'Proposed Lighting'!#REF!)),0,IF(ISNUMBER(SEARCH("Strategies",'Proposed Lighting'!#REF!)),0,IF(ISNUMBER(SEARCH("Removal",'Proposed Lighting'!#REF!)),0,IF(ISNUMBER(SEARCH("non-standard",Q372)),1,0))))</f>
        <v>0</v>
      </c>
      <c r="AW372" s="451">
        <f t="shared" si="77"/>
        <v>0</v>
      </c>
      <c r="AX372" s="451"/>
      <c r="AY372" s="451"/>
      <c r="AZ372" s="451"/>
      <c r="BA372" s="451"/>
      <c r="BB372" s="451"/>
      <c r="BC372" s="1215"/>
      <c r="BD372" s="1215"/>
      <c r="BE372" s="1215"/>
      <c r="BF372" s="1215"/>
      <c r="BG372" s="1215"/>
      <c r="BH372" s="1215"/>
      <c r="BI372" t="e">
        <f>IF(AND(AS372=1,BC372="No",BD372="Yes",BE372="Yes",BF372="No",BH372="No"),0,IF(AND('Proposed Lighting'!#REF!=2,AS372=1,BC372="Yes",BD372="Yes"),2,IF(AND('Proposed Lighting'!#REF!=2,AS372=1,BC372="Yes",BE372="Yes"),2,IF(AND('Proposed Lighting'!#REF!=2,AS372=1,BC372="Yes",BF372="Yes"),2,IF(AND('Proposed Lighting'!#REF!=2,AS372=1,BC372="Yes",BH372="Yes"),2,IF(AND('Proposed Lighting'!#REF!=2,AS372=1,BD372="Yes",BF372="Yes"),2,IF(AND('Proposed Lighting'!#REF!=2,AS372=1,BD372="Yes",BH372="Yes"),2,IF(AND('Proposed Lighting'!#REF!=3,AS372=1,BC372="Yes",BE372="Yes"),2,IF(AND('Proposed Lighting'!#REF!=3,AS372=1,BC372="Yes",BF372="Yes"),2,0)))))))))</f>
        <v>#REF!</v>
      </c>
      <c r="BJ372" s="1025" t="e">
        <f t="shared" si="75"/>
        <v>#REF!</v>
      </c>
      <c r="BK372" t="e">
        <f>IF(AND('Proposed Lighting'!#REF!=22,'Lighting Controls'!N372=1),0,IF(ISNUMBER(SEARCH("LED",G372)),1,0))</f>
        <v>#REF!</v>
      </c>
    </row>
    <row r="373" spans="1:63" ht="34.5" customHeight="1">
      <c r="A373" s="917">
        <v>365</v>
      </c>
      <c r="B373" s="1828" t="e">
        <f>IF('Proposed Lighting'!#REF!="","",'Proposed Lighting'!#REF!)</f>
        <v>#REF!</v>
      </c>
      <c r="C373" s="1828"/>
      <c r="D373" s="1828"/>
      <c r="E373" s="1245" t="e">
        <f>'Proposed Lighting'!#REF!</f>
        <v>#REF!</v>
      </c>
      <c r="F373" s="1245">
        <f t="shared" si="68"/>
        <v>0</v>
      </c>
      <c r="G373" s="1830" t="e">
        <f>IF('Proposed Lighting'!#REF!="","",IF(ISNUMBER(SEARCH("Networked",'Proposed Lighting'!#REF!)),0,IF(ISNUMBER(SEARCH("Strategies",'Proposed Lighting'!#REF!)),0,IF(ISNUMBER(SEARCH("Removal",'Proposed Lighting'!#REF!)),0,'Proposed Lighting'!#REF!))))</f>
        <v>#REF!</v>
      </c>
      <c r="H373" s="1830"/>
      <c r="I373" s="1830"/>
      <c r="J373" s="1830"/>
      <c r="K373" s="1215"/>
      <c r="L373" s="1246" t="e">
        <f t="shared" si="69"/>
        <v>#REF!</v>
      </c>
      <c r="M373" s="1224">
        <f t="shared" si="70"/>
        <v>0</v>
      </c>
      <c r="N373" s="1224">
        <f t="shared" si="71"/>
        <v>0</v>
      </c>
      <c r="O373" s="1825" t="e">
        <f>IF(G373=0,0,IF(ISNA('Proposed Lighting'!#REF!),0,'Proposed Lighting'!#REF!))</f>
        <v>#REF!</v>
      </c>
      <c r="P373" s="1825"/>
      <c r="Q373" s="1247"/>
      <c r="R373" s="1247"/>
      <c r="S373" s="1247"/>
      <c r="T373" s="1211"/>
      <c r="U373" s="1235">
        <f>IF(K373&gt;0.01,'Proposed Lighting'!#REF!,0)</f>
        <v>0</v>
      </c>
      <c r="V373" s="1248" t="e">
        <f>IF('Proposed Lighting'!#REF!=1,0,IF('Proposed Lighting'!#REF!=2,0,IF(AND('Proposed Lighting'!#REF!=3,'Proposed Lighting'!#REF!=0),1,0)))</f>
        <v>#REF!</v>
      </c>
      <c r="W373" s="1836"/>
      <c r="X373" s="1836"/>
      <c r="Y373" s="1836"/>
      <c r="Z373" s="1230" t="str">
        <f t="shared" si="65"/>
        <v/>
      </c>
      <c r="AA373" s="1230">
        <f t="shared" si="66"/>
        <v>0</v>
      </c>
      <c r="AB373" s="1230">
        <f>IF(Q373=0,0,IF(T373=0,0,IF(AA373=0,0,IF(AND(F373=3,V373=0),0,IF(T373=0,0,IF(K373&gt;'Proposed Lighting'!#REF!,0,IF('Proposed Lighting'!#REF!&gt;0.01,(K373*O373)*'Proposed Lighting'!#REF!/1000,(K373*O373)*U373/1000)))))))</f>
        <v>0</v>
      </c>
      <c r="AC373" s="1230" t="str">
        <f t="shared" si="72"/>
        <v/>
      </c>
      <c r="AD373" s="1230">
        <f t="shared" si="67"/>
        <v>0</v>
      </c>
      <c r="AE373" s="1230">
        <f>IF(T373=0,0,IF(K373&gt;'Proposed Lighting'!#REF!,0,IF(T373&gt;K373,0,IF(AND(AD373&gt;AA373,AA373&gt;0),0,IF(AND(F373&gt;1,W373&lt;0.01),0,IF('Proposed Lighting'!#REF!&gt;'Lighting Controls'!F373,0,IF('Proposed Lighting'!#REF!&lt;'Lighting Controls'!F373,0,IF(U373=0,0,Summary!#REF!))))))))</f>
        <v>0</v>
      </c>
      <c r="AF373" s="1230">
        <f>IF(T373=0,0,IF(AE373=0,0,IF(K373&gt;'Proposed Lighting'!#REF!,0,IF(AND(AD373&gt;AA373,AA373&gt;0),0,IF(U373=0,0,Summary!#REF!)))))</f>
        <v>0</v>
      </c>
      <c r="AG373" s="1834" t="e">
        <f>IF('Proposed Lighting'!#REF!=1,0,IF('Proposed Lighting'!#REF!=1,0,T373*W373))</f>
        <v>#REF!</v>
      </c>
      <c r="AH373" s="1834"/>
      <c r="AI373" s="1834"/>
      <c r="AJ373" s="1835">
        <f>IF(T373&lt;1,0,IF(K373&gt;'Proposed Lighting'!#REF!,0,IF('Proposed Lighting'!#REF!=1,0,IF('Proposed Lighting'!#REF!=1,0,IF(T373&gt;K373,0,IF(AND(AD373&gt;AA373,AA373&gt;0),0,IF(AND(F373=2,'Proposed Lighting'!#REF!=3),0,IF(AND(F373=3,'Proposed Lighting'!#REF!=2),0,IF('Proposed Lighting'!#REF!=100,0,IF(AND(F373&lt;3,V373=1,AM373=0),0,IF(AND(F373&gt;1,AF373&lt;1,AN373&lt;1),0,IF(AND(F373&gt;1,AE373&lt;0.69,AF373&lt;1,AN373&lt;1),0,IF(ISERROR(AB373-AC373),"",AB373-AC373)))))))))))))</f>
        <v>0</v>
      </c>
      <c r="AK373" s="1835"/>
      <c r="AL373" s="1835"/>
      <c r="AM373" s="1216">
        <f>IF(Q373=0,0,IF(T373=0,0,IF(T373&gt;K373,0,IF(AND(AS373&gt;0.01,BK373=0),0,IF(AND('Proposed Lighting'!#REF!=0,'Lighting Controls'!Z373=0.35),0,IF(AND(T373&lt;=K373,AA373&gt;=AD373,'Proposed Lighting'!#REF!=2),VLOOKUP(Q373,$AY$9:$AZ$15,2,FALSE),IF(AND(T373&lt;=K373,AA373&gt;=AD373,'Proposed Lighting'!#REF!=3),VLOOKUP(Q373,$AY$17:$AZ$23,2,FALSE))))))))</f>
        <v>0</v>
      </c>
      <c r="AN373" s="1248">
        <f>IF(T373=0,0,IF(K373&gt;'Proposed Lighting'!#REF!,0,IF(AE373=0,0,IF(AND(AD373&gt;AA373,AA373&gt;0),0,IF(U373=0,0,Summary!#REF!)))))</f>
        <v>0</v>
      </c>
      <c r="AO373" s="1248">
        <f t="shared" si="76"/>
        <v>0</v>
      </c>
      <c r="AP373" s="1249" t="e">
        <f>IF('Proposed Lighting'!#REF!=1,0,IF(K373=0,0,IF(T373&gt;K373,0,IF(G373=0,0,IF(K373&gt;'Proposed Lighting'!#REF!,0,IF(AND(AD373&gt;AA373,AA373&gt;0),0,IF(AND('Proposed Lighting'!#REF!=3,AM373=0.5),0,IF(AND(AM373&gt;0,AS373&gt;0,BI373&lt;2),0,IF('Proposed Lighting'!#REF!=100,0,IF(AV373=1,0,IF(AND(AM373=35,M373+N373&lt;2),0,AM373)))))))))))</f>
        <v>#REF!</v>
      </c>
      <c r="AQ373" s="1249" t="str">
        <f>IFERROR(ROUND(IF(Q373="","",IF('Proposed Lighting'!$X$4=0,0,IF(AND(AM373=35,M373+N373&lt;2),0,IF(T373&gt;K373,0,IF('Proposed Lighting'!#REF!=1,0,IF(AJ373=0,0,IF(AND('Proposed Lighting'!#REF!=3,AM373=0.5),0,IF(AND(AD373=75,AP373=0,AV373=0),0,IF(AP373&gt;0.01,AP373*T373,IF(AND(F373&gt;1,W373&lt;0.01),0,IF(AND(F373&gt;1,AO373=0),0,IF(AND('Proposed Lighting'!#REF!=22,AV373=0),0,IF(AND(AM373&gt;0,AS373&gt;0,BI373&lt;2),0,IF(AND(AS373&gt;0.01,BK373=0),0,IF(AND(AO373=TRUE,AV373=1,F373=3),MIN(AJ373*0.08,L373),IF(AP373&gt;0.01,AP373*T373,IF(AND(AO373=TRUE,AV373=1,F373=2),MIN(AJ373*0.1,L373)))))))))))))))))),2),"")</f>
        <v/>
      </c>
      <c r="AR373" s="1250">
        <f>IF(Q373=0,0,IF('Proposed Lighting'!$X$4=0,0,IF(AND(AM373&gt;0.01,AQ373&gt;0.01),0,IF('Proposed Lighting'!#REF!=1,"Missing Interior or Exterior Selection",IF('Proposed Lighting'!#REF!=1,"Selection does not match",IF(K373&gt;'Proposed Lighting'!#REF!,"Quantity controlled does not match proposed lighting quantity",IF(T373&gt;K373,"Quantity of sensors exceeds proposed lighting quantity",IF(AND(F373&gt;1,'Proposed Lighting'!#REF!&lt;&gt;F373),"Selection does not match",IF(AND(AD373&gt;AA373,AA373&gt;0),"Does not meet minimum connected load",IF(AND(O373&gt;0,AS373&gt;0,BK373&gt;0,'Proposed Lighting'!#REF!=0),"Select Control Strategies",IF(AND(AC373&gt;0.1,AJ373=0,AQ373=0),"Does not meet incentive criteria",0)))))))))))</f>
        <v>0</v>
      </c>
      <c r="AS373" s="1224" t="e">
        <f>IF('Proposed Lighting'!#REF!=100,0,IF(ISNUMBER(SEARCH("multiple",Q373)),1,0))</f>
        <v>#REF!</v>
      </c>
      <c r="AT373" s="451">
        <f t="shared" si="73"/>
        <v>0</v>
      </c>
      <c r="AU373" s="451" t="e">
        <f t="shared" si="74"/>
        <v>#REF!</v>
      </c>
      <c r="AV373" s="1222">
        <f>IF(ISNUMBER(SEARCH("Networked",'Proposed Lighting'!#REF!)),0,IF(ISNUMBER(SEARCH("Strategies",'Proposed Lighting'!#REF!)),0,IF(ISNUMBER(SEARCH("Removal",'Proposed Lighting'!#REF!)),0,IF(ISNUMBER(SEARCH("non-standard",Q373)),1,0))))</f>
        <v>0</v>
      </c>
      <c r="AW373" s="451">
        <f t="shared" si="77"/>
        <v>0</v>
      </c>
      <c r="AX373" s="451"/>
      <c r="AY373" s="451"/>
      <c r="AZ373" s="451"/>
      <c r="BA373" s="451"/>
      <c r="BB373" s="451"/>
      <c r="BC373" s="1215"/>
      <c r="BD373" s="1215"/>
      <c r="BE373" s="1215"/>
      <c r="BF373" s="1215"/>
      <c r="BG373" s="1215"/>
      <c r="BH373" s="1215"/>
      <c r="BI373" t="e">
        <f>IF(AND(AS373=1,BC373="No",BD373="Yes",BE373="Yes",BF373="No",BH373="No"),0,IF(AND('Proposed Lighting'!#REF!=2,AS373=1,BC373="Yes",BD373="Yes"),2,IF(AND('Proposed Lighting'!#REF!=2,AS373=1,BC373="Yes",BE373="Yes"),2,IF(AND('Proposed Lighting'!#REF!=2,AS373=1,BC373="Yes",BF373="Yes"),2,IF(AND('Proposed Lighting'!#REF!=2,AS373=1,BC373="Yes",BH373="Yes"),2,IF(AND('Proposed Lighting'!#REF!=2,AS373=1,BD373="Yes",BF373="Yes"),2,IF(AND('Proposed Lighting'!#REF!=2,AS373=1,BD373="Yes",BH373="Yes"),2,IF(AND('Proposed Lighting'!#REF!=3,AS373=1,BC373="Yes",BE373="Yes"),2,IF(AND('Proposed Lighting'!#REF!=3,AS373=1,BC373="Yes",BF373="Yes"),2,0)))))))))</f>
        <v>#REF!</v>
      </c>
      <c r="BJ373" s="1025" t="e">
        <f t="shared" si="75"/>
        <v>#REF!</v>
      </c>
      <c r="BK373" t="e">
        <f>IF(AND('Proposed Lighting'!#REF!=22,'Lighting Controls'!N373=1),0,IF(ISNUMBER(SEARCH("LED",G373)),1,0))</f>
        <v>#REF!</v>
      </c>
    </row>
    <row r="374" spans="1:63" ht="34.5" customHeight="1">
      <c r="A374" s="917">
        <v>366</v>
      </c>
      <c r="B374" s="1828" t="e">
        <f>IF('Proposed Lighting'!#REF!="","",'Proposed Lighting'!#REF!)</f>
        <v>#REF!</v>
      </c>
      <c r="C374" s="1828"/>
      <c r="D374" s="1828"/>
      <c r="E374" s="1245" t="e">
        <f>'Proposed Lighting'!#REF!</f>
        <v>#REF!</v>
      </c>
      <c r="F374" s="1245">
        <f t="shared" si="68"/>
        <v>0</v>
      </c>
      <c r="G374" s="1830" t="e">
        <f>IF('Proposed Lighting'!#REF!="","",IF(ISNUMBER(SEARCH("Networked",'Proposed Lighting'!#REF!)),0,IF(ISNUMBER(SEARCH("Strategies",'Proposed Lighting'!#REF!)),0,IF(ISNUMBER(SEARCH("Removal",'Proposed Lighting'!#REF!)),0,'Proposed Lighting'!#REF!))))</f>
        <v>#REF!</v>
      </c>
      <c r="H374" s="1830"/>
      <c r="I374" s="1830"/>
      <c r="J374" s="1830"/>
      <c r="K374" s="1215"/>
      <c r="L374" s="1246" t="e">
        <f t="shared" si="69"/>
        <v>#REF!</v>
      </c>
      <c r="M374" s="1224">
        <f t="shared" si="70"/>
        <v>0</v>
      </c>
      <c r="N374" s="1224">
        <f t="shared" si="71"/>
        <v>0</v>
      </c>
      <c r="O374" s="1825" t="e">
        <f>IF(G374=0,0,IF(ISNA('Proposed Lighting'!#REF!),0,'Proposed Lighting'!#REF!))</f>
        <v>#REF!</v>
      </c>
      <c r="P374" s="1825"/>
      <c r="Q374" s="1247"/>
      <c r="R374" s="1247"/>
      <c r="S374" s="1247"/>
      <c r="T374" s="1211"/>
      <c r="U374" s="1235">
        <f>IF(K374&gt;0.01,'Proposed Lighting'!#REF!,0)</f>
        <v>0</v>
      </c>
      <c r="V374" s="1248" t="e">
        <f>IF('Proposed Lighting'!#REF!=1,0,IF('Proposed Lighting'!#REF!=2,0,IF(AND('Proposed Lighting'!#REF!=3,'Proposed Lighting'!#REF!=0),1,0)))</f>
        <v>#REF!</v>
      </c>
      <c r="W374" s="1836"/>
      <c r="X374" s="1836"/>
      <c r="Y374" s="1836"/>
      <c r="Z374" s="1230" t="str">
        <f t="shared" si="65"/>
        <v/>
      </c>
      <c r="AA374" s="1230">
        <f t="shared" si="66"/>
        <v>0</v>
      </c>
      <c r="AB374" s="1230">
        <f>IF(Q374=0,0,IF(T374=0,0,IF(AA374=0,0,IF(AND(F374=3,V374=0),0,IF(T374=0,0,IF(K374&gt;'Proposed Lighting'!#REF!,0,IF('Proposed Lighting'!#REF!&gt;0.01,(K374*O374)*'Proposed Lighting'!#REF!/1000,(K374*O374)*U374/1000)))))))</f>
        <v>0</v>
      </c>
      <c r="AC374" s="1230" t="str">
        <f t="shared" si="72"/>
        <v/>
      </c>
      <c r="AD374" s="1230">
        <f t="shared" si="67"/>
        <v>0</v>
      </c>
      <c r="AE374" s="1230">
        <f>IF(T374=0,0,IF(K374&gt;'Proposed Lighting'!#REF!,0,IF(T374&gt;K374,0,IF(AND(AD374&gt;AA374,AA374&gt;0),0,IF(AND(F374&gt;1,W374&lt;0.01),0,IF('Proposed Lighting'!#REF!&gt;'Lighting Controls'!F374,0,IF('Proposed Lighting'!#REF!&lt;'Lighting Controls'!F374,0,IF(U374=0,0,Summary!#REF!))))))))</f>
        <v>0</v>
      </c>
      <c r="AF374" s="1230">
        <f>IF(T374=0,0,IF(AE374=0,0,IF(K374&gt;'Proposed Lighting'!#REF!,0,IF(AND(AD374&gt;AA374,AA374&gt;0),0,IF(U374=0,0,Summary!#REF!)))))</f>
        <v>0</v>
      </c>
      <c r="AG374" s="1834" t="e">
        <f>IF('Proposed Lighting'!#REF!=1,0,IF('Proposed Lighting'!#REF!=1,0,T374*W374))</f>
        <v>#REF!</v>
      </c>
      <c r="AH374" s="1834"/>
      <c r="AI374" s="1834"/>
      <c r="AJ374" s="1835">
        <f>IF(T374&lt;1,0,IF(K374&gt;'Proposed Lighting'!#REF!,0,IF('Proposed Lighting'!#REF!=1,0,IF('Proposed Lighting'!#REF!=1,0,IF(T374&gt;K374,0,IF(AND(AD374&gt;AA374,AA374&gt;0),0,IF(AND(F374=2,'Proposed Lighting'!#REF!=3),0,IF(AND(F374=3,'Proposed Lighting'!#REF!=2),0,IF('Proposed Lighting'!#REF!=100,0,IF(AND(F374&lt;3,V374=1,AM374=0),0,IF(AND(F374&gt;1,AF374&lt;1,AN374&lt;1),0,IF(AND(F374&gt;1,AE374&lt;0.69,AF374&lt;1,AN374&lt;1),0,IF(ISERROR(AB374-AC374),"",AB374-AC374)))))))))))))</f>
        <v>0</v>
      </c>
      <c r="AK374" s="1835"/>
      <c r="AL374" s="1835"/>
      <c r="AM374" s="1216">
        <f>IF(Q374=0,0,IF(T374=0,0,IF(T374&gt;K374,0,IF(AND(AS374&gt;0.01,BK374=0),0,IF(AND('Proposed Lighting'!#REF!=0,'Lighting Controls'!Z374=0.35),0,IF(AND(T374&lt;=K374,AA374&gt;=AD374,'Proposed Lighting'!#REF!=2),VLOOKUP(Q374,$AY$9:$AZ$15,2,FALSE),IF(AND(T374&lt;=K374,AA374&gt;=AD374,'Proposed Lighting'!#REF!=3),VLOOKUP(Q374,$AY$17:$AZ$23,2,FALSE))))))))</f>
        <v>0</v>
      </c>
      <c r="AN374" s="1248">
        <f>IF(T374=0,0,IF(K374&gt;'Proposed Lighting'!#REF!,0,IF(AE374=0,0,IF(AND(AD374&gt;AA374,AA374&gt;0),0,IF(U374=0,0,Summary!#REF!)))))</f>
        <v>0</v>
      </c>
      <c r="AO374" s="1248">
        <f t="shared" si="76"/>
        <v>0</v>
      </c>
      <c r="AP374" s="1249" t="e">
        <f>IF('Proposed Lighting'!#REF!=1,0,IF(K374=0,0,IF(T374&gt;K374,0,IF(G374=0,0,IF(K374&gt;'Proposed Lighting'!#REF!,0,IF(AND(AD374&gt;AA374,AA374&gt;0),0,IF(AND('Proposed Lighting'!#REF!=3,AM374=0.5),0,IF(AND(AM374&gt;0,AS374&gt;0,BI374&lt;2),0,IF('Proposed Lighting'!#REF!=100,0,IF(AV374=1,0,IF(AND(AM374=35,M374+N374&lt;2),0,AM374)))))))))))</f>
        <v>#REF!</v>
      </c>
      <c r="AQ374" s="1249" t="str">
        <f>IFERROR(ROUND(IF(Q374="","",IF('Proposed Lighting'!$X$4=0,0,IF(AND(AM374=35,M374+N374&lt;2),0,IF(T374&gt;K374,0,IF('Proposed Lighting'!#REF!=1,0,IF(AJ374=0,0,IF(AND('Proposed Lighting'!#REF!=3,AM374=0.5),0,IF(AND(AD374=75,AP374=0,AV374=0),0,IF(AP374&gt;0.01,AP374*T374,IF(AND(F374&gt;1,W374&lt;0.01),0,IF(AND(F374&gt;1,AO374=0),0,IF(AND('Proposed Lighting'!#REF!=22,AV374=0),0,IF(AND(AM374&gt;0,AS374&gt;0,BI374&lt;2),0,IF(AND(AS374&gt;0.01,BK374=0),0,IF(AND(AO374=TRUE,AV374=1,F374=3),MIN(AJ374*0.08,L374),IF(AP374&gt;0.01,AP374*T374,IF(AND(AO374=TRUE,AV374=1,F374=2),MIN(AJ374*0.1,L374)))))))))))))))))),2),"")</f>
        <v/>
      </c>
      <c r="AR374" s="1250">
        <f>IF(Q374=0,0,IF('Proposed Lighting'!$X$4=0,0,IF(AND(AM374&gt;0.01,AQ374&gt;0.01),0,IF('Proposed Lighting'!#REF!=1,"Missing Interior or Exterior Selection",IF('Proposed Lighting'!#REF!=1,"Selection does not match",IF(K374&gt;'Proposed Lighting'!#REF!,"Quantity controlled does not match proposed lighting quantity",IF(T374&gt;K374,"Quantity of sensors exceeds proposed lighting quantity",IF(AND(F374&gt;1,'Proposed Lighting'!#REF!&lt;&gt;F374),"Selection does not match",IF(AND(AD374&gt;AA374,AA374&gt;0),"Does not meet minimum connected load",IF(AND(O374&gt;0,AS374&gt;0,BK374&gt;0,'Proposed Lighting'!#REF!=0),"Select Control Strategies",IF(AND(AC374&gt;0.1,AJ374=0,AQ374=0),"Does not meet incentive criteria",0)))))))))))</f>
        <v>0</v>
      </c>
      <c r="AS374" s="1224" t="e">
        <f>IF('Proposed Lighting'!#REF!=100,0,IF(ISNUMBER(SEARCH("multiple",Q374)),1,0))</f>
        <v>#REF!</v>
      </c>
      <c r="AT374" s="451">
        <f t="shared" si="73"/>
        <v>0</v>
      </c>
      <c r="AU374" s="451" t="e">
        <f t="shared" si="74"/>
        <v>#REF!</v>
      </c>
      <c r="AV374" s="1222">
        <f>IF(ISNUMBER(SEARCH("Networked",'Proposed Lighting'!#REF!)),0,IF(ISNUMBER(SEARCH("Strategies",'Proposed Lighting'!#REF!)),0,IF(ISNUMBER(SEARCH("Removal",'Proposed Lighting'!#REF!)),0,IF(ISNUMBER(SEARCH("non-standard",Q374)),1,0))))</f>
        <v>0</v>
      </c>
      <c r="AW374" s="451">
        <f t="shared" si="77"/>
        <v>0</v>
      </c>
      <c r="AX374" s="451"/>
      <c r="AY374" s="451"/>
      <c r="AZ374" s="451"/>
      <c r="BA374" s="451"/>
      <c r="BB374" s="451"/>
      <c r="BC374" s="1215"/>
      <c r="BD374" s="1215"/>
      <c r="BE374" s="1215"/>
      <c r="BF374" s="1215"/>
      <c r="BG374" s="1215"/>
      <c r="BH374" s="1215"/>
      <c r="BI374" t="e">
        <f>IF(AND(AS374=1,BC374="No",BD374="Yes",BE374="Yes",BF374="No",BH374="No"),0,IF(AND('Proposed Lighting'!#REF!=2,AS374=1,BC374="Yes",BD374="Yes"),2,IF(AND('Proposed Lighting'!#REF!=2,AS374=1,BC374="Yes",BE374="Yes"),2,IF(AND('Proposed Lighting'!#REF!=2,AS374=1,BC374="Yes",BF374="Yes"),2,IF(AND('Proposed Lighting'!#REF!=2,AS374=1,BC374="Yes",BH374="Yes"),2,IF(AND('Proposed Lighting'!#REF!=2,AS374=1,BD374="Yes",BF374="Yes"),2,IF(AND('Proposed Lighting'!#REF!=2,AS374=1,BD374="Yes",BH374="Yes"),2,IF(AND('Proposed Lighting'!#REF!=3,AS374=1,BC374="Yes",BE374="Yes"),2,IF(AND('Proposed Lighting'!#REF!=3,AS374=1,BC374="Yes",BF374="Yes"),2,0)))))))))</f>
        <v>#REF!</v>
      </c>
      <c r="BJ374" s="1025" t="e">
        <f t="shared" si="75"/>
        <v>#REF!</v>
      </c>
      <c r="BK374" t="e">
        <f>IF(AND('Proposed Lighting'!#REF!=22,'Lighting Controls'!N374=1),0,IF(ISNUMBER(SEARCH("LED",G374)),1,0))</f>
        <v>#REF!</v>
      </c>
    </row>
    <row r="375" spans="1:63" ht="34.5" customHeight="1">
      <c r="A375" s="917">
        <v>367</v>
      </c>
      <c r="B375" s="1828" t="e">
        <f>IF('Proposed Lighting'!#REF!="","",'Proposed Lighting'!#REF!)</f>
        <v>#REF!</v>
      </c>
      <c r="C375" s="1828"/>
      <c r="D375" s="1828"/>
      <c r="E375" s="1245" t="e">
        <f>'Proposed Lighting'!#REF!</f>
        <v>#REF!</v>
      </c>
      <c r="F375" s="1245">
        <f t="shared" si="68"/>
        <v>0</v>
      </c>
      <c r="G375" s="1830" t="e">
        <f>IF('Proposed Lighting'!#REF!="","",IF(ISNUMBER(SEARCH("Networked",'Proposed Lighting'!#REF!)),0,IF(ISNUMBER(SEARCH("Strategies",'Proposed Lighting'!#REF!)),0,IF(ISNUMBER(SEARCH("Removal",'Proposed Lighting'!#REF!)),0,'Proposed Lighting'!#REF!))))</f>
        <v>#REF!</v>
      </c>
      <c r="H375" s="1830"/>
      <c r="I375" s="1830"/>
      <c r="J375" s="1830"/>
      <c r="K375" s="1215"/>
      <c r="L375" s="1246" t="e">
        <f t="shared" si="69"/>
        <v>#REF!</v>
      </c>
      <c r="M375" s="1224">
        <f t="shared" si="70"/>
        <v>0</v>
      </c>
      <c r="N375" s="1224">
        <f t="shared" si="71"/>
        <v>0</v>
      </c>
      <c r="O375" s="1825" t="e">
        <f>IF(G375=0,0,IF(ISNA('Proposed Lighting'!#REF!),0,'Proposed Lighting'!#REF!))</f>
        <v>#REF!</v>
      </c>
      <c r="P375" s="1825"/>
      <c r="Q375" s="1247"/>
      <c r="R375" s="1247"/>
      <c r="S375" s="1247"/>
      <c r="T375" s="1211"/>
      <c r="U375" s="1235">
        <f>IF(K375&gt;0.01,'Proposed Lighting'!#REF!,0)</f>
        <v>0</v>
      </c>
      <c r="V375" s="1248" t="e">
        <f>IF('Proposed Lighting'!#REF!=1,0,IF('Proposed Lighting'!#REF!=2,0,IF(AND('Proposed Lighting'!#REF!=3,'Proposed Lighting'!#REF!=0),1,0)))</f>
        <v>#REF!</v>
      </c>
      <c r="W375" s="1836"/>
      <c r="X375" s="1836"/>
      <c r="Y375" s="1836"/>
      <c r="Z375" s="1230" t="str">
        <f t="shared" si="65"/>
        <v/>
      </c>
      <c r="AA375" s="1230">
        <f t="shared" si="66"/>
        <v>0</v>
      </c>
      <c r="AB375" s="1230">
        <f>IF(Q375=0,0,IF(T375=0,0,IF(AA375=0,0,IF(AND(F375=3,V375=0),0,IF(T375=0,0,IF(K375&gt;'Proposed Lighting'!#REF!,0,IF('Proposed Lighting'!#REF!&gt;0.01,(K375*O375)*'Proposed Lighting'!#REF!/1000,(K375*O375)*U375/1000)))))))</f>
        <v>0</v>
      </c>
      <c r="AC375" s="1230" t="str">
        <f t="shared" si="72"/>
        <v/>
      </c>
      <c r="AD375" s="1230">
        <f t="shared" si="67"/>
        <v>0</v>
      </c>
      <c r="AE375" s="1230">
        <f>IF(T375=0,0,IF(K375&gt;'Proposed Lighting'!#REF!,0,IF(T375&gt;K375,0,IF(AND(AD375&gt;AA375,AA375&gt;0),0,IF(AND(F375&gt;1,W375&lt;0.01),0,IF('Proposed Lighting'!#REF!&gt;'Lighting Controls'!F375,0,IF('Proposed Lighting'!#REF!&lt;'Lighting Controls'!F375,0,IF(U375=0,0,Summary!#REF!))))))))</f>
        <v>0</v>
      </c>
      <c r="AF375" s="1230">
        <f>IF(T375=0,0,IF(AE375=0,0,IF(K375&gt;'Proposed Lighting'!#REF!,0,IF(AND(AD375&gt;AA375,AA375&gt;0),0,IF(U375=0,0,Summary!#REF!)))))</f>
        <v>0</v>
      </c>
      <c r="AG375" s="1834" t="e">
        <f>IF('Proposed Lighting'!#REF!=1,0,IF('Proposed Lighting'!#REF!=1,0,T375*W375))</f>
        <v>#REF!</v>
      </c>
      <c r="AH375" s="1834"/>
      <c r="AI375" s="1834"/>
      <c r="AJ375" s="1835">
        <f>IF(T375&lt;1,0,IF(K375&gt;'Proposed Lighting'!#REF!,0,IF('Proposed Lighting'!#REF!=1,0,IF('Proposed Lighting'!#REF!=1,0,IF(T375&gt;K375,0,IF(AND(AD375&gt;AA375,AA375&gt;0),0,IF(AND(F375=2,'Proposed Lighting'!#REF!=3),0,IF(AND(F375=3,'Proposed Lighting'!#REF!=2),0,IF('Proposed Lighting'!#REF!=100,0,IF(AND(F375&lt;3,V375=1,AM375=0),0,IF(AND(F375&gt;1,AF375&lt;1,AN375&lt;1),0,IF(AND(F375&gt;1,AE375&lt;0.69,AF375&lt;1,AN375&lt;1),0,IF(ISERROR(AB375-AC375),"",AB375-AC375)))))))))))))</f>
        <v>0</v>
      </c>
      <c r="AK375" s="1835"/>
      <c r="AL375" s="1835"/>
      <c r="AM375" s="1216">
        <f>IF(Q375=0,0,IF(T375=0,0,IF(T375&gt;K375,0,IF(AND(AS375&gt;0.01,BK375=0),0,IF(AND('Proposed Lighting'!#REF!=0,'Lighting Controls'!Z375=0.35),0,IF(AND(T375&lt;=K375,AA375&gt;=AD375,'Proposed Lighting'!#REF!=2),VLOOKUP(Q375,$AY$9:$AZ$15,2,FALSE),IF(AND(T375&lt;=K375,AA375&gt;=AD375,'Proposed Lighting'!#REF!=3),VLOOKUP(Q375,$AY$17:$AZ$23,2,FALSE))))))))</f>
        <v>0</v>
      </c>
      <c r="AN375" s="1248">
        <f>IF(T375=0,0,IF(K375&gt;'Proposed Lighting'!#REF!,0,IF(AE375=0,0,IF(AND(AD375&gt;AA375,AA375&gt;0),0,IF(U375=0,0,Summary!#REF!)))))</f>
        <v>0</v>
      </c>
      <c r="AO375" s="1248">
        <f t="shared" si="76"/>
        <v>0</v>
      </c>
      <c r="AP375" s="1249" t="e">
        <f>IF('Proposed Lighting'!#REF!=1,0,IF(K375=0,0,IF(T375&gt;K375,0,IF(G375=0,0,IF(K375&gt;'Proposed Lighting'!#REF!,0,IF(AND(AD375&gt;AA375,AA375&gt;0),0,IF(AND('Proposed Lighting'!#REF!=3,AM375=0.5),0,IF(AND(AM375&gt;0,AS375&gt;0,BI375&lt;2),0,IF('Proposed Lighting'!#REF!=100,0,IF(AV375=1,0,IF(AND(AM375=35,M375+N375&lt;2),0,AM375)))))))))))</f>
        <v>#REF!</v>
      </c>
      <c r="AQ375" s="1249" t="str">
        <f>IFERROR(ROUND(IF(Q375="","",IF('Proposed Lighting'!$X$4=0,0,IF(AND(AM375=35,M375+N375&lt;2),0,IF(T375&gt;K375,0,IF('Proposed Lighting'!#REF!=1,0,IF(AJ375=0,0,IF(AND('Proposed Lighting'!#REF!=3,AM375=0.5),0,IF(AND(AD375=75,AP375=0,AV375=0),0,IF(AP375&gt;0.01,AP375*T375,IF(AND(F375&gt;1,W375&lt;0.01),0,IF(AND(F375&gt;1,AO375=0),0,IF(AND('Proposed Lighting'!#REF!=22,AV375=0),0,IF(AND(AM375&gt;0,AS375&gt;0,BI375&lt;2),0,IF(AND(AS375&gt;0.01,BK375=0),0,IF(AND(AO375=TRUE,AV375=1,F375=3),MIN(AJ375*0.08,L375),IF(AP375&gt;0.01,AP375*T375,IF(AND(AO375=TRUE,AV375=1,F375=2),MIN(AJ375*0.1,L375)))))))))))))))))),2),"")</f>
        <v/>
      </c>
      <c r="AR375" s="1250">
        <f>IF(Q375=0,0,IF('Proposed Lighting'!$X$4=0,0,IF(AND(AM375&gt;0.01,AQ375&gt;0.01),0,IF('Proposed Lighting'!#REF!=1,"Missing Interior or Exterior Selection",IF('Proposed Lighting'!#REF!=1,"Selection does not match",IF(K375&gt;'Proposed Lighting'!#REF!,"Quantity controlled does not match proposed lighting quantity",IF(T375&gt;K375,"Quantity of sensors exceeds proposed lighting quantity",IF(AND(F375&gt;1,'Proposed Lighting'!#REF!&lt;&gt;F375),"Selection does not match",IF(AND(AD375&gt;AA375,AA375&gt;0),"Does not meet minimum connected load",IF(AND(O375&gt;0,AS375&gt;0,BK375&gt;0,'Proposed Lighting'!#REF!=0),"Select Control Strategies",IF(AND(AC375&gt;0.1,AJ375=0,AQ375=0),"Does not meet incentive criteria",0)))))))))))</f>
        <v>0</v>
      </c>
      <c r="AS375" s="1224" t="e">
        <f>IF('Proposed Lighting'!#REF!=100,0,IF(ISNUMBER(SEARCH("multiple",Q375)),1,0))</f>
        <v>#REF!</v>
      </c>
      <c r="AT375" s="451">
        <f t="shared" si="73"/>
        <v>0</v>
      </c>
      <c r="AU375" s="451" t="e">
        <f t="shared" si="74"/>
        <v>#REF!</v>
      </c>
      <c r="AV375" s="1222">
        <f>IF(ISNUMBER(SEARCH("Networked",'Proposed Lighting'!#REF!)),0,IF(ISNUMBER(SEARCH("Strategies",'Proposed Lighting'!#REF!)),0,IF(ISNUMBER(SEARCH("Removal",'Proposed Lighting'!#REF!)),0,IF(ISNUMBER(SEARCH("non-standard",Q375)),1,0))))</f>
        <v>0</v>
      </c>
      <c r="AW375" s="451">
        <f t="shared" si="77"/>
        <v>0</v>
      </c>
      <c r="AX375" s="451"/>
      <c r="AY375" s="451"/>
      <c r="AZ375" s="451"/>
      <c r="BA375" s="451"/>
      <c r="BB375" s="451"/>
      <c r="BC375" s="1215"/>
      <c r="BD375" s="1215"/>
      <c r="BE375" s="1215"/>
      <c r="BF375" s="1215"/>
      <c r="BG375" s="1215"/>
      <c r="BH375" s="1215"/>
      <c r="BI375" t="e">
        <f>IF(AND(AS375=1,BC375="No",BD375="Yes",BE375="Yes",BF375="No",BH375="No"),0,IF(AND('Proposed Lighting'!#REF!=2,AS375=1,BC375="Yes",BD375="Yes"),2,IF(AND('Proposed Lighting'!#REF!=2,AS375=1,BC375="Yes",BE375="Yes"),2,IF(AND('Proposed Lighting'!#REF!=2,AS375=1,BC375="Yes",BF375="Yes"),2,IF(AND('Proposed Lighting'!#REF!=2,AS375=1,BC375="Yes",BH375="Yes"),2,IF(AND('Proposed Lighting'!#REF!=2,AS375=1,BD375="Yes",BF375="Yes"),2,IF(AND('Proposed Lighting'!#REF!=2,AS375=1,BD375="Yes",BH375="Yes"),2,IF(AND('Proposed Lighting'!#REF!=3,AS375=1,BC375="Yes",BE375="Yes"),2,IF(AND('Proposed Lighting'!#REF!=3,AS375=1,BC375="Yes",BF375="Yes"),2,0)))))))))</f>
        <v>#REF!</v>
      </c>
      <c r="BJ375" s="1025" t="e">
        <f t="shared" si="75"/>
        <v>#REF!</v>
      </c>
      <c r="BK375" t="e">
        <f>IF(AND('Proposed Lighting'!#REF!=22,'Lighting Controls'!N375=1),0,IF(ISNUMBER(SEARCH("LED",G375)),1,0))</f>
        <v>#REF!</v>
      </c>
    </row>
    <row r="376" spans="1:63" ht="34.5" customHeight="1">
      <c r="A376" s="917">
        <v>368</v>
      </c>
      <c r="B376" s="1828" t="e">
        <f>IF('Proposed Lighting'!#REF!="","",'Proposed Lighting'!#REF!)</f>
        <v>#REF!</v>
      </c>
      <c r="C376" s="1828"/>
      <c r="D376" s="1828"/>
      <c r="E376" s="1245" t="e">
        <f>'Proposed Lighting'!#REF!</f>
        <v>#REF!</v>
      </c>
      <c r="F376" s="1245">
        <f t="shared" si="68"/>
        <v>0</v>
      </c>
      <c r="G376" s="1830" t="e">
        <f>IF('Proposed Lighting'!#REF!="","",IF(ISNUMBER(SEARCH("Networked",'Proposed Lighting'!#REF!)),0,IF(ISNUMBER(SEARCH("Strategies",'Proposed Lighting'!#REF!)),0,IF(ISNUMBER(SEARCH("Removal",'Proposed Lighting'!#REF!)),0,'Proposed Lighting'!#REF!))))</f>
        <v>#REF!</v>
      </c>
      <c r="H376" s="1830"/>
      <c r="I376" s="1830"/>
      <c r="J376" s="1830"/>
      <c r="K376" s="1215"/>
      <c r="L376" s="1246" t="e">
        <f t="shared" si="69"/>
        <v>#REF!</v>
      </c>
      <c r="M376" s="1224">
        <f t="shared" si="70"/>
        <v>0</v>
      </c>
      <c r="N376" s="1224">
        <f t="shared" si="71"/>
        <v>0</v>
      </c>
      <c r="O376" s="1825" t="e">
        <f>IF(G376=0,0,IF(ISNA('Proposed Lighting'!#REF!),0,'Proposed Lighting'!#REF!))</f>
        <v>#REF!</v>
      </c>
      <c r="P376" s="1825"/>
      <c r="Q376" s="1247"/>
      <c r="R376" s="1247"/>
      <c r="S376" s="1247"/>
      <c r="T376" s="1211"/>
      <c r="U376" s="1235">
        <f>IF(K376&gt;0.01,'Proposed Lighting'!#REF!,0)</f>
        <v>0</v>
      </c>
      <c r="V376" s="1248" t="e">
        <f>IF('Proposed Lighting'!#REF!=1,0,IF('Proposed Lighting'!#REF!=2,0,IF(AND('Proposed Lighting'!#REF!=3,'Proposed Lighting'!#REF!=0),1,0)))</f>
        <v>#REF!</v>
      </c>
      <c r="W376" s="1836"/>
      <c r="X376" s="1836"/>
      <c r="Y376" s="1836"/>
      <c r="Z376" s="1230" t="str">
        <f t="shared" si="65"/>
        <v/>
      </c>
      <c r="AA376" s="1230">
        <f t="shared" si="66"/>
        <v>0</v>
      </c>
      <c r="AB376" s="1230">
        <f>IF(Q376=0,0,IF(T376=0,0,IF(AA376=0,0,IF(AND(F376=3,V376=0),0,IF(T376=0,0,IF(K376&gt;'Proposed Lighting'!#REF!,0,IF('Proposed Lighting'!#REF!&gt;0.01,(K376*O376)*'Proposed Lighting'!#REF!/1000,(K376*O376)*U376/1000)))))))</f>
        <v>0</v>
      </c>
      <c r="AC376" s="1230" t="str">
        <f t="shared" si="72"/>
        <v/>
      </c>
      <c r="AD376" s="1230">
        <f t="shared" si="67"/>
        <v>0</v>
      </c>
      <c r="AE376" s="1230">
        <f>IF(T376=0,0,IF(K376&gt;'Proposed Lighting'!#REF!,0,IF(T376&gt;K376,0,IF(AND(AD376&gt;AA376,AA376&gt;0),0,IF(AND(F376&gt;1,W376&lt;0.01),0,IF('Proposed Lighting'!#REF!&gt;'Lighting Controls'!F376,0,IF('Proposed Lighting'!#REF!&lt;'Lighting Controls'!F376,0,IF(U376=0,0,Summary!#REF!))))))))</f>
        <v>0</v>
      </c>
      <c r="AF376" s="1230">
        <f>IF(T376=0,0,IF(AE376=0,0,IF(K376&gt;'Proposed Lighting'!#REF!,0,IF(AND(AD376&gt;AA376,AA376&gt;0),0,IF(U376=0,0,Summary!#REF!)))))</f>
        <v>0</v>
      </c>
      <c r="AG376" s="1834" t="e">
        <f>IF('Proposed Lighting'!#REF!=1,0,IF('Proposed Lighting'!#REF!=1,0,T376*W376))</f>
        <v>#REF!</v>
      </c>
      <c r="AH376" s="1834"/>
      <c r="AI376" s="1834"/>
      <c r="AJ376" s="1835">
        <f>IF(T376&lt;1,0,IF(K376&gt;'Proposed Lighting'!#REF!,0,IF('Proposed Lighting'!#REF!=1,0,IF('Proposed Lighting'!#REF!=1,0,IF(T376&gt;K376,0,IF(AND(AD376&gt;AA376,AA376&gt;0),0,IF(AND(F376=2,'Proposed Lighting'!#REF!=3),0,IF(AND(F376=3,'Proposed Lighting'!#REF!=2),0,IF('Proposed Lighting'!#REF!=100,0,IF(AND(F376&lt;3,V376=1,AM376=0),0,IF(AND(F376&gt;1,AF376&lt;1,AN376&lt;1),0,IF(AND(F376&gt;1,AE376&lt;0.69,AF376&lt;1,AN376&lt;1),0,IF(ISERROR(AB376-AC376),"",AB376-AC376)))))))))))))</f>
        <v>0</v>
      </c>
      <c r="AK376" s="1835"/>
      <c r="AL376" s="1835"/>
      <c r="AM376" s="1216">
        <f>IF(Q376=0,0,IF(T376=0,0,IF(T376&gt;K376,0,IF(AND(AS376&gt;0.01,BK376=0),0,IF(AND('Proposed Lighting'!#REF!=0,'Lighting Controls'!Z376=0.35),0,IF(AND(T376&lt;=K376,AA376&gt;=AD376,'Proposed Lighting'!#REF!=2),VLOOKUP(Q376,$AY$9:$AZ$15,2,FALSE),IF(AND(T376&lt;=K376,AA376&gt;=AD376,'Proposed Lighting'!#REF!=3),VLOOKUP(Q376,$AY$17:$AZ$23,2,FALSE))))))))</f>
        <v>0</v>
      </c>
      <c r="AN376" s="1248">
        <f>IF(T376=0,0,IF(K376&gt;'Proposed Lighting'!#REF!,0,IF(AE376=0,0,IF(AND(AD376&gt;AA376,AA376&gt;0),0,IF(U376=0,0,Summary!#REF!)))))</f>
        <v>0</v>
      </c>
      <c r="AO376" s="1248">
        <f t="shared" si="76"/>
        <v>0</v>
      </c>
      <c r="AP376" s="1249" t="e">
        <f>IF('Proposed Lighting'!#REF!=1,0,IF(K376=0,0,IF(T376&gt;K376,0,IF(G376=0,0,IF(K376&gt;'Proposed Lighting'!#REF!,0,IF(AND(AD376&gt;AA376,AA376&gt;0),0,IF(AND('Proposed Lighting'!#REF!=3,AM376=0.5),0,IF(AND(AM376&gt;0,AS376&gt;0,BI376&lt;2),0,IF('Proposed Lighting'!#REF!=100,0,IF(AV376=1,0,IF(AND(AM376=35,M376+N376&lt;2),0,AM376)))))))))))</f>
        <v>#REF!</v>
      </c>
      <c r="AQ376" s="1249" t="str">
        <f>IFERROR(ROUND(IF(Q376="","",IF('Proposed Lighting'!$X$4=0,0,IF(AND(AM376=35,M376+N376&lt;2),0,IF(T376&gt;K376,0,IF('Proposed Lighting'!#REF!=1,0,IF(AJ376=0,0,IF(AND('Proposed Lighting'!#REF!=3,AM376=0.5),0,IF(AND(AD376=75,AP376=0,AV376=0),0,IF(AP376&gt;0.01,AP376*T376,IF(AND(F376&gt;1,W376&lt;0.01),0,IF(AND(F376&gt;1,AO376=0),0,IF(AND('Proposed Lighting'!#REF!=22,AV376=0),0,IF(AND(AM376&gt;0,AS376&gt;0,BI376&lt;2),0,IF(AND(AS376&gt;0.01,BK376=0),0,IF(AND(AO376=TRUE,AV376=1,F376=3),MIN(AJ376*0.08,L376),IF(AP376&gt;0.01,AP376*T376,IF(AND(AO376=TRUE,AV376=1,F376=2),MIN(AJ376*0.1,L376)))))))))))))))))),2),"")</f>
        <v/>
      </c>
      <c r="AR376" s="1250">
        <f>IF(Q376=0,0,IF('Proposed Lighting'!$X$4=0,0,IF(AND(AM376&gt;0.01,AQ376&gt;0.01),0,IF('Proposed Lighting'!#REF!=1,"Missing Interior or Exterior Selection",IF('Proposed Lighting'!#REF!=1,"Selection does not match",IF(K376&gt;'Proposed Lighting'!#REF!,"Quantity controlled does not match proposed lighting quantity",IF(T376&gt;K376,"Quantity of sensors exceeds proposed lighting quantity",IF(AND(F376&gt;1,'Proposed Lighting'!#REF!&lt;&gt;F376),"Selection does not match",IF(AND(AD376&gt;AA376,AA376&gt;0),"Does not meet minimum connected load",IF(AND(O376&gt;0,AS376&gt;0,BK376&gt;0,'Proposed Lighting'!#REF!=0),"Select Control Strategies",IF(AND(AC376&gt;0.1,AJ376=0,AQ376=0),"Does not meet incentive criteria",0)))))))))))</f>
        <v>0</v>
      </c>
      <c r="AS376" s="1224" t="e">
        <f>IF('Proposed Lighting'!#REF!=100,0,IF(ISNUMBER(SEARCH("multiple",Q376)),1,0))</f>
        <v>#REF!</v>
      </c>
      <c r="AT376" s="451">
        <f t="shared" si="73"/>
        <v>0</v>
      </c>
      <c r="AU376" s="451" t="e">
        <f t="shared" si="74"/>
        <v>#REF!</v>
      </c>
      <c r="AV376" s="1222">
        <f>IF(ISNUMBER(SEARCH("Networked",'Proposed Lighting'!#REF!)),0,IF(ISNUMBER(SEARCH("Strategies",'Proposed Lighting'!#REF!)),0,IF(ISNUMBER(SEARCH("Removal",'Proposed Lighting'!#REF!)),0,IF(ISNUMBER(SEARCH("non-standard",Q376)),1,0))))</f>
        <v>0</v>
      </c>
      <c r="AW376" s="451">
        <f t="shared" si="77"/>
        <v>0</v>
      </c>
      <c r="AX376" s="451"/>
      <c r="AY376" s="451"/>
      <c r="AZ376" s="451"/>
      <c r="BA376" s="451"/>
      <c r="BB376" s="451"/>
      <c r="BC376" s="1215"/>
      <c r="BD376" s="1215"/>
      <c r="BE376" s="1215"/>
      <c r="BF376" s="1215"/>
      <c r="BG376" s="1215"/>
      <c r="BH376" s="1215"/>
      <c r="BI376" t="e">
        <f>IF(AND(AS376=1,BC376="No",BD376="Yes",BE376="Yes",BF376="No",BH376="No"),0,IF(AND('Proposed Lighting'!#REF!=2,AS376=1,BC376="Yes",BD376="Yes"),2,IF(AND('Proposed Lighting'!#REF!=2,AS376=1,BC376="Yes",BE376="Yes"),2,IF(AND('Proposed Lighting'!#REF!=2,AS376=1,BC376="Yes",BF376="Yes"),2,IF(AND('Proposed Lighting'!#REF!=2,AS376=1,BC376="Yes",BH376="Yes"),2,IF(AND('Proposed Lighting'!#REF!=2,AS376=1,BD376="Yes",BF376="Yes"),2,IF(AND('Proposed Lighting'!#REF!=2,AS376=1,BD376="Yes",BH376="Yes"),2,IF(AND('Proposed Lighting'!#REF!=3,AS376=1,BC376="Yes",BE376="Yes"),2,IF(AND('Proposed Lighting'!#REF!=3,AS376=1,BC376="Yes",BF376="Yes"),2,0)))))))))</f>
        <v>#REF!</v>
      </c>
      <c r="BJ376" s="1025" t="e">
        <f t="shared" si="75"/>
        <v>#REF!</v>
      </c>
      <c r="BK376" t="e">
        <f>IF(AND('Proposed Lighting'!#REF!=22,'Lighting Controls'!N376=1),0,IF(ISNUMBER(SEARCH("LED",G376)),1,0))</f>
        <v>#REF!</v>
      </c>
    </row>
    <row r="377" spans="1:63" ht="34.5" customHeight="1">
      <c r="A377" s="917">
        <v>369</v>
      </c>
      <c r="B377" s="1828" t="e">
        <f>IF('Proposed Lighting'!#REF!="","",'Proposed Lighting'!#REF!)</f>
        <v>#REF!</v>
      </c>
      <c r="C377" s="1828"/>
      <c r="D377" s="1828"/>
      <c r="E377" s="1245" t="e">
        <f>'Proposed Lighting'!#REF!</f>
        <v>#REF!</v>
      </c>
      <c r="F377" s="1245">
        <f t="shared" si="68"/>
        <v>0</v>
      </c>
      <c r="G377" s="1830" t="e">
        <f>IF('Proposed Lighting'!#REF!="","",IF(ISNUMBER(SEARCH("Networked",'Proposed Lighting'!#REF!)),0,IF(ISNUMBER(SEARCH("Strategies",'Proposed Lighting'!#REF!)),0,IF(ISNUMBER(SEARCH("Removal",'Proposed Lighting'!#REF!)),0,'Proposed Lighting'!#REF!))))</f>
        <v>#REF!</v>
      </c>
      <c r="H377" s="1830"/>
      <c r="I377" s="1830"/>
      <c r="J377" s="1830"/>
      <c r="K377" s="1215"/>
      <c r="L377" s="1246" t="e">
        <f t="shared" si="69"/>
        <v>#REF!</v>
      </c>
      <c r="M377" s="1224">
        <f t="shared" si="70"/>
        <v>0</v>
      </c>
      <c r="N377" s="1224">
        <f t="shared" si="71"/>
        <v>0</v>
      </c>
      <c r="O377" s="1825" t="e">
        <f>IF(G377=0,0,IF(ISNA('Proposed Lighting'!#REF!),0,'Proposed Lighting'!#REF!))</f>
        <v>#REF!</v>
      </c>
      <c r="P377" s="1825"/>
      <c r="Q377" s="1247"/>
      <c r="R377" s="1247"/>
      <c r="S377" s="1247"/>
      <c r="T377" s="1211"/>
      <c r="U377" s="1235">
        <f>IF(K377&gt;0.01,'Proposed Lighting'!#REF!,0)</f>
        <v>0</v>
      </c>
      <c r="V377" s="1248" t="e">
        <f>IF('Proposed Lighting'!#REF!=1,0,IF('Proposed Lighting'!#REF!=2,0,IF(AND('Proposed Lighting'!#REF!=3,'Proposed Lighting'!#REF!=0),1,0)))</f>
        <v>#REF!</v>
      </c>
      <c r="W377" s="1836"/>
      <c r="X377" s="1836"/>
      <c r="Y377" s="1836"/>
      <c r="Z377" s="1230" t="str">
        <f t="shared" si="65"/>
        <v/>
      </c>
      <c r="AA377" s="1230">
        <f t="shared" si="66"/>
        <v>0</v>
      </c>
      <c r="AB377" s="1230">
        <f>IF(Q377=0,0,IF(T377=0,0,IF(AA377=0,0,IF(AND(F377=3,V377=0),0,IF(T377=0,0,IF(K377&gt;'Proposed Lighting'!#REF!,0,IF('Proposed Lighting'!#REF!&gt;0.01,(K377*O377)*'Proposed Lighting'!#REF!/1000,(K377*O377)*U377/1000)))))))</f>
        <v>0</v>
      </c>
      <c r="AC377" s="1230" t="str">
        <f t="shared" si="72"/>
        <v/>
      </c>
      <c r="AD377" s="1230">
        <f t="shared" si="67"/>
        <v>0</v>
      </c>
      <c r="AE377" s="1230">
        <f>IF(T377=0,0,IF(K377&gt;'Proposed Lighting'!#REF!,0,IF(T377&gt;K377,0,IF(AND(AD377&gt;AA377,AA377&gt;0),0,IF(AND(F377&gt;1,W377&lt;0.01),0,IF('Proposed Lighting'!#REF!&gt;'Lighting Controls'!F377,0,IF('Proposed Lighting'!#REF!&lt;'Lighting Controls'!F377,0,IF(U377=0,0,Summary!#REF!))))))))</f>
        <v>0</v>
      </c>
      <c r="AF377" s="1230">
        <f>IF(T377=0,0,IF(AE377=0,0,IF(K377&gt;'Proposed Lighting'!#REF!,0,IF(AND(AD377&gt;AA377,AA377&gt;0),0,IF(U377=0,0,Summary!#REF!)))))</f>
        <v>0</v>
      </c>
      <c r="AG377" s="1834" t="e">
        <f>IF('Proposed Lighting'!#REF!=1,0,IF('Proposed Lighting'!#REF!=1,0,T377*W377))</f>
        <v>#REF!</v>
      </c>
      <c r="AH377" s="1834"/>
      <c r="AI377" s="1834"/>
      <c r="AJ377" s="1835">
        <f>IF(T377&lt;1,0,IF(K377&gt;'Proposed Lighting'!#REF!,0,IF('Proposed Lighting'!#REF!=1,0,IF('Proposed Lighting'!#REF!=1,0,IF(T377&gt;K377,0,IF(AND(AD377&gt;AA377,AA377&gt;0),0,IF(AND(F377=2,'Proposed Lighting'!#REF!=3),0,IF(AND(F377=3,'Proposed Lighting'!#REF!=2),0,IF('Proposed Lighting'!#REF!=100,0,IF(AND(F377&lt;3,V377=1,AM377=0),0,IF(AND(F377&gt;1,AF377&lt;1,AN377&lt;1),0,IF(AND(F377&gt;1,AE377&lt;0.69,AF377&lt;1,AN377&lt;1),0,IF(ISERROR(AB377-AC377),"",AB377-AC377)))))))))))))</f>
        <v>0</v>
      </c>
      <c r="AK377" s="1835"/>
      <c r="AL377" s="1835"/>
      <c r="AM377" s="1216">
        <f>IF(Q377=0,0,IF(T377=0,0,IF(T377&gt;K377,0,IF(AND(AS377&gt;0.01,BK377=0),0,IF(AND('Proposed Lighting'!#REF!=0,'Lighting Controls'!Z377=0.35),0,IF(AND(T377&lt;=K377,AA377&gt;=AD377,'Proposed Lighting'!#REF!=2),VLOOKUP(Q377,$AY$9:$AZ$15,2,FALSE),IF(AND(T377&lt;=K377,AA377&gt;=AD377,'Proposed Lighting'!#REF!=3),VLOOKUP(Q377,$AY$17:$AZ$23,2,FALSE))))))))</f>
        <v>0</v>
      </c>
      <c r="AN377" s="1248">
        <f>IF(T377=0,0,IF(K377&gt;'Proposed Lighting'!#REF!,0,IF(AE377=0,0,IF(AND(AD377&gt;AA377,AA377&gt;0),0,IF(U377=0,0,Summary!#REF!)))))</f>
        <v>0</v>
      </c>
      <c r="AO377" s="1248">
        <f t="shared" si="76"/>
        <v>0</v>
      </c>
      <c r="AP377" s="1249" t="e">
        <f>IF('Proposed Lighting'!#REF!=1,0,IF(K377=0,0,IF(T377&gt;K377,0,IF(G377=0,0,IF(K377&gt;'Proposed Lighting'!#REF!,0,IF(AND(AD377&gt;AA377,AA377&gt;0),0,IF(AND('Proposed Lighting'!#REF!=3,AM377=0.5),0,IF(AND(AM377&gt;0,AS377&gt;0,BI377&lt;2),0,IF('Proposed Lighting'!#REF!=100,0,IF(AV377=1,0,IF(AND(AM377=35,M377+N377&lt;2),0,AM377)))))))))))</f>
        <v>#REF!</v>
      </c>
      <c r="AQ377" s="1249" t="str">
        <f>IFERROR(ROUND(IF(Q377="","",IF('Proposed Lighting'!$X$4=0,0,IF(AND(AM377=35,M377+N377&lt;2),0,IF(T377&gt;K377,0,IF('Proposed Lighting'!#REF!=1,0,IF(AJ377=0,0,IF(AND('Proposed Lighting'!#REF!=3,AM377=0.5),0,IF(AND(AD377=75,AP377=0,AV377=0),0,IF(AP377&gt;0.01,AP377*T377,IF(AND(F377&gt;1,W377&lt;0.01),0,IF(AND(F377&gt;1,AO377=0),0,IF(AND('Proposed Lighting'!#REF!=22,AV377=0),0,IF(AND(AM377&gt;0,AS377&gt;0,BI377&lt;2),0,IF(AND(AS377&gt;0.01,BK377=0),0,IF(AND(AO377=TRUE,AV377=1,F377=3),MIN(AJ377*0.08,L377),IF(AP377&gt;0.01,AP377*T377,IF(AND(AO377=TRUE,AV377=1,F377=2),MIN(AJ377*0.1,L377)))))))))))))))))),2),"")</f>
        <v/>
      </c>
      <c r="AR377" s="1250">
        <f>IF(Q377=0,0,IF('Proposed Lighting'!$X$4=0,0,IF(AND(AM377&gt;0.01,AQ377&gt;0.01),0,IF('Proposed Lighting'!#REF!=1,"Missing Interior or Exterior Selection",IF('Proposed Lighting'!#REF!=1,"Selection does not match",IF(K377&gt;'Proposed Lighting'!#REF!,"Quantity controlled does not match proposed lighting quantity",IF(T377&gt;K377,"Quantity of sensors exceeds proposed lighting quantity",IF(AND(F377&gt;1,'Proposed Lighting'!#REF!&lt;&gt;F377),"Selection does not match",IF(AND(AD377&gt;AA377,AA377&gt;0),"Does not meet minimum connected load",IF(AND(O377&gt;0,AS377&gt;0,BK377&gt;0,'Proposed Lighting'!#REF!=0),"Select Control Strategies",IF(AND(AC377&gt;0.1,AJ377=0,AQ377=0),"Does not meet incentive criteria",0)))))))))))</f>
        <v>0</v>
      </c>
      <c r="AS377" s="1224" t="e">
        <f>IF('Proposed Lighting'!#REF!=100,0,IF(ISNUMBER(SEARCH("multiple",Q377)),1,0))</f>
        <v>#REF!</v>
      </c>
      <c r="AT377" s="451">
        <f t="shared" si="73"/>
        <v>0</v>
      </c>
      <c r="AU377" s="451" t="e">
        <f t="shared" si="74"/>
        <v>#REF!</v>
      </c>
      <c r="AV377" s="1222">
        <f>IF(ISNUMBER(SEARCH("Networked",'Proposed Lighting'!#REF!)),0,IF(ISNUMBER(SEARCH("Strategies",'Proposed Lighting'!#REF!)),0,IF(ISNUMBER(SEARCH("Removal",'Proposed Lighting'!#REF!)),0,IF(ISNUMBER(SEARCH("non-standard",Q377)),1,0))))</f>
        <v>0</v>
      </c>
      <c r="AW377" s="451">
        <f t="shared" si="77"/>
        <v>0</v>
      </c>
      <c r="AX377" s="451"/>
      <c r="AY377" s="451"/>
      <c r="AZ377" s="451"/>
      <c r="BA377" s="451"/>
      <c r="BB377" s="451"/>
      <c r="BC377" s="1215"/>
      <c r="BD377" s="1215"/>
      <c r="BE377" s="1215"/>
      <c r="BF377" s="1215"/>
      <c r="BG377" s="1215"/>
      <c r="BH377" s="1215"/>
      <c r="BI377" t="e">
        <f>IF(AND(AS377=1,BC377="No",BD377="Yes",BE377="Yes",BF377="No",BH377="No"),0,IF(AND('Proposed Lighting'!#REF!=2,AS377=1,BC377="Yes",BD377="Yes"),2,IF(AND('Proposed Lighting'!#REF!=2,AS377=1,BC377="Yes",BE377="Yes"),2,IF(AND('Proposed Lighting'!#REF!=2,AS377=1,BC377="Yes",BF377="Yes"),2,IF(AND('Proposed Lighting'!#REF!=2,AS377=1,BC377="Yes",BH377="Yes"),2,IF(AND('Proposed Lighting'!#REF!=2,AS377=1,BD377="Yes",BF377="Yes"),2,IF(AND('Proposed Lighting'!#REF!=2,AS377=1,BD377="Yes",BH377="Yes"),2,IF(AND('Proposed Lighting'!#REF!=3,AS377=1,BC377="Yes",BE377="Yes"),2,IF(AND('Proposed Lighting'!#REF!=3,AS377=1,BC377="Yes",BF377="Yes"),2,0)))))))))</f>
        <v>#REF!</v>
      </c>
      <c r="BJ377" s="1025" t="e">
        <f t="shared" si="75"/>
        <v>#REF!</v>
      </c>
      <c r="BK377" t="e">
        <f>IF(AND('Proposed Lighting'!#REF!=22,'Lighting Controls'!N377=1),0,IF(ISNUMBER(SEARCH("LED",G377)),1,0))</f>
        <v>#REF!</v>
      </c>
    </row>
    <row r="378" spans="1:63" ht="34.5" customHeight="1">
      <c r="A378" s="917">
        <v>370</v>
      </c>
      <c r="B378" s="1828" t="e">
        <f>IF('Proposed Lighting'!#REF!="","",'Proposed Lighting'!#REF!)</f>
        <v>#REF!</v>
      </c>
      <c r="C378" s="1828"/>
      <c r="D378" s="1828"/>
      <c r="E378" s="1245" t="e">
        <f>'Proposed Lighting'!#REF!</f>
        <v>#REF!</v>
      </c>
      <c r="F378" s="1245">
        <f t="shared" si="68"/>
        <v>0</v>
      </c>
      <c r="G378" s="1830" t="e">
        <f>IF('Proposed Lighting'!#REF!="","",IF(ISNUMBER(SEARCH("Networked",'Proposed Lighting'!#REF!)),0,IF(ISNUMBER(SEARCH("Strategies",'Proposed Lighting'!#REF!)),0,IF(ISNUMBER(SEARCH("Removal",'Proposed Lighting'!#REF!)),0,'Proposed Lighting'!#REF!))))</f>
        <v>#REF!</v>
      </c>
      <c r="H378" s="1830"/>
      <c r="I378" s="1830"/>
      <c r="J378" s="1830"/>
      <c r="K378" s="1215"/>
      <c r="L378" s="1246" t="e">
        <f t="shared" si="69"/>
        <v>#REF!</v>
      </c>
      <c r="M378" s="1224">
        <f t="shared" si="70"/>
        <v>0</v>
      </c>
      <c r="N378" s="1224">
        <f t="shared" si="71"/>
        <v>0</v>
      </c>
      <c r="O378" s="1825" t="e">
        <f>IF(G378=0,0,IF(ISNA('Proposed Lighting'!#REF!),0,'Proposed Lighting'!#REF!))</f>
        <v>#REF!</v>
      </c>
      <c r="P378" s="1825"/>
      <c r="Q378" s="1247"/>
      <c r="R378" s="1247"/>
      <c r="S378" s="1247"/>
      <c r="T378" s="1211"/>
      <c r="U378" s="1235">
        <f>IF(K378&gt;0.01,'Proposed Lighting'!#REF!,0)</f>
        <v>0</v>
      </c>
      <c r="V378" s="1248" t="e">
        <f>IF('Proposed Lighting'!#REF!=1,0,IF('Proposed Lighting'!#REF!=2,0,IF(AND('Proposed Lighting'!#REF!=3,'Proposed Lighting'!#REF!=0),1,0)))</f>
        <v>#REF!</v>
      </c>
      <c r="W378" s="1836"/>
      <c r="X378" s="1836"/>
      <c r="Y378" s="1836"/>
      <c r="Z378" s="1230" t="str">
        <f t="shared" si="65"/>
        <v/>
      </c>
      <c r="AA378" s="1230">
        <f t="shared" si="66"/>
        <v>0</v>
      </c>
      <c r="AB378" s="1230">
        <f>IF(Q378=0,0,IF(T378=0,0,IF(AA378=0,0,IF(AND(F378=3,V378=0),0,IF(T378=0,0,IF(K378&gt;'Proposed Lighting'!#REF!,0,IF('Proposed Lighting'!#REF!&gt;0.01,(K378*O378)*'Proposed Lighting'!#REF!/1000,(K378*O378)*U378/1000)))))))</f>
        <v>0</v>
      </c>
      <c r="AC378" s="1230" t="str">
        <f t="shared" si="72"/>
        <v/>
      </c>
      <c r="AD378" s="1230">
        <f t="shared" si="67"/>
        <v>0</v>
      </c>
      <c r="AE378" s="1230">
        <f>IF(T378=0,0,IF(K378&gt;'Proposed Lighting'!#REF!,0,IF(T378&gt;K378,0,IF(AND(AD378&gt;AA378,AA378&gt;0),0,IF(AND(F378&gt;1,W378&lt;0.01),0,IF('Proposed Lighting'!#REF!&gt;'Lighting Controls'!F378,0,IF('Proposed Lighting'!#REF!&lt;'Lighting Controls'!F378,0,IF(U378=0,0,Summary!#REF!))))))))</f>
        <v>0</v>
      </c>
      <c r="AF378" s="1230">
        <f>IF(T378=0,0,IF(AE378=0,0,IF(K378&gt;'Proposed Lighting'!#REF!,0,IF(AND(AD378&gt;AA378,AA378&gt;0),0,IF(U378=0,0,Summary!#REF!)))))</f>
        <v>0</v>
      </c>
      <c r="AG378" s="1834" t="e">
        <f>IF('Proposed Lighting'!#REF!=1,0,IF('Proposed Lighting'!#REF!=1,0,T378*W378))</f>
        <v>#REF!</v>
      </c>
      <c r="AH378" s="1834"/>
      <c r="AI378" s="1834"/>
      <c r="AJ378" s="1835">
        <f>IF(T378&lt;1,0,IF(K378&gt;'Proposed Lighting'!#REF!,0,IF('Proposed Lighting'!#REF!=1,0,IF('Proposed Lighting'!#REF!=1,0,IF(T378&gt;K378,0,IF(AND(AD378&gt;AA378,AA378&gt;0),0,IF(AND(F378=2,'Proposed Lighting'!#REF!=3),0,IF(AND(F378=3,'Proposed Lighting'!#REF!=2),0,IF('Proposed Lighting'!#REF!=100,0,IF(AND(F378&lt;3,V378=1,AM378=0),0,IF(AND(F378&gt;1,AF378&lt;1,AN378&lt;1),0,IF(AND(F378&gt;1,AE378&lt;0.69,AF378&lt;1,AN378&lt;1),0,IF(ISERROR(AB378-AC378),"",AB378-AC378)))))))))))))</f>
        <v>0</v>
      </c>
      <c r="AK378" s="1835"/>
      <c r="AL378" s="1835"/>
      <c r="AM378" s="1216">
        <f>IF(Q378=0,0,IF(T378=0,0,IF(T378&gt;K378,0,IF(AND(AS378&gt;0.01,BK378=0),0,IF(AND('Proposed Lighting'!#REF!=0,'Lighting Controls'!Z378=0.35),0,IF(AND(T378&lt;=K378,AA378&gt;=AD378,'Proposed Lighting'!#REF!=2),VLOOKUP(Q378,$AY$9:$AZ$15,2,FALSE),IF(AND(T378&lt;=K378,AA378&gt;=AD378,'Proposed Lighting'!#REF!=3),VLOOKUP(Q378,$AY$17:$AZ$23,2,FALSE))))))))</f>
        <v>0</v>
      </c>
      <c r="AN378" s="1248">
        <f>IF(T378=0,0,IF(K378&gt;'Proposed Lighting'!#REF!,0,IF(AE378=0,0,IF(AND(AD378&gt;AA378,AA378&gt;0),0,IF(U378=0,0,Summary!#REF!)))))</f>
        <v>0</v>
      </c>
      <c r="AO378" s="1248">
        <f t="shared" si="76"/>
        <v>0</v>
      </c>
      <c r="AP378" s="1249" t="e">
        <f>IF('Proposed Lighting'!#REF!=1,0,IF(K378=0,0,IF(T378&gt;K378,0,IF(G378=0,0,IF(K378&gt;'Proposed Lighting'!#REF!,0,IF(AND(AD378&gt;AA378,AA378&gt;0),0,IF(AND('Proposed Lighting'!#REF!=3,AM378=0.5),0,IF(AND(AM378&gt;0,AS378&gt;0,BI378&lt;2),0,IF('Proposed Lighting'!#REF!=100,0,IF(AV378=1,0,IF(AND(AM378=35,M378+N378&lt;2),0,AM378)))))))))))</f>
        <v>#REF!</v>
      </c>
      <c r="AQ378" s="1249" t="str">
        <f>IFERROR(ROUND(IF(Q378="","",IF('Proposed Lighting'!$X$4=0,0,IF(AND(AM378=35,M378+N378&lt;2),0,IF(T378&gt;K378,0,IF('Proposed Lighting'!#REF!=1,0,IF(AJ378=0,0,IF(AND('Proposed Lighting'!#REF!=3,AM378=0.5),0,IF(AND(AD378=75,AP378=0,AV378=0),0,IF(AP378&gt;0.01,AP378*T378,IF(AND(F378&gt;1,W378&lt;0.01),0,IF(AND(F378&gt;1,AO378=0),0,IF(AND('Proposed Lighting'!#REF!=22,AV378=0),0,IF(AND(AM378&gt;0,AS378&gt;0,BI378&lt;2),0,IF(AND(AS378&gt;0.01,BK378=0),0,IF(AND(AO378=TRUE,AV378=1,F378=3),MIN(AJ378*0.08,L378),IF(AP378&gt;0.01,AP378*T378,IF(AND(AO378=TRUE,AV378=1,F378=2),MIN(AJ378*0.1,L378)))))))))))))))))),2),"")</f>
        <v/>
      </c>
      <c r="AR378" s="1250">
        <f>IF(Q378=0,0,IF('Proposed Lighting'!$X$4=0,0,IF(AND(AM378&gt;0.01,AQ378&gt;0.01),0,IF('Proposed Lighting'!#REF!=1,"Missing Interior or Exterior Selection",IF('Proposed Lighting'!#REF!=1,"Selection does not match",IF(K378&gt;'Proposed Lighting'!#REF!,"Quantity controlled does not match proposed lighting quantity",IF(T378&gt;K378,"Quantity of sensors exceeds proposed lighting quantity",IF(AND(F378&gt;1,'Proposed Lighting'!#REF!&lt;&gt;F378),"Selection does not match",IF(AND(AD378&gt;AA378,AA378&gt;0),"Does not meet minimum connected load",IF(AND(O378&gt;0,AS378&gt;0,BK378&gt;0,'Proposed Lighting'!#REF!=0),"Select Control Strategies",IF(AND(AC378&gt;0.1,AJ378=0,AQ378=0),"Does not meet incentive criteria",0)))))))))))</f>
        <v>0</v>
      </c>
      <c r="AS378" s="1224" t="e">
        <f>IF('Proposed Lighting'!#REF!=100,0,IF(ISNUMBER(SEARCH("multiple",Q378)),1,0))</f>
        <v>#REF!</v>
      </c>
      <c r="AT378" s="451">
        <f t="shared" si="73"/>
        <v>0</v>
      </c>
      <c r="AU378" s="451" t="e">
        <f t="shared" si="74"/>
        <v>#REF!</v>
      </c>
      <c r="AV378" s="1222">
        <f>IF(ISNUMBER(SEARCH("Networked",'Proposed Lighting'!#REF!)),0,IF(ISNUMBER(SEARCH("Strategies",'Proposed Lighting'!#REF!)),0,IF(ISNUMBER(SEARCH("Removal",'Proposed Lighting'!#REF!)),0,IF(ISNUMBER(SEARCH("non-standard",Q378)),1,0))))</f>
        <v>0</v>
      </c>
      <c r="AW378" s="451">
        <f t="shared" si="77"/>
        <v>0</v>
      </c>
      <c r="AX378" s="451"/>
      <c r="AY378" s="451"/>
      <c r="AZ378" s="451"/>
      <c r="BA378" s="451"/>
      <c r="BB378" s="451"/>
      <c r="BC378" s="1215"/>
      <c r="BD378" s="1215"/>
      <c r="BE378" s="1215"/>
      <c r="BF378" s="1215"/>
      <c r="BG378" s="1215"/>
      <c r="BH378" s="1215"/>
      <c r="BI378" t="e">
        <f>IF(AND(AS378=1,BC378="No",BD378="Yes",BE378="Yes",BF378="No",BH378="No"),0,IF(AND('Proposed Lighting'!#REF!=2,AS378=1,BC378="Yes",BD378="Yes"),2,IF(AND('Proposed Lighting'!#REF!=2,AS378=1,BC378="Yes",BE378="Yes"),2,IF(AND('Proposed Lighting'!#REF!=2,AS378=1,BC378="Yes",BF378="Yes"),2,IF(AND('Proposed Lighting'!#REF!=2,AS378=1,BC378="Yes",BH378="Yes"),2,IF(AND('Proposed Lighting'!#REF!=2,AS378=1,BD378="Yes",BF378="Yes"),2,IF(AND('Proposed Lighting'!#REF!=2,AS378=1,BD378="Yes",BH378="Yes"),2,IF(AND('Proposed Lighting'!#REF!=3,AS378=1,BC378="Yes",BE378="Yes"),2,IF(AND('Proposed Lighting'!#REF!=3,AS378=1,BC378="Yes",BF378="Yes"),2,0)))))))))</f>
        <v>#REF!</v>
      </c>
      <c r="BJ378" s="1025" t="e">
        <f t="shared" si="75"/>
        <v>#REF!</v>
      </c>
      <c r="BK378" t="e">
        <f>IF(AND('Proposed Lighting'!#REF!=22,'Lighting Controls'!N378=1),0,IF(ISNUMBER(SEARCH("LED",G378)),1,0))</f>
        <v>#REF!</v>
      </c>
    </row>
    <row r="379" spans="1:63" ht="34.5" customHeight="1">
      <c r="A379" s="917">
        <v>371</v>
      </c>
      <c r="B379" s="1828" t="e">
        <f>IF('Proposed Lighting'!#REF!="","",'Proposed Lighting'!#REF!)</f>
        <v>#REF!</v>
      </c>
      <c r="C379" s="1828"/>
      <c r="D379" s="1828"/>
      <c r="E379" s="1245" t="e">
        <f>'Proposed Lighting'!#REF!</f>
        <v>#REF!</v>
      </c>
      <c r="F379" s="1245">
        <f t="shared" si="68"/>
        <v>0</v>
      </c>
      <c r="G379" s="1830" t="e">
        <f>IF('Proposed Lighting'!#REF!="","",IF(ISNUMBER(SEARCH("Networked",'Proposed Lighting'!#REF!)),0,IF(ISNUMBER(SEARCH("Strategies",'Proposed Lighting'!#REF!)),0,IF(ISNUMBER(SEARCH("Removal",'Proposed Lighting'!#REF!)),0,'Proposed Lighting'!#REF!))))</f>
        <v>#REF!</v>
      </c>
      <c r="H379" s="1830"/>
      <c r="I379" s="1830"/>
      <c r="J379" s="1830"/>
      <c r="K379" s="1215"/>
      <c r="L379" s="1246" t="e">
        <f t="shared" si="69"/>
        <v>#REF!</v>
      </c>
      <c r="M379" s="1224">
        <f t="shared" si="70"/>
        <v>0</v>
      </c>
      <c r="N379" s="1224">
        <f t="shared" si="71"/>
        <v>0</v>
      </c>
      <c r="O379" s="1825" t="e">
        <f>IF(G379=0,0,IF(ISNA('Proposed Lighting'!#REF!),0,'Proposed Lighting'!#REF!))</f>
        <v>#REF!</v>
      </c>
      <c r="P379" s="1825"/>
      <c r="Q379" s="1247"/>
      <c r="R379" s="1247"/>
      <c r="S379" s="1247"/>
      <c r="T379" s="1211"/>
      <c r="U379" s="1235">
        <f>IF(K379&gt;0.01,'Proposed Lighting'!#REF!,0)</f>
        <v>0</v>
      </c>
      <c r="V379" s="1248" t="e">
        <f>IF('Proposed Lighting'!#REF!=1,0,IF('Proposed Lighting'!#REF!=2,0,IF(AND('Proposed Lighting'!#REF!=3,'Proposed Lighting'!#REF!=0),1,0)))</f>
        <v>#REF!</v>
      </c>
      <c r="W379" s="1836"/>
      <c r="X379" s="1836"/>
      <c r="Y379" s="1836"/>
      <c r="Z379" s="1230" t="str">
        <f t="shared" si="65"/>
        <v/>
      </c>
      <c r="AA379" s="1230">
        <f t="shared" si="66"/>
        <v>0</v>
      </c>
      <c r="AB379" s="1230">
        <f>IF(Q379=0,0,IF(T379=0,0,IF(AA379=0,0,IF(AND(F379=3,V379=0),0,IF(T379=0,0,IF(K379&gt;'Proposed Lighting'!#REF!,0,IF('Proposed Lighting'!#REF!&gt;0.01,(K379*O379)*'Proposed Lighting'!#REF!/1000,(K379*O379)*U379/1000)))))))</f>
        <v>0</v>
      </c>
      <c r="AC379" s="1230" t="str">
        <f t="shared" si="72"/>
        <v/>
      </c>
      <c r="AD379" s="1230">
        <f t="shared" si="67"/>
        <v>0</v>
      </c>
      <c r="AE379" s="1230">
        <f>IF(T379=0,0,IF(K379&gt;'Proposed Lighting'!#REF!,0,IF(T379&gt;K379,0,IF(AND(AD379&gt;AA379,AA379&gt;0),0,IF(AND(F379&gt;1,W379&lt;0.01),0,IF('Proposed Lighting'!#REF!&gt;'Lighting Controls'!F379,0,IF('Proposed Lighting'!#REF!&lt;'Lighting Controls'!F379,0,IF(U379=0,0,Summary!#REF!))))))))</f>
        <v>0</v>
      </c>
      <c r="AF379" s="1230">
        <f>IF(T379=0,0,IF(AE379=0,0,IF(K379&gt;'Proposed Lighting'!#REF!,0,IF(AND(AD379&gt;AA379,AA379&gt;0),0,IF(U379=0,0,Summary!#REF!)))))</f>
        <v>0</v>
      </c>
      <c r="AG379" s="1834" t="e">
        <f>IF('Proposed Lighting'!#REF!=1,0,IF('Proposed Lighting'!#REF!=1,0,T379*W379))</f>
        <v>#REF!</v>
      </c>
      <c r="AH379" s="1834"/>
      <c r="AI379" s="1834"/>
      <c r="AJ379" s="1835">
        <f>IF(T379&lt;1,0,IF(K379&gt;'Proposed Lighting'!#REF!,0,IF('Proposed Lighting'!#REF!=1,0,IF('Proposed Lighting'!#REF!=1,0,IF(T379&gt;K379,0,IF(AND(AD379&gt;AA379,AA379&gt;0),0,IF(AND(F379=2,'Proposed Lighting'!#REF!=3),0,IF(AND(F379=3,'Proposed Lighting'!#REF!=2),0,IF('Proposed Lighting'!#REF!=100,0,IF(AND(F379&lt;3,V379=1,AM379=0),0,IF(AND(F379&gt;1,AF379&lt;1,AN379&lt;1),0,IF(AND(F379&gt;1,AE379&lt;0.69,AF379&lt;1,AN379&lt;1),0,IF(ISERROR(AB379-AC379),"",AB379-AC379)))))))))))))</f>
        <v>0</v>
      </c>
      <c r="AK379" s="1835"/>
      <c r="AL379" s="1835"/>
      <c r="AM379" s="1216">
        <f>IF(Q379=0,0,IF(T379=0,0,IF(T379&gt;K379,0,IF(AND(AS379&gt;0.01,BK379=0),0,IF(AND('Proposed Lighting'!#REF!=0,'Lighting Controls'!Z379=0.35),0,IF(AND(T379&lt;=K379,AA379&gt;=AD379,'Proposed Lighting'!#REF!=2),VLOOKUP(Q379,$AY$9:$AZ$15,2,FALSE),IF(AND(T379&lt;=K379,AA379&gt;=AD379,'Proposed Lighting'!#REF!=3),VLOOKUP(Q379,$AY$17:$AZ$23,2,FALSE))))))))</f>
        <v>0</v>
      </c>
      <c r="AN379" s="1248">
        <f>IF(T379=0,0,IF(K379&gt;'Proposed Lighting'!#REF!,0,IF(AE379=0,0,IF(AND(AD379&gt;AA379,AA379&gt;0),0,IF(U379=0,0,Summary!#REF!)))))</f>
        <v>0</v>
      </c>
      <c r="AO379" s="1248">
        <f t="shared" si="76"/>
        <v>0</v>
      </c>
      <c r="AP379" s="1249" t="e">
        <f>IF('Proposed Lighting'!#REF!=1,0,IF(K379=0,0,IF(T379&gt;K379,0,IF(G379=0,0,IF(K379&gt;'Proposed Lighting'!#REF!,0,IF(AND(AD379&gt;AA379,AA379&gt;0),0,IF(AND('Proposed Lighting'!#REF!=3,AM379=0.5),0,IF(AND(AM379&gt;0,AS379&gt;0,BI379&lt;2),0,IF('Proposed Lighting'!#REF!=100,0,IF(AV379=1,0,IF(AND(AM379=35,M379+N379&lt;2),0,AM379)))))))))))</f>
        <v>#REF!</v>
      </c>
      <c r="AQ379" s="1249" t="str">
        <f>IFERROR(ROUND(IF(Q379="","",IF('Proposed Lighting'!$X$4=0,0,IF(AND(AM379=35,M379+N379&lt;2),0,IF(T379&gt;K379,0,IF('Proposed Lighting'!#REF!=1,0,IF(AJ379=0,0,IF(AND('Proposed Lighting'!#REF!=3,AM379=0.5),0,IF(AND(AD379=75,AP379=0,AV379=0),0,IF(AP379&gt;0.01,AP379*T379,IF(AND(F379&gt;1,W379&lt;0.01),0,IF(AND(F379&gt;1,AO379=0),0,IF(AND('Proposed Lighting'!#REF!=22,AV379=0),0,IF(AND(AM379&gt;0,AS379&gt;0,BI379&lt;2),0,IF(AND(AS379&gt;0.01,BK379=0),0,IF(AND(AO379=TRUE,AV379=1,F379=3),MIN(AJ379*0.08,L379),IF(AP379&gt;0.01,AP379*T379,IF(AND(AO379=TRUE,AV379=1,F379=2),MIN(AJ379*0.1,L379)))))))))))))))))),2),"")</f>
        <v/>
      </c>
      <c r="AR379" s="1250">
        <f>IF(Q379=0,0,IF('Proposed Lighting'!$X$4=0,0,IF(AND(AM379&gt;0.01,AQ379&gt;0.01),0,IF('Proposed Lighting'!#REF!=1,"Missing Interior or Exterior Selection",IF('Proposed Lighting'!#REF!=1,"Selection does not match",IF(K379&gt;'Proposed Lighting'!#REF!,"Quantity controlled does not match proposed lighting quantity",IF(T379&gt;K379,"Quantity of sensors exceeds proposed lighting quantity",IF(AND(F379&gt;1,'Proposed Lighting'!#REF!&lt;&gt;F379),"Selection does not match",IF(AND(AD379&gt;AA379,AA379&gt;0),"Does not meet minimum connected load",IF(AND(O379&gt;0,AS379&gt;0,BK379&gt;0,'Proposed Lighting'!#REF!=0),"Select Control Strategies",IF(AND(AC379&gt;0.1,AJ379=0,AQ379=0),"Does not meet incentive criteria",0)))))))))))</f>
        <v>0</v>
      </c>
      <c r="AS379" s="1224" t="e">
        <f>IF('Proposed Lighting'!#REF!=100,0,IF(ISNUMBER(SEARCH("multiple",Q379)),1,0))</f>
        <v>#REF!</v>
      </c>
      <c r="AT379" s="451">
        <f t="shared" si="73"/>
        <v>0</v>
      </c>
      <c r="AU379" s="451" t="e">
        <f t="shared" si="74"/>
        <v>#REF!</v>
      </c>
      <c r="AV379" s="1222">
        <f>IF(ISNUMBER(SEARCH("Networked",'Proposed Lighting'!#REF!)),0,IF(ISNUMBER(SEARCH("Strategies",'Proposed Lighting'!#REF!)),0,IF(ISNUMBER(SEARCH("Removal",'Proposed Lighting'!#REF!)),0,IF(ISNUMBER(SEARCH("non-standard",Q379)),1,0))))</f>
        <v>0</v>
      </c>
      <c r="AW379" s="451">
        <f t="shared" si="77"/>
        <v>0</v>
      </c>
      <c r="AX379" s="451"/>
      <c r="AY379" s="451"/>
      <c r="AZ379" s="451"/>
      <c r="BA379" s="451"/>
      <c r="BB379" s="451"/>
      <c r="BC379" s="1215"/>
      <c r="BD379" s="1215"/>
      <c r="BE379" s="1215"/>
      <c r="BF379" s="1215"/>
      <c r="BG379" s="1215"/>
      <c r="BH379" s="1215"/>
      <c r="BI379" t="e">
        <f>IF(AND(AS379=1,BC379="No",BD379="Yes",BE379="Yes",BF379="No",BH379="No"),0,IF(AND('Proposed Lighting'!#REF!=2,AS379=1,BC379="Yes",BD379="Yes"),2,IF(AND('Proposed Lighting'!#REF!=2,AS379=1,BC379="Yes",BE379="Yes"),2,IF(AND('Proposed Lighting'!#REF!=2,AS379=1,BC379="Yes",BF379="Yes"),2,IF(AND('Proposed Lighting'!#REF!=2,AS379=1,BC379="Yes",BH379="Yes"),2,IF(AND('Proposed Lighting'!#REF!=2,AS379=1,BD379="Yes",BF379="Yes"),2,IF(AND('Proposed Lighting'!#REF!=2,AS379=1,BD379="Yes",BH379="Yes"),2,IF(AND('Proposed Lighting'!#REF!=3,AS379=1,BC379="Yes",BE379="Yes"),2,IF(AND('Proposed Lighting'!#REF!=3,AS379=1,BC379="Yes",BF379="Yes"),2,0)))))))))</f>
        <v>#REF!</v>
      </c>
      <c r="BJ379" s="1025" t="e">
        <f t="shared" si="75"/>
        <v>#REF!</v>
      </c>
      <c r="BK379" t="e">
        <f>IF(AND('Proposed Lighting'!#REF!=22,'Lighting Controls'!N379=1),0,IF(ISNUMBER(SEARCH("LED",G379)),1,0))</f>
        <v>#REF!</v>
      </c>
    </row>
    <row r="380" spans="1:63" ht="34.5" customHeight="1">
      <c r="A380" s="917">
        <v>372</v>
      </c>
      <c r="B380" s="1828" t="e">
        <f>IF('Proposed Lighting'!#REF!="","",'Proposed Lighting'!#REF!)</f>
        <v>#REF!</v>
      </c>
      <c r="C380" s="1828"/>
      <c r="D380" s="1828"/>
      <c r="E380" s="1245" t="e">
        <f>'Proposed Lighting'!#REF!</f>
        <v>#REF!</v>
      </c>
      <c r="F380" s="1245">
        <f t="shared" si="68"/>
        <v>0</v>
      </c>
      <c r="G380" s="1830" t="e">
        <f>IF('Proposed Lighting'!#REF!="","",IF(ISNUMBER(SEARCH("Networked",'Proposed Lighting'!#REF!)),0,IF(ISNUMBER(SEARCH("Strategies",'Proposed Lighting'!#REF!)),0,IF(ISNUMBER(SEARCH("Removal",'Proposed Lighting'!#REF!)),0,'Proposed Lighting'!#REF!))))</f>
        <v>#REF!</v>
      </c>
      <c r="H380" s="1830"/>
      <c r="I380" s="1830"/>
      <c r="J380" s="1830"/>
      <c r="K380" s="1215"/>
      <c r="L380" s="1246" t="e">
        <f t="shared" si="69"/>
        <v>#REF!</v>
      </c>
      <c r="M380" s="1224">
        <f t="shared" si="70"/>
        <v>0</v>
      </c>
      <c r="N380" s="1224">
        <f t="shared" si="71"/>
        <v>0</v>
      </c>
      <c r="O380" s="1825" t="e">
        <f>IF(G380=0,0,IF(ISNA('Proposed Lighting'!#REF!),0,'Proposed Lighting'!#REF!))</f>
        <v>#REF!</v>
      </c>
      <c r="P380" s="1825"/>
      <c r="Q380" s="1247"/>
      <c r="R380" s="1247"/>
      <c r="S380" s="1247"/>
      <c r="T380" s="1211"/>
      <c r="U380" s="1235">
        <f>IF(K380&gt;0.01,'Proposed Lighting'!#REF!,0)</f>
        <v>0</v>
      </c>
      <c r="V380" s="1248" t="e">
        <f>IF('Proposed Lighting'!#REF!=1,0,IF('Proposed Lighting'!#REF!=2,0,IF(AND('Proposed Lighting'!#REF!=3,'Proposed Lighting'!#REF!=0),1,0)))</f>
        <v>#REF!</v>
      </c>
      <c r="W380" s="1836"/>
      <c r="X380" s="1836"/>
      <c r="Y380" s="1836"/>
      <c r="Z380" s="1230" t="str">
        <f t="shared" si="65"/>
        <v/>
      </c>
      <c r="AA380" s="1230">
        <f t="shared" si="66"/>
        <v>0</v>
      </c>
      <c r="AB380" s="1230">
        <f>IF(Q380=0,0,IF(T380=0,0,IF(AA380=0,0,IF(AND(F380=3,V380=0),0,IF(T380=0,0,IF(K380&gt;'Proposed Lighting'!#REF!,0,IF('Proposed Lighting'!#REF!&gt;0.01,(K380*O380)*'Proposed Lighting'!#REF!/1000,(K380*O380)*U380/1000)))))))</f>
        <v>0</v>
      </c>
      <c r="AC380" s="1230" t="str">
        <f t="shared" si="72"/>
        <v/>
      </c>
      <c r="AD380" s="1230">
        <f t="shared" si="67"/>
        <v>0</v>
      </c>
      <c r="AE380" s="1230">
        <f>IF(T380=0,0,IF(K380&gt;'Proposed Lighting'!#REF!,0,IF(T380&gt;K380,0,IF(AND(AD380&gt;AA380,AA380&gt;0),0,IF(AND(F380&gt;1,W380&lt;0.01),0,IF('Proposed Lighting'!#REF!&gt;'Lighting Controls'!F380,0,IF('Proposed Lighting'!#REF!&lt;'Lighting Controls'!F380,0,IF(U380=0,0,Summary!#REF!))))))))</f>
        <v>0</v>
      </c>
      <c r="AF380" s="1230">
        <f>IF(T380=0,0,IF(AE380=0,0,IF(K380&gt;'Proposed Lighting'!#REF!,0,IF(AND(AD380&gt;AA380,AA380&gt;0),0,IF(U380=0,0,Summary!#REF!)))))</f>
        <v>0</v>
      </c>
      <c r="AG380" s="1834" t="e">
        <f>IF('Proposed Lighting'!#REF!=1,0,IF('Proposed Lighting'!#REF!=1,0,T380*W380))</f>
        <v>#REF!</v>
      </c>
      <c r="AH380" s="1834"/>
      <c r="AI380" s="1834"/>
      <c r="AJ380" s="1835">
        <f>IF(T380&lt;1,0,IF(K380&gt;'Proposed Lighting'!#REF!,0,IF('Proposed Lighting'!#REF!=1,0,IF('Proposed Lighting'!#REF!=1,0,IF(T380&gt;K380,0,IF(AND(AD380&gt;AA380,AA380&gt;0),0,IF(AND(F380=2,'Proposed Lighting'!#REF!=3),0,IF(AND(F380=3,'Proposed Lighting'!#REF!=2),0,IF('Proposed Lighting'!#REF!=100,0,IF(AND(F380&lt;3,V380=1,AM380=0),0,IF(AND(F380&gt;1,AF380&lt;1,AN380&lt;1),0,IF(AND(F380&gt;1,AE380&lt;0.69,AF380&lt;1,AN380&lt;1),0,IF(ISERROR(AB380-AC380),"",AB380-AC380)))))))))))))</f>
        <v>0</v>
      </c>
      <c r="AK380" s="1835"/>
      <c r="AL380" s="1835"/>
      <c r="AM380" s="1216">
        <f>IF(Q380=0,0,IF(T380=0,0,IF(T380&gt;K380,0,IF(AND(AS380&gt;0.01,BK380=0),0,IF(AND('Proposed Lighting'!#REF!=0,'Lighting Controls'!Z380=0.35),0,IF(AND(T380&lt;=K380,AA380&gt;=AD380,'Proposed Lighting'!#REF!=2),VLOOKUP(Q380,$AY$9:$AZ$15,2,FALSE),IF(AND(T380&lt;=K380,AA380&gt;=AD380,'Proposed Lighting'!#REF!=3),VLOOKUP(Q380,$AY$17:$AZ$23,2,FALSE))))))))</f>
        <v>0</v>
      </c>
      <c r="AN380" s="1248">
        <f>IF(T380=0,0,IF(K380&gt;'Proposed Lighting'!#REF!,0,IF(AE380=0,0,IF(AND(AD380&gt;AA380,AA380&gt;0),0,IF(U380=0,0,Summary!#REF!)))))</f>
        <v>0</v>
      </c>
      <c r="AO380" s="1248">
        <f t="shared" si="76"/>
        <v>0</v>
      </c>
      <c r="AP380" s="1249" t="e">
        <f>IF('Proposed Lighting'!#REF!=1,0,IF(K380=0,0,IF(T380&gt;K380,0,IF(G380=0,0,IF(K380&gt;'Proposed Lighting'!#REF!,0,IF(AND(AD380&gt;AA380,AA380&gt;0),0,IF(AND('Proposed Lighting'!#REF!=3,AM380=0.5),0,IF(AND(AM380&gt;0,AS380&gt;0,BI380&lt;2),0,IF('Proposed Lighting'!#REF!=100,0,IF(AV380=1,0,IF(AND(AM380=35,M380+N380&lt;2),0,AM380)))))))))))</f>
        <v>#REF!</v>
      </c>
      <c r="AQ380" s="1249" t="str">
        <f>IFERROR(ROUND(IF(Q380="","",IF('Proposed Lighting'!$X$4=0,0,IF(AND(AM380=35,M380+N380&lt;2),0,IF(T380&gt;K380,0,IF('Proposed Lighting'!#REF!=1,0,IF(AJ380=0,0,IF(AND('Proposed Lighting'!#REF!=3,AM380=0.5),0,IF(AND(AD380=75,AP380=0,AV380=0),0,IF(AP380&gt;0.01,AP380*T380,IF(AND(F380&gt;1,W380&lt;0.01),0,IF(AND(F380&gt;1,AO380=0),0,IF(AND('Proposed Lighting'!#REF!=22,AV380=0),0,IF(AND(AM380&gt;0,AS380&gt;0,BI380&lt;2),0,IF(AND(AS380&gt;0.01,BK380=0),0,IF(AND(AO380=TRUE,AV380=1,F380=3),MIN(AJ380*0.08,L380),IF(AP380&gt;0.01,AP380*T380,IF(AND(AO380=TRUE,AV380=1,F380=2),MIN(AJ380*0.1,L380)))))))))))))))))),2),"")</f>
        <v/>
      </c>
      <c r="AR380" s="1250">
        <f>IF(Q380=0,0,IF('Proposed Lighting'!$X$4=0,0,IF(AND(AM380&gt;0.01,AQ380&gt;0.01),0,IF('Proposed Lighting'!#REF!=1,"Missing Interior or Exterior Selection",IF('Proposed Lighting'!#REF!=1,"Selection does not match",IF(K380&gt;'Proposed Lighting'!#REF!,"Quantity controlled does not match proposed lighting quantity",IF(T380&gt;K380,"Quantity of sensors exceeds proposed lighting quantity",IF(AND(F380&gt;1,'Proposed Lighting'!#REF!&lt;&gt;F380),"Selection does not match",IF(AND(AD380&gt;AA380,AA380&gt;0),"Does not meet minimum connected load",IF(AND(O380&gt;0,AS380&gt;0,BK380&gt;0,'Proposed Lighting'!#REF!=0),"Select Control Strategies",IF(AND(AC380&gt;0.1,AJ380=0,AQ380=0),"Does not meet incentive criteria",0)))))))))))</f>
        <v>0</v>
      </c>
      <c r="AS380" s="1224" t="e">
        <f>IF('Proposed Lighting'!#REF!=100,0,IF(ISNUMBER(SEARCH("multiple",Q380)),1,0))</f>
        <v>#REF!</v>
      </c>
      <c r="AT380" s="451">
        <f t="shared" si="73"/>
        <v>0</v>
      </c>
      <c r="AU380" s="451" t="e">
        <f t="shared" si="74"/>
        <v>#REF!</v>
      </c>
      <c r="AV380" s="1222">
        <f>IF(ISNUMBER(SEARCH("Networked",'Proposed Lighting'!#REF!)),0,IF(ISNUMBER(SEARCH("Strategies",'Proposed Lighting'!#REF!)),0,IF(ISNUMBER(SEARCH("Removal",'Proposed Lighting'!#REF!)),0,IF(ISNUMBER(SEARCH("non-standard",Q380)),1,0))))</f>
        <v>0</v>
      </c>
      <c r="AW380" s="451">
        <f t="shared" si="77"/>
        <v>0</v>
      </c>
      <c r="AX380" s="451"/>
      <c r="AY380" s="451"/>
      <c r="AZ380" s="451"/>
      <c r="BA380" s="451"/>
      <c r="BB380" s="451"/>
      <c r="BC380" s="1215"/>
      <c r="BD380" s="1215"/>
      <c r="BE380" s="1215"/>
      <c r="BF380" s="1215"/>
      <c r="BG380" s="1215"/>
      <c r="BH380" s="1215"/>
      <c r="BI380" t="e">
        <f>IF(AND(AS380=1,BC380="No",BD380="Yes",BE380="Yes",BF380="No",BH380="No"),0,IF(AND('Proposed Lighting'!#REF!=2,AS380=1,BC380="Yes",BD380="Yes"),2,IF(AND('Proposed Lighting'!#REF!=2,AS380=1,BC380="Yes",BE380="Yes"),2,IF(AND('Proposed Lighting'!#REF!=2,AS380=1,BC380="Yes",BF380="Yes"),2,IF(AND('Proposed Lighting'!#REF!=2,AS380=1,BC380="Yes",BH380="Yes"),2,IF(AND('Proposed Lighting'!#REF!=2,AS380=1,BD380="Yes",BF380="Yes"),2,IF(AND('Proposed Lighting'!#REF!=2,AS380=1,BD380="Yes",BH380="Yes"),2,IF(AND('Proposed Lighting'!#REF!=3,AS380=1,BC380="Yes",BE380="Yes"),2,IF(AND('Proposed Lighting'!#REF!=3,AS380=1,BC380="Yes",BF380="Yes"),2,0)))))))))</f>
        <v>#REF!</v>
      </c>
      <c r="BJ380" s="1025" t="e">
        <f t="shared" si="75"/>
        <v>#REF!</v>
      </c>
      <c r="BK380" t="e">
        <f>IF(AND('Proposed Lighting'!#REF!=22,'Lighting Controls'!N380=1),0,IF(ISNUMBER(SEARCH("LED",G380)),1,0))</f>
        <v>#REF!</v>
      </c>
    </row>
    <row r="381" spans="1:63" ht="34.5" customHeight="1">
      <c r="A381" s="917">
        <v>373</v>
      </c>
      <c r="B381" s="1828" t="e">
        <f>IF('Proposed Lighting'!#REF!="","",'Proposed Lighting'!#REF!)</f>
        <v>#REF!</v>
      </c>
      <c r="C381" s="1828"/>
      <c r="D381" s="1828"/>
      <c r="E381" s="1245" t="e">
        <f>'Proposed Lighting'!#REF!</f>
        <v>#REF!</v>
      </c>
      <c r="F381" s="1245">
        <f t="shared" si="68"/>
        <v>0</v>
      </c>
      <c r="G381" s="1830" t="e">
        <f>IF('Proposed Lighting'!#REF!="","",IF(ISNUMBER(SEARCH("Networked",'Proposed Lighting'!#REF!)),0,IF(ISNUMBER(SEARCH("Strategies",'Proposed Lighting'!#REF!)),0,IF(ISNUMBER(SEARCH("Removal",'Proposed Lighting'!#REF!)),0,'Proposed Lighting'!#REF!))))</f>
        <v>#REF!</v>
      </c>
      <c r="H381" s="1830"/>
      <c r="I381" s="1830"/>
      <c r="J381" s="1830"/>
      <c r="K381" s="1215"/>
      <c r="L381" s="1246" t="e">
        <f t="shared" si="69"/>
        <v>#REF!</v>
      </c>
      <c r="M381" s="1224">
        <f t="shared" si="70"/>
        <v>0</v>
      </c>
      <c r="N381" s="1224">
        <f t="shared" si="71"/>
        <v>0</v>
      </c>
      <c r="O381" s="1825" t="e">
        <f>IF(G381=0,0,IF(ISNA('Proposed Lighting'!#REF!),0,'Proposed Lighting'!#REF!))</f>
        <v>#REF!</v>
      </c>
      <c r="P381" s="1825"/>
      <c r="Q381" s="1247"/>
      <c r="R381" s="1247"/>
      <c r="S381" s="1247"/>
      <c r="T381" s="1211"/>
      <c r="U381" s="1235">
        <f>IF(K381&gt;0.01,'Proposed Lighting'!#REF!,0)</f>
        <v>0</v>
      </c>
      <c r="V381" s="1248" t="e">
        <f>IF('Proposed Lighting'!#REF!=1,0,IF('Proposed Lighting'!#REF!=2,0,IF(AND('Proposed Lighting'!#REF!=3,'Proposed Lighting'!#REF!=0),1,0)))</f>
        <v>#REF!</v>
      </c>
      <c r="W381" s="1836"/>
      <c r="X381" s="1836"/>
      <c r="Y381" s="1836"/>
      <c r="Z381" s="1230" t="str">
        <f t="shared" si="65"/>
        <v/>
      </c>
      <c r="AA381" s="1230">
        <f t="shared" si="66"/>
        <v>0</v>
      </c>
      <c r="AB381" s="1230">
        <f>IF(Q381=0,0,IF(T381=0,0,IF(AA381=0,0,IF(AND(F381=3,V381=0),0,IF(T381=0,0,IF(K381&gt;'Proposed Lighting'!#REF!,0,IF('Proposed Lighting'!#REF!&gt;0.01,(K381*O381)*'Proposed Lighting'!#REF!/1000,(K381*O381)*U381/1000)))))))</f>
        <v>0</v>
      </c>
      <c r="AC381" s="1230" t="str">
        <f t="shared" si="72"/>
        <v/>
      </c>
      <c r="AD381" s="1230">
        <f t="shared" si="67"/>
        <v>0</v>
      </c>
      <c r="AE381" s="1230">
        <f>IF(T381=0,0,IF(K381&gt;'Proposed Lighting'!#REF!,0,IF(T381&gt;K381,0,IF(AND(AD381&gt;AA381,AA381&gt;0),0,IF(AND(F381&gt;1,W381&lt;0.01),0,IF('Proposed Lighting'!#REF!&gt;'Lighting Controls'!F381,0,IF('Proposed Lighting'!#REF!&lt;'Lighting Controls'!F381,0,IF(U381=0,0,Summary!#REF!))))))))</f>
        <v>0</v>
      </c>
      <c r="AF381" s="1230">
        <f>IF(T381=0,0,IF(AE381=0,0,IF(K381&gt;'Proposed Lighting'!#REF!,0,IF(AND(AD381&gt;AA381,AA381&gt;0),0,IF(U381=0,0,Summary!#REF!)))))</f>
        <v>0</v>
      </c>
      <c r="AG381" s="1834" t="e">
        <f>IF('Proposed Lighting'!#REF!=1,0,IF('Proposed Lighting'!#REF!=1,0,T381*W381))</f>
        <v>#REF!</v>
      </c>
      <c r="AH381" s="1834"/>
      <c r="AI381" s="1834"/>
      <c r="AJ381" s="1835">
        <f>IF(T381&lt;1,0,IF(K381&gt;'Proposed Lighting'!#REF!,0,IF('Proposed Lighting'!#REF!=1,0,IF('Proposed Lighting'!#REF!=1,0,IF(T381&gt;K381,0,IF(AND(AD381&gt;AA381,AA381&gt;0),0,IF(AND(F381=2,'Proposed Lighting'!#REF!=3),0,IF(AND(F381=3,'Proposed Lighting'!#REF!=2),0,IF('Proposed Lighting'!#REF!=100,0,IF(AND(F381&lt;3,V381=1,AM381=0),0,IF(AND(F381&gt;1,AF381&lt;1,AN381&lt;1),0,IF(AND(F381&gt;1,AE381&lt;0.69,AF381&lt;1,AN381&lt;1),0,IF(ISERROR(AB381-AC381),"",AB381-AC381)))))))))))))</f>
        <v>0</v>
      </c>
      <c r="AK381" s="1835"/>
      <c r="AL381" s="1835"/>
      <c r="AM381" s="1216">
        <f>IF(Q381=0,0,IF(T381=0,0,IF(T381&gt;K381,0,IF(AND(AS381&gt;0.01,BK381=0),0,IF(AND('Proposed Lighting'!#REF!=0,'Lighting Controls'!Z381=0.35),0,IF(AND(T381&lt;=K381,AA381&gt;=AD381,'Proposed Lighting'!#REF!=2),VLOOKUP(Q381,$AY$9:$AZ$15,2,FALSE),IF(AND(T381&lt;=K381,AA381&gt;=AD381,'Proposed Lighting'!#REF!=3),VLOOKUP(Q381,$AY$17:$AZ$23,2,FALSE))))))))</f>
        <v>0</v>
      </c>
      <c r="AN381" s="1248">
        <f>IF(T381=0,0,IF(K381&gt;'Proposed Lighting'!#REF!,0,IF(AE381=0,0,IF(AND(AD381&gt;AA381,AA381&gt;0),0,IF(U381=0,0,Summary!#REF!)))))</f>
        <v>0</v>
      </c>
      <c r="AO381" s="1248">
        <f t="shared" si="76"/>
        <v>0</v>
      </c>
      <c r="AP381" s="1249" t="e">
        <f>IF('Proposed Lighting'!#REF!=1,0,IF(K381=0,0,IF(T381&gt;K381,0,IF(G381=0,0,IF(K381&gt;'Proposed Lighting'!#REF!,0,IF(AND(AD381&gt;AA381,AA381&gt;0),0,IF(AND('Proposed Lighting'!#REF!=3,AM381=0.5),0,IF(AND(AM381&gt;0,AS381&gt;0,BI381&lt;2),0,IF('Proposed Lighting'!#REF!=100,0,IF(AV381=1,0,IF(AND(AM381=35,M381+N381&lt;2),0,AM381)))))))))))</f>
        <v>#REF!</v>
      </c>
      <c r="AQ381" s="1249" t="str">
        <f>IFERROR(ROUND(IF(Q381="","",IF('Proposed Lighting'!$X$4=0,0,IF(AND(AM381=35,M381+N381&lt;2),0,IF(T381&gt;K381,0,IF('Proposed Lighting'!#REF!=1,0,IF(AJ381=0,0,IF(AND('Proposed Lighting'!#REF!=3,AM381=0.5),0,IF(AND(AD381=75,AP381=0,AV381=0),0,IF(AP381&gt;0.01,AP381*T381,IF(AND(F381&gt;1,W381&lt;0.01),0,IF(AND(F381&gt;1,AO381=0),0,IF(AND('Proposed Lighting'!#REF!=22,AV381=0),0,IF(AND(AM381&gt;0,AS381&gt;0,BI381&lt;2),0,IF(AND(AS381&gt;0.01,BK381=0),0,IF(AND(AO381=TRUE,AV381=1,F381=3),MIN(AJ381*0.08,L381),IF(AP381&gt;0.01,AP381*T381,IF(AND(AO381=TRUE,AV381=1,F381=2),MIN(AJ381*0.1,L381)))))))))))))))))),2),"")</f>
        <v/>
      </c>
      <c r="AR381" s="1250">
        <f>IF(Q381=0,0,IF('Proposed Lighting'!$X$4=0,0,IF(AND(AM381&gt;0.01,AQ381&gt;0.01),0,IF('Proposed Lighting'!#REF!=1,"Missing Interior or Exterior Selection",IF('Proposed Lighting'!#REF!=1,"Selection does not match",IF(K381&gt;'Proposed Lighting'!#REF!,"Quantity controlled does not match proposed lighting quantity",IF(T381&gt;K381,"Quantity of sensors exceeds proposed lighting quantity",IF(AND(F381&gt;1,'Proposed Lighting'!#REF!&lt;&gt;F381),"Selection does not match",IF(AND(AD381&gt;AA381,AA381&gt;0),"Does not meet minimum connected load",IF(AND(O381&gt;0,AS381&gt;0,BK381&gt;0,'Proposed Lighting'!#REF!=0),"Select Control Strategies",IF(AND(AC381&gt;0.1,AJ381=0,AQ381=0),"Does not meet incentive criteria",0)))))))))))</f>
        <v>0</v>
      </c>
      <c r="AS381" s="1224" t="e">
        <f>IF('Proposed Lighting'!#REF!=100,0,IF(ISNUMBER(SEARCH("multiple",Q381)),1,0))</f>
        <v>#REF!</v>
      </c>
      <c r="AT381" s="451">
        <f t="shared" si="73"/>
        <v>0</v>
      </c>
      <c r="AU381" s="451" t="e">
        <f t="shared" si="74"/>
        <v>#REF!</v>
      </c>
      <c r="AV381" s="1222">
        <f>IF(ISNUMBER(SEARCH("Networked",'Proposed Lighting'!#REF!)),0,IF(ISNUMBER(SEARCH("Strategies",'Proposed Lighting'!#REF!)),0,IF(ISNUMBER(SEARCH("Removal",'Proposed Lighting'!#REF!)),0,IF(ISNUMBER(SEARCH("non-standard",Q381)),1,0))))</f>
        <v>0</v>
      </c>
      <c r="AW381" s="451">
        <f t="shared" si="77"/>
        <v>0</v>
      </c>
      <c r="AX381" s="451"/>
      <c r="AY381" s="451"/>
      <c r="AZ381" s="451"/>
      <c r="BA381" s="451"/>
      <c r="BB381" s="451"/>
      <c r="BC381" s="1215"/>
      <c r="BD381" s="1215"/>
      <c r="BE381" s="1215"/>
      <c r="BF381" s="1215"/>
      <c r="BG381" s="1215"/>
      <c r="BH381" s="1215"/>
      <c r="BI381" t="e">
        <f>IF(AND(AS381=1,BC381="No",BD381="Yes",BE381="Yes",BF381="No",BH381="No"),0,IF(AND('Proposed Lighting'!#REF!=2,AS381=1,BC381="Yes",BD381="Yes"),2,IF(AND('Proposed Lighting'!#REF!=2,AS381=1,BC381="Yes",BE381="Yes"),2,IF(AND('Proposed Lighting'!#REF!=2,AS381=1,BC381="Yes",BF381="Yes"),2,IF(AND('Proposed Lighting'!#REF!=2,AS381=1,BC381="Yes",BH381="Yes"),2,IF(AND('Proposed Lighting'!#REF!=2,AS381=1,BD381="Yes",BF381="Yes"),2,IF(AND('Proposed Lighting'!#REF!=2,AS381=1,BD381="Yes",BH381="Yes"),2,IF(AND('Proposed Lighting'!#REF!=3,AS381=1,BC381="Yes",BE381="Yes"),2,IF(AND('Proposed Lighting'!#REF!=3,AS381=1,BC381="Yes",BF381="Yes"),2,0)))))))))</f>
        <v>#REF!</v>
      </c>
      <c r="BJ381" s="1025" t="e">
        <f t="shared" si="75"/>
        <v>#REF!</v>
      </c>
      <c r="BK381" t="e">
        <f>IF(AND('Proposed Lighting'!#REF!=22,'Lighting Controls'!N381=1),0,IF(ISNUMBER(SEARCH("LED",G381)),1,0))</f>
        <v>#REF!</v>
      </c>
    </row>
    <row r="382" spans="1:63" ht="34.5" customHeight="1">
      <c r="A382" s="917">
        <v>374</v>
      </c>
      <c r="B382" s="1828" t="e">
        <f>IF('Proposed Lighting'!#REF!="","",'Proposed Lighting'!#REF!)</f>
        <v>#REF!</v>
      </c>
      <c r="C382" s="1828"/>
      <c r="D382" s="1828"/>
      <c r="E382" s="1245" t="e">
        <f>'Proposed Lighting'!#REF!</f>
        <v>#REF!</v>
      </c>
      <c r="F382" s="1245">
        <f t="shared" si="68"/>
        <v>0</v>
      </c>
      <c r="G382" s="1830" t="e">
        <f>IF('Proposed Lighting'!#REF!="","",IF(ISNUMBER(SEARCH("Networked",'Proposed Lighting'!#REF!)),0,IF(ISNUMBER(SEARCH("Strategies",'Proposed Lighting'!#REF!)),0,IF(ISNUMBER(SEARCH("Removal",'Proposed Lighting'!#REF!)),0,'Proposed Lighting'!#REF!))))</f>
        <v>#REF!</v>
      </c>
      <c r="H382" s="1830"/>
      <c r="I382" s="1830"/>
      <c r="J382" s="1830"/>
      <c r="K382" s="1215"/>
      <c r="L382" s="1246" t="e">
        <f t="shared" si="69"/>
        <v>#REF!</v>
      </c>
      <c r="M382" s="1224">
        <f t="shared" si="70"/>
        <v>0</v>
      </c>
      <c r="N382" s="1224">
        <f t="shared" si="71"/>
        <v>0</v>
      </c>
      <c r="O382" s="1825" t="e">
        <f>IF(G382=0,0,IF(ISNA('Proposed Lighting'!#REF!),0,'Proposed Lighting'!#REF!))</f>
        <v>#REF!</v>
      </c>
      <c r="P382" s="1825"/>
      <c r="Q382" s="1247"/>
      <c r="R382" s="1247"/>
      <c r="S382" s="1247"/>
      <c r="T382" s="1211"/>
      <c r="U382" s="1235">
        <f>IF(K382&gt;0.01,'Proposed Lighting'!#REF!,0)</f>
        <v>0</v>
      </c>
      <c r="V382" s="1248" t="e">
        <f>IF('Proposed Lighting'!#REF!=1,0,IF('Proposed Lighting'!#REF!=2,0,IF(AND('Proposed Lighting'!#REF!=3,'Proposed Lighting'!#REF!=0),1,0)))</f>
        <v>#REF!</v>
      </c>
      <c r="W382" s="1836"/>
      <c r="X382" s="1836"/>
      <c r="Y382" s="1836"/>
      <c r="Z382" s="1230" t="str">
        <f t="shared" si="65"/>
        <v/>
      </c>
      <c r="AA382" s="1230">
        <f t="shared" si="66"/>
        <v>0</v>
      </c>
      <c r="AB382" s="1230">
        <f>IF(Q382=0,0,IF(T382=0,0,IF(AA382=0,0,IF(AND(F382=3,V382=0),0,IF(T382=0,0,IF(K382&gt;'Proposed Lighting'!#REF!,0,IF('Proposed Lighting'!#REF!&gt;0.01,(K382*O382)*'Proposed Lighting'!#REF!/1000,(K382*O382)*U382/1000)))))))</f>
        <v>0</v>
      </c>
      <c r="AC382" s="1230" t="str">
        <f t="shared" si="72"/>
        <v/>
      </c>
      <c r="AD382" s="1230">
        <f t="shared" si="67"/>
        <v>0</v>
      </c>
      <c r="AE382" s="1230">
        <f>IF(T382=0,0,IF(K382&gt;'Proposed Lighting'!#REF!,0,IF(T382&gt;K382,0,IF(AND(AD382&gt;AA382,AA382&gt;0),0,IF(AND(F382&gt;1,W382&lt;0.01),0,IF('Proposed Lighting'!#REF!&gt;'Lighting Controls'!F382,0,IF('Proposed Lighting'!#REF!&lt;'Lighting Controls'!F382,0,IF(U382=0,0,Summary!#REF!))))))))</f>
        <v>0</v>
      </c>
      <c r="AF382" s="1230">
        <f>IF(T382=0,0,IF(AE382=0,0,IF(K382&gt;'Proposed Lighting'!#REF!,0,IF(AND(AD382&gt;AA382,AA382&gt;0),0,IF(U382=0,0,Summary!#REF!)))))</f>
        <v>0</v>
      </c>
      <c r="AG382" s="1834" t="e">
        <f>IF('Proposed Lighting'!#REF!=1,0,IF('Proposed Lighting'!#REF!=1,0,T382*W382))</f>
        <v>#REF!</v>
      </c>
      <c r="AH382" s="1834"/>
      <c r="AI382" s="1834"/>
      <c r="AJ382" s="1835">
        <f>IF(T382&lt;1,0,IF(K382&gt;'Proposed Lighting'!#REF!,0,IF('Proposed Lighting'!#REF!=1,0,IF('Proposed Lighting'!#REF!=1,0,IF(T382&gt;K382,0,IF(AND(AD382&gt;AA382,AA382&gt;0),0,IF(AND(F382=2,'Proposed Lighting'!#REF!=3),0,IF(AND(F382=3,'Proposed Lighting'!#REF!=2),0,IF('Proposed Lighting'!#REF!=100,0,IF(AND(F382&lt;3,V382=1,AM382=0),0,IF(AND(F382&gt;1,AF382&lt;1,AN382&lt;1),0,IF(AND(F382&gt;1,AE382&lt;0.69,AF382&lt;1,AN382&lt;1),0,IF(ISERROR(AB382-AC382),"",AB382-AC382)))))))))))))</f>
        <v>0</v>
      </c>
      <c r="AK382" s="1835"/>
      <c r="AL382" s="1835"/>
      <c r="AM382" s="1216">
        <f>IF(Q382=0,0,IF(T382=0,0,IF(T382&gt;K382,0,IF(AND(AS382&gt;0.01,BK382=0),0,IF(AND('Proposed Lighting'!#REF!=0,'Lighting Controls'!Z382=0.35),0,IF(AND(T382&lt;=K382,AA382&gt;=AD382,'Proposed Lighting'!#REF!=2),VLOOKUP(Q382,$AY$9:$AZ$15,2,FALSE),IF(AND(T382&lt;=K382,AA382&gt;=AD382,'Proposed Lighting'!#REF!=3),VLOOKUP(Q382,$AY$17:$AZ$23,2,FALSE))))))))</f>
        <v>0</v>
      </c>
      <c r="AN382" s="1248">
        <f>IF(T382=0,0,IF(K382&gt;'Proposed Lighting'!#REF!,0,IF(AE382=0,0,IF(AND(AD382&gt;AA382,AA382&gt;0),0,IF(U382=0,0,Summary!#REF!)))))</f>
        <v>0</v>
      </c>
      <c r="AO382" s="1248">
        <f t="shared" si="76"/>
        <v>0</v>
      </c>
      <c r="AP382" s="1249" t="e">
        <f>IF('Proposed Lighting'!#REF!=1,0,IF(K382=0,0,IF(T382&gt;K382,0,IF(G382=0,0,IF(K382&gt;'Proposed Lighting'!#REF!,0,IF(AND(AD382&gt;AA382,AA382&gt;0),0,IF(AND('Proposed Lighting'!#REF!=3,AM382=0.5),0,IF(AND(AM382&gt;0,AS382&gt;0,BI382&lt;2),0,IF('Proposed Lighting'!#REF!=100,0,IF(AV382=1,0,IF(AND(AM382=35,M382+N382&lt;2),0,AM382)))))))))))</f>
        <v>#REF!</v>
      </c>
      <c r="AQ382" s="1249" t="str">
        <f>IFERROR(ROUND(IF(Q382="","",IF('Proposed Lighting'!$X$4=0,0,IF(AND(AM382=35,M382+N382&lt;2),0,IF(T382&gt;K382,0,IF('Proposed Lighting'!#REF!=1,0,IF(AJ382=0,0,IF(AND('Proposed Lighting'!#REF!=3,AM382=0.5),0,IF(AND(AD382=75,AP382=0,AV382=0),0,IF(AP382&gt;0.01,AP382*T382,IF(AND(F382&gt;1,W382&lt;0.01),0,IF(AND(F382&gt;1,AO382=0),0,IF(AND('Proposed Lighting'!#REF!=22,AV382=0),0,IF(AND(AM382&gt;0,AS382&gt;0,BI382&lt;2),0,IF(AND(AS382&gt;0.01,BK382=0),0,IF(AND(AO382=TRUE,AV382=1,F382=3),MIN(AJ382*0.08,L382),IF(AP382&gt;0.01,AP382*T382,IF(AND(AO382=TRUE,AV382=1,F382=2),MIN(AJ382*0.1,L382)))))))))))))))))),2),"")</f>
        <v/>
      </c>
      <c r="AR382" s="1250">
        <f>IF(Q382=0,0,IF('Proposed Lighting'!$X$4=0,0,IF(AND(AM382&gt;0.01,AQ382&gt;0.01),0,IF('Proposed Lighting'!#REF!=1,"Missing Interior or Exterior Selection",IF('Proposed Lighting'!#REF!=1,"Selection does not match",IF(K382&gt;'Proposed Lighting'!#REF!,"Quantity controlled does not match proposed lighting quantity",IF(T382&gt;K382,"Quantity of sensors exceeds proposed lighting quantity",IF(AND(F382&gt;1,'Proposed Lighting'!#REF!&lt;&gt;F382),"Selection does not match",IF(AND(AD382&gt;AA382,AA382&gt;0),"Does not meet minimum connected load",IF(AND(O382&gt;0,AS382&gt;0,BK382&gt;0,'Proposed Lighting'!#REF!=0),"Select Control Strategies",IF(AND(AC382&gt;0.1,AJ382=0,AQ382=0),"Does not meet incentive criteria",0)))))))))))</f>
        <v>0</v>
      </c>
      <c r="AS382" s="1224" t="e">
        <f>IF('Proposed Lighting'!#REF!=100,0,IF(ISNUMBER(SEARCH("multiple",Q382)),1,0))</f>
        <v>#REF!</v>
      </c>
      <c r="AT382" s="451">
        <f t="shared" si="73"/>
        <v>0</v>
      </c>
      <c r="AU382" s="451" t="e">
        <f t="shared" si="74"/>
        <v>#REF!</v>
      </c>
      <c r="AV382" s="1222">
        <f>IF(ISNUMBER(SEARCH("Networked",'Proposed Lighting'!#REF!)),0,IF(ISNUMBER(SEARCH("Strategies",'Proposed Lighting'!#REF!)),0,IF(ISNUMBER(SEARCH("Removal",'Proposed Lighting'!#REF!)),0,IF(ISNUMBER(SEARCH("non-standard",Q382)),1,0))))</f>
        <v>0</v>
      </c>
      <c r="AW382" s="451">
        <f t="shared" si="77"/>
        <v>0</v>
      </c>
      <c r="AX382" s="451"/>
      <c r="AY382" s="451"/>
      <c r="AZ382" s="451"/>
      <c r="BA382" s="451"/>
      <c r="BB382" s="451"/>
      <c r="BC382" s="1215"/>
      <c r="BD382" s="1215"/>
      <c r="BE382" s="1215"/>
      <c r="BF382" s="1215"/>
      <c r="BG382" s="1215"/>
      <c r="BH382" s="1215"/>
      <c r="BI382" t="e">
        <f>IF(AND(AS382=1,BC382="No",BD382="Yes",BE382="Yes",BF382="No",BH382="No"),0,IF(AND('Proposed Lighting'!#REF!=2,AS382=1,BC382="Yes",BD382="Yes"),2,IF(AND('Proposed Lighting'!#REF!=2,AS382=1,BC382="Yes",BE382="Yes"),2,IF(AND('Proposed Lighting'!#REF!=2,AS382=1,BC382="Yes",BF382="Yes"),2,IF(AND('Proposed Lighting'!#REF!=2,AS382=1,BC382="Yes",BH382="Yes"),2,IF(AND('Proposed Lighting'!#REF!=2,AS382=1,BD382="Yes",BF382="Yes"),2,IF(AND('Proposed Lighting'!#REF!=2,AS382=1,BD382="Yes",BH382="Yes"),2,IF(AND('Proposed Lighting'!#REF!=3,AS382=1,BC382="Yes",BE382="Yes"),2,IF(AND('Proposed Lighting'!#REF!=3,AS382=1,BC382="Yes",BF382="Yes"),2,0)))))))))</f>
        <v>#REF!</v>
      </c>
      <c r="BJ382" s="1025" t="e">
        <f t="shared" si="75"/>
        <v>#REF!</v>
      </c>
      <c r="BK382" t="e">
        <f>IF(AND('Proposed Lighting'!#REF!=22,'Lighting Controls'!N382=1),0,IF(ISNUMBER(SEARCH("LED",G382)),1,0))</f>
        <v>#REF!</v>
      </c>
    </row>
    <row r="383" spans="1:63" ht="34.5" customHeight="1">
      <c r="A383" s="917">
        <v>375</v>
      </c>
      <c r="B383" s="1828" t="e">
        <f>IF('Proposed Lighting'!#REF!="","",'Proposed Lighting'!#REF!)</f>
        <v>#REF!</v>
      </c>
      <c r="C383" s="1828"/>
      <c r="D383" s="1828"/>
      <c r="E383" s="1245" t="e">
        <f>'Proposed Lighting'!#REF!</f>
        <v>#REF!</v>
      </c>
      <c r="F383" s="1245">
        <f t="shared" si="68"/>
        <v>0</v>
      </c>
      <c r="G383" s="1830" t="e">
        <f>IF('Proposed Lighting'!#REF!="","",IF(ISNUMBER(SEARCH("Networked",'Proposed Lighting'!#REF!)),0,IF(ISNUMBER(SEARCH("Strategies",'Proposed Lighting'!#REF!)),0,IF(ISNUMBER(SEARCH("Removal",'Proposed Lighting'!#REF!)),0,'Proposed Lighting'!#REF!))))</f>
        <v>#REF!</v>
      </c>
      <c r="H383" s="1830"/>
      <c r="I383" s="1830"/>
      <c r="J383" s="1830"/>
      <c r="K383" s="1215"/>
      <c r="L383" s="1246" t="e">
        <f t="shared" si="69"/>
        <v>#REF!</v>
      </c>
      <c r="M383" s="1224">
        <f t="shared" si="70"/>
        <v>0</v>
      </c>
      <c r="N383" s="1224">
        <f t="shared" si="71"/>
        <v>0</v>
      </c>
      <c r="O383" s="1825" t="e">
        <f>IF(G383=0,0,IF(ISNA('Proposed Lighting'!#REF!),0,'Proposed Lighting'!#REF!))</f>
        <v>#REF!</v>
      </c>
      <c r="P383" s="1825"/>
      <c r="Q383" s="1247"/>
      <c r="R383" s="1247"/>
      <c r="S383" s="1247"/>
      <c r="T383" s="1211"/>
      <c r="U383" s="1235">
        <f>IF(K383&gt;0.01,'Proposed Lighting'!#REF!,0)</f>
        <v>0</v>
      </c>
      <c r="V383" s="1248" t="e">
        <f>IF('Proposed Lighting'!#REF!=1,0,IF('Proposed Lighting'!#REF!=2,0,IF(AND('Proposed Lighting'!#REF!=3,'Proposed Lighting'!#REF!=0),1,0)))</f>
        <v>#REF!</v>
      </c>
      <c r="W383" s="1836"/>
      <c r="X383" s="1836"/>
      <c r="Y383" s="1836"/>
      <c r="Z383" s="1230" t="str">
        <f t="shared" si="65"/>
        <v/>
      </c>
      <c r="AA383" s="1230">
        <f t="shared" si="66"/>
        <v>0</v>
      </c>
      <c r="AB383" s="1230">
        <f>IF(Q383=0,0,IF(T383=0,0,IF(AA383=0,0,IF(AND(F383=3,V383=0),0,IF(T383=0,0,IF(K383&gt;'Proposed Lighting'!#REF!,0,IF('Proposed Lighting'!#REF!&gt;0.01,(K383*O383)*'Proposed Lighting'!#REF!/1000,(K383*O383)*U383/1000)))))))</f>
        <v>0</v>
      </c>
      <c r="AC383" s="1230" t="str">
        <f t="shared" si="72"/>
        <v/>
      </c>
      <c r="AD383" s="1230">
        <f t="shared" si="67"/>
        <v>0</v>
      </c>
      <c r="AE383" s="1230">
        <f>IF(T383=0,0,IF(K383&gt;'Proposed Lighting'!#REF!,0,IF(T383&gt;K383,0,IF(AND(AD383&gt;AA383,AA383&gt;0),0,IF(AND(F383&gt;1,W383&lt;0.01),0,IF('Proposed Lighting'!#REF!&gt;'Lighting Controls'!F383,0,IF('Proposed Lighting'!#REF!&lt;'Lighting Controls'!F383,0,IF(U383=0,0,Summary!#REF!))))))))</f>
        <v>0</v>
      </c>
      <c r="AF383" s="1230">
        <f>IF(T383=0,0,IF(AE383=0,0,IF(K383&gt;'Proposed Lighting'!#REF!,0,IF(AND(AD383&gt;AA383,AA383&gt;0),0,IF(U383=0,0,Summary!#REF!)))))</f>
        <v>0</v>
      </c>
      <c r="AG383" s="1834" t="e">
        <f>IF('Proposed Lighting'!#REF!=1,0,IF('Proposed Lighting'!#REF!=1,0,T383*W383))</f>
        <v>#REF!</v>
      </c>
      <c r="AH383" s="1834"/>
      <c r="AI383" s="1834"/>
      <c r="AJ383" s="1835">
        <f>IF(T383&lt;1,0,IF(K383&gt;'Proposed Lighting'!#REF!,0,IF('Proposed Lighting'!#REF!=1,0,IF('Proposed Lighting'!#REF!=1,0,IF(T383&gt;K383,0,IF(AND(AD383&gt;AA383,AA383&gt;0),0,IF(AND(F383=2,'Proposed Lighting'!#REF!=3),0,IF(AND(F383=3,'Proposed Lighting'!#REF!=2),0,IF('Proposed Lighting'!#REF!=100,0,IF(AND(F383&lt;3,V383=1,AM383=0),0,IF(AND(F383&gt;1,AF383&lt;1,AN383&lt;1),0,IF(AND(F383&gt;1,AE383&lt;0.69,AF383&lt;1,AN383&lt;1),0,IF(ISERROR(AB383-AC383),"",AB383-AC383)))))))))))))</f>
        <v>0</v>
      </c>
      <c r="AK383" s="1835"/>
      <c r="AL383" s="1835"/>
      <c r="AM383" s="1216">
        <f>IF(Q383=0,0,IF(T383=0,0,IF(T383&gt;K383,0,IF(AND(AS383&gt;0.01,BK383=0),0,IF(AND('Proposed Lighting'!#REF!=0,'Lighting Controls'!Z383=0.35),0,IF(AND(T383&lt;=K383,AA383&gt;=AD383,'Proposed Lighting'!#REF!=2),VLOOKUP(Q383,$AY$9:$AZ$15,2,FALSE),IF(AND(T383&lt;=K383,AA383&gt;=AD383,'Proposed Lighting'!#REF!=3),VLOOKUP(Q383,$AY$17:$AZ$23,2,FALSE))))))))</f>
        <v>0</v>
      </c>
      <c r="AN383" s="1248">
        <f>IF(T383=0,0,IF(K383&gt;'Proposed Lighting'!#REF!,0,IF(AE383=0,0,IF(AND(AD383&gt;AA383,AA383&gt;0),0,IF(U383=0,0,Summary!#REF!)))))</f>
        <v>0</v>
      </c>
      <c r="AO383" s="1248">
        <f t="shared" si="76"/>
        <v>0</v>
      </c>
      <c r="AP383" s="1249" t="e">
        <f>IF('Proposed Lighting'!#REF!=1,0,IF(K383=0,0,IF(T383&gt;K383,0,IF(G383=0,0,IF(K383&gt;'Proposed Lighting'!#REF!,0,IF(AND(AD383&gt;AA383,AA383&gt;0),0,IF(AND('Proposed Lighting'!#REF!=3,AM383=0.5),0,IF(AND(AM383&gt;0,AS383&gt;0,BI383&lt;2),0,IF('Proposed Lighting'!#REF!=100,0,IF(AV383=1,0,IF(AND(AM383=35,M383+N383&lt;2),0,AM383)))))))))))</f>
        <v>#REF!</v>
      </c>
      <c r="AQ383" s="1249" t="str">
        <f>IFERROR(ROUND(IF(Q383="","",IF('Proposed Lighting'!$X$4=0,0,IF(AND(AM383=35,M383+N383&lt;2),0,IF(T383&gt;K383,0,IF('Proposed Lighting'!#REF!=1,0,IF(AJ383=0,0,IF(AND('Proposed Lighting'!#REF!=3,AM383=0.5),0,IF(AND(AD383=75,AP383=0,AV383=0),0,IF(AP383&gt;0.01,AP383*T383,IF(AND(F383&gt;1,W383&lt;0.01),0,IF(AND(F383&gt;1,AO383=0),0,IF(AND('Proposed Lighting'!#REF!=22,AV383=0),0,IF(AND(AM383&gt;0,AS383&gt;0,BI383&lt;2),0,IF(AND(AS383&gt;0.01,BK383=0),0,IF(AND(AO383=TRUE,AV383=1,F383=3),MIN(AJ383*0.08,L383),IF(AP383&gt;0.01,AP383*T383,IF(AND(AO383=TRUE,AV383=1,F383=2),MIN(AJ383*0.1,L383)))))))))))))))))),2),"")</f>
        <v/>
      </c>
      <c r="AR383" s="1250">
        <f>IF(Q383=0,0,IF('Proposed Lighting'!$X$4=0,0,IF(AND(AM383&gt;0.01,AQ383&gt;0.01),0,IF('Proposed Lighting'!#REF!=1,"Missing Interior or Exterior Selection",IF('Proposed Lighting'!#REF!=1,"Selection does not match",IF(K383&gt;'Proposed Lighting'!#REF!,"Quantity controlled does not match proposed lighting quantity",IF(T383&gt;K383,"Quantity of sensors exceeds proposed lighting quantity",IF(AND(F383&gt;1,'Proposed Lighting'!#REF!&lt;&gt;F383),"Selection does not match",IF(AND(AD383&gt;AA383,AA383&gt;0),"Does not meet minimum connected load",IF(AND(O383&gt;0,AS383&gt;0,BK383&gt;0,'Proposed Lighting'!#REF!=0),"Select Control Strategies",IF(AND(AC383&gt;0.1,AJ383=0,AQ383=0),"Does not meet incentive criteria",0)))))))))))</f>
        <v>0</v>
      </c>
      <c r="AS383" s="1224" t="e">
        <f>IF('Proposed Lighting'!#REF!=100,0,IF(ISNUMBER(SEARCH("multiple",Q383)),1,0))</f>
        <v>#REF!</v>
      </c>
      <c r="AT383" s="451">
        <f t="shared" si="73"/>
        <v>0</v>
      </c>
      <c r="AU383" s="451" t="e">
        <f t="shared" si="74"/>
        <v>#REF!</v>
      </c>
      <c r="AV383" s="1222">
        <f>IF(ISNUMBER(SEARCH("Networked",'Proposed Lighting'!#REF!)),0,IF(ISNUMBER(SEARCH("Strategies",'Proposed Lighting'!#REF!)),0,IF(ISNUMBER(SEARCH("Removal",'Proposed Lighting'!#REF!)),0,IF(ISNUMBER(SEARCH("non-standard",Q383)),1,0))))</f>
        <v>0</v>
      </c>
      <c r="AW383" s="451">
        <f t="shared" si="77"/>
        <v>0</v>
      </c>
      <c r="AX383" s="451"/>
      <c r="AY383" s="451"/>
      <c r="AZ383" s="451"/>
      <c r="BA383" s="451"/>
      <c r="BB383" s="451"/>
      <c r="BC383" s="1215"/>
      <c r="BD383" s="1215"/>
      <c r="BE383" s="1215"/>
      <c r="BF383" s="1215"/>
      <c r="BG383" s="1215"/>
      <c r="BH383" s="1215"/>
      <c r="BI383" t="e">
        <f>IF(AND(AS383=1,BC383="No",BD383="Yes",BE383="Yes",BF383="No",BH383="No"),0,IF(AND('Proposed Lighting'!#REF!=2,AS383=1,BC383="Yes",BD383="Yes"),2,IF(AND('Proposed Lighting'!#REF!=2,AS383=1,BC383="Yes",BE383="Yes"),2,IF(AND('Proposed Lighting'!#REF!=2,AS383=1,BC383="Yes",BF383="Yes"),2,IF(AND('Proposed Lighting'!#REF!=2,AS383=1,BC383="Yes",BH383="Yes"),2,IF(AND('Proposed Lighting'!#REF!=2,AS383=1,BD383="Yes",BF383="Yes"),2,IF(AND('Proposed Lighting'!#REF!=2,AS383=1,BD383="Yes",BH383="Yes"),2,IF(AND('Proposed Lighting'!#REF!=3,AS383=1,BC383="Yes",BE383="Yes"),2,IF(AND('Proposed Lighting'!#REF!=3,AS383=1,BC383="Yes",BF383="Yes"),2,0)))))))))</f>
        <v>#REF!</v>
      </c>
      <c r="BJ383" s="1025" t="e">
        <f t="shared" si="75"/>
        <v>#REF!</v>
      </c>
      <c r="BK383" t="e">
        <f>IF(AND('Proposed Lighting'!#REF!=22,'Lighting Controls'!N383=1),0,IF(ISNUMBER(SEARCH("LED",G383)),1,0))</f>
        <v>#REF!</v>
      </c>
    </row>
    <row r="384" spans="1:63" ht="34.5" customHeight="1">
      <c r="A384" s="917">
        <v>376</v>
      </c>
      <c r="B384" s="1828" t="e">
        <f>IF('Proposed Lighting'!#REF!="","",'Proposed Lighting'!#REF!)</f>
        <v>#REF!</v>
      </c>
      <c r="C384" s="1828"/>
      <c r="D384" s="1828"/>
      <c r="E384" s="1245" t="e">
        <f>'Proposed Lighting'!#REF!</f>
        <v>#REF!</v>
      </c>
      <c r="F384" s="1245">
        <f t="shared" si="68"/>
        <v>0</v>
      </c>
      <c r="G384" s="1830" t="e">
        <f>IF('Proposed Lighting'!#REF!="","",IF(ISNUMBER(SEARCH("Networked",'Proposed Lighting'!#REF!)),0,IF(ISNUMBER(SEARCH("Strategies",'Proposed Lighting'!#REF!)),0,IF(ISNUMBER(SEARCH("Removal",'Proposed Lighting'!#REF!)),0,'Proposed Lighting'!#REF!))))</f>
        <v>#REF!</v>
      </c>
      <c r="H384" s="1830"/>
      <c r="I384" s="1830"/>
      <c r="J384" s="1830"/>
      <c r="K384" s="1215"/>
      <c r="L384" s="1246" t="e">
        <f t="shared" si="69"/>
        <v>#REF!</v>
      </c>
      <c r="M384" s="1224">
        <f t="shared" si="70"/>
        <v>0</v>
      </c>
      <c r="N384" s="1224">
        <f t="shared" si="71"/>
        <v>0</v>
      </c>
      <c r="O384" s="1825" t="e">
        <f>IF(G384=0,0,IF(ISNA('Proposed Lighting'!#REF!),0,'Proposed Lighting'!#REF!))</f>
        <v>#REF!</v>
      </c>
      <c r="P384" s="1825"/>
      <c r="Q384" s="1247"/>
      <c r="R384" s="1247"/>
      <c r="S384" s="1247"/>
      <c r="T384" s="1211"/>
      <c r="U384" s="1235">
        <f>IF(K384&gt;0.01,'Proposed Lighting'!#REF!,0)</f>
        <v>0</v>
      </c>
      <c r="V384" s="1248" t="e">
        <f>IF('Proposed Lighting'!#REF!=1,0,IF('Proposed Lighting'!#REF!=2,0,IF(AND('Proposed Lighting'!#REF!=3,'Proposed Lighting'!#REF!=0),1,0)))</f>
        <v>#REF!</v>
      </c>
      <c r="W384" s="1836"/>
      <c r="X384" s="1836"/>
      <c r="Y384" s="1836"/>
      <c r="Z384" s="1230" t="str">
        <f t="shared" si="65"/>
        <v/>
      </c>
      <c r="AA384" s="1230">
        <f t="shared" si="66"/>
        <v>0</v>
      </c>
      <c r="AB384" s="1230">
        <f>IF(Q384=0,0,IF(T384=0,0,IF(AA384=0,0,IF(AND(F384=3,V384=0),0,IF(T384=0,0,IF(K384&gt;'Proposed Lighting'!#REF!,0,IF('Proposed Lighting'!#REF!&gt;0.01,(K384*O384)*'Proposed Lighting'!#REF!/1000,(K384*O384)*U384/1000)))))))</f>
        <v>0</v>
      </c>
      <c r="AC384" s="1230" t="str">
        <f t="shared" si="72"/>
        <v/>
      </c>
      <c r="AD384" s="1230">
        <f t="shared" si="67"/>
        <v>0</v>
      </c>
      <c r="AE384" s="1230">
        <f>IF(T384=0,0,IF(K384&gt;'Proposed Lighting'!#REF!,0,IF(T384&gt;K384,0,IF(AND(AD384&gt;AA384,AA384&gt;0),0,IF(AND(F384&gt;1,W384&lt;0.01),0,IF('Proposed Lighting'!#REF!&gt;'Lighting Controls'!F384,0,IF('Proposed Lighting'!#REF!&lt;'Lighting Controls'!F384,0,IF(U384=0,0,Summary!#REF!))))))))</f>
        <v>0</v>
      </c>
      <c r="AF384" s="1230">
        <f>IF(T384=0,0,IF(AE384=0,0,IF(K384&gt;'Proposed Lighting'!#REF!,0,IF(AND(AD384&gt;AA384,AA384&gt;0),0,IF(U384=0,0,Summary!#REF!)))))</f>
        <v>0</v>
      </c>
      <c r="AG384" s="1834" t="e">
        <f>IF('Proposed Lighting'!#REF!=1,0,IF('Proposed Lighting'!#REF!=1,0,T384*W384))</f>
        <v>#REF!</v>
      </c>
      <c r="AH384" s="1834"/>
      <c r="AI384" s="1834"/>
      <c r="AJ384" s="1835">
        <f>IF(T384&lt;1,0,IF(K384&gt;'Proposed Lighting'!#REF!,0,IF('Proposed Lighting'!#REF!=1,0,IF('Proposed Lighting'!#REF!=1,0,IF(T384&gt;K384,0,IF(AND(AD384&gt;AA384,AA384&gt;0),0,IF(AND(F384=2,'Proposed Lighting'!#REF!=3),0,IF(AND(F384=3,'Proposed Lighting'!#REF!=2),0,IF('Proposed Lighting'!#REF!=100,0,IF(AND(F384&lt;3,V384=1,AM384=0),0,IF(AND(F384&gt;1,AF384&lt;1,AN384&lt;1),0,IF(AND(F384&gt;1,AE384&lt;0.69,AF384&lt;1,AN384&lt;1),0,IF(ISERROR(AB384-AC384),"",AB384-AC384)))))))))))))</f>
        <v>0</v>
      </c>
      <c r="AK384" s="1835"/>
      <c r="AL384" s="1835"/>
      <c r="AM384" s="1216">
        <f>IF(Q384=0,0,IF(T384=0,0,IF(T384&gt;K384,0,IF(AND(AS384&gt;0.01,BK384=0),0,IF(AND('Proposed Lighting'!#REF!=0,'Lighting Controls'!Z384=0.35),0,IF(AND(T384&lt;=K384,AA384&gt;=AD384,'Proposed Lighting'!#REF!=2),VLOOKUP(Q384,$AY$9:$AZ$15,2,FALSE),IF(AND(T384&lt;=K384,AA384&gt;=AD384,'Proposed Lighting'!#REF!=3),VLOOKUP(Q384,$AY$17:$AZ$23,2,FALSE))))))))</f>
        <v>0</v>
      </c>
      <c r="AN384" s="1248">
        <f>IF(T384=0,0,IF(K384&gt;'Proposed Lighting'!#REF!,0,IF(AE384=0,0,IF(AND(AD384&gt;AA384,AA384&gt;0),0,IF(U384=0,0,Summary!#REF!)))))</f>
        <v>0</v>
      </c>
      <c r="AO384" s="1248">
        <f t="shared" si="76"/>
        <v>0</v>
      </c>
      <c r="AP384" s="1249" t="e">
        <f>IF('Proposed Lighting'!#REF!=1,0,IF(K384=0,0,IF(T384&gt;K384,0,IF(G384=0,0,IF(K384&gt;'Proposed Lighting'!#REF!,0,IF(AND(AD384&gt;AA384,AA384&gt;0),0,IF(AND('Proposed Lighting'!#REF!=3,AM384=0.5),0,IF(AND(AM384&gt;0,AS384&gt;0,BI384&lt;2),0,IF('Proposed Lighting'!#REF!=100,0,IF(AV384=1,0,IF(AND(AM384=35,M384+N384&lt;2),0,AM384)))))))))))</f>
        <v>#REF!</v>
      </c>
      <c r="AQ384" s="1249" t="str">
        <f>IFERROR(ROUND(IF(Q384="","",IF('Proposed Lighting'!$X$4=0,0,IF(AND(AM384=35,M384+N384&lt;2),0,IF(T384&gt;K384,0,IF('Proposed Lighting'!#REF!=1,0,IF(AJ384=0,0,IF(AND('Proposed Lighting'!#REF!=3,AM384=0.5),0,IF(AND(AD384=75,AP384=0,AV384=0),0,IF(AP384&gt;0.01,AP384*T384,IF(AND(F384&gt;1,W384&lt;0.01),0,IF(AND(F384&gt;1,AO384=0),0,IF(AND('Proposed Lighting'!#REF!=22,AV384=0),0,IF(AND(AM384&gt;0,AS384&gt;0,BI384&lt;2),0,IF(AND(AS384&gt;0.01,BK384=0),0,IF(AND(AO384=TRUE,AV384=1,F384=3),MIN(AJ384*0.08,L384),IF(AP384&gt;0.01,AP384*T384,IF(AND(AO384=TRUE,AV384=1,F384=2),MIN(AJ384*0.1,L384)))))))))))))))))),2),"")</f>
        <v/>
      </c>
      <c r="AR384" s="1250">
        <f>IF(Q384=0,0,IF('Proposed Lighting'!$X$4=0,0,IF(AND(AM384&gt;0.01,AQ384&gt;0.01),0,IF('Proposed Lighting'!#REF!=1,"Missing Interior or Exterior Selection",IF('Proposed Lighting'!#REF!=1,"Selection does not match",IF(K384&gt;'Proposed Lighting'!#REF!,"Quantity controlled does not match proposed lighting quantity",IF(T384&gt;K384,"Quantity of sensors exceeds proposed lighting quantity",IF(AND(F384&gt;1,'Proposed Lighting'!#REF!&lt;&gt;F384),"Selection does not match",IF(AND(AD384&gt;AA384,AA384&gt;0),"Does not meet minimum connected load",IF(AND(O384&gt;0,AS384&gt;0,BK384&gt;0,'Proposed Lighting'!#REF!=0),"Select Control Strategies",IF(AND(AC384&gt;0.1,AJ384=0,AQ384=0),"Does not meet incentive criteria",0)))))))))))</f>
        <v>0</v>
      </c>
      <c r="AS384" s="1224" t="e">
        <f>IF('Proposed Lighting'!#REF!=100,0,IF(ISNUMBER(SEARCH("multiple",Q384)),1,0))</f>
        <v>#REF!</v>
      </c>
      <c r="AT384" s="451">
        <f t="shared" si="73"/>
        <v>0</v>
      </c>
      <c r="AU384" s="451" t="e">
        <f t="shared" si="74"/>
        <v>#REF!</v>
      </c>
      <c r="AV384" s="1222">
        <f>IF(ISNUMBER(SEARCH("Networked",'Proposed Lighting'!#REF!)),0,IF(ISNUMBER(SEARCH("Strategies",'Proposed Lighting'!#REF!)),0,IF(ISNUMBER(SEARCH("Removal",'Proposed Lighting'!#REF!)),0,IF(ISNUMBER(SEARCH("non-standard",Q384)),1,0))))</f>
        <v>0</v>
      </c>
      <c r="AW384" s="451">
        <f t="shared" si="77"/>
        <v>0</v>
      </c>
      <c r="AX384" s="451"/>
      <c r="AY384" s="451"/>
      <c r="AZ384" s="451"/>
      <c r="BA384" s="451"/>
      <c r="BB384" s="451"/>
      <c r="BC384" s="1215"/>
      <c r="BD384" s="1215"/>
      <c r="BE384" s="1215"/>
      <c r="BF384" s="1215"/>
      <c r="BG384" s="1215"/>
      <c r="BH384" s="1215"/>
      <c r="BI384" t="e">
        <f>IF(AND(AS384=1,BC384="No",BD384="Yes",BE384="Yes",BF384="No",BH384="No"),0,IF(AND('Proposed Lighting'!#REF!=2,AS384=1,BC384="Yes",BD384="Yes"),2,IF(AND('Proposed Lighting'!#REF!=2,AS384=1,BC384="Yes",BE384="Yes"),2,IF(AND('Proposed Lighting'!#REF!=2,AS384=1,BC384="Yes",BF384="Yes"),2,IF(AND('Proposed Lighting'!#REF!=2,AS384=1,BC384="Yes",BH384="Yes"),2,IF(AND('Proposed Lighting'!#REF!=2,AS384=1,BD384="Yes",BF384="Yes"),2,IF(AND('Proposed Lighting'!#REF!=2,AS384=1,BD384="Yes",BH384="Yes"),2,IF(AND('Proposed Lighting'!#REF!=3,AS384=1,BC384="Yes",BE384="Yes"),2,IF(AND('Proposed Lighting'!#REF!=3,AS384=1,BC384="Yes",BF384="Yes"),2,0)))))))))</f>
        <v>#REF!</v>
      </c>
      <c r="BJ384" s="1025" t="e">
        <f t="shared" si="75"/>
        <v>#REF!</v>
      </c>
      <c r="BK384" t="e">
        <f>IF(AND('Proposed Lighting'!#REF!=22,'Lighting Controls'!N384=1),0,IF(ISNUMBER(SEARCH("LED",G384)),1,0))</f>
        <v>#REF!</v>
      </c>
    </row>
    <row r="385" spans="1:63" ht="34.5" customHeight="1">
      <c r="A385" s="917">
        <v>377</v>
      </c>
      <c r="B385" s="1828" t="e">
        <f>IF('Proposed Lighting'!#REF!="","",'Proposed Lighting'!#REF!)</f>
        <v>#REF!</v>
      </c>
      <c r="C385" s="1828"/>
      <c r="D385" s="1828"/>
      <c r="E385" s="1245" t="e">
        <f>'Proposed Lighting'!#REF!</f>
        <v>#REF!</v>
      </c>
      <c r="F385" s="1245">
        <f t="shared" si="68"/>
        <v>0</v>
      </c>
      <c r="G385" s="1830" t="e">
        <f>IF('Proposed Lighting'!#REF!="","",IF(ISNUMBER(SEARCH("Networked",'Proposed Lighting'!#REF!)),0,IF(ISNUMBER(SEARCH("Strategies",'Proposed Lighting'!#REF!)),0,IF(ISNUMBER(SEARCH("Removal",'Proposed Lighting'!#REF!)),0,'Proposed Lighting'!#REF!))))</f>
        <v>#REF!</v>
      </c>
      <c r="H385" s="1830"/>
      <c r="I385" s="1830"/>
      <c r="J385" s="1830"/>
      <c r="K385" s="1215"/>
      <c r="L385" s="1246" t="e">
        <f t="shared" si="69"/>
        <v>#REF!</v>
      </c>
      <c r="M385" s="1224">
        <f t="shared" si="70"/>
        <v>0</v>
      </c>
      <c r="N385" s="1224">
        <f t="shared" si="71"/>
        <v>0</v>
      </c>
      <c r="O385" s="1825" t="e">
        <f>IF(G385=0,0,IF(ISNA('Proposed Lighting'!#REF!),0,'Proposed Lighting'!#REF!))</f>
        <v>#REF!</v>
      </c>
      <c r="P385" s="1825"/>
      <c r="Q385" s="1247"/>
      <c r="R385" s="1247"/>
      <c r="S385" s="1247"/>
      <c r="T385" s="1211"/>
      <c r="U385" s="1235">
        <f>IF(K385&gt;0.01,'Proposed Lighting'!#REF!,0)</f>
        <v>0</v>
      </c>
      <c r="V385" s="1248" t="e">
        <f>IF('Proposed Lighting'!#REF!=1,0,IF('Proposed Lighting'!#REF!=2,0,IF(AND('Proposed Lighting'!#REF!=3,'Proposed Lighting'!#REF!=0),1,0)))</f>
        <v>#REF!</v>
      </c>
      <c r="W385" s="1836"/>
      <c r="X385" s="1836"/>
      <c r="Y385" s="1836"/>
      <c r="Z385" s="1230" t="str">
        <f t="shared" si="65"/>
        <v/>
      </c>
      <c r="AA385" s="1230">
        <f t="shared" si="66"/>
        <v>0</v>
      </c>
      <c r="AB385" s="1230">
        <f>IF(Q385=0,0,IF(T385=0,0,IF(AA385=0,0,IF(AND(F385=3,V385=0),0,IF(T385=0,0,IF(K385&gt;'Proposed Lighting'!#REF!,0,IF('Proposed Lighting'!#REF!&gt;0.01,(K385*O385)*'Proposed Lighting'!#REF!/1000,(K385*O385)*U385/1000)))))))</f>
        <v>0</v>
      </c>
      <c r="AC385" s="1230" t="str">
        <f t="shared" si="72"/>
        <v/>
      </c>
      <c r="AD385" s="1230">
        <f t="shared" si="67"/>
        <v>0</v>
      </c>
      <c r="AE385" s="1230">
        <f>IF(T385=0,0,IF(K385&gt;'Proposed Lighting'!#REF!,0,IF(T385&gt;K385,0,IF(AND(AD385&gt;AA385,AA385&gt;0),0,IF(AND(F385&gt;1,W385&lt;0.01),0,IF('Proposed Lighting'!#REF!&gt;'Lighting Controls'!F385,0,IF('Proposed Lighting'!#REF!&lt;'Lighting Controls'!F385,0,IF(U385=0,0,Summary!#REF!))))))))</f>
        <v>0</v>
      </c>
      <c r="AF385" s="1230">
        <f>IF(T385=0,0,IF(AE385=0,0,IF(K385&gt;'Proposed Lighting'!#REF!,0,IF(AND(AD385&gt;AA385,AA385&gt;0),0,IF(U385=0,0,Summary!#REF!)))))</f>
        <v>0</v>
      </c>
      <c r="AG385" s="1834" t="e">
        <f>IF('Proposed Lighting'!#REF!=1,0,IF('Proposed Lighting'!#REF!=1,0,T385*W385))</f>
        <v>#REF!</v>
      </c>
      <c r="AH385" s="1834"/>
      <c r="AI385" s="1834"/>
      <c r="AJ385" s="1835">
        <f>IF(T385&lt;1,0,IF(K385&gt;'Proposed Lighting'!#REF!,0,IF('Proposed Lighting'!#REF!=1,0,IF('Proposed Lighting'!#REF!=1,0,IF(T385&gt;K385,0,IF(AND(AD385&gt;AA385,AA385&gt;0),0,IF(AND(F385=2,'Proposed Lighting'!#REF!=3),0,IF(AND(F385=3,'Proposed Lighting'!#REF!=2),0,IF('Proposed Lighting'!#REF!=100,0,IF(AND(F385&lt;3,V385=1,AM385=0),0,IF(AND(F385&gt;1,AF385&lt;1,AN385&lt;1),0,IF(AND(F385&gt;1,AE385&lt;0.69,AF385&lt;1,AN385&lt;1),0,IF(ISERROR(AB385-AC385),"",AB385-AC385)))))))))))))</f>
        <v>0</v>
      </c>
      <c r="AK385" s="1835"/>
      <c r="AL385" s="1835"/>
      <c r="AM385" s="1216">
        <f>IF(Q385=0,0,IF(T385=0,0,IF(T385&gt;K385,0,IF(AND(AS385&gt;0.01,BK385=0),0,IF(AND('Proposed Lighting'!#REF!=0,'Lighting Controls'!Z385=0.35),0,IF(AND(T385&lt;=K385,AA385&gt;=AD385,'Proposed Lighting'!#REF!=2),VLOOKUP(Q385,$AY$9:$AZ$15,2,FALSE),IF(AND(T385&lt;=K385,AA385&gt;=AD385,'Proposed Lighting'!#REF!=3),VLOOKUP(Q385,$AY$17:$AZ$23,2,FALSE))))))))</f>
        <v>0</v>
      </c>
      <c r="AN385" s="1248">
        <f>IF(T385=0,0,IF(K385&gt;'Proposed Lighting'!#REF!,0,IF(AE385=0,0,IF(AND(AD385&gt;AA385,AA385&gt;0),0,IF(U385=0,0,Summary!#REF!)))))</f>
        <v>0</v>
      </c>
      <c r="AO385" s="1248">
        <f t="shared" si="76"/>
        <v>0</v>
      </c>
      <c r="AP385" s="1249" t="e">
        <f>IF('Proposed Lighting'!#REF!=1,0,IF(K385=0,0,IF(T385&gt;K385,0,IF(G385=0,0,IF(K385&gt;'Proposed Lighting'!#REF!,0,IF(AND(AD385&gt;AA385,AA385&gt;0),0,IF(AND('Proposed Lighting'!#REF!=3,AM385=0.5),0,IF(AND(AM385&gt;0,AS385&gt;0,BI385&lt;2),0,IF('Proposed Lighting'!#REF!=100,0,IF(AV385=1,0,IF(AND(AM385=35,M385+N385&lt;2),0,AM385)))))))))))</f>
        <v>#REF!</v>
      </c>
      <c r="AQ385" s="1249" t="str">
        <f>IFERROR(ROUND(IF(Q385="","",IF('Proposed Lighting'!$X$4=0,0,IF(AND(AM385=35,M385+N385&lt;2),0,IF(T385&gt;K385,0,IF('Proposed Lighting'!#REF!=1,0,IF(AJ385=0,0,IF(AND('Proposed Lighting'!#REF!=3,AM385=0.5),0,IF(AND(AD385=75,AP385=0,AV385=0),0,IF(AP385&gt;0.01,AP385*T385,IF(AND(F385&gt;1,W385&lt;0.01),0,IF(AND(F385&gt;1,AO385=0),0,IF(AND('Proposed Lighting'!#REF!=22,AV385=0),0,IF(AND(AM385&gt;0,AS385&gt;0,BI385&lt;2),0,IF(AND(AS385&gt;0.01,BK385=0),0,IF(AND(AO385=TRUE,AV385=1,F385=3),MIN(AJ385*0.08,L385),IF(AP385&gt;0.01,AP385*T385,IF(AND(AO385=TRUE,AV385=1,F385=2),MIN(AJ385*0.1,L385)))))))))))))))))),2),"")</f>
        <v/>
      </c>
      <c r="AR385" s="1250">
        <f>IF(Q385=0,0,IF('Proposed Lighting'!$X$4=0,0,IF(AND(AM385&gt;0.01,AQ385&gt;0.01),0,IF('Proposed Lighting'!#REF!=1,"Missing Interior or Exterior Selection",IF('Proposed Lighting'!#REF!=1,"Selection does not match",IF(K385&gt;'Proposed Lighting'!#REF!,"Quantity controlled does not match proposed lighting quantity",IF(T385&gt;K385,"Quantity of sensors exceeds proposed lighting quantity",IF(AND(F385&gt;1,'Proposed Lighting'!#REF!&lt;&gt;F385),"Selection does not match",IF(AND(AD385&gt;AA385,AA385&gt;0),"Does not meet minimum connected load",IF(AND(O385&gt;0,AS385&gt;0,BK385&gt;0,'Proposed Lighting'!#REF!=0),"Select Control Strategies",IF(AND(AC385&gt;0.1,AJ385=0,AQ385=0),"Does not meet incentive criteria",0)))))))))))</f>
        <v>0</v>
      </c>
      <c r="AS385" s="1224" t="e">
        <f>IF('Proposed Lighting'!#REF!=100,0,IF(ISNUMBER(SEARCH("multiple",Q385)),1,0))</f>
        <v>#REF!</v>
      </c>
      <c r="AT385" s="451">
        <f t="shared" si="73"/>
        <v>0</v>
      </c>
      <c r="AU385" s="451" t="e">
        <f t="shared" si="74"/>
        <v>#REF!</v>
      </c>
      <c r="AV385" s="1222">
        <f>IF(ISNUMBER(SEARCH("Networked",'Proposed Lighting'!#REF!)),0,IF(ISNUMBER(SEARCH("Strategies",'Proposed Lighting'!#REF!)),0,IF(ISNUMBER(SEARCH("Removal",'Proposed Lighting'!#REF!)),0,IF(ISNUMBER(SEARCH("non-standard",Q385)),1,0))))</f>
        <v>0</v>
      </c>
      <c r="AW385" s="451">
        <f t="shared" si="77"/>
        <v>0</v>
      </c>
      <c r="AX385" s="451"/>
      <c r="AY385" s="451"/>
      <c r="AZ385" s="451"/>
      <c r="BA385" s="451"/>
      <c r="BB385" s="451"/>
      <c r="BC385" s="1215"/>
      <c r="BD385" s="1215"/>
      <c r="BE385" s="1215"/>
      <c r="BF385" s="1215"/>
      <c r="BG385" s="1215"/>
      <c r="BH385" s="1215"/>
      <c r="BI385" t="e">
        <f>IF(AND(AS385=1,BC385="No",BD385="Yes",BE385="Yes",BF385="No",BH385="No"),0,IF(AND('Proposed Lighting'!#REF!=2,AS385=1,BC385="Yes",BD385="Yes"),2,IF(AND('Proposed Lighting'!#REF!=2,AS385=1,BC385="Yes",BE385="Yes"),2,IF(AND('Proposed Lighting'!#REF!=2,AS385=1,BC385="Yes",BF385="Yes"),2,IF(AND('Proposed Lighting'!#REF!=2,AS385=1,BC385="Yes",BH385="Yes"),2,IF(AND('Proposed Lighting'!#REF!=2,AS385=1,BD385="Yes",BF385="Yes"),2,IF(AND('Proposed Lighting'!#REF!=2,AS385=1,BD385="Yes",BH385="Yes"),2,IF(AND('Proposed Lighting'!#REF!=3,AS385=1,BC385="Yes",BE385="Yes"),2,IF(AND('Proposed Lighting'!#REF!=3,AS385=1,BC385="Yes",BF385="Yes"),2,0)))))))))</f>
        <v>#REF!</v>
      </c>
      <c r="BJ385" s="1025" t="e">
        <f t="shared" si="75"/>
        <v>#REF!</v>
      </c>
      <c r="BK385" t="e">
        <f>IF(AND('Proposed Lighting'!#REF!=22,'Lighting Controls'!N385=1),0,IF(ISNUMBER(SEARCH("LED",G385)),1,0))</f>
        <v>#REF!</v>
      </c>
    </row>
    <row r="386" spans="1:63" ht="34.5" customHeight="1">
      <c r="A386" s="917">
        <v>378</v>
      </c>
      <c r="B386" s="1828" t="e">
        <f>IF('Proposed Lighting'!#REF!="","",'Proposed Lighting'!#REF!)</f>
        <v>#REF!</v>
      </c>
      <c r="C386" s="1828"/>
      <c r="D386" s="1828"/>
      <c r="E386" s="1245" t="e">
        <f>'Proposed Lighting'!#REF!</f>
        <v>#REF!</v>
      </c>
      <c r="F386" s="1245">
        <f t="shared" si="68"/>
        <v>0</v>
      </c>
      <c r="G386" s="1830" t="e">
        <f>IF('Proposed Lighting'!#REF!="","",IF(ISNUMBER(SEARCH("Networked",'Proposed Lighting'!#REF!)),0,IF(ISNUMBER(SEARCH("Strategies",'Proposed Lighting'!#REF!)),0,IF(ISNUMBER(SEARCH("Removal",'Proposed Lighting'!#REF!)),0,'Proposed Lighting'!#REF!))))</f>
        <v>#REF!</v>
      </c>
      <c r="H386" s="1830"/>
      <c r="I386" s="1830"/>
      <c r="J386" s="1830"/>
      <c r="K386" s="1215"/>
      <c r="L386" s="1246" t="e">
        <f t="shared" si="69"/>
        <v>#REF!</v>
      </c>
      <c r="M386" s="1224">
        <f t="shared" si="70"/>
        <v>0</v>
      </c>
      <c r="N386" s="1224">
        <f t="shared" si="71"/>
        <v>0</v>
      </c>
      <c r="O386" s="1825" t="e">
        <f>IF(G386=0,0,IF(ISNA('Proposed Lighting'!#REF!),0,'Proposed Lighting'!#REF!))</f>
        <v>#REF!</v>
      </c>
      <c r="P386" s="1825"/>
      <c r="Q386" s="1247"/>
      <c r="R386" s="1247"/>
      <c r="S386" s="1247"/>
      <c r="T386" s="1211"/>
      <c r="U386" s="1235">
        <f>IF(K386&gt;0.01,'Proposed Lighting'!#REF!,0)</f>
        <v>0</v>
      </c>
      <c r="V386" s="1248" t="e">
        <f>IF('Proposed Lighting'!#REF!=1,0,IF('Proposed Lighting'!#REF!=2,0,IF(AND('Proposed Lighting'!#REF!=3,'Proposed Lighting'!#REF!=0),1,0)))</f>
        <v>#REF!</v>
      </c>
      <c r="W386" s="1836"/>
      <c r="X386" s="1836"/>
      <c r="Y386" s="1836"/>
      <c r="Z386" s="1230" t="str">
        <f t="shared" si="65"/>
        <v/>
      </c>
      <c r="AA386" s="1230">
        <f t="shared" si="66"/>
        <v>0</v>
      </c>
      <c r="AB386" s="1230">
        <f>IF(Q386=0,0,IF(T386=0,0,IF(AA386=0,0,IF(AND(F386=3,V386=0),0,IF(T386=0,0,IF(K386&gt;'Proposed Lighting'!#REF!,0,IF('Proposed Lighting'!#REF!&gt;0.01,(K386*O386)*'Proposed Lighting'!#REF!/1000,(K386*O386)*U386/1000)))))))</f>
        <v>0</v>
      </c>
      <c r="AC386" s="1230" t="str">
        <f t="shared" si="72"/>
        <v/>
      </c>
      <c r="AD386" s="1230">
        <f t="shared" si="67"/>
        <v>0</v>
      </c>
      <c r="AE386" s="1230">
        <f>IF(T386=0,0,IF(K386&gt;'Proposed Lighting'!#REF!,0,IF(T386&gt;K386,0,IF(AND(AD386&gt;AA386,AA386&gt;0),0,IF(AND(F386&gt;1,W386&lt;0.01),0,IF('Proposed Lighting'!#REF!&gt;'Lighting Controls'!F386,0,IF('Proposed Lighting'!#REF!&lt;'Lighting Controls'!F386,0,IF(U386=0,0,Summary!#REF!))))))))</f>
        <v>0</v>
      </c>
      <c r="AF386" s="1230">
        <f>IF(T386=0,0,IF(AE386=0,0,IF(K386&gt;'Proposed Lighting'!#REF!,0,IF(AND(AD386&gt;AA386,AA386&gt;0),0,IF(U386=0,0,Summary!#REF!)))))</f>
        <v>0</v>
      </c>
      <c r="AG386" s="1834" t="e">
        <f>IF('Proposed Lighting'!#REF!=1,0,IF('Proposed Lighting'!#REF!=1,0,T386*W386))</f>
        <v>#REF!</v>
      </c>
      <c r="AH386" s="1834"/>
      <c r="AI386" s="1834"/>
      <c r="AJ386" s="1835">
        <f>IF(T386&lt;1,0,IF(K386&gt;'Proposed Lighting'!#REF!,0,IF('Proposed Lighting'!#REF!=1,0,IF('Proposed Lighting'!#REF!=1,0,IF(T386&gt;K386,0,IF(AND(AD386&gt;AA386,AA386&gt;0),0,IF(AND(F386=2,'Proposed Lighting'!#REF!=3),0,IF(AND(F386=3,'Proposed Lighting'!#REF!=2),0,IF('Proposed Lighting'!#REF!=100,0,IF(AND(F386&lt;3,V386=1,AM386=0),0,IF(AND(F386&gt;1,AF386&lt;1,AN386&lt;1),0,IF(AND(F386&gt;1,AE386&lt;0.69,AF386&lt;1,AN386&lt;1),0,IF(ISERROR(AB386-AC386),"",AB386-AC386)))))))))))))</f>
        <v>0</v>
      </c>
      <c r="AK386" s="1835"/>
      <c r="AL386" s="1835"/>
      <c r="AM386" s="1216">
        <f>IF(Q386=0,0,IF(T386=0,0,IF(T386&gt;K386,0,IF(AND(AS386&gt;0.01,BK386=0),0,IF(AND('Proposed Lighting'!#REF!=0,'Lighting Controls'!Z386=0.35),0,IF(AND(T386&lt;=K386,AA386&gt;=AD386,'Proposed Lighting'!#REF!=2),VLOOKUP(Q386,$AY$9:$AZ$15,2,FALSE),IF(AND(T386&lt;=K386,AA386&gt;=AD386,'Proposed Lighting'!#REF!=3),VLOOKUP(Q386,$AY$17:$AZ$23,2,FALSE))))))))</f>
        <v>0</v>
      </c>
      <c r="AN386" s="1248">
        <f>IF(T386=0,0,IF(K386&gt;'Proposed Lighting'!#REF!,0,IF(AE386=0,0,IF(AND(AD386&gt;AA386,AA386&gt;0),0,IF(U386=0,0,Summary!#REF!)))))</f>
        <v>0</v>
      </c>
      <c r="AO386" s="1248">
        <f t="shared" si="76"/>
        <v>0</v>
      </c>
      <c r="AP386" s="1249" t="e">
        <f>IF('Proposed Lighting'!#REF!=1,0,IF(K386=0,0,IF(T386&gt;K386,0,IF(G386=0,0,IF(K386&gt;'Proposed Lighting'!#REF!,0,IF(AND(AD386&gt;AA386,AA386&gt;0),0,IF(AND('Proposed Lighting'!#REF!=3,AM386=0.5),0,IF(AND(AM386&gt;0,AS386&gt;0,BI386&lt;2),0,IF('Proposed Lighting'!#REF!=100,0,IF(AV386=1,0,IF(AND(AM386=35,M386+N386&lt;2),0,AM386)))))))))))</f>
        <v>#REF!</v>
      </c>
      <c r="AQ386" s="1249" t="str">
        <f>IFERROR(ROUND(IF(Q386="","",IF('Proposed Lighting'!$X$4=0,0,IF(AND(AM386=35,M386+N386&lt;2),0,IF(T386&gt;K386,0,IF('Proposed Lighting'!#REF!=1,0,IF(AJ386=0,0,IF(AND('Proposed Lighting'!#REF!=3,AM386=0.5),0,IF(AND(AD386=75,AP386=0,AV386=0),0,IF(AP386&gt;0.01,AP386*T386,IF(AND(F386&gt;1,W386&lt;0.01),0,IF(AND(F386&gt;1,AO386=0),0,IF(AND('Proposed Lighting'!#REF!=22,AV386=0),0,IF(AND(AM386&gt;0,AS386&gt;0,BI386&lt;2),0,IF(AND(AS386&gt;0.01,BK386=0),0,IF(AND(AO386=TRUE,AV386=1,F386=3),MIN(AJ386*0.08,L386),IF(AP386&gt;0.01,AP386*T386,IF(AND(AO386=TRUE,AV386=1,F386=2),MIN(AJ386*0.1,L386)))))))))))))))))),2),"")</f>
        <v/>
      </c>
      <c r="AR386" s="1250">
        <f>IF(Q386=0,0,IF('Proposed Lighting'!$X$4=0,0,IF(AND(AM386&gt;0.01,AQ386&gt;0.01),0,IF('Proposed Lighting'!#REF!=1,"Missing Interior or Exterior Selection",IF('Proposed Lighting'!#REF!=1,"Selection does not match",IF(K386&gt;'Proposed Lighting'!#REF!,"Quantity controlled does not match proposed lighting quantity",IF(T386&gt;K386,"Quantity of sensors exceeds proposed lighting quantity",IF(AND(F386&gt;1,'Proposed Lighting'!#REF!&lt;&gt;F386),"Selection does not match",IF(AND(AD386&gt;AA386,AA386&gt;0),"Does not meet minimum connected load",IF(AND(O386&gt;0,AS386&gt;0,BK386&gt;0,'Proposed Lighting'!#REF!=0),"Select Control Strategies",IF(AND(AC386&gt;0.1,AJ386=0,AQ386=0),"Does not meet incentive criteria",0)))))))))))</f>
        <v>0</v>
      </c>
      <c r="AS386" s="1224" t="e">
        <f>IF('Proposed Lighting'!#REF!=100,0,IF(ISNUMBER(SEARCH("multiple",Q386)),1,0))</f>
        <v>#REF!</v>
      </c>
      <c r="AT386" s="451">
        <f t="shared" si="73"/>
        <v>0</v>
      </c>
      <c r="AU386" s="451" t="e">
        <f t="shared" si="74"/>
        <v>#REF!</v>
      </c>
      <c r="AV386" s="1222">
        <f>IF(ISNUMBER(SEARCH("Networked",'Proposed Lighting'!#REF!)),0,IF(ISNUMBER(SEARCH("Strategies",'Proposed Lighting'!#REF!)),0,IF(ISNUMBER(SEARCH("Removal",'Proposed Lighting'!#REF!)),0,IF(ISNUMBER(SEARCH("non-standard",Q386)),1,0))))</f>
        <v>0</v>
      </c>
      <c r="AW386" s="451">
        <f t="shared" si="77"/>
        <v>0</v>
      </c>
      <c r="AX386" s="451"/>
      <c r="AY386" s="451"/>
      <c r="AZ386" s="451"/>
      <c r="BA386" s="451"/>
      <c r="BB386" s="451"/>
      <c r="BC386" s="1215"/>
      <c r="BD386" s="1215"/>
      <c r="BE386" s="1215"/>
      <c r="BF386" s="1215"/>
      <c r="BG386" s="1215"/>
      <c r="BH386" s="1215"/>
      <c r="BI386" t="e">
        <f>IF(AND(AS386=1,BC386="No",BD386="Yes",BE386="Yes",BF386="No",BH386="No"),0,IF(AND('Proposed Lighting'!#REF!=2,AS386=1,BC386="Yes",BD386="Yes"),2,IF(AND('Proposed Lighting'!#REF!=2,AS386=1,BC386="Yes",BE386="Yes"),2,IF(AND('Proposed Lighting'!#REF!=2,AS386=1,BC386="Yes",BF386="Yes"),2,IF(AND('Proposed Lighting'!#REF!=2,AS386=1,BC386="Yes",BH386="Yes"),2,IF(AND('Proposed Lighting'!#REF!=2,AS386=1,BD386="Yes",BF386="Yes"),2,IF(AND('Proposed Lighting'!#REF!=2,AS386=1,BD386="Yes",BH386="Yes"),2,IF(AND('Proposed Lighting'!#REF!=3,AS386=1,BC386="Yes",BE386="Yes"),2,IF(AND('Proposed Lighting'!#REF!=3,AS386=1,BC386="Yes",BF386="Yes"),2,0)))))))))</f>
        <v>#REF!</v>
      </c>
      <c r="BJ386" s="1025" t="e">
        <f t="shared" si="75"/>
        <v>#REF!</v>
      </c>
      <c r="BK386" t="e">
        <f>IF(AND('Proposed Lighting'!#REF!=22,'Lighting Controls'!N386=1),0,IF(ISNUMBER(SEARCH("LED",G386)),1,0))</f>
        <v>#REF!</v>
      </c>
    </row>
    <row r="387" spans="1:63" ht="34.5" customHeight="1">
      <c r="A387" s="917">
        <v>379</v>
      </c>
      <c r="B387" s="1828" t="e">
        <f>IF('Proposed Lighting'!#REF!="","",'Proposed Lighting'!#REF!)</f>
        <v>#REF!</v>
      </c>
      <c r="C387" s="1828"/>
      <c r="D387" s="1828"/>
      <c r="E387" s="1245" t="e">
        <f>'Proposed Lighting'!#REF!</f>
        <v>#REF!</v>
      </c>
      <c r="F387" s="1245">
        <f t="shared" si="68"/>
        <v>0</v>
      </c>
      <c r="G387" s="1830" t="e">
        <f>IF('Proposed Lighting'!#REF!="","",IF(ISNUMBER(SEARCH("Networked",'Proposed Lighting'!#REF!)),0,IF(ISNUMBER(SEARCH("Strategies",'Proposed Lighting'!#REF!)),0,IF(ISNUMBER(SEARCH("Removal",'Proposed Lighting'!#REF!)),0,'Proposed Lighting'!#REF!))))</f>
        <v>#REF!</v>
      </c>
      <c r="H387" s="1830"/>
      <c r="I387" s="1830"/>
      <c r="J387" s="1830"/>
      <c r="K387" s="1215"/>
      <c r="L387" s="1246" t="e">
        <f t="shared" si="69"/>
        <v>#REF!</v>
      </c>
      <c r="M387" s="1224">
        <f t="shared" si="70"/>
        <v>0</v>
      </c>
      <c r="N387" s="1224">
        <f t="shared" si="71"/>
        <v>0</v>
      </c>
      <c r="O387" s="1825" t="e">
        <f>IF(G387=0,0,IF(ISNA('Proposed Lighting'!#REF!),0,'Proposed Lighting'!#REF!))</f>
        <v>#REF!</v>
      </c>
      <c r="P387" s="1825"/>
      <c r="Q387" s="1247"/>
      <c r="R387" s="1247"/>
      <c r="S387" s="1247"/>
      <c r="T387" s="1211"/>
      <c r="U387" s="1235">
        <f>IF(K387&gt;0.01,'Proposed Lighting'!#REF!,0)</f>
        <v>0</v>
      </c>
      <c r="V387" s="1248" t="e">
        <f>IF('Proposed Lighting'!#REF!=1,0,IF('Proposed Lighting'!#REF!=2,0,IF(AND('Proposed Lighting'!#REF!=3,'Proposed Lighting'!#REF!=0),1,0)))</f>
        <v>#REF!</v>
      </c>
      <c r="W387" s="1836"/>
      <c r="X387" s="1836"/>
      <c r="Y387" s="1836"/>
      <c r="Z387" s="1230" t="str">
        <f t="shared" si="65"/>
        <v/>
      </c>
      <c r="AA387" s="1230">
        <f t="shared" si="66"/>
        <v>0</v>
      </c>
      <c r="AB387" s="1230">
        <f>IF(Q387=0,0,IF(T387=0,0,IF(AA387=0,0,IF(AND(F387=3,V387=0),0,IF(T387=0,0,IF(K387&gt;'Proposed Lighting'!#REF!,0,IF('Proposed Lighting'!#REF!&gt;0.01,(K387*O387)*'Proposed Lighting'!#REF!/1000,(K387*O387)*U387/1000)))))))</f>
        <v>0</v>
      </c>
      <c r="AC387" s="1230" t="str">
        <f t="shared" si="72"/>
        <v/>
      </c>
      <c r="AD387" s="1230">
        <f t="shared" si="67"/>
        <v>0</v>
      </c>
      <c r="AE387" s="1230">
        <f>IF(T387=0,0,IF(K387&gt;'Proposed Lighting'!#REF!,0,IF(T387&gt;K387,0,IF(AND(AD387&gt;AA387,AA387&gt;0),0,IF(AND(F387&gt;1,W387&lt;0.01),0,IF('Proposed Lighting'!#REF!&gt;'Lighting Controls'!F387,0,IF('Proposed Lighting'!#REF!&lt;'Lighting Controls'!F387,0,IF(U387=0,0,Summary!#REF!))))))))</f>
        <v>0</v>
      </c>
      <c r="AF387" s="1230">
        <f>IF(T387=0,0,IF(AE387=0,0,IF(K387&gt;'Proposed Lighting'!#REF!,0,IF(AND(AD387&gt;AA387,AA387&gt;0),0,IF(U387=0,0,Summary!#REF!)))))</f>
        <v>0</v>
      </c>
      <c r="AG387" s="1834" t="e">
        <f>IF('Proposed Lighting'!#REF!=1,0,IF('Proposed Lighting'!#REF!=1,0,T387*W387))</f>
        <v>#REF!</v>
      </c>
      <c r="AH387" s="1834"/>
      <c r="AI387" s="1834"/>
      <c r="AJ387" s="1835">
        <f>IF(T387&lt;1,0,IF(K387&gt;'Proposed Lighting'!#REF!,0,IF('Proposed Lighting'!#REF!=1,0,IF('Proposed Lighting'!#REF!=1,0,IF(T387&gt;K387,0,IF(AND(AD387&gt;AA387,AA387&gt;0),0,IF(AND(F387=2,'Proposed Lighting'!#REF!=3),0,IF(AND(F387=3,'Proposed Lighting'!#REF!=2),0,IF('Proposed Lighting'!#REF!=100,0,IF(AND(F387&lt;3,V387=1,AM387=0),0,IF(AND(F387&gt;1,AF387&lt;1,AN387&lt;1),0,IF(AND(F387&gt;1,AE387&lt;0.69,AF387&lt;1,AN387&lt;1),0,IF(ISERROR(AB387-AC387),"",AB387-AC387)))))))))))))</f>
        <v>0</v>
      </c>
      <c r="AK387" s="1835"/>
      <c r="AL387" s="1835"/>
      <c r="AM387" s="1216">
        <f>IF(Q387=0,0,IF(T387=0,0,IF(T387&gt;K387,0,IF(AND(AS387&gt;0.01,BK387=0),0,IF(AND('Proposed Lighting'!#REF!=0,'Lighting Controls'!Z387=0.35),0,IF(AND(T387&lt;=K387,AA387&gt;=AD387,'Proposed Lighting'!#REF!=2),VLOOKUP(Q387,$AY$9:$AZ$15,2,FALSE),IF(AND(T387&lt;=K387,AA387&gt;=AD387,'Proposed Lighting'!#REF!=3),VLOOKUP(Q387,$AY$17:$AZ$23,2,FALSE))))))))</f>
        <v>0</v>
      </c>
      <c r="AN387" s="1248">
        <f>IF(T387=0,0,IF(K387&gt;'Proposed Lighting'!#REF!,0,IF(AE387=0,0,IF(AND(AD387&gt;AA387,AA387&gt;0),0,IF(U387=0,0,Summary!#REF!)))))</f>
        <v>0</v>
      </c>
      <c r="AO387" s="1248">
        <f t="shared" si="76"/>
        <v>0</v>
      </c>
      <c r="AP387" s="1249" t="e">
        <f>IF('Proposed Lighting'!#REF!=1,0,IF(K387=0,0,IF(T387&gt;K387,0,IF(G387=0,0,IF(K387&gt;'Proposed Lighting'!#REF!,0,IF(AND(AD387&gt;AA387,AA387&gt;0),0,IF(AND('Proposed Lighting'!#REF!=3,AM387=0.5),0,IF(AND(AM387&gt;0,AS387&gt;0,BI387&lt;2),0,IF('Proposed Lighting'!#REF!=100,0,IF(AV387=1,0,IF(AND(AM387=35,M387+N387&lt;2),0,AM387)))))))))))</f>
        <v>#REF!</v>
      </c>
      <c r="AQ387" s="1249" t="str">
        <f>IFERROR(ROUND(IF(Q387="","",IF('Proposed Lighting'!$X$4=0,0,IF(AND(AM387=35,M387+N387&lt;2),0,IF(T387&gt;K387,0,IF('Proposed Lighting'!#REF!=1,0,IF(AJ387=0,0,IF(AND('Proposed Lighting'!#REF!=3,AM387=0.5),0,IF(AND(AD387=75,AP387=0,AV387=0),0,IF(AP387&gt;0.01,AP387*T387,IF(AND(F387&gt;1,W387&lt;0.01),0,IF(AND(F387&gt;1,AO387=0),0,IF(AND('Proposed Lighting'!#REF!=22,AV387=0),0,IF(AND(AM387&gt;0,AS387&gt;0,BI387&lt;2),0,IF(AND(AS387&gt;0.01,BK387=0),0,IF(AND(AO387=TRUE,AV387=1,F387=3),MIN(AJ387*0.08,L387),IF(AP387&gt;0.01,AP387*T387,IF(AND(AO387=TRUE,AV387=1,F387=2),MIN(AJ387*0.1,L387)))))))))))))))))),2),"")</f>
        <v/>
      </c>
      <c r="AR387" s="1250">
        <f>IF(Q387=0,0,IF('Proposed Lighting'!$X$4=0,0,IF(AND(AM387&gt;0.01,AQ387&gt;0.01),0,IF('Proposed Lighting'!#REF!=1,"Missing Interior or Exterior Selection",IF('Proposed Lighting'!#REF!=1,"Selection does not match",IF(K387&gt;'Proposed Lighting'!#REF!,"Quantity controlled does not match proposed lighting quantity",IF(T387&gt;K387,"Quantity of sensors exceeds proposed lighting quantity",IF(AND(F387&gt;1,'Proposed Lighting'!#REF!&lt;&gt;F387),"Selection does not match",IF(AND(AD387&gt;AA387,AA387&gt;0),"Does not meet minimum connected load",IF(AND(O387&gt;0,AS387&gt;0,BK387&gt;0,'Proposed Lighting'!#REF!=0),"Select Control Strategies",IF(AND(AC387&gt;0.1,AJ387=0,AQ387=0),"Does not meet incentive criteria",0)))))))))))</f>
        <v>0</v>
      </c>
      <c r="AS387" s="1224" t="e">
        <f>IF('Proposed Lighting'!#REF!=100,0,IF(ISNUMBER(SEARCH("multiple",Q387)),1,0))</f>
        <v>#REF!</v>
      </c>
      <c r="AT387" s="451">
        <f t="shared" si="73"/>
        <v>0</v>
      </c>
      <c r="AU387" s="451" t="e">
        <f t="shared" si="74"/>
        <v>#REF!</v>
      </c>
      <c r="AV387" s="1222">
        <f>IF(ISNUMBER(SEARCH("Networked",'Proposed Lighting'!#REF!)),0,IF(ISNUMBER(SEARCH("Strategies",'Proposed Lighting'!#REF!)),0,IF(ISNUMBER(SEARCH("Removal",'Proposed Lighting'!#REF!)),0,IF(ISNUMBER(SEARCH("non-standard",Q387)),1,0))))</f>
        <v>0</v>
      </c>
      <c r="AW387" s="451">
        <f t="shared" si="77"/>
        <v>0</v>
      </c>
      <c r="AX387" s="451"/>
      <c r="AY387" s="451"/>
      <c r="AZ387" s="451"/>
      <c r="BA387" s="451"/>
      <c r="BB387" s="451"/>
      <c r="BC387" s="1215"/>
      <c r="BD387" s="1215"/>
      <c r="BE387" s="1215"/>
      <c r="BF387" s="1215"/>
      <c r="BG387" s="1215"/>
      <c r="BH387" s="1215"/>
      <c r="BI387" t="e">
        <f>IF(AND(AS387=1,BC387="No",BD387="Yes",BE387="Yes",BF387="No",BH387="No"),0,IF(AND('Proposed Lighting'!#REF!=2,AS387=1,BC387="Yes",BD387="Yes"),2,IF(AND('Proposed Lighting'!#REF!=2,AS387=1,BC387="Yes",BE387="Yes"),2,IF(AND('Proposed Lighting'!#REF!=2,AS387=1,BC387="Yes",BF387="Yes"),2,IF(AND('Proposed Lighting'!#REF!=2,AS387=1,BC387="Yes",BH387="Yes"),2,IF(AND('Proposed Lighting'!#REF!=2,AS387=1,BD387="Yes",BF387="Yes"),2,IF(AND('Proposed Lighting'!#REF!=2,AS387=1,BD387="Yes",BH387="Yes"),2,IF(AND('Proposed Lighting'!#REF!=3,AS387=1,BC387="Yes",BE387="Yes"),2,IF(AND('Proposed Lighting'!#REF!=3,AS387=1,BC387="Yes",BF387="Yes"),2,0)))))))))</f>
        <v>#REF!</v>
      </c>
      <c r="BJ387" s="1025" t="e">
        <f t="shared" si="75"/>
        <v>#REF!</v>
      </c>
      <c r="BK387" t="e">
        <f>IF(AND('Proposed Lighting'!#REF!=22,'Lighting Controls'!N387=1),0,IF(ISNUMBER(SEARCH("LED",G387)),1,0))</f>
        <v>#REF!</v>
      </c>
    </row>
    <row r="388" spans="1:63" ht="34.5" customHeight="1">
      <c r="A388" s="917">
        <v>380</v>
      </c>
      <c r="B388" s="1828" t="e">
        <f>IF('Proposed Lighting'!#REF!="","",'Proposed Lighting'!#REF!)</f>
        <v>#REF!</v>
      </c>
      <c r="C388" s="1828"/>
      <c r="D388" s="1828"/>
      <c r="E388" s="1245" t="e">
        <f>'Proposed Lighting'!#REF!</f>
        <v>#REF!</v>
      </c>
      <c r="F388" s="1245">
        <f t="shared" si="68"/>
        <v>0</v>
      </c>
      <c r="G388" s="1830" t="e">
        <f>IF('Proposed Lighting'!#REF!="","",IF(ISNUMBER(SEARCH("Networked",'Proposed Lighting'!#REF!)),0,IF(ISNUMBER(SEARCH("Strategies",'Proposed Lighting'!#REF!)),0,IF(ISNUMBER(SEARCH("Removal",'Proposed Lighting'!#REF!)),0,'Proposed Lighting'!#REF!))))</f>
        <v>#REF!</v>
      </c>
      <c r="H388" s="1830"/>
      <c r="I388" s="1830"/>
      <c r="J388" s="1830"/>
      <c r="K388" s="1215"/>
      <c r="L388" s="1246" t="e">
        <f t="shared" si="69"/>
        <v>#REF!</v>
      </c>
      <c r="M388" s="1224">
        <f t="shared" si="70"/>
        <v>0</v>
      </c>
      <c r="N388" s="1224">
        <f t="shared" si="71"/>
        <v>0</v>
      </c>
      <c r="O388" s="1825" t="e">
        <f>IF(G388=0,0,IF(ISNA('Proposed Lighting'!#REF!),0,'Proposed Lighting'!#REF!))</f>
        <v>#REF!</v>
      </c>
      <c r="P388" s="1825"/>
      <c r="Q388" s="1247"/>
      <c r="R388" s="1247"/>
      <c r="S388" s="1247"/>
      <c r="T388" s="1211"/>
      <c r="U388" s="1235">
        <f>IF(K388&gt;0.01,'Proposed Lighting'!#REF!,0)</f>
        <v>0</v>
      </c>
      <c r="V388" s="1248" t="e">
        <f>IF('Proposed Lighting'!#REF!=1,0,IF('Proposed Lighting'!#REF!=2,0,IF(AND('Proposed Lighting'!#REF!=3,'Proposed Lighting'!#REF!=0),1,0)))</f>
        <v>#REF!</v>
      </c>
      <c r="W388" s="1836"/>
      <c r="X388" s="1836"/>
      <c r="Y388" s="1836"/>
      <c r="Z388" s="1230" t="str">
        <f t="shared" si="65"/>
        <v/>
      </c>
      <c r="AA388" s="1230">
        <f t="shared" si="66"/>
        <v>0</v>
      </c>
      <c r="AB388" s="1230">
        <f>IF(Q388=0,0,IF(T388=0,0,IF(AA388=0,0,IF(AND(F388=3,V388=0),0,IF(T388=0,0,IF(K388&gt;'Proposed Lighting'!#REF!,0,IF('Proposed Lighting'!#REF!&gt;0.01,(K388*O388)*'Proposed Lighting'!#REF!/1000,(K388*O388)*U388/1000)))))))</f>
        <v>0</v>
      </c>
      <c r="AC388" s="1230" t="str">
        <f t="shared" si="72"/>
        <v/>
      </c>
      <c r="AD388" s="1230">
        <f t="shared" si="67"/>
        <v>0</v>
      </c>
      <c r="AE388" s="1230">
        <f>IF(T388=0,0,IF(K388&gt;'Proposed Lighting'!#REF!,0,IF(T388&gt;K388,0,IF(AND(AD388&gt;AA388,AA388&gt;0),0,IF(AND(F388&gt;1,W388&lt;0.01),0,IF('Proposed Lighting'!#REF!&gt;'Lighting Controls'!F388,0,IF('Proposed Lighting'!#REF!&lt;'Lighting Controls'!F388,0,IF(U388=0,0,Summary!#REF!))))))))</f>
        <v>0</v>
      </c>
      <c r="AF388" s="1230">
        <f>IF(T388=0,0,IF(AE388=0,0,IF(K388&gt;'Proposed Lighting'!#REF!,0,IF(AND(AD388&gt;AA388,AA388&gt;0),0,IF(U388=0,0,Summary!#REF!)))))</f>
        <v>0</v>
      </c>
      <c r="AG388" s="1834" t="e">
        <f>IF('Proposed Lighting'!#REF!=1,0,IF('Proposed Lighting'!#REF!=1,0,T388*W388))</f>
        <v>#REF!</v>
      </c>
      <c r="AH388" s="1834"/>
      <c r="AI388" s="1834"/>
      <c r="AJ388" s="1835">
        <f>IF(T388&lt;1,0,IF(K388&gt;'Proposed Lighting'!#REF!,0,IF('Proposed Lighting'!#REF!=1,0,IF('Proposed Lighting'!#REF!=1,0,IF(T388&gt;K388,0,IF(AND(AD388&gt;AA388,AA388&gt;0),0,IF(AND(F388=2,'Proposed Lighting'!#REF!=3),0,IF(AND(F388=3,'Proposed Lighting'!#REF!=2),0,IF('Proposed Lighting'!#REF!=100,0,IF(AND(F388&lt;3,V388=1,AM388=0),0,IF(AND(F388&gt;1,AF388&lt;1,AN388&lt;1),0,IF(AND(F388&gt;1,AE388&lt;0.69,AF388&lt;1,AN388&lt;1),0,IF(ISERROR(AB388-AC388),"",AB388-AC388)))))))))))))</f>
        <v>0</v>
      </c>
      <c r="AK388" s="1835"/>
      <c r="AL388" s="1835"/>
      <c r="AM388" s="1216">
        <f>IF(Q388=0,0,IF(T388=0,0,IF(T388&gt;K388,0,IF(AND(AS388&gt;0.01,BK388=0),0,IF(AND('Proposed Lighting'!#REF!=0,'Lighting Controls'!Z388=0.35),0,IF(AND(T388&lt;=K388,AA388&gt;=AD388,'Proposed Lighting'!#REF!=2),VLOOKUP(Q388,$AY$9:$AZ$15,2,FALSE),IF(AND(T388&lt;=K388,AA388&gt;=AD388,'Proposed Lighting'!#REF!=3),VLOOKUP(Q388,$AY$17:$AZ$23,2,FALSE))))))))</f>
        <v>0</v>
      </c>
      <c r="AN388" s="1248">
        <f>IF(T388=0,0,IF(K388&gt;'Proposed Lighting'!#REF!,0,IF(AE388=0,0,IF(AND(AD388&gt;AA388,AA388&gt;0),0,IF(U388=0,0,Summary!#REF!)))))</f>
        <v>0</v>
      </c>
      <c r="AO388" s="1248">
        <f t="shared" si="76"/>
        <v>0</v>
      </c>
      <c r="AP388" s="1249" t="e">
        <f>IF('Proposed Lighting'!#REF!=1,0,IF(K388=0,0,IF(T388&gt;K388,0,IF(G388=0,0,IF(K388&gt;'Proposed Lighting'!#REF!,0,IF(AND(AD388&gt;AA388,AA388&gt;0),0,IF(AND('Proposed Lighting'!#REF!=3,AM388=0.5),0,IF(AND(AM388&gt;0,AS388&gt;0,BI388&lt;2),0,IF('Proposed Lighting'!#REF!=100,0,IF(AV388=1,0,IF(AND(AM388=35,M388+N388&lt;2),0,AM388)))))))))))</f>
        <v>#REF!</v>
      </c>
      <c r="AQ388" s="1249" t="str">
        <f>IFERROR(ROUND(IF(Q388="","",IF('Proposed Lighting'!$X$4=0,0,IF(AND(AM388=35,M388+N388&lt;2),0,IF(T388&gt;K388,0,IF('Proposed Lighting'!#REF!=1,0,IF(AJ388=0,0,IF(AND('Proposed Lighting'!#REF!=3,AM388=0.5),0,IF(AND(AD388=75,AP388=0,AV388=0),0,IF(AP388&gt;0.01,AP388*T388,IF(AND(F388&gt;1,W388&lt;0.01),0,IF(AND(F388&gt;1,AO388=0),0,IF(AND('Proposed Lighting'!#REF!=22,AV388=0),0,IF(AND(AM388&gt;0,AS388&gt;0,BI388&lt;2),0,IF(AND(AS388&gt;0.01,BK388=0),0,IF(AND(AO388=TRUE,AV388=1,F388=3),MIN(AJ388*0.08,L388),IF(AP388&gt;0.01,AP388*T388,IF(AND(AO388=TRUE,AV388=1,F388=2),MIN(AJ388*0.1,L388)))))))))))))))))),2),"")</f>
        <v/>
      </c>
      <c r="AR388" s="1250">
        <f>IF(Q388=0,0,IF('Proposed Lighting'!$X$4=0,0,IF(AND(AM388&gt;0.01,AQ388&gt;0.01),0,IF('Proposed Lighting'!#REF!=1,"Missing Interior or Exterior Selection",IF('Proposed Lighting'!#REF!=1,"Selection does not match",IF(K388&gt;'Proposed Lighting'!#REF!,"Quantity controlled does not match proposed lighting quantity",IF(T388&gt;K388,"Quantity of sensors exceeds proposed lighting quantity",IF(AND(F388&gt;1,'Proposed Lighting'!#REF!&lt;&gt;F388),"Selection does not match",IF(AND(AD388&gt;AA388,AA388&gt;0),"Does not meet minimum connected load",IF(AND(O388&gt;0,AS388&gt;0,BK388&gt;0,'Proposed Lighting'!#REF!=0),"Select Control Strategies",IF(AND(AC388&gt;0.1,AJ388=0,AQ388=0),"Does not meet incentive criteria",0)))))))))))</f>
        <v>0</v>
      </c>
      <c r="AS388" s="1224" t="e">
        <f>IF('Proposed Lighting'!#REF!=100,0,IF(ISNUMBER(SEARCH("multiple",Q388)),1,0))</f>
        <v>#REF!</v>
      </c>
      <c r="AT388" s="451">
        <f t="shared" si="73"/>
        <v>0</v>
      </c>
      <c r="AU388" s="451" t="e">
        <f t="shared" si="74"/>
        <v>#REF!</v>
      </c>
      <c r="AV388" s="1222">
        <f>IF(ISNUMBER(SEARCH("Networked",'Proposed Lighting'!#REF!)),0,IF(ISNUMBER(SEARCH("Strategies",'Proposed Lighting'!#REF!)),0,IF(ISNUMBER(SEARCH("Removal",'Proposed Lighting'!#REF!)),0,IF(ISNUMBER(SEARCH("non-standard",Q388)),1,0))))</f>
        <v>0</v>
      </c>
      <c r="AW388" s="451">
        <f t="shared" si="77"/>
        <v>0</v>
      </c>
      <c r="AX388" s="451"/>
      <c r="AY388" s="451"/>
      <c r="AZ388" s="451"/>
      <c r="BA388" s="451"/>
      <c r="BB388" s="451"/>
      <c r="BC388" s="1215"/>
      <c r="BD388" s="1215"/>
      <c r="BE388" s="1215"/>
      <c r="BF388" s="1215"/>
      <c r="BG388" s="1215"/>
      <c r="BH388" s="1215"/>
      <c r="BI388" t="e">
        <f>IF(AND(AS388=1,BC388="No",BD388="Yes",BE388="Yes",BF388="No",BH388="No"),0,IF(AND('Proposed Lighting'!#REF!=2,AS388=1,BC388="Yes",BD388="Yes"),2,IF(AND('Proposed Lighting'!#REF!=2,AS388=1,BC388="Yes",BE388="Yes"),2,IF(AND('Proposed Lighting'!#REF!=2,AS388=1,BC388="Yes",BF388="Yes"),2,IF(AND('Proposed Lighting'!#REF!=2,AS388=1,BC388="Yes",BH388="Yes"),2,IF(AND('Proposed Lighting'!#REF!=2,AS388=1,BD388="Yes",BF388="Yes"),2,IF(AND('Proposed Lighting'!#REF!=2,AS388=1,BD388="Yes",BH388="Yes"),2,IF(AND('Proposed Lighting'!#REF!=3,AS388=1,BC388="Yes",BE388="Yes"),2,IF(AND('Proposed Lighting'!#REF!=3,AS388=1,BC388="Yes",BF388="Yes"),2,0)))))))))</f>
        <v>#REF!</v>
      </c>
      <c r="BJ388" s="1025" t="e">
        <f t="shared" si="75"/>
        <v>#REF!</v>
      </c>
      <c r="BK388" t="e">
        <f>IF(AND('Proposed Lighting'!#REF!=22,'Lighting Controls'!N388=1),0,IF(ISNUMBER(SEARCH("LED",G388)),1,0))</f>
        <v>#REF!</v>
      </c>
    </row>
    <row r="389" spans="1:63" ht="34.5" customHeight="1">
      <c r="A389" s="917">
        <v>381</v>
      </c>
      <c r="B389" s="1828" t="e">
        <f>IF('Proposed Lighting'!#REF!="","",'Proposed Lighting'!#REF!)</f>
        <v>#REF!</v>
      </c>
      <c r="C389" s="1828"/>
      <c r="D389" s="1828"/>
      <c r="E389" s="1245" t="e">
        <f>'Proposed Lighting'!#REF!</f>
        <v>#REF!</v>
      </c>
      <c r="F389" s="1245">
        <f t="shared" si="68"/>
        <v>0</v>
      </c>
      <c r="G389" s="1830" t="e">
        <f>IF('Proposed Lighting'!#REF!="","",IF(ISNUMBER(SEARCH("Networked",'Proposed Lighting'!#REF!)),0,IF(ISNUMBER(SEARCH("Strategies",'Proposed Lighting'!#REF!)),0,IF(ISNUMBER(SEARCH("Removal",'Proposed Lighting'!#REF!)),0,'Proposed Lighting'!#REF!))))</f>
        <v>#REF!</v>
      </c>
      <c r="H389" s="1830"/>
      <c r="I389" s="1830"/>
      <c r="J389" s="1830"/>
      <c r="K389" s="1215"/>
      <c r="L389" s="1246" t="e">
        <f t="shared" si="69"/>
        <v>#REF!</v>
      </c>
      <c r="M389" s="1224">
        <f t="shared" si="70"/>
        <v>0</v>
      </c>
      <c r="N389" s="1224">
        <f t="shared" si="71"/>
        <v>0</v>
      </c>
      <c r="O389" s="1825" t="e">
        <f>IF(G389=0,0,IF(ISNA('Proposed Lighting'!#REF!),0,'Proposed Lighting'!#REF!))</f>
        <v>#REF!</v>
      </c>
      <c r="P389" s="1825"/>
      <c r="Q389" s="1247"/>
      <c r="R389" s="1247"/>
      <c r="S389" s="1247"/>
      <c r="T389" s="1211"/>
      <c r="U389" s="1235">
        <f>IF(K389&gt;0.01,'Proposed Lighting'!#REF!,0)</f>
        <v>0</v>
      </c>
      <c r="V389" s="1248" t="e">
        <f>IF('Proposed Lighting'!#REF!=1,0,IF('Proposed Lighting'!#REF!=2,0,IF(AND('Proposed Lighting'!#REF!=3,'Proposed Lighting'!#REF!=0),1,0)))</f>
        <v>#REF!</v>
      </c>
      <c r="W389" s="1836"/>
      <c r="X389" s="1836"/>
      <c r="Y389" s="1836"/>
      <c r="Z389" s="1230" t="str">
        <f t="shared" si="65"/>
        <v/>
      </c>
      <c r="AA389" s="1230">
        <f t="shared" si="66"/>
        <v>0</v>
      </c>
      <c r="AB389" s="1230">
        <f>IF(Q389=0,0,IF(T389=0,0,IF(AA389=0,0,IF(AND(F389=3,V389=0),0,IF(T389=0,0,IF(K389&gt;'Proposed Lighting'!#REF!,0,IF('Proposed Lighting'!#REF!&gt;0.01,(K389*O389)*'Proposed Lighting'!#REF!/1000,(K389*O389)*U389/1000)))))))</f>
        <v>0</v>
      </c>
      <c r="AC389" s="1230" t="str">
        <f t="shared" si="72"/>
        <v/>
      </c>
      <c r="AD389" s="1230">
        <f t="shared" si="67"/>
        <v>0</v>
      </c>
      <c r="AE389" s="1230">
        <f>IF(T389=0,0,IF(K389&gt;'Proposed Lighting'!#REF!,0,IF(T389&gt;K389,0,IF(AND(AD389&gt;AA389,AA389&gt;0),0,IF(AND(F389&gt;1,W389&lt;0.01),0,IF('Proposed Lighting'!#REF!&gt;'Lighting Controls'!F389,0,IF('Proposed Lighting'!#REF!&lt;'Lighting Controls'!F389,0,IF(U389=0,0,Summary!#REF!))))))))</f>
        <v>0</v>
      </c>
      <c r="AF389" s="1230">
        <f>IF(T389=0,0,IF(AE389=0,0,IF(K389&gt;'Proposed Lighting'!#REF!,0,IF(AND(AD389&gt;AA389,AA389&gt;0),0,IF(U389=0,0,Summary!#REF!)))))</f>
        <v>0</v>
      </c>
      <c r="AG389" s="1834" t="e">
        <f>IF('Proposed Lighting'!#REF!=1,0,IF('Proposed Lighting'!#REF!=1,0,T389*W389))</f>
        <v>#REF!</v>
      </c>
      <c r="AH389" s="1834"/>
      <c r="AI389" s="1834"/>
      <c r="AJ389" s="1835">
        <f>IF(T389&lt;1,0,IF(K389&gt;'Proposed Lighting'!#REF!,0,IF('Proposed Lighting'!#REF!=1,0,IF('Proposed Lighting'!#REF!=1,0,IF(T389&gt;K389,0,IF(AND(AD389&gt;AA389,AA389&gt;0),0,IF(AND(F389=2,'Proposed Lighting'!#REF!=3),0,IF(AND(F389=3,'Proposed Lighting'!#REF!=2),0,IF('Proposed Lighting'!#REF!=100,0,IF(AND(F389&lt;3,V389=1,AM389=0),0,IF(AND(F389&gt;1,AF389&lt;1,AN389&lt;1),0,IF(AND(F389&gt;1,AE389&lt;0.69,AF389&lt;1,AN389&lt;1),0,IF(ISERROR(AB389-AC389),"",AB389-AC389)))))))))))))</f>
        <v>0</v>
      </c>
      <c r="AK389" s="1835"/>
      <c r="AL389" s="1835"/>
      <c r="AM389" s="1216">
        <f>IF(Q389=0,0,IF(T389=0,0,IF(T389&gt;K389,0,IF(AND(AS389&gt;0.01,BK389=0),0,IF(AND('Proposed Lighting'!#REF!=0,'Lighting Controls'!Z389=0.35),0,IF(AND(T389&lt;=K389,AA389&gt;=AD389,'Proposed Lighting'!#REF!=2),VLOOKUP(Q389,$AY$9:$AZ$15,2,FALSE),IF(AND(T389&lt;=K389,AA389&gt;=AD389,'Proposed Lighting'!#REF!=3),VLOOKUP(Q389,$AY$17:$AZ$23,2,FALSE))))))))</f>
        <v>0</v>
      </c>
      <c r="AN389" s="1248">
        <f>IF(T389=0,0,IF(K389&gt;'Proposed Lighting'!#REF!,0,IF(AE389=0,0,IF(AND(AD389&gt;AA389,AA389&gt;0),0,IF(U389=0,0,Summary!#REF!)))))</f>
        <v>0</v>
      </c>
      <c r="AO389" s="1248">
        <f t="shared" si="76"/>
        <v>0</v>
      </c>
      <c r="AP389" s="1249" t="e">
        <f>IF('Proposed Lighting'!#REF!=1,0,IF(K389=0,0,IF(T389&gt;K389,0,IF(G389=0,0,IF(K389&gt;'Proposed Lighting'!#REF!,0,IF(AND(AD389&gt;AA389,AA389&gt;0),0,IF(AND('Proposed Lighting'!#REF!=3,AM389=0.5),0,IF(AND(AM389&gt;0,AS389&gt;0,BI389&lt;2),0,IF('Proposed Lighting'!#REF!=100,0,IF(AV389=1,0,IF(AND(AM389=35,M389+N389&lt;2),0,AM389)))))))))))</f>
        <v>#REF!</v>
      </c>
      <c r="AQ389" s="1249" t="str">
        <f>IFERROR(ROUND(IF(Q389="","",IF('Proposed Lighting'!$X$4=0,0,IF(AND(AM389=35,M389+N389&lt;2),0,IF(T389&gt;K389,0,IF('Proposed Lighting'!#REF!=1,0,IF(AJ389=0,0,IF(AND('Proposed Lighting'!#REF!=3,AM389=0.5),0,IF(AND(AD389=75,AP389=0,AV389=0),0,IF(AP389&gt;0.01,AP389*T389,IF(AND(F389&gt;1,W389&lt;0.01),0,IF(AND(F389&gt;1,AO389=0),0,IF(AND('Proposed Lighting'!#REF!=22,AV389=0),0,IF(AND(AM389&gt;0,AS389&gt;0,BI389&lt;2),0,IF(AND(AS389&gt;0.01,BK389=0),0,IF(AND(AO389=TRUE,AV389=1,F389=3),MIN(AJ389*0.08,L389),IF(AP389&gt;0.01,AP389*T389,IF(AND(AO389=TRUE,AV389=1,F389=2),MIN(AJ389*0.1,L389)))))))))))))))))),2),"")</f>
        <v/>
      </c>
      <c r="AR389" s="1250">
        <f>IF(Q389=0,0,IF('Proposed Lighting'!$X$4=0,0,IF(AND(AM389&gt;0.01,AQ389&gt;0.01),0,IF('Proposed Lighting'!#REF!=1,"Missing Interior or Exterior Selection",IF('Proposed Lighting'!#REF!=1,"Selection does not match",IF(K389&gt;'Proposed Lighting'!#REF!,"Quantity controlled does not match proposed lighting quantity",IF(T389&gt;K389,"Quantity of sensors exceeds proposed lighting quantity",IF(AND(F389&gt;1,'Proposed Lighting'!#REF!&lt;&gt;F389),"Selection does not match",IF(AND(AD389&gt;AA389,AA389&gt;0),"Does not meet minimum connected load",IF(AND(O389&gt;0,AS389&gt;0,BK389&gt;0,'Proposed Lighting'!#REF!=0),"Select Control Strategies",IF(AND(AC389&gt;0.1,AJ389=0,AQ389=0),"Does not meet incentive criteria",0)))))))))))</f>
        <v>0</v>
      </c>
      <c r="AS389" s="1224" t="e">
        <f>IF('Proposed Lighting'!#REF!=100,0,IF(ISNUMBER(SEARCH("multiple",Q389)),1,0))</f>
        <v>#REF!</v>
      </c>
      <c r="AT389" s="451">
        <f t="shared" si="73"/>
        <v>0</v>
      </c>
      <c r="AU389" s="451" t="e">
        <f t="shared" si="74"/>
        <v>#REF!</v>
      </c>
      <c r="AV389" s="1222">
        <f>IF(ISNUMBER(SEARCH("Networked",'Proposed Lighting'!#REF!)),0,IF(ISNUMBER(SEARCH("Strategies",'Proposed Lighting'!#REF!)),0,IF(ISNUMBER(SEARCH("Removal",'Proposed Lighting'!#REF!)),0,IF(ISNUMBER(SEARCH("non-standard",Q389)),1,0))))</f>
        <v>0</v>
      </c>
      <c r="AW389" s="451">
        <f t="shared" si="77"/>
        <v>0</v>
      </c>
      <c r="AX389" s="451"/>
      <c r="AY389" s="451"/>
      <c r="AZ389" s="451"/>
      <c r="BA389" s="451"/>
      <c r="BB389" s="451"/>
      <c r="BC389" s="1215"/>
      <c r="BD389" s="1215"/>
      <c r="BE389" s="1215"/>
      <c r="BF389" s="1215"/>
      <c r="BG389" s="1215"/>
      <c r="BH389" s="1215"/>
      <c r="BI389" t="e">
        <f>IF(AND(AS389=1,BC389="No",BD389="Yes",BE389="Yes",BF389="No",BH389="No"),0,IF(AND('Proposed Lighting'!#REF!=2,AS389=1,BC389="Yes",BD389="Yes"),2,IF(AND('Proposed Lighting'!#REF!=2,AS389=1,BC389="Yes",BE389="Yes"),2,IF(AND('Proposed Lighting'!#REF!=2,AS389=1,BC389="Yes",BF389="Yes"),2,IF(AND('Proposed Lighting'!#REF!=2,AS389=1,BC389="Yes",BH389="Yes"),2,IF(AND('Proposed Lighting'!#REF!=2,AS389=1,BD389="Yes",BF389="Yes"),2,IF(AND('Proposed Lighting'!#REF!=2,AS389=1,BD389="Yes",BH389="Yes"),2,IF(AND('Proposed Lighting'!#REF!=3,AS389=1,BC389="Yes",BE389="Yes"),2,IF(AND('Proposed Lighting'!#REF!=3,AS389=1,BC389="Yes",BF389="Yes"),2,0)))))))))</f>
        <v>#REF!</v>
      </c>
      <c r="BJ389" s="1025" t="e">
        <f t="shared" si="75"/>
        <v>#REF!</v>
      </c>
      <c r="BK389" t="e">
        <f>IF(AND('Proposed Lighting'!#REF!=22,'Lighting Controls'!N389=1),0,IF(ISNUMBER(SEARCH("LED",G389)),1,0))</f>
        <v>#REF!</v>
      </c>
    </row>
    <row r="390" spans="1:63" ht="34.5" customHeight="1">
      <c r="A390" s="917">
        <v>382</v>
      </c>
      <c r="B390" s="1828" t="e">
        <f>IF('Proposed Lighting'!#REF!="","",'Proposed Lighting'!#REF!)</f>
        <v>#REF!</v>
      </c>
      <c r="C390" s="1828"/>
      <c r="D390" s="1828"/>
      <c r="E390" s="1245" t="e">
        <f>'Proposed Lighting'!#REF!</f>
        <v>#REF!</v>
      </c>
      <c r="F390" s="1245">
        <f t="shared" si="68"/>
        <v>0</v>
      </c>
      <c r="G390" s="1830" t="e">
        <f>IF('Proposed Lighting'!#REF!="","",IF(ISNUMBER(SEARCH("Networked",'Proposed Lighting'!#REF!)),0,IF(ISNUMBER(SEARCH("Strategies",'Proposed Lighting'!#REF!)),0,IF(ISNUMBER(SEARCH("Removal",'Proposed Lighting'!#REF!)),0,'Proposed Lighting'!#REF!))))</f>
        <v>#REF!</v>
      </c>
      <c r="H390" s="1830"/>
      <c r="I390" s="1830"/>
      <c r="J390" s="1830"/>
      <c r="K390" s="1215"/>
      <c r="L390" s="1246" t="e">
        <f t="shared" si="69"/>
        <v>#REF!</v>
      </c>
      <c r="M390" s="1224">
        <f t="shared" si="70"/>
        <v>0</v>
      </c>
      <c r="N390" s="1224">
        <f t="shared" si="71"/>
        <v>0</v>
      </c>
      <c r="O390" s="1825" t="e">
        <f>IF(G390=0,0,IF(ISNA('Proposed Lighting'!#REF!),0,'Proposed Lighting'!#REF!))</f>
        <v>#REF!</v>
      </c>
      <c r="P390" s="1825"/>
      <c r="Q390" s="1247"/>
      <c r="R390" s="1247"/>
      <c r="S390" s="1247"/>
      <c r="T390" s="1211"/>
      <c r="U390" s="1235">
        <f>IF(K390&gt;0.01,'Proposed Lighting'!#REF!,0)</f>
        <v>0</v>
      </c>
      <c r="V390" s="1248" t="e">
        <f>IF('Proposed Lighting'!#REF!=1,0,IF('Proposed Lighting'!#REF!=2,0,IF(AND('Proposed Lighting'!#REF!=3,'Proposed Lighting'!#REF!=0),1,0)))</f>
        <v>#REF!</v>
      </c>
      <c r="W390" s="1836"/>
      <c r="X390" s="1836"/>
      <c r="Y390" s="1836"/>
      <c r="Z390" s="1230" t="str">
        <f t="shared" si="65"/>
        <v/>
      </c>
      <c r="AA390" s="1230">
        <f t="shared" si="66"/>
        <v>0</v>
      </c>
      <c r="AB390" s="1230">
        <f>IF(Q390=0,0,IF(T390=0,0,IF(AA390=0,0,IF(AND(F390=3,V390=0),0,IF(T390=0,0,IF(K390&gt;'Proposed Lighting'!#REF!,0,IF('Proposed Lighting'!#REF!&gt;0.01,(K390*O390)*'Proposed Lighting'!#REF!/1000,(K390*O390)*U390/1000)))))))</f>
        <v>0</v>
      </c>
      <c r="AC390" s="1230" t="str">
        <f t="shared" si="72"/>
        <v/>
      </c>
      <c r="AD390" s="1230">
        <f t="shared" si="67"/>
        <v>0</v>
      </c>
      <c r="AE390" s="1230">
        <f>IF(T390=0,0,IF(K390&gt;'Proposed Lighting'!#REF!,0,IF(T390&gt;K390,0,IF(AND(AD390&gt;AA390,AA390&gt;0),0,IF(AND(F390&gt;1,W390&lt;0.01),0,IF('Proposed Lighting'!#REF!&gt;'Lighting Controls'!F390,0,IF('Proposed Lighting'!#REF!&lt;'Lighting Controls'!F390,0,IF(U390=0,0,Summary!#REF!))))))))</f>
        <v>0</v>
      </c>
      <c r="AF390" s="1230">
        <f>IF(T390=0,0,IF(AE390=0,0,IF(K390&gt;'Proposed Lighting'!#REF!,0,IF(AND(AD390&gt;AA390,AA390&gt;0),0,IF(U390=0,0,Summary!#REF!)))))</f>
        <v>0</v>
      </c>
      <c r="AG390" s="1834" t="e">
        <f>IF('Proposed Lighting'!#REF!=1,0,IF('Proposed Lighting'!#REF!=1,0,T390*W390))</f>
        <v>#REF!</v>
      </c>
      <c r="AH390" s="1834"/>
      <c r="AI390" s="1834"/>
      <c r="AJ390" s="1835">
        <f>IF(T390&lt;1,0,IF(K390&gt;'Proposed Lighting'!#REF!,0,IF('Proposed Lighting'!#REF!=1,0,IF('Proposed Lighting'!#REF!=1,0,IF(T390&gt;K390,0,IF(AND(AD390&gt;AA390,AA390&gt;0),0,IF(AND(F390=2,'Proposed Lighting'!#REF!=3),0,IF(AND(F390=3,'Proposed Lighting'!#REF!=2),0,IF('Proposed Lighting'!#REF!=100,0,IF(AND(F390&lt;3,V390=1,AM390=0),0,IF(AND(F390&gt;1,AF390&lt;1,AN390&lt;1),0,IF(AND(F390&gt;1,AE390&lt;0.69,AF390&lt;1,AN390&lt;1),0,IF(ISERROR(AB390-AC390),"",AB390-AC390)))))))))))))</f>
        <v>0</v>
      </c>
      <c r="AK390" s="1835"/>
      <c r="AL390" s="1835"/>
      <c r="AM390" s="1216">
        <f>IF(Q390=0,0,IF(T390=0,0,IF(T390&gt;K390,0,IF(AND(AS390&gt;0.01,BK390=0),0,IF(AND('Proposed Lighting'!#REF!=0,'Lighting Controls'!Z390=0.35),0,IF(AND(T390&lt;=K390,AA390&gt;=AD390,'Proposed Lighting'!#REF!=2),VLOOKUP(Q390,$AY$9:$AZ$15,2,FALSE),IF(AND(T390&lt;=K390,AA390&gt;=AD390,'Proposed Lighting'!#REF!=3),VLOOKUP(Q390,$AY$17:$AZ$23,2,FALSE))))))))</f>
        <v>0</v>
      </c>
      <c r="AN390" s="1248">
        <f>IF(T390=0,0,IF(K390&gt;'Proposed Lighting'!#REF!,0,IF(AE390=0,0,IF(AND(AD390&gt;AA390,AA390&gt;0),0,IF(U390=0,0,Summary!#REF!)))))</f>
        <v>0</v>
      </c>
      <c r="AO390" s="1248">
        <f t="shared" si="76"/>
        <v>0</v>
      </c>
      <c r="AP390" s="1249" t="e">
        <f>IF('Proposed Lighting'!#REF!=1,0,IF(K390=0,0,IF(T390&gt;K390,0,IF(G390=0,0,IF(K390&gt;'Proposed Lighting'!#REF!,0,IF(AND(AD390&gt;AA390,AA390&gt;0),0,IF(AND('Proposed Lighting'!#REF!=3,AM390=0.5),0,IF(AND(AM390&gt;0,AS390&gt;0,BI390&lt;2),0,IF('Proposed Lighting'!#REF!=100,0,IF(AV390=1,0,IF(AND(AM390=35,M390+N390&lt;2),0,AM390)))))))))))</f>
        <v>#REF!</v>
      </c>
      <c r="AQ390" s="1249" t="str">
        <f>IFERROR(ROUND(IF(Q390="","",IF('Proposed Lighting'!$X$4=0,0,IF(AND(AM390=35,M390+N390&lt;2),0,IF(T390&gt;K390,0,IF('Proposed Lighting'!#REF!=1,0,IF(AJ390=0,0,IF(AND('Proposed Lighting'!#REF!=3,AM390=0.5),0,IF(AND(AD390=75,AP390=0,AV390=0),0,IF(AP390&gt;0.01,AP390*T390,IF(AND(F390&gt;1,W390&lt;0.01),0,IF(AND(F390&gt;1,AO390=0),0,IF(AND('Proposed Lighting'!#REF!=22,AV390=0),0,IF(AND(AM390&gt;0,AS390&gt;0,BI390&lt;2),0,IF(AND(AS390&gt;0.01,BK390=0),0,IF(AND(AO390=TRUE,AV390=1,F390=3),MIN(AJ390*0.08,L390),IF(AP390&gt;0.01,AP390*T390,IF(AND(AO390=TRUE,AV390=1,F390=2),MIN(AJ390*0.1,L390)))))))))))))))))),2),"")</f>
        <v/>
      </c>
      <c r="AR390" s="1250">
        <f>IF(Q390=0,0,IF('Proposed Lighting'!$X$4=0,0,IF(AND(AM390&gt;0.01,AQ390&gt;0.01),0,IF('Proposed Lighting'!#REF!=1,"Missing Interior or Exterior Selection",IF('Proposed Lighting'!#REF!=1,"Selection does not match",IF(K390&gt;'Proposed Lighting'!#REF!,"Quantity controlled does not match proposed lighting quantity",IF(T390&gt;K390,"Quantity of sensors exceeds proposed lighting quantity",IF(AND(F390&gt;1,'Proposed Lighting'!#REF!&lt;&gt;F390),"Selection does not match",IF(AND(AD390&gt;AA390,AA390&gt;0),"Does not meet minimum connected load",IF(AND(O390&gt;0,AS390&gt;0,BK390&gt;0,'Proposed Lighting'!#REF!=0),"Select Control Strategies",IF(AND(AC390&gt;0.1,AJ390=0,AQ390=0),"Does not meet incentive criteria",0)))))))))))</f>
        <v>0</v>
      </c>
      <c r="AS390" s="1224" t="e">
        <f>IF('Proposed Lighting'!#REF!=100,0,IF(ISNUMBER(SEARCH("multiple",Q390)),1,0))</f>
        <v>#REF!</v>
      </c>
      <c r="AT390" s="451">
        <f t="shared" si="73"/>
        <v>0</v>
      </c>
      <c r="AU390" s="451" t="e">
        <f t="shared" si="74"/>
        <v>#REF!</v>
      </c>
      <c r="AV390" s="1222">
        <f>IF(ISNUMBER(SEARCH("Networked",'Proposed Lighting'!#REF!)),0,IF(ISNUMBER(SEARCH("Strategies",'Proposed Lighting'!#REF!)),0,IF(ISNUMBER(SEARCH("Removal",'Proposed Lighting'!#REF!)),0,IF(ISNUMBER(SEARCH("non-standard",Q390)),1,0))))</f>
        <v>0</v>
      </c>
      <c r="AW390" s="451">
        <f t="shared" si="77"/>
        <v>0</v>
      </c>
      <c r="AX390" s="451"/>
      <c r="AY390" s="451"/>
      <c r="AZ390" s="451"/>
      <c r="BA390" s="451"/>
      <c r="BB390" s="451"/>
      <c r="BC390" s="1215"/>
      <c r="BD390" s="1215"/>
      <c r="BE390" s="1215"/>
      <c r="BF390" s="1215"/>
      <c r="BG390" s="1215"/>
      <c r="BH390" s="1215"/>
      <c r="BI390" t="e">
        <f>IF(AND(AS390=1,BC390="No",BD390="Yes",BE390="Yes",BF390="No",BH390="No"),0,IF(AND('Proposed Lighting'!#REF!=2,AS390=1,BC390="Yes",BD390="Yes"),2,IF(AND('Proposed Lighting'!#REF!=2,AS390=1,BC390="Yes",BE390="Yes"),2,IF(AND('Proposed Lighting'!#REF!=2,AS390=1,BC390="Yes",BF390="Yes"),2,IF(AND('Proposed Lighting'!#REF!=2,AS390=1,BC390="Yes",BH390="Yes"),2,IF(AND('Proposed Lighting'!#REF!=2,AS390=1,BD390="Yes",BF390="Yes"),2,IF(AND('Proposed Lighting'!#REF!=2,AS390=1,BD390="Yes",BH390="Yes"),2,IF(AND('Proposed Lighting'!#REF!=3,AS390=1,BC390="Yes",BE390="Yes"),2,IF(AND('Proposed Lighting'!#REF!=3,AS390=1,BC390="Yes",BF390="Yes"),2,0)))))))))</f>
        <v>#REF!</v>
      </c>
      <c r="BJ390" s="1025" t="e">
        <f t="shared" si="75"/>
        <v>#REF!</v>
      </c>
      <c r="BK390" t="e">
        <f>IF(AND('Proposed Lighting'!#REF!=22,'Lighting Controls'!N390=1),0,IF(ISNUMBER(SEARCH("LED",G390)),1,0))</f>
        <v>#REF!</v>
      </c>
    </row>
    <row r="391" spans="1:63" ht="34.5" customHeight="1">
      <c r="A391" s="917">
        <v>383</v>
      </c>
      <c r="B391" s="1828" t="e">
        <f>IF('Proposed Lighting'!#REF!="","",'Proposed Lighting'!#REF!)</f>
        <v>#REF!</v>
      </c>
      <c r="C391" s="1828"/>
      <c r="D391" s="1828"/>
      <c r="E391" s="1245" t="e">
        <f>'Proposed Lighting'!#REF!</f>
        <v>#REF!</v>
      </c>
      <c r="F391" s="1245">
        <f t="shared" si="68"/>
        <v>0</v>
      </c>
      <c r="G391" s="1830" t="e">
        <f>IF('Proposed Lighting'!#REF!="","",IF(ISNUMBER(SEARCH("Networked",'Proposed Lighting'!#REF!)),0,IF(ISNUMBER(SEARCH("Strategies",'Proposed Lighting'!#REF!)),0,IF(ISNUMBER(SEARCH("Removal",'Proposed Lighting'!#REF!)),0,'Proposed Lighting'!#REF!))))</f>
        <v>#REF!</v>
      </c>
      <c r="H391" s="1830"/>
      <c r="I391" s="1830"/>
      <c r="J391" s="1830"/>
      <c r="K391" s="1215"/>
      <c r="L391" s="1246" t="e">
        <f t="shared" si="69"/>
        <v>#REF!</v>
      </c>
      <c r="M391" s="1224">
        <f t="shared" si="70"/>
        <v>0</v>
      </c>
      <c r="N391" s="1224">
        <f t="shared" si="71"/>
        <v>0</v>
      </c>
      <c r="O391" s="1825" t="e">
        <f>IF(G391=0,0,IF(ISNA('Proposed Lighting'!#REF!),0,'Proposed Lighting'!#REF!))</f>
        <v>#REF!</v>
      </c>
      <c r="P391" s="1825"/>
      <c r="Q391" s="1247"/>
      <c r="R391" s="1247"/>
      <c r="S391" s="1247"/>
      <c r="T391" s="1211"/>
      <c r="U391" s="1235">
        <f>IF(K391&gt;0.01,'Proposed Lighting'!#REF!,0)</f>
        <v>0</v>
      </c>
      <c r="V391" s="1248" t="e">
        <f>IF('Proposed Lighting'!#REF!=1,0,IF('Proposed Lighting'!#REF!=2,0,IF(AND('Proposed Lighting'!#REF!=3,'Proposed Lighting'!#REF!=0),1,0)))</f>
        <v>#REF!</v>
      </c>
      <c r="W391" s="1836"/>
      <c r="X391" s="1836"/>
      <c r="Y391" s="1836"/>
      <c r="Z391" s="1230" t="str">
        <f t="shared" si="65"/>
        <v/>
      </c>
      <c r="AA391" s="1230">
        <f t="shared" si="66"/>
        <v>0</v>
      </c>
      <c r="AB391" s="1230">
        <f>IF(Q391=0,0,IF(T391=0,0,IF(AA391=0,0,IF(AND(F391=3,V391=0),0,IF(T391=0,0,IF(K391&gt;'Proposed Lighting'!#REF!,0,IF('Proposed Lighting'!#REF!&gt;0.01,(K391*O391)*'Proposed Lighting'!#REF!/1000,(K391*O391)*U391/1000)))))))</f>
        <v>0</v>
      </c>
      <c r="AC391" s="1230" t="str">
        <f t="shared" si="72"/>
        <v/>
      </c>
      <c r="AD391" s="1230">
        <f t="shared" si="67"/>
        <v>0</v>
      </c>
      <c r="AE391" s="1230">
        <f>IF(T391=0,0,IF(K391&gt;'Proposed Lighting'!#REF!,0,IF(T391&gt;K391,0,IF(AND(AD391&gt;AA391,AA391&gt;0),0,IF(AND(F391&gt;1,W391&lt;0.01),0,IF('Proposed Lighting'!#REF!&gt;'Lighting Controls'!F391,0,IF('Proposed Lighting'!#REF!&lt;'Lighting Controls'!F391,0,IF(U391=0,0,Summary!#REF!))))))))</f>
        <v>0</v>
      </c>
      <c r="AF391" s="1230">
        <f>IF(T391=0,0,IF(AE391=0,0,IF(K391&gt;'Proposed Lighting'!#REF!,0,IF(AND(AD391&gt;AA391,AA391&gt;0),0,IF(U391=0,0,Summary!#REF!)))))</f>
        <v>0</v>
      </c>
      <c r="AG391" s="1834" t="e">
        <f>IF('Proposed Lighting'!#REF!=1,0,IF('Proposed Lighting'!#REF!=1,0,T391*W391))</f>
        <v>#REF!</v>
      </c>
      <c r="AH391" s="1834"/>
      <c r="AI391" s="1834"/>
      <c r="AJ391" s="1835">
        <f>IF(T391&lt;1,0,IF(K391&gt;'Proposed Lighting'!#REF!,0,IF('Proposed Lighting'!#REF!=1,0,IF('Proposed Lighting'!#REF!=1,0,IF(T391&gt;K391,0,IF(AND(AD391&gt;AA391,AA391&gt;0),0,IF(AND(F391=2,'Proposed Lighting'!#REF!=3),0,IF(AND(F391=3,'Proposed Lighting'!#REF!=2),0,IF('Proposed Lighting'!#REF!=100,0,IF(AND(F391&lt;3,V391=1,AM391=0),0,IF(AND(F391&gt;1,AF391&lt;1,AN391&lt;1),0,IF(AND(F391&gt;1,AE391&lt;0.69,AF391&lt;1,AN391&lt;1),0,IF(ISERROR(AB391-AC391),"",AB391-AC391)))))))))))))</f>
        <v>0</v>
      </c>
      <c r="AK391" s="1835"/>
      <c r="AL391" s="1835"/>
      <c r="AM391" s="1216">
        <f>IF(Q391=0,0,IF(T391=0,0,IF(T391&gt;K391,0,IF(AND(AS391&gt;0.01,BK391=0),0,IF(AND('Proposed Lighting'!#REF!=0,'Lighting Controls'!Z391=0.35),0,IF(AND(T391&lt;=K391,AA391&gt;=AD391,'Proposed Lighting'!#REF!=2),VLOOKUP(Q391,$AY$9:$AZ$15,2,FALSE),IF(AND(T391&lt;=K391,AA391&gt;=AD391,'Proposed Lighting'!#REF!=3),VLOOKUP(Q391,$AY$17:$AZ$23,2,FALSE))))))))</f>
        <v>0</v>
      </c>
      <c r="AN391" s="1248">
        <f>IF(T391=0,0,IF(K391&gt;'Proposed Lighting'!#REF!,0,IF(AE391=0,0,IF(AND(AD391&gt;AA391,AA391&gt;0),0,IF(U391=0,0,Summary!#REF!)))))</f>
        <v>0</v>
      </c>
      <c r="AO391" s="1248">
        <f t="shared" si="76"/>
        <v>0</v>
      </c>
      <c r="AP391" s="1249" t="e">
        <f>IF('Proposed Lighting'!#REF!=1,0,IF(K391=0,0,IF(T391&gt;K391,0,IF(G391=0,0,IF(K391&gt;'Proposed Lighting'!#REF!,0,IF(AND(AD391&gt;AA391,AA391&gt;0),0,IF(AND('Proposed Lighting'!#REF!=3,AM391=0.5),0,IF(AND(AM391&gt;0,AS391&gt;0,BI391&lt;2),0,IF('Proposed Lighting'!#REF!=100,0,IF(AV391=1,0,IF(AND(AM391=35,M391+N391&lt;2),0,AM391)))))))))))</f>
        <v>#REF!</v>
      </c>
      <c r="AQ391" s="1249" t="str">
        <f>IFERROR(ROUND(IF(Q391="","",IF('Proposed Lighting'!$X$4=0,0,IF(AND(AM391=35,M391+N391&lt;2),0,IF(T391&gt;K391,0,IF('Proposed Lighting'!#REF!=1,0,IF(AJ391=0,0,IF(AND('Proposed Lighting'!#REF!=3,AM391=0.5),0,IF(AND(AD391=75,AP391=0,AV391=0),0,IF(AP391&gt;0.01,AP391*T391,IF(AND(F391&gt;1,W391&lt;0.01),0,IF(AND(F391&gt;1,AO391=0),0,IF(AND('Proposed Lighting'!#REF!=22,AV391=0),0,IF(AND(AM391&gt;0,AS391&gt;0,BI391&lt;2),0,IF(AND(AS391&gt;0.01,BK391=0),0,IF(AND(AO391=TRUE,AV391=1,F391=3),MIN(AJ391*0.08,L391),IF(AP391&gt;0.01,AP391*T391,IF(AND(AO391=TRUE,AV391=1,F391=2),MIN(AJ391*0.1,L391)))))))))))))))))),2),"")</f>
        <v/>
      </c>
      <c r="AR391" s="1250">
        <f>IF(Q391=0,0,IF('Proposed Lighting'!$X$4=0,0,IF(AND(AM391&gt;0.01,AQ391&gt;0.01),0,IF('Proposed Lighting'!#REF!=1,"Missing Interior or Exterior Selection",IF('Proposed Lighting'!#REF!=1,"Selection does not match",IF(K391&gt;'Proposed Lighting'!#REF!,"Quantity controlled does not match proposed lighting quantity",IF(T391&gt;K391,"Quantity of sensors exceeds proposed lighting quantity",IF(AND(F391&gt;1,'Proposed Lighting'!#REF!&lt;&gt;F391),"Selection does not match",IF(AND(AD391&gt;AA391,AA391&gt;0),"Does not meet minimum connected load",IF(AND(O391&gt;0,AS391&gt;0,BK391&gt;0,'Proposed Lighting'!#REF!=0),"Select Control Strategies",IF(AND(AC391&gt;0.1,AJ391=0,AQ391=0),"Does not meet incentive criteria",0)))))))))))</f>
        <v>0</v>
      </c>
      <c r="AS391" s="1224" t="e">
        <f>IF('Proposed Lighting'!#REF!=100,0,IF(ISNUMBER(SEARCH("multiple",Q391)),1,0))</f>
        <v>#REF!</v>
      </c>
      <c r="AT391" s="451">
        <f t="shared" si="73"/>
        <v>0</v>
      </c>
      <c r="AU391" s="451" t="e">
        <f t="shared" si="74"/>
        <v>#REF!</v>
      </c>
      <c r="AV391" s="1222">
        <f>IF(ISNUMBER(SEARCH("Networked",'Proposed Lighting'!#REF!)),0,IF(ISNUMBER(SEARCH("Strategies",'Proposed Lighting'!#REF!)),0,IF(ISNUMBER(SEARCH("Removal",'Proposed Lighting'!#REF!)),0,IF(ISNUMBER(SEARCH("non-standard",Q391)),1,0))))</f>
        <v>0</v>
      </c>
      <c r="AW391" s="451">
        <f t="shared" si="77"/>
        <v>0</v>
      </c>
      <c r="AX391" s="451"/>
      <c r="AY391" s="451"/>
      <c r="AZ391" s="451"/>
      <c r="BA391" s="451"/>
      <c r="BB391" s="451"/>
      <c r="BC391" s="1215"/>
      <c r="BD391" s="1215"/>
      <c r="BE391" s="1215"/>
      <c r="BF391" s="1215"/>
      <c r="BG391" s="1215"/>
      <c r="BH391" s="1215"/>
      <c r="BI391" t="e">
        <f>IF(AND(AS391=1,BC391="No",BD391="Yes",BE391="Yes",BF391="No",BH391="No"),0,IF(AND('Proposed Lighting'!#REF!=2,AS391=1,BC391="Yes",BD391="Yes"),2,IF(AND('Proposed Lighting'!#REF!=2,AS391=1,BC391="Yes",BE391="Yes"),2,IF(AND('Proposed Lighting'!#REF!=2,AS391=1,BC391="Yes",BF391="Yes"),2,IF(AND('Proposed Lighting'!#REF!=2,AS391=1,BC391="Yes",BH391="Yes"),2,IF(AND('Proposed Lighting'!#REF!=2,AS391=1,BD391="Yes",BF391="Yes"),2,IF(AND('Proposed Lighting'!#REF!=2,AS391=1,BD391="Yes",BH391="Yes"),2,IF(AND('Proposed Lighting'!#REF!=3,AS391=1,BC391="Yes",BE391="Yes"),2,IF(AND('Proposed Lighting'!#REF!=3,AS391=1,BC391="Yes",BF391="Yes"),2,0)))))))))</f>
        <v>#REF!</v>
      </c>
      <c r="BJ391" s="1025" t="e">
        <f t="shared" si="75"/>
        <v>#REF!</v>
      </c>
      <c r="BK391" t="e">
        <f>IF(AND('Proposed Lighting'!#REF!=22,'Lighting Controls'!N391=1),0,IF(ISNUMBER(SEARCH("LED",G391)),1,0))</f>
        <v>#REF!</v>
      </c>
    </row>
    <row r="392" spans="1:63" ht="34.5" customHeight="1">
      <c r="A392" s="917">
        <v>384</v>
      </c>
      <c r="B392" s="1828" t="e">
        <f>IF('Proposed Lighting'!#REF!="","",'Proposed Lighting'!#REF!)</f>
        <v>#REF!</v>
      </c>
      <c r="C392" s="1828"/>
      <c r="D392" s="1828"/>
      <c r="E392" s="1245" t="e">
        <f>'Proposed Lighting'!#REF!</f>
        <v>#REF!</v>
      </c>
      <c r="F392" s="1245">
        <f t="shared" si="68"/>
        <v>0</v>
      </c>
      <c r="G392" s="1830" t="e">
        <f>IF('Proposed Lighting'!#REF!="","",IF(ISNUMBER(SEARCH("Networked",'Proposed Lighting'!#REF!)),0,IF(ISNUMBER(SEARCH("Strategies",'Proposed Lighting'!#REF!)),0,IF(ISNUMBER(SEARCH("Removal",'Proposed Lighting'!#REF!)),0,'Proposed Lighting'!#REF!))))</f>
        <v>#REF!</v>
      </c>
      <c r="H392" s="1830"/>
      <c r="I392" s="1830"/>
      <c r="J392" s="1830"/>
      <c r="K392" s="1215"/>
      <c r="L392" s="1246" t="e">
        <f t="shared" si="69"/>
        <v>#REF!</v>
      </c>
      <c r="M392" s="1224">
        <f t="shared" si="70"/>
        <v>0</v>
      </c>
      <c r="N392" s="1224">
        <f t="shared" si="71"/>
        <v>0</v>
      </c>
      <c r="O392" s="1825" t="e">
        <f>IF(G392=0,0,IF(ISNA('Proposed Lighting'!#REF!),0,'Proposed Lighting'!#REF!))</f>
        <v>#REF!</v>
      </c>
      <c r="P392" s="1825"/>
      <c r="Q392" s="1247"/>
      <c r="R392" s="1247"/>
      <c r="S392" s="1247"/>
      <c r="T392" s="1211"/>
      <c r="U392" s="1235">
        <f>IF(K392&gt;0.01,'Proposed Lighting'!#REF!,0)</f>
        <v>0</v>
      </c>
      <c r="V392" s="1248" t="e">
        <f>IF('Proposed Lighting'!#REF!=1,0,IF('Proposed Lighting'!#REF!=2,0,IF(AND('Proposed Lighting'!#REF!=3,'Proposed Lighting'!#REF!=0),1,0)))</f>
        <v>#REF!</v>
      </c>
      <c r="W392" s="1836"/>
      <c r="X392" s="1836"/>
      <c r="Y392" s="1836"/>
      <c r="Z392" s="1230" t="str">
        <f t="shared" si="65"/>
        <v/>
      </c>
      <c r="AA392" s="1230">
        <f t="shared" si="66"/>
        <v>0</v>
      </c>
      <c r="AB392" s="1230">
        <f>IF(Q392=0,0,IF(T392=0,0,IF(AA392=0,0,IF(AND(F392=3,V392=0),0,IF(T392=0,0,IF(K392&gt;'Proposed Lighting'!#REF!,0,IF('Proposed Lighting'!#REF!&gt;0.01,(K392*O392)*'Proposed Lighting'!#REF!/1000,(K392*O392)*U392/1000)))))))</f>
        <v>0</v>
      </c>
      <c r="AC392" s="1230" t="str">
        <f t="shared" si="72"/>
        <v/>
      </c>
      <c r="AD392" s="1230">
        <f t="shared" si="67"/>
        <v>0</v>
      </c>
      <c r="AE392" s="1230">
        <f>IF(T392=0,0,IF(K392&gt;'Proposed Lighting'!#REF!,0,IF(T392&gt;K392,0,IF(AND(AD392&gt;AA392,AA392&gt;0),0,IF(AND(F392&gt;1,W392&lt;0.01),0,IF('Proposed Lighting'!#REF!&gt;'Lighting Controls'!F392,0,IF('Proposed Lighting'!#REF!&lt;'Lighting Controls'!F392,0,IF(U392=0,0,Summary!#REF!))))))))</f>
        <v>0</v>
      </c>
      <c r="AF392" s="1230">
        <f>IF(T392=0,0,IF(AE392=0,0,IF(K392&gt;'Proposed Lighting'!#REF!,0,IF(AND(AD392&gt;AA392,AA392&gt;0),0,IF(U392=0,0,Summary!#REF!)))))</f>
        <v>0</v>
      </c>
      <c r="AG392" s="1834" t="e">
        <f>IF('Proposed Lighting'!#REF!=1,0,IF('Proposed Lighting'!#REF!=1,0,T392*W392))</f>
        <v>#REF!</v>
      </c>
      <c r="AH392" s="1834"/>
      <c r="AI392" s="1834"/>
      <c r="AJ392" s="1835">
        <f>IF(T392&lt;1,0,IF(K392&gt;'Proposed Lighting'!#REF!,0,IF('Proposed Lighting'!#REF!=1,0,IF('Proposed Lighting'!#REF!=1,0,IF(T392&gt;K392,0,IF(AND(AD392&gt;AA392,AA392&gt;0),0,IF(AND(F392=2,'Proposed Lighting'!#REF!=3),0,IF(AND(F392=3,'Proposed Lighting'!#REF!=2),0,IF('Proposed Lighting'!#REF!=100,0,IF(AND(F392&lt;3,V392=1,AM392=0),0,IF(AND(F392&gt;1,AF392&lt;1,AN392&lt;1),0,IF(AND(F392&gt;1,AE392&lt;0.69,AF392&lt;1,AN392&lt;1),0,IF(ISERROR(AB392-AC392),"",AB392-AC392)))))))))))))</f>
        <v>0</v>
      </c>
      <c r="AK392" s="1835"/>
      <c r="AL392" s="1835"/>
      <c r="AM392" s="1216">
        <f>IF(Q392=0,0,IF(T392=0,0,IF(T392&gt;K392,0,IF(AND(AS392&gt;0.01,BK392=0),0,IF(AND('Proposed Lighting'!#REF!=0,'Lighting Controls'!Z392=0.35),0,IF(AND(T392&lt;=K392,AA392&gt;=AD392,'Proposed Lighting'!#REF!=2),VLOOKUP(Q392,$AY$9:$AZ$15,2,FALSE),IF(AND(T392&lt;=K392,AA392&gt;=AD392,'Proposed Lighting'!#REF!=3),VLOOKUP(Q392,$AY$17:$AZ$23,2,FALSE))))))))</f>
        <v>0</v>
      </c>
      <c r="AN392" s="1248">
        <f>IF(T392=0,0,IF(K392&gt;'Proposed Lighting'!#REF!,0,IF(AE392=0,0,IF(AND(AD392&gt;AA392,AA392&gt;0),0,IF(U392=0,0,Summary!#REF!)))))</f>
        <v>0</v>
      </c>
      <c r="AO392" s="1248">
        <f t="shared" si="76"/>
        <v>0</v>
      </c>
      <c r="AP392" s="1249" t="e">
        <f>IF('Proposed Lighting'!#REF!=1,0,IF(K392=0,0,IF(T392&gt;K392,0,IF(G392=0,0,IF(K392&gt;'Proposed Lighting'!#REF!,0,IF(AND(AD392&gt;AA392,AA392&gt;0),0,IF(AND('Proposed Lighting'!#REF!=3,AM392=0.5),0,IF(AND(AM392&gt;0,AS392&gt;0,BI392&lt;2),0,IF('Proposed Lighting'!#REF!=100,0,IF(AV392=1,0,IF(AND(AM392=35,M392+N392&lt;2),0,AM392)))))))))))</f>
        <v>#REF!</v>
      </c>
      <c r="AQ392" s="1249" t="str">
        <f>IFERROR(ROUND(IF(Q392="","",IF('Proposed Lighting'!$X$4=0,0,IF(AND(AM392=35,M392+N392&lt;2),0,IF(T392&gt;K392,0,IF('Proposed Lighting'!#REF!=1,0,IF(AJ392=0,0,IF(AND('Proposed Lighting'!#REF!=3,AM392=0.5),0,IF(AND(AD392=75,AP392=0,AV392=0),0,IF(AP392&gt;0.01,AP392*T392,IF(AND(F392&gt;1,W392&lt;0.01),0,IF(AND(F392&gt;1,AO392=0),0,IF(AND('Proposed Lighting'!#REF!=22,AV392=0),0,IF(AND(AM392&gt;0,AS392&gt;0,BI392&lt;2),0,IF(AND(AS392&gt;0.01,BK392=0),0,IF(AND(AO392=TRUE,AV392=1,F392=3),MIN(AJ392*0.08,L392),IF(AP392&gt;0.01,AP392*T392,IF(AND(AO392=TRUE,AV392=1,F392=2),MIN(AJ392*0.1,L392)))))))))))))))))),2),"")</f>
        <v/>
      </c>
      <c r="AR392" s="1250">
        <f>IF(Q392=0,0,IF('Proposed Lighting'!$X$4=0,0,IF(AND(AM392&gt;0.01,AQ392&gt;0.01),0,IF('Proposed Lighting'!#REF!=1,"Missing Interior or Exterior Selection",IF('Proposed Lighting'!#REF!=1,"Selection does not match",IF(K392&gt;'Proposed Lighting'!#REF!,"Quantity controlled does not match proposed lighting quantity",IF(T392&gt;K392,"Quantity of sensors exceeds proposed lighting quantity",IF(AND(F392&gt;1,'Proposed Lighting'!#REF!&lt;&gt;F392),"Selection does not match",IF(AND(AD392&gt;AA392,AA392&gt;0),"Does not meet minimum connected load",IF(AND(O392&gt;0,AS392&gt;0,BK392&gt;0,'Proposed Lighting'!#REF!=0),"Select Control Strategies",IF(AND(AC392&gt;0.1,AJ392=0,AQ392=0),"Does not meet incentive criteria",0)))))))))))</f>
        <v>0</v>
      </c>
      <c r="AS392" s="1224" t="e">
        <f>IF('Proposed Lighting'!#REF!=100,0,IF(ISNUMBER(SEARCH("multiple",Q392)),1,0))</f>
        <v>#REF!</v>
      </c>
      <c r="AT392" s="451">
        <f t="shared" si="73"/>
        <v>0</v>
      </c>
      <c r="AU392" s="451" t="e">
        <f t="shared" si="74"/>
        <v>#REF!</v>
      </c>
      <c r="AV392" s="1222">
        <f>IF(ISNUMBER(SEARCH("Networked",'Proposed Lighting'!#REF!)),0,IF(ISNUMBER(SEARCH("Strategies",'Proposed Lighting'!#REF!)),0,IF(ISNUMBER(SEARCH("Removal",'Proposed Lighting'!#REF!)),0,IF(ISNUMBER(SEARCH("non-standard",Q392)),1,0))))</f>
        <v>0</v>
      </c>
      <c r="AW392" s="451">
        <f t="shared" si="77"/>
        <v>0</v>
      </c>
      <c r="AX392" s="451"/>
      <c r="AY392" s="451"/>
      <c r="AZ392" s="451"/>
      <c r="BA392" s="451"/>
      <c r="BB392" s="451"/>
      <c r="BC392" s="1215"/>
      <c r="BD392" s="1215"/>
      <c r="BE392" s="1215"/>
      <c r="BF392" s="1215"/>
      <c r="BG392" s="1215"/>
      <c r="BH392" s="1215"/>
      <c r="BI392" t="e">
        <f>IF(AND(AS392=1,BC392="No",BD392="Yes",BE392="Yes",BF392="No",BH392="No"),0,IF(AND('Proposed Lighting'!#REF!=2,AS392=1,BC392="Yes",BD392="Yes"),2,IF(AND('Proposed Lighting'!#REF!=2,AS392=1,BC392="Yes",BE392="Yes"),2,IF(AND('Proposed Lighting'!#REF!=2,AS392=1,BC392="Yes",BF392="Yes"),2,IF(AND('Proposed Lighting'!#REF!=2,AS392=1,BC392="Yes",BH392="Yes"),2,IF(AND('Proposed Lighting'!#REF!=2,AS392=1,BD392="Yes",BF392="Yes"),2,IF(AND('Proposed Lighting'!#REF!=2,AS392=1,BD392="Yes",BH392="Yes"),2,IF(AND('Proposed Lighting'!#REF!=3,AS392=1,BC392="Yes",BE392="Yes"),2,IF(AND('Proposed Lighting'!#REF!=3,AS392=1,BC392="Yes",BF392="Yes"),2,0)))))))))</f>
        <v>#REF!</v>
      </c>
      <c r="BJ392" s="1025" t="e">
        <f t="shared" si="75"/>
        <v>#REF!</v>
      </c>
      <c r="BK392" t="e">
        <f>IF(AND('Proposed Lighting'!#REF!=22,'Lighting Controls'!N392=1),0,IF(ISNUMBER(SEARCH("LED",G392)),1,0))</f>
        <v>#REF!</v>
      </c>
    </row>
    <row r="393" spans="1:63" ht="34.5" customHeight="1">
      <c r="A393" s="917">
        <v>385</v>
      </c>
      <c r="B393" s="1828" t="e">
        <f>IF('Proposed Lighting'!#REF!="","",'Proposed Lighting'!#REF!)</f>
        <v>#REF!</v>
      </c>
      <c r="C393" s="1828"/>
      <c r="D393" s="1828"/>
      <c r="E393" s="1245" t="e">
        <f>'Proposed Lighting'!#REF!</f>
        <v>#REF!</v>
      </c>
      <c r="F393" s="1245">
        <f t="shared" si="68"/>
        <v>0</v>
      </c>
      <c r="G393" s="1830" t="e">
        <f>IF('Proposed Lighting'!#REF!="","",IF(ISNUMBER(SEARCH("Networked",'Proposed Lighting'!#REF!)),0,IF(ISNUMBER(SEARCH("Strategies",'Proposed Lighting'!#REF!)),0,IF(ISNUMBER(SEARCH("Removal",'Proposed Lighting'!#REF!)),0,'Proposed Lighting'!#REF!))))</f>
        <v>#REF!</v>
      </c>
      <c r="H393" s="1830"/>
      <c r="I393" s="1830"/>
      <c r="J393" s="1830"/>
      <c r="K393" s="1215"/>
      <c r="L393" s="1246" t="e">
        <f t="shared" si="69"/>
        <v>#REF!</v>
      </c>
      <c r="M393" s="1224">
        <f t="shared" si="70"/>
        <v>0</v>
      </c>
      <c r="N393" s="1224">
        <f t="shared" si="71"/>
        <v>0</v>
      </c>
      <c r="O393" s="1825" t="e">
        <f>IF(G393=0,0,IF(ISNA('Proposed Lighting'!#REF!),0,'Proposed Lighting'!#REF!))</f>
        <v>#REF!</v>
      </c>
      <c r="P393" s="1825"/>
      <c r="Q393" s="1247"/>
      <c r="R393" s="1247"/>
      <c r="S393" s="1247"/>
      <c r="T393" s="1211"/>
      <c r="U393" s="1235">
        <f>IF(K393&gt;0.01,'Proposed Lighting'!#REF!,0)</f>
        <v>0</v>
      </c>
      <c r="V393" s="1248" t="e">
        <f>IF('Proposed Lighting'!#REF!=1,0,IF('Proposed Lighting'!#REF!=2,0,IF(AND('Proposed Lighting'!#REF!=3,'Proposed Lighting'!#REF!=0),1,0)))</f>
        <v>#REF!</v>
      </c>
      <c r="W393" s="1836"/>
      <c r="X393" s="1836"/>
      <c r="Y393" s="1836"/>
      <c r="Z393" s="1230" t="str">
        <f t="shared" ref="Z393:Z408" si="78">IF(Q393="","",VLOOKUP(Q393,$AW$9:$AX$15,2,FALSE))</f>
        <v/>
      </c>
      <c r="AA393" s="1230">
        <f t="shared" ref="AA393:AA408" si="79">IF(T393=0,0,IF(Q393=0,0,IF(G393=0,0,SUM(K393*O393)/T393)))</f>
        <v>0</v>
      </c>
      <c r="AB393" s="1230">
        <f>IF(Q393=0,0,IF(T393=0,0,IF(AA393=0,0,IF(AND(F393=3,V393=0),0,IF(T393=0,0,IF(K393&gt;'Proposed Lighting'!#REF!,0,IF('Proposed Lighting'!#REF!&gt;0.01,(K393*O393)*'Proposed Lighting'!#REF!/1000,(K393*O393)*U393/1000)))))))</f>
        <v>0</v>
      </c>
      <c r="AC393" s="1230" t="str">
        <f t="shared" si="72"/>
        <v/>
      </c>
      <c r="AD393" s="1230">
        <f t="shared" ref="AD393:AD408" si="80">IF(K393=0,0,IF(T393=0,0,IF(V393=1,75,IF(V393=0,VLOOKUP(Q393,$BA$9:$BB$15,2,FALSE)))))</f>
        <v>0</v>
      </c>
      <c r="AE393" s="1230">
        <f>IF(T393=0,0,IF(K393&gt;'Proposed Lighting'!#REF!,0,IF(T393&gt;K393,0,IF(AND(AD393&gt;AA393,AA393&gt;0),0,IF(AND(F393&gt;1,W393&lt;0.01),0,IF('Proposed Lighting'!#REF!&gt;'Lighting Controls'!F393,0,IF('Proposed Lighting'!#REF!&lt;'Lighting Controls'!F393,0,IF(U393=0,0,Summary!#REF!))))))))</f>
        <v>0</v>
      </c>
      <c r="AF393" s="1230">
        <f>IF(T393=0,0,IF(AE393=0,0,IF(K393&gt;'Proposed Lighting'!#REF!,0,IF(AND(AD393&gt;AA393,AA393&gt;0),0,IF(U393=0,0,Summary!#REF!)))))</f>
        <v>0</v>
      </c>
      <c r="AG393" s="1834" t="e">
        <f>IF('Proposed Lighting'!#REF!=1,0,IF('Proposed Lighting'!#REF!=1,0,T393*W393))</f>
        <v>#REF!</v>
      </c>
      <c r="AH393" s="1834"/>
      <c r="AI393" s="1834"/>
      <c r="AJ393" s="1835">
        <f>IF(T393&lt;1,0,IF(K393&gt;'Proposed Lighting'!#REF!,0,IF('Proposed Lighting'!#REF!=1,0,IF('Proposed Lighting'!#REF!=1,0,IF(T393&gt;K393,0,IF(AND(AD393&gt;AA393,AA393&gt;0),0,IF(AND(F393=2,'Proposed Lighting'!#REF!=3),0,IF(AND(F393=3,'Proposed Lighting'!#REF!=2),0,IF('Proposed Lighting'!#REF!=100,0,IF(AND(F393&lt;3,V393=1,AM393=0),0,IF(AND(F393&gt;1,AF393&lt;1,AN393&lt;1),0,IF(AND(F393&gt;1,AE393&lt;0.69,AF393&lt;1,AN393&lt;1),0,IF(ISERROR(AB393-AC393),"",AB393-AC393)))))))))))))</f>
        <v>0</v>
      </c>
      <c r="AK393" s="1835"/>
      <c r="AL393" s="1835"/>
      <c r="AM393" s="1216">
        <f>IF(Q393=0,0,IF(T393=0,0,IF(T393&gt;K393,0,IF(AND(AS393&gt;0.01,BK393=0),0,IF(AND('Proposed Lighting'!#REF!=0,'Lighting Controls'!Z393=0.35),0,IF(AND(T393&lt;=K393,AA393&gt;=AD393,'Proposed Lighting'!#REF!=2),VLOOKUP(Q393,$AY$9:$AZ$15,2,FALSE),IF(AND(T393&lt;=K393,AA393&gt;=AD393,'Proposed Lighting'!#REF!=3),VLOOKUP(Q393,$AY$17:$AZ$23,2,FALSE))))))))</f>
        <v>0</v>
      </c>
      <c r="AN393" s="1248">
        <f>IF(T393=0,0,IF(K393&gt;'Proposed Lighting'!#REF!,0,IF(AE393=0,0,IF(AND(AD393&gt;AA393,AA393&gt;0),0,IF(U393=0,0,Summary!#REF!)))))</f>
        <v>0</v>
      </c>
      <c r="AO393" s="1248">
        <f t="shared" si="76"/>
        <v>0</v>
      </c>
      <c r="AP393" s="1249" t="e">
        <f>IF('Proposed Lighting'!#REF!=1,0,IF(K393=0,0,IF(T393&gt;K393,0,IF(G393=0,0,IF(K393&gt;'Proposed Lighting'!#REF!,0,IF(AND(AD393&gt;AA393,AA393&gt;0),0,IF(AND('Proposed Lighting'!#REF!=3,AM393=0.5),0,IF(AND(AM393&gt;0,AS393&gt;0,BI393&lt;2),0,IF('Proposed Lighting'!#REF!=100,0,IF(AV393=1,0,IF(AND(AM393=35,M393+N393&lt;2),0,AM393)))))))))))</f>
        <v>#REF!</v>
      </c>
      <c r="AQ393" s="1249" t="str">
        <f>IFERROR(ROUND(IF(Q393="","",IF('Proposed Lighting'!$X$4=0,0,IF(AND(AM393=35,M393+N393&lt;2),0,IF(T393&gt;K393,0,IF('Proposed Lighting'!#REF!=1,0,IF(AJ393=0,0,IF(AND('Proposed Lighting'!#REF!=3,AM393=0.5),0,IF(AND(AD393=75,AP393=0,AV393=0),0,IF(AP393&gt;0.01,AP393*T393,IF(AND(F393&gt;1,W393&lt;0.01),0,IF(AND(F393&gt;1,AO393=0),0,IF(AND('Proposed Lighting'!#REF!=22,AV393=0),0,IF(AND(AM393&gt;0,AS393&gt;0,BI393&lt;2),0,IF(AND(AS393&gt;0.01,BK393=0),0,IF(AND(AO393=TRUE,AV393=1,F393=3),MIN(AJ393*0.08,L393),IF(AP393&gt;0.01,AP393*T393,IF(AND(AO393=TRUE,AV393=1,F393=2),MIN(AJ393*0.1,L393)))))))))))))))))),2),"")</f>
        <v/>
      </c>
      <c r="AR393" s="1250">
        <f>IF(Q393=0,0,IF('Proposed Lighting'!$X$4=0,0,IF(AND(AM393&gt;0.01,AQ393&gt;0.01),0,IF('Proposed Lighting'!#REF!=1,"Missing Interior or Exterior Selection",IF('Proposed Lighting'!#REF!=1,"Selection does not match",IF(K393&gt;'Proposed Lighting'!#REF!,"Quantity controlled does not match proposed lighting quantity",IF(T393&gt;K393,"Quantity of sensors exceeds proposed lighting quantity",IF(AND(F393&gt;1,'Proposed Lighting'!#REF!&lt;&gt;F393),"Selection does not match",IF(AND(AD393&gt;AA393,AA393&gt;0),"Does not meet minimum connected load",IF(AND(O393&gt;0,AS393&gt;0,BK393&gt;0,'Proposed Lighting'!#REF!=0),"Select Control Strategies",IF(AND(AC393&gt;0.1,AJ393=0,AQ393=0),"Does not meet incentive criteria",0)))))))))))</f>
        <v>0</v>
      </c>
      <c r="AS393" s="1224" t="e">
        <f>IF('Proposed Lighting'!#REF!=100,0,IF(ISNUMBER(SEARCH("multiple",Q393)),1,0))</f>
        <v>#REF!</v>
      </c>
      <c r="AT393" s="451">
        <f t="shared" si="73"/>
        <v>0</v>
      </c>
      <c r="AU393" s="451" t="e">
        <f t="shared" si="74"/>
        <v>#REF!</v>
      </c>
      <c r="AV393" s="1222">
        <f>IF(ISNUMBER(SEARCH("Networked",'Proposed Lighting'!#REF!)),0,IF(ISNUMBER(SEARCH("Strategies",'Proposed Lighting'!#REF!)),0,IF(ISNUMBER(SEARCH("Removal",'Proposed Lighting'!#REF!)),0,IF(ISNUMBER(SEARCH("non-standard",Q393)),1,0))))</f>
        <v>0</v>
      </c>
      <c r="AW393" s="451">
        <f t="shared" si="77"/>
        <v>0</v>
      </c>
      <c r="AX393" s="451"/>
      <c r="AY393" s="451"/>
      <c r="AZ393" s="451"/>
      <c r="BA393" s="451"/>
      <c r="BB393" s="451"/>
      <c r="BC393" s="1215"/>
      <c r="BD393" s="1215"/>
      <c r="BE393" s="1215"/>
      <c r="BF393" s="1215"/>
      <c r="BG393" s="1215"/>
      <c r="BH393" s="1215"/>
      <c r="BI393" t="e">
        <f>IF(AND(AS393=1,BC393="No",BD393="Yes",BE393="Yes",BF393="No",BH393="No"),0,IF(AND('Proposed Lighting'!#REF!=2,AS393=1,BC393="Yes",BD393="Yes"),2,IF(AND('Proposed Lighting'!#REF!=2,AS393=1,BC393="Yes",BE393="Yes"),2,IF(AND('Proposed Lighting'!#REF!=2,AS393=1,BC393="Yes",BF393="Yes"),2,IF(AND('Proposed Lighting'!#REF!=2,AS393=1,BC393="Yes",BH393="Yes"),2,IF(AND('Proposed Lighting'!#REF!=2,AS393=1,BD393="Yes",BF393="Yes"),2,IF(AND('Proposed Lighting'!#REF!=2,AS393=1,BD393="Yes",BH393="Yes"),2,IF(AND('Proposed Lighting'!#REF!=3,AS393=1,BC393="Yes",BE393="Yes"),2,IF(AND('Proposed Lighting'!#REF!=3,AS393=1,BC393="Yes",BF393="Yes"),2,0)))))))))</f>
        <v>#REF!</v>
      </c>
      <c r="BJ393" s="1025" t="e">
        <f t="shared" si="75"/>
        <v>#REF!</v>
      </c>
      <c r="BK393" t="e">
        <f>IF(AND('Proposed Lighting'!#REF!=22,'Lighting Controls'!N393=1),0,IF(ISNUMBER(SEARCH("LED",G393)),1,0))</f>
        <v>#REF!</v>
      </c>
    </row>
    <row r="394" spans="1:63" ht="34.5" customHeight="1">
      <c r="A394" s="917">
        <v>386</v>
      </c>
      <c r="B394" s="1828" t="e">
        <f>IF('Proposed Lighting'!#REF!="","",'Proposed Lighting'!#REF!)</f>
        <v>#REF!</v>
      </c>
      <c r="C394" s="1828"/>
      <c r="D394" s="1828"/>
      <c r="E394" s="1245" t="e">
        <f>'Proposed Lighting'!#REF!</f>
        <v>#REF!</v>
      </c>
      <c r="F394" s="1245">
        <f t="shared" ref="F394:F408" si="81">IF(ISNUMBER(SEARCH("photocell",Q394)),1,IF(ISNUMBER(SEARCH("EXTERIOR",Q394)),3,IF(ISNUMBER(SEARCH("INTERIOR",Q394)),2,0)))</f>
        <v>0</v>
      </c>
      <c r="G394" s="1830" t="e">
        <f>IF('Proposed Lighting'!#REF!="","",IF(ISNUMBER(SEARCH("Networked",'Proposed Lighting'!#REF!)),0,IF(ISNUMBER(SEARCH("Strategies",'Proposed Lighting'!#REF!)),0,IF(ISNUMBER(SEARCH("Removal",'Proposed Lighting'!#REF!)),0,'Proposed Lighting'!#REF!))))</f>
        <v>#REF!</v>
      </c>
      <c r="H394" s="1830"/>
      <c r="I394" s="1830"/>
      <c r="J394" s="1830"/>
      <c r="K394" s="1215"/>
      <c r="L394" s="1246" t="e">
        <f t="shared" ref="L394:L408" si="82">AG394*0.7</f>
        <v>#REF!</v>
      </c>
      <c r="M394" s="1224">
        <f t="shared" ref="M394:M408" si="83">IF(ISNUMBER(SEARCH("LED",G394)),1,0)</f>
        <v>0</v>
      </c>
      <c r="N394" s="1224">
        <f t="shared" ref="N394:N408" si="84">IF(ISNUMBER(SEARCH("LED",Q394)),1,0)</f>
        <v>0</v>
      </c>
      <c r="O394" s="1825" t="e">
        <f>IF(G394=0,0,IF(ISNA('Proposed Lighting'!#REF!),0,'Proposed Lighting'!#REF!))</f>
        <v>#REF!</v>
      </c>
      <c r="P394" s="1825"/>
      <c r="Q394" s="1247"/>
      <c r="R394" s="1247"/>
      <c r="S394" s="1247"/>
      <c r="T394" s="1211"/>
      <c r="U394" s="1235">
        <f>IF(K394&gt;0.01,'Proposed Lighting'!#REF!,0)</f>
        <v>0</v>
      </c>
      <c r="V394" s="1248" t="e">
        <f>IF('Proposed Lighting'!#REF!=1,0,IF('Proposed Lighting'!#REF!=2,0,IF(AND('Proposed Lighting'!#REF!=3,'Proposed Lighting'!#REF!=0),1,0)))</f>
        <v>#REF!</v>
      </c>
      <c r="W394" s="1836"/>
      <c r="X394" s="1836"/>
      <c r="Y394" s="1836"/>
      <c r="Z394" s="1230" t="str">
        <f t="shared" si="78"/>
        <v/>
      </c>
      <c r="AA394" s="1230">
        <f t="shared" si="79"/>
        <v>0</v>
      </c>
      <c r="AB394" s="1230">
        <f>IF(Q394=0,0,IF(T394=0,0,IF(AA394=0,0,IF(AND(F394=3,V394=0),0,IF(T394=0,0,IF(K394&gt;'Proposed Lighting'!#REF!,0,IF('Proposed Lighting'!#REF!&gt;0.01,(K394*O394)*'Proposed Lighting'!#REF!/1000,(K394*O394)*U394/1000)))))))</f>
        <v>0</v>
      </c>
      <c r="AC394" s="1230" t="str">
        <f t="shared" ref="AC394:AC408" si="85">IF(Q394="","",K394*O394*(U394*(1-Z394)/1000))</f>
        <v/>
      </c>
      <c r="AD394" s="1230">
        <f t="shared" si="80"/>
        <v>0</v>
      </c>
      <c r="AE394" s="1230">
        <f>IF(T394=0,0,IF(K394&gt;'Proposed Lighting'!#REF!,0,IF(T394&gt;K394,0,IF(AND(AD394&gt;AA394,AA394&gt;0),0,IF(AND(F394&gt;1,W394&lt;0.01),0,IF('Proposed Lighting'!#REF!&gt;'Lighting Controls'!F394,0,IF('Proposed Lighting'!#REF!&lt;'Lighting Controls'!F394,0,IF(U394=0,0,Summary!#REF!))))))))</f>
        <v>0</v>
      </c>
      <c r="AF394" s="1230">
        <f>IF(T394=0,0,IF(AE394=0,0,IF(K394&gt;'Proposed Lighting'!#REF!,0,IF(AND(AD394&gt;AA394,AA394&gt;0),0,IF(U394=0,0,Summary!#REF!)))))</f>
        <v>0</v>
      </c>
      <c r="AG394" s="1834" t="e">
        <f>IF('Proposed Lighting'!#REF!=1,0,IF('Proposed Lighting'!#REF!=1,0,T394*W394))</f>
        <v>#REF!</v>
      </c>
      <c r="AH394" s="1834"/>
      <c r="AI394" s="1834"/>
      <c r="AJ394" s="1835">
        <f>IF(T394&lt;1,0,IF(K394&gt;'Proposed Lighting'!#REF!,0,IF('Proposed Lighting'!#REF!=1,0,IF('Proposed Lighting'!#REF!=1,0,IF(T394&gt;K394,0,IF(AND(AD394&gt;AA394,AA394&gt;0),0,IF(AND(F394=2,'Proposed Lighting'!#REF!=3),0,IF(AND(F394=3,'Proposed Lighting'!#REF!=2),0,IF('Proposed Lighting'!#REF!=100,0,IF(AND(F394&lt;3,V394=1,AM394=0),0,IF(AND(F394&gt;1,AF394&lt;1,AN394&lt;1),0,IF(AND(F394&gt;1,AE394&lt;0.69,AF394&lt;1,AN394&lt;1),0,IF(ISERROR(AB394-AC394),"",AB394-AC394)))))))))))))</f>
        <v>0</v>
      </c>
      <c r="AK394" s="1835"/>
      <c r="AL394" s="1835"/>
      <c r="AM394" s="1216">
        <f>IF(Q394=0,0,IF(T394=0,0,IF(T394&gt;K394,0,IF(AND(AS394&gt;0.01,BK394=0),0,IF(AND('Proposed Lighting'!#REF!=0,'Lighting Controls'!Z394=0.35),0,IF(AND(T394&lt;=K394,AA394&gt;=AD394,'Proposed Lighting'!#REF!=2),VLOOKUP(Q394,$AY$9:$AZ$15,2,FALSE),IF(AND(T394&lt;=K394,AA394&gt;=AD394,'Proposed Lighting'!#REF!=3),VLOOKUP(Q394,$AY$17:$AZ$23,2,FALSE))))))))</f>
        <v>0</v>
      </c>
      <c r="AN394" s="1248">
        <f>IF(T394=0,0,IF(K394&gt;'Proposed Lighting'!#REF!,0,IF(AE394=0,0,IF(AND(AD394&gt;AA394,AA394&gt;0),0,IF(U394=0,0,Summary!#REF!)))))</f>
        <v>0</v>
      </c>
      <c r="AO394" s="1248">
        <f t="shared" si="76"/>
        <v>0</v>
      </c>
      <c r="AP394" s="1249" t="e">
        <f>IF('Proposed Lighting'!#REF!=1,0,IF(K394=0,0,IF(T394&gt;K394,0,IF(G394=0,0,IF(K394&gt;'Proposed Lighting'!#REF!,0,IF(AND(AD394&gt;AA394,AA394&gt;0),0,IF(AND('Proposed Lighting'!#REF!=3,AM394=0.5),0,IF(AND(AM394&gt;0,AS394&gt;0,BI394&lt;2),0,IF('Proposed Lighting'!#REF!=100,0,IF(AV394=1,0,IF(AND(AM394=35,M394+N394&lt;2),0,AM394)))))))))))</f>
        <v>#REF!</v>
      </c>
      <c r="AQ394" s="1249" t="str">
        <f>IFERROR(ROUND(IF(Q394="","",IF('Proposed Lighting'!$X$4=0,0,IF(AND(AM394=35,M394+N394&lt;2),0,IF(T394&gt;K394,0,IF('Proposed Lighting'!#REF!=1,0,IF(AJ394=0,0,IF(AND('Proposed Lighting'!#REF!=3,AM394=0.5),0,IF(AND(AD394=75,AP394=0,AV394=0),0,IF(AP394&gt;0.01,AP394*T394,IF(AND(F394&gt;1,W394&lt;0.01),0,IF(AND(F394&gt;1,AO394=0),0,IF(AND('Proposed Lighting'!#REF!=22,AV394=0),0,IF(AND(AM394&gt;0,AS394&gt;0,BI394&lt;2),0,IF(AND(AS394&gt;0.01,BK394=0),0,IF(AND(AO394=TRUE,AV394=1,F394=3),MIN(AJ394*0.08,L394),IF(AP394&gt;0.01,AP394*T394,IF(AND(AO394=TRUE,AV394=1,F394=2),MIN(AJ394*0.1,L394)))))))))))))))))),2),"")</f>
        <v/>
      </c>
      <c r="AR394" s="1250">
        <f>IF(Q394=0,0,IF('Proposed Lighting'!$X$4=0,0,IF(AND(AM394&gt;0.01,AQ394&gt;0.01),0,IF('Proposed Lighting'!#REF!=1,"Missing Interior or Exterior Selection",IF('Proposed Lighting'!#REF!=1,"Selection does not match",IF(K394&gt;'Proposed Lighting'!#REF!,"Quantity controlled does not match proposed lighting quantity",IF(T394&gt;K394,"Quantity of sensors exceeds proposed lighting quantity",IF(AND(F394&gt;1,'Proposed Lighting'!#REF!&lt;&gt;F394),"Selection does not match",IF(AND(AD394&gt;AA394,AA394&gt;0),"Does not meet minimum connected load",IF(AND(O394&gt;0,AS394&gt;0,BK394&gt;0,'Proposed Lighting'!#REF!=0),"Select Control Strategies",IF(AND(AC394&gt;0.1,AJ394=0,AQ394=0),"Does not meet incentive criteria",0)))))))))))</f>
        <v>0</v>
      </c>
      <c r="AS394" s="1224" t="e">
        <f>IF('Proposed Lighting'!#REF!=100,0,IF(ISNUMBER(SEARCH("multiple",Q394)),1,0))</f>
        <v>#REF!</v>
      </c>
      <c r="AT394" s="451">
        <f t="shared" ref="AT394:AT408" si="86">IF(AQ394&gt;0.01,T394,0)</f>
        <v>0</v>
      </c>
      <c r="AU394" s="451" t="e">
        <f t="shared" ref="AU394:AU408" si="87">IF(AP394&gt;0.01,T394,0)</f>
        <v>#REF!</v>
      </c>
      <c r="AV394" s="1222">
        <f>IF(ISNUMBER(SEARCH("Networked",'Proposed Lighting'!#REF!)),0,IF(ISNUMBER(SEARCH("Strategies",'Proposed Lighting'!#REF!)),0,IF(ISNUMBER(SEARCH("Removal",'Proposed Lighting'!#REF!)),0,IF(ISNUMBER(SEARCH("non-standard",Q394)),1,0))))</f>
        <v>0</v>
      </c>
      <c r="AW394" s="451">
        <f t="shared" si="77"/>
        <v>0</v>
      </c>
      <c r="AX394" s="451"/>
      <c r="AY394" s="451"/>
      <c r="AZ394" s="451"/>
      <c r="BA394" s="451"/>
      <c r="BB394" s="451"/>
      <c r="BC394" s="1215"/>
      <c r="BD394" s="1215"/>
      <c r="BE394" s="1215"/>
      <c r="BF394" s="1215"/>
      <c r="BG394" s="1215"/>
      <c r="BH394" s="1215"/>
      <c r="BI394" t="e">
        <f>IF(AND(AS394=1,BC394="No",BD394="Yes",BE394="Yes",BF394="No",BH394="No"),0,IF(AND('Proposed Lighting'!#REF!=2,AS394=1,BC394="Yes",BD394="Yes"),2,IF(AND('Proposed Lighting'!#REF!=2,AS394=1,BC394="Yes",BE394="Yes"),2,IF(AND('Proposed Lighting'!#REF!=2,AS394=1,BC394="Yes",BF394="Yes"),2,IF(AND('Proposed Lighting'!#REF!=2,AS394=1,BC394="Yes",BH394="Yes"),2,IF(AND('Proposed Lighting'!#REF!=2,AS394=1,BD394="Yes",BF394="Yes"),2,IF(AND('Proposed Lighting'!#REF!=2,AS394=1,BD394="Yes",BH394="Yes"),2,IF(AND('Proposed Lighting'!#REF!=3,AS394=1,BC394="Yes",BE394="Yes"),2,IF(AND('Proposed Lighting'!#REF!=3,AS394=1,BC394="Yes",BF394="Yes"),2,0)))))))))</f>
        <v>#REF!</v>
      </c>
      <c r="BJ394" s="1025" t="e">
        <f t="shared" ref="BJ394:BJ408" si="88">IF(AND(AS394=1,BK394=0),0,IF(AND(AS394&gt;0,BI394&lt;2),"Does not meet minimum controls",0))</f>
        <v>#REF!</v>
      </c>
      <c r="BK394" t="e">
        <f>IF(AND('Proposed Lighting'!#REF!=22,'Lighting Controls'!N394=1),0,IF(ISNUMBER(SEARCH("LED",G394)),1,0))</f>
        <v>#REF!</v>
      </c>
    </row>
    <row r="395" spans="1:63" ht="34.5" customHeight="1">
      <c r="A395" s="917">
        <v>387</v>
      </c>
      <c r="B395" s="1828" t="e">
        <f>IF('Proposed Lighting'!#REF!="","",'Proposed Lighting'!#REF!)</f>
        <v>#REF!</v>
      </c>
      <c r="C395" s="1828"/>
      <c r="D395" s="1828"/>
      <c r="E395" s="1245" t="e">
        <f>'Proposed Lighting'!#REF!</f>
        <v>#REF!</v>
      </c>
      <c r="F395" s="1245">
        <f t="shared" si="81"/>
        <v>0</v>
      </c>
      <c r="G395" s="1830" t="e">
        <f>IF('Proposed Lighting'!#REF!="","",IF(ISNUMBER(SEARCH("Networked",'Proposed Lighting'!#REF!)),0,IF(ISNUMBER(SEARCH("Strategies",'Proposed Lighting'!#REF!)),0,IF(ISNUMBER(SEARCH("Removal",'Proposed Lighting'!#REF!)),0,'Proposed Lighting'!#REF!))))</f>
        <v>#REF!</v>
      </c>
      <c r="H395" s="1830"/>
      <c r="I395" s="1830"/>
      <c r="J395" s="1830"/>
      <c r="K395" s="1215"/>
      <c r="L395" s="1246" t="e">
        <f t="shared" si="82"/>
        <v>#REF!</v>
      </c>
      <c r="M395" s="1224">
        <f t="shared" si="83"/>
        <v>0</v>
      </c>
      <c r="N395" s="1224">
        <f t="shared" si="84"/>
        <v>0</v>
      </c>
      <c r="O395" s="1825" t="e">
        <f>IF(G395=0,0,IF(ISNA('Proposed Lighting'!#REF!),0,'Proposed Lighting'!#REF!))</f>
        <v>#REF!</v>
      </c>
      <c r="P395" s="1825"/>
      <c r="Q395" s="1247"/>
      <c r="R395" s="1247"/>
      <c r="S395" s="1247"/>
      <c r="T395" s="1211"/>
      <c r="U395" s="1235">
        <f>IF(K395&gt;0.01,'Proposed Lighting'!#REF!,0)</f>
        <v>0</v>
      </c>
      <c r="V395" s="1248" t="e">
        <f>IF('Proposed Lighting'!#REF!=1,0,IF('Proposed Lighting'!#REF!=2,0,IF(AND('Proposed Lighting'!#REF!=3,'Proposed Lighting'!#REF!=0),1,0)))</f>
        <v>#REF!</v>
      </c>
      <c r="W395" s="1836"/>
      <c r="X395" s="1836"/>
      <c r="Y395" s="1836"/>
      <c r="Z395" s="1230" t="str">
        <f t="shared" si="78"/>
        <v/>
      </c>
      <c r="AA395" s="1230">
        <f t="shared" si="79"/>
        <v>0</v>
      </c>
      <c r="AB395" s="1230">
        <f>IF(Q395=0,0,IF(T395=0,0,IF(AA395=0,0,IF(AND(F395=3,V395=0),0,IF(T395=0,0,IF(K395&gt;'Proposed Lighting'!#REF!,0,IF('Proposed Lighting'!#REF!&gt;0.01,(K395*O395)*'Proposed Lighting'!#REF!/1000,(K395*O395)*U395/1000)))))))</f>
        <v>0</v>
      </c>
      <c r="AC395" s="1230" t="str">
        <f t="shared" si="85"/>
        <v/>
      </c>
      <c r="AD395" s="1230">
        <f t="shared" si="80"/>
        <v>0</v>
      </c>
      <c r="AE395" s="1230">
        <f>IF(T395=0,0,IF(K395&gt;'Proposed Lighting'!#REF!,0,IF(T395&gt;K395,0,IF(AND(AD395&gt;AA395,AA395&gt;0),0,IF(AND(F395&gt;1,W395&lt;0.01),0,IF('Proposed Lighting'!#REF!&gt;'Lighting Controls'!F395,0,IF('Proposed Lighting'!#REF!&lt;'Lighting Controls'!F395,0,IF(U395=0,0,Summary!#REF!))))))))</f>
        <v>0</v>
      </c>
      <c r="AF395" s="1230">
        <f>IF(T395=0,0,IF(AE395=0,0,IF(K395&gt;'Proposed Lighting'!#REF!,0,IF(AND(AD395&gt;AA395,AA395&gt;0),0,IF(U395=0,0,Summary!#REF!)))))</f>
        <v>0</v>
      </c>
      <c r="AG395" s="1834" t="e">
        <f>IF('Proposed Lighting'!#REF!=1,0,IF('Proposed Lighting'!#REF!=1,0,T395*W395))</f>
        <v>#REF!</v>
      </c>
      <c r="AH395" s="1834"/>
      <c r="AI395" s="1834"/>
      <c r="AJ395" s="1835">
        <f>IF(T395&lt;1,0,IF(K395&gt;'Proposed Lighting'!#REF!,0,IF('Proposed Lighting'!#REF!=1,0,IF('Proposed Lighting'!#REF!=1,0,IF(T395&gt;K395,0,IF(AND(AD395&gt;AA395,AA395&gt;0),0,IF(AND(F395=2,'Proposed Lighting'!#REF!=3),0,IF(AND(F395=3,'Proposed Lighting'!#REF!=2),0,IF('Proposed Lighting'!#REF!=100,0,IF(AND(F395&lt;3,V395=1,AM395=0),0,IF(AND(F395&gt;1,AF395&lt;1,AN395&lt;1),0,IF(AND(F395&gt;1,AE395&lt;0.69,AF395&lt;1,AN395&lt;1),0,IF(ISERROR(AB395-AC395),"",AB395-AC395)))))))))))))</f>
        <v>0</v>
      </c>
      <c r="AK395" s="1835"/>
      <c r="AL395" s="1835"/>
      <c r="AM395" s="1216">
        <f>IF(Q395=0,0,IF(T395=0,0,IF(T395&gt;K395,0,IF(AND(AS395&gt;0.01,BK395=0),0,IF(AND('Proposed Lighting'!#REF!=0,'Lighting Controls'!Z395=0.35),0,IF(AND(T395&lt;=K395,AA395&gt;=AD395,'Proposed Lighting'!#REF!=2),VLOOKUP(Q395,$AY$9:$AZ$15,2,FALSE),IF(AND(T395&lt;=K395,AA395&gt;=AD395,'Proposed Lighting'!#REF!=3),VLOOKUP(Q395,$AY$17:$AZ$23,2,FALSE))))))))</f>
        <v>0</v>
      </c>
      <c r="AN395" s="1248">
        <f>IF(T395=0,0,IF(K395&gt;'Proposed Lighting'!#REF!,0,IF(AE395=0,0,IF(AND(AD395&gt;AA395,AA395&gt;0),0,IF(U395=0,0,Summary!#REF!)))))</f>
        <v>0</v>
      </c>
      <c r="AO395" s="1248">
        <f t="shared" ref="AO395:AO408" si="89">IF((AND(AE395&gt;0.69,AF395&gt;=1,AN395&gt;=1)),TRUE,0)</f>
        <v>0</v>
      </c>
      <c r="AP395" s="1249" t="e">
        <f>IF('Proposed Lighting'!#REF!=1,0,IF(K395=0,0,IF(T395&gt;K395,0,IF(G395=0,0,IF(K395&gt;'Proposed Lighting'!#REF!,0,IF(AND(AD395&gt;AA395,AA395&gt;0),0,IF(AND('Proposed Lighting'!#REF!=3,AM395=0.5),0,IF(AND(AM395&gt;0,AS395&gt;0,BI395&lt;2),0,IF('Proposed Lighting'!#REF!=100,0,IF(AV395=1,0,IF(AND(AM395=35,M395+N395&lt;2),0,AM395)))))))))))</f>
        <v>#REF!</v>
      </c>
      <c r="AQ395" s="1249" t="str">
        <f>IFERROR(ROUND(IF(Q395="","",IF('Proposed Lighting'!$X$4=0,0,IF(AND(AM395=35,M395+N395&lt;2),0,IF(T395&gt;K395,0,IF('Proposed Lighting'!#REF!=1,0,IF(AJ395=0,0,IF(AND('Proposed Lighting'!#REF!=3,AM395=0.5),0,IF(AND(AD395=75,AP395=0,AV395=0),0,IF(AP395&gt;0.01,AP395*T395,IF(AND(F395&gt;1,W395&lt;0.01),0,IF(AND(F395&gt;1,AO395=0),0,IF(AND('Proposed Lighting'!#REF!=22,AV395=0),0,IF(AND(AM395&gt;0,AS395&gt;0,BI395&lt;2),0,IF(AND(AS395&gt;0.01,BK395=0),0,IF(AND(AO395=TRUE,AV395=1,F395=3),MIN(AJ395*0.08,L395),IF(AP395&gt;0.01,AP395*T395,IF(AND(AO395=TRUE,AV395=1,F395=2),MIN(AJ395*0.1,L395)))))))))))))))))),2),"")</f>
        <v/>
      </c>
      <c r="AR395" s="1250">
        <f>IF(Q395=0,0,IF('Proposed Lighting'!$X$4=0,0,IF(AND(AM395&gt;0.01,AQ395&gt;0.01),0,IF('Proposed Lighting'!#REF!=1,"Missing Interior or Exterior Selection",IF('Proposed Lighting'!#REF!=1,"Selection does not match",IF(K395&gt;'Proposed Lighting'!#REF!,"Quantity controlled does not match proposed lighting quantity",IF(T395&gt;K395,"Quantity of sensors exceeds proposed lighting quantity",IF(AND(F395&gt;1,'Proposed Lighting'!#REF!&lt;&gt;F395),"Selection does not match",IF(AND(AD395&gt;AA395,AA395&gt;0),"Does not meet minimum connected load",IF(AND(O395&gt;0,AS395&gt;0,BK395&gt;0,'Proposed Lighting'!#REF!=0),"Select Control Strategies",IF(AND(AC395&gt;0.1,AJ395=0,AQ395=0),"Does not meet incentive criteria",0)))))))))))</f>
        <v>0</v>
      </c>
      <c r="AS395" s="1224" t="e">
        <f>IF('Proposed Lighting'!#REF!=100,0,IF(ISNUMBER(SEARCH("multiple",Q395)),1,0))</f>
        <v>#REF!</v>
      </c>
      <c r="AT395" s="451">
        <f t="shared" si="86"/>
        <v>0</v>
      </c>
      <c r="AU395" s="451" t="e">
        <f t="shared" si="87"/>
        <v>#REF!</v>
      </c>
      <c r="AV395" s="1222">
        <f>IF(ISNUMBER(SEARCH("Networked",'Proposed Lighting'!#REF!)),0,IF(ISNUMBER(SEARCH("Strategies",'Proposed Lighting'!#REF!)),0,IF(ISNUMBER(SEARCH("Removal",'Proposed Lighting'!#REF!)),0,IF(ISNUMBER(SEARCH("non-standard",Q395)),1,0))))</f>
        <v>0</v>
      </c>
      <c r="AW395" s="451">
        <f t="shared" si="77"/>
        <v>0</v>
      </c>
      <c r="AX395" s="451"/>
      <c r="AY395" s="451"/>
      <c r="AZ395" s="451"/>
      <c r="BA395" s="451"/>
      <c r="BB395" s="451"/>
      <c r="BC395" s="1215"/>
      <c r="BD395" s="1215"/>
      <c r="BE395" s="1215"/>
      <c r="BF395" s="1215"/>
      <c r="BG395" s="1215"/>
      <c r="BH395" s="1215"/>
      <c r="BI395" t="e">
        <f>IF(AND(AS395=1,BC395="No",BD395="Yes",BE395="Yes",BF395="No",BH395="No"),0,IF(AND('Proposed Lighting'!#REF!=2,AS395=1,BC395="Yes",BD395="Yes"),2,IF(AND('Proposed Lighting'!#REF!=2,AS395=1,BC395="Yes",BE395="Yes"),2,IF(AND('Proposed Lighting'!#REF!=2,AS395=1,BC395="Yes",BF395="Yes"),2,IF(AND('Proposed Lighting'!#REF!=2,AS395=1,BC395="Yes",BH395="Yes"),2,IF(AND('Proposed Lighting'!#REF!=2,AS395=1,BD395="Yes",BF395="Yes"),2,IF(AND('Proposed Lighting'!#REF!=2,AS395=1,BD395="Yes",BH395="Yes"),2,IF(AND('Proposed Lighting'!#REF!=3,AS395=1,BC395="Yes",BE395="Yes"),2,IF(AND('Proposed Lighting'!#REF!=3,AS395=1,BC395="Yes",BF395="Yes"),2,0)))))))))</f>
        <v>#REF!</v>
      </c>
      <c r="BJ395" s="1025" t="e">
        <f t="shared" si="88"/>
        <v>#REF!</v>
      </c>
      <c r="BK395" t="e">
        <f>IF(AND('Proposed Lighting'!#REF!=22,'Lighting Controls'!N395=1),0,IF(ISNUMBER(SEARCH("LED",G395)),1,0))</f>
        <v>#REF!</v>
      </c>
    </row>
    <row r="396" spans="1:63" ht="34.5" customHeight="1">
      <c r="A396" s="917">
        <v>388</v>
      </c>
      <c r="B396" s="1828" t="e">
        <f>IF('Proposed Lighting'!#REF!="","",'Proposed Lighting'!#REF!)</f>
        <v>#REF!</v>
      </c>
      <c r="C396" s="1828"/>
      <c r="D396" s="1828"/>
      <c r="E396" s="1245" t="e">
        <f>'Proposed Lighting'!#REF!</f>
        <v>#REF!</v>
      </c>
      <c r="F396" s="1245">
        <f t="shared" si="81"/>
        <v>0</v>
      </c>
      <c r="G396" s="1830" t="e">
        <f>IF('Proposed Lighting'!#REF!="","",IF(ISNUMBER(SEARCH("Networked",'Proposed Lighting'!#REF!)),0,IF(ISNUMBER(SEARCH("Strategies",'Proposed Lighting'!#REF!)),0,IF(ISNUMBER(SEARCH("Removal",'Proposed Lighting'!#REF!)),0,'Proposed Lighting'!#REF!))))</f>
        <v>#REF!</v>
      </c>
      <c r="H396" s="1830"/>
      <c r="I396" s="1830"/>
      <c r="J396" s="1830"/>
      <c r="K396" s="1215"/>
      <c r="L396" s="1246" t="e">
        <f t="shared" si="82"/>
        <v>#REF!</v>
      </c>
      <c r="M396" s="1224">
        <f t="shared" si="83"/>
        <v>0</v>
      </c>
      <c r="N396" s="1224">
        <f t="shared" si="84"/>
        <v>0</v>
      </c>
      <c r="O396" s="1825" t="e">
        <f>IF(G396=0,0,IF(ISNA('Proposed Lighting'!#REF!),0,'Proposed Lighting'!#REF!))</f>
        <v>#REF!</v>
      </c>
      <c r="P396" s="1825"/>
      <c r="Q396" s="1247"/>
      <c r="R396" s="1247"/>
      <c r="S396" s="1247"/>
      <c r="T396" s="1211"/>
      <c r="U396" s="1235">
        <f>IF(K396&gt;0.01,'Proposed Lighting'!#REF!,0)</f>
        <v>0</v>
      </c>
      <c r="V396" s="1248" t="e">
        <f>IF('Proposed Lighting'!#REF!=1,0,IF('Proposed Lighting'!#REF!=2,0,IF(AND('Proposed Lighting'!#REF!=3,'Proposed Lighting'!#REF!=0),1,0)))</f>
        <v>#REF!</v>
      </c>
      <c r="W396" s="1836"/>
      <c r="X396" s="1836"/>
      <c r="Y396" s="1836"/>
      <c r="Z396" s="1230" t="str">
        <f t="shared" si="78"/>
        <v/>
      </c>
      <c r="AA396" s="1230">
        <f t="shared" si="79"/>
        <v>0</v>
      </c>
      <c r="AB396" s="1230">
        <f>IF(Q396=0,0,IF(T396=0,0,IF(AA396=0,0,IF(AND(F396=3,V396=0),0,IF(T396=0,0,IF(K396&gt;'Proposed Lighting'!#REF!,0,IF('Proposed Lighting'!#REF!&gt;0.01,(K396*O396)*'Proposed Lighting'!#REF!/1000,(K396*O396)*U396/1000)))))))</f>
        <v>0</v>
      </c>
      <c r="AC396" s="1230" t="str">
        <f t="shared" si="85"/>
        <v/>
      </c>
      <c r="AD396" s="1230">
        <f t="shared" si="80"/>
        <v>0</v>
      </c>
      <c r="AE396" s="1230">
        <f>IF(T396=0,0,IF(K396&gt;'Proposed Lighting'!#REF!,0,IF(T396&gt;K396,0,IF(AND(AD396&gt;AA396,AA396&gt;0),0,IF(AND(F396&gt;1,W396&lt;0.01),0,IF('Proposed Lighting'!#REF!&gt;'Lighting Controls'!F396,0,IF('Proposed Lighting'!#REF!&lt;'Lighting Controls'!F396,0,IF(U396=0,0,Summary!#REF!))))))))</f>
        <v>0</v>
      </c>
      <c r="AF396" s="1230">
        <f>IF(T396=0,0,IF(AE396=0,0,IF(K396&gt;'Proposed Lighting'!#REF!,0,IF(AND(AD396&gt;AA396,AA396&gt;0),0,IF(U396=0,0,Summary!#REF!)))))</f>
        <v>0</v>
      </c>
      <c r="AG396" s="1834" t="e">
        <f>IF('Proposed Lighting'!#REF!=1,0,IF('Proposed Lighting'!#REF!=1,0,T396*W396))</f>
        <v>#REF!</v>
      </c>
      <c r="AH396" s="1834"/>
      <c r="AI396" s="1834"/>
      <c r="AJ396" s="1835">
        <f>IF(T396&lt;1,0,IF(K396&gt;'Proposed Lighting'!#REF!,0,IF('Proposed Lighting'!#REF!=1,0,IF('Proposed Lighting'!#REF!=1,0,IF(T396&gt;K396,0,IF(AND(AD396&gt;AA396,AA396&gt;0),0,IF(AND(F396=2,'Proposed Lighting'!#REF!=3),0,IF(AND(F396=3,'Proposed Lighting'!#REF!=2),0,IF('Proposed Lighting'!#REF!=100,0,IF(AND(F396&lt;3,V396=1,AM396=0),0,IF(AND(F396&gt;1,AF396&lt;1,AN396&lt;1),0,IF(AND(F396&gt;1,AE396&lt;0.69,AF396&lt;1,AN396&lt;1),0,IF(ISERROR(AB396-AC396),"",AB396-AC396)))))))))))))</f>
        <v>0</v>
      </c>
      <c r="AK396" s="1835"/>
      <c r="AL396" s="1835"/>
      <c r="AM396" s="1216">
        <f>IF(Q396=0,0,IF(T396=0,0,IF(T396&gt;K396,0,IF(AND(AS396&gt;0.01,BK396=0),0,IF(AND('Proposed Lighting'!#REF!=0,'Lighting Controls'!Z396=0.35),0,IF(AND(T396&lt;=K396,AA396&gt;=AD396,'Proposed Lighting'!#REF!=2),VLOOKUP(Q396,$AY$9:$AZ$15,2,FALSE),IF(AND(T396&lt;=K396,AA396&gt;=AD396,'Proposed Lighting'!#REF!=3),VLOOKUP(Q396,$AY$17:$AZ$23,2,FALSE))))))))</f>
        <v>0</v>
      </c>
      <c r="AN396" s="1248">
        <f>IF(T396=0,0,IF(K396&gt;'Proposed Lighting'!#REF!,0,IF(AE396=0,0,IF(AND(AD396&gt;AA396,AA396&gt;0),0,IF(U396=0,0,Summary!#REF!)))))</f>
        <v>0</v>
      </c>
      <c r="AO396" s="1248">
        <f t="shared" si="89"/>
        <v>0</v>
      </c>
      <c r="AP396" s="1249" t="e">
        <f>IF('Proposed Lighting'!#REF!=1,0,IF(K396=0,0,IF(T396&gt;K396,0,IF(G396=0,0,IF(K396&gt;'Proposed Lighting'!#REF!,0,IF(AND(AD396&gt;AA396,AA396&gt;0),0,IF(AND('Proposed Lighting'!#REF!=3,AM396=0.5),0,IF(AND(AM396&gt;0,AS396&gt;0,BI396&lt;2),0,IF('Proposed Lighting'!#REF!=100,0,IF(AV396=1,0,IF(AND(AM396=35,M396+N396&lt;2),0,AM396)))))))))))</f>
        <v>#REF!</v>
      </c>
      <c r="AQ396" s="1249" t="str">
        <f>IFERROR(ROUND(IF(Q396="","",IF('Proposed Lighting'!$X$4=0,0,IF(AND(AM396=35,M396+N396&lt;2),0,IF(T396&gt;K396,0,IF('Proposed Lighting'!#REF!=1,0,IF(AJ396=0,0,IF(AND('Proposed Lighting'!#REF!=3,AM396=0.5),0,IF(AND(AD396=75,AP396=0,AV396=0),0,IF(AP396&gt;0.01,AP396*T396,IF(AND(F396&gt;1,W396&lt;0.01),0,IF(AND(F396&gt;1,AO396=0),0,IF(AND('Proposed Lighting'!#REF!=22,AV396=0),0,IF(AND(AM396&gt;0,AS396&gt;0,BI396&lt;2),0,IF(AND(AS396&gt;0.01,BK396=0),0,IF(AND(AO396=TRUE,AV396=1,F396=3),MIN(AJ396*0.08,L396),IF(AP396&gt;0.01,AP396*T396,IF(AND(AO396=TRUE,AV396=1,F396=2),MIN(AJ396*0.1,L396)))))))))))))))))),2),"")</f>
        <v/>
      </c>
      <c r="AR396" s="1250">
        <f>IF(Q396=0,0,IF('Proposed Lighting'!$X$4=0,0,IF(AND(AM396&gt;0.01,AQ396&gt;0.01),0,IF('Proposed Lighting'!#REF!=1,"Missing Interior or Exterior Selection",IF('Proposed Lighting'!#REF!=1,"Selection does not match",IF(K396&gt;'Proposed Lighting'!#REF!,"Quantity controlled does not match proposed lighting quantity",IF(T396&gt;K396,"Quantity of sensors exceeds proposed lighting quantity",IF(AND(F396&gt;1,'Proposed Lighting'!#REF!&lt;&gt;F396),"Selection does not match",IF(AND(AD396&gt;AA396,AA396&gt;0),"Does not meet minimum connected load",IF(AND(O396&gt;0,AS396&gt;0,BK396&gt;0,'Proposed Lighting'!#REF!=0),"Select Control Strategies",IF(AND(AC396&gt;0.1,AJ396=0,AQ396=0),"Does not meet incentive criteria",0)))))))))))</f>
        <v>0</v>
      </c>
      <c r="AS396" s="1224" t="e">
        <f>IF('Proposed Lighting'!#REF!=100,0,IF(ISNUMBER(SEARCH("multiple",Q396)),1,0))</f>
        <v>#REF!</v>
      </c>
      <c r="AT396" s="451">
        <f t="shared" si="86"/>
        <v>0</v>
      </c>
      <c r="AU396" s="451" t="e">
        <f t="shared" si="87"/>
        <v>#REF!</v>
      </c>
      <c r="AV396" s="1222">
        <f>IF(ISNUMBER(SEARCH("Networked",'Proposed Lighting'!#REF!)),0,IF(ISNUMBER(SEARCH("Strategies",'Proposed Lighting'!#REF!)),0,IF(ISNUMBER(SEARCH("Removal",'Proposed Lighting'!#REF!)),0,IF(ISNUMBER(SEARCH("non-standard",Q396)),1,0))))</f>
        <v>0</v>
      </c>
      <c r="AW396" s="451">
        <f t="shared" si="77"/>
        <v>0</v>
      </c>
      <c r="AX396" s="451"/>
      <c r="AY396" s="451"/>
      <c r="AZ396" s="451"/>
      <c r="BA396" s="451"/>
      <c r="BB396" s="451"/>
      <c r="BC396" s="1215"/>
      <c r="BD396" s="1215"/>
      <c r="BE396" s="1215"/>
      <c r="BF396" s="1215"/>
      <c r="BG396" s="1215"/>
      <c r="BH396" s="1215"/>
      <c r="BI396" t="e">
        <f>IF(AND(AS396=1,BC396="No",BD396="Yes",BE396="Yes",BF396="No",BH396="No"),0,IF(AND('Proposed Lighting'!#REF!=2,AS396=1,BC396="Yes",BD396="Yes"),2,IF(AND('Proposed Lighting'!#REF!=2,AS396=1,BC396="Yes",BE396="Yes"),2,IF(AND('Proposed Lighting'!#REF!=2,AS396=1,BC396="Yes",BF396="Yes"),2,IF(AND('Proposed Lighting'!#REF!=2,AS396=1,BC396="Yes",BH396="Yes"),2,IF(AND('Proposed Lighting'!#REF!=2,AS396=1,BD396="Yes",BF396="Yes"),2,IF(AND('Proposed Lighting'!#REF!=2,AS396=1,BD396="Yes",BH396="Yes"),2,IF(AND('Proposed Lighting'!#REF!=3,AS396=1,BC396="Yes",BE396="Yes"),2,IF(AND('Proposed Lighting'!#REF!=3,AS396=1,BC396="Yes",BF396="Yes"),2,0)))))))))</f>
        <v>#REF!</v>
      </c>
      <c r="BJ396" s="1025" t="e">
        <f t="shared" si="88"/>
        <v>#REF!</v>
      </c>
      <c r="BK396" t="e">
        <f>IF(AND('Proposed Lighting'!#REF!=22,'Lighting Controls'!N396=1),0,IF(ISNUMBER(SEARCH("LED",G396)),1,0))</f>
        <v>#REF!</v>
      </c>
    </row>
    <row r="397" spans="1:63" ht="34.5" customHeight="1">
      <c r="A397" s="917">
        <v>389</v>
      </c>
      <c r="B397" s="1828" t="e">
        <f>IF('Proposed Lighting'!#REF!="","",'Proposed Lighting'!#REF!)</f>
        <v>#REF!</v>
      </c>
      <c r="C397" s="1828"/>
      <c r="D397" s="1828"/>
      <c r="E397" s="1245" t="e">
        <f>'Proposed Lighting'!#REF!</f>
        <v>#REF!</v>
      </c>
      <c r="F397" s="1245">
        <f t="shared" si="81"/>
        <v>0</v>
      </c>
      <c r="G397" s="1830" t="e">
        <f>IF('Proposed Lighting'!#REF!="","",IF(ISNUMBER(SEARCH("Networked",'Proposed Lighting'!#REF!)),0,IF(ISNUMBER(SEARCH("Strategies",'Proposed Lighting'!#REF!)),0,IF(ISNUMBER(SEARCH("Removal",'Proposed Lighting'!#REF!)),0,'Proposed Lighting'!#REF!))))</f>
        <v>#REF!</v>
      </c>
      <c r="H397" s="1830"/>
      <c r="I397" s="1830"/>
      <c r="J397" s="1830"/>
      <c r="K397" s="1215"/>
      <c r="L397" s="1246" t="e">
        <f t="shared" si="82"/>
        <v>#REF!</v>
      </c>
      <c r="M397" s="1224">
        <f t="shared" si="83"/>
        <v>0</v>
      </c>
      <c r="N397" s="1224">
        <f t="shared" si="84"/>
        <v>0</v>
      </c>
      <c r="O397" s="1825" t="e">
        <f>IF(G397=0,0,IF(ISNA('Proposed Lighting'!#REF!),0,'Proposed Lighting'!#REF!))</f>
        <v>#REF!</v>
      </c>
      <c r="P397" s="1825"/>
      <c r="Q397" s="1247"/>
      <c r="R397" s="1247"/>
      <c r="S397" s="1247"/>
      <c r="T397" s="1211"/>
      <c r="U397" s="1235">
        <f>IF(K397&gt;0.01,'Proposed Lighting'!#REF!,0)</f>
        <v>0</v>
      </c>
      <c r="V397" s="1248" t="e">
        <f>IF('Proposed Lighting'!#REF!=1,0,IF('Proposed Lighting'!#REF!=2,0,IF(AND('Proposed Lighting'!#REF!=3,'Proposed Lighting'!#REF!=0),1,0)))</f>
        <v>#REF!</v>
      </c>
      <c r="W397" s="1836"/>
      <c r="X397" s="1836"/>
      <c r="Y397" s="1836"/>
      <c r="Z397" s="1230" t="str">
        <f t="shared" si="78"/>
        <v/>
      </c>
      <c r="AA397" s="1230">
        <f t="shared" si="79"/>
        <v>0</v>
      </c>
      <c r="AB397" s="1230">
        <f>IF(Q397=0,0,IF(T397=0,0,IF(AA397=0,0,IF(AND(F397=3,V397=0),0,IF(T397=0,0,IF(K397&gt;'Proposed Lighting'!#REF!,0,IF('Proposed Lighting'!#REF!&gt;0.01,(K397*O397)*'Proposed Lighting'!#REF!/1000,(K397*O397)*U397/1000)))))))</f>
        <v>0</v>
      </c>
      <c r="AC397" s="1230" t="str">
        <f t="shared" si="85"/>
        <v/>
      </c>
      <c r="AD397" s="1230">
        <f t="shared" si="80"/>
        <v>0</v>
      </c>
      <c r="AE397" s="1230">
        <f>IF(T397=0,0,IF(K397&gt;'Proposed Lighting'!#REF!,0,IF(T397&gt;K397,0,IF(AND(AD397&gt;AA397,AA397&gt;0),0,IF(AND(F397&gt;1,W397&lt;0.01),0,IF('Proposed Lighting'!#REF!&gt;'Lighting Controls'!F397,0,IF('Proposed Lighting'!#REF!&lt;'Lighting Controls'!F397,0,IF(U397=0,0,Summary!#REF!))))))))</f>
        <v>0</v>
      </c>
      <c r="AF397" s="1230">
        <f>IF(T397=0,0,IF(AE397=0,0,IF(K397&gt;'Proposed Lighting'!#REF!,0,IF(AND(AD397&gt;AA397,AA397&gt;0),0,IF(U397=0,0,Summary!#REF!)))))</f>
        <v>0</v>
      </c>
      <c r="AG397" s="1834" t="e">
        <f>IF('Proposed Lighting'!#REF!=1,0,IF('Proposed Lighting'!#REF!=1,0,T397*W397))</f>
        <v>#REF!</v>
      </c>
      <c r="AH397" s="1834"/>
      <c r="AI397" s="1834"/>
      <c r="AJ397" s="1835">
        <f>IF(T397&lt;1,0,IF(K397&gt;'Proposed Lighting'!#REF!,0,IF('Proposed Lighting'!#REF!=1,0,IF('Proposed Lighting'!#REF!=1,0,IF(T397&gt;K397,0,IF(AND(AD397&gt;AA397,AA397&gt;0),0,IF(AND(F397=2,'Proposed Lighting'!#REF!=3),0,IF(AND(F397=3,'Proposed Lighting'!#REF!=2),0,IF('Proposed Lighting'!#REF!=100,0,IF(AND(F397&lt;3,V397=1,AM397=0),0,IF(AND(F397&gt;1,AF397&lt;1,AN397&lt;1),0,IF(AND(F397&gt;1,AE397&lt;0.69,AF397&lt;1,AN397&lt;1),0,IF(ISERROR(AB397-AC397),"",AB397-AC397)))))))))))))</f>
        <v>0</v>
      </c>
      <c r="AK397" s="1835"/>
      <c r="AL397" s="1835"/>
      <c r="AM397" s="1216">
        <f>IF(Q397=0,0,IF(T397=0,0,IF(T397&gt;K397,0,IF(AND(AS397&gt;0.01,BK397=0),0,IF(AND('Proposed Lighting'!#REF!=0,'Lighting Controls'!Z397=0.35),0,IF(AND(T397&lt;=K397,AA397&gt;=AD397,'Proposed Lighting'!#REF!=2),VLOOKUP(Q397,$AY$9:$AZ$15,2,FALSE),IF(AND(T397&lt;=K397,AA397&gt;=AD397,'Proposed Lighting'!#REF!=3),VLOOKUP(Q397,$AY$17:$AZ$23,2,FALSE))))))))</f>
        <v>0</v>
      </c>
      <c r="AN397" s="1248">
        <f>IF(T397=0,0,IF(K397&gt;'Proposed Lighting'!#REF!,0,IF(AE397=0,0,IF(AND(AD397&gt;AA397,AA397&gt;0),0,IF(U397=0,0,Summary!#REF!)))))</f>
        <v>0</v>
      </c>
      <c r="AO397" s="1248">
        <f t="shared" si="89"/>
        <v>0</v>
      </c>
      <c r="AP397" s="1249" t="e">
        <f>IF('Proposed Lighting'!#REF!=1,0,IF(K397=0,0,IF(T397&gt;K397,0,IF(G397=0,0,IF(K397&gt;'Proposed Lighting'!#REF!,0,IF(AND(AD397&gt;AA397,AA397&gt;0),0,IF(AND('Proposed Lighting'!#REF!=3,AM397=0.5),0,IF(AND(AM397&gt;0,AS397&gt;0,BI397&lt;2),0,IF('Proposed Lighting'!#REF!=100,0,IF(AV397=1,0,IF(AND(AM397=35,M397+N397&lt;2),0,AM397)))))))))))</f>
        <v>#REF!</v>
      </c>
      <c r="AQ397" s="1249" t="str">
        <f>IFERROR(ROUND(IF(Q397="","",IF('Proposed Lighting'!$X$4=0,0,IF(AND(AM397=35,M397+N397&lt;2),0,IF(T397&gt;K397,0,IF('Proposed Lighting'!#REF!=1,0,IF(AJ397=0,0,IF(AND('Proposed Lighting'!#REF!=3,AM397=0.5),0,IF(AND(AD397=75,AP397=0,AV397=0),0,IF(AP397&gt;0.01,AP397*T397,IF(AND(F397&gt;1,W397&lt;0.01),0,IF(AND(F397&gt;1,AO397=0),0,IF(AND('Proposed Lighting'!#REF!=22,AV397=0),0,IF(AND(AM397&gt;0,AS397&gt;0,BI397&lt;2),0,IF(AND(AS397&gt;0.01,BK397=0),0,IF(AND(AO397=TRUE,AV397=1,F397=3),MIN(AJ397*0.08,L397),IF(AP397&gt;0.01,AP397*T397,IF(AND(AO397=TRUE,AV397=1,F397=2),MIN(AJ397*0.1,L397)))))))))))))))))),2),"")</f>
        <v/>
      </c>
      <c r="AR397" s="1250">
        <f>IF(Q397=0,0,IF('Proposed Lighting'!$X$4=0,0,IF(AND(AM397&gt;0.01,AQ397&gt;0.01),0,IF('Proposed Lighting'!#REF!=1,"Missing Interior or Exterior Selection",IF('Proposed Lighting'!#REF!=1,"Selection does not match",IF(K397&gt;'Proposed Lighting'!#REF!,"Quantity controlled does not match proposed lighting quantity",IF(T397&gt;K397,"Quantity of sensors exceeds proposed lighting quantity",IF(AND(F397&gt;1,'Proposed Lighting'!#REF!&lt;&gt;F397),"Selection does not match",IF(AND(AD397&gt;AA397,AA397&gt;0),"Does not meet minimum connected load",IF(AND(O397&gt;0,AS397&gt;0,BK397&gt;0,'Proposed Lighting'!#REF!=0),"Select Control Strategies",IF(AND(AC397&gt;0.1,AJ397=0,AQ397=0),"Does not meet incentive criteria",0)))))))))))</f>
        <v>0</v>
      </c>
      <c r="AS397" s="1224" t="e">
        <f>IF('Proposed Lighting'!#REF!=100,0,IF(ISNUMBER(SEARCH("multiple",Q397)),1,0))</f>
        <v>#REF!</v>
      </c>
      <c r="AT397" s="451">
        <f t="shared" si="86"/>
        <v>0</v>
      </c>
      <c r="AU397" s="451" t="e">
        <f t="shared" si="87"/>
        <v>#REF!</v>
      </c>
      <c r="AV397" s="1222">
        <f>IF(ISNUMBER(SEARCH("Networked",'Proposed Lighting'!#REF!)),0,IF(ISNUMBER(SEARCH("Strategies",'Proposed Lighting'!#REF!)),0,IF(ISNUMBER(SEARCH("Removal",'Proposed Lighting'!#REF!)),0,IF(ISNUMBER(SEARCH("non-standard",Q397)),1,0))))</f>
        <v>0</v>
      </c>
      <c r="AW397" s="451">
        <f t="shared" si="77"/>
        <v>0</v>
      </c>
      <c r="AX397" s="451"/>
      <c r="AY397" s="451"/>
      <c r="AZ397" s="451"/>
      <c r="BA397" s="451"/>
      <c r="BB397" s="451"/>
      <c r="BC397" s="1215"/>
      <c r="BD397" s="1215"/>
      <c r="BE397" s="1215"/>
      <c r="BF397" s="1215"/>
      <c r="BG397" s="1215"/>
      <c r="BH397" s="1215"/>
      <c r="BI397" t="e">
        <f>IF(AND(AS397=1,BC397="No",BD397="Yes",BE397="Yes",BF397="No",BH397="No"),0,IF(AND('Proposed Lighting'!#REF!=2,AS397=1,BC397="Yes",BD397="Yes"),2,IF(AND('Proposed Lighting'!#REF!=2,AS397=1,BC397="Yes",BE397="Yes"),2,IF(AND('Proposed Lighting'!#REF!=2,AS397=1,BC397="Yes",BF397="Yes"),2,IF(AND('Proposed Lighting'!#REF!=2,AS397=1,BC397="Yes",BH397="Yes"),2,IF(AND('Proposed Lighting'!#REF!=2,AS397=1,BD397="Yes",BF397="Yes"),2,IF(AND('Proposed Lighting'!#REF!=2,AS397=1,BD397="Yes",BH397="Yes"),2,IF(AND('Proposed Lighting'!#REF!=3,AS397=1,BC397="Yes",BE397="Yes"),2,IF(AND('Proposed Lighting'!#REF!=3,AS397=1,BC397="Yes",BF397="Yes"),2,0)))))))))</f>
        <v>#REF!</v>
      </c>
      <c r="BJ397" s="1025" t="e">
        <f t="shared" si="88"/>
        <v>#REF!</v>
      </c>
      <c r="BK397" t="e">
        <f>IF(AND('Proposed Lighting'!#REF!=22,'Lighting Controls'!N397=1),0,IF(ISNUMBER(SEARCH("LED",G397)),1,0))</f>
        <v>#REF!</v>
      </c>
    </row>
    <row r="398" spans="1:63" ht="34.5" customHeight="1">
      <c r="A398" s="917">
        <v>390</v>
      </c>
      <c r="B398" s="1828" t="e">
        <f>IF('Proposed Lighting'!#REF!="","",'Proposed Lighting'!#REF!)</f>
        <v>#REF!</v>
      </c>
      <c r="C398" s="1828"/>
      <c r="D398" s="1828"/>
      <c r="E398" s="1245" t="e">
        <f>'Proposed Lighting'!#REF!</f>
        <v>#REF!</v>
      </c>
      <c r="F398" s="1245">
        <f t="shared" si="81"/>
        <v>0</v>
      </c>
      <c r="G398" s="1830" t="e">
        <f>IF('Proposed Lighting'!#REF!="","",IF(ISNUMBER(SEARCH("Networked",'Proposed Lighting'!#REF!)),0,IF(ISNUMBER(SEARCH("Strategies",'Proposed Lighting'!#REF!)),0,IF(ISNUMBER(SEARCH("Removal",'Proposed Lighting'!#REF!)),0,'Proposed Lighting'!#REF!))))</f>
        <v>#REF!</v>
      </c>
      <c r="H398" s="1830"/>
      <c r="I398" s="1830"/>
      <c r="J398" s="1830"/>
      <c r="K398" s="1215"/>
      <c r="L398" s="1246" t="e">
        <f t="shared" si="82"/>
        <v>#REF!</v>
      </c>
      <c r="M398" s="1224">
        <f t="shared" si="83"/>
        <v>0</v>
      </c>
      <c r="N398" s="1224">
        <f t="shared" si="84"/>
        <v>0</v>
      </c>
      <c r="O398" s="1825" t="e">
        <f>IF(G398=0,0,IF(ISNA('Proposed Lighting'!#REF!),0,'Proposed Lighting'!#REF!))</f>
        <v>#REF!</v>
      </c>
      <c r="P398" s="1825"/>
      <c r="Q398" s="1247"/>
      <c r="R398" s="1247"/>
      <c r="S398" s="1247"/>
      <c r="T398" s="1211"/>
      <c r="U398" s="1235">
        <f>IF(K398&gt;0.01,'Proposed Lighting'!#REF!,0)</f>
        <v>0</v>
      </c>
      <c r="V398" s="1248" t="e">
        <f>IF('Proposed Lighting'!#REF!=1,0,IF('Proposed Lighting'!#REF!=2,0,IF(AND('Proposed Lighting'!#REF!=3,'Proposed Lighting'!#REF!=0),1,0)))</f>
        <v>#REF!</v>
      </c>
      <c r="W398" s="1836"/>
      <c r="X398" s="1836"/>
      <c r="Y398" s="1836"/>
      <c r="Z398" s="1230" t="str">
        <f t="shared" si="78"/>
        <v/>
      </c>
      <c r="AA398" s="1230">
        <f t="shared" si="79"/>
        <v>0</v>
      </c>
      <c r="AB398" s="1230">
        <f>IF(Q398=0,0,IF(T398=0,0,IF(AA398=0,0,IF(AND(F398=3,V398=0),0,IF(T398=0,0,IF(K398&gt;'Proposed Lighting'!#REF!,0,IF('Proposed Lighting'!#REF!&gt;0.01,(K398*O398)*'Proposed Lighting'!#REF!/1000,(K398*O398)*U398/1000)))))))</f>
        <v>0</v>
      </c>
      <c r="AC398" s="1230" t="str">
        <f t="shared" si="85"/>
        <v/>
      </c>
      <c r="AD398" s="1230">
        <f t="shared" si="80"/>
        <v>0</v>
      </c>
      <c r="AE398" s="1230">
        <f>IF(T398=0,0,IF(K398&gt;'Proposed Lighting'!#REF!,0,IF(T398&gt;K398,0,IF(AND(AD398&gt;AA398,AA398&gt;0),0,IF(AND(F398&gt;1,W398&lt;0.01),0,IF('Proposed Lighting'!#REF!&gt;'Lighting Controls'!F398,0,IF('Proposed Lighting'!#REF!&lt;'Lighting Controls'!F398,0,IF(U398=0,0,Summary!#REF!))))))))</f>
        <v>0</v>
      </c>
      <c r="AF398" s="1230">
        <f>IF(T398=0,0,IF(AE398=0,0,IF(K398&gt;'Proposed Lighting'!#REF!,0,IF(AND(AD398&gt;AA398,AA398&gt;0),0,IF(U398=0,0,Summary!#REF!)))))</f>
        <v>0</v>
      </c>
      <c r="AG398" s="1834" t="e">
        <f>IF('Proposed Lighting'!#REF!=1,0,IF('Proposed Lighting'!#REF!=1,0,T398*W398))</f>
        <v>#REF!</v>
      </c>
      <c r="AH398" s="1834"/>
      <c r="AI398" s="1834"/>
      <c r="AJ398" s="1835">
        <f>IF(T398&lt;1,0,IF(K398&gt;'Proposed Lighting'!#REF!,0,IF('Proposed Lighting'!#REF!=1,0,IF('Proposed Lighting'!#REF!=1,0,IF(T398&gt;K398,0,IF(AND(AD398&gt;AA398,AA398&gt;0),0,IF(AND(F398=2,'Proposed Lighting'!#REF!=3),0,IF(AND(F398=3,'Proposed Lighting'!#REF!=2),0,IF('Proposed Lighting'!#REF!=100,0,IF(AND(F398&lt;3,V398=1,AM398=0),0,IF(AND(F398&gt;1,AF398&lt;1,AN398&lt;1),0,IF(AND(F398&gt;1,AE398&lt;0.69,AF398&lt;1,AN398&lt;1),0,IF(ISERROR(AB398-AC398),"",AB398-AC398)))))))))))))</f>
        <v>0</v>
      </c>
      <c r="AK398" s="1835"/>
      <c r="AL398" s="1835"/>
      <c r="AM398" s="1216">
        <f>IF(Q398=0,0,IF(T398=0,0,IF(T398&gt;K398,0,IF(AND(AS398&gt;0.01,BK398=0),0,IF(AND('Proposed Lighting'!#REF!=0,'Lighting Controls'!Z398=0.35),0,IF(AND(T398&lt;=K398,AA398&gt;=AD398,'Proposed Lighting'!#REF!=2),VLOOKUP(Q398,$AY$9:$AZ$15,2,FALSE),IF(AND(T398&lt;=K398,AA398&gt;=AD398,'Proposed Lighting'!#REF!=3),VLOOKUP(Q398,$AY$17:$AZ$23,2,FALSE))))))))</f>
        <v>0</v>
      </c>
      <c r="AN398" s="1248">
        <f>IF(T398=0,0,IF(K398&gt;'Proposed Lighting'!#REF!,0,IF(AE398=0,0,IF(AND(AD398&gt;AA398,AA398&gt;0),0,IF(U398=0,0,Summary!#REF!)))))</f>
        <v>0</v>
      </c>
      <c r="AO398" s="1248">
        <f t="shared" si="89"/>
        <v>0</v>
      </c>
      <c r="AP398" s="1249" t="e">
        <f>IF('Proposed Lighting'!#REF!=1,0,IF(K398=0,0,IF(T398&gt;K398,0,IF(G398=0,0,IF(K398&gt;'Proposed Lighting'!#REF!,0,IF(AND(AD398&gt;AA398,AA398&gt;0),0,IF(AND('Proposed Lighting'!#REF!=3,AM398=0.5),0,IF(AND(AM398&gt;0,AS398&gt;0,BI398&lt;2),0,IF('Proposed Lighting'!#REF!=100,0,IF(AV398=1,0,IF(AND(AM398=35,M398+N398&lt;2),0,AM398)))))))))))</f>
        <v>#REF!</v>
      </c>
      <c r="AQ398" s="1249" t="str">
        <f>IFERROR(ROUND(IF(Q398="","",IF('Proposed Lighting'!$X$4=0,0,IF(AND(AM398=35,M398+N398&lt;2),0,IF(T398&gt;K398,0,IF('Proposed Lighting'!#REF!=1,0,IF(AJ398=0,0,IF(AND('Proposed Lighting'!#REF!=3,AM398=0.5),0,IF(AND(AD398=75,AP398=0,AV398=0),0,IF(AP398&gt;0.01,AP398*T398,IF(AND(F398&gt;1,W398&lt;0.01),0,IF(AND(F398&gt;1,AO398=0),0,IF(AND('Proposed Lighting'!#REF!=22,AV398=0),0,IF(AND(AM398&gt;0,AS398&gt;0,BI398&lt;2),0,IF(AND(AS398&gt;0.01,BK398=0),0,IF(AND(AO398=TRUE,AV398=1,F398=3),MIN(AJ398*0.08,L398),IF(AP398&gt;0.01,AP398*T398,IF(AND(AO398=TRUE,AV398=1,F398=2),MIN(AJ398*0.1,L398)))))))))))))))))),2),"")</f>
        <v/>
      </c>
      <c r="AR398" s="1250">
        <f>IF(Q398=0,0,IF('Proposed Lighting'!$X$4=0,0,IF(AND(AM398&gt;0.01,AQ398&gt;0.01),0,IF('Proposed Lighting'!#REF!=1,"Missing Interior or Exterior Selection",IF('Proposed Lighting'!#REF!=1,"Selection does not match",IF(K398&gt;'Proposed Lighting'!#REF!,"Quantity controlled does not match proposed lighting quantity",IF(T398&gt;K398,"Quantity of sensors exceeds proposed lighting quantity",IF(AND(F398&gt;1,'Proposed Lighting'!#REF!&lt;&gt;F398),"Selection does not match",IF(AND(AD398&gt;AA398,AA398&gt;0),"Does not meet minimum connected load",IF(AND(O398&gt;0,AS398&gt;0,BK398&gt;0,'Proposed Lighting'!#REF!=0),"Select Control Strategies",IF(AND(AC398&gt;0.1,AJ398=0,AQ398=0),"Does not meet incentive criteria",0)))))))))))</f>
        <v>0</v>
      </c>
      <c r="AS398" s="1224" t="e">
        <f>IF('Proposed Lighting'!#REF!=100,0,IF(ISNUMBER(SEARCH("multiple",Q398)),1,0))</f>
        <v>#REF!</v>
      </c>
      <c r="AT398" s="451">
        <f t="shared" si="86"/>
        <v>0</v>
      </c>
      <c r="AU398" s="451" t="e">
        <f t="shared" si="87"/>
        <v>#REF!</v>
      </c>
      <c r="AV398" s="1222">
        <f>IF(ISNUMBER(SEARCH("Networked",'Proposed Lighting'!#REF!)),0,IF(ISNUMBER(SEARCH("Strategies",'Proposed Lighting'!#REF!)),0,IF(ISNUMBER(SEARCH("Removal",'Proposed Lighting'!#REF!)),0,IF(ISNUMBER(SEARCH("non-standard",Q398)),1,0))))</f>
        <v>0</v>
      </c>
      <c r="AW398" s="451">
        <f t="shared" si="77"/>
        <v>0</v>
      </c>
      <c r="AX398" s="451"/>
      <c r="AY398" s="451"/>
      <c r="AZ398" s="451"/>
      <c r="BA398" s="451"/>
      <c r="BB398" s="451"/>
      <c r="BC398" s="1215"/>
      <c r="BD398" s="1215"/>
      <c r="BE398" s="1215"/>
      <c r="BF398" s="1215"/>
      <c r="BG398" s="1215"/>
      <c r="BH398" s="1215"/>
      <c r="BI398" t="e">
        <f>IF(AND(AS398=1,BC398="No",BD398="Yes",BE398="Yes",BF398="No",BH398="No"),0,IF(AND('Proposed Lighting'!#REF!=2,AS398=1,BC398="Yes",BD398="Yes"),2,IF(AND('Proposed Lighting'!#REF!=2,AS398=1,BC398="Yes",BE398="Yes"),2,IF(AND('Proposed Lighting'!#REF!=2,AS398=1,BC398="Yes",BF398="Yes"),2,IF(AND('Proposed Lighting'!#REF!=2,AS398=1,BC398="Yes",BH398="Yes"),2,IF(AND('Proposed Lighting'!#REF!=2,AS398=1,BD398="Yes",BF398="Yes"),2,IF(AND('Proposed Lighting'!#REF!=2,AS398=1,BD398="Yes",BH398="Yes"),2,IF(AND('Proposed Lighting'!#REF!=3,AS398=1,BC398="Yes",BE398="Yes"),2,IF(AND('Proposed Lighting'!#REF!=3,AS398=1,BC398="Yes",BF398="Yes"),2,0)))))))))</f>
        <v>#REF!</v>
      </c>
      <c r="BJ398" s="1025" t="e">
        <f t="shared" si="88"/>
        <v>#REF!</v>
      </c>
      <c r="BK398" t="e">
        <f>IF(AND('Proposed Lighting'!#REF!=22,'Lighting Controls'!N398=1),0,IF(ISNUMBER(SEARCH("LED",G398)),1,0))</f>
        <v>#REF!</v>
      </c>
    </row>
    <row r="399" spans="1:63" ht="34.5" customHeight="1">
      <c r="A399" s="917">
        <v>391</v>
      </c>
      <c r="B399" s="1828" t="e">
        <f>IF('Proposed Lighting'!#REF!="","",'Proposed Lighting'!#REF!)</f>
        <v>#REF!</v>
      </c>
      <c r="C399" s="1828"/>
      <c r="D399" s="1828"/>
      <c r="E399" s="1245" t="e">
        <f>'Proposed Lighting'!#REF!</f>
        <v>#REF!</v>
      </c>
      <c r="F399" s="1245">
        <f t="shared" si="81"/>
        <v>0</v>
      </c>
      <c r="G399" s="1830" t="e">
        <f>IF('Proposed Lighting'!#REF!="","",IF(ISNUMBER(SEARCH("Networked",'Proposed Lighting'!#REF!)),0,IF(ISNUMBER(SEARCH("Strategies",'Proposed Lighting'!#REF!)),0,IF(ISNUMBER(SEARCH("Removal",'Proposed Lighting'!#REF!)),0,'Proposed Lighting'!#REF!))))</f>
        <v>#REF!</v>
      </c>
      <c r="H399" s="1830"/>
      <c r="I399" s="1830"/>
      <c r="J399" s="1830"/>
      <c r="K399" s="1215"/>
      <c r="L399" s="1246" t="e">
        <f t="shared" si="82"/>
        <v>#REF!</v>
      </c>
      <c r="M399" s="1224">
        <f t="shared" si="83"/>
        <v>0</v>
      </c>
      <c r="N399" s="1224">
        <f t="shared" si="84"/>
        <v>0</v>
      </c>
      <c r="O399" s="1825" t="e">
        <f>IF(G399=0,0,IF(ISNA('Proposed Lighting'!#REF!),0,'Proposed Lighting'!#REF!))</f>
        <v>#REF!</v>
      </c>
      <c r="P399" s="1825"/>
      <c r="Q399" s="1247"/>
      <c r="R399" s="1247"/>
      <c r="S399" s="1247"/>
      <c r="T399" s="1211"/>
      <c r="U399" s="1235">
        <f>IF(K399&gt;0.01,'Proposed Lighting'!#REF!,0)</f>
        <v>0</v>
      </c>
      <c r="V399" s="1248" t="e">
        <f>IF('Proposed Lighting'!#REF!=1,0,IF('Proposed Lighting'!#REF!=2,0,IF(AND('Proposed Lighting'!#REF!=3,'Proposed Lighting'!#REF!=0),1,0)))</f>
        <v>#REF!</v>
      </c>
      <c r="W399" s="1836"/>
      <c r="X399" s="1836"/>
      <c r="Y399" s="1836"/>
      <c r="Z399" s="1230" t="str">
        <f t="shared" si="78"/>
        <v/>
      </c>
      <c r="AA399" s="1230">
        <f t="shared" si="79"/>
        <v>0</v>
      </c>
      <c r="AB399" s="1230">
        <f>IF(Q399=0,0,IF(T399=0,0,IF(AA399=0,0,IF(AND(F399=3,V399=0),0,IF(T399=0,0,IF(K399&gt;'Proposed Lighting'!#REF!,0,IF('Proposed Lighting'!#REF!&gt;0.01,(K399*O399)*'Proposed Lighting'!#REF!/1000,(K399*O399)*U399/1000)))))))</f>
        <v>0</v>
      </c>
      <c r="AC399" s="1230" t="str">
        <f t="shared" si="85"/>
        <v/>
      </c>
      <c r="AD399" s="1230">
        <f t="shared" si="80"/>
        <v>0</v>
      </c>
      <c r="AE399" s="1230">
        <f>IF(T399=0,0,IF(K399&gt;'Proposed Lighting'!#REF!,0,IF(T399&gt;K399,0,IF(AND(AD399&gt;AA399,AA399&gt;0),0,IF(AND(F399&gt;1,W399&lt;0.01),0,IF('Proposed Lighting'!#REF!&gt;'Lighting Controls'!F399,0,IF('Proposed Lighting'!#REF!&lt;'Lighting Controls'!F399,0,IF(U399=0,0,Summary!#REF!))))))))</f>
        <v>0</v>
      </c>
      <c r="AF399" s="1230">
        <f>IF(T399=0,0,IF(AE399=0,0,IF(K399&gt;'Proposed Lighting'!#REF!,0,IF(AND(AD399&gt;AA399,AA399&gt;0),0,IF(U399=0,0,Summary!#REF!)))))</f>
        <v>0</v>
      </c>
      <c r="AG399" s="1834" t="e">
        <f>IF('Proposed Lighting'!#REF!=1,0,IF('Proposed Lighting'!#REF!=1,0,T399*W399))</f>
        <v>#REF!</v>
      </c>
      <c r="AH399" s="1834"/>
      <c r="AI399" s="1834"/>
      <c r="AJ399" s="1835">
        <f>IF(T399&lt;1,0,IF(K399&gt;'Proposed Lighting'!#REF!,0,IF('Proposed Lighting'!#REF!=1,0,IF('Proposed Lighting'!#REF!=1,0,IF(T399&gt;K399,0,IF(AND(AD399&gt;AA399,AA399&gt;0),0,IF(AND(F399=2,'Proposed Lighting'!#REF!=3),0,IF(AND(F399=3,'Proposed Lighting'!#REF!=2),0,IF('Proposed Lighting'!#REF!=100,0,IF(AND(F399&lt;3,V399=1,AM399=0),0,IF(AND(F399&gt;1,AF399&lt;1,AN399&lt;1),0,IF(AND(F399&gt;1,AE399&lt;0.69,AF399&lt;1,AN399&lt;1),0,IF(ISERROR(AB399-AC399),"",AB399-AC399)))))))))))))</f>
        <v>0</v>
      </c>
      <c r="AK399" s="1835"/>
      <c r="AL399" s="1835"/>
      <c r="AM399" s="1216">
        <f>IF(Q399=0,0,IF(T399=0,0,IF(T399&gt;K399,0,IF(AND(AS399&gt;0.01,BK399=0),0,IF(AND('Proposed Lighting'!#REF!=0,'Lighting Controls'!Z399=0.35),0,IF(AND(T399&lt;=K399,AA399&gt;=AD399,'Proposed Lighting'!#REF!=2),VLOOKUP(Q399,$AY$9:$AZ$15,2,FALSE),IF(AND(T399&lt;=K399,AA399&gt;=AD399,'Proposed Lighting'!#REF!=3),VLOOKUP(Q399,$AY$17:$AZ$23,2,FALSE))))))))</f>
        <v>0</v>
      </c>
      <c r="AN399" s="1248">
        <f>IF(T399=0,0,IF(K399&gt;'Proposed Lighting'!#REF!,0,IF(AE399=0,0,IF(AND(AD399&gt;AA399,AA399&gt;0),0,IF(U399=0,0,Summary!#REF!)))))</f>
        <v>0</v>
      </c>
      <c r="AO399" s="1248">
        <f t="shared" si="89"/>
        <v>0</v>
      </c>
      <c r="AP399" s="1249" t="e">
        <f>IF('Proposed Lighting'!#REF!=1,0,IF(K399=0,0,IF(T399&gt;K399,0,IF(G399=0,0,IF(K399&gt;'Proposed Lighting'!#REF!,0,IF(AND(AD399&gt;AA399,AA399&gt;0),0,IF(AND('Proposed Lighting'!#REF!=3,AM399=0.5),0,IF(AND(AM399&gt;0,AS399&gt;0,BI399&lt;2),0,IF('Proposed Lighting'!#REF!=100,0,IF(AV399=1,0,IF(AND(AM399=35,M399+N399&lt;2),0,AM399)))))))))))</f>
        <v>#REF!</v>
      </c>
      <c r="AQ399" s="1249" t="str">
        <f>IFERROR(ROUND(IF(Q399="","",IF('Proposed Lighting'!$X$4=0,0,IF(AND(AM399=35,M399+N399&lt;2),0,IF(T399&gt;K399,0,IF('Proposed Lighting'!#REF!=1,0,IF(AJ399=0,0,IF(AND('Proposed Lighting'!#REF!=3,AM399=0.5),0,IF(AND(AD399=75,AP399=0,AV399=0),0,IF(AP399&gt;0.01,AP399*T399,IF(AND(F399&gt;1,W399&lt;0.01),0,IF(AND(F399&gt;1,AO399=0),0,IF(AND('Proposed Lighting'!#REF!=22,AV399=0),0,IF(AND(AM399&gt;0,AS399&gt;0,BI399&lt;2),0,IF(AND(AS399&gt;0.01,BK399=0),0,IF(AND(AO399=TRUE,AV399=1,F399=3),MIN(AJ399*0.08,L399),IF(AP399&gt;0.01,AP399*T399,IF(AND(AO399=TRUE,AV399=1,F399=2),MIN(AJ399*0.1,L399)))))))))))))))))),2),"")</f>
        <v/>
      </c>
      <c r="AR399" s="1250">
        <f>IF(Q399=0,0,IF('Proposed Lighting'!$X$4=0,0,IF(AND(AM399&gt;0.01,AQ399&gt;0.01),0,IF('Proposed Lighting'!#REF!=1,"Missing Interior or Exterior Selection",IF('Proposed Lighting'!#REF!=1,"Selection does not match",IF(K399&gt;'Proposed Lighting'!#REF!,"Quantity controlled does not match proposed lighting quantity",IF(T399&gt;K399,"Quantity of sensors exceeds proposed lighting quantity",IF(AND(F399&gt;1,'Proposed Lighting'!#REF!&lt;&gt;F399),"Selection does not match",IF(AND(AD399&gt;AA399,AA399&gt;0),"Does not meet minimum connected load",IF(AND(O399&gt;0,AS399&gt;0,BK399&gt;0,'Proposed Lighting'!#REF!=0),"Select Control Strategies",IF(AND(AC399&gt;0.1,AJ399=0,AQ399=0),"Does not meet incentive criteria",0)))))))))))</f>
        <v>0</v>
      </c>
      <c r="AS399" s="1224" t="e">
        <f>IF('Proposed Lighting'!#REF!=100,0,IF(ISNUMBER(SEARCH("multiple",Q399)),1,0))</f>
        <v>#REF!</v>
      </c>
      <c r="AT399" s="451">
        <f t="shared" si="86"/>
        <v>0</v>
      </c>
      <c r="AU399" s="451" t="e">
        <f t="shared" si="87"/>
        <v>#REF!</v>
      </c>
      <c r="AV399" s="1222">
        <f>IF(ISNUMBER(SEARCH("Networked",'Proposed Lighting'!#REF!)),0,IF(ISNUMBER(SEARCH("Strategies",'Proposed Lighting'!#REF!)),0,IF(ISNUMBER(SEARCH("Removal",'Proposed Lighting'!#REF!)),0,IF(ISNUMBER(SEARCH("non-standard",Q399)),1,0))))</f>
        <v>0</v>
      </c>
      <c r="AW399" s="451">
        <f t="shared" si="77"/>
        <v>0</v>
      </c>
      <c r="AX399" s="451"/>
      <c r="AY399" s="451"/>
      <c r="AZ399" s="451"/>
      <c r="BA399" s="451"/>
      <c r="BB399" s="451"/>
      <c r="BC399" s="1215"/>
      <c r="BD399" s="1215"/>
      <c r="BE399" s="1215"/>
      <c r="BF399" s="1215"/>
      <c r="BG399" s="1215"/>
      <c r="BH399" s="1215"/>
      <c r="BI399" t="e">
        <f>IF(AND(AS399=1,BC399="No",BD399="Yes",BE399="Yes",BF399="No",BH399="No"),0,IF(AND('Proposed Lighting'!#REF!=2,AS399=1,BC399="Yes",BD399="Yes"),2,IF(AND('Proposed Lighting'!#REF!=2,AS399=1,BC399="Yes",BE399="Yes"),2,IF(AND('Proposed Lighting'!#REF!=2,AS399=1,BC399="Yes",BF399="Yes"),2,IF(AND('Proposed Lighting'!#REF!=2,AS399=1,BC399="Yes",BH399="Yes"),2,IF(AND('Proposed Lighting'!#REF!=2,AS399=1,BD399="Yes",BF399="Yes"),2,IF(AND('Proposed Lighting'!#REF!=2,AS399=1,BD399="Yes",BH399="Yes"),2,IF(AND('Proposed Lighting'!#REF!=3,AS399=1,BC399="Yes",BE399="Yes"),2,IF(AND('Proposed Lighting'!#REF!=3,AS399=1,BC399="Yes",BF399="Yes"),2,0)))))))))</f>
        <v>#REF!</v>
      </c>
      <c r="BJ399" s="1025" t="e">
        <f t="shared" si="88"/>
        <v>#REF!</v>
      </c>
      <c r="BK399" t="e">
        <f>IF(AND('Proposed Lighting'!#REF!=22,'Lighting Controls'!N399=1),0,IF(ISNUMBER(SEARCH("LED",G399)),1,0))</f>
        <v>#REF!</v>
      </c>
    </row>
    <row r="400" spans="1:63" ht="34.5" customHeight="1">
      <c r="A400" s="917">
        <v>392</v>
      </c>
      <c r="B400" s="1828" t="e">
        <f>IF('Proposed Lighting'!#REF!="","",'Proposed Lighting'!#REF!)</f>
        <v>#REF!</v>
      </c>
      <c r="C400" s="1828"/>
      <c r="D400" s="1828"/>
      <c r="E400" s="1245" t="e">
        <f>'Proposed Lighting'!#REF!</f>
        <v>#REF!</v>
      </c>
      <c r="F400" s="1245">
        <f t="shared" si="81"/>
        <v>0</v>
      </c>
      <c r="G400" s="1830" t="e">
        <f>IF('Proposed Lighting'!#REF!="","",IF(ISNUMBER(SEARCH("Networked",'Proposed Lighting'!#REF!)),0,IF(ISNUMBER(SEARCH("Strategies",'Proposed Lighting'!#REF!)),0,IF(ISNUMBER(SEARCH("Removal",'Proposed Lighting'!#REF!)),0,'Proposed Lighting'!#REF!))))</f>
        <v>#REF!</v>
      </c>
      <c r="H400" s="1830"/>
      <c r="I400" s="1830"/>
      <c r="J400" s="1830"/>
      <c r="K400" s="1215"/>
      <c r="L400" s="1246" t="e">
        <f t="shared" si="82"/>
        <v>#REF!</v>
      </c>
      <c r="M400" s="1224">
        <f t="shared" si="83"/>
        <v>0</v>
      </c>
      <c r="N400" s="1224">
        <f t="shared" si="84"/>
        <v>0</v>
      </c>
      <c r="O400" s="1825" t="e">
        <f>IF(G400=0,0,IF(ISNA('Proposed Lighting'!#REF!),0,'Proposed Lighting'!#REF!))</f>
        <v>#REF!</v>
      </c>
      <c r="P400" s="1825"/>
      <c r="Q400" s="1247"/>
      <c r="R400" s="1247"/>
      <c r="S400" s="1247"/>
      <c r="T400" s="1211"/>
      <c r="U400" s="1235">
        <f>IF(K400&gt;0.01,'Proposed Lighting'!#REF!,0)</f>
        <v>0</v>
      </c>
      <c r="V400" s="1248" t="e">
        <f>IF('Proposed Lighting'!#REF!=1,0,IF('Proposed Lighting'!#REF!=2,0,IF(AND('Proposed Lighting'!#REF!=3,'Proposed Lighting'!#REF!=0),1,0)))</f>
        <v>#REF!</v>
      </c>
      <c r="W400" s="1836"/>
      <c r="X400" s="1836"/>
      <c r="Y400" s="1836"/>
      <c r="Z400" s="1230" t="str">
        <f t="shared" si="78"/>
        <v/>
      </c>
      <c r="AA400" s="1230">
        <f t="shared" si="79"/>
        <v>0</v>
      </c>
      <c r="AB400" s="1230">
        <f>IF(Q400=0,0,IF(T400=0,0,IF(AA400=0,0,IF(AND(F400=3,V400=0),0,IF(T400=0,0,IF(K400&gt;'Proposed Lighting'!#REF!,0,IF('Proposed Lighting'!#REF!&gt;0.01,(K400*O400)*'Proposed Lighting'!#REF!/1000,(K400*O400)*U400/1000)))))))</f>
        <v>0</v>
      </c>
      <c r="AC400" s="1230" t="str">
        <f t="shared" si="85"/>
        <v/>
      </c>
      <c r="AD400" s="1230">
        <f t="shared" si="80"/>
        <v>0</v>
      </c>
      <c r="AE400" s="1230">
        <f>IF(T400=0,0,IF(K400&gt;'Proposed Lighting'!#REF!,0,IF(T400&gt;K400,0,IF(AND(AD400&gt;AA400,AA400&gt;0),0,IF(AND(F400&gt;1,W400&lt;0.01),0,IF('Proposed Lighting'!#REF!&gt;'Lighting Controls'!F400,0,IF('Proposed Lighting'!#REF!&lt;'Lighting Controls'!F400,0,IF(U400=0,0,Summary!#REF!))))))))</f>
        <v>0</v>
      </c>
      <c r="AF400" s="1230">
        <f>IF(T400=0,0,IF(AE400=0,0,IF(K400&gt;'Proposed Lighting'!#REF!,0,IF(AND(AD400&gt;AA400,AA400&gt;0),0,IF(U400=0,0,Summary!#REF!)))))</f>
        <v>0</v>
      </c>
      <c r="AG400" s="1834" t="e">
        <f>IF('Proposed Lighting'!#REF!=1,0,IF('Proposed Lighting'!#REF!=1,0,T400*W400))</f>
        <v>#REF!</v>
      </c>
      <c r="AH400" s="1834"/>
      <c r="AI400" s="1834"/>
      <c r="AJ400" s="1835">
        <f>IF(T400&lt;1,0,IF(K400&gt;'Proposed Lighting'!#REF!,0,IF('Proposed Lighting'!#REF!=1,0,IF('Proposed Lighting'!#REF!=1,0,IF(T400&gt;K400,0,IF(AND(AD400&gt;AA400,AA400&gt;0),0,IF(AND(F400=2,'Proposed Lighting'!#REF!=3),0,IF(AND(F400=3,'Proposed Lighting'!#REF!=2),0,IF('Proposed Lighting'!#REF!=100,0,IF(AND(F400&lt;3,V400=1,AM400=0),0,IF(AND(F400&gt;1,AF400&lt;1,AN400&lt;1),0,IF(AND(F400&gt;1,AE400&lt;0.69,AF400&lt;1,AN400&lt;1),0,IF(ISERROR(AB400-AC400),"",AB400-AC400)))))))))))))</f>
        <v>0</v>
      </c>
      <c r="AK400" s="1835"/>
      <c r="AL400" s="1835"/>
      <c r="AM400" s="1216">
        <f>IF(Q400=0,0,IF(T400=0,0,IF(T400&gt;K400,0,IF(AND(AS400&gt;0.01,BK400=0),0,IF(AND('Proposed Lighting'!#REF!=0,'Lighting Controls'!Z400=0.35),0,IF(AND(T400&lt;=K400,AA400&gt;=AD400,'Proposed Lighting'!#REF!=2),VLOOKUP(Q400,$AY$9:$AZ$15,2,FALSE),IF(AND(T400&lt;=K400,AA400&gt;=AD400,'Proposed Lighting'!#REF!=3),VLOOKUP(Q400,$AY$17:$AZ$23,2,FALSE))))))))</f>
        <v>0</v>
      </c>
      <c r="AN400" s="1248">
        <f>IF(T400=0,0,IF(K400&gt;'Proposed Lighting'!#REF!,0,IF(AE400=0,0,IF(AND(AD400&gt;AA400,AA400&gt;0),0,IF(U400=0,0,Summary!#REF!)))))</f>
        <v>0</v>
      </c>
      <c r="AO400" s="1248">
        <f t="shared" si="89"/>
        <v>0</v>
      </c>
      <c r="AP400" s="1249" t="e">
        <f>IF('Proposed Lighting'!#REF!=1,0,IF(K400=0,0,IF(T400&gt;K400,0,IF(G400=0,0,IF(K400&gt;'Proposed Lighting'!#REF!,0,IF(AND(AD400&gt;AA400,AA400&gt;0),0,IF(AND('Proposed Lighting'!#REF!=3,AM400=0.5),0,IF(AND(AM400&gt;0,AS400&gt;0,BI400&lt;2),0,IF('Proposed Lighting'!#REF!=100,0,IF(AV400=1,0,IF(AND(AM400=35,M400+N400&lt;2),0,AM400)))))))))))</f>
        <v>#REF!</v>
      </c>
      <c r="AQ400" s="1249" t="str">
        <f>IFERROR(ROUND(IF(Q400="","",IF('Proposed Lighting'!$X$4=0,0,IF(AND(AM400=35,M400+N400&lt;2),0,IF(T400&gt;K400,0,IF('Proposed Lighting'!#REF!=1,0,IF(AJ400=0,0,IF(AND('Proposed Lighting'!#REF!=3,AM400=0.5),0,IF(AND(AD400=75,AP400=0,AV400=0),0,IF(AP400&gt;0.01,AP400*T400,IF(AND(F400&gt;1,W400&lt;0.01),0,IF(AND(F400&gt;1,AO400=0),0,IF(AND('Proposed Lighting'!#REF!=22,AV400=0),0,IF(AND(AM400&gt;0,AS400&gt;0,BI400&lt;2),0,IF(AND(AS400&gt;0.01,BK400=0),0,IF(AND(AO400=TRUE,AV400=1,F400=3),MIN(AJ400*0.08,L400),IF(AP400&gt;0.01,AP400*T400,IF(AND(AO400=TRUE,AV400=1,F400=2),MIN(AJ400*0.1,L400)))))))))))))))))),2),"")</f>
        <v/>
      </c>
      <c r="AR400" s="1250">
        <f>IF(Q400=0,0,IF('Proposed Lighting'!$X$4=0,0,IF(AND(AM400&gt;0.01,AQ400&gt;0.01),0,IF('Proposed Lighting'!#REF!=1,"Missing Interior or Exterior Selection",IF('Proposed Lighting'!#REF!=1,"Selection does not match",IF(K400&gt;'Proposed Lighting'!#REF!,"Quantity controlled does not match proposed lighting quantity",IF(T400&gt;K400,"Quantity of sensors exceeds proposed lighting quantity",IF(AND(F400&gt;1,'Proposed Lighting'!#REF!&lt;&gt;F400),"Selection does not match",IF(AND(AD400&gt;AA400,AA400&gt;0),"Does not meet minimum connected load",IF(AND(O400&gt;0,AS400&gt;0,BK400&gt;0,'Proposed Lighting'!#REF!=0),"Select Control Strategies",IF(AND(AC400&gt;0.1,AJ400=0,AQ400=0),"Does not meet incentive criteria",0)))))))))))</f>
        <v>0</v>
      </c>
      <c r="AS400" s="1224" t="e">
        <f>IF('Proposed Lighting'!#REF!=100,0,IF(ISNUMBER(SEARCH("multiple",Q400)),1,0))</f>
        <v>#REF!</v>
      </c>
      <c r="AT400" s="451">
        <f t="shared" si="86"/>
        <v>0</v>
      </c>
      <c r="AU400" s="451" t="e">
        <f t="shared" si="87"/>
        <v>#REF!</v>
      </c>
      <c r="AV400" s="1222">
        <f>IF(ISNUMBER(SEARCH("Networked",'Proposed Lighting'!#REF!)),0,IF(ISNUMBER(SEARCH("Strategies",'Proposed Lighting'!#REF!)),0,IF(ISNUMBER(SEARCH("Removal",'Proposed Lighting'!#REF!)),0,IF(ISNUMBER(SEARCH("non-standard",Q400)),1,0))))</f>
        <v>0</v>
      </c>
      <c r="AW400" s="451">
        <f t="shared" si="77"/>
        <v>0</v>
      </c>
      <c r="AX400" s="451"/>
      <c r="AY400" s="451"/>
      <c r="AZ400" s="451"/>
      <c r="BA400" s="451"/>
      <c r="BB400" s="451"/>
      <c r="BC400" s="1215"/>
      <c r="BD400" s="1215"/>
      <c r="BE400" s="1215"/>
      <c r="BF400" s="1215"/>
      <c r="BG400" s="1215"/>
      <c r="BH400" s="1215"/>
      <c r="BI400" t="e">
        <f>IF(AND(AS400=1,BC400="No",BD400="Yes",BE400="Yes",BF400="No",BH400="No"),0,IF(AND('Proposed Lighting'!#REF!=2,AS400=1,BC400="Yes",BD400="Yes"),2,IF(AND('Proposed Lighting'!#REF!=2,AS400=1,BC400="Yes",BE400="Yes"),2,IF(AND('Proposed Lighting'!#REF!=2,AS400=1,BC400="Yes",BF400="Yes"),2,IF(AND('Proposed Lighting'!#REF!=2,AS400=1,BC400="Yes",BH400="Yes"),2,IF(AND('Proposed Lighting'!#REF!=2,AS400=1,BD400="Yes",BF400="Yes"),2,IF(AND('Proposed Lighting'!#REF!=2,AS400=1,BD400="Yes",BH400="Yes"),2,IF(AND('Proposed Lighting'!#REF!=3,AS400=1,BC400="Yes",BE400="Yes"),2,IF(AND('Proposed Lighting'!#REF!=3,AS400=1,BC400="Yes",BF400="Yes"),2,0)))))))))</f>
        <v>#REF!</v>
      </c>
      <c r="BJ400" s="1025" t="e">
        <f t="shared" si="88"/>
        <v>#REF!</v>
      </c>
      <c r="BK400" t="e">
        <f>IF(AND('Proposed Lighting'!#REF!=22,'Lighting Controls'!N400=1),0,IF(ISNUMBER(SEARCH("LED",G400)),1,0))</f>
        <v>#REF!</v>
      </c>
    </row>
    <row r="401" spans="1:63" ht="34.5" customHeight="1">
      <c r="A401" s="917">
        <v>393</v>
      </c>
      <c r="B401" s="1828" t="e">
        <f>IF('Proposed Lighting'!#REF!="","",'Proposed Lighting'!#REF!)</f>
        <v>#REF!</v>
      </c>
      <c r="C401" s="1828"/>
      <c r="D401" s="1828"/>
      <c r="E401" s="1245" t="e">
        <f>'Proposed Lighting'!#REF!</f>
        <v>#REF!</v>
      </c>
      <c r="F401" s="1245">
        <f t="shared" si="81"/>
        <v>0</v>
      </c>
      <c r="G401" s="1830" t="e">
        <f>IF('Proposed Lighting'!#REF!="","",IF(ISNUMBER(SEARCH("Networked",'Proposed Lighting'!#REF!)),0,IF(ISNUMBER(SEARCH("Strategies",'Proposed Lighting'!#REF!)),0,IF(ISNUMBER(SEARCH("Removal",'Proposed Lighting'!#REF!)),0,'Proposed Lighting'!#REF!))))</f>
        <v>#REF!</v>
      </c>
      <c r="H401" s="1830"/>
      <c r="I401" s="1830"/>
      <c r="J401" s="1830"/>
      <c r="K401" s="1215"/>
      <c r="L401" s="1246" t="e">
        <f t="shared" si="82"/>
        <v>#REF!</v>
      </c>
      <c r="M401" s="1224">
        <f t="shared" si="83"/>
        <v>0</v>
      </c>
      <c r="N401" s="1224">
        <f t="shared" si="84"/>
        <v>0</v>
      </c>
      <c r="O401" s="1825" t="e">
        <f>IF(G401=0,0,IF(ISNA('Proposed Lighting'!#REF!),0,'Proposed Lighting'!#REF!))</f>
        <v>#REF!</v>
      </c>
      <c r="P401" s="1825"/>
      <c r="Q401" s="1247"/>
      <c r="R401" s="1247"/>
      <c r="S401" s="1247"/>
      <c r="T401" s="1211"/>
      <c r="U401" s="1235">
        <f>IF(K401&gt;0.01,'Proposed Lighting'!#REF!,0)</f>
        <v>0</v>
      </c>
      <c r="V401" s="1248" t="e">
        <f>IF('Proposed Lighting'!#REF!=1,0,IF('Proposed Lighting'!#REF!=2,0,IF(AND('Proposed Lighting'!#REF!=3,'Proposed Lighting'!#REF!=0),1,0)))</f>
        <v>#REF!</v>
      </c>
      <c r="W401" s="1836"/>
      <c r="X401" s="1836"/>
      <c r="Y401" s="1836"/>
      <c r="Z401" s="1230" t="str">
        <f t="shared" si="78"/>
        <v/>
      </c>
      <c r="AA401" s="1230">
        <f t="shared" si="79"/>
        <v>0</v>
      </c>
      <c r="AB401" s="1230">
        <f>IF(Q401=0,0,IF(T401=0,0,IF(AA401=0,0,IF(AND(F401=3,V401=0),0,IF(T401=0,0,IF(K401&gt;'Proposed Lighting'!#REF!,0,IF('Proposed Lighting'!#REF!&gt;0.01,(K401*O401)*'Proposed Lighting'!#REF!/1000,(K401*O401)*U401/1000)))))))</f>
        <v>0</v>
      </c>
      <c r="AC401" s="1230" t="str">
        <f t="shared" si="85"/>
        <v/>
      </c>
      <c r="AD401" s="1230">
        <f t="shared" si="80"/>
        <v>0</v>
      </c>
      <c r="AE401" s="1230">
        <f>IF(T401=0,0,IF(K401&gt;'Proposed Lighting'!#REF!,0,IF(T401&gt;K401,0,IF(AND(AD401&gt;AA401,AA401&gt;0),0,IF(AND(F401&gt;1,W401&lt;0.01),0,IF('Proposed Lighting'!#REF!&gt;'Lighting Controls'!F401,0,IF('Proposed Lighting'!#REF!&lt;'Lighting Controls'!F401,0,IF(U401=0,0,Summary!#REF!))))))))</f>
        <v>0</v>
      </c>
      <c r="AF401" s="1230">
        <f>IF(T401=0,0,IF(AE401=0,0,IF(K401&gt;'Proposed Lighting'!#REF!,0,IF(AND(AD401&gt;AA401,AA401&gt;0),0,IF(U401=0,0,Summary!#REF!)))))</f>
        <v>0</v>
      </c>
      <c r="AG401" s="1834" t="e">
        <f>IF('Proposed Lighting'!#REF!=1,0,IF('Proposed Lighting'!#REF!=1,0,T401*W401))</f>
        <v>#REF!</v>
      </c>
      <c r="AH401" s="1834"/>
      <c r="AI401" s="1834"/>
      <c r="AJ401" s="1835">
        <f>IF(T401&lt;1,0,IF(K401&gt;'Proposed Lighting'!#REF!,0,IF('Proposed Lighting'!#REF!=1,0,IF('Proposed Lighting'!#REF!=1,0,IF(T401&gt;K401,0,IF(AND(AD401&gt;AA401,AA401&gt;0),0,IF(AND(F401=2,'Proposed Lighting'!#REF!=3),0,IF(AND(F401=3,'Proposed Lighting'!#REF!=2),0,IF('Proposed Lighting'!#REF!=100,0,IF(AND(F401&lt;3,V401=1,AM401=0),0,IF(AND(F401&gt;1,AF401&lt;1,AN401&lt;1),0,IF(AND(F401&gt;1,AE401&lt;0.69,AF401&lt;1,AN401&lt;1),0,IF(ISERROR(AB401-AC401),"",AB401-AC401)))))))))))))</f>
        <v>0</v>
      </c>
      <c r="AK401" s="1835"/>
      <c r="AL401" s="1835"/>
      <c r="AM401" s="1216">
        <f>IF(Q401=0,0,IF(T401=0,0,IF(T401&gt;K401,0,IF(AND(AS401&gt;0.01,BK401=0),0,IF(AND('Proposed Lighting'!#REF!=0,'Lighting Controls'!Z401=0.35),0,IF(AND(T401&lt;=K401,AA401&gt;=AD401,'Proposed Lighting'!#REF!=2),VLOOKUP(Q401,$AY$9:$AZ$15,2,FALSE),IF(AND(T401&lt;=K401,AA401&gt;=AD401,'Proposed Lighting'!#REF!=3),VLOOKUP(Q401,$AY$17:$AZ$23,2,FALSE))))))))</f>
        <v>0</v>
      </c>
      <c r="AN401" s="1248">
        <f>IF(T401=0,0,IF(K401&gt;'Proposed Lighting'!#REF!,0,IF(AE401=0,0,IF(AND(AD401&gt;AA401,AA401&gt;0),0,IF(U401=0,0,Summary!#REF!)))))</f>
        <v>0</v>
      </c>
      <c r="AO401" s="1248">
        <f t="shared" si="89"/>
        <v>0</v>
      </c>
      <c r="AP401" s="1249" t="e">
        <f>IF('Proposed Lighting'!#REF!=1,0,IF(K401=0,0,IF(T401&gt;K401,0,IF(G401=0,0,IF(K401&gt;'Proposed Lighting'!#REF!,0,IF(AND(AD401&gt;AA401,AA401&gt;0),0,IF(AND('Proposed Lighting'!#REF!=3,AM401=0.5),0,IF(AND(AM401&gt;0,AS401&gt;0,BI401&lt;2),0,IF('Proposed Lighting'!#REF!=100,0,IF(AV401=1,0,IF(AND(AM401=35,M401+N401&lt;2),0,AM401)))))))))))</f>
        <v>#REF!</v>
      </c>
      <c r="AQ401" s="1249" t="str">
        <f>IFERROR(ROUND(IF(Q401="","",IF('Proposed Lighting'!$X$4=0,0,IF(AND(AM401=35,M401+N401&lt;2),0,IF(T401&gt;K401,0,IF('Proposed Lighting'!#REF!=1,0,IF(AJ401=0,0,IF(AND('Proposed Lighting'!#REF!=3,AM401=0.5),0,IF(AND(AD401=75,AP401=0,AV401=0),0,IF(AP401&gt;0.01,AP401*T401,IF(AND(F401&gt;1,W401&lt;0.01),0,IF(AND(F401&gt;1,AO401=0),0,IF(AND('Proposed Lighting'!#REF!=22,AV401=0),0,IF(AND(AM401&gt;0,AS401&gt;0,BI401&lt;2),0,IF(AND(AS401&gt;0.01,BK401=0),0,IF(AND(AO401=TRUE,AV401=1,F401=3),MIN(AJ401*0.08,L401),IF(AP401&gt;0.01,AP401*T401,IF(AND(AO401=TRUE,AV401=1,F401=2),MIN(AJ401*0.1,L401)))))))))))))))))),2),"")</f>
        <v/>
      </c>
      <c r="AR401" s="1250">
        <f>IF(Q401=0,0,IF('Proposed Lighting'!$X$4=0,0,IF(AND(AM401&gt;0.01,AQ401&gt;0.01),0,IF('Proposed Lighting'!#REF!=1,"Missing Interior or Exterior Selection",IF('Proposed Lighting'!#REF!=1,"Selection does not match",IF(K401&gt;'Proposed Lighting'!#REF!,"Quantity controlled does not match proposed lighting quantity",IF(T401&gt;K401,"Quantity of sensors exceeds proposed lighting quantity",IF(AND(F401&gt;1,'Proposed Lighting'!#REF!&lt;&gt;F401),"Selection does not match",IF(AND(AD401&gt;AA401,AA401&gt;0),"Does not meet minimum connected load",IF(AND(O401&gt;0,AS401&gt;0,BK401&gt;0,'Proposed Lighting'!#REF!=0),"Select Control Strategies",IF(AND(AC401&gt;0.1,AJ401=0,AQ401=0),"Does not meet incentive criteria",0)))))))))))</f>
        <v>0</v>
      </c>
      <c r="AS401" s="1224" t="e">
        <f>IF('Proposed Lighting'!#REF!=100,0,IF(ISNUMBER(SEARCH("multiple",Q401)),1,0))</f>
        <v>#REF!</v>
      </c>
      <c r="AT401" s="451">
        <f t="shared" si="86"/>
        <v>0</v>
      </c>
      <c r="AU401" s="451" t="e">
        <f t="shared" si="87"/>
        <v>#REF!</v>
      </c>
      <c r="AV401" s="1222">
        <f>IF(ISNUMBER(SEARCH("Networked",'Proposed Lighting'!#REF!)),0,IF(ISNUMBER(SEARCH("Strategies",'Proposed Lighting'!#REF!)),0,IF(ISNUMBER(SEARCH("Removal",'Proposed Lighting'!#REF!)),0,IF(ISNUMBER(SEARCH("non-standard",Q401)),1,0))))</f>
        <v>0</v>
      </c>
      <c r="AW401" s="451">
        <f t="shared" ref="AW401:AW415" si="90">IF(AQ394&gt;0.01,AJ394,0)</f>
        <v>0</v>
      </c>
      <c r="AX401" s="451"/>
      <c r="AY401" s="451"/>
      <c r="AZ401" s="451"/>
      <c r="BA401" s="451"/>
      <c r="BB401" s="451"/>
      <c r="BC401" s="1215"/>
      <c r="BD401" s="1215"/>
      <c r="BE401" s="1215"/>
      <c r="BF401" s="1215"/>
      <c r="BG401" s="1215"/>
      <c r="BH401" s="1215"/>
      <c r="BI401" t="e">
        <f>IF(AND(AS401=1,BC401="No",BD401="Yes",BE401="Yes",BF401="No",BH401="No"),0,IF(AND('Proposed Lighting'!#REF!=2,AS401=1,BC401="Yes",BD401="Yes"),2,IF(AND('Proposed Lighting'!#REF!=2,AS401=1,BC401="Yes",BE401="Yes"),2,IF(AND('Proposed Lighting'!#REF!=2,AS401=1,BC401="Yes",BF401="Yes"),2,IF(AND('Proposed Lighting'!#REF!=2,AS401=1,BC401="Yes",BH401="Yes"),2,IF(AND('Proposed Lighting'!#REF!=2,AS401=1,BD401="Yes",BF401="Yes"),2,IF(AND('Proposed Lighting'!#REF!=2,AS401=1,BD401="Yes",BH401="Yes"),2,IF(AND('Proposed Lighting'!#REF!=3,AS401=1,BC401="Yes",BE401="Yes"),2,IF(AND('Proposed Lighting'!#REF!=3,AS401=1,BC401="Yes",BF401="Yes"),2,0)))))))))</f>
        <v>#REF!</v>
      </c>
      <c r="BJ401" s="1025" t="e">
        <f t="shared" si="88"/>
        <v>#REF!</v>
      </c>
      <c r="BK401" t="e">
        <f>IF(AND('Proposed Lighting'!#REF!=22,'Lighting Controls'!N401=1),0,IF(ISNUMBER(SEARCH("LED",G401)),1,0))</f>
        <v>#REF!</v>
      </c>
    </row>
    <row r="402" spans="1:63" ht="34.5" customHeight="1">
      <c r="A402" s="917">
        <v>394</v>
      </c>
      <c r="B402" s="1828" t="e">
        <f>IF('Proposed Lighting'!#REF!="","",'Proposed Lighting'!#REF!)</f>
        <v>#REF!</v>
      </c>
      <c r="C402" s="1828"/>
      <c r="D402" s="1828"/>
      <c r="E402" s="1245" t="e">
        <f>'Proposed Lighting'!#REF!</f>
        <v>#REF!</v>
      </c>
      <c r="F402" s="1245">
        <f t="shared" si="81"/>
        <v>0</v>
      </c>
      <c r="G402" s="1830" t="e">
        <f>IF('Proposed Lighting'!#REF!="","",IF(ISNUMBER(SEARCH("Networked",'Proposed Lighting'!#REF!)),0,IF(ISNUMBER(SEARCH("Strategies",'Proposed Lighting'!#REF!)),0,IF(ISNUMBER(SEARCH("Removal",'Proposed Lighting'!#REF!)),0,'Proposed Lighting'!#REF!))))</f>
        <v>#REF!</v>
      </c>
      <c r="H402" s="1830"/>
      <c r="I402" s="1830"/>
      <c r="J402" s="1830"/>
      <c r="K402" s="1215"/>
      <c r="L402" s="1246" t="e">
        <f t="shared" si="82"/>
        <v>#REF!</v>
      </c>
      <c r="M402" s="1224">
        <f t="shared" si="83"/>
        <v>0</v>
      </c>
      <c r="N402" s="1224">
        <f t="shared" si="84"/>
        <v>0</v>
      </c>
      <c r="O402" s="1825" t="e">
        <f>IF(G402=0,0,IF(ISNA('Proposed Lighting'!#REF!),0,'Proposed Lighting'!#REF!))</f>
        <v>#REF!</v>
      </c>
      <c r="P402" s="1825"/>
      <c r="Q402" s="1247"/>
      <c r="R402" s="1247"/>
      <c r="S402" s="1247"/>
      <c r="T402" s="1211"/>
      <c r="U402" s="1235">
        <f>IF(K402&gt;0.01,'Proposed Lighting'!#REF!,0)</f>
        <v>0</v>
      </c>
      <c r="V402" s="1248" t="e">
        <f>IF('Proposed Lighting'!#REF!=1,0,IF('Proposed Lighting'!#REF!=2,0,IF(AND('Proposed Lighting'!#REF!=3,'Proposed Lighting'!#REF!=0),1,0)))</f>
        <v>#REF!</v>
      </c>
      <c r="W402" s="1836"/>
      <c r="X402" s="1836"/>
      <c r="Y402" s="1836"/>
      <c r="Z402" s="1230" t="str">
        <f t="shared" si="78"/>
        <v/>
      </c>
      <c r="AA402" s="1230">
        <f t="shared" si="79"/>
        <v>0</v>
      </c>
      <c r="AB402" s="1230">
        <f>IF(Q402=0,0,IF(T402=0,0,IF(AA402=0,0,IF(AND(F402=3,V402=0),0,IF(T402=0,0,IF(K402&gt;'Proposed Lighting'!#REF!,0,IF('Proposed Lighting'!#REF!&gt;0.01,(K402*O402)*'Proposed Lighting'!#REF!/1000,(K402*O402)*U402/1000)))))))</f>
        <v>0</v>
      </c>
      <c r="AC402" s="1230" t="str">
        <f t="shared" si="85"/>
        <v/>
      </c>
      <c r="AD402" s="1230">
        <f t="shared" si="80"/>
        <v>0</v>
      </c>
      <c r="AE402" s="1230">
        <f>IF(T402=0,0,IF(K402&gt;'Proposed Lighting'!#REF!,0,IF(T402&gt;K402,0,IF(AND(AD402&gt;AA402,AA402&gt;0),0,IF(AND(F402&gt;1,W402&lt;0.01),0,IF('Proposed Lighting'!#REF!&gt;'Lighting Controls'!F402,0,IF('Proposed Lighting'!#REF!&lt;'Lighting Controls'!F402,0,IF(U402=0,0,Summary!#REF!))))))))</f>
        <v>0</v>
      </c>
      <c r="AF402" s="1230">
        <f>IF(T402=0,0,IF(AE402=0,0,IF(K402&gt;'Proposed Lighting'!#REF!,0,IF(AND(AD402&gt;AA402,AA402&gt;0),0,IF(U402=0,0,Summary!#REF!)))))</f>
        <v>0</v>
      </c>
      <c r="AG402" s="1834" t="e">
        <f>IF('Proposed Lighting'!#REF!=1,0,IF('Proposed Lighting'!#REF!=1,0,T402*W402))</f>
        <v>#REF!</v>
      </c>
      <c r="AH402" s="1834"/>
      <c r="AI402" s="1834"/>
      <c r="AJ402" s="1835">
        <f>IF(T402&lt;1,0,IF(K402&gt;'Proposed Lighting'!#REF!,0,IF('Proposed Lighting'!#REF!=1,0,IF('Proposed Lighting'!#REF!=1,0,IF(T402&gt;K402,0,IF(AND(AD402&gt;AA402,AA402&gt;0),0,IF(AND(F402=2,'Proposed Lighting'!#REF!=3),0,IF(AND(F402=3,'Proposed Lighting'!#REF!=2),0,IF('Proposed Lighting'!#REF!=100,0,IF(AND(F402&lt;3,V402=1,AM402=0),0,IF(AND(F402&gt;1,AF402&lt;1,AN402&lt;1),0,IF(AND(F402&gt;1,AE402&lt;0.69,AF402&lt;1,AN402&lt;1),0,IF(ISERROR(AB402-AC402),"",AB402-AC402)))))))))))))</f>
        <v>0</v>
      </c>
      <c r="AK402" s="1835"/>
      <c r="AL402" s="1835"/>
      <c r="AM402" s="1216">
        <f>IF(Q402=0,0,IF(T402=0,0,IF(T402&gt;K402,0,IF(AND(AS402&gt;0.01,BK402=0),0,IF(AND('Proposed Lighting'!#REF!=0,'Lighting Controls'!Z402=0.35),0,IF(AND(T402&lt;=K402,AA402&gt;=AD402,'Proposed Lighting'!#REF!=2),VLOOKUP(Q402,$AY$9:$AZ$15,2,FALSE),IF(AND(T402&lt;=K402,AA402&gt;=AD402,'Proposed Lighting'!#REF!=3),VLOOKUP(Q402,$AY$17:$AZ$23,2,FALSE))))))))</f>
        <v>0</v>
      </c>
      <c r="AN402" s="1248">
        <f>IF(T402=0,0,IF(K402&gt;'Proposed Lighting'!#REF!,0,IF(AE402=0,0,IF(AND(AD402&gt;AA402,AA402&gt;0),0,IF(U402=0,0,Summary!#REF!)))))</f>
        <v>0</v>
      </c>
      <c r="AO402" s="1248">
        <f t="shared" si="89"/>
        <v>0</v>
      </c>
      <c r="AP402" s="1249" t="e">
        <f>IF('Proposed Lighting'!#REF!=1,0,IF(K402=0,0,IF(T402&gt;K402,0,IF(G402=0,0,IF(K402&gt;'Proposed Lighting'!#REF!,0,IF(AND(AD402&gt;AA402,AA402&gt;0),0,IF(AND('Proposed Lighting'!#REF!=3,AM402=0.5),0,IF(AND(AM402&gt;0,AS402&gt;0,BI402&lt;2),0,IF('Proposed Lighting'!#REF!=100,0,IF(AV402=1,0,IF(AND(AM402=35,M402+N402&lt;2),0,AM402)))))))))))</f>
        <v>#REF!</v>
      </c>
      <c r="AQ402" s="1249" t="str">
        <f>IFERROR(ROUND(IF(Q402="","",IF('Proposed Lighting'!$X$4=0,0,IF(AND(AM402=35,M402+N402&lt;2),0,IF(T402&gt;K402,0,IF('Proposed Lighting'!#REF!=1,0,IF(AJ402=0,0,IF(AND('Proposed Lighting'!#REF!=3,AM402=0.5),0,IF(AND(AD402=75,AP402=0,AV402=0),0,IF(AP402&gt;0.01,AP402*T402,IF(AND(F402&gt;1,W402&lt;0.01),0,IF(AND(F402&gt;1,AO402=0),0,IF(AND('Proposed Lighting'!#REF!=22,AV402=0),0,IF(AND(AM402&gt;0,AS402&gt;0,BI402&lt;2),0,IF(AND(AS402&gt;0.01,BK402=0),0,IF(AND(AO402=TRUE,AV402=1,F402=3),MIN(AJ402*0.08,L402),IF(AP402&gt;0.01,AP402*T402,IF(AND(AO402=TRUE,AV402=1,F402=2),MIN(AJ402*0.1,L402)))))))))))))))))),2),"")</f>
        <v/>
      </c>
      <c r="AR402" s="1250">
        <f>IF(Q402=0,0,IF('Proposed Lighting'!$X$4=0,0,IF(AND(AM402&gt;0.01,AQ402&gt;0.01),0,IF('Proposed Lighting'!#REF!=1,"Missing Interior or Exterior Selection",IF('Proposed Lighting'!#REF!=1,"Selection does not match",IF(K402&gt;'Proposed Lighting'!#REF!,"Quantity controlled does not match proposed lighting quantity",IF(T402&gt;K402,"Quantity of sensors exceeds proposed lighting quantity",IF(AND(F402&gt;1,'Proposed Lighting'!#REF!&lt;&gt;F402),"Selection does not match",IF(AND(AD402&gt;AA402,AA402&gt;0),"Does not meet minimum connected load",IF(AND(O402&gt;0,AS402&gt;0,BK402&gt;0,'Proposed Lighting'!#REF!=0),"Select Control Strategies",IF(AND(AC402&gt;0.1,AJ402=0,AQ402=0),"Does not meet incentive criteria",0)))))))))))</f>
        <v>0</v>
      </c>
      <c r="AS402" s="1224" t="e">
        <f>IF('Proposed Lighting'!#REF!=100,0,IF(ISNUMBER(SEARCH("multiple",Q402)),1,0))</f>
        <v>#REF!</v>
      </c>
      <c r="AT402" s="451">
        <f t="shared" si="86"/>
        <v>0</v>
      </c>
      <c r="AU402" s="451" t="e">
        <f t="shared" si="87"/>
        <v>#REF!</v>
      </c>
      <c r="AV402" s="1222">
        <f>IF(ISNUMBER(SEARCH("Networked",'Proposed Lighting'!#REF!)),0,IF(ISNUMBER(SEARCH("Strategies",'Proposed Lighting'!#REF!)),0,IF(ISNUMBER(SEARCH("Removal",'Proposed Lighting'!#REF!)),0,IF(ISNUMBER(SEARCH("non-standard",Q402)),1,0))))</f>
        <v>0</v>
      </c>
      <c r="AW402" s="451">
        <f t="shared" si="90"/>
        <v>0</v>
      </c>
      <c r="AX402" s="451"/>
      <c r="AY402" s="451"/>
      <c r="AZ402" s="451"/>
      <c r="BA402" s="451"/>
      <c r="BB402" s="451"/>
      <c r="BC402" s="1215"/>
      <c r="BD402" s="1215"/>
      <c r="BE402" s="1215"/>
      <c r="BF402" s="1215"/>
      <c r="BG402" s="1215"/>
      <c r="BH402" s="1215"/>
      <c r="BI402" t="e">
        <f>IF(AND(AS402=1,BC402="No",BD402="Yes",BE402="Yes",BF402="No",BH402="No"),0,IF(AND('Proposed Lighting'!#REF!=2,AS402=1,BC402="Yes",BD402="Yes"),2,IF(AND('Proposed Lighting'!#REF!=2,AS402=1,BC402="Yes",BE402="Yes"),2,IF(AND('Proposed Lighting'!#REF!=2,AS402=1,BC402="Yes",BF402="Yes"),2,IF(AND('Proposed Lighting'!#REF!=2,AS402=1,BC402="Yes",BH402="Yes"),2,IF(AND('Proposed Lighting'!#REF!=2,AS402=1,BD402="Yes",BF402="Yes"),2,IF(AND('Proposed Lighting'!#REF!=2,AS402=1,BD402="Yes",BH402="Yes"),2,IF(AND('Proposed Lighting'!#REF!=3,AS402=1,BC402="Yes",BE402="Yes"),2,IF(AND('Proposed Lighting'!#REF!=3,AS402=1,BC402="Yes",BF402="Yes"),2,0)))))))))</f>
        <v>#REF!</v>
      </c>
      <c r="BJ402" s="1025" t="e">
        <f t="shared" si="88"/>
        <v>#REF!</v>
      </c>
      <c r="BK402" t="e">
        <f>IF(AND('Proposed Lighting'!#REF!=22,'Lighting Controls'!N402=1),0,IF(ISNUMBER(SEARCH("LED",G402)),1,0))</f>
        <v>#REF!</v>
      </c>
    </row>
    <row r="403" spans="1:63" ht="34.5" customHeight="1">
      <c r="A403" s="917">
        <v>395</v>
      </c>
      <c r="B403" s="1828" t="e">
        <f>IF('Proposed Lighting'!#REF!="","",'Proposed Lighting'!#REF!)</f>
        <v>#REF!</v>
      </c>
      <c r="C403" s="1828"/>
      <c r="D403" s="1828"/>
      <c r="E403" s="1245" t="e">
        <f>'Proposed Lighting'!#REF!</f>
        <v>#REF!</v>
      </c>
      <c r="F403" s="1245">
        <f t="shared" si="81"/>
        <v>0</v>
      </c>
      <c r="G403" s="1830" t="e">
        <f>IF('Proposed Lighting'!#REF!="","",IF(ISNUMBER(SEARCH("Networked",'Proposed Lighting'!#REF!)),0,IF(ISNUMBER(SEARCH("Strategies",'Proposed Lighting'!#REF!)),0,IF(ISNUMBER(SEARCH("Removal",'Proposed Lighting'!#REF!)),0,'Proposed Lighting'!#REF!))))</f>
        <v>#REF!</v>
      </c>
      <c r="H403" s="1830"/>
      <c r="I403" s="1830"/>
      <c r="J403" s="1830"/>
      <c r="K403" s="1215"/>
      <c r="L403" s="1246" t="e">
        <f t="shared" si="82"/>
        <v>#REF!</v>
      </c>
      <c r="M403" s="1224">
        <f t="shared" si="83"/>
        <v>0</v>
      </c>
      <c r="N403" s="1224">
        <f t="shared" si="84"/>
        <v>0</v>
      </c>
      <c r="O403" s="1825" t="e">
        <f>IF(G403=0,0,IF(ISNA('Proposed Lighting'!#REF!),0,'Proposed Lighting'!#REF!))</f>
        <v>#REF!</v>
      </c>
      <c r="P403" s="1825"/>
      <c r="Q403" s="1247"/>
      <c r="R403" s="1247"/>
      <c r="S403" s="1247"/>
      <c r="T403" s="1211"/>
      <c r="U403" s="1235">
        <f>IF(K403&gt;0.01,'Proposed Lighting'!#REF!,0)</f>
        <v>0</v>
      </c>
      <c r="V403" s="1248" t="e">
        <f>IF('Proposed Lighting'!#REF!=1,0,IF('Proposed Lighting'!#REF!=2,0,IF(AND('Proposed Lighting'!#REF!=3,'Proposed Lighting'!#REF!=0),1,0)))</f>
        <v>#REF!</v>
      </c>
      <c r="W403" s="1836"/>
      <c r="X403" s="1836"/>
      <c r="Y403" s="1836"/>
      <c r="Z403" s="1230" t="str">
        <f t="shared" si="78"/>
        <v/>
      </c>
      <c r="AA403" s="1230">
        <f t="shared" si="79"/>
        <v>0</v>
      </c>
      <c r="AB403" s="1230">
        <f>IF(Q403=0,0,IF(T403=0,0,IF(AA403=0,0,IF(AND(F403=3,V403=0),0,IF(T403=0,0,IF(K403&gt;'Proposed Lighting'!#REF!,0,IF('Proposed Lighting'!#REF!&gt;0.01,(K403*O403)*'Proposed Lighting'!#REF!/1000,(K403*O403)*U403/1000)))))))</f>
        <v>0</v>
      </c>
      <c r="AC403" s="1230" t="str">
        <f t="shared" si="85"/>
        <v/>
      </c>
      <c r="AD403" s="1230">
        <f t="shared" si="80"/>
        <v>0</v>
      </c>
      <c r="AE403" s="1230">
        <f>IF(T403=0,0,IF(K403&gt;'Proposed Lighting'!#REF!,0,IF(T403&gt;K403,0,IF(AND(AD403&gt;AA403,AA403&gt;0),0,IF(AND(F403&gt;1,W403&lt;0.01),0,IF('Proposed Lighting'!#REF!&gt;'Lighting Controls'!F403,0,IF('Proposed Lighting'!#REF!&lt;'Lighting Controls'!F403,0,IF(U403=0,0,Summary!#REF!))))))))</f>
        <v>0</v>
      </c>
      <c r="AF403" s="1230">
        <f>IF(T403=0,0,IF(AE403=0,0,IF(K403&gt;'Proposed Lighting'!#REF!,0,IF(AND(AD403&gt;AA403,AA403&gt;0),0,IF(U403=0,0,Summary!#REF!)))))</f>
        <v>0</v>
      </c>
      <c r="AG403" s="1834" t="e">
        <f>IF('Proposed Lighting'!#REF!=1,0,IF('Proposed Lighting'!#REF!=1,0,T403*W403))</f>
        <v>#REF!</v>
      </c>
      <c r="AH403" s="1834"/>
      <c r="AI403" s="1834"/>
      <c r="AJ403" s="1835">
        <f>IF(T403&lt;1,0,IF(K403&gt;'Proposed Lighting'!#REF!,0,IF('Proposed Lighting'!#REF!=1,0,IF('Proposed Lighting'!#REF!=1,0,IF(T403&gt;K403,0,IF(AND(AD403&gt;AA403,AA403&gt;0),0,IF(AND(F403=2,'Proposed Lighting'!#REF!=3),0,IF(AND(F403=3,'Proposed Lighting'!#REF!=2),0,IF('Proposed Lighting'!#REF!=100,0,IF(AND(F403&lt;3,V403=1,AM403=0),0,IF(AND(F403&gt;1,AF403&lt;1,AN403&lt;1),0,IF(AND(F403&gt;1,AE403&lt;0.69,AF403&lt;1,AN403&lt;1),0,IF(ISERROR(AB403-AC403),"",AB403-AC403)))))))))))))</f>
        <v>0</v>
      </c>
      <c r="AK403" s="1835"/>
      <c r="AL403" s="1835"/>
      <c r="AM403" s="1216">
        <f>IF(Q403=0,0,IF(T403=0,0,IF(T403&gt;K403,0,IF(AND(AS403&gt;0.01,BK403=0),0,IF(AND('Proposed Lighting'!#REF!=0,'Lighting Controls'!Z403=0.35),0,IF(AND(T403&lt;=K403,AA403&gt;=AD403,'Proposed Lighting'!#REF!=2),VLOOKUP(Q403,$AY$9:$AZ$15,2,FALSE),IF(AND(T403&lt;=K403,AA403&gt;=AD403,'Proposed Lighting'!#REF!=3),VLOOKUP(Q403,$AY$17:$AZ$23,2,FALSE))))))))</f>
        <v>0</v>
      </c>
      <c r="AN403" s="1248">
        <f>IF(T403=0,0,IF(K403&gt;'Proposed Lighting'!#REF!,0,IF(AE403=0,0,IF(AND(AD403&gt;AA403,AA403&gt;0),0,IF(U403=0,0,Summary!#REF!)))))</f>
        <v>0</v>
      </c>
      <c r="AO403" s="1248">
        <f t="shared" si="89"/>
        <v>0</v>
      </c>
      <c r="AP403" s="1249" t="e">
        <f>IF('Proposed Lighting'!#REF!=1,0,IF(K403=0,0,IF(T403&gt;K403,0,IF(G403=0,0,IF(K403&gt;'Proposed Lighting'!#REF!,0,IF(AND(AD403&gt;AA403,AA403&gt;0),0,IF(AND('Proposed Lighting'!#REF!=3,AM403=0.5),0,IF(AND(AM403&gt;0,AS403&gt;0,BI403&lt;2),0,IF('Proposed Lighting'!#REF!=100,0,IF(AV403=1,0,IF(AND(AM403=35,M403+N403&lt;2),0,AM403)))))))))))</f>
        <v>#REF!</v>
      </c>
      <c r="AQ403" s="1249" t="str">
        <f>IFERROR(ROUND(IF(Q403="","",IF('Proposed Lighting'!$X$4=0,0,IF(AND(AM403=35,M403+N403&lt;2),0,IF(T403&gt;K403,0,IF('Proposed Lighting'!#REF!=1,0,IF(AJ403=0,0,IF(AND('Proposed Lighting'!#REF!=3,AM403=0.5),0,IF(AND(AD403=75,AP403=0,AV403=0),0,IF(AP403&gt;0.01,AP403*T403,IF(AND(F403&gt;1,W403&lt;0.01),0,IF(AND(F403&gt;1,AO403=0),0,IF(AND('Proposed Lighting'!#REF!=22,AV403=0),0,IF(AND(AM403&gt;0,AS403&gt;0,BI403&lt;2),0,IF(AND(AS403&gt;0.01,BK403=0),0,IF(AND(AO403=TRUE,AV403=1,F403=3),MIN(AJ403*0.08,L403),IF(AP403&gt;0.01,AP403*T403,IF(AND(AO403=TRUE,AV403=1,F403=2),MIN(AJ403*0.1,L403)))))))))))))))))),2),"")</f>
        <v/>
      </c>
      <c r="AR403" s="1250">
        <f>IF(Q403=0,0,IF('Proposed Lighting'!$X$4=0,0,IF(AND(AM403&gt;0.01,AQ403&gt;0.01),0,IF('Proposed Lighting'!#REF!=1,"Missing Interior or Exterior Selection",IF('Proposed Lighting'!#REF!=1,"Selection does not match",IF(K403&gt;'Proposed Lighting'!#REF!,"Quantity controlled does not match proposed lighting quantity",IF(T403&gt;K403,"Quantity of sensors exceeds proposed lighting quantity",IF(AND(F403&gt;1,'Proposed Lighting'!#REF!&lt;&gt;F403),"Selection does not match",IF(AND(AD403&gt;AA403,AA403&gt;0),"Does not meet minimum connected load",IF(AND(O403&gt;0,AS403&gt;0,BK403&gt;0,'Proposed Lighting'!#REF!=0),"Select Control Strategies",IF(AND(AC403&gt;0.1,AJ403=0,AQ403=0),"Does not meet incentive criteria",0)))))))))))</f>
        <v>0</v>
      </c>
      <c r="AS403" s="1224" t="e">
        <f>IF('Proposed Lighting'!#REF!=100,0,IF(ISNUMBER(SEARCH("multiple",Q403)),1,0))</f>
        <v>#REF!</v>
      </c>
      <c r="AT403" s="451">
        <f t="shared" si="86"/>
        <v>0</v>
      </c>
      <c r="AU403" s="451" t="e">
        <f t="shared" si="87"/>
        <v>#REF!</v>
      </c>
      <c r="AV403" s="1222">
        <f>IF(ISNUMBER(SEARCH("Networked",'Proposed Lighting'!#REF!)),0,IF(ISNUMBER(SEARCH("Strategies",'Proposed Lighting'!#REF!)),0,IF(ISNUMBER(SEARCH("Removal",'Proposed Lighting'!#REF!)),0,IF(ISNUMBER(SEARCH("non-standard",Q403)),1,0))))</f>
        <v>0</v>
      </c>
      <c r="AW403" s="451">
        <f t="shared" si="90"/>
        <v>0</v>
      </c>
      <c r="AX403" s="451"/>
      <c r="AY403" s="451"/>
      <c r="AZ403" s="451"/>
      <c r="BA403" s="451"/>
      <c r="BB403" s="451"/>
      <c r="BC403" s="1215"/>
      <c r="BD403" s="1215"/>
      <c r="BE403" s="1215"/>
      <c r="BF403" s="1215"/>
      <c r="BG403" s="1215"/>
      <c r="BH403" s="1215"/>
      <c r="BI403" t="e">
        <f>IF(AND(AS403=1,BC403="No",BD403="Yes",BE403="Yes",BF403="No",BH403="No"),0,IF(AND('Proposed Lighting'!#REF!=2,AS403=1,BC403="Yes",BD403="Yes"),2,IF(AND('Proposed Lighting'!#REF!=2,AS403=1,BC403="Yes",BE403="Yes"),2,IF(AND('Proposed Lighting'!#REF!=2,AS403=1,BC403="Yes",BF403="Yes"),2,IF(AND('Proposed Lighting'!#REF!=2,AS403=1,BC403="Yes",BH403="Yes"),2,IF(AND('Proposed Lighting'!#REF!=2,AS403=1,BD403="Yes",BF403="Yes"),2,IF(AND('Proposed Lighting'!#REF!=2,AS403=1,BD403="Yes",BH403="Yes"),2,IF(AND('Proposed Lighting'!#REF!=3,AS403=1,BC403="Yes",BE403="Yes"),2,IF(AND('Proposed Lighting'!#REF!=3,AS403=1,BC403="Yes",BF403="Yes"),2,0)))))))))</f>
        <v>#REF!</v>
      </c>
      <c r="BJ403" s="1025" t="e">
        <f t="shared" si="88"/>
        <v>#REF!</v>
      </c>
      <c r="BK403" t="e">
        <f>IF(AND('Proposed Lighting'!#REF!=22,'Lighting Controls'!N403=1),0,IF(ISNUMBER(SEARCH("LED",G403)),1,0))</f>
        <v>#REF!</v>
      </c>
    </row>
    <row r="404" spans="1:63" ht="34.5" customHeight="1">
      <c r="A404" s="917">
        <v>396</v>
      </c>
      <c r="B404" s="1828" t="e">
        <f>IF('Proposed Lighting'!#REF!="","",'Proposed Lighting'!#REF!)</f>
        <v>#REF!</v>
      </c>
      <c r="C404" s="1828"/>
      <c r="D404" s="1828"/>
      <c r="E404" s="1245" t="e">
        <f>'Proposed Lighting'!#REF!</f>
        <v>#REF!</v>
      </c>
      <c r="F404" s="1245">
        <f t="shared" si="81"/>
        <v>0</v>
      </c>
      <c r="G404" s="1830" t="e">
        <f>IF('Proposed Lighting'!#REF!="","",IF(ISNUMBER(SEARCH("Networked",'Proposed Lighting'!#REF!)),0,IF(ISNUMBER(SEARCH("Strategies",'Proposed Lighting'!#REF!)),0,IF(ISNUMBER(SEARCH("Removal",'Proposed Lighting'!#REF!)),0,'Proposed Lighting'!#REF!))))</f>
        <v>#REF!</v>
      </c>
      <c r="H404" s="1830"/>
      <c r="I404" s="1830"/>
      <c r="J404" s="1830"/>
      <c r="K404" s="1215"/>
      <c r="L404" s="1246" t="e">
        <f t="shared" si="82"/>
        <v>#REF!</v>
      </c>
      <c r="M404" s="1224">
        <f t="shared" si="83"/>
        <v>0</v>
      </c>
      <c r="N404" s="1224">
        <f t="shared" si="84"/>
        <v>0</v>
      </c>
      <c r="O404" s="1825" t="e">
        <f>IF(G404=0,0,IF(ISNA('Proposed Lighting'!#REF!),0,'Proposed Lighting'!#REF!))</f>
        <v>#REF!</v>
      </c>
      <c r="P404" s="1825"/>
      <c r="Q404" s="1247"/>
      <c r="R404" s="1247"/>
      <c r="S404" s="1247"/>
      <c r="T404" s="1211"/>
      <c r="U404" s="1235">
        <f>IF(K404&gt;0.01,'Proposed Lighting'!#REF!,0)</f>
        <v>0</v>
      </c>
      <c r="V404" s="1248" t="e">
        <f>IF('Proposed Lighting'!#REF!=1,0,IF('Proposed Lighting'!#REF!=2,0,IF(AND('Proposed Lighting'!#REF!=3,'Proposed Lighting'!#REF!=0),1,0)))</f>
        <v>#REF!</v>
      </c>
      <c r="W404" s="1836"/>
      <c r="X404" s="1836"/>
      <c r="Y404" s="1836"/>
      <c r="Z404" s="1230" t="str">
        <f t="shared" si="78"/>
        <v/>
      </c>
      <c r="AA404" s="1230">
        <f t="shared" si="79"/>
        <v>0</v>
      </c>
      <c r="AB404" s="1230">
        <f>IF(Q404=0,0,IF(T404=0,0,IF(AA404=0,0,IF(AND(F404=3,V404=0),0,IF(T404=0,0,IF(K404&gt;'Proposed Lighting'!#REF!,0,IF('Proposed Lighting'!#REF!&gt;0.01,(K404*O404)*'Proposed Lighting'!#REF!/1000,(K404*O404)*U404/1000)))))))</f>
        <v>0</v>
      </c>
      <c r="AC404" s="1230" t="str">
        <f t="shared" si="85"/>
        <v/>
      </c>
      <c r="AD404" s="1230">
        <f t="shared" si="80"/>
        <v>0</v>
      </c>
      <c r="AE404" s="1230">
        <f>IF(T404=0,0,IF(K404&gt;'Proposed Lighting'!#REF!,0,IF(T404&gt;K404,0,IF(AND(AD404&gt;AA404,AA404&gt;0),0,IF(AND(F404&gt;1,W404&lt;0.01),0,IF('Proposed Lighting'!#REF!&gt;'Lighting Controls'!F404,0,IF('Proposed Lighting'!#REF!&lt;'Lighting Controls'!F404,0,IF(U404=0,0,Summary!#REF!))))))))</f>
        <v>0</v>
      </c>
      <c r="AF404" s="1230">
        <f>IF(T404=0,0,IF(AE404=0,0,IF(K404&gt;'Proposed Lighting'!#REF!,0,IF(AND(AD404&gt;AA404,AA404&gt;0),0,IF(U404=0,0,Summary!#REF!)))))</f>
        <v>0</v>
      </c>
      <c r="AG404" s="1834" t="e">
        <f>IF('Proposed Lighting'!#REF!=1,0,IF('Proposed Lighting'!#REF!=1,0,T404*W404))</f>
        <v>#REF!</v>
      </c>
      <c r="AH404" s="1834"/>
      <c r="AI404" s="1834"/>
      <c r="AJ404" s="1835">
        <f>IF(T404&lt;1,0,IF(K404&gt;'Proposed Lighting'!#REF!,0,IF('Proposed Lighting'!#REF!=1,0,IF('Proposed Lighting'!#REF!=1,0,IF(T404&gt;K404,0,IF(AND(AD404&gt;AA404,AA404&gt;0),0,IF(AND(F404=2,'Proposed Lighting'!#REF!=3),0,IF(AND(F404=3,'Proposed Lighting'!#REF!=2),0,IF('Proposed Lighting'!#REF!=100,0,IF(AND(F404&lt;3,V404=1,AM404=0),0,IF(AND(F404&gt;1,AF404&lt;1,AN404&lt;1),0,IF(AND(F404&gt;1,AE404&lt;0.69,AF404&lt;1,AN404&lt;1),0,IF(ISERROR(AB404-AC404),"",AB404-AC404)))))))))))))</f>
        <v>0</v>
      </c>
      <c r="AK404" s="1835"/>
      <c r="AL404" s="1835"/>
      <c r="AM404" s="1216">
        <f>IF(Q404=0,0,IF(T404=0,0,IF(T404&gt;K404,0,IF(AND(AS404&gt;0.01,BK404=0),0,IF(AND('Proposed Lighting'!#REF!=0,'Lighting Controls'!Z404=0.35),0,IF(AND(T404&lt;=K404,AA404&gt;=AD404,'Proposed Lighting'!#REF!=2),VLOOKUP(Q404,$AY$9:$AZ$15,2,FALSE),IF(AND(T404&lt;=K404,AA404&gt;=AD404,'Proposed Lighting'!#REF!=3),VLOOKUP(Q404,$AY$17:$AZ$23,2,FALSE))))))))</f>
        <v>0</v>
      </c>
      <c r="AN404" s="1248">
        <f>IF(T404=0,0,IF(K404&gt;'Proposed Lighting'!#REF!,0,IF(AE404=0,0,IF(AND(AD404&gt;AA404,AA404&gt;0),0,IF(U404=0,0,Summary!#REF!)))))</f>
        <v>0</v>
      </c>
      <c r="AO404" s="1248">
        <f t="shared" si="89"/>
        <v>0</v>
      </c>
      <c r="AP404" s="1249" t="e">
        <f>IF('Proposed Lighting'!#REF!=1,0,IF(K404=0,0,IF(T404&gt;K404,0,IF(G404=0,0,IF(K404&gt;'Proposed Lighting'!#REF!,0,IF(AND(AD404&gt;AA404,AA404&gt;0),0,IF(AND('Proposed Lighting'!#REF!=3,AM404=0.5),0,IF(AND(AM404&gt;0,AS404&gt;0,BI404&lt;2),0,IF('Proposed Lighting'!#REF!=100,0,IF(AV404=1,0,IF(AND(AM404=35,M404+N404&lt;2),0,AM404)))))))))))</f>
        <v>#REF!</v>
      </c>
      <c r="AQ404" s="1249" t="str">
        <f>IFERROR(ROUND(IF(Q404="","",IF('Proposed Lighting'!$X$4=0,0,IF(AND(AM404=35,M404+N404&lt;2),0,IF(T404&gt;K404,0,IF('Proposed Lighting'!#REF!=1,0,IF(AJ404=0,0,IF(AND('Proposed Lighting'!#REF!=3,AM404=0.5),0,IF(AND(AD404=75,AP404=0,AV404=0),0,IF(AP404&gt;0.01,AP404*T404,IF(AND(F404&gt;1,W404&lt;0.01),0,IF(AND(F404&gt;1,AO404=0),0,IF(AND('Proposed Lighting'!#REF!=22,AV404=0),0,IF(AND(AM404&gt;0,AS404&gt;0,BI404&lt;2),0,IF(AND(AS404&gt;0.01,BK404=0),0,IF(AND(AO404=TRUE,AV404=1,F404=3),MIN(AJ404*0.08,L404),IF(AP404&gt;0.01,AP404*T404,IF(AND(AO404=TRUE,AV404=1,F404=2),MIN(AJ404*0.1,L404)))))))))))))))))),2),"")</f>
        <v/>
      </c>
      <c r="AR404" s="1250">
        <f>IF(Q404=0,0,IF('Proposed Lighting'!$X$4=0,0,IF(AND(AM404&gt;0.01,AQ404&gt;0.01),0,IF('Proposed Lighting'!#REF!=1,"Missing Interior or Exterior Selection",IF('Proposed Lighting'!#REF!=1,"Selection does not match",IF(K404&gt;'Proposed Lighting'!#REF!,"Quantity controlled does not match proposed lighting quantity",IF(T404&gt;K404,"Quantity of sensors exceeds proposed lighting quantity",IF(AND(F404&gt;1,'Proposed Lighting'!#REF!&lt;&gt;F404),"Selection does not match",IF(AND(AD404&gt;AA404,AA404&gt;0),"Does not meet minimum connected load",IF(AND(O404&gt;0,AS404&gt;0,BK404&gt;0,'Proposed Lighting'!#REF!=0),"Select Control Strategies",IF(AND(AC404&gt;0.1,AJ404=0,AQ404=0),"Does not meet incentive criteria",0)))))))))))</f>
        <v>0</v>
      </c>
      <c r="AS404" s="1224" t="e">
        <f>IF('Proposed Lighting'!#REF!=100,0,IF(ISNUMBER(SEARCH("multiple",Q404)),1,0))</f>
        <v>#REF!</v>
      </c>
      <c r="AT404" s="451">
        <f t="shared" si="86"/>
        <v>0</v>
      </c>
      <c r="AU404" s="451" t="e">
        <f t="shared" si="87"/>
        <v>#REF!</v>
      </c>
      <c r="AV404" s="1222">
        <f>IF(ISNUMBER(SEARCH("Networked",'Proposed Lighting'!#REF!)),0,IF(ISNUMBER(SEARCH("Strategies",'Proposed Lighting'!#REF!)),0,IF(ISNUMBER(SEARCH("Removal",'Proposed Lighting'!#REF!)),0,IF(ISNUMBER(SEARCH("non-standard",Q404)),1,0))))</f>
        <v>0</v>
      </c>
      <c r="AW404" s="451">
        <f t="shared" si="90"/>
        <v>0</v>
      </c>
      <c r="AX404" s="451"/>
      <c r="AY404" s="451"/>
      <c r="AZ404" s="451"/>
      <c r="BA404" s="451"/>
      <c r="BB404" s="451"/>
      <c r="BC404" s="1215"/>
      <c r="BD404" s="1215"/>
      <c r="BE404" s="1215"/>
      <c r="BF404" s="1215"/>
      <c r="BG404" s="1215"/>
      <c r="BH404" s="1215"/>
      <c r="BI404" t="e">
        <f>IF(AND(AS404=1,BC404="No",BD404="Yes",BE404="Yes",BF404="No",BH404="No"),0,IF(AND('Proposed Lighting'!#REF!=2,AS404=1,BC404="Yes",BD404="Yes"),2,IF(AND('Proposed Lighting'!#REF!=2,AS404=1,BC404="Yes",BE404="Yes"),2,IF(AND('Proposed Lighting'!#REF!=2,AS404=1,BC404="Yes",BF404="Yes"),2,IF(AND('Proposed Lighting'!#REF!=2,AS404=1,BC404="Yes",BH404="Yes"),2,IF(AND('Proposed Lighting'!#REF!=2,AS404=1,BD404="Yes",BF404="Yes"),2,IF(AND('Proposed Lighting'!#REF!=2,AS404=1,BD404="Yes",BH404="Yes"),2,IF(AND('Proposed Lighting'!#REF!=3,AS404=1,BC404="Yes",BE404="Yes"),2,IF(AND('Proposed Lighting'!#REF!=3,AS404=1,BC404="Yes",BF404="Yes"),2,0)))))))))</f>
        <v>#REF!</v>
      </c>
      <c r="BJ404" s="1025" t="e">
        <f t="shared" si="88"/>
        <v>#REF!</v>
      </c>
      <c r="BK404" t="e">
        <f>IF(AND('Proposed Lighting'!#REF!=22,'Lighting Controls'!N404=1),0,IF(ISNUMBER(SEARCH("LED",G404)),1,0))</f>
        <v>#REF!</v>
      </c>
    </row>
    <row r="405" spans="1:63" ht="34.5" customHeight="1">
      <c r="A405" s="917">
        <v>397</v>
      </c>
      <c r="B405" s="1828" t="e">
        <f>IF('Proposed Lighting'!#REF!="","",'Proposed Lighting'!#REF!)</f>
        <v>#REF!</v>
      </c>
      <c r="C405" s="1828"/>
      <c r="D405" s="1828"/>
      <c r="E405" s="1245" t="e">
        <f>'Proposed Lighting'!#REF!</f>
        <v>#REF!</v>
      </c>
      <c r="F405" s="1245">
        <f t="shared" si="81"/>
        <v>0</v>
      </c>
      <c r="G405" s="1830" t="e">
        <f>IF('Proposed Lighting'!#REF!="","",IF(ISNUMBER(SEARCH("Networked",'Proposed Lighting'!#REF!)),0,IF(ISNUMBER(SEARCH("Strategies",'Proposed Lighting'!#REF!)),0,IF(ISNUMBER(SEARCH("Removal",'Proposed Lighting'!#REF!)),0,'Proposed Lighting'!#REF!))))</f>
        <v>#REF!</v>
      </c>
      <c r="H405" s="1830"/>
      <c r="I405" s="1830"/>
      <c r="J405" s="1830"/>
      <c r="K405" s="1215"/>
      <c r="L405" s="1246" t="e">
        <f t="shared" si="82"/>
        <v>#REF!</v>
      </c>
      <c r="M405" s="1224">
        <f t="shared" si="83"/>
        <v>0</v>
      </c>
      <c r="N405" s="1224">
        <f t="shared" si="84"/>
        <v>0</v>
      </c>
      <c r="O405" s="1825" t="e">
        <f>IF(G405=0,0,IF(ISNA('Proposed Lighting'!#REF!),0,'Proposed Lighting'!#REF!))</f>
        <v>#REF!</v>
      </c>
      <c r="P405" s="1825"/>
      <c r="Q405" s="1247"/>
      <c r="R405" s="1247"/>
      <c r="S405" s="1247"/>
      <c r="T405" s="1211"/>
      <c r="U405" s="1235">
        <f>IF(K405&gt;0.01,'Proposed Lighting'!#REF!,0)</f>
        <v>0</v>
      </c>
      <c r="V405" s="1248" t="e">
        <f>IF('Proposed Lighting'!#REF!=1,0,IF('Proposed Lighting'!#REF!=2,0,IF(AND('Proposed Lighting'!#REF!=3,'Proposed Lighting'!#REF!=0),1,0)))</f>
        <v>#REF!</v>
      </c>
      <c r="W405" s="1836"/>
      <c r="X405" s="1836"/>
      <c r="Y405" s="1836"/>
      <c r="Z405" s="1230" t="str">
        <f t="shared" si="78"/>
        <v/>
      </c>
      <c r="AA405" s="1230">
        <f t="shared" si="79"/>
        <v>0</v>
      </c>
      <c r="AB405" s="1230">
        <f>IF(Q405=0,0,IF(T405=0,0,IF(AA405=0,0,IF(AND(F405=3,V405=0),0,IF(T405=0,0,IF(K405&gt;'Proposed Lighting'!#REF!,0,IF('Proposed Lighting'!#REF!&gt;0.01,(K405*O405)*'Proposed Lighting'!#REF!/1000,(K405*O405)*U405/1000)))))))</f>
        <v>0</v>
      </c>
      <c r="AC405" s="1230" t="str">
        <f t="shared" si="85"/>
        <v/>
      </c>
      <c r="AD405" s="1230">
        <f t="shared" si="80"/>
        <v>0</v>
      </c>
      <c r="AE405" s="1230">
        <f>IF(T405=0,0,IF(K405&gt;'Proposed Lighting'!#REF!,0,IF(T405&gt;K405,0,IF(AND(AD405&gt;AA405,AA405&gt;0),0,IF(AND(F405&gt;1,W405&lt;0.01),0,IF('Proposed Lighting'!#REF!&gt;'Lighting Controls'!F405,0,IF('Proposed Lighting'!#REF!&lt;'Lighting Controls'!F405,0,IF(U405=0,0,Summary!#REF!))))))))</f>
        <v>0</v>
      </c>
      <c r="AF405" s="1230">
        <f>IF(T405=0,0,IF(AE405=0,0,IF(K405&gt;'Proposed Lighting'!#REF!,0,IF(AND(AD405&gt;AA405,AA405&gt;0),0,IF(U405=0,0,Summary!#REF!)))))</f>
        <v>0</v>
      </c>
      <c r="AG405" s="1834" t="e">
        <f>IF('Proposed Lighting'!#REF!=1,0,IF('Proposed Lighting'!#REF!=1,0,T405*W405))</f>
        <v>#REF!</v>
      </c>
      <c r="AH405" s="1834"/>
      <c r="AI405" s="1834"/>
      <c r="AJ405" s="1835">
        <f>IF(T405&lt;1,0,IF(K405&gt;'Proposed Lighting'!#REF!,0,IF('Proposed Lighting'!#REF!=1,0,IF('Proposed Lighting'!#REF!=1,0,IF(T405&gt;K405,0,IF(AND(AD405&gt;AA405,AA405&gt;0),0,IF(AND(F405=2,'Proposed Lighting'!#REF!=3),0,IF(AND(F405=3,'Proposed Lighting'!#REF!=2),0,IF('Proposed Lighting'!#REF!=100,0,IF(AND(F405&lt;3,V405=1,AM405=0),0,IF(AND(F405&gt;1,AF405&lt;1,AN405&lt;1),0,IF(AND(F405&gt;1,AE405&lt;0.69,AF405&lt;1,AN405&lt;1),0,IF(ISERROR(AB405-AC405),"",AB405-AC405)))))))))))))</f>
        <v>0</v>
      </c>
      <c r="AK405" s="1835"/>
      <c r="AL405" s="1835"/>
      <c r="AM405" s="1216">
        <f>IF(Q405=0,0,IF(T405=0,0,IF(T405&gt;K405,0,IF(AND(AS405&gt;0.01,BK405=0),0,IF(AND('Proposed Lighting'!#REF!=0,'Lighting Controls'!Z405=0.35),0,IF(AND(T405&lt;=K405,AA405&gt;=AD405,'Proposed Lighting'!#REF!=2),VLOOKUP(Q405,$AY$9:$AZ$15,2,FALSE),IF(AND(T405&lt;=K405,AA405&gt;=AD405,'Proposed Lighting'!#REF!=3),VLOOKUP(Q405,$AY$17:$AZ$23,2,FALSE))))))))</f>
        <v>0</v>
      </c>
      <c r="AN405" s="1248">
        <f>IF(T405=0,0,IF(K405&gt;'Proposed Lighting'!#REF!,0,IF(AE405=0,0,IF(AND(AD405&gt;AA405,AA405&gt;0),0,IF(U405=0,0,Summary!#REF!)))))</f>
        <v>0</v>
      </c>
      <c r="AO405" s="1248">
        <f t="shared" si="89"/>
        <v>0</v>
      </c>
      <c r="AP405" s="1249" t="e">
        <f>IF('Proposed Lighting'!#REF!=1,0,IF(K405=0,0,IF(T405&gt;K405,0,IF(G405=0,0,IF(K405&gt;'Proposed Lighting'!#REF!,0,IF(AND(AD405&gt;AA405,AA405&gt;0),0,IF(AND('Proposed Lighting'!#REF!=3,AM405=0.5),0,IF(AND(AM405&gt;0,AS405&gt;0,BI405&lt;2),0,IF('Proposed Lighting'!#REF!=100,0,IF(AV405=1,0,IF(AND(AM405=35,M405+N405&lt;2),0,AM405)))))))))))</f>
        <v>#REF!</v>
      </c>
      <c r="AQ405" s="1249" t="str">
        <f>IFERROR(ROUND(IF(Q405="","",IF('Proposed Lighting'!$X$4=0,0,IF(AND(AM405=35,M405+N405&lt;2),0,IF(T405&gt;K405,0,IF('Proposed Lighting'!#REF!=1,0,IF(AJ405=0,0,IF(AND('Proposed Lighting'!#REF!=3,AM405=0.5),0,IF(AND(AD405=75,AP405=0,AV405=0),0,IF(AP405&gt;0.01,AP405*T405,IF(AND(F405&gt;1,W405&lt;0.01),0,IF(AND(F405&gt;1,AO405=0),0,IF(AND('Proposed Lighting'!#REF!=22,AV405=0),0,IF(AND(AM405&gt;0,AS405&gt;0,BI405&lt;2),0,IF(AND(AS405&gt;0.01,BK405=0),0,IF(AND(AO405=TRUE,AV405=1,F405=3),MIN(AJ405*0.08,L405),IF(AP405&gt;0.01,AP405*T405,IF(AND(AO405=TRUE,AV405=1,F405=2),MIN(AJ405*0.1,L405)))))))))))))))))),2),"")</f>
        <v/>
      </c>
      <c r="AR405" s="1250">
        <f>IF(Q405=0,0,IF('Proposed Lighting'!$X$4=0,0,IF(AND(AM405&gt;0.01,AQ405&gt;0.01),0,IF('Proposed Lighting'!#REF!=1,"Missing Interior or Exterior Selection",IF('Proposed Lighting'!#REF!=1,"Selection does not match",IF(K405&gt;'Proposed Lighting'!#REF!,"Quantity controlled does not match proposed lighting quantity",IF(T405&gt;K405,"Quantity of sensors exceeds proposed lighting quantity",IF(AND(F405&gt;1,'Proposed Lighting'!#REF!&lt;&gt;F405),"Selection does not match",IF(AND(AD405&gt;AA405,AA405&gt;0),"Does not meet minimum connected load",IF(AND(O405&gt;0,AS405&gt;0,BK405&gt;0,'Proposed Lighting'!#REF!=0),"Select Control Strategies",IF(AND(AC405&gt;0.1,AJ405=0,AQ405=0),"Does not meet incentive criteria",0)))))))))))</f>
        <v>0</v>
      </c>
      <c r="AS405" s="1224" t="e">
        <f>IF('Proposed Lighting'!#REF!=100,0,IF(ISNUMBER(SEARCH("multiple",Q405)),1,0))</f>
        <v>#REF!</v>
      </c>
      <c r="AT405" s="451">
        <f t="shared" si="86"/>
        <v>0</v>
      </c>
      <c r="AU405" s="451" t="e">
        <f t="shared" si="87"/>
        <v>#REF!</v>
      </c>
      <c r="AV405" s="1222">
        <f>IF(ISNUMBER(SEARCH("Networked",'Proposed Lighting'!#REF!)),0,IF(ISNUMBER(SEARCH("Strategies",'Proposed Lighting'!#REF!)),0,IF(ISNUMBER(SEARCH("Removal",'Proposed Lighting'!#REF!)),0,IF(ISNUMBER(SEARCH("non-standard",Q405)),1,0))))</f>
        <v>0</v>
      </c>
      <c r="AW405" s="451">
        <f t="shared" si="90"/>
        <v>0</v>
      </c>
      <c r="AX405" s="451"/>
      <c r="AY405" s="451"/>
      <c r="AZ405" s="451"/>
      <c r="BA405" s="451"/>
      <c r="BB405" s="451"/>
      <c r="BC405" s="1215"/>
      <c r="BD405" s="1215"/>
      <c r="BE405" s="1215"/>
      <c r="BF405" s="1215"/>
      <c r="BG405" s="1215"/>
      <c r="BH405" s="1215"/>
      <c r="BI405" t="e">
        <f>IF(AND(AS405=1,BC405="No",BD405="Yes",BE405="Yes",BF405="No",BH405="No"),0,IF(AND('Proposed Lighting'!#REF!=2,AS405=1,BC405="Yes",BD405="Yes"),2,IF(AND('Proposed Lighting'!#REF!=2,AS405=1,BC405="Yes",BE405="Yes"),2,IF(AND('Proposed Lighting'!#REF!=2,AS405=1,BC405="Yes",BF405="Yes"),2,IF(AND('Proposed Lighting'!#REF!=2,AS405=1,BC405="Yes",BH405="Yes"),2,IF(AND('Proposed Lighting'!#REF!=2,AS405=1,BD405="Yes",BF405="Yes"),2,IF(AND('Proposed Lighting'!#REF!=2,AS405=1,BD405="Yes",BH405="Yes"),2,IF(AND('Proposed Lighting'!#REF!=3,AS405=1,BC405="Yes",BE405="Yes"),2,IF(AND('Proposed Lighting'!#REF!=3,AS405=1,BC405="Yes",BF405="Yes"),2,0)))))))))</f>
        <v>#REF!</v>
      </c>
      <c r="BJ405" s="1025" t="e">
        <f t="shared" si="88"/>
        <v>#REF!</v>
      </c>
      <c r="BK405" t="e">
        <f>IF(AND('Proposed Lighting'!#REF!=22,'Lighting Controls'!N405=1),0,IF(ISNUMBER(SEARCH("LED",G405)),1,0))</f>
        <v>#REF!</v>
      </c>
    </row>
    <row r="406" spans="1:63" ht="34.5" customHeight="1">
      <c r="A406" s="917">
        <v>398</v>
      </c>
      <c r="B406" s="1828" t="e">
        <f>IF('Proposed Lighting'!#REF!="","",'Proposed Lighting'!#REF!)</f>
        <v>#REF!</v>
      </c>
      <c r="C406" s="1828"/>
      <c r="D406" s="1828"/>
      <c r="E406" s="1245" t="e">
        <f>'Proposed Lighting'!#REF!</f>
        <v>#REF!</v>
      </c>
      <c r="F406" s="1245">
        <f t="shared" si="81"/>
        <v>0</v>
      </c>
      <c r="G406" s="1830" t="e">
        <f>IF('Proposed Lighting'!#REF!="","",IF(ISNUMBER(SEARCH("Networked",'Proposed Lighting'!#REF!)),0,IF(ISNUMBER(SEARCH("Strategies",'Proposed Lighting'!#REF!)),0,IF(ISNUMBER(SEARCH("Removal",'Proposed Lighting'!#REF!)),0,'Proposed Lighting'!#REF!))))</f>
        <v>#REF!</v>
      </c>
      <c r="H406" s="1830"/>
      <c r="I406" s="1830"/>
      <c r="J406" s="1830"/>
      <c r="K406" s="1215"/>
      <c r="L406" s="1246" t="e">
        <f t="shared" si="82"/>
        <v>#REF!</v>
      </c>
      <c r="M406" s="1224">
        <f t="shared" si="83"/>
        <v>0</v>
      </c>
      <c r="N406" s="1224">
        <f t="shared" si="84"/>
        <v>0</v>
      </c>
      <c r="O406" s="1825" t="e">
        <f>IF(G406=0,0,IF(ISNA('Proposed Lighting'!#REF!),0,'Proposed Lighting'!#REF!))</f>
        <v>#REF!</v>
      </c>
      <c r="P406" s="1825"/>
      <c r="Q406" s="1247"/>
      <c r="R406" s="1247"/>
      <c r="S406" s="1247"/>
      <c r="T406" s="1211"/>
      <c r="U406" s="1235">
        <f>IF(K406&gt;0.01,'Proposed Lighting'!#REF!,0)</f>
        <v>0</v>
      </c>
      <c r="V406" s="1248" t="e">
        <f>IF('Proposed Lighting'!#REF!=1,0,IF('Proposed Lighting'!#REF!=2,0,IF(AND('Proposed Lighting'!#REF!=3,'Proposed Lighting'!#REF!=0),1,0)))</f>
        <v>#REF!</v>
      </c>
      <c r="W406" s="1836"/>
      <c r="X406" s="1836"/>
      <c r="Y406" s="1836"/>
      <c r="Z406" s="1230" t="str">
        <f t="shared" si="78"/>
        <v/>
      </c>
      <c r="AA406" s="1230">
        <f t="shared" si="79"/>
        <v>0</v>
      </c>
      <c r="AB406" s="1230">
        <f>IF(Q406=0,0,IF(T406=0,0,IF(AA406=0,0,IF(AND(F406=3,V406=0),0,IF(T406=0,0,IF(K406&gt;'Proposed Lighting'!#REF!,0,IF('Proposed Lighting'!#REF!&gt;0.01,(K406*O406)*'Proposed Lighting'!#REF!/1000,(K406*O406)*U406/1000)))))))</f>
        <v>0</v>
      </c>
      <c r="AC406" s="1230" t="str">
        <f t="shared" si="85"/>
        <v/>
      </c>
      <c r="AD406" s="1230">
        <f t="shared" si="80"/>
        <v>0</v>
      </c>
      <c r="AE406" s="1230">
        <f>IF(T406=0,0,IF(K406&gt;'Proposed Lighting'!#REF!,0,IF(T406&gt;K406,0,IF(AND(AD406&gt;AA406,AA406&gt;0),0,IF(AND(F406&gt;1,W406&lt;0.01),0,IF('Proposed Lighting'!#REF!&gt;'Lighting Controls'!F406,0,IF('Proposed Lighting'!#REF!&lt;'Lighting Controls'!F406,0,IF(U406=0,0,Summary!#REF!))))))))</f>
        <v>0</v>
      </c>
      <c r="AF406" s="1230">
        <f>IF(T406=0,0,IF(AE406=0,0,IF(K406&gt;'Proposed Lighting'!#REF!,0,IF(AND(AD406&gt;AA406,AA406&gt;0),0,IF(U406=0,0,Summary!#REF!)))))</f>
        <v>0</v>
      </c>
      <c r="AG406" s="1834" t="e">
        <f>IF('Proposed Lighting'!#REF!=1,0,IF('Proposed Lighting'!#REF!=1,0,T406*W406))</f>
        <v>#REF!</v>
      </c>
      <c r="AH406" s="1834"/>
      <c r="AI406" s="1834"/>
      <c r="AJ406" s="1835">
        <f>IF(T406&lt;1,0,IF(K406&gt;'Proposed Lighting'!#REF!,0,IF('Proposed Lighting'!#REF!=1,0,IF('Proposed Lighting'!#REF!=1,0,IF(T406&gt;K406,0,IF(AND(AD406&gt;AA406,AA406&gt;0),0,IF(AND(F406=2,'Proposed Lighting'!#REF!=3),0,IF(AND(F406=3,'Proposed Lighting'!#REF!=2),0,IF('Proposed Lighting'!#REF!=100,0,IF(AND(F406&lt;3,V406=1,AM406=0),0,IF(AND(F406&gt;1,AF406&lt;1,AN406&lt;1),0,IF(AND(F406&gt;1,AE406&lt;0.69,AF406&lt;1,AN406&lt;1),0,IF(ISERROR(AB406-AC406),"",AB406-AC406)))))))))))))</f>
        <v>0</v>
      </c>
      <c r="AK406" s="1835"/>
      <c r="AL406" s="1835"/>
      <c r="AM406" s="1216">
        <f>IF(Q406=0,0,IF(T406=0,0,IF(T406&gt;K406,0,IF(AND(AS406&gt;0.01,BK406=0),0,IF(AND('Proposed Lighting'!#REF!=0,'Lighting Controls'!Z406=0.35),0,IF(AND(T406&lt;=K406,AA406&gt;=AD406,'Proposed Lighting'!#REF!=2),VLOOKUP(Q406,$AY$9:$AZ$15,2,FALSE),IF(AND(T406&lt;=K406,AA406&gt;=AD406,'Proposed Lighting'!#REF!=3),VLOOKUP(Q406,$AY$17:$AZ$23,2,FALSE))))))))</f>
        <v>0</v>
      </c>
      <c r="AN406" s="1248">
        <f>IF(T406=0,0,IF(K406&gt;'Proposed Lighting'!#REF!,0,IF(AE406=0,0,IF(AND(AD406&gt;AA406,AA406&gt;0),0,IF(U406=0,0,Summary!#REF!)))))</f>
        <v>0</v>
      </c>
      <c r="AO406" s="1248">
        <f t="shared" si="89"/>
        <v>0</v>
      </c>
      <c r="AP406" s="1249" t="e">
        <f>IF('Proposed Lighting'!#REF!=1,0,IF(K406=0,0,IF(T406&gt;K406,0,IF(G406=0,0,IF(K406&gt;'Proposed Lighting'!#REF!,0,IF(AND(AD406&gt;AA406,AA406&gt;0),0,IF(AND('Proposed Lighting'!#REF!=3,AM406=0.5),0,IF(AND(AM406&gt;0,AS406&gt;0,BI406&lt;2),0,IF('Proposed Lighting'!#REF!=100,0,IF(AV406=1,0,IF(AND(AM406=35,M406+N406&lt;2),0,AM406)))))))))))</f>
        <v>#REF!</v>
      </c>
      <c r="AQ406" s="1249" t="str">
        <f>IFERROR(ROUND(IF(Q406="","",IF('Proposed Lighting'!$X$4=0,0,IF(AND(AM406=35,M406+N406&lt;2),0,IF(T406&gt;K406,0,IF('Proposed Lighting'!#REF!=1,0,IF(AJ406=0,0,IF(AND('Proposed Lighting'!#REF!=3,AM406=0.5),0,IF(AND(AD406=75,AP406=0,AV406=0),0,IF(AP406&gt;0.01,AP406*T406,IF(AND(F406&gt;1,W406&lt;0.01),0,IF(AND(F406&gt;1,AO406=0),0,IF(AND('Proposed Lighting'!#REF!=22,AV406=0),0,IF(AND(AM406&gt;0,AS406&gt;0,BI406&lt;2),0,IF(AND(AS406&gt;0.01,BK406=0),0,IF(AND(AO406=TRUE,AV406=1,F406=3),MIN(AJ406*0.08,L406),IF(AP406&gt;0.01,AP406*T406,IF(AND(AO406=TRUE,AV406=1,F406=2),MIN(AJ406*0.1,L406)))))))))))))))))),2),"")</f>
        <v/>
      </c>
      <c r="AR406" s="1250">
        <f>IF(Q406=0,0,IF('Proposed Lighting'!$X$4=0,0,IF(AND(AM406&gt;0.01,AQ406&gt;0.01),0,IF('Proposed Lighting'!#REF!=1,"Missing Interior or Exterior Selection",IF('Proposed Lighting'!#REF!=1,"Selection does not match",IF(K406&gt;'Proposed Lighting'!#REF!,"Quantity controlled does not match proposed lighting quantity",IF(T406&gt;K406,"Quantity of sensors exceeds proposed lighting quantity",IF(AND(F406&gt;1,'Proposed Lighting'!#REF!&lt;&gt;F406),"Selection does not match",IF(AND(AD406&gt;AA406,AA406&gt;0),"Does not meet minimum connected load",IF(AND(O406&gt;0,AS406&gt;0,BK406&gt;0,'Proposed Lighting'!#REF!=0),"Select Control Strategies",IF(AND(AC406&gt;0.1,AJ406=0,AQ406=0),"Does not meet incentive criteria",0)))))))))))</f>
        <v>0</v>
      </c>
      <c r="AS406" s="1224" t="e">
        <f>IF('Proposed Lighting'!#REF!=100,0,IF(ISNUMBER(SEARCH("multiple",Q406)),1,0))</f>
        <v>#REF!</v>
      </c>
      <c r="AT406" s="451">
        <f t="shared" si="86"/>
        <v>0</v>
      </c>
      <c r="AU406" s="451" t="e">
        <f t="shared" si="87"/>
        <v>#REF!</v>
      </c>
      <c r="AV406" s="1222">
        <f>IF(ISNUMBER(SEARCH("Networked",'Proposed Lighting'!#REF!)),0,IF(ISNUMBER(SEARCH("Strategies",'Proposed Lighting'!#REF!)),0,IF(ISNUMBER(SEARCH("Removal",'Proposed Lighting'!#REF!)),0,IF(ISNUMBER(SEARCH("non-standard",Q406)),1,0))))</f>
        <v>0</v>
      </c>
      <c r="AW406" s="451">
        <f t="shared" si="90"/>
        <v>0</v>
      </c>
      <c r="AX406" s="451"/>
      <c r="AY406" s="451"/>
      <c r="AZ406" s="451"/>
      <c r="BA406" s="451"/>
      <c r="BB406" s="451"/>
      <c r="BC406" s="1215"/>
      <c r="BD406" s="1215"/>
      <c r="BE406" s="1215"/>
      <c r="BF406" s="1215"/>
      <c r="BG406" s="1215"/>
      <c r="BH406" s="1215"/>
      <c r="BI406" t="e">
        <f>IF(AND(AS406=1,BC406="No",BD406="Yes",BE406="Yes",BF406="No",BH406="No"),0,IF(AND('Proposed Lighting'!#REF!=2,AS406=1,BC406="Yes",BD406="Yes"),2,IF(AND('Proposed Lighting'!#REF!=2,AS406=1,BC406="Yes",BE406="Yes"),2,IF(AND('Proposed Lighting'!#REF!=2,AS406=1,BC406="Yes",BF406="Yes"),2,IF(AND('Proposed Lighting'!#REF!=2,AS406=1,BC406="Yes",BH406="Yes"),2,IF(AND('Proposed Lighting'!#REF!=2,AS406=1,BD406="Yes",BF406="Yes"),2,IF(AND('Proposed Lighting'!#REF!=2,AS406=1,BD406="Yes",BH406="Yes"),2,IF(AND('Proposed Lighting'!#REF!=3,AS406=1,BC406="Yes",BE406="Yes"),2,IF(AND('Proposed Lighting'!#REF!=3,AS406=1,BC406="Yes",BF406="Yes"),2,0)))))))))</f>
        <v>#REF!</v>
      </c>
      <c r="BJ406" s="1025" t="e">
        <f t="shared" si="88"/>
        <v>#REF!</v>
      </c>
      <c r="BK406" t="e">
        <f>IF(AND('Proposed Lighting'!#REF!=22,'Lighting Controls'!N406=1),0,IF(ISNUMBER(SEARCH("LED",G406)),1,0))</f>
        <v>#REF!</v>
      </c>
    </row>
    <row r="407" spans="1:63" ht="34.5" customHeight="1">
      <c r="A407" s="917">
        <v>399</v>
      </c>
      <c r="B407" s="1828" t="e">
        <f>IF('Proposed Lighting'!#REF!="","",'Proposed Lighting'!#REF!)</f>
        <v>#REF!</v>
      </c>
      <c r="C407" s="1828"/>
      <c r="D407" s="1828"/>
      <c r="E407" s="1245" t="e">
        <f>'Proposed Lighting'!#REF!</f>
        <v>#REF!</v>
      </c>
      <c r="F407" s="1245">
        <f t="shared" si="81"/>
        <v>0</v>
      </c>
      <c r="G407" s="1830" t="e">
        <f>IF('Proposed Lighting'!#REF!="","",IF(ISNUMBER(SEARCH("Networked",'Proposed Lighting'!#REF!)),0,IF(ISNUMBER(SEARCH("Strategies",'Proposed Lighting'!#REF!)),0,IF(ISNUMBER(SEARCH("Removal",'Proposed Lighting'!#REF!)),0,'Proposed Lighting'!#REF!))))</f>
        <v>#REF!</v>
      </c>
      <c r="H407" s="1830"/>
      <c r="I407" s="1830"/>
      <c r="J407" s="1830"/>
      <c r="K407" s="1215"/>
      <c r="L407" s="1246" t="e">
        <f t="shared" si="82"/>
        <v>#REF!</v>
      </c>
      <c r="M407" s="1224">
        <f t="shared" si="83"/>
        <v>0</v>
      </c>
      <c r="N407" s="1224">
        <f t="shared" si="84"/>
        <v>0</v>
      </c>
      <c r="O407" s="1825" t="e">
        <f>IF(G407=0,0,IF(ISNA('Proposed Lighting'!#REF!),0,'Proposed Lighting'!#REF!))</f>
        <v>#REF!</v>
      </c>
      <c r="P407" s="1825"/>
      <c r="Q407" s="1247"/>
      <c r="R407" s="1247"/>
      <c r="S407" s="1247"/>
      <c r="T407" s="1211"/>
      <c r="U407" s="1235">
        <f>IF(K407&gt;0.01,'Proposed Lighting'!#REF!,0)</f>
        <v>0</v>
      </c>
      <c r="V407" s="1248" t="e">
        <f>IF('Proposed Lighting'!#REF!=1,0,IF('Proposed Lighting'!#REF!=2,0,IF(AND('Proposed Lighting'!#REF!=3,'Proposed Lighting'!#REF!=0),1,0)))</f>
        <v>#REF!</v>
      </c>
      <c r="W407" s="1836"/>
      <c r="X407" s="1836"/>
      <c r="Y407" s="1836"/>
      <c r="Z407" s="1230" t="str">
        <f t="shared" si="78"/>
        <v/>
      </c>
      <c r="AA407" s="1230">
        <f t="shared" si="79"/>
        <v>0</v>
      </c>
      <c r="AB407" s="1230">
        <f>IF(Q407=0,0,IF(T407=0,0,IF(AA407=0,0,IF(AND(F407=3,V407=0),0,IF(T407=0,0,IF(K407&gt;'Proposed Lighting'!#REF!,0,IF('Proposed Lighting'!#REF!&gt;0.01,(K407*O407)*'Proposed Lighting'!#REF!/1000,(K407*O407)*U407/1000)))))))</f>
        <v>0</v>
      </c>
      <c r="AC407" s="1230" t="str">
        <f t="shared" si="85"/>
        <v/>
      </c>
      <c r="AD407" s="1230">
        <f t="shared" si="80"/>
        <v>0</v>
      </c>
      <c r="AE407" s="1230">
        <f>IF(T407=0,0,IF(K407&gt;'Proposed Lighting'!#REF!,0,IF(T407&gt;K407,0,IF(AND(AD407&gt;AA407,AA407&gt;0),0,IF(AND(F407&gt;1,W407&lt;0.01),0,IF('Proposed Lighting'!#REF!&gt;'Lighting Controls'!F407,0,IF('Proposed Lighting'!#REF!&lt;'Lighting Controls'!F407,0,IF(U407=0,0,Summary!#REF!))))))))</f>
        <v>0</v>
      </c>
      <c r="AF407" s="1230">
        <f>IF(T407=0,0,IF(AE407=0,0,IF(K407&gt;'Proposed Lighting'!#REF!,0,IF(AND(AD407&gt;AA407,AA407&gt;0),0,IF(U407=0,0,Summary!#REF!)))))</f>
        <v>0</v>
      </c>
      <c r="AG407" s="1834" t="e">
        <f>IF('Proposed Lighting'!#REF!=1,0,IF('Proposed Lighting'!#REF!=1,0,T407*W407))</f>
        <v>#REF!</v>
      </c>
      <c r="AH407" s="1834"/>
      <c r="AI407" s="1834"/>
      <c r="AJ407" s="1835">
        <f>IF(T407&lt;1,0,IF(K407&gt;'Proposed Lighting'!#REF!,0,IF('Proposed Lighting'!#REF!=1,0,IF('Proposed Lighting'!#REF!=1,0,IF(T407&gt;K407,0,IF(AND(AD407&gt;AA407,AA407&gt;0),0,IF(AND(F407=2,'Proposed Lighting'!#REF!=3),0,IF(AND(F407=3,'Proposed Lighting'!#REF!=2),0,IF('Proposed Lighting'!#REF!=100,0,IF(AND(F407&lt;3,V407=1,AM407=0),0,IF(AND(F407&gt;1,AF407&lt;1,AN407&lt;1),0,IF(AND(F407&gt;1,AE407&lt;0.69,AF407&lt;1,AN407&lt;1),0,IF(ISERROR(AB407-AC407),"",AB407-AC407)))))))))))))</f>
        <v>0</v>
      </c>
      <c r="AK407" s="1835"/>
      <c r="AL407" s="1835"/>
      <c r="AM407" s="1216">
        <f>IF(Q407=0,0,IF(T407=0,0,IF(T407&gt;K407,0,IF(AND(AS407&gt;0.01,BK407=0),0,IF(AND('Proposed Lighting'!#REF!=0,'Lighting Controls'!Z407=0.35),0,IF(AND(T407&lt;=K407,AA407&gt;=AD407,'Proposed Lighting'!#REF!=2),VLOOKUP(Q407,$AY$9:$AZ$15,2,FALSE),IF(AND(T407&lt;=K407,AA407&gt;=AD407,'Proposed Lighting'!#REF!=3),VLOOKUP(Q407,$AY$17:$AZ$23,2,FALSE))))))))</f>
        <v>0</v>
      </c>
      <c r="AN407" s="1248">
        <f>IF(T407=0,0,IF(K407&gt;'Proposed Lighting'!#REF!,0,IF(AE407=0,0,IF(AND(AD407&gt;AA407,AA407&gt;0),0,IF(U407=0,0,Summary!#REF!)))))</f>
        <v>0</v>
      </c>
      <c r="AO407" s="1248">
        <f t="shared" si="89"/>
        <v>0</v>
      </c>
      <c r="AP407" s="1249" t="e">
        <f>IF('Proposed Lighting'!#REF!=1,0,IF(K407=0,0,IF(T407&gt;K407,0,IF(G407=0,0,IF(K407&gt;'Proposed Lighting'!#REF!,0,IF(AND(AD407&gt;AA407,AA407&gt;0),0,IF(AND('Proposed Lighting'!#REF!=3,AM407=0.5),0,IF(AND(AM407&gt;0,AS407&gt;0,BI407&lt;2),0,IF('Proposed Lighting'!#REF!=100,0,IF(AV407=1,0,IF(AND(AM407=35,M407+N407&lt;2),0,AM407)))))))))))</f>
        <v>#REF!</v>
      </c>
      <c r="AQ407" s="1249" t="str">
        <f>IFERROR(ROUND(IF(Q407="","",IF('Proposed Lighting'!$X$4=0,0,IF(AND(AM407=35,M407+N407&lt;2),0,IF(T407&gt;K407,0,IF('Proposed Lighting'!#REF!=1,0,IF(AJ407=0,0,IF(AND('Proposed Lighting'!#REF!=3,AM407=0.5),0,IF(AND(AD407=75,AP407=0,AV407=0),0,IF(AP407&gt;0.01,AP407*T407,IF(AND(F407&gt;1,W407&lt;0.01),0,IF(AND(F407&gt;1,AO407=0),0,IF(AND('Proposed Lighting'!#REF!=22,AV407=0),0,IF(AND(AM407&gt;0,AS407&gt;0,BI407&lt;2),0,IF(AND(AS407&gt;0.01,BK407=0),0,IF(AND(AO407=TRUE,AV407=1,F407=3),MIN(AJ407*0.08,L407),IF(AP407&gt;0.01,AP407*T407,IF(AND(AO407=TRUE,AV407=1,F407=2),MIN(AJ407*0.1,L407)))))))))))))))))),2),"")</f>
        <v/>
      </c>
      <c r="AR407" s="1250">
        <f>IF(Q407=0,0,IF('Proposed Lighting'!$X$4=0,0,IF(AND(AM407&gt;0.01,AQ407&gt;0.01),0,IF('Proposed Lighting'!#REF!=1,"Missing Interior or Exterior Selection",IF('Proposed Lighting'!#REF!=1,"Selection does not match",IF(K407&gt;'Proposed Lighting'!#REF!,"Quantity controlled does not match proposed lighting quantity",IF(T407&gt;K407,"Quantity of sensors exceeds proposed lighting quantity",IF(AND(F407&gt;1,'Proposed Lighting'!#REF!&lt;&gt;F407),"Selection does not match",IF(AND(AD407&gt;AA407,AA407&gt;0),"Does not meet minimum connected load",IF(AND(O407&gt;0,AS407&gt;0,BK407&gt;0,'Proposed Lighting'!#REF!=0),"Select Control Strategies",IF(AND(AC407&gt;0.1,AJ407=0,AQ407=0),"Does not meet incentive criteria",0)))))))))))</f>
        <v>0</v>
      </c>
      <c r="AS407" s="1224" t="e">
        <f>IF('Proposed Lighting'!#REF!=100,0,IF(ISNUMBER(SEARCH("multiple",Q407)),1,0))</f>
        <v>#REF!</v>
      </c>
      <c r="AT407" s="451">
        <f t="shared" si="86"/>
        <v>0</v>
      </c>
      <c r="AU407" s="451" t="e">
        <f t="shared" si="87"/>
        <v>#REF!</v>
      </c>
      <c r="AV407" s="1222">
        <f>IF(ISNUMBER(SEARCH("Networked",'Proposed Lighting'!#REF!)),0,IF(ISNUMBER(SEARCH("Strategies",'Proposed Lighting'!#REF!)),0,IF(ISNUMBER(SEARCH("Removal",'Proposed Lighting'!#REF!)),0,IF(ISNUMBER(SEARCH("non-standard",Q407)),1,0))))</f>
        <v>0</v>
      </c>
      <c r="AW407" s="451">
        <f t="shared" si="90"/>
        <v>0</v>
      </c>
      <c r="AX407" s="451"/>
      <c r="AY407" s="451"/>
      <c r="AZ407" s="451"/>
      <c r="BA407" s="451"/>
      <c r="BB407" s="451"/>
      <c r="BC407" s="1215"/>
      <c r="BD407" s="1215"/>
      <c r="BE407" s="1215"/>
      <c r="BF407" s="1215"/>
      <c r="BG407" s="1215"/>
      <c r="BH407" s="1215"/>
      <c r="BI407" t="e">
        <f>IF(AND(AS407=1,BC407="No",BD407="Yes",BE407="Yes",BF407="No",BH407="No"),0,IF(AND('Proposed Lighting'!#REF!=2,AS407=1,BC407="Yes",BD407="Yes"),2,IF(AND('Proposed Lighting'!#REF!=2,AS407=1,BC407="Yes",BE407="Yes"),2,IF(AND('Proposed Lighting'!#REF!=2,AS407=1,BC407="Yes",BF407="Yes"),2,IF(AND('Proposed Lighting'!#REF!=2,AS407=1,BC407="Yes",BH407="Yes"),2,IF(AND('Proposed Lighting'!#REF!=2,AS407=1,BD407="Yes",BF407="Yes"),2,IF(AND('Proposed Lighting'!#REF!=2,AS407=1,BD407="Yes",BH407="Yes"),2,IF(AND('Proposed Lighting'!#REF!=3,AS407=1,BC407="Yes",BE407="Yes"),2,IF(AND('Proposed Lighting'!#REF!=3,AS407=1,BC407="Yes",BF407="Yes"),2,0)))))))))</f>
        <v>#REF!</v>
      </c>
      <c r="BJ407" s="1025" t="e">
        <f t="shared" si="88"/>
        <v>#REF!</v>
      </c>
      <c r="BK407" t="e">
        <f>IF(AND('Proposed Lighting'!#REF!=22,'Lighting Controls'!N407=1),0,IF(ISNUMBER(SEARCH("LED",G407)),1,0))</f>
        <v>#REF!</v>
      </c>
    </row>
    <row r="408" spans="1:63" ht="34.5" customHeight="1">
      <c r="A408" s="917">
        <v>400</v>
      </c>
      <c r="B408" s="1828" t="e">
        <f>IF('Proposed Lighting'!#REF!="","",'Proposed Lighting'!#REF!)</f>
        <v>#REF!</v>
      </c>
      <c r="C408" s="1828"/>
      <c r="D408" s="1828"/>
      <c r="E408" s="1245" t="e">
        <f>'Proposed Lighting'!#REF!</f>
        <v>#REF!</v>
      </c>
      <c r="F408" s="1245">
        <f t="shared" si="81"/>
        <v>0</v>
      </c>
      <c r="G408" s="1830" t="e">
        <f>IF('Proposed Lighting'!#REF!="","",IF(ISNUMBER(SEARCH("Networked",'Proposed Lighting'!#REF!)),0,IF(ISNUMBER(SEARCH("Strategies",'Proposed Lighting'!#REF!)),0,IF(ISNUMBER(SEARCH("Removal",'Proposed Lighting'!#REF!)),0,'Proposed Lighting'!#REF!))))</f>
        <v>#REF!</v>
      </c>
      <c r="H408" s="1830"/>
      <c r="I408" s="1830"/>
      <c r="J408" s="1830"/>
      <c r="K408" s="1215"/>
      <c r="L408" s="1246" t="e">
        <f t="shared" si="82"/>
        <v>#REF!</v>
      </c>
      <c r="M408" s="1224">
        <f t="shared" si="83"/>
        <v>0</v>
      </c>
      <c r="N408" s="1224">
        <f t="shared" si="84"/>
        <v>0</v>
      </c>
      <c r="O408" s="1825" t="e">
        <f>IF(G408=0,0,IF(ISNA('Proposed Lighting'!#REF!),0,'Proposed Lighting'!#REF!))</f>
        <v>#REF!</v>
      </c>
      <c r="P408" s="1825"/>
      <c r="Q408" s="1247"/>
      <c r="R408" s="1247"/>
      <c r="S408" s="1247"/>
      <c r="T408" s="1211"/>
      <c r="U408" s="1235">
        <f>IF(K408&gt;0.01,'Proposed Lighting'!#REF!,0)</f>
        <v>0</v>
      </c>
      <c r="V408" s="1248" t="e">
        <f>IF('Proposed Lighting'!#REF!=1,0,IF('Proposed Lighting'!#REF!=2,0,IF(AND('Proposed Lighting'!#REF!=3,'Proposed Lighting'!#REF!=0),1,0)))</f>
        <v>#REF!</v>
      </c>
      <c r="W408" s="1836"/>
      <c r="X408" s="1836"/>
      <c r="Y408" s="1836"/>
      <c r="Z408" s="1230" t="str">
        <f t="shared" si="78"/>
        <v/>
      </c>
      <c r="AA408" s="1230">
        <f t="shared" si="79"/>
        <v>0</v>
      </c>
      <c r="AB408" s="1230">
        <f>IF(Q408=0,0,IF(T408=0,0,IF(AA408=0,0,IF(AND(F408=3,V408=0),0,IF(T408=0,0,IF(K408&gt;'Proposed Lighting'!#REF!,0,IF('Proposed Lighting'!#REF!&gt;0.01,(K408*O408)*'Proposed Lighting'!#REF!/1000,(K408*O408)*U408/1000)))))))</f>
        <v>0</v>
      </c>
      <c r="AC408" s="1230" t="str">
        <f t="shared" si="85"/>
        <v/>
      </c>
      <c r="AD408" s="1230">
        <f t="shared" si="80"/>
        <v>0</v>
      </c>
      <c r="AE408" s="1230">
        <f>IF(T408=0,0,IF(K408&gt;'Proposed Lighting'!#REF!,0,IF(T408&gt;K408,0,IF(AND(AD408&gt;AA408,AA408&gt;0),0,IF(AND(F408&gt;1,W408&lt;0.01),0,IF('Proposed Lighting'!#REF!&gt;'Lighting Controls'!F408,0,IF('Proposed Lighting'!#REF!&lt;'Lighting Controls'!F408,0,IF(U408=0,0,Summary!#REF!))))))))</f>
        <v>0</v>
      </c>
      <c r="AF408" s="1230">
        <f>IF(T408=0,0,IF(AE408=0,0,IF(K408&gt;'Proposed Lighting'!#REF!,0,IF(AND(AD408&gt;AA408,AA408&gt;0),0,IF(U408=0,0,Summary!#REF!)))))</f>
        <v>0</v>
      </c>
      <c r="AG408" s="1834" t="e">
        <f>IF('Proposed Lighting'!#REF!=1,0,IF('Proposed Lighting'!#REF!=1,0,T408*W408))</f>
        <v>#REF!</v>
      </c>
      <c r="AH408" s="1834"/>
      <c r="AI408" s="1834"/>
      <c r="AJ408" s="1835">
        <f>IF(T408&lt;1,0,IF(K408&gt;'Proposed Lighting'!#REF!,0,IF('Proposed Lighting'!#REF!=1,0,IF('Proposed Lighting'!#REF!=1,0,IF(T408&gt;K408,0,IF(AND(AD408&gt;AA408,AA408&gt;0),0,IF(AND(F408=2,'Proposed Lighting'!#REF!=3),0,IF(AND(F408=3,'Proposed Lighting'!#REF!=2),0,IF('Proposed Lighting'!#REF!=100,0,IF(AND(F408&lt;3,V408=1,AM408=0),0,IF(AND(F408&gt;1,AF408&lt;1,AN408&lt;1),0,IF(AND(F408&gt;1,AE408&lt;0.69,AF408&lt;1,AN408&lt;1),0,IF(ISERROR(AB408-AC408),"",AB408-AC408)))))))))))))</f>
        <v>0</v>
      </c>
      <c r="AK408" s="1835"/>
      <c r="AL408" s="1835"/>
      <c r="AM408" s="1216">
        <f>IF(Q408=0,0,IF(T408=0,0,IF(T408&gt;K408,0,IF(AND(AS408&gt;0.01,BK408=0),0,IF(AND('Proposed Lighting'!#REF!=0,'Lighting Controls'!Z408=0.35),0,IF(AND(T408&lt;=K408,AA408&gt;=AD408,'Proposed Lighting'!#REF!=2),VLOOKUP(Q408,$AY$9:$AZ$15,2,FALSE),IF(AND(T408&lt;=K408,AA408&gt;=AD408,'Proposed Lighting'!#REF!=3),VLOOKUP(Q408,$AY$17:$AZ$23,2,FALSE))))))))</f>
        <v>0</v>
      </c>
      <c r="AN408" s="1248">
        <f>IF(T408=0,0,IF(K408&gt;'Proposed Lighting'!#REF!,0,IF(AE408=0,0,IF(AND(AD408&gt;AA408,AA408&gt;0),0,IF(U408=0,0,Summary!#REF!)))))</f>
        <v>0</v>
      </c>
      <c r="AO408" s="1248">
        <f t="shared" si="89"/>
        <v>0</v>
      </c>
      <c r="AP408" s="1249" t="e">
        <f>IF('Proposed Lighting'!#REF!=1,0,IF(K408=0,0,IF(T408&gt;K408,0,IF(G408=0,0,IF(K408&gt;'Proposed Lighting'!#REF!,0,IF(AND(AD408&gt;AA408,AA408&gt;0),0,IF(AND('Proposed Lighting'!#REF!=3,AM408=0.5),0,IF(AND(AM408&gt;0,AS408&gt;0,BI408&lt;2),0,IF('Proposed Lighting'!#REF!=100,0,IF(AV408=1,0,IF(AND(AM408=35,M408+N408&lt;2),0,AM408)))))))))))</f>
        <v>#REF!</v>
      </c>
      <c r="AQ408" s="1249" t="str">
        <f>IFERROR(ROUND(IF(Q408="","",IF('Proposed Lighting'!$X$4=0,0,IF(AND(AM408=35,M408+N408&lt;2),0,IF(T408&gt;K408,0,IF('Proposed Lighting'!#REF!=1,0,IF(AJ408=0,0,IF(AND('Proposed Lighting'!#REF!=3,AM408=0.5),0,IF(AND(AD408=75,AP408=0,AV408=0),0,IF(AP408&gt;0.01,AP408*T408,IF(AND(F408&gt;1,W408&lt;0.01),0,IF(AND(F408&gt;1,AO408=0),0,IF(AND('Proposed Lighting'!#REF!=22,AV408=0),0,IF(AND(AM408&gt;0,AS408&gt;0,BI408&lt;2),0,IF(AND(AS408&gt;0.01,BK408=0),0,IF(AND(AO408=TRUE,AV408=1,F408=3),MIN(AJ408*0.08,L408),IF(AP408&gt;0.01,AP408*T408,IF(AND(AO408=TRUE,AV408=1,F408=2),MIN(AJ408*0.1,L408)))))))))))))))))),2),"")</f>
        <v/>
      </c>
      <c r="AR408" s="1250">
        <f>IF(Q408=0,0,IF('Proposed Lighting'!$X$4=0,0,IF(AND(AM408&gt;0.01,AQ408&gt;0.01),0,IF('Proposed Lighting'!#REF!=1,"Missing Interior or Exterior Selection",IF('Proposed Lighting'!#REF!=1,"Selection does not match",IF(K408&gt;'Proposed Lighting'!#REF!,"Quantity controlled does not match proposed lighting quantity",IF(T408&gt;K408,"Quantity of sensors exceeds proposed lighting quantity",IF(AND(F408&gt;1,'Proposed Lighting'!#REF!&lt;&gt;F408),"Selection does not match",IF(AND(AD408&gt;AA408,AA408&gt;0),"Does not meet minimum connected load",IF(AND(O408&gt;0,AS408&gt;0,BK408&gt;0,'Proposed Lighting'!#REF!=0),"Select Control Strategies",IF(AND(AC408&gt;0.1,AJ408=0,AQ408=0),"Does not meet incentive criteria",0)))))))))))</f>
        <v>0</v>
      </c>
      <c r="AS408" s="1224" t="e">
        <f>IF('Proposed Lighting'!#REF!=100,0,IF(ISNUMBER(SEARCH("multiple",Q408)),1,0))</f>
        <v>#REF!</v>
      </c>
      <c r="AT408" s="451">
        <f t="shared" si="86"/>
        <v>0</v>
      </c>
      <c r="AU408" s="451" t="e">
        <f t="shared" si="87"/>
        <v>#REF!</v>
      </c>
      <c r="AV408" s="1222">
        <f>IF(ISNUMBER(SEARCH("Networked",'Proposed Lighting'!#REF!)),0,IF(ISNUMBER(SEARCH("Strategies",'Proposed Lighting'!#REF!)),0,IF(ISNUMBER(SEARCH("Removal",'Proposed Lighting'!#REF!)),0,IF(ISNUMBER(SEARCH("non-standard",Q408)),1,0))))</f>
        <v>0</v>
      </c>
      <c r="AW408" s="451">
        <f t="shared" si="90"/>
        <v>0</v>
      </c>
      <c r="AX408" s="451"/>
      <c r="AY408" s="451"/>
      <c r="AZ408" s="451"/>
      <c r="BA408" s="451"/>
      <c r="BB408" s="451"/>
      <c r="BC408" s="1215"/>
      <c r="BD408" s="1215"/>
      <c r="BE408" s="1215"/>
      <c r="BF408" s="1215"/>
      <c r="BG408" s="1215"/>
      <c r="BH408" s="1215"/>
      <c r="BI408" t="e">
        <f>IF(AND(AS408=1,BC408="No",BD408="Yes",BE408="Yes",BF408="No",BH408="No"),0,IF(AND('Proposed Lighting'!#REF!=2,AS408=1,BC408="Yes",BD408="Yes"),2,IF(AND('Proposed Lighting'!#REF!=2,AS408=1,BC408="Yes",BE408="Yes"),2,IF(AND('Proposed Lighting'!#REF!=2,AS408=1,BC408="Yes",BF408="Yes"),2,IF(AND('Proposed Lighting'!#REF!=2,AS408=1,BC408="Yes",BH408="Yes"),2,IF(AND('Proposed Lighting'!#REF!=2,AS408=1,BD408="Yes",BF408="Yes"),2,IF(AND('Proposed Lighting'!#REF!=2,AS408=1,BD408="Yes",BH408="Yes"),2,IF(AND('Proposed Lighting'!#REF!=3,AS408=1,BC408="Yes",BE408="Yes"),2,IF(AND('Proposed Lighting'!#REF!=3,AS408=1,BC408="Yes",BF408="Yes"),2,0)))))))))</f>
        <v>#REF!</v>
      </c>
      <c r="BJ408" s="1025" t="e">
        <f t="shared" si="88"/>
        <v>#REF!</v>
      </c>
      <c r="BK408" t="e">
        <f>IF(AND('Proposed Lighting'!#REF!=22,'Lighting Controls'!N408=1),0,IF(ISNUMBER(SEARCH("LED",G408)),1,0))</f>
        <v>#REF!</v>
      </c>
    </row>
    <row r="409" spans="1:63" ht="24.75" customHeight="1">
      <c r="A409" s="917"/>
      <c r="B409" s="1211"/>
      <c r="C409" s="1211"/>
      <c r="D409" s="1211"/>
      <c r="E409" s="1245"/>
      <c r="F409" s="917"/>
      <c r="G409" s="1251"/>
      <c r="H409" s="1251"/>
      <c r="I409" s="1251"/>
      <c r="J409" s="1251"/>
      <c r="K409" s="1215"/>
      <c r="L409" s="1215"/>
      <c r="M409" s="1252"/>
      <c r="N409" s="1252"/>
      <c r="O409" s="1247"/>
      <c r="P409" s="1247"/>
      <c r="Q409" s="1247"/>
      <c r="R409" s="1247"/>
      <c r="S409" s="1247"/>
      <c r="T409" s="1211"/>
      <c r="U409" s="1235"/>
      <c r="V409" s="917"/>
      <c r="W409" s="1253"/>
      <c r="X409" s="1253"/>
      <c r="Y409" s="1253"/>
      <c r="Z409" s="1230"/>
      <c r="AA409" s="1230"/>
      <c r="AB409" s="1230"/>
      <c r="AC409" s="1230"/>
      <c r="AD409" s="1254"/>
      <c r="AE409" s="1255"/>
      <c r="AF409" s="1254"/>
      <c r="AG409" s="1842" t="e">
        <f>SUM(AG9:AG408)</f>
        <v>#REF!</v>
      </c>
      <c r="AH409" s="1843"/>
      <c r="AI409" s="1843"/>
      <c r="AJ409" s="1832">
        <f>SUM(AJ9:AL33)</f>
        <v>0</v>
      </c>
      <c r="AK409" s="1832"/>
      <c r="AL409" s="1832"/>
      <c r="AM409" s="1216"/>
      <c r="AN409" s="1256"/>
      <c r="AO409" s="1216"/>
      <c r="AP409" s="451"/>
      <c r="AQ409" s="1216">
        <f>SUMIF(AQ9:AQ408,"&lt;&gt;#VALUE!")</f>
        <v>0</v>
      </c>
      <c r="AR409" s="451"/>
      <c r="AS409" s="1224" t="e">
        <f>SUM(AS9:AS408)</f>
        <v>#REF!</v>
      </c>
      <c r="AT409" s="451">
        <f>SUM(AT9:AT408)</f>
        <v>0</v>
      </c>
      <c r="AU409" s="451" t="e">
        <f>SUM(AU9:AU408)</f>
        <v>#REF!</v>
      </c>
      <c r="AV409" s="451" t="e">
        <f>IF(AS409&gt;0.01,V409,0)</f>
        <v>#REF!</v>
      </c>
      <c r="AW409" s="451">
        <f t="shared" si="90"/>
        <v>0</v>
      </c>
      <c r="AX409" s="451"/>
      <c r="AY409" s="451"/>
      <c r="AZ409" s="451"/>
      <c r="BA409" s="451"/>
      <c r="BB409" s="451"/>
      <c r="BC409" s="451"/>
      <c r="BD409" s="451"/>
      <c r="BE409" s="451"/>
      <c r="BF409" s="451"/>
      <c r="BG409" s="451"/>
      <c r="BH409" s="451"/>
      <c r="BJ409" s="1026"/>
    </row>
    <row r="410" spans="1:63" ht="24.75" customHeight="1">
      <c r="A410" s="1257" t="s">
        <v>284</v>
      </c>
      <c r="B410" s="1233"/>
      <c r="C410" s="1233"/>
      <c r="D410" s="1233"/>
      <c r="E410" s="1233"/>
      <c r="F410" s="1233"/>
      <c r="G410" s="1233"/>
      <c r="H410" s="1230"/>
      <c r="I410" s="1230"/>
      <c r="J410" s="1230"/>
      <c r="K410" s="917"/>
      <c r="L410" s="1230"/>
      <c r="M410" s="1230"/>
      <c r="N410" s="1230"/>
      <c r="O410" s="917"/>
      <c r="P410" s="1230"/>
      <c r="Q410" s="1230"/>
      <c r="R410" s="1230"/>
      <c r="S410" s="1230"/>
      <c r="T410" s="55"/>
      <c r="U410" s="1258"/>
      <c r="V410" s="55"/>
      <c r="W410" s="55"/>
      <c r="X410" s="55"/>
      <c r="Y410" s="55"/>
      <c r="Z410" s="55"/>
      <c r="AA410" s="55"/>
      <c r="AB410" s="55"/>
      <c r="AC410" s="55"/>
      <c r="AD410" s="55"/>
      <c r="AE410" s="55"/>
      <c r="AF410" s="55"/>
      <c r="AG410" s="1230"/>
      <c r="AH410" s="1230"/>
      <c r="AI410" s="1230"/>
      <c r="AJ410" s="1230"/>
      <c r="AK410" s="1230"/>
      <c r="AL410" s="1230"/>
      <c r="AM410" s="1230"/>
      <c r="AN410" s="1230"/>
      <c r="AO410" s="1230"/>
      <c r="AP410" s="1230"/>
      <c r="AQ410" s="1230"/>
      <c r="AR410" s="451"/>
      <c r="AS410" s="451"/>
      <c r="AT410" s="451"/>
      <c r="AU410" s="451"/>
      <c r="AV410" s="1222"/>
      <c r="AW410" s="451">
        <f t="shared" si="90"/>
        <v>0</v>
      </c>
      <c r="AX410" s="451"/>
      <c r="AY410" s="451"/>
      <c r="AZ410" s="451"/>
      <c r="BA410" s="451"/>
      <c r="BB410" s="451"/>
      <c r="BC410" s="451"/>
      <c r="BD410" s="451"/>
      <c r="BE410" s="451"/>
      <c r="BF410" s="451"/>
      <c r="BG410" s="451"/>
      <c r="BH410" s="451"/>
    </row>
    <row r="411" spans="1:63" ht="18" customHeight="1">
      <c r="A411" s="1259" t="s">
        <v>32</v>
      </c>
      <c r="B411" s="1230"/>
      <c r="C411" s="1230"/>
      <c r="D411" s="1833">
        <f>SUMIF(AB9:AB408,"&gt;.1")</f>
        <v>0</v>
      </c>
      <c r="E411" s="1833"/>
      <c r="F411" s="1833"/>
      <c r="G411" s="1833"/>
      <c r="H411" s="1259" t="s">
        <v>33</v>
      </c>
      <c r="I411" s="1260"/>
      <c r="J411" s="1261">
        <f>SUMIF(AC9:AC408,"&gt;.1")</f>
        <v>0</v>
      </c>
      <c r="K411" s="1261"/>
      <c r="L411" s="55"/>
      <c r="M411" s="451"/>
      <c r="N411" s="1259"/>
      <c r="O411" s="1262" t="s">
        <v>0</v>
      </c>
      <c r="P411" s="451"/>
      <c r="Q411" s="1826" t="s">
        <v>1482</v>
      </c>
      <c r="R411" s="1263">
        <f>IF(J411=0,0,AW416)</f>
        <v>0</v>
      </c>
      <c r="S411" s="1261"/>
      <c r="T411" s="1261"/>
      <c r="U411" s="1264"/>
      <c r="V411" s="1265"/>
      <c r="W411" s="55"/>
      <c r="X411" s="55"/>
      <c r="Y411" s="1266"/>
      <c r="Z411" s="1267"/>
      <c r="AA411" s="1267"/>
      <c r="AB411" s="1267"/>
      <c r="AC411" s="1267"/>
      <c r="AD411" s="1267"/>
      <c r="AE411" s="1267"/>
      <c r="AF411" s="1267"/>
      <c r="AG411" s="1831">
        <f>'Data Entry'!A76</f>
        <v>5.8257999999999997E-2</v>
      </c>
      <c r="AH411" s="1831"/>
      <c r="AI411" s="1831"/>
      <c r="AJ411" s="451"/>
      <c r="AK411" s="1230"/>
      <c r="AL411" s="1230"/>
      <c r="AM411" s="55"/>
      <c r="AN411" s="55"/>
      <c r="AO411" s="55"/>
      <c r="AP411" s="451"/>
      <c r="AQ411" s="1268"/>
      <c r="AR411" s="451"/>
      <c r="AS411" s="451"/>
      <c r="AT411" s="451"/>
      <c r="AU411" s="451"/>
      <c r="AV411" s="1222"/>
      <c r="AW411" s="451">
        <f t="shared" si="90"/>
        <v>0</v>
      </c>
      <c r="AX411" s="451"/>
      <c r="AY411" s="451"/>
      <c r="AZ411" s="451"/>
      <c r="BA411" s="451"/>
      <c r="BB411" s="451"/>
      <c r="BC411" s="451"/>
      <c r="BD411" s="451"/>
      <c r="BE411" s="451"/>
      <c r="BF411" s="451"/>
      <c r="BG411" s="451"/>
      <c r="BH411" s="451"/>
    </row>
    <row r="412" spans="1:63" ht="27.75" customHeight="1">
      <c r="A412" s="1269" t="s">
        <v>416</v>
      </c>
      <c r="B412" s="55"/>
      <c r="C412" s="55"/>
      <c r="D412" s="1234"/>
      <c r="E412" s="1234"/>
      <c r="F412" s="1234"/>
      <c r="G412" s="1831">
        <f>AQ409</f>
        <v>0</v>
      </c>
      <c r="H412" s="1831"/>
      <c r="I412" s="1832"/>
      <c r="J412" s="1832"/>
      <c r="K412" s="1832"/>
      <c r="L412" s="1230"/>
      <c r="M412" s="1837"/>
      <c r="N412" s="1837"/>
      <c r="O412" s="1270" t="s">
        <v>0</v>
      </c>
      <c r="P412" s="1217"/>
      <c r="Q412" s="1826"/>
      <c r="R412" s="1217"/>
      <c r="S412" s="1217"/>
      <c r="T412" s="1271"/>
      <c r="U412" s="1272"/>
      <c r="V412" s="1230"/>
      <c r="W412" s="55"/>
      <c r="X412" s="55"/>
      <c r="Y412" s="1792"/>
      <c r="Z412" s="1792"/>
      <c r="AA412" s="1792"/>
      <c r="AB412" s="1792"/>
      <c r="AC412" s="1792"/>
      <c r="AD412" s="1792"/>
      <c r="AE412" s="1792"/>
      <c r="AF412" s="1792"/>
      <c r="AG412" s="1792"/>
      <c r="AH412" s="1792"/>
      <c r="AI412" s="1792"/>
      <c r="AJ412" s="1273"/>
      <c r="AK412" s="607"/>
      <c r="AL412" s="607"/>
      <c r="AM412" s="1274"/>
      <c r="AN412" s="1274"/>
      <c r="AO412" s="1274"/>
      <c r="AP412" s="451"/>
      <c r="AQ412" s="1275"/>
      <c r="AR412" s="1276"/>
      <c r="AS412" s="451"/>
      <c r="AT412" s="451"/>
      <c r="AU412" s="451"/>
      <c r="AV412" s="1222"/>
      <c r="AW412" s="451">
        <f t="shared" si="90"/>
        <v>0</v>
      </c>
      <c r="AX412" s="451"/>
      <c r="AY412" s="451"/>
      <c r="AZ412" s="451"/>
      <c r="BA412" s="451"/>
      <c r="BB412" s="451"/>
      <c r="BC412" s="451"/>
      <c r="BD412" s="451"/>
      <c r="BE412" s="451"/>
      <c r="BF412" s="451"/>
      <c r="BG412" s="451"/>
      <c r="BH412" s="451"/>
    </row>
    <row r="413" spans="1:63" ht="10.5" customHeight="1">
      <c r="A413" s="1230" t="s">
        <v>0</v>
      </c>
      <c r="B413" s="55"/>
      <c r="C413" s="1230"/>
      <c r="D413" s="55"/>
      <c r="E413" s="55"/>
      <c r="F413" s="55"/>
      <c r="G413" s="55"/>
      <c r="H413" s="55"/>
      <c r="I413" s="55"/>
      <c r="J413" s="55"/>
      <c r="K413" s="1221"/>
      <c r="L413" s="55"/>
      <c r="M413" s="55"/>
      <c r="N413" s="55"/>
      <c r="O413" s="1221"/>
      <c r="P413" s="55"/>
      <c r="Q413" s="55"/>
      <c r="R413" s="55"/>
      <c r="S413" s="55"/>
      <c r="T413" s="55"/>
      <c r="U413" s="1221"/>
      <c r="V413" s="55"/>
      <c r="W413" s="55"/>
      <c r="X413" s="55"/>
      <c r="Y413" s="55"/>
      <c r="Z413" s="55"/>
      <c r="AA413" s="55"/>
      <c r="AB413" s="55"/>
      <c r="AC413" s="55"/>
      <c r="AD413" s="55"/>
      <c r="AE413" s="55"/>
      <c r="AF413" s="55"/>
      <c r="AG413" s="1257" t="s">
        <v>0</v>
      </c>
      <c r="AH413" s="1257"/>
      <c r="AI413" s="607"/>
      <c r="AJ413" s="607"/>
      <c r="AK413" s="607"/>
      <c r="AL413" s="607"/>
      <c r="AM413" s="55"/>
      <c r="AN413" s="55"/>
      <c r="AO413" s="55"/>
      <c r="AP413" s="1277" t="s">
        <v>0</v>
      </c>
      <c r="AQ413" s="1277" t="s">
        <v>0</v>
      </c>
      <c r="AR413" s="451"/>
      <c r="AS413" s="451"/>
      <c r="AT413" s="451"/>
      <c r="AU413" s="451"/>
      <c r="AV413" s="1222"/>
      <c r="AW413" s="451">
        <f t="shared" si="90"/>
        <v>0</v>
      </c>
      <c r="AX413" s="451"/>
      <c r="AY413" s="451"/>
      <c r="AZ413" s="451"/>
      <c r="BA413" s="451"/>
      <c r="BB413" s="451"/>
      <c r="BC413" s="451"/>
      <c r="BD413" s="451"/>
      <c r="BE413" s="451"/>
      <c r="BF413" s="451"/>
      <c r="BG413" s="451"/>
      <c r="BH413" s="451"/>
    </row>
    <row r="414" spans="1:63" ht="18" customHeight="1">
      <c r="A414" s="1278" t="str">
        <f>Welcome!A78</f>
        <v>9/5/2023 .</v>
      </c>
      <c r="B414" s="451"/>
      <c r="C414" s="451"/>
      <c r="D414" s="451"/>
      <c r="E414" s="451"/>
      <c r="F414" s="451"/>
      <c r="G414" s="451"/>
      <c r="H414" s="451"/>
      <c r="I414" s="451"/>
      <c r="J414" s="451"/>
      <c r="K414" s="1224"/>
      <c r="L414" s="451"/>
      <c r="M414" s="451"/>
      <c r="N414" s="451"/>
      <c r="O414" s="1224"/>
      <c r="P414" s="451"/>
      <c r="Q414" s="451"/>
      <c r="R414" s="451"/>
      <c r="S414" s="451"/>
      <c r="T414" s="451"/>
      <c r="U414" s="1224"/>
      <c r="V414" s="451"/>
      <c r="W414" s="451"/>
      <c r="X414" s="451"/>
      <c r="Y414" s="451"/>
      <c r="Z414" s="451"/>
      <c r="AA414" s="451"/>
      <c r="AB414" s="451"/>
      <c r="AC414" s="451"/>
      <c r="AD414" s="451"/>
      <c r="AE414" s="451"/>
      <c r="AF414" s="451"/>
      <c r="AG414" s="451"/>
      <c r="AH414" s="451"/>
      <c r="AI414" s="451"/>
      <c r="AJ414" s="451"/>
      <c r="AK414" s="451"/>
      <c r="AL414" s="451"/>
      <c r="AM414" s="451"/>
      <c r="AN414" s="451"/>
      <c r="AO414" s="451"/>
      <c r="AP414" s="451"/>
      <c r="AQ414" s="1279">
        <f ca="1">TODAY()</f>
        <v>45170</v>
      </c>
      <c r="AR414" s="1278"/>
      <c r="AS414" s="451"/>
      <c r="AT414" s="451"/>
      <c r="AU414" s="451"/>
      <c r="AV414" s="1222"/>
      <c r="AW414" s="451">
        <f t="shared" si="90"/>
        <v>0</v>
      </c>
      <c r="AX414" s="451"/>
      <c r="AY414" s="451"/>
      <c r="AZ414" s="451"/>
      <c r="BA414" s="451"/>
      <c r="BB414" s="451"/>
      <c r="BC414" s="451"/>
      <c r="BD414" s="451"/>
      <c r="BE414" s="451"/>
      <c r="BF414" s="451"/>
      <c r="BG414" s="451"/>
      <c r="BH414" s="451"/>
    </row>
    <row r="415" spans="1:63" ht="35.1" customHeight="1">
      <c r="A415" s="451"/>
      <c r="B415" s="451"/>
      <c r="C415" s="451"/>
      <c r="D415" s="451"/>
      <c r="E415" s="451"/>
      <c r="F415" s="451"/>
      <c r="G415" s="451"/>
      <c r="H415" s="451"/>
      <c r="I415" s="451"/>
      <c r="J415" s="451"/>
      <c r="K415" s="1224"/>
      <c r="L415" s="451"/>
      <c r="M415" s="451"/>
      <c r="N415" s="451"/>
      <c r="O415" s="1224"/>
      <c r="P415" s="451"/>
      <c r="Q415" s="451"/>
      <c r="R415" s="451"/>
      <c r="S415" s="451"/>
      <c r="T415" s="451"/>
      <c r="U415" s="1224"/>
      <c r="V415" s="451"/>
      <c r="W415" s="451"/>
      <c r="X415" s="451"/>
      <c r="Y415" s="451"/>
      <c r="Z415" s="451"/>
      <c r="AA415" s="451"/>
      <c r="AB415" s="451"/>
      <c r="AC415" s="451"/>
      <c r="AD415" s="451"/>
      <c r="AE415" s="451"/>
      <c r="AF415" s="451"/>
      <c r="AG415" s="451"/>
      <c r="AH415" s="451"/>
      <c r="AI415" s="451"/>
      <c r="AJ415" s="451"/>
      <c r="AK415" s="451"/>
      <c r="AL415" s="451"/>
      <c r="AM415" s="451"/>
      <c r="AN415" s="451"/>
      <c r="AO415" s="451"/>
      <c r="AP415" s="451"/>
      <c r="AQ415" s="451"/>
      <c r="AR415" s="451"/>
      <c r="AS415" s="451"/>
      <c r="AT415" s="451"/>
      <c r="AU415" s="451"/>
      <c r="AV415" s="1222"/>
      <c r="AW415" s="451">
        <f t="shared" si="90"/>
        <v>0</v>
      </c>
      <c r="AX415" s="451"/>
      <c r="AY415" s="451"/>
      <c r="AZ415" s="451"/>
      <c r="BA415" s="451"/>
      <c r="BB415" s="451"/>
      <c r="BC415" s="451"/>
      <c r="BD415" s="451"/>
      <c r="BE415" s="451"/>
      <c r="BF415" s="451"/>
      <c r="BG415" s="451"/>
      <c r="BH415" s="451"/>
    </row>
    <row r="416" spans="1:63" ht="35.1" customHeight="1">
      <c r="A416" s="451"/>
      <c r="B416" s="451"/>
      <c r="C416" s="451"/>
      <c r="D416" s="451"/>
      <c r="E416" s="451"/>
      <c r="F416" s="451"/>
      <c r="G416" s="451"/>
      <c r="H416" s="451"/>
      <c r="I416" s="451"/>
      <c r="J416" s="451"/>
      <c r="K416" s="1224"/>
      <c r="L416" s="451"/>
      <c r="M416" s="451"/>
      <c r="N416" s="451"/>
      <c r="O416" s="1224"/>
      <c r="P416" s="451"/>
      <c r="Q416" s="451"/>
      <c r="R416" s="451"/>
      <c r="S416" s="451"/>
      <c r="T416" s="451"/>
      <c r="U416" s="1224"/>
      <c r="V416" s="451"/>
      <c r="W416" s="451"/>
      <c r="X416" s="451"/>
      <c r="Y416" s="451"/>
      <c r="Z416" s="451"/>
      <c r="AA416" s="451"/>
      <c r="AB416" s="451"/>
      <c r="AC416" s="451"/>
      <c r="AD416" s="451"/>
      <c r="AE416" s="451"/>
      <c r="AF416" s="451"/>
      <c r="AG416" s="451"/>
      <c r="AH416" s="451"/>
      <c r="AI416" s="451"/>
      <c r="AJ416" s="451"/>
      <c r="AK416" s="451"/>
      <c r="AL416" s="451"/>
      <c r="AM416" s="451"/>
      <c r="AN416" s="451"/>
      <c r="AO416" s="451"/>
      <c r="AP416" s="451"/>
      <c r="AQ416" s="451"/>
      <c r="AR416" s="451"/>
      <c r="AS416" s="451"/>
      <c r="AT416" s="451"/>
      <c r="AU416" s="451"/>
      <c r="AV416" s="1222"/>
      <c r="AW416" s="451">
        <f>SUMIF(AW16:AW415,"&lt;&gt;#VALUE!")</f>
        <v>0</v>
      </c>
      <c r="AX416" s="451"/>
      <c r="AY416" s="451"/>
      <c r="AZ416" s="451"/>
      <c r="BA416" s="451"/>
      <c r="BB416" s="451"/>
      <c r="BC416" s="451"/>
      <c r="BD416" s="451"/>
      <c r="BE416" s="451"/>
      <c r="BF416" s="451"/>
      <c r="BG416" s="451"/>
      <c r="BH416" s="451"/>
    </row>
    <row r="417" spans="1:60" ht="35.1" customHeight="1">
      <c r="A417" s="451"/>
      <c r="B417" s="451"/>
      <c r="C417" s="451"/>
      <c r="D417" s="451"/>
      <c r="E417" s="451"/>
      <c r="F417" s="451"/>
      <c r="G417" s="451"/>
      <c r="H417" s="451"/>
      <c r="I417" s="451"/>
      <c r="J417" s="451"/>
      <c r="K417" s="1224"/>
      <c r="L417" s="451"/>
      <c r="M417" s="451"/>
      <c r="N417" s="451"/>
      <c r="O417" s="1224"/>
      <c r="P417" s="451"/>
      <c r="Q417" s="451"/>
      <c r="R417" s="451"/>
      <c r="S417" s="451"/>
      <c r="T417" s="451"/>
      <c r="U417" s="1224"/>
      <c r="V417" s="451"/>
      <c r="W417" s="451"/>
      <c r="X417" s="451"/>
      <c r="Y417" s="451"/>
      <c r="Z417" s="451"/>
      <c r="AA417" s="451"/>
      <c r="AB417" s="451"/>
      <c r="AC417" s="451"/>
      <c r="AD417" s="451"/>
      <c r="AE417" s="451"/>
      <c r="AF417" s="451"/>
      <c r="AG417" s="451"/>
      <c r="AH417" s="451"/>
      <c r="AI417" s="451"/>
      <c r="AJ417" s="451"/>
      <c r="AK417" s="451"/>
      <c r="AL417" s="451"/>
      <c r="AM417" s="451"/>
      <c r="AN417" s="451"/>
      <c r="AO417" s="451"/>
      <c r="AP417" s="451"/>
      <c r="AQ417" s="451"/>
      <c r="AR417" s="451"/>
      <c r="AS417" s="451"/>
      <c r="AT417" s="451"/>
      <c r="AU417" s="451"/>
      <c r="AV417" s="1222"/>
      <c r="AW417" s="451"/>
      <c r="AX417" s="451"/>
      <c r="AY417" s="451"/>
      <c r="AZ417" s="451"/>
      <c r="BA417" s="451"/>
      <c r="BB417" s="451"/>
      <c r="BC417" s="451"/>
      <c r="BD417" s="451"/>
      <c r="BE417" s="451"/>
      <c r="BF417" s="451"/>
      <c r="BG417" s="451"/>
      <c r="BH417" s="451"/>
    </row>
    <row r="418" spans="1:60" ht="35.1" customHeight="1">
      <c r="A418" s="451"/>
      <c r="B418" s="451"/>
      <c r="C418" s="451"/>
      <c r="D418" s="451"/>
      <c r="E418" s="451"/>
      <c r="F418" s="451"/>
      <c r="G418" s="451"/>
      <c r="H418" s="451"/>
      <c r="I418" s="451"/>
      <c r="J418" s="451"/>
      <c r="K418" s="1224"/>
      <c r="L418" s="451"/>
      <c r="M418" s="451"/>
      <c r="N418" s="451"/>
      <c r="O418" s="1224"/>
      <c r="P418" s="451"/>
      <c r="Q418" s="451"/>
      <c r="R418" s="451"/>
      <c r="S418" s="451"/>
      <c r="T418" s="451"/>
      <c r="U418" s="1224"/>
      <c r="V418" s="451"/>
      <c r="W418" s="451"/>
      <c r="X418" s="451"/>
      <c r="Y418" s="451"/>
      <c r="Z418" s="451"/>
      <c r="AA418" s="451"/>
      <c r="AB418" s="451"/>
      <c r="AC418" s="451"/>
      <c r="AD418" s="451"/>
      <c r="AE418" s="451"/>
      <c r="AF418" s="451"/>
      <c r="AG418" s="451"/>
      <c r="AH418" s="451"/>
      <c r="AI418" s="451"/>
      <c r="AJ418" s="451"/>
      <c r="AK418" s="451"/>
      <c r="AL418" s="451"/>
      <c r="AM418" s="451"/>
      <c r="AN418" s="451"/>
      <c r="AO418" s="451"/>
      <c r="AP418" s="451"/>
      <c r="AQ418" s="451"/>
      <c r="AR418" s="451"/>
      <c r="AS418" s="451"/>
      <c r="AT418" s="451"/>
      <c r="AU418" s="451"/>
      <c r="AV418" s="1222"/>
      <c r="AW418" s="451"/>
      <c r="AX418" s="451"/>
      <c r="AY418" s="451"/>
      <c r="AZ418" s="451"/>
      <c r="BA418" s="451"/>
      <c r="BB418" s="451"/>
      <c r="BC418" s="451"/>
      <c r="BD418" s="451"/>
      <c r="BE418" s="451"/>
      <c r="BF418" s="451"/>
      <c r="BG418" s="451"/>
      <c r="BH418" s="451"/>
    </row>
    <row r="419" spans="1:60" ht="35.1" customHeight="1">
      <c r="A419" s="451"/>
      <c r="B419" s="451"/>
      <c r="C419" s="451"/>
      <c r="D419" s="451"/>
      <c r="E419" s="451"/>
      <c r="F419" s="451"/>
      <c r="G419" s="451"/>
      <c r="H419" s="451"/>
      <c r="I419" s="451"/>
      <c r="J419" s="451"/>
      <c r="K419" s="1224"/>
      <c r="L419" s="451"/>
      <c r="M419" s="451"/>
      <c r="N419" s="451"/>
      <c r="O419" s="1224"/>
      <c r="P419" s="451"/>
      <c r="Q419" s="451"/>
      <c r="R419" s="451"/>
      <c r="S419" s="451"/>
      <c r="T419" s="451"/>
      <c r="U419" s="1224"/>
      <c r="V419" s="451"/>
      <c r="W419" s="451"/>
      <c r="X419" s="451"/>
      <c r="Y419" s="451"/>
      <c r="Z419" s="451"/>
      <c r="AA419" s="451"/>
      <c r="AB419" s="451"/>
      <c r="AC419" s="451"/>
      <c r="AD419" s="451"/>
      <c r="AE419" s="451"/>
      <c r="AF419" s="451"/>
      <c r="AG419" s="451"/>
      <c r="AH419" s="451"/>
      <c r="AI419" s="451"/>
      <c r="AJ419" s="451"/>
      <c r="AK419" s="451"/>
      <c r="AL419" s="451"/>
      <c r="AM419" s="451"/>
      <c r="AN419" s="451"/>
      <c r="AO419" s="451"/>
      <c r="AP419" s="451"/>
      <c r="AQ419" s="451"/>
      <c r="AR419" s="451"/>
      <c r="AS419" s="451"/>
      <c r="AT419" s="451"/>
      <c r="AU419" s="451"/>
      <c r="AV419" s="1222"/>
      <c r="AW419" s="451"/>
      <c r="AX419" s="451"/>
      <c r="AY419" s="451"/>
      <c r="AZ419" s="451"/>
      <c r="BA419" s="451"/>
      <c r="BB419" s="451"/>
      <c r="BC419" s="451"/>
      <c r="BD419" s="451"/>
      <c r="BE419" s="451"/>
      <c r="BF419" s="451"/>
      <c r="BG419" s="451"/>
      <c r="BH419" s="451"/>
    </row>
    <row r="420" spans="1:60" ht="35.1" customHeight="1">
      <c r="A420" s="451"/>
      <c r="B420" s="451"/>
      <c r="C420" s="451"/>
      <c r="D420" s="451"/>
      <c r="E420" s="451"/>
      <c r="F420" s="451"/>
      <c r="G420" s="451"/>
      <c r="H420" s="451"/>
      <c r="I420" s="451"/>
      <c r="J420" s="451"/>
      <c r="K420" s="1224"/>
      <c r="L420" s="451"/>
      <c r="M420" s="451"/>
      <c r="N420" s="451"/>
      <c r="O420" s="1224"/>
      <c r="P420" s="451"/>
      <c r="Q420" s="451"/>
      <c r="R420" s="451"/>
      <c r="S420" s="451"/>
      <c r="T420" s="451"/>
      <c r="U420" s="1224"/>
      <c r="V420" s="451"/>
      <c r="W420" s="451"/>
      <c r="X420" s="451"/>
      <c r="Y420" s="451"/>
      <c r="Z420" s="451"/>
      <c r="AA420" s="451"/>
      <c r="AB420" s="451"/>
      <c r="AC420" s="451"/>
      <c r="AD420" s="451"/>
      <c r="AE420" s="451"/>
      <c r="AF420" s="451"/>
      <c r="AG420" s="451"/>
      <c r="AH420" s="451"/>
      <c r="AI420" s="451"/>
      <c r="AJ420" s="451"/>
      <c r="AK420" s="451"/>
      <c r="AL420" s="451"/>
      <c r="AM420" s="451"/>
      <c r="AN420" s="451"/>
      <c r="AO420" s="451"/>
      <c r="AP420" s="451"/>
      <c r="AQ420" s="451"/>
      <c r="AR420" s="451"/>
      <c r="AS420" s="451"/>
      <c r="AT420" s="451"/>
      <c r="AU420" s="451"/>
      <c r="AV420" s="1222"/>
      <c r="AW420" s="451"/>
      <c r="AX420" s="451"/>
      <c r="AY420" s="451"/>
      <c r="AZ420" s="451"/>
      <c r="BA420" s="451"/>
      <c r="BB420" s="451"/>
      <c r="BC420" s="451"/>
      <c r="BD420" s="451"/>
      <c r="BE420" s="451"/>
      <c r="BF420" s="451"/>
      <c r="BG420" s="451"/>
      <c r="BH420" s="451"/>
    </row>
    <row r="421" spans="1:60" ht="35.1" customHeight="1">
      <c r="A421" s="451"/>
      <c r="B421" s="451"/>
      <c r="C421" s="451"/>
      <c r="D421" s="451"/>
      <c r="E421" s="451"/>
      <c r="F421" s="451"/>
      <c r="G421" s="451"/>
      <c r="H421" s="451"/>
      <c r="I421" s="451"/>
      <c r="J421" s="451"/>
      <c r="K421" s="1224"/>
      <c r="L421" s="451"/>
      <c r="M421" s="451"/>
      <c r="N421" s="451"/>
      <c r="O421" s="1224"/>
      <c r="P421" s="451"/>
      <c r="Q421" s="451"/>
      <c r="R421" s="451"/>
      <c r="S421" s="451"/>
      <c r="T421" s="451"/>
      <c r="U421" s="1224"/>
      <c r="V421" s="451"/>
      <c r="W421" s="451"/>
      <c r="X421" s="451"/>
      <c r="Y421" s="451"/>
      <c r="Z421" s="451"/>
      <c r="AA421" s="451"/>
      <c r="AB421" s="451"/>
      <c r="AC421" s="451"/>
      <c r="AD421" s="451"/>
      <c r="AE421" s="451"/>
      <c r="AF421" s="451"/>
      <c r="AG421" s="451"/>
      <c r="AH421" s="451"/>
      <c r="AI421" s="451"/>
      <c r="AJ421" s="451"/>
      <c r="AK421" s="451"/>
      <c r="AL421" s="451"/>
      <c r="AM421" s="451"/>
      <c r="AN421" s="451"/>
      <c r="AO421" s="451"/>
      <c r="AP421" s="451"/>
      <c r="AQ421" s="451"/>
      <c r="AR421" s="451"/>
      <c r="AS421" s="451"/>
      <c r="AT421" s="451"/>
      <c r="AU421" s="451"/>
      <c r="AV421" s="1222"/>
      <c r="AW421" s="451"/>
      <c r="AX421" s="451"/>
      <c r="AY421" s="451"/>
      <c r="AZ421" s="451"/>
      <c r="BA421" s="451"/>
      <c r="BB421" s="451"/>
      <c r="BC421" s="451"/>
      <c r="BD421" s="451"/>
      <c r="BE421" s="451"/>
      <c r="BF421" s="451"/>
      <c r="BG421" s="451"/>
      <c r="BH421" s="451"/>
    </row>
    <row r="422" spans="1:60" ht="35.1" customHeight="1">
      <c r="A422" s="451"/>
      <c r="B422" s="451"/>
      <c r="C422" s="451"/>
      <c r="D422" s="451"/>
      <c r="E422" s="451"/>
      <c r="F422" s="451"/>
      <c r="G422" s="451"/>
      <c r="H422" s="451"/>
      <c r="I422" s="451"/>
      <c r="J422" s="451"/>
      <c r="K422" s="1224"/>
      <c r="L422" s="451"/>
      <c r="M422" s="451"/>
      <c r="N422" s="451"/>
      <c r="O422" s="1224"/>
      <c r="P422" s="451"/>
      <c r="Q422" s="451"/>
      <c r="R422" s="451"/>
      <c r="S422" s="451"/>
      <c r="T422" s="451"/>
      <c r="U422" s="1224"/>
      <c r="V422" s="451"/>
      <c r="W422" s="451"/>
      <c r="X422" s="451"/>
      <c r="Y422" s="451"/>
      <c r="Z422" s="451"/>
      <c r="AA422" s="451"/>
      <c r="AB422" s="451"/>
      <c r="AC422" s="451"/>
      <c r="AD422" s="451"/>
      <c r="AE422" s="451"/>
      <c r="AF422" s="451"/>
      <c r="AG422" s="451"/>
      <c r="AH422" s="451"/>
      <c r="AI422" s="451"/>
      <c r="AJ422" s="451"/>
      <c r="AK422" s="451"/>
      <c r="AL422" s="451"/>
      <c r="AM422" s="451"/>
      <c r="AN422" s="451"/>
      <c r="AO422" s="451"/>
      <c r="AP422" s="451"/>
      <c r="AQ422" s="451"/>
      <c r="AR422" s="451"/>
      <c r="AS422" s="451"/>
      <c r="AT422" s="451"/>
      <c r="AU422" s="451"/>
      <c r="AV422" s="1222"/>
      <c r="AW422" s="451"/>
      <c r="AX422" s="451"/>
      <c r="AY422" s="451"/>
      <c r="AZ422" s="451"/>
      <c r="BA422" s="451"/>
      <c r="BB422" s="451"/>
      <c r="BC422" s="451"/>
      <c r="BD422" s="451"/>
      <c r="BE422" s="451"/>
      <c r="BF422" s="451"/>
      <c r="BG422" s="451"/>
      <c r="BH422" s="451"/>
    </row>
    <row r="423" spans="1:60" ht="35.1" customHeight="1">
      <c r="A423" s="451"/>
      <c r="B423" s="451"/>
      <c r="C423" s="451"/>
      <c r="D423" s="451"/>
      <c r="E423" s="451"/>
      <c r="F423" s="451"/>
      <c r="G423" s="451"/>
      <c r="H423" s="451"/>
      <c r="I423" s="451"/>
      <c r="J423" s="451"/>
      <c r="K423" s="1224"/>
      <c r="L423" s="451"/>
      <c r="M423" s="451"/>
      <c r="N423" s="451"/>
      <c r="O423" s="1224"/>
      <c r="P423" s="451"/>
      <c r="Q423" s="451"/>
      <c r="R423" s="451"/>
      <c r="S423" s="451"/>
      <c r="T423" s="451"/>
      <c r="U423" s="1224"/>
      <c r="V423" s="451"/>
      <c r="W423" s="451"/>
      <c r="X423" s="451"/>
      <c r="Y423" s="451"/>
      <c r="Z423" s="451"/>
      <c r="AA423" s="451"/>
      <c r="AB423" s="451"/>
      <c r="AC423" s="451"/>
      <c r="AD423" s="451"/>
      <c r="AE423" s="451"/>
      <c r="AF423" s="451"/>
      <c r="AG423" s="451"/>
      <c r="AH423" s="451"/>
      <c r="AI423" s="451"/>
      <c r="AJ423" s="451"/>
      <c r="AK423" s="451"/>
      <c r="AL423" s="451"/>
      <c r="AM423" s="451"/>
      <c r="AN423" s="451"/>
      <c r="AO423" s="451"/>
      <c r="AP423" s="451"/>
      <c r="AQ423" s="451"/>
      <c r="AR423" s="451"/>
      <c r="AS423" s="451"/>
      <c r="AT423" s="451"/>
      <c r="AU423" s="451"/>
      <c r="AV423" s="1222"/>
      <c r="AW423" s="451"/>
      <c r="AX423" s="451"/>
      <c r="AY423" s="451"/>
      <c r="AZ423" s="451"/>
      <c r="BA423" s="451"/>
      <c r="BB423" s="451"/>
      <c r="BC423" s="451"/>
      <c r="BD423" s="451"/>
      <c r="BE423" s="451"/>
      <c r="BF423" s="451"/>
      <c r="BG423" s="451"/>
      <c r="BH423" s="451"/>
    </row>
    <row r="424" spans="1:60" ht="35.1" customHeight="1">
      <c r="A424" s="451"/>
      <c r="B424" s="451"/>
      <c r="C424" s="451"/>
      <c r="D424" s="451"/>
      <c r="E424" s="451"/>
      <c r="F424" s="451"/>
      <c r="G424" s="451"/>
      <c r="H424" s="451"/>
      <c r="I424" s="451"/>
      <c r="J424" s="451"/>
      <c r="K424" s="1224"/>
      <c r="L424" s="451"/>
      <c r="M424" s="451"/>
      <c r="N424" s="451"/>
      <c r="O424" s="1224"/>
      <c r="P424" s="451"/>
      <c r="Q424" s="451"/>
      <c r="R424" s="451"/>
      <c r="S424" s="451"/>
      <c r="T424" s="451"/>
      <c r="U424" s="1224"/>
      <c r="V424" s="451"/>
      <c r="W424" s="451"/>
      <c r="X424" s="451"/>
      <c r="Y424" s="451"/>
      <c r="Z424" s="451"/>
      <c r="AA424" s="451"/>
      <c r="AB424" s="451"/>
      <c r="AC424" s="451"/>
      <c r="AD424" s="451"/>
      <c r="AE424" s="451"/>
      <c r="AF424" s="451"/>
      <c r="AG424" s="451"/>
      <c r="AH424" s="451"/>
      <c r="AI424" s="451"/>
      <c r="AJ424" s="451"/>
      <c r="AK424" s="451"/>
      <c r="AL424" s="451"/>
      <c r="AM424" s="451"/>
      <c r="AN424" s="451"/>
      <c r="AO424" s="451"/>
      <c r="AP424" s="451"/>
      <c r="AQ424" s="451"/>
      <c r="AR424" s="451"/>
      <c r="AS424" s="451"/>
      <c r="AT424" s="451"/>
      <c r="AU424" s="451"/>
      <c r="AV424" s="1222"/>
      <c r="AW424" s="451"/>
      <c r="AX424" s="451"/>
      <c r="AY424" s="451"/>
      <c r="AZ424" s="451"/>
      <c r="BA424" s="451"/>
      <c r="BB424" s="451"/>
      <c r="BC424" s="451"/>
      <c r="BD424" s="451"/>
      <c r="BE424" s="451"/>
      <c r="BF424" s="451"/>
      <c r="BG424" s="451"/>
      <c r="BH424" s="451"/>
    </row>
    <row r="425" spans="1:60" ht="35.1" customHeight="1">
      <c r="A425" s="451"/>
      <c r="B425" s="451"/>
      <c r="C425" s="451"/>
      <c r="D425" s="451"/>
      <c r="E425" s="451"/>
      <c r="F425" s="451"/>
      <c r="G425" s="451"/>
      <c r="H425" s="451"/>
      <c r="I425" s="451"/>
      <c r="J425" s="451"/>
      <c r="K425" s="1224"/>
      <c r="L425" s="451"/>
      <c r="M425" s="451"/>
      <c r="N425" s="451"/>
      <c r="O425" s="1224"/>
      <c r="P425" s="451"/>
      <c r="Q425" s="451"/>
      <c r="R425" s="451"/>
      <c r="S425" s="451"/>
      <c r="T425" s="451"/>
      <c r="U425" s="1224"/>
      <c r="V425" s="451"/>
      <c r="W425" s="451"/>
      <c r="X425" s="451"/>
      <c r="Y425" s="451"/>
      <c r="Z425" s="451"/>
      <c r="AA425" s="451"/>
      <c r="AB425" s="451"/>
      <c r="AC425" s="451"/>
      <c r="AD425" s="451"/>
      <c r="AE425" s="451"/>
      <c r="AF425" s="451"/>
      <c r="AG425" s="451"/>
      <c r="AH425" s="451"/>
      <c r="AI425" s="451"/>
      <c r="AJ425" s="451"/>
      <c r="AK425" s="451"/>
      <c r="AL425" s="451"/>
      <c r="AM425" s="451"/>
      <c r="AN425" s="451"/>
      <c r="AO425" s="451"/>
      <c r="AP425" s="451"/>
      <c r="AQ425" s="451"/>
      <c r="AR425" s="451"/>
      <c r="AS425" s="451"/>
      <c r="AT425" s="451"/>
      <c r="AU425" s="451"/>
      <c r="AV425" s="1222"/>
      <c r="AW425" s="451"/>
      <c r="AX425" s="451"/>
      <c r="AY425" s="451"/>
      <c r="AZ425" s="451"/>
      <c r="BA425" s="451"/>
      <c r="BB425" s="451"/>
      <c r="BC425" s="451"/>
      <c r="BD425" s="451"/>
      <c r="BE425" s="451"/>
      <c r="BF425" s="451"/>
      <c r="BG425" s="451"/>
      <c r="BH425" s="451"/>
    </row>
    <row r="426" spans="1:60" ht="35.1" customHeight="1">
      <c r="A426" s="451"/>
      <c r="B426" s="451"/>
      <c r="C426" s="451"/>
      <c r="D426" s="451"/>
      <c r="E426" s="451"/>
      <c r="F426" s="451"/>
      <c r="G426" s="451"/>
      <c r="H426" s="451"/>
      <c r="I426" s="451"/>
      <c r="J426" s="451"/>
      <c r="K426" s="1224"/>
      <c r="L426" s="451"/>
      <c r="M426" s="451"/>
      <c r="N426" s="451"/>
      <c r="O426" s="1224"/>
      <c r="P426" s="451"/>
      <c r="Q426" s="451"/>
      <c r="R426" s="451"/>
      <c r="S426" s="451"/>
      <c r="T426" s="451"/>
      <c r="U426" s="1224"/>
      <c r="V426" s="451"/>
      <c r="W426" s="451"/>
      <c r="X426" s="451"/>
      <c r="Y426" s="451"/>
      <c r="Z426" s="451"/>
      <c r="AA426" s="451"/>
      <c r="AB426" s="451"/>
      <c r="AC426" s="451"/>
      <c r="AD426" s="451"/>
      <c r="AE426" s="451"/>
      <c r="AF426" s="451"/>
      <c r="AG426" s="451"/>
      <c r="AH426" s="451"/>
      <c r="AI426" s="451"/>
      <c r="AJ426" s="451"/>
      <c r="AK426" s="451"/>
      <c r="AL426" s="451"/>
      <c r="AM426" s="451"/>
      <c r="AN426" s="451"/>
      <c r="AO426" s="451"/>
      <c r="AP426" s="451"/>
      <c r="AQ426" s="451"/>
      <c r="AR426" s="451"/>
      <c r="AS426" s="451"/>
      <c r="AT426" s="451"/>
      <c r="AU426" s="451"/>
      <c r="AV426" s="1222"/>
      <c r="AW426" s="451"/>
      <c r="AX426" s="451"/>
      <c r="AY426" s="451"/>
      <c r="AZ426" s="451"/>
      <c r="BA426" s="451"/>
      <c r="BB426" s="451"/>
      <c r="BC426" s="451"/>
      <c r="BD426" s="451"/>
      <c r="BE426" s="451"/>
      <c r="BF426" s="451"/>
      <c r="BG426" s="451"/>
      <c r="BH426" s="451"/>
    </row>
    <row r="427" spans="1:60" ht="35.1" customHeight="1">
      <c r="A427" s="451"/>
      <c r="B427" s="451"/>
      <c r="C427" s="451"/>
      <c r="D427" s="451"/>
      <c r="E427" s="451"/>
      <c r="F427" s="451"/>
      <c r="G427" s="451"/>
      <c r="H427" s="451"/>
      <c r="I427" s="451"/>
      <c r="J427" s="451"/>
      <c r="K427" s="1224"/>
      <c r="L427" s="451"/>
      <c r="M427" s="451"/>
      <c r="N427" s="451"/>
      <c r="O427" s="1224"/>
      <c r="P427" s="451"/>
      <c r="Q427" s="451"/>
      <c r="R427" s="451"/>
      <c r="S427" s="451"/>
      <c r="T427" s="451"/>
      <c r="U427" s="1224"/>
      <c r="V427" s="451"/>
      <c r="W427" s="451"/>
      <c r="X427" s="451"/>
      <c r="Y427" s="451"/>
      <c r="Z427" s="451"/>
      <c r="AA427" s="451"/>
      <c r="AB427" s="451"/>
      <c r="AC427" s="451"/>
      <c r="AD427" s="451"/>
      <c r="AE427" s="451"/>
      <c r="AF427" s="451"/>
      <c r="AG427" s="451"/>
      <c r="AH427" s="451"/>
      <c r="AI427" s="451"/>
      <c r="AJ427" s="451"/>
      <c r="AK427" s="451"/>
      <c r="AL427" s="451"/>
      <c r="AM427" s="451"/>
      <c r="AN427" s="451"/>
      <c r="AO427" s="451"/>
      <c r="AP427" s="451"/>
      <c r="AQ427" s="451"/>
      <c r="AR427" s="451"/>
      <c r="AS427" s="451"/>
      <c r="AT427" s="451"/>
      <c r="AU427" s="451"/>
      <c r="AV427" s="1222"/>
      <c r="AW427" s="451"/>
      <c r="AX427" s="451"/>
      <c r="AY427" s="451"/>
      <c r="AZ427" s="451"/>
      <c r="BA427" s="451"/>
      <c r="BB427" s="451"/>
      <c r="BC427" s="451"/>
      <c r="BD427" s="451"/>
      <c r="BE427" s="451"/>
      <c r="BF427" s="451"/>
      <c r="BG427" s="451"/>
      <c r="BH427" s="451"/>
    </row>
    <row r="428" spans="1:60" ht="35.1" customHeight="1">
      <c r="A428" s="451"/>
      <c r="B428" s="451"/>
      <c r="C428" s="451"/>
      <c r="D428" s="451"/>
      <c r="E428" s="451"/>
      <c r="F428" s="451"/>
      <c r="G428" s="451"/>
      <c r="H428" s="451"/>
      <c r="I428" s="451"/>
      <c r="J428" s="451"/>
      <c r="K428" s="1224"/>
      <c r="L428" s="451"/>
      <c r="M428" s="451"/>
      <c r="N428" s="451"/>
      <c r="O428" s="1224"/>
      <c r="P428" s="451"/>
      <c r="Q428" s="451"/>
      <c r="R428" s="451"/>
      <c r="S428" s="451"/>
      <c r="T428" s="451"/>
      <c r="U428" s="1224"/>
      <c r="V428" s="451"/>
      <c r="W428" s="451"/>
      <c r="X428" s="451"/>
      <c r="Y428" s="451"/>
      <c r="Z428" s="451"/>
      <c r="AA428" s="451"/>
      <c r="AB428" s="451"/>
      <c r="AC428" s="451"/>
      <c r="AD428" s="451"/>
      <c r="AE428" s="451"/>
      <c r="AF428" s="451"/>
      <c r="AG428" s="451"/>
      <c r="AH428" s="451"/>
      <c r="AI428" s="451"/>
      <c r="AJ428" s="451"/>
      <c r="AK428" s="451"/>
      <c r="AL428" s="451"/>
      <c r="AM428" s="451"/>
      <c r="AN428" s="451"/>
      <c r="AO428" s="451"/>
      <c r="AP428" s="451"/>
      <c r="AQ428" s="451"/>
      <c r="AR428" s="451"/>
      <c r="AS428" s="451"/>
      <c r="AT428" s="451"/>
      <c r="AU428" s="451"/>
      <c r="AV428" s="1222"/>
      <c r="AW428" s="451"/>
      <c r="AX428" s="451"/>
      <c r="AY428" s="451"/>
      <c r="AZ428" s="451"/>
      <c r="BA428" s="451"/>
      <c r="BB428" s="451"/>
      <c r="BC428" s="451"/>
      <c r="BD428" s="451"/>
      <c r="BE428" s="451"/>
      <c r="BF428" s="451"/>
      <c r="BG428" s="451"/>
      <c r="BH428" s="451"/>
    </row>
    <row r="429" spans="1:60" ht="35.1" customHeight="1">
      <c r="A429" s="451"/>
      <c r="B429" s="451"/>
      <c r="C429" s="451"/>
      <c r="D429" s="451"/>
      <c r="E429" s="451"/>
      <c r="F429" s="451"/>
      <c r="G429" s="451"/>
      <c r="H429" s="451"/>
      <c r="I429" s="451"/>
      <c r="J429" s="451"/>
      <c r="K429" s="1224"/>
      <c r="L429" s="451"/>
      <c r="M429" s="451"/>
      <c r="N429" s="451"/>
      <c r="O429" s="1224"/>
      <c r="P429" s="451"/>
      <c r="Q429" s="451"/>
      <c r="R429" s="451"/>
      <c r="S429" s="451"/>
      <c r="T429" s="451"/>
      <c r="U429" s="1224"/>
      <c r="V429" s="451"/>
      <c r="W429" s="451"/>
      <c r="X429" s="451"/>
      <c r="Y429" s="451"/>
      <c r="Z429" s="451"/>
      <c r="AA429" s="451"/>
      <c r="AB429" s="451"/>
      <c r="AC429" s="451"/>
      <c r="AD429" s="451"/>
      <c r="AE429" s="451"/>
      <c r="AF429" s="451"/>
      <c r="AG429" s="451"/>
      <c r="AH429" s="451"/>
      <c r="AI429" s="451"/>
      <c r="AJ429" s="451"/>
      <c r="AK429" s="451"/>
      <c r="AL429" s="451"/>
      <c r="AM429" s="451"/>
      <c r="AN429" s="451"/>
      <c r="AO429" s="451"/>
      <c r="AP429" s="451"/>
      <c r="AQ429" s="451"/>
      <c r="AR429" s="451"/>
      <c r="AS429" s="451"/>
      <c r="AT429" s="451"/>
      <c r="AU429" s="451"/>
      <c r="AV429" s="1222"/>
      <c r="AW429" s="451"/>
      <c r="AX429" s="451"/>
      <c r="AY429" s="451"/>
      <c r="AZ429" s="451"/>
      <c r="BA429" s="451"/>
      <c r="BB429" s="451"/>
      <c r="BC429" s="451"/>
      <c r="BD429" s="451"/>
      <c r="BE429" s="451"/>
      <c r="BF429" s="451"/>
      <c r="BG429" s="451"/>
      <c r="BH429" s="451"/>
    </row>
    <row r="430" spans="1:60" ht="35.1" customHeight="1">
      <c r="A430" s="451"/>
      <c r="B430" s="451"/>
      <c r="C430" s="451"/>
      <c r="D430" s="451"/>
      <c r="E430" s="451"/>
      <c r="F430" s="451"/>
      <c r="G430" s="451"/>
      <c r="H430" s="451"/>
      <c r="I430" s="451"/>
      <c r="J430" s="451"/>
      <c r="K430" s="1224"/>
      <c r="L430" s="451"/>
      <c r="M430" s="451"/>
      <c r="N430" s="451"/>
      <c r="O430" s="1224"/>
      <c r="P430" s="451"/>
      <c r="Q430" s="451"/>
      <c r="R430" s="451"/>
      <c r="S430" s="451"/>
      <c r="T430" s="451"/>
      <c r="U430" s="1224"/>
      <c r="V430" s="451"/>
      <c r="W430" s="451"/>
      <c r="X430" s="451"/>
      <c r="Y430" s="451"/>
      <c r="Z430" s="451"/>
      <c r="AA430" s="451"/>
      <c r="AB430" s="451"/>
      <c r="AC430" s="451"/>
      <c r="AD430" s="451"/>
      <c r="AE430" s="451"/>
      <c r="AF430" s="451"/>
      <c r="AG430" s="451"/>
      <c r="AH430" s="451"/>
      <c r="AI430" s="451"/>
      <c r="AJ430" s="451"/>
      <c r="AK430" s="451"/>
      <c r="AL430" s="451"/>
      <c r="AM430" s="451"/>
      <c r="AN430" s="451"/>
      <c r="AO430" s="451"/>
      <c r="AP430" s="451"/>
      <c r="AQ430" s="451"/>
      <c r="AR430" s="451"/>
      <c r="AS430" s="451"/>
      <c r="AT430" s="451"/>
      <c r="AU430" s="451"/>
      <c r="AV430" s="1222"/>
      <c r="AW430" s="451"/>
      <c r="AX430" s="451"/>
      <c r="AY430" s="451"/>
      <c r="AZ430" s="451"/>
      <c r="BA430" s="451"/>
      <c r="BB430" s="451"/>
      <c r="BC430" s="451"/>
      <c r="BD430" s="451"/>
      <c r="BE430" s="451"/>
      <c r="BF430" s="451"/>
      <c r="BG430" s="451"/>
      <c r="BH430" s="451"/>
    </row>
    <row r="431" spans="1:60" ht="35.1" customHeight="1">
      <c r="A431" s="451"/>
      <c r="B431" s="451"/>
      <c r="C431" s="451"/>
      <c r="D431" s="451"/>
      <c r="E431" s="451"/>
      <c r="F431" s="451"/>
      <c r="G431" s="451"/>
      <c r="H431" s="451"/>
      <c r="I431" s="451"/>
      <c r="J431" s="451"/>
      <c r="K431" s="1224"/>
      <c r="L431" s="451"/>
      <c r="M431" s="451"/>
      <c r="N431" s="451"/>
      <c r="O431" s="1224"/>
      <c r="P431" s="451"/>
      <c r="Q431" s="451"/>
      <c r="R431" s="451"/>
      <c r="S431" s="451"/>
      <c r="T431" s="451"/>
      <c r="U431" s="1224"/>
      <c r="V431" s="451"/>
      <c r="W431" s="451"/>
      <c r="X431" s="451"/>
      <c r="Y431" s="451"/>
      <c r="Z431" s="451"/>
      <c r="AA431" s="451"/>
      <c r="AB431" s="451"/>
      <c r="AC431" s="451"/>
      <c r="AD431" s="451"/>
      <c r="AE431" s="451"/>
      <c r="AF431" s="451"/>
      <c r="AG431" s="451"/>
      <c r="AH431" s="451"/>
      <c r="AI431" s="451"/>
      <c r="AJ431" s="451"/>
      <c r="AK431" s="451"/>
      <c r="AL431" s="451"/>
      <c r="AM431" s="451"/>
      <c r="AN431" s="451"/>
      <c r="AO431" s="451"/>
      <c r="AP431" s="451"/>
      <c r="AQ431" s="451"/>
      <c r="AR431" s="451"/>
      <c r="AS431" s="451"/>
      <c r="AT431" s="451"/>
      <c r="AU431" s="451"/>
      <c r="AV431" s="1222"/>
      <c r="AW431" s="451"/>
      <c r="AX431" s="451"/>
      <c r="AY431" s="451"/>
      <c r="AZ431" s="451"/>
      <c r="BA431" s="451"/>
      <c r="BB431" s="451"/>
      <c r="BC431" s="451"/>
      <c r="BD431" s="451"/>
      <c r="BE431" s="451"/>
      <c r="BF431" s="451"/>
      <c r="BG431" s="451"/>
      <c r="BH431" s="451"/>
    </row>
    <row r="432" spans="1:60" ht="35.1" customHeight="1">
      <c r="A432" s="451"/>
      <c r="B432" s="451"/>
      <c r="C432" s="451"/>
      <c r="D432" s="451"/>
      <c r="E432" s="451"/>
      <c r="F432" s="451"/>
      <c r="G432" s="451"/>
      <c r="H432" s="451"/>
      <c r="I432" s="451"/>
      <c r="J432" s="451"/>
      <c r="K432" s="1224"/>
      <c r="L432" s="451"/>
      <c r="M432" s="451"/>
      <c r="N432" s="451"/>
      <c r="O432" s="1224"/>
      <c r="P432" s="451"/>
      <c r="Q432" s="451"/>
      <c r="R432" s="451"/>
      <c r="S432" s="451"/>
      <c r="T432" s="451"/>
      <c r="U432" s="1224"/>
      <c r="V432" s="451"/>
      <c r="W432" s="451"/>
      <c r="X432" s="451"/>
      <c r="Y432" s="451"/>
      <c r="Z432" s="451"/>
      <c r="AA432" s="451"/>
      <c r="AB432" s="451"/>
      <c r="AC432" s="451"/>
      <c r="AD432" s="451"/>
      <c r="AE432" s="451"/>
      <c r="AF432" s="451"/>
      <c r="AG432" s="451"/>
      <c r="AH432" s="451"/>
      <c r="AI432" s="451"/>
      <c r="AJ432" s="451"/>
      <c r="AK432" s="451"/>
      <c r="AL432" s="451"/>
      <c r="AM432" s="451"/>
      <c r="AN432" s="451"/>
      <c r="AO432" s="451"/>
      <c r="AP432" s="451"/>
      <c r="AQ432" s="451"/>
      <c r="AR432" s="451"/>
      <c r="AS432" s="451"/>
      <c r="AT432" s="451"/>
      <c r="AU432" s="451"/>
      <c r="AV432" s="1222"/>
      <c r="AW432" s="451"/>
      <c r="AX432" s="451"/>
      <c r="AY432" s="451"/>
      <c r="AZ432" s="451"/>
      <c r="BA432" s="451"/>
      <c r="BB432" s="451"/>
      <c r="BC432" s="451"/>
      <c r="BD432" s="451"/>
      <c r="BE432" s="451"/>
      <c r="BF432" s="451"/>
      <c r="BG432" s="451"/>
      <c r="BH432" s="451"/>
    </row>
    <row r="433" spans="1:60" ht="35.1" customHeight="1">
      <c r="A433" s="451"/>
      <c r="B433" s="451"/>
      <c r="C433" s="451"/>
      <c r="D433" s="451"/>
      <c r="E433" s="451"/>
      <c r="F433" s="451"/>
      <c r="G433" s="451"/>
      <c r="H433" s="451"/>
      <c r="I433" s="451"/>
      <c r="J433" s="451"/>
      <c r="K433" s="1224"/>
      <c r="L433" s="451"/>
      <c r="M433" s="451"/>
      <c r="N433" s="451"/>
      <c r="O433" s="1224"/>
      <c r="P433" s="451"/>
      <c r="Q433" s="451"/>
      <c r="R433" s="451"/>
      <c r="S433" s="451"/>
      <c r="T433" s="451"/>
      <c r="U433" s="1224"/>
      <c r="V433" s="451"/>
      <c r="W433" s="451"/>
      <c r="X433" s="451"/>
      <c r="Y433" s="451"/>
      <c r="Z433" s="451"/>
      <c r="AA433" s="451"/>
      <c r="AB433" s="451"/>
      <c r="AC433" s="451"/>
      <c r="AD433" s="451"/>
      <c r="AE433" s="451"/>
      <c r="AF433" s="451"/>
      <c r="AG433" s="451"/>
      <c r="AH433" s="451"/>
      <c r="AI433" s="451"/>
      <c r="AJ433" s="451"/>
      <c r="AK433" s="451"/>
      <c r="AL433" s="451"/>
      <c r="AM433" s="451"/>
      <c r="AN433" s="451"/>
      <c r="AO433" s="451"/>
      <c r="AP433" s="451"/>
      <c r="AQ433" s="451"/>
      <c r="AR433" s="451"/>
      <c r="AS433" s="451"/>
      <c r="AT433" s="451"/>
      <c r="AU433" s="451"/>
      <c r="AV433" s="1222"/>
      <c r="AW433" s="451"/>
      <c r="AX433" s="451"/>
      <c r="AY433" s="451"/>
      <c r="AZ433" s="451"/>
      <c r="BA433" s="451"/>
      <c r="BB433" s="451"/>
      <c r="BC433" s="451"/>
      <c r="BD433" s="451"/>
      <c r="BE433" s="451"/>
      <c r="BF433" s="451"/>
      <c r="BG433" s="451"/>
      <c r="BH433" s="451"/>
    </row>
    <row r="434" spans="1:60" ht="35.1" customHeight="1">
      <c r="A434" s="451"/>
      <c r="B434" s="451"/>
      <c r="C434" s="451"/>
      <c r="D434" s="451"/>
      <c r="E434" s="451"/>
      <c r="F434" s="451"/>
      <c r="G434" s="451"/>
      <c r="H434" s="451"/>
      <c r="I434" s="451"/>
      <c r="J434" s="451"/>
      <c r="K434" s="1224"/>
      <c r="L434" s="451"/>
      <c r="M434" s="451"/>
      <c r="N434" s="451"/>
      <c r="O434" s="1224"/>
      <c r="P434" s="451"/>
      <c r="Q434" s="451"/>
      <c r="R434" s="451"/>
      <c r="S434" s="451"/>
      <c r="T434" s="451"/>
      <c r="U434" s="1224"/>
      <c r="V434" s="451"/>
      <c r="W434" s="451"/>
      <c r="X434" s="451"/>
      <c r="Y434" s="451"/>
      <c r="Z434" s="451"/>
      <c r="AA434" s="451"/>
      <c r="AB434" s="451"/>
      <c r="AC434" s="451"/>
      <c r="AD434" s="451"/>
      <c r="AE434" s="451"/>
      <c r="AF434" s="451"/>
      <c r="AG434" s="451"/>
      <c r="AH434" s="451"/>
      <c r="AI434" s="451"/>
      <c r="AJ434" s="451"/>
      <c r="AK434" s="451"/>
      <c r="AL434" s="451"/>
      <c r="AM434" s="451"/>
      <c r="AN434" s="451"/>
      <c r="AO434" s="451"/>
      <c r="AP434" s="451"/>
      <c r="AQ434" s="451"/>
      <c r="AR434" s="451"/>
      <c r="AS434" s="451"/>
      <c r="AT434" s="451"/>
      <c r="AU434" s="451"/>
      <c r="AV434" s="1222"/>
      <c r="AW434" s="451"/>
      <c r="AX434" s="451"/>
      <c r="AY434" s="451"/>
      <c r="AZ434" s="451"/>
      <c r="BA434" s="451"/>
      <c r="BB434" s="451"/>
      <c r="BC434" s="451"/>
      <c r="BD434" s="451"/>
      <c r="BE434" s="451"/>
      <c r="BF434" s="451"/>
      <c r="BG434" s="451"/>
      <c r="BH434" s="451"/>
    </row>
    <row r="435" spans="1:60" ht="35.1" customHeight="1"/>
    <row r="436" spans="1:60" ht="35.1" customHeight="1"/>
    <row r="437" spans="1:60" ht="35.1" customHeight="1"/>
    <row r="438" spans="1:60" ht="35.1" customHeight="1"/>
    <row r="439" spans="1:60" ht="35.1" customHeight="1"/>
    <row r="440" spans="1:60" ht="35.1" customHeight="1"/>
    <row r="441" spans="1:60" ht="35.1" customHeight="1"/>
    <row r="442" spans="1:60" ht="35.1" customHeight="1"/>
    <row r="443" spans="1:60" ht="35.1" customHeight="1"/>
    <row r="444" spans="1:60" ht="35.1" customHeight="1"/>
    <row r="445" spans="1:60" ht="35.1" customHeight="1"/>
    <row r="446" spans="1:60" ht="35.1" customHeight="1"/>
    <row r="447" spans="1:60" ht="35.1" customHeight="1"/>
    <row r="448" spans="1:60" ht="35.1" customHeight="1"/>
    <row r="449" ht="35.1" customHeight="1"/>
    <row r="450" ht="35.1" customHeight="1"/>
    <row r="451" ht="35.1" customHeight="1"/>
    <row r="452" ht="35.1" customHeight="1"/>
    <row r="453" ht="35.1" customHeight="1"/>
    <row r="454" ht="35.1" customHeight="1"/>
    <row r="455" ht="35.1" customHeight="1"/>
    <row r="456" ht="35.1" customHeight="1"/>
    <row r="457" ht="35.1" customHeight="1"/>
    <row r="458" ht="35.1" customHeight="1"/>
    <row r="459" ht="35.1" customHeight="1"/>
    <row r="460" ht="35.1" customHeight="1"/>
    <row r="461" ht="35.1" customHeight="1"/>
    <row r="462" ht="35.1" customHeight="1"/>
    <row r="463" ht="35.1" customHeight="1"/>
    <row r="464" ht="35.1" customHeight="1"/>
    <row r="465" ht="35.1" customHeight="1"/>
    <row r="466" ht="35.1" customHeight="1"/>
    <row r="467" ht="35.1" customHeight="1"/>
    <row r="468" ht="35.1" customHeight="1"/>
    <row r="469" ht="35.1" customHeight="1"/>
    <row r="470" ht="35.1" customHeight="1"/>
    <row r="471" ht="35.1" customHeight="1"/>
    <row r="472" ht="35.1" customHeight="1"/>
    <row r="473" ht="35.1" customHeight="1"/>
    <row r="474" ht="35.1" customHeight="1"/>
    <row r="475" ht="35.1" customHeight="1"/>
    <row r="476" ht="35.1" customHeight="1"/>
    <row r="477" ht="35.1" customHeight="1"/>
    <row r="478" ht="35.1" customHeight="1"/>
    <row r="479" ht="35.1" customHeight="1"/>
    <row r="480" ht="35.1" customHeight="1"/>
    <row r="481" ht="35.1" customHeight="1"/>
    <row r="482" ht="35.1" customHeight="1"/>
    <row r="483" ht="35.1" customHeight="1"/>
    <row r="484" ht="35.1" customHeight="1"/>
    <row r="485" ht="35.1" customHeight="1"/>
    <row r="486" ht="35.1" customHeight="1"/>
    <row r="487" ht="35.1" customHeight="1"/>
    <row r="488" ht="35.1" customHeight="1"/>
    <row r="489" ht="35.1" customHeight="1"/>
    <row r="490" ht="35.1" customHeight="1"/>
    <row r="491" ht="35.1" customHeight="1"/>
    <row r="492" ht="35.1" customHeight="1"/>
    <row r="493" ht="35.1" customHeight="1"/>
    <row r="494" ht="35.1" customHeight="1"/>
    <row r="495" ht="35.1" customHeight="1"/>
    <row r="496" ht="35.1" customHeight="1"/>
    <row r="497" ht="35.1" customHeight="1"/>
    <row r="498" ht="35.1" customHeight="1"/>
    <row r="499" ht="35.1" customHeight="1"/>
    <row r="500" ht="35.1" customHeight="1"/>
    <row r="501" ht="35.1" customHeight="1"/>
    <row r="502" ht="35.1" customHeight="1"/>
    <row r="503" ht="35.1" customHeight="1"/>
    <row r="504" ht="35.1" customHeight="1"/>
    <row r="505" ht="35.1" customHeight="1"/>
    <row r="506" ht="35.1" customHeight="1"/>
    <row r="507" ht="35.1" customHeight="1"/>
    <row r="508" ht="35.1" customHeight="1"/>
    <row r="509" ht="35.1" customHeight="1"/>
    <row r="510" ht="35.1" customHeight="1"/>
    <row r="511" ht="35.1" customHeight="1"/>
    <row r="512" ht="35.1" customHeight="1"/>
    <row r="513" ht="35.1" customHeight="1"/>
    <row r="514" ht="35.1" customHeight="1"/>
    <row r="515" ht="35.1" customHeight="1"/>
    <row r="516" ht="35.1" customHeight="1"/>
    <row r="517" ht="35.1" customHeight="1"/>
    <row r="518" ht="35.1" customHeight="1"/>
    <row r="519" ht="35.1" customHeight="1"/>
    <row r="520" ht="35.1" customHeight="1"/>
    <row r="521" ht="35.1" customHeight="1"/>
    <row r="522" ht="35.1" customHeight="1"/>
    <row r="523" ht="35.1" customHeight="1"/>
    <row r="524" ht="35.1" customHeight="1"/>
    <row r="525" ht="35.1" customHeight="1"/>
    <row r="526" ht="35.1" customHeight="1"/>
    <row r="527" ht="35.1" customHeight="1"/>
    <row r="528" ht="35.1" customHeight="1"/>
    <row r="529" ht="35.1" customHeight="1"/>
    <row r="530" ht="35.1" customHeight="1"/>
    <row r="531" ht="35.1" customHeight="1"/>
    <row r="532" ht="35.1" customHeight="1"/>
    <row r="533" ht="35.1" customHeight="1"/>
    <row r="534" ht="35.1" customHeight="1"/>
    <row r="535" ht="35.1" customHeight="1"/>
    <row r="536" ht="35.1" customHeight="1"/>
    <row r="537" ht="35.1" customHeight="1"/>
    <row r="538" ht="35.1" customHeight="1"/>
    <row r="539" ht="35.1" customHeight="1"/>
    <row r="540" ht="35.1" customHeight="1"/>
    <row r="541" ht="35.1" customHeight="1"/>
    <row r="542" ht="35.1" customHeight="1"/>
    <row r="543" ht="35.1" customHeight="1"/>
    <row r="544" ht="35.1" customHeight="1"/>
    <row r="545" ht="35.1" customHeight="1"/>
    <row r="546" ht="35.1" customHeight="1"/>
    <row r="547" ht="35.1" customHeight="1"/>
    <row r="548" ht="35.1" customHeight="1"/>
    <row r="549" ht="35.1" customHeight="1"/>
    <row r="550" ht="35.1" customHeight="1"/>
    <row r="551" ht="35.1" customHeight="1"/>
    <row r="552" ht="35.1" customHeight="1"/>
    <row r="553" ht="35.1" customHeight="1"/>
    <row r="554" ht="35.1" customHeight="1"/>
    <row r="555" ht="35.1" customHeight="1"/>
    <row r="556" ht="35.1" customHeight="1"/>
    <row r="557" ht="35.1" customHeight="1"/>
    <row r="558" ht="35.1" customHeight="1"/>
    <row r="559" ht="35.1" customHeight="1"/>
    <row r="560" ht="35.1" customHeight="1"/>
    <row r="561" ht="35.1" customHeight="1"/>
    <row r="562" ht="35.1" customHeight="1"/>
    <row r="563" ht="35.1" customHeight="1"/>
    <row r="564" ht="35.1" customHeight="1"/>
    <row r="565" ht="35.1" customHeight="1"/>
    <row r="566" ht="35.1" customHeight="1"/>
    <row r="567" ht="35.1" customHeight="1"/>
    <row r="568" ht="35.1" customHeight="1"/>
    <row r="569" ht="35.1" customHeight="1"/>
    <row r="570" ht="35.1" customHeight="1"/>
    <row r="571" ht="35.1" customHeight="1"/>
    <row r="572" ht="35.1" customHeight="1"/>
    <row r="573" ht="35.1" customHeight="1"/>
    <row r="574" ht="35.1" customHeight="1"/>
    <row r="575" ht="35.1" customHeight="1"/>
    <row r="576" ht="35.1" customHeight="1"/>
    <row r="577" ht="35.1" customHeight="1"/>
    <row r="578" ht="35.1" customHeight="1"/>
    <row r="579" ht="35.1" customHeight="1"/>
    <row r="580" ht="35.1" customHeight="1"/>
    <row r="581" ht="35.1" customHeight="1"/>
    <row r="582" ht="35.1" customHeight="1"/>
    <row r="583" ht="35.1" customHeight="1"/>
    <row r="584" ht="35.1" customHeight="1"/>
    <row r="585" ht="35.1" customHeight="1"/>
    <row r="586" ht="35.1" customHeight="1"/>
    <row r="587" ht="35.1" customHeight="1"/>
    <row r="588" ht="35.1" customHeight="1"/>
    <row r="589" ht="35.1" customHeight="1"/>
    <row r="590" ht="35.1" customHeight="1"/>
    <row r="591" ht="35.1" customHeight="1"/>
    <row r="592" ht="35.1" customHeight="1"/>
    <row r="593" ht="35.1" customHeight="1"/>
    <row r="594" ht="35.1" customHeight="1"/>
    <row r="595" ht="35.1" customHeight="1"/>
    <row r="596" ht="35.1" customHeight="1"/>
    <row r="597" ht="35.1" customHeight="1"/>
    <row r="598" ht="35.1" customHeight="1"/>
    <row r="599" ht="35.1" customHeight="1"/>
    <row r="600" ht="35.1" customHeight="1"/>
    <row r="601" ht="35.1" customHeight="1"/>
    <row r="602" ht="35.1" customHeight="1"/>
    <row r="603" ht="35.1" customHeight="1"/>
    <row r="604" ht="35.1" customHeight="1"/>
    <row r="605" ht="35.1" customHeight="1"/>
    <row r="606" ht="35.1" customHeight="1"/>
    <row r="607" ht="35.1" customHeight="1"/>
    <row r="608" ht="35.1" customHeight="1"/>
    <row r="609" ht="35.1" customHeight="1"/>
    <row r="610" ht="35.1" customHeight="1"/>
    <row r="611" ht="35.1" customHeight="1"/>
    <row r="612" ht="35.1" customHeight="1"/>
    <row r="613" ht="35.1" customHeight="1"/>
    <row r="614" ht="35.1" customHeight="1"/>
    <row r="615" ht="35.1" customHeight="1"/>
    <row r="616" ht="35.1" customHeight="1"/>
    <row r="617" ht="35.1" customHeight="1"/>
    <row r="618" ht="35.1" customHeight="1"/>
    <row r="619" ht="35.1" customHeight="1"/>
    <row r="620" ht="35.1" customHeight="1"/>
    <row r="621" ht="35.1" customHeight="1"/>
    <row r="622" ht="35.1" customHeight="1"/>
    <row r="623" ht="35.1" customHeight="1"/>
    <row r="624" ht="35.1" customHeight="1"/>
    <row r="625" ht="35.1" customHeight="1"/>
    <row r="626" ht="35.1" customHeight="1"/>
    <row r="627" ht="35.1" customHeight="1"/>
    <row r="628" ht="35.1" customHeight="1"/>
    <row r="629" ht="35.1" customHeight="1"/>
    <row r="630" ht="35.1" customHeight="1"/>
    <row r="631" ht="35.1" customHeight="1"/>
    <row r="632" ht="35.1" customHeight="1"/>
    <row r="633" ht="35.1" customHeight="1"/>
    <row r="634" ht="35.1" customHeight="1"/>
    <row r="635" ht="35.1" customHeight="1"/>
    <row r="636" ht="35.1" customHeight="1"/>
    <row r="637" ht="35.1" customHeight="1"/>
    <row r="638" ht="35.1" customHeight="1"/>
    <row r="639" ht="35.1" customHeight="1"/>
    <row r="640" ht="35.1" customHeight="1"/>
    <row r="641" ht="35.1" customHeight="1"/>
    <row r="642" ht="35.1" customHeight="1"/>
    <row r="643" ht="35.1" customHeight="1"/>
    <row r="644" ht="35.1" customHeight="1"/>
    <row r="645" ht="35.1" customHeight="1"/>
    <row r="646" ht="35.1" customHeight="1"/>
    <row r="647" ht="35.1" customHeight="1"/>
    <row r="648" ht="35.1" customHeight="1"/>
    <row r="649" ht="35.1" customHeight="1"/>
    <row r="650" ht="35.1" customHeight="1"/>
    <row r="651" ht="35.1" customHeight="1"/>
    <row r="652" ht="35.1" customHeight="1"/>
    <row r="653" ht="35.1" customHeight="1"/>
    <row r="654" ht="35.1" customHeight="1"/>
    <row r="655" ht="35.1" customHeight="1"/>
    <row r="656" ht="35.1" customHeight="1"/>
    <row r="657" ht="35.1" customHeight="1"/>
    <row r="658" ht="35.1" customHeight="1"/>
    <row r="659" ht="35.1" customHeight="1"/>
    <row r="660" ht="35.1" customHeight="1"/>
    <row r="661" ht="35.1" customHeight="1"/>
    <row r="662" ht="35.1" customHeight="1"/>
    <row r="663" ht="35.1" customHeight="1"/>
    <row r="664" ht="35.1" customHeight="1"/>
    <row r="665" ht="35.1" customHeight="1"/>
    <row r="666" ht="35.1" customHeight="1"/>
    <row r="667" ht="35.1" customHeight="1"/>
    <row r="668" ht="35.1" customHeight="1"/>
    <row r="669" ht="35.1" customHeight="1"/>
    <row r="670" ht="35.1" customHeight="1"/>
    <row r="671" ht="35.1" customHeight="1"/>
    <row r="672" ht="35.1" customHeight="1"/>
    <row r="673" ht="35.1" customHeight="1"/>
    <row r="674" ht="35.1" customHeight="1"/>
    <row r="675" ht="35.1" customHeight="1"/>
    <row r="676" ht="35.1" customHeight="1"/>
    <row r="677" ht="35.1" customHeight="1"/>
    <row r="678" ht="35.1" customHeight="1"/>
    <row r="679" ht="35.1" customHeight="1"/>
    <row r="680" ht="35.1" customHeight="1"/>
    <row r="681" ht="35.1" customHeight="1"/>
    <row r="682" ht="35.1" customHeight="1"/>
    <row r="683" ht="35.1" customHeight="1"/>
    <row r="684" ht="35.1" customHeight="1"/>
    <row r="685" ht="35.1" customHeight="1"/>
    <row r="686" ht="35.1" customHeight="1"/>
    <row r="687" ht="35.1" customHeight="1"/>
    <row r="688" ht="35.1" customHeight="1"/>
    <row r="689" ht="35.1" customHeight="1"/>
    <row r="690" ht="35.1" customHeight="1"/>
    <row r="691" ht="35.1" customHeight="1"/>
    <row r="692" ht="35.1" customHeight="1"/>
    <row r="693" ht="35.1" customHeight="1"/>
    <row r="694" ht="35.1" customHeight="1"/>
    <row r="695" ht="35.1" customHeight="1"/>
    <row r="696" ht="35.1" customHeight="1"/>
    <row r="697" ht="35.1" customHeight="1"/>
    <row r="698" ht="35.1" customHeight="1"/>
    <row r="699" ht="35.1" customHeight="1"/>
    <row r="700" ht="35.1" customHeight="1"/>
    <row r="701" ht="35.1" customHeight="1"/>
    <row r="702" ht="35.1" customHeight="1"/>
    <row r="703" ht="35.1" customHeight="1"/>
    <row r="704" ht="35.1" customHeight="1"/>
    <row r="705" ht="35.1" customHeight="1"/>
    <row r="706" ht="35.1" customHeight="1"/>
    <row r="707" ht="35.1" customHeight="1"/>
    <row r="708" ht="35.1" customHeight="1"/>
    <row r="710" ht="21" customHeight="1"/>
    <row r="711" ht="21" customHeight="1"/>
    <row r="713" ht="6.75" customHeight="1"/>
  </sheetData>
  <sheetProtection formatRows="0"/>
  <mergeCells count="2426">
    <mergeCell ref="BC7:BH7"/>
    <mergeCell ref="AG360:AI360"/>
    <mergeCell ref="AG370:AI370"/>
    <mergeCell ref="AJ370:AL370"/>
    <mergeCell ref="B369:D369"/>
    <mergeCell ref="W371:Y371"/>
    <mergeCell ref="W405:Y405"/>
    <mergeCell ref="AG405:AI405"/>
    <mergeCell ref="AJ405:AL405"/>
    <mergeCell ref="B405:D405"/>
    <mergeCell ref="G405:J405"/>
    <mergeCell ref="AJ403:AL403"/>
    <mergeCell ref="B406:D406"/>
    <mergeCell ref="G406:J406"/>
    <mergeCell ref="W406:Y406"/>
    <mergeCell ref="AG406:AI406"/>
    <mergeCell ref="AJ406:AL406"/>
    <mergeCell ref="AG404:AI404"/>
    <mergeCell ref="AJ404:AL404"/>
    <mergeCell ref="B403:D403"/>
    <mergeCell ref="G403:J403"/>
    <mergeCell ref="W403:Y403"/>
    <mergeCell ref="AG403:AI403"/>
    <mergeCell ref="AG371:AI371"/>
    <mergeCell ref="AJ371:AL371"/>
    <mergeCell ref="B370:D370"/>
    <mergeCell ref="G370:J370"/>
    <mergeCell ref="W370:Y370"/>
    <mergeCell ref="B371:D371"/>
    <mergeCell ref="G371:J371"/>
    <mergeCell ref="G369:J369"/>
    <mergeCell ref="W369:Y369"/>
    <mergeCell ref="AJ368:AL368"/>
    <mergeCell ref="W366:Y366"/>
    <mergeCell ref="B367:D367"/>
    <mergeCell ref="G367:J367"/>
    <mergeCell ref="AJ392:AL392"/>
    <mergeCell ref="G388:J388"/>
    <mergeCell ref="B390:D390"/>
    <mergeCell ref="G390:J390"/>
    <mergeCell ref="AJ389:AL389"/>
    <mergeCell ref="AG369:AI369"/>
    <mergeCell ref="W358:Y358"/>
    <mergeCell ref="AG358:AI358"/>
    <mergeCell ref="AJ358:AL358"/>
    <mergeCell ref="B361:D361"/>
    <mergeCell ref="G361:J361"/>
    <mergeCell ref="W361:Y361"/>
    <mergeCell ref="B358:D358"/>
    <mergeCell ref="G358:J358"/>
    <mergeCell ref="B359:D359"/>
    <mergeCell ref="G359:J359"/>
    <mergeCell ref="W359:Y359"/>
    <mergeCell ref="AG359:AI359"/>
    <mergeCell ref="AJ359:AL359"/>
    <mergeCell ref="W362:Y362"/>
    <mergeCell ref="AG362:AI362"/>
    <mergeCell ref="AJ362:AL362"/>
    <mergeCell ref="G385:J385"/>
    <mergeCell ref="AJ373:AL373"/>
    <mergeCell ref="B376:D376"/>
    <mergeCell ref="G376:J376"/>
    <mergeCell ref="W376:Y376"/>
    <mergeCell ref="AG376:AI376"/>
    <mergeCell ref="AJ354:AL354"/>
    <mergeCell ref="B357:D357"/>
    <mergeCell ref="G357:J357"/>
    <mergeCell ref="W357:Y357"/>
    <mergeCell ref="B354:D354"/>
    <mergeCell ref="G354:J354"/>
    <mergeCell ref="B355:D355"/>
    <mergeCell ref="G355:J355"/>
    <mergeCell ref="W355:Y355"/>
    <mergeCell ref="AG355:AI355"/>
    <mergeCell ref="AJ355:AL355"/>
    <mergeCell ref="O357:P357"/>
    <mergeCell ref="B404:D404"/>
    <mergeCell ref="G404:J404"/>
    <mergeCell ref="W404:Y404"/>
    <mergeCell ref="B362:D362"/>
    <mergeCell ref="G362:J362"/>
    <mergeCell ref="AJ360:AL360"/>
    <mergeCell ref="B363:D363"/>
    <mergeCell ref="G363:J363"/>
    <mergeCell ref="W363:Y363"/>
    <mergeCell ref="AG363:AI363"/>
    <mergeCell ref="AJ363:AL363"/>
    <mergeCell ref="AG361:AI361"/>
    <mergeCell ref="AJ361:AL361"/>
    <mergeCell ref="B360:D360"/>
    <mergeCell ref="G360:J360"/>
    <mergeCell ref="W360:Y360"/>
    <mergeCell ref="AG357:AI357"/>
    <mergeCell ref="AJ357:AL357"/>
    <mergeCell ref="AJ369:AL369"/>
    <mergeCell ref="W365:Y365"/>
    <mergeCell ref="AJ353:AL353"/>
    <mergeCell ref="B352:D352"/>
    <mergeCell ref="G352:J352"/>
    <mergeCell ref="AJ356:AL356"/>
    <mergeCell ref="W352:Y352"/>
    <mergeCell ref="AG352:AI352"/>
    <mergeCell ref="W350:Y350"/>
    <mergeCell ref="AG350:AI350"/>
    <mergeCell ref="AJ350:AL350"/>
    <mergeCell ref="B353:D353"/>
    <mergeCell ref="G353:J353"/>
    <mergeCell ref="W353:Y353"/>
    <mergeCell ref="B350:D350"/>
    <mergeCell ref="G350:J350"/>
    <mergeCell ref="B351:D351"/>
    <mergeCell ref="G351:J351"/>
    <mergeCell ref="W351:Y351"/>
    <mergeCell ref="AG351:AI351"/>
    <mergeCell ref="AJ351:AL351"/>
    <mergeCell ref="AJ352:AL352"/>
    <mergeCell ref="O350:P350"/>
    <mergeCell ref="O351:P351"/>
    <mergeCell ref="O352:P352"/>
    <mergeCell ref="O353:P353"/>
    <mergeCell ref="O354:P354"/>
    <mergeCell ref="O355:P355"/>
    <mergeCell ref="O356:P356"/>
    <mergeCell ref="B356:D356"/>
    <mergeCell ref="G356:J356"/>
    <mergeCell ref="W356:Y356"/>
    <mergeCell ref="AG356:AI356"/>
    <mergeCell ref="W354:Y354"/>
    <mergeCell ref="AJ349:AL349"/>
    <mergeCell ref="B348:D348"/>
    <mergeCell ref="G348:J348"/>
    <mergeCell ref="W348:Y348"/>
    <mergeCell ref="AG348:AI348"/>
    <mergeCell ref="W346:Y346"/>
    <mergeCell ref="AG346:AI346"/>
    <mergeCell ref="AJ346:AL346"/>
    <mergeCell ref="B349:D349"/>
    <mergeCell ref="G349:J349"/>
    <mergeCell ref="W349:Y349"/>
    <mergeCell ref="B346:D346"/>
    <mergeCell ref="G346:J346"/>
    <mergeCell ref="B347:D347"/>
    <mergeCell ref="G347:J347"/>
    <mergeCell ref="W347:Y347"/>
    <mergeCell ref="AG347:AI347"/>
    <mergeCell ref="AJ347:AL347"/>
    <mergeCell ref="O349:P349"/>
    <mergeCell ref="AJ348:AL348"/>
    <mergeCell ref="AJ340:AL340"/>
    <mergeCell ref="W336:Y336"/>
    <mergeCell ref="AG336:AI336"/>
    <mergeCell ref="AG341:AI341"/>
    <mergeCell ref="AJ341:AL341"/>
    <mergeCell ref="B340:D340"/>
    <mergeCell ref="G339:J339"/>
    <mergeCell ref="O336:P336"/>
    <mergeCell ref="W334:Y334"/>
    <mergeCell ref="AG334:AI334"/>
    <mergeCell ref="AJ334:AL334"/>
    <mergeCell ref="B334:D334"/>
    <mergeCell ref="G334:J334"/>
    <mergeCell ref="AJ345:AL345"/>
    <mergeCell ref="B344:D344"/>
    <mergeCell ref="AJ342:AL342"/>
    <mergeCell ref="G344:J344"/>
    <mergeCell ref="AJ343:AL343"/>
    <mergeCell ref="AJ344:AL344"/>
    <mergeCell ref="G345:J345"/>
    <mergeCell ref="AJ330:AL330"/>
    <mergeCell ref="AG331:AI331"/>
    <mergeCell ref="AJ331:AL331"/>
    <mergeCell ref="AG329:AI329"/>
    <mergeCell ref="AJ329:AL329"/>
    <mergeCell ref="B333:D333"/>
    <mergeCell ref="AJ338:AL338"/>
    <mergeCell ref="B341:D341"/>
    <mergeCell ref="G341:J341"/>
    <mergeCell ref="W341:Y341"/>
    <mergeCell ref="B338:D338"/>
    <mergeCell ref="G338:J338"/>
    <mergeCell ref="B337:D337"/>
    <mergeCell ref="G337:J337"/>
    <mergeCell ref="W337:Y337"/>
    <mergeCell ref="AJ336:AL336"/>
    <mergeCell ref="B339:D339"/>
    <mergeCell ref="O330:P330"/>
    <mergeCell ref="O331:P331"/>
    <mergeCell ref="W338:Y338"/>
    <mergeCell ref="AG338:AI338"/>
    <mergeCell ref="G333:J333"/>
    <mergeCell ref="W333:Y333"/>
    <mergeCell ref="B330:D330"/>
    <mergeCell ref="G331:J331"/>
    <mergeCell ref="W331:Y331"/>
    <mergeCell ref="B331:D331"/>
    <mergeCell ref="AJ332:AL332"/>
    <mergeCell ref="B335:D335"/>
    <mergeCell ref="G335:J335"/>
    <mergeCell ref="B332:D332"/>
    <mergeCell ref="G332:J332"/>
    <mergeCell ref="AJ264:AL264"/>
    <mergeCell ref="AG264:AI264"/>
    <mergeCell ref="AJ290:AL290"/>
    <mergeCell ref="B289:D289"/>
    <mergeCell ref="G289:J289"/>
    <mergeCell ref="W287:Y287"/>
    <mergeCell ref="AG287:AI287"/>
    <mergeCell ref="AJ287:AL287"/>
    <mergeCell ref="B286:D286"/>
    <mergeCell ref="W286:Y286"/>
    <mergeCell ref="B287:D287"/>
    <mergeCell ref="AG290:AI290"/>
    <mergeCell ref="B283:D283"/>
    <mergeCell ref="G283:J283"/>
    <mergeCell ref="W277:Y277"/>
    <mergeCell ref="W283:Y283"/>
    <mergeCell ref="B336:D336"/>
    <mergeCell ref="G336:J336"/>
    <mergeCell ref="AJ285:AL285"/>
    <mergeCell ref="B284:D284"/>
    <mergeCell ref="G284:J284"/>
    <mergeCell ref="W284:Y284"/>
    <mergeCell ref="AG284:AI284"/>
    <mergeCell ref="AJ284:AL284"/>
    <mergeCell ref="AJ279:AL279"/>
    <mergeCell ref="B278:D278"/>
    <mergeCell ref="G278:J278"/>
    <mergeCell ref="W278:Y278"/>
    <mergeCell ref="B279:D279"/>
    <mergeCell ref="G279:J279"/>
    <mergeCell ref="AG282:AI282"/>
    <mergeCell ref="AJ282:AL282"/>
    <mergeCell ref="B255:D255"/>
    <mergeCell ref="G255:J255"/>
    <mergeCell ref="AJ252:AL252"/>
    <mergeCell ref="B263:D263"/>
    <mergeCell ref="AJ253:AL253"/>
    <mergeCell ref="AJ249:AL249"/>
    <mergeCell ref="AJ248:AL248"/>
    <mergeCell ref="AJ246:AL246"/>
    <mergeCell ref="AJ184:AL184"/>
    <mergeCell ref="AJ180:AL180"/>
    <mergeCell ref="AJ157:AL157"/>
    <mergeCell ref="AJ145:AL145"/>
    <mergeCell ref="AG145:AI145"/>
    <mergeCell ref="W149:Y149"/>
    <mergeCell ref="AJ149:AL149"/>
    <mergeCell ref="W243:Y243"/>
    <mergeCell ref="AG243:AI243"/>
    <mergeCell ref="AJ243:AL243"/>
    <mergeCell ref="AJ231:AL231"/>
    <mergeCell ref="AG231:AI231"/>
    <mergeCell ref="AG238:AI238"/>
    <mergeCell ref="AJ238:AL238"/>
    <mergeCell ref="AJ225:AL225"/>
    <mergeCell ref="W221:Y221"/>
    <mergeCell ref="AG221:AI221"/>
    <mergeCell ref="W219:Y219"/>
    <mergeCell ref="AG219:AI219"/>
    <mergeCell ref="AJ219:AL219"/>
    <mergeCell ref="AJ239:AL239"/>
    <mergeCell ref="AJ237:AL237"/>
    <mergeCell ref="W217:Y217"/>
    <mergeCell ref="AG256:AI256"/>
    <mergeCell ref="B133:D133"/>
    <mergeCell ref="G133:J133"/>
    <mergeCell ref="W133:Y133"/>
    <mergeCell ref="AG133:AI133"/>
    <mergeCell ref="B134:D134"/>
    <mergeCell ref="G134:J134"/>
    <mergeCell ref="W134:Y134"/>
    <mergeCell ref="B265:D265"/>
    <mergeCell ref="G265:J265"/>
    <mergeCell ref="W265:Y265"/>
    <mergeCell ref="AG265:AI265"/>
    <mergeCell ref="AJ265:AL265"/>
    <mergeCell ref="AJ255:AL255"/>
    <mergeCell ref="AG250:AI250"/>
    <mergeCell ref="AJ250:AL250"/>
    <mergeCell ref="W251:Y251"/>
    <mergeCell ref="AG251:AI251"/>
    <mergeCell ref="AJ251:AL251"/>
    <mergeCell ref="G243:J243"/>
    <mergeCell ref="AJ247:AL247"/>
    <mergeCell ref="B137:D137"/>
    <mergeCell ref="G137:J137"/>
    <mergeCell ref="W137:Y137"/>
    <mergeCell ref="AG137:AI137"/>
    <mergeCell ref="W263:Y263"/>
    <mergeCell ref="AJ254:AL254"/>
    <mergeCell ref="B264:D264"/>
    <mergeCell ref="G264:J264"/>
    <mergeCell ref="G260:J260"/>
    <mergeCell ref="AG260:AI260"/>
    <mergeCell ref="B254:D254"/>
    <mergeCell ref="G254:J254"/>
    <mergeCell ref="B130:D130"/>
    <mergeCell ref="G130:J130"/>
    <mergeCell ref="W130:Y130"/>
    <mergeCell ref="B127:D127"/>
    <mergeCell ref="W128:Y128"/>
    <mergeCell ref="AG128:AI128"/>
    <mergeCell ref="AJ128:AL128"/>
    <mergeCell ref="B131:D131"/>
    <mergeCell ref="G131:J131"/>
    <mergeCell ref="W132:Y132"/>
    <mergeCell ref="AG132:AI132"/>
    <mergeCell ref="AJ132:AL132"/>
    <mergeCell ref="G132:J132"/>
    <mergeCell ref="W131:Y131"/>
    <mergeCell ref="B129:D129"/>
    <mergeCell ref="G129:J129"/>
    <mergeCell ref="W129:Y129"/>
    <mergeCell ref="AG129:AI129"/>
    <mergeCell ref="AJ129:AL129"/>
    <mergeCell ref="AG130:AI130"/>
    <mergeCell ref="AJ130:AL130"/>
    <mergeCell ref="AG131:AI131"/>
    <mergeCell ref="AJ131:AL131"/>
    <mergeCell ref="O112:P112"/>
    <mergeCell ref="W121:Y121"/>
    <mergeCell ref="AG121:AI121"/>
    <mergeCell ref="W125:Y125"/>
    <mergeCell ref="AG125:AI125"/>
    <mergeCell ref="W123:Y123"/>
    <mergeCell ref="AG123:AI123"/>
    <mergeCell ref="AJ123:AL123"/>
    <mergeCell ref="B123:D123"/>
    <mergeCell ref="G123:J123"/>
    <mergeCell ref="W124:Y124"/>
    <mergeCell ref="AJ125:AL125"/>
    <mergeCell ref="B125:D125"/>
    <mergeCell ref="G125:J125"/>
    <mergeCell ref="AG124:AI124"/>
    <mergeCell ref="AJ124:AL124"/>
    <mergeCell ref="B124:D124"/>
    <mergeCell ref="G124:J124"/>
    <mergeCell ref="W122:Y122"/>
    <mergeCell ref="AJ121:AL121"/>
    <mergeCell ref="AG122:AI122"/>
    <mergeCell ref="AJ122:AL122"/>
    <mergeCell ref="O121:P121"/>
    <mergeCell ref="O122:P122"/>
    <mergeCell ref="O123:P123"/>
    <mergeCell ref="O124:P124"/>
    <mergeCell ref="O125:P125"/>
    <mergeCell ref="G115:J115"/>
    <mergeCell ref="AJ113:AL113"/>
    <mergeCell ref="B113:D113"/>
    <mergeCell ref="W113:Y113"/>
    <mergeCell ref="AG113:AI113"/>
    <mergeCell ref="B115:D115"/>
    <mergeCell ref="B110:D110"/>
    <mergeCell ref="AJ117:AL117"/>
    <mergeCell ref="B120:D120"/>
    <mergeCell ref="G120:J120"/>
    <mergeCell ref="W120:Y120"/>
    <mergeCell ref="AG120:AI120"/>
    <mergeCell ref="AJ120:AL120"/>
    <mergeCell ref="AG118:AI118"/>
    <mergeCell ref="AJ118:AL118"/>
    <mergeCell ref="B117:D117"/>
    <mergeCell ref="G117:J117"/>
    <mergeCell ref="W117:Y117"/>
    <mergeCell ref="AG117:AI117"/>
    <mergeCell ref="AJ112:AL112"/>
    <mergeCell ref="AG110:AI110"/>
    <mergeCell ref="AJ110:AL110"/>
    <mergeCell ref="O113:P113"/>
    <mergeCell ref="O114:P114"/>
    <mergeCell ref="O115:P115"/>
    <mergeCell ref="O116:P116"/>
    <mergeCell ref="O117:P117"/>
    <mergeCell ref="O118:P118"/>
    <mergeCell ref="O119:P119"/>
    <mergeCell ref="O120:P120"/>
    <mergeCell ref="G116:J116"/>
    <mergeCell ref="B112:D112"/>
    <mergeCell ref="B119:D119"/>
    <mergeCell ref="G119:J119"/>
    <mergeCell ref="W112:Y112"/>
    <mergeCell ref="G112:J112"/>
    <mergeCell ref="O111:P111"/>
    <mergeCell ref="O109:P109"/>
    <mergeCell ref="O110:P110"/>
    <mergeCell ref="B104:D104"/>
    <mergeCell ref="G108:J108"/>
    <mergeCell ref="W118:Y118"/>
    <mergeCell ref="AJ95:AL95"/>
    <mergeCell ref="W99:Y99"/>
    <mergeCell ref="AG99:AI99"/>
    <mergeCell ref="AJ99:AL99"/>
    <mergeCell ref="B102:D102"/>
    <mergeCell ref="G102:J102"/>
    <mergeCell ref="W102:Y102"/>
    <mergeCell ref="B99:D99"/>
    <mergeCell ref="G99:J99"/>
    <mergeCell ref="AJ97:AL97"/>
    <mergeCell ref="B100:D100"/>
    <mergeCell ref="G100:J100"/>
    <mergeCell ref="AJ98:AL98"/>
    <mergeCell ref="G97:J97"/>
    <mergeCell ref="W97:Y97"/>
    <mergeCell ref="W101:Y101"/>
    <mergeCell ref="AG101:AI101"/>
    <mergeCell ref="AJ101:AL101"/>
    <mergeCell ref="AG102:AI102"/>
    <mergeCell ref="AJ102:AL102"/>
    <mergeCell ref="AG96:AI96"/>
    <mergeCell ref="AJ104:AL104"/>
    <mergeCell ref="AJ109:AL109"/>
    <mergeCell ref="W110:Y110"/>
    <mergeCell ref="W111:Y111"/>
    <mergeCell ref="AG111:AI111"/>
    <mergeCell ref="W114:Y114"/>
    <mergeCell ref="B101:D101"/>
    <mergeCell ref="B107:D107"/>
    <mergeCell ref="G107:J107"/>
    <mergeCell ref="AJ105:AL105"/>
    <mergeCell ref="W108:Y108"/>
    <mergeCell ref="AG108:AI108"/>
    <mergeCell ref="AJ108:AL108"/>
    <mergeCell ref="AG106:AI106"/>
    <mergeCell ref="AJ106:AL106"/>
    <mergeCell ref="B105:D105"/>
    <mergeCell ref="G105:J105"/>
    <mergeCell ref="W105:Y105"/>
    <mergeCell ref="AG105:AI105"/>
    <mergeCell ref="W106:Y106"/>
    <mergeCell ref="B103:D103"/>
    <mergeCell ref="G103:J103"/>
    <mergeCell ref="B106:D106"/>
    <mergeCell ref="G106:J106"/>
    <mergeCell ref="O105:P105"/>
    <mergeCell ref="O106:P106"/>
    <mergeCell ref="O107:P107"/>
    <mergeCell ref="O108:P108"/>
    <mergeCell ref="W136:Y136"/>
    <mergeCell ref="AG136:AI136"/>
    <mergeCell ref="W109:Y109"/>
    <mergeCell ref="W115:Y115"/>
    <mergeCell ref="AG115:AI115"/>
    <mergeCell ref="AJ115:AL115"/>
    <mergeCell ref="W126:Y126"/>
    <mergeCell ref="AG127:AI127"/>
    <mergeCell ref="AJ127:AL127"/>
    <mergeCell ref="AG126:AI126"/>
    <mergeCell ref="AJ126:AL126"/>
    <mergeCell ref="AJ136:AL136"/>
    <mergeCell ref="AG134:AI134"/>
    <mergeCell ref="AJ134:AL134"/>
    <mergeCell ref="W255:Y255"/>
    <mergeCell ref="AG255:AI255"/>
    <mergeCell ref="AG248:AI248"/>
    <mergeCell ref="AG246:AI246"/>
    <mergeCell ref="W230:Y230"/>
    <mergeCell ref="W215:Y215"/>
    <mergeCell ref="AG215:AI215"/>
    <mergeCell ref="AJ215:AL215"/>
    <mergeCell ref="AJ202:AL202"/>
    <mergeCell ref="AJ205:AL205"/>
    <mergeCell ref="W200:Y200"/>
    <mergeCell ref="AG200:AI200"/>
    <mergeCell ref="AJ200:AL200"/>
    <mergeCell ref="AG198:AI198"/>
    <mergeCell ref="AJ198:AL198"/>
    <mergeCell ref="AJ196:AL196"/>
    <mergeCell ref="W192:Y192"/>
    <mergeCell ref="W254:Y254"/>
    <mergeCell ref="AG254:AI254"/>
    <mergeCell ref="B262:D262"/>
    <mergeCell ref="G262:J262"/>
    <mergeCell ref="W262:Y262"/>
    <mergeCell ref="O255:P255"/>
    <mergeCell ref="W135:Y135"/>
    <mergeCell ref="AG135:AI135"/>
    <mergeCell ref="W259:Y259"/>
    <mergeCell ref="AG259:AI259"/>
    <mergeCell ref="AJ260:AL260"/>
    <mergeCell ref="B261:D261"/>
    <mergeCell ref="G261:J261"/>
    <mergeCell ref="W261:Y261"/>
    <mergeCell ref="AG261:AI261"/>
    <mergeCell ref="AJ261:AL261"/>
    <mergeCell ref="B253:D253"/>
    <mergeCell ref="G253:J253"/>
    <mergeCell ref="W253:Y253"/>
    <mergeCell ref="AG253:AI253"/>
    <mergeCell ref="B250:D250"/>
    <mergeCell ref="G250:J250"/>
    <mergeCell ref="W250:Y250"/>
    <mergeCell ref="B251:D251"/>
    <mergeCell ref="G251:J251"/>
    <mergeCell ref="G242:J242"/>
    <mergeCell ref="B248:D248"/>
    <mergeCell ref="G248:J248"/>
    <mergeCell ref="AJ135:AL135"/>
    <mergeCell ref="B252:D252"/>
    <mergeCell ref="G252:J252"/>
    <mergeCell ref="W248:Y248"/>
    <mergeCell ref="B249:D249"/>
    <mergeCell ref="G263:J263"/>
    <mergeCell ref="B259:D259"/>
    <mergeCell ref="G259:J259"/>
    <mergeCell ref="B256:D256"/>
    <mergeCell ref="G256:J256"/>
    <mergeCell ref="W256:Y256"/>
    <mergeCell ref="B257:D257"/>
    <mergeCell ref="G257:J257"/>
    <mergeCell ref="W257:Y257"/>
    <mergeCell ref="B258:D258"/>
    <mergeCell ref="G258:J258"/>
    <mergeCell ref="AJ257:AL257"/>
    <mergeCell ref="AJ256:AL256"/>
    <mergeCell ref="AJ262:AL262"/>
    <mergeCell ref="AJ263:AL263"/>
    <mergeCell ref="O256:P256"/>
    <mergeCell ref="O257:P257"/>
    <mergeCell ref="O258:P258"/>
    <mergeCell ref="O259:P259"/>
    <mergeCell ref="O260:P260"/>
    <mergeCell ref="O261:P261"/>
    <mergeCell ref="O262:P262"/>
    <mergeCell ref="O263:P263"/>
    <mergeCell ref="B260:D260"/>
    <mergeCell ref="W260:Y260"/>
    <mergeCell ref="AJ259:AL259"/>
    <mergeCell ref="W258:Y258"/>
    <mergeCell ref="AG257:AI257"/>
    <mergeCell ref="AG263:AI263"/>
    <mergeCell ref="AG262:AI262"/>
    <mergeCell ref="AG258:AI258"/>
    <mergeCell ref="AJ258:AL258"/>
    <mergeCell ref="G249:J249"/>
    <mergeCell ref="W249:Y249"/>
    <mergeCell ref="AG249:AI249"/>
    <mergeCell ref="W247:Y247"/>
    <mergeCell ref="B243:D243"/>
    <mergeCell ref="W242:Y242"/>
    <mergeCell ref="B242:D242"/>
    <mergeCell ref="G241:J241"/>
    <mergeCell ref="W241:Y241"/>
    <mergeCell ref="AG241:AI241"/>
    <mergeCell ref="W239:Y239"/>
    <mergeCell ref="AG239:AI239"/>
    <mergeCell ref="O242:P242"/>
    <mergeCell ref="O243:P243"/>
    <mergeCell ref="O244:P244"/>
    <mergeCell ref="O245:P245"/>
    <mergeCell ref="O246:P246"/>
    <mergeCell ref="O247:P247"/>
    <mergeCell ref="O248:P248"/>
    <mergeCell ref="O249:P249"/>
    <mergeCell ref="W245:Y245"/>
    <mergeCell ref="B241:D241"/>
    <mergeCell ref="O250:P250"/>
    <mergeCell ref="O251:P251"/>
    <mergeCell ref="O252:P252"/>
    <mergeCell ref="W252:Y252"/>
    <mergeCell ref="AG252:AI252"/>
    <mergeCell ref="AG247:AI247"/>
    <mergeCell ref="B238:D238"/>
    <mergeCell ref="G238:J238"/>
    <mergeCell ref="W238:Y238"/>
    <mergeCell ref="B239:D239"/>
    <mergeCell ref="G239:J239"/>
    <mergeCell ref="B246:D246"/>
    <mergeCell ref="G246:J246"/>
    <mergeCell ref="W246:Y246"/>
    <mergeCell ref="B247:D247"/>
    <mergeCell ref="G247:J247"/>
    <mergeCell ref="AJ241:AL241"/>
    <mergeCell ref="B240:D240"/>
    <mergeCell ref="G240:J240"/>
    <mergeCell ref="W240:Y240"/>
    <mergeCell ref="AG240:AI240"/>
    <mergeCell ref="AJ240:AL240"/>
    <mergeCell ref="AJ245:AL245"/>
    <mergeCell ref="B244:D244"/>
    <mergeCell ref="G244:J244"/>
    <mergeCell ref="W244:Y244"/>
    <mergeCell ref="AG244:AI244"/>
    <mergeCell ref="AJ244:AL244"/>
    <mergeCell ref="AG242:AI242"/>
    <mergeCell ref="AJ242:AL242"/>
    <mergeCell ref="B245:D245"/>
    <mergeCell ref="G245:J245"/>
    <mergeCell ref="O238:P238"/>
    <mergeCell ref="O239:P239"/>
    <mergeCell ref="O240:P240"/>
    <mergeCell ref="O241:P241"/>
    <mergeCell ref="B236:D236"/>
    <mergeCell ref="G236:J236"/>
    <mergeCell ref="W236:Y236"/>
    <mergeCell ref="AG236:AI236"/>
    <mergeCell ref="AJ236:AL236"/>
    <mergeCell ref="AG234:AI234"/>
    <mergeCell ref="AJ234:AL234"/>
    <mergeCell ref="B237:D237"/>
    <mergeCell ref="G237:J237"/>
    <mergeCell ref="W237:Y237"/>
    <mergeCell ref="AG237:AI237"/>
    <mergeCell ref="W235:Y235"/>
    <mergeCell ref="AG235:AI235"/>
    <mergeCell ref="B231:D231"/>
    <mergeCell ref="G231:J231"/>
    <mergeCell ref="AJ235:AL235"/>
    <mergeCell ref="B234:D234"/>
    <mergeCell ref="G234:J234"/>
    <mergeCell ref="W234:Y234"/>
    <mergeCell ref="G233:J233"/>
    <mergeCell ref="O236:P236"/>
    <mergeCell ref="O237:P237"/>
    <mergeCell ref="O234:P234"/>
    <mergeCell ref="O235:P235"/>
    <mergeCell ref="B230:D230"/>
    <mergeCell ref="O231:P231"/>
    <mergeCell ref="O232:P232"/>
    <mergeCell ref="O233:P233"/>
    <mergeCell ref="W233:Y233"/>
    <mergeCell ref="AG233:AI233"/>
    <mergeCell ref="W231:Y231"/>
    <mergeCell ref="B229:D229"/>
    <mergeCell ref="G229:J229"/>
    <mergeCell ref="W229:Y229"/>
    <mergeCell ref="AG229:AI229"/>
    <mergeCell ref="W227:Y227"/>
    <mergeCell ref="AG227:AI227"/>
    <mergeCell ref="AJ227:AL227"/>
    <mergeCell ref="B226:D226"/>
    <mergeCell ref="G226:J226"/>
    <mergeCell ref="W226:Y226"/>
    <mergeCell ref="B227:D227"/>
    <mergeCell ref="G227:J227"/>
    <mergeCell ref="AJ226:AL226"/>
    <mergeCell ref="B235:D235"/>
    <mergeCell ref="G235:J235"/>
    <mergeCell ref="AJ229:AL229"/>
    <mergeCell ref="B228:D228"/>
    <mergeCell ref="G228:J228"/>
    <mergeCell ref="W228:Y228"/>
    <mergeCell ref="AG228:AI228"/>
    <mergeCell ref="AJ228:AL228"/>
    <mergeCell ref="AJ233:AL233"/>
    <mergeCell ref="B232:D232"/>
    <mergeCell ref="G232:J232"/>
    <mergeCell ref="W232:Y232"/>
    <mergeCell ref="AG232:AI232"/>
    <mergeCell ref="AJ232:AL232"/>
    <mergeCell ref="AG230:AI230"/>
    <mergeCell ref="AJ230:AL230"/>
    <mergeCell ref="B233:D233"/>
    <mergeCell ref="G230:J230"/>
    <mergeCell ref="O230:P230"/>
    <mergeCell ref="B224:D224"/>
    <mergeCell ref="G224:J224"/>
    <mergeCell ref="W224:Y224"/>
    <mergeCell ref="AG224:AI224"/>
    <mergeCell ref="AJ224:AL224"/>
    <mergeCell ref="AG222:AI222"/>
    <mergeCell ref="AJ222:AL222"/>
    <mergeCell ref="B225:D225"/>
    <mergeCell ref="G225:J225"/>
    <mergeCell ref="W225:Y225"/>
    <mergeCell ref="AG225:AI225"/>
    <mergeCell ref="W223:Y223"/>
    <mergeCell ref="AG223:AI223"/>
    <mergeCell ref="W218:Y218"/>
    <mergeCell ref="B219:D219"/>
    <mergeCell ref="G219:J219"/>
    <mergeCell ref="AJ223:AL223"/>
    <mergeCell ref="B222:D222"/>
    <mergeCell ref="G222:J222"/>
    <mergeCell ref="W222:Y222"/>
    <mergeCell ref="B223:D223"/>
    <mergeCell ref="G223:J223"/>
    <mergeCell ref="AJ221:AL221"/>
    <mergeCell ref="B220:D220"/>
    <mergeCell ref="G220:J220"/>
    <mergeCell ref="W220:Y220"/>
    <mergeCell ref="AG220:AI220"/>
    <mergeCell ref="AJ220:AL220"/>
    <mergeCell ref="AG218:AI218"/>
    <mergeCell ref="AJ218:AL218"/>
    <mergeCell ref="B221:D221"/>
    <mergeCell ref="G221:J221"/>
    <mergeCell ref="B214:D214"/>
    <mergeCell ref="G214:J214"/>
    <mergeCell ref="W214:Y214"/>
    <mergeCell ref="B215:D215"/>
    <mergeCell ref="G215:J215"/>
    <mergeCell ref="AJ214:AL214"/>
    <mergeCell ref="AJ217:AL217"/>
    <mergeCell ref="B216:D216"/>
    <mergeCell ref="G216:J216"/>
    <mergeCell ref="W216:Y216"/>
    <mergeCell ref="AG216:AI216"/>
    <mergeCell ref="AJ216:AL216"/>
    <mergeCell ref="O214:P214"/>
    <mergeCell ref="O215:P215"/>
    <mergeCell ref="O216:P216"/>
    <mergeCell ref="O217:P217"/>
    <mergeCell ref="AJ213:AL213"/>
    <mergeCell ref="AG217:AI217"/>
    <mergeCell ref="B212:D212"/>
    <mergeCell ref="G212:J212"/>
    <mergeCell ref="W212:Y212"/>
    <mergeCell ref="AG212:AI212"/>
    <mergeCell ref="AJ212:AL212"/>
    <mergeCell ref="AG210:AI210"/>
    <mergeCell ref="AJ210:AL210"/>
    <mergeCell ref="B213:D213"/>
    <mergeCell ref="G213:J213"/>
    <mergeCell ref="W213:Y213"/>
    <mergeCell ref="AG213:AI213"/>
    <mergeCell ref="W211:Y211"/>
    <mergeCell ref="AG211:AI211"/>
    <mergeCell ref="W206:Y206"/>
    <mergeCell ref="B207:D207"/>
    <mergeCell ref="G207:J207"/>
    <mergeCell ref="AJ211:AL211"/>
    <mergeCell ref="B210:D210"/>
    <mergeCell ref="G210:J210"/>
    <mergeCell ref="W210:Y210"/>
    <mergeCell ref="B211:D211"/>
    <mergeCell ref="G211:J211"/>
    <mergeCell ref="O210:P210"/>
    <mergeCell ref="O211:P211"/>
    <mergeCell ref="O212:P212"/>
    <mergeCell ref="O213:P213"/>
    <mergeCell ref="B204:D204"/>
    <mergeCell ref="G204:J204"/>
    <mergeCell ref="W204:Y204"/>
    <mergeCell ref="AG204:AI204"/>
    <mergeCell ref="AJ204:AL204"/>
    <mergeCell ref="AJ209:AL209"/>
    <mergeCell ref="B208:D208"/>
    <mergeCell ref="G208:J208"/>
    <mergeCell ref="W208:Y208"/>
    <mergeCell ref="AG208:AI208"/>
    <mergeCell ref="AJ208:AL208"/>
    <mergeCell ref="AG206:AI206"/>
    <mergeCell ref="AJ206:AL206"/>
    <mergeCell ref="B209:D209"/>
    <mergeCell ref="G209:J209"/>
    <mergeCell ref="W209:Y209"/>
    <mergeCell ref="AG209:AI209"/>
    <mergeCell ref="W207:Y207"/>
    <mergeCell ref="AG207:AI207"/>
    <mergeCell ref="AJ207:AL207"/>
    <mergeCell ref="B206:D206"/>
    <mergeCell ref="G206:J206"/>
    <mergeCell ref="O204:P204"/>
    <mergeCell ref="O205:P205"/>
    <mergeCell ref="O206:P206"/>
    <mergeCell ref="O207:P207"/>
    <mergeCell ref="O208:P208"/>
    <mergeCell ref="O209:P209"/>
    <mergeCell ref="B205:D205"/>
    <mergeCell ref="G205:J205"/>
    <mergeCell ref="B201:D201"/>
    <mergeCell ref="G201:J201"/>
    <mergeCell ref="W201:Y201"/>
    <mergeCell ref="AG201:AI201"/>
    <mergeCell ref="W199:Y199"/>
    <mergeCell ref="AG199:AI199"/>
    <mergeCell ref="AJ199:AL199"/>
    <mergeCell ref="B198:D198"/>
    <mergeCell ref="G198:J198"/>
    <mergeCell ref="W198:Y198"/>
    <mergeCell ref="B199:D199"/>
    <mergeCell ref="G199:J199"/>
    <mergeCell ref="AJ201:AL201"/>
    <mergeCell ref="O201:P201"/>
    <mergeCell ref="AJ197:AL197"/>
    <mergeCell ref="B292:D292"/>
    <mergeCell ref="G292:J292"/>
    <mergeCell ref="W292:Y292"/>
    <mergeCell ref="AG292:AI292"/>
    <mergeCell ref="AJ292:AL292"/>
    <mergeCell ref="AG288:AI288"/>
    <mergeCell ref="AJ288:AL288"/>
    <mergeCell ref="W288:Y288"/>
    <mergeCell ref="W290:Y290"/>
    <mergeCell ref="B197:D197"/>
    <mergeCell ref="G197:J197"/>
    <mergeCell ref="W197:Y197"/>
    <mergeCell ref="AG197:AI197"/>
    <mergeCell ref="W289:Y289"/>
    <mergeCell ref="AG289:AI289"/>
    <mergeCell ref="AJ289:AL289"/>
    <mergeCell ref="B288:D288"/>
    <mergeCell ref="G288:J288"/>
    <mergeCell ref="AG277:AI277"/>
    <mergeCell ref="W275:Y275"/>
    <mergeCell ref="AG275:AI275"/>
    <mergeCell ref="W291:Y291"/>
    <mergeCell ref="AJ291:AL291"/>
    <mergeCell ref="B290:D290"/>
    <mergeCell ref="G290:J290"/>
    <mergeCell ref="B291:D291"/>
    <mergeCell ref="G291:J291"/>
    <mergeCell ref="AG286:AI286"/>
    <mergeCell ref="AJ286:AL286"/>
    <mergeCell ref="B200:D200"/>
    <mergeCell ref="G200:J200"/>
    <mergeCell ref="B285:D285"/>
    <mergeCell ref="G285:J285"/>
    <mergeCell ref="W285:Y285"/>
    <mergeCell ref="AG285:AI285"/>
    <mergeCell ref="AJ281:AL281"/>
    <mergeCell ref="AG280:AI280"/>
    <mergeCell ref="AJ280:AL280"/>
    <mergeCell ref="O283:P283"/>
    <mergeCell ref="O284:P284"/>
    <mergeCell ref="O285:P285"/>
    <mergeCell ref="AJ283:AL283"/>
    <mergeCell ref="O279:P279"/>
    <mergeCell ref="O280:P280"/>
    <mergeCell ref="AJ277:AL277"/>
    <mergeCell ref="B276:D276"/>
    <mergeCell ref="G276:J276"/>
    <mergeCell ref="W276:Y276"/>
    <mergeCell ref="AG276:AI276"/>
    <mergeCell ref="AJ276:AL276"/>
    <mergeCell ref="AG274:AI274"/>
    <mergeCell ref="AJ274:AL274"/>
    <mergeCell ref="B277:D277"/>
    <mergeCell ref="G277:J277"/>
    <mergeCell ref="AJ275:AL275"/>
    <mergeCell ref="B274:D274"/>
    <mergeCell ref="G274:J274"/>
    <mergeCell ref="W274:Y274"/>
    <mergeCell ref="B275:D275"/>
    <mergeCell ref="G275:J275"/>
    <mergeCell ref="B282:D282"/>
    <mergeCell ref="G282:J282"/>
    <mergeCell ref="W282:Y282"/>
    <mergeCell ref="AG278:AI278"/>
    <mergeCell ref="AJ278:AL278"/>
    <mergeCell ref="AG281:AI281"/>
    <mergeCell ref="AG279:AI279"/>
    <mergeCell ref="O281:P281"/>
    <mergeCell ref="O282:P282"/>
    <mergeCell ref="B280:D280"/>
    <mergeCell ref="G280:J280"/>
    <mergeCell ref="W280:Y280"/>
    <mergeCell ref="B281:D281"/>
    <mergeCell ref="G281:J281"/>
    <mergeCell ref="W281:Y281"/>
    <mergeCell ref="W279:Y279"/>
    <mergeCell ref="O274:P274"/>
    <mergeCell ref="O275:P275"/>
    <mergeCell ref="O276:P276"/>
    <mergeCell ref="O277:P277"/>
    <mergeCell ref="O278:P278"/>
    <mergeCell ref="AJ270:AL270"/>
    <mergeCell ref="B273:D273"/>
    <mergeCell ref="G273:J273"/>
    <mergeCell ref="W273:Y273"/>
    <mergeCell ref="AG273:AI273"/>
    <mergeCell ref="W271:Y271"/>
    <mergeCell ref="AG271:AI271"/>
    <mergeCell ref="AJ271:AL271"/>
    <mergeCell ref="B270:D270"/>
    <mergeCell ref="G270:J270"/>
    <mergeCell ref="W270:Y270"/>
    <mergeCell ref="B271:D271"/>
    <mergeCell ref="G271:J271"/>
    <mergeCell ref="AJ273:AL273"/>
    <mergeCell ref="B272:D272"/>
    <mergeCell ref="G272:J272"/>
    <mergeCell ref="W272:Y272"/>
    <mergeCell ref="AG272:AI272"/>
    <mergeCell ref="AJ272:AL272"/>
    <mergeCell ref="O271:P271"/>
    <mergeCell ref="O272:P272"/>
    <mergeCell ref="O273:P273"/>
    <mergeCell ref="AJ269:AL269"/>
    <mergeCell ref="B268:D268"/>
    <mergeCell ref="G268:J268"/>
    <mergeCell ref="W268:Y268"/>
    <mergeCell ref="AG268:AI268"/>
    <mergeCell ref="AJ268:AL268"/>
    <mergeCell ref="AG266:AI266"/>
    <mergeCell ref="AJ266:AL266"/>
    <mergeCell ref="B269:D269"/>
    <mergeCell ref="G269:J269"/>
    <mergeCell ref="W269:Y269"/>
    <mergeCell ref="AG269:AI269"/>
    <mergeCell ref="W267:Y267"/>
    <mergeCell ref="AG267:AI267"/>
    <mergeCell ref="W193:Y193"/>
    <mergeCell ref="B194:D194"/>
    <mergeCell ref="G194:J194"/>
    <mergeCell ref="AJ267:AL267"/>
    <mergeCell ref="B266:D266"/>
    <mergeCell ref="G266:J266"/>
    <mergeCell ref="W266:Y266"/>
    <mergeCell ref="B267:D267"/>
    <mergeCell ref="G267:J267"/>
    <mergeCell ref="W205:Y205"/>
    <mergeCell ref="AG205:AI205"/>
    <mergeCell ref="W203:Y203"/>
    <mergeCell ref="AG203:AI203"/>
    <mergeCell ref="AJ203:AL203"/>
    <mergeCell ref="B202:D202"/>
    <mergeCell ref="G202:J202"/>
    <mergeCell ref="W202:Y202"/>
    <mergeCell ref="B203:D203"/>
    <mergeCell ref="B195:D195"/>
    <mergeCell ref="G195:J195"/>
    <mergeCell ref="W195:Y195"/>
    <mergeCell ref="AG195:AI195"/>
    <mergeCell ref="AJ195:AL195"/>
    <mergeCell ref="AG193:AI193"/>
    <mergeCell ref="AJ193:AL193"/>
    <mergeCell ref="B196:D196"/>
    <mergeCell ref="G196:J196"/>
    <mergeCell ref="W196:Y196"/>
    <mergeCell ref="AG196:AI196"/>
    <mergeCell ref="W194:Y194"/>
    <mergeCell ref="AG194:AI194"/>
    <mergeCell ref="AJ194:AL194"/>
    <mergeCell ref="B193:D193"/>
    <mergeCell ref="G193:J193"/>
    <mergeCell ref="O193:P193"/>
    <mergeCell ref="O194:P194"/>
    <mergeCell ref="O195:P195"/>
    <mergeCell ref="O196:P196"/>
    <mergeCell ref="AG192:AI192"/>
    <mergeCell ref="W190:Y190"/>
    <mergeCell ref="AG190:AI190"/>
    <mergeCell ref="AJ190:AL190"/>
    <mergeCell ref="B189:D189"/>
    <mergeCell ref="G189:J189"/>
    <mergeCell ref="W189:Y189"/>
    <mergeCell ref="B190:D190"/>
    <mergeCell ref="G190:J190"/>
    <mergeCell ref="AJ189:AL189"/>
    <mergeCell ref="AJ192:AL192"/>
    <mergeCell ref="B191:D191"/>
    <mergeCell ref="G191:J191"/>
    <mergeCell ref="W191:Y191"/>
    <mergeCell ref="AG191:AI191"/>
    <mergeCell ref="AJ191:AL191"/>
    <mergeCell ref="O189:P189"/>
    <mergeCell ref="O190:P190"/>
    <mergeCell ref="O191:P191"/>
    <mergeCell ref="O192:P192"/>
    <mergeCell ref="W182:Y182"/>
    <mergeCell ref="AG182:AI182"/>
    <mergeCell ref="AJ182:AL182"/>
    <mergeCell ref="B181:D181"/>
    <mergeCell ref="G181:J181"/>
    <mergeCell ref="B182:D182"/>
    <mergeCell ref="G182:J182"/>
    <mergeCell ref="O184:P184"/>
    <mergeCell ref="W187:Y187"/>
    <mergeCell ref="AG187:AI187"/>
    <mergeCell ref="AJ187:AL187"/>
    <mergeCell ref="AG185:AI185"/>
    <mergeCell ref="AJ185:AL185"/>
    <mergeCell ref="B188:D188"/>
    <mergeCell ref="G188:J188"/>
    <mergeCell ref="W188:Y188"/>
    <mergeCell ref="AG188:AI188"/>
    <mergeCell ref="W186:Y186"/>
    <mergeCell ref="AG186:AI186"/>
    <mergeCell ref="AJ186:AL186"/>
    <mergeCell ref="B185:D185"/>
    <mergeCell ref="G185:J185"/>
    <mergeCell ref="W185:Y185"/>
    <mergeCell ref="B186:D186"/>
    <mergeCell ref="G186:J186"/>
    <mergeCell ref="AJ188:AL188"/>
    <mergeCell ref="O185:P185"/>
    <mergeCell ref="O186:P186"/>
    <mergeCell ref="O187:P187"/>
    <mergeCell ref="O188:P188"/>
    <mergeCell ref="W165:Y165"/>
    <mergeCell ref="B166:D166"/>
    <mergeCell ref="AJ168:AL168"/>
    <mergeCell ref="B167:D167"/>
    <mergeCell ref="W167:Y167"/>
    <mergeCell ref="AG167:AI167"/>
    <mergeCell ref="AJ167:AL167"/>
    <mergeCell ref="AJ172:AL172"/>
    <mergeCell ref="B171:D171"/>
    <mergeCell ref="G171:J171"/>
    <mergeCell ref="W171:Y171"/>
    <mergeCell ref="AG171:AI171"/>
    <mergeCell ref="AG169:AI169"/>
    <mergeCell ref="O165:P165"/>
    <mergeCell ref="B165:D165"/>
    <mergeCell ref="G165:J165"/>
    <mergeCell ref="AJ177:AL177"/>
    <mergeCell ref="O173:P173"/>
    <mergeCell ref="O174:P174"/>
    <mergeCell ref="O175:P175"/>
    <mergeCell ref="O176:P176"/>
    <mergeCell ref="O177:P177"/>
    <mergeCell ref="B177:D177"/>
    <mergeCell ref="G177:J177"/>
    <mergeCell ref="W177:Y177"/>
    <mergeCell ref="AJ173:AL173"/>
    <mergeCell ref="AJ174:AL174"/>
    <mergeCell ref="B173:D173"/>
    <mergeCell ref="G173:J173"/>
    <mergeCell ref="W173:Y173"/>
    <mergeCell ref="B174:D174"/>
    <mergeCell ref="AG173:AI173"/>
    <mergeCell ref="AJ303:AL303"/>
    <mergeCell ref="W304:Y304"/>
    <mergeCell ref="AG304:AI304"/>
    <mergeCell ref="AJ304:AL304"/>
    <mergeCell ref="B303:D303"/>
    <mergeCell ref="G303:J303"/>
    <mergeCell ref="AJ169:AL169"/>
    <mergeCell ref="B172:D172"/>
    <mergeCell ref="G172:J172"/>
    <mergeCell ref="B169:D169"/>
    <mergeCell ref="G169:J169"/>
    <mergeCell ref="W168:Y168"/>
    <mergeCell ref="AG168:AI168"/>
    <mergeCell ref="AG172:AI172"/>
    <mergeCell ref="G167:J167"/>
    <mergeCell ref="O166:P166"/>
    <mergeCell ref="O167:P167"/>
    <mergeCell ref="O168:P168"/>
    <mergeCell ref="O169:P169"/>
    <mergeCell ref="O170:P170"/>
    <mergeCell ref="O171:P171"/>
    <mergeCell ref="O172:P172"/>
    <mergeCell ref="O178:P178"/>
    <mergeCell ref="O179:P179"/>
    <mergeCell ref="W178:Y178"/>
    <mergeCell ref="AG178:AI178"/>
    <mergeCell ref="AJ178:AL178"/>
    <mergeCell ref="B178:D178"/>
    <mergeCell ref="G178:J178"/>
    <mergeCell ref="G183:J183"/>
    <mergeCell ref="W183:Y183"/>
    <mergeCell ref="AG183:AI183"/>
    <mergeCell ref="W299:Y299"/>
    <mergeCell ref="G299:J299"/>
    <mergeCell ref="W300:Y300"/>
    <mergeCell ref="G300:J300"/>
    <mergeCell ref="G297:J297"/>
    <mergeCell ref="B297:D297"/>
    <mergeCell ref="B300:D300"/>
    <mergeCell ref="B299:D299"/>
    <mergeCell ref="AJ301:AL301"/>
    <mergeCell ref="G174:J174"/>
    <mergeCell ref="AJ176:AL176"/>
    <mergeCell ref="B175:D175"/>
    <mergeCell ref="G175:J175"/>
    <mergeCell ref="W175:Y175"/>
    <mergeCell ref="AG175:AI175"/>
    <mergeCell ref="AJ175:AL175"/>
    <mergeCell ref="B176:D176"/>
    <mergeCell ref="B179:D179"/>
    <mergeCell ref="G179:J179"/>
    <mergeCell ref="W179:Y179"/>
    <mergeCell ref="AG179:AI179"/>
    <mergeCell ref="AJ179:AL179"/>
    <mergeCell ref="AG177:AI177"/>
    <mergeCell ref="AJ183:AL183"/>
    <mergeCell ref="AG181:AI181"/>
    <mergeCell ref="AJ181:AL181"/>
    <mergeCell ref="O180:P180"/>
    <mergeCell ref="O181:P181"/>
    <mergeCell ref="O182:P182"/>
    <mergeCell ref="O183:P183"/>
    <mergeCell ref="W184:Y184"/>
    <mergeCell ref="AG184:AI184"/>
    <mergeCell ref="W156:Y156"/>
    <mergeCell ref="AJ365:AL365"/>
    <mergeCell ref="AJ326:AL326"/>
    <mergeCell ref="W327:Y327"/>
    <mergeCell ref="W367:Y367"/>
    <mergeCell ref="AG367:AI367"/>
    <mergeCell ref="AJ367:AL367"/>
    <mergeCell ref="B366:D366"/>
    <mergeCell ref="G366:J366"/>
    <mergeCell ref="W163:Y163"/>
    <mergeCell ref="AG163:AI163"/>
    <mergeCell ref="AJ163:AL163"/>
    <mergeCell ref="B160:D160"/>
    <mergeCell ref="G160:J160"/>
    <mergeCell ref="W160:Y160"/>
    <mergeCell ref="AG160:AI160"/>
    <mergeCell ref="B157:D157"/>
    <mergeCell ref="G157:J157"/>
    <mergeCell ref="W157:Y157"/>
    <mergeCell ref="AG161:AI161"/>
    <mergeCell ref="AJ161:AL161"/>
    <mergeCell ref="B164:D164"/>
    <mergeCell ref="AG327:AI327"/>
    <mergeCell ref="AJ327:AL327"/>
    <mergeCell ref="B326:D326"/>
    <mergeCell ref="AJ166:AL166"/>
    <mergeCell ref="G166:J166"/>
    <mergeCell ref="AG165:AI165"/>
    <mergeCell ref="W323:Y323"/>
    <mergeCell ref="B324:D324"/>
    <mergeCell ref="G324:J324"/>
    <mergeCell ref="AJ322:AL322"/>
    <mergeCell ref="AJ159:AL159"/>
    <mergeCell ref="AG364:AI364"/>
    <mergeCell ref="AJ364:AL364"/>
    <mergeCell ref="B365:D365"/>
    <mergeCell ref="W335:Y335"/>
    <mergeCell ref="AG335:AI335"/>
    <mergeCell ref="AJ335:AL335"/>
    <mergeCell ref="AG333:AI333"/>
    <mergeCell ref="AJ333:AL333"/>
    <mergeCell ref="B327:D327"/>
    <mergeCell ref="G327:J327"/>
    <mergeCell ref="W328:Y328"/>
    <mergeCell ref="B364:D364"/>
    <mergeCell ref="B328:D328"/>
    <mergeCell ref="G328:J328"/>
    <mergeCell ref="AG328:AI328"/>
    <mergeCell ref="W326:Y326"/>
    <mergeCell ref="AG326:AI326"/>
    <mergeCell ref="W339:Y339"/>
    <mergeCell ref="AG339:AI339"/>
    <mergeCell ref="AJ339:AL339"/>
    <mergeCell ref="AG337:AI337"/>
    <mergeCell ref="AJ337:AL337"/>
    <mergeCell ref="O335:P335"/>
    <mergeCell ref="B329:D329"/>
    <mergeCell ref="G329:J329"/>
    <mergeCell ref="G364:J364"/>
    <mergeCell ref="W364:Y364"/>
    <mergeCell ref="B321:D321"/>
    <mergeCell ref="G176:J176"/>
    <mergeCell ref="B314:D314"/>
    <mergeCell ref="G314:J314"/>
    <mergeCell ref="AJ376:AL376"/>
    <mergeCell ref="AG374:AI374"/>
    <mergeCell ref="AJ307:AL307"/>
    <mergeCell ref="B304:D304"/>
    <mergeCell ref="G304:J304"/>
    <mergeCell ref="AJ302:AL302"/>
    <mergeCell ref="O306:P306"/>
    <mergeCell ref="O307:P307"/>
    <mergeCell ref="AJ318:AL318"/>
    <mergeCell ref="AG307:AI307"/>
    <mergeCell ref="AG321:AI321"/>
    <mergeCell ref="AJ321:AL321"/>
    <mergeCell ref="AG319:AI319"/>
    <mergeCell ref="AJ319:AL319"/>
    <mergeCell ref="W320:Y320"/>
    <mergeCell ref="AG320:AI320"/>
    <mergeCell ref="AJ320:AL320"/>
    <mergeCell ref="B319:D319"/>
    <mergeCell ref="G319:J319"/>
    <mergeCell ref="W319:Y319"/>
    <mergeCell ref="B320:D320"/>
    <mergeCell ref="G320:J320"/>
    <mergeCell ref="AJ316:AL316"/>
    <mergeCell ref="B315:D315"/>
    <mergeCell ref="W314:Y314"/>
    <mergeCell ref="AG314:AI314"/>
    <mergeCell ref="AG311:AI311"/>
    <mergeCell ref="AJ311:AL311"/>
    <mergeCell ref="AJ317:AL317"/>
    <mergeCell ref="AG315:AI315"/>
    <mergeCell ref="AJ315:AL315"/>
    <mergeCell ref="AJ313:AL313"/>
    <mergeCell ref="AJ306:AL306"/>
    <mergeCell ref="B305:D305"/>
    <mergeCell ref="G305:J305"/>
    <mergeCell ref="W305:Y305"/>
    <mergeCell ref="AG305:AI305"/>
    <mergeCell ref="AJ305:AL305"/>
    <mergeCell ref="B325:D325"/>
    <mergeCell ref="G325:J325"/>
    <mergeCell ref="AG322:AI322"/>
    <mergeCell ref="W325:Y325"/>
    <mergeCell ref="AG323:AI323"/>
    <mergeCell ref="AJ323:AL323"/>
    <mergeCell ref="B322:D322"/>
    <mergeCell ref="G322:J322"/>
    <mergeCell ref="W322:Y322"/>
    <mergeCell ref="AG325:AI325"/>
    <mergeCell ref="AJ325:AL325"/>
    <mergeCell ref="W324:Y324"/>
    <mergeCell ref="AG324:AI324"/>
    <mergeCell ref="AJ308:AL308"/>
    <mergeCell ref="W309:Y309"/>
    <mergeCell ref="AG309:AI309"/>
    <mergeCell ref="AJ309:AL309"/>
    <mergeCell ref="AJ314:AL314"/>
    <mergeCell ref="B317:D317"/>
    <mergeCell ref="AG306:AI306"/>
    <mergeCell ref="AJ385:AL385"/>
    <mergeCell ref="AJ310:AL310"/>
    <mergeCell ref="B309:D309"/>
    <mergeCell ref="G379:J379"/>
    <mergeCell ref="AG382:AI382"/>
    <mergeCell ref="AJ382:AL382"/>
    <mergeCell ref="W383:Y383"/>
    <mergeCell ref="AG383:AI383"/>
    <mergeCell ref="AJ383:AL383"/>
    <mergeCell ref="B382:D382"/>
    <mergeCell ref="G382:J382"/>
    <mergeCell ref="B383:D383"/>
    <mergeCell ref="G383:J383"/>
    <mergeCell ref="W379:Y379"/>
    <mergeCell ref="AJ381:AL381"/>
    <mergeCell ref="B380:D380"/>
    <mergeCell ref="G380:J380"/>
    <mergeCell ref="AJ324:AL324"/>
    <mergeCell ref="B323:D323"/>
    <mergeCell ref="G323:J323"/>
    <mergeCell ref="AJ328:AL328"/>
    <mergeCell ref="AJ366:AL366"/>
    <mergeCell ref="AG366:AI366"/>
    <mergeCell ref="W312:Y312"/>
    <mergeCell ref="AG312:AI312"/>
    <mergeCell ref="AJ312:AL312"/>
    <mergeCell ref="B311:D311"/>
    <mergeCell ref="AJ377:AL377"/>
    <mergeCell ref="B312:D312"/>
    <mergeCell ref="G312:J312"/>
    <mergeCell ref="W329:Y329"/>
    <mergeCell ref="AJ380:AL380"/>
    <mergeCell ref="B377:D377"/>
    <mergeCell ref="G377:J377"/>
    <mergeCell ref="W377:Y377"/>
    <mergeCell ref="AG377:AI377"/>
    <mergeCell ref="W375:Y375"/>
    <mergeCell ref="AG375:AI375"/>
    <mergeCell ref="AJ375:AL375"/>
    <mergeCell ref="B374:D374"/>
    <mergeCell ref="G374:J374"/>
    <mergeCell ref="O375:P375"/>
    <mergeCell ref="O376:P376"/>
    <mergeCell ref="O377:P377"/>
    <mergeCell ref="W374:Y374"/>
    <mergeCell ref="B375:D375"/>
    <mergeCell ref="G375:J375"/>
    <mergeCell ref="AJ401:AL401"/>
    <mergeCell ref="W400:Y400"/>
    <mergeCell ref="B400:D400"/>
    <mergeCell ref="G400:J400"/>
    <mergeCell ref="G391:J391"/>
    <mergeCell ref="AJ391:AL391"/>
    <mergeCell ref="AJ395:AL395"/>
    <mergeCell ref="AJ388:AL388"/>
    <mergeCell ref="W389:Y389"/>
    <mergeCell ref="AG389:AI389"/>
    <mergeCell ref="W387:Y387"/>
    <mergeCell ref="AJ387:AL387"/>
    <mergeCell ref="B386:D386"/>
    <mergeCell ref="G386:J386"/>
    <mergeCell ref="W386:Y386"/>
    <mergeCell ref="B387:D387"/>
    <mergeCell ref="B391:D391"/>
    <mergeCell ref="AJ394:AL394"/>
    <mergeCell ref="AJ396:AL396"/>
    <mergeCell ref="B397:D397"/>
    <mergeCell ref="G397:J397"/>
    <mergeCell ref="W397:Y397"/>
    <mergeCell ref="AG397:AI397"/>
    <mergeCell ref="AJ386:AL386"/>
    <mergeCell ref="AJ397:AL397"/>
    <mergeCell ref="AJ398:AL398"/>
    <mergeCell ref="B399:D399"/>
    <mergeCell ref="G399:J399"/>
    <mergeCell ref="W401:Y401"/>
    <mergeCell ref="AG401:AI401"/>
    <mergeCell ref="AG395:AI395"/>
    <mergeCell ref="G395:J395"/>
    <mergeCell ref="AG299:AI299"/>
    <mergeCell ref="O303:P303"/>
    <mergeCell ref="O304:P304"/>
    <mergeCell ref="G372:J372"/>
    <mergeCell ref="AG386:AI386"/>
    <mergeCell ref="AG400:AI400"/>
    <mergeCell ref="W392:Y392"/>
    <mergeCell ref="AG392:AI392"/>
    <mergeCell ref="W391:Y391"/>
    <mergeCell ref="W399:Y399"/>
    <mergeCell ref="AG399:AI399"/>
    <mergeCell ref="AG313:AI313"/>
    <mergeCell ref="W316:Y316"/>
    <mergeCell ref="AG316:AI316"/>
    <mergeCell ref="W398:Y398"/>
    <mergeCell ref="W390:Y390"/>
    <mergeCell ref="AJ374:AL374"/>
    <mergeCell ref="O301:P301"/>
    <mergeCell ref="O302:P302"/>
    <mergeCell ref="W385:Y385"/>
    <mergeCell ref="AG385:AI385"/>
    <mergeCell ref="O323:P323"/>
    <mergeCell ref="G318:J318"/>
    <mergeCell ref="W318:Y318"/>
    <mergeCell ref="AG318:AI318"/>
    <mergeCell ref="AG373:AI373"/>
    <mergeCell ref="W306:Y306"/>
    <mergeCell ref="W308:Y308"/>
    <mergeCell ref="AG308:AI308"/>
    <mergeCell ref="AG303:AI303"/>
    <mergeCell ref="G311:J311"/>
    <mergeCell ref="W311:Y311"/>
    <mergeCell ref="O305:P305"/>
    <mergeCell ref="G387:J387"/>
    <mergeCell ref="W317:Y317"/>
    <mergeCell ref="AG317:AI317"/>
    <mergeCell ref="W302:Y302"/>
    <mergeCell ref="AG302:AI302"/>
    <mergeCell ref="W330:Y330"/>
    <mergeCell ref="AG330:AI330"/>
    <mergeCell ref="W332:Y332"/>
    <mergeCell ref="AG332:AI332"/>
    <mergeCell ref="AG349:AI349"/>
    <mergeCell ref="AG354:AI354"/>
    <mergeCell ref="AG365:AI365"/>
    <mergeCell ref="W368:Y368"/>
    <mergeCell ref="AG368:AI368"/>
    <mergeCell ref="AJ399:AL399"/>
    <mergeCell ref="B398:D398"/>
    <mergeCell ref="B395:D395"/>
    <mergeCell ref="AJ393:AL393"/>
    <mergeCell ref="AJ378:AL378"/>
    <mergeCell ref="AJ379:AL379"/>
    <mergeCell ref="B378:D378"/>
    <mergeCell ref="G378:J378"/>
    <mergeCell ref="AG379:AI379"/>
    <mergeCell ref="W378:Y378"/>
    <mergeCell ref="AG384:AI384"/>
    <mergeCell ref="AJ384:AL384"/>
    <mergeCell ref="AG398:AI398"/>
    <mergeCell ref="W396:Y396"/>
    <mergeCell ref="O308:P308"/>
    <mergeCell ref="O309:P309"/>
    <mergeCell ref="O310:P310"/>
    <mergeCell ref="O311:P311"/>
    <mergeCell ref="O312:P312"/>
    <mergeCell ref="O313:P313"/>
    <mergeCell ref="O314:P314"/>
    <mergeCell ref="O315:P315"/>
    <mergeCell ref="O316:P316"/>
    <mergeCell ref="W394:Y394"/>
    <mergeCell ref="G393:J393"/>
    <mergeCell ref="AG372:AI372"/>
    <mergeCell ref="G384:J384"/>
    <mergeCell ref="O317:P317"/>
    <mergeCell ref="B318:D318"/>
    <mergeCell ref="B372:D372"/>
    <mergeCell ref="AJ372:AL372"/>
    <mergeCell ref="W395:Y395"/>
    <mergeCell ref="AG393:AI393"/>
    <mergeCell ref="W384:Y384"/>
    <mergeCell ref="AG396:AI396"/>
    <mergeCell ref="B393:D393"/>
    <mergeCell ref="G398:J398"/>
    <mergeCell ref="B389:D389"/>
    <mergeCell ref="G389:J389"/>
    <mergeCell ref="W388:Y388"/>
    <mergeCell ref="AG388:AI388"/>
    <mergeCell ref="AG394:AI394"/>
    <mergeCell ref="AG378:AI378"/>
    <mergeCell ref="G340:J340"/>
    <mergeCell ref="W340:Y340"/>
    <mergeCell ref="AG340:AI340"/>
    <mergeCell ref="W344:Y344"/>
    <mergeCell ref="AG344:AI344"/>
    <mergeCell ref="W342:Y342"/>
    <mergeCell ref="O343:P343"/>
    <mergeCell ref="O344:P344"/>
    <mergeCell ref="W345:Y345"/>
    <mergeCell ref="B342:D342"/>
    <mergeCell ref="G342:J342"/>
    <mergeCell ref="B343:D343"/>
    <mergeCell ref="G343:J343"/>
    <mergeCell ref="W343:Y343"/>
    <mergeCell ref="AG343:AI343"/>
    <mergeCell ref="O345:P345"/>
    <mergeCell ref="AG345:AI345"/>
    <mergeCell ref="AG353:AI353"/>
    <mergeCell ref="AG342:AI342"/>
    <mergeCell ref="B345:D345"/>
    <mergeCell ref="AG390:AI390"/>
    <mergeCell ref="B407:D407"/>
    <mergeCell ref="G407:J407"/>
    <mergeCell ref="B402:D402"/>
    <mergeCell ref="G402:J402"/>
    <mergeCell ref="W301:Y301"/>
    <mergeCell ref="AG301:AI301"/>
    <mergeCell ref="W310:Y310"/>
    <mergeCell ref="AG310:AI310"/>
    <mergeCell ref="B310:D310"/>
    <mergeCell ref="G310:J310"/>
    <mergeCell ref="W307:Y307"/>
    <mergeCell ref="W382:Y382"/>
    <mergeCell ref="B388:D388"/>
    <mergeCell ref="B301:D301"/>
    <mergeCell ref="G301:J301"/>
    <mergeCell ref="AG380:AI380"/>
    <mergeCell ref="AG387:AI387"/>
    <mergeCell ref="B302:D302"/>
    <mergeCell ref="G302:J302"/>
    <mergeCell ref="W380:Y380"/>
    <mergeCell ref="W393:Y393"/>
    <mergeCell ref="AG391:AI391"/>
    <mergeCell ref="B381:D381"/>
    <mergeCell ref="G381:J381"/>
    <mergeCell ref="W381:Y381"/>
    <mergeCell ref="AG381:AI381"/>
    <mergeCell ref="G365:J365"/>
    <mergeCell ref="O342:P342"/>
    <mergeCell ref="B384:D384"/>
    <mergeCell ref="O324:P324"/>
    <mergeCell ref="O402:P402"/>
    <mergeCell ref="O403:P403"/>
    <mergeCell ref="W408:Y408"/>
    <mergeCell ref="G152:J152"/>
    <mergeCell ref="B392:D392"/>
    <mergeCell ref="G392:J392"/>
    <mergeCell ref="B394:D394"/>
    <mergeCell ref="G394:J394"/>
    <mergeCell ref="B293:D293"/>
    <mergeCell ref="B294:D294"/>
    <mergeCell ref="G294:J294"/>
    <mergeCell ref="B152:D152"/>
    <mergeCell ref="W169:Y169"/>
    <mergeCell ref="W172:Y172"/>
    <mergeCell ref="W297:Y297"/>
    <mergeCell ref="W293:Y293"/>
    <mergeCell ref="W372:Y372"/>
    <mergeCell ref="W303:Y303"/>
    <mergeCell ref="B298:D298"/>
    <mergeCell ref="W402:Y402"/>
    <mergeCell ref="W407:Y407"/>
    <mergeCell ref="B373:D373"/>
    <mergeCell ref="G373:J373"/>
    <mergeCell ref="W373:Y373"/>
    <mergeCell ref="B313:D313"/>
    <mergeCell ref="G313:J313"/>
    <mergeCell ref="W313:Y313"/>
    <mergeCell ref="G315:J315"/>
    <mergeCell ref="W315:Y315"/>
    <mergeCell ref="B316:D316"/>
    <mergeCell ref="G316:J316"/>
    <mergeCell ref="G321:J321"/>
    <mergeCell ref="W321:Y321"/>
    <mergeCell ref="G170:J170"/>
    <mergeCell ref="G3:K3"/>
    <mergeCell ref="G150:J150"/>
    <mergeCell ref="G79:J79"/>
    <mergeCell ref="G65:J65"/>
    <mergeCell ref="G60:J60"/>
    <mergeCell ref="G76:J76"/>
    <mergeCell ref="G141:J141"/>
    <mergeCell ref="G84:J84"/>
    <mergeCell ref="G49:J49"/>
    <mergeCell ref="B379:D379"/>
    <mergeCell ref="B168:D168"/>
    <mergeCell ref="G168:J168"/>
    <mergeCell ref="B170:D170"/>
    <mergeCell ref="B114:D114"/>
    <mergeCell ref="G114:J114"/>
    <mergeCell ref="G138:J138"/>
    <mergeCell ref="B146:D146"/>
    <mergeCell ref="B141:D141"/>
    <mergeCell ref="B156:D156"/>
    <mergeCell ref="G156:J156"/>
    <mergeCell ref="B118:D118"/>
    <mergeCell ref="G118:J118"/>
    <mergeCell ref="B122:D122"/>
    <mergeCell ref="G122:J122"/>
    <mergeCell ref="B154:D154"/>
    <mergeCell ref="G154:J154"/>
    <mergeCell ref="B158:D158"/>
    <mergeCell ref="G158:J158"/>
    <mergeCell ref="B116:D116"/>
    <mergeCell ref="B121:D121"/>
    <mergeCell ref="G135:J135"/>
    <mergeCell ref="G330:J330"/>
    <mergeCell ref="AJ295:AL295"/>
    <mergeCell ref="AJ297:AL297"/>
    <mergeCell ref="AJ409:AL409"/>
    <mergeCell ref="AJ300:AL300"/>
    <mergeCell ref="AJ151:AL151"/>
    <mergeCell ref="AJ408:AL408"/>
    <mergeCell ref="AG296:AI296"/>
    <mergeCell ref="AG409:AI409"/>
    <mergeCell ref="AJ148:AL148"/>
    <mergeCell ref="AG151:AI151"/>
    <mergeCell ref="AJ298:AL298"/>
    <mergeCell ref="AG295:AI295"/>
    <mergeCell ref="AG148:AI148"/>
    <mergeCell ref="AG149:AI149"/>
    <mergeCell ref="AG297:AI297"/>
    <mergeCell ref="W146:Y146"/>
    <mergeCell ref="AJ407:AL407"/>
    <mergeCell ref="AG407:AI407"/>
    <mergeCell ref="AG298:AI298"/>
    <mergeCell ref="W150:Y150"/>
    <mergeCell ref="AJ296:AL296"/>
    <mergeCell ref="AJ294:AL294"/>
    <mergeCell ref="AJ146:AL146"/>
    <mergeCell ref="AJ402:AL402"/>
    <mergeCell ref="AJ299:AL299"/>
    <mergeCell ref="AG402:AI402"/>
    <mergeCell ref="AJ147:AL147"/>
    <mergeCell ref="AG150:AI150"/>
    <mergeCell ref="AG146:AI146"/>
    <mergeCell ref="AG300:AI300"/>
    <mergeCell ref="AJ400:AL400"/>
    <mergeCell ref="AJ390:AL390"/>
    <mergeCell ref="AJ293:AL293"/>
    <mergeCell ref="AJ150:AL150"/>
    <mergeCell ref="AJ141:AL141"/>
    <mergeCell ref="AJ142:AL142"/>
    <mergeCell ref="AG142:AI142"/>
    <mergeCell ref="W152:Y152"/>
    <mergeCell ref="AG152:AI152"/>
    <mergeCell ref="AJ152:AL152"/>
    <mergeCell ref="W153:Y153"/>
    <mergeCell ref="AG153:AI153"/>
    <mergeCell ref="AJ153:AL153"/>
    <mergeCell ref="AJ155:AL155"/>
    <mergeCell ref="W164:Y164"/>
    <mergeCell ref="AJ154:AL154"/>
    <mergeCell ref="AJ160:AL160"/>
    <mergeCell ref="AJ164:AL164"/>
    <mergeCell ref="AJ165:AL165"/>
    <mergeCell ref="W170:Y170"/>
    <mergeCell ref="AG170:AI170"/>
    <mergeCell ref="AJ170:AL170"/>
    <mergeCell ref="W181:Y181"/>
    <mergeCell ref="AJ158:AL158"/>
    <mergeCell ref="AJ156:AL156"/>
    <mergeCell ref="AG164:AI164"/>
    <mergeCell ref="W162:Y162"/>
    <mergeCell ref="AG162:AI162"/>
    <mergeCell ref="AJ162:AL162"/>
    <mergeCell ref="AJ171:AL171"/>
    <mergeCell ref="W144:Y144"/>
    <mergeCell ref="W161:Y161"/>
    <mergeCell ref="W159:Y159"/>
    <mergeCell ref="AG159:AI159"/>
    <mergeCell ref="AJ92:AL92"/>
    <mergeCell ref="AJ93:AL93"/>
    <mergeCell ref="AG100:AI100"/>
    <mergeCell ref="AJ100:AL100"/>
    <mergeCell ref="AG98:AI98"/>
    <mergeCell ref="AJ137:AL137"/>
    <mergeCell ref="AJ84:AL84"/>
    <mergeCell ref="AJ88:AL88"/>
    <mergeCell ref="AJ73:AL73"/>
    <mergeCell ref="AJ56:AL56"/>
    <mergeCell ref="AJ55:AL55"/>
    <mergeCell ref="AG55:AI55"/>
    <mergeCell ref="AJ89:AL89"/>
    <mergeCell ref="AJ94:AL94"/>
    <mergeCell ref="AJ81:AL81"/>
    <mergeCell ref="AG53:AI53"/>
    <mergeCell ref="AG60:AI60"/>
    <mergeCell ref="AJ90:AL90"/>
    <mergeCell ref="AG116:AI116"/>
    <mergeCell ref="AJ116:AL116"/>
    <mergeCell ref="AG114:AI114"/>
    <mergeCell ref="AJ114:AL114"/>
    <mergeCell ref="AG63:AI63"/>
    <mergeCell ref="AG77:AI77"/>
    <mergeCell ref="AG87:AI87"/>
    <mergeCell ref="AG86:AI86"/>
    <mergeCell ref="AG88:AI88"/>
    <mergeCell ref="AG109:AI109"/>
    <mergeCell ref="AJ133:AL133"/>
    <mergeCell ref="AG61:AI61"/>
    <mergeCell ref="AJ77:AL77"/>
    <mergeCell ref="AG112:AI112"/>
    <mergeCell ref="W36:Y36"/>
    <mergeCell ref="AG41:AI41"/>
    <mergeCell ref="W38:Y38"/>
    <mergeCell ref="W39:Y39"/>
    <mergeCell ref="W41:Y41"/>
    <mergeCell ref="AG36:AI36"/>
    <mergeCell ref="W141:Y141"/>
    <mergeCell ref="AG144:AI144"/>
    <mergeCell ref="AG141:AI141"/>
    <mergeCell ref="W75:Y75"/>
    <mergeCell ref="AJ107:AL107"/>
    <mergeCell ref="AJ119:AL119"/>
    <mergeCell ref="AJ111:AL111"/>
    <mergeCell ref="AJ103:AL103"/>
    <mergeCell ref="AJ76:AL76"/>
    <mergeCell ref="AG47:AI47"/>
    <mergeCell ref="AJ72:AL72"/>
    <mergeCell ref="AJ143:AL143"/>
    <mergeCell ref="AJ52:AL52"/>
    <mergeCell ref="AJ75:AL75"/>
    <mergeCell ref="AJ138:AL138"/>
    <mergeCell ref="AG52:AI52"/>
    <mergeCell ref="W85:Y85"/>
    <mergeCell ref="AG85:AI85"/>
    <mergeCell ref="AJ85:AL85"/>
    <mergeCell ref="W89:Y89"/>
    <mergeCell ref="W91:Y91"/>
    <mergeCell ref="W84:Y84"/>
    <mergeCell ref="W103:Y103"/>
    <mergeCell ref="W119:Y119"/>
    <mergeCell ref="W107:Y107"/>
    <mergeCell ref="AJ65:AL65"/>
    <mergeCell ref="AG293:AI293"/>
    <mergeCell ref="AG143:AI143"/>
    <mergeCell ref="AJ83:AL83"/>
    <mergeCell ref="W295:Y295"/>
    <mergeCell ref="W298:Y298"/>
    <mergeCell ref="AJ44:AL44"/>
    <mergeCell ref="AJ86:AL86"/>
    <mergeCell ref="AJ96:AL96"/>
    <mergeCell ref="AJ87:AL87"/>
    <mergeCell ref="AJ91:AL91"/>
    <mergeCell ref="AG270:AI270"/>
    <mergeCell ref="AG291:AI291"/>
    <mergeCell ref="AG202:AI202"/>
    <mergeCell ref="AG214:AI214"/>
    <mergeCell ref="AG226:AI226"/>
    <mergeCell ref="AG245:AI245"/>
    <mergeCell ref="W296:Y296"/>
    <mergeCell ref="W294:Y294"/>
    <mergeCell ref="AG139:AI139"/>
    <mergeCell ref="AG138:AI138"/>
    <mergeCell ref="W139:Y139"/>
    <mergeCell ref="AG294:AI294"/>
    <mergeCell ref="AG89:AI89"/>
    <mergeCell ref="AG154:AI154"/>
    <mergeCell ref="AG156:AI156"/>
    <mergeCell ref="AG92:AI92"/>
    <mergeCell ref="W87:Y87"/>
    <mergeCell ref="W92:Y92"/>
    <mergeCell ref="W116:Y116"/>
    <mergeCell ref="W88:Y88"/>
    <mergeCell ref="W100:Y100"/>
    <mergeCell ref="W158:Y158"/>
    <mergeCell ref="AG158:AI158"/>
    <mergeCell ref="W176:Y176"/>
    <mergeCell ref="AG176:AI176"/>
    <mergeCell ref="W154:Y154"/>
    <mergeCell ref="W174:Y174"/>
    <mergeCell ref="AG174:AI174"/>
    <mergeCell ref="W180:Y180"/>
    <mergeCell ref="AG180:AI180"/>
    <mergeCell ref="AG283:AI283"/>
    <mergeCell ref="W264:Y264"/>
    <mergeCell ref="Y412:AI412"/>
    <mergeCell ref="AG411:AI411"/>
    <mergeCell ref="W64:Y64"/>
    <mergeCell ref="W57:Y57"/>
    <mergeCell ref="AG62:AI62"/>
    <mergeCell ref="AJ53:AL53"/>
    <mergeCell ref="AG58:AI58"/>
    <mergeCell ref="AJ78:AL78"/>
    <mergeCell ref="AG82:AI82"/>
    <mergeCell ref="AJ68:AL68"/>
    <mergeCell ref="AJ64:AL64"/>
    <mergeCell ref="AJ74:AL74"/>
    <mergeCell ref="AJ79:AL79"/>
    <mergeCell ref="AJ54:AL54"/>
    <mergeCell ref="AG147:AI147"/>
    <mergeCell ref="W147:Y147"/>
    <mergeCell ref="W148:Y148"/>
    <mergeCell ref="W143:Y143"/>
    <mergeCell ref="AG67:AI67"/>
    <mergeCell ref="AG69:AI69"/>
    <mergeCell ref="AG140:AI140"/>
    <mergeCell ref="AJ70:AL70"/>
    <mergeCell ref="U7:AI7"/>
    <mergeCell ref="W8:Y8"/>
    <mergeCell ref="AG59:AI59"/>
    <mergeCell ref="AG57:AI57"/>
    <mergeCell ref="W30:Y30"/>
    <mergeCell ref="W46:Y46"/>
    <mergeCell ref="W37:Y37"/>
    <mergeCell ref="W35:Y35"/>
    <mergeCell ref="W49:Y49"/>
    <mergeCell ref="AG48:AI48"/>
    <mergeCell ref="AJ19:AL19"/>
    <mergeCell ref="AJ32:AL32"/>
    <mergeCell ref="AG28:AI28"/>
    <mergeCell ref="AG25:AI25"/>
    <mergeCell ref="AJ23:AL23"/>
    <mergeCell ref="AJ7:AQ7"/>
    <mergeCell ref="O7:T7"/>
    <mergeCell ref="AG9:AI9"/>
    <mergeCell ref="AJ9:AL9"/>
    <mergeCell ref="AG11:AI11"/>
    <mergeCell ref="AG33:AI33"/>
    <mergeCell ref="W58:Y58"/>
    <mergeCell ref="AG37:AI37"/>
    <mergeCell ref="AG38:AI38"/>
    <mergeCell ref="W59:Y59"/>
    <mergeCell ref="W55:Y55"/>
    <mergeCell ref="W53:Y53"/>
    <mergeCell ref="AG45:AI45"/>
    <mergeCell ref="AG44:AI44"/>
    <mergeCell ref="AG51:AI51"/>
    <mergeCell ref="AG50:AI50"/>
    <mergeCell ref="AJ51:AL51"/>
    <mergeCell ref="M412:N412"/>
    <mergeCell ref="G4:K4"/>
    <mergeCell ref="G5:K5"/>
    <mergeCell ref="G6:L6"/>
    <mergeCell ref="A7:N7"/>
    <mergeCell ref="B8:D8"/>
    <mergeCell ref="G8:J8"/>
    <mergeCell ref="B408:D408"/>
    <mergeCell ref="G408:J408"/>
    <mergeCell ref="G153:J153"/>
    <mergeCell ref="G164:J164"/>
    <mergeCell ref="B161:D161"/>
    <mergeCell ref="G161:J161"/>
    <mergeCell ref="B162:D162"/>
    <mergeCell ref="G162:J162"/>
    <mergeCell ref="B180:D180"/>
    <mergeCell ref="G180:J180"/>
    <mergeCell ref="B184:D184"/>
    <mergeCell ref="G184:J184"/>
    <mergeCell ref="B296:D296"/>
    <mergeCell ref="G296:J296"/>
    <mergeCell ref="B396:D396"/>
    <mergeCell ref="G396:J396"/>
    <mergeCell ref="B401:D401"/>
    <mergeCell ref="G401:J401"/>
    <mergeCell ref="B385:D385"/>
    <mergeCell ref="B307:D307"/>
    <mergeCell ref="G317:J317"/>
    <mergeCell ref="G326:J326"/>
    <mergeCell ref="B368:D368"/>
    <mergeCell ref="G368:J368"/>
    <mergeCell ref="G159:J159"/>
    <mergeCell ref="B111:D111"/>
    <mergeCell ref="G111:J111"/>
    <mergeCell ref="G142:J142"/>
    <mergeCell ref="G140:J140"/>
    <mergeCell ref="G113:J113"/>
    <mergeCell ref="G83:J83"/>
    <mergeCell ref="G147:J147"/>
    <mergeCell ref="G309:J309"/>
    <mergeCell ref="B67:D67"/>
    <mergeCell ref="G293:J293"/>
    <mergeCell ref="B295:D295"/>
    <mergeCell ref="G149:J149"/>
    <mergeCell ref="G77:J77"/>
    <mergeCell ref="G69:J69"/>
    <mergeCell ref="G67:J67"/>
    <mergeCell ref="G68:J68"/>
    <mergeCell ref="G151:J151"/>
    <mergeCell ref="B155:D155"/>
    <mergeCell ref="G155:J155"/>
    <mergeCell ref="B187:D187"/>
    <mergeCell ref="G187:J187"/>
    <mergeCell ref="B192:D192"/>
    <mergeCell ref="G192:J192"/>
    <mergeCell ref="G203:J203"/>
    <mergeCell ref="B218:D218"/>
    <mergeCell ref="B217:D217"/>
    <mergeCell ref="G286:J286"/>
    <mergeCell ref="G218:J218"/>
    <mergeCell ref="G217:J217"/>
    <mergeCell ref="G295:J295"/>
    <mergeCell ref="B153:D153"/>
    <mergeCell ref="B183:D183"/>
    <mergeCell ref="G287:J287"/>
    <mergeCell ref="B151:D151"/>
    <mergeCell ref="B150:D150"/>
    <mergeCell ref="G87:J87"/>
    <mergeCell ref="G94:J94"/>
    <mergeCell ref="G86:J86"/>
    <mergeCell ref="B163:D163"/>
    <mergeCell ref="G163:J163"/>
    <mergeCell ref="G298:J298"/>
    <mergeCell ref="B308:D308"/>
    <mergeCell ref="G308:J308"/>
    <mergeCell ref="B306:D306"/>
    <mergeCell ref="G306:J306"/>
    <mergeCell ref="G307:J307"/>
    <mergeCell ref="G139:J139"/>
    <mergeCell ref="B86:D86"/>
    <mergeCell ref="B148:D148"/>
    <mergeCell ref="B147:D147"/>
    <mergeCell ref="B126:D126"/>
    <mergeCell ref="G126:J126"/>
    <mergeCell ref="G144:J144"/>
    <mergeCell ref="B142:D142"/>
    <mergeCell ref="B108:D108"/>
    <mergeCell ref="B132:D132"/>
    <mergeCell ref="B144:D144"/>
    <mergeCell ref="G121:J121"/>
    <mergeCell ref="B136:D136"/>
    <mergeCell ref="G136:J136"/>
    <mergeCell ref="G110:J110"/>
    <mergeCell ref="B135:D135"/>
    <mergeCell ref="B109:D109"/>
    <mergeCell ref="G109:J109"/>
    <mergeCell ref="G78:J78"/>
    <mergeCell ref="B138:D138"/>
    <mergeCell ref="G64:J64"/>
    <mergeCell ref="B78:D78"/>
    <mergeCell ref="B79:D79"/>
    <mergeCell ref="B81:D81"/>
    <mergeCell ref="B82:D82"/>
    <mergeCell ref="G146:J146"/>
    <mergeCell ref="B85:D85"/>
    <mergeCell ref="G88:J88"/>
    <mergeCell ref="G92:J92"/>
    <mergeCell ref="G91:J91"/>
    <mergeCell ref="B149:D149"/>
    <mergeCell ref="B145:D145"/>
    <mergeCell ref="B128:D128"/>
    <mergeCell ref="G127:J127"/>
    <mergeCell ref="B94:D94"/>
    <mergeCell ref="G82:J82"/>
    <mergeCell ref="B98:D98"/>
    <mergeCell ref="B87:D87"/>
    <mergeCell ref="B91:D91"/>
    <mergeCell ref="G90:J90"/>
    <mergeCell ref="G98:J98"/>
    <mergeCell ref="G96:J96"/>
    <mergeCell ref="B97:D97"/>
    <mergeCell ref="G101:J101"/>
    <mergeCell ref="G148:J148"/>
    <mergeCell ref="G145:J145"/>
    <mergeCell ref="G85:J85"/>
    <mergeCell ref="G89:J89"/>
    <mergeCell ref="G80:J80"/>
    <mergeCell ref="G81:J81"/>
    <mergeCell ref="G57:J57"/>
    <mergeCell ref="G52:J52"/>
    <mergeCell ref="G56:J56"/>
    <mergeCell ref="G55:J55"/>
    <mergeCell ref="B44:D44"/>
    <mergeCell ref="B45:D45"/>
    <mergeCell ref="B77:D77"/>
    <mergeCell ref="B72:D72"/>
    <mergeCell ref="B64:D64"/>
    <mergeCell ref="B75:D75"/>
    <mergeCell ref="B76:D76"/>
    <mergeCell ref="B140:D140"/>
    <mergeCell ref="B88:D88"/>
    <mergeCell ref="B68:D68"/>
    <mergeCell ref="B90:D90"/>
    <mergeCell ref="B92:D92"/>
    <mergeCell ref="B89:D89"/>
    <mergeCell ref="B66:D66"/>
    <mergeCell ref="G75:J75"/>
    <mergeCell ref="G73:J73"/>
    <mergeCell ref="B73:D73"/>
    <mergeCell ref="B74:D74"/>
    <mergeCell ref="B96:D96"/>
    <mergeCell ref="B93:D93"/>
    <mergeCell ref="B95:D95"/>
    <mergeCell ref="G95:J95"/>
    <mergeCell ref="G74:J74"/>
    <mergeCell ref="B80:D80"/>
    <mergeCell ref="B83:D83"/>
    <mergeCell ref="G128:J128"/>
    <mergeCell ref="B84:D84"/>
    <mergeCell ref="B71:D71"/>
    <mergeCell ref="AJ12:AL12"/>
    <mergeCell ref="AG13:AI13"/>
    <mergeCell ref="W9:Y9"/>
    <mergeCell ref="AG10:AI10"/>
    <mergeCell ref="AJ13:AL13"/>
    <mergeCell ref="G11:J11"/>
    <mergeCell ref="G62:J62"/>
    <mergeCell ref="G59:J59"/>
    <mergeCell ref="G70:J70"/>
    <mergeCell ref="G63:J63"/>
    <mergeCell ref="G40:J40"/>
    <mergeCell ref="G32:J32"/>
    <mergeCell ref="B69:D69"/>
    <mergeCell ref="B70:D70"/>
    <mergeCell ref="B65:D65"/>
    <mergeCell ref="B58:D58"/>
    <mergeCell ref="B51:D51"/>
    <mergeCell ref="B55:D55"/>
    <mergeCell ref="B56:D56"/>
    <mergeCell ref="B53:D53"/>
    <mergeCell ref="B61:D61"/>
    <mergeCell ref="B57:D57"/>
    <mergeCell ref="B63:D63"/>
    <mergeCell ref="B52:D52"/>
    <mergeCell ref="B59:D59"/>
    <mergeCell ref="B62:D62"/>
    <mergeCell ref="G61:J61"/>
    <mergeCell ref="G45:J45"/>
    <mergeCell ref="G48:J48"/>
    <mergeCell ref="G51:J51"/>
    <mergeCell ref="B60:D60"/>
    <mergeCell ref="B54:D54"/>
    <mergeCell ref="AG19:AI19"/>
    <mergeCell ref="AJ29:AL29"/>
    <mergeCell ref="AJ21:AL21"/>
    <mergeCell ref="W17:Y17"/>
    <mergeCell ref="AJ35:AL35"/>
    <mergeCell ref="AG43:AI43"/>
    <mergeCell ref="AJ41:AL41"/>
    <mergeCell ref="AG22:AI22"/>
    <mergeCell ref="G20:J20"/>
    <mergeCell ref="AJ24:AL24"/>
    <mergeCell ref="AG27:AI27"/>
    <mergeCell ref="AG26:AI26"/>
    <mergeCell ref="AJ8:AL8"/>
    <mergeCell ref="W14:Y14"/>
    <mergeCell ref="W15:Y15"/>
    <mergeCell ref="W16:Y16"/>
    <mergeCell ref="AG15:AI15"/>
    <mergeCell ref="AG16:AI16"/>
    <mergeCell ref="AG8:AI8"/>
    <mergeCell ref="G16:J16"/>
    <mergeCell ref="G10:J10"/>
    <mergeCell ref="G13:J13"/>
    <mergeCell ref="G18:J18"/>
    <mergeCell ref="G14:J14"/>
    <mergeCell ref="AG18:AI18"/>
    <mergeCell ref="AJ17:AL17"/>
    <mergeCell ref="AG17:AI17"/>
    <mergeCell ref="AJ14:AL14"/>
    <mergeCell ref="AJ10:AL10"/>
    <mergeCell ref="W11:Y11"/>
    <mergeCell ref="AJ11:AL11"/>
    <mergeCell ref="W10:Y10"/>
    <mergeCell ref="G26:J26"/>
    <mergeCell ref="G17:J17"/>
    <mergeCell ref="G22:J22"/>
    <mergeCell ref="G15:J15"/>
    <mergeCell ref="G19:J19"/>
    <mergeCell ref="G12:J12"/>
    <mergeCell ref="G21:J21"/>
    <mergeCell ref="W19:Y19"/>
    <mergeCell ref="W31:Y31"/>
    <mergeCell ref="W28:Y28"/>
    <mergeCell ref="AG24:AI24"/>
    <mergeCell ref="AJ22:AL22"/>
    <mergeCell ref="W20:Y20"/>
    <mergeCell ref="W21:Y21"/>
    <mergeCell ref="W22:Y22"/>
    <mergeCell ref="AG14:AI14"/>
    <mergeCell ref="W12:Y12"/>
    <mergeCell ref="AG12:AI12"/>
    <mergeCell ref="AJ18:AL18"/>
    <mergeCell ref="AG20:AI20"/>
    <mergeCell ref="AG21:AI21"/>
    <mergeCell ref="AJ20:AL20"/>
    <mergeCell ref="AG23:AI23"/>
    <mergeCell ref="AJ15:AL15"/>
    <mergeCell ref="AJ16:AL16"/>
    <mergeCell ref="AJ30:AL30"/>
    <mergeCell ref="W13:Y13"/>
    <mergeCell ref="AJ28:AL28"/>
    <mergeCell ref="AJ26:AL26"/>
    <mergeCell ref="AJ25:AL25"/>
    <mergeCell ref="W29:Y29"/>
    <mergeCell ref="AJ27:AL27"/>
    <mergeCell ref="G71:J71"/>
    <mergeCell ref="G72:J72"/>
    <mergeCell ref="G54:J54"/>
    <mergeCell ref="W79:Y79"/>
    <mergeCell ref="W73:Y73"/>
    <mergeCell ref="W68:Y68"/>
    <mergeCell ref="W65:Y65"/>
    <mergeCell ref="W71:Y71"/>
    <mergeCell ref="W70:Y70"/>
    <mergeCell ref="G50:J50"/>
    <mergeCell ref="G66:J66"/>
    <mergeCell ref="G53:J53"/>
    <mergeCell ref="W51:Y51"/>
    <mergeCell ref="W62:Y62"/>
    <mergeCell ref="W67:Y67"/>
    <mergeCell ref="W50:Y50"/>
    <mergeCell ref="AG107:AI107"/>
    <mergeCell ref="W98:Y98"/>
    <mergeCell ref="AG90:AI90"/>
    <mergeCell ref="AG97:AI97"/>
    <mergeCell ref="W83:Y83"/>
    <mergeCell ref="W90:Y90"/>
    <mergeCell ref="W86:Y86"/>
    <mergeCell ref="W96:Y96"/>
    <mergeCell ref="G93:J93"/>
    <mergeCell ref="W95:Y95"/>
    <mergeCell ref="AG95:AI95"/>
    <mergeCell ref="G104:J104"/>
    <mergeCell ref="W104:Y104"/>
    <mergeCell ref="AG104:AI104"/>
    <mergeCell ref="W56:Y56"/>
    <mergeCell ref="AG70:AI70"/>
    <mergeCell ref="AG408:AI408"/>
    <mergeCell ref="AG75:AI75"/>
    <mergeCell ref="AG54:AI54"/>
    <mergeCell ref="AG73:AI73"/>
    <mergeCell ref="AG79:AI79"/>
    <mergeCell ref="AG76:AI76"/>
    <mergeCell ref="AG78:AI78"/>
    <mergeCell ref="AJ63:AL63"/>
    <mergeCell ref="AJ60:AL60"/>
    <mergeCell ref="AG103:AI103"/>
    <mergeCell ref="W142:Y142"/>
    <mergeCell ref="W155:Y155"/>
    <mergeCell ref="AG155:AI155"/>
    <mergeCell ref="W151:Y151"/>
    <mergeCell ref="W145:Y145"/>
    <mergeCell ref="W80:Y80"/>
    <mergeCell ref="AG29:AI29"/>
    <mergeCell ref="AG34:AI34"/>
    <mergeCell ref="AG81:AI81"/>
    <mergeCell ref="W34:Y34"/>
    <mergeCell ref="W127:Y127"/>
    <mergeCell ref="AG91:AI91"/>
    <mergeCell ref="W94:Y94"/>
    <mergeCell ref="AG94:AI94"/>
    <mergeCell ref="W93:Y93"/>
    <mergeCell ref="AG93:AI93"/>
    <mergeCell ref="W81:Y81"/>
    <mergeCell ref="AG119:AI119"/>
    <mergeCell ref="AG157:AI157"/>
    <mergeCell ref="W166:Y166"/>
    <mergeCell ref="AG166:AI166"/>
    <mergeCell ref="AG189:AI189"/>
    <mergeCell ref="AJ67:AL67"/>
    <mergeCell ref="AJ66:AL66"/>
    <mergeCell ref="AJ71:AL71"/>
    <mergeCell ref="AG30:AI30"/>
    <mergeCell ref="W40:Y40"/>
    <mergeCell ref="W42:Y42"/>
    <mergeCell ref="AG31:AI31"/>
    <mergeCell ref="AJ59:AL59"/>
    <mergeCell ref="AJ50:AL50"/>
    <mergeCell ref="AG42:AI42"/>
    <mergeCell ref="AG32:AI32"/>
    <mergeCell ref="AJ31:AL31"/>
    <mergeCell ref="AJ45:AL45"/>
    <mergeCell ref="AJ46:AL46"/>
    <mergeCell ref="AJ34:AL34"/>
    <mergeCell ref="AJ57:AL57"/>
    <mergeCell ref="AJ61:AL61"/>
    <mergeCell ref="AJ33:AL33"/>
    <mergeCell ref="AG49:AI49"/>
    <mergeCell ref="AG35:AI35"/>
    <mergeCell ref="AJ40:AL40"/>
    <mergeCell ref="AJ36:AL36"/>
    <mergeCell ref="AJ39:AL39"/>
    <mergeCell ref="AJ38:AL38"/>
    <mergeCell ref="AJ37:AL37"/>
    <mergeCell ref="W61:Y61"/>
    <mergeCell ref="W54:Y54"/>
    <mergeCell ref="AG56:AI56"/>
    <mergeCell ref="W32:Y32"/>
    <mergeCell ref="W33:Y33"/>
    <mergeCell ref="W43:Y43"/>
    <mergeCell ref="W45:Y45"/>
    <mergeCell ref="AG40:AI40"/>
    <mergeCell ref="AG39:AI39"/>
    <mergeCell ref="W60:Y60"/>
    <mergeCell ref="AG64:AI64"/>
    <mergeCell ref="AJ47:AL47"/>
    <mergeCell ref="AJ49:AL49"/>
    <mergeCell ref="AJ62:AL62"/>
    <mergeCell ref="W74:Y74"/>
    <mergeCell ref="AJ58:AL58"/>
    <mergeCell ref="AJ42:AL42"/>
    <mergeCell ref="AJ144:AL144"/>
    <mergeCell ref="AJ43:AL43"/>
    <mergeCell ref="AJ48:AL48"/>
    <mergeCell ref="AG74:AI74"/>
    <mergeCell ref="AG68:AI68"/>
    <mergeCell ref="W72:Y72"/>
    <mergeCell ref="W69:Y69"/>
    <mergeCell ref="AG46:AI46"/>
    <mergeCell ref="AG84:AI84"/>
    <mergeCell ref="W138:Y138"/>
    <mergeCell ref="W140:Y140"/>
    <mergeCell ref="AJ82:AL82"/>
    <mergeCell ref="AG83:AI83"/>
    <mergeCell ref="W82:Y82"/>
    <mergeCell ref="AJ140:AL140"/>
    <mergeCell ref="AJ139:AL139"/>
    <mergeCell ref="AG80:AI80"/>
    <mergeCell ref="AJ80:AL80"/>
    <mergeCell ref="W66:Y66"/>
    <mergeCell ref="W47:Y47"/>
    <mergeCell ref="W44:Y44"/>
    <mergeCell ref="W48:Y48"/>
    <mergeCell ref="AG72:AI72"/>
    <mergeCell ref="AG65:AI65"/>
    <mergeCell ref="AG71:AI71"/>
    <mergeCell ref="AG66:AI66"/>
    <mergeCell ref="AJ69:AL69"/>
    <mergeCell ref="W18:Y18"/>
    <mergeCell ref="W25:Y25"/>
    <mergeCell ref="W23:Y23"/>
    <mergeCell ref="W24:Y24"/>
    <mergeCell ref="W26:Y26"/>
    <mergeCell ref="W27:Y27"/>
    <mergeCell ref="W78:Y78"/>
    <mergeCell ref="W77:Y77"/>
    <mergeCell ref="G47:J47"/>
    <mergeCell ref="G43:J43"/>
    <mergeCell ref="G46:J46"/>
    <mergeCell ref="G39:J39"/>
    <mergeCell ref="G38:J38"/>
    <mergeCell ref="G44:J44"/>
    <mergeCell ref="G42:J42"/>
    <mergeCell ref="G37:J37"/>
    <mergeCell ref="G58:J58"/>
    <mergeCell ref="W52:Y52"/>
    <mergeCell ref="W63:Y63"/>
    <mergeCell ref="W76:Y76"/>
    <mergeCell ref="O25:P25"/>
    <mergeCell ref="O26:P26"/>
    <mergeCell ref="O27:P27"/>
    <mergeCell ref="O28:P28"/>
    <mergeCell ref="O29:P29"/>
    <mergeCell ref="O30:P30"/>
    <mergeCell ref="O31:P31"/>
    <mergeCell ref="O32:P32"/>
    <mergeCell ref="O33:P33"/>
    <mergeCell ref="O34:P34"/>
    <mergeCell ref="O35:P35"/>
    <mergeCell ref="O36:P36"/>
    <mergeCell ref="B39:D39"/>
    <mergeCell ref="B40:D40"/>
    <mergeCell ref="B37:D37"/>
    <mergeCell ref="B23:D23"/>
    <mergeCell ref="B42:D42"/>
    <mergeCell ref="B43:D43"/>
    <mergeCell ref="B25:D25"/>
    <mergeCell ref="B27:D27"/>
    <mergeCell ref="B28:D28"/>
    <mergeCell ref="B29:D29"/>
    <mergeCell ref="B33:D33"/>
    <mergeCell ref="B30:D30"/>
    <mergeCell ref="G25:J25"/>
    <mergeCell ref="G24:J24"/>
    <mergeCell ref="G27:J27"/>
    <mergeCell ref="G28:J28"/>
    <mergeCell ref="G23:J23"/>
    <mergeCell ref="G35:J35"/>
    <mergeCell ref="G36:J36"/>
    <mergeCell ref="G41:J41"/>
    <mergeCell ref="B36:D36"/>
    <mergeCell ref="B32:D32"/>
    <mergeCell ref="G29:J29"/>
    <mergeCell ref="G34:J34"/>
    <mergeCell ref="B38:D38"/>
    <mergeCell ref="G33:J33"/>
    <mergeCell ref="G31:J31"/>
    <mergeCell ref="G30:J30"/>
    <mergeCell ref="G412:H412"/>
    <mergeCell ref="I412:K412"/>
    <mergeCell ref="D411:G411"/>
    <mergeCell ref="B143:D143"/>
    <mergeCell ref="G143:J143"/>
    <mergeCell ref="B139:D139"/>
    <mergeCell ref="B159:D159"/>
    <mergeCell ref="B9:D9"/>
    <mergeCell ref="B10:D10"/>
    <mergeCell ref="B11:D11"/>
    <mergeCell ref="B12:D12"/>
    <mergeCell ref="B13:D13"/>
    <mergeCell ref="B14:D14"/>
    <mergeCell ref="B50:D50"/>
    <mergeCell ref="B46:D46"/>
    <mergeCell ref="B47:D47"/>
    <mergeCell ref="B48:D48"/>
    <mergeCell ref="B49:D49"/>
    <mergeCell ref="B41:D41"/>
    <mergeCell ref="B26:D26"/>
    <mergeCell ref="B31:D31"/>
    <mergeCell ref="B34:D34"/>
    <mergeCell ref="B35:D35"/>
    <mergeCell ref="B15:D15"/>
    <mergeCell ref="B16:D16"/>
    <mergeCell ref="B17:D17"/>
    <mergeCell ref="B18:D18"/>
    <mergeCell ref="B19:D19"/>
    <mergeCell ref="B20:D20"/>
    <mergeCell ref="B21:D21"/>
    <mergeCell ref="B22:D22"/>
    <mergeCell ref="B24:D24"/>
    <mergeCell ref="O8:P8"/>
    <mergeCell ref="O9:P9"/>
    <mergeCell ref="O10:P10"/>
    <mergeCell ref="O11:P11"/>
    <mergeCell ref="O12:P12"/>
    <mergeCell ref="O13:P13"/>
    <mergeCell ref="O14:P14"/>
    <mergeCell ref="O15:P15"/>
    <mergeCell ref="O16:P16"/>
    <mergeCell ref="O17:P17"/>
    <mergeCell ref="O18:P18"/>
    <mergeCell ref="O19:P19"/>
    <mergeCell ref="O20:P20"/>
    <mergeCell ref="O21:P21"/>
    <mergeCell ref="O22:P22"/>
    <mergeCell ref="O23:P23"/>
    <mergeCell ref="O24:P24"/>
    <mergeCell ref="G9:J9"/>
    <mergeCell ref="O37:P37"/>
    <mergeCell ref="O38:P38"/>
    <mergeCell ref="O39:P39"/>
    <mergeCell ref="O40:P40"/>
    <mergeCell ref="O41:P41"/>
    <mergeCell ref="O42:P42"/>
    <mergeCell ref="O43:P43"/>
    <mergeCell ref="O44:P44"/>
    <mergeCell ref="O45:P45"/>
    <mergeCell ref="O46:P46"/>
    <mergeCell ref="O47:P47"/>
    <mergeCell ref="O48:P48"/>
    <mergeCell ref="O49:P49"/>
    <mergeCell ref="O50:P50"/>
    <mergeCell ref="O51:P51"/>
    <mergeCell ref="O52:P52"/>
    <mergeCell ref="O53:P53"/>
    <mergeCell ref="O54:P54"/>
    <mergeCell ref="O55:P55"/>
    <mergeCell ref="O56:P56"/>
    <mergeCell ref="O57:P57"/>
    <mergeCell ref="O58:P58"/>
    <mergeCell ref="O59:P59"/>
    <mergeCell ref="O60:P60"/>
    <mergeCell ref="O61:P61"/>
    <mergeCell ref="O62:P62"/>
    <mergeCell ref="O63:P63"/>
    <mergeCell ref="O64:P64"/>
    <mergeCell ref="O65:P65"/>
    <mergeCell ref="O66:P66"/>
    <mergeCell ref="O67:P67"/>
    <mergeCell ref="O68:P68"/>
    <mergeCell ref="O69:P69"/>
    <mergeCell ref="O70:P70"/>
    <mergeCell ref="O71:P71"/>
    <mergeCell ref="O72:P72"/>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89:P89"/>
    <mergeCell ref="O90:P90"/>
    <mergeCell ref="O91:P91"/>
    <mergeCell ref="O92:P92"/>
    <mergeCell ref="O93:P93"/>
    <mergeCell ref="O94:P94"/>
    <mergeCell ref="O95:P95"/>
    <mergeCell ref="O96:P96"/>
    <mergeCell ref="O97:P97"/>
    <mergeCell ref="O98:P98"/>
    <mergeCell ref="O99:P99"/>
    <mergeCell ref="O100:P100"/>
    <mergeCell ref="O101:P101"/>
    <mergeCell ref="O102:P102"/>
    <mergeCell ref="O103:P103"/>
    <mergeCell ref="O104:P104"/>
    <mergeCell ref="O126:P126"/>
    <mergeCell ref="O127:P127"/>
    <mergeCell ref="O132:P132"/>
    <mergeCell ref="O133:P133"/>
    <mergeCell ref="O134:P134"/>
    <mergeCell ref="O135:P135"/>
    <mergeCell ref="O136:P136"/>
    <mergeCell ref="O137:P137"/>
    <mergeCell ref="O138:P138"/>
    <mergeCell ref="O139:P139"/>
    <mergeCell ref="O140:P140"/>
    <mergeCell ref="O141:P141"/>
    <mergeCell ref="O142:P142"/>
    <mergeCell ref="O143:P143"/>
    <mergeCell ref="O144:P144"/>
    <mergeCell ref="O128:P128"/>
    <mergeCell ref="O129:P129"/>
    <mergeCell ref="O130:P130"/>
    <mergeCell ref="O131:P131"/>
    <mergeCell ref="O145:P145"/>
    <mergeCell ref="O146:P146"/>
    <mergeCell ref="O147:P147"/>
    <mergeCell ref="O148:P148"/>
    <mergeCell ref="O149:P149"/>
    <mergeCell ref="O150:P150"/>
    <mergeCell ref="O151:P151"/>
    <mergeCell ref="O152:P152"/>
    <mergeCell ref="O153:P153"/>
    <mergeCell ref="O154:P154"/>
    <mergeCell ref="O155:P155"/>
    <mergeCell ref="O156:P156"/>
    <mergeCell ref="O157:P157"/>
    <mergeCell ref="O158:P158"/>
    <mergeCell ref="O163:P163"/>
    <mergeCell ref="O164:P164"/>
    <mergeCell ref="O159:P159"/>
    <mergeCell ref="O160:P160"/>
    <mergeCell ref="O161:P161"/>
    <mergeCell ref="O162:P162"/>
    <mergeCell ref="O197:P197"/>
    <mergeCell ref="O198:P198"/>
    <mergeCell ref="O199:P199"/>
    <mergeCell ref="O200:P200"/>
    <mergeCell ref="O202:P202"/>
    <mergeCell ref="O203:P203"/>
    <mergeCell ref="O219:P219"/>
    <mergeCell ref="O220:P220"/>
    <mergeCell ref="O221:P221"/>
    <mergeCell ref="O222:P222"/>
    <mergeCell ref="O223:P223"/>
    <mergeCell ref="O224:P224"/>
    <mergeCell ref="O225:P225"/>
    <mergeCell ref="O226:P226"/>
    <mergeCell ref="O227:P227"/>
    <mergeCell ref="O228:P228"/>
    <mergeCell ref="O229:P229"/>
    <mergeCell ref="O218:P218"/>
    <mergeCell ref="J1:K1"/>
    <mergeCell ref="O395:P395"/>
    <mergeCell ref="O396:P396"/>
    <mergeCell ref="O397:P397"/>
    <mergeCell ref="O398:P398"/>
    <mergeCell ref="O399:P399"/>
    <mergeCell ref="O400:P400"/>
    <mergeCell ref="O401:P401"/>
    <mergeCell ref="O286:P286"/>
    <mergeCell ref="O287:P287"/>
    <mergeCell ref="O288:P288"/>
    <mergeCell ref="O289:P289"/>
    <mergeCell ref="O290:P290"/>
    <mergeCell ref="O291:P291"/>
    <mergeCell ref="O292:P292"/>
    <mergeCell ref="O293:P293"/>
    <mergeCell ref="O294:P294"/>
    <mergeCell ref="O295:P295"/>
    <mergeCell ref="O296:P296"/>
    <mergeCell ref="O297:P297"/>
    <mergeCell ref="O298:P298"/>
    <mergeCell ref="O299:P299"/>
    <mergeCell ref="O300:P300"/>
    <mergeCell ref="O253:P253"/>
    <mergeCell ref="O254:P254"/>
    <mergeCell ref="O264:P264"/>
    <mergeCell ref="O265:P265"/>
    <mergeCell ref="O266:P266"/>
    <mergeCell ref="O267:P267"/>
    <mergeCell ref="O268:P268"/>
    <mergeCell ref="O269:P269"/>
    <mergeCell ref="O270:P270"/>
    <mergeCell ref="O404:P404"/>
    <mergeCell ref="O405:P405"/>
    <mergeCell ref="O406:P406"/>
    <mergeCell ref="O318:P318"/>
    <mergeCell ref="O319:P319"/>
    <mergeCell ref="O320:P320"/>
    <mergeCell ref="O321:P321"/>
    <mergeCell ref="O322:P322"/>
    <mergeCell ref="O332:P332"/>
    <mergeCell ref="O333:P333"/>
    <mergeCell ref="O334:P334"/>
    <mergeCell ref="O393:P393"/>
    <mergeCell ref="O394:P394"/>
    <mergeCell ref="O358:P358"/>
    <mergeCell ref="O359:P359"/>
    <mergeCell ref="O360:P360"/>
    <mergeCell ref="O361:P361"/>
    <mergeCell ref="O362:P362"/>
    <mergeCell ref="O363:P363"/>
    <mergeCell ref="O364:P364"/>
    <mergeCell ref="O365:P365"/>
    <mergeCell ref="O366:P366"/>
    <mergeCell ref="O346:P346"/>
    <mergeCell ref="O347:P347"/>
    <mergeCell ref="O348:P348"/>
    <mergeCell ref="O325:P325"/>
    <mergeCell ref="O326:P326"/>
    <mergeCell ref="O327:P327"/>
    <mergeCell ref="O328:P328"/>
    <mergeCell ref="O329:P329"/>
    <mergeCell ref="O407:P407"/>
    <mergeCell ref="O408:P408"/>
    <mergeCell ref="Q411:Q412"/>
    <mergeCell ref="O1:P1"/>
    <mergeCell ref="O378:P378"/>
    <mergeCell ref="O379:P379"/>
    <mergeCell ref="O380:P380"/>
    <mergeCell ref="O381:P381"/>
    <mergeCell ref="O382:P382"/>
    <mergeCell ref="O383:P383"/>
    <mergeCell ref="O384:P384"/>
    <mergeCell ref="O385:P385"/>
    <mergeCell ref="O386:P386"/>
    <mergeCell ref="O387:P387"/>
    <mergeCell ref="O388:P388"/>
    <mergeCell ref="O389:P389"/>
    <mergeCell ref="O390:P390"/>
    <mergeCell ref="O391:P391"/>
    <mergeCell ref="O392:P392"/>
    <mergeCell ref="O337:P337"/>
    <mergeCell ref="O338:P338"/>
    <mergeCell ref="O339:P339"/>
    <mergeCell ref="O340:P340"/>
    <mergeCell ref="O367:P367"/>
    <mergeCell ref="O368:P368"/>
    <mergeCell ref="O369:P369"/>
    <mergeCell ref="O370:P370"/>
    <mergeCell ref="O371:P371"/>
    <mergeCell ref="O372:P372"/>
    <mergeCell ref="O373:P373"/>
    <mergeCell ref="O374:P374"/>
    <mergeCell ref="O341:P341"/>
  </mergeCells>
  <conditionalFormatting sqref="G412:H412">
    <cfRule type="containsErrors" dxfId="49" priority="44">
      <formula>ISERROR(G412)</formula>
    </cfRule>
  </conditionalFormatting>
  <conditionalFormatting sqref="G3:K3 G5:K5">
    <cfRule type="cellIs" dxfId="48" priority="77" stopIfTrue="1" operator="equal">
      <formula>0</formula>
    </cfRule>
  </conditionalFormatting>
  <conditionalFormatting sqref="G4:K4">
    <cfRule type="cellIs" dxfId="47" priority="75" stopIfTrue="1" operator="equal">
      <formula>0</formula>
    </cfRule>
  </conditionalFormatting>
  <conditionalFormatting sqref="O5 B9:B409 E9:J409 C10:D409 B84:J137 B142:J408">
    <cfRule type="cellIs" dxfId="46" priority="73" stopIfTrue="1" operator="equal">
      <formula>0</formula>
    </cfRule>
  </conditionalFormatting>
  <conditionalFormatting sqref="Q9:Q408">
    <cfRule type="expression" dxfId="45" priority="12">
      <formula>G9=0</formula>
    </cfRule>
  </conditionalFormatting>
  <conditionalFormatting sqref="U9:U408">
    <cfRule type="cellIs" dxfId="44" priority="55" operator="equal">
      <formula>0</formula>
    </cfRule>
  </conditionalFormatting>
  <conditionalFormatting sqref="W9:Y408">
    <cfRule type="expression" dxfId="43" priority="43">
      <formula>AV9=1</formula>
    </cfRule>
  </conditionalFormatting>
  <conditionalFormatting sqref="AG9:AI408">
    <cfRule type="cellIs" dxfId="42" priority="82" stopIfTrue="1" operator="equal">
      <formula>0</formula>
    </cfRule>
  </conditionalFormatting>
  <conditionalFormatting sqref="AG409:AI409">
    <cfRule type="expression" dxfId="41" priority="16">
      <formula>AG409&lt;0.01</formula>
    </cfRule>
  </conditionalFormatting>
  <conditionalFormatting sqref="AG411:AI411">
    <cfRule type="notContainsErrors" dxfId="40" priority="70" stopIfTrue="1">
      <formula>NOT(ISERROR(AG411))</formula>
    </cfRule>
  </conditionalFormatting>
  <conditionalFormatting sqref="AJ9:AJ408">
    <cfRule type="containsErrors" dxfId="39" priority="1" stopIfTrue="1">
      <formula>ISERROR(AJ9)</formula>
    </cfRule>
  </conditionalFormatting>
  <conditionalFormatting sqref="AP9:AP408">
    <cfRule type="containsText" dxfId="38" priority="56" operator="containsText" text="FALSE">
      <formula>NOT(ISERROR(SEARCH("FALSE",AP9)))</formula>
    </cfRule>
  </conditionalFormatting>
  <conditionalFormatting sqref="AP413">
    <cfRule type="containsErrors" dxfId="37" priority="95" stopIfTrue="1">
      <formula>ISERROR(AP413)</formula>
    </cfRule>
  </conditionalFormatting>
  <conditionalFormatting sqref="AP9:AQ408 AN9:AN408 AJ409:AL409 AQ409">
    <cfRule type="containsErrors" dxfId="36" priority="84" stopIfTrue="1">
      <formula>ISERROR(AJ9)</formula>
    </cfRule>
  </conditionalFormatting>
  <conditionalFormatting sqref="AR9:AR408 AQ411:AQ412">
    <cfRule type="containsErrors" dxfId="35" priority="76" stopIfTrue="1">
      <formula>ISERROR(AQ9)</formula>
    </cfRule>
  </conditionalFormatting>
  <conditionalFormatting sqref="BC8">
    <cfRule type="expression" dxfId="34" priority="24">
      <formula>(AS409&gt;0)</formula>
    </cfRule>
  </conditionalFormatting>
  <conditionalFormatting sqref="BC9:BC408">
    <cfRule type="expression" dxfId="33" priority="35">
      <formula>(AS9=1)</formula>
    </cfRule>
  </conditionalFormatting>
  <conditionalFormatting sqref="BC8:BD8">
    <cfRule type="expression" dxfId="32" priority="29">
      <formula>XET409+XEU409&gt;0</formula>
    </cfRule>
  </conditionalFormatting>
  <conditionalFormatting sqref="BC7:BH7">
    <cfRule type="expression" dxfId="31" priority="22">
      <formula>(AS409&gt;0)</formula>
    </cfRule>
    <cfRule type="expression" dxfId="30" priority="37">
      <formula>XET409+XEU409&gt;0</formula>
    </cfRule>
  </conditionalFormatting>
  <conditionalFormatting sqref="BD8">
    <cfRule type="expression" dxfId="29" priority="21">
      <formula>(AS409&gt;0)</formula>
    </cfRule>
  </conditionalFormatting>
  <conditionalFormatting sqref="BD9:BD408">
    <cfRule type="expression" dxfId="28" priority="34">
      <formula>(AS9=1)</formula>
    </cfRule>
  </conditionalFormatting>
  <conditionalFormatting sqref="BE8">
    <cfRule type="expression" dxfId="27" priority="20">
      <formula>(AS409&gt;0)</formula>
    </cfRule>
    <cfRule type="expression" dxfId="26" priority="28">
      <formula>XET409+XEU409</formula>
    </cfRule>
  </conditionalFormatting>
  <conditionalFormatting sqref="BE9:BE408">
    <cfRule type="expression" dxfId="25" priority="33">
      <formula>(AS9=1)</formula>
    </cfRule>
  </conditionalFormatting>
  <conditionalFormatting sqref="BF8">
    <cfRule type="expression" dxfId="24" priority="19">
      <formula>(AS409&gt;0)</formula>
    </cfRule>
  </conditionalFormatting>
  <conditionalFormatting sqref="BF9:BF408">
    <cfRule type="expression" dxfId="23" priority="32">
      <formula>(AS9=1)</formula>
    </cfRule>
  </conditionalFormatting>
  <conditionalFormatting sqref="BG8">
    <cfRule type="expression" dxfId="22" priority="23">
      <formula>(AS409&gt;0)</formula>
    </cfRule>
  </conditionalFormatting>
  <conditionalFormatting sqref="BG9:BG408">
    <cfRule type="expression" dxfId="21" priority="31">
      <formula>(AS9=1)</formula>
    </cfRule>
  </conditionalFormatting>
  <conditionalFormatting sqref="BH8">
    <cfRule type="expression" dxfId="20" priority="18">
      <formula>(AS409&gt;0)</formula>
    </cfRule>
  </conditionalFormatting>
  <conditionalFormatting sqref="BH9:BH408">
    <cfRule type="expression" dxfId="19" priority="30">
      <formula>(AS9=1)</formula>
    </cfRule>
  </conditionalFormatting>
  <dataValidations xWindow="1206" yWindow="249" count="15">
    <dataValidation type="whole" operator="lessThanOrEqual" allowBlank="1" showInputMessage="1" showErrorMessage="1" error="Sensor quantity is higher than fixture quantity." promptTitle="Quantity:" prompt="Input quantity of sensors or photocells." sqref="T9:T408" xr:uid="{00000000-0002-0000-0400-000000000000}">
      <formula1>K9</formula1>
    </dataValidation>
    <dataValidation type="list" allowBlank="1" showInputMessage="1" showErrorMessage="1" sqref="O409:S409" xr:uid="{00000000-0002-0000-0400-000001000000}">
      <formula1>controllist2</formula1>
    </dataValidation>
    <dataValidation operator="lessThanOrEqual" allowBlank="1" showErrorMessage="1" error="Sensor quantity is higher than fixture quantity." promptTitle="Quantity:" prompt="Input quantity of sensors or photocells." sqref="T409" xr:uid="{00000000-0002-0000-0400-000002000000}"/>
    <dataValidation allowBlank="1" showInputMessage="1" showErrorMessage="1" promptTitle="Unit Cost:" prompt="Input unit installed cost." sqref="W9:Y409" xr:uid="{00000000-0002-0000-0400-000003000000}"/>
    <dataValidation allowBlank="1" showInputMessage="1" showErrorMessage="1" promptTitle="Cell Purpose:" prompt="This column pulls up the quantity from the proposed lighting tab.  It makes the data validation work so the user cannot enter a value in quantity controlled column that is higher than the proposed lighting tab." sqref="E8" xr:uid="{00000000-0002-0000-0400-000004000000}"/>
    <dataValidation allowBlank="1" showInputMessage="1" showErrorMessage="1" promptTitle="Location:" prompt="Input location or area of sensor." sqref="B9:B409" xr:uid="{00000000-0002-0000-0400-000005000000}"/>
    <dataValidation allowBlank="1" showInputMessage="1" showErrorMessage="1" promptTitle="Note:" prompt="If custom control, enter percentage of time off.  Example: 35% off enter .35" sqref="Z9:Z409" xr:uid="{00000000-0002-0000-0400-000006000000}"/>
    <dataValidation allowBlank="1" showErrorMessage="1" promptTitle="Cell Purpose:" prompt="This column pulls up the quantity from the proposed lighting tab.  It makes the data validation work so the user cannot enter a value in quantity controlled column that is higher than the proposed lighting tab." sqref="F8" xr:uid="{00000000-0002-0000-0400-000007000000}"/>
    <dataValidation type="whole" operator="lessThanOrEqual" allowBlank="1" showInputMessage="1" showErrorMessage="1" errorTitle="Error:" error="Quantity of fixtures controlled exceeds number on proposed lighting tab.  Please revise." promptTitle="Quantity Controlled:" prompt="Input quantity of fixtures controlled." sqref="K9:K409" xr:uid="{00000000-0002-0000-0400-000008000000}">
      <formula1>E9</formula1>
    </dataValidation>
    <dataValidation type="whole" operator="lessThanOrEqual" allowBlank="1" showInputMessage="1" showErrorMessage="1" errorTitle="Error:" error="Quantity of fixtures controlled exceeds number on proposed lighting tab.  Please revise." promptTitle="Quantity Controlled:" prompt="Input quantity of fixtures controlled." sqref="L9:L409" xr:uid="{00000000-0002-0000-0400-000009000000}">
      <formula1>H9</formula1>
    </dataValidation>
    <dataValidation type="list" allowBlank="1" showInputMessage="1" showErrorMessage="1" sqref="S9:S47 S49:S408 S48" xr:uid="{00000000-0002-0000-0400-00000A000000}">
      <formula1>fixttypelist</formula1>
    </dataValidation>
    <dataValidation type="textLength" operator="lessThanOrEqual" allowBlank="1" showInputMessage="1" showErrorMessage="1" sqref="R9:R408" xr:uid="{00000000-0002-0000-0400-00000B000000}">
      <formula1>101</formula1>
    </dataValidation>
    <dataValidation type="list" allowBlank="1" showInputMessage="1" showErrorMessage="1" sqref="Q9:Q408" xr:uid="{00000000-0002-0000-0400-00000C000000}">
      <formula1>controllist3</formula1>
    </dataValidation>
    <dataValidation allowBlank="1" showInputMessage="1" showErrorMessage="1" promptTitle="Input Watts:" prompt="Input watts of fixtures controlled." sqref="M409:N409 O9:O408" xr:uid="{00000000-0002-0000-0400-00000D000000}"/>
    <dataValidation type="list" allowBlank="1" showInputMessage="1" showErrorMessage="1" sqref="BC9:BH408" xr:uid="{00000000-0002-0000-0400-00000E000000}">
      <formula1>Yesnolist</formula1>
    </dataValidation>
  </dataValidations>
  <printOptions horizontalCentered="1"/>
  <pageMargins left="0.2" right="0.2" top="0.5" bottom="0.4" header="0.3" footer="0.3"/>
  <pageSetup scale="44"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B144"/>
  <sheetViews>
    <sheetView showGridLines="0" workbookViewId="0"/>
  </sheetViews>
  <sheetFormatPr defaultRowHeight="15"/>
  <cols>
    <col min="1" max="1" width="6" customWidth="1"/>
    <col min="2" max="2" width="5.5703125" customWidth="1"/>
    <col min="3" max="3" width="6.5703125" customWidth="1"/>
    <col min="4" max="4" width="5.28515625" customWidth="1"/>
    <col min="5" max="5" width="4.7109375" customWidth="1"/>
    <col min="6" max="6" width="2" customWidth="1"/>
    <col min="7" max="7" width="5.28515625" customWidth="1"/>
    <col min="8" max="8" width="3.42578125" customWidth="1"/>
    <col min="9" max="9" width="4.7109375" customWidth="1"/>
    <col min="10" max="10" width="5.5703125" customWidth="1"/>
    <col min="11" max="11" width="4.7109375" customWidth="1"/>
    <col min="12" max="12" width="3" customWidth="1"/>
    <col min="13" max="13" width="4.7109375" customWidth="1"/>
    <col min="14" max="14" width="5.42578125" customWidth="1"/>
    <col min="15" max="15" width="3.7109375" customWidth="1"/>
    <col min="16" max="16" width="3.5703125" customWidth="1"/>
    <col min="17" max="17" width="3.7109375" customWidth="1"/>
    <col min="18" max="18" width="3" customWidth="1"/>
    <col min="19" max="27" width="4.28515625" customWidth="1"/>
    <col min="28" max="28" width="6.28515625" customWidth="1"/>
    <col min="29" max="52" width="3.7109375" customWidth="1"/>
  </cols>
  <sheetData>
    <row r="1" spans="1:43" ht="23.25">
      <c r="A1" s="47" t="s">
        <v>306</v>
      </c>
    </row>
    <row r="2" spans="1:43" ht="35.25" customHeight="1">
      <c r="A2" s="152" t="s">
        <v>268</v>
      </c>
      <c r="R2" s="5"/>
      <c r="S2" s="5"/>
      <c r="T2" s="5"/>
      <c r="U2" s="179" t="s">
        <v>317</v>
      </c>
      <c r="Y2" s="5"/>
      <c r="Z2" s="5"/>
      <c r="AA2" s="5"/>
      <c r="AB2" s="5"/>
      <c r="AF2" s="1878"/>
      <c r="AG2" s="1878"/>
      <c r="AH2" s="1878"/>
      <c r="AI2" s="1878"/>
      <c r="AJ2" s="1878"/>
      <c r="AK2" s="1878"/>
      <c r="AL2" s="1878"/>
      <c r="AM2" s="1878"/>
      <c r="AN2" s="1878"/>
      <c r="AO2" s="1878"/>
      <c r="AP2" s="1878"/>
      <c r="AQ2" s="1878"/>
    </row>
    <row r="3" spans="1:43" ht="15.75" customHeight="1">
      <c r="A3" s="153" t="s">
        <v>0</v>
      </c>
      <c r="S3" s="191" t="s">
        <v>182</v>
      </c>
      <c r="U3" s="1874">
        <f>'Data Entry'!F67</f>
        <v>0</v>
      </c>
      <c r="V3" s="1875"/>
      <c r="W3" s="1875"/>
      <c r="X3" s="1875"/>
      <c r="Y3" s="1875"/>
      <c r="Z3" s="1875"/>
      <c r="AA3" s="1875"/>
      <c r="AB3" s="1876"/>
      <c r="AF3" s="1877"/>
      <c r="AG3" s="1877"/>
      <c r="AH3" s="1877"/>
      <c r="AI3" s="1877"/>
      <c r="AJ3" s="1846"/>
      <c r="AK3" s="1846"/>
      <c r="AL3" s="1846"/>
      <c r="AM3" s="1846"/>
      <c r="AN3" s="1846"/>
      <c r="AO3" s="1846"/>
      <c r="AP3" s="1846"/>
      <c r="AQ3" s="1846"/>
    </row>
    <row r="4" spans="1:43">
      <c r="S4" s="191" t="s">
        <v>331</v>
      </c>
      <c r="T4" s="169"/>
      <c r="U4" s="1853">
        <f>'Data Entry'!F66</f>
        <v>0</v>
      </c>
      <c r="V4" s="1854"/>
      <c r="W4" s="1854"/>
      <c r="X4" s="1854"/>
      <c r="Y4" s="1854"/>
      <c r="Z4" s="1854"/>
      <c r="AA4" s="1854"/>
      <c r="AB4" s="1855"/>
      <c r="AF4" s="1877"/>
      <c r="AG4" s="1877"/>
      <c r="AH4" s="1877"/>
      <c r="AI4" s="1877"/>
      <c r="AJ4" s="1846"/>
      <c r="AK4" s="1846"/>
      <c r="AL4" s="1846"/>
      <c r="AM4" s="1846"/>
      <c r="AN4" s="1846"/>
      <c r="AO4" s="1846"/>
      <c r="AP4" s="1846"/>
      <c r="AQ4" s="1846"/>
    </row>
    <row r="5" spans="1:43">
      <c r="S5" s="191" t="s">
        <v>241</v>
      </c>
      <c r="T5" s="169"/>
      <c r="U5" s="1853">
        <f>'Data Entry'!F68</f>
        <v>0</v>
      </c>
      <c r="V5" s="1854"/>
      <c r="W5" s="1855"/>
      <c r="X5" s="192" t="s">
        <v>277</v>
      </c>
      <c r="Y5" s="170"/>
      <c r="Z5" s="1853">
        <f>'Data Entry'!F69</f>
        <v>0</v>
      </c>
      <c r="AA5" s="1854"/>
      <c r="AB5" s="1855"/>
      <c r="AF5" s="1877"/>
      <c r="AG5" s="1877"/>
      <c r="AH5" s="1877"/>
      <c r="AI5" s="1877"/>
      <c r="AJ5" s="1846"/>
      <c r="AK5" s="1846"/>
      <c r="AL5" s="1846"/>
      <c r="AM5" s="1846"/>
      <c r="AN5" s="1846"/>
      <c r="AO5" s="1846"/>
      <c r="AP5" s="1846"/>
      <c r="AQ5" s="1846"/>
    </row>
    <row r="6" spans="1:43">
      <c r="A6" s="4" t="s">
        <v>176</v>
      </c>
      <c r="S6" s="191" t="s">
        <v>274</v>
      </c>
      <c r="T6" s="5"/>
      <c r="U6" s="1868">
        <f>'Data Entry'!F70</f>
        <v>0</v>
      </c>
      <c r="V6" s="1869"/>
      <c r="W6" s="1870"/>
      <c r="X6" s="187" t="s">
        <v>307</v>
      </c>
      <c r="Y6" s="172"/>
      <c r="Z6" s="1879">
        <f>'Data Entry'!F71</f>
        <v>0</v>
      </c>
      <c r="AA6" s="1880"/>
      <c r="AB6" s="1881"/>
      <c r="AF6" s="176"/>
      <c r="AG6" s="176"/>
      <c r="AH6" s="176"/>
      <c r="AI6" s="176"/>
      <c r="AJ6" s="177"/>
      <c r="AK6" s="177"/>
      <c r="AL6" s="177"/>
      <c r="AM6" s="177"/>
      <c r="AN6" s="177"/>
      <c r="AO6" s="177"/>
      <c r="AP6" s="177"/>
      <c r="AQ6" s="177"/>
    </row>
    <row r="7" spans="1:43" ht="16.5" customHeight="1">
      <c r="AF7" s="1877"/>
      <c r="AG7" s="1877"/>
      <c r="AH7" s="1877"/>
      <c r="AI7" s="1877"/>
      <c r="AJ7" s="1846"/>
      <c r="AK7" s="1846"/>
      <c r="AL7" s="1846"/>
      <c r="AM7" s="1846"/>
      <c r="AN7" s="1846"/>
      <c r="AO7" s="1846"/>
      <c r="AP7" s="1846"/>
      <c r="AQ7" s="1846"/>
    </row>
    <row r="8" spans="1:43" ht="13.15" customHeight="1">
      <c r="A8" s="52" t="s">
        <v>1163</v>
      </c>
      <c r="B8" s="104"/>
      <c r="C8" s="104"/>
      <c r="D8" s="104"/>
      <c r="E8" s="104"/>
      <c r="F8" s="104"/>
      <c r="G8" s="104"/>
      <c r="H8" s="104"/>
      <c r="I8" s="104"/>
      <c r="J8" s="104"/>
      <c r="K8" s="104"/>
      <c r="L8" s="104"/>
      <c r="M8" s="104"/>
      <c r="N8" s="105"/>
      <c r="O8" s="52" t="s">
        <v>177</v>
      </c>
      <c r="P8" s="104"/>
      <c r="Q8" s="104"/>
      <c r="R8" s="104"/>
      <c r="S8" s="104"/>
      <c r="T8" s="104"/>
      <c r="U8" s="104"/>
      <c r="V8" s="104"/>
      <c r="W8" s="105"/>
      <c r="X8" s="52" t="s">
        <v>308</v>
      </c>
      <c r="Y8" s="104"/>
      <c r="Z8" s="104"/>
      <c r="AA8" s="104"/>
      <c r="AB8" s="105"/>
      <c r="AF8" s="1877"/>
      <c r="AG8" s="1877"/>
      <c r="AH8" s="1877"/>
      <c r="AI8" s="1877"/>
      <c r="AJ8" s="1846"/>
      <c r="AK8" s="1846"/>
      <c r="AL8" s="1846"/>
      <c r="AM8" s="1846"/>
      <c r="AN8" s="1846"/>
      <c r="AO8" s="1846"/>
      <c r="AP8" s="1846"/>
      <c r="AQ8" s="1846"/>
    </row>
    <row r="9" spans="1:43">
      <c r="A9" s="1862">
        <f>'Data Entry'!B19</f>
        <v>0</v>
      </c>
      <c r="B9" s="1863"/>
      <c r="C9" s="1863"/>
      <c r="D9" s="1863"/>
      <c r="E9" s="1863"/>
      <c r="F9" s="1863"/>
      <c r="G9" s="1863"/>
      <c r="H9" s="1863"/>
      <c r="I9" s="1863"/>
      <c r="J9" s="1863"/>
      <c r="K9" s="1863"/>
      <c r="L9" s="1863"/>
      <c r="M9" s="1863"/>
      <c r="N9" s="1864"/>
      <c r="O9" s="1862">
        <f>'Data Entry'!U19</f>
        <v>0</v>
      </c>
      <c r="P9" s="1863"/>
      <c r="Q9" s="1863"/>
      <c r="R9" s="1863"/>
      <c r="S9" s="1863"/>
      <c r="T9" s="1863"/>
      <c r="U9" s="1863"/>
      <c r="V9" s="1863"/>
      <c r="W9" s="1864"/>
      <c r="X9" s="1859" t="str">
        <f>IF('Data Entry'!BB3=1,"Account Number",IF('Data Entry'!BB3=2,"Meter Number"))</f>
        <v>Account Number</v>
      </c>
      <c r="Y9" s="1860"/>
      <c r="Z9" s="1860"/>
      <c r="AA9" s="1860"/>
      <c r="AB9" s="1861"/>
    </row>
    <row r="10" spans="1:43" ht="13.15" customHeight="1">
      <c r="A10" s="52" t="s">
        <v>269</v>
      </c>
      <c r="B10" s="104"/>
      <c r="C10" s="104"/>
      <c r="D10" s="104"/>
      <c r="E10" s="104"/>
      <c r="F10" s="104"/>
      <c r="G10" s="104"/>
      <c r="H10" s="104"/>
      <c r="I10" s="104"/>
      <c r="J10" s="104"/>
      <c r="K10" s="104"/>
      <c r="L10" s="104"/>
      <c r="M10" s="104"/>
      <c r="N10" s="105"/>
      <c r="O10" s="52" t="s">
        <v>234</v>
      </c>
      <c r="P10" s="104"/>
      <c r="Q10" s="104"/>
      <c r="R10" s="104"/>
      <c r="S10" s="104"/>
      <c r="T10" s="104"/>
      <c r="U10" s="104"/>
      <c r="V10" s="104"/>
      <c r="W10" s="104"/>
      <c r="X10" s="104"/>
      <c r="Y10" s="104"/>
      <c r="Z10" s="104"/>
      <c r="AA10" s="104"/>
      <c r="AB10" s="105"/>
    </row>
    <row r="11" spans="1:43">
      <c r="A11" s="1862">
        <f>'Data Entry'!B21</f>
        <v>0</v>
      </c>
      <c r="B11" s="1863"/>
      <c r="C11" s="1863"/>
      <c r="D11" s="1863"/>
      <c r="E11" s="1863"/>
      <c r="F11" s="1863"/>
      <c r="G11" s="1863"/>
      <c r="H11" s="1863"/>
      <c r="I11" s="1863"/>
      <c r="J11" s="1863"/>
      <c r="K11" s="1863"/>
      <c r="L11" s="1863"/>
      <c r="M11" s="1863"/>
      <c r="N11" s="1864"/>
      <c r="O11" s="1862" t="str">
        <f>'Data Entry'!U21</f>
        <v>Please select</v>
      </c>
      <c r="P11" s="1863"/>
      <c r="Q11" s="1863"/>
      <c r="R11" s="1863"/>
      <c r="S11" s="1863"/>
      <c r="T11" s="1863"/>
      <c r="U11" s="1863"/>
      <c r="V11" s="1863"/>
      <c r="W11" s="1863"/>
      <c r="X11" s="1863"/>
      <c r="Y11" s="1863"/>
      <c r="Z11" s="1863"/>
      <c r="AA11" s="1863"/>
      <c r="AB11" s="1864"/>
    </row>
    <row r="12" spans="1:43" ht="13.15" customHeight="1">
      <c r="A12" s="52" t="s">
        <v>270</v>
      </c>
      <c r="B12" s="104"/>
      <c r="C12" s="104"/>
      <c r="D12" s="104"/>
      <c r="E12" s="104"/>
      <c r="F12" s="104"/>
      <c r="G12" s="104"/>
      <c r="H12" s="104"/>
      <c r="I12" s="104"/>
      <c r="J12" s="104"/>
      <c r="K12" s="104"/>
      <c r="L12" s="104"/>
      <c r="M12" s="104"/>
      <c r="N12" s="105"/>
      <c r="O12" s="52" t="s">
        <v>55</v>
      </c>
      <c r="P12" s="104"/>
      <c r="Q12" s="104"/>
      <c r="R12" s="104"/>
      <c r="S12" s="104"/>
      <c r="T12" s="104"/>
      <c r="U12" s="105"/>
      <c r="V12" s="52" t="s">
        <v>56</v>
      </c>
      <c r="W12" s="104"/>
      <c r="X12" s="104"/>
      <c r="Y12" s="52" t="s">
        <v>57</v>
      </c>
      <c r="Z12" s="104"/>
      <c r="AA12" s="104"/>
      <c r="AB12" s="105"/>
    </row>
    <row r="13" spans="1:43">
      <c r="A13" s="1862">
        <f>'Data Entry'!B23</f>
        <v>0</v>
      </c>
      <c r="B13" s="1863"/>
      <c r="C13" s="1863"/>
      <c r="D13" s="1863"/>
      <c r="E13" s="1863"/>
      <c r="F13" s="1863"/>
      <c r="G13" s="1863"/>
      <c r="H13" s="1863"/>
      <c r="I13" s="1863"/>
      <c r="J13" s="1863"/>
      <c r="K13" s="1863"/>
      <c r="L13" s="1863"/>
      <c r="M13" s="1863"/>
      <c r="N13" s="1864"/>
      <c r="O13" s="1862">
        <f>'Data Entry'!U23</f>
        <v>0</v>
      </c>
      <c r="P13" s="1863"/>
      <c r="Q13" s="1863"/>
      <c r="R13" s="1863"/>
      <c r="S13" s="1863"/>
      <c r="T13" s="1863"/>
      <c r="U13" s="1864"/>
      <c r="V13" s="1862" t="str">
        <f>UPPER('Data Entry'!AF23)</f>
        <v/>
      </c>
      <c r="W13" s="1863"/>
      <c r="X13" s="1863"/>
      <c r="Y13" s="1856">
        <f>'Data Entry'!AI23</f>
        <v>0</v>
      </c>
      <c r="Z13" s="1857"/>
      <c r="AA13" s="1857"/>
      <c r="AB13" s="1858"/>
    </row>
    <row r="14" spans="1:43" ht="13.15" customHeight="1">
      <c r="A14" s="52" t="s">
        <v>429</v>
      </c>
      <c r="B14" s="104"/>
      <c r="C14" s="104"/>
      <c r="D14" s="104"/>
      <c r="E14" s="104"/>
      <c r="F14" s="104"/>
      <c r="G14" s="104"/>
      <c r="H14" s="104"/>
      <c r="I14" s="104"/>
      <c r="J14" s="104"/>
      <c r="K14" s="104"/>
      <c r="L14" s="104"/>
      <c r="M14" s="104"/>
      <c r="N14" s="105"/>
      <c r="O14" s="52" t="s">
        <v>55</v>
      </c>
      <c r="P14" s="104"/>
      <c r="Q14" s="104"/>
      <c r="R14" s="104"/>
      <c r="S14" s="104"/>
      <c r="T14" s="104"/>
      <c r="U14" s="105"/>
      <c r="V14" s="52" t="s">
        <v>56</v>
      </c>
      <c r="W14" s="104"/>
      <c r="X14" s="104"/>
      <c r="Y14" s="52" t="s">
        <v>57</v>
      </c>
      <c r="Z14" s="104"/>
      <c r="AA14" s="104"/>
      <c r="AB14" s="105"/>
    </row>
    <row r="15" spans="1:43">
      <c r="A15" s="1862">
        <f>'Data Entry'!B25</f>
        <v>0</v>
      </c>
      <c r="B15" s="1863"/>
      <c r="C15" s="1863"/>
      <c r="D15" s="1863"/>
      <c r="E15" s="1863"/>
      <c r="F15" s="1863"/>
      <c r="G15" s="1863"/>
      <c r="H15" s="1863"/>
      <c r="I15" s="1863"/>
      <c r="J15" s="1863"/>
      <c r="K15" s="1863"/>
      <c r="L15" s="1863"/>
      <c r="M15" s="1863"/>
      <c r="N15" s="1864"/>
      <c r="O15" s="1862">
        <f>'Data Entry'!U25</f>
        <v>0</v>
      </c>
      <c r="P15" s="1863"/>
      <c r="Q15" s="1863"/>
      <c r="R15" s="1863"/>
      <c r="S15" s="1863"/>
      <c r="T15" s="1863"/>
      <c r="U15" s="1864"/>
      <c r="V15" s="1862" t="str">
        <f>UPPER('Data Entry'!AF25)</f>
        <v/>
      </c>
      <c r="W15" s="1863"/>
      <c r="X15" s="1863"/>
      <c r="Y15" s="1856">
        <f>'Data Entry'!AI25</f>
        <v>0</v>
      </c>
      <c r="Z15" s="1857"/>
      <c r="AA15" s="1857"/>
      <c r="AB15" s="1858"/>
    </row>
    <row r="16" spans="1:43" ht="13.15" customHeight="1">
      <c r="A16" s="52" t="s">
        <v>58</v>
      </c>
      <c r="B16" s="104"/>
      <c r="C16" s="104"/>
      <c r="D16" s="104"/>
      <c r="E16" s="104"/>
      <c r="F16" s="104"/>
      <c r="G16" s="104"/>
      <c r="H16" s="104"/>
      <c r="I16" s="104"/>
      <c r="J16" s="104"/>
      <c r="K16" s="104"/>
      <c r="L16" s="104"/>
      <c r="M16" s="104"/>
      <c r="N16" s="105"/>
      <c r="O16" s="52" t="s">
        <v>59</v>
      </c>
      <c r="P16" s="104"/>
      <c r="Q16" s="104"/>
      <c r="R16" s="104"/>
      <c r="S16" s="104"/>
      <c r="T16" s="104"/>
      <c r="U16" s="104"/>
      <c r="V16" s="104"/>
      <c r="W16" s="104"/>
      <c r="X16" s="104"/>
      <c r="Y16" s="104"/>
      <c r="Z16" s="104"/>
      <c r="AA16" s="104"/>
      <c r="AB16" s="105"/>
    </row>
    <row r="17" spans="1:28">
      <c r="A17" s="1862">
        <f>'Data Entry'!B27</f>
        <v>0</v>
      </c>
      <c r="B17" s="1863"/>
      <c r="C17" s="1863"/>
      <c r="D17" s="1863"/>
      <c r="E17" s="1863"/>
      <c r="F17" s="1863"/>
      <c r="G17" s="1863"/>
      <c r="H17" s="1863"/>
      <c r="I17" s="1863"/>
      <c r="J17" s="1863"/>
      <c r="K17" s="1863"/>
      <c r="L17" s="1863"/>
      <c r="M17" s="1863"/>
      <c r="N17" s="1864"/>
      <c r="O17" s="1862">
        <f>'Data Entry'!U27</f>
        <v>0</v>
      </c>
      <c r="P17" s="1863"/>
      <c r="Q17" s="1863"/>
      <c r="R17" s="1863"/>
      <c r="S17" s="1863"/>
      <c r="T17" s="1863"/>
      <c r="U17" s="1863"/>
      <c r="V17" s="1863"/>
      <c r="W17" s="1863"/>
      <c r="X17" s="1863"/>
      <c r="Y17" s="1863"/>
      <c r="Z17" s="1863"/>
      <c r="AA17" s="1863"/>
      <c r="AB17" s="1864"/>
    </row>
    <row r="18" spans="1:28" ht="13.15" customHeight="1">
      <c r="A18" s="52" t="s">
        <v>1543</v>
      </c>
      <c r="B18" s="104"/>
      <c r="C18" s="104"/>
      <c r="D18" s="104"/>
      <c r="E18" s="104"/>
      <c r="F18" s="104"/>
      <c r="G18" s="105"/>
      <c r="H18" s="50" t="s">
        <v>1544</v>
      </c>
      <c r="I18" s="3"/>
      <c r="J18" s="104"/>
      <c r="K18" s="104"/>
      <c r="L18" s="104"/>
      <c r="M18" s="104"/>
      <c r="N18" s="105"/>
      <c r="O18" s="52" t="s">
        <v>278</v>
      </c>
      <c r="P18" s="104"/>
      <c r="Q18" s="104"/>
      <c r="R18" s="104"/>
      <c r="S18" s="104"/>
      <c r="T18" s="104"/>
      <c r="U18" s="104"/>
      <c r="V18" s="104"/>
      <c r="W18" s="104"/>
      <c r="X18" s="104"/>
      <c r="Y18" s="104"/>
      <c r="Z18" s="104"/>
      <c r="AA18" s="104"/>
      <c r="AB18" s="105"/>
    </row>
    <row r="19" spans="1:28">
      <c r="A19" s="1871">
        <f>'Data Entry'!B29</f>
        <v>0</v>
      </c>
      <c r="B19" s="1872"/>
      <c r="C19" s="1872"/>
      <c r="D19" s="1872"/>
      <c r="E19" s="1872"/>
      <c r="F19" s="1872"/>
      <c r="G19" s="1873"/>
      <c r="H19" s="1871">
        <f>'Data Entry'!K29</f>
        <v>0</v>
      </c>
      <c r="I19" s="1872"/>
      <c r="J19" s="1872"/>
      <c r="K19" s="1872"/>
      <c r="L19" s="1872"/>
      <c r="M19" s="1872"/>
      <c r="N19" s="1873"/>
      <c r="O19" s="1862">
        <f>'Data Entry'!U29</f>
        <v>0</v>
      </c>
      <c r="P19" s="1863"/>
      <c r="Q19" s="1863"/>
      <c r="R19" s="1863"/>
      <c r="S19" s="1863"/>
      <c r="T19" s="1863"/>
      <c r="U19" s="1863"/>
      <c r="V19" s="1863"/>
      <c r="W19" s="1863"/>
      <c r="X19" s="1863"/>
      <c r="Y19" s="1863"/>
      <c r="Z19" s="1863"/>
      <c r="AA19" s="1863"/>
      <c r="AB19" s="1864"/>
    </row>
    <row r="20" spans="1:28" ht="13.5" customHeight="1">
      <c r="A20" s="5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c r="A21" s="4" t="s">
        <v>1582</v>
      </c>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3.75" customHeight="1">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3.15" customHeight="1">
      <c r="A23" s="52" t="s">
        <v>60</v>
      </c>
      <c r="B23" s="104"/>
      <c r="C23" s="104"/>
      <c r="D23" s="104"/>
      <c r="E23" s="104"/>
      <c r="F23" s="104"/>
      <c r="G23" s="104"/>
      <c r="H23" s="104"/>
      <c r="I23" s="104"/>
      <c r="J23" s="104"/>
      <c r="K23" s="104"/>
      <c r="L23" s="104"/>
      <c r="M23" s="104"/>
      <c r="N23" s="105"/>
      <c r="O23" s="52" t="s">
        <v>421</v>
      </c>
      <c r="P23" s="104"/>
      <c r="Q23" s="104"/>
      <c r="R23" s="104"/>
      <c r="S23" s="104"/>
      <c r="T23" s="104"/>
      <c r="U23" s="104"/>
      <c r="V23" s="104"/>
      <c r="W23" s="104"/>
      <c r="X23" s="104"/>
      <c r="Y23" s="104"/>
      <c r="Z23" s="104"/>
      <c r="AA23" s="104"/>
      <c r="AB23" s="105"/>
    </row>
    <row r="24" spans="1:28" ht="15" customHeight="1">
      <c r="A24" s="1862" t="str">
        <f>IF('Data Entry'!B33="","",'Data Entry'!B33)</f>
        <v/>
      </c>
      <c r="B24" s="1863"/>
      <c r="C24" s="1863"/>
      <c r="D24" s="1863"/>
      <c r="E24" s="1863"/>
      <c r="F24" s="1863"/>
      <c r="G24" s="1863"/>
      <c r="H24" s="1863"/>
      <c r="I24" s="1863"/>
      <c r="J24" s="1863"/>
      <c r="K24" s="1863"/>
      <c r="L24" s="1863"/>
      <c r="M24" s="1863"/>
      <c r="N24" s="1864"/>
      <c r="O24" s="1862" t="str">
        <f>IF('Data Entry'!U33="","",'Data Entry'!U33)</f>
        <v/>
      </c>
      <c r="P24" s="1863"/>
      <c r="Q24" s="1863"/>
      <c r="R24" s="1863"/>
      <c r="S24" s="1863"/>
      <c r="T24" s="1863"/>
      <c r="U24" s="1863"/>
      <c r="V24" s="1863"/>
      <c r="W24" s="1863"/>
      <c r="X24" s="1863"/>
      <c r="Y24" s="1863"/>
      <c r="Z24" s="1863"/>
      <c r="AA24" s="1863"/>
      <c r="AB24" s="1864"/>
    </row>
    <row r="25" spans="1:28" ht="13.15" customHeight="1">
      <c r="A25" s="52" t="s">
        <v>61</v>
      </c>
      <c r="B25" s="104"/>
      <c r="C25" s="104"/>
      <c r="D25" s="104"/>
      <c r="E25" s="104"/>
      <c r="F25" s="104"/>
      <c r="G25" s="104"/>
      <c r="H25" s="104"/>
      <c r="I25" s="104"/>
      <c r="J25" s="104"/>
      <c r="K25" s="104"/>
      <c r="L25" s="104"/>
      <c r="M25" s="104"/>
      <c r="N25" s="105"/>
      <c r="O25" s="52" t="s">
        <v>55</v>
      </c>
      <c r="P25" s="104"/>
      <c r="Q25" s="104"/>
      <c r="R25" s="104"/>
      <c r="S25" s="104"/>
      <c r="T25" s="104"/>
      <c r="U25" s="105"/>
      <c r="V25" s="52" t="s">
        <v>56</v>
      </c>
      <c r="W25" s="104"/>
      <c r="X25" s="104"/>
      <c r="Y25" s="52" t="s">
        <v>57</v>
      </c>
      <c r="Z25" s="104"/>
      <c r="AA25" s="104"/>
      <c r="AB25" s="105"/>
    </row>
    <row r="26" spans="1:28" ht="15" customHeight="1">
      <c r="A26" s="1865">
        <f>'Data Entry'!B35</f>
        <v>0</v>
      </c>
      <c r="B26" s="1866"/>
      <c r="C26" s="1866"/>
      <c r="D26" s="1866"/>
      <c r="E26" s="1866"/>
      <c r="F26" s="1866"/>
      <c r="G26" s="1866"/>
      <c r="H26" s="1866"/>
      <c r="I26" s="1866"/>
      <c r="J26" s="1866"/>
      <c r="K26" s="1866"/>
      <c r="L26" s="1866"/>
      <c r="M26" s="1866"/>
      <c r="N26" s="1867"/>
      <c r="O26" s="1865">
        <f>'Data Entry'!U35</f>
        <v>0</v>
      </c>
      <c r="P26" s="1866"/>
      <c r="Q26" s="1866"/>
      <c r="R26" s="1866"/>
      <c r="S26" s="1866"/>
      <c r="T26" s="1866"/>
      <c r="U26" s="1867"/>
      <c r="V26" s="1862" t="str">
        <f>UPPER('Data Entry'!AF35)</f>
        <v/>
      </c>
      <c r="W26" s="1863"/>
      <c r="X26" s="1863"/>
      <c r="Y26" s="1856">
        <f>'Data Entry'!AI35</f>
        <v>0</v>
      </c>
      <c r="Z26" s="1857"/>
      <c r="AA26" s="1857"/>
      <c r="AB26" s="1858"/>
    </row>
    <row r="27" spans="1:28" ht="13.15" customHeight="1">
      <c r="A27" s="52" t="s">
        <v>58</v>
      </c>
      <c r="B27" s="104"/>
      <c r="C27" s="104"/>
      <c r="D27" s="104"/>
      <c r="E27" s="104"/>
      <c r="F27" s="104"/>
      <c r="G27" s="104"/>
      <c r="H27" s="104"/>
      <c r="I27" s="104"/>
      <c r="J27" s="104"/>
      <c r="K27" s="104"/>
      <c r="L27" s="104"/>
      <c r="M27" s="104"/>
      <c r="N27" s="105"/>
      <c r="O27" s="52" t="s">
        <v>59</v>
      </c>
      <c r="P27" s="104"/>
      <c r="Q27" s="104"/>
      <c r="R27" s="104"/>
      <c r="S27" s="104"/>
      <c r="T27" s="104"/>
      <c r="U27" s="104"/>
      <c r="V27" s="104"/>
      <c r="W27" s="104"/>
      <c r="X27" s="104"/>
      <c r="Y27" s="104"/>
      <c r="Z27" s="104"/>
      <c r="AA27" s="104"/>
      <c r="AB27" s="105"/>
    </row>
    <row r="28" spans="1:28">
      <c r="A28" s="1865">
        <f>'Data Entry'!B37</f>
        <v>0</v>
      </c>
      <c r="B28" s="1866"/>
      <c r="C28" s="1866"/>
      <c r="D28" s="1866"/>
      <c r="E28" s="1866"/>
      <c r="F28" s="1866"/>
      <c r="G28" s="1866"/>
      <c r="H28" s="1866"/>
      <c r="I28" s="1866"/>
      <c r="J28" s="1866"/>
      <c r="K28" s="1866"/>
      <c r="L28" s="1866"/>
      <c r="M28" s="1866"/>
      <c r="N28" s="1867"/>
      <c r="O28" s="1865">
        <f>'Data Entry'!U37</f>
        <v>0</v>
      </c>
      <c r="P28" s="1866"/>
      <c r="Q28" s="1866"/>
      <c r="R28" s="1866"/>
      <c r="S28" s="1866"/>
      <c r="T28" s="1866"/>
      <c r="U28" s="1866"/>
      <c r="V28" s="1866"/>
      <c r="W28" s="1866"/>
      <c r="X28" s="1866"/>
      <c r="Y28" s="1866"/>
      <c r="Z28" s="1866"/>
      <c r="AA28" s="1866"/>
      <c r="AB28" s="1867"/>
    </row>
    <row r="29" spans="1:28" ht="13.15" customHeight="1">
      <c r="A29" s="52" t="s">
        <v>1543</v>
      </c>
      <c r="B29" s="104"/>
      <c r="C29" s="104"/>
      <c r="D29" s="104"/>
      <c r="E29" s="104"/>
      <c r="F29" s="104"/>
      <c r="G29" s="105"/>
      <c r="H29" s="50" t="s">
        <v>1544</v>
      </c>
      <c r="I29" s="3"/>
      <c r="J29" s="104"/>
      <c r="K29" s="104"/>
      <c r="L29" s="104"/>
      <c r="M29" s="104"/>
      <c r="N29" s="105"/>
      <c r="O29" s="52" t="s">
        <v>278</v>
      </c>
      <c r="P29" s="104"/>
      <c r="Q29" s="104"/>
      <c r="R29" s="104"/>
      <c r="S29" s="104"/>
      <c r="T29" s="104"/>
      <c r="U29" s="104"/>
      <c r="V29" s="104"/>
      <c r="W29" s="104"/>
      <c r="X29" s="104"/>
      <c r="Y29" s="104"/>
      <c r="Z29" s="104"/>
      <c r="AA29" s="104"/>
      <c r="AB29" s="105"/>
    </row>
    <row r="30" spans="1:28">
      <c r="A30" s="1871">
        <f>'Data Entry'!B39</f>
        <v>0</v>
      </c>
      <c r="B30" s="1872"/>
      <c r="C30" s="1872"/>
      <c r="D30" s="1872"/>
      <c r="E30" s="1872"/>
      <c r="F30" s="1872"/>
      <c r="G30" s="1873"/>
      <c r="H30" s="1871">
        <f>'Data Entry'!K39</f>
        <v>0</v>
      </c>
      <c r="I30" s="1872"/>
      <c r="J30" s="1872"/>
      <c r="K30" s="1872"/>
      <c r="L30" s="1872"/>
      <c r="M30" s="1872"/>
      <c r="N30" s="1873"/>
      <c r="O30" s="1865">
        <f>'Data Entry'!U39</f>
        <v>0</v>
      </c>
      <c r="P30" s="1866"/>
      <c r="Q30" s="1866"/>
      <c r="R30" s="1866"/>
      <c r="S30" s="1866"/>
      <c r="T30" s="1866"/>
      <c r="U30" s="1866"/>
      <c r="V30" s="1866"/>
      <c r="W30" s="1866"/>
      <c r="X30" s="1866"/>
      <c r="Y30" s="1866"/>
      <c r="Z30" s="1866"/>
      <c r="AA30" s="1866"/>
      <c r="AB30" s="1867"/>
    </row>
    <row r="31" spans="1:28" ht="13.15" customHeight="1">
      <c r="A31" s="54"/>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28">
      <c r="A32" s="4" t="s">
        <v>279</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row>
    <row r="33" spans="1:36" ht="3.75" customHeight="1">
      <c r="A33" s="54"/>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row>
    <row r="34" spans="1:36" ht="13.15" customHeight="1">
      <c r="A34" s="52" t="s">
        <v>60</v>
      </c>
      <c r="B34" s="104"/>
      <c r="C34" s="104"/>
      <c r="D34" s="104"/>
      <c r="E34" s="104"/>
      <c r="F34" s="104"/>
      <c r="G34" s="104"/>
      <c r="H34" s="104"/>
      <c r="I34" s="104"/>
      <c r="J34" s="104"/>
      <c r="K34" s="104"/>
      <c r="L34" s="104"/>
      <c r="M34" s="104"/>
      <c r="N34" s="105"/>
      <c r="O34" s="52" t="s">
        <v>58</v>
      </c>
      <c r="P34" s="104"/>
      <c r="Q34" s="104"/>
      <c r="R34" s="104"/>
      <c r="S34" s="104"/>
      <c r="T34" s="104"/>
      <c r="U34" s="104"/>
      <c r="V34" s="104"/>
      <c r="W34" s="104"/>
      <c r="X34" s="104"/>
      <c r="Y34" s="104"/>
      <c r="Z34" s="104"/>
      <c r="AA34" s="104"/>
      <c r="AB34" s="105"/>
    </row>
    <row r="35" spans="1:36">
      <c r="A35" s="1862" t="str">
        <f>IF('Data Entry'!B43="","",'Data Entry'!B43)</f>
        <v/>
      </c>
      <c r="B35" s="1863"/>
      <c r="C35" s="1863"/>
      <c r="D35" s="1863"/>
      <c r="E35" s="1863"/>
      <c r="F35" s="1863"/>
      <c r="G35" s="1863"/>
      <c r="H35" s="1863"/>
      <c r="I35" s="1863"/>
      <c r="J35" s="1863"/>
      <c r="K35" s="1863"/>
      <c r="L35" s="1863"/>
      <c r="M35" s="1863"/>
      <c r="N35" s="1864"/>
      <c r="O35" s="1862" t="str">
        <f>IF('Data Entry'!U43="","",'Data Entry'!U43)</f>
        <v/>
      </c>
      <c r="P35" s="1863"/>
      <c r="Q35" s="1863"/>
      <c r="R35" s="1863"/>
      <c r="S35" s="1863"/>
      <c r="T35" s="1863"/>
      <c r="U35" s="1863"/>
      <c r="V35" s="1863"/>
      <c r="W35" s="1863"/>
      <c r="X35" s="1863"/>
      <c r="Y35" s="1863"/>
      <c r="Z35" s="1863"/>
      <c r="AA35" s="1863"/>
      <c r="AB35" s="1864"/>
    </row>
    <row r="36" spans="1:36" ht="12.75" customHeight="1">
      <c r="A36" s="52" t="s">
        <v>61</v>
      </c>
      <c r="B36" s="104"/>
      <c r="C36" s="104"/>
      <c r="D36" s="104"/>
      <c r="E36" s="104"/>
      <c r="F36" s="104"/>
      <c r="G36" s="104"/>
      <c r="H36" s="104"/>
      <c r="I36" s="104"/>
      <c r="J36" s="104"/>
      <c r="K36" s="104"/>
      <c r="L36" s="104"/>
      <c r="M36" s="104"/>
      <c r="N36" s="105"/>
      <c r="O36" s="50" t="s">
        <v>55</v>
      </c>
      <c r="P36" s="104"/>
      <c r="Q36" s="104"/>
      <c r="R36" s="104"/>
      <c r="S36" s="104"/>
      <c r="T36" s="104"/>
      <c r="U36" s="105"/>
      <c r="V36" s="50" t="s">
        <v>56</v>
      </c>
      <c r="W36" s="104"/>
      <c r="X36" s="104"/>
      <c r="Y36" s="52" t="s">
        <v>57</v>
      </c>
      <c r="Z36" s="104"/>
      <c r="AA36" s="104"/>
      <c r="AB36" s="105"/>
    </row>
    <row r="37" spans="1:36">
      <c r="A37" s="1865">
        <f>'Data Entry'!B45</f>
        <v>0</v>
      </c>
      <c r="B37" s="1866"/>
      <c r="C37" s="1866"/>
      <c r="D37" s="1866"/>
      <c r="E37" s="1866"/>
      <c r="F37" s="1866"/>
      <c r="G37" s="1866"/>
      <c r="H37" s="1866"/>
      <c r="I37" s="1866"/>
      <c r="J37" s="1866"/>
      <c r="K37" s="1866"/>
      <c r="L37" s="1866"/>
      <c r="M37" s="1866"/>
      <c r="N37" s="1867"/>
      <c r="O37" s="1865">
        <f>'Data Entry'!U45</f>
        <v>0</v>
      </c>
      <c r="P37" s="1866"/>
      <c r="Q37" s="1866"/>
      <c r="R37" s="1866"/>
      <c r="S37" s="1866"/>
      <c r="T37" s="1866"/>
      <c r="U37" s="1867"/>
      <c r="V37" s="1862" t="str">
        <f>UPPER('Data Entry'!AF45)</f>
        <v/>
      </c>
      <c r="W37" s="1863"/>
      <c r="X37" s="1863"/>
      <c r="Y37" s="1856">
        <f>'Data Entry'!AI45</f>
        <v>0</v>
      </c>
      <c r="Z37" s="1857"/>
      <c r="AA37" s="1857"/>
      <c r="AB37" s="1858"/>
    </row>
    <row r="38" spans="1:36" ht="13.15" customHeight="1">
      <c r="A38" s="52" t="str">
        <f>'Data Entry'!B46</f>
        <v>Primary Phone Number</v>
      </c>
      <c r="B38" s="50"/>
      <c r="C38" s="50"/>
      <c r="D38" s="50"/>
      <c r="E38" s="50"/>
      <c r="F38" s="50"/>
      <c r="G38" s="106"/>
      <c r="H38" s="52" t="s">
        <v>1544</v>
      </c>
      <c r="I38" s="50"/>
      <c r="J38" s="50"/>
      <c r="K38" s="50"/>
      <c r="L38" s="50"/>
      <c r="M38" s="50"/>
      <c r="N38" s="106"/>
      <c r="O38" s="1850" t="s">
        <v>278</v>
      </c>
      <c r="P38" s="1851"/>
      <c r="Q38" s="1851"/>
      <c r="R38" s="1851"/>
      <c r="S38" s="1851"/>
      <c r="T38" s="1851"/>
      <c r="U38" s="1851"/>
      <c r="V38" s="1851" t="s">
        <v>0</v>
      </c>
      <c r="W38" s="1851"/>
      <c r="X38" s="1851"/>
      <c r="Y38" s="1851" t="s">
        <v>0</v>
      </c>
      <c r="Z38" s="1851"/>
      <c r="AA38" s="1851"/>
      <c r="AB38" s="1852"/>
      <c r="AG38" s="1883" t="s">
        <v>0</v>
      </c>
      <c r="AH38" s="1883"/>
      <c r="AI38" s="1883"/>
      <c r="AJ38" s="1883"/>
    </row>
    <row r="39" spans="1:36" ht="15" customHeight="1">
      <c r="A39" s="1871">
        <f>'Data Entry'!B47</f>
        <v>0</v>
      </c>
      <c r="B39" s="1872"/>
      <c r="C39" s="1872"/>
      <c r="D39" s="1872"/>
      <c r="E39" s="1872"/>
      <c r="F39" s="1872"/>
      <c r="G39" s="1873"/>
      <c r="H39" s="1871">
        <f>'Data Entry'!K47</f>
        <v>0</v>
      </c>
      <c r="I39" s="1872"/>
      <c r="J39" s="1872"/>
      <c r="K39" s="1872"/>
      <c r="L39" s="1872"/>
      <c r="M39" s="1872"/>
      <c r="N39" s="1873"/>
      <c r="O39" s="1865">
        <f>'Data Entry'!U47</f>
        <v>0</v>
      </c>
      <c r="P39" s="1866"/>
      <c r="Q39" s="1866"/>
      <c r="R39" s="1866"/>
      <c r="S39" s="1866"/>
      <c r="T39" s="1866"/>
      <c r="U39" s="1866"/>
      <c r="V39" s="1866"/>
      <c r="W39" s="1866"/>
      <c r="X39" s="1866"/>
      <c r="Y39" s="1866"/>
      <c r="Z39" s="1866"/>
      <c r="AA39" s="1866"/>
      <c r="AB39" s="1867"/>
      <c r="AG39" s="1883"/>
      <c r="AH39" s="1883"/>
      <c r="AI39" s="1883"/>
      <c r="AJ39" s="1883"/>
    </row>
    <row r="40" spans="1:36" ht="12.75" customHeight="1">
      <c r="A40" s="44"/>
      <c r="B40" s="44"/>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G40" s="1882" t="s">
        <v>0</v>
      </c>
      <c r="AH40" s="1882"/>
      <c r="AI40" s="1882"/>
      <c r="AJ40" s="1882"/>
    </row>
    <row r="41" spans="1:36">
      <c r="A41" s="4" t="s">
        <v>1211</v>
      </c>
      <c r="AG41" s="1882"/>
      <c r="AH41" s="1882"/>
      <c r="AI41" s="1882"/>
      <c r="AJ41" s="1882"/>
    </row>
    <row r="42" spans="1:36" ht="3.75" customHeight="1">
      <c r="A42" s="4"/>
      <c r="AG42" s="309"/>
      <c r="AH42" s="309"/>
      <c r="AI42" s="309"/>
      <c r="AJ42" s="309"/>
    </row>
    <row r="43" spans="1:36" ht="12.75" customHeight="1">
      <c r="A43" s="52" t="s">
        <v>60</v>
      </c>
      <c r="B43" s="104"/>
      <c r="C43" s="104"/>
      <c r="D43" s="104"/>
      <c r="E43" s="104"/>
      <c r="F43" s="104"/>
      <c r="G43" s="104"/>
      <c r="H43" s="104"/>
      <c r="I43" s="104"/>
      <c r="J43" s="104"/>
      <c r="K43" s="104"/>
      <c r="L43" s="104"/>
      <c r="M43" s="104"/>
      <c r="N43" s="105"/>
      <c r="O43" s="52" t="s">
        <v>58</v>
      </c>
      <c r="P43" s="104"/>
      <c r="Q43" s="104"/>
      <c r="R43" s="104"/>
      <c r="S43" s="104"/>
      <c r="T43" s="104"/>
      <c r="U43" s="104"/>
      <c r="V43" s="104"/>
      <c r="W43" s="104"/>
      <c r="X43" s="104"/>
      <c r="Y43" s="104"/>
      <c r="Z43" s="104"/>
      <c r="AA43" s="104"/>
      <c r="AB43" s="105"/>
    </row>
    <row r="44" spans="1:36" ht="15" customHeight="1">
      <c r="A44" s="1862" t="str">
        <f>IF('Data Entry'!B51="","",'Data Entry'!B51)</f>
        <v/>
      </c>
      <c r="B44" s="1863"/>
      <c r="C44" s="1863"/>
      <c r="D44" s="1863"/>
      <c r="E44" s="1863"/>
      <c r="F44" s="1863"/>
      <c r="G44" s="1863"/>
      <c r="H44" s="1863"/>
      <c r="I44" s="1863"/>
      <c r="J44" s="1863"/>
      <c r="K44" s="1863"/>
      <c r="L44" s="1863"/>
      <c r="M44" s="1863"/>
      <c r="N44" s="1864"/>
      <c r="O44" s="1862" t="str">
        <f>IF('Data Entry'!U51="","",'Data Entry'!U51)</f>
        <v/>
      </c>
      <c r="P44" s="1863"/>
      <c r="Q44" s="1863"/>
      <c r="R44" s="1863"/>
      <c r="S44" s="1863"/>
      <c r="T44" s="1863"/>
      <c r="U44" s="1863"/>
      <c r="V44" s="1863"/>
      <c r="W44" s="1863"/>
      <c r="X44" s="1863"/>
      <c r="Y44" s="1863"/>
      <c r="Z44" s="1863"/>
      <c r="AA44" s="1863"/>
      <c r="AB44" s="1864"/>
    </row>
    <row r="45" spans="1:36" ht="12.75" customHeight="1">
      <c r="A45" s="52" t="s">
        <v>1543</v>
      </c>
      <c r="B45" s="104"/>
      <c r="C45" s="104"/>
      <c r="D45" s="104"/>
      <c r="E45" s="104"/>
      <c r="F45" s="104"/>
      <c r="G45" s="105"/>
      <c r="H45" s="50" t="s">
        <v>1544</v>
      </c>
      <c r="I45" s="3"/>
      <c r="J45" s="104"/>
      <c r="K45" s="104"/>
      <c r="L45" s="104"/>
      <c r="M45" s="104"/>
      <c r="N45" s="105"/>
      <c r="O45" s="52" t="s">
        <v>278</v>
      </c>
      <c r="P45" s="104"/>
      <c r="Q45" s="104"/>
      <c r="R45" s="104"/>
      <c r="S45" s="104"/>
      <c r="T45" s="104"/>
      <c r="U45" s="104"/>
      <c r="V45" s="104"/>
      <c r="W45" s="104"/>
      <c r="X45" s="104"/>
      <c r="Y45" s="104"/>
      <c r="Z45" s="104"/>
      <c r="AA45" s="104"/>
      <c r="AB45" s="105"/>
    </row>
    <row r="46" spans="1:36" ht="15" customHeight="1">
      <c r="A46" s="1871">
        <f>'Data Entry'!B53</f>
        <v>0</v>
      </c>
      <c r="B46" s="1872"/>
      <c r="C46" s="1872"/>
      <c r="D46" s="1872"/>
      <c r="E46" s="1872"/>
      <c r="F46" s="1872"/>
      <c r="G46" s="1873"/>
      <c r="H46" s="1871">
        <f>'Data Entry'!K53</f>
        <v>0</v>
      </c>
      <c r="I46" s="1872"/>
      <c r="J46" s="1872"/>
      <c r="K46" s="1872"/>
      <c r="L46" s="1872"/>
      <c r="M46" s="1872"/>
      <c r="N46" s="1873"/>
      <c r="O46" s="1865">
        <f>'Data Entry'!U53</f>
        <v>0</v>
      </c>
      <c r="P46" s="1866"/>
      <c r="Q46" s="1866"/>
      <c r="R46" s="1866"/>
      <c r="S46" s="1866"/>
      <c r="T46" s="1866"/>
      <c r="U46" s="1866"/>
      <c r="V46" s="1866"/>
      <c r="W46" s="1866"/>
      <c r="X46" s="1866"/>
      <c r="Y46" s="1866"/>
      <c r="Z46" s="1866"/>
      <c r="AA46" s="1866"/>
      <c r="AB46" s="1867"/>
    </row>
    <row r="47" spans="1:36" ht="30" customHeight="1">
      <c r="A47" s="4" t="s">
        <v>178</v>
      </c>
      <c r="B47" s="313"/>
      <c r="C47" s="313"/>
      <c r="D47" s="313"/>
      <c r="E47" s="313"/>
      <c r="F47" s="626">
        <f>IF('Proposed Lighting'!U3=1,"Project submitted as a Complete Lighting Upgrade",0)</f>
        <v>0</v>
      </c>
      <c r="G47" s="313"/>
      <c r="H47" s="313"/>
      <c r="I47" s="614"/>
      <c r="J47" s="614"/>
      <c r="K47" s="614"/>
      <c r="L47" s="614"/>
      <c r="M47" s="614"/>
      <c r="N47" s="614"/>
      <c r="O47" s="614"/>
      <c r="P47" s="614"/>
      <c r="Q47" s="238"/>
      <c r="R47" s="238"/>
      <c r="S47" s="238"/>
      <c r="T47" s="238"/>
      <c r="U47" s="238"/>
      <c r="V47" s="1897"/>
      <c r="W47" s="1897"/>
      <c r="X47" s="237"/>
      <c r="Y47" s="237"/>
      <c r="Z47" s="237"/>
      <c r="AA47" s="237"/>
      <c r="AB47" s="237"/>
    </row>
    <row r="48" spans="1:36" ht="1.5" customHeight="1">
      <c r="B48" s="165"/>
      <c r="C48" s="165"/>
      <c r="D48" s="165"/>
      <c r="E48" s="165"/>
      <c r="F48" s="165"/>
      <c r="G48" s="165"/>
      <c r="H48" s="165"/>
      <c r="I48" s="165"/>
      <c r="J48" s="165"/>
      <c r="K48" s="165"/>
      <c r="L48" s="165"/>
      <c r="M48" s="165"/>
      <c r="N48" s="165"/>
      <c r="O48" s="165"/>
      <c r="P48" s="165"/>
      <c r="Q48" s="238"/>
      <c r="R48" s="238"/>
      <c r="S48" s="238"/>
      <c r="T48" s="238"/>
      <c r="U48" s="238"/>
      <c r="V48" s="246"/>
      <c r="W48" s="246"/>
      <c r="X48" s="237"/>
      <c r="Y48" s="237"/>
      <c r="Z48" s="237"/>
      <c r="AA48" s="237"/>
      <c r="AB48" s="237"/>
    </row>
    <row r="49" spans="1:54" ht="12.75" customHeight="1">
      <c r="A49" s="1850" t="s">
        <v>310</v>
      </c>
      <c r="B49" s="1851"/>
      <c r="C49" s="1851"/>
      <c r="D49" s="1851"/>
      <c r="E49" s="1851"/>
      <c r="F49" s="1851"/>
      <c r="G49" s="1851"/>
      <c r="H49" s="1852"/>
      <c r="I49" s="1850" t="s">
        <v>311</v>
      </c>
      <c r="J49" s="1851"/>
      <c r="K49" s="1851"/>
      <c r="L49" s="1851"/>
      <c r="M49" s="1851"/>
      <c r="N49" s="1851"/>
      <c r="O49" s="1851"/>
      <c r="P49" s="1851"/>
      <c r="Q49" s="1850" t="s">
        <v>180</v>
      </c>
      <c r="R49" s="1851"/>
      <c r="S49" s="1851"/>
      <c r="T49" s="1851"/>
      <c r="U49" s="1851"/>
      <c r="V49" s="1851"/>
      <c r="W49" s="1851"/>
      <c r="X49" s="1851"/>
      <c r="Y49" s="1851"/>
      <c r="Z49" s="1851"/>
      <c r="AA49" s="1851"/>
      <c r="AB49" s="1852"/>
      <c r="AI49" s="1" t="s">
        <v>0</v>
      </c>
      <c r="AJ49" s="1"/>
      <c r="AK49" s="1"/>
      <c r="AL49" s="1"/>
      <c r="AM49" s="1"/>
      <c r="AN49" s="1"/>
      <c r="AO49" s="1"/>
      <c r="AP49" s="1"/>
      <c r="AQ49" s="1"/>
      <c r="AR49" s="1"/>
      <c r="AS49" s="1"/>
      <c r="AT49" s="1"/>
      <c r="AU49" s="1"/>
      <c r="AV49" s="1"/>
      <c r="AW49" s="1"/>
      <c r="AX49" s="1"/>
      <c r="AY49" s="1"/>
      <c r="AZ49" s="1"/>
      <c r="BA49" s="1"/>
      <c r="BB49" s="1"/>
    </row>
    <row r="50" spans="1:54" ht="15" customHeight="1">
      <c r="A50" s="1887" t="str">
        <f>IF('Data Entry'!Y11="","",'Data Entry'!Y11)</f>
        <v/>
      </c>
      <c r="B50" s="1888"/>
      <c r="C50" s="1888"/>
      <c r="D50" s="1888"/>
      <c r="E50" s="1888"/>
      <c r="F50" s="1888"/>
      <c r="G50" s="1888"/>
      <c r="H50" s="1889"/>
      <c r="I50" s="1887" t="str">
        <f>IF('Data Entry'!AJ11="","",'Data Entry'!AJ11)</f>
        <v/>
      </c>
      <c r="J50" s="1888"/>
      <c r="K50" s="1888"/>
      <c r="L50" s="1888"/>
      <c r="M50" s="1888"/>
      <c r="N50" s="1888"/>
      <c r="O50" s="1888"/>
      <c r="P50" s="1889"/>
      <c r="Q50" s="1890">
        <f>'Proposed Lighting'!DA314</f>
        <v>0</v>
      </c>
      <c r="R50" s="1891"/>
      <c r="S50" s="1891"/>
      <c r="T50" s="1891"/>
      <c r="U50" s="1891"/>
      <c r="V50" s="1891"/>
      <c r="W50" s="1891"/>
      <c r="X50" s="1891"/>
      <c r="Y50" s="1891"/>
      <c r="Z50" s="1891"/>
      <c r="AA50" s="1891"/>
      <c r="AB50" s="1892"/>
      <c r="AI50" s="1"/>
      <c r="AJ50" s="1"/>
      <c r="AK50" s="1"/>
      <c r="AL50" s="1"/>
      <c r="AM50" s="1"/>
      <c r="AN50" s="1"/>
      <c r="AO50" s="1"/>
      <c r="AP50" s="1"/>
      <c r="AQ50" s="1"/>
      <c r="AR50" s="1"/>
      <c r="AS50" s="1"/>
      <c r="AT50" s="1"/>
      <c r="AU50" s="1"/>
      <c r="AV50" s="1"/>
      <c r="AW50" s="1"/>
      <c r="AX50" s="1"/>
      <c r="AY50" s="1"/>
      <c r="AZ50" s="1"/>
      <c r="BA50" s="1"/>
      <c r="BB50" s="1"/>
    </row>
    <row r="51" spans="1:54" ht="12.75" customHeight="1">
      <c r="A51" s="1850" t="s">
        <v>43</v>
      </c>
      <c r="B51" s="1851"/>
      <c r="C51" s="1851"/>
      <c r="D51" s="1851"/>
      <c r="E51" s="1851"/>
      <c r="F51" s="1851"/>
      <c r="G51" s="1851"/>
      <c r="H51" s="1852"/>
      <c r="I51" s="1850" t="s">
        <v>280</v>
      </c>
      <c r="J51" s="1851"/>
      <c r="K51" s="1851"/>
      <c r="L51" s="1851"/>
      <c r="M51" s="1851"/>
      <c r="N51" s="1851"/>
      <c r="O51" s="1851"/>
      <c r="P51" s="1852"/>
      <c r="Q51" s="1850" t="s">
        <v>422</v>
      </c>
      <c r="R51" s="1851"/>
      <c r="S51" s="1851"/>
      <c r="T51" s="1851"/>
      <c r="U51" s="1851"/>
      <c r="V51" s="1851"/>
      <c r="W51" s="1851"/>
      <c r="X51" s="1851"/>
      <c r="Y51" s="1851"/>
      <c r="Z51" s="1851"/>
      <c r="AA51" s="1851"/>
      <c r="AB51" s="1852"/>
      <c r="AF51" t="s">
        <v>0</v>
      </c>
      <c r="AI51" s="1"/>
      <c r="AJ51" s="1"/>
      <c r="AK51" s="1"/>
      <c r="AL51" s="1"/>
      <c r="AM51" s="1"/>
      <c r="AN51" s="1"/>
      <c r="AO51" s="1"/>
      <c r="AP51" s="1"/>
      <c r="AQ51" s="1"/>
      <c r="AR51" s="1"/>
      <c r="AS51" s="1"/>
      <c r="AT51" s="1"/>
      <c r="AU51" s="1"/>
      <c r="AV51" s="1"/>
      <c r="AW51" s="1"/>
      <c r="AX51" s="1"/>
      <c r="AY51" s="1"/>
      <c r="AZ51" s="1"/>
      <c r="BA51" s="1"/>
      <c r="BB51" s="1"/>
    </row>
    <row r="52" spans="1:54" ht="15" customHeight="1">
      <c r="A52" s="1847">
        <f>'Proposed Lighting'!AL321</f>
        <v>0</v>
      </c>
      <c r="B52" s="1848"/>
      <c r="C52" s="1848"/>
      <c r="D52" s="1848"/>
      <c r="E52" s="1848"/>
      <c r="F52" s="1848"/>
      <c r="G52" s="1848"/>
      <c r="H52" s="1849"/>
      <c r="I52" s="1847">
        <f>'Proposed Lighting'!X4</f>
        <v>0</v>
      </c>
      <c r="J52" s="1848"/>
      <c r="K52" s="1848"/>
      <c r="L52" s="1848"/>
      <c r="M52" s="1848"/>
      <c r="N52" s="1848"/>
      <c r="O52" s="1848"/>
      <c r="P52" s="1849"/>
      <c r="Q52" s="1893">
        <f>'Project Summary'!J20</f>
        <v>0</v>
      </c>
      <c r="R52" s="1894"/>
      <c r="S52" s="1894"/>
      <c r="T52" s="1894"/>
      <c r="U52" s="1894"/>
      <c r="V52" s="1894"/>
      <c r="W52" s="1894"/>
      <c r="X52" s="1894"/>
      <c r="Y52" s="1894"/>
      <c r="Z52" s="1894"/>
      <c r="AA52" s="1894"/>
      <c r="AB52" s="1895"/>
      <c r="AI52" s="1"/>
      <c r="AJ52" s="1"/>
      <c r="AK52" s="1"/>
      <c r="AL52" s="1"/>
      <c r="AM52" s="1"/>
      <c r="AN52" s="1"/>
      <c r="AO52" s="1"/>
      <c r="AP52" s="1"/>
      <c r="AQ52" s="1"/>
      <c r="AR52" s="1"/>
      <c r="AS52" s="1"/>
      <c r="AT52" s="1"/>
      <c r="AU52" s="1"/>
      <c r="AV52" s="1"/>
      <c r="AW52" s="1"/>
      <c r="AX52" s="1"/>
      <c r="AY52" s="1"/>
      <c r="AZ52" s="1"/>
      <c r="BA52" s="1"/>
      <c r="BB52" s="1"/>
    </row>
    <row r="53" spans="1:54" ht="24.75" customHeight="1">
      <c r="A53" s="4" t="s">
        <v>430</v>
      </c>
      <c r="H53" s="54"/>
      <c r="AI53" s="1"/>
      <c r="AJ53" s="1"/>
      <c r="AK53" s="1"/>
      <c r="AL53" s="1"/>
      <c r="AM53" s="1"/>
      <c r="AN53" s="1"/>
      <c r="AO53" s="1"/>
      <c r="AP53" s="1"/>
      <c r="AQ53" s="1"/>
      <c r="AR53" s="1"/>
      <c r="AS53" s="1"/>
      <c r="AT53" s="1"/>
      <c r="AU53" s="1"/>
      <c r="AV53" s="1"/>
      <c r="AW53" s="1"/>
      <c r="AX53" s="1"/>
      <c r="AY53" s="1"/>
      <c r="AZ53" s="1"/>
      <c r="BA53" s="1"/>
      <c r="BB53" s="1"/>
    </row>
    <row r="54" spans="1:54" ht="15" customHeight="1">
      <c r="A54" s="3" t="s">
        <v>1448</v>
      </c>
      <c r="AI54" s="1"/>
      <c r="AJ54" s="1"/>
      <c r="AK54" s="1"/>
      <c r="AL54" s="1"/>
      <c r="AM54" s="1"/>
      <c r="AN54" s="1"/>
      <c r="AO54" s="1"/>
      <c r="AP54" s="1"/>
      <c r="AQ54" s="1"/>
      <c r="AR54" s="1"/>
      <c r="AS54" s="1"/>
      <c r="AT54" s="1"/>
      <c r="AU54" s="1"/>
      <c r="AV54" s="1"/>
      <c r="AW54" s="1"/>
      <c r="AX54" s="1"/>
      <c r="AY54" s="1"/>
      <c r="AZ54" s="1"/>
      <c r="BA54" s="1"/>
      <c r="BB54" s="1"/>
    </row>
    <row r="55" spans="1:54" ht="15" customHeight="1">
      <c r="A55" s="803" t="s">
        <v>1234</v>
      </c>
      <c r="AI55" s="1"/>
      <c r="AJ55" s="1"/>
      <c r="AK55" s="1"/>
      <c r="AL55" s="1"/>
      <c r="AM55" s="1"/>
      <c r="AN55" t="s">
        <v>0</v>
      </c>
      <c r="AO55" s="1"/>
      <c r="AP55" s="1"/>
      <c r="AQ55" s="1"/>
      <c r="AR55" s="1"/>
      <c r="AS55" s="1"/>
      <c r="AT55" s="1"/>
      <c r="AU55" s="1"/>
      <c r="AV55" s="1"/>
      <c r="AW55" s="1"/>
      <c r="AX55" s="1"/>
      <c r="AY55" s="1"/>
      <c r="AZ55" s="1"/>
      <c r="BA55" s="1"/>
      <c r="BB55" s="1"/>
    </row>
    <row r="56" spans="1:54" ht="15" customHeight="1">
      <c r="A56" s="968" t="s">
        <v>1270</v>
      </c>
      <c r="B56" s="788"/>
      <c r="C56" s="788"/>
      <c r="D56" s="788"/>
      <c r="G56" s="788"/>
      <c r="I56" s="788"/>
      <c r="J56" s="788"/>
      <c r="K56" s="788"/>
      <c r="L56" s="788"/>
      <c r="M56" s="788"/>
      <c r="N56" s="788"/>
      <c r="O56" s="788"/>
      <c r="P56" s="788"/>
      <c r="Q56" s="788"/>
      <c r="R56" s="962"/>
      <c r="S56" s="961" t="s">
        <v>1449</v>
      </c>
      <c r="T56" s="840"/>
      <c r="U56" s="788"/>
      <c r="V56" s="840"/>
      <c r="W56" s="840"/>
      <c r="X56" s="840"/>
      <c r="Y56" s="840"/>
      <c r="Z56" s="840"/>
      <c r="AA56" s="840"/>
      <c r="AB56" s="840"/>
      <c r="AI56" s="1"/>
      <c r="AJ56" s="1"/>
      <c r="AK56" s="1"/>
      <c r="AL56" s="1"/>
      <c r="AM56" s="1"/>
      <c r="AN56" s="1"/>
      <c r="AO56" s="1"/>
      <c r="AP56" s="1"/>
      <c r="AQ56" s="1"/>
      <c r="AR56" s="1"/>
      <c r="AS56" s="1"/>
      <c r="AT56" s="1"/>
      <c r="AU56" s="1"/>
      <c r="AV56" s="1"/>
      <c r="AW56" s="1"/>
      <c r="AX56" s="1"/>
      <c r="AY56" s="1"/>
      <c r="AZ56" s="1"/>
      <c r="BA56" s="1"/>
      <c r="BB56" s="1"/>
    </row>
    <row r="57" spans="1:54" ht="15" customHeight="1">
      <c r="A57" s="838" t="s">
        <v>1271</v>
      </c>
      <c r="B57" s="840"/>
      <c r="C57" s="840"/>
      <c r="D57" s="840"/>
      <c r="E57" s="840"/>
      <c r="F57" s="840"/>
      <c r="G57" s="840"/>
      <c r="H57" s="840"/>
      <c r="I57" s="840"/>
      <c r="J57" s="840"/>
      <c r="K57" s="840"/>
      <c r="L57" s="840"/>
      <c r="M57" s="840"/>
      <c r="N57" s="840"/>
      <c r="O57" s="840"/>
      <c r="P57" s="840"/>
      <c r="Q57" s="840"/>
      <c r="R57" s="839" t="s">
        <v>1260</v>
      </c>
      <c r="S57" s="838"/>
      <c r="T57" s="838"/>
      <c r="U57" s="838"/>
      <c r="V57" s="838"/>
      <c r="W57" s="838"/>
      <c r="X57" s="838"/>
      <c r="Y57" s="838"/>
      <c r="Z57" s="838"/>
      <c r="AA57" s="838"/>
      <c r="AB57" s="838"/>
      <c r="AI57" s="805" t="s">
        <v>0</v>
      </c>
      <c r="AJ57" s="1"/>
      <c r="AK57" s="1"/>
      <c r="AL57" s="1"/>
      <c r="AM57" s="1"/>
      <c r="AN57" s="1"/>
      <c r="AO57" s="1"/>
      <c r="AP57" s="1"/>
      <c r="AQ57" s="1"/>
      <c r="AR57" s="1"/>
      <c r="AS57" s="1"/>
      <c r="AT57" s="1"/>
      <c r="AU57" s="1"/>
      <c r="AV57" s="1"/>
      <c r="AW57" s="1"/>
      <c r="AX57" s="1"/>
      <c r="AY57" s="1"/>
      <c r="AZ57" s="1"/>
      <c r="BA57" s="1"/>
      <c r="BB57" s="1"/>
    </row>
    <row r="58" spans="1:54" ht="26.25" customHeight="1">
      <c r="A58" s="804" t="s">
        <v>1233</v>
      </c>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I58" s="1"/>
      <c r="AK58" s="1"/>
      <c r="AL58" s="1"/>
      <c r="AM58" s="1"/>
      <c r="AN58" s="1"/>
      <c r="AO58" s="1"/>
      <c r="AP58" s="1"/>
      <c r="AQ58" s="1"/>
      <c r="AR58" s="1"/>
      <c r="AS58" s="1"/>
      <c r="AT58" s="1"/>
      <c r="AU58" s="1"/>
      <c r="AV58" s="1"/>
      <c r="AW58" s="1"/>
      <c r="AX58" s="1"/>
      <c r="AY58" s="1"/>
      <c r="AZ58" s="1"/>
      <c r="BA58" s="1"/>
      <c r="BB58" s="1"/>
    </row>
    <row r="59" spans="1:54" ht="12.75" customHeight="1">
      <c r="A59" s="52" t="s">
        <v>1728</v>
      </c>
      <c r="B59" s="49"/>
      <c r="C59" s="49"/>
      <c r="D59" s="49"/>
      <c r="E59" s="49"/>
      <c r="F59" s="49"/>
      <c r="G59" s="49"/>
      <c r="H59" s="49"/>
      <c r="I59" s="49"/>
      <c r="J59" s="49"/>
      <c r="K59" s="49"/>
      <c r="L59" s="51"/>
      <c r="M59" s="52" t="s">
        <v>1729</v>
      </c>
      <c r="N59" s="49"/>
      <c r="O59" s="49"/>
      <c r="P59" s="49"/>
      <c r="Q59" s="49"/>
      <c r="R59" s="49"/>
      <c r="S59" s="49"/>
      <c r="T59" s="49"/>
      <c r="U59" s="49"/>
      <c r="V59" s="49"/>
      <c r="W59" s="51"/>
      <c r="X59" s="52" t="s">
        <v>179</v>
      </c>
      <c r="Y59" s="49"/>
      <c r="Z59" s="49"/>
      <c r="AA59" s="49"/>
      <c r="AB59" s="51"/>
      <c r="AI59" s="1"/>
      <c r="AJ59" s="1"/>
      <c r="AK59" s="1"/>
      <c r="AL59" s="1"/>
      <c r="AM59" s="1"/>
      <c r="AN59" s="1"/>
      <c r="AO59" s="1"/>
      <c r="AP59" s="1"/>
      <c r="AQ59" s="1"/>
      <c r="AR59" s="1"/>
      <c r="AS59" s="1"/>
      <c r="AT59" s="1"/>
      <c r="AU59" s="1"/>
      <c r="AV59" s="1"/>
      <c r="AW59" s="1"/>
      <c r="AX59" s="1"/>
      <c r="AY59" s="1"/>
      <c r="AZ59" s="1"/>
      <c r="BA59" s="1"/>
      <c r="BB59" s="1"/>
    </row>
    <row r="60" spans="1:54" ht="19.5" customHeight="1">
      <c r="A60" s="1884"/>
      <c r="B60" s="1885"/>
      <c r="C60" s="1885"/>
      <c r="D60" s="1885"/>
      <c r="E60" s="1885"/>
      <c r="F60" s="1885"/>
      <c r="G60" s="1885"/>
      <c r="H60" s="1885"/>
      <c r="I60" s="1885"/>
      <c r="J60" s="1885"/>
      <c r="K60" s="1885"/>
      <c r="L60" s="1886"/>
      <c r="M60" s="1898"/>
      <c r="N60" s="1899"/>
      <c r="O60" s="1899"/>
      <c r="P60" s="1899"/>
      <c r="Q60" s="1899"/>
      <c r="R60" s="1899"/>
      <c r="S60" s="1899"/>
      <c r="T60" s="1899"/>
      <c r="U60" s="1899"/>
      <c r="V60" s="1899"/>
      <c r="W60" s="1900"/>
      <c r="X60" s="1901"/>
      <c r="Y60" s="1902"/>
      <c r="Z60" s="1902"/>
      <c r="AA60" s="1902"/>
      <c r="AB60" s="1903"/>
      <c r="AI60" s="1"/>
      <c r="AJ60" s="1"/>
      <c r="AK60" s="1"/>
      <c r="AL60" s="1"/>
      <c r="AM60" s="1"/>
      <c r="AN60" s="1"/>
      <c r="AO60" s="1"/>
      <c r="AP60" s="1"/>
      <c r="AQ60" s="1"/>
      <c r="AR60" s="1"/>
      <c r="AS60" s="1"/>
      <c r="AT60" s="1"/>
      <c r="AU60" s="1"/>
      <c r="AV60" s="1"/>
      <c r="AW60" s="1"/>
      <c r="AX60" s="1"/>
      <c r="AY60" s="1"/>
      <c r="AZ60" s="1"/>
      <c r="BA60" s="1"/>
      <c r="BB60" s="1"/>
    </row>
    <row r="61" spans="1:54" ht="12.75" customHeight="1">
      <c r="A61" s="1844" t="s">
        <v>449</v>
      </c>
      <c r="B61" s="1844"/>
      <c r="C61" s="1844"/>
      <c r="D61" s="1844"/>
      <c r="E61" s="1844"/>
      <c r="F61" s="1844"/>
      <c r="G61" s="1844"/>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I61" s="1"/>
      <c r="AJ61" s="1"/>
      <c r="AK61" s="1"/>
      <c r="AL61" s="1"/>
      <c r="AM61" s="1"/>
      <c r="AN61" s="1"/>
      <c r="AO61" s="1"/>
      <c r="AP61" s="1"/>
      <c r="AQ61" s="1"/>
      <c r="AR61" s="1"/>
      <c r="AS61" s="1"/>
      <c r="AT61" s="1"/>
      <c r="AU61" s="1"/>
      <c r="AV61" s="1"/>
      <c r="AW61" s="1"/>
      <c r="AX61" s="1"/>
      <c r="AY61" s="1"/>
      <c r="AZ61" s="1"/>
      <c r="BA61" s="1"/>
      <c r="BB61" s="1"/>
    </row>
    <row r="62" spans="1:54" ht="19.5" customHeight="1">
      <c r="A62" s="1845"/>
      <c r="B62" s="1845"/>
      <c r="C62" s="1845"/>
      <c r="D62" s="1845"/>
      <c r="E62" s="1845"/>
      <c r="F62" s="1845"/>
      <c r="G62" s="1845"/>
      <c r="H62" s="1845"/>
      <c r="I62" s="1845"/>
      <c r="J62" s="1845"/>
      <c r="K62" s="1845"/>
      <c r="L62" s="1845"/>
      <c r="M62" s="1845"/>
      <c r="N62" s="1845"/>
      <c r="O62" s="1845"/>
      <c r="P62" s="1845"/>
      <c r="Q62" s="1845"/>
      <c r="R62" s="1845"/>
      <c r="S62" s="1845"/>
      <c r="T62" s="1845"/>
      <c r="U62" s="1845"/>
      <c r="V62" s="1845"/>
      <c r="W62" s="1845"/>
      <c r="X62" s="1845"/>
      <c r="Y62" s="1845"/>
      <c r="Z62" s="1845"/>
      <c r="AA62" s="1845"/>
      <c r="AB62" s="1845"/>
    </row>
    <row r="63" spans="1:54">
      <c r="A63" s="53" t="s">
        <v>1896</v>
      </c>
      <c r="B63" s="90"/>
      <c r="C63" s="90"/>
      <c r="D63" s="90"/>
      <c r="E63" s="90"/>
      <c r="F63" s="90"/>
      <c r="G63" s="90"/>
      <c r="H63" s="90"/>
      <c r="I63" s="90"/>
      <c r="J63" s="90"/>
      <c r="K63" s="90"/>
      <c r="L63" s="90"/>
      <c r="M63" s="90"/>
      <c r="N63" s="90"/>
      <c r="O63" s="90"/>
      <c r="P63" s="90"/>
      <c r="Q63" s="90"/>
      <c r="R63" s="90"/>
      <c r="S63" s="90"/>
      <c r="T63" s="90"/>
      <c r="U63" s="90"/>
      <c r="V63" s="90"/>
      <c r="W63" s="90"/>
      <c r="X63" s="90"/>
      <c r="Y63" s="1904">
        <f ca="1">TODAY()</f>
        <v>45170</v>
      </c>
      <c r="Z63" s="1905"/>
      <c r="AA63" s="1905"/>
      <c r="AB63" s="1905"/>
    </row>
    <row r="64" spans="1:54">
      <c r="A64" s="268"/>
      <c r="B64" s="90"/>
      <c r="C64" s="90"/>
      <c r="D64" s="90"/>
      <c r="E64" s="90"/>
      <c r="F64" s="90"/>
      <c r="G64" s="90"/>
      <c r="H64" s="90"/>
      <c r="I64" s="90"/>
      <c r="J64" s="90"/>
      <c r="K64" s="90"/>
      <c r="L64" s="90"/>
      <c r="M64" s="90"/>
      <c r="N64" s="90"/>
      <c r="O64" s="127"/>
      <c r="P64" s="127"/>
      <c r="Q64" s="127"/>
      <c r="R64" s="127"/>
      <c r="S64" s="127"/>
      <c r="T64" s="127"/>
      <c r="U64" s="127"/>
      <c r="V64" s="127"/>
      <c r="W64" s="127"/>
      <c r="X64" s="127"/>
      <c r="Y64" s="127"/>
      <c r="Z64" s="127"/>
      <c r="AA64" s="127"/>
      <c r="AB64" s="127"/>
      <c r="AC64" s="127"/>
      <c r="AD64" s="127"/>
      <c r="AE64" s="127"/>
      <c r="AF64" s="127"/>
      <c r="AG64" s="127"/>
      <c r="AH64" s="127"/>
    </row>
    <row r="65" spans="1:34" ht="15.75" customHeight="1">
      <c r="A65" s="300"/>
      <c r="B65" s="90"/>
      <c r="C65" s="90"/>
      <c r="D65" s="90"/>
      <c r="E65" s="90"/>
      <c r="F65" s="90"/>
      <c r="G65" s="90"/>
      <c r="H65" s="90"/>
      <c r="I65" s="90"/>
      <c r="J65" s="90"/>
      <c r="K65" s="90"/>
      <c r="L65" s="90"/>
      <c r="M65" s="90"/>
      <c r="N65" s="90"/>
      <c r="O65" s="127"/>
      <c r="P65" s="127"/>
      <c r="Q65" s="127"/>
      <c r="R65" s="127"/>
      <c r="S65" s="127"/>
      <c r="T65" s="127"/>
      <c r="U65" s="127"/>
      <c r="V65" s="127"/>
      <c r="W65" s="127"/>
      <c r="X65" s="127"/>
      <c r="Y65" s="127"/>
      <c r="Z65" s="127"/>
      <c r="AA65" s="127"/>
      <c r="AB65" s="127"/>
      <c r="AC65" s="127"/>
      <c r="AD65" s="127"/>
      <c r="AE65" s="127"/>
      <c r="AF65" s="127"/>
      <c r="AG65" s="127"/>
      <c r="AH65" s="127"/>
    </row>
    <row r="66" spans="1:34" ht="6.75" customHeight="1">
      <c r="O66" s="127"/>
      <c r="P66" s="127"/>
      <c r="Q66" s="127"/>
      <c r="R66" s="127"/>
      <c r="S66" s="127"/>
      <c r="T66" s="127"/>
      <c r="U66" s="127"/>
      <c r="V66" s="127"/>
      <c r="W66" s="127"/>
      <c r="X66" s="127"/>
      <c r="Y66" s="127"/>
      <c r="Z66" s="127"/>
      <c r="AA66" s="127"/>
      <c r="AB66" s="127"/>
      <c r="AC66" s="127"/>
      <c r="AD66" s="127"/>
      <c r="AE66" s="127"/>
      <c r="AF66" s="127"/>
      <c r="AG66" s="127"/>
      <c r="AH66" s="127"/>
    </row>
    <row r="67" spans="1:34" s="270" customFormat="1" ht="12.6" customHeight="1">
      <c r="A67" s="298"/>
      <c r="B67"/>
      <c r="C67"/>
      <c r="D67"/>
      <c r="E67"/>
      <c r="F67"/>
      <c r="G67"/>
      <c r="H67"/>
      <c r="I67"/>
      <c r="J67"/>
      <c r="K67"/>
      <c r="L67"/>
      <c r="M67"/>
      <c r="N67"/>
      <c r="O67" s="271"/>
      <c r="P67" s="127"/>
      <c r="Q67" s="127"/>
      <c r="R67" s="127"/>
      <c r="S67" s="127"/>
      <c r="T67" s="127"/>
      <c r="U67" s="127"/>
      <c r="V67" s="127"/>
      <c r="W67" s="127"/>
      <c r="X67" s="127"/>
      <c r="Y67" s="127"/>
      <c r="Z67" s="127"/>
      <c r="AA67" s="127"/>
      <c r="AB67" s="127"/>
      <c r="AC67" s="127"/>
      <c r="AD67" s="127"/>
      <c r="AE67" s="127"/>
      <c r="AF67" s="127"/>
      <c r="AG67" s="127"/>
      <c r="AH67" s="127"/>
    </row>
    <row r="68" spans="1:34" s="270" customFormat="1" ht="12.6" customHeight="1">
      <c r="A68" s="271"/>
      <c r="B68" s="3"/>
      <c r="C68"/>
      <c r="D68"/>
      <c r="E68"/>
      <c r="F68"/>
      <c r="G68"/>
      <c r="H68" s="497"/>
      <c r="I68"/>
      <c r="J68"/>
      <c r="K68"/>
      <c r="L68"/>
      <c r="M68"/>
      <c r="N68"/>
      <c r="O68" s="271"/>
      <c r="P68" s="127"/>
      <c r="Q68" s="127"/>
      <c r="R68" s="127"/>
      <c r="S68" s="127"/>
      <c r="T68" s="127"/>
      <c r="U68" s="127"/>
      <c r="V68" s="127"/>
      <c r="W68" s="127"/>
      <c r="X68" s="127"/>
      <c r="Y68" s="127"/>
      <c r="Z68" s="127"/>
      <c r="AA68" s="127"/>
      <c r="AB68" s="127"/>
      <c r="AC68" s="127"/>
      <c r="AD68" s="127"/>
      <c r="AE68" s="127"/>
      <c r="AF68" s="127"/>
      <c r="AG68" s="127"/>
      <c r="AH68" s="127"/>
    </row>
    <row r="69" spans="1:34" s="270" customFormat="1" ht="12.6" customHeight="1">
      <c r="A69" s="271"/>
      <c r="B69" s="3"/>
      <c r="C69"/>
      <c r="D69"/>
      <c r="E69"/>
      <c r="F69"/>
      <c r="G69"/>
      <c r="H69"/>
      <c r="I69"/>
      <c r="J69"/>
      <c r="K69"/>
      <c r="L69"/>
      <c r="M69"/>
      <c r="N69"/>
      <c r="O69" s="271"/>
      <c r="P69" s="127"/>
      <c r="Q69" s="127"/>
      <c r="R69" s="127"/>
      <c r="S69" s="127"/>
      <c r="T69" s="127"/>
      <c r="U69" s="127"/>
      <c r="V69" s="127"/>
      <c r="W69" s="127"/>
      <c r="X69" s="127"/>
      <c r="Y69" s="127"/>
      <c r="Z69" s="127"/>
      <c r="AA69" s="127"/>
      <c r="AB69" s="127"/>
      <c r="AC69" s="127"/>
      <c r="AD69" s="127"/>
      <c r="AE69" s="127"/>
      <c r="AF69" s="127"/>
      <c r="AG69" s="127"/>
      <c r="AH69" s="127"/>
    </row>
    <row r="70" spans="1:34" s="270" customFormat="1" ht="12.6" customHeight="1">
      <c r="A70" s="271"/>
      <c r="B70" s="3"/>
      <c r="C70"/>
      <c r="D70"/>
      <c r="E70"/>
      <c r="F70"/>
      <c r="G70"/>
      <c r="H70"/>
      <c r="I70"/>
      <c r="J70"/>
      <c r="K70"/>
      <c r="L70"/>
      <c r="M70"/>
      <c r="N70"/>
      <c r="O70" s="271"/>
      <c r="P70" s="127"/>
      <c r="Q70" s="127"/>
      <c r="R70" s="127"/>
      <c r="S70" s="127"/>
      <c r="T70" s="127"/>
      <c r="U70" s="127"/>
      <c r="V70" s="127"/>
      <c r="W70" s="127"/>
      <c r="X70" s="127"/>
      <c r="Y70" s="127"/>
      <c r="Z70" s="127"/>
      <c r="AA70" s="127"/>
      <c r="AB70" s="127"/>
      <c r="AC70" s="127"/>
      <c r="AD70" s="127"/>
      <c r="AE70" s="127"/>
      <c r="AF70" s="127"/>
      <c r="AG70" s="127"/>
      <c r="AH70" s="127"/>
    </row>
    <row r="71" spans="1:34" s="270" customFormat="1" ht="12.6" customHeight="1">
      <c r="A71" s="271"/>
      <c r="B71" s="3"/>
      <c r="C71"/>
      <c r="D71"/>
      <c r="E71"/>
      <c r="F71"/>
      <c r="G71"/>
      <c r="H71"/>
      <c r="I71"/>
      <c r="J71"/>
      <c r="K71"/>
      <c r="L71"/>
      <c r="M71"/>
      <c r="N71"/>
      <c r="O71" s="271"/>
      <c r="P71" s="127"/>
      <c r="Q71" s="127"/>
      <c r="R71" s="127"/>
      <c r="S71" s="127"/>
      <c r="T71" s="127"/>
      <c r="U71" s="127"/>
      <c r="V71" s="127"/>
      <c r="W71" s="127"/>
      <c r="X71" s="127"/>
      <c r="Y71" s="127"/>
      <c r="Z71" s="127"/>
      <c r="AA71" s="127"/>
      <c r="AB71" s="127"/>
      <c r="AC71" s="127"/>
      <c r="AD71" s="127"/>
      <c r="AE71" s="127"/>
      <c r="AF71" s="127"/>
      <c r="AG71" s="127"/>
      <c r="AH71" s="127"/>
    </row>
    <row r="72" spans="1:34" s="270" customFormat="1" ht="12.6" customHeight="1">
      <c r="A72" s="271"/>
      <c r="B72" s="3"/>
      <c r="C72"/>
      <c r="D72"/>
      <c r="E72"/>
      <c r="F72"/>
      <c r="G72"/>
      <c r="H72"/>
      <c r="I72"/>
      <c r="J72"/>
      <c r="K72"/>
      <c r="L72"/>
      <c r="M72"/>
      <c r="N72"/>
      <c r="P72" s="127"/>
      <c r="Q72" s="127"/>
      <c r="R72" s="127"/>
      <c r="S72" s="127"/>
      <c r="T72" s="127"/>
      <c r="U72" s="127"/>
      <c r="V72" s="127"/>
      <c r="W72" s="127"/>
      <c r="X72" s="127"/>
      <c r="Y72" s="127"/>
      <c r="Z72" s="127"/>
      <c r="AA72" s="127"/>
      <c r="AB72" s="127"/>
      <c r="AC72" s="127"/>
      <c r="AD72" s="127"/>
      <c r="AE72" s="127"/>
      <c r="AF72" s="127"/>
      <c r="AG72" s="127"/>
      <c r="AH72" s="127"/>
    </row>
    <row r="73" spans="1:34" s="270" customFormat="1" ht="12.6" customHeight="1">
      <c r="A73" s="271"/>
      <c r="B73" s="3"/>
      <c r="C73"/>
      <c r="D73"/>
      <c r="E73"/>
      <c r="F73"/>
      <c r="G73"/>
      <c r="H73"/>
      <c r="I73"/>
      <c r="J73"/>
      <c r="K73"/>
      <c r="L73"/>
      <c r="M73"/>
      <c r="N73"/>
      <c r="O73" s="271"/>
      <c r="P73" s="127"/>
      <c r="Q73" s="127"/>
      <c r="R73" s="127"/>
      <c r="S73" s="127"/>
      <c r="T73" s="127"/>
      <c r="U73" s="127"/>
      <c r="V73" s="127"/>
      <c r="W73" s="127"/>
      <c r="X73" s="127"/>
      <c r="Y73" s="127"/>
      <c r="Z73" s="127"/>
      <c r="AA73" s="127"/>
      <c r="AB73" s="127"/>
      <c r="AC73" s="127"/>
      <c r="AD73" s="127"/>
      <c r="AE73" s="127"/>
      <c r="AF73" s="127"/>
      <c r="AG73" s="127"/>
      <c r="AH73" s="127"/>
    </row>
    <row r="74" spans="1:34" s="270" customFormat="1" ht="12.6" customHeight="1">
      <c r="A74" s="271"/>
      <c r="B74" s="3"/>
      <c r="C74"/>
      <c r="D74"/>
      <c r="E74"/>
      <c r="F74"/>
      <c r="G74"/>
      <c r="H74"/>
      <c r="I74"/>
      <c r="J74"/>
      <c r="K74"/>
      <c r="L74"/>
      <c r="M74"/>
      <c r="N74"/>
      <c r="O74" s="271"/>
      <c r="P74" s="127"/>
      <c r="Q74" s="127"/>
      <c r="R74" s="127"/>
      <c r="S74" s="127"/>
      <c r="T74" s="127"/>
      <c r="U74" s="127"/>
      <c r="V74" s="127"/>
      <c r="W74" s="127"/>
      <c r="X74" s="127"/>
      <c r="Y74" s="127"/>
      <c r="Z74" s="127"/>
      <c r="AA74" s="127"/>
      <c r="AB74" s="127"/>
      <c r="AC74" s="127"/>
      <c r="AD74" s="127"/>
      <c r="AE74" s="127"/>
      <c r="AF74" s="127"/>
      <c r="AG74" s="127"/>
      <c r="AH74" s="127"/>
    </row>
    <row r="75" spans="1:34" s="270" customFormat="1" ht="12.6" customHeight="1">
      <c r="A75" s="271"/>
      <c r="B75" s="3"/>
      <c r="C75"/>
      <c r="D75"/>
      <c r="E75"/>
      <c r="F75"/>
      <c r="G75"/>
      <c r="H75"/>
      <c r="I75"/>
      <c r="J75"/>
      <c r="K75"/>
      <c r="L75"/>
      <c r="M75"/>
      <c r="N75"/>
      <c r="O75" s="271"/>
      <c r="P75" s="127"/>
      <c r="Q75" s="127"/>
      <c r="R75" s="127"/>
      <c r="S75" s="127"/>
      <c r="T75" s="127"/>
      <c r="U75" s="127"/>
      <c r="V75" s="127"/>
      <c r="W75" s="127"/>
      <c r="X75" s="127"/>
      <c r="Y75" s="127"/>
      <c r="Z75" s="127"/>
      <c r="AA75" s="127"/>
      <c r="AB75" s="127"/>
      <c r="AC75" s="127"/>
      <c r="AD75" s="127"/>
      <c r="AE75" s="127"/>
      <c r="AF75" s="127"/>
      <c r="AG75" s="127"/>
      <c r="AH75" s="127"/>
    </row>
    <row r="76" spans="1:34" s="270" customFormat="1" ht="12.6" customHeight="1">
      <c r="A76" s="271"/>
      <c r="B76" s="3"/>
      <c r="C76"/>
      <c r="D76"/>
      <c r="E76"/>
      <c r="F76"/>
      <c r="G76"/>
      <c r="H76"/>
      <c r="I76"/>
      <c r="J76"/>
      <c r="K76"/>
      <c r="L76"/>
      <c r="M76"/>
      <c r="N76"/>
      <c r="O76" s="271"/>
      <c r="P76" s="127"/>
      <c r="Q76" s="127"/>
      <c r="R76" s="127"/>
      <c r="S76" s="127"/>
      <c r="T76" s="127"/>
      <c r="U76" s="127"/>
      <c r="V76" s="127"/>
      <c r="W76" s="127"/>
      <c r="X76" s="127"/>
      <c r="Y76" s="127"/>
      <c r="Z76" s="127"/>
      <c r="AA76" s="127"/>
      <c r="AB76" s="127"/>
      <c r="AC76" s="127"/>
      <c r="AD76" s="127"/>
      <c r="AE76" s="127"/>
      <c r="AF76" s="127"/>
      <c r="AG76" s="127"/>
      <c r="AH76" s="127"/>
    </row>
    <row r="77" spans="1:34" s="270" customFormat="1" ht="12.6" customHeight="1">
      <c r="A77" s="3"/>
      <c r="B77" s="3"/>
      <c r="C77"/>
      <c r="D77"/>
      <c r="E77"/>
      <c r="F77"/>
      <c r="G77"/>
      <c r="H77"/>
      <c r="I77"/>
      <c r="J77"/>
      <c r="K77"/>
      <c r="L77"/>
      <c r="M77"/>
      <c r="N77"/>
      <c r="O77" s="271"/>
      <c r="P77" s="127"/>
      <c r="Q77" s="127"/>
      <c r="R77" s="127"/>
      <c r="S77" s="127"/>
      <c r="T77" s="127"/>
      <c r="U77" s="127"/>
      <c r="V77" s="127"/>
      <c r="W77" s="127"/>
      <c r="X77" s="127"/>
      <c r="Y77" s="127"/>
      <c r="Z77" s="127"/>
      <c r="AA77" s="127"/>
      <c r="AB77" s="127"/>
      <c r="AC77" s="127"/>
      <c r="AD77" s="127"/>
      <c r="AE77" s="127"/>
      <c r="AF77" s="127"/>
      <c r="AG77" s="127"/>
      <c r="AH77" s="127"/>
    </row>
    <row r="78" spans="1:34" s="270" customFormat="1" ht="12.6" customHeight="1">
      <c r="A78" s="298"/>
      <c r="B78" s="3"/>
      <c r="C78"/>
      <c r="D78"/>
      <c r="E78"/>
      <c r="F78"/>
      <c r="G78"/>
      <c r="H78"/>
      <c r="I78"/>
      <c r="J78"/>
      <c r="K78"/>
      <c r="L78"/>
      <c r="M78"/>
      <c r="N78"/>
      <c r="O78" s="271"/>
      <c r="P78" s="127"/>
      <c r="Q78" s="127"/>
      <c r="R78" s="127"/>
      <c r="S78" s="127"/>
      <c r="T78" s="127"/>
      <c r="U78" s="127"/>
      <c r="V78" s="127"/>
      <c r="W78" s="127"/>
      <c r="X78" s="127"/>
      <c r="Y78" s="127"/>
      <c r="Z78" s="127"/>
      <c r="AA78" s="127"/>
      <c r="AB78" s="127"/>
      <c r="AC78" s="127"/>
      <c r="AD78" s="127"/>
      <c r="AE78" s="127"/>
      <c r="AF78" s="127"/>
      <c r="AG78" s="127"/>
      <c r="AH78" s="127"/>
    </row>
    <row r="79" spans="1:34" s="270" customFormat="1" ht="12.6" customHeight="1">
      <c r="A79" s="271"/>
      <c r="B79" s="3"/>
      <c r="C79"/>
      <c r="D79"/>
      <c r="E79"/>
      <c r="F79"/>
      <c r="G79"/>
      <c r="H79"/>
      <c r="I79"/>
      <c r="J79"/>
      <c r="K79"/>
      <c r="L79"/>
      <c r="M79"/>
      <c r="N79"/>
      <c r="O79" s="298"/>
      <c r="P79" s="127"/>
      <c r="Q79" s="127"/>
      <c r="R79" s="127"/>
      <c r="S79" s="127"/>
      <c r="T79" s="127"/>
      <c r="U79" s="127"/>
      <c r="V79" s="127"/>
      <c r="W79" s="127"/>
      <c r="X79" s="127"/>
      <c r="Y79" s="127"/>
      <c r="Z79" s="127"/>
      <c r="AA79" s="127"/>
      <c r="AB79" s="127"/>
      <c r="AC79" s="127"/>
      <c r="AD79" s="127"/>
      <c r="AE79" s="127"/>
      <c r="AF79" s="127"/>
      <c r="AG79" s="127"/>
      <c r="AH79" s="127"/>
    </row>
    <row r="80" spans="1:34" s="270" customFormat="1" ht="12.6" customHeight="1">
      <c r="A80" s="271"/>
      <c r="B80" s="3"/>
      <c r="C80"/>
      <c r="D80"/>
      <c r="E80"/>
      <c r="F80"/>
      <c r="G80"/>
      <c r="H80"/>
      <c r="I80"/>
      <c r="J80"/>
      <c r="K80"/>
      <c r="L80"/>
      <c r="M80"/>
      <c r="N80"/>
      <c r="O80" s="271"/>
      <c r="P80" s="127"/>
      <c r="Q80" s="127"/>
      <c r="R80" s="127"/>
      <c r="S80" s="127"/>
      <c r="T80" s="127"/>
      <c r="U80" s="127"/>
      <c r="V80" s="127"/>
      <c r="W80" s="127"/>
      <c r="X80" s="127"/>
      <c r="Y80" s="127"/>
      <c r="Z80" s="127"/>
      <c r="AA80" s="127"/>
      <c r="AB80" s="127"/>
      <c r="AC80" s="127"/>
      <c r="AD80" s="127"/>
      <c r="AE80" s="127"/>
      <c r="AF80" s="127"/>
      <c r="AG80" s="127"/>
      <c r="AH80" s="127"/>
    </row>
    <row r="81" spans="1:34" s="270" customFormat="1" ht="12.6" customHeight="1">
      <c r="A81" s="271"/>
      <c r="B81" s="3"/>
      <c r="C81"/>
      <c r="D81"/>
      <c r="E81"/>
      <c r="F81"/>
      <c r="G81"/>
      <c r="H81"/>
      <c r="I81"/>
      <c r="J81"/>
      <c r="K81"/>
      <c r="L81"/>
      <c r="M81"/>
      <c r="N81"/>
      <c r="O81" s="271"/>
      <c r="P81" s="127"/>
      <c r="Q81" s="127"/>
      <c r="R81" s="127"/>
      <c r="S81" s="127"/>
      <c r="T81" s="127"/>
      <c r="U81" s="127"/>
      <c r="V81" s="127"/>
      <c r="W81" s="127"/>
      <c r="X81" s="127"/>
      <c r="Y81" s="127"/>
      <c r="Z81" s="127"/>
      <c r="AA81" s="127"/>
      <c r="AB81" s="127"/>
      <c r="AC81" s="127"/>
      <c r="AD81" s="127"/>
      <c r="AE81" s="127"/>
      <c r="AF81" s="127"/>
      <c r="AG81" s="127"/>
      <c r="AH81" s="127"/>
    </row>
    <row r="82" spans="1:34" s="270" customFormat="1" ht="12.6" customHeight="1">
      <c r="A82" s="271"/>
      <c r="B82" s="3"/>
      <c r="C82"/>
      <c r="D82"/>
      <c r="E82"/>
      <c r="F82"/>
      <c r="G82"/>
      <c r="H82"/>
      <c r="I82"/>
      <c r="J82"/>
      <c r="K82"/>
      <c r="L82"/>
      <c r="M82"/>
      <c r="N82"/>
      <c r="O82" s="271"/>
      <c r="P82" s="127"/>
      <c r="Q82" s="127"/>
      <c r="R82" s="127"/>
      <c r="S82" s="127"/>
      <c r="T82" s="127"/>
      <c r="U82" s="127"/>
      <c r="V82" s="127"/>
      <c r="W82" s="127"/>
      <c r="X82" s="127"/>
      <c r="Y82" s="127"/>
      <c r="Z82" s="127"/>
      <c r="AA82" s="127"/>
      <c r="AB82" s="127"/>
      <c r="AC82" s="127"/>
      <c r="AD82" s="127"/>
      <c r="AE82" s="127"/>
      <c r="AF82" s="127"/>
      <c r="AG82" s="127"/>
      <c r="AH82" s="127"/>
    </row>
    <row r="83" spans="1:34" s="270" customFormat="1" ht="12.6" customHeight="1">
      <c r="A83" s="271"/>
      <c r="B83" s="3"/>
      <c r="C83"/>
      <c r="D83"/>
      <c r="E83"/>
      <c r="F83"/>
      <c r="G83"/>
      <c r="H83"/>
      <c r="I83"/>
      <c r="J83"/>
      <c r="K83"/>
      <c r="L83"/>
      <c r="M83"/>
      <c r="N83"/>
      <c r="P83" s="127"/>
      <c r="Q83" s="127"/>
      <c r="R83" s="127"/>
      <c r="S83" s="127"/>
      <c r="T83" s="127"/>
      <c r="U83" s="127"/>
      <c r="V83" s="127"/>
      <c r="W83" s="127"/>
      <c r="X83" s="127"/>
      <c r="Y83" s="127"/>
      <c r="Z83" s="127"/>
      <c r="AA83" s="127"/>
      <c r="AB83" s="127"/>
      <c r="AC83" s="127"/>
      <c r="AD83" s="127"/>
      <c r="AE83" s="127"/>
      <c r="AF83" s="127"/>
      <c r="AG83" s="127"/>
      <c r="AH83" s="127"/>
    </row>
    <row r="84" spans="1:34" s="270" customFormat="1" ht="12.6" customHeight="1">
      <c r="A84" s="271"/>
      <c r="B84" s="3"/>
      <c r="C84"/>
      <c r="D84"/>
      <c r="E84"/>
      <c r="F84"/>
      <c r="G84"/>
      <c r="H84"/>
      <c r="I84"/>
      <c r="J84"/>
      <c r="K84"/>
      <c r="L84"/>
      <c r="M84"/>
      <c r="N84"/>
      <c r="O84" s="3"/>
      <c r="P84" s="127"/>
      <c r="Q84" s="127"/>
      <c r="R84" s="127"/>
      <c r="S84" s="127"/>
      <c r="T84" s="127"/>
      <c r="U84" s="127"/>
      <c r="V84" s="127"/>
      <c r="W84" s="127"/>
      <c r="X84" s="127"/>
      <c r="Y84" s="127"/>
      <c r="Z84" s="127"/>
      <c r="AA84" s="127"/>
      <c r="AB84" s="127"/>
      <c r="AC84" s="127"/>
      <c r="AD84" s="127"/>
      <c r="AE84" s="127"/>
      <c r="AF84" s="127"/>
      <c r="AG84" s="127"/>
      <c r="AH84" s="127"/>
    </row>
    <row r="85" spans="1:34" s="270" customFormat="1" ht="12.6" customHeight="1">
      <c r="A85" s="271"/>
      <c r="B85" s="3"/>
      <c r="C85"/>
      <c r="D85"/>
      <c r="E85"/>
      <c r="F85"/>
      <c r="G85"/>
      <c r="H85"/>
      <c r="I85"/>
      <c r="J85"/>
      <c r="K85"/>
      <c r="L85"/>
      <c r="M85"/>
      <c r="N85"/>
      <c r="O85" s="271"/>
      <c r="P85" s="127"/>
      <c r="Q85" s="127"/>
      <c r="R85" s="127"/>
      <c r="S85" s="127"/>
      <c r="T85" s="127"/>
      <c r="U85" s="127"/>
      <c r="V85" s="127"/>
      <c r="W85" s="127"/>
      <c r="X85" s="127"/>
      <c r="Y85" s="127"/>
      <c r="Z85" s="127"/>
      <c r="AA85" s="127"/>
      <c r="AB85" s="127"/>
      <c r="AC85" s="127"/>
      <c r="AD85" s="127"/>
      <c r="AE85" s="127"/>
      <c r="AF85" s="127"/>
      <c r="AG85" s="127"/>
      <c r="AH85" s="127"/>
    </row>
    <row r="86" spans="1:34" s="270" customFormat="1" ht="12.6" customHeight="1">
      <c r="A86" s="271"/>
      <c r="B86" s="53"/>
      <c r="O86" s="271"/>
      <c r="P86" s="127"/>
      <c r="Q86" s="127"/>
      <c r="R86" s="127"/>
      <c r="S86" s="127"/>
      <c r="T86" s="127"/>
      <c r="U86" s="127"/>
      <c r="V86" s="127"/>
      <c r="W86" s="127"/>
      <c r="X86" s="127"/>
      <c r="Y86" s="127"/>
      <c r="Z86" s="127"/>
      <c r="AA86" s="127"/>
      <c r="AB86" s="127"/>
      <c r="AC86" s="127"/>
      <c r="AD86" s="127"/>
      <c r="AE86" s="127"/>
      <c r="AF86" s="127"/>
      <c r="AG86" s="127"/>
      <c r="AH86" s="127"/>
    </row>
    <row r="87" spans="1:34" s="270" customFormat="1" ht="12.6" customHeight="1">
      <c r="A87" s="271"/>
      <c r="B87" s="53"/>
      <c r="O87" s="271"/>
      <c r="P87" s="127"/>
      <c r="Q87" s="127"/>
      <c r="R87" s="127"/>
      <c r="S87" s="127"/>
      <c r="T87" s="127"/>
      <c r="U87" s="127"/>
      <c r="V87" s="127"/>
      <c r="W87" s="127"/>
      <c r="X87" s="127"/>
      <c r="Y87" s="127"/>
      <c r="Z87" s="127"/>
      <c r="AA87" s="127"/>
      <c r="AB87" s="127"/>
      <c r="AC87" s="127"/>
      <c r="AD87" s="127"/>
      <c r="AE87" s="127"/>
      <c r="AF87" s="127"/>
      <c r="AG87" s="127"/>
      <c r="AH87" s="127"/>
    </row>
    <row r="88" spans="1:34" s="270" customFormat="1" ht="12.6" customHeight="1">
      <c r="A88" s="271"/>
      <c r="B88" s="53"/>
      <c r="O88" s="271"/>
      <c r="P88" s="127"/>
      <c r="Q88" s="127"/>
      <c r="R88" s="127"/>
      <c r="S88" s="127"/>
      <c r="T88" s="127"/>
      <c r="U88" s="127"/>
      <c r="V88" s="127"/>
      <c r="W88" s="127"/>
      <c r="X88" s="127"/>
      <c r="Y88" s="127"/>
      <c r="Z88" s="127"/>
      <c r="AA88" s="127"/>
      <c r="AB88" s="127"/>
      <c r="AC88" s="127"/>
      <c r="AD88" s="127"/>
      <c r="AE88" s="127"/>
      <c r="AF88" s="127"/>
      <c r="AG88" s="127"/>
      <c r="AH88" s="127"/>
    </row>
    <row r="89" spans="1:34" s="270" customFormat="1" ht="12.6" customHeight="1">
      <c r="A89" s="271"/>
      <c r="B89" s="53"/>
      <c r="O89" s="271"/>
      <c r="P89" s="127"/>
      <c r="Q89" s="127"/>
      <c r="R89" s="127"/>
      <c r="S89" s="127"/>
      <c r="T89" s="127"/>
      <c r="U89" s="127"/>
      <c r="V89" s="127"/>
      <c r="W89" s="127"/>
      <c r="X89" s="127"/>
      <c r="Y89" s="127"/>
      <c r="Z89" s="127"/>
      <c r="AA89" s="127"/>
      <c r="AB89" s="127"/>
      <c r="AC89" s="127"/>
      <c r="AD89" s="127"/>
      <c r="AE89" s="127"/>
      <c r="AF89" s="127"/>
      <c r="AG89" s="127"/>
      <c r="AH89" s="127"/>
    </row>
    <row r="90" spans="1:34" s="270" customFormat="1" ht="12.6" customHeight="1">
      <c r="A90" s="271"/>
      <c r="B90" s="53"/>
      <c r="P90" s="127"/>
      <c r="Q90" s="127"/>
      <c r="R90" s="127"/>
      <c r="S90" s="127"/>
      <c r="T90" s="127"/>
      <c r="U90" s="127"/>
      <c r="V90" s="127"/>
      <c r="W90" s="127"/>
      <c r="X90" s="127"/>
      <c r="Y90" s="127"/>
      <c r="Z90" s="127"/>
      <c r="AA90" s="127"/>
      <c r="AB90" s="127"/>
      <c r="AC90" s="127"/>
      <c r="AD90" s="127"/>
      <c r="AE90" s="127"/>
      <c r="AF90" s="127"/>
      <c r="AG90" s="127"/>
      <c r="AH90" s="127"/>
    </row>
    <row r="91" spans="1:34" s="270" customFormat="1" ht="12.6" customHeight="1">
      <c r="A91" s="271"/>
      <c r="B91" s="53"/>
      <c r="O91" s="271"/>
      <c r="P91" s="127"/>
      <c r="Q91" s="127"/>
      <c r="R91" s="127"/>
      <c r="S91" s="127"/>
      <c r="T91" s="127"/>
      <c r="U91" s="127"/>
      <c r="V91" s="127"/>
      <c r="W91" s="127"/>
      <c r="X91" s="127"/>
      <c r="Y91" s="127"/>
      <c r="Z91" s="127"/>
      <c r="AA91" s="127"/>
      <c r="AB91" s="127"/>
      <c r="AC91" s="127"/>
      <c r="AD91" s="127"/>
      <c r="AE91" s="127"/>
      <c r="AF91" s="127"/>
      <c r="AG91" s="127"/>
      <c r="AH91" s="127"/>
    </row>
    <row r="92" spans="1:34" s="270" customFormat="1" ht="12.6" customHeight="1">
      <c r="A92" s="271"/>
      <c r="B92" s="53"/>
      <c r="O92" s="271"/>
      <c r="P92" s="127"/>
      <c r="Q92" s="127"/>
      <c r="R92" s="127"/>
      <c r="S92" s="127"/>
      <c r="T92" s="127"/>
      <c r="U92" s="127"/>
      <c r="V92" s="127"/>
      <c r="W92" s="127"/>
      <c r="X92" s="127"/>
      <c r="Y92" s="127"/>
      <c r="Z92" s="127"/>
      <c r="AA92" s="127"/>
      <c r="AB92" s="127"/>
      <c r="AC92" s="127"/>
      <c r="AD92" s="127"/>
      <c r="AE92" s="127"/>
      <c r="AF92" s="127"/>
      <c r="AG92" s="127"/>
      <c r="AH92" s="127"/>
    </row>
    <row r="93" spans="1:34" s="270" customFormat="1" ht="12.6" customHeight="1">
      <c r="A93" s="271"/>
      <c r="B93" s="53"/>
      <c r="O93" s="271"/>
      <c r="P93" s="127"/>
      <c r="Q93" s="127"/>
      <c r="R93" s="127"/>
      <c r="S93" s="127"/>
      <c r="T93" s="127"/>
      <c r="U93" s="127"/>
      <c r="V93" s="127"/>
      <c r="W93" s="127"/>
      <c r="X93" s="127"/>
      <c r="Y93" s="127"/>
      <c r="Z93" s="127"/>
      <c r="AA93" s="127"/>
      <c r="AB93" s="127"/>
      <c r="AC93" s="127"/>
      <c r="AD93" s="127"/>
      <c r="AE93" s="127"/>
      <c r="AF93" s="127"/>
      <c r="AG93" s="127"/>
      <c r="AH93" s="127"/>
    </row>
    <row r="94" spans="1:34" s="270" customFormat="1" ht="12.6" customHeight="1">
      <c r="A94" s="271"/>
      <c r="B94" s="53"/>
      <c r="O94" s="271"/>
      <c r="P94" s="127"/>
      <c r="Q94" s="127"/>
      <c r="R94" s="127"/>
      <c r="S94" s="127"/>
      <c r="T94" s="127"/>
      <c r="U94" s="127"/>
      <c r="V94" s="127"/>
      <c r="W94" s="127"/>
      <c r="X94" s="127"/>
      <c r="Y94" s="127"/>
      <c r="Z94" s="127"/>
      <c r="AA94" s="127"/>
      <c r="AB94" s="127"/>
      <c r="AC94" s="127"/>
      <c r="AD94" s="127"/>
      <c r="AE94" s="127"/>
      <c r="AF94" s="127"/>
      <c r="AG94" s="127"/>
      <c r="AH94" s="127"/>
    </row>
    <row r="95" spans="1:34" s="270" customFormat="1" ht="12.6" customHeight="1">
      <c r="O95" s="271"/>
      <c r="P95" s="127"/>
      <c r="Q95" s="127"/>
      <c r="R95" s="127"/>
      <c r="S95" s="127"/>
      <c r="T95" s="127"/>
      <c r="U95" s="127"/>
      <c r="V95" s="127"/>
      <c r="W95" s="127"/>
      <c r="X95" s="127"/>
      <c r="Y95" s="127"/>
      <c r="Z95" s="127"/>
      <c r="AA95" s="127"/>
      <c r="AB95" s="127"/>
      <c r="AC95" s="127"/>
      <c r="AD95" s="127"/>
      <c r="AE95" s="127"/>
      <c r="AF95" s="127"/>
      <c r="AG95" s="127"/>
      <c r="AH95" s="127"/>
    </row>
    <row r="96" spans="1:34" s="270" customFormat="1" ht="12.6" customHeight="1">
      <c r="A96" s="298"/>
      <c r="O96" s="271"/>
      <c r="P96" s="127"/>
      <c r="Q96" s="127"/>
      <c r="R96" s="127"/>
      <c r="S96" s="127"/>
      <c r="T96" s="127"/>
      <c r="U96" s="127"/>
      <c r="V96" s="127"/>
      <c r="W96" s="127"/>
      <c r="X96" s="127"/>
      <c r="Y96" s="127"/>
      <c r="Z96" s="127"/>
      <c r="AA96" s="127"/>
      <c r="AB96" s="127"/>
      <c r="AC96" s="127"/>
      <c r="AD96" s="127"/>
      <c r="AE96" s="127"/>
      <c r="AF96" s="127"/>
      <c r="AG96" s="127"/>
      <c r="AH96" s="127"/>
    </row>
    <row r="97" spans="1:34" s="270" customFormat="1" ht="12.6" customHeight="1">
      <c r="A97" s="271"/>
      <c r="O97" s="271"/>
      <c r="P97" s="127"/>
      <c r="Q97" s="127"/>
      <c r="R97" s="127"/>
      <c r="S97" s="127"/>
      <c r="T97" s="127"/>
      <c r="U97" s="127"/>
      <c r="V97" s="127"/>
      <c r="W97" s="127"/>
      <c r="X97" s="127"/>
      <c r="Y97" s="127"/>
      <c r="Z97" s="127"/>
      <c r="AA97" s="127"/>
      <c r="AB97" s="127"/>
      <c r="AC97" s="127"/>
      <c r="AD97" s="127"/>
      <c r="AE97" s="127"/>
      <c r="AF97" s="127"/>
      <c r="AG97" s="127"/>
      <c r="AH97" s="127"/>
    </row>
    <row r="98" spans="1:34" s="270" customFormat="1" ht="12.6" customHeight="1">
      <c r="A98" s="271"/>
      <c r="O98" s="271"/>
      <c r="P98" s="127"/>
      <c r="Q98" s="127"/>
      <c r="R98" s="127"/>
      <c r="S98" s="127"/>
      <c r="T98" s="127"/>
      <c r="U98" s="127"/>
      <c r="V98" s="127"/>
      <c r="W98" s="127"/>
      <c r="X98" s="127"/>
      <c r="Y98" s="127"/>
      <c r="Z98" s="127"/>
      <c r="AA98" s="127"/>
      <c r="AB98" s="127"/>
      <c r="AC98" s="127"/>
      <c r="AD98" s="127"/>
      <c r="AE98" s="127"/>
      <c r="AF98" s="127"/>
      <c r="AG98" s="127"/>
      <c r="AH98" s="127"/>
    </row>
    <row r="99" spans="1:34" s="270" customFormat="1" ht="12.6" customHeight="1">
      <c r="A99" s="271"/>
      <c r="O99" s="271"/>
      <c r="P99" s="127"/>
      <c r="Q99" s="127"/>
      <c r="R99" s="127"/>
      <c r="S99" s="127"/>
      <c r="T99" s="127"/>
      <c r="U99" s="127"/>
      <c r="V99" s="127"/>
      <c r="W99" s="127"/>
      <c r="X99" s="127"/>
      <c r="Y99" s="127"/>
      <c r="Z99" s="127"/>
      <c r="AA99" s="127"/>
      <c r="AB99" s="127"/>
      <c r="AC99" s="127"/>
      <c r="AD99" s="127"/>
      <c r="AE99" s="127"/>
      <c r="AF99" s="127"/>
      <c r="AG99" s="127"/>
      <c r="AH99" s="127"/>
    </row>
    <row r="100" spans="1:34" s="270" customFormat="1" ht="12.6" customHeight="1">
      <c r="A100" s="271"/>
      <c r="O100" s="271"/>
      <c r="P100" s="127"/>
      <c r="Q100" s="127"/>
      <c r="R100" s="127"/>
      <c r="S100" s="127"/>
      <c r="T100" s="127"/>
      <c r="U100" s="127"/>
      <c r="V100" s="127"/>
      <c r="W100" s="127"/>
      <c r="X100" s="127"/>
      <c r="Y100" s="127"/>
      <c r="Z100" s="127"/>
      <c r="AA100" s="127"/>
      <c r="AB100" s="127"/>
      <c r="AC100" s="127"/>
      <c r="AD100" s="127"/>
      <c r="AE100" s="127"/>
      <c r="AF100" s="127"/>
      <c r="AG100" s="127"/>
      <c r="AH100" s="127"/>
    </row>
    <row r="101" spans="1:34" s="270" customFormat="1" ht="12.6" customHeight="1">
      <c r="A101" s="271"/>
      <c r="B101" s="53"/>
      <c r="O101" s="271"/>
      <c r="P101" s="127"/>
      <c r="Q101" s="127"/>
      <c r="R101" s="127"/>
      <c r="S101" s="127"/>
      <c r="T101" s="127"/>
      <c r="U101" s="127"/>
      <c r="V101" s="127"/>
      <c r="W101" s="127"/>
      <c r="X101" s="127"/>
      <c r="Y101" s="127"/>
      <c r="Z101" s="127"/>
      <c r="AA101" s="127"/>
      <c r="AB101" s="127"/>
      <c r="AC101" s="127"/>
      <c r="AD101" s="127"/>
      <c r="AE101" s="127"/>
      <c r="AF101" s="127"/>
      <c r="AG101" s="127"/>
      <c r="AH101" s="127"/>
    </row>
    <row r="102" spans="1:34" s="270" customFormat="1" ht="12.6" customHeight="1">
      <c r="B102" s="53"/>
      <c r="O102" s="271"/>
      <c r="P102" s="127"/>
      <c r="Q102" s="127"/>
      <c r="R102" s="127"/>
      <c r="S102" s="127"/>
      <c r="T102" s="127"/>
      <c r="U102" s="127"/>
      <c r="V102" s="127"/>
      <c r="W102" s="127"/>
      <c r="X102" s="127"/>
      <c r="Y102" s="127"/>
      <c r="Z102" s="127"/>
      <c r="AA102" s="127"/>
      <c r="AB102" s="127"/>
      <c r="AC102" s="127"/>
      <c r="AD102" s="127"/>
      <c r="AE102" s="127"/>
      <c r="AF102" s="127"/>
      <c r="AG102" s="127"/>
      <c r="AH102" s="127"/>
    </row>
    <row r="103" spans="1:34" s="270" customFormat="1" ht="12.6" customHeight="1">
      <c r="A103" s="271"/>
      <c r="B103" s="53"/>
      <c r="P103" s="127"/>
      <c r="Q103" s="127"/>
      <c r="R103" s="127"/>
      <c r="S103" s="127"/>
      <c r="T103" s="127"/>
      <c r="U103" s="127"/>
      <c r="V103" s="127"/>
      <c r="W103" s="127"/>
      <c r="X103" s="127"/>
      <c r="Y103" s="127"/>
      <c r="Z103" s="127"/>
      <c r="AA103" s="127"/>
      <c r="AB103" s="127"/>
      <c r="AC103" s="127"/>
      <c r="AD103" s="127"/>
      <c r="AE103" s="127"/>
      <c r="AF103" s="127"/>
      <c r="AG103" s="127"/>
      <c r="AH103" s="127"/>
    </row>
    <row r="104" spans="1:34" s="270" customFormat="1" ht="12.6" customHeight="1">
      <c r="A104" s="271"/>
      <c r="B104" s="53"/>
      <c r="O104" s="271"/>
      <c r="P104" s="127"/>
      <c r="Q104" s="127"/>
      <c r="R104" s="127"/>
      <c r="S104" s="127"/>
      <c r="T104" s="127"/>
      <c r="U104" s="127"/>
      <c r="V104" s="127"/>
      <c r="W104" s="127"/>
      <c r="X104" s="127"/>
      <c r="Y104" s="127"/>
      <c r="Z104" s="127"/>
      <c r="AA104" s="127"/>
      <c r="AB104" s="127"/>
      <c r="AC104" s="127"/>
      <c r="AD104" s="127"/>
      <c r="AE104" s="127"/>
      <c r="AF104" s="127"/>
      <c r="AG104" s="127"/>
      <c r="AH104" s="127"/>
    </row>
    <row r="105" spans="1:34" s="270" customFormat="1" ht="12.6" customHeight="1">
      <c r="A105" s="271"/>
      <c r="B105" s="53"/>
      <c r="O105" s="271"/>
      <c r="P105" s="127"/>
      <c r="Q105" s="127"/>
      <c r="R105" s="127"/>
      <c r="S105" s="127"/>
      <c r="T105" s="127"/>
      <c r="U105" s="127"/>
      <c r="V105" s="127"/>
      <c r="W105" s="127"/>
      <c r="X105" s="127"/>
      <c r="Y105" s="127"/>
      <c r="Z105" s="127"/>
      <c r="AA105" s="127"/>
      <c r="AB105" s="127"/>
      <c r="AC105" s="127"/>
      <c r="AD105" s="127"/>
      <c r="AE105" s="127"/>
      <c r="AF105" s="127"/>
      <c r="AG105" s="127"/>
      <c r="AH105" s="127"/>
    </row>
    <row r="106" spans="1:34" s="270" customFormat="1" ht="12.6" customHeight="1">
      <c r="A106" s="271"/>
      <c r="B106" s="53"/>
      <c r="O106" s="271"/>
      <c r="P106" s="127"/>
      <c r="Q106" s="127"/>
      <c r="R106" s="127"/>
      <c r="S106" s="127"/>
      <c r="T106" s="127"/>
      <c r="U106" s="127"/>
      <c r="V106" s="127"/>
      <c r="W106" s="127"/>
      <c r="X106" s="127"/>
      <c r="Y106" s="127"/>
      <c r="Z106" s="127"/>
      <c r="AA106" s="127"/>
      <c r="AB106" s="127"/>
      <c r="AC106" s="127"/>
      <c r="AD106" s="127"/>
      <c r="AE106" s="127"/>
      <c r="AF106" s="127"/>
      <c r="AG106" s="127"/>
      <c r="AH106" s="127"/>
    </row>
    <row r="107" spans="1:34" s="270" customFormat="1" ht="12.6" customHeight="1">
      <c r="A107" s="271"/>
      <c r="B107" s="53"/>
      <c r="O107" s="271"/>
      <c r="P107" s="127"/>
      <c r="Q107" s="127"/>
      <c r="R107" s="127"/>
      <c r="S107" s="127"/>
      <c r="T107" s="127"/>
      <c r="U107" s="127"/>
      <c r="V107" s="127"/>
      <c r="W107" s="127"/>
      <c r="X107" s="127"/>
      <c r="Y107" s="127"/>
      <c r="Z107" s="127"/>
      <c r="AA107" s="127"/>
      <c r="AB107" s="127"/>
      <c r="AC107" s="127"/>
      <c r="AD107" s="127"/>
      <c r="AE107" s="127"/>
      <c r="AF107" s="127"/>
      <c r="AG107" s="127"/>
      <c r="AH107" s="127"/>
    </row>
    <row r="108" spans="1:34" s="270" customFormat="1" ht="12.6" customHeight="1">
      <c r="A108" s="271"/>
      <c r="B108" s="53"/>
      <c r="O108" s="271"/>
      <c r="P108" s="127"/>
      <c r="Q108" s="127"/>
      <c r="R108" s="127"/>
      <c r="S108" s="127"/>
      <c r="T108" s="127"/>
      <c r="U108" s="127"/>
      <c r="V108" s="127"/>
      <c r="W108" s="127"/>
      <c r="X108" s="127"/>
      <c r="Y108" s="127"/>
      <c r="Z108" s="127"/>
      <c r="AA108" s="127"/>
      <c r="AB108" s="127"/>
      <c r="AC108" s="127"/>
      <c r="AD108" s="127"/>
      <c r="AE108" s="127"/>
      <c r="AF108" s="127"/>
      <c r="AG108" s="127"/>
      <c r="AH108" s="127"/>
    </row>
    <row r="109" spans="1:34" s="270" customFormat="1" ht="12.6" customHeight="1">
      <c r="A109" s="271"/>
      <c r="B109" s="53"/>
      <c r="O109" s="271"/>
      <c r="P109" s="127"/>
      <c r="Q109" s="127"/>
      <c r="R109" s="127"/>
      <c r="S109" s="127"/>
      <c r="T109" s="127"/>
      <c r="U109" s="127"/>
      <c r="V109" s="127"/>
      <c r="W109" s="127"/>
      <c r="X109" s="127"/>
      <c r="Y109" s="127"/>
      <c r="Z109" s="127"/>
      <c r="AA109" s="127"/>
      <c r="AB109" s="127"/>
      <c r="AC109" s="127"/>
      <c r="AD109" s="127"/>
      <c r="AE109" s="127"/>
      <c r="AF109" s="127"/>
      <c r="AG109" s="127"/>
      <c r="AH109" s="127"/>
    </row>
    <row r="110" spans="1:34" s="270" customFormat="1" ht="12.6" customHeight="1">
      <c r="A110" s="271"/>
      <c r="B110" s="53"/>
      <c r="O110" s="271"/>
      <c r="P110" s="127"/>
      <c r="Q110" s="127"/>
      <c r="R110" s="127"/>
      <c r="S110" s="127"/>
      <c r="T110" s="127"/>
      <c r="U110" s="127"/>
      <c r="V110" s="127"/>
      <c r="W110" s="127"/>
      <c r="X110" s="127"/>
      <c r="Y110" s="127"/>
      <c r="Z110" s="127"/>
      <c r="AA110" s="127"/>
      <c r="AB110" s="127"/>
      <c r="AC110" s="127"/>
      <c r="AD110" s="127"/>
      <c r="AE110" s="127"/>
      <c r="AF110" s="127"/>
      <c r="AG110" s="127"/>
      <c r="AH110" s="127"/>
    </row>
    <row r="111" spans="1:34" s="270" customFormat="1" ht="12.6" customHeight="1">
      <c r="A111" s="271"/>
      <c r="B111" s="53"/>
      <c r="O111" s="271"/>
      <c r="P111" s="127"/>
      <c r="Q111" s="127"/>
      <c r="R111" s="127"/>
      <c r="S111" s="127"/>
      <c r="T111" s="127"/>
      <c r="U111" s="127"/>
      <c r="V111" s="127"/>
      <c r="W111" s="127"/>
      <c r="X111" s="127"/>
      <c r="Y111" s="127"/>
      <c r="Z111" s="127"/>
      <c r="AA111" s="127"/>
      <c r="AB111" s="127"/>
      <c r="AC111" s="127"/>
      <c r="AD111" s="127"/>
      <c r="AE111" s="127"/>
      <c r="AF111" s="127"/>
      <c r="AG111" s="127"/>
      <c r="AH111" s="127"/>
    </row>
    <row r="112" spans="1:34" s="270" customFormat="1" ht="12.6" customHeight="1">
      <c r="A112" s="271"/>
      <c r="B112" s="53"/>
      <c r="O112" s="271"/>
      <c r="P112" s="127"/>
      <c r="Q112" s="127"/>
      <c r="R112" s="127"/>
      <c r="S112" s="127"/>
      <c r="T112" s="127"/>
      <c r="U112" s="127"/>
      <c r="V112" s="127"/>
      <c r="W112" s="127"/>
      <c r="X112" s="127"/>
      <c r="Y112" s="127"/>
      <c r="Z112" s="127"/>
      <c r="AA112" s="127"/>
      <c r="AB112" s="127"/>
      <c r="AC112" s="127"/>
      <c r="AD112" s="127"/>
      <c r="AE112" s="127"/>
      <c r="AF112" s="127"/>
      <c r="AG112" s="127"/>
      <c r="AH112" s="127"/>
    </row>
    <row r="113" spans="1:34" s="270" customFormat="1" ht="12.6" customHeight="1">
      <c r="A113" s="271"/>
      <c r="B113" s="53"/>
      <c r="O113" s="271"/>
      <c r="P113" s="127"/>
      <c r="Q113" s="127"/>
      <c r="R113" s="127"/>
      <c r="S113" s="127"/>
      <c r="T113" s="127"/>
      <c r="U113" s="127"/>
      <c r="V113" s="127"/>
      <c r="W113" s="127"/>
      <c r="X113" s="127"/>
      <c r="Y113" s="127"/>
      <c r="Z113" s="127"/>
      <c r="AA113" s="127"/>
      <c r="AB113" s="127"/>
      <c r="AC113" s="127"/>
      <c r="AD113" s="127"/>
      <c r="AE113" s="127"/>
      <c r="AF113" s="127"/>
      <c r="AG113" s="127"/>
      <c r="AH113" s="127"/>
    </row>
    <row r="114" spans="1:34" s="270" customFormat="1" ht="12.6" customHeight="1">
      <c r="A114" s="271"/>
      <c r="B114" s="53"/>
      <c r="O114" s="271"/>
      <c r="P114" s="127"/>
      <c r="Q114" s="127"/>
      <c r="R114" s="127"/>
      <c r="S114" s="127"/>
      <c r="T114" s="127"/>
      <c r="U114" s="127"/>
      <c r="V114" s="127"/>
      <c r="W114" s="127"/>
      <c r="X114" s="127"/>
      <c r="Y114" s="127"/>
      <c r="Z114" s="127"/>
      <c r="AA114" s="127"/>
      <c r="AB114" s="127"/>
      <c r="AC114" s="127"/>
      <c r="AD114" s="127"/>
      <c r="AE114" s="127"/>
      <c r="AF114" s="127"/>
      <c r="AG114" s="127"/>
      <c r="AH114" s="127"/>
    </row>
    <row r="115" spans="1:34" s="270" customFormat="1" ht="12.6" customHeight="1">
      <c r="A115" s="271"/>
      <c r="B115" s="53"/>
      <c r="O115" s="271"/>
      <c r="P115" s="127"/>
      <c r="Q115" s="127"/>
      <c r="R115" s="127"/>
      <c r="S115" s="127"/>
      <c r="T115" s="127"/>
      <c r="U115" s="127"/>
      <c r="V115" s="127"/>
      <c r="W115" s="127"/>
      <c r="X115" s="127"/>
      <c r="Y115" s="127"/>
      <c r="Z115" s="127"/>
      <c r="AA115" s="127"/>
      <c r="AB115" s="127"/>
      <c r="AC115" s="127"/>
      <c r="AD115" s="127"/>
      <c r="AE115" s="127"/>
      <c r="AF115" s="127"/>
      <c r="AG115" s="127"/>
      <c r="AH115" s="127"/>
    </row>
    <row r="116" spans="1:34" s="270" customFormat="1" ht="12.6" customHeight="1">
      <c r="A116" s="271"/>
      <c r="B116" s="53"/>
      <c r="O116" s="271"/>
      <c r="P116" s="127"/>
      <c r="Q116" s="127"/>
      <c r="R116" s="127"/>
      <c r="S116" s="127"/>
      <c r="T116" s="127"/>
      <c r="U116" s="127"/>
      <c r="V116" s="127"/>
      <c r="W116" s="127"/>
      <c r="X116" s="127"/>
      <c r="Y116" s="127"/>
      <c r="Z116" s="127"/>
      <c r="AA116" s="127"/>
      <c r="AB116" s="127"/>
      <c r="AC116" s="127"/>
      <c r="AD116" s="127"/>
      <c r="AE116" s="127"/>
      <c r="AF116" s="127"/>
      <c r="AG116" s="127"/>
      <c r="AH116" s="127"/>
    </row>
    <row r="117" spans="1:34" s="270" customFormat="1" ht="12.6" customHeight="1">
      <c r="A117" s="271"/>
      <c r="B117" s="53"/>
      <c r="O117" s="271"/>
      <c r="P117" s="127"/>
      <c r="Q117" s="127"/>
      <c r="R117" s="127"/>
      <c r="S117" s="127"/>
      <c r="T117" s="127"/>
      <c r="U117" s="127"/>
      <c r="V117" s="127"/>
      <c r="W117" s="127"/>
      <c r="X117" s="127"/>
      <c r="Y117" s="127"/>
      <c r="Z117" s="127"/>
      <c r="AA117" s="127"/>
      <c r="AB117" s="127"/>
      <c r="AC117" s="127"/>
      <c r="AD117" s="127"/>
      <c r="AE117" s="127"/>
      <c r="AF117" s="127"/>
      <c r="AG117" s="127"/>
      <c r="AH117" s="127"/>
    </row>
    <row r="118" spans="1:34" s="270" customFormat="1" ht="12.6" customHeight="1">
      <c r="A118" s="271"/>
      <c r="B118" s="53"/>
      <c r="O118" s="271"/>
      <c r="P118" s="127"/>
      <c r="Q118" s="127"/>
      <c r="R118" s="127"/>
      <c r="S118" s="127"/>
      <c r="T118" s="127"/>
      <c r="U118" s="127"/>
      <c r="V118" s="127"/>
      <c r="W118" s="127"/>
      <c r="X118" s="127"/>
      <c r="Y118" s="127"/>
      <c r="Z118" s="127"/>
      <c r="AA118" s="127"/>
      <c r="AB118" s="127"/>
      <c r="AC118" s="127"/>
      <c r="AD118" s="127"/>
      <c r="AE118" s="127"/>
      <c r="AF118" s="127"/>
      <c r="AG118" s="127"/>
      <c r="AH118" s="127"/>
    </row>
    <row r="119" spans="1:34" s="270" customFormat="1" ht="12.6" customHeight="1">
      <c r="A119" s="271"/>
      <c r="B119" s="53"/>
      <c r="P119" s="127"/>
      <c r="Q119" s="127"/>
      <c r="R119" s="127"/>
      <c r="S119" s="127"/>
      <c r="T119" s="127"/>
      <c r="U119" s="127"/>
      <c r="V119" s="127"/>
      <c r="W119" s="127"/>
      <c r="X119" s="127"/>
      <c r="Y119" s="127"/>
      <c r="Z119" s="127"/>
      <c r="AA119" s="127"/>
      <c r="AB119" s="127"/>
      <c r="AC119" s="127"/>
      <c r="AD119" s="127"/>
      <c r="AE119" s="127"/>
      <c r="AF119" s="127"/>
      <c r="AG119" s="127"/>
      <c r="AH119" s="127"/>
    </row>
    <row r="120" spans="1:34" s="270" customFormat="1" ht="12.6" customHeight="1">
      <c r="A120" s="271"/>
      <c r="B120" s="53"/>
      <c r="O120" s="298"/>
      <c r="P120" s="127"/>
      <c r="Q120" s="127"/>
      <c r="R120" s="127"/>
      <c r="S120" s="127"/>
      <c r="T120" s="127"/>
      <c r="U120" s="127"/>
      <c r="V120" s="127"/>
      <c r="W120" s="127"/>
      <c r="X120" s="127"/>
      <c r="Y120" s="127"/>
      <c r="Z120" s="127"/>
      <c r="AA120" s="127"/>
      <c r="AB120" s="127"/>
      <c r="AC120" s="127"/>
      <c r="AD120" s="127"/>
      <c r="AE120" s="127"/>
      <c r="AF120" s="127"/>
      <c r="AG120" s="127"/>
      <c r="AH120" s="127"/>
    </row>
    <row r="121" spans="1:34" s="270" customFormat="1" ht="12.6" customHeight="1">
      <c r="A121" s="271"/>
      <c r="B121" s="53"/>
      <c r="O121" s="271"/>
      <c r="P121" s="127"/>
      <c r="Q121" s="127"/>
      <c r="R121" s="127"/>
      <c r="S121" s="127"/>
      <c r="T121" s="127"/>
      <c r="U121" s="127"/>
      <c r="V121" s="127"/>
      <c r="W121" s="127"/>
      <c r="X121" s="127"/>
      <c r="Y121" s="127"/>
      <c r="Z121" s="127"/>
      <c r="AA121" s="127"/>
      <c r="AB121" s="127"/>
      <c r="AC121" s="127"/>
      <c r="AD121" s="127"/>
      <c r="AE121" s="127"/>
      <c r="AF121" s="127"/>
      <c r="AG121" s="127"/>
      <c r="AH121" s="127"/>
    </row>
    <row r="122" spans="1:34" s="270" customFormat="1" ht="12.6" customHeight="1">
      <c r="A122" s="271"/>
      <c r="B122" s="53"/>
      <c r="O122" s="271"/>
      <c r="P122" s="127"/>
      <c r="Q122" s="127"/>
      <c r="R122" s="127"/>
      <c r="S122" s="127"/>
      <c r="T122" s="127"/>
      <c r="U122" s="127"/>
      <c r="V122" s="127"/>
      <c r="W122" s="127"/>
      <c r="X122" s="127"/>
      <c r="Y122" s="127"/>
      <c r="Z122" s="127"/>
      <c r="AA122" s="127"/>
      <c r="AB122" s="127"/>
      <c r="AC122" s="127"/>
      <c r="AD122" s="127"/>
      <c r="AE122" s="127"/>
      <c r="AF122" s="127"/>
      <c r="AG122" s="127"/>
      <c r="AH122" s="127"/>
    </row>
    <row r="123" spans="1:34" s="270" customFormat="1" ht="12.6" customHeight="1">
      <c r="B123" s="53"/>
      <c r="O123" s="271"/>
      <c r="P123" s="127"/>
      <c r="Q123" s="127"/>
      <c r="R123" s="127"/>
      <c r="S123" s="127"/>
      <c r="T123" s="127"/>
      <c r="U123" s="127"/>
      <c r="V123" s="127"/>
      <c r="W123" s="127"/>
      <c r="X123" s="127"/>
      <c r="Y123" s="127"/>
      <c r="Z123" s="127"/>
      <c r="AA123" s="127"/>
      <c r="AB123" s="127"/>
      <c r="AC123" s="127"/>
      <c r="AD123" s="127"/>
      <c r="AE123" s="127"/>
      <c r="AF123" s="127"/>
      <c r="AG123" s="127"/>
      <c r="AH123" s="127"/>
    </row>
    <row r="124" spans="1:34" s="270" customFormat="1" ht="12.6" customHeight="1">
      <c r="A124" s="298"/>
      <c r="B124" s="53"/>
      <c r="O124" s="271"/>
      <c r="P124" s="127"/>
      <c r="Q124" s="127"/>
      <c r="R124" s="127"/>
      <c r="S124" s="127"/>
      <c r="T124" s="127"/>
      <c r="U124" s="127"/>
      <c r="V124" s="127"/>
      <c r="W124" s="127"/>
      <c r="X124" s="127"/>
      <c r="Y124" s="127"/>
      <c r="Z124" s="127"/>
      <c r="AA124" s="127"/>
      <c r="AB124" s="127"/>
      <c r="AC124" s="127"/>
      <c r="AD124" s="127"/>
      <c r="AE124" s="127"/>
      <c r="AF124" s="127"/>
      <c r="AG124" s="127"/>
      <c r="AH124" s="127"/>
    </row>
    <row r="125" spans="1:34" s="270" customFormat="1" ht="12.6" customHeight="1">
      <c r="A125" s="271"/>
      <c r="B125" s="53"/>
      <c r="E125" s="53"/>
      <c r="O125" s="271"/>
      <c r="P125" s="127"/>
      <c r="Q125" s="127"/>
      <c r="R125" s="127"/>
      <c r="S125" s="127"/>
      <c r="T125" s="127"/>
      <c r="U125" s="127"/>
      <c r="V125" s="127"/>
      <c r="W125" s="127"/>
      <c r="X125" s="127"/>
      <c r="Y125" s="127"/>
      <c r="Z125" s="127"/>
      <c r="AA125" s="127"/>
      <c r="AB125" s="127"/>
      <c r="AC125" s="127"/>
      <c r="AD125" s="127"/>
      <c r="AE125" s="127"/>
      <c r="AF125" s="127"/>
      <c r="AG125" s="127"/>
      <c r="AH125" s="127"/>
    </row>
    <row r="126" spans="1:34" s="270" customFormat="1" ht="12.6" customHeight="1">
      <c r="A126" s="271"/>
      <c r="O126" s="271"/>
      <c r="P126" s="127"/>
      <c r="Q126" s="127"/>
      <c r="R126" s="127"/>
      <c r="S126" s="127"/>
      <c r="T126" s="127"/>
      <c r="U126" s="127"/>
      <c r="V126" s="127"/>
      <c r="W126" s="127"/>
      <c r="X126" s="127"/>
      <c r="Y126" s="127"/>
      <c r="Z126" s="127"/>
      <c r="AA126" s="127"/>
      <c r="AB126" s="127"/>
      <c r="AC126" s="127"/>
      <c r="AD126" s="127"/>
      <c r="AE126" s="127"/>
      <c r="AF126" s="127"/>
      <c r="AG126" s="127"/>
      <c r="AH126" s="127"/>
    </row>
    <row r="127" spans="1:34" s="270" customFormat="1" ht="12.6" customHeight="1">
      <c r="A127" s="271"/>
      <c r="O127" s="271"/>
      <c r="P127" s="127"/>
      <c r="Q127" s="127"/>
      <c r="R127" s="127"/>
      <c r="S127" s="127"/>
      <c r="T127" s="127"/>
      <c r="U127" s="127"/>
      <c r="V127" s="127"/>
      <c r="W127" s="127"/>
      <c r="X127" s="127"/>
      <c r="Y127" s="127"/>
      <c r="Z127" s="127"/>
      <c r="AA127" s="127"/>
      <c r="AB127" s="127"/>
      <c r="AC127" s="127"/>
      <c r="AD127" s="127"/>
      <c r="AE127" s="127"/>
      <c r="AF127" s="127"/>
      <c r="AG127" s="127"/>
      <c r="AH127" s="127"/>
    </row>
    <row r="128" spans="1:34" s="270" customFormat="1" ht="12.6" customHeight="1">
      <c r="A128" s="271"/>
      <c r="P128" s="127"/>
      <c r="Q128" s="127"/>
      <c r="R128" s="127"/>
      <c r="S128" s="127"/>
      <c r="T128" s="127"/>
      <c r="U128" s="127"/>
      <c r="V128" s="127"/>
      <c r="W128" s="127"/>
      <c r="X128" s="127"/>
      <c r="Y128" s="127"/>
      <c r="Z128" s="127"/>
      <c r="AA128" s="127"/>
      <c r="AB128" s="127"/>
      <c r="AC128" s="127"/>
      <c r="AD128" s="127"/>
      <c r="AE128" s="127"/>
      <c r="AF128" s="127"/>
      <c r="AG128" s="127"/>
      <c r="AH128" s="127"/>
    </row>
    <row r="129" spans="1:34" s="270" customFormat="1" ht="12.6" customHeight="1">
      <c r="A129" s="271"/>
      <c r="O129" s="271"/>
      <c r="P129" s="127"/>
      <c r="Q129" s="127"/>
      <c r="R129" s="127"/>
      <c r="S129" s="127"/>
      <c r="T129" s="127"/>
      <c r="U129" s="127"/>
      <c r="V129" s="127"/>
      <c r="W129" s="127"/>
      <c r="X129" s="127"/>
      <c r="Y129" s="127"/>
      <c r="Z129" s="127"/>
      <c r="AA129" s="127"/>
      <c r="AB129" s="127"/>
      <c r="AC129" s="127"/>
      <c r="AD129" s="127"/>
      <c r="AE129" s="127"/>
      <c r="AF129" s="127"/>
      <c r="AG129" s="127"/>
      <c r="AH129" s="127"/>
    </row>
    <row r="130" spans="1:34" s="270" customFormat="1" ht="12.6" customHeight="1">
      <c r="A130" s="271"/>
      <c r="O130" s="271"/>
      <c r="P130" s="127"/>
      <c r="Q130" s="127"/>
      <c r="R130" s="127"/>
      <c r="S130" s="127"/>
      <c r="T130" s="127"/>
      <c r="U130" s="127"/>
      <c r="V130" s="127"/>
      <c r="W130" s="127"/>
      <c r="X130" s="127"/>
      <c r="Y130" s="127"/>
      <c r="Z130" s="127"/>
      <c r="AA130" s="127"/>
      <c r="AB130" s="127"/>
      <c r="AC130" s="127"/>
      <c r="AD130" s="127"/>
      <c r="AE130" s="127"/>
      <c r="AF130" s="127"/>
      <c r="AG130" s="127"/>
      <c r="AH130" s="127"/>
    </row>
    <row r="131" spans="1:34" s="270" customFormat="1" ht="12.6" customHeight="1">
      <c r="A131" s="271"/>
      <c r="O131" s="271"/>
      <c r="P131" s="127"/>
      <c r="Q131" s="127"/>
      <c r="R131" s="127"/>
      <c r="S131" s="127"/>
      <c r="T131" s="127"/>
      <c r="U131" s="127"/>
      <c r="V131" s="127"/>
      <c r="W131" s="127"/>
      <c r="X131" s="127"/>
      <c r="Y131" s="127"/>
      <c r="Z131" s="127"/>
      <c r="AA131" s="127"/>
      <c r="AB131" s="127"/>
      <c r="AC131" s="127"/>
      <c r="AD131" s="127"/>
      <c r="AE131" s="127"/>
      <c r="AF131" s="127"/>
      <c r="AG131" s="127"/>
      <c r="AH131" s="127"/>
    </row>
    <row r="132" spans="1:34" s="270" customFormat="1" ht="12.6" customHeight="1">
      <c r="A132" s="271"/>
      <c r="O132" s="271"/>
      <c r="P132" s="127"/>
      <c r="Q132" s="127"/>
      <c r="R132" s="127"/>
      <c r="S132" s="127"/>
      <c r="T132" s="127"/>
      <c r="U132" s="127"/>
      <c r="V132" s="127"/>
      <c r="W132" s="127"/>
      <c r="X132" s="127"/>
      <c r="Y132" s="127"/>
      <c r="Z132" s="127"/>
      <c r="AA132" s="127"/>
      <c r="AB132" s="127"/>
      <c r="AC132" s="127"/>
      <c r="AD132" s="127"/>
      <c r="AE132" s="127"/>
      <c r="AF132" s="127"/>
      <c r="AG132" s="127"/>
      <c r="AH132" s="127"/>
    </row>
    <row r="133" spans="1:34" s="270" customFormat="1" ht="12.6" customHeight="1">
      <c r="A133" s="271"/>
      <c r="O133" s="271"/>
      <c r="P133" s="127"/>
      <c r="Q133" s="127"/>
      <c r="R133" s="127"/>
      <c r="S133" s="127"/>
      <c r="T133" s="127"/>
      <c r="U133" s="127"/>
      <c r="V133" s="127"/>
      <c r="W133" s="127"/>
      <c r="X133" s="127"/>
      <c r="Y133" s="127"/>
      <c r="Z133" s="127"/>
      <c r="AA133" s="127"/>
      <c r="AB133" s="127"/>
      <c r="AC133" s="127"/>
      <c r="AD133" s="127"/>
      <c r="AE133" s="127"/>
      <c r="AF133" s="127"/>
      <c r="AG133" s="127"/>
      <c r="AH133" s="127"/>
    </row>
    <row r="134" spans="1:34" s="271" customFormat="1" ht="12" customHeight="1">
      <c r="P134" s="127"/>
      <c r="Q134" s="127"/>
      <c r="R134" s="127"/>
      <c r="S134" s="127"/>
      <c r="T134" s="127"/>
      <c r="U134" s="127"/>
      <c r="V134" s="127"/>
      <c r="W134" s="127"/>
      <c r="X134" s="127"/>
      <c r="Y134" s="127"/>
      <c r="Z134" s="127"/>
      <c r="AA134" s="127"/>
      <c r="AB134" s="127"/>
      <c r="AC134" s="127"/>
      <c r="AD134" s="127"/>
      <c r="AE134" s="127"/>
      <c r="AF134" s="127"/>
      <c r="AG134" s="127"/>
      <c r="AH134" s="127"/>
    </row>
    <row r="135" spans="1:34" s="271" customFormat="1" ht="12" customHeight="1">
      <c r="O135"/>
      <c r="P135" s="127"/>
      <c r="Q135" s="127"/>
      <c r="R135" s="127"/>
      <c r="S135" s="127"/>
      <c r="T135" s="127"/>
      <c r="U135" s="127"/>
      <c r="V135" s="127"/>
      <c r="W135" s="127"/>
      <c r="X135" s="127"/>
      <c r="Y135" s="127"/>
      <c r="Z135" s="127"/>
      <c r="AA135" s="127"/>
      <c r="AB135" s="127"/>
      <c r="AC135" s="127"/>
      <c r="AD135" s="127"/>
      <c r="AE135" s="127"/>
      <c r="AF135" s="127"/>
      <c r="AG135" s="127"/>
      <c r="AH135" s="127"/>
    </row>
    <row r="136" spans="1:34" s="271" customFormat="1" ht="12" customHeight="1">
      <c r="A136" s="270"/>
      <c r="P136" s="127"/>
      <c r="Q136" s="127"/>
      <c r="R136" s="127"/>
      <c r="S136" s="127"/>
      <c r="T136" s="127"/>
      <c r="U136" s="127"/>
      <c r="V136" s="127"/>
      <c r="W136" s="127"/>
      <c r="X136" s="127"/>
      <c r="Y136" s="127"/>
      <c r="Z136" s="127"/>
      <c r="AA136" s="127"/>
      <c r="AB136" s="127"/>
      <c r="AC136" s="127"/>
      <c r="AD136" s="127"/>
      <c r="AE136" s="127"/>
      <c r="AF136" s="127"/>
      <c r="AG136" s="127"/>
      <c r="AH136" s="127"/>
    </row>
    <row r="137" spans="1:34" s="271" customFormat="1" ht="12" customHeight="1">
      <c r="A137" s="4"/>
      <c r="O137" s="299"/>
      <c r="P137" s="127"/>
      <c r="Q137" s="127"/>
      <c r="R137" s="127"/>
      <c r="S137" s="127"/>
      <c r="T137" s="127"/>
      <c r="U137" s="127"/>
      <c r="V137" s="127"/>
      <c r="W137" s="127"/>
      <c r="X137" s="127"/>
      <c r="Y137" s="127"/>
      <c r="Z137" s="127"/>
      <c r="AA137" s="127"/>
      <c r="AB137" s="127"/>
      <c r="AC137" s="127"/>
      <c r="AD137" s="127"/>
      <c r="AE137" s="127"/>
      <c r="AF137" s="127"/>
      <c r="AG137" s="127"/>
      <c r="AH137" s="127"/>
    </row>
    <row r="138" spans="1:34" ht="12" customHeight="1">
      <c r="A138" s="271"/>
      <c r="O138" s="299"/>
      <c r="P138" s="127"/>
      <c r="Q138" s="127"/>
      <c r="R138" s="127"/>
      <c r="S138" s="127"/>
      <c r="T138" s="127"/>
      <c r="U138" s="127"/>
      <c r="V138" s="127"/>
      <c r="W138" s="127"/>
      <c r="X138" s="127"/>
      <c r="Y138" s="127"/>
      <c r="Z138" s="127"/>
      <c r="AA138" s="127"/>
      <c r="AB138" s="127"/>
      <c r="AC138" s="127"/>
      <c r="AD138" s="127"/>
      <c r="AE138" s="127"/>
      <c r="AF138" s="127"/>
      <c r="AG138" s="127"/>
      <c r="AH138" s="127"/>
    </row>
    <row r="139" spans="1:34" ht="12" customHeight="1">
      <c r="A139" s="271"/>
      <c r="O139" s="299"/>
      <c r="P139" s="127"/>
      <c r="Q139" s="127"/>
      <c r="R139" s="127"/>
      <c r="S139" s="127"/>
      <c r="T139" s="127"/>
      <c r="U139" s="127"/>
      <c r="V139" s="127"/>
      <c r="W139" s="127"/>
      <c r="X139" s="127"/>
      <c r="Y139" s="127"/>
      <c r="Z139" s="127"/>
      <c r="AA139" s="127"/>
      <c r="AB139" s="127"/>
      <c r="AC139" s="127"/>
      <c r="AD139" s="127"/>
      <c r="AE139" s="127"/>
      <c r="AF139" s="127"/>
      <c r="AG139" s="127"/>
      <c r="AH139" s="127"/>
    </row>
    <row r="140" spans="1:34" ht="12" customHeight="1">
      <c r="O140" s="271"/>
      <c r="P140" s="127"/>
      <c r="Q140" s="127"/>
      <c r="R140" s="127"/>
      <c r="S140" s="127"/>
      <c r="T140" s="127"/>
      <c r="U140" s="127"/>
      <c r="V140" s="127"/>
      <c r="W140" s="127"/>
      <c r="X140" s="127"/>
      <c r="Y140" s="127"/>
      <c r="Z140" s="127"/>
      <c r="AA140" s="127"/>
      <c r="AB140" s="127"/>
      <c r="AC140" s="127"/>
      <c r="AD140" s="127"/>
      <c r="AE140" s="127"/>
      <c r="AF140" s="127"/>
      <c r="AG140" s="127"/>
      <c r="AH140" s="127"/>
    </row>
    <row r="141" spans="1:34" ht="15.75">
      <c r="A141" s="53"/>
      <c r="M141" s="1896"/>
      <c r="N141" s="1896"/>
      <c r="O141" s="1896"/>
      <c r="P141" s="1896"/>
      <c r="AC141" s="53"/>
    </row>
    <row r="142" spans="1:34">
      <c r="A142" s="53"/>
      <c r="B142" s="270"/>
      <c r="C142" s="270"/>
    </row>
    <row r="144" spans="1:34" ht="12" hidden="1" customHeight="1">
      <c r="A144">
        <f>'Data Entry'!A77</f>
        <v>1</v>
      </c>
    </row>
  </sheetData>
  <sheetProtection algorithmName="SHA-512" hashValue="FaYx90ykrk6wOs1aEuDBSSV6QG10bI29TQScN1mT5tPOtqCma4RsgNVjZkkpihk1Mp/zSSq0ak0X6kXoDScwzA==" saltValue="tTCKcb7XUc/zlFiDjiAbBA==" spinCount="100000" sheet="1" objects="1" scenarios="1"/>
  <mergeCells count="84">
    <mergeCell ref="M141:P141"/>
    <mergeCell ref="O24:AB24"/>
    <mergeCell ref="O28:AB28"/>
    <mergeCell ref="A26:N26"/>
    <mergeCell ref="A37:N37"/>
    <mergeCell ref="H30:N30"/>
    <mergeCell ref="A30:G30"/>
    <mergeCell ref="V47:W47"/>
    <mergeCell ref="M60:W60"/>
    <mergeCell ref="X60:AB60"/>
    <mergeCell ref="I50:P50"/>
    <mergeCell ref="A44:N44"/>
    <mergeCell ref="Y38:AB38"/>
    <mergeCell ref="A51:H51"/>
    <mergeCell ref="Y63:AB63"/>
    <mergeCell ref="A39:G39"/>
    <mergeCell ref="AG40:AJ41"/>
    <mergeCell ref="AG38:AJ39"/>
    <mergeCell ref="O39:AB39"/>
    <mergeCell ref="A60:L60"/>
    <mergeCell ref="H39:N39"/>
    <mergeCell ref="A50:H50"/>
    <mergeCell ref="Q50:AB50"/>
    <mergeCell ref="I51:P51"/>
    <mergeCell ref="A46:G46"/>
    <mergeCell ref="H46:N46"/>
    <mergeCell ref="O46:AB46"/>
    <mergeCell ref="Q52:AB52"/>
    <mergeCell ref="Q51:AB51"/>
    <mergeCell ref="Y37:AB37"/>
    <mergeCell ref="AF2:AQ2"/>
    <mergeCell ref="AF3:AI3"/>
    <mergeCell ref="AJ3:AQ3"/>
    <mergeCell ref="AF4:AI4"/>
    <mergeCell ref="AJ4:AQ4"/>
    <mergeCell ref="AF7:AI7"/>
    <mergeCell ref="AJ7:AQ7"/>
    <mergeCell ref="Z6:AB6"/>
    <mergeCell ref="AJ8:AQ8"/>
    <mergeCell ref="U4:AB4"/>
    <mergeCell ref="Z5:AB5"/>
    <mergeCell ref="O13:U13"/>
    <mergeCell ref="AF8:AI8"/>
    <mergeCell ref="V26:X26"/>
    <mergeCell ref="O11:AB11"/>
    <mergeCell ref="O30:AB30"/>
    <mergeCell ref="O17:AB17"/>
    <mergeCell ref="O19:AB19"/>
    <mergeCell ref="U3:AB3"/>
    <mergeCell ref="AF5:AI5"/>
    <mergeCell ref="O15:U15"/>
    <mergeCell ref="O26:U26"/>
    <mergeCell ref="A11:N11"/>
    <mergeCell ref="O38:U38"/>
    <mergeCell ref="V13:X13"/>
    <mergeCell ref="V38:X38"/>
    <mergeCell ref="U6:W6"/>
    <mergeCell ref="A9:N9"/>
    <mergeCell ref="A13:N13"/>
    <mergeCell ref="A15:N15"/>
    <mergeCell ref="A17:N17"/>
    <mergeCell ref="H19:N19"/>
    <mergeCell ref="A35:N35"/>
    <mergeCell ref="A28:N28"/>
    <mergeCell ref="A19:G19"/>
    <mergeCell ref="A24:N24"/>
    <mergeCell ref="O35:AB35"/>
    <mergeCell ref="Y26:AB26"/>
    <mergeCell ref="A61:AB62"/>
    <mergeCell ref="AJ5:AQ5"/>
    <mergeCell ref="A52:H52"/>
    <mergeCell ref="I52:P52"/>
    <mergeCell ref="A49:H49"/>
    <mergeCell ref="I49:P49"/>
    <mergeCell ref="Q49:AB49"/>
    <mergeCell ref="U5:W5"/>
    <mergeCell ref="Y13:AB13"/>
    <mergeCell ref="X9:AB9"/>
    <mergeCell ref="O44:AB44"/>
    <mergeCell ref="O37:U37"/>
    <mergeCell ref="Y15:AB15"/>
    <mergeCell ref="V15:X15"/>
    <mergeCell ref="V37:X37"/>
    <mergeCell ref="O9:W9"/>
  </mergeCells>
  <conditionalFormatting sqref="A50 I50">
    <cfRule type="containsText" dxfId="18" priority="10" stopIfTrue="1" operator="containsText" text="1900">
      <formula>NOT(ISERROR(SEARCH("1900",A50)))</formula>
    </cfRule>
  </conditionalFormatting>
  <conditionalFormatting sqref="A9:W9 A11:N11 A13:AB13 A15:AB15 A17:AB17 A19:AB19">
    <cfRule type="cellIs" dxfId="17" priority="20" stopIfTrue="1" operator="equal">
      <formula>0</formula>
    </cfRule>
  </conditionalFormatting>
  <conditionalFormatting sqref="U5">
    <cfRule type="cellIs" dxfId="16" priority="2" operator="equal">
      <formula>0</formula>
    </cfRule>
  </conditionalFormatting>
  <conditionalFormatting sqref="U3:AB3">
    <cfRule type="cellIs" dxfId="15" priority="14" stopIfTrue="1" operator="equal">
      <formula>0</formula>
    </cfRule>
  </conditionalFormatting>
  <conditionalFormatting sqref="U4:AB4 Z5:Z6 U6">
    <cfRule type="cellIs" dxfId="14" priority="17" stopIfTrue="1" operator="equal">
      <formula>0</formula>
    </cfRule>
  </conditionalFormatting>
  <conditionalFormatting sqref="X9:AB9">
    <cfRule type="containsText" dxfId="13" priority="1" operator="containsText" text="FALSE">
      <formula>NOT(ISERROR(SEARCH("FALSE",X9)))</formula>
    </cfRule>
  </conditionalFormatting>
  <hyperlinks>
    <hyperlink ref="A57" r:id="rId1" xr:uid="{00000000-0004-0000-0600-000000000000}"/>
    <hyperlink ref="A56" r:id="rId2" xr:uid="{00000000-0004-0000-0600-000001000000}"/>
  </hyperlinks>
  <printOptions horizontalCentered="1"/>
  <pageMargins left="0.2" right="0.2" top="0.5" bottom="0.25" header="0.3" footer="0.3"/>
  <pageSetup scale="76" fitToHeight="2" orientation="portrait" horizontalDpi="4294967293" verticalDpi="4294967293" r:id="rId3"/>
  <rowBreaks count="1" manualBreakCount="1">
    <brk id="63" max="2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BI164"/>
  <sheetViews>
    <sheetView showGridLines="0" workbookViewId="0"/>
  </sheetViews>
  <sheetFormatPr defaultRowHeight="15"/>
  <cols>
    <col min="1" max="1" width="5" customWidth="1"/>
    <col min="2" max="6" width="4.28515625" customWidth="1"/>
    <col min="7" max="7" width="4.7109375" customWidth="1"/>
    <col min="8" max="8" width="5.28515625" customWidth="1"/>
    <col min="9" max="15" width="4.28515625" customWidth="1"/>
    <col min="16" max="16" width="5.7109375" customWidth="1"/>
    <col min="17" max="17" width="2.7109375" customWidth="1"/>
    <col min="18" max="18" width="4.28515625" customWidth="1"/>
    <col min="19" max="19" width="3.42578125" customWidth="1"/>
    <col min="20" max="20" width="4.5703125" customWidth="1"/>
    <col min="21" max="28" width="4.28515625" customWidth="1"/>
    <col min="29" max="29" width="5.28515625" customWidth="1"/>
    <col min="30" max="49" width="3.7109375" customWidth="1"/>
  </cols>
  <sheetData>
    <row r="1" spans="1:61" ht="20.25" customHeight="1">
      <c r="A1" s="47" t="s">
        <v>306</v>
      </c>
      <c r="B1" s="154"/>
      <c r="C1" s="154"/>
      <c r="D1" s="154"/>
      <c r="E1" s="154"/>
      <c r="F1" s="154"/>
      <c r="G1" s="154"/>
      <c r="H1" s="154"/>
      <c r="I1" s="154"/>
      <c r="J1" s="154"/>
      <c r="K1" s="154"/>
      <c r="L1" s="154"/>
      <c r="M1" s="154"/>
    </row>
    <row r="2" spans="1:61" ht="36" customHeight="1">
      <c r="A2" s="152" t="s">
        <v>281</v>
      </c>
      <c r="Q2" s="168"/>
      <c r="R2" s="5"/>
      <c r="S2" s="5"/>
      <c r="T2" s="5"/>
      <c r="U2" s="183" t="s">
        <v>317</v>
      </c>
      <c r="V2" s="180"/>
      <c r="W2" s="180"/>
      <c r="X2" s="181"/>
      <c r="Y2" s="182"/>
      <c r="Z2" s="182"/>
      <c r="AA2" s="182"/>
      <c r="AB2" s="182"/>
      <c r="AE2" t="s">
        <v>0</v>
      </c>
    </row>
    <row r="3" spans="1:61" ht="15" customHeight="1">
      <c r="A3" s="153" t="str">
        <f>'Pre-Approval Application'!A3</f>
        <v xml:space="preserve"> </v>
      </c>
      <c r="Q3" s="168" t="s">
        <v>0</v>
      </c>
      <c r="R3" s="178"/>
      <c r="S3" s="191" t="s">
        <v>182</v>
      </c>
      <c r="U3" s="1874">
        <f>'Data Entry'!F67</f>
        <v>0</v>
      </c>
      <c r="V3" s="1875"/>
      <c r="W3" s="1875"/>
      <c r="X3" s="1875"/>
      <c r="Y3" s="1875"/>
      <c r="Z3" s="1875"/>
      <c r="AA3" s="1875"/>
      <c r="AB3" s="1876"/>
      <c r="AH3" s="4"/>
    </row>
    <row r="4" spans="1:61">
      <c r="A4" s="48" t="s">
        <v>0</v>
      </c>
      <c r="Q4" s="103" t="s">
        <v>0</v>
      </c>
      <c r="R4" s="5"/>
      <c r="S4" s="191" t="s">
        <v>331</v>
      </c>
      <c r="T4" s="169"/>
      <c r="U4" s="1853">
        <f>'Data Entry'!F66</f>
        <v>0</v>
      </c>
      <c r="V4" s="1854"/>
      <c r="W4" s="1854"/>
      <c r="X4" s="1854"/>
      <c r="Y4" s="1854"/>
      <c r="Z4" s="1854"/>
      <c r="AA4" s="1854"/>
      <c r="AB4" s="1855"/>
      <c r="AH4" s="4"/>
    </row>
    <row r="5" spans="1:61">
      <c r="Q5" s="166" t="s">
        <v>0</v>
      </c>
      <c r="R5" s="5"/>
      <c r="S5" s="191" t="s">
        <v>241</v>
      </c>
      <c r="T5" s="169"/>
      <c r="U5" s="1853">
        <f>'Data Entry'!F68</f>
        <v>0</v>
      </c>
      <c r="V5" s="1854"/>
      <c r="W5" s="1855"/>
      <c r="X5" s="192" t="s">
        <v>277</v>
      </c>
      <c r="Y5" s="170"/>
      <c r="Z5" s="1853">
        <f>'Data Entry'!F69</f>
        <v>0</v>
      </c>
      <c r="AA5" s="1854"/>
      <c r="AB5" s="1855"/>
      <c r="AH5" s="53"/>
      <c r="AR5" s="53"/>
      <c r="BB5" s="53"/>
    </row>
    <row r="6" spans="1:61">
      <c r="A6" s="4" t="s">
        <v>176</v>
      </c>
      <c r="Q6" s="48" t="s">
        <v>0</v>
      </c>
      <c r="R6" s="171" t="s">
        <v>274</v>
      </c>
      <c r="S6" s="191" t="s">
        <v>274</v>
      </c>
      <c r="T6" s="5"/>
      <c r="U6" s="1868">
        <f>'Data Entry'!F70</f>
        <v>0</v>
      </c>
      <c r="V6" s="1869"/>
      <c r="W6" s="1870"/>
      <c r="X6" s="187" t="s">
        <v>307</v>
      </c>
      <c r="Y6" s="172"/>
      <c r="Z6" s="1879">
        <f>'Data Entry'!F71</f>
        <v>0</v>
      </c>
      <c r="AA6" s="1880"/>
      <c r="AB6" s="1881"/>
      <c r="AH6" s="53"/>
      <c r="AR6" s="53"/>
      <c r="BB6" s="53"/>
    </row>
    <row r="7" spans="1:61" ht="7.5" customHeight="1">
      <c r="Q7" s="48"/>
      <c r="R7" s="48"/>
      <c r="S7" s="48"/>
      <c r="T7" s="48"/>
      <c r="U7" s="167"/>
      <c r="V7" s="167"/>
      <c r="W7" s="167"/>
      <c r="X7" s="48"/>
      <c r="Y7" s="48"/>
      <c r="Z7" s="48"/>
      <c r="AA7" s="48"/>
      <c r="AB7" s="48"/>
      <c r="AE7" t="s">
        <v>0</v>
      </c>
      <c r="AH7" s="1942"/>
      <c r="AI7" s="1942"/>
      <c r="AJ7" s="1942"/>
      <c r="AK7" s="1942"/>
      <c r="AL7" s="1942"/>
      <c r="AM7" s="1942"/>
      <c r="AN7" s="1942"/>
      <c r="AO7" s="1942"/>
      <c r="AP7" s="1942"/>
      <c r="AQ7" s="1942"/>
      <c r="AR7" s="1942"/>
      <c r="AS7" s="1942"/>
      <c r="AT7" s="1942"/>
      <c r="AU7" s="1942"/>
      <c r="AV7" s="1942"/>
      <c r="AW7" s="1942"/>
      <c r="AX7" s="1942"/>
      <c r="AY7" s="1942"/>
      <c r="AZ7" s="1942"/>
      <c r="BA7" s="1942"/>
      <c r="BB7" s="1942"/>
      <c r="BC7" s="1942"/>
      <c r="BD7" s="1942"/>
      <c r="BE7" s="1942"/>
      <c r="BF7" s="1942"/>
      <c r="BG7" s="1942"/>
      <c r="BH7" s="1942"/>
      <c r="BI7" s="1942"/>
    </row>
    <row r="8" spans="1:61" ht="13.15" customHeight="1">
      <c r="A8" s="52" t="s">
        <v>1163</v>
      </c>
      <c r="B8" s="104"/>
      <c r="C8" s="104"/>
      <c r="D8" s="104"/>
      <c r="E8" s="104"/>
      <c r="F8" s="104"/>
      <c r="G8" s="104"/>
      <c r="H8" s="104"/>
      <c r="I8" s="104"/>
      <c r="J8" s="104"/>
      <c r="K8" s="104"/>
      <c r="L8" s="104"/>
      <c r="M8" s="104"/>
      <c r="N8" s="105"/>
      <c r="O8" s="52" t="s">
        <v>177</v>
      </c>
      <c r="P8" s="104"/>
      <c r="Q8" s="104"/>
      <c r="R8" s="104"/>
      <c r="S8" s="104"/>
      <c r="T8" s="104"/>
      <c r="U8" s="104"/>
      <c r="V8" s="104"/>
      <c r="W8" s="105"/>
      <c r="X8" s="52" t="s">
        <v>308</v>
      </c>
      <c r="Y8" s="104"/>
      <c r="Z8" s="104"/>
      <c r="AA8" s="104"/>
      <c r="AB8" s="105"/>
      <c r="AH8" s="1908"/>
      <c r="AI8" s="1908"/>
      <c r="AJ8" s="1908"/>
      <c r="AK8" s="1908"/>
      <c r="AL8" s="1908"/>
      <c r="AM8" s="1908"/>
      <c r="AN8" s="1908"/>
      <c r="AO8" s="1908"/>
      <c r="AP8" s="1908"/>
      <c r="AQ8" s="1908"/>
      <c r="AR8" s="1908"/>
      <c r="AS8" s="1908"/>
      <c r="AT8" s="1908"/>
      <c r="AU8" s="1908"/>
      <c r="AV8" s="1908"/>
      <c r="AW8" s="1908"/>
      <c r="AX8" s="1908"/>
      <c r="AY8" s="1908"/>
      <c r="AZ8" s="1908"/>
      <c r="BA8" s="1908"/>
      <c r="BB8" s="1908"/>
      <c r="BC8" s="1942"/>
      <c r="BD8" s="1942"/>
      <c r="BE8" s="1942"/>
      <c r="BF8" s="1908"/>
      <c r="BG8" s="1908"/>
      <c r="BH8" s="1908"/>
      <c r="BI8" s="1908"/>
    </row>
    <row r="9" spans="1:61">
      <c r="A9" s="1862">
        <f>'Data Entry'!B19</f>
        <v>0</v>
      </c>
      <c r="B9" s="1863"/>
      <c r="C9" s="1863"/>
      <c r="D9" s="1863"/>
      <c r="E9" s="1863"/>
      <c r="F9" s="1863"/>
      <c r="G9" s="1863"/>
      <c r="H9" s="1863"/>
      <c r="I9" s="1863"/>
      <c r="J9" s="1863"/>
      <c r="K9" s="1863"/>
      <c r="L9" s="1863"/>
      <c r="M9" s="1863"/>
      <c r="N9" s="1864"/>
      <c r="O9" s="1862">
        <f>'Data Entry'!U19</f>
        <v>0</v>
      </c>
      <c r="P9" s="1863"/>
      <c r="Q9" s="1863"/>
      <c r="R9" s="1863"/>
      <c r="S9" s="1863"/>
      <c r="T9" s="1863"/>
      <c r="U9" s="1863"/>
      <c r="V9" s="1863"/>
      <c r="W9" s="1864"/>
      <c r="X9" s="1943" t="str">
        <f>'Pre-Approval Application'!X9</f>
        <v>Account Number</v>
      </c>
      <c r="Y9" s="1944"/>
      <c r="Z9" s="1944"/>
      <c r="AA9" s="1944"/>
      <c r="AB9" s="1945"/>
      <c r="AH9" s="53"/>
      <c r="AO9" s="53"/>
      <c r="AV9" s="53"/>
    </row>
    <row r="10" spans="1:61" ht="13.15" customHeight="1">
      <c r="A10" s="52" t="s">
        <v>269</v>
      </c>
      <c r="B10" s="104"/>
      <c r="C10" s="104"/>
      <c r="D10" s="104"/>
      <c r="E10" s="104"/>
      <c r="F10" s="104"/>
      <c r="G10" s="104"/>
      <c r="H10" s="104"/>
      <c r="I10" s="104"/>
      <c r="J10" s="104"/>
      <c r="K10" s="104"/>
      <c r="L10" s="104"/>
      <c r="M10" s="104"/>
      <c r="N10" s="105"/>
      <c r="O10" s="52" t="s">
        <v>234</v>
      </c>
      <c r="P10" s="104"/>
      <c r="Q10" s="104"/>
      <c r="R10" s="104"/>
      <c r="S10" s="104"/>
      <c r="T10" s="104"/>
      <c r="U10" s="104"/>
      <c r="V10" s="104"/>
      <c r="W10" s="104"/>
      <c r="X10" s="104"/>
      <c r="Y10" s="104"/>
      <c r="Z10" s="104"/>
      <c r="AA10" s="104"/>
      <c r="AB10" s="105"/>
      <c r="AH10" s="1908"/>
      <c r="AI10" s="1908"/>
      <c r="AJ10" s="1908"/>
      <c r="AK10" s="1908"/>
      <c r="AL10" s="1908"/>
      <c r="AM10" s="1908"/>
      <c r="AN10" s="1908"/>
      <c r="AO10" s="1908"/>
      <c r="AP10" s="1908"/>
      <c r="AQ10" s="1908"/>
      <c r="AR10" s="1908"/>
      <c r="AS10" s="1908"/>
      <c r="AT10" s="1908"/>
      <c r="AU10" s="1908"/>
      <c r="AV10" s="1942"/>
      <c r="AW10" s="1942"/>
      <c r="AX10" s="1942"/>
      <c r="AY10" s="1942"/>
      <c r="AZ10" s="1942"/>
      <c r="BA10" s="1942"/>
      <c r="BB10" s="1942"/>
      <c r="BC10" s="1942"/>
      <c r="BD10" s="1942"/>
      <c r="BE10" s="1942"/>
      <c r="BF10" s="1942"/>
      <c r="BG10" s="1942"/>
      <c r="BH10" s="1942"/>
      <c r="BI10" s="1942"/>
    </row>
    <row r="11" spans="1:61">
      <c r="A11" s="1862">
        <f>'Data Entry'!B21</f>
        <v>0</v>
      </c>
      <c r="B11" s="1863"/>
      <c r="C11" s="1863"/>
      <c r="D11" s="1863"/>
      <c r="E11" s="1863"/>
      <c r="F11" s="1863"/>
      <c r="G11" s="1863"/>
      <c r="H11" s="1863"/>
      <c r="I11" s="1863"/>
      <c r="J11" s="1863"/>
      <c r="K11" s="1863"/>
      <c r="L11" s="1863"/>
      <c r="M11" s="1863"/>
      <c r="N11" s="1864"/>
      <c r="O11" s="1862" t="str">
        <f>'Data Entry'!U21</f>
        <v>Please select</v>
      </c>
      <c r="P11" s="1863"/>
      <c r="Q11" s="1863"/>
      <c r="R11" s="1863"/>
      <c r="S11" s="1863"/>
      <c r="T11" s="1863"/>
      <c r="U11" s="1863"/>
      <c r="V11" s="1863"/>
      <c r="W11" s="1863"/>
      <c r="X11" s="1863"/>
      <c r="Y11" s="1863"/>
      <c r="Z11" s="1863"/>
      <c r="AA11" s="1863"/>
      <c r="AB11" s="1864"/>
      <c r="AH11" s="53"/>
      <c r="AS11" s="35"/>
      <c r="AT11" s="35"/>
      <c r="AU11" s="35"/>
      <c r="AV11" s="53"/>
    </row>
    <row r="12" spans="1:61" ht="13.15" customHeight="1">
      <c r="A12" s="52" t="s">
        <v>270</v>
      </c>
      <c r="B12" s="104"/>
      <c r="C12" s="104"/>
      <c r="D12" s="104"/>
      <c r="E12" s="104"/>
      <c r="F12" s="104"/>
      <c r="G12" s="104"/>
      <c r="H12" s="104"/>
      <c r="I12" s="104"/>
      <c r="J12" s="104"/>
      <c r="K12" s="104"/>
      <c r="L12" s="104"/>
      <c r="M12" s="104"/>
      <c r="N12" s="105"/>
      <c r="O12" s="52" t="s">
        <v>55</v>
      </c>
      <c r="P12" s="104"/>
      <c r="Q12" s="104"/>
      <c r="R12" s="104"/>
      <c r="S12" s="104"/>
      <c r="T12" s="104"/>
      <c r="U12" s="105"/>
      <c r="V12" s="52" t="s">
        <v>56</v>
      </c>
      <c r="W12" s="104"/>
      <c r="X12" s="104"/>
      <c r="Y12" s="52" t="s">
        <v>57</v>
      </c>
      <c r="Z12" s="104"/>
      <c r="AA12" s="104"/>
      <c r="AB12" s="105"/>
      <c r="AS12" s="35"/>
      <c r="AT12" s="35"/>
      <c r="AU12" s="35"/>
      <c r="AV12" s="1942"/>
      <c r="AW12" s="1942"/>
      <c r="AX12" s="1942"/>
      <c r="AY12" s="1942"/>
      <c r="AZ12" s="1942"/>
      <c r="BA12" s="1942"/>
      <c r="BB12" s="1942"/>
      <c r="BC12" s="1942"/>
      <c r="BD12" s="1942"/>
      <c r="BE12" s="1942"/>
      <c r="BF12" s="1942"/>
      <c r="BG12" s="1942"/>
      <c r="BH12" s="1942"/>
      <c r="BI12" s="1942"/>
    </row>
    <row r="13" spans="1:61">
      <c r="A13" s="1862">
        <f>'Data Entry'!B23</f>
        <v>0</v>
      </c>
      <c r="B13" s="1863"/>
      <c r="C13" s="1863"/>
      <c r="D13" s="1863"/>
      <c r="E13" s="1863"/>
      <c r="F13" s="1863"/>
      <c r="G13" s="1863"/>
      <c r="H13" s="1863"/>
      <c r="I13" s="1863"/>
      <c r="J13" s="1863"/>
      <c r="K13" s="1863"/>
      <c r="L13" s="1863"/>
      <c r="M13" s="1863"/>
      <c r="N13" s="1864"/>
      <c r="O13" s="1862">
        <f>'Data Entry'!U23</f>
        <v>0</v>
      </c>
      <c r="P13" s="1863"/>
      <c r="Q13" s="1863"/>
      <c r="R13" s="1863"/>
      <c r="S13" s="1863"/>
      <c r="T13" s="1863"/>
      <c r="U13" s="1864"/>
      <c r="V13" s="1862" t="str">
        <f>UPPER('Data Entry'!AF23)</f>
        <v/>
      </c>
      <c r="W13" s="1863"/>
      <c r="X13" s="1863"/>
      <c r="Y13" s="1856">
        <f>'Data Entry'!AI23</f>
        <v>0</v>
      </c>
      <c r="Z13" s="1857"/>
      <c r="AA13" s="1857"/>
      <c r="AB13" s="1858"/>
      <c r="AH13" s="53"/>
      <c r="AS13" s="35"/>
      <c r="AT13" s="35"/>
      <c r="AU13" s="35"/>
      <c r="AV13" s="54"/>
      <c r="AW13" s="54"/>
      <c r="AX13" s="54"/>
      <c r="AY13" s="54"/>
      <c r="AZ13" s="54"/>
      <c r="BA13" s="54"/>
      <c r="BB13" s="54"/>
      <c r="BC13" s="54"/>
      <c r="BD13" s="54"/>
      <c r="BE13" s="54"/>
      <c r="BF13" s="54"/>
      <c r="BG13" s="54"/>
      <c r="BH13" s="54"/>
      <c r="BI13" s="54"/>
    </row>
    <row r="14" spans="1:61" ht="13.15" customHeight="1">
      <c r="A14" s="52" t="s">
        <v>429</v>
      </c>
      <c r="B14" s="104"/>
      <c r="C14" s="104"/>
      <c r="D14" s="104"/>
      <c r="E14" s="104"/>
      <c r="F14" s="104"/>
      <c r="G14" s="104"/>
      <c r="H14" s="104"/>
      <c r="I14" s="104"/>
      <c r="J14" s="104"/>
      <c r="K14" s="104"/>
      <c r="L14" s="104"/>
      <c r="M14" s="104"/>
      <c r="N14" s="105"/>
      <c r="O14" s="52" t="s">
        <v>55</v>
      </c>
      <c r="P14" s="104"/>
      <c r="Q14" s="104"/>
      <c r="R14" s="104"/>
      <c r="S14" s="104"/>
      <c r="T14" s="104"/>
      <c r="U14" s="105"/>
      <c r="V14" s="52" t="s">
        <v>56</v>
      </c>
      <c r="W14" s="104"/>
      <c r="X14" s="104"/>
      <c r="Y14" s="52" t="s">
        <v>57</v>
      </c>
      <c r="Z14" s="104"/>
      <c r="AA14" s="104"/>
      <c r="AB14" s="105"/>
      <c r="AH14" s="53"/>
      <c r="AS14" s="35"/>
      <c r="AT14" s="35"/>
      <c r="AU14" s="35"/>
      <c r="AV14" s="54"/>
      <c r="AW14" s="54"/>
      <c r="AX14" s="54"/>
      <c r="AY14" s="54"/>
      <c r="AZ14" s="54"/>
      <c r="BA14" s="54"/>
      <c r="BB14" s="54"/>
      <c r="BC14" s="54"/>
      <c r="BD14" s="54"/>
      <c r="BE14" s="54"/>
      <c r="BF14" s="54"/>
      <c r="BG14" s="54"/>
      <c r="BH14" s="54"/>
      <c r="BI14" s="54"/>
    </row>
    <row r="15" spans="1:61">
      <c r="A15" s="1862">
        <f>'Data Entry'!B25</f>
        <v>0</v>
      </c>
      <c r="B15" s="1863"/>
      <c r="C15" s="1863"/>
      <c r="D15" s="1863"/>
      <c r="E15" s="1863"/>
      <c r="F15" s="1863"/>
      <c r="G15" s="1863"/>
      <c r="H15" s="1863"/>
      <c r="I15" s="1863"/>
      <c r="J15" s="1863"/>
      <c r="K15" s="1863"/>
      <c r="L15" s="1863"/>
      <c r="M15" s="1863"/>
      <c r="N15" s="1864"/>
      <c r="O15" s="1862">
        <f>'Data Entry'!U25</f>
        <v>0</v>
      </c>
      <c r="P15" s="1863"/>
      <c r="Q15" s="1863"/>
      <c r="R15" s="1863"/>
      <c r="S15" s="1863"/>
      <c r="T15" s="1863"/>
      <c r="U15" s="1864"/>
      <c r="V15" s="1862" t="str">
        <f>UPPER('Data Entry'!AF25)</f>
        <v/>
      </c>
      <c r="W15" s="1863"/>
      <c r="X15" s="1863"/>
      <c r="Y15" s="1856">
        <f>'Data Entry'!AI25</f>
        <v>0</v>
      </c>
      <c r="Z15" s="1857"/>
      <c r="AA15" s="1857"/>
      <c r="AB15" s="1858"/>
    </row>
    <row r="16" spans="1:61" ht="13.15" customHeight="1">
      <c r="A16" s="52" t="s">
        <v>58</v>
      </c>
      <c r="B16" s="104"/>
      <c r="C16" s="104"/>
      <c r="D16" s="104"/>
      <c r="E16" s="104"/>
      <c r="F16" s="104"/>
      <c r="G16" s="104"/>
      <c r="H16" s="104"/>
      <c r="I16" s="104"/>
      <c r="J16" s="104"/>
      <c r="K16" s="104"/>
      <c r="L16" s="104"/>
      <c r="M16" s="104"/>
      <c r="N16" s="105"/>
      <c r="O16" s="52" t="s">
        <v>59</v>
      </c>
      <c r="P16" s="104"/>
      <c r="Q16" s="104"/>
      <c r="R16" s="104"/>
      <c r="S16" s="104"/>
      <c r="T16" s="104"/>
      <c r="U16" s="104"/>
      <c r="V16" s="104"/>
      <c r="W16" s="104"/>
      <c r="X16" s="104"/>
      <c r="Y16" s="104"/>
      <c r="Z16" s="104"/>
      <c r="AA16" s="104"/>
      <c r="AB16" s="105"/>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row>
    <row r="17" spans="1:61">
      <c r="A17" s="1862">
        <f>'Data Entry'!B27</f>
        <v>0</v>
      </c>
      <c r="B17" s="1863"/>
      <c r="C17" s="1863"/>
      <c r="D17" s="1863"/>
      <c r="E17" s="1863"/>
      <c r="F17" s="1863"/>
      <c r="G17" s="1863"/>
      <c r="H17" s="1863"/>
      <c r="I17" s="1863"/>
      <c r="J17" s="1863"/>
      <c r="K17" s="1863"/>
      <c r="L17" s="1863"/>
      <c r="M17" s="1863"/>
      <c r="N17" s="1864"/>
      <c r="O17" s="1862">
        <f>'Data Entry'!U27</f>
        <v>0</v>
      </c>
      <c r="P17" s="1863"/>
      <c r="Q17" s="1863"/>
      <c r="R17" s="1863"/>
      <c r="S17" s="1863"/>
      <c r="T17" s="1863"/>
      <c r="U17" s="1863"/>
      <c r="V17" s="1863"/>
      <c r="W17" s="1863"/>
      <c r="X17" s="1863"/>
      <c r="Y17" s="1863"/>
      <c r="Z17" s="1863"/>
      <c r="AA17" s="1863"/>
      <c r="AB17" s="1864"/>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row>
    <row r="18" spans="1:61" ht="13.15" customHeight="1">
      <c r="A18" s="52" t="s">
        <v>1543</v>
      </c>
      <c r="B18" s="104"/>
      <c r="C18" s="104"/>
      <c r="D18" s="104"/>
      <c r="E18" s="104"/>
      <c r="F18" s="104"/>
      <c r="G18" s="105"/>
      <c r="H18" s="50" t="s">
        <v>1544</v>
      </c>
      <c r="I18" s="3"/>
      <c r="J18" s="104"/>
      <c r="K18" s="104"/>
      <c r="L18" s="104"/>
      <c r="M18" s="104"/>
      <c r="N18" s="105"/>
      <c r="O18" s="52" t="s">
        <v>278</v>
      </c>
      <c r="P18" s="104"/>
      <c r="Q18" s="104"/>
      <c r="R18" s="104"/>
      <c r="S18" s="104"/>
      <c r="T18" s="104"/>
      <c r="U18" s="104"/>
      <c r="V18" s="104"/>
      <c r="W18" s="104"/>
      <c r="X18" s="104"/>
      <c r="Y18" s="104"/>
      <c r="Z18" s="104"/>
      <c r="AA18" s="104"/>
      <c r="AB18" s="105"/>
    </row>
    <row r="19" spans="1:61">
      <c r="A19" s="1871">
        <f>'Data Entry'!B29</f>
        <v>0</v>
      </c>
      <c r="B19" s="1872"/>
      <c r="C19" s="1872"/>
      <c r="D19" s="1872"/>
      <c r="E19" s="1872"/>
      <c r="F19" s="1872"/>
      <c r="G19" s="1873"/>
      <c r="H19" s="1871">
        <f>'Data Entry'!K29</f>
        <v>0</v>
      </c>
      <c r="I19" s="1872"/>
      <c r="J19" s="1872"/>
      <c r="K19" s="1872"/>
      <c r="L19" s="1872"/>
      <c r="M19" s="1872"/>
      <c r="N19" s="1873"/>
      <c r="O19" s="1862">
        <f>'Data Entry'!U29</f>
        <v>0</v>
      </c>
      <c r="P19" s="1863"/>
      <c r="Q19" s="1863"/>
      <c r="R19" s="1863"/>
      <c r="S19" s="1863"/>
      <c r="T19" s="1863"/>
      <c r="U19" s="1863"/>
      <c r="V19" s="1863"/>
      <c r="W19" s="1863"/>
      <c r="X19" s="1863"/>
      <c r="Y19" s="1863"/>
      <c r="Z19" s="1863"/>
      <c r="AA19" s="1863"/>
      <c r="AB19" s="1864"/>
    </row>
    <row r="20" spans="1:61" ht="12" customHeight="1">
      <c r="A20" s="5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61">
      <c r="A21" s="4" t="s">
        <v>1582</v>
      </c>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61" ht="13.15" customHeight="1">
      <c r="A22" s="52" t="s">
        <v>60</v>
      </c>
      <c r="B22" s="104"/>
      <c r="C22" s="104"/>
      <c r="D22" s="104"/>
      <c r="E22" s="104"/>
      <c r="F22" s="104"/>
      <c r="G22" s="104"/>
      <c r="H22" s="104"/>
      <c r="I22" s="104"/>
      <c r="J22" s="104"/>
      <c r="K22" s="104"/>
      <c r="L22" s="104"/>
      <c r="M22" s="104"/>
      <c r="N22" s="105"/>
      <c r="O22" s="52" t="s">
        <v>421</v>
      </c>
      <c r="P22" s="104"/>
      <c r="Q22" s="104"/>
      <c r="R22" s="104"/>
      <c r="S22" s="104"/>
      <c r="T22" s="104"/>
      <c r="U22" s="104"/>
      <c r="V22" s="104"/>
      <c r="W22" s="104"/>
      <c r="X22" s="104"/>
      <c r="Y22" s="104"/>
      <c r="Z22" s="104"/>
      <c r="AA22" s="104"/>
      <c r="AB22" s="105"/>
    </row>
    <row r="23" spans="1:61">
      <c r="A23" s="1862" t="str">
        <f>IF('Data Entry'!B33="","",'Data Entry'!B33)</f>
        <v/>
      </c>
      <c r="B23" s="1863"/>
      <c r="C23" s="1863"/>
      <c r="D23" s="1863"/>
      <c r="E23" s="1863"/>
      <c r="F23" s="1863"/>
      <c r="G23" s="1863"/>
      <c r="H23" s="1863"/>
      <c r="I23" s="1863"/>
      <c r="J23" s="1863"/>
      <c r="K23" s="1863"/>
      <c r="L23" s="1863"/>
      <c r="M23" s="1863"/>
      <c r="N23" s="1864"/>
      <c r="O23" s="1862" t="str">
        <f>IF('Data Entry'!U33="","",'Data Entry'!U33)</f>
        <v/>
      </c>
      <c r="P23" s="1863"/>
      <c r="Q23" s="1863"/>
      <c r="R23" s="1863"/>
      <c r="S23" s="1863"/>
      <c r="T23" s="1863"/>
      <c r="U23" s="1863"/>
      <c r="V23" s="1863"/>
      <c r="W23" s="1863"/>
      <c r="X23" s="1863"/>
      <c r="Y23" s="1863"/>
      <c r="Z23" s="1863"/>
      <c r="AA23" s="1863"/>
      <c r="AB23" s="1864"/>
    </row>
    <row r="24" spans="1:61" ht="13.15" customHeight="1">
      <c r="A24" s="52" t="s">
        <v>61</v>
      </c>
      <c r="B24" s="104"/>
      <c r="C24" s="104"/>
      <c r="D24" s="104"/>
      <c r="E24" s="104"/>
      <c r="F24" s="104"/>
      <c r="G24" s="104"/>
      <c r="H24" s="104"/>
      <c r="I24" s="104"/>
      <c r="J24" s="104"/>
      <c r="K24" s="104"/>
      <c r="L24" s="104"/>
      <c r="M24" s="104"/>
      <c r="N24" s="105"/>
      <c r="O24" s="52" t="s">
        <v>55</v>
      </c>
      <c r="P24" s="104"/>
      <c r="Q24" s="104"/>
      <c r="R24" s="104"/>
      <c r="S24" s="104"/>
      <c r="T24" s="104"/>
      <c r="U24" s="105"/>
      <c r="V24" s="52" t="s">
        <v>56</v>
      </c>
      <c r="W24" s="104"/>
      <c r="X24" s="104"/>
      <c r="Y24" s="52" t="s">
        <v>57</v>
      </c>
      <c r="Z24" s="104"/>
      <c r="AA24" s="104"/>
      <c r="AB24" s="105"/>
    </row>
    <row r="25" spans="1:61">
      <c r="A25" s="1865">
        <f>'Data Entry'!B35</f>
        <v>0</v>
      </c>
      <c r="B25" s="1866"/>
      <c r="C25" s="1866"/>
      <c r="D25" s="1866"/>
      <c r="E25" s="1866"/>
      <c r="F25" s="1866"/>
      <c r="G25" s="1866"/>
      <c r="H25" s="1866"/>
      <c r="I25" s="1866"/>
      <c r="J25" s="1866"/>
      <c r="K25" s="1866"/>
      <c r="L25" s="1866"/>
      <c r="M25" s="1866"/>
      <c r="N25" s="1867"/>
      <c r="O25" s="1865">
        <f>'Data Entry'!U35</f>
        <v>0</v>
      </c>
      <c r="P25" s="1866"/>
      <c r="Q25" s="1866"/>
      <c r="R25" s="1866"/>
      <c r="S25" s="1866"/>
      <c r="T25" s="1866"/>
      <c r="U25" s="1867"/>
      <c r="V25" s="1862" t="str">
        <f>UPPER('Data Entry'!AF35)</f>
        <v/>
      </c>
      <c r="W25" s="1863"/>
      <c r="X25" s="1863"/>
      <c r="Y25" s="1856">
        <f>'Data Entry'!AI35</f>
        <v>0</v>
      </c>
      <c r="Z25" s="1857"/>
      <c r="AA25" s="1857"/>
      <c r="AB25" s="1858"/>
    </row>
    <row r="26" spans="1:61" ht="13.15" customHeight="1">
      <c r="A26" s="52" t="s">
        <v>58</v>
      </c>
      <c r="B26" s="104"/>
      <c r="C26" s="104"/>
      <c r="D26" s="104"/>
      <c r="E26" s="104"/>
      <c r="F26" s="104"/>
      <c r="G26" s="104"/>
      <c r="H26" s="104"/>
      <c r="I26" s="104"/>
      <c r="J26" s="104"/>
      <c r="K26" s="104"/>
      <c r="L26" s="104"/>
      <c r="M26" s="104"/>
      <c r="N26" s="105"/>
      <c r="O26" s="52" t="s">
        <v>59</v>
      </c>
      <c r="P26" s="104"/>
      <c r="Q26" s="104"/>
      <c r="R26" s="104"/>
      <c r="S26" s="104"/>
      <c r="T26" s="104"/>
      <c r="U26" s="104"/>
      <c r="V26" s="104"/>
      <c r="W26" s="104"/>
      <c r="X26" s="104"/>
      <c r="Y26" s="104"/>
      <c r="Z26" s="104"/>
      <c r="AA26" s="104"/>
      <c r="AB26" s="105"/>
    </row>
    <row r="27" spans="1:61">
      <c r="A27" s="1865">
        <f>'Data Entry'!B37</f>
        <v>0</v>
      </c>
      <c r="B27" s="1866"/>
      <c r="C27" s="1866"/>
      <c r="D27" s="1866"/>
      <c r="E27" s="1866"/>
      <c r="F27" s="1866"/>
      <c r="G27" s="1866"/>
      <c r="H27" s="1866"/>
      <c r="I27" s="1866"/>
      <c r="J27" s="1866"/>
      <c r="K27" s="1866"/>
      <c r="L27" s="1866"/>
      <c r="M27" s="1866"/>
      <c r="N27" s="1867"/>
      <c r="O27" s="1865">
        <f>'Data Entry'!U37</f>
        <v>0</v>
      </c>
      <c r="P27" s="1866"/>
      <c r="Q27" s="1866"/>
      <c r="R27" s="1866"/>
      <c r="S27" s="1866"/>
      <c r="T27" s="1866"/>
      <c r="U27" s="1866"/>
      <c r="V27" s="1866"/>
      <c r="W27" s="1866"/>
      <c r="X27" s="1866"/>
      <c r="Y27" s="1866"/>
      <c r="Z27" s="1866"/>
      <c r="AA27" s="1866"/>
      <c r="AB27" s="1867"/>
    </row>
    <row r="28" spans="1:61" ht="13.15" customHeight="1">
      <c r="A28" s="52" t="s">
        <v>1543</v>
      </c>
      <c r="B28" s="104"/>
      <c r="C28" s="104"/>
      <c r="D28" s="104"/>
      <c r="E28" s="104"/>
      <c r="F28" s="104"/>
      <c r="G28" s="105"/>
      <c r="H28" s="50" t="s">
        <v>1544</v>
      </c>
      <c r="I28" s="3"/>
      <c r="J28" s="104"/>
      <c r="K28" s="104"/>
      <c r="L28" s="104"/>
      <c r="M28" s="104"/>
      <c r="N28" s="105"/>
      <c r="O28" s="52" t="s">
        <v>278</v>
      </c>
      <c r="P28" s="104"/>
      <c r="Q28" s="104"/>
      <c r="R28" s="104"/>
      <c r="S28" s="104"/>
      <c r="T28" s="104"/>
      <c r="U28" s="104"/>
      <c r="V28" s="104"/>
      <c r="W28" s="104"/>
      <c r="X28" s="104"/>
      <c r="Y28" s="104"/>
      <c r="Z28" s="104"/>
      <c r="AA28" s="104"/>
      <c r="AB28" s="105"/>
    </row>
    <row r="29" spans="1:61">
      <c r="A29" s="1871">
        <f>'Data Entry'!B39</f>
        <v>0</v>
      </c>
      <c r="B29" s="1872"/>
      <c r="C29" s="1872"/>
      <c r="D29" s="1872"/>
      <c r="E29" s="1872"/>
      <c r="F29" s="1872"/>
      <c r="G29" s="1873"/>
      <c r="H29" s="1871">
        <f>'Data Entry'!K39</f>
        <v>0</v>
      </c>
      <c r="I29" s="1872"/>
      <c r="J29" s="1872"/>
      <c r="K29" s="1872"/>
      <c r="L29" s="1872"/>
      <c r="M29" s="1872"/>
      <c r="N29" s="1873"/>
      <c r="O29" s="1865">
        <f>'Data Entry'!U39</f>
        <v>0</v>
      </c>
      <c r="P29" s="1866"/>
      <c r="Q29" s="1866"/>
      <c r="R29" s="1866"/>
      <c r="S29" s="1866"/>
      <c r="T29" s="1866"/>
      <c r="U29" s="1866"/>
      <c r="V29" s="1866"/>
      <c r="W29" s="1866"/>
      <c r="X29" s="1866"/>
      <c r="Y29" s="1866"/>
      <c r="Z29" s="1866"/>
      <c r="AA29" s="1866"/>
      <c r="AB29" s="1867"/>
    </row>
    <row r="30" spans="1:61" ht="12" customHeight="1">
      <c r="A30" s="54"/>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row>
    <row r="31" spans="1:61">
      <c r="A31" s="4" t="s">
        <v>279</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row>
    <row r="32" spans="1:61" ht="13.15" customHeight="1">
      <c r="A32" s="52" t="s">
        <v>60</v>
      </c>
      <c r="B32" s="104"/>
      <c r="C32" s="104"/>
      <c r="D32" s="104"/>
      <c r="E32" s="104"/>
      <c r="F32" s="104"/>
      <c r="G32" s="104"/>
      <c r="H32" s="104"/>
      <c r="I32" s="104"/>
      <c r="J32" s="104"/>
      <c r="K32" s="104"/>
      <c r="L32" s="104"/>
      <c r="M32" s="104"/>
      <c r="N32" s="105"/>
      <c r="O32" s="52" t="s">
        <v>58</v>
      </c>
      <c r="P32" s="104"/>
      <c r="Q32" s="104"/>
      <c r="R32" s="104"/>
      <c r="S32" s="104"/>
      <c r="T32" s="104"/>
      <c r="U32" s="104"/>
      <c r="V32" s="104"/>
      <c r="W32" s="104"/>
      <c r="X32" s="104"/>
      <c r="Y32" s="104"/>
      <c r="Z32" s="104"/>
      <c r="AA32" s="104"/>
      <c r="AB32" s="105"/>
    </row>
    <row r="33" spans="1:31">
      <c r="A33" s="1862" t="str">
        <f>IF('Data Entry'!B43="","",'Data Entry'!B43)</f>
        <v/>
      </c>
      <c r="B33" s="1863"/>
      <c r="C33" s="1863"/>
      <c r="D33" s="1863"/>
      <c r="E33" s="1863"/>
      <c r="F33" s="1863"/>
      <c r="G33" s="1863"/>
      <c r="H33" s="1863"/>
      <c r="I33" s="1863"/>
      <c r="J33" s="1863"/>
      <c r="K33" s="1863"/>
      <c r="L33" s="1863"/>
      <c r="M33" s="1863"/>
      <c r="N33" s="1864"/>
      <c r="O33" s="1862" t="str">
        <f>IF('Data Entry'!U43="","",'Data Entry'!U43)</f>
        <v/>
      </c>
      <c r="P33" s="1863"/>
      <c r="Q33" s="1863"/>
      <c r="R33" s="1863"/>
      <c r="S33" s="1863"/>
      <c r="T33" s="1863"/>
      <c r="U33" s="1863"/>
      <c r="V33" s="1863"/>
      <c r="W33" s="1863"/>
      <c r="X33" s="1863"/>
      <c r="Y33" s="1863"/>
      <c r="Z33" s="1863"/>
      <c r="AA33" s="1863"/>
      <c r="AB33" s="1864"/>
    </row>
    <row r="34" spans="1:31" ht="13.15" customHeight="1">
      <c r="A34" s="52" t="s">
        <v>61</v>
      </c>
      <c r="B34" s="104"/>
      <c r="C34" s="104"/>
      <c r="D34" s="104"/>
      <c r="E34" s="104"/>
      <c r="F34" s="104"/>
      <c r="G34" s="104"/>
      <c r="H34" s="104"/>
      <c r="I34" s="104"/>
      <c r="J34" s="104"/>
      <c r="K34" s="104"/>
      <c r="L34" s="104"/>
      <c r="M34" s="104"/>
      <c r="N34" s="105"/>
      <c r="O34" s="52" t="s">
        <v>55</v>
      </c>
      <c r="P34" s="104"/>
      <c r="Q34" s="104"/>
      <c r="R34" s="104"/>
      <c r="S34" s="104"/>
      <c r="T34" s="104"/>
      <c r="U34" s="105"/>
      <c r="V34" s="50" t="s">
        <v>56</v>
      </c>
      <c r="W34" s="104"/>
      <c r="X34" s="104"/>
      <c r="Y34" s="52" t="s">
        <v>57</v>
      </c>
      <c r="Z34" s="104"/>
      <c r="AA34" s="104"/>
      <c r="AB34" s="105"/>
    </row>
    <row r="35" spans="1:31">
      <c r="A35" s="1865">
        <f>'Data Entry'!B45</f>
        <v>0</v>
      </c>
      <c r="B35" s="1866"/>
      <c r="C35" s="1866"/>
      <c r="D35" s="1866"/>
      <c r="E35" s="1866"/>
      <c r="F35" s="1866"/>
      <c r="G35" s="1866"/>
      <c r="H35" s="1866"/>
      <c r="I35" s="1866"/>
      <c r="J35" s="1866"/>
      <c r="K35" s="1866"/>
      <c r="L35" s="1866"/>
      <c r="M35" s="1866"/>
      <c r="N35" s="1867"/>
      <c r="O35" s="1865">
        <f>'Data Entry'!U45</f>
        <v>0</v>
      </c>
      <c r="P35" s="1866"/>
      <c r="Q35" s="1866"/>
      <c r="R35" s="1866"/>
      <c r="S35" s="1866"/>
      <c r="T35" s="1866"/>
      <c r="U35" s="1867"/>
      <c r="V35" s="1862" t="str">
        <f>UPPER('Data Entry'!AF45)</f>
        <v/>
      </c>
      <c r="W35" s="1863"/>
      <c r="X35" s="1863"/>
      <c r="Y35" s="1856">
        <f>'Data Entry'!AI45</f>
        <v>0</v>
      </c>
      <c r="Z35" s="1857"/>
      <c r="AA35" s="1857"/>
      <c r="AB35" s="1858"/>
    </row>
    <row r="36" spans="1:31" ht="13.15" customHeight="1">
      <c r="A36" s="52" t="str">
        <f>'Data Entry'!B46</f>
        <v>Primary Phone Number</v>
      </c>
      <c r="B36" s="50"/>
      <c r="C36" s="50"/>
      <c r="D36" s="50"/>
      <c r="E36" s="50"/>
      <c r="F36" s="50"/>
      <c r="G36" s="106"/>
      <c r="H36" s="52" t="s">
        <v>1544</v>
      </c>
      <c r="I36" s="50"/>
      <c r="J36" s="50"/>
      <c r="K36" s="50"/>
      <c r="L36" s="50"/>
      <c r="M36" s="50"/>
      <c r="N36" s="106"/>
      <c r="O36" s="1850" t="s">
        <v>278</v>
      </c>
      <c r="P36" s="1851"/>
      <c r="Q36" s="1851"/>
      <c r="R36" s="1851"/>
      <c r="S36" s="1851"/>
      <c r="T36" s="1851"/>
      <c r="U36" s="1851"/>
      <c r="V36" s="1851" t="s">
        <v>0</v>
      </c>
      <c r="W36" s="1851"/>
      <c r="X36" s="1851"/>
      <c r="Y36" s="1851" t="s">
        <v>0</v>
      </c>
      <c r="Z36" s="1851"/>
      <c r="AA36" s="1851"/>
      <c r="AB36" s="1852"/>
    </row>
    <row r="37" spans="1:31">
      <c r="A37" s="1871">
        <f>'Data Entry'!B47</f>
        <v>0</v>
      </c>
      <c r="B37" s="1872"/>
      <c r="C37" s="1872"/>
      <c r="D37" s="1872"/>
      <c r="E37" s="1872"/>
      <c r="F37" s="1872"/>
      <c r="G37" s="1873"/>
      <c r="H37" s="1871">
        <f>'Data Entry'!K47</f>
        <v>0</v>
      </c>
      <c r="I37" s="1872"/>
      <c r="J37" s="1872"/>
      <c r="K37" s="1872"/>
      <c r="L37" s="1872"/>
      <c r="M37" s="1872"/>
      <c r="N37" s="1873"/>
      <c r="O37" s="1865">
        <f>'Data Entry'!U47</f>
        <v>0</v>
      </c>
      <c r="P37" s="1866"/>
      <c r="Q37" s="1866"/>
      <c r="R37" s="1866"/>
      <c r="S37" s="1866"/>
      <c r="T37" s="1866"/>
      <c r="U37" s="1866"/>
      <c r="V37" s="1866"/>
      <c r="W37" s="1866"/>
      <c r="X37" s="1866"/>
      <c r="Y37" s="1866"/>
      <c r="Z37" s="1866"/>
      <c r="AA37" s="1866"/>
      <c r="AB37" s="1867"/>
    </row>
    <row r="38" spans="1:31" ht="12" customHeight="1">
      <c r="A38" s="314"/>
      <c r="B38" s="314"/>
      <c r="C38" s="314"/>
      <c r="D38" s="314"/>
      <c r="E38" s="314"/>
      <c r="F38" s="314"/>
      <c r="G38" s="314"/>
      <c r="H38" s="314"/>
      <c r="I38" s="314"/>
      <c r="J38" s="314"/>
      <c r="K38" s="314"/>
      <c r="L38" s="314"/>
      <c r="M38" s="314"/>
      <c r="N38" s="314"/>
      <c r="O38" s="297"/>
      <c r="P38" s="297"/>
      <c r="Q38" s="297"/>
      <c r="R38" s="297"/>
      <c r="S38" s="297"/>
      <c r="T38" s="297"/>
      <c r="U38" s="297"/>
      <c r="V38" s="297"/>
      <c r="W38" s="297"/>
      <c r="X38" s="297"/>
      <c r="Y38" s="297"/>
      <c r="Z38" s="297"/>
      <c r="AA38" s="297"/>
      <c r="AB38" s="297"/>
    </row>
    <row r="39" spans="1:31">
      <c r="A39" s="4" t="s">
        <v>1211</v>
      </c>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row>
    <row r="40" spans="1:31">
      <c r="A40" s="52" t="s">
        <v>60</v>
      </c>
      <c r="B40" s="104"/>
      <c r="C40" s="104"/>
      <c r="D40" s="104"/>
      <c r="E40" s="104"/>
      <c r="F40" s="104"/>
      <c r="G40" s="104"/>
      <c r="H40" s="104"/>
      <c r="I40" s="104"/>
      <c r="J40" s="104"/>
      <c r="K40" s="104"/>
      <c r="L40" s="104"/>
      <c r="M40" s="104"/>
      <c r="N40" s="105"/>
      <c r="O40" s="52" t="s">
        <v>58</v>
      </c>
      <c r="P40" s="104"/>
      <c r="Q40" s="104"/>
      <c r="R40" s="104"/>
      <c r="S40" s="104"/>
      <c r="T40" s="104"/>
      <c r="U40" s="104"/>
      <c r="V40" s="104"/>
      <c r="W40" s="104"/>
      <c r="X40" s="104"/>
      <c r="Y40" s="104"/>
      <c r="Z40" s="104"/>
      <c r="AA40" s="104"/>
      <c r="AB40" s="105"/>
    </row>
    <row r="41" spans="1:31">
      <c r="A41" s="1862" t="str">
        <f>IF('Data Entry'!B51="","",'Data Entry'!B51)</f>
        <v/>
      </c>
      <c r="B41" s="1863"/>
      <c r="C41" s="1863"/>
      <c r="D41" s="1863"/>
      <c r="E41" s="1863"/>
      <c r="F41" s="1863"/>
      <c r="G41" s="1863"/>
      <c r="H41" s="1863"/>
      <c r="I41" s="1863"/>
      <c r="J41" s="1863"/>
      <c r="K41" s="1863"/>
      <c r="L41" s="1863"/>
      <c r="M41" s="1863"/>
      <c r="N41" s="1864"/>
      <c r="O41" s="1862" t="str">
        <f>IF('Data Entry'!U51="","",'Data Entry'!U51)</f>
        <v/>
      </c>
      <c r="P41" s="1863"/>
      <c r="Q41" s="1863"/>
      <c r="R41" s="1863"/>
      <c r="S41" s="1863"/>
      <c r="T41" s="1863"/>
      <c r="U41" s="1863"/>
      <c r="V41" s="1863"/>
      <c r="W41" s="1863"/>
      <c r="X41" s="1863"/>
      <c r="Y41" s="1863"/>
      <c r="Z41" s="1863"/>
      <c r="AA41" s="1863"/>
      <c r="AB41" s="1864"/>
    </row>
    <row r="42" spans="1:31">
      <c r="A42" s="52" t="str">
        <f>'Data Entry'!B52</f>
        <v>Primary Phone Number</v>
      </c>
      <c r="B42" s="50"/>
      <c r="C42" s="50"/>
      <c r="D42" s="50"/>
      <c r="E42" s="50"/>
      <c r="F42" s="50"/>
      <c r="G42" s="106"/>
      <c r="H42" s="52" t="s">
        <v>1544</v>
      </c>
      <c r="I42" s="50"/>
      <c r="J42" s="50"/>
      <c r="K42" s="50"/>
      <c r="L42" s="50"/>
      <c r="M42" s="50"/>
      <c r="N42" s="106"/>
      <c r="O42" s="1850" t="s">
        <v>278</v>
      </c>
      <c r="P42" s="1851"/>
      <c r="Q42" s="1851"/>
      <c r="R42" s="1851"/>
      <c r="S42" s="1851"/>
      <c r="T42" s="1851"/>
      <c r="U42" s="1851"/>
      <c r="V42" s="1851" t="s">
        <v>0</v>
      </c>
      <c r="W42" s="1851"/>
      <c r="X42" s="1851"/>
      <c r="Y42" s="1851" t="s">
        <v>0</v>
      </c>
      <c r="Z42" s="1851"/>
      <c r="AA42" s="1851"/>
      <c r="AB42" s="1852"/>
    </row>
    <row r="43" spans="1:31">
      <c r="A43" s="1871">
        <f>'Data Entry'!B53</f>
        <v>0</v>
      </c>
      <c r="B43" s="1872"/>
      <c r="C43" s="1872"/>
      <c r="D43" s="1872"/>
      <c r="E43" s="1872"/>
      <c r="F43" s="1872"/>
      <c r="G43" s="1873"/>
      <c r="H43" s="1871">
        <f>'Data Entry'!K53</f>
        <v>0</v>
      </c>
      <c r="I43" s="1872"/>
      <c r="J43" s="1872"/>
      <c r="K43" s="1872"/>
      <c r="L43" s="1872"/>
      <c r="M43" s="1872"/>
      <c r="N43" s="1873"/>
      <c r="O43" s="1865">
        <f>'Data Entry'!U53</f>
        <v>0</v>
      </c>
      <c r="P43" s="1866"/>
      <c r="Q43" s="1866"/>
      <c r="R43" s="1866"/>
      <c r="S43" s="1866"/>
      <c r="T43" s="1866"/>
      <c r="U43" s="1866"/>
      <c r="V43" s="1866"/>
      <c r="W43" s="1866"/>
      <c r="X43" s="1866"/>
      <c r="Y43" s="1866"/>
      <c r="Z43" s="1866"/>
      <c r="AA43" s="1866"/>
      <c r="AB43" s="1867"/>
    </row>
    <row r="44" spans="1:31" ht="12" customHeight="1">
      <c r="A44" s="44"/>
      <c r="B44" s="44"/>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E44" t="s">
        <v>0</v>
      </c>
    </row>
    <row r="45" spans="1:31">
      <c r="A45" s="4" t="s">
        <v>178</v>
      </c>
      <c r="G45" s="626">
        <f>IF('Proposed Lighting'!$U$3=1,"Project submitted as a Complete Lighting Upgrade",0)</f>
        <v>0</v>
      </c>
    </row>
    <row r="46" spans="1:31" ht="12.75" customHeight="1">
      <c r="A46" s="1850" t="s">
        <v>312</v>
      </c>
      <c r="B46" s="1851"/>
      <c r="C46" s="1851"/>
      <c r="D46" s="1851"/>
      <c r="E46" s="1851"/>
      <c r="F46" s="1851"/>
      <c r="G46" s="1851"/>
      <c r="H46" s="1852"/>
      <c r="I46" s="1850" t="s">
        <v>313</v>
      </c>
      <c r="J46" s="1851"/>
      <c r="K46" s="1851"/>
      <c r="L46" s="1851"/>
      <c r="M46" s="1851"/>
      <c r="N46" s="1851"/>
      <c r="O46" s="1851"/>
      <c r="P46" s="1852"/>
      <c r="Q46" s="1850" t="s">
        <v>180</v>
      </c>
      <c r="R46" s="1851"/>
      <c r="S46" s="1851"/>
      <c r="T46" s="1851"/>
      <c r="U46" s="1851"/>
      <c r="V46" s="1851"/>
      <c r="W46" s="1851"/>
      <c r="X46" s="1851"/>
      <c r="Y46" s="1851"/>
      <c r="Z46" s="1851"/>
      <c r="AA46" s="1851"/>
      <c r="AB46" s="1852"/>
    </row>
    <row r="47" spans="1:31" ht="15" customHeight="1">
      <c r="A47" s="1887" t="str">
        <f>IF('Data Entry'!Y11="","",'Data Entry'!Y11)</f>
        <v/>
      </c>
      <c r="B47" s="1938"/>
      <c r="C47" s="1938"/>
      <c r="D47" s="1938"/>
      <c r="E47" s="1938"/>
      <c r="F47" s="1938"/>
      <c r="G47" s="1938"/>
      <c r="H47" s="1939"/>
      <c r="I47" s="1887" t="str">
        <f>IF('Data Entry'!AJ11="","",'Data Entry'!AJ11)</f>
        <v/>
      </c>
      <c r="J47" s="1938"/>
      <c r="K47" s="1938"/>
      <c r="L47" s="1938"/>
      <c r="M47" s="1938"/>
      <c r="N47" s="1938"/>
      <c r="O47" s="1938"/>
      <c r="P47" s="1939"/>
      <c r="Q47" s="1890">
        <f>'Proposed Lighting'!DA314</f>
        <v>0</v>
      </c>
      <c r="R47" s="1891"/>
      <c r="S47" s="1891"/>
      <c r="T47" s="1891"/>
      <c r="U47" s="1891"/>
      <c r="V47" s="1891"/>
      <c r="W47" s="1891"/>
      <c r="X47" s="1891"/>
      <c r="Y47" s="1891"/>
      <c r="Z47" s="1891"/>
      <c r="AA47" s="1891"/>
      <c r="AB47" s="1892"/>
    </row>
    <row r="48" spans="1:31" ht="12.75" customHeight="1">
      <c r="A48" s="1850" t="s">
        <v>43</v>
      </c>
      <c r="B48" s="1851"/>
      <c r="C48" s="1851"/>
      <c r="D48" s="1851"/>
      <c r="E48" s="1851"/>
      <c r="F48" s="1851"/>
      <c r="G48" s="1851"/>
      <c r="H48" s="1852"/>
      <c r="I48" s="1850" t="s">
        <v>280</v>
      </c>
      <c r="J48" s="1851"/>
      <c r="K48" s="1851"/>
      <c r="L48" s="1851"/>
      <c r="M48" s="1851"/>
      <c r="N48" s="1851"/>
      <c r="O48" s="1851"/>
      <c r="P48" s="1852"/>
      <c r="Q48" s="1850" t="s">
        <v>422</v>
      </c>
      <c r="R48" s="1851"/>
      <c r="S48" s="1851"/>
      <c r="T48" s="1851"/>
      <c r="U48" s="1851"/>
      <c r="V48" s="1851"/>
      <c r="W48" s="1851"/>
      <c r="X48" s="1851"/>
      <c r="Y48" s="1851"/>
      <c r="Z48" s="1851"/>
      <c r="AA48" s="1851"/>
      <c r="AB48" s="1852"/>
    </row>
    <row r="49" spans="1:61" ht="15" customHeight="1">
      <c r="A49" s="1847">
        <f>'Proposed Lighting'!AL321</f>
        <v>0</v>
      </c>
      <c r="B49" s="1848"/>
      <c r="C49" s="1848"/>
      <c r="D49" s="1848"/>
      <c r="E49" s="1848"/>
      <c r="F49" s="1848"/>
      <c r="G49" s="1848"/>
      <c r="H49" s="1849"/>
      <c r="I49" s="1847">
        <f>'Proposed Lighting'!X4</f>
        <v>0</v>
      </c>
      <c r="J49" s="1848"/>
      <c r="K49" s="1848"/>
      <c r="L49" s="1848"/>
      <c r="M49" s="1848"/>
      <c r="N49" s="1848"/>
      <c r="O49" s="1848"/>
      <c r="P49" s="1849"/>
      <c r="Q49" s="1912">
        <f>'Project Summary'!J20</f>
        <v>0</v>
      </c>
      <c r="R49" s="1913"/>
      <c r="S49" s="1913"/>
      <c r="T49" s="1913"/>
      <c r="U49" s="1913"/>
      <c r="V49" s="1913"/>
      <c r="W49" s="1913"/>
      <c r="X49" s="1913"/>
      <c r="Y49" s="1913"/>
      <c r="Z49" s="1913"/>
      <c r="AA49" s="1913"/>
      <c r="AB49" s="1914"/>
    </row>
    <row r="50" spans="1:61" ht="4.5" customHeight="1">
      <c r="B50" s="274"/>
      <c r="C50" s="275" t="s">
        <v>0</v>
      </c>
      <c r="D50" s="275"/>
      <c r="E50" s="275"/>
      <c r="F50" s="275"/>
      <c r="G50" s="275"/>
      <c r="H50" s="275"/>
      <c r="I50" s="240"/>
      <c r="J50" s="252"/>
      <c r="K50" s="253"/>
      <c r="L50" s="253"/>
      <c r="M50" s="241"/>
      <c r="N50" s="252"/>
      <c r="O50" s="251"/>
      <c r="P50" s="251"/>
      <c r="Q50" s="251"/>
      <c r="R50" s="251"/>
      <c r="S50" s="251"/>
      <c r="T50" s="251"/>
      <c r="U50" s="251"/>
      <c r="V50" s="104"/>
      <c r="W50" s="249"/>
      <c r="X50" s="249"/>
      <c r="Y50" s="249"/>
      <c r="Z50" s="249"/>
    </row>
    <row r="51" spans="1:61" ht="18" hidden="1" customHeight="1">
      <c r="A51" s="1940"/>
      <c r="B51" s="1940"/>
      <c r="C51" s="1940"/>
      <c r="D51" s="1940"/>
      <c r="E51" s="1940"/>
      <c r="F51" s="1940"/>
      <c r="G51" s="1940"/>
      <c r="H51" s="1940"/>
      <c r="I51" s="1940"/>
      <c r="J51" s="1940"/>
      <c r="K51" s="53"/>
      <c r="L51" s="53"/>
      <c r="M51" s="53"/>
      <c r="N51" s="53"/>
      <c r="O51" s="53"/>
      <c r="P51" s="53"/>
      <c r="Q51" s="247"/>
      <c r="R51" s="247"/>
      <c r="S51" s="247"/>
      <c r="T51" s="247"/>
      <c r="U51" s="247"/>
      <c r="W51" s="248"/>
      <c r="X51" s="248"/>
      <c r="Y51" s="248"/>
      <c r="Z51" s="248"/>
      <c r="AA51" s="239"/>
      <c r="AB51" s="239"/>
    </row>
    <row r="52" spans="1:61" ht="3" hidden="1" customHeight="1">
      <c r="A52" s="255"/>
      <c r="B52" s="255"/>
      <c r="C52" s="255"/>
      <c r="D52" s="255"/>
      <c r="E52" s="255"/>
      <c r="F52" s="255"/>
      <c r="G52" s="255"/>
      <c r="H52" s="255"/>
      <c r="I52" s="255"/>
      <c r="J52" s="255"/>
      <c r="K52" s="53"/>
      <c r="L52" s="53"/>
      <c r="M52" s="53"/>
      <c r="N52" s="53"/>
      <c r="O52" s="53"/>
      <c r="P52" s="53"/>
      <c r="Q52" s="247"/>
      <c r="R52" s="247"/>
      <c r="S52" s="247"/>
      <c r="T52" s="247"/>
      <c r="U52" s="247"/>
      <c r="W52" s="248"/>
      <c r="X52" s="248"/>
      <c r="Y52" s="248"/>
      <c r="Z52" s="248"/>
      <c r="AA52" s="239"/>
      <c r="AB52" s="239"/>
    </row>
    <row r="53" spans="1:61" ht="18" hidden="1" customHeight="1">
      <c r="A53" s="1907"/>
      <c r="B53" s="1907"/>
      <c r="C53" s="1907"/>
      <c r="D53" s="1907"/>
      <c r="E53" s="1907"/>
      <c r="F53" s="1907"/>
      <c r="G53" s="1907"/>
      <c r="H53" s="1907"/>
      <c r="I53" s="1907"/>
      <c r="J53" s="1907"/>
      <c r="K53" s="1907"/>
      <c r="L53" s="1907"/>
      <c r="M53" s="1907"/>
      <c r="N53" s="255"/>
      <c r="O53" s="1908"/>
      <c r="P53" s="1908"/>
      <c r="Q53" s="1908"/>
      <c r="R53" s="1908"/>
      <c r="S53" s="254"/>
      <c r="T53" s="247"/>
      <c r="U53" s="247"/>
      <c r="W53" s="248"/>
      <c r="X53" s="248"/>
      <c r="Y53" s="248"/>
      <c r="Z53" s="248"/>
      <c r="AA53" s="239"/>
      <c r="AB53" s="239"/>
    </row>
    <row r="54" spans="1:61" ht="3" customHeight="1">
      <c r="A54" s="1941" t="s">
        <v>0</v>
      </c>
      <c r="B54" s="1941"/>
      <c r="C54" s="1941"/>
      <c r="D54" s="1941"/>
      <c r="E54" s="1941"/>
      <c r="F54" s="1941"/>
      <c r="G54" s="1941"/>
      <c r="H54" s="1941"/>
      <c r="I54" s="1941"/>
      <c r="J54" s="1941"/>
      <c r="K54" s="1941"/>
      <c r="L54" s="1941"/>
      <c r="M54" s="250" t="s">
        <v>0</v>
      </c>
      <c r="N54" s="1917"/>
      <c r="O54" s="1917"/>
      <c r="P54" s="1917"/>
      <c r="Q54" s="1917"/>
      <c r="R54" s="243"/>
      <c r="S54" s="243"/>
      <c r="T54" s="243"/>
      <c r="U54" s="243"/>
      <c r="V54" s="244"/>
      <c r="W54" s="245"/>
      <c r="X54" s="245"/>
      <c r="Y54" s="245"/>
      <c r="Z54" s="245"/>
      <c r="AA54" s="239"/>
      <c r="AB54" s="239"/>
    </row>
    <row r="55" spans="1:61" ht="18.75" customHeight="1">
      <c r="A55" s="4" t="s">
        <v>287</v>
      </c>
    </row>
    <row r="56" spans="1:61" ht="24" customHeight="1">
      <c r="A56" s="1883" t="s">
        <v>1446</v>
      </c>
      <c r="B56" s="1883"/>
      <c r="C56" s="1883"/>
      <c r="D56" s="1883"/>
      <c r="E56" s="1883"/>
      <c r="F56" s="1883"/>
      <c r="G56" s="1883"/>
      <c r="H56" s="1883"/>
      <c r="I56" s="1883"/>
      <c r="J56" s="1883"/>
      <c r="K56" s="1883"/>
      <c r="L56" s="1883"/>
      <c r="M56" s="1883"/>
      <c r="N56" s="1883"/>
      <c r="O56" s="1883"/>
      <c r="P56" s="1883"/>
      <c r="Q56" s="1883"/>
      <c r="R56" s="1883"/>
      <c r="S56" s="1883"/>
      <c r="T56" s="1883"/>
      <c r="U56" s="1883"/>
      <c r="V56" s="1883"/>
      <c r="W56" s="1883"/>
      <c r="X56" s="1883"/>
      <c r="Y56" s="1883"/>
      <c r="Z56" s="1883"/>
      <c r="AA56" s="1883"/>
      <c r="AB56" s="1883"/>
    </row>
    <row r="57" spans="1:61" ht="15" customHeight="1">
      <c r="A57" s="1883"/>
      <c r="B57" s="1883"/>
      <c r="C57" s="1883"/>
      <c r="D57" s="1883"/>
      <c r="E57" s="1883"/>
      <c r="F57" s="1883"/>
      <c r="G57" s="1883"/>
      <c r="H57" s="1883"/>
      <c r="I57" s="1883"/>
      <c r="J57" s="1883"/>
      <c r="K57" s="1883"/>
      <c r="L57" s="1883"/>
      <c r="M57" s="1883"/>
      <c r="N57" s="1883"/>
      <c r="O57" s="1883"/>
      <c r="P57" s="1883"/>
      <c r="Q57" s="1883"/>
      <c r="R57" s="1883"/>
      <c r="S57" s="1883"/>
      <c r="T57" s="1883"/>
      <c r="U57" s="1883"/>
      <c r="V57" s="1883"/>
      <c r="W57" s="1883"/>
      <c r="X57" s="1883"/>
      <c r="Y57" s="1883"/>
      <c r="Z57" s="1883"/>
      <c r="AA57" s="1883"/>
      <c r="AB57" s="1883"/>
    </row>
    <row r="58" spans="1:61" ht="12.75" customHeight="1">
      <c r="A58" s="173"/>
      <c r="B58" s="173"/>
      <c r="C58" s="173"/>
      <c r="D58" s="173"/>
      <c r="E58" s="173"/>
      <c r="F58" s="173"/>
      <c r="G58" s="173"/>
      <c r="H58" s="173"/>
      <c r="I58" s="173"/>
      <c r="J58" s="173"/>
      <c r="K58" s="173"/>
      <c r="L58" s="173"/>
      <c r="M58" s="173"/>
      <c r="N58" s="173"/>
      <c r="O58" s="173"/>
      <c r="P58" s="173"/>
      <c r="Q58" s="173"/>
      <c r="R58" s="173"/>
      <c r="S58" s="173"/>
      <c r="T58" s="173"/>
      <c r="U58" s="173"/>
      <c r="V58" s="173"/>
      <c r="W58" s="173"/>
      <c r="X58" s="173"/>
      <c r="Y58" s="173"/>
      <c r="Z58" s="173"/>
      <c r="AA58" s="173"/>
      <c r="AB58" s="173"/>
    </row>
    <row r="59" spans="1:61" ht="21" hidden="1" customHeight="1">
      <c r="A59" s="124"/>
      <c r="B59" s="125"/>
      <c r="C59" s="125"/>
      <c r="D59" s="125"/>
      <c r="E59" s="125"/>
      <c r="F59" s="125"/>
      <c r="G59" s="125"/>
      <c r="H59" s="125"/>
      <c r="I59" s="125"/>
      <c r="J59" s="125"/>
      <c r="K59" s="125"/>
      <c r="L59" s="125"/>
      <c r="M59" s="125"/>
      <c r="N59" s="125"/>
      <c r="O59" s="125"/>
      <c r="P59" s="125"/>
      <c r="Q59" s="125"/>
      <c r="R59" s="125"/>
      <c r="S59" s="125"/>
      <c r="T59" s="125"/>
      <c r="U59" s="125"/>
      <c r="V59" s="126"/>
      <c r="W59" s="126"/>
      <c r="AH59" s="275"/>
      <c r="AI59" s="275"/>
      <c r="AJ59" s="275"/>
      <c r="AK59" s="275"/>
      <c r="AL59" s="275"/>
      <c r="AM59" s="275"/>
      <c r="AN59" s="275"/>
      <c r="AO59" s="275"/>
      <c r="AP59" s="275"/>
      <c r="AQ59" s="275"/>
      <c r="AR59" s="275"/>
      <c r="AS59" s="275"/>
      <c r="AT59" s="275"/>
      <c r="AU59" s="275"/>
      <c r="AV59" s="275"/>
      <c r="AW59" s="275"/>
      <c r="AX59" s="275"/>
      <c r="AY59" s="275"/>
      <c r="AZ59" s="275"/>
      <c r="BA59" s="275"/>
      <c r="BB59" s="275"/>
      <c r="BC59" s="275"/>
      <c r="BD59" s="275"/>
      <c r="BE59" s="275"/>
      <c r="BF59" s="275"/>
      <c r="BG59" s="275"/>
      <c r="BH59" s="275"/>
      <c r="BI59" s="275"/>
    </row>
    <row r="60" spans="1:61" ht="13.5" customHeight="1">
      <c r="B60" s="311" t="s">
        <v>428</v>
      </c>
      <c r="C60" s="125"/>
      <c r="D60" s="125"/>
      <c r="E60" s="1926"/>
      <c r="F60" s="1927"/>
      <c r="G60" s="310"/>
      <c r="H60" s="311" t="s">
        <v>283</v>
      </c>
      <c r="J60" s="125"/>
      <c r="K60" s="1930"/>
      <c r="L60" s="1931"/>
      <c r="M60" s="125"/>
      <c r="N60" s="125"/>
      <c r="O60" s="193" t="s">
        <v>289</v>
      </c>
      <c r="P60" s="310"/>
      <c r="Q60" s="125"/>
      <c r="R60" s="1926"/>
      <c r="S60" s="1927"/>
      <c r="T60" s="151"/>
      <c r="U60" s="807" t="s">
        <v>1213</v>
      </c>
      <c r="V60" s="312"/>
      <c r="W60" s="125"/>
      <c r="X60" s="310"/>
      <c r="Y60" s="1934"/>
      <c r="Z60" s="1935"/>
      <c r="AA60" s="151"/>
      <c r="AH60" s="275"/>
      <c r="AI60" s="275"/>
      <c r="AJ60" s="275"/>
      <c r="AK60" s="275"/>
      <c r="AL60" s="275"/>
      <c r="AM60" s="275"/>
      <c r="AN60" s="275"/>
      <c r="AO60" s="275"/>
      <c r="AP60" s="275"/>
      <c r="AQ60" s="275"/>
      <c r="AR60" s="275"/>
      <c r="AS60" s="275"/>
      <c r="AT60" s="275"/>
      <c r="AU60" s="275"/>
      <c r="AV60" s="275"/>
      <c r="AW60" s="275"/>
      <c r="AX60" s="275"/>
      <c r="AY60" s="275"/>
      <c r="AZ60" s="275"/>
      <c r="BA60" s="275"/>
      <c r="BB60" s="275"/>
      <c r="BC60" s="275"/>
      <c r="BD60" s="275"/>
      <c r="BE60" s="275"/>
      <c r="BF60" s="275"/>
      <c r="BG60" s="275"/>
      <c r="BH60" s="275"/>
      <c r="BI60" s="275"/>
    </row>
    <row r="61" spans="1:61" ht="15" customHeight="1">
      <c r="A61" s="125"/>
      <c r="B61" s="125"/>
      <c r="C61" s="125"/>
      <c r="D61" s="125"/>
      <c r="E61" s="1928"/>
      <c r="F61" s="1929"/>
      <c r="G61" s="310"/>
      <c r="H61" s="125"/>
      <c r="I61" s="125"/>
      <c r="J61" s="125"/>
      <c r="K61" s="1932"/>
      <c r="L61" s="1933"/>
      <c r="M61" s="125"/>
      <c r="N61" s="125"/>
      <c r="O61" s="310"/>
      <c r="Q61" s="125"/>
      <c r="R61" s="1928"/>
      <c r="S61" s="1929"/>
      <c r="T61" s="151"/>
      <c r="U61" s="125"/>
      <c r="V61" s="125"/>
      <c r="W61" s="125"/>
      <c r="X61" s="310"/>
      <c r="Y61" s="1936"/>
      <c r="Z61" s="1937"/>
      <c r="AA61" s="151"/>
    </row>
    <row r="62" spans="1:61" ht="13.5" customHeight="1">
      <c r="A62" s="125"/>
      <c r="B62" s="125"/>
      <c r="C62" s="125"/>
      <c r="D62" s="125"/>
      <c r="E62" s="151"/>
      <c r="F62" s="175"/>
      <c r="G62" s="175"/>
      <c r="H62" s="125"/>
      <c r="I62" s="125"/>
      <c r="J62" s="125"/>
      <c r="K62" s="125"/>
      <c r="L62" s="125"/>
      <c r="M62" s="125"/>
      <c r="N62" s="125"/>
      <c r="O62" s="175"/>
      <c r="P62" s="175"/>
      <c r="Q62" s="125"/>
      <c r="R62" s="125"/>
      <c r="S62" s="151"/>
      <c r="T62" s="151"/>
      <c r="U62" s="125"/>
      <c r="V62" s="125"/>
      <c r="W62" s="125"/>
      <c r="X62" s="175"/>
      <c r="Y62" s="175"/>
      <c r="Z62" s="151"/>
      <c r="AA62" s="151"/>
      <c r="AH62" s="173"/>
      <c r="AI62" s="173"/>
      <c r="AJ62" s="173"/>
      <c r="AK62" s="173"/>
      <c r="AL62" s="173"/>
      <c r="AM62" s="173"/>
      <c r="AN62" s="173"/>
      <c r="AO62" s="173"/>
      <c r="AP62" s="173"/>
      <c r="AQ62" s="173"/>
      <c r="AR62" s="173"/>
      <c r="AS62" s="173"/>
      <c r="AT62" s="173"/>
      <c r="AU62" s="173"/>
      <c r="AV62" s="173"/>
      <c r="AW62" s="173"/>
      <c r="AX62" s="173"/>
      <c r="AY62" s="173"/>
      <c r="AZ62" s="173"/>
      <c r="BA62" s="173"/>
      <c r="BB62" s="173"/>
      <c r="BC62" s="173"/>
      <c r="BD62" s="173"/>
      <c r="BE62" s="173"/>
      <c r="BF62" s="173"/>
      <c r="BG62" s="173"/>
      <c r="BH62" s="173"/>
      <c r="BI62" s="173"/>
    </row>
    <row r="63" spans="1:61" ht="15" customHeight="1">
      <c r="A63" s="52" t="s">
        <v>1885</v>
      </c>
      <c r="B63" s="49"/>
      <c r="C63" s="49"/>
      <c r="D63" s="49"/>
      <c r="E63" s="49"/>
      <c r="F63" s="49"/>
      <c r="G63" s="49"/>
      <c r="H63" s="49"/>
      <c r="I63" s="49"/>
      <c r="J63" s="49"/>
      <c r="K63" s="49"/>
      <c r="L63" s="49"/>
      <c r="M63" s="49"/>
      <c r="N63" s="106"/>
      <c r="O63" s="52" t="s">
        <v>1775</v>
      </c>
      <c r="P63" s="49"/>
      <c r="Q63" s="49"/>
      <c r="R63" s="49"/>
      <c r="S63" s="49"/>
      <c r="T63" s="49"/>
      <c r="U63" s="49"/>
      <c r="V63" s="50"/>
      <c r="W63" s="49"/>
      <c r="X63" s="49"/>
      <c r="Y63" s="49"/>
      <c r="Z63" s="49"/>
      <c r="AA63" s="49"/>
      <c r="AB63" s="51"/>
      <c r="AH63" s="124"/>
      <c r="AI63" s="125"/>
      <c r="AJ63" s="125"/>
      <c r="AK63" s="125"/>
      <c r="AL63" s="125"/>
      <c r="AM63" s="125"/>
      <c r="AN63" s="125"/>
      <c r="AO63" s="125"/>
      <c r="AP63" s="125"/>
      <c r="AQ63" s="125"/>
      <c r="AR63" s="125"/>
      <c r="AS63" s="125"/>
      <c r="AT63" s="125"/>
      <c r="AU63" s="125"/>
      <c r="AV63" s="125"/>
      <c r="AW63" s="125"/>
      <c r="AX63" s="125"/>
      <c r="AY63" s="125"/>
      <c r="AZ63" s="125"/>
      <c r="BA63" s="125"/>
      <c r="BB63" s="125"/>
      <c r="BC63" s="126"/>
      <c r="BD63" s="126"/>
    </row>
    <row r="64" spans="1:61" ht="20.25" customHeight="1">
      <c r="A64" s="1921"/>
      <c r="B64" s="1922"/>
      <c r="C64" s="1922"/>
      <c r="D64" s="1922"/>
      <c r="E64" s="1922"/>
      <c r="F64" s="1922"/>
      <c r="G64" s="1922"/>
      <c r="H64" s="1922"/>
      <c r="I64" s="1922"/>
      <c r="J64" s="1922"/>
      <c r="K64" s="1922"/>
      <c r="L64" s="1922"/>
      <c r="M64" s="1922"/>
      <c r="N64" s="1922"/>
      <c r="O64" s="1921"/>
      <c r="P64" s="1922"/>
      <c r="Q64" s="1922"/>
      <c r="R64" s="1922"/>
      <c r="S64" s="1922"/>
      <c r="T64" s="1922"/>
      <c r="U64" s="1922"/>
      <c r="V64" s="1922"/>
      <c r="W64" s="1922"/>
      <c r="X64" s="1922"/>
      <c r="Y64" s="1922"/>
      <c r="Z64" s="1922"/>
      <c r="AA64" s="1922"/>
      <c r="AB64" s="1923"/>
      <c r="AH64" s="124"/>
      <c r="AI64" s="125"/>
      <c r="AJ64" s="125"/>
      <c r="AK64" s="125"/>
      <c r="AL64" s="125"/>
      <c r="AM64" s="125"/>
      <c r="AN64" s="125"/>
      <c r="AO64" s="125"/>
      <c r="AP64" s="125"/>
      <c r="AQ64" s="125"/>
      <c r="AR64" s="125"/>
      <c r="AS64" s="125"/>
      <c r="AT64" s="125"/>
      <c r="AU64" s="125"/>
      <c r="AV64" s="125"/>
      <c r="AW64" s="125"/>
      <c r="AX64" s="125"/>
      <c r="AY64" s="125"/>
      <c r="AZ64" s="125"/>
      <c r="BA64" s="125"/>
      <c r="BB64" s="125"/>
      <c r="BC64" s="126"/>
      <c r="BD64" s="126"/>
    </row>
    <row r="65" spans="1:61">
      <c r="A65" s="52" t="s">
        <v>288</v>
      </c>
      <c r="B65" s="104"/>
      <c r="C65" s="104"/>
      <c r="D65" s="104"/>
      <c r="E65" s="104"/>
      <c r="F65" s="104"/>
      <c r="G65" s="104"/>
      <c r="H65" s="104"/>
      <c r="I65" s="104"/>
      <c r="J65" s="104"/>
      <c r="K65" s="104"/>
      <c r="L65" s="104"/>
      <c r="M65" s="104"/>
      <c r="N65" s="105"/>
      <c r="O65" s="53" t="s">
        <v>282</v>
      </c>
      <c r="P65" s="3"/>
      <c r="Q65" s="3"/>
      <c r="R65" s="3"/>
      <c r="S65" s="3"/>
      <c r="T65" s="3"/>
      <c r="U65" s="3"/>
      <c r="V65" s="53"/>
      <c r="W65" s="3"/>
      <c r="X65" s="3"/>
      <c r="Y65" s="53"/>
      <c r="Z65" s="3"/>
      <c r="AA65" s="3"/>
      <c r="AB65" s="105"/>
      <c r="AH65" s="124"/>
      <c r="AI65" s="125"/>
      <c r="AJ65" s="125"/>
      <c r="AK65" s="125"/>
      <c r="AL65" s="125"/>
      <c r="AM65" s="125"/>
      <c r="AN65" s="125"/>
      <c r="AO65" s="125"/>
      <c r="AP65" s="125"/>
      <c r="AQ65" s="125"/>
      <c r="AR65" s="125"/>
      <c r="AS65" s="125"/>
      <c r="AT65" s="125"/>
      <c r="AU65" s="125"/>
      <c r="AV65" s="125"/>
      <c r="AW65" s="125"/>
      <c r="AX65" s="125"/>
      <c r="AY65" s="125"/>
      <c r="AZ65" s="125"/>
      <c r="BA65" s="125"/>
      <c r="BB65" s="125"/>
      <c r="BC65" s="126"/>
      <c r="BD65" s="126"/>
    </row>
    <row r="66" spans="1:61" ht="19.5" customHeight="1">
      <c r="A66" s="1924" t="s">
        <v>0</v>
      </c>
      <c r="B66" s="1925"/>
      <c r="C66" s="1925"/>
      <c r="D66" s="1925"/>
      <c r="E66" s="1925"/>
      <c r="F66" s="1925"/>
      <c r="G66" s="1925"/>
      <c r="H66" s="1925"/>
      <c r="I66" s="1925"/>
      <c r="J66" s="1925"/>
      <c r="K66" s="1925"/>
      <c r="L66" s="1925"/>
      <c r="M66" s="1925"/>
      <c r="N66" s="1925"/>
      <c r="O66" s="1921"/>
      <c r="P66" s="1922"/>
      <c r="Q66" s="1922"/>
      <c r="R66" s="1922"/>
      <c r="S66" s="1922"/>
      <c r="T66" s="1922"/>
      <c r="U66" s="1922"/>
      <c r="V66" s="1922"/>
      <c r="W66" s="1922"/>
      <c r="X66" s="1922"/>
      <c r="Y66" s="1922"/>
      <c r="Z66" s="1922"/>
      <c r="AA66" s="1922"/>
      <c r="AB66" s="1923"/>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6"/>
      <c r="BD66" s="126"/>
    </row>
    <row r="67" spans="1:61" ht="42" customHeight="1">
      <c r="A67" s="1915" t="s">
        <v>1536</v>
      </c>
      <c r="B67" s="1915"/>
      <c r="C67" s="1915"/>
      <c r="D67" s="1915"/>
      <c r="E67" s="1915"/>
      <c r="F67" s="1915"/>
      <c r="G67" s="1915"/>
      <c r="H67" s="1915"/>
      <c r="I67" s="1915"/>
      <c r="J67" s="1915"/>
      <c r="K67" s="1915"/>
      <c r="L67" s="1915"/>
      <c r="M67" s="1915"/>
      <c r="N67" s="1915"/>
      <c r="O67" s="1915"/>
      <c r="P67" s="1915"/>
      <c r="Q67" s="1915"/>
      <c r="R67" s="1915"/>
      <c r="S67" s="1915"/>
      <c r="T67" s="1915"/>
      <c r="U67" s="1915"/>
      <c r="V67" s="1915"/>
      <c r="W67" s="1915"/>
      <c r="X67" s="1915"/>
      <c r="Y67" s="1915"/>
      <c r="Z67" s="1915"/>
      <c r="AA67" s="1915"/>
      <c r="AB67" s="1915"/>
      <c r="AC67" s="1915"/>
      <c r="AH67" s="53"/>
      <c r="AU67" s="53"/>
      <c r="AV67" s="53"/>
      <c r="BC67" s="53"/>
    </row>
    <row r="68" spans="1:61" ht="12.75" customHeight="1">
      <c r="A68" s="803" t="s">
        <v>1234</v>
      </c>
      <c r="H68" s="127"/>
      <c r="I68" s="127"/>
      <c r="J68" s="127"/>
      <c r="K68" s="127"/>
      <c r="L68" s="127"/>
      <c r="M68" s="127"/>
      <c r="N68" s="127"/>
      <c r="O68" s="127"/>
      <c r="P68" s="127"/>
      <c r="Q68" s="127"/>
      <c r="R68" s="127"/>
      <c r="S68" s="127"/>
      <c r="T68" s="127"/>
      <c r="U68" s="127"/>
      <c r="V68" s="127"/>
      <c r="W68" s="127"/>
      <c r="X68" s="127"/>
      <c r="Y68" s="127"/>
      <c r="Z68" s="127"/>
      <c r="AA68" s="127"/>
      <c r="AB68" s="127"/>
      <c r="AH68" s="1908"/>
      <c r="AI68" s="1908"/>
      <c r="AJ68" s="1908"/>
      <c r="AK68" s="1908"/>
      <c r="AL68" s="1908"/>
      <c r="AM68" s="1908"/>
      <c r="AN68" s="1908"/>
      <c r="AO68" s="1908"/>
      <c r="AP68" s="1908"/>
      <c r="AQ68" s="1908"/>
      <c r="AR68" s="1908"/>
      <c r="AS68" s="1908"/>
      <c r="AT68" s="1908"/>
      <c r="AU68" s="1908"/>
      <c r="AV68" s="1908"/>
      <c r="AW68" s="1908"/>
      <c r="AX68" s="1908"/>
      <c r="AY68" s="1908"/>
      <c r="AZ68" s="1908"/>
      <c r="BA68" s="1908"/>
      <c r="BB68" s="1908"/>
      <c r="BC68" s="1908"/>
      <c r="BD68" s="1908"/>
      <c r="BE68" s="1908"/>
      <c r="BF68" s="1908"/>
      <c r="BG68" s="1908"/>
      <c r="BH68" s="1908"/>
      <c r="BI68" s="1908"/>
    </row>
    <row r="69" spans="1:61" ht="13.5" customHeight="1">
      <c r="A69" s="838" t="s">
        <v>1270</v>
      </c>
      <c r="B69" s="838"/>
      <c r="C69" s="838"/>
      <c r="D69" s="838"/>
      <c r="E69" s="838"/>
      <c r="F69" s="838"/>
      <c r="G69" s="838"/>
      <c r="H69" s="838"/>
      <c r="I69" s="838"/>
      <c r="J69" s="838"/>
      <c r="K69" s="838"/>
      <c r="L69" s="838"/>
      <c r="M69" s="838"/>
      <c r="N69" s="838"/>
      <c r="O69" s="838"/>
      <c r="P69" s="838"/>
      <c r="Q69" s="156"/>
      <c r="R69" s="837"/>
      <c r="S69" s="837"/>
      <c r="T69" s="839" t="s">
        <v>1261</v>
      </c>
      <c r="U69" s="837"/>
      <c r="V69" s="837"/>
      <c r="W69" s="837"/>
      <c r="X69" s="837"/>
      <c r="Y69" s="837"/>
      <c r="Z69" s="837"/>
      <c r="AA69" s="837"/>
      <c r="AB69" s="837"/>
      <c r="AH69" s="53"/>
      <c r="AI69" s="3"/>
      <c r="AJ69" s="3"/>
      <c r="AK69" s="3"/>
      <c r="AL69" s="3"/>
      <c r="AM69" s="3"/>
      <c r="AN69" s="3"/>
      <c r="AO69" s="3"/>
      <c r="AP69" s="3"/>
      <c r="AQ69" s="3"/>
      <c r="AR69" s="3"/>
      <c r="AS69" s="3"/>
      <c r="AT69" s="3"/>
      <c r="AU69" s="3"/>
      <c r="AV69" s="53"/>
      <c r="AW69" s="3"/>
      <c r="AX69" s="3"/>
      <c r="AY69" s="3"/>
      <c r="AZ69" s="3"/>
      <c r="BA69" s="3"/>
      <c r="BB69" s="3"/>
      <c r="BC69" s="53"/>
      <c r="BD69" s="3"/>
      <c r="BE69" s="3"/>
      <c r="BF69" s="53"/>
      <c r="BG69" s="3"/>
      <c r="BH69" s="3"/>
      <c r="BI69" s="3"/>
    </row>
    <row r="70" spans="1:61" ht="14.25" customHeight="1">
      <c r="A70" s="1916" t="s">
        <v>1271</v>
      </c>
      <c r="B70" s="1916"/>
      <c r="C70" s="1916"/>
      <c r="D70" s="1916"/>
      <c r="E70" s="1916"/>
      <c r="F70" s="1916"/>
      <c r="G70" s="1916"/>
      <c r="H70" s="1916"/>
      <c r="I70" s="1916"/>
      <c r="J70" s="1916"/>
      <c r="K70" s="1916"/>
      <c r="L70" s="1916"/>
      <c r="M70" s="1916"/>
      <c r="N70" s="1916"/>
      <c r="O70" s="1916"/>
      <c r="P70" s="1916"/>
      <c r="Q70" s="1916"/>
      <c r="R70" s="1916"/>
      <c r="S70" s="839" t="s">
        <v>1260</v>
      </c>
      <c r="T70" s="840"/>
      <c r="U70" s="840"/>
      <c r="V70" s="840"/>
      <c r="W70" s="840"/>
      <c r="X70" s="840"/>
      <c r="Y70" s="840"/>
      <c r="Z70" s="840"/>
      <c r="AA70" s="840"/>
      <c r="AB70" s="840"/>
      <c r="AH70" s="53"/>
      <c r="AI70" s="3"/>
      <c r="AJ70" s="3"/>
      <c r="AK70" s="3"/>
      <c r="AL70" s="3"/>
      <c r="AM70" s="3"/>
      <c r="AN70" s="3"/>
      <c r="AO70" s="53"/>
      <c r="AP70" s="3"/>
      <c r="AQ70" s="3"/>
      <c r="AR70" s="3"/>
      <c r="AS70" s="3"/>
      <c r="AT70" s="3"/>
      <c r="AU70" s="3"/>
      <c r="AV70" s="53"/>
      <c r="AW70" s="3"/>
      <c r="AX70" s="3"/>
      <c r="AY70" s="3"/>
      <c r="AZ70" s="3"/>
      <c r="BA70" s="3"/>
      <c r="BB70" s="3"/>
      <c r="BC70" s="3"/>
      <c r="BD70" s="3"/>
      <c r="BE70" s="3"/>
      <c r="BF70" s="3"/>
      <c r="BG70" s="3"/>
      <c r="BH70" s="3"/>
      <c r="BI70" s="3"/>
    </row>
    <row r="71" spans="1:61" ht="27" customHeight="1">
      <c r="A71" s="804" t="s">
        <v>1233</v>
      </c>
      <c r="AH71" s="53"/>
      <c r="AI71" s="3"/>
      <c r="AJ71" s="3"/>
      <c r="AK71" s="3"/>
      <c r="AL71" s="3"/>
      <c r="AM71" s="3"/>
      <c r="AN71" s="3"/>
      <c r="AO71" s="53"/>
      <c r="AP71" s="3"/>
      <c r="AQ71" s="3"/>
      <c r="AR71" s="3"/>
      <c r="AS71" s="3"/>
      <c r="AT71" s="3"/>
      <c r="AU71" s="3"/>
      <c r="AV71" s="53"/>
      <c r="AW71" s="3"/>
      <c r="AX71" s="3"/>
      <c r="AY71" s="3"/>
      <c r="AZ71" s="3"/>
      <c r="BA71" s="3"/>
      <c r="BB71" s="3"/>
      <c r="BC71" s="3"/>
      <c r="BD71" s="3"/>
      <c r="BE71" s="3"/>
      <c r="BF71" s="3"/>
      <c r="BG71" s="3"/>
      <c r="BH71" s="3"/>
      <c r="BI71" s="3"/>
    </row>
    <row r="72" spans="1:61">
      <c r="A72" s="52" t="s">
        <v>1728</v>
      </c>
      <c r="B72" s="49"/>
      <c r="C72" s="49"/>
      <c r="D72" s="49"/>
      <c r="E72" s="49"/>
      <c r="F72" s="49"/>
      <c r="G72" s="49"/>
      <c r="H72" s="49"/>
      <c r="I72" s="49"/>
      <c r="J72" s="49"/>
      <c r="K72" s="49"/>
      <c r="L72" s="51"/>
      <c r="M72" s="52" t="s">
        <v>1729</v>
      </c>
      <c r="N72" s="49"/>
      <c r="O72" s="49"/>
      <c r="P72" s="49"/>
      <c r="Q72" s="49"/>
      <c r="R72" s="49"/>
      <c r="S72" s="49"/>
      <c r="T72" s="49"/>
      <c r="U72" s="49"/>
      <c r="V72" s="49"/>
      <c r="W72" s="51"/>
      <c r="X72" s="52" t="s">
        <v>179</v>
      </c>
      <c r="Y72" s="49"/>
      <c r="Z72" s="49"/>
      <c r="AA72" s="49"/>
      <c r="AB72" s="51"/>
    </row>
    <row r="73" spans="1:61" ht="24" customHeight="1">
      <c r="A73" s="1884"/>
      <c r="B73" s="1885"/>
      <c r="C73" s="1885"/>
      <c r="D73" s="1885"/>
      <c r="E73" s="1885"/>
      <c r="F73" s="1885"/>
      <c r="G73" s="1885"/>
      <c r="H73" s="1885"/>
      <c r="I73" s="1885"/>
      <c r="J73" s="1885"/>
      <c r="K73" s="1885"/>
      <c r="L73" s="1886"/>
      <c r="M73" s="1909"/>
      <c r="N73" s="1910"/>
      <c r="O73" s="1910"/>
      <c r="P73" s="1910"/>
      <c r="Q73" s="1910"/>
      <c r="R73" s="1910"/>
      <c r="S73" s="1910"/>
      <c r="T73" s="1910"/>
      <c r="U73" s="1910"/>
      <c r="V73" s="1910"/>
      <c r="W73" s="1911"/>
      <c r="X73" s="1901"/>
      <c r="Y73" s="1902"/>
      <c r="Z73" s="1902"/>
      <c r="AA73" s="1902"/>
      <c r="AB73" s="1903"/>
    </row>
    <row r="74" spans="1:61" ht="6.75" customHeight="1"/>
    <row r="75" spans="1:61" ht="16.5" customHeight="1">
      <c r="A75" s="1920" t="s">
        <v>1214</v>
      </c>
      <c r="B75" s="1920"/>
      <c r="C75" s="1920"/>
      <c r="D75" s="1920"/>
      <c r="E75" s="1920"/>
      <c r="F75" s="1920"/>
      <c r="G75" s="1920"/>
      <c r="H75" s="1920"/>
      <c r="I75" s="1920"/>
      <c r="J75" s="1920"/>
      <c r="K75" s="1920"/>
      <c r="L75" s="1920"/>
      <c r="M75" s="1920"/>
      <c r="N75" s="1920"/>
      <c r="O75" s="1920"/>
      <c r="P75" s="1920"/>
      <c r="Q75" s="1920"/>
      <c r="R75" s="1920"/>
      <c r="S75" s="1920"/>
      <c r="T75" s="1920"/>
      <c r="U75" s="1920"/>
      <c r="V75" s="1920"/>
      <c r="W75" s="1920"/>
      <c r="X75" s="1920"/>
      <c r="Y75" s="1920"/>
      <c r="Z75" s="1920"/>
      <c r="AA75" s="1920"/>
      <c r="AB75" s="1920"/>
    </row>
    <row r="76" spans="1:61" ht="6" hidden="1" customHeight="1">
      <c r="A76" s="1920"/>
      <c r="B76" s="1920"/>
      <c r="C76" s="1920"/>
      <c r="D76" s="1920"/>
      <c r="E76" s="1920"/>
      <c r="F76" s="1920"/>
      <c r="G76" s="1920"/>
      <c r="H76" s="1920"/>
      <c r="I76" s="1920"/>
      <c r="J76" s="1920"/>
      <c r="K76" s="1920"/>
      <c r="L76" s="1920"/>
      <c r="M76" s="1920"/>
      <c r="N76" s="1920"/>
      <c r="O76" s="1920"/>
      <c r="P76" s="1920"/>
      <c r="Q76" s="1920"/>
      <c r="R76" s="1920"/>
      <c r="S76" s="1920"/>
      <c r="T76" s="1920"/>
      <c r="U76" s="1920"/>
      <c r="V76" s="1920"/>
      <c r="W76" s="1920"/>
      <c r="X76" s="1920"/>
      <c r="Y76" s="1920"/>
      <c r="Z76" s="1920"/>
      <c r="AA76" s="1920"/>
      <c r="AB76" s="1920"/>
    </row>
    <row r="77" spans="1:61" ht="12.75" customHeight="1">
      <c r="A77" s="1550" t="s">
        <v>1896</v>
      </c>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918">
        <f ca="1">TODAY()</f>
        <v>45170</v>
      </c>
      <c r="Z77" s="1919"/>
      <c r="AA77" s="1919"/>
      <c r="AB77" s="1919"/>
      <c r="AD77" s="53"/>
    </row>
    <row r="78" spans="1:61" ht="12.75" customHeight="1">
      <c r="A78" s="190"/>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315"/>
      <c r="Z78" s="316"/>
      <c r="AA78" s="316"/>
      <c r="AB78" s="316"/>
      <c r="AD78" s="53"/>
    </row>
    <row r="79" spans="1:61" ht="12.75" customHeight="1">
      <c r="A79" s="268"/>
      <c r="B79" s="90"/>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D79" s="53"/>
    </row>
    <row r="80" spans="1:61" ht="15.75" customHeight="1">
      <c r="A80" s="300"/>
      <c r="B80" s="90"/>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row>
    <row r="81" spans="1:16" ht="9" customHeight="1"/>
    <row r="82" spans="1:16" ht="13.15" customHeight="1">
      <c r="A82" s="298"/>
      <c r="P82" s="271"/>
    </row>
    <row r="83" spans="1:16" ht="13.15" customHeight="1">
      <c r="A83" s="271"/>
      <c r="B83" s="3"/>
      <c r="P83" s="271"/>
    </row>
    <row r="84" spans="1:16" ht="13.15" customHeight="1">
      <c r="A84" s="271"/>
      <c r="B84" s="3"/>
      <c r="P84" s="271"/>
    </row>
    <row r="85" spans="1:16" ht="13.15" customHeight="1">
      <c r="A85" s="271"/>
      <c r="B85" s="3"/>
      <c r="P85" s="271"/>
    </row>
    <row r="86" spans="1:16" ht="13.15" customHeight="1">
      <c r="A86" s="271"/>
      <c r="B86" s="3"/>
      <c r="P86" s="271"/>
    </row>
    <row r="87" spans="1:16" ht="13.15" customHeight="1">
      <c r="A87" s="271"/>
      <c r="B87" s="3"/>
      <c r="P87" s="270"/>
    </row>
    <row r="88" spans="1:16" ht="13.15" customHeight="1">
      <c r="A88" s="271"/>
      <c r="B88" s="3"/>
      <c r="P88" s="271"/>
    </row>
    <row r="89" spans="1:16" ht="13.15" customHeight="1">
      <c r="A89" s="271"/>
      <c r="B89" s="3"/>
      <c r="P89" s="271"/>
    </row>
    <row r="90" spans="1:16" ht="13.15" customHeight="1">
      <c r="A90" s="271"/>
      <c r="B90" s="3"/>
      <c r="P90" s="271"/>
    </row>
    <row r="91" spans="1:16" ht="13.15" customHeight="1">
      <c r="A91" s="271"/>
      <c r="B91" s="3"/>
      <c r="P91" s="271"/>
    </row>
    <row r="92" spans="1:16" ht="13.15" customHeight="1">
      <c r="A92" s="3"/>
      <c r="B92" s="3"/>
      <c r="P92" s="271"/>
    </row>
    <row r="93" spans="1:16" ht="13.15" customHeight="1">
      <c r="A93" s="298"/>
      <c r="B93" s="3"/>
      <c r="P93" s="271"/>
    </row>
    <row r="94" spans="1:16" ht="13.15" customHeight="1">
      <c r="A94" s="271"/>
      <c r="B94" s="3"/>
      <c r="P94" s="298"/>
    </row>
    <row r="95" spans="1:16" ht="13.15" customHeight="1">
      <c r="A95" s="271"/>
      <c r="B95" s="3"/>
      <c r="P95" s="271"/>
    </row>
    <row r="96" spans="1:16" ht="13.15" customHeight="1">
      <c r="A96" s="271"/>
      <c r="B96" s="3"/>
      <c r="P96" s="271"/>
    </row>
    <row r="97" spans="1:28" ht="13.15" customHeight="1">
      <c r="A97" s="271"/>
      <c r="B97" s="3"/>
      <c r="P97" s="271"/>
    </row>
    <row r="98" spans="1:28" ht="13.15" customHeight="1">
      <c r="A98" s="271"/>
      <c r="B98" s="3"/>
      <c r="P98" s="270"/>
    </row>
    <row r="99" spans="1:28" ht="13.15" customHeight="1">
      <c r="A99" s="271"/>
      <c r="B99" s="3"/>
      <c r="P99" s="3"/>
    </row>
    <row r="100" spans="1:28" ht="13.15" customHeight="1">
      <c r="A100" s="271"/>
      <c r="B100" s="3"/>
      <c r="P100" s="271"/>
    </row>
    <row r="101" spans="1:28" ht="13.15" customHeight="1">
      <c r="A101" s="271"/>
      <c r="B101" s="53"/>
      <c r="C101" s="270"/>
      <c r="D101" s="270"/>
      <c r="E101" s="270"/>
      <c r="F101" s="270"/>
      <c r="G101" s="270"/>
      <c r="H101" s="270"/>
      <c r="I101" s="270"/>
      <c r="J101" s="270"/>
      <c r="K101" s="270"/>
      <c r="L101" s="270"/>
      <c r="M101" s="270"/>
      <c r="N101" s="270"/>
      <c r="P101" s="271"/>
    </row>
    <row r="102" spans="1:28" ht="13.15" customHeight="1">
      <c r="A102" s="271"/>
      <c r="B102" s="53"/>
      <c r="C102" s="270"/>
      <c r="D102" s="270"/>
      <c r="E102" s="270"/>
      <c r="F102" s="270"/>
      <c r="G102" s="270"/>
      <c r="H102" s="270"/>
      <c r="I102" s="270"/>
      <c r="J102" s="270"/>
      <c r="K102" s="270"/>
      <c r="L102" s="270"/>
      <c r="M102" s="270"/>
      <c r="N102" s="270"/>
      <c r="P102" s="271"/>
    </row>
    <row r="103" spans="1:28" ht="13.15" customHeight="1">
      <c r="A103" s="271"/>
      <c r="B103" s="53"/>
      <c r="C103" s="270"/>
      <c r="D103" s="270"/>
      <c r="E103" s="270"/>
      <c r="F103" s="270"/>
      <c r="G103" s="270"/>
      <c r="H103" s="270"/>
      <c r="I103" s="270"/>
      <c r="J103" s="270"/>
      <c r="K103" s="270"/>
      <c r="L103" s="270"/>
      <c r="M103" s="270"/>
      <c r="N103" s="270"/>
      <c r="P103" s="271"/>
    </row>
    <row r="104" spans="1:28" ht="13.15" customHeight="1">
      <c r="A104" s="271"/>
      <c r="B104" s="53"/>
      <c r="C104" s="270"/>
      <c r="D104" s="270"/>
      <c r="E104" s="270"/>
      <c r="F104" s="270"/>
      <c r="G104" s="270"/>
      <c r="H104" s="270"/>
      <c r="I104" s="270"/>
      <c r="J104" s="270"/>
      <c r="K104" s="270"/>
      <c r="L104" s="270"/>
      <c r="M104" s="270"/>
      <c r="N104" s="270"/>
      <c r="P104" s="271"/>
      <c r="Q104" s="271"/>
      <c r="R104" s="271"/>
      <c r="S104" s="271"/>
      <c r="T104" s="271"/>
      <c r="U104" s="271"/>
      <c r="V104" s="271"/>
      <c r="W104" s="271"/>
      <c r="X104" s="271"/>
      <c r="Y104" s="271"/>
      <c r="Z104" s="271"/>
      <c r="AA104" s="271"/>
      <c r="AB104" s="271"/>
    </row>
    <row r="105" spans="1:28" ht="13.15" customHeight="1">
      <c r="A105" s="271"/>
      <c r="B105" s="53"/>
      <c r="C105" s="270"/>
      <c r="D105" s="270"/>
      <c r="E105" s="270"/>
      <c r="F105" s="270"/>
      <c r="G105" s="270"/>
      <c r="H105" s="270"/>
      <c r="I105" s="270"/>
      <c r="J105" s="270"/>
      <c r="K105" s="270"/>
      <c r="L105" s="270"/>
      <c r="M105" s="270"/>
      <c r="N105" s="270"/>
      <c r="P105" s="270"/>
      <c r="Q105" s="271"/>
      <c r="R105" s="271"/>
      <c r="S105" s="271"/>
      <c r="T105" s="271"/>
      <c r="U105" s="271"/>
      <c r="V105" s="271"/>
      <c r="W105" s="271"/>
      <c r="X105" s="271"/>
      <c r="Y105" s="271"/>
      <c r="Z105" s="271"/>
      <c r="AA105" s="271"/>
      <c r="AB105" s="271"/>
    </row>
    <row r="106" spans="1:28" ht="13.15" customHeight="1">
      <c r="A106" s="271"/>
      <c r="B106" s="53"/>
      <c r="C106" s="270"/>
      <c r="D106" s="270"/>
      <c r="E106" s="270"/>
      <c r="F106" s="270"/>
      <c r="G106" s="270"/>
      <c r="H106" s="270"/>
      <c r="I106" s="270"/>
      <c r="J106" s="270"/>
      <c r="K106" s="270"/>
      <c r="L106" s="270"/>
      <c r="M106" s="270"/>
      <c r="N106" s="270"/>
      <c r="P106" s="271"/>
      <c r="Q106" s="271"/>
      <c r="R106" s="271"/>
      <c r="S106" s="271"/>
      <c r="T106" s="271"/>
      <c r="U106" s="271"/>
      <c r="V106" s="271"/>
      <c r="W106" s="271"/>
      <c r="X106" s="271"/>
      <c r="Y106" s="271"/>
      <c r="Z106" s="271"/>
      <c r="AA106" s="271"/>
      <c r="AB106" s="271"/>
    </row>
    <row r="107" spans="1:28" ht="13.15" customHeight="1">
      <c r="A107" s="271"/>
      <c r="B107" s="53"/>
      <c r="C107" s="270"/>
      <c r="D107" s="270"/>
      <c r="E107" s="270"/>
      <c r="F107" s="270"/>
      <c r="G107" s="270"/>
      <c r="H107" s="270"/>
      <c r="I107" s="270"/>
      <c r="J107" s="270"/>
      <c r="K107" s="270"/>
      <c r="L107" s="270"/>
      <c r="M107" s="270"/>
      <c r="N107" s="270"/>
      <c r="P107" s="271"/>
      <c r="Q107" s="271"/>
      <c r="R107" s="271"/>
      <c r="S107" s="271"/>
      <c r="T107" s="271"/>
      <c r="U107" s="271"/>
      <c r="V107" s="271"/>
      <c r="W107" s="271"/>
      <c r="X107" s="271"/>
      <c r="Y107" s="271"/>
      <c r="Z107" s="271"/>
      <c r="AA107" s="271"/>
      <c r="AB107" s="271"/>
    </row>
    <row r="108" spans="1:28" ht="13.15" customHeight="1">
      <c r="A108" s="271"/>
      <c r="B108" s="53"/>
      <c r="C108" s="270"/>
      <c r="D108" s="270"/>
      <c r="E108" s="270"/>
      <c r="F108" s="270"/>
      <c r="G108" s="270"/>
      <c r="H108" s="270"/>
      <c r="I108" s="270"/>
      <c r="J108" s="270"/>
      <c r="K108" s="270"/>
      <c r="L108" s="270"/>
      <c r="M108" s="270"/>
      <c r="N108" s="270"/>
      <c r="P108" s="271"/>
      <c r="Q108" s="271"/>
      <c r="R108" s="271"/>
      <c r="S108" s="271"/>
      <c r="T108" s="271"/>
      <c r="U108" s="271"/>
      <c r="V108" s="271"/>
      <c r="W108" s="271"/>
      <c r="X108" s="271"/>
      <c r="Y108" s="271"/>
      <c r="Z108" s="271"/>
      <c r="AA108" s="271"/>
      <c r="AB108" s="271"/>
    </row>
    <row r="109" spans="1:28" ht="13.15" customHeight="1">
      <c r="A109" s="271"/>
      <c r="B109" s="53"/>
      <c r="C109" s="270"/>
      <c r="D109" s="270"/>
      <c r="E109" s="270"/>
      <c r="F109" s="270"/>
      <c r="G109" s="270"/>
      <c r="H109" s="270"/>
      <c r="I109" s="270"/>
      <c r="J109" s="270"/>
      <c r="K109" s="270"/>
      <c r="L109" s="270"/>
      <c r="M109" s="270"/>
      <c r="N109" s="270"/>
      <c r="P109" s="271"/>
      <c r="Q109" s="271"/>
      <c r="R109" s="271"/>
      <c r="S109" s="271"/>
      <c r="T109" s="271"/>
      <c r="U109" s="271"/>
      <c r="V109" s="271"/>
      <c r="W109" s="271"/>
      <c r="X109" s="271"/>
      <c r="Y109" s="271"/>
      <c r="Z109" s="271"/>
      <c r="AA109" s="271"/>
      <c r="AB109" s="271"/>
    </row>
    <row r="110" spans="1:28" ht="13.15" customHeight="1">
      <c r="A110" s="270"/>
      <c r="B110" s="270"/>
      <c r="C110" s="270"/>
      <c r="D110" s="270"/>
      <c r="E110" s="270"/>
      <c r="F110" s="270"/>
      <c r="G110" s="270"/>
      <c r="H110" s="270"/>
      <c r="I110" s="270"/>
      <c r="J110" s="270"/>
      <c r="K110" s="270"/>
      <c r="L110" s="270"/>
      <c r="M110" s="270"/>
      <c r="N110" s="270"/>
      <c r="P110" s="271"/>
      <c r="Q110" s="269"/>
      <c r="R110" s="269"/>
      <c r="S110" s="269"/>
      <c r="T110" s="269"/>
      <c r="U110" s="269"/>
      <c r="V110" s="269"/>
      <c r="W110" s="269"/>
      <c r="X110" s="269"/>
      <c r="Y110" s="269"/>
      <c r="Z110" s="269"/>
      <c r="AA110" s="269"/>
      <c r="AB110" s="269"/>
    </row>
    <row r="111" spans="1:28" ht="13.15" customHeight="1">
      <c r="A111" s="298"/>
      <c r="B111" s="270"/>
      <c r="C111" s="270"/>
      <c r="D111" s="270"/>
      <c r="E111" s="270"/>
      <c r="F111" s="270"/>
      <c r="G111" s="270"/>
      <c r="H111" s="270"/>
      <c r="I111" s="270"/>
      <c r="J111" s="270"/>
      <c r="K111" s="270"/>
      <c r="L111" s="270"/>
      <c r="M111" s="270"/>
      <c r="N111" s="270"/>
      <c r="P111" s="271"/>
      <c r="Q111" s="269"/>
      <c r="R111" s="269"/>
      <c r="S111" s="269"/>
      <c r="T111" s="269"/>
      <c r="U111" s="269"/>
      <c r="V111" s="269"/>
      <c r="W111" s="269"/>
      <c r="X111" s="269"/>
      <c r="Y111" s="269"/>
      <c r="Z111" s="269"/>
      <c r="AA111" s="269"/>
      <c r="AB111" s="269"/>
    </row>
    <row r="112" spans="1:28" ht="13.15" customHeight="1">
      <c r="A112" s="271"/>
      <c r="B112" s="270"/>
      <c r="C112" s="270"/>
      <c r="D112" s="270"/>
      <c r="E112" s="270"/>
      <c r="F112" s="270"/>
      <c r="G112" s="270"/>
      <c r="H112" s="270"/>
      <c r="I112" s="270"/>
      <c r="J112" s="270"/>
      <c r="K112" s="270"/>
      <c r="L112" s="270"/>
      <c r="M112" s="270"/>
      <c r="N112" s="270"/>
      <c r="P112" s="271"/>
      <c r="Q112" s="269"/>
      <c r="R112" s="269"/>
      <c r="S112" s="269"/>
      <c r="T112" s="269"/>
      <c r="U112" s="269"/>
      <c r="V112" s="269"/>
      <c r="W112" s="269"/>
      <c r="X112" s="269"/>
      <c r="Y112" s="269"/>
      <c r="Z112" s="269"/>
      <c r="AA112" s="269"/>
      <c r="AB112" s="269"/>
    </row>
    <row r="113" spans="1:28" ht="13.15" customHeight="1">
      <c r="A113" s="271"/>
      <c r="B113" s="270"/>
      <c r="C113" s="270"/>
      <c r="D113" s="270"/>
      <c r="E113" s="270"/>
      <c r="F113" s="270"/>
      <c r="G113" s="270"/>
      <c r="H113" s="270"/>
      <c r="I113" s="270"/>
      <c r="J113" s="270"/>
      <c r="K113" s="270"/>
      <c r="L113" s="270"/>
      <c r="M113" s="270"/>
      <c r="N113" s="270"/>
      <c r="P113" s="271"/>
      <c r="Q113" s="269"/>
      <c r="R113" s="269"/>
      <c r="S113" s="269"/>
      <c r="T113" s="269"/>
      <c r="U113" s="269"/>
      <c r="V113" s="269"/>
      <c r="W113" s="269"/>
      <c r="X113" s="269"/>
      <c r="Y113" s="269"/>
      <c r="Z113" s="269"/>
      <c r="AA113" s="269"/>
      <c r="AB113" s="269"/>
    </row>
    <row r="114" spans="1:28" ht="13.15" customHeight="1">
      <c r="A114" s="271"/>
      <c r="B114" s="270"/>
      <c r="C114" s="270"/>
      <c r="D114" s="270"/>
      <c r="E114" s="270"/>
      <c r="F114" s="270"/>
      <c r="G114" s="270"/>
      <c r="H114" s="270"/>
      <c r="I114" s="270"/>
      <c r="J114" s="270"/>
      <c r="K114" s="270"/>
      <c r="L114" s="270"/>
      <c r="M114" s="270"/>
      <c r="N114" s="270"/>
      <c r="P114" s="271"/>
      <c r="Q114" s="269"/>
      <c r="R114" s="269"/>
      <c r="S114" s="269"/>
      <c r="T114" s="269"/>
      <c r="U114" s="269"/>
      <c r="V114" s="269"/>
      <c r="W114" s="269"/>
      <c r="X114" s="269"/>
      <c r="Y114" s="269"/>
      <c r="Z114" s="269"/>
      <c r="AA114" s="269"/>
      <c r="AB114" s="269"/>
    </row>
    <row r="115" spans="1:28" ht="13.15" customHeight="1">
      <c r="A115" s="271"/>
      <c r="B115" s="270"/>
      <c r="C115" s="270"/>
      <c r="D115" s="270"/>
      <c r="E115" s="270"/>
      <c r="F115" s="270"/>
      <c r="G115" s="270"/>
      <c r="H115" s="270"/>
      <c r="I115" s="270"/>
      <c r="J115" s="270"/>
      <c r="K115" s="270"/>
      <c r="L115" s="270"/>
      <c r="M115" s="270"/>
      <c r="N115" s="270"/>
      <c r="P115" s="271"/>
      <c r="Q115" s="270"/>
      <c r="R115" s="270"/>
      <c r="S115" s="270"/>
      <c r="T115" s="270"/>
      <c r="U115" s="270"/>
      <c r="V115" s="270"/>
      <c r="W115" s="270"/>
      <c r="X115" s="270"/>
      <c r="Y115" s="270"/>
      <c r="Z115" s="270"/>
      <c r="AA115" s="270"/>
      <c r="AB115" s="270"/>
    </row>
    <row r="116" spans="1:28" ht="13.15" customHeight="1">
      <c r="A116" s="271"/>
      <c r="B116" s="53"/>
      <c r="C116" s="270"/>
      <c r="D116" s="270"/>
      <c r="E116" s="270"/>
      <c r="F116" s="270"/>
      <c r="G116" s="270"/>
      <c r="H116" s="270"/>
      <c r="I116" s="270"/>
      <c r="J116" s="270"/>
      <c r="K116" s="270"/>
      <c r="L116" s="270"/>
      <c r="M116" s="270"/>
      <c r="N116" s="270"/>
      <c r="P116" s="271"/>
      <c r="Q116" s="270"/>
      <c r="R116" s="270"/>
      <c r="S116" s="270"/>
      <c r="T116" s="270"/>
      <c r="U116" s="270"/>
      <c r="V116" s="270"/>
      <c r="W116" s="270"/>
      <c r="X116" s="270"/>
      <c r="Y116" s="270"/>
      <c r="Z116" s="270"/>
      <c r="AA116" s="270"/>
      <c r="AB116" s="270"/>
    </row>
    <row r="117" spans="1:28" ht="13.15" customHeight="1">
      <c r="A117" s="270"/>
      <c r="B117" s="53"/>
      <c r="C117" s="270"/>
      <c r="D117" s="270"/>
      <c r="E117" s="270"/>
      <c r="F117" s="270"/>
      <c r="G117" s="270"/>
      <c r="H117" s="270"/>
      <c r="I117" s="270"/>
      <c r="J117" s="270"/>
      <c r="K117" s="270"/>
      <c r="L117" s="270"/>
      <c r="M117" s="270"/>
      <c r="N117" s="270"/>
      <c r="P117" s="271"/>
      <c r="Q117" s="270"/>
      <c r="R117" s="270"/>
      <c r="S117" s="270"/>
      <c r="T117" s="270"/>
      <c r="U117" s="270"/>
      <c r="V117" s="270"/>
      <c r="W117" s="270"/>
      <c r="X117" s="270"/>
      <c r="Y117" s="270"/>
      <c r="Z117" s="270"/>
      <c r="AA117" s="270"/>
      <c r="AB117" s="270"/>
    </row>
    <row r="118" spans="1:28" ht="13.15" customHeight="1">
      <c r="A118" s="271"/>
      <c r="B118" s="53"/>
      <c r="C118" s="270"/>
      <c r="D118" s="270"/>
      <c r="E118" s="270"/>
      <c r="F118" s="270"/>
      <c r="G118" s="270"/>
      <c r="H118" s="270"/>
      <c r="I118" s="270"/>
      <c r="J118" s="270"/>
      <c r="K118" s="270"/>
      <c r="L118" s="270"/>
      <c r="M118" s="270"/>
      <c r="N118" s="270"/>
      <c r="P118" s="270"/>
      <c r="Q118" s="270"/>
      <c r="R118" s="270"/>
      <c r="S118" s="270"/>
      <c r="T118" s="270"/>
      <c r="U118" s="270"/>
      <c r="V118" s="270"/>
      <c r="W118" s="270"/>
      <c r="X118" s="270"/>
      <c r="Y118" s="270"/>
      <c r="Z118" s="270"/>
      <c r="AA118" s="270"/>
      <c r="AB118" s="270"/>
    </row>
    <row r="119" spans="1:28" ht="13.15" customHeight="1">
      <c r="A119" s="271"/>
      <c r="B119" s="53"/>
      <c r="C119" s="270"/>
      <c r="D119" s="270"/>
      <c r="E119" s="270"/>
      <c r="F119" s="270"/>
      <c r="G119" s="270"/>
      <c r="H119" s="270"/>
      <c r="I119" s="270"/>
      <c r="J119" s="270"/>
      <c r="K119" s="270"/>
      <c r="L119" s="270"/>
      <c r="M119" s="270"/>
      <c r="N119" s="270"/>
      <c r="P119" s="271"/>
      <c r="Q119" s="270"/>
      <c r="R119" s="270"/>
      <c r="S119" s="270"/>
      <c r="T119" s="270"/>
      <c r="U119" s="270"/>
      <c r="V119" s="270"/>
      <c r="W119" s="270"/>
      <c r="X119" s="270"/>
      <c r="Y119" s="270"/>
      <c r="Z119" s="270"/>
      <c r="AA119" s="270"/>
      <c r="AB119" s="270"/>
    </row>
    <row r="120" spans="1:28" ht="13.15" customHeight="1">
      <c r="A120" s="271"/>
      <c r="B120" s="53"/>
      <c r="C120" s="270"/>
      <c r="D120" s="270"/>
      <c r="E120" s="270"/>
      <c r="F120" s="270"/>
      <c r="G120" s="270"/>
      <c r="H120" s="270"/>
      <c r="I120" s="270"/>
      <c r="J120" s="270"/>
      <c r="K120" s="270"/>
      <c r="L120" s="270"/>
      <c r="M120" s="270"/>
      <c r="N120" s="270"/>
      <c r="P120" s="271"/>
      <c r="Q120" s="270"/>
      <c r="R120" s="270"/>
      <c r="S120" s="270"/>
      <c r="T120" s="270"/>
      <c r="U120" s="270"/>
      <c r="V120" s="270"/>
      <c r="W120" s="270"/>
      <c r="X120" s="270"/>
      <c r="Y120" s="270"/>
      <c r="Z120" s="270"/>
      <c r="AA120" s="270"/>
      <c r="AB120" s="270"/>
    </row>
    <row r="121" spans="1:28" ht="13.15" customHeight="1">
      <c r="A121" s="271"/>
      <c r="B121" s="53"/>
      <c r="C121" s="270"/>
      <c r="D121" s="270"/>
      <c r="E121" s="270"/>
      <c r="F121" s="270"/>
      <c r="G121" s="270"/>
      <c r="H121" s="270"/>
      <c r="I121" s="270"/>
      <c r="J121" s="270"/>
      <c r="K121" s="270"/>
      <c r="L121" s="270"/>
      <c r="M121" s="270"/>
      <c r="N121" s="270"/>
      <c r="P121" s="271"/>
      <c r="Q121" s="270"/>
      <c r="R121" s="270"/>
      <c r="S121" s="270"/>
      <c r="T121" s="270"/>
      <c r="U121" s="270"/>
      <c r="V121" s="270"/>
      <c r="W121" s="270"/>
      <c r="X121" s="270"/>
      <c r="Y121" s="270"/>
      <c r="Z121" s="270"/>
      <c r="AA121" s="270"/>
      <c r="AB121" s="270"/>
    </row>
    <row r="122" spans="1:28" ht="13.15" customHeight="1">
      <c r="A122" s="271"/>
      <c r="B122" s="53"/>
      <c r="C122" s="270"/>
      <c r="D122" s="270"/>
      <c r="E122" s="270"/>
      <c r="F122" s="270"/>
      <c r="G122" s="270"/>
      <c r="H122" s="270"/>
      <c r="I122" s="270"/>
      <c r="J122" s="270"/>
      <c r="K122" s="270"/>
      <c r="L122" s="270"/>
      <c r="M122" s="270"/>
      <c r="N122" s="270"/>
      <c r="P122" s="271"/>
      <c r="Q122" s="270"/>
      <c r="R122" s="270"/>
      <c r="S122" s="270"/>
      <c r="T122" s="270"/>
      <c r="U122" s="270"/>
      <c r="V122" s="270"/>
      <c r="W122" s="270"/>
      <c r="X122" s="270"/>
      <c r="Y122" s="270"/>
      <c r="Z122" s="270"/>
      <c r="AA122" s="270"/>
      <c r="AB122" s="270"/>
    </row>
    <row r="123" spans="1:28" ht="13.15" customHeight="1">
      <c r="A123" s="271"/>
      <c r="B123" s="53"/>
      <c r="C123" s="270"/>
      <c r="D123" s="270"/>
      <c r="E123" s="270"/>
      <c r="F123" s="270"/>
      <c r="G123" s="270"/>
      <c r="H123" s="270"/>
      <c r="I123" s="270"/>
      <c r="J123" s="270"/>
      <c r="K123" s="270"/>
      <c r="L123" s="270"/>
      <c r="M123" s="270"/>
      <c r="N123" s="270"/>
      <c r="P123" s="271"/>
      <c r="Q123" s="270"/>
      <c r="R123" s="270"/>
      <c r="S123" s="270"/>
      <c r="T123" s="270"/>
      <c r="U123" s="270"/>
      <c r="V123" s="270"/>
      <c r="W123" s="270"/>
      <c r="X123" s="270"/>
      <c r="Y123" s="270"/>
      <c r="Z123" s="270"/>
      <c r="AA123" s="270"/>
      <c r="AB123" s="270"/>
    </row>
    <row r="124" spans="1:28" ht="13.15" customHeight="1">
      <c r="A124" s="271"/>
      <c r="B124" s="53"/>
      <c r="C124" s="270"/>
      <c r="D124" s="270"/>
      <c r="E124" s="270"/>
      <c r="F124" s="270"/>
      <c r="G124" s="270"/>
      <c r="H124" s="270"/>
      <c r="I124" s="270"/>
      <c r="J124" s="270"/>
      <c r="K124" s="270"/>
      <c r="L124" s="270"/>
      <c r="M124" s="270"/>
      <c r="N124" s="270"/>
      <c r="P124" s="271"/>
      <c r="Q124" s="270"/>
      <c r="R124" s="270"/>
      <c r="S124" s="270"/>
      <c r="T124" s="270"/>
      <c r="U124" s="270"/>
      <c r="V124" s="270"/>
      <c r="W124" s="270"/>
      <c r="X124" s="270"/>
      <c r="Y124" s="270"/>
      <c r="Z124" s="270"/>
      <c r="AA124" s="270"/>
      <c r="AB124" s="270"/>
    </row>
    <row r="125" spans="1:28" ht="13.15" customHeight="1">
      <c r="A125" s="271"/>
      <c r="B125" s="53"/>
      <c r="C125" s="270"/>
      <c r="D125" s="270"/>
      <c r="E125" s="270"/>
      <c r="F125" s="270"/>
      <c r="G125" s="270"/>
      <c r="H125" s="270"/>
      <c r="I125" s="270"/>
      <c r="J125" s="270"/>
      <c r="K125" s="270"/>
      <c r="L125" s="270"/>
      <c r="M125" s="270"/>
      <c r="N125" s="270"/>
      <c r="P125" s="271"/>
      <c r="Q125" s="270"/>
      <c r="R125" s="270"/>
      <c r="S125" s="270"/>
      <c r="T125" s="270"/>
      <c r="U125" s="270"/>
      <c r="V125" s="270"/>
      <c r="W125" s="270"/>
      <c r="X125" s="270"/>
      <c r="Y125" s="270"/>
      <c r="Z125" s="270"/>
      <c r="AA125" s="270"/>
      <c r="AB125" s="270"/>
    </row>
    <row r="126" spans="1:28" ht="13.15" customHeight="1">
      <c r="A126" s="271"/>
      <c r="B126" s="53"/>
      <c r="C126" s="270"/>
      <c r="D126" s="270"/>
      <c r="E126" s="270"/>
      <c r="F126" s="270"/>
      <c r="G126" s="270"/>
      <c r="H126" s="270"/>
      <c r="I126" s="270"/>
      <c r="J126" s="270"/>
      <c r="K126" s="270"/>
      <c r="L126" s="270"/>
      <c r="M126" s="270"/>
      <c r="N126" s="270"/>
      <c r="P126" s="271"/>
      <c r="Q126" s="270"/>
      <c r="R126" s="270"/>
      <c r="S126" s="270"/>
      <c r="T126" s="270"/>
      <c r="U126" s="270"/>
      <c r="V126" s="270"/>
      <c r="W126" s="270"/>
      <c r="X126" s="270"/>
      <c r="Y126" s="270"/>
      <c r="Z126" s="270"/>
      <c r="AA126" s="270"/>
      <c r="AB126" s="270"/>
    </row>
    <row r="127" spans="1:28" ht="13.15" customHeight="1">
      <c r="A127" s="271"/>
      <c r="B127" s="53"/>
      <c r="C127" s="270"/>
      <c r="D127" s="270"/>
      <c r="E127" s="270"/>
      <c r="F127" s="270"/>
      <c r="G127" s="270"/>
      <c r="H127" s="270"/>
      <c r="I127" s="270"/>
      <c r="J127" s="270"/>
      <c r="K127" s="270"/>
      <c r="L127" s="270"/>
      <c r="M127" s="270"/>
      <c r="N127" s="270"/>
      <c r="P127" s="271"/>
      <c r="Q127" s="270"/>
      <c r="R127" s="270"/>
      <c r="S127" s="270"/>
      <c r="T127" s="270"/>
      <c r="U127" s="270"/>
      <c r="V127" s="270"/>
      <c r="W127" s="270"/>
      <c r="X127" s="270"/>
      <c r="Y127" s="270"/>
      <c r="Z127" s="270"/>
      <c r="AA127" s="270"/>
      <c r="AB127" s="270"/>
    </row>
    <row r="128" spans="1:28" ht="13.15" customHeight="1">
      <c r="A128" s="271"/>
      <c r="B128" s="53"/>
      <c r="C128" s="270"/>
      <c r="D128" s="270"/>
      <c r="E128" s="270"/>
      <c r="F128" s="270"/>
      <c r="G128" s="270"/>
      <c r="H128" s="270"/>
      <c r="I128" s="270"/>
      <c r="J128" s="270"/>
      <c r="K128" s="270"/>
      <c r="L128" s="270"/>
      <c r="M128" s="270"/>
      <c r="N128" s="270"/>
      <c r="P128" s="271"/>
      <c r="Q128" s="270"/>
      <c r="R128" s="270"/>
      <c r="S128" s="270"/>
      <c r="T128" s="270"/>
      <c r="U128" s="270"/>
      <c r="V128" s="270"/>
      <c r="W128" s="270"/>
      <c r="X128" s="270"/>
      <c r="Y128" s="270"/>
      <c r="Z128" s="270"/>
      <c r="AA128" s="270"/>
      <c r="AB128" s="270"/>
    </row>
    <row r="129" spans="1:28" ht="13.15" customHeight="1">
      <c r="A129" s="271"/>
      <c r="B129" s="53"/>
      <c r="C129" s="270"/>
      <c r="D129" s="270"/>
      <c r="E129" s="270"/>
      <c r="F129" s="270"/>
      <c r="G129" s="270"/>
      <c r="H129" s="270"/>
      <c r="I129" s="270"/>
      <c r="J129" s="270"/>
      <c r="K129" s="270"/>
      <c r="L129" s="270"/>
      <c r="M129" s="270"/>
      <c r="N129" s="270"/>
      <c r="P129" s="271"/>
      <c r="Q129" s="270"/>
      <c r="R129" s="270"/>
      <c r="S129" s="270"/>
      <c r="T129" s="270"/>
      <c r="U129" s="270"/>
      <c r="V129" s="270"/>
      <c r="W129" s="270"/>
      <c r="X129" s="270"/>
      <c r="Y129" s="270"/>
      <c r="Z129" s="270"/>
      <c r="AA129" s="270"/>
      <c r="AB129" s="270"/>
    </row>
    <row r="130" spans="1:28" ht="13.15" customHeight="1">
      <c r="A130" s="271"/>
      <c r="B130" s="53"/>
      <c r="C130" s="270"/>
      <c r="D130" s="270"/>
      <c r="E130" s="270"/>
      <c r="F130" s="270"/>
      <c r="G130" s="270"/>
      <c r="H130" s="270"/>
      <c r="I130" s="270"/>
      <c r="J130" s="270"/>
      <c r="K130" s="270"/>
      <c r="L130" s="270"/>
      <c r="M130" s="270"/>
      <c r="N130" s="270"/>
      <c r="P130" s="271"/>
      <c r="Q130" s="270"/>
      <c r="R130" s="270"/>
      <c r="S130" s="270"/>
      <c r="T130" s="270"/>
      <c r="U130" s="270"/>
      <c r="V130" s="270"/>
      <c r="W130" s="270"/>
      <c r="X130" s="270"/>
      <c r="Y130" s="270"/>
      <c r="Z130" s="270"/>
      <c r="AA130" s="270"/>
      <c r="AB130" s="270"/>
    </row>
    <row r="131" spans="1:28" ht="13.15" customHeight="1">
      <c r="A131" s="271"/>
      <c r="B131" s="53"/>
      <c r="C131" s="270"/>
      <c r="D131" s="270"/>
      <c r="E131" s="270"/>
      <c r="F131" s="270"/>
      <c r="G131" s="270"/>
      <c r="H131" s="270"/>
      <c r="I131" s="270"/>
      <c r="J131" s="270"/>
      <c r="K131" s="270"/>
      <c r="L131" s="270"/>
      <c r="M131" s="270"/>
      <c r="N131" s="270"/>
      <c r="P131" s="271"/>
      <c r="Q131" s="270"/>
      <c r="R131" s="270"/>
      <c r="S131" s="270"/>
      <c r="T131" s="270"/>
      <c r="U131" s="270"/>
      <c r="V131" s="270"/>
      <c r="W131" s="270"/>
      <c r="X131" s="270"/>
      <c r="Y131" s="270"/>
      <c r="Z131" s="270"/>
      <c r="AA131" s="270"/>
      <c r="AB131" s="270"/>
    </row>
    <row r="132" spans="1:28" ht="13.15" customHeight="1">
      <c r="A132" s="271"/>
      <c r="B132" s="53"/>
      <c r="C132" s="270"/>
      <c r="D132" s="270"/>
      <c r="E132" s="270"/>
      <c r="F132" s="270"/>
      <c r="G132" s="270"/>
      <c r="H132" s="270"/>
      <c r="I132" s="270"/>
      <c r="J132" s="270"/>
      <c r="K132" s="270"/>
      <c r="L132" s="270"/>
      <c r="M132" s="270"/>
      <c r="N132" s="270"/>
      <c r="P132" s="271"/>
      <c r="Q132" s="270"/>
      <c r="R132" s="270"/>
      <c r="S132" s="270"/>
      <c r="T132" s="270"/>
      <c r="U132" s="270"/>
      <c r="V132" s="270"/>
      <c r="W132" s="270"/>
      <c r="X132" s="270"/>
      <c r="Y132" s="270"/>
      <c r="Z132" s="270"/>
      <c r="AA132" s="270"/>
      <c r="AB132" s="270"/>
    </row>
    <row r="133" spans="1:28" ht="13.15" customHeight="1">
      <c r="A133" s="271"/>
      <c r="B133" s="53"/>
      <c r="C133" s="270"/>
      <c r="D133" s="270"/>
      <c r="E133" s="270"/>
      <c r="F133" s="270"/>
      <c r="G133" s="270"/>
      <c r="H133" s="270"/>
      <c r="I133" s="270"/>
      <c r="J133" s="270"/>
      <c r="K133" s="270"/>
      <c r="L133" s="270"/>
      <c r="M133" s="270"/>
      <c r="N133" s="270"/>
      <c r="P133" s="271"/>
      <c r="Q133" s="270"/>
      <c r="R133" s="270"/>
      <c r="S133" s="270"/>
      <c r="T133" s="270"/>
      <c r="U133" s="270"/>
      <c r="V133" s="270"/>
      <c r="W133" s="270"/>
      <c r="X133" s="270"/>
      <c r="Y133" s="270"/>
      <c r="Z133" s="270"/>
      <c r="AA133" s="270"/>
      <c r="AB133" s="270"/>
    </row>
    <row r="134" spans="1:28" ht="13.15" customHeight="1">
      <c r="A134" s="271"/>
      <c r="B134" s="53"/>
      <c r="C134" s="270"/>
      <c r="D134" s="270"/>
      <c r="E134" s="270"/>
      <c r="F134" s="270"/>
      <c r="G134" s="270"/>
      <c r="H134" s="270"/>
      <c r="I134" s="270"/>
      <c r="J134" s="270"/>
      <c r="K134" s="270"/>
      <c r="L134" s="270"/>
      <c r="M134" s="270"/>
      <c r="N134" s="270"/>
      <c r="P134" s="270"/>
      <c r="Q134" s="270"/>
      <c r="R134" s="270"/>
      <c r="S134" s="270"/>
      <c r="T134" s="270"/>
      <c r="U134" s="270"/>
      <c r="V134" s="270"/>
      <c r="W134" s="270"/>
      <c r="X134" s="270"/>
      <c r="Y134" s="270"/>
      <c r="Z134" s="270"/>
      <c r="AA134" s="270"/>
      <c r="AB134" s="270"/>
    </row>
    <row r="135" spans="1:28" ht="13.15" customHeight="1">
      <c r="A135" s="271"/>
      <c r="B135" s="53"/>
      <c r="C135" s="270"/>
      <c r="D135" s="270"/>
      <c r="E135" s="270"/>
      <c r="F135" s="270"/>
      <c r="G135" s="270"/>
      <c r="H135" s="270"/>
      <c r="I135" s="270"/>
      <c r="J135" s="270"/>
      <c r="K135" s="270"/>
      <c r="L135" s="270"/>
      <c r="M135" s="270"/>
      <c r="N135" s="270"/>
      <c r="P135" s="298"/>
      <c r="Q135" s="270"/>
      <c r="R135" s="270"/>
      <c r="S135" s="270"/>
      <c r="T135" s="270"/>
      <c r="U135" s="270"/>
      <c r="V135" s="270"/>
      <c r="W135" s="270"/>
      <c r="X135" s="270"/>
      <c r="Y135" s="270"/>
      <c r="Z135" s="270"/>
      <c r="AA135" s="270"/>
      <c r="AB135" s="270"/>
    </row>
    <row r="136" spans="1:28" ht="13.15" customHeight="1">
      <c r="A136" s="271"/>
      <c r="B136" s="53"/>
      <c r="C136" s="270"/>
      <c r="D136" s="270"/>
      <c r="E136" s="270"/>
      <c r="F136" s="270"/>
      <c r="G136" s="270"/>
      <c r="H136" s="270"/>
      <c r="I136" s="270"/>
      <c r="J136" s="270"/>
      <c r="K136" s="270"/>
      <c r="L136" s="270"/>
      <c r="M136" s="270"/>
      <c r="N136" s="270"/>
      <c r="P136" s="271"/>
      <c r="Q136" s="270"/>
      <c r="R136" s="270"/>
      <c r="S136" s="270"/>
      <c r="T136" s="270"/>
      <c r="U136" s="270"/>
      <c r="V136" s="270"/>
      <c r="W136" s="270"/>
      <c r="X136" s="270"/>
      <c r="Y136" s="270"/>
      <c r="Z136" s="270"/>
      <c r="AA136" s="270"/>
      <c r="AB136" s="270"/>
    </row>
    <row r="137" spans="1:28" ht="13.15" customHeight="1">
      <c r="A137" s="271"/>
      <c r="B137" s="53"/>
      <c r="C137" s="270"/>
      <c r="D137" s="270"/>
      <c r="E137" s="270"/>
      <c r="F137" s="270"/>
      <c r="G137" s="270"/>
      <c r="H137" s="270"/>
      <c r="I137" s="270"/>
      <c r="J137" s="270"/>
      <c r="K137" s="270"/>
      <c r="L137" s="270"/>
      <c r="M137" s="270"/>
      <c r="N137" s="270"/>
      <c r="P137" s="271"/>
      <c r="Q137" s="270"/>
      <c r="R137" s="270"/>
      <c r="S137" s="270"/>
      <c r="T137" s="270"/>
      <c r="U137" s="270"/>
      <c r="V137" s="270"/>
      <c r="W137" s="270"/>
      <c r="X137" s="270"/>
      <c r="Y137" s="270"/>
      <c r="Z137" s="270"/>
      <c r="AA137" s="270"/>
      <c r="AB137" s="270"/>
    </row>
    <row r="138" spans="1:28" ht="13.15" customHeight="1">
      <c r="A138" s="270"/>
      <c r="B138" s="53"/>
      <c r="C138" s="270"/>
      <c r="D138" s="270"/>
      <c r="E138" s="270"/>
      <c r="F138" s="270"/>
      <c r="G138" s="270"/>
      <c r="H138" s="270"/>
      <c r="I138" s="270"/>
      <c r="J138" s="270"/>
      <c r="K138" s="270"/>
      <c r="L138" s="270"/>
      <c r="M138" s="270"/>
      <c r="N138" s="270"/>
      <c r="P138" s="271"/>
      <c r="Q138" s="270"/>
      <c r="R138" s="270"/>
      <c r="S138" s="270"/>
      <c r="T138" s="270"/>
      <c r="U138" s="270"/>
      <c r="V138" s="270"/>
      <c r="W138" s="270"/>
      <c r="X138" s="270"/>
      <c r="Y138" s="270"/>
      <c r="Z138" s="270"/>
      <c r="AA138" s="270"/>
      <c r="AB138" s="270"/>
    </row>
    <row r="139" spans="1:28" ht="13.15" customHeight="1">
      <c r="A139" s="298"/>
      <c r="B139" s="53"/>
      <c r="C139" s="270"/>
      <c r="D139" s="270"/>
      <c r="E139" s="270"/>
      <c r="F139" s="270"/>
      <c r="G139" s="270"/>
      <c r="H139" s="270"/>
      <c r="I139" s="270"/>
      <c r="J139" s="270"/>
      <c r="K139" s="270"/>
      <c r="L139" s="270"/>
      <c r="M139" s="270"/>
      <c r="N139" s="270"/>
      <c r="P139" s="271"/>
      <c r="Q139" s="270"/>
      <c r="R139" s="270"/>
      <c r="S139" s="270"/>
      <c r="T139" s="270"/>
      <c r="U139" s="270"/>
      <c r="V139" s="270"/>
      <c r="W139" s="270"/>
      <c r="X139" s="270"/>
      <c r="Y139" s="270"/>
      <c r="Z139" s="270"/>
      <c r="AA139" s="270"/>
      <c r="AB139" s="270"/>
    </row>
    <row r="140" spans="1:28" ht="13.15" customHeight="1">
      <c r="A140" s="271"/>
      <c r="B140" s="53"/>
      <c r="C140" s="270"/>
      <c r="D140" s="270"/>
      <c r="E140" s="53"/>
      <c r="F140" s="270"/>
      <c r="G140" s="270"/>
      <c r="H140" s="270"/>
      <c r="I140" s="270"/>
      <c r="J140" s="270"/>
      <c r="K140" s="270"/>
      <c r="L140" s="270"/>
      <c r="M140" s="270"/>
      <c r="N140" s="270"/>
      <c r="P140" s="271"/>
      <c r="Q140" s="270"/>
      <c r="R140" s="270"/>
      <c r="S140" s="270"/>
      <c r="T140" s="270"/>
      <c r="U140" s="270"/>
      <c r="V140" s="270"/>
      <c r="W140" s="270"/>
      <c r="X140" s="270"/>
      <c r="Y140" s="270"/>
      <c r="Z140" s="270"/>
      <c r="AA140" s="270"/>
      <c r="AB140" s="270"/>
    </row>
    <row r="141" spans="1:28" ht="13.15" customHeight="1">
      <c r="A141" s="271"/>
      <c r="B141" s="270"/>
      <c r="C141" s="270"/>
      <c r="D141" s="270"/>
      <c r="E141" s="270"/>
      <c r="F141" s="270"/>
      <c r="G141" s="270"/>
      <c r="H141" s="270"/>
      <c r="I141" s="270"/>
      <c r="J141" s="270"/>
      <c r="K141" s="270"/>
      <c r="L141" s="270"/>
      <c r="M141" s="270"/>
      <c r="N141" s="270"/>
      <c r="P141" s="271"/>
      <c r="Q141" s="270"/>
      <c r="R141" s="270"/>
      <c r="S141" s="270"/>
      <c r="T141" s="270"/>
      <c r="U141" s="270"/>
      <c r="V141" s="270"/>
      <c r="W141" s="270"/>
      <c r="X141" s="270"/>
      <c r="Y141" s="270"/>
      <c r="Z141" s="270"/>
      <c r="AA141" s="270"/>
      <c r="AB141" s="270"/>
    </row>
    <row r="142" spans="1:28" ht="13.15" customHeight="1">
      <c r="A142" s="271"/>
      <c r="B142" s="270"/>
      <c r="C142" s="270"/>
      <c r="D142" s="270"/>
      <c r="E142" s="270"/>
      <c r="F142" s="270"/>
      <c r="G142" s="270"/>
      <c r="H142" s="270"/>
      <c r="I142" s="270"/>
      <c r="J142" s="270"/>
      <c r="K142" s="270"/>
      <c r="L142" s="270"/>
      <c r="M142" s="270"/>
      <c r="N142" s="270"/>
      <c r="P142" s="271"/>
      <c r="Q142" s="270"/>
      <c r="R142" s="270"/>
      <c r="S142" s="270"/>
      <c r="T142" s="270"/>
      <c r="U142" s="270"/>
      <c r="V142" s="270"/>
      <c r="W142" s="270"/>
      <c r="X142" s="270"/>
      <c r="Y142" s="270"/>
      <c r="Z142" s="270"/>
      <c r="AA142" s="270"/>
      <c r="AB142" s="270"/>
    </row>
    <row r="143" spans="1:28" ht="13.15" customHeight="1">
      <c r="A143" s="271"/>
      <c r="B143" s="270"/>
      <c r="C143" s="270"/>
      <c r="D143" s="270"/>
      <c r="E143" s="270"/>
      <c r="F143" s="270"/>
      <c r="G143" s="270"/>
      <c r="H143" s="270"/>
      <c r="I143" s="270"/>
      <c r="J143" s="270"/>
      <c r="K143" s="270"/>
      <c r="L143" s="270"/>
      <c r="M143" s="270"/>
      <c r="N143" s="270"/>
      <c r="P143" s="270"/>
      <c r="Q143" s="270"/>
      <c r="R143" s="270"/>
      <c r="S143" s="270"/>
      <c r="T143" s="270"/>
      <c r="U143" s="270"/>
      <c r="V143" s="270"/>
      <c r="W143" s="270"/>
      <c r="X143" s="270"/>
      <c r="Y143" s="270"/>
      <c r="Z143" s="270"/>
      <c r="AA143" s="270"/>
      <c r="AB143" s="270"/>
    </row>
    <row r="144" spans="1:28" ht="13.15" customHeight="1">
      <c r="A144" s="271"/>
      <c r="B144" s="270"/>
      <c r="C144" s="270"/>
      <c r="D144" s="270"/>
      <c r="E144" s="270"/>
      <c r="F144" s="270"/>
      <c r="G144" s="270"/>
      <c r="H144" s="270"/>
      <c r="I144" s="270"/>
      <c r="J144" s="270"/>
      <c r="K144" s="270"/>
      <c r="L144" s="270"/>
      <c r="M144" s="270"/>
      <c r="N144" s="270"/>
      <c r="P144" s="271"/>
      <c r="Q144" s="270"/>
      <c r="R144" s="270"/>
      <c r="S144" s="270"/>
      <c r="T144" s="270"/>
      <c r="U144" s="270"/>
      <c r="V144" s="270"/>
      <c r="W144" s="270"/>
      <c r="X144" s="270"/>
      <c r="Y144" s="270"/>
      <c r="Z144" s="270"/>
      <c r="AA144" s="270"/>
      <c r="AB144" s="270"/>
    </row>
    <row r="145" spans="1:29" ht="13.15" customHeight="1">
      <c r="A145" s="271"/>
      <c r="B145" s="270"/>
      <c r="C145" s="270"/>
      <c r="D145" s="270"/>
      <c r="E145" s="270"/>
      <c r="F145" s="270"/>
      <c r="G145" s="270"/>
      <c r="H145" s="270"/>
      <c r="I145" s="270"/>
      <c r="J145" s="270"/>
      <c r="K145" s="270"/>
      <c r="L145" s="270"/>
      <c r="M145" s="270"/>
      <c r="N145" s="270"/>
      <c r="P145" s="271"/>
      <c r="Q145" s="270"/>
      <c r="R145" s="270"/>
      <c r="S145" s="270"/>
      <c r="T145" s="270"/>
      <c r="U145" s="270"/>
      <c r="V145" s="270"/>
      <c r="W145" s="270"/>
      <c r="X145" s="270"/>
      <c r="Y145" s="270"/>
      <c r="Z145" s="270"/>
      <c r="AA145" s="270"/>
      <c r="AB145" s="270"/>
    </row>
    <row r="146" spans="1:29" ht="13.15" customHeight="1">
      <c r="A146" s="271"/>
      <c r="B146" s="270"/>
      <c r="C146" s="270"/>
      <c r="D146" s="270"/>
      <c r="E146" s="270"/>
      <c r="F146" s="270"/>
      <c r="G146" s="270"/>
      <c r="H146" s="270"/>
      <c r="I146" s="270"/>
      <c r="J146" s="270"/>
      <c r="K146" s="270"/>
      <c r="L146" s="270"/>
      <c r="M146" s="270"/>
      <c r="N146" s="270"/>
      <c r="P146" s="271"/>
      <c r="Q146" s="270"/>
      <c r="R146" s="270"/>
      <c r="S146" s="270"/>
      <c r="T146" s="270"/>
      <c r="U146" s="270"/>
      <c r="V146" s="270"/>
      <c r="W146" s="270"/>
      <c r="X146" s="270"/>
      <c r="Y146" s="270"/>
      <c r="Z146" s="270"/>
      <c r="AA146" s="270"/>
      <c r="AB146" s="270"/>
    </row>
    <row r="147" spans="1:29" ht="13.15" customHeight="1">
      <c r="A147" s="271"/>
      <c r="B147" s="270"/>
      <c r="C147" s="270"/>
      <c r="D147" s="270"/>
      <c r="E147" s="270"/>
      <c r="F147" s="270"/>
      <c r="G147" s="270"/>
      <c r="H147" s="270"/>
      <c r="I147" s="270"/>
      <c r="J147" s="270"/>
      <c r="K147" s="270"/>
      <c r="L147" s="270"/>
      <c r="M147" s="270"/>
      <c r="N147" s="270"/>
      <c r="P147" s="271"/>
      <c r="Q147" s="270"/>
      <c r="R147" s="270"/>
      <c r="S147" s="270"/>
      <c r="T147" s="270"/>
      <c r="U147" s="270"/>
      <c r="V147" s="270"/>
      <c r="W147" s="270"/>
      <c r="X147" s="270"/>
      <c r="Y147" s="270"/>
      <c r="Z147" s="270"/>
      <c r="AA147" s="270"/>
      <c r="AB147" s="270"/>
    </row>
    <row r="148" spans="1:29" ht="13.15" customHeight="1">
      <c r="A148" s="271"/>
      <c r="B148" s="270"/>
      <c r="C148" s="270"/>
      <c r="D148" s="270"/>
      <c r="E148" s="270"/>
      <c r="F148" s="270"/>
      <c r="G148" s="270"/>
      <c r="H148" s="270"/>
      <c r="I148" s="270"/>
      <c r="J148" s="270"/>
      <c r="K148" s="270"/>
      <c r="L148" s="270"/>
      <c r="M148" s="270"/>
      <c r="N148" s="270"/>
      <c r="O148" s="270"/>
      <c r="P148" s="271"/>
    </row>
    <row r="149" spans="1:29" ht="13.15" customHeight="1">
      <c r="A149" s="271"/>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row>
    <row r="150" spans="1:29" ht="13.15" customHeight="1">
      <c r="A150" s="271"/>
      <c r="B150" s="271"/>
      <c r="C150" s="271"/>
      <c r="D150" s="271"/>
      <c r="E150" s="271"/>
      <c r="F150" s="271"/>
      <c r="G150" s="271"/>
      <c r="H150" s="271"/>
      <c r="I150" s="271"/>
      <c r="J150" s="271"/>
      <c r="K150" s="271"/>
      <c r="L150" s="271"/>
      <c r="M150" s="271"/>
      <c r="N150" s="271"/>
      <c r="O150" s="271"/>
      <c r="Q150" s="271"/>
      <c r="R150" s="271"/>
      <c r="S150" s="271"/>
      <c r="T150" s="271"/>
      <c r="U150" s="271"/>
      <c r="V150" s="271"/>
      <c r="W150" s="271"/>
      <c r="X150" s="271"/>
      <c r="Y150" s="271"/>
      <c r="Z150" s="271"/>
      <c r="AA150" s="271"/>
      <c r="AB150" s="271"/>
    </row>
    <row r="151" spans="1:29" ht="13.15" customHeight="1">
      <c r="A151" s="270"/>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row>
    <row r="152" spans="1:29" ht="13.15" customHeight="1">
      <c r="A152" s="4"/>
      <c r="B152" s="271"/>
      <c r="C152" s="271"/>
      <c r="D152" s="271"/>
      <c r="E152" s="271"/>
      <c r="F152" s="271"/>
      <c r="G152" s="271"/>
      <c r="H152" s="271"/>
      <c r="I152" s="271"/>
      <c r="J152" s="271"/>
      <c r="K152" s="271"/>
      <c r="L152" s="271"/>
      <c r="M152" s="271"/>
      <c r="N152" s="271"/>
      <c r="O152" s="271"/>
      <c r="P152" s="299"/>
      <c r="Q152" s="271"/>
      <c r="R152" s="271"/>
      <c r="S152" s="271"/>
      <c r="T152" s="271"/>
      <c r="U152" s="271"/>
      <c r="V152" s="271"/>
      <c r="W152" s="271"/>
      <c r="X152" s="271"/>
      <c r="Y152" s="271"/>
      <c r="Z152" s="271"/>
      <c r="AA152" s="271"/>
      <c r="AB152" s="271"/>
    </row>
    <row r="153" spans="1:29" ht="13.15" customHeight="1">
      <c r="A153" s="271"/>
      <c r="B153" s="271"/>
      <c r="C153" s="271"/>
      <c r="D153" s="271"/>
      <c r="E153" s="271"/>
      <c r="F153" s="271"/>
      <c r="G153" s="271"/>
      <c r="H153" s="271"/>
      <c r="I153" s="271"/>
      <c r="J153" s="271"/>
      <c r="K153" s="271"/>
      <c r="L153" s="271"/>
      <c r="M153" s="271"/>
      <c r="N153" s="271"/>
      <c r="O153" s="271"/>
      <c r="P153" s="299"/>
      <c r="Q153" s="271"/>
      <c r="R153" s="271"/>
      <c r="S153" s="271"/>
      <c r="T153" s="271"/>
      <c r="U153" s="271"/>
      <c r="V153" s="271"/>
      <c r="W153" s="271"/>
      <c r="X153" s="271"/>
      <c r="Y153" s="271"/>
      <c r="Z153" s="271"/>
      <c r="AA153" s="271"/>
      <c r="AB153" s="271"/>
    </row>
    <row r="154" spans="1:29" ht="13.15" customHeight="1">
      <c r="A154" s="271"/>
      <c r="B154" s="271"/>
      <c r="C154" s="271"/>
      <c r="D154" s="271"/>
      <c r="E154" s="271"/>
      <c r="F154" s="271"/>
      <c r="G154" s="271"/>
      <c r="H154" s="271"/>
      <c r="I154" s="271"/>
      <c r="J154" s="271"/>
      <c r="K154" s="271"/>
      <c r="L154" s="271"/>
      <c r="M154" s="271"/>
      <c r="N154" s="271"/>
      <c r="O154" s="271"/>
      <c r="P154" s="299"/>
      <c r="Q154" s="271"/>
      <c r="R154" s="271"/>
      <c r="S154" s="271"/>
      <c r="T154" s="271"/>
      <c r="U154" s="271"/>
      <c r="V154" s="271"/>
      <c r="W154" s="271"/>
      <c r="X154" s="271"/>
      <c r="Y154" s="271"/>
      <c r="Z154" s="271"/>
      <c r="AA154" s="271"/>
      <c r="AB154" s="271"/>
    </row>
    <row r="155" spans="1:29" ht="13.15" customHeight="1">
      <c r="A155" s="271"/>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row>
    <row r="156" spans="1:29" ht="15.75">
      <c r="A156" s="53"/>
      <c r="B156" s="271"/>
      <c r="C156" s="271"/>
      <c r="D156" s="271"/>
      <c r="E156" s="271"/>
      <c r="F156" s="271"/>
      <c r="G156" s="271"/>
      <c r="H156" s="271"/>
      <c r="I156" s="271"/>
      <c r="J156" s="271"/>
      <c r="K156" s="271"/>
      <c r="L156" s="271"/>
      <c r="M156" s="271"/>
      <c r="N156" s="1906"/>
      <c r="O156" s="1906"/>
      <c r="P156" s="1906"/>
      <c r="Q156" s="1906"/>
      <c r="R156" s="271"/>
      <c r="S156" s="271"/>
      <c r="T156" s="271"/>
      <c r="U156" s="271"/>
      <c r="V156" s="271"/>
      <c r="W156" s="271"/>
      <c r="X156" s="271"/>
      <c r="Y156" s="271"/>
      <c r="Z156" s="271"/>
      <c r="AA156" s="271"/>
      <c r="AB156" s="271"/>
      <c r="AC156" s="53"/>
    </row>
    <row r="157" spans="1:29">
      <c r="A157" s="53"/>
    </row>
    <row r="159" spans="1:29" ht="15" customHeight="1">
      <c r="A159" s="53"/>
    </row>
    <row r="160" spans="1:29" ht="9.75" customHeight="1">
      <c r="A160" s="53"/>
    </row>
    <row r="162" spans="1:1" ht="12.75" customHeight="1">
      <c r="A162" s="236"/>
    </row>
    <row r="163" spans="1:1" ht="12.75" customHeight="1">
      <c r="A163" s="48"/>
    </row>
    <row r="164" spans="1:1" ht="12.75" customHeight="1">
      <c r="A164" s="48"/>
    </row>
  </sheetData>
  <sheetProtection algorithmName="SHA-512" hashValue="pkbxmGN481HyxQRuhXzRcCd2yfPZD65kA2UdTMorvhiGquzkaBTR2DPhWyo4p9+sWtQ5OJCq15oyuAIqTgEoHQ==" saltValue="gqDsO08Op1zWstxpxhsR6Q==" spinCount="100000" sheet="1" formatCells="0" formatColumns="0" formatRows="0"/>
  <mergeCells count="102">
    <mergeCell ref="O17:AB17"/>
    <mergeCell ref="A19:G19"/>
    <mergeCell ref="O25:U25"/>
    <mergeCell ref="V25:X25"/>
    <mergeCell ref="A13:N13"/>
    <mergeCell ref="X9:AB9"/>
    <mergeCell ref="O13:U13"/>
    <mergeCell ref="U3:AB3"/>
    <mergeCell ref="U5:W5"/>
    <mergeCell ref="Z5:AB5"/>
    <mergeCell ref="V13:X13"/>
    <mergeCell ref="Y13:AB13"/>
    <mergeCell ref="U4:AB4"/>
    <mergeCell ref="U6:W6"/>
    <mergeCell ref="Z6:AB6"/>
    <mergeCell ref="O11:AB11"/>
    <mergeCell ref="A9:N9"/>
    <mergeCell ref="AR7:BA7"/>
    <mergeCell ref="AH7:AQ7"/>
    <mergeCell ref="AH10:AN10"/>
    <mergeCell ref="AO10:AU10"/>
    <mergeCell ref="A11:N11"/>
    <mergeCell ref="V35:X35"/>
    <mergeCell ref="Y35:AB35"/>
    <mergeCell ref="A35:N35"/>
    <mergeCell ref="A15:N15"/>
    <mergeCell ref="O15:U15"/>
    <mergeCell ref="V15:X15"/>
    <mergeCell ref="Y15:AB15"/>
    <mergeCell ref="Y25:AB25"/>
    <mergeCell ref="A25:N25"/>
    <mergeCell ref="A17:N17"/>
    <mergeCell ref="O35:U35"/>
    <mergeCell ref="AV12:BI12"/>
    <mergeCell ref="BF8:BI8"/>
    <mergeCell ref="AV10:BI10"/>
    <mergeCell ref="O9:W9"/>
    <mergeCell ref="BB7:BI7"/>
    <mergeCell ref="AH8:AU8"/>
    <mergeCell ref="AV8:BB8"/>
    <mergeCell ref="BC8:BE8"/>
    <mergeCell ref="A37:G37"/>
    <mergeCell ref="O37:AB37"/>
    <mergeCell ref="H37:N37"/>
    <mergeCell ref="O36:U36"/>
    <mergeCell ref="A27:N27"/>
    <mergeCell ref="O27:AB27"/>
    <mergeCell ref="O29:AB29"/>
    <mergeCell ref="A33:N33"/>
    <mergeCell ref="H19:N19"/>
    <mergeCell ref="O19:AB19"/>
    <mergeCell ref="A23:N23"/>
    <mergeCell ref="O23:AB23"/>
    <mergeCell ref="O33:AB33"/>
    <mergeCell ref="H29:N29"/>
    <mergeCell ref="A29:G29"/>
    <mergeCell ref="AH68:AU68"/>
    <mergeCell ref="AV68:BI68"/>
    <mergeCell ref="E60:F61"/>
    <mergeCell ref="K60:L61"/>
    <mergeCell ref="Y60:Z61"/>
    <mergeCell ref="O66:AB66"/>
    <mergeCell ref="R60:S61"/>
    <mergeCell ref="V36:X36"/>
    <mergeCell ref="Y36:AB36"/>
    <mergeCell ref="A43:G43"/>
    <mergeCell ref="A47:H47"/>
    <mergeCell ref="A48:H48"/>
    <mergeCell ref="A46:H46"/>
    <mergeCell ref="Q46:AB46"/>
    <mergeCell ref="A51:J51"/>
    <mergeCell ref="A54:L54"/>
    <mergeCell ref="Q47:AB47"/>
    <mergeCell ref="I47:P47"/>
    <mergeCell ref="I49:P49"/>
    <mergeCell ref="A41:N41"/>
    <mergeCell ref="O41:AB41"/>
    <mergeCell ref="O42:U42"/>
    <mergeCell ref="V42:X42"/>
    <mergeCell ref="Y42:AB42"/>
    <mergeCell ref="I46:P46"/>
    <mergeCell ref="N54:Q54"/>
    <mergeCell ref="H43:N43"/>
    <mergeCell ref="O43:AB43"/>
    <mergeCell ref="Y77:AB77"/>
    <mergeCell ref="A75:AB76"/>
    <mergeCell ref="A73:L73"/>
    <mergeCell ref="A56:AB57"/>
    <mergeCell ref="A64:N64"/>
    <mergeCell ref="O64:AB64"/>
    <mergeCell ref="A66:N66"/>
    <mergeCell ref="N156:Q156"/>
    <mergeCell ref="I48:P48"/>
    <mergeCell ref="A53:M53"/>
    <mergeCell ref="O53:R53"/>
    <mergeCell ref="A49:H49"/>
    <mergeCell ref="M73:W73"/>
    <mergeCell ref="Q48:AB48"/>
    <mergeCell ref="Q49:AB49"/>
    <mergeCell ref="A67:AC67"/>
    <mergeCell ref="X73:AB73"/>
    <mergeCell ref="A70:R70"/>
  </mergeCells>
  <conditionalFormatting sqref="A9:W9 A11:AB11 A13:AB13 A15:AB15 A17:AB17 A19:AB19 H29:N29 A37:N38 A43:N43">
    <cfRule type="cellIs" dxfId="12" priority="15" stopIfTrue="1" operator="equal">
      <formula>0</formula>
    </cfRule>
  </conditionalFormatting>
  <conditionalFormatting sqref="U3:AB3 U4:W4 U5 Z5:AB6 U6:W6">
    <cfRule type="cellIs" dxfId="11" priority="14" stopIfTrue="1" operator="equal">
      <formula>0</formula>
    </cfRule>
  </conditionalFormatting>
  <conditionalFormatting sqref="X9:AB9">
    <cfRule type="containsText" dxfId="10" priority="1" operator="containsText" text="FALSE">
      <formula>NOT(ISERROR(SEARCH("FALSE",X9)))</formula>
    </cfRule>
  </conditionalFormatting>
  <dataValidations count="4">
    <dataValidation type="custom" showInputMessage="1" showErrorMessage="1" sqref="Y60:Z61" xr:uid="{29DDCEDF-779B-453F-AD5D-3492DF86D91C}">
      <formula1>COUNTA(E60,K60,R60,Y60)=1</formula1>
    </dataValidation>
    <dataValidation type="custom" showInputMessage="1" showErrorMessage="1" sqref="E60:F61" xr:uid="{002E0023-AD41-42C3-9F8C-8E8FFE5C4311}">
      <formula1>COUNTA(E60,K60,R60,Y60)=1</formula1>
    </dataValidation>
    <dataValidation type="custom" showInputMessage="1" showErrorMessage="1" sqref="K60:L61" xr:uid="{664A9DB7-0C65-4A4A-B7CE-0FF91783D1DB}">
      <formula1>COUNTA(E60,K60,R60,Y60)=1</formula1>
    </dataValidation>
    <dataValidation type="custom" showInputMessage="1" showErrorMessage="1" sqref="R60:S61" xr:uid="{49457D9A-AC9A-4853-A5DE-4531FF8589F0}">
      <formula1>COUNTA(E60,K60,R60,Y60)=1</formula1>
    </dataValidation>
  </dataValidations>
  <hyperlinks>
    <hyperlink ref="A70" r:id="rId1" xr:uid="{00000000-0004-0000-0700-000000000000}"/>
    <hyperlink ref="A69" r:id="rId2" xr:uid="{00000000-0004-0000-0700-000001000000}"/>
    <hyperlink ref="A70:R70" r:id="rId3" display="https://docs.idahopower.com/pdfs/energyefficiency/business/proceduresManual.pdf" xr:uid="{00000000-0004-0000-0700-000002000000}"/>
  </hyperlinks>
  <printOptions horizontalCentered="1"/>
  <pageMargins left="0.25" right="0.25" top="0.5" bottom="0.5" header="0.3" footer="0.3"/>
  <pageSetup scale="68" orientation="portrait" horizontalDpi="4294967293" verticalDpi="4294967293" r:id="rId4"/>
  <rowBreaks count="1" manualBreakCount="1">
    <brk id="77" max="29" man="1"/>
  </rowBreaks>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B3ED6-AB09-44E9-83E6-FFBAFBF19D91}">
  <sheetPr codeName="Sheet13">
    <tabColor theme="8" tint="0.59999389629810485"/>
    <pageSetUpPr fitToPage="1"/>
  </sheetPr>
  <dimension ref="A1:V129"/>
  <sheetViews>
    <sheetView showGridLines="0" workbookViewId="0"/>
  </sheetViews>
  <sheetFormatPr defaultRowHeight="15"/>
  <cols>
    <col min="1" max="1" width="1" customWidth="1"/>
    <col min="2" max="2" width="8.7109375" customWidth="1"/>
    <col min="4" max="4" width="9.7109375" customWidth="1"/>
    <col min="5" max="5" width="13" customWidth="1"/>
    <col min="6" max="6" width="3.42578125" customWidth="1"/>
    <col min="7" max="7" width="3.7109375" customWidth="1"/>
    <col min="11" max="11" width="11.7109375" customWidth="1"/>
    <col min="12" max="12" width="12.85546875" customWidth="1"/>
    <col min="13" max="13" width="11" customWidth="1"/>
    <col min="14" max="14" width="17.85546875" customWidth="1"/>
    <col min="15" max="15" width="11.42578125" customWidth="1"/>
    <col min="16" max="16" width="12.85546875" customWidth="1"/>
    <col min="17" max="17" width="11" customWidth="1"/>
    <col min="18" max="18" width="12.140625" customWidth="1"/>
    <col min="19" max="19" width="9.7109375" customWidth="1"/>
    <col min="20" max="20" width="11.140625" customWidth="1"/>
    <col min="21" max="21" width="5.7109375" customWidth="1"/>
    <col min="22" max="22" width="8.7109375" hidden="1" customWidth="1"/>
  </cols>
  <sheetData>
    <row r="1" spans="1:20" ht="36" customHeight="1">
      <c r="A1" s="1059" t="s">
        <v>1879</v>
      </c>
      <c r="C1" s="6"/>
      <c r="D1" s="6"/>
      <c r="E1" s="6"/>
      <c r="F1" s="6"/>
      <c r="G1" s="6"/>
      <c r="H1" s="6"/>
      <c r="I1" s="6"/>
      <c r="J1" s="6"/>
      <c r="K1" s="6"/>
      <c r="L1" s="6"/>
      <c r="M1" s="6"/>
      <c r="N1" s="6"/>
      <c r="O1" s="6"/>
      <c r="P1" s="6"/>
      <c r="Q1" s="6"/>
      <c r="R1" s="6"/>
      <c r="S1" s="6"/>
      <c r="T1" s="6"/>
    </row>
    <row r="2" spans="1:20" ht="25.5" customHeight="1">
      <c r="A2" s="32" t="s">
        <v>1877</v>
      </c>
      <c r="B2" s="1524"/>
      <c r="C2" s="1524"/>
      <c r="D2" s="1524"/>
      <c r="E2" s="1524"/>
      <c r="F2" s="1524"/>
      <c r="G2" s="1524"/>
      <c r="H2" s="1524"/>
      <c r="I2" s="1524"/>
      <c r="J2" s="1524"/>
      <c r="K2" s="1524"/>
      <c r="L2" s="1524"/>
      <c r="M2" s="1524"/>
      <c r="N2" s="1524"/>
      <c r="O2" s="1524"/>
      <c r="P2" s="1524"/>
      <c r="Q2" s="1524"/>
      <c r="R2" s="1524"/>
      <c r="S2" s="1524"/>
      <c r="T2" s="1543"/>
    </row>
    <row r="3" spans="1:20" ht="22.9" customHeight="1">
      <c r="B3" s="32" t="s">
        <v>1894</v>
      </c>
      <c r="C3" s="6"/>
      <c r="D3" s="6"/>
      <c r="E3" s="6"/>
      <c r="F3" s="6"/>
      <c r="G3" s="6"/>
      <c r="H3" s="6"/>
      <c r="I3" s="6"/>
      <c r="J3" s="6"/>
      <c r="K3" s="6"/>
      <c r="L3" s="6"/>
      <c r="M3" s="6"/>
      <c r="N3" s="6"/>
      <c r="O3" s="6"/>
      <c r="P3" s="6"/>
      <c r="Q3" s="6"/>
      <c r="R3" s="6"/>
      <c r="S3" s="6"/>
      <c r="T3" s="6"/>
    </row>
    <row r="4" spans="1:20" ht="22.9" customHeight="1">
      <c r="A4" s="32" t="s">
        <v>1880</v>
      </c>
      <c r="B4" s="964"/>
      <c r="C4" s="6"/>
      <c r="D4" s="6"/>
      <c r="E4" s="6"/>
      <c r="F4" s="6"/>
      <c r="G4" s="6"/>
      <c r="H4" s="6"/>
      <c r="I4" s="6"/>
      <c r="J4" s="6"/>
      <c r="K4" s="6"/>
      <c r="L4" s="6"/>
      <c r="M4" s="6"/>
      <c r="N4" s="6"/>
      <c r="O4" s="6"/>
      <c r="P4" s="6"/>
      <c r="Q4" s="6"/>
      <c r="R4" s="6"/>
      <c r="S4" s="6"/>
      <c r="T4" s="6"/>
    </row>
    <row r="5" spans="1:20" ht="23.25" customHeight="1">
      <c r="A5" s="29" t="s">
        <v>1510</v>
      </c>
      <c r="B5" s="964"/>
      <c r="C5" s="6"/>
      <c r="D5" s="6"/>
      <c r="E5" s="6"/>
      <c r="F5" s="6"/>
      <c r="G5" s="6"/>
      <c r="H5" s="6"/>
      <c r="I5" s="6"/>
      <c r="J5" s="6"/>
      <c r="K5" s="6"/>
      <c r="L5" s="6"/>
      <c r="M5" s="6"/>
      <c r="N5" s="6"/>
      <c r="O5" s="6"/>
      <c r="P5" s="6"/>
      <c r="Q5" s="6"/>
      <c r="R5" s="6"/>
      <c r="S5" s="6"/>
      <c r="T5" s="6"/>
    </row>
    <row r="6" spans="1:20" ht="18.75" customHeight="1">
      <c r="A6" s="1950" t="s">
        <v>1767</v>
      </c>
      <c r="B6" s="1950"/>
      <c r="C6" s="1950"/>
      <c r="D6" s="1950"/>
      <c r="E6" s="1950"/>
      <c r="F6" s="1526"/>
      <c r="G6" s="1950" t="s">
        <v>1567</v>
      </c>
      <c r="H6" s="1950"/>
      <c r="I6" s="1950"/>
      <c r="J6" s="1578" t="s">
        <v>1768</v>
      </c>
      <c r="Q6" s="1525"/>
      <c r="R6" s="1525"/>
      <c r="S6" s="1525"/>
      <c r="T6" s="273"/>
    </row>
    <row r="7" spans="1:20" ht="21.4" customHeight="1">
      <c r="A7" s="1951" t="s">
        <v>1511</v>
      </c>
      <c r="B7" s="1951"/>
      <c r="C7" s="1951"/>
      <c r="D7" s="1951"/>
      <c r="E7" s="1951"/>
      <c r="F7" s="1526"/>
      <c r="G7" s="1952" t="s">
        <v>1513</v>
      </c>
      <c r="H7" s="1952"/>
      <c r="J7" s="1597" t="s">
        <v>1769</v>
      </c>
      <c r="Q7" s="1525"/>
      <c r="R7" s="1525"/>
      <c r="S7" s="1525"/>
      <c r="T7" s="1525"/>
    </row>
    <row r="8" spans="1:20" ht="12.75" customHeight="1">
      <c r="A8" s="331"/>
      <c r="B8" s="331"/>
      <c r="C8" s="331"/>
      <c r="D8" s="331"/>
      <c r="E8" s="331"/>
      <c r="F8" s="6"/>
      <c r="G8" s="6"/>
      <c r="H8" s="6"/>
      <c r="I8" s="6"/>
      <c r="J8" s="6"/>
      <c r="K8" s="6"/>
      <c r="L8" s="6"/>
      <c r="M8" s="6"/>
      <c r="N8" s="6"/>
      <c r="O8" s="6"/>
      <c r="P8" s="6"/>
      <c r="Q8" s="6"/>
      <c r="R8" s="6"/>
      <c r="S8" s="6"/>
      <c r="T8" s="6"/>
    </row>
    <row r="9" spans="1:20" ht="23.25" customHeight="1">
      <c r="A9" s="6"/>
      <c r="B9" s="1946" t="s">
        <v>1767</v>
      </c>
      <c r="C9" s="1947"/>
      <c r="D9" s="1947"/>
      <c r="E9" s="1947"/>
      <c r="F9" s="1377"/>
      <c r="G9" s="1377"/>
      <c r="H9" s="1377"/>
      <c r="I9" s="1377"/>
      <c r="J9" s="1377"/>
      <c r="K9" s="1377"/>
      <c r="L9" s="1377"/>
      <c r="M9" s="1377"/>
      <c r="N9" s="1377"/>
      <c r="O9" s="1377"/>
      <c r="P9" s="1377"/>
      <c r="Q9" s="1377"/>
      <c r="R9" s="1377"/>
      <c r="S9" s="1366"/>
      <c r="T9" s="1371" t="s">
        <v>322</v>
      </c>
    </row>
    <row r="10" spans="1:20" ht="116.65" customHeight="1">
      <c r="A10" s="6"/>
      <c r="B10" s="1948" t="s">
        <v>1770</v>
      </c>
      <c r="C10" s="1949"/>
      <c r="D10" s="1949"/>
      <c r="E10" s="1949"/>
      <c r="F10" s="1949"/>
      <c r="G10" s="1949"/>
      <c r="H10" s="1949"/>
      <c r="I10" s="1949"/>
      <c r="J10" s="1949"/>
      <c r="K10" s="1949"/>
      <c r="L10" s="1949"/>
      <c r="M10" s="1949"/>
      <c r="N10" s="1949"/>
      <c r="O10" s="1949"/>
      <c r="P10" s="1949"/>
      <c r="Q10" s="1949"/>
      <c r="R10" s="1282"/>
      <c r="S10" s="1009"/>
      <c r="T10" s="1313" t="s">
        <v>1299</v>
      </c>
    </row>
    <row r="11" spans="1:20" ht="12.75" customHeight="1">
      <c r="A11" s="6"/>
      <c r="B11" s="965"/>
      <c r="C11" s="965"/>
      <c r="D11" s="965"/>
      <c r="E11" s="965"/>
      <c r="F11" s="965"/>
      <c r="G11" s="965"/>
      <c r="H11" s="965"/>
      <c r="I11" s="965"/>
      <c r="J11" s="965"/>
      <c r="K11" s="965"/>
      <c r="L11" s="965"/>
      <c r="M11" s="965"/>
      <c r="N11" s="965"/>
      <c r="O11" s="965"/>
      <c r="P11" s="965"/>
      <c r="Q11" s="965"/>
      <c r="R11" s="965"/>
      <c r="S11" s="965"/>
      <c r="T11" s="965"/>
    </row>
    <row r="12" spans="1:20" ht="20.25" customHeight="1">
      <c r="A12" s="6"/>
      <c r="B12" s="1953" t="s">
        <v>1376</v>
      </c>
      <c r="C12" s="1954"/>
      <c r="D12" s="1954"/>
      <c r="E12" s="1954"/>
      <c r="F12" s="1954"/>
      <c r="G12" s="1954"/>
      <c r="H12" s="1954"/>
      <c r="I12" s="1954"/>
      <c r="J12" s="1954"/>
      <c r="K12" s="1954"/>
      <c r="L12" s="1954"/>
      <c r="M12" s="1954"/>
      <c r="N12" s="1954"/>
      <c r="O12" s="1954"/>
      <c r="P12" s="1376"/>
      <c r="Q12" s="1376"/>
      <c r="R12" s="1376"/>
      <c r="S12" s="1366"/>
      <c r="T12" s="1371" t="s">
        <v>322</v>
      </c>
    </row>
    <row r="13" spans="1:20" ht="167.25" customHeight="1">
      <c r="A13" s="6"/>
      <c r="B13" s="1948" t="s">
        <v>1508</v>
      </c>
      <c r="C13" s="1949"/>
      <c r="D13" s="1949"/>
      <c r="E13" s="1949"/>
      <c r="F13" s="1949"/>
      <c r="G13" s="1949"/>
      <c r="H13" s="1949"/>
      <c r="I13" s="1949"/>
      <c r="J13" s="1949"/>
      <c r="K13" s="1949"/>
      <c r="L13" s="1949"/>
      <c r="M13" s="1949"/>
      <c r="N13" s="1949"/>
      <c r="O13" s="1949"/>
      <c r="P13" s="1949"/>
      <c r="Q13" s="1949"/>
      <c r="R13" s="1949"/>
      <c r="S13" s="1009"/>
      <c r="T13" s="1313" t="s">
        <v>1539</v>
      </c>
    </row>
    <row r="14" spans="1:20" ht="13.5" customHeight="1">
      <c r="A14" s="6"/>
      <c r="B14" s="965"/>
      <c r="C14" s="965"/>
      <c r="D14" s="965"/>
      <c r="E14" s="965"/>
      <c r="F14" s="965"/>
      <c r="G14" s="965"/>
      <c r="H14" s="965"/>
      <c r="I14" s="965"/>
      <c r="J14" s="965"/>
      <c r="K14" s="965"/>
      <c r="L14" s="965"/>
      <c r="M14" s="965"/>
      <c r="N14" s="965"/>
      <c r="O14" s="965"/>
      <c r="P14" s="965"/>
      <c r="Q14" s="965"/>
      <c r="R14" s="965"/>
      <c r="S14" s="965"/>
      <c r="T14" s="965"/>
    </row>
    <row r="15" spans="1:20" ht="16.5" customHeight="1">
      <c r="A15" s="6"/>
      <c r="B15" s="1375" t="s">
        <v>1512</v>
      </c>
      <c r="C15" s="1374"/>
      <c r="D15" s="1374"/>
      <c r="E15" s="1374"/>
      <c r="F15" s="1374"/>
      <c r="G15" s="1374"/>
      <c r="H15" s="1374"/>
      <c r="I15" s="1374"/>
      <c r="J15" s="1374"/>
      <c r="K15" s="1374"/>
      <c r="L15" s="1374"/>
      <c r="M15" s="1374"/>
      <c r="N15" s="1374"/>
      <c r="O15" s="1374"/>
      <c r="P15" s="1374"/>
      <c r="Q15" s="1955" t="s">
        <v>1632</v>
      </c>
      <c r="R15" s="1956"/>
      <c r="S15" s="1366"/>
      <c r="T15" s="1371" t="s">
        <v>322</v>
      </c>
    </row>
    <row r="16" spans="1:20" ht="240.75" customHeight="1">
      <c r="A16" s="6"/>
      <c r="B16" s="1948" t="s">
        <v>1730</v>
      </c>
      <c r="C16" s="1949"/>
      <c r="D16" s="1949"/>
      <c r="E16" s="1949"/>
      <c r="F16" s="1949"/>
      <c r="G16" s="1949"/>
      <c r="H16" s="1949"/>
      <c r="I16" s="1949"/>
      <c r="J16" s="1949"/>
      <c r="K16" s="1949"/>
      <c r="L16" s="1949"/>
      <c r="M16" s="1949"/>
      <c r="N16" s="1949"/>
      <c r="O16" s="1949"/>
      <c r="P16" s="1949"/>
      <c r="Q16" s="1957"/>
      <c r="R16" s="1957"/>
      <c r="S16" s="1009"/>
      <c r="T16" s="1492" t="s">
        <v>1866</v>
      </c>
    </row>
    <row r="17" spans="1:20" ht="15.75" customHeight="1">
      <c r="A17" s="6"/>
      <c r="B17" s="965"/>
      <c r="C17" s="965"/>
      <c r="D17" s="965"/>
      <c r="E17" s="965"/>
      <c r="F17" s="965"/>
      <c r="G17" s="965"/>
      <c r="H17" s="965"/>
      <c r="I17" s="965"/>
      <c r="J17" s="965"/>
      <c r="K17" s="965"/>
      <c r="L17" s="965"/>
      <c r="M17" s="965"/>
      <c r="N17" s="965"/>
      <c r="O17" s="965"/>
      <c r="P17" s="965"/>
      <c r="Q17" s="965"/>
      <c r="R17" s="965"/>
      <c r="S17" s="965"/>
      <c r="T17" s="965"/>
    </row>
    <row r="18" spans="1:20" ht="19.5" customHeight="1">
      <c r="A18" s="6"/>
      <c r="B18" s="1958" t="s">
        <v>1630</v>
      </c>
      <c r="C18" s="1959"/>
      <c r="D18" s="1959"/>
      <c r="E18" s="1959"/>
      <c r="F18" s="1959"/>
      <c r="G18" s="1959"/>
      <c r="H18" s="1372"/>
      <c r="I18" s="1372"/>
      <c r="J18" s="1372"/>
      <c r="K18" s="1372"/>
      <c r="L18" s="1372"/>
      <c r="M18" s="1372"/>
      <c r="N18" s="1372"/>
      <c r="O18" s="1372"/>
      <c r="P18" s="1372"/>
      <c r="Q18" s="1372"/>
      <c r="R18" s="1372"/>
      <c r="S18" s="1366"/>
      <c r="T18" s="1371" t="s">
        <v>322</v>
      </c>
    </row>
    <row r="19" spans="1:20" ht="127.5" customHeight="1">
      <c r="A19" s="6"/>
      <c r="B19" s="1960" t="s">
        <v>1876</v>
      </c>
      <c r="C19" s="1961"/>
      <c r="D19" s="1961"/>
      <c r="E19" s="1961"/>
      <c r="F19" s="1961"/>
      <c r="G19" s="1961"/>
      <c r="H19" s="1961"/>
      <c r="I19" s="1961"/>
      <c r="J19" s="1961"/>
      <c r="K19" s="1961"/>
      <c r="L19" s="1961"/>
      <c r="M19" s="1961"/>
      <c r="N19" s="1961"/>
      <c r="O19" s="1961"/>
      <c r="P19" s="1961"/>
      <c r="Q19" s="1961"/>
      <c r="R19" s="1961"/>
      <c r="T19" s="1311" t="s">
        <v>1813</v>
      </c>
    </row>
    <row r="20" spans="1:20" ht="14.25" customHeight="1">
      <c r="A20" s="6"/>
      <c r="B20" s="1962"/>
      <c r="C20" s="1962"/>
      <c r="D20" s="1962"/>
      <c r="E20" s="1962"/>
      <c r="F20" s="1962"/>
      <c r="G20" s="1962"/>
      <c r="H20" s="1962"/>
      <c r="I20" s="1962"/>
      <c r="J20" s="1962"/>
      <c r="K20" s="1962"/>
      <c r="L20" s="1962"/>
      <c r="M20" s="1962"/>
      <c r="N20" s="1962"/>
      <c r="O20" s="1962"/>
      <c r="P20" s="1962"/>
      <c r="Q20" s="1962"/>
      <c r="R20" s="1962"/>
      <c r="S20" s="1962"/>
      <c r="T20" s="1373"/>
    </row>
    <row r="21" spans="1:20" ht="4.5" customHeight="1">
      <c r="A21" s="6"/>
      <c r="B21" s="1963"/>
      <c r="C21" s="1963"/>
      <c r="D21" s="1963"/>
      <c r="E21" s="1963"/>
      <c r="F21" s="1963"/>
      <c r="G21" s="1963"/>
      <c r="H21" s="1963"/>
      <c r="I21" s="1963"/>
      <c r="J21" s="1963"/>
      <c r="K21" s="1963"/>
      <c r="L21" s="1963"/>
      <c r="M21" s="1963"/>
      <c r="N21" s="1963"/>
      <c r="O21" s="1963"/>
      <c r="P21" s="1963"/>
      <c r="Q21" s="1963"/>
      <c r="R21" s="1963"/>
      <c r="S21" s="1963"/>
      <c r="T21" s="1963"/>
    </row>
    <row r="22" spans="1:20" ht="19.899999999999999" customHeight="1">
      <c r="A22" s="6"/>
      <c r="B22" s="1958" t="s">
        <v>1771</v>
      </c>
      <c r="C22" s="1959"/>
      <c r="D22" s="1959"/>
      <c r="E22" s="1959"/>
      <c r="F22" s="1959"/>
      <c r="G22" s="1959"/>
      <c r="H22" s="1959"/>
      <c r="I22" s="1959"/>
      <c r="J22" s="1372"/>
      <c r="K22" s="1372"/>
      <c r="L22" s="1372"/>
      <c r="M22" s="1372"/>
      <c r="N22" s="1372"/>
      <c r="O22" s="1372"/>
      <c r="P22" s="1372"/>
      <c r="Q22" s="1372"/>
      <c r="R22" s="1372"/>
      <c r="S22" s="1366"/>
      <c r="T22" s="1371" t="s">
        <v>322</v>
      </c>
    </row>
    <row r="23" spans="1:20" ht="202.15" customHeight="1">
      <c r="A23" s="6"/>
      <c r="B23" s="1964" t="s">
        <v>1586</v>
      </c>
      <c r="C23" s="1965"/>
      <c r="D23" s="1965"/>
      <c r="E23" s="1965"/>
      <c r="F23" s="1965"/>
      <c r="G23" s="1965"/>
      <c r="H23" s="1965"/>
      <c r="I23" s="1965"/>
      <c r="J23" s="1965"/>
      <c r="K23" s="1965"/>
      <c r="L23" s="1965"/>
      <c r="M23" s="1965"/>
      <c r="N23" s="1965"/>
      <c r="O23" s="1965"/>
      <c r="P23" s="1965"/>
      <c r="Q23" s="1965"/>
      <c r="R23" s="1965"/>
      <c r="T23" s="1312" t="s">
        <v>1813</v>
      </c>
    </row>
    <row r="24" spans="1:20" ht="28.9" customHeight="1">
      <c r="A24" s="6"/>
      <c r="B24" s="1960"/>
      <c r="C24" s="1961"/>
      <c r="D24" s="1961"/>
      <c r="E24" s="1961"/>
      <c r="F24" s="1961"/>
      <c r="G24" s="1961"/>
      <c r="H24" s="1961"/>
      <c r="I24" s="1961"/>
      <c r="J24" s="1961"/>
      <c r="K24" s="1961"/>
      <c r="L24" s="1961"/>
      <c r="M24" s="1961"/>
      <c r="N24" s="1961"/>
      <c r="O24" s="1961"/>
      <c r="P24" s="1961"/>
      <c r="Q24" s="1961"/>
      <c r="R24" s="1961"/>
      <c r="T24" s="1310"/>
    </row>
    <row r="25" spans="1:20" ht="14.25" customHeight="1">
      <c r="A25" s="6"/>
      <c r="B25" s="1962"/>
      <c r="C25" s="1962"/>
      <c r="D25" s="1962"/>
      <c r="E25" s="1962"/>
      <c r="F25" s="1962"/>
      <c r="G25" s="1962"/>
      <c r="H25" s="1962"/>
      <c r="I25" s="1962"/>
      <c r="J25" s="1962"/>
      <c r="K25" s="1962"/>
      <c r="L25" s="1962"/>
      <c r="M25" s="1962"/>
      <c r="N25" s="1962"/>
      <c r="O25" s="1962"/>
      <c r="P25" s="1962"/>
      <c r="Q25" s="1962"/>
      <c r="R25" s="1962"/>
      <c r="S25" s="1962"/>
      <c r="T25" s="1372"/>
    </row>
    <row r="26" spans="1:20" ht="19.5" customHeight="1">
      <c r="A26" s="6"/>
      <c r="B26" s="1958" t="s">
        <v>1772</v>
      </c>
      <c r="C26" s="1959"/>
      <c r="D26" s="1959"/>
      <c r="E26" s="1959"/>
      <c r="F26" s="1959"/>
      <c r="G26" s="1959"/>
      <c r="H26" s="1372"/>
      <c r="I26" s="1372"/>
      <c r="J26" s="1372"/>
      <c r="K26" s="1372"/>
      <c r="L26" s="1372"/>
      <c r="M26" s="1372"/>
      <c r="N26" s="1372"/>
      <c r="O26" s="1372"/>
      <c r="P26" s="1372"/>
      <c r="Q26" s="1372"/>
      <c r="R26" s="1372"/>
      <c r="S26" s="1366"/>
      <c r="T26" s="1371" t="s">
        <v>322</v>
      </c>
    </row>
    <row r="27" spans="1:20" ht="191.25" customHeight="1">
      <c r="A27" s="6"/>
      <c r="B27" s="1966" t="s">
        <v>1673</v>
      </c>
      <c r="C27" s="1961"/>
      <c r="D27" s="1961"/>
      <c r="E27" s="1961"/>
      <c r="F27" s="1961"/>
      <c r="G27" s="1961"/>
      <c r="H27" s="1961"/>
      <c r="I27" s="1961"/>
      <c r="J27" s="1961"/>
      <c r="K27" s="1961"/>
      <c r="L27" s="1961"/>
      <c r="M27" s="1961"/>
      <c r="N27" s="1961"/>
      <c r="O27" s="1961"/>
      <c r="P27" s="1961"/>
      <c r="Q27" s="1961"/>
      <c r="R27" s="1961"/>
      <c r="T27" s="1311" t="s">
        <v>1302</v>
      </c>
    </row>
    <row r="28" spans="1:20" ht="20.25" customHeight="1">
      <c r="A28" s="6"/>
      <c r="S28" s="1363"/>
      <c r="T28" s="966"/>
    </row>
    <row r="29" spans="1:20" ht="20.25" customHeight="1">
      <c r="B29" s="966"/>
      <c r="C29" s="966"/>
      <c r="D29" s="966"/>
      <c r="E29" s="966"/>
      <c r="F29" s="966"/>
      <c r="G29" s="966"/>
      <c r="H29" s="966"/>
      <c r="I29" s="966"/>
      <c r="J29" s="966"/>
      <c r="K29" s="966"/>
      <c r="L29" s="966"/>
      <c r="M29" s="966"/>
      <c r="N29" s="966"/>
      <c r="O29" s="966"/>
      <c r="P29" s="966"/>
      <c r="Q29" s="966"/>
      <c r="R29" s="966"/>
      <c r="S29" s="966"/>
      <c r="T29" s="966"/>
    </row>
    <row r="30" spans="1:20" ht="20.25" customHeight="1">
      <c r="A30" s="6"/>
      <c r="B30" s="1967"/>
      <c r="C30" s="1967"/>
      <c r="D30" s="1967"/>
      <c r="E30" s="1967"/>
      <c r="F30" s="1967"/>
      <c r="G30" s="1967"/>
      <c r="H30" s="1967"/>
      <c r="I30" s="1967"/>
      <c r="J30" s="1967"/>
      <c r="K30" s="1967"/>
      <c r="L30" s="1967"/>
      <c r="M30" s="1595"/>
      <c r="N30" s="1595"/>
      <c r="O30" s="1968"/>
      <c r="P30" s="1968"/>
      <c r="Q30" s="1968"/>
      <c r="R30" s="1968"/>
      <c r="T30" s="1373"/>
    </row>
    <row r="31" spans="1:20" ht="20.25" customHeight="1">
      <c r="A31" s="6"/>
      <c r="B31" s="967"/>
      <c r="C31" s="967"/>
      <c r="D31" s="967"/>
      <c r="E31" s="967"/>
      <c r="F31" s="967"/>
      <c r="G31" s="967"/>
      <c r="H31" s="967"/>
      <c r="I31" s="967"/>
      <c r="J31" s="967"/>
      <c r="K31" s="967"/>
      <c r="L31" s="967"/>
      <c r="M31" s="967"/>
      <c r="N31" s="967"/>
      <c r="O31" s="967"/>
      <c r="P31" s="967"/>
      <c r="Q31" s="967"/>
      <c r="R31" s="967"/>
      <c r="S31" s="967"/>
      <c r="T31" s="967"/>
    </row>
    <row r="32" spans="1:20" ht="20.25" customHeight="1">
      <c r="A32" s="6"/>
      <c r="B32" s="1969"/>
      <c r="C32" s="1969"/>
      <c r="D32" s="1969"/>
      <c r="E32" s="1969"/>
      <c r="F32" s="1969"/>
      <c r="G32" s="1969"/>
      <c r="H32" s="1969"/>
      <c r="I32" s="1969"/>
      <c r="J32" s="1969"/>
      <c r="K32" s="1969"/>
      <c r="L32" s="1969"/>
      <c r="M32" s="1969"/>
      <c r="N32" s="1969"/>
      <c r="O32" s="1968"/>
      <c r="P32" s="1968"/>
      <c r="Q32" s="1968"/>
      <c r="R32" s="1968"/>
      <c r="T32" s="1970"/>
    </row>
    <row r="33" spans="1:20" ht="20.25" customHeight="1">
      <c r="A33" s="6"/>
      <c r="B33" s="1967"/>
      <c r="C33" s="1967"/>
      <c r="D33" s="1967"/>
      <c r="E33" s="1967"/>
      <c r="F33" s="1967"/>
      <c r="G33" s="1967"/>
      <c r="H33" s="1967"/>
      <c r="I33" s="1967"/>
      <c r="J33" s="1967"/>
      <c r="K33" s="1967"/>
      <c r="L33" s="1967"/>
      <c r="M33" s="1967"/>
      <c r="N33" s="1967"/>
      <c r="O33" s="1968"/>
      <c r="P33" s="1968"/>
      <c r="Q33" s="1968"/>
      <c r="R33" s="1968"/>
      <c r="T33" s="1970"/>
    </row>
    <row r="34" spans="1:20" ht="20.25" customHeight="1">
      <c r="B34" s="1967"/>
      <c r="C34" s="1967"/>
      <c r="D34" s="1967"/>
      <c r="E34" s="1967"/>
      <c r="F34" s="1967"/>
      <c r="G34" s="1967"/>
      <c r="H34" s="1967"/>
      <c r="I34" s="1967"/>
      <c r="J34" s="1967"/>
      <c r="K34" s="1967"/>
      <c r="L34" s="1967"/>
      <c r="M34" s="1967"/>
      <c r="N34" s="1967"/>
      <c r="O34" s="1968"/>
      <c r="P34" s="1968"/>
      <c r="Q34" s="1968"/>
      <c r="R34" s="1968"/>
      <c r="T34" s="1970"/>
    </row>
    <row r="35" spans="1:20" ht="20.25" customHeight="1">
      <c r="A35" s="6"/>
      <c r="B35" s="966"/>
      <c r="C35" s="966"/>
      <c r="D35" s="966"/>
      <c r="E35" s="966"/>
      <c r="F35" s="966"/>
      <c r="G35" s="966"/>
      <c r="H35" s="966"/>
      <c r="I35" s="966"/>
      <c r="J35" s="966"/>
      <c r="K35" s="966"/>
      <c r="L35" s="966"/>
      <c r="M35" s="966"/>
      <c r="N35" s="966"/>
      <c r="O35" s="966"/>
      <c r="P35" s="5"/>
      <c r="Q35" s="966"/>
      <c r="R35" s="966"/>
      <c r="S35" s="966"/>
      <c r="T35" s="5"/>
    </row>
    <row r="36" spans="1:20" ht="20.25" customHeight="1">
      <c r="A36" s="6"/>
      <c r="B36" s="1969"/>
      <c r="C36" s="1969"/>
      <c r="D36" s="1969"/>
      <c r="E36" s="1969"/>
      <c r="F36" s="1969"/>
      <c r="G36" s="1969"/>
      <c r="H36" s="1969"/>
      <c r="I36" s="1969"/>
      <c r="J36" s="1969"/>
      <c r="K36" s="1969"/>
      <c r="L36" s="1969"/>
      <c r="M36" s="1969"/>
      <c r="N36" s="1969"/>
      <c r="O36" s="1973"/>
      <c r="P36" s="1973"/>
      <c r="Q36" s="1973"/>
      <c r="R36" s="1973"/>
      <c r="T36" s="1974"/>
    </row>
    <row r="37" spans="1:20" ht="20.25" customHeight="1">
      <c r="A37" s="6"/>
      <c r="B37" s="1967"/>
      <c r="C37" s="1975"/>
      <c r="D37" s="1975"/>
      <c r="E37" s="1975"/>
      <c r="F37" s="1975"/>
      <c r="G37" s="1975"/>
      <c r="H37" s="1975"/>
      <c r="I37" s="1975"/>
      <c r="J37" s="1975"/>
      <c r="K37" s="1975"/>
      <c r="L37" s="1975"/>
      <c r="M37" s="1975"/>
      <c r="N37" s="1975"/>
      <c r="O37" s="1973"/>
      <c r="P37" s="1973"/>
      <c r="Q37" s="1973"/>
      <c r="R37" s="1973"/>
      <c r="T37" s="1974"/>
    </row>
    <row r="38" spans="1:20" ht="20.25" customHeight="1">
      <c r="A38" s="6"/>
      <c r="B38" s="1975"/>
      <c r="C38" s="1975"/>
      <c r="D38" s="1975"/>
      <c r="E38" s="1975"/>
      <c r="F38" s="1975"/>
      <c r="G38" s="1975"/>
      <c r="H38" s="1975"/>
      <c r="I38" s="1975"/>
      <c r="J38" s="1975"/>
      <c r="K38" s="1975"/>
      <c r="L38" s="1975"/>
      <c r="M38" s="1975"/>
      <c r="N38" s="1975"/>
      <c r="O38" s="1973"/>
      <c r="P38" s="1973"/>
      <c r="Q38" s="1973"/>
      <c r="R38" s="1973"/>
      <c r="T38" s="1974"/>
    </row>
    <row r="39" spans="1:20" ht="20.25" customHeight="1">
      <c r="A39" s="6"/>
      <c r="B39" s="6"/>
      <c r="C39" s="6"/>
      <c r="D39" s="6"/>
      <c r="E39" s="6"/>
      <c r="F39" s="6"/>
      <c r="G39" s="6"/>
      <c r="H39" s="6"/>
      <c r="I39" s="6"/>
      <c r="J39" s="6"/>
      <c r="K39" s="6"/>
      <c r="L39" s="6"/>
      <c r="M39" s="6"/>
      <c r="N39" s="5"/>
      <c r="O39" s="1973"/>
      <c r="P39" s="1973"/>
      <c r="Q39" s="1973"/>
      <c r="R39" s="1973"/>
      <c r="T39" s="1974"/>
    </row>
    <row r="40" spans="1:20" ht="20.25" customHeight="1">
      <c r="A40" s="6"/>
      <c r="B40" s="6"/>
      <c r="C40" s="6"/>
      <c r="D40" s="6"/>
      <c r="E40" s="6"/>
      <c r="F40" s="6"/>
      <c r="G40" s="6"/>
      <c r="H40" s="6"/>
      <c r="I40" s="6"/>
      <c r="J40" s="6"/>
      <c r="K40" s="6"/>
      <c r="L40" s="6"/>
      <c r="M40" s="6"/>
      <c r="N40" s="6"/>
      <c r="O40" s="6"/>
      <c r="P40" s="6"/>
      <c r="Q40" s="6"/>
      <c r="R40" s="6"/>
      <c r="S40" s="6"/>
      <c r="T40" s="6"/>
    </row>
    <row r="41" spans="1:20" ht="20.25" customHeight="1">
      <c r="B41" s="1969"/>
      <c r="C41" s="1969"/>
      <c r="D41" s="1969"/>
      <c r="E41" s="1969"/>
      <c r="F41" s="1969"/>
      <c r="G41" s="1969"/>
      <c r="H41" s="1969"/>
      <c r="I41" s="1969"/>
      <c r="J41" s="1969"/>
      <c r="K41" s="1969"/>
      <c r="L41" s="1969"/>
      <c r="M41" s="1969"/>
      <c r="N41" s="1969"/>
      <c r="O41" s="1973"/>
      <c r="P41" s="1973"/>
      <c r="Q41" s="1973"/>
      <c r="R41" s="1973"/>
      <c r="T41" s="1974"/>
    </row>
    <row r="42" spans="1:20" ht="20.25" customHeight="1">
      <c r="A42" s="1030" t="s">
        <v>0</v>
      </c>
      <c r="B42" s="1967"/>
      <c r="C42" s="1975"/>
      <c r="D42" s="1975"/>
      <c r="E42" s="1975"/>
      <c r="F42" s="1975"/>
      <c r="G42" s="1975"/>
      <c r="H42" s="1975"/>
      <c r="I42" s="1975"/>
      <c r="J42" s="1975"/>
      <c r="K42" s="1975"/>
      <c r="L42" s="1975"/>
      <c r="M42" s="1975"/>
      <c r="N42" s="1975"/>
      <c r="O42" s="1973"/>
      <c r="P42" s="1973"/>
      <c r="Q42" s="1973"/>
      <c r="R42" s="1973"/>
      <c r="T42" s="1974"/>
    </row>
    <row r="43" spans="1:20" ht="20.25" customHeight="1">
      <c r="A43" s="1031" t="s">
        <v>0</v>
      </c>
      <c r="B43" s="1975"/>
      <c r="C43" s="1975"/>
      <c r="D43" s="1975"/>
      <c r="E43" s="1975"/>
      <c r="F43" s="1975"/>
      <c r="G43" s="1975"/>
      <c r="H43" s="1975"/>
      <c r="I43" s="1975"/>
      <c r="J43" s="1975"/>
      <c r="K43" s="1975"/>
      <c r="L43" s="1975"/>
      <c r="M43" s="1975"/>
      <c r="N43" s="1975"/>
      <c r="O43" s="1973"/>
      <c r="P43" s="1973"/>
      <c r="Q43" s="1973"/>
      <c r="R43" s="1973"/>
      <c r="T43" s="1974"/>
    </row>
    <row r="44" spans="1:20" ht="20.25" customHeight="1">
      <c r="A44" s="227"/>
      <c r="B44" s="6"/>
      <c r="C44" s="6"/>
      <c r="D44" s="6"/>
      <c r="E44" s="6"/>
      <c r="F44" s="6"/>
      <c r="G44" s="6"/>
      <c r="H44" s="6"/>
      <c r="I44" s="6"/>
      <c r="J44" s="6"/>
      <c r="K44" s="6"/>
      <c r="L44" s="6"/>
      <c r="M44" s="6"/>
      <c r="N44" s="5"/>
      <c r="O44" s="1973"/>
      <c r="P44" s="1973"/>
      <c r="Q44" s="1973"/>
      <c r="R44" s="1973"/>
      <c r="T44" s="1974"/>
    </row>
    <row r="45" spans="1:20" ht="20.25" customHeight="1">
      <c r="A45" s="227"/>
      <c r="B45" s="6"/>
      <c r="C45" s="6"/>
      <c r="D45" s="6"/>
      <c r="E45" s="6"/>
      <c r="F45" s="6"/>
      <c r="G45" s="6"/>
      <c r="H45" s="6"/>
      <c r="I45" s="6"/>
      <c r="J45" s="6"/>
      <c r="K45" s="6"/>
      <c r="L45" s="6"/>
      <c r="M45" s="6"/>
      <c r="N45" s="5"/>
      <c r="O45" s="1489"/>
      <c r="P45" s="1489"/>
      <c r="Q45" s="1489"/>
      <c r="R45" s="1489"/>
      <c r="T45" s="1596"/>
    </row>
    <row r="46" spans="1:20" ht="20.25" customHeight="1">
      <c r="A46" s="1369"/>
      <c r="B46" s="227"/>
      <c r="C46" s="227"/>
      <c r="D46" s="227"/>
      <c r="E46" s="227"/>
      <c r="F46" s="227"/>
      <c r="G46" s="227"/>
      <c r="H46" s="227"/>
      <c r="I46" s="227"/>
      <c r="J46" s="227"/>
      <c r="K46" s="227"/>
      <c r="L46" s="227"/>
      <c r="M46" s="227"/>
      <c r="N46" s="227"/>
      <c r="O46" s="227"/>
      <c r="P46" s="227"/>
      <c r="Q46" s="227"/>
      <c r="R46" s="227"/>
      <c r="S46" s="227"/>
    </row>
    <row r="47" spans="1:20" ht="20.25" customHeight="1">
      <c r="A47" s="1030"/>
      <c r="B47" s="227"/>
      <c r="C47" s="227"/>
      <c r="D47" s="227"/>
      <c r="E47" s="227"/>
      <c r="F47" s="227"/>
      <c r="G47" s="227"/>
      <c r="H47" s="227"/>
      <c r="I47" s="227"/>
      <c r="J47" s="227"/>
      <c r="K47" s="227"/>
      <c r="L47" s="227"/>
      <c r="M47" s="227"/>
      <c r="N47" s="227"/>
      <c r="O47" s="227"/>
      <c r="P47" s="227"/>
      <c r="Q47" s="227"/>
      <c r="R47" s="227"/>
      <c r="S47" s="227"/>
    </row>
    <row r="48" spans="1:20" ht="20.25" customHeight="1">
      <c r="A48" s="1586"/>
      <c r="B48" s="227"/>
      <c r="C48" s="227"/>
      <c r="D48" s="227"/>
      <c r="E48" s="227"/>
      <c r="F48" s="227"/>
      <c r="G48" s="227"/>
      <c r="H48" s="227"/>
      <c r="I48" s="227"/>
      <c r="J48" s="227"/>
      <c r="K48" s="227"/>
      <c r="L48" s="227"/>
      <c r="M48" s="227"/>
      <c r="N48" s="227"/>
      <c r="O48" s="227"/>
      <c r="P48" s="227"/>
      <c r="Q48" s="227"/>
      <c r="R48" s="227"/>
    </row>
    <row r="49" spans="1:19" ht="20.25" customHeight="1">
      <c r="A49" s="1587"/>
      <c r="B49" s="227"/>
      <c r="C49" s="227"/>
      <c r="D49" s="227"/>
      <c r="E49" s="227"/>
      <c r="F49" s="227"/>
      <c r="G49" s="227"/>
      <c r="H49" s="227"/>
      <c r="I49" s="227"/>
      <c r="J49" s="227"/>
      <c r="K49" s="227"/>
      <c r="L49" s="227"/>
      <c r="M49" s="227"/>
      <c r="N49" s="227"/>
      <c r="O49" s="227"/>
      <c r="P49" s="227"/>
      <c r="Q49" s="227"/>
      <c r="R49" s="227"/>
    </row>
    <row r="50" spans="1:19" ht="20.25" customHeight="1">
      <c r="A50" s="1587"/>
      <c r="B50" s="227"/>
      <c r="C50" s="227"/>
      <c r="D50" s="227"/>
      <c r="E50" s="227"/>
      <c r="F50" s="227"/>
      <c r="G50" s="227"/>
      <c r="H50" s="227"/>
      <c r="I50" s="227"/>
      <c r="J50" s="227"/>
      <c r="K50" s="227"/>
      <c r="L50" s="227"/>
      <c r="M50" s="227"/>
      <c r="N50" s="227"/>
      <c r="O50" s="227"/>
      <c r="P50" s="227"/>
      <c r="Q50" s="227"/>
      <c r="R50" s="227"/>
    </row>
    <row r="51" spans="1:19" ht="20.25" customHeight="1">
      <c r="A51" s="1587"/>
      <c r="B51" s="227"/>
      <c r="C51" s="227"/>
      <c r="D51" s="227"/>
      <c r="E51" s="227"/>
      <c r="F51" s="227"/>
      <c r="G51" s="227"/>
      <c r="H51" s="227"/>
      <c r="I51" s="227"/>
      <c r="J51" s="227"/>
      <c r="K51" s="227"/>
      <c r="L51" s="227"/>
      <c r="M51" s="227"/>
      <c r="N51" s="227"/>
      <c r="O51" s="227"/>
      <c r="P51" s="227"/>
      <c r="Q51" s="227"/>
      <c r="R51" s="227"/>
    </row>
    <row r="52" spans="1:19" ht="20.25" customHeight="1">
      <c r="A52" s="1588"/>
      <c r="B52" s="227"/>
      <c r="C52" s="227"/>
      <c r="D52" s="227"/>
      <c r="E52" s="227"/>
      <c r="F52" s="227"/>
      <c r="G52" s="227"/>
      <c r="H52" s="227"/>
      <c r="I52" s="227"/>
      <c r="J52" s="227"/>
      <c r="K52" s="227"/>
      <c r="L52" s="227"/>
      <c r="M52" s="227"/>
      <c r="N52" s="227"/>
      <c r="O52" s="227"/>
      <c r="P52" s="227"/>
      <c r="Q52" s="227"/>
      <c r="R52" s="227"/>
    </row>
    <row r="53" spans="1:19" ht="20.25" customHeight="1">
      <c r="A53" s="1588"/>
      <c r="B53" s="227"/>
      <c r="C53" s="227"/>
      <c r="D53" s="227"/>
      <c r="E53" s="227"/>
      <c r="F53" s="227"/>
      <c r="G53" s="227"/>
      <c r="H53" s="227"/>
      <c r="I53" s="227"/>
      <c r="J53" s="227"/>
      <c r="K53" s="227"/>
      <c r="L53" s="227"/>
      <c r="M53" s="227"/>
      <c r="N53" s="227"/>
      <c r="O53" s="227"/>
      <c r="P53" s="227"/>
      <c r="Q53" s="227"/>
      <c r="R53" s="227"/>
    </row>
    <row r="54" spans="1:19" ht="20.25" customHeight="1">
      <c r="A54" s="1589"/>
      <c r="B54" s="227"/>
      <c r="C54" s="227"/>
      <c r="D54" s="227"/>
      <c r="E54" s="227"/>
      <c r="F54" s="227"/>
      <c r="G54" s="227"/>
      <c r="H54" s="227"/>
      <c r="I54" s="227"/>
      <c r="J54" s="227"/>
      <c r="K54" s="227"/>
      <c r="L54" s="227"/>
      <c r="M54" s="227"/>
      <c r="N54" s="227"/>
      <c r="O54" s="227"/>
      <c r="P54" s="227"/>
      <c r="Q54" s="227"/>
      <c r="R54" s="227"/>
    </row>
    <row r="55" spans="1:19" ht="20.25" customHeight="1">
      <c r="A55" s="1590"/>
      <c r="B55" s="227"/>
      <c r="C55" s="227"/>
      <c r="D55" s="227"/>
      <c r="E55" s="227"/>
      <c r="F55" s="227"/>
      <c r="G55" s="227"/>
      <c r="H55" s="227"/>
      <c r="I55" s="227"/>
      <c r="J55" s="227"/>
      <c r="K55" s="227"/>
      <c r="L55" s="227"/>
      <c r="M55" s="227"/>
      <c r="N55" s="227"/>
      <c r="O55" s="227"/>
      <c r="P55" s="227"/>
      <c r="Q55" s="227"/>
      <c r="R55" s="227"/>
    </row>
    <row r="56" spans="1:19" ht="20.25" customHeight="1">
      <c r="A56" s="1590"/>
      <c r="C56" s="227"/>
      <c r="D56" s="227"/>
      <c r="E56" s="227"/>
      <c r="F56" s="227"/>
      <c r="G56" s="227"/>
      <c r="H56" s="227"/>
      <c r="I56" s="227"/>
      <c r="J56" s="227"/>
      <c r="K56" s="227"/>
      <c r="L56" s="227"/>
      <c r="M56" s="227"/>
      <c r="N56" s="227"/>
      <c r="O56" s="227"/>
      <c r="P56" s="227"/>
      <c r="Q56" s="227"/>
      <c r="R56" s="227"/>
    </row>
    <row r="57" spans="1:19" ht="20.25" customHeight="1">
      <c r="A57" s="1590"/>
      <c r="C57" s="227"/>
      <c r="D57" s="227"/>
      <c r="E57" s="227"/>
      <c r="F57" s="227"/>
      <c r="G57" s="227"/>
      <c r="H57" s="227"/>
      <c r="I57" s="227"/>
      <c r="J57" s="227"/>
      <c r="K57" s="227"/>
      <c r="L57" s="227"/>
      <c r="M57" s="227"/>
      <c r="N57" s="227"/>
      <c r="O57" s="227"/>
      <c r="P57" s="227"/>
      <c r="Q57" s="227"/>
      <c r="R57" s="227"/>
    </row>
    <row r="58" spans="1:19" ht="20.25" customHeight="1">
      <c r="A58" s="1590"/>
      <c r="D58" s="227"/>
      <c r="E58" s="227"/>
      <c r="F58" s="227"/>
      <c r="G58" s="227"/>
      <c r="H58" s="227"/>
      <c r="I58" s="227"/>
      <c r="J58" s="227"/>
      <c r="K58" s="227"/>
      <c r="L58" s="227"/>
      <c r="M58" s="227"/>
      <c r="N58" s="227"/>
      <c r="O58" s="227"/>
      <c r="P58" s="227"/>
      <c r="Q58" s="227"/>
      <c r="R58" s="227"/>
    </row>
    <row r="59" spans="1:19" ht="20.25" customHeight="1">
      <c r="A59" s="1591"/>
      <c r="B59" s="227"/>
      <c r="C59" s="227"/>
      <c r="D59" s="227"/>
      <c r="E59" s="227"/>
      <c r="F59" s="227"/>
      <c r="G59" s="227"/>
      <c r="H59" s="227"/>
      <c r="I59" s="227"/>
      <c r="J59" s="227"/>
      <c r="K59" s="227"/>
      <c r="L59" s="227"/>
      <c r="M59" s="227"/>
      <c r="N59" s="227"/>
      <c r="O59" s="227"/>
      <c r="P59" s="227"/>
      <c r="Q59" s="227"/>
      <c r="R59" s="227"/>
    </row>
    <row r="60" spans="1:19" ht="20.25" customHeight="1">
      <c r="A60" s="1031"/>
      <c r="B60" s="227"/>
      <c r="C60" s="227"/>
      <c r="D60" s="227"/>
      <c r="E60" s="227"/>
      <c r="F60" s="227"/>
      <c r="G60" s="227"/>
      <c r="H60" s="227"/>
      <c r="I60" s="227"/>
      <c r="J60" s="227"/>
      <c r="K60" s="227"/>
      <c r="L60" s="227"/>
      <c r="M60" s="227"/>
      <c r="N60" s="227"/>
      <c r="O60" s="227"/>
      <c r="P60" s="227"/>
      <c r="Q60" s="227"/>
      <c r="R60" s="227"/>
      <c r="S60" s="227"/>
    </row>
    <row r="61" spans="1:19" ht="20.25" customHeight="1">
      <c r="A61" s="1591"/>
      <c r="B61" s="227"/>
      <c r="C61" s="227"/>
      <c r="D61" s="227"/>
      <c r="E61" s="227"/>
      <c r="F61" s="227"/>
      <c r="G61" s="227"/>
      <c r="H61" s="227"/>
      <c r="I61" s="227"/>
      <c r="J61" s="227"/>
      <c r="K61" s="227"/>
      <c r="L61" s="227"/>
      <c r="M61" s="227"/>
      <c r="N61" s="227"/>
      <c r="O61" s="227"/>
      <c r="P61" s="227"/>
      <c r="Q61" s="227"/>
      <c r="R61" s="227"/>
    </row>
    <row r="62" spans="1:19" ht="20.25" customHeight="1">
      <c r="A62" s="1591"/>
      <c r="B62" s="227"/>
      <c r="C62" s="227"/>
      <c r="D62" s="227"/>
      <c r="E62" s="227"/>
      <c r="F62" s="227"/>
      <c r="G62" s="227"/>
      <c r="H62" s="227"/>
      <c r="I62" s="227"/>
      <c r="J62" s="227"/>
      <c r="K62" s="227"/>
      <c r="L62" s="227"/>
      <c r="M62" s="227"/>
      <c r="N62" s="227"/>
      <c r="O62" s="227"/>
      <c r="P62" s="227"/>
      <c r="Q62" s="227"/>
      <c r="R62" s="227"/>
    </row>
    <row r="63" spans="1:19" ht="20.25" customHeight="1">
      <c r="A63" s="1591"/>
      <c r="B63" s="227"/>
      <c r="C63" s="227"/>
      <c r="D63" s="227"/>
      <c r="E63" s="227"/>
      <c r="F63" s="227"/>
      <c r="G63" s="227"/>
      <c r="H63" s="227"/>
      <c r="I63" s="227"/>
      <c r="J63" s="227"/>
      <c r="K63" s="227"/>
      <c r="L63" s="227"/>
      <c r="M63" s="227"/>
      <c r="N63" s="227"/>
      <c r="O63" s="227"/>
      <c r="P63" s="227"/>
      <c r="Q63" s="227"/>
      <c r="R63" s="227"/>
    </row>
    <row r="64" spans="1:19" ht="20.25" customHeight="1">
      <c r="A64" s="1587"/>
      <c r="B64" s="227"/>
      <c r="C64" s="227"/>
      <c r="D64" s="227"/>
      <c r="E64" s="227"/>
      <c r="F64" s="227"/>
      <c r="G64" s="227"/>
      <c r="H64" s="227"/>
      <c r="I64" s="227"/>
      <c r="J64" s="227"/>
      <c r="K64" s="227"/>
      <c r="L64" s="227"/>
      <c r="M64" s="227"/>
      <c r="N64" s="227"/>
      <c r="O64" s="227"/>
      <c r="P64" s="227"/>
      <c r="Q64" s="227"/>
      <c r="R64" s="227"/>
    </row>
    <row r="65" spans="1:18" ht="20.25" customHeight="1">
      <c r="A65" s="1587"/>
      <c r="B65" s="227"/>
      <c r="C65" s="227"/>
      <c r="D65" s="227"/>
      <c r="E65" s="227"/>
      <c r="F65" s="227"/>
      <c r="G65" s="227"/>
      <c r="H65" s="227"/>
      <c r="I65" s="227"/>
      <c r="J65" s="227"/>
      <c r="K65" s="227"/>
      <c r="L65" s="227"/>
      <c r="M65" s="227"/>
      <c r="N65" s="227"/>
      <c r="O65" s="227"/>
      <c r="P65" s="227"/>
      <c r="Q65" s="227"/>
      <c r="R65" s="227"/>
    </row>
    <row r="66" spans="1:18" ht="20.25" customHeight="1">
      <c r="A66" s="1588"/>
      <c r="B66" s="227"/>
      <c r="C66" s="227"/>
      <c r="D66" s="227"/>
      <c r="E66" s="227"/>
      <c r="F66" s="227"/>
      <c r="G66" s="227"/>
      <c r="H66" s="227"/>
      <c r="I66" s="227"/>
      <c r="J66" s="227"/>
      <c r="K66" s="227"/>
      <c r="L66" s="227"/>
      <c r="M66" s="227"/>
      <c r="N66" s="227"/>
      <c r="O66" s="227"/>
      <c r="P66" s="227"/>
      <c r="Q66" s="227"/>
      <c r="R66" s="227"/>
    </row>
    <row r="67" spans="1:18" ht="20.25" customHeight="1">
      <c r="A67" s="1588"/>
      <c r="B67" s="227"/>
      <c r="C67" s="227"/>
      <c r="D67" s="227"/>
      <c r="E67" s="227"/>
      <c r="F67" s="227"/>
      <c r="G67" s="227"/>
      <c r="H67" s="227"/>
      <c r="I67" s="227"/>
      <c r="J67" s="227"/>
      <c r="K67" s="227"/>
      <c r="L67" s="227"/>
      <c r="M67" s="227"/>
      <c r="N67" s="227"/>
      <c r="O67" s="227"/>
      <c r="P67" s="227"/>
      <c r="Q67" s="227"/>
      <c r="R67" s="227"/>
    </row>
    <row r="68" spans="1:18" ht="20.25" customHeight="1">
      <c r="A68" s="1588"/>
      <c r="B68" s="227"/>
      <c r="C68" s="227"/>
      <c r="D68" s="227"/>
      <c r="E68" s="227"/>
      <c r="F68" s="227"/>
      <c r="G68" s="227"/>
      <c r="H68" s="227"/>
      <c r="I68" s="227"/>
      <c r="J68" s="227"/>
      <c r="K68" s="227"/>
      <c r="L68" s="227"/>
      <c r="M68" s="227"/>
      <c r="N68" s="227"/>
      <c r="O68" s="227"/>
      <c r="P68" s="227"/>
      <c r="Q68" s="227"/>
      <c r="R68" s="227"/>
    </row>
    <row r="69" spans="1:18" ht="20.25" customHeight="1">
      <c r="A69" s="1592"/>
      <c r="B69" s="227"/>
      <c r="C69" s="227"/>
      <c r="D69" s="227"/>
      <c r="E69" s="227"/>
      <c r="F69" s="227"/>
      <c r="G69" s="227"/>
      <c r="H69" s="227"/>
      <c r="I69" s="227"/>
      <c r="J69" s="227"/>
      <c r="K69" s="227"/>
      <c r="L69" s="227"/>
      <c r="M69" s="227"/>
      <c r="N69" s="227"/>
      <c r="O69" s="227"/>
      <c r="P69" s="227"/>
      <c r="Q69" s="227"/>
      <c r="R69" s="227"/>
    </row>
    <row r="70" spans="1:18" ht="20.25" customHeight="1">
      <c r="A70" s="1592"/>
      <c r="B70" s="227"/>
      <c r="C70" s="227"/>
      <c r="D70" s="227"/>
      <c r="E70" s="227"/>
      <c r="F70" s="227"/>
      <c r="G70" s="227"/>
      <c r="H70" s="227"/>
      <c r="I70" s="227"/>
      <c r="J70" s="227"/>
      <c r="K70" s="227"/>
      <c r="L70" s="227"/>
      <c r="M70" s="227"/>
      <c r="N70" s="227"/>
      <c r="O70" s="227"/>
      <c r="P70" s="227"/>
      <c r="Q70" s="227"/>
      <c r="R70" s="227"/>
    </row>
    <row r="71" spans="1:18" ht="20.25" customHeight="1">
      <c r="A71" s="1031"/>
      <c r="B71" s="227"/>
      <c r="C71" s="227"/>
      <c r="D71" s="227"/>
      <c r="E71" s="227"/>
      <c r="F71" s="227"/>
      <c r="G71" s="227"/>
      <c r="H71" s="227"/>
      <c r="I71" s="227"/>
      <c r="J71" s="227"/>
      <c r="K71" s="227"/>
      <c r="L71" s="227"/>
      <c r="M71" s="227"/>
      <c r="N71" s="227"/>
      <c r="O71" s="227"/>
      <c r="P71" s="227"/>
      <c r="Q71" s="227"/>
      <c r="R71" s="227"/>
    </row>
    <row r="72" spans="1:18" ht="20.25" customHeight="1">
      <c r="A72" s="1587"/>
      <c r="B72" s="227"/>
      <c r="C72" s="227"/>
      <c r="D72" s="227"/>
      <c r="E72" s="227"/>
      <c r="F72" s="227"/>
      <c r="G72" s="227"/>
      <c r="H72" s="227"/>
      <c r="I72" s="227"/>
      <c r="J72" s="227"/>
      <c r="K72" s="227"/>
      <c r="L72" s="227"/>
      <c r="M72" s="227"/>
      <c r="N72" s="227"/>
      <c r="O72" s="227"/>
      <c r="P72" s="227"/>
      <c r="Q72" s="227"/>
      <c r="R72" s="227"/>
    </row>
    <row r="73" spans="1:18" ht="20.25" customHeight="1">
      <c r="A73" s="1587"/>
      <c r="B73" s="227"/>
      <c r="C73" s="227"/>
      <c r="D73" s="227"/>
      <c r="E73" s="227"/>
      <c r="F73" s="227"/>
      <c r="G73" s="227"/>
      <c r="H73" s="227"/>
      <c r="I73" s="227"/>
      <c r="J73" s="227"/>
      <c r="K73" s="227"/>
      <c r="L73" s="227"/>
      <c r="M73" s="227"/>
      <c r="N73" s="227"/>
      <c r="O73" s="227"/>
      <c r="P73" s="227"/>
      <c r="Q73" s="227"/>
      <c r="R73" s="227"/>
    </row>
    <row r="74" spans="1:18" ht="20.25" customHeight="1">
      <c r="A74" s="1588"/>
      <c r="B74" s="227"/>
      <c r="C74" s="227"/>
      <c r="D74" s="227"/>
      <c r="E74" s="227"/>
      <c r="F74" s="227"/>
      <c r="G74" s="227"/>
      <c r="H74" s="227"/>
      <c r="I74" s="227"/>
      <c r="J74" s="227"/>
      <c r="K74" s="227"/>
      <c r="L74" s="227"/>
      <c r="M74" s="227"/>
      <c r="N74" s="227"/>
      <c r="O74" s="227"/>
      <c r="P74" s="227"/>
      <c r="Q74" s="227"/>
      <c r="R74" s="227"/>
    </row>
    <row r="75" spans="1:18" ht="20.25" customHeight="1">
      <c r="A75" s="1588"/>
      <c r="B75" s="227"/>
      <c r="C75" s="227"/>
      <c r="D75" s="227"/>
      <c r="E75" s="227"/>
      <c r="F75" s="227"/>
      <c r="G75" s="227"/>
      <c r="H75" s="227"/>
      <c r="I75" s="227"/>
      <c r="J75" s="227"/>
      <c r="K75" s="227"/>
      <c r="L75" s="227"/>
      <c r="M75" s="227"/>
      <c r="N75" s="227"/>
      <c r="O75" s="227"/>
      <c r="P75" s="227"/>
      <c r="Q75" s="227"/>
      <c r="R75" s="227"/>
    </row>
    <row r="76" spans="1:18" ht="18">
      <c r="A76" s="1588"/>
      <c r="B76" s="227"/>
      <c r="C76" s="227"/>
      <c r="D76" s="227"/>
      <c r="E76" s="227"/>
      <c r="F76" s="227"/>
      <c r="G76" s="227"/>
      <c r="H76" s="227"/>
      <c r="I76" s="227"/>
      <c r="J76" s="227"/>
      <c r="K76" s="227"/>
      <c r="L76" s="227"/>
      <c r="M76" s="227"/>
      <c r="N76" s="227"/>
      <c r="O76" s="227"/>
      <c r="P76" s="227"/>
      <c r="Q76" s="227"/>
      <c r="R76" s="227"/>
    </row>
    <row r="77" spans="1:18" ht="18">
      <c r="A77" s="1592"/>
      <c r="B77" s="227"/>
      <c r="C77" s="227"/>
      <c r="D77" s="227"/>
      <c r="E77" s="227"/>
      <c r="F77" s="227"/>
      <c r="G77" s="227"/>
      <c r="H77" s="227"/>
      <c r="I77" s="227"/>
      <c r="J77" s="227"/>
      <c r="K77" s="227"/>
      <c r="L77" s="227"/>
      <c r="M77" s="227"/>
      <c r="N77" s="227"/>
      <c r="O77" s="227"/>
      <c r="P77" s="227"/>
      <c r="Q77" s="227"/>
      <c r="R77" s="227"/>
    </row>
    <row r="78" spans="1:18" ht="18">
      <c r="A78" s="1592"/>
      <c r="B78" s="227"/>
      <c r="C78" s="227"/>
      <c r="D78" s="227"/>
      <c r="E78" s="227"/>
      <c r="F78" s="227"/>
      <c r="G78" s="227"/>
      <c r="H78" s="227"/>
      <c r="I78" s="227"/>
      <c r="J78" s="227"/>
      <c r="K78" s="227"/>
      <c r="L78" s="227"/>
      <c r="M78" s="227"/>
      <c r="N78" s="227"/>
      <c r="O78" s="227"/>
      <c r="P78" s="227"/>
      <c r="Q78" s="227"/>
      <c r="R78" s="227"/>
    </row>
    <row r="79" spans="1:18" ht="21.4" customHeight="1">
      <c r="A79" s="1591"/>
      <c r="B79" s="227"/>
      <c r="C79" s="227"/>
      <c r="D79" s="227"/>
      <c r="E79" s="227"/>
      <c r="F79" s="227"/>
      <c r="G79" s="227"/>
      <c r="H79" s="227"/>
      <c r="I79" s="227"/>
      <c r="J79" s="227"/>
      <c r="K79" s="227"/>
      <c r="L79" s="227"/>
      <c r="M79" s="227"/>
      <c r="N79" s="227"/>
      <c r="O79" s="227"/>
      <c r="P79" s="227"/>
      <c r="Q79" s="227"/>
      <c r="R79" s="227"/>
    </row>
    <row r="80" spans="1:18" ht="3.4" customHeight="1">
      <c r="A80" s="1593"/>
      <c r="B80" s="227"/>
      <c r="C80" s="227"/>
      <c r="D80" s="227"/>
      <c r="E80" s="227"/>
      <c r="F80" s="227"/>
      <c r="G80" s="227"/>
      <c r="H80" s="227"/>
      <c r="I80" s="227"/>
      <c r="J80" s="227"/>
      <c r="K80" s="227"/>
      <c r="L80" s="227"/>
      <c r="M80" s="227"/>
      <c r="N80" s="227"/>
      <c r="O80" s="227"/>
      <c r="P80" s="227"/>
      <c r="Q80" s="227"/>
      <c r="R80" s="227"/>
    </row>
    <row r="81" spans="1:19" ht="18">
      <c r="A81" s="1030"/>
      <c r="C81" s="227"/>
      <c r="D81" s="227"/>
      <c r="E81" s="227"/>
      <c r="F81" s="227"/>
      <c r="G81" s="227"/>
      <c r="H81" s="227"/>
      <c r="I81" s="227"/>
      <c r="J81" s="227"/>
      <c r="K81" s="227"/>
      <c r="L81" s="227"/>
      <c r="M81" s="227"/>
      <c r="N81" s="227"/>
      <c r="O81" s="227"/>
      <c r="P81" s="227"/>
      <c r="Q81" s="227"/>
      <c r="R81" s="227"/>
      <c r="S81" s="227"/>
    </row>
    <row r="82" spans="1:19" ht="18">
      <c r="A82" s="227"/>
      <c r="B82" s="152"/>
      <c r="C82" s="227"/>
      <c r="D82" s="227"/>
      <c r="E82" s="227"/>
      <c r="F82" s="227"/>
      <c r="G82" s="227"/>
      <c r="H82" s="227"/>
      <c r="I82" s="227"/>
      <c r="J82" s="227"/>
      <c r="K82" s="227"/>
      <c r="L82" s="227"/>
      <c r="M82" s="227"/>
      <c r="N82" s="227"/>
      <c r="O82" s="227"/>
      <c r="P82" s="227"/>
      <c r="Q82" s="227"/>
      <c r="R82" s="227"/>
      <c r="S82" s="227"/>
    </row>
    <row r="83" spans="1:19" ht="9" customHeight="1">
      <c r="A83" s="227"/>
      <c r="B83" s="152"/>
      <c r="C83" s="227"/>
      <c r="D83" s="227"/>
      <c r="E83" s="227"/>
      <c r="F83" s="227"/>
      <c r="G83" s="227"/>
      <c r="H83" s="227"/>
      <c r="I83" s="227"/>
      <c r="J83" s="227"/>
      <c r="K83" s="227"/>
      <c r="L83" s="227"/>
      <c r="M83" s="227"/>
      <c r="N83" s="227"/>
      <c r="O83" s="227"/>
      <c r="P83" s="227"/>
      <c r="Q83" s="227"/>
      <c r="R83" s="227"/>
      <c r="S83" s="227"/>
    </row>
    <row r="84" spans="1:19" ht="31.9" customHeight="1">
      <c r="A84" s="1594"/>
      <c r="B84" s="227"/>
      <c r="C84" s="227"/>
      <c r="D84" s="227"/>
      <c r="E84" s="227"/>
      <c r="F84" s="227"/>
      <c r="G84" s="227"/>
      <c r="H84" s="227"/>
      <c r="I84" s="227"/>
      <c r="J84" s="227"/>
      <c r="K84" s="227"/>
      <c r="L84" s="227"/>
      <c r="M84" s="227"/>
      <c r="N84" s="227"/>
      <c r="O84" s="227"/>
      <c r="P84" s="227"/>
      <c r="Q84" s="227"/>
      <c r="R84" s="227"/>
      <c r="S84" s="227"/>
    </row>
    <row r="85" spans="1:19" ht="18" customHeight="1">
      <c r="A85" s="1031"/>
      <c r="B85" s="227"/>
      <c r="C85" s="227"/>
      <c r="D85" s="227"/>
      <c r="E85" s="227"/>
      <c r="F85" s="227"/>
      <c r="G85" s="227"/>
      <c r="H85" s="227"/>
      <c r="I85" s="227"/>
      <c r="J85" s="227"/>
      <c r="K85" s="227"/>
      <c r="L85" s="227"/>
      <c r="M85" s="227"/>
      <c r="N85" s="227"/>
      <c r="O85" s="227"/>
      <c r="P85" s="227"/>
      <c r="Q85" s="227"/>
      <c r="R85" s="227"/>
      <c r="S85" s="227"/>
    </row>
    <row r="86" spans="1:19" ht="18">
      <c r="A86" s="227"/>
      <c r="B86" s="227"/>
      <c r="C86" s="227"/>
      <c r="D86" s="227"/>
      <c r="E86" s="227"/>
      <c r="F86" s="227"/>
      <c r="G86" s="227"/>
      <c r="H86" s="227"/>
      <c r="I86" s="227"/>
      <c r="J86" s="227"/>
      <c r="K86" s="227"/>
      <c r="L86" s="227"/>
      <c r="M86" s="227"/>
      <c r="N86" s="227"/>
      <c r="O86" s="227"/>
      <c r="P86" s="227"/>
      <c r="Q86" s="227"/>
      <c r="R86" s="227"/>
      <c r="S86" s="227"/>
    </row>
    <row r="87" spans="1:19" ht="16.899999999999999" customHeight="1">
      <c r="A87" s="227"/>
      <c r="B87" s="227"/>
      <c r="C87" s="227"/>
      <c r="D87" s="227"/>
      <c r="E87" s="227"/>
      <c r="F87" s="227"/>
      <c r="G87" s="227"/>
      <c r="H87" s="227"/>
      <c r="I87" s="227"/>
      <c r="J87" s="227"/>
      <c r="K87" s="227"/>
      <c r="L87" s="227"/>
      <c r="M87" s="227"/>
      <c r="N87" s="227"/>
      <c r="O87" s="227"/>
      <c r="P87" s="227"/>
      <c r="Q87" s="227"/>
      <c r="R87" s="227"/>
      <c r="S87" s="227"/>
    </row>
    <row r="88" spans="1:19" ht="9.4" customHeight="1">
      <c r="A88" s="1031"/>
      <c r="B88" s="227"/>
      <c r="C88" s="227"/>
      <c r="D88" s="227"/>
      <c r="E88" s="227"/>
      <c r="F88" s="227"/>
      <c r="G88" s="227"/>
      <c r="H88" s="227"/>
      <c r="I88" s="227"/>
      <c r="J88" s="227"/>
      <c r="K88" s="227"/>
      <c r="L88" s="227"/>
      <c r="M88" s="227"/>
      <c r="N88" s="227"/>
      <c r="O88" s="227"/>
      <c r="P88" s="227"/>
      <c r="Q88" s="227"/>
      <c r="R88" s="227"/>
      <c r="S88" s="227"/>
    </row>
    <row r="89" spans="1:19" ht="18">
      <c r="A89" s="1031"/>
      <c r="B89" s="227"/>
      <c r="C89" s="227"/>
      <c r="D89" s="227"/>
      <c r="E89" s="227"/>
      <c r="F89" s="227"/>
      <c r="G89" s="227"/>
      <c r="H89" s="227"/>
      <c r="I89" s="227"/>
      <c r="J89" s="227"/>
      <c r="K89" s="227"/>
      <c r="L89" s="227"/>
      <c r="M89" s="227"/>
      <c r="N89" s="227"/>
      <c r="O89" s="227"/>
      <c r="P89" s="227"/>
      <c r="Q89" s="227"/>
      <c r="R89" s="227"/>
      <c r="S89" s="227"/>
    </row>
    <row r="90" spans="1:19" ht="18">
      <c r="A90" s="152"/>
      <c r="B90" s="227"/>
      <c r="C90" s="227"/>
      <c r="D90" s="227"/>
      <c r="E90" s="227"/>
      <c r="F90" s="227"/>
      <c r="G90" s="227"/>
      <c r="H90" s="227"/>
      <c r="I90" s="227"/>
      <c r="J90" s="227"/>
      <c r="K90" s="227"/>
      <c r="L90" s="227"/>
      <c r="M90" s="227"/>
      <c r="N90" s="227"/>
      <c r="O90" s="227"/>
      <c r="P90" s="227"/>
      <c r="Q90" s="227"/>
      <c r="R90" s="227"/>
      <c r="S90" s="227"/>
    </row>
    <row r="91" spans="1:19" ht="17.649999999999999" customHeight="1">
      <c r="A91" s="227"/>
      <c r="B91" s="227"/>
      <c r="C91" s="227"/>
      <c r="D91" s="227"/>
      <c r="E91" s="227"/>
      <c r="F91" s="227"/>
      <c r="G91" s="227"/>
      <c r="H91" s="227"/>
      <c r="I91" s="227"/>
      <c r="J91" s="227"/>
      <c r="K91" s="227"/>
      <c r="L91" s="227"/>
      <c r="M91" s="227"/>
      <c r="N91" s="227"/>
      <c r="O91" s="227"/>
      <c r="P91" s="227"/>
      <c r="Q91" s="227"/>
      <c r="R91" s="227"/>
      <c r="S91" s="227"/>
    </row>
    <row r="92" spans="1:19" ht="10.15" customHeight="1">
      <c r="A92" s="227"/>
      <c r="B92" s="227"/>
      <c r="C92" s="227"/>
      <c r="D92" s="227"/>
      <c r="E92" s="227"/>
      <c r="F92" s="227"/>
      <c r="G92" s="227"/>
      <c r="H92" s="227"/>
      <c r="I92" s="227"/>
      <c r="J92" s="227"/>
      <c r="K92" s="227"/>
      <c r="L92" s="227"/>
      <c r="M92" s="227"/>
      <c r="N92" s="227"/>
      <c r="O92" s="227"/>
      <c r="P92" s="227"/>
      <c r="Q92" s="227"/>
      <c r="R92" s="227"/>
      <c r="S92" s="227"/>
    </row>
    <row r="93" spans="1:19" ht="18">
      <c r="A93" s="1031"/>
      <c r="B93" s="227"/>
      <c r="C93" s="227"/>
      <c r="D93" s="227"/>
      <c r="E93" s="227"/>
      <c r="F93" s="227"/>
      <c r="G93" s="227"/>
      <c r="H93" s="227"/>
      <c r="I93" s="227"/>
      <c r="J93" s="227"/>
      <c r="K93" s="227"/>
      <c r="L93" s="227"/>
      <c r="M93" s="227"/>
      <c r="N93" s="227"/>
      <c r="O93" s="227"/>
      <c r="P93" s="227"/>
      <c r="Q93" s="227"/>
      <c r="R93" s="227"/>
      <c r="S93" s="227"/>
    </row>
    <row r="94" spans="1:19" ht="21.4" customHeight="1">
      <c r="A94" s="1032"/>
      <c r="B94" s="227"/>
      <c r="C94" s="227"/>
      <c r="D94" s="227"/>
      <c r="E94" s="227"/>
      <c r="F94" s="227"/>
      <c r="G94" s="227"/>
      <c r="H94" s="227"/>
      <c r="I94" s="227"/>
      <c r="J94" s="227"/>
      <c r="K94" s="227"/>
      <c r="L94" s="227"/>
      <c r="M94" s="227"/>
      <c r="N94" s="227"/>
      <c r="O94" s="227"/>
      <c r="P94" s="227"/>
      <c r="Q94" s="227"/>
      <c r="R94" s="227"/>
      <c r="S94" s="227"/>
    </row>
    <row r="95" spans="1:19" ht="15" customHeight="1">
      <c r="A95" s="227"/>
      <c r="B95" s="227"/>
      <c r="C95" s="227"/>
      <c r="D95" s="227"/>
      <c r="E95" s="227"/>
      <c r="F95" s="227"/>
      <c r="G95" s="227"/>
      <c r="H95" s="227"/>
      <c r="I95" s="227"/>
      <c r="J95" s="227"/>
      <c r="K95" s="227"/>
      <c r="L95" s="227"/>
      <c r="M95" s="227"/>
      <c r="N95" s="227"/>
      <c r="O95" s="227"/>
      <c r="P95" s="227"/>
      <c r="Q95" s="227"/>
      <c r="R95" s="227"/>
      <c r="S95" s="227"/>
    </row>
    <row r="96" spans="1:19" ht="18">
      <c r="A96" s="227"/>
      <c r="B96" s="227"/>
      <c r="C96" s="227"/>
      <c r="D96" s="227"/>
      <c r="E96" s="227"/>
      <c r="F96" s="227"/>
      <c r="G96" s="227"/>
      <c r="H96" s="227"/>
      <c r="I96" s="227"/>
      <c r="J96" s="227"/>
      <c r="K96" s="227"/>
      <c r="L96" s="227"/>
      <c r="M96" s="227"/>
      <c r="N96" s="227"/>
      <c r="O96" s="227"/>
      <c r="P96" s="227"/>
      <c r="Q96" s="227"/>
      <c r="R96" s="227"/>
      <c r="S96" s="227"/>
    </row>
    <row r="97" spans="1:19" ht="15.75" customHeight="1">
      <c r="A97" s="227"/>
      <c r="B97" s="227"/>
      <c r="C97" s="227"/>
      <c r="D97" s="227"/>
      <c r="E97" s="227"/>
      <c r="F97" s="227"/>
      <c r="G97" s="227"/>
      <c r="H97" s="227"/>
      <c r="I97" s="227"/>
      <c r="J97" s="227"/>
      <c r="K97" s="227"/>
      <c r="L97" s="227"/>
      <c r="M97" s="227"/>
      <c r="N97" s="227"/>
      <c r="O97" s="227"/>
      <c r="P97" s="227"/>
      <c r="Q97" s="227"/>
      <c r="R97" s="227"/>
      <c r="S97" s="227"/>
    </row>
    <row r="98" spans="1:19" ht="28.5" customHeight="1">
      <c r="A98" s="1031"/>
      <c r="B98" s="227"/>
      <c r="C98" s="227"/>
      <c r="D98" s="227"/>
      <c r="E98" s="227"/>
      <c r="F98" s="227"/>
      <c r="G98" s="227"/>
      <c r="H98" s="227"/>
      <c r="I98" s="227"/>
      <c r="J98" s="227"/>
      <c r="K98" s="227"/>
      <c r="L98" s="227"/>
      <c r="M98" s="227"/>
      <c r="N98" s="227"/>
      <c r="O98" s="227"/>
      <c r="P98" s="227"/>
      <c r="Q98" s="227"/>
      <c r="R98" s="227"/>
      <c r="S98" s="227"/>
    </row>
    <row r="99" spans="1:19" ht="18">
      <c r="A99" s="227"/>
      <c r="B99" s="227"/>
      <c r="C99" s="227"/>
      <c r="D99" s="227"/>
      <c r="E99" s="227"/>
      <c r="F99" s="227"/>
      <c r="G99" s="227"/>
      <c r="H99" s="227"/>
      <c r="I99" s="227"/>
      <c r="J99" s="227"/>
      <c r="K99" s="227"/>
      <c r="L99" s="227"/>
      <c r="M99" s="227"/>
      <c r="N99" s="227"/>
      <c r="O99" s="227"/>
      <c r="P99" s="227"/>
      <c r="Q99" s="227"/>
      <c r="R99" s="227"/>
      <c r="S99" s="227"/>
    </row>
    <row r="100" spans="1:19" ht="18">
      <c r="A100" s="227"/>
      <c r="B100" s="227"/>
      <c r="C100" s="227"/>
      <c r="D100" s="227"/>
      <c r="E100" s="227"/>
      <c r="F100" s="227"/>
      <c r="G100" s="227"/>
      <c r="H100" s="227"/>
      <c r="I100" s="227"/>
      <c r="J100" s="227"/>
      <c r="K100" s="227"/>
      <c r="L100" s="227"/>
      <c r="M100" s="227"/>
      <c r="N100" s="227"/>
      <c r="O100" s="227"/>
      <c r="P100" s="227"/>
      <c r="Q100" s="227"/>
      <c r="R100" s="227"/>
      <c r="S100" s="227"/>
    </row>
    <row r="101" spans="1:19" ht="18">
      <c r="A101" s="227"/>
      <c r="B101" s="227"/>
      <c r="C101" s="227"/>
      <c r="D101" s="227"/>
      <c r="E101" s="227"/>
      <c r="F101" s="227"/>
      <c r="G101" s="227"/>
      <c r="H101" s="227"/>
      <c r="I101" s="227"/>
      <c r="J101" s="227"/>
      <c r="K101" s="227"/>
      <c r="L101" s="227"/>
      <c r="M101" s="227"/>
      <c r="N101" s="227"/>
      <c r="O101" s="227"/>
      <c r="P101" s="227"/>
      <c r="Q101" s="227"/>
      <c r="R101" s="227"/>
      <c r="S101" s="227"/>
    </row>
    <row r="102" spans="1:19" ht="9.75" customHeight="1">
      <c r="A102" s="227"/>
      <c r="B102" s="227"/>
      <c r="C102" s="227"/>
      <c r="D102" s="227"/>
      <c r="E102" s="227"/>
      <c r="F102" s="227"/>
      <c r="G102" s="227"/>
      <c r="H102" s="227"/>
      <c r="I102" s="227"/>
      <c r="J102" s="227"/>
      <c r="K102" s="227"/>
      <c r="L102" s="227"/>
      <c r="M102" s="227"/>
      <c r="N102" s="227"/>
      <c r="O102" s="227"/>
      <c r="P102" s="227"/>
      <c r="Q102" s="227"/>
      <c r="R102" s="227"/>
      <c r="S102" s="227"/>
    </row>
    <row r="103" spans="1:19" ht="18">
      <c r="A103" s="1031"/>
      <c r="B103" s="227"/>
      <c r="C103" s="227"/>
      <c r="D103" s="227"/>
      <c r="E103" s="227"/>
      <c r="F103" s="227"/>
      <c r="G103" s="227"/>
      <c r="H103" s="227"/>
      <c r="I103" s="227"/>
      <c r="J103" s="227"/>
      <c r="K103" s="227"/>
      <c r="L103" s="227"/>
      <c r="M103" s="227"/>
      <c r="N103" s="227"/>
      <c r="O103" s="227"/>
      <c r="P103" s="227"/>
      <c r="Q103" s="227"/>
      <c r="R103" s="227"/>
      <c r="S103" s="227"/>
    </row>
    <row r="104" spans="1:19" ht="18">
      <c r="A104" s="152"/>
      <c r="B104" s="227"/>
      <c r="C104" s="227"/>
      <c r="D104" s="227"/>
      <c r="E104" s="227"/>
      <c r="F104" s="227"/>
      <c r="G104" s="227"/>
      <c r="H104" s="227"/>
      <c r="I104" s="227"/>
      <c r="J104" s="227"/>
      <c r="K104" s="227"/>
      <c r="L104" s="227"/>
      <c r="M104" s="227"/>
      <c r="N104" s="227"/>
      <c r="O104" s="227"/>
      <c r="P104" s="227"/>
      <c r="Q104" s="227"/>
      <c r="R104" s="227"/>
      <c r="S104" s="227"/>
    </row>
    <row r="105" spans="1:19" ht="10.15" customHeight="1">
      <c r="A105" s="227"/>
      <c r="B105" s="227"/>
      <c r="C105" s="227"/>
      <c r="D105" s="227"/>
      <c r="E105" s="227"/>
      <c r="F105" s="227"/>
      <c r="G105" s="227"/>
      <c r="H105" s="227"/>
      <c r="I105" s="227"/>
      <c r="J105" s="227"/>
      <c r="K105" s="227"/>
      <c r="L105" s="227"/>
      <c r="M105" s="227"/>
      <c r="N105" s="227"/>
      <c r="O105" s="227"/>
      <c r="P105" s="227"/>
      <c r="Q105" s="227"/>
      <c r="R105" s="227"/>
      <c r="S105" s="227"/>
    </row>
    <row r="106" spans="1:19" ht="17.649999999999999" customHeight="1">
      <c r="A106" s="1031"/>
      <c r="B106" s="227"/>
      <c r="C106" s="227"/>
      <c r="D106" s="227"/>
      <c r="E106" s="227"/>
      <c r="F106" s="227"/>
      <c r="G106" s="227"/>
      <c r="H106" s="227"/>
      <c r="I106" s="227"/>
      <c r="J106" s="227"/>
      <c r="K106" s="227"/>
      <c r="L106" s="227"/>
      <c r="M106" s="227"/>
      <c r="N106" s="227"/>
      <c r="O106" s="227"/>
      <c r="P106" s="227"/>
      <c r="Q106" s="227"/>
      <c r="R106" s="227"/>
      <c r="S106" s="227"/>
    </row>
    <row r="107" spans="1:19" ht="17.649999999999999" customHeight="1">
      <c r="A107" s="227"/>
      <c r="B107" s="227"/>
      <c r="C107" s="227"/>
      <c r="D107" s="227"/>
      <c r="E107" s="227"/>
      <c r="F107" s="227"/>
      <c r="G107" s="227"/>
      <c r="H107" s="227"/>
      <c r="I107" s="227"/>
      <c r="J107" s="227"/>
      <c r="K107" s="227"/>
      <c r="L107" s="227"/>
      <c r="M107" s="227"/>
      <c r="N107" s="227"/>
      <c r="O107" s="227"/>
      <c r="P107" s="227"/>
      <c r="Q107" s="227"/>
      <c r="R107" s="227"/>
      <c r="S107" s="227"/>
    </row>
    <row r="108" spans="1:19" ht="18">
      <c r="A108" s="227"/>
      <c r="B108" s="227"/>
      <c r="C108" s="227"/>
      <c r="D108" s="227"/>
      <c r="E108" s="227"/>
      <c r="F108" s="227"/>
      <c r="G108" s="227"/>
      <c r="H108" s="227"/>
      <c r="I108" s="227"/>
      <c r="J108" s="227"/>
      <c r="K108" s="227"/>
      <c r="L108" s="227"/>
      <c r="M108" s="227"/>
      <c r="N108" s="227"/>
      <c r="O108" s="227"/>
      <c r="P108" s="227"/>
      <c r="Q108" s="227"/>
      <c r="R108" s="227"/>
      <c r="S108" s="227"/>
    </row>
    <row r="109" spans="1:19" ht="18">
      <c r="A109" s="152"/>
      <c r="B109" s="227"/>
      <c r="C109" s="227"/>
      <c r="D109" s="227"/>
      <c r="E109" s="227"/>
      <c r="F109" s="227"/>
      <c r="G109" s="227"/>
      <c r="H109" s="227"/>
      <c r="I109" s="227"/>
      <c r="J109" s="227"/>
      <c r="K109" s="227"/>
      <c r="L109" s="227"/>
      <c r="M109" s="227"/>
      <c r="N109" s="227"/>
      <c r="O109" s="227"/>
      <c r="P109" s="227"/>
      <c r="Q109" s="227"/>
      <c r="R109" s="227"/>
      <c r="S109" s="227"/>
    </row>
    <row r="110" spans="1:19" ht="18">
      <c r="A110" s="227"/>
      <c r="B110" s="227"/>
      <c r="C110" s="227"/>
      <c r="D110" s="227"/>
      <c r="E110" s="227"/>
      <c r="F110" s="227"/>
      <c r="G110" s="227"/>
      <c r="H110" s="227"/>
      <c r="I110" s="227"/>
      <c r="J110" s="227"/>
      <c r="K110" s="227"/>
      <c r="L110" s="227"/>
      <c r="M110" s="227"/>
      <c r="N110" s="227"/>
      <c r="O110" s="227"/>
      <c r="P110" s="227"/>
      <c r="Q110" s="227"/>
      <c r="R110" s="227"/>
      <c r="S110" s="227"/>
    </row>
    <row r="111" spans="1:19" ht="10.15" customHeight="1">
      <c r="A111" s="227"/>
      <c r="B111" s="227"/>
      <c r="C111" s="227"/>
      <c r="D111" s="227"/>
      <c r="E111" s="227"/>
      <c r="F111" s="227"/>
      <c r="G111" s="227"/>
      <c r="H111" s="227"/>
      <c r="I111" s="227"/>
      <c r="J111" s="227"/>
      <c r="K111" s="227"/>
      <c r="L111" s="227"/>
      <c r="M111" s="227"/>
      <c r="N111" s="227"/>
      <c r="O111" s="227"/>
      <c r="P111" s="227"/>
      <c r="Q111" s="227"/>
      <c r="R111" s="227"/>
      <c r="S111" s="227"/>
    </row>
    <row r="112" spans="1:19" ht="10.15" customHeight="1">
      <c r="A112" s="227"/>
      <c r="B112" s="227"/>
      <c r="C112" s="227"/>
      <c r="D112" s="227"/>
      <c r="E112" s="227"/>
      <c r="F112" s="227"/>
      <c r="G112" s="227"/>
      <c r="H112" s="227"/>
      <c r="I112" s="227"/>
      <c r="J112" s="227"/>
      <c r="K112" s="227"/>
      <c r="L112" s="227"/>
      <c r="M112" s="227"/>
      <c r="N112" s="227"/>
      <c r="O112" s="227"/>
      <c r="P112" s="227"/>
      <c r="Q112" s="227"/>
      <c r="R112" s="227"/>
      <c r="S112" s="227"/>
    </row>
    <row r="113" spans="1:19" ht="18">
      <c r="A113" s="152"/>
      <c r="B113" s="227"/>
      <c r="C113" s="227"/>
      <c r="D113" s="227"/>
      <c r="E113" s="227"/>
      <c r="F113" s="227"/>
      <c r="H113" s="1971"/>
      <c r="I113" s="1972"/>
      <c r="J113" s="1972"/>
      <c r="K113" s="1972"/>
      <c r="L113" s="1972"/>
      <c r="M113" s="1972"/>
      <c r="N113" s="1972"/>
      <c r="O113" s="1972"/>
      <c r="P113" s="1972"/>
      <c r="Q113" s="1972"/>
      <c r="R113" s="1972"/>
    </row>
    <row r="114" spans="1:19" ht="18">
      <c r="B114" s="227"/>
      <c r="C114" s="227"/>
      <c r="D114" s="227"/>
      <c r="E114" s="227"/>
      <c r="F114" s="227"/>
      <c r="G114" s="227"/>
      <c r="H114" s="227"/>
      <c r="I114" s="227"/>
      <c r="J114" s="227"/>
      <c r="K114" s="227"/>
      <c r="L114" s="227"/>
      <c r="M114" s="227"/>
      <c r="N114" s="227"/>
      <c r="O114" s="227"/>
      <c r="P114" s="227"/>
      <c r="Q114" s="227"/>
      <c r="R114" s="227"/>
      <c r="S114" s="227"/>
    </row>
    <row r="124" spans="1:19" ht="18">
      <c r="A124" s="1031"/>
    </row>
    <row r="125" spans="1:19" ht="18">
      <c r="A125" s="152"/>
    </row>
    <row r="126" spans="1:19" ht="18">
      <c r="A126" s="227"/>
    </row>
    <row r="127" spans="1:19" ht="18">
      <c r="A127" s="1031"/>
    </row>
    <row r="128" spans="1:19" ht="18">
      <c r="A128" s="227"/>
    </row>
    <row r="129" spans="1:1" ht="18">
      <c r="A129" s="227"/>
    </row>
  </sheetData>
  <sheetProtection algorithmName="SHA-512" hashValue="MsRWmA0ijVLYk/Fzw+MaaMS1yTGZEzYh8WmBLweC3ICjT5nPKIcurj59GX2bivdnitBNNQ1SAHPu4hjr60yg3w==" saltValue="d5MbqY6S+f9eb/5f5ATE7g==" spinCount="100000" sheet="1" objects="1" scenarios="1"/>
  <mergeCells count="34">
    <mergeCell ref="B32:N32"/>
    <mergeCell ref="O32:R34"/>
    <mergeCell ref="T32:T34"/>
    <mergeCell ref="H113:R113"/>
    <mergeCell ref="B33:N34"/>
    <mergeCell ref="B36:N36"/>
    <mergeCell ref="O36:R39"/>
    <mergeCell ref="T36:T39"/>
    <mergeCell ref="B37:N38"/>
    <mergeCell ref="B41:N41"/>
    <mergeCell ref="O41:R44"/>
    <mergeCell ref="T41:T44"/>
    <mergeCell ref="B42:N43"/>
    <mergeCell ref="B25:S25"/>
    <mergeCell ref="B26:G26"/>
    <mergeCell ref="B27:R27"/>
    <mergeCell ref="B30:L30"/>
    <mergeCell ref="O30:R30"/>
    <mergeCell ref="B19:R19"/>
    <mergeCell ref="B20:S20"/>
    <mergeCell ref="B21:T21"/>
    <mergeCell ref="B22:I22"/>
    <mergeCell ref="B23:R24"/>
    <mergeCell ref="B12:O12"/>
    <mergeCell ref="B13:R13"/>
    <mergeCell ref="Q15:R16"/>
    <mergeCell ref="B16:P16"/>
    <mergeCell ref="B18:G18"/>
    <mergeCell ref="B9:E9"/>
    <mergeCell ref="B10:Q10"/>
    <mergeCell ref="A6:E6"/>
    <mergeCell ref="A7:E7"/>
    <mergeCell ref="G6:I6"/>
    <mergeCell ref="G7:H7"/>
  </mergeCells>
  <hyperlinks>
    <hyperlink ref="B7:E7" location="' LEDs &amp; Controls'!A14" display="HID to LED Screw-in replacement lamps" xr:uid="{251276D4-48E4-4E94-B82E-1305FF9D8B66}"/>
    <hyperlink ref="B6:E6" location="' LEDs &amp; Controls'!A13" display="Screw-in or pin-base LEDs" xr:uid="{ECF96ABE-206A-488B-B658-87D55510E56C}"/>
    <hyperlink ref="G6" location="' LEDs &amp; Controls'!A22" display="LED Hardwired Conversion/LED Level 1 Retrofit Kit" xr:uid="{C61A1D64-0465-4295-B9E7-E7EAD37E3F1F}"/>
    <hyperlink ref="J6" location="LEDs!A28" display="LED Level 2 Integrated Retrofit Kit" xr:uid="{ADDA5FD4-5188-406C-A3CB-F2972CD80C56}"/>
    <hyperlink ref="A6" location="' LEDs &amp; Controls'!A20" display="Single Control Strategy" xr:uid="{72170157-EBE7-481B-A9DD-4F04C6B5EF6E}"/>
    <hyperlink ref="A6:E6" location="LEDs!A10" display="Pin-base LEDs" xr:uid="{F89DCDCA-99C7-4E42-BDDC-1F3E65FE9901}"/>
    <hyperlink ref="A7:E7" location="LEDs!A18" display="HID to LED Screw-in replacement lamps" xr:uid="{B5BE04D0-FC38-40CC-B978-D78A1B36091A}"/>
    <hyperlink ref="G6:I6" location="LEDs!A26" display="New LED Fixture" xr:uid="{CB8406CA-D681-4915-BFB4-E14EC23F6E54}"/>
    <hyperlink ref="J7" location="LEDs!A40" display="LED Level 1 Basic Retrofit Kit" xr:uid="{454DFC48-EC82-4701-8A4A-5B1282D16558}"/>
    <hyperlink ref="G7:H7" location="LEDs!A22" display="LED Tubes" xr:uid="{711E25EF-CA46-4C59-A2EC-557857AE9679}"/>
  </hyperlinks>
  <printOptions horizontalCentered="1"/>
  <pageMargins left="0.28000000000000003" right="0.1" top="0.25" bottom="0.25" header="0.3" footer="0.3"/>
  <pageSetup scale="51" fitToHeight="0" orientation="portrait" horizontalDpi="4294967293" verticalDpi="4294967293" r:id="rId1"/>
  <headerFooter>
    <oddFooter xml:space="preserve">&amp;L© 9/5/2023 Idaho Power&amp;C&amp;P
</oddFooter>
  </headerFooter>
  <rowBreaks count="1" manualBreakCount="1">
    <brk id="39" min="1" max="19" man="1"/>
  </rowBreaks>
  <colBreaks count="2" manualBreakCount="2">
    <brk id="8" max="1048575" man="1"/>
    <brk id="1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82762-4A6E-4F82-BB4F-6D3F480E2A63}">
  <sheetPr codeName="Sheet18">
    <tabColor theme="8" tint="0.59999389629810485"/>
  </sheetPr>
  <dimension ref="A1:AB119"/>
  <sheetViews>
    <sheetView showGridLines="0" workbookViewId="0">
      <selection activeCell="T18" sqref="T18"/>
    </sheetView>
  </sheetViews>
  <sheetFormatPr defaultRowHeight="15"/>
  <cols>
    <col min="1" max="2" width="1.85546875" customWidth="1"/>
    <col min="3" max="3" width="8.7109375" customWidth="1"/>
    <col min="5" max="5" width="9.7109375" customWidth="1"/>
    <col min="6" max="6" width="10.7109375" customWidth="1"/>
    <col min="7" max="7" width="4" customWidth="1"/>
    <col min="8" max="8" width="5.42578125" customWidth="1"/>
    <col min="9" max="9" width="7.7109375" customWidth="1"/>
    <col min="12" max="12" width="12.85546875" customWidth="1"/>
    <col min="13" max="13" width="5.28515625" customWidth="1"/>
    <col min="14" max="14" width="12.85546875" customWidth="1"/>
    <col min="15" max="15" width="7" customWidth="1"/>
    <col min="16" max="16" width="11.42578125" customWidth="1"/>
    <col min="17" max="17" width="12.85546875" customWidth="1"/>
    <col min="18" max="18" width="11" customWidth="1"/>
    <col min="19" max="19" width="15" customWidth="1"/>
    <col min="20" max="20" width="20.28515625" customWidth="1"/>
    <col min="21" max="21" width="5.85546875" customWidth="1"/>
  </cols>
  <sheetData>
    <row r="1" spans="1:21" ht="30">
      <c r="A1" s="1059" t="s">
        <v>1878</v>
      </c>
      <c r="C1" s="6"/>
      <c r="D1" s="6"/>
      <c r="E1" s="6"/>
    </row>
    <row r="2" spans="1:21" ht="22.5" customHeight="1">
      <c r="A2" s="227" t="s">
        <v>1915</v>
      </c>
      <c r="C2" s="6"/>
      <c r="D2" s="6"/>
      <c r="E2" s="6"/>
    </row>
    <row r="3" spans="1:21" ht="22.5" customHeight="1">
      <c r="A3" s="29" t="s">
        <v>1969</v>
      </c>
      <c r="B3" s="964"/>
      <c r="C3" s="6"/>
      <c r="D3" s="6"/>
      <c r="E3" s="6"/>
    </row>
    <row r="4" spans="1:21" ht="22.5" customHeight="1">
      <c r="A4" s="1585" t="s">
        <v>1963</v>
      </c>
      <c r="B4" s="964"/>
      <c r="C4" s="6"/>
      <c r="D4" s="6"/>
      <c r="E4" s="6"/>
    </row>
    <row r="5" spans="1:21" ht="22.5" customHeight="1">
      <c r="A5" s="29" t="s">
        <v>1914</v>
      </c>
      <c r="B5" s="964"/>
      <c r="C5" s="6"/>
      <c r="D5" s="6"/>
      <c r="E5" s="6"/>
    </row>
    <row r="6" spans="1:21" ht="22.5" customHeight="1">
      <c r="A6" s="29" t="s">
        <v>1916</v>
      </c>
      <c r="B6" s="964"/>
      <c r="C6" s="6"/>
      <c r="D6" s="6"/>
      <c r="E6" s="6"/>
    </row>
    <row r="7" spans="1:21" ht="22.5" customHeight="1">
      <c r="A7" s="227" t="s">
        <v>1917</v>
      </c>
    </row>
    <row r="8" spans="1:21" ht="39" customHeight="1">
      <c r="B8" s="1369" t="s">
        <v>1912</v>
      </c>
      <c r="C8" s="227"/>
      <c r="D8" s="227"/>
      <c r="E8" s="227"/>
      <c r="F8" s="227"/>
      <c r="G8" s="227"/>
      <c r="H8" s="227"/>
      <c r="I8" s="1952" t="s">
        <v>1964</v>
      </c>
      <c r="J8" s="1952"/>
      <c r="K8" s="1952"/>
      <c r="L8" s="1952"/>
      <c r="M8" s="227"/>
      <c r="N8" s="227"/>
      <c r="O8" s="227"/>
      <c r="P8" s="227"/>
      <c r="Q8" s="227"/>
      <c r="R8" s="227"/>
      <c r="S8" s="227"/>
      <c r="T8" s="227"/>
    </row>
    <row r="9" spans="1:21" ht="5.25" customHeight="1">
      <c r="B9" s="1369"/>
      <c r="C9" s="227"/>
      <c r="D9" s="227"/>
      <c r="E9" s="227"/>
      <c r="F9" s="227"/>
      <c r="G9" s="227"/>
      <c r="H9" s="227"/>
      <c r="I9" s="227"/>
      <c r="J9" s="227"/>
      <c r="K9" s="227"/>
      <c r="L9" s="227"/>
      <c r="M9" s="227"/>
      <c r="N9" s="227"/>
      <c r="O9" s="227"/>
      <c r="P9" s="227"/>
      <c r="Q9" s="227"/>
      <c r="R9" s="227"/>
      <c r="S9" s="227"/>
      <c r="T9" s="227"/>
    </row>
    <row r="10" spans="1:21" ht="21" customHeight="1">
      <c r="A10" s="1030" t="s">
        <v>0</v>
      </c>
      <c r="B10" s="1368" t="s">
        <v>1572</v>
      </c>
      <c r="C10" s="1364"/>
      <c r="D10" s="1364"/>
      <c r="E10" s="1364"/>
      <c r="F10" s="1364"/>
      <c r="G10" s="1364"/>
      <c r="H10" s="1364"/>
      <c r="I10" s="1364"/>
      <c r="J10" s="1364"/>
      <c r="K10" s="1364"/>
      <c r="L10" s="1364"/>
      <c r="M10" s="1364"/>
      <c r="N10" s="1364"/>
      <c r="O10" s="1364"/>
      <c r="P10" s="1364"/>
      <c r="Q10" s="1364"/>
      <c r="R10" s="1364"/>
      <c r="S10" s="1364"/>
      <c r="T10" s="1363"/>
      <c r="U10" s="1366"/>
    </row>
    <row r="11" spans="1:21" ht="21.75" customHeight="1">
      <c r="A11" s="1030"/>
      <c r="B11" s="1497" t="s">
        <v>1918</v>
      </c>
      <c r="C11" s="764"/>
      <c r="D11" s="227"/>
      <c r="E11" s="227"/>
      <c r="F11" s="227"/>
      <c r="G11" s="227"/>
      <c r="H11" s="227"/>
      <c r="I11" s="227"/>
      <c r="J11" s="227"/>
      <c r="K11" s="227"/>
      <c r="L11" s="227"/>
      <c r="M11" s="227"/>
      <c r="N11" s="227"/>
      <c r="O11" s="227"/>
      <c r="P11" s="227"/>
      <c r="Q11" s="227"/>
      <c r="R11" s="227"/>
      <c r="S11" s="227"/>
      <c r="U11" s="994"/>
    </row>
    <row r="12" spans="1:21" ht="21" customHeight="1">
      <c r="A12" s="1527" t="s">
        <v>0</v>
      </c>
      <c r="B12" s="1496" t="s">
        <v>1939</v>
      </c>
      <c r="C12" s="227"/>
      <c r="D12" s="227"/>
      <c r="E12" s="227"/>
      <c r="F12" s="227"/>
      <c r="G12" s="227"/>
      <c r="H12" s="227"/>
      <c r="I12" s="227"/>
      <c r="J12" s="227"/>
      <c r="K12" s="227"/>
      <c r="L12" s="227"/>
      <c r="M12" s="227"/>
      <c r="N12" s="227"/>
      <c r="O12" s="227"/>
      <c r="P12" s="227"/>
      <c r="Q12" s="227"/>
      <c r="R12" s="227"/>
      <c r="U12" s="994"/>
    </row>
    <row r="13" spans="1:21" ht="22.5" customHeight="1">
      <c r="A13" s="1527"/>
      <c r="B13" s="1496" t="s">
        <v>1919</v>
      </c>
      <c r="C13" s="227"/>
      <c r="D13" s="227"/>
      <c r="E13" s="227"/>
      <c r="F13" s="227"/>
      <c r="G13" s="227"/>
      <c r="H13" s="227"/>
      <c r="I13" s="227"/>
      <c r="J13" s="227"/>
      <c r="K13" s="227"/>
      <c r="L13" s="227"/>
      <c r="M13" s="227"/>
      <c r="N13" s="227"/>
      <c r="O13" s="227"/>
      <c r="P13" s="227"/>
      <c r="Q13" s="227"/>
      <c r="R13" s="227"/>
      <c r="U13" s="994"/>
    </row>
    <row r="14" spans="1:21" ht="21" customHeight="1">
      <c r="A14" s="1527"/>
      <c r="B14" s="1545" t="s">
        <v>1920</v>
      </c>
      <c r="C14" s="227"/>
      <c r="D14" s="227"/>
      <c r="E14" s="227"/>
      <c r="F14" s="227"/>
      <c r="G14" s="227"/>
      <c r="H14" s="227"/>
      <c r="I14" s="227"/>
      <c r="J14" s="227"/>
      <c r="K14" s="227"/>
      <c r="L14" s="227"/>
      <c r="M14" s="227"/>
      <c r="N14" s="227"/>
      <c r="O14" s="227"/>
      <c r="P14" s="227"/>
      <c r="Q14" s="227"/>
      <c r="R14" s="227"/>
      <c r="U14" s="994"/>
    </row>
    <row r="15" spans="1:21" ht="32.25" customHeight="1">
      <c r="A15" s="1527"/>
      <c r="B15" s="1545" t="s">
        <v>1921</v>
      </c>
      <c r="C15" s="227"/>
      <c r="D15" s="227"/>
      <c r="E15" s="227"/>
      <c r="F15" s="227"/>
      <c r="G15" s="227"/>
      <c r="H15" s="227"/>
      <c r="I15" s="227"/>
      <c r="J15" s="227"/>
      <c r="K15" s="227"/>
      <c r="L15" s="227"/>
      <c r="M15" s="227"/>
      <c r="N15" s="227"/>
      <c r="O15" s="227"/>
      <c r="P15" s="227"/>
      <c r="Q15" s="227"/>
      <c r="R15" s="227"/>
      <c r="U15" s="994"/>
    </row>
    <row r="16" spans="1:21" ht="25.5" customHeight="1">
      <c r="A16" s="1527"/>
      <c r="B16" s="1579" t="s">
        <v>1913</v>
      </c>
      <c r="C16" s="152"/>
      <c r="D16" s="227"/>
      <c r="E16" s="227"/>
      <c r="F16" s="227"/>
      <c r="G16" s="227"/>
      <c r="H16" s="227"/>
      <c r="I16" s="227"/>
      <c r="J16" s="227"/>
      <c r="K16" s="227"/>
      <c r="L16" s="227"/>
      <c r="M16" s="227"/>
      <c r="N16" s="227"/>
      <c r="O16" s="227"/>
      <c r="P16" s="227"/>
      <c r="Q16" s="227"/>
      <c r="R16" s="227"/>
      <c r="U16" s="994"/>
    </row>
    <row r="17" spans="1:28" ht="21" customHeight="1">
      <c r="A17" s="1527"/>
      <c r="B17" s="1545"/>
      <c r="C17" s="1562" t="s">
        <v>483</v>
      </c>
      <c r="D17" s="1563"/>
      <c r="E17" s="1563"/>
      <c r="F17" s="1563"/>
      <c r="G17" s="1562" t="s">
        <v>273</v>
      </c>
      <c r="H17" s="1563"/>
      <c r="I17" s="1530"/>
      <c r="J17" s="1563"/>
      <c r="K17" s="1558"/>
      <c r="L17" s="1561"/>
      <c r="M17" s="227"/>
      <c r="N17" s="227"/>
      <c r="O17" s="227"/>
      <c r="P17" s="227"/>
      <c r="Q17" s="227"/>
      <c r="R17" s="227"/>
      <c r="U17" s="994"/>
    </row>
    <row r="18" spans="1:28" ht="21" customHeight="1">
      <c r="A18" s="1527"/>
      <c r="B18" s="1545"/>
      <c r="C18" s="1559" t="s">
        <v>1940</v>
      </c>
      <c r="D18" s="1558"/>
      <c r="E18" s="1558"/>
      <c r="F18" s="1558"/>
      <c r="G18" s="1559" t="s">
        <v>1924</v>
      </c>
      <c r="H18" s="1364"/>
      <c r="J18" s="1558"/>
      <c r="K18" s="1558"/>
      <c r="L18" s="1561"/>
      <c r="M18" s="227"/>
      <c r="N18" s="227"/>
      <c r="O18" s="227"/>
      <c r="P18" s="227"/>
      <c r="Q18" s="227"/>
      <c r="R18" s="227"/>
      <c r="U18" s="994"/>
    </row>
    <row r="19" spans="1:28" ht="21" customHeight="1">
      <c r="A19" s="1527"/>
      <c r="B19" s="1545"/>
      <c r="C19" s="1560" t="s">
        <v>1941</v>
      </c>
      <c r="D19" s="1558"/>
      <c r="E19" s="1558"/>
      <c r="F19" s="1561"/>
      <c r="G19" s="1558"/>
      <c r="H19" s="1558"/>
      <c r="I19" s="1558"/>
      <c r="J19" s="1558"/>
      <c r="K19" s="1558"/>
      <c r="L19" s="1561"/>
      <c r="M19" s="227"/>
      <c r="N19" s="227"/>
      <c r="O19" s="227"/>
      <c r="P19" s="227"/>
      <c r="Q19" s="227"/>
      <c r="R19" s="227"/>
      <c r="U19" s="994"/>
    </row>
    <row r="20" spans="1:28" ht="10.5" customHeight="1">
      <c r="A20" s="1527"/>
      <c r="B20" s="1545"/>
      <c r="C20" s="227"/>
      <c r="D20" s="227"/>
      <c r="E20" s="227"/>
      <c r="F20" s="227"/>
      <c r="G20" s="227"/>
      <c r="H20" s="227"/>
      <c r="I20" s="227"/>
      <c r="J20" s="227"/>
      <c r="K20" s="227"/>
      <c r="L20" s="227"/>
      <c r="M20" s="227"/>
      <c r="N20" s="227"/>
      <c r="O20" s="227"/>
      <c r="P20" s="227"/>
      <c r="Q20" s="227"/>
      <c r="R20" s="227"/>
      <c r="U20" s="994"/>
    </row>
    <row r="21" spans="1:28" ht="21.75" customHeight="1">
      <c r="B21" s="1367" t="s">
        <v>1535</v>
      </c>
      <c r="C21" s="1364"/>
      <c r="D21" s="1364"/>
      <c r="E21" s="1364"/>
      <c r="F21" s="1364"/>
      <c r="G21" s="1364"/>
      <c r="H21" s="1364"/>
      <c r="I21" s="1364"/>
      <c r="J21" s="1364"/>
      <c r="K21" s="1364"/>
      <c r="L21" s="1364"/>
      <c r="M21" s="1364"/>
      <c r="N21" s="1364"/>
      <c r="O21" s="1364"/>
      <c r="P21" s="1364"/>
      <c r="Q21" s="1364"/>
      <c r="R21" s="1364"/>
      <c r="S21" s="1364"/>
      <c r="T21" s="1364"/>
      <c r="U21" s="1366"/>
    </row>
    <row r="22" spans="1:28" ht="21" customHeight="1">
      <c r="B22" s="1496" t="s">
        <v>1974</v>
      </c>
      <c r="C22" s="227"/>
      <c r="D22" s="227"/>
      <c r="E22" s="227"/>
      <c r="F22" s="227"/>
      <c r="G22" s="227"/>
      <c r="H22" s="227"/>
      <c r="I22" s="227"/>
      <c r="J22" s="227"/>
      <c r="K22" s="227"/>
      <c r="L22" s="227"/>
      <c r="M22" s="227"/>
      <c r="N22" s="227"/>
      <c r="O22" s="227"/>
      <c r="P22" s="227"/>
      <c r="Q22" s="227"/>
      <c r="R22" s="227"/>
      <c r="S22" s="227"/>
      <c r="T22" s="227"/>
      <c r="U22" s="994"/>
    </row>
    <row r="23" spans="1:28" ht="21" customHeight="1">
      <c r="B23" s="1496" t="s">
        <v>1922</v>
      </c>
      <c r="C23" s="227"/>
      <c r="D23" s="227"/>
      <c r="E23" s="227"/>
      <c r="F23" s="227"/>
      <c r="G23" s="227"/>
      <c r="H23" s="227"/>
      <c r="I23" s="227"/>
      <c r="J23" s="227"/>
      <c r="K23" s="227"/>
      <c r="L23" s="227"/>
      <c r="M23" s="227"/>
      <c r="N23" s="227"/>
      <c r="O23" s="227"/>
      <c r="P23" s="227"/>
      <c r="Q23" s="227"/>
      <c r="R23" s="227"/>
      <c r="S23" s="227"/>
      <c r="T23" s="227"/>
      <c r="U23" s="994"/>
    </row>
    <row r="24" spans="1:28" ht="21" customHeight="1">
      <c r="B24" s="1496" t="s">
        <v>1919</v>
      </c>
      <c r="C24" s="227"/>
      <c r="D24" s="227"/>
      <c r="E24" s="227"/>
      <c r="F24" s="227"/>
      <c r="G24" s="227"/>
      <c r="H24" s="227"/>
      <c r="I24" s="227"/>
      <c r="J24" s="227"/>
      <c r="K24" s="227"/>
      <c r="L24" s="227"/>
      <c r="M24" s="227"/>
      <c r="N24" s="227"/>
      <c r="O24" s="227"/>
      <c r="P24" s="227"/>
      <c r="Q24" s="227"/>
      <c r="R24" s="227"/>
      <c r="S24" s="227"/>
      <c r="U24" s="994"/>
    </row>
    <row r="25" spans="1:28" ht="21" customHeight="1">
      <c r="B25" s="1496" t="s">
        <v>1920</v>
      </c>
      <c r="C25" s="227"/>
      <c r="D25" s="227"/>
      <c r="E25" s="227"/>
      <c r="F25" s="227"/>
      <c r="G25" s="227"/>
      <c r="H25" s="227"/>
      <c r="I25" s="227"/>
      <c r="J25" s="227"/>
      <c r="K25" s="227"/>
      <c r="L25" s="227"/>
      <c r="M25" s="227"/>
      <c r="N25" s="227"/>
      <c r="O25" s="227"/>
      <c r="P25" s="227"/>
      <c r="Q25" s="227"/>
      <c r="R25" s="227"/>
      <c r="S25" s="227"/>
      <c r="U25" s="994"/>
    </row>
    <row r="26" spans="1:28" ht="21" customHeight="1">
      <c r="B26" s="1496" t="s">
        <v>1921</v>
      </c>
      <c r="C26" s="227"/>
      <c r="D26" s="227"/>
      <c r="E26" s="227"/>
      <c r="F26" s="227"/>
      <c r="G26" s="227"/>
      <c r="H26" s="227"/>
      <c r="I26" s="227"/>
      <c r="J26" s="227"/>
      <c r="K26" s="227"/>
      <c r="L26" s="227"/>
      <c r="M26" s="227"/>
      <c r="N26" s="227"/>
      <c r="O26" s="227"/>
      <c r="P26" s="227"/>
      <c r="Q26" s="227"/>
      <c r="R26" s="227"/>
      <c r="S26" s="227"/>
      <c r="U26" s="994"/>
    </row>
    <row r="27" spans="1:28" ht="21" customHeight="1">
      <c r="B27" s="1496" t="s">
        <v>1966</v>
      </c>
      <c r="C27" s="227"/>
      <c r="D27" s="227"/>
      <c r="E27" s="227"/>
      <c r="F27" s="227"/>
      <c r="G27" s="227"/>
      <c r="H27" s="227"/>
      <c r="I27" s="227"/>
      <c r="J27" s="227"/>
      <c r="K27" s="227"/>
      <c r="L27" s="227"/>
      <c r="M27" s="227"/>
      <c r="N27" s="227"/>
      <c r="O27" s="227"/>
      <c r="P27" s="227"/>
      <c r="Q27" s="227"/>
      <c r="R27" s="227"/>
      <c r="S27" s="227"/>
      <c r="U27" s="994"/>
    </row>
    <row r="28" spans="1:28" ht="36" customHeight="1">
      <c r="B28" s="1579" t="s">
        <v>1970</v>
      </c>
      <c r="C28" s="764"/>
      <c r="D28" s="227"/>
      <c r="E28" s="227"/>
      <c r="F28" s="227"/>
      <c r="G28" s="227"/>
      <c r="H28" s="227"/>
      <c r="I28" s="227"/>
      <c r="J28" s="227"/>
      <c r="K28" s="227"/>
      <c r="L28" s="227"/>
      <c r="M28" s="227"/>
      <c r="N28" s="227"/>
      <c r="O28" s="227"/>
      <c r="P28" s="227"/>
      <c r="Q28" s="227"/>
      <c r="R28" s="227"/>
      <c r="S28" s="227"/>
      <c r="U28" s="994"/>
    </row>
    <row r="29" spans="1:28" ht="21" customHeight="1">
      <c r="B29" s="1033"/>
      <c r="C29" s="1367" t="s">
        <v>483</v>
      </c>
      <c r="D29" s="1556"/>
      <c r="E29" s="1556"/>
      <c r="F29" s="1556"/>
      <c r="G29" s="1556"/>
      <c r="H29" s="1556"/>
      <c r="I29" s="1556"/>
      <c r="J29" s="1556"/>
      <c r="K29" s="1364"/>
      <c r="L29" s="1364"/>
      <c r="M29" s="1364"/>
      <c r="N29" s="1367" t="s">
        <v>273</v>
      </c>
      <c r="O29" s="1364"/>
      <c r="P29" s="1364"/>
      <c r="Q29" s="1364"/>
      <c r="R29" s="1364"/>
      <c r="S29" s="1558"/>
      <c r="T29" s="1557"/>
      <c r="U29" s="994"/>
    </row>
    <row r="30" spans="1:28" ht="21" customHeight="1">
      <c r="B30" s="1493"/>
      <c r="C30" s="1566" t="s">
        <v>1902</v>
      </c>
      <c r="D30" s="1364"/>
      <c r="E30" s="1364"/>
      <c r="F30" s="1364"/>
      <c r="G30" s="1364"/>
      <c r="H30" s="1364"/>
      <c r="I30" s="1364"/>
      <c r="J30" s="1364"/>
      <c r="K30" s="1364"/>
      <c r="L30" s="1364"/>
      <c r="M30" s="1567"/>
      <c r="N30" s="1564" t="s">
        <v>1923</v>
      </c>
      <c r="O30" s="1567"/>
      <c r="P30" s="1567"/>
      <c r="Q30" s="1567"/>
      <c r="R30" s="1567"/>
      <c r="S30" s="1580"/>
      <c r="T30" s="1581"/>
      <c r="U30" s="1494"/>
      <c r="AB30" s="1570"/>
    </row>
    <row r="31" spans="1:28" ht="21" customHeight="1">
      <c r="B31" s="1497"/>
      <c r="C31" s="1565" t="s">
        <v>1903</v>
      </c>
      <c r="D31" s="1558"/>
      <c r="E31" s="1558"/>
      <c r="F31" s="1558"/>
      <c r="G31" s="1558"/>
      <c r="H31" s="1558"/>
      <c r="I31" s="1558"/>
      <c r="J31" s="1558"/>
      <c r="K31" s="1558"/>
      <c r="L31" s="1558"/>
      <c r="M31" s="1558"/>
      <c r="N31" s="1568"/>
      <c r="O31" s="1558"/>
      <c r="P31" s="1558"/>
      <c r="Q31" s="1364"/>
      <c r="R31" s="1558"/>
      <c r="S31" s="1558"/>
      <c r="T31" s="1557"/>
      <c r="U31" s="994"/>
      <c r="AB31" s="1570"/>
    </row>
    <row r="32" spans="1:28" ht="21" customHeight="1">
      <c r="B32" s="1035"/>
      <c r="C32" s="1566" t="s">
        <v>1959</v>
      </c>
      <c r="D32" s="1364"/>
      <c r="E32" s="1364"/>
      <c r="F32" s="1364"/>
      <c r="G32" s="1364"/>
      <c r="H32" s="1364"/>
      <c r="I32" s="1364"/>
      <c r="J32" s="1364"/>
      <c r="K32" s="1364"/>
      <c r="L32" s="1364"/>
      <c r="M32" s="1364"/>
      <c r="N32" s="1564"/>
      <c r="O32" s="1364"/>
      <c r="P32" s="1364"/>
      <c r="Q32" s="1530"/>
      <c r="R32" s="1364"/>
      <c r="S32" s="1558"/>
      <c r="T32" s="1557"/>
      <c r="U32" s="994"/>
      <c r="AB32" s="1570"/>
    </row>
    <row r="33" spans="2:28" ht="21" customHeight="1">
      <c r="B33" s="1035"/>
      <c r="C33" s="1566" t="s">
        <v>1960</v>
      </c>
      <c r="D33" s="1363"/>
      <c r="E33" s="1364"/>
      <c r="F33" s="1364"/>
      <c r="G33" s="1364"/>
      <c r="H33" s="1364"/>
      <c r="I33" s="1364"/>
      <c r="J33" s="1364"/>
      <c r="K33" s="1364"/>
      <c r="L33" s="1364"/>
      <c r="M33" s="1364"/>
      <c r="N33" s="1564"/>
      <c r="O33" s="1364"/>
      <c r="P33" s="1364"/>
      <c r="Q33" s="1364"/>
      <c r="R33" s="1364"/>
      <c r="S33" s="1558"/>
      <c r="T33" s="1557"/>
      <c r="U33" s="994"/>
      <c r="AB33" s="1571"/>
    </row>
    <row r="34" spans="2:28" ht="21" customHeight="1">
      <c r="B34" s="1557"/>
      <c r="C34" s="1565" t="s">
        <v>1958</v>
      </c>
      <c r="D34" s="1558"/>
      <c r="E34" s="1558"/>
      <c r="F34" s="1558"/>
      <c r="G34" s="1558"/>
      <c r="H34" s="1558"/>
      <c r="I34" s="1558"/>
      <c r="J34" s="1558"/>
      <c r="K34" s="1558"/>
      <c r="L34" s="1558"/>
      <c r="M34" s="1558"/>
      <c r="N34" s="1559"/>
      <c r="O34" s="1558"/>
      <c r="P34" s="1558"/>
      <c r="Q34" s="1558"/>
      <c r="R34" s="1558"/>
      <c r="S34" s="1558"/>
      <c r="T34" s="1557"/>
      <c r="U34" s="994"/>
      <c r="AB34" s="1570"/>
    </row>
    <row r="35" spans="2:28" ht="21" hidden="1" customHeight="1">
      <c r="B35" s="1035"/>
      <c r="C35" s="1566"/>
      <c r="D35" s="1363"/>
      <c r="E35" s="1363"/>
      <c r="F35" s="1363"/>
      <c r="G35" s="1363"/>
      <c r="H35" s="1363"/>
      <c r="I35" s="1363"/>
      <c r="J35" s="1363"/>
      <c r="K35" s="1363"/>
      <c r="L35" s="1363"/>
      <c r="M35" s="1364"/>
      <c r="N35" s="1564"/>
      <c r="O35" s="1364"/>
      <c r="P35" s="1364"/>
      <c r="Q35" s="1364"/>
      <c r="R35" s="1364"/>
      <c r="S35" s="1558"/>
      <c r="T35" s="1557"/>
      <c r="U35" s="994"/>
      <c r="AB35" s="1570"/>
    </row>
    <row r="36" spans="2:28" ht="21" hidden="1" customHeight="1">
      <c r="B36" s="1035"/>
      <c r="C36" s="1565"/>
      <c r="D36" s="1530"/>
      <c r="E36" s="1530"/>
      <c r="F36" s="1530"/>
      <c r="G36" s="1530"/>
      <c r="H36" s="1530"/>
      <c r="I36" s="1530"/>
      <c r="J36" s="1530"/>
      <c r="K36" s="1530"/>
      <c r="L36" s="1530"/>
      <c r="M36" s="1558"/>
      <c r="N36" s="1559"/>
      <c r="O36" s="1558"/>
      <c r="P36" s="1558"/>
      <c r="Q36" s="1558"/>
      <c r="R36" s="1558"/>
      <c r="S36" s="1558"/>
      <c r="T36" s="1557"/>
      <c r="U36" s="994"/>
      <c r="AB36" s="1571"/>
    </row>
    <row r="37" spans="2:28" ht="10.5" customHeight="1">
      <c r="B37" s="1036" t="s">
        <v>0</v>
      </c>
      <c r="C37" s="225"/>
      <c r="D37" s="225"/>
      <c r="E37" s="225"/>
      <c r="F37" s="225"/>
      <c r="G37" s="225"/>
      <c r="H37" s="225"/>
      <c r="I37" s="225"/>
      <c r="J37" s="225"/>
      <c r="K37" s="225"/>
      <c r="L37" s="225"/>
      <c r="M37" s="225"/>
      <c r="N37" s="225"/>
      <c r="O37" s="225"/>
      <c r="P37" s="225"/>
      <c r="Q37" s="225"/>
      <c r="R37" s="225"/>
      <c r="S37" s="225"/>
      <c r="T37" s="987"/>
      <c r="U37" s="1009"/>
    </row>
    <row r="38" spans="2:28" ht="21.75" customHeight="1">
      <c r="B38" s="1368" t="s">
        <v>1534</v>
      </c>
      <c r="C38" s="1364"/>
      <c r="D38" s="1364"/>
      <c r="E38" s="1364"/>
      <c r="F38" s="1364"/>
      <c r="G38" s="1364"/>
      <c r="H38" s="1364"/>
      <c r="I38" s="1364"/>
      <c r="J38" s="1364"/>
      <c r="K38" s="1364"/>
      <c r="L38" s="1364"/>
      <c r="M38" s="1364"/>
      <c r="N38" s="1364"/>
      <c r="O38" s="1364"/>
      <c r="P38" s="1364"/>
      <c r="Q38" s="1364"/>
      <c r="R38" s="1364"/>
      <c r="S38" s="1364"/>
      <c r="T38" s="1364"/>
      <c r="U38" s="1366"/>
    </row>
    <row r="39" spans="2:28" ht="22.5" customHeight="1">
      <c r="B39" s="1037" t="s">
        <v>1906</v>
      </c>
      <c r="C39" s="227"/>
      <c r="D39" s="227"/>
      <c r="E39" s="227"/>
      <c r="F39" s="227"/>
      <c r="G39" s="227"/>
      <c r="H39" s="227"/>
      <c r="I39" s="227"/>
      <c r="J39" s="227"/>
      <c r="K39" s="227"/>
      <c r="L39" s="227"/>
      <c r="M39" s="227"/>
      <c r="N39" s="227"/>
      <c r="O39" s="227"/>
      <c r="P39" s="227"/>
      <c r="Q39" s="227"/>
      <c r="R39" s="227"/>
      <c r="S39" s="227"/>
      <c r="U39" s="994"/>
    </row>
    <row r="40" spans="2:28" ht="22.5" customHeight="1">
      <c r="B40" s="1037" t="s">
        <v>1907</v>
      </c>
      <c r="C40" s="227"/>
      <c r="D40" s="227"/>
      <c r="E40" s="227"/>
      <c r="F40" s="227"/>
      <c r="G40" s="227"/>
      <c r="H40" s="227"/>
      <c r="I40" s="227"/>
      <c r="J40" s="227"/>
      <c r="K40" s="227"/>
      <c r="L40" s="227"/>
      <c r="M40" s="227"/>
      <c r="N40" s="227"/>
      <c r="O40" s="227"/>
      <c r="P40" s="227"/>
      <c r="Q40" s="227"/>
      <c r="R40" s="227"/>
      <c r="S40" s="227"/>
      <c r="U40" s="994"/>
    </row>
    <row r="41" spans="2:28" ht="22.5" customHeight="1">
      <c r="B41" s="1037" t="s">
        <v>1950</v>
      </c>
      <c r="C41" s="227"/>
      <c r="D41" s="227"/>
      <c r="E41" s="227"/>
      <c r="F41" s="227"/>
      <c r="G41" s="227"/>
      <c r="H41" s="227"/>
      <c r="I41" s="227"/>
      <c r="J41" s="227"/>
      <c r="K41" s="227"/>
      <c r="L41" s="227"/>
      <c r="M41" s="227"/>
      <c r="N41" s="227"/>
      <c r="O41" s="227"/>
      <c r="P41" s="227"/>
      <c r="Q41" s="227"/>
      <c r="R41" s="227"/>
      <c r="S41" s="227"/>
      <c r="U41" s="994"/>
    </row>
    <row r="42" spans="2:28" ht="22.5" customHeight="1">
      <c r="B42" s="1572" t="s">
        <v>1908</v>
      </c>
      <c r="C42" s="227"/>
      <c r="D42" s="227"/>
      <c r="E42" s="227"/>
      <c r="F42" s="227"/>
      <c r="G42" s="227"/>
      <c r="H42" s="227"/>
      <c r="I42" s="227"/>
      <c r="J42" s="227"/>
      <c r="K42" s="227"/>
      <c r="L42" s="227"/>
      <c r="M42" s="227"/>
      <c r="N42" s="227"/>
      <c r="O42" s="227"/>
      <c r="P42" s="227"/>
      <c r="Q42" s="227"/>
      <c r="R42" s="227"/>
      <c r="S42" s="227"/>
      <c r="U42" s="994"/>
    </row>
    <row r="43" spans="2:28" ht="22.5" customHeight="1">
      <c r="B43" s="1037" t="s">
        <v>1909</v>
      </c>
      <c r="C43" s="227"/>
      <c r="D43" s="227"/>
      <c r="E43" s="227"/>
      <c r="F43" s="227"/>
      <c r="G43" s="227"/>
      <c r="H43" s="227"/>
      <c r="I43" s="227"/>
      <c r="J43" s="227"/>
      <c r="K43" s="227"/>
      <c r="L43" s="227"/>
      <c r="M43" s="227"/>
      <c r="N43" s="227"/>
      <c r="O43" s="227"/>
      <c r="P43" s="227"/>
      <c r="Q43" s="227"/>
      <c r="R43" s="227"/>
      <c r="S43" s="227"/>
      <c r="U43" s="994"/>
    </row>
    <row r="44" spans="2:28" ht="22.5" customHeight="1">
      <c r="B44" s="1037" t="s">
        <v>1965</v>
      </c>
      <c r="C44" s="227"/>
      <c r="D44" s="227"/>
      <c r="E44" s="227"/>
      <c r="F44" s="227"/>
      <c r="G44" s="227"/>
      <c r="H44" s="227"/>
      <c r="I44" s="227"/>
      <c r="J44" s="227"/>
      <c r="K44" s="227"/>
      <c r="L44" s="227"/>
      <c r="M44" s="227"/>
      <c r="N44" s="227"/>
      <c r="O44" s="227"/>
      <c r="P44" s="227"/>
      <c r="Q44" s="227"/>
      <c r="R44" s="227"/>
      <c r="S44" s="227"/>
      <c r="U44" s="994"/>
    </row>
    <row r="45" spans="2:28" ht="22.5" customHeight="1">
      <c r="B45" s="1577" t="s">
        <v>1951</v>
      </c>
      <c r="C45" s="227"/>
      <c r="D45" s="227"/>
      <c r="E45" s="227"/>
      <c r="F45" s="227"/>
      <c r="G45" s="227"/>
      <c r="H45" s="227"/>
      <c r="I45" s="227"/>
      <c r="J45" s="227"/>
      <c r="K45" s="227"/>
      <c r="L45" s="227"/>
      <c r="M45" s="227"/>
      <c r="N45" s="227"/>
      <c r="O45" s="227"/>
      <c r="P45" s="227"/>
      <c r="Q45" s="227"/>
      <c r="R45" s="227"/>
      <c r="S45" s="227"/>
      <c r="U45" s="994"/>
    </row>
    <row r="46" spans="2:28" ht="17.25" customHeight="1">
      <c r="B46" s="1575" t="s">
        <v>1952</v>
      </c>
      <c r="C46" s="227"/>
      <c r="D46" s="227"/>
      <c r="E46" s="227"/>
      <c r="F46" s="227"/>
      <c r="G46" s="227"/>
      <c r="H46" s="227"/>
      <c r="I46" s="227"/>
      <c r="J46" s="227"/>
      <c r="K46" s="227"/>
      <c r="L46" s="227"/>
      <c r="M46" s="227"/>
      <c r="N46" s="227"/>
      <c r="O46" s="227"/>
      <c r="P46" s="227"/>
      <c r="Q46" s="227"/>
      <c r="R46" s="227"/>
      <c r="S46" s="227"/>
      <c r="U46" s="994"/>
    </row>
    <row r="47" spans="2:28" ht="32.25" customHeight="1">
      <c r="B47" s="1579" t="s">
        <v>1971</v>
      </c>
      <c r="C47" s="227"/>
      <c r="D47" s="227"/>
      <c r="E47" s="227"/>
      <c r="F47" s="227"/>
      <c r="G47" s="227"/>
      <c r="H47" s="227"/>
      <c r="I47" s="227"/>
      <c r="J47" s="227"/>
      <c r="K47" s="227"/>
      <c r="L47" s="227"/>
      <c r="M47" s="227"/>
      <c r="N47" s="227"/>
      <c r="O47" s="227"/>
      <c r="P47" s="227"/>
      <c r="Q47" s="227"/>
      <c r="R47" s="227"/>
      <c r="S47" s="227"/>
      <c r="U47" s="994"/>
    </row>
    <row r="48" spans="2:28" ht="18">
      <c r="B48" s="1033"/>
      <c r="C48" s="1367" t="s">
        <v>483</v>
      </c>
      <c r="D48" s="1556"/>
      <c r="E48" s="1556"/>
      <c r="F48" s="1556"/>
      <c r="G48" s="1556"/>
      <c r="H48" s="1556"/>
      <c r="I48" s="1556"/>
      <c r="J48" s="1556"/>
      <c r="K48" s="1364"/>
      <c r="L48" s="1364"/>
      <c r="M48" s="1364"/>
      <c r="N48" s="1367" t="s">
        <v>273</v>
      </c>
      <c r="O48" s="1364"/>
      <c r="P48" s="1364"/>
      <c r="Q48" s="1364"/>
      <c r="R48" s="1364"/>
      <c r="S48" s="1561"/>
      <c r="U48" s="994"/>
    </row>
    <row r="49" spans="2:21" ht="17.25" customHeight="1">
      <c r="B49" s="1493"/>
      <c r="C49" s="1566" t="s">
        <v>1902</v>
      </c>
      <c r="D49" s="1364"/>
      <c r="E49" s="1364"/>
      <c r="F49" s="1364"/>
      <c r="G49" s="1364"/>
      <c r="H49" s="1364"/>
      <c r="I49" s="1364"/>
      <c r="J49" s="1364"/>
      <c r="K49" s="1364"/>
      <c r="L49" s="1364"/>
      <c r="M49" s="1567"/>
      <c r="N49" s="1564" t="s">
        <v>1923</v>
      </c>
      <c r="O49" s="1567"/>
      <c r="P49" s="1567"/>
      <c r="Q49" s="1567"/>
      <c r="R49" s="1567"/>
      <c r="S49" s="1561"/>
      <c r="U49" s="994"/>
    </row>
    <row r="50" spans="2:21" ht="18">
      <c r="B50" s="1497"/>
      <c r="C50" s="1565" t="s">
        <v>1903</v>
      </c>
      <c r="D50" s="1558"/>
      <c r="E50" s="1558"/>
      <c r="F50" s="1558"/>
      <c r="G50" s="1558"/>
      <c r="H50" s="1558"/>
      <c r="I50" s="1558"/>
      <c r="J50" s="1558"/>
      <c r="K50" s="1558"/>
      <c r="L50" s="1558"/>
      <c r="M50" s="1558"/>
      <c r="N50" s="1568"/>
      <c r="O50" s="1558"/>
      <c r="P50" s="1558"/>
      <c r="Q50" s="1364"/>
      <c r="R50" s="1558"/>
      <c r="S50" s="1561"/>
      <c r="U50" s="994"/>
    </row>
    <row r="51" spans="2:21" ht="18">
      <c r="B51" s="1035"/>
      <c r="C51" s="1566" t="s">
        <v>1959</v>
      </c>
      <c r="D51" s="1364"/>
      <c r="E51" s="1364"/>
      <c r="F51" s="1364"/>
      <c r="G51" s="1364"/>
      <c r="H51" s="1364"/>
      <c r="I51" s="1364"/>
      <c r="J51" s="1364"/>
      <c r="K51" s="1364"/>
      <c r="L51" s="1364"/>
      <c r="M51" s="1364"/>
      <c r="N51" s="1564"/>
      <c r="O51" s="1364"/>
      <c r="P51" s="1364"/>
      <c r="Q51" s="1530"/>
      <c r="R51" s="1364"/>
      <c r="S51" s="1561"/>
      <c r="U51" s="994"/>
    </row>
    <row r="52" spans="2:21" ht="18">
      <c r="B52" s="1035"/>
      <c r="C52" s="1566" t="s">
        <v>1960</v>
      </c>
      <c r="D52" s="1363"/>
      <c r="E52" s="1364"/>
      <c r="F52" s="1364"/>
      <c r="G52" s="1364"/>
      <c r="H52" s="1364"/>
      <c r="I52" s="1364"/>
      <c r="J52" s="1364"/>
      <c r="K52" s="1364"/>
      <c r="L52" s="1364"/>
      <c r="M52" s="1364"/>
      <c r="N52" s="1564"/>
      <c r="O52" s="1364"/>
      <c r="P52" s="1364"/>
      <c r="Q52" s="1364"/>
      <c r="R52" s="1364"/>
      <c r="S52" s="1561"/>
      <c r="U52" s="994"/>
    </row>
    <row r="53" spans="2:21" ht="18">
      <c r="B53" s="1557"/>
      <c r="C53" s="1565" t="s">
        <v>1958</v>
      </c>
      <c r="D53" s="1558"/>
      <c r="E53" s="1558"/>
      <c r="F53" s="1558"/>
      <c r="G53" s="1558"/>
      <c r="H53" s="1558"/>
      <c r="I53" s="1558"/>
      <c r="J53" s="1558"/>
      <c r="K53" s="1558"/>
      <c r="L53" s="1558"/>
      <c r="M53" s="1558"/>
      <c r="N53" s="1559"/>
      <c r="O53" s="1558"/>
      <c r="P53" s="1558"/>
      <c r="Q53" s="1558"/>
      <c r="R53" s="1558"/>
      <c r="S53" s="1561"/>
      <c r="U53" s="994"/>
    </row>
    <row r="54" spans="2:21" ht="18" hidden="1">
      <c r="B54" s="1034"/>
      <c r="C54" s="227"/>
      <c r="D54" s="227"/>
      <c r="E54" s="227"/>
      <c r="F54" s="227"/>
      <c r="G54" s="227"/>
      <c r="H54" s="227"/>
      <c r="I54" s="227"/>
      <c r="J54" s="227"/>
      <c r="K54" s="227"/>
      <c r="L54" s="227"/>
      <c r="M54" s="227"/>
      <c r="N54" s="227"/>
      <c r="O54" s="227"/>
      <c r="P54" s="227"/>
      <c r="Q54" s="227"/>
      <c r="R54" s="227"/>
      <c r="S54" s="227"/>
      <c r="U54" s="994"/>
    </row>
    <row r="55" spans="2:21" ht="10.5" customHeight="1">
      <c r="B55" s="1544"/>
      <c r="C55" s="225"/>
      <c r="D55" s="225"/>
      <c r="E55" s="225"/>
      <c r="F55" s="225"/>
      <c r="G55" s="225"/>
      <c r="H55" s="225"/>
      <c r="I55" s="225"/>
      <c r="J55" s="225"/>
      <c r="K55" s="225"/>
      <c r="L55" s="225"/>
      <c r="M55" s="225"/>
      <c r="N55" s="225"/>
      <c r="O55" s="225"/>
      <c r="P55" s="225"/>
      <c r="Q55" s="225"/>
      <c r="R55" s="225"/>
      <c r="S55" s="225"/>
      <c r="T55" s="987"/>
      <c r="U55" s="1009"/>
    </row>
    <row r="56" spans="2:21" ht="23.25" customHeight="1">
      <c r="B56" s="1569" t="s">
        <v>1867</v>
      </c>
      <c r="C56" s="1495"/>
      <c r="D56" s="1364"/>
      <c r="E56" s="1364"/>
      <c r="F56" s="1364"/>
      <c r="G56" s="1364"/>
      <c r="H56" s="1364"/>
      <c r="I56" s="1364"/>
      <c r="J56" s="1364"/>
      <c r="K56" s="1364"/>
      <c r="L56" s="1364"/>
      <c r="M56" s="1364"/>
      <c r="N56" s="1364"/>
      <c r="O56" s="1364"/>
      <c r="P56" s="1364"/>
      <c r="Q56" s="1364"/>
      <c r="R56" s="1364"/>
      <c r="S56" s="1364"/>
      <c r="T56" s="1364"/>
      <c r="U56" s="1366"/>
    </row>
    <row r="57" spans="2:21" ht="22.5" customHeight="1">
      <c r="B57" s="1037" t="s">
        <v>1910</v>
      </c>
      <c r="C57" s="762"/>
      <c r="D57" s="757"/>
      <c r="E57" s="757"/>
      <c r="F57" s="757"/>
      <c r="G57" s="757"/>
      <c r="H57" s="757"/>
      <c r="I57" s="757"/>
      <c r="J57" s="757"/>
      <c r="K57" s="757"/>
      <c r="L57" s="757"/>
      <c r="M57" s="757"/>
      <c r="N57" s="757"/>
      <c r="O57" s="757"/>
      <c r="P57" s="757"/>
      <c r="Q57" s="757"/>
      <c r="R57" s="227"/>
      <c r="S57" s="227"/>
      <c r="U57" s="994"/>
    </row>
    <row r="58" spans="2:21" ht="22.5" customHeight="1">
      <c r="B58" s="1037" t="s">
        <v>1949</v>
      </c>
      <c r="C58" s="762"/>
      <c r="D58" s="757"/>
      <c r="E58" s="757"/>
      <c r="F58" s="757"/>
      <c r="G58" s="757"/>
      <c r="H58" s="757"/>
      <c r="I58" s="757"/>
      <c r="J58" s="757"/>
      <c r="K58" s="757"/>
      <c r="L58" s="757"/>
      <c r="M58" s="757"/>
      <c r="N58" s="757"/>
      <c r="O58" s="757"/>
      <c r="P58" s="757"/>
      <c r="Q58" s="757"/>
      <c r="R58" s="227"/>
      <c r="S58" s="227"/>
      <c r="U58" s="994"/>
    </row>
    <row r="59" spans="2:21" ht="22.5" customHeight="1">
      <c r="B59" s="1037" t="s">
        <v>1973</v>
      </c>
      <c r="C59" s="762"/>
      <c r="D59" s="227"/>
      <c r="E59" s="227"/>
      <c r="F59" s="227"/>
      <c r="G59" s="227"/>
      <c r="H59" s="227"/>
      <c r="I59" s="227"/>
      <c r="J59" s="227"/>
      <c r="K59" s="227"/>
      <c r="L59" s="227"/>
      <c r="M59" s="227"/>
      <c r="N59" s="227"/>
      <c r="O59" s="227"/>
      <c r="P59" s="227"/>
      <c r="Q59" s="227"/>
      <c r="R59" s="227"/>
      <c r="S59" s="227"/>
      <c r="U59" s="994"/>
    </row>
    <row r="60" spans="2:21" ht="22.5" hidden="1" customHeight="1">
      <c r="B60" s="1557" t="s">
        <v>0</v>
      </c>
      <c r="C60" s="1574" t="s">
        <v>0</v>
      </c>
      <c r="D60" s="227"/>
      <c r="E60" s="227"/>
      <c r="F60" s="227"/>
      <c r="G60" s="227"/>
      <c r="H60" s="227"/>
      <c r="I60" s="227"/>
      <c r="J60" s="227"/>
      <c r="K60" s="227"/>
      <c r="L60" s="227"/>
      <c r="M60" s="227"/>
      <c r="N60" s="227"/>
      <c r="O60" s="227"/>
      <c r="P60" s="227"/>
      <c r="Q60" s="227"/>
      <c r="R60" s="227"/>
      <c r="S60" s="227"/>
      <c r="U60" s="994"/>
    </row>
    <row r="61" spans="2:21" ht="22.5" customHeight="1">
      <c r="B61" s="1037" t="s">
        <v>1942</v>
      </c>
      <c r="C61" s="762"/>
      <c r="D61" s="227"/>
      <c r="E61" s="227"/>
      <c r="F61" s="227"/>
      <c r="G61" s="227"/>
      <c r="H61" s="227"/>
      <c r="I61" s="227"/>
      <c r="J61" s="227"/>
      <c r="K61" s="227"/>
      <c r="L61" s="227"/>
      <c r="M61" s="227"/>
      <c r="N61" s="227"/>
      <c r="O61" s="227"/>
      <c r="P61" s="227"/>
      <c r="Q61" s="227"/>
      <c r="R61" s="227"/>
      <c r="S61" s="227"/>
      <c r="U61" s="994"/>
    </row>
    <row r="62" spans="2:21" ht="22.5" customHeight="1">
      <c r="B62" s="1037" t="s">
        <v>1909</v>
      </c>
      <c r="C62" s="762"/>
      <c r="D62" s="227"/>
      <c r="E62" s="227"/>
      <c r="F62" s="227"/>
      <c r="G62" s="227"/>
      <c r="H62" s="227"/>
      <c r="I62" s="227"/>
      <c r="J62" s="227"/>
      <c r="K62" s="227"/>
      <c r="L62" s="227"/>
      <c r="M62" s="227"/>
      <c r="N62" s="227"/>
      <c r="O62" s="227"/>
      <c r="P62" s="227"/>
      <c r="Q62" s="227"/>
      <c r="R62" s="227"/>
      <c r="S62" s="227"/>
      <c r="U62" s="994"/>
    </row>
    <row r="63" spans="2:21" ht="22.5" customHeight="1">
      <c r="B63" s="1037" t="s">
        <v>1965</v>
      </c>
      <c r="C63" s="227"/>
      <c r="D63" s="227"/>
      <c r="E63" s="227"/>
      <c r="F63" s="227"/>
      <c r="G63" s="227"/>
      <c r="H63" s="227"/>
      <c r="I63" s="227"/>
      <c r="J63" s="227"/>
      <c r="K63" s="227"/>
      <c r="L63" s="227"/>
      <c r="M63" s="227"/>
      <c r="N63" s="227"/>
      <c r="O63" s="227"/>
      <c r="P63" s="227"/>
      <c r="Q63" s="227"/>
      <c r="R63" s="227"/>
      <c r="S63" s="227"/>
      <c r="U63" s="994"/>
    </row>
    <row r="64" spans="2:21" ht="22.5" customHeight="1">
      <c r="B64" s="1577" t="s">
        <v>1911</v>
      </c>
      <c r="C64" s="227"/>
      <c r="D64" s="227"/>
      <c r="E64" s="227"/>
      <c r="F64" s="227"/>
      <c r="G64" s="227"/>
      <c r="H64" s="227"/>
      <c r="I64" s="227"/>
      <c r="J64" s="227"/>
      <c r="K64" s="227"/>
      <c r="L64" s="227"/>
      <c r="M64" s="227"/>
      <c r="N64" s="227"/>
      <c r="O64" s="227"/>
      <c r="P64" s="227"/>
      <c r="Q64" s="227"/>
      <c r="R64" s="227"/>
      <c r="S64" s="227"/>
      <c r="U64" s="994"/>
    </row>
    <row r="65" spans="1:21" ht="18" customHeight="1">
      <c r="B65" s="1573" t="s">
        <v>1953</v>
      </c>
      <c r="C65" s="227"/>
      <c r="D65" s="227"/>
      <c r="E65" s="227"/>
      <c r="F65" s="227"/>
      <c r="G65" s="227"/>
      <c r="H65" s="227"/>
      <c r="I65" s="227"/>
      <c r="J65" s="227"/>
      <c r="K65" s="227"/>
      <c r="L65" s="227"/>
      <c r="M65" s="227"/>
      <c r="N65" s="227"/>
      <c r="O65" s="227"/>
      <c r="P65" s="227"/>
      <c r="Q65" s="227"/>
      <c r="R65" s="227"/>
      <c r="S65" s="227"/>
      <c r="U65" s="994"/>
    </row>
    <row r="66" spans="1:21" ht="32.25" customHeight="1">
      <c r="B66" s="1579" t="s">
        <v>1972</v>
      </c>
      <c r="C66" s="227"/>
      <c r="D66" s="227"/>
      <c r="E66" s="227"/>
      <c r="F66" s="227"/>
      <c r="G66" s="227"/>
      <c r="H66" s="227"/>
      <c r="I66" s="227"/>
      <c r="J66" s="227"/>
      <c r="K66" s="227"/>
      <c r="L66" s="227"/>
      <c r="M66" s="227"/>
      <c r="N66" s="227"/>
      <c r="O66" s="227"/>
      <c r="P66" s="227"/>
      <c r="Q66" s="227"/>
      <c r="R66" s="227"/>
      <c r="S66" s="227"/>
      <c r="U66" s="994"/>
    </row>
    <row r="67" spans="1:21" ht="18">
      <c r="B67" s="1033"/>
      <c r="C67" s="1367" t="s">
        <v>483</v>
      </c>
      <c r="D67" s="1556"/>
      <c r="E67" s="1556"/>
      <c r="F67" s="1556"/>
      <c r="G67" s="1556"/>
      <c r="H67" s="1556"/>
      <c r="I67" s="1556"/>
      <c r="J67" s="1556"/>
      <c r="K67" s="1364"/>
      <c r="L67" s="1364"/>
      <c r="M67" s="1364"/>
      <c r="N67" s="1367" t="s">
        <v>273</v>
      </c>
      <c r="O67" s="1364"/>
      <c r="P67" s="1364"/>
      <c r="Q67" s="1364"/>
      <c r="R67" s="1364"/>
      <c r="S67" s="1558"/>
      <c r="T67" s="1557"/>
      <c r="U67" s="994"/>
    </row>
    <row r="68" spans="1:21" ht="17.25" customHeight="1">
      <c r="B68" s="1493"/>
      <c r="C68" s="1566" t="s">
        <v>1902</v>
      </c>
      <c r="D68" s="1364"/>
      <c r="E68" s="1364"/>
      <c r="F68" s="1364"/>
      <c r="G68" s="1364"/>
      <c r="H68" s="1364"/>
      <c r="I68" s="1364"/>
      <c r="J68" s="1364"/>
      <c r="K68" s="1364"/>
      <c r="L68" s="1364"/>
      <c r="M68" s="1567"/>
      <c r="N68" s="1564" t="s">
        <v>1923</v>
      </c>
      <c r="O68" s="1567"/>
      <c r="P68" s="1567"/>
      <c r="Q68" s="1567"/>
      <c r="R68" s="1567"/>
      <c r="S68" s="1558"/>
      <c r="T68" s="1557"/>
      <c r="U68" s="994"/>
    </row>
    <row r="69" spans="1:21" ht="18">
      <c r="B69" s="1497"/>
      <c r="C69" s="1565" t="s">
        <v>1903</v>
      </c>
      <c r="D69" s="1558"/>
      <c r="E69" s="1558"/>
      <c r="F69" s="1558"/>
      <c r="G69" s="1558"/>
      <c r="H69" s="1558"/>
      <c r="I69" s="1558"/>
      <c r="J69" s="1558"/>
      <c r="K69" s="1558"/>
      <c r="L69" s="1558"/>
      <c r="M69" s="1558"/>
      <c r="N69" s="1568"/>
      <c r="O69" s="1558"/>
      <c r="P69" s="1558"/>
      <c r="Q69" s="1364"/>
      <c r="R69" s="1558"/>
      <c r="S69" s="1558"/>
      <c r="T69" s="1557"/>
      <c r="U69" s="994"/>
    </row>
    <row r="70" spans="1:21" ht="18">
      <c r="B70" s="1035"/>
      <c r="C70" s="1566" t="s">
        <v>1904</v>
      </c>
      <c r="D70" s="1364"/>
      <c r="E70" s="1364"/>
      <c r="F70" s="1364"/>
      <c r="G70" s="1364"/>
      <c r="H70" s="1364"/>
      <c r="I70" s="1364"/>
      <c r="J70" s="1364"/>
      <c r="K70" s="1364"/>
      <c r="L70" s="1364"/>
      <c r="M70" s="1364"/>
      <c r="N70" s="1564"/>
      <c r="O70" s="1364"/>
      <c r="P70" s="1364"/>
      <c r="Q70" s="1530"/>
      <c r="R70" s="1364"/>
      <c r="S70" s="1558"/>
      <c r="T70" s="1557"/>
      <c r="U70" s="994"/>
    </row>
    <row r="71" spans="1:21" ht="18">
      <c r="B71" s="1035"/>
      <c r="C71" s="1566" t="s">
        <v>1905</v>
      </c>
      <c r="D71" s="1363"/>
      <c r="E71" s="1364"/>
      <c r="F71" s="1364"/>
      <c r="G71" s="1364"/>
      <c r="H71" s="1364"/>
      <c r="I71" s="1364"/>
      <c r="J71" s="1364"/>
      <c r="K71" s="1364"/>
      <c r="L71" s="1364"/>
      <c r="M71" s="1364"/>
      <c r="N71" s="1564"/>
      <c r="O71" s="1364"/>
      <c r="P71" s="1364"/>
      <c r="Q71" s="1364"/>
      <c r="R71" s="1364"/>
      <c r="S71" s="1558"/>
      <c r="T71" s="1557"/>
      <c r="U71" s="994"/>
    </row>
    <row r="72" spans="1:21" ht="18">
      <c r="B72" s="1557"/>
      <c r="C72" s="1565" t="s">
        <v>1958</v>
      </c>
      <c r="D72" s="1558"/>
      <c r="E72" s="1558"/>
      <c r="F72" s="1558"/>
      <c r="G72" s="1558"/>
      <c r="H72" s="1558"/>
      <c r="I72" s="1558"/>
      <c r="J72" s="1558"/>
      <c r="K72" s="1558"/>
      <c r="L72" s="1558"/>
      <c r="M72" s="1558"/>
      <c r="N72" s="1559"/>
      <c r="O72" s="1558"/>
      <c r="P72" s="1558"/>
      <c r="Q72" s="1558"/>
      <c r="R72" s="1558"/>
      <c r="S72" s="1558"/>
      <c r="T72" s="1557"/>
      <c r="U72" s="994"/>
    </row>
    <row r="73" spans="1:21" ht="12.75" customHeight="1">
      <c r="B73" s="1576"/>
      <c r="C73" s="225"/>
      <c r="D73" s="225"/>
      <c r="E73" s="225"/>
      <c r="F73" s="225"/>
      <c r="G73" s="225"/>
      <c r="H73" s="225"/>
      <c r="I73" s="225"/>
      <c r="J73" s="225"/>
      <c r="K73" s="225"/>
      <c r="L73" s="225"/>
      <c r="M73" s="225"/>
      <c r="N73" s="225"/>
      <c r="O73" s="225"/>
      <c r="P73" s="225"/>
      <c r="Q73" s="225"/>
      <c r="R73" s="225"/>
      <c r="S73" s="225"/>
      <c r="T73" s="987"/>
      <c r="U73" s="1009"/>
    </row>
    <row r="74" spans="1:21" ht="18" hidden="1">
      <c r="B74" s="1030" t="s">
        <v>0</v>
      </c>
      <c r="D74" s="227"/>
      <c r="E74" s="227"/>
      <c r="F74" s="227"/>
      <c r="G74" s="227"/>
      <c r="H74" s="227"/>
      <c r="I74" s="227"/>
      <c r="J74" s="227"/>
      <c r="K74" s="227"/>
      <c r="L74" s="227"/>
      <c r="M74" s="227"/>
      <c r="N74" s="227"/>
      <c r="O74" s="227"/>
      <c r="P74" s="227"/>
      <c r="Q74" s="227"/>
      <c r="R74" s="227"/>
      <c r="S74" s="227"/>
      <c r="T74" s="227"/>
    </row>
    <row r="75" spans="1:21" ht="18" hidden="1">
      <c r="B75" s="227"/>
      <c r="C75" s="152" t="s">
        <v>0</v>
      </c>
      <c r="D75" s="227"/>
      <c r="E75" s="227"/>
      <c r="F75" s="227"/>
      <c r="G75" s="227"/>
      <c r="H75" s="227"/>
      <c r="I75" s="227"/>
      <c r="J75" s="227"/>
      <c r="K75" s="227"/>
      <c r="L75" s="227"/>
      <c r="M75" s="227"/>
      <c r="N75" s="227"/>
      <c r="O75" s="227"/>
      <c r="P75" s="227"/>
      <c r="Q75" s="227"/>
      <c r="R75" s="227"/>
      <c r="S75" s="227"/>
      <c r="T75" s="227"/>
    </row>
    <row r="76" spans="1:21" ht="31.5" customHeight="1">
      <c r="B76" s="1365" t="s">
        <v>1493</v>
      </c>
      <c r="C76" s="227"/>
      <c r="D76" s="227"/>
      <c r="E76" s="227"/>
      <c r="F76" s="227"/>
      <c r="G76" s="227"/>
      <c r="H76" s="227"/>
      <c r="I76" s="227"/>
      <c r="J76" s="227"/>
      <c r="K76" s="227"/>
      <c r="L76" s="227"/>
      <c r="M76" s="227"/>
      <c r="N76" s="227"/>
      <c r="O76" s="227"/>
      <c r="P76" s="227"/>
      <c r="Q76" s="227"/>
      <c r="R76" s="227"/>
      <c r="S76" s="227"/>
      <c r="T76" s="227"/>
      <c r="U76" s="987"/>
    </row>
    <row r="77" spans="1:21" ht="3" customHeight="1">
      <c r="A77" s="1363"/>
      <c r="B77" s="1031" t="s">
        <v>0</v>
      </c>
      <c r="C77" s="1364"/>
      <c r="D77" s="1364"/>
      <c r="E77" s="1364"/>
      <c r="F77" s="1364"/>
      <c r="G77" s="1364"/>
      <c r="H77" s="1364"/>
      <c r="I77" s="1364"/>
      <c r="J77" s="1364"/>
      <c r="K77" s="1364"/>
      <c r="L77" s="1364"/>
      <c r="M77" s="1364"/>
      <c r="N77" s="1364"/>
      <c r="O77" s="1364"/>
      <c r="P77" s="1364"/>
      <c r="Q77" s="1364"/>
      <c r="R77" s="1364"/>
      <c r="S77" s="1364"/>
      <c r="T77" s="1364"/>
    </row>
    <row r="78" spans="1:21" ht="21" customHeight="1">
      <c r="B78" s="227" t="s">
        <v>1943</v>
      </c>
      <c r="C78" s="227"/>
      <c r="D78" s="227"/>
      <c r="E78" s="227"/>
      <c r="F78" s="227"/>
      <c r="G78" s="227"/>
      <c r="H78" s="227"/>
      <c r="I78" s="227"/>
      <c r="J78" s="227"/>
      <c r="K78" s="227"/>
      <c r="L78" s="227"/>
      <c r="M78" s="227"/>
      <c r="N78" s="227"/>
      <c r="O78" s="227"/>
      <c r="P78" s="227"/>
      <c r="Q78" s="227"/>
      <c r="R78" s="227"/>
      <c r="S78" s="227"/>
      <c r="T78" s="227"/>
    </row>
    <row r="79" spans="1:21" ht="18">
      <c r="B79" s="227" t="s">
        <v>1925</v>
      </c>
      <c r="C79" s="227"/>
      <c r="D79" s="227"/>
      <c r="E79" s="227"/>
      <c r="F79" s="227"/>
      <c r="G79" s="227"/>
      <c r="H79" s="227"/>
      <c r="I79" s="227"/>
      <c r="J79" s="227"/>
      <c r="K79" s="227"/>
      <c r="L79" s="227"/>
      <c r="M79" s="227"/>
      <c r="N79" s="227"/>
      <c r="O79" s="227"/>
      <c r="P79" s="227"/>
      <c r="Q79" s="227"/>
      <c r="R79" s="227"/>
      <c r="S79" s="227"/>
      <c r="T79" s="227"/>
    </row>
    <row r="80" spans="1:21" ht="3.75" customHeight="1">
      <c r="C80" s="227"/>
      <c r="D80" s="227"/>
      <c r="E80" s="227"/>
      <c r="F80" s="227"/>
      <c r="G80" s="227"/>
      <c r="H80" s="227"/>
      <c r="I80" s="227"/>
      <c r="J80" s="227"/>
      <c r="K80" s="227"/>
      <c r="L80" s="227"/>
      <c r="M80" s="227"/>
      <c r="N80" s="227"/>
      <c r="O80" s="227"/>
      <c r="P80" s="227"/>
      <c r="Q80" s="227"/>
      <c r="R80" s="227"/>
      <c r="S80" s="227"/>
      <c r="T80" s="227"/>
    </row>
    <row r="81" spans="2:20" ht="18" customHeight="1">
      <c r="B81" s="227" t="s">
        <v>1929</v>
      </c>
      <c r="C81" s="227"/>
      <c r="D81" s="227"/>
      <c r="E81" s="227"/>
      <c r="F81" s="227"/>
      <c r="G81" s="227"/>
      <c r="H81" s="227"/>
      <c r="I81" s="227"/>
      <c r="J81" s="227"/>
      <c r="K81" s="227"/>
      <c r="L81" s="227"/>
      <c r="M81" s="227"/>
      <c r="N81" s="227"/>
      <c r="O81" s="227"/>
      <c r="P81" s="227"/>
      <c r="Q81" s="227"/>
      <c r="R81" s="227"/>
      <c r="S81" s="227"/>
      <c r="T81" s="227"/>
    </row>
    <row r="82" spans="2:20" ht="17.25" customHeight="1">
      <c r="C82" s="227"/>
      <c r="D82" s="227"/>
      <c r="E82" s="227"/>
      <c r="F82" s="227"/>
      <c r="G82" s="227"/>
      <c r="H82" s="227"/>
      <c r="I82" s="227"/>
      <c r="J82" s="227"/>
      <c r="K82" s="227"/>
      <c r="L82" s="227"/>
      <c r="M82" s="227"/>
      <c r="N82" s="227"/>
      <c r="O82" s="227"/>
      <c r="P82" s="227"/>
      <c r="Q82" s="227"/>
      <c r="R82" s="227"/>
      <c r="S82" s="227"/>
      <c r="T82" s="227"/>
    </row>
    <row r="83" spans="2:20" ht="18.75" customHeight="1">
      <c r="B83" s="227" t="s">
        <v>1944</v>
      </c>
      <c r="C83" s="227"/>
      <c r="D83" s="227"/>
      <c r="E83" s="227"/>
      <c r="F83" s="227"/>
      <c r="G83" s="227"/>
      <c r="H83" s="227"/>
      <c r="I83" s="227"/>
      <c r="J83" s="227"/>
      <c r="K83" s="227"/>
      <c r="L83" s="227"/>
      <c r="M83" s="227"/>
      <c r="N83" s="227"/>
      <c r="O83" s="227"/>
      <c r="P83" s="227"/>
      <c r="Q83" s="227"/>
      <c r="R83" s="227"/>
      <c r="S83" s="227"/>
      <c r="T83" s="227"/>
    </row>
    <row r="84" spans="2:20" ht="18.75" customHeight="1">
      <c r="B84" s="227" t="s">
        <v>1926</v>
      </c>
      <c r="C84" s="227"/>
      <c r="D84" s="227"/>
      <c r="E84" s="227"/>
      <c r="F84" s="227"/>
      <c r="G84" s="227"/>
      <c r="H84" s="227"/>
      <c r="I84" s="227"/>
      <c r="J84" s="227"/>
      <c r="K84" s="227"/>
      <c r="L84" s="227"/>
      <c r="M84" s="227"/>
      <c r="N84" s="227"/>
      <c r="O84" s="227"/>
      <c r="P84" s="227"/>
      <c r="Q84" s="227"/>
      <c r="R84" s="227"/>
      <c r="S84" s="227"/>
      <c r="T84" s="227"/>
    </row>
    <row r="85" spans="2:20" ht="18">
      <c r="B85" s="227" t="s">
        <v>1927</v>
      </c>
      <c r="C85" s="227"/>
      <c r="D85" s="227"/>
      <c r="E85" s="227"/>
      <c r="F85" s="227"/>
      <c r="G85" s="227"/>
      <c r="H85" s="227"/>
      <c r="I85" s="227"/>
      <c r="J85" s="227"/>
      <c r="K85" s="227"/>
      <c r="L85" s="227"/>
      <c r="M85" s="227"/>
      <c r="N85" s="227"/>
      <c r="O85" s="227"/>
      <c r="P85" s="227"/>
      <c r="Q85" s="227"/>
      <c r="R85" s="227"/>
      <c r="S85" s="227"/>
      <c r="T85" s="227"/>
    </row>
    <row r="86" spans="2:20" ht="3.75" customHeight="1">
      <c r="C86" s="227"/>
      <c r="D86" s="227"/>
      <c r="E86" s="227"/>
      <c r="F86" s="227"/>
      <c r="G86" s="227"/>
      <c r="H86" s="227"/>
      <c r="I86" s="227"/>
      <c r="J86" s="227"/>
      <c r="K86" s="227"/>
      <c r="L86" s="227"/>
      <c r="M86" s="227"/>
      <c r="N86" s="227"/>
      <c r="O86" s="227"/>
      <c r="P86" s="227"/>
      <c r="Q86" s="227"/>
      <c r="R86" s="227"/>
      <c r="S86" s="227"/>
      <c r="T86" s="227"/>
    </row>
    <row r="87" spans="2:20" ht="18.75">
      <c r="B87" s="227" t="s">
        <v>1954</v>
      </c>
      <c r="C87" s="227"/>
      <c r="D87" s="227"/>
      <c r="E87" s="227"/>
      <c r="F87" s="227"/>
      <c r="G87" s="227"/>
      <c r="H87" s="227"/>
      <c r="I87" s="227"/>
      <c r="J87" s="227"/>
      <c r="K87" s="227"/>
      <c r="L87" s="227"/>
      <c r="M87" s="227"/>
      <c r="N87" s="227"/>
      <c r="O87" s="227"/>
      <c r="P87" s="227"/>
      <c r="Q87" s="227"/>
      <c r="R87" s="227"/>
      <c r="S87" s="227"/>
      <c r="T87" s="227"/>
    </row>
    <row r="88" spans="2:20" ht="18.75">
      <c r="B88" s="1582" t="s">
        <v>1928</v>
      </c>
      <c r="C88" s="227"/>
      <c r="D88" s="227"/>
      <c r="E88" s="227"/>
      <c r="F88" s="227"/>
      <c r="G88" s="227"/>
      <c r="H88" s="227"/>
      <c r="I88" s="227"/>
      <c r="J88" s="227"/>
      <c r="K88" s="227"/>
      <c r="L88" s="227"/>
      <c r="M88" s="227"/>
      <c r="N88" s="227"/>
      <c r="O88" s="227"/>
      <c r="P88" s="227"/>
      <c r="Q88" s="227"/>
      <c r="R88" s="227"/>
      <c r="S88" s="227"/>
      <c r="T88" s="227"/>
    </row>
    <row r="89" spans="2:20" ht="17.25" customHeight="1">
      <c r="C89" s="227"/>
      <c r="D89" s="227"/>
      <c r="E89" s="227"/>
      <c r="F89" s="227"/>
      <c r="G89" s="227"/>
      <c r="H89" s="227"/>
      <c r="I89" s="227"/>
      <c r="J89" s="227"/>
      <c r="K89" s="227"/>
      <c r="L89" s="227"/>
      <c r="M89" s="227"/>
      <c r="N89" s="227"/>
      <c r="O89" s="227"/>
      <c r="P89" s="227"/>
      <c r="Q89" s="227"/>
      <c r="R89" s="227"/>
      <c r="S89" s="227"/>
      <c r="T89" s="227"/>
    </row>
    <row r="90" spans="2:20" ht="18">
      <c r="B90" s="1032" t="s">
        <v>1948</v>
      </c>
      <c r="C90" s="227"/>
      <c r="D90" s="227"/>
      <c r="E90" s="227"/>
      <c r="F90" s="227"/>
      <c r="G90" s="227"/>
      <c r="H90" s="227"/>
      <c r="I90" s="227"/>
      <c r="J90" s="227"/>
      <c r="K90" s="227"/>
      <c r="L90" s="227"/>
      <c r="M90" s="227"/>
      <c r="N90" s="227"/>
      <c r="O90" s="227"/>
      <c r="P90" s="227"/>
      <c r="Q90" s="227"/>
      <c r="R90" s="227"/>
      <c r="S90" s="227"/>
      <c r="T90" s="227"/>
    </row>
    <row r="91" spans="2:20" ht="18">
      <c r="B91" s="227" t="s">
        <v>1930</v>
      </c>
      <c r="C91" s="227"/>
      <c r="D91" s="227"/>
      <c r="E91" s="227"/>
      <c r="F91" s="227"/>
      <c r="G91" s="227"/>
      <c r="H91" s="227"/>
      <c r="I91" s="227"/>
      <c r="J91" s="227"/>
      <c r="K91" s="227"/>
      <c r="L91" s="227"/>
      <c r="M91" s="227"/>
      <c r="N91" s="227"/>
      <c r="O91" s="227"/>
      <c r="P91" s="227"/>
      <c r="Q91" s="227"/>
      <c r="R91" s="227"/>
      <c r="S91" s="227"/>
      <c r="T91" s="227"/>
    </row>
    <row r="92" spans="2:20" ht="3.75" customHeight="1">
      <c r="B92" s="227" t="s">
        <v>0</v>
      </c>
      <c r="C92" s="227"/>
      <c r="D92" s="227"/>
      <c r="E92" s="227"/>
      <c r="F92" s="227"/>
      <c r="G92" s="227"/>
      <c r="H92" s="227"/>
      <c r="I92" s="227"/>
      <c r="J92" s="227"/>
      <c r="K92" s="227"/>
      <c r="L92" s="227"/>
      <c r="M92" s="227"/>
      <c r="N92" s="227"/>
      <c r="O92" s="227"/>
      <c r="P92" s="227"/>
      <c r="Q92" s="227"/>
      <c r="R92" s="227"/>
      <c r="S92" s="227"/>
      <c r="T92" s="227"/>
    </row>
    <row r="93" spans="2:20" ht="18" customHeight="1">
      <c r="B93" s="227" t="s">
        <v>1933</v>
      </c>
      <c r="C93" s="227"/>
      <c r="D93" s="227"/>
      <c r="E93" s="227"/>
      <c r="F93" s="227"/>
      <c r="G93" s="227"/>
      <c r="H93" s="227"/>
      <c r="I93" s="227"/>
      <c r="J93" s="227"/>
      <c r="K93" s="227"/>
      <c r="L93" s="227"/>
      <c r="M93" s="227"/>
      <c r="N93" s="227"/>
      <c r="O93" s="227"/>
      <c r="P93" s="227"/>
      <c r="Q93" s="227"/>
      <c r="R93" s="227"/>
      <c r="S93" s="227"/>
      <c r="T93" s="227"/>
    </row>
    <row r="94" spans="2:20" ht="18.75">
      <c r="B94" s="1582" t="s">
        <v>1931</v>
      </c>
      <c r="C94" s="227"/>
      <c r="D94" s="227"/>
      <c r="E94" s="227"/>
      <c r="F94" s="227"/>
      <c r="G94" s="227"/>
      <c r="H94" s="227"/>
      <c r="I94" s="227"/>
      <c r="J94" s="227"/>
      <c r="K94" s="227"/>
      <c r="L94" s="227"/>
      <c r="M94" s="227"/>
      <c r="N94" s="227"/>
      <c r="O94" s="227"/>
      <c r="P94" s="227"/>
      <c r="Q94" s="227"/>
      <c r="R94" s="227"/>
      <c r="S94" s="227"/>
      <c r="T94" s="227"/>
    </row>
    <row r="95" spans="2:20" ht="3.75" customHeight="1">
      <c r="C95" s="227"/>
      <c r="D95" s="227"/>
      <c r="E95" s="227"/>
      <c r="F95" s="227"/>
      <c r="G95" s="227"/>
      <c r="H95" s="227"/>
      <c r="I95" s="227"/>
      <c r="J95" s="227"/>
      <c r="K95" s="227"/>
      <c r="L95" s="227"/>
      <c r="M95" s="227"/>
      <c r="N95" s="227"/>
      <c r="O95" s="227"/>
      <c r="P95" s="227"/>
      <c r="Q95" s="227"/>
      <c r="R95" s="227"/>
      <c r="S95" s="227"/>
      <c r="T95" s="227"/>
    </row>
    <row r="96" spans="2:20" ht="19.5" customHeight="1">
      <c r="B96" s="227" t="s">
        <v>1967</v>
      </c>
      <c r="C96" s="227"/>
      <c r="D96" s="227"/>
      <c r="E96" s="227"/>
      <c r="F96" s="227"/>
      <c r="G96" s="227"/>
      <c r="H96" s="227"/>
      <c r="I96" s="227"/>
      <c r="J96" s="227"/>
      <c r="K96" s="227"/>
      <c r="L96" s="227"/>
      <c r="M96" s="227"/>
      <c r="N96" s="227"/>
      <c r="O96" s="227"/>
      <c r="P96" s="227"/>
      <c r="Q96" s="227"/>
      <c r="R96" s="227"/>
      <c r="S96" s="227"/>
      <c r="T96" s="227"/>
    </row>
    <row r="97" spans="2:20" ht="18">
      <c r="B97" s="227" t="s">
        <v>1968</v>
      </c>
      <c r="C97" s="227"/>
      <c r="D97" s="227"/>
      <c r="E97" s="227"/>
      <c r="F97" s="227"/>
      <c r="G97" s="227"/>
      <c r="H97" s="227"/>
      <c r="I97" s="227"/>
      <c r="J97" s="227"/>
      <c r="K97" s="227"/>
      <c r="L97" s="227"/>
      <c r="M97" s="227"/>
      <c r="N97" s="227"/>
      <c r="O97" s="227"/>
      <c r="P97" s="227"/>
      <c r="Q97" s="227"/>
      <c r="R97" s="227"/>
      <c r="S97" s="227"/>
      <c r="T97" s="227"/>
    </row>
    <row r="98" spans="2:20" ht="18">
      <c r="C98" s="227"/>
      <c r="D98" s="227"/>
      <c r="E98" s="227"/>
      <c r="F98" s="227"/>
      <c r="G98" s="227"/>
      <c r="H98" s="227"/>
      <c r="I98" s="227"/>
      <c r="J98" s="227"/>
      <c r="K98" s="227"/>
      <c r="L98" s="227"/>
      <c r="M98" s="227"/>
      <c r="N98" s="227"/>
      <c r="O98" s="227"/>
      <c r="P98" s="227"/>
      <c r="Q98" s="227"/>
      <c r="R98" s="227"/>
      <c r="S98" s="227"/>
      <c r="T98" s="227"/>
    </row>
    <row r="99" spans="2:20" ht="18">
      <c r="B99" s="1031" t="s">
        <v>1945</v>
      </c>
      <c r="C99" s="227"/>
      <c r="D99" s="227"/>
      <c r="E99" s="227"/>
      <c r="F99" s="227"/>
      <c r="G99" s="227"/>
      <c r="H99" s="227"/>
      <c r="I99" s="227"/>
      <c r="J99" s="227"/>
      <c r="K99" s="227"/>
      <c r="L99" s="227"/>
      <c r="M99" s="227"/>
      <c r="N99" s="227"/>
      <c r="O99" s="227"/>
      <c r="P99" s="227"/>
      <c r="Q99" s="227"/>
      <c r="R99" s="227"/>
      <c r="S99" s="227"/>
      <c r="T99" s="227"/>
    </row>
    <row r="100" spans="2:20" ht="18">
      <c r="B100" s="227" t="s">
        <v>1932</v>
      </c>
    </row>
    <row r="101" spans="2:20" ht="18">
      <c r="B101" s="227" t="s">
        <v>1955</v>
      </c>
    </row>
    <row r="102" spans="2:20" ht="3.75" customHeight="1"/>
    <row r="103" spans="2:20" ht="18.75">
      <c r="B103" s="227" t="s">
        <v>1934</v>
      </c>
    </row>
    <row r="104" spans="2:20" ht="18.75">
      <c r="B104" s="1582" t="s">
        <v>1935</v>
      </c>
    </row>
    <row r="105" spans="2:20" ht="18.75">
      <c r="B105" s="1582" t="s">
        <v>1936</v>
      </c>
    </row>
    <row r="106" spans="2:20" ht="18" customHeight="1"/>
    <row r="107" spans="2:20" ht="18">
      <c r="B107" s="1031" t="s">
        <v>1946</v>
      </c>
    </row>
    <row r="108" spans="2:20" ht="18">
      <c r="B108" s="227" t="s">
        <v>1937</v>
      </c>
    </row>
    <row r="109" spans="2:20" ht="3.75" customHeight="1">
      <c r="B109" s="227" t="s">
        <v>0</v>
      </c>
    </row>
    <row r="110" spans="2:20" ht="18.75">
      <c r="B110" s="227" t="s">
        <v>1956</v>
      </c>
    </row>
    <row r="111" spans="2:20" ht="18.75">
      <c r="B111" s="1582" t="s">
        <v>1957</v>
      </c>
    </row>
    <row r="113" spans="2:2" ht="18">
      <c r="B113" s="1031" t="s">
        <v>1947</v>
      </c>
    </row>
    <row r="114" spans="2:2" ht="18">
      <c r="B114" s="152" t="s">
        <v>1938</v>
      </c>
    </row>
    <row r="115" spans="2:2" ht="3.75" customHeight="1">
      <c r="B115" s="227"/>
    </row>
    <row r="116" spans="2:2" ht="18.75">
      <c r="B116" s="227" t="s">
        <v>1961</v>
      </c>
    </row>
    <row r="117" spans="2:2" ht="18.75">
      <c r="B117" s="1582" t="s">
        <v>1962</v>
      </c>
    </row>
    <row r="118" spans="2:2" ht="18">
      <c r="B118" s="227"/>
    </row>
    <row r="119" spans="2:2" ht="18">
      <c r="B119" s="1031"/>
    </row>
  </sheetData>
  <sheetProtection algorithmName="SHA-512" hashValue="sJZASrmB6UPIIgr8jJihOSzqvK7W1pG1627CQEZe3hm6CCUkKGr3U2QPdsdVOHvgtTQWhx6aTHg3mdMNd1lEiw==" saltValue="iHNzwmnPFnqwRuSd5f3rjw==" spinCount="100000" sheet="1" objects="1" scenarios="1"/>
  <mergeCells count="1">
    <mergeCell ref="I8:L8"/>
  </mergeCells>
  <hyperlinks>
    <hyperlink ref="I8" location="Controls!A117" display=" (click here for control definitions)" xr:uid="{AE0177C0-D7C3-4459-AA63-EDB5453A235E}"/>
    <hyperlink ref="I8:L8" location="Controls!A104" display=" (click here for control definitions)" xr:uid="{7FA46C94-B439-4BC9-8BD7-FD25E2B496C6}"/>
  </hyperlinks>
  <pageMargins left="0.7" right="0.7" top="0.75" bottom="0.75" header="0.3" footer="0.3"/>
  <pageSetup scale="44" fitToWidth="0" fitToHeight="0" orientation="portrait" horizontalDpi="4294967293" r:id="rId1"/>
  <headerFooter>
    <oddFooter>&amp;L© 9/5/2023 Idaho Power</oddFooter>
  </headerFooter>
  <rowBreaks count="1" manualBreakCount="1">
    <brk id="75"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56</vt:i4>
      </vt:variant>
    </vt:vector>
  </HeadingPairs>
  <TitlesOfParts>
    <vt:vector size="76" baseType="lpstr">
      <vt:lpstr>Welcome</vt:lpstr>
      <vt:lpstr>Data Entry</vt:lpstr>
      <vt:lpstr>Product Type</vt:lpstr>
      <vt:lpstr>Proposed Lighting</vt:lpstr>
      <vt:lpstr>Lighting Controls</vt:lpstr>
      <vt:lpstr>Pre-Approval Application</vt:lpstr>
      <vt:lpstr>Payment Application</vt:lpstr>
      <vt:lpstr>LEDs</vt:lpstr>
      <vt:lpstr>Controls</vt:lpstr>
      <vt:lpstr>Sign &amp; Case Lighting</vt:lpstr>
      <vt:lpstr>Project Summary</vt:lpstr>
      <vt:lpstr>TLEDs</vt:lpstr>
      <vt:lpstr>CLU</vt:lpstr>
      <vt:lpstr>Standard Incentives</vt:lpstr>
      <vt:lpstr>Inspection Sheet</vt:lpstr>
      <vt:lpstr>Controls Inspection</vt:lpstr>
      <vt:lpstr>Summary</vt:lpstr>
      <vt:lpstr>Lists</vt:lpstr>
      <vt:lpstr>Alternative Costs</vt:lpstr>
      <vt:lpstr>Analyst Notes</vt:lpstr>
      <vt:lpstr>appstatuslist</vt:lpstr>
      <vt:lpstr>bottompage1</vt:lpstr>
      <vt:lpstr>buildingtypelist3</vt:lpstr>
      <vt:lpstr>check</vt:lpstr>
      <vt:lpstr>controllist3</vt:lpstr>
      <vt:lpstr>Cum_Disc_AltCosts</vt:lpstr>
      <vt:lpstr>existcontrol</vt:lpstr>
      <vt:lpstr>existinglist</vt:lpstr>
      <vt:lpstr>existlist</vt:lpstr>
      <vt:lpstr>existlist1</vt:lpstr>
      <vt:lpstr>extlist</vt:lpstr>
      <vt:lpstr>fixttypelist</vt:lpstr>
      <vt:lpstr>Fixturetypelist</vt:lpstr>
      <vt:lpstr>LEDLIST</vt:lpstr>
      <vt:lpstr>loadshapeac</vt:lpstr>
      <vt:lpstr>loadshapes</vt:lpstr>
      <vt:lpstr>locationlist</vt:lpstr>
      <vt:lpstr>meterlist</vt:lpstr>
      <vt:lpstr>meterlist1</vt:lpstr>
      <vt:lpstr>LEDs!multstrategy</vt:lpstr>
      <vt:lpstr>LEDs!netstrategy</vt:lpstr>
      <vt:lpstr>newcaselist</vt:lpstr>
      <vt:lpstr>newcaselist1</vt:lpstr>
      <vt:lpstr>NEWFIXTTYPE</vt:lpstr>
      <vt:lpstr>newlist</vt:lpstr>
      <vt:lpstr>newlist1</vt:lpstr>
      <vt:lpstr>nonslist</vt:lpstr>
      <vt:lpstr>ORcontrol</vt:lpstr>
      <vt:lpstr>Ownerlist2</vt:lpstr>
      <vt:lpstr>CLU!Print_Area</vt:lpstr>
      <vt:lpstr>Controls!Print_Area</vt:lpstr>
      <vt:lpstr>'Controls Inspection'!Print_Area</vt:lpstr>
      <vt:lpstr>'Data Entry'!Print_Area</vt:lpstr>
      <vt:lpstr>'Inspection Sheet'!Print_Area</vt:lpstr>
      <vt:lpstr>LEDs!Print_Area</vt:lpstr>
      <vt:lpstr>'Lighting Controls'!Print_Area</vt:lpstr>
      <vt:lpstr>'Payment Application'!Print_Area</vt:lpstr>
      <vt:lpstr>'Pre-Approval Application'!Print_Area</vt:lpstr>
      <vt:lpstr>'Product Type'!Print_Area</vt:lpstr>
      <vt:lpstr>'Project Summary'!Print_Area</vt:lpstr>
      <vt:lpstr>'Proposed Lighting'!Print_Area</vt:lpstr>
      <vt:lpstr>'Sign &amp; Case Lighting'!Print_Area</vt:lpstr>
      <vt:lpstr>'Standard Incentives'!Print_Area</vt:lpstr>
      <vt:lpstr>TLEDs!Print_Area</vt:lpstr>
      <vt:lpstr>Welcome!Print_Area</vt:lpstr>
      <vt:lpstr>'Controls Inspection'!Print_Titles</vt:lpstr>
      <vt:lpstr>'Inspection Sheet'!Print_Titles</vt:lpstr>
      <vt:lpstr>'Proposed Lighting'!Print_Titles</vt:lpstr>
      <vt:lpstr>Proposedlist</vt:lpstr>
      <vt:lpstr>reducedwattage</vt:lpstr>
      <vt:lpstr>relamplist</vt:lpstr>
      <vt:lpstr>relamplist2</vt:lpstr>
      <vt:lpstr>standcontrols</vt:lpstr>
      <vt:lpstr>statelist</vt:lpstr>
      <vt:lpstr>tenantlist</vt:lpstr>
      <vt:lpstr>Yesnolist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Pilant</dc:creator>
  <cp:lastModifiedBy>Angela Pilant</cp:lastModifiedBy>
  <cp:lastPrinted>2023-08-31T18:50:24Z</cp:lastPrinted>
  <dcterms:created xsi:type="dcterms:W3CDTF">2009-09-25T19:46:30Z</dcterms:created>
  <dcterms:modified xsi:type="dcterms:W3CDTF">2023-09-01T13:39:22Z</dcterms:modified>
</cp:coreProperties>
</file>